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66925"/>
  <mc:AlternateContent xmlns:mc="http://schemas.openxmlformats.org/markup-compatibility/2006">
    <mc:Choice Requires="x15">
      <x15ac:absPath xmlns:x15ac="http://schemas.microsoft.com/office/spreadsheetml/2010/11/ac" url="/Users/christiandomaas/Downloads/"/>
    </mc:Choice>
  </mc:AlternateContent>
  <xr:revisionPtr revIDLastSave="0" documentId="13_ncr:1_{CAC62B9D-FDC0-7A4C-9DBD-57BBF6F6EECA}" xr6:coauthVersionLast="47" xr6:coauthVersionMax="47" xr10:uidLastSave="{00000000-0000-0000-0000-000000000000}"/>
  <bookViews>
    <workbookView xWindow="-29360" yWindow="-2920" windowWidth="28000" windowHeight="23700" firstSheet="1" activeTab="3" xr2:uid="{00000000-000D-0000-FFFF-FFFF00000000}"/>
  </bookViews>
  <sheets>
    <sheet name="Home" sheetId="1" r:id="rId1"/>
    <sheet name="Spectrum" sheetId="3" r:id="rId2"/>
    <sheet name="Prioritization" sheetId="45" r:id="rId3"/>
    <sheet name="Cascade" sheetId="5" r:id="rId4"/>
    <sheet name="KP" sheetId="13" r:id="rId5"/>
    <sheet name="Year 2" sheetId="49" r:id="rId6"/>
    <sheet name="PMTCT" sheetId="7" r:id="rId7"/>
    <sheet name="EID" sheetId="20" r:id="rId8"/>
    <sheet name="TB" sheetId="8" r:id="rId9"/>
    <sheet name="VMMC" sheetId="10" r:id="rId10"/>
    <sheet name="PrEP" sheetId="16" r:id="rId11"/>
    <sheet name="HTS" sheetId="12" r:id="rId12"/>
    <sheet name="CXCA" sheetId="6" r:id="rId13"/>
    <sheet name="TX_TB_PREV" sheetId="9" r:id="rId14"/>
    <sheet name="PP" sheetId="15" r:id="rId15"/>
    <sheet name="OVC" sheetId="14" r:id="rId16"/>
    <sheet name="GEND" sheetId="34" r:id="rId17"/>
    <sheet name="AGYW" sheetId="44" r:id="rId18"/>
    <sheet name="KP_MAT" sheetId="40" r:id="rId19"/>
    <sheet name="KP Validation" sheetId="46" r:id="rId20"/>
  </sheets>
  <definedNames>
    <definedName name="_xlnm._FilterDatabase" localSheetId="17" hidden="1">AGYW!$A$14:$T$14</definedName>
    <definedName name="_xlnm._FilterDatabase" localSheetId="3" hidden="1">Cascade!$A$14:$BH$420</definedName>
    <definedName name="_xlnm._FilterDatabase" localSheetId="12" hidden="1">CXCA!$A$14:$M$74</definedName>
    <definedName name="_xlnm._FilterDatabase" localSheetId="7" hidden="1">EID!$A$14:$V$14</definedName>
    <definedName name="_xlnm._FilterDatabase" localSheetId="16" hidden="1">GEND!$A$14:$H$14</definedName>
    <definedName name="_xlnm._FilterDatabase" localSheetId="11" hidden="1">HTS!$A$14:$BB$362</definedName>
    <definedName name="_xlnm._FilterDatabase" localSheetId="4" hidden="1">KP!$A$14:$AP$159</definedName>
    <definedName name="_xlnm._FilterDatabase" localSheetId="19" hidden="1">'KP Validation'!$A$14:$BV$43</definedName>
    <definedName name="_xlnm._FilterDatabase" localSheetId="18" hidden="1">KP_MAT!$B$14:$J$75</definedName>
    <definedName name="_xlnm._FilterDatabase" localSheetId="15" hidden="1">OVC!$A$14:$T$434</definedName>
    <definedName name="_xlnm._FilterDatabase" localSheetId="6" hidden="1">PMTCT!$A$14:$BA$159</definedName>
    <definedName name="_xlnm._FilterDatabase" localSheetId="14" hidden="1">PP!$A$14:$H$14</definedName>
    <definedName name="_xlnm._FilterDatabase" localSheetId="10" hidden="1">PrEP!$A$14:$Q$246</definedName>
    <definedName name="_xlnm._FilterDatabase" localSheetId="1" hidden="1">Spectrum!$A$1:$S$8205</definedName>
    <definedName name="_xlnm._FilterDatabase" localSheetId="8" hidden="1">TB!$A$14:$Z$362</definedName>
    <definedName name="_xlnm._FilterDatabase" localSheetId="13" hidden="1">TX_TB_PREV!$A$14:$AC$130</definedName>
    <definedName name="_xlnm._FilterDatabase" localSheetId="9" hidden="1">VMMC!$A$14:$AF$130</definedName>
    <definedName name="HTS_RECENT.N.KeyPop_HIVStatus.T" localSheetId="19">'KP Validation'!#REF!</definedName>
    <definedName name="HTS_RECENT.N.KeyPop_HIVStatus.T" localSheetId="18">KP_MAT!#REF!</definedName>
    <definedName name="HTS_SELF.N.KeyPop.T" localSheetId="19">'KP Validation'!#REF!</definedName>
    <definedName name="HTS_SELF.N.KeyPop.T" localSheetId="18">KP_MAT!#REF!</definedName>
    <definedName name="HTS_TST.N.KeyPop_Result.T.Negative" localSheetId="19">'KP Validation'!#REF!</definedName>
    <definedName name="HTS_TST.N.KeyPop_Result.T.Negative" localSheetId="18">KP_MAT!#REF!</definedName>
    <definedName name="HTS_TST.N.KeyPop_Result.T.Positive" localSheetId="19">'KP Validation'!#REF!</definedName>
    <definedName name="HTS_TST.N.KeyPop_Result.T.Positive" localSheetId="18">KP_MAT!#REF!</definedName>
    <definedName name="KP_MAT.N.Sex.T" localSheetId="19">'KP Validation'!#REF!</definedName>
    <definedName name="KP_MAT.N.Sex.T" localSheetId="18">KP_MAT!$J:$J</definedName>
    <definedName name="KP_PREV.N.KeyPop.T" localSheetId="19">'KP Validation'!#REF!</definedName>
    <definedName name="KP_PREV.N.KeyPop.T" localSheetId="18">KP_MAT!#REF!</definedName>
    <definedName name="MIN_DSD">ROUND(MAX(IF(ISNUMBER(FIND("DSD",#REF!)),#REF!)),1)</definedName>
    <definedName name="MIN_TA">ROUND(MAX(IF(ISNUMBER(FIND("TA",#REF!)),#REF!)),1)</definedName>
    <definedName name="PrEP_CURR.N.Age_Sex.T" localSheetId="17">AGYW!#REF!</definedName>
    <definedName name="PrEP_CURR.N.KeyPop.T" localSheetId="19">'KP Validation'!#REF!</definedName>
    <definedName name="PrEP_CURR.N.KeyPop.T" localSheetId="18">KP_MAT!#REF!</definedName>
    <definedName name="PrEP_NEW.N.Age_Sex.T" localSheetId="17">AGYW!#REF!</definedName>
    <definedName name="PrEP_NEW.N.KeyPop.T" localSheetId="19">'KP Validation'!#REF!</definedName>
    <definedName name="PrEP_NEW.N.KeyPop.T" localSheetId="18">KP_MAT!#REF!</definedName>
    <definedName name="TX_CURR.N.KeyPop_HIVStatus.T" localSheetId="19">'KP Validation'!$U:$U</definedName>
    <definedName name="TX_CURR.N.KeyPop_HIVStatus.T" localSheetId="18">KP_MAT!#REF!</definedName>
    <definedName name="TX_NEW.N.KeyPop_HIVStatus.T" localSheetId="19">'KP Validation'!#REF!</definedName>
    <definedName name="TX_NEW.N.KeyPop_HIVStatus.T" localSheetId="18">KP_MAT!#REF!</definedName>
    <definedName name="TX_PVLS.D.KeyPop_HIVStatus.T" localSheetId="19">'KP Validation'!#REF!</definedName>
    <definedName name="TX_PVLS.D.KeyPop_HIVStatus.T" localSheetId="18">KP_MAT!#REF!</definedName>
    <definedName name="TX_PVLS.N.KeyPop_HIVStatus.T" localSheetId="19">'KP Validation'!#REF!</definedName>
    <definedName name="TX_PVLS.N.KeyPop_HIVStatus.T" localSheetId="18">KP_MAT!#REF!</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 i="44" l="1"/>
  <c r="BB16" i="5" l="1"/>
  <c r="BB15" i="5"/>
  <c r="AZ15" i="5"/>
  <c r="AZ16" i="5"/>
  <c r="F18" i="9" a="1"/>
  <c r="F18" i="9" s="1"/>
  <c r="F17" i="9" a="1"/>
  <c r="F17" i="9" s="1"/>
  <c r="N54" i="14" l="1"/>
  <c r="N55" i="14"/>
  <c r="N56" i="14"/>
  <c r="N57" i="14"/>
  <c r="N58" i="14"/>
  <c r="N59" i="14"/>
  <c r="N60" i="14"/>
  <c r="N61" i="14"/>
  <c r="N62" i="14"/>
  <c r="AP17" i="5" l="1"/>
  <c r="AP18" i="5"/>
  <c r="AP20" i="5"/>
  <c r="AP26" i="5"/>
  <c r="AP28" i="5"/>
  <c r="AP19" i="5"/>
  <c r="AP21" i="5"/>
  <c r="AP22" i="5"/>
  <c r="AP23" i="5"/>
  <c r="AP24" i="5"/>
  <c r="AP25" i="5"/>
  <c r="AP27" i="5"/>
  <c r="AW35" i="5"/>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104" i="14"/>
  <c r="N105" i="14"/>
  <c r="N106" i="14"/>
  <c r="N107" i="14"/>
  <c r="N108" i="14"/>
  <c r="N109" i="14"/>
  <c r="N110" i="14"/>
  <c r="N111" i="14"/>
  <c r="N112" i="14"/>
  <c r="N113" i="14"/>
  <c r="N114" i="14"/>
  <c r="N115" i="14"/>
  <c r="N116" i="14"/>
  <c r="N117" i="14"/>
  <c r="N118" i="14"/>
  <c r="N119" i="14"/>
  <c r="N120" i="14"/>
  <c r="N121" i="14"/>
  <c r="N122" i="14"/>
  <c r="N123" i="14"/>
  <c r="N124" i="14"/>
  <c r="N125" i="14"/>
  <c r="N126" i="14"/>
  <c r="N127" i="14"/>
  <c r="N128" i="14"/>
  <c r="N129" i="14"/>
  <c r="N130" i="14"/>
  <c r="N131" i="14"/>
  <c r="N132" i="14"/>
  <c r="N133" i="14"/>
  <c r="N134" i="14"/>
  <c r="N135" i="14"/>
  <c r="N136" i="14"/>
  <c r="N137" i="14"/>
  <c r="N138" i="14"/>
  <c r="N139" i="14"/>
  <c r="N140" i="14"/>
  <c r="N141" i="14"/>
  <c r="N142" i="14"/>
  <c r="N143" i="14"/>
  <c r="N144" i="14"/>
  <c r="N145" i="14"/>
  <c r="N146" i="14"/>
  <c r="N147" i="14"/>
  <c r="N148" i="14"/>
  <c r="N149" i="14"/>
  <c r="N150" i="14"/>
  <c r="N151" i="14"/>
  <c r="N152" i="14"/>
  <c r="N153" i="14"/>
  <c r="N154" i="14"/>
  <c r="N155" i="14"/>
  <c r="N156" i="14"/>
  <c r="N157" i="14"/>
  <c r="N158" i="14"/>
  <c r="N159" i="14"/>
  <c r="N160" i="14"/>
  <c r="N161" i="14"/>
  <c r="N162" i="14"/>
  <c r="N163" i="14"/>
  <c r="N164" i="14"/>
  <c r="N165" i="14"/>
  <c r="N166" i="14"/>
  <c r="N167" i="14"/>
  <c r="N168" i="14"/>
  <c r="N169" i="14"/>
  <c r="N170" i="14"/>
  <c r="N171" i="14"/>
  <c r="N172" i="14"/>
  <c r="N173" i="14"/>
  <c r="N174" i="14"/>
  <c r="N175" i="14"/>
  <c r="N176" i="14"/>
  <c r="N177" i="14"/>
  <c r="N178" i="14"/>
  <c r="N179" i="14"/>
  <c r="N180" i="14"/>
  <c r="N181" i="14"/>
  <c r="N182" i="14"/>
  <c r="N183" i="14"/>
  <c r="N184" i="14"/>
  <c r="N185" i="14"/>
  <c r="N186" i="14"/>
  <c r="N187" i="14"/>
  <c r="N188" i="14"/>
  <c r="N189" i="14"/>
  <c r="N190" i="14"/>
  <c r="N191" i="14"/>
  <c r="N192" i="14"/>
  <c r="N193" i="14"/>
  <c r="N194" i="14"/>
  <c r="N195" i="14"/>
  <c r="N196" i="14"/>
  <c r="N197" i="14"/>
  <c r="N198" i="14"/>
  <c r="N199" i="14"/>
  <c r="N200" i="14"/>
  <c r="N201" i="14"/>
  <c r="N202" i="14"/>
  <c r="N203" i="14"/>
  <c r="N204" i="14"/>
  <c r="N205" i="14"/>
  <c r="N206" i="14"/>
  <c r="N207" i="14"/>
  <c r="N208" i="14"/>
  <c r="N209" i="14"/>
  <c r="N210" i="14"/>
  <c r="N211" i="14"/>
  <c r="N212" i="14"/>
  <c r="N213" i="14"/>
  <c r="N214" i="14"/>
  <c r="N215" i="14"/>
  <c r="N216" i="14"/>
  <c r="N217" i="14"/>
  <c r="N218" i="14"/>
  <c r="N219" i="14"/>
  <c r="N220" i="14"/>
  <c r="N221" i="14"/>
  <c r="N222" i="14"/>
  <c r="N223" i="14"/>
  <c r="N224" i="14"/>
  <c r="N225" i="14"/>
  <c r="N226" i="14"/>
  <c r="N227" i="14"/>
  <c r="N228" i="14"/>
  <c r="N229" i="14"/>
  <c r="N230" i="14"/>
  <c r="N231" i="14"/>
  <c r="N232" i="14"/>
  <c r="N233" i="14"/>
  <c r="N234" i="14"/>
  <c r="N235" i="14"/>
  <c r="N236" i="14"/>
  <c r="N237" i="14"/>
  <c r="N238" i="14"/>
  <c r="N239" i="14"/>
  <c r="N240" i="14"/>
  <c r="N241" i="14"/>
  <c r="N242" i="14"/>
  <c r="N243" i="14"/>
  <c r="N244" i="14"/>
  <c r="N245" i="14"/>
  <c r="N246" i="14"/>
  <c r="N247" i="14"/>
  <c r="N248" i="14"/>
  <c r="N249" i="14"/>
  <c r="N250" i="14"/>
  <c r="N251" i="14"/>
  <c r="N252" i="14"/>
  <c r="N253" i="14"/>
  <c r="N254" i="14"/>
  <c r="N255" i="14"/>
  <c r="N256" i="14"/>
  <c r="N257" i="14"/>
  <c r="N258" i="14"/>
  <c r="N259" i="14"/>
  <c r="N260" i="14"/>
  <c r="N261" i="14"/>
  <c r="N262" i="14"/>
  <c r="N263" i="14"/>
  <c r="N264" i="14"/>
  <c r="N265" i="14"/>
  <c r="N266" i="14"/>
  <c r="N267" i="14"/>
  <c r="N268" i="14"/>
  <c r="N269" i="14"/>
  <c r="N270" i="14"/>
  <c r="N271" i="14"/>
  <c r="N272" i="14"/>
  <c r="N273" i="14"/>
  <c r="N274" i="14"/>
  <c r="N275" i="14"/>
  <c r="N276" i="14"/>
  <c r="N277" i="14"/>
  <c r="N278" i="14"/>
  <c r="N279" i="14"/>
  <c r="N280" i="14"/>
  <c r="N281" i="14"/>
  <c r="N282" i="14"/>
  <c r="N283" i="14"/>
  <c r="N284" i="14"/>
  <c r="N285" i="14"/>
  <c r="N286" i="14"/>
  <c r="N287" i="14"/>
  <c r="N288" i="14"/>
  <c r="N289" i="14"/>
  <c r="N290" i="14"/>
  <c r="N291" i="14"/>
  <c r="N292" i="14"/>
  <c r="N293" i="14"/>
  <c r="N294" i="14"/>
  <c r="N295" i="14"/>
  <c r="N296" i="14"/>
  <c r="N297" i="14"/>
  <c r="N298" i="14"/>
  <c r="N299" i="14"/>
  <c r="N300" i="14"/>
  <c r="N301" i="14"/>
  <c r="N302" i="14"/>
  <c r="N303" i="14"/>
  <c r="N304" i="14"/>
  <c r="N305" i="14"/>
  <c r="N306" i="14"/>
  <c r="N307" i="14"/>
  <c r="N308" i="14"/>
  <c r="N309" i="14"/>
  <c r="N310" i="14"/>
  <c r="N311" i="14"/>
  <c r="N312" i="14"/>
  <c r="N313" i="14"/>
  <c r="N314" i="14"/>
  <c r="N315" i="14"/>
  <c r="N316" i="14"/>
  <c r="N317" i="14"/>
  <c r="N318" i="14"/>
  <c r="N319" i="14"/>
  <c r="N320" i="14"/>
  <c r="N321" i="14"/>
  <c r="N322" i="14"/>
  <c r="N323" i="14"/>
  <c r="N324" i="14"/>
  <c r="N325" i="14"/>
  <c r="N326" i="14"/>
  <c r="N327" i="14"/>
  <c r="N328" i="14"/>
  <c r="N329" i="14"/>
  <c r="N330" i="14"/>
  <c r="N331" i="14"/>
  <c r="N332" i="14"/>
  <c r="N333" i="14"/>
  <c r="N334" i="14"/>
  <c r="N335" i="14"/>
  <c r="N336" i="14"/>
  <c r="N337" i="14"/>
  <c r="N338" i="14"/>
  <c r="N339" i="14"/>
  <c r="N340" i="14"/>
  <c r="N341" i="14"/>
  <c r="N342" i="14"/>
  <c r="N343" i="14"/>
  <c r="N344" i="14"/>
  <c r="N345" i="14"/>
  <c r="N346" i="14"/>
  <c r="N347" i="14"/>
  <c r="N348" i="14"/>
  <c r="N349" i="14"/>
  <c r="N350" i="14"/>
  <c r="N351" i="14"/>
  <c r="N352" i="14"/>
  <c r="N353" i="14"/>
  <c r="N354" i="14"/>
  <c r="N355" i="14"/>
  <c r="N356" i="14"/>
  <c r="N357" i="14"/>
  <c r="N358" i="14"/>
  <c r="N359" i="14"/>
  <c r="N360" i="14"/>
  <c r="N361" i="14"/>
  <c r="N362" i="14"/>
  <c r="N363" i="14"/>
  <c r="N364" i="14"/>
  <c r="N365" i="14"/>
  <c r="N366" i="14"/>
  <c r="N367" i="14"/>
  <c r="N368" i="14"/>
  <c r="N369" i="14"/>
  <c r="N370" i="14"/>
  <c r="N371" i="14"/>
  <c r="N372" i="14"/>
  <c r="N373" i="14"/>
  <c r="N374" i="14"/>
  <c r="N375" i="14"/>
  <c r="N376" i="14"/>
  <c r="N377" i="14"/>
  <c r="N378" i="14"/>
  <c r="N379" i="14"/>
  <c r="N380" i="14"/>
  <c r="N381" i="14"/>
  <c r="N382" i="14"/>
  <c r="N383" i="14"/>
  <c r="N384" i="14"/>
  <c r="N385" i="14"/>
  <c r="N386" i="14"/>
  <c r="N387" i="14"/>
  <c r="N388" i="14"/>
  <c r="N389" i="14"/>
  <c r="N390" i="14"/>
  <c r="N391" i="14"/>
  <c r="N392" i="14"/>
  <c r="N393" i="14"/>
  <c r="N394" i="14"/>
  <c r="N395" i="14"/>
  <c r="N396" i="14"/>
  <c r="N397" i="14"/>
  <c r="N398" i="14"/>
  <c r="N399" i="14"/>
  <c r="N400" i="14"/>
  <c r="N401" i="14"/>
  <c r="N402" i="14"/>
  <c r="N403" i="14"/>
  <c r="N404" i="14"/>
  <c r="N405" i="14"/>
  <c r="N406" i="14"/>
  <c r="N407" i="14"/>
  <c r="N408" i="14"/>
  <c r="N409" i="14"/>
  <c r="N410" i="14"/>
  <c r="N411" i="14"/>
  <c r="N412" i="14"/>
  <c r="N413" i="14"/>
  <c r="N414" i="14"/>
  <c r="N415" i="14"/>
  <c r="N416" i="14"/>
  <c r="N417" i="14"/>
  <c r="N418" i="14"/>
  <c r="N419" i="14"/>
  <c r="N420" i="14"/>
  <c r="N421" i="14"/>
  <c r="N422" i="14"/>
  <c r="N423" i="14"/>
  <c r="N424" i="14"/>
  <c r="N425" i="14"/>
  <c r="N426" i="14"/>
  <c r="N427" i="14"/>
  <c r="N428" i="14"/>
  <c r="N429" i="14"/>
  <c r="N430" i="14"/>
  <c r="N431" i="14"/>
  <c r="N432" i="14"/>
  <c r="N433" i="14"/>
  <c r="N434" i="14"/>
  <c r="O91" i="14"/>
  <c r="O259"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349" i="14"/>
  <c r="L350" i="14"/>
  <c r="L351" i="14"/>
  <c r="L352" i="14"/>
  <c r="L353" i="14"/>
  <c r="L354" i="14"/>
  <c r="L355" i="14"/>
  <c r="L356" i="14"/>
  <c r="L357" i="14"/>
  <c r="L358" i="14"/>
  <c r="L359" i="14"/>
  <c r="L360" i="14"/>
  <c r="L361" i="14"/>
  <c r="L362" i="14"/>
  <c r="L363" i="14"/>
  <c r="L364" i="14"/>
  <c r="L365" i="14"/>
  <c r="L366" i="14"/>
  <c r="L367" i="14"/>
  <c r="L368" i="14"/>
  <c r="L369" i="14"/>
  <c r="L370" i="14"/>
  <c r="L371" i="14"/>
  <c r="L372" i="14"/>
  <c r="L373" i="14"/>
  <c r="L374" i="14"/>
  <c r="L375" i="14"/>
  <c r="L376" i="14"/>
  <c r="L377" i="14"/>
  <c r="L378" i="14"/>
  <c r="L379" i="14"/>
  <c r="L380" i="14"/>
  <c r="L381" i="14"/>
  <c r="L382" i="14"/>
  <c r="L383" i="14"/>
  <c r="L384" i="14"/>
  <c r="L385" i="14"/>
  <c r="L386" i="14"/>
  <c r="L387" i="14"/>
  <c r="L388" i="14"/>
  <c r="L389" i="14"/>
  <c r="L390" i="14"/>
  <c r="L391" i="14"/>
  <c r="L392" i="14"/>
  <c r="L393" i="14"/>
  <c r="L394" i="14"/>
  <c r="L395" i="14"/>
  <c r="L396" i="14"/>
  <c r="L397" i="14"/>
  <c r="L398" i="14"/>
  <c r="L399" i="14"/>
  <c r="L400" i="14"/>
  <c r="L401" i="14"/>
  <c r="L402" i="14"/>
  <c r="L403" i="14"/>
  <c r="L404" i="14"/>
  <c r="L405" i="14"/>
  <c r="L406" i="14"/>
  <c r="L407" i="14"/>
  <c r="L408" i="14"/>
  <c r="L409" i="14"/>
  <c r="L410" i="14"/>
  <c r="L411" i="14"/>
  <c r="L412" i="14"/>
  <c r="L413" i="14"/>
  <c r="L414" i="14"/>
  <c r="L415" i="14"/>
  <c r="L416" i="14"/>
  <c r="L417" i="14"/>
  <c r="L418" i="14"/>
  <c r="L419" i="14"/>
  <c r="L420" i="14"/>
  <c r="L421" i="14"/>
  <c r="L422" i="14"/>
  <c r="L423" i="14"/>
  <c r="L424" i="14"/>
  <c r="L425" i="14"/>
  <c r="L426" i="14"/>
  <c r="L427" i="14"/>
  <c r="L428" i="14"/>
  <c r="L429" i="14"/>
  <c r="L430" i="14"/>
  <c r="L431" i="14"/>
  <c r="L432" i="14"/>
  <c r="L433" i="14"/>
  <c r="L434" i="14"/>
  <c r="L15" i="14"/>
  <c r="S26" i="9"/>
  <c r="AY360" i="12"/>
  <c r="AY359" i="12"/>
  <c r="AY358" i="12"/>
  <c r="AY357" i="12"/>
  <c r="AY356" i="12"/>
  <c r="AY355" i="12"/>
  <c r="AY348" i="12"/>
  <c r="AY347" i="12"/>
  <c r="AY346" i="12"/>
  <c r="AY345" i="12"/>
  <c r="AY344" i="12"/>
  <c r="AY343" i="12"/>
  <c r="AY336" i="12"/>
  <c r="AY335" i="12"/>
  <c r="AY334" i="12"/>
  <c r="AY333" i="12"/>
  <c r="AY332" i="12"/>
  <c r="AY331" i="12"/>
  <c r="AY324" i="12"/>
  <c r="AY323" i="12"/>
  <c r="AY322" i="12"/>
  <c r="AY321" i="12"/>
  <c r="AY320" i="12"/>
  <c r="AY319" i="12"/>
  <c r="AY312" i="12"/>
  <c r="AY311" i="12"/>
  <c r="AY310" i="12"/>
  <c r="AY309" i="12"/>
  <c r="AY308" i="12"/>
  <c r="AY307" i="12"/>
  <c r="AY300" i="12"/>
  <c r="AY299" i="12"/>
  <c r="AY298" i="12"/>
  <c r="AY297" i="12"/>
  <c r="AY296" i="12"/>
  <c r="AY295" i="12"/>
  <c r="AY288" i="12"/>
  <c r="AY287" i="12"/>
  <c r="AY286" i="12"/>
  <c r="AY285" i="12"/>
  <c r="AY284" i="12"/>
  <c r="AY283" i="12"/>
  <c r="AY276" i="12"/>
  <c r="AY275" i="12"/>
  <c r="AY274" i="12"/>
  <c r="AY273" i="12"/>
  <c r="AY272" i="12"/>
  <c r="AY271" i="12"/>
  <c r="AY264" i="12"/>
  <c r="AY263" i="12"/>
  <c r="AY262" i="12"/>
  <c r="AY261" i="12"/>
  <c r="AY260" i="12"/>
  <c r="AY259" i="12"/>
  <c r="AY252" i="12"/>
  <c r="AY251" i="12"/>
  <c r="AY250" i="12"/>
  <c r="AY249" i="12"/>
  <c r="AY248" i="12"/>
  <c r="AY247" i="12"/>
  <c r="AY240" i="12"/>
  <c r="AY239" i="12"/>
  <c r="AY238" i="12"/>
  <c r="AY237" i="12"/>
  <c r="AY236" i="12"/>
  <c r="AY235" i="12"/>
  <c r="AY228" i="12"/>
  <c r="AY227" i="12"/>
  <c r="AY226" i="12"/>
  <c r="AY225" i="12"/>
  <c r="AY224" i="12"/>
  <c r="AY223" i="12"/>
  <c r="AY216" i="12"/>
  <c r="AY215" i="12"/>
  <c r="AY214" i="12"/>
  <c r="AY213" i="12"/>
  <c r="AY212" i="12"/>
  <c r="AY211" i="12"/>
  <c r="AY204" i="12"/>
  <c r="AY203" i="12"/>
  <c r="AY202" i="12"/>
  <c r="AY201" i="12"/>
  <c r="AY200" i="12"/>
  <c r="AY199" i="12"/>
  <c r="AY192" i="12"/>
  <c r="AY191" i="12"/>
  <c r="AY190" i="12"/>
  <c r="AY189" i="12"/>
  <c r="AY188" i="12"/>
  <c r="AY187" i="12"/>
  <c r="AY180" i="12"/>
  <c r="AY179" i="12"/>
  <c r="AY178" i="12"/>
  <c r="AY177" i="12"/>
  <c r="AY176" i="12"/>
  <c r="AY175" i="12"/>
  <c r="AY168" i="12"/>
  <c r="AY167" i="12"/>
  <c r="AY166" i="12"/>
  <c r="AY165" i="12"/>
  <c r="AY164" i="12"/>
  <c r="AY163" i="12"/>
  <c r="AY156" i="12"/>
  <c r="AY155" i="12"/>
  <c r="AY154" i="12"/>
  <c r="AY153" i="12"/>
  <c r="AY152" i="12"/>
  <c r="AY151" i="12"/>
  <c r="AY144" i="12"/>
  <c r="AY143" i="12"/>
  <c r="AY142" i="12"/>
  <c r="AY141" i="12"/>
  <c r="AY140" i="12"/>
  <c r="AY139" i="12"/>
  <c r="AY132" i="12"/>
  <c r="AY131" i="12"/>
  <c r="AY130" i="12"/>
  <c r="AY129" i="12"/>
  <c r="AY128" i="12"/>
  <c r="AY127" i="12"/>
  <c r="AY120" i="12"/>
  <c r="AY119" i="12"/>
  <c r="AY118" i="12"/>
  <c r="AY117" i="12"/>
  <c r="AY116" i="12"/>
  <c r="AY115" i="12"/>
  <c r="AY108" i="12"/>
  <c r="AY107" i="12"/>
  <c r="AY106" i="12"/>
  <c r="AY105" i="12"/>
  <c r="AY104" i="12"/>
  <c r="AY103" i="12"/>
  <c r="AY96" i="12"/>
  <c r="AY95" i="12"/>
  <c r="AY94" i="12"/>
  <c r="AY93" i="12"/>
  <c r="AY92" i="12"/>
  <c r="AY91" i="12"/>
  <c r="AY84" i="12"/>
  <c r="AY83" i="12"/>
  <c r="AY82" i="12"/>
  <c r="AY81" i="12"/>
  <c r="AY80" i="12"/>
  <c r="AY79" i="12"/>
  <c r="AY72" i="12"/>
  <c r="AY71" i="12"/>
  <c r="AY70" i="12"/>
  <c r="AY69" i="12"/>
  <c r="AY68" i="12"/>
  <c r="AY67" i="12"/>
  <c r="AY60" i="12"/>
  <c r="AY59" i="12"/>
  <c r="AY58" i="12"/>
  <c r="AY57" i="12"/>
  <c r="AY56" i="12"/>
  <c r="AY55" i="12"/>
  <c r="AY48" i="12"/>
  <c r="AY47" i="12"/>
  <c r="AY46" i="12"/>
  <c r="AY45" i="12"/>
  <c r="AY44" i="12"/>
  <c r="AY43" i="12"/>
  <c r="AY36" i="12"/>
  <c r="AY35" i="12"/>
  <c r="AY34" i="12"/>
  <c r="AY33" i="12"/>
  <c r="AY32" i="12"/>
  <c r="AY31" i="12"/>
  <c r="AS175" i="5"/>
  <c r="AS413" i="5"/>
  <c r="AS259" i="5"/>
  <c r="F130" i="9" a="1"/>
  <c r="F130" i="9" s="1"/>
  <c r="F129" i="9" a="1"/>
  <c r="F129" i="9" s="1"/>
  <c r="F128" i="9" a="1"/>
  <c r="F128" i="9" s="1"/>
  <c r="F127" i="9" a="1"/>
  <c r="F127" i="9" s="1"/>
  <c r="F126" i="9" a="1"/>
  <c r="F126" i="9" s="1"/>
  <c r="F125" i="9" a="1"/>
  <c r="F125" i="9" s="1"/>
  <c r="F124" i="9" a="1"/>
  <c r="F124" i="9" s="1"/>
  <c r="F123" i="9" a="1"/>
  <c r="F123" i="9" s="1"/>
  <c r="F122" i="9" a="1"/>
  <c r="F122" i="9" s="1"/>
  <c r="F121" i="9" a="1"/>
  <c r="F121" i="9" s="1"/>
  <c r="F120" i="9" a="1"/>
  <c r="F120" i="9" s="1"/>
  <c r="F119" i="9" a="1"/>
  <c r="F119" i="9" s="1"/>
  <c r="F118" i="9" a="1"/>
  <c r="F118" i="9" s="1"/>
  <c r="F117" i="9" a="1"/>
  <c r="F117" i="9" s="1"/>
  <c r="F116" i="9" a="1"/>
  <c r="F116" i="9" s="1"/>
  <c r="F115" i="9" a="1"/>
  <c r="F115" i="9" s="1"/>
  <c r="F114" i="9" a="1"/>
  <c r="F114" i="9" s="1"/>
  <c r="F113" i="9" a="1"/>
  <c r="F113" i="9" s="1"/>
  <c r="F112" i="9" a="1"/>
  <c r="F112" i="9" s="1"/>
  <c r="F111" i="9" a="1"/>
  <c r="F111" i="9" s="1"/>
  <c r="F110" i="9" a="1"/>
  <c r="F110" i="9" s="1"/>
  <c r="F109" i="9" a="1"/>
  <c r="F109" i="9" s="1"/>
  <c r="F108" i="9" a="1"/>
  <c r="F108" i="9" s="1"/>
  <c r="F107" i="9" a="1"/>
  <c r="F107" i="9" s="1"/>
  <c r="F106" i="9" a="1"/>
  <c r="F106" i="9" s="1"/>
  <c r="F105" i="9" a="1"/>
  <c r="F105" i="9" s="1"/>
  <c r="F104" i="9" a="1"/>
  <c r="F104" i="9" s="1"/>
  <c r="F103" i="9" a="1"/>
  <c r="F103" i="9" s="1"/>
  <c r="F102" i="9" a="1"/>
  <c r="F102" i="9" s="1"/>
  <c r="F101" i="9" a="1"/>
  <c r="F101" i="9" s="1"/>
  <c r="F100" i="9" a="1"/>
  <c r="F100" i="9" s="1"/>
  <c r="F95" i="9" a="1"/>
  <c r="F95" i="9" s="1"/>
  <c r="F94" i="9" a="1"/>
  <c r="F94" i="9" s="1"/>
  <c r="F93" i="9" a="1"/>
  <c r="F93" i="9" s="1"/>
  <c r="F92" i="9" a="1"/>
  <c r="F92" i="9" s="1"/>
  <c r="F91" i="9" a="1"/>
  <c r="F91" i="9" s="1"/>
  <c r="F90" i="9" a="1"/>
  <c r="F90" i="9" s="1"/>
  <c r="F89" i="9" a="1"/>
  <c r="F89" i="9" s="1"/>
  <c r="F88" i="9" a="1"/>
  <c r="F88" i="9" s="1"/>
  <c r="F87" i="9" a="1"/>
  <c r="F87" i="9" s="1"/>
  <c r="F86" i="9" a="1"/>
  <c r="F86" i="9" s="1"/>
  <c r="F85" i="9" a="1"/>
  <c r="F85" i="9" s="1"/>
  <c r="F84" i="9" a="1"/>
  <c r="F84" i="9" s="1"/>
  <c r="F83" i="9" a="1"/>
  <c r="F83" i="9" s="1"/>
  <c r="F82" i="9" a="1"/>
  <c r="F82" i="9" s="1"/>
  <c r="F81" i="9" a="1"/>
  <c r="F81" i="9" s="1"/>
  <c r="F80" i="9" a="1"/>
  <c r="F80" i="9" s="1"/>
  <c r="F79" i="9" a="1"/>
  <c r="F79" i="9" s="1"/>
  <c r="F78" i="9" a="1"/>
  <c r="F78" i="9" s="1"/>
  <c r="F77" i="9" a="1"/>
  <c r="F77" i="9" s="1"/>
  <c r="F76" i="9" a="1"/>
  <c r="F76" i="9" s="1"/>
  <c r="F75" i="9" a="1"/>
  <c r="F75" i="9" s="1"/>
  <c r="F74" i="9" a="1"/>
  <c r="F74" i="9" s="1"/>
  <c r="F73" i="9" a="1"/>
  <c r="F73" i="9" s="1"/>
  <c r="F72" i="9" a="1"/>
  <c r="F72" i="9" s="1"/>
  <c r="F71" i="9" a="1"/>
  <c r="F71" i="9" s="1"/>
  <c r="F70" i="9" a="1"/>
  <c r="F70" i="9" s="1"/>
  <c r="F69" i="9" a="1"/>
  <c r="F69" i="9" s="1"/>
  <c r="F68" i="9" a="1"/>
  <c r="F68" i="9" s="1"/>
  <c r="F67" i="9" a="1"/>
  <c r="F67" i="9" s="1"/>
  <c r="F66" i="9" a="1"/>
  <c r="F66" i="9" s="1"/>
  <c r="F65" i="9" a="1"/>
  <c r="F65" i="9" s="1"/>
  <c r="F64" i="9" a="1"/>
  <c r="F64" i="9" s="1"/>
  <c r="F63" i="9" a="1"/>
  <c r="F63" i="9" s="1"/>
  <c r="F62" i="9" a="1"/>
  <c r="F62" i="9" s="1"/>
  <c r="F61" i="9" a="1"/>
  <c r="F61" i="9" s="1"/>
  <c r="F60" i="9" a="1"/>
  <c r="F60" i="9" s="1"/>
  <c r="F59" i="9" a="1"/>
  <c r="F59" i="9" s="1"/>
  <c r="F58" i="9" a="1"/>
  <c r="F58" i="9" s="1"/>
  <c r="F57" i="9" a="1"/>
  <c r="F57" i="9" s="1"/>
  <c r="F56" i="9" a="1"/>
  <c r="F56" i="9" s="1"/>
  <c r="F55" i="9" a="1"/>
  <c r="F55" i="9" s="1"/>
  <c r="F54" i="9" a="1"/>
  <c r="F54" i="9" s="1"/>
  <c r="F53" i="9" a="1"/>
  <c r="F53" i="9" s="1"/>
  <c r="F52" i="9" a="1"/>
  <c r="F52" i="9" s="1"/>
  <c r="F51" i="9" a="1"/>
  <c r="F51" i="9" s="1"/>
  <c r="F50" i="9" a="1"/>
  <c r="F50" i="9" s="1"/>
  <c r="F49" i="9" a="1"/>
  <c r="F49" i="9" s="1"/>
  <c r="F48" i="9" a="1"/>
  <c r="F48" i="9" s="1"/>
  <c r="F47" i="9" a="1"/>
  <c r="F47" i="9" s="1"/>
  <c r="F46" i="9" a="1"/>
  <c r="F46" i="9" s="1"/>
  <c r="F45" i="9" a="1"/>
  <c r="F45" i="9" s="1"/>
  <c r="F44" i="9" a="1"/>
  <c r="F44" i="9" s="1"/>
  <c r="F43" i="9" a="1"/>
  <c r="F43" i="9" s="1"/>
  <c r="F42" i="9" a="1"/>
  <c r="F42" i="9" s="1"/>
  <c r="F41" i="9" a="1"/>
  <c r="F41" i="9" s="1"/>
  <c r="F40" i="9" a="1"/>
  <c r="F40" i="9" s="1"/>
  <c r="F39" i="9" a="1"/>
  <c r="F39" i="9" s="1"/>
  <c r="F38" i="9" a="1"/>
  <c r="F38" i="9" s="1"/>
  <c r="F37" i="9" a="1"/>
  <c r="F37" i="9" s="1"/>
  <c r="F36" i="9" a="1"/>
  <c r="F36" i="9" s="1"/>
  <c r="F35" i="9" a="1"/>
  <c r="F35" i="9" s="1"/>
  <c r="F34" i="9" a="1"/>
  <c r="F34" i="9" s="1"/>
  <c r="F33" i="9" a="1"/>
  <c r="F33" i="9" s="1"/>
  <c r="F32" i="9" a="1"/>
  <c r="F32" i="9" s="1"/>
  <c r="F31" i="9" a="1"/>
  <c r="F31" i="9" s="1"/>
  <c r="F30" i="9" a="1"/>
  <c r="F30" i="9" s="1"/>
  <c r="F29" i="9" a="1"/>
  <c r="F29" i="9" s="1"/>
  <c r="F28" i="9" a="1"/>
  <c r="F28" i="9" s="1"/>
  <c r="F27" i="9" a="1"/>
  <c r="F27" i="9" s="1"/>
  <c r="F26" i="9" a="1"/>
  <c r="F26" i="9" s="1"/>
  <c r="F25" i="9" a="1"/>
  <c r="F25" i="9" s="1"/>
  <c r="F24" i="9" a="1"/>
  <c r="F24" i="9" s="1"/>
  <c r="F23" i="9" a="1"/>
  <c r="F23" i="9" s="1"/>
  <c r="F22" i="9" a="1"/>
  <c r="F22" i="9" s="1"/>
  <c r="F21" i="9" a="1"/>
  <c r="F21" i="9" s="1"/>
  <c r="F20" i="9" a="1"/>
  <c r="F20" i="9" s="1"/>
  <c r="F19" i="9" a="1"/>
  <c r="F19" i="9" s="1"/>
  <c r="AS415" i="5"/>
  <c r="AS401" i="5"/>
  <c r="AS399" i="5"/>
  <c r="AS387" i="5"/>
  <c r="AS385" i="5"/>
  <c r="AS371" i="5"/>
  <c r="AS343" i="5"/>
  <c r="AS331" i="5"/>
  <c r="AS329" i="5"/>
  <c r="AS317" i="5"/>
  <c r="AS315" i="5"/>
  <c r="AS303" i="5"/>
  <c r="AS301" i="5"/>
  <c r="AS289" i="5"/>
  <c r="AS287" i="5"/>
  <c r="AS273" i="5"/>
  <c r="AS247" i="5"/>
  <c r="AS245" i="5"/>
  <c r="AS231" i="5"/>
  <c r="AS219" i="5"/>
  <c r="AS205" i="5"/>
  <c r="AS203" i="5"/>
  <c r="AS189" i="5"/>
  <c r="AS149" i="5"/>
  <c r="AS133" i="5"/>
  <c r="AS121" i="5"/>
  <c r="AS107" i="5"/>
  <c r="AS105" i="5"/>
  <c r="AS77" i="5"/>
  <c r="AS65" i="5"/>
  <c r="AS63" i="5"/>
  <c r="AS51" i="5"/>
  <c r="AS318" i="5"/>
  <c r="BA35" i="5"/>
  <c r="BA36" i="5"/>
  <c r="BA37" i="5"/>
  <c r="BA38" i="5"/>
  <c r="BA39" i="5"/>
  <c r="BA40" i="5"/>
  <c r="BA41" i="5"/>
  <c r="BA42" i="5"/>
  <c r="BA43" i="5"/>
  <c r="BA44" i="5"/>
  <c r="BA45" i="5"/>
  <c r="BA46" i="5"/>
  <c r="BA47" i="5"/>
  <c r="BA48" i="5"/>
  <c r="BA50" i="5"/>
  <c r="BA51" i="5"/>
  <c r="BA52" i="5"/>
  <c r="BA53" i="5"/>
  <c r="BA54" i="5"/>
  <c r="BA55" i="5"/>
  <c r="BA56" i="5"/>
  <c r="BA57" i="5"/>
  <c r="BA58" i="5"/>
  <c r="BA59" i="5"/>
  <c r="BA60" i="5"/>
  <c r="BA61" i="5"/>
  <c r="BA62" i="5"/>
  <c r="BA63" i="5"/>
  <c r="BA64" i="5"/>
  <c r="BA65" i="5"/>
  <c r="BA66" i="5"/>
  <c r="BA67" i="5"/>
  <c r="BA68" i="5"/>
  <c r="BA69" i="5"/>
  <c r="BA70" i="5"/>
  <c r="BA71" i="5"/>
  <c r="BA72" i="5"/>
  <c r="BA73" i="5"/>
  <c r="BA74" i="5"/>
  <c r="BA75" i="5"/>
  <c r="BA76" i="5"/>
  <c r="BA77" i="5"/>
  <c r="BA78" i="5"/>
  <c r="BA79" i="5"/>
  <c r="BA80" i="5"/>
  <c r="BA81" i="5"/>
  <c r="BA82" i="5"/>
  <c r="BA83" i="5"/>
  <c r="BA84" i="5"/>
  <c r="BA85" i="5"/>
  <c r="BA86" i="5"/>
  <c r="BA87" i="5"/>
  <c r="BA88" i="5"/>
  <c r="BA89" i="5"/>
  <c r="BA90" i="5"/>
  <c r="BA91" i="5"/>
  <c r="BA92" i="5"/>
  <c r="BA93" i="5"/>
  <c r="BA94" i="5"/>
  <c r="BA95" i="5"/>
  <c r="BA96" i="5"/>
  <c r="BA97" i="5"/>
  <c r="BA98" i="5"/>
  <c r="BA99" i="5"/>
  <c r="BA100" i="5"/>
  <c r="BA101" i="5"/>
  <c r="BA102" i="5"/>
  <c r="BA103" i="5"/>
  <c r="BA104" i="5"/>
  <c r="BA105" i="5"/>
  <c r="BA106" i="5"/>
  <c r="BA107" i="5"/>
  <c r="BA108" i="5"/>
  <c r="BA109" i="5"/>
  <c r="BA110" i="5"/>
  <c r="BA111" i="5"/>
  <c r="BA112" i="5"/>
  <c r="BA113" i="5"/>
  <c r="BA114" i="5"/>
  <c r="BA115" i="5"/>
  <c r="BA116" i="5"/>
  <c r="BA117" i="5"/>
  <c r="BA118" i="5"/>
  <c r="BA119" i="5"/>
  <c r="BA120" i="5"/>
  <c r="BA121" i="5"/>
  <c r="BA122" i="5"/>
  <c r="BA123" i="5"/>
  <c r="BA124" i="5"/>
  <c r="BA125" i="5"/>
  <c r="BA126" i="5"/>
  <c r="BA127" i="5"/>
  <c r="BA128" i="5"/>
  <c r="BA129" i="5"/>
  <c r="BA130" i="5"/>
  <c r="BA131" i="5"/>
  <c r="BA132" i="5"/>
  <c r="BA133" i="5"/>
  <c r="BA134" i="5"/>
  <c r="BA135" i="5"/>
  <c r="BA136" i="5"/>
  <c r="BA137" i="5"/>
  <c r="BA138" i="5"/>
  <c r="BA139" i="5"/>
  <c r="BA140" i="5"/>
  <c r="BA141" i="5"/>
  <c r="BA142" i="5"/>
  <c r="BA143" i="5"/>
  <c r="BA144" i="5"/>
  <c r="BA145" i="5"/>
  <c r="BA146" i="5"/>
  <c r="BA147" i="5"/>
  <c r="BA148" i="5"/>
  <c r="BA149" i="5"/>
  <c r="BA150" i="5"/>
  <c r="BA151" i="5"/>
  <c r="BA152" i="5"/>
  <c r="BA153" i="5"/>
  <c r="BA154" i="5"/>
  <c r="BA155" i="5"/>
  <c r="BA156" i="5"/>
  <c r="BA157" i="5"/>
  <c r="BA158" i="5"/>
  <c r="BA159" i="5"/>
  <c r="BA160" i="5"/>
  <c r="BA161" i="5"/>
  <c r="BA162" i="5"/>
  <c r="BA163" i="5"/>
  <c r="BA164" i="5"/>
  <c r="BA165" i="5"/>
  <c r="BA166" i="5"/>
  <c r="BA167" i="5"/>
  <c r="BA168" i="5"/>
  <c r="BA169" i="5"/>
  <c r="BA170" i="5"/>
  <c r="BA171" i="5"/>
  <c r="BA172" i="5"/>
  <c r="BA173" i="5"/>
  <c r="BA174" i="5"/>
  <c r="BA175" i="5"/>
  <c r="BA176" i="5"/>
  <c r="BA177" i="5"/>
  <c r="BA178" i="5"/>
  <c r="BA179" i="5"/>
  <c r="BA180" i="5"/>
  <c r="BA181" i="5"/>
  <c r="BA182" i="5"/>
  <c r="BA183" i="5"/>
  <c r="BA184" i="5"/>
  <c r="BA185" i="5"/>
  <c r="BA186" i="5"/>
  <c r="BA187" i="5"/>
  <c r="BA188" i="5"/>
  <c r="BA189" i="5"/>
  <c r="BA190" i="5"/>
  <c r="BA191" i="5"/>
  <c r="BA192" i="5"/>
  <c r="BA193" i="5"/>
  <c r="BA194" i="5"/>
  <c r="BA195" i="5"/>
  <c r="BA196" i="5"/>
  <c r="BA197" i="5"/>
  <c r="BA198" i="5"/>
  <c r="BA199" i="5"/>
  <c r="BA200" i="5"/>
  <c r="BA201" i="5"/>
  <c r="BA202" i="5"/>
  <c r="BA203" i="5"/>
  <c r="BA204" i="5"/>
  <c r="BA205" i="5"/>
  <c r="BA206" i="5"/>
  <c r="BA207" i="5"/>
  <c r="BA208" i="5"/>
  <c r="BA209" i="5"/>
  <c r="BA210" i="5"/>
  <c r="BA211" i="5"/>
  <c r="BA212" i="5"/>
  <c r="BA213" i="5"/>
  <c r="BA214" i="5"/>
  <c r="BA215" i="5"/>
  <c r="BA216" i="5"/>
  <c r="BA217" i="5"/>
  <c r="BA218" i="5"/>
  <c r="BA219" i="5"/>
  <c r="BA220" i="5"/>
  <c r="BA221" i="5"/>
  <c r="BA222" i="5"/>
  <c r="BA223" i="5"/>
  <c r="BA224" i="5"/>
  <c r="BA225" i="5"/>
  <c r="BA226" i="5"/>
  <c r="BA227" i="5"/>
  <c r="BA228" i="5"/>
  <c r="BA229" i="5"/>
  <c r="BA230" i="5"/>
  <c r="BA231" i="5"/>
  <c r="BA232" i="5"/>
  <c r="BA233" i="5"/>
  <c r="BA234" i="5"/>
  <c r="BA235" i="5"/>
  <c r="BA236" i="5"/>
  <c r="BA237" i="5"/>
  <c r="BA238" i="5"/>
  <c r="BA239" i="5"/>
  <c r="BA240" i="5"/>
  <c r="BA241" i="5"/>
  <c r="BA242" i="5"/>
  <c r="BA243" i="5"/>
  <c r="BA244" i="5"/>
  <c r="BA245" i="5"/>
  <c r="BA246" i="5"/>
  <c r="BA247" i="5"/>
  <c r="BA248" i="5"/>
  <c r="BA249" i="5"/>
  <c r="BA250" i="5"/>
  <c r="BA251" i="5"/>
  <c r="BA252" i="5"/>
  <c r="BA253" i="5"/>
  <c r="BA254" i="5"/>
  <c r="BA255" i="5"/>
  <c r="BA256" i="5"/>
  <c r="BA257" i="5"/>
  <c r="BA258" i="5"/>
  <c r="BA259" i="5"/>
  <c r="BA260" i="5"/>
  <c r="BA261" i="5"/>
  <c r="BA262" i="5"/>
  <c r="BA263" i="5"/>
  <c r="BA264" i="5"/>
  <c r="BA265" i="5"/>
  <c r="BA266" i="5"/>
  <c r="BA267" i="5"/>
  <c r="BA268" i="5"/>
  <c r="BA269" i="5"/>
  <c r="BA270" i="5"/>
  <c r="BA271" i="5"/>
  <c r="BA272" i="5"/>
  <c r="BA273" i="5"/>
  <c r="BA274" i="5"/>
  <c r="BA275" i="5"/>
  <c r="BA276" i="5"/>
  <c r="BA277" i="5"/>
  <c r="BA278" i="5"/>
  <c r="BA279" i="5"/>
  <c r="BA280" i="5"/>
  <c r="BA281" i="5"/>
  <c r="BA282" i="5"/>
  <c r="BA283" i="5"/>
  <c r="BA284" i="5"/>
  <c r="BA285" i="5"/>
  <c r="BA286" i="5"/>
  <c r="BA287" i="5"/>
  <c r="BA288" i="5"/>
  <c r="BA289" i="5"/>
  <c r="BA290" i="5"/>
  <c r="BA291" i="5"/>
  <c r="BA292" i="5"/>
  <c r="BA293" i="5"/>
  <c r="BA294" i="5"/>
  <c r="BA295" i="5"/>
  <c r="BA296" i="5"/>
  <c r="BA297" i="5"/>
  <c r="BA298" i="5"/>
  <c r="BA299" i="5"/>
  <c r="BA300" i="5"/>
  <c r="BA301" i="5"/>
  <c r="BA302" i="5"/>
  <c r="BA303" i="5"/>
  <c r="BA304" i="5"/>
  <c r="BA305" i="5"/>
  <c r="BA306" i="5"/>
  <c r="BA307" i="5"/>
  <c r="BA308" i="5"/>
  <c r="BA309" i="5"/>
  <c r="BA310" i="5"/>
  <c r="BA311" i="5"/>
  <c r="BA312" i="5"/>
  <c r="BA313" i="5"/>
  <c r="BA314" i="5"/>
  <c r="BA315" i="5"/>
  <c r="BA316" i="5"/>
  <c r="BA317" i="5"/>
  <c r="BA318" i="5"/>
  <c r="BA319" i="5"/>
  <c r="BA320" i="5"/>
  <c r="BA321" i="5"/>
  <c r="BA322" i="5"/>
  <c r="BA323" i="5"/>
  <c r="BA324" i="5"/>
  <c r="BA325" i="5"/>
  <c r="BA326" i="5"/>
  <c r="BA327" i="5"/>
  <c r="BA328" i="5"/>
  <c r="BA329" i="5"/>
  <c r="BA330" i="5"/>
  <c r="BA331" i="5"/>
  <c r="BA332" i="5"/>
  <c r="BA333" i="5"/>
  <c r="BA334" i="5"/>
  <c r="BA335" i="5"/>
  <c r="BA336" i="5"/>
  <c r="BA337" i="5"/>
  <c r="BA338" i="5"/>
  <c r="BA339" i="5"/>
  <c r="BA340" i="5"/>
  <c r="BA341" i="5"/>
  <c r="BA342" i="5"/>
  <c r="BA343" i="5"/>
  <c r="BA344" i="5"/>
  <c r="BA345" i="5"/>
  <c r="BA346" i="5"/>
  <c r="BA347" i="5"/>
  <c r="BA348" i="5"/>
  <c r="BA349" i="5"/>
  <c r="BA350" i="5"/>
  <c r="BA351" i="5"/>
  <c r="BA352" i="5"/>
  <c r="BA353" i="5"/>
  <c r="BA354" i="5"/>
  <c r="BA355" i="5"/>
  <c r="BA356" i="5"/>
  <c r="BA357" i="5"/>
  <c r="BA358" i="5"/>
  <c r="BA359" i="5"/>
  <c r="BA360" i="5"/>
  <c r="BA361" i="5"/>
  <c r="BA362" i="5"/>
  <c r="BA363" i="5"/>
  <c r="BA364" i="5"/>
  <c r="BA365" i="5"/>
  <c r="BA366" i="5"/>
  <c r="BA367" i="5"/>
  <c r="BA368" i="5"/>
  <c r="BA369" i="5"/>
  <c r="BA370" i="5"/>
  <c r="BA371" i="5"/>
  <c r="BA372" i="5"/>
  <c r="BA373" i="5"/>
  <c r="BA374" i="5"/>
  <c r="BA375" i="5"/>
  <c r="BA376" i="5"/>
  <c r="BA377" i="5"/>
  <c r="BA378" i="5"/>
  <c r="BA379" i="5"/>
  <c r="BA380" i="5"/>
  <c r="BA381" i="5"/>
  <c r="BA382" i="5"/>
  <c r="BA383" i="5"/>
  <c r="BA384" i="5"/>
  <c r="BA385" i="5"/>
  <c r="BA386" i="5"/>
  <c r="BA387" i="5"/>
  <c r="BA388" i="5"/>
  <c r="BA389" i="5"/>
  <c r="BA390" i="5"/>
  <c r="BA391" i="5"/>
  <c r="BA392" i="5"/>
  <c r="BA393" i="5"/>
  <c r="BA394" i="5"/>
  <c r="BA395" i="5"/>
  <c r="BA396" i="5"/>
  <c r="BA397" i="5"/>
  <c r="BA398" i="5"/>
  <c r="BA399" i="5"/>
  <c r="BA400" i="5"/>
  <c r="BA401" i="5"/>
  <c r="BA402" i="5"/>
  <c r="BA403" i="5"/>
  <c r="BA404" i="5"/>
  <c r="BA405" i="5"/>
  <c r="BA406" i="5"/>
  <c r="BA407" i="5"/>
  <c r="BA408" i="5"/>
  <c r="BA409" i="5"/>
  <c r="BA410" i="5"/>
  <c r="BA411" i="5"/>
  <c r="BA412" i="5"/>
  <c r="BA413" i="5"/>
  <c r="BA414" i="5"/>
  <c r="BA415" i="5"/>
  <c r="BA416" i="5"/>
  <c r="BA417" i="5"/>
  <c r="BA418" i="5"/>
  <c r="BA419" i="5"/>
  <c r="BA420" i="5"/>
  <c r="M44" i="10"/>
  <c r="AT419" i="5"/>
  <c r="AT420" i="5"/>
  <c r="AT405" i="5"/>
  <c r="AT406" i="5"/>
  <c r="AT391" i="5"/>
  <c r="AT392" i="5"/>
  <c r="AT377" i="5"/>
  <c r="AT378" i="5"/>
  <c r="AT363" i="5"/>
  <c r="AT364" i="5"/>
  <c r="AT349" i="5"/>
  <c r="AT350" i="5"/>
  <c r="AT335" i="5"/>
  <c r="AT336" i="5"/>
  <c r="AT321" i="5"/>
  <c r="AT322" i="5"/>
  <c r="AT307" i="5"/>
  <c r="AT308" i="5"/>
  <c r="AT293" i="5"/>
  <c r="AT294" i="5"/>
  <c r="AT279" i="5"/>
  <c r="AT280" i="5"/>
  <c r="AT265" i="5"/>
  <c r="AT266" i="5"/>
  <c r="AT251" i="5"/>
  <c r="AT252" i="5"/>
  <c r="AT237" i="5"/>
  <c r="AT238" i="5"/>
  <c r="AT223" i="5"/>
  <c r="AT224" i="5"/>
  <c r="AT209" i="5"/>
  <c r="AT210" i="5"/>
  <c r="AT195" i="5"/>
  <c r="AT196" i="5"/>
  <c r="AT181" i="5"/>
  <c r="AT182" i="5"/>
  <c r="AT167" i="5"/>
  <c r="AT168" i="5"/>
  <c r="AT153" i="5"/>
  <c r="AT154" i="5"/>
  <c r="AT139" i="5"/>
  <c r="AT140" i="5"/>
  <c r="AT125" i="5"/>
  <c r="AT126" i="5"/>
  <c r="AT111" i="5"/>
  <c r="AT112" i="5"/>
  <c r="AT97" i="5"/>
  <c r="AT98" i="5"/>
  <c r="AT83" i="5"/>
  <c r="AT84" i="5"/>
  <c r="AT69" i="5"/>
  <c r="AT70" i="5"/>
  <c r="AT55" i="5"/>
  <c r="AT56" i="5"/>
  <c r="AT42" i="5"/>
  <c r="AS417" i="5" l="1"/>
  <c r="AS207" i="5"/>
  <c r="AS179" i="5"/>
  <c r="AS53" i="5"/>
  <c r="AS54" i="5"/>
  <c r="AS362" i="5"/>
  <c r="AT362" i="5"/>
  <c r="AS236" i="5"/>
  <c r="AS373" i="5"/>
  <c r="AS359" i="5"/>
  <c r="AS357" i="5"/>
  <c r="AS233" i="5"/>
  <c r="AS191" i="5"/>
  <c r="AS177" i="5"/>
  <c r="AS119" i="5"/>
  <c r="AS35" i="5"/>
  <c r="AW159" i="5"/>
  <c r="AT161" i="5"/>
  <c r="AT159" i="5"/>
  <c r="AS341" i="5"/>
  <c r="AS161" i="5"/>
  <c r="AS159" i="5"/>
  <c r="AT341" i="5"/>
  <c r="AS243" i="5"/>
  <c r="AS89" i="5"/>
  <c r="AT89" i="5"/>
  <c r="AS383" i="5"/>
  <c r="AS327" i="5"/>
  <c r="AS313" i="5"/>
  <c r="AS285" i="5"/>
  <c r="AS271" i="5"/>
  <c r="AS215" i="5"/>
  <c r="AS201" i="5"/>
  <c r="AS187" i="5"/>
  <c r="AS165" i="5"/>
  <c r="AS145" i="5"/>
  <c r="AS131" i="5"/>
  <c r="AS117" i="5"/>
  <c r="AS103" i="5"/>
  <c r="AS75" i="5"/>
  <c r="AS33" i="5"/>
  <c r="AS299" i="5"/>
  <c r="AS369" i="5"/>
  <c r="AT415" i="5"/>
  <c r="AT413" i="5"/>
  <c r="AT401" i="5"/>
  <c r="AT399" i="5"/>
  <c r="AT387" i="5"/>
  <c r="AT385" i="5"/>
  <c r="AT373" i="5"/>
  <c r="AT371" i="5"/>
  <c r="AT359" i="5"/>
  <c r="AT357" i="5"/>
  <c r="AT345" i="5"/>
  <c r="AS345" i="5"/>
  <c r="AT343" i="5"/>
  <c r="AT331" i="5"/>
  <c r="AT329" i="5"/>
  <c r="AT317" i="5"/>
  <c r="AT315" i="5"/>
  <c r="AT303" i="5"/>
  <c r="AT301" i="5"/>
  <c r="AT289" i="5"/>
  <c r="AT287" i="5"/>
  <c r="AT275" i="5"/>
  <c r="AS275" i="5"/>
  <c r="AT273" i="5"/>
  <c r="AT261" i="5"/>
  <c r="AS261" i="5"/>
  <c r="AT259" i="5"/>
  <c r="AT247" i="5"/>
  <c r="AT245" i="5"/>
  <c r="AT233" i="5"/>
  <c r="AT231" i="5"/>
  <c r="AT219" i="5"/>
  <c r="AT217" i="5"/>
  <c r="AS217" i="5"/>
  <c r="AT205" i="5"/>
  <c r="AT203" i="5"/>
  <c r="AT191" i="5"/>
  <c r="AT189" i="5"/>
  <c r="AT177" i="5"/>
  <c r="AT175" i="5"/>
  <c r="AT163" i="5"/>
  <c r="AS163" i="5"/>
  <c r="AT149" i="5"/>
  <c r="AT147" i="5"/>
  <c r="AS147" i="5"/>
  <c r="AT135" i="5"/>
  <c r="AS135" i="5"/>
  <c r="AT133" i="5"/>
  <c r="AT121" i="5"/>
  <c r="AT107" i="5"/>
  <c r="AT105" i="5"/>
  <c r="AT93" i="5"/>
  <c r="AS93" i="5"/>
  <c r="AT91" i="5"/>
  <c r="AS91" i="5"/>
  <c r="AT79" i="5"/>
  <c r="AS79" i="5"/>
  <c r="AT77" i="5"/>
  <c r="AT65" i="5"/>
  <c r="AT63" i="5"/>
  <c r="AT51" i="5"/>
  <c r="AT35" i="5"/>
  <c r="F4" i="5"/>
  <c r="AS356" i="5"/>
  <c r="AS355" i="5"/>
  <c r="AS312" i="5"/>
  <c r="AS311" i="5"/>
  <c r="AS229" i="5"/>
  <c r="AS230" i="5"/>
  <c r="AS200" i="5"/>
  <c r="AS199" i="5"/>
  <c r="AS59" i="5"/>
  <c r="AW59" i="5"/>
  <c r="AS160" i="5"/>
  <c r="AS158" i="5"/>
  <c r="AS157" i="5"/>
  <c r="AS87" i="5"/>
  <c r="AS61" i="5"/>
  <c r="Q3" i="3" l="1"/>
  <c r="R3" i="3" s="1"/>
  <c r="Q4" i="3"/>
  <c r="R4" i="3" s="1"/>
  <c r="Q5" i="3"/>
  <c r="R5" i="3" s="1"/>
  <c r="Q6" i="3"/>
  <c r="R6" i="3" s="1"/>
  <c r="Q7" i="3"/>
  <c r="R7" i="3" s="1"/>
  <c r="Q8" i="3"/>
  <c r="R8" i="3" s="1"/>
  <c r="Q9" i="3"/>
  <c r="R9" i="3" s="1"/>
  <c r="Q10" i="3"/>
  <c r="R10" i="3" s="1"/>
  <c r="Q11" i="3"/>
  <c r="R11" i="3" s="1"/>
  <c r="Q12" i="3"/>
  <c r="R12" i="3" s="1"/>
  <c r="Q13" i="3"/>
  <c r="R13" i="3" s="1"/>
  <c r="Q14" i="3"/>
  <c r="R14" i="3" s="1"/>
  <c r="Q15" i="3"/>
  <c r="R15" i="3" s="1"/>
  <c r="Q16" i="3"/>
  <c r="R16" i="3" s="1"/>
  <c r="Q17" i="3"/>
  <c r="R17" i="3" s="1"/>
  <c r="Q18" i="3"/>
  <c r="R18" i="3" s="1"/>
  <c r="Q19" i="3"/>
  <c r="R19" i="3" s="1"/>
  <c r="Q20" i="3"/>
  <c r="R20" i="3" s="1"/>
  <c r="Q21" i="3"/>
  <c r="R21" i="3" s="1"/>
  <c r="Q22" i="3"/>
  <c r="R22" i="3" s="1"/>
  <c r="Q23" i="3"/>
  <c r="R23" i="3" s="1"/>
  <c r="Q24" i="3"/>
  <c r="R24" i="3" s="1"/>
  <c r="Q25" i="3"/>
  <c r="R25" i="3" s="1"/>
  <c r="Q26" i="3"/>
  <c r="R26" i="3" s="1"/>
  <c r="Q27" i="3"/>
  <c r="R27" i="3" s="1"/>
  <c r="Q28" i="3"/>
  <c r="R28" i="3" s="1"/>
  <c r="Q29" i="3"/>
  <c r="R29" i="3" s="1"/>
  <c r="Q30" i="3"/>
  <c r="R30" i="3" s="1"/>
  <c r="Q31" i="3"/>
  <c r="R31" i="3" s="1"/>
  <c r="Q32" i="3"/>
  <c r="R32" i="3" s="1"/>
  <c r="Q33" i="3"/>
  <c r="R33" i="3" s="1"/>
  <c r="Q34" i="3"/>
  <c r="R34" i="3" s="1"/>
  <c r="Q35" i="3"/>
  <c r="R35" i="3" s="1"/>
  <c r="Q36" i="3"/>
  <c r="R36" i="3" s="1"/>
  <c r="Q37" i="3"/>
  <c r="R37" i="3" s="1"/>
  <c r="Q38" i="3"/>
  <c r="R38" i="3" s="1"/>
  <c r="Q39" i="3"/>
  <c r="R39" i="3" s="1"/>
  <c r="Q40" i="3"/>
  <c r="R40" i="3" s="1"/>
  <c r="Q41" i="3"/>
  <c r="R41" i="3" s="1"/>
  <c r="Q42" i="3"/>
  <c r="R42" i="3" s="1"/>
  <c r="Q43" i="3"/>
  <c r="R43" i="3" s="1"/>
  <c r="Q44" i="3"/>
  <c r="R44" i="3" s="1"/>
  <c r="Q45" i="3"/>
  <c r="R45" i="3" s="1"/>
  <c r="Q46" i="3"/>
  <c r="R46" i="3" s="1"/>
  <c r="Q47" i="3"/>
  <c r="R47" i="3" s="1"/>
  <c r="Q48" i="3"/>
  <c r="R48" i="3" s="1"/>
  <c r="Q49" i="3"/>
  <c r="R49" i="3" s="1"/>
  <c r="Q50" i="3"/>
  <c r="R50" i="3" s="1"/>
  <c r="Q51" i="3"/>
  <c r="R51" i="3" s="1"/>
  <c r="Q52" i="3"/>
  <c r="R52" i="3" s="1"/>
  <c r="Q53" i="3"/>
  <c r="R53" i="3" s="1"/>
  <c r="Q54" i="3"/>
  <c r="R54" i="3" s="1"/>
  <c r="Q55" i="3"/>
  <c r="R55" i="3" s="1"/>
  <c r="Q56" i="3"/>
  <c r="R56" i="3" s="1"/>
  <c r="Q57" i="3"/>
  <c r="R57" i="3" s="1"/>
  <c r="Q58" i="3"/>
  <c r="R58" i="3" s="1"/>
  <c r="Q59" i="3"/>
  <c r="R59" i="3" s="1"/>
  <c r="Q60" i="3"/>
  <c r="R60" i="3" s="1"/>
  <c r="Q61" i="3"/>
  <c r="R61" i="3" s="1"/>
  <c r="Q62" i="3"/>
  <c r="R62" i="3" s="1"/>
  <c r="Q63" i="3"/>
  <c r="R63" i="3" s="1"/>
  <c r="Q64" i="3"/>
  <c r="R64" i="3" s="1"/>
  <c r="Q65" i="3"/>
  <c r="R65" i="3" s="1"/>
  <c r="Q66" i="3"/>
  <c r="R66" i="3" s="1"/>
  <c r="Q67" i="3"/>
  <c r="R67" i="3" s="1"/>
  <c r="Q68" i="3"/>
  <c r="R68" i="3" s="1"/>
  <c r="Q69" i="3"/>
  <c r="R69" i="3" s="1"/>
  <c r="Q70" i="3"/>
  <c r="R70" i="3" s="1"/>
  <c r="Q71" i="3"/>
  <c r="R71" i="3" s="1"/>
  <c r="Q72" i="3"/>
  <c r="R72" i="3" s="1"/>
  <c r="Q73" i="3"/>
  <c r="R73" i="3" s="1"/>
  <c r="Q74" i="3"/>
  <c r="R74" i="3" s="1"/>
  <c r="Q75" i="3"/>
  <c r="R75" i="3" s="1"/>
  <c r="Q76" i="3"/>
  <c r="R76" i="3" s="1"/>
  <c r="Q77" i="3"/>
  <c r="R77" i="3" s="1"/>
  <c r="Q78" i="3"/>
  <c r="R78" i="3" s="1"/>
  <c r="Q79" i="3"/>
  <c r="R79" i="3" s="1"/>
  <c r="Q80" i="3"/>
  <c r="R80" i="3" s="1"/>
  <c r="Q81" i="3"/>
  <c r="R81" i="3" s="1"/>
  <c r="Q82" i="3"/>
  <c r="R82" i="3" s="1"/>
  <c r="Q83" i="3"/>
  <c r="R83" i="3" s="1"/>
  <c r="Q84" i="3"/>
  <c r="R84" i="3" s="1"/>
  <c r="Q85" i="3"/>
  <c r="R85" i="3" s="1"/>
  <c r="Q86" i="3"/>
  <c r="R86" i="3" s="1"/>
  <c r="Q87" i="3"/>
  <c r="R87" i="3" s="1"/>
  <c r="Q88" i="3"/>
  <c r="R88" i="3" s="1"/>
  <c r="Q89" i="3"/>
  <c r="R89" i="3" s="1"/>
  <c r="Q90" i="3"/>
  <c r="R90" i="3" s="1"/>
  <c r="Q91" i="3"/>
  <c r="R91" i="3" s="1"/>
  <c r="Q92" i="3"/>
  <c r="R92" i="3" s="1"/>
  <c r="Q93" i="3"/>
  <c r="R93" i="3" s="1"/>
  <c r="Q94" i="3"/>
  <c r="R94" i="3" s="1"/>
  <c r="Q95" i="3"/>
  <c r="R95" i="3" s="1"/>
  <c r="Q96" i="3"/>
  <c r="R96" i="3" s="1"/>
  <c r="Q97" i="3"/>
  <c r="R97" i="3" s="1"/>
  <c r="Q98" i="3"/>
  <c r="R98" i="3" s="1"/>
  <c r="Q99" i="3"/>
  <c r="R99" i="3" s="1"/>
  <c r="Q100" i="3"/>
  <c r="R100" i="3" s="1"/>
  <c r="Q101" i="3"/>
  <c r="R101" i="3" s="1"/>
  <c r="Q102" i="3"/>
  <c r="R102" i="3" s="1"/>
  <c r="Q103" i="3"/>
  <c r="R103" i="3" s="1"/>
  <c r="Q104" i="3"/>
  <c r="R104" i="3" s="1"/>
  <c r="Q105" i="3"/>
  <c r="R105" i="3" s="1"/>
  <c r="Q106" i="3"/>
  <c r="R106" i="3" s="1"/>
  <c r="Q107" i="3"/>
  <c r="R107" i="3" s="1"/>
  <c r="Q108" i="3"/>
  <c r="R108" i="3" s="1"/>
  <c r="Q109" i="3"/>
  <c r="R109" i="3" s="1"/>
  <c r="Q110" i="3"/>
  <c r="R110" i="3" s="1"/>
  <c r="Q111" i="3"/>
  <c r="R111" i="3" s="1"/>
  <c r="Q112" i="3"/>
  <c r="R112" i="3" s="1"/>
  <c r="Q113" i="3"/>
  <c r="R113" i="3" s="1"/>
  <c r="Q114" i="3"/>
  <c r="R114" i="3" s="1"/>
  <c r="Q115" i="3"/>
  <c r="R115" i="3" s="1"/>
  <c r="Q116" i="3"/>
  <c r="R116" i="3" s="1"/>
  <c r="Q117" i="3"/>
  <c r="R117" i="3" s="1"/>
  <c r="Q118" i="3"/>
  <c r="R118" i="3" s="1"/>
  <c r="Q119" i="3"/>
  <c r="R119" i="3" s="1"/>
  <c r="Q120" i="3"/>
  <c r="R120" i="3" s="1"/>
  <c r="Q121" i="3"/>
  <c r="R121" i="3" s="1"/>
  <c r="Q122" i="3"/>
  <c r="R122" i="3" s="1"/>
  <c r="Q123" i="3"/>
  <c r="R123" i="3" s="1"/>
  <c r="Q124" i="3"/>
  <c r="R124" i="3" s="1"/>
  <c r="Q125" i="3"/>
  <c r="R125" i="3" s="1"/>
  <c r="Q126" i="3"/>
  <c r="R126" i="3" s="1"/>
  <c r="Q127" i="3"/>
  <c r="R127" i="3" s="1"/>
  <c r="Q128" i="3"/>
  <c r="R128" i="3" s="1"/>
  <c r="Q129" i="3"/>
  <c r="R129" i="3" s="1"/>
  <c r="Q130" i="3"/>
  <c r="R130" i="3" s="1"/>
  <c r="Q131" i="3"/>
  <c r="R131" i="3" s="1"/>
  <c r="Q132" i="3"/>
  <c r="R132" i="3" s="1"/>
  <c r="Q133" i="3"/>
  <c r="R133" i="3" s="1"/>
  <c r="Q134" i="3"/>
  <c r="R134" i="3" s="1"/>
  <c r="Q135" i="3"/>
  <c r="R135" i="3" s="1"/>
  <c r="Q136" i="3"/>
  <c r="R136" i="3" s="1"/>
  <c r="Q137" i="3"/>
  <c r="R137" i="3" s="1"/>
  <c r="Q138" i="3"/>
  <c r="R138" i="3" s="1"/>
  <c r="Q139" i="3"/>
  <c r="R139" i="3" s="1"/>
  <c r="Q140" i="3"/>
  <c r="R140" i="3" s="1"/>
  <c r="Q141" i="3"/>
  <c r="R141" i="3" s="1"/>
  <c r="Q142" i="3"/>
  <c r="R142" i="3" s="1"/>
  <c r="Q143" i="3"/>
  <c r="R143" i="3" s="1"/>
  <c r="Q144" i="3"/>
  <c r="R144" i="3" s="1"/>
  <c r="Q145" i="3"/>
  <c r="R145" i="3" s="1"/>
  <c r="Q146" i="3"/>
  <c r="R146" i="3" s="1"/>
  <c r="Q147" i="3"/>
  <c r="R147" i="3" s="1"/>
  <c r="Q148" i="3"/>
  <c r="R148" i="3" s="1"/>
  <c r="Q149" i="3"/>
  <c r="R149" i="3" s="1"/>
  <c r="Q150" i="3"/>
  <c r="R150" i="3" s="1"/>
  <c r="Q151" i="3"/>
  <c r="R151" i="3" s="1"/>
  <c r="Q152" i="3"/>
  <c r="R152" i="3" s="1"/>
  <c r="Q153" i="3"/>
  <c r="R153" i="3" s="1"/>
  <c r="Q154" i="3"/>
  <c r="R154" i="3" s="1"/>
  <c r="Q155" i="3"/>
  <c r="R155" i="3" s="1"/>
  <c r="Q156" i="3"/>
  <c r="R156" i="3" s="1"/>
  <c r="Q157" i="3"/>
  <c r="R157" i="3" s="1"/>
  <c r="Q158" i="3"/>
  <c r="R158" i="3" s="1"/>
  <c r="Q159" i="3"/>
  <c r="R159" i="3" s="1"/>
  <c r="Q160" i="3"/>
  <c r="R160" i="3" s="1"/>
  <c r="Q161" i="3"/>
  <c r="R161" i="3" s="1"/>
  <c r="Q162" i="3"/>
  <c r="R162" i="3" s="1"/>
  <c r="Q163" i="3"/>
  <c r="R163" i="3" s="1"/>
  <c r="Q164" i="3"/>
  <c r="R164" i="3" s="1"/>
  <c r="Q165" i="3"/>
  <c r="R165" i="3" s="1"/>
  <c r="Q166" i="3"/>
  <c r="R166" i="3" s="1"/>
  <c r="Q167" i="3"/>
  <c r="R167" i="3" s="1"/>
  <c r="Q168" i="3"/>
  <c r="R168" i="3" s="1"/>
  <c r="Q169" i="3"/>
  <c r="R169" i="3" s="1"/>
  <c r="Q170" i="3"/>
  <c r="R170" i="3" s="1"/>
  <c r="Q171" i="3"/>
  <c r="R171" i="3" s="1"/>
  <c r="Q172" i="3"/>
  <c r="R172" i="3" s="1"/>
  <c r="Q173" i="3"/>
  <c r="R173" i="3" s="1"/>
  <c r="Q174" i="3"/>
  <c r="R174" i="3" s="1"/>
  <c r="Q175" i="3"/>
  <c r="R175" i="3" s="1"/>
  <c r="Q176" i="3"/>
  <c r="R176" i="3" s="1"/>
  <c r="Q177" i="3"/>
  <c r="R177" i="3" s="1"/>
  <c r="Q178" i="3"/>
  <c r="R178" i="3" s="1"/>
  <c r="Q179" i="3"/>
  <c r="R179" i="3" s="1"/>
  <c r="Q180" i="3"/>
  <c r="R180" i="3" s="1"/>
  <c r="Q181" i="3"/>
  <c r="R181" i="3" s="1"/>
  <c r="Q182" i="3"/>
  <c r="R182" i="3" s="1"/>
  <c r="Q183" i="3"/>
  <c r="R183" i="3" s="1"/>
  <c r="Q184" i="3"/>
  <c r="R184" i="3" s="1"/>
  <c r="Q185" i="3"/>
  <c r="R185" i="3" s="1"/>
  <c r="Q186" i="3"/>
  <c r="R186" i="3" s="1"/>
  <c r="Q187" i="3"/>
  <c r="R187" i="3" s="1"/>
  <c r="Q188" i="3"/>
  <c r="R188" i="3" s="1"/>
  <c r="Q189" i="3"/>
  <c r="R189" i="3" s="1"/>
  <c r="Q190" i="3"/>
  <c r="R190" i="3" s="1"/>
  <c r="Q191" i="3"/>
  <c r="R191" i="3" s="1"/>
  <c r="Q192" i="3"/>
  <c r="R192" i="3" s="1"/>
  <c r="Q193" i="3"/>
  <c r="R193" i="3" s="1"/>
  <c r="Q194" i="3"/>
  <c r="R194" i="3" s="1"/>
  <c r="Q195" i="3"/>
  <c r="R195" i="3" s="1"/>
  <c r="Q196" i="3"/>
  <c r="R196" i="3" s="1"/>
  <c r="Q197" i="3"/>
  <c r="R197" i="3" s="1"/>
  <c r="Q198" i="3"/>
  <c r="R198" i="3" s="1"/>
  <c r="Q199" i="3"/>
  <c r="R199" i="3" s="1"/>
  <c r="Q200" i="3"/>
  <c r="R200" i="3" s="1"/>
  <c r="Q201" i="3"/>
  <c r="R201" i="3" s="1"/>
  <c r="Q202" i="3"/>
  <c r="R202" i="3" s="1"/>
  <c r="Q203" i="3"/>
  <c r="R203" i="3" s="1"/>
  <c r="Q204" i="3"/>
  <c r="R204" i="3" s="1"/>
  <c r="Q205" i="3"/>
  <c r="R205" i="3" s="1"/>
  <c r="Q206" i="3"/>
  <c r="R206" i="3" s="1"/>
  <c r="Q207" i="3"/>
  <c r="R207" i="3" s="1"/>
  <c r="Q208" i="3"/>
  <c r="R208" i="3" s="1"/>
  <c r="Q209" i="3"/>
  <c r="R209" i="3" s="1"/>
  <c r="Q210" i="3"/>
  <c r="R210" i="3" s="1"/>
  <c r="Q211" i="3"/>
  <c r="R211" i="3" s="1"/>
  <c r="Q212" i="3"/>
  <c r="R212" i="3" s="1"/>
  <c r="Q213" i="3"/>
  <c r="R213" i="3" s="1"/>
  <c r="Q214" i="3"/>
  <c r="R214" i="3" s="1"/>
  <c r="Q215" i="3"/>
  <c r="R215" i="3" s="1"/>
  <c r="Q216" i="3"/>
  <c r="R216" i="3" s="1"/>
  <c r="Q217" i="3"/>
  <c r="R217" i="3" s="1"/>
  <c r="Q218" i="3"/>
  <c r="R218" i="3" s="1"/>
  <c r="Q219" i="3"/>
  <c r="R219" i="3" s="1"/>
  <c r="Q220" i="3"/>
  <c r="R220" i="3" s="1"/>
  <c r="Q221" i="3"/>
  <c r="R221" i="3" s="1"/>
  <c r="Q222" i="3"/>
  <c r="R222" i="3" s="1"/>
  <c r="Q223" i="3"/>
  <c r="R223" i="3" s="1"/>
  <c r="Q224" i="3"/>
  <c r="R224" i="3" s="1"/>
  <c r="Q225" i="3"/>
  <c r="R225" i="3" s="1"/>
  <c r="Q226" i="3"/>
  <c r="R226" i="3" s="1"/>
  <c r="Q227" i="3"/>
  <c r="R227" i="3" s="1"/>
  <c r="Q228" i="3"/>
  <c r="R228" i="3" s="1"/>
  <c r="Q229" i="3"/>
  <c r="R229" i="3" s="1"/>
  <c r="Q230" i="3"/>
  <c r="R230" i="3" s="1"/>
  <c r="Q231" i="3"/>
  <c r="R231" i="3" s="1"/>
  <c r="Q232" i="3"/>
  <c r="R232" i="3" s="1"/>
  <c r="Q233" i="3"/>
  <c r="R233" i="3" s="1"/>
  <c r="Q234" i="3"/>
  <c r="R234" i="3" s="1"/>
  <c r="Q235" i="3"/>
  <c r="R235" i="3" s="1"/>
  <c r="Q236" i="3"/>
  <c r="R236" i="3" s="1"/>
  <c r="Q237" i="3"/>
  <c r="R237" i="3" s="1"/>
  <c r="Q238" i="3"/>
  <c r="R238" i="3" s="1"/>
  <c r="Q239" i="3"/>
  <c r="R239" i="3" s="1"/>
  <c r="Q240" i="3"/>
  <c r="R240" i="3" s="1"/>
  <c r="Q241" i="3"/>
  <c r="R241" i="3" s="1"/>
  <c r="Q242" i="3"/>
  <c r="R242" i="3" s="1"/>
  <c r="Q243" i="3"/>
  <c r="R243" i="3" s="1"/>
  <c r="Q244" i="3"/>
  <c r="R244" i="3" s="1"/>
  <c r="Q245" i="3"/>
  <c r="R245" i="3" s="1"/>
  <c r="Q246" i="3"/>
  <c r="R246" i="3" s="1"/>
  <c r="Q247" i="3"/>
  <c r="R247" i="3" s="1"/>
  <c r="Q248" i="3"/>
  <c r="R248" i="3" s="1"/>
  <c r="Q249" i="3"/>
  <c r="R249" i="3" s="1"/>
  <c r="Q250" i="3"/>
  <c r="R250" i="3" s="1"/>
  <c r="Q251" i="3"/>
  <c r="R251" i="3" s="1"/>
  <c r="Q252" i="3"/>
  <c r="R252" i="3" s="1"/>
  <c r="Q253" i="3"/>
  <c r="R253" i="3" s="1"/>
  <c r="Q254" i="3"/>
  <c r="R254" i="3" s="1"/>
  <c r="Q255" i="3"/>
  <c r="R255" i="3" s="1"/>
  <c r="Q256" i="3"/>
  <c r="R256" i="3" s="1"/>
  <c r="Q257" i="3"/>
  <c r="R257" i="3" s="1"/>
  <c r="Q258" i="3"/>
  <c r="R258" i="3" s="1"/>
  <c r="Q259" i="3"/>
  <c r="R259" i="3" s="1"/>
  <c r="Q260" i="3"/>
  <c r="R260" i="3" s="1"/>
  <c r="Q261" i="3"/>
  <c r="R261" i="3" s="1"/>
  <c r="Q262" i="3"/>
  <c r="R262" i="3" s="1"/>
  <c r="Q263" i="3"/>
  <c r="R263" i="3" s="1"/>
  <c r="Q264" i="3"/>
  <c r="R264" i="3" s="1"/>
  <c r="Q265" i="3"/>
  <c r="R265" i="3" s="1"/>
  <c r="Q266" i="3"/>
  <c r="R266" i="3" s="1"/>
  <c r="Q267" i="3"/>
  <c r="R267" i="3" s="1"/>
  <c r="Q268" i="3"/>
  <c r="R268" i="3" s="1"/>
  <c r="Q269" i="3"/>
  <c r="R269" i="3" s="1"/>
  <c r="Q270" i="3"/>
  <c r="R270" i="3" s="1"/>
  <c r="Q271" i="3"/>
  <c r="R271" i="3" s="1"/>
  <c r="Q272" i="3"/>
  <c r="R272" i="3" s="1"/>
  <c r="Q273" i="3"/>
  <c r="R273" i="3" s="1"/>
  <c r="Q274" i="3"/>
  <c r="R274" i="3" s="1"/>
  <c r="Q275" i="3"/>
  <c r="R275" i="3" s="1"/>
  <c r="Q276" i="3"/>
  <c r="R276" i="3" s="1"/>
  <c r="Q277" i="3"/>
  <c r="R277" i="3" s="1"/>
  <c r="Q278" i="3"/>
  <c r="R278" i="3" s="1"/>
  <c r="Q279" i="3"/>
  <c r="R279" i="3" s="1"/>
  <c r="Q280" i="3"/>
  <c r="R280" i="3" s="1"/>
  <c r="Q281" i="3"/>
  <c r="R281" i="3" s="1"/>
  <c r="Q282" i="3"/>
  <c r="R282" i="3" s="1"/>
  <c r="Q283" i="3"/>
  <c r="R283" i="3" s="1"/>
  <c r="Q284" i="3"/>
  <c r="R284" i="3" s="1"/>
  <c r="Q285" i="3"/>
  <c r="R285" i="3" s="1"/>
  <c r="Q286" i="3"/>
  <c r="R286" i="3" s="1"/>
  <c r="Q287" i="3"/>
  <c r="R287" i="3" s="1"/>
  <c r="Q288" i="3"/>
  <c r="R288" i="3" s="1"/>
  <c r="Q289" i="3"/>
  <c r="R289" i="3" s="1"/>
  <c r="Q290" i="3"/>
  <c r="R290" i="3" s="1"/>
  <c r="Q291" i="3"/>
  <c r="R291" i="3" s="1"/>
  <c r="Q292" i="3"/>
  <c r="R292" i="3" s="1"/>
  <c r="Q293" i="3"/>
  <c r="R293" i="3" s="1"/>
  <c r="Q294" i="3"/>
  <c r="R294" i="3" s="1"/>
  <c r="Q295" i="3"/>
  <c r="R295" i="3" s="1"/>
  <c r="Q296" i="3"/>
  <c r="R296" i="3" s="1"/>
  <c r="Q297" i="3"/>
  <c r="R297" i="3" s="1"/>
  <c r="Q298" i="3"/>
  <c r="R298" i="3" s="1"/>
  <c r="Q299" i="3"/>
  <c r="R299" i="3" s="1"/>
  <c r="Q300" i="3"/>
  <c r="R300" i="3" s="1"/>
  <c r="Q301" i="3"/>
  <c r="R301" i="3" s="1"/>
  <c r="Q302" i="3"/>
  <c r="R302" i="3" s="1"/>
  <c r="Q303" i="3"/>
  <c r="R303" i="3" s="1"/>
  <c r="Q304" i="3"/>
  <c r="R304" i="3" s="1"/>
  <c r="Q305" i="3"/>
  <c r="R305" i="3" s="1"/>
  <c r="Q306" i="3"/>
  <c r="R306" i="3" s="1"/>
  <c r="Q307" i="3"/>
  <c r="R307" i="3" s="1"/>
  <c r="Q308" i="3"/>
  <c r="R308" i="3" s="1"/>
  <c r="Q309" i="3"/>
  <c r="R309" i="3" s="1"/>
  <c r="Q310" i="3"/>
  <c r="R310" i="3" s="1"/>
  <c r="Q311" i="3"/>
  <c r="R311" i="3" s="1"/>
  <c r="Q312" i="3"/>
  <c r="R312" i="3" s="1"/>
  <c r="Q313" i="3"/>
  <c r="R313" i="3" s="1"/>
  <c r="Q314" i="3"/>
  <c r="R314" i="3" s="1"/>
  <c r="Q315" i="3"/>
  <c r="R315" i="3" s="1"/>
  <c r="Q316" i="3"/>
  <c r="R316" i="3" s="1"/>
  <c r="Q317" i="3"/>
  <c r="R317" i="3" s="1"/>
  <c r="Q318" i="3"/>
  <c r="R318" i="3" s="1"/>
  <c r="Q319" i="3"/>
  <c r="R319" i="3" s="1"/>
  <c r="Q320" i="3"/>
  <c r="R320" i="3" s="1"/>
  <c r="Q321" i="3"/>
  <c r="R321" i="3" s="1"/>
  <c r="Q322" i="3"/>
  <c r="R322" i="3" s="1"/>
  <c r="Q323" i="3"/>
  <c r="R323" i="3" s="1"/>
  <c r="Q324" i="3"/>
  <c r="R324" i="3" s="1"/>
  <c r="Q325" i="3"/>
  <c r="R325" i="3" s="1"/>
  <c r="Q326" i="3"/>
  <c r="R326" i="3" s="1"/>
  <c r="Q327" i="3"/>
  <c r="R327" i="3" s="1"/>
  <c r="Q328" i="3"/>
  <c r="R328" i="3" s="1"/>
  <c r="Q329" i="3"/>
  <c r="R329" i="3" s="1"/>
  <c r="Q330" i="3"/>
  <c r="R330" i="3" s="1"/>
  <c r="Q331" i="3"/>
  <c r="R331" i="3" s="1"/>
  <c r="Q332" i="3"/>
  <c r="R332" i="3" s="1"/>
  <c r="Q333" i="3"/>
  <c r="R333" i="3" s="1"/>
  <c r="Q334" i="3"/>
  <c r="R334" i="3" s="1"/>
  <c r="Q335" i="3"/>
  <c r="R335" i="3" s="1"/>
  <c r="Q336" i="3"/>
  <c r="R336" i="3" s="1"/>
  <c r="Q337" i="3"/>
  <c r="R337" i="3" s="1"/>
  <c r="Q338" i="3"/>
  <c r="R338" i="3" s="1"/>
  <c r="Q339" i="3"/>
  <c r="R339" i="3" s="1"/>
  <c r="Q340" i="3"/>
  <c r="R340" i="3" s="1"/>
  <c r="Q341" i="3"/>
  <c r="R341" i="3" s="1"/>
  <c r="Q342" i="3"/>
  <c r="R342" i="3" s="1"/>
  <c r="Q343" i="3"/>
  <c r="R343" i="3" s="1"/>
  <c r="Q344" i="3"/>
  <c r="R344" i="3" s="1"/>
  <c r="Q345" i="3"/>
  <c r="R345" i="3" s="1"/>
  <c r="Q346" i="3"/>
  <c r="R346" i="3" s="1"/>
  <c r="Q347" i="3"/>
  <c r="R347" i="3" s="1"/>
  <c r="Q348" i="3"/>
  <c r="R348" i="3" s="1"/>
  <c r="Q349" i="3"/>
  <c r="R349" i="3" s="1"/>
  <c r="Q350" i="3"/>
  <c r="R350" i="3" s="1"/>
  <c r="Q351" i="3"/>
  <c r="R351" i="3" s="1"/>
  <c r="Q352" i="3"/>
  <c r="R352" i="3" s="1"/>
  <c r="Q353" i="3"/>
  <c r="R353" i="3" s="1"/>
  <c r="Q354" i="3"/>
  <c r="R354" i="3" s="1"/>
  <c r="Q355" i="3"/>
  <c r="R355" i="3" s="1"/>
  <c r="Q356" i="3"/>
  <c r="R356" i="3" s="1"/>
  <c r="Q357" i="3"/>
  <c r="R357" i="3" s="1"/>
  <c r="Q358" i="3"/>
  <c r="R358" i="3" s="1"/>
  <c r="Q359" i="3"/>
  <c r="R359" i="3" s="1"/>
  <c r="Q360" i="3"/>
  <c r="R360" i="3" s="1"/>
  <c r="Q361" i="3"/>
  <c r="R361" i="3" s="1"/>
  <c r="Q362" i="3"/>
  <c r="R362" i="3" s="1"/>
  <c r="Q363" i="3"/>
  <c r="R363" i="3" s="1"/>
  <c r="Q364" i="3"/>
  <c r="R364" i="3" s="1"/>
  <c r="Q365" i="3"/>
  <c r="R365" i="3" s="1"/>
  <c r="Q366" i="3"/>
  <c r="R366" i="3" s="1"/>
  <c r="Q367" i="3"/>
  <c r="R367" i="3" s="1"/>
  <c r="Q368" i="3"/>
  <c r="R368" i="3" s="1"/>
  <c r="Q369" i="3"/>
  <c r="R369" i="3" s="1"/>
  <c r="Q370" i="3"/>
  <c r="R370" i="3" s="1"/>
  <c r="Q371" i="3"/>
  <c r="R371" i="3" s="1"/>
  <c r="Q372" i="3"/>
  <c r="R372" i="3" s="1"/>
  <c r="Q373" i="3"/>
  <c r="R373" i="3" s="1"/>
  <c r="Q374" i="3"/>
  <c r="R374" i="3" s="1"/>
  <c r="Q375" i="3"/>
  <c r="R375" i="3" s="1"/>
  <c r="Q376" i="3"/>
  <c r="R376" i="3" s="1"/>
  <c r="Q377" i="3"/>
  <c r="R377" i="3" s="1"/>
  <c r="Q378" i="3"/>
  <c r="R378" i="3" s="1"/>
  <c r="Q379" i="3"/>
  <c r="R379" i="3" s="1"/>
  <c r="Q380" i="3"/>
  <c r="R380" i="3" s="1"/>
  <c r="Q381" i="3"/>
  <c r="R381" i="3" s="1"/>
  <c r="Q382" i="3"/>
  <c r="R382" i="3" s="1"/>
  <c r="Q383" i="3"/>
  <c r="R383" i="3" s="1"/>
  <c r="Q384" i="3"/>
  <c r="R384" i="3" s="1"/>
  <c r="Q385" i="3"/>
  <c r="R385" i="3" s="1"/>
  <c r="Q386" i="3"/>
  <c r="R386" i="3" s="1"/>
  <c r="Q387" i="3"/>
  <c r="R387" i="3" s="1"/>
  <c r="Q388" i="3"/>
  <c r="R388" i="3" s="1"/>
  <c r="Q389" i="3"/>
  <c r="R389" i="3" s="1"/>
  <c r="Q390" i="3"/>
  <c r="R390" i="3" s="1"/>
  <c r="Q391" i="3"/>
  <c r="R391" i="3" s="1"/>
  <c r="Q392" i="3"/>
  <c r="R392" i="3" s="1"/>
  <c r="Q393" i="3"/>
  <c r="R393" i="3" s="1"/>
  <c r="Q394" i="3"/>
  <c r="R394" i="3" s="1"/>
  <c r="Q395" i="3"/>
  <c r="R395" i="3" s="1"/>
  <c r="Q396" i="3"/>
  <c r="R396" i="3" s="1"/>
  <c r="Q397" i="3"/>
  <c r="R397" i="3" s="1"/>
  <c r="Q398" i="3"/>
  <c r="R398" i="3" s="1"/>
  <c r="Q399" i="3"/>
  <c r="R399" i="3" s="1"/>
  <c r="Q400" i="3"/>
  <c r="R400" i="3" s="1"/>
  <c r="Q401" i="3"/>
  <c r="R401" i="3" s="1"/>
  <c r="Q402" i="3"/>
  <c r="R402" i="3" s="1"/>
  <c r="Q403" i="3"/>
  <c r="R403" i="3" s="1"/>
  <c r="Q404" i="3"/>
  <c r="R404" i="3" s="1"/>
  <c r="Q405" i="3"/>
  <c r="R405" i="3" s="1"/>
  <c r="Q406" i="3"/>
  <c r="R406" i="3" s="1"/>
  <c r="Q407" i="3"/>
  <c r="R407" i="3" s="1"/>
  <c r="Q408" i="3"/>
  <c r="R408" i="3" s="1"/>
  <c r="Q409" i="3"/>
  <c r="R409" i="3" s="1"/>
  <c r="Q410" i="3"/>
  <c r="R410" i="3" s="1"/>
  <c r="Q411" i="3"/>
  <c r="R411" i="3" s="1"/>
  <c r="Q412" i="3"/>
  <c r="R412" i="3" s="1"/>
  <c r="Q413" i="3"/>
  <c r="R413" i="3" s="1"/>
  <c r="Q414" i="3"/>
  <c r="R414" i="3" s="1"/>
  <c r="Q415" i="3"/>
  <c r="R415" i="3" s="1"/>
  <c r="Q416" i="3"/>
  <c r="R416" i="3" s="1"/>
  <c r="Q417" i="3"/>
  <c r="R417" i="3" s="1"/>
  <c r="Q418" i="3"/>
  <c r="R418" i="3" s="1"/>
  <c r="Q419" i="3"/>
  <c r="R419" i="3" s="1"/>
  <c r="Q420" i="3"/>
  <c r="R420" i="3" s="1"/>
  <c r="Q421" i="3"/>
  <c r="R421" i="3" s="1"/>
  <c r="Q422" i="3"/>
  <c r="R422" i="3" s="1"/>
  <c r="Q423" i="3"/>
  <c r="R423" i="3" s="1"/>
  <c r="Q424" i="3"/>
  <c r="R424" i="3" s="1"/>
  <c r="Q425" i="3"/>
  <c r="R425" i="3" s="1"/>
  <c r="Q426" i="3"/>
  <c r="R426" i="3" s="1"/>
  <c r="Q427" i="3"/>
  <c r="R427" i="3" s="1"/>
  <c r="Q428" i="3"/>
  <c r="R428" i="3" s="1"/>
  <c r="Q429" i="3"/>
  <c r="R429" i="3" s="1"/>
  <c r="Q430" i="3"/>
  <c r="R430" i="3" s="1"/>
  <c r="Q431" i="3"/>
  <c r="R431" i="3" s="1"/>
  <c r="Q432" i="3"/>
  <c r="R432" i="3" s="1"/>
  <c r="Q433" i="3"/>
  <c r="R433" i="3" s="1"/>
  <c r="Q434" i="3"/>
  <c r="R434" i="3" s="1"/>
  <c r="Q435" i="3"/>
  <c r="R435" i="3" s="1"/>
  <c r="Q436" i="3"/>
  <c r="R436" i="3" s="1"/>
  <c r="Q437" i="3"/>
  <c r="R437" i="3" s="1"/>
  <c r="Q438" i="3"/>
  <c r="R438" i="3" s="1"/>
  <c r="Q439" i="3"/>
  <c r="R439" i="3" s="1"/>
  <c r="Q440" i="3"/>
  <c r="R440" i="3" s="1"/>
  <c r="Q441" i="3"/>
  <c r="R441" i="3" s="1"/>
  <c r="Q442" i="3"/>
  <c r="R442" i="3" s="1"/>
  <c r="Q443" i="3"/>
  <c r="R443" i="3" s="1"/>
  <c r="Q444" i="3"/>
  <c r="R444" i="3" s="1"/>
  <c r="Q445" i="3"/>
  <c r="R445" i="3" s="1"/>
  <c r="Q446" i="3"/>
  <c r="R446" i="3" s="1"/>
  <c r="Q447" i="3"/>
  <c r="R447" i="3" s="1"/>
  <c r="Q448" i="3"/>
  <c r="R448" i="3" s="1"/>
  <c r="Q449" i="3"/>
  <c r="R449" i="3" s="1"/>
  <c r="Q450" i="3"/>
  <c r="R450" i="3" s="1"/>
  <c r="Q451" i="3"/>
  <c r="R451" i="3" s="1"/>
  <c r="Q452" i="3"/>
  <c r="R452" i="3" s="1"/>
  <c r="Q453" i="3"/>
  <c r="R453" i="3" s="1"/>
  <c r="Q454" i="3"/>
  <c r="R454" i="3" s="1"/>
  <c r="Q455" i="3"/>
  <c r="R455" i="3" s="1"/>
  <c r="Q456" i="3"/>
  <c r="R456" i="3" s="1"/>
  <c r="Q457" i="3"/>
  <c r="R457" i="3" s="1"/>
  <c r="Q458" i="3"/>
  <c r="R458" i="3" s="1"/>
  <c r="Q459" i="3"/>
  <c r="R459" i="3" s="1"/>
  <c r="Q460" i="3"/>
  <c r="R460" i="3" s="1"/>
  <c r="Q461" i="3"/>
  <c r="R461" i="3" s="1"/>
  <c r="Q462" i="3"/>
  <c r="R462" i="3" s="1"/>
  <c r="Q463" i="3"/>
  <c r="R463" i="3" s="1"/>
  <c r="Q464" i="3"/>
  <c r="R464" i="3" s="1"/>
  <c r="Q465" i="3"/>
  <c r="R465" i="3" s="1"/>
  <c r="Q466" i="3"/>
  <c r="R466" i="3" s="1"/>
  <c r="Q467" i="3"/>
  <c r="R467" i="3" s="1"/>
  <c r="Q468" i="3"/>
  <c r="R468" i="3" s="1"/>
  <c r="Q469" i="3"/>
  <c r="R469" i="3" s="1"/>
  <c r="Q470" i="3"/>
  <c r="R470" i="3" s="1"/>
  <c r="Q471" i="3"/>
  <c r="R471" i="3" s="1"/>
  <c r="Q472" i="3"/>
  <c r="R472" i="3" s="1"/>
  <c r="Q473" i="3"/>
  <c r="R473" i="3" s="1"/>
  <c r="Q474" i="3"/>
  <c r="R474" i="3" s="1"/>
  <c r="Q475" i="3"/>
  <c r="R475" i="3" s="1"/>
  <c r="Q476" i="3"/>
  <c r="R476" i="3" s="1"/>
  <c r="Q477" i="3"/>
  <c r="R477" i="3" s="1"/>
  <c r="Q478" i="3"/>
  <c r="R478" i="3" s="1"/>
  <c r="Q479" i="3"/>
  <c r="R479" i="3" s="1"/>
  <c r="Q480" i="3"/>
  <c r="R480" i="3" s="1"/>
  <c r="Q481" i="3"/>
  <c r="R481" i="3" s="1"/>
  <c r="Q482" i="3"/>
  <c r="R482" i="3" s="1"/>
  <c r="Q483" i="3"/>
  <c r="R483" i="3" s="1"/>
  <c r="Q484" i="3"/>
  <c r="R484" i="3" s="1"/>
  <c r="Q485" i="3"/>
  <c r="R485" i="3" s="1"/>
  <c r="Q486" i="3"/>
  <c r="R486" i="3" s="1"/>
  <c r="Q487" i="3"/>
  <c r="R487" i="3" s="1"/>
  <c r="Q488" i="3"/>
  <c r="R488" i="3" s="1"/>
  <c r="Q489" i="3"/>
  <c r="R489" i="3" s="1"/>
  <c r="Q490" i="3"/>
  <c r="R490" i="3" s="1"/>
  <c r="Q491" i="3"/>
  <c r="R491" i="3" s="1"/>
  <c r="Q492" i="3"/>
  <c r="R492" i="3" s="1"/>
  <c r="Q493" i="3"/>
  <c r="R493" i="3" s="1"/>
  <c r="Q494" i="3"/>
  <c r="R494" i="3" s="1"/>
  <c r="Q495" i="3"/>
  <c r="R495" i="3" s="1"/>
  <c r="Q496" i="3"/>
  <c r="R496" i="3" s="1"/>
  <c r="Q497" i="3"/>
  <c r="R497" i="3" s="1"/>
  <c r="Q498" i="3"/>
  <c r="R498" i="3" s="1"/>
  <c r="Q499" i="3"/>
  <c r="R499" i="3" s="1"/>
  <c r="Q500" i="3"/>
  <c r="R500" i="3" s="1"/>
  <c r="Q501" i="3"/>
  <c r="R501" i="3" s="1"/>
  <c r="Q502" i="3"/>
  <c r="R502" i="3" s="1"/>
  <c r="Q503" i="3"/>
  <c r="R503" i="3" s="1"/>
  <c r="Q504" i="3"/>
  <c r="R504" i="3" s="1"/>
  <c r="Q505" i="3"/>
  <c r="R505" i="3" s="1"/>
  <c r="Q506" i="3"/>
  <c r="R506" i="3" s="1"/>
  <c r="Q507" i="3"/>
  <c r="R507" i="3" s="1"/>
  <c r="Q508" i="3"/>
  <c r="R508" i="3" s="1"/>
  <c r="Q509" i="3"/>
  <c r="R509" i="3" s="1"/>
  <c r="Q510" i="3"/>
  <c r="R510" i="3" s="1"/>
  <c r="Q511" i="3"/>
  <c r="R511" i="3" s="1"/>
  <c r="Q512" i="3"/>
  <c r="R512" i="3" s="1"/>
  <c r="Q513" i="3"/>
  <c r="R513" i="3" s="1"/>
  <c r="Q514" i="3"/>
  <c r="R514" i="3" s="1"/>
  <c r="Q515" i="3"/>
  <c r="R515" i="3" s="1"/>
  <c r="Q516" i="3"/>
  <c r="R516" i="3" s="1"/>
  <c r="Q517" i="3"/>
  <c r="R517" i="3" s="1"/>
  <c r="Q518" i="3"/>
  <c r="R518" i="3" s="1"/>
  <c r="Q519" i="3"/>
  <c r="R519" i="3" s="1"/>
  <c r="Q520" i="3"/>
  <c r="R520" i="3" s="1"/>
  <c r="Q521" i="3"/>
  <c r="R521" i="3" s="1"/>
  <c r="Q522" i="3"/>
  <c r="R522" i="3" s="1"/>
  <c r="Q523" i="3"/>
  <c r="R523" i="3" s="1"/>
  <c r="Q524" i="3"/>
  <c r="R524" i="3" s="1"/>
  <c r="Q525" i="3"/>
  <c r="R525" i="3" s="1"/>
  <c r="Q526" i="3"/>
  <c r="R526" i="3" s="1"/>
  <c r="Q527" i="3"/>
  <c r="R527" i="3" s="1"/>
  <c r="Q528" i="3"/>
  <c r="R528" i="3" s="1"/>
  <c r="Q529" i="3"/>
  <c r="R529" i="3" s="1"/>
  <c r="Q530" i="3"/>
  <c r="R530" i="3" s="1"/>
  <c r="Q531" i="3"/>
  <c r="R531" i="3" s="1"/>
  <c r="Q532" i="3"/>
  <c r="R532" i="3" s="1"/>
  <c r="Q533" i="3"/>
  <c r="R533" i="3" s="1"/>
  <c r="Q534" i="3"/>
  <c r="R534" i="3" s="1"/>
  <c r="Q535" i="3"/>
  <c r="R535" i="3" s="1"/>
  <c r="Q536" i="3"/>
  <c r="R536" i="3" s="1"/>
  <c r="Q537" i="3"/>
  <c r="R537" i="3" s="1"/>
  <c r="Q538" i="3"/>
  <c r="R538" i="3" s="1"/>
  <c r="Q539" i="3"/>
  <c r="R539" i="3" s="1"/>
  <c r="Q540" i="3"/>
  <c r="R540" i="3" s="1"/>
  <c r="Q541" i="3"/>
  <c r="R541" i="3" s="1"/>
  <c r="Q542" i="3"/>
  <c r="R542" i="3" s="1"/>
  <c r="Q543" i="3"/>
  <c r="R543" i="3" s="1"/>
  <c r="Q544" i="3"/>
  <c r="R544" i="3" s="1"/>
  <c r="Q545" i="3"/>
  <c r="R545" i="3" s="1"/>
  <c r="Q546" i="3"/>
  <c r="R546" i="3" s="1"/>
  <c r="Q547" i="3"/>
  <c r="R547" i="3" s="1"/>
  <c r="Q548" i="3"/>
  <c r="R548" i="3" s="1"/>
  <c r="Q549" i="3"/>
  <c r="R549" i="3" s="1"/>
  <c r="Q550" i="3"/>
  <c r="R550" i="3" s="1"/>
  <c r="Q551" i="3"/>
  <c r="R551" i="3" s="1"/>
  <c r="Q552" i="3"/>
  <c r="R552" i="3" s="1"/>
  <c r="Q553" i="3"/>
  <c r="R553" i="3" s="1"/>
  <c r="Q554" i="3"/>
  <c r="R554" i="3" s="1"/>
  <c r="Q555" i="3"/>
  <c r="R555" i="3" s="1"/>
  <c r="Q556" i="3"/>
  <c r="R556" i="3" s="1"/>
  <c r="Q557" i="3"/>
  <c r="R557" i="3" s="1"/>
  <c r="Q558" i="3"/>
  <c r="R558" i="3" s="1"/>
  <c r="Q559" i="3"/>
  <c r="R559" i="3" s="1"/>
  <c r="Q560" i="3"/>
  <c r="R560" i="3" s="1"/>
  <c r="Q561" i="3"/>
  <c r="R561" i="3" s="1"/>
  <c r="Q562" i="3"/>
  <c r="R562" i="3" s="1"/>
  <c r="Q563" i="3"/>
  <c r="R563" i="3" s="1"/>
  <c r="Q564" i="3"/>
  <c r="R564" i="3" s="1"/>
  <c r="Q565" i="3"/>
  <c r="R565" i="3" s="1"/>
  <c r="Q566" i="3"/>
  <c r="R566" i="3" s="1"/>
  <c r="Q567" i="3"/>
  <c r="R567" i="3" s="1"/>
  <c r="Q568" i="3"/>
  <c r="R568" i="3" s="1"/>
  <c r="Q569" i="3"/>
  <c r="R569" i="3" s="1"/>
  <c r="Q570" i="3"/>
  <c r="R570" i="3" s="1"/>
  <c r="Q571" i="3"/>
  <c r="R571" i="3" s="1"/>
  <c r="Q572" i="3"/>
  <c r="R572" i="3" s="1"/>
  <c r="Q573" i="3"/>
  <c r="R573" i="3" s="1"/>
  <c r="Q574" i="3"/>
  <c r="R574" i="3" s="1"/>
  <c r="Q575" i="3"/>
  <c r="R575" i="3" s="1"/>
  <c r="Q576" i="3"/>
  <c r="R576" i="3" s="1"/>
  <c r="Q577" i="3"/>
  <c r="R577" i="3" s="1"/>
  <c r="Q578" i="3"/>
  <c r="R578" i="3" s="1"/>
  <c r="Q579" i="3"/>
  <c r="R579" i="3" s="1"/>
  <c r="Q580" i="3"/>
  <c r="R580" i="3" s="1"/>
  <c r="Q581" i="3"/>
  <c r="R581" i="3" s="1"/>
  <c r="Q582" i="3"/>
  <c r="R582" i="3" s="1"/>
  <c r="Q583" i="3"/>
  <c r="R583" i="3" s="1"/>
  <c r="Q584" i="3"/>
  <c r="R584" i="3" s="1"/>
  <c r="Q585" i="3"/>
  <c r="R585" i="3" s="1"/>
  <c r="Q586" i="3"/>
  <c r="R586" i="3" s="1"/>
  <c r="Q587" i="3"/>
  <c r="R587" i="3" s="1"/>
  <c r="Q588" i="3"/>
  <c r="R588" i="3" s="1"/>
  <c r="Q589" i="3"/>
  <c r="R589" i="3" s="1"/>
  <c r="Q590" i="3"/>
  <c r="R590" i="3" s="1"/>
  <c r="Q591" i="3"/>
  <c r="R591" i="3" s="1"/>
  <c r="Q592" i="3"/>
  <c r="R592" i="3" s="1"/>
  <c r="Q593" i="3"/>
  <c r="R593" i="3" s="1"/>
  <c r="Q594" i="3"/>
  <c r="R594" i="3" s="1"/>
  <c r="Q595" i="3"/>
  <c r="R595" i="3" s="1"/>
  <c r="Q596" i="3"/>
  <c r="R596" i="3" s="1"/>
  <c r="Q597" i="3"/>
  <c r="R597" i="3" s="1"/>
  <c r="Q598" i="3"/>
  <c r="R598" i="3" s="1"/>
  <c r="Q599" i="3"/>
  <c r="R599" i="3" s="1"/>
  <c r="Q600" i="3"/>
  <c r="R600" i="3" s="1"/>
  <c r="Q601" i="3"/>
  <c r="R601" i="3" s="1"/>
  <c r="Q602" i="3"/>
  <c r="R602" i="3" s="1"/>
  <c r="Q603" i="3"/>
  <c r="R603" i="3" s="1"/>
  <c r="Q604" i="3"/>
  <c r="R604" i="3" s="1"/>
  <c r="Q605" i="3"/>
  <c r="R605" i="3" s="1"/>
  <c r="Q606" i="3"/>
  <c r="R606" i="3" s="1"/>
  <c r="Q607" i="3"/>
  <c r="R607" i="3" s="1"/>
  <c r="Q608" i="3"/>
  <c r="R608" i="3" s="1"/>
  <c r="Q609" i="3"/>
  <c r="R609" i="3" s="1"/>
  <c r="Q610" i="3"/>
  <c r="R610" i="3" s="1"/>
  <c r="Q611" i="3"/>
  <c r="R611" i="3" s="1"/>
  <c r="Q612" i="3"/>
  <c r="R612" i="3" s="1"/>
  <c r="Q613" i="3"/>
  <c r="R613" i="3" s="1"/>
  <c r="Q614" i="3"/>
  <c r="R614" i="3" s="1"/>
  <c r="Q615" i="3"/>
  <c r="R615" i="3" s="1"/>
  <c r="Q616" i="3"/>
  <c r="R616" i="3" s="1"/>
  <c r="Q617" i="3"/>
  <c r="R617" i="3" s="1"/>
  <c r="Q618" i="3"/>
  <c r="R618" i="3" s="1"/>
  <c r="Q619" i="3"/>
  <c r="R619" i="3" s="1"/>
  <c r="Q620" i="3"/>
  <c r="R620" i="3" s="1"/>
  <c r="Q621" i="3"/>
  <c r="R621" i="3" s="1"/>
  <c r="Q622" i="3"/>
  <c r="R622" i="3" s="1"/>
  <c r="Q623" i="3"/>
  <c r="R623" i="3" s="1"/>
  <c r="Q624" i="3"/>
  <c r="R624" i="3" s="1"/>
  <c r="Q625" i="3"/>
  <c r="R625" i="3" s="1"/>
  <c r="Q626" i="3"/>
  <c r="R626" i="3" s="1"/>
  <c r="Q627" i="3"/>
  <c r="R627" i="3" s="1"/>
  <c r="Q628" i="3"/>
  <c r="R628" i="3" s="1"/>
  <c r="Q629" i="3"/>
  <c r="R629" i="3" s="1"/>
  <c r="Q630" i="3"/>
  <c r="R630" i="3" s="1"/>
  <c r="Q631" i="3"/>
  <c r="R631" i="3" s="1"/>
  <c r="Q632" i="3"/>
  <c r="R632" i="3" s="1"/>
  <c r="Q633" i="3"/>
  <c r="R633" i="3" s="1"/>
  <c r="Q634" i="3"/>
  <c r="R634" i="3" s="1"/>
  <c r="Q635" i="3"/>
  <c r="R635" i="3" s="1"/>
  <c r="Q636" i="3"/>
  <c r="R636" i="3" s="1"/>
  <c r="Q637" i="3"/>
  <c r="R637" i="3" s="1"/>
  <c r="Q638" i="3"/>
  <c r="R638" i="3" s="1"/>
  <c r="Q639" i="3"/>
  <c r="R639" i="3" s="1"/>
  <c r="Q640" i="3"/>
  <c r="R640" i="3" s="1"/>
  <c r="Q641" i="3"/>
  <c r="R641" i="3" s="1"/>
  <c r="Q642" i="3"/>
  <c r="R642" i="3" s="1"/>
  <c r="Q643" i="3"/>
  <c r="R643" i="3" s="1"/>
  <c r="Q644" i="3"/>
  <c r="R644" i="3" s="1"/>
  <c r="Q645" i="3"/>
  <c r="R645" i="3" s="1"/>
  <c r="Q646" i="3"/>
  <c r="R646" i="3" s="1"/>
  <c r="Q647" i="3"/>
  <c r="R647" i="3" s="1"/>
  <c r="Q648" i="3"/>
  <c r="R648" i="3" s="1"/>
  <c r="Q649" i="3"/>
  <c r="R649" i="3" s="1"/>
  <c r="Q650" i="3"/>
  <c r="R650" i="3" s="1"/>
  <c r="Q651" i="3"/>
  <c r="R651" i="3" s="1"/>
  <c r="Q652" i="3"/>
  <c r="R652" i="3" s="1"/>
  <c r="Q653" i="3"/>
  <c r="R653" i="3" s="1"/>
  <c r="Q654" i="3"/>
  <c r="R654" i="3" s="1"/>
  <c r="Q655" i="3"/>
  <c r="R655" i="3" s="1"/>
  <c r="Q656" i="3"/>
  <c r="R656" i="3" s="1"/>
  <c r="Q657" i="3"/>
  <c r="R657" i="3" s="1"/>
  <c r="Q658" i="3"/>
  <c r="R658" i="3" s="1"/>
  <c r="Q659" i="3"/>
  <c r="R659" i="3" s="1"/>
  <c r="Q660" i="3"/>
  <c r="R660" i="3" s="1"/>
  <c r="Q661" i="3"/>
  <c r="R661" i="3" s="1"/>
  <c r="Q662" i="3"/>
  <c r="R662" i="3" s="1"/>
  <c r="Q663" i="3"/>
  <c r="R663" i="3" s="1"/>
  <c r="Q664" i="3"/>
  <c r="R664" i="3" s="1"/>
  <c r="Q665" i="3"/>
  <c r="R665" i="3" s="1"/>
  <c r="Q666" i="3"/>
  <c r="R666" i="3" s="1"/>
  <c r="Q667" i="3"/>
  <c r="R667" i="3" s="1"/>
  <c r="Q668" i="3"/>
  <c r="R668" i="3" s="1"/>
  <c r="Q669" i="3"/>
  <c r="R669" i="3" s="1"/>
  <c r="Q670" i="3"/>
  <c r="R670" i="3" s="1"/>
  <c r="Q671" i="3"/>
  <c r="R671" i="3" s="1"/>
  <c r="Q672" i="3"/>
  <c r="R672" i="3" s="1"/>
  <c r="Q673" i="3"/>
  <c r="R673" i="3" s="1"/>
  <c r="Q674" i="3"/>
  <c r="R674" i="3" s="1"/>
  <c r="Q675" i="3"/>
  <c r="R675" i="3" s="1"/>
  <c r="Q676" i="3"/>
  <c r="R676" i="3" s="1"/>
  <c r="Q677" i="3"/>
  <c r="R677" i="3" s="1"/>
  <c r="Q678" i="3"/>
  <c r="R678" i="3" s="1"/>
  <c r="Q679" i="3"/>
  <c r="R679" i="3" s="1"/>
  <c r="Q680" i="3"/>
  <c r="R680" i="3" s="1"/>
  <c r="Q681" i="3"/>
  <c r="R681" i="3" s="1"/>
  <c r="Q682" i="3"/>
  <c r="R682" i="3" s="1"/>
  <c r="Q683" i="3"/>
  <c r="R683" i="3" s="1"/>
  <c r="Q684" i="3"/>
  <c r="R684" i="3" s="1"/>
  <c r="Q685" i="3"/>
  <c r="R685" i="3" s="1"/>
  <c r="Q686" i="3"/>
  <c r="R686" i="3" s="1"/>
  <c r="Q687" i="3"/>
  <c r="R687" i="3" s="1"/>
  <c r="Q688" i="3"/>
  <c r="R688" i="3" s="1"/>
  <c r="Q689" i="3"/>
  <c r="R689" i="3" s="1"/>
  <c r="Q690" i="3"/>
  <c r="R690" i="3" s="1"/>
  <c r="Q691" i="3"/>
  <c r="R691" i="3" s="1"/>
  <c r="Q692" i="3"/>
  <c r="R692" i="3" s="1"/>
  <c r="Q693" i="3"/>
  <c r="R693" i="3" s="1"/>
  <c r="Q694" i="3"/>
  <c r="R694" i="3" s="1"/>
  <c r="Q695" i="3"/>
  <c r="R695" i="3" s="1"/>
  <c r="Q696" i="3"/>
  <c r="R696" i="3" s="1"/>
  <c r="Q697" i="3"/>
  <c r="R697" i="3" s="1"/>
  <c r="Q698" i="3"/>
  <c r="R698" i="3" s="1"/>
  <c r="Q699" i="3"/>
  <c r="R699" i="3" s="1"/>
  <c r="Q700" i="3"/>
  <c r="R700" i="3" s="1"/>
  <c r="Q701" i="3"/>
  <c r="R701" i="3" s="1"/>
  <c r="Q702" i="3"/>
  <c r="R702" i="3" s="1"/>
  <c r="Q703" i="3"/>
  <c r="R703" i="3" s="1"/>
  <c r="Q704" i="3"/>
  <c r="R704" i="3" s="1"/>
  <c r="Q705" i="3"/>
  <c r="R705" i="3" s="1"/>
  <c r="Q706" i="3"/>
  <c r="R706" i="3" s="1"/>
  <c r="Q707" i="3"/>
  <c r="R707" i="3" s="1"/>
  <c r="Q708" i="3"/>
  <c r="R708" i="3" s="1"/>
  <c r="Q709" i="3"/>
  <c r="R709" i="3" s="1"/>
  <c r="Q710" i="3"/>
  <c r="R710" i="3" s="1"/>
  <c r="Q711" i="3"/>
  <c r="R711" i="3" s="1"/>
  <c r="Q712" i="3"/>
  <c r="R712" i="3" s="1"/>
  <c r="Q713" i="3"/>
  <c r="R713" i="3" s="1"/>
  <c r="Q714" i="3"/>
  <c r="R714" i="3" s="1"/>
  <c r="Q715" i="3"/>
  <c r="R715" i="3" s="1"/>
  <c r="Q716" i="3"/>
  <c r="R716" i="3" s="1"/>
  <c r="Q717" i="3"/>
  <c r="R717" i="3" s="1"/>
  <c r="Q718" i="3"/>
  <c r="R718" i="3" s="1"/>
  <c r="Q719" i="3"/>
  <c r="R719" i="3" s="1"/>
  <c r="Q720" i="3"/>
  <c r="R720" i="3" s="1"/>
  <c r="Q721" i="3"/>
  <c r="R721" i="3" s="1"/>
  <c r="Q722" i="3"/>
  <c r="R722" i="3" s="1"/>
  <c r="Q723" i="3"/>
  <c r="R723" i="3" s="1"/>
  <c r="Q724" i="3"/>
  <c r="R724" i="3" s="1"/>
  <c r="Q725" i="3"/>
  <c r="R725" i="3" s="1"/>
  <c r="Q726" i="3"/>
  <c r="R726" i="3" s="1"/>
  <c r="Q727" i="3"/>
  <c r="R727" i="3" s="1"/>
  <c r="Q728" i="3"/>
  <c r="R728" i="3" s="1"/>
  <c r="Q729" i="3"/>
  <c r="R729" i="3" s="1"/>
  <c r="Q730" i="3"/>
  <c r="R730" i="3" s="1"/>
  <c r="Q731" i="3"/>
  <c r="R731" i="3" s="1"/>
  <c r="Q732" i="3"/>
  <c r="R732" i="3" s="1"/>
  <c r="Q733" i="3"/>
  <c r="R733" i="3" s="1"/>
  <c r="Q734" i="3"/>
  <c r="R734" i="3" s="1"/>
  <c r="Q735" i="3"/>
  <c r="R735" i="3" s="1"/>
  <c r="Q736" i="3"/>
  <c r="R736" i="3" s="1"/>
  <c r="Q737" i="3"/>
  <c r="R737" i="3" s="1"/>
  <c r="Q738" i="3"/>
  <c r="R738" i="3" s="1"/>
  <c r="Q739" i="3"/>
  <c r="R739" i="3" s="1"/>
  <c r="Q740" i="3"/>
  <c r="R740" i="3" s="1"/>
  <c r="Q741" i="3"/>
  <c r="R741" i="3" s="1"/>
  <c r="Q742" i="3"/>
  <c r="R742" i="3" s="1"/>
  <c r="Q743" i="3"/>
  <c r="R743" i="3" s="1"/>
  <c r="Q744" i="3"/>
  <c r="R744" i="3" s="1"/>
  <c r="Q745" i="3"/>
  <c r="R745" i="3" s="1"/>
  <c r="Q746" i="3"/>
  <c r="R746" i="3" s="1"/>
  <c r="Q747" i="3"/>
  <c r="R747" i="3" s="1"/>
  <c r="Q748" i="3"/>
  <c r="R748" i="3" s="1"/>
  <c r="Q749" i="3"/>
  <c r="R749" i="3" s="1"/>
  <c r="Q750" i="3"/>
  <c r="R750" i="3" s="1"/>
  <c r="Q751" i="3"/>
  <c r="R751" i="3" s="1"/>
  <c r="Q752" i="3"/>
  <c r="R752" i="3" s="1"/>
  <c r="Q753" i="3"/>
  <c r="R753" i="3" s="1"/>
  <c r="Q754" i="3"/>
  <c r="R754" i="3" s="1"/>
  <c r="Q755" i="3"/>
  <c r="R755" i="3" s="1"/>
  <c r="Q756" i="3"/>
  <c r="R756" i="3" s="1"/>
  <c r="Q757" i="3"/>
  <c r="R757" i="3" s="1"/>
  <c r="Q758" i="3"/>
  <c r="R758" i="3" s="1"/>
  <c r="Q759" i="3"/>
  <c r="R759" i="3" s="1"/>
  <c r="Q760" i="3"/>
  <c r="R760" i="3" s="1"/>
  <c r="Q761" i="3"/>
  <c r="R761" i="3" s="1"/>
  <c r="Q762" i="3"/>
  <c r="R762" i="3" s="1"/>
  <c r="Q763" i="3"/>
  <c r="R763" i="3" s="1"/>
  <c r="Q764" i="3"/>
  <c r="R764" i="3" s="1"/>
  <c r="Q765" i="3"/>
  <c r="R765" i="3" s="1"/>
  <c r="Q766" i="3"/>
  <c r="R766" i="3" s="1"/>
  <c r="Q767" i="3"/>
  <c r="R767" i="3" s="1"/>
  <c r="Q768" i="3"/>
  <c r="R768" i="3" s="1"/>
  <c r="Q769" i="3"/>
  <c r="R769" i="3" s="1"/>
  <c r="Q770" i="3"/>
  <c r="R770" i="3" s="1"/>
  <c r="Q771" i="3"/>
  <c r="R771" i="3" s="1"/>
  <c r="Q772" i="3"/>
  <c r="R772" i="3" s="1"/>
  <c r="Q773" i="3"/>
  <c r="R773" i="3" s="1"/>
  <c r="Q774" i="3"/>
  <c r="R774" i="3" s="1"/>
  <c r="Q775" i="3"/>
  <c r="R775" i="3" s="1"/>
  <c r="Q776" i="3"/>
  <c r="R776" i="3" s="1"/>
  <c r="Q777" i="3"/>
  <c r="R777" i="3" s="1"/>
  <c r="Q778" i="3"/>
  <c r="R778" i="3" s="1"/>
  <c r="Q779" i="3"/>
  <c r="R779" i="3" s="1"/>
  <c r="Q780" i="3"/>
  <c r="R780" i="3" s="1"/>
  <c r="Q781" i="3"/>
  <c r="R781" i="3" s="1"/>
  <c r="Q782" i="3"/>
  <c r="R782" i="3" s="1"/>
  <c r="Q783" i="3"/>
  <c r="R783" i="3" s="1"/>
  <c r="Q784" i="3"/>
  <c r="R784" i="3" s="1"/>
  <c r="Q785" i="3"/>
  <c r="R785" i="3" s="1"/>
  <c r="Q786" i="3"/>
  <c r="R786" i="3" s="1"/>
  <c r="Q787" i="3"/>
  <c r="R787" i="3" s="1"/>
  <c r="Q788" i="3"/>
  <c r="R788" i="3" s="1"/>
  <c r="Q789" i="3"/>
  <c r="R789" i="3" s="1"/>
  <c r="Q790" i="3"/>
  <c r="R790" i="3" s="1"/>
  <c r="Q791" i="3"/>
  <c r="R791" i="3" s="1"/>
  <c r="Q792" i="3"/>
  <c r="R792" i="3" s="1"/>
  <c r="Q793" i="3"/>
  <c r="R793" i="3" s="1"/>
  <c r="Q794" i="3"/>
  <c r="R794" i="3" s="1"/>
  <c r="Q795" i="3"/>
  <c r="R795" i="3" s="1"/>
  <c r="Q796" i="3"/>
  <c r="R796" i="3" s="1"/>
  <c r="Q797" i="3"/>
  <c r="R797" i="3" s="1"/>
  <c r="Q798" i="3"/>
  <c r="R798" i="3" s="1"/>
  <c r="Q799" i="3"/>
  <c r="R799" i="3" s="1"/>
  <c r="Q800" i="3"/>
  <c r="R800" i="3" s="1"/>
  <c r="Q801" i="3"/>
  <c r="R801" i="3" s="1"/>
  <c r="Q802" i="3"/>
  <c r="R802" i="3" s="1"/>
  <c r="Q803" i="3"/>
  <c r="R803" i="3" s="1"/>
  <c r="Q804" i="3"/>
  <c r="R804" i="3" s="1"/>
  <c r="Q805" i="3"/>
  <c r="R805" i="3" s="1"/>
  <c r="Q806" i="3"/>
  <c r="R806" i="3" s="1"/>
  <c r="Q807" i="3"/>
  <c r="R807" i="3" s="1"/>
  <c r="Q808" i="3"/>
  <c r="R808" i="3" s="1"/>
  <c r="Q809" i="3"/>
  <c r="R809" i="3" s="1"/>
  <c r="Q810" i="3"/>
  <c r="R810" i="3" s="1"/>
  <c r="Q811" i="3"/>
  <c r="R811" i="3" s="1"/>
  <c r="Q812" i="3"/>
  <c r="R812" i="3" s="1"/>
  <c r="Q813" i="3"/>
  <c r="R813" i="3" s="1"/>
  <c r="Q814" i="3"/>
  <c r="R814" i="3" s="1"/>
  <c r="Q815" i="3"/>
  <c r="R815" i="3" s="1"/>
  <c r="Q816" i="3"/>
  <c r="R816" i="3" s="1"/>
  <c r="Q817" i="3"/>
  <c r="R817" i="3" s="1"/>
  <c r="Q818" i="3"/>
  <c r="R818" i="3" s="1"/>
  <c r="Q819" i="3"/>
  <c r="R819" i="3" s="1"/>
  <c r="Q820" i="3"/>
  <c r="R820" i="3" s="1"/>
  <c r="Q821" i="3"/>
  <c r="R821" i="3" s="1"/>
  <c r="Q822" i="3"/>
  <c r="R822" i="3" s="1"/>
  <c r="Q823" i="3"/>
  <c r="R823" i="3" s="1"/>
  <c r="Q824" i="3"/>
  <c r="R824" i="3" s="1"/>
  <c r="Q825" i="3"/>
  <c r="R825" i="3" s="1"/>
  <c r="Q826" i="3"/>
  <c r="R826" i="3" s="1"/>
  <c r="Q827" i="3"/>
  <c r="R827" i="3" s="1"/>
  <c r="Q828" i="3"/>
  <c r="R828" i="3" s="1"/>
  <c r="Q829" i="3"/>
  <c r="R829" i="3" s="1"/>
  <c r="Q830" i="3"/>
  <c r="R830" i="3" s="1"/>
  <c r="Q831" i="3"/>
  <c r="R831" i="3" s="1"/>
  <c r="Q832" i="3"/>
  <c r="R832" i="3" s="1"/>
  <c r="Q833" i="3"/>
  <c r="R833" i="3" s="1"/>
  <c r="Q834" i="3"/>
  <c r="R834" i="3" s="1"/>
  <c r="Q835" i="3"/>
  <c r="R835" i="3" s="1"/>
  <c r="Q836" i="3"/>
  <c r="R836" i="3" s="1"/>
  <c r="Q837" i="3"/>
  <c r="R837" i="3" s="1"/>
  <c r="Q838" i="3"/>
  <c r="R838" i="3" s="1"/>
  <c r="Q839" i="3"/>
  <c r="R839" i="3" s="1"/>
  <c r="Q840" i="3"/>
  <c r="R840" i="3" s="1"/>
  <c r="Q841" i="3"/>
  <c r="R841" i="3" s="1"/>
  <c r="Q842" i="3"/>
  <c r="R842" i="3" s="1"/>
  <c r="Q843" i="3"/>
  <c r="R843" i="3" s="1"/>
  <c r="Q844" i="3"/>
  <c r="R844" i="3" s="1"/>
  <c r="Q845" i="3"/>
  <c r="R845" i="3" s="1"/>
  <c r="Q846" i="3"/>
  <c r="R846" i="3" s="1"/>
  <c r="Q847" i="3"/>
  <c r="R847" i="3" s="1"/>
  <c r="Q848" i="3"/>
  <c r="R848" i="3" s="1"/>
  <c r="Q849" i="3"/>
  <c r="R849" i="3" s="1"/>
  <c r="Q850" i="3"/>
  <c r="R850" i="3" s="1"/>
  <c r="Q851" i="3"/>
  <c r="R851" i="3" s="1"/>
  <c r="Q852" i="3"/>
  <c r="R852" i="3" s="1"/>
  <c r="Q853" i="3"/>
  <c r="R853" i="3" s="1"/>
  <c r="Q854" i="3"/>
  <c r="R854" i="3" s="1"/>
  <c r="Q855" i="3"/>
  <c r="R855" i="3" s="1"/>
  <c r="Q856" i="3"/>
  <c r="R856" i="3" s="1"/>
  <c r="Q857" i="3"/>
  <c r="R857" i="3" s="1"/>
  <c r="Q858" i="3"/>
  <c r="R858" i="3" s="1"/>
  <c r="Q859" i="3"/>
  <c r="R859" i="3" s="1"/>
  <c r="Q860" i="3"/>
  <c r="R860" i="3" s="1"/>
  <c r="Q861" i="3"/>
  <c r="R861" i="3" s="1"/>
  <c r="Q862" i="3"/>
  <c r="R862" i="3" s="1"/>
  <c r="Q863" i="3"/>
  <c r="R863" i="3" s="1"/>
  <c r="Q864" i="3"/>
  <c r="R864" i="3" s="1"/>
  <c r="Q865" i="3"/>
  <c r="R865" i="3" s="1"/>
  <c r="Q866" i="3"/>
  <c r="R866" i="3" s="1"/>
  <c r="Q867" i="3"/>
  <c r="R867" i="3" s="1"/>
  <c r="Q868" i="3"/>
  <c r="R868" i="3" s="1"/>
  <c r="Q869" i="3"/>
  <c r="R869" i="3" s="1"/>
  <c r="Q870" i="3"/>
  <c r="R870" i="3" s="1"/>
  <c r="Q871" i="3"/>
  <c r="R871" i="3" s="1"/>
  <c r="Q872" i="3"/>
  <c r="R872" i="3" s="1"/>
  <c r="Q873" i="3"/>
  <c r="R873" i="3" s="1"/>
  <c r="Q874" i="3"/>
  <c r="R874" i="3" s="1"/>
  <c r="Q875" i="3"/>
  <c r="R875" i="3" s="1"/>
  <c r="Q876" i="3"/>
  <c r="R876" i="3" s="1"/>
  <c r="Q877" i="3"/>
  <c r="R877" i="3" s="1"/>
  <c r="Q878" i="3"/>
  <c r="R878" i="3" s="1"/>
  <c r="Q879" i="3"/>
  <c r="R879" i="3" s="1"/>
  <c r="Q880" i="3"/>
  <c r="R880" i="3" s="1"/>
  <c r="Q881" i="3"/>
  <c r="R881" i="3" s="1"/>
  <c r="Q882" i="3"/>
  <c r="R882" i="3" s="1"/>
  <c r="Q883" i="3"/>
  <c r="R883" i="3" s="1"/>
  <c r="Q884" i="3"/>
  <c r="R884" i="3" s="1"/>
  <c r="Q885" i="3"/>
  <c r="R885" i="3" s="1"/>
  <c r="Q886" i="3"/>
  <c r="R886" i="3" s="1"/>
  <c r="Q887" i="3"/>
  <c r="R887" i="3" s="1"/>
  <c r="Q888" i="3"/>
  <c r="R888" i="3" s="1"/>
  <c r="Q889" i="3"/>
  <c r="R889" i="3" s="1"/>
  <c r="Q890" i="3"/>
  <c r="R890" i="3" s="1"/>
  <c r="Q891" i="3"/>
  <c r="R891" i="3" s="1"/>
  <c r="Q892" i="3"/>
  <c r="R892" i="3" s="1"/>
  <c r="Q893" i="3"/>
  <c r="R893" i="3" s="1"/>
  <c r="Q894" i="3"/>
  <c r="R894" i="3" s="1"/>
  <c r="Q895" i="3"/>
  <c r="R895" i="3" s="1"/>
  <c r="Q896" i="3"/>
  <c r="R896" i="3" s="1"/>
  <c r="Q897" i="3"/>
  <c r="R897" i="3" s="1"/>
  <c r="Q898" i="3"/>
  <c r="R898" i="3" s="1"/>
  <c r="Q899" i="3"/>
  <c r="R899" i="3" s="1"/>
  <c r="Q900" i="3"/>
  <c r="R900" i="3" s="1"/>
  <c r="Q901" i="3"/>
  <c r="R901" i="3" s="1"/>
  <c r="Q902" i="3"/>
  <c r="R902" i="3" s="1"/>
  <c r="Q903" i="3"/>
  <c r="R903" i="3" s="1"/>
  <c r="Q904" i="3"/>
  <c r="R904" i="3" s="1"/>
  <c r="Q905" i="3"/>
  <c r="R905" i="3" s="1"/>
  <c r="Q906" i="3"/>
  <c r="R906" i="3" s="1"/>
  <c r="Q907" i="3"/>
  <c r="R907" i="3" s="1"/>
  <c r="Q908" i="3"/>
  <c r="R908" i="3" s="1"/>
  <c r="Q909" i="3"/>
  <c r="R909" i="3" s="1"/>
  <c r="Q910" i="3"/>
  <c r="R910" i="3" s="1"/>
  <c r="Q911" i="3"/>
  <c r="R911" i="3" s="1"/>
  <c r="Q912" i="3"/>
  <c r="R912" i="3" s="1"/>
  <c r="Q913" i="3"/>
  <c r="R913" i="3" s="1"/>
  <c r="Q914" i="3"/>
  <c r="R914" i="3" s="1"/>
  <c r="Q915" i="3"/>
  <c r="R915" i="3" s="1"/>
  <c r="Q916" i="3"/>
  <c r="R916" i="3" s="1"/>
  <c r="Q917" i="3"/>
  <c r="R917" i="3" s="1"/>
  <c r="Q918" i="3"/>
  <c r="R918" i="3" s="1"/>
  <c r="Q919" i="3"/>
  <c r="R919" i="3" s="1"/>
  <c r="Q920" i="3"/>
  <c r="R920" i="3" s="1"/>
  <c r="Q921" i="3"/>
  <c r="R921" i="3" s="1"/>
  <c r="Q922" i="3"/>
  <c r="R922" i="3" s="1"/>
  <c r="Q923" i="3"/>
  <c r="R923" i="3" s="1"/>
  <c r="Q924" i="3"/>
  <c r="R924" i="3" s="1"/>
  <c r="Q925" i="3"/>
  <c r="R925" i="3" s="1"/>
  <c r="Q926" i="3"/>
  <c r="R926" i="3" s="1"/>
  <c r="Q927" i="3"/>
  <c r="R927" i="3" s="1"/>
  <c r="Q928" i="3"/>
  <c r="R928" i="3" s="1"/>
  <c r="Q929" i="3"/>
  <c r="R929" i="3" s="1"/>
  <c r="Q930" i="3"/>
  <c r="R930" i="3" s="1"/>
  <c r="Q931" i="3"/>
  <c r="R931" i="3" s="1"/>
  <c r="Q932" i="3"/>
  <c r="R932" i="3" s="1"/>
  <c r="Q933" i="3"/>
  <c r="R933" i="3" s="1"/>
  <c r="Q934" i="3"/>
  <c r="R934" i="3" s="1"/>
  <c r="Q935" i="3"/>
  <c r="R935" i="3" s="1"/>
  <c r="Q936" i="3"/>
  <c r="R936" i="3" s="1"/>
  <c r="Q937" i="3"/>
  <c r="R937" i="3" s="1"/>
  <c r="Q938" i="3"/>
  <c r="R938" i="3" s="1"/>
  <c r="Q939" i="3"/>
  <c r="R939" i="3" s="1"/>
  <c r="Q940" i="3"/>
  <c r="R940" i="3" s="1"/>
  <c r="Q941" i="3"/>
  <c r="R941" i="3" s="1"/>
  <c r="Q942" i="3"/>
  <c r="R942" i="3" s="1"/>
  <c r="Q943" i="3"/>
  <c r="R943" i="3" s="1"/>
  <c r="Q944" i="3"/>
  <c r="R944" i="3" s="1"/>
  <c r="Q945" i="3"/>
  <c r="R945" i="3" s="1"/>
  <c r="Q946" i="3"/>
  <c r="R946" i="3" s="1"/>
  <c r="Q947" i="3"/>
  <c r="R947" i="3" s="1"/>
  <c r="Q948" i="3"/>
  <c r="R948" i="3" s="1"/>
  <c r="Q949" i="3"/>
  <c r="R949" i="3" s="1"/>
  <c r="Q950" i="3"/>
  <c r="R950" i="3" s="1"/>
  <c r="Q951" i="3"/>
  <c r="R951" i="3" s="1"/>
  <c r="Q952" i="3"/>
  <c r="R952" i="3" s="1"/>
  <c r="Q953" i="3"/>
  <c r="R953" i="3" s="1"/>
  <c r="Q954" i="3"/>
  <c r="R954" i="3" s="1"/>
  <c r="Q955" i="3"/>
  <c r="R955" i="3" s="1"/>
  <c r="Q956" i="3"/>
  <c r="R956" i="3" s="1"/>
  <c r="Q957" i="3"/>
  <c r="R957" i="3" s="1"/>
  <c r="Q958" i="3"/>
  <c r="R958" i="3" s="1"/>
  <c r="Q959" i="3"/>
  <c r="R959" i="3" s="1"/>
  <c r="Q960" i="3"/>
  <c r="R960" i="3" s="1"/>
  <c r="Q961" i="3"/>
  <c r="R961" i="3" s="1"/>
  <c r="Q962" i="3"/>
  <c r="R962" i="3" s="1"/>
  <c r="Q963" i="3"/>
  <c r="R963" i="3" s="1"/>
  <c r="Q964" i="3"/>
  <c r="R964" i="3" s="1"/>
  <c r="Q965" i="3"/>
  <c r="R965" i="3" s="1"/>
  <c r="Q966" i="3"/>
  <c r="R966" i="3" s="1"/>
  <c r="Q967" i="3"/>
  <c r="R967" i="3" s="1"/>
  <c r="Q968" i="3"/>
  <c r="R968" i="3" s="1"/>
  <c r="Q969" i="3"/>
  <c r="R969" i="3" s="1"/>
  <c r="Q970" i="3"/>
  <c r="R970" i="3" s="1"/>
  <c r="Q971" i="3"/>
  <c r="R971" i="3" s="1"/>
  <c r="Q972" i="3"/>
  <c r="R972" i="3" s="1"/>
  <c r="Q973" i="3"/>
  <c r="R973" i="3" s="1"/>
  <c r="Q974" i="3"/>
  <c r="R974" i="3" s="1"/>
  <c r="Q975" i="3"/>
  <c r="R975" i="3" s="1"/>
  <c r="Q976" i="3"/>
  <c r="R976" i="3" s="1"/>
  <c r="Q977" i="3"/>
  <c r="R977" i="3" s="1"/>
  <c r="Q978" i="3"/>
  <c r="R978" i="3" s="1"/>
  <c r="Q979" i="3"/>
  <c r="R979" i="3" s="1"/>
  <c r="Q980" i="3"/>
  <c r="R980" i="3" s="1"/>
  <c r="Q981" i="3"/>
  <c r="R981" i="3" s="1"/>
  <c r="Q982" i="3"/>
  <c r="R982" i="3" s="1"/>
  <c r="Q983" i="3"/>
  <c r="R983" i="3" s="1"/>
  <c r="Q984" i="3"/>
  <c r="R984" i="3" s="1"/>
  <c r="Q985" i="3"/>
  <c r="R985" i="3" s="1"/>
  <c r="Q986" i="3"/>
  <c r="R986" i="3" s="1"/>
  <c r="Q987" i="3"/>
  <c r="R987" i="3" s="1"/>
  <c r="Q988" i="3"/>
  <c r="R988" i="3" s="1"/>
  <c r="Q989" i="3"/>
  <c r="R989" i="3" s="1"/>
  <c r="Q990" i="3"/>
  <c r="R990" i="3" s="1"/>
  <c r="Q991" i="3"/>
  <c r="R991" i="3" s="1"/>
  <c r="Q992" i="3"/>
  <c r="R992" i="3" s="1"/>
  <c r="Q993" i="3"/>
  <c r="R993" i="3" s="1"/>
  <c r="Q994" i="3"/>
  <c r="R994" i="3" s="1"/>
  <c r="Q995" i="3"/>
  <c r="R995" i="3" s="1"/>
  <c r="Q996" i="3"/>
  <c r="R996" i="3" s="1"/>
  <c r="Q997" i="3"/>
  <c r="R997" i="3" s="1"/>
  <c r="Q998" i="3"/>
  <c r="R998" i="3" s="1"/>
  <c r="Q999" i="3"/>
  <c r="R999" i="3" s="1"/>
  <c r="Q1000" i="3"/>
  <c r="R1000" i="3" s="1"/>
  <c r="Q1001" i="3"/>
  <c r="R1001" i="3" s="1"/>
  <c r="Q1002" i="3"/>
  <c r="R1002" i="3" s="1"/>
  <c r="Q1003" i="3"/>
  <c r="R1003" i="3" s="1"/>
  <c r="Q1004" i="3"/>
  <c r="R1004" i="3" s="1"/>
  <c r="Q1005" i="3"/>
  <c r="R1005" i="3" s="1"/>
  <c r="Q1006" i="3"/>
  <c r="R1006" i="3" s="1"/>
  <c r="Q1007" i="3"/>
  <c r="R1007" i="3" s="1"/>
  <c r="Q1008" i="3"/>
  <c r="R1008" i="3" s="1"/>
  <c r="Q1009" i="3"/>
  <c r="R1009" i="3" s="1"/>
  <c r="Q1010" i="3"/>
  <c r="R1010" i="3" s="1"/>
  <c r="Q1011" i="3"/>
  <c r="R1011" i="3" s="1"/>
  <c r="Q1012" i="3"/>
  <c r="R1012" i="3" s="1"/>
  <c r="Q1013" i="3"/>
  <c r="R1013" i="3" s="1"/>
  <c r="Q1014" i="3"/>
  <c r="R1014" i="3" s="1"/>
  <c r="Q1015" i="3"/>
  <c r="R1015" i="3" s="1"/>
  <c r="Q1016" i="3"/>
  <c r="R1016" i="3" s="1"/>
  <c r="Q1017" i="3"/>
  <c r="R1017" i="3" s="1"/>
  <c r="Q1018" i="3"/>
  <c r="R1018" i="3" s="1"/>
  <c r="Q1019" i="3"/>
  <c r="R1019" i="3" s="1"/>
  <c r="Q1020" i="3"/>
  <c r="R1020" i="3" s="1"/>
  <c r="Q1021" i="3"/>
  <c r="R1021" i="3" s="1"/>
  <c r="Q1022" i="3"/>
  <c r="R1022" i="3" s="1"/>
  <c r="Q1023" i="3"/>
  <c r="R1023" i="3" s="1"/>
  <c r="Q1024" i="3"/>
  <c r="R1024" i="3" s="1"/>
  <c r="Q1025" i="3"/>
  <c r="R1025" i="3" s="1"/>
  <c r="Q1026" i="3"/>
  <c r="R1026" i="3" s="1"/>
  <c r="Q1027" i="3"/>
  <c r="R1027" i="3" s="1"/>
  <c r="Q1028" i="3"/>
  <c r="R1028" i="3" s="1"/>
  <c r="Q1029" i="3"/>
  <c r="R1029" i="3" s="1"/>
  <c r="Q1030" i="3"/>
  <c r="R1030" i="3" s="1"/>
  <c r="Q1031" i="3"/>
  <c r="R1031" i="3" s="1"/>
  <c r="Q1032" i="3"/>
  <c r="R1032" i="3" s="1"/>
  <c r="Q1033" i="3"/>
  <c r="R1033" i="3" s="1"/>
  <c r="Q1034" i="3"/>
  <c r="R1034" i="3" s="1"/>
  <c r="Q1035" i="3"/>
  <c r="R1035" i="3" s="1"/>
  <c r="Q1036" i="3"/>
  <c r="R1036" i="3" s="1"/>
  <c r="Q1037" i="3"/>
  <c r="R1037" i="3" s="1"/>
  <c r="Q1038" i="3"/>
  <c r="R1038" i="3" s="1"/>
  <c r="Q1039" i="3"/>
  <c r="R1039" i="3" s="1"/>
  <c r="Q1040" i="3"/>
  <c r="R1040" i="3" s="1"/>
  <c r="Q1041" i="3"/>
  <c r="R1041" i="3" s="1"/>
  <c r="Q1042" i="3"/>
  <c r="R1042" i="3" s="1"/>
  <c r="Q1043" i="3"/>
  <c r="R1043" i="3" s="1"/>
  <c r="Q1044" i="3"/>
  <c r="R1044" i="3" s="1"/>
  <c r="Q1045" i="3"/>
  <c r="R1045" i="3" s="1"/>
  <c r="Q1046" i="3"/>
  <c r="R1046" i="3" s="1"/>
  <c r="Q1047" i="3"/>
  <c r="R1047" i="3" s="1"/>
  <c r="Q1048" i="3"/>
  <c r="R1048" i="3" s="1"/>
  <c r="Q1049" i="3"/>
  <c r="R1049" i="3" s="1"/>
  <c r="Q1050" i="3"/>
  <c r="R1050" i="3" s="1"/>
  <c r="Q1051" i="3"/>
  <c r="R1051" i="3" s="1"/>
  <c r="Q1052" i="3"/>
  <c r="R1052" i="3" s="1"/>
  <c r="Q1053" i="3"/>
  <c r="R1053" i="3" s="1"/>
  <c r="Q1054" i="3"/>
  <c r="R1054" i="3" s="1"/>
  <c r="Q1055" i="3"/>
  <c r="R1055" i="3" s="1"/>
  <c r="Q1056" i="3"/>
  <c r="R1056" i="3" s="1"/>
  <c r="Q1057" i="3"/>
  <c r="R1057" i="3" s="1"/>
  <c r="Q1058" i="3"/>
  <c r="R1058" i="3" s="1"/>
  <c r="Q1059" i="3"/>
  <c r="R1059" i="3" s="1"/>
  <c r="Q1060" i="3"/>
  <c r="R1060" i="3" s="1"/>
  <c r="Q1061" i="3"/>
  <c r="R1061" i="3" s="1"/>
  <c r="Q1062" i="3"/>
  <c r="R1062" i="3" s="1"/>
  <c r="Q1063" i="3"/>
  <c r="R1063" i="3" s="1"/>
  <c r="Q1064" i="3"/>
  <c r="R1064" i="3" s="1"/>
  <c r="Q1065" i="3"/>
  <c r="R1065" i="3" s="1"/>
  <c r="Q1066" i="3"/>
  <c r="R1066" i="3" s="1"/>
  <c r="Q1067" i="3"/>
  <c r="R1067" i="3" s="1"/>
  <c r="Q1068" i="3"/>
  <c r="R1068" i="3" s="1"/>
  <c r="Q1069" i="3"/>
  <c r="R1069" i="3" s="1"/>
  <c r="Q1070" i="3"/>
  <c r="R1070" i="3" s="1"/>
  <c r="Q1071" i="3"/>
  <c r="R1071" i="3" s="1"/>
  <c r="Q1072" i="3"/>
  <c r="R1072" i="3" s="1"/>
  <c r="Q1073" i="3"/>
  <c r="R1073" i="3" s="1"/>
  <c r="Q1074" i="3"/>
  <c r="R1074" i="3" s="1"/>
  <c r="Q1075" i="3"/>
  <c r="R1075" i="3" s="1"/>
  <c r="Q1076" i="3"/>
  <c r="R1076" i="3" s="1"/>
  <c r="Q1077" i="3"/>
  <c r="R1077" i="3" s="1"/>
  <c r="Q1078" i="3"/>
  <c r="R1078" i="3" s="1"/>
  <c r="Q1079" i="3"/>
  <c r="R1079" i="3" s="1"/>
  <c r="Q1080" i="3"/>
  <c r="R1080" i="3" s="1"/>
  <c r="Q1081" i="3"/>
  <c r="R1081" i="3" s="1"/>
  <c r="Q1082" i="3"/>
  <c r="R1082" i="3" s="1"/>
  <c r="Q1083" i="3"/>
  <c r="R1083" i="3" s="1"/>
  <c r="Q1084" i="3"/>
  <c r="R1084" i="3" s="1"/>
  <c r="Q1085" i="3"/>
  <c r="R1085" i="3" s="1"/>
  <c r="Q1086" i="3"/>
  <c r="R1086" i="3" s="1"/>
  <c r="Q1087" i="3"/>
  <c r="R1087" i="3" s="1"/>
  <c r="Q1088" i="3"/>
  <c r="R1088" i="3" s="1"/>
  <c r="Q1089" i="3"/>
  <c r="R1089" i="3" s="1"/>
  <c r="Q1090" i="3"/>
  <c r="R1090" i="3" s="1"/>
  <c r="Q1091" i="3"/>
  <c r="R1091" i="3" s="1"/>
  <c r="Q1092" i="3"/>
  <c r="R1092" i="3" s="1"/>
  <c r="Q1093" i="3"/>
  <c r="R1093" i="3" s="1"/>
  <c r="Q1094" i="3"/>
  <c r="R1094" i="3" s="1"/>
  <c r="Q1095" i="3"/>
  <c r="R1095" i="3" s="1"/>
  <c r="Q1096" i="3"/>
  <c r="R1096" i="3" s="1"/>
  <c r="Q1097" i="3"/>
  <c r="R1097" i="3" s="1"/>
  <c r="Q1098" i="3"/>
  <c r="R1098" i="3" s="1"/>
  <c r="Q1099" i="3"/>
  <c r="R1099" i="3" s="1"/>
  <c r="Q1100" i="3"/>
  <c r="R1100" i="3" s="1"/>
  <c r="Q1101" i="3"/>
  <c r="R1101" i="3" s="1"/>
  <c r="Q1102" i="3"/>
  <c r="R1102" i="3" s="1"/>
  <c r="Q1103" i="3"/>
  <c r="R1103" i="3" s="1"/>
  <c r="Q1104" i="3"/>
  <c r="R1104" i="3" s="1"/>
  <c r="Q1105" i="3"/>
  <c r="R1105" i="3" s="1"/>
  <c r="Q1106" i="3"/>
  <c r="R1106" i="3" s="1"/>
  <c r="Q1107" i="3"/>
  <c r="R1107" i="3" s="1"/>
  <c r="Q1108" i="3"/>
  <c r="R1108" i="3" s="1"/>
  <c r="Q1109" i="3"/>
  <c r="R1109" i="3" s="1"/>
  <c r="Q1110" i="3"/>
  <c r="R1110" i="3" s="1"/>
  <c r="Q1111" i="3"/>
  <c r="R1111" i="3" s="1"/>
  <c r="Q1112" i="3"/>
  <c r="R1112" i="3" s="1"/>
  <c r="Q1113" i="3"/>
  <c r="R1113" i="3" s="1"/>
  <c r="Q1114" i="3"/>
  <c r="R1114" i="3" s="1"/>
  <c r="Q1115" i="3"/>
  <c r="R1115" i="3" s="1"/>
  <c r="Q1116" i="3"/>
  <c r="R1116" i="3" s="1"/>
  <c r="Q1117" i="3"/>
  <c r="R1117" i="3" s="1"/>
  <c r="Q1118" i="3"/>
  <c r="R1118" i="3" s="1"/>
  <c r="Q1119" i="3"/>
  <c r="R1119" i="3" s="1"/>
  <c r="Q1120" i="3"/>
  <c r="R1120" i="3" s="1"/>
  <c r="Q1121" i="3"/>
  <c r="R1121" i="3" s="1"/>
  <c r="Q1122" i="3"/>
  <c r="R1122" i="3" s="1"/>
  <c r="Q1123" i="3"/>
  <c r="R1123" i="3" s="1"/>
  <c r="Q1124" i="3"/>
  <c r="R1124" i="3" s="1"/>
  <c r="Q1125" i="3"/>
  <c r="R1125" i="3" s="1"/>
  <c r="Q1126" i="3"/>
  <c r="R1126" i="3" s="1"/>
  <c r="Q1127" i="3"/>
  <c r="R1127" i="3" s="1"/>
  <c r="Q1128" i="3"/>
  <c r="R1128" i="3" s="1"/>
  <c r="Q1129" i="3"/>
  <c r="R1129" i="3" s="1"/>
  <c r="Q1130" i="3"/>
  <c r="R1130" i="3" s="1"/>
  <c r="Q1131" i="3"/>
  <c r="R1131" i="3" s="1"/>
  <c r="Q1132" i="3"/>
  <c r="R1132" i="3" s="1"/>
  <c r="Q1133" i="3"/>
  <c r="R1133" i="3" s="1"/>
  <c r="Q1134" i="3"/>
  <c r="R1134" i="3" s="1"/>
  <c r="Q1135" i="3"/>
  <c r="R1135" i="3" s="1"/>
  <c r="Q1136" i="3"/>
  <c r="R1136" i="3" s="1"/>
  <c r="Q1137" i="3"/>
  <c r="R1137" i="3" s="1"/>
  <c r="Q1138" i="3"/>
  <c r="R1138" i="3" s="1"/>
  <c r="Q1139" i="3"/>
  <c r="R1139" i="3" s="1"/>
  <c r="Q1140" i="3"/>
  <c r="R1140" i="3" s="1"/>
  <c r="Q1141" i="3"/>
  <c r="R1141" i="3" s="1"/>
  <c r="Q1142" i="3"/>
  <c r="R1142" i="3" s="1"/>
  <c r="Q1143" i="3"/>
  <c r="R1143" i="3" s="1"/>
  <c r="Q1144" i="3"/>
  <c r="R1144" i="3" s="1"/>
  <c r="Q1145" i="3"/>
  <c r="R1145" i="3" s="1"/>
  <c r="Q1146" i="3"/>
  <c r="R1146" i="3" s="1"/>
  <c r="Q1147" i="3"/>
  <c r="R1147" i="3" s="1"/>
  <c r="Q1148" i="3"/>
  <c r="R1148" i="3" s="1"/>
  <c r="Q1149" i="3"/>
  <c r="R1149" i="3" s="1"/>
  <c r="Q1150" i="3"/>
  <c r="R1150" i="3" s="1"/>
  <c r="Q1151" i="3"/>
  <c r="R1151" i="3" s="1"/>
  <c r="Q1152" i="3"/>
  <c r="R1152" i="3" s="1"/>
  <c r="Q1153" i="3"/>
  <c r="R1153" i="3" s="1"/>
  <c r="Q1154" i="3"/>
  <c r="R1154" i="3" s="1"/>
  <c r="Q1155" i="3"/>
  <c r="R1155" i="3" s="1"/>
  <c r="Q1156" i="3"/>
  <c r="R1156" i="3" s="1"/>
  <c r="Q1157" i="3"/>
  <c r="R1157" i="3" s="1"/>
  <c r="Q1158" i="3"/>
  <c r="R1158" i="3" s="1"/>
  <c r="Q1159" i="3"/>
  <c r="R1159" i="3" s="1"/>
  <c r="Q1160" i="3"/>
  <c r="R1160" i="3" s="1"/>
  <c r="Q1161" i="3"/>
  <c r="R1161" i="3" s="1"/>
  <c r="Q1162" i="3"/>
  <c r="R1162" i="3" s="1"/>
  <c r="Q1163" i="3"/>
  <c r="R1163" i="3" s="1"/>
  <c r="Q1164" i="3"/>
  <c r="R1164" i="3" s="1"/>
  <c r="Q1165" i="3"/>
  <c r="R1165" i="3" s="1"/>
  <c r="Q1166" i="3"/>
  <c r="R1166" i="3" s="1"/>
  <c r="Q1167" i="3"/>
  <c r="R1167" i="3" s="1"/>
  <c r="Q1168" i="3"/>
  <c r="R1168" i="3" s="1"/>
  <c r="Q1169" i="3"/>
  <c r="R1169" i="3" s="1"/>
  <c r="Q1170" i="3"/>
  <c r="R1170" i="3" s="1"/>
  <c r="Q1171" i="3"/>
  <c r="R1171" i="3" s="1"/>
  <c r="Q1172" i="3"/>
  <c r="R1172" i="3" s="1"/>
  <c r="Q1173" i="3"/>
  <c r="R1173" i="3" s="1"/>
  <c r="Q1174" i="3"/>
  <c r="R1174" i="3" s="1"/>
  <c r="Q1175" i="3"/>
  <c r="R1175" i="3" s="1"/>
  <c r="Q1176" i="3"/>
  <c r="R1176" i="3" s="1"/>
  <c r="Q1177" i="3"/>
  <c r="R1177" i="3" s="1"/>
  <c r="Q1178" i="3"/>
  <c r="R1178" i="3" s="1"/>
  <c r="Q1179" i="3"/>
  <c r="R1179" i="3" s="1"/>
  <c r="Q1180" i="3"/>
  <c r="R1180" i="3" s="1"/>
  <c r="Q1181" i="3"/>
  <c r="R1181" i="3" s="1"/>
  <c r="Q1182" i="3"/>
  <c r="R1182" i="3" s="1"/>
  <c r="Q1183" i="3"/>
  <c r="R1183" i="3" s="1"/>
  <c r="Q1184" i="3"/>
  <c r="R1184" i="3" s="1"/>
  <c r="Q1185" i="3"/>
  <c r="R1185" i="3" s="1"/>
  <c r="Q1186" i="3"/>
  <c r="R1186" i="3" s="1"/>
  <c r="Q1187" i="3"/>
  <c r="R1187" i="3" s="1"/>
  <c r="Q1188" i="3"/>
  <c r="R1188" i="3" s="1"/>
  <c r="Q1189" i="3"/>
  <c r="R1189" i="3" s="1"/>
  <c r="Q1190" i="3"/>
  <c r="R1190" i="3" s="1"/>
  <c r="Q1191" i="3"/>
  <c r="R1191" i="3" s="1"/>
  <c r="Q1192" i="3"/>
  <c r="R1192" i="3" s="1"/>
  <c r="Q1193" i="3"/>
  <c r="R1193" i="3" s="1"/>
  <c r="Q1194" i="3"/>
  <c r="R1194" i="3" s="1"/>
  <c r="Q1195" i="3"/>
  <c r="R1195" i="3" s="1"/>
  <c r="Q1196" i="3"/>
  <c r="R1196" i="3" s="1"/>
  <c r="Q1197" i="3"/>
  <c r="R1197" i="3" s="1"/>
  <c r="Q1198" i="3"/>
  <c r="R1198" i="3" s="1"/>
  <c r="Q1199" i="3"/>
  <c r="R1199" i="3" s="1"/>
  <c r="Q1200" i="3"/>
  <c r="R1200" i="3" s="1"/>
  <c r="Q1201" i="3"/>
  <c r="R1201" i="3" s="1"/>
  <c r="Q1202" i="3"/>
  <c r="R1202" i="3" s="1"/>
  <c r="Q1203" i="3"/>
  <c r="R1203" i="3" s="1"/>
  <c r="Q1204" i="3"/>
  <c r="R1204" i="3" s="1"/>
  <c r="Q1205" i="3"/>
  <c r="R1205" i="3" s="1"/>
  <c r="Q1206" i="3"/>
  <c r="R1206" i="3" s="1"/>
  <c r="Q1207" i="3"/>
  <c r="R1207" i="3" s="1"/>
  <c r="Q1208" i="3"/>
  <c r="R1208" i="3" s="1"/>
  <c r="Q1209" i="3"/>
  <c r="R1209" i="3" s="1"/>
  <c r="Q1210" i="3"/>
  <c r="R1210" i="3" s="1"/>
  <c r="Q1211" i="3"/>
  <c r="R1211" i="3" s="1"/>
  <c r="Q1212" i="3"/>
  <c r="R1212" i="3" s="1"/>
  <c r="Q1213" i="3"/>
  <c r="R1213" i="3" s="1"/>
  <c r="Q1214" i="3"/>
  <c r="R1214" i="3" s="1"/>
  <c r="Q1215" i="3"/>
  <c r="R1215" i="3" s="1"/>
  <c r="Q1216" i="3"/>
  <c r="R1216" i="3" s="1"/>
  <c r="Q1217" i="3"/>
  <c r="R1217" i="3" s="1"/>
  <c r="Q1218" i="3"/>
  <c r="R1218" i="3" s="1"/>
  <c r="Q1219" i="3"/>
  <c r="R1219" i="3" s="1"/>
  <c r="Q1220" i="3"/>
  <c r="R1220" i="3" s="1"/>
  <c r="Q1221" i="3"/>
  <c r="R1221" i="3" s="1"/>
  <c r="Q1222" i="3"/>
  <c r="R1222" i="3" s="1"/>
  <c r="Q1223" i="3"/>
  <c r="R1223" i="3" s="1"/>
  <c r="Q1224" i="3"/>
  <c r="R1224" i="3" s="1"/>
  <c r="Q1225" i="3"/>
  <c r="R1225" i="3" s="1"/>
  <c r="Q1226" i="3"/>
  <c r="R1226" i="3" s="1"/>
  <c r="Q1227" i="3"/>
  <c r="R1227" i="3" s="1"/>
  <c r="Q1228" i="3"/>
  <c r="R1228" i="3" s="1"/>
  <c r="Q1229" i="3"/>
  <c r="R1229" i="3" s="1"/>
  <c r="Q1230" i="3"/>
  <c r="R1230" i="3" s="1"/>
  <c r="Q1231" i="3"/>
  <c r="R1231" i="3" s="1"/>
  <c r="Q1232" i="3"/>
  <c r="R1232" i="3" s="1"/>
  <c r="Q1233" i="3"/>
  <c r="R1233" i="3" s="1"/>
  <c r="Q1234" i="3"/>
  <c r="R1234" i="3" s="1"/>
  <c r="Q1235" i="3"/>
  <c r="R1235" i="3" s="1"/>
  <c r="Q1236" i="3"/>
  <c r="R1236" i="3" s="1"/>
  <c r="Q1237" i="3"/>
  <c r="R1237" i="3" s="1"/>
  <c r="Q1238" i="3"/>
  <c r="R1238" i="3" s="1"/>
  <c r="Q1239" i="3"/>
  <c r="R1239" i="3" s="1"/>
  <c r="Q1240" i="3"/>
  <c r="R1240" i="3" s="1"/>
  <c r="Q1241" i="3"/>
  <c r="R1241" i="3" s="1"/>
  <c r="Q1242" i="3"/>
  <c r="R1242" i="3" s="1"/>
  <c r="Q1243" i="3"/>
  <c r="R1243" i="3" s="1"/>
  <c r="Q1244" i="3"/>
  <c r="R1244" i="3" s="1"/>
  <c r="Q1245" i="3"/>
  <c r="R1245" i="3" s="1"/>
  <c r="Q1246" i="3"/>
  <c r="R1246" i="3" s="1"/>
  <c r="Q1247" i="3"/>
  <c r="R1247" i="3" s="1"/>
  <c r="Q1248" i="3"/>
  <c r="R1248" i="3" s="1"/>
  <c r="Q1249" i="3"/>
  <c r="R1249" i="3" s="1"/>
  <c r="Q1250" i="3"/>
  <c r="R1250" i="3" s="1"/>
  <c r="Q1251" i="3"/>
  <c r="R1251" i="3" s="1"/>
  <c r="Q1252" i="3"/>
  <c r="R1252" i="3" s="1"/>
  <c r="Q1253" i="3"/>
  <c r="R1253" i="3" s="1"/>
  <c r="Q1254" i="3"/>
  <c r="R1254" i="3" s="1"/>
  <c r="Q1255" i="3"/>
  <c r="R1255" i="3" s="1"/>
  <c r="Q1256" i="3"/>
  <c r="R1256" i="3" s="1"/>
  <c r="Q1257" i="3"/>
  <c r="R1257" i="3" s="1"/>
  <c r="Q1258" i="3"/>
  <c r="R1258" i="3" s="1"/>
  <c r="Q1259" i="3"/>
  <c r="R1259" i="3" s="1"/>
  <c r="Q1260" i="3"/>
  <c r="R1260" i="3" s="1"/>
  <c r="Q1261" i="3"/>
  <c r="R1261" i="3" s="1"/>
  <c r="Q1262" i="3"/>
  <c r="R1262" i="3" s="1"/>
  <c r="Q1263" i="3"/>
  <c r="R1263" i="3" s="1"/>
  <c r="Q1264" i="3"/>
  <c r="R1264" i="3" s="1"/>
  <c r="Q1265" i="3"/>
  <c r="R1265" i="3" s="1"/>
  <c r="Q1266" i="3"/>
  <c r="R1266" i="3" s="1"/>
  <c r="Q1267" i="3"/>
  <c r="R1267" i="3" s="1"/>
  <c r="Q1268" i="3"/>
  <c r="R1268" i="3" s="1"/>
  <c r="Q1269" i="3"/>
  <c r="R1269" i="3" s="1"/>
  <c r="Q1270" i="3"/>
  <c r="R1270" i="3" s="1"/>
  <c r="Q1271" i="3"/>
  <c r="R1271" i="3" s="1"/>
  <c r="Q1272" i="3"/>
  <c r="R1272" i="3" s="1"/>
  <c r="Q1273" i="3"/>
  <c r="R1273" i="3" s="1"/>
  <c r="Q1274" i="3"/>
  <c r="R1274" i="3" s="1"/>
  <c r="Q1275" i="3"/>
  <c r="R1275" i="3" s="1"/>
  <c r="Q1276" i="3"/>
  <c r="R1276" i="3" s="1"/>
  <c r="Q1277" i="3"/>
  <c r="R1277" i="3" s="1"/>
  <c r="Q1278" i="3"/>
  <c r="R1278" i="3" s="1"/>
  <c r="Q1279" i="3"/>
  <c r="R1279" i="3" s="1"/>
  <c r="Q1280" i="3"/>
  <c r="R1280" i="3" s="1"/>
  <c r="Q1281" i="3"/>
  <c r="R1281" i="3" s="1"/>
  <c r="Q1282" i="3"/>
  <c r="R1282" i="3" s="1"/>
  <c r="Q1283" i="3"/>
  <c r="R1283" i="3" s="1"/>
  <c r="Q1284" i="3"/>
  <c r="R1284" i="3" s="1"/>
  <c r="Q1285" i="3"/>
  <c r="R1285" i="3" s="1"/>
  <c r="Q1286" i="3"/>
  <c r="R1286" i="3" s="1"/>
  <c r="Q1287" i="3"/>
  <c r="R1287" i="3" s="1"/>
  <c r="Q1288" i="3"/>
  <c r="R1288" i="3" s="1"/>
  <c r="Q1289" i="3"/>
  <c r="R1289" i="3" s="1"/>
  <c r="Q1290" i="3"/>
  <c r="R1290" i="3" s="1"/>
  <c r="Q1291" i="3"/>
  <c r="R1291" i="3" s="1"/>
  <c r="Q1292" i="3"/>
  <c r="R1292" i="3" s="1"/>
  <c r="Q1293" i="3"/>
  <c r="R1293" i="3" s="1"/>
  <c r="Q1294" i="3"/>
  <c r="R1294" i="3" s="1"/>
  <c r="Q1295" i="3"/>
  <c r="R1295" i="3" s="1"/>
  <c r="Q1296" i="3"/>
  <c r="R1296" i="3" s="1"/>
  <c r="Q1297" i="3"/>
  <c r="R1297" i="3" s="1"/>
  <c r="Q1298" i="3"/>
  <c r="R1298" i="3" s="1"/>
  <c r="Q1299" i="3"/>
  <c r="R1299" i="3" s="1"/>
  <c r="Q1300" i="3"/>
  <c r="R1300" i="3" s="1"/>
  <c r="Q1301" i="3"/>
  <c r="R1301" i="3" s="1"/>
  <c r="Q1302" i="3"/>
  <c r="R1302" i="3" s="1"/>
  <c r="Q1303" i="3"/>
  <c r="R1303" i="3" s="1"/>
  <c r="Q1304" i="3"/>
  <c r="R1304" i="3" s="1"/>
  <c r="Q1305" i="3"/>
  <c r="R1305" i="3" s="1"/>
  <c r="Q1306" i="3"/>
  <c r="R1306" i="3" s="1"/>
  <c r="Q1307" i="3"/>
  <c r="R1307" i="3" s="1"/>
  <c r="Q1308" i="3"/>
  <c r="R1308" i="3" s="1"/>
  <c r="Q1309" i="3"/>
  <c r="R1309" i="3" s="1"/>
  <c r="Q1310" i="3"/>
  <c r="R1310" i="3" s="1"/>
  <c r="Q1311" i="3"/>
  <c r="R1311" i="3" s="1"/>
  <c r="Q1312" i="3"/>
  <c r="R1312" i="3" s="1"/>
  <c r="Q1313" i="3"/>
  <c r="R1313" i="3" s="1"/>
  <c r="Q1314" i="3"/>
  <c r="R1314" i="3" s="1"/>
  <c r="Q1315" i="3"/>
  <c r="R1315" i="3" s="1"/>
  <c r="Q1316" i="3"/>
  <c r="R1316" i="3" s="1"/>
  <c r="Q1317" i="3"/>
  <c r="R1317" i="3" s="1"/>
  <c r="Q1318" i="3"/>
  <c r="R1318" i="3" s="1"/>
  <c r="Q1319" i="3"/>
  <c r="R1319" i="3" s="1"/>
  <c r="Q1320" i="3"/>
  <c r="R1320" i="3" s="1"/>
  <c r="Q1321" i="3"/>
  <c r="R1321" i="3" s="1"/>
  <c r="Q1322" i="3"/>
  <c r="R1322" i="3" s="1"/>
  <c r="Q1323" i="3"/>
  <c r="R1323" i="3" s="1"/>
  <c r="Q1324" i="3"/>
  <c r="R1324" i="3" s="1"/>
  <c r="Q1325" i="3"/>
  <c r="R1325" i="3" s="1"/>
  <c r="Q1326" i="3"/>
  <c r="R1326" i="3" s="1"/>
  <c r="Q1327" i="3"/>
  <c r="R1327" i="3" s="1"/>
  <c r="Q1328" i="3"/>
  <c r="R1328" i="3" s="1"/>
  <c r="Q1329" i="3"/>
  <c r="R1329" i="3" s="1"/>
  <c r="Q1330" i="3"/>
  <c r="R1330" i="3" s="1"/>
  <c r="Q1331" i="3"/>
  <c r="R1331" i="3" s="1"/>
  <c r="Q1332" i="3"/>
  <c r="R1332" i="3" s="1"/>
  <c r="Q1333" i="3"/>
  <c r="R1333" i="3" s="1"/>
  <c r="Q1334" i="3"/>
  <c r="R1334" i="3" s="1"/>
  <c r="Q1335" i="3"/>
  <c r="R1335" i="3" s="1"/>
  <c r="Q1336" i="3"/>
  <c r="R1336" i="3" s="1"/>
  <c r="Q1337" i="3"/>
  <c r="R1337" i="3" s="1"/>
  <c r="Q1338" i="3"/>
  <c r="R1338" i="3" s="1"/>
  <c r="Q1339" i="3"/>
  <c r="R1339" i="3" s="1"/>
  <c r="Q1340" i="3"/>
  <c r="R1340" i="3" s="1"/>
  <c r="Q1341" i="3"/>
  <c r="R1341" i="3" s="1"/>
  <c r="Q1342" i="3"/>
  <c r="R1342" i="3" s="1"/>
  <c r="Q1343" i="3"/>
  <c r="R1343" i="3" s="1"/>
  <c r="Q1344" i="3"/>
  <c r="R1344" i="3" s="1"/>
  <c r="Q1345" i="3"/>
  <c r="R1345" i="3" s="1"/>
  <c r="Q1346" i="3"/>
  <c r="R1346" i="3" s="1"/>
  <c r="Q1347" i="3"/>
  <c r="R1347" i="3" s="1"/>
  <c r="Q1348" i="3"/>
  <c r="R1348" i="3" s="1"/>
  <c r="Q1349" i="3"/>
  <c r="R1349" i="3" s="1"/>
  <c r="Q1350" i="3"/>
  <c r="R1350" i="3" s="1"/>
  <c r="Q1351" i="3"/>
  <c r="R1351" i="3" s="1"/>
  <c r="Q1352" i="3"/>
  <c r="R1352" i="3" s="1"/>
  <c r="Q1353" i="3"/>
  <c r="R1353" i="3" s="1"/>
  <c r="Q1354" i="3"/>
  <c r="R1354" i="3" s="1"/>
  <c r="Q1355" i="3"/>
  <c r="R1355" i="3" s="1"/>
  <c r="Q1356" i="3"/>
  <c r="R1356" i="3" s="1"/>
  <c r="Q1357" i="3"/>
  <c r="R1357" i="3" s="1"/>
  <c r="Q1358" i="3"/>
  <c r="R1358" i="3" s="1"/>
  <c r="Q1359" i="3"/>
  <c r="R1359" i="3" s="1"/>
  <c r="Q1360" i="3"/>
  <c r="R1360" i="3" s="1"/>
  <c r="Q1361" i="3"/>
  <c r="R1361" i="3" s="1"/>
  <c r="Q1362" i="3"/>
  <c r="R1362" i="3" s="1"/>
  <c r="Q1363" i="3"/>
  <c r="R1363" i="3" s="1"/>
  <c r="Q1364" i="3"/>
  <c r="R1364" i="3" s="1"/>
  <c r="Q1365" i="3"/>
  <c r="R1365" i="3" s="1"/>
  <c r="Q1366" i="3"/>
  <c r="R1366" i="3" s="1"/>
  <c r="Q1367" i="3"/>
  <c r="R1367" i="3" s="1"/>
  <c r="Q1368" i="3"/>
  <c r="R1368" i="3" s="1"/>
  <c r="Q1369" i="3"/>
  <c r="R1369" i="3" s="1"/>
  <c r="Q1370" i="3"/>
  <c r="R1370" i="3" s="1"/>
  <c r="Q1371" i="3"/>
  <c r="R1371" i="3" s="1"/>
  <c r="Q1372" i="3"/>
  <c r="R1372" i="3" s="1"/>
  <c r="Q1373" i="3"/>
  <c r="R1373" i="3" s="1"/>
  <c r="Q1374" i="3"/>
  <c r="R1374" i="3" s="1"/>
  <c r="Q1375" i="3"/>
  <c r="R1375" i="3" s="1"/>
  <c r="Q1376" i="3"/>
  <c r="R1376" i="3" s="1"/>
  <c r="Q1377" i="3"/>
  <c r="R1377" i="3" s="1"/>
  <c r="Q1378" i="3"/>
  <c r="R1378" i="3" s="1"/>
  <c r="Q1379" i="3"/>
  <c r="R1379" i="3" s="1"/>
  <c r="Q1380" i="3"/>
  <c r="R1380" i="3" s="1"/>
  <c r="Q1381" i="3"/>
  <c r="R1381" i="3" s="1"/>
  <c r="Q1382" i="3"/>
  <c r="R1382" i="3" s="1"/>
  <c r="Q1383" i="3"/>
  <c r="R1383" i="3" s="1"/>
  <c r="Q1384" i="3"/>
  <c r="R1384" i="3" s="1"/>
  <c r="Q1385" i="3"/>
  <c r="R1385" i="3" s="1"/>
  <c r="Q1386" i="3"/>
  <c r="R1386" i="3" s="1"/>
  <c r="Q1387" i="3"/>
  <c r="R1387" i="3" s="1"/>
  <c r="Q1388" i="3"/>
  <c r="R1388" i="3" s="1"/>
  <c r="Q1389" i="3"/>
  <c r="R1389" i="3" s="1"/>
  <c r="Q1390" i="3"/>
  <c r="R1390" i="3" s="1"/>
  <c r="Q1391" i="3"/>
  <c r="R1391" i="3" s="1"/>
  <c r="Q1392" i="3"/>
  <c r="R1392" i="3" s="1"/>
  <c r="Q1393" i="3"/>
  <c r="R1393" i="3" s="1"/>
  <c r="Q1394" i="3"/>
  <c r="R1394" i="3" s="1"/>
  <c r="Q1395" i="3"/>
  <c r="R1395" i="3" s="1"/>
  <c r="Q1396" i="3"/>
  <c r="R1396" i="3" s="1"/>
  <c r="Q1397" i="3"/>
  <c r="R1397" i="3" s="1"/>
  <c r="Q1398" i="3"/>
  <c r="R1398" i="3" s="1"/>
  <c r="Q1399" i="3"/>
  <c r="R1399" i="3" s="1"/>
  <c r="Q1400" i="3"/>
  <c r="R1400" i="3" s="1"/>
  <c r="Q1401" i="3"/>
  <c r="R1401" i="3" s="1"/>
  <c r="Q1402" i="3"/>
  <c r="R1402" i="3" s="1"/>
  <c r="Q1403" i="3"/>
  <c r="R1403" i="3" s="1"/>
  <c r="Q1404" i="3"/>
  <c r="R1404" i="3" s="1"/>
  <c r="Q1405" i="3"/>
  <c r="R1405" i="3" s="1"/>
  <c r="Q1406" i="3"/>
  <c r="R1406" i="3" s="1"/>
  <c r="Q1407" i="3"/>
  <c r="R1407" i="3" s="1"/>
  <c r="Q1408" i="3"/>
  <c r="R1408" i="3" s="1"/>
  <c r="Q1409" i="3"/>
  <c r="R1409" i="3" s="1"/>
  <c r="Q1410" i="3"/>
  <c r="R1410" i="3" s="1"/>
  <c r="Q1411" i="3"/>
  <c r="R1411" i="3" s="1"/>
  <c r="Q1412" i="3"/>
  <c r="R1412" i="3" s="1"/>
  <c r="Q1413" i="3"/>
  <c r="R1413" i="3" s="1"/>
  <c r="Q1414" i="3"/>
  <c r="R1414" i="3" s="1"/>
  <c r="Q1415" i="3"/>
  <c r="R1415" i="3" s="1"/>
  <c r="Q1416" i="3"/>
  <c r="R1416" i="3" s="1"/>
  <c r="Q1417" i="3"/>
  <c r="R1417" i="3" s="1"/>
  <c r="Q1418" i="3"/>
  <c r="R1418" i="3" s="1"/>
  <c r="Q1419" i="3"/>
  <c r="R1419" i="3" s="1"/>
  <c r="Q1420" i="3"/>
  <c r="R1420" i="3" s="1"/>
  <c r="Q1421" i="3"/>
  <c r="R1421" i="3" s="1"/>
  <c r="Q1422" i="3"/>
  <c r="R1422" i="3" s="1"/>
  <c r="Q1423" i="3"/>
  <c r="R1423" i="3" s="1"/>
  <c r="Q1424" i="3"/>
  <c r="R1424" i="3" s="1"/>
  <c r="Q1425" i="3"/>
  <c r="R1425" i="3" s="1"/>
  <c r="Q1426" i="3"/>
  <c r="R1426" i="3" s="1"/>
  <c r="Q1427" i="3"/>
  <c r="R1427" i="3" s="1"/>
  <c r="Q1428" i="3"/>
  <c r="R1428" i="3" s="1"/>
  <c r="Q1429" i="3"/>
  <c r="R1429" i="3" s="1"/>
  <c r="Q1430" i="3"/>
  <c r="R1430" i="3" s="1"/>
  <c r="Q1431" i="3"/>
  <c r="R1431" i="3" s="1"/>
  <c r="Q1432" i="3"/>
  <c r="R1432" i="3" s="1"/>
  <c r="Q1433" i="3"/>
  <c r="R1433" i="3" s="1"/>
  <c r="Q1434" i="3"/>
  <c r="R1434" i="3" s="1"/>
  <c r="Q1435" i="3"/>
  <c r="R1435" i="3" s="1"/>
  <c r="Q1436" i="3"/>
  <c r="R1436" i="3" s="1"/>
  <c r="Q1437" i="3"/>
  <c r="R1437" i="3" s="1"/>
  <c r="Q1438" i="3"/>
  <c r="R1438" i="3" s="1"/>
  <c r="Q1439" i="3"/>
  <c r="R1439" i="3" s="1"/>
  <c r="Q1440" i="3"/>
  <c r="R1440" i="3" s="1"/>
  <c r="Q1441" i="3"/>
  <c r="R1441" i="3" s="1"/>
  <c r="Q1442" i="3"/>
  <c r="R1442" i="3" s="1"/>
  <c r="Q1443" i="3"/>
  <c r="R1443" i="3" s="1"/>
  <c r="Q1444" i="3"/>
  <c r="R1444" i="3" s="1"/>
  <c r="Q1445" i="3"/>
  <c r="R1445" i="3" s="1"/>
  <c r="Q1446" i="3"/>
  <c r="R1446" i="3" s="1"/>
  <c r="Q1447" i="3"/>
  <c r="R1447" i="3" s="1"/>
  <c r="Q1448" i="3"/>
  <c r="R1448" i="3" s="1"/>
  <c r="Q1449" i="3"/>
  <c r="R1449" i="3" s="1"/>
  <c r="Q1450" i="3"/>
  <c r="R1450" i="3" s="1"/>
  <c r="Q1451" i="3"/>
  <c r="R1451" i="3" s="1"/>
  <c r="Q1452" i="3"/>
  <c r="R1452" i="3" s="1"/>
  <c r="Q1453" i="3"/>
  <c r="R1453" i="3" s="1"/>
  <c r="Q1454" i="3"/>
  <c r="R1454" i="3" s="1"/>
  <c r="Q1455" i="3"/>
  <c r="R1455" i="3" s="1"/>
  <c r="Q1456" i="3"/>
  <c r="R1456" i="3" s="1"/>
  <c r="Q1457" i="3"/>
  <c r="R1457" i="3" s="1"/>
  <c r="Q1458" i="3"/>
  <c r="R1458" i="3" s="1"/>
  <c r="Q1459" i="3"/>
  <c r="R1459" i="3" s="1"/>
  <c r="Q1460" i="3"/>
  <c r="R1460" i="3" s="1"/>
  <c r="Q1461" i="3"/>
  <c r="R1461" i="3" s="1"/>
  <c r="Q1462" i="3"/>
  <c r="R1462" i="3" s="1"/>
  <c r="Q1463" i="3"/>
  <c r="R1463" i="3" s="1"/>
  <c r="Q1464" i="3"/>
  <c r="R1464" i="3" s="1"/>
  <c r="Q1465" i="3"/>
  <c r="R1465" i="3" s="1"/>
  <c r="Q1466" i="3"/>
  <c r="R1466" i="3" s="1"/>
  <c r="Q1467" i="3"/>
  <c r="R1467" i="3" s="1"/>
  <c r="Q1468" i="3"/>
  <c r="R1468" i="3" s="1"/>
  <c r="Q1469" i="3"/>
  <c r="R1469" i="3" s="1"/>
  <c r="Q1470" i="3"/>
  <c r="R1470" i="3" s="1"/>
  <c r="Q1471" i="3"/>
  <c r="R1471" i="3" s="1"/>
  <c r="Q1472" i="3"/>
  <c r="R1472" i="3" s="1"/>
  <c r="Q1473" i="3"/>
  <c r="R1473" i="3" s="1"/>
  <c r="Q1474" i="3"/>
  <c r="R1474" i="3" s="1"/>
  <c r="Q1475" i="3"/>
  <c r="R1475" i="3" s="1"/>
  <c r="Q1476" i="3"/>
  <c r="R1476" i="3" s="1"/>
  <c r="Q1477" i="3"/>
  <c r="R1477" i="3" s="1"/>
  <c r="Q1478" i="3"/>
  <c r="R1478" i="3" s="1"/>
  <c r="Q1479" i="3"/>
  <c r="R1479" i="3" s="1"/>
  <c r="Q1480" i="3"/>
  <c r="R1480" i="3" s="1"/>
  <c r="Q1481" i="3"/>
  <c r="R1481" i="3" s="1"/>
  <c r="Q1482" i="3"/>
  <c r="R1482" i="3" s="1"/>
  <c r="Q1483" i="3"/>
  <c r="R1483" i="3" s="1"/>
  <c r="Q1484" i="3"/>
  <c r="R1484" i="3" s="1"/>
  <c r="Q1485" i="3"/>
  <c r="R1485" i="3" s="1"/>
  <c r="Q1486" i="3"/>
  <c r="R1486" i="3" s="1"/>
  <c r="Q1487" i="3"/>
  <c r="R1487" i="3" s="1"/>
  <c r="Q1488" i="3"/>
  <c r="R1488" i="3" s="1"/>
  <c r="Q1489" i="3"/>
  <c r="R1489" i="3" s="1"/>
  <c r="Q1490" i="3"/>
  <c r="R1490" i="3" s="1"/>
  <c r="Q1491" i="3"/>
  <c r="R1491" i="3" s="1"/>
  <c r="Q1492" i="3"/>
  <c r="R1492" i="3" s="1"/>
  <c r="Q1493" i="3"/>
  <c r="R1493" i="3" s="1"/>
  <c r="Q1494" i="3"/>
  <c r="R1494" i="3" s="1"/>
  <c r="Q1495" i="3"/>
  <c r="R1495" i="3" s="1"/>
  <c r="Q1496" i="3"/>
  <c r="R1496" i="3" s="1"/>
  <c r="Q1497" i="3"/>
  <c r="R1497" i="3" s="1"/>
  <c r="Q1498" i="3"/>
  <c r="R1498" i="3" s="1"/>
  <c r="Q1499" i="3"/>
  <c r="R1499" i="3" s="1"/>
  <c r="Q1500" i="3"/>
  <c r="R1500" i="3" s="1"/>
  <c r="Q1501" i="3"/>
  <c r="R1501" i="3" s="1"/>
  <c r="Q1502" i="3"/>
  <c r="R1502" i="3" s="1"/>
  <c r="Q1503" i="3"/>
  <c r="R1503" i="3" s="1"/>
  <c r="Q1504" i="3"/>
  <c r="R1504" i="3" s="1"/>
  <c r="Q1505" i="3"/>
  <c r="R1505" i="3" s="1"/>
  <c r="Q1506" i="3"/>
  <c r="R1506" i="3" s="1"/>
  <c r="Q1507" i="3"/>
  <c r="R1507" i="3" s="1"/>
  <c r="Q1508" i="3"/>
  <c r="R1508" i="3" s="1"/>
  <c r="Q1509" i="3"/>
  <c r="R1509" i="3" s="1"/>
  <c r="Q1510" i="3"/>
  <c r="R1510" i="3" s="1"/>
  <c r="Q1511" i="3"/>
  <c r="R1511" i="3" s="1"/>
  <c r="Q1512" i="3"/>
  <c r="R1512" i="3" s="1"/>
  <c r="Q1513" i="3"/>
  <c r="R1513" i="3" s="1"/>
  <c r="Q1514" i="3"/>
  <c r="R1514" i="3" s="1"/>
  <c r="Q1515" i="3"/>
  <c r="R1515" i="3" s="1"/>
  <c r="Q1516" i="3"/>
  <c r="R1516" i="3" s="1"/>
  <c r="Q1517" i="3"/>
  <c r="R1517" i="3" s="1"/>
  <c r="Q1518" i="3"/>
  <c r="R1518" i="3" s="1"/>
  <c r="Q1519" i="3"/>
  <c r="R1519" i="3" s="1"/>
  <c r="Q1520" i="3"/>
  <c r="R1520" i="3" s="1"/>
  <c r="Q1521" i="3"/>
  <c r="R1521" i="3" s="1"/>
  <c r="Q1522" i="3"/>
  <c r="R1522" i="3" s="1"/>
  <c r="Q1523" i="3"/>
  <c r="R1523" i="3" s="1"/>
  <c r="Q1524" i="3"/>
  <c r="R1524" i="3" s="1"/>
  <c r="Q1525" i="3"/>
  <c r="R1525" i="3" s="1"/>
  <c r="Q1526" i="3"/>
  <c r="R1526" i="3" s="1"/>
  <c r="Q1527" i="3"/>
  <c r="R1527" i="3" s="1"/>
  <c r="Q1528" i="3"/>
  <c r="R1528" i="3" s="1"/>
  <c r="Q1529" i="3"/>
  <c r="R1529" i="3" s="1"/>
  <c r="Q1530" i="3"/>
  <c r="R1530" i="3" s="1"/>
  <c r="Q1531" i="3"/>
  <c r="R1531" i="3" s="1"/>
  <c r="Q1532" i="3"/>
  <c r="R1532" i="3" s="1"/>
  <c r="Q1533" i="3"/>
  <c r="R1533" i="3" s="1"/>
  <c r="Q1534" i="3"/>
  <c r="R1534" i="3" s="1"/>
  <c r="Q1535" i="3"/>
  <c r="R1535" i="3" s="1"/>
  <c r="Q1536" i="3"/>
  <c r="R1536" i="3" s="1"/>
  <c r="Q1537" i="3"/>
  <c r="R1537" i="3" s="1"/>
  <c r="Q1538" i="3"/>
  <c r="R1538" i="3" s="1"/>
  <c r="Q1539" i="3"/>
  <c r="R1539" i="3" s="1"/>
  <c r="Q1540" i="3"/>
  <c r="R1540" i="3" s="1"/>
  <c r="Q1541" i="3"/>
  <c r="R1541" i="3" s="1"/>
  <c r="Q1542" i="3"/>
  <c r="R1542" i="3" s="1"/>
  <c r="Q1543" i="3"/>
  <c r="R1543" i="3" s="1"/>
  <c r="Q1544" i="3"/>
  <c r="R1544" i="3" s="1"/>
  <c r="Q1545" i="3"/>
  <c r="R1545" i="3" s="1"/>
  <c r="Q1546" i="3"/>
  <c r="R1546" i="3" s="1"/>
  <c r="Q1547" i="3"/>
  <c r="R1547" i="3" s="1"/>
  <c r="Q1548" i="3"/>
  <c r="R1548" i="3" s="1"/>
  <c r="Q1549" i="3"/>
  <c r="R1549" i="3" s="1"/>
  <c r="Q1550" i="3"/>
  <c r="R1550" i="3" s="1"/>
  <c r="Q1551" i="3"/>
  <c r="R1551" i="3" s="1"/>
  <c r="Q1552" i="3"/>
  <c r="R1552" i="3" s="1"/>
  <c r="Q1553" i="3"/>
  <c r="R1553" i="3" s="1"/>
  <c r="Q1554" i="3"/>
  <c r="R1554" i="3" s="1"/>
  <c r="Q1555" i="3"/>
  <c r="R1555" i="3" s="1"/>
  <c r="Q1556" i="3"/>
  <c r="R1556" i="3" s="1"/>
  <c r="Q1557" i="3"/>
  <c r="R1557" i="3" s="1"/>
  <c r="Q1558" i="3"/>
  <c r="R1558" i="3" s="1"/>
  <c r="Q1559" i="3"/>
  <c r="R1559" i="3" s="1"/>
  <c r="Q1560" i="3"/>
  <c r="R1560" i="3" s="1"/>
  <c r="Q1561" i="3"/>
  <c r="R1561" i="3" s="1"/>
  <c r="Q1562" i="3"/>
  <c r="R1562" i="3" s="1"/>
  <c r="Q1563" i="3"/>
  <c r="R1563" i="3" s="1"/>
  <c r="Q1564" i="3"/>
  <c r="R1564" i="3" s="1"/>
  <c r="Q1565" i="3"/>
  <c r="R1565" i="3" s="1"/>
  <c r="Q1566" i="3"/>
  <c r="R1566" i="3" s="1"/>
  <c r="Q1567" i="3"/>
  <c r="R1567" i="3" s="1"/>
  <c r="Q1568" i="3"/>
  <c r="R1568" i="3" s="1"/>
  <c r="Q1569" i="3"/>
  <c r="R1569" i="3" s="1"/>
  <c r="Q1570" i="3"/>
  <c r="R1570" i="3" s="1"/>
  <c r="Q1571" i="3"/>
  <c r="R1571" i="3" s="1"/>
  <c r="Q1572" i="3"/>
  <c r="R1572" i="3" s="1"/>
  <c r="Q1573" i="3"/>
  <c r="R1573" i="3" s="1"/>
  <c r="Q1574" i="3"/>
  <c r="R1574" i="3" s="1"/>
  <c r="Q1575" i="3"/>
  <c r="R1575" i="3" s="1"/>
  <c r="Q1576" i="3"/>
  <c r="R1576" i="3" s="1"/>
  <c r="Q1577" i="3"/>
  <c r="R1577" i="3" s="1"/>
  <c r="Q1578" i="3"/>
  <c r="R1578" i="3" s="1"/>
  <c r="Q1579" i="3"/>
  <c r="R1579" i="3" s="1"/>
  <c r="Q1580" i="3"/>
  <c r="R1580" i="3" s="1"/>
  <c r="Q1581" i="3"/>
  <c r="R1581" i="3" s="1"/>
  <c r="Q1582" i="3"/>
  <c r="R1582" i="3" s="1"/>
  <c r="Q1583" i="3"/>
  <c r="R1583" i="3" s="1"/>
  <c r="Q1584" i="3"/>
  <c r="R1584" i="3" s="1"/>
  <c r="Q1585" i="3"/>
  <c r="R1585" i="3" s="1"/>
  <c r="Q1586" i="3"/>
  <c r="R1586" i="3" s="1"/>
  <c r="Q1587" i="3"/>
  <c r="R1587" i="3" s="1"/>
  <c r="Q1588" i="3"/>
  <c r="R1588" i="3" s="1"/>
  <c r="Q1589" i="3"/>
  <c r="R1589" i="3" s="1"/>
  <c r="Q1590" i="3"/>
  <c r="R1590" i="3" s="1"/>
  <c r="Q1591" i="3"/>
  <c r="R1591" i="3" s="1"/>
  <c r="Q1592" i="3"/>
  <c r="R1592" i="3" s="1"/>
  <c r="Q1593" i="3"/>
  <c r="R1593" i="3" s="1"/>
  <c r="Q1594" i="3"/>
  <c r="R1594" i="3" s="1"/>
  <c r="Q1595" i="3"/>
  <c r="R1595" i="3" s="1"/>
  <c r="Q1596" i="3"/>
  <c r="R1596" i="3" s="1"/>
  <c r="Q1597" i="3"/>
  <c r="R1597" i="3" s="1"/>
  <c r="Q1598" i="3"/>
  <c r="R1598" i="3" s="1"/>
  <c r="Q1599" i="3"/>
  <c r="R1599" i="3" s="1"/>
  <c r="Q1600" i="3"/>
  <c r="R1600" i="3" s="1"/>
  <c r="Q1601" i="3"/>
  <c r="R1601" i="3" s="1"/>
  <c r="Q1602" i="3"/>
  <c r="R1602" i="3" s="1"/>
  <c r="Q1603" i="3"/>
  <c r="R1603" i="3" s="1"/>
  <c r="Q1604" i="3"/>
  <c r="R1604" i="3" s="1"/>
  <c r="Q1605" i="3"/>
  <c r="R1605" i="3" s="1"/>
  <c r="Q1606" i="3"/>
  <c r="R1606" i="3" s="1"/>
  <c r="Q1607" i="3"/>
  <c r="R1607" i="3" s="1"/>
  <c r="Q1608" i="3"/>
  <c r="R1608" i="3" s="1"/>
  <c r="Q1609" i="3"/>
  <c r="R1609" i="3" s="1"/>
  <c r="Q1610" i="3"/>
  <c r="R1610" i="3" s="1"/>
  <c r="Q1611" i="3"/>
  <c r="R1611" i="3" s="1"/>
  <c r="Q1612" i="3"/>
  <c r="R1612" i="3" s="1"/>
  <c r="Q1613" i="3"/>
  <c r="R1613" i="3" s="1"/>
  <c r="Q1614" i="3"/>
  <c r="R1614" i="3" s="1"/>
  <c r="Q1615" i="3"/>
  <c r="R1615" i="3" s="1"/>
  <c r="Q1616" i="3"/>
  <c r="R1616" i="3" s="1"/>
  <c r="Q1617" i="3"/>
  <c r="R1617" i="3" s="1"/>
  <c r="Q1618" i="3"/>
  <c r="R1618" i="3" s="1"/>
  <c r="Q1619" i="3"/>
  <c r="R1619" i="3" s="1"/>
  <c r="Q1620" i="3"/>
  <c r="R1620" i="3" s="1"/>
  <c r="Q1621" i="3"/>
  <c r="R1621" i="3" s="1"/>
  <c r="Q1622" i="3"/>
  <c r="R1622" i="3" s="1"/>
  <c r="Q1623" i="3"/>
  <c r="R1623" i="3" s="1"/>
  <c r="Q1624" i="3"/>
  <c r="R1624" i="3" s="1"/>
  <c r="Q1625" i="3"/>
  <c r="R1625" i="3" s="1"/>
  <c r="Q1626" i="3"/>
  <c r="R1626" i="3" s="1"/>
  <c r="Q1627" i="3"/>
  <c r="R1627" i="3" s="1"/>
  <c r="Q1628" i="3"/>
  <c r="R1628" i="3" s="1"/>
  <c r="Q1629" i="3"/>
  <c r="R1629" i="3" s="1"/>
  <c r="Q1630" i="3"/>
  <c r="R1630" i="3" s="1"/>
  <c r="Q1631" i="3"/>
  <c r="R1631" i="3" s="1"/>
  <c r="Q1632" i="3"/>
  <c r="R1632" i="3" s="1"/>
  <c r="Q1633" i="3"/>
  <c r="R1633" i="3" s="1"/>
  <c r="Q1634" i="3"/>
  <c r="R1634" i="3" s="1"/>
  <c r="Q1635" i="3"/>
  <c r="R1635" i="3" s="1"/>
  <c r="Q1636" i="3"/>
  <c r="R1636" i="3" s="1"/>
  <c r="Q1637" i="3"/>
  <c r="R1637" i="3" s="1"/>
  <c r="Q1638" i="3"/>
  <c r="R1638" i="3" s="1"/>
  <c r="Q1639" i="3"/>
  <c r="R1639" i="3" s="1"/>
  <c r="Q1640" i="3"/>
  <c r="R1640" i="3" s="1"/>
  <c r="Q1641" i="3"/>
  <c r="R1641" i="3" s="1"/>
  <c r="Q1642" i="3"/>
  <c r="R1642" i="3" s="1"/>
  <c r="Q1643" i="3"/>
  <c r="R1643" i="3" s="1"/>
  <c r="Q1644" i="3"/>
  <c r="R1644" i="3" s="1"/>
  <c r="Q1645" i="3"/>
  <c r="R1645" i="3" s="1"/>
  <c r="Q1646" i="3"/>
  <c r="R1646" i="3" s="1"/>
  <c r="Q1647" i="3"/>
  <c r="R1647" i="3" s="1"/>
  <c r="Q1648" i="3"/>
  <c r="R1648" i="3" s="1"/>
  <c r="Q1649" i="3"/>
  <c r="R1649" i="3" s="1"/>
  <c r="Q1650" i="3"/>
  <c r="R1650" i="3" s="1"/>
  <c r="Q1651" i="3"/>
  <c r="R1651" i="3" s="1"/>
  <c r="Q1652" i="3"/>
  <c r="R1652" i="3" s="1"/>
  <c r="Q1653" i="3"/>
  <c r="R1653" i="3" s="1"/>
  <c r="Q1654" i="3"/>
  <c r="R1654" i="3" s="1"/>
  <c r="Q1655" i="3"/>
  <c r="R1655" i="3" s="1"/>
  <c r="Q1656" i="3"/>
  <c r="R1656" i="3" s="1"/>
  <c r="Q1657" i="3"/>
  <c r="R1657" i="3" s="1"/>
  <c r="Q1658" i="3"/>
  <c r="R1658" i="3" s="1"/>
  <c r="Q1659" i="3"/>
  <c r="R1659" i="3" s="1"/>
  <c r="Q1660" i="3"/>
  <c r="R1660" i="3" s="1"/>
  <c r="Q1661" i="3"/>
  <c r="R1661" i="3" s="1"/>
  <c r="Q1662" i="3"/>
  <c r="R1662" i="3" s="1"/>
  <c r="Q1663" i="3"/>
  <c r="R1663" i="3" s="1"/>
  <c r="Q1664" i="3"/>
  <c r="R1664" i="3" s="1"/>
  <c r="Q1665" i="3"/>
  <c r="R1665" i="3" s="1"/>
  <c r="Q1666" i="3"/>
  <c r="R1666" i="3" s="1"/>
  <c r="Q1667" i="3"/>
  <c r="R1667" i="3" s="1"/>
  <c r="Q1668" i="3"/>
  <c r="R1668" i="3" s="1"/>
  <c r="Q1669" i="3"/>
  <c r="R1669" i="3" s="1"/>
  <c r="Q1670" i="3"/>
  <c r="R1670" i="3" s="1"/>
  <c r="Q1671" i="3"/>
  <c r="R1671" i="3" s="1"/>
  <c r="Q1672" i="3"/>
  <c r="R1672" i="3" s="1"/>
  <c r="Q1673" i="3"/>
  <c r="R1673" i="3" s="1"/>
  <c r="Q1674" i="3"/>
  <c r="R1674" i="3" s="1"/>
  <c r="Q1675" i="3"/>
  <c r="R1675" i="3" s="1"/>
  <c r="Q1676" i="3"/>
  <c r="R1676" i="3" s="1"/>
  <c r="Q1677" i="3"/>
  <c r="R1677" i="3" s="1"/>
  <c r="Q1678" i="3"/>
  <c r="R1678" i="3" s="1"/>
  <c r="Q1679" i="3"/>
  <c r="R1679" i="3" s="1"/>
  <c r="Q1680" i="3"/>
  <c r="R1680" i="3" s="1"/>
  <c r="Q1681" i="3"/>
  <c r="R1681" i="3" s="1"/>
  <c r="Q1682" i="3"/>
  <c r="R1682" i="3" s="1"/>
  <c r="Q1683" i="3"/>
  <c r="R1683" i="3" s="1"/>
  <c r="Q1684" i="3"/>
  <c r="R1684" i="3" s="1"/>
  <c r="Q1685" i="3"/>
  <c r="R1685" i="3" s="1"/>
  <c r="Q1686" i="3"/>
  <c r="R1686" i="3" s="1"/>
  <c r="Q1687" i="3"/>
  <c r="R1687" i="3" s="1"/>
  <c r="Q1688" i="3"/>
  <c r="R1688" i="3" s="1"/>
  <c r="Q1689" i="3"/>
  <c r="R1689" i="3" s="1"/>
  <c r="Q1690" i="3"/>
  <c r="R1690" i="3" s="1"/>
  <c r="Q1691" i="3"/>
  <c r="R1691" i="3" s="1"/>
  <c r="Q1692" i="3"/>
  <c r="R1692" i="3" s="1"/>
  <c r="Q1693" i="3"/>
  <c r="R1693" i="3" s="1"/>
  <c r="Q1694" i="3"/>
  <c r="R1694" i="3" s="1"/>
  <c r="Q1695" i="3"/>
  <c r="R1695" i="3" s="1"/>
  <c r="Q1696" i="3"/>
  <c r="R1696" i="3" s="1"/>
  <c r="Q1697" i="3"/>
  <c r="R1697" i="3" s="1"/>
  <c r="Q1698" i="3"/>
  <c r="R1698" i="3" s="1"/>
  <c r="Q1699" i="3"/>
  <c r="R1699" i="3" s="1"/>
  <c r="Q1700" i="3"/>
  <c r="R1700" i="3" s="1"/>
  <c r="Q1701" i="3"/>
  <c r="R1701" i="3" s="1"/>
  <c r="Q1702" i="3"/>
  <c r="R1702" i="3" s="1"/>
  <c r="Q1703" i="3"/>
  <c r="R1703" i="3" s="1"/>
  <c r="Q1704" i="3"/>
  <c r="R1704" i="3" s="1"/>
  <c r="Q1705" i="3"/>
  <c r="R1705" i="3" s="1"/>
  <c r="Q1706" i="3"/>
  <c r="R1706" i="3" s="1"/>
  <c r="Q1707" i="3"/>
  <c r="R1707" i="3" s="1"/>
  <c r="Q1708" i="3"/>
  <c r="R1708" i="3" s="1"/>
  <c r="Q1709" i="3"/>
  <c r="R1709" i="3" s="1"/>
  <c r="Q1710" i="3"/>
  <c r="R1710" i="3" s="1"/>
  <c r="Q1711" i="3"/>
  <c r="R1711" i="3" s="1"/>
  <c r="Q1712" i="3"/>
  <c r="R1712" i="3" s="1"/>
  <c r="Q1713" i="3"/>
  <c r="R1713" i="3" s="1"/>
  <c r="Q1714" i="3"/>
  <c r="R1714" i="3" s="1"/>
  <c r="Q1715" i="3"/>
  <c r="R1715" i="3" s="1"/>
  <c r="Q1716" i="3"/>
  <c r="R1716" i="3" s="1"/>
  <c r="Q1717" i="3"/>
  <c r="R1717" i="3" s="1"/>
  <c r="Q1718" i="3"/>
  <c r="R1718" i="3" s="1"/>
  <c r="Q1719" i="3"/>
  <c r="R1719" i="3" s="1"/>
  <c r="Q1720" i="3"/>
  <c r="R1720" i="3" s="1"/>
  <c r="Q1721" i="3"/>
  <c r="R1721" i="3" s="1"/>
  <c r="Q1722" i="3"/>
  <c r="R1722" i="3" s="1"/>
  <c r="Q1723" i="3"/>
  <c r="R1723" i="3" s="1"/>
  <c r="Q1724" i="3"/>
  <c r="R1724" i="3" s="1"/>
  <c r="Q1725" i="3"/>
  <c r="R1725" i="3" s="1"/>
  <c r="Q1726" i="3"/>
  <c r="R1726" i="3" s="1"/>
  <c r="Q1727" i="3"/>
  <c r="R1727" i="3" s="1"/>
  <c r="Q1728" i="3"/>
  <c r="R1728" i="3" s="1"/>
  <c r="Q1729" i="3"/>
  <c r="R1729" i="3" s="1"/>
  <c r="Q1730" i="3"/>
  <c r="R1730" i="3" s="1"/>
  <c r="Q1731" i="3"/>
  <c r="R1731" i="3" s="1"/>
  <c r="Q1732" i="3"/>
  <c r="R1732" i="3" s="1"/>
  <c r="Q1733" i="3"/>
  <c r="R1733" i="3" s="1"/>
  <c r="Q1734" i="3"/>
  <c r="R1734" i="3" s="1"/>
  <c r="Q1735" i="3"/>
  <c r="R1735" i="3" s="1"/>
  <c r="Q1736" i="3"/>
  <c r="R1736" i="3" s="1"/>
  <c r="Q1737" i="3"/>
  <c r="R1737" i="3" s="1"/>
  <c r="Q1738" i="3"/>
  <c r="R1738" i="3" s="1"/>
  <c r="Q1739" i="3"/>
  <c r="R1739" i="3" s="1"/>
  <c r="Q1740" i="3"/>
  <c r="R1740" i="3" s="1"/>
  <c r="Q1741" i="3"/>
  <c r="R1741" i="3" s="1"/>
  <c r="Q1742" i="3"/>
  <c r="R1742" i="3" s="1"/>
  <c r="Q1743" i="3"/>
  <c r="R1743" i="3" s="1"/>
  <c r="Q1744" i="3"/>
  <c r="R1744" i="3" s="1"/>
  <c r="Q1745" i="3"/>
  <c r="R1745" i="3" s="1"/>
  <c r="Q1746" i="3"/>
  <c r="R1746" i="3" s="1"/>
  <c r="Q1747" i="3"/>
  <c r="R1747" i="3" s="1"/>
  <c r="Q1748" i="3"/>
  <c r="R1748" i="3" s="1"/>
  <c r="Q1749" i="3"/>
  <c r="R1749" i="3" s="1"/>
  <c r="Q1750" i="3"/>
  <c r="R1750" i="3" s="1"/>
  <c r="Q1751" i="3"/>
  <c r="R1751" i="3" s="1"/>
  <c r="Q1752" i="3"/>
  <c r="R1752" i="3" s="1"/>
  <c r="Q1753" i="3"/>
  <c r="R1753" i="3" s="1"/>
  <c r="Q1754" i="3"/>
  <c r="R1754" i="3" s="1"/>
  <c r="Q1755" i="3"/>
  <c r="R1755" i="3" s="1"/>
  <c r="Q1756" i="3"/>
  <c r="R1756" i="3" s="1"/>
  <c r="Q1757" i="3"/>
  <c r="R1757" i="3" s="1"/>
  <c r="Q1758" i="3"/>
  <c r="R1758" i="3" s="1"/>
  <c r="Q1759" i="3"/>
  <c r="R1759" i="3" s="1"/>
  <c r="Q1760" i="3"/>
  <c r="R1760" i="3" s="1"/>
  <c r="Q1761" i="3"/>
  <c r="R1761" i="3" s="1"/>
  <c r="Q1762" i="3"/>
  <c r="R1762" i="3" s="1"/>
  <c r="Q1763" i="3"/>
  <c r="R1763" i="3" s="1"/>
  <c r="Q1764" i="3"/>
  <c r="R1764" i="3" s="1"/>
  <c r="Q1765" i="3"/>
  <c r="R1765" i="3" s="1"/>
  <c r="Q1766" i="3"/>
  <c r="R1766" i="3" s="1"/>
  <c r="Q1767" i="3"/>
  <c r="R1767" i="3" s="1"/>
  <c r="Q1768" i="3"/>
  <c r="R1768" i="3" s="1"/>
  <c r="Q1769" i="3"/>
  <c r="R1769" i="3" s="1"/>
  <c r="Q1770" i="3"/>
  <c r="R1770" i="3" s="1"/>
  <c r="Q1771" i="3"/>
  <c r="R1771" i="3" s="1"/>
  <c r="Q1772" i="3"/>
  <c r="R1772" i="3" s="1"/>
  <c r="Q1773" i="3"/>
  <c r="R1773" i="3" s="1"/>
  <c r="Q1774" i="3"/>
  <c r="R1774" i="3" s="1"/>
  <c r="Q1775" i="3"/>
  <c r="R1775" i="3" s="1"/>
  <c r="Q1776" i="3"/>
  <c r="R1776" i="3" s="1"/>
  <c r="Q1777" i="3"/>
  <c r="R1777" i="3" s="1"/>
  <c r="Q1778" i="3"/>
  <c r="R1778" i="3" s="1"/>
  <c r="Q1779" i="3"/>
  <c r="R1779" i="3" s="1"/>
  <c r="Q1780" i="3"/>
  <c r="R1780" i="3" s="1"/>
  <c r="Q1781" i="3"/>
  <c r="R1781" i="3" s="1"/>
  <c r="Q1782" i="3"/>
  <c r="R1782" i="3" s="1"/>
  <c r="Q1783" i="3"/>
  <c r="R1783" i="3" s="1"/>
  <c r="Q1784" i="3"/>
  <c r="R1784" i="3" s="1"/>
  <c r="Q1785" i="3"/>
  <c r="R1785" i="3" s="1"/>
  <c r="Q1786" i="3"/>
  <c r="R1786" i="3" s="1"/>
  <c r="Q1787" i="3"/>
  <c r="R1787" i="3" s="1"/>
  <c r="Q1788" i="3"/>
  <c r="R1788" i="3" s="1"/>
  <c r="Q1789" i="3"/>
  <c r="R1789" i="3" s="1"/>
  <c r="Q1790" i="3"/>
  <c r="R1790" i="3" s="1"/>
  <c r="Q1791" i="3"/>
  <c r="R1791" i="3" s="1"/>
  <c r="Q1792" i="3"/>
  <c r="R1792" i="3" s="1"/>
  <c r="Q1793" i="3"/>
  <c r="R1793" i="3" s="1"/>
  <c r="Q1794" i="3"/>
  <c r="R1794" i="3" s="1"/>
  <c r="Q1795" i="3"/>
  <c r="R1795" i="3" s="1"/>
  <c r="Q1796" i="3"/>
  <c r="R1796" i="3" s="1"/>
  <c r="Q1797" i="3"/>
  <c r="R1797" i="3" s="1"/>
  <c r="Q1798" i="3"/>
  <c r="R1798" i="3" s="1"/>
  <c r="Q1799" i="3"/>
  <c r="R1799" i="3" s="1"/>
  <c r="Q1800" i="3"/>
  <c r="R1800" i="3" s="1"/>
  <c r="Q1801" i="3"/>
  <c r="R1801" i="3" s="1"/>
  <c r="Q1802" i="3"/>
  <c r="R1802" i="3" s="1"/>
  <c r="Q1803" i="3"/>
  <c r="R1803" i="3" s="1"/>
  <c r="Q1804" i="3"/>
  <c r="R1804" i="3" s="1"/>
  <c r="Q1805" i="3"/>
  <c r="R1805" i="3" s="1"/>
  <c r="Q1806" i="3"/>
  <c r="R1806" i="3" s="1"/>
  <c r="Q1807" i="3"/>
  <c r="R1807" i="3" s="1"/>
  <c r="Q1808" i="3"/>
  <c r="R1808" i="3" s="1"/>
  <c r="Q1809" i="3"/>
  <c r="R1809" i="3" s="1"/>
  <c r="Q1810" i="3"/>
  <c r="R1810" i="3" s="1"/>
  <c r="Q1811" i="3"/>
  <c r="R1811" i="3" s="1"/>
  <c r="Q1812" i="3"/>
  <c r="R1812" i="3" s="1"/>
  <c r="Q1813" i="3"/>
  <c r="R1813" i="3" s="1"/>
  <c r="Q1814" i="3"/>
  <c r="R1814" i="3" s="1"/>
  <c r="Q1815" i="3"/>
  <c r="R1815" i="3" s="1"/>
  <c r="Q1816" i="3"/>
  <c r="R1816" i="3" s="1"/>
  <c r="Q1817" i="3"/>
  <c r="R1817" i="3" s="1"/>
  <c r="Q1818" i="3"/>
  <c r="R1818" i="3" s="1"/>
  <c r="Q1819" i="3"/>
  <c r="R1819" i="3" s="1"/>
  <c r="Q1820" i="3"/>
  <c r="R1820" i="3" s="1"/>
  <c r="Q1821" i="3"/>
  <c r="R1821" i="3" s="1"/>
  <c r="Q1822" i="3"/>
  <c r="R1822" i="3" s="1"/>
  <c r="Q1823" i="3"/>
  <c r="R1823" i="3" s="1"/>
  <c r="Q1824" i="3"/>
  <c r="R1824" i="3" s="1"/>
  <c r="Q1825" i="3"/>
  <c r="R1825" i="3" s="1"/>
  <c r="Q1826" i="3"/>
  <c r="R1826" i="3" s="1"/>
  <c r="Q1827" i="3"/>
  <c r="R1827" i="3" s="1"/>
  <c r="Q1828" i="3"/>
  <c r="R1828" i="3" s="1"/>
  <c r="Q1829" i="3"/>
  <c r="R1829" i="3" s="1"/>
  <c r="Q1830" i="3"/>
  <c r="R1830" i="3" s="1"/>
  <c r="Q1831" i="3"/>
  <c r="R1831" i="3" s="1"/>
  <c r="Q1832" i="3"/>
  <c r="R1832" i="3" s="1"/>
  <c r="Q1833" i="3"/>
  <c r="R1833" i="3" s="1"/>
  <c r="Q1834" i="3"/>
  <c r="R1834" i="3" s="1"/>
  <c r="Q1835" i="3"/>
  <c r="R1835" i="3" s="1"/>
  <c r="Q1836" i="3"/>
  <c r="R1836" i="3" s="1"/>
  <c r="Q1837" i="3"/>
  <c r="R1837" i="3" s="1"/>
  <c r="Q1838" i="3"/>
  <c r="R1838" i="3" s="1"/>
  <c r="Q1839" i="3"/>
  <c r="R1839" i="3" s="1"/>
  <c r="Q1840" i="3"/>
  <c r="R1840" i="3" s="1"/>
  <c r="Q1841" i="3"/>
  <c r="R1841" i="3" s="1"/>
  <c r="Q1842" i="3"/>
  <c r="R1842" i="3" s="1"/>
  <c r="Q1843" i="3"/>
  <c r="R1843" i="3" s="1"/>
  <c r="Q1844" i="3"/>
  <c r="R1844" i="3" s="1"/>
  <c r="Q1845" i="3"/>
  <c r="R1845" i="3" s="1"/>
  <c r="Q1846" i="3"/>
  <c r="R1846" i="3" s="1"/>
  <c r="Q1847" i="3"/>
  <c r="R1847" i="3" s="1"/>
  <c r="Q1848" i="3"/>
  <c r="R1848" i="3" s="1"/>
  <c r="Q1849" i="3"/>
  <c r="R1849" i="3" s="1"/>
  <c r="Q1850" i="3"/>
  <c r="R1850" i="3" s="1"/>
  <c r="Q1851" i="3"/>
  <c r="R1851" i="3" s="1"/>
  <c r="Q1852" i="3"/>
  <c r="R1852" i="3" s="1"/>
  <c r="Q1853" i="3"/>
  <c r="R1853" i="3" s="1"/>
  <c r="Q1854" i="3"/>
  <c r="R1854" i="3" s="1"/>
  <c r="Q1855" i="3"/>
  <c r="R1855" i="3" s="1"/>
  <c r="Q1856" i="3"/>
  <c r="R1856" i="3" s="1"/>
  <c r="Q1857" i="3"/>
  <c r="R1857" i="3" s="1"/>
  <c r="Q1858" i="3"/>
  <c r="R1858" i="3" s="1"/>
  <c r="Q1859" i="3"/>
  <c r="R1859" i="3" s="1"/>
  <c r="Q1860" i="3"/>
  <c r="R1860" i="3" s="1"/>
  <c r="Q1861" i="3"/>
  <c r="R1861" i="3" s="1"/>
  <c r="Q1862" i="3"/>
  <c r="R1862" i="3" s="1"/>
  <c r="Q1863" i="3"/>
  <c r="R1863" i="3" s="1"/>
  <c r="Q1864" i="3"/>
  <c r="R1864" i="3" s="1"/>
  <c r="Q1865" i="3"/>
  <c r="R1865" i="3" s="1"/>
  <c r="Q1866" i="3"/>
  <c r="R1866" i="3" s="1"/>
  <c r="Q1867" i="3"/>
  <c r="R1867" i="3" s="1"/>
  <c r="Q1868" i="3"/>
  <c r="R1868" i="3" s="1"/>
  <c r="Q1869" i="3"/>
  <c r="R1869" i="3" s="1"/>
  <c r="Q1870" i="3"/>
  <c r="R1870" i="3" s="1"/>
  <c r="Q1871" i="3"/>
  <c r="R1871" i="3" s="1"/>
  <c r="Q1872" i="3"/>
  <c r="R1872" i="3" s="1"/>
  <c r="Q1873" i="3"/>
  <c r="R1873" i="3" s="1"/>
  <c r="Q1874" i="3"/>
  <c r="R1874" i="3" s="1"/>
  <c r="Q1875" i="3"/>
  <c r="R1875" i="3" s="1"/>
  <c r="Q1876" i="3"/>
  <c r="R1876" i="3" s="1"/>
  <c r="Q1877" i="3"/>
  <c r="R1877" i="3" s="1"/>
  <c r="Q1878" i="3"/>
  <c r="R1878" i="3" s="1"/>
  <c r="Q1879" i="3"/>
  <c r="R1879" i="3" s="1"/>
  <c r="Q1880" i="3"/>
  <c r="R1880" i="3" s="1"/>
  <c r="Q1881" i="3"/>
  <c r="R1881" i="3" s="1"/>
  <c r="Q1882" i="3"/>
  <c r="R1882" i="3" s="1"/>
  <c r="Q1883" i="3"/>
  <c r="R1883" i="3" s="1"/>
  <c r="Q1884" i="3"/>
  <c r="R1884" i="3" s="1"/>
  <c r="Q1885" i="3"/>
  <c r="R1885" i="3" s="1"/>
  <c r="Q1886" i="3"/>
  <c r="R1886" i="3" s="1"/>
  <c r="Q1887" i="3"/>
  <c r="R1887" i="3" s="1"/>
  <c r="Q1888" i="3"/>
  <c r="R1888" i="3" s="1"/>
  <c r="Q1889" i="3"/>
  <c r="R1889" i="3" s="1"/>
  <c r="Q1890" i="3"/>
  <c r="R1890" i="3" s="1"/>
  <c r="Q1891" i="3"/>
  <c r="R1891" i="3" s="1"/>
  <c r="Q1892" i="3"/>
  <c r="R1892" i="3" s="1"/>
  <c r="Q1893" i="3"/>
  <c r="R1893" i="3" s="1"/>
  <c r="Q1894" i="3"/>
  <c r="R1894" i="3" s="1"/>
  <c r="Q1895" i="3"/>
  <c r="R1895" i="3" s="1"/>
  <c r="Q1896" i="3"/>
  <c r="R1896" i="3" s="1"/>
  <c r="Q1897" i="3"/>
  <c r="R1897" i="3" s="1"/>
  <c r="Q1898" i="3"/>
  <c r="R1898" i="3" s="1"/>
  <c r="Q1899" i="3"/>
  <c r="R1899" i="3" s="1"/>
  <c r="Q1900" i="3"/>
  <c r="R1900" i="3" s="1"/>
  <c r="Q1901" i="3"/>
  <c r="R1901" i="3" s="1"/>
  <c r="Q1902" i="3"/>
  <c r="R1902" i="3" s="1"/>
  <c r="Q1903" i="3"/>
  <c r="R1903" i="3" s="1"/>
  <c r="Q1904" i="3"/>
  <c r="R1904" i="3" s="1"/>
  <c r="Q1905" i="3"/>
  <c r="R1905" i="3" s="1"/>
  <c r="Q1906" i="3"/>
  <c r="R1906" i="3" s="1"/>
  <c r="Q1907" i="3"/>
  <c r="R1907" i="3" s="1"/>
  <c r="Q1908" i="3"/>
  <c r="R1908" i="3" s="1"/>
  <c r="Q1909" i="3"/>
  <c r="R1909" i="3" s="1"/>
  <c r="Q1910" i="3"/>
  <c r="R1910" i="3" s="1"/>
  <c r="Q1911" i="3"/>
  <c r="R1911" i="3" s="1"/>
  <c r="Q1912" i="3"/>
  <c r="R1912" i="3" s="1"/>
  <c r="Q1913" i="3"/>
  <c r="R1913" i="3" s="1"/>
  <c r="Q1914" i="3"/>
  <c r="R1914" i="3" s="1"/>
  <c r="Q1915" i="3"/>
  <c r="R1915" i="3" s="1"/>
  <c r="Q1916" i="3"/>
  <c r="R1916" i="3" s="1"/>
  <c r="Q1917" i="3"/>
  <c r="R1917" i="3" s="1"/>
  <c r="Q1918" i="3"/>
  <c r="R1918" i="3" s="1"/>
  <c r="Q1919" i="3"/>
  <c r="R1919" i="3" s="1"/>
  <c r="Q1920" i="3"/>
  <c r="R1920" i="3" s="1"/>
  <c r="Q1921" i="3"/>
  <c r="R1921" i="3" s="1"/>
  <c r="Q1922" i="3"/>
  <c r="R1922" i="3" s="1"/>
  <c r="Q1923" i="3"/>
  <c r="R1923" i="3" s="1"/>
  <c r="Q1924" i="3"/>
  <c r="R1924" i="3" s="1"/>
  <c r="Q1925" i="3"/>
  <c r="R1925" i="3" s="1"/>
  <c r="Q1926" i="3"/>
  <c r="R1926" i="3" s="1"/>
  <c r="Q1927" i="3"/>
  <c r="R1927" i="3" s="1"/>
  <c r="Q1928" i="3"/>
  <c r="R1928" i="3" s="1"/>
  <c r="Q1929" i="3"/>
  <c r="R1929" i="3" s="1"/>
  <c r="Q1930" i="3"/>
  <c r="R1930" i="3" s="1"/>
  <c r="Q1931" i="3"/>
  <c r="R1931" i="3" s="1"/>
  <c r="Q1932" i="3"/>
  <c r="R1932" i="3" s="1"/>
  <c r="Q1933" i="3"/>
  <c r="R1933" i="3" s="1"/>
  <c r="Q1934" i="3"/>
  <c r="R1934" i="3" s="1"/>
  <c r="Q1935" i="3"/>
  <c r="R1935" i="3" s="1"/>
  <c r="Q1936" i="3"/>
  <c r="R1936" i="3" s="1"/>
  <c r="Q1937" i="3"/>
  <c r="R1937" i="3" s="1"/>
  <c r="Q1938" i="3"/>
  <c r="R1938" i="3" s="1"/>
  <c r="Q1939" i="3"/>
  <c r="R1939" i="3" s="1"/>
  <c r="Q1940" i="3"/>
  <c r="R1940" i="3" s="1"/>
  <c r="Q1941" i="3"/>
  <c r="R1941" i="3" s="1"/>
  <c r="Q1942" i="3"/>
  <c r="R1942" i="3" s="1"/>
  <c r="Q1943" i="3"/>
  <c r="R1943" i="3" s="1"/>
  <c r="Q1944" i="3"/>
  <c r="R1944" i="3" s="1"/>
  <c r="Q1945" i="3"/>
  <c r="R1945" i="3" s="1"/>
  <c r="Q1946" i="3"/>
  <c r="R1946" i="3" s="1"/>
  <c r="Q1947" i="3"/>
  <c r="R1947" i="3" s="1"/>
  <c r="Q1948" i="3"/>
  <c r="R1948" i="3" s="1"/>
  <c r="Q1949" i="3"/>
  <c r="R1949" i="3" s="1"/>
  <c r="Q1950" i="3"/>
  <c r="R1950" i="3" s="1"/>
  <c r="Q1951" i="3"/>
  <c r="R1951" i="3" s="1"/>
  <c r="Q1952" i="3"/>
  <c r="R1952" i="3" s="1"/>
  <c r="Q1953" i="3"/>
  <c r="R1953" i="3" s="1"/>
  <c r="Q1954" i="3"/>
  <c r="R1954" i="3" s="1"/>
  <c r="Q1955" i="3"/>
  <c r="R1955" i="3" s="1"/>
  <c r="Q1956" i="3"/>
  <c r="R1956" i="3" s="1"/>
  <c r="Q1957" i="3"/>
  <c r="R1957" i="3" s="1"/>
  <c r="Q1958" i="3"/>
  <c r="R1958" i="3" s="1"/>
  <c r="Q1959" i="3"/>
  <c r="R1959" i="3" s="1"/>
  <c r="Q1960" i="3"/>
  <c r="R1960" i="3" s="1"/>
  <c r="Q1961" i="3"/>
  <c r="R1961" i="3" s="1"/>
  <c r="Q1962" i="3"/>
  <c r="R1962" i="3" s="1"/>
  <c r="Q1963" i="3"/>
  <c r="R1963" i="3" s="1"/>
  <c r="Q1964" i="3"/>
  <c r="R1964" i="3" s="1"/>
  <c r="Q1965" i="3"/>
  <c r="R1965" i="3" s="1"/>
  <c r="Q1966" i="3"/>
  <c r="R1966" i="3" s="1"/>
  <c r="Q1967" i="3"/>
  <c r="R1967" i="3" s="1"/>
  <c r="Q1968" i="3"/>
  <c r="R1968" i="3" s="1"/>
  <c r="Q1969" i="3"/>
  <c r="R1969" i="3" s="1"/>
  <c r="Q1970" i="3"/>
  <c r="R1970" i="3" s="1"/>
  <c r="Q1971" i="3"/>
  <c r="R1971" i="3" s="1"/>
  <c r="Q1972" i="3"/>
  <c r="R1972" i="3" s="1"/>
  <c r="Q1973" i="3"/>
  <c r="R1973" i="3" s="1"/>
  <c r="Q1974" i="3"/>
  <c r="R1974" i="3" s="1"/>
  <c r="Q1975" i="3"/>
  <c r="R1975" i="3" s="1"/>
  <c r="Q1976" i="3"/>
  <c r="R1976" i="3" s="1"/>
  <c r="Q1977" i="3"/>
  <c r="R1977" i="3" s="1"/>
  <c r="Q1978" i="3"/>
  <c r="R1978" i="3" s="1"/>
  <c r="Q1979" i="3"/>
  <c r="R1979" i="3" s="1"/>
  <c r="Q1980" i="3"/>
  <c r="R1980" i="3" s="1"/>
  <c r="Q1981" i="3"/>
  <c r="R1981" i="3" s="1"/>
  <c r="Q1982" i="3"/>
  <c r="R1982" i="3" s="1"/>
  <c r="Q1983" i="3"/>
  <c r="R1983" i="3" s="1"/>
  <c r="Q1984" i="3"/>
  <c r="R1984" i="3" s="1"/>
  <c r="Q1985" i="3"/>
  <c r="R1985" i="3" s="1"/>
  <c r="Q1986" i="3"/>
  <c r="R1986" i="3" s="1"/>
  <c r="Q1987" i="3"/>
  <c r="R1987" i="3" s="1"/>
  <c r="Q1988" i="3"/>
  <c r="R1988" i="3" s="1"/>
  <c r="Q1989" i="3"/>
  <c r="R1989" i="3" s="1"/>
  <c r="Q1990" i="3"/>
  <c r="R1990" i="3" s="1"/>
  <c r="Q1991" i="3"/>
  <c r="R1991" i="3" s="1"/>
  <c r="Q1992" i="3"/>
  <c r="R1992" i="3" s="1"/>
  <c r="Q1993" i="3"/>
  <c r="R1993" i="3" s="1"/>
  <c r="Q1994" i="3"/>
  <c r="R1994" i="3" s="1"/>
  <c r="Q1995" i="3"/>
  <c r="R1995" i="3" s="1"/>
  <c r="Q1996" i="3"/>
  <c r="R1996" i="3" s="1"/>
  <c r="Q1997" i="3"/>
  <c r="R1997" i="3" s="1"/>
  <c r="Q1998" i="3"/>
  <c r="R1998" i="3" s="1"/>
  <c r="Q1999" i="3"/>
  <c r="R1999" i="3" s="1"/>
  <c r="Q2000" i="3"/>
  <c r="R2000" i="3" s="1"/>
  <c r="Q2001" i="3"/>
  <c r="R2001" i="3" s="1"/>
  <c r="Q2002" i="3"/>
  <c r="R2002" i="3" s="1"/>
  <c r="Q2003" i="3"/>
  <c r="R2003" i="3" s="1"/>
  <c r="Q2004" i="3"/>
  <c r="R2004" i="3" s="1"/>
  <c r="Q2005" i="3"/>
  <c r="R2005" i="3" s="1"/>
  <c r="Q2006" i="3"/>
  <c r="R2006" i="3" s="1"/>
  <c r="Q2007" i="3"/>
  <c r="R2007" i="3" s="1"/>
  <c r="Q2008" i="3"/>
  <c r="R2008" i="3" s="1"/>
  <c r="Q2009" i="3"/>
  <c r="R2009" i="3" s="1"/>
  <c r="Q2010" i="3"/>
  <c r="R2010" i="3" s="1"/>
  <c r="Q2011" i="3"/>
  <c r="R2011" i="3" s="1"/>
  <c r="Q2012" i="3"/>
  <c r="R2012" i="3" s="1"/>
  <c r="Q2013" i="3"/>
  <c r="R2013" i="3" s="1"/>
  <c r="Q2014" i="3"/>
  <c r="R2014" i="3" s="1"/>
  <c r="Q2015" i="3"/>
  <c r="R2015" i="3" s="1"/>
  <c r="Q2016" i="3"/>
  <c r="R2016" i="3" s="1"/>
  <c r="Q2017" i="3"/>
  <c r="R2017" i="3" s="1"/>
  <c r="Q2018" i="3"/>
  <c r="R2018" i="3" s="1"/>
  <c r="Q2019" i="3"/>
  <c r="R2019" i="3" s="1"/>
  <c r="Q2020" i="3"/>
  <c r="R2020" i="3" s="1"/>
  <c r="Q2021" i="3"/>
  <c r="R2021" i="3" s="1"/>
  <c r="Q2022" i="3"/>
  <c r="R2022" i="3" s="1"/>
  <c r="Q2023" i="3"/>
  <c r="R2023" i="3" s="1"/>
  <c r="Q2024" i="3"/>
  <c r="R2024" i="3" s="1"/>
  <c r="Q2025" i="3"/>
  <c r="R2025" i="3" s="1"/>
  <c r="Q2026" i="3"/>
  <c r="R2026" i="3" s="1"/>
  <c r="Q2027" i="3"/>
  <c r="R2027" i="3" s="1"/>
  <c r="Q2028" i="3"/>
  <c r="R2028" i="3" s="1"/>
  <c r="Q2029" i="3"/>
  <c r="R2029" i="3" s="1"/>
  <c r="Q2030" i="3"/>
  <c r="R2030" i="3" s="1"/>
  <c r="Q2031" i="3"/>
  <c r="R2031" i="3" s="1"/>
  <c r="Q2032" i="3"/>
  <c r="R2032" i="3" s="1"/>
  <c r="Q2033" i="3"/>
  <c r="R2033" i="3" s="1"/>
  <c r="Q2034" i="3"/>
  <c r="R2034" i="3" s="1"/>
  <c r="Q2035" i="3"/>
  <c r="R2035" i="3" s="1"/>
  <c r="Q2036" i="3"/>
  <c r="R2036" i="3" s="1"/>
  <c r="Q2037" i="3"/>
  <c r="R2037" i="3" s="1"/>
  <c r="Q2038" i="3"/>
  <c r="R2038" i="3" s="1"/>
  <c r="Q2039" i="3"/>
  <c r="R2039" i="3" s="1"/>
  <c r="Q2040" i="3"/>
  <c r="R2040" i="3" s="1"/>
  <c r="Q2041" i="3"/>
  <c r="R2041" i="3" s="1"/>
  <c r="Q2042" i="3"/>
  <c r="R2042" i="3" s="1"/>
  <c r="Q2043" i="3"/>
  <c r="R2043" i="3" s="1"/>
  <c r="Q2044" i="3"/>
  <c r="R2044" i="3" s="1"/>
  <c r="Q2045" i="3"/>
  <c r="R2045" i="3" s="1"/>
  <c r="Q2046" i="3"/>
  <c r="R2046" i="3" s="1"/>
  <c r="Q2047" i="3"/>
  <c r="R2047" i="3" s="1"/>
  <c r="Q2048" i="3"/>
  <c r="R2048" i="3" s="1"/>
  <c r="Q2049" i="3"/>
  <c r="R2049" i="3" s="1"/>
  <c r="Q2050" i="3"/>
  <c r="R2050" i="3" s="1"/>
  <c r="Q2051" i="3"/>
  <c r="R2051" i="3" s="1"/>
  <c r="Q2052" i="3"/>
  <c r="R2052" i="3" s="1"/>
  <c r="Q2053" i="3"/>
  <c r="R2053" i="3" s="1"/>
  <c r="Q2054" i="3"/>
  <c r="R2054" i="3" s="1"/>
  <c r="Q2055" i="3"/>
  <c r="R2055" i="3" s="1"/>
  <c r="Q2056" i="3"/>
  <c r="R2056" i="3" s="1"/>
  <c r="Q2057" i="3"/>
  <c r="R2057" i="3" s="1"/>
  <c r="Q2058" i="3"/>
  <c r="R2058" i="3" s="1"/>
  <c r="Q2059" i="3"/>
  <c r="R2059" i="3" s="1"/>
  <c r="Q2060" i="3"/>
  <c r="R2060" i="3" s="1"/>
  <c r="Q2061" i="3"/>
  <c r="R2061" i="3" s="1"/>
  <c r="Q2062" i="3"/>
  <c r="R2062" i="3" s="1"/>
  <c r="Q2063" i="3"/>
  <c r="R2063" i="3" s="1"/>
  <c r="Q2064" i="3"/>
  <c r="R2064" i="3" s="1"/>
  <c r="Q2065" i="3"/>
  <c r="R2065" i="3" s="1"/>
  <c r="Q2066" i="3"/>
  <c r="R2066" i="3" s="1"/>
  <c r="Q2067" i="3"/>
  <c r="R2067" i="3" s="1"/>
  <c r="Q2068" i="3"/>
  <c r="R2068" i="3" s="1"/>
  <c r="Q2069" i="3"/>
  <c r="R2069" i="3" s="1"/>
  <c r="Q2070" i="3"/>
  <c r="R2070" i="3" s="1"/>
  <c r="Q2071" i="3"/>
  <c r="R2071" i="3" s="1"/>
  <c r="Q2072" i="3"/>
  <c r="R2072" i="3" s="1"/>
  <c r="Q2073" i="3"/>
  <c r="R2073" i="3" s="1"/>
  <c r="Q2074" i="3"/>
  <c r="R2074" i="3" s="1"/>
  <c r="Q2075" i="3"/>
  <c r="R2075" i="3" s="1"/>
  <c r="Q2076" i="3"/>
  <c r="R2076" i="3" s="1"/>
  <c r="Q2077" i="3"/>
  <c r="R2077" i="3" s="1"/>
  <c r="Q2078" i="3"/>
  <c r="R2078" i="3" s="1"/>
  <c r="Q2079" i="3"/>
  <c r="R2079" i="3" s="1"/>
  <c r="Q2080" i="3"/>
  <c r="R2080" i="3" s="1"/>
  <c r="Q2081" i="3"/>
  <c r="R2081" i="3" s="1"/>
  <c r="Q2082" i="3"/>
  <c r="R2082" i="3" s="1"/>
  <c r="Q2083" i="3"/>
  <c r="R2083" i="3" s="1"/>
  <c r="Q2084" i="3"/>
  <c r="R2084" i="3" s="1"/>
  <c r="Q2085" i="3"/>
  <c r="R2085" i="3" s="1"/>
  <c r="Q2086" i="3"/>
  <c r="R2086" i="3" s="1"/>
  <c r="Q2087" i="3"/>
  <c r="R2087" i="3" s="1"/>
  <c r="Q2088" i="3"/>
  <c r="R2088" i="3" s="1"/>
  <c r="Q2089" i="3"/>
  <c r="R2089" i="3" s="1"/>
  <c r="Q2090" i="3"/>
  <c r="R2090" i="3" s="1"/>
  <c r="Q2091" i="3"/>
  <c r="R2091" i="3" s="1"/>
  <c r="Q2092" i="3"/>
  <c r="R2092" i="3" s="1"/>
  <c r="Q2093" i="3"/>
  <c r="R2093" i="3" s="1"/>
  <c r="Q2094" i="3"/>
  <c r="R2094" i="3" s="1"/>
  <c r="Q2095" i="3"/>
  <c r="R2095" i="3" s="1"/>
  <c r="Q2096" i="3"/>
  <c r="R2096" i="3" s="1"/>
  <c r="Q2097" i="3"/>
  <c r="R2097" i="3" s="1"/>
  <c r="Q2098" i="3"/>
  <c r="R2098" i="3" s="1"/>
  <c r="Q2099" i="3"/>
  <c r="R2099" i="3" s="1"/>
  <c r="Q2100" i="3"/>
  <c r="R2100" i="3" s="1"/>
  <c r="Q2101" i="3"/>
  <c r="R2101" i="3" s="1"/>
  <c r="Q2102" i="3"/>
  <c r="R2102" i="3" s="1"/>
  <c r="Q2103" i="3"/>
  <c r="R2103" i="3" s="1"/>
  <c r="Q2104" i="3"/>
  <c r="R2104" i="3" s="1"/>
  <c r="Q2105" i="3"/>
  <c r="R2105" i="3" s="1"/>
  <c r="Q2106" i="3"/>
  <c r="R2106" i="3" s="1"/>
  <c r="Q2107" i="3"/>
  <c r="R2107" i="3" s="1"/>
  <c r="Q2108" i="3"/>
  <c r="R2108" i="3" s="1"/>
  <c r="Q2109" i="3"/>
  <c r="R2109" i="3" s="1"/>
  <c r="Q2110" i="3"/>
  <c r="R2110" i="3" s="1"/>
  <c r="Q2111" i="3"/>
  <c r="R2111" i="3" s="1"/>
  <c r="Q2112" i="3"/>
  <c r="R2112" i="3" s="1"/>
  <c r="Q2113" i="3"/>
  <c r="R2113" i="3" s="1"/>
  <c r="Q2114" i="3"/>
  <c r="R2114" i="3" s="1"/>
  <c r="Q2115" i="3"/>
  <c r="R2115" i="3" s="1"/>
  <c r="Q2116" i="3"/>
  <c r="R2116" i="3" s="1"/>
  <c r="Q2117" i="3"/>
  <c r="R2117" i="3" s="1"/>
  <c r="Q2118" i="3"/>
  <c r="R2118" i="3" s="1"/>
  <c r="Q2119" i="3"/>
  <c r="R2119" i="3" s="1"/>
  <c r="Q2120" i="3"/>
  <c r="R2120" i="3" s="1"/>
  <c r="Q2121" i="3"/>
  <c r="R2121" i="3" s="1"/>
  <c r="Q2122" i="3"/>
  <c r="R2122" i="3" s="1"/>
  <c r="Q2123" i="3"/>
  <c r="R2123" i="3" s="1"/>
  <c r="Q2124" i="3"/>
  <c r="R2124" i="3" s="1"/>
  <c r="Q2125" i="3"/>
  <c r="R2125" i="3" s="1"/>
  <c r="Q2126" i="3"/>
  <c r="R2126" i="3" s="1"/>
  <c r="Q2127" i="3"/>
  <c r="R2127" i="3" s="1"/>
  <c r="Q2128" i="3"/>
  <c r="R2128" i="3" s="1"/>
  <c r="Q2129" i="3"/>
  <c r="R2129" i="3" s="1"/>
  <c r="Q2130" i="3"/>
  <c r="R2130" i="3" s="1"/>
  <c r="Q2131" i="3"/>
  <c r="R2131" i="3" s="1"/>
  <c r="Q2132" i="3"/>
  <c r="R2132" i="3" s="1"/>
  <c r="Q2133" i="3"/>
  <c r="R2133" i="3" s="1"/>
  <c r="Q2134" i="3"/>
  <c r="R2134" i="3" s="1"/>
  <c r="Q2135" i="3"/>
  <c r="R2135" i="3" s="1"/>
  <c r="Q2136" i="3"/>
  <c r="R2136" i="3" s="1"/>
  <c r="Q2137" i="3"/>
  <c r="R2137" i="3" s="1"/>
  <c r="Q2138" i="3"/>
  <c r="R2138" i="3" s="1"/>
  <c r="Q2139" i="3"/>
  <c r="R2139" i="3" s="1"/>
  <c r="Q2140" i="3"/>
  <c r="R2140" i="3" s="1"/>
  <c r="Q2141" i="3"/>
  <c r="R2141" i="3" s="1"/>
  <c r="Q2142" i="3"/>
  <c r="R2142" i="3" s="1"/>
  <c r="Q2143" i="3"/>
  <c r="R2143" i="3" s="1"/>
  <c r="Q2144" i="3"/>
  <c r="R2144" i="3" s="1"/>
  <c r="Q2145" i="3"/>
  <c r="R2145" i="3" s="1"/>
  <c r="Q2146" i="3"/>
  <c r="R2146" i="3" s="1"/>
  <c r="Q2147" i="3"/>
  <c r="R2147" i="3" s="1"/>
  <c r="Q2148" i="3"/>
  <c r="R2148" i="3" s="1"/>
  <c r="Q2149" i="3"/>
  <c r="R2149" i="3" s="1"/>
  <c r="Q2150" i="3"/>
  <c r="R2150" i="3" s="1"/>
  <c r="Q2151" i="3"/>
  <c r="R2151" i="3" s="1"/>
  <c r="Q2152" i="3"/>
  <c r="R2152" i="3" s="1"/>
  <c r="Q2153" i="3"/>
  <c r="R2153" i="3" s="1"/>
  <c r="Q2154" i="3"/>
  <c r="R2154" i="3" s="1"/>
  <c r="Q2155" i="3"/>
  <c r="R2155" i="3" s="1"/>
  <c r="Q2156" i="3"/>
  <c r="R2156" i="3" s="1"/>
  <c r="Q2157" i="3"/>
  <c r="R2157" i="3" s="1"/>
  <c r="Q2158" i="3"/>
  <c r="R2158" i="3" s="1"/>
  <c r="Q2159" i="3"/>
  <c r="R2159" i="3" s="1"/>
  <c r="Q2160" i="3"/>
  <c r="R2160" i="3" s="1"/>
  <c r="Q2161" i="3"/>
  <c r="R2161" i="3" s="1"/>
  <c r="Q2162" i="3"/>
  <c r="R2162" i="3" s="1"/>
  <c r="Q2163" i="3"/>
  <c r="R2163" i="3" s="1"/>
  <c r="Q2164" i="3"/>
  <c r="R2164" i="3" s="1"/>
  <c r="Q2165" i="3"/>
  <c r="R2165" i="3" s="1"/>
  <c r="Q2166" i="3"/>
  <c r="R2166" i="3" s="1"/>
  <c r="Q2167" i="3"/>
  <c r="R2167" i="3" s="1"/>
  <c r="Q2168" i="3"/>
  <c r="R2168" i="3" s="1"/>
  <c r="Q2169" i="3"/>
  <c r="R2169" i="3" s="1"/>
  <c r="Q2170" i="3"/>
  <c r="R2170" i="3" s="1"/>
  <c r="Q2171" i="3"/>
  <c r="R2171" i="3" s="1"/>
  <c r="Q2172" i="3"/>
  <c r="R2172" i="3" s="1"/>
  <c r="Q2173" i="3"/>
  <c r="R2173" i="3" s="1"/>
  <c r="Q2174" i="3"/>
  <c r="R2174" i="3" s="1"/>
  <c r="Q2175" i="3"/>
  <c r="R2175" i="3" s="1"/>
  <c r="Q2176" i="3"/>
  <c r="R2176" i="3" s="1"/>
  <c r="Q2177" i="3"/>
  <c r="R2177" i="3" s="1"/>
  <c r="Q2178" i="3"/>
  <c r="R2178" i="3" s="1"/>
  <c r="Q2179" i="3"/>
  <c r="R2179" i="3" s="1"/>
  <c r="Q2180" i="3"/>
  <c r="R2180" i="3" s="1"/>
  <c r="Q2181" i="3"/>
  <c r="R2181" i="3" s="1"/>
  <c r="Q2182" i="3"/>
  <c r="R2182" i="3" s="1"/>
  <c r="Q2183" i="3"/>
  <c r="R2183" i="3" s="1"/>
  <c r="Q2184" i="3"/>
  <c r="R2184" i="3" s="1"/>
  <c r="Q2185" i="3"/>
  <c r="R2185" i="3" s="1"/>
  <c r="Q2186" i="3"/>
  <c r="R2186" i="3" s="1"/>
  <c r="Q2187" i="3"/>
  <c r="R2187" i="3" s="1"/>
  <c r="Q2188" i="3"/>
  <c r="R2188" i="3" s="1"/>
  <c r="Q2189" i="3"/>
  <c r="R2189" i="3" s="1"/>
  <c r="Q2190" i="3"/>
  <c r="R2190" i="3" s="1"/>
  <c r="Q2191" i="3"/>
  <c r="R2191" i="3" s="1"/>
  <c r="Q2192" i="3"/>
  <c r="R2192" i="3" s="1"/>
  <c r="Q2193" i="3"/>
  <c r="R2193" i="3" s="1"/>
  <c r="Q2194" i="3"/>
  <c r="R2194" i="3" s="1"/>
  <c r="Q2195" i="3"/>
  <c r="R2195" i="3" s="1"/>
  <c r="Q2196" i="3"/>
  <c r="R2196" i="3" s="1"/>
  <c r="Q2197" i="3"/>
  <c r="R2197" i="3" s="1"/>
  <c r="Q2198" i="3"/>
  <c r="R2198" i="3" s="1"/>
  <c r="Q2199" i="3"/>
  <c r="R2199" i="3" s="1"/>
  <c r="Q2200" i="3"/>
  <c r="R2200" i="3" s="1"/>
  <c r="Q2201" i="3"/>
  <c r="R2201" i="3" s="1"/>
  <c r="Q2202" i="3"/>
  <c r="R2202" i="3" s="1"/>
  <c r="Q2203" i="3"/>
  <c r="R2203" i="3" s="1"/>
  <c r="Q2204" i="3"/>
  <c r="R2204" i="3" s="1"/>
  <c r="Q2205" i="3"/>
  <c r="R2205" i="3" s="1"/>
  <c r="Q2206" i="3"/>
  <c r="R2206" i="3" s="1"/>
  <c r="Q2207" i="3"/>
  <c r="R2207" i="3" s="1"/>
  <c r="Q2208" i="3"/>
  <c r="R2208" i="3" s="1"/>
  <c r="Q2209" i="3"/>
  <c r="R2209" i="3" s="1"/>
  <c r="Q2210" i="3"/>
  <c r="R2210" i="3" s="1"/>
  <c r="Q2211" i="3"/>
  <c r="R2211" i="3" s="1"/>
  <c r="Q2212" i="3"/>
  <c r="R2212" i="3" s="1"/>
  <c r="Q2213" i="3"/>
  <c r="R2213" i="3" s="1"/>
  <c r="Q2214" i="3"/>
  <c r="R2214" i="3" s="1"/>
  <c r="Q2215" i="3"/>
  <c r="R2215" i="3" s="1"/>
  <c r="Q2216" i="3"/>
  <c r="R2216" i="3" s="1"/>
  <c r="Q2217" i="3"/>
  <c r="R2217" i="3" s="1"/>
  <c r="Q2218" i="3"/>
  <c r="R2218" i="3" s="1"/>
  <c r="Q2219" i="3"/>
  <c r="R2219" i="3" s="1"/>
  <c r="Q2220" i="3"/>
  <c r="R2220" i="3" s="1"/>
  <c r="Q2221" i="3"/>
  <c r="R2221" i="3" s="1"/>
  <c r="Q2222" i="3"/>
  <c r="R2222" i="3" s="1"/>
  <c r="Q2223" i="3"/>
  <c r="R2223" i="3" s="1"/>
  <c r="Q2224" i="3"/>
  <c r="R2224" i="3" s="1"/>
  <c r="Q2225" i="3"/>
  <c r="R2225" i="3" s="1"/>
  <c r="Q2226" i="3"/>
  <c r="R2226" i="3" s="1"/>
  <c r="Q2227" i="3"/>
  <c r="R2227" i="3" s="1"/>
  <c r="Q2228" i="3"/>
  <c r="R2228" i="3" s="1"/>
  <c r="Q2229" i="3"/>
  <c r="R2229" i="3" s="1"/>
  <c r="Q2230" i="3"/>
  <c r="R2230" i="3" s="1"/>
  <c r="Q2231" i="3"/>
  <c r="R2231" i="3" s="1"/>
  <c r="Q2232" i="3"/>
  <c r="R2232" i="3" s="1"/>
  <c r="Q2233" i="3"/>
  <c r="R2233" i="3" s="1"/>
  <c r="Q2234" i="3"/>
  <c r="R2234" i="3" s="1"/>
  <c r="Q2235" i="3"/>
  <c r="R2235" i="3" s="1"/>
  <c r="Q2236" i="3"/>
  <c r="R2236" i="3" s="1"/>
  <c r="Q2237" i="3"/>
  <c r="R2237" i="3" s="1"/>
  <c r="Q2238" i="3"/>
  <c r="R2238" i="3" s="1"/>
  <c r="Q2239" i="3"/>
  <c r="R2239" i="3" s="1"/>
  <c r="Q2240" i="3"/>
  <c r="R2240" i="3" s="1"/>
  <c r="Q2241" i="3"/>
  <c r="R2241" i="3" s="1"/>
  <c r="Q2242" i="3"/>
  <c r="R2242" i="3" s="1"/>
  <c r="Q2243" i="3"/>
  <c r="R2243" i="3" s="1"/>
  <c r="Q2244" i="3"/>
  <c r="R2244" i="3" s="1"/>
  <c r="Q2245" i="3"/>
  <c r="R2245" i="3" s="1"/>
  <c r="Q2246" i="3"/>
  <c r="R2246" i="3" s="1"/>
  <c r="Q2247" i="3"/>
  <c r="R2247" i="3" s="1"/>
  <c r="Q2248" i="3"/>
  <c r="R2248" i="3" s="1"/>
  <c r="Q2249" i="3"/>
  <c r="R2249" i="3" s="1"/>
  <c r="Q2250" i="3"/>
  <c r="R2250" i="3" s="1"/>
  <c r="Q2251" i="3"/>
  <c r="R2251" i="3" s="1"/>
  <c r="Q2252" i="3"/>
  <c r="R2252" i="3" s="1"/>
  <c r="Q2253" i="3"/>
  <c r="R2253" i="3" s="1"/>
  <c r="Q2254" i="3"/>
  <c r="R2254" i="3" s="1"/>
  <c r="Q2255" i="3"/>
  <c r="R2255" i="3" s="1"/>
  <c r="Q2256" i="3"/>
  <c r="R2256" i="3" s="1"/>
  <c r="Q2257" i="3"/>
  <c r="R2257" i="3" s="1"/>
  <c r="Q2258" i="3"/>
  <c r="R2258" i="3" s="1"/>
  <c r="Q2259" i="3"/>
  <c r="R2259" i="3" s="1"/>
  <c r="Q2260" i="3"/>
  <c r="R2260" i="3" s="1"/>
  <c r="Q2261" i="3"/>
  <c r="R2261" i="3" s="1"/>
  <c r="Q2262" i="3"/>
  <c r="R2262" i="3" s="1"/>
  <c r="Q2263" i="3"/>
  <c r="R2263" i="3" s="1"/>
  <c r="Q2264" i="3"/>
  <c r="R2264" i="3" s="1"/>
  <c r="Q2265" i="3"/>
  <c r="R2265" i="3" s="1"/>
  <c r="Q2266" i="3"/>
  <c r="R2266" i="3" s="1"/>
  <c r="Q2267" i="3"/>
  <c r="R2267" i="3" s="1"/>
  <c r="Q2268" i="3"/>
  <c r="R2268" i="3" s="1"/>
  <c r="Q2269" i="3"/>
  <c r="R2269" i="3" s="1"/>
  <c r="Q2270" i="3"/>
  <c r="R2270" i="3" s="1"/>
  <c r="Q2271" i="3"/>
  <c r="R2271" i="3" s="1"/>
  <c r="Q2272" i="3"/>
  <c r="R2272" i="3" s="1"/>
  <c r="Q2273" i="3"/>
  <c r="R2273" i="3" s="1"/>
  <c r="Q2274" i="3"/>
  <c r="R2274" i="3" s="1"/>
  <c r="Q2275" i="3"/>
  <c r="R2275" i="3" s="1"/>
  <c r="Q2276" i="3"/>
  <c r="R2276" i="3" s="1"/>
  <c r="Q2277" i="3"/>
  <c r="R2277" i="3" s="1"/>
  <c r="Q2278" i="3"/>
  <c r="R2278" i="3" s="1"/>
  <c r="Q2279" i="3"/>
  <c r="R2279" i="3" s="1"/>
  <c r="Q2280" i="3"/>
  <c r="R2280" i="3" s="1"/>
  <c r="Q2281" i="3"/>
  <c r="R2281" i="3" s="1"/>
  <c r="Q2282" i="3"/>
  <c r="R2282" i="3" s="1"/>
  <c r="Q2283" i="3"/>
  <c r="R2283" i="3" s="1"/>
  <c r="Q2284" i="3"/>
  <c r="R2284" i="3" s="1"/>
  <c r="Q2285" i="3"/>
  <c r="R2285" i="3" s="1"/>
  <c r="Q2286" i="3"/>
  <c r="R2286" i="3" s="1"/>
  <c r="Q2287" i="3"/>
  <c r="R2287" i="3" s="1"/>
  <c r="Q2288" i="3"/>
  <c r="R2288" i="3" s="1"/>
  <c r="Q2289" i="3"/>
  <c r="R2289" i="3" s="1"/>
  <c r="Q2290" i="3"/>
  <c r="R2290" i="3" s="1"/>
  <c r="Q2291" i="3"/>
  <c r="R2291" i="3" s="1"/>
  <c r="Q2292" i="3"/>
  <c r="R2292" i="3" s="1"/>
  <c r="Q2293" i="3"/>
  <c r="R2293" i="3" s="1"/>
  <c r="Q2294" i="3"/>
  <c r="R2294" i="3" s="1"/>
  <c r="Q2295" i="3"/>
  <c r="R2295" i="3" s="1"/>
  <c r="Q2296" i="3"/>
  <c r="R2296" i="3" s="1"/>
  <c r="Q2297" i="3"/>
  <c r="R2297" i="3" s="1"/>
  <c r="Q2298" i="3"/>
  <c r="R2298" i="3" s="1"/>
  <c r="Q2299" i="3"/>
  <c r="R2299" i="3" s="1"/>
  <c r="Q2300" i="3"/>
  <c r="R2300" i="3" s="1"/>
  <c r="Q2301" i="3"/>
  <c r="R2301" i="3" s="1"/>
  <c r="Q2302" i="3"/>
  <c r="R2302" i="3" s="1"/>
  <c r="Q2303" i="3"/>
  <c r="R2303" i="3" s="1"/>
  <c r="Q2304" i="3"/>
  <c r="R2304" i="3" s="1"/>
  <c r="Q2305" i="3"/>
  <c r="R2305" i="3" s="1"/>
  <c r="Q2306" i="3"/>
  <c r="R2306" i="3" s="1"/>
  <c r="Q2307" i="3"/>
  <c r="R2307" i="3" s="1"/>
  <c r="Q2308" i="3"/>
  <c r="R2308" i="3" s="1"/>
  <c r="Q2309" i="3"/>
  <c r="R2309" i="3" s="1"/>
  <c r="Q2310" i="3"/>
  <c r="R2310" i="3" s="1"/>
  <c r="Q2311" i="3"/>
  <c r="R2311" i="3" s="1"/>
  <c r="Q2312" i="3"/>
  <c r="R2312" i="3" s="1"/>
  <c r="Q2313" i="3"/>
  <c r="R2313" i="3" s="1"/>
  <c r="Q2314" i="3"/>
  <c r="R2314" i="3" s="1"/>
  <c r="Q2315" i="3"/>
  <c r="R2315" i="3" s="1"/>
  <c r="Q2316" i="3"/>
  <c r="R2316" i="3" s="1"/>
  <c r="Q2317" i="3"/>
  <c r="R2317" i="3" s="1"/>
  <c r="Q2318" i="3"/>
  <c r="R2318" i="3" s="1"/>
  <c r="Q2319" i="3"/>
  <c r="R2319" i="3" s="1"/>
  <c r="Q2320" i="3"/>
  <c r="R2320" i="3" s="1"/>
  <c r="Q2321" i="3"/>
  <c r="R2321" i="3" s="1"/>
  <c r="Q2322" i="3"/>
  <c r="R2322" i="3" s="1"/>
  <c r="Q2323" i="3"/>
  <c r="R2323" i="3" s="1"/>
  <c r="Q2324" i="3"/>
  <c r="R2324" i="3" s="1"/>
  <c r="Q2325" i="3"/>
  <c r="R2325" i="3" s="1"/>
  <c r="Q2326" i="3"/>
  <c r="R2326" i="3" s="1"/>
  <c r="Q2327" i="3"/>
  <c r="R2327" i="3" s="1"/>
  <c r="Q2328" i="3"/>
  <c r="R2328" i="3" s="1"/>
  <c r="Q2329" i="3"/>
  <c r="R2329" i="3" s="1"/>
  <c r="Q2330" i="3"/>
  <c r="R2330" i="3" s="1"/>
  <c r="Q2331" i="3"/>
  <c r="R2331" i="3" s="1"/>
  <c r="Q2332" i="3"/>
  <c r="R2332" i="3" s="1"/>
  <c r="Q2333" i="3"/>
  <c r="R2333" i="3" s="1"/>
  <c r="Q2334" i="3"/>
  <c r="R2334" i="3" s="1"/>
  <c r="Q2335" i="3"/>
  <c r="R2335" i="3" s="1"/>
  <c r="Q2336" i="3"/>
  <c r="R2336" i="3" s="1"/>
  <c r="Q2337" i="3"/>
  <c r="R2337" i="3" s="1"/>
  <c r="Q2338" i="3"/>
  <c r="R2338" i="3" s="1"/>
  <c r="Q2339" i="3"/>
  <c r="R2339" i="3" s="1"/>
  <c r="Q2340" i="3"/>
  <c r="R2340" i="3" s="1"/>
  <c r="Q2341" i="3"/>
  <c r="R2341" i="3" s="1"/>
  <c r="Q2342" i="3"/>
  <c r="R2342" i="3" s="1"/>
  <c r="Q2343" i="3"/>
  <c r="R2343" i="3" s="1"/>
  <c r="Q2344" i="3"/>
  <c r="R2344" i="3" s="1"/>
  <c r="Q2345" i="3"/>
  <c r="R2345" i="3" s="1"/>
  <c r="Q2346" i="3"/>
  <c r="R2346" i="3" s="1"/>
  <c r="Q2347" i="3"/>
  <c r="R2347" i="3" s="1"/>
  <c r="Q2348" i="3"/>
  <c r="R2348" i="3" s="1"/>
  <c r="Q2349" i="3"/>
  <c r="R2349" i="3" s="1"/>
  <c r="Q2350" i="3"/>
  <c r="R2350" i="3" s="1"/>
  <c r="Q2351" i="3"/>
  <c r="R2351" i="3" s="1"/>
  <c r="Q2352" i="3"/>
  <c r="R2352" i="3" s="1"/>
  <c r="Q2353" i="3"/>
  <c r="R2353" i="3" s="1"/>
  <c r="Q2354" i="3"/>
  <c r="R2354" i="3" s="1"/>
  <c r="Q2355" i="3"/>
  <c r="R2355" i="3" s="1"/>
  <c r="Q2356" i="3"/>
  <c r="R2356" i="3" s="1"/>
  <c r="Q2357" i="3"/>
  <c r="R2357" i="3" s="1"/>
  <c r="Q2358" i="3"/>
  <c r="R2358" i="3" s="1"/>
  <c r="Q2359" i="3"/>
  <c r="R2359" i="3" s="1"/>
  <c r="Q2360" i="3"/>
  <c r="R2360" i="3" s="1"/>
  <c r="Q2361" i="3"/>
  <c r="R2361" i="3" s="1"/>
  <c r="Q2362" i="3"/>
  <c r="R2362" i="3" s="1"/>
  <c r="Q2363" i="3"/>
  <c r="R2363" i="3" s="1"/>
  <c r="Q2364" i="3"/>
  <c r="R2364" i="3" s="1"/>
  <c r="Q2365" i="3"/>
  <c r="R2365" i="3" s="1"/>
  <c r="Q2366" i="3"/>
  <c r="R2366" i="3" s="1"/>
  <c r="Q2367" i="3"/>
  <c r="R2367" i="3" s="1"/>
  <c r="Q2368" i="3"/>
  <c r="R2368" i="3" s="1"/>
  <c r="Q2369" i="3"/>
  <c r="R2369" i="3" s="1"/>
  <c r="Q2370" i="3"/>
  <c r="R2370" i="3" s="1"/>
  <c r="Q2371" i="3"/>
  <c r="R2371" i="3" s="1"/>
  <c r="Q2372" i="3"/>
  <c r="R2372" i="3" s="1"/>
  <c r="Q2373" i="3"/>
  <c r="R2373" i="3" s="1"/>
  <c r="Q2374" i="3"/>
  <c r="R2374" i="3" s="1"/>
  <c r="Q2375" i="3"/>
  <c r="R2375" i="3" s="1"/>
  <c r="Q2376" i="3"/>
  <c r="R2376" i="3" s="1"/>
  <c r="Q2377" i="3"/>
  <c r="R2377" i="3" s="1"/>
  <c r="Q2378" i="3"/>
  <c r="R2378" i="3" s="1"/>
  <c r="Q2379" i="3"/>
  <c r="R2379" i="3" s="1"/>
  <c r="Q2380" i="3"/>
  <c r="R2380" i="3" s="1"/>
  <c r="Q2381" i="3"/>
  <c r="R2381" i="3" s="1"/>
  <c r="Q2382" i="3"/>
  <c r="R2382" i="3" s="1"/>
  <c r="Q2383" i="3"/>
  <c r="R2383" i="3" s="1"/>
  <c r="Q2384" i="3"/>
  <c r="R2384" i="3" s="1"/>
  <c r="Q2385" i="3"/>
  <c r="R2385" i="3" s="1"/>
  <c r="Q2386" i="3"/>
  <c r="R2386" i="3" s="1"/>
  <c r="Q2387" i="3"/>
  <c r="R2387" i="3" s="1"/>
  <c r="Q2388" i="3"/>
  <c r="R2388" i="3" s="1"/>
  <c r="Q2389" i="3"/>
  <c r="R2389" i="3" s="1"/>
  <c r="Q2390" i="3"/>
  <c r="R2390" i="3" s="1"/>
  <c r="Q2391" i="3"/>
  <c r="R2391" i="3" s="1"/>
  <c r="Q2392" i="3"/>
  <c r="R2392" i="3" s="1"/>
  <c r="Q2393" i="3"/>
  <c r="R2393" i="3" s="1"/>
  <c r="Q2394" i="3"/>
  <c r="R2394" i="3" s="1"/>
  <c r="Q2395" i="3"/>
  <c r="R2395" i="3" s="1"/>
  <c r="Q2396" i="3"/>
  <c r="R2396" i="3" s="1"/>
  <c r="Q2397" i="3"/>
  <c r="R2397" i="3" s="1"/>
  <c r="Q2398" i="3"/>
  <c r="R2398" i="3" s="1"/>
  <c r="Q2399" i="3"/>
  <c r="R2399" i="3" s="1"/>
  <c r="Q2400" i="3"/>
  <c r="R2400" i="3" s="1"/>
  <c r="Q2401" i="3"/>
  <c r="R2401" i="3" s="1"/>
  <c r="Q2402" i="3"/>
  <c r="R2402" i="3" s="1"/>
  <c r="Q2403" i="3"/>
  <c r="R2403" i="3" s="1"/>
  <c r="Q2404" i="3"/>
  <c r="R2404" i="3" s="1"/>
  <c r="Q2405" i="3"/>
  <c r="R2405" i="3" s="1"/>
  <c r="Q2406" i="3"/>
  <c r="R2406" i="3" s="1"/>
  <c r="Q2407" i="3"/>
  <c r="R2407" i="3" s="1"/>
  <c r="Q2408" i="3"/>
  <c r="R2408" i="3" s="1"/>
  <c r="Q2409" i="3"/>
  <c r="R2409" i="3" s="1"/>
  <c r="Q2410" i="3"/>
  <c r="R2410" i="3" s="1"/>
  <c r="Q2411" i="3"/>
  <c r="R2411" i="3" s="1"/>
  <c r="Q2412" i="3"/>
  <c r="R2412" i="3" s="1"/>
  <c r="Q2413" i="3"/>
  <c r="R2413" i="3" s="1"/>
  <c r="Q2414" i="3"/>
  <c r="R2414" i="3" s="1"/>
  <c r="Q2415" i="3"/>
  <c r="R2415" i="3" s="1"/>
  <c r="Q2416" i="3"/>
  <c r="R2416" i="3" s="1"/>
  <c r="Q2417" i="3"/>
  <c r="R2417" i="3" s="1"/>
  <c r="Q2418" i="3"/>
  <c r="R2418" i="3" s="1"/>
  <c r="Q2419" i="3"/>
  <c r="R2419" i="3" s="1"/>
  <c r="Q2420" i="3"/>
  <c r="R2420" i="3" s="1"/>
  <c r="Q2421" i="3"/>
  <c r="R2421" i="3" s="1"/>
  <c r="Q2422" i="3"/>
  <c r="R2422" i="3" s="1"/>
  <c r="Q2423" i="3"/>
  <c r="R2423" i="3" s="1"/>
  <c r="Q2424" i="3"/>
  <c r="R2424" i="3" s="1"/>
  <c r="Q2425" i="3"/>
  <c r="R2425" i="3" s="1"/>
  <c r="Q2426" i="3"/>
  <c r="R2426" i="3" s="1"/>
  <c r="Q2427" i="3"/>
  <c r="R2427" i="3" s="1"/>
  <c r="Q2428" i="3"/>
  <c r="R2428" i="3" s="1"/>
  <c r="Q2429" i="3"/>
  <c r="R2429" i="3" s="1"/>
  <c r="Q2430" i="3"/>
  <c r="R2430" i="3" s="1"/>
  <c r="Q2431" i="3"/>
  <c r="R2431" i="3" s="1"/>
  <c r="Q2432" i="3"/>
  <c r="R2432" i="3" s="1"/>
  <c r="Q2433" i="3"/>
  <c r="R2433" i="3" s="1"/>
  <c r="Q2434" i="3"/>
  <c r="R2434" i="3" s="1"/>
  <c r="Q2435" i="3"/>
  <c r="R2435" i="3" s="1"/>
  <c r="Q2436" i="3"/>
  <c r="R2436" i="3" s="1"/>
  <c r="Q2437" i="3"/>
  <c r="R2437" i="3" s="1"/>
  <c r="Q2438" i="3"/>
  <c r="R2438" i="3" s="1"/>
  <c r="Q2439" i="3"/>
  <c r="R2439" i="3" s="1"/>
  <c r="Q2440" i="3"/>
  <c r="R2440" i="3" s="1"/>
  <c r="Q2441" i="3"/>
  <c r="R2441" i="3" s="1"/>
  <c r="Q2442" i="3"/>
  <c r="R2442" i="3" s="1"/>
  <c r="Q2443" i="3"/>
  <c r="R2443" i="3" s="1"/>
  <c r="Q2444" i="3"/>
  <c r="R2444" i="3" s="1"/>
  <c r="Q2445" i="3"/>
  <c r="R2445" i="3" s="1"/>
  <c r="Q2446" i="3"/>
  <c r="R2446" i="3" s="1"/>
  <c r="Q2447" i="3"/>
  <c r="R2447" i="3" s="1"/>
  <c r="Q2448" i="3"/>
  <c r="R2448" i="3" s="1"/>
  <c r="Q2449" i="3"/>
  <c r="R2449" i="3" s="1"/>
  <c r="Q2450" i="3"/>
  <c r="R2450" i="3" s="1"/>
  <c r="Q2451" i="3"/>
  <c r="R2451" i="3" s="1"/>
  <c r="Q2452" i="3"/>
  <c r="R2452" i="3" s="1"/>
  <c r="Q2453" i="3"/>
  <c r="R2453" i="3" s="1"/>
  <c r="Q2454" i="3"/>
  <c r="R2454" i="3" s="1"/>
  <c r="Q2455" i="3"/>
  <c r="R2455" i="3" s="1"/>
  <c r="Q2456" i="3"/>
  <c r="R2456" i="3" s="1"/>
  <c r="Q2457" i="3"/>
  <c r="R2457" i="3" s="1"/>
  <c r="Q2458" i="3"/>
  <c r="R2458" i="3" s="1"/>
  <c r="Q2459" i="3"/>
  <c r="R2459" i="3" s="1"/>
  <c r="Q2460" i="3"/>
  <c r="R2460" i="3" s="1"/>
  <c r="Q2461" i="3"/>
  <c r="R2461" i="3" s="1"/>
  <c r="Q2462" i="3"/>
  <c r="R2462" i="3" s="1"/>
  <c r="Q2463" i="3"/>
  <c r="R2463" i="3" s="1"/>
  <c r="Q2464" i="3"/>
  <c r="R2464" i="3" s="1"/>
  <c r="Q2465" i="3"/>
  <c r="R2465" i="3" s="1"/>
  <c r="Q2466" i="3"/>
  <c r="R2466" i="3" s="1"/>
  <c r="Q2467" i="3"/>
  <c r="R2467" i="3" s="1"/>
  <c r="Q2468" i="3"/>
  <c r="R2468" i="3" s="1"/>
  <c r="Q2469" i="3"/>
  <c r="R2469" i="3" s="1"/>
  <c r="Q2470" i="3"/>
  <c r="R2470" i="3" s="1"/>
  <c r="Q2471" i="3"/>
  <c r="R2471" i="3" s="1"/>
  <c r="Q2472" i="3"/>
  <c r="R2472" i="3" s="1"/>
  <c r="Q2473" i="3"/>
  <c r="R2473" i="3" s="1"/>
  <c r="Q2474" i="3"/>
  <c r="R2474" i="3" s="1"/>
  <c r="Q2475" i="3"/>
  <c r="R2475" i="3" s="1"/>
  <c r="Q2476" i="3"/>
  <c r="R2476" i="3" s="1"/>
  <c r="Q2477" i="3"/>
  <c r="R2477" i="3" s="1"/>
  <c r="Q2478" i="3"/>
  <c r="R2478" i="3" s="1"/>
  <c r="Q2479" i="3"/>
  <c r="R2479" i="3" s="1"/>
  <c r="Q2480" i="3"/>
  <c r="R2480" i="3" s="1"/>
  <c r="Q2481" i="3"/>
  <c r="R2481" i="3" s="1"/>
  <c r="Q2482" i="3"/>
  <c r="R2482" i="3" s="1"/>
  <c r="Q2483" i="3"/>
  <c r="R2483" i="3" s="1"/>
  <c r="Q2484" i="3"/>
  <c r="R2484" i="3" s="1"/>
  <c r="Q2485" i="3"/>
  <c r="R2485" i="3" s="1"/>
  <c r="Q2486" i="3"/>
  <c r="R2486" i="3" s="1"/>
  <c r="Q2487" i="3"/>
  <c r="R2487" i="3" s="1"/>
  <c r="Q2488" i="3"/>
  <c r="R2488" i="3" s="1"/>
  <c r="Q2489" i="3"/>
  <c r="R2489" i="3" s="1"/>
  <c r="Q2490" i="3"/>
  <c r="R2490" i="3" s="1"/>
  <c r="Q2491" i="3"/>
  <c r="R2491" i="3" s="1"/>
  <c r="Q2492" i="3"/>
  <c r="R2492" i="3" s="1"/>
  <c r="Q2493" i="3"/>
  <c r="R2493" i="3" s="1"/>
  <c r="Q2494" i="3"/>
  <c r="R2494" i="3" s="1"/>
  <c r="Q2495" i="3"/>
  <c r="R2495" i="3" s="1"/>
  <c r="Q2496" i="3"/>
  <c r="R2496" i="3" s="1"/>
  <c r="Q2497" i="3"/>
  <c r="R2497" i="3" s="1"/>
  <c r="Q2498" i="3"/>
  <c r="R2498" i="3" s="1"/>
  <c r="Q2499" i="3"/>
  <c r="R2499" i="3" s="1"/>
  <c r="Q2500" i="3"/>
  <c r="R2500" i="3" s="1"/>
  <c r="Q2501" i="3"/>
  <c r="R2501" i="3" s="1"/>
  <c r="Q2502" i="3"/>
  <c r="R2502" i="3" s="1"/>
  <c r="Q2503" i="3"/>
  <c r="R2503" i="3" s="1"/>
  <c r="Q2504" i="3"/>
  <c r="R2504" i="3" s="1"/>
  <c r="Q2505" i="3"/>
  <c r="R2505" i="3" s="1"/>
  <c r="Q2506" i="3"/>
  <c r="R2506" i="3" s="1"/>
  <c r="Q2507" i="3"/>
  <c r="R2507" i="3" s="1"/>
  <c r="Q2508" i="3"/>
  <c r="R2508" i="3" s="1"/>
  <c r="Q2509" i="3"/>
  <c r="R2509" i="3" s="1"/>
  <c r="Q2510" i="3"/>
  <c r="R2510" i="3" s="1"/>
  <c r="Q2511" i="3"/>
  <c r="R2511" i="3" s="1"/>
  <c r="Q2512" i="3"/>
  <c r="R2512" i="3" s="1"/>
  <c r="Q2513" i="3"/>
  <c r="R2513" i="3" s="1"/>
  <c r="Q2514" i="3"/>
  <c r="R2514" i="3" s="1"/>
  <c r="Q2515" i="3"/>
  <c r="R2515" i="3" s="1"/>
  <c r="Q2516" i="3"/>
  <c r="R2516" i="3" s="1"/>
  <c r="Q2517" i="3"/>
  <c r="R2517" i="3" s="1"/>
  <c r="Q2518" i="3"/>
  <c r="R2518" i="3" s="1"/>
  <c r="Q2519" i="3"/>
  <c r="R2519" i="3" s="1"/>
  <c r="Q2520" i="3"/>
  <c r="R2520" i="3" s="1"/>
  <c r="Q2521" i="3"/>
  <c r="R2521" i="3" s="1"/>
  <c r="Q2522" i="3"/>
  <c r="R2522" i="3" s="1"/>
  <c r="Q2523" i="3"/>
  <c r="R2523" i="3" s="1"/>
  <c r="Q2524" i="3"/>
  <c r="R2524" i="3" s="1"/>
  <c r="Q2525" i="3"/>
  <c r="R2525" i="3" s="1"/>
  <c r="Q2526" i="3"/>
  <c r="R2526" i="3" s="1"/>
  <c r="Q2527" i="3"/>
  <c r="R2527" i="3" s="1"/>
  <c r="Q2528" i="3"/>
  <c r="R2528" i="3" s="1"/>
  <c r="Q2529" i="3"/>
  <c r="R2529" i="3" s="1"/>
  <c r="Q2530" i="3"/>
  <c r="R2530" i="3" s="1"/>
  <c r="Q2531" i="3"/>
  <c r="R2531" i="3" s="1"/>
  <c r="Q2532" i="3"/>
  <c r="R2532" i="3" s="1"/>
  <c r="Q2533" i="3"/>
  <c r="R2533" i="3" s="1"/>
  <c r="Q2534" i="3"/>
  <c r="R2534" i="3" s="1"/>
  <c r="Q2535" i="3"/>
  <c r="R2535" i="3" s="1"/>
  <c r="Q2536" i="3"/>
  <c r="R2536" i="3" s="1"/>
  <c r="Q2537" i="3"/>
  <c r="R2537" i="3" s="1"/>
  <c r="Q2538" i="3"/>
  <c r="R2538" i="3" s="1"/>
  <c r="Q2539" i="3"/>
  <c r="R2539" i="3" s="1"/>
  <c r="Q2540" i="3"/>
  <c r="R2540" i="3" s="1"/>
  <c r="Q2541" i="3"/>
  <c r="R2541" i="3" s="1"/>
  <c r="Q2542" i="3"/>
  <c r="R2542" i="3" s="1"/>
  <c r="Q2543" i="3"/>
  <c r="R2543" i="3" s="1"/>
  <c r="Q2544" i="3"/>
  <c r="R2544" i="3" s="1"/>
  <c r="Q2545" i="3"/>
  <c r="R2545" i="3" s="1"/>
  <c r="Q2546" i="3"/>
  <c r="R2546" i="3" s="1"/>
  <c r="Q2547" i="3"/>
  <c r="R2547" i="3" s="1"/>
  <c r="Q2548" i="3"/>
  <c r="R2548" i="3" s="1"/>
  <c r="Q2549" i="3"/>
  <c r="R2549" i="3" s="1"/>
  <c r="Q2550" i="3"/>
  <c r="R2550" i="3" s="1"/>
  <c r="Q2551" i="3"/>
  <c r="R2551" i="3" s="1"/>
  <c r="Q2552" i="3"/>
  <c r="R2552" i="3" s="1"/>
  <c r="Q2553" i="3"/>
  <c r="R2553" i="3" s="1"/>
  <c r="Q2554" i="3"/>
  <c r="R2554" i="3" s="1"/>
  <c r="Q2555" i="3"/>
  <c r="R2555" i="3" s="1"/>
  <c r="Q2556" i="3"/>
  <c r="R2556" i="3" s="1"/>
  <c r="Q2557" i="3"/>
  <c r="R2557" i="3" s="1"/>
  <c r="Q2558" i="3"/>
  <c r="R2558" i="3" s="1"/>
  <c r="Q2559" i="3"/>
  <c r="R2559" i="3" s="1"/>
  <c r="Q2560" i="3"/>
  <c r="R2560" i="3" s="1"/>
  <c r="Q2561" i="3"/>
  <c r="R2561" i="3" s="1"/>
  <c r="Q2562" i="3"/>
  <c r="R2562" i="3" s="1"/>
  <c r="Q2563" i="3"/>
  <c r="R2563" i="3" s="1"/>
  <c r="Q2564" i="3"/>
  <c r="R2564" i="3" s="1"/>
  <c r="Q2565" i="3"/>
  <c r="R2565" i="3" s="1"/>
  <c r="Q2566" i="3"/>
  <c r="R2566" i="3" s="1"/>
  <c r="Q2567" i="3"/>
  <c r="R2567" i="3" s="1"/>
  <c r="Q2568" i="3"/>
  <c r="R2568" i="3" s="1"/>
  <c r="Q2569" i="3"/>
  <c r="R2569" i="3" s="1"/>
  <c r="Q2570" i="3"/>
  <c r="R2570" i="3" s="1"/>
  <c r="Q2571" i="3"/>
  <c r="R2571" i="3" s="1"/>
  <c r="Q2572" i="3"/>
  <c r="R2572" i="3" s="1"/>
  <c r="Q2573" i="3"/>
  <c r="R2573" i="3" s="1"/>
  <c r="Q2574" i="3"/>
  <c r="R2574" i="3" s="1"/>
  <c r="Q2575" i="3"/>
  <c r="R2575" i="3" s="1"/>
  <c r="Q2576" i="3"/>
  <c r="R2576" i="3" s="1"/>
  <c r="Q2577" i="3"/>
  <c r="R2577" i="3" s="1"/>
  <c r="Q2578" i="3"/>
  <c r="R2578" i="3" s="1"/>
  <c r="Q2579" i="3"/>
  <c r="R2579" i="3" s="1"/>
  <c r="Q2580" i="3"/>
  <c r="R2580" i="3" s="1"/>
  <c r="Q2581" i="3"/>
  <c r="R2581" i="3" s="1"/>
  <c r="Q2582" i="3"/>
  <c r="R2582" i="3" s="1"/>
  <c r="Q2583" i="3"/>
  <c r="R2583" i="3" s="1"/>
  <c r="Q2584" i="3"/>
  <c r="R2584" i="3" s="1"/>
  <c r="Q2585" i="3"/>
  <c r="R2585" i="3" s="1"/>
  <c r="Q2586" i="3"/>
  <c r="R2586" i="3" s="1"/>
  <c r="Q2587" i="3"/>
  <c r="R2587" i="3" s="1"/>
  <c r="Q2588" i="3"/>
  <c r="R2588" i="3" s="1"/>
  <c r="Q2589" i="3"/>
  <c r="R2589" i="3" s="1"/>
  <c r="Q2590" i="3"/>
  <c r="R2590" i="3" s="1"/>
  <c r="Q2591" i="3"/>
  <c r="R2591" i="3" s="1"/>
  <c r="Q2592" i="3"/>
  <c r="R2592" i="3" s="1"/>
  <c r="Q2593" i="3"/>
  <c r="R2593" i="3" s="1"/>
  <c r="Q2594" i="3"/>
  <c r="R2594" i="3" s="1"/>
  <c r="Q2595" i="3"/>
  <c r="R2595" i="3" s="1"/>
  <c r="Q2596" i="3"/>
  <c r="R2596" i="3" s="1"/>
  <c r="Q2597" i="3"/>
  <c r="R2597" i="3" s="1"/>
  <c r="Q2598" i="3"/>
  <c r="R2598" i="3" s="1"/>
  <c r="Q2599" i="3"/>
  <c r="R2599" i="3" s="1"/>
  <c r="Q2600" i="3"/>
  <c r="R2600" i="3" s="1"/>
  <c r="Q2601" i="3"/>
  <c r="R2601" i="3" s="1"/>
  <c r="Q2602" i="3"/>
  <c r="R2602" i="3" s="1"/>
  <c r="Q2603" i="3"/>
  <c r="R2603" i="3" s="1"/>
  <c r="Q2604" i="3"/>
  <c r="R2604" i="3" s="1"/>
  <c r="Q2605" i="3"/>
  <c r="R2605" i="3" s="1"/>
  <c r="Q2606" i="3"/>
  <c r="R2606" i="3" s="1"/>
  <c r="Q2607" i="3"/>
  <c r="R2607" i="3" s="1"/>
  <c r="Q2608" i="3"/>
  <c r="R2608" i="3" s="1"/>
  <c r="Q2609" i="3"/>
  <c r="R2609" i="3" s="1"/>
  <c r="Q2610" i="3"/>
  <c r="R2610" i="3" s="1"/>
  <c r="Q2611" i="3"/>
  <c r="R2611" i="3" s="1"/>
  <c r="Q2612" i="3"/>
  <c r="R2612" i="3" s="1"/>
  <c r="Q2613" i="3"/>
  <c r="R2613" i="3" s="1"/>
  <c r="Q2614" i="3"/>
  <c r="R2614" i="3" s="1"/>
  <c r="Q2615" i="3"/>
  <c r="R2615" i="3" s="1"/>
  <c r="Q2616" i="3"/>
  <c r="R2616" i="3" s="1"/>
  <c r="Q2617" i="3"/>
  <c r="R2617" i="3" s="1"/>
  <c r="Q2618" i="3"/>
  <c r="R2618" i="3" s="1"/>
  <c r="Q2619" i="3"/>
  <c r="R2619" i="3" s="1"/>
  <c r="Q2620" i="3"/>
  <c r="R2620" i="3" s="1"/>
  <c r="Q2621" i="3"/>
  <c r="R2621" i="3" s="1"/>
  <c r="Q2622" i="3"/>
  <c r="R2622" i="3" s="1"/>
  <c r="Q2623" i="3"/>
  <c r="R2623" i="3" s="1"/>
  <c r="Q2624" i="3"/>
  <c r="R2624" i="3" s="1"/>
  <c r="Q2625" i="3"/>
  <c r="R2625" i="3" s="1"/>
  <c r="Q2626" i="3"/>
  <c r="R2626" i="3" s="1"/>
  <c r="Q2627" i="3"/>
  <c r="R2627" i="3" s="1"/>
  <c r="Q2628" i="3"/>
  <c r="R2628" i="3" s="1"/>
  <c r="Q2629" i="3"/>
  <c r="R2629" i="3" s="1"/>
  <c r="Q2630" i="3"/>
  <c r="R2630" i="3" s="1"/>
  <c r="Q2631" i="3"/>
  <c r="R2631" i="3" s="1"/>
  <c r="Q2632" i="3"/>
  <c r="R2632" i="3" s="1"/>
  <c r="Q2633" i="3"/>
  <c r="R2633" i="3" s="1"/>
  <c r="Q2634" i="3"/>
  <c r="R2634" i="3" s="1"/>
  <c r="Q2635" i="3"/>
  <c r="R2635" i="3" s="1"/>
  <c r="Q2636" i="3"/>
  <c r="R2636" i="3" s="1"/>
  <c r="Q2637" i="3"/>
  <c r="R2637" i="3" s="1"/>
  <c r="Q2638" i="3"/>
  <c r="R2638" i="3" s="1"/>
  <c r="Q2639" i="3"/>
  <c r="R2639" i="3" s="1"/>
  <c r="Q2640" i="3"/>
  <c r="R2640" i="3" s="1"/>
  <c r="Q2641" i="3"/>
  <c r="R2641" i="3" s="1"/>
  <c r="Q2642" i="3"/>
  <c r="R2642" i="3" s="1"/>
  <c r="Q2643" i="3"/>
  <c r="R2643" i="3" s="1"/>
  <c r="Q2644" i="3"/>
  <c r="R2644" i="3" s="1"/>
  <c r="Q2645" i="3"/>
  <c r="R2645" i="3" s="1"/>
  <c r="Q2646" i="3"/>
  <c r="R2646" i="3" s="1"/>
  <c r="Q2647" i="3"/>
  <c r="R2647" i="3" s="1"/>
  <c r="Q2648" i="3"/>
  <c r="R2648" i="3" s="1"/>
  <c r="Q2649" i="3"/>
  <c r="R2649" i="3" s="1"/>
  <c r="Q2650" i="3"/>
  <c r="R2650" i="3" s="1"/>
  <c r="Q2651" i="3"/>
  <c r="R2651" i="3" s="1"/>
  <c r="Q2652" i="3"/>
  <c r="R2652" i="3" s="1"/>
  <c r="Q2653" i="3"/>
  <c r="R2653" i="3" s="1"/>
  <c r="Q2654" i="3"/>
  <c r="R2654" i="3" s="1"/>
  <c r="Q2655" i="3"/>
  <c r="R2655" i="3" s="1"/>
  <c r="Q2656" i="3"/>
  <c r="R2656" i="3" s="1"/>
  <c r="Q2657" i="3"/>
  <c r="R2657" i="3" s="1"/>
  <c r="Q2658" i="3"/>
  <c r="R2658" i="3" s="1"/>
  <c r="Q2659" i="3"/>
  <c r="R2659" i="3" s="1"/>
  <c r="Q2660" i="3"/>
  <c r="R2660" i="3" s="1"/>
  <c r="Q2661" i="3"/>
  <c r="R2661" i="3" s="1"/>
  <c r="Q2662" i="3"/>
  <c r="R2662" i="3" s="1"/>
  <c r="Q2663" i="3"/>
  <c r="R2663" i="3" s="1"/>
  <c r="Q2664" i="3"/>
  <c r="R2664" i="3" s="1"/>
  <c r="Q2665" i="3"/>
  <c r="R2665" i="3" s="1"/>
  <c r="Q2666" i="3"/>
  <c r="R2666" i="3" s="1"/>
  <c r="Q2667" i="3"/>
  <c r="R2667" i="3" s="1"/>
  <c r="Q2668" i="3"/>
  <c r="R2668" i="3" s="1"/>
  <c r="Q2669" i="3"/>
  <c r="R2669" i="3" s="1"/>
  <c r="Q2670" i="3"/>
  <c r="R2670" i="3" s="1"/>
  <c r="Q2671" i="3"/>
  <c r="R2671" i="3" s="1"/>
  <c r="Q2672" i="3"/>
  <c r="R2672" i="3" s="1"/>
  <c r="Q2673" i="3"/>
  <c r="R2673" i="3" s="1"/>
  <c r="Q2674" i="3"/>
  <c r="R2674" i="3" s="1"/>
  <c r="Q2675" i="3"/>
  <c r="R2675" i="3" s="1"/>
  <c r="Q2676" i="3"/>
  <c r="R2676" i="3" s="1"/>
  <c r="Q2677" i="3"/>
  <c r="R2677" i="3" s="1"/>
  <c r="Q2678" i="3"/>
  <c r="R2678" i="3" s="1"/>
  <c r="Q2679" i="3"/>
  <c r="R2679" i="3" s="1"/>
  <c r="Q2680" i="3"/>
  <c r="R2680" i="3" s="1"/>
  <c r="Q2681" i="3"/>
  <c r="R2681" i="3" s="1"/>
  <c r="Q2682" i="3"/>
  <c r="R2682" i="3" s="1"/>
  <c r="Q2683" i="3"/>
  <c r="R2683" i="3" s="1"/>
  <c r="Q2684" i="3"/>
  <c r="R2684" i="3" s="1"/>
  <c r="Q2685" i="3"/>
  <c r="R2685" i="3" s="1"/>
  <c r="Q2686" i="3"/>
  <c r="R2686" i="3" s="1"/>
  <c r="Q2687" i="3"/>
  <c r="R2687" i="3" s="1"/>
  <c r="Q2688" i="3"/>
  <c r="R2688" i="3" s="1"/>
  <c r="Q2689" i="3"/>
  <c r="R2689" i="3" s="1"/>
  <c r="Q2690" i="3"/>
  <c r="R2690" i="3" s="1"/>
  <c r="Q2691" i="3"/>
  <c r="R2691" i="3" s="1"/>
  <c r="Q2692" i="3"/>
  <c r="R2692" i="3" s="1"/>
  <c r="Q2693" i="3"/>
  <c r="R2693" i="3" s="1"/>
  <c r="Q2694" i="3"/>
  <c r="R2694" i="3" s="1"/>
  <c r="Q2695" i="3"/>
  <c r="R2695" i="3" s="1"/>
  <c r="Q2696" i="3"/>
  <c r="R2696" i="3" s="1"/>
  <c r="Q2697" i="3"/>
  <c r="R2697" i="3" s="1"/>
  <c r="Q2698" i="3"/>
  <c r="R2698" i="3" s="1"/>
  <c r="Q2699" i="3"/>
  <c r="R2699" i="3" s="1"/>
  <c r="Q2700" i="3"/>
  <c r="R2700" i="3" s="1"/>
  <c r="Q2701" i="3"/>
  <c r="R2701" i="3" s="1"/>
  <c r="Q2702" i="3"/>
  <c r="R2702" i="3" s="1"/>
  <c r="Q2703" i="3"/>
  <c r="R2703" i="3" s="1"/>
  <c r="Q2704" i="3"/>
  <c r="R2704" i="3" s="1"/>
  <c r="Q2705" i="3"/>
  <c r="R2705" i="3" s="1"/>
  <c r="Q2706" i="3"/>
  <c r="R2706" i="3" s="1"/>
  <c r="Q2707" i="3"/>
  <c r="R2707" i="3" s="1"/>
  <c r="Q2708" i="3"/>
  <c r="R2708" i="3" s="1"/>
  <c r="Q2709" i="3"/>
  <c r="R2709" i="3" s="1"/>
  <c r="Q2710" i="3"/>
  <c r="R2710" i="3" s="1"/>
  <c r="Q2711" i="3"/>
  <c r="R2711" i="3" s="1"/>
  <c r="Q2712" i="3"/>
  <c r="R2712" i="3" s="1"/>
  <c r="Q2713" i="3"/>
  <c r="R2713" i="3" s="1"/>
  <c r="Q2714" i="3"/>
  <c r="R2714" i="3" s="1"/>
  <c r="Q2715" i="3"/>
  <c r="R2715" i="3" s="1"/>
  <c r="Q2716" i="3"/>
  <c r="R2716" i="3" s="1"/>
  <c r="Q2717" i="3"/>
  <c r="R2717" i="3" s="1"/>
  <c r="Q2718" i="3"/>
  <c r="R2718" i="3" s="1"/>
  <c r="Q2719" i="3"/>
  <c r="R2719" i="3" s="1"/>
  <c r="Q2720" i="3"/>
  <c r="R2720" i="3" s="1"/>
  <c r="Q2721" i="3"/>
  <c r="R2721" i="3" s="1"/>
  <c r="Q2722" i="3"/>
  <c r="R2722" i="3" s="1"/>
  <c r="Q2723" i="3"/>
  <c r="R2723" i="3" s="1"/>
  <c r="Q2724" i="3"/>
  <c r="R2724" i="3" s="1"/>
  <c r="Q2725" i="3"/>
  <c r="R2725" i="3" s="1"/>
  <c r="Q2726" i="3"/>
  <c r="R2726" i="3" s="1"/>
  <c r="Q2727" i="3"/>
  <c r="R2727" i="3" s="1"/>
  <c r="Q2728" i="3"/>
  <c r="R2728" i="3" s="1"/>
  <c r="Q2729" i="3"/>
  <c r="R2729" i="3" s="1"/>
  <c r="Q2730" i="3"/>
  <c r="R2730" i="3" s="1"/>
  <c r="Q2731" i="3"/>
  <c r="R2731" i="3" s="1"/>
  <c r="Q2732" i="3"/>
  <c r="R2732" i="3" s="1"/>
  <c r="Q2733" i="3"/>
  <c r="R2733" i="3" s="1"/>
  <c r="Q2734" i="3"/>
  <c r="R2734" i="3" s="1"/>
  <c r="Q2735" i="3"/>
  <c r="R2735" i="3" s="1"/>
  <c r="Q2736" i="3"/>
  <c r="R2736" i="3" s="1"/>
  <c r="Q2737" i="3"/>
  <c r="R2737" i="3" s="1"/>
  <c r="Q2738" i="3"/>
  <c r="R2738" i="3" s="1"/>
  <c r="Q2739" i="3"/>
  <c r="R2739" i="3" s="1"/>
  <c r="Q2740" i="3"/>
  <c r="R2740" i="3" s="1"/>
  <c r="Q2741" i="3"/>
  <c r="R2741" i="3" s="1"/>
  <c r="Q2742" i="3"/>
  <c r="R2742" i="3" s="1"/>
  <c r="Q2743" i="3"/>
  <c r="R2743" i="3" s="1"/>
  <c r="Q2744" i="3"/>
  <c r="R2744" i="3" s="1"/>
  <c r="Q2745" i="3"/>
  <c r="R2745" i="3" s="1"/>
  <c r="Q2746" i="3"/>
  <c r="R2746" i="3" s="1"/>
  <c r="Q2747" i="3"/>
  <c r="R2747" i="3" s="1"/>
  <c r="Q2748" i="3"/>
  <c r="R2748" i="3" s="1"/>
  <c r="Q2749" i="3"/>
  <c r="R2749" i="3" s="1"/>
  <c r="Q2750" i="3"/>
  <c r="R2750" i="3" s="1"/>
  <c r="Q2751" i="3"/>
  <c r="R2751" i="3" s="1"/>
  <c r="Q2752" i="3"/>
  <c r="R2752" i="3" s="1"/>
  <c r="Q2753" i="3"/>
  <c r="R2753" i="3" s="1"/>
  <c r="Q2754" i="3"/>
  <c r="R2754" i="3" s="1"/>
  <c r="Q2755" i="3"/>
  <c r="R2755" i="3" s="1"/>
  <c r="Q2756" i="3"/>
  <c r="R2756" i="3" s="1"/>
  <c r="Q2757" i="3"/>
  <c r="R2757" i="3" s="1"/>
  <c r="Q2758" i="3"/>
  <c r="R2758" i="3" s="1"/>
  <c r="Q2759" i="3"/>
  <c r="R2759" i="3" s="1"/>
  <c r="Q2760" i="3"/>
  <c r="R2760" i="3" s="1"/>
  <c r="Q2761" i="3"/>
  <c r="R2761" i="3" s="1"/>
  <c r="Q2762" i="3"/>
  <c r="R2762" i="3" s="1"/>
  <c r="Q2763" i="3"/>
  <c r="R2763" i="3" s="1"/>
  <c r="Q2764" i="3"/>
  <c r="R2764" i="3" s="1"/>
  <c r="Q2765" i="3"/>
  <c r="R2765" i="3" s="1"/>
  <c r="Q2766" i="3"/>
  <c r="R2766" i="3" s="1"/>
  <c r="Q2767" i="3"/>
  <c r="R2767" i="3" s="1"/>
  <c r="Q2768" i="3"/>
  <c r="R2768" i="3" s="1"/>
  <c r="Q2769" i="3"/>
  <c r="R2769" i="3" s="1"/>
  <c r="Q2770" i="3"/>
  <c r="R2770" i="3" s="1"/>
  <c r="Q2771" i="3"/>
  <c r="R2771" i="3" s="1"/>
  <c r="Q2772" i="3"/>
  <c r="R2772" i="3" s="1"/>
  <c r="Q2773" i="3"/>
  <c r="R2773" i="3" s="1"/>
  <c r="Q2774" i="3"/>
  <c r="R2774" i="3" s="1"/>
  <c r="Q2775" i="3"/>
  <c r="R2775" i="3" s="1"/>
  <c r="Q2776" i="3"/>
  <c r="R2776" i="3" s="1"/>
  <c r="Q2777" i="3"/>
  <c r="R2777" i="3" s="1"/>
  <c r="Q2778" i="3"/>
  <c r="R2778" i="3" s="1"/>
  <c r="Q2779" i="3"/>
  <c r="R2779" i="3" s="1"/>
  <c r="Q2780" i="3"/>
  <c r="R2780" i="3" s="1"/>
  <c r="Q2781" i="3"/>
  <c r="R2781" i="3" s="1"/>
  <c r="Q2782" i="3"/>
  <c r="R2782" i="3" s="1"/>
  <c r="Q2783" i="3"/>
  <c r="R2783" i="3" s="1"/>
  <c r="Q2784" i="3"/>
  <c r="R2784" i="3" s="1"/>
  <c r="Q2785" i="3"/>
  <c r="R2785" i="3" s="1"/>
  <c r="Q2786" i="3"/>
  <c r="R2786" i="3" s="1"/>
  <c r="Q2787" i="3"/>
  <c r="R2787" i="3" s="1"/>
  <c r="Q2788" i="3"/>
  <c r="R2788" i="3" s="1"/>
  <c r="Q2789" i="3"/>
  <c r="R2789" i="3" s="1"/>
  <c r="Q2790" i="3"/>
  <c r="R2790" i="3" s="1"/>
  <c r="Q2791" i="3"/>
  <c r="R2791" i="3" s="1"/>
  <c r="Q2792" i="3"/>
  <c r="R2792" i="3" s="1"/>
  <c r="Q2793" i="3"/>
  <c r="R2793" i="3" s="1"/>
  <c r="Q2794" i="3"/>
  <c r="R2794" i="3" s="1"/>
  <c r="Q2795" i="3"/>
  <c r="R2795" i="3" s="1"/>
  <c r="Q2796" i="3"/>
  <c r="R2796" i="3" s="1"/>
  <c r="Q2797" i="3"/>
  <c r="R2797" i="3" s="1"/>
  <c r="Q2798" i="3"/>
  <c r="R2798" i="3" s="1"/>
  <c r="Q2799" i="3"/>
  <c r="R2799" i="3" s="1"/>
  <c r="Q2800" i="3"/>
  <c r="R2800" i="3" s="1"/>
  <c r="Q2801" i="3"/>
  <c r="R2801" i="3" s="1"/>
  <c r="Q2802" i="3"/>
  <c r="R2802" i="3" s="1"/>
  <c r="Q2803" i="3"/>
  <c r="R2803" i="3" s="1"/>
  <c r="Q2804" i="3"/>
  <c r="R2804" i="3" s="1"/>
  <c r="Q2805" i="3"/>
  <c r="R2805" i="3" s="1"/>
  <c r="Q2806" i="3"/>
  <c r="R2806" i="3" s="1"/>
  <c r="Q2807" i="3"/>
  <c r="R2807" i="3" s="1"/>
  <c r="Q2808" i="3"/>
  <c r="R2808" i="3" s="1"/>
  <c r="Q2809" i="3"/>
  <c r="R2809" i="3" s="1"/>
  <c r="Q2810" i="3"/>
  <c r="R2810" i="3" s="1"/>
  <c r="Q2811" i="3"/>
  <c r="R2811" i="3" s="1"/>
  <c r="Q2812" i="3"/>
  <c r="R2812" i="3" s="1"/>
  <c r="Q2813" i="3"/>
  <c r="R2813" i="3" s="1"/>
  <c r="Q2814" i="3"/>
  <c r="R2814" i="3" s="1"/>
  <c r="Q2815" i="3"/>
  <c r="R2815" i="3" s="1"/>
  <c r="Q2816" i="3"/>
  <c r="R2816" i="3" s="1"/>
  <c r="Q2817" i="3"/>
  <c r="R2817" i="3" s="1"/>
  <c r="Q2818" i="3"/>
  <c r="R2818" i="3" s="1"/>
  <c r="Q2819" i="3"/>
  <c r="R2819" i="3" s="1"/>
  <c r="Q2820" i="3"/>
  <c r="R2820" i="3" s="1"/>
  <c r="Q2821" i="3"/>
  <c r="R2821" i="3" s="1"/>
  <c r="Q2822" i="3"/>
  <c r="R2822" i="3" s="1"/>
  <c r="Q2823" i="3"/>
  <c r="R2823" i="3" s="1"/>
  <c r="Q2824" i="3"/>
  <c r="R2824" i="3" s="1"/>
  <c r="Q2825" i="3"/>
  <c r="R2825" i="3" s="1"/>
  <c r="Q2826" i="3"/>
  <c r="R2826" i="3" s="1"/>
  <c r="Q2827" i="3"/>
  <c r="R2827" i="3" s="1"/>
  <c r="Q2828" i="3"/>
  <c r="R2828" i="3" s="1"/>
  <c r="Q2829" i="3"/>
  <c r="R2829" i="3" s="1"/>
  <c r="Q2830" i="3"/>
  <c r="R2830" i="3" s="1"/>
  <c r="Q2831" i="3"/>
  <c r="R2831" i="3" s="1"/>
  <c r="Q2832" i="3"/>
  <c r="R2832" i="3" s="1"/>
  <c r="Q2833" i="3"/>
  <c r="R2833" i="3" s="1"/>
  <c r="Q2834" i="3"/>
  <c r="R2834" i="3" s="1"/>
  <c r="Q2835" i="3"/>
  <c r="R2835" i="3" s="1"/>
  <c r="Q2836" i="3"/>
  <c r="R2836" i="3" s="1"/>
  <c r="Q2837" i="3"/>
  <c r="R2837" i="3" s="1"/>
  <c r="Q2838" i="3"/>
  <c r="R2838" i="3" s="1"/>
  <c r="Q2839" i="3"/>
  <c r="R2839" i="3" s="1"/>
  <c r="Q2840" i="3"/>
  <c r="R2840" i="3" s="1"/>
  <c r="Q2841" i="3"/>
  <c r="R2841" i="3" s="1"/>
  <c r="Q2842" i="3"/>
  <c r="R2842" i="3" s="1"/>
  <c r="Q2843" i="3"/>
  <c r="R2843" i="3" s="1"/>
  <c r="Q2844" i="3"/>
  <c r="R2844" i="3" s="1"/>
  <c r="Q2845" i="3"/>
  <c r="R2845" i="3" s="1"/>
  <c r="Q2846" i="3"/>
  <c r="R2846" i="3" s="1"/>
  <c r="Q2847" i="3"/>
  <c r="R2847" i="3" s="1"/>
  <c r="Q2848" i="3"/>
  <c r="R2848" i="3" s="1"/>
  <c r="Q2849" i="3"/>
  <c r="R2849" i="3" s="1"/>
  <c r="Q2850" i="3"/>
  <c r="R2850" i="3" s="1"/>
  <c r="Q2851" i="3"/>
  <c r="R2851" i="3" s="1"/>
  <c r="Q2852" i="3"/>
  <c r="R2852" i="3" s="1"/>
  <c r="Q2853" i="3"/>
  <c r="R2853" i="3" s="1"/>
  <c r="Q2854" i="3"/>
  <c r="R2854" i="3" s="1"/>
  <c r="Q2855" i="3"/>
  <c r="R2855" i="3" s="1"/>
  <c r="Q2856" i="3"/>
  <c r="R2856" i="3" s="1"/>
  <c r="Q2857" i="3"/>
  <c r="R2857" i="3" s="1"/>
  <c r="Q2858" i="3"/>
  <c r="R2858" i="3" s="1"/>
  <c r="Q2859" i="3"/>
  <c r="R2859" i="3" s="1"/>
  <c r="Q2860" i="3"/>
  <c r="R2860" i="3" s="1"/>
  <c r="Q2861" i="3"/>
  <c r="R2861" i="3" s="1"/>
  <c r="Q2862" i="3"/>
  <c r="R2862" i="3" s="1"/>
  <c r="Q2863" i="3"/>
  <c r="R2863" i="3" s="1"/>
  <c r="Q2864" i="3"/>
  <c r="R2864" i="3" s="1"/>
  <c r="Q2865" i="3"/>
  <c r="R2865" i="3" s="1"/>
  <c r="Q2866" i="3"/>
  <c r="R2866" i="3" s="1"/>
  <c r="Q2867" i="3"/>
  <c r="R2867" i="3" s="1"/>
  <c r="Q2868" i="3"/>
  <c r="R2868" i="3" s="1"/>
  <c r="Q2869" i="3"/>
  <c r="R2869" i="3" s="1"/>
  <c r="Q2870" i="3"/>
  <c r="R2870" i="3" s="1"/>
  <c r="Q2871" i="3"/>
  <c r="R2871" i="3" s="1"/>
  <c r="Q2872" i="3"/>
  <c r="R2872" i="3" s="1"/>
  <c r="Q2873" i="3"/>
  <c r="R2873" i="3" s="1"/>
  <c r="Q2874" i="3"/>
  <c r="R2874" i="3" s="1"/>
  <c r="Q2875" i="3"/>
  <c r="R2875" i="3" s="1"/>
  <c r="Q2876" i="3"/>
  <c r="R2876" i="3" s="1"/>
  <c r="Q2877" i="3"/>
  <c r="R2877" i="3" s="1"/>
  <c r="Q2878" i="3"/>
  <c r="R2878" i="3" s="1"/>
  <c r="Q2879" i="3"/>
  <c r="R2879" i="3" s="1"/>
  <c r="Q2880" i="3"/>
  <c r="R2880" i="3" s="1"/>
  <c r="Q2881" i="3"/>
  <c r="R2881" i="3" s="1"/>
  <c r="Q2882" i="3"/>
  <c r="R2882" i="3" s="1"/>
  <c r="Q2883" i="3"/>
  <c r="R2883" i="3" s="1"/>
  <c r="Q2884" i="3"/>
  <c r="R2884" i="3" s="1"/>
  <c r="Q2885" i="3"/>
  <c r="R2885" i="3" s="1"/>
  <c r="Q2886" i="3"/>
  <c r="R2886" i="3" s="1"/>
  <c r="Q2887" i="3"/>
  <c r="R2887" i="3" s="1"/>
  <c r="Q2888" i="3"/>
  <c r="R2888" i="3" s="1"/>
  <c r="Q2889" i="3"/>
  <c r="R2889" i="3" s="1"/>
  <c r="Q2890" i="3"/>
  <c r="R2890" i="3" s="1"/>
  <c r="Q2891" i="3"/>
  <c r="R2891" i="3" s="1"/>
  <c r="Q2892" i="3"/>
  <c r="R2892" i="3" s="1"/>
  <c r="Q2893" i="3"/>
  <c r="R2893" i="3" s="1"/>
  <c r="Q2894" i="3"/>
  <c r="R2894" i="3" s="1"/>
  <c r="Q2895" i="3"/>
  <c r="R2895" i="3" s="1"/>
  <c r="Q2896" i="3"/>
  <c r="R2896" i="3" s="1"/>
  <c r="Q2897" i="3"/>
  <c r="R2897" i="3" s="1"/>
  <c r="Q2898" i="3"/>
  <c r="R2898" i="3" s="1"/>
  <c r="Q2899" i="3"/>
  <c r="R2899" i="3" s="1"/>
  <c r="Q2900" i="3"/>
  <c r="R2900" i="3" s="1"/>
  <c r="Q2901" i="3"/>
  <c r="R2901" i="3" s="1"/>
  <c r="Q2902" i="3"/>
  <c r="R2902" i="3" s="1"/>
  <c r="Q2903" i="3"/>
  <c r="R2903" i="3" s="1"/>
  <c r="Q2904" i="3"/>
  <c r="R2904" i="3" s="1"/>
  <c r="Q2905" i="3"/>
  <c r="R2905" i="3" s="1"/>
  <c r="Q2906" i="3"/>
  <c r="R2906" i="3" s="1"/>
  <c r="Q2907" i="3"/>
  <c r="R2907" i="3" s="1"/>
  <c r="Q2908" i="3"/>
  <c r="R2908" i="3" s="1"/>
  <c r="Q2909" i="3"/>
  <c r="R2909" i="3" s="1"/>
  <c r="Q2910" i="3"/>
  <c r="R2910" i="3" s="1"/>
  <c r="Q2911" i="3"/>
  <c r="R2911" i="3" s="1"/>
  <c r="Q2912" i="3"/>
  <c r="R2912" i="3" s="1"/>
  <c r="Q2913" i="3"/>
  <c r="R2913" i="3" s="1"/>
  <c r="Q2914" i="3"/>
  <c r="R2914" i="3" s="1"/>
  <c r="Q2915" i="3"/>
  <c r="R2915" i="3" s="1"/>
  <c r="Q2916" i="3"/>
  <c r="R2916" i="3" s="1"/>
  <c r="Q2917" i="3"/>
  <c r="R2917" i="3" s="1"/>
  <c r="Q2918" i="3"/>
  <c r="R2918" i="3" s="1"/>
  <c r="Q2919" i="3"/>
  <c r="R2919" i="3" s="1"/>
  <c r="Q2920" i="3"/>
  <c r="R2920" i="3" s="1"/>
  <c r="Q2921" i="3"/>
  <c r="R2921" i="3" s="1"/>
  <c r="Q2922" i="3"/>
  <c r="R2922" i="3" s="1"/>
  <c r="Q2923" i="3"/>
  <c r="R2923" i="3" s="1"/>
  <c r="Q2924" i="3"/>
  <c r="R2924" i="3" s="1"/>
  <c r="Q2925" i="3"/>
  <c r="R2925" i="3" s="1"/>
  <c r="Q2926" i="3"/>
  <c r="R2926" i="3" s="1"/>
  <c r="Q2927" i="3"/>
  <c r="R2927" i="3" s="1"/>
  <c r="Q2928" i="3"/>
  <c r="R2928" i="3" s="1"/>
  <c r="Q2929" i="3"/>
  <c r="R2929" i="3" s="1"/>
  <c r="Q2930" i="3"/>
  <c r="R2930" i="3" s="1"/>
  <c r="Q2931" i="3"/>
  <c r="R2931" i="3" s="1"/>
  <c r="Q2932" i="3"/>
  <c r="R2932" i="3" s="1"/>
  <c r="Q2933" i="3"/>
  <c r="R2933" i="3" s="1"/>
  <c r="Q2934" i="3"/>
  <c r="R2934" i="3" s="1"/>
  <c r="Q2935" i="3"/>
  <c r="R2935" i="3" s="1"/>
  <c r="Q2936" i="3"/>
  <c r="R2936" i="3" s="1"/>
  <c r="Q2937" i="3"/>
  <c r="R2937" i="3" s="1"/>
  <c r="Q2938" i="3"/>
  <c r="R2938" i="3" s="1"/>
  <c r="Q2939" i="3"/>
  <c r="R2939" i="3" s="1"/>
  <c r="Q2940" i="3"/>
  <c r="R2940" i="3" s="1"/>
  <c r="Q2941" i="3"/>
  <c r="R2941" i="3" s="1"/>
  <c r="Q2942" i="3"/>
  <c r="R2942" i="3" s="1"/>
  <c r="Q2943" i="3"/>
  <c r="R2943" i="3" s="1"/>
  <c r="Q2944" i="3"/>
  <c r="R2944" i="3" s="1"/>
  <c r="Q2945" i="3"/>
  <c r="R2945" i="3" s="1"/>
  <c r="Q2946" i="3"/>
  <c r="R2946" i="3" s="1"/>
  <c r="Q2947" i="3"/>
  <c r="R2947" i="3" s="1"/>
  <c r="Q2948" i="3"/>
  <c r="R2948" i="3" s="1"/>
  <c r="Q2949" i="3"/>
  <c r="R2949" i="3" s="1"/>
  <c r="Q2950" i="3"/>
  <c r="R2950" i="3" s="1"/>
  <c r="Q2951" i="3"/>
  <c r="R2951" i="3" s="1"/>
  <c r="Q2952" i="3"/>
  <c r="R2952" i="3" s="1"/>
  <c r="Q2953" i="3"/>
  <c r="R2953" i="3" s="1"/>
  <c r="Q2954" i="3"/>
  <c r="R2954" i="3" s="1"/>
  <c r="Q2955" i="3"/>
  <c r="R2955" i="3" s="1"/>
  <c r="Q2956" i="3"/>
  <c r="R2956" i="3" s="1"/>
  <c r="Q2957" i="3"/>
  <c r="R2957" i="3" s="1"/>
  <c r="Q2958" i="3"/>
  <c r="R2958" i="3" s="1"/>
  <c r="Q2959" i="3"/>
  <c r="R2959" i="3" s="1"/>
  <c r="Q2960" i="3"/>
  <c r="R2960" i="3" s="1"/>
  <c r="Q2961" i="3"/>
  <c r="R2961" i="3" s="1"/>
  <c r="Q2962" i="3"/>
  <c r="R2962" i="3" s="1"/>
  <c r="Q2963" i="3"/>
  <c r="R2963" i="3" s="1"/>
  <c r="Q2964" i="3"/>
  <c r="R2964" i="3" s="1"/>
  <c r="Q2965" i="3"/>
  <c r="R2965" i="3" s="1"/>
  <c r="Q2966" i="3"/>
  <c r="R2966" i="3" s="1"/>
  <c r="Q2967" i="3"/>
  <c r="R2967" i="3" s="1"/>
  <c r="Q2968" i="3"/>
  <c r="R2968" i="3" s="1"/>
  <c r="Q2969" i="3"/>
  <c r="R2969" i="3" s="1"/>
  <c r="Q2970" i="3"/>
  <c r="R2970" i="3" s="1"/>
  <c r="Q2971" i="3"/>
  <c r="R2971" i="3" s="1"/>
  <c r="Q2972" i="3"/>
  <c r="R2972" i="3" s="1"/>
  <c r="Q2973" i="3"/>
  <c r="R2973" i="3" s="1"/>
  <c r="Q2974" i="3"/>
  <c r="R2974" i="3" s="1"/>
  <c r="Q2975" i="3"/>
  <c r="R2975" i="3" s="1"/>
  <c r="Q2976" i="3"/>
  <c r="R2976" i="3" s="1"/>
  <c r="Q2977" i="3"/>
  <c r="R2977" i="3" s="1"/>
  <c r="Q2978" i="3"/>
  <c r="R2978" i="3" s="1"/>
  <c r="Q2979" i="3"/>
  <c r="R2979" i="3" s="1"/>
  <c r="Q2980" i="3"/>
  <c r="R2980" i="3" s="1"/>
  <c r="Q2981" i="3"/>
  <c r="R2981" i="3" s="1"/>
  <c r="Q2982" i="3"/>
  <c r="R2982" i="3" s="1"/>
  <c r="Q2983" i="3"/>
  <c r="R2983" i="3" s="1"/>
  <c r="Q2984" i="3"/>
  <c r="R2984" i="3" s="1"/>
  <c r="Q2985" i="3"/>
  <c r="R2985" i="3" s="1"/>
  <c r="Q2986" i="3"/>
  <c r="R2986" i="3" s="1"/>
  <c r="Q2987" i="3"/>
  <c r="R2987" i="3" s="1"/>
  <c r="Q2988" i="3"/>
  <c r="R2988" i="3" s="1"/>
  <c r="Q2989" i="3"/>
  <c r="R2989" i="3" s="1"/>
  <c r="Q2990" i="3"/>
  <c r="R2990" i="3" s="1"/>
  <c r="Q2991" i="3"/>
  <c r="R2991" i="3" s="1"/>
  <c r="Q2992" i="3"/>
  <c r="R2992" i="3" s="1"/>
  <c r="Q2993" i="3"/>
  <c r="R2993" i="3" s="1"/>
  <c r="Q2994" i="3"/>
  <c r="R2994" i="3" s="1"/>
  <c r="Q2995" i="3"/>
  <c r="R2995" i="3" s="1"/>
  <c r="Q2996" i="3"/>
  <c r="R2996" i="3" s="1"/>
  <c r="Q2997" i="3"/>
  <c r="R2997" i="3" s="1"/>
  <c r="Q2998" i="3"/>
  <c r="R2998" i="3" s="1"/>
  <c r="Q2999" i="3"/>
  <c r="R2999" i="3" s="1"/>
  <c r="Q3000" i="3"/>
  <c r="R3000" i="3" s="1"/>
  <c r="Q3001" i="3"/>
  <c r="R3001" i="3" s="1"/>
  <c r="Q3002" i="3"/>
  <c r="R3002" i="3" s="1"/>
  <c r="Q3003" i="3"/>
  <c r="R3003" i="3" s="1"/>
  <c r="Q3004" i="3"/>
  <c r="R3004" i="3" s="1"/>
  <c r="Q3005" i="3"/>
  <c r="R3005" i="3" s="1"/>
  <c r="Q3006" i="3"/>
  <c r="R3006" i="3" s="1"/>
  <c r="Q3007" i="3"/>
  <c r="R3007" i="3" s="1"/>
  <c r="Q3008" i="3"/>
  <c r="R3008" i="3" s="1"/>
  <c r="Q3009" i="3"/>
  <c r="R3009" i="3" s="1"/>
  <c r="Q3010" i="3"/>
  <c r="R3010" i="3" s="1"/>
  <c r="Q3011" i="3"/>
  <c r="R3011" i="3" s="1"/>
  <c r="Q3012" i="3"/>
  <c r="R3012" i="3" s="1"/>
  <c r="Q3013" i="3"/>
  <c r="R3013" i="3" s="1"/>
  <c r="Q3014" i="3"/>
  <c r="R3014" i="3" s="1"/>
  <c r="Q3015" i="3"/>
  <c r="R3015" i="3" s="1"/>
  <c r="Q3016" i="3"/>
  <c r="R3016" i="3" s="1"/>
  <c r="Q3017" i="3"/>
  <c r="R3017" i="3" s="1"/>
  <c r="Q3018" i="3"/>
  <c r="R3018" i="3" s="1"/>
  <c r="Q3019" i="3"/>
  <c r="R3019" i="3" s="1"/>
  <c r="Q3020" i="3"/>
  <c r="R3020" i="3" s="1"/>
  <c r="Q3021" i="3"/>
  <c r="R3021" i="3" s="1"/>
  <c r="Q3022" i="3"/>
  <c r="R3022" i="3" s="1"/>
  <c r="Q3023" i="3"/>
  <c r="R3023" i="3" s="1"/>
  <c r="Q3024" i="3"/>
  <c r="R3024" i="3" s="1"/>
  <c r="Q3025" i="3"/>
  <c r="R3025" i="3" s="1"/>
  <c r="Q3026" i="3"/>
  <c r="R3026" i="3" s="1"/>
  <c r="Q3027" i="3"/>
  <c r="R3027" i="3" s="1"/>
  <c r="Q3028" i="3"/>
  <c r="R3028" i="3" s="1"/>
  <c r="Q3029" i="3"/>
  <c r="R3029" i="3" s="1"/>
  <c r="Q3030" i="3"/>
  <c r="R3030" i="3" s="1"/>
  <c r="Q3031" i="3"/>
  <c r="R3031" i="3" s="1"/>
  <c r="Q3032" i="3"/>
  <c r="R3032" i="3" s="1"/>
  <c r="Q3033" i="3"/>
  <c r="R3033" i="3" s="1"/>
  <c r="Q3034" i="3"/>
  <c r="R3034" i="3" s="1"/>
  <c r="Q3035" i="3"/>
  <c r="R3035" i="3" s="1"/>
  <c r="Q3036" i="3"/>
  <c r="R3036" i="3" s="1"/>
  <c r="Q3037" i="3"/>
  <c r="R3037" i="3" s="1"/>
  <c r="Q3038" i="3"/>
  <c r="R3038" i="3" s="1"/>
  <c r="Q3039" i="3"/>
  <c r="R3039" i="3" s="1"/>
  <c r="Q3040" i="3"/>
  <c r="R3040" i="3" s="1"/>
  <c r="Q3041" i="3"/>
  <c r="R3041" i="3" s="1"/>
  <c r="Q3042" i="3"/>
  <c r="R3042" i="3" s="1"/>
  <c r="Q3043" i="3"/>
  <c r="R3043" i="3" s="1"/>
  <c r="Q3044" i="3"/>
  <c r="R3044" i="3" s="1"/>
  <c r="Q3045" i="3"/>
  <c r="R3045" i="3" s="1"/>
  <c r="Q3046" i="3"/>
  <c r="R3046" i="3" s="1"/>
  <c r="Q3047" i="3"/>
  <c r="R3047" i="3" s="1"/>
  <c r="Q3048" i="3"/>
  <c r="R3048" i="3" s="1"/>
  <c r="Q3049" i="3"/>
  <c r="R3049" i="3" s="1"/>
  <c r="Q3050" i="3"/>
  <c r="R3050" i="3" s="1"/>
  <c r="Q3051" i="3"/>
  <c r="R3051" i="3" s="1"/>
  <c r="Q3052" i="3"/>
  <c r="R3052" i="3" s="1"/>
  <c r="Q3053" i="3"/>
  <c r="R3053" i="3" s="1"/>
  <c r="Q3054" i="3"/>
  <c r="R3054" i="3" s="1"/>
  <c r="Q3055" i="3"/>
  <c r="R3055" i="3" s="1"/>
  <c r="Q3056" i="3"/>
  <c r="R3056" i="3" s="1"/>
  <c r="Q3057" i="3"/>
  <c r="R3057" i="3" s="1"/>
  <c r="Q3058" i="3"/>
  <c r="R3058" i="3" s="1"/>
  <c r="Q3059" i="3"/>
  <c r="R3059" i="3" s="1"/>
  <c r="Q3060" i="3"/>
  <c r="R3060" i="3" s="1"/>
  <c r="Q3061" i="3"/>
  <c r="R3061" i="3" s="1"/>
  <c r="Q3062" i="3"/>
  <c r="R3062" i="3" s="1"/>
  <c r="Q3063" i="3"/>
  <c r="R3063" i="3" s="1"/>
  <c r="Q3064" i="3"/>
  <c r="R3064" i="3" s="1"/>
  <c r="Q3065" i="3"/>
  <c r="R3065" i="3" s="1"/>
  <c r="Q3066" i="3"/>
  <c r="R3066" i="3" s="1"/>
  <c r="Q3067" i="3"/>
  <c r="R3067" i="3" s="1"/>
  <c r="Q3068" i="3"/>
  <c r="R3068" i="3" s="1"/>
  <c r="Q3069" i="3"/>
  <c r="R3069" i="3" s="1"/>
  <c r="Q3070" i="3"/>
  <c r="R3070" i="3" s="1"/>
  <c r="Q3071" i="3"/>
  <c r="R3071" i="3" s="1"/>
  <c r="Q3072" i="3"/>
  <c r="R3072" i="3" s="1"/>
  <c r="Q3073" i="3"/>
  <c r="R3073" i="3" s="1"/>
  <c r="Q3074" i="3"/>
  <c r="R3074" i="3" s="1"/>
  <c r="Q3075" i="3"/>
  <c r="R3075" i="3" s="1"/>
  <c r="Q3076" i="3"/>
  <c r="R3076" i="3" s="1"/>
  <c r="Q3077" i="3"/>
  <c r="R3077" i="3" s="1"/>
  <c r="Q3078" i="3"/>
  <c r="R3078" i="3" s="1"/>
  <c r="Q3079" i="3"/>
  <c r="R3079" i="3" s="1"/>
  <c r="Q3080" i="3"/>
  <c r="R3080" i="3" s="1"/>
  <c r="Q3081" i="3"/>
  <c r="R3081" i="3" s="1"/>
  <c r="Q3082" i="3"/>
  <c r="R3082" i="3" s="1"/>
  <c r="Q3083" i="3"/>
  <c r="R3083" i="3" s="1"/>
  <c r="Q3084" i="3"/>
  <c r="R3084" i="3" s="1"/>
  <c r="Q3085" i="3"/>
  <c r="R3085" i="3" s="1"/>
  <c r="Q3086" i="3"/>
  <c r="R3086" i="3" s="1"/>
  <c r="Q3087" i="3"/>
  <c r="R3087" i="3" s="1"/>
  <c r="Q3088" i="3"/>
  <c r="R3088" i="3" s="1"/>
  <c r="Q3089" i="3"/>
  <c r="R3089" i="3" s="1"/>
  <c r="Q3090" i="3"/>
  <c r="R3090" i="3" s="1"/>
  <c r="Q3091" i="3"/>
  <c r="R3091" i="3" s="1"/>
  <c r="Q3092" i="3"/>
  <c r="R3092" i="3" s="1"/>
  <c r="Q3093" i="3"/>
  <c r="R3093" i="3" s="1"/>
  <c r="Q3094" i="3"/>
  <c r="R3094" i="3" s="1"/>
  <c r="Q3095" i="3"/>
  <c r="R3095" i="3" s="1"/>
  <c r="Q3096" i="3"/>
  <c r="R3096" i="3" s="1"/>
  <c r="Q3097" i="3"/>
  <c r="R3097" i="3" s="1"/>
  <c r="Q3098" i="3"/>
  <c r="R3098" i="3" s="1"/>
  <c r="Q3099" i="3"/>
  <c r="R3099" i="3" s="1"/>
  <c r="Q3100" i="3"/>
  <c r="R3100" i="3" s="1"/>
  <c r="Q3101" i="3"/>
  <c r="R3101" i="3" s="1"/>
  <c r="Q3102" i="3"/>
  <c r="R3102" i="3" s="1"/>
  <c r="Q3103" i="3"/>
  <c r="R3103" i="3" s="1"/>
  <c r="Q3104" i="3"/>
  <c r="R3104" i="3" s="1"/>
  <c r="Q3105" i="3"/>
  <c r="R3105" i="3" s="1"/>
  <c r="Q3106" i="3"/>
  <c r="R3106" i="3" s="1"/>
  <c r="Q3107" i="3"/>
  <c r="R3107" i="3" s="1"/>
  <c r="Q3108" i="3"/>
  <c r="R3108" i="3" s="1"/>
  <c r="Q3109" i="3"/>
  <c r="R3109" i="3" s="1"/>
  <c r="Q3110" i="3"/>
  <c r="R3110" i="3" s="1"/>
  <c r="Q3111" i="3"/>
  <c r="R3111" i="3" s="1"/>
  <c r="Q3112" i="3"/>
  <c r="R3112" i="3" s="1"/>
  <c r="Q3113" i="3"/>
  <c r="R3113" i="3" s="1"/>
  <c r="Q3114" i="3"/>
  <c r="R3114" i="3" s="1"/>
  <c r="Q3115" i="3"/>
  <c r="R3115" i="3" s="1"/>
  <c r="Q3116" i="3"/>
  <c r="R3116" i="3" s="1"/>
  <c r="Q3117" i="3"/>
  <c r="R3117" i="3" s="1"/>
  <c r="Q3118" i="3"/>
  <c r="R3118" i="3" s="1"/>
  <c r="Q3119" i="3"/>
  <c r="R3119" i="3" s="1"/>
  <c r="Q3120" i="3"/>
  <c r="R3120" i="3" s="1"/>
  <c r="Q3121" i="3"/>
  <c r="R3121" i="3" s="1"/>
  <c r="Q3122" i="3"/>
  <c r="R3122" i="3" s="1"/>
  <c r="Q3123" i="3"/>
  <c r="R3123" i="3" s="1"/>
  <c r="Q3124" i="3"/>
  <c r="R3124" i="3" s="1"/>
  <c r="Q3125" i="3"/>
  <c r="R3125" i="3" s="1"/>
  <c r="Q3126" i="3"/>
  <c r="R3126" i="3" s="1"/>
  <c r="Q3127" i="3"/>
  <c r="R3127" i="3" s="1"/>
  <c r="Q3128" i="3"/>
  <c r="R3128" i="3" s="1"/>
  <c r="Q3129" i="3"/>
  <c r="R3129" i="3" s="1"/>
  <c r="Q3130" i="3"/>
  <c r="R3130" i="3" s="1"/>
  <c r="Q3131" i="3"/>
  <c r="R3131" i="3" s="1"/>
  <c r="Q3132" i="3"/>
  <c r="R3132" i="3" s="1"/>
  <c r="Q3133" i="3"/>
  <c r="R3133" i="3" s="1"/>
  <c r="Q3134" i="3"/>
  <c r="R3134" i="3" s="1"/>
  <c r="Q3135" i="3"/>
  <c r="R3135" i="3" s="1"/>
  <c r="Q3136" i="3"/>
  <c r="R3136" i="3" s="1"/>
  <c r="Q3137" i="3"/>
  <c r="R3137" i="3" s="1"/>
  <c r="Q3138" i="3"/>
  <c r="R3138" i="3" s="1"/>
  <c r="Q3139" i="3"/>
  <c r="R3139" i="3" s="1"/>
  <c r="Q3140" i="3"/>
  <c r="R3140" i="3" s="1"/>
  <c r="Q3141" i="3"/>
  <c r="R3141" i="3" s="1"/>
  <c r="Q3142" i="3"/>
  <c r="R3142" i="3" s="1"/>
  <c r="Q3143" i="3"/>
  <c r="R3143" i="3" s="1"/>
  <c r="Q3144" i="3"/>
  <c r="R3144" i="3" s="1"/>
  <c r="Q3145" i="3"/>
  <c r="R3145" i="3" s="1"/>
  <c r="Q3146" i="3"/>
  <c r="R3146" i="3" s="1"/>
  <c r="Q3147" i="3"/>
  <c r="R3147" i="3" s="1"/>
  <c r="Q3148" i="3"/>
  <c r="R3148" i="3" s="1"/>
  <c r="Q3149" i="3"/>
  <c r="R3149" i="3" s="1"/>
  <c r="Q3150" i="3"/>
  <c r="R3150" i="3" s="1"/>
  <c r="Q3151" i="3"/>
  <c r="R3151" i="3" s="1"/>
  <c r="Q3152" i="3"/>
  <c r="R3152" i="3" s="1"/>
  <c r="Q3153" i="3"/>
  <c r="R3153" i="3" s="1"/>
  <c r="Q3154" i="3"/>
  <c r="R3154" i="3" s="1"/>
  <c r="Q3155" i="3"/>
  <c r="R3155" i="3" s="1"/>
  <c r="Q3156" i="3"/>
  <c r="R3156" i="3" s="1"/>
  <c r="Q3157" i="3"/>
  <c r="R3157" i="3" s="1"/>
  <c r="Q3158" i="3"/>
  <c r="R3158" i="3" s="1"/>
  <c r="Q3159" i="3"/>
  <c r="R3159" i="3" s="1"/>
  <c r="Q3160" i="3"/>
  <c r="R3160" i="3" s="1"/>
  <c r="Q3161" i="3"/>
  <c r="R3161" i="3" s="1"/>
  <c r="Q3162" i="3"/>
  <c r="R3162" i="3" s="1"/>
  <c r="Q3163" i="3"/>
  <c r="R3163" i="3" s="1"/>
  <c r="Q3164" i="3"/>
  <c r="R3164" i="3" s="1"/>
  <c r="Q3165" i="3"/>
  <c r="R3165" i="3" s="1"/>
  <c r="Q3166" i="3"/>
  <c r="R3166" i="3" s="1"/>
  <c r="Q3167" i="3"/>
  <c r="R3167" i="3" s="1"/>
  <c r="Q3168" i="3"/>
  <c r="R3168" i="3" s="1"/>
  <c r="Q3169" i="3"/>
  <c r="R3169" i="3" s="1"/>
  <c r="Q3170" i="3"/>
  <c r="R3170" i="3" s="1"/>
  <c r="Q3171" i="3"/>
  <c r="R3171" i="3" s="1"/>
  <c r="Q3172" i="3"/>
  <c r="R3172" i="3" s="1"/>
  <c r="Q3173" i="3"/>
  <c r="R3173" i="3" s="1"/>
  <c r="Q3174" i="3"/>
  <c r="R3174" i="3" s="1"/>
  <c r="Q3175" i="3"/>
  <c r="R3175" i="3" s="1"/>
  <c r="Q3176" i="3"/>
  <c r="R3176" i="3" s="1"/>
  <c r="Q3177" i="3"/>
  <c r="R3177" i="3" s="1"/>
  <c r="Q3178" i="3"/>
  <c r="R3178" i="3" s="1"/>
  <c r="Q3179" i="3"/>
  <c r="R3179" i="3" s="1"/>
  <c r="Q3180" i="3"/>
  <c r="R3180" i="3" s="1"/>
  <c r="Q3181" i="3"/>
  <c r="R3181" i="3" s="1"/>
  <c r="Q3182" i="3"/>
  <c r="R3182" i="3" s="1"/>
  <c r="Q3183" i="3"/>
  <c r="R3183" i="3" s="1"/>
  <c r="Q3184" i="3"/>
  <c r="R3184" i="3" s="1"/>
  <c r="Q3185" i="3"/>
  <c r="R3185" i="3" s="1"/>
  <c r="Q3186" i="3"/>
  <c r="R3186" i="3" s="1"/>
  <c r="Q3187" i="3"/>
  <c r="R3187" i="3" s="1"/>
  <c r="Q3188" i="3"/>
  <c r="R3188" i="3" s="1"/>
  <c r="Q3189" i="3"/>
  <c r="R3189" i="3" s="1"/>
  <c r="Q3190" i="3"/>
  <c r="R3190" i="3" s="1"/>
  <c r="Q3191" i="3"/>
  <c r="R3191" i="3" s="1"/>
  <c r="Q3192" i="3"/>
  <c r="R3192" i="3" s="1"/>
  <c r="Q3193" i="3"/>
  <c r="R3193" i="3" s="1"/>
  <c r="Q3194" i="3"/>
  <c r="R3194" i="3" s="1"/>
  <c r="Q3195" i="3"/>
  <c r="R3195" i="3" s="1"/>
  <c r="Q3196" i="3"/>
  <c r="R3196" i="3" s="1"/>
  <c r="Q3197" i="3"/>
  <c r="R3197" i="3" s="1"/>
  <c r="Q3198" i="3"/>
  <c r="R3198" i="3" s="1"/>
  <c r="Q3199" i="3"/>
  <c r="R3199" i="3" s="1"/>
  <c r="Q3200" i="3"/>
  <c r="R3200" i="3" s="1"/>
  <c r="Q3201" i="3"/>
  <c r="R3201" i="3" s="1"/>
  <c r="Q3202" i="3"/>
  <c r="R3202" i="3" s="1"/>
  <c r="Q3203" i="3"/>
  <c r="R3203" i="3" s="1"/>
  <c r="Q3204" i="3"/>
  <c r="R3204" i="3" s="1"/>
  <c r="Q3205" i="3"/>
  <c r="R3205" i="3" s="1"/>
  <c r="Q3206" i="3"/>
  <c r="R3206" i="3" s="1"/>
  <c r="Q3207" i="3"/>
  <c r="R3207" i="3" s="1"/>
  <c r="Q3208" i="3"/>
  <c r="R3208" i="3" s="1"/>
  <c r="Q3209" i="3"/>
  <c r="R3209" i="3" s="1"/>
  <c r="Q3210" i="3"/>
  <c r="R3210" i="3" s="1"/>
  <c r="Q3211" i="3"/>
  <c r="R3211" i="3" s="1"/>
  <c r="Q3212" i="3"/>
  <c r="R3212" i="3" s="1"/>
  <c r="Q3213" i="3"/>
  <c r="R3213" i="3" s="1"/>
  <c r="Q3214" i="3"/>
  <c r="R3214" i="3" s="1"/>
  <c r="Q3215" i="3"/>
  <c r="R3215" i="3" s="1"/>
  <c r="Q3216" i="3"/>
  <c r="R3216" i="3" s="1"/>
  <c r="Q3217" i="3"/>
  <c r="R3217" i="3" s="1"/>
  <c r="Q3218" i="3"/>
  <c r="R3218" i="3" s="1"/>
  <c r="Q3219" i="3"/>
  <c r="R3219" i="3" s="1"/>
  <c r="Q3220" i="3"/>
  <c r="R3220" i="3" s="1"/>
  <c r="Q3221" i="3"/>
  <c r="R3221" i="3" s="1"/>
  <c r="Q3222" i="3"/>
  <c r="R3222" i="3" s="1"/>
  <c r="Q3223" i="3"/>
  <c r="R3223" i="3" s="1"/>
  <c r="Q3224" i="3"/>
  <c r="R3224" i="3" s="1"/>
  <c r="Q3225" i="3"/>
  <c r="R3225" i="3" s="1"/>
  <c r="Q3226" i="3"/>
  <c r="R3226" i="3" s="1"/>
  <c r="Q3227" i="3"/>
  <c r="R3227" i="3" s="1"/>
  <c r="Q3228" i="3"/>
  <c r="R3228" i="3" s="1"/>
  <c r="Q3229" i="3"/>
  <c r="R3229" i="3" s="1"/>
  <c r="Q3230" i="3"/>
  <c r="R3230" i="3" s="1"/>
  <c r="Q3231" i="3"/>
  <c r="R3231" i="3" s="1"/>
  <c r="Q3232" i="3"/>
  <c r="R3232" i="3" s="1"/>
  <c r="Q3233" i="3"/>
  <c r="R3233" i="3" s="1"/>
  <c r="Q3234" i="3"/>
  <c r="R3234" i="3" s="1"/>
  <c r="Q3235" i="3"/>
  <c r="R3235" i="3" s="1"/>
  <c r="Q3236" i="3"/>
  <c r="R3236" i="3" s="1"/>
  <c r="Q3237" i="3"/>
  <c r="R3237" i="3" s="1"/>
  <c r="Q3238" i="3"/>
  <c r="R3238" i="3" s="1"/>
  <c r="Q3239" i="3"/>
  <c r="R3239" i="3" s="1"/>
  <c r="Q3240" i="3"/>
  <c r="R3240" i="3" s="1"/>
  <c r="Q3241" i="3"/>
  <c r="R3241" i="3" s="1"/>
  <c r="Q3242" i="3"/>
  <c r="R3242" i="3" s="1"/>
  <c r="Q3243" i="3"/>
  <c r="R3243" i="3" s="1"/>
  <c r="Q3244" i="3"/>
  <c r="R3244" i="3" s="1"/>
  <c r="Q3245" i="3"/>
  <c r="R3245" i="3" s="1"/>
  <c r="Q3246" i="3"/>
  <c r="R3246" i="3" s="1"/>
  <c r="Q3247" i="3"/>
  <c r="R3247" i="3" s="1"/>
  <c r="Q3248" i="3"/>
  <c r="R3248" i="3" s="1"/>
  <c r="Q3249" i="3"/>
  <c r="R3249" i="3" s="1"/>
  <c r="Q3250" i="3"/>
  <c r="R3250" i="3" s="1"/>
  <c r="Q3251" i="3"/>
  <c r="R3251" i="3" s="1"/>
  <c r="Q3252" i="3"/>
  <c r="R3252" i="3" s="1"/>
  <c r="Q3253" i="3"/>
  <c r="R3253" i="3" s="1"/>
  <c r="Q3254" i="3"/>
  <c r="R3254" i="3" s="1"/>
  <c r="Q3255" i="3"/>
  <c r="R3255" i="3" s="1"/>
  <c r="Q3256" i="3"/>
  <c r="R3256" i="3" s="1"/>
  <c r="Q3257" i="3"/>
  <c r="R3257" i="3" s="1"/>
  <c r="Q3258" i="3"/>
  <c r="R3258" i="3" s="1"/>
  <c r="Q3259" i="3"/>
  <c r="R3259" i="3" s="1"/>
  <c r="Q3260" i="3"/>
  <c r="R3260" i="3" s="1"/>
  <c r="Q3261" i="3"/>
  <c r="R3261" i="3" s="1"/>
  <c r="Q3262" i="3"/>
  <c r="R3262" i="3" s="1"/>
  <c r="Q3263" i="3"/>
  <c r="R3263" i="3" s="1"/>
  <c r="Q3264" i="3"/>
  <c r="R3264" i="3" s="1"/>
  <c r="Q3265" i="3"/>
  <c r="R3265" i="3" s="1"/>
  <c r="Q3266" i="3"/>
  <c r="R3266" i="3" s="1"/>
  <c r="Q3267" i="3"/>
  <c r="R3267" i="3" s="1"/>
  <c r="Q3268" i="3"/>
  <c r="R3268" i="3" s="1"/>
  <c r="Q3269" i="3"/>
  <c r="R3269" i="3" s="1"/>
  <c r="Q3270" i="3"/>
  <c r="R3270" i="3" s="1"/>
  <c r="Q3271" i="3"/>
  <c r="R3271" i="3" s="1"/>
  <c r="Q3272" i="3"/>
  <c r="R3272" i="3" s="1"/>
  <c r="Q3273" i="3"/>
  <c r="R3273" i="3" s="1"/>
  <c r="Q3274" i="3"/>
  <c r="R3274" i="3" s="1"/>
  <c r="Q3275" i="3"/>
  <c r="R3275" i="3" s="1"/>
  <c r="Q3276" i="3"/>
  <c r="R3276" i="3" s="1"/>
  <c r="Q3277" i="3"/>
  <c r="R3277" i="3" s="1"/>
  <c r="Q3278" i="3"/>
  <c r="R3278" i="3" s="1"/>
  <c r="Q3279" i="3"/>
  <c r="R3279" i="3" s="1"/>
  <c r="Q3280" i="3"/>
  <c r="R3280" i="3" s="1"/>
  <c r="Q3281" i="3"/>
  <c r="R3281" i="3" s="1"/>
  <c r="Q3282" i="3"/>
  <c r="R3282" i="3" s="1"/>
  <c r="Q3283" i="3"/>
  <c r="R3283" i="3" s="1"/>
  <c r="Q3284" i="3"/>
  <c r="R3284" i="3" s="1"/>
  <c r="Q3285" i="3"/>
  <c r="R3285" i="3" s="1"/>
  <c r="Q3286" i="3"/>
  <c r="R3286" i="3" s="1"/>
  <c r="Q3287" i="3"/>
  <c r="R3287" i="3" s="1"/>
  <c r="Q3288" i="3"/>
  <c r="R3288" i="3" s="1"/>
  <c r="Q3289" i="3"/>
  <c r="R3289" i="3" s="1"/>
  <c r="Q3290" i="3"/>
  <c r="R3290" i="3" s="1"/>
  <c r="Q3291" i="3"/>
  <c r="R3291" i="3" s="1"/>
  <c r="Q3292" i="3"/>
  <c r="R3292" i="3" s="1"/>
  <c r="Q3293" i="3"/>
  <c r="R3293" i="3" s="1"/>
  <c r="Q3294" i="3"/>
  <c r="R3294" i="3" s="1"/>
  <c r="Q3295" i="3"/>
  <c r="R3295" i="3" s="1"/>
  <c r="Q3296" i="3"/>
  <c r="R3296" i="3" s="1"/>
  <c r="Q3297" i="3"/>
  <c r="R3297" i="3" s="1"/>
  <c r="Q3298" i="3"/>
  <c r="R3298" i="3" s="1"/>
  <c r="Q3299" i="3"/>
  <c r="R3299" i="3" s="1"/>
  <c r="Q3300" i="3"/>
  <c r="R3300" i="3" s="1"/>
  <c r="Q3301" i="3"/>
  <c r="R3301" i="3" s="1"/>
  <c r="Q3302" i="3"/>
  <c r="R3302" i="3" s="1"/>
  <c r="Q3303" i="3"/>
  <c r="R3303" i="3" s="1"/>
  <c r="Q3304" i="3"/>
  <c r="R3304" i="3" s="1"/>
  <c r="Q3305" i="3"/>
  <c r="R3305" i="3" s="1"/>
  <c r="Q3306" i="3"/>
  <c r="R3306" i="3" s="1"/>
  <c r="Q3307" i="3"/>
  <c r="R3307" i="3" s="1"/>
  <c r="Q3308" i="3"/>
  <c r="R3308" i="3" s="1"/>
  <c r="Q3309" i="3"/>
  <c r="R3309" i="3" s="1"/>
  <c r="Q3310" i="3"/>
  <c r="R3310" i="3" s="1"/>
  <c r="Q3311" i="3"/>
  <c r="R3311" i="3" s="1"/>
  <c r="Q3312" i="3"/>
  <c r="R3312" i="3" s="1"/>
  <c r="Q3313" i="3"/>
  <c r="R3313" i="3" s="1"/>
  <c r="Q3314" i="3"/>
  <c r="R3314" i="3" s="1"/>
  <c r="Q3315" i="3"/>
  <c r="R3315" i="3" s="1"/>
  <c r="Q3316" i="3"/>
  <c r="R3316" i="3" s="1"/>
  <c r="Q3317" i="3"/>
  <c r="R3317" i="3" s="1"/>
  <c r="Q3318" i="3"/>
  <c r="R3318" i="3" s="1"/>
  <c r="Q3319" i="3"/>
  <c r="R3319" i="3" s="1"/>
  <c r="Q3320" i="3"/>
  <c r="R3320" i="3" s="1"/>
  <c r="Q3321" i="3"/>
  <c r="R3321" i="3" s="1"/>
  <c r="Q3322" i="3"/>
  <c r="R3322" i="3" s="1"/>
  <c r="Q3323" i="3"/>
  <c r="R3323" i="3" s="1"/>
  <c r="Q3324" i="3"/>
  <c r="R3324" i="3" s="1"/>
  <c r="Q3325" i="3"/>
  <c r="R3325" i="3" s="1"/>
  <c r="Q3326" i="3"/>
  <c r="R3326" i="3" s="1"/>
  <c r="Q3327" i="3"/>
  <c r="R3327" i="3" s="1"/>
  <c r="Q3328" i="3"/>
  <c r="R3328" i="3" s="1"/>
  <c r="Q3329" i="3"/>
  <c r="R3329" i="3" s="1"/>
  <c r="Q3330" i="3"/>
  <c r="R3330" i="3" s="1"/>
  <c r="Q3331" i="3"/>
  <c r="R3331" i="3" s="1"/>
  <c r="Q3332" i="3"/>
  <c r="R3332" i="3" s="1"/>
  <c r="Q3333" i="3"/>
  <c r="R3333" i="3" s="1"/>
  <c r="Q3334" i="3"/>
  <c r="R3334" i="3" s="1"/>
  <c r="Q3335" i="3"/>
  <c r="R3335" i="3" s="1"/>
  <c r="Q3336" i="3"/>
  <c r="R3336" i="3" s="1"/>
  <c r="Q3337" i="3"/>
  <c r="R3337" i="3" s="1"/>
  <c r="Q3338" i="3"/>
  <c r="R3338" i="3" s="1"/>
  <c r="Q3339" i="3"/>
  <c r="R3339" i="3" s="1"/>
  <c r="Q3340" i="3"/>
  <c r="R3340" i="3" s="1"/>
  <c r="Q3341" i="3"/>
  <c r="R3341" i="3" s="1"/>
  <c r="Q3342" i="3"/>
  <c r="R3342" i="3" s="1"/>
  <c r="Q3343" i="3"/>
  <c r="R3343" i="3" s="1"/>
  <c r="Q3344" i="3"/>
  <c r="R3344" i="3" s="1"/>
  <c r="Q3345" i="3"/>
  <c r="R3345" i="3" s="1"/>
  <c r="Q3346" i="3"/>
  <c r="R3346" i="3" s="1"/>
  <c r="Q3347" i="3"/>
  <c r="R3347" i="3" s="1"/>
  <c r="Q3348" i="3"/>
  <c r="R3348" i="3" s="1"/>
  <c r="Q3349" i="3"/>
  <c r="R3349" i="3" s="1"/>
  <c r="Q3350" i="3"/>
  <c r="R3350" i="3" s="1"/>
  <c r="Q3351" i="3"/>
  <c r="R3351" i="3" s="1"/>
  <c r="Q3352" i="3"/>
  <c r="R3352" i="3" s="1"/>
  <c r="Q3353" i="3"/>
  <c r="R3353" i="3" s="1"/>
  <c r="Q3354" i="3"/>
  <c r="R3354" i="3" s="1"/>
  <c r="Q3355" i="3"/>
  <c r="R3355" i="3" s="1"/>
  <c r="Q3356" i="3"/>
  <c r="R3356" i="3" s="1"/>
  <c r="Q3357" i="3"/>
  <c r="R3357" i="3" s="1"/>
  <c r="Q3358" i="3"/>
  <c r="R3358" i="3" s="1"/>
  <c r="Q3359" i="3"/>
  <c r="R3359" i="3" s="1"/>
  <c r="Q3360" i="3"/>
  <c r="R3360" i="3" s="1"/>
  <c r="Q3361" i="3"/>
  <c r="R3361" i="3" s="1"/>
  <c r="Q3362" i="3"/>
  <c r="R3362" i="3" s="1"/>
  <c r="Q3363" i="3"/>
  <c r="R3363" i="3" s="1"/>
  <c r="Q3364" i="3"/>
  <c r="R3364" i="3" s="1"/>
  <c r="Q3365" i="3"/>
  <c r="R3365" i="3" s="1"/>
  <c r="Q3366" i="3"/>
  <c r="R3366" i="3" s="1"/>
  <c r="Q3367" i="3"/>
  <c r="R3367" i="3" s="1"/>
  <c r="Q3368" i="3"/>
  <c r="R3368" i="3" s="1"/>
  <c r="Q3369" i="3"/>
  <c r="R3369" i="3" s="1"/>
  <c r="Q3370" i="3"/>
  <c r="R3370" i="3" s="1"/>
  <c r="Q3371" i="3"/>
  <c r="R3371" i="3" s="1"/>
  <c r="Q3372" i="3"/>
  <c r="R3372" i="3" s="1"/>
  <c r="Q3373" i="3"/>
  <c r="R3373" i="3" s="1"/>
  <c r="Q3374" i="3"/>
  <c r="R3374" i="3" s="1"/>
  <c r="Q3375" i="3"/>
  <c r="R3375" i="3" s="1"/>
  <c r="Q3376" i="3"/>
  <c r="R3376" i="3" s="1"/>
  <c r="Q3377" i="3"/>
  <c r="R3377" i="3" s="1"/>
  <c r="Q3378" i="3"/>
  <c r="R3378" i="3" s="1"/>
  <c r="Q3379" i="3"/>
  <c r="R3379" i="3" s="1"/>
  <c r="Q3380" i="3"/>
  <c r="R3380" i="3" s="1"/>
  <c r="Q3381" i="3"/>
  <c r="R3381" i="3" s="1"/>
  <c r="Q3382" i="3"/>
  <c r="R3382" i="3" s="1"/>
  <c r="Q3383" i="3"/>
  <c r="R3383" i="3" s="1"/>
  <c r="Q3384" i="3"/>
  <c r="R3384" i="3" s="1"/>
  <c r="Q3385" i="3"/>
  <c r="R3385" i="3" s="1"/>
  <c r="Q3386" i="3"/>
  <c r="R3386" i="3" s="1"/>
  <c r="Q3387" i="3"/>
  <c r="R3387" i="3" s="1"/>
  <c r="Q3388" i="3"/>
  <c r="R3388" i="3" s="1"/>
  <c r="Q3389" i="3"/>
  <c r="R3389" i="3" s="1"/>
  <c r="Q3390" i="3"/>
  <c r="R3390" i="3" s="1"/>
  <c r="Q3391" i="3"/>
  <c r="R3391" i="3" s="1"/>
  <c r="Q3392" i="3"/>
  <c r="R3392" i="3" s="1"/>
  <c r="Q3393" i="3"/>
  <c r="R3393" i="3" s="1"/>
  <c r="Q3394" i="3"/>
  <c r="R3394" i="3" s="1"/>
  <c r="Q3395" i="3"/>
  <c r="R3395" i="3" s="1"/>
  <c r="Q3396" i="3"/>
  <c r="R3396" i="3" s="1"/>
  <c r="Q3397" i="3"/>
  <c r="R3397" i="3" s="1"/>
  <c r="Q3398" i="3"/>
  <c r="R3398" i="3" s="1"/>
  <c r="Q3399" i="3"/>
  <c r="R3399" i="3" s="1"/>
  <c r="Q3400" i="3"/>
  <c r="R3400" i="3" s="1"/>
  <c r="Q3401" i="3"/>
  <c r="R3401" i="3" s="1"/>
  <c r="Q3402" i="3"/>
  <c r="R3402" i="3" s="1"/>
  <c r="Q3403" i="3"/>
  <c r="R3403" i="3" s="1"/>
  <c r="Q3404" i="3"/>
  <c r="R3404" i="3" s="1"/>
  <c r="Q3405" i="3"/>
  <c r="R3405" i="3" s="1"/>
  <c r="Q3406" i="3"/>
  <c r="R3406" i="3" s="1"/>
  <c r="Q3407" i="3"/>
  <c r="R3407" i="3" s="1"/>
  <c r="Q3408" i="3"/>
  <c r="R3408" i="3" s="1"/>
  <c r="Q3409" i="3"/>
  <c r="R3409" i="3" s="1"/>
  <c r="Q3410" i="3"/>
  <c r="R3410" i="3" s="1"/>
  <c r="Q3411" i="3"/>
  <c r="R3411" i="3" s="1"/>
  <c r="Q3412" i="3"/>
  <c r="R3412" i="3" s="1"/>
  <c r="Q3413" i="3"/>
  <c r="R3413" i="3" s="1"/>
  <c r="Q3414" i="3"/>
  <c r="R3414" i="3" s="1"/>
  <c r="Q3415" i="3"/>
  <c r="R3415" i="3" s="1"/>
  <c r="Q3416" i="3"/>
  <c r="R3416" i="3" s="1"/>
  <c r="Q3417" i="3"/>
  <c r="R3417" i="3" s="1"/>
  <c r="Q3418" i="3"/>
  <c r="R3418" i="3" s="1"/>
  <c r="Q3419" i="3"/>
  <c r="R3419" i="3" s="1"/>
  <c r="Q3420" i="3"/>
  <c r="R3420" i="3" s="1"/>
  <c r="Q3421" i="3"/>
  <c r="R3421" i="3" s="1"/>
  <c r="Q3422" i="3"/>
  <c r="R3422" i="3" s="1"/>
  <c r="Q3423" i="3"/>
  <c r="R3423" i="3" s="1"/>
  <c r="Q3424" i="3"/>
  <c r="R3424" i="3" s="1"/>
  <c r="Q3425" i="3"/>
  <c r="R3425" i="3" s="1"/>
  <c r="Q3426" i="3"/>
  <c r="R3426" i="3" s="1"/>
  <c r="Q3427" i="3"/>
  <c r="R3427" i="3" s="1"/>
  <c r="Q3428" i="3"/>
  <c r="R3428" i="3" s="1"/>
  <c r="Q3429" i="3"/>
  <c r="R3429" i="3" s="1"/>
  <c r="Q3430" i="3"/>
  <c r="R3430" i="3" s="1"/>
  <c r="Q3431" i="3"/>
  <c r="R3431" i="3" s="1"/>
  <c r="Q3432" i="3"/>
  <c r="R3432" i="3" s="1"/>
  <c r="Q3433" i="3"/>
  <c r="R3433" i="3" s="1"/>
  <c r="Q3434" i="3"/>
  <c r="R3434" i="3" s="1"/>
  <c r="Q3435" i="3"/>
  <c r="R3435" i="3" s="1"/>
  <c r="Q3436" i="3"/>
  <c r="R3436" i="3" s="1"/>
  <c r="Q3437" i="3"/>
  <c r="R3437" i="3" s="1"/>
  <c r="Q3438" i="3"/>
  <c r="R3438" i="3" s="1"/>
  <c r="Q3439" i="3"/>
  <c r="R3439" i="3" s="1"/>
  <c r="Q3440" i="3"/>
  <c r="R3440" i="3" s="1"/>
  <c r="Q3441" i="3"/>
  <c r="R3441" i="3" s="1"/>
  <c r="Q3442" i="3"/>
  <c r="R3442" i="3" s="1"/>
  <c r="Q3443" i="3"/>
  <c r="R3443" i="3" s="1"/>
  <c r="Q3444" i="3"/>
  <c r="R3444" i="3" s="1"/>
  <c r="Q3445" i="3"/>
  <c r="R3445" i="3" s="1"/>
  <c r="Q3446" i="3"/>
  <c r="R3446" i="3" s="1"/>
  <c r="Q3447" i="3"/>
  <c r="R3447" i="3" s="1"/>
  <c r="Q3448" i="3"/>
  <c r="R3448" i="3" s="1"/>
  <c r="Q3449" i="3"/>
  <c r="R3449" i="3" s="1"/>
  <c r="Q3450" i="3"/>
  <c r="R3450" i="3" s="1"/>
  <c r="Q3451" i="3"/>
  <c r="R3451" i="3" s="1"/>
  <c r="Q3452" i="3"/>
  <c r="R3452" i="3" s="1"/>
  <c r="Q3453" i="3"/>
  <c r="R3453" i="3" s="1"/>
  <c r="Q3454" i="3"/>
  <c r="R3454" i="3" s="1"/>
  <c r="Q3455" i="3"/>
  <c r="R3455" i="3" s="1"/>
  <c r="Q3456" i="3"/>
  <c r="R3456" i="3" s="1"/>
  <c r="Q3457" i="3"/>
  <c r="R3457" i="3" s="1"/>
  <c r="Q3458" i="3"/>
  <c r="R3458" i="3" s="1"/>
  <c r="Q3459" i="3"/>
  <c r="R3459" i="3" s="1"/>
  <c r="Q3460" i="3"/>
  <c r="R3460" i="3" s="1"/>
  <c r="Q3461" i="3"/>
  <c r="R3461" i="3" s="1"/>
  <c r="Q3462" i="3"/>
  <c r="R3462" i="3" s="1"/>
  <c r="Q3463" i="3"/>
  <c r="R3463" i="3" s="1"/>
  <c r="Q3464" i="3"/>
  <c r="R3464" i="3" s="1"/>
  <c r="Q3465" i="3"/>
  <c r="R3465" i="3" s="1"/>
  <c r="Q3466" i="3"/>
  <c r="R3466" i="3" s="1"/>
  <c r="Q3467" i="3"/>
  <c r="R3467" i="3" s="1"/>
  <c r="Q3468" i="3"/>
  <c r="R3468" i="3" s="1"/>
  <c r="Q3469" i="3"/>
  <c r="R3469" i="3" s="1"/>
  <c r="Q3470" i="3"/>
  <c r="R3470" i="3" s="1"/>
  <c r="Q3471" i="3"/>
  <c r="R3471" i="3" s="1"/>
  <c r="Q3472" i="3"/>
  <c r="R3472" i="3" s="1"/>
  <c r="Q3473" i="3"/>
  <c r="R3473" i="3" s="1"/>
  <c r="Q3474" i="3"/>
  <c r="R3474" i="3" s="1"/>
  <c r="Q3475" i="3"/>
  <c r="R3475" i="3" s="1"/>
  <c r="Q3476" i="3"/>
  <c r="R3476" i="3" s="1"/>
  <c r="Q3477" i="3"/>
  <c r="R3477" i="3" s="1"/>
  <c r="Q3478" i="3"/>
  <c r="R3478" i="3" s="1"/>
  <c r="Q3479" i="3"/>
  <c r="R3479" i="3" s="1"/>
  <c r="Q3480" i="3"/>
  <c r="R3480" i="3" s="1"/>
  <c r="Q3481" i="3"/>
  <c r="R3481" i="3" s="1"/>
  <c r="Q3482" i="3"/>
  <c r="R3482" i="3" s="1"/>
  <c r="Q3483" i="3"/>
  <c r="R3483" i="3" s="1"/>
  <c r="Q3484" i="3"/>
  <c r="R3484" i="3" s="1"/>
  <c r="Q3485" i="3"/>
  <c r="R3485" i="3" s="1"/>
  <c r="Q3486" i="3"/>
  <c r="R3486" i="3" s="1"/>
  <c r="Q3487" i="3"/>
  <c r="R3487" i="3" s="1"/>
  <c r="Q3488" i="3"/>
  <c r="R3488" i="3" s="1"/>
  <c r="Q3489" i="3"/>
  <c r="R3489" i="3" s="1"/>
  <c r="Q3490" i="3"/>
  <c r="R3490" i="3" s="1"/>
  <c r="Q3491" i="3"/>
  <c r="R3491" i="3" s="1"/>
  <c r="Q3492" i="3"/>
  <c r="R3492" i="3" s="1"/>
  <c r="Q3493" i="3"/>
  <c r="R3493" i="3" s="1"/>
  <c r="Q3494" i="3"/>
  <c r="R3494" i="3" s="1"/>
  <c r="Q3495" i="3"/>
  <c r="R3495" i="3" s="1"/>
  <c r="Q3496" i="3"/>
  <c r="R3496" i="3" s="1"/>
  <c r="Q3497" i="3"/>
  <c r="R3497" i="3" s="1"/>
  <c r="Q3498" i="3"/>
  <c r="R3498" i="3" s="1"/>
  <c r="Q3499" i="3"/>
  <c r="R3499" i="3" s="1"/>
  <c r="Q3500" i="3"/>
  <c r="R3500" i="3" s="1"/>
  <c r="Q3501" i="3"/>
  <c r="R3501" i="3" s="1"/>
  <c r="Q3502" i="3"/>
  <c r="R3502" i="3" s="1"/>
  <c r="Q3503" i="3"/>
  <c r="R3503" i="3" s="1"/>
  <c r="Q3504" i="3"/>
  <c r="R3504" i="3" s="1"/>
  <c r="Q3505" i="3"/>
  <c r="R3505" i="3" s="1"/>
  <c r="Q3506" i="3"/>
  <c r="R3506" i="3" s="1"/>
  <c r="Q3507" i="3"/>
  <c r="R3507" i="3" s="1"/>
  <c r="Q3508" i="3"/>
  <c r="R3508" i="3" s="1"/>
  <c r="Q3509" i="3"/>
  <c r="R3509" i="3" s="1"/>
  <c r="Q3510" i="3"/>
  <c r="R3510" i="3" s="1"/>
  <c r="Q3511" i="3"/>
  <c r="R3511" i="3" s="1"/>
  <c r="Q3512" i="3"/>
  <c r="R3512" i="3" s="1"/>
  <c r="Q3513" i="3"/>
  <c r="R3513" i="3" s="1"/>
  <c r="Q3514" i="3"/>
  <c r="R3514" i="3" s="1"/>
  <c r="Q3515" i="3"/>
  <c r="R3515" i="3" s="1"/>
  <c r="Q3516" i="3"/>
  <c r="R3516" i="3" s="1"/>
  <c r="Q3517" i="3"/>
  <c r="R3517" i="3" s="1"/>
  <c r="Q3518" i="3"/>
  <c r="R3518" i="3" s="1"/>
  <c r="Q3519" i="3"/>
  <c r="R3519" i="3" s="1"/>
  <c r="Q3520" i="3"/>
  <c r="R3520" i="3" s="1"/>
  <c r="Q3521" i="3"/>
  <c r="R3521" i="3" s="1"/>
  <c r="Q3522" i="3"/>
  <c r="R3522" i="3" s="1"/>
  <c r="Q3523" i="3"/>
  <c r="R3523" i="3" s="1"/>
  <c r="Q3524" i="3"/>
  <c r="R3524" i="3" s="1"/>
  <c r="Q3525" i="3"/>
  <c r="R3525" i="3" s="1"/>
  <c r="Q3526" i="3"/>
  <c r="R3526" i="3" s="1"/>
  <c r="Q3527" i="3"/>
  <c r="R3527" i="3" s="1"/>
  <c r="Q3528" i="3"/>
  <c r="R3528" i="3" s="1"/>
  <c r="Q3529" i="3"/>
  <c r="R3529" i="3" s="1"/>
  <c r="Q3530" i="3"/>
  <c r="R3530" i="3" s="1"/>
  <c r="Q3531" i="3"/>
  <c r="R3531" i="3" s="1"/>
  <c r="Q3532" i="3"/>
  <c r="R3532" i="3" s="1"/>
  <c r="Q3533" i="3"/>
  <c r="R3533" i="3" s="1"/>
  <c r="Q3534" i="3"/>
  <c r="R3534" i="3" s="1"/>
  <c r="Q3535" i="3"/>
  <c r="R3535" i="3" s="1"/>
  <c r="Q3536" i="3"/>
  <c r="R3536" i="3" s="1"/>
  <c r="Q3537" i="3"/>
  <c r="R3537" i="3" s="1"/>
  <c r="Q3538" i="3"/>
  <c r="R3538" i="3" s="1"/>
  <c r="Q3539" i="3"/>
  <c r="R3539" i="3" s="1"/>
  <c r="Q3540" i="3"/>
  <c r="R3540" i="3" s="1"/>
  <c r="Q3541" i="3"/>
  <c r="R3541" i="3" s="1"/>
  <c r="Q3542" i="3"/>
  <c r="R3542" i="3" s="1"/>
  <c r="Q3543" i="3"/>
  <c r="R3543" i="3" s="1"/>
  <c r="Q3544" i="3"/>
  <c r="R3544" i="3" s="1"/>
  <c r="Q3545" i="3"/>
  <c r="R3545" i="3" s="1"/>
  <c r="Q3546" i="3"/>
  <c r="R3546" i="3" s="1"/>
  <c r="Q3547" i="3"/>
  <c r="R3547" i="3" s="1"/>
  <c r="Q3548" i="3"/>
  <c r="R3548" i="3" s="1"/>
  <c r="Q3549" i="3"/>
  <c r="R3549" i="3" s="1"/>
  <c r="Q3550" i="3"/>
  <c r="R3550" i="3" s="1"/>
  <c r="Q3551" i="3"/>
  <c r="R3551" i="3" s="1"/>
  <c r="Q3552" i="3"/>
  <c r="R3552" i="3" s="1"/>
  <c r="Q3553" i="3"/>
  <c r="R3553" i="3" s="1"/>
  <c r="Q3554" i="3"/>
  <c r="R3554" i="3" s="1"/>
  <c r="Q3555" i="3"/>
  <c r="R3555" i="3" s="1"/>
  <c r="Q3556" i="3"/>
  <c r="R3556" i="3" s="1"/>
  <c r="Q3557" i="3"/>
  <c r="R3557" i="3" s="1"/>
  <c r="Q3558" i="3"/>
  <c r="R3558" i="3" s="1"/>
  <c r="Q3559" i="3"/>
  <c r="R3559" i="3" s="1"/>
  <c r="Q3560" i="3"/>
  <c r="R3560" i="3" s="1"/>
  <c r="Q3561" i="3"/>
  <c r="R3561" i="3" s="1"/>
  <c r="Q3562" i="3"/>
  <c r="R3562" i="3" s="1"/>
  <c r="Q3563" i="3"/>
  <c r="R3563" i="3" s="1"/>
  <c r="Q3564" i="3"/>
  <c r="R3564" i="3" s="1"/>
  <c r="Q3565" i="3"/>
  <c r="R3565" i="3" s="1"/>
  <c r="Q3566" i="3"/>
  <c r="R3566" i="3" s="1"/>
  <c r="Q3567" i="3"/>
  <c r="R3567" i="3" s="1"/>
  <c r="Q3568" i="3"/>
  <c r="R3568" i="3" s="1"/>
  <c r="Q3569" i="3"/>
  <c r="R3569" i="3" s="1"/>
  <c r="Q3570" i="3"/>
  <c r="R3570" i="3" s="1"/>
  <c r="Q3571" i="3"/>
  <c r="R3571" i="3" s="1"/>
  <c r="Q3572" i="3"/>
  <c r="R3572" i="3" s="1"/>
  <c r="Q3573" i="3"/>
  <c r="R3573" i="3" s="1"/>
  <c r="Q3574" i="3"/>
  <c r="R3574" i="3" s="1"/>
  <c r="Q3575" i="3"/>
  <c r="R3575" i="3" s="1"/>
  <c r="Q3576" i="3"/>
  <c r="R3576" i="3" s="1"/>
  <c r="Q3577" i="3"/>
  <c r="R3577" i="3" s="1"/>
  <c r="Q3578" i="3"/>
  <c r="R3578" i="3" s="1"/>
  <c r="Q3579" i="3"/>
  <c r="R3579" i="3" s="1"/>
  <c r="Q3580" i="3"/>
  <c r="R3580" i="3" s="1"/>
  <c r="Q3581" i="3"/>
  <c r="R3581" i="3" s="1"/>
  <c r="Q3582" i="3"/>
  <c r="R3582" i="3" s="1"/>
  <c r="Q3583" i="3"/>
  <c r="R3583" i="3" s="1"/>
  <c r="Q3584" i="3"/>
  <c r="R3584" i="3" s="1"/>
  <c r="Q3585" i="3"/>
  <c r="R3585" i="3" s="1"/>
  <c r="Q3586" i="3"/>
  <c r="R3586" i="3" s="1"/>
  <c r="Q3587" i="3"/>
  <c r="R3587" i="3" s="1"/>
  <c r="Q3588" i="3"/>
  <c r="R3588" i="3" s="1"/>
  <c r="Q3589" i="3"/>
  <c r="R3589" i="3" s="1"/>
  <c r="Q3590" i="3"/>
  <c r="R3590" i="3" s="1"/>
  <c r="Q3591" i="3"/>
  <c r="R3591" i="3" s="1"/>
  <c r="Q3592" i="3"/>
  <c r="R3592" i="3" s="1"/>
  <c r="Q3593" i="3"/>
  <c r="R3593" i="3" s="1"/>
  <c r="Q3594" i="3"/>
  <c r="R3594" i="3" s="1"/>
  <c r="Q3595" i="3"/>
  <c r="R3595" i="3" s="1"/>
  <c r="Q3596" i="3"/>
  <c r="R3596" i="3" s="1"/>
  <c r="Q3597" i="3"/>
  <c r="R3597" i="3" s="1"/>
  <c r="Q3598" i="3"/>
  <c r="R3598" i="3" s="1"/>
  <c r="Q3599" i="3"/>
  <c r="R3599" i="3" s="1"/>
  <c r="Q3600" i="3"/>
  <c r="R3600" i="3" s="1"/>
  <c r="Q3601" i="3"/>
  <c r="R3601" i="3" s="1"/>
  <c r="Q3602" i="3"/>
  <c r="R3602" i="3" s="1"/>
  <c r="Q3603" i="3"/>
  <c r="R3603" i="3" s="1"/>
  <c r="Q3604" i="3"/>
  <c r="R3604" i="3" s="1"/>
  <c r="Q3605" i="3"/>
  <c r="R3605" i="3" s="1"/>
  <c r="Q3606" i="3"/>
  <c r="R3606" i="3" s="1"/>
  <c r="Q3607" i="3"/>
  <c r="R3607" i="3" s="1"/>
  <c r="Q3608" i="3"/>
  <c r="R3608" i="3" s="1"/>
  <c r="Q3609" i="3"/>
  <c r="R3609" i="3" s="1"/>
  <c r="Q3610" i="3"/>
  <c r="R3610" i="3" s="1"/>
  <c r="Q3611" i="3"/>
  <c r="R3611" i="3" s="1"/>
  <c r="Q3612" i="3"/>
  <c r="R3612" i="3" s="1"/>
  <c r="Q3613" i="3"/>
  <c r="R3613" i="3" s="1"/>
  <c r="Q3614" i="3"/>
  <c r="R3614" i="3" s="1"/>
  <c r="Q3615" i="3"/>
  <c r="R3615" i="3" s="1"/>
  <c r="Q3616" i="3"/>
  <c r="R3616" i="3" s="1"/>
  <c r="Q3617" i="3"/>
  <c r="R3617" i="3" s="1"/>
  <c r="Q3618" i="3"/>
  <c r="R3618" i="3" s="1"/>
  <c r="Q3619" i="3"/>
  <c r="R3619" i="3" s="1"/>
  <c r="Q3620" i="3"/>
  <c r="R3620" i="3" s="1"/>
  <c r="Q3621" i="3"/>
  <c r="R3621" i="3" s="1"/>
  <c r="Q3622" i="3"/>
  <c r="R3622" i="3" s="1"/>
  <c r="Q3623" i="3"/>
  <c r="R3623" i="3" s="1"/>
  <c r="Q3624" i="3"/>
  <c r="R3624" i="3" s="1"/>
  <c r="Q3625" i="3"/>
  <c r="R3625" i="3" s="1"/>
  <c r="Q3626" i="3"/>
  <c r="R3626" i="3" s="1"/>
  <c r="Q3627" i="3"/>
  <c r="R3627" i="3" s="1"/>
  <c r="Q3628" i="3"/>
  <c r="R3628" i="3" s="1"/>
  <c r="Q3629" i="3"/>
  <c r="R3629" i="3" s="1"/>
  <c r="Q3630" i="3"/>
  <c r="R3630" i="3" s="1"/>
  <c r="Q3631" i="3"/>
  <c r="R3631" i="3" s="1"/>
  <c r="Q3632" i="3"/>
  <c r="R3632" i="3" s="1"/>
  <c r="Q3633" i="3"/>
  <c r="R3633" i="3" s="1"/>
  <c r="Q3634" i="3"/>
  <c r="R3634" i="3" s="1"/>
  <c r="Q3635" i="3"/>
  <c r="R3635" i="3" s="1"/>
  <c r="Q3636" i="3"/>
  <c r="R3636" i="3" s="1"/>
  <c r="Q3637" i="3"/>
  <c r="R3637" i="3" s="1"/>
  <c r="Q3638" i="3"/>
  <c r="R3638" i="3" s="1"/>
  <c r="Q3639" i="3"/>
  <c r="R3639" i="3" s="1"/>
  <c r="Q3640" i="3"/>
  <c r="R3640" i="3" s="1"/>
  <c r="Q3641" i="3"/>
  <c r="R3641" i="3" s="1"/>
  <c r="Q3642" i="3"/>
  <c r="R3642" i="3" s="1"/>
  <c r="Q3643" i="3"/>
  <c r="R3643" i="3" s="1"/>
  <c r="Q3644" i="3"/>
  <c r="R3644" i="3" s="1"/>
  <c r="Q3645" i="3"/>
  <c r="R3645" i="3" s="1"/>
  <c r="Q3646" i="3"/>
  <c r="R3646" i="3" s="1"/>
  <c r="Q3647" i="3"/>
  <c r="R3647" i="3" s="1"/>
  <c r="Q3648" i="3"/>
  <c r="R3648" i="3" s="1"/>
  <c r="Q3649" i="3"/>
  <c r="R3649" i="3" s="1"/>
  <c r="Q3650" i="3"/>
  <c r="R3650" i="3" s="1"/>
  <c r="Q3651" i="3"/>
  <c r="R3651" i="3" s="1"/>
  <c r="Q3652" i="3"/>
  <c r="R3652" i="3" s="1"/>
  <c r="Q3653" i="3"/>
  <c r="R3653" i="3" s="1"/>
  <c r="Q3654" i="3"/>
  <c r="R3654" i="3" s="1"/>
  <c r="Q3655" i="3"/>
  <c r="R3655" i="3" s="1"/>
  <c r="Q3656" i="3"/>
  <c r="R3656" i="3" s="1"/>
  <c r="Q3657" i="3"/>
  <c r="R3657" i="3" s="1"/>
  <c r="Q3658" i="3"/>
  <c r="R3658" i="3" s="1"/>
  <c r="Q3659" i="3"/>
  <c r="R3659" i="3" s="1"/>
  <c r="Q3660" i="3"/>
  <c r="R3660" i="3" s="1"/>
  <c r="Q3661" i="3"/>
  <c r="R3661" i="3" s="1"/>
  <c r="Q3662" i="3"/>
  <c r="R3662" i="3" s="1"/>
  <c r="Q3663" i="3"/>
  <c r="R3663" i="3" s="1"/>
  <c r="Q3664" i="3"/>
  <c r="R3664" i="3" s="1"/>
  <c r="Q3665" i="3"/>
  <c r="R3665" i="3" s="1"/>
  <c r="Q3666" i="3"/>
  <c r="R3666" i="3" s="1"/>
  <c r="Q3667" i="3"/>
  <c r="R3667" i="3" s="1"/>
  <c r="Q3668" i="3"/>
  <c r="R3668" i="3" s="1"/>
  <c r="Q3669" i="3"/>
  <c r="R3669" i="3" s="1"/>
  <c r="Q3670" i="3"/>
  <c r="R3670" i="3" s="1"/>
  <c r="Q3671" i="3"/>
  <c r="R3671" i="3" s="1"/>
  <c r="Q3672" i="3"/>
  <c r="R3672" i="3" s="1"/>
  <c r="Q3673" i="3"/>
  <c r="R3673" i="3" s="1"/>
  <c r="Q3674" i="3"/>
  <c r="R3674" i="3" s="1"/>
  <c r="Q3675" i="3"/>
  <c r="R3675" i="3" s="1"/>
  <c r="Q3676" i="3"/>
  <c r="R3676" i="3" s="1"/>
  <c r="Q3677" i="3"/>
  <c r="R3677" i="3" s="1"/>
  <c r="Q3678" i="3"/>
  <c r="R3678" i="3" s="1"/>
  <c r="Q3679" i="3"/>
  <c r="R3679" i="3" s="1"/>
  <c r="Q3680" i="3"/>
  <c r="R3680" i="3" s="1"/>
  <c r="Q3681" i="3"/>
  <c r="R3681" i="3" s="1"/>
  <c r="Q3682" i="3"/>
  <c r="R3682" i="3" s="1"/>
  <c r="Q3683" i="3"/>
  <c r="R3683" i="3" s="1"/>
  <c r="Q3684" i="3"/>
  <c r="R3684" i="3" s="1"/>
  <c r="Q3685" i="3"/>
  <c r="R3685" i="3" s="1"/>
  <c r="Q3686" i="3"/>
  <c r="R3686" i="3" s="1"/>
  <c r="Q3687" i="3"/>
  <c r="R3687" i="3" s="1"/>
  <c r="Q3688" i="3"/>
  <c r="R3688" i="3" s="1"/>
  <c r="Q3689" i="3"/>
  <c r="R3689" i="3" s="1"/>
  <c r="Q3690" i="3"/>
  <c r="R3690" i="3" s="1"/>
  <c r="Q3691" i="3"/>
  <c r="R3691" i="3" s="1"/>
  <c r="Q3692" i="3"/>
  <c r="R3692" i="3" s="1"/>
  <c r="Q3693" i="3"/>
  <c r="R3693" i="3" s="1"/>
  <c r="Q3694" i="3"/>
  <c r="R3694" i="3" s="1"/>
  <c r="Q3695" i="3"/>
  <c r="R3695" i="3" s="1"/>
  <c r="Q3696" i="3"/>
  <c r="R3696" i="3" s="1"/>
  <c r="Q3697" i="3"/>
  <c r="R3697" i="3" s="1"/>
  <c r="Q3698" i="3"/>
  <c r="R3698" i="3" s="1"/>
  <c r="Q3699" i="3"/>
  <c r="R3699" i="3" s="1"/>
  <c r="Q3700" i="3"/>
  <c r="R3700" i="3" s="1"/>
  <c r="Q3701" i="3"/>
  <c r="R3701" i="3" s="1"/>
  <c r="Q3702" i="3"/>
  <c r="R3702" i="3" s="1"/>
  <c r="Q3703" i="3"/>
  <c r="R3703" i="3" s="1"/>
  <c r="Q3704" i="3"/>
  <c r="R3704" i="3" s="1"/>
  <c r="Q3705" i="3"/>
  <c r="R3705" i="3" s="1"/>
  <c r="Q3706" i="3"/>
  <c r="R3706" i="3" s="1"/>
  <c r="Q3707" i="3"/>
  <c r="R3707" i="3" s="1"/>
  <c r="Q3708" i="3"/>
  <c r="R3708" i="3" s="1"/>
  <c r="Q3709" i="3"/>
  <c r="R3709" i="3" s="1"/>
  <c r="Q3710" i="3"/>
  <c r="R3710" i="3" s="1"/>
  <c r="Q3711" i="3"/>
  <c r="R3711" i="3" s="1"/>
  <c r="Q3712" i="3"/>
  <c r="R3712" i="3" s="1"/>
  <c r="Q3713" i="3"/>
  <c r="R3713" i="3" s="1"/>
  <c r="Q3714" i="3"/>
  <c r="R3714" i="3" s="1"/>
  <c r="Q3715" i="3"/>
  <c r="R3715" i="3" s="1"/>
  <c r="Q3716" i="3"/>
  <c r="R3716" i="3" s="1"/>
  <c r="Q3717" i="3"/>
  <c r="R3717" i="3" s="1"/>
  <c r="Q3718" i="3"/>
  <c r="R3718" i="3" s="1"/>
  <c r="Q3719" i="3"/>
  <c r="R3719" i="3" s="1"/>
  <c r="Q3720" i="3"/>
  <c r="R3720" i="3" s="1"/>
  <c r="Q3721" i="3"/>
  <c r="R3721" i="3" s="1"/>
  <c r="Q3722" i="3"/>
  <c r="R3722" i="3" s="1"/>
  <c r="Q3723" i="3"/>
  <c r="R3723" i="3" s="1"/>
  <c r="Q3724" i="3"/>
  <c r="R3724" i="3" s="1"/>
  <c r="Q3725" i="3"/>
  <c r="R3725" i="3" s="1"/>
  <c r="Q3726" i="3"/>
  <c r="R3726" i="3" s="1"/>
  <c r="Q3727" i="3"/>
  <c r="R3727" i="3" s="1"/>
  <c r="Q3728" i="3"/>
  <c r="R3728" i="3" s="1"/>
  <c r="Q3729" i="3"/>
  <c r="R3729" i="3" s="1"/>
  <c r="Q3730" i="3"/>
  <c r="R3730" i="3" s="1"/>
  <c r="Q3731" i="3"/>
  <c r="R3731" i="3" s="1"/>
  <c r="Q3732" i="3"/>
  <c r="R3732" i="3" s="1"/>
  <c r="Q3733" i="3"/>
  <c r="R3733" i="3" s="1"/>
  <c r="Q3734" i="3"/>
  <c r="R3734" i="3" s="1"/>
  <c r="Q3735" i="3"/>
  <c r="R3735" i="3" s="1"/>
  <c r="Q3736" i="3"/>
  <c r="R3736" i="3" s="1"/>
  <c r="Q3737" i="3"/>
  <c r="R3737" i="3" s="1"/>
  <c r="Q3738" i="3"/>
  <c r="R3738" i="3" s="1"/>
  <c r="Q3739" i="3"/>
  <c r="R3739" i="3" s="1"/>
  <c r="Q3740" i="3"/>
  <c r="R3740" i="3" s="1"/>
  <c r="Q3741" i="3"/>
  <c r="R3741" i="3" s="1"/>
  <c r="Q3742" i="3"/>
  <c r="R3742" i="3" s="1"/>
  <c r="Q3743" i="3"/>
  <c r="R3743" i="3" s="1"/>
  <c r="Q3744" i="3"/>
  <c r="R3744" i="3" s="1"/>
  <c r="Q3745" i="3"/>
  <c r="R3745" i="3" s="1"/>
  <c r="Q3746" i="3"/>
  <c r="R3746" i="3" s="1"/>
  <c r="Q3747" i="3"/>
  <c r="R3747" i="3" s="1"/>
  <c r="Q3748" i="3"/>
  <c r="R3748" i="3" s="1"/>
  <c r="Q3749" i="3"/>
  <c r="R3749" i="3" s="1"/>
  <c r="Q3750" i="3"/>
  <c r="R3750" i="3" s="1"/>
  <c r="Q3751" i="3"/>
  <c r="R3751" i="3" s="1"/>
  <c r="Q3752" i="3"/>
  <c r="R3752" i="3" s="1"/>
  <c r="Q3753" i="3"/>
  <c r="R3753" i="3" s="1"/>
  <c r="Q3754" i="3"/>
  <c r="R3754" i="3" s="1"/>
  <c r="Q3755" i="3"/>
  <c r="R3755" i="3" s="1"/>
  <c r="Q3756" i="3"/>
  <c r="R3756" i="3" s="1"/>
  <c r="Q3757" i="3"/>
  <c r="R3757" i="3" s="1"/>
  <c r="Q3758" i="3"/>
  <c r="R3758" i="3" s="1"/>
  <c r="Q3759" i="3"/>
  <c r="R3759" i="3" s="1"/>
  <c r="Q3760" i="3"/>
  <c r="R3760" i="3" s="1"/>
  <c r="Q3761" i="3"/>
  <c r="R3761" i="3" s="1"/>
  <c r="Q3762" i="3"/>
  <c r="R3762" i="3" s="1"/>
  <c r="Q3763" i="3"/>
  <c r="R3763" i="3" s="1"/>
  <c r="Q3764" i="3"/>
  <c r="R3764" i="3" s="1"/>
  <c r="Q3765" i="3"/>
  <c r="R3765" i="3" s="1"/>
  <c r="Q3766" i="3"/>
  <c r="R3766" i="3" s="1"/>
  <c r="Q3767" i="3"/>
  <c r="R3767" i="3" s="1"/>
  <c r="Q3768" i="3"/>
  <c r="R3768" i="3" s="1"/>
  <c r="Q3769" i="3"/>
  <c r="R3769" i="3" s="1"/>
  <c r="Q3770" i="3"/>
  <c r="R3770" i="3" s="1"/>
  <c r="Q3771" i="3"/>
  <c r="R3771" i="3" s="1"/>
  <c r="Q3772" i="3"/>
  <c r="R3772" i="3" s="1"/>
  <c r="Q3773" i="3"/>
  <c r="R3773" i="3" s="1"/>
  <c r="Q3774" i="3"/>
  <c r="R3774" i="3" s="1"/>
  <c r="Q3775" i="3"/>
  <c r="R3775" i="3" s="1"/>
  <c r="Q3776" i="3"/>
  <c r="R3776" i="3" s="1"/>
  <c r="Q3777" i="3"/>
  <c r="R3777" i="3" s="1"/>
  <c r="Q3778" i="3"/>
  <c r="R3778" i="3" s="1"/>
  <c r="Q3779" i="3"/>
  <c r="R3779" i="3" s="1"/>
  <c r="Q3780" i="3"/>
  <c r="R3780" i="3" s="1"/>
  <c r="Q3781" i="3"/>
  <c r="R3781" i="3" s="1"/>
  <c r="Q3782" i="3"/>
  <c r="R3782" i="3" s="1"/>
  <c r="Q3783" i="3"/>
  <c r="R3783" i="3" s="1"/>
  <c r="Q3784" i="3"/>
  <c r="R3784" i="3" s="1"/>
  <c r="Q3785" i="3"/>
  <c r="R3785" i="3" s="1"/>
  <c r="Q3786" i="3"/>
  <c r="R3786" i="3" s="1"/>
  <c r="Q3787" i="3"/>
  <c r="R3787" i="3" s="1"/>
  <c r="Q3788" i="3"/>
  <c r="R3788" i="3" s="1"/>
  <c r="Q3789" i="3"/>
  <c r="R3789" i="3" s="1"/>
  <c r="Q3790" i="3"/>
  <c r="R3790" i="3" s="1"/>
  <c r="Q3791" i="3"/>
  <c r="R3791" i="3" s="1"/>
  <c r="Q3792" i="3"/>
  <c r="R3792" i="3" s="1"/>
  <c r="Q3793" i="3"/>
  <c r="R3793" i="3" s="1"/>
  <c r="Q3794" i="3"/>
  <c r="R3794" i="3" s="1"/>
  <c r="Q3795" i="3"/>
  <c r="R3795" i="3" s="1"/>
  <c r="Q3796" i="3"/>
  <c r="R3796" i="3" s="1"/>
  <c r="Q3797" i="3"/>
  <c r="R3797" i="3" s="1"/>
  <c r="Q3798" i="3"/>
  <c r="R3798" i="3" s="1"/>
  <c r="Q3799" i="3"/>
  <c r="R3799" i="3" s="1"/>
  <c r="Q3800" i="3"/>
  <c r="R3800" i="3" s="1"/>
  <c r="Q3801" i="3"/>
  <c r="R3801" i="3" s="1"/>
  <c r="Q3802" i="3"/>
  <c r="R3802" i="3" s="1"/>
  <c r="Q3803" i="3"/>
  <c r="R3803" i="3" s="1"/>
  <c r="Q3804" i="3"/>
  <c r="R3804" i="3" s="1"/>
  <c r="Q3805" i="3"/>
  <c r="R3805" i="3" s="1"/>
  <c r="Q3806" i="3"/>
  <c r="R3806" i="3" s="1"/>
  <c r="Q3807" i="3"/>
  <c r="R3807" i="3" s="1"/>
  <c r="Q3808" i="3"/>
  <c r="R3808" i="3" s="1"/>
  <c r="Q3809" i="3"/>
  <c r="R3809" i="3" s="1"/>
  <c r="Q3810" i="3"/>
  <c r="R3810" i="3" s="1"/>
  <c r="Q3811" i="3"/>
  <c r="R3811" i="3" s="1"/>
  <c r="Q3812" i="3"/>
  <c r="R3812" i="3" s="1"/>
  <c r="Q3813" i="3"/>
  <c r="R3813" i="3" s="1"/>
  <c r="Q3814" i="3"/>
  <c r="R3814" i="3" s="1"/>
  <c r="Q3815" i="3"/>
  <c r="R3815" i="3" s="1"/>
  <c r="Q3816" i="3"/>
  <c r="R3816" i="3" s="1"/>
  <c r="Q3817" i="3"/>
  <c r="R3817" i="3" s="1"/>
  <c r="Q3818" i="3"/>
  <c r="R3818" i="3" s="1"/>
  <c r="Q3819" i="3"/>
  <c r="R3819" i="3" s="1"/>
  <c r="Q3820" i="3"/>
  <c r="R3820" i="3" s="1"/>
  <c r="Q3821" i="3"/>
  <c r="R3821" i="3" s="1"/>
  <c r="Q3822" i="3"/>
  <c r="R3822" i="3" s="1"/>
  <c r="Q3823" i="3"/>
  <c r="R3823" i="3" s="1"/>
  <c r="Q3824" i="3"/>
  <c r="R3824" i="3" s="1"/>
  <c r="Q3825" i="3"/>
  <c r="R3825" i="3" s="1"/>
  <c r="Q3826" i="3"/>
  <c r="R3826" i="3" s="1"/>
  <c r="Q3827" i="3"/>
  <c r="R3827" i="3" s="1"/>
  <c r="Q3828" i="3"/>
  <c r="R3828" i="3" s="1"/>
  <c r="Q3829" i="3"/>
  <c r="R3829" i="3" s="1"/>
  <c r="Q3830" i="3"/>
  <c r="R3830" i="3" s="1"/>
  <c r="Q3831" i="3"/>
  <c r="R3831" i="3" s="1"/>
  <c r="Q3832" i="3"/>
  <c r="R3832" i="3" s="1"/>
  <c r="Q3833" i="3"/>
  <c r="R3833" i="3" s="1"/>
  <c r="Q3834" i="3"/>
  <c r="R3834" i="3" s="1"/>
  <c r="Q3835" i="3"/>
  <c r="R3835" i="3" s="1"/>
  <c r="Q3836" i="3"/>
  <c r="R3836" i="3" s="1"/>
  <c r="Q3837" i="3"/>
  <c r="R3837" i="3" s="1"/>
  <c r="Q3838" i="3"/>
  <c r="R3838" i="3" s="1"/>
  <c r="Q3839" i="3"/>
  <c r="R3839" i="3" s="1"/>
  <c r="Q3840" i="3"/>
  <c r="R3840" i="3" s="1"/>
  <c r="Q3841" i="3"/>
  <c r="R3841" i="3" s="1"/>
  <c r="Q3842" i="3"/>
  <c r="R3842" i="3" s="1"/>
  <c r="Q3843" i="3"/>
  <c r="R3843" i="3" s="1"/>
  <c r="Q3844" i="3"/>
  <c r="R3844" i="3" s="1"/>
  <c r="Q3845" i="3"/>
  <c r="R3845" i="3" s="1"/>
  <c r="Q3846" i="3"/>
  <c r="R3846" i="3" s="1"/>
  <c r="Q3847" i="3"/>
  <c r="R3847" i="3" s="1"/>
  <c r="Q3848" i="3"/>
  <c r="R3848" i="3" s="1"/>
  <c r="Q3849" i="3"/>
  <c r="R3849" i="3" s="1"/>
  <c r="Q3850" i="3"/>
  <c r="R3850" i="3" s="1"/>
  <c r="Q3851" i="3"/>
  <c r="R3851" i="3" s="1"/>
  <c r="Q3852" i="3"/>
  <c r="R3852" i="3" s="1"/>
  <c r="Q3853" i="3"/>
  <c r="R3853" i="3" s="1"/>
  <c r="Q3854" i="3"/>
  <c r="R3854" i="3" s="1"/>
  <c r="Q3855" i="3"/>
  <c r="R3855" i="3" s="1"/>
  <c r="Q3856" i="3"/>
  <c r="R3856" i="3" s="1"/>
  <c r="Q3857" i="3"/>
  <c r="R3857" i="3" s="1"/>
  <c r="Q3858" i="3"/>
  <c r="R3858" i="3" s="1"/>
  <c r="Q3859" i="3"/>
  <c r="R3859" i="3" s="1"/>
  <c r="Q3860" i="3"/>
  <c r="R3860" i="3" s="1"/>
  <c r="Q3861" i="3"/>
  <c r="R3861" i="3" s="1"/>
  <c r="Q3862" i="3"/>
  <c r="R3862" i="3" s="1"/>
  <c r="Q3863" i="3"/>
  <c r="R3863" i="3" s="1"/>
  <c r="Q3864" i="3"/>
  <c r="R3864" i="3" s="1"/>
  <c r="Q3865" i="3"/>
  <c r="R3865" i="3" s="1"/>
  <c r="Q3866" i="3"/>
  <c r="R3866" i="3" s="1"/>
  <c r="Q3867" i="3"/>
  <c r="R3867" i="3" s="1"/>
  <c r="Q3868" i="3"/>
  <c r="R3868" i="3" s="1"/>
  <c r="Q3869" i="3"/>
  <c r="R3869" i="3" s="1"/>
  <c r="Q3870" i="3"/>
  <c r="R3870" i="3" s="1"/>
  <c r="Q3871" i="3"/>
  <c r="R3871" i="3" s="1"/>
  <c r="Q3872" i="3"/>
  <c r="R3872" i="3" s="1"/>
  <c r="Q3873" i="3"/>
  <c r="R3873" i="3" s="1"/>
  <c r="Q3874" i="3"/>
  <c r="R3874" i="3" s="1"/>
  <c r="Q3875" i="3"/>
  <c r="R3875" i="3" s="1"/>
  <c r="Q3876" i="3"/>
  <c r="R3876" i="3" s="1"/>
  <c r="Q3877" i="3"/>
  <c r="R3877" i="3" s="1"/>
  <c r="Q3878" i="3"/>
  <c r="R3878" i="3" s="1"/>
  <c r="Q3879" i="3"/>
  <c r="R3879" i="3" s="1"/>
  <c r="Q3880" i="3"/>
  <c r="R3880" i="3" s="1"/>
  <c r="Q3881" i="3"/>
  <c r="R3881" i="3" s="1"/>
  <c r="Q3882" i="3"/>
  <c r="R3882" i="3" s="1"/>
  <c r="Q3883" i="3"/>
  <c r="R3883" i="3" s="1"/>
  <c r="Q3884" i="3"/>
  <c r="R3884" i="3" s="1"/>
  <c r="Q3885" i="3"/>
  <c r="R3885" i="3" s="1"/>
  <c r="Q3886" i="3"/>
  <c r="R3886" i="3" s="1"/>
  <c r="Q3887" i="3"/>
  <c r="R3887" i="3" s="1"/>
  <c r="Q3888" i="3"/>
  <c r="R3888" i="3" s="1"/>
  <c r="Q3889" i="3"/>
  <c r="R3889" i="3" s="1"/>
  <c r="Q3890" i="3"/>
  <c r="R3890" i="3" s="1"/>
  <c r="Q3891" i="3"/>
  <c r="R3891" i="3" s="1"/>
  <c r="Q3892" i="3"/>
  <c r="R3892" i="3" s="1"/>
  <c r="Q3893" i="3"/>
  <c r="R3893" i="3" s="1"/>
  <c r="Q3894" i="3"/>
  <c r="R3894" i="3" s="1"/>
  <c r="Q3895" i="3"/>
  <c r="R3895" i="3" s="1"/>
  <c r="Q3896" i="3"/>
  <c r="R3896" i="3" s="1"/>
  <c r="Q3897" i="3"/>
  <c r="R3897" i="3" s="1"/>
  <c r="Q3898" i="3"/>
  <c r="R3898" i="3" s="1"/>
  <c r="Q3899" i="3"/>
  <c r="R3899" i="3" s="1"/>
  <c r="Q3900" i="3"/>
  <c r="R3900" i="3" s="1"/>
  <c r="Q3901" i="3"/>
  <c r="R3901" i="3" s="1"/>
  <c r="Q3902" i="3"/>
  <c r="R3902" i="3" s="1"/>
  <c r="Q3903" i="3"/>
  <c r="R3903" i="3" s="1"/>
  <c r="Q3904" i="3"/>
  <c r="R3904" i="3" s="1"/>
  <c r="Q3905" i="3"/>
  <c r="R3905" i="3" s="1"/>
  <c r="Q3906" i="3"/>
  <c r="R3906" i="3" s="1"/>
  <c r="Q3907" i="3"/>
  <c r="R3907" i="3" s="1"/>
  <c r="Q3908" i="3"/>
  <c r="R3908" i="3" s="1"/>
  <c r="Q3909" i="3"/>
  <c r="R3909" i="3" s="1"/>
  <c r="Q3910" i="3"/>
  <c r="R3910" i="3" s="1"/>
  <c r="Q3911" i="3"/>
  <c r="R3911" i="3" s="1"/>
  <c r="Q3912" i="3"/>
  <c r="R3912" i="3" s="1"/>
  <c r="Q3913" i="3"/>
  <c r="R3913" i="3" s="1"/>
  <c r="Q3914" i="3"/>
  <c r="R3914" i="3" s="1"/>
  <c r="Q3915" i="3"/>
  <c r="R3915" i="3" s="1"/>
  <c r="Q3916" i="3"/>
  <c r="R3916" i="3" s="1"/>
  <c r="Q3917" i="3"/>
  <c r="R3917" i="3" s="1"/>
  <c r="Q3918" i="3"/>
  <c r="R3918" i="3" s="1"/>
  <c r="Q3919" i="3"/>
  <c r="R3919" i="3" s="1"/>
  <c r="Q3920" i="3"/>
  <c r="R3920" i="3" s="1"/>
  <c r="Q3921" i="3"/>
  <c r="R3921" i="3" s="1"/>
  <c r="Q3922" i="3"/>
  <c r="R3922" i="3" s="1"/>
  <c r="Q3923" i="3"/>
  <c r="R3923" i="3" s="1"/>
  <c r="Q3924" i="3"/>
  <c r="R3924" i="3" s="1"/>
  <c r="Q3925" i="3"/>
  <c r="R3925" i="3" s="1"/>
  <c r="Q3926" i="3"/>
  <c r="R3926" i="3" s="1"/>
  <c r="Q3927" i="3"/>
  <c r="R3927" i="3" s="1"/>
  <c r="Q3928" i="3"/>
  <c r="R3928" i="3" s="1"/>
  <c r="Q3929" i="3"/>
  <c r="R3929" i="3" s="1"/>
  <c r="Q3930" i="3"/>
  <c r="R3930" i="3" s="1"/>
  <c r="Q3931" i="3"/>
  <c r="R3931" i="3" s="1"/>
  <c r="Q3932" i="3"/>
  <c r="R3932" i="3" s="1"/>
  <c r="Q3933" i="3"/>
  <c r="R3933" i="3" s="1"/>
  <c r="Q3934" i="3"/>
  <c r="R3934" i="3" s="1"/>
  <c r="Q3935" i="3"/>
  <c r="R3935" i="3" s="1"/>
  <c r="Q3936" i="3"/>
  <c r="R3936" i="3" s="1"/>
  <c r="Q3937" i="3"/>
  <c r="R3937" i="3" s="1"/>
  <c r="Q3938" i="3"/>
  <c r="R3938" i="3" s="1"/>
  <c r="Q3939" i="3"/>
  <c r="R3939" i="3" s="1"/>
  <c r="Q3940" i="3"/>
  <c r="R3940" i="3" s="1"/>
  <c r="Q3941" i="3"/>
  <c r="R3941" i="3" s="1"/>
  <c r="Q3942" i="3"/>
  <c r="R3942" i="3" s="1"/>
  <c r="Q3943" i="3"/>
  <c r="R3943" i="3" s="1"/>
  <c r="Q3944" i="3"/>
  <c r="R3944" i="3" s="1"/>
  <c r="Q3945" i="3"/>
  <c r="R3945" i="3" s="1"/>
  <c r="Q3946" i="3"/>
  <c r="R3946" i="3" s="1"/>
  <c r="Q3947" i="3"/>
  <c r="R3947" i="3" s="1"/>
  <c r="Q3948" i="3"/>
  <c r="R3948" i="3" s="1"/>
  <c r="Q3949" i="3"/>
  <c r="R3949" i="3" s="1"/>
  <c r="Q3950" i="3"/>
  <c r="R3950" i="3" s="1"/>
  <c r="Q3951" i="3"/>
  <c r="R3951" i="3" s="1"/>
  <c r="Q3952" i="3"/>
  <c r="R3952" i="3" s="1"/>
  <c r="Q3953" i="3"/>
  <c r="R3953" i="3" s="1"/>
  <c r="Q3954" i="3"/>
  <c r="R3954" i="3" s="1"/>
  <c r="Q3955" i="3"/>
  <c r="R3955" i="3" s="1"/>
  <c r="Q3956" i="3"/>
  <c r="R3956" i="3" s="1"/>
  <c r="Q3957" i="3"/>
  <c r="R3957" i="3" s="1"/>
  <c r="Q3958" i="3"/>
  <c r="R3958" i="3" s="1"/>
  <c r="Q3959" i="3"/>
  <c r="R3959" i="3" s="1"/>
  <c r="Q3960" i="3"/>
  <c r="R3960" i="3" s="1"/>
  <c r="Q3961" i="3"/>
  <c r="R3961" i="3" s="1"/>
  <c r="Q3962" i="3"/>
  <c r="R3962" i="3" s="1"/>
  <c r="Q3963" i="3"/>
  <c r="R3963" i="3" s="1"/>
  <c r="Q3964" i="3"/>
  <c r="R3964" i="3" s="1"/>
  <c r="Q3965" i="3"/>
  <c r="R3965" i="3" s="1"/>
  <c r="Q3966" i="3"/>
  <c r="R3966" i="3" s="1"/>
  <c r="Q3967" i="3"/>
  <c r="R3967" i="3" s="1"/>
  <c r="Q3968" i="3"/>
  <c r="R3968" i="3" s="1"/>
  <c r="Q3969" i="3"/>
  <c r="R3969" i="3" s="1"/>
  <c r="Q3970" i="3"/>
  <c r="R3970" i="3" s="1"/>
  <c r="Q3971" i="3"/>
  <c r="R3971" i="3" s="1"/>
  <c r="Q3972" i="3"/>
  <c r="R3972" i="3" s="1"/>
  <c r="Q3973" i="3"/>
  <c r="R3973" i="3" s="1"/>
  <c r="Q3974" i="3"/>
  <c r="R3974" i="3" s="1"/>
  <c r="Q3975" i="3"/>
  <c r="R3975" i="3" s="1"/>
  <c r="Q3976" i="3"/>
  <c r="R3976" i="3" s="1"/>
  <c r="Q3977" i="3"/>
  <c r="R3977" i="3" s="1"/>
  <c r="Q3978" i="3"/>
  <c r="R3978" i="3" s="1"/>
  <c r="Q3979" i="3"/>
  <c r="R3979" i="3" s="1"/>
  <c r="Q3980" i="3"/>
  <c r="R3980" i="3" s="1"/>
  <c r="Q3981" i="3"/>
  <c r="R3981" i="3" s="1"/>
  <c r="Q3982" i="3"/>
  <c r="R3982" i="3" s="1"/>
  <c r="Q3983" i="3"/>
  <c r="R3983" i="3" s="1"/>
  <c r="Q3984" i="3"/>
  <c r="R3984" i="3" s="1"/>
  <c r="Q3985" i="3"/>
  <c r="R3985" i="3" s="1"/>
  <c r="Q3986" i="3"/>
  <c r="R3986" i="3" s="1"/>
  <c r="Q3987" i="3"/>
  <c r="R3987" i="3" s="1"/>
  <c r="Q3988" i="3"/>
  <c r="R3988" i="3" s="1"/>
  <c r="Q3989" i="3"/>
  <c r="R3989" i="3" s="1"/>
  <c r="Q3990" i="3"/>
  <c r="R3990" i="3" s="1"/>
  <c r="Q3991" i="3"/>
  <c r="R3991" i="3" s="1"/>
  <c r="Q3992" i="3"/>
  <c r="R3992" i="3" s="1"/>
  <c r="Q3993" i="3"/>
  <c r="R3993" i="3" s="1"/>
  <c r="Q3994" i="3"/>
  <c r="R3994" i="3" s="1"/>
  <c r="Q3995" i="3"/>
  <c r="R3995" i="3" s="1"/>
  <c r="Q3996" i="3"/>
  <c r="R3996" i="3" s="1"/>
  <c r="Q3997" i="3"/>
  <c r="R3997" i="3" s="1"/>
  <c r="Q3998" i="3"/>
  <c r="R3998" i="3" s="1"/>
  <c r="Q3999" i="3"/>
  <c r="R3999" i="3" s="1"/>
  <c r="Q4000" i="3"/>
  <c r="R4000" i="3" s="1"/>
  <c r="Q4001" i="3"/>
  <c r="R4001" i="3" s="1"/>
  <c r="Q4002" i="3"/>
  <c r="R4002" i="3" s="1"/>
  <c r="Q4003" i="3"/>
  <c r="R4003" i="3" s="1"/>
  <c r="Q4004" i="3"/>
  <c r="R4004" i="3" s="1"/>
  <c r="Q4005" i="3"/>
  <c r="R4005" i="3" s="1"/>
  <c r="Q4006" i="3"/>
  <c r="R4006" i="3" s="1"/>
  <c r="Q4007" i="3"/>
  <c r="R4007" i="3" s="1"/>
  <c r="Q4008" i="3"/>
  <c r="R4008" i="3" s="1"/>
  <c r="Q4009" i="3"/>
  <c r="R4009" i="3" s="1"/>
  <c r="Q4010" i="3"/>
  <c r="R4010" i="3" s="1"/>
  <c r="Q4011" i="3"/>
  <c r="R4011" i="3" s="1"/>
  <c r="Q4012" i="3"/>
  <c r="R4012" i="3" s="1"/>
  <c r="Q4013" i="3"/>
  <c r="R4013" i="3" s="1"/>
  <c r="Q4014" i="3"/>
  <c r="R4014" i="3" s="1"/>
  <c r="Q4015" i="3"/>
  <c r="R4015" i="3" s="1"/>
  <c r="Q4016" i="3"/>
  <c r="R4016" i="3" s="1"/>
  <c r="Q4017" i="3"/>
  <c r="R4017" i="3" s="1"/>
  <c r="Q4018" i="3"/>
  <c r="R4018" i="3" s="1"/>
  <c r="Q4019" i="3"/>
  <c r="R4019" i="3" s="1"/>
  <c r="Q4020" i="3"/>
  <c r="R4020" i="3" s="1"/>
  <c r="Q4021" i="3"/>
  <c r="R4021" i="3" s="1"/>
  <c r="Q4022" i="3"/>
  <c r="R4022" i="3" s="1"/>
  <c r="Q4023" i="3"/>
  <c r="R4023" i="3" s="1"/>
  <c r="Q4024" i="3"/>
  <c r="R4024" i="3" s="1"/>
  <c r="Q4025" i="3"/>
  <c r="R4025" i="3" s="1"/>
  <c r="Q4026" i="3"/>
  <c r="R4026" i="3" s="1"/>
  <c r="Q4027" i="3"/>
  <c r="R4027" i="3" s="1"/>
  <c r="Q4028" i="3"/>
  <c r="R4028" i="3" s="1"/>
  <c r="Q4029" i="3"/>
  <c r="R4029" i="3" s="1"/>
  <c r="Q4030" i="3"/>
  <c r="R4030" i="3" s="1"/>
  <c r="Q4031" i="3"/>
  <c r="R4031" i="3" s="1"/>
  <c r="Q4032" i="3"/>
  <c r="R4032" i="3" s="1"/>
  <c r="Q4033" i="3"/>
  <c r="R4033" i="3" s="1"/>
  <c r="Q4034" i="3"/>
  <c r="R4034" i="3" s="1"/>
  <c r="Q4035" i="3"/>
  <c r="R4035" i="3" s="1"/>
  <c r="Q4036" i="3"/>
  <c r="R4036" i="3" s="1"/>
  <c r="Q4037" i="3"/>
  <c r="R4037" i="3" s="1"/>
  <c r="Q4038" i="3"/>
  <c r="R4038" i="3" s="1"/>
  <c r="Q4039" i="3"/>
  <c r="R4039" i="3" s="1"/>
  <c r="Q4040" i="3"/>
  <c r="R4040" i="3" s="1"/>
  <c r="Q4041" i="3"/>
  <c r="R4041" i="3" s="1"/>
  <c r="Q4042" i="3"/>
  <c r="R4042" i="3" s="1"/>
  <c r="Q4043" i="3"/>
  <c r="R4043" i="3" s="1"/>
  <c r="Q4044" i="3"/>
  <c r="R4044" i="3" s="1"/>
  <c r="Q4045" i="3"/>
  <c r="R4045" i="3" s="1"/>
  <c r="Q4046" i="3"/>
  <c r="R4046" i="3" s="1"/>
  <c r="Q4047" i="3"/>
  <c r="R4047" i="3" s="1"/>
  <c r="Q4048" i="3"/>
  <c r="R4048" i="3" s="1"/>
  <c r="Q4049" i="3"/>
  <c r="R4049" i="3" s="1"/>
  <c r="Q4050" i="3"/>
  <c r="R4050" i="3" s="1"/>
  <c r="Q4051" i="3"/>
  <c r="R4051" i="3" s="1"/>
  <c r="Q4052" i="3"/>
  <c r="R4052" i="3" s="1"/>
  <c r="Q4053" i="3"/>
  <c r="R4053" i="3" s="1"/>
  <c r="Q4054" i="3"/>
  <c r="R4054" i="3" s="1"/>
  <c r="Q4055" i="3"/>
  <c r="R4055" i="3" s="1"/>
  <c r="Q4056" i="3"/>
  <c r="R4056" i="3" s="1"/>
  <c r="Q4057" i="3"/>
  <c r="R4057" i="3" s="1"/>
  <c r="Q4058" i="3"/>
  <c r="R4058" i="3" s="1"/>
  <c r="Q4059" i="3"/>
  <c r="R4059" i="3" s="1"/>
  <c r="Q4060" i="3"/>
  <c r="R4060" i="3" s="1"/>
  <c r="Q4061" i="3"/>
  <c r="R4061" i="3" s="1"/>
  <c r="Q4062" i="3"/>
  <c r="R4062" i="3" s="1"/>
  <c r="Q4063" i="3"/>
  <c r="R4063" i="3" s="1"/>
  <c r="Q4064" i="3"/>
  <c r="R4064" i="3" s="1"/>
  <c r="Q4065" i="3"/>
  <c r="R4065" i="3" s="1"/>
  <c r="Q4066" i="3"/>
  <c r="R4066" i="3" s="1"/>
  <c r="Q4067" i="3"/>
  <c r="R4067" i="3" s="1"/>
  <c r="Q4068" i="3"/>
  <c r="R4068" i="3" s="1"/>
  <c r="Q4069" i="3"/>
  <c r="R4069" i="3" s="1"/>
  <c r="Q4070" i="3"/>
  <c r="R4070" i="3" s="1"/>
  <c r="Q4071" i="3"/>
  <c r="R4071" i="3" s="1"/>
  <c r="Q4072" i="3"/>
  <c r="R4072" i="3" s="1"/>
  <c r="Q4073" i="3"/>
  <c r="R4073" i="3" s="1"/>
  <c r="Q4074" i="3"/>
  <c r="R4074" i="3" s="1"/>
  <c r="Q4075" i="3"/>
  <c r="R4075" i="3" s="1"/>
  <c r="Q4076" i="3"/>
  <c r="R4076" i="3" s="1"/>
  <c r="Q4077" i="3"/>
  <c r="R4077" i="3" s="1"/>
  <c r="Q4078" i="3"/>
  <c r="R4078" i="3" s="1"/>
  <c r="Q4079" i="3"/>
  <c r="R4079" i="3" s="1"/>
  <c r="Q4080" i="3"/>
  <c r="R4080" i="3" s="1"/>
  <c r="Q4081" i="3"/>
  <c r="R4081" i="3" s="1"/>
  <c r="Q4082" i="3"/>
  <c r="R4082" i="3" s="1"/>
  <c r="Q4083" i="3"/>
  <c r="R4083" i="3" s="1"/>
  <c r="Q4084" i="3"/>
  <c r="R4084" i="3" s="1"/>
  <c r="Q4085" i="3"/>
  <c r="R4085" i="3" s="1"/>
  <c r="Q4086" i="3"/>
  <c r="R4086" i="3" s="1"/>
  <c r="Q4087" i="3"/>
  <c r="R4087" i="3" s="1"/>
  <c r="Q4088" i="3"/>
  <c r="R4088" i="3" s="1"/>
  <c r="Q4089" i="3"/>
  <c r="R4089" i="3" s="1"/>
  <c r="Q4090" i="3"/>
  <c r="R4090" i="3" s="1"/>
  <c r="Q4091" i="3"/>
  <c r="R4091" i="3" s="1"/>
  <c r="Q4092" i="3"/>
  <c r="R4092" i="3" s="1"/>
  <c r="Q4093" i="3"/>
  <c r="R4093" i="3" s="1"/>
  <c r="Q4094" i="3"/>
  <c r="R4094" i="3" s="1"/>
  <c r="Q4095" i="3"/>
  <c r="R4095" i="3" s="1"/>
  <c r="Q4096" i="3"/>
  <c r="R4096" i="3" s="1"/>
  <c r="Q4097" i="3"/>
  <c r="R4097" i="3" s="1"/>
  <c r="Q4098" i="3"/>
  <c r="R4098" i="3" s="1"/>
  <c r="Q4099" i="3"/>
  <c r="R4099" i="3" s="1"/>
  <c r="Q4100" i="3"/>
  <c r="R4100" i="3" s="1"/>
  <c r="Q4101" i="3"/>
  <c r="R4101" i="3" s="1"/>
  <c r="Q4102" i="3"/>
  <c r="R4102" i="3" s="1"/>
  <c r="Q4103" i="3"/>
  <c r="R4103" i="3" s="1"/>
  <c r="Q4104" i="3"/>
  <c r="R4104" i="3" s="1"/>
  <c r="Q4105" i="3"/>
  <c r="R4105" i="3" s="1"/>
  <c r="Q4106" i="3"/>
  <c r="R4106" i="3" s="1"/>
  <c r="Q4107" i="3"/>
  <c r="R4107" i="3" s="1"/>
  <c r="Q4108" i="3"/>
  <c r="R4108" i="3" s="1"/>
  <c r="Q4109" i="3"/>
  <c r="R4109" i="3" s="1"/>
  <c r="Q4110" i="3"/>
  <c r="R4110" i="3" s="1"/>
  <c r="Q4111" i="3"/>
  <c r="R4111" i="3" s="1"/>
  <c r="Q4112" i="3"/>
  <c r="R4112" i="3" s="1"/>
  <c r="Q4113" i="3"/>
  <c r="R4113" i="3" s="1"/>
  <c r="Q4114" i="3"/>
  <c r="R4114" i="3" s="1"/>
  <c r="Q4115" i="3"/>
  <c r="R4115" i="3" s="1"/>
  <c r="Q4116" i="3"/>
  <c r="R4116" i="3" s="1"/>
  <c r="Q4117" i="3"/>
  <c r="R4117" i="3" s="1"/>
  <c r="Q4118" i="3"/>
  <c r="R4118" i="3" s="1"/>
  <c r="Q4119" i="3"/>
  <c r="R4119" i="3" s="1"/>
  <c r="Q4120" i="3"/>
  <c r="R4120" i="3" s="1"/>
  <c r="Q4121" i="3"/>
  <c r="R4121" i="3" s="1"/>
  <c r="Q4122" i="3"/>
  <c r="R4122" i="3" s="1"/>
  <c r="Q4123" i="3"/>
  <c r="R4123" i="3" s="1"/>
  <c r="Q4124" i="3"/>
  <c r="R4124" i="3" s="1"/>
  <c r="Q4125" i="3"/>
  <c r="R4125" i="3" s="1"/>
  <c r="Q4126" i="3"/>
  <c r="R4126" i="3" s="1"/>
  <c r="Q4127" i="3"/>
  <c r="R4127" i="3" s="1"/>
  <c r="Q4128" i="3"/>
  <c r="R4128" i="3" s="1"/>
  <c r="Q4129" i="3"/>
  <c r="R4129" i="3" s="1"/>
  <c r="Q4130" i="3"/>
  <c r="R4130" i="3" s="1"/>
  <c r="Q4131" i="3"/>
  <c r="R4131" i="3" s="1"/>
  <c r="Q4132" i="3"/>
  <c r="R4132" i="3" s="1"/>
  <c r="Q4133" i="3"/>
  <c r="R4133" i="3" s="1"/>
  <c r="Q4134" i="3"/>
  <c r="R4134" i="3" s="1"/>
  <c r="Q4135" i="3"/>
  <c r="R4135" i="3" s="1"/>
  <c r="Q4136" i="3"/>
  <c r="R4136" i="3" s="1"/>
  <c r="Q4137" i="3"/>
  <c r="R4137" i="3" s="1"/>
  <c r="Q4138" i="3"/>
  <c r="R4138" i="3" s="1"/>
  <c r="Q4139" i="3"/>
  <c r="R4139" i="3" s="1"/>
  <c r="Q4140" i="3"/>
  <c r="R4140" i="3" s="1"/>
  <c r="Q4141" i="3"/>
  <c r="R4141" i="3" s="1"/>
  <c r="Q4142" i="3"/>
  <c r="R4142" i="3" s="1"/>
  <c r="Q4143" i="3"/>
  <c r="R4143" i="3" s="1"/>
  <c r="Q4144" i="3"/>
  <c r="R4144" i="3" s="1"/>
  <c r="Q4145" i="3"/>
  <c r="R4145" i="3" s="1"/>
  <c r="Q4146" i="3"/>
  <c r="R4146" i="3" s="1"/>
  <c r="Q4147" i="3"/>
  <c r="R4147" i="3" s="1"/>
  <c r="Q4148" i="3"/>
  <c r="R4148" i="3" s="1"/>
  <c r="Q4149" i="3"/>
  <c r="R4149" i="3" s="1"/>
  <c r="Q4150" i="3"/>
  <c r="R4150" i="3" s="1"/>
  <c r="Q4151" i="3"/>
  <c r="R4151" i="3" s="1"/>
  <c r="Q4152" i="3"/>
  <c r="R4152" i="3" s="1"/>
  <c r="Q4153" i="3"/>
  <c r="R4153" i="3" s="1"/>
  <c r="Q4154" i="3"/>
  <c r="R4154" i="3" s="1"/>
  <c r="Q4155" i="3"/>
  <c r="R4155" i="3" s="1"/>
  <c r="Q4156" i="3"/>
  <c r="R4156" i="3" s="1"/>
  <c r="Q4157" i="3"/>
  <c r="R4157" i="3" s="1"/>
  <c r="Q4158" i="3"/>
  <c r="R4158" i="3" s="1"/>
  <c r="Q4159" i="3"/>
  <c r="R4159" i="3" s="1"/>
  <c r="Q4160" i="3"/>
  <c r="R4160" i="3" s="1"/>
  <c r="Q4161" i="3"/>
  <c r="R4161" i="3" s="1"/>
  <c r="Q4162" i="3"/>
  <c r="R4162" i="3" s="1"/>
  <c r="Q4163" i="3"/>
  <c r="R4163" i="3" s="1"/>
  <c r="Q4164" i="3"/>
  <c r="R4164" i="3" s="1"/>
  <c r="Q4165" i="3"/>
  <c r="R4165" i="3" s="1"/>
  <c r="Q4166" i="3"/>
  <c r="R4166" i="3" s="1"/>
  <c r="Q4167" i="3"/>
  <c r="R4167" i="3" s="1"/>
  <c r="Q4168" i="3"/>
  <c r="R4168" i="3" s="1"/>
  <c r="Q4169" i="3"/>
  <c r="R4169" i="3" s="1"/>
  <c r="Q4170" i="3"/>
  <c r="R4170" i="3" s="1"/>
  <c r="Q4171" i="3"/>
  <c r="R4171" i="3" s="1"/>
  <c r="Q4172" i="3"/>
  <c r="R4172" i="3" s="1"/>
  <c r="Q4173" i="3"/>
  <c r="R4173" i="3" s="1"/>
  <c r="Q4174" i="3"/>
  <c r="R4174" i="3" s="1"/>
  <c r="Q4175" i="3"/>
  <c r="R4175" i="3" s="1"/>
  <c r="Q4176" i="3"/>
  <c r="R4176" i="3" s="1"/>
  <c r="Q4177" i="3"/>
  <c r="R4177" i="3" s="1"/>
  <c r="Q4178" i="3"/>
  <c r="R4178" i="3" s="1"/>
  <c r="Q4179" i="3"/>
  <c r="R4179" i="3" s="1"/>
  <c r="Q4180" i="3"/>
  <c r="R4180" i="3" s="1"/>
  <c r="Q4181" i="3"/>
  <c r="R4181" i="3" s="1"/>
  <c r="Q4182" i="3"/>
  <c r="R4182" i="3" s="1"/>
  <c r="Q4183" i="3"/>
  <c r="R4183" i="3" s="1"/>
  <c r="Q4184" i="3"/>
  <c r="R4184" i="3" s="1"/>
  <c r="Q4185" i="3"/>
  <c r="R4185" i="3" s="1"/>
  <c r="Q4186" i="3"/>
  <c r="R4186" i="3" s="1"/>
  <c r="Q4187" i="3"/>
  <c r="R4187" i="3" s="1"/>
  <c r="Q4188" i="3"/>
  <c r="R4188" i="3" s="1"/>
  <c r="Q4189" i="3"/>
  <c r="R4189" i="3" s="1"/>
  <c r="Q4190" i="3"/>
  <c r="R4190" i="3" s="1"/>
  <c r="Q4191" i="3"/>
  <c r="R4191" i="3" s="1"/>
  <c r="Q4192" i="3"/>
  <c r="R4192" i="3" s="1"/>
  <c r="Q4193" i="3"/>
  <c r="R4193" i="3" s="1"/>
  <c r="Q4194" i="3"/>
  <c r="R4194" i="3" s="1"/>
  <c r="Q4195" i="3"/>
  <c r="R4195" i="3" s="1"/>
  <c r="Q4196" i="3"/>
  <c r="R4196" i="3" s="1"/>
  <c r="Q4197" i="3"/>
  <c r="R4197" i="3" s="1"/>
  <c r="Q4198" i="3"/>
  <c r="R4198" i="3" s="1"/>
  <c r="Q4199" i="3"/>
  <c r="R4199" i="3" s="1"/>
  <c r="Q4200" i="3"/>
  <c r="R4200" i="3" s="1"/>
  <c r="Q4201" i="3"/>
  <c r="R4201" i="3" s="1"/>
  <c r="Q4202" i="3"/>
  <c r="R4202" i="3" s="1"/>
  <c r="Q4203" i="3"/>
  <c r="R4203" i="3" s="1"/>
  <c r="Q4204" i="3"/>
  <c r="R4204" i="3" s="1"/>
  <c r="Q4205" i="3"/>
  <c r="R4205" i="3" s="1"/>
  <c r="Q4206" i="3"/>
  <c r="R4206" i="3" s="1"/>
  <c r="Q4207" i="3"/>
  <c r="R4207" i="3" s="1"/>
  <c r="Q4208" i="3"/>
  <c r="R4208" i="3" s="1"/>
  <c r="Q4209" i="3"/>
  <c r="R4209" i="3" s="1"/>
  <c r="Q4210" i="3"/>
  <c r="R4210" i="3" s="1"/>
  <c r="Q4211" i="3"/>
  <c r="R4211" i="3" s="1"/>
  <c r="Q4212" i="3"/>
  <c r="R4212" i="3" s="1"/>
  <c r="Q4213" i="3"/>
  <c r="R4213" i="3" s="1"/>
  <c r="Q4214" i="3"/>
  <c r="R4214" i="3" s="1"/>
  <c r="Q4215" i="3"/>
  <c r="R4215" i="3" s="1"/>
  <c r="Q4216" i="3"/>
  <c r="R4216" i="3" s="1"/>
  <c r="Q4217" i="3"/>
  <c r="R4217" i="3" s="1"/>
  <c r="Q4218" i="3"/>
  <c r="R4218" i="3" s="1"/>
  <c r="Q4219" i="3"/>
  <c r="R4219" i="3" s="1"/>
  <c r="Q4220" i="3"/>
  <c r="R4220" i="3" s="1"/>
  <c r="Q4221" i="3"/>
  <c r="R4221" i="3" s="1"/>
  <c r="Q4222" i="3"/>
  <c r="R4222" i="3" s="1"/>
  <c r="Q4223" i="3"/>
  <c r="R4223" i="3" s="1"/>
  <c r="Q4224" i="3"/>
  <c r="R4224" i="3" s="1"/>
  <c r="Q4225" i="3"/>
  <c r="R4225" i="3" s="1"/>
  <c r="Q4226" i="3"/>
  <c r="R4226" i="3" s="1"/>
  <c r="Q4227" i="3"/>
  <c r="R4227" i="3" s="1"/>
  <c r="Q4228" i="3"/>
  <c r="R4228" i="3" s="1"/>
  <c r="Q4229" i="3"/>
  <c r="R4229" i="3" s="1"/>
  <c r="Q4230" i="3"/>
  <c r="R4230" i="3" s="1"/>
  <c r="Q4231" i="3"/>
  <c r="R4231" i="3" s="1"/>
  <c r="Q4232" i="3"/>
  <c r="R4232" i="3" s="1"/>
  <c r="Q4233" i="3"/>
  <c r="R4233" i="3" s="1"/>
  <c r="Q4234" i="3"/>
  <c r="R4234" i="3" s="1"/>
  <c r="Q4235" i="3"/>
  <c r="R4235" i="3" s="1"/>
  <c r="Q4236" i="3"/>
  <c r="R4236" i="3" s="1"/>
  <c r="Q4237" i="3"/>
  <c r="R4237" i="3" s="1"/>
  <c r="Q4238" i="3"/>
  <c r="R4238" i="3" s="1"/>
  <c r="Q4239" i="3"/>
  <c r="R4239" i="3" s="1"/>
  <c r="Q4240" i="3"/>
  <c r="R4240" i="3" s="1"/>
  <c r="Q4241" i="3"/>
  <c r="R4241" i="3" s="1"/>
  <c r="Q4242" i="3"/>
  <c r="R4242" i="3" s="1"/>
  <c r="Q4243" i="3"/>
  <c r="R4243" i="3" s="1"/>
  <c r="Q4244" i="3"/>
  <c r="R4244" i="3" s="1"/>
  <c r="Q4245" i="3"/>
  <c r="R4245" i="3" s="1"/>
  <c r="Q4246" i="3"/>
  <c r="R4246" i="3" s="1"/>
  <c r="Q4247" i="3"/>
  <c r="R4247" i="3" s="1"/>
  <c r="Q4248" i="3"/>
  <c r="R4248" i="3" s="1"/>
  <c r="Q4249" i="3"/>
  <c r="R4249" i="3" s="1"/>
  <c r="Q4250" i="3"/>
  <c r="R4250" i="3" s="1"/>
  <c r="Q4251" i="3"/>
  <c r="R4251" i="3" s="1"/>
  <c r="Q4252" i="3"/>
  <c r="R4252" i="3" s="1"/>
  <c r="Q4253" i="3"/>
  <c r="R4253" i="3" s="1"/>
  <c r="Q4254" i="3"/>
  <c r="R4254" i="3" s="1"/>
  <c r="Q4255" i="3"/>
  <c r="R4255" i="3" s="1"/>
  <c r="Q4256" i="3"/>
  <c r="R4256" i="3" s="1"/>
  <c r="Q4257" i="3"/>
  <c r="R4257" i="3" s="1"/>
  <c r="Q4258" i="3"/>
  <c r="R4258" i="3" s="1"/>
  <c r="Q4259" i="3"/>
  <c r="R4259" i="3" s="1"/>
  <c r="Q4260" i="3"/>
  <c r="R4260" i="3" s="1"/>
  <c r="Q4261" i="3"/>
  <c r="R4261" i="3" s="1"/>
  <c r="Q4262" i="3"/>
  <c r="R4262" i="3" s="1"/>
  <c r="Q4263" i="3"/>
  <c r="R4263" i="3" s="1"/>
  <c r="Q4264" i="3"/>
  <c r="R4264" i="3" s="1"/>
  <c r="Q4265" i="3"/>
  <c r="R4265" i="3" s="1"/>
  <c r="Q4266" i="3"/>
  <c r="R4266" i="3" s="1"/>
  <c r="Q4267" i="3"/>
  <c r="R4267" i="3" s="1"/>
  <c r="Q4268" i="3"/>
  <c r="R4268" i="3" s="1"/>
  <c r="Q4269" i="3"/>
  <c r="R4269" i="3" s="1"/>
  <c r="Q4270" i="3"/>
  <c r="R4270" i="3" s="1"/>
  <c r="Q4271" i="3"/>
  <c r="R4271" i="3" s="1"/>
  <c r="Q4272" i="3"/>
  <c r="R4272" i="3" s="1"/>
  <c r="Q4273" i="3"/>
  <c r="R4273" i="3" s="1"/>
  <c r="Q4274" i="3"/>
  <c r="R4274" i="3" s="1"/>
  <c r="Q4275" i="3"/>
  <c r="R4275" i="3" s="1"/>
  <c r="Q4276" i="3"/>
  <c r="R4276" i="3" s="1"/>
  <c r="Q4277" i="3"/>
  <c r="R4277" i="3" s="1"/>
  <c r="Q4278" i="3"/>
  <c r="R4278" i="3" s="1"/>
  <c r="Q4279" i="3"/>
  <c r="R4279" i="3" s="1"/>
  <c r="Q4280" i="3"/>
  <c r="R4280" i="3" s="1"/>
  <c r="Q4281" i="3"/>
  <c r="R4281" i="3" s="1"/>
  <c r="Q4282" i="3"/>
  <c r="R4282" i="3" s="1"/>
  <c r="Q4283" i="3"/>
  <c r="R4283" i="3" s="1"/>
  <c r="Q4284" i="3"/>
  <c r="R4284" i="3" s="1"/>
  <c r="Q4285" i="3"/>
  <c r="R4285" i="3" s="1"/>
  <c r="Q4286" i="3"/>
  <c r="R4286" i="3" s="1"/>
  <c r="Q4287" i="3"/>
  <c r="R4287" i="3" s="1"/>
  <c r="Q4288" i="3"/>
  <c r="R4288" i="3" s="1"/>
  <c r="Q4289" i="3"/>
  <c r="R4289" i="3" s="1"/>
  <c r="Q4290" i="3"/>
  <c r="R4290" i="3" s="1"/>
  <c r="Q4291" i="3"/>
  <c r="R4291" i="3" s="1"/>
  <c r="Q4292" i="3"/>
  <c r="R4292" i="3" s="1"/>
  <c r="Q4293" i="3"/>
  <c r="R4293" i="3" s="1"/>
  <c r="Q4294" i="3"/>
  <c r="R4294" i="3" s="1"/>
  <c r="Q4295" i="3"/>
  <c r="R4295" i="3" s="1"/>
  <c r="Q4296" i="3"/>
  <c r="R4296" i="3" s="1"/>
  <c r="Q4297" i="3"/>
  <c r="R4297" i="3" s="1"/>
  <c r="Q4298" i="3"/>
  <c r="R4298" i="3" s="1"/>
  <c r="Q4299" i="3"/>
  <c r="R4299" i="3" s="1"/>
  <c r="Q4300" i="3"/>
  <c r="R4300" i="3" s="1"/>
  <c r="Q4301" i="3"/>
  <c r="R4301" i="3" s="1"/>
  <c r="Q4302" i="3"/>
  <c r="R4302" i="3" s="1"/>
  <c r="Q4303" i="3"/>
  <c r="R4303" i="3" s="1"/>
  <c r="Q4304" i="3"/>
  <c r="R4304" i="3" s="1"/>
  <c r="Q4305" i="3"/>
  <c r="R4305" i="3" s="1"/>
  <c r="Q4306" i="3"/>
  <c r="R4306" i="3" s="1"/>
  <c r="Q4307" i="3"/>
  <c r="R4307" i="3" s="1"/>
  <c r="Q4308" i="3"/>
  <c r="R4308" i="3" s="1"/>
  <c r="Q4309" i="3"/>
  <c r="R4309" i="3" s="1"/>
  <c r="Q4310" i="3"/>
  <c r="R4310" i="3" s="1"/>
  <c r="Q4311" i="3"/>
  <c r="R4311" i="3" s="1"/>
  <c r="Q4312" i="3"/>
  <c r="R4312" i="3" s="1"/>
  <c r="Q4313" i="3"/>
  <c r="R4313" i="3" s="1"/>
  <c r="Q4314" i="3"/>
  <c r="R4314" i="3" s="1"/>
  <c r="Q4315" i="3"/>
  <c r="R4315" i="3" s="1"/>
  <c r="Q4316" i="3"/>
  <c r="R4316" i="3" s="1"/>
  <c r="Q4317" i="3"/>
  <c r="R4317" i="3" s="1"/>
  <c r="Q4318" i="3"/>
  <c r="R4318" i="3" s="1"/>
  <c r="Q4319" i="3"/>
  <c r="R4319" i="3" s="1"/>
  <c r="Q4320" i="3"/>
  <c r="R4320" i="3" s="1"/>
  <c r="Q4321" i="3"/>
  <c r="R4321" i="3" s="1"/>
  <c r="Q4322" i="3"/>
  <c r="R4322" i="3" s="1"/>
  <c r="Q4323" i="3"/>
  <c r="R4323" i="3" s="1"/>
  <c r="Q4324" i="3"/>
  <c r="R4324" i="3" s="1"/>
  <c r="Q4325" i="3"/>
  <c r="R4325" i="3" s="1"/>
  <c r="Q4326" i="3"/>
  <c r="R4326" i="3" s="1"/>
  <c r="Q4327" i="3"/>
  <c r="R4327" i="3" s="1"/>
  <c r="Q4328" i="3"/>
  <c r="R4328" i="3" s="1"/>
  <c r="Q4329" i="3"/>
  <c r="R4329" i="3" s="1"/>
  <c r="Q4330" i="3"/>
  <c r="R4330" i="3" s="1"/>
  <c r="Q4331" i="3"/>
  <c r="R4331" i="3" s="1"/>
  <c r="Q4332" i="3"/>
  <c r="R4332" i="3" s="1"/>
  <c r="Q4333" i="3"/>
  <c r="R4333" i="3" s="1"/>
  <c r="Q4334" i="3"/>
  <c r="R4334" i="3" s="1"/>
  <c r="Q4335" i="3"/>
  <c r="R4335" i="3" s="1"/>
  <c r="Q4336" i="3"/>
  <c r="R4336" i="3" s="1"/>
  <c r="Q4337" i="3"/>
  <c r="R4337" i="3" s="1"/>
  <c r="Q4338" i="3"/>
  <c r="R4338" i="3" s="1"/>
  <c r="Q4339" i="3"/>
  <c r="R4339" i="3" s="1"/>
  <c r="Q4340" i="3"/>
  <c r="R4340" i="3" s="1"/>
  <c r="Q4341" i="3"/>
  <c r="R4341" i="3" s="1"/>
  <c r="Q4342" i="3"/>
  <c r="R4342" i="3" s="1"/>
  <c r="Q4343" i="3"/>
  <c r="R4343" i="3" s="1"/>
  <c r="Q4344" i="3"/>
  <c r="R4344" i="3" s="1"/>
  <c r="Q4345" i="3"/>
  <c r="R4345" i="3" s="1"/>
  <c r="Q4346" i="3"/>
  <c r="R4346" i="3" s="1"/>
  <c r="Q4347" i="3"/>
  <c r="R4347" i="3" s="1"/>
  <c r="Q4348" i="3"/>
  <c r="R4348" i="3" s="1"/>
  <c r="Q4349" i="3"/>
  <c r="R4349" i="3" s="1"/>
  <c r="Q4350" i="3"/>
  <c r="R4350" i="3" s="1"/>
  <c r="Q4351" i="3"/>
  <c r="R4351" i="3" s="1"/>
  <c r="Q4352" i="3"/>
  <c r="R4352" i="3" s="1"/>
  <c r="Q4353" i="3"/>
  <c r="R4353" i="3" s="1"/>
  <c r="Q4354" i="3"/>
  <c r="R4354" i="3" s="1"/>
  <c r="Q4355" i="3"/>
  <c r="R4355" i="3" s="1"/>
  <c r="Q4356" i="3"/>
  <c r="R4356" i="3" s="1"/>
  <c r="Q4357" i="3"/>
  <c r="R4357" i="3" s="1"/>
  <c r="Q4358" i="3"/>
  <c r="R4358" i="3" s="1"/>
  <c r="Q4359" i="3"/>
  <c r="R4359" i="3" s="1"/>
  <c r="Q4360" i="3"/>
  <c r="R4360" i="3" s="1"/>
  <c r="Q4361" i="3"/>
  <c r="R4361" i="3" s="1"/>
  <c r="Q4362" i="3"/>
  <c r="R4362" i="3" s="1"/>
  <c r="Q4363" i="3"/>
  <c r="R4363" i="3" s="1"/>
  <c r="Q4364" i="3"/>
  <c r="R4364" i="3" s="1"/>
  <c r="Q4365" i="3"/>
  <c r="R4365" i="3" s="1"/>
  <c r="Q4366" i="3"/>
  <c r="R4366" i="3" s="1"/>
  <c r="Q4367" i="3"/>
  <c r="R4367" i="3" s="1"/>
  <c r="Q4368" i="3"/>
  <c r="R4368" i="3" s="1"/>
  <c r="Q4369" i="3"/>
  <c r="R4369" i="3" s="1"/>
  <c r="Q4370" i="3"/>
  <c r="R4370" i="3" s="1"/>
  <c r="Q4371" i="3"/>
  <c r="R4371" i="3" s="1"/>
  <c r="Q4372" i="3"/>
  <c r="R4372" i="3" s="1"/>
  <c r="Q4373" i="3"/>
  <c r="R4373" i="3" s="1"/>
  <c r="Q4374" i="3"/>
  <c r="R4374" i="3" s="1"/>
  <c r="Q4375" i="3"/>
  <c r="R4375" i="3" s="1"/>
  <c r="Q4376" i="3"/>
  <c r="R4376" i="3" s="1"/>
  <c r="Q4377" i="3"/>
  <c r="R4377" i="3" s="1"/>
  <c r="Q4378" i="3"/>
  <c r="R4378" i="3" s="1"/>
  <c r="Q4379" i="3"/>
  <c r="R4379" i="3" s="1"/>
  <c r="Q4380" i="3"/>
  <c r="R4380" i="3" s="1"/>
  <c r="Q4381" i="3"/>
  <c r="R4381" i="3" s="1"/>
  <c r="Q4382" i="3"/>
  <c r="R4382" i="3" s="1"/>
  <c r="Q4383" i="3"/>
  <c r="R4383" i="3" s="1"/>
  <c r="Q4384" i="3"/>
  <c r="R4384" i="3" s="1"/>
  <c r="Q4385" i="3"/>
  <c r="R4385" i="3" s="1"/>
  <c r="Q4386" i="3"/>
  <c r="R4386" i="3" s="1"/>
  <c r="Q4387" i="3"/>
  <c r="R4387" i="3" s="1"/>
  <c r="Q4388" i="3"/>
  <c r="R4388" i="3" s="1"/>
  <c r="Q4389" i="3"/>
  <c r="R4389" i="3" s="1"/>
  <c r="Q4390" i="3"/>
  <c r="R4390" i="3" s="1"/>
  <c r="Q4391" i="3"/>
  <c r="R4391" i="3" s="1"/>
  <c r="Q4392" i="3"/>
  <c r="R4392" i="3" s="1"/>
  <c r="Q4393" i="3"/>
  <c r="R4393" i="3" s="1"/>
  <c r="Q4394" i="3"/>
  <c r="R4394" i="3" s="1"/>
  <c r="Q4395" i="3"/>
  <c r="R4395" i="3" s="1"/>
  <c r="Q4396" i="3"/>
  <c r="R4396" i="3" s="1"/>
  <c r="Q4397" i="3"/>
  <c r="R4397" i="3" s="1"/>
  <c r="Q4398" i="3"/>
  <c r="R4398" i="3" s="1"/>
  <c r="Q4399" i="3"/>
  <c r="R4399" i="3" s="1"/>
  <c r="Q4400" i="3"/>
  <c r="R4400" i="3" s="1"/>
  <c r="Q4401" i="3"/>
  <c r="R4401" i="3" s="1"/>
  <c r="Q4402" i="3"/>
  <c r="R4402" i="3" s="1"/>
  <c r="Q4403" i="3"/>
  <c r="R4403" i="3" s="1"/>
  <c r="Q4404" i="3"/>
  <c r="R4404" i="3" s="1"/>
  <c r="Q4405" i="3"/>
  <c r="R4405" i="3" s="1"/>
  <c r="Q4406" i="3"/>
  <c r="R4406" i="3" s="1"/>
  <c r="Q4407" i="3"/>
  <c r="R4407" i="3" s="1"/>
  <c r="Q4408" i="3"/>
  <c r="R4408" i="3" s="1"/>
  <c r="Q4409" i="3"/>
  <c r="R4409" i="3" s="1"/>
  <c r="Q4410" i="3"/>
  <c r="R4410" i="3" s="1"/>
  <c r="Q4411" i="3"/>
  <c r="R4411" i="3" s="1"/>
  <c r="Q4412" i="3"/>
  <c r="R4412" i="3" s="1"/>
  <c r="Q4413" i="3"/>
  <c r="R4413" i="3" s="1"/>
  <c r="Q4414" i="3"/>
  <c r="R4414" i="3" s="1"/>
  <c r="Q4415" i="3"/>
  <c r="R4415" i="3" s="1"/>
  <c r="Q4416" i="3"/>
  <c r="R4416" i="3" s="1"/>
  <c r="Q4417" i="3"/>
  <c r="R4417" i="3" s="1"/>
  <c r="Q4418" i="3"/>
  <c r="R4418" i="3" s="1"/>
  <c r="Q4419" i="3"/>
  <c r="R4419" i="3" s="1"/>
  <c r="Q4420" i="3"/>
  <c r="R4420" i="3" s="1"/>
  <c r="Q4421" i="3"/>
  <c r="R4421" i="3" s="1"/>
  <c r="Q4422" i="3"/>
  <c r="R4422" i="3" s="1"/>
  <c r="Q4423" i="3"/>
  <c r="R4423" i="3" s="1"/>
  <c r="Q4424" i="3"/>
  <c r="R4424" i="3" s="1"/>
  <c r="Q4425" i="3"/>
  <c r="R4425" i="3" s="1"/>
  <c r="Q4426" i="3"/>
  <c r="R4426" i="3" s="1"/>
  <c r="Q4427" i="3"/>
  <c r="R4427" i="3" s="1"/>
  <c r="Q4428" i="3"/>
  <c r="R4428" i="3" s="1"/>
  <c r="Q4429" i="3"/>
  <c r="R4429" i="3" s="1"/>
  <c r="Q4430" i="3"/>
  <c r="R4430" i="3" s="1"/>
  <c r="Q4431" i="3"/>
  <c r="R4431" i="3" s="1"/>
  <c r="Q4432" i="3"/>
  <c r="R4432" i="3" s="1"/>
  <c r="Q4433" i="3"/>
  <c r="R4433" i="3" s="1"/>
  <c r="Q4434" i="3"/>
  <c r="R4434" i="3" s="1"/>
  <c r="Q4435" i="3"/>
  <c r="R4435" i="3" s="1"/>
  <c r="Q4436" i="3"/>
  <c r="R4436" i="3" s="1"/>
  <c r="Q4437" i="3"/>
  <c r="R4437" i="3" s="1"/>
  <c r="Q4438" i="3"/>
  <c r="R4438" i="3" s="1"/>
  <c r="Q4439" i="3"/>
  <c r="R4439" i="3" s="1"/>
  <c r="Q4440" i="3"/>
  <c r="R4440" i="3" s="1"/>
  <c r="Q4441" i="3"/>
  <c r="R4441" i="3" s="1"/>
  <c r="Q4442" i="3"/>
  <c r="R4442" i="3" s="1"/>
  <c r="Q4443" i="3"/>
  <c r="R4443" i="3" s="1"/>
  <c r="Q4444" i="3"/>
  <c r="R4444" i="3" s="1"/>
  <c r="Q4445" i="3"/>
  <c r="R4445" i="3" s="1"/>
  <c r="Q4446" i="3"/>
  <c r="R4446" i="3" s="1"/>
  <c r="Q4447" i="3"/>
  <c r="R4447" i="3" s="1"/>
  <c r="Q4448" i="3"/>
  <c r="R4448" i="3" s="1"/>
  <c r="Q4449" i="3"/>
  <c r="R4449" i="3" s="1"/>
  <c r="Q4450" i="3"/>
  <c r="R4450" i="3" s="1"/>
  <c r="Q4451" i="3"/>
  <c r="R4451" i="3" s="1"/>
  <c r="Q4452" i="3"/>
  <c r="R4452" i="3" s="1"/>
  <c r="Q4453" i="3"/>
  <c r="R4453" i="3" s="1"/>
  <c r="Q4454" i="3"/>
  <c r="R4454" i="3" s="1"/>
  <c r="Q4455" i="3"/>
  <c r="R4455" i="3" s="1"/>
  <c r="Q4456" i="3"/>
  <c r="R4456" i="3" s="1"/>
  <c r="Q4457" i="3"/>
  <c r="R4457" i="3" s="1"/>
  <c r="Q4458" i="3"/>
  <c r="R4458" i="3" s="1"/>
  <c r="Q4459" i="3"/>
  <c r="R4459" i="3" s="1"/>
  <c r="Q4460" i="3"/>
  <c r="R4460" i="3" s="1"/>
  <c r="Q4461" i="3"/>
  <c r="R4461" i="3" s="1"/>
  <c r="Q4462" i="3"/>
  <c r="R4462" i="3" s="1"/>
  <c r="Q4463" i="3"/>
  <c r="R4463" i="3" s="1"/>
  <c r="Q4464" i="3"/>
  <c r="R4464" i="3" s="1"/>
  <c r="Q4465" i="3"/>
  <c r="R4465" i="3" s="1"/>
  <c r="Q4466" i="3"/>
  <c r="R4466" i="3" s="1"/>
  <c r="Q4467" i="3"/>
  <c r="R4467" i="3" s="1"/>
  <c r="Q4468" i="3"/>
  <c r="R4468" i="3" s="1"/>
  <c r="Q4469" i="3"/>
  <c r="R4469" i="3" s="1"/>
  <c r="Q4470" i="3"/>
  <c r="R4470" i="3" s="1"/>
  <c r="Q4471" i="3"/>
  <c r="R4471" i="3" s="1"/>
  <c r="Q4472" i="3"/>
  <c r="R4472" i="3" s="1"/>
  <c r="Q4473" i="3"/>
  <c r="R4473" i="3" s="1"/>
  <c r="Q4474" i="3"/>
  <c r="R4474" i="3" s="1"/>
  <c r="Q4475" i="3"/>
  <c r="R4475" i="3" s="1"/>
  <c r="Q4476" i="3"/>
  <c r="R4476" i="3" s="1"/>
  <c r="Q4477" i="3"/>
  <c r="R4477" i="3" s="1"/>
  <c r="Q4478" i="3"/>
  <c r="R4478" i="3" s="1"/>
  <c r="Q4479" i="3"/>
  <c r="R4479" i="3" s="1"/>
  <c r="Q4480" i="3"/>
  <c r="R4480" i="3" s="1"/>
  <c r="Q4481" i="3"/>
  <c r="R4481" i="3" s="1"/>
  <c r="Q4482" i="3"/>
  <c r="R4482" i="3" s="1"/>
  <c r="Q4483" i="3"/>
  <c r="R4483" i="3" s="1"/>
  <c r="Q4484" i="3"/>
  <c r="R4484" i="3" s="1"/>
  <c r="Q4485" i="3"/>
  <c r="R4485" i="3" s="1"/>
  <c r="Q4486" i="3"/>
  <c r="R4486" i="3" s="1"/>
  <c r="Q4487" i="3"/>
  <c r="R4487" i="3" s="1"/>
  <c r="Q4488" i="3"/>
  <c r="R4488" i="3" s="1"/>
  <c r="Q4489" i="3"/>
  <c r="R4489" i="3" s="1"/>
  <c r="Q4490" i="3"/>
  <c r="R4490" i="3" s="1"/>
  <c r="Q4491" i="3"/>
  <c r="R4491" i="3" s="1"/>
  <c r="Q4492" i="3"/>
  <c r="R4492" i="3" s="1"/>
  <c r="Q4493" i="3"/>
  <c r="R4493" i="3" s="1"/>
  <c r="Q4494" i="3"/>
  <c r="R4494" i="3" s="1"/>
  <c r="Q4495" i="3"/>
  <c r="R4495" i="3" s="1"/>
  <c r="Q4496" i="3"/>
  <c r="R4496" i="3" s="1"/>
  <c r="Q4497" i="3"/>
  <c r="R4497" i="3" s="1"/>
  <c r="Q4498" i="3"/>
  <c r="R4498" i="3" s="1"/>
  <c r="Q4499" i="3"/>
  <c r="R4499" i="3" s="1"/>
  <c r="Q4500" i="3"/>
  <c r="R4500" i="3" s="1"/>
  <c r="Q4501" i="3"/>
  <c r="R4501" i="3" s="1"/>
  <c r="Q4502" i="3"/>
  <c r="R4502" i="3" s="1"/>
  <c r="Q4503" i="3"/>
  <c r="R4503" i="3" s="1"/>
  <c r="Q4504" i="3"/>
  <c r="R4504" i="3" s="1"/>
  <c r="Q4505" i="3"/>
  <c r="R4505" i="3" s="1"/>
  <c r="Q4506" i="3"/>
  <c r="R4506" i="3" s="1"/>
  <c r="Q4507" i="3"/>
  <c r="R4507" i="3" s="1"/>
  <c r="Q4508" i="3"/>
  <c r="R4508" i="3" s="1"/>
  <c r="Q4509" i="3"/>
  <c r="R4509" i="3" s="1"/>
  <c r="Q4510" i="3"/>
  <c r="R4510" i="3" s="1"/>
  <c r="Q4511" i="3"/>
  <c r="R4511" i="3" s="1"/>
  <c r="Q4512" i="3"/>
  <c r="R4512" i="3" s="1"/>
  <c r="Q4513" i="3"/>
  <c r="R4513" i="3" s="1"/>
  <c r="Q4514" i="3"/>
  <c r="R4514" i="3" s="1"/>
  <c r="Q4515" i="3"/>
  <c r="R4515" i="3" s="1"/>
  <c r="Q4516" i="3"/>
  <c r="R4516" i="3" s="1"/>
  <c r="Q4517" i="3"/>
  <c r="R4517" i="3" s="1"/>
  <c r="Q4518" i="3"/>
  <c r="R4518" i="3" s="1"/>
  <c r="Q4519" i="3"/>
  <c r="R4519" i="3" s="1"/>
  <c r="Q4520" i="3"/>
  <c r="R4520" i="3" s="1"/>
  <c r="Q4521" i="3"/>
  <c r="R4521" i="3" s="1"/>
  <c r="Q4522" i="3"/>
  <c r="R4522" i="3" s="1"/>
  <c r="Q4523" i="3"/>
  <c r="R4523" i="3" s="1"/>
  <c r="Q4524" i="3"/>
  <c r="R4524" i="3" s="1"/>
  <c r="Q4525" i="3"/>
  <c r="R4525" i="3" s="1"/>
  <c r="Q4526" i="3"/>
  <c r="R4526" i="3" s="1"/>
  <c r="Q4527" i="3"/>
  <c r="R4527" i="3" s="1"/>
  <c r="Q4528" i="3"/>
  <c r="R4528" i="3" s="1"/>
  <c r="Q4529" i="3"/>
  <c r="R4529" i="3" s="1"/>
  <c r="Q4530" i="3"/>
  <c r="R4530" i="3" s="1"/>
  <c r="Q4531" i="3"/>
  <c r="R4531" i="3" s="1"/>
  <c r="Q4532" i="3"/>
  <c r="R4532" i="3" s="1"/>
  <c r="Q4533" i="3"/>
  <c r="R4533" i="3" s="1"/>
  <c r="Q4534" i="3"/>
  <c r="R4534" i="3" s="1"/>
  <c r="Q4535" i="3"/>
  <c r="R4535" i="3" s="1"/>
  <c r="Q4536" i="3"/>
  <c r="R4536" i="3" s="1"/>
  <c r="Q4537" i="3"/>
  <c r="R4537" i="3" s="1"/>
  <c r="Q4538" i="3"/>
  <c r="R4538" i="3" s="1"/>
  <c r="Q4539" i="3"/>
  <c r="R4539" i="3" s="1"/>
  <c r="Q4540" i="3"/>
  <c r="R4540" i="3" s="1"/>
  <c r="Q4541" i="3"/>
  <c r="R4541" i="3" s="1"/>
  <c r="Q4542" i="3"/>
  <c r="R4542" i="3" s="1"/>
  <c r="Q4543" i="3"/>
  <c r="R4543" i="3" s="1"/>
  <c r="Q4544" i="3"/>
  <c r="R4544" i="3" s="1"/>
  <c r="Q4545" i="3"/>
  <c r="R4545" i="3" s="1"/>
  <c r="Q4546" i="3"/>
  <c r="R4546" i="3" s="1"/>
  <c r="Q4547" i="3"/>
  <c r="R4547" i="3" s="1"/>
  <c r="Q4548" i="3"/>
  <c r="R4548" i="3" s="1"/>
  <c r="Q4549" i="3"/>
  <c r="R4549" i="3" s="1"/>
  <c r="Q4550" i="3"/>
  <c r="R4550" i="3" s="1"/>
  <c r="Q4551" i="3"/>
  <c r="R4551" i="3" s="1"/>
  <c r="Q4552" i="3"/>
  <c r="R4552" i="3" s="1"/>
  <c r="Q4553" i="3"/>
  <c r="R4553" i="3" s="1"/>
  <c r="Q4554" i="3"/>
  <c r="R4554" i="3" s="1"/>
  <c r="Q4555" i="3"/>
  <c r="R4555" i="3" s="1"/>
  <c r="Q4556" i="3"/>
  <c r="R4556" i="3" s="1"/>
  <c r="Q4557" i="3"/>
  <c r="R4557" i="3" s="1"/>
  <c r="Q4558" i="3"/>
  <c r="R4558" i="3" s="1"/>
  <c r="Q4559" i="3"/>
  <c r="R4559" i="3" s="1"/>
  <c r="Q4560" i="3"/>
  <c r="R4560" i="3" s="1"/>
  <c r="Q4561" i="3"/>
  <c r="R4561" i="3" s="1"/>
  <c r="Q4562" i="3"/>
  <c r="R4562" i="3" s="1"/>
  <c r="Q4563" i="3"/>
  <c r="R4563" i="3" s="1"/>
  <c r="Q4564" i="3"/>
  <c r="R4564" i="3" s="1"/>
  <c r="Q4565" i="3"/>
  <c r="R4565" i="3" s="1"/>
  <c r="Q4566" i="3"/>
  <c r="R4566" i="3" s="1"/>
  <c r="Q4567" i="3"/>
  <c r="R4567" i="3" s="1"/>
  <c r="Q4568" i="3"/>
  <c r="R4568" i="3" s="1"/>
  <c r="Q4569" i="3"/>
  <c r="R4569" i="3" s="1"/>
  <c r="Q4570" i="3"/>
  <c r="R4570" i="3" s="1"/>
  <c r="Q4571" i="3"/>
  <c r="R4571" i="3" s="1"/>
  <c r="Q4572" i="3"/>
  <c r="R4572" i="3" s="1"/>
  <c r="Q4573" i="3"/>
  <c r="R4573" i="3" s="1"/>
  <c r="Q4574" i="3"/>
  <c r="R4574" i="3" s="1"/>
  <c r="Q4575" i="3"/>
  <c r="R4575" i="3" s="1"/>
  <c r="Q4576" i="3"/>
  <c r="R4576" i="3" s="1"/>
  <c r="Q4577" i="3"/>
  <c r="R4577" i="3" s="1"/>
  <c r="Q4578" i="3"/>
  <c r="R4578" i="3" s="1"/>
  <c r="Q4579" i="3"/>
  <c r="R4579" i="3" s="1"/>
  <c r="Q4580" i="3"/>
  <c r="R4580" i="3" s="1"/>
  <c r="Q4581" i="3"/>
  <c r="R4581" i="3" s="1"/>
  <c r="Q4582" i="3"/>
  <c r="R4582" i="3" s="1"/>
  <c r="Q4583" i="3"/>
  <c r="R4583" i="3" s="1"/>
  <c r="Q4584" i="3"/>
  <c r="R4584" i="3" s="1"/>
  <c r="Q4585" i="3"/>
  <c r="R4585" i="3" s="1"/>
  <c r="Q4586" i="3"/>
  <c r="R4586" i="3" s="1"/>
  <c r="Q4587" i="3"/>
  <c r="R4587" i="3" s="1"/>
  <c r="Q4588" i="3"/>
  <c r="R4588" i="3" s="1"/>
  <c r="Q4589" i="3"/>
  <c r="R4589" i="3" s="1"/>
  <c r="Q4590" i="3"/>
  <c r="R4590" i="3" s="1"/>
  <c r="Q4591" i="3"/>
  <c r="R4591" i="3" s="1"/>
  <c r="Q4592" i="3"/>
  <c r="R4592" i="3" s="1"/>
  <c r="Q4593" i="3"/>
  <c r="R4593" i="3" s="1"/>
  <c r="Q4594" i="3"/>
  <c r="R4594" i="3" s="1"/>
  <c r="Q4595" i="3"/>
  <c r="R4595" i="3" s="1"/>
  <c r="Q4596" i="3"/>
  <c r="R4596" i="3" s="1"/>
  <c r="Q4597" i="3"/>
  <c r="R4597" i="3" s="1"/>
  <c r="Q4598" i="3"/>
  <c r="R4598" i="3" s="1"/>
  <c r="Q4599" i="3"/>
  <c r="R4599" i="3" s="1"/>
  <c r="Q4600" i="3"/>
  <c r="R4600" i="3" s="1"/>
  <c r="Q4601" i="3"/>
  <c r="R4601" i="3" s="1"/>
  <c r="Q4602" i="3"/>
  <c r="R4602" i="3" s="1"/>
  <c r="Q4603" i="3"/>
  <c r="R4603" i="3" s="1"/>
  <c r="Q4604" i="3"/>
  <c r="R4604" i="3" s="1"/>
  <c r="Q4605" i="3"/>
  <c r="R4605" i="3" s="1"/>
  <c r="Q4606" i="3"/>
  <c r="R4606" i="3" s="1"/>
  <c r="Q4607" i="3"/>
  <c r="R4607" i="3" s="1"/>
  <c r="Q4608" i="3"/>
  <c r="R4608" i="3" s="1"/>
  <c r="Q4609" i="3"/>
  <c r="R4609" i="3" s="1"/>
  <c r="Q4610" i="3"/>
  <c r="R4610" i="3" s="1"/>
  <c r="Q4611" i="3"/>
  <c r="R4611" i="3" s="1"/>
  <c r="Q4612" i="3"/>
  <c r="R4612" i="3" s="1"/>
  <c r="Q4613" i="3"/>
  <c r="R4613" i="3" s="1"/>
  <c r="Q4614" i="3"/>
  <c r="R4614" i="3" s="1"/>
  <c r="Q4615" i="3"/>
  <c r="R4615" i="3" s="1"/>
  <c r="Q4616" i="3"/>
  <c r="R4616" i="3" s="1"/>
  <c r="Q4617" i="3"/>
  <c r="R4617" i="3" s="1"/>
  <c r="Q4618" i="3"/>
  <c r="R4618" i="3" s="1"/>
  <c r="Q4619" i="3"/>
  <c r="R4619" i="3" s="1"/>
  <c r="Q4620" i="3"/>
  <c r="R4620" i="3" s="1"/>
  <c r="Q4621" i="3"/>
  <c r="R4621" i="3" s="1"/>
  <c r="Q4622" i="3"/>
  <c r="R4622" i="3" s="1"/>
  <c r="Q4623" i="3"/>
  <c r="R4623" i="3" s="1"/>
  <c r="Q4624" i="3"/>
  <c r="R4624" i="3" s="1"/>
  <c r="Q4625" i="3"/>
  <c r="R4625" i="3" s="1"/>
  <c r="Q4626" i="3"/>
  <c r="R4626" i="3" s="1"/>
  <c r="Q4627" i="3"/>
  <c r="R4627" i="3" s="1"/>
  <c r="Q4628" i="3"/>
  <c r="R4628" i="3" s="1"/>
  <c r="Q4629" i="3"/>
  <c r="R4629" i="3" s="1"/>
  <c r="Q4630" i="3"/>
  <c r="R4630" i="3" s="1"/>
  <c r="Q4631" i="3"/>
  <c r="R4631" i="3" s="1"/>
  <c r="Q4632" i="3"/>
  <c r="R4632" i="3" s="1"/>
  <c r="Q4633" i="3"/>
  <c r="R4633" i="3" s="1"/>
  <c r="Q4634" i="3"/>
  <c r="R4634" i="3" s="1"/>
  <c r="Q4635" i="3"/>
  <c r="R4635" i="3" s="1"/>
  <c r="Q4636" i="3"/>
  <c r="R4636" i="3" s="1"/>
  <c r="Q4637" i="3"/>
  <c r="R4637" i="3" s="1"/>
  <c r="Q4638" i="3"/>
  <c r="R4638" i="3" s="1"/>
  <c r="Q4639" i="3"/>
  <c r="R4639" i="3" s="1"/>
  <c r="Q4640" i="3"/>
  <c r="R4640" i="3" s="1"/>
  <c r="Q4641" i="3"/>
  <c r="R4641" i="3" s="1"/>
  <c r="Q4642" i="3"/>
  <c r="R4642" i="3" s="1"/>
  <c r="Q4643" i="3"/>
  <c r="R4643" i="3" s="1"/>
  <c r="Q4644" i="3"/>
  <c r="R4644" i="3" s="1"/>
  <c r="Q4645" i="3"/>
  <c r="R4645" i="3" s="1"/>
  <c r="Q4646" i="3"/>
  <c r="R4646" i="3" s="1"/>
  <c r="Q4647" i="3"/>
  <c r="R4647" i="3" s="1"/>
  <c r="Q4648" i="3"/>
  <c r="R4648" i="3" s="1"/>
  <c r="Q4649" i="3"/>
  <c r="R4649" i="3" s="1"/>
  <c r="Q4650" i="3"/>
  <c r="R4650" i="3" s="1"/>
  <c r="Q4651" i="3"/>
  <c r="R4651" i="3" s="1"/>
  <c r="Q4652" i="3"/>
  <c r="R4652" i="3" s="1"/>
  <c r="Q4653" i="3"/>
  <c r="R4653" i="3" s="1"/>
  <c r="Q4654" i="3"/>
  <c r="R4654" i="3" s="1"/>
  <c r="Q4655" i="3"/>
  <c r="R4655" i="3" s="1"/>
  <c r="Q4656" i="3"/>
  <c r="R4656" i="3" s="1"/>
  <c r="Q4657" i="3"/>
  <c r="R4657" i="3" s="1"/>
  <c r="Q4658" i="3"/>
  <c r="R4658" i="3" s="1"/>
  <c r="Q4659" i="3"/>
  <c r="R4659" i="3" s="1"/>
  <c r="Q4660" i="3"/>
  <c r="R4660" i="3" s="1"/>
  <c r="Q4661" i="3"/>
  <c r="R4661" i="3" s="1"/>
  <c r="Q4662" i="3"/>
  <c r="R4662" i="3" s="1"/>
  <c r="Q4663" i="3"/>
  <c r="R4663" i="3" s="1"/>
  <c r="Q4664" i="3"/>
  <c r="R4664" i="3" s="1"/>
  <c r="Q4665" i="3"/>
  <c r="R4665" i="3" s="1"/>
  <c r="Q4666" i="3"/>
  <c r="R4666" i="3" s="1"/>
  <c r="Q4667" i="3"/>
  <c r="R4667" i="3" s="1"/>
  <c r="Q4668" i="3"/>
  <c r="R4668" i="3" s="1"/>
  <c r="Q4669" i="3"/>
  <c r="R4669" i="3" s="1"/>
  <c r="Q4670" i="3"/>
  <c r="R4670" i="3" s="1"/>
  <c r="Q4671" i="3"/>
  <c r="R4671" i="3" s="1"/>
  <c r="Q4672" i="3"/>
  <c r="R4672" i="3" s="1"/>
  <c r="Q4673" i="3"/>
  <c r="R4673" i="3" s="1"/>
  <c r="Q4674" i="3"/>
  <c r="R4674" i="3" s="1"/>
  <c r="Q4675" i="3"/>
  <c r="R4675" i="3" s="1"/>
  <c r="Q4676" i="3"/>
  <c r="R4676" i="3" s="1"/>
  <c r="Q4677" i="3"/>
  <c r="R4677" i="3" s="1"/>
  <c r="Q4678" i="3"/>
  <c r="R4678" i="3" s="1"/>
  <c r="Q4679" i="3"/>
  <c r="R4679" i="3" s="1"/>
  <c r="Q4680" i="3"/>
  <c r="R4680" i="3" s="1"/>
  <c r="Q4681" i="3"/>
  <c r="R4681" i="3" s="1"/>
  <c r="Q4682" i="3"/>
  <c r="R4682" i="3" s="1"/>
  <c r="Q4683" i="3"/>
  <c r="R4683" i="3" s="1"/>
  <c r="Q4684" i="3"/>
  <c r="R4684" i="3" s="1"/>
  <c r="Q4685" i="3"/>
  <c r="R4685" i="3" s="1"/>
  <c r="Q4686" i="3"/>
  <c r="R4686" i="3" s="1"/>
  <c r="Q4687" i="3"/>
  <c r="R4687" i="3" s="1"/>
  <c r="Q4688" i="3"/>
  <c r="R4688" i="3" s="1"/>
  <c r="Q4689" i="3"/>
  <c r="R4689" i="3" s="1"/>
  <c r="Q4690" i="3"/>
  <c r="R4690" i="3" s="1"/>
  <c r="Q4691" i="3"/>
  <c r="R4691" i="3" s="1"/>
  <c r="Q4692" i="3"/>
  <c r="R4692" i="3" s="1"/>
  <c r="Q4693" i="3"/>
  <c r="R4693" i="3" s="1"/>
  <c r="Q4694" i="3"/>
  <c r="R4694" i="3" s="1"/>
  <c r="Q4695" i="3"/>
  <c r="R4695" i="3" s="1"/>
  <c r="Q4696" i="3"/>
  <c r="R4696" i="3" s="1"/>
  <c r="Q4697" i="3"/>
  <c r="R4697" i="3" s="1"/>
  <c r="Q4698" i="3"/>
  <c r="R4698" i="3" s="1"/>
  <c r="Q4699" i="3"/>
  <c r="R4699" i="3" s="1"/>
  <c r="Q4700" i="3"/>
  <c r="R4700" i="3" s="1"/>
  <c r="Q4701" i="3"/>
  <c r="R4701" i="3" s="1"/>
  <c r="Q4702" i="3"/>
  <c r="R4702" i="3" s="1"/>
  <c r="Q4703" i="3"/>
  <c r="R4703" i="3" s="1"/>
  <c r="Q4704" i="3"/>
  <c r="R4704" i="3" s="1"/>
  <c r="Q4705" i="3"/>
  <c r="R4705" i="3" s="1"/>
  <c r="Q4706" i="3"/>
  <c r="R4706" i="3" s="1"/>
  <c r="Q4707" i="3"/>
  <c r="R4707" i="3" s="1"/>
  <c r="Q4708" i="3"/>
  <c r="R4708" i="3" s="1"/>
  <c r="Q4709" i="3"/>
  <c r="R4709" i="3" s="1"/>
  <c r="Q4710" i="3"/>
  <c r="R4710" i="3" s="1"/>
  <c r="Q4711" i="3"/>
  <c r="R4711" i="3" s="1"/>
  <c r="Q4712" i="3"/>
  <c r="R4712" i="3" s="1"/>
  <c r="Q4713" i="3"/>
  <c r="R4713" i="3" s="1"/>
  <c r="Q4714" i="3"/>
  <c r="R4714" i="3" s="1"/>
  <c r="Q4715" i="3"/>
  <c r="R4715" i="3" s="1"/>
  <c r="Q4716" i="3"/>
  <c r="R4716" i="3" s="1"/>
  <c r="Q4717" i="3"/>
  <c r="R4717" i="3" s="1"/>
  <c r="Q4718" i="3"/>
  <c r="R4718" i="3" s="1"/>
  <c r="Q4719" i="3"/>
  <c r="R4719" i="3" s="1"/>
  <c r="Q4720" i="3"/>
  <c r="R4720" i="3" s="1"/>
  <c r="Q4721" i="3"/>
  <c r="R4721" i="3" s="1"/>
  <c r="Q4722" i="3"/>
  <c r="R4722" i="3" s="1"/>
  <c r="Q4723" i="3"/>
  <c r="R4723" i="3" s="1"/>
  <c r="Q4724" i="3"/>
  <c r="R4724" i="3" s="1"/>
  <c r="Q4725" i="3"/>
  <c r="R4725" i="3" s="1"/>
  <c r="Q4726" i="3"/>
  <c r="R4726" i="3" s="1"/>
  <c r="Q4727" i="3"/>
  <c r="R4727" i="3" s="1"/>
  <c r="Q4728" i="3"/>
  <c r="R4728" i="3" s="1"/>
  <c r="Q4729" i="3"/>
  <c r="R4729" i="3" s="1"/>
  <c r="Q4730" i="3"/>
  <c r="R4730" i="3" s="1"/>
  <c r="Q4731" i="3"/>
  <c r="R4731" i="3" s="1"/>
  <c r="Q4732" i="3"/>
  <c r="R4732" i="3" s="1"/>
  <c r="Q4733" i="3"/>
  <c r="R4733" i="3" s="1"/>
  <c r="Q4734" i="3"/>
  <c r="R4734" i="3" s="1"/>
  <c r="Q4735" i="3"/>
  <c r="R4735" i="3" s="1"/>
  <c r="Q4736" i="3"/>
  <c r="R4736" i="3" s="1"/>
  <c r="Q4737" i="3"/>
  <c r="R4737" i="3" s="1"/>
  <c r="Q4738" i="3"/>
  <c r="R4738" i="3" s="1"/>
  <c r="Q4739" i="3"/>
  <c r="R4739" i="3" s="1"/>
  <c r="Q4740" i="3"/>
  <c r="R4740" i="3" s="1"/>
  <c r="Q4741" i="3"/>
  <c r="R4741" i="3" s="1"/>
  <c r="Q4742" i="3"/>
  <c r="R4742" i="3" s="1"/>
  <c r="Q4743" i="3"/>
  <c r="R4743" i="3" s="1"/>
  <c r="Q4744" i="3"/>
  <c r="R4744" i="3" s="1"/>
  <c r="Q4745" i="3"/>
  <c r="R4745" i="3" s="1"/>
  <c r="Q4746" i="3"/>
  <c r="R4746" i="3" s="1"/>
  <c r="Q4747" i="3"/>
  <c r="R4747" i="3" s="1"/>
  <c r="Q4748" i="3"/>
  <c r="R4748" i="3" s="1"/>
  <c r="Q4749" i="3"/>
  <c r="R4749" i="3" s="1"/>
  <c r="Q4750" i="3"/>
  <c r="R4750" i="3" s="1"/>
  <c r="Q4751" i="3"/>
  <c r="R4751" i="3" s="1"/>
  <c r="Q4752" i="3"/>
  <c r="R4752" i="3" s="1"/>
  <c r="Q4753" i="3"/>
  <c r="R4753" i="3" s="1"/>
  <c r="Q4754" i="3"/>
  <c r="R4754" i="3" s="1"/>
  <c r="Q4755" i="3"/>
  <c r="R4755" i="3" s="1"/>
  <c r="Q4756" i="3"/>
  <c r="R4756" i="3" s="1"/>
  <c r="Q4757" i="3"/>
  <c r="R4757" i="3" s="1"/>
  <c r="Q4758" i="3"/>
  <c r="R4758" i="3" s="1"/>
  <c r="Q4759" i="3"/>
  <c r="R4759" i="3" s="1"/>
  <c r="Q4760" i="3"/>
  <c r="R4760" i="3" s="1"/>
  <c r="Q4761" i="3"/>
  <c r="R4761" i="3" s="1"/>
  <c r="Q4762" i="3"/>
  <c r="R4762" i="3" s="1"/>
  <c r="Q4763" i="3"/>
  <c r="R4763" i="3" s="1"/>
  <c r="Q4764" i="3"/>
  <c r="R4764" i="3" s="1"/>
  <c r="Q4765" i="3"/>
  <c r="R4765" i="3" s="1"/>
  <c r="Q4766" i="3"/>
  <c r="R4766" i="3" s="1"/>
  <c r="Q4767" i="3"/>
  <c r="R4767" i="3" s="1"/>
  <c r="Q4768" i="3"/>
  <c r="R4768" i="3" s="1"/>
  <c r="Q4769" i="3"/>
  <c r="R4769" i="3" s="1"/>
  <c r="Q4770" i="3"/>
  <c r="R4770" i="3" s="1"/>
  <c r="Q4771" i="3"/>
  <c r="R4771" i="3" s="1"/>
  <c r="Q4772" i="3"/>
  <c r="R4772" i="3" s="1"/>
  <c r="Q4773" i="3"/>
  <c r="R4773" i="3" s="1"/>
  <c r="Q4774" i="3"/>
  <c r="R4774" i="3" s="1"/>
  <c r="Q4775" i="3"/>
  <c r="R4775" i="3" s="1"/>
  <c r="Q4776" i="3"/>
  <c r="R4776" i="3" s="1"/>
  <c r="Q4777" i="3"/>
  <c r="R4777" i="3" s="1"/>
  <c r="Q4778" i="3"/>
  <c r="R4778" i="3" s="1"/>
  <c r="Q4779" i="3"/>
  <c r="R4779" i="3" s="1"/>
  <c r="Q4780" i="3"/>
  <c r="R4780" i="3" s="1"/>
  <c r="Q4781" i="3"/>
  <c r="R4781" i="3" s="1"/>
  <c r="Q4782" i="3"/>
  <c r="R4782" i="3" s="1"/>
  <c r="Q4783" i="3"/>
  <c r="R4783" i="3" s="1"/>
  <c r="Q4784" i="3"/>
  <c r="R4784" i="3" s="1"/>
  <c r="Q4785" i="3"/>
  <c r="R4785" i="3" s="1"/>
  <c r="Q4786" i="3"/>
  <c r="R4786" i="3" s="1"/>
  <c r="Q4787" i="3"/>
  <c r="R4787" i="3" s="1"/>
  <c r="Q4788" i="3"/>
  <c r="R4788" i="3" s="1"/>
  <c r="Q4789" i="3"/>
  <c r="R4789" i="3" s="1"/>
  <c r="Q4790" i="3"/>
  <c r="R4790" i="3" s="1"/>
  <c r="Q4791" i="3"/>
  <c r="R4791" i="3" s="1"/>
  <c r="Q4792" i="3"/>
  <c r="R4792" i="3" s="1"/>
  <c r="Q4793" i="3"/>
  <c r="R4793" i="3" s="1"/>
  <c r="Q4794" i="3"/>
  <c r="R4794" i="3" s="1"/>
  <c r="Q4795" i="3"/>
  <c r="R4795" i="3" s="1"/>
  <c r="Q4796" i="3"/>
  <c r="R4796" i="3" s="1"/>
  <c r="Q4797" i="3"/>
  <c r="R4797" i="3" s="1"/>
  <c r="Q4798" i="3"/>
  <c r="R4798" i="3" s="1"/>
  <c r="Q4799" i="3"/>
  <c r="R4799" i="3" s="1"/>
  <c r="Q4800" i="3"/>
  <c r="R4800" i="3" s="1"/>
  <c r="Q4801" i="3"/>
  <c r="R4801" i="3" s="1"/>
  <c r="Q4802" i="3"/>
  <c r="R4802" i="3" s="1"/>
  <c r="Q4803" i="3"/>
  <c r="R4803" i="3" s="1"/>
  <c r="Q4804" i="3"/>
  <c r="R4804" i="3" s="1"/>
  <c r="Q4805" i="3"/>
  <c r="R4805" i="3" s="1"/>
  <c r="Q4806" i="3"/>
  <c r="R4806" i="3" s="1"/>
  <c r="Q4807" i="3"/>
  <c r="R4807" i="3" s="1"/>
  <c r="Q4808" i="3"/>
  <c r="R4808" i="3" s="1"/>
  <c r="Q4809" i="3"/>
  <c r="R4809" i="3" s="1"/>
  <c r="Q4810" i="3"/>
  <c r="R4810" i="3" s="1"/>
  <c r="Q4811" i="3"/>
  <c r="R4811" i="3" s="1"/>
  <c r="Q4812" i="3"/>
  <c r="R4812" i="3" s="1"/>
  <c r="Q4813" i="3"/>
  <c r="R4813" i="3" s="1"/>
  <c r="Q4814" i="3"/>
  <c r="R4814" i="3" s="1"/>
  <c r="Q4815" i="3"/>
  <c r="R4815" i="3" s="1"/>
  <c r="Q4816" i="3"/>
  <c r="R4816" i="3" s="1"/>
  <c r="Q4817" i="3"/>
  <c r="R4817" i="3" s="1"/>
  <c r="Q4818" i="3"/>
  <c r="R4818" i="3" s="1"/>
  <c r="Q4819" i="3"/>
  <c r="R4819" i="3" s="1"/>
  <c r="Q4820" i="3"/>
  <c r="R4820" i="3" s="1"/>
  <c r="Q4821" i="3"/>
  <c r="R4821" i="3" s="1"/>
  <c r="Q4822" i="3"/>
  <c r="R4822" i="3" s="1"/>
  <c r="Q4823" i="3"/>
  <c r="R4823" i="3" s="1"/>
  <c r="Q4824" i="3"/>
  <c r="R4824" i="3" s="1"/>
  <c r="Q4825" i="3"/>
  <c r="R4825" i="3" s="1"/>
  <c r="Q4826" i="3"/>
  <c r="R4826" i="3" s="1"/>
  <c r="Q4827" i="3"/>
  <c r="R4827" i="3" s="1"/>
  <c r="Q4828" i="3"/>
  <c r="R4828" i="3" s="1"/>
  <c r="Q4829" i="3"/>
  <c r="R4829" i="3" s="1"/>
  <c r="Q4830" i="3"/>
  <c r="R4830" i="3" s="1"/>
  <c r="Q4831" i="3"/>
  <c r="R4831" i="3" s="1"/>
  <c r="Q4832" i="3"/>
  <c r="R4832" i="3" s="1"/>
  <c r="Q4833" i="3"/>
  <c r="R4833" i="3" s="1"/>
  <c r="Q4834" i="3"/>
  <c r="R4834" i="3" s="1"/>
  <c r="Q4835" i="3"/>
  <c r="R4835" i="3" s="1"/>
  <c r="Q4836" i="3"/>
  <c r="R4836" i="3" s="1"/>
  <c r="Q4837" i="3"/>
  <c r="R4837" i="3" s="1"/>
  <c r="Q4838" i="3"/>
  <c r="R4838" i="3" s="1"/>
  <c r="Q4839" i="3"/>
  <c r="R4839" i="3" s="1"/>
  <c r="Q4840" i="3"/>
  <c r="R4840" i="3" s="1"/>
  <c r="Q4841" i="3"/>
  <c r="R4841" i="3" s="1"/>
  <c r="Q4842" i="3"/>
  <c r="R4842" i="3" s="1"/>
  <c r="Q4843" i="3"/>
  <c r="R4843" i="3" s="1"/>
  <c r="Q4844" i="3"/>
  <c r="R4844" i="3" s="1"/>
  <c r="Q4845" i="3"/>
  <c r="R4845" i="3" s="1"/>
  <c r="Q4846" i="3"/>
  <c r="R4846" i="3" s="1"/>
  <c r="Q4847" i="3"/>
  <c r="R4847" i="3" s="1"/>
  <c r="Q4848" i="3"/>
  <c r="R4848" i="3" s="1"/>
  <c r="Q4849" i="3"/>
  <c r="R4849" i="3" s="1"/>
  <c r="Q4850" i="3"/>
  <c r="R4850" i="3" s="1"/>
  <c r="Q4851" i="3"/>
  <c r="R4851" i="3" s="1"/>
  <c r="Q4852" i="3"/>
  <c r="R4852" i="3" s="1"/>
  <c r="Q4853" i="3"/>
  <c r="R4853" i="3" s="1"/>
  <c r="Q4854" i="3"/>
  <c r="R4854" i="3" s="1"/>
  <c r="Q4855" i="3"/>
  <c r="R4855" i="3" s="1"/>
  <c r="Q4856" i="3"/>
  <c r="R4856" i="3" s="1"/>
  <c r="Q4857" i="3"/>
  <c r="R4857" i="3" s="1"/>
  <c r="Q4858" i="3"/>
  <c r="R4858" i="3" s="1"/>
  <c r="Q4859" i="3"/>
  <c r="R4859" i="3" s="1"/>
  <c r="Q4860" i="3"/>
  <c r="R4860" i="3" s="1"/>
  <c r="Q4861" i="3"/>
  <c r="R4861" i="3" s="1"/>
  <c r="Q4862" i="3"/>
  <c r="R4862" i="3" s="1"/>
  <c r="Q4863" i="3"/>
  <c r="R4863" i="3" s="1"/>
  <c r="Q4864" i="3"/>
  <c r="R4864" i="3" s="1"/>
  <c r="Q4865" i="3"/>
  <c r="R4865" i="3" s="1"/>
  <c r="Q4866" i="3"/>
  <c r="R4866" i="3" s="1"/>
  <c r="Q4867" i="3"/>
  <c r="R4867" i="3" s="1"/>
  <c r="Q4868" i="3"/>
  <c r="R4868" i="3" s="1"/>
  <c r="Q4869" i="3"/>
  <c r="R4869" i="3" s="1"/>
  <c r="Q4870" i="3"/>
  <c r="R4870" i="3" s="1"/>
  <c r="Q4871" i="3"/>
  <c r="R4871" i="3" s="1"/>
  <c r="Q4872" i="3"/>
  <c r="R4872" i="3" s="1"/>
  <c r="Q4873" i="3"/>
  <c r="R4873" i="3" s="1"/>
  <c r="Q4874" i="3"/>
  <c r="R4874" i="3" s="1"/>
  <c r="Q4875" i="3"/>
  <c r="R4875" i="3" s="1"/>
  <c r="Q4876" i="3"/>
  <c r="R4876" i="3" s="1"/>
  <c r="Q4877" i="3"/>
  <c r="R4877" i="3" s="1"/>
  <c r="Q4878" i="3"/>
  <c r="R4878" i="3" s="1"/>
  <c r="Q4879" i="3"/>
  <c r="R4879" i="3" s="1"/>
  <c r="Q4880" i="3"/>
  <c r="R4880" i="3" s="1"/>
  <c r="Q4881" i="3"/>
  <c r="R4881" i="3" s="1"/>
  <c r="Q4882" i="3"/>
  <c r="R4882" i="3" s="1"/>
  <c r="Q4883" i="3"/>
  <c r="R4883" i="3" s="1"/>
  <c r="Q4884" i="3"/>
  <c r="R4884" i="3" s="1"/>
  <c r="Q4885" i="3"/>
  <c r="R4885" i="3" s="1"/>
  <c r="Q4886" i="3"/>
  <c r="R4886" i="3" s="1"/>
  <c r="Q4887" i="3"/>
  <c r="R4887" i="3" s="1"/>
  <c r="Q4888" i="3"/>
  <c r="R4888" i="3" s="1"/>
  <c r="Q4889" i="3"/>
  <c r="R4889" i="3" s="1"/>
  <c r="Q4890" i="3"/>
  <c r="R4890" i="3" s="1"/>
  <c r="Q4891" i="3"/>
  <c r="R4891" i="3" s="1"/>
  <c r="Q4892" i="3"/>
  <c r="R4892" i="3" s="1"/>
  <c r="Q4893" i="3"/>
  <c r="R4893" i="3" s="1"/>
  <c r="Q4894" i="3"/>
  <c r="R4894" i="3" s="1"/>
  <c r="Q4895" i="3"/>
  <c r="R4895" i="3" s="1"/>
  <c r="Q4896" i="3"/>
  <c r="R4896" i="3" s="1"/>
  <c r="Q4897" i="3"/>
  <c r="R4897" i="3" s="1"/>
  <c r="Q4898" i="3"/>
  <c r="R4898" i="3" s="1"/>
  <c r="Q4899" i="3"/>
  <c r="R4899" i="3" s="1"/>
  <c r="Q4900" i="3"/>
  <c r="R4900" i="3" s="1"/>
  <c r="Q4901" i="3"/>
  <c r="R4901" i="3" s="1"/>
  <c r="Q4902" i="3"/>
  <c r="R4902" i="3" s="1"/>
  <c r="Q4903" i="3"/>
  <c r="R4903" i="3" s="1"/>
  <c r="Q4904" i="3"/>
  <c r="R4904" i="3" s="1"/>
  <c r="Q4905" i="3"/>
  <c r="R4905" i="3" s="1"/>
  <c r="Q4906" i="3"/>
  <c r="R4906" i="3" s="1"/>
  <c r="Q4907" i="3"/>
  <c r="R4907" i="3" s="1"/>
  <c r="Q4908" i="3"/>
  <c r="R4908" i="3" s="1"/>
  <c r="Q4909" i="3"/>
  <c r="R4909" i="3" s="1"/>
  <c r="Q4910" i="3"/>
  <c r="R4910" i="3" s="1"/>
  <c r="Q4911" i="3"/>
  <c r="R4911" i="3" s="1"/>
  <c r="Q4912" i="3"/>
  <c r="R4912" i="3" s="1"/>
  <c r="Q4913" i="3"/>
  <c r="R4913" i="3" s="1"/>
  <c r="Q4914" i="3"/>
  <c r="R4914" i="3" s="1"/>
  <c r="Q4915" i="3"/>
  <c r="R4915" i="3" s="1"/>
  <c r="Q4916" i="3"/>
  <c r="R4916" i="3" s="1"/>
  <c r="Q4917" i="3"/>
  <c r="R4917" i="3" s="1"/>
  <c r="Q4918" i="3"/>
  <c r="R4918" i="3" s="1"/>
  <c r="Q4919" i="3"/>
  <c r="R4919" i="3" s="1"/>
  <c r="Q4920" i="3"/>
  <c r="R4920" i="3" s="1"/>
  <c r="Q4921" i="3"/>
  <c r="R4921" i="3" s="1"/>
  <c r="Q4922" i="3"/>
  <c r="R4922" i="3" s="1"/>
  <c r="Q4923" i="3"/>
  <c r="R4923" i="3" s="1"/>
  <c r="Q4924" i="3"/>
  <c r="R4924" i="3" s="1"/>
  <c r="Q4925" i="3"/>
  <c r="R4925" i="3" s="1"/>
  <c r="Q4926" i="3"/>
  <c r="R4926" i="3" s="1"/>
  <c r="Q4927" i="3"/>
  <c r="R4927" i="3" s="1"/>
  <c r="Q4928" i="3"/>
  <c r="R4928" i="3" s="1"/>
  <c r="Q4929" i="3"/>
  <c r="R4929" i="3" s="1"/>
  <c r="Q4930" i="3"/>
  <c r="R4930" i="3" s="1"/>
  <c r="Q4931" i="3"/>
  <c r="R4931" i="3" s="1"/>
  <c r="Q4932" i="3"/>
  <c r="R4932" i="3" s="1"/>
  <c r="Q4933" i="3"/>
  <c r="R4933" i="3" s="1"/>
  <c r="Q4934" i="3"/>
  <c r="R4934" i="3" s="1"/>
  <c r="Q4935" i="3"/>
  <c r="R4935" i="3" s="1"/>
  <c r="Q4936" i="3"/>
  <c r="R4936" i="3" s="1"/>
  <c r="Q4937" i="3"/>
  <c r="R4937" i="3" s="1"/>
  <c r="Q4938" i="3"/>
  <c r="R4938" i="3" s="1"/>
  <c r="Q4939" i="3"/>
  <c r="R4939" i="3" s="1"/>
  <c r="Q4940" i="3"/>
  <c r="R4940" i="3" s="1"/>
  <c r="Q4941" i="3"/>
  <c r="R4941" i="3" s="1"/>
  <c r="Q4942" i="3"/>
  <c r="R4942" i="3" s="1"/>
  <c r="Q4943" i="3"/>
  <c r="R4943" i="3" s="1"/>
  <c r="Q4944" i="3"/>
  <c r="R4944" i="3" s="1"/>
  <c r="Q4945" i="3"/>
  <c r="R4945" i="3" s="1"/>
  <c r="Q4946" i="3"/>
  <c r="R4946" i="3" s="1"/>
  <c r="Q4947" i="3"/>
  <c r="R4947" i="3" s="1"/>
  <c r="Q4948" i="3"/>
  <c r="R4948" i="3" s="1"/>
  <c r="Q4949" i="3"/>
  <c r="R4949" i="3" s="1"/>
  <c r="Q4950" i="3"/>
  <c r="R4950" i="3" s="1"/>
  <c r="Q4951" i="3"/>
  <c r="R4951" i="3" s="1"/>
  <c r="Q4952" i="3"/>
  <c r="R4952" i="3" s="1"/>
  <c r="Q4953" i="3"/>
  <c r="R4953" i="3" s="1"/>
  <c r="Q4954" i="3"/>
  <c r="R4954" i="3" s="1"/>
  <c r="Q4955" i="3"/>
  <c r="R4955" i="3" s="1"/>
  <c r="Q4956" i="3"/>
  <c r="R4956" i="3" s="1"/>
  <c r="Q4957" i="3"/>
  <c r="R4957" i="3" s="1"/>
  <c r="Q4958" i="3"/>
  <c r="R4958" i="3" s="1"/>
  <c r="Q4959" i="3"/>
  <c r="R4959" i="3" s="1"/>
  <c r="Q4960" i="3"/>
  <c r="R4960" i="3" s="1"/>
  <c r="Q4961" i="3"/>
  <c r="R4961" i="3" s="1"/>
  <c r="Q4962" i="3"/>
  <c r="R4962" i="3" s="1"/>
  <c r="Q4963" i="3"/>
  <c r="R4963" i="3" s="1"/>
  <c r="Q4964" i="3"/>
  <c r="R4964" i="3" s="1"/>
  <c r="Q4965" i="3"/>
  <c r="R4965" i="3" s="1"/>
  <c r="Q4966" i="3"/>
  <c r="R4966" i="3" s="1"/>
  <c r="Q4967" i="3"/>
  <c r="R4967" i="3" s="1"/>
  <c r="Q4968" i="3"/>
  <c r="R4968" i="3" s="1"/>
  <c r="Q4969" i="3"/>
  <c r="R4969" i="3" s="1"/>
  <c r="Q4970" i="3"/>
  <c r="R4970" i="3" s="1"/>
  <c r="Q4971" i="3"/>
  <c r="R4971" i="3" s="1"/>
  <c r="Q4972" i="3"/>
  <c r="R4972" i="3" s="1"/>
  <c r="Q4973" i="3"/>
  <c r="R4973" i="3" s="1"/>
  <c r="Q4974" i="3"/>
  <c r="R4974" i="3" s="1"/>
  <c r="Q4975" i="3"/>
  <c r="R4975" i="3" s="1"/>
  <c r="Q4976" i="3"/>
  <c r="R4976" i="3" s="1"/>
  <c r="Q4977" i="3"/>
  <c r="R4977" i="3" s="1"/>
  <c r="Q4978" i="3"/>
  <c r="R4978" i="3" s="1"/>
  <c r="Q4979" i="3"/>
  <c r="R4979" i="3" s="1"/>
  <c r="Q4980" i="3"/>
  <c r="R4980" i="3" s="1"/>
  <c r="Q4981" i="3"/>
  <c r="R4981" i="3" s="1"/>
  <c r="Q4982" i="3"/>
  <c r="R4982" i="3" s="1"/>
  <c r="Q4983" i="3"/>
  <c r="R4983" i="3" s="1"/>
  <c r="Q4984" i="3"/>
  <c r="R4984" i="3" s="1"/>
  <c r="Q4985" i="3"/>
  <c r="R4985" i="3" s="1"/>
  <c r="Q4986" i="3"/>
  <c r="R4986" i="3" s="1"/>
  <c r="Q4987" i="3"/>
  <c r="R4987" i="3" s="1"/>
  <c r="Q4988" i="3"/>
  <c r="R4988" i="3" s="1"/>
  <c r="Q4989" i="3"/>
  <c r="R4989" i="3" s="1"/>
  <c r="Q4990" i="3"/>
  <c r="R4990" i="3" s="1"/>
  <c r="Q4991" i="3"/>
  <c r="R4991" i="3" s="1"/>
  <c r="Q4992" i="3"/>
  <c r="R4992" i="3" s="1"/>
  <c r="Q4993" i="3"/>
  <c r="R4993" i="3" s="1"/>
  <c r="Q4994" i="3"/>
  <c r="R4994" i="3" s="1"/>
  <c r="Q4995" i="3"/>
  <c r="R4995" i="3" s="1"/>
  <c r="Q4996" i="3"/>
  <c r="R4996" i="3" s="1"/>
  <c r="Q4997" i="3"/>
  <c r="R4997" i="3" s="1"/>
  <c r="Q4998" i="3"/>
  <c r="R4998" i="3" s="1"/>
  <c r="Q4999" i="3"/>
  <c r="R4999" i="3" s="1"/>
  <c r="Q5000" i="3"/>
  <c r="R5000" i="3" s="1"/>
  <c r="Q5001" i="3"/>
  <c r="R5001" i="3" s="1"/>
  <c r="Q5002" i="3"/>
  <c r="R5002" i="3" s="1"/>
  <c r="Q5003" i="3"/>
  <c r="R5003" i="3" s="1"/>
  <c r="Q5004" i="3"/>
  <c r="R5004" i="3" s="1"/>
  <c r="Q5005" i="3"/>
  <c r="R5005" i="3" s="1"/>
  <c r="Q5006" i="3"/>
  <c r="R5006" i="3" s="1"/>
  <c r="Q5007" i="3"/>
  <c r="R5007" i="3" s="1"/>
  <c r="Q5008" i="3"/>
  <c r="R5008" i="3" s="1"/>
  <c r="Q5009" i="3"/>
  <c r="R5009" i="3" s="1"/>
  <c r="Q5010" i="3"/>
  <c r="R5010" i="3" s="1"/>
  <c r="Q5011" i="3"/>
  <c r="R5011" i="3" s="1"/>
  <c r="Q5012" i="3"/>
  <c r="R5012" i="3" s="1"/>
  <c r="Q5013" i="3"/>
  <c r="R5013" i="3" s="1"/>
  <c r="Q5014" i="3"/>
  <c r="R5014" i="3" s="1"/>
  <c r="Q5015" i="3"/>
  <c r="R5015" i="3" s="1"/>
  <c r="Q5016" i="3"/>
  <c r="R5016" i="3" s="1"/>
  <c r="Q5017" i="3"/>
  <c r="R5017" i="3" s="1"/>
  <c r="Q5018" i="3"/>
  <c r="R5018" i="3" s="1"/>
  <c r="Q5019" i="3"/>
  <c r="R5019" i="3" s="1"/>
  <c r="Q5020" i="3"/>
  <c r="R5020" i="3" s="1"/>
  <c r="Q5021" i="3"/>
  <c r="R5021" i="3" s="1"/>
  <c r="Q5022" i="3"/>
  <c r="R5022" i="3" s="1"/>
  <c r="Q5023" i="3"/>
  <c r="R5023" i="3" s="1"/>
  <c r="Q5024" i="3"/>
  <c r="R5024" i="3" s="1"/>
  <c r="Q5025" i="3"/>
  <c r="R5025" i="3" s="1"/>
  <c r="Q5026" i="3"/>
  <c r="R5026" i="3" s="1"/>
  <c r="Q5027" i="3"/>
  <c r="R5027" i="3" s="1"/>
  <c r="Q5028" i="3"/>
  <c r="R5028" i="3" s="1"/>
  <c r="Q5029" i="3"/>
  <c r="R5029" i="3" s="1"/>
  <c r="Q5030" i="3"/>
  <c r="R5030" i="3" s="1"/>
  <c r="Q5031" i="3"/>
  <c r="R5031" i="3" s="1"/>
  <c r="Q5032" i="3"/>
  <c r="R5032" i="3" s="1"/>
  <c r="Q5033" i="3"/>
  <c r="R5033" i="3" s="1"/>
  <c r="Q5034" i="3"/>
  <c r="R5034" i="3" s="1"/>
  <c r="Q5035" i="3"/>
  <c r="R5035" i="3" s="1"/>
  <c r="Q5036" i="3"/>
  <c r="R5036" i="3" s="1"/>
  <c r="Q5037" i="3"/>
  <c r="R5037" i="3" s="1"/>
  <c r="Q5038" i="3"/>
  <c r="R5038" i="3" s="1"/>
  <c r="Q5039" i="3"/>
  <c r="R5039" i="3" s="1"/>
  <c r="Q5040" i="3"/>
  <c r="R5040" i="3" s="1"/>
  <c r="Q5041" i="3"/>
  <c r="R5041" i="3" s="1"/>
  <c r="Q5042" i="3"/>
  <c r="R5042" i="3" s="1"/>
  <c r="Q5043" i="3"/>
  <c r="R5043" i="3" s="1"/>
  <c r="Q5044" i="3"/>
  <c r="R5044" i="3" s="1"/>
  <c r="Q5045" i="3"/>
  <c r="R5045" i="3" s="1"/>
  <c r="Q5046" i="3"/>
  <c r="R5046" i="3" s="1"/>
  <c r="Q5047" i="3"/>
  <c r="R5047" i="3" s="1"/>
  <c r="Q5048" i="3"/>
  <c r="R5048" i="3" s="1"/>
  <c r="Q5049" i="3"/>
  <c r="R5049" i="3" s="1"/>
  <c r="Q5050" i="3"/>
  <c r="R5050" i="3" s="1"/>
  <c r="Q5051" i="3"/>
  <c r="R5051" i="3" s="1"/>
  <c r="Q5052" i="3"/>
  <c r="R5052" i="3" s="1"/>
  <c r="Q5053" i="3"/>
  <c r="R5053" i="3" s="1"/>
  <c r="Q5054" i="3"/>
  <c r="R5054" i="3" s="1"/>
  <c r="Q5055" i="3"/>
  <c r="R5055" i="3" s="1"/>
  <c r="Q5056" i="3"/>
  <c r="R5056" i="3" s="1"/>
  <c r="Q5057" i="3"/>
  <c r="R5057" i="3" s="1"/>
  <c r="Q5058" i="3"/>
  <c r="R5058" i="3" s="1"/>
  <c r="Q5059" i="3"/>
  <c r="R5059" i="3" s="1"/>
  <c r="Q5060" i="3"/>
  <c r="R5060" i="3" s="1"/>
  <c r="Q5061" i="3"/>
  <c r="R5061" i="3" s="1"/>
  <c r="Q5062" i="3"/>
  <c r="R5062" i="3" s="1"/>
  <c r="Q5063" i="3"/>
  <c r="R5063" i="3" s="1"/>
  <c r="Q5064" i="3"/>
  <c r="R5064" i="3" s="1"/>
  <c r="Q5065" i="3"/>
  <c r="R5065" i="3" s="1"/>
  <c r="Q5066" i="3"/>
  <c r="R5066" i="3" s="1"/>
  <c r="Q5067" i="3"/>
  <c r="R5067" i="3" s="1"/>
  <c r="Q5068" i="3"/>
  <c r="R5068" i="3" s="1"/>
  <c r="Q5069" i="3"/>
  <c r="R5069" i="3" s="1"/>
  <c r="Q5070" i="3"/>
  <c r="R5070" i="3" s="1"/>
  <c r="Q5071" i="3"/>
  <c r="R5071" i="3" s="1"/>
  <c r="Q5072" i="3"/>
  <c r="R5072" i="3" s="1"/>
  <c r="Q5073" i="3"/>
  <c r="R5073" i="3" s="1"/>
  <c r="Q5074" i="3"/>
  <c r="R5074" i="3" s="1"/>
  <c r="Q5075" i="3"/>
  <c r="R5075" i="3" s="1"/>
  <c r="Q5076" i="3"/>
  <c r="R5076" i="3" s="1"/>
  <c r="Q5077" i="3"/>
  <c r="R5077" i="3" s="1"/>
  <c r="Q5078" i="3"/>
  <c r="R5078" i="3" s="1"/>
  <c r="Q5079" i="3"/>
  <c r="R5079" i="3" s="1"/>
  <c r="Q5080" i="3"/>
  <c r="R5080" i="3" s="1"/>
  <c r="Q5081" i="3"/>
  <c r="R5081" i="3" s="1"/>
  <c r="Q5082" i="3"/>
  <c r="R5082" i="3" s="1"/>
  <c r="Q5083" i="3"/>
  <c r="R5083" i="3" s="1"/>
  <c r="Q5084" i="3"/>
  <c r="R5084" i="3" s="1"/>
  <c r="Q5085" i="3"/>
  <c r="R5085" i="3" s="1"/>
  <c r="Q5086" i="3"/>
  <c r="R5086" i="3" s="1"/>
  <c r="Q5087" i="3"/>
  <c r="R5087" i="3" s="1"/>
  <c r="Q5088" i="3"/>
  <c r="R5088" i="3" s="1"/>
  <c r="Q5089" i="3"/>
  <c r="R5089" i="3" s="1"/>
  <c r="Q5090" i="3"/>
  <c r="R5090" i="3" s="1"/>
  <c r="Q5091" i="3"/>
  <c r="R5091" i="3" s="1"/>
  <c r="Q5092" i="3"/>
  <c r="R5092" i="3" s="1"/>
  <c r="Q5093" i="3"/>
  <c r="R5093" i="3" s="1"/>
  <c r="Q5094" i="3"/>
  <c r="R5094" i="3" s="1"/>
  <c r="Q5095" i="3"/>
  <c r="R5095" i="3" s="1"/>
  <c r="Q5096" i="3"/>
  <c r="R5096" i="3" s="1"/>
  <c r="Q5097" i="3"/>
  <c r="R5097" i="3" s="1"/>
  <c r="Q5098" i="3"/>
  <c r="R5098" i="3" s="1"/>
  <c r="Q5099" i="3"/>
  <c r="R5099" i="3" s="1"/>
  <c r="Q5100" i="3"/>
  <c r="R5100" i="3" s="1"/>
  <c r="Q5101" i="3"/>
  <c r="R5101" i="3" s="1"/>
  <c r="Q5102" i="3"/>
  <c r="R5102" i="3" s="1"/>
  <c r="Q5103" i="3"/>
  <c r="R5103" i="3" s="1"/>
  <c r="Q5104" i="3"/>
  <c r="R5104" i="3" s="1"/>
  <c r="Q5105" i="3"/>
  <c r="R5105" i="3" s="1"/>
  <c r="Q5106" i="3"/>
  <c r="R5106" i="3" s="1"/>
  <c r="Q5107" i="3"/>
  <c r="R5107" i="3" s="1"/>
  <c r="Q5108" i="3"/>
  <c r="R5108" i="3" s="1"/>
  <c r="Q5109" i="3"/>
  <c r="R5109" i="3" s="1"/>
  <c r="Q5110" i="3"/>
  <c r="R5110" i="3" s="1"/>
  <c r="Q5111" i="3"/>
  <c r="R5111" i="3" s="1"/>
  <c r="Q5112" i="3"/>
  <c r="R5112" i="3" s="1"/>
  <c r="Q5113" i="3"/>
  <c r="R5113" i="3" s="1"/>
  <c r="Q5114" i="3"/>
  <c r="R5114" i="3" s="1"/>
  <c r="Q5115" i="3"/>
  <c r="R5115" i="3" s="1"/>
  <c r="Q5116" i="3"/>
  <c r="R5116" i="3" s="1"/>
  <c r="Q5117" i="3"/>
  <c r="R5117" i="3" s="1"/>
  <c r="Q5118" i="3"/>
  <c r="R5118" i="3" s="1"/>
  <c r="Q5119" i="3"/>
  <c r="R5119" i="3" s="1"/>
  <c r="Q5120" i="3"/>
  <c r="R5120" i="3" s="1"/>
  <c r="Q5121" i="3"/>
  <c r="R5121" i="3" s="1"/>
  <c r="Q5122" i="3"/>
  <c r="R5122" i="3" s="1"/>
  <c r="Q5123" i="3"/>
  <c r="R5123" i="3" s="1"/>
  <c r="Q5124" i="3"/>
  <c r="R5124" i="3" s="1"/>
  <c r="Q5125" i="3"/>
  <c r="R5125" i="3" s="1"/>
  <c r="Q5126" i="3"/>
  <c r="R5126" i="3" s="1"/>
  <c r="Q5127" i="3"/>
  <c r="R5127" i="3" s="1"/>
  <c r="Q5128" i="3"/>
  <c r="R5128" i="3" s="1"/>
  <c r="Q5129" i="3"/>
  <c r="R5129" i="3" s="1"/>
  <c r="Q5130" i="3"/>
  <c r="R5130" i="3" s="1"/>
  <c r="Q5131" i="3"/>
  <c r="R5131" i="3" s="1"/>
  <c r="Q5132" i="3"/>
  <c r="R5132" i="3" s="1"/>
  <c r="Q5133" i="3"/>
  <c r="R5133" i="3" s="1"/>
  <c r="Q5134" i="3"/>
  <c r="R5134" i="3" s="1"/>
  <c r="Q5135" i="3"/>
  <c r="R5135" i="3" s="1"/>
  <c r="Q5136" i="3"/>
  <c r="R5136" i="3" s="1"/>
  <c r="Q5137" i="3"/>
  <c r="R5137" i="3" s="1"/>
  <c r="Q5138" i="3"/>
  <c r="R5138" i="3" s="1"/>
  <c r="Q5139" i="3"/>
  <c r="R5139" i="3" s="1"/>
  <c r="Q5140" i="3"/>
  <c r="R5140" i="3" s="1"/>
  <c r="Q5141" i="3"/>
  <c r="R5141" i="3" s="1"/>
  <c r="Q5142" i="3"/>
  <c r="R5142" i="3" s="1"/>
  <c r="Q5143" i="3"/>
  <c r="R5143" i="3" s="1"/>
  <c r="Q5144" i="3"/>
  <c r="R5144" i="3" s="1"/>
  <c r="Q5145" i="3"/>
  <c r="R5145" i="3" s="1"/>
  <c r="Q5146" i="3"/>
  <c r="R5146" i="3" s="1"/>
  <c r="Q5147" i="3"/>
  <c r="R5147" i="3" s="1"/>
  <c r="Q5148" i="3"/>
  <c r="R5148" i="3" s="1"/>
  <c r="Q5149" i="3"/>
  <c r="R5149" i="3" s="1"/>
  <c r="Q5150" i="3"/>
  <c r="R5150" i="3" s="1"/>
  <c r="Q5151" i="3"/>
  <c r="R5151" i="3" s="1"/>
  <c r="Q5152" i="3"/>
  <c r="R5152" i="3" s="1"/>
  <c r="Q5153" i="3"/>
  <c r="R5153" i="3" s="1"/>
  <c r="Q5154" i="3"/>
  <c r="R5154" i="3" s="1"/>
  <c r="Q5155" i="3"/>
  <c r="R5155" i="3" s="1"/>
  <c r="Q5156" i="3"/>
  <c r="R5156" i="3" s="1"/>
  <c r="Q5157" i="3"/>
  <c r="R5157" i="3" s="1"/>
  <c r="Q5158" i="3"/>
  <c r="R5158" i="3" s="1"/>
  <c r="Q5159" i="3"/>
  <c r="R5159" i="3" s="1"/>
  <c r="Q5160" i="3"/>
  <c r="R5160" i="3" s="1"/>
  <c r="Q5161" i="3"/>
  <c r="R5161" i="3" s="1"/>
  <c r="Q5162" i="3"/>
  <c r="R5162" i="3" s="1"/>
  <c r="Q5163" i="3"/>
  <c r="R5163" i="3" s="1"/>
  <c r="Q5164" i="3"/>
  <c r="R5164" i="3" s="1"/>
  <c r="Q5165" i="3"/>
  <c r="R5165" i="3" s="1"/>
  <c r="Q5166" i="3"/>
  <c r="R5166" i="3" s="1"/>
  <c r="Q5167" i="3"/>
  <c r="R5167" i="3" s="1"/>
  <c r="Q5168" i="3"/>
  <c r="R5168" i="3" s="1"/>
  <c r="Q5169" i="3"/>
  <c r="R5169" i="3" s="1"/>
  <c r="Q5170" i="3"/>
  <c r="R5170" i="3" s="1"/>
  <c r="Q5171" i="3"/>
  <c r="R5171" i="3" s="1"/>
  <c r="Q5172" i="3"/>
  <c r="R5172" i="3" s="1"/>
  <c r="Q5173" i="3"/>
  <c r="R5173" i="3" s="1"/>
  <c r="Q5174" i="3"/>
  <c r="R5174" i="3" s="1"/>
  <c r="Q5175" i="3"/>
  <c r="R5175" i="3" s="1"/>
  <c r="Q5176" i="3"/>
  <c r="R5176" i="3" s="1"/>
  <c r="Q5177" i="3"/>
  <c r="R5177" i="3" s="1"/>
  <c r="Q5178" i="3"/>
  <c r="R5178" i="3" s="1"/>
  <c r="Q5179" i="3"/>
  <c r="R5179" i="3" s="1"/>
  <c r="Q5180" i="3"/>
  <c r="R5180" i="3" s="1"/>
  <c r="Q5181" i="3"/>
  <c r="R5181" i="3" s="1"/>
  <c r="Q5182" i="3"/>
  <c r="R5182" i="3" s="1"/>
  <c r="Q5183" i="3"/>
  <c r="R5183" i="3" s="1"/>
  <c r="Q5184" i="3"/>
  <c r="R5184" i="3" s="1"/>
  <c r="Q5185" i="3"/>
  <c r="R5185" i="3" s="1"/>
  <c r="Q5186" i="3"/>
  <c r="R5186" i="3" s="1"/>
  <c r="Q5187" i="3"/>
  <c r="R5187" i="3" s="1"/>
  <c r="Q5188" i="3"/>
  <c r="R5188" i="3" s="1"/>
  <c r="Q5189" i="3"/>
  <c r="R5189" i="3" s="1"/>
  <c r="Q5190" i="3"/>
  <c r="R5190" i="3" s="1"/>
  <c r="Q5191" i="3"/>
  <c r="R5191" i="3" s="1"/>
  <c r="Q5192" i="3"/>
  <c r="R5192" i="3" s="1"/>
  <c r="Q5193" i="3"/>
  <c r="R5193" i="3" s="1"/>
  <c r="Q5194" i="3"/>
  <c r="R5194" i="3" s="1"/>
  <c r="Q5195" i="3"/>
  <c r="R5195" i="3" s="1"/>
  <c r="Q5196" i="3"/>
  <c r="R5196" i="3" s="1"/>
  <c r="Q5197" i="3"/>
  <c r="R5197" i="3" s="1"/>
  <c r="Q5198" i="3"/>
  <c r="R5198" i="3" s="1"/>
  <c r="Q5199" i="3"/>
  <c r="R5199" i="3" s="1"/>
  <c r="Q5200" i="3"/>
  <c r="R5200" i="3" s="1"/>
  <c r="Q5201" i="3"/>
  <c r="R5201" i="3" s="1"/>
  <c r="Q5202" i="3"/>
  <c r="R5202" i="3" s="1"/>
  <c r="Q5203" i="3"/>
  <c r="R5203" i="3" s="1"/>
  <c r="Q5204" i="3"/>
  <c r="R5204" i="3" s="1"/>
  <c r="Q5205" i="3"/>
  <c r="R5205" i="3" s="1"/>
  <c r="Q5206" i="3"/>
  <c r="R5206" i="3" s="1"/>
  <c r="Q5207" i="3"/>
  <c r="R5207" i="3" s="1"/>
  <c r="Q5208" i="3"/>
  <c r="R5208" i="3" s="1"/>
  <c r="Q5209" i="3"/>
  <c r="R5209" i="3" s="1"/>
  <c r="Q5210" i="3"/>
  <c r="R5210" i="3" s="1"/>
  <c r="Q5211" i="3"/>
  <c r="R5211" i="3" s="1"/>
  <c r="Q5212" i="3"/>
  <c r="R5212" i="3" s="1"/>
  <c r="Q5213" i="3"/>
  <c r="R5213" i="3" s="1"/>
  <c r="Q5214" i="3"/>
  <c r="R5214" i="3" s="1"/>
  <c r="Q5215" i="3"/>
  <c r="R5215" i="3" s="1"/>
  <c r="Q5216" i="3"/>
  <c r="R5216" i="3" s="1"/>
  <c r="Q5217" i="3"/>
  <c r="R5217" i="3" s="1"/>
  <c r="Q5218" i="3"/>
  <c r="R5218" i="3" s="1"/>
  <c r="Q5219" i="3"/>
  <c r="R5219" i="3" s="1"/>
  <c r="Q5220" i="3"/>
  <c r="R5220" i="3" s="1"/>
  <c r="Q5221" i="3"/>
  <c r="R5221" i="3" s="1"/>
  <c r="Q5222" i="3"/>
  <c r="R5222" i="3" s="1"/>
  <c r="Q5223" i="3"/>
  <c r="R5223" i="3" s="1"/>
  <c r="Q5224" i="3"/>
  <c r="R5224" i="3" s="1"/>
  <c r="Q5225" i="3"/>
  <c r="R5225" i="3" s="1"/>
  <c r="Q5226" i="3"/>
  <c r="R5226" i="3" s="1"/>
  <c r="Q5227" i="3"/>
  <c r="R5227" i="3" s="1"/>
  <c r="Q5228" i="3"/>
  <c r="R5228" i="3" s="1"/>
  <c r="Q5229" i="3"/>
  <c r="R5229" i="3" s="1"/>
  <c r="Q5230" i="3"/>
  <c r="R5230" i="3" s="1"/>
  <c r="Q5231" i="3"/>
  <c r="R5231" i="3" s="1"/>
  <c r="Q5232" i="3"/>
  <c r="R5232" i="3" s="1"/>
  <c r="Q5233" i="3"/>
  <c r="R5233" i="3" s="1"/>
  <c r="Q5234" i="3"/>
  <c r="R5234" i="3" s="1"/>
  <c r="Q5235" i="3"/>
  <c r="R5235" i="3" s="1"/>
  <c r="Q5236" i="3"/>
  <c r="R5236" i="3" s="1"/>
  <c r="Q5237" i="3"/>
  <c r="R5237" i="3" s="1"/>
  <c r="Q5238" i="3"/>
  <c r="R5238" i="3" s="1"/>
  <c r="Q5239" i="3"/>
  <c r="R5239" i="3" s="1"/>
  <c r="Q5240" i="3"/>
  <c r="R5240" i="3" s="1"/>
  <c r="Q5241" i="3"/>
  <c r="R5241" i="3" s="1"/>
  <c r="Q5242" i="3"/>
  <c r="R5242" i="3" s="1"/>
  <c r="Q5243" i="3"/>
  <c r="R5243" i="3" s="1"/>
  <c r="Q5244" i="3"/>
  <c r="R5244" i="3" s="1"/>
  <c r="Q5245" i="3"/>
  <c r="R5245" i="3" s="1"/>
  <c r="Q5246" i="3"/>
  <c r="R5246" i="3" s="1"/>
  <c r="Q5247" i="3"/>
  <c r="R5247" i="3" s="1"/>
  <c r="Q5248" i="3"/>
  <c r="R5248" i="3" s="1"/>
  <c r="Q5249" i="3"/>
  <c r="R5249" i="3" s="1"/>
  <c r="Q5250" i="3"/>
  <c r="R5250" i="3" s="1"/>
  <c r="Q5251" i="3"/>
  <c r="R5251" i="3" s="1"/>
  <c r="Q5252" i="3"/>
  <c r="R5252" i="3" s="1"/>
  <c r="Q5253" i="3"/>
  <c r="R5253" i="3" s="1"/>
  <c r="Q5254" i="3"/>
  <c r="R5254" i="3" s="1"/>
  <c r="Q5255" i="3"/>
  <c r="R5255" i="3" s="1"/>
  <c r="Q5256" i="3"/>
  <c r="R5256" i="3" s="1"/>
  <c r="Q5257" i="3"/>
  <c r="R5257" i="3" s="1"/>
  <c r="Q5258" i="3"/>
  <c r="R5258" i="3" s="1"/>
  <c r="Q5259" i="3"/>
  <c r="R5259" i="3" s="1"/>
  <c r="Q5260" i="3"/>
  <c r="R5260" i="3" s="1"/>
  <c r="Q5261" i="3"/>
  <c r="R5261" i="3" s="1"/>
  <c r="Q5262" i="3"/>
  <c r="R5262" i="3" s="1"/>
  <c r="Q5263" i="3"/>
  <c r="R5263" i="3" s="1"/>
  <c r="Q5264" i="3"/>
  <c r="R5264" i="3" s="1"/>
  <c r="Q5265" i="3"/>
  <c r="R5265" i="3" s="1"/>
  <c r="Q5266" i="3"/>
  <c r="R5266" i="3" s="1"/>
  <c r="Q5267" i="3"/>
  <c r="R5267" i="3" s="1"/>
  <c r="Q5268" i="3"/>
  <c r="R5268" i="3" s="1"/>
  <c r="Q5269" i="3"/>
  <c r="R5269" i="3" s="1"/>
  <c r="Q5270" i="3"/>
  <c r="R5270" i="3" s="1"/>
  <c r="Q5271" i="3"/>
  <c r="R5271" i="3" s="1"/>
  <c r="Q5272" i="3"/>
  <c r="R5272" i="3" s="1"/>
  <c r="Q5273" i="3"/>
  <c r="R5273" i="3" s="1"/>
  <c r="Q5274" i="3"/>
  <c r="R5274" i="3" s="1"/>
  <c r="Q5275" i="3"/>
  <c r="R5275" i="3" s="1"/>
  <c r="Q5276" i="3"/>
  <c r="R5276" i="3" s="1"/>
  <c r="Q5277" i="3"/>
  <c r="R5277" i="3" s="1"/>
  <c r="Q5278" i="3"/>
  <c r="R5278" i="3" s="1"/>
  <c r="Q5279" i="3"/>
  <c r="R5279" i="3" s="1"/>
  <c r="Q5280" i="3"/>
  <c r="R5280" i="3" s="1"/>
  <c r="Q5281" i="3"/>
  <c r="R5281" i="3" s="1"/>
  <c r="Q5282" i="3"/>
  <c r="R5282" i="3" s="1"/>
  <c r="Q5283" i="3"/>
  <c r="R5283" i="3" s="1"/>
  <c r="Q5284" i="3"/>
  <c r="R5284" i="3" s="1"/>
  <c r="Q5285" i="3"/>
  <c r="R5285" i="3" s="1"/>
  <c r="Q5286" i="3"/>
  <c r="R5286" i="3" s="1"/>
  <c r="Q5287" i="3"/>
  <c r="R5287" i="3" s="1"/>
  <c r="Q5288" i="3"/>
  <c r="R5288" i="3" s="1"/>
  <c r="Q5289" i="3"/>
  <c r="R5289" i="3" s="1"/>
  <c r="Q5290" i="3"/>
  <c r="R5290" i="3" s="1"/>
  <c r="Q5291" i="3"/>
  <c r="R5291" i="3" s="1"/>
  <c r="Q5292" i="3"/>
  <c r="R5292" i="3" s="1"/>
  <c r="Q5293" i="3"/>
  <c r="R5293" i="3" s="1"/>
  <c r="Q5294" i="3"/>
  <c r="R5294" i="3" s="1"/>
  <c r="Q5295" i="3"/>
  <c r="R5295" i="3" s="1"/>
  <c r="Q5296" i="3"/>
  <c r="R5296" i="3" s="1"/>
  <c r="Q5297" i="3"/>
  <c r="R5297" i="3" s="1"/>
  <c r="Q5298" i="3"/>
  <c r="R5298" i="3" s="1"/>
  <c r="Q5299" i="3"/>
  <c r="R5299" i="3" s="1"/>
  <c r="Q5300" i="3"/>
  <c r="R5300" i="3" s="1"/>
  <c r="Q5301" i="3"/>
  <c r="R5301" i="3" s="1"/>
  <c r="Q5302" i="3"/>
  <c r="R5302" i="3" s="1"/>
  <c r="Q5303" i="3"/>
  <c r="R5303" i="3" s="1"/>
  <c r="Q5304" i="3"/>
  <c r="R5304" i="3" s="1"/>
  <c r="Q5305" i="3"/>
  <c r="R5305" i="3" s="1"/>
  <c r="Q5306" i="3"/>
  <c r="R5306" i="3" s="1"/>
  <c r="Q5307" i="3"/>
  <c r="R5307" i="3" s="1"/>
  <c r="Q5308" i="3"/>
  <c r="R5308" i="3" s="1"/>
  <c r="Q5309" i="3"/>
  <c r="R5309" i="3" s="1"/>
  <c r="Q5310" i="3"/>
  <c r="R5310" i="3" s="1"/>
  <c r="Q5311" i="3"/>
  <c r="R5311" i="3" s="1"/>
  <c r="Q5312" i="3"/>
  <c r="R5312" i="3" s="1"/>
  <c r="Q5313" i="3"/>
  <c r="R5313" i="3" s="1"/>
  <c r="Q5314" i="3"/>
  <c r="R5314" i="3" s="1"/>
  <c r="Q5315" i="3"/>
  <c r="R5315" i="3" s="1"/>
  <c r="Q5316" i="3"/>
  <c r="R5316" i="3" s="1"/>
  <c r="Q5317" i="3"/>
  <c r="R5317" i="3" s="1"/>
  <c r="Q5318" i="3"/>
  <c r="R5318" i="3" s="1"/>
  <c r="Q5319" i="3"/>
  <c r="R5319" i="3" s="1"/>
  <c r="Q5320" i="3"/>
  <c r="R5320" i="3" s="1"/>
  <c r="Q5321" i="3"/>
  <c r="R5321" i="3" s="1"/>
  <c r="Q5322" i="3"/>
  <c r="R5322" i="3" s="1"/>
  <c r="Q5323" i="3"/>
  <c r="R5323" i="3" s="1"/>
  <c r="Q5324" i="3"/>
  <c r="R5324" i="3" s="1"/>
  <c r="Q5325" i="3"/>
  <c r="R5325" i="3" s="1"/>
  <c r="Q5326" i="3"/>
  <c r="R5326" i="3" s="1"/>
  <c r="Q5327" i="3"/>
  <c r="R5327" i="3" s="1"/>
  <c r="Q5328" i="3"/>
  <c r="R5328" i="3" s="1"/>
  <c r="Q5329" i="3"/>
  <c r="R5329" i="3" s="1"/>
  <c r="Q5330" i="3"/>
  <c r="R5330" i="3" s="1"/>
  <c r="Q5331" i="3"/>
  <c r="R5331" i="3" s="1"/>
  <c r="Q5332" i="3"/>
  <c r="R5332" i="3" s="1"/>
  <c r="Q5333" i="3"/>
  <c r="R5333" i="3" s="1"/>
  <c r="Q5334" i="3"/>
  <c r="R5334" i="3" s="1"/>
  <c r="Q5335" i="3"/>
  <c r="R5335" i="3" s="1"/>
  <c r="Q5336" i="3"/>
  <c r="R5336" i="3" s="1"/>
  <c r="Q5337" i="3"/>
  <c r="R5337" i="3" s="1"/>
  <c r="Q5338" i="3"/>
  <c r="R5338" i="3" s="1"/>
  <c r="Q5339" i="3"/>
  <c r="R5339" i="3" s="1"/>
  <c r="Q5340" i="3"/>
  <c r="R5340" i="3" s="1"/>
  <c r="Q5341" i="3"/>
  <c r="R5341" i="3" s="1"/>
  <c r="Q5342" i="3"/>
  <c r="R5342" i="3" s="1"/>
  <c r="Q5343" i="3"/>
  <c r="R5343" i="3" s="1"/>
  <c r="Q5344" i="3"/>
  <c r="R5344" i="3" s="1"/>
  <c r="Q5345" i="3"/>
  <c r="R5345" i="3" s="1"/>
  <c r="Q5346" i="3"/>
  <c r="R5346" i="3" s="1"/>
  <c r="Q5347" i="3"/>
  <c r="R5347" i="3" s="1"/>
  <c r="Q5348" i="3"/>
  <c r="R5348" i="3" s="1"/>
  <c r="Q5349" i="3"/>
  <c r="R5349" i="3" s="1"/>
  <c r="Q5350" i="3"/>
  <c r="R5350" i="3" s="1"/>
  <c r="Q5351" i="3"/>
  <c r="R5351" i="3" s="1"/>
  <c r="Q5352" i="3"/>
  <c r="R5352" i="3" s="1"/>
  <c r="Q5353" i="3"/>
  <c r="R5353" i="3" s="1"/>
  <c r="Q5354" i="3"/>
  <c r="R5354" i="3" s="1"/>
  <c r="Q5355" i="3"/>
  <c r="R5355" i="3" s="1"/>
  <c r="Q5356" i="3"/>
  <c r="R5356" i="3" s="1"/>
  <c r="Q5357" i="3"/>
  <c r="R5357" i="3" s="1"/>
  <c r="Q5358" i="3"/>
  <c r="R5358" i="3" s="1"/>
  <c r="Q5359" i="3"/>
  <c r="R5359" i="3" s="1"/>
  <c r="Q5360" i="3"/>
  <c r="R5360" i="3" s="1"/>
  <c r="Q5361" i="3"/>
  <c r="R5361" i="3" s="1"/>
  <c r="Q5362" i="3"/>
  <c r="R5362" i="3" s="1"/>
  <c r="Q5363" i="3"/>
  <c r="R5363" i="3" s="1"/>
  <c r="Q5364" i="3"/>
  <c r="R5364" i="3" s="1"/>
  <c r="Q5365" i="3"/>
  <c r="R5365" i="3" s="1"/>
  <c r="Q5366" i="3"/>
  <c r="R5366" i="3" s="1"/>
  <c r="Q5367" i="3"/>
  <c r="R5367" i="3" s="1"/>
  <c r="Q5368" i="3"/>
  <c r="R5368" i="3" s="1"/>
  <c r="Q5369" i="3"/>
  <c r="R5369" i="3" s="1"/>
  <c r="Q5370" i="3"/>
  <c r="R5370" i="3" s="1"/>
  <c r="Q5371" i="3"/>
  <c r="R5371" i="3" s="1"/>
  <c r="Q5372" i="3"/>
  <c r="R5372" i="3" s="1"/>
  <c r="Q5373" i="3"/>
  <c r="R5373" i="3" s="1"/>
  <c r="Q5374" i="3"/>
  <c r="R5374" i="3" s="1"/>
  <c r="Q5375" i="3"/>
  <c r="R5375" i="3" s="1"/>
  <c r="Q5376" i="3"/>
  <c r="R5376" i="3" s="1"/>
  <c r="Q5377" i="3"/>
  <c r="R5377" i="3" s="1"/>
  <c r="Q5378" i="3"/>
  <c r="R5378" i="3" s="1"/>
  <c r="Q5379" i="3"/>
  <c r="R5379" i="3" s="1"/>
  <c r="Q5380" i="3"/>
  <c r="R5380" i="3" s="1"/>
  <c r="Q5381" i="3"/>
  <c r="R5381" i="3" s="1"/>
  <c r="Q5382" i="3"/>
  <c r="R5382" i="3" s="1"/>
  <c r="Q5383" i="3"/>
  <c r="R5383" i="3" s="1"/>
  <c r="Q5384" i="3"/>
  <c r="R5384" i="3" s="1"/>
  <c r="Q5385" i="3"/>
  <c r="R5385" i="3" s="1"/>
  <c r="Q5386" i="3"/>
  <c r="R5386" i="3" s="1"/>
  <c r="Q5387" i="3"/>
  <c r="R5387" i="3" s="1"/>
  <c r="Q5388" i="3"/>
  <c r="R5388" i="3" s="1"/>
  <c r="Q5389" i="3"/>
  <c r="R5389" i="3" s="1"/>
  <c r="Q5390" i="3"/>
  <c r="R5390" i="3" s="1"/>
  <c r="Q5391" i="3"/>
  <c r="R5391" i="3" s="1"/>
  <c r="Q5392" i="3"/>
  <c r="R5392" i="3" s="1"/>
  <c r="Q5393" i="3"/>
  <c r="R5393" i="3" s="1"/>
  <c r="Q5394" i="3"/>
  <c r="R5394" i="3" s="1"/>
  <c r="Q5395" i="3"/>
  <c r="R5395" i="3" s="1"/>
  <c r="Q5396" i="3"/>
  <c r="R5396" i="3" s="1"/>
  <c r="Q5397" i="3"/>
  <c r="R5397" i="3" s="1"/>
  <c r="Q5398" i="3"/>
  <c r="R5398" i="3" s="1"/>
  <c r="Q5399" i="3"/>
  <c r="R5399" i="3" s="1"/>
  <c r="Q5400" i="3"/>
  <c r="R5400" i="3" s="1"/>
  <c r="Q5401" i="3"/>
  <c r="R5401" i="3" s="1"/>
  <c r="Q5402" i="3"/>
  <c r="R5402" i="3" s="1"/>
  <c r="Q5403" i="3"/>
  <c r="R5403" i="3" s="1"/>
  <c r="Q5404" i="3"/>
  <c r="R5404" i="3" s="1"/>
  <c r="Q5405" i="3"/>
  <c r="R5405" i="3" s="1"/>
  <c r="Q5406" i="3"/>
  <c r="R5406" i="3" s="1"/>
  <c r="Q5407" i="3"/>
  <c r="R5407" i="3" s="1"/>
  <c r="Q5408" i="3"/>
  <c r="R5408" i="3" s="1"/>
  <c r="Q5409" i="3"/>
  <c r="R5409" i="3" s="1"/>
  <c r="Q5410" i="3"/>
  <c r="R5410" i="3" s="1"/>
  <c r="Q5411" i="3"/>
  <c r="R5411" i="3" s="1"/>
  <c r="Q5412" i="3"/>
  <c r="R5412" i="3" s="1"/>
  <c r="Q5413" i="3"/>
  <c r="R5413" i="3" s="1"/>
  <c r="Q5414" i="3"/>
  <c r="R5414" i="3" s="1"/>
  <c r="Q5415" i="3"/>
  <c r="R5415" i="3" s="1"/>
  <c r="Q5416" i="3"/>
  <c r="R5416" i="3" s="1"/>
  <c r="Q5417" i="3"/>
  <c r="R5417" i="3" s="1"/>
  <c r="Q5418" i="3"/>
  <c r="R5418" i="3" s="1"/>
  <c r="Q5419" i="3"/>
  <c r="R5419" i="3" s="1"/>
  <c r="Q5420" i="3"/>
  <c r="R5420" i="3" s="1"/>
  <c r="Q5421" i="3"/>
  <c r="R5421" i="3" s="1"/>
  <c r="Q5422" i="3"/>
  <c r="R5422" i="3" s="1"/>
  <c r="Q5423" i="3"/>
  <c r="R5423" i="3" s="1"/>
  <c r="Q5424" i="3"/>
  <c r="R5424" i="3" s="1"/>
  <c r="Q5425" i="3"/>
  <c r="R5425" i="3" s="1"/>
  <c r="Q5426" i="3"/>
  <c r="R5426" i="3" s="1"/>
  <c r="Q5427" i="3"/>
  <c r="R5427" i="3" s="1"/>
  <c r="Q5428" i="3"/>
  <c r="R5428" i="3" s="1"/>
  <c r="Q5429" i="3"/>
  <c r="R5429" i="3" s="1"/>
  <c r="Q5430" i="3"/>
  <c r="R5430" i="3" s="1"/>
  <c r="Q5431" i="3"/>
  <c r="R5431" i="3" s="1"/>
  <c r="Q5432" i="3"/>
  <c r="R5432" i="3" s="1"/>
  <c r="Q5433" i="3"/>
  <c r="R5433" i="3" s="1"/>
  <c r="Q5434" i="3"/>
  <c r="R5434" i="3" s="1"/>
  <c r="Q5435" i="3"/>
  <c r="R5435" i="3" s="1"/>
  <c r="Q5436" i="3"/>
  <c r="R5436" i="3" s="1"/>
  <c r="Q5437" i="3"/>
  <c r="R5437" i="3" s="1"/>
  <c r="Q5438" i="3"/>
  <c r="R5438" i="3" s="1"/>
  <c r="Q5439" i="3"/>
  <c r="R5439" i="3" s="1"/>
  <c r="Q5440" i="3"/>
  <c r="R5440" i="3" s="1"/>
  <c r="Q5441" i="3"/>
  <c r="R5441" i="3" s="1"/>
  <c r="Q5442" i="3"/>
  <c r="R5442" i="3" s="1"/>
  <c r="Q5443" i="3"/>
  <c r="R5443" i="3" s="1"/>
  <c r="Q5444" i="3"/>
  <c r="R5444" i="3" s="1"/>
  <c r="Q5445" i="3"/>
  <c r="R5445" i="3" s="1"/>
  <c r="Q5446" i="3"/>
  <c r="R5446" i="3" s="1"/>
  <c r="Q5447" i="3"/>
  <c r="R5447" i="3" s="1"/>
  <c r="Q5448" i="3"/>
  <c r="R5448" i="3" s="1"/>
  <c r="Q5449" i="3"/>
  <c r="R5449" i="3" s="1"/>
  <c r="Q5450" i="3"/>
  <c r="R5450" i="3" s="1"/>
  <c r="Q5451" i="3"/>
  <c r="R5451" i="3" s="1"/>
  <c r="Q5452" i="3"/>
  <c r="R5452" i="3" s="1"/>
  <c r="Q5453" i="3"/>
  <c r="R5453" i="3" s="1"/>
  <c r="Q5454" i="3"/>
  <c r="R5454" i="3" s="1"/>
  <c r="Q5455" i="3"/>
  <c r="R5455" i="3" s="1"/>
  <c r="Q5456" i="3"/>
  <c r="R5456" i="3" s="1"/>
  <c r="Q5457" i="3"/>
  <c r="R5457" i="3" s="1"/>
  <c r="Q5458" i="3"/>
  <c r="R5458" i="3" s="1"/>
  <c r="Q5459" i="3"/>
  <c r="R5459" i="3" s="1"/>
  <c r="Q5460" i="3"/>
  <c r="R5460" i="3" s="1"/>
  <c r="Q5461" i="3"/>
  <c r="R5461" i="3" s="1"/>
  <c r="Q5462" i="3"/>
  <c r="R5462" i="3" s="1"/>
  <c r="Q5463" i="3"/>
  <c r="R5463" i="3" s="1"/>
  <c r="Q5464" i="3"/>
  <c r="R5464" i="3" s="1"/>
  <c r="Q5465" i="3"/>
  <c r="R5465" i="3" s="1"/>
  <c r="Q5466" i="3"/>
  <c r="R5466" i="3" s="1"/>
  <c r="Q5467" i="3"/>
  <c r="R5467" i="3" s="1"/>
  <c r="Q5468" i="3"/>
  <c r="R5468" i="3" s="1"/>
  <c r="Q5469" i="3"/>
  <c r="R5469" i="3" s="1"/>
  <c r="Q5470" i="3"/>
  <c r="R5470" i="3" s="1"/>
  <c r="Q5471" i="3"/>
  <c r="R5471" i="3" s="1"/>
  <c r="Q5472" i="3"/>
  <c r="R5472" i="3" s="1"/>
  <c r="Q5473" i="3"/>
  <c r="R5473" i="3" s="1"/>
  <c r="Q5474" i="3"/>
  <c r="R5474" i="3" s="1"/>
  <c r="Q5475" i="3"/>
  <c r="R5475" i="3" s="1"/>
  <c r="Q5476" i="3"/>
  <c r="R5476" i="3" s="1"/>
  <c r="Q5477" i="3"/>
  <c r="R5477" i="3" s="1"/>
  <c r="Q5478" i="3"/>
  <c r="R5478" i="3" s="1"/>
  <c r="Q5479" i="3"/>
  <c r="R5479" i="3" s="1"/>
  <c r="Q5480" i="3"/>
  <c r="R5480" i="3" s="1"/>
  <c r="Q5481" i="3"/>
  <c r="R5481" i="3" s="1"/>
  <c r="Q5482" i="3"/>
  <c r="R5482" i="3" s="1"/>
  <c r="Q5483" i="3"/>
  <c r="R5483" i="3" s="1"/>
  <c r="Q5484" i="3"/>
  <c r="R5484" i="3" s="1"/>
  <c r="Q5485" i="3"/>
  <c r="R5485" i="3" s="1"/>
  <c r="Q5486" i="3"/>
  <c r="R5486" i="3" s="1"/>
  <c r="Q5487" i="3"/>
  <c r="R5487" i="3" s="1"/>
  <c r="Q5488" i="3"/>
  <c r="R5488" i="3" s="1"/>
  <c r="Q5489" i="3"/>
  <c r="R5489" i="3" s="1"/>
  <c r="Q5490" i="3"/>
  <c r="R5490" i="3" s="1"/>
  <c r="Q5491" i="3"/>
  <c r="R5491" i="3" s="1"/>
  <c r="Q5492" i="3"/>
  <c r="R5492" i="3" s="1"/>
  <c r="Q5493" i="3"/>
  <c r="R5493" i="3" s="1"/>
  <c r="Q5494" i="3"/>
  <c r="R5494" i="3" s="1"/>
  <c r="Q5495" i="3"/>
  <c r="R5495" i="3" s="1"/>
  <c r="Q5496" i="3"/>
  <c r="R5496" i="3" s="1"/>
  <c r="Q5497" i="3"/>
  <c r="R5497" i="3" s="1"/>
  <c r="Q5498" i="3"/>
  <c r="R5498" i="3" s="1"/>
  <c r="Q5499" i="3"/>
  <c r="R5499" i="3" s="1"/>
  <c r="Q5500" i="3"/>
  <c r="R5500" i="3" s="1"/>
  <c r="Q5501" i="3"/>
  <c r="R5501" i="3" s="1"/>
  <c r="Q5502" i="3"/>
  <c r="R5502" i="3" s="1"/>
  <c r="Q5503" i="3"/>
  <c r="R5503" i="3" s="1"/>
  <c r="Q5504" i="3"/>
  <c r="R5504" i="3" s="1"/>
  <c r="Q5505" i="3"/>
  <c r="R5505" i="3" s="1"/>
  <c r="Q5506" i="3"/>
  <c r="R5506" i="3" s="1"/>
  <c r="Q5507" i="3"/>
  <c r="R5507" i="3" s="1"/>
  <c r="Q5508" i="3"/>
  <c r="R5508" i="3" s="1"/>
  <c r="Q5509" i="3"/>
  <c r="R5509" i="3" s="1"/>
  <c r="Q5510" i="3"/>
  <c r="R5510" i="3" s="1"/>
  <c r="Q5511" i="3"/>
  <c r="R5511" i="3" s="1"/>
  <c r="Q5512" i="3"/>
  <c r="R5512" i="3" s="1"/>
  <c r="Q5513" i="3"/>
  <c r="R5513" i="3" s="1"/>
  <c r="Q5514" i="3"/>
  <c r="R5514" i="3" s="1"/>
  <c r="Q5515" i="3"/>
  <c r="R5515" i="3" s="1"/>
  <c r="Q5516" i="3"/>
  <c r="R5516" i="3" s="1"/>
  <c r="Q5517" i="3"/>
  <c r="R5517" i="3" s="1"/>
  <c r="Q5518" i="3"/>
  <c r="R5518" i="3" s="1"/>
  <c r="Q5519" i="3"/>
  <c r="R5519" i="3" s="1"/>
  <c r="Q5520" i="3"/>
  <c r="R5520" i="3" s="1"/>
  <c r="Q5521" i="3"/>
  <c r="R5521" i="3" s="1"/>
  <c r="Q5522" i="3"/>
  <c r="R5522" i="3" s="1"/>
  <c r="Q5523" i="3"/>
  <c r="R5523" i="3" s="1"/>
  <c r="Q5524" i="3"/>
  <c r="R5524" i="3" s="1"/>
  <c r="Q5525" i="3"/>
  <c r="R5525" i="3" s="1"/>
  <c r="Q5526" i="3"/>
  <c r="R5526" i="3" s="1"/>
  <c r="Q5527" i="3"/>
  <c r="R5527" i="3" s="1"/>
  <c r="Q5528" i="3"/>
  <c r="R5528" i="3" s="1"/>
  <c r="Q5529" i="3"/>
  <c r="R5529" i="3" s="1"/>
  <c r="Q5530" i="3"/>
  <c r="R5530" i="3" s="1"/>
  <c r="Q5531" i="3"/>
  <c r="R5531" i="3" s="1"/>
  <c r="Q5532" i="3"/>
  <c r="R5532" i="3" s="1"/>
  <c r="Q5533" i="3"/>
  <c r="R5533" i="3" s="1"/>
  <c r="Q5534" i="3"/>
  <c r="R5534" i="3" s="1"/>
  <c r="Q5535" i="3"/>
  <c r="R5535" i="3" s="1"/>
  <c r="Q5536" i="3"/>
  <c r="R5536" i="3" s="1"/>
  <c r="Q5537" i="3"/>
  <c r="R5537" i="3" s="1"/>
  <c r="Q5538" i="3"/>
  <c r="R5538" i="3" s="1"/>
  <c r="Q5539" i="3"/>
  <c r="R5539" i="3" s="1"/>
  <c r="Q5540" i="3"/>
  <c r="R5540" i="3" s="1"/>
  <c r="Q5541" i="3"/>
  <c r="R5541" i="3" s="1"/>
  <c r="Q5542" i="3"/>
  <c r="R5542" i="3" s="1"/>
  <c r="Q5543" i="3"/>
  <c r="R5543" i="3" s="1"/>
  <c r="Q5544" i="3"/>
  <c r="R5544" i="3" s="1"/>
  <c r="Q5545" i="3"/>
  <c r="R5545" i="3" s="1"/>
  <c r="Q5546" i="3"/>
  <c r="R5546" i="3" s="1"/>
  <c r="Q5547" i="3"/>
  <c r="R5547" i="3" s="1"/>
  <c r="Q5548" i="3"/>
  <c r="R5548" i="3" s="1"/>
  <c r="Q5549" i="3"/>
  <c r="R5549" i="3" s="1"/>
  <c r="Q5550" i="3"/>
  <c r="R5550" i="3" s="1"/>
  <c r="Q5551" i="3"/>
  <c r="R5551" i="3" s="1"/>
  <c r="Q5552" i="3"/>
  <c r="R5552" i="3" s="1"/>
  <c r="Q5553" i="3"/>
  <c r="R5553" i="3" s="1"/>
  <c r="Q5554" i="3"/>
  <c r="R5554" i="3" s="1"/>
  <c r="Q5555" i="3"/>
  <c r="R5555" i="3" s="1"/>
  <c r="Q5556" i="3"/>
  <c r="R5556" i="3" s="1"/>
  <c r="Q5557" i="3"/>
  <c r="R5557" i="3" s="1"/>
  <c r="Q5558" i="3"/>
  <c r="R5558" i="3" s="1"/>
  <c r="Q5559" i="3"/>
  <c r="R5559" i="3" s="1"/>
  <c r="Q5560" i="3"/>
  <c r="R5560" i="3" s="1"/>
  <c r="Q5561" i="3"/>
  <c r="R5561" i="3" s="1"/>
  <c r="Q5562" i="3"/>
  <c r="R5562" i="3" s="1"/>
  <c r="Q5563" i="3"/>
  <c r="R5563" i="3" s="1"/>
  <c r="Q5564" i="3"/>
  <c r="R5564" i="3" s="1"/>
  <c r="Q5565" i="3"/>
  <c r="R5565" i="3" s="1"/>
  <c r="Q5566" i="3"/>
  <c r="R5566" i="3" s="1"/>
  <c r="Q5567" i="3"/>
  <c r="R5567" i="3" s="1"/>
  <c r="Q5568" i="3"/>
  <c r="R5568" i="3" s="1"/>
  <c r="Q5569" i="3"/>
  <c r="R5569" i="3" s="1"/>
  <c r="Q5570" i="3"/>
  <c r="R5570" i="3" s="1"/>
  <c r="Q5571" i="3"/>
  <c r="R5571" i="3" s="1"/>
  <c r="Q5572" i="3"/>
  <c r="R5572" i="3" s="1"/>
  <c r="Q5573" i="3"/>
  <c r="R5573" i="3" s="1"/>
  <c r="Q5574" i="3"/>
  <c r="R5574" i="3" s="1"/>
  <c r="Q5575" i="3"/>
  <c r="R5575" i="3" s="1"/>
  <c r="Q5576" i="3"/>
  <c r="R5576" i="3" s="1"/>
  <c r="Q5577" i="3"/>
  <c r="R5577" i="3" s="1"/>
  <c r="Q5578" i="3"/>
  <c r="R5578" i="3" s="1"/>
  <c r="Q5579" i="3"/>
  <c r="R5579" i="3" s="1"/>
  <c r="Q5580" i="3"/>
  <c r="R5580" i="3" s="1"/>
  <c r="Q5581" i="3"/>
  <c r="R5581" i="3" s="1"/>
  <c r="Q5582" i="3"/>
  <c r="R5582" i="3" s="1"/>
  <c r="Q5583" i="3"/>
  <c r="R5583" i="3" s="1"/>
  <c r="Q5584" i="3"/>
  <c r="R5584" i="3" s="1"/>
  <c r="Q5585" i="3"/>
  <c r="R5585" i="3" s="1"/>
  <c r="Q5586" i="3"/>
  <c r="R5586" i="3" s="1"/>
  <c r="Q5587" i="3"/>
  <c r="R5587" i="3" s="1"/>
  <c r="Q5588" i="3"/>
  <c r="R5588" i="3" s="1"/>
  <c r="Q5589" i="3"/>
  <c r="R5589" i="3" s="1"/>
  <c r="Q5590" i="3"/>
  <c r="R5590" i="3" s="1"/>
  <c r="Q5591" i="3"/>
  <c r="R5591" i="3" s="1"/>
  <c r="Q5592" i="3"/>
  <c r="R5592" i="3" s="1"/>
  <c r="Q5593" i="3"/>
  <c r="R5593" i="3" s="1"/>
  <c r="Q5594" i="3"/>
  <c r="R5594" i="3" s="1"/>
  <c r="Q5595" i="3"/>
  <c r="R5595" i="3" s="1"/>
  <c r="Q5596" i="3"/>
  <c r="R5596" i="3" s="1"/>
  <c r="Q5597" i="3"/>
  <c r="R5597" i="3" s="1"/>
  <c r="Q5598" i="3"/>
  <c r="R5598" i="3" s="1"/>
  <c r="Q5599" i="3"/>
  <c r="R5599" i="3" s="1"/>
  <c r="Q5600" i="3"/>
  <c r="R5600" i="3" s="1"/>
  <c r="Q5601" i="3"/>
  <c r="R5601" i="3" s="1"/>
  <c r="Q5602" i="3"/>
  <c r="R5602" i="3" s="1"/>
  <c r="Q5603" i="3"/>
  <c r="R5603" i="3" s="1"/>
  <c r="Q5604" i="3"/>
  <c r="R5604" i="3" s="1"/>
  <c r="Q5605" i="3"/>
  <c r="R5605" i="3" s="1"/>
  <c r="Q5606" i="3"/>
  <c r="R5606" i="3" s="1"/>
  <c r="Q5607" i="3"/>
  <c r="R5607" i="3" s="1"/>
  <c r="Q5608" i="3"/>
  <c r="R5608" i="3" s="1"/>
  <c r="Q5609" i="3"/>
  <c r="R5609" i="3" s="1"/>
  <c r="Q5610" i="3"/>
  <c r="R5610" i="3" s="1"/>
  <c r="Q5611" i="3"/>
  <c r="R5611" i="3" s="1"/>
  <c r="Q5612" i="3"/>
  <c r="R5612" i="3" s="1"/>
  <c r="Q5613" i="3"/>
  <c r="R5613" i="3" s="1"/>
  <c r="Q5614" i="3"/>
  <c r="R5614" i="3" s="1"/>
  <c r="Q5615" i="3"/>
  <c r="R5615" i="3" s="1"/>
  <c r="Q5616" i="3"/>
  <c r="R5616" i="3" s="1"/>
  <c r="Q5617" i="3"/>
  <c r="R5617" i="3" s="1"/>
  <c r="Q5618" i="3"/>
  <c r="R5618" i="3" s="1"/>
  <c r="Q5619" i="3"/>
  <c r="R5619" i="3" s="1"/>
  <c r="Q5620" i="3"/>
  <c r="R5620" i="3" s="1"/>
  <c r="Q5621" i="3"/>
  <c r="R5621" i="3" s="1"/>
  <c r="Q5622" i="3"/>
  <c r="R5622" i="3" s="1"/>
  <c r="Q5623" i="3"/>
  <c r="R5623" i="3" s="1"/>
  <c r="Q5624" i="3"/>
  <c r="R5624" i="3" s="1"/>
  <c r="Q5625" i="3"/>
  <c r="R5625" i="3" s="1"/>
  <c r="Q5626" i="3"/>
  <c r="R5626" i="3" s="1"/>
  <c r="Q5627" i="3"/>
  <c r="R5627" i="3" s="1"/>
  <c r="Q5628" i="3"/>
  <c r="R5628" i="3" s="1"/>
  <c r="Q5629" i="3"/>
  <c r="R5629" i="3" s="1"/>
  <c r="Q5630" i="3"/>
  <c r="R5630" i="3" s="1"/>
  <c r="Q5631" i="3"/>
  <c r="R5631" i="3" s="1"/>
  <c r="Q5632" i="3"/>
  <c r="R5632" i="3" s="1"/>
  <c r="Q5633" i="3"/>
  <c r="R5633" i="3" s="1"/>
  <c r="Q5634" i="3"/>
  <c r="R5634" i="3" s="1"/>
  <c r="Q5635" i="3"/>
  <c r="R5635" i="3" s="1"/>
  <c r="Q5636" i="3"/>
  <c r="R5636" i="3" s="1"/>
  <c r="Q5637" i="3"/>
  <c r="R5637" i="3" s="1"/>
  <c r="Q5638" i="3"/>
  <c r="R5638" i="3" s="1"/>
  <c r="Q5639" i="3"/>
  <c r="R5639" i="3" s="1"/>
  <c r="Q5640" i="3"/>
  <c r="R5640" i="3" s="1"/>
  <c r="Q5641" i="3"/>
  <c r="R5641" i="3" s="1"/>
  <c r="Q5642" i="3"/>
  <c r="R5642" i="3" s="1"/>
  <c r="Q5643" i="3"/>
  <c r="R5643" i="3" s="1"/>
  <c r="Q5644" i="3"/>
  <c r="R5644" i="3" s="1"/>
  <c r="Q5645" i="3"/>
  <c r="R5645" i="3" s="1"/>
  <c r="Q5646" i="3"/>
  <c r="R5646" i="3" s="1"/>
  <c r="Q5647" i="3"/>
  <c r="R5647" i="3" s="1"/>
  <c r="Q5648" i="3"/>
  <c r="R5648" i="3" s="1"/>
  <c r="Q5649" i="3"/>
  <c r="R5649" i="3" s="1"/>
  <c r="Q5650" i="3"/>
  <c r="R5650" i="3" s="1"/>
  <c r="Q5651" i="3"/>
  <c r="R5651" i="3" s="1"/>
  <c r="Q5652" i="3"/>
  <c r="R5652" i="3" s="1"/>
  <c r="Q5653" i="3"/>
  <c r="R5653" i="3" s="1"/>
  <c r="Q5654" i="3"/>
  <c r="R5654" i="3" s="1"/>
  <c r="Q5655" i="3"/>
  <c r="R5655" i="3" s="1"/>
  <c r="Q5656" i="3"/>
  <c r="R5656" i="3" s="1"/>
  <c r="Q5657" i="3"/>
  <c r="R5657" i="3" s="1"/>
  <c r="Q5658" i="3"/>
  <c r="R5658" i="3" s="1"/>
  <c r="Q5659" i="3"/>
  <c r="R5659" i="3" s="1"/>
  <c r="Q5660" i="3"/>
  <c r="R5660" i="3" s="1"/>
  <c r="Q5661" i="3"/>
  <c r="R5661" i="3" s="1"/>
  <c r="Q5662" i="3"/>
  <c r="R5662" i="3" s="1"/>
  <c r="Q5663" i="3"/>
  <c r="R5663" i="3" s="1"/>
  <c r="Q5664" i="3"/>
  <c r="R5664" i="3" s="1"/>
  <c r="Q5665" i="3"/>
  <c r="R5665" i="3" s="1"/>
  <c r="Q5666" i="3"/>
  <c r="R5666" i="3" s="1"/>
  <c r="Q5667" i="3"/>
  <c r="R5667" i="3" s="1"/>
  <c r="Q5668" i="3"/>
  <c r="R5668" i="3" s="1"/>
  <c r="Q5669" i="3"/>
  <c r="R5669" i="3" s="1"/>
  <c r="Q5670" i="3"/>
  <c r="R5670" i="3" s="1"/>
  <c r="Q5671" i="3"/>
  <c r="R5671" i="3" s="1"/>
  <c r="Q5672" i="3"/>
  <c r="R5672" i="3" s="1"/>
  <c r="Q5673" i="3"/>
  <c r="R5673" i="3" s="1"/>
  <c r="Q5674" i="3"/>
  <c r="R5674" i="3" s="1"/>
  <c r="Q5675" i="3"/>
  <c r="R5675" i="3" s="1"/>
  <c r="Q5676" i="3"/>
  <c r="R5676" i="3" s="1"/>
  <c r="Q5677" i="3"/>
  <c r="R5677" i="3" s="1"/>
  <c r="Q5678" i="3"/>
  <c r="R5678" i="3" s="1"/>
  <c r="Q5679" i="3"/>
  <c r="R5679" i="3" s="1"/>
  <c r="Q5680" i="3"/>
  <c r="R5680" i="3" s="1"/>
  <c r="Q5681" i="3"/>
  <c r="R5681" i="3" s="1"/>
  <c r="Q5682" i="3"/>
  <c r="R5682" i="3" s="1"/>
  <c r="Q5683" i="3"/>
  <c r="R5683" i="3" s="1"/>
  <c r="Q5684" i="3"/>
  <c r="R5684" i="3" s="1"/>
  <c r="Q5685" i="3"/>
  <c r="R5685" i="3" s="1"/>
  <c r="Q5686" i="3"/>
  <c r="R5686" i="3" s="1"/>
  <c r="Q5687" i="3"/>
  <c r="R5687" i="3" s="1"/>
  <c r="Q5688" i="3"/>
  <c r="R5688" i="3" s="1"/>
  <c r="Q5689" i="3"/>
  <c r="R5689" i="3" s="1"/>
  <c r="Q5690" i="3"/>
  <c r="R5690" i="3" s="1"/>
  <c r="Q5691" i="3"/>
  <c r="R5691" i="3" s="1"/>
  <c r="Q5692" i="3"/>
  <c r="R5692" i="3" s="1"/>
  <c r="Q5693" i="3"/>
  <c r="R5693" i="3" s="1"/>
  <c r="Q5694" i="3"/>
  <c r="R5694" i="3" s="1"/>
  <c r="Q5695" i="3"/>
  <c r="R5695" i="3" s="1"/>
  <c r="Q5696" i="3"/>
  <c r="R5696" i="3" s="1"/>
  <c r="Q5697" i="3"/>
  <c r="R5697" i="3" s="1"/>
  <c r="Q5698" i="3"/>
  <c r="R5698" i="3" s="1"/>
  <c r="Q5699" i="3"/>
  <c r="R5699" i="3" s="1"/>
  <c r="Q5700" i="3"/>
  <c r="R5700" i="3" s="1"/>
  <c r="Q5701" i="3"/>
  <c r="R5701" i="3" s="1"/>
  <c r="Q5702" i="3"/>
  <c r="R5702" i="3" s="1"/>
  <c r="Q5703" i="3"/>
  <c r="R5703" i="3" s="1"/>
  <c r="Q5704" i="3"/>
  <c r="R5704" i="3" s="1"/>
  <c r="Q5705" i="3"/>
  <c r="R5705" i="3" s="1"/>
  <c r="Q5706" i="3"/>
  <c r="R5706" i="3" s="1"/>
  <c r="Q5707" i="3"/>
  <c r="R5707" i="3" s="1"/>
  <c r="Q5708" i="3"/>
  <c r="R5708" i="3" s="1"/>
  <c r="Q5709" i="3"/>
  <c r="R5709" i="3" s="1"/>
  <c r="Q5710" i="3"/>
  <c r="R5710" i="3" s="1"/>
  <c r="Q5711" i="3"/>
  <c r="R5711" i="3" s="1"/>
  <c r="Q5712" i="3"/>
  <c r="R5712" i="3" s="1"/>
  <c r="Q5713" i="3"/>
  <c r="R5713" i="3" s="1"/>
  <c r="Q5714" i="3"/>
  <c r="R5714" i="3" s="1"/>
  <c r="Q5715" i="3"/>
  <c r="R5715" i="3" s="1"/>
  <c r="Q5716" i="3"/>
  <c r="R5716" i="3" s="1"/>
  <c r="Q5717" i="3"/>
  <c r="R5717" i="3" s="1"/>
  <c r="Q5718" i="3"/>
  <c r="R5718" i="3" s="1"/>
  <c r="Q5719" i="3"/>
  <c r="R5719" i="3" s="1"/>
  <c r="Q5720" i="3"/>
  <c r="R5720" i="3" s="1"/>
  <c r="Q5721" i="3"/>
  <c r="R5721" i="3" s="1"/>
  <c r="Q5722" i="3"/>
  <c r="R5722" i="3" s="1"/>
  <c r="Q5723" i="3"/>
  <c r="R5723" i="3" s="1"/>
  <c r="Q5724" i="3"/>
  <c r="R5724" i="3" s="1"/>
  <c r="Q5725" i="3"/>
  <c r="R5725" i="3" s="1"/>
  <c r="Q5726" i="3"/>
  <c r="R5726" i="3" s="1"/>
  <c r="Q5727" i="3"/>
  <c r="R5727" i="3" s="1"/>
  <c r="Q5728" i="3"/>
  <c r="R5728" i="3" s="1"/>
  <c r="Q5729" i="3"/>
  <c r="R5729" i="3" s="1"/>
  <c r="Q5730" i="3"/>
  <c r="R5730" i="3" s="1"/>
  <c r="Q5731" i="3"/>
  <c r="R5731" i="3" s="1"/>
  <c r="Q5732" i="3"/>
  <c r="R5732" i="3" s="1"/>
  <c r="Q5733" i="3"/>
  <c r="R5733" i="3" s="1"/>
  <c r="Q5734" i="3"/>
  <c r="R5734" i="3" s="1"/>
  <c r="Q5735" i="3"/>
  <c r="R5735" i="3" s="1"/>
  <c r="Q5736" i="3"/>
  <c r="R5736" i="3" s="1"/>
  <c r="Q5737" i="3"/>
  <c r="R5737" i="3" s="1"/>
  <c r="Q5738" i="3"/>
  <c r="R5738" i="3" s="1"/>
  <c r="Q5739" i="3"/>
  <c r="R5739" i="3" s="1"/>
  <c r="Q5740" i="3"/>
  <c r="R5740" i="3" s="1"/>
  <c r="Q5741" i="3"/>
  <c r="R5741" i="3" s="1"/>
  <c r="Q5742" i="3"/>
  <c r="R5742" i="3" s="1"/>
  <c r="Q5743" i="3"/>
  <c r="R5743" i="3" s="1"/>
  <c r="Q5744" i="3"/>
  <c r="R5744" i="3" s="1"/>
  <c r="Q5745" i="3"/>
  <c r="R5745" i="3" s="1"/>
  <c r="Q5746" i="3"/>
  <c r="R5746" i="3" s="1"/>
  <c r="Q5747" i="3"/>
  <c r="R5747" i="3" s="1"/>
  <c r="Q5748" i="3"/>
  <c r="R5748" i="3" s="1"/>
  <c r="Q5749" i="3"/>
  <c r="R5749" i="3" s="1"/>
  <c r="Q5750" i="3"/>
  <c r="R5750" i="3" s="1"/>
  <c r="Q5751" i="3"/>
  <c r="R5751" i="3" s="1"/>
  <c r="Q5752" i="3"/>
  <c r="R5752" i="3" s="1"/>
  <c r="Q5753" i="3"/>
  <c r="R5753" i="3" s="1"/>
  <c r="Q5754" i="3"/>
  <c r="R5754" i="3" s="1"/>
  <c r="Q5755" i="3"/>
  <c r="R5755" i="3" s="1"/>
  <c r="Q5756" i="3"/>
  <c r="R5756" i="3" s="1"/>
  <c r="Q5757" i="3"/>
  <c r="R5757" i="3" s="1"/>
  <c r="Q5758" i="3"/>
  <c r="R5758" i="3" s="1"/>
  <c r="Q5759" i="3"/>
  <c r="R5759" i="3" s="1"/>
  <c r="Q5760" i="3"/>
  <c r="R5760" i="3" s="1"/>
  <c r="Q5761" i="3"/>
  <c r="R5761" i="3" s="1"/>
  <c r="Q5762" i="3"/>
  <c r="R5762" i="3" s="1"/>
  <c r="Q5763" i="3"/>
  <c r="R5763" i="3" s="1"/>
  <c r="Q5764" i="3"/>
  <c r="R5764" i="3" s="1"/>
  <c r="Q5765" i="3"/>
  <c r="R5765" i="3" s="1"/>
  <c r="Q5766" i="3"/>
  <c r="R5766" i="3" s="1"/>
  <c r="Q5767" i="3"/>
  <c r="R5767" i="3" s="1"/>
  <c r="Q5768" i="3"/>
  <c r="R5768" i="3" s="1"/>
  <c r="Q5769" i="3"/>
  <c r="R5769" i="3" s="1"/>
  <c r="Q5770" i="3"/>
  <c r="R5770" i="3" s="1"/>
  <c r="Q5771" i="3"/>
  <c r="R5771" i="3" s="1"/>
  <c r="Q5772" i="3"/>
  <c r="R5772" i="3" s="1"/>
  <c r="Q5773" i="3"/>
  <c r="R5773" i="3" s="1"/>
  <c r="Q5774" i="3"/>
  <c r="R5774" i="3" s="1"/>
  <c r="Q5775" i="3"/>
  <c r="R5775" i="3" s="1"/>
  <c r="Q5776" i="3"/>
  <c r="R5776" i="3" s="1"/>
  <c r="Q5777" i="3"/>
  <c r="R5777" i="3" s="1"/>
  <c r="Q5778" i="3"/>
  <c r="R5778" i="3" s="1"/>
  <c r="Q5779" i="3"/>
  <c r="R5779" i="3" s="1"/>
  <c r="Q5780" i="3"/>
  <c r="R5780" i="3" s="1"/>
  <c r="Q5781" i="3"/>
  <c r="R5781" i="3" s="1"/>
  <c r="Q5782" i="3"/>
  <c r="R5782" i="3" s="1"/>
  <c r="Q5783" i="3"/>
  <c r="R5783" i="3" s="1"/>
  <c r="Q5784" i="3"/>
  <c r="R5784" i="3" s="1"/>
  <c r="Q5785" i="3"/>
  <c r="R5785" i="3" s="1"/>
  <c r="Q5786" i="3"/>
  <c r="R5786" i="3" s="1"/>
  <c r="Q5787" i="3"/>
  <c r="R5787" i="3" s="1"/>
  <c r="Q5788" i="3"/>
  <c r="R5788" i="3" s="1"/>
  <c r="Q5789" i="3"/>
  <c r="R5789" i="3" s="1"/>
  <c r="Q5790" i="3"/>
  <c r="R5790" i="3" s="1"/>
  <c r="Q5791" i="3"/>
  <c r="R5791" i="3" s="1"/>
  <c r="Q5792" i="3"/>
  <c r="R5792" i="3" s="1"/>
  <c r="Q5793" i="3"/>
  <c r="R5793" i="3" s="1"/>
  <c r="Q5794" i="3"/>
  <c r="R5794" i="3" s="1"/>
  <c r="Q5795" i="3"/>
  <c r="R5795" i="3" s="1"/>
  <c r="Q5796" i="3"/>
  <c r="R5796" i="3" s="1"/>
  <c r="Q5797" i="3"/>
  <c r="R5797" i="3" s="1"/>
  <c r="Q5798" i="3"/>
  <c r="R5798" i="3" s="1"/>
  <c r="Q5799" i="3"/>
  <c r="R5799" i="3" s="1"/>
  <c r="Q5800" i="3"/>
  <c r="R5800" i="3" s="1"/>
  <c r="Q5801" i="3"/>
  <c r="R5801" i="3" s="1"/>
  <c r="Q5802" i="3"/>
  <c r="R5802" i="3" s="1"/>
  <c r="Q5803" i="3"/>
  <c r="R5803" i="3" s="1"/>
  <c r="Q5804" i="3"/>
  <c r="R5804" i="3" s="1"/>
  <c r="Q5805" i="3"/>
  <c r="R5805" i="3" s="1"/>
  <c r="Q5806" i="3"/>
  <c r="R5806" i="3" s="1"/>
  <c r="Q5807" i="3"/>
  <c r="R5807" i="3" s="1"/>
  <c r="Q5808" i="3"/>
  <c r="R5808" i="3" s="1"/>
  <c r="Q5809" i="3"/>
  <c r="R5809" i="3" s="1"/>
  <c r="Q5810" i="3"/>
  <c r="R5810" i="3" s="1"/>
  <c r="Q5811" i="3"/>
  <c r="R5811" i="3" s="1"/>
  <c r="Q5812" i="3"/>
  <c r="R5812" i="3" s="1"/>
  <c r="Q5813" i="3"/>
  <c r="R5813" i="3" s="1"/>
  <c r="Q5814" i="3"/>
  <c r="R5814" i="3" s="1"/>
  <c r="Q5815" i="3"/>
  <c r="R5815" i="3" s="1"/>
  <c r="Q5816" i="3"/>
  <c r="R5816" i="3" s="1"/>
  <c r="Q5817" i="3"/>
  <c r="R5817" i="3" s="1"/>
  <c r="Q5818" i="3"/>
  <c r="R5818" i="3" s="1"/>
  <c r="Q5819" i="3"/>
  <c r="R5819" i="3" s="1"/>
  <c r="Q5820" i="3"/>
  <c r="R5820" i="3" s="1"/>
  <c r="Q5821" i="3"/>
  <c r="R5821" i="3" s="1"/>
  <c r="Q5822" i="3"/>
  <c r="R5822" i="3" s="1"/>
  <c r="Q5823" i="3"/>
  <c r="R5823" i="3" s="1"/>
  <c r="Q5824" i="3"/>
  <c r="R5824" i="3" s="1"/>
  <c r="Q5825" i="3"/>
  <c r="R5825" i="3" s="1"/>
  <c r="Q5826" i="3"/>
  <c r="R5826" i="3" s="1"/>
  <c r="Q5827" i="3"/>
  <c r="R5827" i="3" s="1"/>
  <c r="Q5828" i="3"/>
  <c r="R5828" i="3" s="1"/>
  <c r="Q5829" i="3"/>
  <c r="R5829" i="3" s="1"/>
  <c r="Q5830" i="3"/>
  <c r="R5830" i="3" s="1"/>
  <c r="Q5831" i="3"/>
  <c r="R5831" i="3" s="1"/>
  <c r="Q5832" i="3"/>
  <c r="R5832" i="3" s="1"/>
  <c r="Q5833" i="3"/>
  <c r="R5833" i="3" s="1"/>
  <c r="Q5834" i="3"/>
  <c r="R5834" i="3" s="1"/>
  <c r="Q5835" i="3"/>
  <c r="R5835" i="3" s="1"/>
  <c r="Q5836" i="3"/>
  <c r="R5836" i="3" s="1"/>
  <c r="Q5837" i="3"/>
  <c r="R5837" i="3" s="1"/>
  <c r="Q5838" i="3"/>
  <c r="R5838" i="3" s="1"/>
  <c r="Q5839" i="3"/>
  <c r="R5839" i="3" s="1"/>
  <c r="Q5840" i="3"/>
  <c r="R5840" i="3" s="1"/>
  <c r="Q5841" i="3"/>
  <c r="R5841" i="3" s="1"/>
  <c r="Q5842" i="3"/>
  <c r="R5842" i="3" s="1"/>
  <c r="Q5843" i="3"/>
  <c r="R5843" i="3" s="1"/>
  <c r="Q5844" i="3"/>
  <c r="R5844" i="3" s="1"/>
  <c r="Q5845" i="3"/>
  <c r="R5845" i="3" s="1"/>
  <c r="Q5846" i="3"/>
  <c r="R5846" i="3" s="1"/>
  <c r="Q5847" i="3"/>
  <c r="R5847" i="3" s="1"/>
  <c r="Q5848" i="3"/>
  <c r="R5848" i="3" s="1"/>
  <c r="Q5849" i="3"/>
  <c r="R5849" i="3" s="1"/>
  <c r="Q5850" i="3"/>
  <c r="R5850" i="3" s="1"/>
  <c r="Q5851" i="3"/>
  <c r="R5851" i="3" s="1"/>
  <c r="Q5852" i="3"/>
  <c r="R5852" i="3" s="1"/>
  <c r="Q5853" i="3"/>
  <c r="R5853" i="3" s="1"/>
  <c r="Q5854" i="3"/>
  <c r="R5854" i="3" s="1"/>
  <c r="Q5855" i="3"/>
  <c r="R5855" i="3" s="1"/>
  <c r="Q5856" i="3"/>
  <c r="R5856" i="3" s="1"/>
  <c r="Q5857" i="3"/>
  <c r="R5857" i="3" s="1"/>
  <c r="Q5858" i="3"/>
  <c r="R5858" i="3" s="1"/>
  <c r="Q5859" i="3"/>
  <c r="R5859" i="3" s="1"/>
  <c r="Q5860" i="3"/>
  <c r="R5860" i="3" s="1"/>
  <c r="Q5861" i="3"/>
  <c r="R5861" i="3" s="1"/>
  <c r="Q5862" i="3"/>
  <c r="R5862" i="3" s="1"/>
  <c r="Q5863" i="3"/>
  <c r="R5863" i="3" s="1"/>
  <c r="Q5864" i="3"/>
  <c r="R5864" i="3" s="1"/>
  <c r="Q5865" i="3"/>
  <c r="R5865" i="3" s="1"/>
  <c r="Q5866" i="3"/>
  <c r="R5866" i="3" s="1"/>
  <c r="Q5867" i="3"/>
  <c r="R5867" i="3" s="1"/>
  <c r="Q5868" i="3"/>
  <c r="R5868" i="3" s="1"/>
  <c r="Q5869" i="3"/>
  <c r="R5869" i="3" s="1"/>
  <c r="Q5870" i="3"/>
  <c r="R5870" i="3" s="1"/>
  <c r="Q5871" i="3"/>
  <c r="R5871" i="3" s="1"/>
  <c r="Q5872" i="3"/>
  <c r="R5872" i="3" s="1"/>
  <c r="Q5873" i="3"/>
  <c r="R5873" i="3" s="1"/>
  <c r="Q5874" i="3"/>
  <c r="R5874" i="3" s="1"/>
  <c r="Q5875" i="3"/>
  <c r="R5875" i="3" s="1"/>
  <c r="Q5876" i="3"/>
  <c r="R5876" i="3" s="1"/>
  <c r="Q5877" i="3"/>
  <c r="R5877" i="3" s="1"/>
  <c r="Q5878" i="3"/>
  <c r="R5878" i="3" s="1"/>
  <c r="Q5879" i="3"/>
  <c r="R5879" i="3" s="1"/>
  <c r="Q5880" i="3"/>
  <c r="R5880" i="3" s="1"/>
  <c r="Q5881" i="3"/>
  <c r="R5881" i="3" s="1"/>
  <c r="Q5882" i="3"/>
  <c r="R5882" i="3" s="1"/>
  <c r="Q5883" i="3"/>
  <c r="R5883" i="3" s="1"/>
  <c r="Q5884" i="3"/>
  <c r="R5884" i="3" s="1"/>
  <c r="Q5885" i="3"/>
  <c r="R5885" i="3" s="1"/>
  <c r="Q5886" i="3"/>
  <c r="R5886" i="3" s="1"/>
  <c r="Q5887" i="3"/>
  <c r="R5887" i="3" s="1"/>
  <c r="Q5888" i="3"/>
  <c r="R5888" i="3" s="1"/>
  <c r="Q5889" i="3"/>
  <c r="R5889" i="3" s="1"/>
  <c r="Q5890" i="3"/>
  <c r="R5890" i="3" s="1"/>
  <c r="Q5891" i="3"/>
  <c r="R5891" i="3" s="1"/>
  <c r="Q5892" i="3"/>
  <c r="R5892" i="3" s="1"/>
  <c r="Q5893" i="3"/>
  <c r="R5893" i="3" s="1"/>
  <c r="Q5894" i="3"/>
  <c r="R5894" i="3" s="1"/>
  <c r="Q5895" i="3"/>
  <c r="R5895" i="3" s="1"/>
  <c r="Q5896" i="3"/>
  <c r="R5896" i="3" s="1"/>
  <c r="Q5897" i="3"/>
  <c r="R5897" i="3" s="1"/>
  <c r="Q5898" i="3"/>
  <c r="R5898" i="3" s="1"/>
  <c r="Q5899" i="3"/>
  <c r="R5899" i="3" s="1"/>
  <c r="Q5900" i="3"/>
  <c r="R5900" i="3" s="1"/>
  <c r="Q5901" i="3"/>
  <c r="R5901" i="3" s="1"/>
  <c r="Q5902" i="3"/>
  <c r="R5902" i="3" s="1"/>
  <c r="Q5903" i="3"/>
  <c r="R5903" i="3" s="1"/>
  <c r="Q5904" i="3"/>
  <c r="R5904" i="3" s="1"/>
  <c r="Q5905" i="3"/>
  <c r="R5905" i="3" s="1"/>
  <c r="Q5906" i="3"/>
  <c r="R5906" i="3" s="1"/>
  <c r="Q5907" i="3"/>
  <c r="R5907" i="3" s="1"/>
  <c r="Q5908" i="3"/>
  <c r="R5908" i="3" s="1"/>
  <c r="Q5909" i="3"/>
  <c r="R5909" i="3" s="1"/>
  <c r="Q5910" i="3"/>
  <c r="R5910" i="3" s="1"/>
  <c r="Q5911" i="3"/>
  <c r="R5911" i="3" s="1"/>
  <c r="Q5912" i="3"/>
  <c r="R5912" i="3" s="1"/>
  <c r="Q5913" i="3"/>
  <c r="R5913" i="3" s="1"/>
  <c r="Q5914" i="3"/>
  <c r="R5914" i="3" s="1"/>
  <c r="Q5915" i="3"/>
  <c r="R5915" i="3" s="1"/>
  <c r="Q5916" i="3"/>
  <c r="R5916" i="3" s="1"/>
  <c r="Q5917" i="3"/>
  <c r="R5917" i="3" s="1"/>
  <c r="Q5918" i="3"/>
  <c r="R5918" i="3" s="1"/>
  <c r="Q5919" i="3"/>
  <c r="R5919" i="3" s="1"/>
  <c r="Q5920" i="3"/>
  <c r="R5920" i="3" s="1"/>
  <c r="Q5921" i="3"/>
  <c r="R5921" i="3" s="1"/>
  <c r="Q5922" i="3"/>
  <c r="R5922" i="3" s="1"/>
  <c r="Q5923" i="3"/>
  <c r="R5923" i="3" s="1"/>
  <c r="Q5924" i="3"/>
  <c r="R5924" i="3" s="1"/>
  <c r="Q5925" i="3"/>
  <c r="R5925" i="3" s="1"/>
  <c r="Q5926" i="3"/>
  <c r="R5926" i="3" s="1"/>
  <c r="Q5927" i="3"/>
  <c r="R5927" i="3" s="1"/>
  <c r="Q5928" i="3"/>
  <c r="R5928" i="3" s="1"/>
  <c r="Q5929" i="3"/>
  <c r="R5929" i="3" s="1"/>
  <c r="Q5930" i="3"/>
  <c r="R5930" i="3" s="1"/>
  <c r="Q5931" i="3"/>
  <c r="R5931" i="3" s="1"/>
  <c r="Q5932" i="3"/>
  <c r="R5932" i="3" s="1"/>
  <c r="Q5933" i="3"/>
  <c r="R5933" i="3" s="1"/>
  <c r="Q5934" i="3"/>
  <c r="R5934" i="3" s="1"/>
  <c r="Q5935" i="3"/>
  <c r="R5935" i="3" s="1"/>
  <c r="Q5936" i="3"/>
  <c r="R5936" i="3" s="1"/>
  <c r="Q5937" i="3"/>
  <c r="R5937" i="3" s="1"/>
  <c r="Q5938" i="3"/>
  <c r="R5938" i="3" s="1"/>
  <c r="Q5939" i="3"/>
  <c r="R5939" i="3" s="1"/>
  <c r="Q5940" i="3"/>
  <c r="R5940" i="3" s="1"/>
  <c r="Q5941" i="3"/>
  <c r="R5941" i="3" s="1"/>
  <c r="Q5942" i="3"/>
  <c r="R5942" i="3" s="1"/>
  <c r="Q5943" i="3"/>
  <c r="R5943" i="3" s="1"/>
  <c r="Q5944" i="3"/>
  <c r="R5944" i="3" s="1"/>
  <c r="Q5945" i="3"/>
  <c r="R5945" i="3" s="1"/>
  <c r="Q5946" i="3"/>
  <c r="R5946" i="3" s="1"/>
  <c r="Q5947" i="3"/>
  <c r="R5947" i="3" s="1"/>
  <c r="Q5948" i="3"/>
  <c r="R5948" i="3" s="1"/>
  <c r="Q5949" i="3"/>
  <c r="R5949" i="3" s="1"/>
  <c r="Q5950" i="3"/>
  <c r="R5950" i="3" s="1"/>
  <c r="Q5951" i="3"/>
  <c r="R5951" i="3" s="1"/>
  <c r="Q5952" i="3"/>
  <c r="R5952" i="3" s="1"/>
  <c r="Q5953" i="3"/>
  <c r="R5953" i="3" s="1"/>
  <c r="Q5954" i="3"/>
  <c r="R5954" i="3" s="1"/>
  <c r="Q5955" i="3"/>
  <c r="R5955" i="3" s="1"/>
  <c r="Q5956" i="3"/>
  <c r="R5956" i="3" s="1"/>
  <c r="Q5957" i="3"/>
  <c r="R5957" i="3" s="1"/>
  <c r="Q5958" i="3"/>
  <c r="R5958" i="3" s="1"/>
  <c r="Q5959" i="3"/>
  <c r="R5959" i="3" s="1"/>
  <c r="Q5960" i="3"/>
  <c r="R5960" i="3" s="1"/>
  <c r="Q5961" i="3"/>
  <c r="R5961" i="3" s="1"/>
  <c r="Q5962" i="3"/>
  <c r="R5962" i="3" s="1"/>
  <c r="Q5963" i="3"/>
  <c r="R5963" i="3" s="1"/>
  <c r="Q5964" i="3"/>
  <c r="R5964" i="3" s="1"/>
  <c r="Q5965" i="3"/>
  <c r="R5965" i="3" s="1"/>
  <c r="Q5966" i="3"/>
  <c r="R5966" i="3" s="1"/>
  <c r="Q5967" i="3"/>
  <c r="R5967" i="3" s="1"/>
  <c r="Q5968" i="3"/>
  <c r="R5968" i="3" s="1"/>
  <c r="Q5969" i="3"/>
  <c r="R5969" i="3" s="1"/>
  <c r="Q5970" i="3"/>
  <c r="R5970" i="3" s="1"/>
  <c r="Q5971" i="3"/>
  <c r="R5971" i="3" s="1"/>
  <c r="Q5972" i="3"/>
  <c r="R5972" i="3" s="1"/>
  <c r="Q5973" i="3"/>
  <c r="R5973" i="3" s="1"/>
  <c r="Q5974" i="3"/>
  <c r="R5974" i="3" s="1"/>
  <c r="Q5975" i="3"/>
  <c r="R5975" i="3" s="1"/>
  <c r="Q5976" i="3"/>
  <c r="R5976" i="3" s="1"/>
  <c r="Q5977" i="3"/>
  <c r="R5977" i="3" s="1"/>
  <c r="Q5978" i="3"/>
  <c r="R5978" i="3" s="1"/>
  <c r="Q5979" i="3"/>
  <c r="R5979" i="3" s="1"/>
  <c r="Q5980" i="3"/>
  <c r="R5980" i="3" s="1"/>
  <c r="Q5981" i="3"/>
  <c r="R5981" i="3" s="1"/>
  <c r="Q5982" i="3"/>
  <c r="R5982" i="3" s="1"/>
  <c r="Q5983" i="3"/>
  <c r="R5983" i="3" s="1"/>
  <c r="Q5984" i="3"/>
  <c r="R5984" i="3" s="1"/>
  <c r="Q5985" i="3"/>
  <c r="R5985" i="3" s="1"/>
  <c r="Q5986" i="3"/>
  <c r="R5986" i="3" s="1"/>
  <c r="Q5987" i="3"/>
  <c r="R5987" i="3" s="1"/>
  <c r="Q5988" i="3"/>
  <c r="R5988" i="3" s="1"/>
  <c r="Q5989" i="3"/>
  <c r="R5989" i="3" s="1"/>
  <c r="Q5990" i="3"/>
  <c r="R5990" i="3" s="1"/>
  <c r="Q5991" i="3"/>
  <c r="R5991" i="3" s="1"/>
  <c r="Q5992" i="3"/>
  <c r="R5992" i="3" s="1"/>
  <c r="Q5993" i="3"/>
  <c r="R5993" i="3" s="1"/>
  <c r="Q5994" i="3"/>
  <c r="R5994" i="3" s="1"/>
  <c r="Q5995" i="3"/>
  <c r="R5995" i="3" s="1"/>
  <c r="Q5996" i="3"/>
  <c r="R5996" i="3" s="1"/>
  <c r="Q5997" i="3"/>
  <c r="R5997" i="3" s="1"/>
  <c r="Q5998" i="3"/>
  <c r="R5998" i="3" s="1"/>
  <c r="Q5999" i="3"/>
  <c r="R5999" i="3" s="1"/>
  <c r="Q6000" i="3"/>
  <c r="R6000" i="3" s="1"/>
  <c r="Q6001" i="3"/>
  <c r="R6001" i="3" s="1"/>
  <c r="Q6002" i="3"/>
  <c r="R6002" i="3" s="1"/>
  <c r="Q6003" i="3"/>
  <c r="R6003" i="3" s="1"/>
  <c r="Q6004" i="3"/>
  <c r="R6004" i="3" s="1"/>
  <c r="Q6005" i="3"/>
  <c r="R6005" i="3" s="1"/>
  <c r="Q6006" i="3"/>
  <c r="R6006" i="3" s="1"/>
  <c r="Q6007" i="3"/>
  <c r="R6007" i="3" s="1"/>
  <c r="Q6008" i="3"/>
  <c r="R6008" i="3" s="1"/>
  <c r="Q6009" i="3"/>
  <c r="R6009" i="3" s="1"/>
  <c r="Q6010" i="3"/>
  <c r="R6010" i="3" s="1"/>
  <c r="Q6011" i="3"/>
  <c r="R6011" i="3" s="1"/>
  <c r="Q6012" i="3"/>
  <c r="R6012" i="3" s="1"/>
  <c r="Q6013" i="3"/>
  <c r="R6013" i="3" s="1"/>
  <c r="Q6014" i="3"/>
  <c r="R6014" i="3" s="1"/>
  <c r="Q6015" i="3"/>
  <c r="R6015" i="3" s="1"/>
  <c r="Q6016" i="3"/>
  <c r="R6016" i="3" s="1"/>
  <c r="Q6017" i="3"/>
  <c r="R6017" i="3" s="1"/>
  <c r="Q6018" i="3"/>
  <c r="R6018" i="3" s="1"/>
  <c r="Q6019" i="3"/>
  <c r="R6019" i="3" s="1"/>
  <c r="Q6020" i="3"/>
  <c r="R6020" i="3" s="1"/>
  <c r="Q6021" i="3"/>
  <c r="R6021" i="3" s="1"/>
  <c r="Q6022" i="3"/>
  <c r="R6022" i="3" s="1"/>
  <c r="Q6023" i="3"/>
  <c r="R6023" i="3" s="1"/>
  <c r="Q6024" i="3"/>
  <c r="R6024" i="3" s="1"/>
  <c r="Q6025" i="3"/>
  <c r="R6025" i="3" s="1"/>
  <c r="Q6026" i="3"/>
  <c r="R6026" i="3" s="1"/>
  <c r="Q6027" i="3"/>
  <c r="R6027" i="3" s="1"/>
  <c r="Q6028" i="3"/>
  <c r="R6028" i="3" s="1"/>
  <c r="Q6029" i="3"/>
  <c r="R6029" i="3" s="1"/>
  <c r="Q6030" i="3"/>
  <c r="R6030" i="3" s="1"/>
  <c r="Q6031" i="3"/>
  <c r="R6031" i="3" s="1"/>
  <c r="Q6032" i="3"/>
  <c r="R6032" i="3" s="1"/>
  <c r="Q6033" i="3"/>
  <c r="R6033" i="3" s="1"/>
  <c r="Q6034" i="3"/>
  <c r="R6034" i="3" s="1"/>
  <c r="Q6035" i="3"/>
  <c r="R6035" i="3" s="1"/>
  <c r="Q6036" i="3"/>
  <c r="R6036" i="3" s="1"/>
  <c r="Q6037" i="3"/>
  <c r="R6037" i="3" s="1"/>
  <c r="Q6038" i="3"/>
  <c r="R6038" i="3" s="1"/>
  <c r="Q6039" i="3"/>
  <c r="R6039" i="3" s="1"/>
  <c r="Q6040" i="3"/>
  <c r="R6040" i="3" s="1"/>
  <c r="Q6041" i="3"/>
  <c r="R6041" i="3" s="1"/>
  <c r="Q6042" i="3"/>
  <c r="R6042" i="3" s="1"/>
  <c r="Q6043" i="3"/>
  <c r="R6043" i="3" s="1"/>
  <c r="Q6044" i="3"/>
  <c r="R6044" i="3" s="1"/>
  <c r="Q6045" i="3"/>
  <c r="R6045" i="3" s="1"/>
  <c r="Q6046" i="3"/>
  <c r="R6046" i="3" s="1"/>
  <c r="Q6047" i="3"/>
  <c r="R6047" i="3" s="1"/>
  <c r="Q6048" i="3"/>
  <c r="R6048" i="3" s="1"/>
  <c r="Q6049" i="3"/>
  <c r="R6049" i="3" s="1"/>
  <c r="Q6050" i="3"/>
  <c r="R6050" i="3" s="1"/>
  <c r="Q6051" i="3"/>
  <c r="R6051" i="3" s="1"/>
  <c r="Q6052" i="3"/>
  <c r="R6052" i="3" s="1"/>
  <c r="Q6053" i="3"/>
  <c r="R6053" i="3" s="1"/>
  <c r="Q6054" i="3"/>
  <c r="R6054" i="3" s="1"/>
  <c r="Q6055" i="3"/>
  <c r="R6055" i="3" s="1"/>
  <c r="Q6056" i="3"/>
  <c r="R6056" i="3" s="1"/>
  <c r="Q6057" i="3"/>
  <c r="R6057" i="3" s="1"/>
  <c r="Q6058" i="3"/>
  <c r="R6058" i="3" s="1"/>
  <c r="Q6059" i="3"/>
  <c r="R6059" i="3" s="1"/>
  <c r="Q6060" i="3"/>
  <c r="R6060" i="3" s="1"/>
  <c r="Q6061" i="3"/>
  <c r="R6061" i="3" s="1"/>
  <c r="Q6062" i="3"/>
  <c r="R6062" i="3" s="1"/>
  <c r="Q6063" i="3"/>
  <c r="R6063" i="3" s="1"/>
  <c r="Q6064" i="3"/>
  <c r="R6064" i="3" s="1"/>
  <c r="Q6065" i="3"/>
  <c r="R6065" i="3" s="1"/>
  <c r="Q6066" i="3"/>
  <c r="R6066" i="3" s="1"/>
  <c r="Q6067" i="3"/>
  <c r="R6067" i="3" s="1"/>
  <c r="Q6068" i="3"/>
  <c r="R6068" i="3" s="1"/>
  <c r="Q6069" i="3"/>
  <c r="R6069" i="3" s="1"/>
  <c r="Q6070" i="3"/>
  <c r="R6070" i="3" s="1"/>
  <c r="Q6071" i="3"/>
  <c r="R6071" i="3" s="1"/>
  <c r="Q6072" i="3"/>
  <c r="R6072" i="3" s="1"/>
  <c r="Q6073" i="3"/>
  <c r="R6073" i="3" s="1"/>
  <c r="Q6074" i="3"/>
  <c r="R6074" i="3" s="1"/>
  <c r="Q6075" i="3"/>
  <c r="R6075" i="3" s="1"/>
  <c r="Q6076" i="3"/>
  <c r="R6076" i="3" s="1"/>
  <c r="Q6077" i="3"/>
  <c r="R6077" i="3" s="1"/>
  <c r="Q6078" i="3"/>
  <c r="R6078" i="3" s="1"/>
  <c r="Q6079" i="3"/>
  <c r="R6079" i="3" s="1"/>
  <c r="Q6080" i="3"/>
  <c r="R6080" i="3" s="1"/>
  <c r="Q6081" i="3"/>
  <c r="R6081" i="3" s="1"/>
  <c r="Q6082" i="3"/>
  <c r="R6082" i="3" s="1"/>
  <c r="Q6083" i="3"/>
  <c r="R6083" i="3" s="1"/>
  <c r="Q6084" i="3"/>
  <c r="R6084" i="3" s="1"/>
  <c r="Q6085" i="3"/>
  <c r="R6085" i="3" s="1"/>
  <c r="Q6086" i="3"/>
  <c r="R6086" i="3" s="1"/>
  <c r="Q6087" i="3"/>
  <c r="R6087" i="3" s="1"/>
  <c r="Q6088" i="3"/>
  <c r="R6088" i="3" s="1"/>
  <c r="Q6089" i="3"/>
  <c r="R6089" i="3" s="1"/>
  <c r="Q6090" i="3"/>
  <c r="R6090" i="3" s="1"/>
  <c r="Q6091" i="3"/>
  <c r="R6091" i="3" s="1"/>
  <c r="Q6092" i="3"/>
  <c r="R6092" i="3" s="1"/>
  <c r="Q6093" i="3"/>
  <c r="R6093" i="3" s="1"/>
  <c r="Q6094" i="3"/>
  <c r="R6094" i="3" s="1"/>
  <c r="Q6095" i="3"/>
  <c r="R6095" i="3" s="1"/>
  <c r="Q6096" i="3"/>
  <c r="R6096" i="3" s="1"/>
  <c r="Q6097" i="3"/>
  <c r="R6097" i="3" s="1"/>
  <c r="Q6098" i="3"/>
  <c r="R6098" i="3" s="1"/>
  <c r="Q6099" i="3"/>
  <c r="R6099" i="3" s="1"/>
  <c r="Q6100" i="3"/>
  <c r="R6100" i="3" s="1"/>
  <c r="Q6101" i="3"/>
  <c r="R6101" i="3" s="1"/>
  <c r="Q6102" i="3"/>
  <c r="R6102" i="3" s="1"/>
  <c r="Q6103" i="3"/>
  <c r="R6103" i="3" s="1"/>
  <c r="Q6104" i="3"/>
  <c r="R6104" i="3" s="1"/>
  <c r="Q6105" i="3"/>
  <c r="R6105" i="3" s="1"/>
  <c r="Q6106" i="3"/>
  <c r="R6106" i="3" s="1"/>
  <c r="Q6107" i="3"/>
  <c r="R6107" i="3" s="1"/>
  <c r="Q6108" i="3"/>
  <c r="R6108" i="3" s="1"/>
  <c r="Q6109" i="3"/>
  <c r="R6109" i="3" s="1"/>
  <c r="Q6110" i="3"/>
  <c r="R6110" i="3" s="1"/>
  <c r="Q6111" i="3"/>
  <c r="R6111" i="3" s="1"/>
  <c r="Q6112" i="3"/>
  <c r="R6112" i="3" s="1"/>
  <c r="Q6113" i="3"/>
  <c r="R6113" i="3" s="1"/>
  <c r="Q6114" i="3"/>
  <c r="R6114" i="3" s="1"/>
  <c r="Q6115" i="3"/>
  <c r="R6115" i="3" s="1"/>
  <c r="Q6116" i="3"/>
  <c r="R6116" i="3" s="1"/>
  <c r="Q6117" i="3"/>
  <c r="R6117" i="3" s="1"/>
  <c r="Q6118" i="3"/>
  <c r="R6118" i="3" s="1"/>
  <c r="Q6119" i="3"/>
  <c r="R6119" i="3" s="1"/>
  <c r="Q6120" i="3"/>
  <c r="R6120" i="3" s="1"/>
  <c r="Q6121" i="3"/>
  <c r="R6121" i="3" s="1"/>
  <c r="Q6122" i="3"/>
  <c r="R6122" i="3" s="1"/>
  <c r="Q6123" i="3"/>
  <c r="R6123" i="3" s="1"/>
  <c r="Q6124" i="3"/>
  <c r="R6124" i="3" s="1"/>
  <c r="Q6125" i="3"/>
  <c r="R6125" i="3" s="1"/>
  <c r="Q6126" i="3"/>
  <c r="R6126" i="3" s="1"/>
  <c r="Q6127" i="3"/>
  <c r="R6127" i="3" s="1"/>
  <c r="Q6128" i="3"/>
  <c r="R6128" i="3" s="1"/>
  <c r="Q6129" i="3"/>
  <c r="R6129" i="3" s="1"/>
  <c r="Q6130" i="3"/>
  <c r="R6130" i="3" s="1"/>
  <c r="Q6131" i="3"/>
  <c r="R6131" i="3" s="1"/>
  <c r="Q6132" i="3"/>
  <c r="R6132" i="3" s="1"/>
  <c r="Q6133" i="3"/>
  <c r="R6133" i="3" s="1"/>
  <c r="Q6134" i="3"/>
  <c r="R6134" i="3" s="1"/>
  <c r="Q6135" i="3"/>
  <c r="R6135" i="3" s="1"/>
  <c r="Q6136" i="3"/>
  <c r="R6136" i="3" s="1"/>
  <c r="Q6137" i="3"/>
  <c r="R6137" i="3" s="1"/>
  <c r="Q6138" i="3"/>
  <c r="R6138" i="3" s="1"/>
  <c r="Q6139" i="3"/>
  <c r="R6139" i="3" s="1"/>
  <c r="Q6140" i="3"/>
  <c r="R6140" i="3" s="1"/>
  <c r="Q6141" i="3"/>
  <c r="R6141" i="3" s="1"/>
  <c r="Q6142" i="3"/>
  <c r="R6142" i="3" s="1"/>
  <c r="Q6143" i="3"/>
  <c r="R6143" i="3" s="1"/>
  <c r="Q6144" i="3"/>
  <c r="R6144" i="3" s="1"/>
  <c r="Q6145" i="3"/>
  <c r="R6145" i="3" s="1"/>
  <c r="Q6146" i="3"/>
  <c r="R6146" i="3" s="1"/>
  <c r="Q6147" i="3"/>
  <c r="R6147" i="3" s="1"/>
  <c r="Q6148" i="3"/>
  <c r="R6148" i="3" s="1"/>
  <c r="Q6149" i="3"/>
  <c r="R6149" i="3" s="1"/>
  <c r="Q6150" i="3"/>
  <c r="R6150" i="3" s="1"/>
  <c r="Q6151" i="3"/>
  <c r="R6151" i="3" s="1"/>
  <c r="Q6152" i="3"/>
  <c r="R6152" i="3" s="1"/>
  <c r="Q6153" i="3"/>
  <c r="R6153" i="3" s="1"/>
  <c r="Q6154" i="3"/>
  <c r="R6154" i="3" s="1"/>
  <c r="Q6155" i="3"/>
  <c r="R6155" i="3" s="1"/>
  <c r="Q6156" i="3"/>
  <c r="R6156" i="3" s="1"/>
  <c r="Q6157" i="3"/>
  <c r="R6157" i="3" s="1"/>
  <c r="Q6158" i="3"/>
  <c r="R6158" i="3" s="1"/>
  <c r="Q6159" i="3"/>
  <c r="R6159" i="3" s="1"/>
  <c r="Q6160" i="3"/>
  <c r="R6160" i="3" s="1"/>
  <c r="Q6161" i="3"/>
  <c r="R6161" i="3" s="1"/>
  <c r="Q6162" i="3"/>
  <c r="R6162" i="3" s="1"/>
  <c r="Q6163" i="3"/>
  <c r="R6163" i="3" s="1"/>
  <c r="Q6164" i="3"/>
  <c r="R6164" i="3" s="1"/>
  <c r="Q6165" i="3"/>
  <c r="R6165" i="3" s="1"/>
  <c r="Q6166" i="3"/>
  <c r="R6166" i="3" s="1"/>
  <c r="Q6167" i="3"/>
  <c r="R6167" i="3" s="1"/>
  <c r="Q6168" i="3"/>
  <c r="R6168" i="3" s="1"/>
  <c r="Q6169" i="3"/>
  <c r="R6169" i="3" s="1"/>
  <c r="Q6170" i="3"/>
  <c r="R6170" i="3" s="1"/>
  <c r="Q6171" i="3"/>
  <c r="R6171" i="3" s="1"/>
  <c r="Q6172" i="3"/>
  <c r="R6172" i="3" s="1"/>
  <c r="Q6173" i="3"/>
  <c r="R6173" i="3" s="1"/>
  <c r="Q6174" i="3"/>
  <c r="R6174" i="3" s="1"/>
  <c r="Q6175" i="3"/>
  <c r="R6175" i="3" s="1"/>
  <c r="Q6176" i="3"/>
  <c r="R6176" i="3" s="1"/>
  <c r="Q6177" i="3"/>
  <c r="R6177" i="3" s="1"/>
  <c r="Q6178" i="3"/>
  <c r="R6178" i="3" s="1"/>
  <c r="Q6179" i="3"/>
  <c r="R6179" i="3" s="1"/>
  <c r="Q6180" i="3"/>
  <c r="R6180" i="3" s="1"/>
  <c r="Q6181" i="3"/>
  <c r="R6181" i="3" s="1"/>
  <c r="Q6182" i="3"/>
  <c r="R6182" i="3" s="1"/>
  <c r="Q6183" i="3"/>
  <c r="R6183" i="3" s="1"/>
  <c r="Q6184" i="3"/>
  <c r="R6184" i="3" s="1"/>
  <c r="Q6185" i="3"/>
  <c r="R6185" i="3" s="1"/>
  <c r="Q6186" i="3"/>
  <c r="R6186" i="3" s="1"/>
  <c r="Q6187" i="3"/>
  <c r="R6187" i="3" s="1"/>
  <c r="Q6188" i="3"/>
  <c r="R6188" i="3" s="1"/>
  <c r="Q6189" i="3"/>
  <c r="R6189" i="3" s="1"/>
  <c r="Q6190" i="3"/>
  <c r="R6190" i="3" s="1"/>
  <c r="Q6191" i="3"/>
  <c r="R6191" i="3" s="1"/>
  <c r="Q6192" i="3"/>
  <c r="R6192" i="3" s="1"/>
  <c r="Q6193" i="3"/>
  <c r="R6193" i="3" s="1"/>
  <c r="Q6194" i="3"/>
  <c r="R6194" i="3" s="1"/>
  <c r="Q6195" i="3"/>
  <c r="R6195" i="3" s="1"/>
  <c r="Q6196" i="3"/>
  <c r="R6196" i="3" s="1"/>
  <c r="Q6197" i="3"/>
  <c r="R6197" i="3" s="1"/>
  <c r="Q6198" i="3"/>
  <c r="R6198" i="3" s="1"/>
  <c r="Q6199" i="3"/>
  <c r="R6199" i="3" s="1"/>
  <c r="Q6200" i="3"/>
  <c r="R6200" i="3" s="1"/>
  <c r="Q6201" i="3"/>
  <c r="R6201" i="3" s="1"/>
  <c r="Q6202" i="3"/>
  <c r="R6202" i="3" s="1"/>
  <c r="Q6203" i="3"/>
  <c r="R6203" i="3" s="1"/>
  <c r="Q6204" i="3"/>
  <c r="R6204" i="3" s="1"/>
  <c r="Q6205" i="3"/>
  <c r="R6205" i="3" s="1"/>
  <c r="Q6206" i="3"/>
  <c r="R6206" i="3" s="1"/>
  <c r="Q6207" i="3"/>
  <c r="R6207" i="3" s="1"/>
  <c r="Q6208" i="3"/>
  <c r="R6208" i="3" s="1"/>
  <c r="Q6209" i="3"/>
  <c r="R6209" i="3" s="1"/>
  <c r="Q6210" i="3"/>
  <c r="R6210" i="3" s="1"/>
  <c r="Q6211" i="3"/>
  <c r="R6211" i="3" s="1"/>
  <c r="Q6212" i="3"/>
  <c r="R6212" i="3" s="1"/>
  <c r="Q6213" i="3"/>
  <c r="R6213" i="3" s="1"/>
  <c r="Q6214" i="3"/>
  <c r="R6214" i="3" s="1"/>
  <c r="Q6215" i="3"/>
  <c r="R6215" i="3" s="1"/>
  <c r="Q6216" i="3"/>
  <c r="R6216" i="3" s="1"/>
  <c r="Q6217" i="3"/>
  <c r="R6217" i="3" s="1"/>
  <c r="Q6218" i="3"/>
  <c r="R6218" i="3" s="1"/>
  <c r="Q6219" i="3"/>
  <c r="R6219" i="3" s="1"/>
  <c r="Q6220" i="3"/>
  <c r="R6220" i="3" s="1"/>
  <c r="Q6221" i="3"/>
  <c r="R6221" i="3" s="1"/>
  <c r="Q6222" i="3"/>
  <c r="R6222" i="3" s="1"/>
  <c r="Q6223" i="3"/>
  <c r="R6223" i="3" s="1"/>
  <c r="Q6224" i="3"/>
  <c r="R6224" i="3" s="1"/>
  <c r="Q6225" i="3"/>
  <c r="R6225" i="3" s="1"/>
  <c r="Q6226" i="3"/>
  <c r="R6226" i="3" s="1"/>
  <c r="Q6227" i="3"/>
  <c r="R6227" i="3" s="1"/>
  <c r="Q6228" i="3"/>
  <c r="R6228" i="3" s="1"/>
  <c r="Q6229" i="3"/>
  <c r="R6229" i="3" s="1"/>
  <c r="Q6230" i="3"/>
  <c r="R6230" i="3" s="1"/>
  <c r="Q6231" i="3"/>
  <c r="R6231" i="3" s="1"/>
  <c r="Q6232" i="3"/>
  <c r="R6232" i="3" s="1"/>
  <c r="Q6233" i="3"/>
  <c r="R6233" i="3" s="1"/>
  <c r="Q6234" i="3"/>
  <c r="R6234" i="3" s="1"/>
  <c r="Q6235" i="3"/>
  <c r="R6235" i="3" s="1"/>
  <c r="Q6236" i="3"/>
  <c r="R6236" i="3" s="1"/>
  <c r="Q6237" i="3"/>
  <c r="R6237" i="3" s="1"/>
  <c r="Q6238" i="3"/>
  <c r="R6238" i="3" s="1"/>
  <c r="Q6239" i="3"/>
  <c r="R6239" i="3" s="1"/>
  <c r="Q6240" i="3"/>
  <c r="R6240" i="3" s="1"/>
  <c r="Q6241" i="3"/>
  <c r="R6241" i="3" s="1"/>
  <c r="Q6242" i="3"/>
  <c r="R6242" i="3" s="1"/>
  <c r="Q6243" i="3"/>
  <c r="R6243" i="3" s="1"/>
  <c r="Q6244" i="3"/>
  <c r="R6244" i="3" s="1"/>
  <c r="Q6245" i="3"/>
  <c r="R6245" i="3" s="1"/>
  <c r="Q6246" i="3"/>
  <c r="R6246" i="3" s="1"/>
  <c r="Q6247" i="3"/>
  <c r="R6247" i="3" s="1"/>
  <c r="Q6248" i="3"/>
  <c r="R6248" i="3" s="1"/>
  <c r="Q6249" i="3"/>
  <c r="R6249" i="3" s="1"/>
  <c r="Q6250" i="3"/>
  <c r="R6250" i="3" s="1"/>
  <c r="Q6251" i="3"/>
  <c r="R6251" i="3" s="1"/>
  <c r="Q6252" i="3"/>
  <c r="R6252" i="3" s="1"/>
  <c r="Q6253" i="3"/>
  <c r="R6253" i="3" s="1"/>
  <c r="Q6254" i="3"/>
  <c r="R6254" i="3" s="1"/>
  <c r="Q6255" i="3"/>
  <c r="R6255" i="3" s="1"/>
  <c r="Q6256" i="3"/>
  <c r="R6256" i="3" s="1"/>
  <c r="Q6257" i="3"/>
  <c r="R6257" i="3" s="1"/>
  <c r="Q6258" i="3"/>
  <c r="R6258" i="3" s="1"/>
  <c r="Q6259" i="3"/>
  <c r="R6259" i="3" s="1"/>
  <c r="Q6260" i="3"/>
  <c r="R6260" i="3" s="1"/>
  <c r="Q6261" i="3"/>
  <c r="R6261" i="3" s="1"/>
  <c r="Q6262" i="3"/>
  <c r="R6262" i="3" s="1"/>
  <c r="Q6263" i="3"/>
  <c r="R6263" i="3" s="1"/>
  <c r="Q6264" i="3"/>
  <c r="R6264" i="3" s="1"/>
  <c r="Q6265" i="3"/>
  <c r="R6265" i="3" s="1"/>
  <c r="Q6266" i="3"/>
  <c r="R6266" i="3" s="1"/>
  <c r="Q6267" i="3"/>
  <c r="R6267" i="3" s="1"/>
  <c r="Q6268" i="3"/>
  <c r="R6268" i="3" s="1"/>
  <c r="Q6269" i="3"/>
  <c r="R6269" i="3" s="1"/>
  <c r="Q6270" i="3"/>
  <c r="R6270" i="3" s="1"/>
  <c r="Q6271" i="3"/>
  <c r="R6271" i="3" s="1"/>
  <c r="Q6272" i="3"/>
  <c r="R6272" i="3" s="1"/>
  <c r="Q6273" i="3"/>
  <c r="R6273" i="3" s="1"/>
  <c r="Q6274" i="3"/>
  <c r="R6274" i="3" s="1"/>
  <c r="Q6275" i="3"/>
  <c r="R6275" i="3" s="1"/>
  <c r="Q6276" i="3"/>
  <c r="R6276" i="3" s="1"/>
  <c r="Q6277" i="3"/>
  <c r="R6277" i="3" s="1"/>
  <c r="Q6278" i="3"/>
  <c r="R6278" i="3" s="1"/>
  <c r="Q6279" i="3"/>
  <c r="R6279" i="3" s="1"/>
  <c r="Q6280" i="3"/>
  <c r="R6280" i="3" s="1"/>
  <c r="Q6281" i="3"/>
  <c r="R6281" i="3" s="1"/>
  <c r="Q6282" i="3"/>
  <c r="R6282" i="3" s="1"/>
  <c r="Q6283" i="3"/>
  <c r="R6283" i="3" s="1"/>
  <c r="Q6284" i="3"/>
  <c r="R6284" i="3" s="1"/>
  <c r="Q6285" i="3"/>
  <c r="R6285" i="3" s="1"/>
  <c r="Q6286" i="3"/>
  <c r="R6286" i="3" s="1"/>
  <c r="Q6287" i="3"/>
  <c r="R6287" i="3" s="1"/>
  <c r="Q6288" i="3"/>
  <c r="R6288" i="3" s="1"/>
  <c r="Q6289" i="3"/>
  <c r="R6289" i="3" s="1"/>
  <c r="Q6290" i="3"/>
  <c r="R6290" i="3" s="1"/>
  <c r="Q6291" i="3"/>
  <c r="R6291" i="3" s="1"/>
  <c r="Q6292" i="3"/>
  <c r="R6292" i="3" s="1"/>
  <c r="Q6293" i="3"/>
  <c r="R6293" i="3" s="1"/>
  <c r="Q6294" i="3"/>
  <c r="R6294" i="3" s="1"/>
  <c r="Q6295" i="3"/>
  <c r="R6295" i="3" s="1"/>
  <c r="Q6296" i="3"/>
  <c r="R6296" i="3" s="1"/>
  <c r="Q6297" i="3"/>
  <c r="R6297" i="3" s="1"/>
  <c r="Q6298" i="3"/>
  <c r="R6298" i="3" s="1"/>
  <c r="Q6299" i="3"/>
  <c r="R6299" i="3" s="1"/>
  <c r="Q6300" i="3"/>
  <c r="R6300" i="3" s="1"/>
  <c r="Q6301" i="3"/>
  <c r="R6301" i="3" s="1"/>
  <c r="Q6302" i="3"/>
  <c r="R6302" i="3" s="1"/>
  <c r="Q6303" i="3"/>
  <c r="R6303" i="3" s="1"/>
  <c r="Q6304" i="3"/>
  <c r="R6304" i="3" s="1"/>
  <c r="Q6305" i="3"/>
  <c r="R6305" i="3" s="1"/>
  <c r="Q6306" i="3"/>
  <c r="R6306" i="3" s="1"/>
  <c r="Q6307" i="3"/>
  <c r="R6307" i="3" s="1"/>
  <c r="Q6308" i="3"/>
  <c r="R6308" i="3" s="1"/>
  <c r="Q6309" i="3"/>
  <c r="R6309" i="3" s="1"/>
  <c r="Q6310" i="3"/>
  <c r="R6310" i="3" s="1"/>
  <c r="Q6311" i="3"/>
  <c r="R6311" i="3" s="1"/>
  <c r="Q6312" i="3"/>
  <c r="R6312" i="3" s="1"/>
  <c r="Q6313" i="3"/>
  <c r="R6313" i="3" s="1"/>
  <c r="Q6314" i="3"/>
  <c r="R6314" i="3" s="1"/>
  <c r="Q6315" i="3"/>
  <c r="R6315" i="3" s="1"/>
  <c r="Q6316" i="3"/>
  <c r="R6316" i="3" s="1"/>
  <c r="Q6317" i="3"/>
  <c r="R6317" i="3" s="1"/>
  <c r="Q6318" i="3"/>
  <c r="R6318" i="3" s="1"/>
  <c r="Q6319" i="3"/>
  <c r="R6319" i="3" s="1"/>
  <c r="Q6320" i="3"/>
  <c r="R6320" i="3" s="1"/>
  <c r="Q6321" i="3"/>
  <c r="R6321" i="3" s="1"/>
  <c r="Q6322" i="3"/>
  <c r="R6322" i="3" s="1"/>
  <c r="Q6323" i="3"/>
  <c r="R6323" i="3" s="1"/>
  <c r="Q6324" i="3"/>
  <c r="R6324" i="3" s="1"/>
  <c r="Q6325" i="3"/>
  <c r="R6325" i="3" s="1"/>
  <c r="Q6326" i="3"/>
  <c r="R6326" i="3" s="1"/>
  <c r="Q6327" i="3"/>
  <c r="R6327" i="3" s="1"/>
  <c r="Q6328" i="3"/>
  <c r="R6328" i="3" s="1"/>
  <c r="Q6329" i="3"/>
  <c r="R6329" i="3" s="1"/>
  <c r="Q6330" i="3"/>
  <c r="R6330" i="3" s="1"/>
  <c r="Q6331" i="3"/>
  <c r="R6331" i="3" s="1"/>
  <c r="Q6332" i="3"/>
  <c r="R6332" i="3" s="1"/>
  <c r="Q6333" i="3"/>
  <c r="R6333" i="3" s="1"/>
  <c r="Q6334" i="3"/>
  <c r="R6334" i="3" s="1"/>
  <c r="Q6335" i="3"/>
  <c r="R6335" i="3" s="1"/>
  <c r="Q6336" i="3"/>
  <c r="R6336" i="3" s="1"/>
  <c r="Q6337" i="3"/>
  <c r="R6337" i="3" s="1"/>
  <c r="Q6338" i="3"/>
  <c r="R6338" i="3" s="1"/>
  <c r="Q6339" i="3"/>
  <c r="R6339" i="3" s="1"/>
  <c r="Q6340" i="3"/>
  <c r="R6340" i="3" s="1"/>
  <c r="Q6341" i="3"/>
  <c r="R6341" i="3" s="1"/>
  <c r="Q6342" i="3"/>
  <c r="R6342" i="3" s="1"/>
  <c r="Q6343" i="3"/>
  <c r="R6343" i="3" s="1"/>
  <c r="Q6344" i="3"/>
  <c r="R6344" i="3" s="1"/>
  <c r="Q6345" i="3"/>
  <c r="R6345" i="3" s="1"/>
  <c r="Q6346" i="3"/>
  <c r="R6346" i="3" s="1"/>
  <c r="Q6347" i="3"/>
  <c r="R6347" i="3" s="1"/>
  <c r="Q6348" i="3"/>
  <c r="R6348" i="3" s="1"/>
  <c r="Q6349" i="3"/>
  <c r="R6349" i="3" s="1"/>
  <c r="Q6350" i="3"/>
  <c r="R6350" i="3" s="1"/>
  <c r="Q6351" i="3"/>
  <c r="R6351" i="3" s="1"/>
  <c r="Q6352" i="3"/>
  <c r="R6352" i="3" s="1"/>
  <c r="Q6353" i="3"/>
  <c r="R6353" i="3" s="1"/>
  <c r="Q6354" i="3"/>
  <c r="R6354" i="3" s="1"/>
  <c r="Q6355" i="3"/>
  <c r="R6355" i="3" s="1"/>
  <c r="Q6356" i="3"/>
  <c r="R6356" i="3" s="1"/>
  <c r="Q6357" i="3"/>
  <c r="R6357" i="3" s="1"/>
  <c r="Q6358" i="3"/>
  <c r="R6358" i="3" s="1"/>
  <c r="Q6359" i="3"/>
  <c r="R6359" i="3" s="1"/>
  <c r="Q6360" i="3"/>
  <c r="R6360" i="3" s="1"/>
  <c r="Q6361" i="3"/>
  <c r="R6361" i="3" s="1"/>
  <c r="Q6362" i="3"/>
  <c r="R6362" i="3" s="1"/>
  <c r="Q6363" i="3"/>
  <c r="R6363" i="3" s="1"/>
  <c r="Q6364" i="3"/>
  <c r="R6364" i="3" s="1"/>
  <c r="Q6365" i="3"/>
  <c r="R6365" i="3" s="1"/>
  <c r="Q6366" i="3"/>
  <c r="R6366" i="3" s="1"/>
  <c r="Q6367" i="3"/>
  <c r="R6367" i="3" s="1"/>
  <c r="Q6368" i="3"/>
  <c r="R6368" i="3" s="1"/>
  <c r="Q6369" i="3"/>
  <c r="R6369" i="3" s="1"/>
  <c r="Q6370" i="3"/>
  <c r="R6370" i="3" s="1"/>
  <c r="Q6371" i="3"/>
  <c r="R6371" i="3" s="1"/>
  <c r="Q6372" i="3"/>
  <c r="R6372" i="3" s="1"/>
  <c r="Q6373" i="3"/>
  <c r="R6373" i="3" s="1"/>
  <c r="Q6374" i="3"/>
  <c r="R6374" i="3" s="1"/>
  <c r="Q6375" i="3"/>
  <c r="R6375" i="3" s="1"/>
  <c r="Q6376" i="3"/>
  <c r="R6376" i="3" s="1"/>
  <c r="Q6377" i="3"/>
  <c r="R6377" i="3" s="1"/>
  <c r="Q6378" i="3"/>
  <c r="R6378" i="3" s="1"/>
  <c r="Q6379" i="3"/>
  <c r="R6379" i="3" s="1"/>
  <c r="Q6380" i="3"/>
  <c r="R6380" i="3" s="1"/>
  <c r="Q6381" i="3"/>
  <c r="R6381" i="3" s="1"/>
  <c r="Q6382" i="3"/>
  <c r="R6382" i="3" s="1"/>
  <c r="Q6383" i="3"/>
  <c r="R6383" i="3" s="1"/>
  <c r="Q6384" i="3"/>
  <c r="R6384" i="3" s="1"/>
  <c r="Q6385" i="3"/>
  <c r="R6385" i="3" s="1"/>
  <c r="Q6386" i="3"/>
  <c r="R6386" i="3" s="1"/>
  <c r="Q6387" i="3"/>
  <c r="R6387" i="3" s="1"/>
  <c r="Q6388" i="3"/>
  <c r="R6388" i="3" s="1"/>
  <c r="Q6389" i="3"/>
  <c r="R6389" i="3" s="1"/>
  <c r="Q6390" i="3"/>
  <c r="R6390" i="3" s="1"/>
  <c r="Q6391" i="3"/>
  <c r="R6391" i="3" s="1"/>
  <c r="Q6392" i="3"/>
  <c r="R6392" i="3" s="1"/>
  <c r="Q6393" i="3"/>
  <c r="R6393" i="3" s="1"/>
  <c r="Q6394" i="3"/>
  <c r="R6394" i="3" s="1"/>
  <c r="Q6395" i="3"/>
  <c r="R6395" i="3" s="1"/>
  <c r="Q6396" i="3"/>
  <c r="R6396" i="3" s="1"/>
  <c r="Q6397" i="3"/>
  <c r="R6397" i="3" s="1"/>
  <c r="Q6398" i="3"/>
  <c r="R6398" i="3" s="1"/>
  <c r="Q6399" i="3"/>
  <c r="R6399" i="3" s="1"/>
  <c r="Q6400" i="3"/>
  <c r="R6400" i="3" s="1"/>
  <c r="Q6401" i="3"/>
  <c r="R6401" i="3" s="1"/>
  <c r="Q6402" i="3"/>
  <c r="R6402" i="3" s="1"/>
  <c r="Q6403" i="3"/>
  <c r="R6403" i="3" s="1"/>
  <c r="Q6404" i="3"/>
  <c r="R6404" i="3" s="1"/>
  <c r="Q6405" i="3"/>
  <c r="R6405" i="3" s="1"/>
  <c r="Q6406" i="3"/>
  <c r="R6406" i="3" s="1"/>
  <c r="Q6407" i="3"/>
  <c r="R6407" i="3" s="1"/>
  <c r="Q6408" i="3"/>
  <c r="R6408" i="3" s="1"/>
  <c r="Q6409" i="3"/>
  <c r="R6409" i="3" s="1"/>
  <c r="Q6410" i="3"/>
  <c r="R6410" i="3" s="1"/>
  <c r="Q6411" i="3"/>
  <c r="R6411" i="3" s="1"/>
  <c r="Q6412" i="3"/>
  <c r="R6412" i="3" s="1"/>
  <c r="Q6413" i="3"/>
  <c r="R6413" i="3" s="1"/>
  <c r="Q6414" i="3"/>
  <c r="R6414" i="3" s="1"/>
  <c r="Q6415" i="3"/>
  <c r="R6415" i="3" s="1"/>
  <c r="Q6416" i="3"/>
  <c r="R6416" i="3" s="1"/>
  <c r="Q6417" i="3"/>
  <c r="R6417" i="3" s="1"/>
  <c r="Q6418" i="3"/>
  <c r="R6418" i="3" s="1"/>
  <c r="Q6419" i="3"/>
  <c r="R6419" i="3" s="1"/>
  <c r="Q6420" i="3"/>
  <c r="R6420" i="3" s="1"/>
  <c r="Q6421" i="3"/>
  <c r="R6421" i="3" s="1"/>
  <c r="Q6422" i="3"/>
  <c r="R6422" i="3" s="1"/>
  <c r="Q6423" i="3"/>
  <c r="R6423" i="3" s="1"/>
  <c r="Q6424" i="3"/>
  <c r="R6424" i="3" s="1"/>
  <c r="Q6425" i="3"/>
  <c r="R6425" i="3" s="1"/>
  <c r="Q6426" i="3"/>
  <c r="R6426" i="3" s="1"/>
  <c r="Q6427" i="3"/>
  <c r="R6427" i="3" s="1"/>
  <c r="Q6428" i="3"/>
  <c r="R6428" i="3" s="1"/>
  <c r="Q6429" i="3"/>
  <c r="R6429" i="3" s="1"/>
  <c r="Q6430" i="3"/>
  <c r="R6430" i="3" s="1"/>
  <c r="Q6431" i="3"/>
  <c r="R6431" i="3" s="1"/>
  <c r="Q6432" i="3"/>
  <c r="R6432" i="3" s="1"/>
  <c r="Q6433" i="3"/>
  <c r="R6433" i="3" s="1"/>
  <c r="Q6434" i="3"/>
  <c r="R6434" i="3" s="1"/>
  <c r="Q6435" i="3"/>
  <c r="R6435" i="3" s="1"/>
  <c r="Q6436" i="3"/>
  <c r="R6436" i="3" s="1"/>
  <c r="Q6437" i="3"/>
  <c r="R6437" i="3" s="1"/>
  <c r="Q6438" i="3"/>
  <c r="R6438" i="3" s="1"/>
  <c r="Q6439" i="3"/>
  <c r="R6439" i="3" s="1"/>
  <c r="Q6440" i="3"/>
  <c r="R6440" i="3" s="1"/>
  <c r="Q6441" i="3"/>
  <c r="R6441" i="3" s="1"/>
  <c r="Q6442" i="3"/>
  <c r="R6442" i="3" s="1"/>
  <c r="Q6443" i="3"/>
  <c r="R6443" i="3" s="1"/>
  <c r="Q6444" i="3"/>
  <c r="R6444" i="3" s="1"/>
  <c r="Q6445" i="3"/>
  <c r="R6445" i="3" s="1"/>
  <c r="Q6446" i="3"/>
  <c r="R6446" i="3" s="1"/>
  <c r="Q6447" i="3"/>
  <c r="R6447" i="3" s="1"/>
  <c r="Q6448" i="3"/>
  <c r="R6448" i="3" s="1"/>
  <c r="Q6449" i="3"/>
  <c r="R6449" i="3" s="1"/>
  <c r="Q6450" i="3"/>
  <c r="R6450" i="3" s="1"/>
  <c r="Q6451" i="3"/>
  <c r="R6451" i="3" s="1"/>
  <c r="Q6452" i="3"/>
  <c r="R6452" i="3" s="1"/>
  <c r="Q6453" i="3"/>
  <c r="R6453" i="3" s="1"/>
  <c r="Q6454" i="3"/>
  <c r="R6454" i="3" s="1"/>
  <c r="Q6455" i="3"/>
  <c r="R6455" i="3" s="1"/>
  <c r="Q6456" i="3"/>
  <c r="R6456" i="3" s="1"/>
  <c r="Q6457" i="3"/>
  <c r="R6457" i="3" s="1"/>
  <c r="Q6458" i="3"/>
  <c r="R6458" i="3" s="1"/>
  <c r="Q6459" i="3"/>
  <c r="R6459" i="3" s="1"/>
  <c r="Q6460" i="3"/>
  <c r="R6460" i="3" s="1"/>
  <c r="Q6461" i="3"/>
  <c r="R6461" i="3" s="1"/>
  <c r="Q6462" i="3"/>
  <c r="R6462" i="3" s="1"/>
  <c r="Q6463" i="3"/>
  <c r="R6463" i="3" s="1"/>
  <c r="Q6464" i="3"/>
  <c r="R6464" i="3" s="1"/>
  <c r="Q6465" i="3"/>
  <c r="R6465" i="3" s="1"/>
  <c r="Q6466" i="3"/>
  <c r="R6466" i="3" s="1"/>
  <c r="Q6467" i="3"/>
  <c r="R6467" i="3" s="1"/>
  <c r="Q6468" i="3"/>
  <c r="R6468" i="3" s="1"/>
  <c r="Q6469" i="3"/>
  <c r="R6469" i="3" s="1"/>
  <c r="Q6470" i="3"/>
  <c r="R6470" i="3" s="1"/>
  <c r="Q6471" i="3"/>
  <c r="R6471" i="3" s="1"/>
  <c r="Q6472" i="3"/>
  <c r="R6472" i="3" s="1"/>
  <c r="Q6473" i="3"/>
  <c r="R6473" i="3" s="1"/>
  <c r="Q6474" i="3"/>
  <c r="R6474" i="3" s="1"/>
  <c r="Q6475" i="3"/>
  <c r="R6475" i="3" s="1"/>
  <c r="Q6476" i="3"/>
  <c r="R6476" i="3" s="1"/>
  <c r="Q6477" i="3"/>
  <c r="R6477" i="3" s="1"/>
  <c r="Q6478" i="3"/>
  <c r="R6478" i="3" s="1"/>
  <c r="Q6479" i="3"/>
  <c r="R6479" i="3" s="1"/>
  <c r="Q6480" i="3"/>
  <c r="R6480" i="3" s="1"/>
  <c r="Q6481" i="3"/>
  <c r="R6481" i="3" s="1"/>
  <c r="Q6482" i="3"/>
  <c r="R6482" i="3" s="1"/>
  <c r="Q6483" i="3"/>
  <c r="R6483" i="3" s="1"/>
  <c r="Q6484" i="3"/>
  <c r="R6484" i="3" s="1"/>
  <c r="Q6485" i="3"/>
  <c r="R6485" i="3" s="1"/>
  <c r="Q6486" i="3"/>
  <c r="R6486" i="3" s="1"/>
  <c r="Q6487" i="3"/>
  <c r="R6487" i="3" s="1"/>
  <c r="Q6488" i="3"/>
  <c r="R6488" i="3" s="1"/>
  <c r="Q6489" i="3"/>
  <c r="R6489" i="3" s="1"/>
  <c r="Q6490" i="3"/>
  <c r="R6490" i="3" s="1"/>
  <c r="Q6491" i="3"/>
  <c r="R6491" i="3" s="1"/>
  <c r="Q6492" i="3"/>
  <c r="R6492" i="3" s="1"/>
  <c r="Q6493" i="3"/>
  <c r="R6493" i="3" s="1"/>
  <c r="Q6494" i="3"/>
  <c r="R6494" i="3" s="1"/>
  <c r="Q6495" i="3"/>
  <c r="R6495" i="3" s="1"/>
  <c r="Q6496" i="3"/>
  <c r="R6496" i="3" s="1"/>
  <c r="Q6497" i="3"/>
  <c r="R6497" i="3" s="1"/>
  <c r="Q6498" i="3"/>
  <c r="R6498" i="3" s="1"/>
  <c r="Q6499" i="3"/>
  <c r="R6499" i="3" s="1"/>
  <c r="Q6500" i="3"/>
  <c r="R6500" i="3" s="1"/>
  <c r="Q6501" i="3"/>
  <c r="R6501" i="3" s="1"/>
  <c r="Q6502" i="3"/>
  <c r="R6502" i="3" s="1"/>
  <c r="Q6503" i="3"/>
  <c r="R6503" i="3" s="1"/>
  <c r="Q6504" i="3"/>
  <c r="R6504" i="3" s="1"/>
  <c r="Q6505" i="3"/>
  <c r="R6505" i="3" s="1"/>
  <c r="Q6506" i="3"/>
  <c r="R6506" i="3" s="1"/>
  <c r="Q6507" i="3"/>
  <c r="R6507" i="3" s="1"/>
  <c r="Q6508" i="3"/>
  <c r="R6508" i="3" s="1"/>
  <c r="Q6509" i="3"/>
  <c r="R6509" i="3" s="1"/>
  <c r="Q6510" i="3"/>
  <c r="R6510" i="3" s="1"/>
  <c r="Q6511" i="3"/>
  <c r="R6511" i="3" s="1"/>
  <c r="Q6512" i="3"/>
  <c r="R6512" i="3" s="1"/>
  <c r="Q6513" i="3"/>
  <c r="R6513" i="3" s="1"/>
  <c r="Q6514" i="3"/>
  <c r="R6514" i="3" s="1"/>
  <c r="Q6515" i="3"/>
  <c r="R6515" i="3" s="1"/>
  <c r="Q6516" i="3"/>
  <c r="R6516" i="3" s="1"/>
  <c r="Q6517" i="3"/>
  <c r="R6517" i="3" s="1"/>
  <c r="Q6518" i="3"/>
  <c r="R6518" i="3" s="1"/>
  <c r="Q6519" i="3"/>
  <c r="R6519" i="3" s="1"/>
  <c r="Q6520" i="3"/>
  <c r="R6520" i="3" s="1"/>
  <c r="Q6521" i="3"/>
  <c r="R6521" i="3" s="1"/>
  <c r="Q6522" i="3"/>
  <c r="R6522" i="3" s="1"/>
  <c r="Q6523" i="3"/>
  <c r="R6523" i="3" s="1"/>
  <c r="Q6524" i="3"/>
  <c r="R6524" i="3" s="1"/>
  <c r="Q6525" i="3"/>
  <c r="R6525" i="3" s="1"/>
  <c r="Q6526" i="3"/>
  <c r="R6526" i="3" s="1"/>
  <c r="Q6527" i="3"/>
  <c r="R6527" i="3" s="1"/>
  <c r="Q6528" i="3"/>
  <c r="R6528" i="3" s="1"/>
  <c r="Q6529" i="3"/>
  <c r="R6529" i="3" s="1"/>
  <c r="Q6530" i="3"/>
  <c r="R6530" i="3" s="1"/>
  <c r="Q6531" i="3"/>
  <c r="R6531" i="3" s="1"/>
  <c r="Q6532" i="3"/>
  <c r="R6532" i="3" s="1"/>
  <c r="Q6533" i="3"/>
  <c r="R6533" i="3" s="1"/>
  <c r="Q6534" i="3"/>
  <c r="R6534" i="3" s="1"/>
  <c r="Q6535" i="3"/>
  <c r="R6535" i="3" s="1"/>
  <c r="Q6536" i="3"/>
  <c r="R6536" i="3" s="1"/>
  <c r="Q6537" i="3"/>
  <c r="R6537" i="3" s="1"/>
  <c r="Q6538" i="3"/>
  <c r="R6538" i="3" s="1"/>
  <c r="Q6539" i="3"/>
  <c r="R6539" i="3" s="1"/>
  <c r="Q6540" i="3"/>
  <c r="R6540" i="3" s="1"/>
  <c r="Q6541" i="3"/>
  <c r="R6541" i="3" s="1"/>
  <c r="Q6542" i="3"/>
  <c r="R6542" i="3" s="1"/>
  <c r="Q6543" i="3"/>
  <c r="R6543" i="3" s="1"/>
  <c r="Q6544" i="3"/>
  <c r="R6544" i="3" s="1"/>
  <c r="Q6545" i="3"/>
  <c r="R6545" i="3" s="1"/>
  <c r="Q6546" i="3"/>
  <c r="R6546" i="3" s="1"/>
  <c r="Q6547" i="3"/>
  <c r="R6547" i="3" s="1"/>
  <c r="Q6548" i="3"/>
  <c r="R6548" i="3" s="1"/>
  <c r="Q6549" i="3"/>
  <c r="R6549" i="3" s="1"/>
  <c r="Q6550" i="3"/>
  <c r="R6550" i="3" s="1"/>
  <c r="Q6551" i="3"/>
  <c r="R6551" i="3" s="1"/>
  <c r="Q6552" i="3"/>
  <c r="R6552" i="3" s="1"/>
  <c r="Q6553" i="3"/>
  <c r="R6553" i="3" s="1"/>
  <c r="Q6554" i="3"/>
  <c r="R6554" i="3" s="1"/>
  <c r="Q6555" i="3"/>
  <c r="R6555" i="3" s="1"/>
  <c r="Q6556" i="3"/>
  <c r="R6556" i="3" s="1"/>
  <c r="Q6557" i="3"/>
  <c r="R6557" i="3" s="1"/>
  <c r="Q6558" i="3"/>
  <c r="R6558" i="3" s="1"/>
  <c r="Q6559" i="3"/>
  <c r="R6559" i="3" s="1"/>
  <c r="Q6560" i="3"/>
  <c r="R6560" i="3" s="1"/>
  <c r="Q6561" i="3"/>
  <c r="R6561" i="3" s="1"/>
  <c r="Q6562" i="3"/>
  <c r="R6562" i="3" s="1"/>
  <c r="Q6563" i="3"/>
  <c r="R6563" i="3" s="1"/>
  <c r="Q6564" i="3"/>
  <c r="R6564" i="3" s="1"/>
  <c r="Q6565" i="3"/>
  <c r="R6565" i="3" s="1"/>
  <c r="Q6566" i="3"/>
  <c r="R6566" i="3" s="1"/>
  <c r="Q6567" i="3"/>
  <c r="R6567" i="3" s="1"/>
  <c r="Q6568" i="3"/>
  <c r="R6568" i="3" s="1"/>
  <c r="Q6569" i="3"/>
  <c r="R6569" i="3" s="1"/>
  <c r="Q6570" i="3"/>
  <c r="R6570" i="3" s="1"/>
  <c r="Q6571" i="3"/>
  <c r="R6571" i="3" s="1"/>
  <c r="Q6572" i="3"/>
  <c r="R6572" i="3" s="1"/>
  <c r="Q6573" i="3"/>
  <c r="R6573" i="3" s="1"/>
  <c r="Q6574" i="3"/>
  <c r="R6574" i="3" s="1"/>
  <c r="Q6575" i="3"/>
  <c r="R6575" i="3" s="1"/>
  <c r="Q6576" i="3"/>
  <c r="R6576" i="3" s="1"/>
  <c r="Q6577" i="3"/>
  <c r="R6577" i="3" s="1"/>
  <c r="Q6578" i="3"/>
  <c r="R6578" i="3" s="1"/>
  <c r="Q6579" i="3"/>
  <c r="R6579" i="3" s="1"/>
  <c r="Q6580" i="3"/>
  <c r="R6580" i="3" s="1"/>
  <c r="Q6581" i="3"/>
  <c r="R6581" i="3" s="1"/>
  <c r="Q6582" i="3"/>
  <c r="R6582" i="3" s="1"/>
  <c r="Q6583" i="3"/>
  <c r="R6583" i="3" s="1"/>
  <c r="Q6584" i="3"/>
  <c r="R6584" i="3" s="1"/>
  <c r="Q6585" i="3"/>
  <c r="R6585" i="3" s="1"/>
  <c r="Q6586" i="3"/>
  <c r="R6586" i="3" s="1"/>
  <c r="Q6587" i="3"/>
  <c r="R6587" i="3" s="1"/>
  <c r="Q6588" i="3"/>
  <c r="R6588" i="3" s="1"/>
  <c r="Q6589" i="3"/>
  <c r="R6589" i="3" s="1"/>
  <c r="Q6590" i="3"/>
  <c r="R6590" i="3" s="1"/>
  <c r="Q6591" i="3"/>
  <c r="R6591" i="3" s="1"/>
  <c r="Q6592" i="3"/>
  <c r="R6592" i="3" s="1"/>
  <c r="Q6593" i="3"/>
  <c r="R6593" i="3" s="1"/>
  <c r="Q6594" i="3"/>
  <c r="R6594" i="3" s="1"/>
  <c r="Q6595" i="3"/>
  <c r="R6595" i="3" s="1"/>
  <c r="Q6596" i="3"/>
  <c r="R6596" i="3" s="1"/>
  <c r="Q6597" i="3"/>
  <c r="R6597" i="3" s="1"/>
  <c r="Q6598" i="3"/>
  <c r="R6598" i="3" s="1"/>
  <c r="Q6599" i="3"/>
  <c r="R6599" i="3" s="1"/>
  <c r="Q6600" i="3"/>
  <c r="R6600" i="3" s="1"/>
  <c r="Q6601" i="3"/>
  <c r="R6601" i="3" s="1"/>
  <c r="Q6602" i="3"/>
  <c r="R6602" i="3" s="1"/>
  <c r="Q6603" i="3"/>
  <c r="R6603" i="3" s="1"/>
  <c r="Q6604" i="3"/>
  <c r="R6604" i="3" s="1"/>
  <c r="Q6605" i="3"/>
  <c r="R6605" i="3" s="1"/>
  <c r="Q6606" i="3"/>
  <c r="R6606" i="3" s="1"/>
  <c r="Q6607" i="3"/>
  <c r="R6607" i="3" s="1"/>
  <c r="Q6608" i="3"/>
  <c r="R6608" i="3" s="1"/>
  <c r="Q6609" i="3"/>
  <c r="R6609" i="3" s="1"/>
  <c r="Q6610" i="3"/>
  <c r="R6610" i="3" s="1"/>
  <c r="Q6611" i="3"/>
  <c r="R6611" i="3" s="1"/>
  <c r="Q6612" i="3"/>
  <c r="R6612" i="3" s="1"/>
  <c r="Q6613" i="3"/>
  <c r="R6613" i="3" s="1"/>
  <c r="Q6614" i="3"/>
  <c r="R6614" i="3" s="1"/>
  <c r="Q6615" i="3"/>
  <c r="R6615" i="3" s="1"/>
  <c r="Q6616" i="3"/>
  <c r="R6616" i="3" s="1"/>
  <c r="Q6617" i="3"/>
  <c r="R6617" i="3" s="1"/>
  <c r="Q6618" i="3"/>
  <c r="R6618" i="3" s="1"/>
  <c r="Q6619" i="3"/>
  <c r="R6619" i="3" s="1"/>
  <c r="Q6620" i="3"/>
  <c r="R6620" i="3" s="1"/>
  <c r="Q6621" i="3"/>
  <c r="R6621" i="3" s="1"/>
  <c r="Q6622" i="3"/>
  <c r="R6622" i="3" s="1"/>
  <c r="Q6623" i="3"/>
  <c r="R6623" i="3" s="1"/>
  <c r="Q6624" i="3"/>
  <c r="R6624" i="3" s="1"/>
  <c r="Q6625" i="3"/>
  <c r="R6625" i="3" s="1"/>
  <c r="Q6626" i="3"/>
  <c r="R6626" i="3" s="1"/>
  <c r="Q6627" i="3"/>
  <c r="R6627" i="3" s="1"/>
  <c r="Q6628" i="3"/>
  <c r="R6628" i="3" s="1"/>
  <c r="Q6629" i="3"/>
  <c r="R6629" i="3" s="1"/>
  <c r="Q6630" i="3"/>
  <c r="R6630" i="3" s="1"/>
  <c r="Q6631" i="3"/>
  <c r="R6631" i="3" s="1"/>
  <c r="Q6632" i="3"/>
  <c r="R6632" i="3" s="1"/>
  <c r="Q6633" i="3"/>
  <c r="R6633" i="3" s="1"/>
  <c r="Q6634" i="3"/>
  <c r="R6634" i="3" s="1"/>
  <c r="Q6635" i="3"/>
  <c r="R6635" i="3" s="1"/>
  <c r="Q6636" i="3"/>
  <c r="R6636" i="3" s="1"/>
  <c r="Q6637" i="3"/>
  <c r="R6637" i="3" s="1"/>
  <c r="Q6638" i="3"/>
  <c r="R6638" i="3" s="1"/>
  <c r="Q6639" i="3"/>
  <c r="R6639" i="3" s="1"/>
  <c r="Q6640" i="3"/>
  <c r="R6640" i="3" s="1"/>
  <c r="Q6641" i="3"/>
  <c r="R6641" i="3" s="1"/>
  <c r="Q6642" i="3"/>
  <c r="R6642" i="3" s="1"/>
  <c r="Q6643" i="3"/>
  <c r="R6643" i="3" s="1"/>
  <c r="Q6644" i="3"/>
  <c r="R6644" i="3" s="1"/>
  <c r="Q6645" i="3"/>
  <c r="R6645" i="3" s="1"/>
  <c r="Q6646" i="3"/>
  <c r="R6646" i="3" s="1"/>
  <c r="Q6647" i="3"/>
  <c r="R6647" i="3" s="1"/>
  <c r="Q6648" i="3"/>
  <c r="R6648" i="3" s="1"/>
  <c r="Q6649" i="3"/>
  <c r="R6649" i="3" s="1"/>
  <c r="Q6650" i="3"/>
  <c r="R6650" i="3" s="1"/>
  <c r="Q6651" i="3"/>
  <c r="R6651" i="3" s="1"/>
  <c r="Q6652" i="3"/>
  <c r="R6652" i="3" s="1"/>
  <c r="Q6653" i="3"/>
  <c r="R6653" i="3" s="1"/>
  <c r="Q6654" i="3"/>
  <c r="R6654" i="3" s="1"/>
  <c r="Q6655" i="3"/>
  <c r="R6655" i="3" s="1"/>
  <c r="Q6656" i="3"/>
  <c r="R6656" i="3" s="1"/>
  <c r="Q6657" i="3"/>
  <c r="R6657" i="3" s="1"/>
  <c r="Q6658" i="3"/>
  <c r="R6658" i="3" s="1"/>
  <c r="Q6659" i="3"/>
  <c r="R6659" i="3" s="1"/>
  <c r="Q6660" i="3"/>
  <c r="R6660" i="3" s="1"/>
  <c r="Q6661" i="3"/>
  <c r="R6661" i="3" s="1"/>
  <c r="Q6662" i="3"/>
  <c r="R6662" i="3" s="1"/>
  <c r="Q6663" i="3"/>
  <c r="R6663" i="3" s="1"/>
  <c r="Q6664" i="3"/>
  <c r="R6664" i="3" s="1"/>
  <c r="Q6665" i="3"/>
  <c r="R6665" i="3" s="1"/>
  <c r="Q6666" i="3"/>
  <c r="R6666" i="3" s="1"/>
  <c r="Q6667" i="3"/>
  <c r="R6667" i="3" s="1"/>
  <c r="Q6668" i="3"/>
  <c r="R6668" i="3" s="1"/>
  <c r="Q6669" i="3"/>
  <c r="R6669" i="3" s="1"/>
  <c r="Q6670" i="3"/>
  <c r="R6670" i="3" s="1"/>
  <c r="Q6671" i="3"/>
  <c r="R6671" i="3" s="1"/>
  <c r="Q6672" i="3"/>
  <c r="R6672" i="3" s="1"/>
  <c r="Q6673" i="3"/>
  <c r="R6673" i="3" s="1"/>
  <c r="Q6674" i="3"/>
  <c r="R6674" i="3" s="1"/>
  <c r="Q6675" i="3"/>
  <c r="R6675" i="3" s="1"/>
  <c r="Q6676" i="3"/>
  <c r="R6676" i="3" s="1"/>
  <c r="Q6677" i="3"/>
  <c r="R6677" i="3" s="1"/>
  <c r="Q6678" i="3"/>
  <c r="R6678" i="3" s="1"/>
  <c r="Q6679" i="3"/>
  <c r="R6679" i="3" s="1"/>
  <c r="Q6680" i="3"/>
  <c r="R6680" i="3" s="1"/>
  <c r="Q6681" i="3"/>
  <c r="R6681" i="3" s="1"/>
  <c r="Q6682" i="3"/>
  <c r="R6682" i="3" s="1"/>
  <c r="Q6683" i="3"/>
  <c r="R6683" i="3" s="1"/>
  <c r="Q6684" i="3"/>
  <c r="R6684" i="3" s="1"/>
  <c r="Q6685" i="3"/>
  <c r="R6685" i="3" s="1"/>
  <c r="Q6686" i="3"/>
  <c r="R6686" i="3" s="1"/>
  <c r="Q6687" i="3"/>
  <c r="R6687" i="3" s="1"/>
  <c r="Q6688" i="3"/>
  <c r="R6688" i="3" s="1"/>
  <c r="Q6689" i="3"/>
  <c r="R6689" i="3" s="1"/>
  <c r="Q6690" i="3"/>
  <c r="R6690" i="3" s="1"/>
  <c r="Q6691" i="3"/>
  <c r="R6691" i="3" s="1"/>
  <c r="Q6692" i="3"/>
  <c r="R6692" i="3" s="1"/>
  <c r="Q6693" i="3"/>
  <c r="R6693" i="3" s="1"/>
  <c r="Q6694" i="3"/>
  <c r="R6694" i="3" s="1"/>
  <c r="Q6695" i="3"/>
  <c r="R6695" i="3" s="1"/>
  <c r="Q6696" i="3"/>
  <c r="R6696" i="3" s="1"/>
  <c r="Q6697" i="3"/>
  <c r="R6697" i="3" s="1"/>
  <c r="Q6698" i="3"/>
  <c r="R6698" i="3" s="1"/>
  <c r="Q6699" i="3"/>
  <c r="R6699" i="3" s="1"/>
  <c r="Q6700" i="3"/>
  <c r="R6700" i="3" s="1"/>
  <c r="Q6701" i="3"/>
  <c r="R6701" i="3" s="1"/>
  <c r="Q6702" i="3"/>
  <c r="R6702" i="3" s="1"/>
  <c r="Q6703" i="3"/>
  <c r="R6703" i="3" s="1"/>
  <c r="Q6704" i="3"/>
  <c r="R6704" i="3" s="1"/>
  <c r="Q6705" i="3"/>
  <c r="R6705" i="3" s="1"/>
  <c r="Q6706" i="3"/>
  <c r="R6706" i="3" s="1"/>
  <c r="Q6707" i="3"/>
  <c r="R6707" i="3" s="1"/>
  <c r="Q6708" i="3"/>
  <c r="R6708" i="3" s="1"/>
  <c r="Q6709" i="3"/>
  <c r="R6709" i="3" s="1"/>
  <c r="Q6710" i="3"/>
  <c r="R6710" i="3" s="1"/>
  <c r="Q6711" i="3"/>
  <c r="R6711" i="3" s="1"/>
  <c r="Q6712" i="3"/>
  <c r="R6712" i="3" s="1"/>
  <c r="Q6713" i="3"/>
  <c r="R6713" i="3" s="1"/>
  <c r="Q6714" i="3"/>
  <c r="R6714" i="3" s="1"/>
  <c r="Q6715" i="3"/>
  <c r="R6715" i="3" s="1"/>
  <c r="Q6716" i="3"/>
  <c r="R6716" i="3" s="1"/>
  <c r="Q6717" i="3"/>
  <c r="R6717" i="3" s="1"/>
  <c r="Q6718" i="3"/>
  <c r="R6718" i="3" s="1"/>
  <c r="Q6719" i="3"/>
  <c r="R6719" i="3" s="1"/>
  <c r="Q6720" i="3"/>
  <c r="R6720" i="3" s="1"/>
  <c r="Q6721" i="3"/>
  <c r="R6721" i="3" s="1"/>
  <c r="Q6722" i="3"/>
  <c r="R6722" i="3" s="1"/>
  <c r="Q6723" i="3"/>
  <c r="R6723" i="3" s="1"/>
  <c r="Q6724" i="3"/>
  <c r="R6724" i="3" s="1"/>
  <c r="Q6725" i="3"/>
  <c r="R6725" i="3" s="1"/>
  <c r="Q6726" i="3"/>
  <c r="R6726" i="3" s="1"/>
  <c r="Q6727" i="3"/>
  <c r="R6727" i="3" s="1"/>
  <c r="Q6728" i="3"/>
  <c r="R6728" i="3" s="1"/>
  <c r="Q6729" i="3"/>
  <c r="R6729" i="3" s="1"/>
  <c r="Q6730" i="3"/>
  <c r="R6730" i="3" s="1"/>
  <c r="Q6731" i="3"/>
  <c r="R6731" i="3" s="1"/>
  <c r="Q6732" i="3"/>
  <c r="R6732" i="3" s="1"/>
  <c r="Q6733" i="3"/>
  <c r="R6733" i="3" s="1"/>
  <c r="Q6734" i="3"/>
  <c r="R6734" i="3" s="1"/>
  <c r="Q6735" i="3"/>
  <c r="R6735" i="3" s="1"/>
  <c r="Q6736" i="3"/>
  <c r="R6736" i="3" s="1"/>
  <c r="Q6737" i="3"/>
  <c r="R6737" i="3" s="1"/>
  <c r="Q6738" i="3"/>
  <c r="R6738" i="3" s="1"/>
  <c r="Q6739" i="3"/>
  <c r="R6739" i="3" s="1"/>
  <c r="Q6740" i="3"/>
  <c r="R6740" i="3" s="1"/>
  <c r="Q6741" i="3"/>
  <c r="R6741" i="3" s="1"/>
  <c r="Q6742" i="3"/>
  <c r="R6742" i="3" s="1"/>
  <c r="Q6743" i="3"/>
  <c r="R6743" i="3" s="1"/>
  <c r="Q6744" i="3"/>
  <c r="R6744" i="3" s="1"/>
  <c r="Q6745" i="3"/>
  <c r="R6745" i="3" s="1"/>
  <c r="Q6746" i="3"/>
  <c r="R6746" i="3" s="1"/>
  <c r="Q6747" i="3"/>
  <c r="R6747" i="3" s="1"/>
  <c r="Q6748" i="3"/>
  <c r="R6748" i="3" s="1"/>
  <c r="Q6749" i="3"/>
  <c r="R6749" i="3" s="1"/>
  <c r="Q6750" i="3"/>
  <c r="R6750" i="3" s="1"/>
  <c r="Q6751" i="3"/>
  <c r="R6751" i="3" s="1"/>
  <c r="Q6752" i="3"/>
  <c r="R6752" i="3" s="1"/>
  <c r="Q6753" i="3"/>
  <c r="R6753" i="3" s="1"/>
  <c r="Q6754" i="3"/>
  <c r="R6754" i="3" s="1"/>
  <c r="Q6755" i="3"/>
  <c r="R6755" i="3" s="1"/>
  <c r="Q6756" i="3"/>
  <c r="R6756" i="3" s="1"/>
  <c r="Q6757" i="3"/>
  <c r="R6757" i="3" s="1"/>
  <c r="Q6758" i="3"/>
  <c r="R6758" i="3" s="1"/>
  <c r="Q6759" i="3"/>
  <c r="R6759" i="3" s="1"/>
  <c r="Q6760" i="3"/>
  <c r="R6760" i="3" s="1"/>
  <c r="Q6761" i="3"/>
  <c r="R6761" i="3" s="1"/>
  <c r="Q6762" i="3"/>
  <c r="R6762" i="3" s="1"/>
  <c r="Q6763" i="3"/>
  <c r="R6763" i="3" s="1"/>
  <c r="Q6764" i="3"/>
  <c r="R6764" i="3" s="1"/>
  <c r="Q6765" i="3"/>
  <c r="R6765" i="3" s="1"/>
  <c r="Q6766" i="3"/>
  <c r="R6766" i="3" s="1"/>
  <c r="Q6767" i="3"/>
  <c r="R6767" i="3" s="1"/>
  <c r="Q6768" i="3"/>
  <c r="R6768" i="3" s="1"/>
  <c r="Q6769" i="3"/>
  <c r="R6769" i="3" s="1"/>
  <c r="Q6770" i="3"/>
  <c r="R6770" i="3" s="1"/>
  <c r="Q6771" i="3"/>
  <c r="R6771" i="3" s="1"/>
  <c r="Q6772" i="3"/>
  <c r="R6772" i="3" s="1"/>
  <c r="Q6773" i="3"/>
  <c r="R6773" i="3" s="1"/>
  <c r="Q6774" i="3"/>
  <c r="R6774" i="3" s="1"/>
  <c r="Q6775" i="3"/>
  <c r="R6775" i="3" s="1"/>
  <c r="Q6776" i="3"/>
  <c r="R6776" i="3" s="1"/>
  <c r="Q6777" i="3"/>
  <c r="R6777" i="3" s="1"/>
  <c r="Q6778" i="3"/>
  <c r="R6778" i="3" s="1"/>
  <c r="Q6779" i="3"/>
  <c r="R6779" i="3" s="1"/>
  <c r="Q6780" i="3"/>
  <c r="R6780" i="3" s="1"/>
  <c r="Q6781" i="3"/>
  <c r="R6781" i="3" s="1"/>
  <c r="Q6782" i="3"/>
  <c r="R6782" i="3" s="1"/>
  <c r="Q6783" i="3"/>
  <c r="R6783" i="3" s="1"/>
  <c r="Q6784" i="3"/>
  <c r="R6784" i="3" s="1"/>
  <c r="Q6785" i="3"/>
  <c r="R6785" i="3" s="1"/>
  <c r="Q6786" i="3"/>
  <c r="R6786" i="3" s="1"/>
  <c r="Q6787" i="3"/>
  <c r="R6787" i="3" s="1"/>
  <c r="Q6788" i="3"/>
  <c r="R6788" i="3" s="1"/>
  <c r="Q6789" i="3"/>
  <c r="R6789" i="3" s="1"/>
  <c r="Q6790" i="3"/>
  <c r="R6790" i="3" s="1"/>
  <c r="Q6791" i="3"/>
  <c r="R6791" i="3" s="1"/>
  <c r="Q6792" i="3"/>
  <c r="R6792" i="3" s="1"/>
  <c r="Q6793" i="3"/>
  <c r="R6793" i="3" s="1"/>
  <c r="Q6794" i="3"/>
  <c r="R6794" i="3" s="1"/>
  <c r="Q6795" i="3"/>
  <c r="R6795" i="3" s="1"/>
  <c r="Q6796" i="3"/>
  <c r="R6796" i="3" s="1"/>
  <c r="Q6797" i="3"/>
  <c r="R6797" i="3" s="1"/>
  <c r="Q6798" i="3"/>
  <c r="R6798" i="3" s="1"/>
  <c r="Q6799" i="3"/>
  <c r="R6799" i="3" s="1"/>
  <c r="Q6800" i="3"/>
  <c r="R6800" i="3" s="1"/>
  <c r="Q6801" i="3"/>
  <c r="R6801" i="3" s="1"/>
  <c r="Q6802" i="3"/>
  <c r="R6802" i="3" s="1"/>
  <c r="Q6803" i="3"/>
  <c r="R6803" i="3" s="1"/>
  <c r="Q6804" i="3"/>
  <c r="R6804" i="3" s="1"/>
  <c r="Q6805" i="3"/>
  <c r="R6805" i="3" s="1"/>
  <c r="Q6806" i="3"/>
  <c r="R6806" i="3" s="1"/>
  <c r="Q6807" i="3"/>
  <c r="R6807" i="3" s="1"/>
  <c r="Q6808" i="3"/>
  <c r="R6808" i="3" s="1"/>
  <c r="Q6809" i="3"/>
  <c r="R6809" i="3" s="1"/>
  <c r="Q6810" i="3"/>
  <c r="R6810" i="3" s="1"/>
  <c r="Q6811" i="3"/>
  <c r="R6811" i="3" s="1"/>
  <c r="Q6812" i="3"/>
  <c r="R6812" i="3" s="1"/>
  <c r="Q6813" i="3"/>
  <c r="R6813" i="3" s="1"/>
  <c r="Q6814" i="3"/>
  <c r="R6814" i="3" s="1"/>
  <c r="Q6815" i="3"/>
  <c r="R6815" i="3" s="1"/>
  <c r="Q6816" i="3"/>
  <c r="R6816" i="3" s="1"/>
  <c r="Q6817" i="3"/>
  <c r="R6817" i="3" s="1"/>
  <c r="Q6818" i="3"/>
  <c r="R6818" i="3" s="1"/>
  <c r="Q6819" i="3"/>
  <c r="R6819" i="3" s="1"/>
  <c r="Q6820" i="3"/>
  <c r="R6820" i="3" s="1"/>
  <c r="Q6821" i="3"/>
  <c r="R6821" i="3" s="1"/>
  <c r="Q6822" i="3"/>
  <c r="R6822" i="3" s="1"/>
  <c r="Q6823" i="3"/>
  <c r="R6823" i="3" s="1"/>
  <c r="Q6824" i="3"/>
  <c r="R6824" i="3" s="1"/>
  <c r="Q6825" i="3"/>
  <c r="R6825" i="3" s="1"/>
  <c r="Q6826" i="3"/>
  <c r="R6826" i="3" s="1"/>
  <c r="Q6827" i="3"/>
  <c r="R6827" i="3" s="1"/>
  <c r="Q6828" i="3"/>
  <c r="R6828" i="3" s="1"/>
  <c r="Q6829" i="3"/>
  <c r="R6829" i="3" s="1"/>
  <c r="Q6830" i="3"/>
  <c r="R6830" i="3" s="1"/>
  <c r="Q6831" i="3"/>
  <c r="R6831" i="3" s="1"/>
  <c r="Q6832" i="3"/>
  <c r="R6832" i="3" s="1"/>
  <c r="Q6833" i="3"/>
  <c r="R6833" i="3" s="1"/>
  <c r="Q6834" i="3"/>
  <c r="R6834" i="3" s="1"/>
  <c r="Q6835" i="3"/>
  <c r="R6835" i="3" s="1"/>
  <c r="Q6836" i="3"/>
  <c r="R6836" i="3" s="1"/>
  <c r="Q6837" i="3"/>
  <c r="R6837" i="3" s="1"/>
  <c r="Q6838" i="3"/>
  <c r="R6838" i="3" s="1"/>
  <c r="Q6839" i="3"/>
  <c r="R6839" i="3" s="1"/>
  <c r="Q6840" i="3"/>
  <c r="R6840" i="3" s="1"/>
  <c r="Q6841" i="3"/>
  <c r="R6841" i="3" s="1"/>
  <c r="Q6842" i="3"/>
  <c r="R6842" i="3" s="1"/>
  <c r="Q6843" i="3"/>
  <c r="R6843" i="3" s="1"/>
  <c r="Q6844" i="3"/>
  <c r="R6844" i="3" s="1"/>
  <c r="Q6845" i="3"/>
  <c r="R6845" i="3" s="1"/>
  <c r="Q6846" i="3"/>
  <c r="R6846" i="3" s="1"/>
  <c r="Q6847" i="3"/>
  <c r="R6847" i="3" s="1"/>
  <c r="Q6848" i="3"/>
  <c r="R6848" i="3" s="1"/>
  <c r="Q6849" i="3"/>
  <c r="R6849" i="3" s="1"/>
  <c r="Q6850" i="3"/>
  <c r="R6850" i="3" s="1"/>
  <c r="Q6851" i="3"/>
  <c r="R6851" i="3" s="1"/>
  <c r="Q6852" i="3"/>
  <c r="R6852" i="3" s="1"/>
  <c r="Q6853" i="3"/>
  <c r="R6853" i="3" s="1"/>
  <c r="Q6854" i="3"/>
  <c r="R6854" i="3" s="1"/>
  <c r="Q6855" i="3"/>
  <c r="R6855" i="3" s="1"/>
  <c r="Q6856" i="3"/>
  <c r="R6856" i="3" s="1"/>
  <c r="Q6857" i="3"/>
  <c r="R6857" i="3" s="1"/>
  <c r="Q6858" i="3"/>
  <c r="R6858" i="3" s="1"/>
  <c r="Q6859" i="3"/>
  <c r="R6859" i="3" s="1"/>
  <c r="Q6860" i="3"/>
  <c r="R6860" i="3" s="1"/>
  <c r="Q6861" i="3"/>
  <c r="R6861" i="3" s="1"/>
  <c r="Q6862" i="3"/>
  <c r="R6862" i="3" s="1"/>
  <c r="Q6863" i="3"/>
  <c r="R6863" i="3" s="1"/>
  <c r="Q6864" i="3"/>
  <c r="R6864" i="3" s="1"/>
  <c r="Q6865" i="3"/>
  <c r="R6865" i="3" s="1"/>
  <c r="Q6866" i="3"/>
  <c r="R6866" i="3" s="1"/>
  <c r="Q6867" i="3"/>
  <c r="R6867" i="3" s="1"/>
  <c r="Q6868" i="3"/>
  <c r="R6868" i="3" s="1"/>
  <c r="Q6869" i="3"/>
  <c r="R6869" i="3" s="1"/>
  <c r="Q6870" i="3"/>
  <c r="R6870" i="3" s="1"/>
  <c r="Q6871" i="3"/>
  <c r="R6871" i="3" s="1"/>
  <c r="Q6872" i="3"/>
  <c r="R6872" i="3" s="1"/>
  <c r="Q6873" i="3"/>
  <c r="R6873" i="3" s="1"/>
  <c r="Q6874" i="3"/>
  <c r="R6874" i="3" s="1"/>
  <c r="Q6875" i="3"/>
  <c r="R6875" i="3" s="1"/>
  <c r="Q6876" i="3"/>
  <c r="R6876" i="3" s="1"/>
  <c r="Q6877" i="3"/>
  <c r="R6877" i="3" s="1"/>
  <c r="Q6878" i="3"/>
  <c r="R6878" i="3" s="1"/>
  <c r="Q6879" i="3"/>
  <c r="R6879" i="3" s="1"/>
  <c r="Q6880" i="3"/>
  <c r="R6880" i="3" s="1"/>
  <c r="Q6881" i="3"/>
  <c r="R6881" i="3" s="1"/>
  <c r="Q6882" i="3"/>
  <c r="R6882" i="3" s="1"/>
  <c r="Q6883" i="3"/>
  <c r="R6883" i="3" s="1"/>
  <c r="Q6884" i="3"/>
  <c r="R6884" i="3" s="1"/>
  <c r="Q6885" i="3"/>
  <c r="R6885" i="3" s="1"/>
  <c r="Q6886" i="3"/>
  <c r="R6886" i="3" s="1"/>
  <c r="Q6887" i="3"/>
  <c r="R6887" i="3" s="1"/>
  <c r="Q6888" i="3"/>
  <c r="R6888" i="3" s="1"/>
  <c r="Q6889" i="3"/>
  <c r="R6889" i="3" s="1"/>
  <c r="Q6890" i="3"/>
  <c r="R6890" i="3" s="1"/>
  <c r="Q6891" i="3"/>
  <c r="R6891" i="3" s="1"/>
  <c r="Q6892" i="3"/>
  <c r="R6892" i="3" s="1"/>
  <c r="Q6893" i="3"/>
  <c r="R6893" i="3" s="1"/>
  <c r="Q6894" i="3"/>
  <c r="R6894" i="3" s="1"/>
  <c r="Q6895" i="3"/>
  <c r="R6895" i="3" s="1"/>
  <c r="Q6896" i="3"/>
  <c r="R6896" i="3" s="1"/>
  <c r="Q6897" i="3"/>
  <c r="R6897" i="3" s="1"/>
  <c r="Q6898" i="3"/>
  <c r="R6898" i="3" s="1"/>
  <c r="Q6899" i="3"/>
  <c r="R6899" i="3" s="1"/>
  <c r="Q6900" i="3"/>
  <c r="R6900" i="3" s="1"/>
  <c r="Q6901" i="3"/>
  <c r="R6901" i="3" s="1"/>
  <c r="Q6902" i="3"/>
  <c r="R6902" i="3" s="1"/>
  <c r="Q6903" i="3"/>
  <c r="R6903" i="3" s="1"/>
  <c r="Q6904" i="3"/>
  <c r="R6904" i="3" s="1"/>
  <c r="Q6905" i="3"/>
  <c r="R6905" i="3" s="1"/>
  <c r="Q6906" i="3"/>
  <c r="R6906" i="3" s="1"/>
  <c r="Q6907" i="3"/>
  <c r="R6907" i="3" s="1"/>
  <c r="Q6908" i="3"/>
  <c r="R6908" i="3" s="1"/>
  <c r="Q6909" i="3"/>
  <c r="R6909" i="3" s="1"/>
  <c r="Q6910" i="3"/>
  <c r="R6910" i="3" s="1"/>
  <c r="Q6911" i="3"/>
  <c r="R6911" i="3" s="1"/>
  <c r="Q6912" i="3"/>
  <c r="R6912" i="3" s="1"/>
  <c r="Q6913" i="3"/>
  <c r="R6913" i="3" s="1"/>
  <c r="Q6914" i="3"/>
  <c r="R6914" i="3" s="1"/>
  <c r="Q6915" i="3"/>
  <c r="R6915" i="3" s="1"/>
  <c r="Q6916" i="3"/>
  <c r="R6916" i="3" s="1"/>
  <c r="Q6917" i="3"/>
  <c r="R6917" i="3" s="1"/>
  <c r="Q6918" i="3"/>
  <c r="R6918" i="3" s="1"/>
  <c r="Q6919" i="3"/>
  <c r="R6919" i="3" s="1"/>
  <c r="Q6920" i="3"/>
  <c r="R6920" i="3" s="1"/>
  <c r="Q6921" i="3"/>
  <c r="R6921" i="3" s="1"/>
  <c r="Q6922" i="3"/>
  <c r="R6922" i="3" s="1"/>
  <c r="Q6923" i="3"/>
  <c r="R6923" i="3" s="1"/>
  <c r="Q6924" i="3"/>
  <c r="R6924" i="3" s="1"/>
  <c r="Q6925" i="3"/>
  <c r="R6925" i="3" s="1"/>
  <c r="Q6926" i="3"/>
  <c r="R6926" i="3" s="1"/>
  <c r="Q6927" i="3"/>
  <c r="R6927" i="3" s="1"/>
  <c r="Q6928" i="3"/>
  <c r="R6928" i="3" s="1"/>
  <c r="Q6929" i="3"/>
  <c r="R6929" i="3" s="1"/>
  <c r="Q6930" i="3"/>
  <c r="R6930" i="3" s="1"/>
  <c r="Q6931" i="3"/>
  <c r="R6931" i="3" s="1"/>
  <c r="Q6932" i="3"/>
  <c r="R6932" i="3" s="1"/>
  <c r="Q6933" i="3"/>
  <c r="R6933" i="3" s="1"/>
  <c r="Q6934" i="3"/>
  <c r="R6934" i="3" s="1"/>
  <c r="Q6935" i="3"/>
  <c r="R6935" i="3" s="1"/>
  <c r="Q6936" i="3"/>
  <c r="R6936" i="3" s="1"/>
  <c r="Q6937" i="3"/>
  <c r="R6937" i="3" s="1"/>
  <c r="Q6938" i="3"/>
  <c r="R6938" i="3" s="1"/>
  <c r="Q6939" i="3"/>
  <c r="R6939" i="3" s="1"/>
  <c r="Q6940" i="3"/>
  <c r="R6940" i="3" s="1"/>
  <c r="Q6941" i="3"/>
  <c r="R6941" i="3" s="1"/>
  <c r="Q6942" i="3"/>
  <c r="R6942" i="3" s="1"/>
  <c r="Q6943" i="3"/>
  <c r="R6943" i="3" s="1"/>
  <c r="Q6944" i="3"/>
  <c r="R6944" i="3" s="1"/>
  <c r="Q6945" i="3"/>
  <c r="R6945" i="3" s="1"/>
  <c r="Q6946" i="3"/>
  <c r="R6946" i="3" s="1"/>
  <c r="Q6947" i="3"/>
  <c r="R6947" i="3" s="1"/>
  <c r="Q6948" i="3"/>
  <c r="R6948" i="3" s="1"/>
  <c r="Q6949" i="3"/>
  <c r="R6949" i="3" s="1"/>
  <c r="Q6950" i="3"/>
  <c r="R6950" i="3" s="1"/>
  <c r="Q6951" i="3"/>
  <c r="R6951" i="3" s="1"/>
  <c r="Q6952" i="3"/>
  <c r="R6952" i="3" s="1"/>
  <c r="Q6953" i="3"/>
  <c r="R6953" i="3" s="1"/>
  <c r="Q6954" i="3"/>
  <c r="R6954" i="3" s="1"/>
  <c r="Q6955" i="3"/>
  <c r="R6955" i="3" s="1"/>
  <c r="Q6956" i="3"/>
  <c r="R6956" i="3" s="1"/>
  <c r="Q6957" i="3"/>
  <c r="R6957" i="3" s="1"/>
  <c r="Q6958" i="3"/>
  <c r="R6958" i="3" s="1"/>
  <c r="Q6959" i="3"/>
  <c r="R6959" i="3" s="1"/>
  <c r="Q6960" i="3"/>
  <c r="R6960" i="3" s="1"/>
  <c r="Q6961" i="3"/>
  <c r="R6961" i="3" s="1"/>
  <c r="Q6962" i="3"/>
  <c r="R6962" i="3" s="1"/>
  <c r="Q6963" i="3"/>
  <c r="R6963" i="3" s="1"/>
  <c r="Q6964" i="3"/>
  <c r="R6964" i="3" s="1"/>
  <c r="Q6965" i="3"/>
  <c r="R6965" i="3" s="1"/>
  <c r="Q6966" i="3"/>
  <c r="R6966" i="3" s="1"/>
  <c r="Q6967" i="3"/>
  <c r="R6967" i="3" s="1"/>
  <c r="Q6968" i="3"/>
  <c r="R6968" i="3" s="1"/>
  <c r="Q6969" i="3"/>
  <c r="R6969" i="3" s="1"/>
  <c r="Q6970" i="3"/>
  <c r="R6970" i="3" s="1"/>
  <c r="Q6971" i="3"/>
  <c r="R6971" i="3" s="1"/>
  <c r="Q6972" i="3"/>
  <c r="R6972" i="3" s="1"/>
  <c r="Q6973" i="3"/>
  <c r="R6973" i="3" s="1"/>
  <c r="Q6974" i="3"/>
  <c r="R6974" i="3" s="1"/>
  <c r="Q6975" i="3"/>
  <c r="R6975" i="3" s="1"/>
  <c r="Q6976" i="3"/>
  <c r="R6976" i="3" s="1"/>
  <c r="Q6977" i="3"/>
  <c r="R6977" i="3" s="1"/>
  <c r="Q6978" i="3"/>
  <c r="R6978" i="3" s="1"/>
  <c r="Q6979" i="3"/>
  <c r="R6979" i="3" s="1"/>
  <c r="Q6980" i="3"/>
  <c r="R6980" i="3" s="1"/>
  <c r="Q6981" i="3"/>
  <c r="R6981" i="3" s="1"/>
  <c r="Q6982" i="3"/>
  <c r="R6982" i="3" s="1"/>
  <c r="Q6983" i="3"/>
  <c r="R6983" i="3" s="1"/>
  <c r="Q6984" i="3"/>
  <c r="R6984" i="3" s="1"/>
  <c r="Q6985" i="3"/>
  <c r="R6985" i="3" s="1"/>
  <c r="Q6986" i="3"/>
  <c r="R6986" i="3" s="1"/>
  <c r="Q6987" i="3"/>
  <c r="R6987" i="3" s="1"/>
  <c r="Q6988" i="3"/>
  <c r="R6988" i="3" s="1"/>
  <c r="Q6989" i="3"/>
  <c r="R6989" i="3" s="1"/>
  <c r="Q6990" i="3"/>
  <c r="R6990" i="3" s="1"/>
  <c r="Q6991" i="3"/>
  <c r="R6991" i="3" s="1"/>
  <c r="Q6992" i="3"/>
  <c r="R6992" i="3" s="1"/>
  <c r="Q6993" i="3"/>
  <c r="R6993" i="3" s="1"/>
  <c r="Q6994" i="3"/>
  <c r="R6994" i="3" s="1"/>
  <c r="Q6995" i="3"/>
  <c r="R6995" i="3" s="1"/>
  <c r="Q6996" i="3"/>
  <c r="R6996" i="3" s="1"/>
  <c r="Q6997" i="3"/>
  <c r="R6997" i="3" s="1"/>
  <c r="Q6998" i="3"/>
  <c r="R6998" i="3" s="1"/>
  <c r="Q6999" i="3"/>
  <c r="R6999" i="3" s="1"/>
  <c r="Q7000" i="3"/>
  <c r="R7000" i="3" s="1"/>
  <c r="Q7001" i="3"/>
  <c r="R7001" i="3" s="1"/>
  <c r="Q7002" i="3"/>
  <c r="R7002" i="3" s="1"/>
  <c r="Q7003" i="3"/>
  <c r="R7003" i="3" s="1"/>
  <c r="Q7004" i="3"/>
  <c r="R7004" i="3" s="1"/>
  <c r="Q7005" i="3"/>
  <c r="R7005" i="3" s="1"/>
  <c r="Q7006" i="3"/>
  <c r="R7006" i="3" s="1"/>
  <c r="Q7007" i="3"/>
  <c r="R7007" i="3" s="1"/>
  <c r="Q7008" i="3"/>
  <c r="R7008" i="3" s="1"/>
  <c r="Q7009" i="3"/>
  <c r="R7009" i="3" s="1"/>
  <c r="Q7010" i="3"/>
  <c r="R7010" i="3" s="1"/>
  <c r="Q7011" i="3"/>
  <c r="R7011" i="3" s="1"/>
  <c r="Q7012" i="3"/>
  <c r="R7012" i="3" s="1"/>
  <c r="Q7013" i="3"/>
  <c r="R7013" i="3" s="1"/>
  <c r="Q7014" i="3"/>
  <c r="R7014" i="3" s="1"/>
  <c r="Q7015" i="3"/>
  <c r="R7015" i="3" s="1"/>
  <c r="Q7016" i="3"/>
  <c r="R7016" i="3" s="1"/>
  <c r="Q7017" i="3"/>
  <c r="R7017" i="3" s="1"/>
  <c r="Q7018" i="3"/>
  <c r="R7018" i="3" s="1"/>
  <c r="Q7019" i="3"/>
  <c r="R7019" i="3" s="1"/>
  <c r="Q7020" i="3"/>
  <c r="R7020" i="3" s="1"/>
  <c r="Q7021" i="3"/>
  <c r="R7021" i="3" s="1"/>
  <c r="Q7022" i="3"/>
  <c r="R7022" i="3" s="1"/>
  <c r="Q7023" i="3"/>
  <c r="R7023" i="3" s="1"/>
  <c r="Q7024" i="3"/>
  <c r="R7024" i="3" s="1"/>
  <c r="Q7025" i="3"/>
  <c r="R7025" i="3" s="1"/>
  <c r="Q7026" i="3"/>
  <c r="R7026" i="3" s="1"/>
  <c r="Q7027" i="3"/>
  <c r="R7027" i="3" s="1"/>
  <c r="Q7028" i="3"/>
  <c r="R7028" i="3" s="1"/>
  <c r="Q7029" i="3"/>
  <c r="R7029" i="3" s="1"/>
  <c r="Q7030" i="3"/>
  <c r="R7030" i="3" s="1"/>
  <c r="Q7031" i="3"/>
  <c r="R7031" i="3" s="1"/>
  <c r="Q7032" i="3"/>
  <c r="R7032" i="3" s="1"/>
  <c r="Q7033" i="3"/>
  <c r="R7033" i="3" s="1"/>
  <c r="Q7034" i="3"/>
  <c r="R7034" i="3" s="1"/>
  <c r="Q7035" i="3"/>
  <c r="R7035" i="3" s="1"/>
  <c r="Q7036" i="3"/>
  <c r="R7036" i="3" s="1"/>
  <c r="Q7037" i="3"/>
  <c r="R7037" i="3" s="1"/>
  <c r="Q7038" i="3"/>
  <c r="R7038" i="3" s="1"/>
  <c r="Q7039" i="3"/>
  <c r="R7039" i="3" s="1"/>
  <c r="Q7040" i="3"/>
  <c r="R7040" i="3" s="1"/>
  <c r="Q7041" i="3"/>
  <c r="R7041" i="3" s="1"/>
  <c r="Q7042" i="3"/>
  <c r="R7042" i="3" s="1"/>
  <c r="Q7043" i="3"/>
  <c r="R7043" i="3" s="1"/>
  <c r="Q7044" i="3"/>
  <c r="R7044" i="3" s="1"/>
  <c r="Q7045" i="3"/>
  <c r="R7045" i="3" s="1"/>
  <c r="Q7046" i="3"/>
  <c r="R7046" i="3" s="1"/>
  <c r="Q7047" i="3"/>
  <c r="R7047" i="3" s="1"/>
  <c r="Q7048" i="3"/>
  <c r="R7048" i="3" s="1"/>
  <c r="Q7049" i="3"/>
  <c r="R7049" i="3" s="1"/>
  <c r="Q7050" i="3"/>
  <c r="R7050" i="3" s="1"/>
  <c r="Q7051" i="3"/>
  <c r="R7051" i="3" s="1"/>
  <c r="Q7052" i="3"/>
  <c r="R7052" i="3" s="1"/>
  <c r="Q7053" i="3"/>
  <c r="R7053" i="3" s="1"/>
  <c r="Q7054" i="3"/>
  <c r="R7054" i="3" s="1"/>
  <c r="Q7055" i="3"/>
  <c r="R7055" i="3" s="1"/>
  <c r="Q7056" i="3"/>
  <c r="R7056" i="3" s="1"/>
  <c r="Q7057" i="3"/>
  <c r="R7057" i="3" s="1"/>
  <c r="Q7058" i="3"/>
  <c r="R7058" i="3" s="1"/>
  <c r="Q7059" i="3"/>
  <c r="R7059" i="3" s="1"/>
  <c r="Q7060" i="3"/>
  <c r="R7060" i="3" s="1"/>
  <c r="Q7061" i="3"/>
  <c r="R7061" i="3" s="1"/>
  <c r="Q7062" i="3"/>
  <c r="R7062" i="3" s="1"/>
  <c r="Q7063" i="3"/>
  <c r="R7063" i="3" s="1"/>
  <c r="Q7064" i="3"/>
  <c r="R7064" i="3" s="1"/>
  <c r="Q7065" i="3"/>
  <c r="R7065" i="3" s="1"/>
  <c r="Q7066" i="3"/>
  <c r="R7066" i="3" s="1"/>
  <c r="Q7067" i="3"/>
  <c r="R7067" i="3" s="1"/>
  <c r="Q7068" i="3"/>
  <c r="R7068" i="3" s="1"/>
  <c r="Q7069" i="3"/>
  <c r="R7069" i="3" s="1"/>
  <c r="Q7070" i="3"/>
  <c r="R7070" i="3" s="1"/>
  <c r="Q7071" i="3"/>
  <c r="R7071" i="3" s="1"/>
  <c r="Q7072" i="3"/>
  <c r="R7072" i="3" s="1"/>
  <c r="Q7073" i="3"/>
  <c r="R7073" i="3" s="1"/>
  <c r="Q7074" i="3"/>
  <c r="R7074" i="3" s="1"/>
  <c r="Q7075" i="3"/>
  <c r="R7075" i="3" s="1"/>
  <c r="Q7076" i="3"/>
  <c r="R7076" i="3" s="1"/>
  <c r="Q7077" i="3"/>
  <c r="R7077" i="3" s="1"/>
  <c r="Q7078" i="3"/>
  <c r="R7078" i="3" s="1"/>
  <c r="Q7079" i="3"/>
  <c r="R7079" i="3" s="1"/>
  <c r="Q7080" i="3"/>
  <c r="R7080" i="3" s="1"/>
  <c r="Q7081" i="3"/>
  <c r="R7081" i="3" s="1"/>
  <c r="Q7082" i="3"/>
  <c r="R7082" i="3" s="1"/>
  <c r="Q7083" i="3"/>
  <c r="R7083" i="3" s="1"/>
  <c r="Q7084" i="3"/>
  <c r="R7084" i="3" s="1"/>
  <c r="Q7085" i="3"/>
  <c r="R7085" i="3" s="1"/>
  <c r="Q7086" i="3"/>
  <c r="R7086" i="3" s="1"/>
  <c r="Q7087" i="3"/>
  <c r="R7087" i="3" s="1"/>
  <c r="Q7088" i="3"/>
  <c r="R7088" i="3" s="1"/>
  <c r="Q7089" i="3"/>
  <c r="R7089" i="3" s="1"/>
  <c r="Q7090" i="3"/>
  <c r="R7090" i="3" s="1"/>
  <c r="Q7091" i="3"/>
  <c r="R7091" i="3" s="1"/>
  <c r="Q7092" i="3"/>
  <c r="R7092" i="3" s="1"/>
  <c r="Q7093" i="3"/>
  <c r="R7093" i="3" s="1"/>
  <c r="Q7094" i="3"/>
  <c r="R7094" i="3" s="1"/>
  <c r="Q7095" i="3"/>
  <c r="R7095" i="3" s="1"/>
  <c r="Q7096" i="3"/>
  <c r="R7096" i="3" s="1"/>
  <c r="Q7097" i="3"/>
  <c r="R7097" i="3" s="1"/>
  <c r="Q7098" i="3"/>
  <c r="R7098" i="3" s="1"/>
  <c r="Q7099" i="3"/>
  <c r="R7099" i="3" s="1"/>
  <c r="Q7100" i="3"/>
  <c r="R7100" i="3" s="1"/>
  <c r="Q7101" i="3"/>
  <c r="R7101" i="3" s="1"/>
  <c r="Q7102" i="3"/>
  <c r="R7102" i="3" s="1"/>
  <c r="Q7103" i="3"/>
  <c r="R7103" i="3" s="1"/>
  <c r="Q7104" i="3"/>
  <c r="R7104" i="3" s="1"/>
  <c r="Q7105" i="3"/>
  <c r="R7105" i="3" s="1"/>
  <c r="Q7106" i="3"/>
  <c r="R7106" i="3" s="1"/>
  <c r="Q7107" i="3"/>
  <c r="R7107" i="3" s="1"/>
  <c r="Q7108" i="3"/>
  <c r="R7108" i="3" s="1"/>
  <c r="Q7109" i="3"/>
  <c r="R7109" i="3" s="1"/>
  <c r="Q7110" i="3"/>
  <c r="R7110" i="3" s="1"/>
  <c r="Q7111" i="3"/>
  <c r="R7111" i="3" s="1"/>
  <c r="Q7112" i="3"/>
  <c r="R7112" i="3" s="1"/>
  <c r="Q7113" i="3"/>
  <c r="R7113" i="3" s="1"/>
  <c r="Q7114" i="3"/>
  <c r="R7114" i="3" s="1"/>
  <c r="Q7115" i="3"/>
  <c r="R7115" i="3" s="1"/>
  <c r="Q7116" i="3"/>
  <c r="R7116" i="3" s="1"/>
  <c r="Q7117" i="3"/>
  <c r="R7117" i="3" s="1"/>
  <c r="Q7118" i="3"/>
  <c r="R7118" i="3" s="1"/>
  <c r="Q7119" i="3"/>
  <c r="R7119" i="3" s="1"/>
  <c r="Q7120" i="3"/>
  <c r="R7120" i="3" s="1"/>
  <c r="Q7121" i="3"/>
  <c r="R7121" i="3" s="1"/>
  <c r="Q7122" i="3"/>
  <c r="R7122" i="3" s="1"/>
  <c r="Q7123" i="3"/>
  <c r="R7123" i="3" s="1"/>
  <c r="Q7124" i="3"/>
  <c r="R7124" i="3" s="1"/>
  <c r="Q7125" i="3"/>
  <c r="R7125" i="3" s="1"/>
  <c r="Q7126" i="3"/>
  <c r="R7126" i="3" s="1"/>
  <c r="Q7127" i="3"/>
  <c r="R7127" i="3" s="1"/>
  <c r="Q7128" i="3"/>
  <c r="R7128" i="3" s="1"/>
  <c r="Q7129" i="3"/>
  <c r="R7129" i="3" s="1"/>
  <c r="Q7130" i="3"/>
  <c r="R7130" i="3" s="1"/>
  <c r="Q7131" i="3"/>
  <c r="R7131" i="3" s="1"/>
  <c r="Q7132" i="3"/>
  <c r="R7132" i="3" s="1"/>
  <c r="Q7133" i="3"/>
  <c r="R7133" i="3" s="1"/>
  <c r="Q7134" i="3"/>
  <c r="R7134" i="3" s="1"/>
  <c r="Q7135" i="3"/>
  <c r="R7135" i="3" s="1"/>
  <c r="Q7136" i="3"/>
  <c r="R7136" i="3" s="1"/>
  <c r="Q7137" i="3"/>
  <c r="R7137" i="3" s="1"/>
  <c r="Q7138" i="3"/>
  <c r="R7138" i="3" s="1"/>
  <c r="Q7139" i="3"/>
  <c r="R7139" i="3" s="1"/>
  <c r="Q7140" i="3"/>
  <c r="R7140" i="3" s="1"/>
  <c r="Q7141" i="3"/>
  <c r="R7141" i="3" s="1"/>
  <c r="Q7142" i="3"/>
  <c r="R7142" i="3" s="1"/>
  <c r="Q7143" i="3"/>
  <c r="R7143" i="3" s="1"/>
  <c r="Q7144" i="3"/>
  <c r="R7144" i="3" s="1"/>
  <c r="Q7145" i="3"/>
  <c r="R7145" i="3" s="1"/>
  <c r="Q7146" i="3"/>
  <c r="R7146" i="3" s="1"/>
  <c r="Q7147" i="3"/>
  <c r="R7147" i="3" s="1"/>
  <c r="Q7148" i="3"/>
  <c r="R7148" i="3" s="1"/>
  <c r="Q7149" i="3"/>
  <c r="R7149" i="3" s="1"/>
  <c r="Q7150" i="3"/>
  <c r="R7150" i="3" s="1"/>
  <c r="Q7151" i="3"/>
  <c r="R7151" i="3" s="1"/>
  <c r="Q7152" i="3"/>
  <c r="R7152" i="3" s="1"/>
  <c r="Q7153" i="3"/>
  <c r="R7153" i="3" s="1"/>
  <c r="Q7154" i="3"/>
  <c r="R7154" i="3" s="1"/>
  <c r="Q7155" i="3"/>
  <c r="R7155" i="3" s="1"/>
  <c r="Q7156" i="3"/>
  <c r="R7156" i="3" s="1"/>
  <c r="Q7157" i="3"/>
  <c r="R7157" i="3" s="1"/>
  <c r="Q7158" i="3"/>
  <c r="R7158" i="3" s="1"/>
  <c r="Q7159" i="3"/>
  <c r="R7159" i="3" s="1"/>
  <c r="Q7160" i="3"/>
  <c r="R7160" i="3" s="1"/>
  <c r="Q7161" i="3"/>
  <c r="R7161" i="3" s="1"/>
  <c r="Q7162" i="3"/>
  <c r="R7162" i="3" s="1"/>
  <c r="Q7163" i="3"/>
  <c r="R7163" i="3" s="1"/>
  <c r="Q7164" i="3"/>
  <c r="R7164" i="3" s="1"/>
  <c r="Q7165" i="3"/>
  <c r="R7165" i="3" s="1"/>
  <c r="Q7166" i="3"/>
  <c r="R7166" i="3" s="1"/>
  <c r="Q7167" i="3"/>
  <c r="R7167" i="3" s="1"/>
  <c r="Q7168" i="3"/>
  <c r="R7168" i="3" s="1"/>
  <c r="Q7169" i="3"/>
  <c r="R7169" i="3" s="1"/>
  <c r="Q7170" i="3"/>
  <c r="R7170" i="3" s="1"/>
  <c r="Q7171" i="3"/>
  <c r="R7171" i="3" s="1"/>
  <c r="Q7172" i="3"/>
  <c r="R7172" i="3" s="1"/>
  <c r="Q7173" i="3"/>
  <c r="R7173" i="3" s="1"/>
  <c r="Q7174" i="3"/>
  <c r="R7174" i="3" s="1"/>
  <c r="Q7175" i="3"/>
  <c r="R7175" i="3" s="1"/>
  <c r="Q7176" i="3"/>
  <c r="R7176" i="3" s="1"/>
  <c r="Q7177" i="3"/>
  <c r="R7177" i="3" s="1"/>
  <c r="Q7178" i="3"/>
  <c r="R7178" i="3" s="1"/>
  <c r="Q7179" i="3"/>
  <c r="R7179" i="3" s="1"/>
  <c r="Q7180" i="3"/>
  <c r="R7180" i="3" s="1"/>
  <c r="Q7181" i="3"/>
  <c r="R7181" i="3" s="1"/>
  <c r="Q7182" i="3"/>
  <c r="R7182" i="3" s="1"/>
  <c r="Q7183" i="3"/>
  <c r="R7183" i="3" s="1"/>
  <c r="Q7184" i="3"/>
  <c r="R7184" i="3" s="1"/>
  <c r="Q7185" i="3"/>
  <c r="R7185" i="3" s="1"/>
  <c r="Q7186" i="3"/>
  <c r="R7186" i="3" s="1"/>
  <c r="Q7187" i="3"/>
  <c r="R7187" i="3" s="1"/>
  <c r="Q7188" i="3"/>
  <c r="R7188" i="3" s="1"/>
  <c r="Q7189" i="3"/>
  <c r="R7189" i="3" s="1"/>
  <c r="Q7190" i="3"/>
  <c r="R7190" i="3" s="1"/>
  <c r="Q7191" i="3"/>
  <c r="R7191" i="3" s="1"/>
  <c r="Q7192" i="3"/>
  <c r="R7192" i="3" s="1"/>
  <c r="Q7193" i="3"/>
  <c r="R7193" i="3" s="1"/>
  <c r="Q7194" i="3"/>
  <c r="R7194" i="3" s="1"/>
  <c r="Q7195" i="3"/>
  <c r="R7195" i="3" s="1"/>
  <c r="Q7196" i="3"/>
  <c r="R7196" i="3" s="1"/>
  <c r="Q7197" i="3"/>
  <c r="R7197" i="3" s="1"/>
  <c r="Q7198" i="3"/>
  <c r="R7198" i="3" s="1"/>
  <c r="Q7199" i="3"/>
  <c r="R7199" i="3" s="1"/>
  <c r="Q7200" i="3"/>
  <c r="R7200" i="3" s="1"/>
  <c r="Q7201" i="3"/>
  <c r="R7201" i="3" s="1"/>
  <c r="Q7202" i="3"/>
  <c r="R7202" i="3" s="1"/>
  <c r="Q7203" i="3"/>
  <c r="R7203" i="3" s="1"/>
  <c r="Q7204" i="3"/>
  <c r="R7204" i="3" s="1"/>
  <c r="Q7205" i="3"/>
  <c r="R7205" i="3" s="1"/>
  <c r="Q7206" i="3"/>
  <c r="R7206" i="3" s="1"/>
  <c r="Q7207" i="3"/>
  <c r="R7207" i="3" s="1"/>
  <c r="Q7208" i="3"/>
  <c r="R7208" i="3" s="1"/>
  <c r="Q7209" i="3"/>
  <c r="R7209" i="3" s="1"/>
  <c r="Q7210" i="3"/>
  <c r="R7210" i="3" s="1"/>
  <c r="Q7211" i="3"/>
  <c r="R7211" i="3" s="1"/>
  <c r="Q7212" i="3"/>
  <c r="R7212" i="3" s="1"/>
  <c r="Q7213" i="3"/>
  <c r="R7213" i="3" s="1"/>
  <c r="Q7214" i="3"/>
  <c r="R7214" i="3" s="1"/>
  <c r="Q7215" i="3"/>
  <c r="R7215" i="3" s="1"/>
  <c r="Q7216" i="3"/>
  <c r="R7216" i="3" s="1"/>
  <c r="Q7217" i="3"/>
  <c r="R7217" i="3" s="1"/>
  <c r="Q7218" i="3"/>
  <c r="R7218" i="3" s="1"/>
  <c r="Q7219" i="3"/>
  <c r="R7219" i="3" s="1"/>
  <c r="Q7220" i="3"/>
  <c r="R7220" i="3" s="1"/>
  <c r="Q7221" i="3"/>
  <c r="R7221" i="3" s="1"/>
  <c r="Q7222" i="3"/>
  <c r="R7222" i="3" s="1"/>
  <c r="Q7223" i="3"/>
  <c r="R7223" i="3" s="1"/>
  <c r="Q7224" i="3"/>
  <c r="R7224" i="3" s="1"/>
  <c r="Q7225" i="3"/>
  <c r="R7225" i="3" s="1"/>
  <c r="Q7226" i="3"/>
  <c r="R7226" i="3" s="1"/>
  <c r="Q7227" i="3"/>
  <c r="R7227" i="3" s="1"/>
  <c r="Q7228" i="3"/>
  <c r="R7228" i="3" s="1"/>
  <c r="Q7229" i="3"/>
  <c r="R7229" i="3" s="1"/>
  <c r="Q7230" i="3"/>
  <c r="R7230" i="3" s="1"/>
  <c r="Q7231" i="3"/>
  <c r="R7231" i="3" s="1"/>
  <c r="Q7232" i="3"/>
  <c r="R7232" i="3" s="1"/>
  <c r="Q7233" i="3"/>
  <c r="R7233" i="3" s="1"/>
  <c r="Q7234" i="3"/>
  <c r="R7234" i="3" s="1"/>
  <c r="Q7235" i="3"/>
  <c r="R7235" i="3" s="1"/>
  <c r="Q7236" i="3"/>
  <c r="R7236" i="3" s="1"/>
  <c r="Q7237" i="3"/>
  <c r="R7237" i="3" s="1"/>
  <c r="Q7238" i="3"/>
  <c r="R7238" i="3" s="1"/>
  <c r="Q7239" i="3"/>
  <c r="R7239" i="3" s="1"/>
  <c r="Q7240" i="3"/>
  <c r="R7240" i="3" s="1"/>
  <c r="Q7241" i="3"/>
  <c r="R7241" i="3" s="1"/>
  <c r="Q7242" i="3"/>
  <c r="R7242" i="3" s="1"/>
  <c r="Q7243" i="3"/>
  <c r="R7243" i="3" s="1"/>
  <c r="Q7244" i="3"/>
  <c r="R7244" i="3" s="1"/>
  <c r="Q7245" i="3"/>
  <c r="R7245" i="3" s="1"/>
  <c r="Q7246" i="3"/>
  <c r="R7246" i="3" s="1"/>
  <c r="Q7247" i="3"/>
  <c r="R7247" i="3" s="1"/>
  <c r="Q7248" i="3"/>
  <c r="R7248" i="3" s="1"/>
  <c r="Q7249" i="3"/>
  <c r="R7249" i="3" s="1"/>
  <c r="Q7250" i="3"/>
  <c r="R7250" i="3" s="1"/>
  <c r="Q7251" i="3"/>
  <c r="R7251" i="3" s="1"/>
  <c r="Q7252" i="3"/>
  <c r="R7252" i="3" s="1"/>
  <c r="Q7253" i="3"/>
  <c r="R7253" i="3" s="1"/>
  <c r="Q7254" i="3"/>
  <c r="R7254" i="3" s="1"/>
  <c r="Q7255" i="3"/>
  <c r="R7255" i="3" s="1"/>
  <c r="Q7256" i="3"/>
  <c r="R7256" i="3" s="1"/>
  <c r="Q7257" i="3"/>
  <c r="R7257" i="3" s="1"/>
  <c r="Q7258" i="3"/>
  <c r="R7258" i="3" s="1"/>
  <c r="Q7259" i="3"/>
  <c r="R7259" i="3" s="1"/>
  <c r="Q7260" i="3"/>
  <c r="R7260" i="3" s="1"/>
  <c r="Q7261" i="3"/>
  <c r="R7261" i="3" s="1"/>
  <c r="Q7262" i="3"/>
  <c r="R7262" i="3" s="1"/>
  <c r="Q7263" i="3"/>
  <c r="R7263" i="3" s="1"/>
  <c r="Q7264" i="3"/>
  <c r="R7264" i="3" s="1"/>
  <c r="Q7265" i="3"/>
  <c r="R7265" i="3" s="1"/>
  <c r="Q7266" i="3"/>
  <c r="R7266" i="3" s="1"/>
  <c r="Q7267" i="3"/>
  <c r="R7267" i="3" s="1"/>
  <c r="Q7268" i="3"/>
  <c r="R7268" i="3" s="1"/>
  <c r="Q7269" i="3"/>
  <c r="R7269" i="3" s="1"/>
  <c r="Q7270" i="3"/>
  <c r="R7270" i="3" s="1"/>
  <c r="Q7271" i="3"/>
  <c r="R7271" i="3" s="1"/>
  <c r="Q7272" i="3"/>
  <c r="R7272" i="3" s="1"/>
  <c r="Q7273" i="3"/>
  <c r="R7273" i="3" s="1"/>
  <c r="Q7274" i="3"/>
  <c r="R7274" i="3" s="1"/>
  <c r="Q7275" i="3"/>
  <c r="R7275" i="3" s="1"/>
  <c r="Q7276" i="3"/>
  <c r="R7276" i="3" s="1"/>
  <c r="Q7277" i="3"/>
  <c r="R7277" i="3" s="1"/>
  <c r="Q7278" i="3"/>
  <c r="R7278" i="3" s="1"/>
  <c r="Q7279" i="3"/>
  <c r="R7279" i="3" s="1"/>
  <c r="Q7280" i="3"/>
  <c r="R7280" i="3" s="1"/>
  <c r="Q7281" i="3"/>
  <c r="R7281" i="3" s="1"/>
  <c r="Q7282" i="3"/>
  <c r="R7282" i="3" s="1"/>
  <c r="Q7283" i="3"/>
  <c r="R7283" i="3" s="1"/>
  <c r="Q7284" i="3"/>
  <c r="R7284" i="3" s="1"/>
  <c r="Q7285" i="3"/>
  <c r="R7285" i="3" s="1"/>
  <c r="Q7286" i="3"/>
  <c r="R7286" i="3" s="1"/>
  <c r="Q7287" i="3"/>
  <c r="R7287" i="3" s="1"/>
  <c r="Q7288" i="3"/>
  <c r="R7288" i="3" s="1"/>
  <c r="Q7289" i="3"/>
  <c r="R7289" i="3" s="1"/>
  <c r="Q7290" i="3"/>
  <c r="R7290" i="3" s="1"/>
  <c r="Q7291" i="3"/>
  <c r="R7291" i="3" s="1"/>
  <c r="Q7292" i="3"/>
  <c r="R7292" i="3" s="1"/>
  <c r="Q7293" i="3"/>
  <c r="R7293" i="3" s="1"/>
  <c r="Q7294" i="3"/>
  <c r="R7294" i="3" s="1"/>
  <c r="Q7295" i="3"/>
  <c r="R7295" i="3" s="1"/>
  <c r="Q7296" i="3"/>
  <c r="R7296" i="3" s="1"/>
  <c r="Q7297" i="3"/>
  <c r="R7297" i="3" s="1"/>
  <c r="Q7298" i="3"/>
  <c r="R7298" i="3" s="1"/>
  <c r="Q7299" i="3"/>
  <c r="R7299" i="3" s="1"/>
  <c r="Q7300" i="3"/>
  <c r="R7300" i="3" s="1"/>
  <c r="Q7301" i="3"/>
  <c r="R7301" i="3" s="1"/>
  <c r="Q7302" i="3"/>
  <c r="R7302" i="3" s="1"/>
  <c r="Q7303" i="3"/>
  <c r="R7303" i="3" s="1"/>
  <c r="Q7304" i="3"/>
  <c r="R7304" i="3" s="1"/>
  <c r="Q7305" i="3"/>
  <c r="R7305" i="3" s="1"/>
  <c r="Q7306" i="3"/>
  <c r="R7306" i="3" s="1"/>
  <c r="Q7307" i="3"/>
  <c r="R7307" i="3" s="1"/>
  <c r="Q7308" i="3"/>
  <c r="R7308" i="3" s="1"/>
  <c r="Q7309" i="3"/>
  <c r="R7309" i="3" s="1"/>
  <c r="Q7310" i="3"/>
  <c r="R7310" i="3" s="1"/>
  <c r="Q7311" i="3"/>
  <c r="R7311" i="3" s="1"/>
  <c r="Q7312" i="3"/>
  <c r="R7312" i="3" s="1"/>
  <c r="Q7313" i="3"/>
  <c r="R7313" i="3" s="1"/>
  <c r="Q7314" i="3"/>
  <c r="R7314" i="3" s="1"/>
  <c r="Q7315" i="3"/>
  <c r="R7315" i="3" s="1"/>
  <c r="Q7316" i="3"/>
  <c r="R7316" i="3" s="1"/>
  <c r="Q7317" i="3"/>
  <c r="R7317" i="3" s="1"/>
  <c r="Q7318" i="3"/>
  <c r="R7318" i="3" s="1"/>
  <c r="Q7319" i="3"/>
  <c r="R7319" i="3" s="1"/>
  <c r="Q7320" i="3"/>
  <c r="R7320" i="3" s="1"/>
  <c r="Q7321" i="3"/>
  <c r="R7321" i="3" s="1"/>
  <c r="Q7322" i="3"/>
  <c r="R7322" i="3" s="1"/>
  <c r="Q7323" i="3"/>
  <c r="R7323" i="3" s="1"/>
  <c r="Q7324" i="3"/>
  <c r="R7324" i="3" s="1"/>
  <c r="Q7325" i="3"/>
  <c r="R7325" i="3" s="1"/>
  <c r="Q7326" i="3"/>
  <c r="R7326" i="3" s="1"/>
  <c r="Q7327" i="3"/>
  <c r="R7327" i="3" s="1"/>
  <c r="Q7328" i="3"/>
  <c r="R7328" i="3" s="1"/>
  <c r="Q7329" i="3"/>
  <c r="R7329" i="3" s="1"/>
  <c r="Q7330" i="3"/>
  <c r="R7330" i="3" s="1"/>
  <c r="Q7331" i="3"/>
  <c r="R7331" i="3" s="1"/>
  <c r="Q7332" i="3"/>
  <c r="R7332" i="3" s="1"/>
  <c r="Q7333" i="3"/>
  <c r="R7333" i="3" s="1"/>
  <c r="Q7334" i="3"/>
  <c r="R7334" i="3" s="1"/>
  <c r="Q7335" i="3"/>
  <c r="R7335" i="3" s="1"/>
  <c r="Q7336" i="3"/>
  <c r="R7336" i="3" s="1"/>
  <c r="Q7337" i="3"/>
  <c r="R7337" i="3" s="1"/>
  <c r="Q7338" i="3"/>
  <c r="R7338" i="3" s="1"/>
  <c r="Q7339" i="3"/>
  <c r="R7339" i="3" s="1"/>
  <c r="Q7340" i="3"/>
  <c r="R7340" i="3" s="1"/>
  <c r="Q7341" i="3"/>
  <c r="R7341" i="3" s="1"/>
  <c r="Q7342" i="3"/>
  <c r="R7342" i="3" s="1"/>
  <c r="Q7343" i="3"/>
  <c r="R7343" i="3" s="1"/>
  <c r="Q7344" i="3"/>
  <c r="R7344" i="3" s="1"/>
  <c r="Q7345" i="3"/>
  <c r="R7345" i="3" s="1"/>
  <c r="Q7346" i="3"/>
  <c r="R7346" i="3" s="1"/>
  <c r="Q7347" i="3"/>
  <c r="R7347" i="3" s="1"/>
  <c r="Q7348" i="3"/>
  <c r="R7348" i="3" s="1"/>
  <c r="Q7349" i="3"/>
  <c r="R7349" i="3" s="1"/>
  <c r="Q7350" i="3"/>
  <c r="R7350" i="3" s="1"/>
  <c r="Q7351" i="3"/>
  <c r="R7351" i="3" s="1"/>
  <c r="Q7352" i="3"/>
  <c r="R7352" i="3" s="1"/>
  <c r="Q7353" i="3"/>
  <c r="R7353" i="3" s="1"/>
  <c r="Q7354" i="3"/>
  <c r="R7354" i="3" s="1"/>
  <c r="Q7355" i="3"/>
  <c r="R7355" i="3" s="1"/>
  <c r="Q7356" i="3"/>
  <c r="R7356" i="3" s="1"/>
  <c r="Q7357" i="3"/>
  <c r="R7357" i="3" s="1"/>
  <c r="Q7358" i="3"/>
  <c r="R7358" i="3" s="1"/>
  <c r="Q7359" i="3"/>
  <c r="R7359" i="3" s="1"/>
  <c r="Q7360" i="3"/>
  <c r="R7360" i="3" s="1"/>
  <c r="Q7361" i="3"/>
  <c r="R7361" i="3" s="1"/>
  <c r="Q7362" i="3"/>
  <c r="R7362" i="3" s="1"/>
  <c r="Q7363" i="3"/>
  <c r="R7363" i="3" s="1"/>
  <c r="Q7364" i="3"/>
  <c r="R7364" i="3" s="1"/>
  <c r="Q7365" i="3"/>
  <c r="R7365" i="3" s="1"/>
  <c r="Q7366" i="3"/>
  <c r="R7366" i="3" s="1"/>
  <c r="Q7367" i="3"/>
  <c r="R7367" i="3" s="1"/>
  <c r="Q7368" i="3"/>
  <c r="R7368" i="3" s="1"/>
  <c r="Q7369" i="3"/>
  <c r="R7369" i="3" s="1"/>
  <c r="Q7370" i="3"/>
  <c r="R7370" i="3" s="1"/>
  <c r="Q7371" i="3"/>
  <c r="R7371" i="3" s="1"/>
  <c r="Q7372" i="3"/>
  <c r="R7372" i="3" s="1"/>
  <c r="Q7373" i="3"/>
  <c r="R7373" i="3" s="1"/>
  <c r="Q7374" i="3"/>
  <c r="R7374" i="3" s="1"/>
  <c r="Q7375" i="3"/>
  <c r="R7375" i="3" s="1"/>
  <c r="Q7376" i="3"/>
  <c r="R7376" i="3" s="1"/>
  <c r="Q7377" i="3"/>
  <c r="R7377" i="3" s="1"/>
  <c r="Q7378" i="3"/>
  <c r="R7378" i="3" s="1"/>
  <c r="Q7379" i="3"/>
  <c r="R7379" i="3" s="1"/>
  <c r="Q7380" i="3"/>
  <c r="R7380" i="3" s="1"/>
  <c r="Q7381" i="3"/>
  <c r="R7381" i="3" s="1"/>
  <c r="Q7382" i="3"/>
  <c r="R7382" i="3" s="1"/>
  <c r="Q7383" i="3"/>
  <c r="R7383" i="3" s="1"/>
  <c r="Q7384" i="3"/>
  <c r="R7384" i="3" s="1"/>
  <c r="Q7385" i="3"/>
  <c r="R7385" i="3" s="1"/>
  <c r="Q7386" i="3"/>
  <c r="R7386" i="3" s="1"/>
  <c r="Q7387" i="3"/>
  <c r="R7387" i="3" s="1"/>
  <c r="Q7388" i="3"/>
  <c r="R7388" i="3" s="1"/>
  <c r="Q7389" i="3"/>
  <c r="R7389" i="3" s="1"/>
  <c r="Q7390" i="3"/>
  <c r="R7390" i="3" s="1"/>
  <c r="Q7391" i="3"/>
  <c r="R7391" i="3" s="1"/>
  <c r="Q7392" i="3"/>
  <c r="R7392" i="3" s="1"/>
  <c r="Q7393" i="3"/>
  <c r="R7393" i="3" s="1"/>
  <c r="Q7394" i="3"/>
  <c r="R7394" i="3" s="1"/>
  <c r="Q7395" i="3"/>
  <c r="R7395" i="3" s="1"/>
  <c r="Q7396" i="3"/>
  <c r="R7396" i="3" s="1"/>
  <c r="Q7397" i="3"/>
  <c r="R7397" i="3" s="1"/>
  <c r="Q7398" i="3"/>
  <c r="R7398" i="3" s="1"/>
  <c r="Q7399" i="3"/>
  <c r="R7399" i="3" s="1"/>
  <c r="Q7400" i="3"/>
  <c r="R7400" i="3" s="1"/>
  <c r="Q7401" i="3"/>
  <c r="R7401" i="3" s="1"/>
  <c r="Q7402" i="3"/>
  <c r="R7402" i="3" s="1"/>
  <c r="Q7403" i="3"/>
  <c r="R7403" i="3" s="1"/>
  <c r="Q7404" i="3"/>
  <c r="R7404" i="3" s="1"/>
  <c r="Q7405" i="3"/>
  <c r="R7405" i="3" s="1"/>
  <c r="Q7406" i="3"/>
  <c r="R7406" i="3" s="1"/>
  <c r="Q7407" i="3"/>
  <c r="R7407" i="3" s="1"/>
  <c r="Q7408" i="3"/>
  <c r="R7408" i="3" s="1"/>
  <c r="Q7409" i="3"/>
  <c r="R7409" i="3" s="1"/>
  <c r="Q7410" i="3"/>
  <c r="R7410" i="3" s="1"/>
  <c r="Q7411" i="3"/>
  <c r="R7411" i="3" s="1"/>
  <c r="Q7412" i="3"/>
  <c r="R7412" i="3" s="1"/>
  <c r="Q7413" i="3"/>
  <c r="R7413" i="3" s="1"/>
  <c r="Q7414" i="3"/>
  <c r="R7414" i="3" s="1"/>
  <c r="Q7415" i="3"/>
  <c r="R7415" i="3" s="1"/>
  <c r="Q7416" i="3"/>
  <c r="R7416" i="3" s="1"/>
  <c r="Q7417" i="3"/>
  <c r="R7417" i="3" s="1"/>
  <c r="Q7418" i="3"/>
  <c r="R7418" i="3" s="1"/>
  <c r="Q7419" i="3"/>
  <c r="R7419" i="3" s="1"/>
  <c r="Q7420" i="3"/>
  <c r="R7420" i="3" s="1"/>
  <c r="Q7421" i="3"/>
  <c r="R7421" i="3" s="1"/>
  <c r="Q7422" i="3"/>
  <c r="R7422" i="3" s="1"/>
  <c r="Q7423" i="3"/>
  <c r="R7423" i="3" s="1"/>
  <c r="Q7424" i="3"/>
  <c r="R7424" i="3" s="1"/>
  <c r="Q7425" i="3"/>
  <c r="R7425" i="3" s="1"/>
  <c r="Q7426" i="3"/>
  <c r="R7426" i="3" s="1"/>
  <c r="Q7427" i="3"/>
  <c r="R7427" i="3" s="1"/>
  <c r="Q7428" i="3"/>
  <c r="R7428" i="3" s="1"/>
  <c r="Q7429" i="3"/>
  <c r="R7429" i="3" s="1"/>
  <c r="Q7430" i="3"/>
  <c r="R7430" i="3" s="1"/>
  <c r="Q7431" i="3"/>
  <c r="R7431" i="3" s="1"/>
  <c r="Q7432" i="3"/>
  <c r="R7432" i="3" s="1"/>
  <c r="Q7433" i="3"/>
  <c r="R7433" i="3" s="1"/>
  <c r="Q7434" i="3"/>
  <c r="R7434" i="3" s="1"/>
  <c r="Q7435" i="3"/>
  <c r="R7435" i="3" s="1"/>
  <c r="Q7436" i="3"/>
  <c r="R7436" i="3" s="1"/>
  <c r="Q7437" i="3"/>
  <c r="R7437" i="3" s="1"/>
  <c r="Q7438" i="3"/>
  <c r="R7438" i="3" s="1"/>
  <c r="Q7439" i="3"/>
  <c r="R7439" i="3" s="1"/>
  <c r="Q7440" i="3"/>
  <c r="R7440" i="3" s="1"/>
  <c r="Q7441" i="3"/>
  <c r="R7441" i="3" s="1"/>
  <c r="Q7442" i="3"/>
  <c r="R7442" i="3" s="1"/>
  <c r="Q7443" i="3"/>
  <c r="R7443" i="3" s="1"/>
  <c r="Q7444" i="3"/>
  <c r="R7444" i="3" s="1"/>
  <c r="Q7445" i="3"/>
  <c r="R7445" i="3" s="1"/>
  <c r="Q7446" i="3"/>
  <c r="R7446" i="3" s="1"/>
  <c r="Q7447" i="3"/>
  <c r="R7447" i="3" s="1"/>
  <c r="Q7448" i="3"/>
  <c r="R7448" i="3" s="1"/>
  <c r="Q7449" i="3"/>
  <c r="R7449" i="3" s="1"/>
  <c r="Q7450" i="3"/>
  <c r="R7450" i="3" s="1"/>
  <c r="Q7451" i="3"/>
  <c r="R7451" i="3" s="1"/>
  <c r="Q7452" i="3"/>
  <c r="R7452" i="3" s="1"/>
  <c r="Q7453" i="3"/>
  <c r="R7453" i="3" s="1"/>
  <c r="Q7454" i="3"/>
  <c r="R7454" i="3" s="1"/>
  <c r="Q7455" i="3"/>
  <c r="R7455" i="3" s="1"/>
  <c r="Q7456" i="3"/>
  <c r="R7456" i="3" s="1"/>
  <c r="Q7457" i="3"/>
  <c r="R7457" i="3" s="1"/>
  <c r="Q7458" i="3"/>
  <c r="R7458" i="3" s="1"/>
  <c r="Q7459" i="3"/>
  <c r="R7459" i="3" s="1"/>
  <c r="Q7460" i="3"/>
  <c r="R7460" i="3" s="1"/>
  <c r="Q7461" i="3"/>
  <c r="R7461" i="3" s="1"/>
  <c r="Q7462" i="3"/>
  <c r="R7462" i="3" s="1"/>
  <c r="Q7463" i="3"/>
  <c r="R7463" i="3" s="1"/>
  <c r="Q7464" i="3"/>
  <c r="R7464" i="3" s="1"/>
  <c r="Q7465" i="3"/>
  <c r="R7465" i="3" s="1"/>
  <c r="Q7466" i="3"/>
  <c r="R7466" i="3" s="1"/>
  <c r="Q7467" i="3"/>
  <c r="R7467" i="3" s="1"/>
  <c r="Q7468" i="3"/>
  <c r="R7468" i="3" s="1"/>
  <c r="Q7469" i="3"/>
  <c r="R7469" i="3" s="1"/>
  <c r="Q7470" i="3"/>
  <c r="R7470" i="3" s="1"/>
  <c r="Q7471" i="3"/>
  <c r="R7471" i="3" s="1"/>
  <c r="Q7472" i="3"/>
  <c r="R7472" i="3" s="1"/>
  <c r="Q7473" i="3"/>
  <c r="R7473" i="3" s="1"/>
  <c r="Q7474" i="3"/>
  <c r="R7474" i="3" s="1"/>
  <c r="Q7475" i="3"/>
  <c r="R7475" i="3" s="1"/>
  <c r="Q7476" i="3"/>
  <c r="R7476" i="3" s="1"/>
  <c r="Q7477" i="3"/>
  <c r="R7477" i="3" s="1"/>
  <c r="Q7478" i="3"/>
  <c r="R7478" i="3" s="1"/>
  <c r="Q7479" i="3"/>
  <c r="R7479" i="3" s="1"/>
  <c r="Q7480" i="3"/>
  <c r="R7480" i="3" s="1"/>
  <c r="Q7481" i="3"/>
  <c r="R7481" i="3" s="1"/>
  <c r="Q7482" i="3"/>
  <c r="R7482" i="3" s="1"/>
  <c r="Q7483" i="3"/>
  <c r="R7483" i="3" s="1"/>
  <c r="Q7484" i="3"/>
  <c r="R7484" i="3" s="1"/>
  <c r="Q7485" i="3"/>
  <c r="R7485" i="3" s="1"/>
  <c r="Q7486" i="3"/>
  <c r="R7486" i="3" s="1"/>
  <c r="Q7487" i="3"/>
  <c r="R7487" i="3" s="1"/>
  <c r="Q7488" i="3"/>
  <c r="R7488" i="3" s="1"/>
  <c r="Q7489" i="3"/>
  <c r="R7489" i="3" s="1"/>
  <c r="Q7490" i="3"/>
  <c r="R7490" i="3" s="1"/>
  <c r="Q7491" i="3"/>
  <c r="R7491" i="3" s="1"/>
  <c r="Q7492" i="3"/>
  <c r="R7492" i="3" s="1"/>
  <c r="Q7493" i="3"/>
  <c r="R7493" i="3" s="1"/>
  <c r="Q7494" i="3"/>
  <c r="R7494" i="3" s="1"/>
  <c r="Q7495" i="3"/>
  <c r="R7495" i="3" s="1"/>
  <c r="Q7496" i="3"/>
  <c r="R7496" i="3" s="1"/>
  <c r="Q7497" i="3"/>
  <c r="R7497" i="3" s="1"/>
  <c r="Q7498" i="3"/>
  <c r="R7498" i="3" s="1"/>
  <c r="Q7499" i="3"/>
  <c r="R7499" i="3" s="1"/>
  <c r="Q7500" i="3"/>
  <c r="R7500" i="3" s="1"/>
  <c r="Q7501" i="3"/>
  <c r="R7501" i="3" s="1"/>
  <c r="Q7502" i="3"/>
  <c r="R7502" i="3" s="1"/>
  <c r="Q7503" i="3"/>
  <c r="R7503" i="3" s="1"/>
  <c r="Q7504" i="3"/>
  <c r="R7504" i="3" s="1"/>
  <c r="Q7505" i="3"/>
  <c r="R7505" i="3" s="1"/>
  <c r="Q7506" i="3"/>
  <c r="R7506" i="3" s="1"/>
  <c r="Q7507" i="3"/>
  <c r="R7507" i="3" s="1"/>
  <c r="Q7508" i="3"/>
  <c r="R7508" i="3" s="1"/>
  <c r="Q7509" i="3"/>
  <c r="R7509" i="3" s="1"/>
  <c r="Q7510" i="3"/>
  <c r="R7510" i="3" s="1"/>
  <c r="Q7511" i="3"/>
  <c r="R7511" i="3" s="1"/>
  <c r="Q7512" i="3"/>
  <c r="R7512" i="3" s="1"/>
  <c r="Q7513" i="3"/>
  <c r="R7513" i="3" s="1"/>
  <c r="Q7514" i="3"/>
  <c r="R7514" i="3" s="1"/>
  <c r="Q7515" i="3"/>
  <c r="R7515" i="3" s="1"/>
  <c r="Q7516" i="3"/>
  <c r="R7516" i="3" s="1"/>
  <c r="Q7517" i="3"/>
  <c r="R7517" i="3" s="1"/>
  <c r="Q7518" i="3"/>
  <c r="R7518" i="3" s="1"/>
  <c r="Q7519" i="3"/>
  <c r="R7519" i="3" s="1"/>
  <c r="Q7520" i="3"/>
  <c r="R7520" i="3" s="1"/>
  <c r="Q7521" i="3"/>
  <c r="R7521" i="3" s="1"/>
  <c r="Q7522" i="3"/>
  <c r="R7522" i="3" s="1"/>
  <c r="Q7523" i="3"/>
  <c r="R7523" i="3" s="1"/>
  <c r="Q7524" i="3"/>
  <c r="R7524" i="3" s="1"/>
  <c r="Q7525" i="3"/>
  <c r="R7525" i="3" s="1"/>
  <c r="Q7526" i="3"/>
  <c r="R7526" i="3" s="1"/>
  <c r="Q7527" i="3"/>
  <c r="R7527" i="3" s="1"/>
  <c r="Q7528" i="3"/>
  <c r="R7528" i="3" s="1"/>
  <c r="Q7529" i="3"/>
  <c r="R7529" i="3" s="1"/>
  <c r="Q7530" i="3"/>
  <c r="R7530" i="3" s="1"/>
  <c r="Q7531" i="3"/>
  <c r="R7531" i="3" s="1"/>
  <c r="Q7532" i="3"/>
  <c r="R7532" i="3" s="1"/>
  <c r="Q7533" i="3"/>
  <c r="R7533" i="3" s="1"/>
  <c r="Q7534" i="3"/>
  <c r="R7534" i="3" s="1"/>
  <c r="Q7535" i="3"/>
  <c r="R7535" i="3" s="1"/>
  <c r="Q7536" i="3"/>
  <c r="R7536" i="3" s="1"/>
  <c r="Q7537" i="3"/>
  <c r="R7537" i="3" s="1"/>
  <c r="Q7538" i="3"/>
  <c r="R7538" i="3" s="1"/>
  <c r="Q7539" i="3"/>
  <c r="R7539" i="3" s="1"/>
  <c r="Q7540" i="3"/>
  <c r="R7540" i="3" s="1"/>
  <c r="Q7541" i="3"/>
  <c r="R7541" i="3" s="1"/>
  <c r="Q7542" i="3"/>
  <c r="R7542" i="3" s="1"/>
  <c r="Q7543" i="3"/>
  <c r="R7543" i="3" s="1"/>
  <c r="Q7544" i="3"/>
  <c r="R7544" i="3" s="1"/>
  <c r="Q7545" i="3"/>
  <c r="R7545" i="3" s="1"/>
  <c r="Q7546" i="3"/>
  <c r="R7546" i="3" s="1"/>
  <c r="Q7547" i="3"/>
  <c r="R7547" i="3" s="1"/>
  <c r="Q7548" i="3"/>
  <c r="R7548" i="3" s="1"/>
  <c r="Q7549" i="3"/>
  <c r="R7549" i="3" s="1"/>
  <c r="Q7550" i="3"/>
  <c r="R7550" i="3" s="1"/>
  <c r="Q7551" i="3"/>
  <c r="R7551" i="3" s="1"/>
  <c r="Q7552" i="3"/>
  <c r="R7552" i="3" s="1"/>
  <c r="Q7553" i="3"/>
  <c r="R7553" i="3" s="1"/>
  <c r="Q7554" i="3"/>
  <c r="R7554" i="3" s="1"/>
  <c r="Q7555" i="3"/>
  <c r="R7555" i="3" s="1"/>
  <c r="Q7556" i="3"/>
  <c r="R7556" i="3" s="1"/>
  <c r="Q7557" i="3"/>
  <c r="R7557" i="3" s="1"/>
  <c r="Q7558" i="3"/>
  <c r="R7558" i="3" s="1"/>
  <c r="Q7559" i="3"/>
  <c r="R7559" i="3" s="1"/>
  <c r="Q7560" i="3"/>
  <c r="R7560" i="3" s="1"/>
  <c r="Q7561" i="3"/>
  <c r="R7561" i="3" s="1"/>
  <c r="Q7562" i="3"/>
  <c r="R7562" i="3" s="1"/>
  <c r="Q7563" i="3"/>
  <c r="R7563" i="3" s="1"/>
  <c r="Q7564" i="3"/>
  <c r="R7564" i="3" s="1"/>
  <c r="Q7565" i="3"/>
  <c r="R7565" i="3" s="1"/>
  <c r="Q7566" i="3"/>
  <c r="R7566" i="3" s="1"/>
  <c r="Q7567" i="3"/>
  <c r="R7567" i="3" s="1"/>
  <c r="Q7568" i="3"/>
  <c r="R7568" i="3" s="1"/>
  <c r="Q7569" i="3"/>
  <c r="R7569" i="3" s="1"/>
  <c r="Q7570" i="3"/>
  <c r="R7570" i="3" s="1"/>
  <c r="Q7571" i="3"/>
  <c r="R7571" i="3" s="1"/>
  <c r="Q7572" i="3"/>
  <c r="R7572" i="3" s="1"/>
  <c r="Q7573" i="3"/>
  <c r="R7573" i="3" s="1"/>
  <c r="Q7574" i="3"/>
  <c r="R7574" i="3" s="1"/>
  <c r="Q7575" i="3"/>
  <c r="R7575" i="3" s="1"/>
  <c r="Q7576" i="3"/>
  <c r="R7576" i="3" s="1"/>
  <c r="Q7577" i="3"/>
  <c r="R7577" i="3" s="1"/>
  <c r="Q7578" i="3"/>
  <c r="R7578" i="3" s="1"/>
  <c r="Q7579" i="3"/>
  <c r="R7579" i="3" s="1"/>
  <c r="Q7580" i="3"/>
  <c r="R7580" i="3" s="1"/>
  <c r="Q7581" i="3"/>
  <c r="R7581" i="3" s="1"/>
  <c r="Q7582" i="3"/>
  <c r="R7582" i="3" s="1"/>
  <c r="Q7583" i="3"/>
  <c r="R7583" i="3" s="1"/>
  <c r="Q7584" i="3"/>
  <c r="R7584" i="3" s="1"/>
  <c r="Q7585" i="3"/>
  <c r="R7585" i="3" s="1"/>
  <c r="Q7586" i="3"/>
  <c r="R7586" i="3" s="1"/>
  <c r="Q7587" i="3"/>
  <c r="R7587" i="3" s="1"/>
  <c r="Q7588" i="3"/>
  <c r="R7588" i="3" s="1"/>
  <c r="Q7589" i="3"/>
  <c r="R7589" i="3" s="1"/>
  <c r="Q7590" i="3"/>
  <c r="R7590" i="3" s="1"/>
  <c r="Q7591" i="3"/>
  <c r="R7591" i="3" s="1"/>
  <c r="Q7592" i="3"/>
  <c r="R7592" i="3" s="1"/>
  <c r="Q7593" i="3"/>
  <c r="R7593" i="3" s="1"/>
  <c r="Q7594" i="3"/>
  <c r="R7594" i="3" s="1"/>
  <c r="Q7595" i="3"/>
  <c r="R7595" i="3" s="1"/>
  <c r="Q7596" i="3"/>
  <c r="R7596" i="3" s="1"/>
  <c r="Q7597" i="3"/>
  <c r="R7597" i="3" s="1"/>
  <c r="Q7598" i="3"/>
  <c r="R7598" i="3" s="1"/>
  <c r="Q7599" i="3"/>
  <c r="R7599" i="3" s="1"/>
  <c r="Q7600" i="3"/>
  <c r="R7600" i="3" s="1"/>
  <c r="Q7601" i="3"/>
  <c r="R7601" i="3" s="1"/>
  <c r="Q7602" i="3"/>
  <c r="R7602" i="3" s="1"/>
  <c r="Q7603" i="3"/>
  <c r="R7603" i="3" s="1"/>
  <c r="Q7604" i="3"/>
  <c r="R7604" i="3" s="1"/>
  <c r="Q7605" i="3"/>
  <c r="R7605" i="3" s="1"/>
  <c r="Q7606" i="3"/>
  <c r="R7606" i="3" s="1"/>
  <c r="Q7607" i="3"/>
  <c r="R7607" i="3" s="1"/>
  <c r="Q7608" i="3"/>
  <c r="R7608" i="3" s="1"/>
  <c r="Q7609" i="3"/>
  <c r="R7609" i="3" s="1"/>
  <c r="Q7610" i="3"/>
  <c r="R7610" i="3" s="1"/>
  <c r="Q7611" i="3"/>
  <c r="R7611" i="3" s="1"/>
  <c r="Q7612" i="3"/>
  <c r="R7612" i="3" s="1"/>
  <c r="Q7613" i="3"/>
  <c r="R7613" i="3" s="1"/>
  <c r="Q7614" i="3"/>
  <c r="R7614" i="3" s="1"/>
  <c r="Q7615" i="3"/>
  <c r="R7615" i="3" s="1"/>
  <c r="Q7616" i="3"/>
  <c r="R7616" i="3" s="1"/>
  <c r="Q7617" i="3"/>
  <c r="R7617" i="3" s="1"/>
  <c r="Q7618" i="3"/>
  <c r="R7618" i="3" s="1"/>
  <c r="Q7619" i="3"/>
  <c r="R7619" i="3" s="1"/>
  <c r="Q7620" i="3"/>
  <c r="R7620" i="3" s="1"/>
  <c r="Q7621" i="3"/>
  <c r="R7621" i="3" s="1"/>
  <c r="Q7622" i="3"/>
  <c r="R7622" i="3" s="1"/>
  <c r="Q7623" i="3"/>
  <c r="R7623" i="3" s="1"/>
  <c r="Q7624" i="3"/>
  <c r="R7624" i="3" s="1"/>
  <c r="Q7625" i="3"/>
  <c r="R7625" i="3" s="1"/>
  <c r="Q7626" i="3"/>
  <c r="R7626" i="3" s="1"/>
  <c r="Q7627" i="3"/>
  <c r="R7627" i="3" s="1"/>
  <c r="Q7628" i="3"/>
  <c r="R7628" i="3" s="1"/>
  <c r="Q7629" i="3"/>
  <c r="R7629" i="3" s="1"/>
  <c r="Q7630" i="3"/>
  <c r="R7630" i="3" s="1"/>
  <c r="Q7631" i="3"/>
  <c r="R7631" i="3" s="1"/>
  <c r="Q7632" i="3"/>
  <c r="R7632" i="3" s="1"/>
  <c r="Q7633" i="3"/>
  <c r="R7633" i="3" s="1"/>
  <c r="Q7634" i="3"/>
  <c r="R7634" i="3" s="1"/>
  <c r="Q7635" i="3"/>
  <c r="R7635" i="3" s="1"/>
  <c r="Q7636" i="3"/>
  <c r="R7636" i="3" s="1"/>
  <c r="Q7637" i="3"/>
  <c r="R7637" i="3" s="1"/>
  <c r="Q7638" i="3"/>
  <c r="R7638" i="3" s="1"/>
  <c r="Q7639" i="3"/>
  <c r="R7639" i="3" s="1"/>
  <c r="Q7640" i="3"/>
  <c r="R7640" i="3" s="1"/>
  <c r="Q7641" i="3"/>
  <c r="R7641" i="3" s="1"/>
  <c r="Q7642" i="3"/>
  <c r="R7642" i="3" s="1"/>
  <c r="Q7643" i="3"/>
  <c r="R7643" i="3" s="1"/>
  <c r="Q7644" i="3"/>
  <c r="R7644" i="3" s="1"/>
  <c r="Q7645" i="3"/>
  <c r="R7645" i="3" s="1"/>
  <c r="Q7646" i="3"/>
  <c r="R7646" i="3" s="1"/>
  <c r="Q7647" i="3"/>
  <c r="R7647" i="3" s="1"/>
  <c r="Q7648" i="3"/>
  <c r="R7648" i="3" s="1"/>
  <c r="Q7649" i="3"/>
  <c r="R7649" i="3" s="1"/>
  <c r="Q7650" i="3"/>
  <c r="R7650" i="3" s="1"/>
  <c r="Q7651" i="3"/>
  <c r="R7651" i="3" s="1"/>
  <c r="Q7652" i="3"/>
  <c r="R7652" i="3" s="1"/>
  <c r="Q7653" i="3"/>
  <c r="R7653" i="3" s="1"/>
  <c r="Q7654" i="3"/>
  <c r="R7654" i="3" s="1"/>
  <c r="Q7655" i="3"/>
  <c r="R7655" i="3" s="1"/>
  <c r="Q7656" i="3"/>
  <c r="R7656" i="3" s="1"/>
  <c r="Q7657" i="3"/>
  <c r="R7657" i="3" s="1"/>
  <c r="Q7658" i="3"/>
  <c r="R7658" i="3" s="1"/>
  <c r="Q7659" i="3"/>
  <c r="R7659" i="3" s="1"/>
  <c r="Q7660" i="3"/>
  <c r="R7660" i="3" s="1"/>
  <c r="Q7661" i="3"/>
  <c r="R7661" i="3" s="1"/>
  <c r="Q7662" i="3"/>
  <c r="R7662" i="3" s="1"/>
  <c r="Q7663" i="3"/>
  <c r="R7663" i="3" s="1"/>
  <c r="Q7664" i="3"/>
  <c r="R7664" i="3" s="1"/>
  <c r="Q7665" i="3"/>
  <c r="R7665" i="3" s="1"/>
  <c r="Q7666" i="3"/>
  <c r="R7666" i="3" s="1"/>
  <c r="Q7667" i="3"/>
  <c r="R7667" i="3" s="1"/>
  <c r="Q7668" i="3"/>
  <c r="R7668" i="3" s="1"/>
  <c r="Q7669" i="3"/>
  <c r="R7669" i="3" s="1"/>
  <c r="Q7670" i="3"/>
  <c r="R7670" i="3" s="1"/>
  <c r="Q7671" i="3"/>
  <c r="R7671" i="3" s="1"/>
  <c r="Q7672" i="3"/>
  <c r="R7672" i="3" s="1"/>
  <c r="Q7673" i="3"/>
  <c r="R7673" i="3" s="1"/>
  <c r="Q7674" i="3"/>
  <c r="R7674" i="3" s="1"/>
  <c r="Q7675" i="3"/>
  <c r="R7675" i="3" s="1"/>
  <c r="Q7676" i="3"/>
  <c r="R7676" i="3" s="1"/>
  <c r="Q7677" i="3"/>
  <c r="R7677" i="3" s="1"/>
  <c r="Q7678" i="3"/>
  <c r="R7678" i="3" s="1"/>
  <c r="Q7679" i="3"/>
  <c r="R7679" i="3" s="1"/>
  <c r="Q7680" i="3"/>
  <c r="R7680" i="3" s="1"/>
  <c r="Q7681" i="3"/>
  <c r="R7681" i="3" s="1"/>
  <c r="Q7682" i="3"/>
  <c r="R7682" i="3" s="1"/>
  <c r="Q7683" i="3"/>
  <c r="R7683" i="3" s="1"/>
  <c r="Q7684" i="3"/>
  <c r="R7684" i="3" s="1"/>
  <c r="Q7685" i="3"/>
  <c r="R7685" i="3" s="1"/>
  <c r="Q7686" i="3"/>
  <c r="R7686" i="3" s="1"/>
  <c r="Q7687" i="3"/>
  <c r="R7687" i="3" s="1"/>
  <c r="Q7688" i="3"/>
  <c r="R7688" i="3" s="1"/>
  <c r="Q7689" i="3"/>
  <c r="R7689" i="3" s="1"/>
  <c r="Q7690" i="3"/>
  <c r="R7690" i="3" s="1"/>
  <c r="Q7691" i="3"/>
  <c r="R7691" i="3" s="1"/>
  <c r="Q7692" i="3"/>
  <c r="R7692" i="3" s="1"/>
  <c r="Q7693" i="3"/>
  <c r="R7693" i="3" s="1"/>
  <c r="Q7694" i="3"/>
  <c r="R7694" i="3" s="1"/>
  <c r="Q7695" i="3"/>
  <c r="R7695" i="3" s="1"/>
  <c r="Q7696" i="3"/>
  <c r="R7696" i="3" s="1"/>
  <c r="Q7697" i="3"/>
  <c r="R7697" i="3" s="1"/>
  <c r="Q7698" i="3"/>
  <c r="R7698" i="3" s="1"/>
  <c r="Q7699" i="3"/>
  <c r="R7699" i="3" s="1"/>
  <c r="Q7700" i="3"/>
  <c r="R7700" i="3" s="1"/>
  <c r="Q7701" i="3"/>
  <c r="R7701" i="3" s="1"/>
  <c r="Q7702" i="3"/>
  <c r="R7702" i="3" s="1"/>
  <c r="Q7703" i="3"/>
  <c r="R7703" i="3" s="1"/>
  <c r="Q7704" i="3"/>
  <c r="R7704" i="3" s="1"/>
  <c r="Q7705" i="3"/>
  <c r="R7705" i="3" s="1"/>
  <c r="Q7706" i="3"/>
  <c r="R7706" i="3" s="1"/>
  <c r="Q7707" i="3"/>
  <c r="R7707" i="3" s="1"/>
  <c r="Q7708" i="3"/>
  <c r="R7708" i="3" s="1"/>
  <c r="Q7709" i="3"/>
  <c r="R7709" i="3" s="1"/>
  <c r="Q7710" i="3"/>
  <c r="R7710" i="3" s="1"/>
  <c r="Q7711" i="3"/>
  <c r="R7711" i="3" s="1"/>
  <c r="Q7712" i="3"/>
  <c r="R7712" i="3" s="1"/>
  <c r="Q7713" i="3"/>
  <c r="R7713" i="3" s="1"/>
  <c r="Q7714" i="3"/>
  <c r="R7714" i="3" s="1"/>
  <c r="Q7715" i="3"/>
  <c r="R7715" i="3" s="1"/>
  <c r="Q7716" i="3"/>
  <c r="R7716" i="3" s="1"/>
  <c r="Q7717" i="3"/>
  <c r="R7717" i="3" s="1"/>
  <c r="Q7718" i="3"/>
  <c r="R7718" i="3" s="1"/>
  <c r="Q7719" i="3"/>
  <c r="R7719" i="3" s="1"/>
  <c r="Q7720" i="3"/>
  <c r="R7720" i="3" s="1"/>
  <c r="Q7721" i="3"/>
  <c r="R7721" i="3" s="1"/>
  <c r="Q7722" i="3"/>
  <c r="R7722" i="3" s="1"/>
  <c r="Q7723" i="3"/>
  <c r="R7723" i="3" s="1"/>
  <c r="Q7724" i="3"/>
  <c r="R7724" i="3" s="1"/>
  <c r="Q7725" i="3"/>
  <c r="R7725" i="3" s="1"/>
  <c r="Q7726" i="3"/>
  <c r="R7726" i="3" s="1"/>
  <c r="Q7727" i="3"/>
  <c r="R7727" i="3" s="1"/>
  <c r="Q7728" i="3"/>
  <c r="R7728" i="3" s="1"/>
  <c r="Q7729" i="3"/>
  <c r="R7729" i="3" s="1"/>
  <c r="Q7730" i="3"/>
  <c r="R7730" i="3" s="1"/>
  <c r="Q7731" i="3"/>
  <c r="R7731" i="3" s="1"/>
  <c r="Q7732" i="3"/>
  <c r="R7732" i="3" s="1"/>
  <c r="Q7733" i="3"/>
  <c r="R7733" i="3" s="1"/>
  <c r="Q7734" i="3"/>
  <c r="R7734" i="3" s="1"/>
  <c r="Q7735" i="3"/>
  <c r="R7735" i="3" s="1"/>
  <c r="Q7736" i="3"/>
  <c r="R7736" i="3" s="1"/>
  <c r="Q7737" i="3"/>
  <c r="R7737" i="3" s="1"/>
  <c r="Q7738" i="3"/>
  <c r="R7738" i="3" s="1"/>
  <c r="Q7739" i="3"/>
  <c r="R7739" i="3" s="1"/>
  <c r="Q7740" i="3"/>
  <c r="R7740" i="3" s="1"/>
  <c r="Q7741" i="3"/>
  <c r="R7741" i="3" s="1"/>
  <c r="Q7742" i="3"/>
  <c r="R7742" i="3" s="1"/>
  <c r="Q7743" i="3"/>
  <c r="R7743" i="3" s="1"/>
  <c r="Q7744" i="3"/>
  <c r="R7744" i="3" s="1"/>
  <c r="Q7745" i="3"/>
  <c r="R7745" i="3" s="1"/>
  <c r="Q7746" i="3"/>
  <c r="R7746" i="3" s="1"/>
  <c r="Q7747" i="3"/>
  <c r="R7747" i="3" s="1"/>
  <c r="Q7748" i="3"/>
  <c r="R7748" i="3" s="1"/>
  <c r="Q7749" i="3"/>
  <c r="R7749" i="3" s="1"/>
  <c r="Q7750" i="3"/>
  <c r="R7750" i="3" s="1"/>
  <c r="Q7751" i="3"/>
  <c r="R7751" i="3" s="1"/>
  <c r="Q7752" i="3"/>
  <c r="R7752" i="3" s="1"/>
  <c r="Q7753" i="3"/>
  <c r="R7753" i="3" s="1"/>
  <c r="Q7754" i="3"/>
  <c r="R7754" i="3" s="1"/>
  <c r="Q7755" i="3"/>
  <c r="R7755" i="3" s="1"/>
  <c r="Q7756" i="3"/>
  <c r="R7756" i="3" s="1"/>
  <c r="Q7757" i="3"/>
  <c r="R7757" i="3" s="1"/>
  <c r="Q7758" i="3"/>
  <c r="R7758" i="3" s="1"/>
  <c r="Q7759" i="3"/>
  <c r="R7759" i="3" s="1"/>
  <c r="Q7760" i="3"/>
  <c r="R7760" i="3" s="1"/>
  <c r="Q7761" i="3"/>
  <c r="R7761" i="3" s="1"/>
  <c r="Q7762" i="3"/>
  <c r="R7762" i="3" s="1"/>
  <c r="Q7763" i="3"/>
  <c r="R7763" i="3" s="1"/>
  <c r="Q7764" i="3"/>
  <c r="R7764" i="3" s="1"/>
  <c r="Q7765" i="3"/>
  <c r="R7765" i="3" s="1"/>
  <c r="Q7766" i="3"/>
  <c r="R7766" i="3" s="1"/>
  <c r="Q7767" i="3"/>
  <c r="R7767" i="3" s="1"/>
  <c r="Q7768" i="3"/>
  <c r="R7768" i="3" s="1"/>
  <c r="Q7769" i="3"/>
  <c r="R7769" i="3" s="1"/>
  <c r="Q7770" i="3"/>
  <c r="R7770" i="3" s="1"/>
  <c r="Q7771" i="3"/>
  <c r="R7771" i="3" s="1"/>
  <c r="Q7772" i="3"/>
  <c r="R7772" i="3" s="1"/>
  <c r="Q7773" i="3"/>
  <c r="R7773" i="3" s="1"/>
  <c r="Q7774" i="3"/>
  <c r="R7774" i="3" s="1"/>
  <c r="Q7775" i="3"/>
  <c r="R7775" i="3" s="1"/>
  <c r="Q7776" i="3"/>
  <c r="R7776" i="3" s="1"/>
  <c r="Q7777" i="3"/>
  <c r="R7777" i="3" s="1"/>
  <c r="Q7778" i="3"/>
  <c r="R7778" i="3" s="1"/>
  <c r="Q7779" i="3"/>
  <c r="R7779" i="3" s="1"/>
  <c r="Q7780" i="3"/>
  <c r="R7780" i="3" s="1"/>
  <c r="Q7781" i="3"/>
  <c r="R7781" i="3" s="1"/>
  <c r="Q7782" i="3"/>
  <c r="R7782" i="3" s="1"/>
  <c r="Q7783" i="3"/>
  <c r="R7783" i="3" s="1"/>
  <c r="Q7784" i="3"/>
  <c r="R7784" i="3" s="1"/>
  <c r="Q7785" i="3"/>
  <c r="R7785" i="3" s="1"/>
  <c r="Q7786" i="3"/>
  <c r="R7786" i="3" s="1"/>
  <c r="Q7787" i="3"/>
  <c r="R7787" i="3" s="1"/>
  <c r="Q7788" i="3"/>
  <c r="R7788" i="3" s="1"/>
  <c r="Q7789" i="3"/>
  <c r="R7789" i="3" s="1"/>
  <c r="Q7790" i="3"/>
  <c r="R7790" i="3" s="1"/>
  <c r="Q7791" i="3"/>
  <c r="R7791" i="3" s="1"/>
  <c r="Q7792" i="3"/>
  <c r="R7792" i="3" s="1"/>
  <c r="Q7793" i="3"/>
  <c r="R7793" i="3" s="1"/>
  <c r="Q7794" i="3"/>
  <c r="R7794" i="3" s="1"/>
  <c r="Q7795" i="3"/>
  <c r="R7795" i="3" s="1"/>
  <c r="Q7796" i="3"/>
  <c r="R7796" i="3" s="1"/>
  <c r="Q7797" i="3"/>
  <c r="R7797" i="3" s="1"/>
  <c r="Q7798" i="3"/>
  <c r="R7798" i="3" s="1"/>
  <c r="Q7799" i="3"/>
  <c r="R7799" i="3" s="1"/>
  <c r="Q7800" i="3"/>
  <c r="R7800" i="3" s="1"/>
  <c r="Q7801" i="3"/>
  <c r="R7801" i="3" s="1"/>
  <c r="Q7802" i="3"/>
  <c r="R7802" i="3" s="1"/>
  <c r="Q7803" i="3"/>
  <c r="R7803" i="3" s="1"/>
  <c r="Q7804" i="3"/>
  <c r="R7804" i="3" s="1"/>
  <c r="Q7805" i="3"/>
  <c r="R7805" i="3" s="1"/>
  <c r="Q7806" i="3"/>
  <c r="R7806" i="3" s="1"/>
  <c r="Q7807" i="3"/>
  <c r="R7807" i="3" s="1"/>
  <c r="Q7808" i="3"/>
  <c r="R7808" i="3" s="1"/>
  <c r="Q7809" i="3"/>
  <c r="R7809" i="3" s="1"/>
  <c r="Q7810" i="3"/>
  <c r="R7810" i="3" s="1"/>
  <c r="Q7811" i="3"/>
  <c r="R7811" i="3" s="1"/>
  <c r="Q7812" i="3"/>
  <c r="R7812" i="3" s="1"/>
  <c r="Q7813" i="3"/>
  <c r="R7813" i="3" s="1"/>
  <c r="Q7814" i="3"/>
  <c r="R7814" i="3" s="1"/>
  <c r="Q7815" i="3"/>
  <c r="R7815" i="3" s="1"/>
  <c r="Q7816" i="3"/>
  <c r="R7816" i="3" s="1"/>
  <c r="Q7817" i="3"/>
  <c r="R7817" i="3" s="1"/>
  <c r="Q7818" i="3"/>
  <c r="R7818" i="3" s="1"/>
  <c r="Q7819" i="3"/>
  <c r="R7819" i="3" s="1"/>
  <c r="Q7820" i="3"/>
  <c r="R7820" i="3" s="1"/>
  <c r="Q7821" i="3"/>
  <c r="R7821" i="3" s="1"/>
  <c r="Q7822" i="3"/>
  <c r="R7822" i="3" s="1"/>
  <c r="Q7823" i="3"/>
  <c r="R7823" i="3" s="1"/>
  <c r="Q7824" i="3"/>
  <c r="R7824" i="3" s="1"/>
  <c r="Q7825" i="3"/>
  <c r="R7825" i="3" s="1"/>
  <c r="Q7826" i="3"/>
  <c r="R7826" i="3" s="1"/>
  <c r="Q7827" i="3"/>
  <c r="R7827" i="3" s="1"/>
  <c r="Q7828" i="3"/>
  <c r="R7828" i="3" s="1"/>
  <c r="Q7829" i="3"/>
  <c r="R7829" i="3" s="1"/>
  <c r="Q7830" i="3"/>
  <c r="R7830" i="3" s="1"/>
  <c r="Q7831" i="3"/>
  <c r="R7831" i="3" s="1"/>
  <c r="Q7832" i="3"/>
  <c r="R7832" i="3" s="1"/>
  <c r="Q7833" i="3"/>
  <c r="R7833" i="3" s="1"/>
  <c r="Q7834" i="3"/>
  <c r="R7834" i="3" s="1"/>
  <c r="Q7835" i="3"/>
  <c r="R7835" i="3" s="1"/>
  <c r="Q7836" i="3"/>
  <c r="R7836" i="3" s="1"/>
  <c r="Q7837" i="3"/>
  <c r="R7837" i="3" s="1"/>
  <c r="Q7838" i="3"/>
  <c r="R7838" i="3" s="1"/>
  <c r="Q7839" i="3"/>
  <c r="R7839" i="3" s="1"/>
  <c r="Q7840" i="3"/>
  <c r="R7840" i="3" s="1"/>
  <c r="Q7841" i="3"/>
  <c r="R7841" i="3" s="1"/>
  <c r="Q7842" i="3"/>
  <c r="R7842" i="3" s="1"/>
  <c r="Q7843" i="3"/>
  <c r="R7843" i="3" s="1"/>
  <c r="Q7844" i="3"/>
  <c r="R7844" i="3" s="1"/>
  <c r="Q7845" i="3"/>
  <c r="R7845" i="3" s="1"/>
  <c r="Q7846" i="3"/>
  <c r="R7846" i="3" s="1"/>
  <c r="Q7847" i="3"/>
  <c r="R7847" i="3" s="1"/>
  <c r="Q7848" i="3"/>
  <c r="R7848" i="3" s="1"/>
  <c r="Q7849" i="3"/>
  <c r="R7849" i="3" s="1"/>
  <c r="Q7850" i="3"/>
  <c r="R7850" i="3" s="1"/>
  <c r="Q7851" i="3"/>
  <c r="R7851" i="3" s="1"/>
  <c r="Q7852" i="3"/>
  <c r="R7852" i="3" s="1"/>
  <c r="Q7853" i="3"/>
  <c r="R7853" i="3" s="1"/>
  <c r="Q7854" i="3"/>
  <c r="R7854" i="3" s="1"/>
  <c r="Q7855" i="3"/>
  <c r="R7855" i="3" s="1"/>
  <c r="Q7856" i="3"/>
  <c r="R7856" i="3" s="1"/>
  <c r="Q7857" i="3"/>
  <c r="R7857" i="3" s="1"/>
  <c r="Q7858" i="3"/>
  <c r="R7858" i="3" s="1"/>
  <c r="Q7859" i="3"/>
  <c r="R7859" i="3" s="1"/>
  <c r="Q7860" i="3"/>
  <c r="R7860" i="3" s="1"/>
  <c r="Q7861" i="3"/>
  <c r="R7861" i="3" s="1"/>
  <c r="Q7862" i="3"/>
  <c r="R7862" i="3" s="1"/>
  <c r="Q7863" i="3"/>
  <c r="R7863" i="3" s="1"/>
  <c r="Q7864" i="3"/>
  <c r="R7864" i="3" s="1"/>
  <c r="Q7865" i="3"/>
  <c r="R7865" i="3" s="1"/>
  <c r="Q7866" i="3"/>
  <c r="R7866" i="3" s="1"/>
  <c r="Q7867" i="3"/>
  <c r="R7867" i="3" s="1"/>
  <c r="Q7868" i="3"/>
  <c r="R7868" i="3" s="1"/>
  <c r="Q7869" i="3"/>
  <c r="R7869" i="3" s="1"/>
  <c r="Q7870" i="3"/>
  <c r="R7870" i="3" s="1"/>
  <c r="Q7871" i="3"/>
  <c r="R7871" i="3" s="1"/>
  <c r="Q7872" i="3"/>
  <c r="R7872" i="3" s="1"/>
  <c r="Q7873" i="3"/>
  <c r="R7873" i="3" s="1"/>
  <c r="Q7874" i="3"/>
  <c r="R7874" i="3" s="1"/>
  <c r="Q7875" i="3"/>
  <c r="R7875" i="3" s="1"/>
  <c r="Q7876" i="3"/>
  <c r="R7876" i="3" s="1"/>
  <c r="Q7877" i="3"/>
  <c r="R7877" i="3" s="1"/>
  <c r="Q7878" i="3"/>
  <c r="R7878" i="3" s="1"/>
  <c r="Q7879" i="3"/>
  <c r="R7879" i="3" s="1"/>
  <c r="Q7880" i="3"/>
  <c r="R7880" i="3" s="1"/>
  <c r="Q7881" i="3"/>
  <c r="R7881" i="3" s="1"/>
  <c r="Q7882" i="3"/>
  <c r="R7882" i="3" s="1"/>
  <c r="Q7883" i="3"/>
  <c r="R7883" i="3" s="1"/>
  <c r="Q7884" i="3"/>
  <c r="R7884" i="3" s="1"/>
  <c r="Q7885" i="3"/>
  <c r="R7885" i="3" s="1"/>
  <c r="Q7886" i="3"/>
  <c r="R7886" i="3" s="1"/>
  <c r="Q7887" i="3"/>
  <c r="R7887" i="3" s="1"/>
  <c r="Q7888" i="3"/>
  <c r="R7888" i="3" s="1"/>
  <c r="Q7889" i="3"/>
  <c r="R7889" i="3" s="1"/>
  <c r="Q7890" i="3"/>
  <c r="R7890" i="3" s="1"/>
  <c r="Q7891" i="3"/>
  <c r="R7891" i="3" s="1"/>
  <c r="Q7892" i="3"/>
  <c r="R7892" i="3" s="1"/>
  <c r="Q7893" i="3"/>
  <c r="R7893" i="3" s="1"/>
  <c r="Q7894" i="3"/>
  <c r="R7894" i="3" s="1"/>
  <c r="Q7895" i="3"/>
  <c r="R7895" i="3" s="1"/>
  <c r="Q7896" i="3"/>
  <c r="R7896" i="3" s="1"/>
  <c r="Q7897" i="3"/>
  <c r="R7897" i="3" s="1"/>
  <c r="Q7898" i="3"/>
  <c r="R7898" i="3" s="1"/>
  <c r="Q7899" i="3"/>
  <c r="R7899" i="3" s="1"/>
  <c r="Q7900" i="3"/>
  <c r="R7900" i="3" s="1"/>
  <c r="Q7901" i="3"/>
  <c r="R7901" i="3" s="1"/>
  <c r="Q7902" i="3"/>
  <c r="R7902" i="3" s="1"/>
  <c r="Q7903" i="3"/>
  <c r="R7903" i="3" s="1"/>
  <c r="Q7904" i="3"/>
  <c r="R7904" i="3" s="1"/>
  <c r="Q7905" i="3"/>
  <c r="R7905" i="3" s="1"/>
  <c r="Q7906" i="3"/>
  <c r="R7906" i="3" s="1"/>
  <c r="Q7907" i="3"/>
  <c r="R7907" i="3" s="1"/>
  <c r="Q7908" i="3"/>
  <c r="R7908" i="3" s="1"/>
  <c r="Q7909" i="3"/>
  <c r="R7909" i="3" s="1"/>
  <c r="Q7910" i="3"/>
  <c r="R7910" i="3" s="1"/>
  <c r="Q7911" i="3"/>
  <c r="R7911" i="3" s="1"/>
  <c r="Q7912" i="3"/>
  <c r="R7912" i="3" s="1"/>
  <c r="Q7913" i="3"/>
  <c r="R7913" i="3" s="1"/>
  <c r="Q7914" i="3"/>
  <c r="R7914" i="3" s="1"/>
  <c r="Q7915" i="3"/>
  <c r="R7915" i="3" s="1"/>
  <c r="Q7916" i="3"/>
  <c r="R7916" i="3" s="1"/>
  <c r="Q7917" i="3"/>
  <c r="R7917" i="3" s="1"/>
  <c r="Q7918" i="3"/>
  <c r="R7918" i="3" s="1"/>
  <c r="Q7919" i="3"/>
  <c r="R7919" i="3" s="1"/>
  <c r="Q7920" i="3"/>
  <c r="R7920" i="3" s="1"/>
  <c r="Q7921" i="3"/>
  <c r="R7921" i="3" s="1"/>
  <c r="Q7922" i="3"/>
  <c r="R7922" i="3" s="1"/>
  <c r="Q7923" i="3"/>
  <c r="R7923" i="3" s="1"/>
  <c r="Q7924" i="3"/>
  <c r="R7924" i="3" s="1"/>
  <c r="Q7925" i="3"/>
  <c r="R7925" i="3" s="1"/>
  <c r="Q7926" i="3"/>
  <c r="R7926" i="3" s="1"/>
  <c r="Q7927" i="3"/>
  <c r="R7927" i="3" s="1"/>
  <c r="Q7928" i="3"/>
  <c r="R7928" i="3" s="1"/>
  <c r="Q7929" i="3"/>
  <c r="R7929" i="3" s="1"/>
  <c r="Q7930" i="3"/>
  <c r="R7930" i="3" s="1"/>
  <c r="Q7931" i="3"/>
  <c r="R7931" i="3" s="1"/>
  <c r="Q7932" i="3"/>
  <c r="R7932" i="3" s="1"/>
  <c r="Q7933" i="3"/>
  <c r="R7933" i="3" s="1"/>
  <c r="Q7934" i="3"/>
  <c r="R7934" i="3" s="1"/>
  <c r="Q7935" i="3"/>
  <c r="R7935" i="3" s="1"/>
  <c r="Q7936" i="3"/>
  <c r="R7936" i="3" s="1"/>
  <c r="Q7937" i="3"/>
  <c r="R7937" i="3" s="1"/>
  <c r="Q7938" i="3"/>
  <c r="R7938" i="3" s="1"/>
  <c r="Q7939" i="3"/>
  <c r="R7939" i="3" s="1"/>
  <c r="Q7940" i="3"/>
  <c r="R7940" i="3" s="1"/>
  <c r="Q7941" i="3"/>
  <c r="R7941" i="3" s="1"/>
  <c r="Q7942" i="3"/>
  <c r="R7942" i="3" s="1"/>
  <c r="Q7943" i="3"/>
  <c r="R7943" i="3" s="1"/>
  <c r="Q7944" i="3"/>
  <c r="R7944" i="3" s="1"/>
  <c r="Q7945" i="3"/>
  <c r="R7945" i="3" s="1"/>
  <c r="Q7946" i="3"/>
  <c r="R7946" i="3" s="1"/>
  <c r="Q7947" i="3"/>
  <c r="R7947" i="3" s="1"/>
  <c r="Q7948" i="3"/>
  <c r="R7948" i="3" s="1"/>
  <c r="Q7949" i="3"/>
  <c r="R7949" i="3" s="1"/>
  <c r="Q7950" i="3"/>
  <c r="R7950" i="3" s="1"/>
  <c r="Q7951" i="3"/>
  <c r="R7951" i="3" s="1"/>
  <c r="Q7952" i="3"/>
  <c r="R7952" i="3" s="1"/>
  <c r="Q7953" i="3"/>
  <c r="R7953" i="3" s="1"/>
  <c r="Q7954" i="3"/>
  <c r="R7954" i="3" s="1"/>
  <c r="Q7955" i="3"/>
  <c r="R7955" i="3" s="1"/>
  <c r="Q7956" i="3"/>
  <c r="R7956" i="3" s="1"/>
  <c r="Q7957" i="3"/>
  <c r="R7957" i="3" s="1"/>
  <c r="Q7958" i="3"/>
  <c r="R7958" i="3" s="1"/>
  <c r="Q7959" i="3"/>
  <c r="R7959" i="3" s="1"/>
  <c r="Q7960" i="3"/>
  <c r="R7960" i="3" s="1"/>
  <c r="Q7961" i="3"/>
  <c r="R7961" i="3" s="1"/>
  <c r="Q7962" i="3"/>
  <c r="R7962" i="3" s="1"/>
  <c r="Q7963" i="3"/>
  <c r="R7963" i="3" s="1"/>
  <c r="Q7964" i="3"/>
  <c r="R7964" i="3" s="1"/>
  <c r="Q7965" i="3"/>
  <c r="R7965" i="3" s="1"/>
  <c r="Q7966" i="3"/>
  <c r="R7966" i="3" s="1"/>
  <c r="Q7967" i="3"/>
  <c r="R7967" i="3" s="1"/>
  <c r="Q7968" i="3"/>
  <c r="R7968" i="3" s="1"/>
  <c r="Q7969" i="3"/>
  <c r="R7969" i="3" s="1"/>
  <c r="Q7970" i="3"/>
  <c r="R7970" i="3" s="1"/>
  <c r="Q7971" i="3"/>
  <c r="R7971" i="3" s="1"/>
  <c r="Q7972" i="3"/>
  <c r="R7972" i="3" s="1"/>
  <c r="Q7973" i="3"/>
  <c r="R7973" i="3" s="1"/>
  <c r="Q7974" i="3"/>
  <c r="R7974" i="3" s="1"/>
  <c r="Q7975" i="3"/>
  <c r="R7975" i="3" s="1"/>
  <c r="Q7976" i="3"/>
  <c r="R7976" i="3" s="1"/>
  <c r="Q7977" i="3"/>
  <c r="R7977" i="3" s="1"/>
  <c r="Q7978" i="3"/>
  <c r="R7978" i="3" s="1"/>
  <c r="Q7979" i="3"/>
  <c r="R7979" i="3" s="1"/>
  <c r="Q7980" i="3"/>
  <c r="R7980" i="3" s="1"/>
  <c r="Q7981" i="3"/>
  <c r="R7981" i="3" s="1"/>
  <c r="Q7982" i="3"/>
  <c r="R7982" i="3" s="1"/>
  <c r="Q7983" i="3"/>
  <c r="R7983" i="3" s="1"/>
  <c r="Q7984" i="3"/>
  <c r="R7984" i="3" s="1"/>
  <c r="Q7985" i="3"/>
  <c r="R7985" i="3" s="1"/>
  <c r="Q7986" i="3"/>
  <c r="R7986" i="3" s="1"/>
  <c r="Q7987" i="3"/>
  <c r="R7987" i="3" s="1"/>
  <c r="Q7988" i="3"/>
  <c r="R7988" i="3" s="1"/>
  <c r="Q7989" i="3"/>
  <c r="R7989" i="3" s="1"/>
  <c r="Q7990" i="3"/>
  <c r="R7990" i="3" s="1"/>
  <c r="Q7991" i="3"/>
  <c r="R7991" i="3" s="1"/>
  <c r="Q7992" i="3"/>
  <c r="R7992" i="3" s="1"/>
  <c r="Q7993" i="3"/>
  <c r="R7993" i="3" s="1"/>
  <c r="Q7994" i="3"/>
  <c r="R7994" i="3" s="1"/>
  <c r="Q7995" i="3"/>
  <c r="R7995" i="3" s="1"/>
  <c r="Q7996" i="3"/>
  <c r="R7996" i="3" s="1"/>
  <c r="Q7997" i="3"/>
  <c r="R7997" i="3" s="1"/>
  <c r="Q7998" i="3"/>
  <c r="R7998" i="3" s="1"/>
  <c r="Q7999" i="3"/>
  <c r="R7999" i="3" s="1"/>
  <c r="Q8000" i="3"/>
  <c r="R8000" i="3" s="1"/>
  <c r="Q8001" i="3"/>
  <c r="R8001" i="3" s="1"/>
  <c r="Q8002" i="3"/>
  <c r="R8002" i="3" s="1"/>
  <c r="Q8003" i="3"/>
  <c r="R8003" i="3" s="1"/>
  <c r="Q8004" i="3"/>
  <c r="R8004" i="3" s="1"/>
  <c r="Q8005" i="3"/>
  <c r="R8005" i="3" s="1"/>
  <c r="Q8006" i="3"/>
  <c r="R8006" i="3" s="1"/>
  <c r="Q8007" i="3"/>
  <c r="R8007" i="3" s="1"/>
  <c r="Q8008" i="3"/>
  <c r="R8008" i="3" s="1"/>
  <c r="Q8009" i="3"/>
  <c r="R8009" i="3" s="1"/>
  <c r="Q8010" i="3"/>
  <c r="R8010" i="3" s="1"/>
  <c r="Q8011" i="3"/>
  <c r="R8011" i="3" s="1"/>
  <c r="Q8012" i="3"/>
  <c r="R8012" i="3" s="1"/>
  <c r="Q8013" i="3"/>
  <c r="R8013" i="3" s="1"/>
  <c r="Q8014" i="3"/>
  <c r="R8014" i="3" s="1"/>
  <c r="Q8015" i="3"/>
  <c r="R8015" i="3" s="1"/>
  <c r="Q8016" i="3"/>
  <c r="R8016" i="3" s="1"/>
  <c r="Q8017" i="3"/>
  <c r="R8017" i="3" s="1"/>
  <c r="Q8018" i="3"/>
  <c r="R8018" i="3" s="1"/>
  <c r="Q8019" i="3"/>
  <c r="R8019" i="3" s="1"/>
  <c r="Q8020" i="3"/>
  <c r="R8020" i="3" s="1"/>
  <c r="Q8021" i="3"/>
  <c r="R8021" i="3" s="1"/>
  <c r="Q8022" i="3"/>
  <c r="R8022" i="3" s="1"/>
  <c r="Q8023" i="3"/>
  <c r="R8023" i="3" s="1"/>
  <c r="Q8024" i="3"/>
  <c r="R8024" i="3" s="1"/>
  <c r="Q8025" i="3"/>
  <c r="R8025" i="3" s="1"/>
  <c r="Q8026" i="3"/>
  <c r="R8026" i="3" s="1"/>
  <c r="Q8027" i="3"/>
  <c r="R8027" i="3" s="1"/>
  <c r="Q8028" i="3"/>
  <c r="R8028" i="3" s="1"/>
  <c r="Q8029" i="3"/>
  <c r="R8029" i="3" s="1"/>
  <c r="Q8030" i="3"/>
  <c r="R8030" i="3" s="1"/>
  <c r="Q8031" i="3"/>
  <c r="R8031" i="3" s="1"/>
  <c r="Q8032" i="3"/>
  <c r="R8032" i="3" s="1"/>
  <c r="Q8033" i="3"/>
  <c r="R8033" i="3" s="1"/>
  <c r="Q8034" i="3"/>
  <c r="R8034" i="3" s="1"/>
  <c r="Q8035" i="3"/>
  <c r="R8035" i="3" s="1"/>
  <c r="Q8036" i="3"/>
  <c r="R8036" i="3" s="1"/>
  <c r="Q8037" i="3"/>
  <c r="R8037" i="3" s="1"/>
  <c r="Q8038" i="3"/>
  <c r="R8038" i="3" s="1"/>
  <c r="Q8039" i="3"/>
  <c r="R8039" i="3" s="1"/>
  <c r="Q8040" i="3"/>
  <c r="R8040" i="3" s="1"/>
  <c r="Q8041" i="3"/>
  <c r="R8041" i="3" s="1"/>
  <c r="Q8042" i="3"/>
  <c r="R8042" i="3" s="1"/>
  <c r="Q8043" i="3"/>
  <c r="R8043" i="3" s="1"/>
  <c r="Q8044" i="3"/>
  <c r="R8044" i="3" s="1"/>
  <c r="Q8045" i="3"/>
  <c r="R8045" i="3" s="1"/>
  <c r="Q8046" i="3"/>
  <c r="R8046" i="3" s="1"/>
  <c r="Q8047" i="3"/>
  <c r="R8047" i="3" s="1"/>
  <c r="Q8048" i="3"/>
  <c r="R8048" i="3" s="1"/>
  <c r="Q8049" i="3"/>
  <c r="R8049" i="3" s="1"/>
  <c r="Q8050" i="3"/>
  <c r="R8050" i="3" s="1"/>
  <c r="Q8051" i="3"/>
  <c r="R8051" i="3" s="1"/>
  <c r="Q8052" i="3"/>
  <c r="R8052" i="3" s="1"/>
  <c r="Q8053" i="3"/>
  <c r="R8053" i="3" s="1"/>
  <c r="Q8054" i="3"/>
  <c r="R8054" i="3" s="1"/>
  <c r="Q8055" i="3"/>
  <c r="R8055" i="3" s="1"/>
  <c r="Q8056" i="3"/>
  <c r="R8056" i="3" s="1"/>
  <c r="Q8057" i="3"/>
  <c r="R8057" i="3" s="1"/>
  <c r="Q8058" i="3"/>
  <c r="R8058" i="3" s="1"/>
  <c r="Q8059" i="3"/>
  <c r="R8059" i="3" s="1"/>
  <c r="Q8060" i="3"/>
  <c r="R8060" i="3" s="1"/>
  <c r="Q8061" i="3"/>
  <c r="R8061" i="3" s="1"/>
  <c r="Q8062" i="3"/>
  <c r="R8062" i="3" s="1"/>
  <c r="Q8063" i="3"/>
  <c r="R8063" i="3" s="1"/>
  <c r="Q8064" i="3"/>
  <c r="R8064" i="3" s="1"/>
  <c r="Q8065" i="3"/>
  <c r="R8065" i="3" s="1"/>
  <c r="Q8066" i="3"/>
  <c r="R8066" i="3" s="1"/>
  <c r="Q8067" i="3"/>
  <c r="R8067" i="3" s="1"/>
  <c r="Q8068" i="3"/>
  <c r="R8068" i="3" s="1"/>
  <c r="Q8069" i="3"/>
  <c r="R8069" i="3" s="1"/>
  <c r="Q8070" i="3"/>
  <c r="R8070" i="3" s="1"/>
  <c r="Q8071" i="3"/>
  <c r="R8071" i="3" s="1"/>
  <c r="Q8072" i="3"/>
  <c r="R8072" i="3" s="1"/>
  <c r="Q8073" i="3"/>
  <c r="R8073" i="3" s="1"/>
  <c r="Q8074" i="3"/>
  <c r="R8074" i="3" s="1"/>
  <c r="Q8075" i="3"/>
  <c r="R8075" i="3" s="1"/>
  <c r="Q8076" i="3"/>
  <c r="R8076" i="3" s="1"/>
  <c r="Q8077" i="3"/>
  <c r="R8077" i="3" s="1"/>
  <c r="Q8078" i="3"/>
  <c r="R8078" i="3" s="1"/>
  <c r="Q8079" i="3"/>
  <c r="R8079" i="3" s="1"/>
  <c r="Q8080" i="3"/>
  <c r="R8080" i="3" s="1"/>
  <c r="Q8081" i="3"/>
  <c r="R8081" i="3" s="1"/>
  <c r="Q8082" i="3"/>
  <c r="R8082" i="3" s="1"/>
  <c r="Q8083" i="3"/>
  <c r="R8083" i="3" s="1"/>
  <c r="Q8084" i="3"/>
  <c r="R8084" i="3" s="1"/>
  <c r="Q8085" i="3"/>
  <c r="R8085" i="3" s="1"/>
  <c r="Q8086" i="3"/>
  <c r="R8086" i="3" s="1"/>
  <c r="Q8087" i="3"/>
  <c r="R8087" i="3" s="1"/>
  <c r="Q8088" i="3"/>
  <c r="R8088" i="3" s="1"/>
  <c r="Q8089" i="3"/>
  <c r="R8089" i="3" s="1"/>
  <c r="Q8090" i="3"/>
  <c r="R8090" i="3" s="1"/>
  <c r="Q8091" i="3"/>
  <c r="R8091" i="3" s="1"/>
  <c r="Q8092" i="3"/>
  <c r="R8092" i="3" s="1"/>
  <c r="Q8093" i="3"/>
  <c r="R8093" i="3" s="1"/>
  <c r="Q8094" i="3"/>
  <c r="R8094" i="3" s="1"/>
  <c r="Q8095" i="3"/>
  <c r="R8095" i="3" s="1"/>
  <c r="Q8096" i="3"/>
  <c r="R8096" i="3" s="1"/>
  <c r="Q8097" i="3"/>
  <c r="R8097" i="3" s="1"/>
  <c r="Q8098" i="3"/>
  <c r="R8098" i="3" s="1"/>
  <c r="Q8099" i="3"/>
  <c r="R8099" i="3" s="1"/>
  <c r="Q8100" i="3"/>
  <c r="R8100" i="3" s="1"/>
  <c r="Q8101" i="3"/>
  <c r="R8101" i="3" s="1"/>
  <c r="Q8102" i="3"/>
  <c r="R8102" i="3" s="1"/>
  <c r="Q8103" i="3"/>
  <c r="R8103" i="3" s="1"/>
  <c r="Q8104" i="3"/>
  <c r="R8104" i="3" s="1"/>
  <c r="Q8105" i="3"/>
  <c r="R8105" i="3" s="1"/>
  <c r="Q8106" i="3"/>
  <c r="R8106" i="3" s="1"/>
  <c r="Q8107" i="3"/>
  <c r="R8107" i="3" s="1"/>
  <c r="Q8108" i="3"/>
  <c r="R8108" i="3" s="1"/>
  <c r="Q8109" i="3"/>
  <c r="R8109" i="3" s="1"/>
  <c r="Q8110" i="3"/>
  <c r="R8110" i="3" s="1"/>
  <c r="Q8111" i="3"/>
  <c r="R8111" i="3" s="1"/>
  <c r="Q8112" i="3"/>
  <c r="R8112" i="3" s="1"/>
  <c r="Q8113" i="3"/>
  <c r="R8113" i="3" s="1"/>
  <c r="Q8114" i="3"/>
  <c r="R8114" i="3" s="1"/>
  <c r="Q8115" i="3"/>
  <c r="R8115" i="3" s="1"/>
  <c r="Q8116" i="3"/>
  <c r="R8116" i="3" s="1"/>
  <c r="Q8117" i="3"/>
  <c r="R8117" i="3" s="1"/>
  <c r="Q8118" i="3"/>
  <c r="R8118" i="3" s="1"/>
  <c r="Q8119" i="3"/>
  <c r="R8119" i="3" s="1"/>
  <c r="Q8120" i="3"/>
  <c r="R8120" i="3" s="1"/>
  <c r="Q8121" i="3"/>
  <c r="R8121" i="3" s="1"/>
  <c r="Q8122" i="3"/>
  <c r="R8122" i="3" s="1"/>
  <c r="Q8123" i="3"/>
  <c r="R8123" i="3" s="1"/>
  <c r="Q8124" i="3"/>
  <c r="R8124" i="3" s="1"/>
  <c r="Q8125" i="3"/>
  <c r="R8125" i="3" s="1"/>
  <c r="Q8126" i="3"/>
  <c r="R8126" i="3" s="1"/>
  <c r="Q8127" i="3"/>
  <c r="R8127" i="3" s="1"/>
  <c r="Q8128" i="3"/>
  <c r="R8128" i="3" s="1"/>
  <c r="Q8129" i="3"/>
  <c r="R8129" i="3" s="1"/>
  <c r="Q8130" i="3"/>
  <c r="R8130" i="3" s="1"/>
  <c r="Q8131" i="3"/>
  <c r="R8131" i="3" s="1"/>
  <c r="Q8132" i="3"/>
  <c r="R8132" i="3" s="1"/>
  <c r="Q8133" i="3"/>
  <c r="R8133" i="3" s="1"/>
  <c r="Q8134" i="3"/>
  <c r="R8134" i="3" s="1"/>
  <c r="Q8135" i="3"/>
  <c r="R8135" i="3" s="1"/>
  <c r="Q8136" i="3"/>
  <c r="R8136" i="3" s="1"/>
  <c r="Q8137" i="3"/>
  <c r="R8137" i="3" s="1"/>
  <c r="Q8138" i="3"/>
  <c r="R8138" i="3" s="1"/>
  <c r="Q8139" i="3"/>
  <c r="R8139" i="3" s="1"/>
  <c r="Q8140" i="3"/>
  <c r="R8140" i="3" s="1"/>
  <c r="Q8141" i="3"/>
  <c r="R8141" i="3" s="1"/>
  <c r="Q8142" i="3"/>
  <c r="R8142" i="3" s="1"/>
  <c r="Q8143" i="3"/>
  <c r="R8143" i="3" s="1"/>
  <c r="Q8144" i="3"/>
  <c r="R8144" i="3" s="1"/>
  <c r="Q8145" i="3"/>
  <c r="R8145" i="3" s="1"/>
  <c r="Q8146" i="3"/>
  <c r="R8146" i="3" s="1"/>
  <c r="Q8147" i="3"/>
  <c r="R8147" i="3" s="1"/>
  <c r="Q8148" i="3"/>
  <c r="R8148" i="3" s="1"/>
  <c r="Q8149" i="3"/>
  <c r="R8149" i="3" s="1"/>
  <c r="Q8150" i="3"/>
  <c r="R8150" i="3" s="1"/>
  <c r="Q8151" i="3"/>
  <c r="R8151" i="3" s="1"/>
  <c r="Q8152" i="3"/>
  <c r="R8152" i="3" s="1"/>
  <c r="Q8153" i="3"/>
  <c r="R8153" i="3" s="1"/>
  <c r="Q8154" i="3"/>
  <c r="R8154" i="3" s="1"/>
  <c r="Q8155" i="3"/>
  <c r="R8155" i="3" s="1"/>
  <c r="Q8156" i="3"/>
  <c r="R8156" i="3" s="1"/>
  <c r="Q8157" i="3"/>
  <c r="R8157" i="3" s="1"/>
  <c r="Q8158" i="3"/>
  <c r="R8158" i="3" s="1"/>
  <c r="Q8159" i="3"/>
  <c r="R8159" i="3" s="1"/>
  <c r="Q8160" i="3"/>
  <c r="R8160" i="3" s="1"/>
  <c r="Q8161" i="3"/>
  <c r="R8161" i="3" s="1"/>
  <c r="Q8162" i="3"/>
  <c r="R8162" i="3" s="1"/>
  <c r="Q8163" i="3"/>
  <c r="R8163" i="3" s="1"/>
  <c r="Q8164" i="3"/>
  <c r="R8164" i="3" s="1"/>
  <c r="Q8165" i="3"/>
  <c r="R8165" i="3" s="1"/>
  <c r="Q8166" i="3"/>
  <c r="R8166" i="3" s="1"/>
  <c r="Q8167" i="3"/>
  <c r="R8167" i="3" s="1"/>
  <c r="Q8168" i="3"/>
  <c r="R8168" i="3" s="1"/>
  <c r="Q8169" i="3"/>
  <c r="R8169" i="3" s="1"/>
  <c r="Q8170" i="3"/>
  <c r="R8170" i="3" s="1"/>
  <c r="Q8171" i="3"/>
  <c r="R8171" i="3" s="1"/>
  <c r="Q8172" i="3"/>
  <c r="R8172" i="3" s="1"/>
  <c r="Q8173" i="3"/>
  <c r="R8173" i="3" s="1"/>
  <c r="Q8174" i="3"/>
  <c r="R8174" i="3" s="1"/>
  <c r="Q8175" i="3"/>
  <c r="R8175" i="3" s="1"/>
  <c r="Q8176" i="3"/>
  <c r="R8176" i="3" s="1"/>
  <c r="Q8177" i="3"/>
  <c r="R8177" i="3" s="1"/>
  <c r="Q8178" i="3"/>
  <c r="R8178" i="3" s="1"/>
  <c r="Q8179" i="3"/>
  <c r="R8179" i="3" s="1"/>
  <c r="Q8180" i="3"/>
  <c r="R8180" i="3" s="1"/>
  <c r="Q8181" i="3"/>
  <c r="R8181" i="3" s="1"/>
  <c r="Q8182" i="3"/>
  <c r="R8182" i="3" s="1"/>
  <c r="Q8183" i="3"/>
  <c r="R8183" i="3" s="1"/>
  <c r="Q8184" i="3"/>
  <c r="R8184" i="3" s="1"/>
  <c r="Q8185" i="3"/>
  <c r="R8185" i="3" s="1"/>
  <c r="Q8186" i="3"/>
  <c r="R8186" i="3" s="1"/>
  <c r="Q8187" i="3"/>
  <c r="R8187" i="3" s="1"/>
  <c r="Q8188" i="3"/>
  <c r="R8188" i="3" s="1"/>
  <c r="Q8189" i="3"/>
  <c r="R8189" i="3" s="1"/>
  <c r="Q8190" i="3"/>
  <c r="R8190" i="3" s="1"/>
  <c r="Q8191" i="3"/>
  <c r="R8191" i="3" s="1"/>
  <c r="Q8192" i="3"/>
  <c r="R8192" i="3" s="1"/>
  <c r="Q8193" i="3"/>
  <c r="R8193" i="3" s="1"/>
  <c r="Q8194" i="3"/>
  <c r="R8194" i="3" s="1"/>
  <c r="Q8195" i="3"/>
  <c r="R8195" i="3" s="1"/>
  <c r="Q8196" i="3"/>
  <c r="R8196" i="3" s="1"/>
  <c r="Q8197" i="3"/>
  <c r="R8197" i="3" s="1"/>
  <c r="Q8198" i="3"/>
  <c r="R8198" i="3" s="1"/>
  <c r="Q8199" i="3"/>
  <c r="R8199" i="3" s="1"/>
  <c r="Q8200" i="3"/>
  <c r="R8200" i="3" s="1"/>
  <c r="Q8201" i="3"/>
  <c r="R8201" i="3" s="1"/>
  <c r="Q8202" i="3"/>
  <c r="R8202" i="3" s="1"/>
  <c r="Q8203" i="3"/>
  <c r="R8203" i="3" s="1"/>
  <c r="Q8204" i="3"/>
  <c r="R8204" i="3" s="1"/>
  <c r="Q8205" i="3"/>
  <c r="R8205" i="3" s="1"/>
  <c r="J74" i="40"/>
  <c r="K74" i="40" s="1"/>
  <c r="I74" i="40"/>
  <c r="H74" i="40"/>
  <c r="G74" i="40"/>
  <c r="D74" i="40"/>
  <c r="K73" i="40"/>
  <c r="J73" i="40"/>
  <c r="I73" i="40"/>
  <c r="G73" i="40"/>
  <c r="H73" i="40" s="1"/>
  <c r="D73" i="40"/>
  <c r="J72" i="40"/>
  <c r="K72" i="40" s="1"/>
  <c r="I72" i="40"/>
  <c r="H72" i="40"/>
  <c r="G72" i="40"/>
  <c r="D72" i="40"/>
  <c r="J71" i="40"/>
  <c r="K71" i="40" s="1"/>
  <c r="I71" i="40"/>
  <c r="G71" i="40"/>
  <c r="H71" i="40" s="1"/>
  <c r="D71" i="40"/>
  <c r="K70" i="40"/>
  <c r="J70" i="40"/>
  <c r="I70" i="40"/>
  <c r="H70" i="40"/>
  <c r="G70" i="40"/>
  <c r="D70" i="40"/>
  <c r="J69" i="40"/>
  <c r="K69" i="40" s="1"/>
  <c r="I69" i="40"/>
  <c r="H69" i="40"/>
  <c r="G69" i="40"/>
  <c r="D69" i="40"/>
  <c r="K68" i="40"/>
  <c r="J68" i="40"/>
  <c r="I68" i="40"/>
  <c r="G68" i="40"/>
  <c r="H68" i="40" s="1"/>
  <c r="D68" i="40"/>
  <c r="J67" i="40"/>
  <c r="K67" i="40" s="1"/>
  <c r="I67" i="40"/>
  <c r="G67" i="40"/>
  <c r="H67" i="40" s="1"/>
  <c r="D67" i="40"/>
  <c r="J66" i="40"/>
  <c r="K66" i="40" s="1"/>
  <c r="I66" i="40"/>
  <c r="G66" i="40"/>
  <c r="H66" i="40" s="1"/>
  <c r="D66" i="40"/>
  <c r="K65" i="40"/>
  <c r="J65" i="40"/>
  <c r="I65" i="40"/>
  <c r="H65" i="40"/>
  <c r="G65" i="40"/>
  <c r="D65" i="40"/>
  <c r="K64" i="40"/>
  <c r="J64" i="40"/>
  <c r="I64" i="40"/>
  <c r="G64" i="40"/>
  <c r="H64" i="40" s="1"/>
  <c r="D64" i="40"/>
  <c r="J63" i="40"/>
  <c r="K63" i="40" s="1"/>
  <c r="I63" i="40"/>
  <c r="G63" i="40"/>
  <c r="H63" i="40" s="1"/>
  <c r="D63" i="40"/>
  <c r="J62" i="40"/>
  <c r="K62" i="40" s="1"/>
  <c r="I62" i="40"/>
  <c r="H62" i="40"/>
  <c r="G62" i="40"/>
  <c r="D62" i="40"/>
  <c r="J61" i="40"/>
  <c r="K61" i="40" s="1"/>
  <c r="I61" i="40"/>
  <c r="G61" i="40"/>
  <c r="H61" i="40" s="1"/>
  <c r="D61" i="40"/>
  <c r="K60" i="40"/>
  <c r="J60" i="40"/>
  <c r="I60" i="40"/>
  <c r="H60" i="40"/>
  <c r="G60" i="40"/>
  <c r="D60" i="40"/>
  <c r="J59" i="40"/>
  <c r="K59" i="40" s="1"/>
  <c r="I59" i="40"/>
  <c r="G59" i="40"/>
  <c r="H59" i="40" s="1"/>
  <c r="D59" i="40"/>
  <c r="J58" i="40"/>
  <c r="K58" i="40" s="1"/>
  <c r="I58" i="40"/>
  <c r="G58" i="40"/>
  <c r="H58" i="40" s="1"/>
  <c r="D58" i="40"/>
  <c r="K57" i="40"/>
  <c r="J57" i="40"/>
  <c r="I57" i="40"/>
  <c r="G57" i="40"/>
  <c r="H57" i="40" s="1"/>
  <c r="D57" i="40"/>
  <c r="J56" i="40"/>
  <c r="K56" i="40" s="1"/>
  <c r="I56" i="40"/>
  <c r="H56" i="40"/>
  <c r="G56" i="40"/>
  <c r="D56" i="40"/>
  <c r="K55" i="40"/>
  <c r="J55" i="40"/>
  <c r="I55" i="40"/>
  <c r="G55" i="40"/>
  <c r="H55" i="40" s="1"/>
  <c r="D55" i="40"/>
  <c r="J54" i="40"/>
  <c r="K54" i="40" s="1"/>
  <c r="I54" i="40"/>
  <c r="H54" i="40"/>
  <c r="G54" i="40"/>
  <c r="D54" i="40"/>
  <c r="J53" i="40"/>
  <c r="K53" i="40" s="1"/>
  <c r="I53" i="40"/>
  <c r="H53" i="40"/>
  <c r="G53" i="40"/>
  <c r="D53" i="40"/>
  <c r="K52" i="40"/>
  <c r="J52" i="40"/>
  <c r="I52" i="40"/>
  <c r="G52" i="40"/>
  <c r="H52" i="40" s="1"/>
  <c r="D52" i="40"/>
  <c r="K51" i="40"/>
  <c r="J51" i="40"/>
  <c r="I51" i="40"/>
  <c r="H51" i="40"/>
  <c r="G51" i="40"/>
  <c r="D51" i="40"/>
  <c r="J50" i="40"/>
  <c r="K50" i="40" s="1"/>
  <c r="I50" i="40"/>
  <c r="G50" i="40"/>
  <c r="H50" i="40" s="1"/>
  <c r="D50" i="40"/>
  <c r="K49" i="40"/>
  <c r="J49" i="40"/>
  <c r="I49" i="40"/>
  <c r="H49" i="40"/>
  <c r="G49" i="40"/>
  <c r="D49" i="40"/>
  <c r="K48" i="40"/>
  <c r="J48" i="40"/>
  <c r="I48" i="40"/>
  <c r="H48" i="40"/>
  <c r="G48" i="40"/>
  <c r="D48" i="40"/>
  <c r="J47" i="40"/>
  <c r="K47" i="40" s="1"/>
  <c r="I47" i="40"/>
  <c r="G47" i="40"/>
  <c r="H47" i="40" s="1"/>
  <c r="D47" i="40"/>
  <c r="J46" i="40"/>
  <c r="K46" i="40" s="1"/>
  <c r="I46" i="40"/>
  <c r="H46" i="40"/>
  <c r="G46" i="40"/>
  <c r="D46" i="40"/>
  <c r="K45" i="40"/>
  <c r="J45" i="40"/>
  <c r="I45" i="40"/>
  <c r="G45" i="40"/>
  <c r="H45" i="40" s="1"/>
  <c r="D45" i="40"/>
  <c r="J44" i="40"/>
  <c r="K44" i="40" s="1"/>
  <c r="I44" i="40"/>
  <c r="G44" i="40"/>
  <c r="H44" i="40" s="1"/>
  <c r="D44" i="40"/>
  <c r="K43" i="40"/>
  <c r="J43" i="40"/>
  <c r="I43" i="40"/>
  <c r="H43" i="40"/>
  <c r="G43" i="40"/>
  <c r="D43" i="40"/>
  <c r="J42" i="40"/>
  <c r="K42" i="40" s="1"/>
  <c r="I42" i="40"/>
  <c r="G42" i="40"/>
  <c r="H42" i="40" s="1"/>
  <c r="D42" i="40"/>
  <c r="K41" i="40"/>
  <c r="J41" i="40"/>
  <c r="I41" i="40"/>
  <c r="H41" i="40"/>
  <c r="G41" i="40"/>
  <c r="D41" i="40"/>
  <c r="J40" i="40"/>
  <c r="K40" i="40" s="1"/>
  <c r="I40" i="40"/>
  <c r="G40" i="40"/>
  <c r="H40" i="40" s="1"/>
  <c r="D40" i="40"/>
  <c r="K39" i="40"/>
  <c r="J39" i="40"/>
  <c r="I39" i="40"/>
  <c r="G39" i="40"/>
  <c r="H39" i="40" s="1"/>
  <c r="D39" i="40"/>
  <c r="J38" i="40"/>
  <c r="K38" i="40" s="1"/>
  <c r="I38" i="40"/>
  <c r="H38" i="40"/>
  <c r="G38" i="40"/>
  <c r="D38" i="40"/>
  <c r="J37" i="40"/>
  <c r="K37" i="40" s="1"/>
  <c r="I37" i="40"/>
  <c r="H37" i="40"/>
  <c r="G37" i="40"/>
  <c r="D37" i="40"/>
  <c r="J36" i="40"/>
  <c r="K36" i="40" s="1"/>
  <c r="I36" i="40"/>
  <c r="H36" i="40"/>
  <c r="G36" i="40"/>
  <c r="D36" i="40"/>
  <c r="K35" i="40"/>
  <c r="J35" i="40"/>
  <c r="I35" i="40"/>
  <c r="H35" i="40"/>
  <c r="G35" i="40"/>
  <c r="D35" i="40"/>
  <c r="J34" i="40"/>
  <c r="K34" i="40" s="1"/>
  <c r="I34" i="40"/>
  <c r="H34" i="40"/>
  <c r="G34" i="40"/>
  <c r="D34" i="40"/>
  <c r="K33" i="40"/>
  <c r="J33" i="40"/>
  <c r="I33" i="40"/>
  <c r="H33" i="40"/>
  <c r="G33" i="40"/>
  <c r="D33" i="40"/>
  <c r="K32" i="40"/>
  <c r="J32" i="40"/>
  <c r="I32" i="40"/>
  <c r="G32" i="40"/>
  <c r="H32" i="40" s="1"/>
  <c r="D32" i="40"/>
  <c r="J31" i="40"/>
  <c r="K31" i="40" s="1"/>
  <c r="I31" i="40"/>
  <c r="G31" i="40"/>
  <c r="H31" i="40" s="1"/>
  <c r="D31" i="40"/>
  <c r="K30" i="40"/>
  <c r="J30" i="40"/>
  <c r="I30" i="40"/>
  <c r="H30" i="40"/>
  <c r="G30" i="40"/>
  <c r="D30" i="40"/>
  <c r="J29" i="40"/>
  <c r="K29" i="40" s="1"/>
  <c r="I29" i="40"/>
  <c r="H29" i="40"/>
  <c r="G29" i="40"/>
  <c r="D29" i="40"/>
  <c r="J28" i="40"/>
  <c r="K28" i="40" s="1"/>
  <c r="I28" i="40"/>
  <c r="H28" i="40"/>
  <c r="G28" i="40"/>
  <c r="D28" i="40"/>
  <c r="J27" i="40"/>
  <c r="K27" i="40" s="1"/>
  <c r="I27" i="40"/>
  <c r="H27" i="40"/>
  <c r="G27" i="40"/>
  <c r="D27" i="40"/>
  <c r="J26" i="40"/>
  <c r="K26" i="40" s="1"/>
  <c r="I26" i="40"/>
  <c r="H26" i="40"/>
  <c r="G26" i="40"/>
  <c r="D26" i="40"/>
  <c r="K25" i="40"/>
  <c r="J25" i="40"/>
  <c r="I25" i="40"/>
  <c r="G25" i="40"/>
  <c r="H25" i="40" s="1"/>
  <c r="D25" i="40"/>
  <c r="J24" i="40"/>
  <c r="K24" i="40" s="1"/>
  <c r="I24" i="40"/>
  <c r="H24" i="40"/>
  <c r="G24" i="40"/>
  <c r="D24" i="40"/>
  <c r="J23" i="40"/>
  <c r="K23" i="40" s="1"/>
  <c r="I23" i="40"/>
  <c r="G23" i="40"/>
  <c r="H23" i="40" s="1"/>
  <c r="D23" i="40"/>
  <c r="K22" i="40"/>
  <c r="J22" i="40"/>
  <c r="I22" i="40"/>
  <c r="H22" i="40"/>
  <c r="G22" i="40"/>
  <c r="D22" i="40"/>
  <c r="K21" i="40"/>
  <c r="J21" i="40"/>
  <c r="I21" i="40"/>
  <c r="H21" i="40"/>
  <c r="G21" i="40"/>
  <c r="D21" i="40"/>
  <c r="K20" i="40"/>
  <c r="J20" i="40"/>
  <c r="I20" i="40"/>
  <c r="G20" i="40"/>
  <c r="H20" i="40" s="1"/>
  <c r="D20" i="40"/>
  <c r="K19" i="40"/>
  <c r="J19" i="40"/>
  <c r="I19" i="40"/>
  <c r="H19" i="40"/>
  <c r="G19" i="40"/>
  <c r="D19" i="40"/>
  <c r="J18" i="40"/>
  <c r="K18" i="40" s="1"/>
  <c r="I18" i="40"/>
  <c r="G18" i="40"/>
  <c r="H18" i="40" s="1"/>
  <c r="D18" i="40"/>
  <c r="K17" i="40"/>
  <c r="J17" i="40"/>
  <c r="I17" i="40"/>
  <c r="H17" i="40"/>
  <c r="G17" i="40"/>
  <c r="D17" i="40"/>
  <c r="K16" i="40"/>
  <c r="J16" i="40"/>
  <c r="I16" i="40"/>
  <c r="G16" i="40"/>
  <c r="H16" i="40" s="1"/>
  <c r="D16" i="40"/>
  <c r="K15" i="40"/>
  <c r="J15" i="40"/>
  <c r="I15" i="40"/>
  <c r="G15" i="40"/>
  <c r="H15" i="40" s="1"/>
  <c r="D15" i="40"/>
  <c r="F4" i="40"/>
  <c r="I4" i="40" s="1"/>
  <c r="E4" i="40"/>
  <c r="G4" i="40" s="1"/>
  <c r="E34" i="44"/>
  <c r="E33" i="44"/>
  <c r="E32" i="44"/>
  <c r="E31" i="44"/>
  <c r="E30" i="44"/>
  <c r="E29" i="44"/>
  <c r="E28" i="44"/>
  <c r="E27" i="44"/>
  <c r="E26" i="44"/>
  <c r="E25" i="44"/>
  <c r="E24" i="44"/>
  <c r="E23" i="44"/>
  <c r="E22" i="44"/>
  <c r="E21" i="44"/>
  <c r="E20" i="44"/>
  <c r="E19" i="44"/>
  <c r="E18" i="44"/>
  <c r="E17" i="44"/>
  <c r="E16" i="44"/>
  <c r="E15" i="44"/>
  <c r="O4" i="44"/>
  <c r="N4" i="44"/>
  <c r="K4" i="44"/>
  <c r="G4" i="44"/>
  <c r="F4" i="44"/>
  <c r="H15" i="34"/>
  <c r="E15" i="34"/>
  <c r="E44" i="34"/>
  <c r="H44" i="34"/>
  <c r="H43" i="34"/>
  <c r="E43" i="34"/>
  <c r="H39" i="34"/>
  <c r="E39" i="34"/>
  <c r="H36" i="34"/>
  <c r="E36" i="34"/>
  <c r="F36" i="34"/>
  <c r="H33" i="34"/>
  <c r="E33" i="34"/>
  <c r="F33" i="34"/>
  <c r="H31" i="34"/>
  <c r="E31" i="34"/>
  <c r="F31" i="34"/>
  <c r="H30" i="34"/>
  <c r="E30" i="34"/>
  <c r="H28" i="34"/>
  <c r="E28" i="34"/>
  <c r="H27" i="34"/>
  <c r="E27" i="34"/>
  <c r="H19" i="34"/>
  <c r="E19" i="34"/>
  <c r="E18" i="34"/>
  <c r="H18" i="34"/>
  <c r="E17" i="34"/>
  <c r="H17" i="34"/>
  <c r="H16" i="34"/>
  <c r="E16" i="34"/>
  <c r="H41" i="34"/>
  <c r="E41" i="34"/>
  <c r="F41" i="34"/>
  <c r="H34" i="34"/>
  <c r="E34" i="34"/>
  <c r="F34" i="34"/>
  <c r="H32" i="34"/>
  <c r="E32" i="34"/>
  <c r="H25" i="34"/>
  <c r="E25" i="34"/>
  <c r="F25" i="34"/>
  <c r="H23" i="34"/>
  <c r="E23" i="34"/>
  <c r="F23" i="34"/>
  <c r="H20" i="34"/>
  <c r="E20" i="34"/>
  <c r="F20" i="34"/>
  <c r="H42" i="34"/>
  <c r="E42" i="34"/>
  <c r="F42" i="34"/>
  <c r="H40" i="34"/>
  <c r="E40" i="34"/>
  <c r="F40" i="34"/>
  <c r="H38" i="34"/>
  <c r="E38" i="34"/>
  <c r="F38" i="34"/>
  <c r="H37" i="34"/>
  <c r="E37" i="34"/>
  <c r="F37" i="34"/>
  <c r="H35" i="34"/>
  <c r="E35" i="34"/>
  <c r="F35" i="34"/>
  <c r="H29" i="34"/>
  <c r="E29" i="34"/>
  <c r="F29" i="34"/>
  <c r="E26" i="34"/>
  <c r="H26" i="34"/>
  <c r="H24" i="34"/>
  <c r="E24" i="34"/>
  <c r="F24" i="34"/>
  <c r="H22" i="34"/>
  <c r="E22" i="34"/>
  <c r="F22" i="34"/>
  <c r="H21" i="34"/>
  <c r="E21" i="34"/>
  <c r="F21" i="34"/>
  <c r="D4" i="34"/>
  <c r="C4" i="34"/>
  <c r="P16" i="14"/>
  <c r="E16" i="14"/>
  <c r="N15" i="14"/>
  <c r="P15" i="14" s="1"/>
  <c r="M15" i="14"/>
  <c r="E15" i="14"/>
  <c r="E28" i="14"/>
  <c r="O27" i="14"/>
  <c r="M27" i="14"/>
  <c r="E27" i="14"/>
  <c r="E26" i="14"/>
  <c r="M25" i="14"/>
  <c r="E25" i="14"/>
  <c r="M24" i="14"/>
  <c r="Q24" i="14" s="1"/>
  <c r="E24" i="14"/>
  <c r="M23" i="14"/>
  <c r="E23" i="14"/>
  <c r="E22" i="14"/>
  <c r="M21" i="14"/>
  <c r="E21" i="14"/>
  <c r="M20" i="14"/>
  <c r="Q20" i="14" s="1"/>
  <c r="E20" i="14"/>
  <c r="M19" i="14"/>
  <c r="E19" i="14"/>
  <c r="E18" i="14"/>
  <c r="M17" i="14"/>
  <c r="E17" i="14"/>
  <c r="E422" i="14"/>
  <c r="E421" i="14"/>
  <c r="M434" i="14"/>
  <c r="P434" i="14"/>
  <c r="E434" i="14"/>
  <c r="M433" i="14"/>
  <c r="E433" i="14"/>
  <c r="M432" i="14"/>
  <c r="E432" i="14"/>
  <c r="M431" i="14"/>
  <c r="O431" i="14"/>
  <c r="E431" i="14"/>
  <c r="M430" i="14"/>
  <c r="E430" i="14"/>
  <c r="M429" i="14"/>
  <c r="E429" i="14"/>
  <c r="M428" i="14"/>
  <c r="E428" i="14"/>
  <c r="M427" i="14"/>
  <c r="E427" i="14"/>
  <c r="M426" i="14"/>
  <c r="P426" i="14"/>
  <c r="E426" i="14"/>
  <c r="M425" i="14"/>
  <c r="E425" i="14"/>
  <c r="O424" i="14"/>
  <c r="E424" i="14"/>
  <c r="E423" i="14"/>
  <c r="E408" i="14"/>
  <c r="E407" i="14"/>
  <c r="E420" i="14"/>
  <c r="E419" i="14"/>
  <c r="P418" i="14"/>
  <c r="E418" i="14"/>
  <c r="M417" i="14"/>
  <c r="P417" i="14"/>
  <c r="E417" i="14"/>
  <c r="M416" i="14"/>
  <c r="E416" i="14"/>
  <c r="M415" i="14"/>
  <c r="E415" i="14"/>
  <c r="E414" i="14"/>
  <c r="M413" i="14"/>
  <c r="E413" i="14"/>
  <c r="M412" i="14"/>
  <c r="E412" i="14"/>
  <c r="E411" i="14"/>
  <c r="E410" i="14"/>
  <c r="E409" i="14"/>
  <c r="M352" i="14"/>
  <c r="E352" i="14"/>
  <c r="M351" i="14"/>
  <c r="E351" i="14"/>
  <c r="E364" i="14"/>
  <c r="M363" i="14"/>
  <c r="E363" i="14"/>
  <c r="M362" i="14"/>
  <c r="E362" i="14"/>
  <c r="M361" i="14"/>
  <c r="E361" i="14"/>
  <c r="M360" i="14"/>
  <c r="E360" i="14"/>
  <c r="M359" i="14"/>
  <c r="E359" i="14"/>
  <c r="P358" i="14"/>
  <c r="E358" i="14"/>
  <c r="M357" i="14"/>
  <c r="Q357" i="14" s="1"/>
  <c r="E357" i="14"/>
  <c r="E356" i="14"/>
  <c r="M355" i="14"/>
  <c r="E355" i="14"/>
  <c r="M354" i="14"/>
  <c r="E354" i="14"/>
  <c r="M353" i="14"/>
  <c r="O353" i="14"/>
  <c r="E353" i="14"/>
  <c r="E310" i="14"/>
  <c r="M309" i="14"/>
  <c r="E309" i="14"/>
  <c r="M322" i="14"/>
  <c r="E322" i="14"/>
  <c r="M321" i="14"/>
  <c r="E321" i="14"/>
  <c r="E320" i="14"/>
  <c r="O319" i="14"/>
  <c r="M319" i="14"/>
  <c r="E319" i="14"/>
  <c r="M318" i="14"/>
  <c r="E318" i="14"/>
  <c r="M317" i="14"/>
  <c r="E317" i="14"/>
  <c r="M316" i="14"/>
  <c r="Q316" i="14" s="1"/>
  <c r="E316" i="14"/>
  <c r="P315" i="14"/>
  <c r="M315" i="14"/>
  <c r="E315" i="14"/>
  <c r="P314" i="14"/>
  <c r="M314" i="14"/>
  <c r="E314" i="14"/>
  <c r="M313" i="14"/>
  <c r="E313" i="14"/>
  <c r="M312" i="14"/>
  <c r="E312" i="14"/>
  <c r="M311" i="14"/>
  <c r="E311" i="14"/>
  <c r="M268" i="14"/>
  <c r="E268" i="14"/>
  <c r="M267" i="14"/>
  <c r="E267" i="14"/>
  <c r="M280" i="14"/>
  <c r="E280" i="14"/>
  <c r="M279" i="14"/>
  <c r="E279" i="14"/>
  <c r="M278" i="14"/>
  <c r="E278" i="14"/>
  <c r="P277" i="14"/>
  <c r="E277" i="14"/>
  <c r="E276" i="14"/>
  <c r="P275" i="14"/>
  <c r="M275" i="14"/>
  <c r="Q275" i="14" s="1"/>
  <c r="E275" i="14"/>
  <c r="E274" i="14"/>
  <c r="M273" i="14"/>
  <c r="E273" i="14"/>
  <c r="P272" i="14"/>
  <c r="E272" i="14"/>
  <c r="O271" i="14"/>
  <c r="M271" i="14"/>
  <c r="E271" i="14"/>
  <c r="P270" i="14"/>
  <c r="M270" i="14"/>
  <c r="E270" i="14"/>
  <c r="M269" i="14"/>
  <c r="E269" i="14"/>
  <c r="M240" i="14"/>
  <c r="E240" i="14"/>
  <c r="M239" i="14"/>
  <c r="E239" i="14"/>
  <c r="M252" i="14"/>
  <c r="Q252" i="14" s="1"/>
  <c r="E252" i="14"/>
  <c r="M251" i="14"/>
  <c r="E251" i="14"/>
  <c r="M250" i="14"/>
  <c r="E250" i="14"/>
  <c r="M249" i="14"/>
  <c r="E249" i="14"/>
  <c r="E248" i="14"/>
  <c r="E247" i="14"/>
  <c r="P246" i="14"/>
  <c r="M246" i="14"/>
  <c r="E246" i="14"/>
  <c r="P245" i="14"/>
  <c r="M245" i="14"/>
  <c r="Q245" i="14" s="1"/>
  <c r="E245" i="14"/>
  <c r="E244" i="14"/>
  <c r="P243" i="14"/>
  <c r="E243" i="14"/>
  <c r="M242" i="14"/>
  <c r="E242" i="14"/>
  <c r="M241" i="14"/>
  <c r="E241" i="14"/>
  <c r="M226" i="14"/>
  <c r="E226" i="14"/>
  <c r="M225" i="14"/>
  <c r="E225" i="14"/>
  <c r="M238" i="14"/>
  <c r="E238" i="14"/>
  <c r="M237" i="14"/>
  <c r="E237" i="14"/>
  <c r="M236" i="14"/>
  <c r="E236" i="14"/>
  <c r="M235" i="14"/>
  <c r="E235" i="14"/>
  <c r="M234" i="14"/>
  <c r="E234" i="14"/>
  <c r="M233" i="14"/>
  <c r="E233" i="14"/>
  <c r="M232" i="14"/>
  <c r="E232" i="14"/>
  <c r="M231" i="14"/>
  <c r="E231" i="14"/>
  <c r="M230" i="14"/>
  <c r="O230" i="14"/>
  <c r="E230" i="14"/>
  <c r="M229" i="14"/>
  <c r="E229" i="14"/>
  <c r="M228" i="14"/>
  <c r="E228" i="14"/>
  <c r="M227" i="14"/>
  <c r="E227" i="14"/>
  <c r="M198" i="14"/>
  <c r="E198" i="14"/>
  <c r="M197" i="14"/>
  <c r="E197" i="14"/>
  <c r="M210" i="14"/>
  <c r="E210" i="14"/>
  <c r="M209" i="14"/>
  <c r="E209" i="14"/>
  <c r="M208" i="14"/>
  <c r="E208" i="14"/>
  <c r="M207" i="14"/>
  <c r="E207" i="14"/>
  <c r="M206" i="14"/>
  <c r="E206" i="14"/>
  <c r="M205" i="14"/>
  <c r="E205" i="14"/>
  <c r="M204" i="14"/>
  <c r="E204" i="14"/>
  <c r="M203" i="14"/>
  <c r="E203" i="14"/>
  <c r="M202" i="14"/>
  <c r="E202" i="14"/>
  <c r="M201" i="14"/>
  <c r="E201" i="14"/>
  <c r="M200" i="14"/>
  <c r="E200" i="14"/>
  <c r="M199" i="14"/>
  <c r="P199" i="14"/>
  <c r="E199" i="14"/>
  <c r="M184" i="14"/>
  <c r="O184" i="14"/>
  <c r="E184" i="14"/>
  <c r="M183" i="14"/>
  <c r="E183" i="14"/>
  <c r="M196" i="14"/>
  <c r="E196" i="14"/>
  <c r="M195" i="14"/>
  <c r="E195" i="14"/>
  <c r="M194" i="14"/>
  <c r="E194" i="14"/>
  <c r="M193" i="14"/>
  <c r="E193" i="14"/>
  <c r="M192" i="14"/>
  <c r="E192" i="14"/>
  <c r="M191" i="14"/>
  <c r="E191" i="14"/>
  <c r="M190" i="14"/>
  <c r="E190" i="14"/>
  <c r="M189" i="14"/>
  <c r="E189" i="14"/>
  <c r="M188" i="14"/>
  <c r="E188" i="14"/>
  <c r="M187" i="14"/>
  <c r="E187" i="14"/>
  <c r="M186" i="14"/>
  <c r="P186" i="14"/>
  <c r="E186" i="14"/>
  <c r="M185" i="14"/>
  <c r="E185" i="14"/>
  <c r="O72" i="14"/>
  <c r="M72" i="14"/>
  <c r="E72" i="14"/>
  <c r="E71" i="14"/>
  <c r="O84" i="14"/>
  <c r="M84" i="14"/>
  <c r="E84" i="14"/>
  <c r="M83" i="14"/>
  <c r="E83" i="14"/>
  <c r="O82" i="14"/>
  <c r="M82" i="14"/>
  <c r="E82" i="14"/>
  <c r="M81" i="14"/>
  <c r="E81" i="14"/>
  <c r="O80" i="14"/>
  <c r="M80" i="14"/>
  <c r="E80" i="14"/>
  <c r="M79" i="14"/>
  <c r="E79" i="14"/>
  <c r="M78" i="14"/>
  <c r="O78" i="14"/>
  <c r="E78" i="14"/>
  <c r="M77" i="14"/>
  <c r="Q77" i="14" s="1"/>
  <c r="E77" i="14"/>
  <c r="O76" i="14"/>
  <c r="M76" i="14"/>
  <c r="E76" i="14"/>
  <c r="M75" i="14"/>
  <c r="E75" i="14"/>
  <c r="O74" i="14"/>
  <c r="M74" i="14"/>
  <c r="E74" i="14"/>
  <c r="M73" i="14"/>
  <c r="E73" i="14"/>
  <c r="M58" i="14"/>
  <c r="Q58" i="14" s="1"/>
  <c r="O58" i="14"/>
  <c r="E58" i="14"/>
  <c r="M57" i="14"/>
  <c r="Q57" i="14" s="1"/>
  <c r="E57" i="14"/>
  <c r="M70" i="14"/>
  <c r="O70" i="14"/>
  <c r="E70" i="14"/>
  <c r="M69" i="14"/>
  <c r="Q69" i="14"/>
  <c r="E69" i="14"/>
  <c r="M68" i="14"/>
  <c r="E68" i="14"/>
  <c r="M67" i="14"/>
  <c r="E67" i="14"/>
  <c r="M66" i="14"/>
  <c r="E66" i="14"/>
  <c r="M65" i="14"/>
  <c r="E65" i="14"/>
  <c r="M64" i="14"/>
  <c r="E64" i="14"/>
  <c r="M63" i="14"/>
  <c r="E63" i="14"/>
  <c r="M62" i="14"/>
  <c r="O62" i="14"/>
  <c r="E62" i="14"/>
  <c r="M61" i="14"/>
  <c r="E61" i="14"/>
  <c r="M60" i="14"/>
  <c r="O60" i="14"/>
  <c r="E60" i="14"/>
  <c r="M59" i="14"/>
  <c r="E59" i="14"/>
  <c r="M44" i="14"/>
  <c r="E44" i="14"/>
  <c r="M43" i="14"/>
  <c r="Q43" i="14" s="1"/>
  <c r="E43" i="14"/>
  <c r="M56" i="14"/>
  <c r="Q56" i="14" s="1"/>
  <c r="E56" i="14"/>
  <c r="E55" i="14"/>
  <c r="M54" i="14"/>
  <c r="Q54" i="14" s="1"/>
  <c r="E54" i="14"/>
  <c r="M53" i="14"/>
  <c r="Q53" i="14"/>
  <c r="E53" i="14"/>
  <c r="M52" i="14"/>
  <c r="P52" i="14"/>
  <c r="E52" i="14"/>
  <c r="M51" i="14"/>
  <c r="E51" i="14"/>
  <c r="M50" i="14"/>
  <c r="E50" i="14"/>
  <c r="M49" i="14"/>
  <c r="E49" i="14"/>
  <c r="M48" i="14"/>
  <c r="P48" i="14"/>
  <c r="E48" i="14"/>
  <c r="M47" i="14"/>
  <c r="Q47" i="14"/>
  <c r="E47" i="14"/>
  <c r="M46" i="14"/>
  <c r="E46" i="14"/>
  <c r="E45" i="14"/>
  <c r="M30" i="14"/>
  <c r="E30" i="14"/>
  <c r="E29" i="14"/>
  <c r="M42" i="14"/>
  <c r="E42" i="14"/>
  <c r="E41" i="14"/>
  <c r="P40" i="14"/>
  <c r="M40" i="14"/>
  <c r="E40" i="14"/>
  <c r="P39" i="14"/>
  <c r="E39" i="14"/>
  <c r="O38" i="14"/>
  <c r="M38" i="14"/>
  <c r="E38" i="14"/>
  <c r="E37" i="14"/>
  <c r="M36" i="14"/>
  <c r="O36" i="14"/>
  <c r="E36" i="14"/>
  <c r="M35" i="14"/>
  <c r="E35" i="14"/>
  <c r="P34" i="14"/>
  <c r="M34" i="14"/>
  <c r="E34" i="14"/>
  <c r="O33" i="14"/>
  <c r="M33" i="14"/>
  <c r="E33" i="14"/>
  <c r="M32" i="14"/>
  <c r="E32" i="14"/>
  <c r="P31" i="14"/>
  <c r="E31" i="14"/>
  <c r="M380" i="14"/>
  <c r="E380" i="14"/>
  <c r="E379" i="14"/>
  <c r="M392" i="14"/>
  <c r="E392" i="14"/>
  <c r="E391" i="14"/>
  <c r="M390" i="14"/>
  <c r="E390" i="14"/>
  <c r="M389" i="14"/>
  <c r="E389" i="14"/>
  <c r="M388" i="14"/>
  <c r="E388" i="14"/>
  <c r="E387" i="14"/>
  <c r="M386" i="14"/>
  <c r="E386" i="14"/>
  <c r="E385" i="14"/>
  <c r="M384" i="14"/>
  <c r="E384" i="14"/>
  <c r="E383" i="14"/>
  <c r="P382" i="14"/>
  <c r="M382" i="14"/>
  <c r="Q382" i="14" s="1"/>
  <c r="E382" i="14"/>
  <c r="P381" i="14"/>
  <c r="E381" i="14"/>
  <c r="M282" i="14"/>
  <c r="Q282" i="14" s="1"/>
  <c r="E282" i="14"/>
  <c r="E281" i="14"/>
  <c r="O294" i="14"/>
  <c r="M294" i="14"/>
  <c r="E294" i="14"/>
  <c r="M293" i="14"/>
  <c r="E293" i="14"/>
  <c r="E292" i="14"/>
  <c r="P291" i="14"/>
  <c r="M291" i="14"/>
  <c r="E291" i="14"/>
  <c r="M290" i="14"/>
  <c r="E290" i="14"/>
  <c r="E289" i="14"/>
  <c r="M288" i="14"/>
  <c r="E288" i="14"/>
  <c r="M287" i="14"/>
  <c r="Q287" i="14" s="1"/>
  <c r="E287" i="14"/>
  <c r="M286" i="14"/>
  <c r="E286" i="14"/>
  <c r="M285" i="14"/>
  <c r="E285" i="14"/>
  <c r="M284" i="14"/>
  <c r="E284" i="14"/>
  <c r="M283" i="14"/>
  <c r="E283" i="14"/>
  <c r="P254" i="14"/>
  <c r="M254" i="14"/>
  <c r="Q254" i="14" s="1"/>
  <c r="E254" i="14"/>
  <c r="E253" i="14"/>
  <c r="M266" i="14"/>
  <c r="Q266" i="14" s="1"/>
  <c r="E266" i="14"/>
  <c r="E265" i="14"/>
  <c r="M264" i="14"/>
  <c r="E264" i="14"/>
  <c r="E263" i="14"/>
  <c r="P262" i="14"/>
  <c r="E262" i="14"/>
  <c r="M261" i="14"/>
  <c r="E261" i="14"/>
  <c r="M260" i="14"/>
  <c r="E260" i="14"/>
  <c r="E259" i="14"/>
  <c r="M258" i="14"/>
  <c r="E258" i="14"/>
  <c r="P257" i="14"/>
  <c r="M257" i="14"/>
  <c r="Q257" i="14" s="1"/>
  <c r="E257" i="14"/>
  <c r="M256" i="14"/>
  <c r="E256" i="14"/>
  <c r="M255" i="14"/>
  <c r="E255" i="14"/>
  <c r="M156" i="14"/>
  <c r="Q156" i="14" s="1"/>
  <c r="E156" i="14"/>
  <c r="P155" i="14"/>
  <c r="E155" i="14"/>
  <c r="M168" i="14"/>
  <c r="E168" i="14"/>
  <c r="E167" i="14"/>
  <c r="M166" i="14"/>
  <c r="E166" i="14"/>
  <c r="P165" i="14"/>
  <c r="M165" i="14"/>
  <c r="Q165" i="14" s="1"/>
  <c r="E165" i="14"/>
  <c r="M164" i="14"/>
  <c r="E164" i="14"/>
  <c r="M163" i="14"/>
  <c r="E163" i="14"/>
  <c r="O162" i="14"/>
  <c r="M162" i="14"/>
  <c r="E162" i="14"/>
  <c r="M161" i="14"/>
  <c r="E161" i="14"/>
  <c r="O160" i="14"/>
  <c r="M160" i="14"/>
  <c r="E160" i="14"/>
  <c r="M159" i="14"/>
  <c r="E159" i="14"/>
  <c r="M158" i="14"/>
  <c r="E158" i="14"/>
  <c r="M157" i="14"/>
  <c r="E157" i="14"/>
  <c r="M128" i="14"/>
  <c r="E128" i="14"/>
  <c r="M127" i="14"/>
  <c r="E127" i="14"/>
  <c r="M140" i="14"/>
  <c r="E140" i="14"/>
  <c r="M139" i="14"/>
  <c r="E139" i="14"/>
  <c r="E138" i="14"/>
  <c r="E137" i="14"/>
  <c r="M136" i="14"/>
  <c r="E136" i="14"/>
  <c r="E135" i="14"/>
  <c r="M134" i="14"/>
  <c r="E134" i="14"/>
  <c r="M133" i="14"/>
  <c r="E133" i="14"/>
  <c r="M132" i="14"/>
  <c r="E132" i="14"/>
  <c r="P131" i="14"/>
  <c r="M131" i="14"/>
  <c r="Q131" i="14" s="1"/>
  <c r="E131" i="14"/>
  <c r="P130" i="14"/>
  <c r="E130" i="14"/>
  <c r="E129" i="14"/>
  <c r="M86" i="14"/>
  <c r="E86" i="14"/>
  <c r="M85" i="14"/>
  <c r="E85" i="14"/>
  <c r="M98" i="14"/>
  <c r="Q98" i="14" s="1"/>
  <c r="E98" i="14"/>
  <c r="E97" i="14"/>
  <c r="M96" i="14"/>
  <c r="E96" i="14"/>
  <c r="M95" i="14"/>
  <c r="E95" i="14"/>
  <c r="M94" i="14"/>
  <c r="E94" i="14"/>
  <c r="M93" i="14"/>
  <c r="E93" i="14"/>
  <c r="P92" i="14"/>
  <c r="M92" i="14"/>
  <c r="E92" i="14"/>
  <c r="M91" i="14"/>
  <c r="E91" i="14"/>
  <c r="O90" i="14"/>
  <c r="M90" i="14"/>
  <c r="E90" i="14"/>
  <c r="M89" i="14"/>
  <c r="E89" i="14"/>
  <c r="M88" i="14"/>
  <c r="E88" i="14"/>
  <c r="M87" i="14"/>
  <c r="E87" i="14"/>
  <c r="P394" i="14"/>
  <c r="E394" i="14"/>
  <c r="P393" i="14"/>
  <c r="E393" i="14"/>
  <c r="E406" i="14"/>
  <c r="M405" i="14"/>
  <c r="E405" i="14"/>
  <c r="M404" i="14"/>
  <c r="E404" i="14"/>
  <c r="E403" i="14"/>
  <c r="M402" i="14"/>
  <c r="E402" i="14"/>
  <c r="E401" i="14"/>
  <c r="P400" i="14"/>
  <c r="E400" i="14"/>
  <c r="M399" i="14"/>
  <c r="E399" i="14"/>
  <c r="O398" i="14"/>
  <c r="M398" i="14"/>
  <c r="E398" i="14"/>
  <c r="M397" i="14"/>
  <c r="E397" i="14"/>
  <c r="M396" i="14"/>
  <c r="E396" i="14"/>
  <c r="M395" i="14"/>
  <c r="E395" i="14"/>
  <c r="M366" i="14"/>
  <c r="E366" i="14"/>
  <c r="E365" i="14"/>
  <c r="E378" i="14"/>
  <c r="O377" i="14"/>
  <c r="M377" i="14"/>
  <c r="E377" i="14"/>
  <c r="O376" i="14"/>
  <c r="M376" i="14"/>
  <c r="E376" i="14"/>
  <c r="E375" i="14"/>
  <c r="P374" i="14"/>
  <c r="M374" i="14"/>
  <c r="E374" i="14"/>
  <c r="P373" i="14"/>
  <c r="M373" i="14"/>
  <c r="E373" i="14"/>
  <c r="M372" i="14"/>
  <c r="E372" i="14"/>
  <c r="M371" i="14"/>
  <c r="E371" i="14"/>
  <c r="O370" i="14"/>
  <c r="M370" i="14"/>
  <c r="E370" i="14"/>
  <c r="E369" i="14"/>
  <c r="O368" i="14"/>
  <c r="M368" i="14"/>
  <c r="E368" i="14"/>
  <c r="M367" i="14"/>
  <c r="E367" i="14"/>
  <c r="E338" i="14"/>
  <c r="M337" i="14"/>
  <c r="Q337" i="14" s="1"/>
  <c r="E337" i="14"/>
  <c r="P350" i="14"/>
  <c r="M350" i="14"/>
  <c r="E350" i="14"/>
  <c r="M349" i="14"/>
  <c r="E349" i="14"/>
  <c r="E348" i="14"/>
  <c r="P347" i="14"/>
  <c r="E347" i="14"/>
  <c r="M346" i="14"/>
  <c r="E346" i="14"/>
  <c r="O345" i="14"/>
  <c r="M345" i="14"/>
  <c r="E345" i="14"/>
  <c r="M344" i="14"/>
  <c r="E344" i="14"/>
  <c r="M343" i="14"/>
  <c r="E343" i="14"/>
  <c r="M342" i="14"/>
  <c r="E342" i="14"/>
  <c r="P341" i="14"/>
  <c r="E341" i="14"/>
  <c r="P340" i="14"/>
  <c r="M340" i="14"/>
  <c r="E340" i="14"/>
  <c r="M339" i="14"/>
  <c r="E339" i="14"/>
  <c r="M324" i="14"/>
  <c r="E324" i="14"/>
  <c r="M323" i="14"/>
  <c r="E323" i="14"/>
  <c r="M336" i="14"/>
  <c r="Q336" i="14" s="1"/>
  <c r="E336" i="14"/>
  <c r="M335" i="14"/>
  <c r="E335" i="14"/>
  <c r="P334" i="14"/>
  <c r="M334" i="14"/>
  <c r="E334" i="14"/>
  <c r="M333" i="14"/>
  <c r="E333" i="14"/>
  <c r="O332" i="14"/>
  <c r="M332" i="14"/>
  <c r="E332" i="14"/>
  <c r="P331" i="14"/>
  <c r="E331" i="14"/>
  <c r="M330" i="14"/>
  <c r="O330" i="14"/>
  <c r="E330" i="14"/>
  <c r="M329" i="14"/>
  <c r="Q329" i="14" s="1"/>
  <c r="E329" i="14"/>
  <c r="E328" i="14"/>
  <c r="M327" i="14"/>
  <c r="E327" i="14"/>
  <c r="M326" i="14"/>
  <c r="E326" i="14"/>
  <c r="M325" i="14"/>
  <c r="Q325" i="14" s="1"/>
  <c r="E325" i="14"/>
  <c r="M296" i="14"/>
  <c r="E296" i="14"/>
  <c r="M295" i="14"/>
  <c r="E295" i="14"/>
  <c r="M308" i="14"/>
  <c r="Q308" i="14" s="1"/>
  <c r="E308" i="14"/>
  <c r="P307" i="14"/>
  <c r="E307" i="14"/>
  <c r="M306" i="14"/>
  <c r="E306" i="14"/>
  <c r="M305" i="14"/>
  <c r="E305" i="14"/>
  <c r="E304" i="14"/>
  <c r="M303" i="14"/>
  <c r="E303" i="14"/>
  <c r="M302" i="14"/>
  <c r="E302" i="14"/>
  <c r="M301" i="14"/>
  <c r="E301" i="14"/>
  <c r="M300" i="14"/>
  <c r="E300" i="14"/>
  <c r="M299" i="14"/>
  <c r="E299" i="14"/>
  <c r="M298" i="14"/>
  <c r="Q298" i="14" s="1"/>
  <c r="E298" i="14"/>
  <c r="P297" i="14"/>
  <c r="M297" i="14"/>
  <c r="E297" i="14"/>
  <c r="M212" i="14"/>
  <c r="E212" i="14"/>
  <c r="M211" i="14"/>
  <c r="E211" i="14"/>
  <c r="O224" i="14"/>
  <c r="E224" i="14"/>
  <c r="M223" i="14"/>
  <c r="E223" i="14"/>
  <c r="O222" i="14"/>
  <c r="M222" i="14"/>
  <c r="E222" i="14"/>
  <c r="M221" i="14"/>
  <c r="E221" i="14"/>
  <c r="M220" i="14"/>
  <c r="E220" i="14"/>
  <c r="E219" i="14"/>
  <c r="M218" i="14"/>
  <c r="E218" i="14"/>
  <c r="M217" i="14"/>
  <c r="E217" i="14"/>
  <c r="O216" i="14"/>
  <c r="E216" i="14"/>
  <c r="M215" i="14"/>
  <c r="E215" i="14"/>
  <c r="O214" i="14"/>
  <c r="M214" i="14"/>
  <c r="E214" i="14"/>
  <c r="M213" i="14"/>
  <c r="E213" i="14"/>
  <c r="M170" i="14"/>
  <c r="E170" i="14"/>
  <c r="M169" i="14"/>
  <c r="E169" i="14"/>
  <c r="M182" i="14"/>
  <c r="E182" i="14"/>
  <c r="M181" i="14"/>
  <c r="E181" i="14"/>
  <c r="M180" i="14"/>
  <c r="E180" i="14"/>
  <c r="M179" i="14"/>
  <c r="E179" i="14"/>
  <c r="M178" i="14"/>
  <c r="E178" i="14"/>
  <c r="M177" i="14"/>
  <c r="E177" i="14"/>
  <c r="M176" i="14"/>
  <c r="E176" i="14"/>
  <c r="M175" i="14"/>
  <c r="E175" i="14"/>
  <c r="M174" i="14"/>
  <c r="E174" i="14"/>
  <c r="M173" i="14"/>
  <c r="E173" i="14"/>
  <c r="M172" i="14"/>
  <c r="E172" i="14"/>
  <c r="M171" i="14"/>
  <c r="Q171" i="14"/>
  <c r="E171" i="14"/>
  <c r="M142" i="14"/>
  <c r="E142" i="14"/>
  <c r="M141" i="14"/>
  <c r="E141" i="14"/>
  <c r="M154" i="14"/>
  <c r="Q154" i="14" s="1"/>
  <c r="E154" i="14"/>
  <c r="M153" i="14"/>
  <c r="E153" i="14"/>
  <c r="M152" i="14"/>
  <c r="Q152" i="14" s="1"/>
  <c r="E152" i="14"/>
  <c r="M151" i="14"/>
  <c r="E151" i="14"/>
  <c r="E150" i="14"/>
  <c r="E149" i="14"/>
  <c r="M148" i="14"/>
  <c r="E148" i="14"/>
  <c r="M147" i="14"/>
  <c r="E147" i="14"/>
  <c r="M146" i="14"/>
  <c r="Q146" i="14" s="1"/>
  <c r="E146" i="14"/>
  <c r="M145" i="14"/>
  <c r="E145" i="14"/>
  <c r="E144" i="14"/>
  <c r="P143" i="14"/>
  <c r="E143" i="14"/>
  <c r="M114" i="14"/>
  <c r="E114" i="14"/>
  <c r="M113" i="14"/>
  <c r="E113" i="14"/>
  <c r="E126" i="14"/>
  <c r="M125" i="14"/>
  <c r="E125" i="14"/>
  <c r="E124" i="14"/>
  <c r="M123" i="14"/>
  <c r="E123" i="14"/>
  <c r="M122" i="14"/>
  <c r="E122" i="14"/>
  <c r="E121" i="14"/>
  <c r="M120" i="14"/>
  <c r="E120" i="14"/>
  <c r="M119" i="14"/>
  <c r="E119" i="14"/>
  <c r="P118" i="14"/>
  <c r="E118" i="14"/>
  <c r="M117" i="14"/>
  <c r="E117" i="14"/>
  <c r="P116" i="14"/>
  <c r="M116" i="14"/>
  <c r="E116" i="14"/>
  <c r="M115" i="14"/>
  <c r="E115" i="14"/>
  <c r="M100" i="14"/>
  <c r="E100" i="14"/>
  <c r="O99" i="14"/>
  <c r="M99" i="14"/>
  <c r="E99" i="14"/>
  <c r="M112" i="14"/>
  <c r="E112" i="14"/>
  <c r="M111" i="14"/>
  <c r="E111" i="14"/>
  <c r="P110" i="14"/>
  <c r="M110" i="14"/>
  <c r="E110" i="14"/>
  <c r="P109" i="14"/>
  <c r="E109" i="14"/>
  <c r="M108" i="14"/>
  <c r="E108" i="14"/>
  <c r="M107" i="14"/>
  <c r="E107" i="14"/>
  <c r="M106" i="14"/>
  <c r="E106" i="14"/>
  <c r="M105" i="14"/>
  <c r="E105" i="14"/>
  <c r="M104" i="14"/>
  <c r="E104" i="14"/>
  <c r="M103" i="14"/>
  <c r="Q103" i="14" s="1"/>
  <c r="E103" i="14"/>
  <c r="E102" i="14"/>
  <c r="M101" i="14"/>
  <c r="E101" i="14"/>
  <c r="H4" i="14"/>
  <c r="H24" i="15"/>
  <c r="G24" i="15"/>
  <c r="E24" i="15"/>
  <c r="G23" i="15"/>
  <c r="H23" i="15" s="1"/>
  <c r="E23" i="15"/>
  <c r="G22" i="15"/>
  <c r="H22" i="15" s="1"/>
  <c r="E22" i="15"/>
  <c r="G21" i="15"/>
  <c r="H21" i="15" s="1"/>
  <c r="E21" i="15"/>
  <c r="G20" i="15"/>
  <c r="H20" i="15" s="1"/>
  <c r="E20" i="15"/>
  <c r="G19" i="15"/>
  <c r="H19" i="15" s="1"/>
  <c r="E19" i="15"/>
  <c r="H18" i="15"/>
  <c r="G18" i="15"/>
  <c r="E18" i="15"/>
  <c r="G17" i="15"/>
  <c r="H17" i="15" s="1"/>
  <c r="E17" i="15"/>
  <c r="H16" i="15"/>
  <c r="G16" i="15"/>
  <c r="E16" i="15"/>
  <c r="G15" i="15"/>
  <c r="H15" i="15" s="1"/>
  <c r="E15" i="15"/>
  <c r="H294" i="15"/>
  <c r="G294" i="15"/>
  <c r="E294" i="15"/>
  <c r="G293" i="15"/>
  <c r="H293" i="15" s="1"/>
  <c r="E293" i="15"/>
  <c r="G292" i="15"/>
  <c r="H292" i="15" s="1"/>
  <c r="E292" i="15"/>
  <c r="G291" i="15"/>
  <c r="H291" i="15" s="1"/>
  <c r="E291" i="15"/>
  <c r="G290" i="15"/>
  <c r="H290" i="15" s="1"/>
  <c r="E290" i="15"/>
  <c r="G289" i="15"/>
  <c r="H289" i="15" s="1"/>
  <c r="E289" i="15"/>
  <c r="H288" i="15"/>
  <c r="E288" i="15"/>
  <c r="H287" i="15"/>
  <c r="E287" i="15"/>
  <c r="H286" i="15"/>
  <c r="G286" i="15"/>
  <c r="E286" i="15"/>
  <c r="H285" i="15"/>
  <c r="G285" i="15"/>
  <c r="E285" i="15"/>
  <c r="H284" i="15"/>
  <c r="G284" i="15"/>
  <c r="E284" i="15"/>
  <c r="H283" i="15"/>
  <c r="G283" i="15"/>
  <c r="E283" i="15"/>
  <c r="H282" i="15"/>
  <c r="G282" i="15"/>
  <c r="E282" i="15"/>
  <c r="H281" i="15"/>
  <c r="G281" i="15"/>
  <c r="E281" i="15"/>
  <c r="H280" i="15"/>
  <c r="G280" i="15"/>
  <c r="E280" i="15"/>
  <c r="H279" i="15"/>
  <c r="G279" i="15"/>
  <c r="E279" i="15"/>
  <c r="H278" i="15"/>
  <c r="G278" i="15"/>
  <c r="E278" i="15"/>
  <c r="H277" i="15"/>
  <c r="G277" i="15"/>
  <c r="E277" i="15"/>
  <c r="H276" i="15"/>
  <c r="G276" i="15"/>
  <c r="E276" i="15"/>
  <c r="H275" i="15"/>
  <c r="G275" i="15"/>
  <c r="E275" i="15"/>
  <c r="H254" i="15"/>
  <c r="G254" i="15"/>
  <c r="E254" i="15"/>
  <c r="G253" i="15"/>
  <c r="H253" i="15" s="1"/>
  <c r="E253" i="15"/>
  <c r="H252" i="15"/>
  <c r="E252" i="15"/>
  <c r="H251" i="15"/>
  <c r="E251" i="15"/>
  <c r="H250" i="15"/>
  <c r="E250" i="15"/>
  <c r="H249" i="15"/>
  <c r="E249" i="15"/>
  <c r="H248" i="15"/>
  <c r="E248" i="15"/>
  <c r="H247" i="15"/>
  <c r="E247" i="15"/>
  <c r="H246" i="15"/>
  <c r="G246" i="15"/>
  <c r="E246" i="15"/>
  <c r="H245" i="15"/>
  <c r="G245" i="15"/>
  <c r="E245" i="15"/>
  <c r="H224" i="15"/>
  <c r="G224" i="15"/>
  <c r="E224" i="15"/>
  <c r="H223" i="15"/>
  <c r="G223" i="15"/>
  <c r="E223" i="15"/>
  <c r="H222" i="15"/>
  <c r="G222" i="15"/>
  <c r="E222" i="15"/>
  <c r="H221" i="15"/>
  <c r="G221" i="15"/>
  <c r="E221" i="15"/>
  <c r="H220" i="15"/>
  <c r="G220" i="15"/>
  <c r="E220" i="15"/>
  <c r="H219" i="15"/>
  <c r="G219" i="15"/>
  <c r="E219" i="15"/>
  <c r="H218" i="15"/>
  <c r="G218" i="15"/>
  <c r="E218" i="15"/>
  <c r="H217" i="15"/>
  <c r="G217" i="15"/>
  <c r="E217" i="15"/>
  <c r="H216" i="15"/>
  <c r="G216" i="15"/>
  <c r="E216" i="15"/>
  <c r="H215" i="15"/>
  <c r="G215" i="15"/>
  <c r="E215" i="15"/>
  <c r="H194" i="15"/>
  <c r="G194" i="15"/>
  <c r="E194" i="15"/>
  <c r="H193" i="15"/>
  <c r="G193" i="15"/>
  <c r="E193" i="15"/>
  <c r="H192" i="15"/>
  <c r="G192" i="15"/>
  <c r="E192" i="15"/>
  <c r="H191" i="15"/>
  <c r="G191" i="15"/>
  <c r="E191" i="15"/>
  <c r="H190" i="15"/>
  <c r="G190" i="15"/>
  <c r="E190" i="15"/>
  <c r="H189" i="15"/>
  <c r="G189" i="15"/>
  <c r="E189" i="15"/>
  <c r="H188" i="15"/>
  <c r="G188" i="15"/>
  <c r="E188" i="15"/>
  <c r="H187" i="15"/>
  <c r="G187" i="15"/>
  <c r="E187" i="15"/>
  <c r="H186" i="15"/>
  <c r="G186" i="15"/>
  <c r="E186" i="15"/>
  <c r="H185" i="15"/>
  <c r="G185" i="15"/>
  <c r="E185" i="15"/>
  <c r="H174" i="15"/>
  <c r="G174" i="15"/>
  <c r="E174" i="15"/>
  <c r="H173" i="15"/>
  <c r="G173" i="15"/>
  <c r="E173" i="15"/>
  <c r="H172" i="15"/>
  <c r="G172" i="15"/>
  <c r="E172" i="15"/>
  <c r="H171" i="15"/>
  <c r="G171" i="15"/>
  <c r="E171" i="15"/>
  <c r="H170" i="15"/>
  <c r="G170" i="15"/>
  <c r="E170" i="15"/>
  <c r="H169" i="15"/>
  <c r="G169" i="15"/>
  <c r="E169" i="15"/>
  <c r="H168" i="15"/>
  <c r="G168" i="15"/>
  <c r="E168" i="15"/>
  <c r="H167" i="15"/>
  <c r="G167" i="15"/>
  <c r="E167" i="15"/>
  <c r="H166" i="15"/>
  <c r="G166" i="15"/>
  <c r="E166" i="15"/>
  <c r="H165" i="15"/>
  <c r="G165" i="15"/>
  <c r="E165" i="15"/>
  <c r="H164" i="15"/>
  <c r="G164" i="15"/>
  <c r="E164" i="15"/>
  <c r="H163" i="15"/>
  <c r="G163" i="15"/>
  <c r="E163" i="15"/>
  <c r="H162" i="15"/>
  <c r="G162" i="15"/>
  <c r="E162" i="15"/>
  <c r="H161" i="15"/>
  <c r="G161" i="15"/>
  <c r="E161" i="15"/>
  <c r="H160" i="15"/>
  <c r="G160" i="15"/>
  <c r="E160" i="15"/>
  <c r="H159" i="15"/>
  <c r="G159" i="15"/>
  <c r="E159" i="15"/>
  <c r="G158" i="15"/>
  <c r="E158" i="15"/>
  <c r="G157" i="15"/>
  <c r="E157" i="15"/>
  <c r="H156" i="15"/>
  <c r="G156" i="15"/>
  <c r="E156" i="15"/>
  <c r="H155" i="15"/>
  <c r="G155" i="15"/>
  <c r="E155" i="15"/>
  <c r="H144" i="15"/>
  <c r="G144" i="15"/>
  <c r="E144" i="15"/>
  <c r="H143" i="15"/>
  <c r="G143" i="15"/>
  <c r="E143" i="15"/>
  <c r="H142" i="15"/>
  <c r="G142" i="15"/>
  <c r="E142" i="15"/>
  <c r="H141" i="15"/>
  <c r="G141" i="15"/>
  <c r="E141" i="15"/>
  <c r="H140" i="15"/>
  <c r="G140" i="15"/>
  <c r="E140" i="15"/>
  <c r="H139" i="15"/>
  <c r="G139" i="15"/>
  <c r="E139" i="15"/>
  <c r="G138" i="15"/>
  <c r="E138" i="15"/>
  <c r="G137" i="15"/>
  <c r="E137" i="15"/>
  <c r="H136" i="15"/>
  <c r="G136" i="15"/>
  <c r="E136" i="15"/>
  <c r="H135" i="15"/>
  <c r="G135" i="15"/>
  <c r="E135" i="15"/>
  <c r="H134" i="15"/>
  <c r="G134" i="15"/>
  <c r="E134" i="15"/>
  <c r="G133" i="15"/>
  <c r="H133" i="15" s="1"/>
  <c r="E133" i="15"/>
  <c r="H132" i="15"/>
  <c r="E132" i="15"/>
  <c r="H131" i="15"/>
  <c r="E131" i="15"/>
  <c r="H130" i="15"/>
  <c r="E130" i="15"/>
  <c r="H129" i="15"/>
  <c r="E129" i="15"/>
  <c r="H128" i="15"/>
  <c r="E128" i="15"/>
  <c r="H127" i="15"/>
  <c r="E127" i="15"/>
  <c r="H126" i="15"/>
  <c r="G126" i="15"/>
  <c r="E126" i="15"/>
  <c r="H125" i="15"/>
  <c r="G125" i="15"/>
  <c r="E125" i="15"/>
  <c r="H54" i="15"/>
  <c r="E54" i="15"/>
  <c r="H53" i="15"/>
  <c r="E53" i="15"/>
  <c r="H52" i="15"/>
  <c r="E52" i="15"/>
  <c r="H51" i="15"/>
  <c r="E51" i="15"/>
  <c r="H50" i="15"/>
  <c r="E50" i="15"/>
  <c r="H49" i="15"/>
  <c r="E49" i="15"/>
  <c r="H48" i="15"/>
  <c r="E48" i="15"/>
  <c r="H47" i="15"/>
  <c r="E47" i="15"/>
  <c r="H46" i="15"/>
  <c r="G46" i="15"/>
  <c r="E46" i="15"/>
  <c r="H45" i="15"/>
  <c r="G45" i="15"/>
  <c r="E45" i="15"/>
  <c r="H44" i="15"/>
  <c r="G44" i="15"/>
  <c r="E44" i="15"/>
  <c r="H43" i="15"/>
  <c r="G43" i="15"/>
  <c r="E43" i="15"/>
  <c r="H42" i="15"/>
  <c r="G42" i="15"/>
  <c r="E42" i="15"/>
  <c r="H41" i="15"/>
  <c r="G41" i="15"/>
  <c r="E41" i="15"/>
  <c r="H40" i="15"/>
  <c r="G40" i="15"/>
  <c r="E40" i="15"/>
  <c r="H39" i="15"/>
  <c r="G39" i="15"/>
  <c r="E39" i="15"/>
  <c r="G38" i="15"/>
  <c r="E38" i="15"/>
  <c r="G37" i="15"/>
  <c r="E37" i="15"/>
  <c r="H36" i="15"/>
  <c r="G36" i="15"/>
  <c r="E36" i="15"/>
  <c r="H35" i="15"/>
  <c r="G35" i="15"/>
  <c r="E35" i="15"/>
  <c r="H34" i="15"/>
  <c r="E34" i="15"/>
  <c r="H33" i="15"/>
  <c r="E33" i="15"/>
  <c r="H32" i="15"/>
  <c r="E32" i="15"/>
  <c r="H31" i="15"/>
  <c r="E31" i="15"/>
  <c r="H30" i="15"/>
  <c r="E30" i="15"/>
  <c r="H29" i="15"/>
  <c r="E29" i="15"/>
  <c r="H28" i="15"/>
  <c r="E28" i="15"/>
  <c r="H27" i="15"/>
  <c r="E27" i="15"/>
  <c r="H26" i="15"/>
  <c r="G26" i="15"/>
  <c r="E26" i="15"/>
  <c r="H25" i="15"/>
  <c r="G25" i="15"/>
  <c r="E25" i="15"/>
  <c r="H264" i="15"/>
  <c r="G264" i="15"/>
  <c r="E264" i="15"/>
  <c r="H263" i="15"/>
  <c r="G263" i="15"/>
  <c r="E263" i="15"/>
  <c r="H262" i="15"/>
  <c r="G262" i="15"/>
  <c r="E262" i="15"/>
  <c r="H261" i="15"/>
  <c r="G261" i="15"/>
  <c r="E261" i="15"/>
  <c r="H260" i="15"/>
  <c r="G260" i="15"/>
  <c r="E260" i="15"/>
  <c r="H259" i="15"/>
  <c r="G259" i="15"/>
  <c r="E259" i="15"/>
  <c r="G258" i="15"/>
  <c r="E258" i="15"/>
  <c r="G257" i="15"/>
  <c r="E257" i="15"/>
  <c r="H256" i="15"/>
  <c r="G256" i="15"/>
  <c r="E256" i="15"/>
  <c r="H255" i="15"/>
  <c r="G255" i="15"/>
  <c r="E255" i="15"/>
  <c r="H204" i="15"/>
  <c r="G204" i="15"/>
  <c r="E204" i="15"/>
  <c r="H203" i="15"/>
  <c r="G203" i="15"/>
  <c r="E203" i="15"/>
  <c r="H202" i="15"/>
  <c r="G202" i="15"/>
  <c r="E202" i="15"/>
  <c r="H201" i="15"/>
  <c r="G201" i="15"/>
  <c r="E201" i="15"/>
  <c r="H200" i="15"/>
  <c r="G200" i="15"/>
  <c r="E200" i="15"/>
  <c r="H199" i="15"/>
  <c r="G199" i="15"/>
  <c r="E199" i="15"/>
  <c r="G198" i="15"/>
  <c r="E198" i="15"/>
  <c r="G197" i="15"/>
  <c r="E197" i="15"/>
  <c r="H196" i="15"/>
  <c r="G196" i="15"/>
  <c r="E196" i="15"/>
  <c r="H195" i="15"/>
  <c r="G195" i="15"/>
  <c r="E195" i="15"/>
  <c r="H184" i="15"/>
  <c r="G184" i="15"/>
  <c r="E184" i="15"/>
  <c r="H183" i="15"/>
  <c r="G183" i="15"/>
  <c r="E183" i="15"/>
  <c r="H182" i="15"/>
  <c r="G182" i="15"/>
  <c r="E182" i="15"/>
  <c r="H181" i="15"/>
  <c r="G181" i="15"/>
  <c r="E181" i="15"/>
  <c r="H180" i="15"/>
  <c r="G180" i="15"/>
  <c r="E180" i="15"/>
  <c r="H179" i="15"/>
  <c r="G179" i="15"/>
  <c r="E179" i="15"/>
  <c r="G178" i="15"/>
  <c r="E178" i="15"/>
  <c r="G177" i="15"/>
  <c r="E177" i="15"/>
  <c r="H176" i="15"/>
  <c r="G176" i="15"/>
  <c r="E176" i="15"/>
  <c r="H175" i="15"/>
  <c r="G175" i="15"/>
  <c r="E175" i="15"/>
  <c r="H114" i="15"/>
  <c r="G114" i="15"/>
  <c r="E114" i="15"/>
  <c r="H113" i="15"/>
  <c r="G113" i="15"/>
  <c r="E113" i="15"/>
  <c r="H112" i="15"/>
  <c r="G112" i="15"/>
  <c r="E112" i="15"/>
  <c r="H111" i="15"/>
  <c r="G111" i="15"/>
  <c r="E111" i="15"/>
  <c r="H110" i="15"/>
  <c r="G110" i="15"/>
  <c r="E110" i="15"/>
  <c r="H109" i="15"/>
  <c r="G109" i="15"/>
  <c r="E109" i="15"/>
  <c r="H108" i="15"/>
  <c r="G108" i="15"/>
  <c r="E108" i="15"/>
  <c r="H107" i="15"/>
  <c r="G107" i="15"/>
  <c r="E107" i="15"/>
  <c r="H106" i="15"/>
  <c r="G106" i="15"/>
  <c r="E106" i="15"/>
  <c r="H105" i="15"/>
  <c r="G105" i="15"/>
  <c r="E105" i="15"/>
  <c r="H94" i="15"/>
  <c r="G94" i="15"/>
  <c r="E94" i="15"/>
  <c r="H93" i="15"/>
  <c r="G93" i="15"/>
  <c r="E93" i="15"/>
  <c r="H92" i="15"/>
  <c r="G92" i="15"/>
  <c r="E92" i="15"/>
  <c r="H91" i="15"/>
  <c r="G91" i="15"/>
  <c r="E91" i="15"/>
  <c r="H90" i="15"/>
  <c r="G90" i="15"/>
  <c r="E90" i="15"/>
  <c r="H89" i="15"/>
  <c r="G89" i="15"/>
  <c r="E89" i="15"/>
  <c r="H88" i="15"/>
  <c r="G88" i="15"/>
  <c r="E88" i="15"/>
  <c r="H87" i="15"/>
  <c r="G87" i="15"/>
  <c r="E87" i="15"/>
  <c r="H86" i="15"/>
  <c r="G86" i="15"/>
  <c r="E86" i="15"/>
  <c r="H85" i="15"/>
  <c r="G85" i="15"/>
  <c r="E85" i="15"/>
  <c r="H64" i="15"/>
  <c r="G64" i="15"/>
  <c r="E64" i="15"/>
  <c r="H63" i="15"/>
  <c r="G63" i="15"/>
  <c r="E63" i="15"/>
  <c r="H62" i="15"/>
  <c r="G62" i="15"/>
  <c r="E62" i="15"/>
  <c r="H61" i="15"/>
  <c r="G61" i="15"/>
  <c r="E61" i="15"/>
  <c r="H60" i="15"/>
  <c r="G60" i="15"/>
  <c r="E60" i="15"/>
  <c r="H59" i="15"/>
  <c r="G59" i="15"/>
  <c r="E59" i="15"/>
  <c r="G58" i="15"/>
  <c r="E58" i="15"/>
  <c r="G57" i="15"/>
  <c r="E57" i="15"/>
  <c r="H56" i="15"/>
  <c r="G56" i="15"/>
  <c r="E56" i="15"/>
  <c r="H55" i="15"/>
  <c r="G55" i="15"/>
  <c r="E55" i="15"/>
  <c r="H274" i="15"/>
  <c r="G274" i="15"/>
  <c r="E274" i="15"/>
  <c r="H273" i="15"/>
  <c r="G273" i="15"/>
  <c r="E273" i="15"/>
  <c r="H272" i="15"/>
  <c r="G272" i="15"/>
  <c r="E272" i="15"/>
  <c r="H271" i="15"/>
  <c r="G271" i="15"/>
  <c r="E271" i="15"/>
  <c r="H270" i="15"/>
  <c r="G270" i="15"/>
  <c r="E270" i="15"/>
  <c r="H269" i="15"/>
  <c r="G269" i="15"/>
  <c r="E269" i="15"/>
  <c r="H268" i="15"/>
  <c r="E268" i="15"/>
  <c r="H267" i="15"/>
  <c r="E267" i="15"/>
  <c r="H266" i="15"/>
  <c r="G266" i="15"/>
  <c r="E266" i="15"/>
  <c r="H265" i="15"/>
  <c r="G265" i="15"/>
  <c r="E265" i="15"/>
  <c r="H244" i="15"/>
  <c r="G244" i="15"/>
  <c r="E244" i="15"/>
  <c r="H243" i="15"/>
  <c r="G243" i="15"/>
  <c r="E243" i="15"/>
  <c r="H242" i="15"/>
  <c r="G242" i="15"/>
  <c r="E242" i="15"/>
  <c r="H241" i="15"/>
  <c r="G241" i="15"/>
  <c r="E241" i="15"/>
  <c r="H240" i="15"/>
  <c r="G240" i="15"/>
  <c r="E240" i="15"/>
  <c r="H239" i="15"/>
  <c r="G239" i="15"/>
  <c r="E239" i="15"/>
  <c r="G238" i="15"/>
  <c r="E238" i="15"/>
  <c r="G237" i="15"/>
  <c r="E237" i="15"/>
  <c r="H236" i="15"/>
  <c r="G236" i="15"/>
  <c r="E236" i="15"/>
  <c r="H235" i="15"/>
  <c r="G235" i="15"/>
  <c r="E235" i="15"/>
  <c r="H234" i="15"/>
  <c r="G234" i="15"/>
  <c r="E234" i="15"/>
  <c r="H233" i="15"/>
  <c r="G233" i="15"/>
  <c r="E233" i="15"/>
  <c r="H232" i="15"/>
  <c r="G232" i="15"/>
  <c r="E232" i="15"/>
  <c r="H231" i="15"/>
  <c r="G231" i="15"/>
  <c r="E231" i="15"/>
  <c r="H230" i="15"/>
  <c r="G230" i="15"/>
  <c r="E230" i="15"/>
  <c r="H229" i="15"/>
  <c r="G229" i="15"/>
  <c r="E229" i="15"/>
  <c r="H228" i="15"/>
  <c r="E228" i="15"/>
  <c r="H227" i="15"/>
  <c r="E227" i="15"/>
  <c r="H226" i="15"/>
  <c r="G226" i="15"/>
  <c r="E226" i="15"/>
  <c r="H225" i="15"/>
  <c r="G225" i="15"/>
  <c r="E225" i="15"/>
  <c r="H214" i="15"/>
  <c r="G214" i="15"/>
  <c r="E214" i="15"/>
  <c r="H213" i="15"/>
  <c r="G213" i="15"/>
  <c r="E213" i="15"/>
  <c r="H212" i="15"/>
  <c r="G212" i="15"/>
  <c r="E212" i="15"/>
  <c r="H211" i="15"/>
  <c r="G211" i="15"/>
  <c r="E211" i="15"/>
  <c r="H210" i="15"/>
  <c r="G210" i="15"/>
  <c r="E210" i="15"/>
  <c r="H209" i="15"/>
  <c r="G209" i="15"/>
  <c r="E209" i="15"/>
  <c r="H208" i="15"/>
  <c r="G208" i="15"/>
  <c r="E208" i="15"/>
  <c r="H207" i="15"/>
  <c r="G207" i="15"/>
  <c r="E207" i="15"/>
  <c r="H206" i="15"/>
  <c r="G206" i="15"/>
  <c r="E206" i="15"/>
  <c r="H205" i="15"/>
  <c r="G205" i="15"/>
  <c r="E205" i="15"/>
  <c r="H154" i="15"/>
  <c r="G154" i="15"/>
  <c r="E154" i="15"/>
  <c r="H153" i="15"/>
  <c r="G153" i="15"/>
  <c r="E153" i="15"/>
  <c r="H152" i="15"/>
  <c r="G152" i="15"/>
  <c r="E152" i="15"/>
  <c r="H151" i="15"/>
  <c r="G151" i="15"/>
  <c r="E151" i="15"/>
  <c r="H150" i="15"/>
  <c r="G150" i="15"/>
  <c r="E150" i="15"/>
  <c r="H149" i="15"/>
  <c r="G149" i="15"/>
  <c r="E149" i="15"/>
  <c r="H148" i="15"/>
  <c r="E148" i="15"/>
  <c r="H147" i="15"/>
  <c r="E147" i="15"/>
  <c r="H146" i="15"/>
  <c r="G146" i="15"/>
  <c r="E146" i="15"/>
  <c r="H145" i="15"/>
  <c r="G145" i="15"/>
  <c r="E145" i="15"/>
  <c r="H124" i="15"/>
  <c r="G124" i="15"/>
  <c r="E124" i="15"/>
  <c r="H123" i="15"/>
  <c r="G123" i="15"/>
  <c r="E123" i="15"/>
  <c r="H122" i="15"/>
  <c r="G122" i="15"/>
  <c r="E122" i="15"/>
  <c r="H121" i="15"/>
  <c r="G121" i="15"/>
  <c r="E121" i="15"/>
  <c r="H120" i="15"/>
  <c r="G120" i="15"/>
  <c r="E120" i="15"/>
  <c r="H119" i="15"/>
  <c r="E119" i="15"/>
  <c r="H118" i="15"/>
  <c r="E118" i="15"/>
  <c r="H117" i="15"/>
  <c r="E117" i="15"/>
  <c r="H116" i="15"/>
  <c r="G116" i="15"/>
  <c r="E116" i="15"/>
  <c r="H115" i="15"/>
  <c r="G115" i="15"/>
  <c r="E115" i="15"/>
  <c r="H104" i="15"/>
  <c r="G104" i="15"/>
  <c r="E104" i="15"/>
  <c r="H103" i="15"/>
  <c r="G103" i="15"/>
  <c r="E103" i="15"/>
  <c r="H102" i="15"/>
  <c r="G102" i="15"/>
  <c r="E102" i="15"/>
  <c r="H101" i="15"/>
  <c r="G101" i="15"/>
  <c r="E101" i="15"/>
  <c r="H100" i="15"/>
  <c r="G100" i="15"/>
  <c r="E100" i="15"/>
  <c r="H99" i="15"/>
  <c r="G99" i="15"/>
  <c r="E99" i="15"/>
  <c r="G98" i="15"/>
  <c r="E98" i="15"/>
  <c r="G97" i="15"/>
  <c r="E97" i="15"/>
  <c r="H96" i="15"/>
  <c r="G96" i="15"/>
  <c r="E96" i="15"/>
  <c r="H95" i="15"/>
  <c r="G95" i="15"/>
  <c r="E95" i="15"/>
  <c r="H84" i="15"/>
  <c r="G84" i="15"/>
  <c r="E84" i="15"/>
  <c r="H83" i="15"/>
  <c r="G83" i="15"/>
  <c r="E83" i="15"/>
  <c r="H82" i="15"/>
  <c r="G82" i="15"/>
  <c r="E82" i="15"/>
  <c r="H81" i="15"/>
  <c r="G81" i="15"/>
  <c r="E81" i="15"/>
  <c r="H80" i="15"/>
  <c r="G80" i="15"/>
  <c r="E80" i="15"/>
  <c r="H79" i="15"/>
  <c r="G79" i="15"/>
  <c r="E79" i="15"/>
  <c r="H78" i="15"/>
  <c r="E78" i="15"/>
  <c r="H77" i="15"/>
  <c r="E77" i="15"/>
  <c r="H76" i="15"/>
  <c r="G76" i="15"/>
  <c r="E76" i="15"/>
  <c r="H75" i="15"/>
  <c r="G75" i="15"/>
  <c r="E75" i="15"/>
  <c r="H74" i="15"/>
  <c r="G74" i="15"/>
  <c r="E74" i="15"/>
  <c r="H73" i="15"/>
  <c r="G73" i="15"/>
  <c r="E73" i="15"/>
  <c r="H72" i="15"/>
  <c r="G72" i="15"/>
  <c r="E72" i="15"/>
  <c r="H71" i="15"/>
  <c r="G71" i="15"/>
  <c r="E71" i="15"/>
  <c r="H70" i="15"/>
  <c r="G70" i="15"/>
  <c r="E70" i="15"/>
  <c r="H69" i="15"/>
  <c r="G69" i="15"/>
  <c r="E69" i="15"/>
  <c r="H68" i="15"/>
  <c r="E68" i="15"/>
  <c r="H67" i="15"/>
  <c r="E67" i="15"/>
  <c r="H66" i="15"/>
  <c r="G66" i="15"/>
  <c r="E66" i="15"/>
  <c r="H65" i="15"/>
  <c r="G65" i="15"/>
  <c r="E65" i="15"/>
  <c r="F4" i="15"/>
  <c r="AB16" i="9"/>
  <c r="Y16" i="9"/>
  <c r="S16" i="9"/>
  <c r="I16" i="9"/>
  <c r="H16" i="9"/>
  <c r="E16" i="9"/>
  <c r="AB15" i="9"/>
  <c r="Y15" i="9"/>
  <c r="S15" i="9"/>
  <c r="I15" i="9"/>
  <c r="H15" i="9"/>
  <c r="E15" i="9"/>
  <c r="AB18" i="9"/>
  <c r="Y18" i="9"/>
  <c r="S18" i="9"/>
  <c r="I18" i="9"/>
  <c r="H18" i="9"/>
  <c r="E18" i="9"/>
  <c r="AB17" i="9"/>
  <c r="Y17" i="9"/>
  <c r="S17" i="9"/>
  <c r="I17" i="9"/>
  <c r="H17" i="9"/>
  <c r="E17" i="9"/>
  <c r="AB128" i="9"/>
  <c r="Y128" i="9"/>
  <c r="S128" i="9"/>
  <c r="E128" i="9"/>
  <c r="AB127" i="9"/>
  <c r="Y127" i="9"/>
  <c r="S127" i="9"/>
  <c r="E127" i="9"/>
  <c r="AB130" i="9"/>
  <c r="Y130" i="9"/>
  <c r="S130" i="9"/>
  <c r="E130" i="9"/>
  <c r="AB129" i="9"/>
  <c r="Y129" i="9"/>
  <c r="S129" i="9"/>
  <c r="E129" i="9"/>
  <c r="AB124" i="9"/>
  <c r="Y124" i="9"/>
  <c r="S124" i="9"/>
  <c r="E124" i="9"/>
  <c r="AB123" i="9"/>
  <c r="Y123" i="9"/>
  <c r="S123" i="9"/>
  <c r="E123" i="9"/>
  <c r="AB126" i="9"/>
  <c r="Y126" i="9"/>
  <c r="S126" i="9"/>
  <c r="E126" i="9"/>
  <c r="AB125" i="9"/>
  <c r="Y125" i="9"/>
  <c r="S125" i="9"/>
  <c r="E125" i="9"/>
  <c r="AB112" i="9"/>
  <c r="Y112" i="9"/>
  <c r="S112" i="9"/>
  <c r="E112" i="9"/>
  <c r="AB111" i="9"/>
  <c r="Y111" i="9"/>
  <c r="S111" i="9"/>
  <c r="E111" i="9"/>
  <c r="AB114" i="9"/>
  <c r="Y114" i="9"/>
  <c r="S114" i="9"/>
  <c r="E114" i="9"/>
  <c r="AB113" i="9"/>
  <c r="Y113" i="9"/>
  <c r="S113" i="9"/>
  <c r="E113" i="9"/>
  <c r="AB100" i="9"/>
  <c r="Y100" i="9"/>
  <c r="S100" i="9"/>
  <c r="E100" i="9"/>
  <c r="E99" i="9"/>
  <c r="AB102" i="9"/>
  <c r="Y102" i="9"/>
  <c r="S102" i="9"/>
  <c r="E102" i="9"/>
  <c r="AB101" i="9"/>
  <c r="Y101" i="9"/>
  <c r="S101" i="9"/>
  <c r="E101" i="9"/>
  <c r="AB88" i="9"/>
  <c r="Y88" i="9"/>
  <c r="S88" i="9"/>
  <c r="E88" i="9"/>
  <c r="AB87" i="9"/>
  <c r="Y87" i="9"/>
  <c r="S87" i="9"/>
  <c r="E87" i="9"/>
  <c r="AB90" i="9"/>
  <c r="Y90" i="9"/>
  <c r="S90" i="9"/>
  <c r="E90" i="9"/>
  <c r="AB89" i="9"/>
  <c r="Y89" i="9"/>
  <c r="S89" i="9"/>
  <c r="E89" i="9"/>
  <c r="AB80" i="9"/>
  <c r="Y80" i="9"/>
  <c r="S80" i="9"/>
  <c r="E80" i="9"/>
  <c r="AB79" i="9"/>
  <c r="Y79" i="9"/>
  <c r="S79" i="9"/>
  <c r="E79" i="9"/>
  <c r="AB82" i="9"/>
  <c r="Y82" i="9"/>
  <c r="S82" i="9"/>
  <c r="E82" i="9"/>
  <c r="AB81" i="9"/>
  <c r="Y81" i="9"/>
  <c r="S81" i="9"/>
  <c r="E81" i="9"/>
  <c r="AB76" i="9"/>
  <c r="Y76" i="9"/>
  <c r="S76" i="9"/>
  <c r="E76" i="9"/>
  <c r="AB75" i="9"/>
  <c r="Y75" i="9"/>
  <c r="S75" i="9"/>
  <c r="E75" i="9"/>
  <c r="AB78" i="9"/>
  <c r="Y78" i="9"/>
  <c r="S78" i="9"/>
  <c r="E78" i="9"/>
  <c r="AB77" i="9"/>
  <c r="Y77" i="9"/>
  <c r="S77" i="9"/>
  <c r="E77" i="9"/>
  <c r="AB68" i="9"/>
  <c r="Y68" i="9"/>
  <c r="S68" i="9"/>
  <c r="E68" i="9"/>
  <c r="AB67" i="9"/>
  <c r="Y67" i="9"/>
  <c r="S67" i="9"/>
  <c r="E67" i="9"/>
  <c r="AB70" i="9"/>
  <c r="Y70" i="9"/>
  <c r="S70" i="9"/>
  <c r="E70" i="9"/>
  <c r="AB69" i="9"/>
  <c r="Y69" i="9"/>
  <c r="S69" i="9"/>
  <c r="E69" i="9"/>
  <c r="AB64" i="9"/>
  <c r="Y64" i="9"/>
  <c r="S64" i="9"/>
  <c r="E64" i="9"/>
  <c r="AB63" i="9"/>
  <c r="Y63" i="9"/>
  <c r="S63" i="9"/>
  <c r="E63" i="9"/>
  <c r="AB66" i="9"/>
  <c r="Y66" i="9"/>
  <c r="S66" i="9"/>
  <c r="E66" i="9"/>
  <c r="AB65" i="9"/>
  <c r="Y65" i="9"/>
  <c r="S65" i="9"/>
  <c r="E65" i="9"/>
  <c r="AB32" i="9"/>
  <c r="Y32" i="9"/>
  <c r="S32" i="9"/>
  <c r="E32" i="9"/>
  <c r="AB31" i="9"/>
  <c r="Y31" i="9"/>
  <c r="S31" i="9"/>
  <c r="E31" i="9"/>
  <c r="AB34" i="9"/>
  <c r="Y34" i="9"/>
  <c r="S34" i="9"/>
  <c r="E34" i="9"/>
  <c r="AB33" i="9"/>
  <c r="Y33" i="9"/>
  <c r="S33" i="9"/>
  <c r="E33" i="9"/>
  <c r="AB28" i="9"/>
  <c r="Y28" i="9"/>
  <c r="S28" i="9"/>
  <c r="E28" i="9"/>
  <c r="AB27" i="9"/>
  <c r="Y27" i="9"/>
  <c r="S27" i="9"/>
  <c r="E27" i="9"/>
  <c r="AB30" i="9"/>
  <c r="Y30" i="9"/>
  <c r="S30" i="9"/>
  <c r="E30" i="9"/>
  <c r="AB29" i="9"/>
  <c r="Y29" i="9"/>
  <c r="S29" i="9"/>
  <c r="T29" i="9" s="1"/>
  <c r="E29" i="9"/>
  <c r="AB24" i="9"/>
  <c r="Y24" i="9"/>
  <c r="S24" i="9"/>
  <c r="E24" i="9"/>
  <c r="AB23" i="9"/>
  <c r="Y23" i="9"/>
  <c r="S23" i="9"/>
  <c r="E23" i="9"/>
  <c r="AB26" i="9"/>
  <c r="Y26" i="9"/>
  <c r="E26" i="9"/>
  <c r="AB25" i="9"/>
  <c r="Y25" i="9"/>
  <c r="S25" i="9"/>
  <c r="E25" i="9"/>
  <c r="AB20" i="9"/>
  <c r="Y20" i="9"/>
  <c r="S20" i="9"/>
  <c r="E20" i="9"/>
  <c r="AB19" i="9"/>
  <c r="Y19" i="9"/>
  <c r="S19" i="9"/>
  <c r="E19" i="9"/>
  <c r="AB22" i="9"/>
  <c r="Y22" i="9"/>
  <c r="S22" i="9"/>
  <c r="E22" i="9"/>
  <c r="AB21" i="9"/>
  <c r="Y21" i="9"/>
  <c r="S21" i="9"/>
  <c r="E21" i="9"/>
  <c r="AB116" i="9"/>
  <c r="Y116" i="9"/>
  <c r="S116" i="9"/>
  <c r="E116" i="9"/>
  <c r="AB115" i="9"/>
  <c r="Y115" i="9"/>
  <c r="S115" i="9"/>
  <c r="E115" i="9"/>
  <c r="AB118" i="9"/>
  <c r="Y118" i="9"/>
  <c r="S118" i="9"/>
  <c r="E118" i="9"/>
  <c r="AB117" i="9"/>
  <c r="Y117" i="9"/>
  <c r="S117" i="9"/>
  <c r="E117" i="9"/>
  <c r="AB92" i="9"/>
  <c r="Y92" i="9"/>
  <c r="S92" i="9"/>
  <c r="E92" i="9"/>
  <c r="AB91" i="9"/>
  <c r="Y91" i="9"/>
  <c r="S91" i="9"/>
  <c r="E91" i="9"/>
  <c r="AB94" i="9"/>
  <c r="Y94" i="9"/>
  <c r="S94" i="9"/>
  <c r="E94" i="9"/>
  <c r="AB93" i="9"/>
  <c r="Y93" i="9"/>
  <c r="S93" i="9"/>
  <c r="E93" i="9"/>
  <c r="AB84" i="9"/>
  <c r="Y84" i="9"/>
  <c r="S84" i="9"/>
  <c r="E84" i="9"/>
  <c r="AB83" i="9"/>
  <c r="Y83" i="9"/>
  <c r="S83" i="9"/>
  <c r="E83" i="9"/>
  <c r="AB86" i="9"/>
  <c r="Y86" i="9"/>
  <c r="S86" i="9"/>
  <c r="E86" i="9"/>
  <c r="AB85" i="9"/>
  <c r="Y85" i="9"/>
  <c r="S85" i="9"/>
  <c r="E85" i="9"/>
  <c r="AB56" i="9"/>
  <c r="Y56" i="9"/>
  <c r="S56" i="9"/>
  <c r="E56" i="9"/>
  <c r="AB55" i="9"/>
  <c r="Y55" i="9"/>
  <c r="S55" i="9"/>
  <c r="E55" i="9"/>
  <c r="AB58" i="9"/>
  <c r="Y58" i="9"/>
  <c r="S58" i="9"/>
  <c r="E58" i="9"/>
  <c r="AB57" i="9"/>
  <c r="Y57" i="9"/>
  <c r="S57" i="9"/>
  <c r="E57" i="9"/>
  <c r="AB48" i="9"/>
  <c r="Y48" i="9"/>
  <c r="S48" i="9"/>
  <c r="E48" i="9"/>
  <c r="AB47" i="9"/>
  <c r="Y47" i="9"/>
  <c r="S47" i="9"/>
  <c r="E47" i="9"/>
  <c r="AB50" i="9"/>
  <c r="Y50" i="9"/>
  <c r="S50" i="9"/>
  <c r="E50" i="9"/>
  <c r="AB49" i="9"/>
  <c r="Y49" i="9"/>
  <c r="S49" i="9"/>
  <c r="E49" i="9"/>
  <c r="AB36" i="9"/>
  <c r="Y36" i="9"/>
  <c r="S36" i="9"/>
  <c r="E36" i="9"/>
  <c r="AB35" i="9"/>
  <c r="Y35" i="9"/>
  <c r="S35" i="9"/>
  <c r="E35" i="9"/>
  <c r="AB38" i="9"/>
  <c r="Y38" i="9"/>
  <c r="S38" i="9"/>
  <c r="E38" i="9"/>
  <c r="AB37" i="9"/>
  <c r="Y37" i="9"/>
  <c r="S37" i="9"/>
  <c r="E37" i="9"/>
  <c r="AB120" i="9"/>
  <c r="Y120" i="9"/>
  <c r="S120" i="9"/>
  <c r="E120" i="9"/>
  <c r="AB119" i="9"/>
  <c r="Y119" i="9"/>
  <c r="S119" i="9"/>
  <c r="E119" i="9"/>
  <c r="AB122" i="9"/>
  <c r="Y122" i="9"/>
  <c r="S122" i="9"/>
  <c r="E122" i="9"/>
  <c r="AB121" i="9"/>
  <c r="Y121" i="9"/>
  <c r="S121" i="9"/>
  <c r="E121" i="9"/>
  <c r="AB108" i="9"/>
  <c r="Y108" i="9"/>
  <c r="S108" i="9"/>
  <c r="E108" i="9"/>
  <c r="AB107" i="9"/>
  <c r="Y107" i="9"/>
  <c r="S107" i="9"/>
  <c r="E107" i="9"/>
  <c r="AB110" i="9"/>
  <c r="Y110" i="9"/>
  <c r="S110" i="9"/>
  <c r="E110" i="9"/>
  <c r="AB109" i="9"/>
  <c r="Y109" i="9"/>
  <c r="S109" i="9"/>
  <c r="E109" i="9"/>
  <c r="AB104" i="9"/>
  <c r="Y104" i="9"/>
  <c r="S104" i="9"/>
  <c r="E104" i="9"/>
  <c r="AB103" i="9"/>
  <c r="Y103" i="9"/>
  <c r="S103" i="9"/>
  <c r="E103" i="9"/>
  <c r="AB106" i="9"/>
  <c r="Y106" i="9"/>
  <c r="S106" i="9"/>
  <c r="E106" i="9"/>
  <c r="AB105" i="9"/>
  <c r="Y105" i="9"/>
  <c r="S105" i="9"/>
  <c r="E105" i="9"/>
  <c r="E96" i="9"/>
  <c r="AB95" i="9"/>
  <c r="Y95" i="9"/>
  <c r="S95" i="9"/>
  <c r="E95" i="9"/>
  <c r="E98" i="9"/>
  <c r="E97" i="9"/>
  <c r="AB72" i="9"/>
  <c r="Y72" i="9"/>
  <c r="S72" i="9"/>
  <c r="E72" i="9"/>
  <c r="AB71" i="9"/>
  <c r="Y71" i="9"/>
  <c r="S71" i="9"/>
  <c r="E71" i="9"/>
  <c r="AB74" i="9"/>
  <c r="Y74" i="9"/>
  <c r="S74" i="9"/>
  <c r="E74" i="9"/>
  <c r="AB73" i="9"/>
  <c r="Y73" i="9"/>
  <c r="S73" i="9"/>
  <c r="E73" i="9"/>
  <c r="AB60" i="9"/>
  <c r="Y60" i="9"/>
  <c r="S60" i="9"/>
  <c r="E60" i="9"/>
  <c r="AB59" i="9"/>
  <c r="Y59" i="9"/>
  <c r="S59" i="9"/>
  <c r="E59" i="9"/>
  <c r="AB62" i="9"/>
  <c r="Y62" i="9"/>
  <c r="S62" i="9"/>
  <c r="E62" i="9"/>
  <c r="AB61" i="9"/>
  <c r="Y61" i="9"/>
  <c r="S61" i="9"/>
  <c r="E61" i="9"/>
  <c r="AB52" i="9"/>
  <c r="Y52" i="9"/>
  <c r="S52" i="9"/>
  <c r="E52" i="9"/>
  <c r="AB51" i="9"/>
  <c r="Y51" i="9"/>
  <c r="S51" i="9"/>
  <c r="E51" i="9"/>
  <c r="AB54" i="9"/>
  <c r="Y54" i="9"/>
  <c r="S54" i="9"/>
  <c r="E54" i="9"/>
  <c r="AB53" i="9"/>
  <c r="Y53" i="9"/>
  <c r="S53" i="9"/>
  <c r="E53" i="9"/>
  <c r="AB44" i="9"/>
  <c r="Y44" i="9"/>
  <c r="S44" i="9"/>
  <c r="E44" i="9"/>
  <c r="AB43" i="9"/>
  <c r="Y43" i="9"/>
  <c r="S43" i="9"/>
  <c r="E43" i="9"/>
  <c r="AB46" i="9"/>
  <c r="Y46" i="9"/>
  <c r="S46" i="9"/>
  <c r="E46" i="9"/>
  <c r="AB45" i="9"/>
  <c r="Y45" i="9"/>
  <c r="S45" i="9"/>
  <c r="E45" i="9"/>
  <c r="AB40" i="9"/>
  <c r="Y40" i="9"/>
  <c r="S40" i="9"/>
  <c r="E40" i="9"/>
  <c r="AB39" i="9"/>
  <c r="Y39" i="9"/>
  <c r="S39" i="9"/>
  <c r="E39" i="9"/>
  <c r="AB42" i="9"/>
  <c r="Y42" i="9"/>
  <c r="S42" i="9"/>
  <c r="E42" i="9"/>
  <c r="AB41" i="9"/>
  <c r="Y41" i="9"/>
  <c r="S41" i="9"/>
  <c r="E41" i="9"/>
  <c r="R4" i="9"/>
  <c r="Q4" i="9"/>
  <c r="P4" i="9"/>
  <c r="L16" i="6"/>
  <c r="K16" i="6"/>
  <c r="E16" i="6"/>
  <c r="L15" i="6"/>
  <c r="K15" i="6"/>
  <c r="E15" i="6"/>
  <c r="L74" i="6"/>
  <c r="K74" i="6"/>
  <c r="E74" i="6"/>
  <c r="L73" i="6"/>
  <c r="K73" i="6"/>
  <c r="E73" i="6"/>
  <c r="L72" i="6"/>
  <c r="K72" i="6"/>
  <c r="E72" i="6"/>
  <c r="L71" i="6"/>
  <c r="K71" i="6"/>
  <c r="E71" i="6"/>
  <c r="L64" i="6"/>
  <c r="K64" i="6"/>
  <c r="E64" i="6"/>
  <c r="L63" i="6"/>
  <c r="K63" i="6"/>
  <c r="E63" i="6"/>
  <c r="K58" i="6"/>
  <c r="E58" i="6"/>
  <c r="K57" i="6"/>
  <c r="E57" i="6"/>
  <c r="L52" i="6"/>
  <c r="K52" i="6"/>
  <c r="E52" i="6"/>
  <c r="L51" i="6"/>
  <c r="K51" i="6"/>
  <c r="E51" i="6"/>
  <c r="L48" i="6"/>
  <c r="K48" i="6"/>
  <c r="E48" i="6"/>
  <c r="L47" i="6"/>
  <c r="K47" i="6"/>
  <c r="E47" i="6"/>
  <c r="L46" i="6"/>
  <c r="K46" i="6"/>
  <c r="E46" i="6"/>
  <c r="L45" i="6"/>
  <c r="K45" i="6"/>
  <c r="E45" i="6"/>
  <c r="L42" i="6"/>
  <c r="K42" i="6"/>
  <c r="E42" i="6"/>
  <c r="L41" i="6"/>
  <c r="K41" i="6"/>
  <c r="E41" i="6"/>
  <c r="L40" i="6"/>
  <c r="K40" i="6"/>
  <c r="E40" i="6"/>
  <c r="L39" i="6"/>
  <c r="K39" i="6"/>
  <c r="E39" i="6"/>
  <c r="L24" i="6"/>
  <c r="K24" i="6"/>
  <c r="E24" i="6"/>
  <c r="L23" i="6"/>
  <c r="K23" i="6"/>
  <c r="E23" i="6"/>
  <c r="L22" i="6"/>
  <c r="K22" i="6"/>
  <c r="E22" i="6"/>
  <c r="L21" i="6"/>
  <c r="K21" i="6"/>
  <c r="E21" i="6"/>
  <c r="L20" i="6"/>
  <c r="K20" i="6"/>
  <c r="E20" i="6"/>
  <c r="L19" i="6"/>
  <c r="K19" i="6"/>
  <c r="E19" i="6"/>
  <c r="L18" i="6"/>
  <c r="K18" i="6"/>
  <c r="E18" i="6"/>
  <c r="L17" i="6"/>
  <c r="K17" i="6"/>
  <c r="E17" i="6"/>
  <c r="L68" i="6"/>
  <c r="K68" i="6"/>
  <c r="E68" i="6"/>
  <c r="L67" i="6"/>
  <c r="K67" i="6"/>
  <c r="E67" i="6"/>
  <c r="E54" i="6"/>
  <c r="E53" i="6"/>
  <c r="L50" i="6"/>
  <c r="K50" i="6"/>
  <c r="E50" i="6"/>
  <c r="L49" i="6"/>
  <c r="K49" i="6"/>
  <c r="E49" i="6"/>
  <c r="L36" i="6"/>
  <c r="K36" i="6"/>
  <c r="E36" i="6"/>
  <c r="L35" i="6"/>
  <c r="K35" i="6"/>
  <c r="E35" i="6"/>
  <c r="L32" i="6"/>
  <c r="K32" i="6"/>
  <c r="E32" i="6"/>
  <c r="L31" i="6"/>
  <c r="K31" i="6"/>
  <c r="E31" i="6"/>
  <c r="L26" i="6"/>
  <c r="K26" i="6"/>
  <c r="E26" i="6"/>
  <c r="L25" i="6"/>
  <c r="K25" i="6"/>
  <c r="E25" i="6"/>
  <c r="L70" i="6"/>
  <c r="K70" i="6"/>
  <c r="E70" i="6"/>
  <c r="L69" i="6"/>
  <c r="K69" i="6"/>
  <c r="E69" i="6"/>
  <c r="L66" i="6"/>
  <c r="K66" i="6"/>
  <c r="E66" i="6"/>
  <c r="L65" i="6"/>
  <c r="K65" i="6"/>
  <c r="E65" i="6"/>
  <c r="L62" i="6"/>
  <c r="K62" i="6"/>
  <c r="E62" i="6"/>
  <c r="L61" i="6"/>
  <c r="K61" i="6"/>
  <c r="E61" i="6"/>
  <c r="K60" i="6"/>
  <c r="E60" i="6"/>
  <c r="K59" i="6"/>
  <c r="E59" i="6"/>
  <c r="E56" i="6"/>
  <c r="E55" i="6"/>
  <c r="L44" i="6"/>
  <c r="K44" i="6"/>
  <c r="E44" i="6"/>
  <c r="L43" i="6"/>
  <c r="K43" i="6"/>
  <c r="E43" i="6"/>
  <c r="L38" i="6"/>
  <c r="K38" i="6"/>
  <c r="E38" i="6"/>
  <c r="L37" i="6"/>
  <c r="K37" i="6"/>
  <c r="E37" i="6"/>
  <c r="L34" i="6"/>
  <c r="K34" i="6"/>
  <c r="E34" i="6"/>
  <c r="L33" i="6"/>
  <c r="K33" i="6"/>
  <c r="E33" i="6"/>
  <c r="L30" i="6"/>
  <c r="K30" i="6"/>
  <c r="E30" i="6"/>
  <c r="L29" i="6"/>
  <c r="K29" i="6"/>
  <c r="E29" i="6"/>
  <c r="L28" i="6"/>
  <c r="K28" i="6"/>
  <c r="E28" i="6"/>
  <c r="L27" i="6"/>
  <c r="K27" i="6"/>
  <c r="E27" i="6"/>
  <c r="G4" i="6"/>
  <c r="F4" i="6"/>
  <c r="AY26" i="12"/>
  <c r="AZ26" i="12" s="1"/>
  <c r="AQ26" i="12"/>
  <c r="AP26" i="12"/>
  <c r="I26" i="12"/>
  <c r="H26" i="12"/>
  <c r="F26" i="12"/>
  <c r="E26" i="12"/>
  <c r="AY25" i="12"/>
  <c r="AZ25" i="12" s="1"/>
  <c r="AS25" i="12"/>
  <c r="K25" i="12"/>
  <c r="F25" i="12"/>
  <c r="E25" i="12"/>
  <c r="AY24" i="12"/>
  <c r="AZ24" i="12" s="1"/>
  <c r="AQ24" i="12"/>
  <c r="AP24" i="12"/>
  <c r="I24" i="12"/>
  <c r="H24" i="12"/>
  <c r="F24" i="12"/>
  <c r="E24" i="12"/>
  <c r="AY23" i="12"/>
  <c r="AZ23" i="12" s="1"/>
  <c r="AS23" i="12"/>
  <c r="K23" i="12"/>
  <c r="F23" i="12"/>
  <c r="E23" i="12"/>
  <c r="AY22" i="12"/>
  <c r="AZ22" i="12" s="1"/>
  <c r="AQ22" i="12"/>
  <c r="AP22" i="12"/>
  <c r="I22" i="12"/>
  <c r="H22" i="12"/>
  <c r="F22" i="12"/>
  <c r="E22" i="12"/>
  <c r="AY21" i="12"/>
  <c r="AZ21" i="12" s="1"/>
  <c r="AS21" i="12"/>
  <c r="K21" i="12"/>
  <c r="F21" i="12"/>
  <c r="E21" i="12"/>
  <c r="AY20" i="12"/>
  <c r="AZ20" i="12" s="1"/>
  <c r="AQ20" i="12"/>
  <c r="AP20" i="12"/>
  <c r="I20" i="12"/>
  <c r="H20" i="12"/>
  <c r="F20" i="12"/>
  <c r="E20" i="12"/>
  <c r="AY19" i="12"/>
  <c r="AZ19" i="12" s="1"/>
  <c r="AS19" i="12"/>
  <c r="K19" i="12"/>
  <c r="F19" i="12"/>
  <c r="E19" i="12"/>
  <c r="BA18" i="12"/>
  <c r="AZ18" i="12"/>
  <c r="AY18" i="12"/>
  <c r="AT18" i="12"/>
  <c r="AS18" i="12"/>
  <c r="AQ18" i="12"/>
  <c r="AP18" i="12"/>
  <c r="K18" i="12"/>
  <c r="I18" i="12"/>
  <c r="H18" i="12"/>
  <c r="F18" i="12"/>
  <c r="E18" i="12"/>
  <c r="BA17" i="12"/>
  <c r="AZ17" i="12"/>
  <c r="AY17" i="12"/>
  <c r="AT17" i="12"/>
  <c r="AS17" i="12"/>
  <c r="K17" i="12"/>
  <c r="F17" i="12"/>
  <c r="E17" i="12"/>
  <c r="BA16" i="12"/>
  <c r="AZ16" i="12"/>
  <c r="AY16" i="12"/>
  <c r="AT16" i="12"/>
  <c r="AS16" i="12"/>
  <c r="AQ16" i="12"/>
  <c r="AP16" i="12"/>
  <c r="K16" i="12"/>
  <c r="I16" i="12"/>
  <c r="H16" i="12"/>
  <c r="F16" i="12"/>
  <c r="E16" i="12"/>
  <c r="BA15" i="12"/>
  <c r="AZ15" i="12"/>
  <c r="AY15" i="12"/>
  <c r="AT15" i="12"/>
  <c r="AS15" i="12"/>
  <c r="AQ15" i="12"/>
  <c r="AP15" i="12"/>
  <c r="K15" i="12"/>
  <c r="I15" i="12"/>
  <c r="H15" i="12"/>
  <c r="F15" i="12"/>
  <c r="E15" i="12"/>
  <c r="AY362" i="12"/>
  <c r="AZ362" i="12" s="1"/>
  <c r="AQ362" i="12"/>
  <c r="AP362" i="12"/>
  <c r="I362" i="12"/>
  <c r="H362" i="12"/>
  <c r="E362" i="12"/>
  <c r="AY361" i="12"/>
  <c r="AZ361" i="12" s="1"/>
  <c r="AS361" i="12"/>
  <c r="K361" i="12"/>
  <c r="E361" i="12"/>
  <c r="AZ360" i="12"/>
  <c r="AQ360" i="12"/>
  <c r="AP360" i="12"/>
  <c r="I360" i="12"/>
  <c r="H360" i="12"/>
  <c r="E360" i="12"/>
  <c r="AZ359" i="12"/>
  <c r="AS359" i="12"/>
  <c r="K359" i="12"/>
  <c r="E359" i="12"/>
  <c r="AZ358" i="12"/>
  <c r="AQ358" i="12"/>
  <c r="AP358" i="12"/>
  <c r="I358" i="12"/>
  <c r="H358" i="12"/>
  <c r="E358" i="12"/>
  <c r="AZ357" i="12"/>
  <c r="AS357" i="12"/>
  <c r="K357" i="12"/>
  <c r="E357" i="12"/>
  <c r="AZ356" i="12"/>
  <c r="AQ356" i="12"/>
  <c r="AP356" i="12"/>
  <c r="I356" i="12"/>
  <c r="H356" i="12"/>
  <c r="E356" i="12"/>
  <c r="AZ355" i="12"/>
  <c r="AS355" i="12"/>
  <c r="K355" i="12"/>
  <c r="E355" i="12"/>
  <c r="BA354" i="12"/>
  <c r="AZ354" i="12"/>
  <c r="AY354" i="12"/>
  <c r="AT354" i="12"/>
  <c r="AS354" i="12"/>
  <c r="AQ354" i="12"/>
  <c r="AP354" i="12"/>
  <c r="K354" i="12"/>
  <c r="I354" i="12"/>
  <c r="H354" i="12"/>
  <c r="E354" i="12"/>
  <c r="BA353" i="12"/>
  <c r="AY353" i="12"/>
  <c r="AZ353" i="12" s="1"/>
  <c r="AT353" i="12"/>
  <c r="AS353" i="12"/>
  <c r="K353" i="12"/>
  <c r="E353" i="12"/>
  <c r="BA352" i="12"/>
  <c r="AZ352" i="12"/>
  <c r="AY352" i="12"/>
  <c r="AT352" i="12"/>
  <c r="AS352" i="12"/>
  <c r="AQ352" i="12"/>
  <c r="AP352" i="12"/>
  <c r="K352" i="12"/>
  <c r="I352" i="12"/>
  <c r="H352" i="12"/>
  <c r="E352" i="12"/>
  <c r="BA351" i="12"/>
  <c r="AZ351" i="12"/>
  <c r="AY351" i="12"/>
  <c r="AT351" i="12"/>
  <c r="AS351" i="12"/>
  <c r="AQ351" i="12"/>
  <c r="AP351" i="12"/>
  <c r="K351" i="12"/>
  <c r="I351" i="12"/>
  <c r="H351" i="12"/>
  <c r="E351" i="12"/>
  <c r="AY350" i="12"/>
  <c r="AZ350" i="12" s="1"/>
  <c r="AQ350" i="12"/>
  <c r="AP350" i="12"/>
  <c r="I350" i="12"/>
  <c r="H350" i="12"/>
  <c r="E350" i="12"/>
  <c r="AY349" i="12"/>
  <c r="AZ349" i="12" s="1"/>
  <c r="AS349" i="12"/>
  <c r="K349" i="12"/>
  <c r="E349" i="12"/>
  <c r="AZ348" i="12"/>
  <c r="AQ348" i="12"/>
  <c r="AP348" i="12"/>
  <c r="I348" i="12"/>
  <c r="H348" i="12"/>
  <c r="E348" i="12"/>
  <c r="AZ347" i="12"/>
  <c r="AS347" i="12"/>
  <c r="K347" i="12"/>
  <c r="E347" i="12"/>
  <c r="AZ346" i="12"/>
  <c r="AQ346" i="12"/>
  <c r="AP346" i="12"/>
  <c r="I346" i="12"/>
  <c r="H346" i="12"/>
  <c r="E346" i="12"/>
  <c r="AZ345" i="12"/>
  <c r="AS345" i="12"/>
  <c r="K345" i="12"/>
  <c r="E345" i="12"/>
  <c r="AZ344" i="12"/>
  <c r="AQ344" i="12"/>
  <c r="AP344" i="12"/>
  <c r="I344" i="12"/>
  <c r="H344" i="12"/>
  <c r="E344" i="12"/>
  <c r="AZ343" i="12"/>
  <c r="AS343" i="12"/>
  <c r="K343" i="12"/>
  <c r="E343" i="12"/>
  <c r="BA342" i="12"/>
  <c r="AZ342" i="12"/>
  <c r="AY342" i="12"/>
  <c r="AT342" i="12"/>
  <c r="AS342" i="12"/>
  <c r="AQ342" i="12"/>
  <c r="AP342" i="12"/>
  <c r="K342" i="12"/>
  <c r="I342" i="12"/>
  <c r="H342" i="12"/>
  <c r="E342" i="12"/>
  <c r="BA341" i="12"/>
  <c r="AZ341" i="12"/>
  <c r="AY341" i="12"/>
  <c r="AT341" i="12"/>
  <c r="AS341" i="12"/>
  <c r="K341" i="12"/>
  <c r="E341" i="12"/>
  <c r="BA340" i="12"/>
  <c r="AZ340" i="12"/>
  <c r="AY340" i="12"/>
  <c r="AT340" i="12"/>
  <c r="AS340" i="12"/>
  <c r="AQ340" i="12"/>
  <c r="AP340" i="12"/>
  <c r="K340" i="12"/>
  <c r="I340" i="12"/>
  <c r="H340" i="12"/>
  <c r="E340" i="12"/>
  <c r="BA339" i="12"/>
  <c r="AZ339" i="12"/>
  <c r="AY339" i="12"/>
  <c r="AT339" i="12"/>
  <c r="AS339" i="12"/>
  <c r="AQ339" i="12"/>
  <c r="AP339" i="12"/>
  <c r="K339" i="12"/>
  <c r="I339" i="12"/>
  <c r="H339" i="12"/>
  <c r="E339" i="12"/>
  <c r="AY314" i="12"/>
  <c r="AZ314" i="12" s="1"/>
  <c r="AQ314" i="12"/>
  <c r="AP314" i="12"/>
  <c r="I314" i="12"/>
  <c r="H314" i="12"/>
  <c r="E314" i="12"/>
  <c r="AY313" i="12"/>
  <c r="AZ313" i="12" s="1"/>
  <c r="AS313" i="12"/>
  <c r="K313" i="12"/>
  <c r="E313" i="12"/>
  <c r="AZ312" i="12"/>
  <c r="AQ312" i="12"/>
  <c r="AP312" i="12"/>
  <c r="I312" i="12"/>
  <c r="H312" i="12"/>
  <c r="E312" i="12"/>
  <c r="AZ311" i="12"/>
  <c r="AS311" i="12"/>
  <c r="K311" i="12"/>
  <c r="E311" i="12"/>
  <c r="AZ310" i="12"/>
  <c r="AQ310" i="12"/>
  <c r="AP310" i="12"/>
  <c r="I310" i="12"/>
  <c r="H310" i="12"/>
  <c r="E310" i="12"/>
  <c r="AZ309" i="12"/>
  <c r="AS309" i="12"/>
  <c r="K309" i="12"/>
  <c r="E309" i="12"/>
  <c r="AZ308" i="12"/>
  <c r="AQ308" i="12"/>
  <c r="AP308" i="12"/>
  <c r="I308" i="12"/>
  <c r="H308" i="12"/>
  <c r="E308" i="12"/>
  <c r="AZ307" i="12"/>
  <c r="AS307" i="12"/>
  <c r="K307" i="12"/>
  <c r="E307" i="12"/>
  <c r="BA306" i="12"/>
  <c r="AZ306" i="12"/>
  <c r="AY306" i="12"/>
  <c r="AT306" i="12"/>
  <c r="AS306" i="12"/>
  <c r="AQ306" i="12"/>
  <c r="AP306" i="12"/>
  <c r="K306" i="12"/>
  <c r="I306" i="12"/>
  <c r="H306" i="12"/>
  <c r="E306" i="12"/>
  <c r="BA305" i="12"/>
  <c r="AY305" i="12"/>
  <c r="AZ305" i="12" s="1"/>
  <c r="AT305" i="12"/>
  <c r="AS305" i="12"/>
  <c r="K305" i="12"/>
  <c r="E305" i="12"/>
  <c r="BA304" i="12"/>
  <c r="AZ304" i="12"/>
  <c r="AY304" i="12"/>
  <c r="AT304" i="12"/>
  <c r="AS304" i="12"/>
  <c r="AQ304" i="12"/>
  <c r="AP304" i="12"/>
  <c r="K304" i="12"/>
  <c r="I304" i="12"/>
  <c r="H304" i="12"/>
  <c r="E304" i="12"/>
  <c r="BA303" i="12"/>
  <c r="AZ303" i="12"/>
  <c r="AY303" i="12"/>
  <c r="AT303" i="12"/>
  <c r="AS303" i="12"/>
  <c r="AQ303" i="12"/>
  <c r="AP303" i="12"/>
  <c r="K303" i="12"/>
  <c r="I303" i="12"/>
  <c r="H303" i="12"/>
  <c r="E303" i="12"/>
  <c r="AY278" i="12"/>
  <c r="AZ278" i="12" s="1"/>
  <c r="AQ278" i="12"/>
  <c r="AP278" i="12"/>
  <c r="I278" i="12"/>
  <c r="H278" i="12"/>
  <c r="E278" i="12"/>
  <c r="AY277" i="12"/>
  <c r="AZ277" i="12" s="1"/>
  <c r="AS277" i="12"/>
  <c r="K277" i="12"/>
  <c r="E277" i="12"/>
  <c r="AZ276" i="12"/>
  <c r="AQ276" i="12"/>
  <c r="AP276" i="12"/>
  <c r="I276" i="12"/>
  <c r="H276" i="12"/>
  <c r="E276" i="12"/>
  <c r="AZ275" i="12"/>
  <c r="AS275" i="12"/>
  <c r="K275" i="12"/>
  <c r="E275" i="12"/>
  <c r="AZ274" i="12"/>
  <c r="AQ274" i="12"/>
  <c r="AP274" i="12"/>
  <c r="I274" i="12"/>
  <c r="H274" i="12"/>
  <c r="E274" i="12"/>
  <c r="AZ273" i="12"/>
  <c r="AS273" i="12"/>
  <c r="K273" i="12"/>
  <c r="E273" i="12"/>
  <c r="AZ272" i="12"/>
  <c r="AQ272" i="12"/>
  <c r="AP272" i="12"/>
  <c r="I272" i="12"/>
  <c r="H272" i="12"/>
  <c r="E272" i="12"/>
  <c r="AZ271" i="12"/>
  <c r="AS271" i="12"/>
  <c r="K271" i="12"/>
  <c r="E271" i="12"/>
  <c r="BA270" i="12"/>
  <c r="AZ270" i="12"/>
  <c r="AY270" i="12"/>
  <c r="AT270" i="12"/>
  <c r="AS270" i="12"/>
  <c r="AQ270" i="12"/>
  <c r="AP270" i="12"/>
  <c r="K270" i="12"/>
  <c r="I270" i="12"/>
  <c r="H270" i="12"/>
  <c r="E270" i="12"/>
  <c r="BA269" i="12"/>
  <c r="AZ269" i="12"/>
  <c r="AY269" i="12"/>
  <c r="AT269" i="12"/>
  <c r="AS269" i="12"/>
  <c r="K269" i="12"/>
  <c r="E269" i="12"/>
  <c r="BA268" i="12"/>
  <c r="AZ268" i="12"/>
  <c r="AY268" i="12"/>
  <c r="AT268" i="12"/>
  <c r="AS268" i="12"/>
  <c r="AQ268" i="12"/>
  <c r="AP268" i="12"/>
  <c r="K268" i="12"/>
  <c r="I268" i="12"/>
  <c r="H268" i="12"/>
  <c r="E268" i="12"/>
  <c r="BA267" i="12"/>
  <c r="AZ267" i="12"/>
  <c r="AY267" i="12"/>
  <c r="AT267" i="12"/>
  <c r="AS267" i="12"/>
  <c r="AQ267" i="12"/>
  <c r="AP267" i="12"/>
  <c r="K267" i="12"/>
  <c r="I267" i="12"/>
  <c r="H267" i="12"/>
  <c r="E267" i="12"/>
  <c r="AY242" i="12"/>
  <c r="AZ242" i="12" s="1"/>
  <c r="AQ242" i="12"/>
  <c r="AP242" i="12"/>
  <c r="I242" i="12"/>
  <c r="H242" i="12"/>
  <c r="E242" i="12"/>
  <c r="AY241" i="12"/>
  <c r="AZ241" i="12" s="1"/>
  <c r="AS241" i="12"/>
  <c r="K241" i="12"/>
  <c r="E241" i="12"/>
  <c r="AZ240" i="12"/>
  <c r="AQ240" i="12"/>
  <c r="AP240" i="12"/>
  <c r="I240" i="12"/>
  <c r="H240" i="12"/>
  <c r="E240" i="12"/>
  <c r="AZ239" i="12"/>
  <c r="AS239" i="12"/>
  <c r="K239" i="12"/>
  <c r="E239" i="12"/>
  <c r="AZ238" i="12"/>
  <c r="AQ238" i="12"/>
  <c r="AP238" i="12"/>
  <c r="I238" i="12"/>
  <c r="H238" i="12"/>
  <c r="E238" i="12"/>
  <c r="AZ237" i="12"/>
  <c r="AS237" i="12"/>
  <c r="K237" i="12"/>
  <c r="E237" i="12"/>
  <c r="AZ236" i="12"/>
  <c r="AQ236" i="12"/>
  <c r="AP236" i="12"/>
  <c r="I236" i="12"/>
  <c r="H236" i="12"/>
  <c r="E236" i="12"/>
  <c r="AZ235" i="12"/>
  <c r="AS235" i="12"/>
  <c r="K235" i="12"/>
  <c r="E235" i="12"/>
  <c r="BA234" i="12"/>
  <c r="AZ234" i="12"/>
  <c r="AY234" i="12"/>
  <c r="AT234" i="12"/>
  <c r="AS234" i="12"/>
  <c r="AQ234" i="12"/>
  <c r="AP234" i="12"/>
  <c r="K234" i="12"/>
  <c r="I234" i="12"/>
  <c r="H234" i="12"/>
  <c r="E234" i="12"/>
  <c r="BA233" i="12"/>
  <c r="AZ233" i="12"/>
  <c r="AY233" i="12"/>
  <c r="AT233" i="12"/>
  <c r="AS233" i="12"/>
  <c r="K233" i="12"/>
  <c r="E233" i="12"/>
  <c r="BA232" i="12"/>
  <c r="AZ232" i="12"/>
  <c r="AY232" i="12"/>
  <c r="AT232" i="12"/>
  <c r="AS232" i="12"/>
  <c r="AQ232" i="12"/>
  <c r="AP232" i="12"/>
  <c r="K232" i="12"/>
  <c r="I232" i="12"/>
  <c r="H232" i="12"/>
  <c r="E232" i="12"/>
  <c r="BA231" i="12"/>
  <c r="AZ231" i="12"/>
  <c r="AY231" i="12"/>
  <c r="AT231" i="12"/>
  <c r="AS231" i="12"/>
  <c r="AQ231" i="12"/>
  <c r="AP231" i="12"/>
  <c r="K231" i="12"/>
  <c r="I231" i="12"/>
  <c r="H231" i="12"/>
  <c r="E231" i="12"/>
  <c r="AY218" i="12"/>
  <c r="AZ218" i="12" s="1"/>
  <c r="AQ218" i="12"/>
  <c r="AP218" i="12"/>
  <c r="I218" i="12"/>
  <c r="H218" i="12"/>
  <c r="E218" i="12"/>
  <c r="AY217" i="12"/>
  <c r="AZ217" i="12" s="1"/>
  <c r="AS217" i="12"/>
  <c r="K217" i="12"/>
  <c r="E217" i="12"/>
  <c r="AZ216" i="12"/>
  <c r="AQ216" i="12"/>
  <c r="AP216" i="12"/>
  <c r="I216" i="12"/>
  <c r="H216" i="12"/>
  <c r="E216" i="12"/>
  <c r="AZ215" i="12"/>
  <c r="AS215" i="12"/>
  <c r="K215" i="12"/>
  <c r="E215" i="12"/>
  <c r="AZ214" i="12"/>
  <c r="AQ214" i="12"/>
  <c r="AP214" i="12"/>
  <c r="I214" i="12"/>
  <c r="H214" i="12"/>
  <c r="E214" i="12"/>
  <c r="AZ213" i="12"/>
  <c r="AS213" i="12"/>
  <c r="K213" i="12"/>
  <c r="E213" i="12"/>
  <c r="AZ212" i="12"/>
  <c r="AQ212" i="12"/>
  <c r="AP212" i="12"/>
  <c r="I212" i="12"/>
  <c r="H212" i="12"/>
  <c r="E212" i="12"/>
  <c r="AZ211" i="12"/>
  <c r="AS211" i="12"/>
  <c r="K211" i="12"/>
  <c r="E211" i="12"/>
  <c r="BA210" i="12"/>
  <c r="AZ210" i="12"/>
  <c r="AY210" i="12"/>
  <c r="AT210" i="12"/>
  <c r="AS210" i="12"/>
  <c r="AQ210" i="12"/>
  <c r="AP210" i="12"/>
  <c r="K210" i="12"/>
  <c r="I210" i="12"/>
  <c r="H210" i="12"/>
  <c r="E210" i="12"/>
  <c r="BA209" i="12"/>
  <c r="AZ209" i="12"/>
  <c r="AY209" i="12"/>
  <c r="AT209" i="12"/>
  <c r="AS209" i="12"/>
  <c r="K209" i="12"/>
  <c r="E209" i="12"/>
  <c r="BA208" i="12"/>
  <c r="AZ208" i="12"/>
  <c r="AY208" i="12"/>
  <c r="AT208" i="12"/>
  <c r="AS208" i="12"/>
  <c r="AQ208" i="12"/>
  <c r="AP208" i="12"/>
  <c r="K208" i="12"/>
  <c r="I208" i="12"/>
  <c r="H208" i="12"/>
  <c r="E208" i="12"/>
  <c r="BA207" i="12"/>
  <c r="AZ207" i="12"/>
  <c r="AY207" i="12"/>
  <c r="AT207" i="12"/>
  <c r="AS207" i="12"/>
  <c r="AQ207" i="12"/>
  <c r="AP207" i="12"/>
  <c r="K207" i="12"/>
  <c r="I207" i="12"/>
  <c r="H207" i="12"/>
  <c r="E207" i="12"/>
  <c r="AY206" i="12"/>
  <c r="AZ206" i="12" s="1"/>
  <c r="AQ206" i="12"/>
  <c r="AP206" i="12"/>
  <c r="I206" i="12"/>
  <c r="H206" i="12"/>
  <c r="E206" i="12"/>
  <c r="AY205" i="12"/>
  <c r="AZ205" i="12" s="1"/>
  <c r="AS205" i="12"/>
  <c r="K205" i="12"/>
  <c r="E205" i="12"/>
  <c r="AZ204" i="12"/>
  <c r="AQ204" i="12"/>
  <c r="AP204" i="12"/>
  <c r="I204" i="12"/>
  <c r="H204" i="12"/>
  <c r="E204" i="12"/>
  <c r="AZ203" i="12"/>
  <c r="AS203" i="12"/>
  <c r="K203" i="12"/>
  <c r="E203" i="12"/>
  <c r="AZ202" i="12"/>
  <c r="AQ202" i="12"/>
  <c r="AP202" i="12"/>
  <c r="I202" i="12"/>
  <c r="H202" i="12"/>
  <c r="E202" i="12"/>
  <c r="AZ201" i="12"/>
  <c r="AS201" i="12"/>
  <c r="K201" i="12"/>
  <c r="E201" i="12"/>
  <c r="AZ200" i="12"/>
  <c r="AQ200" i="12"/>
  <c r="AP200" i="12"/>
  <c r="I200" i="12"/>
  <c r="H200" i="12"/>
  <c r="E200" i="12"/>
  <c r="AZ199" i="12"/>
  <c r="AS199" i="12"/>
  <c r="K199" i="12"/>
  <c r="E199" i="12"/>
  <c r="BA198" i="12"/>
  <c r="AZ198" i="12"/>
  <c r="AY198" i="12"/>
  <c r="AT198" i="12"/>
  <c r="AS198" i="12"/>
  <c r="AQ198" i="12"/>
  <c r="AP198" i="12"/>
  <c r="K198" i="12"/>
  <c r="I198" i="12"/>
  <c r="H198" i="12"/>
  <c r="E198" i="12"/>
  <c r="BA197" i="12"/>
  <c r="AZ197" i="12"/>
  <c r="AY197" i="12"/>
  <c r="AT197" i="12"/>
  <c r="AS197" i="12"/>
  <c r="K197" i="12"/>
  <c r="E197" i="12"/>
  <c r="BA196" i="12"/>
  <c r="AZ196" i="12"/>
  <c r="AY196" i="12"/>
  <c r="AT196" i="12"/>
  <c r="AS196" i="12"/>
  <c r="AQ196" i="12"/>
  <c r="AP196" i="12"/>
  <c r="K196" i="12"/>
  <c r="I196" i="12"/>
  <c r="H196" i="12"/>
  <c r="E196" i="12"/>
  <c r="BA195" i="12"/>
  <c r="AZ195" i="12"/>
  <c r="AY195" i="12"/>
  <c r="AT195" i="12"/>
  <c r="AS195" i="12"/>
  <c r="AQ195" i="12"/>
  <c r="AP195" i="12"/>
  <c r="K195" i="12"/>
  <c r="I195" i="12"/>
  <c r="H195" i="12"/>
  <c r="E195" i="12"/>
  <c r="AY182" i="12"/>
  <c r="AZ182" i="12" s="1"/>
  <c r="AQ182" i="12"/>
  <c r="AP182" i="12"/>
  <c r="I182" i="12"/>
  <c r="H182" i="12"/>
  <c r="E182" i="12"/>
  <c r="AY181" i="12"/>
  <c r="AZ181" i="12" s="1"/>
  <c r="AS181" i="12"/>
  <c r="K181" i="12"/>
  <c r="E181" i="12"/>
  <c r="AZ180" i="12"/>
  <c r="AQ180" i="12"/>
  <c r="AP180" i="12"/>
  <c r="I180" i="12"/>
  <c r="H180" i="12"/>
  <c r="E180" i="12"/>
  <c r="AZ179" i="12"/>
  <c r="AS179" i="12"/>
  <c r="K179" i="12"/>
  <c r="E179" i="12"/>
  <c r="AZ178" i="12"/>
  <c r="AQ178" i="12"/>
  <c r="AP178" i="12"/>
  <c r="I178" i="12"/>
  <c r="H178" i="12"/>
  <c r="E178" i="12"/>
  <c r="AZ177" i="12"/>
  <c r="AS177" i="12"/>
  <c r="K177" i="12"/>
  <c r="E177" i="12"/>
  <c r="AZ176" i="12"/>
  <c r="AQ176" i="12"/>
  <c r="AP176" i="12"/>
  <c r="I176" i="12"/>
  <c r="H176" i="12"/>
  <c r="E176" i="12"/>
  <c r="AZ175" i="12"/>
  <c r="AS175" i="12"/>
  <c r="K175" i="12"/>
  <c r="E175" i="12"/>
  <c r="BA174" i="12"/>
  <c r="AZ174" i="12"/>
  <c r="AY174" i="12"/>
  <c r="AT174" i="12"/>
  <c r="AS174" i="12"/>
  <c r="AQ174" i="12"/>
  <c r="AP174" i="12"/>
  <c r="K174" i="12"/>
  <c r="I174" i="12"/>
  <c r="H174" i="12"/>
  <c r="E174" i="12"/>
  <c r="BA173" i="12"/>
  <c r="AZ173" i="12"/>
  <c r="AY173" i="12"/>
  <c r="AT173" i="12"/>
  <c r="AS173" i="12"/>
  <c r="K173" i="12"/>
  <c r="E173" i="12"/>
  <c r="BA172" i="12"/>
  <c r="AZ172" i="12"/>
  <c r="AY172" i="12"/>
  <c r="AT172" i="12"/>
  <c r="AS172" i="12"/>
  <c r="AQ172" i="12"/>
  <c r="AP172" i="12"/>
  <c r="K172" i="12"/>
  <c r="I172" i="12"/>
  <c r="H172" i="12"/>
  <c r="E172" i="12"/>
  <c r="BA171" i="12"/>
  <c r="AZ171" i="12"/>
  <c r="AY171" i="12"/>
  <c r="AT171" i="12"/>
  <c r="AS171" i="12"/>
  <c r="AQ171" i="12"/>
  <c r="AP171" i="12"/>
  <c r="K171" i="12"/>
  <c r="I171" i="12"/>
  <c r="H171" i="12"/>
  <c r="E171" i="12"/>
  <c r="AY170" i="12"/>
  <c r="AZ170" i="12" s="1"/>
  <c r="AQ170" i="12"/>
  <c r="AP170" i="12"/>
  <c r="I170" i="12"/>
  <c r="H170" i="12"/>
  <c r="E170" i="12"/>
  <c r="AY169" i="12"/>
  <c r="AZ169" i="12" s="1"/>
  <c r="AS169" i="12"/>
  <c r="K169" i="12"/>
  <c r="E169" i="12"/>
  <c r="AZ168" i="12"/>
  <c r="AQ168" i="12"/>
  <c r="AP168" i="12"/>
  <c r="I168" i="12"/>
  <c r="H168" i="12"/>
  <c r="E168" i="12"/>
  <c r="AZ167" i="12"/>
  <c r="AS167" i="12"/>
  <c r="K167" i="12"/>
  <c r="E167" i="12"/>
  <c r="AZ166" i="12"/>
  <c r="AQ166" i="12"/>
  <c r="AP166" i="12"/>
  <c r="I166" i="12"/>
  <c r="H166" i="12"/>
  <c r="E166" i="12"/>
  <c r="AZ165" i="12"/>
  <c r="AS165" i="12"/>
  <c r="K165" i="12"/>
  <c r="E165" i="12"/>
  <c r="AZ164" i="12"/>
  <c r="AQ164" i="12"/>
  <c r="AP164" i="12"/>
  <c r="I164" i="12"/>
  <c r="H164" i="12"/>
  <c r="E164" i="12"/>
  <c r="AZ163" i="12"/>
  <c r="AS163" i="12"/>
  <c r="K163" i="12"/>
  <c r="E163" i="12"/>
  <c r="BA162" i="12"/>
  <c r="AZ162" i="12"/>
  <c r="AY162" i="12"/>
  <c r="AT162" i="12"/>
  <c r="AS162" i="12"/>
  <c r="AQ162" i="12"/>
  <c r="AP162" i="12"/>
  <c r="K162" i="12"/>
  <c r="I162" i="12"/>
  <c r="H162" i="12"/>
  <c r="E162" i="12"/>
  <c r="BA161" i="12"/>
  <c r="AY161" i="12"/>
  <c r="AZ161" i="12" s="1"/>
  <c r="AT161" i="12"/>
  <c r="AS161" i="12"/>
  <c r="K161" i="12"/>
  <c r="E161" i="12"/>
  <c r="BA160" i="12"/>
  <c r="AZ160" i="12"/>
  <c r="AY160" i="12"/>
  <c r="AT160" i="12"/>
  <c r="AS160" i="12"/>
  <c r="AQ160" i="12"/>
  <c r="AP160" i="12"/>
  <c r="K160" i="12"/>
  <c r="I160" i="12"/>
  <c r="H160" i="12"/>
  <c r="E160" i="12"/>
  <c r="BA159" i="12"/>
  <c r="AZ159" i="12"/>
  <c r="AY159" i="12"/>
  <c r="AT159" i="12"/>
  <c r="AS159" i="12"/>
  <c r="AQ159" i="12"/>
  <c r="AP159" i="12"/>
  <c r="K159" i="12"/>
  <c r="I159" i="12"/>
  <c r="H159" i="12"/>
  <c r="E159" i="12"/>
  <c r="AY74" i="12"/>
  <c r="AZ74" i="12" s="1"/>
  <c r="AQ74" i="12"/>
  <c r="AP74" i="12"/>
  <c r="I74" i="12"/>
  <c r="H74" i="12"/>
  <c r="E74" i="12"/>
  <c r="AY73" i="12"/>
  <c r="AZ73" i="12" s="1"/>
  <c r="AS73" i="12"/>
  <c r="K73" i="12"/>
  <c r="E73" i="12"/>
  <c r="AZ72" i="12"/>
  <c r="AQ72" i="12"/>
  <c r="AP72" i="12"/>
  <c r="I72" i="12"/>
  <c r="H72" i="12"/>
  <c r="E72" i="12"/>
  <c r="AZ71" i="12"/>
  <c r="AS71" i="12"/>
  <c r="K71" i="12"/>
  <c r="E71" i="12"/>
  <c r="AZ70" i="12"/>
  <c r="AQ70" i="12"/>
  <c r="AP70" i="12"/>
  <c r="I70" i="12"/>
  <c r="H70" i="12"/>
  <c r="E70" i="12"/>
  <c r="AZ69" i="12"/>
  <c r="AS69" i="12"/>
  <c r="K69" i="12"/>
  <c r="E69" i="12"/>
  <c r="AZ68" i="12"/>
  <c r="AQ68" i="12"/>
  <c r="AP68" i="12"/>
  <c r="I68" i="12"/>
  <c r="H68" i="12"/>
  <c r="E68" i="12"/>
  <c r="AZ67" i="12"/>
  <c r="AS67" i="12"/>
  <c r="K67" i="12"/>
  <c r="E67" i="12"/>
  <c r="BA66" i="12"/>
  <c r="AZ66" i="12"/>
  <c r="AY66" i="12"/>
  <c r="AT66" i="12"/>
  <c r="AS66" i="12"/>
  <c r="AQ66" i="12"/>
  <c r="AP66" i="12"/>
  <c r="K66" i="12"/>
  <c r="I66" i="12"/>
  <c r="H66" i="12"/>
  <c r="E66" i="12"/>
  <c r="BA65" i="12"/>
  <c r="AY65" i="12"/>
  <c r="AZ65" i="12" s="1"/>
  <c r="AT65" i="12"/>
  <c r="AS65" i="12"/>
  <c r="K65" i="12"/>
  <c r="E65" i="12"/>
  <c r="BA64" i="12"/>
  <c r="AZ64" i="12"/>
  <c r="AY64" i="12"/>
  <c r="AT64" i="12"/>
  <c r="AS64" i="12"/>
  <c r="AQ64" i="12"/>
  <c r="AP64" i="12"/>
  <c r="K64" i="12"/>
  <c r="I64" i="12"/>
  <c r="H64" i="12"/>
  <c r="E64" i="12"/>
  <c r="BA63" i="12"/>
  <c r="AZ63" i="12"/>
  <c r="AY63" i="12"/>
  <c r="AT63" i="12"/>
  <c r="AS63" i="12"/>
  <c r="AQ63" i="12"/>
  <c r="AP63" i="12"/>
  <c r="K63" i="12"/>
  <c r="I63" i="12"/>
  <c r="H63" i="12"/>
  <c r="E63" i="12"/>
  <c r="AY62" i="12"/>
  <c r="AZ62" i="12" s="1"/>
  <c r="AQ62" i="12"/>
  <c r="AP62" i="12"/>
  <c r="I62" i="12"/>
  <c r="H62" i="12"/>
  <c r="E62" i="12"/>
  <c r="AY61" i="12"/>
  <c r="AZ61" i="12" s="1"/>
  <c r="AS61" i="12"/>
  <c r="K61" i="12"/>
  <c r="E61" i="12"/>
  <c r="AZ60" i="12"/>
  <c r="AQ60" i="12"/>
  <c r="AP60" i="12"/>
  <c r="I60" i="12"/>
  <c r="H60" i="12"/>
  <c r="E60" i="12"/>
  <c r="AZ59" i="12"/>
  <c r="AS59" i="12"/>
  <c r="K59" i="12"/>
  <c r="E59" i="12"/>
  <c r="AZ58" i="12"/>
  <c r="AQ58" i="12"/>
  <c r="AP58" i="12"/>
  <c r="I58" i="12"/>
  <c r="H58" i="12"/>
  <c r="E58" i="12"/>
  <c r="AZ57" i="12"/>
  <c r="AS57" i="12"/>
  <c r="K57" i="12"/>
  <c r="E57" i="12"/>
  <c r="AZ56" i="12"/>
  <c r="AQ56" i="12"/>
  <c r="AP56" i="12"/>
  <c r="I56" i="12"/>
  <c r="H56" i="12"/>
  <c r="E56" i="12"/>
  <c r="AZ55" i="12"/>
  <c r="AS55" i="12"/>
  <c r="K55" i="12"/>
  <c r="E55" i="12"/>
  <c r="BA54" i="12"/>
  <c r="AZ54" i="12"/>
  <c r="AY54" i="12"/>
  <c r="AT54" i="12"/>
  <c r="AS54" i="12"/>
  <c r="AQ54" i="12"/>
  <c r="AP54" i="12"/>
  <c r="K54" i="12"/>
  <c r="I54" i="12"/>
  <c r="H54" i="12"/>
  <c r="E54" i="12"/>
  <c r="BA53" i="12"/>
  <c r="AZ53" i="12"/>
  <c r="AY53" i="12"/>
  <c r="AT53" i="12"/>
  <c r="AS53" i="12"/>
  <c r="K53" i="12"/>
  <c r="E53" i="12"/>
  <c r="BA52" i="12"/>
  <c r="AZ52" i="12"/>
  <c r="AY52" i="12"/>
  <c r="AT52" i="12"/>
  <c r="AS52" i="12"/>
  <c r="AQ52" i="12"/>
  <c r="AP52" i="12"/>
  <c r="K52" i="12"/>
  <c r="I52" i="12"/>
  <c r="H52" i="12"/>
  <c r="E52" i="12"/>
  <c r="BA51" i="12"/>
  <c r="AZ51" i="12"/>
  <c r="AY51" i="12"/>
  <c r="AT51" i="12"/>
  <c r="AS51" i="12"/>
  <c r="AQ51" i="12"/>
  <c r="AP51" i="12"/>
  <c r="K51" i="12"/>
  <c r="I51" i="12"/>
  <c r="H51" i="12"/>
  <c r="E51" i="12"/>
  <c r="AY50" i="12"/>
  <c r="AZ50" i="12" s="1"/>
  <c r="AQ50" i="12"/>
  <c r="AP50" i="12"/>
  <c r="I50" i="12"/>
  <c r="H50" i="12"/>
  <c r="E50" i="12"/>
  <c r="AY49" i="12"/>
  <c r="AZ49" i="12" s="1"/>
  <c r="AS49" i="12"/>
  <c r="K49" i="12"/>
  <c r="E49" i="12"/>
  <c r="AZ48" i="12"/>
  <c r="AQ48" i="12"/>
  <c r="AP48" i="12"/>
  <c r="I48" i="12"/>
  <c r="H48" i="12"/>
  <c r="E48" i="12"/>
  <c r="AZ47" i="12"/>
  <c r="AS47" i="12"/>
  <c r="K47" i="12"/>
  <c r="E47" i="12"/>
  <c r="AZ46" i="12"/>
  <c r="AQ46" i="12"/>
  <c r="AP46" i="12"/>
  <c r="I46" i="12"/>
  <c r="H46" i="12"/>
  <c r="E46" i="12"/>
  <c r="AZ45" i="12"/>
  <c r="AS45" i="12"/>
  <c r="K45" i="12"/>
  <c r="E45" i="12"/>
  <c r="AZ44" i="12"/>
  <c r="AQ44" i="12"/>
  <c r="AP44" i="12"/>
  <c r="I44" i="12"/>
  <c r="H44" i="12"/>
  <c r="E44" i="12"/>
  <c r="AZ43" i="12"/>
  <c r="AS43" i="12"/>
  <c r="K43" i="12"/>
  <c r="E43" i="12"/>
  <c r="BA42" i="12"/>
  <c r="AZ42" i="12"/>
  <c r="AY42" i="12"/>
  <c r="AT42" i="12"/>
  <c r="AS42" i="12"/>
  <c r="AQ42" i="12"/>
  <c r="AP42" i="12"/>
  <c r="K42" i="12"/>
  <c r="I42" i="12"/>
  <c r="H42" i="12"/>
  <c r="E42" i="12"/>
  <c r="BA41" i="12"/>
  <c r="AY41" i="12"/>
  <c r="AZ41" i="12" s="1"/>
  <c r="AT41" i="12"/>
  <c r="AS41" i="12"/>
  <c r="K41" i="12"/>
  <c r="E41" i="12"/>
  <c r="BA40" i="12"/>
  <c r="AZ40" i="12"/>
  <c r="AY40" i="12"/>
  <c r="AT40" i="12"/>
  <c r="AS40" i="12"/>
  <c r="AQ40" i="12"/>
  <c r="AP40" i="12"/>
  <c r="K40" i="12"/>
  <c r="I40" i="12"/>
  <c r="H40" i="12"/>
  <c r="E40" i="12"/>
  <c r="BA39" i="12"/>
  <c r="AZ39" i="12"/>
  <c r="AY39" i="12"/>
  <c r="AT39" i="12"/>
  <c r="AS39" i="12"/>
  <c r="AQ39" i="12"/>
  <c r="AP39" i="12"/>
  <c r="K39" i="12"/>
  <c r="I39" i="12"/>
  <c r="H39" i="12"/>
  <c r="E39" i="12"/>
  <c r="AY38" i="12"/>
  <c r="AZ38" i="12" s="1"/>
  <c r="AQ38" i="12"/>
  <c r="AP38" i="12"/>
  <c r="I38" i="12"/>
  <c r="H38" i="12"/>
  <c r="E38" i="12"/>
  <c r="AY37" i="12"/>
  <c r="AZ37" i="12" s="1"/>
  <c r="AS37" i="12"/>
  <c r="K37" i="12"/>
  <c r="E37" i="12"/>
  <c r="AZ36" i="12"/>
  <c r="AQ36" i="12"/>
  <c r="AP36" i="12"/>
  <c r="I36" i="12"/>
  <c r="H36" i="12"/>
  <c r="E36" i="12"/>
  <c r="AZ35" i="12"/>
  <c r="AS35" i="12"/>
  <c r="K35" i="12"/>
  <c r="E35" i="12"/>
  <c r="AZ34" i="12"/>
  <c r="AQ34" i="12"/>
  <c r="AP34" i="12"/>
  <c r="I34" i="12"/>
  <c r="H34" i="12"/>
  <c r="E34" i="12"/>
  <c r="AZ33" i="12"/>
  <c r="AS33" i="12"/>
  <c r="K33" i="12"/>
  <c r="E33" i="12"/>
  <c r="AZ32" i="12"/>
  <c r="AQ32" i="12"/>
  <c r="AP32" i="12"/>
  <c r="I32" i="12"/>
  <c r="H32" i="12"/>
  <c r="E32" i="12"/>
  <c r="AZ31" i="12"/>
  <c r="AS31" i="12"/>
  <c r="K31" i="12"/>
  <c r="E31" i="12"/>
  <c r="BA30" i="12"/>
  <c r="AZ30" i="12"/>
  <c r="AY30" i="12"/>
  <c r="AT30" i="12"/>
  <c r="AS30" i="12"/>
  <c r="AQ30" i="12"/>
  <c r="AP30" i="12"/>
  <c r="K30" i="12"/>
  <c r="I30" i="12"/>
  <c r="H30" i="12"/>
  <c r="E30" i="12"/>
  <c r="BA29" i="12"/>
  <c r="AZ29" i="12"/>
  <c r="AY29" i="12"/>
  <c r="AT29" i="12"/>
  <c r="AS29" i="12"/>
  <c r="K29" i="12"/>
  <c r="E29" i="12"/>
  <c r="BA28" i="12"/>
  <c r="AZ28" i="12"/>
  <c r="AY28" i="12"/>
  <c r="AT28" i="12"/>
  <c r="AS28" i="12"/>
  <c r="AQ28" i="12"/>
  <c r="AP28" i="12"/>
  <c r="K28" i="12"/>
  <c r="I28" i="12"/>
  <c r="H28" i="12"/>
  <c r="E28" i="12"/>
  <c r="BA27" i="12"/>
  <c r="AZ27" i="12"/>
  <c r="AY27" i="12"/>
  <c r="AT27" i="12"/>
  <c r="AS27" i="12"/>
  <c r="AQ27" i="12"/>
  <c r="AP27" i="12"/>
  <c r="K27" i="12"/>
  <c r="I27" i="12"/>
  <c r="H27" i="12"/>
  <c r="E27" i="12"/>
  <c r="AY326" i="12"/>
  <c r="AZ326" i="12" s="1"/>
  <c r="AQ326" i="12"/>
  <c r="AP326" i="12"/>
  <c r="I326" i="12"/>
  <c r="H326" i="12"/>
  <c r="E326" i="12"/>
  <c r="AY325" i="12"/>
  <c r="AZ325" i="12" s="1"/>
  <c r="AS325" i="12"/>
  <c r="K325" i="12"/>
  <c r="E325" i="12"/>
  <c r="AZ324" i="12"/>
  <c r="AQ324" i="12"/>
  <c r="AP324" i="12"/>
  <c r="I324" i="12"/>
  <c r="H324" i="12"/>
  <c r="E324" i="12"/>
  <c r="AZ323" i="12"/>
  <c r="AS323" i="12"/>
  <c r="K323" i="12"/>
  <c r="E323" i="12"/>
  <c r="AZ322" i="12"/>
  <c r="AQ322" i="12"/>
  <c r="AP322" i="12"/>
  <c r="I322" i="12"/>
  <c r="H322" i="12"/>
  <c r="E322" i="12"/>
  <c r="AZ321" i="12"/>
  <c r="AS321" i="12"/>
  <c r="K321" i="12"/>
  <c r="E321" i="12"/>
  <c r="AZ320" i="12"/>
  <c r="AQ320" i="12"/>
  <c r="AP320" i="12"/>
  <c r="I320" i="12"/>
  <c r="H320" i="12"/>
  <c r="E320" i="12"/>
  <c r="AZ319" i="12"/>
  <c r="AS319" i="12"/>
  <c r="K319" i="12"/>
  <c r="E319" i="12"/>
  <c r="BA318" i="12"/>
  <c r="AZ318" i="12"/>
  <c r="AY318" i="12"/>
  <c r="AT318" i="12"/>
  <c r="AS318" i="12"/>
  <c r="AQ318" i="12"/>
  <c r="AP318" i="12"/>
  <c r="K318" i="12"/>
  <c r="I318" i="12"/>
  <c r="H318" i="12"/>
  <c r="E318" i="12"/>
  <c r="BA317" i="12"/>
  <c r="AZ317" i="12"/>
  <c r="AY317" i="12"/>
  <c r="AT317" i="12"/>
  <c r="AS317" i="12"/>
  <c r="K317" i="12"/>
  <c r="E317" i="12"/>
  <c r="BA316" i="12"/>
  <c r="AZ316" i="12"/>
  <c r="AY316" i="12"/>
  <c r="AT316" i="12"/>
  <c r="AS316" i="12"/>
  <c r="AQ316" i="12"/>
  <c r="AP316" i="12"/>
  <c r="K316" i="12"/>
  <c r="I316" i="12"/>
  <c r="H316" i="12"/>
  <c r="E316" i="12"/>
  <c r="BA315" i="12"/>
  <c r="AZ315" i="12"/>
  <c r="AY315" i="12"/>
  <c r="AT315" i="12"/>
  <c r="AS315" i="12"/>
  <c r="AQ315" i="12"/>
  <c r="AP315" i="12"/>
  <c r="K315" i="12"/>
  <c r="I315" i="12"/>
  <c r="H315" i="12"/>
  <c r="E315" i="12"/>
  <c r="AY254" i="12"/>
  <c r="AZ254" i="12" s="1"/>
  <c r="AQ254" i="12"/>
  <c r="AP254" i="12"/>
  <c r="I254" i="12"/>
  <c r="H254" i="12"/>
  <c r="E254" i="12"/>
  <c r="AY253" i="12"/>
  <c r="AZ253" i="12" s="1"/>
  <c r="AS253" i="12"/>
  <c r="K253" i="12"/>
  <c r="E253" i="12"/>
  <c r="AZ252" i="12"/>
  <c r="AQ252" i="12"/>
  <c r="AP252" i="12"/>
  <c r="I252" i="12"/>
  <c r="H252" i="12"/>
  <c r="E252" i="12"/>
  <c r="AZ251" i="12"/>
  <c r="AS251" i="12"/>
  <c r="K251" i="12"/>
  <c r="E251" i="12"/>
  <c r="AZ250" i="12"/>
  <c r="AQ250" i="12"/>
  <c r="AP250" i="12"/>
  <c r="I250" i="12"/>
  <c r="H250" i="12"/>
  <c r="E250" i="12"/>
  <c r="AZ249" i="12"/>
  <c r="AS249" i="12"/>
  <c r="K249" i="12"/>
  <c r="E249" i="12"/>
  <c r="AZ248" i="12"/>
  <c r="AQ248" i="12"/>
  <c r="AP248" i="12"/>
  <c r="I248" i="12"/>
  <c r="H248" i="12"/>
  <c r="E248" i="12"/>
  <c r="AZ247" i="12"/>
  <c r="AS247" i="12"/>
  <c r="K247" i="12"/>
  <c r="E247" i="12"/>
  <c r="BA246" i="12"/>
  <c r="AZ246" i="12"/>
  <c r="AY246" i="12"/>
  <c r="AT246" i="12"/>
  <c r="AS246" i="12"/>
  <c r="AQ246" i="12"/>
  <c r="AP246" i="12"/>
  <c r="K246" i="12"/>
  <c r="I246" i="12"/>
  <c r="H246" i="12"/>
  <c r="E246" i="12"/>
  <c r="BA245" i="12"/>
  <c r="AZ245" i="12"/>
  <c r="AY245" i="12"/>
  <c r="AT245" i="12"/>
  <c r="AS245" i="12"/>
  <c r="K245" i="12"/>
  <c r="E245" i="12"/>
  <c r="BA244" i="12"/>
  <c r="AZ244" i="12"/>
  <c r="AY244" i="12"/>
  <c r="AT244" i="12"/>
  <c r="AS244" i="12"/>
  <c r="AQ244" i="12"/>
  <c r="AP244" i="12"/>
  <c r="K244" i="12"/>
  <c r="I244" i="12"/>
  <c r="H244" i="12"/>
  <c r="E244" i="12"/>
  <c r="BA243" i="12"/>
  <c r="AZ243" i="12"/>
  <c r="AY243" i="12"/>
  <c r="AT243" i="12"/>
  <c r="AS243" i="12"/>
  <c r="AQ243" i="12"/>
  <c r="AP243" i="12"/>
  <c r="K243" i="12"/>
  <c r="I243" i="12"/>
  <c r="H243" i="12"/>
  <c r="E243" i="12"/>
  <c r="AY230" i="12"/>
  <c r="AZ230" i="12" s="1"/>
  <c r="AQ230" i="12"/>
  <c r="AP230" i="12"/>
  <c r="I230" i="12"/>
  <c r="H230" i="12"/>
  <c r="E230" i="12"/>
  <c r="AY229" i="12"/>
  <c r="AZ229" i="12" s="1"/>
  <c r="AS229" i="12"/>
  <c r="K229" i="12"/>
  <c r="E229" i="12"/>
  <c r="AZ228" i="12"/>
  <c r="AQ228" i="12"/>
  <c r="AP228" i="12"/>
  <c r="I228" i="12"/>
  <c r="H228" i="12"/>
  <c r="E228" i="12"/>
  <c r="AZ227" i="12"/>
  <c r="AS227" i="12"/>
  <c r="K227" i="12"/>
  <c r="E227" i="12"/>
  <c r="AZ226" i="12"/>
  <c r="AQ226" i="12"/>
  <c r="AP226" i="12"/>
  <c r="I226" i="12"/>
  <c r="H226" i="12"/>
  <c r="E226" i="12"/>
  <c r="AZ225" i="12"/>
  <c r="AS225" i="12"/>
  <c r="K225" i="12"/>
  <c r="E225" i="12"/>
  <c r="AZ224" i="12"/>
  <c r="AQ224" i="12"/>
  <c r="AP224" i="12"/>
  <c r="I224" i="12"/>
  <c r="H224" i="12"/>
  <c r="E224" i="12"/>
  <c r="AZ223" i="12"/>
  <c r="AS223" i="12"/>
  <c r="K223" i="12"/>
  <c r="E223" i="12"/>
  <c r="BA222" i="12"/>
  <c r="AZ222" i="12"/>
  <c r="AY222" i="12"/>
  <c r="AT222" i="12"/>
  <c r="AS222" i="12"/>
  <c r="AQ222" i="12"/>
  <c r="AP222" i="12"/>
  <c r="K222" i="12"/>
  <c r="I222" i="12"/>
  <c r="H222" i="12"/>
  <c r="E222" i="12"/>
  <c r="BA221" i="12"/>
  <c r="AZ221" i="12"/>
  <c r="AY221" i="12"/>
  <c r="AT221" i="12"/>
  <c r="AS221" i="12"/>
  <c r="K221" i="12"/>
  <c r="E221" i="12"/>
  <c r="BA220" i="12"/>
  <c r="AZ220" i="12"/>
  <c r="AY220" i="12"/>
  <c r="AT220" i="12"/>
  <c r="AS220" i="12"/>
  <c r="AQ220" i="12"/>
  <c r="AP220" i="12"/>
  <c r="K220" i="12"/>
  <c r="I220" i="12"/>
  <c r="H220" i="12"/>
  <c r="E220" i="12"/>
  <c r="BA219" i="12"/>
  <c r="AZ219" i="12"/>
  <c r="AY219" i="12"/>
  <c r="AT219" i="12"/>
  <c r="AS219" i="12"/>
  <c r="AQ219" i="12"/>
  <c r="AP219" i="12"/>
  <c r="K219" i="12"/>
  <c r="I219" i="12"/>
  <c r="H219" i="12"/>
  <c r="E219" i="12"/>
  <c r="AY146" i="12"/>
  <c r="AZ146" i="12" s="1"/>
  <c r="AQ146" i="12"/>
  <c r="AP146" i="12"/>
  <c r="I146" i="12"/>
  <c r="H146" i="12"/>
  <c r="E146" i="12"/>
  <c r="AY145" i="12"/>
  <c r="AZ145" i="12" s="1"/>
  <c r="AS145" i="12"/>
  <c r="K145" i="12"/>
  <c r="E145" i="12"/>
  <c r="AZ144" i="12"/>
  <c r="AQ144" i="12"/>
  <c r="AP144" i="12"/>
  <c r="I144" i="12"/>
  <c r="H144" i="12"/>
  <c r="E144" i="12"/>
  <c r="AZ143" i="12"/>
  <c r="AS143" i="12"/>
  <c r="K143" i="12"/>
  <c r="E143" i="12"/>
  <c r="AZ142" i="12"/>
  <c r="AQ142" i="12"/>
  <c r="AP142" i="12"/>
  <c r="I142" i="12"/>
  <c r="H142" i="12"/>
  <c r="E142" i="12"/>
  <c r="AZ141" i="12"/>
  <c r="AS141" i="12"/>
  <c r="K141" i="12"/>
  <c r="E141" i="12"/>
  <c r="AZ140" i="12"/>
  <c r="AQ140" i="12"/>
  <c r="AP140" i="12"/>
  <c r="I140" i="12"/>
  <c r="H140" i="12"/>
  <c r="E140" i="12"/>
  <c r="AZ139" i="12"/>
  <c r="AS139" i="12"/>
  <c r="K139" i="12"/>
  <c r="E139" i="12"/>
  <c r="BA138" i="12"/>
  <c r="AZ138" i="12"/>
  <c r="AY138" i="12"/>
  <c r="AT138" i="12"/>
  <c r="AS138" i="12"/>
  <c r="AQ138" i="12"/>
  <c r="AP138" i="12"/>
  <c r="K138" i="12"/>
  <c r="I138" i="12"/>
  <c r="H138" i="12"/>
  <c r="E138" i="12"/>
  <c r="BA137" i="12"/>
  <c r="AZ137" i="12"/>
  <c r="AY137" i="12"/>
  <c r="AT137" i="12"/>
  <c r="AS137" i="12"/>
  <c r="K137" i="12"/>
  <c r="E137" i="12"/>
  <c r="BA136" i="12"/>
  <c r="AZ136" i="12"/>
  <c r="AY136" i="12"/>
  <c r="AT136" i="12"/>
  <c r="AS136" i="12"/>
  <c r="AQ136" i="12"/>
  <c r="AP136" i="12"/>
  <c r="K136" i="12"/>
  <c r="I136" i="12"/>
  <c r="H136" i="12"/>
  <c r="E136" i="12"/>
  <c r="BA135" i="12"/>
  <c r="AZ135" i="12"/>
  <c r="AY135" i="12"/>
  <c r="AT135" i="12"/>
  <c r="AS135" i="12"/>
  <c r="AQ135" i="12"/>
  <c r="AP135" i="12"/>
  <c r="K135" i="12"/>
  <c r="I135" i="12"/>
  <c r="H135" i="12"/>
  <c r="E135" i="12"/>
  <c r="AY122" i="12"/>
  <c r="AZ122" i="12" s="1"/>
  <c r="AQ122" i="12"/>
  <c r="AP122" i="12"/>
  <c r="I122" i="12"/>
  <c r="H122" i="12"/>
  <c r="E122" i="12"/>
  <c r="AY121" i="12"/>
  <c r="AZ121" i="12" s="1"/>
  <c r="AS121" i="12"/>
  <c r="K121" i="12"/>
  <c r="E121" i="12"/>
  <c r="AZ120" i="12"/>
  <c r="AQ120" i="12"/>
  <c r="AP120" i="12"/>
  <c r="I120" i="12"/>
  <c r="H120" i="12"/>
  <c r="E120" i="12"/>
  <c r="AZ119" i="12"/>
  <c r="AS119" i="12"/>
  <c r="K119" i="12"/>
  <c r="E119" i="12"/>
  <c r="AZ118" i="12"/>
  <c r="AQ118" i="12"/>
  <c r="AP118" i="12"/>
  <c r="I118" i="12"/>
  <c r="H118" i="12"/>
  <c r="E118" i="12"/>
  <c r="AZ117" i="12"/>
  <c r="AS117" i="12"/>
  <c r="K117" i="12"/>
  <c r="E117" i="12"/>
  <c r="AZ116" i="12"/>
  <c r="AQ116" i="12"/>
  <c r="AP116" i="12"/>
  <c r="I116" i="12"/>
  <c r="H116" i="12"/>
  <c r="E116" i="12"/>
  <c r="AZ115" i="12"/>
  <c r="AS115" i="12"/>
  <c r="K115" i="12"/>
  <c r="E115" i="12"/>
  <c r="BA114" i="12"/>
  <c r="AZ114" i="12"/>
  <c r="AY114" i="12"/>
  <c r="AT114" i="12"/>
  <c r="AS114" i="12"/>
  <c r="AQ114" i="12"/>
  <c r="AP114" i="12"/>
  <c r="K114" i="12"/>
  <c r="I114" i="12"/>
  <c r="H114" i="12"/>
  <c r="E114" i="12"/>
  <c r="BA113" i="12"/>
  <c r="AZ113" i="12"/>
  <c r="AY113" i="12"/>
  <c r="AT113" i="12"/>
  <c r="AS113" i="12"/>
  <c r="K113" i="12"/>
  <c r="E113" i="12"/>
  <c r="BA112" i="12"/>
  <c r="AZ112" i="12"/>
  <c r="AY112" i="12"/>
  <c r="AT112" i="12"/>
  <c r="AS112" i="12"/>
  <c r="AQ112" i="12"/>
  <c r="AP112" i="12"/>
  <c r="K112" i="12"/>
  <c r="I112" i="12"/>
  <c r="H112" i="12"/>
  <c r="E112" i="12"/>
  <c r="BA111" i="12"/>
  <c r="AZ111" i="12"/>
  <c r="AY111" i="12"/>
  <c r="AT111" i="12"/>
  <c r="AS111" i="12"/>
  <c r="AQ111" i="12"/>
  <c r="AP111" i="12"/>
  <c r="K111" i="12"/>
  <c r="I111" i="12"/>
  <c r="H111" i="12"/>
  <c r="E111" i="12"/>
  <c r="AY86" i="12"/>
  <c r="AZ86" i="12" s="1"/>
  <c r="AQ86" i="12"/>
  <c r="AP86" i="12"/>
  <c r="I86" i="12"/>
  <c r="H86" i="12"/>
  <c r="E86" i="12"/>
  <c r="AY85" i="12"/>
  <c r="AZ85" i="12" s="1"/>
  <c r="AS85" i="12"/>
  <c r="K85" i="12"/>
  <c r="E85" i="12"/>
  <c r="AZ84" i="12"/>
  <c r="AQ84" i="12"/>
  <c r="AP84" i="12"/>
  <c r="I84" i="12"/>
  <c r="H84" i="12"/>
  <c r="E84" i="12"/>
  <c r="AZ83" i="12"/>
  <c r="AS83" i="12"/>
  <c r="K83" i="12"/>
  <c r="E83" i="12"/>
  <c r="AZ82" i="12"/>
  <c r="AQ82" i="12"/>
  <c r="AP82" i="12"/>
  <c r="I82" i="12"/>
  <c r="H82" i="12"/>
  <c r="E82" i="12"/>
  <c r="AZ81" i="12"/>
  <c r="AS81" i="12"/>
  <c r="K81" i="12"/>
  <c r="E81" i="12"/>
  <c r="AZ80" i="12"/>
  <c r="AQ80" i="12"/>
  <c r="AP80" i="12"/>
  <c r="I80" i="12"/>
  <c r="H80" i="12"/>
  <c r="E80" i="12"/>
  <c r="AZ79" i="12"/>
  <c r="AS79" i="12"/>
  <c r="K79" i="12"/>
  <c r="E79" i="12"/>
  <c r="BA78" i="12"/>
  <c r="AZ78" i="12"/>
  <c r="AY78" i="12"/>
  <c r="AT78" i="12"/>
  <c r="AS78" i="12"/>
  <c r="AQ78" i="12"/>
  <c r="AP78" i="12"/>
  <c r="K78" i="12"/>
  <c r="I78" i="12"/>
  <c r="H78" i="12"/>
  <c r="E78" i="12"/>
  <c r="BA77" i="12"/>
  <c r="AZ77" i="12"/>
  <c r="AY77" i="12"/>
  <c r="AT77" i="12"/>
  <c r="AS77" i="12"/>
  <c r="K77" i="12"/>
  <c r="E77" i="12"/>
  <c r="BA76" i="12"/>
  <c r="AZ76" i="12"/>
  <c r="AY76" i="12"/>
  <c r="AT76" i="12"/>
  <c r="AS76" i="12"/>
  <c r="AQ76" i="12"/>
  <c r="AP76" i="12"/>
  <c r="K76" i="12"/>
  <c r="I76" i="12"/>
  <c r="H76" i="12"/>
  <c r="E76" i="12"/>
  <c r="BA75" i="12"/>
  <c r="AZ75" i="12"/>
  <c r="AY75" i="12"/>
  <c r="AT75" i="12"/>
  <c r="AS75" i="12"/>
  <c r="AQ75" i="12"/>
  <c r="AP75" i="12"/>
  <c r="K75" i="12"/>
  <c r="I75" i="12"/>
  <c r="H75" i="12"/>
  <c r="E75" i="12"/>
  <c r="AY338" i="12"/>
  <c r="AZ338" i="12" s="1"/>
  <c r="AQ338" i="12"/>
  <c r="AP338" i="12"/>
  <c r="I338" i="12"/>
  <c r="H338" i="12"/>
  <c r="E338" i="12"/>
  <c r="AY337" i="12"/>
  <c r="AZ337" i="12" s="1"/>
  <c r="AS337" i="12"/>
  <c r="K337" i="12"/>
  <c r="E337" i="12"/>
  <c r="AZ336" i="12"/>
  <c r="AQ336" i="12"/>
  <c r="AP336" i="12"/>
  <c r="I336" i="12"/>
  <c r="H336" i="12"/>
  <c r="E336" i="12"/>
  <c r="AZ335" i="12"/>
  <c r="AS335" i="12"/>
  <c r="K335" i="12"/>
  <c r="E335" i="12"/>
  <c r="AZ334" i="12"/>
  <c r="AQ334" i="12"/>
  <c r="AP334" i="12"/>
  <c r="I334" i="12"/>
  <c r="H334" i="12"/>
  <c r="E334" i="12"/>
  <c r="AZ333" i="12"/>
  <c r="AS333" i="12"/>
  <c r="K333" i="12"/>
  <c r="E333" i="12"/>
  <c r="AZ332" i="12"/>
  <c r="AQ332" i="12"/>
  <c r="AP332" i="12"/>
  <c r="I332" i="12"/>
  <c r="H332" i="12"/>
  <c r="E332" i="12"/>
  <c r="AZ331" i="12"/>
  <c r="AS331" i="12"/>
  <c r="K331" i="12"/>
  <c r="E331" i="12"/>
  <c r="BA330" i="12"/>
  <c r="AZ330" i="12"/>
  <c r="AY330" i="12"/>
  <c r="AT330" i="12"/>
  <c r="AS330" i="12"/>
  <c r="AQ330" i="12"/>
  <c r="AP330" i="12"/>
  <c r="K330" i="12"/>
  <c r="I330" i="12"/>
  <c r="H330" i="12"/>
  <c r="E330" i="12"/>
  <c r="BA329" i="12"/>
  <c r="AZ329" i="12"/>
  <c r="AY329" i="12"/>
  <c r="AT329" i="12"/>
  <c r="AS329" i="12"/>
  <c r="K329" i="12"/>
  <c r="E329" i="12"/>
  <c r="BA328" i="12"/>
  <c r="AZ328" i="12"/>
  <c r="AY328" i="12"/>
  <c r="AT328" i="12"/>
  <c r="AS328" i="12"/>
  <c r="AQ328" i="12"/>
  <c r="AP328" i="12"/>
  <c r="K328" i="12"/>
  <c r="I328" i="12"/>
  <c r="H328" i="12"/>
  <c r="E328" i="12"/>
  <c r="BA327" i="12"/>
  <c r="AZ327" i="12"/>
  <c r="AY327" i="12"/>
  <c r="AT327" i="12"/>
  <c r="AS327" i="12"/>
  <c r="AQ327" i="12"/>
  <c r="AP327" i="12"/>
  <c r="K327" i="12"/>
  <c r="I327" i="12"/>
  <c r="H327" i="12"/>
  <c r="E327" i="12"/>
  <c r="AY302" i="12"/>
  <c r="AZ302" i="12" s="1"/>
  <c r="AQ302" i="12"/>
  <c r="AP302" i="12"/>
  <c r="I302" i="12"/>
  <c r="H302" i="12"/>
  <c r="E302" i="12"/>
  <c r="AY301" i="12"/>
  <c r="AZ301" i="12" s="1"/>
  <c r="AS301" i="12"/>
  <c r="K301" i="12"/>
  <c r="E301" i="12"/>
  <c r="AZ300" i="12"/>
  <c r="AQ300" i="12"/>
  <c r="AP300" i="12"/>
  <c r="I300" i="12"/>
  <c r="H300" i="12"/>
  <c r="E300" i="12"/>
  <c r="AZ299" i="12"/>
  <c r="AS299" i="12"/>
  <c r="K299" i="12"/>
  <c r="E299" i="12"/>
  <c r="AZ298" i="12"/>
  <c r="AQ298" i="12"/>
  <c r="AP298" i="12"/>
  <c r="I298" i="12"/>
  <c r="H298" i="12"/>
  <c r="E298" i="12"/>
  <c r="AZ297" i="12"/>
  <c r="AS297" i="12"/>
  <c r="K297" i="12"/>
  <c r="E297" i="12"/>
  <c r="AZ296" i="12"/>
  <c r="AQ296" i="12"/>
  <c r="AP296" i="12"/>
  <c r="I296" i="12"/>
  <c r="H296" i="12"/>
  <c r="E296" i="12"/>
  <c r="AZ295" i="12"/>
  <c r="AS295" i="12"/>
  <c r="K295" i="12"/>
  <c r="E295" i="12"/>
  <c r="BA294" i="12"/>
  <c r="AZ294" i="12"/>
  <c r="AY294" i="12"/>
  <c r="AT294" i="12"/>
  <c r="AS294" i="12"/>
  <c r="AQ294" i="12"/>
  <c r="AP294" i="12"/>
  <c r="K294" i="12"/>
  <c r="I294" i="12"/>
  <c r="H294" i="12"/>
  <c r="E294" i="12"/>
  <c r="BA293" i="12"/>
  <c r="AZ293" i="12"/>
  <c r="AY293" i="12"/>
  <c r="AT293" i="12"/>
  <c r="AS293" i="12"/>
  <c r="K293" i="12"/>
  <c r="E293" i="12"/>
  <c r="BA292" i="12"/>
  <c r="AZ292" i="12"/>
  <c r="AY292" i="12"/>
  <c r="AT292" i="12"/>
  <c r="AS292" i="12"/>
  <c r="AQ292" i="12"/>
  <c r="AP292" i="12"/>
  <c r="K292" i="12"/>
  <c r="I292" i="12"/>
  <c r="H292" i="12"/>
  <c r="E292" i="12"/>
  <c r="BA291" i="12"/>
  <c r="AZ291" i="12"/>
  <c r="AY291" i="12"/>
  <c r="AT291" i="12"/>
  <c r="AS291" i="12"/>
  <c r="AQ291" i="12"/>
  <c r="AP291" i="12"/>
  <c r="K291" i="12"/>
  <c r="I291" i="12"/>
  <c r="H291" i="12"/>
  <c r="E291" i="12"/>
  <c r="AY290" i="12"/>
  <c r="AZ290" i="12" s="1"/>
  <c r="AQ290" i="12"/>
  <c r="AP290" i="12"/>
  <c r="I290" i="12"/>
  <c r="H290" i="12"/>
  <c r="E290" i="12"/>
  <c r="AY289" i="12"/>
  <c r="AZ289" i="12" s="1"/>
  <c r="AS289" i="12"/>
  <c r="K289" i="12"/>
  <c r="E289" i="12"/>
  <c r="AZ288" i="12"/>
  <c r="AQ288" i="12"/>
  <c r="AP288" i="12"/>
  <c r="I288" i="12"/>
  <c r="H288" i="12"/>
  <c r="E288" i="12"/>
  <c r="AZ287" i="12"/>
  <c r="AS287" i="12"/>
  <c r="K287" i="12"/>
  <c r="E287" i="12"/>
  <c r="AZ286" i="12"/>
  <c r="AQ286" i="12"/>
  <c r="AP286" i="12"/>
  <c r="I286" i="12"/>
  <c r="H286" i="12"/>
  <c r="E286" i="12"/>
  <c r="AZ285" i="12"/>
  <c r="AS285" i="12"/>
  <c r="K285" i="12"/>
  <c r="E285" i="12"/>
  <c r="AZ284" i="12"/>
  <c r="AQ284" i="12"/>
  <c r="AP284" i="12"/>
  <c r="I284" i="12"/>
  <c r="H284" i="12"/>
  <c r="E284" i="12"/>
  <c r="AZ283" i="12"/>
  <c r="AS283" i="12"/>
  <c r="K283" i="12"/>
  <c r="E283" i="12"/>
  <c r="BA282" i="12"/>
  <c r="AZ282" i="12"/>
  <c r="AY282" i="12"/>
  <c r="AT282" i="12"/>
  <c r="AS282" i="12"/>
  <c r="AQ282" i="12"/>
  <c r="AP282" i="12"/>
  <c r="K282" i="12"/>
  <c r="I282" i="12"/>
  <c r="H282" i="12"/>
  <c r="E282" i="12"/>
  <c r="BA281" i="12"/>
  <c r="AZ281" i="12"/>
  <c r="AY281" i="12"/>
  <c r="AT281" i="12"/>
  <c r="AS281" i="12"/>
  <c r="K281" i="12"/>
  <c r="E281" i="12"/>
  <c r="BA280" i="12"/>
  <c r="AZ280" i="12"/>
  <c r="AY280" i="12"/>
  <c r="AT280" i="12"/>
  <c r="AS280" i="12"/>
  <c r="AQ280" i="12"/>
  <c r="AP280" i="12"/>
  <c r="K280" i="12"/>
  <c r="I280" i="12"/>
  <c r="H280" i="12"/>
  <c r="E280" i="12"/>
  <c r="BA279" i="12"/>
  <c r="AZ279" i="12"/>
  <c r="AY279" i="12"/>
  <c r="AT279" i="12"/>
  <c r="AS279" i="12"/>
  <c r="AQ279" i="12"/>
  <c r="AP279" i="12"/>
  <c r="K279" i="12"/>
  <c r="I279" i="12"/>
  <c r="H279" i="12"/>
  <c r="E279" i="12"/>
  <c r="AY266" i="12"/>
  <c r="AZ266" i="12" s="1"/>
  <c r="AQ266" i="12"/>
  <c r="AP266" i="12"/>
  <c r="I266" i="12"/>
  <c r="H266" i="12"/>
  <c r="E266" i="12"/>
  <c r="AY265" i="12"/>
  <c r="AZ265" i="12" s="1"/>
  <c r="AS265" i="12"/>
  <c r="K265" i="12"/>
  <c r="E265" i="12"/>
  <c r="AZ264" i="12"/>
  <c r="AQ264" i="12"/>
  <c r="AP264" i="12"/>
  <c r="I264" i="12"/>
  <c r="H264" i="12"/>
  <c r="E264" i="12"/>
  <c r="AZ263" i="12"/>
  <c r="AS263" i="12"/>
  <c r="K263" i="12"/>
  <c r="E263" i="12"/>
  <c r="AZ262" i="12"/>
  <c r="AQ262" i="12"/>
  <c r="AP262" i="12"/>
  <c r="I262" i="12"/>
  <c r="H262" i="12"/>
  <c r="E262" i="12"/>
  <c r="AZ261" i="12"/>
  <c r="AS261" i="12"/>
  <c r="K261" i="12"/>
  <c r="E261" i="12"/>
  <c r="AZ260" i="12"/>
  <c r="AQ260" i="12"/>
  <c r="AP260" i="12"/>
  <c r="I260" i="12"/>
  <c r="H260" i="12"/>
  <c r="E260" i="12"/>
  <c r="AZ259" i="12"/>
  <c r="AS259" i="12"/>
  <c r="K259" i="12"/>
  <c r="E259" i="12"/>
  <c r="BA258" i="12"/>
  <c r="AZ258" i="12"/>
  <c r="AY258" i="12"/>
  <c r="AT258" i="12"/>
  <c r="AS258" i="12"/>
  <c r="AQ258" i="12"/>
  <c r="AP258" i="12"/>
  <c r="K258" i="12"/>
  <c r="I258" i="12"/>
  <c r="H258" i="12"/>
  <c r="E258" i="12"/>
  <c r="BA257" i="12"/>
  <c r="AZ257" i="12"/>
  <c r="AY257" i="12"/>
  <c r="AT257" i="12"/>
  <c r="AS257" i="12"/>
  <c r="K257" i="12"/>
  <c r="E257" i="12"/>
  <c r="BA256" i="12"/>
  <c r="AZ256" i="12"/>
  <c r="AY256" i="12"/>
  <c r="AT256" i="12"/>
  <c r="AS256" i="12"/>
  <c r="AQ256" i="12"/>
  <c r="AP256" i="12"/>
  <c r="K256" i="12"/>
  <c r="I256" i="12"/>
  <c r="H256" i="12"/>
  <c r="E256" i="12"/>
  <c r="BA255" i="12"/>
  <c r="AZ255" i="12"/>
  <c r="AY255" i="12"/>
  <c r="AT255" i="12"/>
  <c r="AS255" i="12"/>
  <c r="AQ255" i="12"/>
  <c r="AP255" i="12"/>
  <c r="K255" i="12"/>
  <c r="I255" i="12"/>
  <c r="H255" i="12"/>
  <c r="E255" i="12"/>
  <c r="AY194" i="12"/>
  <c r="AZ194" i="12" s="1"/>
  <c r="AQ194" i="12"/>
  <c r="AP194" i="12"/>
  <c r="I194" i="12"/>
  <c r="H194" i="12"/>
  <c r="E194" i="12"/>
  <c r="AY193" i="12"/>
  <c r="AZ193" i="12" s="1"/>
  <c r="AS193" i="12"/>
  <c r="K193" i="12"/>
  <c r="E193" i="12"/>
  <c r="AZ192" i="12"/>
  <c r="AQ192" i="12"/>
  <c r="AP192" i="12"/>
  <c r="I192" i="12"/>
  <c r="H192" i="12"/>
  <c r="E192" i="12"/>
  <c r="AZ191" i="12"/>
  <c r="AS191" i="12"/>
  <c r="K191" i="12"/>
  <c r="E191" i="12"/>
  <c r="AZ190" i="12"/>
  <c r="AQ190" i="12"/>
  <c r="AP190" i="12"/>
  <c r="I190" i="12"/>
  <c r="H190" i="12"/>
  <c r="E190" i="12"/>
  <c r="AZ189" i="12"/>
  <c r="AS189" i="12"/>
  <c r="K189" i="12"/>
  <c r="E189" i="12"/>
  <c r="AZ188" i="12"/>
  <c r="AQ188" i="12"/>
  <c r="AP188" i="12"/>
  <c r="I188" i="12"/>
  <c r="H188" i="12"/>
  <c r="E188" i="12"/>
  <c r="AZ187" i="12"/>
  <c r="AS187" i="12"/>
  <c r="K187" i="12"/>
  <c r="E187" i="12"/>
  <c r="BA186" i="12"/>
  <c r="AZ186" i="12"/>
  <c r="AY186" i="12"/>
  <c r="AT186" i="12"/>
  <c r="AS186" i="12"/>
  <c r="AQ186" i="12"/>
  <c r="AP186" i="12"/>
  <c r="K186" i="12"/>
  <c r="I186" i="12"/>
  <c r="H186" i="12"/>
  <c r="E186" i="12"/>
  <c r="BA185" i="12"/>
  <c r="AZ185" i="12"/>
  <c r="AY185" i="12"/>
  <c r="AT185" i="12"/>
  <c r="AS185" i="12"/>
  <c r="K185" i="12"/>
  <c r="E185" i="12"/>
  <c r="BA184" i="12"/>
  <c r="AZ184" i="12"/>
  <c r="AY184" i="12"/>
  <c r="AT184" i="12"/>
  <c r="AS184" i="12"/>
  <c r="AQ184" i="12"/>
  <c r="AP184" i="12"/>
  <c r="K184" i="12"/>
  <c r="I184" i="12"/>
  <c r="H184" i="12"/>
  <c r="E184" i="12"/>
  <c r="BA183" i="12"/>
  <c r="AZ183" i="12"/>
  <c r="AY183" i="12"/>
  <c r="AT183" i="12"/>
  <c r="AS183" i="12"/>
  <c r="AQ183" i="12"/>
  <c r="AP183" i="12"/>
  <c r="K183" i="12"/>
  <c r="I183" i="12"/>
  <c r="H183" i="12"/>
  <c r="E183" i="12"/>
  <c r="AY158" i="12"/>
  <c r="AZ158" i="12" s="1"/>
  <c r="AQ158" i="12"/>
  <c r="AP158" i="12"/>
  <c r="I158" i="12"/>
  <c r="H158" i="12"/>
  <c r="E158" i="12"/>
  <c r="AY157" i="12"/>
  <c r="AZ157" i="12" s="1"/>
  <c r="AS157" i="12"/>
  <c r="K157" i="12"/>
  <c r="E157" i="12"/>
  <c r="AZ156" i="12"/>
  <c r="AQ156" i="12"/>
  <c r="AP156" i="12"/>
  <c r="I156" i="12"/>
  <c r="H156" i="12"/>
  <c r="E156" i="12"/>
  <c r="AZ155" i="12"/>
  <c r="AS155" i="12"/>
  <c r="K155" i="12"/>
  <c r="E155" i="12"/>
  <c r="AZ154" i="12"/>
  <c r="AQ154" i="12"/>
  <c r="AP154" i="12"/>
  <c r="I154" i="12"/>
  <c r="H154" i="12"/>
  <c r="E154" i="12"/>
  <c r="AZ153" i="12"/>
  <c r="AS153" i="12"/>
  <c r="K153" i="12"/>
  <c r="E153" i="12"/>
  <c r="AZ152" i="12"/>
  <c r="AQ152" i="12"/>
  <c r="AP152" i="12"/>
  <c r="I152" i="12"/>
  <c r="H152" i="12"/>
  <c r="E152" i="12"/>
  <c r="AZ151" i="12"/>
  <c r="AS151" i="12"/>
  <c r="K151" i="12"/>
  <c r="E151" i="12"/>
  <c r="BA150" i="12"/>
  <c r="AZ150" i="12"/>
  <c r="AY150" i="12"/>
  <c r="AT150" i="12"/>
  <c r="AS150" i="12"/>
  <c r="AQ150" i="12"/>
  <c r="AP150" i="12"/>
  <c r="K150" i="12"/>
  <c r="I150" i="12"/>
  <c r="H150" i="12"/>
  <c r="E150" i="12"/>
  <c r="BA149" i="12"/>
  <c r="AZ149" i="12"/>
  <c r="AY149" i="12"/>
  <c r="AT149" i="12"/>
  <c r="AS149" i="12"/>
  <c r="K149" i="12"/>
  <c r="E149" i="12"/>
  <c r="BA148" i="12"/>
  <c r="AZ148" i="12"/>
  <c r="AY148" i="12"/>
  <c r="AT148" i="12"/>
  <c r="AS148" i="12"/>
  <c r="AQ148" i="12"/>
  <c r="AP148" i="12"/>
  <c r="K148" i="12"/>
  <c r="I148" i="12"/>
  <c r="H148" i="12"/>
  <c r="E148" i="12"/>
  <c r="BA147" i="12"/>
  <c r="AZ147" i="12"/>
  <c r="AY147" i="12"/>
  <c r="AT147" i="12"/>
  <c r="AS147" i="12"/>
  <c r="AQ147" i="12"/>
  <c r="AP147" i="12"/>
  <c r="K147" i="12"/>
  <c r="I147" i="12"/>
  <c r="H147" i="12"/>
  <c r="E147" i="12"/>
  <c r="AY134" i="12"/>
  <c r="AZ134" i="12" s="1"/>
  <c r="AQ134" i="12"/>
  <c r="AP134" i="12"/>
  <c r="I134" i="12"/>
  <c r="H134" i="12"/>
  <c r="E134" i="12"/>
  <c r="AY133" i="12"/>
  <c r="AZ133" i="12" s="1"/>
  <c r="AS133" i="12"/>
  <c r="K133" i="12"/>
  <c r="E133" i="12"/>
  <c r="AZ132" i="12"/>
  <c r="AQ132" i="12"/>
  <c r="AP132" i="12"/>
  <c r="I132" i="12"/>
  <c r="H132" i="12"/>
  <c r="E132" i="12"/>
  <c r="AZ131" i="12"/>
  <c r="AS131" i="12"/>
  <c r="K131" i="12"/>
  <c r="E131" i="12"/>
  <c r="AZ130" i="12"/>
  <c r="AQ130" i="12"/>
  <c r="AP130" i="12"/>
  <c r="I130" i="12"/>
  <c r="H130" i="12"/>
  <c r="E130" i="12"/>
  <c r="AZ129" i="12"/>
  <c r="AS129" i="12"/>
  <c r="K129" i="12"/>
  <c r="E129" i="12"/>
  <c r="AZ128" i="12"/>
  <c r="AQ128" i="12"/>
  <c r="AP128" i="12"/>
  <c r="I128" i="12"/>
  <c r="H128" i="12"/>
  <c r="E128" i="12"/>
  <c r="AZ127" i="12"/>
  <c r="AS127" i="12"/>
  <c r="K127" i="12"/>
  <c r="E127" i="12"/>
  <c r="BA126" i="12"/>
  <c r="AZ126" i="12"/>
  <c r="AY126" i="12"/>
  <c r="AT126" i="12"/>
  <c r="AS126" i="12"/>
  <c r="AQ126" i="12"/>
  <c r="AP126" i="12"/>
  <c r="K126" i="12"/>
  <c r="I126" i="12"/>
  <c r="H126" i="12"/>
  <c r="E126" i="12"/>
  <c r="BA125" i="12"/>
  <c r="AZ125" i="12"/>
  <c r="AY125" i="12"/>
  <c r="AT125" i="12"/>
  <c r="AS125" i="12"/>
  <c r="K125" i="12"/>
  <c r="E125" i="12"/>
  <c r="BA124" i="12"/>
  <c r="AZ124" i="12"/>
  <c r="AY124" i="12"/>
  <c r="AT124" i="12"/>
  <c r="AS124" i="12"/>
  <c r="AQ124" i="12"/>
  <c r="AP124" i="12"/>
  <c r="K124" i="12"/>
  <c r="I124" i="12"/>
  <c r="H124" i="12"/>
  <c r="E124" i="12"/>
  <c r="BA123" i="12"/>
  <c r="AZ123" i="12"/>
  <c r="AY123" i="12"/>
  <c r="AT123" i="12"/>
  <c r="AS123" i="12"/>
  <c r="AQ123" i="12"/>
  <c r="AP123" i="12"/>
  <c r="K123" i="12"/>
  <c r="I123" i="12"/>
  <c r="H123" i="12"/>
  <c r="E123" i="12"/>
  <c r="AY110" i="12"/>
  <c r="AZ110" i="12" s="1"/>
  <c r="AQ110" i="12"/>
  <c r="AP110" i="12"/>
  <c r="I110" i="12"/>
  <c r="H110" i="12"/>
  <c r="E110" i="12"/>
  <c r="AY109" i="12"/>
  <c r="AZ109" i="12" s="1"/>
  <c r="AS109" i="12"/>
  <c r="K109" i="12"/>
  <c r="E109" i="12"/>
  <c r="AZ108" i="12"/>
  <c r="AQ108" i="12"/>
  <c r="AP108" i="12"/>
  <c r="I108" i="12"/>
  <c r="H108" i="12"/>
  <c r="E108" i="12"/>
  <c r="AZ107" i="12"/>
  <c r="AS107" i="12"/>
  <c r="K107" i="12"/>
  <c r="E107" i="12"/>
  <c r="AZ106" i="12"/>
  <c r="AQ106" i="12"/>
  <c r="AP106" i="12"/>
  <c r="I106" i="12"/>
  <c r="H106" i="12"/>
  <c r="E106" i="12"/>
  <c r="AZ105" i="12"/>
  <c r="AS105" i="12"/>
  <c r="K105" i="12"/>
  <c r="E105" i="12"/>
  <c r="AZ104" i="12"/>
  <c r="AQ104" i="12"/>
  <c r="AP104" i="12"/>
  <c r="I104" i="12"/>
  <c r="H104" i="12"/>
  <c r="E104" i="12"/>
  <c r="AZ103" i="12"/>
  <c r="AS103" i="12"/>
  <c r="K103" i="12"/>
  <c r="E103" i="12"/>
  <c r="BA102" i="12"/>
  <c r="AZ102" i="12"/>
  <c r="AY102" i="12"/>
  <c r="AT102" i="12"/>
  <c r="AS102" i="12"/>
  <c r="AQ102" i="12"/>
  <c r="AP102" i="12"/>
  <c r="K102" i="12"/>
  <c r="I102" i="12"/>
  <c r="H102" i="12"/>
  <c r="E102" i="12"/>
  <c r="BA101" i="12"/>
  <c r="AZ101" i="12"/>
  <c r="AY101" i="12"/>
  <c r="AT101" i="12"/>
  <c r="AS101" i="12"/>
  <c r="K101" i="12"/>
  <c r="E101" i="12"/>
  <c r="BA100" i="12"/>
  <c r="AZ100" i="12"/>
  <c r="AY100" i="12"/>
  <c r="AT100" i="12"/>
  <c r="AS100" i="12"/>
  <c r="AQ100" i="12"/>
  <c r="AP100" i="12"/>
  <c r="K100" i="12"/>
  <c r="I100" i="12"/>
  <c r="H100" i="12"/>
  <c r="E100" i="12"/>
  <c r="BA99" i="12"/>
  <c r="AZ99" i="12"/>
  <c r="AY99" i="12"/>
  <c r="AT99" i="12"/>
  <c r="AS99" i="12"/>
  <c r="AQ99" i="12"/>
  <c r="AP99" i="12"/>
  <c r="K99" i="12"/>
  <c r="I99" i="12"/>
  <c r="H99" i="12"/>
  <c r="E99" i="12"/>
  <c r="AY98" i="12"/>
  <c r="AZ98" i="12" s="1"/>
  <c r="AQ98" i="12"/>
  <c r="AP98" i="12"/>
  <c r="I98" i="12"/>
  <c r="H98" i="12"/>
  <c r="E98" i="12"/>
  <c r="AY97" i="12"/>
  <c r="AZ97" i="12" s="1"/>
  <c r="AS97" i="12"/>
  <c r="K97" i="12"/>
  <c r="E97" i="12"/>
  <c r="AZ96" i="12"/>
  <c r="AQ96" i="12"/>
  <c r="AP96" i="12"/>
  <c r="I96" i="12"/>
  <c r="H96" i="12"/>
  <c r="E96" i="12"/>
  <c r="AZ95" i="12"/>
  <c r="AS95" i="12"/>
  <c r="K95" i="12"/>
  <c r="E95" i="12"/>
  <c r="AZ94" i="12"/>
  <c r="AQ94" i="12"/>
  <c r="AP94" i="12"/>
  <c r="I94" i="12"/>
  <c r="H94" i="12"/>
  <c r="E94" i="12"/>
  <c r="AZ93" i="12"/>
  <c r="AS93" i="12"/>
  <c r="K93" i="12"/>
  <c r="E93" i="12"/>
  <c r="AZ92" i="12"/>
  <c r="AQ92" i="12"/>
  <c r="AP92" i="12"/>
  <c r="I92" i="12"/>
  <c r="H92" i="12"/>
  <c r="E92" i="12"/>
  <c r="AZ91" i="12"/>
  <c r="AS91" i="12"/>
  <c r="K91" i="12"/>
  <c r="E91" i="12"/>
  <c r="BA90" i="12"/>
  <c r="AZ90" i="12"/>
  <c r="AY90" i="12"/>
  <c r="AT90" i="12"/>
  <c r="AS90" i="12"/>
  <c r="AQ90" i="12"/>
  <c r="AP90" i="12"/>
  <c r="K90" i="12"/>
  <c r="I90" i="12"/>
  <c r="H90" i="12"/>
  <c r="E90" i="12"/>
  <c r="BA89" i="12"/>
  <c r="AZ89" i="12"/>
  <c r="AY89" i="12"/>
  <c r="AT89" i="12"/>
  <c r="AS89" i="12"/>
  <c r="K89" i="12"/>
  <c r="E89" i="12"/>
  <c r="BA88" i="12"/>
  <c r="AZ88" i="12"/>
  <c r="AY88" i="12"/>
  <c r="AT88" i="12"/>
  <c r="AS88" i="12"/>
  <c r="AQ88" i="12"/>
  <c r="AP88" i="12"/>
  <c r="K88" i="12"/>
  <c r="I88" i="12"/>
  <c r="H88" i="12"/>
  <c r="E88" i="12"/>
  <c r="BA87" i="12"/>
  <c r="AZ87" i="12"/>
  <c r="AY87" i="12"/>
  <c r="AT87" i="12"/>
  <c r="AS87" i="12"/>
  <c r="AQ87" i="12"/>
  <c r="AP87" i="12"/>
  <c r="K87" i="12"/>
  <c r="I87" i="12"/>
  <c r="H87" i="12"/>
  <c r="E87" i="12"/>
  <c r="AX4" i="12"/>
  <c r="P22" i="16"/>
  <c r="O22" i="16"/>
  <c r="Q22" i="16" s="1"/>
  <c r="L22" i="16"/>
  <c r="I22" i="16"/>
  <c r="H22" i="16"/>
  <c r="F22" i="16"/>
  <c r="E22" i="16"/>
  <c r="P21" i="16"/>
  <c r="O21" i="16"/>
  <c r="Q21" i="16" s="1"/>
  <c r="L21" i="16"/>
  <c r="I21" i="16"/>
  <c r="H21" i="16"/>
  <c r="F21" i="16"/>
  <c r="E21" i="16"/>
  <c r="P20" i="16"/>
  <c r="O20" i="16"/>
  <c r="Q20" i="16" s="1"/>
  <c r="L20" i="16"/>
  <c r="I20" i="16"/>
  <c r="H20" i="16"/>
  <c r="F20" i="16"/>
  <c r="E20" i="16"/>
  <c r="P19" i="16"/>
  <c r="O19" i="16"/>
  <c r="Q19" i="16" s="1"/>
  <c r="L19" i="16"/>
  <c r="I19" i="16"/>
  <c r="H19" i="16"/>
  <c r="F19" i="16"/>
  <c r="E19" i="16"/>
  <c r="P18" i="16"/>
  <c r="O18" i="16"/>
  <c r="Q18" i="16" s="1"/>
  <c r="L18" i="16"/>
  <c r="I18" i="16"/>
  <c r="H18" i="16"/>
  <c r="F18" i="16"/>
  <c r="E18" i="16"/>
  <c r="P17" i="16"/>
  <c r="O17" i="16"/>
  <c r="Q17" i="16" s="1"/>
  <c r="L17" i="16"/>
  <c r="I17" i="16"/>
  <c r="H17" i="16"/>
  <c r="F17" i="16"/>
  <c r="E17" i="16"/>
  <c r="P16" i="16"/>
  <c r="O16" i="16"/>
  <c r="L16" i="16"/>
  <c r="I16" i="16"/>
  <c r="H16" i="16"/>
  <c r="F16" i="16"/>
  <c r="E16" i="16"/>
  <c r="P15" i="16"/>
  <c r="O15" i="16"/>
  <c r="L15" i="16"/>
  <c r="I15" i="16"/>
  <c r="H15" i="16"/>
  <c r="F15" i="16"/>
  <c r="E15" i="16"/>
  <c r="P246" i="16"/>
  <c r="I246" i="16"/>
  <c r="H246" i="16"/>
  <c r="E246" i="16"/>
  <c r="P245" i="16"/>
  <c r="I245" i="16"/>
  <c r="H245" i="16"/>
  <c r="E245" i="16"/>
  <c r="P244" i="16"/>
  <c r="I244" i="16"/>
  <c r="H244" i="16"/>
  <c r="E244" i="16"/>
  <c r="P243" i="16"/>
  <c r="Q243" i="16"/>
  <c r="I243" i="16"/>
  <c r="H243" i="16"/>
  <c r="E243" i="16"/>
  <c r="P242" i="16"/>
  <c r="I242" i="16"/>
  <c r="H242" i="16"/>
  <c r="E242" i="16"/>
  <c r="P241" i="16"/>
  <c r="E241" i="16"/>
  <c r="P240" i="16"/>
  <c r="I240" i="16"/>
  <c r="H240" i="16"/>
  <c r="E240" i="16"/>
  <c r="P239" i="16"/>
  <c r="E239" i="16"/>
  <c r="P238" i="16"/>
  <c r="I238" i="16"/>
  <c r="H238" i="16"/>
  <c r="E238" i="16"/>
  <c r="P237" i="16"/>
  <c r="Q237" i="16"/>
  <c r="I237" i="16"/>
  <c r="H237" i="16"/>
  <c r="E237" i="16"/>
  <c r="P236" i="16"/>
  <c r="I236" i="16"/>
  <c r="H236" i="16"/>
  <c r="E236" i="16"/>
  <c r="P235" i="16"/>
  <c r="I235" i="16"/>
  <c r="H235" i="16"/>
  <c r="E235" i="16"/>
  <c r="P234" i="16"/>
  <c r="Q234" i="16"/>
  <c r="I234" i="16"/>
  <c r="H234" i="16"/>
  <c r="E234" i="16"/>
  <c r="P233" i="16"/>
  <c r="I233" i="16"/>
  <c r="H233" i="16"/>
  <c r="E233" i="16"/>
  <c r="P232" i="16"/>
  <c r="I232" i="16"/>
  <c r="H232" i="16"/>
  <c r="E232" i="16"/>
  <c r="P231" i="16"/>
  <c r="I231" i="16"/>
  <c r="H231" i="16"/>
  <c r="E231" i="16"/>
  <c r="P214" i="16"/>
  <c r="Q214" i="16"/>
  <c r="I214" i="16"/>
  <c r="H214" i="16"/>
  <c r="E214" i="16"/>
  <c r="Q213" i="16"/>
  <c r="I213" i="16"/>
  <c r="H213" i="16"/>
  <c r="E213" i="16"/>
  <c r="P212" i="16"/>
  <c r="I212" i="16"/>
  <c r="H212" i="16"/>
  <c r="E212" i="16"/>
  <c r="I211" i="16"/>
  <c r="H211" i="16"/>
  <c r="E211" i="16"/>
  <c r="P210" i="16"/>
  <c r="I210" i="16"/>
  <c r="H210" i="16"/>
  <c r="E210" i="16"/>
  <c r="Q209" i="16"/>
  <c r="E209" i="16"/>
  <c r="P208" i="16"/>
  <c r="Q208" i="16"/>
  <c r="I208" i="16"/>
  <c r="H208" i="16"/>
  <c r="E208" i="16"/>
  <c r="E207" i="16"/>
  <c r="P190" i="16"/>
  <c r="I190" i="16"/>
  <c r="H190" i="16"/>
  <c r="E190" i="16"/>
  <c r="Q189" i="16"/>
  <c r="I189" i="16"/>
  <c r="H189" i="16"/>
  <c r="E189" i="16"/>
  <c r="P188" i="16"/>
  <c r="I188" i="16"/>
  <c r="H188" i="16"/>
  <c r="E188" i="16"/>
  <c r="I187" i="16"/>
  <c r="H187" i="16"/>
  <c r="E187" i="16"/>
  <c r="P186" i="16"/>
  <c r="I186" i="16"/>
  <c r="H186" i="16"/>
  <c r="E186" i="16"/>
  <c r="Q185" i="16"/>
  <c r="I185" i="16"/>
  <c r="H185" i="16"/>
  <c r="E185" i="16"/>
  <c r="P184" i="16"/>
  <c r="I184" i="16"/>
  <c r="H184" i="16"/>
  <c r="E184" i="16"/>
  <c r="I183" i="16"/>
  <c r="H183" i="16"/>
  <c r="E183" i="16"/>
  <c r="P166" i="16"/>
  <c r="I166" i="16"/>
  <c r="H166" i="16"/>
  <c r="E166" i="16"/>
  <c r="P165" i="16"/>
  <c r="Q165" i="16"/>
  <c r="I165" i="16"/>
  <c r="H165" i="16"/>
  <c r="E165" i="16"/>
  <c r="P164" i="16"/>
  <c r="I164" i="16"/>
  <c r="H164" i="16"/>
  <c r="E164" i="16"/>
  <c r="P163" i="16"/>
  <c r="I163" i="16"/>
  <c r="H163" i="16"/>
  <c r="E163" i="16"/>
  <c r="P162" i="16"/>
  <c r="I162" i="16"/>
  <c r="H162" i="16"/>
  <c r="E162" i="16"/>
  <c r="P161" i="16"/>
  <c r="Q161" i="16"/>
  <c r="I161" i="16"/>
  <c r="H161" i="16"/>
  <c r="E161" i="16"/>
  <c r="P160" i="16"/>
  <c r="I160" i="16"/>
  <c r="H160" i="16"/>
  <c r="E160" i="16"/>
  <c r="P159" i="16"/>
  <c r="I159" i="16"/>
  <c r="H159" i="16"/>
  <c r="E159" i="16"/>
  <c r="P150" i="16"/>
  <c r="I150" i="16"/>
  <c r="H150" i="16"/>
  <c r="E150" i="16"/>
  <c r="P149" i="16"/>
  <c r="Q149" i="16"/>
  <c r="I149" i="16"/>
  <c r="H149" i="16"/>
  <c r="E149" i="16"/>
  <c r="P148" i="16"/>
  <c r="I148" i="16"/>
  <c r="H148" i="16"/>
  <c r="E148" i="16"/>
  <c r="P147" i="16"/>
  <c r="I147" i="16"/>
  <c r="H147" i="16"/>
  <c r="E147" i="16"/>
  <c r="P146" i="16"/>
  <c r="I146" i="16"/>
  <c r="H146" i="16"/>
  <c r="E146" i="16"/>
  <c r="P145" i="16"/>
  <c r="Q145" i="16"/>
  <c r="I145" i="16"/>
  <c r="H145" i="16"/>
  <c r="E145" i="16"/>
  <c r="P144" i="16"/>
  <c r="I144" i="16"/>
  <c r="H144" i="16"/>
  <c r="E144" i="16"/>
  <c r="P143" i="16"/>
  <c r="I143" i="16"/>
  <c r="H143" i="16"/>
  <c r="E143" i="16"/>
  <c r="P142" i="16"/>
  <c r="I142" i="16"/>
  <c r="H142" i="16"/>
  <c r="E142" i="16"/>
  <c r="P141" i="16"/>
  <c r="I141" i="16"/>
  <c r="H141" i="16"/>
  <c r="E141" i="16"/>
  <c r="P140" i="16"/>
  <c r="Q140" i="16"/>
  <c r="I140" i="16"/>
  <c r="H140" i="16"/>
  <c r="E140" i="16"/>
  <c r="P139" i="16"/>
  <c r="I139" i="16"/>
  <c r="H139" i="16"/>
  <c r="E139" i="16"/>
  <c r="P138" i="16"/>
  <c r="I138" i="16"/>
  <c r="H138" i="16"/>
  <c r="E138" i="16"/>
  <c r="P137" i="16"/>
  <c r="I137" i="16"/>
  <c r="H137" i="16"/>
  <c r="E137" i="16"/>
  <c r="P136" i="16"/>
  <c r="I136" i="16"/>
  <c r="H136" i="16"/>
  <c r="E136" i="16"/>
  <c r="P135" i="16"/>
  <c r="I135" i="16"/>
  <c r="H135" i="16"/>
  <c r="E135" i="16"/>
  <c r="P126" i="16"/>
  <c r="I126" i="16"/>
  <c r="H126" i="16"/>
  <c r="E126" i="16"/>
  <c r="P125" i="16"/>
  <c r="I125" i="16"/>
  <c r="H125" i="16"/>
  <c r="E125" i="16"/>
  <c r="P124" i="16"/>
  <c r="I124" i="16"/>
  <c r="H124" i="16"/>
  <c r="E124" i="16"/>
  <c r="P123" i="16"/>
  <c r="I123" i="16"/>
  <c r="H123" i="16"/>
  <c r="E123" i="16"/>
  <c r="P122" i="16"/>
  <c r="I122" i="16"/>
  <c r="H122" i="16"/>
  <c r="E122" i="16"/>
  <c r="P121" i="16"/>
  <c r="Q121" i="16"/>
  <c r="I121" i="16"/>
  <c r="H121" i="16"/>
  <c r="E121" i="16"/>
  <c r="P120" i="16"/>
  <c r="I120" i="16"/>
  <c r="H120" i="16"/>
  <c r="E120" i="16"/>
  <c r="P119" i="16"/>
  <c r="I119" i="16"/>
  <c r="H119" i="16"/>
  <c r="E119" i="16"/>
  <c r="P118" i="16"/>
  <c r="I118" i="16"/>
  <c r="H118" i="16"/>
  <c r="E118" i="16"/>
  <c r="P117" i="16"/>
  <c r="I117" i="16"/>
  <c r="H117" i="16"/>
  <c r="E117" i="16"/>
  <c r="P116" i="16"/>
  <c r="I116" i="16"/>
  <c r="H116" i="16"/>
  <c r="E116" i="16"/>
  <c r="P115" i="16"/>
  <c r="I115" i="16"/>
  <c r="H115" i="16"/>
  <c r="E115" i="16"/>
  <c r="P114" i="16"/>
  <c r="I114" i="16"/>
  <c r="H114" i="16"/>
  <c r="E114" i="16"/>
  <c r="P113" i="16"/>
  <c r="Q113" i="16"/>
  <c r="E113" i="16"/>
  <c r="P112" i="16"/>
  <c r="I112" i="16"/>
  <c r="H112" i="16"/>
  <c r="E112" i="16"/>
  <c r="P111" i="16"/>
  <c r="Q111" i="16" s="1"/>
  <c r="E111" i="16"/>
  <c r="P54" i="16"/>
  <c r="I54" i="16"/>
  <c r="H54" i="16"/>
  <c r="E54" i="16"/>
  <c r="P53" i="16"/>
  <c r="Q53" i="16"/>
  <c r="I53" i="16"/>
  <c r="H53" i="16"/>
  <c r="E53" i="16"/>
  <c r="P52" i="16"/>
  <c r="Q52" i="16" s="1"/>
  <c r="I52" i="16"/>
  <c r="H52" i="16"/>
  <c r="E52" i="16"/>
  <c r="P51" i="16"/>
  <c r="I51" i="16"/>
  <c r="H51" i="16"/>
  <c r="E51" i="16"/>
  <c r="P50" i="16"/>
  <c r="I50" i="16"/>
  <c r="H50" i="16"/>
  <c r="E50" i="16"/>
  <c r="P49" i="16"/>
  <c r="Q49" i="16"/>
  <c r="E49" i="16"/>
  <c r="P48" i="16"/>
  <c r="Q48" i="16" s="1"/>
  <c r="I48" i="16"/>
  <c r="H48" i="16"/>
  <c r="E48" i="16"/>
  <c r="P47" i="16"/>
  <c r="E47" i="16"/>
  <c r="P46" i="16"/>
  <c r="I46" i="16"/>
  <c r="H46" i="16"/>
  <c r="E46" i="16"/>
  <c r="P45" i="16"/>
  <c r="I45" i="16"/>
  <c r="H45" i="16"/>
  <c r="E45" i="16"/>
  <c r="P44" i="16"/>
  <c r="I44" i="16"/>
  <c r="H44" i="16"/>
  <c r="E44" i="16"/>
  <c r="P43" i="16"/>
  <c r="I43" i="16"/>
  <c r="H43" i="16"/>
  <c r="E43" i="16"/>
  <c r="P42" i="16"/>
  <c r="I42" i="16"/>
  <c r="H42" i="16"/>
  <c r="E42" i="16"/>
  <c r="P41" i="16"/>
  <c r="I41" i="16"/>
  <c r="H41" i="16"/>
  <c r="E41" i="16"/>
  <c r="P40" i="16"/>
  <c r="Q40" i="16" s="1"/>
  <c r="I40" i="16"/>
  <c r="H40" i="16"/>
  <c r="E40" i="16"/>
  <c r="P39" i="16"/>
  <c r="I39" i="16"/>
  <c r="H39" i="16"/>
  <c r="E39" i="16"/>
  <c r="P38" i="16"/>
  <c r="I38" i="16"/>
  <c r="H38" i="16"/>
  <c r="E38" i="16"/>
  <c r="P37" i="16"/>
  <c r="Q37" i="16"/>
  <c r="I37" i="16"/>
  <c r="H37" i="16"/>
  <c r="E37" i="16"/>
  <c r="P36" i="16"/>
  <c r="I36" i="16"/>
  <c r="H36" i="16"/>
  <c r="E36" i="16"/>
  <c r="P35" i="16"/>
  <c r="I35" i="16"/>
  <c r="H35" i="16"/>
  <c r="E35" i="16"/>
  <c r="P34" i="16"/>
  <c r="I34" i="16"/>
  <c r="H34" i="16"/>
  <c r="E34" i="16"/>
  <c r="P33" i="16"/>
  <c r="Q33" i="16"/>
  <c r="E33" i="16"/>
  <c r="P32" i="16"/>
  <c r="Q32" i="16"/>
  <c r="I32" i="16"/>
  <c r="H32" i="16"/>
  <c r="E32" i="16"/>
  <c r="P31" i="16"/>
  <c r="E31" i="16"/>
  <c r="P30" i="16"/>
  <c r="I30" i="16"/>
  <c r="H30" i="16"/>
  <c r="E30" i="16"/>
  <c r="P29" i="16"/>
  <c r="Q29" i="16"/>
  <c r="I29" i="16"/>
  <c r="H29" i="16"/>
  <c r="E29" i="16"/>
  <c r="P28" i="16"/>
  <c r="I28" i="16"/>
  <c r="H28" i="16"/>
  <c r="E28" i="16"/>
  <c r="P27" i="16"/>
  <c r="I27" i="16"/>
  <c r="H27" i="16"/>
  <c r="E27" i="16"/>
  <c r="P26" i="16"/>
  <c r="I26" i="16"/>
  <c r="H26" i="16"/>
  <c r="E26" i="16"/>
  <c r="P25" i="16"/>
  <c r="I25" i="16"/>
  <c r="H25" i="16"/>
  <c r="E25" i="16"/>
  <c r="P24" i="16"/>
  <c r="I24" i="16"/>
  <c r="H24" i="16"/>
  <c r="E24" i="16"/>
  <c r="P23" i="16"/>
  <c r="I23" i="16"/>
  <c r="H23" i="16"/>
  <c r="E23" i="16"/>
  <c r="P222" i="16"/>
  <c r="I222" i="16"/>
  <c r="H222" i="16"/>
  <c r="E222" i="16"/>
  <c r="P221" i="16"/>
  <c r="I221" i="16"/>
  <c r="H221" i="16"/>
  <c r="E221" i="16"/>
  <c r="P220" i="16"/>
  <c r="Q220" i="16" s="1"/>
  <c r="I220" i="16"/>
  <c r="H220" i="16"/>
  <c r="E220" i="16"/>
  <c r="P219" i="16"/>
  <c r="I219" i="16"/>
  <c r="H219" i="16"/>
  <c r="E219" i="16"/>
  <c r="P218" i="16"/>
  <c r="I218" i="16"/>
  <c r="H218" i="16"/>
  <c r="E218" i="16"/>
  <c r="P217" i="16"/>
  <c r="I217" i="16"/>
  <c r="H217" i="16"/>
  <c r="E217" i="16"/>
  <c r="P216" i="16"/>
  <c r="I216" i="16"/>
  <c r="H216" i="16"/>
  <c r="E216" i="16"/>
  <c r="P215" i="16"/>
  <c r="I215" i="16"/>
  <c r="H215" i="16"/>
  <c r="E215" i="16"/>
  <c r="P174" i="16"/>
  <c r="I174" i="16"/>
  <c r="H174" i="16"/>
  <c r="E174" i="16"/>
  <c r="P173" i="16"/>
  <c r="I173" i="16"/>
  <c r="H173" i="16"/>
  <c r="E173" i="16"/>
  <c r="P172" i="16"/>
  <c r="Q172" i="16" s="1"/>
  <c r="I172" i="16"/>
  <c r="H172" i="16"/>
  <c r="E172" i="16"/>
  <c r="P171" i="16"/>
  <c r="I171" i="16"/>
  <c r="H171" i="16"/>
  <c r="E171" i="16"/>
  <c r="P170" i="16"/>
  <c r="I170" i="16"/>
  <c r="H170" i="16"/>
  <c r="E170" i="16"/>
  <c r="P169" i="16"/>
  <c r="I169" i="16"/>
  <c r="H169" i="16"/>
  <c r="E169" i="16"/>
  <c r="P168" i="16"/>
  <c r="I168" i="16"/>
  <c r="H168" i="16"/>
  <c r="E168" i="16"/>
  <c r="P167" i="16"/>
  <c r="I167" i="16"/>
  <c r="H167" i="16"/>
  <c r="E167" i="16"/>
  <c r="P158" i="16"/>
  <c r="I158" i="16"/>
  <c r="H158" i="16"/>
  <c r="E158" i="16"/>
  <c r="P157" i="16"/>
  <c r="Q157" i="16"/>
  <c r="I157" i="16"/>
  <c r="H157" i="16"/>
  <c r="E157" i="16"/>
  <c r="P156" i="16"/>
  <c r="I156" i="16"/>
  <c r="H156" i="16"/>
  <c r="E156" i="16"/>
  <c r="P155" i="16"/>
  <c r="Q155" i="16"/>
  <c r="I155" i="16"/>
  <c r="H155" i="16"/>
  <c r="E155" i="16"/>
  <c r="P154" i="16"/>
  <c r="I154" i="16"/>
  <c r="H154" i="16"/>
  <c r="E154" i="16"/>
  <c r="P153" i="16"/>
  <c r="I153" i="16"/>
  <c r="H153" i="16"/>
  <c r="E153" i="16"/>
  <c r="P152" i="16"/>
  <c r="I152" i="16"/>
  <c r="H152" i="16"/>
  <c r="E152" i="16"/>
  <c r="P151" i="16"/>
  <c r="I151" i="16"/>
  <c r="H151" i="16"/>
  <c r="E151" i="16"/>
  <c r="P102" i="16"/>
  <c r="I102" i="16"/>
  <c r="H102" i="16"/>
  <c r="E102" i="16"/>
  <c r="P101" i="16"/>
  <c r="Q101" i="16"/>
  <c r="I101" i="16"/>
  <c r="H101" i="16"/>
  <c r="E101" i="16"/>
  <c r="P100" i="16"/>
  <c r="I100" i="16"/>
  <c r="H100" i="16"/>
  <c r="E100" i="16"/>
  <c r="P99" i="16"/>
  <c r="Q99" i="16"/>
  <c r="I99" i="16"/>
  <c r="H99" i="16"/>
  <c r="E99" i="16"/>
  <c r="P98" i="16"/>
  <c r="Q98" i="16"/>
  <c r="I98" i="16"/>
  <c r="H98" i="16"/>
  <c r="E98" i="16"/>
  <c r="P97" i="16"/>
  <c r="I97" i="16"/>
  <c r="H97" i="16"/>
  <c r="E97" i="16"/>
  <c r="P96" i="16"/>
  <c r="I96" i="16"/>
  <c r="H96" i="16"/>
  <c r="E96" i="16"/>
  <c r="P95" i="16"/>
  <c r="I95" i="16"/>
  <c r="H95" i="16"/>
  <c r="E95" i="16"/>
  <c r="P86" i="16"/>
  <c r="Q86" i="16"/>
  <c r="I86" i="16"/>
  <c r="H86" i="16"/>
  <c r="E86" i="16"/>
  <c r="P85" i="16"/>
  <c r="I85" i="16"/>
  <c r="H85" i="16"/>
  <c r="E85" i="16"/>
  <c r="P84" i="16"/>
  <c r="I84" i="16"/>
  <c r="H84" i="16"/>
  <c r="E84" i="16"/>
  <c r="P83" i="16"/>
  <c r="I83" i="16"/>
  <c r="H83" i="16"/>
  <c r="E83" i="16"/>
  <c r="P82" i="16"/>
  <c r="I82" i="16"/>
  <c r="H82" i="16"/>
  <c r="E82" i="16"/>
  <c r="P81" i="16"/>
  <c r="I81" i="16"/>
  <c r="H81" i="16"/>
  <c r="E81" i="16"/>
  <c r="P80" i="16"/>
  <c r="I80" i="16"/>
  <c r="H80" i="16"/>
  <c r="E80" i="16"/>
  <c r="P79" i="16"/>
  <c r="I79" i="16"/>
  <c r="H79" i="16"/>
  <c r="E79" i="16"/>
  <c r="P62" i="16"/>
  <c r="I62" i="16"/>
  <c r="H62" i="16"/>
  <c r="E62" i="16"/>
  <c r="P61" i="16"/>
  <c r="I61" i="16"/>
  <c r="H61" i="16"/>
  <c r="E61" i="16"/>
  <c r="P60" i="16"/>
  <c r="Q60" i="16"/>
  <c r="I60" i="16"/>
  <c r="H60" i="16"/>
  <c r="E60" i="16"/>
  <c r="P59" i="16"/>
  <c r="Q59" i="16"/>
  <c r="I59" i="16"/>
  <c r="H59" i="16"/>
  <c r="E59" i="16"/>
  <c r="P58" i="16"/>
  <c r="I58" i="16"/>
  <c r="H58" i="16"/>
  <c r="E58" i="16"/>
  <c r="P57" i="16"/>
  <c r="I57" i="16"/>
  <c r="H57" i="16"/>
  <c r="E57" i="16"/>
  <c r="P56" i="16"/>
  <c r="I56" i="16"/>
  <c r="H56" i="16"/>
  <c r="E56" i="16"/>
  <c r="P55" i="16"/>
  <c r="I55" i="16"/>
  <c r="H55" i="16"/>
  <c r="E55" i="16"/>
  <c r="P230" i="16"/>
  <c r="I230" i="16"/>
  <c r="H230" i="16"/>
  <c r="E230" i="16"/>
  <c r="P229" i="16"/>
  <c r="I229" i="16"/>
  <c r="H229" i="16"/>
  <c r="E229" i="16"/>
  <c r="P228" i="16"/>
  <c r="I228" i="16"/>
  <c r="H228" i="16"/>
  <c r="E228" i="16"/>
  <c r="P227" i="16"/>
  <c r="I227" i="16"/>
  <c r="H227" i="16"/>
  <c r="E227" i="16"/>
  <c r="P226" i="16"/>
  <c r="I226" i="16"/>
  <c r="H226" i="16"/>
  <c r="E226" i="16"/>
  <c r="P225" i="16"/>
  <c r="I225" i="16"/>
  <c r="H225" i="16"/>
  <c r="E225" i="16"/>
  <c r="P224" i="16"/>
  <c r="M41" i="46"/>
  <c r="I224" i="16"/>
  <c r="H224" i="16"/>
  <c r="E224" i="16"/>
  <c r="P223" i="16"/>
  <c r="I223" i="16"/>
  <c r="H223" i="16"/>
  <c r="E223" i="16"/>
  <c r="P206" i="16"/>
  <c r="I206" i="16"/>
  <c r="H206" i="16"/>
  <c r="E206" i="16"/>
  <c r="I205" i="16"/>
  <c r="H205" i="16"/>
  <c r="E205" i="16"/>
  <c r="P204" i="16"/>
  <c r="I204" i="16"/>
  <c r="H204" i="16"/>
  <c r="E204" i="16"/>
  <c r="I203" i="16"/>
  <c r="H203" i="16"/>
  <c r="E203" i="16"/>
  <c r="P202" i="16"/>
  <c r="I202" i="16"/>
  <c r="H202" i="16"/>
  <c r="E202" i="16"/>
  <c r="I201" i="16"/>
  <c r="H201" i="16"/>
  <c r="E201" i="16"/>
  <c r="P200" i="16"/>
  <c r="I200" i="16"/>
  <c r="H200" i="16"/>
  <c r="E200" i="16"/>
  <c r="I199" i="16"/>
  <c r="H199" i="16"/>
  <c r="E199" i="16"/>
  <c r="P198" i="16"/>
  <c r="I198" i="16"/>
  <c r="H198" i="16"/>
  <c r="E198" i="16"/>
  <c r="I197" i="16"/>
  <c r="H197" i="16"/>
  <c r="E197" i="16"/>
  <c r="P196" i="16"/>
  <c r="I196" i="16"/>
  <c r="H196" i="16"/>
  <c r="E196" i="16"/>
  <c r="I195" i="16"/>
  <c r="H195" i="16"/>
  <c r="E195" i="16"/>
  <c r="P194" i="16"/>
  <c r="I194" i="16"/>
  <c r="H194" i="16"/>
  <c r="E194" i="16"/>
  <c r="I193" i="16"/>
  <c r="H193" i="16"/>
  <c r="E193" i="16"/>
  <c r="P192" i="16"/>
  <c r="I192" i="16"/>
  <c r="H192" i="16"/>
  <c r="E192" i="16"/>
  <c r="I191" i="16"/>
  <c r="H191" i="16"/>
  <c r="E191" i="16"/>
  <c r="P182" i="16"/>
  <c r="I182" i="16"/>
  <c r="H182" i="16"/>
  <c r="E182" i="16"/>
  <c r="P181" i="16"/>
  <c r="I181" i="16"/>
  <c r="H181" i="16"/>
  <c r="E181" i="16"/>
  <c r="P180" i="16"/>
  <c r="I180" i="16"/>
  <c r="H180" i="16"/>
  <c r="E180" i="16"/>
  <c r="P179" i="16"/>
  <c r="I179" i="16"/>
  <c r="H179" i="16"/>
  <c r="E179" i="16"/>
  <c r="P178" i="16"/>
  <c r="I178" i="16"/>
  <c r="H178" i="16"/>
  <c r="E178" i="16"/>
  <c r="P177" i="16"/>
  <c r="I177" i="16"/>
  <c r="H177" i="16"/>
  <c r="E177" i="16"/>
  <c r="P176" i="16"/>
  <c r="I176" i="16"/>
  <c r="H176" i="16"/>
  <c r="E176" i="16"/>
  <c r="P175" i="16"/>
  <c r="I175" i="16"/>
  <c r="H175" i="16"/>
  <c r="E175" i="16"/>
  <c r="P134" i="16"/>
  <c r="I134" i="16"/>
  <c r="H134" i="16"/>
  <c r="E134" i="16"/>
  <c r="P133" i="16"/>
  <c r="I133" i="16"/>
  <c r="H133" i="16"/>
  <c r="E133" i="16"/>
  <c r="P132" i="16"/>
  <c r="I132" i="16"/>
  <c r="H132" i="16"/>
  <c r="E132" i="16"/>
  <c r="P131" i="16"/>
  <c r="I131" i="16"/>
  <c r="H131" i="16"/>
  <c r="E131" i="16"/>
  <c r="P130" i="16"/>
  <c r="I130" i="16"/>
  <c r="H130" i="16"/>
  <c r="E130" i="16"/>
  <c r="P129" i="16"/>
  <c r="I129" i="16"/>
  <c r="H129" i="16"/>
  <c r="E129" i="16"/>
  <c r="P128" i="16"/>
  <c r="I128" i="16"/>
  <c r="H128" i="16"/>
  <c r="E128" i="16"/>
  <c r="P127" i="16"/>
  <c r="I127" i="16"/>
  <c r="H127" i="16"/>
  <c r="E127" i="16"/>
  <c r="P110" i="16"/>
  <c r="I110" i="16"/>
  <c r="H110" i="16"/>
  <c r="E110" i="16"/>
  <c r="P109" i="16"/>
  <c r="I109" i="16"/>
  <c r="H109" i="16"/>
  <c r="E109" i="16"/>
  <c r="P108" i="16"/>
  <c r="I108" i="16"/>
  <c r="H108" i="16"/>
  <c r="E108" i="16"/>
  <c r="P107" i="16"/>
  <c r="I107" i="16"/>
  <c r="H107" i="16"/>
  <c r="E107" i="16"/>
  <c r="P106" i="16"/>
  <c r="I106" i="16"/>
  <c r="H106" i="16"/>
  <c r="E106" i="16"/>
  <c r="P105" i="16"/>
  <c r="I105" i="16"/>
  <c r="H105" i="16"/>
  <c r="E105" i="16"/>
  <c r="P104" i="16"/>
  <c r="I104" i="16"/>
  <c r="H104" i="16"/>
  <c r="E104" i="16"/>
  <c r="P103" i="16"/>
  <c r="I103" i="16"/>
  <c r="H103" i="16"/>
  <c r="E103" i="16"/>
  <c r="P94" i="16"/>
  <c r="I94" i="16"/>
  <c r="H94" i="16"/>
  <c r="E94" i="16"/>
  <c r="P93" i="16"/>
  <c r="I93" i="16"/>
  <c r="H93" i="16"/>
  <c r="E93" i="16"/>
  <c r="P92" i="16"/>
  <c r="I92" i="16"/>
  <c r="H92" i="16"/>
  <c r="E92" i="16"/>
  <c r="P91" i="16"/>
  <c r="I91" i="16"/>
  <c r="H91" i="16"/>
  <c r="E91" i="16"/>
  <c r="P90" i="16"/>
  <c r="I90" i="16"/>
  <c r="H90" i="16"/>
  <c r="E90" i="16"/>
  <c r="P89" i="16"/>
  <c r="I89" i="16"/>
  <c r="H89" i="16"/>
  <c r="E89" i="16"/>
  <c r="P88" i="16"/>
  <c r="I88" i="16"/>
  <c r="H88" i="16"/>
  <c r="E88" i="16"/>
  <c r="P87" i="16"/>
  <c r="I87" i="16"/>
  <c r="H87" i="16"/>
  <c r="E87" i="16"/>
  <c r="P78" i="16"/>
  <c r="I78" i="16"/>
  <c r="H78" i="16"/>
  <c r="E78" i="16"/>
  <c r="P77" i="16"/>
  <c r="I77" i="16"/>
  <c r="H77" i="16"/>
  <c r="E77" i="16"/>
  <c r="P76" i="16"/>
  <c r="I76" i="16"/>
  <c r="H76" i="16"/>
  <c r="E76" i="16"/>
  <c r="P75" i="16"/>
  <c r="I75" i="16"/>
  <c r="H75" i="16"/>
  <c r="E75" i="16"/>
  <c r="P74" i="16"/>
  <c r="I74" i="16"/>
  <c r="H74" i="16"/>
  <c r="E74" i="16"/>
  <c r="P73" i="16"/>
  <c r="I73" i="16"/>
  <c r="H73" i="16"/>
  <c r="E73" i="16"/>
  <c r="P72" i="16"/>
  <c r="I72" i="16"/>
  <c r="H72" i="16"/>
  <c r="E72" i="16"/>
  <c r="P71" i="16"/>
  <c r="I71" i="16"/>
  <c r="H71" i="16"/>
  <c r="E71" i="16"/>
  <c r="P70" i="16"/>
  <c r="I70" i="16"/>
  <c r="H70" i="16"/>
  <c r="E70" i="16"/>
  <c r="P69" i="16"/>
  <c r="I69" i="16"/>
  <c r="H69" i="16"/>
  <c r="E69" i="16"/>
  <c r="P68" i="16"/>
  <c r="I68" i="16"/>
  <c r="H68" i="16"/>
  <c r="E68" i="16"/>
  <c r="P67" i="16"/>
  <c r="I67" i="16"/>
  <c r="H67" i="16"/>
  <c r="E67" i="16"/>
  <c r="P66" i="16"/>
  <c r="I66" i="16"/>
  <c r="H66" i="16"/>
  <c r="E66" i="16"/>
  <c r="P65" i="16"/>
  <c r="I65" i="16"/>
  <c r="H65" i="16"/>
  <c r="E65" i="16"/>
  <c r="P64" i="16"/>
  <c r="I64" i="16"/>
  <c r="H64" i="16"/>
  <c r="E64" i="16"/>
  <c r="P63" i="16"/>
  <c r="I63" i="16"/>
  <c r="H63" i="16"/>
  <c r="E63" i="16"/>
  <c r="N4" i="16"/>
  <c r="M4" i="16"/>
  <c r="K4" i="16"/>
  <c r="J4" i="16"/>
  <c r="Y18" i="10"/>
  <c r="X18" i="10"/>
  <c r="S18" i="10"/>
  <c r="N18" i="10"/>
  <c r="M18" i="10"/>
  <c r="J18" i="10"/>
  <c r="I18" i="10"/>
  <c r="H18" i="10"/>
  <c r="G18" i="10"/>
  <c r="F18" i="10"/>
  <c r="E18" i="10"/>
  <c r="X17" i="10"/>
  <c r="Y17" i="10"/>
  <c r="S17" i="10"/>
  <c r="N17" i="10"/>
  <c r="M17" i="10"/>
  <c r="J17" i="10"/>
  <c r="I17" i="10"/>
  <c r="H17" i="10"/>
  <c r="G17" i="10"/>
  <c r="F17" i="10"/>
  <c r="E17" i="10"/>
  <c r="X16" i="10"/>
  <c r="Y16" i="10"/>
  <c r="S16" i="10"/>
  <c r="N16" i="10"/>
  <c r="M16" i="10"/>
  <c r="J16" i="10"/>
  <c r="I16" i="10"/>
  <c r="H16" i="10"/>
  <c r="G16" i="10"/>
  <c r="F16" i="10"/>
  <c r="P16" i="10" s="1"/>
  <c r="E16" i="10"/>
  <c r="X15" i="10"/>
  <c r="Y15" i="10"/>
  <c r="Z15" i="10" s="1"/>
  <c r="S15" i="10"/>
  <c r="N15" i="10"/>
  <c r="M15" i="10"/>
  <c r="J15" i="10"/>
  <c r="I15" i="10"/>
  <c r="H15" i="10"/>
  <c r="G15" i="10"/>
  <c r="F15" i="10"/>
  <c r="E15" i="10"/>
  <c r="V130" i="10"/>
  <c r="T130" i="10"/>
  <c r="E130" i="10"/>
  <c r="V129" i="10"/>
  <c r="T129" i="10"/>
  <c r="S129" i="10"/>
  <c r="E129" i="10"/>
  <c r="V128" i="10"/>
  <c r="T128" i="10"/>
  <c r="S128" i="10"/>
  <c r="E128" i="10"/>
  <c r="V127" i="10"/>
  <c r="T127" i="10"/>
  <c r="E127" i="10"/>
  <c r="V126" i="10"/>
  <c r="T126" i="10"/>
  <c r="E126" i="10"/>
  <c r="V125" i="10"/>
  <c r="T125" i="10"/>
  <c r="E125" i="10"/>
  <c r="V124" i="10"/>
  <c r="T124" i="10"/>
  <c r="E124" i="10"/>
  <c r="V123" i="10"/>
  <c r="T123" i="10"/>
  <c r="E123" i="10"/>
  <c r="T114" i="10"/>
  <c r="E114" i="10"/>
  <c r="T113" i="10"/>
  <c r="E113" i="10"/>
  <c r="T112" i="10"/>
  <c r="E112" i="10"/>
  <c r="T111" i="10"/>
  <c r="E111" i="10"/>
  <c r="T102" i="10"/>
  <c r="E102" i="10"/>
  <c r="T101" i="10"/>
  <c r="E101" i="10"/>
  <c r="T100" i="10"/>
  <c r="E100" i="10"/>
  <c r="T99" i="10"/>
  <c r="E99" i="10"/>
  <c r="V90" i="10"/>
  <c r="T90" i="10"/>
  <c r="E90" i="10"/>
  <c r="V89" i="10"/>
  <c r="T89" i="10"/>
  <c r="E89" i="10"/>
  <c r="V88" i="10"/>
  <c r="T88" i="10"/>
  <c r="E88" i="10"/>
  <c r="V87" i="10"/>
  <c r="T87" i="10"/>
  <c r="E87" i="10"/>
  <c r="V82" i="10"/>
  <c r="T82" i="10"/>
  <c r="E82" i="10"/>
  <c r="V81" i="10"/>
  <c r="T81" i="10"/>
  <c r="E81" i="10"/>
  <c r="V80" i="10"/>
  <c r="T80" i="10"/>
  <c r="E80" i="10"/>
  <c r="V79" i="10"/>
  <c r="T79" i="10"/>
  <c r="E79" i="10"/>
  <c r="T78" i="10"/>
  <c r="E78" i="10"/>
  <c r="T77" i="10"/>
  <c r="E77" i="10"/>
  <c r="T76" i="10"/>
  <c r="E76" i="10"/>
  <c r="T75" i="10"/>
  <c r="E75" i="10"/>
  <c r="V70" i="10"/>
  <c r="T70" i="10"/>
  <c r="E70" i="10"/>
  <c r="V69" i="10"/>
  <c r="T69" i="10"/>
  <c r="S69" i="10"/>
  <c r="E69" i="10"/>
  <c r="V68" i="10"/>
  <c r="T68" i="10"/>
  <c r="S68" i="10"/>
  <c r="E68" i="10"/>
  <c r="V67" i="10"/>
  <c r="T67" i="10"/>
  <c r="E67" i="10"/>
  <c r="V66" i="10"/>
  <c r="T66" i="10"/>
  <c r="E66" i="10"/>
  <c r="V65" i="10"/>
  <c r="T65" i="10"/>
  <c r="S65" i="10"/>
  <c r="E65" i="10"/>
  <c r="V64" i="10"/>
  <c r="T64" i="10"/>
  <c r="S64" i="10"/>
  <c r="E64" i="10"/>
  <c r="V63" i="10"/>
  <c r="T63" i="10"/>
  <c r="S63" i="10"/>
  <c r="E63" i="10"/>
  <c r="V34" i="10"/>
  <c r="T34" i="10"/>
  <c r="E34" i="10"/>
  <c r="V33" i="10"/>
  <c r="T33" i="10"/>
  <c r="E33" i="10"/>
  <c r="V32" i="10"/>
  <c r="T32" i="10"/>
  <c r="S32" i="10"/>
  <c r="E32" i="10"/>
  <c r="V31" i="10"/>
  <c r="T31" i="10"/>
  <c r="E31" i="10"/>
  <c r="V30" i="10"/>
  <c r="T30" i="10"/>
  <c r="E30" i="10"/>
  <c r="T29" i="10"/>
  <c r="E29" i="10"/>
  <c r="T28" i="10"/>
  <c r="E28" i="10"/>
  <c r="T27" i="10"/>
  <c r="E27" i="10"/>
  <c r="T26" i="10"/>
  <c r="E26" i="10"/>
  <c r="T25" i="10"/>
  <c r="E25" i="10"/>
  <c r="T24" i="10"/>
  <c r="E24" i="10"/>
  <c r="T23" i="10"/>
  <c r="E23" i="10"/>
  <c r="X22" i="10"/>
  <c r="V22" i="10"/>
  <c r="T22" i="10"/>
  <c r="E22" i="10"/>
  <c r="X21" i="10"/>
  <c r="V21" i="10"/>
  <c r="T21" i="10"/>
  <c r="E21" i="10"/>
  <c r="X20" i="10"/>
  <c r="V20" i="10"/>
  <c r="T20" i="10"/>
  <c r="S20" i="10"/>
  <c r="E20" i="10"/>
  <c r="X19" i="10"/>
  <c r="V19" i="10"/>
  <c r="T19" i="10"/>
  <c r="E19" i="10"/>
  <c r="V118" i="10"/>
  <c r="T118" i="10"/>
  <c r="E118" i="10"/>
  <c r="V117" i="10"/>
  <c r="T117" i="10"/>
  <c r="E117" i="10"/>
  <c r="V116" i="10"/>
  <c r="T116" i="10"/>
  <c r="E116" i="10"/>
  <c r="V115" i="10"/>
  <c r="T115" i="10"/>
  <c r="E115" i="10"/>
  <c r="V94" i="10"/>
  <c r="T94" i="10"/>
  <c r="E94" i="10"/>
  <c r="V93" i="10"/>
  <c r="T93" i="10"/>
  <c r="E93" i="10"/>
  <c r="V92" i="10"/>
  <c r="T92" i="10"/>
  <c r="E92" i="10"/>
  <c r="V91" i="10"/>
  <c r="T91" i="10"/>
  <c r="E91" i="10"/>
  <c r="V86" i="10"/>
  <c r="T86" i="10"/>
  <c r="E86" i="10"/>
  <c r="V85" i="10"/>
  <c r="T85" i="10"/>
  <c r="E85" i="10"/>
  <c r="V84" i="10"/>
  <c r="T84" i="10"/>
  <c r="E84" i="10"/>
  <c r="V83" i="10"/>
  <c r="T83" i="10"/>
  <c r="E83" i="10"/>
  <c r="V58" i="10"/>
  <c r="T58" i="10"/>
  <c r="E58" i="10"/>
  <c r="V57" i="10"/>
  <c r="T57" i="10"/>
  <c r="E57" i="10"/>
  <c r="V56" i="10"/>
  <c r="T56" i="10"/>
  <c r="E56" i="10"/>
  <c r="V55" i="10"/>
  <c r="T55" i="10"/>
  <c r="E55" i="10"/>
  <c r="V50" i="10"/>
  <c r="T50" i="10"/>
  <c r="E50" i="10"/>
  <c r="V49" i="10"/>
  <c r="T49" i="10"/>
  <c r="E49" i="10"/>
  <c r="V48" i="10"/>
  <c r="T48" i="10"/>
  <c r="E48" i="10"/>
  <c r="V47" i="10"/>
  <c r="T47" i="10"/>
  <c r="E47" i="10"/>
  <c r="V38" i="10"/>
  <c r="T38" i="10"/>
  <c r="E38" i="10"/>
  <c r="V37" i="10"/>
  <c r="T37" i="10"/>
  <c r="E37" i="10"/>
  <c r="V36" i="10"/>
  <c r="T36" i="10"/>
  <c r="E36" i="10"/>
  <c r="V35" i="10"/>
  <c r="T35" i="10"/>
  <c r="E35" i="10"/>
  <c r="V122" i="10"/>
  <c r="T122" i="10"/>
  <c r="E122" i="10"/>
  <c r="V121" i="10"/>
  <c r="T121" i="10"/>
  <c r="E121" i="10"/>
  <c r="V120" i="10"/>
  <c r="T120" i="10"/>
  <c r="E120" i="10"/>
  <c r="V119" i="10"/>
  <c r="T119" i="10"/>
  <c r="E119" i="10"/>
  <c r="V110" i="10"/>
  <c r="T110" i="10"/>
  <c r="E110" i="10"/>
  <c r="V109" i="10"/>
  <c r="T109" i="10"/>
  <c r="E109" i="10"/>
  <c r="V108" i="10"/>
  <c r="T108" i="10"/>
  <c r="E108" i="10"/>
  <c r="V107" i="10"/>
  <c r="T107" i="10"/>
  <c r="E107" i="10"/>
  <c r="V106" i="10"/>
  <c r="T106" i="10"/>
  <c r="E106" i="10"/>
  <c r="V105" i="10"/>
  <c r="T105" i="10"/>
  <c r="E105" i="10"/>
  <c r="V104" i="10"/>
  <c r="T104" i="10"/>
  <c r="E104" i="10"/>
  <c r="V103" i="10"/>
  <c r="T103" i="10"/>
  <c r="E103" i="10"/>
  <c r="V98" i="10"/>
  <c r="T98" i="10"/>
  <c r="E98" i="10"/>
  <c r="V97" i="10"/>
  <c r="T97" i="10"/>
  <c r="E97" i="10"/>
  <c r="V96" i="10"/>
  <c r="T96" i="10"/>
  <c r="E96" i="10"/>
  <c r="V95" i="10"/>
  <c r="T95" i="10"/>
  <c r="E95" i="10"/>
  <c r="V74" i="10"/>
  <c r="T74" i="10"/>
  <c r="E74" i="10"/>
  <c r="V73" i="10"/>
  <c r="T73" i="10"/>
  <c r="E73" i="10"/>
  <c r="V72" i="10"/>
  <c r="T72" i="10"/>
  <c r="E72" i="10"/>
  <c r="V71" i="10"/>
  <c r="T71" i="10"/>
  <c r="E71" i="10"/>
  <c r="T62" i="10"/>
  <c r="E62" i="10"/>
  <c r="T61" i="10"/>
  <c r="E61" i="10"/>
  <c r="T60" i="10"/>
  <c r="E60" i="10"/>
  <c r="T59" i="10"/>
  <c r="E59" i="10"/>
  <c r="V54" i="10"/>
  <c r="T54" i="10"/>
  <c r="E54" i="10"/>
  <c r="V53" i="10"/>
  <c r="T53" i="10"/>
  <c r="E53" i="10"/>
  <c r="V52" i="10"/>
  <c r="T52" i="10"/>
  <c r="E52" i="10"/>
  <c r="V51" i="10"/>
  <c r="T51" i="10"/>
  <c r="E51" i="10"/>
  <c r="V46" i="10"/>
  <c r="T46" i="10"/>
  <c r="E46" i="10"/>
  <c r="V45" i="10"/>
  <c r="T45" i="10"/>
  <c r="E45" i="10"/>
  <c r="V44" i="10"/>
  <c r="T44" i="10"/>
  <c r="E44" i="10"/>
  <c r="V43" i="10"/>
  <c r="T43" i="10"/>
  <c r="E43" i="10"/>
  <c r="V42" i="10"/>
  <c r="T42" i="10"/>
  <c r="E42" i="10"/>
  <c r="V41" i="10"/>
  <c r="T41" i="10"/>
  <c r="E41" i="10"/>
  <c r="V40" i="10"/>
  <c r="T40" i="10"/>
  <c r="E40" i="10"/>
  <c r="V39" i="10"/>
  <c r="T39" i="10"/>
  <c r="E39" i="10"/>
  <c r="L4" i="10"/>
  <c r="K4" i="10"/>
  <c r="H26" i="8"/>
  <c r="N26" i="8" s="1"/>
  <c r="E26" i="8"/>
  <c r="H25" i="8"/>
  <c r="N25" i="8" s="1"/>
  <c r="E25" i="8"/>
  <c r="N24" i="8"/>
  <c r="E24" i="8"/>
  <c r="N23" i="8"/>
  <c r="E23" i="8"/>
  <c r="H22" i="8"/>
  <c r="N22" i="8" s="1"/>
  <c r="E22" i="8"/>
  <c r="H21" i="8"/>
  <c r="N21" i="8" s="1"/>
  <c r="E21" i="8"/>
  <c r="M20" i="8"/>
  <c r="K20" i="8"/>
  <c r="H20" i="8"/>
  <c r="N20" i="8" s="1"/>
  <c r="G20" i="8"/>
  <c r="E20" i="8"/>
  <c r="H19" i="8"/>
  <c r="N19" i="8" s="1"/>
  <c r="P19" i="8" s="1"/>
  <c r="G19" i="8"/>
  <c r="E19" i="8"/>
  <c r="M18" i="8"/>
  <c r="K18" i="8"/>
  <c r="H18" i="8"/>
  <c r="N18" i="8" s="1"/>
  <c r="G18" i="8"/>
  <c r="E18" i="8"/>
  <c r="H17" i="8"/>
  <c r="N17" i="8" s="1"/>
  <c r="Q17" i="8" s="1"/>
  <c r="G17" i="8"/>
  <c r="E17" i="8"/>
  <c r="M16" i="8"/>
  <c r="K16" i="8"/>
  <c r="H16" i="8"/>
  <c r="N16" i="8" s="1"/>
  <c r="P16" i="8" s="1"/>
  <c r="G16" i="8"/>
  <c r="E16" i="8"/>
  <c r="M15" i="8"/>
  <c r="K15" i="8"/>
  <c r="H15" i="8"/>
  <c r="N15" i="8" s="1"/>
  <c r="G15" i="8"/>
  <c r="E15" i="8"/>
  <c r="H362" i="8"/>
  <c r="N362" i="8" s="1"/>
  <c r="E362" i="8"/>
  <c r="H361" i="8"/>
  <c r="N361" i="8" s="1"/>
  <c r="E361" i="8"/>
  <c r="H360" i="8"/>
  <c r="N360" i="8" s="1"/>
  <c r="E360" i="8"/>
  <c r="H359" i="8"/>
  <c r="N359" i="8" s="1"/>
  <c r="E359" i="8"/>
  <c r="H358" i="8"/>
  <c r="N358" i="8" s="1"/>
  <c r="E358" i="8"/>
  <c r="H357" i="8"/>
  <c r="N357" i="8" s="1"/>
  <c r="E357" i="8"/>
  <c r="H356" i="8"/>
  <c r="N356" i="8" s="1"/>
  <c r="E356" i="8"/>
  <c r="H355" i="8"/>
  <c r="N355" i="8" s="1"/>
  <c r="E355" i="8"/>
  <c r="H354" i="8"/>
  <c r="N354" i="8" s="1"/>
  <c r="E354" i="8"/>
  <c r="H353" i="8"/>
  <c r="N353" i="8" s="1"/>
  <c r="E353" i="8"/>
  <c r="H352" i="8"/>
  <c r="N352" i="8" s="1"/>
  <c r="E352" i="8"/>
  <c r="H351" i="8"/>
  <c r="N351" i="8" s="1"/>
  <c r="E351" i="8"/>
  <c r="H350" i="8"/>
  <c r="N350" i="8" s="1"/>
  <c r="E350" i="8"/>
  <c r="H349" i="8"/>
  <c r="N349" i="8" s="1"/>
  <c r="E349" i="8"/>
  <c r="H348" i="8"/>
  <c r="N348" i="8" s="1"/>
  <c r="E348" i="8"/>
  <c r="H347" i="8"/>
  <c r="N347" i="8" s="1"/>
  <c r="E347" i="8"/>
  <c r="H346" i="8"/>
  <c r="N346" i="8" s="1"/>
  <c r="E346" i="8"/>
  <c r="H345" i="8"/>
  <c r="N345" i="8" s="1"/>
  <c r="E345" i="8"/>
  <c r="H344" i="8"/>
  <c r="N344" i="8" s="1"/>
  <c r="E344" i="8"/>
  <c r="H343" i="8"/>
  <c r="N343" i="8" s="1"/>
  <c r="E343" i="8"/>
  <c r="H342" i="8"/>
  <c r="N342" i="8" s="1"/>
  <c r="E342" i="8"/>
  <c r="H341" i="8"/>
  <c r="N341" i="8" s="1"/>
  <c r="E341" i="8"/>
  <c r="H340" i="8"/>
  <c r="N340" i="8" s="1"/>
  <c r="E340" i="8"/>
  <c r="H339" i="8"/>
  <c r="N339" i="8" s="1"/>
  <c r="E339" i="8"/>
  <c r="H314" i="8"/>
  <c r="N314" i="8" s="1"/>
  <c r="E314" i="8"/>
  <c r="H313" i="8"/>
  <c r="N313" i="8" s="1"/>
  <c r="E313" i="8"/>
  <c r="H312" i="8"/>
  <c r="N312" i="8" s="1"/>
  <c r="E312" i="8"/>
  <c r="H311" i="8"/>
  <c r="N311" i="8" s="1"/>
  <c r="E311" i="8"/>
  <c r="H310" i="8"/>
  <c r="N310" i="8" s="1"/>
  <c r="E310" i="8"/>
  <c r="H309" i="8"/>
  <c r="N309" i="8" s="1"/>
  <c r="E309" i="8"/>
  <c r="H308" i="8"/>
  <c r="N308" i="8" s="1"/>
  <c r="E308" i="8"/>
  <c r="H307" i="8"/>
  <c r="N307" i="8" s="1"/>
  <c r="E307" i="8"/>
  <c r="H306" i="8"/>
  <c r="N306" i="8" s="1"/>
  <c r="E306" i="8"/>
  <c r="H305" i="8"/>
  <c r="N305" i="8" s="1"/>
  <c r="E305" i="8"/>
  <c r="H304" i="8"/>
  <c r="N304" i="8" s="1"/>
  <c r="E304" i="8"/>
  <c r="H303" i="8"/>
  <c r="N303" i="8" s="1"/>
  <c r="E303" i="8"/>
  <c r="H278" i="8"/>
  <c r="N278" i="8" s="1"/>
  <c r="E278" i="8"/>
  <c r="H277" i="8"/>
  <c r="N277" i="8" s="1"/>
  <c r="E277" i="8"/>
  <c r="H276" i="8"/>
  <c r="N276" i="8" s="1"/>
  <c r="E276" i="8"/>
  <c r="H275" i="8"/>
  <c r="N275" i="8" s="1"/>
  <c r="E275" i="8"/>
  <c r="H274" i="8"/>
  <c r="N274" i="8" s="1"/>
  <c r="E274" i="8"/>
  <c r="H273" i="8"/>
  <c r="N273" i="8" s="1"/>
  <c r="E273" i="8"/>
  <c r="H272" i="8"/>
  <c r="N272" i="8" s="1"/>
  <c r="E272" i="8"/>
  <c r="H271" i="8"/>
  <c r="N271" i="8" s="1"/>
  <c r="E271" i="8"/>
  <c r="H270" i="8"/>
  <c r="N270" i="8" s="1"/>
  <c r="E270" i="8"/>
  <c r="H269" i="8"/>
  <c r="N269" i="8" s="1"/>
  <c r="E269" i="8"/>
  <c r="H268" i="8"/>
  <c r="N268" i="8" s="1"/>
  <c r="E268" i="8"/>
  <c r="H267" i="8"/>
  <c r="N267" i="8" s="1"/>
  <c r="E267" i="8"/>
  <c r="H242" i="8"/>
  <c r="N242" i="8" s="1"/>
  <c r="E242" i="8"/>
  <c r="H241" i="8"/>
  <c r="N241" i="8" s="1"/>
  <c r="E241" i="8"/>
  <c r="H240" i="8"/>
  <c r="N240" i="8" s="1"/>
  <c r="E240" i="8"/>
  <c r="H239" i="8"/>
  <c r="N239" i="8" s="1"/>
  <c r="E239" i="8"/>
  <c r="H238" i="8"/>
  <c r="N238" i="8" s="1"/>
  <c r="E238" i="8"/>
  <c r="H237" i="8"/>
  <c r="N237" i="8" s="1"/>
  <c r="E237" i="8"/>
  <c r="H236" i="8"/>
  <c r="N236" i="8" s="1"/>
  <c r="E236" i="8"/>
  <c r="H235" i="8"/>
  <c r="N235" i="8" s="1"/>
  <c r="E235" i="8"/>
  <c r="H234" i="8"/>
  <c r="N234" i="8" s="1"/>
  <c r="E234" i="8"/>
  <c r="H233" i="8"/>
  <c r="N233" i="8" s="1"/>
  <c r="E233" i="8"/>
  <c r="H232" i="8"/>
  <c r="N232" i="8" s="1"/>
  <c r="E232" i="8"/>
  <c r="H231" i="8"/>
  <c r="N231" i="8" s="1"/>
  <c r="E231" i="8"/>
  <c r="H218" i="8"/>
  <c r="N218" i="8" s="1"/>
  <c r="E218" i="8"/>
  <c r="H217" i="8"/>
  <c r="N217" i="8" s="1"/>
  <c r="E217" i="8"/>
  <c r="H216" i="8"/>
  <c r="N216" i="8" s="1"/>
  <c r="E216" i="8"/>
  <c r="H215" i="8"/>
  <c r="N215" i="8" s="1"/>
  <c r="E215" i="8"/>
  <c r="H214" i="8"/>
  <c r="N214" i="8" s="1"/>
  <c r="E214" i="8"/>
  <c r="H213" i="8"/>
  <c r="N213" i="8" s="1"/>
  <c r="E213" i="8"/>
  <c r="H212" i="8"/>
  <c r="N212" i="8" s="1"/>
  <c r="E212" i="8"/>
  <c r="H211" i="8"/>
  <c r="N211" i="8" s="1"/>
  <c r="E211" i="8"/>
  <c r="H210" i="8"/>
  <c r="N210" i="8" s="1"/>
  <c r="E210" i="8"/>
  <c r="H209" i="8"/>
  <c r="N209" i="8" s="1"/>
  <c r="E209" i="8"/>
  <c r="H208" i="8"/>
  <c r="N208" i="8" s="1"/>
  <c r="E208" i="8"/>
  <c r="H207" i="8"/>
  <c r="N207" i="8" s="1"/>
  <c r="E207" i="8"/>
  <c r="H206" i="8"/>
  <c r="N206" i="8" s="1"/>
  <c r="E206" i="8"/>
  <c r="H205" i="8"/>
  <c r="N205" i="8" s="1"/>
  <c r="E205" i="8"/>
  <c r="H204" i="8"/>
  <c r="N204" i="8" s="1"/>
  <c r="E204" i="8"/>
  <c r="H203" i="8"/>
  <c r="N203" i="8" s="1"/>
  <c r="E203" i="8"/>
  <c r="H202" i="8"/>
  <c r="N202" i="8" s="1"/>
  <c r="E202" i="8"/>
  <c r="H201" i="8"/>
  <c r="N201" i="8" s="1"/>
  <c r="E201" i="8"/>
  <c r="H200" i="8"/>
  <c r="N200" i="8" s="1"/>
  <c r="E200" i="8"/>
  <c r="H199" i="8"/>
  <c r="N199" i="8" s="1"/>
  <c r="E199" i="8"/>
  <c r="H198" i="8"/>
  <c r="N198" i="8" s="1"/>
  <c r="E198" i="8"/>
  <c r="H197" i="8"/>
  <c r="N197" i="8" s="1"/>
  <c r="E197" i="8"/>
  <c r="H196" i="8"/>
  <c r="N196" i="8" s="1"/>
  <c r="E196" i="8"/>
  <c r="H195" i="8"/>
  <c r="N195" i="8" s="1"/>
  <c r="E195" i="8"/>
  <c r="H182" i="8"/>
  <c r="N182" i="8" s="1"/>
  <c r="E182" i="8"/>
  <c r="H181" i="8"/>
  <c r="N181" i="8" s="1"/>
  <c r="E181" i="8"/>
  <c r="H180" i="8"/>
  <c r="N180" i="8" s="1"/>
  <c r="E180" i="8"/>
  <c r="H179" i="8"/>
  <c r="N179" i="8" s="1"/>
  <c r="E179" i="8"/>
  <c r="H178" i="8"/>
  <c r="N178" i="8" s="1"/>
  <c r="E178" i="8"/>
  <c r="H177" i="8"/>
  <c r="N177" i="8" s="1"/>
  <c r="E177" i="8"/>
  <c r="H176" i="8"/>
  <c r="N176" i="8" s="1"/>
  <c r="E176" i="8"/>
  <c r="H175" i="8"/>
  <c r="N175" i="8" s="1"/>
  <c r="E175" i="8"/>
  <c r="H174" i="8"/>
  <c r="N174" i="8" s="1"/>
  <c r="E174" i="8"/>
  <c r="H173" i="8"/>
  <c r="N173" i="8" s="1"/>
  <c r="E173" i="8"/>
  <c r="H172" i="8"/>
  <c r="N172" i="8" s="1"/>
  <c r="E172" i="8"/>
  <c r="H171" i="8"/>
  <c r="N171" i="8" s="1"/>
  <c r="E171" i="8"/>
  <c r="H170" i="8"/>
  <c r="N170" i="8" s="1"/>
  <c r="E170" i="8"/>
  <c r="H169" i="8"/>
  <c r="N169" i="8" s="1"/>
  <c r="E169" i="8"/>
  <c r="H168" i="8"/>
  <c r="N168" i="8" s="1"/>
  <c r="E168" i="8"/>
  <c r="H167" i="8"/>
  <c r="N167" i="8" s="1"/>
  <c r="E167" i="8"/>
  <c r="H166" i="8"/>
  <c r="N166" i="8" s="1"/>
  <c r="E166" i="8"/>
  <c r="H165" i="8"/>
  <c r="N165" i="8" s="1"/>
  <c r="E165" i="8"/>
  <c r="H164" i="8"/>
  <c r="N164" i="8" s="1"/>
  <c r="E164" i="8"/>
  <c r="H163" i="8"/>
  <c r="N163" i="8" s="1"/>
  <c r="E163" i="8"/>
  <c r="H162" i="8"/>
  <c r="N162" i="8" s="1"/>
  <c r="E162" i="8"/>
  <c r="H161" i="8"/>
  <c r="N161" i="8" s="1"/>
  <c r="E161" i="8"/>
  <c r="H160" i="8"/>
  <c r="N160" i="8" s="1"/>
  <c r="E160" i="8"/>
  <c r="H159" i="8"/>
  <c r="N159" i="8" s="1"/>
  <c r="E159" i="8"/>
  <c r="H74" i="8"/>
  <c r="N74" i="8" s="1"/>
  <c r="E74" i="8"/>
  <c r="H73" i="8"/>
  <c r="N73" i="8" s="1"/>
  <c r="E73" i="8"/>
  <c r="H72" i="8"/>
  <c r="N72" i="8" s="1"/>
  <c r="E72" i="8"/>
  <c r="H71" i="8"/>
  <c r="N71" i="8" s="1"/>
  <c r="E71" i="8"/>
  <c r="H70" i="8"/>
  <c r="N70" i="8" s="1"/>
  <c r="E70" i="8"/>
  <c r="H69" i="8"/>
  <c r="N69" i="8" s="1"/>
  <c r="E69" i="8"/>
  <c r="H68" i="8"/>
  <c r="N68" i="8" s="1"/>
  <c r="E68" i="8"/>
  <c r="H67" i="8"/>
  <c r="N67" i="8" s="1"/>
  <c r="E67" i="8"/>
  <c r="H66" i="8"/>
  <c r="N66" i="8" s="1"/>
  <c r="E66" i="8"/>
  <c r="H65" i="8"/>
  <c r="N65" i="8" s="1"/>
  <c r="E65" i="8"/>
  <c r="H64" i="8"/>
  <c r="N64" i="8" s="1"/>
  <c r="E64" i="8"/>
  <c r="H63" i="8"/>
  <c r="N63" i="8" s="1"/>
  <c r="E63" i="8"/>
  <c r="H62" i="8"/>
  <c r="N62" i="8" s="1"/>
  <c r="E62" i="8"/>
  <c r="H61" i="8"/>
  <c r="N61" i="8" s="1"/>
  <c r="E61" i="8"/>
  <c r="H60" i="8"/>
  <c r="N60" i="8" s="1"/>
  <c r="E60" i="8"/>
  <c r="H59" i="8"/>
  <c r="N59" i="8" s="1"/>
  <c r="E59" i="8"/>
  <c r="H58" i="8"/>
  <c r="N58" i="8" s="1"/>
  <c r="E58" i="8"/>
  <c r="H57" i="8"/>
  <c r="N57" i="8" s="1"/>
  <c r="E57" i="8"/>
  <c r="H56" i="8"/>
  <c r="N56" i="8" s="1"/>
  <c r="E56" i="8"/>
  <c r="H55" i="8"/>
  <c r="N55" i="8" s="1"/>
  <c r="E55" i="8"/>
  <c r="H54" i="8"/>
  <c r="N54" i="8" s="1"/>
  <c r="E54" i="8"/>
  <c r="H53" i="8"/>
  <c r="N53" i="8" s="1"/>
  <c r="E53" i="8"/>
  <c r="H52" i="8"/>
  <c r="N52" i="8" s="1"/>
  <c r="E52" i="8"/>
  <c r="H51" i="8"/>
  <c r="N51" i="8" s="1"/>
  <c r="E51" i="8"/>
  <c r="H50" i="8"/>
  <c r="N50" i="8" s="1"/>
  <c r="E50" i="8"/>
  <c r="H49" i="8"/>
  <c r="N49" i="8" s="1"/>
  <c r="E49" i="8"/>
  <c r="H48" i="8"/>
  <c r="N48" i="8" s="1"/>
  <c r="E48" i="8"/>
  <c r="H47" i="8"/>
  <c r="N47" i="8" s="1"/>
  <c r="E47" i="8"/>
  <c r="H46" i="8"/>
  <c r="N46" i="8" s="1"/>
  <c r="E46" i="8"/>
  <c r="H45" i="8"/>
  <c r="N45" i="8" s="1"/>
  <c r="E45" i="8"/>
  <c r="H44" i="8"/>
  <c r="N44" i="8" s="1"/>
  <c r="E44" i="8"/>
  <c r="N43" i="8"/>
  <c r="E43" i="8"/>
  <c r="N42" i="8"/>
  <c r="E42" i="8"/>
  <c r="N41" i="8"/>
  <c r="E41" i="8"/>
  <c r="N40" i="8"/>
  <c r="E40" i="8"/>
  <c r="N39" i="8"/>
  <c r="E39" i="8"/>
  <c r="N38" i="8"/>
  <c r="E38" i="8"/>
  <c r="N37" i="8"/>
  <c r="E37" i="8"/>
  <c r="N36" i="8"/>
  <c r="E36" i="8"/>
  <c r="H35" i="8"/>
  <c r="N35" i="8" s="1"/>
  <c r="E35" i="8"/>
  <c r="H34" i="8"/>
  <c r="N34" i="8" s="1"/>
  <c r="E34" i="8"/>
  <c r="H33" i="8"/>
  <c r="N33" i="8" s="1"/>
  <c r="E33" i="8"/>
  <c r="H32" i="8"/>
  <c r="N32" i="8" s="1"/>
  <c r="E32" i="8"/>
  <c r="H31" i="8"/>
  <c r="N31" i="8" s="1"/>
  <c r="O31" i="8" s="1"/>
  <c r="P31" i="8" s="1"/>
  <c r="E31" i="8"/>
  <c r="H30" i="8"/>
  <c r="N30" i="8" s="1"/>
  <c r="E30" i="8"/>
  <c r="H29" i="8"/>
  <c r="N29" i="8" s="1"/>
  <c r="E29" i="8"/>
  <c r="H28" i="8"/>
  <c r="N28" i="8" s="1"/>
  <c r="E28" i="8"/>
  <c r="H27" i="8"/>
  <c r="N27" i="8" s="1"/>
  <c r="O27" i="8" s="1"/>
  <c r="P27" i="8" s="1"/>
  <c r="E27" i="8"/>
  <c r="H326" i="8"/>
  <c r="N326" i="8" s="1"/>
  <c r="E326" i="8"/>
  <c r="H325" i="8"/>
  <c r="N325" i="8" s="1"/>
  <c r="E325" i="8"/>
  <c r="H324" i="8"/>
  <c r="N324" i="8" s="1"/>
  <c r="E324" i="8"/>
  <c r="H323" i="8"/>
  <c r="N323" i="8" s="1"/>
  <c r="E323" i="8"/>
  <c r="H322" i="8"/>
  <c r="N322" i="8" s="1"/>
  <c r="E322" i="8"/>
  <c r="H321" i="8"/>
  <c r="N321" i="8" s="1"/>
  <c r="E321" i="8"/>
  <c r="H320" i="8"/>
  <c r="N320" i="8" s="1"/>
  <c r="E320" i="8"/>
  <c r="H319" i="8"/>
  <c r="N319" i="8" s="1"/>
  <c r="E319" i="8"/>
  <c r="H318" i="8"/>
  <c r="N318" i="8" s="1"/>
  <c r="E318" i="8"/>
  <c r="H317" i="8"/>
  <c r="N317" i="8" s="1"/>
  <c r="E317" i="8"/>
  <c r="H316" i="8"/>
  <c r="N316" i="8" s="1"/>
  <c r="E316" i="8"/>
  <c r="H315" i="8"/>
  <c r="N315" i="8" s="1"/>
  <c r="E315" i="8"/>
  <c r="H254" i="8"/>
  <c r="N254" i="8" s="1"/>
  <c r="E254" i="8"/>
  <c r="H253" i="8"/>
  <c r="N253" i="8" s="1"/>
  <c r="E253" i="8"/>
  <c r="H252" i="8"/>
  <c r="N252" i="8" s="1"/>
  <c r="E252" i="8"/>
  <c r="H251" i="8"/>
  <c r="N251" i="8" s="1"/>
  <c r="E251" i="8"/>
  <c r="H250" i="8"/>
  <c r="N250" i="8" s="1"/>
  <c r="E250" i="8"/>
  <c r="H249" i="8"/>
  <c r="N249" i="8" s="1"/>
  <c r="E249" i="8"/>
  <c r="H248" i="8"/>
  <c r="N248" i="8" s="1"/>
  <c r="E248" i="8"/>
  <c r="H247" i="8"/>
  <c r="N247" i="8" s="1"/>
  <c r="E247" i="8"/>
  <c r="H246" i="8"/>
  <c r="N246" i="8" s="1"/>
  <c r="E246" i="8"/>
  <c r="H245" i="8"/>
  <c r="N245" i="8" s="1"/>
  <c r="E245" i="8"/>
  <c r="H244" i="8"/>
  <c r="N244" i="8" s="1"/>
  <c r="E244" i="8"/>
  <c r="H243" i="8"/>
  <c r="N243" i="8" s="1"/>
  <c r="E243" i="8"/>
  <c r="H230" i="8"/>
  <c r="N230" i="8" s="1"/>
  <c r="E230" i="8"/>
  <c r="H229" i="8"/>
  <c r="N229" i="8" s="1"/>
  <c r="E229" i="8"/>
  <c r="H228" i="8"/>
  <c r="N228" i="8" s="1"/>
  <c r="E228" i="8"/>
  <c r="H227" i="8"/>
  <c r="N227" i="8" s="1"/>
  <c r="E227" i="8"/>
  <c r="H226" i="8"/>
  <c r="N226" i="8" s="1"/>
  <c r="E226" i="8"/>
  <c r="H225" i="8"/>
  <c r="N225" i="8" s="1"/>
  <c r="E225" i="8"/>
  <c r="H224" i="8"/>
  <c r="N224" i="8" s="1"/>
  <c r="E224" i="8"/>
  <c r="H223" i="8"/>
  <c r="N223" i="8" s="1"/>
  <c r="E223" i="8"/>
  <c r="H222" i="8"/>
  <c r="N222" i="8" s="1"/>
  <c r="E222" i="8"/>
  <c r="H221" i="8"/>
  <c r="N221" i="8" s="1"/>
  <c r="E221" i="8"/>
  <c r="H220" i="8"/>
  <c r="N220" i="8" s="1"/>
  <c r="E220" i="8"/>
  <c r="H219" i="8"/>
  <c r="N219" i="8" s="1"/>
  <c r="E219" i="8"/>
  <c r="H146" i="8"/>
  <c r="E146" i="8"/>
  <c r="H145" i="8"/>
  <c r="E145" i="8"/>
  <c r="H144" i="8"/>
  <c r="N144" i="8" s="1"/>
  <c r="E144" i="8"/>
  <c r="H143" i="8"/>
  <c r="N143" i="8" s="1"/>
  <c r="E143" i="8"/>
  <c r="H142" i="8"/>
  <c r="N142" i="8" s="1"/>
  <c r="E142" i="8"/>
  <c r="H141" i="8"/>
  <c r="N141" i="8" s="1"/>
  <c r="E141" i="8"/>
  <c r="H140" i="8"/>
  <c r="N140" i="8" s="1"/>
  <c r="E140" i="8"/>
  <c r="H139" i="8"/>
  <c r="N139" i="8" s="1"/>
  <c r="E139" i="8"/>
  <c r="H138" i="8"/>
  <c r="N138" i="8" s="1"/>
  <c r="E138" i="8"/>
  <c r="H137" i="8"/>
  <c r="N137" i="8" s="1"/>
  <c r="E137" i="8"/>
  <c r="H136" i="8"/>
  <c r="N136" i="8" s="1"/>
  <c r="E136" i="8"/>
  <c r="H135" i="8"/>
  <c r="E135" i="8"/>
  <c r="H122" i="8"/>
  <c r="N122" i="8" s="1"/>
  <c r="E122" i="8"/>
  <c r="H121" i="8"/>
  <c r="N121" i="8" s="1"/>
  <c r="E121" i="8"/>
  <c r="H120" i="8"/>
  <c r="N120" i="8" s="1"/>
  <c r="E120" i="8"/>
  <c r="H119" i="8"/>
  <c r="N119" i="8" s="1"/>
  <c r="E119" i="8"/>
  <c r="H118" i="8"/>
  <c r="N118" i="8" s="1"/>
  <c r="E118" i="8"/>
  <c r="H117" i="8"/>
  <c r="N117" i="8" s="1"/>
  <c r="E117" i="8"/>
  <c r="H116" i="8"/>
  <c r="N116" i="8" s="1"/>
  <c r="E116" i="8"/>
  <c r="H115" i="8"/>
  <c r="N115" i="8" s="1"/>
  <c r="E115" i="8"/>
  <c r="H114" i="8"/>
  <c r="N114" i="8" s="1"/>
  <c r="E114" i="8"/>
  <c r="H113" i="8"/>
  <c r="N113" i="8" s="1"/>
  <c r="E113" i="8"/>
  <c r="H112" i="8"/>
  <c r="N112" i="8" s="1"/>
  <c r="E112" i="8"/>
  <c r="H111" i="8"/>
  <c r="N111" i="8" s="1"/>
  <c r="E111" i="8"/>
  <c r="H86" i="8"/>
  <c r="N86" i="8" s="1"/>
  <c r="E86" i="8"/>
  <c r="H85" i="8"/>
  <c r="N85" i="8" s="1"/>
  <c r="E85" i="8"/>
  <c r="H84" i="8"/>
  <c r="N84" i="8" s="1"/>
  <c r="E84" i="8"/>
  <c r="H83" i="8"/>
  <c r="N83" i="8" s="1"/>
  <c r="E83" i="8"/>
  <c r="H82" i="8"/>
  <c r="N82" i="8" s="1"/>
  <c r="E82" i="8"/>
  <c r="H81" i="8"/>
  <c r="N81" i="8" s="1"/>
  <c r="E81" i="8"/>
  <c r="H80" i="8"/>
  <c r="N80" i="8" s="1"/>
  <c r="E80" i="8"/>
  <c r="H79" i="8"/>
  <c r="N79" i="8" s="1"/>
  <c r="E79" i="8"/>
  <c r="H78" i="8"/>
  <c r="N78" i="8" s="1"/>
  <c r="E78" i="8"/>
  <c r="H77" i="8"/>
  <c r="N77" i="8" s="1"/>
  <c r="E77" i="8"/>
  <c r="H76" i="8"/>
  <c r="N76" i="8" s="1"/>
  <c r="E76" i="8"/>
  <c r="H75" i="8"/>
  <c r="N75" i="8" s="1"/>
  <c r="E75" i="8"/>
  <c r="H338" i="8"/>
  <c r="N338" i="8" s="1"/>
  <c r="E338" i="8"/>
  <c r="H337" i="8"/>
  <c r="N337" i="8" s="1"/>
  <c r="E337" i="8"/>
  <c r="H336" i="8"/>
  <c r="N336" i="8" s="1"/>
  <c r="E336" i="8"/>
  <c r="H335" i="8"/>
  <c r="N335" i="8" s="1"/>
  <c r="E335" i="8"/>
  <c r="H334" i="8"/>
  <c r="N334" i="8" s="1"/>
  <c r="E334" i="8"/>
  <c r="H333" i="8"/>
  <c r="N333" i="8" s="1"/>
  <c r="E333" i="8"/>
  <c r="H332" i="8"/>
  <c r="N332" i="8" s="1"/>
  <c r="E332" i="8"/>
  <c r="H331" i="8"/>
  <c r="N331" i="8" s="1"/>
  <c r="E331" i="8"/>
  <c r="H330" i="8"/>
  <c r="N330" i="8" s="1"/>
  <c r="E330" i="8"/>
  <c r="H329" i="8"/>
  <c r="N329" i="8" s="1"/>
  <c r="E329" i="8"/>
  <c r="H328" i="8"/>
  <c r="N328" i="8" s="1"/>
  <c r="E328" i="8"/>
  <c r="H327" i="8"/>
  <c r="N327" i="8" s="1"/>
  <c r="E327" i="8"/>
  <c r="H302" i="8"/>
  <c r="N302" i="8" s="1"/>
  <c r="E302" i="8"/>
  <c r="H301" i="8"/>
  <c r="N301" i="8" s="1"/>
  <c r="E301" i="8"/>
  <c r="H300" i="8"/>
  <c r="N300" i="8" s="1"/>
  <c r="E300" i="8"/>
  <c r="H299" i="8"/>
  <c r="N299" i="8" s="1"/>
  <c r="E299" i="8"/>
  <c r="H298" i="8"/>
  <c r="N298" i="8" s="1"/>
  <c r="E298" i="8"/>
  <c r="H297" i="8"/>
  <c r="N297" i="8" s="1"/>
  <c r="E297" i="8"/>
  <c r="H296" i="8"/>
  <c r="N296" i="8" s="1"/>
  <c r="E296" i="8"/>
  <c r="H295" i="8"/>
  <c r="N295" i="8" s="1"/>
  <c r="E295" i="8"/>
  <c r="H294" i="8"/>
  <c r="N294" i="8" s="1"/>
  <c r="E294" i="8"/>
  <c r="H293" i="8"/>
  <c r="N293" i="8" s="1"/>
  <c r="E293" i="8"/>
  <c r="H292" i="8"/>
  <c r="N292" i="8" s="1"/>
  <c r="E292" i="8"/>
  <c r="H291" i="8"/>
  <c r="N291" i="8" s="1"/>
  <c r="E291" i="8"/>
  <c r="H290" i="8"/>
  <c r="N290" i="8" s="1"/>
  <c r="E290" i="8"/>
  <c r="H289" i="8"/>
  <c r="N289" i="8" s="1"/>
  <c r="E289" i="8"/>
  <c r="H288" i="8"/>
  <c r="N288" i="8" s="1"/>
  <c r="E288" i="8"/>
  <c r="H287" i="8"/>
  <c r="N287" i="8" s="1"/>
  <c r="E287" i="8"/>
  <c r="H286" i="8"/>
  <c r="N286" i="8" s="1"/>
  <c r="E286" i="8"/>
  <c r="H285" i="8"/>
  <c r="N285" i="8" s="1"/>
  <c r="E285" i="8"/>
  <c r="H284" i="8"/>
  <c r="N284" i="8" s="1"/>
  <c r="E284" i="8"/>
  <c r="H283" i="8"/>
  <c r="N283" i="8" s="1"/>
  <c r="E283" i="8"/>
  <c r="H282" i="8"/>
  <c r="N282" i="8" s="1"/>
  <c r="E282" i="8"/>
  <c r="H281" i="8"/>
  <c r="N281" i="8" s="1"/>
  <c r="E281" i="8"/>
  <c r="H280" i="8"/>
  <c r="N280" i="8" s="1"/>
  <c r="E280" i="8"/>
  <c r="H279" i="8"/>
  <c r="N279" i="8" s="1"/>
  <c r="E279" i="8"/>
  <c r="H266" i="8"/>
  <c r="N266" i="8" s="1"/>
  <c r="E266" i="8"/>
  <c r="H265" i="8"/>
  <c r="N265" i="8" s="1"/>
  <c r="E265" i="8"/>
  <c r="H264" i="8"/>
  <c r="N264" i="8" s="1"/>
  <c r="E264" i="8"/>
  <c r="H263" i="8"/>
  <c r="N263" i="8" s="1"/>
  <c r="E263" i="8"/>
  <c r="H262" i="8"/>
  <c r="N262" i="8" s="1"/>
  <c r="E262" i="8"/>
  <c r="H261" i="8"/>
  <c r="N261" i="8" s="1"/>
  <c r="E261" i="8"/>
  <c r="H260" i="8"/>
  <c r="N260" i="8" s="1"/>
  <c r="E260" i="8"/>
  <c r="H259" i="8"/>
  <c r="N259" i="8" s="1"/>
  <c r="E259" i="8"/>
  <c r="H258" i="8"/>
  <c r="N258" i="8" s="1"/>
  <c r="E258" i="8"/>
  <c r="H257" i="8"/>
  <c r="N257" i="8" s="1"/>
  <c r="E257" i="8"/>
  <c r="H256" i="8"/>
  <c r="N256" i="8" s="1"/>
  <c r="E256" i="8"/>
  <c r="H255" i="8"/>
  <c r="N255" i="8" s="1"/>
  <c r="E255" i="8"/>
  <c r="H194" i="8"/>
  <c r="N194" i="8" s="1"/>
  <c r="E194" i="8"/>
  <c r="H193" i="8"/>
  <c r="N193" i="8" s="1"/>
  <c r="E193" i="8"/>
  <c r="H192" i="8"/>
  <c r="N192" i="8" s="1"/>
  <c r="E192" i="8"/>
  <c r="H191" i="8"/>
  <c r="N191" i="8" s="1"/>
  <c r="E191" i="8"/>
  <c r="H190" i="8"/>
  <c r="N190" i="8" s="1"/>
  <c r="E190" i="8"/>
  <c r="H189" i="8"/>
  <c r="N189" i="8" s="1"/>
  <c r="E189" i="8"/>
  <c r="H188" i="8"/>
  <c r="N188" i="8" s="1"/>
  <c r="E188" i="8"/>
  <c r="H187" i="8"/>
  <c r="N187" i="8" s="1"/>
  <c r="E187" i="8"/>
  <c r="H186" i="8"/>
  <c r="N186" i="8" s="1"/>
  <c r="E186" i="8"/>
  <c r="H185" i="8"/>
  <c r="N185" i="8" s="1"/>
  <c r="E185" i="8"/>
  <c r="H184" i="8"/>
  <c r="N184" i="8" s="1"/>
  <c r="E184" i="8"/>
  <c r="H183" i="8"/>
  <c r="N183" i="8" s="1"/>
  <c r="E183" i="8"/>
  <c r="H158" i="8"/>
  <c r="N158" i="8" s="1"/>
  <c r="E158" i="8"/>
  <c r="H157" i="8"/>
  <c r="N157" i="8" s="1"/>
  <c r="E157" i="8"/>
  <c r="H156" i="8"/>
  <c r="N156" i="8" s="1"/>
  <c r="E156" i="8"/>
  <c r="H155" i="8"/>
  <c r="N155" i="8" s="1"/>
  <c r="E155" i="8"/>
  <c r="H154" i="8"/>
  <c r="N154" i="8" s="1"/>
  <c r="E154" i="8"/>
  <c r="H153" i="8"/>
  <c r="N153" i="8" s="1"/>
  <c r="E153" i="8"/>
  <c r="H152" i="8"/>
  <c r="N152" i="8" s="1"/>
  <c r="E152" i="8"/>
  <c r="H151" i="8"/>
  <c r="N151" i="8" s="1"/>
  <c r="E151" i="8"/>
  <c r="H150" i="8"/>
  <c r="N150" i="8" s="1"/>
  <c r="E150" i="8"/>
  <c r="H149" i="8"/>
  <c r="N149" i="8" s="1"/>
  <c r="E149" i="8"/>
  <c r="H148" i="8"/>
  <c r="N148" i="8" s="1"/>
  <c r="E148" i="8"/>
  <c r="H147" i="8"/>
  <c r="N147" i="8" s="1"/>
  <c r="E147" i="8"/>
  <c r="H134" i="8"/>
  <c r="N134" i="8" s="1"/>
  <c r="E134" i="8"/>
  <c r="H133" i="8"/>
  <c r="N133" i="8" s="1"/>
  <c r="E133" i="8"/>
  <c r="H132" i="8"/>
  <c r="N132" i="8" s="1"/>
  <c r="E132" i="8"/>
  <c r="H131" i="8"/>
  <c r="N131" i="8" s="1"/>
  <c r="E131" i="8"/>
  <c r="H130" i="8"/>
  <c r="N130" i="8" s="1"/>
  <c r="E130" i="8"/>
  <c r="H129" i="8"/>
  <c r="N129" i="8" s="1"/>
  <c r="E129" i="8"/>
  <c r="H128" i="8"/>
  <c r="N128" i="8" s="1"/>
  <c r="E128" i="8"/>
  <c r="H127" i="8"/>
  <c r="N127" i="8" s="1"/>
  <c r="E127" i="8"/>
  <c r="H126" i="8"/>
  <c r="N126" i="8" s="1"/>
  <c r="E126" i="8"/>
  <c r="H125" i="8"/>
  <c r="N125" i="8" s="1"/>
  <c r="E125" i="8"/>
  <c r="H124" i="8"/>
  <c r="N124" i="8" s="1"/>
  <c r="E124" i="8"/>
  <c r="H123" i="8"/>
  <c r="N123" i="8" s="1"/>
  <c r="E123" i="8"/>
  <c r="H110" i="8"/>
  <c r="N110" i="8" s="1"/>
  <c r="E110" i="8"/>
  <c r="H109" i="8"/>
  <c r="N109" i="8" s="1"/>
  <c r="E109" i="8"/>
  <c r="H108" i="8"/>
  <c r="N108" i="8" s="1"/>
  <c r="E108" i="8"/>
  <c r="H107" i="8"/>
  <c r="N107" i="8" s="1"/>
  <c r="E107" i="8"/>
  <c r="H106" i="8"/>
  <c r="N106" i="8" s="1"/>
  <c r="E106" i="8"/>
  <c r="H105" i="8"/>
  <c r="N105" i="8" s="1"/>
  <c r="E105" i="8"/>
  <c r="H104" i="8"/>
  <c r="N104" i="8" s="1"/>
  <c r="E104" i="8"/>
  <c r="H103" i="8"/>
  <c r="N103" i="8" s="1"/>
  <c r="E103" i="8"/>
  <c r="H102" i="8"/>
  <c r="N102" i="8" s="1"/>
  <c r="E102" i="8"/>
  <c r="H101" i="8"/>
  <c r="N101" i="8" s="1"/>
  <c r="E101" i="8"/>
  <c r="H100" i="8"/>
  <c r="N100" i="8" s="1"/>
  <c r="E100" i="8"/>
  <c r="H99" i="8"/>
  <c r="N99" i="8" s="1"/>
  <c r="E99" i="8"/>
  <c r="H98" i="8"/>
  <c r="N98" i="8" s="1"/>
  <c r="E98" i="8"/>
  <c r="H97" i="8"/>
  <c r="N97" i="8" s="1"/>
  <c r="E97" i="8"/>
  <c r="H96" i="8"/>
  <c r="N96" i="8" s="1"/>
  <c r="E96" i="8"/>
  <c r="H95" i="8"/>
  <c r="N95" i="8" s="1"/>
  <c r="E95" i="8"/>
  <c r="H94" i="8"/>
  <c r="N94" i="8" s="1"/>
  <c r="E94" i="8"/>
  <c r="H93" i="8"/>
  <c r="N93" i="8" s="1"/>
  <c r="E93" i="8"/>
  <c r="H92" i="8"/>
  <c r="N92" i="8" s="1"/>
  <c r="E92" i="8"/>
  <c r="H91" i="8"/>
  <c r="N91" i="8" s="1"/>
  <c r="E91" i="8"/>
  <c r="H90" i="8"/>
  <c r="N90" i="8" s="1"/>
  <c r="E90" i="8"/>
  <c r="H89" i="8"/>
  <c r="N89" i="8" s="1"/>
  <c r="E89" i="8"/>
  <c r="H88" i="8"/>
  <c r="N88" i="8" s="1"/>
  <c r="E88" i="8"/>
  <c r="H87" i="8"/>
  <c r="N87" i="8" s="1"/>
  <c r="E87" i="8"/>
  <c r="I4" i="8"/>
  <c r="F4" i="8"/>
  <c r="U15" i="20"/>
  <c r="S15" i="20"/>
  <c r="Q15" i="20"/>
  <c r="O15" i="20"/>
  <c r="M15" i="20"/>
  <c r="E15" i="20"/>
  <c r="D15" i="20"/>
  <c r="U44" i="20"/>
  <c r="S44" i="20"/>
  <c r="Q44" i="20"/>
  <c r="O44" i="20"/>
  <c r="M44" i="20"/>
  <c r="E44" i="20"/>
  <c r="D44" i="20"/>
  <c r="U43" i="20"/>
  <c r="S43" i="20"/>
  <c r="Q43" i="20"/>
  <c r="O43" i="20"/>
  <c r="M43" i="20"/>
  <c r="E43" i="20"/>
  <c r="U39" i="20"/>
  <c r="S39" i="20"/>
  <c r="Q39" i="20"/>
  <c r="O39" i="20"/>
  <c r="M39" i="20"/>
  <c r="E39" i="20"/>
  <c r="U36" i="20"/>
  <c r="S36" i="20"/>
  <c r="Q36" i="20"/>
  <c r="O36" i="20"/>
  <c r="M36" i="20"/>
  <c r="E36" i="20"/>
  <c r="U33" i="20"/>
  <c r="S33" i="20"/>
  <c r="Q33" i="20"/>
  <c r="O33" i="20"/>
  <c r="M33" i="20"/>
  <c r="E33" i="20"/>
  <c r="D33" i="20"/>
  <c r="U31" i="20"/>
  <c r="S31" i="20"/>
  <c r="Q31" i="20"/>
  <c r="O31" i="20"/>
  <c r="M31" i="20"/>
  <c r="E31" i="20"/>
  <c r="D31" i="20"/>
  <c r="U30" i="20"/>
  <c r="S30" i="20"/>
  <c r="Q30" i="20"/>
  <c r="O30" i="20"/>
  <c r="M30" i="20"/>
  <c r="E30" i="20"/>
  <c r="D30" i="20"/>
  <c r="U28" i="20"/>
  <c r="S28" i="20"/>
  <c r="Q28" i="20"/>
  <c r="E28" i="20"/>
  <c r="D28" i="20"/>
  <c r="U27" i="20"/>
  <c r="S27" i="20"/>
  <c r="Q27" i="20"/>
  <c r="U19" i="20"/>
  <c r="S19" i="20"/>
  <c r="Q19" i="20"/>
  <c r="O19" i="20"/>
  <c r="M19" i="20"/>
  <c r="E19" i="20"/>
  <c r="D19" i="20"/>
  <c r="U18" i="20"/>
  <c r="S18" i="20"/>
  <c r="Q18" i="20"/>
  <c r="O18" i="20"/>
  <c r="M18" i="20"/>
  <c r="E18" i="20"/>
  <c r="D18" i="20"/>
  <c r="U17" i="20"/>
  <c r="S17" i="20"/>
  <c r="Q17" i="20"/>
  <c r="O17" i="20"/>
  <c r="M17" i="20"/>
  <c r="E17" i="20"/>
  <c r="D17" i="20"/>
  <c r="U16" i="20"/>
  <c r="S16" i="20"/>
  <c r="Q16" i="20"/>
  <c r="O16" i="20"/>
  <c r="M16" i="20"/>
  <c r="E16" i="20"/>
  <c r="D16" i="20"/>
  <c r="U41" i="20"/>
  <c r="S41" i="20"/>
  <c r="Q41" i="20"/>
  <c r="O41" i="20"/>
  <c r="M41" i="20"/>
  <c r="E41" i="20"/>
  <c r="U34" i="20"/>
  <c r="S34" i="20"/>
  <c r="Q34" i="20"/>
  <c r="O34" i="20"/>
  <c r="M34" i="20"/>
  <c r="E34" i="20"/>
  <c r="D34" i="20"/>
  <c r="U32" i="20"/>
  <c r="S32" i="20"/>
  <c r="Q32" i="20"/>
  <c r="O32" i="20"/>
  <c r="M32" i="20"/>
  <c r="E32" i="20"/>
  <c r="D32" i="20"/>
  <c r="U25" i="20"/>
  <c r="S25" i="20"/>
  <c r="Q25" i="20"/>
  <c r="U23" i="20"/>
  <c r="S23" i="20"/>
  <c r="Q23" i="20"/>
  <c r="U20" i="20"/>
  <c r="S20" i="20"/>
  <c r="Q20" i="20"/>
  <c r="O20" i="20"/>
  <c r="M20" i="20"/>
  <c r="E20" i="20"/>
  <c r="D20" i="20"/>
  <c r="U42" i="20"/>
  <c r="S42" i="20"/>
  <c r="Q42" i="20"/>
  <c r="O42" i="20"/>
  <c r="M42" i="20"/>
  <c r="E42" i="20"/>
  <c r="U40" i="20"/>
  <c r="S40" i="20"/>
  <c r="Q40" i="20"/>
  <c r="O40" i="20"/>
  <c r="M40" i="20"/>
  <c r="E40" i="20"/>
  <c r="U38" i="20"/>
  <c r="S38" i="20"/>
  <c r="Q38" i="20"/>
  <c r="O38" i="20"/>
  <c r="M38" i="20"/>
  <c r="E38" i="20"/>
  <c r="U37" i="20"/>
  <c r="S37" i="20"/>
  <c r="Q37" i="20"/>
  <c r="O37" i="20"/>
  <c r="M37" i="20"/>
  <c r="E37" i="20"/>
  <c r="U35" i="20"/>
  <c r="S35" i="20"/>
  <c r="Q35" i="20"/>
  <c r="O35" i="20"/>
  <c r="M35" i="20"/>
  <c r="E35" i="20"/>
  <c r="D35" i="20"/>
  <c r="U29" i="20"/>
  <c r="S29" i="20"/>
  <c r="Q29" i="20"/>
  <c r="O29" i="20"/>
  <c r="M29" i="20"/>
  <c r="E29" i="20"/>
  <c r="D29" i="20"/>
  <c r="U26" i="20"/>
  <c r="S26" i="20"/>
  <c r="Q26" i="20"/>
  <c r="U24" i="20"/>
  <c r="S24" i="20"/>
  <c r="Q24" i="20"/>
  <c r="U22" i="20"/>
  <c r="S22" i="20"/>
  <c r="Q22" i="20"/>
  <c r="U21" i="20"/>
  <c r="S21" i="20"/>
  <c r="Q21" i="20"/>
  <c r="O21" i="20"/>
  <c r="M21" i="20"/>
  <c r="E21" i="20"/>
  <c r="D21" i="20"/>
  <c r="U19" i="7"/>
  <c r="T19" i="7"/>
  <c r="AA19" i="7" s="1"/>
  <c r="Q19" i="7"/>
  <c r="P19" i="7"/>
  <c r="O19" i="7"/>
  <c r="N19" i="7"/>
  <c r="M19" i="7"/>
  <c r="L19" i="7"/>
  <c r="K19" i="7"/>
  <c r="J19" i="7"/>
  <c r="I19" i="7"/>
  <c r="H19" i="7"/>
  <c r="G19" i="7"/>
  <c r="F19" i="7"/>
  <c r="E19" i="7"/>
  <c r="U18" i="7"/>
  <c r="Q18" i="7"/>
  <c r="P18" i="7"/>
  <c r="O18" i="7"/>
  <c r="N18" i="7"/>
  <c r="M18" i="7"/>
  <c r="L18" i="7"/>
  <c r="K18" i="7"/>
  <c r="J18" i="7"/>
  <c r="I18" i="7"/>
  <c r="H18" i="7"/>
  <c r="G18" i="7"/>
  <c r="F18" i="7"/>
  <c r="E18" i="7"/>
  <c r="U17" i="7"/>
  <c r="AA17" i="7"/>
  <c r="Q17" i="7"/>
  <c r="P17" i="7"/>
  <c r="O17" i="7"/>
  <c r="N17" i="7"/>
  <c r="M17" i="7"/>
  <c r="L17" i="7"/>
  <c r="K17" i="7"/>
  <c r="J17" i="7"/>
  <c r="I17" i="7"/>
  <c r="H17" i="7"/>
  <c r="G17" i="7"/>
  <c r="F17" i="7"/>
  <c r="E17" i="7"/>
  <c r="U16" i="7"/>
  <c r="Q16" i="7"/>
  <c r="P16" i="7"/>
  <c r="O16" i="7"/>
  <c r="N16" i="7"/>
  <c r="M16" i="7"/>
  <c r="L16" i="7"/>
  <c r="K16" i="7"/>
  <c r="J16" i="7"/>
  <c r="I16" i="7"/>
  <c r="H16" i="7"/>
  <c r="G16" i="7"/>
  <c r="F16" i="7"/>
  <c r="E16" i="7"/>
  <c r="U15" i="7"/>
  <c r="Q15" i="7"/>
  <c r="P15" i="7"/>
  <c r="O15" i="7"/>
  <c r="N15" i="7"/>
  <c r="M15" i="7"/>
  <c r="L15" i="7"/>
  <c r="K15" i="7"/>
  <c r="J15" i="7"/>
  <c r="I15" i="7"/>
  <c r="H15" i="7"/>
  <c r="G15" i="7"/>
  <c r="F15" i="7"/>
  <c r="E15" i="7"/>
  <c r="AQ159" i="7"/>
  <c r="T159" i="7"/>
  <c r="V159" i="7" s="1"/>
  <c r="AE159" i="7" s="1"/>
  <c r="E159" i="7"/>
  <c r="AQ158" i="7"/>
  <c r="T158" i="7"/>
  <c r="AA158" i="7" s="1"/>
  <c r="E158" i="7"/>
  <c r="AQ157" i="7"/>
  <c r="T157" i="7"/>
  <c r="AA157" i="7" s="1"/>
  <c r="E157" i="7"/>
  <c r="AQ156" i="7"/>
  <c r="T156" i="7"/>
  <c r="E156" i="7"/>
  <c r="AQ155" i="7"/>
  <c r="T155" i="7"/>
  <c r="E155" i="7"/>
  <c r="AQ154" i="7"/>
  <c r="T154" i="7"/>
  <c r="AA154" i="7" s="1"/>
  <c r="E154" i="7"/>
  <c r="AQ153" i="7"/>
  <c r="T153" i="7"/>
  <c r="E153" i="7"/>
  <c r="AQ152" i="7"/>
  <c r="T152" i="7"/>
  <c r="E152" i="7"/>
  <c r="AQ151" i="7"/>
  <c r="T151" i="7"/>
  <c r="E151" i="7"/>
  <c r="AQ150" i="7"/>
  <c r="T150" i="7"/>
  <c r="E150" i="7"/>
  <c r="AQ139" i="7"/>
  <c r="T139" i="7"/>
  <c r="AA139" i="7" s="1"/>
  <c r="E139" i="7"/>
  <c r="AQ138" i="7"/>
  <c r="T138" i="7"/>
  <c r="E138" i="7"/>
  <c r="AQ137" i="7"/>
  <c r="T137" i="7"/>
  <c r="E137" i="7"/>
  <c r="AQ136" i="7"/>
  <c r="T136" i="7"/>
  <c r="AA136" i="7" s="1"/>
  <c r="E136" i="7"/>
  <c r="AQ135" i="7"/>
  <c r="T135" i="7"/>
  <c r="AA135" i="7" s="1"/>
  <c r="E135" i="7"/>
  <c r="AQ124" i="7"/>
  <c r="T124" i="7"/>
  <c r="E124" i="7"/>
  <c r="AQ123" i="7"/>
  <c r="T123" i="7"/>
  <c r="E123" i="7"/>
  <c r="AQ122" i="7"/>
  <c r="T122" i="7"/>
  <c r="AA122" i="7" s="1"/>
  <c r="E122" i="7"/>
  <c r="AQ121" i="7"/>
  <c r="T121" i="7"/>
  <c r="E121" i="7"/>
  <c r="AQ120" i="7"/>
  <c r="T120" i="7"/>
  <c r="E120" i="7"/>
  <c r="AQ109" i="7"/>
  <c r="T109" i="7"/>
  <c r="AA109" i="7" s="1"/>
  <c r="AD109" i="7" s="1"/>
  <c r="E109" i="7"/>
  <c r="AQ108" i="7"/>
  <c r="T108" i="7"/>
  <c r="E108" i="7"/>
  <c r="AQ107" i="7"/>
  <c r="T107" i="7"/>
  <c r="AA107" i="7" s="1"/>
  <c r="E107" i="7"/>
  <c r="AQ106" i="7"/>
  <c r="T106" i="7"/>
  <c r="E106" i="7"/>
  <c r="AQ105" i="7"/>
  <c r="T105" i="7"/>
  <c r="E105" i="7"/>
  <c r="AQ99" i="7"/>
  <c r="T99" i="7"/>
  <c r="AA99" i="7" s="1"/>
  <c r="E99" i="7"/>
  <c r="AQ98" i="7"/>
  <c r="T98" i="7"/>
  <c r="AA98" i="7" s="1"/>
  <c r="E98" i="7"/>
  <c r="AQ97" i="7"/>
  <c r="T97" i="7"/>
  <c r="E97" i="7"/>
  <c r="AQ96" i="7"/>
  <c r="T96" i="7"/>
  <c r="E96" i="7"/>
  <c r="AQ95" i="7"/>
  <c r="T95" i="7"/>
  <c r="AA95" i="7" s="1"/>
  <c r="E95" i="7"/>
  <c r="AQ94" i="7"/>
  <c r="T94" i="7"/>
  <c r="E94" i="7"/>
  <c r="AQ93" i="7"/>
  <c r="T93" i="7"/>
  <c r="E93" i="7"/>
  <c r="AQ92" i="7"/>
  <c r="T92" i="7"/>
  <c r="E92" i="7"/>
  <c r="AQ91" i="7"/>
  <c r="T91" i="7"/>
  <c r="E91" i="7"/>
  <c r="AQ90" i="7"/>
  <c r="T90" i="7"/>
  <c r="E90" i="7"/>
  <c r="AQ84" i="7"/>
  <c r="T84" i="7"/>
  <c r="E84" i="7"/>
  <c r="AQ83" i="7"/>
  <c r="T83" i="7"/>
  <c r="E83" i="7"/>
  <c r="AQ82" i="7"/>
  <c r="T82" i="7"/>
  <c r="AA82" i="7" s="1"/>
  <c r="E82" i="7"/>
  <c r="AQ81" i="7"/>
  <c r="T81" i="7"/>
  <c r="AA81" i="7" s="1"/>
  <c r="E81" i="7"/>
  <c r="AQ80" i="7"/>
  <c r="T80" i="7"/>
  <c r="E80" i="7"/>
  <c r="AQ79" i="7"/>
  <c r="T79" i="7"/>
  <c r="AA79" i="7" s="1"/>
  <c r="E79" i="7"/>
  <c r="AQ78" i="7"/>
  <c r="T78" i="7"/>
  <c r="AA78" i="7" s="1"/>
  <c r="E78" i="7"/>
  <c r="AQ77" i="7"/>
  <c r="T77" i="7"/>
  <c r="AA77" i="7" s="1"/>
  <c r="E77" i="7"/>
  <c r="AQ76" i="7"/>
  <c r="T76" i="7"/>
  <c r="AA76" i="7" s="1"/>
  <c r="E76" i="7"/>
  <c r="AQ75" i="7"/>
  <c r="T75" i="7"/>
  <c r="E75" i="7"/>
  <c r="AQ39" i="7"/>
  <c r="E39" i="7"/>
  <c r="AQ38" i="7"/>
  <c r="AA38" i="7"/>
  <c r="E38" i="7"/>
  <c r="AQ37" i="7"/>
  <c r="E37" i="7"/>
  <c r="AQ36" i="7"/>
  <c r="AA36" i="7"/>
  <c r="E36" i="7"/>
  <c r="AQ35" i="7"/>
  <c r="T35" i="7"/>
  <c r="AA35" i="7" s="1"/>
  <c r="E35" i="7"/>
  <c r="AQ34" i="7"/>
  <c r="T34" i="7"/>
  <c r="E34" i="7"/>
  <c r="AQ33" i="7"/>
  <c r="T33" i="7"/>
  <c r="E33" i="7"/>
  <c r="AQ32" i="7"/>
  <c r="AA32" i="7"/>
  <c r="AQ31" i="7"/>
  <c r="T31" i="7"/>
  <c r="E31" i="7"/>
  <c r="AQ30" i="7"/>
  <c r="T30" i="7"/>
  <c r="AA30" i="7" s="1"/>
  <c r="E30" i="7"/>
  <c r="AQ29" i="7"/>
  <c r="T29" i="7"/>
  <c r="AA29" i="7" s="1"/>
  <c r="E29" i="7"/>
  <c r="AQ28" i="7"/>
  <c r="T28" i="7"/>
  <c r="E28" i="7"/>
  <c r="AQ27" i="7"/>
  <c r="T27" i="7"/>
  <c r="AA27" i="7" s="1"/>
  <c r="E27" i="7"/>
  <c r="AQ26" i="7"/>
  <c r="T26" i="7"/>
  <c r="AA26" i="7" s="1"/>
  <c r="E26" i="7"/>
  <c r="AQ25" i="7"/>
  <c r="T25" i="7"/>
  <c r="AA25" i="7" s="1"/>
  <c r="E25" i="7"/>
  <c r="AQ24" i="7"/>
  <c r="T24" i="7"/>
  <c r="E24" i="7"/>
  <c r="AQ23" i="7"/>
  <c r="T23" i="7"/>
  <c r="AA23" i="7" s="1"/>
  <c r="E23" i="7"/>
  <c r="AQ22" i="7"/>
  <c r="T22" i="7"/>
  <c r="AA22" i="7" s="1"/>
  <c r="E22" i="7"/>
  <c r="AQ21" i="7"/>
  <c r="T21" i="7"/>
  <c r="AA21" i="7" s="1"/>
  <c r="E21" i="7"/>
  <c r="AQ20" i="7"/>
  <c r="T20" i="7"/>
  <c r="E20" i="7"/>
  <c r="AQ144" i="7"/>
  <c r="T144" i="7"/>
  <c r="AA144" i="7" s="1"/>
  <c r="E144" i="7"/>
  <c r="AQ143" i="7"/>
  <c r="T143" i="7"/>
  <c r="AA143" i="7" s="1"/>
  <c r="E143" i="7"/>
  <c r="AQ142" i="7"/>
  <c r="T142" i="7"/>
  <c r="AA142" i="7" s="1"/>
  <c r="E142" i="7"/>
  <c r="AQ141" i="7"/>
  <c r="T141" i="7"/>
  <c r="E141" i="7"/>
  <c r="AQ140" i="7"/>
  <c r="T140" i="7"/>
  <c r="AA140" i="7" s="1"/>
  <c r="E140" i="7"/>
  <c r="AQ114" i="7"/>
  <c r="T114" i="7"/>
  <c r="V114" i="7" s="1"/>
  <c r="AE114" i="7" s="1"/>
  <c r="AH114" i="7" s="1"/>
  <c r="E114" i="7"/>
  <c r="AQ113" i="7"/>
  <c r="T113" i="7"/>
  <c r="AA113" i="7" s="1"/>
  <c r="E113" i="7"/>
  <c r="AQ112" i="7"/>
  <c r="T112" i="7"/>
  <c r="E112" i="7"/>
  <c r="AQ111" i="7"/>
  <c r="T111" i="7"/>
  <c r="E111" i="7"/>
  <c r="AQ110" i="7"/>
  <c r="T110" i="7"/>
  <c r="AA110" i="7" s="1"/>
  <c r="E110" i="7"/>
  <c r="AQ104" i="7"/>
  <c r="T104" i="7"/>
  <c r="AA104" i="7" s="1"/>
  <c r="E104" i="7"/>
  <c r="AQ103" i="7"/>
  <c r="T103" i="7"/>
  <c r="E103" i="7"/>
  <c r="AQ102" i="7"/>
  <c r="T102" i="7"/>
  <c r="AA102" i="7" s="1"/>
  <c r="E102" i="7"/>
  <c r="AQ101" i="7"/>
  <c r="T101" i="7"/>
  <c r="AA101" i="7" s="1"/>
  <c r="E101" i="7"/>
  <c r="AQ100" i="7"/>
  <c r="T100" i="7"/>
  <c r="AA100" i="7" s="1"/>
  <c r="E100" i="7"/>
  <c r="AQ69" i="7"/>
  <c r="T69" i="7"/>
  <c r="E69" i="7"/>
  <c r="AQ68" i="7"/>
  <c r="T68" i="7"/>
  <c r="E68" i="7"/>
  <c r="AQ67" i="7"/>
  <c r="T67" i="7"/>
  <c r="AA67" i="7" s="1"/>
  <c r="E67" i="7"/>
  <c r="AQ66" i="7"/>
  <c r="T66" i="7"/>
  <c r="AA66" i="7" s="1"/>
  <c r="E66" i="7"/>
  <c r="AQ65" i="7"/>
  <c r="T65" i="7"/>
  <c r="E65" i="7"/>
  <c r="T59" i="7"/>
  <c r="E59" i="7"/>
  <c r="T58" i="7"/>
  <c r="AA58" i="7" s="1"/>
  <c r="E58" i="7"/>
  <c r="T57" i="7"/>
  <c r="AA57" i="7" s="1"/>
  <c r="E57" i="7"/>
  <c r="AQ56" i="7"/>
  <c r="T56" i="7"/>
  <c r="E56" i="7"/>
  <c r="AQ55" i="7"/>
  <c r="T55" i="7"/>
  <c r="AA55" i="7" s="1"/>
  <c r="E55" i="7"/>
  <c r="AQ44" i="7"/>
  <c r="AA44" i="7"/>
  <c r="E44" i="7"/>
  <c r="AQ43" i="7"/>
  <c r="AA43" i="7"/>
  <c r="E43" i="7"/>
  <c r="AQ42" i="7"/>
  <c r="E42" i="7"/>
  <c r="AQ41" i="7"/>
  <c r="AA41" i="7"/>
  <c r="E41" i="7"/>
  <c r="AQ40" i="7"/>
  <c r="AA40" i="7"/>
  <c r="E40" i="7"/>
  <c r="AQ149" i="7"/>
  <c r="T149" i="7"/>
  <c r="AA149" i="7" s="1"/>
  <c r="E149" i="7"/>
  <c r="AQ148" i="7"/>
  <c r="T148" i="7"/>
  <c r="E148" i="7"/>
  <c r="AQ147" i="7"/>
  <c r="T147" i="7"/>
  <c r="AA147" i="7" s="1"/>
  <c r="E147" i="7"/>
  <c r="AQ146" i="7"/>
  <c r="T146" i="7"/>
  <c r="AA146" i="7" s="1"/>
  <c r="E146" i="7"/>
  <c r="AQ145" i="7"/>
  <c r="T145" i="7"/>
  <c r="AA145" i="7" s="1"/>
  <c r="E145" i="7"/>
  <c r="AQ134" i="7"/>
  <c r="T134" i="7"/>
  <c r="AA134" i="7" s="1"/>
  <c r="E134" i="7"/>
  <c r="AQ133" i="7"/>
  <c r="T133" i="7"/>
  <c r="AA133" i="7" s="1"/>
  <c r="E133" i="7"/>
  <c r="AQ132" i="7"/>
  <c r="T132" i="7"/>
  <c r="AA132" i="7" s="1"/>
  <c r="E132" i="7"/>
  <c r="AQ131" i="7"/>
  <c r="T131" i="7"/>
  <c r="E131" i="7"/>
  <c r="AQ130" i="7"/>
  <c r="T130" i="7"/>
  <c r="E130" i="7"/>
  <c r="AQ129" i="7"/>
  <c r="T129" i="7"/>
  <c r="AA129" i="7" s="1"/>
  <c r="E129" i="7"/>
  <c r="AQ128" i="7"/>
  <c r="T128" i="7"/>
  <c r="AA128" i="7" s="1"/>
  <c r="E128" i="7"/>
  <c r="AQ127" i="7"/>
  <c r="T127" i="7"/>
  <c r="E127" i="7"/>
  <c r="AQ126" i="7"/>
  <c r="T126" i="7"/>
  <c r="E126" i="7"/>
  <c r="AQ125" i="7"/>
  <c r="T125" i="7"/>
  <c r="E125" i="7"/>
  <c r="AQ119" i="7"/>
  <c r="T119" i="7"/>
  <c r="V119" i="7" s="1"/>
  <c r="AE119" i="7" s="1"/>
  <c r="E119" i="7"/>
  <c r="AQ118" i="7"/>
  <c r="T118" i="7"/>
  <c r="E118" i="7"/>
  <c r="AQ117" i="7"/>
  <c r="T117" i="7"/>
  <c r="AA117" i="7" s="1"/>
  <c r="E117" i="7"/>
  <c r="AQ116" i="7"/>
  <c r="T116" i="7"/>
  <c r="E116" i="7"/>
  <c r="AQ115" i="7"/>
  <c r="T115" i="7"/>
  <c r="E115" i="7"/>
  <c r="AQ89" i="7"/>
  <c r="T89" i="7"/>
  <c r="E89" i="7"/>
  <c r="AQ88" i="7"/>
  <c r="T88" i="7"/>
  <c r="AA88" i="7" s="1"/>
  <c r="E88" i="7"/>
  <c r="AQ87" i="7"/>
  <c r="T87" i="7"/>
  <c r="E87" i="7"/>
  <c r="AQ86" i="7"/>
  <c r="T86" i="7"/>
  <c r="E86" i="7"/>
  <c r="AQ85" i="7"/>
  <c r="T85" i="7"/>
  <c r="AA85" i="7" s="1"/>
  <c r="E85" i="7"/>
  <c r="AQ74" i="7"/>
  <c r="T74" i="7"/>
  <c r="AA74" i="7" s="1"/>
  <c r="E74" i="7"/>
  <c r="AQ73" i="7"/>
  <c r="T73" i="7"/>
  <c r="AA73" i="7" s="1"/>
  <c r="E73" i="7"/>
  <c r="AQ72" i="7"/>
  <c r="T72" i="7"/>
  <c r="E72" i="7"/>
  <c r="AQ71" i="7"/>
  <c r="T71" i="7"/>
  <c r="AA71" i="7" s="1"/>
  <c r="E71" i="7"/>
  <c r="AQ70" i="7"/>
  <c r="T70" i="7"/>
  <c r="AA70" i="7" s="1"/>
  <c r="E70" i="7"/>
  <c r="AQ64" i="7"/>
  <c r="T64" i="7"/>
  <c r="AA64" i="7" s="1"/>
  <c r="E64" i="7"/>
  <c r="AQ63" i="7"/>
  <c r="T63" i="7"/>
  <c r="E63" i="7"/>
  <c r="AQ62" i="7"/>
  <c r="T62" i="7"/>
  <c r="AA62" i="7" s="1"/>
  <c r="E62" i="7"/>
  <c r="AQ61" i="7"/>
  <c r="T61" i="7"/>
  <c r="AA61" i="7" s="1"/>
  <c r="E61" i="7"/>
  <c r="T60" i="7"/>
  <c r="E60" i="7"/>
  <c r="AQ54" i="7"/>
  <c r="T54" i="7"/>
  <c r="E54" i="7"/>
  <c r="AQ53" i="7"/>
  <c r="T53" i="7"/>
  <c r="AA53" i="7" s="1"/>
  <c r="E53" i="7"/>
  <c r="AQ52" i="7"/>
  <c r="T52" i="7"/>
  <c r="E52" i="7"/>
  <c r="AQ51" i="7"/>
  <c r="T51" i="7"/>
  <c r="E51" i="7"/>
  <c r="AQ50" i="7"/>
  <c r="T50" i="7"/>
  <c r="E50" i="7"/>
  <c r="AQ49" i="7"/>
  <c r="T49" i="7"/>
  <c r="AA49" i="7" s="1"/>
  <c r="E49" i="7"/>
  <c r="AQ48" i="7"/>
  <c r="T48" i="7"/>
  <c r="E48" i="7"/>
  <c r="AQ47" i="7"/>
  <c r="T47" i="7"/>
  <c r="E47" i="7"/>
  <c r="AQ46" i="7"/>
  <c r="T46" i="7"/>
  <c r="E46" i="7"/>
  <c r="AQ45" i="7"/>
  <c r="AA45" i="7"/>
  <c r="E45" i="7"/>
  <c r="R4" i="7"/>
  <c r="AM19" i="13"/>
  <c r="AI19" i="13"/>
  <c r="AE19" i="13"/>
  <c r="AC19" i="13"/>
  <c r="AA19" i="13"/>
  <c r="Y19" i="13"/>
  <c r="V19" i="13"/>
  <c r="U19" i="13"/>
  <c r="S19" i="13"/>
  <c r="P19" i="13"/>
  <c r="Q19" i="13" s="1"/>
  <c r="D19" i="13"/>
  <c r="AM17" i="13"/>
  <c r="AI17" i="13"/>
  <c r="AE17" i="13"/>
  <c r="AC17" i="13"/>
  <c r="AA17" i="13"/>
  <c r="Y17" i="13"/>
  <c r="V17" i="13"/>
  <c r="U17" i="13"/>
  <c r="S17" i="13"/>
  <c r="P17" i="13"/>
  <c r="D17" i="13"/>
  <c r="AM18" i="13"/>
  <c r="AI18" i="13"/>
  <c r="AE18" i="13"/>
  <c r="AC18" i="13"/>
  <c r="AA18" i="13"/>
  <c r="Y18" i="13"/>
  <c r="V18" i="13"/>
  <c r="U18" i="13"/>
  <c r="S18" i="13"/>
  <c r="P18" i="13"/>
  <c r="D18" i="13"/>
  <c r="AM16" i="13"/>
  <c r="AI16" i="13"/>
  <c r="AE16" i="13"/>
  <c r="AC16" i="13"/>
  <c r="AA16" i="13"/>
  <c r="Y16" i="13"/>
  <c r="V16" i="13"/>
  <c r="U16" i="13"/>
  <c r="S16" i="13"/>
  <c r="P16" i="13"/>
  <c r="Q16" i="13" s="1"/>
  <c r="W16" i="13" s="1"/>
  <c r="D16" i="13"/>
  <c r="AM15" i="13"/>
  <c r="AI15" i="13"/>
  <c r="AE15" i="13"/>
  <c r="AC15" i="13"/>
  <c r="AA15" i="13"/>
  <c r="Y15" i="13"/>
  <c r="V15" i="13"/>
  <c r="U15" i="13"/>
  <c r="S15" i="13"/>
  <c r="P15" i="13"/>
  <c r="Q15" i="13" s="1"/>
  <c r="D15" i="13"/>
  <c r="AI159" i="13"/>
  <c r="AE159" i="13"/>
  <c r="AC159" i="13"/>
  <c r="AA159" i="13"/>
  <c r="S159" i="13"/>
  <c r="X159" i="13"/>
  <c r="Z159" i="13" s="1"/>
  <c r="AK159" i="13" s="1"/>
  <c r="D159" i="13"/>
  <c r="AI157" i="13"/>
  <c r="AE157" i="13"/>
  <c r="AC157" i="13"/>
  <c r="AA157" i="13"/>
  <c r="S157" i="13"/>
  <c r="X157" i="13"/>
  <c r="Z157" i="13" s="1"/>
  <c r="AK157" i="13" s="1"/>
  <c r="D157" i="13"/>
  <c r="AI158" i="13"/>
  <c r="AE158" i="13"/>
  <c r="AC158" i="13"/>
  <c r="AA158" i="13"/>
  <c r="S158" i="13"/>
  <c r="W158" i="13"/>
  <c r="D158" i="13"/>
  <c r="AI156" i="13"/>
  <c r="AE156" i="13"/>
  <c r="AC156" i="13"/>
  <c r="AA156" i="13"/>
  <c r="S156" i="13"/>
  <c r="D156" i="13"/>
  <c r="AI155" i="13"/>
  <c r="AE155" i="13"/>
  <c r="AC155" i="13"/>
  <c r="AA155" i="13"/>
  <c r="S155" i="13"/>
  <c r="D155" i="13"/>
  <c r="AI154" i="13"/>
  <c r="AE154" i="13"/>
  <c r="AC154" i="13"/>
  <c r="AA154" i="13"/>
  <c r="S154" i="13"/>
  <c r="X154" i="13"/>
  <c r="D154" i="13"/>
  <c r="AI152" i="13"/>
  <c r="AE152" i="13"/>
  <c r="AC152" i="13"/>
  <c r="AA152" i="13"/>
  <c r="S152" i="13"/>
  <c r="W152" i="13"/>
  <c r="D152" i="13"/>
  <c r="AI153" i="13"/>
  <c r="AE153" i="13"/>
  <c r="AC153" i="13"/>
  <c r="AA153" i="13"/>
  <c r="S153" i="13"/>
  <c r="D153" i="13"/>
  <c r="AI151" i="13"/>
  <c r="AE151" i="13"/>
  <c r="AC151" i="13"/>
  <c r="AA151" i="13"/>
  <c r="S151" i="13"/>
  <c r="X151" i="13"/>
  <c r="Z151" i="13" s="1"/>
  <c r="AK151" i="13" s="1"/>
  <c r="D151" i="13"/>
  <c r="AI150" i="13"/>
  <c r="AE150" i="13"/>
  <c r="AC150" i="13"/>
  <c r="AA150" i="13"/>
  <c r="S150" i="13"/>
  <c r="X150" i="13"/>
  <c r="D150" i="13"/>
  <c r="AI139" i="13"/>
  <c r="AE139" i="13"/>
  <c r="AC139" i="13"/>
  <c r="AA139" i="13"/>
  <c r="S139" i="13"/>
  <c r="D139" i="13"/>
  <c r="AM137" i="13"/>
  <c r="AI137" i="13"/>
  <c r="AE137" i="13"/>
  <c r="AC137" i="13"/>
  <c r="AA137" i="13"/>
  <c r="S137" i="13"/>
  <c r="D137" i="13"/>
  <c r="AM138" i="13"/>
  <c r="AI138" i="13"/>
  <c r="AE138" i="13"/>
  <c r="AC138" i="13"/>
  <c r="AA138" i="13"/>
  <c r="S138" i="13"/>
  <c r="D138" i="13"/>
  <c r="AI136" i="13"/>
  <c r="AE136" i="13"/>
  <c r="AC136" i="13"/>
  <c r="AA136" i="13"/>
  <c r="S136" i="13"/>
  <c r="X136" i="13"/>
  <c r="D136" i="13"/>
  <c r="AI135" i="13"/>
  <c r="AE135" i="13"/>
  <c r="AC135" i="13"/>
  <c r="AA135" i="13"/>
  <c r="S135" i="13"/>
  <c r="D135" i="13"/>
  <c r="AM124" i="13"/>
  <c r="AI124" i="13"/>
  <c r="AE124" i="13"/>
  <c r="AC124" i="13"/>
  <c r="AA124" i="13"/>
  <c r="S124" i="13"/>
  <c r="D124" i="13"/>
  <c r="AM122" i="13"/>
  <c r="AI122" i="13"/>
  <c r="AE122" i="13"/>
  <c r="AC122" i="13"/>
  <c r="AA122" i="13"/>
  <c r="S122" i="13"/>
  <c r="X122" i="13"/>
  <c r="Z122" i="13" s="1"/>
  <c r="AK122" i="13" s="1"/>
  <c r="D122" i="13"/>
  <c r="AM123" i="13"/>
  <c r="AI123" i="13"/>
  <c r="AE123" i="13"/>
  <c r="AC123" i="13"/>
  <c r="AA123" i="13"/>
  <c r="S123" i="13"/>
  <c r="D123" i="13"/>
  <c r="AM121" i="13"/>
  <c r="AI121" i="13"/>
  <c r="AE121" i="13"/>
  <c r="AC121" i="13"/>
  <c r="AA121" i="13"/>
  <c r="S121" i="13"/>
  <c r="D121" i="13"/>
  <c r="AM120" i="13"/>
  <c r="AI120" i="13"/>
  <c r="AE120" i="13"/>
  <c r="AC120" i="13"/>
  <c r="AA120" i="13"/>
  <c r="S120" i="13"/>
  <c r="D120" i="13"/>
  <c r="AI109" i="13"/>
  <c r="AE109" i="13"/>
  <c r="AC109" i="13"/>
  <c r="AA109" i="13"/>
  <c r="S109" i="13"/>
  <c r="X109" i="13"/>
  <c r="Z109" i="13" s="1"/>
  <c r="AK109" i="13" s="1"/>
  <c r="D109" i="13"/>
  <c r="AI107" i="13"/>
  <c r="AE107" i="13"/>
  <c r="AC107" i="13"/>
  <c r="AA107" i="13"/>
  <c r="S107" i="13"/>
  <c r="D107" i="13"/>
  <c r="AI108" i="13"/>
  <c r="AE108" i="13"/>
  <c r="AC108" i="13"/>
  <c r="AA108" i="13"/>
  <c r="S108" i="13"/>
  <c r="D108" i="13"/>
  <c r="AI106" i="13"/>
  <c r="AE106" i="13"/>
  <c r="AC106" i="13"/>
  <c r="AA106" i="13"/>
  <c r="S106" i="13"/>
  <c r="D106" i="13"/>
  <c r="AI105" i="13"/>
  <c r="AE105" i="13"/>
  <c r="AC105" i="13"/>
  <c r="AA105" i="13"/>
  <c r="S105" i="13"/>
  <c r="D105" i="13"/>
  <c r="AI99" i="13"/>
  <c r="AE99" i="13"/>
  <c r="AC99" i="13"/>
  <c r="AA99" i="13"/>
  <c r="S99" i="13"/>
  <c r="D99" i="13"/>
  <c r="AI97" i="13"/>
  <c r="AE97" i="13"/>
  <c r="AC97" i="13"/>
  <c r="AA97" i="13"/>
  <c r="S97" i="13"/>
  <c r="D97" i="13"/>
  <c r="AI98" i="13"/>
  <c r="AE98" i="13"/>
  <c r="AC98" i="13"/>
  <c r="AA98" i="13"/>
  <c r="S98" i="13"/>
  <c r="D98" i="13"/>
  <c r="AI96" i="13"/>
  <c r="AE96" i="13"/>
  <c r="AC96" i="13"/>
  <c r="AA96" i="13"/>
  <c r="S96" i="13"/>
  <c r="D96" i="13"/>
  <c r="AI95" i="13"/>
  <c r="AE95" i="13"/>
  <c r="AC95" i="13"/>
  <c r="AA95" i="13"/>
  <c r="S95" i="13"/>
  <c r="D95" i="13"/>
  <c r="AM94" i="13"/>
  <c r="AI94" i="13"/>
  <c r="AE94" i="13"/>
  <c r="AC94" i="13"/>
  <c r="AA94" i="13"/>
  <c r="S94" i="13"/>
  <c r="D94" i="13"/>
  <c r="AM92" i="13"/>
  <c r="AI92" i="13"/>
  <c r="AE92" i="13"/>
  <c r="AC92" i="13"/>
  <c r="AA92" i="13"/>
  <c r="S92" i="13"/>
  <c r="D92" i="13"/>
  <c r="AM93" i="13"/>
  <c r="AI93" i="13"/>
  <c r="AE93" i="13"/>
  <c r="AC93" i="13"/>
  <c r="AA93" i="13"/>
  <c r="S93" i="13"/>
  <c r="X93" i="13"/>
  <c r="Z93" i="13" s="1"/>
  <c r="AK93" i="13" s="1"/>
  <c r="D93" i="13"/>
  <c r="AM91" i="13"/>
  <c r="AI91" i="13"/>
  <c r="AE91" i="13"/>
  <c r="AC91" i="13"/>
  <c r="AA91" i="13"/>
  <c r="S91" i="13"/>
  <c r="D91" i="13"/>
  <c r="AM90" i="13"/>
  <c r="AI90" i="13"/>
  <c r="AE90" i="13"/>
  <c r="AC90" i="13"/>
  <c r="AA90" i="13"/>
  <c r="S90" i="13"/>
  <c r="W90" i="13"/>
  <c r="D90" i="13"/>
  <c r="AI84" i="13"/>
  <c r="AA84" i="13"/>
  <c r="S84" i="13"/>
  <c r="D84" i="13"/>
  <c r="AM82" i="13"/>
  <c r="AI82" i="13"/>
  <c r="AE82" i="13"/>
  <c r="AC82" i="13"/>
  <c r="AA82" i="13"/>
  <c r="S82" i="13"/>
  <c r="D82" i="13"/>
  <c r="AM83" i="13"/>
  <c r="AI83" i="13"/>
  <c r="AE83" i="13"/>
  <c r="AC83" i="13"/>
  <c r="AA83" i="13"/>
  <c r="S83" i="13"/>
  <c r="D83" i="13"/>
  <c r="AI81" i="13"/>
  <c r="AA81" i="13"/>
  <c r="S81" i="13"/>
  <c r="D81" i="13"/>
  <c r="AI80" i="13"/>
  <c r="AE80" i="13"/>
  <c r="AC80" i="13"/>
  <c r="AA80" i="13"/>
  <c r="S80" i="13"/>
  <c r="D80" i="13"/>
  <c r="AI79" i="13"/>
  <c r="AE79" i="13"/>
  <c r="AC79" i="13"/>
  <c r="AA79" i="13"/>
  <c r="S79" i="13"/>
  <c r="X79" i="13"/>
  <c r="Z79" i="13" s="1"/>
  <c r="AK79" i="13" s="1"/>
  <c r="D79" i="13"/>
  <c r="AM77" i="13"/>
  <c r="AI77" i="13"/>
  <c r="AE77" i="13"/>
  <c r="AC77" i="13"/>
  <c r="AA77" i="13"/>
  <c r="S77" i="13"/>
  <c r="X77" i="13"/>
  <c r="D77" i="13"/>
  <c r="AM78" i="13"/>
  <c r="AI78" i="13"/>
  <c r="AE78" i="13"/>
  <c r="AC78" i="13"/>
  <c r="AA78" i="13"/>
  <c r="S78" i="13"/>
  <c r="D78" i="13"/>
  <c r="AI76" i="13"/>
  <c r="AE76" i="13"/>
  <c r="AC76" i="13"/>
  <c r="AA76" i="13"/>
  <c r="S76" i="13"/>
  <c r="D76" i="13"/>
  <c r="AI75" i="13"/>
  <c r="AE75" i="13"/>
  <c r="AC75" i="13"/>
  <c r="AA75" i="13"/>
  <c r="S75" i="13"/>
  <c r="D75" i="13"/>
  <c r="AI39" i="13"/>
  <c r="AE39" i="13"/>
  <c r="AC39" i="13"/>
  <c r="AA39" i="13"/>
  <c r="S39" i="13"/>
  <c r="X39" i="13"/>
  <c r="D39" i="13"/>
  <c r="AM37" i="13"/>
  <c r="AI37" i="13"/>
  <c r="AE37" i="13"/>
  <c r="AC37" i="13"/>
  <c r="AA37" i="13"/>
  <c r="S37" i="13"/>
  <c r="D37" i="13"/>
  <c r="AM38" i="13"/>
  <c r="AI38" i="13"/>
  <c r="AE38" i="13"/>
  <c r="AC38" i="13"/>
  <c r="AA38" i="13"/>
  <c r="S38" i="13"/>
  <c r="D38" i="13"/>
  <c r="AI36" i="13"/>
  <c r="AE36" i="13"/>
  <c r="AC36" i="13"/>
  <c r="AA36" i="13"/>
  <c r="S36" i="13"/>
  <c r="X36" i="13"/>
  <c r="Z36" i="13" s="1"/>
  <c r="AK36" i="13" s="1"/>
  <c r="D36" i="13"/>
  <c r="AI35" i="13"/>
  <c r="AE35" i="13"/>
  <c r="AC35" i="13"/>
  <c r="AA35" i="13"/>
  <c r="S35" i="13"/>
  <c r="D35" i="13"/>
  <c r="AI34" i="13"/>
  <c r="AE34" i="13"/>
  <c r="AC34" i="13"/>
  <c r="AA34" i="13"/>
  <c r="S34" i="13"/>
  <c r="D34" i="13"/>
  <c r="AM32" i="13"/>
  <c r="AI32" i="13"/>
  <c r="AE32" i="13"/>
  <c r="AC32" i="13"/>
  <c r="AA32" i="13"/>
  <c r="S32" i="13"/>
  <c r="D32" i="13"/>
  <c r="AM33" i="13"/>
  <c r="AI33" i="13"/>
  <c r="AE33" i="13"/>
  <c r="AC33" i="13"/>
  <c r="AA33" i="13"/>
  <c r="S33" i="13"/>
  <c r="X33" i="13"/>
  <c r="Z33" i="13" s="1"/>
  <c r="AK33" i="13" s="1"/>
  <c r="AN33" i="13" s="1"/>
  <c r="D33" i="13"/>
  <c r="AI31" i="13"/>
  <c r="AE31" i="13"/>
  <c r="AC31" i="13"/>
  <c r="AA31" i="13"/>
  <c r="S31" i="13"/>
  <c r="X31" i="13"/>
  <c r="Z31" i="13" s="1"/>
  <c r="AK31" i="13" s="1"/>
  <c r="D31" i="13"/>
  <c r="AI30" i="13"/>
  <c r="AE30" i="13"/>
  <c r="AC30" i="13"/>
  <c r="AA30" i="13"/>
  <c r="S30" i="13"/>
  <c r="W30" i="13"/>
  <c r="D30" i="13"/>
  <c r="AI29" i="13"/>
  <c r="AE29" i="13"/>
  <c r="AC29" i="13"/>
  <c r="AA29" i="13"/>
  <c r="S29" i="13"/>
  <c r="D29" i="13"/>
  <c r="AI27" i="13"/>
  <c r="AE27" i="13"/>
  <c r="AC27" i="13"/>
  <c r="AA27" i="13"/>
  <c r="S27" i="13"/>
  <c r="D27" i="13"/>
  <c r="AI28" i="13"/>
  <c r="AE28" i="13"/>
  <c r="AC28" i="13"/>
  <c r="AA28" i="13"/>
  <c r="S28" i="13"/>
  <c r="X28" i="13"/>
  <c r="Z28" i="13" s="1"/>
  <c r="AK28" i="13" s="1"/>
  <c r="D28" i="13"/>
  <c r="AI26" i="13"/>
  <c r="AE26" i="13"/>
  <c r="AC26" i="13"/>
  <c r="AA26" i="13"/>
  <c r="S26" i="13"/>
  <c r="D26" i="13"/>
  <c r="AI25" i="13"/>
  <c r="AE25" i="13"/>
  <c r="AC25" i="13"/>
  <c r="AA25" i="13"/>
  <c r="S25" i="13"/>
  <c r="D25" i="13"/>
  <c r="AI24" i="13"/>
  <c r="AE24" i="13"/>
  <c r="AC24" i="13"/>
  <c r="AA24" i="13"/>
  <c r="S24" i="13"/>
  <c r="D24" i="13"/>
  <c r="AM22" i="13"/>
  <c r="AI22" i="13"/>
  <c r="AE22" i="13"/>
  <c r="AC22" i="13"/>
  <c r="AA22" i="13"/>
  <c r="S22" i="13"/>
  <c r="X22" i="13"/>
  <c r="D22" i="13"/>
  <c r="AM23" i="13"/>
  <c r="AI23" i="13"/>
  <c r="AE23" i="13"/>
  <c r="AC23" i="13"/>
  <c r="AA23" i="13"/>
  <c r="S23" i="13"/>
  <c r="W23" i="13"/>
  <c r="D23" i="13"/>
  <c r="AI21" i="13"/>
  <c r="AE21" i="13"/>
  <c r="AC21" i="13"/>
  <c r="AA21" i="13"/>
  <c r="S21" i="13"/>
  <c r="D21" i="13"/>
  <c r="AI20" i="13"/>
  <c r="AE20" i="13"/>
  <c r="AC20" i="13"/>
  <c r="AA20" i="13"/>
  <c r="S20" i="13"/>
  <c r="X20" i="13"/>
  <c r="Z20" i="13" s="1"/>
  <c r="AK20" i="13" s="1"/>
  <c r="D20" i="13"/>
  <c r="AI144" i="13"/>
  <c r="AE144" i="13"/>
  <c r="AC144" i="13"/>
  <c r="AA144" i="13"/>
  <c r="S144" i="13"/>
  <c r="D144" i="13"/>
  <c r="AI142" i="13"/>
  <c r="AE142" i="13"/>
  <c r="AC142" i="13"/>
  <c r="AA142" i="13"/>
  <c r="S142" i="13"/>
  <c r="D142" i="13"/>
  <c r="AI143" i="13"/>
  <c r="AE143" i="13"/>
  <c r="AC143" i="13"/>
  <c r="AA143" i="13"/>
  <c r="S143" i="13"/>
  <c r="D143" i="13"/>
  <c r="AI141" i="13"/>
  <c r="AE141" i="13"/>
  <c r="AC141" i="13"/>
  <c r="AA141" i="13"/>
  <c r="S141" i="13"/>
  <c r="D141" i="13"/>
  <c r="AI140" i="13"/>
  <c r="AE140" i="13"/>
  <c r="AC140" i="13"/>
  <c r="AA140" i="13"/>
  <c r="S140" i="13"/>
  <c r="D140" i="13"/>
  <c r="AI114" i="13"/>
  <c r="AE114" i="13"/>
  <c r="AC114" i="13"/>
  <c r="AA114" i="13"/>
  <c r="S114" i="13"/>
  <c r="D114" i="13"/>
  <c r="AI112" i="13"/>
  <c r="AE112" i="13"/>
  <c r="AC112" i="13"/>
  <c r="AA112" i="13"/>
  <c r="S112" i="13"/>
  <c r="D112" i="13"/>
  <c r="AI113" i="13"/>
  <c r="AE113" i="13"/>
  <c r="AC113" i="13"/>
  <c r="AA113" i="13"/>
  <c r="S113" i="13"/>
  <c r="X113" i="13"/>
  <c r="Z113" i="13" s="1"/>
  <c r="AK113" i="13" s="1"/>
  <c r="D113" i="13"/>
  <c r="AI111" i="13"/>
  <c r="AE111" i="13"/>
  <c r="AC111" i="13"/>
  <c r="AA111" i="13"/>
  <c r="S111" i="13"/>
  <c r="X111" i="13"/>
  <c r="D111" i="13"/>
  <c r="AI110" i="13"/>
  <c r="AE110" i="13"/>
  <c r="AC110" i="13"/>
  <c r="AA110" i="13"/>
  <c r="S110" i="13"/>
  <c r="D110" i="13"/>
  <c r="D104" i="13"/>
  <c r="AI102" i="13"/>
  <c r="AE102" i="13"/>
  <c r="AC102" i="13"/>
  <c r="AA102" i="13"/>
  <c r="S102" i="13"/>
  <c r="D102" i="13"/>
  <c r="AI103" i="13"/>
  <c r="AE103" i="13"/>
  <c r="AC103" i="13"/>
  <c r="AA103" i="13"/>
  <c r="S103" i="13"/>
  <c r="X103" i="13"/>
  <c r="D103" i="13"/>
  <c r="AI101" i="13"/>
  <c r="AE101" i="13"/>
  <c r="AC101" i="13"/>
  <c r="AA101" i="13"/>
  <c r="S101" i="13"/>
  <c r="D101" i="13"/>
  <c r="AI100" i="13"/>
  <c r="AE100" i="13"/>
  <c r="AC100" i="13"/>
  <c r="AA100" i="13"/>
  <c r="S100" i="13"/>
  <c r="X100" i="13"/>
  <c r="D100" i="13"/>
  <c r="AM69" i="13"/>
  <c r="AI69" i="13"/>
  <c r="AE69" i="13"/>
  <c r="AC69" i="13"/>
  <c r="AA69" i="13"/>
  <c r="S69" i="13"/>
  <c r="X69" i="13"/>
  <c r="Z69" i="13" s="1"/>
  <c r="AK69" i="13" s="1"/>
  <c r="D69" i="13"/>
  <c r="AM67" i="13"/>
  <c r="AI67" i="13"/>
  <c r="AE67" i="13"/>
  <c r="AC67" i="13"/>
  <c r="AA67" i="13"/>
  <c r="S67" i="13"/>
  <c r="X67" i="13"/>
  <c r="Z67" i="13" s="1"/>
  <c r="AK67" i="13" s="1"/>
  <c r="D67" i="13"/>
  <c r="AM68" i="13"/>
  <c r="AI68" i="13"/>
  <c r="AE68" i="13"/>
  <c r="AC68" i="13"/>
  <c r="AA68" i="13"/>
  <c r="S68" i="13"/>
  <c r="W68" i="13"/>
  <c r="D68" i="13"/>
  <c r="AM66" i="13"/>
  <c r="AI66" i="13"/>
  <c r="AE66" i="13"/>
  <c r="AC66" i="13"/>
  <c r="AA66" i="13"/>
  <c r="S66" i="13"/>
  <c r="D66" i="13"/>
  <c r="AM65" i="13"/>
  <c r="AI65" i="13"/>
  <c r="AE65" i="13"/>
  <c r="AC65" i="13"/>
  <c r="AA65" i="13"/>
  <c r="S65" i="13"/>
  <c r="X65" i="13"/>
  <c r="Z65" i="13" s="1"/>
  <c r="AK65" i="13" s="1"/>
  <c r="D65" i="13"/>
  <c r="AM59" i="13"/>
  <c r="AI59" i="13"/>
  <c r="AE59" i="13"/>
  <c r="AC59" i="13"/>
  <c r="AA59" i="13"/>
  <c r="S59" i="13"/>
  <c r="X59" i="13"/>
  <c r="Z59" i="13" s="1"/>
  <c r="AK59" i="13" s="1"/>
  <c r="D59" i="13"/>
  <c r="AM57" i="13"/>
  <c r="AI57" i="13"/>
  <c r="AE57" i="13"/>
  <c r="AC57" i="13"/>
  <c r="AA57" i="13"/>
  <c r="S57" i="13"/>
  <c r="W57" i="13"/>
  <c r="D57" i="13"/>
  <c r="AM58" i="13"/>
  <c r="AI58" i="13"/>
  <c r="AE58" i="13"/>
  <c r="AC58" i="13"/>
  <c r="AA58" i="13"/>
  <c r="S58" i="13"/>
  <c r="D58" i="13"/>
  <c r="AM56" i="13"/>
  <c r="AI56" i="13"/>
  <c r="AE56" i="13"/>
  <c r="AC56" i="13"/>
  <c r="AA56" i="13"/>
  <c r="S56" i="13"/>
  <c r="D56" i="13"/>
  <c r="AM55" i="13"/>
  <c r="AI55" i="13"/>
  <c r="AE55" i="13"/>
  <c r="AC55" i="13"/>
  <c r="AA55" i="13"/>
  <c r="S55" i="13"/>
  <c r="D55" i="13"/>
  <c r="AM44" i="13"/>
  <c r="AI44" i="13"/>
  <c r="AE44" i="13"/>
  <c r="AC44" i="13"/>
  <c r="AA44" i="13"/>
  <c r="S44" i="13"/>
  <c r="W44" i="13"/>
  <c r="D44" i="13"/>
  <c r="AM42" i="13"/>
  <c r="AI42" i="13"/>
  <c r="AE42" i="13"/>
  <c r="AC42" i="13"/>
  <c r="AA42" i="13"/>
  <c r="S42" i="13"/>
  <c r="D42" i="13"/>
  <c r="AM43" i="13"/>
  <c r="AI43" i="13"/>
  <c r="AE43" i="13"/>
  <c r="AC43" i="13"/>
  <c r="AA43" i="13"/>
  <c r="S43" i="13"/>
  <c r="D43" i="13"/>
  <c r="AM41" i="13"/>
  <c r="AI41" i="13"/>
  <c r="AE41" i="13"/>
  <c r="AC41" i="13"/>
  <c r="AA41" i="13"/>
  <c r="S41" i="13"/>
  <c r="D41" i="13"/>
  <c r="AM40" i="13"/>
  <c r="AI40" i="13"/>
  <c r="AE40" i="13"/>
  <c r="AC40" i="13"/>
  <c r="AA40" i="13"/>
  <c r="S40" i="13"/>
  <c r="D40" i="13"/>
  <c r="AM149" i="13"/>
  <c r="AI149" i="13"/>
  <c r="AE149" i="13"/>
  <c r="AC149" i="13"/>
  <c r="AA149" i="13"/>
  <c r="S149" i="13"/>
  <c r="D149" i="13"/>
  <c r="AM147" i="13"/>
  <c r="AI147" i="13"/>
  <c r="AE147" i="13"/>
  <c r="AC147" i="13"/>
  <c r="AA147" i="13"/>
  <c r="S147" i="13"/>
  <c r="X147" i="13"/>
  <c r="Z147" i="13" s="1"/>
  <c r="AK147" i="13" s="1"/>
  <c r="D147" i="13"/>
  <c r="AM148" i="13"/>
  <c r="AI148" i="13"/>
  <c r="AE148" i="13"/>
  <c r="AC148" i="13"/>
  <c r="AA148" i="13"/>
  <c r="S148" i="13"/>
  <c r="X148" i="13"/>
  <c r="Z148" i="13" s="1"/>
  <c r="AK148" i="13" s="1"/>
  <c r="D148" i="13"/>
  <c r="AM146" i="13"/>
  <c r="AI146" i="13"/>
  <c r="AE146" i="13"/>
  <c r="AC146" i="13"/>
  <c r="AA146" i="13"/>
  <c r="S146" i="13"/>
  <c r="W146" i="13"/>
  <c r="D146" i="13"/>
  <c r="AM145" i="13"/>
  <c r="AI145" i="13"/>
  <c r="AE145" i="13"/>
  <c r="AC145" i="13"/>
  <c r="AA145" i="13"/>
  <c r="S145" i="13"/>
  <c r="D145" i="13"/>
  <c r="AI134" i="13"/>
  <c r="AE134" i="13"/>
  <c r="AC134" i="13"/>
  <c r="AA134" i="13"/>
  <c r="S134" i="13"/>
  <c r="D134" i="13"/>
  <c r="AI132" i="13"/>
  <c r="AE132" i="13"/>
  <c r="AC132" i="13"/>
  <c r="AA132" i="13"/>
  <c r="S132" i="13"/>
  <c r="D132" i="13"/>
  <c r="AI133" i="13"/>
  <c r="AE133" i="13"/>
  <c r="AC133" i="13"/>
  <c r="AA133" i="13"/>
  <c r="S133" i="13"/>
  <c r="D133" i="13"/>
  <c r="AI131" i="13"/>
  <c r="AE131" i="13"/>
  <c r="AC131" i="13"/>
  <c r="AA131" i="13"/>
  <c r="S131" i="13"/>
  <c r="X131" i="13"/>
  <c r="Z131" i="13" s="1"/>
  <c r="AK131" i="13" s="1"/>
  <c r="D131" i="13"/>
  <c r="AI130" i="13"/>
  <c r="AE130" i="13"/>
  <c r="AC130" i="13"/>
  <c r="AA130" i="13"/>
  <c r="S130" i="13"/>
  <c r="D130" i="13"/>
  <c r="AI129" i="13"/>
  <c r="AE129" i="13"/>
  <c r="AC129" i="13"/>
  <c r="AA129" i="13"/>
  <c r="S129" i="13"/>
  <c r="W129" i="13"/>
  <c r="D129" i="13"/>
  <c r="AI127" i="13"/>
  <c r="AE127" i="13"/>
  <c r="AC127" i="13"/>
  <c r="AA127" i="13"/>
  <c r="S127" i="13"/>
  <c r="D127" i="13"/>
  <c r="AI128" i="13"/>
  <c r="AE128" i="13"/>
  <c r="AC128" i="13"/>
  <c r="AA128" i="13"/>
  <c r="S128" i="13"/>
  <c r="X128" i="13"/>
  <c r="Z128" i="13" s="1"/>
  <c r="AK128" i="13" s="1"/>
  <c r="D128" i="13"/>
  <c r="AI126" i="13"/>
  <c r="AE126" i="13"/>
  <c r="AC126" i="13"/>
  <c r="AA126" i="13"/>
  <c r="S126" i="13"/>
  <c r="D126" i="13"/>
  <c r="AI125" i="13"/>
  <c r="AE125" i="13"/>
  <c r="AC125" i="13"/>
  <c r="AA125" i="13"/>
  <c r="S125" i="13"/>
  <c r="D125" i="13"/>
  <c r="AM119" i="13"/>
  <c r="AI119" i="13"/>
  <c r="AE119" i="13"/>
  <c r="AC119" i="13"/>
  <c r="AA119" i="13"/>
  <c r="S119" i="13"/>
  <c r="D119" i="13"/>
  <c r="AM117" i="13"/>
  <c r="AI117" i="13"/>
  <c r="AE117" i="13"/>
  <c r="AC117" i="13"/>
  <c r="AA117" i="13"/>
  <c r="S117" i="13"/>
  <c r="D117" i="13"/>
  <c r="AM118" i="13"/>
  <c r="AI118" i="13"/>
  <c r="AE118" i="13"/>
  <c r="AC118" i="13"/>
  <c r="AA118" i="13"/>
  <c r="S118" i="13"/>
  <c r="D118" i="13"/>
  <c r="AM116" i="13"/>
  <c r="AI116" i="13"/>
  <c r="AE116" i="13"/>
  <c r="AC116" i="13"/>
  <c r="AA116" i="13"/>
  <c r="S116" i="13"/>
  <c r="W116" i="13"/>
  <c r="D116" i="13"/>
  <c r="AM115" i="13"/>
  <c r="AI115" i="13"/>
  <c r="AE115" i="13"/>
  <c r="AC115" i="13"/>
  <c r="AA115" i="13"/>
  <c r="S115" i="13"/>
  <c r="D115" i="13"/>
  <c r="AM89" i="13"/>
  <c r="AI89" i="13"/>
  <c r="AE89" i="13"/>
  <c r="AC89" i="13"/>
  <c r="AA89" i="13"/>
  <c r="S89" i="13"/>
  <c r="X89" i="13"/>
  <c r="Z89" i="13" s="1"/>
  <c r="AK89" i="13" s="1"/>
  <c r="D89" i="13"/>
  <c r="AM87" i="13"/>
  <c r="AI87" i="13"/>
  <c r="AE87" i="13"/>
  <c r="AC87" i="13"/>
  <c r="AA87" i="13"/>
  <c r="S87" i="13"/>
  <c r="D87" i="13"/>
  <c r="AM88" i="13"/>
  <c r="AI88" i="13"/>
  <c r="AE88" i="13"/>
  <c r="AC88" i="13"/>
  <c r="AA88" i="13"/>
  <c r="S88" i="13"/>
  <c r="W88" i="13"/>
  <c r="D88" i="13"/>
  <c r="AM86" i="13"/>
  <c r="AI86" i="13"/>
  <c r="AA86" i="13"/>
  <c r="S86" i="13"/>
  <c r="D86" i="13"/>
  <c r="AM85" i="13"/>
  <c r="AI85" i="13"/>
  <c r="AE85" i="13"/>
  <c r="AC85" i="13"/>
  <c r="AA85" i="13"/>
  <c r="S85" i="13"/>
  <c r="D85" i="13"/>
  <c r="AI74" i="13"/>
  <c r="AE74" i="13"/>
  <c r="AC74" i="13"/>
  <c r="AA74" i="13"/>
  <c r="S74" i="13"/>
  <c r="D74" i="13"/>
  <c r="AI72" i="13"/>
  <c r="AE72" i="13"/>
  <c r="AC72" i="13"/>
  <c r="AA72" i="13"/>
  <c r="S72" i="13"/>
  <c r="D72" i="13"/>
  <c r="AI73" i="13"/>
  <c r="AE73" i="13"/>
  <c r="AC73" i="13"/>
  <c r="AA73" i="13"/>
  <c r="S73" i="13"/>
  <c r="D73" i="13"/>
  <c r="AI71" i="13"/>
  <c r="AE71" i="13"/>
  <c r="AC71" i="13"/>
  <c r="AA71" i="13"/>
  <c r="S71" i="13"/>
  <c r="D71" i="13"/>
  <c r="AI70" i="13"/>
  <c r="AE70" i="13"/>
  <c r="AC70" i="13"/>
  <c r="AA70" i="13"/>
  <c r="S70" i="13"/>
  <c r="D70" i="13"/>
  <c r="AM64" i="13"/>
  <c r="AI64" i="13"/>
  <c r="AE64" i="13"/>
  <c r="AC64" i="13"/>
  <c r="AA64" i="13"/>
  <c r="S64" i="13"/>
  <c r="D64" i="13"/>
  <c r="AM62" i="13"/>
  <c r="AI62" i="13"/>
  <c r="AE62" i="13"/>
  <c r="AC62" i="13"/>
  <c r="AA62" i="13"/>
  <c r="S62" i="13"/>
  <c r="D62" i="13"/>
  <c r="AM63" i="13"/>
  <c r="AI63" i="13"/>
  <c r="AE63" i="13"/>
  <c r="AC63" i="13"/>
  <c r="AA63" i="13"/>
  <c r="S63" i="13"/>
  <c r="D63" i="13"/>
  <c r="AM61" i="13"/>
  <c r="AI61" i="13"/>
  <c r="AE61" i="13"/>
  <c r="AC61" i="13"/>
  <c r="AA61" i="13"/>
  <c r="S61" i="13"/>
  <c r="D61" i="13"/>
  <c r="AM60" i="13"/>
  <c r="AI60" i="13"/>
  <c r="AE60" i="13"/>
  <c r="AC60" i="13"/>
  <c r="AA60" i="13"/>
  <c r="S60" i="13"/>
  <c r="D60" i="13"/>
  <c r="AM54" i="13"/>
  <c r="AI54" i="13"/>
  <c r="AE54" i="13"/>
  <c r="AC54" i="13"/>
  <c r="AA54" i="13"/>
  <c r="S54" i="13"/>
  <c r="D54" i="13"/>
  <c r="AM52" i="13"/>
  <c r="AI52" i="13"/>
  <c r="AE52" i="13"/>
  <c r="AC52" i="13"/>
  <c r="AA52" i="13"/>
  <c r="S52" i="13"/>
  <c r="D52" i="13"/>
  <c r="AM53" i="13"/>
  <c r="AI53" i="13"/>
  <c r="AE53" i="13"/>
  <c r="AC53" i="13"/>
  <c r="AA53" i="13"/>
  <c r="S53" i="13"/>
  <c r="D53" i="13"/>
  <c r="AM51" i="13"/>
  <c r="AI51" i="13"/>
  <c r="AE51" i="13"/>
  <c r="AC51" i="13"/>
  <c r="AA51" i="13"/>
  <c r="S51" i="13"/>
  <c r="W51" i="13"/>
  <c r="D51" i="13"/>
  <c r="AM50" i="13"/>
  <c r="AI50" i="13"/>
  <c r="AE50" i="13"/>
  <c r="AC50" i="13"/>
  <c r="AA50" i="13"/>
  <c r="S50" i="13"/>
  <c r="D50" i="13"/>
  <c r="AI49" i="13"/>
  <c r="AE49" i="13"/>
  <c r="AC49" i="13"/>
  <c r="AA49" i="13"/>
  <c r="S49" i="13"/>
  <c r="D49" i="13"/>
  <c r="AI47" i="13"/>
  <c r="AE47" i="13"/>
  <c r="AC47" i="13"/>
  <c r="AA47" i="13"/>
  <c r="S47" i="13"/>
  <c r="X47" i="13"/>
  <c r="D47" i="13"/>
  <c r="AI48" i="13"/>
  <c r="AE48" i="13"/>
  <c r="AC48" i="13"/>
  <c r="AA48" i="13"/>
  <c r="S48" i="13"/>
  <c r="W48" i="13"/>
  <c r="D48" i="13"/>
  <c r="AI46" i="13"/>
  <c r="AE46" i="13"/>
  <c r="AC46" i="13"/>
  <c r="AA46" i="13"/>
  <c r="S46" i="13"/>
  <c r="D46" i="13"/>
  <c r="AI45" i="13"/>
  <c r="AE45" i="13"/>
  <c r="AC45" i="13"/>
  <c r="AA45" i="13"/>
  <c r="S45" i="13"/>
  <c r="D45" i="13"/>
  <c r="AP4" i="13"/>
  <c r="AO4" i="13"/>
  <c r="AH4" i="13"/>
  <c r="AG4" i="13"/>
  <c r="T4" i="13"/>
  <c r="R4" i="13"/>
  <c r="O4" i="13"/>
  <c r="N4" i="13"/>
  <c r="M4" i="13"/>
  <c r="L4" i="13"/>
  <c r="K4" i="13"/>
  <c r="J4" i="13"/>
  <c r="I4" i="13"/>
  <c r="H4" i="13"/>
  <c r="F4" i="13"/>
  <c r="E4" i="13"/>
  <c r="BG16" i="5"/>
  <c r="BF16" i="5"/>
  <c r="BD16" i="5"/>
  <c r="BC16" i="5"/>
  <c r="BA16" i="5"/>
  <c r="AY16" i="5"/>
  <c r="AW16" i="5"/>
  <c r="AU16" i="5"/>
  <c r="AT16" i="5"/>
  <c r="AS16" i="5"/>
  <c r="AQ16" i="5"/>
  <c r="AM16" i="5"/>
  <c r="AL16" i="5"/>
  <c r="AK16" i="5"/>
  <c r="AR16" i="5" s="1"/>
  <c r="AJ16" i="5"/>
  <c r="AI16" i="5"/>
  <c r="AH16" i="5"/>
  <c r="AF16" i="5"/>
  <c r="AD16" i="5"/>
  <c r="AG16" i="5" s="1"/>
  <c r="AC16" i="5"/>
  <c r="AA16" i="5"/>
  <c r="Z16" i="5"/>
  <c r="AE16" i="5" s="1"/>
  <c r="X16" i="5"/>
  <c r="AB16" i="5" s="1"/>
  <c r="W16" i="5"/>
  <c r="V16" i="5"/>
  <c r="U16" i="5"/>
  <c r="Y16" i="5" s="1"/>
  <c r="T16" i="5"/>
  <c r="S16" i="5"/>
  <c r="O16" i="5"/>
  <c r="F16" i="9" s="1" a="1"/>
  <c r="F16" i="9" s="1"/>
  <c r="E16" i="5"/>
  <c r="BG15" i="5"/>
  <c r="BF15" i="5"/>
  <c r="BD15" i="5"/>
  <c r="BC15" i="5"/>
  <c r="BA15" i="5"/>
  <c r="AY15" i="5"/>
  <c r="AW15" i="5"/>
  <c r="AU15" i="5"/>
  <c r="AT15" i="5"/>
  <c r="AS15" i="5"/>
  <c r="AQ15" i="5"/>
  <c r="AM15" i="5"/>
  <c r="AL15" i="5"/>
  <c r="AK15" i="5"/>
  <c r="AR15" i="5" s="1"/>
  <c r="AJ15" i="5"/>
  <c r="AI15" i="5"/>
  <c r="AH15" i="5"/>
  <c r="AF15" i="5"/>
  <c r="AD15" i="5"/>
  <c r="AG15" i="5" s="1"/>
  <c r="AC15" i="5"/>
  <c r="AA15" i="5"/>
  <c r="Z15" i="5"/>
  <c r="AE15" i="5" s="1"/>
  <c r="X15" i="5"/>
  <c r="AB15" i="5" s="1"/>
  <c r="W15" i="5"/>
  <c r="V15" i="5"/>
  <c r="U15" i="5"/>
  <c r="Y15" i="5" s="1"/>
  <c r="T15" i="5"/>
  <c r="S15" i="5"/>
  <c r="O15" i="5"/>
  <c r="F15" i="9" s="1" a="1"/>
  <c r="F15" i="9" s="1"/>
  <c r="E15" i="5"/>
  <c r="BG28" i="5"/>
  <c r="BF28" i="5"/>
  <c r="BD28" i="5"/>
  <c r="BC28" i="5"/>
  <c r="BA28" i="5"/>
  <c r="BB28" i="5" s="1"/>
  <c r="AY28" i="5"/>
  <c r="AQ28" i="5"/>
  <c r="AN28" i="5"/>
  <c r="AM28" i="5"/>
  <c r="AL28" i="5"/>
  <c r="AK28" i="5"/>
  <c r="AR28" i="5" s="1"/>
  <c r="AJ28" i="5"/>
  <c r="AI28" i="5"/>
  <c r="AH28" i="5"/>
  <c r="AF28" i="5"/>
  <c r="AD28" i="5"/>
  <c r="AG28" i="5" s="1"/>
  <c r="AC28" i="5"/>
  <c r="AA28" i="5"/>
  <c r="Z28" i="5"/>
  <c r="AE28" i="5" s="1"/>
  <c r="X28" i="5"/>
  <c r="AB28" i="5" s="1"/>
  <c r="W28" i="5"/>
  <c r="V28" i="5"/>
  <c r="U28" i="5"/>
  <c r="Y28" i="5" s="1"/>
  <c r="T28" i="5"/>
  <c r="S28" i="5"/>
  <c r="R28" i="5"/>
  <c r="E28" i="5"/>
  <c r="BG27" i="5"/>
  <c r="BF27" i="5"/>
  <c r="BD27" i="5"/>
  <c r="BC27" i="5"/>
  <c r="BA27" i="5"/>
  <c r="BB27" i="5" s="1"/>
  <c r="AY27" i="5"/>
  <c r="AQ27" i="5"/>
  <c r="AN27" i="5"/>
  <c r="AM27" i="5"/>
  <c r="AL27" i="5"/>
  <c r="AK27" i="5"/>
  <c r="AR27" i="5" s="1"/>
  <c r="AJ27" i="5"/>
  <c r="AI27" i="5"/>
  <c r="AH27" i="5"/>
  <c r="AF27" i="5"/>
  <c r="AD27" i="5"/>
  <c r="AG27" i="5" s="1"/>
  <c r="AC27" i="5"/>
  <c r="AA27" i="5"/>
  <c r="Z27" i="5"/>
  <c r="AE27" i="5" s="1"/>
  <c r="X27" i="5"/>
  <c r="AB27" i="5" s="1"/>
  <c r="W27" i="5"/>
  <c r="V27" i="5"/>
  <c r="U27" i="5"/>
  <c r="Y27" i="5" s="1"/>
  <c r="T27" i="5"/>
  <c r="S27" i="5"/>
  <c r="E27" i="5"/>
  <c r="BG26" i="5"/>
  <c r="BF26" i="5"/>
  <c r="BD26" i="5"/>
  <c r="BC26" i="5"/>
  <c r="BA26" i="5"/>
  <c r="BB26" i="5" s="1"/>
  <c r="AY26" i="5"/>
  <c r="AQ26" i="5"/>
  <c r="AN26" i="5"/>
  <c r="AM26" i="5"/>
  <c r="AL26" i="5"/>
  <c r="AK26" i="5"/>
  <c r="AR26" i="5" s="1"/>
  <c r="AJ26" i="5"/>
  <c r="AI26" i="5"/>
  <c r="AH26" i="5"/>
  <c r="AF26" i="5"/>
  <c r="AD26" i="5"/>
  <c r="AG26" i="5" s="1"/>
  <c r="AC26" i="5"/>
  <c r="AA26" i="5"/>
  <c r="Z26" i="5"/>
  <c r="AE26" i="5" s="1"/>
  <c r="X26" i="5"/>
  <c r="AB26" i="5" s="1"/>
  <c r="W26" i="5"/>
  <c r="V26" i="5"/>
  <c r="U26" i="5"/>
  <c r="Y26" i="5" s="1"/>
  <c r="T26" i="5"/>
  <c r="S26" i="5"/>
  <c r="E26" i="5"/>
  <c r="BG25" i="5"/>
  <c r="BF25" i="5"/>
  <c r="BD25" i="5"/>
  <c r="BC25" i="5"/>
  <c r="BA25" i="5"/>
  <c r="BB25" i="5" s="1"/>
  <c r="AY25" i="5"/>
  <c r="AQ25" i="5"/>
  <c r="AN25" i="5"/>
  <c r="AM25" i="5"/>
  <c r="AL25" i="5"/>
  <c r="AK25" i="5"/>
  <c r="AR25" i="5" s="1"/>
  <c r="AJ25" i="5"/>
  <c r="AI25" i="5"/>
  <c r="AH25" i="5"/>
  <c r="AF25" i="5"/>
  <c r="AD25" i="5"/>
  <c r="AG25" i="5" s="1"/>
  <c r="AC25" i="5"/>
  <c r="AA25" i="5"/>
  <c r="Z25" i="5"/>
  <c r="AE25" i="5" s="1"/>
  <c r="X25" i="5"/>
  <c r="AB25" i="5" s="1"/>
  <c r="W25" i="5"/>
  <c r="V25" i="5"/>
  <c r="U25" i="5"/>
  <c r="Y25" i="5" s="1"/>
  <c r="T25" i="5"/>
  <c r="S25" i="5"/>
  <c r="R25" i="5"/>
  <c r="E25" i="5"/>
  <c r="BG24" i="5"/>
  <c r="BF24" i="5"/>
  <c r="BD24" i="5"/>
  <c r="BC24" i="5"/>
  <c r="BA24" i="5"/>
  <c r="BB24" i="5" s="1"/>
  <c r="AY24" i="5"/>
  <c r="AQ24" i="5"/>
  <c r="AN24" i="5"/>
  <c r="AM24" i="5"/>
  <c r="AL24" i="5"/>
  <c r="AK24" i="5"/>
  <c r="AR24" i="5" s="1"/>
  <c r="AJ24" i="5"/>
  <c r="AI24" i="5"/>
  <c r="AH24" i="5"/>
  <c r="AF24" i="5"/>
  <c r="AD24" i="5"/>
  <c r="AG24" i="5" s="1"/>
  <c r="AC24" i="5"/>
  <c r="AA24" i="5"/>
  <c r="Z24" i="5"/>
  <c r="AE24" i="5" s="1"/>
  <c r="X24" i="5"/>
  <c r="AB24" i="5" s="1"/>
  <c r="W24" i="5"/>
  <c r="V24" i="5"/>
  <c r="U24" i="5"/>
  <c r="Y24" i="5" s="1"/>
  <c r="T24" i="5"/>
  <c r="S24" i="5"/>
  <c r="E24" i="5"/>
  <c r="BG23" i="5"/>
  <c r="BF23" i="5"/>
  <c r="BD23" i="5"/>
  <c r="BC23" i="5"/>
  <c r="BA23" i="5"/>
  <c r="BB23" i="5" s="1"/>
  <c r="AY23" i="5"/>
  <c r="AQ23" i="5"/>
  <c r="AN23" i="5"/>
  <c r="AM23" i="5"/>
  <c r="AL23" i="5"/>
  <c r="AK23" i="5"/>
  <c r="AR23" i="5" s="1"/>
  <c r="AJ23" i="5"/>
  <c r="AI23" i="5"/>
  <c r="AH23" i="5"/>
  <c r="AF23" i="5"/>
  <c r="AD23" i="5"/>
  <c r="AG23" i="5" s="1"/>
  <c r="AC23" i="5"/>
  <c r="AA23" i="5"/>
  <c r="Z23" i="5"/>
  <c r="AE23" i="5" s="1"/>
  <c r="X23" i="5"/>
  <c r="AB23" i="5" s="1"/>
  <c r="W23" i="5"/>
  <c r="V23" i="5"/>
  <c r="U23" i="5"/>
  <c r="Y23" i="5" s="1"/>
  <c r="T23" i="5"/>
  <c r="S23" i="5"/>
  <c r="R23" i="5"/>
  <c r="E23" i="5"/>
  <c r="BG22" i="5"/>
  <c r="BF22" i="5"/>
  <c r="BD22" i="5"/>
  <c r="BC22" i="5"/>
  <c r="BA22" i="5"/>
  <c r="BB22" i="5" s="1"/>
  <c r="AY22" i="5"/>
  <c r="AQ22" i="5"/>
  <c r="AN22" i="5"/>
  <c r="AM22" i="5"/>
  <c r="AL22" i="5"/>
  <c r="AK22" i="5"/>
  <c r="AR22" i="5" s="1"/>
  <c r="AJ22" i="5"/>
  <c r="AI22" i="5"/>
  <c r="AH22" i="5"/>
  <c r="AF22" i="5"/>
  <c r="AD22" i="5"/>
  <c r="AG22" i="5" s="1"/>
  <c r="AC22" i="5"/>
  <c r="AA22" i="5"/>
  <c r="Z22" i="5"/>
  <c r="AE22" i="5" s="1"/>
  <c r="X22" i="5"/>
  <c r="AB22" i="5" s="1"/>
  <c r="W22" i="5"/>
  <c r="V22" i="5"/>
  <c r="U22" i="5"/>
  <c r="Y22" i="5" s="1"/>
  <c r="T22" i="5"/>
  <c r="S22" i="5"/>
  <c r="E22" i="5"/>
  <c r="BG21" i="5"/>
  <c r="BF21" i="5"/>
  <c r="BD21" i="5"/>
  <c r="BC21" i="5"/>
  <c r="BA21" i="5"/>
  <c r="BB21" i="5" s="1"/>
  <c r="AY21" i="5"/>
  <c r="AQ21" i="5"/>
  <c r="AN21" i="5"/>
  <c r="AM21" i="5"/>
  <c r="AL21" i="5"/>
  <c r="AK21" i="5"/>
  <c r="AR21" i="5" s="1"/>
  <c r="AJ21" i="5"/>
  <c r="AI21" i="5"/>
  <c r="AH21" i="5"/>
  <c r="AF21" i="5"/>
  <c r="AD21" i="5"/>
  <c r="AG21" i="5" s="1"/>
  <c r="AC21" i="5"/>
  <c r="AA21" i="5"/>
  <c r="Z21" i="5"/>
  <c r="AE21" i="5" s="1"/>
  <c r="X21" i="5"/>
  <c r="AB21" i="5" s="1"/>
  <c r="W21" i="5"/>
  <c r="V21" i="5"/>
  <c r="U21" i="5"/>
  <c r="Y21" i="5" s="1"/>
  <c r="T21" i="5"/>
  <c r="S21" i="5"/>
  <c r="E21" i="5"/>
  <c r="BG20" i="5"/>
  <c r="BF20" i="5"/>
  <c r="BD20" i="5"/>
  <c r="BC20" i="5"/>
  <c r="BA20" i="5"/>
  <c r="BB20" i="5" s="1"/>
  <c r="AY20" i="5"/>
  <c r="AQ20" i="5"/>
  <c r="AN20" i="5"/>
  <c r="AM20" i="5"/>
  <c r="AL20" i="5"/>
  <c r="AK20" i="5"/>
  <c r="AR20" i="5" s="1"/>
  <c r="AJ20" i="5"/>
  <c r="AI20" i="5"/>
  <c r="AH20" i="5"/>
  <c r="AF20" i="5"/>
  <c r="AD20" i="5"/>
  <c r="AG20" i="5" s="1"/>
  <c r="AC20" i="5"/>
  <c r="AA20" i="5"/>
  <c r="Z20" i="5"/>
  <c r="AE20" i="5" s="1"/>
  <c r="X20" i="5"/>
  <c r="AB20" i="5" s="1"/>
  <c r="W20" i="5"/>
  <c r="V20" i="5"/>
  <c r="U20" i="5"/>
  <c r="Y20" i="5" s="1"/>
  <c r="T20" i="5"/>
  <c r="S20" i="5"/>
  <c r="R20" i="5"/>
  <c r="E20" i="5"/>
  <c r="BG19" i="5"/>
  <c r="BF19" i="5"/>
  <c r="BD19" i="5"/>
  <c r="BC19" i="5"/>
  <c r="BA19" i="5"/>
  <c r="BB19" i="5" s="1"/>
  <c r="AY19" i="5"/>
  <c r="AQ19" i="5"/>
  <c r="AN19" i="5"/>
  <c r="AM19" i="5"/>
  <c r="AL19" i="5"/>
  <c r="AK19" i="5"/>
  <c r="AR19" i="5" s="1"/>
  <c r="AJ19" i="5"/>
  <c r="AI19" i="5"/>
  <c r="AH19" i="5"/>
  <c r="AF19" i="5"/>
  <c r="AD19" i="5"/>
  <c r="AG19" i="5" s="1"/>
  <c r="AC19" i="5"/>
  <c r="AA19" i="5"/>
  <c r="Z19" i="5"/>
  <c r="AE19" i="5" s="1"/>
  <c r="X19" i="5"/>
  <c r="AB19" i="5" s="1"/>
  <c r="W19" i="5"/>
  <c r="V19" i="5"/>
  <c r="U19" i="5"/>
  <c r="Y19" i="5" s="1"/>
  <c r="T19" i="5"/>
  <c r="S19" i="5"/>
  <c r="E19" i="5"/>
  <c r="BG18" i="5"/>
  <c r="BF18" i="5"/>
  <c r="BD18" i="5"/>
  <c r="BC18" i="5"/>
  <c r="BA18" i="5"/>
  <c r="BB18" i="5" s="1"/>
  <c r="AY18" i="5"/>
  <c r="AQ18" i="5"/>
  <c r="AN18" i="5"/>
  <c r="AM18" i="5"/>
  <c r="AL18" i="5"/>
  <c r="AK18" i="5"/>
  <c r="AR18" i="5" s="1"/>
  <c r="AJ18" i="5"/>
  <c r="AI18" i="5"/>
  <c r="AH18" i="5"/>
  <c r="AF18" i="5"/>
  <c r="AD18" i="5"/>
  <c r="AG18" i="5" s="1"/>
  <c r="AC18" i="5"/>
  <c r="AA18" i="5"/>
  <c r="Z18" i="5"/>
  <c r="AE18" i="5" s="1"/>
  <c r="X18" i="5"/>
  <c r="AB18" i="5" s="1"/>
  <c r="W18" i="5"/>
  <c r="V18" i="5"/>
  <c r="U18" i="5"/>
  <c r="Y18" i="5" s="1"/>
  <c r="T18" i="5"/>
  <c r="S18" i="5"/>
  <c r="E18" i="5"/>
  <c r="BG17" i="5"/>
  <c r="BF17" i="5"/>
  <c r="BD17" i="5"/>
  <c r="BC17" i="5"/>
  <c r="BA17" i="5"/>
  <c r="BB17" i="5" s="1"/>
  <c r="AY17" i="5"/>
  <c r="AQ17" i="5"/>
  <c r="AN17" i="5"/>
  <c r="AM17" i="5"/>
  <c r="AL17" i="5"/>
  <c r="AK17" i="5"/>
  <c r="AR17" i="5" s="1"/>
  <c r="AJ17" i="5"/>
  <c r="AI17" i="5"/>
  <c r="AH17" i="5"/>
  <c r="AF17" i="5"/>
  <c r="AD17" i="5"/>
  <c r="AG17" i="5" s="1"/>
  <c r="AC17" i="5"/>
  <c r="AA17" i="5"/>
  <c r="Z17" i="5"/>
  <c r="AE17" i="5" s="1"/>
  <c r="X17" i="5"/>
  <c r="AB17" i="5" s="1"/>
  <c r="W17" i="5"/>
  <c r="V17" i="5"/>
  <c r="U17" i="5"/>
  <c r="Y17" i="5" s="1"/>
  <c r="T17" i="5"/>
  <c r="S17" i="5"/>
  <c r="R17" i="5"/>
  <c r="E17" i="5"/>
  <c r="BG408" i="5"/>
  <c r="BD408" i="5"/>
  <c r="AY408" i="5"/>
  <c r="AW408" i="5"/>
  <c r="AU408" i="5"/>
  <c r="AT408" i="5"/>
  <c r="AS408" i="5"/>
  <c r="AM408" i="5"/>
  <c r="AL408" i="5"/>
  <c r="E408" i="5"/>
  <c r="BG407" i="5"/>
  <c r="BD407" i="5"/>
  <c r="AY407" i="5"/>
  <c r="AW407" i="5"/>
  <c r="AU407" i="5"/>
  <c r="AT407" i="5"/>
  <c r="AS407" i="5"/>
  <c r="AM407" i="5"/>
  <c r="AL407" i="5"/>
  <c r="E407" i="5"/>
  <c r="BG420" i="5"/>
  <c r="BD420" i="5"/>
  <c r="AY420" i="5"/>
  <c r="AN420" i="5"/>
  <c r="R420" i="5"/>
  <c r="E420" i="5"/>
  <c r="BG419" i="5"/>
  <c r="BD419" i="5"/>
  <c r="AY419" i="5"/>
  <c r="AN419" i="5"/>
  <c r="R419" i="5"/>
  <c r="E419" i="5"/>
  <c r="BG418" i="5"/>
  <c r="BD418" i="5"/>
  <c r="AY418" i="5"/>
  <c r="AW418" i="5"/>
  <c r="AT418" i="5"/>
  <c r="AS418" i="5"/>
  <c r="AN418" i="5"/>
  <c r="R418" i="5"/>
  <c r="E418" i="5"/>
  <c r="BG417" i="5"/>
  <c r="BD417" i="5"/>
  <c r="AY417" i="5"/>
  <c r="AW417" i="5"/>
  <c r="AT417" i="5"/>
  <c r="AN417" i="5"/>
  <c r="R417" i="5"/>
  <c r="E417" i="5"/>
  <c r="BG416" i="5"/>
  <c r="BD416" i="5"/>
  <c r="AY416" i="5"/>
  <c r="AW416" i="5"/>
  <c r="AT416" i="5"/>
  <c r="AS416" i="5"/>
  <c r="AN416" i="5"/>
  <c r="E416" i="5"/>
  <c r="BG415" i="5"/>
  <c r="BD415" i="5"/>
  <c r="AY415" i="5"/>
  <c r="AW415" i="5"/>
  <c r="AN415" i="5"/>
  <c r="R415" i="5"/>
  <c r="E415" i="5"/>
  <c r="BG414" i="5"/>
  <c r="BD414" i="5"/>
  <c r="AY414" i="5"/>
  <c r="AW414" i="5"/>
  <c r="AT414" i="5"/>
  <c r="AS414" i="5"/>
  <c r="AN414" i="5"/>
  <c r="E414" i="5"/>
  <c r="BG413" i="5"/>
  <c r="BD413" i="5"/>
  <c r="AY413" i="5"/>
  <c r="AW413" i="5"/>
  <c r="AN413" i="5"/>
  <c r="E413" i="5"/>
  <c r="BG412" i="5"/>
  <c r="BD412" i="5"/>
  <c r="AY412" i="5"/>
  <c r="AW412" i="5"/>
  <c r="AT412" i="5"/>
  <c r="AS412" i="5"/>
  <c r="AN412" i="5"/>
  <c r="R412" i="5"/>
  <c r="E412" i="5"/>
  <c r="BG411" i="5"/>
  <c r="BD411" i="5"/>
  <c r="AY411" i="5"/>
  <c r="AW411" i="5"/>
  <c r="AT411" i="5"/>
  <c r="AS411" i="5"/>
  <c r="AN411" i="5"/>
  <c r="R411" i="5"/>
  <c r="E411" i="5"/>
  <c r="BG410" i="5"/>
  <c r="BD410" i="5"/>
  <c r="AY410" i="5"/>
  <c r="AW410" i="5"/>
  <c r="AT410" i="5"/>
  <c r="AS410" i="5"/>
  <c r="AN410" i="5"/>
  <c r="R410" i="5"/>
  <c r="E410" i="5"/>
  <c r="BG409" i="5"/>
  <c r="BD409" i="5"/>
  <c r="AY409" i="5"/>
  <c r="AW409" i="5"/>
  <c r="AT409" i="5"/>
  <c r="AS409" i="5"/>
  <c r="AN409" i="5"/>
  <c r="E409" i="5"/>
  <c r="BG394" i="5"/>
  <c r="BD394" i="5"/>
  <c r="AY394" i="5"/>
  <c r="AW394" i="5"/>
  <c r="AU394" i="5"/>
  <c r="AT394" i="5"/>
  <c r="AS394" i="5"/>
  <c r="AM394" i="5"/>
  <c r="AL394" i="5"/>
  <c r="E394" i="5"/>
  <c r="BG393" i="5"/>
  <c r="BD393" i="5"/>
  <c r="AY393" i="5"/>
  <c r="AW393" i="5"/>
  <c r="AU393" i="5"/>
  <c r="AT393" i="5"/>
  <c r="AS393" i="5"/>
  <c r="AM393" i="5"/>
  <c r="AL393" i="5"/>
  <c r="E393" i="5"/>
  <c r="BG406" i="5"/>
  <c r="BD406" i="5"/>
  <c r="AY406" i="5"/>
  <c r="AN406" i="5"/>
  <c r="E406" i="5"/>
  <c r="BG405" i="5"/>
  <c r="BD405" i="5"/>
  <c r="AY405" i="5"/>
  <c r="AN405" i="5"/>
  <c r="R405" i="5"/>
  <c r="E405" i="5"/>
  <c r="BG404" i="5"/>
  <c r="BD404" i="5"/>
  <c r="AY404" i="5"/>
  <c r="AW404" i="5"/>
  <c r="AT404" i="5"/>
  <c r="AS404" i="5"/>
  <c r="AN404" i="5"/>
  <c r="R404" i="5"/>
  <c r="E404" i="5"/>
  <c r="BG403" i="5"/>
  <c r="BD403" i="5"/>
  <c r="AY403" i="5"/>
  <c r="AW403" i="5"/>
  <c r="AT403" i="5"/>
  <c r="AS403" i="5"/>
  <c r="AN403" i="5"/>
  <c r="R403" i="5"/>
  <c r="E403" i="5"/>
  <c r="BG402" i="5"/>
  <c r="BD402" i="5"/>
  <c r="AY402" i="5"/>
  <c r="AW402" i="5"/>
  <c r="AT402" i="5"/>
  <c r="AS402" i="5"/>
  <c r="AN402" i="5"/>
  <c r="R402" i="5"/>
  <c r="E402" i="5"/>
  <c r="BG401" i="5"/>
  <c r="BD401" i="5"/>
  <c r="AY401" i="5"/>
  <c r="AW401" i="5"/>
  <c r="AN401" i="5"/>
  <c r="R401" i="5"/>
  <c r="E401" i="5"/>
  <c r="BG400" i="5"/>
  <c r="BD400" i="5"/>
  <c r="AY400" i="5"/>
  <c r="AW400" i="5"/>
  <c r="AT400" i="5"/>
  <c r="AS400" i="5"/>
  <c r="AN400" i="5"/>
  <c r="E400" i="5"/>
  <c r="BG399" i="5"/>
  <c r="BD399" i="5"/>
  <c r="AY399" i="5"/>
  <c r="AW399" i="5"/>
  <c r="AN399" i="5"/>
  <c r="E399" i="5"/>
  <c r="BG398" i="5"/>
  <c r="BD398" i="5"/>
  <c r="AY398" i="5"/>
  <c r="AW398" i="5"/>
  <c r="AT398" i="5"/>
  <c r="AS398" i="5"/>
  <c r="AN398" i="5"/>
  <c r="E398" i="5"/>
  <c r="BG397" i="5"/>
  <c r="BD397" i="5"/>
  <c r="AY397" i="5"/>
  <c r="AW397" i="5"/>
  <c r="AT397" i="5"/>
  <c r="AS397" i="5"/>
  <c r="AN397" i="5"/>
  <c r="R397" i="5"/>
  <c r="E397" i="5"/>
  <c r="BG396" i="5"/>
  <c r="BD396" i="5"/>
  <c r="AY396" i="5"/>
  <c r="AW396" i="5"/>
  <c r="AT396" i="5"/>
  <c r="AS396" i="5"/>
  <c r="AN396" i="5"/>
  <c r="R396" i="5"/>
  <c r="E396" i="5"/>
  <c r="BG395" i="5"/>
  <c r="BD395" i="5"/>
  <c r="AY395" i="5"/>
  <c r="AW395" i="5"/>
  <c r="AT395" i="5"/>
  <c r="AS395" i="5"/>
  <c r="AN395" i="5"/>
  <c r="R395" i="5"/>
  <c r="E395" i="5"/>
  <c r="BG352" i="5"/>
  <c r="BD352" i="5"/>
  <c r="AY352" i="5"/>
  <c r="AW352" i="5"/>
  <c r="AU352" i="5"/>
  <c r="AT352" i="5"/>
  <c r="AS352" i="5"/>
  <c r="AM352" i="5"/>
  <c r="AL352" i="5"/>
  <c r="E352" i="5"/>
  <c r="BG351" i="5"/>
  <c r="BD351" i="5"/>
  <c r="AY351" i="5"/>
  <c r="AW351" i="5"/>
  <c r="AU351" i="5"/>
  <c r="AT351" i="5"/>
  <c r="AS351" i="5"/>
  <c r="AM351" i="5"/>
  <c r="AL351" i="5"/>
  <c r="E351" i="5"/>
  <c r="BG364" i="5"/>
  <c r="BD364" i="5"/>
  <c r="AY364" i="5"/>
  <c r="AN364" i="5"/>
  <c r="E364" i="5"/>
  <c r="BG363" i="5"/>
  <c r="BD363" i="5"/>
  <c r="AY363" i="5"/>
  <c r="AN363" i="5"/>
  <c r="R363" i="5"/>
  <c r="E363" i="5"/>
  <c r="BG362" i="5"/>
  <c r="BD362" i="5"/>
  <c r="AY362" i="5"/>
  <c r="AW362" i="5"/>
  <c r="AN362" i="5"/>
  <c r="E362" i="5"/>
  <c r="BG361" i="5"/>
  <c r="BD361" i="5"/>
  <c r="AY361" i="5"/>
  <c r="AW361" i="5"/>
  <c r="AT361" i="5"/>
  <c r="AS361" i="5"/>
  <c r="AN361" i="5"/>
  <c r="R361" i="5"/>
  <c r="E361" i="5"/>
  <c r="BG360" i="5"/>
  <c r="BD360" i="5"/>
  <c r="AY360" i="5"/>
  <c r="AW360" i="5"/>
  <c r="AT360" i="5"/>
  <c r="AS360" i="5"/>
  <c r="AN360" i="5"/>
  <c r="R360" i="5"/>
  <c r="E360" i="5"/>
  <c r="BG359" i="5"/>
  <c r="BD359" i="5"/>
  <c r="AY359" i="5"/>
  <c r="AW359" i="5"/>
  <c r="AN359" i="5"/>
  <c r="R359" i="5"/>
  <c r="E359" i="5"/>
  <c r="BG358" i="5"/>
  <c r="BD358" i="5"/>
  <c r="AY358" i="5"/>
  <c r="AW358" i="5"/>
  <c r="AT358" i="5"/>
  <c r="AS358" i="5"/>
  <c r="AN358" i="5"/>
  <c r="E358" i="5"/>
  <c r="BG357" i="5"/>
  <c r="BD357" i="5"/>
  <c r="AY357" i="5"/>
  <c r="AW357" i="5"/>
  <c r="AN357" i="5"/>
  <c r="R357" i="5"/>
  <c r="E357" i="5"/>
  <c r="BG356" i="5"/>
  <c r="BD356" i="5"/>
  <c r="AY356" i="5"/>
  <c r="AW356" i="5"/>
  <c r="AT356" i="5"/>
  <c r="AN356" i="5"/>
  <c r="E356" i="5"/>
  <c r="BG355" i="5"/>
  <c r="BD355" i="5"/>
  <c r="AY355" i="5"/>
  <c r="AW355" i="5"/>
  <c r="AT355" i="5"/>
  <c r="AN355" i="5"/>
  <c r="R355" i="5"/>
  <c r="E355" i="5"/>
  <c r="BG354" i="5"/>
  <c r="BD354" i="5"/>
  <c r="AY354" i="5"/>
  <c r="AW354" i="5"/>
  <c r="AT354" i="5"/>
  <c r="AS354" i="5"/>
  <c r="AN354" i="5"/>
  <c r="E354" i="5"/>
  <c r="BG353" i="5"/>
  <c r="BD353" i="5"/>
  <c r="AY353" i="5"/>
  <c r="AW353" i="5"/>
  <c r="AT353" i="5"/>
  <c r="AS353" i="5"/>
  <c r="AN353" i="5"/>
  <c r="R353" i="5"/>
  <c r="E353" i="5"/>
  <c r="BG310" i="5"/>
  <c r="BD310" i="5"/>
  <c r="AY310" i="5"/>
  <c r="AW310" i="5"/>
  <c r="AU310" i="5"/>
  <c r="AT310" i="5"/>
  <c r="AS310" i="5"/>
  <c r="AM310" i="5"/>
  <c r="AL310" i="5"/>
  <c r="E310" i="5"/>
  <c r="BG309" i="5"/>
  <c r="BD309" i="5"/>
  <c r="AY309" i="5"/>
  <c r="AW309" i="5"/>
  <c r="AU309" i="5"/>
  <c r="AT309" i="5"/>
  <c r="AS309" i="5"/>
  <c r="AM309" i="5"/>
  <c r="AL309" i="5"/>
  <c r="E309" i="5"/>
  <c r="BG322" i="5"/>
  <c r="BD322" i="5"/>
  <c r="AY322" i="5"/>
  <c r="AN322" i="5"/>
  <c r="R322" i="5"/>
  <c r="E322" i="5"/>
  <c r="BG321" i="5"/>
  <c r="BD321" i="5"/>
  <c r="AY321" i="5"/>
  <c r="AN321" i="5"/>
  <c r="E321" i="5"/>
  <c r="BG320" i="5"/>
  <c r="BD320" i="5"/>
  <c r="AY320" i="5"/>
  <c r="AW320" i="5"/>
  <c r="AT320" i="5"/>
  <c r="AS320" i="5"/>
  <c r="AN320" i="5"/>
  <c r="R320" i="5"/>
  <c r="E320" i="5"/>
  <c r="BG319" i="5"/>
  <c r="BD319" i="5"/>
  <c r="AY319" i="5"/>
  <c r="AW319" i="5"/>
  <c r="AT319" i="5"/>
  <c r="AS319" i="5"/>
  <c r="AN319" i="5"/>
  <c r="R319" i="5"/>
  <c r="E319" i="5"/>
  <c r="BG318" i="5"/>
  <c r="BD318" i="5"/>
  <c r="AY318" i="5"/>
  <c r="AW318" i="5"/>
  <c r="AT318" i="5"/>
  <c r="AN318" i="5"/>
  <c r="E318" i="5"/>
  <c r="BG317" i="5"/>
  <c r="BD317" i="5"/>
  <c r="AY317" i="5"/>
  <c r="AW317" i="5"/>
  <c r="AN317" i="5"/>
  <c r="R317" i="5"/>
  <c r="E317" i="5"/>
  <c r="BG316" i="5"/>
  <c r="BD316" i="5"/>
  <c r="AY316" i="5"/>
  <c r="AW316" i="5"/>
  <c r="AT316" i="5"/>
  <c r="AS316" i="5"/>
  <c r="AN316" i="5"/>
  <c r="E316" i="5"/>
  <c r="BG315" i="5"/>
  <c r="BD315" i="5"/>
  <c r="AY315" i="5"/>
  <c r="AW315" i="5"/>
  <c r="AN315" i="5"/>
  <c r="E315" i="5"/>
  <c r="BG314" i="5"/>
  <c r="BD314" i="5"/>
  <c r="AY314" i="5"/>
  <c r="AW314" i="5"/>
  <c r="AT314" i="5"/>
  <c r="AS314" i="5"/>
  <c r="AN314" i="5"/>
  <c r="R314" i="5"/>
  <c r="E314" i="5"/>
  <c r="BG313" i="5"/>
  <c r="BD313" i="5"/>
  <c r="AY313" i="5"/>
  <c r="AW313" i="5"/>
  <c r="AT313" i="5"/>
  <c r="AN313" i="5"/>
  <c r="E313" i="5"/>
  <c r="BG312" i="5"/>
  <c r="BD312" i="5"/>
  <c r="AY312" i="5"/>
  <c r="AW312" i="5"/>
  <c r="AT312" i="5"/>
  <c r="AN312" i="5"/>
  <c r="R312" i="5"/>
  <c r="E312" i="5"/>
  <c r="BG311" i="5"/>
  <c r="BD311" i="5"/>
  <c r="AY311" i="5"/>
  <c r="AW311" i="5"/>
  <c r="AT311" i="5"/>
  <c r="AN311" i="5"/>
  <c r="R311" i="5"/>
  <c r="E311" i="5"/>
  <c r="BG268" i="5"/>
  <c r="BD268" i="5"/>
  <c r="AY268" i="5"/>
  <c r="AW268" i="5"/>
  <c r="AU268" i="5"/>
  <c r="AT268" i="5"/>
  <c r="AS268" i="5"/>
  <c r="AM268" i="5"/>
  <c r="AL268" i="5"/>
  <c r="E268" i="5"/>
  <c r="BG267" i="5"/>
  <c r="BD267" i="5"/>
  <c r="AY267" i="5"/>
  <c r="AW267" i="5"/>
  <c r="AU267" i="5"/>
  <c r="AT267" i="5"/>
  <c r="AS267" i="5"/>
  <c r="AM267" i="5"/>
  <c r="AL267" i="5"/>
  <c r="R267" i="5"/>
  <c r="E267" i="5"/>
  <c r="BG280" i="5"/>
  <c r="BD280" i="5"/>
  <c r="AY280" i="5"/>
  <c r="AN280" i="5"/>
  <c r="E280" i="5"/>
  <c r="BG279" i="5"/>
  <c r="BD279" i="5"/>
  <c r="AY279" i="5"/>
  <c r="AN279" i="5"/>
  <c r="R279" i="5"/>
  <c r="E279" i="5"/>
  <c r="BG278" i="5"/>
  <c r="BD278" i="5"/>
  <c r="AY278" i="5"/>
  <c r="AW278" i="5"/>
  <c r="AT278" i="5"/>
  <c r="AS278" i="5"/>
  <c r="AN278" i="5"/>
  <c r="R278" i="5"/>
  <c r="E278" i="5"/>
  <c r="BG277" i="5"/>
  <c r="BD277" i="5"/>
  <c r="AY277" i="5"/>
  <c r="AW277" i="5"/>
  <c r="AT277" i="5"/>
  <c r="AS277" i="5"/>
  <c r="AN277" i="5"/>
  <c r="R277" i="5"/>
  <c r="E277" i="5"/>
  <c r="BG276" i="5"/>
  <c r="BD276" i="5"/>
  <c r="AY276" i="5"/>
  <c r="AW276" i="5"/>
  <c r="AT276" i="5"/>
  <c r="AS276" i="5"/>
  <c r="AN276" i="5"/>
  <c r="R276" i="5"/>
  <c r="E276" i="5"/>
  <c r="BG275" i="5"/>
  <c r="BD275" i="5"/>
  <c r="AY275" i="5"/>
  <c r="AW275" i="5"/>
  <c r="AN275" i="5"/>
  <c r="R275" i="5"/>
  <c r="E275" i="5"/>
  <c r="BG274" i="5"/>
  <c r="BD274" i="5"/>
  <c r="AY274" i="5"/>
  <c r="AW274" i="5"/>
  <c r="AT274" i="5"/>
  <c r="AS274" i="5"/>
  <c r="AN274" i="5"/>
  <c r="E274" i="5"/>
  <c r="BG273" i="5"/>
  <c r="BD273" i="5"/>
  <c r="AY273" i="5"/>
  <c r="AW273" i="5"/>
  <c r="AN273" i="5"/>
  <c r="E273" i="5"/>
  <c r="BG272" i="5"/>
  <c r="BD272" i="5"/>
  <c r="AY272" i="5"/>
  <c r="AW272" i="5"/>
  <c r="AT272" i="5"/>
  <c r="AS272" i="5"/>
  <c r="AN272" i="5"/>
  <c r="R272" i="5"/>
  <c r="E272" i="5"/>
  <c r="BG271" i="5"/>
  <c r="BD271" i="5"/>
  <c r="AY271" i="5"/>
  <c r="AW271" i="5"/>
  <c r="AT271" i="5"/>
  <c r="AN271" i="5"/>
  <c r="R271" i="5"/>
  <c r="E271" i="5"/>
  <c r="BG270" i="5"/>
  <c r="BD270" i="5"/>
  <c r="AY270" i="5"/>
  <c r="AW270" i="5"/>
  <c r="AT270" i="5"/>
  <c r="AS270" i="5"/>
  <c r="AN270" i="5"/>
  <c r="R270" i="5"/>
  <c r="E270" i="5"/>
  <c r="BG269" i="5"/>
  <c r="BD269" i="5"/>
  <c r="AY269" i="5"/>
  <c r="AW269" i="5"/>
  <c r="AT269" i="5"/>
  <c r="AS269" i="5"/>
  <c r="AN269" i="5"/>
  <c r="R269" i="5"/>
  <c r="E269" i="5"/>
  <c r="BG240" i="5"/>
  <c r="BD240" i="5"/>
  <c r="AY240" i="5"/>
  <c r="AW240" i="5"/>
  <c r="AU240" i="5"/>
  <c r="AT240" i="5"/>
  <c r="AS240" i="5"/>
  <c r="AM240" i="5"/>
  <c r="AL240" i="5"/>
  <c r="E240" i="5"/>
  <c r="BG239" i="5"/>
  <c r="BD239" i="5"/>
  <c r="AY239" i="5"/>
  <c r="AW239" i="5"/>
  <c r="AU239" i="5"/>
  <c r="AT239" i="5"/>
  <c r="AS239" i="5"/>
  <c r="AM239" i="5"/>
  <c r="AL239" i="5"/>
  <c r="E239" i="5"/>
  <c r="BG252" i="5"/>
  <c r="BD252" i="5"/>
  <c r="AY252" i="5"/>
  <c r="AN252" i="5"/>
  <c r="E252" i="5"/>
  <c r="BG251" i="5"/>
  <c r="BD251" i="5"/>
  <c r="AY251" i="5"/>
  <c r="AN251" i="5"/>
  <c r="R251" i="5"/>
  <c r="E251" i="5"/>
  <c r="BG250" i="5"/>
  <c r="BD250" i="5"/>
  <c r="AY250" i="5"/>
  <c r="AW250" i="5"/>
  <c r="AT250" i="5"/>
  <c r="AN250" i="5"/>
  <c r="E250" i="5"/>
  <c r="BG249" i="5"/>
  <c r="BD249" i="5"/>
  <c r="AY249" i="5"/>
  <c r="AW249" i="5"/>
  <c r="AT249" i="5"/>
  <c r="AS249" i="5"/>
  <c r="AN249" i="5"/>
  <c r="R249" i="5"/>
  <c r="E249" i="5"/>
  <c r="BG248" i="5"/>
  <c r="BD248" i="5"/>
  <c r="AY248" i="5"/>
  <c r="AW248" i="5"/>
  <c r="AT248" i="5"/>
  <c r="AN248" i="5"/>
  <c r="R248" i="5"/>
  <c r="E248" i="5"/>
  <c r="BG247" i="5"/>
  <c r="BD247" i="5"/>
  <c r="AY247" i="5"/>
  <c r="AW247" i="5"/>
  <c r="AN247" i="5"/>
  <c r="R247" i="5"/>
  <c r="E247" i="5"/>
  <c r="BG246" i="5"/>
  <c r="BD246" i="5"/>
  <c r="AY246" i="5"/>
  <c r="AW246" i="5"/>
  <c r="AT246" i="5"/>
  <c r="AN246" i="5"/>
  <c r="E246" i="5"/>
  <c r="BG245" i="5"/>
  <c r="BD245" i="5"/>
  <c r="AY245" i="5"/>
  <c r="AW245" i="5"/>
  <c r="AN245" i="5"/>
  <c r="E245" i="5"/>
  <c r="BG244" i="5"/>
  <c r="BD244" i="5"/>
  <c r="AY244" i="5"/>
  <c r="AW244" i="5"/>
  <c r="AT244" i="5"/>
  <c r="AS244" i="5"/>
  <c r="AN244" i="5"/>
  <c r="E244" i="5"/>
  <c r="BG243" i="5"/>
  <c r="BD243" i="5"/>
  <c r="AY243" i="5"/>
  <c r="AW243" i="5"/>
  <c r="AT243" i="5"/>
  <c r="AN243" i="5"/>
  <c r="R243" i="5"/>
  <c r="E243" i="5"/>
  <c r="BG242" i="5"/>
  <c r="BD242" i="5"/>
  <c r="AY242" i="5"/>
  <c r="AW242" i="5"/>
  <c r="AT242" i="5"/>
  <c r="AS242" i="5"/>
  <c r="AN242" i="5"/>
  <c r="R242" i="5"/>
  <c r="E242" i="5"/>
  <c r="BG241" i="5"/>
  <c r="BD241" i="5"/>
  <c r="AY241" i="5"/>
  <c r="AW241" i="5"/>
  <c r="AT241" i="5"/>
  <c r="AS241" i="5"/>
  <c r="AN241" i="5"/>
  <c r="R241" i="5"/>
  <c r="E241" i="5"/>
  <c r="BG226" i="5"/>
  <c r="BD226" i="5"/>
  <c r="AY226" i="5"/>
  <c r="AW226" i="5"/>
  <c r="AU226" i="5"/>
  <c r="AT226" i="5"/>
  <c r="AS226" i="5"/>
  <c r="AM226" i="5"/>
  <c r="AL226" i="5"/>
  <c r="E226" i="5"/>
  <c r="BG225" i="5"/>
  <c r="BD225" i="5"/>
  <c r="AY225" i="5"/>
  <c r="AW225" i="5"/>
  <c r="AU225" i="5"/>
  <c r="AT225" i="5"/>
  <c r="AS225" i="5"/>
  <c r="AM225" i="5"/>
  <c r="AL225" i="5"/>
  <c r="E225" i="5"/>
  <c r="BG238" i="5"/>
  <c r="BD238" i="5"/>
  <c r="AY238" i="5"/>
  <c r="AN238" i="5"/>
  <c r="R238" i="5"/>
  <c r="E238" i="5"/>
  <c r="BG237" i="5"/>
  <c r="BD237" i="5"/>
  <c r="AY237" i="5"/>
  <c r="AN237" i="5"/>
  <c r="R237" i="5"/>
  <c r="E237" i="5"/>
  <c r="BG236" i="5"/>
  <c r="BD236" i="5"/>
  <c r="AY236" i="5"/>
  <c r="AW236" i="5"/>
  <c r="AT236" i="5"/>
  <c r="AN236" i="5"/>
  <c r="E236" i="5"/>
  <c r="BG235" i="5"/>
  <c r="BD235" i="5"/>
  <c r="AY235" i="5"/>
  <c r="AW235" i="5"/>
  <c r="AT235" i="5"/>
  <c r="AS235" i="5"/>
  <c r="AN235" i="5"/>
  <c r="R235" i="5"/>
  <c r="E235" i="5"/>
  <c r="BG234" i="5"/>
  <c r="BD234" i="5"/>
  <c r="AY234" i="5"/>
  <c r="AW234" i="5"/>
  <c r="AT234" i="5"/>
  <c r="AS234" i="5"/>
  <c r="AN234" i="5"/>
  <c r="R234" i="5"/>
  <c r="E234" i="5"/>
  <c r="BG233" i="5"/>
  <c r="BD233" i="5"/>
  <c r="AY233" i="5"/>
  <c r="AW233" i="5"/>
  <c r="AN233" i="5"/>
  <c r="R233" i="5"/>
  <c r="E233" i="5"/>
  <c r="BG232" i="5"/>
  <c r="BD232" i="5"/>
  <c r="AY232" i="5"/>
  <c r="AW232" i="5"/>
  <c r="AT232" i="5"/>
  <c r="AS232" i="5"/>
  <c r="AN232" i="5"/>
  <c r="E232" i="5"/>
  <c r="BG231" i="5"/>
  <c r="BD231" i="5"/>
  <c r="AY231" i="5"/>
  <c r="AW231" i="5"/>
  <c r="AN231" i="5"/>
  <c r="R231" i="5"/>
  <c r="E231" i="5"/>
  <c r="BG230" i="5"/>
  <c r="BD230" i="5"/>
  <c r="AY230" i="5"/>
  <c r="AW230" i="5"/>
  <c r="AT230" i="5"/>
  <c r="AN230" i="5"/>
  <c r="E230" i="5"/>
  <c r="BG229" i="5"/>
  <c r="BD229" i="5"/>
  <c r="AY229" i="5"/>
  <c r="AW229" i="5"/>
  <c r="AT229" i="5"/>
  <c r="AN229" i="5"/>
  <c r="R229" i="5"/>
  <c r="E229" i="5"/>
  <c r="BG228" i="5"/>
  <c r="BD228" i="5"/>
  <c r="AY228" i="5"/>
  <c r="AW228" i="5"/>
  <c r="AT228" i="5"/>
  <c r="AS228" i="5"/>
  <c r="AN228" i="5"/>
  <c r="E228" i="5"/>
  <c r="BG227" i="5"/>
  <c r="BD227" i="5"/>
  <c r="AY227" i="5"/>
  <c r="AW227" i="5"/>
  <c r="AT227" i="5"/>
  <c r="AS227" i="5"/>
  <c r="AN227" i="5"/>
  <c r="R227" i="5"/>
  <c r="E227" i="5"/>
  <c r="BG198" i="5"/>
  <c r="BD198" i="5"/>
  <c r="AY198" i="5"/>
  <c r="AW198" i="5"/>
  <c r="AU198" i="5"/>
  <c r="AT198" i="5"/>
  <c r="AS198" i="5"/>
  <c r="AM198" i="5"/>
  <c r="AL198" i="5"/>
  <c r="E198" i="5"/>
  <c r="BG197" i="5"/>
  <c r="BD197" i="5"/>
  <c r="AY197" i="5"/>
  <c r="AW197" i="5"/>
  <c r="AU197" i="5"/>
  <c r="AT197" i="5"/>
  <c r="AS197" i="5"/>
  <c r="AM197" i="5"/>
  <c r="AL197" i="5"/>
  <c r="E197" i="5"/>
  <c r="BG210" i="5"/>
  <c r="BD210" i="5"/>
  <c r="AY210" i="5"/>
  <c r="AN210" i="5"/>
  <c r="R210" i="5"/>
  <c r="E210" i="5"/>
  <c r="BG209" i="5"/>
  <c r="BD209" i="5"/>
  <c r="AY209" i="5"/>
  <c r="AN209" i="5"/>
  <c r="E209" i="5"/>
  <c r="BG208" i="5"/>
  <c r="BD208" i="5"/>
  <c r="AY208" i="5"/>
  <c r="AW208" i="5"/>
  <c r="AT208" i="5"/>
  <c r="AS208" i="5"/>
  <c r="AN208" i="5"/>
  <c r="R208" i="5"/>
  <c r="E208" i="5"/>
  <c r="BG207" i="5"/>
  <c r="BD207" i="5"/>
  <c r="AY207" i="5"/>
  <c r="AW207" i="5"/>
  <c r="AT207" i="5"/>
  <c r="AN207" i="5"/>
  <c r="R207" i="5"/>
  <c r="E207" i="5"/>
  <c r="BG206" i="5"/>
  <c r="BD206" i="5"/>
  <c r="AY206" i="5"/>
  <c r="AW206" i="5"/>
  <c r="AT206" i="5"/>
  <c r="AS206" i="5"/>
  <c r="AN206" i="5"/>
  <c r="E206" i="5"/>
  <c r="BG205" i="5"/>
  <c r="BD205" i="5"/>
  <c r="AY205" i="5"/>
  <c r="AW205" i="5"/>
  <c r="AN205" i="5"/>
  <c r="R205" i="5"/>
  <c r="E205" i="5"/>
  <c r="BG204" i="5"/>
  <c r="BD204" i="5"/>
  <c r="AY204" i="5"/>
  <c r="AW204" i="5"/>
  <c r="AT204" i="5"/>
  <c r="AS204" i="5"/>
  <c r="AN204" i="5"/>
  <c r="E204" i="5"/>
  <c r="BG203" i="5"/>
  <c r="BD203" i="5"/>
  <c r="AY203" i="5"/>
  <c r="AW203" i="5"/>
  <c r="AN203" i="5"/>
  <c r="E203" i="5"/>
  <c r="BG202" i="5"/>
  <c r="BD202" i="5"/>
  <c r="AY202" i="5"/>
  <c r="AW202" i="5"/>
  <c r="AT202" i="5"/>
  <c r="AS202" i="5"/>
  <c r="AN202" i="5"/>
  <c r="R202" i="5"/>
  <c r="E202" i="5"/>
  <c r="BG201" i="5"/>
  <c r="BD201" i="5"/>
  <c r="AY201" i="5"/>
  <c r="AW201" i="5"/>
  <c r="AT201" i="5"/>
  <c r="AN201" i="5"/>
  <c r="R201" i="5"/>
  <c r="E201" i="5"/>
  <c r="BG200" i="5"/>
  <c r="BD200" i="5"/>
  <c r="AY200" i="5"/>
  <c r="AW200" i="5"/>
  <c r="AT200" i="5"/>
  <c r="AN200" i="5"/>
  <c r="R200" i="5"/>
  <c r="E200" i="5"/>
  <c r="BG199" i="5"/>
  <c r="BD199" i="5"/>
  <c r="AY199" i="5"/>
  <c r="AW199" i="5"/>
  <c r="AT199" i="5"/>
  <c r="AN199" i="5"/>
  <c r="R199" i="5"/>
  <c r="E199" i="5"/>
  <c r="BG184" i="5"/>
  <c r="BD184" i="5"/>
  <c r="AY184" i="5"/>
  <c r="AW184" i="5"/>
  <c r="AU184" i="5"/>
  <c r="AT184" i="5"/>
  <c r="AS184" i="5"/>
  <c r="AM184" i="5"/>
  <c r="AL184" i="5"/>
  <c r="E184" i="5"/>
  <c r="BG183" i="5"/>
  <c r="BD183" i="5"/>
  <c r="AY183" i="5"/>
  <c r="AW183" i="5"/>
  <c r="AU183" i="5"/>
  <c r="AT183" i="5"/>
  <c r="AS183" i="5"/>
  <c r="AM183" i="5"/>
  <c r="AL183" i="5"/>
  <c r="R183" i="5"/>
  <c r="E183" i="5"/>
  <c r="BG196" i="5"/>
  <c r="BD196" i="5"/>
  <c r="AY196" i="5"/>
  <c r="AN196" i="5"/>
  <c r="R196" i="5"/>
  <c r="E196" i="5"/>
  <c r="BG195" i="5"/>
  <c r="BD195" i="5"/>
  <c r="AY195" i="5"/>
  <c r="AN195" i="5"/>
  <c r="E195" i="5"/>
  <c r="BG194" i="5"/>
  <c r="BD194" i="5"/>
  <c r="AY194" i="5"/>
  <c r="AW194" i="5"/>
  <c r="AT194" i="5"/>
  <c r="AS194" i="5"/>
  <c r="AN194" i="5"/>
  <c r="R194" i="5"/>
  <c r="E194" i="5"/>
  <c r="BG193" i="5"/>
  <c r="BD193" i="5"/>
  <c r="AY193" i="5"/>
  <c r="AW193" i="5"/>
  <c r="AT193" i="5"/>
  <c r="AS193" i="5"/>
  <c r="AN193" i="5"/>
  <c r="R193" i="5"/>
  <c r="E193" i="5"/>
  <c r="BG192" i="5"/>
  <c r="BD192" i="5"/>
  <c r="AY192" i="5"/>
  <c r="AW192" i="5"/>
  <c r="AT192" i="5"/>
  <c r="AS192" i="5"/>
  <c r="AN192" i="5"/>
  <c r="R192" i="5"/>
  <c r="E192" i="5"/>
  <c r="BG191" i="5"/>
  <c r="BD191" i="5"/>
  <c r="AY191" i="5"/>
  <c r="AW191" i="5"/>
  <c r="AN191" i="5"/>
  <c r="R191" i="5"/>
  <c r="E191" i="5"/>
  <c r="BG190" i="5"/>
  <c r="BD190" i="5"/>
  <c r="AY190" i="5"/>
  <c r="AW190" i="5"/>
  <c r="AT190" i="5"/>
  <c r="AS190" i="5"/>
  <c r="AN190" i="5"/>
  <c r="E190" i="5"/>
  <c r="BG189" i="5"/>
  <c r="BD189" i="5"/>
  <c r="AY189" i="5"/>
  <c r="AW189" i="5"/>
  <c r="AN189" i="5"/>
  <c r="E189" i="5"/>
  <c r="BG188" i="5"/>
  <c r="BD188" i="5"/>
  <c r="AY188" i="5"/>
  <c r="AW188" i="5"/>
  <c r="AT188" i="5"/>
  <c r="AS188" i="5"/>
  <c r="AN188" i="5"/>
  <c r="R188" i="5"/>
  <c r="E188" i="5"/>
  <c r="BG187" i="5"/>
  <c r="BD187" i="5"/>
  <c r="AY187" i="5"/>
  <c r="AW187" i="5"/>
  <c r="AT187" i="5"/>
  <c r="AN187" i="5"/>
  <c r="E187" i="5"/>
  <c r="BG186" i="5"/>
  <c r="BD186" i="5"/>
  <c r="AY186" i="5"/>
  <c r="AW186" i="5"/>
  <c r="AT186" i="5"/>
  <c r="AS186" i="5"/>
  <c r="AN186" i="5"/>
  <c r="R186" i="5"/>
  <c r="E186" i="5"/>
  <c r="BG185" i="5"/>
  <c r="BD185" i="5"/>
  <c r="AY185" i="5"/>
  <c r="AW185" i="5"/>
  <c r="AT185" i="5"/>
  <c r="AS185" i="5"/>
  <c r="AN185" i="5"/>
  <c r="R185" i="5"/>
  <c r="E185" i="5"/>
  <c r="BG72" i="5"/>
  <c r="BD72" i="5"/>
  <c r="AY72" i="5"/>
  <c r="AW72" i="5"/>
  <c r="AU72" i="5"/>
  <c r="AT72" i="5"/>
  <c r="AS72" i="5"/>
  <c r="AM72" i="5"/>
  <c r="AL72" i="5"/>
  <c r="E72" i="5"/>
  <c r="BG71" i="5"/>
  <c r="BD71" i="5"/>
  <c r="AY71" i="5"/>
  <c r="AW71" i="5"/>
  <c r="AU71" i="5"/>
  <c r="AT71" i="5"/>
  <c r="AS71" i="5"/>
  <c r="AM71" i="5"/>
  <c r="AL71" i="5"/>
  <c r="E71" i="5"/>
  <c r="BG84" i="5"/>
  <c r="BD84" i="5"/>
  <c r="AY84" i="5"/>
  <c r="AN84" i="5"/>
  <c r="E84" i="5"/>
  <c r="BG83" i="5"/>
  <c r="BD83" i="5"/>
  <c r="AY83" i="5"/>
  <c r="AN83" i="5"/>
  <c r="R83" i="5"/>
  <c r="E83" i="5"/>
  <c r="BG82" i="5"/>
  <c r="BD82" i="5"/>
  <c r="AY82" i="5"/>
  <c r="AW82" i="5"/>
  <c r="AT82" i="5"/>
  <c r="AN82" i="5"/>
  <c r="R82" i="5"/>
  <c r="E82" i="5"/>
  <c r="BG81" i="5"/>
  <c r="BD81" i="5"/>
  <c r="AY81" i="5"/>
  <c r="AW81" i="5"/>
  <c r="AT81" i="5"/>
  <c r="AS81" i="5"/>
  <c r="AN81" i="5"/>
  <c r="R81" i="5"/>
  <c r="E81" i="5"/>
  <c r="BG80" i="5"/>
  <c r="BD80" i="5"/>
  <c r="AY80" i="5"/>
  <c r="AW80" i="5"/>
  <c r="AT80" i="5"/>
  <c r="AN80" i="5"/>
  <c r="R80" i="5"/>
  <c r="E80" i="5"/>
  <c r="BG79" i="5"/>
  <c r="BD79" i="5"/>
  <c r="AY79" i="5"/>
  <c r="AW79" i="5"/>
  <c r="AN79" i="5"/>
  <c r="R79" i="5"/>
  <c r="E79" i="5"/>
  <c r="BG78" i="5"/>
  <c r="BD78" i="5"/>
  <c r="AY78" i="5"/>
  <c r="AW78" i="5"/>
  <c r="AT78" i="5"/>
  <c r="AN78" i="5"/>
  <c r="E78" i="5"/>
  <c r="BG77" i="5"/>
  <c r="BD77" i="5"/>
  <c r="AY77" i="5"/>
  <c r="AW77" i="5"/>
  <c r="AN77" i="5"/>
  <c r="E77" i="5"/>
  <c r="BG76" i="5"/>
  <c r="BD76" i="5"/>
  <c r="AY76" i="5"/>
  <c r="AW76" i="5"/>
  <c r="AT76" i="5"/>
  <c r="AS76" i="5"/>
  <c r="AN76" i="5"/>
  <c r="E76" i="5"/>
  <c r="BG75" i="5"/>
  <c r="BD75" i="5"/>
  <c r="AY75" i="5"/>
  <c r="AW75" i="5"/>
  <c r="AT75" i="5"/>
  <c r="AN75" i="5"/>
  <c r="R75" i="5"/>
  <c r="E75" i="5"/>
  <c r="BG74" i="5"/>
  <c r="BD74" i="5"/>
  <c r="AY74" i="5"/>
  <c r="AW74" i="5"/>
  <c r="AT74" i="5"/>
  <c r="AS74" i="5"/>
  <c r="AN74" i="5"/>
  <c r="R74" i="5"/>
  <c r="E74" i="5"/>
  <c r="BG73" i="5"/>
  <c r="BD73" i="5"/>
  <c r="AY73" i="5"/>
  <c r="AW73" i="5"/>
  <c r="AT73" i="5"/>
  <c r="AS73" i="5"/>
  <c r="AN73" i="5"/>
  <c r="R73" i="5"/>
  <c r="E73" i="5"/>
  <c r="BG58" i="5"/>
  <c r="BD58" i="5"/>
  <c r="AY58" i="5"/>
  <c r="AW58" i="5"/>
  <c r="AU58" i="5"/>
  <c r="AT58" i="5"/>
  <c r="AS58" i="5"/>
  <c r="AM58" i="5"/>
  <c r="AL58" i="5"/>
  <c r="E58" i="5"/>
  <c r="BG57" i="5"/>
  <c r="BD57" i="5"/>
  <c r="AY57" i="5"/>
  <c r="AW57" i="5"/>
  <c r="AU57" i="5"/>
  <c r="AT57" i="5"/>
  <c r="AS57" i="5"/>
  <c r="AM57" i="5"/>
  <c r="AL57" i="5"/>
  <c r="E57" i="5"/>
  <c r="BG70" i="5"/>
  <c r="BD70" i="5"/>
  <c r="AY70" i="5"/>
  <c r="AN70" i="5"/>
  <c r="R70" i="5"/>
  <c r="E70" i="5"/>
  <c r="BG69" i="5"/>
  <c r="BD69" i="5"/>
  <c r="AY69" i="5"/>
  <c r="AN69" i="5"/>
  <c r="R69" i="5"/>
  <c r="E69" i="5"/>
  <c r="BG68" i="5"/>
  <c r="BD68" i="5"/>
  <c r="AY68" i="5"/>
  <c r="AW68" i="5"/>
  <c r="AT68" i="5"/>
  <c r="AN68" i="5"/>
  <c r="E68" i="5"/>
  <c r="BG67" i="5"/>
  <c r="BD67" i="5"/>
  <c r="AY67" i="5"/>
  <c r="AW67" i="5"/>
  <c r="AT67" i="5"/>
  <c r="AS67" i="5"/>
  <c r="AN67" i="5"/>
  <c r="R67" i="5"/>
  <c r="E67" i="5"/>
  <c r="BG66" i="5"/>
  <c r="BD66" i="5"/>
  <c r="AY66" i="5"/>
  <c r="AW66" i="5"/>
  <c r="AT66" i="5"/>
  <c r="AN66" i="5"/>
  <c r="R66" i="5"/>
  <c r="E66" i="5"/>
  <c r="BG65" i="5"/>
  <c r="BD65" i="5"/>
  <c r="AY65" i="5"/>
  <c r="AW65" i="5"/>
  <c r="AN65" i="5"/>
  <c r="E65" i="5"/>
  <c r="BG64" i="5"/>
  <c r="BD64" i="5"/>
  <c r="AY64" i="5"/>
  <c r="AW64" i="5"/>
  <c r="AT64" i="5"/>
  <c r="AN64" i="5"/>
  <c r="E64" i="5"/>
  <c r="BG63" i="5"/>
  <c r="BD63" i="5"/>
  <c r="AY63" i="5"/>
  <c r="AW63" i="5"/>
  <c r="AN63" i="5"/>
  <c r="E63" i="5"/>
  <c r="BG62" i="5"/>
  <c r="BD62" i="5"/>
  <c r="AY62" i="5"/>
  <c r="AW62" i="5"/>
  <c r="AT62" i="5"/>
  <c r="AS62" i="5"/>
  <c r="AN62" i="5"/>
  <c r="R62" i="5"/>
  <c r="E62" i="5"/>
  <c r="BG61" i="5"/>
  <c r="BD61" i="5"/>
  <c r="AY61" i="5"/>
  <c r="AW61" i="5"/>
  <c r="AT61" i="5"/>
  <c r="AN61" i="5"/>
  <c r="E61" i="5"/>
  <c r="BG60" i="5"/>
  <c r="BD60" i="5"/>
  <c r="AY60" i="5"/>
  <c r="AW60" i="5"/>
  <c r="AT60" i="5"/>
  <c r="AS60" i="5"/>
  <c r="AN60" i="5"/>
  <c r="E60" i="5"/>
  <c r="BG59" i="5"/>
  <c r="BD59" i="5"/>
  <c r="AY59" i="5"/>
  <c r="AT59" i="5"/>
  <c r="AN59" i="5"/>
  <c r="R59" i="5"/>
  <c r="E59" i="5"/>
  <c r="BG44" i="5"/>
  <c r="BD44" i="5"/>
  <c r="AY44" i="5"/>
  <c r="AW44" i="5"/>
  <c r="AU44" i="5"/>
  <c r="AT44" i="5"/>
  <c r="AS44" i="5"/>
  <c r="AM44" i="5"/>
  <c r="AL44" i="5"/>
  <c r="E44" i="5"/>
  <c r="BG43" i="5"/>
  <c r="BD43" i="5"/>
  <c r="AY43" i="5"/>
  <c r="AW43" i="5"/>
  <c r="AU43" i="5"/>
  <c r="AT43" i="5"/>
  <c r="AS43" i="5"/>
  <c r="AM43" i="5"/>
  <c r="AL43" i="5"/>
  <c r="E43" i="5"/>
  <c r="BG56" i="5"/>
  <c r="BD56" i="5"/>
  <c r="AY56" i="5"/>
  <c r="AN56" i="5"/>
  <c r="R56" i="5"/>
  <c r="E56" i="5"/>
  <c r="BG55" i="5"/>
  <c r="BD55" i="5"/>
  <c r="AY55" i="5"/>
  <c r="AN55" i="5"/>
  <c r="R55" i="5"/>
  <c r="E55" i="5"/>
  <c r="BG54" i="5"/>
  <c r="BD54" i="5"/>
  <c r="AY54" i="5"/>
  <c r="AW54" i="5"/>
  <c r="AT54" i="5"/>
  <c r="AN54" i="5"/>
  <c r="R54" i="5"/>
  <c r="E54" i="5"/>
  <c r="BG53" i="5"/>
  <c r="BD53" i="5"/>
  <c r="AY53" i="5"/>
  <c r="AW53" i="5"/>
  <c r="AT53" i="5"/>
  <c r="AN53" i="5"/>
  <c r="R53" i="5"/>
  <c r="E53" i="5"/>
  <c r="BG52" i="5"/>
  <c r="BD52" i="5"/>
  <c r="AY52" i="5"/>
  <c r="AW52" i="5"/>
  <c r="AT52" i="5"/>
  <c r="AS52" i="5"/>
  <c r="AN52" i="5"/>
  <c r="E52" i="5"/>
  <c r="BG51" i="5"/>
  <c r="BD51" i="5"/>
  <c r="AY51" i="5"/>
  <c r="AW51" i="5"/>
  <c r="AN51" i="5"/>
  <c r="R51" i="5"/>
  <c r="E51" i="5"/>
  <c r="BG50" i="5"/>
  <c r="BD50" i="5"/>
  <c r="AY50" i="5"/>
  <c r="AW50" i="5"/>
  <c r="AT50" i="5"/>
  <c r="AS50" i="5"/>
  <c r="AN50" i="5"/>
  <c r="R50" i="5"/>
  <c r="E50" i="5"/>
  <c r="E49" i="5"/>
  <c r="BG48" i="5"/>
  <c r="BD48" i="5"/>
  <c r="AY48" i="5"/>
  <c r="AW48" i="5"/>
  <c r="AT48" i="5"/>
  <c r="AS48" i="5"/>
  <c r="AN48" i="5"/>
  <c r="R48" i="5"/>
  <c r="E48" i="5"/>
  <c r="BG47" i="5"/>
  <c r="BD47" i="5"/>
  <c r="AY47" i="5"/>
  <c r="AW47" i="5"/>
  <c r="AT47" i="5"/>
  <c r="AS47" i="5"/>
  <c r="AN47" i="5"/>
  <c r="E47" i="5"/>
  <c r="BG46" i="5"/>
  <c r="BD46" i="5"/>
  <c r="AY46" i="5"/>
  <c r="AW46" i="5"/>
  <c r="AT46" i="5"/>
  <c r="AS46" i="5"/>
  <c r="AN46" i="5"/>
  <c r="E46" i="5"/>
  <c r="BG45" i="5"/>
  <c r="BD45" i="5"/>
  <c r="AY45" i="5"/>
  <c r="AW45" i="5"/>
  <c r="AT45" i="5"/>
  <c r="AS45" i="5"/>
  <c r="AN45" i="5"/>
  <c r="R45" i="5"/>
  <c r="E45" i="5"/>
  <c r="BG30" i="5"/>
  <c r="BD30" i="5"/>
  <c r="BA30" i="5"/>
  <c r="AY30" i="5"/>
  <c r="AW30" i="5"/>
  <c r="AU30" i="5"/>
  <c r="AT30" i="5"/>
  <c r="AS30" i="5"/>
  <c r="AM30" i="5"/>
  <c r="AL30" i="5"/>
  <c r="E30" i="5"/>
  <c r="BG29" i="5"/>
  <c r="BD29" i="5"/>
  <c r="BA29" i="5"/>
  <c r="AY29" i="5"/>
  <c r="AW29" i="5"/>
  <c r="AU29" i="5"/>
  <c r="AT29" i="5"/>
  <c r="AS29" i="5"/>
  <c r="AM29" i="5"/>
  <c r="AL29" i="5"/>
  <c r="E29" i="5"/>
  <c r="BG42" i="5"/>
  <c r="BD42" i="5"/>
  <c r="AY42" i="5"/>
  <c r="AN42" i="5"/>
  <c r="E42" i="5"/>
  <c r="BG41" i="5"/>
  <c r="BD41" i="5"/>
  <c r="AN41" i="5"/>
  <c r="E41" i="5"/>
  <c r="BG40" i="5"/>
  <c r="BD40" i="5"/>
  <c r="AN40" i="5"/>
  <c r="E40" i="5"/>
  <c r="BG39" i="5"/>
  <c r="BD39" i="5"/>
  <c r="AN39" i="5"/>
  <c r="E39" i="5"/>
  <c r="BG38" i="5"/>
  <c r="BD38" i="5"/>
  <c r="AN38" i="5"/>
  <c r="E38" i="5"/>
  <c r="BG37" i="5"/>
  <c r="BD37" i="5"/>
  <c r="AN37" i="5"/>
  <c r="E37" i="5"/>
  <c r="BG36" i="5"/>
  <c r="BD36" i="5"/>
  <c r="AY36" i="5"/>
  <c r="AW36" i="5"/>
  <c r="AT36" i="5"/>
  <c r="AS36" i="5"/>
  <c r="AN36" i="5"/>
  <c r="E36" i="5"/>
  <c r="BG35" i="5"/>
  <c r="BD35" i="5"/>
  <c r="AY35" i="5"/>
  <c r="AN35" i="5"/>
  <c r="E35" i="5"/>
  <c r="BG34" i="5"/>
  <c r="BD34" i="5"/>
  <c r="AY34" i="5"/>
  <c r="AW34" i="5"/>
  <c r="AT34" i="5"/>
  <c r="AS34" i="5"/>
  <c r="AN34" i="5"/>
  <c r="E34" i="5"/>
  <c r="BG33" i="5"/>
  <c r="BD33" i="5"/>
  <c r="AW33" i="5"/>
  <c r="AT33" i="5"/>
  <c r="AN33" i="5"/>
  <c r="E33" i="5"/>
  <c r="BG32" i="5"/>
  <c r="BD32" i="5"/>
  <c r="AW32" i="5"/>
  <c r="AT32" i="5"/>
  <c r="AS32" i="5"/>
  <c r="AN32" i="5"/>
  <c r="R32" i="5"/>
  <c r="E32" i="5"/>
  <c r="BG31" i="5"/>
  <c r="BD31" i="5"/>
  <c r="AW31" i="5"/>
  <c r="AT31" i="5"/>
  <c r="AS31" i="5"/>
  <c r="AN31" i="5"/>
  <c r="E31" i="5"/>
  <c r="BG366" i="5"/>
  <c r="BD366" i="5"/>
  <c r="AY366" i="5"/>
  <c r="AW366" i="5"/>
  <c r="AU366" i="5"/>
  <c r="AT366" i="5"/>
  <c r="AS366" i="5"/>
  <c r="AM366" i="5"/>
  <c r="AL366" i="5"/>
  <c r="E366" i="5"/>
  <c r="BG365" i="5"/>
  <c r="BD365" i="5"/>
  <c r="AY365" i="5"/>
  <c r="AW365" i="5"/>
  <c r="AU365" i="5"/>
  <c r="AT365" i="5"/>
  <c r="AS365" i="5"/>
  <c r="AM365" i="5"/>
  <c r="AL365" i="5"/>
  <c r="E365" i="5"/>
  <c r="BG378" i="5"/>
  <c r="BD378" i="5"/>
  <c r="AY378" i="5"/>
  <c r="AN378" i="5"/>
  <c r="E378" i="5"/>
  <c r="BG377" i="5"/>
  <c r="BD377" i="5"/>
  <c r="AY377" i="5"/>
  <c r="AN377" i="5"/>
  <c r="R377" i="5"/>
  <c r="E377" i="5"/>
  <c r="BG376" i="5"/>
  <c r="BD376" i="5"/>
  <c r="AY376" i="5"/>
  <c r="AW376" i="5"/>
  <c r="AT376" i="5"/>
  <c r="AS376" i="5"/>
  <c r="AN376" i="5"/>
  <c r="R376" i="5"/>
  <c r="E376" i="5"/>
  <c r="BG375" i="5"/>
  <c r="BD375" i="5"/>
  <c r="AY375" i="5"/>
  <c r="AW375" i="5"/>
  <c r="AT375" i="5"/>
  <c r="AS375" i="5"/>
  <c r="AN375" i="5"/>
  <c r="R375" i="5"/>
  <c r="E375" i="5"/>
  <c r="BG374" i="5"/>
  <c r="BD374" i="5"/>
  <c r="AY374" i="5"/>
  <c r="AW374" i="5"/>
  <c r="AT374" i="5"/>
  <c r="AS374" i="5"/>
  <c r="AN374" i="5"/>
  <c r="R374" i="5"/>
  <c r="E374" i="5"/>
  <c r="BG373" i="5"/>
  <c r="BD373" i="5"/>
  <c r="AY373" i="5"/>
  <c r="AW373" i="5"/>
  <c r="AN373" i="5"/>
  <c r="R373" i="5"/>
  <c r="E373" i="5"/>
  <c r="BG372" i="5"/>
  <c r="BD372" i="5"/>
  <c r="AY372" i="5"/>
  <c r="AW372" i="5"/>
  <c r="AT372" i="5"/>
  <c r="AS372" i="5"/>
  <c r="AN372" i="5"/>
  <c r="R372" i="5"/>
  <c r="E372" i="5"/>
  <c r="BG371" i="5"/>
  <c r="BD371" i="5"/>
  <c r="AY371" i="5"/>
  <c r="AW371" i="5"/>
  <c r="AN371" i="5"/>
  <c r="E371" i="5"/>
  <c r="BG370" i="5"/>
  <c r="BD370" i="5"/>
  <c r="AY370" i="5"/>
  <c r="AW370" i="5"/>
  <c r="AT370" i="5"/>
  <c r="AS370" i="5"/>
  <c r="AN370" i="5"/>
  <c r="E370" i="5"/>
  <c r="BG369" i="5"/>
  <c r="BD369" i="5"/>
  <c r="AY369" i="5"/>
  <c r="AW369" i="5"/>
  <c r="AT369" i="5"/>
  <c r="AN369" i="5"/>
  <c r="R369" i="5"/>
  <c r="E369" i="5"/>
  <c r="BG368" i="5"/>
  <c r="BD368" i="5"/>
  <c r="AY368" i="5"/>
  <c r="AW368" i="5"/>
  <c r="AT368" i="5"/>
  <c r="AS368" i="5"/>
  <c r="AN368" i="5"/>
  <c r="R368" i="5"/>
  <c r="E368" i="5"/>
  <c r="BG367" i="5"/>
  <c r="BD367" i="5"/>
  <c r="AY367" i="5"/>
  <c r="AW367" i="5"/>
  <c r="AT367" i="5"/>
  <c r="AS367" i="5"/>
  <c r="AN367" i="5"/>
  <c r="R367" i="5"/>
  <c r="E367" i="5"/>
  <c r="BG282" i="5"/>
  <c r="BD282" i="5"/>
  <c r="AY282" i="5"/>
  <c r="AW282" i="5"/>
  <c r="AU282" i="5"/>
  <c r="AT282" i="5"/>
  <c r="AS282" i="5"/>
  <c r="AM282" i="5"/>
  <c r="AL282" i="5"/>
  <c r="E282" i="5"/>
  <c r="BG281" i="5"/>
  <c r="BD281" i="5"/>
  <c r="AY281" i="5"/>
  <c r="AW281" i="5"/>
  <c r="AU281" i="5"/>
  <c r="AT281" i="5"/>
  <c r="AS281" i="5"/>
  <c r="AM281" i="5"/>
  <c r="AL281" i="5"/>
  <c r="E281" i="5"/>
  <c r="BG294" i="5"/>
  <c r="BD294" i="5"/>
  <c r="AY294" i="5"/>
  <c r="AN294" i="5"/>
  <c r="R294" i="5"/>
  <c r="E294" i="5"/>
  <c r="BG293" i="5"/>
  <c r="BD293" i="5"/>
  <c r="AY293" i="5"/>
  <c r="AN293" i="5"/>
  <c r="E293" i="5"/>
  <c r="BG292" i="5"/>
  <c r="BD292" i="5"/>
  <c r="AY292" i="5"/>
  <c r="AW292" i="5"/>
  <c r="AT292" i="5"/>
  <c r="AS292" i="5"/>
  <c r="AN292" i="5"/>
  <c r="R292" i="5"/>
  <c r="E292" i="5"/>
  <c r="BG291" i="5"/>
  <c r="BD291" i="5"/>
  <c r="AY291" i="5"/>
  <c r="AW291" i="5"/>
  <c r="AT291" i="5"/>
  <c r="AS291" i="5"/>
  <c r="AN291" i="5"/>
  <c r="R291" i="5"/>
  <c r="E291" i="5"/>
  <c r="BG290" i="5"/>
  <c r="BD290" i="5"/>
  <c r="AY290" i="5"/>
  <c r="AW290" i="5"/>
  <c r="AT290" i="5"/>
  <c r="AS290" i="5"/>
  <c r="AN290" i="5"/>
  <c r="R290" i="5"/>
  <c r="E290" i="5"/>
  <c r="BG289" i="5"/>
  <c r="BD289" i="5"/>
  <c r="AY289" i="5"/>
  <c r="AW289" i="5"/>
  <c r="AN289" i="5"/>
  <c r="R289" i="5"/>
  <c r="E289" i="5"/>
  <c r="BG288" i="5"/>
  <c r="BD288" i="5"/>
  <c r="AY288" i="5"/>
  <c r="AW288" i="5"/>
  <c r="AT288" i="5"/>
  <c r="AS288" i="5"/>
  <c r="AN288" i="5"/>
  <c r="E288" i="5"/>
  <c r="BG287" i="5"/>
  <c r="BD287" i="5"/>
  <c r="AY287" i="5"/>
  <c r="AW287" i="5"/>
  <c r="AN287" i="5"/>
  <c r="E287" i="5"/>
  <c r="BG286" i="5"/>
  <c r="BD286" i="5"/>
  <c r="AY286" i="5"/>
  <c r="AW286" i="5"/>
  <c r="AT286" i="5"/>
  <c r="AS286" i="5"/>
  <c r="AN286" i="5"/>
  <c r="R286" i="5"/>
  <c r="E286" i="5"/>
  <c r="BG285" i="5"/>
  <c r="BD285" i="5"/>
  <c r="AY285" i="5"/>
  <c r="AW285" i="5"/>
  <c r="AT285" i="5"/>
  <c r="AN285" i="5"/>
  <c r="R285" i="5"/>
  <c r="E285" i="5"/>
  <c r="BG284" i="5"/>
  <c r="BD284" i="5"/>
  <c r="AY284" i="5"/>
  <c r="AW284" i="5"/>
  <c r="AT284" i="5"/>
  <c r="AS284" i="5"/>
  <c r="AN284" i="5"/>
  <c r="R284" i="5"/>
  <c r="E284" i="5"/>
  <c r="BG283" i="5"/>
  <c r="BD283" i="5"/>
  <c r="AY283" i="5"/>
  <c r="AW283" i="5"/>
  <c r="AT283" i="5"/>
  <c r="AS283" i="5"/>
  <c r="AN283" i="5"/>
  <c r="E283" i="5"/>
  <c r="BG254" i="5"/>
  <c r="BD254" i="5"/>
  <c r="AY254" i="5"/>
  <c r="AW254" i="5"/>
  <c r="AU254" i="5"/>
  <c r="AT254" i="5"/>
  <c r="AS254" i="5"/>
  <c r="AM254" i="5"/>
  <c r="AL254" i="5"/>
  <c r="E254" i="5"/>
  <c r="BG253" i="5"/>
  <c r="BD253" i="5"/>
  <c r="AY253" i="5"/>
  <c r="AW253" i="5"/>
  <c r="AU253" i="5"/>
  <c r="AT253" i="5"/>
  <c r="AS253" i="5"/>
  <c r="AM253" i="5"/>
  <c r="AL253" i="5"/>
  <c r="E253" i="5"/>
  <c r="BG266" i="5"/>
  <c r="BD266" i="5"/>
  <c r="AY266" i="5"/>
  <c r="AN266" i="5"/>
  <c r="R266" i="5"/>
  <c r="E266" i="5"/>
  <c r="BG265" i="5"/>
  <c r="BD265" i="5"/>
  <c r="AY265" i="5"/>
  <c r="AN265" i="5"/>
  <c r="R265" i="5"/>
  <c r="E265" i="5"/>
  <c r="BG264" i="5"/>
  <c r="BD264" i="5"/>
  <c r="AY264" i="5"/>
  <c r="AW264" i="5"/>
  <c r="AT264" i="5"/>
  <c r="AS264" i="5"/>
  <c r="AN264" i="5"/>
  <c r="R264" i="5"/>
  <c r="E264" i="5"/>
  <c r="BG263" i="5"/>
  <c r="BD263" i="5"/>
  <c r="AY263" i="5"/>
  <c r="AW263" i="5"/>
  <c r="AT263" i="5"/>
  <c r="AS263" i="5"/>
  <c r="AN263" i="5"/>
  <c r="R263" i="5"/>
  <c r="E263" i="5"/>
  <c r="BG262" i="5"/>
  <c r="BD262" i="5"/>
  <c r="AY262" i="5"/>
  <c r="AW262" i="5"/>
  <c r="AT262" i="5"/>
  <c r="AS262" i="5"/>
  <c r="AN262" i="5"/>
  <c r="R262" i="5"/>
  <c r="E262" i="5"/>
  <c r="BG261" i="5"/>
  <c r="BD261" i="5"/>
  <c r="AY261" i="5"/>
  <c r="AW261" i="5"/>
  <c r="AN261" i="5"/>
  <c r="E261" i="5"/>
  <c r="BG260" i="5"/>
  <c r="BD260" i="5"/>
  <c r="AY260" i="5"/>
  <c r="AW260" i="5"/>
  <c r="AT260" i="5"/>
  <c r="AS260" i="5"/>
  <c r="AN260" i="5"/>
  <c r="R260" i="5"/>
  <c r="E260" i="5"/>
  <c r="BG259" i="5"/>
  <c r="BD259" i="5"/>
  <c r="AY259" i="5"/>
  <c r="AW259" i="5"/>
  <c r="AN259" i="5"/>
  <c r="E259" i="5"/>
  <c r="BG258" i="5"/>
  <c r="BD258" i="5"/>
  <c r="AY258" i="5"/>
  <c r="AW258" i="5"/>
  <c r="AT258" i="5"/>
  <c r="AS258" i="5"/>
  <c r="AN258" i="5"/>
  <c r="R258" i="5"/>
  <c r="E258" i="5"/>
  <c r="BG257" i="5"/>
  <c r="BD257" i="5"/>
  <c r="AY257" i="5"/>
  <c r="AW257" i="5"/>
  <c r="AT257" i="5"/>
  <c r="AS257" i="5"/>
  <c r="AN257" i="5"/>
  <c r="R257" i="5"/>
  <c r="E257" i="5"/>
  <c r="BG256" i="5"/>
  <c r="BD256" i="5"/>
  <c r="AY256" i="5"/>
  <c r="AW256" i="5"/>
  <c r="AT256" i="5"/>
  <c r="AS256" i="5"/>
  <c r="AN256" i="5"/>
  <c r="R256" i="5"/>
  <c r="E256" i="5"/>
  <c r="BG255" i="5"/>
  <c r="BD255" i="5"/>
  <c r="AY255" i="5"/>
  <c r="AW255" i="5"/>
  <c r="AT255" i="5"/>
  <c r="AS255" i="5"/>
  <c r="AN255" i="5"/>
  <c r="R255" i="5"/>
  <c r="E255" i="5"/>
  <c r="BG156" i="5"/>
  <c r="BD156" i="5"/>
  <c r="AY156" i="5"/>
  <c r="AW156" i="5"/>
  <c r="AU156" i="5"/>
  <c r="AT156" i="5"/>
  <c r="AS156" i="5"/>
  <c r="AM156" i="5"/>
  <c r="AL156" i="5"/>
  <c r="E156" i="5"/>
  <c r="BG155" i="5"/>
  <c r="BD155" i="5"/>
  <c r="AY155" i="5"/>
  <c r="AW155" i="5"/>
  <c r="AU155" i="5"/>
  <c r="AT155" i="5"/>
  <c r="AS155" i="5"/>
  <c r="AM155" i="5"/>
  <c r="AL155" i="5"/>
  <c r="E155" i="5"/>
  <c r="BG168" i="5"/>
  <c r="BD168" i="5"/>
  <c r="AY168" i="5"/>
  <c r="AN168" i="5"/>
  <c r="R168" i="5"/>
  <c r="E168" i="5"/>
  <c r="BG167" i="5"/>
  <c r="BD167" i="5"/>
  <c r="AY167" i="5"/>
  <c r="AN167" i="5"/>
  <c r="R167" i="5"/>
  <c r="E167" i="5"/>
  <c r="BG166" i="5"/>
  <c r="BD166" i="5"/>
  <c r="AY166" i="5"/>
  <c r="AW166" i="5"/>
  <c r="AT166" i="5"/>
  <c r="AS166" i="5"/>
  <c r="AN166" i="5"/>
  <c r="R166" i="5"/>
  <c r="E166" i="5"/>
  <c r="BG165" i="5"/>
  <c r="BD165" i="5"/>
  <c r="AY165" i="5"/>
  <c r="AW165" i="5"/>
  <c r="AT165" i="5"/>
  <c r="AN165" i="5"/>
  <c r="R165" i="5"/>
  <c r="E165" i="5"/>
  <c r="BG164" i="5"/>
  <c r="BD164" i="5"/>
  <c r="AY164" i="5"/>
  <c r="AW164" i="5"/>
  <c r="AT164" i="5"/>
  <c r="AS164" i="5"/>
  <c r="AN164" i="5"/>
  <c r="R164" i="5"/>
  <c r="E164" i="5"/>
  <c r="BG163" i="5"/>
  <c r="BD163" i="5"/>
  <c r="AY163" i="5"/>
  <c r="AW163" i="5"/>
  <c r="AN163" i="5"/>
  <c r="R163" i="5"/>
  <c r="E163" i="5"/>
  <c r="BG162" i="5"/>
  <c r="BD162" i="5"/>
  <c r="AY162" i="5"/>
  <c r="AW162" i="5"/>
  <c r="AT162" i="5"/>
  <c r="AS162" i="5"/>
  <c r="AN162" i="5"/>
  <c r="E162" i="5"/>
  <c r="BG161" i="5"/>
  <c r="BD161" i="5"/>
  <c r="AY161" i="5"/>
  <c r="AW161" i="5"/>
  <c r="AN161" i="5"/>
  <c r="E161" i="5"/>
  <c r="BG160" i="5"/>
  <c r="BD160" i="5"/>
  <c r="AY160" i="5"/>
  <c r="AW160" i="5"/>
  <c r="AT160" i="5"/>
  <c r="AN160" i="5"/>
  <c r="R160" i="5"/>
  <c r="E160" i="5"/>
  <c r="BG159" i="5"/>
  <c r="BD159" i="5"/>
  <c r="AY159" i="5"/>
  <c r="AN159" i="5"/>
  <c r="E159" i="5"/>
  <c r="BG158" i="5"/>
  <c r="BD158" i="5"/>
  <c r="AY158" i="5"/>
  <c r="AW158" i="5"/>
  <c r="AT158" i="5"/>
  <c r="AN158" i="5"/>
  <c r="E158" i="5"/>
  <c r="BG157" i="5"/>
  <c r="BD157" i="5"/>
  <c r="AY157" i="5"/>
  <c r="AW157" i="5"/>
  <c r="AT157" i="5"/>
  <c r="AN157" i="5"/>
  <c r="R157" i="5"/>
  <c r="E157" i="5"/>
  <c r="BG128" i="5"/>
  <c r="BD128" i="5"/>
  <c r="AY128" i="5"/>
  <c r="AW128" i="5"/>
  <c r="AU128" i="5"/>
  <c r="AT128" i="5"/>
  <c r="AS128" i="5"/>
  <c r="AM128" i="5"/>
  <c r="AL128" i="5"/>
  <c r="E128" i="5"/>
  <c r="BG127" i="5"/>
  <c r="BD127" i="5"/>
  <c r="AY127" i="5"/>
  <c r="AW127" i="5"/>
  <c r="AU127" i="5"/>
  <c r="AT127" i="5"/>
  <c r="AS127" i="5"/>
  <c r="AM127" i="5"/>
  <c r="AL127" i="5"/>
  <c r="E127" i="5"/>
  <c r="BG140" i="5"/>
  <c r="BD140" i="5"/>
  <c r="AY140" i="5"/>
  <c r="AN140" i="5"/>
  <c r="R140" i="5"/>
  <c r="E140" i="5"/>
  <c r="BG139" i="5"/>
  <c r="BD139" i="5"/>
  <c r="AY139" i="5"/>
  <c r="AN139" i="5"/>
  <c r="R139" i="5"/>
  <c r="E139" i="5"/>
  <c r="BG138" i="5"/>
  <c r="BD138" i="5"/>
  <c r="AY138" i="5"/>
  <c r="AW138" i="5"/>
  <c r="AT138" i="5"/>
  <c r="AS138" i="5"/>
  <c r="AN138" i="5"/>
  <c r="E138" i="5"/>
  <c r="BG137" i="5"/>
  <c r="BD137" i="5"/>
  <c r="AY137" i="5"/>
  <c r="AW137" i="5"/>
  <c r="AT137" i="5"/>
  <c r="AS137" i="5"/>
  <c r="AN137" i="5"/>
  <c r="R137" i="5"/>
  <c r="E137" i="5"/>
  <c r="BG136" i="5"/>
  <c r="BD136" i="5"/>
  <c r="AY136" i="5"/>
  <c r="AW136" i="5"/>
  <c r="AT136" i="5"/>
  <c r="AS136" i="5"/>
  <c r="AN136" i="5"/>
  <c r="E136" i="5"/>
  <c r="BG135" i="5"/>
  <c r="BD135" i="5"/>
  <c r="AY135" i="5"/>
  <c r="AW135" i="5"/>
  <c r="AN135" i="5"/>
  <c r="R135" i="5"/>
  <c r="E135" i="5"/>
  <c r="BG134" i="5"/>
  <c r="BD134" i="5"/>
  <c r="AY134" i="5"/>
  <c r="AW134" i="5"/>
  <c r="AT134" i="5"/>
  <c r="AS134" i="5"/>
  <c r="AN134" i="5"/>
  <c r="E134" i="5"/>
  <c r="BG133" i="5"/>
  <c r="BD133" i="5"/>
  <c r="AY133" i="5"/>
  <c r="AW133" i="5"/>
  <c r="AN133" i="5"/>
  <c r="E133" i="5"/>
  <c r="BG132" i="5"/>
  <c r="BD132" i="5"/>
  <c r="AY132" i="5"/>
  <c r="AW132" i="5"/>
  <c r="AT132" i="5"/>
  <c r="AS132" i="5"/>
  <c r="AN132" i="5"/>
  <c r="R132" i="5"/>
  <c r="E132" i="5"/>
  <c r="BG131" i="5"/>
  <c r="BD131" i="5"/>
  <c r="AY131" i="5"/>
  <c r="AW131" i="5"/>
  <c r="AT131" i="5"/>
  <c r="AN131" i="5"/>
  <c r="R131" i="5"/>
  <c r="E131" i="5"/>
  <c r="BG130" i="5"/>
  <c r="BD130" i="5"/>
  <c r="AY130" i="5"/>
  <c r="AW130" i="5"/>
  <c r="AT130" i="5"/>
  <c r="AS130" i="5"/>
  <c r="AN130" i="5"/>
  <c r="R130" i="5"/>
  <c r="E130" i="5"/>
  <c r="BG129" i="5"/>
  <c r="BD129" i="5"/>
  <c r="AY129" i="5"/>
  <c r="AW129" i="5"/>
  <c r="AT129" i="5"/>
  <c r="AS129" i="5"/>
  <c r="AN129" i="5"/>
  <c r="E129" i="5"/>
  <c r="BG86" i="5"/>
  <c r="BD86" i="5"/>
  <c r="AY86" i="5"/>
  <c r="AW86" i="5"/>
  <c r="AU86" i="5"/>
  <c r="AT86" i="5"/>
  <c r="AS86" i="5"/>
  <c r="AM86" i="5"/>
  <c r="AL86" i="5"/>
  <c r="E86" i="5"/>
  <c r="BG85" i="5"/>
  <c r="BD85" i="5"/>
  <c r="AY85" i="5"/>
  <c r="AW85" i="5"/>
  <c r="AU85" i="5"/>
  <c r="AT85" i="5"/>
  <c r="AS85" i="5"/>
  <c r="AM85" i="5"/>
  <c r="AL85" i="5"/>
  <c r="E85" i="5"/>
  <c r="BG98" i="5"/>
  <c r="BD98" i="5"/>
  <c r="AY98" i="5"/>
  <c r="AN98" i="5"/>
  <c r="R98" i="5"/>
  <c r="E98" i="5"/>
  <c r="BG97" i="5"/>
  <c r="BD97" i="5"/>
  <c r="AY97" i="5"/>
  <c r="AN97" i="5"/>
  <c r="R97" i="5"/>
  <c r="E97" i="5"/>
  <c r="BG96" i="5"/>
  <c r="BD96" i="5"/>
  <c r="AY96" i="5"/>
  <c r="AW96" i="5"/>
  <c r="AT96" i="5"/>
  <c r="AS96" i="5"/>
  <c r="AN96" i="5"/>
  <c r="R96" i="5"/>
  <c r="E96" i="5"/>
  <c r="BG95" i="5"/>
  <c r="BD95" i="5"/>
  <c r="AY95" i="5"/>
  <c r="AW95" i="5"/>
  <c r="AT95" i="5"/>
  <c r="AS95" i="5"/>
  <c r="AN95" i="5"/>
  <c r="R95" i="5"/>
  <c r="E95" i="5"/>
  <c r="BG94" i="5"/>
  <c r="BD94" i="5"/>
  <c r="AY94" i="5"/>
  <c r="AW94" i="5"/>
  <c r="AT94" i="5"/>
  <c r="AS94" i="5"/>
  <c r="AN94" i="5"/>
  <c r="R94" i="5"/>
  <c r="E94" i="5"/>
  <c r="BG93" i="5"/>
  <c r="BD93" i="5"/>
  <c r="AY93" i="5"/>
  <c r="AW93" i="5"/>
  <c r="AN93" i="5"/>
  <c r="E93" i="5"/>
  <c r="BG92" i="5"/>
  <c r="BD92" i="5"/>
  <c r="AY92" i="5"/>
  <c r="AW92" i="5"/>
  <c r="AT92" i="5"/>
  <c r="AS92" i="5"/>
  <c r="AN92" i="5"/>
  <c r="E92" i="5"/>
  <c r="BG91" i="5"/>
  <c r="BD91" i="5"/>
  <c r="AY91" i="5"/>
  <c r="AW91" i="5"/>
  <c r="AN91" i="5"/>
  <c r="E91" i="5"/>
  <c r="BG90" i="5"/>
  <c r="BD90" i="5"/>
  <c r="AY90" i="5"/>
  <c r="AW90" i="5"/>
  <c r="AT90" i="5"/>
  <c r="AS90" i="5"/>
  <c r="AN90" i="5"/>
  <c r="R90" i="5"/>
  <c r="E90" i="5"/>
  <c r="BG89" i="5"/>
  <c r="BD89" i="5"/>
  <c r="AY89" i="5"/>
  <c r="AW89" i="5"/>
  <c r="AN89" i="5"/>
  <c r="R89" i="5"/>
  <c r="E89" i="5"/>
  <c r="BG88" i="5"/>
  <c r="BD88" i="5"/>
  <c r="AY88" i="5"/>
  <c r="AW88" i="5"/>
  <c r="AT88" i="5"/>
  <c r="AS88" i="5"/>
  <c r="AN88" i="5"/>
  <c r="R88" i="5"/>
  <c r="E88" i="5"/>
  <c r="BG87" i="5"/>
  <c r="BD87" i="5"/>
  <c r="AY87" i="5"/>
  <c r="AW87" i="5"/>
  <c r="AT87" i="5"/>
  <c r="AN87" i="5"/>
  <c r="R87" i="5"/>
  <c r="E87" i="5"/>
  <c r="BG380" i="5"/>
  <c r="BD380" i="5"/>
  <c r="AY380" i="5"/>
  <c r="AW380" i="5"/>
  <c r="AU380" i="5"/>
  <c r="AT380" i="5"/>
  <c r="AS380" i="5"/>
  <c r="AM380" i="5"/>
  <c r="AL380" i="5"/>
  <c r="E380" i="5"/>
  <c r="BG379" i="5"/>
  <c r="BD379" i="5"/>
  <c r="AY379" i="5"/>
  <c r="AW379" i="5"/>
  <c r="AU379" i="5"/>
  <c r="AT379" i="5"/>
  <c r="AS379" i="5"/>
  <c r="AM379" i="5"/>
  <c r="AL379" i="5"/>
  <c r="E379" i="5"/>
  <c r="BG392" i="5"/>
  <c r="BD392" i="5"/>
  <c r="AY392" i="5"/>
  <c r="AN392" i="5"/>
  <c r="E392" i="5"/>
  <c r="BG391" i="5"/>
  <c r="BD391" i="5"/>
  <c r="AY391" i="5"/>
  <c r="AN391" i="5"/>
  <c r="R391" i="5"/>
  <c r="E391" i="5"/>
  <c r="BG390" i="5"/>
  <c r="BD390" i="5"/>
  <c r="AY390" i="5"/>
  <c r="AW390" i="5"/>
  <c r="AT390" i="5"/>
  <c r="AS390" i="5"/>
  <c r="AN390" i="5"/>
  <c r="R390" i="5"/>
  <c r="E390" i="5"/>
  <c r="BG389" i="5"/>
  <c r="BD389" i="5"/>
  <c r="AY389" i="5"/>
  <c r="AW389" i="5"/>
  <c r="AT389" i="5"/>
  <c r="AS389" i="5"/>
  <c r="AN389" i="5"/>
  <c r="R389" i="5"/>
  <c r="E389" i="5"/>
  <c r="BG388" i="5"/>
  <c r="BD388" i="5"/>
  <c r="AY388" i="5"/>
  <c r="AW388" i="5"/>
  <c r="AT388" i="5"/>
  <c r="AS388" i="5"/>
  <c r="AN388" i="5"/>
  <c r="R388" i="5"/>
  <c r="E388" i="5"/>
  <c r="BG387" i="5"/>
  <c r="BD387" i="5"/>
  <c r="AY387" i="5"/>
  <c r="AW387" i="5"/>
  <c r="AN387" i="5"/>
  <c r="R387" i="5"/>
  <c r="E387" i="5"/>
  <c r="BG386" i="5"/>
  <c r="BD386" i="5"/>
  <c r="AY386" i="5"/>
  <c r="AW386" i="5"/>
  <c r="AT386" i="5"/>
  <c r="AS386" i="5"/>
  <c r="AN386" i="5"/>
  <c r="R386" i="5"/>
  <c r="E386" i="5"/>
  <c r="BG385" i="5"/>
  <c r="BD385" i="5"/>
  <c r="AY385" i="5"/>
  <c r="AW385" i="5"/>
  <c r="AN385" i="5"/>
  <c r="E385" i="5"/>
  <c r="BG384" i="5"/>
  <c r="BD384" i="5"/>
  <c r="AY384" i="5"/>
  <c r="AW384" i="5"/>
  <c r="AT384" i="5"/>
  <c r="AS384" i="5"/>
  <c r="AN384" i="5"/>
  <c r="E384" i="5"/>
  <c r="BG383" i="5"/>
  <c r="BD383" i="5"/>
  <c r="AY383" i="5"/>
  <c r="AW383" i="5"/>
  <c r="AT383" i="5"/>
  <c r="AN383" i="5"/>
  <c r="R383" i="5"/>
  <c r="E383" i="5"/>
  <c r="BG382" i="5"/>
  <c r="BD382" i="5"/>
  <c r="AY382" i="5"/>
  <c r="AW382" i="5"/>
  <c r="AT382" i="5"/>
  <c r="AS382" i="5"/>
  <c r="AN382" i="5"/>
  <c r="R382" i="5"/>
  <c r="E382" i="5"/>
  <c r="BG381" i="5"/>
  <c r="BD381" i="5"/>
  <c r="AY381" i="5"/>
  <c r="AW381" i="5"/>
  <c r="AT381" i="5"/>
  <c r="AS381" i="5"/>
  <c r="AN381" i="5"/>
  <c r="R381" i="5"/>
  <c r="E381" i="5"/>
  <c r="BG338" i="5"/>
  <c r="BD338" i="5"/>
  <c r="AY338" i="5"/>
  <c r="AW338" i="5"/>
  <c r="AU338" i="5"/>
  <c r="AT338" i="5"/>
  <c r="AS338" i="5"/>
  <c r="AM338" i="5"/>
  <c r="AL338" i="5"/>
  <c r="E338" i="5"/>
  <c r="BG337" i="5"/>
  <c r="BD337" i="5"/>
  <c r="AY337" i="5"/>
  <c r="AW337" i="5"/>
  <c r="AU337" i="5"/>
  <c r="AT337" i="5"/>
  <c r="AS337" i="5"/>
  <c r="AM337" i="5"/>
  <c r="AL337" i="5"/>
  <c r="E337" i="5"/>
  <c r="BG350" i="5"/>
  <c r="BD350" i="5"/>
  <c r="AY350" i="5"/>
  <c r="AN350" i="5"/>
  <c r="R350" i="5"/>
  <c r="E350" i="5"/>
  <c r="BG349" i="5"/>
  <c r="BD349" i="5"/>
  <c r="AY349" i="5"/>
  <c r="AN349" i="5"/>
  <c r="R349" i="5"/>
  <c r="E349" i="5"/>
  <c r="BG348" i="5"/>
  <c r="BD348" i="5"/>
  <c r="AY348" i="5"/>
  <c r="AW348" i="5"/>
  <c r="AT348" i="5"/>
  <c r="AS348" i="5"/>
  <c r="AN348" i="5"/>
  <c r="R348" i="5"/>
  <c r="E348" i="5"/>
  <c r="BG347" i="5"/>
  <c r="BD347" i="5"/>
  <c r="AY347" i="5"/>
  <c r="AW347" i="5"/>
  <c r="AT347" i="5"/>
  <c r="AS347" i="5"/>
  <c r="AN347" i="5"/>
  <c r="R347" i="5"/>
  <c r="E347" i="5"/>
  <c r="BG346" i="5"/>
  <c r="BD346" i="5"/>
  <c r="AY346" i="5"/>
  <c r="AW346" i="5"/>
  <c r="AT346" i="5"/>
  <c r="AS346" i="5"/>
  <c r="AN346" i="5"/>
  <c r="E346" i="5"/>
  <c r="BG345" i="5"/>
  <c r="BD345" i="5"/>
  <c r="AY345" i="5"/>
  <c r="AW345" i="5"/>
  <c r="AN345" i="5"/>
  <c r="E345" i="5"/>
  <c r="BG344" i="5"/>
  <c r="BD344" i="5"/>
  <c r="AY344" i="5"/>
  <c r="AW344" i="5"/>
  <c r="AT344" i="5"/>
  <c r="AS344" i="5"/>
  <c r="AN344" i="5"/>
  <c r="E344" i="5"/>
  <c r="BG343" i="5"/>
  <c r="BD343" i="5"/>
  <c r="AY343" i="5"/>
  <c r="AW343" i="5"/>
  <c r="AN343" i="5"/>
  <c r="E343" i="5"/>
  <c r="BG342" i="5"/>
  <c r="BD342" i="5"/>
  <c r="AY342" i="5"/>
  <c r="AW342" i="5"/>
  <c r="AT342" i="5"/>
  <c r="AS342" i="5"/>
  <c r="AN342" i="5"/>
  <c r="E342" i="5"/>
  <c r="BG341" i="5"/>
  <c r="BD341" i="5"/>
  <c r="AY341" i="5"/>
  <c r="AW341" i="5"/>
  <c r="AN341" i="5"/>
  <c r="E341" i="5"/>
  <c r="BG340" i="5"/>
  <c r="BD340" i="5"/>
  <c r="AY340" i="5"/>
  <c r="AW340" i="5"/>
  <c r="AT340" i="5"/>
  <c r="AS340" i="5"/>
  <c r="AN340" i="5"/>
  <c r="R340" i="5"/>
  <c r="E340" i="5"/>
  <c r="BG339" i="5"/>
  <c r="BD339" i="5"/>
  <c r="AY339" i="5"/>
  <c r="AW339" i="5"/>
  <c r="AT339" i="5"/>
  <c r="AS339" i="5"/>
  <c r="AN339" i="5"/>
  <c r="R339" i="5"/>
  <c r="E339" i="5"/>
  <c r="BG324" i="5"/>
  <c r="BD324" i="5"/>
  <c r="AY324" i="5"/>
  <c r="AW324" i="5"/>
  <c r="AU324" i="5"/>
  <c r="AT324" i="5"/>
  <c r="AS324" i="5"/>
  <c r="AM324" i="5"/>
  <c r="AL324" i="5"/>
  <c r="E324" i="5"/>
  <c r="BG323" i="5"/>
  <c r="BD323" i="5"/>
  <c r="AY323" i="5"/>
  <c r="AW323" i="5"/>
  <c r="AU323" i="5"/>
  <c r="AT323" i="5"/>
  <c r="AS323" i="5"/>
  <c r="AM323" i="5"/>
  <c r="AL323" i="5"/>
  <c r="E323" i="5"/>
  <c r="BG336" i="5"/>
  <c r="BD336" i="5"/>
  <c r="AY336" i="5"/>
  <c r="AN336" i="5"/>
  <c r="R336" i="5"/>
  <c r="E336" i="5"/>
  <c r="BG335" i="5"/>
  <c r="BD335" i="5"/>
  <c r="AY335" i="5"/>
  <c r="AN335" i="5"/>
  <c r="R335" i="5"/>
  <c r="E335" i="5"/>
  <c r="BG334" i="5"/>
  <c r="BD334" i="5"/>
  <c r="AY334" i="5"/>
  <c r="AW334" i="5"/>
  <c r="AT334" i="5"/>
  <c r="AS334" i="5"/>
  <c r="AN334" i="5"/>
  <c r="E334" i="5"/>
  <c r="BG333" i="5"/>
  <c r="BD333" i="5"/>
  <c r="AY333" i="5"/>
  <c r="AW333" i="5"/>
  <c r="AT333" i="5"/>
  <c r="AS333" i="5"/>
  <c r="AN333" i="5"/>
  <c r="E333" i="5"/>
  <c r="BG332" i="5"/>
  <c r="BD332" i="5"/>
  <c r="AY332" i="5"/>
  <c r="AW332" i="5"/>
  <c r="AT332" i="5"/>
  <c r="AS332" i="5"/>
  <c r="AN332" i="5"/>
  <c r="R332" i="5"/>
  <c r="E332" i="5"/>
  <c r="BG331" i="5"/>
  <c r="BD331" i="5"/>
  <c r="AY331" i="5"/>
  <c r="AW331" i="5"/>
  <c r="AN331" i="5"/>
  <c r="R331" i="5"/>
  <c r="E331" i="5"/>
  <c r="BG330" i="5"/>
  <c r="BD330" i="5"/>
  <c r="AY330" i="5"/>
  <c r="AW330" i="5"/>
  <c r="AT330" i="5"/>
  <c r="AS330" i="5"/>
  <c r="AN330" i="5"/>
  <c r="E330" i="5"/>
  <c r="BG329" i="5"/>
  <c r="BD329" i="5"/>
  <c r="AY329" i="5"/>
  <c r="AW329" i="5"/>
  <c r="AN329" i="5"/>
  <c r="E329" i="5"/>
  <c r="BG328" i="5"/>
  <c r="BD328" i="5"/>
  <c r="AY328" i="5"/>
  <c r="AW328" i="5"/>
  <c r="AT328" i="5"/>
  <c r="AS328" i="5"/>
  <c r="AN328" i="5"/>
  <c r="R328" i="5"/>
  <c r="E328" i="5"/>
  <c r="BG327" i="5"/>
  <c r="BD327" i="5"/>
  <c r="AY327" i="5"/>
  <c r="AW327" i="5"/>
  <c r="AT327" i="5"/>
  <c r="AN327" i="5"/>
  <c r="R327" i="5"/>
  <c r="E327" i="5"/>
  <c r="BG326" i="5"/>
  <c r="BD326" i="5"/>
  <c r="AY326" i="5"/>
  <c r="AW326" i="5"/>
  <c r="AT326" i="5"/>
  <c r="AS326" i="5"/>
  <c r="AN326" i="5"/>
  <c r="E326" i="5"/>
  <c r="BG325" i="5"/>
  <c r="BD325" i="5"/>
  <c r="AY325" i="5"/>
  <c r="AW325" i="5"/>
  <c r="AT325" i="5"/>
  <c r="AS325" i="5"/>
  <c r="AN325" i="5"/>
  <c r="E325" i="5"/>
  <c r="BG296" i="5"/>
  <c r="BD296" i="5"/>
  <c r="AY296" i="5"/>
  <c r="AW296" i="5"/>
  <c r="AU296" i="5"/>
  <c r="AT296" i="5"/>
  <c r="AS296" i="5"/>
  <c r="AM296" i="5"/>
  <c r="AL296" i="5"/>
  <c r="E296" i="5"/>
  <c r="BG295" i="5"/>
  <c r="BD295" i="5"/>
  <c r="AY295" i="5"/>
  <c r="AW295" i="5"/>
  <c r="AU295" i="5"/>
  <c r="AT295" i="5"/>
  <c r="AS295" i="5"/>
  <c r="AM295" i="5"/>
  <c r="AL295" i="5"/>
  <c r="E295" i="5"/>
  <c r="BG308" i="5"/>
  <c r="BD308" i="5"/>
  <c r="AY308" i="5"/>
  <c r="AN308" i="5"/>
  <c r="R308" i="5"/>
  <c r="E308" i="5"/>
  <c r="BG307" i="5"/>
  <c r="BD307" i="5"/>
  <c r="AY307" i="5"/>
  <c r="AN307" i="5"/>
  <c r="R307" i="5"/>
  <c r="E307" i="5"/>
  <c r="BG306" i="5"/>
  <c r="BD306" i="5"/>
  <c r="AY306" i="5"/>
  <c r="AW306" i="5"/>
  <c r="AT306" i="5"/>
  <c r="AS306" i="5"/>
  <c r="AN306" i="5"/>
  <c r="R306" i="5"/>
  <c r="E306" i="5"/>
  <c r="BG305" i="5"/>
  <c r="BD305" i="5"/>
  <c r="AY305" i="5"/>
  <c r="AW305" i="5"/>
  <c r="AT305" i="5"/>
  <c r="AS305" i="5"/>
  <c r="AN305" i="5"/>
  <c r="R305" i="5"/>
  <c r="E305" i="5"/>
  <c r="BG304" i="5"/>
  <c r="BD304" i="5"/>
  <c r="AY304" i="5"/>
  <c r="AW304" i="5"/>
  <c r="AT304" i="5"/>
  <c r="AS304" i="5"/>
  <c r="AN304" i="5"/>
  <c r="E304" i="5"/>
  <c r="BG303" i="5"/>
  <c r="BD303" i="5"/>
  <c r="AY303" i="5"/>
  <c r="AW303" i="5"/>
  <c r="AN303" i="5"/>
  <c r="E303" i="5"/>
  <c r="BG302" i="5"/>
  <c r="BD302" i="5"/>
  <c r="AY302" i="5"/>
  <c r="AW302" i="5"/>
  <c r="AT302" i="5"/>
  <c r="AS302" i="5"/>
  <c r="AN302" i="5"/>
  <c r="E302" i="5"/>
  <c r="BG301" i="5"/>
  <c r="BD301" i="5"/>
  <c r="AY301" i="5"/>
  <c r="AW301" i="5"/>
  <c r="AN301" i="5"/>
  <c r="E301" i="5"/>
  <c r="BG300" i="5"/>
  <c r="BD300" i="5"/>
  <c r="AY300" i="5"/>
  <c r="AW300" i="5"/>
  <c r="AT300" i="5"/>
  <c r="AS300" i="5"/>
  <c r="AN300" i="5"/>
  <c r="R300" i="5"/>
  <c r="E300" i="5"/>
  <c r="BG299" i="5"/>
  <c r="BD299" i="5"/>
  <c r="AY299" i="5"/>
  <c r="AW299" i="5"/>
  <c r="AT299" i="5"/>
  <c r="AN299" i="5"/>
  <c r="R299" i="5"/>
  <c r="E299" i="5"/>
  <c r="BG298" i="5"/>
  <c r="BD298" i="5"/>
  <c r="AY298" i="5"/>
  <c r="AW298" i="5"/>
  <c r="AT298" i="5"/>
  <c r="AS298" i="5"/>
  <c r="AN298" i="5"/>
  <c r="R298" i="5"/>
  <c r="E298" i="5"/>
  <c r="BG297" i="5"/>
  <c r="BD297" i="5"/>
  <c r="AY297" i="5"/>
  <c r="AW297" i="5"/>
  <c r="AT297" i="5"/>
  <c r="AS297" i="5"/>
  <c r="AN297" i="5"/>
  <c r="R297" i="5"/>
  <c r="E297" i="5"/>
  <c r="BG212" i="5"/>
  <c r="BD212" i="5"/>
  <c r="AY212" i="5"/>
  <c r="AW212" i="5"/>
  <c r="AU212" i="5"/>
  <c r="AT212" i="5"/>
  <c r="AS212" i="5"/>
  <c r="AM212" i="5"/>
  <c r="AL212" i="5"/>
  <c r="E212" i="5"/>
  <c r="BG211" i="5"/>
  <c r="BD211" i="5"/>
  <c r="AY211" i="5"/>
  <c r="AW211" i="5"/>
  <c r="AU211" i="5"/>
  <c r="AT211" i="5"/>
  <c r="AS211" i="5"/>
  <c r="AM211" i="5"/>
  <c r="AL211" i="5"/>
  <c r="E211" i="5"/>
  <c r="BG224" i="5"/>
  <c r="BD224" i="5"/>
  <c r="AY224" i="5"/>
  <c r="AN224" i="5"/>
  <c r="R224" i="5"/>
  <c r="E224" i="5"/>
  <c r="BG223" i="5"/>
  <c r="BD223" i="5"/>
  <c r="AY223" i="5"/>
  <c r="AN223" i="5"/>
  <c r="R223" i="5"/>
  <c r="E223" i="5"/>
  <c r="BG222" i="5"/>
  <c r="BD222" i="5"/>
  <c r="AY222" i="5"/>
  <c r="AW222" i="5"/>
  <c r="AT222" i="5"/>
  <c r="AS222" i="5"/>
  <c r="AN222" i="5"/>
  <c r="R222" i="5"/>
  <c r="E222" i="5"/>
  <c r="BG221" i="5"/>
  <c r="BD221" i="5"/>
  <c r="AY221" i="5"/>
  <c r="AW221" i="5"/>
  <c r="AT221" i="5"/>
  <c r="AS221" i="5"/>
  <c r="AN221" i="5"/>
  <c r="R221" i="5"/>
  <c r="E221" i="5"/>
  <c r="BG220" i="5"/>
  <c r="BD220" i="5"/>
  <c r="AY220" i="5"/>
  <c r="AW220" i="5"/>
  <c r="AT220" i="5"/>
  <c r="AS220" i="5"/>
  <c r="AN220" i="5"/>
  <c r="R220" i="5"/>
  <c r="E220" i="5"/>
  <c r="BG219" i="5"/>
  <c r="BD219" i="5"/>
  <c r="AY219" i="5"/>
  <c r="AW219" i="5"/>
  <c r="AN219" i="5"/>
  <c r="R219" i="5"/>
  <c r="E219" i="5"/>
  <c r="BG218" i="5"/>
  <c r="BD218" i="5"/>
  <c r="AY218" i="5"/>
  <c r="AW218" i="5"/>
  <c r="AT218" i="5"/>
  <c r="AS218" i="5"/>
  <c r="AN218" i="5"/>
  <c r="E218" i="5"/>
  <c r="BG217" i="5"/>
  <c r="BD217" i="5"/>
  <c r="AY217" i="5"/>
  <c r="AW217" i="5"/>
  <c r="AN217" i="5"/>
  <c r="E217" i="5"/>
  <c r="BG216" i="5"/>
  <c r="BD216" i="5"/>
  <c r="AY216" i="5"/>
  <c r="AW216" i="5"/>
  <c r="AT216" i="5"/>
  <c r="AS216" i="5"/>
  <c r="AN216" i="5"/>
  <c r="R216" i="5"/>
  <c r="E216" i="5"/>
  <c r="BG215" i="5"/>
  <c r="BD215" i="5"/>
  <c r="AY215" i="5"/>
  <c r="AW215" i="5"/>
  <c r="AT215" i="5"/>
  <c r="AN215" i="5"/>
  <c r="R215" i="5"/>
  <c r="E215" i="5"/>
  <c r="BG214" i="5"/>
  <c r="BD214" i="5"/>
  <c r="AY214" i="5"/>
  <c r="AW214" i="5"/>
  <c r="AT214" i="5"/>
  <c r="AS214" i="5"/>
  <c r="AN214" i="5"/>
  <c r="R214" i="5"/>
  <c r="E214" i="5"/>
  <c r="BG213" i="5"/>
  <c r="BD213" i="5"/>
  <c r="AY213" i="5"/>
  <c r="AW213" i="5"/>
  <c r="AT213" i="5"/>
  <c r="AS213" i="5"/>
  <c r="AN213" i="5"/>
  <c r="R213" i="5"/>
  <c r="E213" i="5"/>
  <c r="BG170" i="5"/>
  <c r="BD170" i="5"/>
  <c r="AY170" i="5"/>
  <c r="AW170" i="5"/>
  <c r="AU170" i="5"/>
  <c r="AT170" i="5"/>
  <c r="AS170" i="5"/>
  <c r="AM170" i="5"/>
  <c r="AL170" i="5"/>
  <c r="E170" i="5"/>
  <c r="BG169" i="5"/>
  <c r="BD169" i="5"/>
  <c r="AY169" i="5"/>
  <c r="AW169" i="5"/>
  <c r="AU169" i="5"/>
  <c r="AT169" i="5"/>
  <c r="AS169" i="5"/>
  <c r="AM169" i="5"/>
  <c r="AL169" i="5"/>
  <c r="E169" i="5"/>
  <c r="BG182" i="5"/>
  <c r="BD182" i="5"/>
  <c r="AY182" i="5"/>
  <c r="AN182" i="5"/>
  <c r="E182" i="5"/>
  <c r="BG181" i="5"/>
  <c r="BD181" i="5"/>
  <c r="AY181" i="5"/>
  <c r="AN181" i="5"/>
  <c r="E181" i="5"/>
  <c r="BG180" i="5"/>
  <c r="BD180" i="5"/>
  <c r="AY180" i="5"/>
  <c r="AW180" i="5"/>
  <c r="AT180" i="5"/>
  <c r="AN180" i="5"/>
  <c r="R180" i="5"/>
  <c r="E180" i="5"/>
  <c r="BG179" i="5"/>
  <c r="BD179" i="5"/>
  <c r="AY179" i="5"/>
  <c r="AW179" i="5"/>
  <c r="AT179" i="5"/>
  <c r="AN179" i="5"/>
  <c r="R179" i="5"/>
  <c r="E179" i="5"/>
  <c r="BG178" i="5"/>
  <c r="BD178" i="5"/>
  <c r="AY178" i="5"/>
  <c r="AW178" i="5"/>
  <c r="AT178" i="5"/>
  <c r="AN178" i="5"/>
  <c r="R178" i="5"/>
  <c r="E178" i="5"/>
  <c r="BG177" i="5"/>
  <c r="BD177" i="5"/>
  <c r="AY177" i="5"/>
  <c r="AW177" i="5"/>
  <c r="AN177" i="5"/>
  <c r="R177" i="5"/>
  <c r="E177" i="5"/>
  <c r="BG176" i="5"/>
  <c r="BD176" i="5"/>
  <c r="AY176" i="5"/>
  <c r="AW176" i="5"/>
  <c r="AT176" i="5"/>
  <c r="AN176" i="5"/>
  <c r="E176" i="5"/>
  <c r="BG175" i="5"/>
  <c r="BD175" i="5"/>
  <c r="AY175" i="5"/>
  <c r="AW175" i="5"/>
  <c r="AN175" i="5"/>
  <c r="E175" i="5"/>
  <c r="BG174" i="5"/>
  <c r="BD174" i="5"/>
  <c r="AY174" i="5"/>
  <c r="AW174" i="5"/>
  <c r="AT174" i="5"/>
  <c r="AS174" i="5"/>
  <c r="AN174" i="5"/>
  <c r="E174" i="5"/>
  <c r="BG173" i="5"/>
  <c r="BD173" i="5"/>
  <c r="AY173" i="5"/>
  <c r="AW173" i="5"/>
  <c r="AT173" i="5"/>
  <c r="AS173" i="5"/>
  <c r="AN173" i="5"/>
  <c r="E173" i="5"/>
  <c r="BG172" i="5"/>
  <c r="BD172" i="5"/>
  <c r="AY172" i="5"/>
  <c r="AW172" i="5"/>
  <c r="AT172" i="5"/>
  <c r="AS172" i="5"/>
  <c r="AN172" i="5"/>
  <c r="R172" i="5"/>
  <c r="E172" i="5"/>
  <c r="BG171" i="5"/>
  <c r="BD171" i="5"/>
  <c r="AY171" i="5"/>
  <c r="AW171" i="5"/>
  <c r="AT171" i="5"/>
  <c r="AS171" i="5"/>
  <c r="AN171" i="5"/>
  <c r="R171" i="5"/>
  <c r="E171" i="5"/>
  <c r="BG142" i="5"/>
  <c r="BD142" i="5"/>
  <c r="AY142" i="5"/>
  <c r="AW142" i="5"/>
  <c r="AU142" i="5"/>
  <c r="AT142" i="5"/>
  <c r="AS142" i="5"/>
  <c r="AM142" i="5"/>
  <c r="AL142" i="5"/>
  <c r="E142" i="5"/>
  <c r="BG141" i="5"/>
  <c r="BD141" i="5"/>
  <c r="AY141" i="5"/>
  <c r="AW141" i="5"/>
  <c r="AU141" i="5"/>
  <c r="AT141" i="5"/>
  <c r="AS141" i="5"/>
  <c r="AM141" i="5"/>
  <c r="AL141" i="5"/>
  <c r="E141" i="5"/>
  <c r="BG154" i="5"/>
  <c r="BD154" i="5"/>
  <c r="AY154" i="5"/>
  <c r="AN154" i="5"/>
  <c r="R154" i="5"/>
  <c r="E154" i="5"/>
  <c r="BG153" i="5"/>
  <c r="BD153" i="5"/>
  <c r="AY153" i="5"/>
  <c r="AN153" i="5"/>
  <c r="R153" i="5"/>
  <c r="E153" i="5"/>
  <c r="BG152" i="5"/>
  <c r="BD152" i="5"/>
  <c r="AY152" i="5"/>
  <c r="AW152" i="5"/>
  <c r="AT152" i="5"/>
  <c r="AS152" i="5"/>
  <c r="AN152" i="5"/>
  <c r="E152" i="5"/>
  <c r="BG151" i="5"/>
  <c r="BD151" i="5"/>
  <c r="AY151" i="5"/>
  <c r="AW151" i="5"/>
  <c r="AT151" i="5"/>
  <c r="AS151" i="5"/>
  <c r="AN151" i="5"/>
  <c r="E151" i="5"/>
  <c r="BG150" i="5"/>
  <c r="BD150" i="5"/>
  <c r="AY150" i="5"/>
  <c r="AW150" i="5"/>
  <c r="AT150" i="5"/>
  <c r="AS150" i="5"/>
  <c r="AN150" i="5"/>
  <c r="R150" i="5"/>
  <c r="E150" i="5"/>
  <c r="BG149" i="5"/>
  <c r="BD149" i="5"/>
  <c r="AY149" i="5"/>
  <c r="AW149" i="5"/>
  <c r="AN149" i="5"/>
  <c r="R149" i="5"/>
  <c r="E149" i="5"/>
  <c r="BG148" i="5"/>
  <c r="BD148" i="5"/>
  <c r="AY148" i="5"/>
  <c r="AW148" i="5"/>
  <c r="AT148" i="5"/>
  <c r="AS148" i="5"/>
  <c r="AN148" i="5"/>
  <c r="E148" i="5"/>
  <c r="BG147" i="5"/>
  <c r="BD147" i="5"/>
  <c r="AY147" i="5"/>
  <c r="AW147" i="5"/>
  <c r="AN147" i="5"/>
  <c r="E147" i="5"/>
  <c r="BG146" i="5"/>
  <c r="BD146" i="5"/>
  <c r="AY146" i="5"/>
  <c r="AW146" i="5"/>
  <c r="AT146" i="5"/>
  <c r="AS146" i="5"/>
  <c r="AN146" i="5"/>
  <c r="R146" i="5"/>
  <c r="E146" i="5"/>
  <c r="BG145" i="5"/>
  <c r="BD145" i="5"/>
  <c r="AY145" i="5"/>
  <c r="AW145" i="5"/>
  <c r="AT145" i="5"/>
  <c r="AN145" i="5"/>
  <c r="R145" i="5"/>
  <c r="E145" i="5"/>
  <c r="BG144" i="5"/>
  <c r="BD144" i="5"/>
  <c r="AY144" i="5"/>
  <c r="AW144" i="5"/>
  <c r="AT144" i="5"/>
  <c r="AS144" i="5"/>
  <c r="AN144" i="5"/>
  <c r="E144" i="5"/>
  <c r="BG143" i="5"/>
  <c r="BD143" i="5"/>
  <c r="AY143" i="5"/>
  <c r="AW143" i="5"/>
  <c r="AT143" i="5"/>
  <c r="AS143" i="5"/>
  <c r="AN143" i="5"/>
  <c r="E143" i="5"/>
  <c r="BG114" i="5"/>
  <c r="BD114" i="5"/>
  <c r="AY114" i="5"/>
  <c r="AW114" i="5"/>
  <c r="AU114" i="5"/>
  <c r="AT114" i="5"/>
  <c r="AS114" i="5"/>
  <c r="AM114" i="5"/>
  <c r="AL114" i="5"/>
  <c r="E114" i="5"/>
  <c r="BG113" i="5"/>
  <c r="BD113" i="5"/>
  <c r="AY113" i="5"/>
  <c r="AW113" i="5"/>
  <c r="AU113" i="5"/>
  <c r="AT113" i="5"/>
  <c r="AS113" i="5"/>
  <c r="AM113" i="5"/>
  <c r="AL113" i="5"/>
  <c r="E113" i="5"/>
  <c r="BG126" i="5"/>
  <c r="BD126" i="5"/>
  <c r="AY126" i="5"/>
  <c r="AN126" i="5"/>
  <c r="R126" i="5"/>
  <c r="E126" i="5"/>
  <c r="BG125" i="5"/>
  <c r="BD125" i="5"/>
  <c r="AY125" i="5"/>
  <c r="AN125" i="5"/>
  <c r="R125" i="5"/>
  <c r="E125" i="5"/>
  <c r="BG124" i="5"/>
  <c r="BD124" i="5"/>
  <c r="AY124" i="5"/>
  <c r="AW124" i="5"/>
  <c r="AT124" i="5"/>
  <c r="AS124" i="5"/>
  <c r="AN124" i="5"/>
  <c r="R124" i="5"/>
  <c r="E124" i="5"/>
  <c r="BG123" i="5"/>
  <c r="BD123" i="5"/>
  <c r="AY123" i="5"/>
  <c r="AW123" i="5"/>
  <c r="AT123" i="5"/>
  <c r="AS123" i="5"/>
  <c r="AN123" i="5"/>
  <c r="R123" i="5"/>
  <c r="E123" i="5"/>
  <c r="BG122" i="5"/>
  <c r="BD122" i="5"/>
  <c r="AY122" i="5"/>
  <c r="AW122" i="5"/>
  <c r="AT122" i="5"/>
  <c r="AS122" i="5"/>
  <c r="AN122" i="5"/>
  <c r="E122" i="5"/>
  <c r="BG121" i="5"/>
  <c r="BD121" i="5"/>
  <c r="AY121" i="5"/>
  <c r="AW121" i="5"/>
  <c r="AN121" i="5"/>
  <c r="E121" i="5"/>
  <c r="BG120" i="5"/>
  <c r="BD120" i="5"/>
  <c r="AY120" i="5"/>
  <c r="AW120" i="5"/>
  <c r="AT120" i="5"/>
  <c r="AS120" i="5"/>
  <c r="AN120" i="5"/>
  <c r="E120" i="5"/>
  <c r="BG119" i="5"/>
  <c r="BD119" i="5"/>
  <c r="AY119" i="5"/>
  <c r="AW119" i="5"/>
  <c r="AT119" i="5"/>
  <c r="AN119" i="5"/>
  <c r="E119" i="5"/>
  <c r="BG118" i="5"/>
  <c r="BD118" i="5"/>
  <c r="AY118" i="5"/>
  <c r="AW118" i="5"/>
  <c r="AT118" i="5"/>
  <c r="AS118" i="5"/>
  <c r="AN118" i="5"/>
  <c r="R118" i="5"/>
  <c r="E118" i="5"/>
  <c r="BG117" i="5"/>
  <c r="BD117" i="5"/>
  <c r="AY117" i="5"/>
  <c r="AW117" i="5"/>
  <c r="AT117" i="5"/>
  <c r="AN117" i="5"/>
  <c r="R117" i="5"/>
  <c r="E117" i="5"/>
  <c r="BG116" i="5"/>
  <c r="BD116" i="5"/>
  <c r="AY116" i="5"/>
  <c r="AW116" i="5"/>
  <c r="AT116" i="5"/>
  <c r="AS116" i="5"/>
  <c r="AN116" i="5"/>
  <c r="R116" i="5"/>
  <c r="E116" i="5"/>
  <c r="BG115" i="5"/>
  <c r="BD115" i="5"/>
  <c r="AY115" i="5"/>
  <c r="AW115" i="5"/>
  <c r="AT115" i="5"/>
  <c r="AS115" i="5"/>
  <c r="AN115" i="5"/>
  <c r="R115" i="5"/>
  <c r="E115" i="5"/>
  <c r="BG100" i="5"/>
  <c r="BD100" i="5"/>
  <c r="AY100" i="5"/>
  <c r="AW100" i="5"/>
  <c r="AU100" i="5"/>
  <c r="AT100" i="5"/>
  <c r="AS100" i="5"/>
  <c r="AM100" i="5"/>
  <c r="AL100" i="5"/>
  <c r="E100" i="5"/>
  <c r="BG99" i="5"/>
  <c r="BD99" i="5"/>
  <c r="AY99" i="5"/>
  <c r="AW99" i="5"/>
  <c r="AU99" i="5"/>
  <c r="AT99" i="5"/>
  <c r="AS99" i="5"/>
  <c r="AM99" i="5"/>
  <c r="AL99" i="5"/>
  <c r="E99" i="5"/>
  <c r="BG112" i="5"/>
  <c r="BD112" i="5"/>
  <c r="AY112" i="5"/>
  <c r="AN112" i="5"/>
  <c r="R112" i="5"/>
  <c r="E112" i="5"/>
  <c r="BG111" i="5"/>
  <c r="BD111" i="5"/>
  <c r="AY111" i="5"/>
  <c r="AN111" i="5"/>
  <c r="R111" i="5"/>
  <c r="E111" i="5"/>
  <c r="BG110" i="5"/>
  <c r="BD110" i="5"/>
  <c r="AY110" i="5"/>
  <c r="AW110" i="5"/>
  <c r="AT110" i="5"/>
  <c r="AS110" i="5"/>
  <c r="AN110" i="5"/>
  <c r="R110" i="5"/>
  <c r="E110" i="5"/>
  <c r="BG109" i="5"/>
  <c r="BD109" i="5"/>
  <c r="AY109" i="5"/>
  <c r="AW109" i="5"/>
  <c r="AT109" i="5"/>
  <c r="AS109" i="5"/>
  <c r="AN109" i="5"/>
  <c r="R109" i="5"/>
  <c r="E109" i="5"/>
  <c r="BG108" i="5"/>
  <c r="BD108" i="5"/>
  <c r="AY108" i="5"/>
  <c r="AW108" i="5"/>
  <c r="AT108" i="5"/>
  <c r="AS108" i="5"/>
  <c r="AN108" i="5"/>
  <c r="R108" i="5"/>
  <c r="E108" i="5"/>
  <c r="BG107" i="5"/>
  <c r="BD107" i="5"/>
  <c r="AY107" i="5"/>
  <c r="AW107" i="5"/>
  <c r="AN107" i="5"/>
  <c r="R107" i="5"/>
  <c r="E107" i="5"/>
  <c r="BG106" i="5"/>
  <c r="BD106" i="5"/>
  <c r="AY106" i="5"/>
  <c r="AW106" i="5"/>
  <c r="AT106" i="5"/>
  <c r="AS106" i="5"/>
  <c r="AN106" i="5"/>
  <c r="E106" i="5"/>
  <c r="BG105" i="5"/>
  <c r="BD105" i="5"/>
  <c r="AY105" i="5"/>
  <c r="AW105" i="5"/>
  <c r="AN105" i="5"/>
  <c r="E105" i="5"/>
  <c r="BG104" i="5"/>
  <c r="BD104" i="5"/>
  <c r="AY104" i="5"/>
  <c r="AW104" i="5"/>
  <c r="AT104" i="5"/>
  <c r="AS104" i="5"/>
  <c r="AN104" i="5"/>
  <c r="R104" i="5"/>
  <c r="E104" i="5"/>
  <c r="BG103" i="5"/>
  <c r="BD103" i="5"/>
  <c r="AY103" i="5"/>
  <c r="AW103" i="5"/>
  <c r="AT103" i="5"/>
  <c r="AN103" i="5"/>
  <c r="R103" i="5"/>
  <c r="E103" i="5"/>
  <c r="BG102" i="5"/>
  <c r="BD102" i="5"/>
  <c r="AY102" i="5"/>
  <c r="AW102" i="5"/>
  <c r="AT102" i="5"/>
  <c r="AS102" i="5"/>
  <c r="AN102" i="5"/>
  <c r="R102" i="5"/>
  <c r="E102" i="5"/>
  <c r="BG101" i="5"/>
  <c r="BD101" i="5"/>
  <c r="AY101" i="5"/>
  <c r="AW101" i="5"/>
  <c r="AT101" i="5"/>
  <c r="AS101" i="5"/>
  <c r="AN101" i="5"/>
  <c r="R101" i="5"/>
  <c r="E101" i="5"/>
  <c r="Q4" i="5"/>
  <c r="P4" i="5"/>
  <c r="N4" i="5"/>
  <c r="M4" i="5"/>
  <c r="L4" i="5"/>
  <c r="K4" i="5"/>
  <c r="J4" i="5"/>
  <c r="I4" i="5"/>
  <c r="H4" i="5"/>
  <c r="G4" i="5"/>
  <c r="C43" i="45"/>
  <c r="D43" i="45" s="1"/>
  <c r="C42" i="45"/>
  <c r="D42" i="45" s="1"/>
  <c r="C41" i="45"/>
  <c r="D41" i="45" s="1"/>
  <c r="C40" i="45"/>
  <c r="D40" i="45" s="1"/>
  <c r="C39" i="45"/>
  <c r="D39" i="45" s="1"/>
  <c r="C38" i="45"/>
  <c r="D38" i="45" s="1"/>
  <c r="A268" i="5" s="1"/>
  <c r="C37" i="45"/>
  <c r="D37" i="45" s="1"/>
  <c r="C36" i="45"/>
  <c r="D36" i="45" s="1"/>
  <c r="C35" i="45"/>
  <c r="D35" i="45" s="1"/>
  <c r="C34" i="45"/>
  <c r="D34" i="45" s="1"/>
  <c r="A77" i="13" s="1"/>
  <c r="C33" i="45"/>
  <c r="D33" i="45" s="1"/>
  <c r="C32" i="45"/>
  <c r="D32" i="45" s="1"/>
  <c r="C31" i="45"/>
  <c r="D31" i="45" s="1"/>
  <c r="A52" i="5" s="1"/>
  <c r="C30" i="45"/>
  <c r="D30" i="45" s="1"/>
  <c r="A29" i="5" s="1"/>
  <c r="C29" i="45"/>
  <c r="D29" i="45" s="1"/>
  <c r="C28" i="45"/>
  <c r="D28" i="45" s="1"/>
  <c r="C27" i="45"/>
  <c r="D27" i="45" s="1"/>
  <c r="A263" i="5" s="1"/>
  <c r="C26" i="45"/>
  <c r="D26" i="45" s="1"/>
  <c r="A165" i="5" s="1"/>
  <c r="C25" i="45"/>
  <c r="D25" i="45" s="1"/>
  <c r="C24" i="45"/>
  <c r="D24" i="45" s="1"/>
  <c r="C23" i="45"/>
  <c r="D23" i="45" s="1"/>
  <c r="A387" i="5" s="1"/>
  <c r="C22" i="45"/>
  <c r="D22" i="45" s="1"/>
  <c r="C21" i="45"/>
  <c r="D21" i="45" s="1"/>
  <c r="A332" i="5" s="1"/>
  <c r="C20" i="45"/>
  <c r="D20" i="45" s="1"/>
  <c r="A306" i="5" s="1"/>
  <c r="C19" i="45"/>
  <c r="D19" i="45" s="1"/>
  <c r="A222" i="5" s="1"/>
  <c r="C18" i="45"/>
  <c r="D18" i="45" s="1"/>
  <c r="C17" i="45"/>
  <c r="D17" i="45" s="1"/>
  <c r="A150" i="5" s="1"/>
  <c r="C16" i="45"/>
  <c r="D16" i="45" s="1"/>
  <c r="C15" i="45"/>
  <c r="D15" i="45" s="1"/>
  <c r="Q2" i="3"/>
  <c r="R2" i="3" s="1"/>
  <c r="Q145" i="8" l="1"/>
  <c r="N145" i="8"/>
  <c r="N146" i="8"/>
  <c r="P146" i="8" s="1"/>
  <c r="N135" i="8"/>
  <c r="Q135" i="8" s="1"/>
  <c r="AR135" i="12" s="1"/>
  <c r="S4" i="13"/>
  <c r="S4" i="9"/>
  <c r="R57" i="14"/>
  <c r="S57" i="14"/>
  <c r="T57" i="14" s="1"/>
  <c r="R56" i="14"/>
  <c r="S56" i="14" s="1"/>
  <c r="T56" i="14" s="1"/>
  <c r="R58" i="14"/>
  <c r="T58" i="14" s="1"/>
  <c r="S58" i="14"/>
  <c r="R47" i="14"/>
  <c r="S47" i="14" s="1"/>
  <c r="T54" i="14"/>
  <c r="S54" i="14"/>
  <c r="R54" i="14"/>
  <c r="O99" i="8"/>
  <c r="S99" i="8" s="1"/>
  <c r="O107" i="8"/>
  <c r="O255" i="8"/>
  <c r="O259" i="8"/>
  <c r="O291" i="8"/>
  <c r="S291" i="8" s="1"/>
  <c r="O75" i="8"/>
  <c r="O323" i="8"/>
  <c r="O47" i="8"/>
  <c r="O199" i="8"/>
  <c r="S199" i="8" s="1"/>
  <c r="O207" i="8"/>
  <c r="O264" i="8"/>
  <c r="O280" i="8"/>
  <c r="S280" i="8" s="1"/>
  <c r="O80" i="8"/>
  <c r="O112" i="8"/>
  <c r="O224" i="8"/>
  <c r="O252" i="8"/>
  <c r="O68" i="8"/>
  <c r="O172" i="8"/>
  <c r="O180" i="8"/>
  <c r="O240" i="8"/>
  <c r="O308" i="8"/>
  <c r="O193" i="8"/>
  <c r="O265" i="8"/>
  <c r="O301" i="8"/>
  <c r="O329" i="8"/>
  <c r="O85" i="8"/>
  <c r="O121" i="8"/>
  <c r="O221" i="8"/>
  <c r="O249" i="8"/>
  <c r="S249" i="8" s="1"/>
  <c r="O37" i="8"/>
  <c r="O57" i="8"/>
  <c r="O65" i="8"/>
  <c r="O165" i="8"/>
  <c r="O177" i="8"/>
  <c r="O217" i="8"/>
  <c r="O237" i="8"/>
  <c r="O277" i="8"/>
  <c r="O309" i="8"/>
  <c r="O130" i="8"/>
  <c r="O134" i="8"/>
  <c r="O266" i="8"/>
  <c r="O86" i="8"/>
  <c r="O230" i="8"/>
  <c r="O50" i="8"/>
  <c r="O103" i="14"/>
  <c r="P103" i="14"/>
  <c r="Q108" i="14"/>
  <c r="O111" i="14"/>
  <c r="P111" i="14"/>
  <c r="P122" i="14"/>
  <c r="O122" i="14"/>
  <c r="P124" i="14"/>
  <c r="O124" i="14"/>
  <c r="P125" i="14"/>
  <c r="Q125" i="14"/>
  <c r="P126" i="14"/>
  <c r="O126" i="14"/>
  <c r="O114" i="14"/>
  <c r="P114" i="14"/>
  <c r="M143" i="14"/>
  <c r="Q143" i="14" s="1"/>
  <c r="P144" i="14"/>
  <c r="O144" i="14"/>
  <c r="Q145" i="14"/>
  <c r="P145" i="14"/>
  <c r="P146" i="14"/>
  <c r="O146" i="14"/>
  <c r="O148" i="14"/>
  <c r="P148" i="14"/>
  <c r="P150" i="14"/>
  <c r="O150" i="14"/>
  <c r="P152" i="14"/>
  <c r="O152" i="14"/>
  <c r="P154" i="14"/>
  <c r="O154" i="14"/>
  <c r="Q142" i="14"/>
  <c r="P142" i="14"/>
  <c r="O142" i="14"/>
  <c r="O176" i="14"/>
  <c r="P176" i="14"/>
  <c r="O170" i="14"/>
  <c r="P170" i="14"/>
  <c r="O219" i="14"/>
  <c r="P219" i="14"/>
  <c r="O220" i="14"/>
  <c r="Q220" i="14"/>
  <c r="P220" i="14"/>
  <c r="P223" i="14"/>
  <c r="O223" i="14"/>
  <c r="O211" i="14"/>
  <c r="Q211" i="14"/>
  <c r="P211" i="14"/>
  <c r="O212" i="14"/>
  <c r="Q212" i="14"/>
  <c r="O298" i="14"/>
  <c r="P298" i="14"/>
  <c r="O300" i="14"/>
  <c r="P300" i="14"/>
  <c r="O302" i="14"/>
  <c r="P302" i="14"/>
  <c r="Q305" i="14"/>
  <c r="O305" i="14"/>
  <c r="O306" i="14"/>
  <c r="Q306" i="14"/>
  <c r="P306" i="14"/>
  <c r="O308" i="14"/>
  <c r="P308" i="14"/>
  <c r="O296" i="14"/>
  <c r="P296" i="14"/>
  <c r="O326" i="14"/>
  <c r="P326" i="14"/>
  <c r="O328" i="14"/>
  <c r="P328" i="14"/>
  <c r="Q330" i="14"/>
  <c r="Q335" i="14"/>
  <c r="O323" i="14"/>
  <c r="Q323" i="14"/>
  <c r="P323" i="14"/>
  <c r="P339" i="14"/>
  <c r="O339" i="14"/>
  <c r="P343" i="14"/>
  <c r="O343" i="14"/>
  <c r="O348" i="14"/>
  <c r="P348" i="14"/>
  <c r="P349" i="14"/>
  <c r="Q349" i="14"/>
  <c r="O349" i="14"/>
  <c r="P337" i="14"/>
  <c r="O337" i="14"/>
  <c r="O367" i="14"/>
  <c r="P367" i="14"/>
  <c r="P369" i="14"/>
  <c r="O369" i="14"/>
  <c r="P371" i="14"/>
  <c r="O371" i="14"/>
  <c r="P372" i="14"/>
  <c r="O372" i="14"/>
  <c r="P375" i="14"/>
  <c r="O375" i="14"/>
  <c r="O378" i="14"/>
  <c r="P378" i="14"/>
  <c r="P365" i="14"/>
  <c r="O365" i="14"/>
  <c r="P366" i="14"/>
  <c r="Q366" i="14"/>
  <c r="P395" i="14"/>
  <c r="O395" i="14"/>
  <c r="O401" i="14"/>
  <c r="P401" i="14"/>
  <c r="P402" i="14"/>
  <c r="O402" i="14"/>
  <c r="O403" i="14"/>
  <c r="P403" i="14"/>
  <c r="P405" i="14"/>
  <c r="O405" i="14"/>
  <c r="P406" i="14"/>
  <c r="O406" i="14"/>
  <c r="Q87" i="14"/>
  <c r="P87" i="14"/>
  <c r="O87" i="14"/>
  <c r="P89" i="14"/>
  <c r="Q89" i="14"/>
  <c r="P91" i="14"/>
  <c r="P93" i="14"/>
  <c r="O93" i="14"/>
  <c r="Q94" i="14"/>
  <c r="P97" i="14"/>
  <c r="O97" i="14"/>
  <c r="P85" i="14"/>
  <c r="O85" i="14"/>
  <c r="P129" i="14"/>
  <c r="O129" i="14"/>
  <c r="O137" i="14"/>
  <c r="P137" i="14"/>
  <c r="P138" i="14"/>
  <c r="O138" i="14"/>
  <c r="P139" i="14"/>
  <c r="O139" i="14"/>
  <c r="P127" i="14"/>
  <c r="O127" i="14"/>
  <c r="P128" i="14"/>
  <c r="Q128" i="14"/>
  <c r="P157" i="14"/>
  <c r="Q157" i="14"/>
  <c r="Q158" i="14"/>
  <c r="P159" i="14"/>
  <c r="Q159" i="14"/>
  <c r="P163" i="14"/>
  <c r="O163" i="14"/>
  <c r="P164" i="14"/>
  <c r="Q164" i="14"/>
  <c r="P167" i="14"/>
  <c r="O167" i="14"/>
  <c r="P156" i="14"/>
  <c r="O156" i="14"/>
  <c r="P255" i="14"/>
  <c r="O255" i="14"/>
  <c r="P256" i="14"/>
  <c r="Q256" i="14"/>
  <c r="P259" i="14"/>
  <c r="Q260" i="14"/>
  <c r="P260" i="14"/>
  <c r="O261" i="14"/>
  <c r="P261" i="14"/>
  <c r="P263" i="14"/>
  <c r="O263" i="14"/>
  <c r="P265" i="14"/>
  <c r="O265" i="14"/>
  <c r="O266" i="14"/>
  <c r="P266" i="14"/>
  <c r="O253" i="14"/>
  <c r="P253" i="14"/>
  <c r="Q283" i="14"/>
  <c r="O283" i="14"/>
  <c r="P285" i="14"/>
  <c r="O285" i="14"/>
  <c r="Q286" i="14"/>
  <c r="P287" i="14"/>
  <c r="O287" i="14"/>
  <c r="P289" i="14"/>
  <c r="O289" i="14"/>
  <c r="P290" i="14"/>
  <c r="Q290" i="14"/>
  <c r="M292" i="14"/>
  <c r="Q292" i="14" s="1"/>
  <c r="P292" i="14"/>
  <c r="O292" i="14"/>
  <c r="O281" i="14"/>
  <c r="P281" i="14"/>
  <c r="P282" i="14"/>
  <c r="O282" i="14"/>
  <c r="P383" i="14"/>
  <c r="O383" i="14"/>
  <c r="P385" i="14"/>
  <c r="O385" i="14"/>
  <c r="P387" i="14"/>
  <c r="O387" i="14"/>
  <c r="O388" i="14"/>
  <c r="P388" i="14"/>
  <c r="Q389" i="14"/>
  <c r="P389" i="14"/>
  <c r="O390" i="14"/>
  <c r="P390" i="14"/>
  <c r="P391" i="14"/>
  <c r="O391" i="14"/>
  <c r="O379" i="14"/>
  <c r="P379" i="14"/>
  <c r="P380" i="14"/>
  <c r="O380" i="14"/>
  <c r="P32" i="14"/>
  <c r="O32" i="14"/>
  <c r="P37" i="14"/>
  <c r="O37" i="14"/>
  <c r="P41" i="14"/>
  <c r="O41" i="14"/>
  <c r="P29" i="14"/>
  <c r="O29" i="14"/>
  <c r="O50" i="14"/>
  <c r="P50" i="14"/>
  <c r="Q63" i="14"/>
  <c r="Q65" i="14"/>
  <c r="P73" i="14"/>
  <c r="Q73" i="14"/>
  <c r="P75" i="14"/>
  <c r="Q75" i="14"/>
  <c r="Q81" i="14"/>
  <c r="O71" i="14"/>
  <c r="P71" i="14"/>
  <c r="Q186" i="14"/>
  <c r="P187" i="14"/>
  <c r="O187" i="14"/>
  <c r="Q187" i="14"/>
  <c r="Q199" i="14"/>
  <c r="O203" i="14"/>
  <c r="P203" i="14"/>
  <c r="Q203" i="14"/>
  <c r="O207" i="14"/>
  <c r="P207" i="14"/>
  <c r="O229" i="14"/>
  <c r="P229" i="14"/>
  <c r="O231" i="14"/>
  <c r="P231" i="14"/>
  <c r="Q231" i="14"/>
  <c r="Q233" i="14"/>
  <c r="O233" i="14"/>
  <c r="O235" i="14"/>
  <c r="P235" i="14"/>
  <c r="Q235" i="14"/>
  <c r="Q237" i="14"/>
  <c r="O237" i="14"/>
  <c r="O225" i="14"/>
  <c r="P225" i="14"/>
  <c r="Q225" i="14"/>
  <c r="P241" i="14"/>
  <c r="Q241" i="14"/>
  <c r="P244" i="14"/>
  <c r="O244" i="14"/>
  <c r="P247" i="14"/>
  <c r="O247" i="14"/>
  <c r="P248" i="14"/>
  <c r="O248" i="14"/>
  <c r="P250" i="14"/>
  <c r="Q250" i="14"/>
  <c r="P252" i="14"/>
  <c r="O252" i="14"/>
  <c r="P240" i="14"/>
  <c r="O240" i="14"/>
  <c r="P269" i="14"/>
  <c r="O269" i="14"/>
  <c r="Q273" i="14"/>
  <c r="O273" i="14"/>
  <c r="P274" i="14"/>
  <c r="O274" i="14"/>
  <c r="P276" i="14"/>
  <c r="O276" i="14"/>
  <c r="Q278" i="14"/>
  <c r="P278" i="14"/>
  <c r="O278" i="14"/>
  <c r="P280" i="14"/>
  <c r="O280" i="14"/>
  <c r="P268" i="14"/>
  <c r="O268" i="14"/>
  <c r="P312" i="14"/>
  <c r="O312" i="14"/>
  <c r="O313" i="14"/>
  <c r="P313" i="14"/>
  <c r="P316" i="14"/>
  <c r="O316" i="14"/>
  <c r="P318" i="14"/>
  <c r="Q318" i="14"/>
  <c r="O320" i="14"/>
  <c r="P320" i="14"/>
  <c r="O322" i="14"/>
  <c r="P322" i="14"/>
  <c r="Q309" i="14"/>
  <c r="P310" i="14"/>
  <c r="O310" i="14"/>
  <c r="P354" i="14"/>
  <c r="Q354" i="14"/>
  <c r="O356" i="14"/>
  <c r="P356" i="14"/>
  <c r="Q359" i="14"/>
  <c r="P359" i="14"/>
  <c r="O359" i="14"/>
  <c r="P360" i="14"/>
  <c r="O360" i="14"/>
  <c r="Q360" i="14"/>
  <c r="P364" i="14"/>
  <c r="O364" i="14"/>
  <c r="P410" i="14"/>
  <c r="O410" i="14"/>
  <c r="P414" i="14"/>
  <c r="O414" i="14"/>
  <c r="P416" i="14"/>
  <c r="Q416" i="14"/>
  <c r="O407" i="14"/>
  <c r="P407" i="14"/>
  <c r="Q408" i="14"/>
  <c r="O408" i="14"/>
  <c r="Q425" i="14"/>
  <c r="P430" i="14"/>
  <c r="O430" i="14"/>
  <c r="Q430" i="14"/>
  <c r="O17" i="14"/>
  <c r="P17" i="14"/>
  <c r="P18" i="14"/>
  <c r="O18" i="14"/>
  <c r="Q19" i="14"/>
  <c r="P20" i="14"/>
  <c r="O20" i="14"/>
  <c r="Q21" i="14"/>
  <c r="P22" i="14"/>
  <c r="O22" i="14"/>
  <c r="P23" i="14"/>
  <c r="O23" i="14"/>
  <c r="O24" i="14"/>
  <c r="P24" i="14"/>
  <c r="O26" i="14"/>
  <c r="P26" i="14"/>
  <c r="P28" i="14"/>
  <c r="O28" i="14"/>
  <c r="A110" i="5"/>
  <c r="A104" i="5"/>
  <c r="A105" i="5"/>
  <c r="W64" i="13"/>
  <c r="W72" i="13"/>
  <c r="X72" i="13"/>
  <c r="Z72" i="13" s="1"/>
  <c r="AK72" i="13" s="1"/>
  <c r="AN72" i="13" s="1"/>
  <c r="BM26" i="46" s="1"/>
  <c r="X116" i="13"/>
  <c r="Z116" i="13" s="1"/>
  <c r="AK116" i="13" s="1"/>
  <c r="W125" i="13"/>
  <c r="W101" i="13"/>
  <c r="BA32" i="46"/>
  <c r="W110" i="13"/>
  <c r="W34" i="13"/>
  <c r="X34" i="13"/>
  <c r="Z34" i="13" s="1"/>
  <c r="AK34" i="13" s="1"/>
  <c r="AN34" i="13" s="1"/>
  <c r="BO18" i="46" s="1"/>
  <c r="W37" i="13"/>
  <c r="X37" i="13"/>
  <c r="Z37" i="13" s="1"/>
  <c r="AK37" i="13" s="1"/>
  <c r="W78" i="13"/>
  <c r="X78" i="13"/>
  <c r="Z78" i="13" s="1"/>
  <c r="AK78" i="13" s="1"/>
  <c r="W94" i="13"/>
  <c r="X120" i="13"/>
  <c r="Z120" i="13" s="1"/>
  <c r="W135" i="13"/>
  <c r="W139" i="13"/>
  <c r="G4" i="13"/>
  <c r="AK404" i="5"/>
  <c r="AA29" i="5"/>
  <c r="Q56" i="16"/>
  <c r="Q96" i="16"/>
  <c r="Q100" i="16"/>
  <c r="Q152" i="16"/>
  <c r="Q156" i="16"/>
  <c r="Q245" i="16"/>
  <c r="Q179" i="16"/>
  <c r="AT263" i="12" s="1"/>
  <c r="Q191" i="16"/>
  <c r="Q203" i="16"/>
  <c r="Q24" i="16"/>
  <c r="Q28" i="16"/>
  <c r="Q34" i="16"/>
  <c r="AT46" i="12" s="1"/>
  <c r="Q38" i="16"/>
  <c r="Q43" i="16"/>
  <c r="Q134" i="16"/>
  <c r="Q178" i="16"/>
  <c r="Q102" i="16"/>
  <c r="Q45" i="16"/>
  <c r="Q115" i="16"/>
  <c r="Q119" i="16"/>
  <c r="Q123" i="16"/>
  <c r="Q143" i="16"/>
  <c r="Q147" i="16"/>
  <c r="Q159" i="16"/>
  <c r="AT235" i="12" s="1"/>
  <c r="Q183" i="16"/>
  <c r="Q174" i="16"/>
  <c r="Q218" i="16"/>
  <c r="Q222" i="16"/>
  <c r="Q26" i="16"/>
  <c r="Q212" i="16"/>
  <c r="Q68" i="16"/>
  <c r="AT96" i="12" s="1"/>
  <c r="Q132" i="16"/>
  <c r="Q196" i="16"/>
  <c r="Q57" i="16"/>
  <c r="Q61" i="16"/>
  <c r="Q85" i="16"/>
  <c r="AT121" i="12" s="1"/>
  <c r="Q153" i="16"/>
  <c r="Q66" i="16"/>
  <c r="Q94" i="16"/>
  <c r="Q194" i="16"/>
  <c r="Q168" i="16"/>
  <c r="Q221" i="16"/>
  <c r="Q25" i="16"/>
  <c r="AT33" i="12" s="1"/>
  <c r="Q138" i="16"/>
  <c r="Q146" i="16"/>
  <c r="Q150" i="16"/>
  <c r="Q162" i="16"/>
  <c r="AT238" i="12" s="1"/>
  <c r="Q186" i="16"/>
  <c r="AT274" i="12" s="1"/>
  <c r="Q238" i="16"/>
  <c r="M15" i="46"/>
  <c r="Q65" i="16"/>
  <c r="Q69" i="16"/>
  <c r="AT97" i="12" s="1"/>
  <c r="Q93" i="16"/>
  <c r="Q105" i="16"/>
  <c r="Q133" i="16"/>
  <c r="Q193" i="16"/>
  <c r="Q55" i="16"/>
  <c r="Q79" i="16"/>
  <c r="Q219" i="16"/>
  <c r="Q46" i="16"/>
  <c r="AT62" i="12" s="1"/>
  <c r="Q137" i="16"/>
  <c r="Q141" i="16"/>
  <c r="Q233" i="16"/>
  <c r="AT345" i="12" s="1"/>
  <c r="M35" i="46"/>
  <c r="M31" i="46"/>
  <c r="Q154" i="16"/>
  <c r="Q120" i="16"/>
  <c r="Q136" i="16"/>
  <c r="AT200" i="12" s="1"/>
  <c r="Q148" i="16"/>
  <c r="Q164" i="16"/>
  <c r="Q236" i="16"/>
  <c r="AT348" i="12" s="1"/>
  <c r="Q239" i="16"/>
  <c r="AT355" i="12" s="1"/>
  <c r="Q92" i="16"/>
  <c r="Q200" i="16"/>
  <c r="Q158" i="16"/>
  <c r="Q30" i="16"/>
  <c r="Q36" i="16"/>
  <c r="Q67" i="16"/>
  <c r="Q107" i="16"/>
  <c r="Q195" i="16"/>
  <c r="Q97" i="16"/>
  <c r="Q173" i="16"/>
  <c r="Q235" i="16"/>
  <c r="Q75" i="16"/>
  <c r="AT107" i="12" s="1"/>
  <c r="Q91" i="16"/>
  <c r="Q108" i="16"/>
  <c r="AT156" i="12" s="1"/>
  <c r="Q177" i="16"/>
  <c r="Q181" i="16"/>
  <c r="Q198" i="16"/>
  <c r="Q206" i="16"/>
  <c r="Q228" i="16"/>
  <c r="Q81" i="16"/>
  <c r="Q169" i="16"/>
  <c r="Q35" i="16"/>
  <c r="AT47" i="12" s="1"/>
  <c r="Q124" i="16"/>
  <c r="Q166" i="16"/>
  <c r="AT242" i="12" s="1"/>
  <c r="Q210" i="16"/>
  <c r="Q240" i="16"/>
  <c r="Q70" i="16"/>
  <c r="Q78" i="16"/>
  <c r="Q90" i="16"/>
  <c r="Q131" i="16"/>
  <c r="AT191" i="12" s="1"/>
  <c r="Q180" i="16"/>
  <c r="AT264" i="12" s="1"/>
  <c r="Q197" i="16"/>
  <c r="Q201" i="16"/>
  <c r="Q205" i="16"/>
  <c r="Q227" i="16"/>
  <c r="Q80" i="16"/>
  <c r="AT116" i="12" s="1"/>
  <c r="Q84" i="16"/>
  <c r="Q217" i="16"/>
  <c r="Q31" i="16"/>
  <c r="Q42" i="16"/>
  <c r="Q50" i="16"/>
  <c r="Q114" i="16"/>
  <c r="Q118" i="16"/>
  <c r="Q190" i="16"/>
  <c r="M40" i="46"/>
  <c r="M39" i="46"/>
  <c r="Q246" i="16"/>
  <c r="AT362" i="12" s="1"/>
  <c r="Q73" i="16"/>
  <c r="AT105" i="12" s="1"/>
  <c r="Q77" i="16"/>
  <c r="Q89" i="16"/>
  <c r="Q110" i="16"/>
  <c r="Q130" i="16"/>
  <c r="Q204" i="16"/>
  <c r="Q230" i="16"/>
  <c r="AT338" i="12" s="1"/>
  <c r="Q83" i="16"/>
  <c r="Q171" i="16"/>
  <c r="Q216" i="16"/>
  <c r="Q27" i="16"/>
  <c r="Q41" i="16"/>
  <c r="M19" i="46"/>
  <c r="Q54" i="16"/>
  <c r="Q117" i="16"/>
  <c r="AT169" i="12" s="1"/>
  <c r="Q122" i="16"/>
  <c r="Q126" i="16"/>
  <c r="Q241" i="16"/>
  <c r="M22" i="46"/>
  <c r="M27" i="46"/>
  <c r="Q188" i="16"/>
  <c r="Q76" i="16"/>
  <c r="Q109" i="16"/>
  <c r="AT157" i="12" s="1"/>
  <c r="Q129" i="16"/>
  <c r="Q182" i="16"/>
  <c r="AT266" i="12" s="1"/>
  <c r="Q225" i="16"/>
  <c r="Q229" i="16"/>
  <c r="Q62" i="16"/>
  <c r="Q170" i="16"/>
  <c r="M17" i="46"/>
  <c r="Q44" i="16"/>
  <c r="AT60" i="12" s="1"/>
  <c r="Q112" i="16"/>
  <c r="AT164" i="12" s="1"/>
  <c r="Q116" i="16"/>
  <c r="Q125" i="16"/>
  <c r="Q142" i="16"/>
  <c r="Q211" i="16"/>
  <c r="Q244" i="16"/>
  <c r="AT360" i="12" s="1"/>
  <c r="BQ15" i="46"/>
  <c r="BQ43" i="46"/>
  <c r="BP18" i="46"/>
  <c r="BQ21" i="46"/>
  <c r="Y231" i="8"/>
  <c r="W60" i="13"/>
  <c r="X132" i="13"/>
  <c r="Z132" i="13" s="1"/>
  <c r="AK132" i="13" s="1"/>
  <c r="AN132" i="13" s="1"/>
  <c r="BM38" i="46" s="1"/>
  <c r="X40" i="13"/>
  <c r="Z40" i="13" s="1"/>
  <c r="AK40" i="13" s="1"/>
  <c r="AN40" i="13" s="1"/>
  <c r="BK20" i="46" s="1"/>
  <c r="X114" i="13"/>
  <c r="X142" i="13"/>
  <c r="X35" i="13"/>
  <c r="Z35" i="13" s="1"/>
  <c r="W39" i="13"/>
  <c r="W77" i="13"/>
  <c r="AK81" i="13"/>
  <c r="AN81" i="13" s="1"/>
  <c r="BL28" i="46" s="1"/>
  <c r="X90" i="13"/>
  <c r="Z90" i="13" s="1"/>
  <c r="AK90" i="13" s="1"/>
  <c r="AN90" i="13" s="1"/>
  <c r="BK30" i="46" s="1"/>
  <c r="W97" i="13"/>
  <c r="W108" i="13"/>
  <c r="W121" i="13"/>
  <c r="X16" i="13"/>
  <c r="Z16" i="13" s="1"/>
  <c r="AK16" i="13" s="1"/>
  <c r="W154" i="13"/>
  <c r="X64" i="13"/>
  <c r="Z64" i="13" s="1"/>
  <c r="AK64" i="13" s="1"/>
  <c r="X129" i="13"/>
  <c r="Z129" i="13" s="1"/>
  <c r="AK129" i="13" s="1"/>
  <c r="AN129" i="13" s="1"/>
  <c r="BO37" i="46" s="1"/>
  <c r="W132" i="13"/>
  <c r="W40" i="13"/>
  <c r="X44" i="13"/>
  <c r="Z44" i="13" s="1"/>
  <c r="AK44" i="13" s="1"/>
  <c r="BA20" i="46" s="1"/>
  <c r="X57" i="13"/>
  <c r="Z57" i="13" s="1"/>
  <c r="AK57" i="13" s="1"/>
  <c r="AY23" i="46" s="1"/>
  <c r="X68" i="13"/>
  <c r="Z68" i="13" s="1"/>
  <c r="AK68" i="13" s="1"/>
  <c r="X124" i="13"/>
  <c r="X137" i="13"/>
  <c r="X125" i="13"/>
  <c r="Z125" i="13" s="1"/>
  <c r="AK125" i="13" s="1"/>
  <c r="AL125" i="13" s="1"/>
  <c r="BD37" i="46" s="1"/>
  <c r="W59" i="13"/>
  <c r="W67" i="13"/>
  <c r="X101" i="13"/>
  <c r="Z101" i="13" s="1"/>
  <c r="AK101" i="13" s="1"/>
  <c r="AX32" i="46" s="1"/>
  <c r="X110" i="13"/>
  <c r="Z110" i="13" s="1"/>
  <c r="AK110" i="13" s="1"/>
  <c r="AN110" i="13" s="1"/>
  <c r="BK34" i="46" s="1"/>
  <c r="X32" i="13"/>
  <c r="X91" i="13"/>
  <c r="Z91" i="13" s="1"/>
  <c r="AK91" i="13" s="1"/>
  <c r="AX30" i="46" s="1"/>
  <c r="X94" i="13"/>
  <c r="Z94" i="13" s="1"/>
  <c r="AK94" i="13" s="1"/>
  <c r="W28" i="13"/>
  <c r="X41" i="13"/>
  <c r="AB41" i="13" s="1"/>
  <c r="AD41" i="13" s="1"/>
  <c r="W103" i="13"/>
  <c r="W111" i="13"/>
  <c r="X97" i="13"/>
  <c r="Z97" i="13" s="1"/>
  <c r="AK97" i="13" s="1"/>
  <c r="AL97" i="13" s="1"/>
  <c r="BF31" i="46" s="1"/>
  <c r="X121" i="13"/>
  <c r="Z121" i="13" s="1"/>
  <c r="AK121" i="13" s="1"/>
  <c r="Q18" i="13"/>
  <c r="X18" i="13" s="1"/>
  <c r="AB18" i="13" s="1"/>
  <c r="AD18" i="13" s="1"/>
  <c r="W22" i="13"/>
  <c r="W31" i="13"/>
  <c r="W157" i="13"/>
  <c r="X51" i="13"/>
  <c r="Z51" i="13" s="1"/>
  <c r="AK51" i="13" s="1"/>
  <c r="AX22" i="46" s="1"/>
  <c r="X88" i="13"/>
  <c r="Z88" i="13" s="1"/>
  <c r="AK88" i="13" s="1"/>
  <c r="AL88" i="13" s="1"/>
  <c r="BG29" i="46" s="1"/>
  <c r="X66" i="13"/>
  <c r="AB66" i="13" s="1"/>
  <c r="X23" i="13"/>
  <c r="Z23" i="13" s="1"/>
  <c r="AK23" i="13" s="1"/>
  <c r="AN23" i="13" s="1"/>
  <c r="BN16" i="46" s="1"/>
  <c r="X99" i="13"/>
  <c r="Z99" i="13" s="1"/>
  <c r="AF31" i="46" s="1"/>
  <c r="X123" i="13"/>
  <c r="Z123" i="13" s="1"/>
  <c r="AK123" i="13" s="1"/>
  <c r="AN123" i="13" s="1"/>
  <c r="BN36" i="46" s="1"/>
  <c r="X135" i="13"/>
  <c r="Z135" i="13" s="1"/>
  <c r="AK135" i="13" s="1"/>
  <c r="AL135" i="13" s="1"/>
  <c r="BD39" i="46" s="1"/>
  <c r="X139" i="13"/>
  <c r="Z139" i="13" s="1"/>
  <c r="AK139" i="13" s="1"/>
  <c r="AN139" i="13" s="1"/>
  <c r="BO39" i="46" s="1"/>
  <c r="W148" i="13"/>
  <c r="X48" i="13"/>
  <c r="Z48" i="13" s="1"/>
  <c r="AK48" i="13" s="1"/>
  <c r="AZ21" i="46" s="1"/>
  <c r="X146" i="13"/>
  <c r="Z146" i="13" s="1"/>
  <c r="AK146" i="13" s="1"/>
  <c r="AN146" i="13" s="1"/>
  <c r="BL41" i="46" s="1"/>
  <c r="X30" i="13"/>
  <c r="Z30" i="13" s="1"/>
  <c r="AK30" i="13" s="1"/>
  <c r="AN30" i="13" s="1"/>
  <c r="BK18" i="46" s="1"/>
  <c r="W136" i="13"/>
  <c r="W150" i="13"/>
  <c r="X152" i="13"/>
  <c r="Z152" i="13" s="1"/>
  <c r="AK152" i="13" s="1"/>
  <c r="AL152" i="13" s="1"/>
  <c r="BF42" i="46" s="1"/>
  <c r="X158" i="13"/>
  <c r="Z158" i="13" s="1"/>
  <c r="AK158" i="13" s="1"/>
  <c r="AL158" i="13" s="1"/>
  <c r="BG43" i="46" s="1"/>
  <c r="Q174" i="14"/>
  <c r="P174" i="14"/>
  <c r="O174" i="14"/>
  <c r="Q180" i="14"/>
  <c r="P180" i="14"/>
  <c r="O180" i="14"/>
  <c r="Q182" i="14"/>
  <c r="P182" i="14"/>
  <c r="O182" i="14"/>
  <c r="P178" i="14"/>
  <c r="O178" i="14"/>
  <c r="Q172" i="14"/>
  <c r="P172" i="14"/>
  <c r="O172" i="14"/>
  <c r="P106" i="14"/>
  <c r="Q106" i="14"/>
  <c r="O304" i="14"/>
  <c r="P304" i="14"/>
  <c r="M109" i="14"/>
  <c r="Q109" i="14" s="1"/>
  <c r="Q111" i="14"/>
  <c r="Q114" i="14"/>
  <c r="M150" i="14"/>
  <c r="Q150" i="14" s="1"/>
  <c r="Q170" i="14"/>
  <c r="P332" i="14"/>
  <c r="O335" i="14"/>
  <c r="P345" i="14"/>
  <c r="O373" i="14"/>
  <c r="P376" i="14"/>
  <c r="Q86" i="14"/>
  <c r="P86" i="14"/>
  <c r="M167" i="14"/>
  <c r="Q167" i="14" s="1"/>
  <c r="M358" i="14"/>
  <c r="Q358" i="14" s="1"/>
  <c r="Q147" i="14"/>
  <c r="Q101" i="14"/>
  <c r="O108" i="14"/>
  <c r="Q110" i="14"/>
  <c r="O116" i="14"/>
  <c r="O217" i="14"/>
  <c r="O329" i="14"/>
  <c r="P335" i="14"/>
  <c r="O341" i="14"/>
  <c r="O347" i="14"/>
  <c r="Q350" i="14"/>
  <c r="Q372" i="14"/>
  <c r="Q373" i="14"/>
  <c r="Q376" i="14"/>
  <c r="O86" i="14"/>
  <c r="P133" i="14"/>
  <c r="O133" i="14"/>
  <c r="P135" i="14"/>
  <c r="O135" i="14"/>
  <c r="Q162" i="14"/>
  <c r="Q15" i="14"/>
  <c r="Q178" i="14"/>
  <c r="P108" i="14"/>
  <c r="Q99" i="14"/>
  <c r="P217" i="14"/>
  <c r="P329" i="14"/>
  <c r="R335" i="14"/>
  <c r="Q344" i="14"/>
  <c r="Q395" i="14"/>
  <c r="Q96" i="14"/>
  <c r="P46" i="14"/>
  <c r="O46" i="14"/>
  <c r="P56" i="14"/>
  <c r="O56" i="14"/>
  <c r="Q83" i="14"/>
  <c r="P83" i="14"/>
  <c r="O83" i="14"/>
  <c r="M243" i="14"/>
  <c r="Q243" i="14" s="1"/>
  <c r="Q321" i="14"/>
  <c r="P321" i="14"/>
  <c r="Q116" i="14"/>
  <c r="Q122" i="14"/>
  <c r="Q217" i="14"/>
  <c r="Q367" i="14"/>
  <c r="Q402" i="14"/>
  <c r="P96" i="14"/>
  <c r="O96" i="14"/>
  <c r="M263" i="14"/>
  <c r="Q263" i="14" s="1"/>
  <c r="O189" i="14"/>
  <c r="Q189" i="14"/>
  <c r="P189" i="14"/>
  <c r="Q293" i="14"/>
  <c r="P293" i="14"/>
  <c r="O293" i="14"/>
  <c r="R108" i="14"/>
  <c r="Q148" i="14"/>
  <c r="Q176" i="14"/>
  <c r="Q374" i="14"/>
  <c r="P140" i="14"/>
  <c r="O140" i="14"/>
  <c r="Q209" i="14"/>
  <c r="P209" i="14"/>
  <c r="O209" i="14"/>
  <c r="M248" i="14"/>
  <c r="Q248" i="14" s="1"/>
  <c r="Q315" i="14"/>
  <c r="Q179" i="14"/>
  <c r="M369" i="14"/>
  <c r="Q369" i="14"/>
  <c r="P397" i="14"/>
  <c r="O397" i="14"/>
  <c r="M138" i="14"/>
  <c r="Q138" i="14" s="1"/>
  <c r="P161" i="14"/>
  <c r="O161" i="14"/>
  <c r="P386" i="14"/>
  <c r="O386" i="14"/>
  <c r="M29" i="14"/>
  <c r="Q29" i="14" s="1"/>
  <c r="Q434" i="14"/>
  <c r="M262" i="14"/>
  <c r="Q262" i="14" s="1"/>
  <c r="P195" i="14"/>
  <c r="O195" i="14"/>
  <c r="P212" i="14"/>
  <c r="Q302" i="14"/>
  <c r="P305" i="14"/>
  <c r="P377" i="14"/>
  <c r="Q95" i="14"/>
  <c r="P95" i="14"/>
  <c r="O95" i="14"/>
  <c r="M391" i="14"/>
  <c r="Q391" i="14"/>
  <c r="M310" i="14"/>
  <c r="Q310" i="14"/>
  <c r="Q326" i="14"/>
  <c r="P330" i="14"/>
  <c r="Q332" i="14"/>
  <c r="Q343" i="14"/>
  <c r="Q397" i="14"/>
  <c r="P162" i="14"/>
  <c r="P283" i="14"/>
  <c r="P33" i="14"/>
  <c r="Q207" i="14"/>
  <c r="R241" i="14"/>
  <c r="R250" i="14"/>
  <c r="R318" i="14"/>
  <c r="Q322" i="14"/>
  <c r="Q413" i="14"/>
  <c r="O418" i="14"/>
  <c r="Q17" i="14"/>
  <c r="Q33" i="14"/>
  <c r="Q195" i="14"/>
  <c r="Q280" i="14"/>
  <c r="R280" i="14" s="1"/>
  <c r="Q418" i="14"/>
  <c r="O393" i="14"/>
  <c r="O89" i="14"/>
  <c r="O131" i="14"/>
  <c r="O159" i="14"/>
  <c r="O256" i="14"/>
  <c r="O257" i="14"/>
  <c r="O262" i="14"/>
  <c r="O291" i="14"/>
  <c r="O381" i="14"/>
  <c r="O31" i="14"/>
  <c r="O39" i="14"/>
  <c r="O75" i="14"/>
  <c r="O81" i="14"/>
  <c r="O243" i="14"/>
  <c r="O270" i="14"/>
  <c r="Q268" i="14"/>
  <c r="Q417" i="14"/>
  <c r="Q420" i="14"/>
  <c r="Q133" i="14"/>
  <c r="O389" i="14"/>
  <c r="P81" i="14"/>
  <c r="Q246" i="14"/>
  <c r="P408" i="14"/>
  <c r="Q428" i="14"/>
  <c r="P19" i="14"/>
  <c r="Q301" i="14"/>
  <c r="O128" i="14"/>
  <c r="O157" i="14"/>
  <c r="Q161" i="14"/>
  <c r="O164" i="14"/>
  <c r="O165" i="14"/>
  <c r="O155" i="14"/>
  <c r="O73" i="14"/>
  <c r="Q194" i="14"/>
  <c r="Q184" i="14"/>
  <c r="O199" i="14"/>
  <c r="Q229" i="14"/>
  <c r="P233" i="14"/>
  <c r="P237" i="14"/>
  <c r="O241" i="14"/>
  <c r="O246" i="14"/>
  <c r="O250" i="14"/>
  <c r="O272" i="14"/>
  <c r="P273" i="14"/>
  <c r="M276" i="14"/>
  <c r="Q276" i="14" s="1"/>
  <c r="O277" i="14"/>
  <c r="O314" i="14"/>
  <c r="O318" i="14"/>
  <c r="O354" i="14"/>
  <c r="Q410" i="14"/>
  <c r="O416" i="14"/>
  <c r="O16" i="14"/>
  <c r="Q139" i="14"/>
  <c r="Q140" i="14"/>
  <c r="R410" i="14"/>
  <c r="Q426" i="14"/>
  <c r="Q127" i="16"/>
  <c r="Q58" i="16"/>
  <c r="Q47" i="16"/>
  <c r="Q135" i="16"/>
  <c r="AT199" i="12" s="1"/>
  <c r="Q187" i="16"/>
  <c r="AT275" i="12" s="1"/>
  <c r="Q106" i="16"/>
  <c r="Q202" i="16"/>
  <c r="M20" i="46"/>
  <c r="Q95" i="16"/>
  <c r="M18" i="46"/>
  <c r="Q51" i="16"/>
  <c r="M28" i="46"/>
  <c r="M33" i="46"/>
  <c r="Q207" i="16"/>
  <c r="Q63" i="16"/>
  <c r="Q224" i="16"/>
  <c r="AT332" i="12" s="1"/>
  <c r="Q82" i="16"/>
  <c r="AT118" i="12" s="1"/>
  <c r="Q139" i="16"/>
  <c r="M26" i="46"/>
  <c r="M38" i="46"/>
  <c r="M23" i="46"/>
  <c r="M32" i="46"/>
  <c r="M36" i="46"/>
  <c r="Q87" i="16"/>
  <c r="AT127" i="12" s="1"/>
  <c r="M43" i="46"/>
  <c r="M16" i="46"/>
  <c r="Q39" i="16"/>
  <c r="Q74" i="16"/>
  <c r="Q226" i="16"/>
  <c r="AT334" i="12" s="1"/>
  <c r="Q163" i="16"/>
  <c r="AT239" i="12" s="1"/>
  <c r="Y109" i="8"/>
  <c r="Y223" i="8"/>
  <c r="Y339" i="8"/>
  <c r="O260" i="8"/>
  <c r="S260" i="8" s="1"/>
  <c r="O29" i="8"/>
  <c r="S29" i="8" s="1"/>
  <c r="O119" i="8"/>
  <c r="S119" i="8" s="1"/>
  <c r="O25" i="8"/>
  <c r="P25" i="8" s="1"/>
  <c r="O316" i="8"/>
  <c r="P316" i="8" s="1"/>
  <c r="O166" i="8"/>
  <c r="S166" i="8" s="1"/>
  <c r="O17" i="8"/>
  <c r="S17" i="8" s="1"/>
  <c r="O94" i="8"/>
  <c r="S94" i="8" s="1"/>
  <c r="O109" i="8"/>
  <c r="O335" i="8"/>
  <c r="S335" i="8" s="1"/>
  <c r="O173" i="8"/>
  <c r="S173" i="8" s="1"/>
  <c r="O283" i="8"/>
  <c r="S283" i="8" s="1"/>
  <c r="O229" i="8"/>
  <c r="S229" i="8" s="1"/>
  <c r="O325" i="8"/>
  <c r="Q137" i="8"/>
  <c r="P137" i="8"/>
  <c r="J137" i="12" s="1"/>
  <c r="O137" i="8"/>
  <c r="S137" i="8" s="1"/>
  <c r="O238" i="8"/>
  <c r="S238" i="8" s="1"/>
  <c r="P142" i="8"/>
  <c r="AE56" i="10" s="1"/>
  <c r="O142" i="8"/>
  <c r="S142" i="8" s="1"/>
  <c r="Q142" i="8"/>
  <c r="AR142" i="12" s="1"/>
  <c r="O66" i="8"/>
  <c r="S66" i="8" s="1"/>
  <c r="O138" i="8"/>
  <c r="S138" i="8" s="1"/>
  <c r="Q138" i="8"/>
  <c r="AR138" i="12" s="1"/>
  <c r="P138" i="8"/>
  <c r="J138" i="12" s="1"/>
  <c r="O263" i="8"/>
  <c r="S263" i="8" s="1"/>
  <c r="O317" i="8"/>
  <c r="S317" i="8" s="1"/>
  <c r="O74" i="8"/>
  <c r="S74" i="8" s="1"/>
  <c r="O210" i="8"/>
  <c r="O293" i="8"/>
  <c r="S293" i="8" s="1"/>
  <c r="O117" i="8"/>
  <c r="S117" i="8" s="1"/>
  <c r="O73" i="8"/>
  <c r="S73" i="8" s="1"/>
  <c r="O145" i="8"/>
  <c r="S145" i="8" s="1"/>
  <c r="O250" i="8"/>
  <c r="P145" i="8"/>
  <c r="V145" i="8" s="1"/>
  <c r="O258" i="8"/>
  <c r="P258" i="8" s="1"/>
  <c r="J258" i="12" s="1"/>
  <c r="O270" i="8"/>
  <c r="S270" i="8" s="1"/>
  <c r="P17" i="8"/>
  <c r="O95" i="8"/>
  <c r="S95" i="8" s="1"/>
  <c r="O184" i="8"/>
  <c r="S184" i="8" s="1"/>
  <c r="O285" i="8"/>
  <c r="S285" i="8" s="1"/>
  <c r="BQ38" i="46"/>
  <c r="BP27" i="46"/>
  <c r="BP40" i="46"/>
  <c r="BP36" i="46"/>
  <c r="BQ27" i="46"/>
  <c r="BQ41" i="46"/>
  <c r="BQ16" i="46"/>
  <c r="BP26" i="46"/>
  <c r="BP35" i="46"/>
  <c r="BP38" i="46"/>
  <c r="BP42" i="46"/>
  <c r="BQ17" i="46"/>
  <c r="BQ19" i="46"/>
  <c r="BP17" i="46"/>
  <c r="BP19" i="46"/>
  <c r="BP31" i="46"/>
  <c r="BQ40" i="46"/>
  <c r="BQ24" i="46"/>
  <c r="BQ37" i="46"/>
  <c r="BQ39" i="46"/>
  <c r="BP43" i="46"/>
  <c r="AD19" i="7"/>
  <c r="Z15" i="7"/>
  <c r="AA119" i="7"/>
  <c r="AC119" i="7" s="1"/>
  <c r="AK119" i="7" s="1"/>
  <c r="AE44" i="7"/>
  <c r="AG44" i="7" s="1"/>
  <c r="AN44" i="7" s="1"/>
  <c r="AA114" i="7"/>
  <c r="V17" i="7"/>
  <c r="AE17" i="7" s="1"/>
  <c r="AH17" i="7" s="1"/>
  <c r="V19" i="7"/>
  <c r="AE19" i="7" s="1"/>
  <c r="AH19" i="7" s="1"/>
  <c r="AB109" i="7"/>
  <c r="AJ109" i="7" s="1"/>
  <c r="AB19" i="7"/>
  <c r="AJ19" i="7" s="1"/>
  <c r="AC19" i="7"/>
  <c r="R225" i="5"/>
  <c r="R120" i="5"/>
  <c r="R344" i="5"/>
  <c r="R142" i="5"/>
  <c r="R282" i="5"/>
  <c r="R413" i="5"/>
  <c r="R128" i="5"/>
  <c r="R156" i="5"/>
  <c r="R64" i="5"/>
  <c r="R245" i="5"/>
  <c r="R114" i="5"/>
  <c r="R296" i="5"/>
  <c r="R351" i="5"/>
  <c r="R176" i="5"/>
  <c r="R161" i="5"/>
  <c r="R343" i="5"/>
  <c r="R91" i="5"/>
  <c r="R58" i="5"/>
  <c r="R226" i="5"/>
  <c r="R148" i="5"/>
  <c r="R169" i="5"/>
  <c r="R365" i="5"/>
  <c r="R71" i="5"/>
  <c r="R273" i="5"/>
  <c r="R324" i="5"/>
  <c r="R338" i="5"/>
  <c r="R380" i="5"/>
  <c r="R134" i="5"/>
  <c r="R371" i="5"/>
  <c r="R35" i="5"/>
  <c r="AO23" i="5"/>
  <c r="AU23" i="5" s="1"/>
  <c r="R399" i="5"/>
  <c r="R175" i="5"/>
  <c r="R330" i="5"/>
  <c r="R127" i="5"/>
  <c r="R170" i="5"/>
  <c r="R302" i="5"/>
  <c r="R337" i="5"/>
  <c r="R379" i="5"/>
  <c r="R85" i="5"/>
  <c r="R72" i="5"/>
  <c r="R189" i="5"/>
  <c r="R232" i="5"/>
  <c r="R239" i="5"/>
  <c r="R352" i="5"/>
  <c r="R407" i="5"/>
  <c r="R253" i="5"/>
  <c r="R281" i="5"/>
  <c r="R29" i="5"/>
  <c r="R358" i="5"/>
  <c r="R393" i="5"/>
  <c r="AB17" i="7"/>
  <c r="AO18" i="5"/>
  <c r="AU18" i="5" s="1"/>
  <c r="AO20" i="5"/>
  <c r="AU20" i="5" s="1"/>
  <c r="AG114" i="7"/>
  <c r="AN114" i="7" s="1"/>
  <c r="AO25" i="5"/>
  <c r="AU25" i="5" s="1"/>
  <c r="Z16" i="7"/>
  <c r="AO17" i="5"/>
  <c r="AU17" i="5" s="1"/>
  <c r="AO21" i="5"/>
  <c r="AV21" i="5" s="1"/>
  <c r="AO24" i="5"/>
  <c r="AU24" i="5" s="1"/>
  <c r="AF114" i="7"/>
  <c r="Z17" i="7"/>
  <c r="A124" i="5"/>
  <c r="A114" i="5"/>
  <c r="A113" i="5"/>
  <c r="A119" i="5"/>
  <c r="A121" i="5"/>
  <c r="A120" i="5"/>
  <c r="A112" i="5"/>
  <c r="A224" i="5"/>
  <c r="A211" i="5"/>
  <c r="A302" i="5"/>
  <c r="A303" i="5"/>
  <c r="A103" i="5"/>
  <c r="A99" i="5"/>
  <c r="A216" i="5"/>
  <c r="A217" i="5"/>
  <c r="A296" i="5"/>
  <c r="A111" i="5"/>
  <c r="P15" i="10"/>
  <c r="Q15" i="10"/>
  <c r="R15" i="10" s="1"/>
  <c r="O15" i="10"/>
  <c r="P17" i="10"/>
  <c r="Q17" i="10"/>
  <c r="R17" i="10" s="1"/>
  <c r="O17" i="10"/>
  <c r="O18" i="10"/>
  <c r="P18" i="10"/>
  <c r="AB18" i="10"/>
  <c r="AA18" i="10"/>
  <c r="AD18" i="10" s="1"/>
  <c r="Z18" i="10"/>
  <c r="A31" i="46"/>
  <c r="A31" i="34"/>
  <c r="A62" i="40"/>
  <c r="A239" i="14"/>
  <c r="A244" i="14"/>
  <c r="A246" i="14"/>
  <c r="A61" i="40"/>
  <c r="A249" i="14"/>
  <c r="A251" i="14"/>
  <c r="A242" i="14"/>
  <c r="A247" i="14"/>
  <c r="A245" i="14"/>
  <c r="A243" i="14"/>
  <c r="A241" i="14"/>
  <c r="A250" i="14"/>
  <c r="A252" i="14"/>
  <c r="A248" i="14"/>
  <c r="A81" i="9"/>
  <c r="A173" i="15"/>
  <c r="A171" i="15"/>
  <c r="A169" i="15"/>
  <c r="A167" i="15"/>
  <c r="A165" i="15"/>
  <c r="A240" i="14"/>
  <c r="A80" i="9"/>
  <c r="A166" i="15"/>
  <c r="A79" i="9"/>
  <c r="A170" i="15"/>
  <c r="A172" i="15"/>
  <c r="A174" i="15"/>
  <c r="A82" i="9"/>
  <c r="A168" i="15"/>
  <c r="A47" i="6"/>
  <c r="A217" i="12"/>
  <c r="A209" i="12"/>
  <c r="A211" i="12"/>
  <c r="A215" i="12"/>
  <c r="A214" i="12"/>
  <c r="A48" i="6"/>
  <c r="A213" i="12"/>
  <c r="A212" i="12"/>
  <c r="A207" i="12"/>
  <c r="A218" i="12"/>
  <c r="A216" i="12"/>
  <c r="A210" i="12"/>
  <c r="A208" i="12"/>
  <c r="A149" i="16"/>
  <c r="A145" i="16"/>
  <c r="A211" i="8"/>
  <c r="A31" i="20"/>
  <c r="A148" i="16"/>
  <c r="A144" i="16"/>
  <c r="A150" i="16"/>
  <c r="A146" i="16"/>
  <c r="A147" i="16"/>
  <c r="A82" i="10"/>
  <c r="A143" i="16"/>
  <c r="A215" i="8"/>
  <c r="A81" i="10"/>
  <c r="A214" i="8"/>
  <c r="A207" i="8"/>
  <c r="A80" i="10"/>
  <c r="A208" i="8"/>
  <c r="A216" i="8"/>
  <c r="A212" i="8"/>
  <c r="A217" i="8"/>
  <c r="A209" i="8"/>
  <c r="A79" i="10"/>
  <c r="A218" i="8"/>
  <c r="A99" i="7"/>
  <c r="A95" i="7"/>
  <c r="A96" i="7"/>
  <c r="A213" i="8"/>
  <c r="A97" i="7"/>
  <c r="A210" i="8"/>
  <c r="A98" i="7"/>
  <c r="A240" i="5"/>
  <c r="A246" i="5"/>
  <c r="A96" i="13"/>
  <c r="A247" i="5"/>
  <c r="A98" i="13"/>
  <c r="A249" i="5"/>
  <c r="A241" i="5"/>
  <c r="A97" i="13"/>
  <c r="A251" i="5"/>
  <c r="A243" i="5"/>
  <c r="A99" i="13"/>
  <c r="A95" i="13"/>
  <c r="A244" i="5"/>
  <c r="A239" i="5"/>
  <c r="A248" i="5"/>
  <c r="A242" i="5"/>
  <c r="A250" i="5"/>
  <c r="A245" i="5"/>
  <c r="A252" i="5"/>
  <c r="A19" i="46"/>
  <c r="A21" i="44"/>
  <c r="A53" i="40"/>
  <c r="A20" i="44"/>
  <c r="A19" i="44"/>
  <c r="A19" i="34"/>
  <c r="A54" i="40"/>
  <c r="A71" i="14"/>
  <c r="A84" i="14"/>
  <c r="A82" i="14"/>
  <c r="A80" i="14"/>
  <c r="A78" i="14"/>
  <c r="A76" i="14"/>
  <c r="A74" i="14"/>
  <c r="A72" i="14"/>
  <c r="A22" i="44"/>
  <c r="A77" i="14"/>
  <c r="A75" i="14"/>
  <c r="A73" i="14"/>
  <c r="A79" i="14"/>
  <c r="A33" i="9"/>
  <c r="A53" i="15"/>
  <c r="A51" i="15"/>
  <c r="A49" i="15"/>
  <c r="A47" i="15"/>
  <c r="A45" i="15"/>
  <c r="A48" i="15"/>
  <c r="A50" i="15"/>
  <c r="A34" i="9"/>
  <c r="A52" i="15"/>
  <c r="A81" i="14"/>
  <c r="A54" i="15"/>
  <c r="A83" i="14"/>
  <c r="A31" i="9"/>
  <c r="A32" i="9"/>
  <c r="A46" i="15"/>
  <c r="A23" i="6"/>
  <c r="A24" i="6"/>
  <c r="A68" i="12"/>
  <c r="A67" i="12"/>
  <c r="A72" i="12"/>
  <c r="A69" i="12"/>
  <c r="A74" i="12"/>
  <c r="A66" i="12"/>
  <c r="A64" i="12"/>
  <c r="A71" i="12"/>
  <c r="A65" i="12"/>
  <c r="A70" i="12"/>
  <c r="A73" i="12"/>
  <c r="A63" i="12"/>
  <c r="A53" i="16"/>
  <c r="A49" i="16"/>
  <c r="A67" i="8"/>
  <c r="A52" i="16"/>
  <c r="A48" i="16"/>
  <c r="A54" i="16"/>
  <c r="A50" i="16"/>
  <c r="A47" i="16"/>
  <c r="A51" i="16"/>
  <c r="A34" i="10"/>
  <c r="A69" i="8"/>
  <c r="A33" i="10"/>
  <c r="A32" i="10"/>
  <c r="A63" i="8"/>
  <c r="A71" i="8"/>
  <c r="A68" i="8"/>
  <c r="A65" i="8"/>
  <c r="A73" i="8"/>
  <c r="A31" i="10"/>
  <c r="A70" i="8"/>
  <c r="A64" i="8"/>
  <c r="A19" i="20"/>
  <c r="A39" i="7"/>
  <c r="A74" i="8"/>
  <c r="A36" i="7"/>
  <c r="A37" i="7"/>
  <c r="A35" i="7"/>
  <c r="A72" i="8"/>
  <c r="A66" i="8"/>
  <c r="A38" i="7"/>
  <c r="A72" i="5"/>
  <c r="A78" i="5"/>
  <c r="A36" i="13"/>
  <c r="A38" i="13"/>
  <c r="A81" i="5"/>
  <c r="A73" i="5"/>
  <c r="A37" i="13"/>
  <c r="A84" i="5"/>
  <c r="A83" i="5"/>
  <c r="A80" i="5"/>
  <c r="A77" i="5"/>
  <c r="A74" i="5"/>
  <c r="A35" i="13"/>
  <c r="A79" i="5"/>
  <c r="A76" i="5"/>
  <c r="A75" i="5"/>
  <c r="A39" i="13"/>
  <c r="A82" i="5"/>
  <c r="A71" i="5"/>
  <c r="A42" i="46"/>
  <c r="A420" i="14"/>
  <c r="A70" i="40"/>
  <c r="A419" i="14"/>
  <c r="A411" i="14"/>
  <c r="A416" i="14"/>
  <c r="A412" i="14"/>
  <c r="A69" i="40"/>
  <c r="A417" i="14"/>
  <c r="A415" i="14"/>
  <c r="A414" i="14"/>
  <c r="A410" i="14"/>
  <c r="A43" i="34"/>
  <c r="A418" i="14"/>
  <c r="A408" i="14"/>
  <c r="A407" i="14"/>
  <c r="A413" i="14"/>
  <c r="A409" i="14"/>
  <c r="A125" i="9"/>
  <c r="A283" i="15"/>
  <c r="A281" i="15"/>
  <c r="A279" i="15"/>
  <c r="A277" i="15"/>
  <c r="A275" i="15"/>
  <c r="A124" i="9"/>
  <c r="A278" i="15"/>
  <c r="A280" i="15"/>
  <c r="A282" i="15"/>
  <c r="A284" i="15"/>
  <c r="A123" i="9"/>
  <c r="A276" i="15"/>
  <c r="A126" i="9"/>
  <c r="A346" i="12"/>
  <c r="A349" i="12"/>
  <c r="A71" i="6"/>
  <c r="A339" i="12"/>
  <c r="A72" i="6"/>
  <c r="A345" i="12"/>
  <c r="A343" i="12"/>
  <c r="A350" i="12"/>
  <c r="A341" i="12"/>
  <c r="A344" i="12"/>
  <c r="A348" i="12"/>
  <c r="A340" i="12"/>
  <c r="A347" i="12"/>
  <c r="A342" i="12"/>
  <c r="A237" i="16"/>
  <c r="A233" i="16"/>
  <c r="A234" i="16"/>
  <c r="A343" i="8"/>
  <c r="A238" i="16"/>
  <c r="A232" i="16"/>
  <c r="A235" i="16"/>
  <c r="A236" i="16"/>
  <c r="A231" i="16"/>
  <c r="A126" i="10"/>
  <c r="A125" i="10"/>
  <c r="A348" i="8"/>
  <c r="A341" i="8"/>
  <c r="A340" i="8"/>
  <c r="A124" i="10"/>
  <c r="A123" i="10"/>
  <c r="A344" i="8"/>
  <c r="A43" i="20"/>
  <c r="A346" i="8"/>
  <c r="A154" i="7"/>
  <c r="A150" i="7"/>
  <c r="A345" i="8"/>
  <c r="A151" i="7"/>
  <c r="A350" i="8"/>
  <c r="A349" i="8"/>
  <c r="A342" i="8"/>
  <c r="A153" i="7"/>
  <c r="A347" i="8"/>
  <c r="A152" i="7"/>
  <c r="A339" i="8"/>
  <c r="A394" i="5"/>
  <c r="A400" i="5"/>
  <c r="A151" i="13"/>
  <c r="A401" i="5"/>
  <c r="A402" i="5"/>
  <c r="A153" i="13"/>
  <c r="A403" i="5"/>
  <c r="A395" i="5"/>
  <c r="A152" i="13"/>
  <c r="A405" i="5"/>
  <c r="A397" i="5"/>
  <c r="A393" i="5"/>
  <c r="A399" i="5"/>
  <c r="A404" i="5"/>
  <c r="A396" i="5"/>
  <c r="A154" i="13"/>
  <c r="A150" i="13"/>
  <c r="A406" i="5"/>
  <c r="A398" i="5"/>
  <c r="A40" i="46"/>
  <c r="A41" i="34"/>
  <c r="A45" i="40"/>
  <c r="A46" i="40"/>
  <c r="A380" i="14"/>
  <c r="A392" i="14"/>
  <c r="A390" i="14"/>
  <c r="A388" i="14"/>
  <c r="A386" i="14"/>
  <c r="A382" i="14"/>
  <c r="A385" i="14"/>
  <c r="A391" i="14"/>
  <c r="A384" i="14"/>
  <c r="A379" i="14"/>
  <c r="A381" i="14"/>
  <c r="A383" i="14"/>
  <c r="A263" i="15"/>
  <c r="A261" i="15"/>
  <c r="A259" i="15"/>
  <c r="A257" i="15"/>
  <c r="A255" i="15"/>
  <c r="A389" i="14"/>
  <c r="A387" i="14"/>
  <c r="A118" i="9"/>
  <c r="A256" i="15"/>
  <c r="A116" i="9"/>
  <c r="A258" i="15"/>
  <c r="A260" i="15"/>
  <c r="A262" i="15"/>
  <c r="A115" i="9"/>
  <c r="A264" i="15"/>
  <c r="A117" i="9"/>
  <c r="A67" i="6"/>
  <c r="A68" i="6"/>
  <c r="A319" i="12"/>
  <c r="A323" i="12"/>
  <c r="A318" i="12"/>
  <c r="A320" i="12"/>
  <c r="A325" i="12"/>
  <c r="A324" i="12"/>
  <c r="A321" i="12"/>
  <c r="A326" i="12"/>
  <c r="A315" i="12"/>
  <c r="A317" i="12"/>
  <c r="A316" i="12"/>
  <c r="A322" i="12"/>
  <c r="A221" i="16"/>
  <c r="A217" i="16"/>
  <c r="A319" i="8"/>
  <c r="A41" i="20"/>
  <c r="A220" i="16"/>
  <c r="A216" i="16"/>
  <c r="A222" i="16"/>
  <c r="A218" i="16"/>
  <c r="A219" i="16"/>
  <c r="A215" i="16"/>
  <c r="A118" i="10"/>
  <c r="A326" i="8"/>
  <c r="A320" i="8"/>
  <c r="A325" i="8"/>
  <c r="A318" i="8"/>
  <c r="A117" i="10"/>
  <c r="A323" i="8"/>
  <c r="A324" i="8"/>
  <c r="A316" i="8"/>
  <c r="A315" i="8"/>
  <c r="A116" i="10"/>
  <c r="A321" i="8"/>
  <c r="A317" i="8"/>
  <c r="A115" i="10"/>
  <c r="A143" i="7"/>
  <c r="A144" i="7"/>
  <c r="A140" i="7"/>
  <c r="A322" i="8"/>
  <c r="A142" i="7"/>
  <c r="A141" i="7"/>
  <c r="A366" i="5"/>
  <c r="A372" i="5"/>
  <c r="A141" i="13"/>
  <c r="A143" i="13"/>
  <c r="A375" i="5"/>
  <c r="A367" i="5"/>
  <c r="A142" i="13"/>
  <c r="A374" i="5"/>
  <c r="A144" i="13"/>
  <c r="A365" i="5"/>
  <c r="A376" i="5"/>
  <c r="A378" i="5"/>
  <c r="A377" i="5"/>
  <c r="A140" i="13"/>
  <c r="A373" i="5"/>
  <c r="A370" i="5"/>
  <c r="A368" i="5"/>
  <c r="A369" i="5"/>
  <c r="A371" i="5"/>
  <c r="A23" i="46"/>
  <c r="A37" i="40"/>
  <c r="A38" i="40"/>
  <c r="A23" i="34"/>
  <c r="A137" i="14"/>
  <c r="A130" i="14"/>
  <c r="A134" i="14"/>
  <c r="A127" i="14"/>
  <c r="A136" i="14"/>
  <c r="A140" i="14"/>
  <c r="A135" i="14"/>
  <c r="A133" i="14"/>
  <c r="A132" i="14"/>
  <c r="A139" i="14"/>
  <c r="A138" i="14"/>
  <c r="A131" i="14"/>
  <c r="A93" i="15"/>
  <c r="A91" i="15"/>
  <c r="A89" i="15"/>
  <c r="A87" i="15"/>
  <c r="A85" i="15"/>
  <c r="A88" i="15"/>
  <c r="A129" i="14"/>
  <c r="A90" i="15"/>
  <c r="A50" i="9"/>
  <c r="A92" i="15"/>
  <c r="A94" i="15"/>
  <c r="A128" i="14"/>
  <c r="A48" i="9"/>
  <c r="A47" i="9"/>
  <c r="A49" i="9"/>
  <c r="A86" i="15"/>
  <c r="A31" i="6"/>
  <c r="A32" i="6"/>
  <c r="A121" i="12"/>
  <c r="A113" i="12"/>
  <c r="A117" i="12"/>
  <c r="A112" i="12"/>
  <c r="A114" i="12"/>
  <c r="A122" i="12"/>
  <c r="A119" i="12"/>
  <c r="A120" i="12"/>
  <c r="A111" i="12"/>
  <c r="A118" i="12"/>
  <c r="A115" i="12"/>
  <c r="A85" i="16"/>
  <c r="A81" i="16"/>
  <c r="A115" i="8"/>
  <c r="A84" i="16"/>
  <c r="A80" i="16"/>
  <c r="A116" i="12"/>
  <c r="A83" i="16"/>
  <c r="A79" i="16"/>
  <c r="A50" i="10"/>
  <c r="A86" i="16"/>
  <c r="A48" i="10"/>
  <c r="A121" i="8"/>
  <c r="A114" i="8"/>
  <c r="A47" i="10"/>
  <c r="A120" i="8"/>
  <c r="A113" i="8"/>
  <c r="A82" i="16"/>
  <c r="A49" i="10"/>
  <c r="A116" i="8"/>
  <c r="A23" i="20"/>
  <c r="A118" i="8"/>
  <c r="A111" i="8"/>
  <c r="A58" i="7"/>
  <c r="A122" i="8"/>
  <c r="A59" i="7"/>
  <c r="A55" i="7"/>
  <c r="A112" i="8"/>
  <c r="A57" i="7"/>
  <c r="A56" i="7"/>
  <c r="A117" i="8"/>
  <c r="A119" i="8"/>
  <c r="A56" i="13"/>
  <c r="A58" i="13"/>
  <c r="A57" i="13"/>
  <c r="A59" i="13"/>
  <c r="A55" i="13"/>
  <c r="A137" i="5"/>
  <c r="A129" i="5"/>
  <c r="A138" i="5"/>
  <c r="A130" i="5"/>
  <c r="A139" i="5"/>
  <c r="A131" i="5"/>
  <c r="A140" i="5"/>
  <c r="A132" i="5"/>
  <c r="A127" i="5"/>
  <c r="A133" i="5"/>
  <c r="A136" i="5"/>
  <c r="A135" i="5"/>
  <c r="A134" i="5"/>
  <c r="A128" i="5"/>
  <c r="A38" i="46"/>
  <c r="A38" i="34"/>
  <c r="A30" i="40"/>
  <c r="A29" i="40"/>
  <c r="A345" i="14"/>
  <c r="A347" i="14"/>
  <c r="A340" i="14"/>
  <c r="A338" i="14"/>
  <c r="A348" i="14"/>
  <c r="A341" i="14"/>
  <c r="A337" i="14"/>
  <c r="A346" i="14"/>
  <c r="A343" i="14"/>
  <c r="A339" i="14"/>
  <c r="A350" i="14"/>
  <c r="A342" i="14"/>
  <c r="A344" i="14"/>
  <c r="A243" i="15"/>
  <c r="A241" i="15"/>
  <c r="A239" i="15"/>
  <c r="A237" i="15"/>
  <c r="A235" i="15"/>
  <c r="A236" i="15"/>
  <c r="A238" i="15"/>
  <c r="A240" i="15"/>
  <c r="A349" i="14"/>
  <c r="A242" i="15"/>
  <c r="A109" i="9"/>
  <c r="A244" i="15"/>
  <c r="A108" i="9"/>
  <c r="A110" i="9"/>
  <c r="A61" i="6"/>
  <c r="A107" i="9"/>
  <c r="A62" i="6"/>
  <c r="A301" i="12"/>
  <c r="A295" i="12"/>
  <c r="A299" i="12"/>
  <c r="A291" i="12"/>
  <c r="A293" i="12"/>
  <c r="A292" i="12"/>
  <c r="A300" i="12"/>
  <c r="A302" i="12"/>
  <c r="A294" i="12"/>
  <c r="A297" i="12"/>
  <c r="A296" i="12"/>
  <c r="A205" i="16"/>
  <c r="A201" i="16"/>
  <c r="A295" i="8"/>
  <c r="A38" i="20"/>
  <c r="A298" i="12"/>
  <c r="A206" i="16"/>
  <c r="A200" i="16"/>
  <c r="A110" i="10"/>
  <c r="A204" i="16"/>
  <c r="A199" i="16"/>
  <c r="A203" i="16"/>
  <c r="A109" i="10"/>
  <c r="A300" i="8"/>
  <c r="A293" i="8"/>
  <c r="A202" i="16"/>
  <c r="A299" i="8"/>
  <c r="A107" i="10"/>
  <c r="A301" i="8"/>
  <c r="A292" i="8"/>
  <c r="A297" i="8"/>
  <c r="A294" i="8"/>
  <c r="A291" i="8"/>
  <c r="A133" i="7"/>
  <c r="A296" i="8"/>
  <c r="A134" i="7"/>
  <c r="A130" i="7"/>
  <c r="A298" i="8"/>
  <c r="A108" i="10"/>
  <c r="A131" i="7"/>
  <c r="A132" i="7"/>
  <c r="A302" i="8"/>
  <c r="A131" i="13"/>
  <c r="A133" i="13"/>
  <c r="A132" i="13"/>
  <c r="A347" i="5"/>
  <c r="A134" i="13"/>
  <c r="A345" i="5"/>
  <c r="A342" i="5"/>
  <c r="A338" i="5"/>
  <c r="A337" i="5"/>
  <c r="A348" i="5"/>
  <c r="A340" i="5"/>
  <c r="A350" i="5"/>
  <c r="A344" i="5"/>
  <c r="A343" i="5"/>
  <c r="A339" i="5"/>
  <c r="A130" i="13"/>
  <c r="A349" i="5"/>
  <c r="A346" i="5"/>
  <c r="A341" i="5"/>
  <c r="A26" i="46"/>
  <c r="A22" i="40"/>
  <c r="A26" i="34"/>
  <c r="A21" i="40"/>
  <c r="A169" i="14"/>
  <c r="A181" i="14"/>
  <c r="A176" i="14"/>
  <c r="A175" i="14"/>
  <c r="A123" i="15"/>
  <c r="A121" i="15"/>
  <c r="A119" i="15"/>
  <c r="A117" i="15"/>
  <c r="A115" i="15"/>
  <c r="A178" i="14"/>
  <c r="A118" i="15"/>
  <c r="A120" i="15"/>
  <c r="A122" i="15"/>
  <c r="A124" i="15"/>
  <c r="A174" i="14"/>
  <c r="A173" i="14"/>
  <c r="A179" i="14"/>
  <c r="A116" i="15"/>
  <c r="A171" i="14"/>
  <c r="A180" i="14"/>
  <c r="A172" i="14"/>
  <c r="A182" i="14"/>
  <c r="A61" i="9"/>
  <c r="A170" i="14"/>
  <c r="A177" i="14"/>
  <c r="A60" i="9"/>
  <c r="A59" i="9"/>
  <c r="A37" i="6"/>
  <c r="A62" i="9"/>
  <c r="A38" i="6"/>
  <c r="A151" i="12"/>
  <c r="A155" i="12"/>
  <c r="A147" i="12"/>
  <c r="A157" i="12"/>
  <c r="A156" i="12"/>
  <c r="A149" i="12"/>
  <c r="A148" i="12"/>
  <c r="A153" i="12"/>
  <c r="A152" i="12"/>
  <c r="A109" i="16"/>
  <c r="A105" i="16"/>
  <c r="A151" i="8"/>
  <c r="A154" i="12"/>
  <c r="A158" i="12"/>
  <c r="A150" i="12"/>
  <c r="A110" i="16"/>
  <c r="A104" i="16"/>
  <c r="A108" i="16"/>
  <c r="A103" i="16"/>
  <c r="A61" i="10"/>
  <c r="A155" i="8"/>
  <c r="A62" i="10"/>
  <c r="A156" i="8"/>
  <c r="A152" i="8"/>
  <c r="A158" i="8"/>
  <c r="A157" i="8"/>
  <c r="A107" i="16"/>
  <c r="A106" i="16"/>
  <c r="A153" i="8"/>
  <c r="A149" i="8"/>
  <c r="A147" i="8"/>
  <c r="A60" i="10"/>
  <c r="A59" i="10"/>
  <c r="A150" i="8"/>
  <c r="A154" i="8"/>
  <c r="A148" i="8"/>
  <c r="A74" i="7"/>
  <c r="A70" i="7"/>
  <c r="A26" i="20"/>
  <c r="A71" i="7"/>
  <c r="A72" i="7"/>
  <c r="A73" i="7"/>
  <c r="A71" i="13"/>
  <c r="A73" i="13"/>
  <c r="A72" i="13"/>
  <c r="A74" i="13"/>
  <c r="A70" i="13"/>
  <c r="A182" i="5"/>
  <c r="A174" i="5"/>
  <c r="A169" i="5"/>
  <c r="A175" i="5"/>
  <c r="A170" i="5"/>
  <c r="A176" i="5"/>
  <c r="A172" i="5"/>
  <c r="A177" i="5"/>
  <c r="A178" i="5"/>
  <c r="A180" i="5"/>
  <c r="A179" i="5"/>
  <c r="A171" i="5"/>
  <c r="A181" i="5"/>
  <c r="A173" i="5"/>
  <c r="A24" i="46"/>
  <c r="A20" i="40"/>
  <c r="A19" i="40"/>
  <c r="A24" i="34"/>
  <c r="A148" i="14"/>
  <c r="A144" i="14"/>
  <c r="A154" i="14"/>
  <c r="A153" i="14"/>
  <c r="A147" i="14"/>
  <c r="A143" i="14"/>
  <c r="A103" i="15"/>
  <c r="A101" i="15"/>
  <c r="A99" i="15"/>
  <c r="A97" i="15"/>
  <c r="A95" i="15"/>
  <c r="A96" i="15"/>
  <c r="A152" i="14"/>
  <c r="A151" i="14"/>
  <c r="A146" i="14"/>
  <c r="A98" i="15"/>
  <c r="A149" i="14"/>
  <c r="A145" i="14"/>
  <c r="A104" i="15"/>
  <c r="A52" i="9"/>
  <c r="A141" i="14"/>
  <c r="A142" i="14"/>
  <c r="A150" i="14"/>
  <c r="A100" i="15"/>
  <c r="A102" i="15"/>
  <c r="A51" i="9"/>
  <c r="A54" i="9"/>
  <c r="A53" i="9"/>
  <c r="A33" i="6"/>
  <c r="A34" i="6"/>
  <c r="A131" i="12"/>
  <c r="A123" i="12"/>
  <c r="A127" i="12"/>
  <c r="A124" i="12"/>
  <c r="A132" i="12"/>
  <c r="A129" i="12"/>
  <c r="A126" i="12"/>
  <c r="A130" i="12"/>
  <c r="A93" i="16"/>
  <c r="A89" i="16"/>
  <c r="A51" i="10"/>
  <c r="A131" i="8"/>
  <c r="A123" i="8"/>
  <c r="A133" i="12"/>
  <c r="A128" i="12"/>
  <c r="A125" i="12"/>
  <c r="A134" i="12"/>
  <c r="A91" i="16"/>
  <c r="A90" i="16"/>
  <c r="A128" i="8"/>
  <c r="A52" i="10"/>
  <c r="A88" i="16"/>
  <c r="A94" i="16"/>
  <c r="A54" i="10"/>
  <c r="A92" i="16"/>
  <c r="A127" i="8"/>
  <c r="A129" i="8"/>
  <c r="A87" i="16"/>
  <c r="A125" i="8"/>
  <c r="A132" i="8"/>
  <c r="A130" i="8"/>
  <c r="A126" i="8"/>
  <c r="A124" i="8"/>
  <c r="A24" i="20"/>
  <c r="A134" i="8"/>
  <c r="A133" i="8"/>
  <c r="A53" i="10"/>
  <c r="A61" i="7"/>
  <c r="A62" i="7"/>
  <c r="A63" i="7"/>
  <c r="A64" i="7"/>
  <c r="A60" i="7"/>
  <c r="A63" i="13"/>
  <c r="A62" i="13"/>
  <c r="A64" i="13"/>
  <c r="A60" i="13"/>
  <c r="A61" i="13"/>
  <c r="A28" i="40"/>
  <c r="A37" i="46"/>
  <c r="A27" i="40"/>
  <c r="A37" i="34"/>
  <c r="A324" i="14"/>
  <c r="A335" i="14"/>
  <c r="A328" i="14"/>
  <c r="A331" i="14"/>
  <c r="A334" i="14"/>
  <c r="A327" i="14"/>
  <c r="A330" i="14"/>
  <c r="A333" i="14"/>
  <c r="A325" i="14"/>
  <c r="A332" i="14"/>
  <c r="A326" i="14"/>
  <c r="A233" i="15"/>
  <c r="A231" i="15"/>
  <c r="A229" i="15"/>
  <c r="A227" i="15"/>
  <c r="A225" i="15"/>
  <c r="A230" i="15"/>
  <c r="A232" i="15"/>
  <c r="A234" i="15"/>
  <c r="A323" i="14"/>
  <c r="A336" i="14"/>
  <c r="A329" i="14"/>
  <c r="A226" i="15"/>
  <c r="A228" i="15"/>
  <c r="A104" i="9"/>
  <c r="A106" i="9"/>
  <c r="A103" i="9"/>
  <c r="A105" i="9"/>
  <c r="A59" i="6"/>
  <c r="A60" i="6"/>
  <c r="A287" i="12"/>
  <c r="A279" i="12"/>
  <c r="A283" i="12"/>
  <c r="A290" i="12"/>
  <c r="A282" i="12"/>
  <c r="A285" i="12"/>
  <c r="A284" i="12"/>
  <c r="A286" i="12"/>
  <c r="A289" i="12"/>
  <c r="A281" i="12"/>
  <c r="A197" i="16"/>
  <c r="A193" i="16"/>
  <c r="A103" i="10"/>
  <c r="A287" i="8"/>
  <c r="A279" i="8"/>
  <c r="A288" i="12"/>
  <c r="A280" i="12"/>
  <c r="A104" i="10"/>
  <c r="A195" i="16"/>
  <c r="A194" i="16"/>
  <c r="A286" i="8"/>
  <c r="A280" i="8"/>
  <c r="A192" i="16"/>
  <c r="A191" i="16"/>
  <c r="A198" i="16"/>
  <c r="A196" i="16"/>
  <c r="A37" i="20"/>
  <c r="A288" i="8"/>
  <c r="A106" i="10"/>
  <c r="A284" i="8"/>
  <c r="A105" i="10"/>
  <c r="A289" i="8"/>
  <c r="A282" i="8"/>
  <c r="A290" i="8"/>
  <c r="A285" i="8"/>
  <c r="A129" i="7"/>
  <c r="A125" i="7"/>
  <c r="A281" i="8"/>
  <c r="A126" i="7"/>
  <c r="A127" i="7"/>
  <c r="A283" i="8"/>
  <c r="A128" i="7"/>
  <c r="A128" i="13"/>
  <c r="A127" i="13"/>
  <c r="A129" i="13"/>
  <c r="A125" i="13"/>
  <c r="A20" i="46"/>
  <c r="A36" i="40"/>
  <c r="A35" i="40"/>
  <c r="A93" i="14"/>
  <c r="A97" i="14"/>
  <c r="A90" i="14"/>
  <c r="A85" i="14"/>
  <c r="A92" i="14"/>
  <c r="A98" i="14"/>
  <c r="A96" i="14"/>
  <c r="A91" i="14"/>
  <c r="A89" i="14"/>
  <c r="A88" i="14"/>
  <c r="A94" i="14"/>
  <c r="A95" i="14"/>
  <c r="A87" i="14"/>
  <c r="A63" i="15"/>
  <c r="A61" i="15"/>
  <c r="A59" i="15"/>
  <c r="A57" i="15"/>
  <c r="A55" i="15"/>
  <c r="A20" i="34"/>
  <c r="A35" i="9"/>
  <c r="A56" i="15"/>
  <c r="A37" i="9"/>
  <c r="A86" i="14"/>
  <c r="A58" i="15"/>
  <c r="A60" i="15"/>
  <c r="A62" i="15"/>
  <c r="A36" i="9"/>
  <c r="A64" i="15"/>
  <c r="A38" i="9"/>
  <c r="A26" i="6"/>
  <c r="A25" i="6"/>
  <c r="A81" i="12"/>
  <c r="A85" i="12"/>
  <c r="A77" i="12"/>
  <c r="A82" i="12"/>
  <c r="A79" i="12"/>
  <c r="A84" i="12"/>
  <c r="A76" i="12"/>
  <c r="A86" i="12"/>
  <c r="A83" i="12"/>
  <c r="A80" i="12"/>
  <c r="A75" i="12"/>
  <c r="A61" i="16"/>
  <c r="A57" i="16"/>
  <c r="A35" i="10"/>
  <c r="A83" i="8"/>
  <c r="A75" i="8"/>
  <c r="A78" i="12"/>
  <c r="A60" i="16"/>
  <c r="A56" i="16"/>
  <c r="A59" i="16"/>
  <c r="A36" i="10"/>
  <c r="A55" i="16"/>
  <c r="A37" i="10"/>
  <c r="A62" i="16"/>
  <c r="A84" i="8"/>
  <c r="A82" i="8"/>
  <c r="A76" i="8"/>
  <c r="A38" i="10"/>
  <c r="A58" i="16"/>
  <c r="A77" i="8"/>
  <c r="A85" i="8"/>
  <c r="A86" i="8"/>
  <c r="A79" i="8"/>
  <c r="A80" i="8"/>
  <c r="A78" i="8"/>
  <c r="A44" i="7"/>
  <c r="A40" i="7"/>
  <c r="A20" i="20"/>
  <c r="A41" i="7"/>
  <c r="A81" i="8"/>
  <c r="A43" i="7"/>
  <c r="A42" i="7"/>
  <c r="A43" i="13"/>
  <c r="A42" i="13"/>
  <c r="A44" i="13"/>
  <c r="A40" i="13"/>
  <c r="A41" i="13"/>
  <c r="A93" i="5"/>
  <c r="A94" i="5"/>
  <c r="A95" i="5"/>
  <c r="A87" i="5"/>
  <c r="A96" i="5"/>
  <c r="A88" i="5"/>
  <c r="A97" i="5"/>
  <c r="A89" i="5"/>
  <c r="A34" i="46"/>
  <c r="A44" i="40"/>
  <c r="A43" i="40"/>
  <c r="A289" i="14"/>
  <c r="A294" i="14"/>
  <c r="A285" i="14"/>
  <c r="A291" i="14"/>
  <c r="A284" i="14"/>
  <c r="A282" i="14"/>
  <c r="A287" i="14"/>
  <c r="A286" i="14"/>
  <c r="A281" i="14"/>
  <c r="A293" i="14"/>
  <c r="A283" i="14"/>
  <c r="A94" i="9"/>
  <c r="A288" i="14"/>
  <c r="A203" i="15"/>
  <c r="A201" i="15"/>
  <c r="A199" i="15"/>
  <c r="A197" i="15"/>
  <c r="A195" i="15"/>
  <c r="A34" i="34"/>
  <c r="A292" i="14"/>
  <c r="A200" i="15"/>
  <c r="A92" i="9"/>
  <c r="A202" i="15"/>
  <c r="A204" i="15"/>
  <c r="A290" i="14"/>
  <c r="A91" i="9"/>
  <c r="A93" i="9"/>
  <c r="A196" i="15"/>
  <c r="A198" i="15"/>
  <c r="A54" i="6"/>
  <c r="A53" i="6"/>
  <c r="A251" i="12"/>
  <c r="A254" i="12"/>
  <c r="A248" i="12"/>
  <c r="A253" i="12"/>
  <c r="A246" i="12"/>
  <c r="A247" i="12"/>
  <c r="A245" i="12"/>
  <c r="A243" i="12"/>
  <c r="A252" i="12"/>
  <c r="A249" i="12"/>
  <c r="A250" i="12"/>
  <c r="A244" i="12"/>
  <c r="A173" i="16"/>
  <c r="A169" i="16"/>
  <c r="A91" i="10"/>
  <c r="A251" i="8"/>
  <c r="A243" i="8"/>
  <c r="A172" i="16"/>
  <c r="A168" i="16"/>
  <c r="A174" i="16"/>
  <c r="A170" i="16"/>
  <c r="A171" i="16"/>
  <c r="A167" i="16"/>
  <c r="A92" i="10"/>
  <c r="A93" i="10"/>
  <c r="A245" i="8"/>
  <c r="A94" i="10"/>
  <c r="A252" i="8"/>
  <c r="A247" i="8"/>
  <c r="A244" i="8"/>
  <c r="A253" i="8"/>
  <c r="A249" i="8"/>
  <c r="A254" i="8"/>
  <c r="A250" i="8"/>
  <c r="A34" i="20"/>
  <c r="A114" i="7"/>
  <c r="A110" i="7"/>
  <c r="A246" i="8"/>
  <c r="A111" i="7"/>
  <c r="A248" i="8"/>
  <c r="A113" i="7"/>
  <c r="A112" i="7"/>
  <c r="A294" i="5"/>
  <c r="A113" i="13"/>
  <c r="A112" i="13"/>
  <c r="A114" i="13"/>
  <c r="A110" i="13"/>
  <c r="A292" i="5"/>
  <c r="A284" i="5"/>
  <c r="A288" i="5"/>
  <c r="A293" i="5"/>
  <c r="A290" i="5"/>
  <c r="A283" i="5"/>
  <c r="A287" i="5"/>
  <c r="A111" i="13"/>
  <c r="A281" i="5"/>
  <c r="A291" i="5"/>
  <c r="A18" i="46"/>
  <c r="A52" i="40"/>
  <c r="A18" i="34"/>
  <c r="A51" i="40"/>
  <c r="A58" i="14"/>
  <c r="A70" i="14"/>
  <c r="A68" i="14"/>
  <c r="A66" i="14"/>
  <c r="A64" i="14"/>
  <c r="A62" i="14"/>
  <c r="A60" i="14"/>
  <c r="A57" i="14"/>
  <c r="A67" i="14"/>
  <c r="A69" i="14"/>
  <c r="A59" i="14"/>
  <c r="A61" i="14"/>
  <c r="A65" i="14"/>
  <c r="A30" i="9"/>
  <c r="A63" i="14"/>
  <c r="A43" i="15"/>
  <c r="A41" i="15"/>
  <c r="A39" i="15"/>
  <c r="A37" i="15"/>
  <c r="A35" i="15"/>
  <c r="A36" i="15"/>
  <c r="A38" i="15"/>
  <c r="A29" i="9"/>
  <c r="A40" i="15"/>
  <c r="A42" i="15"/>
  <c r="A27" i="9"/>
  <c r="A44" i="15"/>
  <c r="A28" i="9"/>
  <c r="A21" i="6"/>
  <c r="A22" i="6"/>
  <c r="A60" i="12"/>
  <c r="A52" i="12"/>
  <c r="A54" i="12"/>
  <c r="A62" i="12"/>
  <c r="A59" i="12"/>
  <c r="A56" i="12"/>
  <c r="A53" i="12"/>
  <c r="A61" i="12"/>
  <c r="A58" i="12"/>
  <c r="A51" i="12"/>
  <c r="A55" i="12"/>
  <c r="A57" i="12"/>
  <c r="A45" i="16"/>
  <c r="A41" i="16"/>
  <c r="A27" i="10"/>
  <c r="A59" i="8"/>
  <c r="A51" i="8"/>
  <c r="A44" i="16"/>
  <c r="A40" i="16"/>
  <c r="A46" i="16"/>
  <c r="A42" i="16"/>
  <c r="A28" i="10"/>
  <c r="A29" i="10"/>
  <c r="A39" i="16"/>
  <c r="A43" i="16"/>
  <c r="A30" i="10"/>
  <c r="A62" i="8"/>
  <c r="A55" i="8"/>
  <c r="A61" i="8"/>
  <c r="A54" i="8"/>
  <c r="A60" i="8"/>
  <c r="A56" i="8"/>
  <c r="A52" i="8"/>
  <c r="A57" i="8"/>
  <c r="A58" i="8"/>
  <c r="A18" i="20"/>
  <c r="A53" i="8"/>
  <c r="A30" i="7"/>
  <c r="A34" i="7"/>
  <c r="A33" i="7"/>
  <c r="A31" i="7"/>
  <c r="A70" i="5"/>
  <c r="A62" i="5"/>
  <c r="A33" i="13"/>
  <c r="A32" i="13"/>
  <c r="A65" i="5"/>
  <c r="A34" i="13"/>
  <c r="A30" i="13"/>
  <c r="A31" i="13"/>
  <c r="A58" i="5"/>
  <c r="A64" i="5"/>
  <c r="A61" i="5"/>
  <c r="A69" i="5"/>
  <c r="A66" i="5"/>
  <c r="A59" i="5"/>
  <c r="A68" i="5"/>
  <c r="A57" i="5"/>
  <c r="A30" i="46"/>
  <c r="A60" i="40"/>
  <c r="A59" i="40"/>
  <c r="A30" i="34"/>
  <c r="A226" i="14"/>
  <c r="A238" i="14"/>
  <c r="A236" i="14"/>
  <c r="A234" i="14"/>
  <c r="A232" i="14"/>
  <c r="A230" i="14"/>
  <c r="A228" i="14"/>
  <c r="A225" i="14"/>
  <c r="A237" i="14"/>
  <c r="A235" i="14"/>
  <c r="A233" i="14"/>
  <c r="A231" i="14"/>
  <c r="A227" i="14"/>
  <c r="A229" i="14"/>
  <c r="A78" i="9"/>
  <c r="A163" i="15"/>
  <c r="A161" i="15"/>
  <c r="A159" i="15"/>
  <c r="A157" i="15"/>
  <c r="A155" i="15"/>
  <c r="A160" i="15"/>
  <c r="A162" i="15"/>
  <c r="A76" i="9"/>
  <c r="A164" i="15"/>
  <c r="A75" i="9"/>
  <c r="A156" i="15"/>
  <c r="A158" i="15"/>
  <c r="A77" i="9"/>
  <c r="A45" i="6"/>
  <c r="A201" i="12"/>
  <c r="A46" i="6"/>
  <c r="A206" i="12"/>
  <c r="A204" i="12"/>
  <c r="A199" i="12"/>
  <c r="A198" i="12"/>
  <c r="A197" i="12"/>
  <c r="A196" i="12"/>
  <c r="A195" i="12"/>
  <c r="A202" i="12"/>
  <c r="A203" i="12"/>
  <c r="A200" i="12"/>
  <c r="A205" i="12"/>
  <c r="A141" i="16"/>
  <c r="A137" i="16"/>
  <c r="A75" i="10"/>
  <c r="A203" i="8"/>
  <c r="A195" i="8"/>
  <c r="A140" i="16"/>
  <c r="A136" i="16"/>
  <c r="A142" i="16"/>
  <c r="A138" i="16"/>
  <c r="A139" i="16"/>
  <c r="A76" i="10"/>
  <c r="A77" i="10"/>
  <c r="A135" i="16"/>
  <c r="A200" i="8"/>
  <c r="A78" i="10"/>
  <c r="A196" i="8"/>
  <c r="A30" i="20"/>
  <c r="A205" i="8"/>
  <c r="A204" i="8"/>
  <c r="A198" i="8"/>
  <c r="A206" i="8"/>
  <c r="A202" i="8"/>
  <c r="A197" i="8"/>
  <c r="A91" i="7"/>
  <c r="A201" i="8"/>
  <c r="A92" i="7"/>
  <c r="A199" i="8"/>
  <c r="A93" i="7"/>
  <c r="A94" i="7"/>
  <c r="A90" i="7"/>
  <c r="A238" i="5"/>
  <c r="A230" i="5"/>
  <c r="A93" i="13"/>
  <c r="A225" i="5"/>
  <c r="A231" i="5"/>
  <c r="A92" i="13"/>
  <c r="A233" i="5"/>
  <c r="A94" i="13"/>
  <c r="A90" i="13"/>
  <c r="A235" i="5"/>
  <c r="A227" i="5"/>
  <c r="A226" i="5"/>
  <c r="A236" i="5"/>
  <c r="A91" i="13"/>
  <c r="A234" i="5"/>
  <c r="A229" i="5"/>
  <c r="A237" i="5"/>
  <c r="A232" i="5"/>
  <c r="A228" i="5"/>
  <c r="A39" i="46"/>
  <c r="A68" i="40"/>
  <c r="A29" i="44"/>
  <c r="A39" i="34"/>
  <c r="A352" i="14"/>
  <c r="A358" i="14"/>
  <c r="A362" i="14"/>
  <c r="A354" i="14"/>
  <c r="A27" i="44"/>
  <c r="A361" i="14"/>
  <c r="A28" i="44"/>
  <c r="A360" i="14"/>
  <c r="A353" i="14"/>
  <c r="A364" i="14"/>
  <c r="A363" i="14"/>
  <c r="A356" i="14"/>
  <c r="A355" i="14"/>
  <c r="A351" i="14"/>
  <c r="A67" i="40"/>
  <c r="A357" i="14"/>
  <c r="A30" i="44"/>
  <c r="A359" i="14"/>
  <c r="A114" i="9"/>
  <c r="A253" i="15"/>
  <c r="A251" i="15"/>
  <c r="A249" i="15"/>
  <c r="A247" i="15"/>
  <c r="A245" i="15"/>
  <c r="A112" i="9"/>
  <c r="A113" i="9"/>
  <c r="A246" i="15"/>
  <c r="A248" i="15"/>
  <c r="A252" i="15"/>
  <c r="A254" i="15"/>
  <c r="A314" i="12"/>
  <c r="A250" i="15"/>
  <c r="A111" i="9"/>
  <c r="A310" i="12"/>
  <c r="A64" i="6"/>
  <c r="A309" i="12"/>
  <c r="A303" i="12"/>
  <c r="A306" i="12"/>
  <c r="A63" i="6"/>
  <c r="A312" i="12"/>
  <c r="A311" i="12"/>
  <c r="A308" i="12"/>
  <c r="A305" i="12"/>
  <c r="A307" i="12"/>
  <c r="A304" i="12"/>
  <c r="A313" i="12"/>
  <c r="A213" i="16"/>
  <c r="A209" i="16"/>
  <c r="A111" i="10"/>
  <c r="A311" i="8"/>
  <c r="A303" i="8"/>
  <c r="A212" i="16"/>
  <c r="A208" i="16"/>
  <c r="A214" i="16"/>
  <c r="A210" i="16"/>
  <c r="A211" i="16"/>
  <c r="A112" i="10"/>
  <c r="A113" i="10"/>
  <c r="A207" i="16"/>
  <c r="A310" i="8"/>
  <c r="A304" i="8"/>
  <c r="A309" i="8"/>
  <c r="A314" i="8"/>
  <c r="A307" i="8"/>
  <c r="A308" i="8"/>
  <c r="A313" i="8"/>
  <c r="A305" i="8"/>
  <c r="A114" i="10"/>
  <c r="A136" i="7"/>
  <c r="A312" i="8"/>
  <c r="A39" i="20"/>
  <c r="A137" i="7"/>
  <c r="A306" i="8"/>
  <c r="A139" i="7"/>
  <c r="A138" i="7"/>
  <c r="A135" i="7"/>
  <c r="A364" i="5"/>
  <c r="A356" i="5"/>
  <c r="A138" i="13"/>
  <c r="A351" i="5"/>
  <c r="A357" i="5"/>
  <c r="A352" i="5"/>
  <c r="A358" i="5"/>
  <c r="A137" i="13"/>
  <c r="A359" i="5"/>
  <c r="A139" i="13"/>
  <c r="A135" i="13"/>
  <c r="A361" i="5"/>
  <c r="A353" i="5"/>
  <c r="A362" i="5"/>
  <c r="A354" i="5"/>
  <c r="A355" i="5"/>
  <c r="A363" i="5"/>
  <c r="A136" i="13"/>
  <c r="S101" i="5"/>
  <c r="AI101" i="5"/>
  <c r="T102" i="5"/>
  <c r="AJ102" i="5"/>
  <c r="U103" i="5"/>
  <c r="AC103" i="5"/>
  <c r="AK103" i="5"/>
  <c r="V104" i="5"/>
  <c r="AD104" i="5"/>
  <c r="AG104" i="5" s="1"/>
  <c r="W105" i="5"/>
  <c r="X106" i="5"/>
  <c r="AF106" i="5"/>
  <c r="Z108" i="5"/>
  <c r="AH108" i="5"/>
  <c r="S109" i="5"/>
  <c r="AI109" i="5"/>
  <c r="T110" i="5"/>
  <c r="AJ110" i="5"/>
  <c r="U111" i="5"/>
  <c r="AC111" i="5"/>
  <c r="AK111" i="5"/>
  <c r="V112" i="5"/>
  <c r="AD112" i="5"/>
  <c r="AG112" i="5" s="1"/>
  <c r="W99" i="5"/>
  <c r="X100" i="5"/>
  <c r="AF100" i="5"/>
  <c r="Z116" i="5"/>
  <c r="AH116" i="5"/>
  <c r="S117" i="5"/>
  <c r="AI117" i="5"/>
  <c r="T118" i="5"/>
  <c r="AJ118" i="5"/>
  <c r="U119" i="5"/>
  <c r="AC119" i="5"/>
  <c r="AK119" i="5"/>
  <c r="V120" i="5"/>
  <c r="AD120" i="5"/>
  <c r="AG120" i="5" s="1"/>
  <c r="W121" i="5"/>
  <c r="X122" i="5"/>
  <c r="AF122" i="5"/>
  <c r="Z124" i="5"/>
  <c r="AH124" i="5"/>
  <c r="S125" i="5"/>
  <c r="AI125" i="5"/>
  <c r="T126" i="5"/>
  <c r="F46" i="10" s="1"/>
  <c r="AJ126" i="5"/>
  <c r="U113" i="5"/>
  <c r="AC113" i="5"/>
  <c r="AK113" i="5"/>
  <c r="V114" i="5"/>
  <c r="AD114" i="5"/>
  <c r="AG114" i="5" s="1"/>
  <c r="A143" i="5"/>
  <c r="W143" i="5"/>
  <c r="X144" i="5"/>
  <c r="AF144" i="5"/>
  <c r="Z146" i="5"/>
  <c r="AH146" i="5"/>
  <c r="S147" i="5"/>
  <c r="AI147" i="5"/>
  <c r="T148" i="5"/>
  <c r="AJ148" i="5"/>
  <c r="U149" i="5"/>
  <c r="AC149" i="5"/>
  <c r="AK149" i="5"/>
  <c r="V150" i="5"/>
  <c r="AD150" i="5"/>
  <c r="AG150" i="5" s="1"/>
  <c r="A151" i="5"/>
  <c r="W151" i="5"/>
  <c r="X152" i="5"/>
  <c r="AF152" i="5"/>
  <c r="Z154" i="5"/>
  <c r="AH154" i="5"/>
  <c r="S141" i="5"/>
  <c r="AI141" i="5"/>
  <c r="T142" i="5"/>
  <c r="AJ142" i="5"/>
  <c r="U171" i="5"/>
  <c r="AC171" i="5"/>
  <c r="AK171" i="5"/>
  <c r="V172" i="5"/>
  <c r="AD172" i="5"/>
  <c r="AG172" i="5" s="1"/>
  <c r="W173" i="5"/>
  <c r="X174" i="5"/>
  <c r="AF174" i="5"/>
  <c r="T61" i="9"/>
  <c r="L61" i="9"/>
  <c r="M61" i="9" s="1"/>
  <c r="Z176" i="5"/>
  <c r="AH176" i="5"/>
  <c r="S177" i="5"/>
  <c r="AI177" i="5"/>
  <c r="T178" i="5"/>
  <c r="AJ178" i="5"/>
  <c r="U179" i="5"/>
  <c r="AC179" i="5"/>
  <c r="AK179" i="5"/>
  <c r="V180" i="5"/>
  <c r="AD180" i="5"/>
  <c r="AG180" i="5" s="1"/>
  <c r="W181" i="5"/>
  <c r="X182" i="5"/>
  <c r="AF182" i="5"/>
  <c r="L59" i="9"/>
  <c r="M59" i="9" s="1"/>
  <c r="T59" i="9"/>
  <c r="Z170" i="5"/>
  <c r="AH170" i="5"/>
  <c r="S213" i="5"/>
  <c r="AI213" i="5"/>
  <c r="T214" i="5"/>
  <c r="AJ214" i="5"/>
  <c r="U215" i="5"/>
  <c r="AC215" i="5"/>
  <c r="AK215" i="5"/>
  <c r="V216" i="5"/>
  <c r="AD216" i="5"/>
  <c r="AG216" i="5" s="1"/>
  <c r="W217" i="5"/>
  <c r="H86" i="7" s="1"/>
  <c r="X218" i="5"/>
  <c r="AF218" i="5"/>
  <c r="Z220" i="5"/>
  <c r="AH220" i="5"/>
  <c r="S221" i="5"/>
  <c r="AI221" i="5"/>
  <c r="T222" i="5"/>
  <c r="F73" i="10" s="1"/>
  <c r="AJ222" i="5"/>
  <c r="U223" i="5"/>
  <c r="AC223" i="5"/>
  <c r="AK223" i="5"/>
  <c r="V224" i="5"/>
  <c r="AD224" i="5"/>
  <c r="AG224" i="5" s="1"/>
  <c r="W211" i="5"/>
  <c r="X212" i="5"/>
  <c r="AF212" i="5"/>
  <c r="Z298" i="5"/>
  <c r="AH298" i="5"/>
  <c r="S299" i="5"/>
  <c r="AI299" i="5"/>
  <c r="T300" i="5"/>
  <c r="AJ300" i="5"/>
  <c r="U301" i="5"/>
  <c r="AC301" i="5"/>
  <c r="AK301" i="5"/>
  <c r="V302" i="5"/>
  <c r="AD302" i="5"/>
  <c r="AG302" i="5" s="1"/>
  <c r="W303" i="5"/>
  <c r="H117" i="7" s="1"/>
  <c r="X304" i="5"/>
  <c r="AF304" i="5"/>
  <c r="Z306" i="5"/>
  <c r="AH306" i="5"/>
  <c r="S307" i="5"/>
  <c r="AI307" i="5"/>
  <c r="T308" i="5"/>
  <c r="AJ308" i="5"/>
  <c r="U295" i="5"/>
  <c r="AC295" i="5"/>
  <c r="AK295" i="5"/>
  <c r="V296" i="5"/>
  <c r="AD296" i="5"/>
  <c r="AG296" i="5" s="1"/>
  <c r="A325" i="5"/>
  <c r="W325" i="5"/>
  <c r="X326" i="5"/>
  <c r="AF326" i="5"/>
  <c r="Z328" i="5"/>
  <c r="AH328" i="5"/>
  <c r="S329" i="5"/>
  <c r="AI329" i="5"/>
  <c r="T330" i="5"/>
  <c r="F103" i="10" s="1"/>
  <c r="AJ330" i="5"/>
  <c r="U331" i="5"/>
  <c r="AC331" i="5"/>
  <c r="AK331" i="5"/>
  <c r="V332" i="5"/>
  <c r="AD332" i="5"/>
  <c r="AG332" i="5" s="1"/>
  <c r="A333" i="5"/>
  <c r="W333" i="5"/>
  <c r="H128" i="7" s="1"/>
  <c r="X334" i="5"/>
  <c r="AF334" i="5"/>
  <c r="Z336" i="5"/>
  <c r="AH336" i="5"/>
  <c r="S323" i="5"/>
  <c r="AI323" i="5"/>
  <c r="T324" i="5"/>
  <c r="AJ324" i="5"/>
  <c r="U339" i="5"/>
  <c r="AC339" i="5"/>
  <c r="AK339" i="5"/>
  <c r="V340" i="5"/>
  <c r="AD340" i="5"/>
  <c r="AG340" i="5" s="1"/>
  <c r="W341" i="5"/>
  <c r="H130" i="7" s="1"/>
  <c r="X342" i="5"/>
  <c r="AF342" i="5"/>
  <c r="U343" i="5"/>
  <c r="AD343" i="5"/>
  <c r="AG343" i="5" s="1"/>
  <c r="S344" i="5"/>
  <c r="AC344" i="5"/>
  <c r="AH345" i="5"/>
  <c r="X346" i="5"/>
  <c r="T347" i="5"/>
  <c r="F133" i="7" s="1"/>
  <c r="AC347" i="5"/>
  <c r="Z348" i="5"/>
  <c r="AI348" i="5"/>
  <c r="W349" i="5"/>
  <c r="H134" i="7" s="1"/>
  <c r="AF349" i="5"/>
  <c r="T350" i="5"/>
  <c r="F110" i="10" s="1"/>
  <c r="AC350" i="5"/>
  <c r="L107" i="9"/>
  <c r="M107" i="9" s="1"/>
  <c r="T107" i="9"/>
  <c r="Z337" i="5"/>
  <c r="AJ337" i="5"/>
  <c r="T108" i="9"/>
  <c r="L108" i="9"/>
  <c r="M108" i="9" s="1"/>
  <c r="U381" i="5"/>
  <c r="AH381" i="5"/>
  <c r="U382" i="5"/>
  <c r="AH382" i="5"/>
  <c r="W383" i="5"/>
  <c r="H145" i="7" s="1"/>
  <c r="A384" i="5"/>
  <c r="AD386" i="5"/>
  <c r="AG386" i="5" s="1"/>
  <c r="T387" i="5"/>
  <c r="F147" i="7" s="1"/>
  <c r="T388" i="5"/>
  <c r="AK389" i="5"/>
  <c r="AK390" i="5"/>
  <c r="AF391" i="5"/>
  <c r="V89" i="5"/>
  <c r="V90" i="5"/>
  <c r="V91" i="5"/>
  <c r="X92" i="5"/>
  <c r="Z93" i="5"/>
  <c r="U97" i="5"/>
  <c r="U98" i="5"/>
  <c r="X86" i="5"/>
  <c r="Z129" i="5"/>
  <c r="U133" i="5"/>
  <c r="U134" i="5"/>
  <c r="W136" i="5"/>
  <c r="Z138" i="5"/>
  <c r="Z139" i="5"/>
  <c r="U140" i="5"/>
  <c r="AK127" i="5"/>
  <c r="AD128" i="5"/>
  <c r="AG128" i="5" s="1"/>
  <c r="X157" i="5"/>
  <c r="AH160" i="5"/>
  <c r="AJ161" i="5"/>
  <c r="R162" i="5"/>
  <c r="T163" i="5"/>
  <c r="V156" i="5"/>
  <c r="AJ255" i="5"/>
  <c r="S257" i="5"/>
  <c r="Z258" i="5"/>
  <c r="AH259" i="5"/>
  <c r="AK261" i="5"/>
  <c r="S264" i="5"/>
  <c r="W266" i="5"/>
  <c r="H86" i="10" s="1"/>
  <c r="AD253" i="5"/>
  <c r="AG253" i="5" s="1"/>
  <c r="AI254" i="5"/>
  <c r="T284" i="5"/>
  <c r="T291" i="5"/>
  <c r="F113" i="7" s="1"/>
  <c r="AF292" i="5"/>
  <c r="R293" i="5"/>
  <c r="Z282" i="5"/>
  <c r="AC371" i="5"/>
  <c r="X375" i="5"/>
  <c r="A34" i="5"/>
  <c r="X29" i="5"/>
  <c r="V47" i="5"/>
  <c r="T48" i="5"/>
  <c r="T50" i="5"/>
  <c r="F23" i="10" s="1"/>
  <c r="AI52" i="5"/>
  <c r="A67" i="5"/>
  <c r="AC83" i="5"/>
  <c r="W191" i="5"/>
  <c r="H77" i="7" s="1"/>
  <c r="AC196" i="5"/>
  <c r="X203" i="5"/>
  <c r="AH209" i="5"/>
  <c r="AI230" i="5"/>
  <c r="S233" i="5"/>
  <c r="AD225" i="5"/>
  <c r="AG225" i="5" s="1"/>
  <c r="AH226" i="5"/>
  <c r="X249" i="5"/>
  <c r="AH269" i="5"/>
  <c r="Z278" i="5"/>
  <c r="X267" i="5"/>
  <c r="U316" i="5"/>
  <c r="AK405" i="5"/>
  <c r="A47" i="13"/>
  <c r="A126" i="13"/>
  <c r="AN78" i="13"/>
  <c r="BN27" i="46" s="1"/>
  <c r="AL78" i="13"/>
  <c r="BG27" i="46" s="1"/>
  <c r="AN79" i="13"/>
  <c r="AL79" i="13"/>
  <c r="BH27" i="46" s="1"/>
  <c r="X138" i="13"/>
  <c r="Z138" i="13" s="1"/>
  <c r="AK138" i="13" s="1"/>
  <c r="AZ39" i="46" s="1"/>
  <c r="L42" i="9"/>
  <c r="M42" i="9" s="1"/>
  <c r="T42" i="9"/>
  <c r="AI108" i="5"/>
  <c r="AD111" i="5"/>
  <c r="AG111" i="5" s="1"/>
  <c r="X99" i="5"/>
  <c r="S116" i="5"/>
  <c r="AD119" i="5"/>
  <c r="AG119" i="5" s="1"/>
  <c r="X121" i="5"/>
  <c r="Z123" i="5"/>
  <c r="AJ125" i="5"/>
  <c r="AI146" i="5"/>
  <c r="AD149" i="5"/>
  <c r="AG149" i="5" s="1"/>
  <c r="AF151" i="5"/>
  <c r="AH153" i="5"/>
  <c r="AI154" i="5"/>
  <c r="V171" i="5"/>
  <c r="AI176" i="5"/>
  <c r="AK178" i="5"/>
  <c r="X181" i="5"/>
  <c r="AH169" i="5"/>
  <c r="AI170" i="5"/>
  <c r="AJ213" i="5"/>
  <c r="U214" i="5"/>
  <c r="V215" i="5"/>
  <c r="W216" i="5"/>
  <c r="X217" i="5"/>
  <c r="AH219" i="5"/>
  <c r="AI220" i="5"/>
  <c r="AC222" i="5"/>
  <c r="W224" i="5"/>
  <c r="H74" i="10" s="1"/>
  <c r="AF211" i="5"/>
  <c r="U300" i="5"/>
  <c r="AD301" i="5"/>
  <c r="AG301" i="5" s="1"/>
  <c r="AI306" i="5"/>
  <c r="AK308" i="5"/>
  <c r="W296" i="5"/>
  <c r="AF325" i="5"/>
  <c r="AC330" i="5"/>
  <c r="X333" i="5"/>
  <c r="AI336" i="5"/>
  <c r="AC324" i="5"/>
  <c r="W340" i="5"/>
  <c r="U344" i="5"/>
  <c r="U347" i="5"/>
  <c r="AH349" i="5"/>
  <c r="X383" i="5"/>
  <c r="Z387" i="5"/>
  <c r="AC88" i="5"/>
  <c r="W90" i="5"/>
  <c r="W91" i="5"/>
  <c r="H41" i="7" s="1"/>
  <c r="AF93" i="5"/>
  <c r="V97" i="5"/>
  <c r="V98" i="5"/>
  <c r="V85" i="5"/>
  <c r="AF129" i="5"/>
  <c r="V133" i="5"/>
  <c r="V134" i="5"/>
  <c r="V135" i="5"/>
  <c r="X136" i="5"/>
  <c r="Z137" i="5"/>
  <c r="T127" i="5"/>
  <c r="AD157" i="5"/>
  <c r="AG157" i="5" s="1"/>
  <c r="AF158" i="5"/>
  <c r="AH159" i="5"/>
  <c r="AI160" i="5"/>
  <c r="AK161" i="5"/>
  <c r="X162" i="5"/>
  <c r="U163" i="5"/>
  <c r="AF165" i="5"/>
  <c r="AF166" i="5"/>
  <c r="S167" i="5"/>
  <c r="AH155" i="5"/>
  <c r="AC156" i="5"/>
  <c r="T257" i="5"/>
  <c r="F100" i="7" s="1"/>
  <c r="A259" i="5"/>
  <c r="AI259" i="5"/>
  <c r="AF260" i="5"/>
  <c r="U263" i="5"/>
  <c r="T264" i="5"/>
  <c r="F85" i="10" s="1"/>
  <c r="X266" i="5"/>
  <c r="AJ254" i="5"/>
  <c r="R283" i="5"/>
  <c r="U284" i="5"/>
  <c r="A285" i="5"/>
  <c r="AH285" i="5"/>
  <c r="AC287" i="5"/>
  <c r="W289" i="5"/>
  <c r="H112" i="7" s="1"/>
  <c r="U291" i="5"/>
  <c r="S293" i="5"/>
  <c r="S281" i="5"/>
  <c r="AJ368" i="5"/>
  <c r="S372" i="5"/>
  <c r="AC374" i="5"/>
  <c r="W377" i="5"/>
  <c r="H144" i="7" s="1"/>
  <c r="R378" i="5"/>
  <c r="AI31" i="5"/>
  <c r="R33" i="5"/>
  <c r="AD29" i="5"/>
  <c r="AG29" i="5" s="1"/>
  <c r="S46" i="5"/>
  <c r="W47" i="5"/>
  <c r="H25" i="7" s="1"/>
  <c r="Z48" i="5"/>
  <c r="U50" i="5"/>
  <c r="W51" i="5"/>
  <c r="H27" i="7" s="1"/>
  <c r="AJ52" i="5"/>
  <c r="A60" i="5"/>
  <c r="R61" i="5"/>
  <c r="R68" i="5"/>
  <c r="AF69" i="5"/>
  <c r="U77" i="5"/>
  <c r="G36" i="7" s="1"/>
  <c r="AI78" i="5"/>
  <c r="AD83" i="5"/>
  <c r="AG83" i="5" s="1"/>
  <c r="X191" i="5"/>
  <c r="AD195" i="5"/>
  <c r="AG195" i="5" s="1"/>
  <c r="AH202" i="5"/>
  <c r="AJ203" i="5"/>
  <c r="AC208" i="5"/>
  <c r="W229" i="5"/>
  <c r="H90" i="7" s="1"/>
  <c r="T233" i="5"/>
  <c r="F92" i="7" s="1"/>
  <c r="S271" i="5"/>
  <c r="AD277" i="5"/>
  <c r="AG277" i="5" s="1"/>
  <c r="AK278" i="5"/>
  <c r="R280" i="5"/>
  <c r="AH313" i="5"/>
  <c r="S320" i="5"/>
  <c r="AF364" i="5"/>
  <c r="AI395" i="5"/>
  <c r="S402" i="5"/>
  <c r="Z410" i="5"/>
  <c r="AJ101" i="5"/>
  <c r="AK102" i="5"/>
  <c r="AF105" i="5"/>
  <c r="Z107" i="5"/>
  <c r="AJ109" i="5"/>
  <c r="V111" i="5"/>
  <c r="AK118" i="5"/>
  <c r="W120" i="5"/>
  <c r="H43" i="10" s="1"/>
  <c r="V113" i="5"/>
  <c r="V149" i="5"/>
  <c r="AD171" i="5"/>
  <c r="AG171" i="5" s="1"/>
  <c r="X173" i="5"/>
  <c r="AH175" i="5"/>
  <c r="U178" i="5"/>
  <c r="AD179" i="5"/>
  <c r="AG179" i="5" s="1"/>
  <c r="Z169" i="5"/>
  <c r="T213" i="5"/>
  <c r="AC214" i="5"/>
  <c r="AD215" i="5"/>
  <c r="AG215" i="5" s="1"/>
  <c r="L72" i="9"/>
  <c r="M72" i="9" s="1"/>
  <c r="T72" i="9"/>
  <c r="Z297" i="5"/>
  <c r="AK300" i="5"/>
  <c r="W302" i="5"/>
  <c r="H95" i="10" s="1"/>
  <c r="S306" i="5"/>
  <c r="AJ307" i="5"/>
  <c r="V295" i="5"/>
  <c r="X325" i="5"/>
  <c r="S328" i="5"/>
  <c r="AJ329" i="5"/>
  <c r="V331" i="5"/>
  <c r="Z335" i="5"/>
  <c r="T323" i="5"/>
  <c r="AK324" i="5"/>
  <c r="AD339" i="5"/>
  <c r="AG339" i="5" s="1"/>
  <c r="X341" i="5"/>
  <c r="V343" i="5"/>
  <c r="Z345" i="5"/>
  <c r="AD347" i="5"/>
  <c r="AG347" i="5" s="1"/>
  <c r="U350" i="5"/>
  <c r="AC338" i="5"/>
  <c r="AJ381" i="5"/>
  <c r="Z385" i="5"/>
  <c r="D4" i="45"/>
  <c r="U101" i="5"/>
  <c r="AC101" i="5"/>
  <c r="V102" i="5"/>
  <c r="AD102" i="5"/>
  <c r="AG102" i="5" s="1"/>
  <c r="W103" i="5"/>
  <c r="H45" i="7" s="1"/>
  <c r="X104" i="5"/>
  <c r="AF104" i="5"/>
  <c r="T41" i="9"/>
  <c r="L41" i="9"/>
  <c r="R106" i="5"/>
  <c r="Z106" i="5"/>
  <c r="AH106" i="5"/>
  <c r="S107" i="5"/>
  <c r="AI107" i="5"/>
  <c r="T108" i="5"/>
  <c r="F40" i="10" s="1"/>
  <c r="AJ108" i="5"/>
  <c r="U109" i="5"/>
  <c r="AC109" i="5"/>
  <c r="AK109" i="5"/>
  <c r="V110" i="5"/>
  <c r="AD110" i="5"/>
  <c r="AG110" i="5" s="1"/>
  <c r="W111" i="5"/>
  <c r="X112" i="5"/>
  <c r="AF112" i="5"/>
  <c r="L39" i="9"/>
  <c r="T39" i="9"/>
  <c r="R100" i="5"/>
  <c r="Z100" i="5"/>
  <c r="AH100" i="5"/>
  <c r="S115" i="5"/>
  <c r="AI115" i="5"/>
  <c r="T116" i="5"/>
  <c r="AJ116" i="5"/>
  <c r="U117" i="5"/>
  <c r="AC117" i="5"/>
  <c r="AK117" i="5"/>
  <c r="V118" i="5"/>
  <c r="AD118" i="5"/>
  <c r="AG118" i="5" s="1"/>
  <c r="W119" i="5"/>
  <c r="H51" i="7" s="1"/>
  <c r="X120" i="5"/>
  <c r="AF120" i="5"/>
  <c r="R122" i="5"/>
  <c r="Z122" i="5"/>
  <c r="AH122" i="5"/>
  <c r="S123" i="5"/>
  <c r="AI123" i="5"/>
  <c r="T124" i="5"/>
  <c r="F45" i="10" s="1"/>
  <c r="AJ124" i="5"/>
  <c r="U125" i="5"/>
  <c r="AC125" i="5"/>
  <c r="AK125" i="5"/>
  <c r="V126" i="5"/>
  <c r="AD126" i="5"/>
  <c r="AG126" i="5" s="1"/>
  <c r="W113" i="5"/>
  <c r="X114" i="5"/>
  <c r="AF114" i="5"/>
  <c r="R144" i="5"/>
  <c r="Z144" i="5"/>
  <c r="AH144" i="5"/>
  <c r="S145" i="5"/>
  <c r="AI145" i="5"/>
  <c r="T146" i="5"/>
  <c r="AJ146" i="5"/>
  <c r="U147" i="5"/>
  <c r="AC147" i="5"/>
  <c r="AK147" i="5"/>
  <c r="V148" i="5"/>
  <c r="AD148" i="5"/>
  <c r="AG148" i="5" s="1"/>
  <c r="A149" i="5"/>
  <c r="W149" i="5"/>
  <c r="X150" i="5"/>
  <c r="AF150" i="5"/>
  <c r="R152" i="5"/>
  <c r="Z152" i="5"/>
  <c r="AH152" i="5"/>
  <c r="S153" i="5"/>
  <c r="AI153" i="5"/>
  <c r="T154" i="5"/>
  <c r="AJ154" i="5"/>
  <c r="U141" i="5"/>
  <c r="AC141" i="5"/>
  <c r="AK141" i="5"/>
  <c r="V142" i="5"/>
  <c r="AD142" i="5"/>
  <c r="AG142" i="5" s="1"/>
  <c r="W171" i="5"/>
  <c r="X172" i="5"/>
  <c r="AF172" i="5"/>
  <c r="R174" i="5"/>
  <c r="Z174" i="5"/>
  <c r="AH174" i="5"/>
  <c r="S175" i="5"/>
  <c r="AI175" i="5"/>
  <c r="T176" i="5"/>
  <c r="F59" i="10" s="1"/>
  <c r="AJ176" i="5"/>
  <c r="U177" i="5"/>
  <c r="AC177" i="5"/>
  <c r="AK177" i="5"/>
  <c r="V178" i="5"/>
  <c r="AD178" i="5"/>
  <c r="AG178" i="5" s="1"/>
  <c r="W179" i="5"/>
  <c r="H73" i="7" s="1"/>
  <c r="X180" i="5"/>
  <c r="AF180" i="5"/>
  <c r="R182" i="5"/>
  <c r="Z182" i="5"/>
  <c r="AH182" i="5"/>
  <c r="S169" i="5"/>
  <c r="AI169" i="5"/>
  <c r="T170" i="5"/>
  <c r="AJ170" i="5"/>
  <c r="U213" i="5"/>
  <c r="AC213" i="5"/>
  <c r="AK213" i="5"/>
  <c r="V214" i="5"/>
  <c r="AD214" i="5"/>
  <c r="AG214" i="5" s="1"/>
  <c r="A215" i="5"/>
  <c r="W215" i="5"/>
  <c r="X216" i="5"/>
  <c r="AF216" i="5"/>
  <c r="T73" i="9"/>
  <c r="L73" i="9"/>
  <c r="M73" i="9" s="1"/>
  <c r="R218" i="5"/>
  <c r="Z218" i="5"/>
  <c r="AH218" i="5"/>
  <c r="S219" i="5"/>
  <c r="AI219" i="5"/>
  <c r="T220" i="5"/>
  <c r="AJ220" i="5"/>
  <c r="U221" i="5"/>
  <c r="AC221" i="5"/>
  <c r="AK221" i="5"/>
  <c r="V222" i="5"/>
  <c r="AD222" i="5"/>
  <c r="AG222" i="5" s="1"/>
  <c r="A223" i="5"/>
  <c r="W223" i="5"/>
  <c r="H89" i="7" s="1"/>
  <c r="X224" i="5"/>
  <c r="AF224" i="5"/>
  <c r="T71" i="9"/>
  <c r="L71" i="9"/>
  <c r="M71" i="9" s="1"/>
  <c r="R212" i="5"/>
  <c r="Z212" i="5"/>
  <c r="AH212" i="5"/>
  <c r="S297" i="5"/>
  <c r="AI297" i="5"/>
  <c r="T298" i="5"/>
  <c r="AJ298" i="5"/>
  <c r="U299" i="5"/>
  <c r="AC299" i="5"/>
  <c r="AK299" i="5"/>
  <c r="V300" i="5"/>
  <c r="AD300" i="5"/>
  <c r="AG300" i="5" s="1"/>
  <c r="A301" i="5"/>
  <c r="W301" i="5"/>
  <c r="H116" i="7" s="1"/>
  <c r="X302" i="5"/>
  <c r="AF302" i="5"/>
  <c r="R304" i="5"/>
  <c r="Z304" i="5"/>
  <c r="AH304" i="5"/>
  <c r="S305" i="5"/>
  <c r="AI305" i="5"/>
  <c r="T306" i="5"/>
  <c r="F97" i="10" s="1"/>
  <c r="AJ306" i="5"/>
  <c r="U307" i="5"/>
  <c r="AC307" i="5"/>
  <c r="AK307" i="5"/>
  <c r="V308" i="5"/>
  <c r="AD308" i="5"/>
  <c r="AG308" i="5" s="1"/>
  <c r="A295" i="5"/>
  <c r="W295" i="5"/>
  <c r="X296" i="5"/>
  <c r="AF296" i="5"/>
  <c r="R326" i="5"/>
  <c r="Z326" i="5"/>
  <c r="AH326" i="5"/>
  <c r="S327" i="5"/>
  <c r="AI327" i="5"/>
  <c r="T328" i="5"/>
  <c r="AJ328" i="5"/>
  <c r="U329" i="5"/>
  <c r="AC329" i="5"/>
  <c r="AK329" i="5"/>
  <c r="V330" i="5"/>
  <c r="AD330" i="5"/>
  <c r="AG330" i="5" s="1"/>
  <c r="A331" i="5"/>
  <c r="W331" i="5"/>
  <c r="H127" i="7" s="1"/>
  <c r="X332" i="5"/>
  <c r="AF332" i="5"/>
  <c r="R334" i="5"/>
  <c r="Z334" i="5"/>
  <c r="AH334" i="5"/>
  <c r="S335" i="5"/>
  <c r="AI335" i="5"/>
  <c r="T336" i="5"/>
  <c r="AJ336" i="5"/>
  <c r="U323" i="5"/>
  <c r="AC323" i="5"/>
  <c r="AK323" i="5"/>
  <c r="V324" i="5"/>
  <c r="AD324" i="5"/>
  <c r="AG324" i="5" s="1"/>
  <c r="W339" i="5"/>
  <c r="X340" i="5"/>
  <c r="AF340" i="5"/>
  <c r="R342" i="5"/>
  <c r="Z342" i="5"/>
  <c r="AI342" i="5"/>
  <c r="W343" i="5"/>
  <c r="H131" i="7" s="1"/>
  <c r="AF343" i="5"/>
  <c r="V344" i="5"/>
  <c r="R345" i="5"/>
  <c r="AJ345" i="5"/>
  <c r="Z346" i="5"/>
  <c r="AI346" i="5"/>
  <c r="V347" i="5"/>
  <c r="AF347" i="5"/>
  <c r="S348" i="5"/>
  <c r="AK348" i="5"/>
  <c r="Z349" i="5"/>
  <c r="AI349" i="5"/>
  <c r="V350" i="5"/>
  <c r="T337" i="5"/>
  <c r="AC337" i="5"/>
  <c r="S338" i="5"/>
  <c r="AD338" i="5"/>
  <c r="AG338" i="5" s="1"/>
  <c r="AK381" i="5"/>
  <c r="W382" i="5"/>
  <c r="A383" i="5"/>
  <c r="R384" i="5"/>
  <c r="AC385" i="5"/>
  <c r="AH386" i="5"/>
  <c r="U389" i="5"/>
  <c r="U390" i="5"/>
  <c r="W392" i="5"/>
  <c r="H122" i="10" s="1"/>
  <c r="AI87" i="5"/>
  <c r="AI88" i="5"/>
  <c r="AC89" i="5"/>
  <c r="AC90" i="5"/>
  <c r="X91" i="5"/>
  <c r="AH94" i="5"/>
  <c r="AH95" i="5"/>
  <c r="AC96" i="5"/>
  <c r="W98" i="5"/>
  <c r="H38" i="10" s="1"/>
  <c r="W85" i="5"/>
  <c r="AH130" i="5"/>
  <c r="AH131" i="5"/>
  <c r="AC132" i="5"/>
  <c r="W134" i="5"/>
  <c r="W135" i="5"/>
  <c r="H57" i="7" s="1"/>
  <c r="AF137" i="5"/>
  <c r="U127" i="5"/>
  <c r="AK128" i="5"/>
  <c r="A157" i="5"/>
  <c r="A158" i="5"/>
  <c r="V163" i="5"/>
  <c r="AC164" i="5"/>
  <c r="U167" i="5"/>
  <c r="Z168" i="5"/>
  <c r="A155" i="5"/>
  <c r="AI155" i="5"/>
  <c r="AD156" i="5"/>
  <c r="AG156" i="5" s="1"/>
  <c r="V256" i="5"/>
  <c r="U257" i="5"/>
  <c r="AH258" i="5"/>
  <c r="S261" i="5"/>
  <c r="Z262" i="5"/>
  <c r="V263" i="5"/>
  <c r="U264" i="5"/>
  <c r="AF253" i="5"/>
  <c r="L84" i="9"/>
  <c r="M84" i="9" s="1"/>
  <c r="T84" i="9"/>
  <c r="S283" i="5"/>
  <c r="AC284" i="5"/>
  <c r="AI285" i="5"/>
  <c r="AC291" i="5"/>
  <c r="AH292" i="5"/>
  <c r="U281" i="5"/>
  <c r="AC282" i="5"/>
  <c r="AK368" i="5"/>
  <c r="X369" i="5"/>
  <c r="AD372" i="5"/>
  <c r="AG372" i="5" s="1"/>
  <c r="T373" i="5"/>
  <c r="F142" i="7" s="1"/>
  <c r="AC375" i="5"/>
  <c r="Z377" i="5"/>
  <c r="AD378" i="5"/>
  <c r="AG378" i="5" s="1"/>
  <c r="X365" i="5"/>
  <c r="AJ31" i="5"/>
  <c r="AC32" i="5"/>
  <c r="R36" i="5"/>
  <c r="A37" i="5"/>
  <c r="V30" i="5"/>
  <c r="U45" i="5"/>
  <c r="U46" i="5"/>
  <c r="AK51" i="5"/>
  <c r="S56" i="5"/>
  <c r="T43" i="5"/>
  <c r="AH62" i="5"/>
  <c r="AC64" i="5"/>
  <c r="U73" i="5"/>
  <c r="AH74" i="5"/>
  <c r="W77" i="5"/>
  <c r="H36" i="7" s="1"/>
  <c r="AK78" i="5"/>
  <c r="W82" i="5"/>
  <c r="S187" i="5"/>
  <c r="AI190" i="5"/>
  <c r="S194" i="5"/>
  <c r="AI202" i="5"/>
  <c r="AF208" i="5"/>
  <c r="X229" i="5"/>
  <c r="U248" i="5"/>
  <c r="R250" i="5"/>
  <c r="T271" i="5"/>
  <c r="F105" i="7" s="1"/>
  <c r="T280" i="5"/>
  <c r="F90" i="10" s="1"/>
  <c r="AC312" i="5"/>
  <c r="U320" i="5"/>
  <c r="AC310" i="5"/>
  <c r="A360" i="5"/>
  <c r="AJ395" i="5"/>
  <c r="R400" i="5"/>
  <c r="U402" i="5"/>
  <c r="AJ404" i="5"/>
  <c r="AC420" i="5"/>
  <c r="T101" i="5"/>
  <c r="V103" i="5"/>
  <c r="AH107" i="5"/>
  <c r="T109" i="5"/>
  <c r="F48" i="7" s="1"/>
  <c r="AC110" i="5"/>
  <c r="AH115" i="5"/>
  <c r="T117" i="5"/>
  <c r="F50" i="7" s="1"/>
  <c r="AC118" i="5"/>
  <c r="S124" i="5"/>
  <c r="AC126" i="5"/>
  <c r="AJ147" i="5"/>
  <c r="AJ141" i="5"/>
  <c r="S176" i="5"/>
  <c r="AC178" i="5"/>
  <c r="AF181" i="5"/>
  <c r="AF217" i="5"/>
  <c r="U222" i="5"/>
  <c r="X211" i="5"/>
  <c r="AH297" i="5"/>
  <c r="T299" i="5"/>
  <c r="F115" i="7" s="1"/>
  <c r="AF303" i="5"/>
  <c r="Z305" i="5"/>
  <c r="T307" i="5"/>
  <c r="F119" i="7" s="1"/>
  <c r="AH327" i="5"/>
  <c r="T329" i="5"/>
  <c r="F126" i="7" s="1"/>
  <c r="W332" i="5"/>
  <c r="AH335" i="5"/>
  <c r="AI345" i="5"/>
  <c r="AJ348" i="5"/>
  <c r="AK337" i="5"/>
  <c r="S380" i="5"/>
  <c r="V101" i="5"/>
  <c r="AD101" i="5"/>
  <c r="A102" i="5"/>
  <c r="W102" i="5"/>
  <c r="X103" i="5"/>
  <c r="AF103" i="5"/>
  <c r="R105" i="5"/>
  <c r="Z105" i="5"/>
  <c r="AH105" i="5"/>
  <c r="S106" i="5"/>
  <c r="AI106" i="5"/>
  <c r="T107" i="5"/>
  <c r="F47" i="7" s="1"/>
  <c r="AJ107" i="5"/>
  <c r="U108" i="5"/>
  <c r="AC108" i="5"/>
  <c r="AK108" i="5"/>
  <c r="V109" i="5"/>
  <c r="AD109" i="5"/>
  <c r="AG109" i="5" s="1"/>
  <c r="W110" i="5"/>
  <c r="X111" i="5"/>
  <c r="AF111" i="5"/>
  <c r="R99" i="5"/>
  <c r="Z99" i="5"/>
  <c r="AH99" i="5"/>
  <c r="S100" i="5"/>
  <c r="AI100" i="5"/>
  <c r="T115" i="5"/>
  <c r="AJ115" i="5"/>
  <c r="U116" i="5"/>
  <c r="AC116" i="5"/>
  <c r="AK116" i="5"/>
  <c r="V117" i="5"/>
  <c r="AD117" i="5"/>
  <c r="AG117" i="5" s="1"/>
  <c r="A118" i="5"/>
  <c r="W118" i="5"/>
  <c r="X119" i="5"/>
  <c r="AF119" i="5"/>
  <c r="L46" i="9"/>
  <c r="M46" i="9" s="1"/>
  <c r="T46" i="9"/>
  <c r="R121" i="5"/>
  <c r="Z121" i="5"/>
  <c r="AH121" i="5"/>
  <c r="S122" i="5"/>
  <c r="AI122" i="5"/>
  <c r="T123" i="5"/>
  <c r="F53" i="7" s="1"/>
  <c r="AJ123" i="5"/>
  <c r="U124" i="5"/>
  <c r="AC124" i="5"/>
  <c r="AK124" i="5"/>
  <c r="V125" i="5"/>
  <c r="AD125" i="5"/>
  <c r="AG125" i="5" s="1"/>
  <c r="A126" i="5"/>
  <c r="W126" i="5"/>
  <c r="H46" i="10" s="1"/>
  <c r="X113" i="5"/>
  <c r="AF113" i="5"/>
  <c r="L44" i="9"/>
  <c r="M44" i="9" s="1"/>
  <c r="T44" i="9"/>
  <c r="R143" i="5"/>
  <c r="Z143" i="5"/>
  <c r="AH143" i="5"/>
  <c r="S144" i="5"/>
  <c r="AI144" i="5"/>
  <c r="T145" i="5"/>
  <c r="AJ145" i="5"/>
  <c r="U146" i="5"/>
  <c r="AC146" i="5"/>
  <c r="AK146" i="5"/>
  <c r="V147" i="5"/>
  <c r="AD147" i="5"/>
  <c r="AG147" i="5" s="1"/>
  <c r="A148" i="5"/>
  <c r="W148" i="5"/>
  <c r="H51" i="10" s="1"/>
  <c r="X149" i="5"/>
  <c r="AF149" i="5"/>
  <c r="R151" i="5"/>
  <c r="Z151" i="5"/>
  <c r="AH151" i="5"/>
  <c r="S152" i="5"/>
  <c r="AI152" i="5"/>
  <c r="T153" i="5"/>
  <c r="AJ153" i="5"/>
  <c r="U154" i="5"/>
  <c r="AC154" i="5"/>
  <c r="AK154" i="5"/>
  <c r="V141" i="5"/>
  <c r="AD141" i="5"/>
  <c r="AG141" i="5" s="1"/>
  <c r="A142" i="5"/>
  <c r="W142" i="5"/>
  <c r="X171" i="5"/>
  <c r="AF171" i="5"/>
  <c r="R173" i="5"/>
  <c r="Z173" i="5"/>
  <c r="AH173" i="5"/>
  <c r="S174" i="5"/>
  <c r="AI174" i="5"/>
  <c r="T175" i="5"/>
  <c r="F71" i="7" s="1"/>
  <c r="AJ175" i="5"/>
  <c r="U176" i="5"/>
  <c r="AC176" i="5"/>
  <c r="AK176" i="5"/>
  <c r="V177" i="5"/>
  <c r="AD177" i="5"/>
  <c r="AG177" i="5" s="1"/>
  <c r="W178" i="5"/>
  <c r="H60" i="10" s="1"/>
  <c r="X179" i="5"/>
  <c r="AF179" i="5"/>
  <c r="R181" i="5"/>
  <c r="Z181" i="5"/>
  <c r="AH181" i="5"/>
  <c r="S182" i="5"/>
  <c r="AI182" i="5"/>
  <c r="T169" i="5"/>
  <c r="AJ169" i="5"/>
  <c r="U170" i="5"/>
  <c r="AC170" i="5"/>
  <c r="AK170" i="5"/>
  <c r="V213" i="5"/>
  <c r="AD213" i="5"/>
  <c r="AG213" i="5" s="1"/>
  <c r="A214" i="5"/>
  <c r="W214" i="5"/>
  <c r="X215" i="5"/>
  <c r="AF215" i="5"/>
  <c r="R217" i="5"/>
  <c r="Z217" i="5"/>
  <c r="AH217" i="5"/>
  <c r="S218" i="5"/>
  <c r="AI218" i="5"/>
  <c r="T219" i="5"/>
  <c r="F87" i="7" s="1"/>
  <c r="AJ219" i="5"/>
  <c r="U220" i="5"/>
  <c r="AC220" i="5"/>
  <c r="AK220" i="5"/>
  <c r="V221" i="5"/>
  <c r="AD221" i="5"/>
  <c r="AG221" i="5" s="1"/>
  <c r="W222" i="5"/>
  <c r="H73" i="10" s="1"/>
  <c r="X223" i="5"/>
  <c r="AF223" i="5"/>
  <c r="R211" i="5"/>
  <c r="Z211" i="5"/>
  <c r="AH211" i="5"/>
  <c r="S212" i="5"/>
  <c r="AI212" i="5"/>
  <c r="T297" i="5"/>
  <c r="AJ297" i="5"/>
  <c r="U298" i="5"/>
  <c r="AC298" i="5"/>
  <c r="AK298" i="5"/>
  <c r="V299" i="5"/>
  <c r="AD299" i="5"/>
  <c r="AG299" i="5" s="1"/>
  <c r="A300" i="5"/>
  <c r="W300" i="5"/>
  <c r="X301" i="5"/>
  <c r="AF301" i="5"/>
  <c r="R303" i="5"/>
  <c r="Z303" i="5"/>
  <c r="AH303" i="5"/>
  <c r="S304" i="5"/>
  <c r="AI304" i="5"/>
  <c r="T305" i="5"/>
  <c r="F118" i="7" s="1"/>
  <c r="AJ305" i="5"/>
  <c r="U306" i="5"/>
  <c r="AC306" i="5"/>
  <c r="AK306" i="5"/>
  <c r="V307" i="5"/>
  <c r="AD307" i="5"/>
  <c r="AG307" i="5" s="1"/>
  <c r="A308" i="5"/>
  <c r="W308" i="5"/>
  <c r="H98" i="10" s="1"/>
  <c r="X295" i="5"/>
  <c r="AF295" i="5"/>
  <c r="R325" i="5"/>
  <c r="Z325" i="5"/>
  <c r="AH325" i="5"/>
  <c r="S326" i="5"/>
  <c r="AI326" i="5"/>
  <c r="T327" i="5"/>
  <c r="F125" i="7" s="1"/>
  <c r="AJ327" i="5"/>
  <c r="U328" i="5"/>
  <c r="AC328" i="5"/>
  <c r="AK328" i="5"/>
  <c r="V329" i="5"/>
  <c r="AD329" i="5"/>
  <c r="AG329" i="5" s="1"/>
  <c r="A330" i="5"/>
  <c r="W330" i="5"/>
  <c r="H103" i="10" s="1"/>
  <c r="X331" i="5"/>
  <c r="AF331" i="5"/>
  <c r="R333" i="5"/>
  <c r="Z333" i="5"/>
  <c r="AH333" i="5"/>
  <c r="S334" i="5"/>
  <c r="AI334" i="5"/>
  <c r="T335" i="5"/>
  <c r="F129" i="7" s="1"/>
  <c r="AJ335" i="5"/>
  <c r="U336" i="5"/>
  <c r="AC336" i="5"/>
  <c r="AK336" i="5"/>
  <c r="V323" i="5"/>
  <c r="AD323" i="5"/>
  <c r="AG323" i="5" s="1"/>
  <c r="A324" i="5"/>
  <c r="W324" i="5"/>
  <c r="X339" i="5"/>
  <c r="AF339" i="5"/>
  <c r="R341" i="5"/>
  <c r="Z341" i="5"/>
  <c r="AH341" i="5"/>
  <c r="S342" i="5"/>
  <c r="AJ342" i="5"/>
  <c r="X343" i="5"/>
  <c r="W344" i="5"/>
  <c r="H107" i="10" s="1"/>
  <c r="AF344" i="5"/>
  <c r="S345" i="5"/>
  <c r="R346" i="5"/>
  <c r="AJ346" i="5"/>
  <c r="X347" i="5"/>
  <c r="T348" i="5"/>
  <c r="F109" i="10" s="1"/>
  <c r="AC348" i="5"/>
  <c r="AJ349" i="5"/>
  <c r="W350" i="5"/>
  <c r="H110" i="10" s="1"/>
  <c r="AF350" i="5"/>
  <c r="U337" i="5"/>
  <c r="AD337" i="5"/>
  <c r="AG337" i="5" s="1"/>
  <c r="U338" i="5"/>
  <c r="Z381" i="5"/>
  <c r="A382" i="5"/>
  <c r="Z382" i="5"/>
  <c r="AD383" i="5"/>
  <c r="AG383" i="5" s="1"/>
  <c r="T384" i="5"/>
  <c r="AJ384" i="5"/>
  <c r="AF385" i="5"/>
  <c r="S386" i="5"/>
  <c r="AI386" i="5"/>
  <c r="V389" i="5"/>
  <c r="V390" i="5"/>
  <c r="V391" i="5"/>
  <c r="X392" i="5"/>
  <c r="Z379" i="5"/>
  <c r="Z380" i="5"/>
  <c r="AJ87" i="5"/>
  <c r="AJ88" i="5"/>
  <c r="AD89" i="5"/>
  <c r="AG89" i="5" s="1"/>
  <c r="A90" i="5"/>
  <c r="AD90" i="5"/>
  <c r="AG90" i="5" s="1"/>
  <c r="AD91" i="5"/>
  <c r="AG91" i="5" s="1"/>
  <c r="AF92" i="5"/>
  <c r="AH93" i="5"/>
  <c r="AI94" i="5"/>
  <c r="AI95" i="5"/>
  <c r="AI96" i="5"/>
  <c r="AC97" i="5"/>
  <c r="AC98" i="5"/>
  <c r="X85" i="5"/>
  <c r="AF86" i="5"/>
  <c r="AH129" i="5"/>
  <c r="AI130" i="5"/>
  <c r="AI131" i="5"/>
  <c r="AI132" i="5"/>
  <c r="AC133" i="5"/>
  <c r="AC134" i="5"/>
  <c r="X135" i="5"/>
  <c r="AH138" i="5"/>
  <c r="AH139" i="5"/>
  <c r="AC140" i="5"/>
  <c r="V127" i="5"/>
  <c r="AF157" i="5"/>
  <c r="R159" i="5"/>
  <c r="S160" i="5"/>
  <c r="S161" i="5"/>
  <c r="Z162" i="5"/>
  <c r="AC163" i="5"/>
  <c r="AJ164" i="5"/>
  <c r="AI165" i="5"/>
  <c r="V167" i="5"/>
  <c r="AF156" i="5"/>
  <c r="W256" i="5"/>
  <c r="AJ258" i="5"/>
  <c r="R259" i="5"/>
  <c r="T261" i="5"/>
  <c r="F102" i="7" s="1"/>
  <c r="W263" i="5"/>
  <c r="H103" i="7" s="1"/>
  <c r="AI265" i="5"/>
  <c r="A266" i="5"/>
  <c r="AF266" i="5"/>
  <c r="R254" i="5"/>
  <c r="AD284" i="5"/>
  <c r="AG284" i="5" s="1"/>
  <c r="X286" i="5"/>
  <c r="T288" i="5"/>
  <c r="Z289" i="5"/>
  <c r="AC293" i="5"/>
  <c r="AD281" i="5"/>
  <c r="AG281" i="5" s="1"/>
  <c r="Z369" i="5"/>
  <c r="AH373" i="5"/>
  <c r="AH374" i="5"/>
  <c r="AH376" i="5"/>
  <c r="AF378" i="5"/>
  <c r="Z365" i="5"/>
  <c r="AF33" i="5"/>
  <c r="S36" i="5"/>
  <c r="W30" i="5"/>
  <c r="Z45" i="5"/>
  <c r="AI46" i="5"/>
  <c r="V54" i="5"/>
  <c r="W55" i="5"/>
  <c r="H29" i="7" s="1"/>
  <c r="T56" i="5"/>
  <c r="F26" i="10" s="1"/>
  <c r="U43" i="5"/>
  <c r="T44" i="5"/>
  <c r="AK62" i="5"/>
  <c r="AH63" i="5"/>
  <c r="AF64" i="5"/>
  <c r="AC73" i="5"/>
  <c r="AD76" i="5"/>
  <c r="AG76" i="5" s="1"/>
  <c r="U81" i="5"/>
  <c r="G38" i="7" s="1"/>
  <c r="AJ190" i="5"/>
  <c r="Z199" i="5"/>
  <c r="AK202" i="5"/>
  <c r="AD197" i="5"/>
  <c r="AG197" i="5" s="1"/>
  <c r="AD228" i="5"/>
  <c r="AG228" i="5" s="1"/>
  <c r="Z229" i="5"/>
  <c r="W248" i="5"/>
  <c r="H80" i="10" s="1"/>
  <c r="T250" i="5"/>
  <c r="F81" i="10" s="1"/>
  <c r="AF312" i="5"/>
  <c r="AN65" i="13"/>
  <c r="AL65" i="13"/>
  <c r="X38" i="13"/>
  <c r="M128" i="10"/>
  <c r="N128" i="10" s="1"/>
  <c r="M112" i="10"/>
  <c r="M88" i="10"/>
  <c r="M76" i="10"/>
  <c r="M64" i="10"/>
  <c r="N64" i="10" s="1"/>
  <c r="M28" i="10"/>
  <c r="M20" i="10"/>
  <c r="N20" i="10" s="1"/>
  <c r="M92" i="10"/>
  <c r="N92" i="10" s="1"/>
  <c r="M56" i="10"/>
  <c r="N56" i="10" s="1"/>
  <c r="M36" i="10"/>
  <c r="N36" i="10" s="1"/>
  <c r="M104" i="10"/>
  <c r="N104" i="10" s="1"/>
  <c r="N103" i="10"/>
  <c r="M72" i="10"/>
  <c r="N72" i="10" s="1"/>
  <c r="M52" i="10"/>
  <c r="N52" i="10" s="1"/>
  <c r="N51" i="10"/>
  <c r="M40" i="10"/>
  <c r="M130" i="10"/>
  <c r="M111" i="10"/>
  <c r="M90" i="10"/>
  <c r="N90" i="10" s="1"/>
  <c r="M75" i="10"/>
  <c r="M66" i="10"/>
  <c r="N66" i="10" s="1"/>
  <c r="M27" i="10"/>
  <c r="M22" i="10"/>
  <c r="M91" i="10"/>
  <c r="N91" i="10" s="1"/>
  <c r="M58" i="10"/>
  <c r="N58" i="10" s="1"/>
  <c r="M35" i="10"/>
  <c r="N35" i="10" s="1"/>
  <c r="M103" i="10"/>
  <c r="M125" i="10"/>
  <c r="N125" i="10" s="1"/>
  <c r="M99" i="10"/>
  <c r="M81" i="10"/>
  <c r="N81" i="10" s="1"/>
  <c r="M67" i="10"/>
  <c r="N67" i="10" s="1"/>
  <c r="M33" i="10"/>
  <c r="N33" i="10" s="1"/>
  <c r="M23" i="10"/>
  <c r="M117" i="10"/>
  <c r="N117" i="10" s="1"/>
  <c r="M83" i="10"/>
  <c r="N83" i="10" s="1"/>
  <c r="M49" i="10"/>
  <c r="N49" i="10" s="1"/>
  <c r="M119" i="10"/>
  <c r="N119" i="10" s="1"/>
  <c r="M109" i="10"/>
  <c r="N109" i="10" s="1"/>
  <c r="M114" i="10"/>
  <c r="N114" i="10" s="1"/>
  <c r="M87" i="10"/>
  <c r="N87" i="10" s="1"/>
  <c r="M82" i="10"/>
  <c r="N82" i="10" s="1"/>
  <c r="M79" i="10"/>
  <c r="N79" i="10" s="1"/>
  <c r="M65" i="10"/>
  <c r="N65" i="10" s="1"/>
  <c r="M37" i="10"/>
  <c r="N37" i="10" s="1"/>
  <c r="M73" i="10"/>
  <c r="N73" i="10" s="1"/>
  <c r="M60" i="10"/>
  <c r="M41" i="10"/>
  <c r="N41" i="10" s="1"/>
  <c r="M78" i="10"/>
  <c r="N78" i="10" s="1"/>
  <c r="M32" i="10"/>
  <c r="N32" i="10" s="1"/>
  <c r="M21" i="10"/>
  <c r="N21" i="10" s="1"/>
  <c r="M85" i="10"/>
  <c r="N85" i="10" s="1"/>
  <c r="M84" i="10"/>
  <c r="N84" i="10" s="1"/>
  <c r="M122" i="10"/>
  <c r="N122" i="10" s="1"/>
  <c r="M107" i="10"/>
  <c r="N107" i="10" s="1"/>
  <c r="M105" i="10"/>
  <c r="N105" i="10" s="1"/>
  <c r="M74" i="10"/>
  <c r="N74" i="10" s="1"/>
  <c r="N61" i="10"/>
  <c r="M51" i="10"/>
  <c r="M42" i="10"/>
  <c r="N42" i="10" s="1"/>
  <c r="N130" i="10"/>
  <c r="M113" i="10"/>
  <c r="M63" i="10"/>
  <c r="N63" i="10" s="1"/>
  <c r="M34" i="10"/>
  <c r="N34" i="10" s="1"/>
  <c r="M31" i="10"/>
  <c r="N31" i="10" s="1"/>
  <c r="M116" i="10"/>
  <c r="N116" i="10" s="1"/>
  <c r="M129" i="10"/>
  <c r="N129" i="10" s="1"/>
  <c r="M102" i="10"/>
  <c r="N102" i="10" s="1"/>
  <c r="M77" i="10"/>
  <c r="M30" i="10"/>
  <c r="N30" i="10" s="1"/>
  <c r="M19" i="10"/>
  <c r="N19" i="10" s="1"/>
  <c r="M118" i="10"/>
  <c r="N118" i="10" s="1"/>
  <c r="M115" i="10"/>
  <c r="N115" i="10" s="1"/>
  <c r="M57" i="10"/>
  <c r="N57" i="10" s="1"/>
  <c r="N48" i="10"/>
  <c r="M121" i="10"/>
  <c r="N121" i="10" s="1"/>
  <c r="M120" i="10"/>
  <c r="M95" i="10"/>
  <c r="N95" i="10" s="1"/>
  <c r="M62" i="10"/>
  <c r="N62" i="10" s="1"/>
  <c r="N88" i="10"/>
  <c r="M70" i="10"/>
  <c r="N70" i="10" s="1"/>
  <c r="N54" i="10"/>
  <c r="M53" i="10"/>
  <c r="N53" i="10" s="1"/>
  <c r="N44" i="10"/>
  <c r="M43" i="10"/>
  <c r="N43" i="10" s="1"/>
  <c r="M123" i="10"/>
  <c r="N123" i="10" s="1"/>
  <c r="M93" i="10"/>
  <c r="N93" i="10" s="1"/>
  <c r="M50" i="10"/>
  <c r="N50" i="10" s="1"/>
  <c r="M98" i="10"/>
  <c r="N98" i="10" s="1"/>
  <c r="M54" i="10"/>
  <c r="N45" i="10"/>
  <c r="M39" i="10"/>
  <c r="M124" i="10"/>
  <c r="M68" i="10"/>
  <c r="N68" i="10" s="1"/>
  <c r="M25" i="10"/>
  <c r="N22" i="10"/>
  <c r="M94" i="10"/>
  <c r="N94" i="10" s="1"/>
  <c r="N120" i="10"/>
  <c r="M106" i="10"/>
  <c r="N106" i="10" s="1"/>
  <c r="M71" i="10"/>
  <c r="N71" i="10" s="1"/>
  <c r="M61" i="10"/>
  <c r="N60" i="10"/>
  <c r="M100" i="10"/>
  <c r="N100" i="10" s="1"/>
  <c r="M126" i="10"/>
  <c r="N126" i="10" s="1"/>
  <c r="M55" i="10"/>
  <c r="N55" i="10" s="1"/>
  <c r="M110" i="10"/>
  <c r="N110" i="10" s="1"/>
  <c r="M59" i="10"/>
  <c r="O159" i="7"/>
  <c r="M158" i="7"/>
  <c r="K157" i="7"/>
  <c r="Q156" i="7"/>
  <c r="O155" i="7"/>
  <c r="M154" i="7"/>
  <c r="K153" i="7"/>
  <c r="Q152" i="7"/>
  <c r="O151" i="7"/>
  <c r="M150" i="7"/>
  <c r="K139" i="7"/>
  <c r="Q138" i="7"/>
  <c r="O137" i="7"/>
  <c r="M136" i="7"/>
  <c r="K135" i="7"/>
  <c r="Q124" i="7"/>
  <c r="O123" i="7"/>
  <c r="M122" i="7"/>
  <c r="K121" i="7"/>
  <c r="Q120" i="7"/>
  <c r="O109" i="7"/>
  <c r="M108" i="7"/>
  <c r="K107" i="7"/>
  <c r="Q106" i="7"/>
  <c r="O105" i="7"/>
  <c r="M99" i="7"/>
  <c r="K98" i="7"/>
  <c r="Q97" i="7"/>
  <c r="O96" i="7"/>
  <c r="M95" i="7"/>
  <c r="K94" i="7"/>
  <c r="Q93" i="7"/>
  <c r="O92" i="7"/>
  <c r="M91" i="7"/>
  <c r="K90" i="7"/>
  <c r="Q84" i="7"/>
  <c r="O83" i="7"/>
  <c r="M82" i="7"/>
  <c r="K81" i="7"/>
  <c r="Q80" i="7"/>
  <c r="O79" i="7"/>
  <c r="M78" i="7"/>
  <c r="K77" i="7"/>
  <c r="Q76" i="7"/>
  <c r="O75" i="7"/>
  <c r="M39" i="7"/>
  <c r="K38" i="7"/>
  <c r="Q37" i="7"/>
  <c r="O36" i="7"/>
  <c r="M35" i="7"/>
  <c r="K34" i="7"/>
  <c r="Q33" i="7"/>
  <c r="M31" i="7"/>
  <c r="M47" i="10"/>
  <c r="N47" i="10" s="1"/>
  <c r="N159" i="7"/>
  <c r="L158" i="7"/>
  <c r="P156" i="7"/>
  <c r="N155" i="7"/>
  <c r="L154" i="7"/>
  <c r="P152" i="7"/>
  <c r="N151" i="7"/>
  <c r="L150" i="7"/>
  <c r="P138" i="7"/>
  <c r="N137" i="7"/>
  <c r="L136" i="7"/>
  <c r="P124" i="7"/>
  <c r="N123" i="7"/>
  <c r="L122" i="7"/>
  <c r="P120" i="7"/>
  <c r="N109" i="7"/>
  <c r="L108" i="7"/>
  <c r="P106" i="7"/>
  <c r="N105" i="7"/>
  <c r="L99" i="7"/>
  <c r="P97" i="7"/>
  <c r="N96" i="7"/>
  <c r="L95" i="7"/>
  <c r="P93" i="7"/>
  <c r="N92" i="7"/>
  <c r="L91" i="7"/>
  <c r="P84" i="7"/>
  <c r="N83" i="7"/>
  <c r="L82" i="7"/>
  <c r="P80" i="7"/>
  <c r="N79" i="7"/>
  <c r="L78" i="7"/>
  <c r="P76" i="7"/>
  <c r="N75" i="7"/>
  <c r="L39" i="7"/>
  <c r="P37" i="7"/>
  <c r="M26" i="10"/>
  <c r="N26" i="10" s="1"/>
  <c r="M96" i="10"/>
  <c r="N96" i="10" s="1"/>
  <c r="N40" i="10"/>
  <c r="M159" i="7"/>
  <c r="K158" i="7"/>
  <c r="Q157" i="7"/>
  <c r="O156" i="7"/>
  <c r="M155" i="7"/>
  <c r="K154" i="7"/>
  <c r="Q153" i="7"/>
  <c r="O152" i="7"/>
  <c r="M151" i="7"/>
  <c r="K150" i="7"/>
  <c r="Q139" i="7"/>
  <c r="O138" i="7"/>
  <c r="M137" i="7"/>
  <c r="K136" i="7"/>
  <c r="Q135" i="7"/>
  <c r="O124" i="7"/>
  <c r="M123" i="7"/>
  <c r="K122" i="7"/>
  <c r="Q121" i="7"/>
  <c r="O120" i="7"/>
  <c r="M109" i="7"/>
  <c r="K108" i="7"/>
  <c r="Q107" i="7"/>
  <c r="O106" i="7"/>
  <c r="M105" i="7"/>
  <c r="K99" i="7"/>
  <c r="Q98" i="7"/>
  <c r="O97" i="7"/>
  <c r="M96" i="7"/>
  <c r="K95" i="7"/>
  <c r="Q94" i="7"/>
  <c r="O93" i="7"/>
  <c r="M92" i="7"/>
  <c r="K91" i="7"/>
  <c r="Q90" i="7"/>
  <c r="O84" i="7"/>
  <c r="M83" i="7"/>
  <c r="K82" i="7"/>
  <c r="Q81" i="7"/>
  <c r="O80" i="7"/>
  <c r="M29" i="10"/>
  <c r="M24" i="10"/>
  <c r="M48" i="10"/>
  <c r="M38" i="10"/>
  <c r="N38" i="10" s="1"/>
  <c r="L159" i="7"/>
  <c r="P157" i="7"/>
  <c r="N156" i="7"/>
  <c r="L155" i="7"/>
  <c r="P153" i="7"/>
  <c r="N152" i="7"/>
  <c r="L151" i="7"/>
  <c r="P139" i="7"/>
  <c r="N138" i="7"/>
  <c r="L137" i="7"/>
  <c r="P135" i="7"/>
  <c r="N124" i="7"/>
  <c r="L123" i="7"/>
  <c r="P121" i="7"/>
  <c r="N120" i="7"/>
  <c r="L109" i="7"/>
  <c r="P107" i="7"/>
  <c r="N106" i="7"/>
  <c r="L105" i="7"/>
  <c r="P98" i="7"/>
  <c r="N97" i="7"/>
  <c r="L96" i="7"/>
  <c r="P94" i="7"/>
  <c r="N93" i="7"/>
  <c r="L92" i="7"/>
  <c r="P90" i="7"/>
  <c r="N84" i="7"/>
  <c r="M101" i="10"/>
  <c r="M69" i="10"/>
  <c r="N69" i="10" s="1"/>
  <c r="M108" i="10"/>
  <c r="N108" i="10" s="1"/>
  <c r="M46" i="10"/>
  <c r="N46" i="10" s="1"/>
  <c r="K159" i="7"/>
  <c r="Q158" i="7"/>
  <c r="O157" i="7"/>
  <c r="M156" i="7"/>
  <c r="K155" i="7"/>
  <c r="Q154" i="7"/>
  <c r="O153" i="7"/>
  <c r="M152" i="7"/>
  <c r="K151" i="7"/>
  <c r="Q150" i="7"/>
  <c r="O139" i="7"/>
  <c r="M138" i="7"/>
  <c r="K137" i="7"/>
  <c r="Q136" i="7"/>
  <c r="O135" i="7"/>
  <c r="M124" i="7"/>
  <c r="K123" i="7"/>
  <c r="Q122" i="7"/>
  <c r="O121" i="7"/>
  <c r="M120" i="7"/>
  <c r="K109" i="7"/>
  <c r="Q108" i="7"/>
  <c r="O107" i="7"/>
  <c r="M106" i="7"/>
  <c r="K105" i="7"/>
  <c r="Q99" i="7"/>
  <c r="O98" i="7"/>
  <c r="M97" i="7"/>
  <c r="K96" i="7"/>
  <c r="Q95" i="7"/>
  <c r="O94" i="7"/>
  <c r="N158" i="7"/>
  <c r="Q155" i="7"/>
  <c r="N153" i="7"/>
  <c r="P150" i="7"/>
  <c r="L138" i="7"/>
  <c r="P123" i="7"/>
  <c r="M121" i="7"/>
  <c r="P108" i="7"/>
  <c r="L106" i="7"/>
  <c r="P96" i="7"/>
  <c r="M94" i="7"/>
  <c r="L93" i="7"/>
  <c r="K92" i="7"/>
  <c r="O91" i="7"/>
  <c r="O90" i="7"/>
  <c r="K83" i="7"/>
  <c r="N80" i="7"/>
  <c r="P77" i="7"/>
  <c r="M75" i="7"/>
  <c r="Q39" i="7"/>
  <c r="M38" i="7"/>
  <c r="O37" i="7"/>
  <c r="M36" i="7"/>
  <c r="N35" i="7"/>
  <c r="O34" i="7"/>
  <c r="O33" i="7"/>
  <c r="Q31" i="7"/>
  <c r="L30" i="7"/>
  <c r="P28" i="7"/>
  <c r="N27" i="7"/>
  <c r="L26" i="7"/>
  <c r="P24" i="7"/>
  <c r="N23" i="7"/>
  <c r="L22" i="7"/>
  <c r="P20" i="7"/>
  <c r="N144" i="7"/>
  <c r="L143" i="7"/>
  <c r="P141" i="7"/>
  <c r="N140" i="7"/>
  <c r="L114" i="7"/>
  <c r="P112" i="7"/>
  <c r="N111" i="7"/>
  <c r="L110" i="7"/>
  <c r="P103" i="7"/>
  <c r="N102" i="7"/>
  <c r="L101" i="7"/>
  <c r="P69" i="7"/>
  <c r="N68" i="7"/>
  <c r="L67" i="7"/>
  <c r="P65" i="7"/>
  <c r="N59" i="7"/>
  <c r="L58" i="7"/>
  <c r="P56" i="7"/>
  <c r="N55" i="7"/>
  <c r="L44" i="7"/>
  <c r="P42" i="7"/>
  <c r="N41" i="7"/>
  <c r="L40" i="7"/>
  <c r="P148" i="7"/>
  <c r="N147" i="7"/>
  <c r="L146" i="7"/>
  <c r="N134" i="7"/>
  <c r="L133" i="7"/>
  <c r="P131" i="7"/>
  <c r="N130" i="7"/>
  <c r="L129" i="7"/>
  <c r="P127" i="7"/>
  <c r="N126" i="7"/>
  <c r="L125" i="7"/>
  <c r="P118" i="7"/>
  <c r="N117" i="7"/>
  <c r="L116" i="7"/>
  <c r="P89" i="7"/>
  <c r="M86" i="10"/>
  <c r="N86" i="10" s="1"/>
  <c r="P155" i="7"/>
  <c r="M153" i="7"/>
  <c r="O150" i="7"/>
  <c r="K138" i="7"/>
  <c r="L121" i="7"/>
  <c r="O108" i="7"/>
  <c r="K106" i="7"/>
  <c r="L94" i="7"/>
  <c r="K93" i="7"/>
  <c r="N91" i="7"/>
  <c r="N90" i="7"/>
  <c r="M84" i="7"/>
  <c r="P81" i="7"/>
  <c r="M80" i="7"/>
  <c r="Q79" i="7"/>
  <c r="O77" i="7"/>
  <c r="L75" i="7"/>
  <c r="P39" i="7"/>
  <c r="L38" i="7"/>
  <c r="N37" i="7"/>
  <c r="L36" i="7"/>
  <c r="L35" i="7"/>
  <c r="N34" i="7"/>
  <c r="N33" i="7"/>
  <c r="P31" i="7"/>
  <c r="K30" i="7"/>
  <c r="Q29" i="7"/>
  <c r="O28" i="7"/>
  <c r="M27" i="7"/>
  <c r="K26" i="7"/>
  <c r="Q25" i="7"/>
  <c r="O24" i="7"/>
  <c r="M23" i="7"/>
  <c r="K22" i="7"/>
  <c r="Q21" i="7"/>
  <c r="O20" i="7"/>
  <c r="M144" i="7"/>
  <c r="K143" i="7"/>
  <c r="Q142" i="7"/>
  <c r="O141" i="7"/>
  <c r="M140" i="7"/>
  <c r="K114" i="7"/>
  <c r="Q113" i="7"/>
  <c r="O112" i="7"/>
  <c r="M111" i="7"/>
  <c r="K110" i="7"/>
  <c r="Q104" i="7"/>
  <c r="O103" i="7"/>
  <c r="M102" i="7"/>
  <c r="K101" i="7"/>
  <c r="Q100" i="7"/>
  <c r="O69" i="7"/>
  <c r="M68" i="7"/>
  <c r="K67" i="7"/>
  <c r="Q66" i="7"/>
  <c r="O65" i="7"/>
  <c r="M59" i="7"/>
  <c r="K58" i="7"/>
  <c r="Q57" i="7"/>
  <c r="O56" i="7"/>
  <c r="M55" i="7"/>
  <c r="K44" i="7"/>
  <c r="Q43" i="7"/>
  <c r="O42" i="7"/>
  <c r="M41" i="7"/>
  <c r="K40" i="7"/>
  <c r="Q149" i="7"/>
  <c r="O148" i="7"/>
  <c r="M147" i="7"/>
  <c r="K146" i="7"/>
  <c r="Q145" i="7"/>
  <c r="Q159" i="7"/>
  <c r="L153" i="7"/>
  <c r="N150" i="7"/>
  <c r="Q137" i="7"/>
  <c r="N135" i="7"/>
  <c r="P122" i="7"/>
  <c r="L120" i="7"/>
  <c r="N108" i="7"/>
  <c r="Q105" i="7"/>
  <c r="N98" i="7"/>
  <c r="P95" i="7"/>
  <c r="M90" i="7"/>
  <c r="L84" i="7"/>
  <c r="Q82" i="7"/>
  <c r="O81" i="7"/>
  <c r="L80" i="7"/>
  <c r="P79" i="7"/>
  <c r="N77" i="7"/>
  <c r="K75" i="7"/>
  <c r="O39" i="7"/>
  <c r="M37" i="7"/>
  <c r="K36" i="7"/>
  <c r="K35" i="7"/>
  <c r="M34" i="7"/>
  <c r="M33" i="7"/>
  <c r="O31" i="7"/>
  <c r="P29" i="7"/>
  <c r="N28" i="7"/>
  <c r="L27" i="7"/>
  <c r="P25" i="7"/>
  <c r="N24" i="7"/>
  <c r="L23" i="7"/>
  <c r="P21" i="7"/>
  <c r="N20" i="7"/>
  <c r="L144" i="7"/>
  <c r="P142" i="7"/>
  <c r="N141" i="7"/>
  <c r="L140" i="7"/>
  <c r="P113" i="7"/>
  <c r="N112" i="7"/>
  <c r="L111" i="7"/>
  <c r="P104" i="7"/>
  <c r="N103" i="7"/>
  <c r="L102" i="7"/>
  <c r="P100" i="7"/>
  <c r="N69" i="7"/>
  <c r="L68" i="7"/>
  <c r="P66" i="7"/>
  <c r="N65" i="7"/>
  <c r="L59" i="7"/>
  <c r="P57" i="7"/>
  <c r="N56" i="7"/>
  <c r="L55" i="7"/>
  <c r="P43" i="7"/>
  <c r="N42" i="7"/>
  <c r="L41" i="7"/>
  <c r="P149" i="7"/>
  <c r="N148" i="7"/>
  <c r="L147" i="7"/>
  <c r="P145" i="7"/>
  <c r="L134" i="7"/>
  <c r="P132" i="7"/>
  <c r="N131" i="7"/>
  <c r="L130" i="7"/>
  <c r="P128" i="7"/>
  <c r="N127" i="7"/>
  <c r="M127" i="10"/>
  <c r="N127" i="10" s="1"/>
  <c r="M80" i="10"/>
  <c r="N80" i="10" s="1"/>
  <c r="P159" i="7"/>
  <c r="N157" i="7"/>
  <c r="P154" i="7"/>
  <c r="L152" i="7"/>
  <c r="P137" i="7"/>
  <c r="M135" i="7"/>
  <c r="O122" i="7"/>
  <c r="K120" i="7"/>
  <c r="P105" i="7"/>
  <c r="M98" i="7"/>
  <c r="O95" i="7"/>
  <c r="L90" i="7"/>
  <c r="K84" i="7"/>
  <c r="P82" i="7"/>
  <c r="N81" i="7"/>
  <c r="K80" i="7"/>
  <c r="M79" i="7"/>
  <c r="Q78" i="7"/>
  <c r="M77" i="7"/>
  <c r="O76" i="7"/>
  <c r="N39" i="7"/>
  <c r="L37" i="7"/>
  <c r="L34" i="7"/>
  <c r="L33" i="7"/>
  <c r="N31" i="7"/>
  <c r="Q30" i="7"/>
  <c r="O29" i="7"/>
  <c r="M28" i="7"/>
  <c r="K27" i="7"/>
  <c r="Q26" i="7"/>
  <c r="O25" i="7"/>
  <c r="M24" i="7"/>
  <c r="K23" i="7"/>
  <c r="Q22" i="7"/>
  <c r="O21" i="7"/>
  <c r="M20" i="7"/>
  <c r="K144" i="7"/>
  <c r="Q143" i="7"/>
  <c r="O142" i="7"/>
  <c r="M141" i="7"/>
  <c r="K140" i="7"/>
  <c r="Q114" i="7"/>
  <c r="O113" i="7"/>
  <c r="M112" i="7"/>
  <c r="K111" i="7"/>
  <c r="Q110" i="7"/>
  <c r="O104" i="7"/>
  <c r="M103" i="7"/>
  <c r="K102" i="7"/>
  <c r="Q101" i="7"/>
  <c r="O100" i="7"/>
  <c r="M69" i="7"/>
  <c r="K68" i="7"/>
  <c r="Q67" i="7"/>
  <c r="O66" i="7"/>
  <c r="M65" i="7"/>
  <c r="K59" i="7"/>
  <c r="Q58" i="7"/>
  <c r="O57" i="7"/>
  <c r="M56" i="7"/>
  <c r="K55" i="7"/>
  <c r="Q44" i="7"/>
  <c r="O43" i="7"/>
  <c r="M42" i="7"/>
  <c r="K41" i="7"/>
  <c r="Q40" i="7"/>
  <c r="O149" i="7"/>
  <c r="M148" i="7"/>
  <c r="K147" i="7"/>
  <c r="Q146" i="7"/>
  <c r="O145" i="7"/>
  <c r="K134" i="7"/>
  <c r="Q133" i="7"/>
  <c r="O132" i="7"/>
  <c r="M131" i="7"/>
  <c r="K130" i="7"/>
  <c r="Q129" i="7"/>
  <c r="O128" i="7"/>
  <c r="M127" i="7"/>
  <c r="K126" i="7"/>
  <c r="Q125" i="7"/>
  <c r="O119" i="7"/>
  <c r="M118" i="7"/>
  <c r="K117" i="7"/>
  <c r="Q116" i="7"/>
  <c r="O115" i="7"/>
  <c r="M89" i="7"/>
  <c r="K88" i="7"/>
  <c r="Q87" i="7"/>
  <c r="N124" i="10"/>
  <c r="M89" i="10"/>
  <c r="N89" i="10" s="1"/>
  <c r="M157" i="7"/>
  <c r="O154" i="7"/>
  <c r="K152" i="7"/>
  <c r="L135" i="7"/>
  <c r="N122" i="7"/>
  <c r="L98" i="7"/>
  <c r="N95" i="7"/>
  <c r="M97" i="10"/>
  <c r="N97" i="10" s="1"/>
  <c r="L157" i="7"/>
  <c r="N154" i="7"/>
  <c r="Q151" i="7"/>
  <c r="N139" i="7"/>
  <c r="P136" i="7"/>
  <c r="L124" i="7"/>
  <c r="Q109" i="7"/>
  <c r="N107" i="7"/>
  <c r="P99" i="7"/>
  <c r="L97" i="7"/>
  <c r="Q83" i="7"/>
  <c r="N82" i="7"/>
  <c r="L81" i="7"/>
  <c r="K79" i="7"/>
  <c r="O78" i="7"/>
  <c r="M76" i="7"/>
  <c r="P38" i="7"/>
  <c r="Q36" i="7"/>
  <c r="Q35" i="7"/>
  <c r="Q123" i="7"/>
  <c r="P91" i="7"/>
  <c r="N78" i="7"/>
  <c r="L76" i="7"/>
  <c r="P75" i="7"/>
  <c r="P33" i="7"/>
  <c r="M26" i="7"/>
  <c r="M25" i="7"/>
  <c r="L24" i="7"/>
  <c r="O23" i="7"/>
  <c r="P22" i="7"/>
  <c r="K142" i="7"/>
  <c r="N114" i="7"/>
  <c r="N113" i="7"/>
  <c r="Q112" i="7"/>
  <c r="P111" i="7"/>
  <c r="L100" i="7"/>
  <c r="K69" i="7"/>
  <c r="O67" i="7"/>
  <c r="Q59" i="7"/>
  <c r="M44" i="7"/>
  <c r="M43" i="7"/>
  <c r="L42" i="7"/>
  <c r="O41" i="7"/>
  <c r="P40" i="7"/>
  <c r="K145" i="7"/>
  <c r="O133" i="7"/>
  <c r="M132" i="7"/>
  <c r="Q130" i="7"/>
  <c r="N129" i="7"/>
  <c r="L128" i="7"/>
  <c r="P126" i="7"/>
  <c r="N119" i="7"/>
  <c r="L117" i="7"/>
  <c r="O116" i="7"/>
  <c r="K115" i="7"/>
  <c r="N89" i="7"/>
  <c r="P86" i="7"/>
  <c r="N85" i="7"/>
  <c r="L74" i="7"/>
  <c r="P72" i="7"/>
  <c r="N71" i="7"/>
  <c r="L70" i="7"/>
  <c r="P63" i="7"/>
  <c r="N62" i="7"/>
  <c r="L61" i="7"/>
  <c r="P54" i="7"/>
  <c r="N53" i="7"/>
  <c r="L52" i="7"/>
  <c r="P50" i="7"/>
  <c r="N49" i="7"/>
  <c r="L48" i="7"/>
  <c r="P46" i="7"/>
  <c r="N45" i="7"/>
  <c r="P151" i="7"/>
  <c r="P109" i="7"/>
  <c r="K97" i="7"/>
  <c r="K78" i="7"/>
  <c r="K76" i="7"/>
  <c r="Q34" i="7"/>
  <c r="K33" i="7"/>
  <c r="L25" i="7"/>
  <c r="K24" i="7"/>
  <c r="O22" i="7"/>
  <c r="Q144" i="7"/>
  <c r="M114" i="7"/>
  <c r="M113" i="7"/>
  <c r="L112" i="7"/>
  <c r="O111" i="7"/>
  <c r="P110" i="7"/>
  <c r="K100" i="7"/>
  <c r="N67" i="7"/>
  <c r="N66" i="7"/>
  <c r="Q65" i="7"/>
  <c r="P59" i="7"/>
  <c r="L43" i="7"/>
  <c r="K42" i="7"/>
  <c r="O40" i="7"/>
  <c r="Q147" i="7"/>
  <c r="Q134" i="7"/>
  <c r="N133" i="7"/>
  <c r="L132" i="7"/>
  <c r="P130" i="7"/>
  <c r="M129" i="7"/>
  <c r="K128" i="7"/>
  <c r="O126" i="7"/>
  <c r="M119" i="7"/>
  <c r="Q118" i="7"/>
  <c r="N116" i="7"/>
  <c r="L89" i="7"/>
  <c r="Q88" i="7"/>
  <c r="O86" i="7"/>
  <c r="M85" i="7"/>
  <c r="K74" i="7"/>
  <c r="Q73" i="7"/>
  <c r="O72" i="7"/>
  <c r="M71" i="7"/>
  <c r="K70" i="7"/>
  <c r="Q64" i="7"/>
  <c r="O63" i="7"/>
  <c r="M62" i="7"/>
  <c r="K61" i="7"/>
  <c r="M45" i="10"/>
  <c r="K124" i="7"/>
  <c r="P34" i="7"/>
  <c r="P30" i="7"/>
  <c r="K25" i="7"/>
  <c r="N22" i="7"/>
  <c r="N21" i="7"/>
  <c r="Q20" i="7"/>
  <c r="P144" i="7"/>
  <c r="L113" i="7"/>
  <c r="K112" i="7"/>
  <c r="O110" i="7"/>
  <c r="Q102" i="7"/>
  <c r="M67" i="7"/>
  <c r="M66" i="7"/>
  <c r="L65" i="7"/>
  <c r="O59" i="7"/>
  <c r="P58" i="7"/>
  <c r="K43" i="7"/>
  <c r="N40" i="7"/>
  <c r="N149" i="7"/>
  <c r="Q148" i="7"/>
  <c r="P147" i="7"/>
  <c r="P134" i="7"/>
  <c r="M133" i="7"/>
  <c r="K132" i="7"/>
  <c r="O130" i="7"/>
  <c r="K129" i="7"/>
  <c r="Q127" i="7"/>
  <c r="M126" i="7"/>
  <c r="P125" i="7"/>
  <c r="L119" i="7"/>
  <c r="O118" i="7"/>
  <c r="M116" i="7"/>
  <c r="K89" i="7"/>
  <c r="P88" i="7"/>
  <c r="P87" i="7"/>
  <c r="N86" i="7"/>
  <c r="L85" i="7"/>
  <c r="P73" i="7"/>
  <c r="N72" i="7"/>
  <c r="L71" i="7"/>
  <c r="P64" i="7"/>
  <c r="N63" i="7"/>
  <c r="L62" i="7"/>
  <c r="P60" i="7"/>
  <c r="N54" i="7"/>
  <c r="L53" i="7"/>
  <c r="P51" i="7"/>
  <c r="N50" i="7"/>
  <c r="L49" i="7"/>
  <c r="P47" i="7"/>
  <c r="N46" i="7"/>
  <c r="L45" i="7"/>
  <c r="O136" i="7"/>
  <c r="O99" i="7"/>
  <c r="O82" i="7"/>
  <c r="M81" i="7"/>
  <c r="P36" i="7"/>
  <c r="P35" i="7"/>
  <c r="L31" i="7"/>
  <c r="O30" i="7"/>
  <c r="Q27" i="7"/>
  <c r="M22" i="7"/>
  <c r="M21" i="7"/>
  <c r="L20" i="7"/>
  <c r="O144" i="7"/>
  <c r="P143" i="7"/>
  <c r="K113" i="7"/>
  <c r="N110" i="7"/>
  <c r="N104" i="7"/>
  <c r="Q103" i="7"/>
  <c r="P102" i="7"/>
  <c r="L66" i="7"/>
  <c r="K65" i="7"/>
  <c r="O58" i="7"/>
  <c r="Q55" i="7"/>
  <c r="M40" i="7"/>
  <c r="M149" i="7"/>
  <c r="L148" i="7"/>
  <c r="O147" i="7"/>
  <c r="P146" i="7"/>
  <c r="O134" i="7"/>
  <c r="K133" i="7"/>
  <c r="Q131" i="7"/>
  <c r="M130" i="7"/>
  <c r="O127" i="7"/>
  <c r="L126" i="7"/>
  <c r="O125" i="7"/>
  <c r="K119" i="7"/>
  <c r="N118" i="7"/>
  <c r="K116" i="7"/>
  <c r="Q115" i="7"/>
  <c r="O88" i="7"/>
  <c r="O87" i="7"/>
  <c r="M86" i="7"/>
  <c r="K85" i="7"/>
  <c r="Q74" i="7"/>
  <c r="O73" i="7"/>
  <c r="M72" i="7"/>
  <c r="K71" i="7"/>
  <c r="Q70" i="7"/>
  <c r="O64" i="7"/>
  <c r="M63" i="7"/>
  <c r="K62" i="7"/>
  <c r="Q61" i="7"/>
  <c r="O60" i="7"/>
  <c r="M54" i="7"/>
  <c r="K53" i="7"/>
  <c r="Q52" i="7"/>
  <c r="O51" i="7"/>
  <c r="M50" i="7"/>
  <c r="K49" i="7"/>
  <c r="Q48" i="7"/>
  <c r="O47" i="7"/>
  <c r="M46" i="7"/>
  <c r="K45" i="7"/>
  <c r="L156" i="7"/>
  <c r="N136" i="7"/>
  <c r="N99" i="7"/>
  <c r="K37" i="7"/>
  <c r="N36" i="7"/>
  <c r="O35" i="7"/>
  <c r="K31" i="7"/>
  <c r="N30" i="7"/>
  <c r="N29" i="7"/>
  <c r="Q28" i="7"/>
  <c r="P27" i="7"/>
  <c r="L21" i="7"/>
  <c r="K20" i="7"/>
  <c r="O143" i="7"/>
  <c r="Q140" i="7"/>
  <c r="M110" i="7"/>
  <c r="M104" i="7"/>
  <c r="L103" i="7"/>
  <c r="O102" i="7"/>
  <c r="P101" i="7"/>
  <c r="K66" i="7"/>
  <c r="N58" i="7"/>
  <c r="N57" i="7"/>
  <c r="Q56" i="7"/>
  <c r="P55" i="7"/>
  <c r="L149" i="7"/>
  <c r="K148" i="7"/>
  <c r="O146" i="7"/>
  <c r="M134" i="7"/>
  <c r="O131" i="7"/>
  <c r="L127" i="7"/>
  <c r="N125" i="7"/>
  <c r="L118" i="7"/>
  <c r="Q117" i="7"/>
  <c r="P115" i="7"/>
  <c r="N88" i="7"/>
  <c r="N87" i="7"/>
  <c r="L86" i="7"/>
  <c r="P74" i="7"/>
  <c r="N73" i="7"/>
  <c r="L72" i="7"/>
  <c r="P70" i="7"/>
  <c r="N64" i="7"/>
  <c r="L63" i="7"/>
  <c r="P61" i="7"/>
  <c r="N60" i="7"/>
  <c r="L54" i="7"/>
  <c r="P52" i="7"/>
  <c r="N51" i="7"/>
  <c r="L50" i="7"/>
  <c r="P48" i="7"/>
  <c r="N47" i="7"/>
  <c r="L46" i="7"/>
  <c r="P158" i="7"/>
  <c r="K156" i="7"/>
  <c r="Q38" i="7"/>
  <c r="M30" i="7"/>
  <c r="M29" i="7"/>
  <c r="L28" i="7"/>
  <c r="O27" i="7"/>
  <c r="P26" i="7"/>
  <c r="K21" i="7"/>
  <c r="N143" i="7"/>
  <c r="N142" i="7"/>
  <c r="Q141" i="7"/>
  <c r="P140" i="7"/>
  <c r="L104" i="7"/>
  <c r="K103" i="7"/>
  <c r="O101" i="7"/>
  <c r="Q68" i="7"/>
  <c r="M58" i="7"/>
  <c r="M57" i="7"/>
  <c r="L56" i="7"/>
  <c r="O55" i="7"/>
  <c r="P44" i="7"/>
  <c r="K149" i="7"/>
  <c r="N146" i="7"/>
  <c r="N145" i="7"/>
  <c r="L131" i="7"/>
  <c r="Q128" i="7"/>
  <c r="K127" i="7"/>
  <c r="M125" i="7"/>
  <c r="K118" i="7"/>
  <c r="P117" i="7"/>
  <c r="N115" i="7"/>
  <c r="M88" i="7"/>
  <c r="M87" i="7"/>
  <c r="K86" i="7"/>
  <c r="Q85" i="7"/>
  <c r="O74" i="7"/>
  <c r="M73" i="7"/>
  <c r="K72" i="7"/>
  <c r="Q71" i="7"/>
  <c r="O70" i="7"/>
  <c r="M64" i="7"/>
  <c r="K63" i="7"/>
  <c r="Q62" i="7"/>
  <c r="O61" i="7"/>
  <c r="M60" i="7"/>
  <c r="K54" i="7"/>
  <c r="Q53" i="7"/>
  <c r="O52" i="7"/>
  <c r="M51" i="7"/>
  <c r="K50" i="7"/>
  <c r="Q49" i="7"/>
  <c r="O48" i="7"/>
  <c r="M47" i="7"/>
  <c r="K46" i="7"/>
  <c r="Q45" i="7"/>
  <c r="O158" i="7"/>
  <c r="M139" i="7"/>
  <c r="M107" i="7"/>
  <c r="N94" i="7"/>
  <c r="M93" i="7"/>
  <c r="Q92" i="7"/>
  <c r="P83" i="7"/>
  <c r="Q77" i="7"/>
  <c r="K39" i="7"/>
  <c r="O38" i="7"/>
  <c r="L29" i="7"/>
  <c r="K28" i="7"/>
  <c r="O26" i="7"/>
  <c r="Q23" i="7"/>
  <c r="M143" i="7"/>
  <c r="M142" i="7"/>
  <c r="L141" i="7"/>
  <c r="O140" i="7"/>
  <c r="P114" i="7"/>
  <c r="K104" i="7"/>
  <c r="N101" i="7"/>
  <c r="N100" i="7"/>
  <c r="Q69" i="7"/>
  <c r="P68" i="7"/>
  <c r="L57" i="7"/>
  <c r="K56" i="7"/>
  <c r="O44" i="7"/>
  <c r="Q41" i="7"/>
  <c r="M146" i="7"/>
  <c r="M145" i="7"/>
  <c r="Q132" i="7"/>
  <c r="K131" i="7"/>
  <c r="P129" i="7"/>
  <c r="N128" i="7"/>
  <c r="K125" i="7"/>
  <c r="Q119" i="7"/>
  <c r="O117" i="7"/>
  <c r="M115" i="7"/>
  <c r="Q89" i="7"/>
  <c r="L88" i="7"/>
  <c r="L87" i="7"/>
  <c r="P85" i="7"/>
  <c r="N74" i="7"/>
  <c r="L73" i="7"/>
  <c r="P71" i="7"/>
  <c r="N70" i="7"/>
  <c r="L64" i="7"/>
  <c r="P62" i="7"/>
  <c r="N61" i="7"/>
  <c r="L60" i="7"/>
  <c r="P53" i="7"/>
  <c r="N52" i="7"/>
  <c r="L51" i="7"/>
  <c r="P49" i="7"/>
  <c r="N48" i="7"/>
  <c r="L47" i="7"/>
  <c r="P45" i="7"/>
  <c r="L139" i="7"/>
  <c r="N121" i="7"/>
  <c r="L107" i="7"/>
  <c r="Q96" i="7"/>
  <c r="P92" i="7"/>
  <c r="Q91" i="7"/>
  <c r="L83" i="7"/>
  <c r="L79" i="7"/>
  <c r="P78" i="7"/>
  <c r="L77" i="7"/>
  <c r="N76" i="7"/>
  <c r="Q75" i="7"/>
  <c r="N38" i="7"/>
  <c r="K29" i="7"/>
  <c r="N26" i="7"/>
  <c r="N25" i="7"/>
  <c r="Q24" i="7"/>
  <c r="P23" i="7"/>
  <c r="L142" i="7"/>
  <c r="K141" i="7"/>
  <c r="O114" i="7"/>
  <c r="Q111" i="7"/>
  <c r="M101" i="7"/>
  <c r="M100" i="7"/>
  <c r="L69" i="7"/>
  <c r="O68" i="7"/>
  <c r="P67" i="7"/>
  <c r="K57" i="7"/>
  <c r="N44" i="7"/>
  <c r="N43" i="7"/>
  <c r="Q42" i="7"/>
  <c r="P41" i="7"/>
  <c r="L145" i="7"/>
  <c r="P133" i="7"/>
  <c r="N132" i="7"/>
  <c r="O129" i="7"/>
  <c r="M128" i="7"/>
  <c r="Q126" i="7"/>
  <c r="P119" i="7"/>
  <c r="M117" i="7"/>
  <c r="P116" i="7"/>
  <c r="L115" i="7"/>
  <c r="O89" i="7"/>
  <c r="K87" i="7"/>
  <c r="Q86" i="7"/>
  <c r="O85" i="7"/>
  <c r="M74" i="7"/>
  <c r="K73" i="7"/>
  <c r="Q72" i="7"/>
  <c r="O71" i="7"/>
  <c r="M70" i="7"/>
  <c r="K64" i="7"/>
  <c r="Q63" i="7"/>
  <c r="M61" i="7"/>
  <c r="K52" i="7"/>
  <c r="K48" i="7"/>
  <c r="AK408" i="5"/>
  <c r="AC408" i="5"/>
  <c r="U408" i="5"/>
  <c r="AJ407" i="5"/>
  <c r="T407" i="5"/>
  <c r="AI420" i="5"/>
  <c r="S420" i="5"/>
  <c r="AH419" i="5"/>
  <c r="Z419" i="5"/>
  <c r="AF417" i="5"/>
  <c r="X417" i="5"/>
  <c r="W416" i="5"/>
  <c r="AD415" i="5"/>
  <c r="AG415" i="5" s="1"/>
  <c r="V415" i="5"/>
  <c r="AK414" i="5"/>
  <c r="AC414" i="5"/>
  <c r="U414" i="5"/>
  <c r="AJ413" i="5"/>
  <c r="T413" i="5"/>
  <c r="F156" i="7" s="1"/>
  <c r="AI412" i="5"/>
  <c r="S412" i="5"/>
  <c r="AH411" i="5"/>
  <c r="Z411" i="5"/>
  <c r="AF409" i="5"/>
  <c r="X409" i="5"/>
  <c r="W394" i="5"/>
  <c r="AD393" i="5"/>
  <c r="AG393" i="5" s="1"/>
  <c r="V393" i="5"/>
  <c r="AK406" i="5"/>
  <c r="AC406" i="5"/>
  <c r="U406" i="5"/>
  <c r="AJ405" i="5"/>
  <c r="T405" i="5"/>
  <c r="AI404" i="5"/>
  <c r="S404" i="5"/>
  <c r="AH403" i="5"/>
  <c r="Z403" i="5"/>
  <c r="AF401" i="5"/>
  <c r="X401" i="5"/>
  <c r="W400" i="5"/>
  <c r="H123" i="10" s="1"/>
  <c r="AD399" i="5"/>
  <c r="AG399" i="5" s="1"/>
  <c r="V399" i="5"/>
  <c r="AK398" i="5"/>
  <c r="AC398" i="5"/>
  <c r="U398" i="5"/>
  <c r="AJ397" i="5"/>
  <c r="T397" i="5"/>
  <c r="F150" i="7" s="1"/>
  <c r="AI396" i="5"/>
  <c r="S396" i="5"/>
  <c r="AH395" i="5"/>
  <c r="Z395" i="5"/>
  <c r="AF351" i="5"/>
  <c r="X351" i="5"/>
  <c r="W364" i="5"/>
  <c r="H114" i="10" s="1"/>
  <c r="AD363" i="5"/>
  <c r="AG363" i="5" s="1"/>
  <c r="V363" i="5"/>
  <c r="AK362" i="5"/>
  <c r="AC362" i="5"/>
  <c r="U362" i="5"/>
  <c r="AJ361" i="5"/>
  <c r="T361" i="5"/>
  <c r="F138" i="7" s="1"/>
  <c r="AI360" i="5"/>
  <c r="S360" i="5"/>
  <c r="AH359" i="5"/>
  <c r="Z359" i="5"/>
  <c r="AF357" i="5"/>
  <c r="X357" i="5"/>
  <c r="W356" i="5"/>
  <c r="AD355" i="5"/>
  <c r="AG355" i="5" s="1"/>
  <c r="V355" i="5"/>
  <c r="AK354" i="5"/>
  <c r="AC354" i="5"/>
  <c r="U354" i="5"/>
  <c r="AJ353" i="5"/>
  <c r="T353" i="5"/>
  <c r="AI310" i="5"/>
  <c r="S310" i="5"/>
  <c r="AH309" i="5"/>
  <c r="Z309" i="5"/>
  <c r="AF321" i="5"/>
  <c r="X321" i="5"/>
  <c r="W320" i="5"/>
  <c r="H101" i="10" s="1"/>
  <c r="AD319" i="5"/>
  <c r="AG319" i="5" s="1"/>
  <c r="V319" i="5"/>
  <c r="AK318" i="5"/>
  <c r="AC318" i="5"/>
  <c r="U318" i="5"/>
  <c r="AJ317" i="5"/>
  <c r="T317" i="5"/>
  <c r="F122" i="7" s="1"/>
  <c r="AI316" i="5"/>
  <c r="AA316" i="5"/>
  <c r="AL316" i="5" s="1"/>
  <c r="S316" i="5"/>
  <c r="AH315" i="5"/>
  <c r="Z315" i="5"/>
  <c r="AF313" i="5"/>
  <c r="X313" i="5"/>
  <c r="W312" i="5"/>
  <c r="AD311" i="5"/>
  <c r="AG311" i="5" s="1"/>
  <c r="V311" i="5"/>
  <c r="AK268" i="5"/>
  <c r="AC268" i="5"/>
  <c r="U268" i="5"/>
  <c r="AJ267" i="5"/>
  <c r="T267" i="5"/>
  <c r="AI280" i="5"/>
  <c r="S280" i="5"/>
  <c r="AH279" i="5"/>
  <c r="Z279" i="5"/>
  <c r="AF277" i="5"/>
  <c r="X277" i="5"/>
  <c r="W276" i="5"/>
  <c r="H88" i="10" s="1"/>
  <c r="AD275" i="5"/>
  <c r="AG275" i="5" s="1"/>
  <c r="V275" i="5"/>
  <c r="AK274" i="5"/>
  <c r="AC274" i="5"/>
  <c r="U274" i="5"/>
  <c r="AJ273" i="5"/>
  <c r="T273" i="5"/>
  <c r="AI272" i="5"/>
  <c r="S272" i="5"/>
  <c r="AH271" i="5"/>
  <c r="Z271" i="5"/>
  <c r="AF269" i="5"/>
  <c r="X269" i="5"/>
  <c r="W240" i="5"/>
  <c r="AD239" i="5"/>
  <c r="AG239" i="5" s="1"/>
  <c r="V239" i="5"/>
  <c r="AK252" i="5"/>
  <c r="AC252" i="5"/>
  <c r="U252" i="5"/>
  <c r="AJ251" i="5"/>
  <c r="T251" i="5"/>
  <c r="F99" i="7" s="1"/>
  <c r="AI250" i="5"/>
  <c r="S250" i="5"/>
  <c r="AH249" i="5"/>
  <c r="Z249" i="5"/>
  <c r="AF247" i="5"/>
  <c r="X247" i="5"/>
  <c r="W246" i="5"/>
  <c r="H79" i="10" s="1"/>
  <c r="AD245" i="5"/>
  <c r="AG245" i="5" s="1"/>
  <c r="V245" i="5"/>
  <c r="AK244" i="5"/>
  <c r="AC244" i="5"/>
  <c r="U244" i="5"/>
  <c r="AJ243" i="5"/>
  <c r="T243" i="5"/>
  <c r="F95" i="7" s="1"/>
  <c r="AI242" i="5"/>
  <c r="S242" i="5"/>
  <c r="AH241" i="5"/>
  <c r="Z241" i="5"/>
  <c r="AF225" i="5"/>
  <c r="X225" i="5"/>
  <c r="W238" i="5"/>
  <c r="H78" i="10" s="1"/>
  <c r="AD237" i="5"/>
  <c r="AG237" i="5" s="1"/>
  <c r="V237" i="5"/>
  <c r="AK236" i="5"/>
  <c r="AC236" i="5"/>
  <c r="U236" i="5"/>
  <c r="AJ235" i="5"/>
  <c r="T235" i="5"/>
  <c r="F93" i="7" s="1"/>
  <c r="AI234" i="5"/>
  <c r="S234" i="5"/>
  <c r="AH233" i="5"/>
  <c r="Z233" i="5"/>
  <c r="AF231" i="5"/>
  <c r="X231" i="5"/>
  <c r="W230" i="5"/>
  <c r="AD229" i="5"/>
  <c r="AG229" i="5" s="1"/>
  <c r="V229" i="5"/>
  <c r="AK228" i="5"/>
  <c r="AC228" i="5"/>
  <c r="U228" i="5"/>
  <c r="AJ227" i="5"/>
  <c r="T227" i="5"/>
  <c r="AI198" i="5"/>
  <c r="S198" i="5"/>
  <c r="AH197" i="5"/>
  <c r="Z197" i="5"/>
  <c r="AF209" i="5"/>
  <c r="X209" i="5"/>
  <c r="W208" i="5"/>
  <c r="H69" i="10" s="1"/>
  <c r="AD207" i="5"/>
  <c r="AG207" i="5" s="1"/>
  <c r="V207" i="5"/>
  <c r="AK206" i="5"/>
  <c r="AC206" i="5"/>
  <c r="U206" i="5"/>
  <c r="AJ205" i="5"/>
  <c r="T205" i="5"/>
  <c r="F82" i="7" s="1"/>
  <c r="AI204" i="5"/>
  <c r="S204" i="5"/>
  <c r="AH203" i="5"/>
  <c r="Z203" i="5"/>
  <c r="AF201" i="5"/>
  <c r="X201" i="5"/>
  <c r="W200" i="5"/>
  <c r="AD199" i="5"/>
  <c r="AG199" i="5" s="1"/>
  <c r="V199" i="5"/>
  <c r="AK184" i="5"/>
  <c r="AC184" i="5"/>
  <c r="U184" i="5"/>
  <c r="AJ183" i="5"/>
  <c r="T183" i="5"/>
  <c r="AI196" i="5"/>
  <c r="S196" i="5"/>
  <c r="AH195" i="5"/>
  <c r="Z195" i="5"/>
  <c r="AF193" i="5"/>
  <c r="X193" i="5"/>
  <c r="W192" i="5"/>
  <c r="H64" i="10" s="1"/>
  <c r="AD191" i="5"/>
  <c r="AG191" i="5" s="1"/>
  <c r="V191" i="5"/>
  <c r="AK190" i="5"/>
  <c r="AC190" i="5"/>
  <c r="U190" i="5"/>
  <c r="AJ189" i="5"/>
  <c r="T189" i="5"/>
  <c r="F76" i="7" s="1"/>
  <c r="AI188" i="5"/>
  <c r="S188" i="5"/>
  <c r="AH187" i="5"/>
  <c r="Z187" i="5"/>
  <c r="AF185" i="5"/>
  <c r="X185" i="5"/>
  <c r="W72" i="5"/>
  <c r="AD71" i="5"/>
  <c r="AG71" i="5" s="1"/>
  <c r="V71" i="5"/>
  <c r="AK84" i="5"/>
  <c r="AC84" i="5"/>
  <c r="U84" i="5"/>
  <c r="AJ83" i="5"/>
  <c r="T83" i="5"/>
  <c r="F39" i="7" s="1"/>
  <c r="AI82" i="5"/>
  <c r="S82" i="5"/>
  <c r="AH81" i="5"/>
  <c r="Z81" i="5"/>
  <c r="I38" i="7" s="1"/>
  <c r="AF79" i="5"/>
  <c r="X79" i="5"/>
  <c r="W78" i="5"/>
  <c r="AD77" i="5"/>
  <c r="AG77" i="5" s="1"/>
  <c r="V77" i="5"/>
  <c r="AK76" i="5"/>
  <c r="AC76" i="5"/>
  <c r="U76" i="5"/>
  <c r="AJ75" i="5"/>
  <c r="T75" i="5"/>
  <c r="F35" i="7" s="1"/>
  <c r="AI74" i="5"/>
  <c r="S74" i="5"/>
  <c r="AH73" i="5"/>
  <c r="Z73" i="5"/>
  <c r="AF57" i="5"/>
  <c r="X57" i="5"/>
  <c r="W70" i="5"/>
  <c r="H30" i="10" s="1"/>
  <c r="AD69" i="5"/>
  <c r="AG69" i="5" s="1"/>
  <c r="V69" i="5"/>
  <c r="AK68" i="5"/>
  <c r="AC68" i="5"/>
  <c r="U68" i="5"/>
  <c r="AJ67" i="5"/>
  <c r="T67" i="5"/>
  <c r="F33" i="7" s="1"/>
  <c r="AI66" i="5"/>
  <c r="S66" i="5"/>
  <c r="AH65" i="5"/>
  <c r="Z65" i="5"/>
  <c r="AF63" i="5"/>
  <c r="X63" i="5"/>
  <c r="W62" i="5"/>
  <c r="AD61" i="5"/>
  <c r="AG61" i="5" s="1"/>
  <c r="V61" i="5"/>
  <c r="AK60" i="5"/>
  <c r="AC60" i="5"/>
  <c r="U60" i="5"/>
  <c r="AJ59" i="5"/>
  <c r="T59" i="5"/>
  <c r="AI44" i="5"/>
  <c r="S44" i="5"/>
  <c r="AH43" i="5"/>
  <c r="AF55" i="5"/>
  <c r="X55" i="5"/>
  <c r="W54" i="5"/>
  <c r="H25" i="10" s="1"/>
  <c r="AD53" i="5"/>
  <c r="AG53" i="5" s="1"/>
  <c r="V53" i="5"/>
  <c r="AK52" i="5"/>
  <c r="AC52" i="5"/>
  <c r="U52" i="5"/>
  <c r="AJ51" i="5"/>
  <c r="T51" i="5"/>
  <c r="F27" i="7" s="1"/>
  <c r="AI50" i="5"/>
  <c r="S50" i="5"/>
  <c r="AF47" i="5"/>
  <c r="X47" i="5"/>
  <c r="W46" i="5"/>
  <c r="AD45" i="5"/>
  <c r="AG45" i="5" s="1"/>
  <c r="V45" i="5"/>
  <c r="AK30" i="5"/>
  <c r="AC30" i="5"/>
  <c r="U30" i="5"/>
  <c r="AJ29" i="5"/>
  <c r="T29" i="5"/>
  <c r="S42" i="5"/>
  <c r="H20" i="10"/>
  <c r="AK36" i="5"/>
  <c r="AC36" i="5"/>
  <c r="U36" i="5"/>
  <c r="AJ35" i="5"/>
  <c r="F21" i="7"/>
  <c r="AI34" i="5"/>
  <c r="S34" i="5"/>
  <c r="AH33" i="5"/>
  <c r="Z33" i="5"/>
  <c r="AF31" i="5"/>
  <c r="W366" i="5"/>
  <c r="AD365" i="5"/>
  <c r="AG365" i="5" s="1"/>
  <c r="V365" i="5"/>
  <c r="AK378" i="5"/>
  <c r="AC378" i="5"/>
  <c r="U378" i="5"/>
  <c r="AJ377" i="5"/>
  <c r="T377" i="5"/>
  <c r="F144" i="7" s="1"/>
  <c r="AI376" i="5"/>
  <c r="S376" i="5"/>
  <c r="AH375" i="5"/>
  <c r="Z375" i="5"/>
  <c r="AF373" i="5"/>
  <c r="X373" i="5"/>
  <c r="W372" i="5"/>
  <c r="H115" i="10" s="1"/>
  <c r="AD371" i="5"/>
  <c r="AG371" i="5" s="1"/>
  <c r="V371" i="5"/>
  <c r="AK370" i="5"/>
  <c r="AC370" i="5"/>
  <c r="U370" i="5"/>
  <c r="AJ369" i="5"/>
  <c r="T369" i="5"/>
  <c r="F140" i="7" s="1"/>
  <c r="AI368" i="5"/>
  <c r="S368" i="5"/>
  <c r="AH367" i="5"/>
  <c r="Z367" i="5"/>
  <c r="AF281" i="5"/>
  <c r="X281" i="5"/>
  <c r="W294" i="5"/>
  <c r="H94" i="10" s="1"/>
  <c r="AD293" i="5"/>
  <c r="AG293" i="5" s="1"/>
  <c r="V293" i="5"/>
  <c r="Q54" i="7"/>
  <c r="O53" i="7"/>
  <c r="Q50" i="7"/>
  <c r="O49" i="7"/>
  <c r="Q46" i="7"/>
  <c r="O45" i="7"/>
  <c r="AJ408" i="5"/>
  <c r="T408" i="5"/>
  <c r="AI407" i="5"/>
  <c r="S407" i="5"/>
  <c r="AH420" i="5"/>
  <c r="Z420" i="5"/>
  <c r="AF418" i="5"/>
  <c r="X418" i="5"/>
  <c r="W417" i="5"/>
  <c r="H158" i="7" s="1"/>
  <c r="AD416" i="5"/>
  <c r="AG416" i="5" s="1"/>
  <c r="V416" i="5"/>
  <c r="AK415" i="5"/>
  <c r="AC415" i="5"/>
  <c r="U415" i="5"/>
  <c r="AJ414" i="5"/>
  <c r="T414" i="5"/>
  <c r="F127" i="10" s="1"/>
  <c r="AI413" i="5"/>
  <c r="S413" i="5"/>
  <c r="AH412" i="5"/>
  <c r="Z412" i="5"/>
  <c r="AF410" i="5"/>
  <c r="X410" i="5"/>
  <c r="W409" i="5"/>
  <c r="AD394" i="5"/>
  <c r="AG394" i="5" s="1"/>
  <c r="V394" i="5"/>
  <c r="AK393" i="5"/>
  <c r="AC393" i="5"/>
  <c r="U393" i="5"/>
  <c r="AJ406" i="5"/>
  <c r="T406" i="5"/>
  <c r="F126" i="10" s="1"/>
  <c r="AI405" i="5"/>
  <c r="S405" i="5"/>
  <c r="AH404" i="5"/>
  <c r="Z404" i="5"/>
  <c r="AF402" i="5"/>
  <c r="X402" i="5"/>
  <c r="W401" i="5"/>
  <c r="H152" i="7" s="1"/>
  <c r="AD400" i="5"/>
  <c r="AG400" i="5" s="1"/>
  <c r="V400" i="5"/>
  <c r="AK399" i="5"/>
  <c r="AC399" i="5"/>
  <c r="U399" i="5"/>
  <c r="AJ398" i="5"/>
  <c r="T398" i="5"/>
  <c r="AI397" i="5"/>
  <c r="S397" i="5"/>
  <c r="AH396" i="5"/>
  <c r="Z396" i="5"/>
  <c r="AF352" i="5"/>
  <c r="X352" i="5"/>
  <c r="W351" i="5"/>
  <c r="AD364" i="5"/>
  <c r="AG364" i="5" s="1"/>
  <c r="V364" i="5"/>
  <c r="AK363" i="5"/>
  <c r="AC363" i="5"/>
  <c r="U363" i="5"/>
  <c r="AJ362" i="5"/>
  <c r="T362" i="5"/>
  <c r="F113" i="10" s="1"/>
  <c r="AI361" i="5"/>
  <c r="S361" i="5"/>
  <c r="AH360" i="5"/>
  <c r="Z360" i="5"/>
  <c r="AF358" i="5"/>
  <c r="X358" i="5"/>
  <c r="W357" i="5"/>
  <c r="H136" i="7" s="1"/>
  <c r="AD356" i="5"/>
  <c r="AG356" i="5" s="1"/>
  <c r="V356" i="5"/>
  <c r="AK355" i="5"/>
  <c r="AC355" i="5"/>
  <c r="U355" i="5"/>
  <c r="AJ354" i="5"/>
  <c r="T354" i="5"/>
  <c r="AI353" i="5"/>
  <c r="S353" i="5"/>
  <c r="AH310" i="5"/>
  <c r="Z310" i="5"/>
  <c r="AF322" i="5"/>
  <c r="X322" i="5"/>
  <c r="W321" i="5"/>
  <c r="H124" i="7" s="1"/>
  <c r="AD320" i="5"/>
  <c r="AG320" i="5" s="1"/>
  <c r="V320" i="5"/>
  <c r="AK319" i="5"/>
  <c r="AC319" i="5"/>
  <c r="U319" i="5"/>
  <c r="AJ318" i="5"/>
  <c r="T318" i="5"/>
  <c r="F100" i="10" s="1"/>
  <c r="AI317" i="5"/>
  <c r="S317" i="5"/>
  <c r="AH316" i="5"/>
  <c r="Z316" i="5"/>
  <c r="AF314" i="5"/>
  <c r="X314" i="5"/>
  <c r="W313" i="5"/>
  <c r="AD312" i="5"/>
  <c r="AG312" i="5" s="1"/>
  <c r="V312" i="5"/>
  <c r="AK311" i="5"/>
  <c r="AC311" i="5"/>
  <c r="U311" i="5"/>
  <c r="AJ268" i="5"/>
  <c r="T268" i="5"/>
  <c r="AI267" i="5"/>
  <c r="S267" i="5"/>
  <c r="AH280" i="5"/>
  <c r="Z280" i="5"/>
  <c r="AF278" i="5"/>
  <c r="X278" i="5"/>
  <c r="W277" i="5"/>
  <c r="H108" i="7" s="1"/>
  <c r="AD276" i="5"/>
  <c r="AG276" i="5" s="1"/>
  <c r="V276" i="5"/>
  <c r="AK275" i="5"/>
  <c r="AC275" i="5"/>
  <c r="U275" i="5"/>
  <c r="AJ274" i="5"/>
  <c r="T274" i="5"/>
  <c r="F87" i="10" s="1"/>
  <c r="AI273" i="5"/>
  <c r="S273" i="5"/>
  <c r="AH272" i="5"/>
  <c r="Z272" i="5"/>
  <c r="AF270" i="5"/>
  <c r="X270" i="5"/>
  <c r="W269" i="5"/>
  <c r="AD240" i="5"/>
  <c r="AG240" i="5" s="1"/>
  <c r="V240" i="5"/>
  <c r="AK239" i="5"/>
  <c r="AC239" i="5"/>
  <c r="U239" i="5"/>
  <c r="AJ252" i="5"/>
  <c r="T252" i="5"/>
  <c r="F82" i="10" s="1"/>
  <c r="AI251" i="5"/>
  <c r="S251" i="5"/>
  <c r="AH250" i="5"/>
  <c r="Z250" i="5"/>
  <c r="AF248" i="5"/>
  <c r="X248" i="5"/>
  <c r="W247" i="5"/>
  <c r="H97" i="7" s="1"/>
  <c r="AD246" i="5"/>
  <c r="AG246" i="5" s="1"/>
  <c r="V246" i="5"/>
  <c r="AK245" i="5"/>
  <c r="AC245" i="5"/>
  <c r="U245" i="5"/>
  <c r="AJ244" i="5"/>
  <c r="T244" i="5"/>
  <c r="AI243" i="5"/>
  <c r="S243" i="5"/>
  <c r="AH242" i="5"/>
  <c r="Z242" i="5"/>
  <c r="AF226" i="5"/>
  <c r="X226" i="5"/>
  <c r="W225" i="5"/>
  <c r="AD238" i="5"/>
  <c r="AG238" i="5" s="1"/>
  <c r="V238" i="5"/>
  <c r="AK237" i="5"/>
  <c r="AC237" i="5"/>
  <c r="U237" i="5"/>
  <c r="AJ236" i="5"/>
  <c r="T236" i="5"/>
  <c r="F77" i="10" s="1"/>
  <c r="AI235" i="5"/>
  <c r="S235" i="5"/>
  <c r="AH234" i="5"/>
  <c r="Z234" i="5"/>
  <c r="AF232" i="5"/>
  <c r="X232" i="5"/>
  <c r="W231" i="5"/>
  <c r="H91" i="7" s="1"/>
  <c r="AD230" i="5"/>
  <c r="AG230" i="5" s="1"/>
  <c r="V230" i="5"/>
  <c r="AK229" i="5"/>
  <c r="AC229" i="5"/>
  <c r="U229" i="5"/>
  <c r="AJ228" i="5"/>
  <c r="T228" i="5"/>
  <c r="AI227" i="5"/>
  <c r="S227" i="5"/>
  <c r="AH198" i="5"/>
  <c r="Z198" i="5"/>
  <c r="AF210" i="5"/>
  <c r="X210" i="5"/>
  <c r="W209" i="5"/>
  <c r="H84" i="7" s="1"/>
  <c r="AD208" i="5"/>
  <c r="AG208" i="5" s="1"/>
  <c r="V208" i="5"/>
  <c r="AK207" i="5"/>
  <c r="AC207" i="5"/>
  <c r="U207" i="5"/>
  <c r="AJ206" i="5"/>
  <c r="T206" i="5"/>
  <c r="F68" i="10" s="1"/>
  <c r="AI205" i="5"/>
  <c r="S205" i="5"/>
  <c r="AH204" i="5"/>
  <c r="Z204" i="5"/>
  <c r="AF202" i="5"/>
  <c r="X202" i="5"/>
  <c r="W201" i="5"/>
  <c r="H80" i="7" s="1"/>
  <c r="AD200" i="5"/>
  <c r="AG200" i="5" s="1"/>
  <c r="V200" i="5"/>
  <c r="AK199" i="5"/>
  <c r="AC199" i="5"/>
  <c r="U199" i="5"/>
  <c r="AJ184" i="5"/>
  <c r="T184" i="5"/>
  <c r="O54" i="7"/>
  <c r="M53" i="7"/>
  <c r="O50" i="7"/>
  <c r="M49" i="7"/>
  <c r="O46" i="7"/>
  <c r="M45" i="7"/>
  <c r="AI408" i="5"/>
  <c r="S408" i="5"/>
  <c r="AH407" i="5"/>
  <c r="Z407" i="5"/>
  <c r="AF419" i="5"/>
  <c r="X419" i="5"/>
  <c r="W418" i="5"/>
  <c r="H129" i="10" s="1"/>
  <c r="AD417" i="5"/>
  <c r="AG417" i="5" s="1"/>
  <c r="V417" i="5"/>
  <c r="AK416" i="5"/>
  <c r="AC416" i="5"/>
  <c r="U416" i="5"/>
  <c r="AJ415" i="5"/>
  <c r="T415" i="5"/>
  <c r="F157" i="7" s="1"/>
  <c r="AI414" i="5"/>
  <c r="S414" i="5"/>
  <c r="AH413" i="5"/>
  <c r="Z413" i="5"/>
  <c r="AF411" i="5"/>
  <c r="X411" i="5"/>
  <c r="W410" i="5"/>
  <c r="AD409" i="5"/>
  <c r="AG409" i="5" s="1"/>
  <c r="V409" i="5"/>
  <c r="AK394" i="5"/>
  <c r="AC394" i="5"/>
  <c r="U394" i="5"/>
  <c r="AJ393" i="5"/>
  <c r="T393" i="5"/>
  <c r="AI406" i="5"/>
  <c r="S406" i="5"/>
  <c r="AH405" i="5"/>
  <c r="Z405" i="5"/>
  <c r="AF403" i="5"/>
  <c r="X403" i="5"/>
  <c r="W402" i="5"/>
  <c r="H124" i="10" s="1"/>
  <c r="AD401" i="5"/>
  <c r="AG401" i="5" s="1"/>
  <c r="V401" i="5"/>
  <c r="AK400" i="5"/>
  <c r="AC400" i="5"/>
  <c r="U400" i="5"/>
  <c r="AJ399" i="5"/>
  <c r="T399" i="5"/>
  <c r="F151" i="7" s="1"/>
  <c r="AI398" i="5"/>
  <c r="S398" i="5"/>
  <c r="AH397" i="5"/>
  <c r="Z397" i="5"/>
  <c r="AF395" i="5"/>
  <c r="X395" i="5"/>
  <c r="W352" i="5"/>
  <c r="AD351" i="5"/>
  <c r="AG351" i="5" s="1"/>
  <c r="V351" i="5"/>
  <c r="AK364" i="5"/>
  <c r="AC364" i="5"/>
  <c r="U364" i="5"/>
  <c r="AJ363" i="5"/>
  <c r="T363" i="5"/>
  <c r="AI362" i="5"/>
  <c r="S362" i="5"/>
  <c r="AH361" i="5"/>
  <c r="Z361" i="5"/>
  <c r="AF359" i="5"/>
  <c r="X359" i="5"/>
  <c r="W358" i="5"/>
  <c r="H111" i="10" s="1"/>
  <c r="AD357" i="5"/>
  <c r="AG357" i="5" s="1"/>
  <c r="V357" i="5"/>
  <c r="AK356" i="5"/>
  <c r="AC356" i="5"/>
  <c r="U356" i="5"/>
  <c r="AJ355" i="5"/>
  <c r="AH408" i="5"/>
  <c r="Z408" i="5"/>
  <c r="AF420" i="5"/>
  <c r="X420" i="5"/>
  <c r="W419" i="5"/>
  <c r="H159" i="7" s="1"/>
  <c r="AD418" i="5"/>
  <c r="AG418" i="5" s="1"/>
  <c r="V418" i="5"/>
  <c r="AK417" i="5"/>
  <c r="AC417" i="5"/>
  <c r="U417" i="5"/>
  <c r="AJ416" i="5"/>
  <c r="T416" i="5"/>
  <c r="AI415" i="5"/>
  <c r="AA415" i="5"/>
  <c r="AL415" i="5" s="1"/>
  <c r="S415" i="5"/>
  <c r="AH414" i="5"/>
  <c r="Z414" i="5"/>
  <c r="AF412" i="5"/>
  <c r="X412" i="5"/>
  <c r="W411" i="5"/>
  <c r="H155" i="7" s="1"/>
  <c r="AD410" i="5"/>
  <c r="AG410" i="5" s="1"/>
  <c r="V410" i="5"/>
  <c r="AK409" i="5"/>
  <c r="AC409" i="5"/>
  <c r="U409" i="5"/>
  <c r="AJ394" i="5"/>
  <c r="T394" i="5"/>
  <c r="AI393" i="5"/>
  <c r="S393" i="5"/>
  <c r="AH406" i="5"/>
  <c r="Z406" i="5"/>
  <c r="AF404" i="5"/>
  <c r="X404" i="5"/>
  <c r="W403" i="5"/>
  <c r="H153" i="7" s="1"/>
  <c r="AD402" i="5"/>
  <c r="AG402" i="5" s="1"/>
  <c r="V402" i="5"/>
  <c r="AK401" i="5"/>
  <c r="AC401" i="5"/>
  <c r="U401" i="5"/>
  <c r="AJ400" i="5"/>
  <c r="T400" i="5"/>
  <c r="F123" i="10" s="1"/>
  <c r="AI399" i="5"/>
  <c r="S399" i="5"/>
  <c r="AH398" i="5"/>
  <c r="Z398" i="5"/>
  <c r="AF396" i="5"/>
  <c r="X396" i="5"/>
  <c r="W395" i="5"/>
  <c r="AD352" i="5"/>
  <c r="AG352" i="5" s="1"/>
  <c r="V352" i="5"/>
  <c r="AK351" i="5"/>
  <c r="AC351" i="5"/>
  <c r="U351" i="5"/>
  <c r="AJ364" i="5"/>
  <c r="T364" i="5"/>
  <c r="F114" i="10" s="1"/>
  <c r="AI363" i="5"/>
  <c r="S363" i="5"/>
  <c r="AH362" i="5"/>
  <c r="Z362" i="5"/>
  <c r="AF360" i="5"/>
  <c r="X360" i="5"/>
  <c r="W359" i="5"/>
  <c r="H137" i="7" s="1"/>
  <c r="AD358" i="5"/>
  <c r="AG358" i="5" s="1"/>
  <c r="V358" i="5"/>
  <c r="AK357" i="5"/>
  <c r="AC357" i="5"/>
  <c r="U357" i="5"/>
  <c r="AJ356" i="5"/>
  <c r="T356" i="5"/>
  <c r="AI355" i="5"/>
  <c r="S355" i="5"/>
  <c r="AH354" i="5"/>
  <c r="Z354" i="5"/>
  <c r="AF310" i="5"/>
  <c r="X310" i="5"/>
  <c r="W309" i="5"/>
  <c r="AD322" i="5"/>
  <c r="AG322" i="5" s="1"/>
  <c r="V322" i="5"/>
  <c r="AK321" i="5"/>
  <c r="AC321" i="5"/>
  <c r="U321" i="5"/>
  <c r="AJ320" i="5"/>
  <c r="T320" i="5"/>
  <c r="F101" i="10" s="1"/>
  <c r="AI319" i="5"/>
  <c r="S319" i="5"/>
  <c r="AH318" i="5"/>
  <c r="Z318" i="5"/>
  <c r="AF316" i="5"/>
  <c r="X316" i="5"/>
  <c r="W315" i="5"/>
  <c r="H121" i="7" s="1"/>
  <c r="AD314" i="5"/>
  <c r="AG314" i="5" s="1"/>
  <c r="V314" i="5"/>
  <c r="AK313" i="5"/>
  <c r="AC313" i="5"/>
  <c r="U313" i="5"/>
  <c r="AJ312" i="5"/>
  <c r="T312" i="5"/>
  <c r="AI311" i="5"/>
  <c r="S311" i="5"/>
  <c r="AH268" i="5"/>
  <c r="Z268" i="5"/>
  <c r="AF280" i="5"/>
  <c r="X280" i="5"/>
  <c r="W279" i="5"/>
  <c r="H109" i="7" s="1"/>
  <c r="AD278" i="5"/>
  <c r="AG278" i="5" s="1"/>
  <c r="V278" i="5"/>
  <c r="AK277" i="5"/>
  <c r="AC277" i="5"/>
  <c r="U277" i="5"/>
  <c r="AJ276" i="5"/>
  <c r="T276" i="5"/>
  <c r="F88" i="10" s="1"/>
  <c r="AI275" i="5"/>
  <c r="S275" i="5"/>
  <c r="AH274" i="5"/>
  <c r="Z274" i="5"/>
  <c r="AF272" i="5"/>
  <c r="X272" i="5"/>
  <c r="W271" i="5"/>
  <c r="H105" i="7" s="1"/>
  <c r="AD270" i="5"/>
  <c r="AG270" i="5" s="1"/>
  <c r="V270" i="5"/>
  <c r="AK269" i="5"/>
  <c r="AC269" i="5"/>
  <c r="U269" i="5"/>
  <c r="AJ240" i="5"/>
  <c r="T240" i="5"/>
  <c r="AI239" i="5"/>
  <c r="S239" i="5"/>
  <c r="AH252" i="5"/>
  <c r="Z252" i="5"/>
  <c r="AF250" i="5"/>
  <c r="X250" i="5"/>
  <c r="W249" i="5"/>
  <c r="H98" i="7" s="1"/>
  <c r="AD248" i="5"/>
  <c r="AG248" i="5" s="1"/>
  <c r="V248" i="5"/>
  <c r="AK247" i="5"/>
  <c r="AC247" i="5"/>
  <c r="U247" i="5"/>
  <c r="AJ246" i="5"/>
  <c r="T246" i="5"/>
  <c r="F79" i="10" s="1"/>
  <c r="AI245" i="5"/>
  <c r="S245" i="5"/>
  <c r="AH244" i="5"/>
  <c r="Z244" i="5"/>
  <c r="AF242" i="5"/>
  <c r="X242" i="5"/>
  <c r="W241" i="5"/>
  <c r="AD226" i="5"/>
  <c r="AG226" i="5" s="1"/>
  <c r="V226" i="5"/>
  <c r="AK225" i="5"/>
  <c r="AC225" i="5"/>
  <c r="U225" i="5"/>
  <c r="AJ238" i="5"/>
  <c r="T238" i="5"/>
  <c r="F78" i="10" s="1"/>
  <c r="AI237" i="5"/>
  <c r="S237" i="5"/>
  <c r="AH236" i="5"/>
  <c r="Z236" i="5"/>
  <c r="AF234" i="5"/>
  <c r="X234" i="5"/>
  <c r="W233" i="5"/>
  <c r="H92" i="7" s="1"/>
  <c r="AD232" i="5"/>
  <c r="AG232" i="5" s="1"/>
  <c r="V232" i="5"/>
  <c r="AK231" i="5"/>
  <c r="AC231" i="5"/>
  <c r="U231" i="5"/>
  <c r="Y231" i="5" s="1"/>
  <c r="AJ230" i="5"/>
  <c r="T230" i="5"/>
  <c r="AI229" i="5"/>
  <c r="S229" i="5"/>
  <c r="AH228" i="5"/>
  <c r="Z228" i="5"/>
  <c r="AF198" i="5"/>
  <c r="X198" i="5"/>
  <c r="W197" i="5"/>
  <c r="AD210" i="5"/>
  <c r="AG210" i="5" s="1"/>
  <c r="V210" i="5"/>
  <c r="AK209" i="5"/>
  <c r="AC209" i="5"/>
  <c r="U209" i="5"/>
  <c r="AJ208" i="5"/>
  <c r="T208" i="5"/>
  <c r="F69" i="10" s="1"/>
  <c r="AI207" i="5"/>
  <c r="S207" i="5"/>
  <c r="AH206" i="5"/>
  <c r="Z206" i="5"/>
  <c r="AF204" i="5"/>
  <c r="X204" i="5"/>
  <c r="W203" i="5"/>
  <c r="H81" i="7" s="1"/>
  <c r="AD202" i="5"/>
  <c r="AG202" i="5" s="1"/>
  <c r="V202" i="5"/>
  <c r="AK201" i="5"/>
  <c r="AC201" i="5"/>
  <c r="U201" i="5"/>
  <c r="AJ200" i="5"/>
  <c r="T200" i="5"/>
  <c r="AI199" i="5"/>
  <c r="S199" i="5"/>
  <c r="AH184" i="5"/>
  <c r="Z184" i="5"/>
  <c r="AF196" i="5"/>
  <c r="X196" i="5"/>
  <c r="W195" i="5"/>
  <c r="H79" i="7" s="1"/>
  <c r="AD194" i="5"/>
  <c r="AG194" i="5" s="1"/>
  <c r="V194" i="5"/>
  <c r="AK193" i="5"/>
  <c r="AC193" i="5"/>
  <c r="U193" i="5"/>
  <c r="AJ192" i="5"/>
  <c r="T192" i="5"/>
  <c r="F64" i="10" s="1"/>
  <c r="AI191" i="5"/>
  <c r="S191" i="5"/>
  <c r="AH190" i="5"/>
  <c r="Z190" i="5"/>
  <c r="AF188" i="5"/>
  <c r="X188" i="5"/>
  <c r="W187" i="5"/>
  <c r="H75" i="7" s="1"/>
  <c r="AD186" i="5"/>
  <c r="AG186" i="5" s="1"/>
  <c r="V186" i="5"/>
  <c r="AK185" i="5"/>
  <c r="AC185" i="5"/>
  <c r="U185" i="5"/>
  <c r="Y185" i="5" s="1"/>
  <c r="AJ72" i="5"/>
  <c r="T72" i="5"/>
  <c r="AI71" i="5"/>
  <c r="S71" i="5"/>
  <c r="AH84" i="5"/>
  <c r="Z84" i="5"/>
  <c r="AF82" i="5"/>
  <c r="X82" i="5"/>
  <c r="W81" i="5"/>
  <c r="H38" i="7" s="1"/>
  <c r="AD80" i="5"/>
  <c r="AG80" i="5" s="1"/>
  <c r="V80" i="5"/>
  <c r="AK79" i="5"/>
  <c r="AC79" i="5"/>
  <c r="U79" i="5"/>
  <c r="G37" i="7" s="1"/>
  <c r="AJ78" i="5"/>
  <c r="T78" i="5"/>
  <c r="F31" i="10" s="1"/>
  <c r="AI77" i="5"/>
  <c r="S77" i="5"/>
  <c r="AH76" i="5"/>
  <c r="Z76" i="5"/>
  <c r="AF74" i="5"/>
  <c r="X74" i="5"/>
  <c r="W73" i="5"/>
  <c r="AD58" i="5"/>
  <c r="AG58" i="5" s="1"/>
  <c r="V58" i="5"/>
  <c r="AK57" i="5"/>
  <c r="AC57" i="5"/>
  <c r="U57" i="5"/>
  <c r="AJ70" i="5"/>
  <c r="T70" i="5"/>
  <c r="AI69" i="5"/>
  <c r="S69" i="5"/>
  <c r="AH68" i="5"/>
  <c r="Z68" i="5"/>
  <c r="AF66" i="5"/>
  <c r="X66" i="5"/>
  <c r="W65" i="5"/>
  <c r="AD64" i="5"/>
  <c r="AG64" i="5" s="1"/>
  <c r="V64" i="5"/>
  <c r="AK63" i="5"/>
  <c r="AC63" i="5"/>
  <c r="U63" i="5"/>
  <c r="G31" i="7" s="1"/>
  <c r="AJ62" i="5"/>
  <c r="T62" i="5"/>
  <c r="AI61" i="5"/>
  <c r="S61" i="5"/>
  <c r="AH60" i="5"/>
  <c r="Z60" i="5"/>
  <c r="AF44" i="5"/>
  <c r="X44" i="5"/>
  <c r="AD56" i="5"/>
  <c r="AG56" i="5" s="1"/>
  <c r="V56" i="5"/>
  <c r="AK55" i="5"/>
  <c r="AC55" i="5"/>
  <c r="U55" i="5"/>
  <c r="AJ54" i="5"/>
  <c r="T54" i="5"/>
  <c r="F25" i="10" s="1"/>
  <c r="AI53" i="5"/>
  <c r="S53" i="5"/>
  <c r="AH52" i="5"/>
  <c r="Z52" i="5"/>
  <c r="AF50" i="5"/>
  <c r="X50" i="5"/>
  <c r="H26" i="7"/>
  <c r="AD48" i="5"/>
  <c r="AG48" i="5" s="1"/>
  <c r="V48" i="5"/>
  <c r="AK47" i="5"/>
  <c r="AC47" i="5"/>
  <c r="U47" i="5"/>
  <c r="AJ46" i="5"/>
  <c r="T46" i="5"/>
  <c r="AI45" i="5"/>
  <c r="AA45" i="5"/>
  <c r="AL45" i="5" s="1"/>
  <c r="S45" i="5"/>
  <c r="AH30" i="5"/>
  <c r="Z30" i="5"/>
  <c r="H24" i="7"/>
  <c r="F20" i="10"/>
  <c r="AH36" i="5"/>
  <c r="Z36" i="5"/>
  <c r="AF34" i="5"/>
  <c r="H20" i="7"/>
  <c r="AD32" i="5"/>
  <c r="AG32" i="5" s="1"/>
  <c r="AK31" i="5"/>
  <c r="AC31" i="5"/>
  <c r="AJ366" i="5"/>
  <c r="T366" i="5"/>
  <c r="AI365" i="5"/>
  <c r="S365" i="5"/>
  <c r="AH378" i="5"/>
  <c r="Z378" i="5"/>
  <c r="AF376" i="5"/>
  <c r="X376" i="5"/>
  <c r="W375" i="5"/>
  <c r="H143" i="7" s="1"/>
  <c r="AD374" i="5"/>
  <c r="AG374" i="5" s="1"/>
  <c r="V374" i="5"/>
  <c r="AK373" i="5"/>
  <c r="AC373" i="5"/>
  <c r="U373" i="5"/>
  <c r="AJ372" i="5"/>
  <c r="T372" i="5"/>
  <c r="F115" i="10" s="1"/>
  <c r="AI371" i="5"/>
  <c r="S371" i="5"/>
  <c r="AH370" i="5"/>
  <c r="Z370" i="5"/>
  <c r="AF368" i="5"/>
  <c r="X368" i="5"/>
  <c r="W367" i="5"/>
  <c r="AD282" i="5"/>
  <c r="AG282" i="5" s="1"/>
  <c r="V282" i="5"/>
  <c r="Q60" i="7"/>
  <c r="Q51" i="7"/>
  <c r="Q47" i="7"/>
  <c r="AF407" i="5"/>
  <c r="X407" i="5"/>
  <c r="W420" i="5"/>
  <c r="AD419" i="5"/>
  <c r="AG419" i="5" s="1"/>
  <c r="V419" i="5"/>
  <c r="AK418" i="5"/>
  <c r="AC418" i="5"/>
  <c r="U418" i="5"/>
  <c r="AJ417" i="5"/>
  <c r="T417" i="5"/>
  <c r="F158" i="7" s="1"/>
  <c r="AI416" i="5"/>
  <c r="S416" i="5"/>
  <c r="AH415" i="5"/>
  <c r="Z415" i="5"/>
  <c r="K60" i="7"/>
  <c r="K51" i="7"/>
  <c r="K47" i="7"/>
  <c r="AF408" i="5"/>
  <c r="X408" i="5"/>
  <c r="W407" i="5"/>
  <c r="AD420" i="5"/>
  <c r="AG420" i="5" s="1"/>
  <c r="V420" i="5"/>
  <c r="AK419" i="5"/>
  <c r="AC419" i="5"/>
  <c r="U419" i="5"/>
  <c r="AJ418" i="5"/>
  <c r="T418" i="5"/>
  <c r="F129" i="10" s="1"/>
  <c r="AI417" i="5"/>
  <c r="S417" i="5"/>
  <c r="AH416" i="5"/>
  <c r="Z416" i="5"/>
  <c r="AF414" i="5"/>
  <c r="X414" i="5"/>
  <c r="W413" i="5"/>
  <c r="H156" i="7" s="1"/>
  <c r="AD412" i="5"/>
  <c r="AG412" i="5" s="1"/>
  <c r="V412" i="5"/>
  <c r="AK411" i="5"/>
  <c r="AC411" i="5"/>
  <c r="U411" i="5"/>
  <c r="AJ410" i="5"/>
  <c r="T410" i="5"/>
  <c r="AI409" i="5"/>
  <c r="AA409" i="5"/>
  <c r="AL409" i="5" s="1"/>
  <c r="S409" i="5"/>
  <c r="AH394" i="5"/>
  <c r="Z394" i="5"/>
  <c r="AF406" i="5"/>
  <c r="X406" i="5"/>
  <c r="W405" i="5"/>
  <c r="H154" i="7" s="1"/>
  <c r="AD404" i="5"/>
  <c r="AG404" i="5" s="1"/>
  <c r="V404" i="5"/>
  <c r="AK403" i="5"/>
  <c r="AC403" i="5"/>
  <c r="U403" i="5"/>
  <c r="AJ402" i="5"/>
  <c r="T402" i="5"/>
  <c r="AI401" i="5"/>
  <c r="S401" i="5"/>
  <c r="AH400" i="5"/>
  <c r="Z400" i="5"/>
  <c r="AF398" i="5"/>
  <c r="X398" i="5"/>
  <c r="W397" i="5"/>
  <c r="H150" i="7" s="1"/>
  <c r="AD396" i="5"/>
  <c r="AG396" i="5" s="1"/>
  <c r="V396" i="5"/>
  <c r="AK395" i="5"/>
  <c r="AC395" i="5"/>
  <c r="U395" i="5"/>
  <c r="AJ352" i="5"/>
  <c r="T352" i="5"/>
  <c r="AI351" i="5"/>
  <c r="S351" i="5"/>
  <c r="AH364" i="5"/>
  <c r="Z364" i="5"/>
  <c r="AF362" i="5"/>
  <c r="X362" i="5"/>
  <c r="W361" i="5"/>
  <c r="H138" i="7" s="1"/>
  <c r="AD360" i="5"/>
  <c r="AG360" i="5" s="1"/>
  <c r="V360" i="5"/>
  <c r="AK359" i="5"/>
  <c r="AC359" i="5"/>
  <c r="U359" i="5"/>
  <c r="AJ358" i="5"/>
  <c r="T358" i="5"/>
  <c r="F111" i="10" s="1"/>
  <c r="AI357" i="5"/>
  <c r="S357" i="5"/>
  <c r="AH356" i="5"/>
  <c r="Z356" i="5"/>
  <c r="AF354" i="5"/>
  <c r="X354" i="5"/>
  <c r="W353" i="5"/>
  <c r="AD310" i="5"/>
  <c r="AG310" i="5" s="1"/>
  <c r="V310" i="5"/>
  <c r="AK309" i="5"/>
  <c r="AC309" i="5"/>
  <c r="U309" i="5"/>
  <c r="AJ322" i="5"/>
  <c r="T322" i="5"/>
  <c r="F102" i="10" s="1"/>
  <c r="AI321" i="5"/>
  <c r="S321" i="5"/>
  <c r="AH320" i="5"/>
  <c r="Z320" i="5"/>
  <c r="AF318" i="5"/>
  <c r="X318" i="5"/>
  <c r="W317" i="5"/>
  <c r="H122" i="7" s="1"/>
  <c r="AD316" i="5"/>
  <c r="AG316" i="5" s="1"/>
  <c r="V316" i="5"/>
  <c r="AK315" i="5"/>
  <c r="AC315" i="5"/>
  <c r="U315" i="5"/>
  <c r="AJ314" i="5"/>
  <c r="T314" i="5"/>
  <c r="AI313" i="5"/>
  <c r="S313" i="5"/>
  <c r="AH312" i="5"/>
  <c r="Z312" i="5"/>
  <c r="AF268" i="5"/>
  <c r="X268" i="5"/>
  <c r="W267" i="5"/>
  <c r="AD280" i="5"/>
  <c r="AG280" i="5" s="1"/>
  <c r="V280" i="5"/>
  <c r="AK279" i="5"/>
  <c r="AC279" i="5"/>
  <c r="U279" i="5"/>
  <c r="AJ278" i="5"/>
  <c r="T278" i="5"/>
  <c r="F89" i="10" s="1"/>
  <c r="AI277" i="5"/>
  <c r="S277" i="5"/>
  <c r="AH276" i="5"/>
  <c r="Z276" i="5"/>
  <c r="AF274" i="5"/>
  <c r="X274" i="5"/>
  <c r="W273" i="5"/>
  <c r="AD272" i="5"/>
  <c r="AG272" i="5" s="1"/>
  <c r="V272" i="5"/>
  <c r="AK271" i="5"/>
  <c r="AC271" i="5"/>
  <c r="U271" i="5"/>
  <c r="AJ270" i="5"/>
  <c r="T270" i="5"/>
  <c r="AI269" i="5"/>
  <c r="S269" i="5"/>
  <c r="AH240" i="5"/>
  <c r="Z240" i="5"/>
  <c r="AF252" i="5"/>
  <c r="X252" i="5"/>
  <c r="W251" i="5"/>
  <c r="H99" i="7" s="1"/>
  <c r="AD250" i="5"/>
  <c r="AG250" i="5" s="1"/>
  <c r="V250" i="5"/>
  <c r="AK249" i="5"/>
  <c r="AC249" i="5"/>
  <c r="U249" i="5"/>
  <c r="AJ248" i="5"/>
  <c r="T248" i="5"/>
  <c r="AI247" i="5"/>
  <c r="S247" i="5"/>
  <c r="AH246" i="5"/>
  <c r="Z246" i="5"/>
  <c r="AF244" i="5"/>
  <c r="X244" i="5"/>
  <c r="W243" i="5"/>
  <c r="H95" i="7" s="1"/>
  <c r="AD242" i="5"/>
  <c r="AG242" i="5" s="1"/>
  <c r="V242" i="5"/>
  <c r="AK241" i="5"/>
  <c r="AC241" i="5"/>
  <c r="U241" i="5"/>
  <c r="AJ226" i="5"/>
  <c r="T226" i="5"/>
  <c r="AI225" i="5"/>
  <c r="S225" i="5"/>
  <c r="AH238" i="5"/>
  <c r="Z238" i="5"/>
  <c r="AF236" i="5"/>
  <c r="X236" i="5"/>
  <c r="W235" i="5"/>
  <c r="H93" i="7" s="1"/>
  <c r="AD234" i="5"/>
  <c r="AG234" i="5" s="1"/>
  <c r="V234" i="5"/>
  <c r="AK233" i="5"/>
  <c r="AC233" i="5"/>
  <c r="U233" i="5"/>
  <c r="AJ232" i="5"/>
  <c r="T232" i="5"/>
  <c r="F75" i="10" s="1"/>
  <c r="AI231" i="5"/>
  <c r="S231" i="5"/>
  <c r="AH230" i="5"/>
  <c r="Z230" i="5"/>
  <c r="AF228" i="5"/>
  <c r="X228" i="5"/>
  <c r="W227" i="5"/>
  <c r="AD198" i="5"/>
  <c r="AG198" i="5" s="1"/>
  <c r="V198" i="5"/>
  <c r="AK197" i="5"/>
  <c r="AC197" i="5"/>
  <c r="U197" i="5"/>
  <c r="AJ210" i="5"/>
  <c r="T210" i="5"/>
  <c r="F70" i="10" s="1"/>
  <c r="AI209" i="5"/>
  <c r="S209" i="5"/>
  <c r="AH208" i="5"/>
  <c r="Z208" i="5"/>
  <c r="AF206" i="5"/>
  <c r="X206" i="5"/>
  <c r="W205" i="5"/>
  <c r="H82" i="7" s="1"/>
  <c r="AD204" i="5"/>
  <c r="AG204" i="5" s="1"/>
  <c r="V204" i="5"/>
  <c r="AK203" i="5"/>
  <c r="AC203" i="5"/>
  <c r="U203" i="5"/>
  <c r="AJ202" i="5"/>
  <c r="T202" i="5"/>
  <c r="AI201" i="5"/>
  <c r="S201" i="5"/>
  <c r="AH200" i="5"/>
  <c r="Z200" i="5"/>
  <c r="AF184" i="5"/>
  <c r="X184" i="5"/>
  <c r="W183" i="5"/>
  <c r="AD196" i="5"/>
  <c r="AG196" i="5" s="1"/>
  <c r="V196" i="5"/>
  <c r="AK195" i="5"/>
  <c r="AC195" i="5"/>
  <c r="U195" i="5"/>
  <c r="AJ194" i="5"/>
  <c r="T194" i="5"/>
  <c r="F65" i="10" s="1"/>
  <c r="AI193" i="5"/>
  <c r="S193" i="5"/>
  <c r="AH192" i="5"/>
  <c r="Z192" i="5"/>
  <c r="AF190" i="5"/>
  <c r="X190" i="5"/>
  <c r="W189" i="5"/>
  <c r="H76" i="7" s="1"/>
  <c r="AD188" i="5"/>
  <c r="AG188" i="5" s="1"/>
  <c r="V188" i="5"/>
  <c r="AK187" i="5"/>
  <c r="AC187" i="5"/>
  <c r="U187" i="5"/>
  <c r="AJ186" i="5"/>
  <c r="T186" i="5"/>
  <c r="AI185" i="5"/>
  <c r="S185" i="5"/>
  <c r="O62" i="7"/>
  <c r="M52" i="7"/>
  <c r="M48" i="7"/>
  <c r="AC407" i="5"/>
  <c r="Z417" i="5"/>
  <c r="AD414" i="5"/>
  <c r="AG414" i="5" s="1"/>
  <c r="AC413" i="5"/>
  <c r="AC412" i="5"/>
  <c r="AI410" i="5"/>
  <c r="AI394" i="5"/>
  <c r="AF393" i="5"/>
  <c r="AC405" i="5"/>
  <c r="AC404" i="5"/>
  <c r="AI402" i="5"/>
  <c r="AF399" i="5"/>
  <c r="AC397" i="5"/>
  <c r="AC396" i="5"/>
  <c r="S352" i="5"/>
  <c r="X363" i="5"/>
  <c r="U361" i="5"/>
  <c r="U360" i="5"/>
  <c r="T359" i="5"/>
  <c r="F137" i="7" s="1"/>
  <c r="Z355" i="5"/>
  <c r="AC353" i="5"/>
  <c r="W310" i="5"/>
  <c r="AF309" i="5"/>
  <c r="AC322" i="5"/>
  <c r="AH321" i="5"/>
  <c r="AF320" i="5"/>
  <c r="W319" i="5"/>
  <c r="H123" i="7" s="1"/>
  <c r="AD318" i="5"/>
  <c r="AG318" i="5" s="1"/>
  <c r="X317" i="5"/>
  <c r="X315" i="5"/>
  <c r="AK314" i="5"/>
  <c r="U314" i="5"/>
  <c r="Y314" i="5" s="1"/>
  <c r="Z313" i="5"/>
  <c r="X312" i="5"/>
  <c r="AK267" i="5"/>
  <c r="U267" i="5"/>
  <c r="Y267" i="5" s="1"/>
  <c r="AJ279" i="5"/>
  <c r="T279" i="5"/>
  <c r="F109" i="7" s="1"/>
  <c r="AH278" i="5"/>
  <c r="V277" i="5"/>
  <c r="AI276" i="5"/>
  <c r="S276" i="5"/>
  <c r="Z275" i="5"/>
  <c r="AC273" i="5"/>
  <c r="AJ272" i="5"/>
  <c r="T272" i="5"/>
  <c r="Z270" i="5"/>
  <c r="AD269" i="5"/>
  <c r="AG269" i="5" s="1"/>
  <c r="AC240" i="5"/>
  <c r="AH239" i="5"/>
  <c r="AK251" i="5"/>
  <c r="U251" i="5"/>
  <c r="AJ249" i="5"/>
  <c r="T249" i="5"/>
  <c r="F98" i="7" s="1"/>
  <c r="AH248" i="5"/>
  <c r="V247" i="5"/>
  <c r="AI246" i="5"/>
  <c r="S246" i="5"/>
  <c r="Z245" i="5"/>
  <c r="AC243" i="5"/>
  <c r="AJ242" i="5"/>
  <c r="T242" i="5"/>
  <c r="V225" i="5"/>
  <c r="AI238" i="5"/>
  <c r="S238" i="5"/>
  <c r="Z237" i="5"/>
  <c r="AC235" i="5"/>
  <c r="AJ234" i="5"/>
  <c r="T234" i="5"/>
  <c r="F76" i="10" s="1"/>
  <c r="Z232" i="5"/>
  <c r="AD231" i="5"/>
  <c r="AG231" i="5" s="1"/>
  <c r="AH229" i="5"/>
  <c r="AK227" i="5"/>
  <c r="U227" i="5"/>
  <c r="X197" i="5"/>
  <c r="AK210" i="5"/>
  <c r="U210" i="5"/>
  <c r="Z209" i="5"/>
  <c r="X208" i="5"/>
  <c r="V206" i="5"/>
  <c r="AF205" i="5"/>
  <c r="W204" i="5"/>
  <c r="H67" i="10" s="1"/>
  <c r="AF203" i="5"/>
  <c r="AC202" i="5"/>
  <c r="AH201" i="5"/>
  <c r="AF200" i="5"/>
  <c r="W199" i="5"/>
  <c r="AI183" i="5"/>
  <c r="V183" i="5"/>
  <c r="AJ196" i="5"/>
  <c r="W196" i="5"/>
  <c r="H66" i="10" s="1"/>
  <c r="AJ195" i="5"/>
  <c r="X195" i="5"/>
  <c r="AC194" i="5"/>
  <c r="Z193" i="5"/>
  <c r="AD192" i="5"/>
  <c r="AG192" i="5" s="1"/>
  <c r="AF191" i="5"/>
  <c r="T191" i="5"/>
  <c r="F77" i="7" s="1"/>
  <c r="S190" i="5"/>
  <c r="AK189" i="5"/>
  <c r="X189" i="5"/>
  <c r="AK188" i="5"/>
  <c r="AI72" i="5"/>
  <c r="AF71" i="5"/>
  <c r="U71" i="5"/>
  <c r="AK83" i="5"/>
  <c r="Z83" i="5"/>
  <c r="AE83" i="5" s="1"/>
  <c r="U82" i="5"/>
  <c r="AC81" i="5"/>
  <c r="S81" i="5"/>
  <c r="AH79" i="5"/>
  <c r="W79" i="5"/>
  <c r="H37" i="7" s="1"/>
  <c r="V78" i="5"/>
  <c r="AC77" i="5"/>
  <c r="AI76" i="5"/>
  <c r="X76" i="5"/>
  <c r="AH75" i="5"/>
  <c r="W75" i="5"/>
  <c r="H35" i="7" s="1"/>
  <c r="AC74" i="5"/>
  <c r="AK73" i="5"/>
  <c r="AI58" i="5"/>
  <c r="X58" i="5"/>
  <c r="V57" i="5"/>
  <c r="AF70" i="5"/>
  <c r="U70" i="5"/>
  <c r="W68" i="5"/>
  <c r="H29" i="10" s="1"/>
  <c r="AF67" i="5"/>
  <c r="V67" i="5"/>
  <c r="AJ65" i="5"/>
  <c r="AI64" i="5"/>
  <c r="X64" i="5"/>
  <c r="AD63" i="5"/>
  <c r="AG63" i="5" s="1"/>
  <c r="S63" i="5"/>
  <c r="AC62" i="5"/>
  <c r="AJ61" i="5"/>
  <c r="T60" i="5"/>
  <c r="AD59" i="5"/>
  <c r="AG59" i="5" s="1"/>
  <c r="S59" i="5"/>
  <c r="AK43" i="5"/>
  <c r="AJ56" i="5"/>
  <c r="Z56" i="5"/>
  <c r="T55" i="5"/>
  <c r="F29" i="7" s="1"/>
  <c r="AD54" i="5"/>
  <c r="AG54" i="5" s="1"/>
  <c r="S54" i="5"/>
  <c r="AK53" i="5"/>
  <c r="Z53" i="5"/>
  <c r="AF52" i="5"/>
  <c r="V52" i="5"/>
  <c r="U51" i="5"/>
  <c r="AK50" i="5"/>
  <c r="Z50" i="5"/>
  <c r="AH48" i="5"/>
  <c r="W48" i="5"/>
  <c r="AH45" i="5"/>
  <c r="X45" i="5"/>
  <c r="AD30" i="5"/>
  <c r="AG30" i="5" s="1"/>
  <c r="S30" i="5"/>
  <c r="V42" i="5"/>
  <c r="F24" i="7"/>
  <c r="V407" i="5"/>
  <c r="W414" i="5"/>
  <c r="H127" i="10" s="1"/>
  <c r="X413" i="5"/>
  <c r="AH410" i="5"/>
  <c r="W406" i="5"/>
  <c r="H126" i="10" s="1"/>
  <c r="X405" i="5"/>
  <c r="AH402" i="5"/>
  <c r="AF400" i="5"/>
  <c r="W398" i="5"/>
  <c r="X397" i="5"/>
  <c r="AK352" i="5"/>
  <c r="T351" i="5"/>
  <c r="X364" i="5"/>
  <c r="W363" i="5"/>
  <c r="H139" i="7" s="1"/>
  <c r="T360" i="5"/>
  <c r="F112" i="10" s="1"/>
  <c r="S359" i="5"/>
  <c r="Z358" i="5"/>
  <c r="T357" i="5"/>
  <c r="F136" i="7" s="1"/>
  <c r="X356" i="5"/>
  <c r="X355" i="5"/>
  <c r="Z353" i="5"/>
  <c r="AK310" i="5"/>
  <c r="U310" i="5"/>
  <c r="Y310" i="5" s="1"/>
  <c r="AD309" i="5"/>
  <c r="AG309" i="5" s="1"/>
  <c r="AC320" i="5"/>
  <c r="AJ319" i="5"/>
  <c r="T319" i="5"/>
  <c r="F123" i="7" s="1"/>
  <c r="V317" i="5"/>
  <c r="AC316" i="5"/>
  <c r="V315" i="5"/>
  <c r="AI314" i="5"/>
  <c r="S314" i="5"/>
  <c r="AK312" i="5"/>
  <c r="U312" i="5"/>
  <c r="W268" i="5"/>
  <c r="AH267" i="5"/>
  <c r="AI279" i="5"/>
  <c r="S279" i="5"/>
  <c r="AJ277" i="5"/>
  <c r="T277" i="5"/>
  <c r="F108" i="7" s="1"/>
  <c r="X275" i="5"/>
  <c r="Z273" i="5"/>
  <c r="W270" i="5"/>
  <c r="AF239" i="5"/>
  <c r="W252" i="5"/>
  <c r="H82" i="10" s="1"/>
  <c r="AH251" i="5"/>
  <c r="AI249" i="5"/>
  <c r="S249" i="5"/>
  <c r="AJ247" i="5"/>
  <c r="T247" i="5"/>
  <c r="F97" i="7" s="1"/>
  <c r="X245" i="5"/>
  <c r="Z243" i="5"/>
  <c r="Z226" i="5"/>
  <c r="AE226" i="5" s="1"/>
  <c r="AJ225" i="5"/>
  <c r="T225" i="5"/>
  <c r="X237" i="5"/>
  <c r="Z235" i="5"/>
  <c r="W232" i="5"/>
  <c r="H75" i="10" s="1"/>
  <c r="AF229" i="5"/>
  <c r="W228" i="5"/>
  <c r="AH227" i="5"/>
  <c r="AC198" i="5"/>
  <c r="V197" i="5"/>
  <c r="AI210" i="5"/>
  <c r="S210" i="5"/>
  <c r="AK208" i="5"/>
  <c r="U208" i="5"/>
  <c r="AI206" i="5"/>
  <c r="S206" i="5"/>
  <c r="AD205" i="5"/>
  <c r="AG205" i="5" s="1"/>
  <c r="AK204" i="5"/>
  <c r="U204" i="5"/>
  <c r="AD203" i="5"/>
  <c r="AG203" i="5" s="1"/>
  <c r="AC200" i="5"/>
  <c r="AJ199" i="5"/>
  <c r="T199" i="5"/>
  <c r="AH183" i="5"/>
  <c r="U183" i="5"/>
  <c r="AH196" i="5"/>
  <c r="U196" i="5"/>
  <c r="AI195" i="5"/>
  <c r="V195" i="5"/>
  <c r="AC192" i="5"/>
  <c r="AD190" i="5"/>
  <c r="AG190" i="5" s="1"/>
  <c r="AI189" i="5"/>
  <c r="V189" i="5"/>
  <c r="AJ188" i="5"/>
  <c r="W188" i="5"/>
  <c r="AJ187" i="5"/>
  <c r="X187" i="5"/>
  <c r="AC186" i="5"/>
  <c r="Z185" i="5"/>
  <c r="AH72" i="5"/>
  <c r="X72" i="5"/>
  <c r="T71" i="5"/>
  <c r="AJ84" i="5"/>
  <c r="AI83" i="5"/>
  <c r="X83" i="5"/>
  <c r="AD82" i="5"/>
  <c r="AG82" i="5" s="1"/>
  <c r="T82" i="5"/>
  <c r="F33" i="10" s="1"/>
  <c r="AK80" i="5"/>
  <c r="V79" i="5"/>
  <c r="AF78" i="5"/>
  <c r="U78" i="5"/>
  <c r="W76" i="5"/>
  <c r="AF75" i="5"/>
  <c r="V75" i="5"/>
  <c r="AJ73" i="5"/>
  <c r="AH58" i="5"/>
  <c r="W58" i="5"/>
  <c r="T57" i="5"/>
  <c r="AD70" i="5"/>
  <c r="AG70" i="5" s="1"/>
  <c r="S70" i="5"/>
  <c r="AK69" i="5"/>
  <c r="Z69" i="5"/>
  <c r="I34" i="7" s="1"/>
  <c r="AF68" i="5"/>
  <c r="V68" i="5"/>
  <c r="U67" i="5"/>
  <c r="G33" i="7" s="1"/>
  <c r="AK66" i="5"/>
  <c r="Z66" i="5"/>
  <c r="AI65" i="5"/>
  <c r="X65" i="5"/>
  <c r="AB65" i="5" s="1"/>
  <c r="AH64" i="5"/>
  <c r="W64" i="5"/>
  <c r="H27" i="10" s="1"/>
  <c r="AH61" i="5"/>
  <c r="X61" i="5"/>
  <c r="AD60" i="5"/>
  <c r="AG60" i="5" s="1"/>
  <c r="S60" i="5"/>
  <c r="AC59" i="5"/>
  <c r="AK44" i="5"/>
  <c r="Z44" i="5"/>
  <c r="AJ43" i="5"/>
  <c r="AI56" i="5"/>
  <c r="X56" i="5"/>
  <c r="AD55" i="5"/>
  <c r="AG55" i="5" s="1"/>
  <c r="S55" i="5"/>
  <c r="AC54" i="5"/>
  <c r="AJ53" i="5"/>
  <c r="T52" i="5"/>
  <c r="F24" i="10" s="1"/>
  <c r="AD51" i="5"/>
  <c r="AG51" i="5" s="1"/>
  <c r="S51" i="5"/>
  <c r="AJ50" i="5"/>
  <c r="AF48" i="5"/>
  <c r="U48" i="5"/>
  <c r="AK46" i="5"/>
  <c r="Z46" i="5"/>
  <c r="W45" i="5"/>
  <c r="AK29" i="5"/>
  <c r="Z29" i="5"/>
  <c r="U42" i="5"/>
  <c r="H23" i="7"/>
  <c r="AI36" i="5"/>
  <c r="X36" i="5"/>
  <c r="AH35" i="5"/>
  <c r="H21" i="7"/>
  <c r="AC34" i="5"/>
  <c r="AK33" i="5"/>
  <c r="AJ32" i="5"/>
  <c r="Z32" i="5"/>
  <c r="AE32" i="5" s="1"/>
  <c r="AF366" i="5"/>
  <c r="U366" i="5"/>
  <c r="W378" i="5"/>
  <c r="H118" i="10" s="1"/>
  <c r="AF377" i="5"/>
  <c r="V377" i="5"/>
  <c r="AJ375" i="5"/>
  <c r="AI374" i="5"/>
  <c r="X374" i="5"/>
  <c r="AD373" i="5"/>
  <c r="AG373" i="5" s="1"/>
  <c r="S373" i="5"/>
  <c r="AD408" i="5"/>
  <c r="AG408" i="5" s="1"/>
  <c r="U407" i="5"/>
  <c r="AK420" i="5"/>
  <c r="T419" i="5"/>
  <c r="F159" i="7" s="1"/>
  <c r="AF416" i="5"/>
  <c r="V414" i="5"/>
  <c r="V413" i="5"/>
  <c r="W412" i="5"/>
  <c r="V411" i="5"/>
  <c r="AC410" i="5"/>
  <c r="Z409" i="5"/>
  <c r="AF394" i="5"/>
  <c r="Z393" i="5"/>
  <c r="V406" i="5"/>
  <c r="V405" i="5"/>
  <c r="W404" i="5"/>
  <c r="H125" i="10" s="1"/>
  <c r="V403" i="5"/>
  <c r="AC402" i="5"/>
  <c r="Z401" i="5"/>
  <c r="Z399" i="5"/>
  <c r="AE399" i="5" s="1"/>
  <c r="V398" i="5"/>
  <c r="V397" i="5"/>
  <c r="W396" i="5"/>
  <c r="V395" i="5"/>
  <c r="AI352" i="5"/>
  <c r="S364" i="5"/>
  <c r="AK361" i="5"/>
  <c r="AK360" i="5"/>
  <c r="AJ359" i="5"/>
  <c r="U358" i="5"/>
  <c r="S356" i="5"/>
  <c r="W355" i="5"/>
  <c r="H135" i="7" s="1"/>
  <c r="AD354" i="5"/>
  <c r="AG354" i="5" s="1"/>
  <c r="X353" i="5"/>
  <c r="AJ310" i="5"/>
  <c r="T310" i="5"/>
  <c r="Z322" i="5"/>
  <c r="AD321" i="5"/>
  <c r="AG321" i="5" s="1"/>
  <c r="AA320" i="5"/>
  <c r="AL320" i="5" s="1"/>
  <c r="AH319" i="5"/>
  <c r="AK317" i="5"/>
  <c r="U317" i="5"/>
  <c r="AJ315" i="5"/>
  <c r="T315" i="5"/>
  <c r="F121" i="7" s="1"/>
  <c r="AH314" i="5"/>
  <c r="V313" i="5"/>
  <c r="AI312" i="5"/>
  <c r="S312" i="5"/>
  <c r="Z311" i="5"/>
  <c r="V268" i="5"/>
  <c r="AF267" i="5"/>
  <c r="W280" i="5"/>
  <c r="H90" i="10" s="1"/>
  <c r="AF279" i="5"/>
  <c r="AC278" i="5"/>
  <c r="AH277" i="5"/>
  <c r="AF276" i="5"/>
  <c r="W275" i="5"/>
  <c r="H107" i="7" s="1"/>
  <c r="AD274" i="5"/>
  <c r="AG274" i="5" s="1"/>
  <c r="X273" i="5"/>
  <c r="X271" i="5"/>
  <c r="AK270" i="5"/>
  <c r="U270" i="5"/>
  <c r="Z269" i="5"/>
  <c r="V252" i="5"/>
  <c r="AF251" i="5"/>
  <c r="W250" i="5"/>
  <c r="H81" i="10" s="1"/>
  <c r="AF249" i="5"/>
  <c r="AC248" i="5"/>
  <c r="AH247" i="5"/>
  <c r="AF246" i="5"/>
  <c r="W245" i="5"/>
  <c r="H96" i="7" s="1"/>
  <c r="AD244" i="5"/>
  <c r="AG244" i="5" s="1"/>
  <c r="X243" i="5"/>
  <c r="X241" i="5"/>
  <c r="AB241" i="5" s="1"/>
  <c r="W226" i="5"/>
  <c r="AH225" i="5"/>
  <c r="AF238" i="5"/>
  <c r="W237" i="5"/>
  <c r="H94" i="7" s="1"/>
  <c r="AD236" i="5"/>
  <c r="AG236" i="5" s="1"/>
  <c r="X235" i="5"/>
  <c r="X233" i="5"/>
  <c r="AK232" i="5"/>
  <c r="U232" i="5"/>
  <c r="Z231" i="5"/>
  <c r="X230" i="5"/>
  <c r="V228" i="5"/>
  <c r="AF227" i="5"/>
  <c r="AJ197" i="5"/>
  <c r="T197" i="5"/>
  <c r="AH210" i="5"/>
  <c r="V209" i="5"/>
  <c r="AI208" i="5"/>
  <c r="S208" i="5"/>
  <c r="Z207" i="5"/>
  <c r="AC205" i="5"/>
  <c r="AJ204" i="5"/>
  <c r="T204" i="5"/>
  <c r="F67" i="10" s="1"/>
  <c r="Z202" i="5"/>
  <c r="AD201" i="5"/>
  <c r="AG201" i="5" s="1"/>
  <c r="AH199" i="5"/>
  <c r="AD184" i="5"/>
  <c r="AG184" i="5" s="1"/>
  <c r="AF183" i="5"/>
  <c r="S183" i="5"/>
  <c r="T196" i="5"/>
  <c r="F66" i="10" s="1"/>
  <c r="T195" i="5"/>
  <c r="F79" i="7" s="1"/>
  <c r="Z194" i="5"/>
  <c r="AJ193" i="5"/>
  <c r="W193" i="5"/>
  <c r="H78" i="7" s="1"/>
  <c r="AC191" i="5"/>
  <c r="AH189" i="5"/>
  <c r="U189" i="5"/>
  <c r="AH188" i="5"/>
  <c r="U188" i="5"/>
  <c r="AI187" i="5"/>
  <c r="V187" i="5"/>
  <c r="V72" i="5"/>
  <c r="AC71" i="5"/>
  <c r="AI84" i="5"/>
  <c r="X84" i="5"/>
  <c r="AH83" i="5"/>
  <c r="W83" i="5"/>
  <c r="H39" i="7" s="1"/>
  <c r="AC82" i="5"/>
  <c r="AK81" i="5"/>
  <c r="AJ80" i="5"/>
  <c r="Z80" i="5"/>
  <c r="T79" i="5"/>
  <c r="F37" i="7" s="1"/>
  <c r="AD78" i="5"/>
  <c r="AG78" i="5" s="1"/>
  <c r="S78" i="5"/>
  <c r="AK77" i="5"/>
  <c r="Z77" i="5"/>
  <c r="I36" i="7" s="1"/>
  <c r="AF76" i="5"/>
  <c r="V76" i="5"/>
  <c r="U75" i="5"/>
  <c r="G35" i="7" s="1"/>
  <c r="AK74" i="5"/>
  <c r="Z74" i="5"/>
  <c r="AI73" i="5"/>
  <c r="X73" i="5"/>
  <c r="AF58" i="5"/>
  <c r="U58" i="5"/>
  <c r="Y58" i="5" s="1"/>
  <c r="AD57" i="5"/>
  <c r="AG57" i="5" s="1"/>
  <c r="S57" i="5"/>
  <c r="AC70" i="5"/>
  <c r="AJ69" i="5"/>
  <c r="T68" i="5"/>
  <c r="F29" i="10" s="1"/>
  <c r="AD67" i="5"/>
  <c r="AG67" i="5" s="1"/>
  <c r="S67" i="5"/>
  <c r="AJ66" i="5"/>
  <c r="V65" i="5"/>
  <c r="W408" i="5"/>
  <c r="AJ420" i="5"/>
  <c r="S419" i="5"/>
  <c r="AI418" i="5"/>
  <c r="U413" i="5"/>
  <c r="U412" i="5"/>
  <c r="T411" i="5"/>
  <c r="F155" i="7" s="1"/>
  <c r="AA394" i="5"/>
  <c r="X393" i="5"/>
  <c r="AB393" i="5" s="1"/>
  <c r="U405" i="5"/>
  <c r="U404" i="5"/>
  <c r="T403" i="5"/>
  <c r="F153" i="7" s="1"/>
  <c r="X399" i="5"/>
  <c r="U397" i="5"/>
  <c r="U396" i="5"/>
  <c r="T395" i="5"/>
  <c r="AH352" i="5"/>
  <c r="AJ351" i="5"/>
  <c r="AF361" i="5"/>
  <c r="AJ360" i="5"/>
  <c r="AI359" i="5"/>
  <c r="S358" i="5"/>
  <c r="AJ357" i="5"/>
  <c r="T355" i="5"/>
  <c r="F135" i="7" s="1"/>
  <c r="AA354" i="5"/>
  <c r="AL354" i="5" s="1"/>
  <c r="V353" i="5"/>
  <c r="W322" i="5"/>
  <c r="H102" i="10" s="1"/>
  <c r="AF319" i="5"/>
  <c r="W318" i="5"/>
  <c r="H100" i="10" s="1"/>
  <c r="AH317" i="5"/>
  <c r="AI315" i="5"/>
  <c r="S315" i="5"/>
  <c r="AJ313" i="5"/>
  <c r="T313" i="5"/>
  <c r="F120" i="7" s="1"/>
  <c r="X311" i="5"/>
  <c r="AI268" i="5"/>
  <c r="S268" i="5"/>
  <c r="AD267" i="5"/>
  <c r="AG267" i="5" s="1"/>
  <c r="AK280" i="5"/>
  <c r="U280" i="5"/>
  <c r="AD279" i="5"/>
  <c r="AG279" i="5" s="1"/>
  <c r="AC276" i="5"/>
  <c r="AJ275" i="5"/>
  <c r="T275" i="5"/>
  <c r="F107" i="7" s="1"/>
  <c r="AA274" i="5"/>
  <c r="AL274" i="5" s="1"/>
  <c r="V273" i="5"/>
  <c r="AC272" i="5"/>
  <c r="V271" i="5"/>
  <c r="AI270" i="5"/>
  <c r="S270" i="5"/>
  <c r="X240" i="5"/>
  <c r="AI252" i="5"/>
  <c r="S252" i="5"/>
  <c r="AD251" i="5"/>
  <c r="AG251" i="5" s="1"/>
  <c r="AK250" i="5"/>
  <c r="U250" i="5"/>
  <c r="AD249" i="5"/>
  <c r="AG249" i="5" s="1"/>
  <c r="AC246" i="5"/>
  <c r="AJ245" i="5"/>
  <c r="T245" i="5"/>
  <c r="F96" i="7" s="1"/>
  <c r="V243" i="5"/>
  <c r="AC242" i="5"/>
  <c r="V241" i="5"/>
  <c r="AK226" i="5"/>
  <c r="U226" i="5"/>
  <c r="Y226" i="5" s="1"/>
  <c r="AC238" i="5"/>
  <c r="AJ237" i="5"/>
  <c r="T237" i="5"/>
  <c r="F94" i="7" s="1"/>
  <c r="V235" i="5"/>
  <c r="AC234" i="5"/>
  <c r="V233" i="5"/>
  <c r="AI232" i="5"/>
  <c r="S232" i="5"/>
  <c r="AK230" i="5"/>
  <c r="U230" i="5"/>
  <c r="AI228" i="5"/>
  <c r="S228" i="5"/>
  <c r="AD227" i="5"/>
  <c r="AG227" i="5" s="1"/>
  <c r="AI197" i="5"/>
  <c r="S197" i="5"/>
  <c r="AJ209" i="5"/>
  <c r="T209" i="5"/>
  <c r="F84" i="7" s="1"/>
  <c r="X207" i="5"/>
  <c r="Z205" i="5"/>
  <c r="AE205" i="5" s="1"/>
  <c r="W202" i="5"/>
  <c r="AF199" i="5"/>
  <c r="AD183" i="5"/>
  <c r="AG183" i="5" s="1"/>
  <c r="AF195" i="5"/>
  <c r="S195" i="5"/>
  <c r="AK194" i="5"/>
  <c r="X194" i="5"/>
  <c r="AH193" i="5"/>
  <c r="V193" i="5"/>
  <c r="AF189" i="5"/>
  <c r="S189" i="5"/>
  <c r="T188" i="5"/>
  <c r="T187" i="5"/>
  <c r="Z186" i="5"/>
  <c r="AJ185" i="5"/>
  <c r="W185" i="5"/>
  <c r="AF72" i="5"/>
  <c r="U72" i="5"/>
  <c r="W84" i="5"/>
  <c r="H34" i="10" s="1"/>
  <c r="AF83" i="5"/>
  <c r="V83" i="5"/>
  <c r="AJ81" i="5"/>
  <c r="AI80" i="5"/>
  <c r="X80" i="5"/>
  <c r="AD79" i="5"/>
  <c r="AG79" i="5" s="1"/>
  <c r="S79" i="5"/>
  <c r="AC78" i="5"/>
  <c r="AJ77" i="5"/>
  <c r="T76" i="5"/>
  <c r="AD75" i="5"/>
  <c r="AG75" i="5" s="1"/>
  <c r="S75" i="5"/>
  <c r="AJ74" i="5"/>
  <c r="V73" i="5"/>
  <c r="T58" i="5"/>
  <c r="AH69" i="5"/>
  <c r="X69" i="5"/>
  <c r="AD68" i="5"/>
  <c r="AG68" i="5" s="1"/>
  <c r="S68" i="5"/>
  <c r="AC67" i="5"/>
  <c r="AH66" i="5"/>
  <c r="W66" i="5"/>
  <c r="H28" i="10" s="1"/>
  <c r="AF65" i="5"/>
  <c r="U65" i="5"/>
  <c r="T64" i="5"/>
  <c r="F27" i="10" s="1"/>
  <c r="AJ63" i="5"/>
  <c r="Z63" i="5"/>
  <c r="I31" i="7" s="1"/>
  <c r="AI62" i="5"/>
  <c r="AF61" i="5"/>
  <c r="U61" i="5"/>
  <c r="AK59" i="5"/>
  <c r="Z59" i="5"/>
  <c r="AE59" i="5" s="1"/>
  <c r="AH44" i="5"/>
  <c r="W44" i="5"/>
  <c r="V43" i="5"/>
  <c r="AF56" i="5"/>
  <c r="U56" i="5"/>
  <c r="Y56" i="5" s="1"/>
  <c r="AK54" i="5"/>
  <c r="Z54" i="5"/>
  <c r="W53" i="5"/>
  <c r="H28" i="7" s="1"/>
  <c r="V50" i="5"/>
  <c r="F26" i="7"/>
  <c r="AC48" i="5"/>
  <c r="S48" i="5"/>
  <c r="AI47" i="5"/>
  <c r="AH46" i="5"/>
  <c r="X46" i="5"/>
  <c r="T45" i="5"/>
  <c r="AJ30" i="5"/>
  <c r="AH29" i="5"/>
  <c r="W29" i="5"/>
  <c r="F23" i="7"/>
  <c r="AF36" i="5"/>
  <c r="V36" i="5"/>
  <c r="AK34" i="5"/>
  <c r="Z34" i="5"/>
  <c r="AI33" i="5"/>
  <c r="AH32" i="5"/>
  <c r="AC366" i="5"/>
  <c r="AJ365" i="5"/>
  <c r="T378" i="5"/>
  <c r="F118" i="10" s="1"/>
  <c r="AD377" i="5"/>
  <c r="AG377" i="5" s="1"/>
  <c r="S377" i="5"/>
  <c r="AJ376" i="5"/>
  <c r="V375" i="5"/>
  <c r="AF374" i="5"/>
  <c r="U374" i="5"/>
  <c r="AA373" i="5"/>
  <c r="AL373" i="5" s="1"/>
  <c r="AK372" i="5"/>
  <c r="Z372" i="5"/>
  <c r="W371" i="5"/>
  <c r="H141" i="7" s="1"/>
  <c r="V368" i="5"/>
  <c r="AD367" i="5"/>
  <c r="AG367" i="5" s="1"/>
  <c r="T367" i="5"/>
  <c r="AC281" i="5"/>
  <c r="T281" i="5"/>
  <c r="X294" i="5"/>
  <c r="AJ293" i="5"/>
  <c r="W292" i="5"/>
  <c r="H93" i="10" s="1"/>
  <c r="AD291" i="5"/>
  <c r="AG291" i="5" s="1"/>
  <c r="V291" i="5"/>
  <c r="AK290" i="5"/>
  <c r="AC290" i="5"/>
  <c r="U290" i="5"/>
  <c r="AJ289" i="5"/>
  <c r="T289" i="5"/>
  <c r="F112" i="7" s="1"/>
  <c r="AI288" i="5"/>
  <c r="S288" i="5"/>
  <c r="AH287" i="5"/>
  <c r="Z287" i="5"/>
  <c r="AF285" i="5"/>
  <c r="X285" i="5"/>
  <c r="W284" i="5"/>
  <c r="AD283" i="5"/>
  <c r="AG283" i="5" s="1"/>
  <c r="V283" i="5"/>
  <c r="AK254" i="5"/>
  <c r="AC254" i="5"/>
  <c r="U254" i="5"/>
  <c r="AJ253" i="5"/>
  <c r="T253" i="5"/>
  <c r="AI266" i="5"/>
  <c r="S266" i="5"/>
  <c r="AH265" i="5"/>
  <c r="Z265" i="5"/>
  <c r="AF263" i="5"/>
  <c r="X263" i="5"/>
  <c r="W262" i="5"/>
  <c r="H84" i="10" s="1"/>
  <c r="AD261" i="5"/>
  <c r="AG261" i="5" s="1"/>
  <c r="V261" i="5"/>
  <c r="AK260" i="5"/>
  <c r="AC260" i="5"/>
  <c r="U260" i="5"/>
  <c r="AJ259" i="5"/>
  <c r="T259" i="5"/>
  <c r="F101" i="7" s="1"/>
  <c r="AI258" i="5"/>
  <c r="S258" i="5"/>
  <c r="AH257" i="5"/>
  <c r="Z257" i="5"/>
  <c r="AF255" i="5"/>
  <c r="X255" i="5"/>
  <c r="W156" i="5"/>
  <c r="AD155" i="5"/>
  <c r="AG155" i="5" s="1"/>
  <c r="V155" i="5"/>
  <c r="AK168" i="5"/>
  <c r="AC168" i="5"/>
  <c r="U168" i="5"/>
  <c r="AJ167" i="5"/>
  <c r="T167" i="5"/>
  <c r="F69" i="7" s="1"/>
  <c r="AI166" i="5"/>
  <c r="S166" i="5"/>
  <c r="AH165" i="5"/>
  <c r="Z165" i="5"/>
  <c r="AF163" i="5"/>
  <c r="X163" i="5"/>
  <c r="W162" i="5"/>
  <c r="H55" i="10" s="1"/>
  <c r="AD161" i="5"/>
  <c r="AG161" i="5" s="1"/>
  <c r="V161" i="5"/>
  <c r="AD407" i="5"/>
  <c r="AG407" i="5" s="1"/>
  <c r="T420" i="5"/>
  <c r="F130" i="10" s="1"/>
  <c r="AI419" i="5"/>
  <c r="S418" i="5"/>
  <c r="W415" i="5"/>
  <c r="H157" i="7" s="1"/>
  <c r="AD413" i="5"/>
  <c r="AG413" i="5" s="1"/>
  <c r="AD411" i="5"/>
  <c r="AG411" i="5" s="1"/>
  <c r="AK410" i="5"/>
  <c r="AH409" i="5"/>
  <c r="AH393" i="5"/>
  <c r="AD406" i="5"/>
  <c r="AG406" i="5" s="1"/>
  <c r="AD405" i="5"/>
  <c r="AG405" i="5" s="1"/>
  <c r="AD403" i="5"/>
  <c r="AG403" i="5" s="1"/>
  <c r="AK402" i="5"/>
  <c r="AH401" i="5"/>
  <c r="AI400" i="5"/>
  <c r="AH399" i="5"/>
  <c r="AD398" i="5"/>
  <c r="AG398" i="5" s="1"/>
  <c r="AD397" i="5"/>
  <c r="AG397" i="5" s="1"/>
  <c r="AD395" i="5"/>
  <c r="AG395" i="5" s="1"/>
  <c r="U352" i="5"/>
  <c r="Z351" i="5"/>
  <c r="Z363" i="5"/>
  <c r="V362" i="5"/>
  <c r="V361" i="5"/>
  <c r="W360" i="5"/>
  <c r="H112" i="10" s="1"/>
  <c r="V359" i="5"/>
  <c r="AC358" i="5"/>
  <c r="Z357" i="5"/>
  <c r="AE357" i="5" s="1"/>
  <c r="AI354" i="5"/>
  <c r="S354" i="5"/>
  <c r="AD353" i="5"/>
  <c r="AG353" i="5" s="1"/>
  <c r="AI309" i="5"/>
  <c r="S309" i="5"/>
  <c r="AJ321" i="5"/>
  <c r="T321" i="5"/>
  <c r="F124" i="7" s="1"/>
  <c r="X319" i="5"/>
  <c r="Z317" i="5"/>
  <c r="AA315" i="5"/>
  <c r="AL315" i="5" s="1"/>
  <c r="W314" i="5"/>
  <c r="AF311" i="5"/>
  <c r="V267" i="5"/>
  <c r="AC280" i="5"/>
  <c r="V279" i="5"/>
  <c r="AI278" i="5"/>
  <c r="S278" i="5"/>
  <c r="AK276" i="5"/>
  <c r="U276" i="5"/>
  <c r="AI274" i="5"/>
  <c r="S274" i="5"/>
  <c r="AD273" i="5"/>
  <c r="AG273" i="5" s="1"/>
  <c r="AK272" i="5"/>
  <c r="U272" i="5"/>
  <c r="AD271" i="5"/>
  <c r="AG271" i="5" s="1"/>
  <c r="AF240" i="5"/>
  <c r="AJ239" i="5"/>
  <c r="T239" i="5"/>
  <c r="V251" i="5"/>
  <c r="AC250" i="5"/>
  <c r="V249" i="5"/>
  <c r="AI248" i="5"/>
  <c r="S248" i="5"/>
  <c r="AK246" i="5"/>
  <c r="U246" i="5"/>
  <c r="AI244" i="5"/>
  <c r="S244" i="5"/>
  <c r="AD243" i="5"/>
  <c r="AG243" i="5" s="1"/>
  <c r="AK242" i="5"/>
  <c r="U242" i="5"/>
  <c r="AD241" i="5"/>
  <c r="AG241" i="5" s="1"/>
  <c r="AC226" i="5"/>
  <c r="AK238" i="5"/>
  <c r="U238" i="5"/>
  <c r="AI236" i="5"/>
  <c r="S236" i="5"/>
  <c r="AD235" i="5"/>
  <c r="AG235" i="5" s="1"/>
  <c r="AK234" i="5"/>
  <c r="U234" i="5"/>
  <c r="AD233" i="5"/>
  <c r="AG233" i="5" s="1"/>
  <c r="AC230" i="5"/>
  <c r="AJ229" i="5"/>
  <c r="T229" i="5"/>
  <c r="F90" i="7" s="1"/>
  <c r="AA228" i="5"/>
  <c r="AL228" i="5" s="1"/>
  <c r="V227" i="5"/>
  <c r="W210" i="5"/>
  <c r="H70" i="10" s="1"/>
  <c r="AF207" i="5"/>
  <c r="W206" i="5"/>
  <c r="H68" i="10" s="1"/>
  <c r="AH205" i="5"/>
  <c r="AI203" i="5"/>
  <c r="S203" i="5"/>
  <c r="AJ201" i="5"/>
  <c r="T201" i="5"/>
  <c r="F80" i="7" s="1"/>
  <c r="X199" i="5"/>
  <c r="AI184" i="5"/>
  <c r="S184" i="5"/>
  <c r="AK183" i="5"/>
  <c r="X183" i="5"/>
  <c r="AK196" i="5"/>
  <c r="AF192" i="5"/>
  <c r="S192" i="5"/>
  <c r="AH191" i="5"/>
  <c r="U191" i="5"/>
  <c r="T190" i="5"/>
  <c r="F63" i="10" s="1"/>
  <c r="Z189" i="5"/>
  <c r="Z188" i="5"/>
  <c r="AE188" i="5" s="1"/>
  <c r="AF186" i="5"/>
  <c r="S186" i="5"/>
  <c r="AD185" i="5"/>
  <c r="AG185" i="5" s="1"/>
  <c r="AK72" i="5"/>
  <c r="Z72" i="5"/>
  <c r="W71" i="5"/>
  <c r="V82" i="5"/>
  <c r="AD81" i="5"/>
  <c r="AG81" i="5" s="1"/>
  <c r="T81" i="5"/>
  <c r="F38" i="7" s="1"/>
  <c r="AC80" i="5"/>
  <c r="S80" i="5"/>
  <c r="AI79" i="5"/>
  <c r="AH78" i="5"/>
  <c r="X78" i="5"/>
  <c r="T77" i="5"/>
  <c r="F36" i="7" s="1"/>
  <c r="AJ76" i="5"/>
  <c r="AI75" i="5"/>
  <c r="X75" i="5"/>
  <c r="AD74" i="5"/>
  <c r="AG74" i="5" s="1"/>
  <c r="T74" i="5"/>
  <c r="AJ58" i="5"/>
  <c r="Z58" i="5"/>
  <c r="AH57" i="5"/>
  <c r="W57" i="5"/>
  <c r="V70" i="5"/>
  <c r="AC69" i="5"/>
  <c r="AI68" i="5"/>
  <c r="X68" i="5"/>
  <c r="AH67" i="5"/>
  <c r="W67" i="5"/>
  <c r="H33" i="7" s="1"/>
  <c r="AC66" i="5"/>
  <c r="AK65" i="5"/>
  <c r="AJ64" i="5"/>
  <c r="Z64" i="5"/>
  <c r="T63" i="5"/>
  <c r="F31" i="7" s="1"/>
  <c r="AD62" i="5"/>
  <c r="AG62" i="5" s="1"/>
  <c r="S62" i="5"/>
  <c r="AK61" i="5"/>
  <c r="Z61" i="5"/>
  <c r="AF60" i="5"/>
  <c r="V60" i="5"/>
  <c r="U59" i="5"/>
  <c r="AC44" i="5"/>
  <c r="AK56" i="5"/>
  <c r="V55" i="5"/>
  <c r="AF54" i="5"/>
  <c r="U54" i="5"/>
  <c r="W52" i="5"/>
  <c r="H24" i="10" s="1"/>
  <c r="AF51" i="5"/>
  <c r="V51" i="5"/>
  <c r="AI48" i="5"/>
  <c r="X48" i="5"/>
  <c r="AD47" i="5"/>
  <c r="AG47" i="5" s="1"/>
  <c r="S47" i="5"/>
  <c r="AC46" i="5"/>
  <c r="AJ45" i="5"/>
  <c r="T30" i="5"/>
  <c r="AC29" i="5"/>
  <c r="H22" i="10"/>
  <c r="AA36" i="5"/>
  <c r="AL36" i="5" s="1"/>
  <c r="AK35" i="5"/>
  <c r="Z35" i="5"/>
  <c r="AC33" i="5"/>
  <c r="S33" i="5"/>
  <c r="AH31" i="5"/>
  <c r="AH366" i="5"/>
  <c r="X366" i="5"/>
  <c r="T365" i="5"/>
  <c r="AJ378" i="5"/>
  <c r="AI377" i="5"/>
  <c r="X377" i="5"/>
  <c r="AD376" i="5"/>
  <c r="AG376" i="5" s="1"/>
  <c r="T376" i="5"/>
  <c r="F117" i="10" s="1"/>
  <c r="AK374" i="5"/>
  <c r="V373" i="5"/>
  <c r="AF372" i="5"/>
  <c r="U372" i="5"/>
  <c r="W370" i="5"/>
  <c r="AF369" i="5"/>
  <c r="V369" i="5"/>
  <c r="AJ367" i="5"/>
  <c r="AH282" i="5"/>
  <c r="W282" i="5"/>
  <c r="AH281" i="5"/>
  <c r="AK294" i="5"/>
  <c r="S294" i="5"/>
  <c r="AF293" i="5"/>
  <c r="W293" i="5"/>
  <c r="H114" i="7" s="1"/>
  <c r="AI292" i="5"/>
  <c r="S292" i="5"/>
  <c r="AH291" i="5"/>
  <c r="Z291" i="5"/>
  <c r="AF289" i="5"/>
  <c r="X289" i="5"/>
  <c r="W288" i="5"/>
  <c r="H91" i="10" s="1"/>
  <c r="AD287" i="5"/>
  <c r="AG287" i="5" s="1"/>
  <c r="V287" i="5"/>
  <c r="AK286" i="5"/>
  <c r="AC286" i="5"/>
  <c r="U286" i="5"/>
  <c r="Y286" i="5" s="1"/>
  <c r="AJ285" i="5"/>
  <c r="T285" i="5"/>
  <c r="F110" i="7" s="1"/>
  <c r="AI284" i="5"/>
  <c r="S284" i="5"/>
  <c r="AH283" i="5"/>
  <c r="Z283" i="5"/>
  <c r="AK412" i="5"/>
  <c r="AI411" i="5"/>
  <c r="U410" i="5"/>
  <c r="AF405" i="5"/>
  <c r="T404" i="5"/>
  <c r="F125" i="10" s="1"/>
  <c r="AK397" i="5"/>
  <c r="AJ396" i="5"/>
  <c r="S395" i="5"/>
  <c r="AJ309" i="5"/>
  <c r="AK322" i="5"/>
  <c r="Z319" i="5"/>
  <c r="AI318" i="5"/>
  <c r="W311" i="5"/>
  <c r="U278" i="5"/>
  <c r="Z247" i="5"/>
  <c r="AH245" i="5"/>
  <c r="AK243" i="5"/>
  <c r="S230" i="5"/>
  <c r="X227" i="5"/>
  <c r="AK198" i="5"/>
  <c r="W207" i="5"/>
  <c r="H83" i="7" s="1"/>
  <c r="T203" i="5"/>
  <c r="F81" i="7" s="1"/>
  <c r="U202" i="5"/>
  <c r="AA195" i="5"/>
  <c r="AL195" i="5" s="1"/>
  <c r="AI194" i="5"/>
  <c r="T193" i="5"/>
  <c r="F78" i="7" s="1"/>
  <c r="X186" i="5"/>
  <c r="AH185" i="5"/>
  <c r="AA72" i="5"/>
  <c r="U83" i="5"/>
  <c r="G39" i="7" s="1"/>
  <c r="AK82" i="5"/>
  <c r="AI81" i="5"/>
  <c r="W80" i="5"/>
  <c r="Z78" i="5"/>
  <c r="T73" i="5"/>
  <c r="AK58" i="5"/>
  <c r="Z57" i="5"/>
  <c r="AE57" i="5" s="1"/>
  <c r="AK70" i="5"/>
  <c r="W69" i="5"/>
  <c r="H34" i="7" s="1"/>
  <c r="AC65" i="5"/>
  <c r="AF62" i="5"/>
  <c r="AC61" i="5"/>
  <c r="AF59" i="5"/>
  <c r="AJ44" i="5"/>
  <c r="S43" i="5"/>
  <c r="AI55" i="5"/>
  <c r="AI54" i="5"/>
  <c r="AF53" i="5"/>
  <c r="AD52" i="5"/>
  <c r="AG52" i="5" s="1"/>
  <c r="AI51" i="5"/>
  <c r="AH50" i="5"/>
  <c r="AJ47" i="5"/>
  <c r="AI30" i="5"/>
  <c r="U29" i="5"/>
  <c r="AD33" i="5"/>
  <c r="AG33" i="5" s="1"/>
  <c r="AB32" i="5"/>
  <c r="W365" i="5"/>
  <c r="U377" i="5"/>
  <c r="AC376" i="5"/>
  <c r="U375" i="5"/>
  <c r="AC372" i="5"/>
  <c r="AI370" i="5"/>
  <c r="T370" i="5"/>
  <c r="AK369" i="5"/>
  <c r="W369" i="5"/>
  <c r="H140" i="7" s="1"/>
  <c r="AH368" i="5"/>
  <c r="T368" i="5"/>
  <c r="X367" i="5"/>
  <c r="AK282" i="5"/>
  <c r="X282" i="5"/>
  <c r="AI294" i="5"/>
  <c r="V294" i="5"/>
  <c r="Z293" i="5"/>
  <c r="AD292" i="5"/>
  <c r="AG292" i="5" s="1"/>
  <c r="T292" i="5"/>
  <c r="F93" i="10" s="1"/>
  <c r="AI290" i="5"/>
  <c r="X290" i="5"/>
  <c r="V289" i="5"/>
  <c r="AC288" i="5"/>
  <c r="AK287" i="5"/>
  <c r="AH286" i="5"/>
  <c r="W286" i="5"/>
  <c r="U285" i="5"/>
  <c r="Y285" i="5" s="1"/>
  <c r="AJ283" i="5"/>
  <c r="AH254" i="5"/>
  <c r="AC253" i="5"/>
  <c r="S253" i="5"/>
  <c r="AD266" i="5"/>
  <c r="AG266" i="5" s="1"/>
  <c r="U266" i="5"/>
  <c r="AF265" i="5"/>
  <c r="W265" i="5"/>
  <c r="H104" i="7" s="1"/>
  <c r="AJ264" i="5"/>
  <c r="AA264" i="5"/>
  <c r="AL264" i="5" s="1"/>
  <c r="AC263" i="5"/>
  <c r="T263" i="5"/>
  <c r="F103" i="7" s="1"/>
  <c r="X262" i="5"/>
  <c r="AJ261" i="5"/>
  <c r="S260" i="5"/>
  <c r="AF259" i="5"/>
  <c r="W259" i="5"/>
  <c r="H101" i="7" s="1"/>
  <c r="X258" i="5"/>
  <c r="AJ257" i="5"/>
  <c r="AD256" i="5"/>
  <c r="AG256" i="5" s="1"/>
  <c r="U256" i="5"/>
  <c r="W255" i="5"/>
  <c r="AK156" i="5"/>
  <c r="AR156" i="5" s="1"/>
  <c r="S156" i="5"/>
  <c r="AF155" i="5"/>
  <c r="W155" i="5"/>
  <c r="X168" i="5"/>
  <c r="AK167" i="5"/>
  <c r="AA167" i="5"/>
  <c r="AL167" i="5" s="1"/>
  <c r="AC166" i="5"/>
  <c r="T166" i="5"/>
  <c r="F57" i="10" s="1"/>
  <c r="V165" i="5"/>
  <c r="AI164" i="5"/>
  <c r="Z164" i="5"/>
  <c r="AK163" i="5"/>
  <c r="S163" i="5"/>
  <c r="AF162" i="5"/>
  <c r="V162" i="5"/>
  <c r="AI161" i="5"/>
  <c r="Z161" i="5"/>
  <c r="AF160" i="5"/>
  <c r="X160" i="5"/>
  <c r="W159" i="5"/>
  <c r="AD158" i="5"/>
  <c r="AG158" i="5" s="1"/>
  <c r="V158" i="5"/>
  <c r="AK157" i="5"/>
  <c r="AC157" i="5"/>
  <c r="U157" i="5"/>
  <c r="Y157" i="5" s="1"/>
  <c r="AJ128" i="5"/>
  <c r="T128" i="5"/>
  <c r="AI127" i="5"/>
  <c r="AA127" i="5"/>
  <c r="S127" i="5"/>
  <c r="AH140" i="5"/>
  <c r="Z140" i="5"/>
  <c r="AF138" i="5"/>
  <c r="X138" i="5"/>
  <c r="W137" i="5"/>
  <c r="AD136" i="5"/>
  <c r="AG136" i="5" s="1"/>
  <c r="V136" i="5"/>
  <c r="AK135" i="5"/>
  <c r="AC135" i="5"/>
  <c r="U135" i="5"/>
  <c r="AJ134" i="5"/>
  <c r="T134" i="5"/>
  <c r="F47" i="10" s="1"/>
  <c r="AI133" i="5"/>
  <c r="S133" i="5"/>
  <c r="AH132" i="5"/>
  <c r="Z132" i="5"/>
  <c r="AF130" i="5"/>
  <c r="X130" i="5"/>
  <c r="W129" i="5"/>
  <c r="AD86" i="5"/>
  <c r="AG86" i="5" s="1"/>
  <c r="V86" i="5"/>
  <c r="AK85" i="5"/>
  <c r="AC85" i="5"/>
  <c r="U85" i="5"/>
  <c r="AJ98" i="5"/>
  <c r="T98" i="5"/>
  <c r="F38" i="10" s="1"/>
  <c r="AI97" i="5"/>
  <c r="AA97" i="5"/>
  <c r="AL97" i="5" s="1"/>
  <c r="S97" i="5"/>
  <c r="AH96" i="5"/>
  <c r="Z96" i="5"/>
  <c r="AF94" i="5"/>
  <c r="X94" i="5"/>
  <c r="W93" i="5"/>
  <c r="H42" i="7" s="1"/>
  <c r="AD92" i="5"/>
  <c r="AG92" i="5" s="1"/>
  <c r="V92" i="5"/>
  <c r="AK91" i="5"/>
  <c r="AC91" i="5"/>
  <c r="U91" i="5"/>
  <c r="AJ90" i="5"/>
  <c r="T90" i="5"/>
  <c r="AI89" i="5"/>
  <c r="S89" i="5"/>
  <c r="AH88" i="5"/>
  <c r="Z88" i="5"/>
  <c r="AF380" i="5"/>
  <c r="X380" i="5"/>
  <c r="W379" i="5"/>
  <c r="AD392" i="5"/>
  <c r="AG392" i="5" s="1"/>
  <c r="V392" i="5"/>
  <c r="AK391" i="5"/>
  <c r="AC391" i="5"/>
  <c r="U391" i="5"/>
  <c r="AJ390" i="5"/>
  <c r="T390" i="5"/>
  <c r="F121" i="10" s="1"/>
  <c r="AI389" i="5"/>
  <c r="AA389" i="5"/>
  <c r="AL389" i="5" s="1"/>
  <c r="S389" i="5"/>
  <c r="AH388" i="5"/>
  <c r="Z388" i="5"/>
  <c r="AF386" i="5"/>
  <c r="X386" i="5"/>
  <c r="W385" i="5"/>
  <c r="H146" i="7" s="1"/>
  <c r="AD384" i="5"/>
  <c r="AG384" i="5" s="1"/>
  <c r="V384" i="5"/>
  <c r="AK383" i="5"/>
  <c r="AC383" i="5"/>
  <c r="U383" i="5"/>
  <c r="AJ382" i="5"/>
  <c r="T382" i="5"/>
  <c r="AI381" i="5"/>
  <c r="AA381" i="5"/>
  <c r="AL381" i="5" s="1"/>
  <c r="S381" i="5"/>
  <c r="AJ338" i="5"/>
  <c r="T338" i="5"/>
  <c r="AI337" i="5"/>
  <c r="AA337" i="5"/>
  <c r="S337" i="5"/>
  <c r="AH350" i="5"/>
  <c r="Z350" i="5"/>
  <c r="AF348" i="5"/>
  <c r="X348" i="5"/>
  <c r="W347" i="5"/>
  <c r="H133" i="7" s="1"/>
  <c r="AD346" i="5"/>
  <c r="AG346" i="5" s="1"/>
  <c r="V346" i="5"/>
  <c r="AK345" i="5"/>
  <c r="AC345" i="5"/>
  <c r="U345" i="5"/>
  <c r="AJ344" i="5"/>
  <c r="T344" i="5"/>
  <c r="F107" i="10" s="1"/>
  <c r="AI343" i="5"/>
  <c r="AA343" i="5"/>
  <c r="AL343" i="5" s="1"/>
  <c r="S343" i="5"/>
  <c r="AH342" i="5"/>
  <c r="U420" i="5"/>
  <c r="Y420" i="5" s="1"/>
  <c r="AH418" i="5"/>
  <c r="AH417" i="5"/>
  <c r="AK413" i="5"/>
  <c r="AJ412" i="5"/>
  <c r="S411" i="5"/>
  <c r="S410" i="5"/>
  <c r="X394" i="5"/>
  <c r="AF397" i="5"/>
  <c r="T396" i="5"/>
  <c r="AC352" i="5"/>
  <c r="AH357" i="5"/>
  <c r="AH355" i="5"/>
  <c r="AK353" i="5"/>
  <c r="X309" i="5"/>
  <c r="AI322" i="5"/>
  <c r="AF317" i="5"/>
  <c r="T311" i="5"/>
  <c r="Z277" i="5"/>
  <c r="AH275" i="5"/>
  <c r="AK273" i="5"/>
  <c r="U240" i="5"/>
  <c r="Z239" i="5"/>
  <c r="AF245" i="5"/>
  <c r="AH243" i="5"/>
  <c r="AJ241" i="5"/>
  <c r="Z225" i="5"/>
  <c r="AH237" i="5"/>
  <c r="AK235" i="5"/>
  <c r="AJ198" i="5"/>
  <c r="T207" i="5"/>
  <c r="F83" i="7" s="1"/>
  <c r="AK205" i="5"/>
  <c r="S202" i="5"/>
  <c r="V201" i="5"/>
  <c r="AK200" i="5"/>
  <c r="W184" i="5"/>
  <c r="AH194" i="5"/>
  <c r="X192" i="5"/>
  <c r="W190" i="5"/>
  <c r="H63" i="10" s="1"/>
  <c r="W186" i="5"/>
  <c r="S72" i="5"/>
  <c r="AD84" i="5"/>
  <c r="AG84" i="5" s="1"/>
  <c r="S83" i="5"/>
  <c r="AJ82" i="5"/>
  <c r="U80" i="5"/>
  <c r="AH77" i="5"/>
  <c r="W74" i="5"/>
  <c r="S73" i="5"/>
  <c r="AC58" i="5"/>
  <c r="AI70" i="5"/>
  <c r="U69" i="5"/>
  <c r="G34" i="7" s="1"/>
  <c r="Z67" i="5"/>
  <c r="I33" i="7" s="1"/>
  <c r="U64" i="5"/>
  <c r="W63" i="5"/>
  <c r="H31" i="7" s="1"/>
  <c r="Z62" i="5"/>
  <c r="AI43" i="5"/>
  <c r="AH56" i="5"/>
  <c r="AH55" i="5"/>
  <c r="AH54" i="5"/>
  <c r="AA52" i="5"/>
  <c r="AL52" i="5" s="1"/>
  <c r="AH51" i="5"/>
  <c r="AK48" i="5"/>
  <c r="AH47" i="5"/>
  <c r="AF46" i="5"/>
  <c r="AK45" i="5"/>
  <c r="S29" i="5"/>
  <c r="AD36" i="5"/>
  <c r="AG36" i="5" s="1"/>
  <c r="S35" i="5"/>
  <c r="AD31" i="5"/>
  <c r="AG31" i="5" s="1"/>
  <c r="Z366" i="5"/>
  <c r="AK365" i="5"/>
  <c r="U365" i="5"/>
  <c r="Y365" i="5" s="1"/>
  <c r="AK377" i="5"/>
  <c r="Z376" i="5"/>
  <c r="AK375" i="5"/>
  <c r="T375" i="5"/>
  <c r="F143" i="7" s="1"/>
  <c r="Z374" i="5"/>
  <c r="AE374" i="5" s="1"/>
  <c r="AK371" i="5"/>
  <c r="X371" i="5"/>
  <c r="AF370" i="5"/>
  <c r="S370" i="5"/>
  <c r="AI369" i="5"/>
  <c r="U369" i="5"/>
  <c r="AK367" i="5"/>
  <c r="V367" i="5"/>
  <c r="AJ282" i="5"/>
  <c r="U282" i="5"/>
  <c r="AA281" i="5"/>
  <c r="AH294" i="5"/>
  <c r="U294" i="5"/>
  <c r="AK293" i="5"/>
  <c r="AC292" i="5"/>
  <c r="AK291" i="5"/>
  <c r="AA291" i="5"/>
  <c r="AL291" i="5" s="1"/>
  <c r="AH290" i="5"/>
  <c r="W290" i="5"/>
  <c r="H92" i="10" s="1"/>
  <c r="U289" i="5"/>
  <c r="AJ287" i="5"/>
  <c r="AF286" i="5"/>
  <c r="V286" i="5"/>
  <c r="AD285" i="5"/>
  <c r="AG285" i="5" s="1"/>
  <c r="S285" i="5"/>
  <c r="AK284" i="5"/>
  <c r="Z284" i="5"/>
  <c r="AI283" i="5"/>
  <c r="X283" i="5"/>
  <c r="X254" i="5"/>
  <c r="AK253" i="5"/>
  <c r="AC266" i="5"/>
  <c r="T266" i="5"/>
  <c r="F86" i="10" s="1"/>
  <c r="V265" i="5"/>
  <c r="AI264" i="5"/>
  <c r="Z264" i="5"/>
  <c r="AK263" i="5"/>
  <c r="S263" i="5"/>
  <c r="AF262" i="5"/>
  <c r="V262" i="5"/>
  <c r="AI261" i="5"/>
  <c r="Z261" i="5"/>
  <c r="AJ260" i="5"/>
  <c r="V259" i="5"/>
  <c r="AF258" i="5"/>
  <c r="W258" i="5"/>
  <c r="AI257" i="5"/>
  <c r="AC256" i="5"/>
  <c r="T256" i="5"/>
  <c r="V255" i="5"/>
  <c r="AJ156" i="5"/>
  <c r="U155" i="5"/>
  <c r="Y155" i="5" s="1"/>
  <c r="AF168" i="5"/>
  <c r="W168" i="5"/>
  <c r="H58" i="10" s="1"/>
  <c r="AI167" i="5"/>
  <c r="Z167" i="5"/>
  <c r="AK166" i="5"/>
  <c r="AD165" i="5"/>
  <c r="AG165" i="5" s="1"/>
  <c r="U165" i="5"/>
  <c r="AH164" i="5"/>
  <c r="X164" i="5"/>
  <c r="AJ163" i="5"/>
  <c r="AA163" i="5"/>
  <c r="AL163" i="5" s="1"/>
  <c r="AD162" i="5"/>
  <c r="AG162" i="5" s="1"/>
  <c r="U162" i="5"/>
  <c r="Y162" i="5" s="1"/>
  <c r="AH161" i="5"/>
  <c r="W160" i="5"/>
  <c r="AD159" i="5"/>
  <c r="AG159" i="5" s="1"/>
  <c r="V159" i="5"/>
  <c r="AK158" i="5"/>
  <c r="AC158" i="5"/>
  <c r="U158" i="5"/>
  <c r="AJ157" i="5"/>
  <c r="T157" i="5"/>
  <c r="AI128" i="5"/>
  <c r="S128" i="5"/>
  <c r="AH127" i="5"/>
  <c r="Z127" i="5"/>
  <c r="AF139" i="5"/>
  <c r="X139" i="5"/>
  <c r="W138" i="5"/>
  <c r="H49" i="10" s="1"/>
  <c r="AD137" i="5"/>
  <c r="AG137" i="5" s="1"/>
  <c r="V137" i="5"/>
  <c r="AK136" i="5"/>
  <c r="AC136" i="5"/>
  <c r="U136" i="5"/>
  <c r="AJ135" i="5"/>
  <c r="T135" i="5"/>
  <c r="F57" i="7" s="1"/>
  <c r="AI134" i="5"/>
  <c r="AA134" i="5"/>
  <c r="AL134" i="5" s="1"/>
  <c r="S134" i="5"/>
  <c r="AH133" i="5"/>
  <c r="Z133" i="5"/>
  <c r="AF131" i="5"/>
  <c r="X131" i="5"/>
  <c r="W130" i="5"/>
  <c r="AD129" i="5"/>
  <c r="AG129" i="5" s="1"/>
  <c r="V129" i="5"/>
  <c r="AK86" i="5"/>
  <c r="AC86" i="5"/>
  <c r="U86" i="5"/>
  <c r="AJ85" i="5"/>
  <c r="T85" i="5"/>
  <c r="AI98" i="5"/>
  <c r="AA98" i="5"/>
  <c r="AL98" i="5" s="1"/>
  <c r="S98" i="5"/>
  <c r="AH97" i="5"/>
  <c r="Z97" i="5"/>
  <c r="AF95" i="5"/>
  <c r="X95" i="5"/>
  <c r="W94" i="5"/>
  <c r="H36" i="10" s="1"/>
  <c r="AD93" i="5"/>
  <c r="AG93" i="5" s="1"/>
  <c r="V93" i="5"/>
  <c r="AK92" i="5"/>
  <c r="AC92" i="5"/>
  <c r="U92" i="5"/>
  <c r="AJ91" i="5"/>
  <c r="T91" i="5"/>
  <c r="F41" i="7" s="1"/>
  <c r="AI90" i="5"/>
  <c r="S90" i="5"/>
  <c r="AH89" i="5"/>
  <c r="Z89" i="5"/>
  <c r="AF87" i="5"/>
  <c r="X87" i="5"/>
  <c r="W380" i="5"/>
  <c r="AD379" i="5"/>
  <c r="AG379" i="5" s="1"/>
  <c r="V379" i="5"/>
  <c r="AK392" i="5"/>
  <c r="AC392" i="5"/>
  <c r="U392" i="5"/>
  <c r="AJ391" i="5"/>
  <c r="T391" i="5"/>
  <c r="F149" i="7" s="1"/>
  <c r="AI390" i="5"/>
  <c r="S390" i="5"/>
  <c r="AH389" i="5"/>
  <c r="Z389" i="5"/>
  <c r="AF387" i="5"/>
  <c r="X387" i="5"/>
  <c r="W386" i="5"/>
  <c r="H119" i="10" s="1"/>
  <c r="AD385" i="5"/>
  <c r="AG385" i="5" s="1"/>
  <c r="V385" i="5"/>
  <c r="AK384" i="5"/>
  <c r="AC384" i="5"/>
  <c r="U384" i="5"/>
  <c r="AJ383" i="5"/>
  <c r="T383" i="5"/>
  <c r="F145" i="7" s="1"/>
  <c r="AI382" i="5"/>
  <c r="AK407" i="5"/>
  <c r="AF415" i="5"/>
  <c r="AF413" i="5"/>
  <c r="T412" i="5"/>
  <c r="S394" i="5"/>
  <c r="W393" i="5"/>
  <c r="AA352" i="5"/>
  <c r="AD361" i="5"/>
  <c r="AG361" i="5" s="1"/>
  <c r="AD359" i="5"/>
  <c r="AG359" i="5" s="1"/>
  <c r="AK358" i="5"/>
  <c r="AI356" i="5"/>
  <c r="AF355" i="5"/>
  <c r="AH353" i="5"/>
  <c r="V309" i="5"/>
  <c r="AH322" i="5"/>
  <c r="Z321" i="5"/>
  <c r="AE321" i="5" s="1"/>
  <c r="V318" i="5"/>
  <c r="AD317" i="5"/>
  <c r="AG317" i="5" s="1"/>
  <c r="AK316" i="5"/>
  <c r="AF275" i="5"/>
  <c r="AH273" i="5"/>
  <c r="AJ271" i="5"/>
  <c r="S240" i="5"/>
  <c r="X239" i="5"/>
  <c r="AC251" i="5"/>
  <c r="AJ250" i="5"/>
  <c r="X246" i="5"/>
  <c r="W244" i="5"/>
  <c r="AF243" i="5"/>
  <c r="AI241" i="5"/>
  <c r="AF237" i="5"/>
  <c r="AH235" i="5"/>
  <c r="AJ233" i="5"/>
  <c r="W198" i="5"/>
  <c r="X205" i="5"/>
  <c r="AI200" i="5"/>
  <c r="V184" i="5"/>
  <c r="AF194" i="5"/>
  <c r="V192" i="5"/>
  <c r="AK191" i="5"/>
  <c r="V190" i="5"/>
  <c r="AD189" i="5"/>
  <c r="AG189" i="5" s="1"/>
  <c r="U186" i="5"/>
  <c r="AK71" i="5"/>
  <c r="V84" i="5"/>
  <c r="AH82" i="5"/>
  <c r="AF81" i="5"/>
  <c r="T80" i="5"/>
  <c r="F32" i="10" s="1"/>
  <c r="S76" i="5"/>
  <c r="AK75" i="5"/>
  <c r="V74" i="5"/>
  <c r="AH70" i="5"/>
  <c r="T69" i="5"/>
  <c r="F34" i="7" s="1"/>
  <c r="X67" i="5"/>
  <c r="T65" i="5"/>
  <c r="S64" i="5"/>
  <c r="V63" i="5"/>
  <c r="X62" i="5"/>
  <c r="W61" i="5"/>
  <c r="H30" i="7" s="1"/>
  <c r="X60" i="5"/>
  <c r="X59" i="5"/>
  <c r="AF43" i="5"/>
  <c r="AC53" i="5"/>
  <c r="AC51" i="5"/>
  <c r="AD50" i="5"/>
  <c r="AG50" i="5" s="1"/>
  <c r="AJ48" i="5"/>
  <c r="AD46" i="5"/>
  <c r="AG46" i="5" s="1"/>
  <c r="AF45" i="5"/>
  <c r="AF30" i="5"/>
  <c r="AI29" i="5"/>
  <c r="H22" i="7"/>
  <c r="AI35" i="5"/>
  <c r="AK32" i="5"/>
  <c r="AH365" i="5"/>
  <c r="X378" i="5"/>
  <c r="AH377" i="5"/>
  <c r="W376" i="5"/>
  <c r="H117" i="10" s="1"/>
  <c r="AI375" i="5"/>
  <c r="S375" i="5"/>
  <c r="W374" i="5"/>
  <c r="H116" i="10" s="1"/>
  <c r="Z373" i="5"/>
  <c r="AJ371" i="5"/>
  <c r="U371" i="5"/>
  <c r="AH369" i="5"/>
  <c r="S369" i="5"/>
  <c r="AD368" i="5"/>
  <c r="AG368" i="5" s="1"/>
  <c r="AI367" i="5"/>
  <c r="U367" i="5"/>
  <c r="AI282" i="5"/>
  <c r="T282" i="5"/>
  <c r="AK281" i="5"/>
  <c r="Z281" i="5"/>
  <c r="AF294" i="5"/>
  <c r="T294" i="5"/>
  <c r="AI293" i="5"/>
  <c r="X293" i="5"/>
  <c r="AJ291" i="5"/>
  <c r="AF290" i="5"/>
  <c r="V290" i="5"/>
  <c r="AD289" i="5"/>
  <c r="AG289" i="5" s="1"/>
  <c r="S289" i="5"/>
  <c r="AK288" i="5"/>
  <c r="Z288" i="5"/>
  <c r="AI287" i="5"/>
  <c r="X287" i="5"/>
  <c r="T286" i="5"/>
  <c r="AC285" i="5"/>
  <c r="AJ284" i="5"/>
  <c r="W283" i="5"/>
  <c r="AF254" i="5"/>
  <c r="W254" i="5"/>
  <c r="AI253" i="5"/>
  <c r="Z253" i="5"/>
  <c r="AE253" i="5" s="1"/>
  <c r="AK266" i="5"/>
  <c r="AD265" i="5"/>
  <c r="AG265" i="5" s="1"/>
  <c r="U265" i="5"/>
  <c r="AH264" i="5"/>
  <c r="X264" i="5"/>
  <c r="AJ263" i="5"/>
  <c r="AA263" i="5"/>
  <c r="AL263" i="5" s="1"/>
  <c r="AD262" i="5"/>
  <c r="AG262" i="5" s="1"/>
  <c r="U262" i="5"/>
  <c r="AH261" i="5"/>
  <c r="AI260" i="5"/>
  <c r="Z260" i="5"/>
  <c r="AD259" i="5"/>
  <c r="AG259" i="5" s="1"/>
  <c r="U259" i="5"/>
  <c r="V258" i="5"/>
  <c r="X257" i="5"/>
  <c r="AK256" i="5"/>
  <c r="S256" i="5"/>
  <c r="AD255" i="5"/>
  <c r="AG255" i="5" s="1"/>
  <c r="U255" i="5"/>
  <c r="AI156" i="5"/>
  <c r="Z156" i="5"/>
  <c r="AE156" i="5" s="1"/>
  <c r="AC155" i="5"/>
  <c r="T155" i="5"/>
  <c r="V168" i="5"/>
  <c r="AH167" i="5"/>
  <c r="AJ166" i="5"/>
  <c r="Z166" i="5"/>
  <c r="AC165" i="5"/>
  <c r="T165" i="5"/>
  <c r="AF164" i="5"/>
  <c r="W164" i="5"/>
  <c r="H56" i="10" s="1"/>
  <c r="AI163" i="5"/>
  <c r="Z163" i="5"/>
  <c r="AC162" i="5"/>
  <c r="T162" i="5"/>
  <c r="F55" i="10" s="1"/>
  <c r="X161" i="5"/>
  <c r="AD160" i="5"/>
  <c r="AG160" i="5" s="1"/>
  <c r="V160" i="5"/>
  <c r="AK159" i="5"/>
  <c r="AC159" i="5"/>
  <c r="U159" i="5"/>
  <c r="AJ158" i="5"/>
  <c r="T158" i="5"/>
  <c r="AI157" i="5"/>
  <c r="S157" i="5"/>
  <c r="AH128" i="5"/>
  <c r="Z128" i="5"/>
  <c r="AF140" i="5"/>
  <c r="X140" i="5"/>
  <c r="W139" i="5"/>
  <c r="AD138" i="5"/>
  <c r="AG138" i="5" s="1"/>
  <c r="V138" i="5"/>
  <c r="AK137" i="5"/>
  <c r="AC137" i="5"/>
  <c r="U137" i="5"/>
  <c r="AJ136" i="5"/>
  <c r="T136" i="5"/>
  <c r="F48" i="10" s="1"/>
  <c r="AI135" i="5"/>
  <c r="AA135" i="5"/>
  <c r="AL135" i="5" s="1"/>
  <c r="S135" i="5"/>
  <c r="AH134" i="5"/>
  <c r="Z134" i="5"/>
  <c r="AF132" i="5"/>
  <c r="X132" i="5"/>
  <c r="W131" i="5"/>
  <c r="H55" i="7" s="1"/>
  <c r="AD130" i="5"/>
  <c r="AG130" i="5" s="1"/>
  <c r="V130" i="5"/>
  <c r="AK129" i="5"/>
  <c r="AC129" i="5"/>
  <c r="U129" i="5"/>
  <c r="AJ86" i="5"/>
  <c r="T86" i="5"/>
  <c r="AI85" i="5"/>
  <c r="AA85" i="5"/>
  <c r="S85" i="5"/>
  <c r="AH98" i="5"/>
  <c r="Z98" i="5"/>
  <c r="AF96" i="5"/>
  <c r="X96" i="5"/>
  <c r="W95" i="5"/>
  <c r="H43" i="7" s="1"/>
  <c r="AD94" i="5"/>
  <c r="AG94" i="5" s="1"/>
  <c r="V94" i="5"/>
  <c r="AK93" i="5"/>
  <c r="AC93" i="5"/>
  <c r="U93" i="5"/>
  <c r="AJ92" i="5"/>
  <c r="T92" i="5"/>
  <c r="F35" i="10" s="1"/>
  <c r="AI91" i="5"/>
  <c r="S91" i="5"/>
  <c r="AH90" i="5"/>
  <c r="Z90" i="5"/>
  <c r="AE90" i="5" s="1"/>
  <c r="AF88" i="5"/>
  <c r="X88" i="5"/>
  <c r="W87" i="5"/>
  <c r="AD380" i="5"/>
  <c r="AG380" i="5" s="1"/>
  <c r="V380" i="5"/>
  <c r="AK379" i="5"/>
  <c r="AC379" i="5"/>
  <c r="U379" i="5"/>
  <c r="AJ392" i="5"/>
  <c r="T392" i="5"/>
  <c r="F122" i="10" s="1"/>
  <c r="AI391" i="5"/>
  <c r="S391" i="5"/>
  <c r="AH390" i="5"/>
  <c r="Z390" i="5"/>
  <c r="AF388" i="5"/>
  <c r="X388" i="5"/>
  <c r="W387" i="5"/>
  <c r="H147" i="7" s="1"/>
  <c r="V408" i="5"/>
  <c r="Z418" i="5"/>
  <c r="AE418" i="5" s="1"/>
  <c r="W399" i="5"/>
  <c r="H151" i="7" s="1"/>
  <c r="Z352" i="5"/>
  <c r="AH351" i="5"/>
  <c r="AH363" i="5"/>
  <c r="AD362" i="5"/>
  <c r="AG362" i="5" s="1"/>
  <c r="AC361" i="5"/>
  <c r="AC360" i="5"/>
  <c r="AI358" i="5"/>
  <c r="W354" i="5"/>
  <c r="AF353" i="5"/>
  <c r="T309" i="5"/>
  <c r="U322" i="5"/>
  <c r="AK320" i="5"/>
  <c r="S318" i="5"/>
  <c r="AC317" i="5"/>
  <c r="AJ316" i="5"/>
  <c r="AD268" i="5"/>
  <c r="AG268" i="5" s="1"/>
  <c r="AC267" i="5"/>
  <c r="AJ280" i="5"/>
  <c r="X276" i="5"/>
  <c r="W274" i="5"/>
  <c r="H87" i="10" s="1"/>
  <c r="AF273" i="5"/>
  <c r="AI271" i="5"/>
  <c r="W239" i="5"/>
  <c r="AD252" i="5"/>
  <c r="AG252" i="5" s="1"/>
  <c r="Z251" i="5"/>
  <c r="AE251" i="5" s="1"/>
  <c r="V244" i="5"/>
  <c r="U243" i="5"/>
  <c r="AF241" i="5"/>
  <c r="X238" i="5"/>
  <c r="W236" i="5"/>
  <c r="H77" i="10" s="1"/>
  <c r="AF235" i="5"/>
  <c r="AI233" i="5"/>
  <c r="U198" i="5"/>
  <c r="V205" i="5"/>
  <c r="X200" i="5"/>
  <c r="AC183" i="5"/>
  <c r="W194" i="5"/>
  <c r="H65" i="10" s="1"/>
  <c r="U192" i="5"/>
  <c r="AJ191" i="5"/>
  <c r="AC189" i="5"/>
  <c r="V185" i="5"/>
  <c r="AJ71" i="5"/>
  <c r="T84" i="5"/>
  <c r="F34" i="10" s="1"/>
  <c r="Z82" i="5"/>
  <c r="X81" i="5"/>
  <c r="AJ79" i="5"/>
  <c r="AF77" i="5"/>
  <c r="AC75" i="5"/>
  <c r="U74" i="5"/>
  <c r="Y74" i="5" s="1"/>
  <c r="Z70" i="5"/>
  <c r="AJ68" i="5"/>
  <c r="S65" i="5"/>
  <c r="V62" i="5"/>
  <c r="T61" i="5"/>
  <c r="F30" i="7" s="1"/>
  <c r="W60" i="5"/>
  <c r="W59" i="5"/>
  <c r="AD44" i="5"/>
  <c r="AG44" i="5" s="1"/>
  <c r="AD43" i="5"/>
  <c r="AG43" i="5" s="1"/>
  <c r="AC56" i="5"/>
  <c r="Z55" i="5"/>
  <c r="X53" i="5"/>
  <c r="X52" i="5"/>
  <c r="Z51" i="5"/>
  <c r="AC50" i="5"/>
  <c r="AC45" i="5"/>
  <c r="AF29" i="5"/>
  <c r="F22" i="7"/>
  <c r="AF35" i="5"/>
  <c r="AJ34" i="5"/>
  <c r="AI32" i="5"/>
  <c r="S32" i="5"/>
  <c r="Z31" i="5"/>
  <c r="V366" i="5"/>
  <c r="V378" i="5"/>
  <c r="V376" i="5"/>
  <c r="AF375" i="5"/>
  <c r="T374" i="5"/>
  <c r="F116" i="10" s="1"/>
  <c r="X372" i="5"/>
  <c r="AH371" i="5"/>
  <c r="T371" i="5"/>
  <c r="F141" i="7" s="1"/>
  <c r="AD370" i="5"/>
  <c r="AG370" i="5" s="1"/>
  <c r="AC368" i="5"/>
  <c r="S367" i="5"/>
  <c r="AF282" i="5"/>
  <c r="S282" i="5"/>
  <c r="AJ281" i="5"/>
  <c r="W281" i="5"/>
  <c r="AD294" i="5"/>
  <c r="AG294" i="5" s="1"/>
  <c r="AH293" i="5"/>
  <c r="U293" i="5"/>
  <c r="AK292" i="5"/>
  <c r="Z292" i="5"/>
  <c r="AI291" i="5"/>
  <c r="X291" i="5"/>
  <c r="T290" i="5"/>
  <c r="F92" i="10" s="1"/>
  <c r="AC289" i="5"/>
  <c r="AJ288" i="5"/>
  <c r="W287" i="5"/>
  <c r="H111" i="7" s="1"/>
  <c r="AD286" i="5"/>
  <c r="AG286" i="5" s="1"/>
  <c r="S286" i="5"/>
  <c r="AH284" i="5"/>
  <c r="X284" i="5"/>
  <c r="AF283" i="5"/>
  <c r="U283" i="5"/>
  <c r="V254" i="5"/>
  <c r="AH253" i="5"/>
  <c r="AJ266" i="5"/>
  <c r="Z266" i="5"/>
  <c r="AC265" i="5"/>
  <c r="T265" i="5"/>
  <c r="F104" i="7" s="1"/>
  <c r="AF264" i="5"/>
  <c r="W264" i="5"/>
  <c r="H85" i="10" s="1"/>
  <c r="AI263" i="5"/>
  <c r="Z263" i="5"/>
  <c r="AC262" i="5"/>
  <c r="T262" i="5"/>
  <c r="F84" i="10" s="1"/>
  <c r="X261" i="5"/>
  <c r="AH260" i="5"/>
  <c r="AC259" i="5"/>
  <c r="S259" i="5"/>
  <c r="AD258" i="5"/>
  <c r="AG258" i="5" s="1"/>
  <c r="U258" i="5"/>
  <c r="AF257" i="5"/>
  <c r="W257" i="5"/>
  <c r="H100" i="7" s="1"/>
  <c r="AJ256" i="5"/>
  <c r="AC255" i="5"/>
  <c r="T255" i="5"/>
  <c r="AH156" i="5"/>
  <c r="AK155" i="5"/>
  <c r="AR155" i="5" s="1"/>
  <c r="S155" i="5"/>
  <c r="AD168" i="5"/>
  <c r="AG168" i="5" s="1"/>
  <c r="T168" i="5"/>
  <c r="F58" i="10" s="1"/>
  <c r="X167" i="5"/>
  <c r="AH166" i="5"/>
  <c r="AK165" i="5"/>
  <c r="S165" i="5"/>
  <c r="V164" i="5"/>
  <c r="AH163" i="5"/>
  <c r="AK162" i="5"/>
  <c r="S162" i="5"/>
  <c r="AF161" i="5"/>
  <c r="W161" i="5"/>
  <c r="AK160" i="5"/>
  <c r="AC160" i="5"/>
  <c r="U160" i="5"/>
  <c r="AJ159" i="5"/>
  <c r="T159" i="5"/>
  <c r="AI158" i="5"/>
  <c r="S158" i="5"/>
  <c r="AH157" i="5"/>
  <c r="Z157" i="5"/>
  <c r="AF127" i="5"/>
  <c r="X127" i="5"/>
  <c r="W140" i="5"/>
  <c r="H50" i="10" s="1"/>
  <c r="AD139" i="5"/>
  <c r="AG139" i="5" s="1"/>
  <c r="V139" i="5"/>
  <c r="AK138" i="5"/>
  <c r="AC138" i="5"/>
  <c r="U138" i="5"/>
  <c r="AJ137" i="5"/>
  <c r="T137" i="5"/>
  <c r="AI136" i="5"/>
  <c r="AA136" i="5"/>
  <c r="AL136" i="5" s="1"/>
  <c r="S136" i="5"/>
  <c r="AH135" i="5"/>
  <c r="Z135" i="5"/>
  <c r="AF133" i="5"/>
  <c r="X133" i="5"/>
  <c r="W132" i="5"/>
  <c r="AD131" i="5"/>
  <c r="AG131" i="5" s="1"/>
  <c r="V131" i="5"/>
  <c r="AK130" i="5"/>
  <c r="AC130" i="5"/>
  <c r="U130" i="5"/>
  <c r="AJ129" i="5"/>
  <c r="T129" i="5"/>
  <c r="AI86" i="5"/>
  <c r="AA86" i="5"/>
  <c r="S86" i="5"/>
  <c r="AH85" i="5"/>
  <c r="Z85" i="5"/>
  <c r="AF97" i="5"/>
  <c r="X97" i="5"/>
  <c r="W96" i="5"/>
  <c r="H37" i="10" s="1"/>
  <c r="AD95" i="5"/>
  <c r="AG95" i="5" s="1"/>
  <c r="V95" i="5"/>
  <c r="AK94" i="5"/>
  <c r="AC94" i="5"/>
  <c r="U94" i="5"/>
  <c r="AJ93" i="5"/>
  <c r="T93" i="5"/>
  <c r="F42" i="7" s="1"/>
  <c r="AI92" i="5"/>
  <c r="S92" i="5"/>
  <c r="AH91" i="5"/>
  <c r="Z91" i="5"/>
  <c r="AF89" i="5"/>
  <c r="X89" i="5"/>
  <c r="W88" i="5"/>
  <c r="AD87" i="5"/>
  <c r="AG87" i="5" s="1"/>
  <c r="V87" i="5"/>
  <c r="AK380" i="5"/>
  <c r="AC380" i="5"/>
  <c r="U380" i="5"/>
  <c r="Y380" i="5" s="1"/>
  <c r="AJ379" i="5"/>
  <c r="T379" i="5"/>
  <c r="AI392" i="5"/>
  <c r="S392" i="5"/>
  <c r="AH391" i="5"/>
  <c r="Z391" i="5"/>
  <c r="AF389" i="5"/>
  <c r="X389" i="5"/>
  <c r="W388" i="5"/>
  <c r="H120" i="10" s="1"/>
  <c r="AD387" i="5"/>
  <c r="AG387" i="5" s="1"/>
  <c r="V387" i="5"/>
  <c r="AK386" i="5"/>
  <c r="AC386" i="5"/>
  <c r="U386" i="5"/>
  <c r="AJ385" i="5"/>
  <c r="T385" i="5"/>
  <c r="F146" i="7" s="1"/>
  <c r="AI384" i="5"/>
  <c r="S384" i="5"/>
  <c r="AH383" i="5"/>
  <c r="Z383" i="5"/>
  <c r="AE383" i="5" s="1"/>
  <c r="AF381" i="5"/>
  <c r="X381" i="5"/>
  <c r="X415" i="5"/>
  <c r="AJ401" i="5"/>
  <c r="X400" i="5"/>
  <c r="AI364" i="5"/>
  <c r="AF363" i="5"/>
  <c r="X361" i="5"/>
  <c r="AA359" i="5"/>
  <c r="AL359" i="5" s="1"/>
  <c r="AH358" i="5"/>
  <c r="AF356" i="5"/>
  <c r="V354" i="5"/>
  <c r="U353" i="5"/>
  <c r="S322" i="5"/>
  <c r="V321" i="5"/>
  <c r="AI320" i="5"/>
  <c r="W316" i="5"/>
  <c r="H99" i="10" s="1"/>
  <c r="AF315" i="5"/>
  <c r="Z267" i="5"/>
  <c r="AE267" i="5" s="1"/>
  <c r="V274" i="5"/>
  <c r="U273" i="5"/>
  <c r="AF271" i="5"/>
  <c r="AH270" i="5"/>
  <c r="AJ269" i="5"/>
  <c r="X251" i="5"/>
  <c r="AA249" i="5"/>
  <c r="AL249" i="5" s="1"/>
  <c r="AK248" i="5"/>
  <c r="W242" i="5"/>
  <c r="T241" i="5"/>
  <c r="AI226" i="5"/>
  <c r="V236" i="5"/>
  <c r="U235" i="5"/>
  <c r="AF233" i="5"/>
  <c r="AH232" i="5"/>
  <c r="AJ231" i="5"/>
  <c r="T198" i="5"/>
  <c r="AF197" i="5"/>
  <c r="U205" i="5"/>
  <c r="AC204" i="5"/>
  <c r="U200" i="5"/>
  <c r="AA183" i="5"/>
  <c r="U194" i="5"/>
  <c r="Y194" i="5" s="1"/>
  <c r="Z191" i="5"/>
  <c r="AE191" i="5" s="1"/>
  <c r="AC188" i="5"/>
  <c r="AF187" i="5"/>
  <c r="T185" i="5"/>
  <c r="AH71" i="5"/>
  <c r="S84" i="5"/>
  <c r="V81" i="5"/>
  <c r="X77" i="5"/>
  <c r="AF73" i="5"/>
  <c r="S58" i="5"/>
  <c r="AD66" i="5"/>
  <c r="AG66" i="5" s="1"/>
  <c r="AK64" i="5"/>
  <c r="AI63" i="5"/>
  <c r="U62" i="5"/>
  <c r="Y62" i="5" s="1"/>
  <c r="V59" i="5"/>
  <c r="AC43" i="5"/>
  <c r="U53" i="5"/>
  <c r="S52" i="5"/>
  <c r="X51" i="5"/>
  <c r="W50" i="5"/>
  <c r="H23" i="10" s="1"/>
  <c r="Z47" i="5"/>
  <c r="V46" i="5"/>
  <c r="X30" i="5"/>
  <c r="W36" i="5"/>
  <c r="H19" i="10" s="1"/>
  <c r="AD35" i="5"/>
  <c r="AG35" i="5" s="1"/>
  <c r="AH34" i="5"/>
  <c r="AF32" i="5"/>
  <c r="AK366" i="5"/>
  <c r="S366" i="5"/>
  <c r="AF365" i="5"/>
  <c r="S378" i="5"/>
  <c r="AC377" i="5"/>
  <c r="AK376" i="5"/>
  <c r="U376" i="5"/>
  <c r="AD375" i="5"/>
  <c r="AG375" i="5" s="1"/>
  <c r="AJ374" i="5"/>
  <c r="S374" i="5"/>
  <c r="W373" i="5"/>
  <c r="H142" i="7" s="1"/>
  <c r="AI372" i="5"/>
  <c r="V372" i="5"/>
  <c r="AF371" i="5"/>
  <c r="AA370" i="5"/>
  <c r="AL370" i="5" s="1"/>
  <c r="AD369" i="5"/>
  <c r="AG369" i="5" s="1"/>
  <c r="Z368" i="5"/>
  <c r="AE368" i="5" s="1"/>
  <c r="AF367" i="5"/>
  <c r="AI281" i="5"/>
  <c r="V281" i="5"/>
  <c r="AC294" i="5"/>
  <c r="T293" i="5"/>
  <c r="F114" i="7" s="1"/>
  <c r="AJ292" i="5"/>
  <c r="W291" i="5"/>
  <c r="H113" i="7" s="1"/>
  <c r="AD290" i="5"/>
  <c r="AG290" i="5" s="1"/>
  <c r="S290" i="5"/>
  <c r="AH288" i="5"/>
  <c r="X288" i="5"/>
  <c r="AF287" i="5"/>
  <c r="U287" i="5"/>
  <c r="AK285" i="5"/>
  <c r="Z285" i="5"/>
  <c r="V284" i="5"/>
  <c r="T283" i="5"/>
  <c r="AD254" i="5"/>
  <c r="AG254" i="5" s="1"/>
  <c r="T254" i="5"/>
  <c r="X253" i="5"/>
  <c r="AH266" i="5"/>
  <c r="AK265" i="5"/>
  <c r="S265" i="5"/>
  <c r="V264" i="5"/>
  <c r="AH263" i="5"/>
  <c r="AK262" i="5"/>
  <c r="S262" i="5"/>
  <c r="AF261" i="5"/>
  <c r="W261" i="5"/>
  <c r="H102" i="7" s="1"/>
  <c r="X260" i="5"/>
  <c r="AK259" i="5"/>
  <c r="AC258" i="5"/>
  <c r="T258" i="5"/>
  <c r="V257" i="5"/>
  <c r="AI256" i="5"/>
  <c r="Z256" i="5"/>
  <c r="AK255" i="5"/>
  <c r="S255" i="5"/>
  <c r="X156" i="5"/>
  <c r="AB156" i="5" s="1"/>
  <c r="AJ155" i="5"/>
  <c r="AA155" i="5"/>
  <c r="S168" i="5"/>
  <c r="AF167" i="5"/>
  <c r="W167" i="5"/>
  <c r="H69" i="7" s="1"/>
  <c r="X166" i="5"/>
  <c r="AJ165" i="5"/>
  <c r="AD164" i="5"/>
  <c r="AG164" i="5" s="1"/>
  <c r="U164" i="5"/>
  <c r="W163" i="5"/>
  <c r="AJ162" i="5"/>
  <c r="U161" i="5"/>
  <c r="AJ160" i="5"/>
  <c r="T160" i="5"/>
  <c r="AI159" i="5"/>
  <c r="S159" i="5"/>
  <c r="AH158" i="5"/>
  <c r="Z158" i="5"/>
  <c r="AF128" i="5"/>
  <c r="X128" i="5"/>
  <c r="W127" i="5"/>
  <c r="AD140" i="5"/>
  <c r="AG140" i="5" s="1"/>
  <c r="V140" i="5"/>
  <c r="AK139" i="5"/>
  <c r="AC139" i="5"/>
  <c r="U139" i="5"/>
  <c r="AJ138" i="5"/>
  <c r="T138" i="5"/>
  <c r="F49" i="10" s="1"/>
  <c r="AI137" i="5"/>
  <c r="S137" i="5"/>
  <c r="AH136" i="5"/>
  <c r="Z136" i="5"/>
  <c r="AF134" i="5"/>
  <c r="X134" i="5"/>
  <c r="W133" i="5"/>
  <c r="H56" i="7" s="1"/>
  <c r="AD132" i="5"/>
  <c r="AG132" i="5" s="1"/>
  <c r="V132" i="5"/>
  <c r="AK131" i="5"/>
  <c r="AC131" i="5"/>
  <c r="U131" i="5"/>
  <c r="AJ130" i="5"/>
  <c r="T130" i="5"/>
  <c r="AI129" i="5"/>
  <c r="S129" i="5"/>
  <c r="AH86" i="5"/>
  <c r="Z86" i="5"/>
  <c r="AF98" i="5"/>
  <c r="X98" i="5"/>
  <c r="W97" i="5"/>
  <c r="H44" i="7" s="1"/>
  <c r="AD96" i="5"/>
  <c r="AG96" i="5" s="1"/>
  <c r="V96" i="5"/>
  <c r="AK95" i="5"/>
  <c r="AC95" i="5"/>
  <c r="U95" i="5"/>
  <c r="AJ94" i="5"/>
  <c r="T94" i="5"/>
  <c r="F36" i="10" s="1"/>
  <c r="AI93" i="5"/>
  <c r="S93" i="5"/>
  <c r="AH92" i="5"/>
  <c r="Z92" i="5"/>
  <c r="AF90" i="5"/>
  <c r="X90" i="5"/>
  <c r="W89" i="5"/>
  <c r="H40" i="7" s="1"/>
  <c r="AD88" i="5"/>
  <c r="AG88" i="5" s="1"/>
  <c r="V88" i="5"/>
  <c r="AK87" i="5"/>
  <c r="AC87" i="5"/>
  <c r="U87" i="5"/>
  <c r="AJ380" i="5"/>
  <c r="T380" i="5"/>
  <c r="AI379" i="5"/>
  <c r="S379" i="5"/>
  <c r="AH392" i="5"/>
  <c r="Z392" i="5"/>
  <c r="AF390" i="5"/>
  <c r="X390" i="5"/>
  <c r="W389" i="5"/>
  <c r="H148" i="7" s="1"/>
  <c r="AD388" i="5"/>
  <c r="AG388" i="5" s="1"/>
  <c r="V388" i="5"/>
  <c r="AK387" i="5"/>
  <c r="AC387" i="5"/>
  <c r="U387" i="5"/>
  <c r="Y387" i="5" s="1"/>
  <c r="AJ386" i="5"/>
  <c r="T386" i="5"/>
  <c r="F119" i="10" s="1"/>
  <c r="AI385" i="5"/>
  <c r="S385" i="5"/>
  <c r="AH384" i="5"/>
  <c r="Z384" i="5"/>
  <c r="AE384" i="5" s="1"/>
  <c r="AF382" i="5"/>
  <c r="X382" i="5"/>
  <c r="W381" i="5"/>
  <c r="AF338" i="5"/>
  <c r="X338" i="5"/>
  <c r="AJ419" i="5"/>
  <c r="AJ403" i="5"/>
  <c r="Z402" i="5"/>
  <c r="T401" i="5"/>
  <c r="F152" i="7" s="1"/>
  <c r="S400" i="5"/>
  <c r="W362" i="5"/>
  <c r="H113" i="10" s="1"/>
  <c r="X320" i="5"/>
  <c r="U102" i="5"/>
  <c r="AD103" i="5"/>
  <c r="AG103" i="5" s="1"/>
  <c r="U110" i="5"/>
  <c r="W112" i="5"/>
  <c r="H42" i="10" s="1"/>
  <c r="Z115" i="5"/>
  <c r="AJ117" i="5"/>
  <c r="T125" i="5"/>
  <c r="F54" i="7" s="1"/>
  <c r="AD113" i="5"/>
  <c r="AG113" i="5" s="1"/>
  <c r="AF143" i="5"/>
  <c r="AH145" i="5"/>
  <c r="T147" i="5"/>
  <c r="AK148" i="5"/>
  <c r="X151" i="5"/>
  <c r="T141" i="5"/>
  <c r="AK142" i="5"/>
  <c r="W172" i="5"/>
  <c r="AA176" i="5"/>
  <c r="AL176" i="5" s="1"/>
  <c r="W180" i="5"/>
  <c r="H61" i="10" s="1"/>
  <c r="S170" i="5"/>
  <c r="AK214" i="5"/>
  <c r="V382" i="5"/>
  <c r="AH87" i="5"/>
  <c r="A21" i="46"/>
  <c r="A21" i="34"/>
  <c r="A15" i="40"/>
  <c r="A16" i="40"/>
  <c r="A107" i="14"/>
  <c r="A102" i="14"/>
  <c r="A112" i="14"/>
  <c r="A104" i="14"/>
  <c r="A109" i="14"/>
  <c r="A73" i="15"/>
  <c r="A71" i="15"/>
  <c r="A69" i="15"/>
  <c r="A67" i="15"/>
  <c r="A65" i="15"/>
  <c r="A66" i="15"/>
  <c r="A68" i="15"/>
  <c r="A70" i="15"/>
  <c r="A100" i="14"/>
  <c r="A72" i="15"/>
  <c r="A99" i="14"/>
  <c r="A111" i="14"/>
  <c r="A110" i="14"/>
  <c r="A103" i="14"/>
  <c r="A108" i="14"/>
  <c r="A74" i="15"/>
  <c r="A105" i="14"/>
  <c r="A101" i="14"/>
  <c r="A27" i="6"/>
  <c r="A106" i="14"/>
  <c r="A28" i="6"/>
  <c r="A39" i="9"/>
  <c r="A42" i="9"/>
  <c r="A41" i="9"/>
  <c r="A40" i="9"/>
  <c r="A95" i="12"/>
  <c r="A92" i="12"/>
  <c r="A97" i="12"/>
  <c r="A94" i="12"/>
  <c r="A87" i="12"/>
  <c r="A96" i="12"/>
  <c r="A93" i="12"/>
  <c r="A89" i="12"/>
  <c r="A69" i="16"/>
  <c r="A65" i="16"/>
  <c r="A39" i="10"/>
  <c r="A95" i="8"/>
  <c r="A87" i="8"/>
  <c r="A88" i="12"/>
  <c r="A98" i="12"/>
  <c r="A91" i="12"/>
  <c r="A90" i="12"/>
  <c r="A67" i="16"/>
  <c r="A70" i="16"/>
  <c r="A66" i="16"/>
  <c r="A68" i="16"/>
  <c r="A64" i="16"/>
  <c r="A97" i="8"/>
  <c r="A90" i="8"/>
  <c r="A89" i="8"/>
  <c r="A42" i="10"/>
  <c r="A98" i="8"/>
  <c r="A94" i="8"/>
  <c r="A21" i="20"/>
  <c r="A41" i="10"/>
  <c r="A96" i="8"/>
  <c r="A91" i="8"/>
  <c r="A40" i="10"/>
  <c r="A88" i="8"/>
  <c r="A63" i="16"/>
  <c r="A93" i="8"/>
  <c r="A48" i="7"/>
  <c r="A92" i="8"/>
  <c r="A49" i="7"/>
  <c r="A45" i="7"/>
  <c r="A46" i="7"/>
  <c r="A47" i="7"/>
  <c r="A49" i="13"/>
  <c r="A45" i="13"/>
  <c r="A46" i="13"/>
  <c r="A48" i="13"/>
  <c r="A29" i="46"/>
  <c r="A24" i="40"/>
  <c r="A23" i="40"/>
  <c r="A29" i="34"/>
  <c r="A219" i="14"/>
  <c r="A224" i="14"/>
  <c r="A216" i="14"/>
  <c r="A221" i="14"/>
  <c r="A213" i="14"/>
  <c r="A218" i="14"/>
  <c r="A212" i="14"/>
  <c r="A223" i="14"/>
  <c r="A215" i="14"/>
  <c r="A220" i="14"/>
  <c r="A217" i="14"/>
  <c r="A153" i="15"/>
  <c r="A151" i="15"/>
  <c r="A149" i="15"/>
  <c r="A147" i="15"/>
  <c r="A145" i="15"/>
  <c r="A222" i="14"/>
  <c r="A214" i="14"/>
  <c r="A154" i="15"/>
  <c r="A146" i="15"/>
  <c r="A72" i="9"/>
  <c r="A148" i="15"/>
  <c r="A74" i="9"/>
  <c r="A211" i="14"/>
  <c r="A150" i="15"/>
  <c r="A43" i="6"/>
  <c r="A152" i="15"/>
  <c r="A44" i="6"/>
  <c r="A71" i="9"/>
  <c r="A73" i="9"/>
  <c r="A191" i="12"/>
  <c r="A183" i="12"/>
  <c r="A187" i="12"/>
  <c r="A190" i="12"/>
  <c r="A188" i="12"/>
  <c r="A194" i="12"/>
  <c r="A133" i="16"/>
  <c r="A129" i="16"/>
  <c r="A71" i="10"/>
  <c r="A191" i="8"/>
  <c r="A183" i="8"/>
  <c r="A193" i="12"/>
  <c r="A189" i="12"/>
  <c r="A184" i="12"/>
  <c r="A192" i="12"/>
  <c r="A186" i="12"/>
  <c r="A185" i="12"/>
  <c r="A131" i="16"/>
  <c r="A130" i="16"/>
  <c r="A193" i="8"/>
  <c r="A186" i="8"/>
  <c r="A128" i="16"/>
  <c r="A127" i="16"/>
  <c r="A134" i="16"/>
  <c r="A74" i="10"/>
  <c r="A73" i="10"/>
  <c r="A72" i="10"/>
  <c r="A132" i="16"/>
  <c r="A194" i="8"/>
  <c r="A192" i="8"/>
  <c r="A187" i="8"/>
  <c r="A184" i="8"/>
  <c r="A190" i="8"/>
  <c r="A185" i="8"/>
  <c r="A188" i="8"/>
  <c r="A189" i="8"/>
  <c r="A29" i="20"/>
  <c r="A89" i="7"/>
  <c r="A85" i="7"/>
  <c r="A86" i="7"/>
  <c r="A88" i="7"/>
  <c r="A87" i="7"/>
  <c r="A89" i="13"/>
  <c r="A85" i="13"/>
  <c r="A86" i="13"/>
  <c r="A88" i="13"/>
  <c r="A87" i="13"/>
  <c r="A40" i="34"/>
  <c r="A32" i="40"/>
  <c r="A31" i="40"/>
  <c r="A375" i="14"/>
  <c r="A368" i="14"/>
  <c r="A377" i="14"/>
  <c r="A370" i="14"/>
  <c r="A365" i="14"/>
  <c r="A374" i="14"/>
  <c r="A378" i="14"/>
  <c r="A371" i="14"/>
  <c r="A366" i="14"/>
  <c r="A373" i="14"/>
  <c r="A369" i="14"/>
  <c r="A372" i="14"/>
  <c r="A367" i="14"/>
  <c r="A376" i="14"/>
  <c r="A65" i="6"/>
  <c r="A66" i="6"/>
  <c r="A40" i="20"/>
  <c r="A25" i="46"/>
  <c r="A25" i="34"/>
  <c r="A40" i="40"/>
  <c r="A39" i="40"/>
  <c r="A168" i="14"/>
  <c r="A163" i="14"/>
  <c r="A160" i="14"/>
  <c r="A162" i="14"/>
  <c r="A155" i="14"/>
  <c r="A166" i="14"/>
  <c r="A161" i="14"/>
  <c r="A167" i="14"/>
  <c r="A158" i="14"/>
  <c r="A156" i="14"/>
  <c r="A113" i="15"/>
  <c r="A111" i="15"/>
  <c r="A109" i="15"/>
  <c r="A107" i="15"/>
  <c r="A105" i="15"/>
  <c r="A114" i="15"/>
  <c r="A55" i="9"/>
  <c r="A57" i="9"/>
  <c r="A157" i="14"/>
  <c r="A165" i="14"/>
  <c r="A159" i="14"/>
  <c r="A106" i="15"/>
  <c r="A164" i="14"/>
  <c r="A108" i="15"/>
  <c r="A110" i="15"/>
  <c r="A112" i="15"/>
  <c r="A56" i="9"/>
  <c r="A58" i="9"/>
  <c r="A35" i="6"/>
  <c r="A36" i="6"/>
  <c r="A141" i="12"/>
  <c r="A146" i="12"/>
  <c r="A138" i="12"/>
  <c r="A144" i="12"/>
  <c r="A135" i="12"/>
  <c r="A145" i="12"/>
  <c r="A139" i="12"/>
  <c r="A137" i="12"/>
  <c r="A136" i="12"/>
  <c r="A140" i="12"/>
  <c r="A143" i="12"/>
  <c r="A142" i="12"/>
  <c r="A101" i="16"/>
  <c r="A97" i="16"/>
  <c r="A55" i="10"/>
  <c r="A143" i="8"/>
  <c r="A135" i="8"/>
  <c r="A100" i="16"/>
  <c r="A96" i="16"/>
  <c r="A102" i="16"/>
  <c r="A98" i="16"/>
  <c r="A99" i="16"/>
  <c r="A95" i="16"/>
  <c r="A140" i="8"/>
  <c r="A56" i="10"/>
  <c r="A146" i="8"/>
  <c r="A142" i="8"/>
  <c r="A139" i="8"/>
  <c r="A25" i="20"/>
  <c r="A136" i="8"/>
  <c r="A57" i="10"/>
  <c r="A141" i="8"/>
  <c r="A137" i="8"/>
  <c r="A144" i="8"/>
  <c r="A67" i="7"/>
  <c r="A138" i="8"/>
  <c r="A68" i="7"/>
  <c r="A58" i="10"/>
  <c r="A145" i="8"/>
  <c r="A69" i="7"/>
  <c r="A66" i="7"/>
  <c r="A65" i="7"/>
  <c r="A69" i="13"/>
  <c r="A65" i="13"/>
  <c r="A66" i="13"/>
  <c r="A68" i="13"/>
  <c r="A156" i="5"/>
  <c r="A162" i="5"/>
  <c r="A67" i="13"/>
  <c r="A168" i="5"/>
  <c r="A159" i="5"/>
  <c r="A160" i="5"/>
  <c r="A164" i="5"/>
  <c r="A161" i="5"/>
  <c r="A167" i="5"/>
  <c r="A166" i="5"/>
  <c r="A163" i="5"/>
  <c r="A16" i="46"/>
  <c r="A47" i="40"/>
  <c r="A16" i="34"/>
  <c r="A48" i="40"/>
  <c r="A30" i="14"/>
  <c r="A42" i="14"/>
  <c r="A40" i="14"/>
  <c r="A38" i="14"/>
  <c r="A36" i="14"/>
  <c r="A34" i="14"/>
  <c r="A32" i="14"/>
  <c r="A41" i="14"/>
  <c r="A39" i="14"/>
  <c r="A35" i="14"/>
  <c r="A37" i="14"/>
  <c r="A31" i="14"/>
  <c r="A22" i="9"/>
  <c r="A33" i="14"/>
  <c r="A29" i="14"/>
  <c r="A19" i="9"/>
  <c r="A21" i="9"/>
  <c r="A20" i="9"/>
  <c r="A17" i="6"/>
  <c r="A18" i="6"/>
  <c r="A35" i="12"/>
  <c r="A27" i="12"/>
  <c r="A37" i="12"/>
  <c r="A34" i="12"/>
  <c r="A31" i="12"/>
  <c r="A28" i="12"/>
  <c r="A36" i="12"/>
  <c r="A33" i="12"/>
  <c r="A38" i="12"/>
  <c r="A32" i="12"/>
  <c r="A30" i="12"/>
  <c r="A29" i="12"/>
  <c r="A29" i="16"/>
  <c r="A25" i="16"/>
  <c r="A19" i="10"/>
  <c r="A35" i="8"/>
  <c r="A27" i="8"/>
  <c r="A28" i="16"/>
  <c r="A24" i="16"/>
  <c r="A30" i="16"/>
  <c r="A26" i="16"/>
  <c r="A23" i="16"/>
  <c r="A27" i="16"/>
  <c r="A33" i="8"/>
  <c r="A32" i="8"/>
  <c r="A22" i="10"/>
  <c r="A30" i="8"/>
  <c r="A36" i="8"/>
  <c r="A38" i="8"/>
  <c r="A21" i="10"/>
  <c r="A37" i="8"/>
  <c r="A31" i="8"/>
  <c r="A28" i="8"/>
  <c r="A16" i="20"/>
  <c r="A22" i="7"/>
  <c r="A20" i="10"/>
  <c r="A23" i="7"/>
  <c r="A29" i="8"/>
  <c r="A34" i="8"/>
  <c r="A21" i="7"/>
  <c r="A20" i="7"/>
  <c r="A24" i="7"/>
  <c r="A38" i="5"/>
  <c r="A24" i="13"/>
  <c r="A20" i="13"/>
  <c r="A21" i="13"/>
  <c r="A41" i="5"/>
  <c r="A33" i="5"/>
  <c r="A23" i="13"/>
  <c r="A39" i="5"/>
  <c r="A22" i="13"/>
  <c r="A30" i="5"/>
  <c r="A36" i="5"/>
  <c r="A31" i="5"/>
  <c r="A42" i="5"/>
  <c r="A40" i="5"/>
  <c r="A27" i="46"/>
  <c r="A55" i="40"/>
  <c r="A26" i="44"/>
  <c r="A27" i="34"/>
  <c r="A25" i="44"/>
  <c r="A188" i="14"/>
  <c r="A24" i="44"/>
  <c r="A196" i="14"/>
  <c r="A193" i="14"/>
  <c r="A185" i="14"/>
  <c r="A190" i="14"/>
  <c r="A195" i="14"/>
  <c r="A187" i="14"/>
  <c r="A192" i="14"/>
  <c r="A23" i="44"/>
  <c r="A183" i="14"/>
  <c r="A189" i="14"/>
  <c r="A186" i="14"/>
  <c r="A191" i="14"/>
  <c r="A194" i="14"/>
  <c r="A56" i="40"/>
  <c r="A66" i="9"/>
  <c r="A133" i="15"/>
  <c r="A131" i="15"/>
  <c r="A129" i="15"/>
  <c r="A127" i="15"/>
  <c r="A125" i="15"/>
  <c r="A134" i="15"/>
  <c r="A63" i="9"/>
  <c r="A184" i="14"/>
  <c r="A130" i="15"/>
  <c r="A132" i="15"/>
  <c r="A126" i="15"/>
  <c r="A39" i="6"/>
  <c r="A128" i="15"/>
  <c r="A65" i="9"/>
  <c r="A40" i="6"/>
  <c r="A64" i="9"/>
  <c r="A168" i="12"/>
  <c r="A160" i="12"/>
  <c r="A163" i="12"/>
  <c r="A162" i="12"/>
  <c r="A159" i="12"/>
  <c r="A161" i="12"/>
  <c r="A169" i="12"/>
  <c r="A165" i="12"/>
  <c r="A164" i="12"/>
  <c r="A170" i="12"/>
  <c r="A167" i="12"/>
  <c r="A166" i="12"/>
  <c r="A117" i="16"/>
  <c r="A113" i="16"/>
  <c r="A63" i="10"/>
  <c r="A167" i="8"/>
  <c r="A159" i="8"/>
  <c r="A116" i="16"/>
  <c r="A112" i="16"/>
  <c r="A118" i="16"/>
  <c r="A114" i="16"/>
  <c r="A115" i="16"/>
  <c r="A111" i="16"/>
  <c r="A168" i="8"/>
  <c r="A66" i="10"/>
  <c r="A166" i="8"/>
  <c r="A160" i="8"/>
  <c r="A65" i="10"/>
  <c r="A164" i="8"/>
  <c r="A163" i="8"/>
  <c r="A165" i="8"/>
  <c r="A161" i="8"/>
  <c r="A64" i="10"/>
  <c r="A78" i="7"/>
  <c r="A27" i="20"/>
  <c r="A170" i="8"/>
  <c r="A169" i="8"/>
  <c r="A79" i="7"/>
  <c r="A77" i="7"/>
  <c r="A162" i="8"/>
  <c r="A76" i="7"/>
  <c r="A75" i="7"/>
  <c r="A192" i="5"/>
  <c r="A79" i="13"/>
  <c r="A75" i="13"/>
  <c r="A76" i="13"/>
  <c r="A195" i="5"/>
  <c r="A187" i="5"/>
  <c r="A78" i="13"/>
  <c r="A183" i="5"/>
  <c r="A189" i="5"/>
  <c r="A193" i="5"/>
  <c r="A185" i="5"/>
  <c r="A184" i="5"/>
  <c r="A194" i="5"/>
  <c r="A190" i="5"/>
  <c r="A186" i="5"/>
  <c r="A188" i="5"/>
  <c r="A196" i="5"/>
  <c r="A191" i="5"/>
  <c r="A33" i="46"/>
  <c r="A64" i="40"/>
  <c r="A33" i="34"/>
  <c r="A274" i="14"/>
  <c r="A276" i="14"/>
  <c r="A269" i="14"/>
  <c r="A279" i="14"/>
  <c r="A270" i="14"/>
  <c r="A63" i="40"/>
  <c r="A267" i="14"/>
  <c r="A272" i="14"/>
  <c r="A277" i="14"/>
  <c r="A275" i="14"/>
  <c r="A273" i="14"/>
  <c r="A271" i="14"/>
  <c r="A280" i="14"/>
  <c r="A268" i="14"/>
  <c r="A278" i="14"/>
  <c r="A90" i="9"/>
  <c r="A193" i="15"/>
  <c r="A191" i="15"/>
  <c r="A189" i="15"/>
  <c r="A187" i="15"/>
  <c r="A185" i="15"/>
  <c r="A186" i="15"/>
  <c r="A87" i="9"/>
  <c r="A188" i="15"/>
  <c r="A88" i="9"/>
  <c r="A89" i="9"/>
  <c r="A190" i="15"/>
  <c r="A192" i="15"/>
  <c r="A194" i="15"/>
  <c r="A51" i="6"/>
  <c r="A52" i="6"/>
  <c r="A237" i="12"/>
  <c r="A239" i="12"/>
  <c r="A231" i="12"/>
  <c r="A242" i="12"/>
  <c r="A233" i="12"/>
  <c r="A232" i="12"/>
  <c r="A240" i="12"/>
  <c r="A235" i="12"/>
  <c r="A241" i="12"/>
  <c r="A238" i="12"/>
  <c r="A234" i="12"/>
  <c r="A236" i="12"/>
  <c r="A165" i="16"/>
  <c r="A161" i="16"/>
  <c r="A87" i="10"/>
  <c r="A239" i="8"/>
  <c r="A231" i="8"/>
  <c r="A164" i="16"/>
  <c r="A160" i="16"/>
  <c r="A166" i="16"/>
  <c r="A162" i="16"/>
  <c r="A163" i="16"/>
  <c r="A159" i="16"/>
  <c r="A241" i="8"/>
  <c r="A234" i="8"/>
  <c r="A233" i="8"/>
  <c r="A89" i="10"/>
  <c r="A235" i="8"/>
  <c r="A232" i="8"/>
  <c r="A240" i="8"/>
  <c r="A237" i="8"/>
  <c r="A33" i="20"/>
  <c r="A90" i="10"/>
  <c r="A242" i="8"/>
  <c r="A236" i="8"/>
  <c r="A108" i="7"/>
  <c r="A88" i="10"/>
  <c r="A109" i="7"/>
  <c r="A105" i="7"/>
  <c r="A107" i="7"/>
  <c r="A106" i="7"/>
  <c r="A238" i="8"/>
  <c r="A276" i="5"/>
  <c r="A109" i="13"/>
  <c r="A105" i="13"/>
  <c r="A277" i="5"/>
  <c r="A269" i="5"/>
  <c r="A106" i="13"/>
  <c r="A279" i="5"/>
  <c r="A271" i="5"/>
  <c r="A108" i="13"/>
  <c r="A267" i="5"/>
  <c r="A273" i="5"/>
  <c r="A107" i="13"/>
  <c r="A274" i="5"/>
  <c r="A278" i="5"/>
  <c r="A272" i="5"/>
  <c r="A280" i="5"/>
  <c r="A275" i="5"/>
  <c r="A270" i="5"/>
  <c r="A43" i="46"/>
  <c r="A71" i="40"/>
  <c r="A422" i="14"/>
  <c r="A428" i="14"/>
  <c r="A421" i="14"/>
  <c r="A431" i="14"/>
  <c r="A427" i="14"/>
  <c r="A423" i="14"/>
  <c r="A72" i="40"/>
  <c r="A44" i="34"/>
  <c r="A434" i="14"/>
  <c r="A429" i="14"/>
  <c r="A430" i="14"/>
  <c r="A31" i="44"/>
  <c r="A432" i="14"/>
  <c r="A424" i="14"/>
  <c r="A33" i="44"/>
  <c r="A433" i="14"/>
  <c r="A32" i="44"/>
  <c r="A425" i="14"/>
  <c r="A130" i="9"/>
  <c r="A426" i="14"/>
  <c r="A293" i="15"/>
  <c r="A291" i="15"/>
  <c r="A289" i="15"/>
  <c r="A287" i="15"/>
  <c r="A285" i="15"/>
  <c r="A294" i="15"/>
  <c r="A290" i="15"/>
  <c r="A292" i="15"/>
  <c r="A128" i="9"/>
  <c r="A129" i="9"/>
  <c r="A127" i="9"/>
  <c r="A34" i="44"/>
  <c r="A286" i="15"/>
  <c r="A73" i="6"/>
  <c r="A362" i="12"/>
  <c r="A354" i="12"/>
  <c r="A288" i="15"/>
  <c r="A74" i="6"/>
  <c r="A355" i="12"/>
  <c r="A360" i="12"/>
  <c r="A356" i="12"/>
  <c r="A352" i="12"/>
  <c r="A359" i="12"/>
  <c r="A353" i="12"/>
  <c r="A351" i="12"/>
  <c r="A358" i="12"/>
  <c r="A361" i="12"/>
  <c r="A357" i="12"/>
  <c r="A245" i="16"/>
  <c r="A241" i="16"/>
  <c r="A244" i="16"/>
  <c r="A239" i="16"/>
  <c r="A127" i="10"/>
  <c r="A359" i="8"/>
  <c r="A351" i="8"/>
  <c r="A243" i="16"/>
  <c r="A246" i="16"/>
  <c r="A240" i="16"/>
  <c r="A242" i="16"/>
  <c r="A362" i="8"/>
  <c r="A355" i="8"/>
  <c r="A356" i="8"/>
  <c r="A44" i="20"/>
  <c r="A130" i="10"/>
  <c r="A360" i="8"/>
  <c r="A357" i="8"/>
  <c r="A353" i="8"/>
  <c r="A352" i="8"/>
  <c r="A354" i="8"/>
  <c r="A128" i="10"/>
  <c r="A158" i="7"/>
  <c r="A358" i="8"/>
  <c r="A129" i="10"/>
  <c r="A159" i="7"/>
  <c r="A155" i="7"/>
  <c r="A157" i="7"/>
  <c r="A361" i="8"/>
  <c r="A156" i="7"/>
  <c r="A416" i="5"/>
  <c r="A159" i="13"/>
  <c r="A155" i="13"/>
  <c r="A417" i="5"/>
  <c r="A409" i="5"/>
  <c r="A418" i="5"/>
  <c r="A410" i="5"/>
  <c r="A156" i="13"/>
  <c r="A419" i="5"/>
  <c r="A411" i="5"/>
  <c r="A420" i="5"/>
  <c r="A158" i="13"/>
  <c r="A407" i="5"/>
  <c r="A413" i="5"/>
  <c r="A157" i="13"/>
  <c r="A415" i="5"/>
  <c r="A408" i="5"/>
  <c r="A412" i="5"/>
  <c r="A414" i="5"/>
  <c r="A101" i="5"/>
  <c r="W101" i="5"/>
  <c r="X102" i="5"/>
  <c r="AF102" i="5"/>
  <c r="Z104" i="5"/>
  <c r="AE104" i="5" s="1"/>
  <c r="AH104" i="5"/>
  <c r="S105" i="5"/>
  <c r="AI105" i="5"/>
  <c r="T106" i="5"/>
  <c r="F39" i="10" s="1"/>
  <c r="AJ106" i="5"/>
  <c r="U107" i="5"/>
  <c r="AC107" i="5"/>
  <c r="AK107" i="5"/>
  <c r="V108" i="5"/>
  <c r="AD108" i="5"/>
  <c r="AG108" i="5" s="1"/>
  <c r="A109" i="5"/>
  <c r="W109" i="5"/>
  <c r="H48" i="7" s="1"/>
  <c r="X110" i="5"/>
  <c r="AF110" i="5"/>
  <c r="Z112" i="5"/>
  <c r="AE112" i="5" s="1"/>
  <c r="AH112" i="5"/>
  <c r="S99" i="5"/>
  <c r="AI99" i="5"/>
  <c r="T100" i="5"/>
  <c r="AJ100" i="5"/>
  <c r="U115" i="5"/>
  <c r="AC115" i="5"/>
  <c r="AK115" i="5"/>
  <c r="V116" i="5"/>
  <c r="AD116" i="5"/>
  <c r="AG116" i="5" s="1"/>
  <c r="A117" i="5"/>
  <c r="W117" i="5"/>
  <c r="H50" i="7" s="1"/>
  <c r="X118" i="5"/>
  <c r="AF118" i="5"/>
  <c r="T45" i="9"/>
  <c r="L45" i="9"/>
  <c r="M45" i="9" s="1"/>
  <c r="Z120" i="5"/>
  <c r="AE120" i="5" s="1"/>
  <c r="AH120" i="5"/>
  <c r="S121" i="5"/>
  <c r="AI121" i="5"/>
  <c r="T122" i="5"/>
  <c r="F44" i="10" s="1"/>
  <c r="AJ122" i="5"/>
  <c r="U123" i="5"/>
  <c r="AC123" i="5"/>
  <c r="AK123" i="5"/>
  <c r="V124" i="5"/>
  <c r="AD124" i="5"/>
  <c r="AG124" i="5" s="1"/>
  <c r="A125" i="5"/>
  <c r="W125" i="5"/>
  <c r="H54" i="7" s="1"/>
  <c r="X126" i="5"/>
  <c r="AF126" i="5"/>
  <c r="L43" i="9"/>
  <c r="M43" i="9" s="1"/>
  <c r="T43" i="9"/>
  <c r="Z114" i="5"/>
  <c r="AE114" i="5" s="1"/>
  <c r="AH114" i="5"/>
  <c r="S143" i="5"/>
  <c r="AI143" i="5"/>
  <c r="T144" i="5"/>
  <c r="AJ144" i="5"/>
  <c r="U145" i="5"/>
  <c r="AC145" i="5"/>
  <c r="AK145" i="5"/>
  <c r="V146" i="5"/>
  <c r="AD146" i="5"/>
  <c r="AG146" i="5" s="1"/>
  <c r="A147" i="5"/>
  <c r="W147" i="5"/>
  <c r="X148" i="5"/>
  <c r="AF148" i="5"/>
  <c r="Z150" i="5"/>
  <c r="AE150" i="5" s="1"/>
  <c r="AH150" i="5"/>
  <c r="S151" i="5"/>
  <c r="AI151" i="5"/>
  <c r="T152" i="5"/>
  <c r="F53" i="10" s="1"/>
  <c r="AJ152" i="5"/>
  <c r="U153" i="5"/>
  <c r="AC153" i="5"/>
  <c r="AK153" i="5"/>
  <c r="V154" i="5"/>
  <c r="AD154" i="5"/>
  <c r="AG154" i="5" s="1"/>
  <c r="A141" i="5"/>
  <c r="W141" i="5"/>
  <c r="X142" i="5"/>
  <c r="AF142" i="5"/>
  <c r="Z172" i="5"/>
  <c r="AE172" i="5" s="1"/>
  <c r="AH172" i="5"/>
  <c r="S173" i="5"/>
  <c r="AI173" i="5"/>
  <c r="T174" i="5"/>
  <c r="AJ174" i="5"/>
  <c r="U175" i="5"/>
  <c r="AC175" i="5"/>
  <c r="AK175" i="5"/>
  <c r="V176" i="5"/>
  <c r="AD176" i="5"/>
  <c r="AG176" i="5" s="1"/>
  <c r="W177" i="5"/>
  <c r="H72" i="7" s="1"/>
  <c r="X178" i="5"/>
  <c r="AF178" i="5"/>
  <c r="Z180" i="5"/>
  <c r="AE180" i="5" s="1"/>
  <c r="AH180" i="5"/>
  <c r="S181" i="5"/>
  <c r="AI181" i="5"/>
  <c r="T182" i="5"/>
  <c r="F62" i="10" s="1"/>
  <c r="AJ182" i="5"/>
  <c r="U169" i="5"/>
  <c r="AC169" i="5"/>
  <c r="AK169" i="5"/>
  <c r="V170" i="5"/>
  <c r="AD170" i="5"/>
  <c r="AG170" i="5" s="1"/>
  <c r="A213" i="5"/>
  <c r="W213" i="5"/>
  <c r="X214" i="5"/>
  <c r="AF214" i="5"/>
  <c r="Z216" i="5"/>
  <c r="AE216" i="5" s="1"/>
  <c r="AH216" i="5"/>
  <c r="S217" i="5"/>
  <c r="AI217" i="5"/>
  <c r="T218" i="5"/>
  <c r="F71" i="10" s="1"/>
  <c r="AJ218" i="5"/>
  <c r="U219" i="5"/>
  <c r="AC219" i="5"/>
  <c r="AK219" i="5"/>
  <c r="V220" i="5"/>
  <c r="AD220" i="5"/>
  <c r="AG220" i="5" s="1"/>
  <c r="A221" i="5"/>
  <c r="W221" i="5"/>
  <c r="H88" i="7" s="1"/>
  <c r="X222" i="5"/>
  <c r="AF222" i="5"/>
  <c r="Z224" i="5"/>
  <c r="AE224" i="5" s="1"/>
  <c r="AH224" i="5"/>
  <c r="S211" i="5"/>
  <c r="AI211" i="5"/>
  <c r="T212" i="5"/>
  <c r="AJ212" i="5"/>
  <c r="U297" i="5"/>
  <c r="AC297" i="5"/>
  <c r="AK297" i="5"/>
  <c r="V298" i="5"/>
  <c r="AD298" i="5"/>
  <c r="AG298" i="5" s="1"/>
  <c r="A299" i="5"/>
  <c r="W299" i="5"/>
  <c r="H115" i="7" s="1"/>
  <c r="X300" i="5"/>
  <c r="AF300" i="5"/>
  <c r="Z302" i="5"/>
  <c r="AE302" i="5" s="1"/>
  <c r="AH302" i="5"/>
  <c r="S303" i="5"/>
  <c r="AI303" i="5"/>
  <c r="T304" i="5"/>
  <c r="F96" i="10" s="1"/>
  <c r="AJ304" i="5"/>
  <c r="U305" i="5"/>
  <c r="AC305" i="5"/>
  <c r="AK305" i="5"/>
  <c r="V306" i="5"/>
  <c r="AD306" i="5"/>
  <c r="AG306" i="5" s="1"/>
  <c r="A307" i="5"/>
  <c r="W307" i="5"/>
  <c r="H119" i="7" s="1"/>
  <c r="X308" i="5"/>
  <c r="AF308" i="5"/>
  <c r="L95" i="9"/>
  <c r="M95" i="9" s="1"/>
  <c r="T95" i="9"/>
  <c r="Z296" i="5"/>
  <c r="AE296" i="5" s="1"/>
  <c r="AH296" i="5"/>
  <c r="S325" i="5"/>
  <c r="AI325" i="5"/>
  <c r="T326" i="5"/>
  <c r="AJ326" i="5"/>
  <c r="U327" i="5"/>
  <c r="AC327" i="5"/>
  <c r="AK327" i="5"/>
  <c r="V328" i="5"/>
  <c r="AD328" i="5"/>
  <c r="AG328" i="5" s="1"/>
  <c r="A329" i="5"/>
  <c r="W329" i="5"/>
  <c r="H126" i="7" s="1"/>
  <c r="X330" i="5"/>
  <c r="AF330" i="5"/>
  <c r="Z332" i="5"/>
  <c r="AE332" i="5" s="1"/>
  <c r="AH332" i="5"/>
  <c r="S333" i="5"/>
  <c r="AI333" i="5"/>
  <c r="T334" i="5"/>
  <c r="F105" i="10" s="1"/>
  <c r="AJ334" i="5"/>
  <c r="U335" i="5"/>
  <c r="AC335" i="5"/>
  <c r="AK335" i="5"/>
  <c r="V336" i="5"/>
  <c r="AD336" i="5"/>
  <c r="AG336" i="5" s="1"/>
  <c r="A323" i="5"/>
  <c r="W323" i="5"/>
  <c r="X324" i="5"/>
  <c r="AF324" i="5"/>
  <c r="Z340" i="5"/>
  <c r="AE340" i="5" s="1"/>
  <c r="AH340" i="5"/>
  <c r="S341" i="5"/>
  <c r="AI341" i="5"/>
  <c r="T342" i="5"/>
  <c r="AK342" i="5"/>
  <c r="AH343" i="5"/>
  <c r="X344" i="5"/>
  <c r="T345" i="5"/>
  <c r="F132" i="7" s="1"/>
  <c r="AD345" i="5"/>
  <c r="AG345" i="5" s="1"/>
  <c r="S346" i="5"/>
  <c r="AK346" i="5"/>
  <c r="AH347" i="5"/>
  <c r="U348" i="5"/>
  <c r="AD348" i="5"/>
  <c r="AG348" i="5" s="1"/>
  <c r="S349" i="5"/>
  <c r="AK349" i="5"/>
  <c r="X350" i="5"/>
  <c r="V337" i="5"/>
  <c r="V338" i="5"/>
  <c r="AA382" i="5"/>
  <c r="AL382" i="5" s="1"/>
  <c r="W384" i="5"/>
  <c r="L121" i="9"/>
  <c r="M121" i="9" s="1"/>
  <c r="T121" i="9"/>
  <c r="V386" i="5"/>
  <c r="AH387" i="5"/>
  <c r="AC388" i="5"/>
  <c r="W390" i="5"/>
  <c r="H121" i="10" s="1"/>
  <c r="W391" i="5"/>
  <c r="H149" i="7" s="1"/>
  <c r="AF379" i="5"/>
  <c r="S87" i="5"/>
  <c r="S88" i="5"/>
  <c r="AK88" i="5"/>
  <c r="AJ89" i="5"/>
  <c r="A91" i="5"/>
  <c r="A92" i="5"/>
  <c r="AJ95" i="5"/>
  <c r="AJ96" i="5"/>
  <c r="AD97" i="5"/>
  <c r="AG97" i="5" s="1"/>
  <c r="A98" i="5"/>
  <c r="AD98" i="5"/>
  <c r="AG98" i="5" s="1"/>
  <c r="AD85" i="5"/>
  <c r="AG85" i="5" s="1"/>
  <c r="A86" i="5"/>
  <c r="AJ131" i="5"/>
  <c r="AJ132" i="5"/>
  <c r="AD133" i="5"/>
  <c r="AG133" i="5" s="1"/>
  <c r="AD134" i="5"/>
  <c r="AG134" i="5" s="1"/>
  <c r="AD135" i="5"/>
  <c r="AG135" i="5" s="1"/>
  <c r="AF136" i="5"/>
  <c r="AH137" i="5"/>
  <c r="AI138" i="5"/>
  <c r="AI139" i="5"/>
  <c r="AI140" i="5"/>
  <c r="U128" i="5"/>
  <c r="R158" i="5"/>
  <c r="X159" i="5"/>
  <c r="T161" i="5"/>
  <c r="AD163" i="5"/>
  <c r="AG163" i="5" s="1"/>
  <c r="AK164" i="5"/>
  <c r="U166" i="5"/>
  <c r="AC167" i="5"/>
  <c r="AH168" i="5"/>
  <c r="R155" i="5"/>
  <c r="Z255" i="5"/>
  <c r="X256" i="5"/>
  <c r="AC257" i="5"/>
  <c r="AK258" i="5"/>
  <c r="X259" i="5"/>
  <c r="T260" i="5"/>
  <c r="F83" i="10" s="1"/>
  <c r="U261" i="5"/>
  <c r="AH262" i="5"/>
  <c r="AD263" i="5"/>
  <c r="AG263" i="5" s="1"/>
  <c r="AC264" i="5"/>
  <c r="A265" i="5"/>
  <c r="AJ265" i="5"/>
  <c r="S254" i="5"/>
  <c r="AF284" i="5"/>
  <c r="Z286" i="5"/>
  <c r="U288" i="5"/>
  <c r="AH289" i="5"/>
  <c r="Z290" i="5"/>
  <c r="AF291" i="5"/>
  <c r="A282" i="5"/>
  <c r="AC367" i="5"/>
  <c r="AC369" i="5"/>
  <c r="V370" i="5"/>
  <c r="AH372" i="5"/>
  <c r="AI373" i="5"/>
  <c r="AI378" i="5"/>
  <c r="AC365" i="5"/>
  <c r="R366" i="5"/>
  <c r="AD34" i="5"/>
  <c r="AG34" i="5" s="1"/>
  <c r="AA35" i="5"/>
  <c r="AL35" i="5" s="1"/>
  <c r="T36" i="5"/>
  <c r="F19" i="10" s="1"/>
  <c r="X54" i="5"/>
  <c r="AJ55" i="5"/>
  <c r="W56" i="5"/>
  <c r="H26" i="10" s="1"/>
  <c r="U44" i="5"/>
  <c r="Y44" i="5" s="1"/>
  <c r="T66" i="5"/>
  <c r="F28" i="10" s="1"/>
  <c r="AI67" i="5"/>
  <c r="AD73" i="5"/>
  <c r="AG73" i="5" s="1"/>
  <c r="X71" i="5"/>
  <c r="AH186" i="5"/>
  <c r="AD187" i="5"/>
  <c r="AG187" i="5" s="1"/>
  <c r="AD193" i="5"/>
  <c r="AG193" i="5" s="1"/>
  <c r="Z201" i="5"/>
  <c r="AH207" i="5"/>
  <c r="Z210" i="5"/>
  <c r="AC232" i="5"/>
  <c r="Z248" i="5"/>
  <c r="AD315" i="5"/>
  <c r="AG315" i="5" s="1"/>
  <c r="T409" i="5"/>
  <c r="AN147" i="13"/>
  <c r="BM41" i="46" s="1"/>
  <c r="AL147" i="13"/>
  <c r="BF41" i="46" s="1"/>
  <c r="AL33" i="13"/>
  <c r="BG18" i="46" s="1"/>
  <c r="AC102" i="5"/>
  <c r="X105" i="5"/>
  <c r="S108" i="5"/>
  <c r="AK110" i="5"/>
  <c r="AF99" i="5"/>
  <c r="V119" i="5"/>
  <c r="U126" i="5"/>
  <c r="W114" i="5"/>
  <c r="Z145" i="5"/>
  <c r="AC148" i="5"/>
  <c r="W150" i="5"/>
  <c r="H52" i="10" s="1"/>
  <c r="Z153" i="5"/>
  <c r="AC142" i="5"/>
  <c r="Z175" i="5"/>
  <c r="AJ177" i="5"/>
  <c r="V179" i="5"/>
  <c r="AA220" i="5"/>
  <c r="AL220" i="5" s="1"/>
  <c r="AJ221" i="5"/>
  <c r="V223" i="5"/>
  <c r="S298" i="5"/>
  <c r="AC300" i="5"/>
  <c r="AA306" i="5"/>
  <c r="AL306" i="5" s="1"/>
  <c r="AC308" i="5"/>
  <c r="AK330" i="5"/>
  <c r="AF333" i="5"/>
  <c r="S336" i="5"/>
  <c r="U324" i="5"/>
  <c r="V339" i="5"/>
  <c r="AD350" i="5"/>
  <c r="AG350" i="5" s="1"/>
  <c r="AK382" i="5"/>
  <c r="AF384" i="5"/>
  <c r="U388" i="5"/>
  <c r="X379" i="5"/>
  <c r="H52" i="6"/>
  <c r="H26" i="6"/>
  <c r="H66" i="6"/>
  <c r="M66" i="6" s="1"/>
  <c r="H74" i="6"/>
  <c r="H64" i="6"/>
  <c r="H46" i="6"/>
  <c r="H40" i="6"/>
  <c r="H60" i="6"/>
  <c r="H44" i="6"/>
  <c r="H54" i="6"/>
  <c r="H36" i="6"/>
  <c r="H22" i="6"/>
  <c r="H28" i="6"/>
  <c r="H18" i="6"/>
  <c r="H34" i="6"/>
  <c r="F98" i="10"/>
  <c r="F133" i="16"/>
  <c r="F51" i="10"/>
  <c r="F154" i="7"/>
  <c r="F120" i="10"/>
  <c r="F20" i="7"/>
  <c r="H46" i="7"/>
  <c r="G51" i="7"/>
  <c r="G116" i="7"/>
  <c r="X101" i="5"/>
  <c r="AF101" i="5"/>
  <c r="Z103" i="5"/>
  <c r="AH103" i="5"/>
  <c r="S104" i="5"/>
  <c r="AI104" i="5"/>
  <c r="T105" i="5"/>
  <c r="F46" i="7" s="1"/>
  <c r="AJ105" i="5"/>
  <c r="U106" i="5"/>
  <c r="Y106" i="5" s="1"/>
  <c r="AC106" i="5"/>
  <c r="AK106" i="5"/>
  <c r="V107" i="5"/>
  <c r="AD107" i="5"/>
  <c r="AG107" i="5" s="1"/>
  <c r="A108" i="5"/>
  <c r="W108" i="5"/>
  <c r="H40" i="10" s="1"/>
  <c r="X109" i="5"/>
  <c r="AF109" i="5"/>
  <c r="Z111" i="5"/>
  <c r="AE111" i="5" s="1"/>
  <c r="AH111" i="5"/>
  <c r="S112" i="5"/>
  <c r="AI112" i="5"/>
  <c r="T99" i="5"/>
  <c r="AJ99" i="5"/>
  <c r="U100" i="5"/>
  <c r="Y100" i="5" s="1"/>
  <c r="AC100" i="5"/>
  <c r="AK100" i="5"/>
  <c r="V115" i="5"/>
  <c r="AD115" i="5"/>
  <c r="AG115" i="5" s="1"/>
  <c r="A116" i="5"/>
  <c r="W116" i="5"/>
  <c r="X117" i="5"/>
  <c r="AF117" i="5"/>
  <c r="R119" i="5"/>
  <c r="Z119" i="5"/>
  <c r="AE119" i="5" s="1"/>
  <c r="AH119" i="5"/>
  <c r="S120" i="5"/>
  <c r="AI120" i="5"/>
  <c r="T121" i="5"/>
  <c r="F52" i="7" s="1"/>
  <c r="AJ121" i="5"/>
  <c r="U122" i="5"/>
  <c r="Y122" i="5" s="1"/>
  <c r="AC122" i="5"/>
  <c r="AK122" i="5"/>
  <c r="V123" i="5"/>
  <c r="AD123" i="5"/>
  <c r="AG123" i="5" s="1"/>
  <c r="W124" i="5"/>
  <c r="H45" i="10" s="1"/>
  <c r="X125" i="5"/>
  <c r="AF125" i="5"/>
  <c r="R113" i="5"/>
  <c r="Z113" i="5"/>
  <c r="AE113" i="5" s="1"/>
  <c r="AH113" i="5"/>
  <c r="S114" i="5"/>
  <c r="AI114" i="5"/>
  <c r="T143" i="5"/>
  <c r="AJ143" i="5"/>
  <c r="U144" i="5"/>
  <c r="Y144" i="5" s="1"/>
  <c r="AC144" i="5"/>
  <c r="AK144" i="5"/>
  <c r="V145" i="5"/>
  <c r="AD145" i="5"/>
  <c r="AG145" i="5" s="1"/>
  <c r="A146" i="5"/>
  <c r="W146" i="5"/>
  <c r="X147" i="5"/>
  <c r="AF147" i="5"/>
  <c r="L54" i="9"/>
  <c r="M54" i="9" s="1"/>
  <c r="T54" i="9"/>
  <c r="Z149" i="5"/>
  <c r="AE149" i="5" s="1"/>
  <c r="AH149" i="5"/>
  <c r="S150" i="5"/>
  <c r="AI150" i="5"/>
  <c r="T151" i="5"/>
  <c r="AJ151" i="5"/>
  <c r="U152" i="5"/>
  <c r="Y152" i="5" s="1"/>
  <c r="AC152" i="5"/>
  <c r="AK152" i="5"/>
  <c r="V153" i="5"/>
  <c r="AD153" i="5"/>
  <c r="AG153" i="5" s="1"/>
  <c r="A154" i="5"/>
  <c r="W154" i="5"/>
  <c r="H54" i="10" s="1"/>
  <c r="X141" i="5"/>
  <c r="AF141" i="5"/>
  <c r="T52" i="9"/>
  <c r="L52" i="9"/>
  <c r="M52" i="9" s="1"/>
  <c r="Z171" i="5"/>
  <c r="AE171" i="5" s="1"/>
  <c r="AH171" i="5"/>
  <c r="S172" i="5"/>
  <c r="AI172" i="5"/>
  <c r="T173" i="5"/>
  <c r="F70" i="7" s="1"/>
  <c r="AJ173" i="5"/>
  <c r="U174" i="5"/>
  <c r="Y174" i="5" s="1"/>
  <c r="AC174" i="5"/>
  <c r="AK174" i="5"/>
  <c r="V175" i="5"/>
  <c r="AD175" i="5"/>
  <c r="AG175" i="5" s="1"/>
  <c r="W176" i="5"/>
  <c r="H59" i="10" s="1"/>
  <c r="X177" i="5"/>
  <c r="AF177" i="5"/>
  <c r="Z179" i="5"/>
  <c r="AE179" i="5" s="1"/>
  <c r="AH179" i="5"/>
  <c r="S180" i="5"/>
  <c r="AI180" i="5"/>
  <c r="T181" i="5"/>
  <c r="F74" i="7" s="1"/>
  <c r="AJ181" i="5"/>
  <c r="U182" i="5"/>
  <c r="Y182" i="5" s="1"/>
  <c r="AC182" i="5"/>
  <c r="AK182" i="5"/>
  <c r="V169" i="5"/>
  <c r="AD169" i="5"/>
  <c r="AG169" i="5" s="1"/>
  <c r="W170" i="5"/>
  <c r="X213" i="5"/>
  <c r="AF213" i="5"/>
  <c r="Z215" i="5"/>
  <c r="AE215" i="5" s="1"/>
  <c r="AH215" i="5"/>
  <c r="S216" i="5"/>
  <c r="AI216" i="5"/>
  <c r="T217" i="5"/>
  <c r="F86" i="7" s="1"/>
  <c r="AJ217" i="5"/>
  <c r="U218" i="5"/>
  <c r="Y218" i="5" s="1"/>
  <c r="AC218" i="5"/>
  <c r="AK218" i="5"/>
  <c r="V219" i="5"/>
  <c r="AD219" i="5"/>
  <c r="AG219" i="5" s="1"/>
  <c r="A220" i="5"/>
  <c r="W220" i="5"/>
  <c r="H72" i="10" s="1"/>
  <c r="X221" i="5"/>
  <c r="AF221" i="5"/>
  <c r="Z223" i="5"/>
  <c r="AH223" i="5"/>
  <c r="S224" i="5"/>
  <c r="AI224" i="5"/>
  <c r="T211" i="5"/>
  <c r="AJ211" i="5"/>
  <c r="U212" i="5"/>
  <c r="AC212" i="5"/>
  <c r="AK212" i="5"/>
  <c r="V297" i="5"/>
  <c r="AD297" i="5"/>
  <c r="AG297" i="5" s="1"/>
  <c r="A298" i="5"/>
  <c r="W298" i="5"/>
  <c r="X299" i="5"/>
  <c r="AF299" i="5"/>
  <c r="R301" i="5"/>
  <c r="Z301" i="5"/>
  <c r="AE301" i="5" s="1"/>
  <c r="AH301" i="5"/>
  <c r="S302" i="5"/>
  <c r="AI302" i="5"/>
  <c r="T303" i="5"/>
  <c r="F117" i="7" s="1"/>
  <c r="AJ303" i="5"/>
  <c r="U304" i="5"/>
  <c r="Y304" i="5" s="1"/>
  <c r="AC304" i="5"/>
  <c r="AK304" i="5"/>
  <c r="V305" i="5"/>
  <c r="AD305" i="5"/>
  <c r="AG305" i="5" s="1"/>
  <c r="W306" i="5"/>
  <c r="H97" i="10" s="1"/>
  <c r="X307" i="5"/>
  <c r="AF307" i="5"/>
  <c r="R295" i="5"/>
  <c r="Z295" i="5"/>
  <c r="AH295" i="5"/>
  <c r="S296" i="5"/>
  <c r="AI296" i="5"/>
  <c r="T325" i="5"/>
  <c r="AJ325" i="5"/>
  <c r="U326" i="5"/>
  <c r="Y326" i="5" s="1"/>
  <c r="AC326" i="5"/>
  <c r="AK326" i="5"/>
  <c r="V327" i="5"/>
  <c r="AD327" i="5"/>
  <c r="AG327" i="5" s="1"/>
  <c r="A328" i="5"/>
  <c r="W328" i="5"/>
  <c r="X329" i="5"/>
  <c r="AF329" i="5"/>
  <c r="L106" i="9"/>
  <c r="M106" i="9" s="1"/>
  <c r="T106" i="9"/>
  <c r="Z331" i="5"/>
  <c r="AH331" i="5"/>
  <c r="S332" i="5"/>
  <c r="AI332" i="5"/>
  <c r="T333" i="5"/>
  <c r="F128" i="7" s="1"/>
  <c r="AJ333" i="5"/>
  <c r="U334" i="5"/>
  <c r="AC334" i="5"/>
  <c r="AK334" i="5"/>
  <c r="V335" i="5"/>
  <c r="AD335" i="5"/>
  <c r="AG335" i="5" s="1"/>
  <c r="A336" i="5"/>
  <c r="W336" i="5"/>
  <c r="H106" i="10" s="1"/>
  <c r="X323" i="5"/>
  <c r="AF323" i="5"/>
  <c r="L104" i="9"/>
  <c r="M104" i="9" s="1"/>
  <c r="T104" i="9"/>
  <c r="Z339" i="5"/>
  <c r="AE339" i="5" s="1"/>
  <c r="AH339" i="5"/>
  <c r="S340" i="5"/>
  <c r="AI340" i="5"/>
  <c r="T341" i="5"/>
  <c r="F130" i="7" s="1"/>
  <c r="AJ341" i="5"/>
  <c r="U342" i="5"/>
  <c r="Y342" i="5" s="1"/>
  <c r="AC342" i="5"/>
  <c r="T109" i="9"/>
  <c r="L109" i="9"/>
  <c r="M109" i="9" s="1"/>
  <c r="Z343" i="5"/>
  <c r="AE343" i="5" s="1"/>
  <c r="AJ343" i="5"/>
  <c r="AH344" i="5"/>
  <c r="V345" i="5"/>
  <c r="T346" i="5"/>
  <c r="F108" i="10" s="1"/>
  <c r="AC346" i="5"/>
  <c r="Z347" i="5"/>
  <c r="AE347" i="5" s="1"/>
  <c r="AI347" i="5"/>
  <c r="V348" i="5"/>
  <c r="T349" i="5"/>
  <c r="F134" i="7" s="1"/>
  <c r="AC349" i="5"/>
  <c r="AI350" i="5"/>
  <c r="W337" i="5"/>
  <c r="AF337" i="5"/>
  <c r="W338" i="5"/>
  <c r="AH338" i="5"/>
  <c r="AC381" i="5"/>
  <c r="AC382" i="5"/>
  <c r="AF383" i="5"/>
  <c r="X384" i="5"/>
  <c r="R385" i="5"/>
  <c r="AH385" i="5"/>
  <c r="AI387" i="5"/>
  <c r="AI388" i="5"/>
  <c r="AC389" i="5"/>
  <c r="AC390" i="5"/>
  <c r="X391" i="5"/>
  <c r="T87" i="5"/>
  <c r="T88" i="5"/>
  <c r="AK89" i="5"/>
  <c r="AK90" i="5"/>
  <c r="AF91" i="5"/>
  <c r="R93" i="5"/>
  <c r="S94" i="5"/>
  <c r="S95" i="5"/>
  <c r="S96" i="5"/>
  <c r="AK96" i="5"/>
  <c r="AJ97" i="5"/>
  <c r="A85" i="5"/>
  <c r="R129" i="5"/>
  <c r="S130" i="5"/>
  <c r="S131" i="5"/>
  <c r="S132" i="5"/>
  <c r="AK132" i="5"/>
  <c r="AJ133" i="5"/>
  <c r="R138" i="5"/>
  <c r="AJ139" i="5"/>
  <c r="AJ140" i="5"/>
  <c r="AC127" i="5"/>
  <c r="V128" i="5"/>
  <c r="W158" i="5"/>
  <c r="Z160" i="5"/>
  <c r="AH162" i="5"/>
  <c r="V166" i="5"/>
  <c r="AD167" i="5"/>
  <c r="AG167" i="5" s="1"/>
  <c r="AI168" i="5"/>
  <c r="X155" i="5"/>
  <c r="AB155" i="5" s="1"/>
  <c r="AA255" i="5"/>
  <c r="AL255" i="5" s="1"/>
  <c r="AD257" i="5"/>
  <c r="AG257" i="5" s="1"/>
  <c r="V260" i="5"/>
  <c r="AI262" i="5"/>
  <c r="AD264" i="5"/>
  <c r="AG264" i="5" s="1"/>
  <c r="U253" i="5"/>
  <c r="Y253" i="5" s="1"/>
  <c r="Z254" i="5"/>
  <c r="AC283" i="5"/>
  <c r="V285" i="5"/>
  <c r="AA286" i="5"/>
  <c r="AL286" i="5" s="1"/>
  <c r="R287" i="5"/>
  <c r="V288" i="5"/>
  <c r="A289" i="5"/>
  <c r="AI289" i="5"/>
  <c r="AA290" i="5"/>
  <c r="AL290" i="5" s="1"/>
  <c r="U292" i="5"/>
  <c r="Z294" i="5"/>
  <c r="X370" i="5"/>
  <c r="AJ373" i="5"/>
  <c r="AD366" i="5"/>
  <c r="AG366" i="5" s="1"/>
  <c r="A32" i="5"/>
  <c r="AJ33" i="5"/>
  <c r="AC35" i="5"/>
  <c r="V44" i="5"/>
  <c r="AH59" i="5"/>
  <c r="AI60" i="5"/>
  <c r="U66" i="5"/>
  <c r="Y66" i="5" s="1"/>
  <c r="AK67" i="5"/>
  <c r="AI57" i="5"/>
  <c r="AI186" i="5"/>
  <c r="Z183" i="5"/>
  <c r="AE183" i="5" s="1"/>
  <c r="AJ207" i="5"/>
  <c r="AA210" i="5"/>
  <c r="AL210" i="5" s="1"/>
  <c r="Z227" i="5"/>
  <c r="AE227" i="5" s="1"/>
  <c r="T231" i="5"/>
  <c r="F91" i="7" s="1"/>
  <c r="W234" i="5"/>
  <c r="H76" i="10" s="1"/>
  <c r="S241" i="5"/>
  <c r="AC270" i="5"/>
  <c r="X279" i="5"/>
  <c r="AH311" i="5"/>
  <c r="Z314" i="5"/>
  <c r="AE314" i="5" s="1"/>
  <c r="AK396" i="5"/>
  <c r="S403" i="5"/>
  <c r="AJ409" i="5"/>
  <c r="AJ411" i="5"/>
  <c r="R416" i="5"/>
  <c r="AN69" i="13"/>
  <c r="AL69" i="13"/>
  <c r="BH25" i="46" s="1"/>
  <c r="X102" i="13"/>
  <c r="Z102" i="13" s="1"/>
  <c r="AK102" i="13" s="1"/>
  <c r="AY32" i="46" s="1"/>
  <c r="AN36" i="13"/>
  <c r="BL19" i="46" s="1"/>
  <c r="AL36" i="13"/>
  <c r="BE19" i="46" s="1"/>
  <c r="AN109" i="13"/>
  <c r="BO33" i="46" s="1"/>
  <c r="AL109" i="13"/>
  <c r="BH33" i="46" s="1"/>
  <c r="W104" i="5"/>
  <c r="L40" i="9"/>
  <c r="T40" i="9"/>
  <c r="AI116" i="5"/>
  <c r="U118" i="5"/>
  <c r="AF121" i="5"/>
  <c r="AH123" i="5"/>
  <c r="AI124" i="5"/>
  <c r="AK126" i="5"/>
  <c r="X143" i="5"/>
  <c r="S146" i="5"/>
  <c r="U148" i="5"/>
  <c r="S154" i="5"/>
  <c r="U142" i="5"/>
  <c r="AF173" i="5"/>
  <c r="T177" i="5"/>
  <c r="F72" i="7" s="1"/>
  <c r="L74" i="9"/>
  <c r="M74" i="9" s="1"/>
  <c r="T74" i="9"/>
  <c r="Z219" i="5"/>
  <c r="S220" i="5"/>
  <c r="T221" i="5"/>
  <c r="F88" i="7" s="1"/>
  <c r="AK222" i="5"/>
  <c r="AD223" i="5"/>
  <c r="AG223" i="5" s="1"/>
  <c r="AI298" i="5"/>
  <c r="AJ299" i="5"/>
  <c r="V301" i="5"/>
  <c r="X303" i="5"/>
  <c r="AB303" i="5" s="1"/>
  <c r="AH305" i="5"/>
  <c r="U308" i="5"/>
  <c r="AD295" i="5"/>
  <c r="AG295" i="5" s="1"/>
  <c r="Z327" i="5"/>
  <c r="AI328" i="5"/>
  <c r="U330" i="5"/>
  <c r="AD331" i="5"/>
  <c r="AG331" i="5" s="1"/>
  <c r="AA336" i="5"/>
  <c r="AL336" i="5" s="1"/>
  <c r="AJ323" i="5"/>
  <c r="AF341" i="5"/>
  <c r="AD344" i="5"/>
  <c r="AG344" i="5" s="1"/>
  <c r="AH346" i="5"/>
  <c r="X349" i="5"/>
  <c r="V381" i="5"/>
  <c r="T389" i="5"/>
  <c r="F148" i="7" s="1"/>
  <c r="R392" i="5"/>
  <c r="A22" i="46"/>
  <c r="A18" i="40"/>
  <c r="A17" i="40"/>
  <c r="A22" i="34"/>
  <c r="A115" i="14"/>
  <c r="A123" i="14"/>
  <c r="A120" i="14"/>
  <c r="A126" i="14"/>
  <c r="A117" i="14"/>
  <c r="A83" i="15"/>
  <c r="A81" i="15"/>
  <c r="A79" i="15"/>
  <c r="A77" i="15"/>
  <c r="A75" i="15"/>
  <c r="A82" i="15"/>
  <c r="A122" i="14"/>
  <c r="A121" i="14"/>
  <c r="A119" i="14"/>
  <c r="A84" i="15"/>
  <c r="A124" i="14"/>
  <c r="A118" i="14"/>
  <c r="A116" i="14"/>
  <c r="A114" i="14"/>
  <c r="A76" i="15"/>
  <c r="A78" i="15"/>
  <c r="A80" i="15"/>
  <c r="A45" i="9"/>
  <c r="A44" i="9"/>
  <c r="A113" i="14"/>
  <c r="A125" i="14"/>
  <c r="A43" i="9"/>
  <c r="A29" i="6"/>
  <c r="A46" i="9"/>
  <c r="A30" i="6"/>
  <c r="A103" i="12"/>
  <c r="A104" i="12"/>
  <c r="A109" i="12"/>
  <c r="A108" i="12"/>
  <c r="A100" i="12"/>
  <c r="A77" i="16"/>
  <c r="A73" i="16"/>
  <c r="A103" i="8"/>
  <c r="A105" i="12"/>
  <c r="A99" i="12"/>
  <c r="A107" i="12"/>
  <c r="A106" i="12"/>
  <c r="A102" i="12"/>
  <c r="A110" i="12"/>
  <c r="A101" i="12"/>
  <c r="A78" i="16"/>
  <c r="A72" i="16"/>
  <c r="A76" i="16"/>
  <c r="A75" i="16"/>
  <c r="A71" i="16"/>
  <c r="A43" i="10"/>
  <c r="A109" i="8"/>
  <c r="A102" i="8"/>
  <c r="A74" i="16"/>
  <c r="A22" i="20"/>
  <c r="A45" i="10"/>
  <c r="A105" i="8"/>
  <c r="A44" i="10"/>
  <c r="A106" i="8"/>
  <c r="A101" i="8"/>
  <c r="A110" i="8"/>
  <c r="A107" i="8"/>
  <c r="A99" i="8"/>
  <c r="A46" i="10"/>
  <c r="A100" i="8"/>
  <c r="A52" i="7"/>
  <c r="A53" i="7"/>
  <c r="A108" i="8"/>
  <c r="A54" i="7"/>
  <c r="A50" i="7"/>
  <c r="A51" i="7"/>
  <c r="A104" i="8"/>
  <c r="A52" i="13"/>
  <c r="A54" i="13"/>
  <c r="A50" i="13"/>
  <c r="A51" i="13"/>
  <c r="A53" i="13"/>
  <c r="A35" i="46"/>
  <c r="A35" i="34"/>
  <c r="A26" i="40"/>
  <c r="A25" i="40"/>
  <c r="A307" i="14"/>
  <c r="A304" i="14"/>
  <c r="A297" i="14"/>
  <c r="A296" i="14"/>
  <c r="A300" i="14"/>
  <c r="A303" i="14"/>
  <c r="A295" i="14"/>
  <c r="A306" i="14"/>
  <c r="A299" i="14"/>
  <c r="A298" i="14"/>
  <c r="A301" i="14"/>
  <c r="A213" i="15"/>
  <c r="A211" i="15"/>
  <c r="A209" i="15"/>
  <c r="A207" i="15"/>
  <c r="A205" i="15"/>
  <c r="A302" i="14"/>
  <c r="A206" i="15"/>
  <c r="A208" i="15"/>
  <c r="A210" i="15"/>
  <c r="A305" i="14"/>
  <c r="A214" i="15"/>
  <c r="A97" i="9"/>
  <c r="A96" i="9"/>
  <c r="A308" i="14"/>
  <c r="A212" i="15"/>
  <c r="A98" i="9"/>
  <c r="A55" i="6"/>
  <c r="A95" i="9"/>
  <c r="A56" i="6"/>
  <c r="A259" i="12"/>
  <c r="A263" i="12"/>
  <c r="A255" i="12"/>
  <c r="A261" i="12"/>
  <c r="A260" i="12"/>
  <c r="A262" i="12"/>
  <c r="A181" i="16"/>
  <c r="A177" i="16"/>
  <c r="A259" i="8"/>
  <c r="A265" i="12"/>
  <c r="A264" i="12"/>
  <c r="A266" i="12"/>
  <c r="A258" i="12"/>
  <c r="A256" i="12"/>
  <c r="A257" i="12"/>
  <c r="A182" i="16"/>
  <c r="A176" i="16"/>
  <c r="A180" i="16"/>
  <c r="A175" i="16"/>
  <c r="A178" i="16"/>
  <c r="A97" i="10"/>
  <c r="A95" i="10"/>
  <c r="A179" i="16"/>
  <c r="A257" i="8"/>
  <c r="A256" i="8"/>
  <c r="A255" i="8"/>
  <c r="A96" i="10"/>
  <c r="A258" i="8"/>
  <c r="A98" i="10"/>
  <c r="A264" i="8"/>
  <c r="A261" i="8"/>
  <c r="A35" i="20"/>
  <c r="A265" i="8"/>
  <c r="A262" i="8"/>
  <c r="A116" i="7"/>
  <c r="A266" i="8"/>
  <c r="A263" i="8"/>
  <c r="A260" i="8"/>
  <c r="A119" i="7"/>
  <c r="A118" i="7"/>
  <c r="A115" i="7"/>
  <c r="A117" i="7"/>
  <c r="A117" i="13"/>
  <c r="A119" i="13"/>
  <c r="A115" i="13"/>
  <c r="A116" i="13"/>
  <c r="A118" i="13"/>
  <c r="A41" i="46"/>
  <c r="A42" i="34"/>
  <c r="A33" i="40"/>
  <c r="A34" i="40"/>
  <c r="A394" i="14"/>
  <c r="A403" i="14"/>
  <c r="A398" i="14"/>
  <c r="A405" i="14"/>
  <c r="A401" i="14"/>
  <c r="A400" i="14"/>
  <c r="A399" i="14"/>
  <c r="A406" i="14"/>
  <c r="A397" i="14"/>
  <c r="A404" i="14"/>
  <c r="A396" i="14"/>
  <c r="A395" i="14"/>
  <c r="A393" i="14"/>
  <c r="A402" i="14"/>
  <c r="A273" i="15"/>
  <c r="A271" i="15"/>
  <c r="A269" i="15"/>
  <c r="A267" i="15"/>
  <c r="A265" i="15"/>
  <c r="A272" i="15"/>
  <c r="A274" i="15"/>
  <c r="A266" i="15"/>
  <c r="A119" i="9"/>
  <c r="A268" i="15"/>
  <c r="A122" i="9"/>
  <c r="A270" i="15"/>
  <c r="A120" i="9"/>
  <c r="A121" i="9"/>
  <c r="A69" i="6"/>
  <c r="A70" i="6"/>
  <c r="A337" i="12"/>
  <c r="A329" i="12"/>
  <c r="A333" i="12"/>
  <c r="A328" i="12"/>
  <c r="A330" i="12"/>
  <c r="A338" i="12"/>
  <c r="A335" i="12"/>
  <c r="A332" i="12"/>
  <c r="A331" i="12"/>
  <c r="A327" i="12"/>
  <c r="A229" i="16"/>
  <c r="A225" i="16"/>
  <c r="A331" i="8"/>
  <c r="A228" i="16"/>
  <c r="A334" i="12"/>
  <c r="A336" i="12"/>
  <c r="A224" i="16"/>
  <c r="A120" i="10"/>
  <c r="A230" i="16"/>
  <c r="A223" i="16"/>
  <c r="A227" i="16"/>
  <c r="A333" i="8"/>
  <c r="A226" i="16"/>
  <c r="A119" i="10"/>
  <c r="A337" i="8"/>
  <c r="A330" i="8"/>
  <c r="A122" i="10"/>
  <c r="A121" i="10"/>
  <c r="A336" i="8"/>
  <c r="A334" i="8"/>
  <c r="A327" i="8"/>
  <c r="A338" i="8"/>
  <c r="A329" i="8"/>
  <c r="A328" i="8"/>
  <c r="A146" i="7"/>
  <c r="A147" i="7"/>
  <c r="A332" i="8"/>
  <c r="A42" i="20"/>
  <c r="A335" i="8"/>
  <c r="A149" i="7"/>
  <c r="A148" i="7"/>
  <c r="A145" i="7"/>
  <c r="A147" i="13"/>
  <c r="A149" i="13"/>
  <c r="A145" i="13"/>
  <c r="A146" i="13"/>
  <c r="A148" i="13"/>
  <c r="A379" i="5"/>
  <c r="A385" i="5"/>
  <c r="A380" i="5"/>
  <c r="A386" i="5"/>
  <c r="A388" i="5"/>
  <c r="A389" i="5"/>
  <c r="A381" i="5"/>
  <c r="A32" i="46"/>
  <c r="A42" i="40"/>
  <c r="A32" i="34"/>
  <c r="A41" i="40"/>
  <c r="A254" i="14"/>
  <c r="A259" i="14"/>
  <c r="A264" i="14"/>
  <c r="A261" i="14"/>
  <c r="A255" i="14"/>
  <c r="A262" i="14"/>
  <c r="A260" i="14"/>
  <c r="A258" i="14"/>
  <c r="A253" i="14"/>
  <c r="A266" i="14"/>
  <c r="A257" i="14"/>
  <c r="A183" i="15"/>
  <c r="A181" i="15"/>
  <c r="A179" i="15"/>
  <c r="A177" i="15"/>
  <c r="A175" i="15"/>
  <c r="A176" i="15"/>
  <c r="A86" i="9"/>
  <c r="A263" i="14"/>
  <c r="A178" i="15"/>
  <c r="A265" i="14"/>
  <c r="A256" i="14"/>
  <c r="A180" i="15"/>
  <c r="A83" i="9"/>
  <c r="A84" i="9"/>
  <c r="A182" i="15"/>
  <c r="A184" i="15"/>
  <c r="A85" i="9"/>
  <c r="A49" i="6"/>
  <c r="A50" i="6"/>
  <c r="A228" i="12"/>
  <c r="A220" i="12"/>
  <c r="A229" i="12"/>
  <c r="A221" i="12"/>
  <c r="A226" i="12"/>
  <c r="A223" i="12"/>
  <c r="A225" i="12"/>
  <c r="A227" i="12"/>
  <c r="A222" i="12"/>
  <c r="A224" i="12"/>
  <c r="A219" i="12"/>
  <c r="A230" i="12"/>
  <c r="A157" i="16"/>
  <c r="A153" i="16"/>
  <c r="A223" i="8"/>
  <c r="A156" i="16"/>
  <c r="A152" i="16"/>
  <c r="A158" i="16"/>
  <c r="A154" i="16"/>
  <c r="A155" i="16"/>
  <c r="A151" i="16"/>
  <c r="A84" i="10"/>
  <c r="A226" i="8"/>
  <c r="A219" i="8"/>
  <c r="A83" i="10"/>
  <c r="A225" i="8"/>
  <c r="A86" i="10"/>
  <c r="A227" i="8"/>
  <c r="A224" i="8"/>
  <c r="A220" i="8"/>
  <c r="A85" i="10"/>
  <c r="A221" i="8"/>
  <c r="A32" i="20"/>
  <c r="A229" i="8"/>
  <c r="A222" i="8"/>
  <c r="A230" i="8"/>
  <c r="A101" i="7"/>
  <c r="A102" i="7"/>
  <c r="A104" i="7"/>
  <c r="A103" i="7"/>
  <c r="A100" i="7"/>
  <c r="A228" i="8"/>
  <c r="A102" i="13"/>
  <c r="A104" i="13"/>
  <c r="A100" i="13"/>
  <c r="A101" i="13"/>
  <c r="A262" i="5"/>
  <c r="A258" i="5"/>
  <c r="A255" i="5"/>
  <c r="A254" i="5"/>
  <c r="A257" i="5"/>
  <c r="A264" i="5"/>
  <c r="A261" i="5"/>
  <c r="A253" i="5"/>
  <c r="A260" i="5"/>
  <c r="A103" i="13"/>
  <c r="A17" i="46"/>
  <c r="A18" i="44"/>
  <c r="A17" i="44"/>
  <c r="A17" i="34"/>
  <c r="A15" i="44"/>
  <c r="A44" i="14"/>
  <c r="A56" i="14"/>
  <c r="A54" i="14"/>
  <c r="A52" i="14"/>
  <c r="A50" i="14"/>
  <c r="A48" i="14"/>
  <c r="A46" i="14"/>
  <c r="A47" i="14"/>
  <c r="A51" i="14"/>
  <c r="A53" i="14"/>
  <c r="A49" i="40"/>
  <c r="A43" i="14"/>
  <c r="A50" i="40"/>
  <c r="A55" i="14"/>
  <c r="A49" i="14"/>
  <c r="A16" i="44"/>
  <c r="A45" i="14"/>
  <c r="A33" i="15"/>
  <c r="A31" i="15"/>
  <c r="A29" i="15"/>
  <c r="A27" i="15"/>
  <c r="A25" i="15"/>
  <c r="A32" i="15"/>
  <c r="A34" i="15"/>
  <c r="A25" i="9"/>
  <c r="A30" i="15"/>
  <c r="A24" i="9"/>
  <c r="A26" i="9"/>
  <c r="A26" i="15"/>
  <c r="A28" i="15"/>
  <c r="A23" i="9"/>
  <c r="A19" i="6"/>
  <c r="A20" i="6"/>
  <c r="A44" i="12"/>
  <c r="A48" i="12"/>
  <c r="A45" i="12"/>
  <c r="A49" i="12"/>
  <c r="A43" i="12"/>
  <c r="A41" i="12"/>
  <c r="A50" i="12"/>
  <c r="A42" i="12"/>
  <c r="A40" i="12"/>
  <c r="A39" i="12"/>
  <c r="A47" i="12"/>
  <c r="A46" i="12"/>
  <c r="A37" i="16"/>
  <c r="A33" i="16"/>
  <c r="A43" i="8"/>
  <c r="A36" i="16"/>
  <c r="A32" i="16"/>
  <c r="A38" i="16"/>
  <c r="A34" i="16"/>
  <c r="A35" i="16"/>
  <c r="A24" i="10"/>
  <c r="A31" i="16"/>
  <c r="A40" i="8"/>
  <c r="A47" i="8"/>
  <c r="A26" i="10"/>
  <c r="A25" i="10"/>
  <c r="A48" i="8"/>
  <c r="A17" i="20"/>
  <c r="A49" i="8"/>
  <c r="A45" i="8"/>
  <c r="A44" i="8"/>
  <c r="A23" i="10"/>
  <c r="A46" i="8"/>
  <c r="A42" i="8"/>
  <c r="A41" i="8"/>
  <c r="A50" i="8"/>
  <c r="A26" i="7"/>
  <c r="A27" i="7"/>
  <c r="A29" i="7"/>
  <c r="A28" i="7"/>
  <c r="A25" i="7"/>
  <c r="A39" i="8"/>
  <c r="A54" i="5"/>
  <c r="A46" i="5"/>
  <c r="A27" i="13"/>
  <c r="A29" i="13"/>
  <c r="A25" i="13"/>
  <c r="A43" i="5"/>
  <c r="A49" i="5"/>
  <c r="A26" i="13"/>
  <c r="A28" i="13"/>
  <c r="A56" i="5"/>
  <c r="A53" i="5"/>
  <c r="A50" i="5"/>
  <c r="A47" i="5"/>
  <c r="A48" i="5"/>
  <c r="A45" i="5"/>
  <c r="A55" i="5"/>
  <c r="A51" i="5"/>
  <c r="A44" i="5"/>
  <c r="A28" i="46"/>
  <c r="A57" i="40"/>
  <c r="A28" i="34"/>
  <c r="A58" i="40"/>
  <c r="A198" i="14"/>
  <c r="A210" i="14"/>
  <c r="A208" i="14"/>
  <c r="A206" i="14"/>
  <c r="A197" i="14"/>
  <c r="A204" i="14"/>
  <c r="A200" i="14"/>
  <c r="A209" i="14"/>
  <c r="A203" i="14"/>
  <c r="A199" i="14"/>
  <c r="A201" i="14"/>
  <c r="A202" i="14"/>
  <c r="A207" i="14"/>
  <c r="A205" i="14"/>
  <c r="A69" i="9"/>
  <c r="A143" i="15"/>
  <c r="A141" i="15"/>
  <c r="A139" i="15"/>
  <c r="A137" i="15"/>
  <c r="A135" i="15"/>
  <c r="A68" i="9"/>
  <c r="A136" i="15"/>
  <c r="A67" i="9"/>
  <c r="A138" i="15"/>
  <c r="A140" i="15"/>
  <c r="A70" i="9"/>
  <c r="A142" i="15"/>
  <c r="A144" i="15"/>
  <c r="A41" i="6"/>
  <c r="A42" i="6"/>
  <c r="A182" i="12"/>
  <c r="A175" i="12"/>
  <c r="A176" i="12"/>
  <c r="A179" i="12"/>
  <c r="A171" i="12"/>
  <c r="A180" i="12"/>
  <c r="A172" i="12"/>
  <c r="A173" i="12"/>
  <c r="A174" i="12"/>
  <c r="A181" i="12"/>
  <c r="A178" i="12"/>
  <c r="A177" i="12"/>
  <c r="A125" i="16"/>
  <c r="A121" i="16"/>
  <c r="A175" i="8"/>
  <c r="A124" i="16"/>
  <c r="A120" i="16"/>
  <c r="A126" i="16"/>
  <c r="A122" i="16"/>
  <c r="A119" i="16"/>
  <c r="A68" i="10"/>
  <c r="A123" i="16"/>
  <c r="A181" i="8"/>
  <c r="A174" i="8"/>
  <c r="A70" i="10"/>
  <c r="A180" i="8"/>
  <c r="A173" i="8"/>
  <c r="A69" i="10"/>
  <c r="A178" i="8"/>
  <c r="A171" i="8"/>
  <c r="A172" i="8"/>
  <c r="A176" i="8"/>
  <c r="A82" i="7"/>
  <c r="A182" i="8"/>
  <c r="A28" i="20"/>
  <c r="A81" i="7"/>
  <c r="A177" i="8"/>
  <c r="A83" i="7"/>
  <c r="A67" i="10"/>
  <c r="A179" i="8"/>
  <c r="A80" i="7"/>
  <c r="A84" i="7"/>
  <c r="A208" i="5"/>
  <c r="A200" i="5"/>
  <c r="A82" i="13"/>
  <c r="A209" i="5"/>
  <c r="A201" i="5"/>
  <c r="A84" i="13"/>
  <c r="A80" i="13"/>
  <c r="A197" i="5"/>
  <c r="A203" i="5"/>
  <c r="A81" i="13"/>
  <c r="A205" i="5"/>
  <c r="A198" i="5"/>
  <c r="A207" i="5"/>
  <c r="A202" i="5"/>
  <c r="A204" i="5"/>
  <c r="A199" i="5"/>
  <c r="A210" i="5"/>
  <c r="A83" i="13"/>
  <c r="A206" i="5"/>
  <c r="A36" i="46"/>
  <c r="A65" i="40"/>
  <c r="A66" i="40"/>
  <c r="A36" i="34"/>
  <c r="A319" i="14"/>
  <c r="A320" i="14"/>
  <c r="A311" i="14"/>
  <c r="A316" i="14"/>
  <c r="A313" i="14"/>
  <c r="A309" i="14"/>
  <c r="A317" i="14"/>
  <c r="A314" i="14"/>
  <c r="A322" i="14"/>
  <c r="A321" i="14"/>
  <c r="A315" i="14"/>
  <c r="A310" i="14"/>
  <c r="A312" i="14"/>
  <c r="A318" i="14"/>
  <c r="A101" i="9"/>
  <c r="A223" i="15"/>
  <c r="A221" i="15"/>
  <c r="A219" i="15"/>
  <c r="A217" i="15"/>
  <c r="A215" i="15"/>
  <c r="A100" i="9"/>
  <c r="A222" i="15"/>
  <c r="A99" i="9"/>
  <c r="A102" i="9"/>
  <c r="A224" i="15"/>
  <c r="A216" i="15"/>
  <c r="A218" i="15"/>
  <c r="A220" i="15"/>
  <c r="A57" i="6"/>
  <c r="A277" i="12"/>
  <c r="A269" i="12"/>
  <c r="A58" i="6"/>
  <c r="A271" i="12"/>
  <c r="A274" i="12"/>
  <c r="A267" i="12"/>
  <c r="A276" i="12"/>
  <c r="A273" i="12"/>
  <c r="A275" i="12"/>
  <c r="A268" i="12"/>
  <c r="A278" i="12"/>
  <c r="A272" i="12"/>
  <c r="A270" i="12"/>
  <c r="A189" i="16"/>
  <c r="A185" i="16"/>
  <c r="A271" i="8"/>
  <c r="A188" i="16"/>
  <c r="A184" i="16"/>
  <c r="A190" i="16"/>
  <c r="A186" i="16"/>
  <c r="A187" i="16"/>
  <c r="A100" i="10"/>
  <c r="A183" i="16"/>
  <c r="A102" i="10"/>
  <c r="A101" i="10"/>
  <c r="A278" i="8"/>
  <c r="A272" i="8"/>
  <c r="A276" i="8"/>
  <c r="A275" i="8"/>
  <c r="A267" i="8"/>
  <c r="A277" i="8"/>
  <c r="A273" i="8"/>
  <c r="A269" i="8"/>
  <c r="A36" i="20"/>
  <c r="A122" i="7"/>
  <c r="A123" i="7"/>
  <c r="A270" i="8"/>
  <c r="A268" i="8"/>
  <c r="A124" i="7"/>
  <c r="A274" i="8"/>
  <c r="A121" i="7"/>
  <c r="A120" i="7"/>
  <c r="A99" i="10"/>
  <c r="A320" i="5"/>
  <c r="A312" i="5"/>
  <c r="A122" i="13"/>
  <c r="A321" i="5"/>
  <c r="A313" i="5"/>
  <c r="A124" i="13"/>
  <c r="A120" i="13"/>
  <c r="A309" i="5"/>
  <c r="A315" i="5"/>
  <c r="A121" i="13"/>
  <c r="A317" i="5"/>
  <c r="A318" i="5"/>
  <c r="A322" i="5"/>
  <c r="A316" i="5"/>
  <c r="A311" i="5"/>
  <c r="A123" i="13"/>
  <c r="A310" i="5"/>
  <c r="A314" i="5"/>
  <c r="A319" i="5"/>
  <c r="A15" i="46"/>
  <c r="A16" i="14"/>
  <c r="A23" i="14"/>
  <c r="A27" i="14"/>
  <c r="A21" i="14"/>
  <c r="A18" i="14"/>
  <c r="A73" i="40"/>
  <c r="A26" i="14"/>
  <c r="A28" i="14"/>
  <c r="A24" i="14"/>
  <c r="A22" i="14"/>
  <c r="A25" i="14"/>
  <c r="A17" i="14"/>
  <c r="A15" i="34"/>
  <c r="A15" i="14"/>
  <c r="A74" i="40"/>
  <c r="A20" i="14"/>
  <c r="A19" i="14"/>
  <c r="A17" i="9"/>
  <c r="A23" i="15"/>
  <c r="A21" i="15"/>
  <c r="A19" i="15"/>
  <c r="A17" i="15"/>
  <c r="A15" i="15"/>
  <c r="A16" i="9"/>
  <c r="A16" i="15"/>
  <c r="A18" i="15"/>
  <c r="A20" i="15"/>
  <c r="A18" i="9"/>
  <c r="A22" i="15"/>
  <c r="A24" i="15"/>
  <c r="A22" i="12"/>
  <c r="A23" i="12"/>
  <c r="A15" i="12"/>
  <c r="A15" i="9"/>
  <c r="A21" i="12"/>
  <c r="A15" i="6"/>
  <c r="A25" i="12"/>
  <c r="A26" i="12"/>
  <c r="A16" i="12"/>
  <c r="A16" i="6"/>
  <c r="A17" i="12"/>
  <c r="A20" i="12"/>
  <c r="A18" i="12"/>
  <c r="A19" i="12"/>
  <c r="A24" i="12"/>
  <c r="A19" i="16"/>
  <c r="A21" i="16"/>
  <c r="A17" i="16"/>
  <c r="A19" i="8"/>
  <c r="A22" i="16"/>
  <c r="A16" i="16"/>
  <c r="A20" i="16"/>
  <c r="A16" i="10"/>
  <c r="A15" i="16"/>
  <c r="A17" i="10"/>
  <c r="A18" i="16"/>
  <c r="A18" i="10"/>
  <c r="A21" i="8"/>
  <c r="A15" i="8"/>
  <c r="A25" i="8"/>
  <c r="A16" i="8"/>
  <c r="A16" i="7"/>
  <c r="A22" i="8"/>
  <c r="A17" i="8"/>
  <c r="A18" i="8"/>
  <c r="A26" i="8"/>
  <c r="A20" i="8"/>
  <c r="A15" i="7"/>
  <c r="A15" i="10"/>
  <c r="A17" i="7"/>
  <c r="A15" i="20"/>
  <c r="A23" i="8"/>
  <c r="A18" i="7"/>
  <c r="A19" i="7"/>
  <c r="A24" i="8"/>
  <c r="A26" i="5"/>
  <c r="A18" i="5"/>
  <c r="A17" i="13"/>
  <c r="A27" i="5"/>
  <c r="A19" i="5"/>
  <c r="A28" i="5"/>
  <c r="A20" i="5"/>
  <c r="A19" i="13"/>
  <c r="A15" i="13"/>
  <c r="A15" i="5"/>
  <c r="A21" i="5"/>
  <c r="A16" i="5"/>
  <c r="A22" i="5"/>
  <c r="A16" i="13"/>
  <c r="A23" i="5"/>
  <c r="A25" i="5"/>
  <c r="A18" i="13"/>
  <c r="A17" i="5"/>
  <c r="A24" i="5"/>
  <c r="Z102" i="5"/>
  <c r="AE102" i="5" s="1"/>
  <c r="AH102" i="5"/>
  <c r="S103" i="5"/>
  <c r="AA103" i="5"/>
  <c r="AL103" i="5" s="1"/>
  <c r="AI103" i="5"/>
  <c r="T104" i="5"/>
  <c r="AJ104" i="5"/>
  <c r="U105" i="5"/>
  <c r="AC105" i="5"/>
  <c r="AK105" i="5"/>
  <c r="V106" i="5"/>
  <c r="AD106" i="5"/>
  <c r="AG106" i="5" s="1"/>
  <c r="A107" i="5"/>
  <c r="W107" i="5"/>
  <c r="H47" i="7" s="1"/>
  <c r="X108" i="5"/>
  <c r="AB108" i="5" s="1"/>
  <c r="AF108" i="5"/>
  <c r="Z110" i="5"/>
  <c r="AE110" i="5" s="1"/>
  <c r="AH110" i="5"/>
  <c r="S111" i="5"/>
  <c r="AA111" i="5"/>
  <c r="AL111" i="5" s="1"/>
  <c r="AI111" i="5"/>
  <c r="T112" i="5"/>
  <c r="F42" i="10" s="1"/>
  <c r="AJ112" i="5"/>
  <c r="U99" i="5"/>
  <c r="Y99" i="5" s="1"/>
  <c r="AC99" i="5"/>
  <c r="AK99" i="5"/>
  <c r="V100" i="5"/>
  <c r="AD100" i="5"/>
  <c r="AG100" i="5" s="1"/>
  <c r="A115" i="5"/>
  <c r="W115" i="5"/>
  <c r="X116" i="5"/>
  <c r="AB116" i="5" s="1"/>
  <c r="AF116" i="5"/>
  <c r="Z118" i="5"/>
  <c r="AH118" i="5"/>
  <c r="S119" i="5"/>
  <c r="AA119" i="5"/>
  <c r="AL119" i="5" s="1"/>
  <c r="AI119" i="5"/>
  <c r="T120" i="5"/>
  <c r="F43" i="10" s="1"/>
  <c r="AJ120" i="5"/>
  <c r="U121" i="5"/>
  <c r="AC121" i="5"/>
  <c r="AK121" i="5"/>
  <c r="V122" i="5"/>
  <c r="AD122" i="5"/>
  <c r="AG122" i="5" s="1"/>
  <c r="A123" i="5"/>
  <c r="W123" i="5"/>
  <c r="H53" i="7" s="1"/>
  <c r="X124" i="5"/>
  <c r="AB124" i="5" s="1"/>
  <c r="AF124" i="5"/>
  <c r="Z126" i="5"/>
  <c r="AE126" i="5" s="1"/>
  <c r="AH126" i="5"/>
  <c r="S113" i="5"/>
  <c r="AA113" i="5"/>
  <c r="AI113" i="5"/>
  <c r="T114" i="5"/>
  <c r="AJ114" i="5"/>
  <c r="U143" i="5"/>
  <c r="AC143" i="5"/>
  <c r="AK143" i="5"/>
  <c r="V144" i="5"/>
  <c r="AD144" i="5"/>
  <c r="AG144" i="5" s="1"/>
  <c r="A145" i="5"/>
  <c r="W145" i="5"/>
  <c r="X146" i="5"/>
  <c r="AB146" i="5" s="1"/>
  <c r="AF146" i="5"/>
  <c r="T53" i="9"/>
  <c r="L53" i="9"/>
  <c r="M53" i="9" s="1"/>
  <c r="Z148" i="5"/>
  <c r="AE148" i="5" s="1"/>
  <c r="AH148" i="5"/>
  <c r="S149" i="5"/>
  <c r="AA149" i="5"/>
  <c r="AL149" i="5" s="1"/>
  <c r="AI149" i="5"/>
  <c r="T150" i="5"/>
  <c r="F52" i="10" s="1"/>
  <c r="AJ150" i="5"/>
  <c r="U151" i="5"/>
  <c r="AC151" i="5"/>
  <c r="AK151" i="5"/>
  <c r="V152" i="5"/>
  <c r="AD152" i="5"/>
  <c r="AG152" i="5" s="1"/>
  <c r="A153" i="5"/>
  <c r="W153" i="5"/>
  <c r="X154" i="5"/>
  <c r="AB154" i="5" s="1"/>
  <c r="AF154" i="5"/>
  <c r="T51" i="9"/>
  <c r="L51" i="9"/>
  <c r="M51" i="9" s="1"/>
  <c r="Z142" i="5"/>
  <c r="AE142" i="5" s="1"/>
  <c r="AH142" i="5"/>
  <c r="S171" i="5"/>
  <c r="AA171" i="5"/>
  <c r="AL171" i="5" s="1"/>
  <c r="AI171" i="5"/>
  <c r="T172" i="5"/>
  <c r="AJ172" i="5"/>
  <c r="U173" i="5"/>
  <c r="Y173" i="5" s="1"/>
  <c r="AC173" i="5"/>
  <c r="AK173" i="5"/>
  <c r="V174" i="5"/>
  <c r="AD174" i="5"/>
  <c r="AG174" i="5" s="1"/>
  <c r="W175" i="5"/>
  <c r="H71" i="7" s="1"/>
  <c r="X176" i="5"/>
  <c r="AB176" i="5" s="1"/>
  <c r="AF176" i="5"/>
  <c r="Z178" i="5"/>
  <c r="AE178" i="5" s="1"/>
  <c r="AH178" i="5"/>
  <c r="S179" i="5"/>
  <c r="AA179" i="5"/>
  <c r="AL179" i="5" s="1"/>
  <c r="AI179" i="5"/>
  <c r="T180" i="5"/>
  <c r="F61" i="10" s="1"/>
  <c r="AJ180" i="5"/>
  <c r="U181" i="5"/>
  <c r="Y181" i="5" s="1"/>
  <c r="AC181" i="5"/>
  <c r="AK181" i="5"/>
  <c r="V182" i="5"/>
  <c r="AD182" i="5"/>
  <c r="AG182" i="5" s="1"/>
  <c r="W169" i="5"/>
  <c r="X170" i="5"/>
  <c r="AB170" i="5" s="1"/>
  <c r="AF170" i="5"/>
  <c r="Z214" i="5"/>
  <c r="AE214" i="5" s="1"/>
  <c r="AH214" i="5"/>
  <c r="S215" i="5"/>
  <c r="AA215" i="5"/>
  <c r="AL215" i="5" s="1"/>
  <c r="AI215" i="5"/>
  <c r="T216" i="5"/>
  <c r="AJ216" i="5"/>
  <c r="U217" i="5"/>
  <c r="Y217" i="5" s="1"/>
  <c r="AC217" i="5"/>
  <c r="AK217" i="5"/>
  <c r="V218" i="5"/>
  <c r="AD218" i="5"/>
  <c r="AG218" i="5" s="1"/>
  <c r="A219" i="5"/>
  <c r="W219" i="5"/>
  <c r="H87" i="7" s="1"/>
  <c r="X220" i="5"/>
  <c r="AF220" i="5"/>
  <c r="Z222" i="5"/>
  <c r="AE222" i="5" s="1"/>
  <c r="AH222" i="5"/>
  <c r="S223" i="5"/>
  <c r="AA223" i="5"/>
  <c r="AL223" i="5" s="1"/>
  <c r="AI223" i="5"/>
  <c r="T224" i="5"/>
  <c r="F74" i="10" s="1"/>
  <c r="AJ224" i="5"/>
  <c r="U211" i="5"/>
  <c r="Y211" i="5" s="1"/>
  <c r="AC211" i="5"/>
  <c r="AK211" i="5"/>
  <c r="V212" i="5"/>
  <c r="AD212" i="5"/>
  <c r="AG212" i="5" s="1"/>
  <c r="A297" i="5"/>
  <c r="W297" i="5"/>
  <c r="X298" i="5"/>
  <c r="AF298" i="5"/>
  <c r="Z300" i="5"/>
  <c r="AE300" i="5" s="1"/>
  <c r="AH300" i="5"/>
  <c r="S301" i="5"/>
  <c r="AA301" i="5"/>
  <c r="AL301" i="5" s="1"/>
  <c r="AI301" i="5"/>
  <c r="T302" i="5"/>
  <c r="F95" i="10" s="1"/>
  <c r="AJ302" i="5"/>
  <c r="U303" i="5"/>
  <c r="AC303" i="5"/>
  <c r="AK303" i="5"/>
  <c r="V304" i="5"/>
  <c r="AD304" i="5"/>
  <c r="AG304" i="5" s="1"/>
  <c r="A305" i="5"/>
  <c r="W305" i="5"/>
  <c r="H118" i="7" s="1"/>
  <c r="X306" i="5"/>
  <c r="AB306" i="5" s="1"/>
  <c r="AF306" i="5"/>
  <c r="Z308" i="5"/>
  <c r="AE308" i="5" s="1"/>
  <c r="AH308" i="5"/>
  <c r="S295" i="5"/>
  <c r="AA295" i="5"/>
  <c r="AI295" i="5"/>
  <c r="T296" i="5"/>
  <c r="AJ296" i="5"/>
  <c r="U325" i="5"/>
  <c r="AC325" i="5"/>
  <c r="AK325" i="5"/>
  <c r="V326" i="5"/>
  <c r="AD326" i="5"/>
  <c r="AG326" i="5" s="1"/>
  <c r="A327" i="5"/>
  <c r="W327" i="5"/>
  <c r="H125" i="7" s="1"/>
  <c r="X328" i="5"/>
  <c r="AF328" i="5"/>
  <c r="T105" i="9"/>
  <c r="L105" i="9"/>
  <c r="M105" i="9" s="1"/>
  <c r="Z330" i="5"/>
  <c r="AE330" i="5" s="1"/>
  <c r="AH330" i="5"/>
  <c r="S331" i="5"/>
  <c r="AA331" i="5"/>
  <c r="AL331" i="5" s="1"/>
  <c r="AI331" i="5"/>
  <c r="T332" i="5"/>
  <c r="F104" i="10" s="1"/>
  <c r="AJ332" i="5"/>
  <c r="U333" i="5"/>
  <c r="Y333" i="5" s="1"/>
  <c r="AC333" i="5"/>
  <c r="AK333" i="5"/>
  <c r="V334" i="5"/>
  <c r="AD334" i="5"/>
  <c r="AG334" i="5" s="1"/>
  <c r="A335" i="5"/>
  <c r="W335" i="5"/>
  <c r="H129" i="7" s="1"/>
  <c r="X336" i="5"/>
  <c r="AF336" i="5"/>
  <c r="T103" i="9"/>
  <c r="L103" i="9"/>
  <c r="M103" i="9" s="1"/>
  <c r="Z324" i="5"/>
  <c r="AE324" i="5" s="1"/>
  <c r="AH324" i="5"/>
  <c r="S339" i="5"/>
  <c r="AA339" i="5"/>
  <c r="AL339" i="5" s="1"/>
  <c r="AI339" i="5"/>
  <c r="T340" i="5"/>
  <c r="AJ340" i="5"/>
  <c r="U341" i="5"/>
  <c r="AC341" i="5"/>
  <c r="AK341" i="5"/>
  <c r="V342" i="5"/>
  <c r="AD342" i="5"/>
  <c r="AG342" i="5" s="1"/>
  <c r="AK343" i="5"/>
  <c r="L110" i="9"/>
  <c r="M110" i="9" s="1"/>
  <c r="T110" i="9"/>
  <c r="Z344" i="5"/>
  <c r="AI344" i="5"/>
  <c r="W345" i="5"/>
  <c r="H132" i="7" s="1"/>
  <c r="AF345" i="5"/>
  <c r="U346" i="5"/>
  <c r="Y346" i="5" s="1"/>
  <c r="AA347" i="5"/>
  <c r="AL347" i="5" s="1"/>
  <c r="AJ347" i="5"/>
  <c r="W348" i="5"/>
  <c r="H109" i="10" s="1"/>
  <c r="U349" i="5"/>
  <c r="AD349" i="5"/>
  <c r="AG349" i="5" s="1"/>
  <c r="AA350" i="5"/>
  <c r="AL350" i="5" s="1"/>
  <c r="AJ350" i="5"/>
  <c r="X337" i="5"/>
  <c r="AI338" i="5"/>
  <c r="AD381" i="5"/>
  <c r="AG381" i="5" s="1"/>
  <c r="AD382" i="5"/>
  <c r="AG382" i="5" s="1"/>
  <c r="S383" i="5"/>
  <c r="AI383" i="5"/>
  <c r="U385" i="5"/>
  <c r="AK385" i="5"/>
  <c r="Z386" i="5"/>
  <c r="AE386" i="5" s="1"/>
  <c r="AJ387" i="5"/>
  <c r="AJ388" i="5"/>
  <c r="AD389" i="5"/>
  <c r="AG389" i="5" s="1"/>
  <c r="A390" i="5"/>
  <c r="AD390" i="5"/>
  <c r="AG390" i="5" s="1"/>
  <c r="AD391" i="5"/>
  <c r="AG391" i="5" s="1"/>
  <c r="AF392" i="5"/>
  <c r="AH379" i="5"/>
  <c r="AH380" i="5"/>
  <c r="Z87" i="5"/>
  <c r="AE87" i="5" s="1"/>
  <c r="U88" i="5"/>
  <c r="Y88" i="5" s="1"/>
  <c r="T89" i="5"/>
  <c r="F40" i="7" s="1"/>
  <c r="R92" i="5"/>
  <c r="X93" i="5"/>
  <c r="AB93" i="5" s="1"/>
  <c r="T95" i="5"/>
  <c r="F43" i="7" s="1"/>
  <c r="T96" i="5"/>
  <c r="F37" i="10" s="1"/>
  <c r="AK97" i="5"/>
  <c r="AK98" i="5"/>
  <c r="AF85" i="5"/>
  <c r="R86" i="5"/>
  <c r="X129" i="5"/>
  <c r="T131" i="5"/>
  <c r="F55" i="7" s="1"/>
  <c r="T132" i="5"/>
  <c r="AK133" i="5"/>
  <c r="AK134" i="5"/>
  <c r="AF135" i="5"/>
  <c r="S138" i="5"/>
  <c r="S139" i="5"/>
  <c r="S140" i="5"/>
  <c r="AK140" i="5"/>
  <c r="AD127" i="5"/>
  <c r="AG127" i="5" s="1"/>
  <c r="W128" i="5"/>
  <c r="V157" i="5"/>
  <c r="X158" i="5"/>
  <c r="Z159" i="5"/>
  <c r="AA160" i="5"/>
  <c r="AL160" i="5" s="1"/>
  <c r="AI162" i="5"/>
  <c r="S164" i="5"/>
  <c r="W165" i="5"/>
  <c r="W166" i="5"/>
  <c r="H57" i="10" s="1"/>
  <c r="AJ168" i="5"/>
  <c r="T156" i="5"/>
  <c r="AH255" i="5"/>
  <c r="A256" i="5"/>
  <c r="AF256" i="5"/>
  <c r="AK257" i="5"/>
  <c r="Z259" i="5"/>
  <c r="AE259" i="5" s="1"/>
  <c r="W260" i="5"/>
  <c r="H83" i="10" s="1"/>
  <c r="AC261" i="5"/>
  <c r="AJ262" i="5"/>
  <c r="AK264" i="5"/>
  <c r="V253" i="5"/>
  <c r="AK283" i="5"/>
  <c r="W285" i="5"/>
  <c r="H110" i="7" s="1"/>
  <c r="AI286" i="5"/>
  <c r="S287" i="5"/>
  <c r="AD288" i="5"/>
  <c r="AG288" i="5" s="1"/>
  <c r="AK289" i="5"/>
  <c r="V292" i="5"/>
  <c r="AA294" i="5"/>
  <c r="AL294" i="5" s="1"/>
  <c r="U368" i="5"/>
  <c r="R31" i="5"/>
  <c r="AJ36" i="5"/>
  <c r="H21" i="10"/>
  <c r="T53" i="5"/>
  <c r="F28" i="7" s="1"/>
  <c r="AI59" i="5"/>
  <c r="AJ60" i="5"/>
  <c r="A63" i="5"/>
  <c r="V66" i="5"/>
  <c r="AJ57" i="5"/>
  <c r="Z79" i="5"/>
  <c r="I37" i="7" s="1"/>
  <c r="AF80" i="5"/>
  <c r="Z71" i="5"/>
  <c r="AC72" i="5"/>
  <c r="AK186" i="5"/>
  <c r="AI192" i="5"/>
  <c r="Z196" i="5"/>
  <c r="AD206" i="5"/>
  <c r="AG206" i="5" s="1"/>
  <c r="AD209" i="5"/>
  <c r="AG209" i="5" s="1"/>
  <c r="AC210" i="5"/>
  <c r="AC227" i="5"/>
  <c r="AF230" i="5"/>
  <c r="V231" i="5"/>
  <c r="S226" i="5"/>
  <c r="AD247" i="5"/>
  <c r="AG247" i="5" s="1"/>
  <c r="AI240" i="5"/>
  <c r="T269" i="5"/>
  <c r="W272" i="5"/>
  <c r="AJ311" i="5"/>
  <c r="AI403" i="5"/>
  <c r="X416" i="5"/>
  <c r="X49" i="13"/>
  <c r="Z49" i="13" s="1"/>
  <c r="AF21" i="46" s="1"/>
  <c r="X52" i="13"/>
  <c r="Z52" i="13" s="1"/>
  <c r="AK52" i="13" s="1"/>
  <c r="AY22" i="46" s="1"/>
  <c r="AN131" i="13"/>
  <c r="BL38" i="46" s="1"/>
  <c r="AL131" i="13"/>
  <c r="BE38" i="46" s="1"/>
  <c r="AN93" i="13"/>
  <c r="AL93" i="13"/>
  <c r="BG30" i="46" s="1"/>
  <c r="Z137" i="13"/>
  <c r="AK137" i="13" s="1"/>
  <c r="AY39" i="46" s="1"/>
  <c r="AB137" i="13"/>
  <c r="O4" i="5"/>
  <c r="Z101" i="5"/>
  <c r="AE101" i="5" s="1"/>
  <c r="AH101" i="5"/>
  <c r="S102" i="5"/>
  <c r="AA102" i="5"/>
  <c r="AL102" i="5" s="1"/>
  <c r="AI102" i="5"/>
  <c r="T103" i="5"/>
  <c r="F45" i="7" s="1"/>
  <c r="AJ103" i="5"/>
  <c r="U104" i="5"/>
  <c r="Y104" i="5" s="1"/>
  <c r="AC104" i="5"/>
  <c r="AK104" i="5"/>
  <c r="V105" i="5"/>
  <c r="AD105" i="5"/>
  <c r="AG105" i="5" s="1"/>
  <c r="A106" i="5"/>
  <c r="W106" i="5"/>
  <c r="H39" i="10" s="1"/>
  <c r="X107" i="5"/>
  <c r="AF107" i="5"/>
  <c r="Z109" i="5"/>
  <c r="AE109" i="5" s="1"/>
  <c r="AH109" i="5"/>
  <c r="S110" i="5"/>
  <c r="AI110" i="5"/>
  <c r="T111" i="5"/>
  <c r="F49" i="7" s="1"/>
  <c r="AJ111" i="5"/>
  <c r="U112" i="5"/>
  <c r="AC112" i="5"/>
  <c r="AK112" i="5"/>
  <c r="V99" i="5"/>
  <c r="AD99" i="5"/>
  <c r="AG99" i="5" s="1"/>
  <c r="A100" i="5"/>
  <c r="W100" i="5"/>
  <c r="X115" i="5"/>
  <c r="AF115" i="5"/>
  <c r="Z117" i="5"/>
  <c r="AE117" i="5" s="1"/>
  <c r="AH117" i="5"/>
  <c r="S118" i="5"/>
  <c r="AI118" i="5"/>
  <c r="T119" i="5"/>
  <c r="F51" i="7" s="1"/>
  <c r="AJ119" i="5"/>
  <c r="U120" i="5"/>
  <c r="AC120" i="5"/>
  <c r="AK120" i="5"/>
  <c r="V121" i="5"/>
  <c r="AD121" i="5"/>
  <c r="AG121" i="5" s="1"/>
  <c r="A122" i="5"/>
  <c r="W122" i="5"/>
  <c r="H44" i="10" s="1"/>
  <c r="X123" i="5"/>
  <c r="AB123" i="5" s="1"/>
  <c r="AF123" i="5"/>
  <c r="Z125" i="5"/>
  <c r="AE125" i="5" s="1"/>
  <c r="AH125" i="5"/>
  <c r="S126" i="5"/>
  <c r="AA126" i="5"/>
  <c r="AL126" i="5" s="1"/>
  <c r="AI126" i="5"/>
  <c r="T113" i="5"/>
  <c r="AJ113" i="5"/>
  <c r="U114" i="5"/>
  <c r="AC114" i="5"/>
  <c r="AK114" i="5"/>
  <c r="V143" i="5"/>
  <c r="AD143" i="5"/>
  <c r="AG143" i="5" s="1"/>
  <c r="A144" i="5"/>
  <c r="W144" i="5"/>
  <c r="X145" i="5"/>
  <c r="AF145" i="5"/>
  <c r="R147" i="5"/>
  <c r="Z147" i="5"/>
  <c r="AE147" i="5" s="1"/>
  <c r="AH147" i="5"/>
  <c r="S148" i="5"/>
  <c r="AI148" i="5"/>
  <c r="T149" i="5"/>
  <c r="AJ149" i="5"/>
  <c r="U150" i="5"/>
  <c r="AC150" i="5"/>
  <c r="AK150" i="5"/>
  <c r="V151" i="5"/>
  <c r="AD151" i="5"/>
  <c r="AG151" i="5" s="1"/>
  <c r="A152" i="5"/>
  <c r="W152" i="5"/>
  <c r="H53" i="10" s="1"/>
  <c r="X153" i="5"/>
  <c r="AF153" i="5"/>
  <c r="R141" i="5"/>
  <c r="Z141" i="5"/>
  <c r="AE141" i="5" s="1"/>
  <c r="AH141" i="5"/>
  <c r="S142" i="5"/>
  <c r="AI142" i="5"/>
  <c r="T171" i="5"/>
  <c r="AJ171" i="5"/>
  <c r="U172" i="5"/>
  <c r="Y172" i="5" s="1"/>
  <c r="AC172" i="5"/>
  <c r="AK172" i="5"/>
  <c r="V173" i="5"/>
  <c r="AD173" i="5"/>
  <c r="AG173" i="5" s="1"/>
  <c r="W174" i="5"/>
  <c r="X175" i="5"/>
  <c r="AF175" i="5"/>
  <c r="L62" i="9"/>
  <c r="M62" i="9" s="1"/>
  <c r="T62" i="9"/>
  <c r="Z177" i="5"/>
  <c r="AE177" i="5" s="1"/>
  <c r="AH177" i="5"/>
  <c r="S178" i="5"/>
  <c r="AA178" i="5"/>
  <c r="AL178" i="5" s="1"/>
  <c r="AI178" i="5"/>
  <c r="T179" i="5"/>
  <c r="F73" i="7" s="1"/>
  <c r="AJ179" i="5"/>
  <c r="U180" i="5"/>
  <c r="Y180" i="5" s="1"/>
  <c r="AC180" i="5"/>
  <c r="AK180" i="5"/>
  <c r="V181" i="5"/>
  <c r="AD181" i="5"/>
  <c r="AG181" i="5" s="1"/>
  <c r="W182" i="5"/>
  <c r="H62" i="10" s="1"/>
  <c r="X169" i="5"/>
  <c r="AF169" i="5"/>
  <c r="T60" i="9"/>
  <c r="L60" i="9"/>
  <c r="M60" i="9" s="1"/>
  <c r="Z213" i="5"/>
  <c r="AE213" i="5" s="1"/>
  <c r="AH213" i="5"/>
  <c r="S214" i="5"/>
  <c r="AA214" i="5"/>
  <c r="AL214" i="5" s="1"/>
  <c r="AI214" i="5"/>
  <c r="T215" i="5"/>
  <c r="F85" i="7" s="1"/>
  <c r="AJ215" i="5"/>
  <c r="U216" i="5"/>
  <c r="Y216" i="5" s="1"/>
  <c r="AC216" i="5"/>
  <c r="AK216" i="5"/>
  <c r="V217" i="5"/>
  <c r="AD217" i="5"/>
  <c r="AG217" i="5" s="1"/>
  <c r="A218" i="5"/>
  <c r="W218" i="5"/>
  <c r="H71" i="10" s="1"/>
  <c r="X219" i="5"/>
  <c r="AF219" i="5"/>
  <c r="Z221" i="5"/>
  <c r="AE221" i="5" s="1"/>
  <c r="AH221" i="5"/>
  <c r="S222" i="5"/>
  <c r="AI222" i="5"/>
  <c r="T223" i="5"/>
  <c r="F89" i="7" s="1"/>
  <c r="AJ223" i="5"/>
  <c r="U224" i="5"/>
  <c r="AC224" i="5"/>
  <c r="AK224" i="5"/>
  <c r="V211" i="5"/>
  <c r="AD211" i="5"/>
  <c r="AG211" i="5" s="1"/>
  <c r="A212" i="5"/>
  <c r="W212" i="5"/>
  <c r="X297" i="5"/>
  <c r="AF297" i="5"/>
  <c r="Z299" i="5"/>
  <c r="AE299" i="5" s="1"/>
  <c r="AH299" i="5"/>
  <c r="S300" i="5"/>
  <c r="AA300" i="5"/>
  <c r="AL300" i="5" s="1"/>
  <c r="AI300" i="5"/>
  <c r="T301" i="5"/>
  <c r="F116" i="7" s="1"/>
  <c r="AJ301" i="5"/>
  <c r="U302" i="5"/>
  <c r="AC302" i="5"/>
  <c r="AK302" i="5"/>
  <c r="V303" i="5"/>
  <c r="AD303" i="5"/>
  <c r="AG303" i="5" s="1"/>
  <c r="A304" i="5"/>
  <c r="W304" i="5"/>
  <c r="H96" i="10" s="1"/>
  <c r="X305" i="5"/>
  <c r="AF305" i="5"/>
  <c r="Z307" i="5"/>
  <c r="AE307" i="5" s="1"/>
  <c r="AH307" i="5"/>
  <c r="S308" i="5"/>
  <c r="AI308" i="5"/>
  <c r="T295" i="5"/>
  <c r="AJ295" i="5"/>
  <c r="U296" i="5"/>
  <c r="AC296" i="5"/>
  <c r="AK296" i="5"/>
  <c r="V325" i="5"/>
  <c r="AD325" i="5"/>
  <c r="AG325" i="5" s="1"/>
  <c r="A326" i="5"/>
  <c r="W326" i="5"/>
  <c r="X327" i="5"/>
  <c r="AF327" i="5"/>
  <c r="R329" i="5"/>
  <c r="Z329" i="5"/>
  <c r="AH329" i="5"/>
  <c r="S330" i="5"/>
  <c r="AI330" i="5"/>
  <c r="T331" i="5"/>
  <c r="F127" i="7" s="1"/>
  <c r="AJ331" i="5"/>
  <c r="U332" i="5"/>
  <c r="AC332" i="5"/>
  <c r="AK332" i="5"/>
  <c r="V333" i="5"/>
  <c r="AD333" i="5"/>
  <c r="AG333" i="5" s="1"/>
  <c r="A334" i="5"/>
  <c r="W334" i="5"/>
  <c r="H105" i="10" s="1"/>
  <c r="X335" i="5"/>
  <c r="AF335" i="5"/>
  <c r="R323" i="5"/>
  <c r="Z323" i="5"/>
  <c r="AH323" i="5"/>
  <c r="S324" i="5"/>
  <c r="AA324" i="5"/>
  <c r="AI324" i="5"/>
  <c r="T339" i="5"/>
  <c r="AJ339" i="5"/>
  <c r="U340" i="5"/>
  <c r="Y340" i="5" s="1"/>
  <c r="AC340" i="5"/>
  <c r="AK340" i="5"/>
  <c r="V341" i="5"/>
  <c r="AD341" i="5"/>
  <c r="AG341" i="5" s="1"/>
  <c r="W342" i="5"/>
  <c r="T343" i="5"/>
  <c r="F131" i="7" s="1"/>
  <c r="AC343" i="5"/>
  <c r="AA344" i="5"/>
  <c r="AL344" i="5" s="1"/>
  <c r="AK344" i="5"/>
  <c r="X345" i="5"/>
  <c r="W346" i="5"/>
  <c r="H108" i="10" s="1"/>
  <c r="AF346" i="5"/>
  <c r="S347" i="5"/>
  <c r="AK347" i="5"/>
  <c r="AH348" i="5"/>
  <c r="V349" i="5"/>
  <c r="S350" i="5"/>
  <c r="AK350" i="5"/>
  <c r="AH337" i="5"/>
  <c r="Z338" i="5"/>
  <c r="AE338" i="5" s="1"/>
  <c r="AK338" i="5"/>
  <c r="T381" i="5"/>
  <c r="S382" i="5"/>
  <c r="V383" i="5"/>
  <c r="X385" i="5"/>
  <c r="AA386" i="5"/>
  <c r="AL386" i="5" s="1"/>
  <c r="S387" i="5"/>
  <c r="S388" i="5"/>
  <c r="AK388" i="5"/>
  <c r="AJ389" i="5"/>
  <c r="A391" i="5"/>
  <c r="A392" i="5"/>
  <c r="T119" i="9"/>
  <c r="L119" i="9"/>
  <c r="M119" i="9" s="1"/>
  <c r="L120" i="9"/>
  <c r="M120" i="9" s="1"/>
  <c r="T120" i="9"/>
  <c r="AI380" i="5"/>
  <c r="U89" i="5"/>
  <c r="U90" i="5"/>
  <c r="Y90" i="5" s="1"/>
  <c r="W92" i="5"/>
  <c r="H35" i="10" s="1"/>
  <c r="Z94" i="5"/>
  <c r="Z95" i="5"/>
  <c r="U96" i="5"/>
  <c r="T97" i="5"/>
  <c r="F44" i="7" s="1"/>
  <c r="W86" i="5"/>
  <c r="Z130" i="5"/>
  <c r="Z131" i="5"/>
  <c r="U132" i="5"/>
  <c r="T133" i="5"/>
  <c r="F56" i="7" s="1"/>
  <c r="R136" i="5"/>
  <c r="X137" i="5"/>
  <c r="T139" i="5"/>
  <c r="T140" i="5"/>
  <c r="F50" i="10" s="1"/>
  <c r="AJ127" i="5"/>
  <c r="AC128" i="5"/>
  <c r="W157" i="5"/>
  <c r="AF159" i="5"/>
  <c r="AC161" i="5"/>
  <c r="T164" i="5"/>
  <c r="F56" i="10" s="1"/>
  <c r="X165" i="5"/>
  <c r="AD166" i="5"/>
  <c r="AG166" i="5" s="1"/>
  <c r="Z155" i="5"/>
  <c r="AE155" i="5" s="1"/>
  <c r="U156" i="5"/>
  <c r="Y156" i="5" s="1"/>
  <c r="AI255" i="5"/>
  <c r="AH256" i="5"/>
  <c r="AD260" i="5"/>
  <c r="AG260" i="5" s="1"/>
  <c r="X265" i="5"/>
  <c r="V266" i="5"/>
  <c r="W253" i="5"/>
  <c r="A286" i="5"/>
  <c r="AJ286" i="5"/>
  <c r="T287" i="5"/>
  <c r="F111" i="7" s="1"/>
  <c r="AF288" i="5"/>
  <c r="AJ290" i="5"/>
  <c r="S291" i="5"/>
  <c r="X292" i="5"/>
  <c r="AJ294" i="5"/>
  <c r="W368" i="5"/>
  <c r="AJ370" i="5"/>
  <c r="Z371" i="5"/>
  <c r="AI366" i="5"/>
  <c r="S31" i="5"/>
  <c r="A35" i="5"/>
  <c r="T42" i="5"/>
  <c r="F22" i="10" s="1"/>
  <c r="V29" i="5"/>
  <c r="T47" i="5"/>
  <c r="F25" i="7" s="1"/>
  <c r="AH53" i="5"/>
  <c r="AD65" i="5"/>
  <c r="AG65" i="5" s="1"/>
  <c r="X70" i="5"/>
  <c r="Z75" i="5"/>
  <c r="AE75" i="5" s="1"/>
  <c r="AH80" i="5"/>
  <c r="AF84" i="5"/>
  <c r="AD72" i="5"/>
  <c r="AG72" i="5" s="1"/>
  <c r="AK192" i="5"/>
  <c r="S200" i="5"/>
  <c r="V203" i="5"/>
  <c r="AH231" i="5"/>
  <c r="AK240" i="5"/>
  <c r="V269" i="5"/>
  <c r="W278" i="5"/>
  <c r="H89" i="10" s="1"/>
  <c r="AD313" i="5"/>
  <c r="AG313" i="5" s="1"/>
  <c r="AC314" i="5"/>
  <c r="T316" i="5"/>
  <c r="F99" i="10" s="1"/>
  <c r="Z77" i="13"/>
  <c r="AK77" i="13" s="1"/>
  <c r="AY27" i="46" s="1"/>
  <c r="W79" i="13"/>
  <c r="AB79" i="13"/>
  <c r="X82" i="13"/>
  <c r="Z82" i="13" s="1"/>
  <c r="AK82" i="13" s="1"/>
  <c r="AY28" i="46" s="1"/>
  <c r="L37" i="9"/>
  <c r="M37" i="9" s="1"/>
  <c r="T37" i="9"/>
  <c r="L35" i="9"/>
  <c r="M35" i="9" s="1"/>
  <c r="T35" i="9"/>
  <c r="R34" i="5"/>
  <c r="R60" i="5"/>
  <c r="R65" i="5"/>
  <c r="R252" i="5"/>
  <c r="R268" i="5"/>
  <c r="R318" i="5"/>
  <c r="AO19" i="5"/>
  <c r="R26" i="5"/>
  <c r="AN148" i="13"/>
  <c r="BN41" i="46" s="1"/>
  <c r="AL148" i="13"/>
  <c r="BG41" i="46" s="1"/>
  <c r="T50" i="9"/>
  <c r="L50" i="9"/>
  <c r="M50" i="9" s="1"/>
  <c r="L48" i="9"/>
  <c r="M48" i="9" s="1"/>
  <c r="T48" i="9"/>
  <c r="R63" i="5"/>
  <c r="R76" i="5"/>
  <c r="L32" i="9"/>
  <c r="M32" i="9" s="1"/>
  <c r="T32" i="9"/>
  <c r="R240" i="5"/>
  <c r="R19" i="5"/>
  <c r="AN64" i="13"/>
  <c r="BO24" i="46" s="1"/>
  <c r="AL64" i="13"/>
  <c r="BH24" i="46" s="1"/>
  <c r="X85" i="13"/>
  <c r="Z85" i="13" s="1"/>
  <c r="AK85" i="13" s="1"/>
  <c r="AW29" i="46" s="1"/>
  <c r="W89" i="13"/>
  <c r="AB89" i="13"/>
  <c r="Z111" i="13"/>
  <c r="AK111" i="13" s="1"/>
  <c r="AX34" i="46" s="1"/>
  <c r="W113" i="13"/>
  <c r="AB113" i="13"/>
  <c r="X76" i="13"/>
  <c r="Z150" i="13"/>
  <c r="AK150" i="13" s="1"/>
  <c r="AW42" i="46" s="1"/>
  <c r="W151" i="13"/>
  <c r="AB151" i="13"/>
  <c r="L49" i="9"/>
  <c r="M49" i="9" s="1"/>
  <c r="T49" i="9"/>
  <c r="T47" i="9"/>
  <c r="L47" i="9"/>
  <c r="M47" i="9" s="1"/>
  <c r="T56" i="9"/>
  <c r="L56" i="9"/>
  <c r="M56" i="9" s="1"/>
  <c r="T83" i="9"/>
  <c r="L83" i="9"/>
  <c r="M83" i="9" s="1"/>
  <c r="R57" i="5"/>
  <c r="R78" i="5"/>
  <c r="AN89" i="13"/>
  <c r="BO29" i="46" s="1"/>
  <c r="AL89" i="13"/>
  <c r="BH29" i="46" s="1"/>
  <c r="Z100" i="13"/>
  <c r="AK100" i="13" s="1"/>
  <c r="AW32" i="46" s="1"/>
  <c r="AB100" i="13"/>
  <c r="AN113" i="13"/>
  <c r="BN34" i="46" s="1"/>
  <c r="AL113" i="13"/>
  <c r="BG34" i="46" s="1"/>
  <c r="AN20" i="13"/>
  <c r="BK16" i="46" s="1"/>
  <c r="AL20" i="13"/>
  <c r="BD16" i="46" s="1"/>
  <c r="Z124" i="13"/>
  <c r="AK124" i="13" s="1"/>
  <c r="BA36" i="46" s="1"/>
  <c r="AB124" i="13"/>
  <c r="AN151" i="13"/>
  <c r="BL42" i="46" s="1"/>
  <c r="AL151" i="13"/>
  <c r="BE42" i="46" s="1"/>
  <c r="AN159" i="13"/>
  <c r="BO43" i="46" s="1"/>
  <c r="AL159" i="13"/>
  <c r="BH43" i="46" s="1"/>
  <c r="R133" i="5"/>
  <c r="L94" i="9"/>
  <c r="M94" i="9" s="1"/>
  <c r="T94" i="9"/>
  <c r="R195" i="5"/>
  <c r="R230" i="5"/>
  <c r="W45" i="13"/>
  <c r="P4" i="13"/>
  <c r="X117" i="13"/>
  <c r="Z117" i="13" s="1"/>
  <c r="AK117" i="13" s="1"/>
  <c r="AY35" i="46" s="1"/>
  <c r="W128" i="13"/>
  <c r="AB128" i="13"/>
  <c r="X141" i="13"/>
  <c r="Z141" i="13" s="1"/>
  <c r="AK141" i="13" s="1"/>
  <c r="AX40" i="46" s="1"/>
  <c r="Z32" i="13"/>
  <c r="AK32" i="13" s="1"/>
  <c r="AY18" i="46" s="1"/>
  <c r="AB32" i="13"/>
  <c r="X75" i="13"/>
  <c r="Z75" i="13" s="1"/>
  <c r="AK75" i="13" s="1"/>
  <c r="AW27" i="46" s="1"/>
  <c r="Z154" i="13"/>
  <c r="AK154" i="13" s="1"/>
  <c r="BA42" i="46" s="1"/>
  <c r="L57" i="9"/>
  <c r="M57" i="9" s="1"/>
  <c r="T57" i="9"/>
  <c r="R261" i="5"/>
  <c r="R288" i="5"/>
  <c r="T91" i="9"/>
  <c r="L91" i="9"/>
  <c r="M91" i="9" s="1"/>
  <c r="R42" i="5"/>
  <c r="R187" i="5"/>
  <c r="R209" i="5"/>
  <c r="R228" i="5"/>
  <c r="R313" i="5"/>
  <c r="R409" i="5"/>
  <c r="AO28" i="5"/>
  <c r="AU28" i="5" s="1"/>
  <c r="X45" i="13"/>
  <c r="AB45" i="13" s="1"/>
  <c r="AD45" i="13" s="1"/>
  <c r="W49" i="13"/>
  <c r="AN116" i="13"/>
  <c r="BL35" i="46" s="1"/>
  <c r="AL116" i="13"/>
  <c r="BE35" i="46" s="1"/>
  <c r="AN128" i="13"/>
  <c r="BN37" i="46" s="1"/>
  <c r="AL128" i="13"/>
  <c r="BG37" i="46" s="1"/>
  <c r="W131" i="13"/>
  <c r="AB131" i="13"/>
  <c r="AN122" i="13"/>
  <c r="BM36" i="46" s="1"/>
  <c r="AL122" i="13"/>
  <c r="BF36" i="46" s="1"/>
  <c r="AN157" i="13"/>
  <c r="BM43" i="46" s="1"/>
  <c r="AL157" i="13"/>
  <c r="BF43" i="46" s="1"/>
  <c r="T117" i="9"/>
  <c r="L117" i="9"/>
  <c r="M117" i="9" s="1"/>
  <c r="R46" i="5"/>
  <c r="T26" i="9"/>
  <c r="L26" i="9"/>
  <c r="M26" i="9" s="1"/>
  <c r="R43" i="5"/>
  <c r="R44" i="5"/>
  <c r="R84" i="5"/>
  <c r="R198" i="5"/>
  <c r="R316" i="5"/>
  <c r="R394" i="5"/>
  <c r="X58" i="13"/>
  <c r="W69" i="13"/>
  <c r="AB69" i="13"/>
  <c r="Z103" i="13"/>
  <c r="AK103" i="13" s="1"/>
  <c r="AZ32" i="46" s="1"/>
  <c r="X29" i="13"/>
  <c r="W36" i="13"/>
  <c r="AB36" i="13"/>
  <c r="AN37" i="13"/>
  <c r="BM19" i="46" s="1"/>
  <c r="AL37" i="13"/>
  <c r="BF19" i="46" s="1"/>
  <c r="Z39" i="13"/>
  <c r="AK39" i="13" s="1"/>
  <c r="BA19" i="46" s="1"/>
  <c r="X106" i="13"/>
  <c r="W122" i="13"/>
  <c r="AB122" i="13"/>
  <c r="AN135" i="13"/>
  <c r="BK39" i="46" s="1"/>
  <c r="Z136" i="13"/>
  <c r="AK136" i="13" s="1"/>
  <c r="AX39" i="46" s="1"/>
  <c r="R370" i="5"/>
  <c r="R52" i="5"/>
  <c r="L31" i="9"/>
  <c r="M31" i="9" s="1"/>
  <c r="T31" i="9"/>
  <c r="R204" i="5"/>
  <c r="T75" i="9"/>
  <c r="L75" i="9"/>
  <c r="M75" i="9" s="1"/>
  <c r="R310" i="5"/>
  <c r="R356" i="5"/>
  <c r="R364" i="5"/>
  <c r="T111" i="9"/>
  <c r="L111" i="9"/>
  <c r="M111" i="9" s="1"/>
  <c r="R398" i="5"/>
  <c r="R406" i="5"/>
  <c r="X46" i="13"/>
  <c r="X50" i="13"/>
  <c r="X54" i="13"/>
  <c r="X62" i="13"/>
  <c r="X73" i="13"/>
  <c r="X86" i="13"/>
  <c r="X115" i="13"/>
  <c r="X119" i="13"/>
  <c r="X127" i="13"/>
  <c r="X133" i="13"/>
  <c r="W147" i="13"/>
  <c r="AB147" i="13"/>
  <c r="Z41" i="13"/>
  <c r="AK41" i="13" s="1"/>
  <c r="AX20" i="46" s="1"/>
  <c r="X112" i="13"/>
  <c r="W20" i="13"/>
  <c r="AB20" i="13"/>
  <c r="Z22" i="13"/>
  <c r="AK22" i="13" s="1"/>
  <c r="AY16" i="46" s="1"/>
  <c r="AB78" i="13"/>
  <c r="X80" i="13"/>
  <c r="W93" i="13"/>
  <c r="AB93" i="13"/>
  <c r="AN94" i="13"/>
  <c r="BO30" i="46" s="1"/>
  <c r="AL94" i="13"/>
  <c r="BH30" i="46" s="1"/>
  <c r="X153" i="13"/>
  <c r="W159" i="13"/>
  <c r="AB159" i="13"/>
  <c r="AN16" i="13"/>
  <c r="BL15" i="46" s="1"/>
  <c r="AL16" i="13"/>
  <c r="BE15" i="46" s="1"/>
  <c r="R206" i="5"/>
  <c r="AO27" i="5"/>
  <c r="AB64" i="13"/>
  <c r="AB116" i="13"/>
  <c r="AB125" i="13"/>
  <c r="X145" i="13"/>
  <c r="X143" i="13"/>
  <c r="AN28" i="13"/>
  <c r="BN17" i="46" s="1"/>
  <c r="AL28" i="13"/>
  <c r="BG17" i="46" s="1"/>
  <c r="X156" i="13"/>
  <c r="L115" i="9"/>
  <c r="M115" i="9" s="1"/>
  <c r="T115" i="9"/>
  <c r="R30" i="5"/>
  <c r="T33" i="9"/>
  <c r="L33" i="9"/>
  <c r="M33" i="9" s="1"/>
  <c r="R190" i="5"/>
  <c r="R246" i="5"/>
  <c r="AO26" i="5"/>
  <c r="R27" i="5"/>
  <c r="X149" i="13"/>
  <c r="X43" i="13"/>
  <c r="Z43" i="13" s="1"/>
  <c r="AK43" i="13" s="1"/>
  <c r="AZ20" i="46" s="1"/>
  <c r="AN59" i="13"/>
  <c r="BO23" i="46" s="1"/>
  <c r="AL59" i="13"/>
  <c r="BH23" i="46" s="1"/>
  <c r="X21" i="13"/>
  <c r="X24" i="13"/>
  <c r="Z24" i="13" s="1"/>
  <c r="AK24" i="13" s="1"/>
  <c r="BA16" i="46" s="1"/>
  <c r="AN31" i="13"/>
  <c r="BL18" i="46" s="1"/>
  <c r="AL31" i="13"/>
  <c r="BE18" i="46" s="1"/>
  <c r="X92" i="13"/>
  <c r="X96" i="13"/>
  <c r="Z96" i="13" s="1"/>
  <c r="AK96" i="13" s="1"/>
  <c r="AX31" i="46" s="1"/>
  <c r="X15" i="13"/>
  <c r="Q17" i="13"/>
  <c r="W15" i="46" s="1"/>
  <c r="R47" i="5"/>
  <c r="T24" i="9"/>
  <c r="L24" i="9"/>
  <c r="M24" i="9" s="1"/>
  <c r="R77" i="5"/>
  <c r="R184" i="5"/>
  <c r="R236" i="5"/>
  <c r="R244" i="5"/>
  <c r="R274" i="5"/>
  <c r="R321" i="5"/>
  <c r="R354" i="5"/>
  <c r="R362" i="5"/>
  <c r="R18" i="5"/>
  <c r="X42" i="13"/>
  <c r="X56" i="13"/>
  <c r="W65" i="13"/>
  <c r="AB65" i="13"/>
  <c r="AN68" i="13"/>
  <c r="BN25" i="46" s="1"/>
  <c r="AL68" i="13"/>
  <c r="BG25" i="46" s="1"/>
  <c r="AN67" i="13"/>
  <c r="BM25" i="46" s="1"/>
  <c r="AL67" i="13"/>
  <c r="BF25" i="46" s="1"/>
  <c r="X25" i="13"/>
  <c r="W17" i="46"/>
  <c r="W33" i="13"/>
  <c r="AB33" i="13"/>
  <c r="AK35" i="13"/>
  <c r="AW19" i="46" s="1"/>
  <c r="X98" i="13"/>
  <c r="X105" i="13"/>
  <c r="Z105" i="13" s="1"/>
  <c r="AK105" i="13" s="1"/>
  <c r="AW33" i="46" s="1"/>
  <c r="W109" i="13"/>
  <c r="AB109" i="13"/>
  <c r="AN121" i="13"/>
  <c r="BL36" i="46" s="1"/>
  <c r="AL121" i="13"/>
  <c r="BE36" i="46" s="1"/>
  <c r="X19" i="13"/>
  <c r="AA116" i="7"/>
  <c r="AA37" i="7"/>
  <c r="AA127" i="7"/>
  <c r="AA138" i="7"/>
  <c r="L81" i="9"/>
  <c r="M81" i="9" s="1"/>
  <c r="T81" i="9"/>
  <c r="L79" i="9"/>
  <c r="M79" i="9" s="1"/>
  <c r="T79" i="9"/>
  <c r="L125" i="9"/>
  <c r="M125" i="9" s="1"/>
  <c r="T125" i="9"/>
  <c r="L123" i="9"/>
  <c r="M123" i="9" s="1"/>
  <c r="T123" i="9"/>
  <c r="AA48" i="7"/>
  <c r="AA52" i="7"/>
  <c r="AA87" i="7"/>
  <c r="AA56" i="7"/>
  <c r="AA112" i="7"/>
  <c r="L130" i="9"/>
  <c r="M130" i="9" s="1"/>
  <c r="T130" i="9"/>
  <c r="L128" i="9"/>
  <c r="M128" i="9" s="1"/>
  <c r="T128" i="9"/>
  <c r="W46" i="13"/>
  <c r="W50" i="13"/>
  <c r="X53" i="13"/>
  <c r="Z53" i="13" s="1"/>
  <c r="AK53" i="13" s="1"/>
  <c r="AZ22" i="46" s="1"/>
  <c r="W54" i="13"/>
  <c r="X61" i="13"/>
  <c r="Z61" i="13" s="1"/>
  <c r="AK61" i="13" s="1"/>
  <c r="AX24" i="46" s="1"/>
  <c r="W62" i="13"/>
  <c r="X70" i="13"/>
  <c r="Z70" i="13" s="1"/>
  <c r="AK70" i="13" s="1"/>
  <c r="AW26" i="46" s="1"/>
  <c r="W73" i="13"/>
  <c r="X74" i="13"/>
  <c r="Z74" i="13" s="1"/>
  <c r="AK74" i="13" s="1"/>
  <c r="BA26" i="46" s="1"/>
  <c r="W86" i="13"/>
  <c r="X87" i="13"/>
  <c r="Z87" i="13" s="1"/>
  <c r="AK87" i="13" s="1"/>
  <c r="AY29" i="46" s="1"/>
  <c r="W115" i="13"/>
  <c r="X118" i="13"/>
  <c r="Z118" i="13" s="1"/>
  <c r="AK118" i="13" s="1"/>
  <c r="AZ35" i="46" s="1"/>
  <c r="W119" i="13"/>
  <c r="X126" i="13"/>
  <c r="Z126" i="13" s="1"/>
  <c r="AK126" i="13" s="1"/>
  <c r="AX37" i="46" s="1"/>
  <c r="W127" i="13"/>
  <c r="W133" i="13"/>
  <c r="X134" i="13"/>
  <c r="Z134" i="13" s="1"/>
  <c r="AK134" i="13" s="1"/>
  <c r="BA38" i="46" s="1"/>
  <c r="W145" i="13"/>
  <c r="W149" i="13"/>
  <c r="W42" i="13"/>
  <c r="W58" i="13"/>
  <c r="W66" i="13"/>
  <c r="W100" i="13"/>
  <c r="W112" i="13"/>
  <c r="W143" i="13"/>
  <c r="W21" i="13"/>
  <c r="W25" i="13"/>
  <c r="W29" i="13"/>
  <c r="W32" i="13"/>
  <c r="W38" i="13"/>
  <c r="W76" i="13"/>
  <c r="W80" i="13"/>
  <c r="W92" i="13"/>
  <c r="W98" i="13"/>
  <c r="W106" i="13"/>
  <c r="W120" i="13"/>
  <c r="W124" i="13"/>
  <c r="W137" i="13"/>
  <c r="W153" i="13"/>
  <c r="W156" i="13"/>
  <c r="W15" i="13"/>
  <c r="W19" i="13"/>
  <c r="T4" i="7"/>
  <c r="S4" i="7" s="1"/>
  <c r="H25" i="12"/>
  <c r="H265" i="12"/>
  <c r="W16" i="8"/>
  <c r="X356" i="8"/>
  <c r="W216" i="8"/>
  <c r="X208" i="8"/>
  <c r="W56" i="8"/>
  <c r="X48" i="8"/>
  <c r="W220" i="8"/>
  <c r="W156" i="8"/>
  <c r="X148" i="8"/>
  <c r="W356" i="8"/>
  <c r="X348" i="8"/>
  <c r="W208" i="8"/>
  <c r="X200" i="8"/>
  <c r="W48" i="8"/>
  <c r="X40" i="8"/>
  <c r="X140" i="8"/>
  <c r="X26" i="8"/>
  <c r="X362" i="8"/>
  <c r="X354" i="8"/>
  <c r="W340" i="8"/>
  <c r="X214" i="8"/>
  <c r="X206" i="8"/>
  <c r="W180" i="8"/>
  <c r="X54" i="8"/>
  <c r="X46" i="8"/>
  <c r="X39" i="8"/>
  <c r="W32" i="8"/>
  <c r="X146" i="8"/>
  <c r="X112" i="8"/>
  <c r="W75" i="8"/>
  <c r="X332" i="8"/>
  <c r="X284" i="8"/>
  <c r="W279" i="8"/>
  <c r="W266" i="8"/>
  <c r="X100" i="8"/>
  <c r="X20" i="8"/>
  <c r="X278" i="8"/>
  <c r="X207" i="8"/>
  <c r="X166" i="8"/>
  <c r="W39" i="8"/>
  <c r="X318" i="8"/>
  <c r="W112" i="8"/>
  <c r="X80" i="8"/>
  <c r="X76" i="8"/>
  <c r="W332" i="8"/>
  <c r="X328" i="8"/>
  <c r="W284" i="8"/>
  <c r="W100" i="8"/>
  <c r="X24" i="8"/>
  <c r="W348" i="8"/>
  <c r="W270" i="8"/>
  <c r="W200" i="8"/>
  <c r="W74" i="8"/>
  <c r="W40" i="8"/>
  <c r="W24" i="8"/>
  <c r="X308" i="8"/>
  <c r="W303" i="8"/>
  <c r="X240" i="8"/>
  <c r="X172" i="8"/>
  <c r="W159" i="8"/>
  <c r="X68" i="8"/>
  <c r="X324" i="8"/>
  <c r="X315" i="8"/>
  <c r="X244" i="8"/>
  <c r="W26" i="8"/>
  <c r="X360" i="8"/>
  <c r="X272" i="8"/>
  <c r="W268" i="8"/>
  <c r="X267" i="8"/>
  <c r="X236" i="8"/>
  <c r="W160" i="8"/>
  <c r="X64" i="8"/>
  <c r="W324" i="8"/>
  <c r="X250" i="8"/>
  <c r="W244" i="8"/>
  <c r="X120" i="8"/>
  <c r="W80" i="8"/>
  <c r="X338" i="8"/>
  <c r="X92" i="8"/>
  <c r="W20" i="8"/>
  <c r="W360" i="8"/>
  <c r="W272" i="8"/>
  <c r="W236" i="8"/>
  <c r="W168" i="8"/>
  <c r="W64" i="8"/>
  <c r="W44" i="8"/>
  <c r="W250" i="8"/>
  <c r="X144" i="8"/>
  <c r="W120" i="8"/>
  <c r="W338" i="8"/>
  <c r="X290" i="8"/>
  <c r="X188" i="8"/>
  <c r="X158" i="8"/>
  <c r="X154" i="8"/>
  <c r="X128" i="8"/>
  <c r="W92" i="8"/>
  <c r="X358" i="8"/>
  <c r="W304" i="8"/>
  <c r="W240" i="8"/>
  <c r="X216" i="8"/>
  <c r="W207" i="8"/>
  <c r="X196" i="8"/>
  <c r="X174" i="8"/>
  <c r="W166" i="8"/>
  <c r="X74" i="8"/>
  <c r="W68" i="8"/>
  <c r="X56" i="8"/>
  <c r="X220" i="8"/>
  <c r="W144" i="8"/>
  <c r="X82" i="8"/>
  <c r="X266" i="8"/>
  <c r="X260" i="8"/>
  <c r="X255" i="8"/>
  <c r="W188" i="8"/>
  <c r="W158" i="8"/>
  <c r="X156" i="8"/>
  <c r="W152" i="8"/>
  <c r="W148" i="8"/>
  <c r="W130" i="8"/>
  <c r="W128" i="8"/>
  <c r="X126" i="8"/>
  <c r="X108" i="8"/>
  <c r="W25" i="8"/>
  <c r="W352" i="8"/>
  <c r="X310" i="8"/>
  <c r="W278" i="8"/>
  <c r="X270" i="8"/>
  <c r="W172" i="8"/>
  <c r="X36" i="8"/>
  <c r="W27" i="8"/>
  <c r="X316" i="8"/>
  <c r="X252" i="8"/>
  <c r="X224" i="8"/>
  <c r="W140" i="8"/>
  <c r="W82" i="8"/>
  <c r="W328" i="8"/>
  <c r="X300" i="8"/>
  <c r="X291" i="8"/>
  <c r="W260" i="8"/>
  <c r="W108" i="8"/>
  <c r="W104" i="8"/>
  <c r="X16" i="8"/>
  <c r="X344" i="8"/>
  <c r="W308" i="8"/>
  <c r="X180" i="8"/>
  <c r="X164" i="8"/>
  <c r="W316" i="8"/>
  <c r="W252" i="8"/>
  <c r="X228" i="8"/>
  <c r="W302" i="8"/>
  <c r="W300" i="8"/>
  <c r="X292" i="8"/>
  <c r="W291" i="8"/>
  <c r="W183" i="8"/>
  <c r="X340" i="8"/>
  <c r="X339" i="8"/>
  <c r="X276" i="8"/>
  <c r="X212" i="8"/>
  <c r="W164" i="8"/>
  <c r="X336" i="8"/>
  <c r="W292" i="8"/>
  <c r="W339" i="8"/>
  <c r="W276" i="8"/>
  <c r="W212" i="8"/>
  <c r="W326" i="8"/>
  <c r="W336" i="8"/>
  <c r="W288" i="8"/>
  <c r="X106" i="8"/>
  <c r="X88" i="8"/>
  <c r="W342" i="8"/>
  <c r="W182" i="8"/>
  <c r="W171" i="8"/>
  <c r="W318" i="8"/>
  <c r="X330" i="8"/>
  <c r="X184" i="8"/>
  <c r="X268" i="8"/>
  <c r="W66" i="8"/>
  <c r="X50" i="8"/>
  <c r="X32" i="8"/>
  <c r="W76" i="8"/>
  <c r="W330" i="8"/>
  <c r="W184" i="8"/>
  <c r="X147" i="8"/>
  <c r="X98" i="8"/>
  <c r="W87" i="8"/>
  <c r="X18" i="8"/>
  <c r="X204" i="8"/>
  <c r="X160" i="8"/>
  <c r="X248" i="8"/>
  <c r="X86" i="8"/>
  <c r="X264" i="8"/>
  <c r="X256" i="8"/>
  <c r="X194" i="8"/>
  <c r="X190" i="8"/>
  <c r="W147" i="8"/>
  <c r="X96" i="8"/>
  <c r="X72" i="8"/>
  <c r="W60" i="8"/>
  <c r="X52" i="8"/>
  <c r="W248" i="8"/>
  <c r="X114" i="8"/>
  <c r="W264" i="8"/>
  <c r="W256" i="8"/>
  <c r="W96" i="8"/>
  <c r="W238" i="8"/>
  <c r="W34" i="8"/>
  <c r="X322" i="8"/>
  <c r="W114" i="8"/>
  <c r="X258" i="8"/>
  <c r="W258" i="8"/>
  <c r="W230" i="8"/>
  <c r="W72" i="8"/>
  <c r="W52" i="8"/>
  <c r="X210" i="8"/>
  <c r="W315" i="8"/>
  <c r="W228" i="8"/>
  <c r="W219" i="8"/>
  <c r="X282" i="8"/>
  <c r="H49" i="7"/>
  <c r="AA125" i="7"/>
  <c r="L21" i="9"/>
  <c r="M21" i="9" s="1"/>
  <c r="T21" i="9"/>
  <c r="T19" i="9"/>
  <c r="L19" i="9"/>
  <c r="M19" i="9" s="1"/>
  <c r="T65" i="9"/>
  <c r="L65" i="9"/>
  <c r="M65" i="9" s="1"/>
  <c r="T63" i="9"/>
  <c r="L63" i="9"/>
  <c r="M63" i="9" s="1"/>
  <c r="T89" i="9"/>
  <c r="L89" i="9"/>
  <c r="M89" i="9" s="1"/>
  <c r="T87" i="9"/>
  <c r="L87" i="9"/>
  <c r="M87" i="9" s="1"/>
  <c r="T129" i="9"/>
  <c r="L129" i="9"/>
  <c r="M129" i="9" s="1"/>
  <c r="R414" i="5"/>
  <c r="T127" i="9"/>
  <c r="L127" i="9"/>
  <c r="M127" i="9" s="1"/>
  <c r="R408" i="5"/>
  <c r="R24" i="5"/>
  <c r="AB148" i="13"/>
  <c r="AB59" i="13"/>
  <c r="AB67" i="13"/>
  <c r="AB103" i="13"/>
  <c r="AB111" i="13"/>
  <c r="AB22" i="13"/>
  <c r="AB28" i="13"/>
  <c r="AB31" i="13"/>
  <c r="AB35" i="13"/>
  <c r="AB39" i="13"/>
  <c r="AB77" i="13"/>
  <c r="AB136" i="13"/>
  <c r="AB150" i="13"/>
  <c r="AB154" i="13"/>
  <c r="AB157" i="13"/>
  <c r="G45" i="7"/>
  <c r="G49" i="7"/>
  <c r="AH119" i="7"/>
  <c r="AG119" i="7"/>
  <c r="AN119" i="7" s="1"/>
  <c r="AF119" i="7"/>
  <c r="T18" i="9"/>
  <c r="L18" i="9"/>
  <c r="M18" i="9" s="1"/>
  <c r="L16" i="9"/>
  <c r="M16" i="9" s="1"/>
  <c r="T16" i="9"/>
  <c r="AA47" i="7"/>
  <c r="AA51" i="7"/>
  <c r="AA60" i="7"/>
  <c r="AA141" i="7"/>
  <c r="AA20" i="7"/>
  <c r="AA24" i="7"/>
  <c r="AA28" i="7"/>
  <c r="O157" i="8"/>
  <c r="S157" i="8" s="1"/>
  <c r="T69" i="9"/>
  <c r="L69" i="9"/>
  <c r="M69" i="9" s="1"/>
  <c r="L67" i="9"/>
  <c r="M67" i="9" s="1"/>
  <c r="T67" i="9"/>
  <c r="T101" i="9"/>
  <c r="L101" i="9"/>
  <c r="M101" i="9" s="1"/>
  <c r="L17" i="9"/>
  <c r="M17" i="9" s="1"/>
  <c r="T17" i="9"/>
  <c r="R22" i="5"/>
  <c r="AO22" i="5"/>
  <c r="L15" i="9"/>
  <c r="M15" i="9" s="1"/>
  <c r="T15" i="9"/>
  <c r="R16" i="5"/>
  <c r="H52" i="7"/>
  <c r="AA106" i="7"/>
  <c r="L92" i="9"/>
  <c r="M92" i="9" s="1"/>
  <c r="T92" i="9"/>
  <c r="L30" i="9"/>
  <c r="M30" i="9" s="1"/>
  <c r="T30" i="9"/>
  <c r="L28" i="9"/>
  <c r="M28" i="9" s="1"/>
  <c r="T28" i="9"/>
  <c r="R203" i="5"/>
  <c r="R197" i="5"/>
  <c r="T78" i="9"/>
  <c r="L78" i="9"/>
  <c r="M78" i="9" s="1"/>
  <c r="L76" i="9"/>
  <c r="M76" i="9" s="1"/>
  <c r="T76" i="9"/>
  <c r="R315" i="5"/>
  <c r="R309" i="5"/>
  <c r="L114" i="9"/>
  <c r="M114" i="9" s="1"/>
  <c r="T114" i="9"/>
  <c r="L112" i="9"/>
  <c r="M112" i="9" s="1"/>
  <c r="T112" i="9"/>
  <c r="R21" i="5"/>
  <c r="R15" i="5"/>
  <c r="BV15" i="46"/>
  <c r="AX15" i="46"/>
  <c r="R15" i="46"/>
  <c r="J15" i="46"/>
  <c r="AY43" i="46"/>
  <c r="U39" i="46"/>
  <c r="BR36" i="46"/>
  <c r="AD36" i="46"/>
  <c r="V36" i="46"/>
  <c r="N36" i="46"/>
  <c r="F36" i="46"/>
  <c r="BS33" i="46"/>
  <c r="W33" i="46"/>
  <c r="O33" i="46"/>
  <c r="G33" i="46"/>
  <c r="BT31" i="46"/>
  <c r="BU15" i="46"/>
  <c r="Y15" i="46"/>
  <c r="Q15" i="46"/>
  <c r="I15" i="46"/>
  <c r="BV43" i="46"/>
  <c r="R43" i="46"/>
  <c r="J43" i="46"/>
  <c r="AC36" i="46"/>
  <c r="U36" i="46"/>
  <c r="BT15" i="46"/>
  <c r="P15" i="46"/>
  <c r="H15" i="46"/>
  <c r="BU43" i="46"/>
  <c r="Y43" i="46"/>
  <c r="Q43" i="46"/>
  <c r="I43" i="46"/>
  <c r="BV42" i="46"/>
  <c r="AX42" i="46"/>
  <c r="R42" i="46"/>
  <c r="J42" i="46"/>
  <c r="BS15" i="46"/>
  <c r="O15" i="46"/>
  <c r="G15" i="46"/>
  <c r="BT43" i="46"/>
  <c r="AF43" i="46"/>
  <c r="X43" i="46"/>
  <c r="P43" i="46"/>
  <c r="H43" i="46"/>
  <c r="BU42" i="46"/>
  <c r="Y42" i="46"/>
  <c r="Q42" i="46"/>
  <c r="I42" i="46"/>
  <c r="BV39" i="46"/>
  <c r="R39" i="46"/>
  <c r="J39" i="46"/>
  <c r="AY36" i="46"/>
  <c r="BR15" i="46"/>
  <c r="V15" i="46"/>
  <c r="N15" i="46"/>
  <c r="F15" i="46"/>
  <c r="BS43" i="46"/>
  <c r="W43" i="46"/>
  <c r="O43" i="46"/>
  <c r="G43" i="46"/>
  <c r="BT42" i="46"/>
  <c r="X42" i="46"/>
  <c r="P42" i="46"/>
  <c r="H42" i="46"/>
  <c r="BU39" i="46"/>
  <c r="Y39" i="46"/>
  <c r="Q39" i="46"/>
  <c r="I39" i="46"/>
  <c r="BV36" i="46"/>
  <c r="AX36" i="46"/>
  <c r="R36" i="46"/>
  <c r="J36" i="46"/>
  <c r="BA30" i="46"/>
  <c r="U30" i="46"/>
  <c r="BR28" i="46"/>
  <c r="V28" i="46"/>
  <c r="N28" i="46"/>
  <c r="F28" i="46"/>
  <c r="BS27" i="46"/>
  <c r="AC15" i="46"/>
  <c r="U15" i="46"/>
  <c r="BR43" i="46"/>
  <c r="AD43" i="46"/>
  <c r="V43" i="46"/>
  <c r="N43" i="46"/>
  <c r="F43" i="46"/>
  <c r="BS42" i="46"/>
  <c r="W42" i="46"/>
  <c r="O42" i="46"/>
  <c r="G42" i="46"/>
  <c r="BT39" i="46"/>
  <c r="X39" i="46"/>
  <c r="P39" i="46"/>
  <c r="H39" i="46"/>
  <c r="BU36" i="46"/>
  <c r="Y36" i="46"/>
  <c r="Q36" i="46"/>
  <c r="I36" i="46"/>
  <c r="BV33" i="46"/>
  <c r="BA43" i="46"/>
  <c r="U43" i="46"/>
  <c r="BR42" i="46"/>
  <c r="AD42" i="46"/>
  <c r="V42" i="46"/>
  <c r="N42" i="46"/>
  <c r="F42" i="46"/>
  <c r="BS39" i="46"/>
  <c r="W39" i="46"/>
  <c r="O39" i="46"/>
  <c r="G39" i="46"/>
  <c r="BT36" i="46"/>
  <c r="P36" i="46"/>
  <c r="H36" i="46"/>
  <c r="BU33" i="46"/>
  <c r="AC42" i="46"/>
  <c r="U42" i="46"/>
  <c r="BR39" i="46"/>
  <c r="BR33" i="46"/>
  <c r="BA33" i="46"/>
  <c r="X33" i="46"/>
  <c r="Y31" i="46"/>
  <c r="P31" i="46"/>
  <c r="G31" i="46"/>
  <c r="BS30" i="46"/>
  <c r="AZ30" i="46"/>
  <c r="Y30" i="46"/>
  <c r="P30" i="46"/>
  <c r="G30" i="46"/>
  <c r="BS28" i="46"/>
  <c r="Y28" i="46"/>
  <c r="P28" i="46"/>
  <c r="G28" i="46"/>
  <c r="BR27" i="46"/>
  <c r="AZ27" i="46"/>
  <c r="AC19" i="46"/>
  <c r="U19" i="46"/>
  <c r="BR18" i="46"/>
  <c r="V18" i="46"/>
  <c r="N18" i="46"/>
  <c r="F18" i="46"/>
  <c r="BS17" i="46"/>
  <c r="AE17" i="46"/>
  <c r="O17" i="46"/>
  <c r="G17" i="46"/>
  <c r="BT16" i="46"/>
  <c r="X16" i="46"/>
  <c r="P16" i="46"/>
  <c r="H16" i="46"/>
  <c r="BU40" i="46"/>
  <c r="Y40" i="46"/>
  <c r="Q40" i="46"/>
  <c r="I40" i="46"/>
  <c r="V33" i="46"/>
  <c r="BV31" i="46"/>
  <c r="X31" i="46"/>
  <c r="O31" i="46"/>
  <c r="F31" i="46"/>
  <c r="BR30" i="46"/>
  <c r="AF33" i="46"/>
  <c r="U33" i="46"/>
  <c r="J33" i="46"/>
  <c r="BU31" i="46"/>
  <c r="W31" i="46"/>
  <c r="N31" i="46"/>
  <c r="AF30" i="46"/>
  <c r="W30" i="46"/>
  <c r="N30" i="46"/>
  <c r="V39" i="46"/>
  <c r="I33" i="46"/>
  <c r="BS31" i="46"/>
  <c r="V31" i="46"/>
  <c r="N39" i="46"/>
  <c r="W36" i="46"/>
  <c r="R33" i="46"/>
  <c r="H33" i="46"/>
  <c r="BR31" i="46"/>
  <c r="U31" i="46"/>
  <c r="F39" i="46"/>
  <c r="O36" i="46"/>
  <c r="Q33" i="46"/>
  <c r="F33" i="46"/>
  <c r="J31" i="46"/>
  <c r="BV30" i="46"/>
  <c r="J30" i="46"/>
  <c r="BV28" i="46"/>
  <c r="J28" i="46"/>
  <c r="BV27" i="46"/>
  <c r="AE27" i="46"/>
  <c r="W27" i="46"/>
  <c r="O27" i="46"/>
  <c r="G27" i="46"/>
  <c r="BT19" i="46"/>
  <c r="X19" i="46"/>
  <c r="P19" i="46"/>
  <c r="H19" i="46"/>
  <c r="BU18" i="46"/>
  <c r="BS36" i="46"/>
  <c r="G36" i="46"/>
  <c r="P33" i="46"/>
  <c r="R31" i="46"/>
  <c r="I31" i="46"/>
  <c r="BU30" i="46"/>
  <c r="R30" i="46"/>
  <c r="I30" i="46"/>
  <c r="BU28" i="46"/>
  <c r="R28" i="46"/>
  <c r="I28" i="46"/>
  <c r="BU27" i="46"/>
  <c r="V27" i="46"/>
  <c r="N27" i="46"/>
  <c r="F27" i="46"/>
  <c r="BS19" i="46"/>
  <c r="W19" i="46"/>
  <c r="O19" i="46"/>
  <c r="G19" i="46"/>
  <c r="BT18" i="46"/>
  <c r="BT33" i="46"/>
  <c r="Y33" i="46"/>
  <c r="N33" i="46"/>
  <c r="Q31" i="46"/>
  <c r="H31" i="46"/>
  <c r="BT30" i="46"/>
  <c r="Q28" i="46"/>
  <c r="U27" i="46"/>
  <c r="I27" i="46"/>
  <c r="AD19" i="46"/>
  <c r="R19" i="46"/>
  <c r="BN18" i="46"/>
  <c r="AZ18" i="46"/>
  <c r="AE18" i="46"/>
  <c r="U18" i="46"/>
  <c r="U17" i="46"/>
  <c r="AW16" i="46"/>
  <c r="U16" i="46"/>
  <c r="U40" i="46"/>
  <c r="AZ34" i="46"/>
  <c r="AE30" i="46"/>
  <c r="O28" i="46"/>
  <c r="H27" i="46"/>
  <c r="AB19" i="46"/>
  <c r="Q19" i="46"/>
  <c r="AC18" i="46"/>
  <c r="BN30" i="46"/>
  <c r="H30" i="46"/>
  <c r="BT27" i="46"/>
  <c r="AF27" i="46"/>
  <c r="R27" i="46"/>
  <c r="N19" i="46"/>
  <c r="AX18" i="46"/>
  <c r="J18" i="46"/>
  <c r="BV17" i="46"/>
  <c r="J17" i="46"/>
  <c r="BV16" i="46"/>
  <c r="AB16" i="46"/>
  <c r="J16" i="46"/>
  <c r="BV40" i="46"/>
  <c r="J40" i="46"/>
  <c r="BV34" i="46"/>
  <c r="R34" i="46"/>
  <c r="J34" i="46"/>
  <c r="AZ25" i="46"/>
  <c r="AB25" i="46"/>
  <c r="BA23" i="46"/>
  <c r="U23" i="46"/>
  <c r="X30" i="46"/>
  <c r="F30" i="46"/>
  <c r="Q27" i="46"/>
  <c r="AY19" i="46"/>
  <c r="BV18" i="46"/>
  <c r="R18" i="46"/>
  <c r="I18" i="46"/>
  <c r="BU17" i="46"/>
  <c r="R17" i="46"/>
  <c r="I17" i="46"/>
  <c r="BU16" i="46"/>
  <c r="R16" i="46"/>
  <c r="I16" i="46"/>
  <c r="BT40" i="46"/>
  <c r="R40" i="46"/>
  <c r="H40" i="46"/>
  <c r="BU34" i="46"/>
  <c r="Y34" i="46"/>
  <c r="Q34" i="46"/>
  <c r="I34" i="46"/>
  <c r="BV32" i="46"/>
  <c r="R32" i="46"/>
  <c r="J32" i="46"/>
  <c r="BO25" i="46"/>
  <c r="AY25" i="46"/>
  <c r="X28" i="46"/>
  <c r="BA27" i="46"/>
  <c r="P27" i="46"/>
  <c r="AX19" i="46"/>
  <c r="Y19" i="46"/>
  <c r="BS18" i="46"/>
  <c r="Q18" i="46"/>
  <c r="H18" i="46"/>
  <c r="BT17" i="46"/>
  <c r="Q17" i="46"/>
  <c r="H17" i="46"/>
  <c r="BS16" i="46"/>
  <c r="Q16" i="46"/>
  <c r="G16" i="46"/>
  <c r="BS40" i="46"/>
  <c r="P40" i="46"/>
  <c r="G40" i="46"/>
  <c r="BT34" i="46"/>
  <c r="X34" i="46"/>
  <c r="P34" i="46"/>
  <c r="H34" i="46"/>
  <c r="BU32" i="46"/>
  <c r="Y32" i="46"/>
  <c r="Q32" i="46"/>
  <c r="I32" i="46"/>
  <c r="BV25" i="46"/>
  <c r="R25" i="46"/>
  <c r="J25" i="46"/>
  <c r="W28" i="46"/>
  <c r="H28" i="46"/>
  <c r="BO27" i="46"/>
  <c r="BV19" i="46"/>
  <c r="V19" i="46"/>
  <c r="J19" i="46"/>
  <c r="Y18" i="46"/>
  <c r="P18" i="46"/>
  <c r="G18" i="46"/>
  <c r="BR17" i="46"/>
  <c r="AZ17" i="46"/>
  <c r="Y17" i="46"/>
  <c r="P17" i="46"/>
  <c r="F17" i="46"/>
  <c r="BR16" i="46"/>
  <c r="Y16" i="46"/>
  <c r="O16" i="46"/>
  <c r="F16" i="46"/>
  <c r="BR40" i="46"/>
  <c r="X40" i="46"/>
  <c r="O40" i="46"/>
  <c r="F40" i="46"/>
  <c r="BS34" i="46"/>
  <c r="AE34" i="46"/>
  <c r="W34" i="46"/>
  <c r="O34" i="46"/>
  <c r="G34" i="46"/>
  <c r="BT32" i="46"/>
  <c r="X32" i="46"/>
  <c r="P32" i="46"/>
  <c r="H32" i="46"/>
  <c r="BU25" i="46"/>
  <c r="AW25" i="46"/>
  <c r="Y25" i="46"/>
  <c r="Q25" i="46"/>
  <c r="I25" i="46"/>
  <c r="BV23" i="46"/>
  <c r="R23" i="46"/>
  <c r="J23" i="46"/>
  <c r="Q30" i="46"/>
  <c r="BT28" i="46"/>
  <c r="U28" i="46"/>
  <c r="Y27" i="46"/>
  <c r="BU19" i="46"/>
  <c r="I19" i="46"/>
  <c r="X18" i="46"/>
  <c r="O18" i="46"/>
  <c r="X17" i="46"/>
  <c r="N17" i="46"/>
  <c r="W16" i="46"/>
  <c r="N16" i="46"/>
  <c r="W40" i="46"/>
  <c r="N40" i="46"/>
  <c r="BR34" i="46"/>
  <c r="O30" i="46"/>
  <c r="X27" i="46"/>
  <c r="J27" i="46"/>
  <c r="BR19" i="46"/>
  <c r="F19" i="46"/>
  <c r="W18" i="46"/>
  <c r="V17" i="46"/>
  <c r="V16" i="46"/>
  <c r="U34" i="46"/>
  <c r="BR32" i="46"/>
  <c r="W32" i="46"/>
  <c r="G32" i="46"/>
  <c r="AF25" i="46"/>
  <c r="P25" i="46"/>
  <c r="BU23" i="46"/>
  <c r="W23" i="46"/>
  <c r="AB20" i="46"/>
  <c r="AC41" i="46"/>
  <c r="U41" i="46"/>
  <c r="BS38" i="46"/>
  <c r="W38" i="46"/>
  <c r="O38" i="46"/>
  <c r="G38" i="46"/>
  <c r="BT37" i="46"/>
  <c r="X37" i="46"/>
  <c r="P37" i="46"/>
  <c r="H37" i="46"/>
  <c r="BU35" i="46"/>
  <c r="V32" i="46"/>
  <c r="F32" i="46"/>
  <c r="BK25" i="46"/>
  <c r="AE25" i="46"/>
  <c r="O25" i="46"/>
  <c r="BT23" i="46"/>
  <c r="V23" i="46"/>
  <c r="AZ41" i="46"/>
  <c r="BR38" i="46"/>
  <c r="V38" i="46"/>
  <c r="N38" i="46"/>
  <c r="F38" i="46"/>
  <c r="BS37" i="46"/>
  <c r="BS32" i="46"/>
  <c r="U32" i="46"/>
  <c r="AD25" i="46"/>
  <c r="N25" i="46"/>
  <c r="BS23" i="46"/>
  <c r="AF23" i="46"/>
  <c r="I23" i="46"/>
  <c r="BV20" i="46"/>
  <c r="R20" i="46"/>
  <c r="J20" i="46"/>
  <c r="AY41" i="46"/>
  <c r="AC38" i="46"/>
  <c r="U38" i="46"/>
  <c r="BR37" i="46"/>
  <c r="V37" i="46"/>
  <c r="N37" i="46"/>
  <c r="F37" i="46"/>
  <c r="BS35" i="46"/>
  <c r="V34" i="46"/>
  <c r="BR23" i="46"/>
  <c r="H23" i="46"/>
  <c r="BU20" i="46"/>
  <c r="Y20" i="46"/>
  <c r="Q20" i="46"/>
  <c r="I20" i="46"/>
  <c r="BV41" i="46"/>
  <c r="AX41" i="46"/>
  <c r="R41" i="46"/>
  <c r="J41" i="46"/>
  <c r="BA37" i="46"/>
  <c r="U37" i="46"/>
  <c r="BR35" i="46"/>
  <c r="V35" i="46"/>
  <c r="N35" i="46"/>
  <c r="F35" i="46"/>
  <c r="BS29" i="46"/>
  <c r="W29" i="46"/>
  <c r="O29" i="46"/>
  <c r="G29" i="46"/>
  <c r="BT26" i="46"/>
  <c r="O32" i="46"/>
  <c r="BT25" i="46"/>
  <c r="BD25" i="46"/>
  <c r="X25" i="46"/>
  <c r="H25" i="46"/>
  <c r="Q23" i="46"/>
  <c r="G23" i="46"/>
  <c r="BT20" i="46"/>
  <c r="X20" i="46"/>
  <c r="P20" i="46"/>
  <c r="H20" i="46"/>
  <c r="BU41" i="46"/>
  <c r="Y41" i="46"/>
  <c r="Q41" i="46"/>
  <c r="I41" i="46"/>
  <c r="AY38" i="46"/>
  <c r="AZ37" i="46"/>
  <c r="AB37" i="46"/>
  <c r="N34" i="46"/>
  <c r="N32" i="46"/>
  <c r="BS25" i="46"/>
  <c r="W25" i="46"/>
  <c r="G25" i="46"/>
  <c r="P23" i="46"/>
  <c r="F23" i="46"/>
  <c r="BS20" i="46"/>
  <c r="W20" i="46"/>
  <c r="O20" i="46"/>
  <c r="G20" i="46"/>
  <c r="BT41" i="46"/>
  <c r="X41" i="46"/>
  <c r="P41" i="46"/>
  <c r="H41" i="46"/>
  <c r="BV38" i="46"/>
  <c r="AX38" i="46"/>
  <c r="R38" i="46"/>
  <c r="J38" i="46"/>
  <c r="BR25" i="46"/>
  <c r="V25" i="46"/>
  <c r="F25" i="46"/>
  <c r="Y23" i="46"/>
  <c r="O23" i="46"/>
  <c r="BR20" i="46"/>
  <c r="V20" i="46"/>
  <c r="N20" i="46"/>
  <c r="F20" i="46"/>
  <c r="BS41" i="46"/>
  <c r="AE41" i="46"/>
  <c r="W41" i="46"/>
  <c r="O41" i="46"/>
  <c r="G41" i="46"/>
  <c r="BU38" i="46"/>
  <c r="Y38" i="46"/>
  <c r="Q38" i="46"/>
  <c r="I38" i="46"/>
  <c r="BV37" i="46"/>
  <c r="F34" i="46"/>
  <c r="BA25" i="46"/>
  <c r="U25" i="46"/>
  <c r="X23" i="46"/>
  <c r="N23" i="46"/>
  <c r="U20" i="46"/>
  <c r="BR41" i="46"/>
  <c r="AD41" i="46"/>
  <c r="V41" i="46"/>
  <c r="N41" i="46"/>
  <c r="F41" i="46"/>
  <c r="BT38" i="46"/>
  <c r="X38" i="46"/>
  <c r="P38" i="46"/>
  <c r="H38" i="46"/>
  <c r="BU37" i="46"/>
  <c r="Y37" i="46"/>
  <c r="Q37" i="46"/>
  <c r="I37" i="46"/>
  <c r="BV35" i="46"/>
  <c r="AX35" i="46"/>
  <c r="R35" i="46"/>
  <c r="J35" i="46"/>
  <c r="BT35" i="46"/>
  <c r="G35" i="46"/>
  <c r="Y29" i="46"/>
  <c r="P29" i="46"/>
  <c r="F29" i="46"/>
  <c r="BR26" i="46"/>
  <c r="AE37" i="46"/>
  <c r="Q35" i="46"/>
  <c r="X29" i="46"/>
  <c r="N29" i="46"/>
  <c r="R26" i="46"/>
  <c r="J26" i="46"/>
  <c r="W37" i="46"/>
  <c r="AC35" i="46"/>
  <c r="P35" i="46"/>
  <c r="V29" i="46"/>
  <c r="Y26" i="46"/>
  <c r="Q26" i="46"/>
  <c r="I26" i="46"/>
  <c r="BV24" i="46"/>
  <c r="R24" i="46"/>
  <c r="J24" i="46"/>
  <c r="R37" i="46"/>
  <c r="O35" i="46"/>
  <c r="BV29" i="46"/>
  <c r="BA29" i="46"/>
  <c r="AF29" i="46"/>
  <c r="U29" i="46"/>
  <c r="X26" i="46"/>
  <c r="P26" i="46"/>
  <c r="H26" i="46"/>
  <c r="BU24" i="46"/>
  <c r="Y24" i="46"/>
  <c r="Q24" i="46"/>
  <c r="I24" i="46"/>
  <c r="BV22" i="46"/>
  <c r="O37" i="46"/>
  <c r="Y35" i="46"/>
  <c r="BU29" i="46"/>
  <c r="W26" i="46"/>
  <c r="O26" i="46"/>
  <c r="G26" i="46"/>
  <c r="BT24" i="46"/>
  <c r="AF24" i="46"/>
  <c r="X24" i="46"/>
  <c r="P24" i="46"/>
  <c r="H24" i="46"/>
  <c r="BU22" i="46"/>
  <c r="Y22" i="46"/>
  <c r="Q22" i="46"/>
  <c r="I22" i="46"/>
  <c r="BV21" i="46"/>
  <c r="J37" i="46"/>
  <c r="BT29" i="46"/>
  <c r="J29" i="46"/>
  <c r="BV26" i="46"/>
  <c r="V26" i="46"/>
  <c r="N26" i="46"/>
  <c r="F26" i="46"/>
  <c r="BS24" i="46"/>
  <c r="W24" i="46"/>
  <c r="O24" i="46"/>
  <c r="G24" i="46"/>
  <c r="BT22" i="46"/>
  <c r="X22" i="46"/>
  <c r="P22" i="46"/>
  <c r="H22" i="46"/>
  <c r="BU21" i="46"/>
  <c r="Y21" i="46"/>
  <c r="Q21" i="46"/>
  <c r="I21" i="46"/>
  <c r="G37" i="46"/>
  <c r="W35" i="46"/>
  <c r="I35" i="46"/>
  <c r="BR29" i="46"/>
  <c r="R29" i="46"/>
  <c r="I29" i="46"/>
  <c r="BU26" i="46"/>
  <c r="U26" i="46"/>
  <c r="BR24" i="46"/>
  <c r="N24" i="46"/>
  <c r="F24" i="46"/>
  <c r="BS22" i="46"/>
  <c r="W22" i="46"/>
  <c r="O22" i="46"/>
  <c r="G22" i="46"/>
  <c r="BT21" i="46"/>
  <c r="U35" i="46"/>
  <c r="H35" i="46"/>
  <c r="Q29" i="46"/>
  <c r="H29" i="46"/>
  <c r="BS26" i="46"/>
  <c r="V22" i="46"/>
  <c r="J22" i="46"/>
  <c r="U22" i="46"/>
  <c r="F22" i="46"/>
  <c r="R22" i="46"/>
  <c r="N22" i="46"/>
  <c r="U21" i="46"/>
  <c r="BA24" i="46"/>
  <c r="U24" i="46"/>
  <c r="BR22" i="46"/>
  <c r="BS21" i="46"/>
  <c r="J21" i="46"/>
  <c r="W21" i="46"/>
  <c r="G21" i="46"/>
  <c r="V21" i="46"/>
  <c r="F21" i="46"/>
  <c r="BR21" i="46"/>
  <c r="N21" i="46"/>
  <c r="R21" i="46"/>
  <c r="P21" i="46"/>
  <c r="H21" i="46"/>
  <c r="X21" i="46"/>
  <c r="O21" i="46"/>
  <c r="AA46" i="7"/>
  <c r="AA50" i="7"/>
  <c r="AA54" i="7"/>
  <c r="AA63" i="7"/>
  <c r="AA72" i="7"/>
  <c r="AA86" i="7"/>
  <c r="AA148" i="7"/>
  <c r="AA42" i="7"/>
  <c r="AA118" i="7"/>
  <c r="G119" i="7"/>
  <c r="AD44" i="7"/>
  <c r="AP85" i="12" s="1"/>
  <c r="AC44" i="7"/>
  <c r="W85" i="8" s="1"/>
  <c r="AB44" i="7"/>
  <c r="AA65" i="7"/>
  <c r="AM114" i="7"/>
  <c r="AL114" i="7"/>
  <c r="AA80" i="7"/>
  <c r="AA108" i="7"/>
  <c r="AA123" i="7"/>
  <c r="AA150" i="7"/>
  <c r="V18" i="7"/>
  <c r="AE18" i="7" s="1"/>
  <c r="AA18" i="7"/>
  <c r="X123" i="8"/>
  <c r="Y123" i="8"/>
  <c r="W123" i="8"/>
  <c r="O129" i="8"/>
  <c r="S129" i="8" s="1"/>
  <c r="O147" i="8"/>
  <c r="S147" i="8" s="1"/>
  <c r="O152" i="8"/>
  <c r="S152" i="8" s="1"/>
  <c r="O294" i="8"/>
  <c r="S294" i="8" s="1"/>
  <c r="O160" i="8"/>
  <c r="S160" i="8" s="1"/>
  <c r="H85" i="7"/>
  <c r="I134" i="7"/>
  <c r="AA33" i="7"/>
  <c r="AA96" i="7"/>
  <c r="AA120" i="7"/>
  <c r="AA121" i="7"/>
  <c r="O96" i="8"/>
  <c r="P96" i="8" s="1"/>
  <c r="O98" i="8"/>
  <c r="P98" i="8" s="1"/>
  <c r="O123" i="8"/>
  <c r="S123" i="8" s="1"/>
  <c r="O149" i="8"/>
  <c r="S149" i="8" s="1"/>
  <c r="O155" i="8"/>
  <c r="S155" i="8" s="1"/>
  <c r="O187" i="8"/>
  <c r="S187" i="8" s="1"/>
  <c r="W84" i="8"/>
  <c r="O254" i="8"/>
  <c r="S254" i="8" s="1"/>
  <c r="O32" i="8"/>
  <c r="O67" i="8"/>
  <c r="S67" i="8" s="1"/>
  <c r="O235" i="8"/>
  <c r="S235" i="8" s="1"/>
  <c r="Y315" i="8"/>
  <c r="Y113" i="8"/>
  <c r="Y265" i="8"/>
  <c r="Y258" i="8"/>
  <c r="Y151" i="8"/>
  <c r="Y131" i="8"/>
  <c r="AA115" i="7"/>
  <c r="AA59" i="7"/>
  <c r="G113" i="7"/>
  <c r="AA75" i="7"/>
  <c r="AA83" i="7"/>
  <c r="AA92" i="7"/>
  <c r="AA93" i="7"/>
  <c r="AA94" i="7"/>
  <c r="V16" i="7"/>
  <c r="AE16" i="7" s="1"/>
  <c r="AA16" i="7"/>
  <c r="O132" i="8"/>
  <c r="S132" i="8" s="1"/>
  <c r="O151" i="8"/>
  <c r="S151" i="8" s="1"/>
  <c r="O189" i="8"/>
  <c r="S189" i="8" s="1"/>
  <c r="O288" i="8"/>
  <c r="S288" i="8" s="1"/>
  <c r="Y77" i="8"/>
  <c r="O223" i="8"/>
  <c r="S223" i="8" s="1"/>
  <c r="P199" i="8"/>
  <c r="J199" i="12" s="1"/>
  <c r="O201" i="8"/>
  <c r="S201" i="8" s="1"/>
  <c r="O203" i="8"/>
  <c r="S203" i="8" s="1"/>
  <c r="H70" i="7"/>
  <c r="H74" i="7"/>
  <c r="AA89" i="7"/>
  <c r="AA130" i="7"/>
  <c r="AA69" i="7"/>
  <c r="V69" i="7"/>
  <c r="AE69" i="7" s="1"/>
  <c r="AA111" i="7"/>
  <c r="AA39" i="7"/>
  <c r="O125" i="8"/>
  <c r="S125" i="8" s="1"/>
  <c r="T145" i="8"/>
  <c r="Y59" i="8"/>
  <c r="W306" i="8"/>
  <c r="X306" i="8"/>
  <c r="Y306" i="8"/>
  <c r="Y353" i="8"/>
  <c r="Y354" i="8"/>
  <c r="AA126" i="7"/>
  <c r="I90" i="7"/>
  <c r="AA156" i="7"/>
  <c r="O183" i="8"/>
  <c r="S183" i="8" s="1"/>
  <c r="O299" i="8"/>
  <c r="S299" i="8" s="1"/>
  <c r="Y117" i="8"/>
  <c r="O247" i="8"/>
  <c r="S247" i="8" s="1"/>
  <c r="O319" i="8"/>
  <c r="S319" i="8" s="1"/>
  <c r="O28" i="8"/>
  <c r="S28" i="8" s="1"/>
  <c r="W38" i="8"/>
  <c r="X38" i="8"/>
  <c r="O71" i="8"/>
  <c r="S71" i="8" s="1"/>
  <c r="Y198" i="8"/>
  <c r="O351" i="8"/>
  <c r="S351" i="8" s="1"/>
  <c r="AI119" i="7"/>
  <c r="I146" i="7"/>
  <c r="G44" i="7"/>
  <c r="AA68" i="7"/>
  <c r="F75" i="7"/>
  <c r="AA84" i="7"/>
  <c r="AA153" i="7"/>
  <c r="AA155" i="7"/>
  <c r="W90" i="8"/>
  <c r="Y90" i="8"/>
  <c r="X90" i="8"/>
  <c r="AZ15" i="7"/>
  <c r="AZ16" i="7"/>
  <c r="O127" i="8"/>
  <c r="S127" i="8" s="1"/>
  <c r="O156" i="8"/>
  <c r="S156" i="8" s="1"/>
  <c r="O295" i="8"/>
  <c r="S295" i="8" s="1"/>
  <c r="Y328" i="8"/>
  <c r="Y337" i="8"/>
  <c r="O111" i="8"/>
  <c r="S111" i="8" s="1"/>
  <c r="O315" i="8"/>
  <c r="S315" i="8" s="1"/>
  <c r="Y347" i="8"/>
  <c r="V16" i="8"/>
  <c r="R16" i="8"/>
  <c r="T16" i="8"/>
  <c r="Q20" i="8"/>
  <c r="AR20" i="12" s="1"/>
  <c r="P20" i="8"/>
  <c r="O20" i="8"/>
  <c r="S20" i="8" s="1"/>
  <c r="W22" i="8"/>
  <c r="X22" i="8"/>
  <c r="AA131" i="7"/>
  <c r="AA103" i="7"/>
  <c r="AA31" i="7"/>
  <c r="AA90" i="7"/>
  <c r="N4" i="8"/>
  <c r="H4" i="8"/>
  <c r="G4" i="8" s="1"/>
  <c r="X286" i="8"/>
  <c r="W286" i="8"/>
  <c r="O271" i="8"/>
  <c r="S271" i="8" s="1"/>
  <c r="AD114" i="7"/>
  <c r="AP253" i="12" s="1"/>
  <c r="AC114" i="7"/>
  <c r="H253" i="12" s="1"/>
  <c r="AB114" i="7"/>
  <c r="AA34" i="7"/>
  <c r="AA97" i="7"/>
  <c r="O286" i="8"/>
  <c r="S286" i="8" s="1"/>
  <c r="O289" i="8"/>
  <c r="S289" i="8" s="1"/>
  <c r="Y294" i="8"/>
  <c r="W294" i="8"/>
  <c r="X294" i="8"/>
  <c r="O297" i="8"/>
  <c r="S297" i="8" s="1"/>
  <c r="O76" i="8"/>
  <c r="S76" i="8" s="1"/>
  <c r="O120" i="8"/>
  <c r="S120" i="8" s="1"/>
  <c r="O318" i="8"/>
  <c r="S318" i="8" s="1"/>
  <c r="O62" i="8"/>
  <c r="S62" i="8" s="1"/>
  <c r="O267" i="8"/>
  <c r="S267" i="8" s="1"/>
  <c r="Y357" i="8"/>
  <c r="G155" i="7"/>
  <c r="O91" i="8"/>
  <c r="X94" i="8"/>
  <c r="W94" i="8"/>
  <c r="O97" i="8"/>
  <c r="O124" i="8"/>
  <c r="S124" i="8" s="1"/>
  <c r="O148" i="8"/>
  <c r="S148" i="8" s="1"/>
  <c r="Y153" i="8"/>
  <c r="O190" i="8"/>
  <c r="S190" i="8" s="1"/>
  <c r="Y283" i="8"/>
  <c r="O292" i="8"/>
  <c r="S292" i="8" s="1"/>
  <c r="O83" i="8"/>
  <c r="S83" i="8" s="1"/>
  <c r="Q139" i="8"/>
  <c r="AR139" i="12" s="1"/>
  <c r="P139" i="8"/>
  <c r="AZ66" i="7" s="1"/>
  <c r="O139" i="8"/>
  <c r="S139" i="8" s="1"/>
  <c r="P141" i="8"/>
  <c r="J141" i="12" s="1"/>
  <c r="O141" i="8"/>
  <c r="S141" i="8" s="1"/>
  <c r="Q141" i="8"/>
  <c r="AR141" i="12" s="1"/>
  <c r="Y219" i="8"/>
  <c r="X219" i="8"/>
  <c r="O244" i="8"/>
  <c r="S244" i="8" s="1"/>
  <c r="O58" i="8"/>
  <c r="S58" i="8" s="1"/>
  <c r="O64" i="8"/>
  <c r="S64" i="8" s="1"/>
  <c r="O175" i="8"/>
  <c r="S175" i="8" s="1"/>
  <c r="W178" i="8"/>
  <c r="Y211" i="8"/>
  <c r="Y232" i="8"/>
  <c r="X232" i="8"/>
  <c r="Y237" i="8"/>
  <c r="O303" i="8"/>
  <c r="S303" i="8" s="1"/>
  <c r="O312" i="8"/>
  <c r="S312" i="8" s="1"/>
  <c r="O352" i="8"/>
  <c r="S352" i="8" s="1"/>
  <c r="Y203" i="8"/>
  <c r="Y31" i="8"/>
  <c r="Y317" i="8"/>
  <c r="Y259" i="8"/>
  <c r="Y107" i="8"/>
  <c r="Y209" i="8"/>
  <c r="Y49" i="8"/>
  <c r="Y43" i="8"/>
  <c r="Y85" i="8"/>
  <c r="Y287" i="8"/>
  <c r="Y199" i="8"/>
  <c r="Y173" i="8"/>
  <c r="Y42" i="8"/>
  <c r="Y145" i="8"/>
  <c r="Y291" i="8"/>
  <c r="Y257" i="8"/>
  <c r="Y351" i="8"/>
  <c r="Y309" i="8"/>
  <c r="Y165" i="8"/>
  <c r="Y54" i="8"/>
  <c r="Y39" i="8"/>
  <c r="Y323" i="8"/>
  <c r="Y75" i="8"/>
  <c r="Y183" i="8"/>
  <c r="Y105" i="8"/>
  <c r="Y277" i="8"/>
  <c r="Y179" i="8"/>
  <c r="Y319" i="8"/>
  <c r="Y81" i="8"/>
  <c r="Y330" i="8"/>
  <c r="Y279" i="8"/>
  <c r="Y261" i="8"/>
  <c r="G123" i="7"/>
  <c r="O87" i="8"/>
  <c r="P87" i="8" s="1"/>
  <c r="Y93" i="8"/>
  <c r="Y95" i="8"/>
  <c r="Y102" i="8"/>
  <c r="X102" i="8"/>
  <c r="W102" i="8"/>
  <c r="O105" i="8"/>
  <c r="S105" i="8" s="1"/>
  <c r="O106" i="8"/>
  <c r="P106" i="8" s="1"/>
  <c r="O126" i="8"/>
  <c r="S126" i="8" s="1"/>
  <c r="O128" i="8"/>
  <c r="S128" i="8" s="1"/>
  <c r="O133" i="8"/>
  <c r="S133" i="8" s="1"/>
  <c r="O154" i="8"/>
  <c r="P154" i="8" s="1"/>
  <c r="Y281" i="8"/>
  <c r="O327" i="8"/>
  <c r="S327" i="8" s="1"/>
  <c r="O331" i="8"/>
  <c r="S331" i="8" s="1"/>
  <c r="O336" i="8"/>
  <c r="S336" i="8" s="1"/>
  <c r="O338" i="8"/>
  <c r="S338" i="8" s="1"/>
  <c r="O118" i="8"/>
  <c r="S118" i="8" s="1"/>
  <c r="W136" i="8"/>
  <c r="Y136" i="8"/>
  <c r="X136" i="8"/>
  <c r="P143" i="8"/>
  <c r="J143" i="12" s="1"/>
  <c r="Q143" i="8"/>
  <c r="AR143" i="12" s="1"/>
  <c r="O143" i="8"/>
  <c r="S143" i="8" s="1"/>
  <c r="O219" i="8"/>
  <c r="O251" i="8"/>
  <c r="S251" i="8" s="1"/>
  <c r="O320" i="8"/>
  <c r="S320" i="8" s="1"/>
  <c r="P325" i="8"/>
  <c r="AZ144" i="7" s="1"/>
  <c r="S325" i="8"/>
  <c r="O159" i="8"/>
  <c r="S159" i="8" s="1"/>
  <c r="W162" i="8"/>
  <c r="X162" i="8"/>
  <c r="Y162" i="8"/>
  <c r="Y177" i="8"/>
  <c r="O182" i="8"/>
  <c r="S182" i="8" s="1"/>
  <c r="W198" i="8"/>
  <c r="X198" i="8"/>
  <c r="O206" i="8"/>
  <c r="S206" i="8" s="1"/>
  <c r="O211" i="8"/>
  <c r="S211" i="8" s="1"/>
  <c r="O214" i="8"/>
  <c r="S214" i="8" s="1"/>
  <c r="O275" i="8"/>
  <c r="S275" i="8" s="1"/>
  <c r="O305" i="8"/>
  <c r="S305" i="8" s="1"/>
  <c r="W314" i="8"/>
  <c r="O347" i="8"/>
  <c r="S347" i="8" s="1"/>
  <c r="O356" i="8"/>
  <c r="S356" i="8" s="1"/>
  <c r="O360" i="8"/>
  <c r="S360" i="8" s="1"/>
  <c r="T19" i="8"/>
  <c r="V19" i="8"/>
  <c r="L22" i="46"/>
  <c r="K22" i="46"/>
  <c r="F227" i="16"/>
  <c r="AA124" i="7"/>
  <c r="V124" i="7"/>
  <c r="AE124" i="7" s="1"/>
  <c r="I138" i="7"/>
  <c r="AA151" i="7"/>
  <c r="Z18" i="7"/>
  <c r="Y100" i="8"/>
  <c r="O102" i="8"/>
  <c r="S102" i="8" s="1"/>
  <c r="O153" i="8"/>
  <c r="S153" i="8" s="1"/>
  <c r="O158" i="8"/>
  <c r="S158" i="8" s="1"/>
  <c r="O185" i="8"/>
  <c r="S185" i="8" s="1"/>
  <c r="O188" i="8"/>
  <c r="S188" i="8" s="1"/>
  <c r="W194" i="8"/>
  <c r="Y263" i="8"/>
  <c r="O284" i="8"/>
  <c r="S284" i="8" s="1"/>
  <c r="O290" i="8"/>
  <c r="S290" i="8" s="1"/>
  <c r="O300" i="8"/>
  <c r="Y79" i="8"/>
  <c r="W86" i="8"/>
  <c r="O115" i="8"/>
  <c r="S115" i="8" s="1"/>
  <c r="O116" i="8"/>
  <c r="S116" i="8" s="1"/>
  <c r="W226" i="8"/>
  <c r="X226" i="8"/>
  <c r="O228" i="8"/>
  <c r="W322" i="8"/>
  <c r="O324" i="8"/>
  <c r="S324" i="8" s="1"/>
  <c r="Y29" i="8"/>
  <c r="O36" i="8"/>
  <c r="O43" i="8"/>
  <c r="O46" i="8"/>
  <c r="S46" i="8" s="1"/>
  <c r="O63" i="8"/>
  <c r="O208" i="8"/>
  <c r="S208" i="8" s="1"/>
  <c r="O216" i="8"/>
  <c r="X231" i="8"/>
  <c r="W231" i="8"/>
  <c r="O272" i="8"/>
  <c r="S272" i="8" s="1"/>
  <c r="O314" i="8"/>
  <c r="S314" i="8" s="1"/>
  <c r="Y15" i="8"/>
  <c r="X15" i="8"/>
  <c r="W15" i="8"/>
  <c r="Y18" i="8"/>
  <c r="O19" i="8"/>
  <c r="S19" i="8" s="1"/>
  <c r="E37" i="46"/>
  <c r="Q192" i="16"/>
  <c r="AT284" i="12" s="1"/>
  <c r="AA91" i="7"/>
  <c r="Y87" i="8"/>
  <c r="O88" i="8"/>
  <c r="W98" i="8"/>
  <c r="S109" i="8"/>
  <c r="P109" i="8"/>
  <c r="J109" i="12" s="1"/>
  <c r="Y147" i="8"/>
  <c r="Y149" i="8"/>
  <c r="Y187" i="8"/>
  <c r="S258" i="8"/>
  <c r="O282" i="8"/>
  <c r="S282" i="8" s="1"/>
  <c r="O287" i="8"/>
  <c r="S287" i="8" s="1"/>
  <c r="W298" i="8"/>
  <c r="X298" i="8"/>
  <c r="O334" i="8"/>
  <c r="S334" i="8" s="1"/>
  <c r="Y83" i="8"/>
  <c r="Y121" i="8"/>
  <c r="Q136" i="8"/>
  <c r="AR136" i="12" s="1"/>
  <c r="P136" i="8"/>
  <c r="J136" i="12" s="1"/>
  <c r="O136" i="8"/>
  <c r="S136" i="8" s="1"/>
  <c r="Q140" i="8"/>
  <c r="AR140" i="12" s="1"/>
  <c r="P140" i="8"/>
  <c r="AE55" i="10" s="1"/>
  <c r="O140" i="8"/>
  <c r="S140" i="8" s="1"/>
  <c r="O220" i="8"/>
  <c r="S220" i="8" s="1"/>
  <c r="O222" i="8"/>
  <c r="S222" i="8" s="1"/>
  <c r="O227" i="8"/>
  <c r="O243" i="8"/>
  <c r="S243" i="8" s="1"/>
  <c r="Y244" i="8"/>
  <c r="O30" i="8"/>
  <c r="Y33" i="8"/>
  <c r="X51" i="8"/>
  <c r="Y51" i="8"/>
  <c r="W51" i="8"/>
  <c r="X60" i="8"/>
  <c r="Y65" i="8"/>
  <c r="W204" i="8"/>
  <c r="Y205" i="8"/>
  <c r="W274" i="8"/>
  <c r="X274" i="8"/>
  <c r="Y313" i="8"/>
  <c r="O340" i="8"/>
  <c r="S340" i="8" s="1"/>
  <c r="Q19" i="8"/>
  <c r="AR19" i="12" s="1"/>
  <c r="O21" i="8"/>
  <c r="S21" i="8" s="1"/>
  <c r="O24" i="8"/>
  <c r="S24" i="8" s="1"/>
  <c r="AA152" i="7"/>
  <c r="Y91" i="8"/>
  <c r="O101" i="8"/>
  <c r="S101" i="8" s="1"/>
  <c r="O103" i="8"/>
  <c r="S103" i="8" s="1"/>
  <c r="O131" i="8"/>
  <c r="P131" i="8" s="1"/>
  <c r="W134" i="8"/>
  <c r="X134" i="8"/>
  <c r="Y157" i="8"/>
  <c r="Y184" i="8"/>
  <c r="Y185" i="8"/>
  <c r="O194" i="8"/>
  <c r="S194" i="8" s="1"/>
  <c r="O256" i="8"/>
  <c r="S256" i="8" s="1"/>
  <c r="O261" i="8"/>
  <c r="S261" i="8" s="1"/>
  <c r="O279" i="8"/>
  <c r="S279" i="8" s="1"/>
  <c r="Y289" i="8"/>
  <c r="Y293" i="8"/>
  <c r="W296" i="8"/>
  <c r="X296" i="8"/>
  <c r="O298" i="8"/>
  <c r="S298" i="8" s="1"/>
  <c r="O79" i="8"/>
  <c r="P79" i="8" s="1"/>
  <c r="J79" i="12" s="1"/>
  <c r="X84" i="8"/>
  <c r="W138" i="8"/>
  <c r="Y138" i="8"/>
  <c r="X138" i="8"/>
  <c r="W142" i="8"/>
  <c r="X142" i="8"/>
  <c r="Q144" i="8"/>
  <c r="AR144" i="12" s="1"/>
  <c r="P144" i="8"/>
  <c r="AE57" i="10" s="1"/>
  <c r="O226" i="8"/>
  <c r="S226" i="8" s="1"/>
  <c r="Y245" i="8"/>
  <c r="S250" i="8"/>
  <c r="P250" i="8"/>
  <c r="AE92" i="10" s="1"/>
  <c r="O33" i="8"/>
  <c r="Y45" i="8"/>
  <c r="O51" i="8"/>
  <c r="S51" i="8" s="1"/>
  <c r="O54" i="8"/>
  <c r="S54" i="8" s="1"/>
  <c r="O167" i="8"/>
  <c r="S167" i="8" s="1"/>
  <c r="O196" i="8"/>
  <c r="S210" i="8"/>
  <c r="P210" i="8"/>
  <c r="J210" i="12" s="1"/>
  <c r="O234" i="8"/>
  <c r="S234" i="8" s="1"/>
  <c r="O239" i="8"/>
  <c r="S239" i="8" s="1"/>
  <c r="O242" i="8"/>
  <c r="S242" i="8" s="1"/>
  <c r="Y269" i="8"/>
  <c r="O274" i="8"/>
  <c r="S274" i="8" s="1"/>
  <c r="Y307" i="8"/>
  <c r="Y23" i="8"/>
  <c r="AA105" i="7"/>
  <c r="AC109" i="7"/>
  <c r="H241" i="12" s="1"/>
  <c r="AA137" i="7"/>
  <c r="F139" i="7"/>
  <c r="AF159" i="7"/>
  <c r="AH159" i="7"/>
  <c r="AG159" i="7"/>
  <c r="AN159" i="7" s="1"/>
  <c r="AA15" i="7"/>
  <c r="V15" i="7"/>
  <c r="AE15" i="7" s="1"/>
  <c r="Y88" i="8"/>
  <c r="O89" i="8"/>
  <c r="O92" i="8"/>
  <c r="Y103" i="8"/>
  <c r="O108" i="8"/>
  <c r="O110" i="8"/>
  <c r="P110" i="8" s="1"/>
  <c r="J110" i="12" s="1"/>
  <c r="Y125" i="8"/>
  <c r="W186" i="8"/>
  <c r="Y186" i="8"/>
  <c r="X186" i="8"/>
  <c r="Y189" i="8"/>
  <c r="O192" i="8"/>
  <c r="S192" i="8" s="1"/>
  <c r="O332" i="8"/>
  <c r="O82" i="8"/>
  <c r="O84" i="8"/>
  <c r="S84" i="8" s="1"/>
  <c r="O113" i="8"/>
  <c r="S113" i="8" s="1"/>
  <c r="Y139" i="8"/>
  <c r="Y143" i="8"/>
  <c r="O144" i="8"/>
  <c r="S144" i="8" s="1"/>
  <c r="Y221" i="8"/>
  <c r="O225" i="8"/>
  <c r="S225" i="8" s="1"/>
  <c r="Y251" i="8"/>
  <c r="O321" i="8"/>
  <c r="S321" i="8" s="1"/>
  <c r="Y325" i="8"/>
  <c r="S31" i="8"/>
  <c r="O39" i="8"/>
  <c r="O48" i="8"/>
  <c r="S48" i="8" s="1"/>
  <c r="O56" i="8"/>
  <c r="O176" i="8"/>
  <c r="S176" i="8" s="1"/>
  <c r="X178" i="8"/>
  <c r="O218" i="8"/>
  <c r="S218" i="8" s="1"/>
  <c r="W232" i="8"/>
  <c r="O236" i="8"/>
  <c r="S236" i="8" s="1"/>
  <c r="O313" i="8"/>
  <c r="S313" i="8" s="1"/>
  <c r="X314" i="8"/>
  <c r="O344" i="8"/>
  <c r="O359" i="8"/>
  <c r="S359" i="8" s="1"/>
  <c r="O362" i="8"/>
  <c r="S362" i="8" s="1"/>
  <c r="O23" i="8"/>
  <c r="S23" i="8" s="1"/>
  <c r="Y89" i="8"/>
  <c r="Y97" i="8"/>
  <c r="Y191" i="8"/>
  <c r="W255" i="8"/>
  <c r="Y335" i="8"/>
  <c r="O77" i="8"/>
  <c r="S77" i="8" s="1"/>
  <c r="O81" i="8"/>
  <c r="S81" i="8" s="1"/>
  <c r="Y115" i="8"/>
  <c r="Y119" i="8"/>
  <c r="X122" i="8"/>
  <c r="W122" i="8"/>
  <c r="O146" i="8"/>
  <c r="S146" i="8" s="1"/>
  <c r="Q146" i="8"/>
  <c r="AR146" i="12" s="1"/>
  <c r="W224" i="8"/>
  <c r="W246" i="8"/>
  <c r="Y246" i="8"/>
  <c r="X246" i="8"/>
  <c r="Y249" i="8"/>
  <c r="O322" i="8"/>
  <c r="S322" i="8" s="1"/>
  <c r="X326" i="8"/>
  <c r="W30" i="8"/>
  <c r="Y30" i="8"/>
  <c r="X30" i="8"/>
  <c r="Y35" i="8"/>
  <c r="O59" i="8"/>
  <c r="S59" i="8" s="1"/>
  <c r="O69" i="8"/>
  <c r="S69" i="8" s="1"/>
  <c r="Y73" i="8"/>
  <c r="O162" i="8"/>
  <c r="S162" i="8" s="1"/>
  <c r="W170" i="8"/>
  <c r="X170" i="8"/>
  <c r="Y171" i="8"/>
  <c r="X171" i="8"/>
  <c r="O178" i="8"/>
  <c r="S178" i="8" s="1"/>
  <c r="O231" i="8"/>
  <c r="S231" i="8" s="1"/>
  <c r="O241" i="8"/>
  <c r="S241" i="8" s="1"/>
  <c r="O304" i="8"/>
  <c r="O306" i="8"/>
  <c r="S306" i="8" s="1"/>
  <c r="Y341" i="8"/>
  <c r="Y343" i="8"/>
  <c r="O346" i="8"/>
  <c r="O361" i="8"/>
  <c r="S361" i="8" s="1"/>
  <c r="H48" i="10"/>
  <c r="F106" i="7"/>
  <c r="Y99" i="8"/>
  <c r="X99" i="8"/>
  <c r="W110" i="8"/>
  <c r="W124" i="8"/>
  <c r="Y124" i="8"/>
  <c r="W126" i="8"/>
  <c r="W132" i="8"/>
  <c r="Y148" i="8"/>
  <c r="Y193" i="8"/>
  <c r="O281" i="8"/>
  <c r="P281" i="8" s="1"/>
  <c r="J281" i="12" s="1"/>
  <c r="O296" i="8"/>
  <c r="S296" i="8" s="1"/>
  <c r="W78" i="8"/>
  <c r="X78" i="8"/>
  <c r="O122" i="8"/>
  <c r="X243" i="8"/>
  <c r="W243" i="8"/>
  <c r="Y243" i="8"/>
  <c r="X320" i="8"/>
  <c r="W320" i="8"/>
  <c r="O326" i="8"/>
  <c r="S326" i="8" s="1"/>
  <c r="O44" i="8"/>
  <c r="O52" i="8"/>
  <c r="S52" i="8" s="1"/>
  <c r="Y67" i="8"/>
  <c r="O168" i="8"/>
  <c r="S168" i="8" s="1"/>
  <c r="O170" i="8"/>
  <c r="S170" i="8" s="1"/>
  <c r="Y181" i="8"/>
  <c r="X195" i="8"/>
  <c r="Y195" i="8"/>
  <c r="W195" i="8"/>
  <c r="O212" i="8"/>
  <c r="S212" i="8" s="1"/>
  <c r="Y239" i="8"/>
  <c r="O276" i="8"/>
  <c r="O341" i="8"/>
  <c r="S341" i="8" s="1"/>
  <c r="O343" i="8"/>
  <c r="S343" i="8" s="1"/>
  <c r="O348" i="8"/>
  <c r="S348" i="8" s="1"/>
  <c r="O353" i="8"/>
  <c r="S353" i="8" s="1"/>
  <c r="P15" i="8"/>
  <c r="J15" i="12" s="1"/>
  <c r="O15" i="8"/>
  <c r="S15" i="8" s="1"/>
  <c r="Q15" i="8"/>
  <c r="AR15" i="12" s="1"/>
  <c r="I40" i="10"/>
  <c r="Y318" i="8"/>
  <c r="Y285" i="8"/>
  <c r="Y101" i="8"/>
  <c r="Y270" i="8"/>
  <c r="Y303" i="8"/>
  <c r="Y275" i="8"/>
  <c r="Y271" i="8"/>
  <c r="Y167" i="8"/>
  <c r="Y163" i="8"/>
  <c r="Y159" i="8"/>
  <c r="Y25" i="8"/>
  <c r="Y361" i="8"/>
  <c r="Y345" i="8"/>
  <c r="Y267" i="8"/>
  <c r="Y213" i="8"/>
  <c r="Y197" i="8"/>
  <c r="Y196" i="8"/>
  <c r="Y71" i="8"/>
  <c r="Y53" i="8"/>
  <c r="Y52" i="8"/>
  <c r="Y37" i="8"/>
  <c r="Y247" i="8"/>
  <c r="AE15" i="10"/>
  <c r="V109" i="7"/>
  <c r="AE109" i="7" s="1"/>
  <c r="G152" i="7"/>
  <c r="W150" i="8"/>
  <c r="Y150" i="8"/>
  <c r="W262" i="8"/>
  <c r="X262" i="8"/>
  <c r="W265" i="8"/>
  <c r="Y280" i="8"/>
  <c r="X280" i="8"/>
  <c r="W280" i="8"/>
  <c r="Y299" i="8"/>
  <c r="Y333" i="8"/>
  <c r="Y78" i="8"/>
  <c r="X111" i="8"/>
  <c r="W111" i="8"/>
  <c r="Y137" i="8"/>
  <c r="X222" i="8"/>
  <c r="W222" i="8"/>
  <c r="O246" i="8"/>
  <c r="S246" i="8" s="1"/>
  <c r="O248" i="8"/>
  <c r="Y253" i="8"/>
  <c r="O35" i="8"/>
  <c r="O38" i="8"/>
  <c r="Y40" i="8"/>
  <c r="Y55" i="8"/>
  <c r="O61" i="8"/>
  <c r="S61" i="8" s="1"/>
  <c r="X63" i="8"/>
  <c r="W63" i="8"/>
  <c r="Y63" i="8"/>
  <c r="O164" i="8"/>
  <c r="O181" i="8"/>
  <c r="S181" i="8" s="1"/>
  <c r="O204" i="8"/>
  <c r="S204" i="8" s="1"/>
  <c r="Y215" i="8"/>
  <c r="O233" i="8"/>
  <c r="S233" i="8" s="1"/>
  <c r="Y235" i="8"/>
  <c r="O268" i="8"/>
  <c r="S268" i="8" s="1"/>
  <c r="W310" i="8"/>
  <c r="O349" i="8"/>
  <c r="S349" i="8" s="1"/>
  <c r="X352" i="8"/>
  <c r="Q16" i="8"/>
  <c r="AR16" i="12" s="1"/>
  <c r="O16" i="8"/>
  <c r="S16" i="8" s="1"/>
  <c r="Q18" i="8"/>
  <c r="AR18" i="12" s="1"/>
  <c r="P18" i="8"/>
  <c r="J18" i="12" s="1"/>
  <c r="E21" i="46"/>
  <c r="O4" i="16"/>
  <c r="Q64" i="16"/>
  <c r="D26" i="46"/>
  <c r="C26" i="46"/>
  <c r="Q103" i="16"/>
  <c r="AT151" i="12" s="1"/>
  <c r="H106" i="7"/>
  <c r="H120" i="7"/>
  <c r="J16" i="12"/>
  <c r="AR145" i="12"/>
  <c r="AR137" i="12"/>
  <c r="X87" i="8"/>
  <c r="O93" i="8"/>
  <c r="W99" i="8"/>
  <c r="O100" i="8"/>
  <c r="S100" i="8" s="1"/>
  <c r="X110" i="8"/>
  <c r="X124" i="8"/>
  <c r="Y126" i="8"/>
  <c r="O150" i="8"/>
  <c r="P150" i="8" s="1"/>
  <c r="X150" i="8"/>
  <c r="X152" i="8"/>
  <c r="W190" i="8"/>
  <c r="Y255" i="8"/>
  <c r="W282" i="8"/>
  <c r="Y282" i="8"/>
  <c r="Y295" i="8"/>
  <c r="Y297" i="8"/>
  <c r="O302" i="8"/>
  <c r="P302" i="8" s="1"/>
  <c r="O330" i="8"/>
  <c r="S330" i="8" s="1"/>
  <c r="Y331" i="8"/>
  <c r="O337" i="8"/>
  <c r="O114" i="8"/>
  <c r="S114" i="8" s="1"/>
  <c r="Y141" i="8"/>
  <c r="Y227" i="8"/>
  <c r="Y229" i="8"/>
  <c r="O245" i="8"/>
  <c r="S245" i="8" s="1"/>
  <c r="O34" i="8"/>
  <c r="O40" i="8"/>
  <c r="O45" i="8"/>
  <c r="O53" i="8"/>
  <c r="O55" i="8"/>
  <c r="S55" i="8" s="1"/>
  <c r="Y57" i="8"/>
  <c r="O60" i="8"/>
  <c r="S60" i="8" s="1"/>
  <c r="Y69" i="8"/>
  <c r="O72" i="8"/>
  <c r="S72" i="8" s="1"/>
  <c r="O169" i="8"/>
  <c r="Y174" i="8"/>
  <c r="W174" i="8"/>
  <c r="O198" i="8"/>
  <c r="S198" i="8" s="1"/>
  <c r="Y208" i="8"/>
  <c r="O213" i="8"/>
  <c r="O215" i="8"/>
  <c r="S215" i="8" s="1"/>
  <c r="Y217" i="8"/>
  <c r="O232" i="8"/>
  <c r="S232" i="8" s="1"/>
  <c r="Y241" i="8"/>
  <c r="O269" i="8"/>
  <c r="P269" i="8" s="1"/>
  <c r="Y304" i="8"/>
  <c r="X304" i="8"/>
  <c r="O307" i="8"/>
  <c r="S307" i="8" s="1"/>
  <c r="O310" i="8"/>
  <c r="O339" i="8"/>
  <c r="S339" i="8" s="1"/>
  <c r="Y352" i="8"/>
  <c r="O354" i="8"/>
  <c r="S354" i="8" s="1"/>
  <c r="Y359" i="8"/>
  <c r="Y17" i="8"/>
  <c r="O18" i="8"/>
  <c r="S18" i="8" s="1"/>
  <c r="H41" i="10"/>
  <c r="F41" i="10"/>
  <c r="Z16" i="10"/>
  <c r="AA159" i="7"/>
  <c r="Z19" i="7"/>
  <c r="W88" i="8"/>
  <c r="Y127" i="8"/>
  <c r="X132" i="8"/>
  <c r="Y133" i="8"/>
  <c r="Y155" i="8"/>
  <c r="O186" i="8"/>
  <c r="O191" i="8"/>
  <c r="X192" i="8"/>
  <c r="W192" i="8"/>
  <c r="Y256" i="8"/>
  <c r="O257" i="8"/>
  <c r="P283" i="8"/>
  <c r="J283" i="12" s="1"/>
  <c r="X327" i="8"/>
  <c r="W327" i="8"/>
  <c r="Y327" i="8"/>
  <c r="O328" i="8"/>
  <c r="Y329" i="8"/>
  <c r="O333" i="8"/>
  <c r="S333" i="8" s="1"/>
  <c r="Y111" i="8"/>
  <c r="W118" i="8"/>
  <c r="X118" i="8"/>
  <c r="P135" i="8"/>
  <c r="O135" i="8"/>
  <c r="S135" i="8" s="1"/>
  <c r="Y222" i="8"/>
  <c r="W254" i="8"/>
  <c r="X254" i="8"/>
  <c r="O41" i="8"/>
  <c r="X44" i="8"/>
  <c r="W70" i="8"/>
  <c r="X70" i="8"/>
  <c r="O163" i="8"/>
  <c r="S163" i="8" s="1"/>
  <c r="X168" i="8"/>
  <c r="O171" i="8"/>
  <c r="S171" i="8" s="1"/>
  <c r="O174" i="8"/>
  <c r="S174" i="8" s="1"/>
  <c r="O179" i="8"/>
  <c r="P179" i="8" s="1"/>
  <c r="J179" i="12" s="1"/>
  <c r="O200" i="8"/>
  <c r="S200" i="8" s="1"/>
  <c r="O205" i="8"/>
  <c r="W242" i="8"/>
  <c r="X242" i="8"/>
  <c r="O311" i="8"/>
  <c r="S311" i="8" s="1"/>
  <c r="O342" i="8"/>
  <c r="S342" i="8" s="1"/>
  <c r="W346" i="8"/>
  <c r="X346" i="8"/>
  <c r="O355" i="8"/>
  <c r="S355" i="8" s="1"/>
  <c r="O358" i="8"/>
  <c r="Y21" i="8"/>
  <c r="F60" i="10"/>
  <c r="F72" i="10"/>
  <c r="I32" i="10"/>
  <c r="H32" i="10"/>
  <c r="X28" i="8"/>
  <c r="W28" i="8"/>
  <c r="X42" i="8"/>
  <c r="W42" i="8"/>
  <c r="W50" i="8"/>
  <c r="W62" i="8"/>
  <c r="X176" i="8"/>
  <c r="W176" i="8"/>
  <c r="X202" i="8"/>
  <c r="W202" i="8"/>
  <c r="W210" i="8"/>
  <c r="W234" i="8"/>
  <c r="Y234" i="8"/>
  <c r="X312" i="8"/>
  <c r="W312" i="8"/>
  <c r="X350" i="8"/>
  <c r="W350" i="8"/>
  <c r="W358" i="8"/>
  <c r="I54" i="10"/>
  <c r="G54" i="10"/>
  <c r="F54" i="10"/>
  <c r="I64" i="10"/>
  <c r="J87" i="10"/>
  <c r="Q16" i="10"/>
  <c r="R16" i="10" s="1"/>
  <c r="O16" i="10"/>
  <c r="O42" i="8"/>
  <c r="O70" i="8"/>
  <c r="S70" i="8" s="1"/>
  <c r="O195" i="8"/>
  <c r="S195" i="8" s="1"/>
  <c r="O202" i="8"/>
  <c r="P202" i="8" s="1"/>
  <c r="O345" i="8"/>
  <c r="O350" i="8"/>
  <c r="P350" i="8" s="1"/>
  <c r="J350" i="12" s="1"/>
  <c r="O26" i="8"/>
  <c r="G121" i="10"/>
  <c r="F21" i="10"/>
  <c r="E22" i="46"/>
  <c r="Q72" i="16"/>
  <c r="AT104" i="12" s="1"/>
  <c r="X104" i="8"/>
  <c r="W106" i="8"/>
  <c r="X130" i="8"/>
  <c r="X183" i="8"/>
  <c r="X288" i="8"/>
  <c r="W290" i="8"/>
  <c r="X302" i="8"/>
  <c r="W334" i="8"/>
  <c r="X334" i="8"/>
  <c r="Y114" i="8"/>
  <c r="X135" i="8"/>
  <c r="Y135" i="8"/>
  <c r="W135" i="8"/>
  <c r="X230" i="8"/>
  <c r="O253" i="8"/>
  <c r="X27" i="8"/>
  <c r="Y27" i="8"/>
  <c r="Y28" i="8"/>
  <c r="X34" i="8"/>
  <c r="Y41" i="8"/>
  <c r="W58" i="8"/>
  <c r="X62" i="8"/>
  <c r="Y64" i="8"/>
  <c r="X66" i="8"/>
  <c r="O161" i="8"/>
  <c r="Y175" i="8"/>
  <c r="X182" i="8"/>
  <c r="Y201" i="8"/>
  <c r="Y210" i="8"/>
  <c r="W218" i="8"/>
  <c r="X234" i="8"/>
  <c r="X238" i="8"/>
  <c r="Y268" i="8"/>
  <c r="O273" i="8"/>
  <c r="Y311" i="8"/>
  <c r="Y342" i="8"/>
  <c r="X342" i="8"/>
  <c r="Y349" i="8"/>
  <c r="I109" i="10"/>
  <c r="G23" i="10"/>
  <c r="H31" i="10"/>
  <c r="H128" i="10"/>
  <c r="G128" i="10"/>
  <c r="F128" i="10"/>
  <c r="AT24" i="12"/>
  <c r="AT356" i="12"/>
  <c r="AT23" i="12"/>
  <c r="AT26" i="12"/>
  <c r="AT347" i="12"/>
  <c r="AT278" i="12"/>
  <c r="AT218" i="12"/>
  <c r="AT357" i="12"/>
  <c r="AT312" i="12"/>
  <c r="AT359" i="12"/>
  <c r="AT277" i="12"/>
  <c r="AT311" i="12"/>
  <c r="AT240" i="12"/>
  <c r="AT180" i="12"/>
  <c r="AT349" i="12"/>
  <c r="AT202" i="12"/>
  <c r="AT205" i="12"/>
  <c r="AT203" i="12"/>
  <c r="AT177" i="12"/>
  <c r="AT74" i="12"/>
  <c r="AT61" i="12"/>
  <c r="AT201" i="12"/>
  <c r="AT58" i="12"/>
  <c r="AT176" i="12"/>
  <c r="AT217" i="12"/>
  <c r="AT165" i="12"/>
  <c r="AT182" i="12"/>
  <c r="AT181" i="12"/>
  <c r="AT166" i="12"/>
  <c r="AT69" i="12"/>
  <c r="AT50" i="12"/>
  <c r="AT252" i="12"/>
  <c r="AT72" i="12"/>
  <c r="AT56" i="12"/>
  <c r="AT44" i="12"/>
  <c r="AT45" i="12"/>
  <c r="AT32" i="12"/>
  <c r="AT325" i="12"/>
  <c r="AT48" i="12"/>
  <c r="AT230" i="12"/>
  <c r="AT254" i="12"/>
  <c r="AT144" i="12"/>
  <c r="AT139" i="12"/>
  <c r="AT321" i="12"/>
  <c r="AT248" i="12"/>
  <c r="AT226" i="12"/>
  <c r="AT115" i="12"/>
  <c r="AT229" i="12"/>
  <c r="AT36" i="12"/>
  <c r="AT253" i="12"/>
  <c r="AT142" i="12"/>
  <c r="AT117" i="12"/>
  <c r="AT57" i="12"/>
  <c r="AT37" i="12"/>
  <c r="AT320" i="12"/>
  <c r="AT122" i="12"/>
  <c r="AT323" i="12"/>
  <c r="AT82" i="12"/>
  <c r="AT301" i="12"/>
  <c r="AT134" i="12"/>
  <c r="AT131" i="12"/>
  <c r="AT108" i="12"/>
  <c r="AT335" i="12"/>
  <c r="AT285" i="12"/>
  <c r="AT192" i="12"/>
  <c r="AT296" i="12"/>
  <c r="AT119" i="12"/>
  <c r="AT95" i="12"/>
  <c r="AT86" i="12"/>
  <c r="AT109" i="12"/>
  <c r="AT106" i="12"/>
  <c r="AT91" i="12"/>
  <c r="AT79" i="12"/>
  <c r="AT288" i="12"/>
  <c r="AT193" i="12"/>
  <c r="AT129" i="12"/>
  <c r="AT141" i="12"/>
  <c r="AT85" i="12"/>
  <c r="AT289" i="12"/>
  <c r="AT287" i="12"/>
  <c r="AT189" i="12"/>
  <c r="AT302" i="12"/>
  <c r="AT265" i="12"/>
  <c r="AT132" i="12"/>
  <c r="L4" i="16"/>
  <c r="E24" i="46"/>
  <c r="Q88" i="16"/>
  <c r="AT128" i="12" s="1"/>
  <c r="Y129" i="8"/>
  <c r="O262" i="8"/>
  <c r="Y301" i="8"/>
  <c r="O78" i="8"/>
  <c r="X116" i="8"/>
  <c r="W116" i="8"/>
  <c r="Y220" i="8"/>
  <c r="Y316" i="8"/>
  <c r="Y321" i="8"/>
  <c r="W36" i="8"/>
  <c r="O49" i="8"/>
  <c r="X58" i="8"/>
  <c r="Y66" i="8"/>
  <c r="Y161" i="8"/>
  <c r="Y169" i="8"/>
  <c r="W196" i="8"/>
  <c r="O209" i="8"/>
  <c r="X218" i="8"/>
  <c r="W267" i="8"/>
  <c r="Y273" i="8"/>
  <c r="Y305" i="8"/>
  <c r="W344" i="8"/>
  <c r="X351" i="8"/>
  <c r="W351" i="8"/>
  <c r="O357" i="8"/>
  <c r="Y16" i="8"/>
  <c r="T17" i="8"/>
  <c r="W18" i="8"/>
  <c r="Y19" i="8"/>
  <c r="O22" i="8"/>
  <c r="P22" i="8"/>
  <c r="J22" i="12" s="1"/>
  <c r="I49" i="10"/>
  <c r="H130" i="10"/>
  <c r="AA15" i="10"/>
  <c r="K20" i="12" s="1"/>
  <c r="E29" i="46"/>
  <c r="F198" i="16"/>
  <c r="G79" i="10"/>
  <c r="D22" i="46"/>
  <c r="C22" i="46"/>
  <c r="Q71" i="16"/>
  <c r="Q128" i="16"/>
  <c r="AT188" i="12" s="1"/>
  <c r="F193" i="16"/>
  <c r="M25" i="46"/>
  <c r="M34" i="46"/>
  <c r="F219" i="16"/>
  <c r="F89" i="16"/>
  <c r="L38" i="46"/>
  <c r="K38" i="46"/>
  <c r="L41" i="46"/>
  <c r="K41" i="46"/>
  <c r="F61" i="16"/>
  <c r="L25" i="46"/>
  <c r="K25" i="46"/>
  <c r="X75" i="8"/>
  <c r="Y76" i="8"/>
  <c r="Y112" i="8"/>
  <c r="Y225" i="8"/>
  <c r="W46" i="8"/>
  <c r="Y47" i="8"/>
  <c r="Y61" i="8"/>
  <c r="X159" i="8"/>
  <c r="Y160" i="8"/>
  <c r="Y172" i="8"/>
  <c r="W206" i="8"/>
  <c r="Y207" i="8"/>
  <c r="Y233" i="8"/>
  <c r="W354" i="8"/>
  <c r="Y355" i="8"/>
  <c r="I106" i="10"/>
  <c r="F106" i="10"/>
  <c r="I108" i="10"/>
  <c r="G58" i="10"/>
  <c r="G33" i="10"/>
  <c r="F80" i="10"/>
  <c r="I127" i="10"/>
  <c r="F69" i="16"/>
  <c r="L35" i="46"/>
  <c r="K35" i="46"/>
  <c r="D38" i="46"/>
  <c r="C38" i="46"/>
  <c r="Q199" i="16"/>
  <c r="AT295" i="12" s="1"/>
  <c r="D41" i="46"/>
  <c r="C41" i="46"/>
  <c r="Q223" i="16"/>
  <c r="AT331" i="12" s="1"/>
  <c r="L23" i="46"/>
  <c r="K23" i="46"/>
  <c r="W154" i="8"/>
  <c r="X279" i="8"/>
  <c r="Y292" i="8"/>
  <c r="W146" i="8"/>
  <c r="W54" i="8"/>
  <c r="W214" i="8"/>
  <c r="X303" i="8"/>
  <c r="Y340" i="8"/>
  <c r="W362" i="8"/>
  <c r="I45" i="10"/>
  <c r="I59" i="10"/>
  <c r="H104" i="10"/>
  <c r="G106" i="10"/>
  <c r="H47" i="10"/>
  <c r="G47" i="10"/>
  <c r="F91" i="10"/>
  <c r="H33" i="10"/>
  <c r="F124" i="10"/>
  <c r="Z17" i="10"/>
  <c r="AA17" i="10" s="1"/>
  <c r="K26" i="46"/>
  <c r="L26" i="46"/>
  <c r="D35" i="46"/>
  <c r="C35" i="46"/>
  <c r="Q175" i="16"/>
  <c r="L20" i="46"/>
  <c r="K20" i="46"/>
  <c r="F145" i="16"/>
  <c r="F233" i="16"/>
  <c r="E26" i="46"/>
  <c r="E35" i="46"/>
  <c r="E38" i="46"/>
  <c r="E41" i="46"/>
  <c r="D20" i="46"/>
  <c r="C20" i="46"/>
  <c r="E20" i="46"/>
  <c r="C23" i="46"/>
  <c r="D23" i="46"/>
  <c r="E23" i="46"/>
  <c r="D25" i="46"/>
  <c r="C25" i="46"/>
  <c r="F43" i="16"/>
  <c r="F209" i="16"/>
  <c r="C32" i="46"/>
  <c r="D32" i="46"/>
  <c r="Q151" i="16"/>
  <c r="AT223" i="12" s="1"/>
  <c r="D34" i="46"/>
  <c r="C34" i="46"/>
  <c r="Q167" i="16"/>
  <c r="AT247" i="12" s="1"/>
  <c r="C40" i="46"/>
  <c r="D40" i="46"/>
  <c r="Q215" i="16"/>
  <c r="AT319" i="12" s="1"/>
  <c r="C16" i="46"/>
  <c r="D16" i="46"/>
  <c r="Q23" i="16"/>
  <c r="AT31" i="12" s="1"/>
  <c r="F40" i="16"/>
  <c r="F41" i="16"/>
  <c r="F125" i="16"/>
  <c r="L21" i="46"/>
  <c r="K21" i="46"/>
  <c r="F71" i="16"/>
  <c r="F77" i="16"/>
  <c r="L24" i="46"/>
  <c r="K24" i="46"/>
  <c r="Q104" i="16"/>
  <c r="AT152" i="12" s="1"/>
  <c r="L29" i="46"/>
  <c r="K29" i="46"/>
  <c r="Q176" i="16"/>
  <c r="AT260" i="12" s="1"/>
  <c r="F181" i="16"/>
  <c r="L37" i="46"/>
  <c r="K37" i="46"/>
  <c r="F199" i="16"/>
  <c r="F39" i="16"/>
  <c r="F52" i="16"/>
  <c r="F94" i="10"/>
  <c r="F30" i="10"/>
  <c r="Q18" i="10"/>
  <c r="R18" i="10" s="1"/>
  <c r="C21" i="46"/>
  <c r="D21" i="46"/>
  <c r="M21" i="46"/>
  <c r="D24" i="46"/>
  <c r="C24" i="46"/>
  <c r="M24" i="46"/>
  <c r="D29" i="46"/>
  <c r="C29" i="46"/>
  <c r="M29" i="46"/>
  <c r="D37" i="46"/>
  <c r="C37" i="46"/>
  <c r="M37" i="46"/>
  <c r="F80" i="16"/>
  <c r="F156" i="16"/>
  <c r="F217" i="16"/>
  <c r="M30" i="46"/>
  <c r="F141" i="16"/>
  <c r="E42" i="46"/>
  <c r="Q232" i="16"/>
  <c r="AT344" i="12" s="1"/>
  <c r="Q242" i="16"/>
  <c r="AT358" i="12" s="1"/>
  <c r="F32" i="16"/>
  <c r="F115" i="16"/>
  <c r="K32" i="46"/>
  <c r="L32" i="46"/>
  <c r="L34" i="46"/>
  <c r="K34" i="46"/>
  <c r="L40" i="46"/>
  <c r="K40" i="46"/>
  <c r="L16" i="46"/>
  <c r="K16" i="46"/>
  <c r="L17" i="46"/>
  <c r="K17" i="46"/>
  <c r="L18" i="46"/>
  <c r="K18" i="46"/>
  <c r="L19" i="46"/>
  <c r="K19" i="46"/>
  <c r="L27" i="46"/>
  <c r="K27" i="46"/>
  <c r="L28" i="46"/>
  <c r="K28" i="46"/>
  <c r="L30" i="46"/>
  <c r="K30" i="46"/>
  <c r="L31" i="46"/>
  <c r="K31" i="46"/>
  <c r="K33" i="46"/>
  <c r="L33" i="46"/>
  <c r="L36" i="46"/>
  <c r="K36" i="46"/>
  <c r="L39" i="46"/>
  <c r="K39" i="46"/>
  <c r="L42" i="46"/>
  <c r="K42" i="46"/>
  <c r="L15" i="46"/>
  <c r="K15" i="46"/>
  <c r="AT130" i="12"/>
  <c r="AT261" i="12"/>
  <c r="BP37" i="46"/>
  <c r="C17" i="46"/>
  <c r="D17" i="46"/>
  <c r="C18" i="46"/>
  <c r="D18" i="46"/>
  <c r="D19" i="46"/>
  <c r="C19" i="46"/>
  <c r="D27" i="46"/>
  <c r="C27" i="46"/>
  <c r="C28" i="46"/>
  <c r="D28" i="46"/>
  <c r="D30" i="46"/>
  <c r="C30" i="46"/>
  <c r="D31" i="46"/>
  <c r="C31" i="46"/>
  <c r="C33" i="46"/>
  <c r="D33" i="46"/>
  <c r="D36" i="46"/>
  <c r="C36" i="46"/>
  <c r="D39" i="46"/>
  <c r="C39" i="46"/>
  <c r="D42" i="46"/>
  <c r="C42" i="46"/>
  <c r="M42" i="46"/>
  <c r="D15" i="46"/>
  <c r="C15" i="46"/>
  <c r="AZ4" i="12"/>
  <c r="AY4" i="12" s="1"/>
  <c r="AT92" i="12"/>
  <c r="BP22" i="46"/>
  <c r="BQ22" i="46"/>
  <c r="AT110" i="12"/>
  <c r="BQ29" i="46"/>
  <c r="AT298" i="12"/>
  <c r="AT93" i="12"/>
  <c r="AT153" i="12"/>
  <c r="E25" i="46"/>
  <c r="E32" i="46"/>
  <c r="E34" i="46"/>
  <c r="E40" i="46"/>
  <c r="E16" i="46"/>
  <c r="E17" i="46"/>
  <c r="E18" i="46"/>
  <c r="E19" i="46"/>
  <c r="E27" i="46"/>
  <c r="E28" i="46"/>
  <c r="E30" i="46"/>
  <c r="E31" i="46"/>
  <c r="E33" i="46"/>
  <c r="E36" i="46"/>
  <c r="E39" i="46"/>
  <c r="Q231" i="16"/>
  <c r="AT343" i="12" s="1"/>
  <c r="Q15" i="16"/>
  <c r="AT19" i="12" s="1"/>
  <c r="E15" i="46"/>
  <c r="AT154" i="12"/>
  <c r="AT283" i="12"/>
  <c r="AT297" i="12"/>
  <c r="AT299" i="12"/>
  <c r="AT81" i="12"/>
  <c r="BQ25" i="46"/>
  <c r="AT146" i="12"/>
  <c r="F147" i="16"/>
  <c r="F187" i="16"/>
  <c r="K43" i="46"/>
  <c r="L43" i="46"/>
  <c r="F242" i="16"/>
  <c r="Q144" i="16"/>
  <c r="AT212" i="12" s="1"/>
  <c r="Q160" i="16"/>
  <c r="Q184" i="16"/>
  <c r="AT272" i="12" s="1"/>
  <c r="C43" i="46"/>
  <c r="D43" i="46"/>
  <c r="Q16" i="16"/>
  <c r="AT20" i="12" s="1"/>
  <c r="AT103" i="12"/>
  <c r="AT133" i="12"/>
  <c r="AT155" i="12"/>
  <c r="AT190" i="12"/>
  <c r="E43" i="46"/>
  <c r="AT98" i="12"/>
  <c r="AT83" i="12"/>
  <c r="AT224" i="12"/>
  <c r="BP21" i="46"/>
  <c r="BQ26" i="46"/>
  <c r="AT187" i="12"/>
  <c r="AT259" i="12"/>
  <c r="AT194" i="12"/>
  <c r="AT336" i="12"/>
  <c r="AT84" i="12"/>
  <c r="BQ35" i="46"/>
  <c r="AT286" i="12"/>
  <c r="AT333" i="12"/>
  <c r="BP20" i="46"/>
  <c r="AT158" i="12"/>
  <c r="BP41" i="46"/>
  <c r="BP24" i="46"/>
  <c r="BP29" i="46"/>
  <c r="AT262" i="12"/>
  <c r="AT300" i="12"/>
  <c r="AT337" i="12"/>
  <c r="AT143" i="12"/>
  <c r="AT94" i="12"/>
  <c r="AT290" i="12"/>
  <c r="AT80" i="12"/>
  <c r="AT120" i="12"/>
  <c r="BP25" i="46"/>
  <c r="BQ20" i="46"/>
  <c r="BP23" i="46"/>
  <c r="AT34" i="12"/>
  <c r="AT73" i="12"/>
  <c r="AT68" i="12"/>
  <c r="AT227" i="12"/>
  <c r="F251" i="12"/>
  <c r="AT49" i="12"/>
  <c r="BQ23" i="46"/>
  <c r="AT249" i="12"/>
  <c r="AT38" i="12"/>
  <c r="AT140" i="12"/>
  <c r="BP32" i="46"/>
  <c r="AT251" i="12"/>
  <c r="AT145" i="12"/>
  <c r="AT225" i="12"/>
  <c r="AT228" i="12"/>
  <c r="AT324" i="12"/>
  <c r="AT35" i="12"/>
  <c r="BP34" i="46"/>
  <c r="AT55" i="12"/>
  <c r="AT326" i="12"/>
  <c r="AT168" i="12"/>
  <c r="AT67" i="12"/>
  <c r="AT167" i="12"/>
  <c r="BP16" i="46"/>
  <c r="AT70" i="12"/>
  <c r="AT250" i="12"/>
  <c r="BQ32" i="46"/>
  <c r="BQ34" i="46"/>
  <c r="AT322" i="12"/>
  <c r="AT43" i="12"/>
  <c r="AT163" i="12"/>
  <c r="BP28" i="46"/>
  <c r="AT170" i="12"/>
  <c r="AT310" i="12"/>
  <c r="AT175" i="12"/>
  <c r="AT178" i="12"/>
  <c r="BQ18" i="46"/>
  <c r="AT71" i="12"/>
  <c r="AT206" i="12"/>
  <c r="AT271" i="12"/>
  <c r="AT59" i="12"/>
  <c r="AT179" i="12"/>
  <c r="BP30" i="46"/>
  <c r="BQ28" i="46"/>
  <c r="AT204" i="12"/>
  <c r="BQ30" i="46"/>
  <c r="AT237" i="12"/>
  <c r="AT211" i="12"/>
  <c r="AT213" i="12"/>
  <c r="BP33" i="46"/>
  <c r="AT215" i="12"/>
  <c r="AT236" i="12"/>
  <c r="BQ33" i="46"/>
  <c r="AT241" i="12"/>
  <c r="AP241" i="12"/>
  <c r="BQ42" i="46"/>
  <c r="AT21" i="12"/>
  <c r="H38" i="6"/>
  <c r="H41" i="6"/>
  <c r="BP39" i="46"/>
  <c r="AT309" i="12"/>
  <c r="H61" i="6"/>
  <c r="H49" i="6"/>
  <c r="BQ36" i="46"/>
  <c r="AR17" i="12"/>
  <c r="H35" i="6"/>
  <c r="AT307" i="12"/>
  <c r="AT350" i="12"/>
  <c r="H55" i="6"/>
  <c r="BQ31" i="46"/>
  <c r="AT216" i="12"/>
  <c r="AT346" i="12"/>
  <c r="J17" i="12"/>
  <c r="H24" i="6"/>
  <c r="AT214" i="12"/>
  <c r="AT273" i="12"/>
  <c r="AT276" i="12"/>
  <c r="J19" i="12"/>
  <c r="J20" i="12"/>
  <c r="H67" i="6"/>
  <c r="H47" i="6"/>
  <c r="AP25" i="12"/>
  <c r="AT25" i="12"/>
  <c r="H65" i="6"/>
  <c r="M65" i="6" s="1"/>
  <c r="H68" i="6"/>
  <c r="H51" i="6"/>
  <c r="H71" i="6"/>
  <c r="H73" i="6"/>
  <c r="AT314" i="12"/>
  <c r="H69" i="6"/>
  <c r="H31" i="6"/>
  <c r="H57" i="6"/>
  <c r="AT313" i="12"/>
  <c r="H27" i="6"/>
  <c r="H17" i="6"/>
  <c r="H48" i="6"/>
  <c r="BP15" i="46"/>
  <c r="H29" i="6"/>
  <c r="H37" i="6"/>
  <c r="H19" i="6"/>
  <c r="H23" i="6"/>
  <c r="H72" i="6"/>
  <c r="AT308" i="12"/>
  <c r="F357" i="12"/>
  <c r="H43" i="6"/>
  <c r="H32" i="6"/>
  <c r="H39" i="6"/>
  <c r="H30" i="6"/>
  <c r="H56" i="6"/>
  <c r="H70" i="6"/>
  <c r="H50" i="6"/>
  <c r="H20" i="6"/>
  <c r="H42" i="6"/>
  <c r="H58" i="6"/>
  <c r="H16" i="6"/>
  <c r="AS26" i="12"/>
  <c r="H15" i="6"/>
  <c r="AT361" i="12"/>
  <c r="AT22" i="12"/>
  <c r="K26" i="12"/>
  <c r="H33" i="6"/>
  <c r="H59" i="6"/>
  <c r="H25" i="6"/>
  <c r="H53" i="6"/>
  <c r="H21" i="6"/>
  <c r="H45" i="6"/>
  <c r="H63" i="6"/>
  <c r="H4" i="15"/>
  <c r="G4" i="15" s="1"/>
  <c r="Q100" i="14"/>
  <c r="P100" i="14"/>
  <c r="R122" i="14"/>
  <c r="P175" i="14"/>
  <c r="O175" i="14"/>
  <c r="M224" i="14"/>
  <c r="Q224" i="14" s="1"/>
  <c r="R326" i="14"/>
  <c r="Q333" i="14"/>
  <c r="P333" i="14"/>
  <c r="P396" i="14"/>
  <c r="O396" i="14"/>
  <c r="Q396" i="14"/>
  <c r="R101" i="14"/>
  <c r="O100" i="14"/>
  <c r="R146" i="14"/>
  <c r="S146" i="14" s="1"/>
  <c r="P147" i="14"/>
  <c r="O147" i="14"/>
  <c r="P173" i="14"/>
  <c r="O173" i="14"/>
  <c r="Q175" i="14"/>
  <c r="Q299" i="14"/>
  <c r="P299" i="14"/>
  <c r="O299" i="14"/>
  <c r="R332" i="14"/>
  <c r="O333" i="14"/>
  <c r="M400" i="14"/>
  <c r="Q400" i="14" s="1"/>
  <c r="M381" i="14"/>
  <c r="Q381" i="14" s="1"/>
  <c r="M385" i="14"/>
  <c r="Q385" i="14" s="1"/>
  <c r="Q112" i="14"/>
  <c r="P112" i="14"/>
  <c r="R99" i="14"/>
  <c r="Q173" i="14"/>
  <c r="M365" i="14"/>
  <c r="Q365" i="14" s="1"/>
  <c r="M31" i="14"/>
  <c r="Q31" i="14"/>
  <c r="Q30" i="14"/>
  <c r="P30" i="14"/>
  <c r="O112" i="14"/>
  <c r="O117" i="14"/>
  <c r="Q117" i="14"/>
  <c r="P117" i="14"/>
  <c r="R152" i="14"/>
  <c r="S152" i="14" s="1"/>
  <c r="P153" i="14"/>
  <c r="O153" i="14"/>
  <c r="R142" i="14"/>
  <c r="R182" i="14"/>
  <c r="Q324" i="14"/>
  <c r="P324" i="14"/>
  <c r="M341" i="14"/>
  <c r="Q341" i="14" s="1"/>
  <c r="Q346" i="14"/>
  <c r="P346" i="14"/>
  <c r="P166" i="14"/>
  <c r="O166" i="14"/>
  <c r="R293" i="14"/>
  <c r="O30" i="14"/>
  <c r="M102" i="14"/>
  <c r="Q102" i="14" s="1"/>
  <c r="O119" i="14"/>
  <c r="Q119" i="14"/>
  <c r="P119" i="14"/>
  <c r="M121" i="14"/>
  <c r="Q121" i="14" s="1"/>
  <c r="M124" i="14"/>
  <c r="Q124" i="14" s="1"/>
  <c r="Q153" i="14"/>
  <c r="R172" i="14"/>
  <c r="R180" i="14"/>
  <c r="M331" i="14"/>
  <c r="Q331" i="14" s="1"/>
  <c r="O324" i="14"/>
  <c r="O346" i="14"/>
  <c r="Q90" i="14"/>
  <c r="P90" i="14"/>
  <c r="Q93" i="14"/>
  <c r="R93" i="14"/>
  <c r="Q160" i="14"/>
  <c r="P160" i="14"/>
  <c r="Q166" i="14"/>
  <c r="M155" i="14"/>
  <c r="Q155" i="14" s="1"/>
  <c r="R103" i="14"/>
  <c r="S103" i="14" s="1"/>
  <c r="M406" i="14"/>
  <c r="Q406" i="14" s="1"/>
  <c r="O105" i="14"/>
  <c r="P105" i="14"/>
  <c r="Q105" i="14"/>
  <c r="N4" i="14"/>
  <c r="O115" i="14"/>
  <c r="Q115" i="14"/>
  <c r="P115" i="14"/>
  <c r="P151" i="14"/>
  <c r="O151" i="14"/>
  <c r="R220" i="14"/>
  <c r="R323" i="14"/>
  <c r="M118" i="14"/>
  <c r="Q118" i="14" s="1"/>
  <c r="Q151" i="14"/>
  <c r="R158" i="14"/>
  <c r="P158" i="14"/>
  <c r="O158" i="14"/>
  <c r="R159" i="14"/>
  <c r="Q120" i="14"/>
  <c r="P120" i="14"/>
  <c r="O123" i="14"/>
  <c r="Q123" i="14"/>
  <c r="R174" i="14"/>
  <c r="R298" i="14"/>
  <c r="S298" i="14" s="1"/>
  <c r="Q303" i="14"/>
  <c r="P303" i="14"/>
  <c r="Q284" i="14"/>
  <c r="P284" i="14"/>
  <c r="O284" i="14"/>
  <c r="P204" i="14"/>
  <c r="Q204" i="14"/>
  <c r="O204" i="14"/>
  <c r="R207" i="14"/>
  <c r="R116" i="14"/>
  <c r="O120" i="14"/>
  <c r="P123" i="14"/>
  <c r="O218" i="14"/>
  <c r="Q218" i="14"/>
  <c r="P218" i="14"/>
  <c r="O303" i="14"/>
  <c r="R308" i="14"/>
  <c r="S308" i="14" s="1"/>
  <c r="Q327" i="14"/>
  <c r="P327" i="14"/>
  <c r="O327" i="14"/>
  <c r="R343" i="14"/>
  <c r="R337" i="14"/>
  <c r="S337" i="14" s="1"/>
  <c r="M378" i="14"/>
  <c r="Q378" i="14" s="1"/>
  <c r="P88" i="14"/>
  <c r="O88" i="14"/>
  <c r="R89" i="14"/>
  <c r="R133" i="14"/>
  <c r="R157" i="14"/>
  <c r="R287" i="14"/>
  <c r="T287" i="14" s="1"/>
  <c r="P79" i="14"/>
  <c r="O79" i="14"/>
  <c r="Q79" i="14"/>
  <c r="M71" i="14"/>
  <c r="Q71" i="14" s="1"/>
  <c r="P206" i="14"/>
  <c r="Q206" i="14"/>
  <c r="O206" i="14"/>
  <c r="M28" i="14"/>
  <c r="Q28" i="14" s="1"/>
  <c r="O101" i="14"/>
  <c r="P102" i="14"/>
  <c r="O102" i="14"/>
  <c r="R125" i="14"/>
  <c r="O125" i="14"/>
  <c r="M126" i="14"/>
  <c r="Q126" i="14" s="1"/>
  <c r="M144" i="14"/>
  <c r="Q144" i="14" s="1"/>
  <c r="R176" i="14"/>
  <c r="M216" i="14"/>
  <c r="Q216" i="14" s="1"/>
  <c r="Q297" i="14"/>
  <c r="Q300" i="14"/>
  <c r="R302" i="14"/>
  <c r="O404" i="14"/>
  <c r="Q404" i="14"/>
  <c r="Q88" i="14"/>
  <c r="M97" i="14"/>
  <c r="Q97" i="14" s="1"/>
  <c r="M37" i="14"/>
  <c r="Q37" i="14" s="1"/>
  <c r="Q42" i="14"/>
  <c r="O42" i="14"/>
  <c r="P42" i="14"/>
  <c r="R73" i="14"/>
  <c r="P101" i="14"/>
  <c r="Q104" i="14"/>
  <c r="P104" i="14"/>
  <c r="R106" i="14"/>
  <c r="O107" i="14"/>
  <c r="Q107" i="14"/>
  <c r="P107" i="14"/>
  <c r="M149" i="14"/>
  <c r="Q149" i="14" s="1"/>
  <c r="R154" i="14"/>
  <c r="S154" i="14" s="1"/>
  <c r="Q181" i="14"/>
  <c r="P181" i="14"/>
  <c r="O181" i="14"/>
  <c r="Q169" i="14"/>
  <c r="P169" i="14"/>
  <c r="O169" i="14"/>
  <c r="Q213" i="14"/>
  <c r="P213" i="14"/>
  <c r="O213" i="14"/>
  <c r="Q221" i="14"/>
  <c r="P221" i="14"/>
  <c r="O221" i="14"/>
  <c r="R212" i="14"/>
  <c r="M307" i="14"/>
  <c r="Q307" i="14" s="1"/>
  <c r="M347" i="14"/>
  <c r="Q347" i="14" s="1"/>
  <c r="R369" i="14"/>
  <c r="M375" i="14"/>
  <c r="Q375" i="14" s="1"/>
  <c r="P404" i="14"/>
  <c r="O104" i="14"/>
  <c r="O106" i="14"/>
  <c r="O109" i="14"/>
  <c r="R143" i="14"/>
  <c r="O143" i="14"/>
  <c r="M219" i="14"/>
  <c r="Q219" i="14" s="1"/>
  <c r="M304" i="14"/>
  <c r="Q304" i="14" s="1"/>
  <c r="Q296" i="14"/>
  <c r="M328" i="14"/>
  <c r="Q328" i="14" s="1"/>
  <c r="Q371" i="14"/>
  <c r="M401" i="14"/>
  <c r="Q401" i="14" s="1"/>
  <c r="M135" i="14"/>
  <c r="Q135" i="14"/>
  <c r="M55" i="14"/>
  <c r="Q55" i="14" s="1"/>
  <c r="P49" i="14"/>
  <c r="O49" i="14"/>
  <c r="Q49" i="14"/>
  <c r="R69" i="14"/>
  <c r="S69" i="14" s="1"/>
  <c r="R199" i="14"/>
  <c r="R165" i="14"/>
  <c r="S165" i="14" s="1"/>
  <c r="R257" i="14"/>
  <c r="T257" i="14" s="1"/>
  <c r="P258" i="14"/>
  <c r="O258" i="14"/>
  <c r="Q258" i="14"/>
  <c r="M383" i="14"/>
  <c r="Q383" i="14"/>
  <c r="R389" i="14"/>
  <c r="M379" i="14"/>
  <c r="Q379" i="14" s="1"/>
  <c r="M39" i="14"/>
  <c r="Q39" i="14"/>
  <c r="Q192" i="14"/>
  <c r="P192" i="14"/>
  <c r="O192" i="14"/>
  <c r="M247" i="14"/>
  <c r="Q247" i="14" s="1"/>
  <c r="O113" i="14"/>
  <c r="P141" i="14"/>
  <c r="O141" i="14"/>
  <c r="P177" i="14"/>
  <c r="O177" i="14"/>
  <c r="Q215" i="14"/>
  <c r="R306" i="14"/>
  <c r="Q295" i="14"/>
  <c r="Q342" i="14"/>
  <c r="R397" i="14"/>
  <c r="R131" i="14"/>
  <c r="S131" i="14" s="1"/>
  <c r="P132" i="14"/>
  <c r="O132" i="14"/>
  <c r="Q132" i="14"/>
  <c r="R49" i="14"/>
  <c r="P61" i="14"/>
  <c r="O61" i="14"/>
  <c r="Q61" i="14"/>
  <c r="Q190" i="14"/>
  <c r="P190" i="14"/>
  <c r="O190" i="14"/>
  <c r="O110" i="14"/>
  <c r="O118" i="14"/>
  <c r="O121" i="14"/>
  <c r="P113" i="14"/>
  <c r="P149" i="14"/>
  <c r="O149" i="14"/>
  <c r="Q141" i="14"/>
  <c r="Q177" i="14"/>
  <c r="O215" i="14"/>
  <c r="O295" i="14"/>
  <c r="O342" i="14"/>
  <c r="M338" i="14"/>
  <c r="Q338" i="14" s="1"/>
  <c r="R87" i="14"/>
  <c r="Q168" i="14"/>
  <c r="P168" i="14"/>
  <c r="O168" i="14"/>
  <c r="M289" i="14"/>
  <c r="Q289" i="14" s="1"/>
  <c r="P35" i="14"/>
  <c r="O35" i="14"/>
  <c r="Q35" i="14"/>
  <c r="R408" i="14"/>
  <c r="P99" i="14"/>
  <c r="P121" i="14"/>
  <c r="Q113" i="14"/>
  <c r="R145" i="14"/>
  <c r="O145" i="14"/>
  <c r="R171" i="14"/>
  <c r="S171" i="14" s="1"/>
  <c r="P171" i="14"/>
  <c r="O171" i="14"/>
  <c r="R179" i="14"/>
  <c r="P179" i="14"/>
  <c r="O179" i="14"/>
  <c r="P215" i="14"/>
  <c r="Q223" i="14"/>
  <c r="P295" i="14"/>
  <c r="Q334" i="14"/>
  <c r="P342" i="14"/>
  <c r="M348" i="14"/>
  <c r="Q348" i="14"/>
  <c r="Q370" i="14"/>
  <c r="P370" i="14"/>
  <c r="Q399" i="14"/>
  <c r="O399" i="14"/>
  <c r="P399" i="14"/>
  <c r="Q294" i="14"/>
  <c r="P294" i="14"/>
  <c r="R229" i="14"/>
  <c r="R268" i="14"/>
  <c r="R307" i="14"/>
  <c r="R330" i="14"/>
  <c r="Q339" i="14"/>
  <c r="Q340" i="14"/>
  <c r="R373" i="14"/>
  <c r="R374" i="14"/>
  <c r="M393" i="14"/>
  <c r="Q393" i="14" s="1"/>
  <c r="R393" i="14"/>
  <c r="Q91" i="14"/>
  <c r="Q92" i="14"/>
  <c r="R98" i="14"/>
  <c r="S98" i="14" s="1"/>
  <c r="O98" i="14"/>
  <c r="Q134" i="14"/>
  <c r="P134" i="14"/>
  <c r="R260" i="14"/>
  <c r="R283" i="14"/>
  <c r="R286" i="14"/>
  <c r="O286" i="14"/>
  <c r="M387" i="14"/>
  <c r="Q387" i="14" s="1"/>
  <c r="Q44" i="14"/>
  <c r="O44" i="14"/>
  <c r="Q64" i="14"/>
  <c r="P64" i="14"/>
  <c r="O64" i="14"/>
  <c r="Q191" i="14"/>
  <c r="P191" i="14"/>
  <c r="O191" i="14"/>
  <c r="R191" i="14"/>
  <c r="P415" i="14"/>
  <c r="Q415" i="14"/>
  <c r="O415" i="14"/>
  <c r="P216" i="14"/>
  <c r="P224" i="14"/>
  <c r="O297" i="14"/>
  <c r="O307" i="14"/>
  <c r="O331" i="14"/>
  <c r="O340" i="14"/>
  <c r="Q345" i="14"/>
  <c r="R349" i="14"/>
  <c r="P338" i="14"/>
  <c r="O338" i="14"/>
  <c r="O374" i="14"/>
  <c r="Q398" i="14"/>
  <c r="P398" i="14"/>
  <c r="O400" i="14"/>
  <c r="M394" i="14"/>
  <c r="Q394" i="14" s="1"/>
  <c r="O92" i="14"/>
  <c r="R95" i="14"/>
  <c r="P98" i="14"/>
  <c r="O134" i="14"/>
  <c r="M137" i="14"/>
  <c r="Q137" i="14" s="1"/>
  <c r="O260" i="14"/>
  <c r="M265" i="14"/>
  <c r="Q265" i="14" s="1"/>
  <c r="P286" i="14"/>
  <c r="Q36" i="14"/>
  <c r="Q38" i="14"/>
  <c r="P38" i="14"/>
  <c r="Q48" i="14"/>
  <c r="O48" i="14"/>
  <c r="P44" i="14"/>
  <c r="Q188" i="14"/>
  <c r="P188" i="14"/>
  <c r="O188" i="14"/>
  <c r="R426" i="14"/>
  <c r="R301" i="14"/>
  <c r="R325" i="14"/>
  <c r="S325" i="14" s="1"/>
  <c r="R344" i="14"/>
  <c r="R94" i="14"/>
  <c r="M129" i="14"/>
  <c r="Q129" i="14" s="1"/>
  <c r="Q136" i="14"/>
  <c r="P288" i="14"/>
  <c r="O288" i="14"/>
  <c r="Q384" i="14"/>
  <c r="M41" i="14"/>
  <c r="Q41" i="14" s="1"/>
  <c r="Q66" i="14"/>
  <c r="P66" i="14"/>
  <c r="O66" i="14"/>
  <c r="Q185" i="14"/>
  <c r="P185" i="14"/>
  <c r="O185" i="14"/>
  <c r="Q183" i="14"/>
  <c r="P183" i="14"/>
  <c r="O183" i="14"/>
  <c r="P202" i="14"/>
  <c r="Q202" i="14"/>
  <c r="O202" i="14"/>
  <c r="Q205" i="14"/>
  <c r="P205" i="14"/>
  <c r="O205" i="14"/>
  <c r="Q227" i="14"/>
  <c r="P227" i="14"/>
  <c r="O227" i="14"/>
  <c r="M274" i="14"/>
  <c r="Q274" i="14" s="1"/>
  <c r="Q362" i="14"/>
  <c r="P362" i="14"/>
  <c r="O362" i="14"/>
  <c r="P214" i="14"/>
  <c r="P222" i="14"/>
  <c r="R211" i="14"/>
  <c r="O301" i="14"/>
  <c r="R305" i="14"/>
  <c r="O325" i="14"/>
  <c r="R336" i="14"/>
  <c r="T336" i="14" s="1"/>
  <c r="P336" i="14"/>
  <c r="O336" i="14"/>
  <c r="O344" i="14"/>
  <c r="Q368" i="14"/>
  <c r="P368" i="14"/>
  <c r="R372" i="14"/>
  <c r="Q377" i="14"/>
  <c r="O94" i="14"/>
  <c r="M130" i="14"/>
  <c r="Q130" i="14" s="1"/>
  <c r="O136" i="14"/>
  <c r="R139" i="14"/>
  <c r="Q264" i="14"/>
  <c r="P264" i="14"/>
  <c r="Q288" i="14"/>
  <c r="R290" i="14"/>
  <c r="O384" i="14"/>
  <c r="Q392" i="14"/>
  <c r="P392" i="14"/>
  <c r="O392" i="14"/>
  <c r="Q34" i="14"/>
  <c r="P36" i="14"/>
  <c r="P53" i="14"/>
  <c r="O53" i="14"/>
  <c r="R53" i="14"/>
  <c r="S53" i="14" s="1"/>
  <c r="P54" i="14"/>
  <c r="O54" i="14"/>
  <c r="P59" i="14"/>
  <c r="O59" i="14"/>
  <c r="Q59" i="14"/>
  <c r="R63" i="14"/>
  <c r="Q68" i="14"/>
  <c r="P68" i="14"/>
  <c r="O68" i="14"/>
  <c r="Q197" i="14"/>
  <c r="P197" i="14"/>
  <c r="O197" i="14"/>
  <c r="M356" i="14"/>
  <c r="Q356" i="14" s="1"/>
  <c r="R360" i="14"/>
  <c r="P423" i="14"/>
  <c r="Q423" i="14"/>
  <c r="O423" i="14"/>
  <c r="Q427" i="14"/>
  <c r="P427" i="14"/>
  <c r="O427" i="14"/>
  <c r="Q214" i="14"/>
  <c r="Q222" i="14"/>
  <c r="P301" i="14"/>
  <c r="P325" i="14"/>
  <c r="R329" i="14"/>
  <c r="T329" i="14" s="1"/>
  <c r="P344" i="14"/>
  <c r="M403" i="14"/>
  <c r="Q403" i="14" s="1"/>
  <c r="P94" i="14"/>
  <c r="P136" i="14"/>
  <c r="R161" i="14"/>
  <c r="M259" i="14"/>
  <c r="Q259" i="14" s="1"/>
  <c r="O264" i="14"/>
  <c r="M253" i="14"/>
  <c r="Q253" i="14" s="1"/>
  <c r="Q285" i="14"/>
  <c r="O290" i="14"/>
  <c r="M281" i="14"/>
  <c r="Q281" i="14" s="1"/>
  <c r="P384" i="14"/>
  <c r="Q390" i="14"/>
  <c r="O34" i="14"/>
  <c r="M45" i="14"/>
  <c r="Q45" i="14"/>
  <c r="R65" i="14"/>
  <c r="R75" i="14"/>
  <c r="P77" i="14"/>
  <c r="O77" i="14"/>
  <c r="R77" i="14"/>
  <c r="S77" i="14" s="1"/>
  <c r="P208" i="14"/>
  <c r="Q208" i="14"/>
  <c r="O208" i="14"/>
  <c r="P226" i="14"/>
  <c r="O226" i="14"/>
  <c r="Q226" i="14"/>
  <c r="M244" i="14"/>
  <c r="Q244" i="14" s="1"/>
  <c r="M277" i="14"/>
  <c r="Q277" i="14" s="1"/>
  <c r="R350" i="14"/>
  <c r="R366" i="14"/>
  <c r="Q405" i="14"/>
  <c r="Q85" i="14"/>
  <c r="Q127" i="14"/>
  <c r="Q163" i="14"/>
  <c r="Q255" i="14"/>
  <c r="Q261" i="14"/>
  <c r="R254" i="14"/>
  <c r="T254" i="14" s="1"/>
  <c r="Q291" i="14"/>
  <c r="R382" i="14"/>
  <c r="S382" i="14" s="1"/>
  <c r="R391" i="14"/>
  <c r="Q40" i="14"/>
  <c r="P47" i="14"/>
  <c r="O47" i="14"/>
  <c r="Q51" i="14"/>
  <c r="Q52" i="14"/>
  <c r="Q62" i="14"/>
  <c r="P62" i="14"/>
  <c r="Q67" i="14"/>
  <c r="P57" i="14"/>
  <c r="O57" i="14"/>
  <c r="P196" i="14"/>
  <c r="Q196" i="14"/>
  <c r="O196" i="14"/>
  <c r="P238" i="14"/>
  <c r="O238" i="14"/>
  <c r="Q238" i="14"/>
  <c r="R252" i="14"/>
  <c r="T252" i="14" s="1"/>
  <c r="O334" i="14"/>
  <c r="O350" i="14"/>
  <c r="O366" i="14"/>
  <c r="O394" i="14"/>
  <c r="R86" i="14"/>
  <c r="O130" i="14"/>
  <c r="R128" i="14"/>
  <c r="R164" i="14"/>
  <c r="R256" i="14"/>
  <c r="O254" i="14"/>
  <c r="R292" i="14"/>
  <c r="O382" i="14"/>
  <c r="Q386" i="14"/>
  <c r="Q380" i="14"/>
  <c r="O40" i="14"/>
  <c r="P45" i="14"/>
  <c r="O45" i="14"/>
  <c r="Q50" i="14"/>
  <c r="O52" i="14"/>
  <c r="P65" i="14"/>
  <c r="O65" i="14"/>
  <c r="P58" i="14"/>
  <c r="Q74" i="14"/>
  <c r="P74" i="14"/>
  <c r="Q76" i="14"/>
  <c r="P76" i="14"/>
  <c r="Q72" i="14"/>
  <c r="P200" i="14"/>
  <c r="Q200" i="14"/>
  <c r="O200" i="14"/>
  <c r="P198" i="14"/>
  <c r="Q198" i="14"/>
  <c r="O198" i="14"/>
  <c r="P232" i="14"/>
  <c r="O232" i="14"/>
  <c r="Q232" i="14"/>
  <c r="Q319" i="14"/>
  <c r="P353" i="14"/>
  <c r="Q411" i="14"/>
  <c r="P411" i="14"/>
  <c r="O411" i="14"/>
  <c r="R24" i="14"/>
  <c r="S24" i="14" s="1"/>
  <c r="P25" i="14"/>
  <c r="O25" i="14"/>
  <c r="Q25" i="14"/>
  <c r="J4" i="40"/>
  <c r="R402" i="14"/>
  <c r="R96" i="14"/>
  <c r="R140" i="14"/>
  <c r="R162" i="14"/>
  <c r="R156" i="14"/>
  <c r="S156" i="14" s="1"/>
  <c r="R266" i="14"/>
  <c r="T266" i="14" s="1"/>
  <c r="R282" i="14"/>
  <c r="T282" i="14" s="1"/>
  <c r="Q388" i="14"/>
  <c r="Q32" i="14"/>
  <c r="Q46" i="14"/>
  <c r="P43" i="14"/>
  <c r="O43" i="14"/>
  <c r="Q60" i="14"/>
  <c r="P60" i="14"/>
  <c r="P69" i="14"/>
  <c r="O69" i="14"/>
  <c r="Q80" i="14"/>
  <c r="P80" i="14"/>
  <c r="Q82" i="14"/>
  <c r="P82" i="14"/>
  <c r="Q84" i="14"/>
  <c r="P84" i="14"/>
  <c r="P72" i="14"/>
  <c r="R186" i="14"/>
  <c r="O186" i="14"/>
  <c r="R187" i="14"/>
  <c r="P210" i="14"/>
  <c r="Q210" i="14"/>
  <c r="O210" i="14"/>
  <c r="P228" i="14"/>
  <c r="Q228" i="14"/>
  <c r="O228" i="14"/>
  <c r="P230" i="14"/>
  <c r="Q230" i="14"/>
  <c r="P236" i="14"/>
  <c r="O236" i="14"/>
  <c r="Q236" i="14"/>
  <c r="Q317" i="14"/>
  <c r="R317" i="14" s="1"/>
  <c r="P319" i="14"/>
  <c r="Q353" i="14"/>
  <c r="Q355" i="14"/>
  <c r="P355" i="14"/>
  <c r="O355" i="14"/>
  <c r="P433" i="14"/>
  <c r="O433" i="14"/>
  <c r="Q433" i="14"/>
  <c r="P55" i="14"/>
  <c r="O55" i="14"/>
  <c r="P63" i="14"/>
  <c r="O63" i="14"/>
  <c r="Q70" i="14"/>
  <c r="P70" i="14"/>
  <c r="R194" i="14"/>
  <c r="O194" i="14"/>
  <c r="R195" i="14"/>
  <c r="P184" i="14"/>
  <c r="R184" i="14"/>
  <c r="P242" i="14"/>
  <c r="O242" i="14"/>
  <c r="Q242" i="14"/>
  <c r="Q271" i="14"/>
  <c r="R316" i="14"/>
  <c r="S316" i="14" s="1"/>
  <c r="R20" i="14"/>
  <c r="S20" i="14" s="1"/>
  <c r="P51" i="14"/>
  <c r="O51" i="14"/>
  <c r="R43" i="14"/>
  <c r="P67" i="14"/>
  <c r="O67" i="14"/>
  <c r="Q78" i="14"/>
  <c r="P78" i="14"/>
  <c r="Q193" i="14"/>
  <c r="P193" i="14"/>
  <c r="O193" i="14"/>
  <c r="P194" i="14"/>
  <c r="Q201" i="14"/>
  <c r="P201" i="14"/>
  <c r="O201" i="14"/>
  <c r="R203" i="14"/>
  <c r="P234" i="14"/>
  <c r="O234" i="14"/>
  <c r="Q234" i="14"/>
  <c r="P271" i="14"/>
  <c r="R278" i="14"/>
  <c r="P351" i="14"/>
  <c r="Q351" i="14"/>
  <c r="O351" i="14"/>
  <c r="R322" i="14"/>
  <c r="Q419" i="14"/>
  <c r="P419" i="14"/>
  <c r="H4" i="34"/>
  <c r="F4" i="34" s="1"/>
  <c r="R209" i="14"/>
  <c r="R231" i="14"/>
  <c r="R233" i="14"/>
  <c r="R235" i="14"/>
  <c r="R237" i="14"/>
  <c r="R225" i="14"/>
  <c r="Q270" i="14"/>
  <c r="Q314" i="14"/>
  <c r="M364" i="14"/>
  <c r="Q364" i="14" s="1"/>
  <c r="O409" i="14"/>
  <c r="Q409" i="14"/>
  <c r="P409" i="14"/>
  <c r="R413" i="14"/>
  <c r="P413" i="14"/>
  <c r="O413" i="14"/>
  <c r="O419" i="14"/>
  <c r="R425" i="14"/>
  <c r="P425" i="14"/>
  <c r="R430" i="14"/>
  <c r="R434" i="14"/>
  <c r="Q27" i="14"/>
  <c r="P27" i="14"/>
  <c r="Q249" i="14"/>
  <c r="Q279" i="14"/>
  <c r="P422" i="14"/>
  <c r="O422" i="14"/>
  <c r="Q422" i="14"/>
  <c r="M26" i="14"/>
  <c r="Q26" i="14"/>
  <c r="P251" i="14"/>
  <c r="O251" i="14"/>
  <c r="Q251" i="14"/>
  <c r="Q239" i="14"/>
  <c r="P239" i="14"/>
  <c r="P267" i="14"/>
  <c r="O267" i="14"/>
  <c r="Q267" i="14"/>
  <c r="Q311" i="14"/>
  <c r="P311" i="14"/>
  <c r="P361" i="14"/>
  <c r="Q361" i="14"/>
  <c r="P363" i="14"/>
  <c r="O363" i="14"/>
  <c r="Q363" i="14"/>
  <c r="P431" i="14"/>
  <c r="Q431" i="14"/>
  <c r="R21" i="14"/>
  <c r="P21" i="14"/>
  <c r="O239" i="14"/>
  <c r="Q240" i="14"/>
  <c r="Q269" i="14"/>
  <c r="M272" i="14"/>
  <c r="Q272" i="14" s="1"/>
  <c r="O311" i="14"/>
  <c r="Q312" i="14"/>
  <c r="Q313" i="14"/>
  <c r="M320" i="14"/>
  <c r="Q320" i="14" s="1"/>
  <c r="R357" i="14"/>
  <c r="S357" i="14" s="1"/>
  <c r="P357" i="14"/>
  <c r="O357" i="14"/>
  <c r="O361" i="14"/>
  <c r="O352" i="14"/>
  <c r="Q352" i="14"/>
  <c r="P352" i="14"/>
  <c r="O412" i="14"/>
  <c r="P412" i="14"/>
  <c r="Q412" i="14"/>
  <c r="O425" i="14"/>
  <c r="Q429" i="14"/>
  <c r="P429" i="14"/>
  <c r="O429" i="14"/>
  <c r="Q421" i="14"/>
  <c r="P421" i="14"/>
  <c r="O421" i="14"/>
  <c r="O21" i="14"/>
  <c r="M16" i="14"/>
  <c r="Q16" i="14" s="1"/>
  <c r="K4" i="40"/>
  <c r="H4" i="40" s="1"/>
  <c r="R245" i="14"/>
  <c r="S245" i="14" s="1"/>
  <c r="P249" i="14"/>
  <c r="R275" i="14"/>
  <c r="T275" i="14" s="1"/>
  <c r="P279" i="14"/>
  <c r="R321" i="14"/>
  <c r="P309" i="14"/>
  <c r="O358" i="14"/>
  <c r="O432" i="14"/>
  <c r="O245" i="14"/>
  <c r="R273" i="14"/>
  <c r="O275" i="14"/>
  <c r="R315" i="14"/>
  <c r="O315" i="14"/>
  <c r="O321" i="14"/>
  <c r="R354" i="14"/>
  <c r="M22" i="14"/>
  <c r="Q22" i="14"/>
  <c r="P317" i="14"/>
  <c r="R309" i="14"/>
  <c r="Q407" i="14"/>
  <c r="R428" i="14"/>
  <c r="P428" i="14"/>
  <c r="O428" i="14"/>
  <c r="Q432" i="14"/>
  <c r="P432" i="14"/>
  <c r="O249" i="14"/>
  <c r="O279" i="14"/>
  <c r="O317" i="14"/>
  <c r="O309" i="14"/>
  <c r="R359" i="14"/>
  <c r="M414" i="14"/>
  <c r="Q414" i="14" s="1"/>
  <c r="R416" i="14"/>
  <c r="R417" i="14"/>
  <c r="O417" i="14"/>
  <c r="R420" i="14"/>
  <c r="P420" i="14"/>
  <c r="O420" i="14"/>
  <c r="Q424" i="14"/>
  <c r="P424" i="14"/>
  <c r="M18" i="14"/>
  <c r="Q18" i="14" s="1"/>
  <c r="R15" i="14"/>
  <c r="O15" i="14"/>
  <c r="O426" i="14"/>
  <c r="O434" i="14"/>
  <c r="R19" i="14"/>
  <c r="O19" i="14"/>
  <c r="E4" i="34"/>
  <c r="Q23" i="14"/>
  <c r="Y242" i="5" l="1"/>
  <c r="AE256" i="5"/>
  <c r="AE352" i="5"/>
  <c r="Y85" i="5"/>
  <c r="AE283" i="5"/>
  <c r="Y230" i="5"/>
  <c r="Y126" i="5"/>
  <c r="AE184" i="5"/>
  <c r="Y313" i="5"/>
  <c r="I39" i="7"/>
  <c r="AE115" i="5"/>
  <c r="Y232" i="5"/>
  <c r="AE409" i="5"/>
  <c r="AE275" i="5"/>
  <c r="I35" i="7"/>
  <c r="AE94" i="5"/>
  <c r="Y324" i="5"/>
  <c r="Y128" i="5"/>
  <c r="Y80" i="5"/>
  <c r="AB146" i="13"/>
  <c r="Z66" i="13"/>
  <c r="AK66" i="13" s="1"/>
  <c r="AX25" i="46" s="1"/>
  <c r="AN152" i="13"/>
  <c r="BM42" i="46" s="1"/>
  <c r="AL146" i="13"/>
  <c r="BE41" i="46" s="1"/>
  <c r="Y129" i="5"/>
  <c r="AE134" i="5"/>
  <c r="Y367" i="5"/>
  <c r="AE74" i="5"/>
  <c r="AE269" i="5"/>
  <c r="Y351" i="5"/>
  <c r="AE198" i="5"/>
  <c r="AE360" i="5"/>
  <c r="Y297" i="5"/>
  <c r="Y209" i="5"/>
  <c r="AE228" i="5"/>
  <c r="Y45" i="5"/>
  <c r="AE286" i="5"/>
  <c r="AE92" i="5"/>
  <c r="AE245" i="5"/>
  <c r="AE200" i="5"/>
  <c r="AE246" i="5"/>
  <c r="AE394" i="5"/>
  <c r="Y184" i="5"/>
  <c r="AE79" i="5"/>
  <c r="Y205" i="5"/>
  <c r="Y94" i="5"/>
  <c r="AE46" i="5"/>
  <c r="Y227" i="5"/>
  <c r="Y57" i="5"/>
  <c r="G55" i="10"/>
  <c r="Y303" i="5"/>
  <c r="Y151" i="5"/>
  <c r="Y72" i="5"/>
  <c r="AE365" i="5"/>
  <c r="Y402" i="5"/>
  <c r="AB68" i="13"/>
  <c r="AE20" i="46"/>
  <c r="AL51" i="13"/>
  <c r="BE22" i="46" s="1"/>
  <c r="AF26" i="46"/>
  <c r="AN158" i="13"/>
  <c r="BN43" i="46" s="1"/>
  <c r="AF16" i="46"/>
  <c r="AD35" i="46"/>
  <c r="AN51" i="13"/>
  <c r="BL22" i="46" s="1"/>
  <c r="AC22" i="46"/>
  <c r="AB51" i="13"/>
  <c r="AN125" i="13"/>
  <c r="BK37" i="46" s="1"/>
  <c r="AD29" i="46"/>
  <c r="AE22" i="46"/>
  <c r="AC34" i="46"/>
  <c r="AF42" i="46"/>
  <c r="AY31" i="46"/>
  <c r="AZ29" i="46"/>
  <c r="AD31" i="46"/>
  <c r="AN97" i="13"/>
  <c r="BM31" i="46" s="1"/>
  <c r="AN88" i="13"/>
  <c r="BN29" i="46" s="1"/>
  <c r="AE29" i="46"/>
  <c r="AD26" i="46"/>
  <c r="AL57" i="13"/>
  <c r="BF23" i="46" s="1"/>
  <c r="AL81" i="13"/>
  <c r="BE28" i="46" s="1"/>
  <c r="AE21" i="46"/>
  <c r="AW37" i="46"/>
  <c r="AD16" i="46"/>
  <c r="AX28" i="46"/>
  <c r="AB118" i="13"/>
  <c r="AD118" i="13" s="1"/>
  <c r="AB81" i="13"/>
  <c r="AJ28" i="46" s="1"/>
  <c r="AB88" i="13"/>
  <c r="AD88" i="13" s="1"/>
  <c r="AF88" i="13" s="1"/>
  <c r="AS29" i="46" s="1"/>
  <c r="AY26" i="46"/>
  <c r="AF37" i="46"/>
  <c r="AW34" i="46"/>
  <c r="AD27" i="46"/>
  <c r="AB48" i="13"/>
  <c r="AD48" i="13" s="1"/>
  <c r="AL21" i="46" s="1"/>
  <c r="AL129" i="13"/>
  <c r="BH37" i="46" s="1"/>
  <c r="AC28" i="46"/>
  <c r="AB27" i="46"/>
  <c r="AB129" i="13"/>
  <c r="AD129" i="13" s="1"/>
  <c r="AM37" i="46" s="1"/>
  <c r="AB97" i="13"/>
  <c r="AD97" i="13" s="1"/>
  <c r="AK31" i="46" s="1"/>
  <c r="AD109" i="13"/>
  <c r="AF109" i="13" s="1"/>
  <c r="AT33" i="46" s="1"/>
  <c r="AD36" i="13"/>
  <c r="AF36" i="13" s="1"/>
  <c r="AQ19" i="46" s="1"/>
  <c r="AD32" i="13"/>
  <c r="AK18" i="46" s="1"/>
  <c r="AD157" i="13"/>
  <c r="AF157" i="13" s="1"/>
  <c r="AR43" i="46" s="1"/>
  <c r="AD122" i="13"/>
  <c r="AK36" i="46" s="1"/>
  <c r="AB34" i="46"/>
  <c r="AB39" i="46"/>
  <c r="AD154" i="13"/>
  <c r="AM42" i="46" s="1"/>
  <c r="AD22" i="13"/>
  <c r="AK16" i="46" s="1"/>
  <c r="AD116" i="13"/>
  <c r="AJ35" i="46" s="1"/>
  <c r="AD93" i="13"/>
  <c r="AF93" i="13" s="1"/>
  <c r="AS30" i="46" s="1"/>
  <c r="AB110" i="13"/>
  <c r="AM32" i="46"/>
  <c r="AD68" i="13"/>
  <c r="AF68" i="13" s="1"/>
  <c r="AS25" i="46" s="1"/>
  <c r="AD31" i="13"/>
  <c r="AF31" i="13" s="1"/>
  <c r="AQ18" i="46" s="1"/>
  <c r="AD137" i="13"/>
  <c r="AK39" i="46" s="1"/>
  <c r="AD28" i="13"/>
  <c r="AF28" i="13" s="1"/>
  <c r="AS17" i="46" s="1"/>
  <c r="AN57" i="13"/>
  <c r="BM23" i="46" s="1"/>
  <c r="AD125" i="13"/>
  <c r="AI37" i="46" s="1"/>
  <c r="AD131" i="13"/>
  <c r="AJ38" i="46" s="1"/>
  <c r="AD23" i="46"/>
  <c r="AF36" i="46"/>
  <c r="AF39" i="46"/>
  <c r="AW39" i="46"/>
  <c r="BA39" i="46"/>
  <c r="AD150" i="13"/>
  <c r="AF150" i="13" s="1"/>
  <c r="AP42" i="46" s="1"/>
  <c r="AD111" i="13"/>
  <c r="AJ34" i="46" s="1"/>
  <c r="AD128" i="13"/>
  <c r="AL37" i="46" s="1"/>
  <c r="AL139" i="13"/>
  <c r="BH39" i="46" s="1"/>
  <c r="AL110" i="13"/>
  <c r="BD34" i="46" s="1"/>
  <c r="AL72" i="13"/>
  <c r="BF26" i="46" s="1"/>
  <c r="AD79" i="13"/>
  <c r="AF79" i="13" s="1"/>
  <c r="AT27" i="46" s="1"/>
  <c r="AB40" i="13"/>
  <c r="AD151" i="13"/>
  <c r="AF151" i="13" s="1"/>
  <c r="AQ42" i="46" s="1"/>
  <c r="AD136" i="13"/>
  <c r="AJ39" i="46" s="1"/>
  <c r="AD103" i="13"/>
  <c r="AL32" i="46" s="1"/>
  <c r="AD146" i="13"/>
  <c r="AJ41" i="46" s="1"/>
  <c r="AB72" i="13"/>
  <c r="AD159" i="13"/>
  <c r="AM43" i="46" s="1"/>
  <c r="AD147" i="13"/>
  <c r="AF147" i="13" s="1"/>
  <c r="AR41" i="46" s="1"/>
  <c r="AN101" i="13"/>
  <c r="BL32" i="46" s="1"/>
  <c r="AD113" i="13"/>
  <c r="AL34" i="46" s="1"/>
  <c r="AE43" i="46"/>
  <c r="AY42" i="46"/>
  <c r="AD77" i="13"/>
  <c r="AF77" i="13" s="1"/>
  <c r="AR27" i="46" s="1"/>
  <c r="AD67" i="13"/>
  <c r="AK25" i="46" s="1"/>
  <c r="AD33" i="13"/>
  <c r="AL18" i="46" s="1"/>
  <c r="AD65" i="13"/>
  <c r="AI25" i="46" s="1"/>
  <c r="AD64" i="13"/>
  <c r="AF64" i="13" s="1"/>
  <c r="AT24" i="46" s="1"/>
  <c r="AD78" i="13"/>
  <c r="AL27" i="46" s="1"/>
  <c r="AD69" i="13"/>
  <c r="AM25" i="46" s="1"/>
  <c r="AD124" i="13"/>
  <c r="AM36" i="46" s="1"/>
  <c r="AD100" i="13"/>
  <c r="AI32" i="46" s="1"/>
  <c r="AB16" i="13"/>
  <c r="AZ43" i="46"/>
  <c r="AD39" i="13"/>
  <c r="AM19" i="46" s="1"/>
  <c r="AD59" i="13"/>
  <c r="AF59" i="13" s="1"/>
  <c r="AT23" i="46" s="1"/>
  <c r="AD51" i="13"/>
  <c r="AJ22" i="46" s="1"/>
  <c r="AB32" i="46"/>
  <c r="AD32" i="46"/>
  <c r="AD39" i="46"/>
  <c r="AD18" i="46"/>
  <c r="AD35" i="13"/>
  <c r="AI19" i="46" s="1"/>
  <c r="AD148" i="13"/>
  <c r="AF148" i="13" s="1"/>
  <c r="AS41" i="46" s="1"/>
  <c r="AB158" i="13"/>
  <c r="AB152" i="13"/>
  <c r="AB139" i="13"/>
  <c r="AD20" i="13"/>
  <c r="AF20" i="13" s="1"/>
  <c r="AP16" i="46" s="1"/>
  <c r="AD89" i="13"/>
  <c r="AF89" i="13" s="1"/>
  <c r="AT29" i="46" s="1"/>
  <c r="AD66" i="13"/>
  <c r="AF66" i="13" s="1"/>
  <c r="AQ25" i="46" s="1"/>
  <c r="R146" i="8"/>
  <c r="T146" i="8"/>
  <c r="V146" i="8"/>
  <c r="J146" i="12"/>
  <c r="AE58" i="10"/>
  <c r="S316" i="8"/>
  <c r="P260" i="8"/>
  <c r="Q260" i="8" s="1"/>
  <c r="AR260" i="12" s="1"/>
  <c r="P291" i="8"/>
  <c r="AZ65" i="7"/>
  <c r="AX21" i="5"/>
  <c r="AZ21" i="5"/>
  <c r="AK120" i="13"/>
  <c r="AW36" i="46" s="1"/>
  <c r="AB36" i="46"/>
  <c r="AF41" i="13"/>
  <c r="AQ20" i="46" s="1"/>
  <c r="AJ20" i="46"/>
  <c r="AB30" i="46"/>
  <c r="AB134" i="13"/>
  <c r="AD134" i="13" s="1"/>
  <c r="AL101" i="13"/>
  <c r="BE32" i="46" s="1"/>
  <c r="AE32" i="46"/>
  <c r="BA18" i="46"/>
  <c r="AB132" i="13"/>
  <c r="AD132" i="13" s="1"/>
  <c r="AL132" i="13"/>
  <c r="BF38" i="46" s="1"/>
  <c r="AW30" i="46"/>
  <c r="AB90" i="13"/>
  <c r="AD90" i="13" s="1"/>
  <c r="AF38" i="46"/>
  <c r="AD38" i="46"/>
  <c r="AE39" i="46"/>
  <c r="AL90" i="13"/>
  <c r="BD30" i="46" s="1"/>
  <c r="AB37" i="13"/>
  <c r="AD37" i="13" s="1"/>
  <c r="AC20" i="46"/>
  <c r="AC32" i="46"/>
  <c r="AD28" i="46"/>
  <c r="Z18" i="13"/>
  <c r="AK18" i="13" s="1"/>
  <c r="AZ15" i="46" s="1"/>
  <c r="AB120" i="13"/>
  <c r="AD120" i="13" s="1"/>
  <c r="AB74" i="13"/>
  <c r="AD74" i="13" s="1"/>
  <c r="AE16" i="46"/>
  <c r="AB33" i="46"/>
  <c r="AK99" i="13"/>
  <c r="BA31" i="46" s="1"/>
  <c r="AL44" i="13"/>
  <c r="BH20" i="46" s="1"/>
  <c r="AW20" i="46"/>
  <c r="AZ16" i="46"/>
  <c r="AB42" i="46"/>
  <c r="AN44" i="13"/>
  <c r="BO20" i="46" s="1"/>
  <c r="AL34" i="13"/>
  <c r="BH18" i="46" s="1"/>
  <c r="AB44" i="13"/>
  <c r="AD44" i="13" s="1"/>
  <c r="AD22" i="46"/>
  <c r="AB29" i="46"/>
  <c r="AF20" i="46"/>
  <c r="AC37" i="46"/>
  <c r="X15" i="46"/>
  <c r="AL40" i="13"/>
  <c r="BD20" i="46" s="1"/>
  <c r="AB34" i="13"/>
  <c r="AD34" i="13" s="1"/>
  <c r="AC31" i="46"/>
  <c r="AL23" i="13"/>
  <c r="BG16" i="46" s="1"/>
  <c r="AB26" i="46"/>
  <c r="AC25" i="46"/>
  <c r="AF18" i="46"/>
  <c r="AF19" i="46"/>
  <c r="AB99" i="13"/>
  <c r="AB53" i="13"/>
  <c r="AB94" i="13"/>
  <c r="AD94" i="13" s="1"/>
  <c r="AZ19" i="7"/>
  <c r="V25" i="8"/>
  <c r="T25" i="8"/>
  <c r="J25" i="12"/>
  <c r="R102" i="14"/>
  <c r="T102" i="14" s="1"/>
  <c r="S102" i="14"/>
  <c r="R29" i="14"/>
  <c r="S29" i="14"/>
  <c r="T29" i="14"/>
  <c r="S133" i="14"/>
  <c r="T133" i="14"/>
  <c r="R17" i="14"/>
  <c r="S17" i="14" s="1"/>
  <c r="S343" i="14"/>
  <c r="T343" i="14"/>
  <c r="S99" i="14"/>
  <c r="T99" i="14"/>
  <c r="S372" i="14"/>
  <c r="T372" i="14"/>
  <c r="T147" i="14"/>
  <c r="R81" i="14"/>
  <c r="T81" i="14" s="1"/>
  <c r="S81" i="14"/>
  <c r="S286" i="14"/>
  <c r="T286" i="14"/>
  <c r="S366" i="14"/>
  <c r="T366" i="14"/>
  <c r="S143" i="14"/>
  <c r="T143" i="14"/>
  <c r="S266" i="14"/>
  <c r="T69" i="14"/>
  <c r="T298" i="14"/>
  <c r="S254" i="14"/>
  <c r="T308" i="14"/>
  <c r="R208" i="14"/>
  <c r="T208" i="14" s="1"/>
  <c r="R141" i="14"/>
  <c r="S141" i="14" s="1"/>
  <c r="R271" i="14"/>
  <c r="T271" i="14" s="1"/>
  <c r="S271" i="14"/>
  <c r="R74" i="14"/>
  <c r="S74" i="14"/>
  <c r="T74" i="14"/>
  <c r="R197" i="14"/>
  <c r="T197" i="14" s="1"/>
  <c r="S197" i="14"/>
  <c r="R265" i="14"/>
  <c r="S265" i="14" s="1"/>
  <c r="R399" i="14"/>
  <c r="T399" i="14" s="1"/>
  <c r="S399" i="14"/>
  <c r="S140" i="14"/>
  <c r="T140" i="14"/>
  <c r="S420" i="14"/>
  <c r="T420" i="14" s="1"/>
  <c r="S332" i="14"/>
  <c r="T332" i="14"/>
  <c r="S302" i="14"/>
  <c r="T302" i="14"/>
  <c r="R138" i="14"/>
  <c r="T138" i="14" s="1"/>
  <c r="S138" i="14"/>
  <c r="R83" i="14"/>
  <c r="S83" i="14"/>
  <c r="T83" i="14"/>
  <c r="S350" i="14"/>
  <c r="T350" i="14"/>
  <c r="R358" i="14"/>
  <c r="S358" i="14"/>
  <c r="T358" i="14" s="1"/>
  <c r="S237" i="14"/>
  <c r="T237" i="14" s="1"/>
  <c r="S75" i="14"/>
  <c r="T75" i="14"/>
  <c r="S108" i="14"/>
  <c r="T108" i="14"/>
  <c r="T20" i="14"/>
  <c r="T98" i="14"/>
  <c r="R267" i="14"/>
  <c r="S267" i="14" s="1"/>
  <c r="R238" i="14"/>
  <c r="S238" i="14" s="1"/>
  <c r="S222" i="14"/>
  <c r="S135" i="14"/>
  <c r="S139" i="14"/>
  <c r="T139" i="14"/>
  <c r="S161" i="14"/>
  <c r="T161" i="14"/>
  <c r="T417" i="14"/>
  <c r="S417" i="14"/>
  <c r="S413" i="14"/>
  <c r="T413" i="14"/>
  <c r="S374" i="14"/>
  <c r="T374" i="14"/>
  <c r="R178" i="14"/>
  <c r="S178" i="14" s="1"/>
  <c r="S182" i="14"/>
  <c r="T182" i="14" s="1"/>
  <c r="S425" i="14"/>
  <c r="T425" i="14"/>
  <c r="S235" i="14"/>
  <c r="T235" i="14"/>
  <c r="S203" i="14"/>
  <c r="T203" i="14"/>
  <c r="S389" i="14"/>
  <c r="T389" i="14"/>
  <c r="S164" i="14"/>
  <c r="T164" i="14"/>
  <c r="S257" i="14"/>
  <c r="T316" i="14"/>
  <c r="T337" i="14"/>
  <c r="T103" i="14"/>
  <c r="S240" i="14"/>
  <c r="S268" i="14"/>
  <c r="T268" i="14"/>
  <c r="S322" i="14"/>
  <c r="T322" i="14"/>
  <c r="S326" i="14"/>
  <c r="T326" i="14"/>
  <c r="S176" i="14"/>
  <c r="T176" i="14"/>
  <c r="S402" i="14"/>
  <c r="T402" i="14"/>
  <c r="S15" i="14"/>
  <c r="T15" i="14"/>
  <c r="S21" i="14"/>
  <c r="T21" i="14"/>
  <c r="S360" i="14"/>
  <c r="T360" i="14" s="1"/>
  <c r="S309" i="14"/>
  <c r="T309" i="14"/>
  <c r="S73" i="14"/>
  <c r="T73" i="14"/>
  <c r="T94" i="14"/>
  <c r="S94" i="14"/>
  <c r="S212" i="14"/>
  <c r="T212" i="14"/>
  <c r="T53" i="14"/>
  <c r="S275" i="14"/>
  <c r="R163" i="14"/>
  <c r="S163" i="14" s="1"/>
  <c r="R44" i="14"/>
  <c r="T44" i="14" s="1"/>
  <c r="S44" i="14"/>
  <c r="R227" i="14"/>
  <c r="S227" i="14"/>
  <c r="T227" i="14"/>
  <c r="S18" i="14"/>
  <c r="R51" i="14"/>
  <c r="S51" i="14"/>
  <c r="T51" i="14"/>
  <c r="R285" i="14"/>
  <c r="S285" i="14"/>
  <c r="T285" i="14"/>
  <c r="T23" i="14"/>
  <c r="R405" i="14"/>
  <c r="S405" i="14"/>
  <c r="T405" i="14"/>
  <c r="R253" i="14"/>
  <c r="T253" i="14" s="1"/>
  <c r="S253" i="14"/>
  <c r="T214" i="14"/>
  <c r="R132" i="14"/>
  <c r="S132" i="14"/>
  <c r="T132" i="14"/>
  <c r="S258" i="14"/>
  <c r="R218" i="14"/>
  <c r="S218" i="14"/>
  <c r="T218" i="14"/>
  <c r="R151" i="14"/>
  <c r="S151" i="14" s="1"/>
  <c r="R431" i="14"/>
  <c r="S431" i="14" s="1"/>
  <c r="T431" i="14"/>
  <c r="T25" i="14"/>
  <c r="T340" i="14"/>
  <c r="T370" i="14"/>
  <c r="R401" i="14"/>
  <c r="T401" i="14" s="1"/>
  <c r="S401" i="14"/>
  <c r="R104" i="14"/>
  <c r="S104" i="14"/>
  <c r="T104" i="14"/>
  <c r="S300" i="14"/>
  <c r="T28" i="14"/>
  <c r="S112" i="14"/>
  <c r="R279" i="14"/>
  <c r="T279" i="14" s="1"/>
  <c r="S279" i="14"/>
  <c r="R78" i="14"/>
  <c r="S78" i="14" s="1"/>
  <c r="S433" i="14"/>
  <c r="T433" i="14" s="1"/>
  <c r="R230" i="14"/>
  <c r="S230" i="14"/>
  <c r="T230" i="14" s="1"/>
  <c r="R46" i="14"/>
  <c r="S46" i="14" s="1"/>
  <c r="R198" i="14"/>
  <c r="S198" i="14"/>
  <c r="T198" i="14" s="1"/>
  <c r="R40" i="14"/>
  <c r="S40" i="14" s="1"/>
  <c r="R68" i="14"/>
  <c r="S68" i="14" s="1"/>
  <c r="T339" i="14"/>
  <c r="R348" i="14"/>
  <c r="T348" i="14"/>
  <c r="S348" i="14"/>
  <c r="R371" i="14"/>
  <c r="S371" i="14" s="1"/>
  <c r="R117" i="14"/>
  <c r="S117" i="14" s="1"/>
  <c r="R385" i="14"/>
  <c r="T385" i="14" s="1"/>
  <c r="R429" i="14"/>
  <c r="S429" i="14" s="1"/>
  <c r="S251" i="14"/>
  <c r="R32" i="14"/>
  <c r="S32" i="14"/>
  <c r="T32" i="14"/>
  <c r="S277" i="14"/>
  <c r="S427" i="14"/>
  <c r="T427" i="14" s="1"/>
  <c r="R384" i="14"/>
  <c r="T384" i="14" s="1"/>
  <c r="S384" i="14"/>
  <c r="S328" i="14"/>
  <c r="T347" i="14"/>
  <c r="R216" i="14"/>
  <c r="S216" i="14" s="1"/>
  <c r="R206" i="14"/>
  <c r="S206" i="14"/>
  <c r="T206" i="14"/>
  <c r="R378" i="14"/>
  <c r="S378" i="14"/>
  <c r="T378" i="14"/>
  <c r="R155" i="14"/>
  <c r="S155" i="14"/>
  <c r="T155" i="14"/>
  <c r="R381" i="14"/>
  <c r="S381" i="14" s="1"/>
  <c r="R313" i="14"/>
  <c r="S313" i="14"/>
  <c r="T313" i="14"/>
  <c r="T388" i="14"/>
  <c r="R50" i="14"/>
  <c r="S50" i="14"/>
  <c r="T50" i="14" s="1"/>
  <c r="R392" i="14"/>
  <c r="S392" i="14"/>
  <c r="T392" i="14"/>
  <c r="R339" i="14"/>
  <c r="S339" i="14" s="1"/>
  <c r="S191" i="14"/>
  <c r="T191" i="14" s="1"/>
  <c r="R296" i="14"/>
  <c r="S296" i="14" s="1"/>
  <c r="S307" i="14"/>
  <c r="T307" i="14"/>
  <c r="T123" i="14"/>
  <c r="T166" i="14"/>
  <c r="R153" i="14"/>
  <c r="T153" i="14" s="1"/>
  <c r="R346" i="14"/>
  <c r="S346" i="14" s="1"/>
  <c r="T432" i="14"/>
  <c r="R412" i="14"/>
  <c r="S412" i="14"/>
  <c r="T412" i="14" s="1"/>
  <c r="R419" i="14"/>
  <c r="S419" i="14" s="1"/>
  <c r="R228" i="14"/>
  <c r="S228" i="14" s="1"/>
  <c r="T228" i="14" s="1"/>
  <c r="R82" i="14"/>
  <c r="S82" i="14" s="1"/>
  <c r="T82" i="14"/>
  <c r="R200" i="14"/>
  <c r="R226" i="14"/>
  <c r="S226" i="14"/>
  <c r="T226" i="14"/>
  <c r="R423" i="14"/>
  <c r="S423" i="14" s="1"/>
  <c r="T368" i="14"/>
  <c r="R113" i="14"/>
  <c r="T113" i="14" s="1"/>
  <c r="S113" i="14"/>
  <c r="R192" i="14"/>
  <c r="S192" i="14" s="1"/>
  <c r="T192" i="14" s="1"/>
  <c r="S304" i="14"/>
  <c r="S341" i="14"/>
  <c r="S100" i="14"/>
  <c r="R361" i="14"/>
  <c r="S361" i="14" s="1"/>
  <c r="R27" i="14"/>
  <c r="S27" i="14" s="1"/>
  <c r="R364" i="14"/>
  <c r="S364" i="14" s="1"/>
  <c r="S362" i="14"/>
  <c r="R136" i="14"/>
  <c r="S136" i="14" s="1"/>
  <c r="R394" i="14"/>
  <c r="S394" i="14" s="1"/>
  <c r="S295" i="14"/>
  <c r="R42" i="14"/>
  <c r="T42" i="14" s="1"/>
  <c r="R79" i="14"/>
  <c r="T79" i="14" s="1"/>
  <c r="S79" i="14"/>
  <c r="R160" i="14"/>
  <c r="T160" i="14" s="1"/>
  <c r="R121" i="14"/>
  <c r="T121" i="14" s="1"/>
  <c r="S121" i="14"/>
  <c r="R396" i="14"/>
  <c r="S396" i="14"/>
  <c r="T396" i="14"/>
  <c r="T272" i="14"/>
  <c r="R355" i="14"/>
  <c r="S355" i="14"/>
  <c r="T355" i="14" s="1"/>
  <c r="R80" i="14"/>
  <c r="S80" i="14"/>
  <c r="T80" i="14"/>
  <c r="S72" i="14"/>
  <c r="R67" i="14"/>
  <c r="T67" i="14" s="1"/>
  <c r="R390" i="14"/>
  <c r="S390" i="14"/>
  <c r="T390" i="14"/>
  <c r="R274" i="14"/>
  <c r="S274" i="14" s="1"/>
  <c r="R129" i="14"/>
  <c r="T129" i="14" s="1"/>
  <c r="S129" i="14"/>
  <c r="R92" i="14"/>
  <c r="S92" i="14"/>
  <c r="T92" i="14"/>
  <c r="T223" i="14"/>
  <c r="S49" i="14"/>
  <c r="T49" i="14" s="1"/>
  <c r="S115" i="14"/>
  <c r="R31" i="14"/>
  <c r="T31" i="14" s="1"/>
  <c r="T269" i="14"/>
  <c r="T270" i="14"/>
  <c r="R353" i="14"/>
  <c r="R210" i="14"/>
  <c r="S210" i="14" s="1"/>
  <c r="T210" i="14" s="1"/>
  <c r="R380" i="14"/>
  <c r="T380" i="14" s="1"/>
  <c r="S380" i="14"/>
  <c r="R294" i="14"/>
  <c r="T294" i="14"/>
  <c r="S294" i="14"/>
  <c r="R61" i="14"/>
  <c r="T61" i="14"/>
  <c r="S61" i="14"/>
  <c r="R327" i="14"/>
  <c r="S327" i="14" s="1"/>
  <c r="S93" i="14"/>
  <c r="T93" i="14"/>
  <c r="R119" i="14"/>
  <c r="T119" i="14" s="1"/>
  <c r="S119" i="14"/>
  <c r="S369" i="14"/>
  <c r="T369" i="14"/>
  <c r="R148" i="14"/>
  <c r="T148" i="14" s="1"/>
  <c r="R367" i="14"/>
  <c r="S367" i="14" s="1"/>
  <c r="S162" i="14"/>
  <c r="T162" i="14"/>
  <c r="S86" i="14"/>
  <c r="T86" i="14"/>
  <c r="S408" i="14"/>
  <c r="T408" i="14" s="1"/>
  <c r="S273" i="14"/>
  <c r="T273" i="14"/>
  <c r="S283" i="14"/>
  <c r="T283" i="14"/>
  <c r="S260" i="14"/>
  <c r="T260" i="14"/>
  <c r="T323" i="14"/>
  <c r="S323" i="14"/>
  <c r="T325" i="14"/>
  <c r="T47" i="14"/>
  <c r="T24" i="14"/>
  <c r="T357" i="14"/>
  <c r="R311" i="14"/>
  <c r="S311" i="14" s="1"/>
  <c r="T311" i="14"/>
  <c r="R299" i="14"/>
  <c r="T299" i="14" s="1"/>
  <c r="S410" i="14"/>
  <c r="T410" i="14" s="1"/>
  <c r="S301" i="14"/>
  <c r="T301" i="14"/>
  <c r="R262" i="14"/>
  <c r="T262" i="14" s="1"/>
  <c r="S262" i="14"/>
  <c r="S217" i="14"/>
  <c r="S106" i="14"/>
  <c r="T106" i="14"/>
  <c r="T180" i="14"/>
  <c r="S180" i="14"/>
  <c r="S199" i="14"/>
  <c r="T199" i="14" s="1"/>
  <c r="S65" i="14"/>
  <c r="T65" i="14" s="1"/>
  <c r="S292" i="14"/>
  <c r="T292" i="14"/>
  <c r="T306" i="14"/>
  <c r="S306" i="14"/>
  <c r="S125" i="14"/>
  <c r="T125" i="14"/>
  <c r="T382" i="14"/>
  <c r="S336" i="14"/>
  <c r="S393" i="14"/>
  <c r="T393" i="14"/>
  <c r="R90" i="14"/>
  <c r="S90" i="14"/>
  <c r="T90" i="14"/>
  <c r="S229" i="14"/>
  <c r="T229" i="14" s="1"/>
  <c r="S391" i="14"/>
  <c r="T391" i="14"/>
  <c r="S434" i="14"/>
  <c r="T434" i="14" s="1"/>
  <c r="T179" i="14"/>
  <c r="S179" i="14"/>
  <c r="S122" i="14"/>
  <c r="T122" i="14"/>
  <c r="S96" i="14"/>
  <c r="T96" i="14"/>
  <c r="T19" i="14"/>
  <c r="S19" i="14"/>
  <c r="S233" i="14"/>
  <c r="T233" i="14"/>
  <c r="S187" i="14"/>
  <c r="T187" i="14" s="1"/>
  <c r="S63" i="14"/>
  <c r="T63" i="14"/>
  <c r="S290" i="14"/>
  <c r="T290" i="14"/>
  <c r="S256" i="14"/>
  <c r="T256" i="14"/>
  <c r="S159" i="14"/>
  <c r="T159" i="14"/>
  <c r="T335" i="14"/>
  <c r="S335" i="14"/>
  <c r="S211" i="14"/>
  <c r="T211" i="14"/>
  <c r="T152" i="14"/>
  <c r="T165" i="14"/>
  <c r="S43" i="14"/>
  <c r="T43" i="14" s="1"/>
  <c r="R407" i="14"/>
  <c r="S407" i="14"/>
  <c r="T407" i="14" s="1"/>
  <c r="R351" i="14"/>
  <c r="S351" i="14"/>
  <c r="T351" i="14" s="1"/>
  <c r="S60" i="14"/>
  <c r="R85" i="14"/>
  <c r="T85" i="14" s="1"/>
  <c r="R415" i="14"/>
  <c r="S415" i="14" s="1"/>
  <c r="T415" i="14" s="1"/>
  <c r="R284" i="14"/>
  <c r="S284" i="14"/>
  <c r="T284" i="14"/>
  <c r="S428" i="14"/>
  <c r="T428" i="14"/>
  <c r="T207" i="14"/>
  <c r="S207" i="14"/>
  <c r="S315" i="14"/>
  <c r="T315" i="14"/>
  <c r="S116" i="14"/>
  <c r="T116" i="14"/>
  <c r="R395" i="14"/>
  <c r="S395" i="14"/>
  <c r="T395" i="14"/>
  <c r="R114" i="14"/>
  <c r="S114" i="14" s="1"/>
  <c r="S416" i="14"/>
  <c r="T416" i="14"/>
  <c r="S241" i="14"/>
  <c r="T241" i="14"/>
  <c r="S231" i="14"/>
  <c r="T231" i="14" s="1"/>
  <c r="S89" i="14"/>
  <c r="T89" i="14"/>
  <c r="S349" i="14"/>
  <c r="T349" i="14"/>
  <c r="T330" i="14"/>
  <c r="S330" i="14"/>
  <c r="T131" i="14"/>
  <c r="T171" i="14"/>
  <c r="S55" i="14"/>
  <c r="T55" i="14" s="1"/>
  <c r="R55" i="14"/>
  <c r="S184" i="14"/>
  <c r="T184" i="14"/>
  <c r="R418" i="14"/>
  <c r="S418" i="14" s="1"/>
  <c r="T418" i="14"/>
  <c r="T248" i="14"/>
  <c r="S293" i="14"/>
  <c r="T293" i="14"/>
  <c r="S344" i="14"/>
  <c r="T344" i="14"/>
  <c r="S174" i="14"/>
  <c r="T174" i="14" s="1"/>
  <c r="S359" i="14"/>
  <c r="T359" i="14"/>
  <c r="T318" i="14"/>
  <c r="S318" i="14"/>
  <c r="S158" i="14"/>
  <c r="T158" i="14"/>
  <c r="T305" i="14"/>
  <c r="S305" i="14"/>
  <c r="S252" i="14"/>
  <c r="S287" i="14"/>
  <c r="T77" i="14"/>
  <c r="T194" i="14"/>
  <c r="S194" i="14"/>
  <c r="R246" i="14"/>
  <c r="T246" i="14" s="1"/>
  <c r="S280" i="14"/>
  <c r="T280" i="14"/>
  <c r="S321" i="14"/>
  <c r="T321" i="14"/>
  <c r="R110" i="14"/>
  <c r="S110" i="14" s="1"/>
  <c r="S172" i="14"/>
  <c r="T172" i="14"/>
  <c r="S225" i="14"/>
  <c r="T225" i="14" s="1"/>
  <c r="S186" i="14"/>
  <c r="T186" i="14" s="1"/>
  <c r="S157" i="14"/>
  <c r="T157" i="14"/>
  <c r="T142" i="14"/>
  <c r="S142" i="14"/>
  <c r="S145" i="14"/>
  <c r="T145" i="14"/>
  <c r="T146" i="14"/>
  <c r="T245" i="14"/>
  <c r="T317" i="14"/>
  <c r="S317" i="14"/>
  <c r="R105" i="14"/>
  <c r="S105" i="14" s="1"/>
  <c r="R175" i="14"/>
  <c r="S175" i="14" s="1"/>
  <c r="T175" i="14" s="1"/>
  <c r="R276" i="14"/>
  <c r="S276" i="14" s="1"/>
  <c r="T276" i="14"/>
  <c r="S195" i="14"/>
  <c r="T195" i="14"/>
  <c r="S95" i="14"/>
  <c r="T95" i="14"/>
  <c r="R189" i="14"/>
  <c r="S189" i="14" s="1"/>
  <c r="R243" i="14"/>
  <c r="T243" i="14" s="1"/>
  <c r="R376" i="14"/>
  <c r="S376" i="14" s="1"/>
  <c r="R170" i="14"/>
  <c r="S170" i="14" s="1"/>
  <c r="S278" i="14"/>
  <c r="T278" i="14"/>
  <c r="T154" i="14"/>
  <c r="S282" i="14"/>
  <c r="T156" i="14"/>
  <c r="S329" i="14"/>
  <c r="R264" i="14"/>
  <c r="T264" i="14"/>
  <c r="S264" i="14"/>
  <c r="R52" i="14"/>
  <c r="T52" i="14" s="1"/>
  <c r="S52" i="14"/>
  <c r="S185" i="14"/>
  <c r="T185" i="14" s="1"/>
  <c r="S426" i="14"/>
  <c r="T426" i="14" s="1"/>
  <c r="R33" i="14"/>
  <c r="S33" i="14"/>
  <c r="T33" i="14"/>
  <c r="S397" i="14"/>
  <c r="T397" i="14"/>
  <c r="S209" i="14"/>
  <c r="T209" i="14" s="1"/>
  <c r="T373" i="14"/>
  <c r="S373" i="14"/>
  <c r="S101" i="14"/>
  <c r="T101" i="14"/>
  <c r="S430" i="14"/>
  <c r="T430" i="14"/>
  <c r="S354" i="14"/>
  <c r="T354" i="14" s="1"/>
  <c r="S250" i="14"/>
  <c r="T250" i="14"/>
  <c r="S128" i="14"/>
  <c r="T128" i="14"/>
  <c r="S87" i="14"/>
  <c r="T87" i="14"/>
  <c r="S220" i="14"/>
  <c r="T220" i="14"/>
  <c r="R60" i="14"/>
  <c r="T60" i="14" s="1"/>
  <c r="R59" i="14"/>
  <c r="S59" i="14" s="1"/>
  <c r="R62" i="14"/>
  <c r="S62" i="14" s="1"/>
  <c r="T62" i="14" s="1"/>
  <c r="P99" i="8"/>
  <c r="J99" i="12" s="1"/>
  <c r="AE272" i="5"/>
  <c r="AE305" i="5"/>
  <c r="AE130" i="5"/>
  <c r="AE159" i="5"/>
  <c r="AE392" i="5"/>
  <c r="Y353" i="5"/>
  <c r="Y159" i="5"/>
  <c r="AE241" i="5"/>
  <c r="AE254" i="5"/>
  <c r="AE160" i="5"/>
  <c r="AE366" i="5"/>
  <c r="Y352" i="5"/>
  <c r="Y254" i="5"/>
  <c r="AE311" i="5"/>
  <c r="Y356" i="5"/>
  <c r="AE204" i="5"/>
  <c r="Y245" i="5"/>
  <c r="AE280" i="5"/>
  <c r="AE174" i="5"/>
  <c r="Y379" i="5"/>
  <c r="Y64" i="5"/>
  <c r="AE231" i="5"/>
  <c r="Y196" i="5"/>
  <c r="Y241" i="5"/>
  <c r="Y228" i="5"/>
  <c r="AE45" i="5"/>
  <c r="AE387" i="5"/>
  <c r="Y214" i="5"/>
  <c r="AE282" i="5"/>
  <c r="Y301" i="5"/>
  <c r="Y148" i="5"/>
  <c r="AE58" i="5"/>
  <c r="Y290" i="5"/>
  <c r="AE190" i="5"/>
  <c r="AE398" i="5"/>
  <c r="Y239" i="5"/>
  <c r="AE395" i="5"/>
  <c r="Y408" i="5"/>
  <c r="AE289" i="5"/>
  <c r="Y298" i="5"/>
  <c r="Y124" i="5"/>
  <c r="AE91" i="5"/>
  <c r="AE372" i="5"/>
  <c r="AE416" i="5"/>
  <c r="Y225" i="5"/>
  <c r="AE406" i="5"/>
  <c r="AE234" i="5"/>
  <c r="AE310" i="5"/>
  <c r="AE379" i="5"/>
  <c r="Y133" i="5"/>
  <c r="Y115" i="5"/>
  <c r="Y327" i="5"/>
  <c r="Y87" i="5"/>
  <c r="Y258" i="5"/>
  <c r="AE82" i="5"/>
  <c r="AE128" i="5"/>
  <c r="Y384" i="5"/>
  <c r="Y280" i="5"/>
  <c r="AE243" i="5"/>
  <c r="AE230" i="5"/>
  <c r="AE43" i="5"/>
  <c r="Y244" i="5"/>
  <c r="AE349" i="5"/>
  <c r="Y344" i="5"/>
  <c r="AE337" i="5"/>
  <c r="Y339" i="5"/>
  <c r="Y160" i="5"/>
  <c r="AE268" i="5"/>
  <c r="Y394" i="5"/>
  <c r="Y338" i="5"/>
  <c r="Y177" i="5"/>
  <c r="Y89" i="5"/>
  <c r="AE71" i="5"/>
  <c r="AE118" i="5"/>
  <c r="Y95" i="5"/>
  <c r="AE239" i="5"/>
  <c r="Y397" i="5"/>
  <c r="Y102" i="5"/>
  <c r="Y200" i="5"/>
  <c r="AE34" i="5"/>
  <c r="Y188" i="5"/>
  <c r="Y48" i="5"/>
  <c r="Y47" i="5"/>
  <c r="Y269" i="5"/>
  <c r="AE318" i="5"/>
  <c r="Y401" i="5"/>
  <c r="AE361" i="5"/>
  <c r="Y416" i="5"/>
  <c r="Y229" i="5"/>
  <c r="AE396" i="5"/>
  <c r="Y146" i="5"/>
  <c r="Y116" i="5"/>
  <c r="Y331" i="5"/>
  <c r="Y169" i="5"/>
  <c r="S26" i="8"/>
  <c r="P26" i="8"/>
  <c r="S25" i="8"/>
  <c r="Q25" i="8"/>
  <c r="AR25" i="12" s="1"/>
  <c r="F172" i="16"/>
  <c r="Y292" i="5"/>
  <c r="I92" i="10"/>
  <c r="AE290" i="5"/>
  <c r="G41" i="10"/>
  <c r="Y110" i="5"/>
  <c r="F220" i="16"/>
  <c r="Y376" i="5"/>
  <c r="F224" i="16"/>
  <c r="Y386" i="5"/>
  <c r="I149" i="7"/>
  <c r="AE391" i="5"/>
  <c r="I27" i="7"/>
  <c r="AE51" i="5"/>
  <c r="AE67" i="5"/>
  <c r="G57" i="7"/>
  <c r="Y135" i="5"/>
  <c r="I50" i="10"/>
  <c r="AE140" i="5"/>
  <c r="F221" i="16"/>
  <c r="Y377" i="5"/>
  <c r="I139" i="7"/>
  <c r="AE363" i="5"/>
  <c r="F152" i="16"/>
  <c r="Y260" i="5"/>
  <c r="I104" i="7"/>
  <c r="AE265" i="5"/>
  <c r="F236" i="16"/>
  <c r="Y404" i="5"/>
  <c r="F111" i="16"/>
  <c r="Y189" i="5"/>
  <c r="I84" i="7"/>
  <c r="AE209" i="5"/>
  <c r="I75" i="10"/>
  <c r="AE232" i="5"/>
  <c r="G159" i="7"/>
  <c r="Y419" i="5"/>
  <c r="G29" i="7"/>
  <c r="Y55" i="5"/>
  <c r="AE60" i="5"/>
  <c r="AE236" i="5"/>
  <c r="G108" i="7"/>
  <c r="Y277" i="5"/>
  <c r="I156" i="7"/>
  <c r="AE413" i="5"/>
  <c r="G83" i="7"/>
  <c r="Y207" i="5"/>
  <c r="G135" i="7"/>
  <c r="Y355" i="5"/>
  <c r="G157" i="7"/>
  <c r="Y415" i="5"/>
  <c r="I130" i="10"/>
  <c r="AE420" i="5"/>
  <c r="F212" i="16"/>
  <c r="Y362" i="5"/>
  <c r="AE99" i="5"/>
  <c r="I84" i="10"/>
  <c r="AE262" i="5"/>
  <c r="I58" i="10"/>
  <c r="AE168" i="5"/>
  <c r="I47" i="7"/>
  <c r="AE107" i="5"/>
  <c r="G103" i="7"/>
  <c r="Y263" i="5"/>
  <c r="F60" i="16"/>
  <c r="Y96" i="5"/>
  <c r="F192" i="16"/>
  <c r="Y330" i="5"/>
  <c r="AE153" i="5"/>
  <c r="AE255" i="5"/>
  <c r="G129" i="7"/>
  <c r="Y335" i="5"/>
  <c r="G118" i="7"/>
  <c r="Y305" i="5"/>
  <c r="Y219" i="5"/>
  <c r="AE86" i="5"/>
  <c r="Y287" i="5"/>
  <c r="Y283" i="5"/>
  <c r="AE31" i="5"/>
  <c r="G64" i="10"/>
  <c r="Y192" i="5"/>
  <c r="G42" i="7"/>
  <c r="Y93" i="5"/>
  <c r="I38" i="10"/>
  <c r="AE98" i="5"/>
  <c r="F151" i="16"/>
  <c r="Y259" i="5"/>
  <c r="AE288" i="5"/>
  <c r="Y186" i="5"/>
  <c r="G48" i="10"/>
  <c r="Y136" i="5"/>
  <c r="AE127" i="5"/>
  <c r="G140" i="7"/>
  <c r="Y369" i="5"/>
  <c r="Y69" i="5"/>
  <c r="AE225" i="5"/>
  <c r="AE277" i="5"/>
  <c r="Y266" i="5"/>
  <c r="I114" i="7"/>
  <c r="AE293" i="5"/>
  <c r="Y29" i="5"/>
  <c r="Y202" i="5"/>
  <c r="I97" i="7"/>
  <c r="AE247" i="5"/>
  <c r="F25" i="16"/>
  <c r="AE72" i="5"/>
  <c r="F113" i="16"/>
  <c r="Y191" i="5"/>
  <c r="G76" i="10"/>
  <c r="Y234" i="5"/>
  <c r="AE317" i="5"/>
  <c r="AE351" i="5"/>
  <c r="AE63" i="5"/>
  <c r="AE186" i="5"/>
  <c r="G154" i="7"/>
  <c r="Y405" i="5"/>
  <c r="AE207" i="5"/>
  <c r="Y270" i="5"/>
  <c r="G111" i="10"/>
  <c r="Y358" i="5"/>
  <c r="AE29" i="5"/>
  <c r="Y67" i="5"/>
  <c r="Y183" i="5"/>
  <c r="F33" i="16"/>
  <c r="Y51" i="5"/>
  <c r="AE56" i="5"/>
  <c r="Y70" i="5"/>
  <c r="Y210" i="5"/>
  <c r="G81" i="7"/>
  <c r="Y203" i="5"/>
  <c r="I69" i="10"/>
  <c r="AE208" i="5"/>
  <c r="G98" i="7"/>
  <c r="Y249" i="5"/>
  <c r="AE240" i="5"/>
  <c r="Y309" i="5"/>
  <c r="AE356" i="5"/>
  <c r="Y418" i="5"/>
  <c r="AE370" i="5"/>
  <c r="AE367" i="5"/>
  <c r="Y30" i="5"/>
  <c r="Y76" i="5"/>
  <c r="AE81" i="5"/>
  <c r="G68" i="10"/>
  <c r="Y206" i="5"/>
  <c r="AE197" i="5"/>
  <c r="G82" i="10"/>
  <c r="Y252" i="5"/>
  <c r="AE271" i="5"/>
  <c r="AE229" i="5"/>
  <c r="AE380" i="5"/>
  <c r="Y108" i="5"/>
  <c r="G69" i="7"/>
  <c r="Y167" i="5"/>
  <c r="F228" i="16"/>
  <c r="Y390" i="5"/>
  <c r="Y213" i="5"/>
  <c r="AE385" i="5"/>
  <c r="G50" i="10"/>
  <c r="Y140" i="5"/>
  <c r="F62" i="16"/>
  <c r="Y98" i="5"/>
  <c r="Y382" i="5"/>
  <c r="AE298" i="5"/>
  <c r="G89" i="7"/>
  <c r="Y223" i="5"/>
  <c r="AE116" i="5"/>
  <c r="Y111" i="5"/>
  <c r="AE95" i="5"/>
  <c r="Y325" i="5"/>
  <c r="I80" i="10"/>
  <c r="AE248" i="5"/>
  <c r="Y288" i="5"/>
  <c r="AE47" i="5"/>
  <c r="G93" i="7"/>
  <c r="Y235" i="5"/>
  <c r="F84" i="16"/>
  <c r="Y138" i="5"/>
  <c r="AE157" i="5"/>
  <c r="Y86" i="5"/>
  <c r="AE133" i="5"/>
  <c r="F174" i="16"/>
  <c r="Y294" i="5"/>
  <c r="I117" i="10"/>
  <c r="AE376" i="5"/>
  <c r="G132" i="7"/>
  <c r="Y345" i="5"/>
  <c r="I110" i="10"/>
  <c r="AE350" i="5"/>
  <c r="AE132" i="5"/>
  <c r="Y256" i="5"/>
  <c r="Y83" i="5"/>
  <c r="F164" i="16"/>
  <c r="Y278" i="5"/>
  <c r="Y272" i="5"/>
  <c r="F102" i="16"/>
  <c r="Y168" i="5"/>
  <c r="I100" i="7"/>
  <c r="AE257" i="5"/>
  <c r="Y75" i="5"/>
  <c r="AE80" i="5"/>
  <c r="AE322" i="5"/>
  <c r="AE393" i="5"/>
  <c r="AE353" i="5"/>
  <c r="Y82" i="5"/>
  <c r="G99" i="7"/>
  <c r="Y251" i="5"/>
  <c r="I135" i="7"/>
  <c r="AE355" i="5"/>
  <c r="Y411" i="5"/>
  <c r="AE52" i="5"/>
  <c r="F49" i="16"/>
  <c r="Y79" i="5"/>
  <c r="I34" i="10"/>
  <c r="AE84" i="5"/>
  <c r="I87" i="10"/>
  <c r="AE274" i="5"/>
  <c r="F207" i="16"/>
  <c r="Y357" i="5"/>
  <c r="AE362" i="5"/>
  <c r="G123" i="10"/>
  <c r="Y400" i="5"/>
  <c r="I154" i="7"/>
  <c r="AE405" i="5"/>
  <c r="Y199" i="5"/>
  <c r="I81" i="10"/>
  <c r="AE250" i="5"/>
  <c r="Y319" i="5"/>
  <c r="Y393" i="5"/>
  <c r="AE412" i="5"/>
  <c r="Y354" i="5"/>
  <c r="AE359" i="5"/>
  <c r="Y414" i="5"/>
  <c r="I159" i="7"/>
  <c r="AE419" i="5"/>
  <c r="I55" i="10"/>
  <c r="AE162" i="5"/>
  <c r="Y337" i="5"/>
  <c r="AE341" i="5"/>
  <c r="I128" i="7"/>
  <c r="AE333" i="5"/>
  <c r="AE325" i="5"/>
  <c r="G80" i="10"/>
  <c r="Y248" i="5"/>
  <c r="Y389" i="5"/>
  <c r="Y163" i="5"/>
  <c r="AE137" i="5"/>
  <c r="G133" i="7"/>
  <c r="Y347" i="5"/>
  <c r="F184" i="16"/>
  <c r="Y316" i="5"/>
  <c r="AE139" i="5"/>
  <c r="Y97" i="5"/>
  <c r="AE323" i="5"/>
  <c r="AE329" i="5"/>
  <c r="I66" i="10"/>
  <c r="AE196" i="5"/>
  <c r="I125" i="7"/>
  <c r="AE327" i="5"/>
  <c r="AE331" i="5"/>
  <c r="AE223" i="5"/>
  <c r="F153" i="16"/>
  <c r="Y261" i="5"/>
  <c r="G109" i="10"/>
  <c r="Y348" i="5"/>
  <c r="F95" i="16"/>
  <c r="Y161" i="5"/>
  <c r="Y130" i="5"/>
  <c r="I57" i="7"/>
  <c r="AE135" i="5"/>
  <c r="AE55" i="5"/>
  <c r="I57" i="10"/>
  <c r="AE166" i="5"/>
  <c r="Y255" i="5"/>
  <c r="I83" i="10"/>
  <c r="AE260" i="5"/>
  <c r="G35" i="10"/>
  <c r="Y92" i="5"/>
  <c r="AE97" i="5"/>
  <c r="AE264" i="5"/>
  <c r="Y289" i="5"/>
  <c r="F55" i="16"/>
  <c r="Y91" i="5"/>
  <c r="I37" i="10"/>
  <c r="AE96" i="5"/>
  <c r="F148" i="16"/>
  <c r="Y250" i="5"/>
  <c r="AE185" i="5"/>
  <c r="G79" i="7"/>
  <c r="Y195" i="5"/>
  <c r="G121" i="7"/>
  <c r="Y315" i="5"/>
  <c r="I101" i="10"/>
  <c r="AE320" i="5"/>
  <c r="Y403" i="5"/>
  <c r="I157" i="7"/>
  <c r="AE415" i="5"/>
  <c r="F27" i="16"/>
  <c r="AE30" i="5"/>
  <c r="F243" i="16"/>
  <c r="Y417" i="5"/>
  <c r="AE408" i="5"/>
  <c r="F24" i="16"/>
  <c r="Y36" i="5"/>
  <c r="I24" i="7"/>
  <c r="F44" i="16"/>
  <c r="Y68" i="5"/>
  <c r="AE73" i="5"/>
  <c r="I81" i="7"/>
  <c r="AE203" i="5"/>
  <c r="I98" i="7"/>
  <c r="AE249" i="5"/>
  <c r="G100" i="7"/>
  <c r="Y257" i="5"/>
  <c r="I105" i="10"/>
  <c r="AE334" i="5"/>
  <c r="AE326" i="5"/>
  <c r="I96" i="10"/>
  <c r="AE304" i="5"/>
  <c r="AE212" i="5"/>
  <c r="AE100" i="5"/>
  <c r="Y284" i="5"/>
  <c r="AE138" i="5"/>
  <c r="I42" i="7"/>
  <c r="AE93" i="5"/>
  <c r="Y381" i="5"/>
  <c r="I97" i="10"/>
  <c r="AE306" i="5"/>
  <c r="AE124" i="5"/>
  <c r="Y119" i="5"/>
  <c r="G90" i="7"/>
  <c r="G25" i="7"/>
  <c r="AE371" i="5"/>
  <c r="Y132" i="5"/>
  <c r="Y302" i="5"/>
  <c r="Y224" i="5"/>
  <c r="Y112" i="5"/>
  <c r="Y385" i="5"/>
  <c r="Y143" i="5"/>
  <c r="Y121" i="5"/>
  <c r="F63" i="16"/>
  <c r="Y105" i="5"/>
  <c r="Y142" i="5"/>
  <c r="AE295" i="5"/>
  <c r="F146" i="16"/>
  <c r="AE145" i="5"/>
  <c r="AE210" i="5"/>
  <c r="Y145" i="5"/>
  <c r="AE85" i="5"/>
  <c r="G95" i="7"/>
  <c r="Y243" i="5"/>
  <c r="Y322" i="5"/>
  <c r="G104" i="7"/>
  <c r="Y265" i="5"/>
  <c r="AE281" i="5"/>
  <c r="Y165" i="5"/>
  <c r="AE284" i="5"/>
  <c r="I23" i="7"/>
  <c r="Y59" i="5"/>
  <c r="AE64" i="5"/>
  <c r="AE165" i="5"/>
  <c r="F23" i="16"/>
  <c r="I21" i="10"/>
  <c r="Y65" i="5"/>
  <c r="Y396" i="5"/>
  <c r="I152" i="7"/>
  <c r="AE401" i="5"/>
  <c r="AE44" i="5"/>
  <c r="AE69" i="5"/>
  <c r="F124" i="16"/>
  <c r="Y208" i="5"/>
  <c r="AE53" i="5"/>
  <c r="I94" i="7"/>
  <c r="AE237" i="5"/>
  <c r="F210" i="16"/>
  <c r="Y360" i="5"/>
  <c r="AE417" i="5"/>
  <c r="AE76" i="5"/>
  <c r="G80" i="7"/>
  <c r="Y201" i="5"/>
  <c r="AE206" i="5"/>
  <c r="G97" i="7"/>
  <c r="Y247" i="5"/>
  <c r="I82" i="10"/>
  <c r="AE252" i="5"/>
  <c r="F189" i="16"/>
  <c r="Y321" i="5"/>
  <c r="AE354" i="5"/>
  <c r="Y409" i="5"/>
  <c r="AE414" i="5"/>
  <c r="Y364" i="5"/>
  <c r="I150" i="7"/>
  <c r="AE397" i="5"/>
  <c r="G94" i="7"/>
  <c r="Y237" i="5"/>
  <c r="AE242" i="5"/>
  <c r="Y311" i="5"/>
  <c r="I99" i="10"/>
  <c r="AE316" i="5"/>
  <c r="G151" i="7"/>
  <c r="Y399" i="5"/>
  <c r="I125" i="10"/>
  <c r="AE404" i="5"/>
  <c r="F186" i="16"/>
  <c r="Y318" i="5"/>
  <c r="AE309" i="5"/>
  <c r="F238" i="16"/>
  <c r="Y406" i="5"/>
  <c r="AE411" i="5"/>
  <c r="Y336" i="5"/>
  <c r="Y328" i="5"/>
  <c r="I117" i="7"/>
  <c r="AE303" i="5"/>
  <c r="I70" i="7"/>
  <c r="AE173" i="5"/>
  <c r="AE151" i="5"/>
  <c r="AE143" i="5"/>
  <c r="Y46" i="5"/>
  <c r="AE342" i="5"/>
  <c r="I44" i="10"/>
  <c r="AE122" i="5"/>
  <c r="AE106" i="5"/>
  <c r="G110" i="10"/>
  <c r="Y350" i="5"/>
  <c r="I129" i="7"/>
  <c r="AE335" i="5"/>
  <c r="AE169" i="5"/>
  <c r="AE410" i="5"/>
  <c r="I89" i="10"/>
  <c r="AE278" i="5"/>
  <c r="AE328" i="5"/>
  <c r="AE146" i="5"/>
  <c r="AE131" i="5"/>
  <c r="Y332" i="5"/>
  <c r="Y296" i="5"/>
  <c r="Y150" i="5"/>
  <c r="Y114" i="5"/>
  <c r="Y120" i="5"/>
  <c r="Y368" i="5"/>
  <c r="Y308" i="5"/>
  <c r="Y118" i="5"/>
  <c r="Y334" i="5"/>
  <c r="Y212" i="5"/>
  <c r="G120" i="10"/>
  <c r="Y388" i="5"/>
  <c r="F100" i="16"/>
  <c r="Y166" i="5"/>
  <c r="Y153" i="5"/>
  <c r="G53" i="7"/>
  <c r="Y123" i="5"/>
  <c r="Y107" i="5"/>
  <c r="F85" i="16"/>
  <c r="Y139" i="5"/>
  <c r="AE158" i="5"/>
  <c r="G106" i="7"/>
  <c r="Y273" i="5"/>
  <c r="AE266" i="5"/>
  <c r="AE292" i="5"/>
  <c r="I30" i="10"/>
  <c r="AE70" i="5"/>
  <c r="AE390" i="5"/>
  <c r="AE163" i="5"/>
  <c r="F215" i="16"/>
  <c r="Y371" i="5"/>
  <c r="F230" i="16"/>
  <c r="Y392" i="5"/>
  <c r="AE89" i="5"/>
  <c r="AE261" i="5"/>
  <c r="Y282" i="5"/>
  <c r="G20" i="10"/>
  <c r="AE62" i="5"/>
  <c r="G149" i="7"/>
  <c r="Y391" i="5"/>
  <c r="AE88" i="5"/>
  <c r="AE164" i="5"/>
  <c r="AE319" i="5"/>
  <c r="Y410" i="5"/>
  <c r="G115" i="10"/>
  <c r="Y372" i="5"/>
  <c r="G116" i="10"/>
  <c r="Y374" i="5"/>
  <c r="I25" i="10"/>
  <c r="AE54" i="5"/>
  <c r="Y412" i="5"/>
  <c r="AE77" i="5"/>
  <c r="I65" i="10"/>
  <c r="AE194" i="5"/>
  <c r="AE202" i="5"/>
  <c r="F185" i="16"/>
  <c r="Y317" i="5"/>
  <c r="Y407" i="5"/>
  <c r="I106" i="7"/>
  <c r="AE273" i="5"/>
  <c r="Y312" i="5"/>
  <c r="Y71" i="5"/>
  <c r="I120" i="7"/>
  <c r="AE313" i="5"/>
  <c r="F211" i="16"/>
  <c r="Y361" i="5"/>
  <c r="G75" i="7"/>
  <c r="Y187" i="5"/>
  <c r="AE192" i="5"/>
  <c r="F137" i="16"/>
  <c r="Y233" i="5"/>
  <c r="I78" i="10"/>
  <c r="AE238" i="5"/>
  <c r="Y279" i="5"/>
  <c r="AE312" i="5"/>
  <c r="Y395" i="5"/>
  <c r="I123" i="10"/>
  <c r="AE400" i="5"/>
  <c r="I19" i="10"/>
  <c r="AE36" i="5"/>
  <c r="Y378" i="5"/>
  <c r="I20" i="7"/>
  <c r="AE33" i="5"/>
  <c r="Y60" i="5"/>
  <c r="AE65" i="5"/>
  <c r="G63" i="10"/>
  <c r="Y190" i="5"/>
  <c r="AE195" i="5"/>
  <c r="Y236" i="5"/>
  <c r="Y268" i="5"/>
  <c r="I121" i="7"/>
  <c r="AE315" i="5"/>
  <c r="AE199" i="5"/>
  <c r="AE369" i="5"/>
  <c r="AE382" i="5"/>
  <c r="I86" i="7"/>
  <c r="AE217" i="5"/>
  <c r="I74" i="7"/>
  <c r="AE181" i="5"/>
  <c r="F132" i="16"/>
  <c r="Y222" i="5"/>
  <c r="F188" i="16"/>
  <c r="Y320" i="5"/>
  <c r="Y73" i="5"/>
  <c r="Y281" i="5"/>
  <c r="AE346" i="5"/>
  <c r="Y323" i="5"/>
  <c r="Y329" i="5"/>
  <c r="Y307" i="5"/>
  <c r="Y299" i="5"/>
  <c r="AE218" i="5"/>
  <c r="I53" i="10"/>
  <c r="AE152" i="5"/>
  <c r="AE144" i="5"/>
  <c r="Y117" i="5"/>
  <c r="I53" i="7"/>
  <c r="AE123" i="5"/>
  <c r="Y134" i="5"/>
  <c r="AE336" i="5"/>
  <c r="Y295" i="5"/>
  <c r="AE170" i="5"/>
  <c r="AE176" i="5"/>
  <c r="AE154" i="5"/>
  <c r="Y113" i="5"/>
  <c r="G134" i="7"/>
  <c r="Y349" i="5"/>
  <c r="I107" i="10"/>
  <c r="AE344" i="5"/>
  <c r="Y341" i="5"/>
  <c r="I45" i="7"/>
  <c r="AE103" i="5"/>
  <c r="I80" i="7"/>
  <c r="AE201" i="5"/>
  <c r="F103" i="16"/>
  <c r="Y175" i="5"/>
  <c r="F98" i="16"/>
  <c r="Y164" i="5"/>
  <c r="Y198" i="5"/>
  <c r="G84" i="10"/>
  <c r="Y262" i="5"/>
  <c r="Y240" i="5"/>
  <c r="Y383" i="5"/>
  <c r="I120" i="10"/>
  <c r="AE388" i="5"/>
  <c r="G143" i="7"/>
  <c r="Y375" i="5"/>
  <c r="I31" i="10"/>
  <c r="AE78" i="5"/>
  <c r="I113" i="7"/>
  <c r="AE291" i="5"/>
  <c r="I21" i="7"/>
  <c r="AE35" i="5"/>
  <c r="Y238" i="5"/>
  <c r="I111" i="7"/>
  <c r="AE287" i="5"/>
  <c r="G30" i="7"/>
  <c r="Y61" i="5"/>
  <c r="G156" i="7"/>
  <c r="Y413" i="5"/>
  <c r="AE235" i="5"/>
  <c r="I111" i="10"/>
  <c r="AE358" i="5"/>
  <c r="Y63" i="5"/>
  <c r="AE68" i="5"/>
  <c r="G78" i="7"/>
  <c r="Y193" i="5"/>
  <c r="AE244" i="5"/>
  <c r="AE407" i="5"/>
  <c r="G107" i="7"/>
  <c r="Y275" i="5"/>
  <c r="Y363" i="5"/>
  <c r="Y398" i="5"/>
  <c r="I153" i="7"/>
  <c r="AE403" i="5"/>
  <c r="G97" i="10"/>
  <c r="Y306" i="5"/>
  <c r="AE211" i="5"/>
  <c r="G59" i="10"/>
  <c r="Y176" i="5"/>
  <c r="Y154" i="5"/>
  <c r="I52" i="7"/>
  <c r="AE121" i="5"/>
  <c r="AE377" i="5"/>
  <c r="G85" i="10"/>
  <c r="Y264" i="5"/>
  <c r="G54" i="7"/>
  <c r="Y125" i="5"/>
  <c r="F67" i="16"/>
  <c r="Y109" i="5"/>
  <c r="AE345" i="5"/>
  <c r="AE297" i="5"/>
  <c r="Y178" i="5"/>
  <c r="Y50" i="5"/>
  <c r="Y291" i="5"/>
  <c r="Y300" i="5"/>
  <c r="AE258" i="5"/>
  <c r="Y149" i="5"/>
  <c r="AE219" i="5"/>
  <c r="I94" i="10"/>
  <c r="AE294" i="5"/>
  <c r="I71" i="7"/>
  <c r="AE175" i="5"/>
  <c r="I124" i="10"/>
  <c r="AE402" i="5"/>
  <c r="Y131" i="5"/>
  <c r="I48" i="10"/>
  <c r="AE136" i="5"/>
  <c r="I110" i="7"/>
  <c r="AE285" i="5"/>
  <c r="F35" i="16"/>
  <c r="Y53" i="5"/>
  <c r="I103" i="7"/>
  <c r="AE263" i="5"/>
  <c r="Y293" i="5"/>
  <c r="F83" i="16"/>
  <c r="Y137" i="5"/>
  <c r="AE373" i="5"/>
  <c r="AE389" i="5"/>
  <c r="Y158" i="5"/>
  <c r="AE167" i="5"/>
  <c r="AE161" i="5"/>
  <c r="F28" i="16"/>
  <c r="F36" i="16"/>
  <c r="Y54" i="5"/>
  <c r="I30" i="7"/>
  <c r="AE61" i="5"/>
  <c r="AE189" i="5"/>
  <c r="F144" i="16"/>
  <c r="Y246" i="5"/>
  <c r="G88" i="10"/>
  <c r="Y276" i="5"/>
  <c r="Y366" i="5"/>
  <c r="I28" i="10"/>
  <c r="AE66" i="5"/>
  <c r="Y78" i="5"/>
  <c r="G67" i="10"/>
  <c r="Y204" i="5"/>
  <c r="I23" i="10"/>
  <c r="AE50" i="5"/>
  <c r="AE193" i="5"/>
  <c r="AE270" i="5"/>
  <c r="Y197" i="5"/>
  <c r="G105" i="7"/>
  <c r="Y271" i="5"/>
  <c r="I88" i="10"/>
  <c r="AE276" i="5"/>
  <c r="G137" i="7"/>
  <c r="Y359" i="5"/>
  <c r="I114" i="10"/>
  <c r="AE364" i="5"/>
  <c r="G142" i="7"/>
  <c r="Y373" i="5"/>
  <c r="I118" i="10"/>
  <c r="AE378" i="5"/>
  <c r="Y370" i="5"/>
  <c r="I143" i="7"/>
  <c r="AE375" i="5"/>
  <c r="G24" i="10"/>
  <c r="Y52" i="5"/>
  <c r="F54" i="16"/>
  <c r="Y84" i="5"/>
  <c r="I75" i="7"/>
  <c r="AE187" i="5"/>
  <c r="AE233" i="5"/>
  <c r="G87" i="10"/>
  <c r="Y274" i="5"/>
  <c r="I109" i="7"/>
  <c r="AE279" i="5"/>
  <c r="F51" i="16"/>
  <c r="Y81" i="5"/>
  <c r="AE381" i="5"/>
  <c r="F130" i="16"/>
  <c r="Y220" i="5"/>
  <c r="Y170" i="5"/>
  <c r="I46" i="7"/>
  <c r="AE105" i="5"/>
  <c r="Y127" i="5"/>
  <c r="F131" i="16"/>
  <c r="Y221" i="5"/>
  <c r="I62" i="10"/>
  <c r="AE182" i="5"/>
  <c r="Y141" i="5"/>
  <c r="Y147" i="5"/>
  <c r="AA101" i="5"/>
  <c r="AL101" i="5" s="1"/>
  <c r="Y101" i="5"/>
  <c r="Y77" i="5"/>
  <c r="AE48" i="5"/>
  <c r="AE129" i="5"/>
  <c r="AE348" i="5"/>
  <c r="G131" i="7"/>
  <c r="Y343" i="5"/>
  <c r="I72" i="10"/>
  <c r="AE220" i="5"/>
  <c r="G85" i="7"/>
  <c r="Y215" i="5"/>
  <c r="F107" i="16"/>
  <c r="Y179" i="5"/>
  <c r="Y171" i="5"/>
  <c r="AE108" i="5"/>
  <c r="Y103" i="5"/>
  <c r="F53" i="16"/>
  <c r="F155" i="16"/>
  <c r="P29" i="8"/>
  <c r="P94" i="8"/>
  <c r="J94" i="12" s="1"/>
  <c r="R137" i="8"/>
  <c r="J250" i="12"/>
  <c r="P293" i="8"/>
  <c r="J293" i="12" s="1"/>
  <c r="P173" i="8"/>
  <c r="P280" i="8"/>
  <c r="Q280" i="8" s="1"/>
  <c r="AR280" i="12" s="1"/>
  <c r="J142" i="12"/>
  <c r="J140" i="12"/>
  <c r="J260" i="12"/>
  <c r="AE95" i="10"/>
  <c r="S75" i="8"/>
  <c r="P75" i="8"/>
  <c r="Q75" i="8" s="1"/>
  <c r="AR75" i="12" s="1"/>
  <c r="P266" i="8"/>
  <c r="Q266" i="8" s="1"/>
  <c r="AR266" i="12" s="1"/>
  <c r="S266" i="8"/>
  <c r="S177" i="8"/>
  <c r="P177" i="8"/>
  <c r="J177" i="12" s="1"/>
  <c r="S85" i="8"/>
  <c r="P85" i="8"/>
  <c r="Q85" i="8" s="1"/>
  <c r="AR85" i="12" s="1"/>
  <c r="S172" i="8"/>
  <c r="P172" i="8"/>
  <c r="J172" i="12" s="1"/>
  <c r="S264" i="8"/>
  <c r="P264" i="8"/>
  <c r="AE97" i="10" s="1"/>
  <c r="S180" i="8"/>
  <c r="P180" i="8"/>
  <c r="R180" i="8" s="1"/>
  <c r="T180" i="8" s="1"/>
  <c r="S134" i="8"/>
  <c r="P134" i="8"/>
  <c r="J134" i="12" s="1"/>
  <c r="P165" i="8"/>
  <c r="AZ77" i="7" s="1"/>
  <c r="S165" i="8"/>
  <c r="S329" i="8"/>
  <c r="P329" i="8"/>
  <c r="J329" i="12" s="1"/>
  <c r="S68" i="8"/>
  <c r="P68" i="8"/>
  <c r="J68" i="12" s="1"/>
  <c r="S130" i="8"/>
  <c r="P130" i="8"/>
  <c r="V130" i="8" s="1"/>
  <c r="P65" i="8"/>
  <c r="S65" i="8"/>
  <c r="S301" i="8"/>
  <c r="P301" i="8"/>
  <c r="Q301" i="8" s="1"/>
  <c r="AR301" i="12" s="1"/>
  <c r="S252" i="8"/>
  <c r="P252" i="8"/>
  <c r="AE93" i="10" s="1"/>
  <c r="S207" i="8"/>
  <c r="P207" i="8"/>
  <c r="J207" i="12" s="1"/>
  <c r="S259" i="8"/>
  <c r="P259" i="8"/>
  <c r="R259" i="8" s="1"/>
  <c r="T259" i="8" s="1"/>
  <c r="S121" i="8"/>
  <c r="P121" i="8"/>
  <c r="J121" i="12" s="1"/>
  <c r="S309" i="8"/>
  <c r="P309" i="8"/>
  <c r="Q309" i="8" s="1"/>
  <c r="AR309" i="12" s="1"/>
  <c r="S57" i="8"/>
  <c r="P57" i="8"/>
  <c r="J57" i="12" s="1"/>
  <c r="P265" i="8"/>
  <c r="AZ119" i="7" s="1"/>
  <c r="S265" i="8"/>
  <c r="S224" i="8"/>
  <c r="P224" i="8"/>
  <c r="V224" i="8" s="1"/>
  <c r="S255" i="8"/>
  <c r="P255" i="8"/>
  <c r="Q255" i="8" s="1"/>
  <c r="AR255" i="12" s="1"/>
  <c r="S86" i="8"/>
  <c r="P86" i="8"/>
  <c r="J86" i="12" s="1"/>
  <c r="S277" i="8"/>
  <c r="P277" i="8"/>
  <c r="Q277" i="8" s="1"/>
  <c r="AR277" i="12" s="1"/>
  <c r="S193" i="8"/>
  <c r="P193" i="8"/>
  <c r="J193" i="12" s="1"/>
  <c r="S112" i="8"/>
  <c r="P112" i="8"/>
  <c r="Q112" i="8" s="1"/>
  <c r="AR112" i="12" s="1"/>
  <c r="S107" i="8"/>
  <c r="P107" i="8"/>
  <c r="AZ53" i="7" s="1"/>
  <c r="P50" i="8"/>
  <c r="J50" i="12" s="1"/>
  <c r="S50" i="8"/>
  <c r="P237" i="8"/>
  <c r="AZ107" i="7" s="1"/>
  <c r="S237" i="8"/>
  <c r="S308" i="8"/>
  <c r="P308" i="8"/>
  <c r="J308" i="12" s="1"/>
  <c r="S80" i="8"/>
  <c r="P80" i="8"/>
  <c r="Q80" i="8" s="1"/>
  <c r="AR80" i="12" s="1"/>
  <c r="S47" i="8"/>
  <c r="P47" i="8"/>
  <c r="V47" i="8" s="1"/>
  <c r="S230" i="8"/>
  <c r="P230" i="8"/>
  <c r="J230" i="12" s="1"/>
  <c r="P217" i="8"/>
  <c r="AZ99" i="7" s="1"/>
  <c r="S217" i="8"/>
  <c r="S221" i="8"/>
  <c r="P221" i="8"/>
  <c r="AZ100" i="7" s="1"/>
  <c r="S240" i="8"/>
  <c r="P240" i="8"/>
  <c r="J240" i="12" s="1"/>
  <c r="S323" i="8"/>
  <c r="P323" i="8"/>
  <c r="J323" i="12" s="1"/>
  <c r="AZ24" i="7"/>
  <c r="O197" i="8"/>
  <c r="P197" i="8" s="1"/>
  <c r="O278" i="8"/>
  <c r="O104" i="8"/>
  <c r="P104" i="8" s="1"/>
  <c r="P249" i="8"/>
  <c r="R249" i="8" s="1"/>
  <c r="T249" i="8" s="1"/>
  <c r="J280" i="12"/>
  <c r="P119" i="8"/>
  <c r="AZ58" i="7" s="1"/>
  <c r="AZ69" i="7"/>
  <c r="P95" i="8"/>
  <c r="AZ48" i="7" s="1"/>
  <c r="T137" i="8"/>
  <c r="R145" i="8"/>
  <c r="V137" i="8"/>
  <c r="J145" i="12"/>
  <c r="S27" i="8"/>
  <c r="Q27" i="8"/>
  <c r="AR27" i="12" s="1"/>
  <c r="Q99" i="8"/>
  <c r="AR99" i="12" s="1"/>
  <c r="R99" i="8"/>
  <c r="T99" i="8" s="1"/>
  <c r="V99" i="8"/>
  <c r="J325" i="12"/>
  <c r="Q325" i="8"/>
  <c r="AR325" i="12" s="1"/>
  <c r="J139" i="12"/>
  <c r="G88" i="7"/>
  <c r="S300" i="8"/>
  <c r="P300" i="8"/>
  <c r="J300" i="12" s="1"/>
  <c r="S219" i="8"/>
  <c r="P219" i="8"/>
  <c r="J219" i="12" s="1"/>
  <c r="F4" i="9"/>
  <c r="T4" i="9" s="1"/>
  <c r="F136" i="16"/>
  <c r="G56" i="10"/>
  <c r="F139" i="16"/>
  <c r="G21" i="7"/>
  <c r="F239" i="16"/>
  <c r="F145" i="12"/>
  <c r="F327" i="12"/>
  <c r="F232" i="16"/>
  <c r="F149" i="16"/>
  <c r="F68" i="16"/>
  <c r="F321" i="12"/>
  <c r="AB60" i="5"/>
  <c r="AB151" i="5"/>
  <c r="AB56" i="5"/>
  <c r="AB46" i="5"/>
  <c r="AO19" i="7"/>
  <c r="X130" i="13"/>
  <c r="W130" i="13"/>
  <c r="X27" i="13"/>
  <c r="Z27" i="13" s="1"/>
  <c r="W27" i="13"/>
  <c r="Z56" i="13"/>
  <c r="AB56" i="13"/>
  <c r="X17" i="13"/>
  <c r="Z17" i="13" s="1"/>
  <c r="W17" i="13"/>
  <c r="X155" i="13"/>
  <c r="W155" i="13"/>
  <c r="X71" i="13"/>
  <c r="Z71" i="13" s="1"/>
  <c r="W71" i="13"/>
  <c r="X63" i="13"/>
  <c r="Z63" i="13" s="1"/>
  <c r="W63" i="13"/>
  <c r="X107" i="13"/>
  <c r="W107" i="13"/>
  <c r="X95" i="13"/>
  <c r="W95" i="13"/>
  <c r="X144" i="13"/>
  <c r="W144" i="13"/>
  <c r="X140" i="13"/>
  <c r="W140" i="13"/>
  <c r="X55" i="13"/>
  <c r="W55" i="13"/>
  <c r="X83" i="13"/>
  <c r="W83" i="13"/>
  <c r="X26" i="13"/>
  <c r="W26" i="13"/>
  <c r="AB70" i="13"/>
  <c r="AD70" i="13" s="1"/>
  <c r="AB135" i="13"/>
  <c r="AD135" i="13" s="1"/>
  <c r="AB18" i="46"/>
  <c r="AB30" i="13"/>
  <c r="AW18" i="46"/>
  <c r="AL30" i="13"/>
  <c r="BD18" i="46" s="1"/>
  <c r="AB101" i="13"/>
  <c r="AC39" i="46"/>
  <c r="AB119" i="7"/>
  <c r="AJ119" i="7" s="1"/>
  <c r="AB250" i="5"/>
  <c r="AB396" i="5"/>
  <c r="AB316" i="5"/>
  <c r="AB198" i="5"/>
  <c r="AB234" i="5"/>
  <c r="AB310" i="5"/>
  <c r="AB272" i="5"/>
  <c r="AB404" i="5"/>
  <c r="G38" i="10"/>
  <c r="F183" i="16"/>
  <c r="G99" i="10"/>
  <c r="G19" i="10"/>
  <c r="I43" i="10"/>
  <c r="G124" i="7"/>
  <c r="AB305" i="5"/>
  <c r="AB328" i="5"/>
  <c r="G100" i="10"/>
  <c r="G126" i="10"/>
  <c r="G112" i="10"/>
  <c r="G69" i="10"/>
  <c r="F104" i="16"/>
  <c r="G101" i="10"/>
  <c r="F231" i="16"/>
  <c r="F180" i="16"/>
  <c r="G138" i="7"/>
  <c r="AB137" i="5"/>
  <c r="F117" i="16"/>
  <c r="F86" i="16"/>
  <c r="F97" i="16"/>
  <c r="I107" i="7"/>
  <c r="AB298" i="5"/>
  <c r="AB297" i="5"/>
  <c r="AB165" i="5"/>
  <c r="G75" i="10"/>
  <c r="AB345" i="5"/>
  <c r="AB143" i="5"/>
  <c r="J142" i="7"/>
  <c r="G48" i="7"/>
  <c r="AB385" i="5"/>
  <c r="AB336" i="5"/>
  <c r="G34" i="10"/>
  <c r="AB379" i="5"/>
  <c r="AB382" i="5"/>
  <c r="AB387" i="5"/>
  <c r="AB349" i="5"/>
  <c r="AB139" i="5"/>
  <c r="G73" i="7"/>
  <c r="F122" i="16"/>
  <c r="F101" i="16"/>
  <c r="F208" i="16"/>
  <c r="F237" i="16"/>
  <c r="F119" i="16"/>
  <c r="G22" i="7"/>
  <c r="F228" i="12"/>
  <c r="F112" i="16"/>
  <c r="F229" i="16"/>
  <c r="F116" i="12"/>
  <c r="AB107" i="5"/>
  <c r="AB337" i="5"/>
  <c r="F335" i="12"/>
  <c r="F216" i="16"/>
  <c r="F204" i="16"/>
  <c r="F59" i="16"/>
  <c r="AB129" i="5"/>
  <c r="AB220" i="5"/>
  <c r="AB348" i="5"/>
  <c r="AB416" i="5"/>
  <c r="G21" i="10"/>
  <c r="G32" i="10"/>
  <c r="AB279" i="5"/>
  <c r="F120" i="16"/>
  <c r="F160" i="16"/>
  <c r="G25" i="10"/>
  <c r="AB138" i="5"/>
  <c r="AB381" i="5"/>
  <c r="F138" i="12"/>
  <c r="J85" i="10"/>
  <c r="AB292" i="5"/>
  <c r="AV24" i="5"/>
  <c r="AF19" i="7"/>
  <c r="AG19" i="7"/>
  <c r="AN19" i="7" s="1"/>
  <c r="J48" i="10"/>
  <c r="J113" i="7"/>
  <c r="F96" i="16"/>
  <c r="F86" i="12"/>
  <c r="F56" i="16"/>
  <c r="F75" i="16"/>
  <c r="G145" i="7"/>
  <c r="J44" i="7"/>
  <c r="J144" i="12"/>
  <c r="P354" i="8"/>
  <c r="J354" i="12" s="1"/>
  <c r="P166" i="8"/>
  <c r="J166" i="12" s="1"/>
  <c r="P352" i="8"/>
  <c r="J352" i="12" s="1"/>
  <c r="P211" i="8"/>
  <c r="J211" i="12" s="1"/>
  <c r="P151" i="8"/>
  <c r="J151" i="12" s="1"/>
  <c r="P70" i="8"/>
  <c r="AE32" i="10" s="1"/>
  <c r="P159" i="8"/>
  <c r="Q159" i="8" s="1"/>
  <c r="AR159" i="12" s="1"/>
  <c r="P184" i="8"/>
  <c r="J184" i="12" s="1"/>
  <c r="Q109" i="8"/>
  <c r="AR109" i="12" s="1"/>
  <c r="P198" i="8"/>
  <c r="P58" i="8"/>
  <c r="V58" i="8" s="1"/>
  <c r="P279" i="8"/>
  <c r="J279" i="12" s="1"/>
  <c r="P317" i="8"/>
  <c r="AZ140" i="7" s="1"/>
  <c r="P188" i="8"/>
  <c r="J188" i="12" s="1"/>
  <c r="P52" i="8"/>
  <c r="J52" i="12" s="1"/>
  <c r="J119" i="12"/>
  <c r="P229" i="8"/>
  <c r="AZ104" i="7" s="1"/>
  <c r="P297" i="8"/>
  <c r="J297" i="12" s="1"/>
  <c r="P263" i="8"/>
  <c r="P194" i="8"/>
  <c r="R194" i="8" s="1"/>
  <c r="T194" i="8" s="1"/>
  <c r="Z142" i="13"/>
  <c r="AB142" i="13"/>
  <c r="AD142" i="13" s="1"/>
  <c r="Z114" i="13"/>
  <c r="AB114" i="13"/>
  <c r="AD114" i="13" s="1"/>
  <c r="AF18" i="13"/>
  <c r="AS15" i="46" s="1"/>
  <c r="AL15" i="46"/>
  <c r="AB87" i="13"/>
  <c r="AD87" i="13" s="1"/>
  <c r="W56" i="13"/>
  <c r="W61" i="13"/>
  <c r="AL91" i="13"/>
  <c r="BE30" i="46" s="1"/>
  <c r="W99" i="13"/>
  <c r="W41" i="13"/>
  <c r="W35" i="13"/>
  <c r="AC24" i="46"/>
  <c r="V24" i="46"/>
  <c r="Y4" i="46"/>
  <c r="AF32" i="46"/>
  <c r="AB75" i="13"/>
  <c r="AD75" i="13" s="1"/>
  <c r="AN91" i="13"/>
  <c r="BL30" i="46" s="1"/>
  <c r="W142" i="13"/>
  <c r="AE35" i="46"/>
  <c r="AC30" i="46"/>
  <c r="AB91" i="13"/>
  <c r="W118" i="13"/>
  <c r="W75" i="13"/>
  <c r="AB102" i="13"/>
  <c r="AD102" i="13" s="1"/>
  <c r="X108" i="13"/>
  <c r="AB23" i="13"/>
  <c r="AD23" i="13" s="1"/>
  <c r="V40" i="46"/>
  <c r="V30" i="46"/>
  <c r="AC40" i="46"/>
  <c r="AB61" i="13"/>
  <c r="AD61" i="13" s="1"/>
  <c r="Q4" i="13"/>
  <c r="W47" i="13"/>
  <c r="W102" i="13"/>
  <c r="X60" i="13"/>
  <c r="AE36" i="46"/>
  <c r="AL123" i="13"/>
  <c r="BG36" i="46" s="1"/>
  <c r="W91" i="13"/>
  <c r="W114" i="13"/>
  <c r="X36" i="46"/>
  <c r="AZ36" i="46"/>
  <c r="W74" i="13"/>
  <c r="AB57" i="13"/>
  <c r="AD57" i="13" s="1"/>
  <c r="W18" i="13"/>
  <c r="X35" i="46"/>
  <c r="AB123" i="13"/>
  <c r="AD123" i="13" s="1"/>
  <c r="AB126" i="13"/>
  <c r="AD126" i="13" s="1"/>
  <c r="AB121" i="13"/>
  <c r="AD121" i="13" s="1"/>
  <c r="W123" i="13"/>
  <c r="R167" i="14"/>
  <c r="S167" i="14" s="1"/>
  <c r="R150" i="14"/>
  <c r="S150" i="14" s="1"/>
  <c r="R248" i="14"/>
  <c r="S248" i="14" s="1"/>
  <c r="R109" i="14"/>
  <c r="S109" i="14" s="1"/>
  <c r="R263" i="14"/>
  <c r="T263" i="14" s="1"/>
  <c r="R147" i="14"/>
  <c r="S147" i="14" s="1"/>
  <c r="R111" i="14"/>
  <c r="T111" i="14" s="1"/>
  <c r="R217" i="14"/>
  <c r="T217" i="14" s="1"/>
  <c r="R310" i="14"/>
  <c r="S310" i="14" s="1"/>
  <c r="AE41" i="10"/>
  <c r="J96" i="12"/>
  <c r="J302" i="12"/>
  <c r="AE110" i="10"/>
  <c r="V316" i="8"/>
  <c r="Q316" i="8"/>
  <c r="AR316" i="12" s="1"/>
  <c r="J316" i="12"/>
  <c r="R316" i="8"/>
  <c r="T316" i="8" s="1"/>
  <c r="P168" i="8"/>
  <c r="Q168" i="8" s="1"/>
  <c r="AR168" i="12" s="1"/>
  <c r="P203" i="8"/>
  <c r="Q203" i="8" s="1"/>
  <c r="AR203" i="12" s="1"/>
  <c r="P322" i="8"/>
  <c r="V322" i="8" s="1"/>
  <c r="P239" i="8"/>
  <c r="AZ108" i="7" s="1"/>
  <c r="P303" i="8"/>
  <c r="R303" i="8" s="1"/>
  <c r="P271" i="8"/>
  <c r="Q271" i="8" s="1"/>
  <c r="AR271" i="12" s="1"/>
  <c r="AR32" i="12"/>
  <c r="P294" i="8"/>
  <c r="J294" i="12" s="1"/>
  <c r="P157" i="8"/>
  <c r="V157" i="8" s="1"/>
  <c r="P238" i="8"/>
  <c r="Q173" i="8"/>
  <c r="AR173" i="12" s="1"/>
  <c r="P347" i="8"/>
  <c r="J347" i="12" s="1"/>
  <c r="P128" i="8"/>
  <c r="V128" i="8" s="1"/>
  <c r="P286" i="8"/>
  <c r="R286" i="8" s="1"/>
  <c r="T286" i="8" s="1"/>
  <c r="P127" i="8"/>
  <c r="R127" i="8" s="1"/>
  <c r="T127" i="8" s="1"/>
  <c r="P299" i="8"/>
  <c r="V299" i="8" s="1"/>
  <c r="P117" i="8"/>
  <c r="P335" i="8"/>
  <c r="J237" i="12"/>
  <c r="P72" i="8"/>
  <c r="V72" i="8" s="1"/>
  <c r="P348" i="8"/>
  <c r="J348" i="12" s="1"/>
  <c r="J75" i="12"/>
  <c r="P61" i="8"/>
  <c r="R61" i="8" s="1"/>
  <c r="T61" i="8" s="1"/>
  <c r="AE23" i="10"/>
  <c r="P226" i="8"/>
  <c r="J226" i="12" s="1"/>
  <c r="P298" i="8"/>
  <c r="Q298" i="8" s="1"/>
  <c r="AR298" i="12" s="1"/>
  <c r="J34" i="12"/>
  <c r="P214" i="8"/>
  <c r="R214" i="8" s="1"/>
  <c r="P324" i="8"/>
  <c r="P123" i="8"/>
  <c r="V123" i="8" s="1"/>
  <c r="P67" i="8"/>
  <c r="J67" i="12" s="1"/>
  <c r="AE60" i="10"/>
  <c r="J154" i="12"/>
  <c r="AZ120" i="7"/>
  <c r="J269" i="12"/>
  <c r="J202" i="12"/>
  <c r="AE76" i="10"/>
  <c r="AE44" i="10"/>
  <c r="J106" i="12"/>
  <c r="AE42" i="10"/>
  <c r="J98" i="12"/>
  <c r="P174" i="8"/>
  <c r="J174" i="12" s="1"/>
  <c r="P171" i="8"/>
  <c r="V171" i="8" s="1"/>
  <c r="AZ25" i="7"/>
  <c r="P333" i="8"/>
  <c r="J38" i="12"/>
  <c r="AR35" i="12"/>
  <c r="P334" i="8"/>
  <c r="Q334" i="8" s="1"/>
  <c r="AR334" i="12" s="1"/>
  <c r="P153" i="8"/>
  <c r="J153" i="12" s="1"/>
  <c r="P118" i="8"/>
  <c r="Q118" i="8" s="1"/>
  <c r="AR118" i="12" s="1"/>
  <c r="P327" i="8"/>
  <c r="J327" i="12" s="1"/>
  <c r="P235" i="8"/>
  <c r="V235" i="8" s="1"/>
  <c r="V17" i="8"/>
  <c r="P66" i="8"/>
  <c r="P330" i="8"/>
  <c r="V330" i="8" s="1"/>
  <c r="AE40" i="10"/>
  <c r="P101" i="8"/>
  <c r="J101" i="12" s="1"/>
  <c r="P231" i="8"/>
  <c r="J231" i="12" s="1"/>
  <c r="P162" i="8"/>
  <c r="V162" i="8" s="1"/>
  <c r="P313" i="8"/>
  <c r="R313" i="8" s="1"/>
  <c r="P356" i="8"/>
  <c r="J356" i="12" s="1"/>
  <c r="P288" i="8"/>
  <c r="R288" i="8" s="1"/>
  <c r="P254" i="8"/>
  <c r="V254" i="8" s="1"/>
  <c r="V142" i="8"/>
  <c r="T142" i="8"/>
  <c r="R142" i="8"/>
  <c r="P321" i="8"/>
  <c r="Q210" i="8"/>
  <c r="AR210" i="12" s="1"/>
  <c r="P256" i="8"/>
  <c r="J256" i="12" s="1"/>
  <c r="P156" i="8"/>
  <c r="R156" i="8" s="1"/>
  <c r="P183" i="8"/>
  <c r="R183" i="8" s="1"/>
  <c r="T183" i="8" s="1"/>
  <c r="AZ44" i="7"/>
  <c r="P215" i="8"/>
  <c r="R215" i="8" s="1"/>
  <c r="T215" i="8" s="1"/>
  <c r="P268" i="8"/>
  <c r="J268" i="12" s="1"/>
  <c r="P341" i="8"/>
  <c r="AZ150" i="7" s="1"/>
  <c r="P296" i="8"/>
  <c r="V296" i="8" s="1"/>
  <c r="J85" i="12"/>
  <c r="P246" i="8"/>
  <c r="J246" i="12" s="1"/>
  <c r="P355" i="8"/>
  <c r="AZ156" i="7" s="1"/>
  <c r="Q94" i="8"/>
  <c r="AR94" i="12" s="1"/>
  <c r="P21" i="8"/>
  <c r="V21" i="8" s="1"/>
  <c r="AZ26" i="7"/>
  <c r="P102" i="8"/>
  <c r="J102" i="12" s="1"/>
  <c r="P336" i="8"/>
  <c r="Q336" i="8" s="1"/>
  <c r="AR336" i="12" s="1"/>
  <c r="P97" i="8"/>
  <c r="V97" i="8" s="1"/>
  <c r="P73" i="8"/>
  <c r="P74" i="8"/>
  <c r="T138" i="8"/>
  <c r="V138" i="8"/>
  <c r="R138" i="8"/>
  <c r="P270" i="8"/>
  <c r="P311" i="8"/>
  <c r="V311" i="8" s="1"/>
  <c r="P245" i="8"/>
  <c r="V245" i="8" s="1"/>
  <c r="P353" i="8"/>
  <c r="R353" i="8" s="1"/>
  <c r="P69" i="8"/>
  <c r="V69" i="8" s="1"/>
  <c r="P359" i="8"/>
  <c r="V359" i="8" s="1"/>
  <c r="P89" i="8"/>
  <c r="J89" i="12" s="1"/>
  <c r="P314" i="8"/>
  <c r="Q314" i="8" s="1"/>
  <c r="AR314" i="12" s="1"/>
  <c r="P208" i="8"/>
  <c r="P251" i="8"/>
  <c r="J251" i="12" s="1"/>
  <c r="P126" i="8"/>
  <c r="J126" i="12" s="1"/>
  <c r="P111" i="8"/>
  <c r="J111" i="12" s="1"/>
  <c r="P129" i="8"/>
  <c r="J129" i="12" s="1"/>
  <c r="P285" i="8"/>
  <c r="AX119" i="7"/>
  <c r="AH44" i="7"/>
  <c r="AG17" i="7"/>
  <c r="AN17" i="7" s="1"/>
  <c r="AV23" i="5"/>
  <c r="AA4" i="7"/>
  <c r="AF44" i="7"/>
  <c r="AD119" i="7"/>
  <c r="AV17" i="5"/>
  <c r="AB309" i="5"/>
  <c r="I41" i="10"/>
  <c r="AU21" i="5"/>
  <c r="AV20" i="5"/>
  <c r="W253" i="8"/>
  <c r="AF17" i="7"/>
  <c r="AK19" i="7"/>
  <c r="X124" i="7"/>
  <c r="AV18" i="5"/>
  <c r="H85" i="12"/>
  <c r="AX19" i="7"/>
  <c r="F245" i="16"/>
  <c r="F64" i="16"/>
  <c r="F304" i="12"/>
  <c r="AB361" i="5"/>
  <c r="AB199" i="5"/>
  <c r="F128" i="16"/>
  <c r="AB70" i="5"/>
  <c r="J131" i="7"/>
  <c r="I61" i="10"/>
  <c r="J57" i="7"/>
  <c r="I136" i="7"/>
  <c r="AB350" i="5"/>
  <c r="AB77" i="5"/>
  <c r="AB240" i="5"/>
  <c r="AB258" i="5"/>
  <c r="F90" i="16"/>
  <c r="J121" i="7"/>
  <c r="G104" i="10"/>
  <c r="F206" i="16"/>
  <c r="F271" i="12"/>
  <c r="AB105" i="5"/>
  <c r="AB380" i="5"/>
  <c r="F123" i="16"/>
  <c r="AB335" i="5"/>
  <c r="AB169" i="5"/>
  <c r="G125" i="10"/>
  <c r="F37" i="16"/>
  <c r="F46" i="12"/>
  <c r="F205" i="16"/>
  <c r="F203" i="16"/>
  <c r="G39" i="10"/>
  <c r="AB81" i="5"/>
  <c r="F309" i="12"/>
  <c r="F246" i="12"/>
  <c r="F110" i="12"/>
  <c r="F196" i="16"/>
  <c r="F272" i="12"/>
  <c r="AB128" i="5"/>
  <c r="AB288" i="5"/>
  <c r="AB291" i="5"/>
  <c r="AB372" i="5"/>
  <c r="AB388" i="5"/>
  <c r="AB377" i="5"/>
  <c r="AB271" i="5"/>
  <c r="W61" i="9"/>
  <c r="Z61" i="9" s="1"/>
  <c r="AB53" i="5"/>
  <c r="F285" i="12"/>
  <c r="AB284" i="5"/>
  <c r="AB69" i="5"/>
  <c r="G65" i="10"/>
  <c r="J101" i="10"/>
  <c r="AB265" i="5"/>
  <c r="F182" i="12"/>
  <c r="I133" i="7"/>
  <c r="F72" i="16"/>
  <c r="AB355" i="5"/>
  <c r="AB190" i="5"/>
  <c r="AB236" i="5"/>
  <c r="AB268" i="5"/>
  <c r="AB398" i="5"/>
  <c r="AB384" i="5"/>
  <c r="AB289" i="5"/>
  <c r="AB378" i="5"/>
  <c r="F276" i="12"/>
  <c r="F35" i="12"/>
  <c r="G23" i="7"/>
  <c r="G22" i="10"/>
  <c r="AB153" i="5"/>
  <c r="F318" i="12"/>
  <c r="I129" i="10"/>
  <c r="F108" i="16"/>
  <c r="F116" i="16"/>
  <c r="F176" i="16"/>
  <c r="G42" i="10"/>
  <c r="J67" i="7"/>
  <c r="G40" i="7"/>
  <c r="AB115" i="5"/>
  <c r="AB33" i="5"/>
  <c r="AB84" i="5"/>
  <c r="AB36" i="5"/>
  <c r="AB414" i="5"/>
  <c r="G51" i="10"/>
  <c r="F193" i="12"/>
  <c r="J62" i="7"/>
  <c r="I41" i="7"/>
  <c r="AB251" i="5"/>
  <c r="AB48" i="5"/>
  <c r="F88" i="16"/>
  <c r="F74" i="16"/>
  <c r="F332" i="12"/>
  <c r="F155" i="12"/>
  <c r="AB68" i="5"/>
  <c r="AB76" i="5"/>
  <c r="J116" i="7"/>
  <c r="F259" i="12"/>
  <c r="F92" i="16"/>
  <c r="I73" i="10"/>
  <c r="G74" i="7"/>
  <c r="AB320" i="5"/>
  <c r="AB262" i="5"/>
  <c r="G128" i="7"/>
  <c r="I126" i="7"/>
  <c r="F103" i="12"/>
  <c r="I116" i="7"/>
  <c r="F109" i="16"/>
  <c r="G61" i="10"/>
  <c r="F89" i="12"/>
  <c r="F97" i="12"/>
  <c r="F185" i="12"/>
  <c r="F223" i="16"/>
  <c r="G71" i="10"/>
  <c r="I51" i="10"/>
  <c r="AB175" i="5"/>
  <c r="J59" i="10"/>
  <c r="F295" i="12"/>
  <c r="AB287" i="5"/>
  <c r="W45" i="9"/>
  <c r="Z45" i="9" s="1"/>
  <c r="W108" i="9"/>
  <c r="Z108" i="9" s="1"/>
  <c r="AB90" i="5"/>
  <c r="AB166" i="5"/>
  <c r="W71" i="9"/>
  <c r="Z71" i="9" s="1"/>
  <c r="AB145" i="5"/>
  <c r="I49" i="7"/>
  <c r="F117" i="12"/>
  <c r="AB140" i="5"/>
  <c r="AB353" i="5"/>
  <c r="AB397" i="5"/>
  <c r="AB228" i="5"/>
  <c r="AB274" i="5"/>
  <c r="AB362" i="5"/>
  <c r="AB229" i="5"/>
  <c r="F194" i="16"/>
  <c r="I119" i="10"/>
  <c r="W111" i="9"/>
  <c r="Z111" i="9" s="1"/>
  <c r="J79" i="7"/>
  <c r="G119" i="10"/>
  <c r="W105" i="9"/>
  <c r="Z105" i="9" s="1"/>
  <c r="W51" i="9"/>
  <c r="Z51" i="9" s="1"/>
  <c r="G102" i="10"/>
  <c r="F196" i="12"/>
  <c r="AB98" i="5"/>
  <c r="G43" i="7"/>
  <c r="I85" i="7"/>
  <c r="W60" i="9"/>
  <c r="Z60" i="9" s="1"/>
  <c r="AB52" i="5"/>
  <c r="I43" i="7"/>
  <c r="AB118" i="5"/>
  <c r="AB64" i="5"/>
  <c r="AB34" i="5"/>
  <c r="J119" i="10"/>
  <c r="AB391" i="5"/>
  <c r="J103" i="7"/>
  <c r="J69" i="7"/>
  <c r="AB256" i="5"/>
  <c r="AB324" i="5"/>
  <c r="AB132" i="5"/>
  <c r="AB192" i="5"/>
  <c r="AB44" i="5"/>
  <c r="AB411" i="5"/>
  <c r="AB325" i="5"/>
  <c r="I40" i="7"/>
  <c r="I151" i="7"/>
  <c r="AB54" i="5"/>
  <c r="AB51" i="5"/>
  <c r="AB400" i="5"/>
  <c r="AB257" i="5"/>
  <c r="AB59" i="5"/>
  <c r="AB80" i="5"/>
  <c r="AB237" i="5"/>
  <c r="AB208" i="5"/>
  <c r="AB206" i="5"/>
  <c r="AB252" i="5"/>
  <c r="AB354" i="5"/>
  <c r="AB407" i="5"/>
  <c r="AB159" i="5"/>
  <c r="AB217" i="5"/>
  <c r="G70" i="7"/>
  <c r="G122" i="10"/>
  <c r="AB413" i="5"/>
  <c r="AB359" i="5"/>
  <c r="AB419" i="5"/>
  <c r="AB232" i="5"/>
  <c r="AB211" i="5"/>
  <c r="AB147" i="5"/>
  <c r="AB344" i="5"/>
  <c r="AB330" i="5"/>
  <c r="AB214" i="5"/>
  <c r="AB371" i="5"/>
  <c r="AB160" i="5"/>
  <c r="AB290" i="5"/>
  <c r="AB227" i="5"/>
  <c r="AB83" i="5"/>
  <c r="AB376" i="5"/>
  <c r="AB277" i="5"/>
  <c r="W87" i="9"/>
  <c r="Z87" i="9" s="1"/>
  <c r="W19" i="9"/>
  <c r="Z19" i="9" s="1"/>
  <c r="AB308" i="5"/>
  <c r="AB67" i="5"/>
  <c r="AB399" i="5"/>
  <c r="AB243" i="5"/>
  <c r="AB363" i="5"/>
  <c r="AB365" i="5"/>
  <c r="AB173" i="5"/>
  <c r="AB221" i="5"/>
  <c r="AB300" i="5"/>
  <c r="AB96" i="5"/>
  <c r="AB47" i="5"/>
  <c r="AB269" i="5"/>
  <c r="R4" i="5"/>
  <c r="AB342" i="5"/>
  <c r="W101" i="9"/>
  <c r="Z101" i="9" s="1"/>
  <c r="W127" i="9"/>
  <c r="Z127" i="9" s="1"/>
  <c r="W91" i="9"/>
  <c r="Z91" i="9" s="1"/>
  <c r="AB219" i="5"/>
  <c r="W53" i="9"/>
  <c r="Z53" i="9" s="1"/>
  <c r="AB307" i="5"/>
  <c r="W52" i="9"/>
  <c r="Z52" i="9" s="1"/>
  <c r="J47" i="10"/>
  <c r="F81" i="16"/>
  <c r="AB148" i="5"/>
  <c r="AB102" i="5"/>
  <c r="AB133" i="5"/>
  <c r="AB88" i="5"/>
  <c r="AB374" i="5"/>
  <c r="AB405" i="5"/>
  <c r="AB45" i="5"/>
  <c r="AB184" i="5"/>
  <c r="AB244" i="5"/>
  <c r="AB318" i="5"/>
  <c r="AB406" i="5"/>
  <c r="AB420" i="5"/>
  <c r="AB346" i="5"/>
  <c r="I119" i="7"/>
  <c r="W56" i="9"/>
  <c r="Z56" i="9" s="1"/>
  <c r="J137" i="7"/>
  <c r="AB142" i="5"/>
  <c r="AB126" i="5"/>
  <c r="AB260" i="5"/>
  <c r="AB97" i="5"/>
  <c r="AB161" i="5"/>
  <c r="AB264" i="5"/>
  <c r="AB283" i="5"/>
  <c r="AB230" i="5"/>
  <c r="AB74" i="5"/>
  <c r="AB395" i="5"/>
  <c r="AB340" i="5"/>
  <c r="AB121" i="5"/>
  <c r="AB109" i="5"/>
  <c r="AB294" i="5"/>
  <c r="H4" i="46"/>
  <c r="W33" i="9"/>
  <c r="Z33" i="9" s="1"/>
  <c r="W83" i="9"/>
  <c r="Z83" i="9" s="1"/>
  <c r="W103" i="9"/>
  <c r="Z103" i="9" s="1"/>
  <c r="W50" i="9"/>
  <c r="Z50" i="9" s="1"/>
  <c r="W59" i="9"/>
  <c r="Z59" i="9" s="1"/>
  <c r="BT4" i="46"/>
  <c r="W78" i="9"/>
  <c r="Z78" i="9" s="1"/>
  <c r="W18" i="9"/>
  <c r="Z18" i="9" s="1"/>
  <c r="W63" i="9"/>
  <c r="Z63" i="9" s="1"/>
  <c r="W24" i="9"/>
  <c r="Z24" i="9" s="1"/>
  <c r="W75" i="9"/>
  <c r="Z75" i="9" s="1"/>
  <c r="W26" i="9"/>
  <c r="Z26" i="9" s="1"/>
  <c r="W129" i="9"/>
  <c r="Z129" i="9" s="1"/>
  <c r="W65" i="9"/>
  <c r="Z65" i="9" s="1"/>
  <c r="W69" i="9"/>
  <c r="Z69" i="9" s="1"/>
  <c r="W117" i="9"/>
  <c r="Z117" i="9" s="1"/>
  <c r="W57" i="9"/>
  <c r="Z57" i="9" s="1"/>
  <c r="W47" i="9"/>
  <c r="Z47" i="9" s="1"/>
  <c r="W119" i="9"/>
  <c r="Z119" i="9" s="1"/>
  <c r="W109" i="9"/>
  <c r="Z109" i="9" s="1"/>
  <c r="W73" i="9"/>
  <c r="Z73" i="9" s="1"/>
  <c r="I82" i="7"/>
  <c r="AB89" i="5"/>
  <c r="AB200" i="5"/>
  <c r="AB239" i="5"/>
  <c r="AB386" i="5"/>
  <c r="AB327" i="5"/>
  <c r="AB329" i="5"/>
  <c r="AB205" i="5"/>
  <c r="AB95" i="5"/>
  <c r="AB61" i="5"/>
  <c r="AB187" i="5"/>
  <c r="AB189" i="5"/>
  <c r="AB317" i="5"/>
  <c r="AB55" i="5"/>
  <c r="AB201" i="5"/>
  <c r="G28" i="7"/>
  <c r="AB222" i="5"/>
  <c r="AB110" i="5"/>
  <c r="AB158" i="5"/>
  <c r="G101" i="7"/>
  <c r="I83" i="7"/>
  <c r="I47" i="10"/>
  <c r="F57" i="16"/>
  <c r="G29" i="10"/>
  <c r="F34" i="16"/>
  <c r="AB71" i="5"/>
  <c r="AB259" i="5"/>
  <c r="AB134" i="5"/>
  <c r="AB177" i="5"/>
  <c r="G122" i="7"/>
  <c r="I92" i="7"/>
  <c r="G46" i="10"/>
  <c r="I79" i="10"/>
  <c r="AB167" i="5"/>
  <c r="AB276" i="5"/>
  <c r="AB131" i="5"/>
  <c r="AB168" i="5"/>
  <c r="AB125" i="5"/>
  <c r="AB94" i="5"/>
  <c r="G150" i="7"/>
  <c r="AB373" i="5"/>
  <c r="AB57" i="5"/>
  <c r="AB231" i="5"/>
  <c r="AB383" i="5"/>
  <c r="AB29" i="5"/>
  <c r="AB86" i="5"/>
  <c r="G41" i="7"/>
  <c r="I77" i="7"/>
  <c r="I123" i="7"/>
  <c r="I91" i="10"/>
  <c r="F50" i="16"/>
  <c r="AB30" i="5"/>
  <c r="AB238" i="5"/>
  <c r="AB31" i="5"/>
  <c r="AB79" i="5"/>
  <c r="AB225" i="5"/>
  <c r="AB111" i="5"/>
  <c r="AB266" i="5"/>
  <c r="AB157" i="5"/>
  <c r="AB370" i="5"/>
  <c r="AB323" i="5"/>
  <c r="AB299" i="5"/>
  <c r="AB141" i="5"/>
  <c r="AB117" i="5"/>
  <c r="G158" i="7"/>
  <c r="G81" i="10"/>
  <c r="AB390" i="5"/>
  <c r="G55" i="7"/>
  <c r="AB415" i="5"/>
  <c r="AB389" i="5"/>
  <c r="AB87" i="5"/>
  <c r="G27" i="10"/>
  <c r="AB193" i="5"/>
  <c r="AB171" i="5"/>
  <c r="F87" i="16"/>
  <c r="AB120" i="5"/>
  <c r="AB267" i="5"/>
  <c r="AB223" i="5"/>
  <c r="AB172" i="5"/>
  <c r="AB304" i="5"/>
  <c r="AB338" i="5"/>
  <c r="AB62" i="5"/>
  <c r="AB164" i="5"/>
  <c r="AB263" i="5"/>
  <c r="AB233" i="5"/>
  <c r="AB275" i="5"/>
  <c r="AB408" i="5"/>
  <c r="AB204" i="5"/>
  <c r="AB280" i="5"/>
  <c r="AB412" i="5"/>
  <c r="AB226" i="5"/>
  <c r="AB358" i="5"/>
  <c r="AB409" i="5"/>
  <c r="AB295" i="5"/>
  <c r="AB91" i="5"/>
  <c r="AB296" i="5"/>
  <c r="AB99" i="5"/>
  <c r="AB249" i="5"/>
  <c r="AB174" i="5"/>
  <c r="AB106" i="5"/>
  <c r="AB366" i="5"/>
  <c r="AB235" i="5"/>
  <c r="AB197" i="5"/>
  <c r="AB368" i="5"/>
  <c r="AB281" i="5"/>
  <c r="AB63" i="5"/>
  <c r="AB209" i="5"/>
  <c r="AB313" i="5"/>
  <c r="AB347" i="5"/>
  <c r="AB149" i="5"/>
  <c r="AB119" i="5"/>
  <c r="AB341" i="5"/>
  <c r="AB212" i="5"/>
  <c r="AB75" i="5"/>
  <c r="AB285" i="5"/>
  <c r="AB245" i="5"/>
  <c r="AB58" i="5"/>
  <c r="AB66" i="5"/>
  <c r="AB248" i="5"/>
  <c r="AB352" i="5"/>
  <c r="AB417" i="5"/>
  <c r="AB85" i="5"/>
  <c r="AB339" i="5"/>
  <c r="AB215" i="5"/>
  <c r="AB150" i="5"/>
  <c r="AB112" i="5"/>
  <c r="AB136" i="5"/>
  <c r="AB333" i="5"/>
  <c r="AB152" i="5"/>
  <c r="AB218" i="5"/>
  <c r="AB183" i="5"/>
  <c r="AB319" i="5"/>
  <c r="AB73" i="5"/>
  <c r="AB364" i="5"/>
  <c r="AB270" i="5"/>
  <c r="AB402" i="5"/>
  <c r="AB321" i="5"/>
  <c r="AB35" i="5"/>
  <c r="AB286" i="5"/>
  <c r="AB302" i="5"/>
  <c r="AB216" i="5"/>
  <c r="AB334" i="5"/>
  <c r="AB144" i="5"/>
  <c r="AB213" i="5"/>
  <c r="AB178" i="5"/>
  <c r="AB253" i="5"/>
  <c r="AB127" i="5"/>
  <c r="AB261" i="5"/>
  <c r="AB293" i="5"/>
  <c r="AB394" i="5"/>
  <c r="AB130" i="5"/>
  <c r="AB282" i="5"/>
  <c r="AB78" i="5"/>
  <c r="AB207" i="5"/>
  <c r="AB311" i="5"/>
  <c r="AB312" i="5"/>
  <c r="AB82" i="5"/>
  <c r="AB242" i="5"/>
  <c r="AB360" i="5"/>
  <c r="AB403" i="5"/>
  <c r="AB202" i="5"/>
  <c r="AB278" i="5"/>
  <c r="AB410" i="5"/>
  <c r="AB357" i="5"/>
  <c r="AB135" i="5"/>
  <c r="AB392" i="5"/>
  <c r="AB331" i="5"/>
  <c r="AB179" i="5"/>
  <c r="AB114" i="5"/>
  <c r="AB162" i="5"/>
  <c r="AB203" i="5"/>
  <c r="AB246" i="5"/>
  <c r="AB254" i="5"/>
  <c r="AB186" i="5"/>
  <c r="AB72" i="5"/>
  <c r="AB195" i="5"/>
  <c r="AB185" i="5"/>
  <c r="AB247" i="5"/>
  <c r="AB343" i="5"/>
  <c r="AB301" i="5"/>
  <c r="AB113" i="5"/>
  <c r="AB369" i="5"/>
  <c r="AB104" i="5"/>
  <c r="AB191" i="5"/>
  <c r="AB375" i="5"/>
  <c r="AB92" i="5"/>
  <c r="AB367" i="5"/>
  <c r="AB163" i="5"/>
  <c r="AB188" i="5"/>
  <c r="AB210" i="5"/>
  <c r="AB314" i="5"/>
  <c r="AB418" i="5"/>
  <c r="AB351" i="5"/>
  <c r="AB103" i="5"/>
  <c r="AB332" i="5"/>
  <c r="AB180" i="5"/>
  <c r="AB326" i="5"/>
  <c r="AB182" i="5"/>
  <c r="AB122" i="5"/>
  <c r="AB255" i="5"/>
  <c r="AB194" i="5"/>
  <c r="AB273" i="5"/>
  <c r="AB356" i="5"/>
  <c r="AB315" i="5"/>
  <c r="AB50" i="5"/>
  <c r="AB196" i="5"/>
  <c r="AB322" i="5"/>
  <c r="AB401" i="5"/>
  <c r="AB224" i="5"/>
  <c r="AB181" i="5"/>
  <c r="AB100" i="5"/>
  <c r="G139" i="7"/>
  <c r="G109" i="7"/>
  <c r="BE21" i="5"/>
  <c r="I77" i="10"/>
  <c r="G45" i="10"/>
  <c r="F190" i="12"/>
  <c r="AA270" i="5"/>
  <c r="AL270" i="5" s="1"/>
  <c r="AM270" i="5" s="1"/>
  <c r="AO270" i="5" s="1"/>
  <c r="AP270" i="5" s="1"/>
  <c r="BB270" i="5" s="1"/>
  <c r="AA84" i="5"/>
  <c r="AA225" i="5"/>
  <c r="AA321" i="5"/>
  <c r="AL321" i="5" s="1"/>
  <c r="AM321" i="5" s="1"/>
  <c r="AO321" i="5" s="1"/>
  <c r="AP321" i="5" s="1"/>
  <c r="BB321" i="5" s="1"/>
  <c r="AA406" i="5"/>
  <c r="J126" i="10" s="1"/>
  <c r="J72" i="10"/>
  <c r="I27" i="10"/>
  <c r="AA417" i="5"/>
  <c r="F359" i="12" s="1"/>
  <c r="F240" i="16"/>
  <c r="G147" i="7"/>
  <c r="G113" i="10"/>
  <c r="G117" i="10"/>
  <c r="F241" i="16"/>
  <c r="F76" i="16"/>
  <c r="G44" i="10"/>
  <c r="F236" i="12"/>
  <c r="F39" i="12"/>
  <c r="F143" i="16"/>
  <c r="G130" i="10"/>
  <c r="I60" i="10"/>
  <c r="I20" i="10"/>
  <c r="Y26" i="8"/>
  <c r="I22" i="7"/>
  <c r="G52" i="7"/>
  <c r="I112" i="10"/>
  <c r="J19" i="10"/>
  <c r="I26" i="10"/>
  <c r="F118" i="12"/>
  <c r="AA54" i="5"/>
  <c r="F48" i="12" s="1"/>
  <c r="AA58" i="5"/>
  <c r="AA247" i="5"/>
  <c r="AA414" i="5"/>
  <c r="F213" i="16"/>
  <c r="F79" i="16"/>
  <c r="F65" i="16"/>
  <c r="F129" i="16"/>
  <c r="I90" i="10"/>
  <c r="F99" i="16"/>
  <c r="G153" i="7"/>
  <c r="G47" i="7"/>
  <c r="G127" i="7"/>
  <c r="G78" i="10"/>
  <c r="I122" i="7"/>
  <c r="I70" i="10"/>
  <c r="F32" i="12"/>
  <c r="AA379" i="5"/>
  <c r="AA384" i="5"/>
  <c r="AA338" i="5"/>
  <c r="J45" i="7"/>
  <c r="AA279" i="5"/>
  <c r="J109" i="7" s="1"/>
  <c r="I102" i="10"/>
  <c r="G127" i="10"/>
  <c r="I67" i="10"/>
  <c r="G28" i="10"/>
  <c r="G72" i="7"/>
  <c r="I137" i="7"/>
  <c r="G70" i="10"/>
  <c r="I24" i="10"/>
  <c r="J85" i="7"/>
  <c r="I147" i="7"/>
  <c r="G89" i="10"/>
  <c r="F105" i="16"/>
  <c r="F235" i="16"/>
  <c r="F142" i="16"/>
  <c r="AA287" i="5"/>
  <c r="AL287" i="5" s="1"/>
  <c r="AM287" i="5" s="1"/>
  <c r="AO287" i="5" s="1"/>
  <c r="AP287" i="5" s="1"/>
  <c r="BB287" i="5" s="1"/>
  <c r="AA246" i="5"/>
  <c r="AL246" i="5" s="1"/>
  <c r="AM246" i="5" s="1"/>
  <c r="AO246" i="5" s="1"/>
  <c r="AP246" i="5" s="1"/>
  <c r="BB246" i="5" s="1"/>
  <c r="AA244" i="5"/>
  <c r="AL244" i="5" s="1"/>
  <c r="AM244" i="5" s="1"/>
  <c r="AO244" i="5" s="1"/>
  <c r="AP244" i="5" s="1"/>
  <c r="BB244" i="5" s="1"/>
  <c r="AA419" i="5"/>
  <c r="AA401" i="5"/>
  <c r="AA362" i="5"/>
  <c r="AA298" i="5"/>
  <c r="AL298" i="5" s="1"/>
  <c r="AM298" i="5" s="1"/>
  <c r="AO298" i="5" s="1"/>
  <c r="AP298" i="5" s="1"/>
  <c r="BB298" i="5" s="1"/>
  <c r="I116" i="10"/>
  <c r="I93" i="7"/>
  <c r="G96" i="7"/>
  <c r="I142" i="7"/>
  <c r="J157" i="7"/>
  <c r="J133" i="7"/>
  <c r="I48" i="7"/>
  <c r="AA254" i="5"/>
  <c r="G71" i="7"/>
  <c r="G144" i="7"/>
  <c r="I102" i="7"/>
  <c r="J148" i="7"/>
  <c r="I112" i="7"/>
  <c r="G125" i="7"/>
  <c r="G77" i="7"/>
  <c r="I28" i="7"/>
  <c r="G49" i="10"/>
  <c r="G94" i="10"/>
  <c r="I76" i="10"/>
  <c r="J99" i="10"/>
  <c r="G114" i="10"/>
  <c r="I126" i="10"/>
  <c r="F126" i="16"/>
  <c r="F166" i="16"/>
  <c r="AA390" i="5"/>
  <c r="AA257" i="5"/>
  <c r="F221" i="12" s="1"/>
  <c r="AA73" i="5"/>
  <c r="I25" i="7"/>
  <c r="G87" i="7"/>
  <c r="I155" i="7"/>
  <c r="I39" i="10"/>
  <c r="F214" i="16"/>
  <c r="AV25" i="5"/>
  <c r="AZ25" i="5" s="1"/>
  <c r="I33" i="10"/>
  <c r="G20" i="7"/>
  <c r="F225" i="16"/>
  <c r="G26" i="10"/>
  <c r="AA372" i="5"/>
  <c r="AL372" i="5" s="1"/>
  <c r="AM372" i="5" s="1"/>
  <c r="AO372" i="5" s="1"/>
  <c r="AP372" i="5" s="1"/>
  <c r="BB372" i="5" s="1"/>
  <c r="AA245" i="5"/>
  <c r="I26" i="7"/>
  <c r="AA180" i="5"/>
  <c r="F156" i="12" s="1"/>
  <c r="I118" i="7"/>
  <c r="G24" i="7"/>
  <c r="F170" i="16"/>
  <c r="F150" i="16"/>
  <c r="AA133" i="5"/>
  <c r="G60" i="10"/>
  <c r="J98" i="7"/>
  <c r="G115" i="7"/>
  <c r="G126" i="7"/>
  <c r="G92" i="10"/>
  <c r="I95" i="7"/>
  <c r="G66" i="10"/>
  <c r="I68" i="10"/>
  <c r="AA380" i="5"/>
  <c r="AA108" i="5"/>
  <c r="F94" i="12" s="1"/>
  <c r="N113" i="10"/>
  <c r="O113" i="10" s="1"/>
  <c r="P113" i="10" s="1"/>
  <c r="Q113" i="10" s="1"/>
  <c r="R113" i="10" s="1"/>
  <c r="Y113" i="10" s="1"/>
  <c r="I132" i="7"/>
  <c r="G30" i="10"/>
  <c r="I108" i="7"/>
  <c r="G118" i="10"/>
  <c r="F106" i="16"/>
  <c r="AA293" i="5"/>
  <c r="F258" i="12"/>
  <c r="F66" i="16"/>
  <c r="F135" i="16"/>
  <c r="F47" i="16"/>
  <c r="F200" i="16"/>
  <c r="F29" i="16"/>
  <c r="I115" i="10"/>
  <c r="G40" i="10"/>
  <c r="I85" i="10"/>
  <c r="I79" i="7"/>
  <c r="G77" i="10"/>
  <c r="AA142" i="5"/>
  <c r="G110" i="7"/>
  <c r="J97" i="10"/>
  <c r="G91" i="7"/>
  <c r="G76" i="7"/>
  <c r="I113" i="10"/>
  <c r="F118" i="16"/>
  <c r="F141" i="12"/>
  <c r="AA348" i="5"/>
  <c r="AA285" i="5"/>
  <c r="F245" i="12" s="1"/>
  <c r="AA76" i="5"/>
  <c r="AL76" i="5" s="1"/>
  <c r="AM76" i="5" s="1"/>
  <c r="AO76" i="5" s="1"/>
  <c r="AP76" i="5" s="1"/>
  <c r="BB76" i="5" s="1"/>
  <c r="AA252" i="5"/>
  <c r="F218" i="12" s="1"/>
  <c r="AA399" i="5"/>
  <c r="AA251" i="5"/>
  <c r="J99" i="7" s="1"/>
  <c r="N75" i="10"/>
  <c r="O75" i="10" s="1"/>
  <c r="P75" i="10" s="1"/>
  <c r="Q75" i="10" s="1"/>
  <c r="R75" i="10" s="1"/>
  <c r="Y75" i="10" s="1"/>
  <c r="AA146" i="5"/>
  <c r="I69" i="7"/>
  <c r="I78" i="7"/>
  <c r="F58" i="16"/>
  <c r="AA165" i="5"/>
  <c r="AA418" i="5"/>
  <c r="AA378" i="5"/>
  <c r="AA275" i="5"/>
  <c r="F134" i="16"/>
  <c r="G111" i="7"/>
  <c r="G36" i="10"/>
  <c r="G82" i="7"/>
  <c r="F222" i="16"/>
  <c r="F328" i="12"/>
  <c r="AA284" i="5"/>
  <c r="AA56" i="5"/>
  <c r="AL56" i="5" s="1"/>
  <c r="AM56" i="5" s="1"/>
  <c r="AO56" i="5" s="1"/>
  <c r="AP56" i="5" s="1"/>
  <c r="BB56" i="5" s="1"/>
  <c r="AA402" i="5"/>
  <c r="F346" i="12" s="1"/>
  <c r="AA201" i="5"/>
  <c r="G74" i="10"/>
  <c r="I130" i="7"/>
  <c r="I144" i="7"/>
  <c r="G114" i="7"/>
  <c r="I96" i="7"/>
  <c r="G56" i="7"/>
  <c r="F162" i="16"/>
  <c r="AA289" i="5"/>
  <c r="J112" i="7" s="1"/>
  <c r="AA92" i="5"/>
  <c r="AA190" i="5"/>
  <c r="AA393" i="5"/>
  <c r="AA376" i="5"/>
  <c r="G120" i="7"/>
  <c r="AA159" i="5"/>
  <c r="J65" i="7" s="1"/>
  <c r="I128" i="10"/>
  <c r="I145" i="7"/>
  <c r="J51" i="7"/>
  <c r="I105" i="7"/>
  <c r="I95" i="10"/>
  <c r="F38" i="16"/>
  <c r="AA83" i="5"/>
  <c r="AA77" i="5"/>
  <c r="AA227" i="5"/>
  <c r="AA267" i="5"/>
  <c r="F244" i="16"/>
  <c r="J60" i="10"/>
  <c r="F88" i="12"/>
  <c r="F154" i="12"/>
  <c r="F48" i="16"/>
  <c r="I22" i="10"/>
  <c r="F45" i="16"/>
  <c r="F254" i="12"/>
  <c r="J92" i="10"/>
  <c r="G129" i="10"/>
  <c r="F215" i="12"/>
  <c r="F121" i="16"/>
  <c r="G124" i="10"/>
  <c r="F168" i="16"/>
  <c r="F234" i="16"/>
  <c r="F140" i="16"/>
  <c r="G108" i="10"/>
  <c r="G107" i="10"/>
  <c r="G31" i="10"/>
  <c r="I63" i="10"/>
  <c r="I44" i="7"/>
  <c r="AA88" i="5"/>
  <c r="G112" i="7"/>
  <c r="G136" i="7"/>
  <c r="I121" i="10"/>
  <c r="F191" i="16"/>
  <c r="I124" i="7"/>
  <c r="I42" i="10"/>
  <c r="I87" i="7"/>
  <c r="G146" i="7"/>
  <c r="G91" i="10"/>
  <c r="I104" i="10"/>
  <c r="F30" i="16"/>
  <c r="AA260" i="5"/>
  <c r="AA33" i="5"/>
  <c r="AA233" i="5"/>
  <c r="AA322" i="5"/>
  <c r="AA71" i="5"/>
  <c r="AA280" i="5"/>
  <c r="F242" i="12" s="1"/>
  <c r="AA124" i="5"/>
  <c r="G83" i="10"/>
  <c r="G141" i="7"/>
  <c r="AA57" i="5"/>
  <c r="AA299" i="5"/>
  <c r="F94" i="16"/>
  <c r="I29" i="7"/>
  <c r="I56" i="7"/>
  <c r="AA30" i="5"/>
  <c r="J127" i="7"/>
  <c r="I91" i="7"/>
  <c r="G57" i="10"/>
  <c r="I52" i="10"/>
  <c r="F158" i="16"/>
  <c r="AA374" i="5"/>
  <c r="AA400" i="5"/>
  <c r="AA80" i="5"/>
  <c r="AA46" i="5"/>
  <c r="AA269" i="5"/>
  <c r="AA408" i="5"/>
  <c r="AA116" i="5"/>
  <c r="AA265" i="5"/>
  <c r="AA328" i="5"/>
  <c r="AA148" i="5"/>
  <c r="J51" i="10" s="1"/>
  <c r="F218" i="16"/>
  <c r="AA59" i="5"/>
  <c r="AL59" i="5" s="1"/>
  <c r="AM59" i="5" s="1"/>
  <c r="AO59" i="5" s="1"/>
  <c r="AP59" i="5" s="1"/>
  <c r="BB59" i="5" s="1"/>
  <c r="AA240" i="5"/>
  <c r="AA371" i="5"/>
  <c r="J141" i="7" s="1"/>
  <c r="AA61" i="5"/>
  <c r="AA413" i="5"/>
  <c r="AA221" i="5"/>
  <c r="I74" i="10"/>
  <c r="G27" i="7"/>
  <c r="G102" i="7"/>
  <c r="J38" i="10"/>
  <c r="F78" i="16"/>
  <c r="F127" i="16"/>
  <c r="F114" i="16"/>
  <c r="AA312" i="5"/>
  <c r="AA369" i="5"/>
  <c r="AA416" i="5"/>
  <c r="AA239" i="5"/>
  <c r="M4" i="7"/>
  <c r="N59" i="10"/>
  <c r="G96" i="10"/>
  <c r="F31" i="16"/>
  <c r="G73" i="10"/>
  <c r="AA79" i="5"/>
  <c r="AL79" i="5" s="1"/>
  <c r="AM79" i="5" s="1"/>
  <c r="AO79" i="5" s="1"/>
  <c r="AP79" i="5" s="1"/>
  <c r="BB79" i="5" s="1"/>
  <c r="AA161" i="5"/>
  <c r="F139" i="12" s="1"/>
  <c r="G50" i="7"/>
  <c r="I148" i="7"/>
  <c r="I100" i="10"/>
  <c r="I140" i="7"/>
  <c r="G90" i="10"/>
  <c r="G148" i="7"/>
  <c r="G72" i="10"/>
  <c r="I71" i="10"/>
  <c r="I29" i="10"/>
  <c r="F93" i="16"/>
  <c r="F138" i="16"/>
  <c r="F190" i="16"/>
  <c r="F351" i="12"/>
  <c r="AA276" i="5"/>
  <c r="AA206" i="5"/>
  <c r="AA258" i="5"/>
  <c r="AA248" i="5"/>
  <c r="AA81" i="5"/>
  <c r="AA241" i="5"/>
  <c r="I76" i="7"/>
  <c r="G26" i="7"/>
  <c r="AA403" i="5"/>
  <c r="AA243" i="5"/>
  <c r="AA188" i="5"/>
  <c r="G84" i="7"/>
  <c r="F246" i="16"/>
  <c r="F31" i="12"/>
  <c r="AA392" i="5"/>
  <c r="AA158" i="5"/>
  <c r="AA391" i="5"/>
  <c r="AA31" i="5"/>
  <c r="AA187" i="5"/>
  <c r="AA222" i="5"/>
  <c r="F192" i="12" s="1"/>
  <c r="I122" i="10"/>
  <c r="AA266" i="5"/>
  <c r="AA307" i="5"/>
  <c r="G92" i="7"/>
  <c r="I101" i="7"/>
  <c r="J21" i="7"/>
  <c r="AA314" i="5"/>
  <c r="AL314" i="5" s="1"/>
  <c r="AM314" i="5" s="1"/>
  <c r="AO314" i="5" s="1"/>
  <c r="AP314" i="5" s="1"/>
  <c r="BB314" i="5" s="1"/>
  <c r="G86" i="7"/>
  <c r="I99" i="7"/>
  <c r="G86" i="10"/>
  <c r="AA259" i="5"/>
  <c r="AA366" i="5"/>
  <c r="AA67" i="5"/>
  <c r="F59" i="12" s="1"/>
  <c r="AA184" i="5"/>
  <c r="AA237" i="5"/>
  <c r="AA311" i="5"/>
  <c r="AA140" i="5"/>
  <c r="BQ4" i="46"/>
  <c r="AT4" i="12"/>
  <c r="AD15" i="10"/>
  <c r="AB15" i="10"/>
  <c r="AS20" i="12" s="1"/>
  <c r="AA16" i="10"/>
  <c r="Y22" i="8" s="1"/>
  <c r="W112" i="9"/>
  <c r="Z112" i="9" s="1"/>
  <c r="W114" i="9"/>
  <c r="Z114" i="9" s="1"/>
  <c r="W76" i="9"/>
  <c r="Z76" i="9" s="1"/>
  <c r="W28" i="9"/>
  <c r="Z28" i="9" s="1"/>
  <c r="W30" i="9"/>
  <c r="Z30" i="9" s="1"/>
  <c r="W15" i="9"/>
  <c r="Z15" i="9" s="1"/>
  <c r="W17" i="9"/>
  <c r="Z17" i="9" s="1"/>
  <c r="W16" i="9"/>
  <c r="Z16" i="9" s="1"/>
  <c r="W21" i="9"/>
  <c r="Z21" i="9" s="1"/>
  <c r="W130" i="9"/>
  <c r="Z130" i="9" s="1"/>
  <c r="W123" i="9"/>
  <c r="Z123" i="9" s="1"/>
  <c r="W125" i="9"/>
  <c r="Z125" i="9" s="1"/>
  <c r="W81" i="9"/>
  <c r="Z81" i="9" s="1"/>
  <c r="W115" i="9"/>
  <c r="Z115" i="9" s="1"/>
  <c r="W31" i="9"/>
  <c r="Z31" i="9" s="1"/>
  <c r="W94" i="9"/>
  <c r="Z94" i="9" s="1"/>
  <c r="W49" i="9"/>
  <c r="Z49" i="9" s="1"/>
  <c r="W32" i="9"/>
  <c r="Z32" i="9" s="1"/>
  <c r="W48" i="9"/>
  <c r="Z48" i="9" s="1"/>
  <c r="W37" i="9"/>
  <c r="Z37" i="9" s="1"/>
  <c r="W120" i="9"/>
  <c r="Z120" i="9" s="1"/>
  <c r="W62" i="9"/>
  <c r="Z62" i="9" s="1"/>
  <c r="W74" i="9"/>
  <c r="Z74" i="9" s="1"/>
  <c r="W104" i="9"/>
  <c r="Z104" i="9" s="1"/>
  <c r="W106" i="9"/>
  <c r="Z106" i="9" s="1"/>
  <c r="W54" i="9"/>
  <c r="Z54" i="9" s="1"/>
  <c r="W121" i="9"/>
  <c r="Z121" i="9" s="1"/>
  <c r="W95" i="9"/>
  <c r="Z95" i="9" s="1"/>
  <c r="W43" i="9"/>
  <c r="Z43" i="9" s="1"/>
  <c r="W44" i="9"/>
  <c r="Z44" i="9" s="1"/>
  <c r="W46" i="9"/>
  <c r="Z46" i="9" s="1"/>
  <c r="W84" i="9"/>
  <c r="Z84" i="9" s="1"/>
  <c r="W72" i="9"/>
  <c r="Z72" i="9" s="1"/>
  <c r="W42" i="9"/>
  <c r="Z42" i="9" s="1"/>
  <c r="W107" i="9"/>
  <c r="Z107" i="9" s="1"/>
  <c r="R97" i="14"/>
  <c r="S97" i="14" s="1"/>
  <c r="R328" i="14"/>
  <c r="T328" i="14" s="1"/>
  <c r="R375" i="14"/>
  <c r="S375" i="14" s="1"/>
  <c r="Q4" i="14"/>
  <c r="R400" i="14"/>
  <c r="S400" i="14" s="1"/>
  <c r="R244" i="14"/>
  <c r="T244" i="14" s="1"/>
  <c r="R37" i="14"/>
  <c r="T37" i="14" s="1"/>
  <c r="R71" i="14"/>
  <c r="S71" i="14" s="1"/>
  <c r="R320" i="14"/>
  <c r="S320" i="14" s="1"/>
  <c r="R331" i="14"/>
  <c r="S331" i="14" s="1"/>
  <c r="R219" i="14"/>
  <c r="T219" i="14" s="1"/>
  <c r="R28" i="14"/>
  <c r="S28" i="14" s="1"/>
  <c r="R414" i="14"/>
  <c r="S414" i="14" s="1"/>
  <c r="T414" i="14" s="1"/>
  <c r="R16" i="14"/>
  <c r="S16" i="14" s="1"/>
  <c r="R247" i="14"/>
  <c r="T247" i="14" s="1"/>
  <c r="R379" i="14"/>
  <c r="S379" i="14" s="1"/>
  <c r="R126" i="14"/>
  <c r="S126" i="14" s="1"/>
  <c r="R365" i="14"/>
  <c r="S365" i="14" s="1"/>
  <c r="R341" i="14"/>
  <c r="T341" i="14" s="1"/>
  <c r="R403" i="14"/>
  <c r="S403" i="14" s="1"/>
  <c r="R18" i="14"/>
  <c r="T18" i="14" s="1"/>
  <c r="R347" i="14"/>
  <c r="S347" i="14" s="1"/>
  <c r="R224" i="14"/>
  <c r="S224" i="14" s="1"/>
  <c r="R338" i="14"/>
  <c r="S338" i="14" s="1"/>
  <c r="R272" i="14"/>
  <c r="S272" i="14" s="1"/>
  <c r="R277" i="14"/>
  <c r="T277" i="14" s="1"/>
  <c r="R281" i="14"/>
  <c r="T281" i="14" s="1"/>
  <c r="R356" i="14"/>
  <c r="R289" i="14"/>
  <c r="S289" i="14" s="1"/>
  <c r="R149" i="14"/>
  <c r="S149" i="14" s="1"/>
  <c r="R124" i="14"/>
  <c r="S124" i="14" s="1"/>
  <c r="R232" i="14"/>
  <c r="R340" i="14"/>
  <c r="S340" i="14" s="1"/>
  <c r="S304" i="8"/>
  <c r="P304" i="8"/>
  <c r="Q304" i="8" s="1"/>
  <c r="AR304" i="12" s="1"/>
  <c r="V131" i="8"/>
  <c r="R131" i="8"/>
  <c r="T131" i="8" s="1"/>
  <c r="AZ63" i="7"/>
  <c r="J131" i="12"/>
  <c r="Q131" i="8"/>
  <c r="AR131" i="12" s="1"/>
  <c r="R144" i="14"/>
  <c r="S144" i="14" s="1"/>
  <c r="O127" i="10"/>
  <c r="P127" i="10" s="1"/>
  <c r="Q127" i="10" s="1"/>
  <c r="R127" i="10" s="1"/>
  <c r="Y127" i="10" s="1"/>
  <c r="O31" i="10"/>
  <c r="P31" i="10" s="1"/>
  <c r="Q31" i="10" s="1"/>
  <c r="R31" i="10" s="1"/>
  <c r="Y31" i="10" s="1"/>
  <c r="R34" i="14"/>
  <c r="T34" i="14" s="1"/>
  <c r="R362" i="14"/>
  <c r="T362" i="14" s="1"/>
  <c r="R29" i="8"/>
  <c r="T29" i="8" s="1"/>
  <c r="V29" i="8"/>
  <c r="J29" i="12"/>
  <c r="Q29" i="8"/>
  <c r="AR29" i="12" s="1"/>
  <c r="AZ20" i="7"/>
  <c r="V87" i="8"/>
  <c r="R87" i="8"/>
  <c r="T87" i="8" s="1"/>
  <c r="J87" i="12"/>
  <c r="Q87" i="8"/>
  <c r="O95" i="10"/>
  <c r="P95" i="10" s="1"/>
  <c r="Q95" i="10" s="1"/>
  <c r="R95" i="10" s="1"/>
  <c r="Y95" i="10" s="1"/>
  <c r="O74" i="10"/>
  <c r="P74" i="10" s="1"/>
  <c r="Q74" i="10" s="1"/>
  <c r="R74" i="10" s="1"/>
  <c r="Y74" i="10" s="1"/>
  <c r="O129" i="10"/>
  <c r="P129" i="10" s="1"/>
  <c r="Q129" i="10" s="1"/>
  <c r="R129" i="10" s="1"/>
  <c r="Y129" i="10" s="1"/>
  <c r="R303" i="14"/>
  <c r="S303" i="14" s="1"/>
  <c r="R348" i="8"/>
  <c r="T348" i="8" s="1"/>
  <c r="R314" i="14"/>
  <c r="S314" i="14" s="1"/>
  <c r="O38" i="10"/>
  <c r="P38" i="10" s="1"/>
  <c r="Q38" i="10" s="1"/>
  <c r="R38" i="10" s="1"/>
  <c r="Y38" i="10" s="1"/>
  <c r="O97" i="10"/>
  <c r="P97" i="10" s="1"/>
  <c r="Q97" i="10" s="1"/>
  <c r="R97" i="10" s="1"/>
  <c r="Y97" i="10" s="1"/>
  <c r="O44" i="10"/>
  <c r="P44" i="10" s="1"/>
  <c r="Q44" i="10" s="1"/>
  <c r="R44" i="10" s="1"/>
  <c r="Y44" i="10" s="1"/>
  <c r="S248" i="8"/>
  <c r="P248" i="8"/>
  <c r="Q248" i="8" s="1"/>
  <c r="AR248" i="12" s="1"/>
  <c r="O52" i="10"/>
  <c r="P52" i="10" s="1"/>
  <c r="Q52" i="10" s="1"/>
  <c r="R52" i="10" s="1"/>
  <c r="Y52" i="10" s="1"/>
  <c r="R240" i="14"/>
  <c r="T240" i="14" s="1"/>
  <c r="R251" i="14"/>
  <c r="T251" i="14" s="1"/>
  <c r="R202" i="14"/>
  <c r="S202" i="14" s="1"/>
  <c r="R66" i="14"/>
  <c r="R223" i="14"/>
  <c r="S223" i="14" s="1"/>
  <c r="R261" i="14"/>
  <c r="S261" i="14" s="1"/>
  <c r="I4" i="14"/>
  <c r="R221" i="14"/>
  <c r="S221" i="14" s="1"/>
  <c r="R169" i="14"/>
  <c r="S169" i="14" s="1"/>
  <c r="T169" i="14" s="1"/>
  <c r="R249" i="14"/>
  <c r="S249" i="14" s="1"/>
  <c r="R193" i="14"/>
  <c r="S193" i="14" s="1"/>
  <c r="R386" i="14"/>
  <c r="S386" i="14" s="1"/>
  <c r="R334" i="14"/>
  <c r="S334" i="14" s="1"/>
  <c r="R427" i="14"/>
  <c r="R368" i="14"/>
  <c r="S368" i="14" s="1"/>
  <c r="R185" i="14"/>
  <c r="R48" i="14"/>
  <c r="R91" i="14"/>
  <c r="S91" i="14" s="1"/>
  <c r="R134" i="14"/>
  <c r="T134" i="14" s="1"/>
  <c r="R370" i="14"/>
  <c r="S370" i="14" s="1"/>
  <c r="R35" i="14"/>
  <c r="S35" i="14" s="1"/>
  <c r="R168" i="14"/>
  <c r="S168" i="14" s="1"/>
  <c r="R215" i="14"/>
  <c r="T215" i="14" s="1"/>
  <c r="R404" i="14"/>
  <c r="S404" i="14" s="1"/>
  <c r="R204" i="14"/>
  <c r="S204" i="14" s="1"/>
  <c r="T204" i="14" s="1"/>
  <c r="R123" i="14"/>
  <c r="S123" i="14" s="1"/>
  <c r="R115" i="14"/>
  <c r="T115" i="14" s="1"/>
  <c r="R112" i="14"/>
  <c r="T112" i="14" s="1"/>
  <c r="H4" i="6"/>
  <c r="O91" i="10"/>
  <c r="P91" i="10" s="1"/>
  <c r="Q91" i="10" s="1"/>
  <c r="R91" i="10" s="1"/>
  <c r="Y91" i="10" s="1"/>
  <c r="S93" i="8"/>
  <c r="P93" i="8"/>
  <c r="Q93" i="8" s="1"/>
  <c r="S122" i="8"/>
  <c r="P122" i="8"/>
  <c r="Q122" i="8" s="1"/>
  <c r="AR122" i="12" s="1"/>
  <c r="O50" i="10"/>
  <c r="P50" i="10" s="1"/>
  <c r="Q50" i="10" s="1"/>
  <c r="R50" i="10" s="1"/>
  <c r="Y50" i="10" s="1"/>
  <c r="V22" i="8"/>
  <c r="T22" i="8"/>
  <c r="AE16" i="10"/>
  <c r="S310" i="8"/>
  <c r="P310" i="8"/>
  <c r="Q310" i="8" s="1"/>
  <c r="AR310" i="12" s="1"/>
  <c r="Q4" i="16"/>
  <c r="P4" i="16" s="1"/>
  <c r="O62" i="10"/>
  <c r="P62" i="10" s="1"/>
  <c r="Q62" i="10" s="1"/>
  <c r="R62" i="10" s="1"/>
  <c r="Y62" i="10" s="1"/>
  <c r="R107" i="14"/>
  <c r="S107" i="14" s="1"/>
  <c r="O125" i="10"/>
  <c r="P125" i="10" s="1"/>
  <c r="Q125" i="10" s="1"/>
  <c r="R125" i="10" s="1"/>
  <c r="Y125" i="10" s="1"/>
  <c r="V65" i="8"/>
  <c r="R65" i="8"/>
  <c r="T65" i="8" s="1"/>
  <c r="AZ35" i="7"/>
  <c r="J65" i="12"/>
  <c r="Q65" i="8"/>
  <c r="AR65" i="12" s="1"/>
  <c r="R269" i="14"/>
  <c r="S269" i="14" s="1"/>
  <c r="R388" i="14"/>
  <c r="S388" i="14" s="1"/>
  <c r="R76" i="14"/>
  <c r="T76" i="14" s="1"/>
  <c r="R291" i="14"/>
  <c r="S291" i="14" s="1"/>
  <c r="R64" i="14"/>
  <c r="S64" i="14" s="1"/>
  <c r="AD17" i="10"/>
  <c r="Y24" i="8"/>
  <c r="K24" i="12"/>
  <c r="R22" i="14"/>
  <c r="S22" i="14" s="1"/>
  <c r="R352" i="14"/>
  <c r="S352" i="14" s="1"/>
  <c r="R363" i="14"/>
  <c r="S363" i="14" s="1"/>
  <c r="T363" i="14" s="1"/>
  <c r="R409" i="14"/>
  <c r="S409" i="14" s="1"/>
  <c r="T409" i="14" s="1"/>
  <c r="R25" i="14"/>
  <c r="S25" i="14" s="1"/>
  <c r="R130" i="14"/>
  <c r="T130" i="14" s="1"/>
  <c r="R45" i="14"/>
  <c r="S45" i="14" s="1"/>
  <c r="R214" i="14"/>
  <c r="S214" i="14" s="1"/>
  <c r="R255" i="14"/>
  <c r="S255" i="14" s="1"/>
  <c r="R387" i="14"/>
  <c r="S387" i="14" s="1"/>
  <c r="R297" i="14"/>
  <c r="S297" i="14" s="1"/>
  <c r="R166" i="14"/>
  <c r="S166" i="14" s="1"/>
  <c r="R100" i="14"/>
  <c r="T100" i="14" s="1"/>
  <c r="O114" i="10"/>
  <c r="P114" i="10" s="1"/>
  <c r="Q114" i="10" s="1"/>
  <c r="R114" i="10" s="1"/>
  <c r="Y114" i="10" s="1"/>
  <c r="O108" i="10"/>
  <c r="P108" i="10" s="1"/>
  <c r="Q108" i="10" s="1"/>
  <c r="R108" i="10" s="1"/>
  <c r="Y108" i="10" s="1"/>
  <c r="V110" i="8"/>
  <c r="R110" i="8"/>
  <c r="T110" i="8" s="1"/>
  <c r="AE46" i="10"/>
  <c r="O56" i="10"/>
  <c r="P56" i="10" s="1"/>
  <c r="Q56" i="10" s="1"/>
  <c r="R56" i="10" s="1"/>
  <c r="Y56" i="10" s="1"/>
  <c r="O96" i="10"/>
  <c r="P96" i="10" s="1"/>
  <c r="Q96" i="10" s="1"/>
  <c r="R96" i="10" s="1"/>
  <c r="Y96" i="10" s="1"/>
  <c r="O84" i="10"/>
  <c r="P84" i="10" s="1"/>
  <c r="Q84" i="10" s="1"/>
  <c r="R84" i="10" s="1"/>
  <c r="Y84" i="10" s="1"/>
  <c r="R205" i="14"/>
  <c r="S205" i="14" s="1"/>
  <c r="T205" i="14" s="1"/>
  <c r="R421" i="14"/>
  <c r="S421" i="14" s="1"/>
  <c r="T421" i="14" s="1"/>
  <c r="R270" i="14"/>
  <c r="S270" i="14" s="1"/>
  <c r="R242" i="14"/>
  <c r="S242" i="14" s="1"/>
  <c r="R236" i="14"/>
  <c r="S236" i="14" s="1"/>
  <c r="R411" i="14"/>
  <c r="S411" i="14" s="1"/>
  <c r="R36" i="14"/>
  <c r="T36" i="14" s="1"/>
  <c r="R398" i="14"/>
  <c r="S398" i="14" s="1"/>
  <c r="R137" i="14"/>
  <c r="S137" i="14" s="1"/>
  <c r="R259" i="14"/>
  <c r="S259" i="14" s="1"/>
  <c r="R295" i="14"/>
  <c r="T295" i="14" s="1"/>
  <c r="R39" i="14"/>
  <c r="S39" i="14" s="1"/>
  <c r="R383" i="14"/>
  <c r="T383" i="14" s="1"/>
  <c r="R135" i="14"/>
  <c r="T135" i="14" s="1"/>
  <c r="R304" i="14"/>
  <c r="T304" i="14" s="1"/>
  <c r="R300" i="14"/>
  <c r="T300" i="14" s="1"/>
  <c r="R88" i="14"/>
  <c r="T88" i="14" s="1"/>
  <c r="R118" i="14"/>
  <c r="S118" i="14" s="1"/>
  <c r="R281" i="8"/>
  <c r="T281" i="8" s="1"/>
  <c r="V281" i="8"/>
  <c r="AZ125" i="7"/>
  <c r="M4" i="46"/>
  <c r="R422" i="14"/>
  <c r="S422" i="14" s="1"/>
  <c r="R222" i="14"/>
  <c r="T222" i="14" s="1"/>
  <c r="R183" i="14"/>
  <c r="S183" i="14" s="1"/>
  <c r="R288" i="14"/>
  <c r="T288" i="14" s="1"/>
  <c r="R127" i="14"/>
  <c r="S127" i="14" s="1"/>
  <c r="O89" i="10"/>
  <c r="P89" i="10" s="1"/>
  <c r="Q89" i="10" s="1"/>
  <c r="R89" i="10" s="1"/>
  <c r="Y89" i="10" s="1"/>
  <c r="R424" i="14"/>
  <c r="S424" i="14" s="1"/>
  <c r="R312" i="14"/>
  <c r="S312" i="14" s="1"/>
  <c r="R23" i="14"/>
  <c r="S23" i="14" s="1"/>
  <c r="R239" i="14"/>
  <c r="T239" i="14" s="1"/>
  <c r="R26" i="14"/>
  <c r="S26" i="14" s="1"/>
  <c r="R432" i="14"/>
  <c r="S432" i="14" s="1"/>
  <c r="R234" i="14"/>
  <c r="S234" i="14" s="1"/>
  <c r="T234" i="14" s="1"/>
  <c r="R70" i="14"/>
  <c r="S70" i="14" s="1"/>
  <c r="R433" i="14"/>
  <c r="R84" i="14"/>
  <c r="S84" i="14" s="1"/>
  <c r="R319" i="14"/>
  <c r="S319" i="14" s="1"/>
  <c r="R72" i="14"/>
  <c r="T72" i="14" s="1"/>
  <c r="R406" i="14"/>
  <c r="S406" i="14" s="1"/>
  <c r="R196" i="14"/>
  <c r="S196" i="14" s="1"/>
  <c r="R377" i="14"/>
  <c r="S377" i="14" s="1"/>
  <c r="R41" i="14"/>
  <c r="S41" i="14" s="1"/>
  <c r="R188" i="14"/>
  <c r="S188" i="14" s="1"/>
  <c r="R38" i="14"/>
  <c r="S38" i="14" s="1"/>
  <c r="R345" i="14"/>
  <c r="S345" i="14" s="1"/>
  <c r="R190" i="14"/>
  <c r="S190" i="14" s="1"/>
  <c r="R342" i="14"/>
  <c r="T342" i="14" s="1"/>
  <c r="R177" i="14"/>
  <c r="S177" i="14" s="1"/>
  <c r="R258" i="14"/>
  <c r="T258" i="14" s="1"/>
  <c r="R213" i="14"/>
  <c r="S213" i="14" s="1"/>
  <c r="R181" i="14"/>
  <c r="S181" i="14" s="1"/>
  <c r="T181" i="14" s="1"/>
  <c r="P4" i="14"/>
  <c r="K4" i="14" s="1"/>
  <c r="O4" i="14"/>
  <c r="J4" i="14" s="1"/>
  <c r="R201" i="14"/>
  <c r="S201" i="14" s="1"/>
  <c r="R120" i="14"/>
  <c r="S120" i="14" s="1"/>
  <c r="R324" i="14"/>
  <c r="S324" i="14" s="1"/>
  <c r="R30" i="14"/>
  <c r="T30" i="14" s="1"/>
  <c r="R173" i="14"/>
  <c r="R333" i="14"/>
  <c r="T333" i="14" s="1"/>
  <c r="O79" i="10"/>
  <c r="P79" i="10" s="1"/>
  <c r="Q79" i="10" s="1"/>
  <c r="R79" i="10" s="1"/>
  <c r="Y79" i="10" s="1"/>
  <c r="R179" i="8"/>
  <c r="T179" i="8" s="1"/>
  <c r="V179" i="8"/>
  <c r="AZ83" i="7"/>
  <c r="T135" i="8"/>
  <c r="V135" i="8"/>
  <c r="R135" i="8"/>
  <c r="J135" i="12"/>
  <c r="S276" i="8"/>
  <c r="P276" i="8"/>
  <c r="Q276" i="8" s="1"/>
  <c r="AR276" i="12" s="1"/>
  <c r="O104" i="10"/>
  <c r="P104" i="10" s="1"/>
  <c r="Q104" i="10" s="1"/>
  <c r="R104" i="10" s="1"/>
  <c r="Y104" i="10" s="1"/>
  <c r="O122" i="10"/>
  <c r="P122" i="10" s="1"/>
  <c r="Q122" i="10" s="1"/>
  <c r="R122" i="10" s="1"/>
  <c r="Y122" i="10" s="1"/>
  <c r="L4" i="46"/>
  <c r="O19" i="10"/>
  <c r="P19" i="10" s="1"/>
  <c r="Q19" i="10" s="1"/>
  <c r="R19" i="10" s="1"/>
  <c r="Y19" i="10" s="1"/>
  <c r="S337" i="8"/>
  <c r="P337" i="8"/>
  <c r="Q337" i="8" s="1"/>
  <c r="AR337" i="12" s="1"/>
  <c r="Q193" i="8"/>
  <c r="AR193" i="12" s="1"/>
  <c r="F87" i="12"/>
  <c r="O128" i="10"/>
  <c r="P128" i="10" s="1"/>
  <c r="Q128" i="10" s="1"/>
  <c r="R128" i="10" s="1"/>
  <c r="Y128" i="10" s="1"/>
  <c r="S345" i="8"/>
  <c r="P345" i="8"/>
  <c r="Q345" i="8" s="1"/>
  <c r="AR345" i="12" s="1"/>
  <c r="O109" i="10"/>
  <c r="P109" i="10" s="1"/>
  <c r="Q109" i="10" s="1"/>
  <c r="R109" i="10" s="1"/>
  <c r="Y109" i="10" s="1"/>
  <c r="P212" i="8"/>
  <c r="S186" i="8"/>
  <c r="P186" i="8"/>
  <c r="Q186" i="8" s="1"/>
  <c r="AR186" i="12" s="1"/>
  <c r="S169" i="8"/>
  <c r="S53" i="8"/>
  <c r="P53" i="8"/>
  <c r="Q53" i="8" s="1"/>
  <c r="AR53" i="12" s="1"/>
  <c r="AH109" i="7"/>
  <c r="AG109" i="7"/>
  <c r="AN109" i="7" s="1"/>
  <c r="AF109" i="7"/>
  <c r="O48" i="10"/>
  <c r="P48" i="10" s="1"/>
  <c r="Q48" i="10" s="1"/>
  <c r="R48" i="10" s="1"/>
  <c r="Y48" i="10" s="1"/>
  <c r="S346" i="8"/>
  <c r="P346" i="8"/>
  <c r="P307" i="8"/>
  <c r="Q307" i="8" s="1"/>
  <c r="AR307" i="12" s="1"/>
  <c r="AB15" i="7"/>
  <c r="T140" i="8"/>
  <c r="V140" i="8"/>
  <c r="R140" i="8"/>
  <c r="P222" i="8"/>
  <c r="Q222" i="8" s="1"/>
  <c r="AR222" i="12" s="1"/>
  <c r="AB124" i="7"/>
  <c r="AD124" i="7"/>
  <c r="AP277" i="12" s="1"/>
  <c r="AC124" i="7"/>
  <c r="R219" i="8"/>
  <c r="T219" i="8" s="1"/>
  <c r="V219" i="8"/>
  <c r="R106" i="8"/>
  <c r="T106" i="8" s="1"/>
  <c r="V106" i="8"/>
  <c r="P340" i="8"/>
  <c r="Q340" i="8" s="1"/>
  <c r="AR340" i="12" s="1"/>
  <c r="V141" i="8"/>
  <c r="T141" i="8"/>
  <c r="R141" i="8"/>
  <c r="V50" i="8"/>
  <c r="R50" i="8"/>
  <c r="T50" i="8" s="1"/>
  <c r="AD69" i="7"/>
  <c r="AP145" i="12" s="1"/>
  <c r="AC69" i="7"/>
  <c r="AB69" i="7"/>
  <c r="V98" i="8"/>
  <c r="R98" i="8"/>
  <c r="T98" i="8" s="1"/>
  <c r="AN126" i="13"/>
  <c r="BL37" i="46" s="1"/>
  <c r="AL126" i="13"/>
  <c r="BE37" i="46" s="1"/>
  <c r="AN70" i="13"/>
  <c r="BK26" i="46" s="1"/>
  <c r="AL70" i="13"/>
  <c r="BD26" i="46" s="1"/>
  <c r="L90" i="9"/>
  <c r="M90" i="9" s="1"/>
  <c r="T90" i="9"/>
  <c r="Z156" i="13"/>
  <c r="AB156" i="13"/>
  <c r="AD156" i="13" s="1"/>
  <c r="Z153" i="13"/>
  <c r="AB153" i="13"/>
  <c r="AD153" i="13" s="1"/>
  <c r="AN41" i="13"/>
  <c r="BL20" i="46" s="1"/>
  <c r="AL41" i="13"/>
  <c r="BE20" i="46" s="1"/>
  <c r="Z119" i="13"/>
  <c r="AB119" i="13"/>
  <c r="AD119" i="13" s="1"/>
  <c r="AL100" i="13"/>
  <c r="BD32" i="46" s="1"/>
  <c r="AN100" i="13"/>
  <c r="BK32" i="46" s="1"/>
  <c r="T34" i="9"/>
  <c r="L34" i="9"/>
  <c r="M34" i="9" s="1"/>
  <c r="AN150" i="13"/>
  <c r="BK42" i="46" s="1"/>
  <c r="AL150" i="13"/>
  <c r="BD42" i="46" s="1"/>
  <c r="AM350" i="5"/>
  <c r="AO350" i="5" s="1"/>
  <c r="AP350" i="5" s="1"/>
  <c r="BB350" i="5" s="1"/>
  <c r="AK49" i="13"/>
  <c r="AM134" i="5"/>
  <c r="AO134" i="5" s="1"/>
  <c r="AP134" i="5" s="1"/>
  <c r="BB134" i="5" s="1"/>
  <c r="AM98" i="5"/>
  <c r="AO98" i="5" s="1"/>
  <c r="AP98" i="5" s="1"/>
  <c r="BB98" i="5" s="1"/>
  <c r="AA224" i="5"/>
  <c r="I50" i="7"/>
  <c r="I131" i="7"/>
  <c r="O107" i="10"/>
  <c r="P107" i="10" s="1"/>
  <c r="Q107" i="10" s="1"/>
  <c r="R107" i="10" s="1"/>
  <c r="Y107" i="10" s="1"/>
  <c r="O83" i="10"/>
  <c r="P83" i="10" s="1"/>
  <c r="Q83" i="10" s="1"/>
  <c r="R83" i="10" s="1"/>
  <c r="Y83" i="10" s="1"/>
  <c r="O51" i="10"/>
  <c r="P51" i="10" s="1"/>
  <c r="Q51" i="10" s="1"/>
  <c r="R51" i="10" s="1"/>
  <c r="Y51" i="10" s="1"/>
  <c r="O110" i="10"/>
  <c r="P110" i="10" s="1"/>
  <c r="Q110" i="10" s="1"/>
  <c r="R110" i="10" s="1"/>
  <c r="Y110" i="10" s="1"/>
  <c r="O35" i="10"/>
  <c r="P35" i="10" s="1"/>
  <c r="Q35" i="10" s="1"/>
  <c r="R35" i="10" s="1"/>
  <c r="Y35" i="10" s="1"/>
  <c r="O93" i="10"/>
  <c r="P93" i="10" s="1"/>
  <c r="Q93" i="10" s="1"/>
  <c r="R93" i="10" s="1"/>
  <c r="Y93" i="10" s="1"/>
  <c r="O26" i="10"/>
  <c r="P26" i="10" s="1"/>
  <c r="Q26" i="10" s="1"/>
  <c r="R26" i="10" s="1"/>
  <c r="Y26" i="10" s="1"/>
  <c r="F110" i="16"/>
  <c r="J46" i="10"/>
  <c r="O100" i="10"/>
  <c r="P100" i="10" s="1"/>
  <c r="Q100" i="10" s="1"/>
  <c r="R100" i="10" s="1"/>
  <c r="Y100" i="10" s="1"/>
  <c r="I98" i="10"/>
  <c r="F299" i="12"/>
  <c r="F184" i="12"/>
  <c r="AA99" i="5"/>
  <c r="AA105" i="5"/>
  <c r="AM386" i="5"/>
  <c r="AO386" i="5" s="1"/>
  <c r="AP386" i="5" s="1"/>
  <c r="BB386" i="5" s="1"/>
  <c r="AM136" i="5"/>
  <c r="AO136" i="5" s="1"/>
  <c r="AP136" i="5" s="1"/>
  <c r="BB136" i="5" s="1"/>
  <c r="AA253" i="5"/>
  <c r="AM291" i="5"/>
  <c r="AO291" i="5" s="1"/>
  <c r="AP291" i="5" s="1"/>
  <c r="BB291" i="5" s="1"/>
  <c r="AA89" i="5"/>
  <c r="AA230" i="5"/>
  <c r="AM409" i="5"/>
  <c r="AO409" i="5" s="1"/>
  <c r="AP409" i="5" s="1"/>
  <c r="BB409" i="5" s="1"/>
  <c r="U48" i="7"/>
  <c r="V48" i="7" s="1"/>
  <c r="AE48" i="7" s="1"/>
  <c r="Z48" i="7"/>
  <c r="X48" i="7"/>
  <c r="AB48" i="7" s="1"/>
  <c r="Z73" i="7"/>
  <c r="X73" i="7"/>
  <c r="AB73" i="7" s="1"/>
  <c r="U73" i="7"/>
  <c r="V73" i="7" s="1"/>
  <c r="AE73" i="7" s="1"/>
  <c r="Z57" i="7"/>
  <c r="U57" i="7"/>
  <c r="V57" i="7" s="1"/>
  <c r="AE57" i="7" s="1"/>
  <c r="X57" i="7"/>
  <c r="AB57" i="7" s="1"/>
  <c r="Z141" i="7"/>
  <c r="X141" i="7"/>
  <c r="AB141" i="7" s="1"/>
  <c r="U141" i="7"/>
  <c r="V141" i="7" s="1"/>
  <c r="AE141" i="7" s="1"/>
  <c r="X127" i="7"/>
  <c r="AB127" i="7" s="1"/>
  <c r="Z127" i="7"/>
  <c r="U127" i="7"/>
  <c r="V127" i="7" s="1"/>
  <c r="AE127" i="7" s="1"/>
  <c r="Z66" i="7"/>
  <c r="X66" i="7"/>
  <c r="AB66" i="7" s="1"/>
  <c r="U66" i="7"/>
  <c r="V66" i="7" s="1"/>
  <c r="AE66" i="7" s="1"/>
  <c r="Z20" i="7"/>
  <c r="X20" i="7"/>
  <c r="AB20" i="7" s="1"/>
  <c r="U20" i="7"/>
  <c r="V20" i="7" s="1"/>
  <c r="AE20" i="7" s="1"/>
  <c r="Z119" i="7"/>
  <c r="X119" i="7"/>
  <c r="U119" i="7"/>
  <c r="U129" i="7"/>
  <c r="V129" i="7" s="1"/>
  <c r="AE129" i="7" s="1"/>
  <c r="Z129" i="7"/>
  <c r="X129" i="7"/>
  <c r="AB129" i="7" s="1"/>
  <c r="N4" i="7"/>
  <c r="U91" i="7"/>
  <c r="V91" i="7" s="1"/>
  <c r="AE91" i="7" s="1"/>
  <c r="Z91" i="7"/>
  <c r="X91" i="7"/>
  <c r="AB91" i="7" s="1"/>
  <c r="U99" i="7"/>
  <c r="V99" i="7" s="1"/>
  <c r="AE99" i="7" s="1"/>
  <c r="Z99" i="7"/>
  <c r="X99" i="7"/>
  <c r="AB99" i="7" s="1"/>
  <c r="U122" i="7"/>
  <c r="V122" i="7" s="1"/>
  <c r="AE122" i="7" s="1"/>
  <c r="X122" i="7"/>
  <c r="AB122" i="7" s="1"/>
  <c r="Z122" i="7"/>
  <c r="U150" i="7"/>
  <c r="V150" i="7" s="1"/>
  <c r="AE150" i="7" s="1"/>
  <c r="Z150" i="7"/>
  <c r="X150" i="7"/>
  <c r="AB150" i="7" s="1"/>
  <c r="U158" i="7"/>
  <c r="V158" i="7" s="1"/>
  <c r="AE158" i="7" s="1"/>
  <c r="Z158" i="7"/>
  <c r="X158" i="7"/>
  <c r="AB158" i="7" s="1"/>
  <c r="N23" i="10"/>
  <c r="O23" i="10" s="1"/>
  <c r="P23" i="10" s="1"/>
  <c r="Q23" i="10" s="1"/>
  <c r="R23" i="10" s="1"/>
  <c r="Y23" i="10" s="1"/>
  <c r="N99" i="10"/>
  <c r="O99" i="10" s="1"/>
  <c r="AA262" i="5"/>
  <c r="AA342" i="5"/>
  <c r="AM306" i="5"/>
  <c r="AO306" i="5" s="1"/>
  <c r="AP306" i="5" s="1"/>
  <c r="BB306" i="5" s="1"/>
  <c r="T4" i="5"/>
  <c r="T22" i="9"/>
  <c r="L22" i="9"/>
  <c r="M22" i="9" s="1"/>
  <c r="AA388" i="5"/>
  <c r="AA327" i="5"/>
  <c r="AN138" i="13"/>
  <c r="BN39" i="46" s="1"/>
  <c r="AL138" i="13"/>
  <c r="BG39" i="46" s="1"/>
  <c r="S22" i="8"/>
  <c r="Q22" i="8"/>
  <c r="AR22" i="12" s="1"/>
  <c r="S49" i="8"/>
  <c r="P49" i="8"/>
  <c r="S161" i="8"/>
  <c r="P161" i="8"/>
  <c r="O21" i="10"/>
  <c r="P21" i="10" s="1"/>
  <c r="Q21" i="10" s="1"/>
  <c r="R21" i="10" s="1"/>
  <c r="Y21" i="10" s="1"/>
  <c r="P195" i="8"/>
  <c r="O87" i="10"/>
  <c r="P87" i="10" s="1"/>
  <c r="Q87" i="10" s="1"/>
  <c r="R87" i="10" s="1"/>
  <c r="Y87" i="10" s="1"/>
  <c r="O54" i="10"/>
  <c r="P54" i="10" s="1"/>
  <c r="Q54" i="10" s="1"/>
  <c r="R54" i="10" s="1"/>
  <c r="Y54" i="10" s="1"/>
  <c r="O72" i="10"/>
  <c r="P72" i="10" s="1"/>
  <c r="Q72" i="10" s="1"/>
  <c r="R72" i="10" s="1"/>
  <c r="Y72" i="10" s="1"/>
  <c r="P200" i="8"/>
  <c r="Q200" i="8" s="1"/>
  <c r="AR200" i="12" s="1"/>
  <c r="O41" i="10"/>
  <c r="P41" i="10" s="1"/>
  <c r="Q41" i="10" s="1"/>
  <c r="R41" i="10" s="1"/>
  <c r="Y41" i="10" s="1"/>
  <c r="S302" i="8"/>
  <c r="Q302" i="8"/>
  <c r="AR302" i="12" s="1"/>
  <c r="J165" i="12"/>
  <c r="P233" i="8"/>
  <c r="Q233" i="8" s="1"/>
  <c r="AR233" i="12" s="1"/>
  <c r="P181" i="8"/>
  <c r="Q181" i="8" s="1"/>
  <c r="AR181" i="12" s="1"/>
  <c r="Y20" i="8"/>
  <c r="P343" i="8"/>
  <c r="Q343" i="8" s="1"/>
  <c r="AR343" i="12" s="1"/>
  <c r="P241" i="8"/>
  <c r="Q241" i="8" s="1"/>
  <c r="AR241" i="12" s="1"/>
  <c r="P60" i="8"/>
  <c r="P362" i="8"/>
  <c r="Q362" i="8" s="1"/>
  <c r="AR362" i="12" s="1"/>
  <c r="P236" i="8"/>
  <c r="P176" i="8"/>
  <c r="Q176" i="8" s="1"/>
  <c r="AR176" i="12" s="1"/>
  <c r="P54" i="8"/>
  <c r="P84" i="8"/>
  <c r="Q84" i="8" s="1"/>
  <c r="AR84" i="12" s="1"/>
  <c r="V109" i="8"/>
  <c r="T109" i="8"/>
  <c r="R109" i="8"/>
  <c r="AZ54" i="7"/>
  <c r="P272" i="8"/>
  <c r="S228" i="8"/>
  <c r="P228" i="8"/>
  <c r="Q228" i="8" s="1"/>
  <c r="AR228" i="12" s="1"/>
  <c r="P185" i="8"/>
  <c r="Q185" i="8" s="1"/>
  <c r="AR185" i="12" s="1"/>
  <c r="P305" i="8"/>
  <c r="Q305" i="8" s="1"/>
  <c r="AR305" i="12" s="1"/>
  <c r="Q106" i="8"/>
  <c r="AR106" i="12" s="1"/>
  <c r="P244" i="8"/>
  <c r="Q244" i="8" s="1"/>
  <c r="AR244" i="12" s="1"/>
  <c r="P331" i="8"/>
  <c r="Q50" i="8"/>
  <c r="AR50" i="12" s="1"/>
  <c r="P120" i="8"/>
  <c r="P295" i="8"/>
  <c r="Q295" i="8" s="1"/>
  <c r="AR295" i="12" s="1"/>
  <c r="V173" i="8"/>
  <c r="R173" i="8"/>
  <c r="T173" i="8" s="1"/>
  <c r="P223" i="8"/>
  <c r="Q223" i="8" s="1"/>
  <c r="AR223" i="12" s="1"/>
  <c r="O85" i="10"/>
  <c r="P85" i="10" s="1"/>
  <c r="Q85" i="10" s="1"/>
  <c r="R85" i="10" s="1"/>
  <c r="Y85" i="10" s="1"/>
  <c r="S98" i="8"/>
  <c r="P160" i="8"/>
  <c r="Q160" i="8" s="1"/>
  <c r="AR160" i="12" s="1"/>
  <c r="G4" i="46"/>
  <c r="I4" i="46"/>
  <c r="W92" i="9"/>
  <c r="Z92" i="9" s="1"/>
  <c r="T15" i="46"/>
  <c r="AV22" i="5"/>
  <c r="AZ22" i="5" s="1"/>
  <c r="AU22" i="5"/>
  <c r="W128" i="9"/>
  <c r="Z128" i="9" s="1"/>
  <c r="AN105" i="13"/>
  <c r="BK33" i="46" s="1"/>
  <c r="AL105" i="13"/>
  <c r="BD33" i="46" s="1"/>
  <c r="Z25" i="13"/>
  <c r="AB25" i="13"/>
  <c r="AD25" i="13" s="1"/>
  <c r="Z42" i="13"/>
  <c r="AB42" i="13"/>
  <c r="AD42" i="13" s="1"/>
  <c r="AB105" i="13"/>
  <c r="AD105" i="13" s="1"/>
  <c r="AV26" i="5"/>
  <c r="AZ26" i="5" s="1"/>
  <c r="AU26" i="5"/>
  <c r="T82" i="9"/>
  <c r="L82" i="9"/>
  <c r="M82" i="9" s="1"/>
  <c r="T66" i="9"/>
  <c r="L66" i="9"/>
  <c r="M66" i="9" s="1"/>
  <c r="W134" i="13"/>
  <c r="W87" i="13"/>
  <c r="W53" i="13"/>
  <c r="AN22" i="13"/>
  <c r="BM16" i="46" s="1"/>
  <c r="AL22" i="13"/>
  <c r="BF16" i="46" s="1"/>
  <c r="Z115" i="13"/>
  <c r="AB115" i="13"/>
  <c r="AD115" i="13" s="1"/>
  <c r="AN154" i="13"/>
  <c r="BO42" i="46" s="1"/>
  <c r="AL154" i="13"/>
  <c r="BH42" i="46" s="1"/>
  <c r="AV28" i="5"/>
  <c r="AZ28" i="5" s="1"/>
  <c r="T25" i="9"/>
  <c r="L25" i="9"/>
  <c r="M25" i="9" s="1"/>
  <c r="Z76" i="13"/>
  <c r="AB76" i="13"/>
  <c r="AD76" i="13" s="1"/>
  <c r="T80" i="9"/>
  <c r="L80" i="9"/>
  <c r="M80" i="9" s="1"/>
  <c r="AB85" i="13"/>
  <c r="AD85" i="13" s="1"/>
  <c r="AA330" i="5"/>
  <c r="AL137" i="13"/>
  <c r="BF39" i="46" s="1"/>
  <c r="AN137" i="13"/>
  <c r="BM39" i="46" s="1"/>
  <c r="AM97" i="5"/>
  <c r="AO97" i="5" s="1"/>
  <c r="AP97" i="5" s="1"/>
  <c r="BB97" i="5" s="1"/>
  <c r="AA340" i="5"/>
  <c r="AA216" i="5"/>
  <c r="I54" i="7"/>
  <c r="J89" i="7"/>
  <c r="J23" i="7"/>
  <c r="J73" i="7"/>
  <c r="I36" i="10"/>
  <c r="G62" i="10"/>
  <c r="O126" i="10"/>
  <c r="P126" i="10" s="1"/>
  <c r="Q126" i="10" s="1"/>
  <c r="R126" i="10" s="1"/>
  <c r="Y126" i="10" s="1"/>
  <c r="O105" i="10"/>
  <c r="P105" i="10" s="1"/>
  <c r="Q105" i="10" s="1"/>
  <c r="R105" i="10" s="1"/>
  <c r="Y105" i="10" s="1"/>
  <c r="F91" i="16"/>
  <c r="O118" i="10"/>
  <c r="P118" i="10" s="1"/>
  <c r="Q118" i="10" s="1"/>
  <c r="R118" i="10" s="1"/>
  <c r="Y118" i="10" s="1"/>
  <c r="F129" i="12"/>
  <c r="F219" i="12"/>
  <c r="F302" i="12"/>
  <c r="L55" i="9"/>
  <c r="M55" i="9" s="1"/>
  <c r="T55" i="9"/>
  <c r="T122" i="9"/>
  <c r="L122" i="9"/>
  <c r="M122" i="9" s="1"/>
  <c r="AA137" i="5"/>
  <c r="AM320" i="5"/>
  <c r="AO320" i="5" s="1"/>
  <c r="AP320" i="5" s="1"/>
  <c r="BB320" i="5" s="1"/>
  <c r="AA128" i="5"/>
  <c r="AA166" i="5"/>
  <c r="AA55" i="5"/>
  <c r="AA60" i="5"/>
  <c r="AA70" i="5"/>
  <c r="AA62" i="5"/>
  <c r="AM359" i="5"/>
  <c r="AO359" i="5" s="1"/>
  <c r="AP359" i="5" s="1"/>
  <c r="BB359" i="5" s="1"/>
  <c r="AA405" i="5"/>
  <c r="AA368" i="5"/>
  <c r="AA82" i="5"/>
  <c r="AA272" i="5"/>
  <c r="AA420" i="5"/>
  <c r="U52" i="7"/>
  <c r="V52" i="7" s="1"/>
  <c r="Z52" i="7"/>
  <c r="X52" i="7"/>
  <c r="AB52" i="7" s="1"/>
  <c r="AE39" i="7"/>
  <c r="X39" i="7"/>
  <c r="AB39" i="7" s="1"/>
  <c r="Z39" i="7"/>
  <c r="X50" i="7"/>
  <c r="AB50" i="7" s="1"/>
  <c r="U50" i="7"/>
  <c r="V50" i="7" s="1"/>
  <c r="AE50" i="7" s="1"/>
  <c r="Z50" i="7"/>
  <c r="Z63" i="7"/>
  <c r="X63" i="7"/>
  <c r="AB63" i="7" s="1"/>
  <c r="U63" i="7"/>
  <c r="V63" i="7" s="1"/>
  <c r="AE63" i="7" s="1"/>
  <c r="Z86" i="7"/>
  <c r="X86" i="7"/>
  <c r="AB86" i="7" s="1"/>
  <c r="U86" i="7"/>
  <c r="V86" i="7" s="1"/>
  <c r="AE86" i="7" s="1"/>
  <c r="Z37" i="7"/>
  <c r="X37" i="7"/>
  <c r="AB37" i="7" s="1"/>
  <c r="AE37" i="7"/>
  <c r="X49" i="7"/>
  <c r="AB49" i="7" s="1"/>
  <c r="U49" i="7"/>
  <c r="V49" i="7" s="1"/>
  <c r="AE49" i="7" s="1"/>
  <c r="Z49" i="7"/>
  <c r="X62" i="7"/>
  <c r="AB62" i="7" s="1"/>
  <c r="U62" i="7"/>
  <c r="V62" i="7" s="1"/>
  <c r="AE62" i="7" s="1"/>
  <c r="Z62" i="7"/>
  <c r="X85" i="7"/>
  <c r="AB85" i="7" s="1"/>
  <c r="U85" i="7"/>
  <c r="V85" i="7" s="1"/>
  <c r="AE85" i="7" s="1"/>
  <c r="Z85" i="7"/>
  <c r="Z65" i="7"/>
  <c r="X65" i="7"/>
  <c r="AB65" i="7" s="1"/>
  <c r="U65" i="7"/>
  <c r="V65" i="7" s="1"/>
  <c r="AE65" i="7" s="1"/>
  <c r="Z89" i="7"/>
  <c r="X89" i="7"/>
  <c r="AB89" i="7" s="1"/>
  <c r="U89" i="7"/>
  <c r="V89" i="7" s="1"/>
  <c r="AE89" i="7" s="1"/>
  <c r="Z25" i="7"/>
  <c r="X25" i="7"/>
  <c r="AB25" i="7" s="1"/>
  <c r="U25" i="7"/>
  <c r="V25" i="7" s="1"/>
  <c r="AE25" i="7" s="1"/>
  <c r="Z42" i="7"/>
  <c r="X42" i="7"/>
  <c r="AB42" i="7" s="1"/>
  <c r="AE42" i="7"/>
  <c r="Z33" i="7"/>
  <c r="X33" i="7"/>
  <c r="AB33" i="7" s="1"/>
  <c r="U33" i="7"/>
  <c r="V33" i="7" s="1"/>
  <c r="AE33" i="7" s="1"/>
  <c r="X88" i="7"/>
  <c r="AB88" i="7" s="1"/>
  <c r="Z88" i="7"/>
  <c r="U88" i="7"/>
  <c r="V88" i="7" s="1"/>
  <c r="AE88" i="7" s="1"/>
  <c r="X126" i="7"/>
  <c r="AB126" i="7" s="1"/>
  <c r="U126" i="7"/>
  <c r="V126" i="7" s="1"/>
  <c r="AE126" i="7" s="1"/>
  <c r="Z126" i="7"/>
  <c r="X134" i="7"/>
  <c r="AB134" i="7" s="1"/>
  <c r="U134" i="7"/>
  <c r="V134" i="7" s="1"/>
  <c r="AE134" i="7" s="1"/>
  <c r="Z134" i="7"/>
  <c r="X147" i="7"/>
  <c r="AB147" i="7" s="1"/>
  <c r="U147" i="7"/>
  <c r="V147" i="7" s="1"/>
  <c r="AE147" i="7" s="1"/>
  <c r="Z147" i="7"/>
  <c r="X55" i="7"/>
  <c r="AB55" i="7" s="1"/>
  <c r="U55" i="7"/>
  <c r="V55" i="7" s="1"/>
  <c r="AE55" i="7" s="1"/>
  <c r="Z55" i="7"/>
  <c r="X68" i="7"/>
  <c r="AB68" i="7" s="1"/>
  <c r="U68" i="7"/>
  <c r="V68" i="7" s="1"/>
  <c r="AE68" i="7" s="1"/>
  <c r="Z68" i="7"/>
  <c r="X111" i="7"/>
  <c r="AB111" i="7" s="1"/>
  <c r="U111" i="7"/>
  <c r="V111" i="7" s="1"/>
  <c r="AE111" i="7" s="1"/>
  <c r="Z111" i="7"/>
  <c r="X144" i="7"/>
  <c r="AB144" i="7" s="1"/>
  <c r="U144" i="7"/>
  <c r="V144" i="7" s="1"/>
  <c r="AE144" i="7" s="1"/>
  <c r="Z144" i="7"/>
  <c r="X27" i="7"/>
  <c r="AB27" i="7" s="1"/>
  <c r="U27" i="7"/>
  <c r="V27" i="7" s="1"/>
  <c r="AE27" i="7" s="1"/>
  <c r="Z27" i="7"/>
  <c r="Z35" i="7"/>
  <c r="X35" i="7"/>
  <c r="AB35" i="7" s="1"/>
  <c r="U35" i="7"/>
  <c r="V35" i="7" s="1"/>
  <c r="AE35" i="7" s="1"/>
  <c r="Z93" i="7"/>
  <c r="X93" i="7"/>
  <c r="AB93" i="7" s="1"/>
  <c r="U93" i="7"/>
  <c r="V93" i="7" s="1"/>
  <c r="AE93" i="7" s="1"/>
  <c r="Z105" i="7"/>
  <c r="X105" i="7"/>
  <c r="AB105" i="7" s="1"/>
  <c r="U105" i="7"/>
  <c r="V105" i="7" s="1"/>
  <c r="AE105" i="7" s="1"/>
  <c r="Z123" i="7"/>
  <c r="X123" i="7"/>
  <c r="AB123" i="7" s="1"/>
  <c r="U123" i="7"/>
  <c r="V123" i="7" s="1"/>
  <c r="AE123" i="7" s="1"/>
  <c r="Z151" i="7"/>
  <c r="X151" i="7"/>
  <c r="AB151" i="7" s="1"/>
  <c r="U151" i="7"/>
  <c r="V151" i="7" s="1"/>
  <c r="AE151" i="7" s="1"/>
  <c r="Z159" i="7"/>
  <c r="X159" i="7"/>
  <c r="U159" i="7"/>
  <c r="N28" i="10"/>
  <c r="O28" i="10" s="1"/>
  <c r="P28" i="10" s="1"/>
  <c r="Q28" i="10" s="1"/>
  <c r="R28" i="10" s="1"/>
  <c r="Y28" i="10" s="1"/>
  <c r="N112" i="10"/>
  <c r="O112" i="10" s="1"/>
  <c r="P112" i="10" s="1"/>
  <c r="Q112" i="10" s="1"/>
  <c r="R112" i="10" s="1"/>
  <c r="Y112" i="10" s="1"/>
  <c r="AA283" i="5"/>
  <c r="AA168" i="5"/>
  <c r="AA346" i="5"/>
  <c r="AA334" i="5"/>
  <c r="AA122" i="5"/>
  <c r="AA170" i="5"/>
  <c r="AA387" i="5"/>
  <c r="AA305" i="5"/>
  <c r="AM102" i="5"/>
  <c r="AO102" i="5" s="1"/>
  <c r="AP102" i="5" s="1"/>
  <c r="BB102" i="5" s="1"/>
  <c r="AA375" i="5"/>
  <c r="AB138" i="13"/>
  <c r="AD138" i="13" s="1"/>
  <c r="AM215" i="5"/>
  <c r="AO215" i="5" s="1"/>
  <c r="AP215" i="5" s="1"/>
  <c r="BB215" i="5" s="1"/>
  <c r="AA177" i="5"/>
  <c r="AA109" i="5"/>
  <c r="S4" i="5"/>
  <c r="BP4" i="46"/>
  <c r="O94" i="10"/>
  <c r="P94" i="10" s="1"/>
  <c r="Q94" i="10" s="1"/>
  <c r="R94" i="10" s="1"/>
  <c r="Y94" i="10" s="1"/>
  <c r="K4" i="46"/>
  <c r="O22" i="10"/>
  <c r="P22" i="10" s="1"/>
  <c r="Q22" i="10" s="1"/>
  <c r="R22" i="10" s="1"/>
  <c r="Y22" i="10" s="1"/>
  <c r="O69" i="10"/>
  <c r="P69" i="10" s="1"/>
  <c r="Q69" i="10" s="1"/>
  <c r="R69" i="10" s="1"/>
  <c r="Y69" i="10" s="1"/>
  <c r="O49" i="10"/>
  <c r="P49" i="10" s="1"/>
  <c r="Q49" i="10" s="1"/>
  <c r="R49" i="10" s="1"/>
  <c r="Y49" i="10" s="1"/>
  <c r="V350" i="8"/>
  <c r="R350" i="8"/>
  <c r="T350" i="8" s="1"/>
  <c r="V202" i="8"/>
  <c r="R202" i="8"/>
  <c r="T202" i="8" s="1"/>
  <c r="O121" i="10"/>
  <c r="P121" i="10" s="1"/>
  <c r="Q121" i="10" s="1"/>
  <c r="R121" i="10" s="1"/>
  <c r="Y121" i="10" s="1"/>
  <c r="O43" i="10"/>
  <c r="P43" i="10" s="1"/>
  <c r="Q43" i="10" s="1"/>
  <c r="R43" i="10" s="1"/>
  <c r="Y43" i="10" s="1"/>
  <c r="O115" i="10"/>
  <c r="P115" i="10" s="1"/>
  <c r="Q115" i="10" s="1"/>
  <c r="R115" i="10" s="1"/>
  <c r="Y115" i="10" s="1"/>
  <c r="O32" i="10"/>
  <c r="P32" i="10" s="1"/>
  <c r="Q32" i="10" s="1"/>
  <c r="R32" i="10" s="1"/>
  <c r="Y32" i="10" s="1"/>
  <c r="V283" i="8"/>
  <c r="Q283" i="8"/>
  <c r="AR283" i="12" s="1"/>
  <c r="R283" i="8"/>
  <c r="T283" i="8" s="1"/>
  <c r="P100" i="8"/>
  <c r="AJ17" i="7"/>
  <c r="AC17" i="7"/>
  <c r="P361" i="8"/>
  <c r="Q361" i="8" s="1"/>
  <c r="AR361" i="12" s="1"/>
  <c r="P178" i="8"/>
  <c r="S150" i="8"/>
  <c r="Q150" i="8"/>
  <c r="AR150" i="12" s="1"/>
  <c r="E4" i="46"/>
  <c r="T18" i="8"/>
  <c r="V18" i="8"/>
  <c r="R18" i="8"/>
  <c r="P114" i="8"/>
  <c r="O40" i="10"/>
  <c r="P40" i="10" s="1"/>
  <c r="Q40" i="10" s="1"/>
  <c r="R40" i="10" s="1"/>
  <c r="Y40" i="10" s="1"/>
  <c r="P306" i="8"/>
  <c r="Q306" i="8" s="1"/>
  <c r="AR306" i="12" s="1"/>
  <c r="P232" i="8"/>
  <c r="P48" i="8"/>
  <c r="Q48" i="8" s="1"/>
  <c r="AR48" i="12" s="1"/>
  <c r="S82" i="8"/>
  <c r="P82" i="8"/>
  <c r="O63" i="10"/>
  <c r="P63" i="10" s="1"/>
  <c r="Q63" i="10" s="1"/>
  <c r="R63" i="10" s="1"/>
  <c r="Y63" i="10" s="1"/>
  <c r="P274" i="8"/>
  <c r="P167" i="8"/>
  <c r="P220" i="8"/>
  <c r="S79" i="8"/>
  <c r="Q79" i="8"/>
  <c r="AR79" i="12" s="1"/>
  <c r="P46" i="8"/>
  <c r="P243" i="8"/>
  <c r="V280" i="8"/>
  <c r="R280" i="8"/>
  <c r="T280" i="8" s="1"/>
  <c r="P116" i="8"/>
  <c r="P287" i="8"/>
  <c r="P182" i="8"/>
  <c r="P320" i="8"/>
  <c r="S106" i="8"/>
  <c r="P312" i="8"/>
  <c r="P64" i="8"/>
  <c r="Q64" i="8" s="1"/>
  <c r="AR64" i="12" s="1"/>
  <c r="T139" i="8"/>
  <c r="R139" i="8"/>
  <c r="V139" i="8"/>
  <c r="P267" i="8"/>
  <c r="Q267" i="8" s="1"/>
  <c r="AR267" i="12" s="1"/>
  <c r="P319" i="8"/>
  <c r="Q319" i="8" s="1"/>
  <c r="AR319" i="12" s="1"/>
  <c r="P125" i="8"/>
  <c r="P201" i="8"/>
  <c r="P132" i="8"/>
  <c r="S96" i="8"/>
  <c r="P152" i="8"/>
  <c r="P4" i="46"/>
  <c r="BR4" i="46"/>
  <c r="W4" i="46"/>
  <c r="BS4" i="46"/>
  <c r="Q4" i="46"/>
  <c r="BV4" i="46"/>
  <c r="AN118" i="13"/>
  <c r="BN35" i="46" s="1"/>
  <c r="AL118" i="13"/>
  <c r="BG35" i="46" s="1"/>
  <c r="AN61" i="13"/>
  <c r="BL24" i="46" s="1"/>
  <c r="AL61" i="13"/>
  <c r="BE24" i="46" s="1"/>
  <c r="Z19" i="13"/>
  <c r="AB19" i="13"/>
  <c r="AD19" i="13" s="1"/>
  <c r="Z98" i="13"/>
  <c r="AB98" i="13"/>
  <c r="AD98" i="13" s="1"/>
  <c r="W105" i="13"/>
  <c r="L20" i="9"/>
  <c r="M20" i="9" s="1"/>
  <c r="T20" i="9"/>
  <c r="Z86" i="13"/>
  <c r="AB86" i="13"/>
  <c r="T113" i="9"/>
  <c r="L113" i="9"/>
  <c r="M113" i="9" s="1"/>
  <c r="Z58" i="13"/>
  <c r="AB58" i="13"/>
  <c r="AD58" i="13" s="1"/>
  <c r="Z45" i="13"/>
  <c r="AN75" i="13"/>
  <c r="BK27" i="46" s="1"/>
  <c r="AL75" i="13"/>
  <c r="BD27" i="46" s="1"/>
  <c r="T27" i="9"/>
  <c r="L27" i="9"/>
  <c r="M27" i="9" s="1"/>
  <c r="W85" i="13"/>
  <c r="AU19" i="5"/>
  <c r="AV19" i="5"/>
  <c r="AZ19" i="5" s="1"/>
  <c r="AA87" i="5"/>
  <c r="AM344" i="5"/>
  <c r="AO344" i="5" s="1"/>
  <c r="AP344" i="5" s="1"/>
  <c r="BB344" i="5" s="1"/>
  <c r="AA308" i="5"/>
  <c r="AA118" i="5"/>
  <c r="AA110" i="5"/>
  <c r="AN102" i="13"/>
  <c r="BM32" i="46" s="1"/>
  <c r="AL102" i="13"/>
  <c r="BF32" i="46" s="1"/>
  <c r="AA150" i="5"/>
  <c r="I51" i="7"/>
  <c r="G98" i="10"/>
  <c r="I56" i="10"/>
  <c r="I158" i="7"/>
  <c r="I93" i="10"/>
  <c r="F202" i="16"/>
  <c r="G95" i="10"/>
  <c r="I35" i="10"/>
  <c r="F201" i="16"/>
  <c r="G103" i="10"/>
  <c r="O102" i="10"/>
  <c r="P102" i="10" s="1"/>
  <c r="Q102" i="10" s="1"/>
  <c r="R102" i="10" s="1"/>
  <c r="Y102" i="10" s="1"/>
  <c r="J70" i="10"/>
  <c r="O36" i="10"/>
  <c r="P36" i="10" s="1"/>
  <c r="Q36" i="10" s="1"/>
  <c r="R36" i="10" s="1"/>
  <c r="Y36" i="10" s="1"/>
  <c r="J24" i="10"/>
  <c r="I86" i="10"/>
  <c r="F82" i="16"/>
  <c r="F290" i="12"/>
  <c r="F152" i="12"/>
  <c r="F291" i="12"/>
  <c r="F227" i="12"/>
  <c r="AM382" i="5"/>
  <c r="AO382" i="5" s="1"/>
  <c r="AP382" i="5" s="1"/>
  <c r="BB382" i="5" s="1"/>
  <c r="AA211" i="5"/>
  <c r="AA217" i="5"/>
  <c r="AA181" i="5"/>
  <c r="AA173" i="5"/>
  <c r="AA151" i="5"/>
  <c r="AA143" i="5"/>
  <c r="AA129" i="5"/>
  <c r="AA157" i="5"/>
  <c r="AA156" i="5"/>
  <c r="AM263" i="5"/>
  <c r="AO263" i="5" s="1"/>
  <c r="AP263" i="5" s="1"/>
  <c r="BB263" i="5" s="1"/>
  <c r="AA356" i="5"/>
  <c r="AA364" i="5"/>
  <c r="AA410" i="5"/>
  <c r="AA271" i="5"/>
  <c r="AA318" i="5"/>
  <c r="AA226" i="5"/>
  <c r="AA231" i="5"/>
  <c r="AA351" i="5"/>
  <c r="AA69" i="5"/>
  <c r="AA398" i="5"/>
  <c r="AA235" i="5"/>
  <c r="AA397" i="5"/>
  <c r="AA74" i="5"/>
  <c r="AA250" i="5"/>
  <c r="AA412" i="5"/>
  <c r="Z148" i="7"/>
  <c r="X148" i="7"/>
  <c r="AB148" i="7" s="1"/>
  <c r="U148" i="7"/>
  <c r="V148" i="7" s="1"/>
  <c r="AE148" i="7" s="1"/>
  <c r="Z132" i="7"/>
  <c r="X132" i="7"/>
  <c r="AB132" i="7" s="1"/>
  <c r="U132" i="7"/>
  <c r="V132" i="7" s="1"/>
  <c r="AE132" i="7" s="1"/>
  <c r="U70" i="7"/>
  <c r="V70" i="7" s="1"/>
  <c r="AE70" i="7" s="1"/>
  <c r="Z70" i="7"/>
  <c r="X70" i="7"/>
  <c r="AB70" i="7" s="1"/>
  <c r="Z115" i="7"/>
  <c r="U115" i="7"/>
  <c r="V115" i="7" s="1"/>
  <c r="AE115" i="7" s="1"/>
  <c r="X115" i="7"/>
  <c r="AB115" i="7" s="1"/>
  <c r="Z152" i="7"/>
  <c r="X152" i="7"/>
  <c r="AB152" i="7" s="1"/>
  <c r="U152" i="7"/>
  <c r="V152" i="7" s="1"/>
  <c r="AE152" i="7" s="1"/>
  <c r="Z84" i="7"/>
  <c r="X84" i="7"/>
  <c r="AB84" i="7" s="1"/>
  <c r="U84" i="7"/>
  <c r="V84" i="7" s="1"/>
  <c r="AE84" i="7" s="1"/>
  <c r="Z36" i="7"/>
  <c r="X36" i="7"/>
  <c r="AB36" i="7" s="1"/>
  <c r="AE36" i="7"/>
  <c r="Z83" i="7"/>
  <c r="X83" i="7"/>
  <c r="AB83" i="7" s="1"/>
  <c r="U83" i="7"/>
  <c r="V83" i="7" s="1"/>
  <c r="AE83" i="7" s="1"/>
  <c r="Z34" i="7"/>
  <c r="X34" i="7"/>
  <c r="AB34" i="7" s="1"/>
  <c r="U34" i="7"/>
  <c r="V34" i="7" s="1"/>
  <c r="AE34" i="7" s="1"/>
  <c r="Z77" i="7"/>
  <c r="X77" i="7"/>
  <c r="AB77" i="7" s="1"/>
  <c r="U77" i="7"/>
  <c r="V77" i="7" s="1"/>
  <c r="AE77" i="7" s="1"/>
  <c r="Z90" i="7"/>
  <c r="U90" i="7"/>
  <c r="V90" i="7" s="1"/>
  <c r="AE90" i="7" s="1"/>
  <c r="X90" i="7"/>
  <c r="AB90" i="7" s="1"/>
  <c r="Z98" i="7"/>
  <c r="U98" i="7"/>
  <c r="V98" i="7" s="1"/>
  <c r="AE98" i="7" s="1"/>
  <c r="X98" i="7"/>
  <c r="AB98" i="7" s="1"/>
  <c r="Z121" i="7"/>
  <c r="X121" i="7"/>
  <c r="AB121" i="7" s="1"/>
  <c r="U121" i="7"/>
  <c r="V121" i="7" s="1"/>
  <c r="AE121" i="7" s="1"/>
  <c r="Z139" i="7"/>
  <c r="X139" i="7"/>
  <c r="AB139" i="7" s="1"/>
  <c r="U139" i="7"/>
  <c r="V139" i="7" s="1"/>
  <c r="AE139" i="7" s="1"/>
  <c r="Z157" i="7"/>
  <c r="U157" i="7"/>
  <c r="V157" i="7" s="1"/>
  <c r="AE157" i="7" s="1"/>
  <c r="X157" i="7"/>
  <c r="AB157" i="7" s="1"/>
  <c r="N77" i="10"/>
  <c r="O77" i="10" s="1"/>
  <c r="P77" i="10" s="1"/>
  <c r="Q77" i="10" s="1"/>
  <c r="R77" i="10" s="1"/>
  <c r="Y77" i="10" s="1"/>
  <c r="AA68" i="5"/>
  <c r="AA326" i="5"/>
  <c r="AA212" i="5"/>
  <c r="AA218" i="5"/>
  <c r="AM381" i="5"/>
  <c r="AO381" i="5" s="1"/>
  <c r="AP381" i="5" s="1"/>
  <c r="BB381" i="5" s="1"/>
  <c r="AA297" i="5"/>
  <c r="AA169" i="5"/>
  <c r="AA175" i="5"/>
  <c r="AA153" i="5"/>
  <c r="M39" i="9"/>
  <c r="W39" i="9" s="1"/>
  <c r="Z39" i="9" s="1"/>
  <c r="AJ4" i="5"/>
  <c r="W138" i="13"/>
  <c r="AA164" i="5"/>
  <c r="AA96" i="5"/>
  <c r="AA323" i="5"/>
  <c r="AA329" i="5"/>
  <c r="AM223" i="5"/>
  <c r="AO223" i="5" s="1"/>
  <c r="AP223" i="5" s="1"/>
  <c r="BB223" i="5" s="1"/>
  <c r="AA117" i="5"/>
  <c r="AM103" i="5"/>
  <c r="AO103" i="5" s="1"/>
  <c r="AP103" i="5" s="1"/>
  <c r="BB103" i="5" s="1"/>
  <c r="S253" i="8"/>
  <c r="P253" i="8"/>
  <c r="S358" i="8"/>
  <c r="P358" i="8"/>
  <c r="Q358" i="8" s="1"/>
  <c r="AR358" i="12" s="1"/>
  <c r="S213" i="8"/>
  <c r="P213" i="8"/>
  <c r="Q213" i="8" s="1"/>
  <c r="AR213" i="12" s="1"/>
  <c r="V150" i="8"/>
  <c r="R150" i="8"/>
  <c r="T150" i="8" s="1"/>
  <c r="S164" i="8"/>
  <c r="P164" i="8"/>
  <c r="Q164" i="8" s="1"/>
  <c r="AR164" i="12" s="1"/>
  <c r="S332" i="8"/>
  <c r="P332" i="8"/>
  <c r="Q332" i="8" s="1"/>
  <c r="AR332" i="12" s="1"/>
  <c r="S92" i="8"/>
  <c r="P92" i="8"/>
  <c r="Q92" i="8" s="1"/>
  <c r="AM159" i="7"/>
  <c r="AL159" i="7"/>
  <c r="AX109" i="7"/>
  <c r="AK109" i="7"/>
  <c r="AI109" i="7"/>
  <c r="V79" i="8"/>
  <c r="R79" i="8"/>
  <c r="T79" i="8" s="1"/>
  <c r="AZ41" i="7"/>
  <c r="V165" i="8"/>
  <c r="R165" i="8"/>
  <c r="T165" i="8" s="1"/>
  <c r="S30" i="8"/>
  <c r="P30" i="8"/>
  <c r="Q30" i="8" s="1"/>
  <c r="AR30" i="12" s="1"/>
  <c r="V136" i="8"/>
  <c r="T136" i="8"/>
  <c r="R136" i="8"/>
  <c r="R291" i="8"/>
  <c r="T291" i="8" s="1"/>
  <c r="V291" i="8"/>
  <c r="Q291" i="8"/>
  <c r="AR291" i="12" s="1"/>
  <c r="R258" i="8"/>
  <c r="T258" i="8" s="1"/>
  <c r="V258" i="8"/>
  <c r="R324" i="8"/>
  <c r="T324" i="8" s="1"/>
  <c r="V324" i="8"/>
  <c r="T102" i="8"/>
  <c r="V143" i="8"/>
  <c r="R143" i="8"/>
  <c r="T143" i="8"/>
  <c r="AZ68" i="7"/>
  <c r="R199" i="8"/>
  <c r="T199" i="8" s="1"/>
  <c r="V199" i="8"/>
  <c r="AZ91" i="7"/>
  <c r="AZ67" i="7"/>
  <c r="R235" i="8"/>
  <c r="T235" i="8" s="1"/>
  <c r="R96" i="8"/>
  <c r="T96" i="8" s="1"/>
  <c r="V96" i="8"/>
  <c r="O4" i="46"/>
  <c r="R4" i="46"/>
  <c r="AL119" i="7"/>
  <c r="AM119" i="7"/>
  <c r="AN35" i="13"/>
  <c r="BK19" i="46" s="1"/>
  <c r="AL35" i="13"/>
  <c r="BD19" i="46" s="1"/>
  <c r="Z15" i="13"/>
  <c r="AB15" i="13"/>
  <c r="AD15" i="13" s="1"/>
  <c r="AN96" i="13"/>
  <c r="BL31" i="46" s="1"/>
  <c r="AL96" i="13"/>
  <c r="BE31" i="46" s="1"/>
  <c r="Z73" i="13"/>
  <c r="AB73" i="13"/>
  <c r="AD73" i="13" s="1"/>
  <c r="Z29" i="13"/>
  <c r="AB29" i="13"/>
  <c r="AD29" i="13" s="1"/>
  <c r="L23" i="9"/>
  <c r="M23" i="9" s="1"/>
  <c r="T23" i="9"/>
  <c r="AB117" i="13"/>
  <c r="AD117" i="13" s="1"/>
  <c r="L86" i="9"/>
  <c r="M86" i="9" s="1"/>
  <c r="T86" i="9"/>
  <c r="L29" i="9"/>
  <c r="M29" i="9" s="1"/>
  <c r="W29" i="9" s="1"/>
  <c r="L88" i="9"/>
  <c r="M88" i="9" s="1"/>
  <c r="T88" i="9"/>
  <c r="AL66" i="13"/>
  <c r="BE25" i="46" s="1"/>
  <c r="AN66" i="13"/>
  <c r="BL25" i="46" s="1"/>
  <c r="AM264" i="5"/>
  <c r="AO264" i="5" s="1"/>
  <c r="AP264" i="5" s="1"/>
  <c r="BB264" i="5" s="1"/>
  <c r="W110" i="9"/>
  <c r="Z110" i="9" s="1"/>
  <c r="AF4" i="5"/>
  <c r="I115" i="7"/>
  <c r="O92" i="10"/>
  <c r="P92" i="10" s="1"/>
  <c r="Q92" i="10" s="1"/>
  <c r="R92" i="10" s="1"/>
  <c r="Y92" i="10" s="1"/>
  <c r="F4" i="10"/>
  <c r="O130" i="10"/>
  <c r="P130" i="10" s="1"/>
  <c r="Q130" i="10" s="1"/>
  <c r="R130" i="10" s="1"/>
  <c r="Y130" i="10" s="1"/>
  <c r="F195" i="16"/>
  <c r="F147" i="12"/>
  <c r="AA93" i="5"/>
  <c r="AM160" i="5"/>
  <c r="AO160" i="5" s="1"/>
  <c r="AP160" i="5" s="1"/>
  <c r="BB160" i="5" s="1"/>
  <c r="AM316" i="5"/>
  <c r="AO316" i="5" s="1"/>
  <c r="AP316" i="5" s="1"/>
  <c r="BB316" i="5" s="1"/>
  <c r="AM294" i="5"/>
  <c r="AO294" i="5" s="1"/>
  <c r="AP294" i="5" s="1"/>
  <c r="BB294" i="5" s="1"/>
  <c r="AA47" i="5"/>
  <c r="AM210" i="5"/>
  <c r="AO210" i="5" s="1"/>
  <c r="AP210" i="5" s="1"/>
  <c r="BB210" i="5" s="1"/>
  <c r="AM195" i="5"/>
  <c r="AO195" i="5" s="1"/>
  <c r="AP195" i="5" s="1"/>
  <c r="BB195" i="5" s="1"/>
  <c r="AA209" i="5"/>
  <c r="AM315" i="5"/>
  <c r="AO315" i="5" s="1"/>
  <c r="AP315" i="5" s="1"/>
  <c r="BB315" i="5" s="1"/>
  <c r="AA357" i="5"/>
  <c r="Z47" i="7"/>
  <c r="X47" i="7"/>
  <c r="AB47" i="7" s="1"/>
  <c r="U47" i="7"/>
  <c r="V47" i="7" s="1"/>
  <c r="AE47" i="7" s="1"/>
  <c r="AA361" i="5"/>
  <c r="O4" i="7"/>
  <c r="AM52" i="5"/>
  <c r="AO52" i="5" s="1"/>
  <c r="AP52" i="5" s="1"/>
  <c r="BB52" i="5" s="1"/>
  <c r="AA66" i="5"/>
  <c r="AM228" i="5"/>
  <c r="AO228" i="5" s="1"/>
  <c r="AP228" i="5" s="1"/>
  <c r="BB228" i="5" s="1"/>
  <c r="AA242" i="5"/>
  <c r="AA404" i="5"/>
  <c r="U125" i="7"/>
  <c r="V125" i="7" s="1"/>
  <c r="AE125" i="7" s="1"/>
  <c r="Z125" i="7"/>
  <c r="X125" i="7"/>
  <c r="AB125" i="7" s="1"/>
  <c r="Z43" i="7"/>
  <c r="X43" i="7"/>
  <c r="AB43" i="7" s="1"/>
  <c r="AE43" i="7"/>
  <c r="Z112" i="7"/>
  <c r="X112" i="7"/>
  <c r="AB112" i="7" s="1"/>
  <c r="U112" i="7"/>
  <c r="V112" i="7" s="1"/>
  <c r="AE112" i="7" s="1"/>
  <c r="U76" i="7"/>
  <c r="V76" i="7" s="1"/>
  <c r="AE76" i="7" s="1"/>
  <c r="Z76" i="7"/>
  <c r="X76" i="7"/>
  <c r="AB76" i="7" s="1"/>
  <c r="U146" i="7"/>
  <c r="V146" i="7" s="1"/>
  <c r="AE146" i="7" s="1"/>
  <c r="Z146" i="7"/>
  <c r="X146" i="7"/>
  <c r="AB146" i="7" s="1"/>
  <c r="Z44" i="7"/>
  <c r="X44" i="7"/>
  <c r="U67" i="7"/>
  <c r="V67" i="7" s="1"/>
  <c r="AE67" i="7" s="1"/>
  <c r="Z67" i="7"/>
  <c r="X67" i="7"/>
  <c r="AB67" i="7" s="1"/>
  <c r="U110" i="7"/>
  <c r="V110" i="7" s="1"/>
  <c r="AE110" i="7" s="1"/>
  <c r="Z110" i="7"/>
  <c r="X110" i="7"/>
  <c r="AB110" i="7" s="1"/>
  <c r="U143" i="7"/>
  <c r="V143" i="7" s="1"/>
  <c r="AE143" i="7" s="1"/>
  <c r="Z143" i="7"/>
  <c r="X143" i="7"/>
  <c r="AB143" i="7" s="1"/>
  <c r="U26" i="7"/>
  <c r="V26" i="7" s="1"/>
  <c r="AE26" i="7" s="1"/>
  <c r="Z26" i="7"/>
  <c r="X26" i="7"/>
  <c r="AB26" i="7" s="1"/>
  <c r="Z106" i="7"/>
  <c r="X106" i="7"/>
  <c r="AB106" i="7" s="1"/>
  <c r="U106" i="7"/>
  <c r="V106" i="7" s="1"/>
  <c r="AE106" i="7" s="1"/>
  <c r="M4" i="10"/>
  <c r="AM336" i="5"/>
  <c r="AO336" i="5" s="1"/>
  <c r="AP336" i="5" s="1"/>
  <c r="BB336" i="5" s="1"/>
  <c r="AA182" i="5"/>
  <c r="AA174" i="5"/>
  <c r="AA145" i="5"/>
  <c r="AA123" i="5"/>
  <c r="AA115" i="5"/>
  <c r="AA63" i="5"/>
  <c r="AA132" i="5"/>
  <c r="AA95" i="5"/>
  <c r="AM301" i="5"/>
  <c r="AO301" i="5" s="1"/>
  <c r="AP301" i="5" s="1"/>
  <c r="BB301" i="5" s="1"/>
  <c r="AM179" i="5"/>
  <c r="AO179" i="5" s="1"/>
  <c r="AP179" i="5" s="1"/>
  <c r="BB179" i="5" s="1"/>
  <c r="AA141" i="5"/>
  <c r="AA147" i="5"/>
  <c r="AA125" i="5"/>
  <c r="AM111" i="5"/>
  <c r="AO111" i="5" s="1"/>
  <c r="AP111" i="5" s="1"/>
  <c r="BB111" i="5" s="1"/>
  <c r="O78" i="10"/>
  <c r="P78" i="10" s="1"/>
  <c r="Q78" i="10" s="1"/>
  <c r="R78" i="10" s="1"/>
  <c r="Y78" i="10" s="1"/>
  <c r="AB17" i="10"/>
  <c r="AS24" i="12" s="1"/>
  <c r="O80" i="10"/>
  <c r="P80" i="10" s="1"/>
  <c r="Q80" i="10" s="1"/>
  <c r="R80" i="10" s="1"/>
  <c r="Y80" i="10" s="1"/>
  <c r="O123" i="10"/>
  <c r="P123" i="10" s="1"/>
  <c r="Q123" i="10" s="1"/>
  <c r="R123" i="10" s="1"/>
  <c r="Y123" i="10" s="1"/>
  <c r="O117" i="10"/>
  <c r="P117" i="10" s="1"/>
  <c r="Q117" i="10" s="1"/>
  <c r="R117" i="10" s="1"/>
  <c r="Y117" i="10" s="1"/>
  <c r="AR42" i="12"/>
  <c r="O64" i="10"/>
  <c r="P64" i="10" s="1"/>
  <c r="Q64" i="10" s="1"/>
  <c r="R64" i="10" s="1"/>
  <c r="Y64" i="10" s="1"/>
  <c r="P342" i="8"/>
  <c r="R207" i="8"/>
  <c r="T207" i="8" s="1"/>
  <c r="S179" i="8"/>
  <c r="Q179" i="8"/>
  <c r="AR179" i="12" s="1"/>
  <c r="R302" i="8"/>
  <c r="T302" i="8" s="1"/>
  <c r="V302" i="8"/>
  <c r="S191" i="8"/>
  <c r="R134" i="8"/>
  <c r="T134" i="8" s="1"/>
  <c r="AD159" i="7"/>
  <c r="AP361" i="12" s="1"/>
  <c r="AC159" i="7"/>
  <c r="AB159" i="7"/>
  <c r="P339" i="8"/>
  <c r="P77" i="8"/>
  <c r="V94" i="8"/>
  <c r="R94" i="8"/>
  <c r="T94" i="8" s="1"/>
  <c r="P349" i="8"/>
  <c r="Q349" i="8" s="1"/>
  <c r="AR349" i="12" s="1"/>
  <c r="T15" i="8"/>
  <c r="V15" i="8"/>
  <c r="R15" i="8"/>
  <c r="P163" i="8"/>
  <c r="P191" i="8"/>
  <c r="P59" i="8"/>
  <c r="Q59" i="8" s="1"/>
  <c r="AR59" i="12" s="1"/>
  <c r="P81" i="8"/>
  <c r="Q81" i="8" s="1"/>
  <c r="AR81" i="12" s="1"/>
  <c r="P113" i="8"/>
  <c r="S89" i="8"/>
  <c r="P234" i="8"/>
  <c r="T144" i="8"/>
  <c r="R144" i="8"/>
  <c r="V144" i="8"/>
  <c r="Q165" i="8"/>
  <c r="AR165" i="12" s="1"/>
  <c r="S227" i="8"/>
  <c r="P227" i="8"/>
  <c r="P290" i="8"/>
  <c r="Q290" i="8" s="1"/>
  <c r="AR290" i="12" s="1"/>
  <c r="AM19" i="7"/>
  <c r="AL19" i="7"/>
  <c r="P206" i="8"/>
  <c r="Q206" i="8" s="1"/>
  <c r="AR206" i="12" s="1"/>
  <c r="Q324" i="8"/>
  <c r="AR324" i="12" s="1"/>
  <c r="P284" i="8"/>
  <c r="P275" i="8"/>
  <c r="V159" i="8"/>
  <c r="P105" i="8"/>
  <c r="P190" i="8"/>
  <c r="P124" i="8"/>
  <c r="S91" i="8"/>
  <c r="P318" i="8"/>
  <c r="Q318" i="8" s="1"/>
  <c r="AR318" i="12" s="1"/>
  <c r="P76" i="8"/>
  <c r="Q76" i="8" s="1"/>
  <c r="AR76" i="12" s="1"/>
  <c r="P289" i="8"/>
  <c r="Q289" i="8" s="1"/>
  <c r="AR289" i="12" s="1"/>
  <c r="AJ114" i="7"/>
  <c r="AO114" i="7"/>
  <c r="R80" i="8"/>
  <c r="T80" i="8" s="1"/>
  <c r="P351" i="8"/>
  <c r="Q351" i="8" s="1"/>
  <c r="AR351" i="12" s="1"/>
  <c r="P247" i="8"/>
  <c r="Q247" i="8" s="1"/>
  <c r="AR247" i="12" s="1"/>
  <c r="Q199" i="8"/>
  <c r="AR199" i="12" s="1"/>
  <c r="P189" i="8"/>
  <c r="Q235" i="8"/>
  <c r="AR235" i="12" s="1"/>
  <c r="Q96" i="8"/>
  <c r="P147" i="8"/>
  <c r="Q147" i="8" s="1"/>
  <c r="AR147" i="12" s="1"/>
  <c r="AJ44" i="7"/>
  <c r="AO44" i="7"/>
  <c r="F4" i="46"/>
  <c r="F4" i="7"/>
  <c r="AN134" i="13"/>
  <c r="BO38" i="46" s="1"/>
  <c r="AL134" i="13"/>
  <c r="BH38" i="46" s="1"/>
  <c r="AN87" i="13"/>
  <c r="BM29" i="46" s="1"/>
  <c r="AL87" i="13"/>
  <c r="BF29" i="46" s="1"/>
  <c r="AN53" i="13"/>
  <c r="BN22" i="46" s="1"/>
  <c r="AL53" i="13"/>
  <c r="BG22" i="46" s="1"/>
  <c r="Z92" i="13"/>
  <c r="AB92" i="13"/>
  <c r="AD92" i="13" s="1"/>
  <c r="AN24" i="13"/>
  <c r="BO16" i="46" s="1"/>
  <c r="AL24" i="13"/>
  <c r="BH16" i="46" s="1"/>
  <c r="AF48" i="13"/>
  <c r="Z62" i="13"/>
  <c r="AB62" i="13"/>
  <c r="AD62" i="13" s="1"/>
  <c r="Z106" i="13"/>
  <c r="AB106" i="13"/>
  <c r="AD106" i="13" s="1"/>
  <c r="L124" i="9"/>
  <c r="M124" i="9" s="1"/>
  <c r="T124" i="9"/>
  <c r="L77" i="9"/>
  <c r="M77" i="9" s="1"/>
  <c r="T77" i="9"/>
  <c r="AL32" i="13"/>
  <c r="BF18" i="46" s="1"/>
  <c r="AN32" i="13"/>
  <c r="BM18" i="46" s="1"/>
  <c r="AN117" i="13"/>
  <c r="BM35" i="46" s="1"/>
  <c r="AL117" i="13"/>
  <c r="BF35" i="46" s="1"/>
  <c r="AL124" i="13"/>
  <c r="BH36" i="46" s="1"/>
  <c r="AN124" i="13"/>
  <c r="BO36" i="46" s="1"/>
  <c r="W117" i="13"/>
  <c r="AN111" i="13"/>
  <c r="BL34" i="46" s="1"/>
  <c r="AL111" i="13"/>
  <c r="BE34" i="46" s="1"/>
  <c r="AM347" i="5"/>
  <c r="AO347" i="5" s="1"/>
  <c r="AP347" i="5" s="1"/>
  <c r="BB347" i="5" s="1"/>
  <c r="AM126" i="5"/>
  <c r="AO126" i="5" s="1"/>
  <c r="AP126" i="5" s="1"/>
  <c r="BB126" i="5" s="1"/>
  <c r="M40" i="9"/>
  <c r="W40" i="9" s="1"/>
  <c r="Z40" i="9" s="1"/>
  <c r="AB52" i="13"/>
  <c r="AD52" i="13" s="1"/>
  <c r="AA332" i="5"/>
  <c r="AB101" i="5"/>
  <c r="X4" i="5"/>
  <c r="G46" i="7"/>
  <c r="I72" i="7"/>
  <c r="I89" i="7"/>
  <c r="I88" i="7"/>
  <c r="O120" i="10"/>
  <c r="P120" i="10" s="1"/>
  <c r="Q120" i="10" s="1"/>
  <c r="R120" i="10" s="1"/>
  <c r="Y120" i="10" s="1"/>
  <c r="O37" i="10"/>
  <c r="P37" i="10" s="1"/>
  <c r="Q37" i="10" s="1"/>
  <c r="R37" i="10" s="1"/>
  <c r="Y37" i="10" s="1"/>
  <c r="O116" i="10"/>
  <c r="P116" i="10" s="1"/>
  <c r="Q116" i="10" s="1"/>
  <c r="R116" i="10" s="1"/>
  <c r="Y116" i="10" s="1"/>
  <c r="O103" i="10"/>
  <c r="G52" i="10"/>
  <c r="O66" i="10"/>
  <c r="P66" i="10" s="1"/>
  <c r="Q66" i="10" s="1"/>
  <c r="R66" i="10" s="1"/>
  <c r="Y66" i="10" s="1"/>
  <c r="O57" i="10"/>
  <c r="P57" i="10" s="1"/>
  <c r="Q57" i="10" s="1"/>
  <c r="R57" i="10" s="1"/>
  <c r="Y57" i="10" s="1"/>
  <c r="O67" i="10"/>
  <c r="P67" i="10" s="1"/>
  <c r="Q67" i="10" s="1"/>
  <c r="R67" i="10" s="1"/>
  <c r="Y67" i="10" s="1"/>
  <c r="F197" i="16"/>
  <c r="O58" i="10"/>
  <c r="P58" i="10" s="1"/>
  <c r="Q58" i="10" s="1"/>
  <c r="R58" i="10" s="1"/>
  <c r="Y58" i="10" s="1"/>
  <c r="O88" i="10"/>
  <c r="P88" i="10" s="1"/>
  <c r="Q88" i="10" s="1"/>
  <c r="R88" i="10" s="1"/>
  <c r="Y88" i="10" s="1"/>
  <c r="F182" i="16"/>
  <c r="I46" i="10"/>
  <c r="J110" i="10"/>
  <c r="F264" i="12"/>
  <c r="AA341" i="5"/>
  <c r="AA333" i="5"/>
  <c r="AA325" i="5"/>
  <c r="AM255" i="5"/>
  <c r="AO255" i="5" s="1"/>
  <c r="AP255" i="5" s="1"/>
  <c r="BB255" i="5" s="1"/>
  <c r="AA90" i="5"/>
  <c r="AM135" i="5"/>
  <c r="AO135" i="5" s="1"/>
  <c r="AP135" i="5" s="1"/>
  <c r="BB135" i="5" s="1"/>
  <c r="AA261" i="5"/>
  <c r="AA232" i="5"/>
  <c r="AM290" i="5"/>
  <c r="AO290" i="5" s="1"/>
  <c r="AP290" i="5" s="1"/>
  <c r="BB290" i="5" s="1"/>
  <c r="AA186" i="5"/>
  <c r="AA192" i="5"/>
  <c r="Z51" i="7"/>
  <c r="X51" i="7"/>
  <c r="AB51" i="7" s="1"/>
  <c r="U51" i="7"/>
  <c r="V51" i="7" s="1"/>
  <c r="AE51" i="7" s="1"/>
  <c r="BB39" i="5"/>
  <c r="AA53" i="5"/>
  <c r="AA229" i="5"/>
  <c r="AA363" i="5"/>
  <c r="AA205" i="5"/>
  <c r="AA353" i="5"/>
  <c r="AA44" i="5"/>
  <c r="AA234" i="5"/>
  <c r="AM354" i="5"/>
  <c r="AO354" i="5" s="1"/>
  <c r="AP354" i="5" s="1"/>
  <c r="BB354" i="5" s="1"/>
  <c r="AA396" i="5"/>
  <c r="Z64" i="7"/>
  <c r="X64" i="7"/>
  <c r="AB64" i="7" s="1"/>
  <c r="U64" i="7"/>
  <c r="V64" i="7" s="1"/>
  <c r="AE64" i="7" s="1"/>
  <c r="Z87" i="7"/>
  <c r="X87" i="7"/>
  <c r="AB87" i="7" s="1"/>
  <c r="U87" i="7"/>
  <c r="V87" i="7" s="1"/>
  <c r="AE87" i="7" s="1"/>
  <c r="Q4" i="7"/>
  <c r="Z156" i="7"/>
  <c r="X156" i="7"/>
  <c r="AB156" i="7" s="1"/>
  <c r="U156" i="7"/>
  <c r="V156" i="7" s="1"/>
  <c r="AE156" i="7" s="1"/>
  <c r="Z124" i="7"/>
  <c r="U124" i="7"/>
  <c r="U78" i="7"/>
  <c r="V78" i="7" s="1"/>
  <c r="AE78" i="7" s="1"/>
  <c r="X78" i="7"/>
  <c r="AB78" i="7" s="1"/>
  <c r="Z78" i="7"/>
  <c r="U82" i="7"/>
  <c r="V82" i="7" s="1"/>
  <c r="AE82" i="7" s="1"/>
  <c r="X82" i="7"/>
  <c r="AB82" i="7" s="1"/>
  <c r="Z82" i="7"/>
  <c r="U95" i="7"/>
  <c r="V95" i="7" s="1"/>
  <c r="AE95" i="7" s="1"/>
  <c r="X95" i="7"/>
  <c r="AB95" i="7" s="1"/>
  <c r="Z95" i="7"/>
  <c r="U108" i="7"/>
  <c r="V108" i="7" s="1"/>
  <c r="AE108" i="7" s="1"/>
  <c r="Z108" i="7"/>
  <c r="X108" i="7"/>
  <c r="AB108" i="7" s="1"/>
  <c r="U136" i="7"/>
  <c r="V136" i="7" s="1"/>
  <c r="AE136" i="7" s="1"/>
  <c r="Z136" i="7"/>
  <c r="X136" i="7"/>
  <c r="AB136" i="7" s="1"/>
  <c r="U154" i="7"/>
  <c r="V154" i="7" s="1"/>
  <c r="AE154" i="7" s="1"/>
  <c r="Z154" i="7"/>
  <c r="X154" i="7"/>
  <c r="AB154" i="7" s="1"/>
  <c r="N39" i="10"/>
  <c r="O39" i="10" s="1"/>
  <c r="P39" i="10" s="1"/>
  <c r="Q39" i="10" s="1"/>
  <c r="Z38" i="13"/>
  <c r="AB38" i="13"/>
  <c r="AD38" i="13" s="1"/>
  <c r="L85" i="9"/>
  <c r="M85" i="9" s="1"/>
  <c r="T85" i="9"/>
  <c r="AA349" i="5"/>
  <c r="AM220" i="5"/>
  <c r="AO220" i="5" s="1"/>
  <c r="AP220" i="5" s="1"/>
  <c r="BB220" i="5" s="1"/>
  <c r="AA152" i="5"/>
  <c r="AA367" i="5"/>
  <c r="AA345" i="5"/>
  <c r="AK101" i="5"/>
  <c r="AA32" i="5"/>
  <c r="AA131" i="5"/>
  <c r="AA94" i="5"/>
  <c r="AM339" i="5"/>
  <c r="AO339" i="5" s="1"/>
  <c r="AP339" i="5" s="1"/>
  <c r="BB339" i="5" s="1"/>
  <c r="AM331" i="5"/>
  <c r="AO331" i="5" s="1"/>
  <c r="AP331" i="5" s="1"/>
  <c r="BB331" i="5" s="1"/>
  <c r="AM119" i="5"/>
  <c r="AO119" i="5" s="1"/>
  <c r="AP119" i="5" s="1"/>
  <c r="BB119" i="5" s="1"/>
  <c r="V57" i="8"/>
  <c r="V269" i="8"/>
  <c r="R269" i="8"/>
  <c r="T269" i="8" s="1"/>
  <c r="S110" i="8"/>
  <c r="Q110" i="8"/>
  <c r="AR110" i="12" s="1"/>
  <c r="S196" i="8"/>
  <c r="P196" i="8"/>
  <c r="Q196" i="8" s="1"/>
  <c r="AR196" i="12" s="1"/>
  <c r="V323" i="8"/>
  <c r="R154" i="8"/>
  <c r="T154" i="8" s="1"/>
  <c r="V154" i="8"/>
  <c r="P175" i="8"/>
  <c r="Q175" i="8" s="1"/>
  <c r="AR175" i="12" s="1"/>
  <c r="P292" i="8"/>
  <c r="Q292" i="8" s="1"/>
  <c r="AR292" i="12" s="1"/>
  <c r="S97" i="8"/>
  <c r="P62" i="8"/>
  <c r="Q62" i="8" s="1"/>
  <c r="AR62" i="12" s="1"/>
  <c r="AK114" i="7"/>
  <c r="AI114" i="7"/>
  <c r="AX114" i="7"/>
  <c r="P315" i="8"/>
  <c r="P28" i="8"/>
  <c r="Q28" i="8" s="1"/>
  <c r="AR28" i="12" s="1"/>
  <c r="AB16" i="7"/>
  <c r="AC16" i="7" s="1"/>
  <c r="AB18" i="7"/>
  <c r="AK44" i="7"/>
  <c r="AI44" i="7"/>
  <c r="AX44" i="7"/>
  <c r="AI42" i="46"/>
  <c r="AZ126" i="7"/>
  <c r="Z21" i="13"/>
  <c r="AB21" i="13"/>
  <c r="AD21" i="13" s="1"/>
  <c r="AN43" i="13"/>
  <c r="BN20" i="46" s="1"/>
  <c r="AL43" i="13"/>
  <c r="BG20" i="46" s="1"/>
  <c r="AB96" i="13"/>
  <c r="AD96" i="13" s="1"/>
  <c r="AB24" i="13"/>
  <c r="AD24" i="13" s="1"/>
  <c r="AB43" i="13"/>
  <c r="AD43" i="13" s="1"/>
  <c r="W126" i="13"/>
  <c r="W70" i="13"/>
  <c r="AU27" i="5"/>
  <c r="AV27" i="5"/>
  <c r="AZ27" i="5" s="1"/>
  <c r="Z54" i="13"/>
  <c r="AB54" i="13"/>
  <c r="AD54" i="13" s="1"/>
  <c r="AN103" i="13"/>
  <c r="BN32" i="46" s="1"/>
  <c r="AL103" i="13"/>
  <c r="BG32" i="46" s="1"/>
  <c r="AN141" i="13"/>
  <c r="BL40" i="46" s="1"/>
  <c r="AL141" i="13"/>
  <c r="BE40" i="46" s="1"/>
  <c r="AN82" i="13"/>
  <c r="BM28" i="46" s="1"/>
  <c r="AL82" i="13"/>
  <c r="BF28" i="46" s="1"/>
  <c r="T118" i="9"/>
  <c r="L118" i="9"/>
  <c r="Z4" i="5"/>
  <c r="W52" i="13"/>
  <c r="AA114" i="5"/>
  <c r="AA120" i="5"/>
  <c r="I127" i="7"/>
  <c r="I55" i="7"/>
  <c r="G117" i="7"/>
  <c r="O34" i="10"/>
  <c r="P34" i="10" s="1"/>
  <c r="Q34" i="10" s="1"/>
  <c r="R34" i="10" s="1"/>
  <c r="Y34" i="10" s="1"/>
  <c r="F178" i="16"/>
  <c r="O46" i="10"/>
  <c r="P46" i="10" s="1"/>
  <c r="Q46" i="10" s="1"/>
  <c r="R46" i="10" s="1"/>
  <c r="Y46" i="10" s="1"/>
  <c r="G53" i="10"/>
  <c r="F70" i="16"/>
  <c r="O65" i="10"/>
  <c r="P65" i="10" s="1"/>
  <c r="Q65" i="10" s="1"/>
  <c r="R65" i="10" s="1"/>
  <c r="Y65" i="10" s="1"/>
  <c r="AA121" i="5"/>
  <c r="AA385" i="5"/>
  <c r="AA162" i="5"/>
  <c r="AA75" i="5"/>
  <c r="AA189" i="5"/>
  <c r="AA256" i="5"/>
  <c r="AA91" i="5"/>
  <c r="AM45" i="5"/>
  <c r="AO45" i="5" s="1"/>
  <c r="AP45" i="5" s="1"/>
  <c r="BB45" i="5" s="1"/>
  <c r="AM167" i="5"/>
  <c r="AO167" i="5" s="1"/>
  <c r="AP167" i="5" s="1"/>
  <c r="BB167" i="5" s="1"/>
  <c r="AA208" i="5"/>
  <c r="AM286" i="5"/>
  <c r="AO286" i="5" s="1"/>
  <c r="AP286" i="5" s="1"/>
  <c r="BB286" i="5" s="1"/>
  <c r="AA268" i="5"/>
  <c r="AA51" i="5"/>
  <c r="AA278" i="5"/>
  <c r="AA309" i="5"/>
  <c r="AA194" i="5"/>
  <c r="AA395" i="5"/>
  <c r="AA193" i="5"/>
  <c r="AA313" i="5"/>
  <c r="Z60" i="7"/>
  <c r="X60" i="7"/>
  <c r="AB60" i="7" s="1"/>
  <c r="U60" i="7"/>
  <c r="V60" i="7" s="1"/>
  <c r="AE60" i="7" s="1"/>
  <c r="AA207" i="5"/>
  <c r="AA355" i="5"/>
  <c r="AA317" i="5"/>
  <c r="AM36" i="5"/>
  <c r="AO36" i="5" s="1"/>
  <c r="AP36" i="5" s="1"/>
  <c r="BB36" i="5" s="1"/>
  <c r="AA50" i="5"/>
  <c r="AA198" i="5"/>
  <c r="AA360" i="5"/>
  <c r="P4" i="7"/>
  <c r="Z104" i="7"/>
  <c r="U104" i="7"/>
  <c r="V104" i="7" s="1"/>
  <c r="AE104" i="7" s="1"/>
  <c r="X104" i="7"/>
  <c r="AB104" i="7" s="1"/>
  <c r="Z28" i="7"/>
  <c r="X28" i="7"/>
  <c r="AB28" i="7" s="1"/>
  <c r="U28" i="7"/>
  <c r="V28" i="7" s="1"/>
  <c r="AE28" i="7" s="1"/>
  <c r="X46" i="7"/>
  <c r="AB46" i="7" s="1"/>
  <c r="U46" i="7"/>
  <c r="V46" i="7" s="1"/>
  <c r="AE46" i="7" s="1"/>
  <c r="Z46" i="7"/>
  <c r="X54" i="7"/>
  <c r="AB54" i="7" s="1"/>
  <c r="U54" i="7"/>
  <c r="V54" i="7" s="1"/>
  <c r="AE54" i="7" s="1"/>
  <c r="Z54" i="7"/>
  <c r="Z72" i="7"/>
  <c r="X72" i="7"/>
  <c r="AB72" i="7" s="1"/>
  <c r="U72" i="7"/>
  <c r="V72" i="7" s="1"/>
  <c r="AE72" i="7" s="1"/>
  <c r="Z21" i="7"/>
  <c r="X21" i="7"/>
  <c r="AB21" i="7" s="1"/>
  <c r="U21" i="7"/>
  <c r="V21" i="7" s="1"/>
  <c r="AE21" i="7" s="1"/>
  <c r="X45" i="7"/>
  <c r="AB45" i="7" s="1"/>
  <c r="K4" i="7"/>
  <c r="Z45" i="7"/>
  <c r="X53" i="7"/>
  <c r="AB53" i="7" s="1"/>
  <c r="U53" i="7"/>
  <c r="V53" i="7" s="1"/>
  <c r="AE53" i="7" s="1"/>
  <c r="Z53" i="7"/>
  <c r="X71" i="7"/>
  <c r="AB71" i="7" s="1"/>
  <c r="U71" i="7"/>
  <c r="V71" i="7" s="1"/>
  <c r="AE71" i="7" s="1"/>
  <c r="Z71" i="7"/>
  <c r="Z97" i="7"/>
  <c r="X97" i="7"/>
  <c r="AB97" i="7" s="1"/>
  <c r="U97" i="7"/>
  <c r="V97" i="7" s="1"/>
  <c r="AE97" i="7" s="1"/>
  <c r="Z142" i="7"/>
  <c r="X142" i="7"/>
  <c r="AB142" i="7" s="1"/>
  <c r="U142" i="7"/>
  <c r="V142" i="7" s="1"/>
  <c r="AE142" i="7" s="1"/>
  <c r="X117" i="7"/>
  <c r="AB117" i="7" s="1"/>
  <c r="Z117" i="7"/>
  <c r="U117" i="7"/>
  <c r="V117" i="7" s="1"/>
  <c r="AE117" i="7" s="1"/>
  <c r="X130" i="7"/>
  <c r="AB130" i="7" s="1"/>
  <c r="U130" i="7"/>
  <c r="V130" i="7" s="1"/>
  <c r="AE130" i="7" s="1"/>
  <c r="Z130" i="7"/>
  <c r="X41" i="7"/>
  <c r="AB41" i="7" s="1"/>
  <c r="AE41" i="7"/>
  <c r="Z41" i="7"/>
  <c r="X59" i="7"/>
  <c r="AB59" i="7" s="1"/>
  <c r="U59" i="7"/>
  <c r="V59" i="7" s="1"/>
  <c r="AE59" i="7" s="1"/>
  <c r="Z59" i="7"/>
  <c r="X102" i="7"/>
  <c r="AB102" i="7" s="1"/>
  <c r="U102" i="7"/>
  <c r="V102" i="7" s="1"/>
  <c r="AE102" i="7" s="1"/>
  <c r="Z102" i="7"/>
  <c r="X140" i="7"/>
  <c r="AB140" i="7" s="1"/>
  <c r="U140" i="7"/>
  <c r="V140" i="7" s="1"/>
  <c r="AE140" i="7" s="1"/>
  <c r="Z140" i="7"/>
  <c r="X23" i="7"/>
  <c r="AB23" i="7" s="1"/>
  <c r="U23" i="7"/>
  <c r="V23" i="7" s="1"/>
  <c r="AE23" i="7" s="1"/>
  <c r="Z23" i="7"/>
  <c r="Z75" i="7"/>
  <c r="X75" i="7"/>
  <c r="AB75" i="7" s="1"/>
  <c r="U75" i="7"/>
  <c r="V75" i="7" s="1"/>
  <c r="AE75" i="7" s="1"/>
  <c r="Z92" i="7"/>
  <c r="X92" i="7"/>
  <c r="AB92" i="7" s="1"/>
  <c r="U92" i="7"/>
  <c r="V92" i="7" s="1"/>
  <c r="AE92" i="7" s="1"/>
  <c r="Z96" i="7"/>
  <c r="X96" i="7"/>
  <c r="AB96" i="7" s="1"/>
  <c r="U96" i="7"/>
  <c r="V96" i="7" s="1"/>
  <c r="AE96" i="7" s="1"/>
  <c r="Z109" i="7"/>
  <c r="X109" i="7"/>
  <c r="U109" i="7"/>
  <c r="Z137" i="7"/>
  <c r="X137" i="7"/>
  <c r="AB137" i="7" s="1"/>
  <c r="U137" i="7"/>
  <c r="V137" i="7" s="1"/>
  <c r="AE137" i="7" s="1"/>
  <c r="Z155" i="7"/>
  <c r="X155" i="7"/>
  <c r="AB155" i="7" s="1"/>
  <c r="U155" i="7"/>
  <c r="V155" i="7" s="1"/>
  <c r="AE155" i="7" s="1"/>
  <c r="N24" i="10"/>
  <c r="O24" i="10" s="1"/>
  <c r="P24" i="10" s="1"/>
  <c r="Q24" i="10" s="1"/>
  <c r="R24" i="10" s="1"/>
  <c r="Y24" i="10" s="1"/>
  <c r="N25" i="10"/>
  <c r="O25" i="10" s="1"/>
  <c r="P25" i="10" s="1"/>
  <c r="Q25" i="10" s="1"/>
  <c r="R25" i="10" s="1"/>
  <c r="Y25" i="10" s="1"/>
  <c r="N29" i="10"/>
  <c r="O29" i="10" s="1"/>
  <c r="P29" i="10" s="1"/>
  <c r="Q29" i="10" s="1"/>
  <c r="R29" i="10" s="1"/>
  <c r="Y29" i="10" s="1"/>
  <c r="N76" i="10"/>
  <c r="O76" i="10" s="1"/>
  <c r="P76" i="10" s="1"/>
  <c r="Q76" i="10" s="1"/>
  <c r="R76" i="10" s="1"/>
  <c r="Y76" i="10" s="1"/>
  <c r="AA377" i="5"/>
  <c r="AM176" i="5"/>
  <c r="AO176" i="5" s="1"/>
  <c r="AP176" i="5" s="1"/>
  <c r="BB176" i="5" s="1"/>
  <c r="AA144" i="5"/>
  <c r="AA100" i="5"/>
  <c r="AA106" i="5"/>
  <c r="M41" i="9"/>
  <c r="AC4" i="5"/>
  <c r="AA154" i="5"/>
  <c r="AA282" i="5"/>
  <c r="AA139" i="5"/>
  <c r="AM178" i="5"/>
  <c r="AO178" i="5" s="1"/>
  <c r="AP178" i="5" s="1"/>
  <c r="BB178" i="5" s="1"/>
  <c r="AA78" i="5"/>
  <c r="AA130" i="5"/>
  <c r="AM171" i="5"/>
  <c r="AO171" i="5" s="1"/>
  <c r="AP171" i="5" s="1"/>
  <c r="BB171" i="5" s="1"/>
  <c r="AM149" i="5"/>
  <c r="AO149" i="5" s="1"/>
  <c r="AP149" i="5" s="1"/>
  <c r="BB149" i="5" s="1"/>
  <c r="D4" i="46"/>
  <c r="O81" i="10"/>
  <c r="P81" i="10" s="1"/>
  <c r="Q81" i="10" s="1"/>
  <c r="R81" i="10" s="1"/>
  <c r="Y81" i="10" s="1"/>
  <c r="O47" i="10"/>
  <c r="P47" i="10" s="1"/>
  <c r="Q47" i="10" s="1"/>
  <c r="R47" i="10" s="1"/>
  <c r="Y47" i="10" s="1"/>
  <c r="O53" i="10"/>
  <c r="P53" i="10" s="1"/>
  <c r="Q53" i="10" s="1"/>
  <c r="R53" i="10" s="1"/>
  <c r="Y53" i="10" s="1"/>
  <c r="O55" i="10"/>
  <c r="P55" i="10" s="1"/>
  <c r="Q55" i="10" s="1"/>
  <c r="R55" i="10" s="1"/>
  <c r="Y55" i="10" s="1"/>
  <c r="O106" i="10"/>
  <c r="P106" i="10" s="1"/>
  <c r="Q106" i="10" s="1"/>
  <c r="R106" i="10" s="1"/>
  <c r="Y106" i="10" s="1"/>
  <c r="S78" i="8"/>
  <c r="P78" i="8"/>
  <c r="S205" i="8"/>
  <c r="R75" i="8"/>
  <c r="T75" i="8" s="1"/>
  <c r="V75" i="8"/>
  <c r="S269" i="8"/>
  <c r="Q269" i="8"/>
  <c r="AR269" i="12" s="1"/>
  <c r="AE38" i="10"/>
  <c r="J291" i="12"/>
  <c r="S281" i="8"/>
  <c r="Q281" i="8"/>
  <c r="AR281" i="12" s="1"/>
  <c r="Q57" i="8"/>
  <c r="AR57" i="12" s="1"/>
  <c r="P23" i="8"/>
  <c r="Q23" i="8" s="1"/>
  <c r="AR23" i="12" s="1"/>
  <c r="P218" i="8"/>
  <c r="Q218" i="8" s="1"/>
  <c r="AR218" i="12" s="1"/>
  <c r="Q31" i="8"/>
  <c r="AR31" i="12" s="1"/>
  <c r="S108" i="8"/>
  <c r="P108" i="8"/>
  <c r="Q108" i="8" s="1"/>
  <c r="AR108" i="12" s="1"/>
  <c r="R250" i="8"/>
  <c r="T250" i="8" s="1"/>
  <c r="V250" i="8"/>
  <c r="P261" i="8"/>
  <c r="Q261" i="8" s="1"/>
  <c r="AR261" i="12" s="1"/>
  <c r="AS19" i="7"/>
  <c r="AR19" i="7"/>
  <c r="AT19" i="7"/>
  <c r="AQ25" i="12" s="1"/>
  <c r="P91" i="8"/>
  <c r="S216" i="8"/>
  <c r="P216" i="8"/>
  <c r="AH124" i="7"/>
  <c r="AG124" i="7"/>
  <c r="AN124" i="7" s="1"/>
  <c r="AF124" i="7"/>
  <c r="AO109" i="7"/>
  <c r="P360" i="8"/>
  <c r="Q219" i="8"/>
  <c r="AR219" i="12" s="1"/>
  <c r="P338" i="8"/>
  <c r="Q338" i="8" s="1"/>
  <c r="AR338" i="12" s="1"/>
  <c r="S154" i="8"/>
  <c r="Q154" i="8"/>
  <c r="AR154" i="12" s="1"/>
  <c r="P169" i="8"/>
  <c r="Q169" i="8" s="1"/>
  <c r="AR169" i="12" s="1"/>
  <c r="P83" i="8"/>
  <c r="Q83" i="8" s="1"/>
  <c r="AR83" i="12" s="1"/>
  <c r="R20" i="8"/>
  <c r="V20" i="8"/>
  <c r="T20" i="8"/>
  <c r="P71" i="8"/>
  <c r="V265" i="8"/>
  <c r="R265" i="8"/>
  <c r="T265" i="8" s="1"/>
  <c r="AH69" i="7"/>
  <c r="AG69" i="7"/>
  <c r="AN69" i="7" s="1"/>
  <c r="AF69" i="7"/>
  <c r="AF16" i="7"/>
  <c r="AH16" i="7"/>
  <c r="AG16" i="7"/>
  <c r="AN16" i="7" s="1"/>
  <c r="P155" i="8"/>
  <c r="V294" i="8"/>
  <c r="T294" i="8"/>
  <c r="J4" i="46"/>
  <c r="U4" i="46"/>
  <c r="W67" i="9"/>
  <c r="Z67" i="9" s="1"/>
  <c r="W241" i="8"/>
  <c r="AN74" i="13"/>
  <c r="BO26" i="46" s="1"/>
  <c r="AL74" i="13"/>
  <c r="BH26" i="46" s="1"/>
  <c r="Z149" i="13"/>
  <c r="AB149" i="13"/>
  <c r="AD149" i="13" s="1"/>
  <c r="W96" i="13"/>
  <c r="W24" i="13"/>
  <c r="W43" i="13"/>
  <c r="Z112" i="13"/>
  <c r="AB112" i="13"/>
  <c r="AD112" i="13" s="1"/>
  <c r="Z133" i="13"/>
  <c r="AB133" i="13"/>
  <c r="AD133" i="13" s="1"/>
  <c r="Z50" i="13"/>
  <c r="AB50" i="13"/>
  <c r="AD50" i="13" s="1"/>
  <c r="T100" i="9"/>
  <c r="L100" i="9"/>
  <c r="M100" i="9" s="1"/>
  <c r="T70" i="9"/>
  <c r="L70" i="9"/>
  <c r="M70" i="9" s="1"/>
  <c r="AN39" i="13"/>
  <c r="BO19" i="46" s="1"/>
  <c r="AL39" i="13"/>
  <c r="BH19" i="46" s="1"/>
  <c r="AB141" i="13"/>
  <c r="AD141" i="13" s="1"/>
  <c r="AB82" i="13"/>
  <c r="AD82" i="13" s="1"/>
  <c r="T36" i="9"/>
  <c r="L36" i="9"/>
  <c r="M36" i="9" s="1"/>
  <c r="AM343" i="5"/>
  <c r="AO343" i="5" s="1"/>
  <c r="AP343" i="5" s="1"/>
  <c r="BB343" i="5" s="1"/>
  <c r="AA112" i="5"/>
  <c r="G130" i="7"/>
  <c r="I73" i="7"/>
  <c r="I141" i="7"/>
  <c r="O82" i="10"/>
  <c r="P82" i="10" s="1"/>
  <c r="Q82" i="10" s="1"/>
  <c r="R82" i="10" s="1"/>
  <c r="Y82" i="10" s="1"/>
  <c r="G105" i="10"/>
  <c r="O70" i="10"/>
  <c r="P70" i="10" s="1"/>
  <c r="Q70" i="10" s="1"/>
  <c r="R70" i="10" s="1"/>
  <c r="Y70" i="10" s="1"/>
  <c r="F226" i="16"/>
  <c r="O68" i="10"/>
  <c r="P68" i="10" s="1"/>
  <c r="Q68" i="10" s="1"/>
  <c r="R68" i="10" s="1"/>
  <c r="Y68" i="10" s="1"/>
  <c r="F154" i="16"/>
  <c r="G93" i="10"/>
  <c r="F46" i="16"/>
  <c r="F26" i="16"/>
  <c r="F296" i="12"/>
  <c r="F85" i="12"/>
  <c r="F250" i="12"/>
  <c r="F169" i="12"/>
  <c r="AM214" i="5"/>
  <c r="AO214" i="5" s="1"/>
  <c r="AP214" i="5" s="1"/>
  <c r="BB214" i="5" s="1"/>
  <c r="AA238" i="5"/>
  <c r="AM163" i="5"/>
  <c r="AO163" i="5" s="1"/>
  <c r="AP163" i="5" s="1"/>
  <c r="BB163" i="5" s="1"/>
  <c r="AA64" i="5"/>
  <c r="AA292" i="5"/>
  <c r="AM35" i="5"/>
  <c r="BB35" i="5" s="1"/>
  <c r="AA65" i="5"/>
  <c r="AA197" i="5"/>
  <c r="AA288" i="5"/>
  <c r="AA203" i="5"/>
  <c r="AA200" i="5"/>
  <c r="AA411" i="5"/>
  <c r="AA358" i="5"/>
  <c r="AA185" i="5"/>
  <c r="AM249" i="5"/>
  <c r="AO249" i="5" s="1"/>
  <c r="AP249" i="5" s="1"/>
  <c r="BB249" i="5" s="1"/>
  <c r="AA277" i="5"/>
  <c r="AM373" i="5"/>
  <c r="AO373" i="5" s="1"/>
  <c r="AP373" i="5" s="1"/>
  <c r="BB373" i="5" s="1"/>
  <c r="AA199" i="5"/>
  <c r="AA319" i="5"/>
  <c r="AM415" i="5"/>
  <c r="AO415" i="5" s="1"/>
  <c r="AP415" i="5" s="1"/>
  <c r="BB415" i="5" s="1"/>
  <c r="AA204" i="5"/>
  <c r="AA310" i="5"/>
  <c r="Z29" i="7"/>
  <c r="U29" i="7"/>
  <c r="V29" i="7" s="1"/>
  <c r="AE29" i="7" s="1"/>
  <c r="X29" i="7"/>
  <c r="AB29" i="7" s="1"/>
  <c r="X131" i="7"/>
  <c r="AB131" i="7" s="1"/>
  <c r="U131" i="7"/>
  <c r="V131" i="7" s="1"/>
  <c r="AE131" i="7" s="1"/>
  <c r="Z131" i="7"/>
  <c r="Z118" i="7"/>
  <c r="X118" i="7"/>
  <c r="AB118" i="7" s="1"/>
  <c r="U118" i="7"/>
  <c r="V118" i="7" s="1"/>
  <c r="AE118" i="7" s="1"/>
  <c r="Z31" i="7"/>
  <c r="U31" i="7"/>
  <c r="V31" i="7" s="1"/>
  <c r="AE31" i="7" s="1"/>
  <c r="X31" i="7"/>
  <c r="AB31" i="7" s="1"/>
  <c r="U116" i="7"/>
  <c r="V116" i="7" s="1"/>
  <c r="AE116" i="7" s="1"/>
  <c r="Z116" i="7"/>
  <c r="X116" i="7"/>
  <c r="AB116" i="7" s="1"/>
  <c r="U133" i="7"/>
  <c r="V133" i="7" s="1"/>
  <c r="AE133" i="7" s="1"/>
  <c r="Z133" i="7"/>
  <c r="X133" i="7"/>
  <c r="AB133" i="7" s="1"/>
  <c r="L4" i="7"/>
  <c r="U61" i="7"/>
  <c r="V61" i="7" s="1"/>
  <c r="AE61" i="7" s="1"/>
  <c r="Z61" i="7"/>
  <c r="X61" i="7"/>
  <c r="AB61" i="7" s="1"/>
  <c r="U74" i="7"/>
  <c r="V74" i="7" s="1"/>
  <c r="AE74" i="7" s="1"/>
  <c r="Z74" i="7"/>
  <c r="X74" i="7"/>
  <c r="AB74" i="7" s="1"/>
  <c r="Z79" i="7"/>
  <c r="X79" i="7"/>
  <c r="AB79" i="7" s="1"/>
  <c r="U79" i="7"/>
  <c r="V79" i="7" s="1"/>
  <c r="AE79" i="7" s="1"/>
  <c r="Z138" i="7"/>
  <c r="X138" i="7"/>
  <c r="AB138" i="7" s="1"/>
  <c r="U138" i="7"/>
  <c r="V138" i="7" s="1"/>
  <c r="AE138" i="7" s="1"/>
  <c r="X38" i="7"/>
  <c r="AB38" i="7" s="1"/>
  <c r="AE38" i="7"/>
  <c r="Z38" i="7"/>
  <c r="X81" i="7"/>
  <c r="AB81" i="7" s="1"/>
  <c r="U81" i="7"/>
  <c r="V81" i="7" s="1"/>
  <c r="AE81" i="7" s="1"/>
  <c r="Z81" i="7"/>
  <c r="Z94" i="7"/>
  <c r="X94" i="7"/>
  <c r="AB94" i="7" s="1"/>
  <c r="U94" i="7"/>
  <c r="V94" i="7" s="1"/>
  <c r="AE94" i="7" s="1"/>
  <c r="Z107" i="7"/>
  <c r="X107" i="7"/>
  <c r="AB107" i="7" s="1"/>
  <c r="U107" i="7"/>
  <c r="V107" i="7" s="1"/>
  <c r="AE107" i="7" s="1"/>
  <c r="Z135" i="7"/>
  <c r="U135" i="7"/>
  <c r="V135" i="7" s="1"/>
  <c r="AE135" i="7" s="1"/>
  <c r="X135" i="7"/>
  <c r="AB135" i="7" s="1"/>
  <c r="Z153" i="7"/>
  <c r="X153" i="7"/>
  <c r="AB153" i="7" s="1"/>
  <c r="U153" i="7"/>
  <c r="V153" i="7" s="1"/>
  <c r="AE153" i="7" s="1"/>
  <c r="N101" i="10"/>
  <c r="O101" i="10" s="1"/>
  <c r="P101" i="10" s="1"/>
  <c r="Q101" i="10" s="1"/>
  <c r="R101" i="10" s="1"/>
  <c r="Y101" i="10" s="1"/>
  <c r="N27" i="10"/>
  <c r="O27" i="10" s="1"/>
  <c r="P27" i="10" s="1"/>
  <c r="Q27" i="10" s="1"/>
  <c r="R27" i="10" s="1"/>
  <c r="Y27" i="10" s="1"/>
  <c r="N111" i="10"/>
  <c r="O111" i="10" s="1"/>
  <c r="P111" i="10" s="1"/>
  <c r="Q111" i="10" s="1"/>
  <c r="R111" i="10" s="1"/>
  <c r="Y111" i="10" s="1"/>
  <c r="BH32" i="46"/>
  <c r="BO32" i="46"/>
  <c r="AA304" i="5"/>
  <c r="AG101" i="5"/>
  <c r="AD4" i="5"/>
  <c r="AG4" i="5" s="1"/>
  <c r="T126" i="9"/>
  <c r="L126" i="9"/>
  <c r="M126" i="9" s="1"/>
  <c r="AA219" i="5"/>
  <c r="AA107" i="5"/>
  <c r="U4" i="5"/>
  <c r="S15" i="46"/>
  <c r="AA138" i="5"/>
  <c r="T58" i="9"/>
  <c r="L58" i="9"/>
  <c r="M58" i="9" s="1"/>
  <c r="AM389" i="5"/>
  <c r="AO389" i="5" s="1"/>
  <c r="AP389" i="5" s="1"/>
  <c r="BB389" i="5" s="1"/>
  <c r="C4" i="46"/>
  <c r="O30" i="10"/>
  <c r="P30" i="10" s="1"/>
  <c r="Q30" i="10" s="1"/>
  <c r="R30" i="10" s="1"/>
  <c r="Y30" i="10" s="1"/>
  <c r="O124" i="10"/>
  <c r="P124" i="10" s="1"/>
  <c r="Q124" i="10" s="1"/>
  <c r="R124" i="10" s="1"/>
  <c r="Y124" i="10" s="1"/>
  <c r="O33" i="10"/>
  <c r="P33" i="10" s="1"/>
  <c r="Q33" i="10" s="1"/>
  <c r="R33" i="10" s="1"/>
  <c r="Y33" i="10" s="1"/>
  <c r="O45" i="10"/>
  <c r="P45" i="10" s="1"/>
  <c r="Q45" i="10" s="1"/>
  <c r="R45" i="10" s="1"/>
  <c r="Y45" i="10" s="1"/>
  <c r="S357" i="8"/>
  <c r="P357" i="8"/>
  <c r="S209" i="8"/>
  <c r="P209" i="8"/>
  <c r="S262" i="8"/>
  <c r="P262" i="8"/>
  <c r="Q262" i="8" s="1"/>
  <c r="AR262" i="12" s="1"/>
  <c r="S273" i="8"/>
  <c r="P273" i="8"/>
  <c r="Q273" i="8" s="1"/>
  <c r="AR273" i="12" s="1"/>
  <c r="S350" i="8"/>
  <c r="Q350" i="8"/>
  <c r="AR350" i="12" s="1"/>
  <c r="S202" i="8"/>
  <c r="Q202" i="8"/>
  <c r="AR202" i="12" s="1"/>
  <c r="AE126" i="10"/>
  <c r="O60" i="10"/>
  <c r="P60" i="10" s="1"/>
  <c r="Q60" i="10" s="1"/>
  <c r="R60" i="10" s="1"/>
  <c r="Y60" i="10" s="1"/>
  <c r="P205" i="8"/>
  <c r="Q205" i="8" s="1"/>
  <c r="AR205" i="12" s="1"/>
  <c r="S328" i="8"/>
  <c r="P328" i="8"/>
  <c r="Q328" i="8" s="1"/>
  <c r="AR328" i="12" s="1"/>
  <c r="P257" i="8"/>
  <c r="S257" i="8"/>
  <c r="P55" i="8"/>
  <c r="J150" i="12"/>
  <c r="O61" i="10"/>
  <c r="P61" i="10" s="1"/>
  <c r="Q61" i="10" s="1"/>
  <c r="R61" i="10" s="1"/>
  <c r="Y61" i="10" s="1"/>
  <c r="P204" i="8"/>
  <c r="P170" i="8"/>
  <c r="P326" i="8"/>
  <c r="Q258" i="8"/>
  <c r="AR258" i="12" s="1"/>
  <c r="S344" i="8"/>
  <c r="P344" i="8"/>
  <c r="S56" i="8"/>
  <c r="P56" i="8"/>
  <c r="P225" i="8"/>
  <c r="P192" i="8"/>
  <c r="R107" i="8"/>
  <c r="T107" i="8" s="1"/>
  <c r="V107" i="8"/>
  <c r="AH15" i="7"/>
  <c r="AG15" i="7"/>
  <c r="AN15" i="7" s="1"/>
  <c r="AF15" i="7"/>
  <c r="O119" i="10"/>
  <c r="P119" i="10" s="1"/>
  <c r="Q119" i="10" s="1"/>
  <c r="R119" i="10" s="1"/>
  <c r="Y119" i="10" s="1"/>
  <c r="P242" i="8"/>
  <c r="Q242" i="8" s="1"/>
  <c r="AR242" i="12" s="1"/>
  <c r="V210" i="8"/>
  <c r="R210" i="8"/>
  <c r="T210" i="8" s="1"/>
  <c r="P51" i="8"/>
  <c r="Q51" i="8" s="1"/>
  <c r="AR51" i="12" s="1"/>
  <c r="Q250" i="8"/>
  <c r="AR250" i="12" s="1"/>
  <c r="S131" i="8"/>
  <c r="P103" i="8"/>
  <c r="Q103" i="8" s="1"/>
  <c r="AR103" i="12" s="1"/>
  <c r="P24" i="8"/>
  <c r="P282" i="8"/>
  <c r="P158" i="8"/>
  <c r="S88" i="8"/>
  <c r="S63" i="8"/>
  <c r="P63" i="8"/>
  <c r="P115" i="8"/>
  <c r="P133" i="8"/>
  <c r="P88" i="8"/>
  <c r="Q214" i="8"/>
  <c r="AR214" i="12" s="1"/>
  <c r="V325" i="8"/>
  <c r="R325" i="8"/>
  <c r="T325" i="8" s="1"/>
  <c r="P148" i="8"/>
  <c r="Q148" i="8" s="1"/>
  <c r="AR148" i="12" s="1"/>
  <c r="S87" i="8"/>
  <c r="O42" i="10"/>
  <c r="P42" i="10" s="1"/>
  <c r="Q42" i="10" s="1"/>
  <c r="R42" i="10" s="1"/>
  <c r="Y42" i="10" s="1"/>
  <c r="O90" i="8"/>
  <c r="O4" i="8" s="1"/>
  <c r="R260" i="8"/>
  <c r="T260" i="8" s="1"/>
  <c r="V260" i="8"/>
  <c r="P187" i="8"/>
  <c r="P149" i="8"/>
  <c r="Q98" i="8"/>
  <c r="V266" i="8"/>
  <c r="AF18" i="7"/>
  <c r="AG18" i="7"/>
  <c r="AN18" i="7" s="1"/>
  <c r="AH18" i="7"/>
  <c r="N4" i="46"/>
  <c r="BU4" i="46"/>
  <c r="W89" i="9"/>
  <c r="Z89" i="9" s="1"/>
  <c r="W79" i="9"/>
  <c r="Z79" i="9" s="1"/>
  <c r="L64" i="9"/>
  <c r="M64" i="9" s="1"/>
  <c r="T64" i="9"/>
  <c r="AB84" i="13"/>
  <c r="Z143" i="13"/>
  <c r="AB143" i="13"/>
  <c r="AD143" i="13" s="1"/>
  <c r="Z145" i="13"/>
  <c r="AB145" i="13"/>
  <c r="AD145" i="13" s="1"/>
  <c r="Z80" i="13"/>
  <c r="AB80" i="13"/>
  <c r="AD80" i="13" s="1"/>
  <c r="Z127" i="13"/>
  <c r="AB127" i="13"/>
  <c r="AD127" i="13" s="1"/>
  <c r="Z46" i="13"/>
  <c r="AB46" i="13"/>
  <c r="AD46" i="13" s="1"/>
  <c r="AN136" i="13"/>
  <c r="BL39" i="46" s="1"/>
  <c r="AL136" i="13"/>
  <c r="BE39" i="46" s="1"/>
  <c r="T102" i="9"/>
  <c r="L102" i="9"/>
  <c r="M102" i="9" s="1"/>
  <c r="L68" i="9"/>
  <c r="M68" i="9" s="1"/>
  <c r="T68" i="9"/>
  <c r="AB49" i="13"/>
  <c r="AD49" i="13" s="1"/>
  <c r="W141" i="13"/>
  <c r="AN85" i="13"/>
  <c r="BK29" i="46" s="1"/>
  <c r="AL85" i="13"/>
  <c r="BD29" i="46" s="1"/>
  <c r="W35" i="9"/>
  <c r="Z35" i="9" s="1"/>
  <c r="W82" i="13"/>
  <c r="AN77" i="13"/>
  <c r="BM27" i="46" s="1"/>
  <c r="AL77" i="13"/>
  <c r="BF27" i="46" s="1"/>
  <c r="AN52" i="13"/>
  <c r="BM22" i="46" s="1"/>
  <c r="AL52" i="13"/>
  <c r="BF22" i="46" s="1"/>
  <c r="T38" i="9"/>
  <c r="L38" i="9"/>
  <c r="M38" i="9" s="1"/>
  <c r="T93" i="9"/>
  <c r="L93" i="9"/>
  <c r="M93" i="9" s="1"/>
  <c r="AA296" i="5"/>
  <c r="AA302" i="5"/>
  <c r="AA172" i="5"/>
  <c r="AA104" i="5"/>
  <c r="J107" i="10"/>
  <c r="O73" i="10"/>
  <c r="P73" i="10" s="1"/>
  <c r="Q73" i="10" s="1"/>
  <c r="R73" i="10" s="1"/>
  <c r="Y73" i="10" s="1"/>
  <c r="G43" i="10"/>
  <c r="O20" i="10"/>
  <c r="P20" i="10" s="1"/>
  <c r="Q20" i="10" s="1"/>
  <c r="R20" i="10" s="1"/>
  <c r="Y20" i="10" s="1"/>
  <c r="O71" i="10"/>
  <c r="P71" i="10" s="1"/>
  <c r="Q71" i="10" s="1"/>
  <c r="R71" i="10" s="1"/>
  <c r="Y71" i="10" s="1"/>
  <c r="O59" i="10"/>
  <c r="P59" i="10" s="1"/>
  <c r="Q59" i="10" s="1"/>
  <c r="R59" i="10" s="1"/>
  <c r="Y59" i="10" s="1"/>
  <c r="J106" i="10"/>
  <c r="J94" i="10"/>
  <c r="I103" i="10"/>
  <c r="O90" i="10"/>
  <c r="P90" i="10" s="1"/>
  <c r="Q90" i="10" s="1"/>
  <c r="R90" i="10" s="1"/>
  <c r="Y90" i="10" s="1"/>
  <c r="O98" i="10"/>
  <c r="P98" i="10" s="1"/>
  <c r="Q98" i="10" s="1"/>
  <c r="R98" i="10" s="1"/>
  <c r="Y98" i="10" s="1"/>
  <c r="G37" i="10"/>
  <c r="O86" i="10"/>
  <c r="P86" i="10" s="1"/>
  <c r="Q86" i="10" s="1"/>
  <c r="R86" i="10" s="1"/>
  <c r="Y86" i="10" s="1"/>
  <c r="F73" i="16"/>
  <c r="F42" i="16"/>
  <c r="T116" i="9"/>
  <c r="L116" i="9"/>
  <c r="M116" i="9" s="1"/>
  <c r="AA303" i="5"/>
  <c r="AA236" i="5"/>
  <c r="AA202" i="5"/>
  <c r="AA365" i="5"/>
  <c r="AA191" i="5"/>
  <c r="AA273" i="5"/>
  <c r="AA407" i="5"/>
  <c r="AM370" i="5"/>
  <c r="AO370" i="5" s="1"/>
  <c r="AP370" i="5" s="1"/>
  <c r="BB370" i="5" s="1"/>
  <c r="AA34" i="5"/>
  <c r="AA196" i="5"/>
  <c r="AM274" i="5"/>
  <c r="AO274" i="5" s="1"/>
  <c r="AP274" i="5" s="1"/>
  <c r="BB274" i="5" s="1"/>
  <c r="Z32" i="7"/>
  <c r="AB32" i="7"/>
  <c r="AE32" i="7"/>
  <c r="Z56" i="7"/>
  <c r="X56" i="7"/>
  <c r="AB56" i="7" s="1"/>
  <c r="U56" i="7"/>
  <c r="V56" i="7" s="1"/>
  <c r="AE56" i="7" s="1"/>
  <c r="Z149" i="7"/>
  <c r="X149" i="7"/>
  <c r="AB149" i="7" s="1"/>
  <c r="U149" i="7"/>
  <c r="V149" i="7" s="1"/>
  <c r="AE149" i="7" s="1"/>
  <c r="Z103" i="7"/>
  <c r="X103" i="7"/>
  <c r="AB103" i="7" s="1"/>
  <c r="U103" i="7"/>
  <c r="V103" i="7" s="1"/>
  <c r="AE103" i="7" s="1"/>
  <c r="Z113" i="7"/>
  <c r="X113" i="7"/>
  <c r="AB113" i="7" s="1"/>
  <c r="U113" i="7"/>
  <c r="V113" i="7" s="1"/>
  <c r="AE113" i="7" s="1"/>
  <c r="Z128" i="7"/>
  <c r="X128" i="7"/>
  <c r="AB128" i="7" s="1"/>
  <c r="U128" i="7"/>
  <c r="V128" i="7" s="1"/>
  <c r="AE128" i="7" s="1"/>
  <c r="Z100" i="7"/>
  <c r="X100" i="7"/>
  <c r="AB100" i="7" s="1"/>
  <c r="U100" i="7"/>
  <c r="V100" i="7" s="1"/>
  <c r="AE100" i="7" s="1"/>
  <c r="Z24" i="7"/>
  <c r="X24" i="7"/>
  <c r="AB24" i="7" s="1"/>
  <c r="U24" i="7"/>
  <c r="V24" i="7" s="1"/>
  <c r="AE24" i="7" s="1"/>
  <c r="Z145" i="7"/>
  <c r="X145" i="7"/>
  <c r="AB145" i="7" s="1"/>
  <c r="U145" i="7"/>
  <c r="V145" i="7" s="1"/>
  <c r="AE145" i="7" s="1"/>
  <c r="Z69" i="7"/>
  <c r="X69" i="7"/>
  <c r="U69" i="7"/>
  <c r="Z80" i="7"/>
  <c r="X80" i="7"/>
  <c r="AB80" i="7" s="1"/>
  <c r="U80" i="7"/>
  <c r="V80" i="7" s="1"/>
  <c r="AE80" i="7" s="1"/>
  <c r="Z120" i="7"/>
  <c r="X120" i="7"/>
  <c r="AB120" i="7" s="1"/>
  <c r="U120" i="7"/>
  <c r="V120" i="7" s="1"/>
  <c r="AE120" i="7" s="1"/>
  <c r="AE40" i="7"/>
  <c r="Z40" i="7"/>
  <c r="X40" i="7"/>
  <c r="AB40" i="7" s="1"/>
  <c r="U58" i="7"/>
  <c r="V58" i="7" s="1"/>
  <c r="AE58" i="7" s="1"/>
  <c r="Z58" i="7"/>
  <c r="X58" i="7"/>
  <c r="AB58" i="7" s="1"/>
  <c r="U101" i="7"/>
  <c r="V101" i="7" s="1"/>
  <c r="AE101" i="7" s="1"/>
  <c r="X101" i="7"/>
  <c r="AB101" i="7" s="1"/>
  <c r="Z101" i="7"/>
  <c r="U114" i="7"/>
  <c r="Z114" i="7"/>
  <c r="X114" i="7"/>
  <c r="U22" i="7"/>
  <c r="V22" i="7" s="1"/>
  <c r="AE22" i="7" s="1"/>
  <c r="Z22" i="7"/>
  <c r="X22" i="7"/>
  <c r="AB22" i="7" s="1"/>
  <c r="U30" i="7"/>
  <c r="V30" i="7" s="1"/>
  <c r="AE30" i="7" s="1"/>
  <c r="Z30" i="7"/>
  <c r="X30" i="7"/>
  <c r="AB30" i="7" s="1"/>
  <c r="V4" i="5"/>
  <c r="AA48" i="5"/>
  <c r="AA383" i="5"/>
  <c r="AA335" i="5"/>
  <c r="AM300" i="5"/>
  <c r="AO300" i="5" s="1"/>
  <c r="AP300" i="5" s="1"/>
  <c r="BB300" i="5" s="1"/>
  <c r="AN48" i="13"/>
  <c r="AL48" i="13"/>
  <c r="BG21" i="46" s="1"/>
  <c r="AA213" i="5"/>
  <c r="AI4" i="5"/>
  <c r="T423" i="14" l="1"/>
  <c r="AJ18" i="46"/>
  <c r="AM27" i="46"/>
  <c r="AK41" i="46"/>
  <c r="BH21" i="5"/>
  <c r="AJ19" i="46"/>
  <c r="AK43" i="46"/>
  <c r="AB71" i="13"/>
  <c r="AD71" i="13" s="1"/>
  <c r="AJ26" i="46" s="1"/>
  <c r="AL99" i="13"/>
  <c r="BH31" i="46" s="1"/>
  <c r="AN99" i="13"/>
  <c r="BO31" i="46" s="1"/>
  <c r="AK27" i="46"/>
  <c r="AL17" i="46"/>
  <c r="AM33" i="46"/>
  <c r="AF128" i="13"/>
  <c r="AS37" i="46" s="1"/>
  <c r="AJ42" i="46"/>
  <c r="AM24" i="46"/>
  <c r="AL25" i="46"/>
  <c r="AM23" i="46"/>
  <c r="AF159" i="13"/>
  <c r="AT43" i="46" s="1"/>
  <c r="AT32" i="46"/>
  <c r="AJ25" i="46"/>
  <c r="AF100" i="13"/>
  <c r="AP32" i="46" s="1"/>
  <c r="AB63" i="13"/>
  <c r="AD63" i="13" s="1"/>
  <c r="AF63" i="13" s="1"/>
  <c r="AS24" i="46" s="1"/>
  <c r="AM29" i="46"/>
  <c r="AF124" i="13"/>
  <c r="AT36" i="46" s="1"/>
  <c r="AF67" i="13"/>
  <c r="AR25" i="46" s="1"/>
  <c r="AF118" i="13"/>
  <c r="AS35" i="46" s="1"/>
  <c r="AL35" i="46"/>
  <c r="AF78" i="13"/>
  <c r="AS27" i="46" s="1"/>
  <c r="AF103" i="13"/>
  <c r="AS32" i="46" s="1"/>
  <c r="AF131" i="13"/>
  <c r="AQ38" i="46" s="1"/>
  <c r="AB17" i="13"/>
  <c r="AD17" i="13" s="1"/>
  <c r="AF17" i="13" s="1"/>
  <c r="AR15" i="46" s="1"/>
  <c r="AL29" i="46"/>
  <c r="AL41" i="46"/>
  <c r="AF51" i="13"/>
  <c r="AQ22" i="46" s="1"/>
  <c r="AF65" i="13"/>
  <c r="AP25" i="46" s="1"/>
  <c r="AL30" i="46"/>
  <c r="AF35" i="13"/>
  <c r="AP19" i="46" s="1"/>
  <c r="AF113" i="13"/>
  <c r="AS34" i="46" s="1"/>
  <c r="AF146" i="13"/>
  <c r="AQ41" i="46" s="1"/>
  <c r="AQ28" i="46"/>
  <c r="AI16" i="46"/>
  <c r="AD110" i="13"/>
  <c r="AI34" i="46" s="1"/>
  <c r="AF154" i="13"/>
  <c r="AT42" i="46" s="1"/>
  <c r="AF32" i="13"/>
  <c r="AR18" i="46" s="1"/>
  <c r="AL120" i="13"/>
  <c r="BD36" i="46" s="1"/>
  <c r="AD139" i="13"/>
  <c r="AM39" i="46" s="1"/>
  <c r="AF39" i="13"/>
  <c r="AT19" i="46" s="1"/>
  <c r="AF69" i="13"/>
  <c r="AT25" i="46" s="1"/>
  <c r="AF33" i="13"/>
  <c r="AS18" i="46" s="1"/>
  <c r="AF129" i="13"/>
  <c r="AT37" i="46" s="1"/>
  <c r="AF136" i="13"/>
  <c r="AQ39" i="46" s="1"/>
  <c r="AF111" i="13"/>
  <c r="AQ34" i="46" s="1"/>
  <c r="AF137" i="13"/>
  <c r="AR39" i="46" s="1"/>
  <c r="AD91" i="13"/>
  <c r="AF91" i="13" s="1"/>
  <c r="AQ30" i="46" s="1"/>
  <c r="AD56" i="13"/>
  <c r="AF56" i="13" s="1"/>
  <c r="AQ23" i="46" s="1"/>
  <c r="AD53" i="13"/>
  <c r="AL22" i="46" s="1"/>
  <c r="AD152" i="13"/>
  <c r="AK42" i="46" s="1"/>
  <c r="AN18" i="13"/>
  <c r="BN15" i="46" s="1"/>
  <c r="AD99" i="13"/>
  <c r="AM31" i="46" s="1"/>
  <c r="AD158" i="13"/>
  <c r="AL43" i="46" s="1"/>
  <c r="AD16" i="13"/>
  <c r="AJ15" i="46" s="1"/>
  <c r="AD72" i="13"/>
  <c r="AK26" i="46" s="1"/>
  <c r="AD30" i="13"/>
  <c r="AF30" i="13" s="1"/>
  <c r="AP18" i="46" s="1"/>
  <c r="AL18" i="13"/>
  <c r="BG15" i="46" s="1"/>
  <c r="AD40" i="13"/>
  <c r="AI20" i="46" s="1"/>
  <c r="AF125" i="13"/>
  <c r="AP37" i="46" s="1"/>
  <c r="AF116" i="13"/>
  <c r="AQ35" i="46" s="1"/>
  <c r="AF122" i="13"/>
  <c r="AR36" i="46" s="1"/>
  <c r="AN120" i="13"/>
  <c r="BK36" i="46" s="1"/>
  <c r="AD101" i="13"/>
  <c r="AJ32" i="46" s="1"/>
  <c r="AE15" i="46"/>
  <c r="AF97" i="13"/>
  <c r="AR31" i="46" s="1"/>
  <c r="AF22" i="13"/>
  <c r="AR16" i="46" s="1"/>
  <c r="AZ17" i="7"/>
  <c r="AZ28" i="7"/>
  <c r="Q47" i="8"/>
  <c r="AR47" i="12" s="1"/>
  <c r="T21" i="8"/>
  <c r="J47" i="12"/>
  <c r="R47" i="8"/>
  <c r="T47" i="8" s="1"/>
  <c r="Q172" i="8"/>
  <c r="AR172" i="12" s="1"/>
  <c r="R277" i="8"/>
  <c r="T277" i="8" s="1"/>
  <c r="AZ116" i="7"/>
  <c r="AZ130" i="7"/>
  <c r="V277" i="8"/>
  <c r="V259" i="8"/>
  <c r="V240" i="8"/>
  <c r="R293" i="8"/>
  <c r="AE89" i="10"/>
  <c r="V172" i="8"/>
  <c r="R240" i="8"/>
  <c r="T240" i="8" s="1"/>
  <c r="R172" i="8"/>
  <c r="T172" i="8" s="1"/>
  <c r="T293" i="8"/>
  <c r="V293" i="8"/>
  <c r="Q240" i="8"/>
  <c r="AR240" i="12" s="1"/>
  <c r="J265" i="12"/>
  <c r="R327" i="8"/>
  <c r="AX18" i="5"/>
  <c r="BH18" i="5" s="1"/>
  <c r="G16" i="12" s="1"/>
  <c r="AZ18" i="5"/>
  <c r="BE17" i="5"/>
  <c r="AZ17" i="5"/>
  <c r="AX24" i="5"/>
  <c r="BH24" i="5" s="1"/>
  <c r="U22" i="8" s="1"/>
  <c r="AZ24" i="5"/>
  <c r="BE20" i="5"/>
  <c r="AZ20" i="5"/>
  <c r="I15" i="6"/>
  <c r="M15" i="6" s="1"/>
  <c r="AZ23" i="5"/>
  <c r="AF134" i="13"/>
  <c r="AT38" i="46" s="1"/>
  <c r="AM38" i="46"/>
  <c r="AF37" i="13"/>
  <c r="AR19" i="46" s="1"/>
  <c r="AK19" i="46"/>
  <c r="AF90" i="13"/>
  <c r="AP30" i="46" s="1"/>
  <c r="AI30" i="46"/>
  <c r="AF132" i="13"/>
  <c r="AR38" i="46" s="1"/>
  <c r="AK38" i="46"/>
  <c r="AF120" i="13"/>
  <c r="AP36" i="46" s="1"/>
  <c r="AI36" i="46"/>
  <c r="AF74" i="13"/>
  <c r="AT26" i="46" s="1"/>
  <c r="AM26" i="46"/>
  <c r="AF34" i="13"/>
  <c r="AT18" i="46" s="1"/>
  <c r="AM18" i="46"/>
  <c r="AF44" i="13"/>
  <c r="AT20" i="46" s="1"/>
  <c r="AM20" i="46"/>
  <c r="AF94" i="13"/>
  <c r="AT30" i="46" s="1"/>
  <c r="AM30" i="46"/>
  <c r="T232" i="14"/>
  <c r="S383" i="14"/>
  <c r="S243" i="14"/>
  <c r="S88" i="14"/>
  <c r="S85" i="14"/>
  <c r="S76" i="14"/>
  <c r="S333" i="14"/>
  <c r="T367" i="14"/>
  <c r="S215" i="14"/>
  <c r="S356" i="14"/>
  <c r="T356" i="14" s="1"/>
  <c r="T201" i="14"/>
  <c r="T324" i="14"/>
  <c r="T190" i="14"/>
  <c r="T183" i="14"/>
  <c r="S67" i="14"/>
  <c r="T314" i="14"/>
  <c r="S160" i="14"/>
  <c r="S219" i="14"/>
  <c r="T361" i="14"/>
  <c r="T334" i="14"/>
  <c r="S200" i="14"/>
  <c r="T200" i="14" s="1"/>
  <c r="T312" i="14"/>
  <c r="S153" i="14"/>
  <c r="S134" i="14"/>
  <c r="S244" i="14"/>
  <c r="T202" i="14"/>
  <c r="T249" i="14"/>
  <c r="S385" i="14"/>
  <c r="S247" i="14"/>
  <c r="T68" i="14"/>
  <c r="S239" i="14"/>
  <c r="T303" i="14"/>
  <c r="S34" i="14"/>
  <c r="S130" i="14"/>
  <c r="T193" i="14"/>
  <c r="T422" i="14"/>
  <c r="S281" i="14"/>
  <c r="T178" i="14"/>
  <c r="T267" i="14"/>
  <c r="S111" i="14"/>
  <c r="T265" i="14"/>
  <c r="S173" i="14"/>
  <c r="T173" i="14" s="1"/>
  <c r="T114" i="14"/>
  <c r="T17" i="14"/>
  <c r="T365" i="14"/>
  <c r="T255" i="14"/>
  <c r="T39" i="14"/>
  <c r="T105" i="14"/>
  <c r="T327" i="14"/>
  <c r="T189" i="14"/>
  <c r="S148" i="14"/>
  <c r="T274" i="14"/>
  <c r="T117" i="14"/>
  <c r="T22" i="14"/>
  <c r="T163" i="14"/>
  <c r="T141" i="14"/>
  <c r="T120" i="14"/>
  <c r="T403" i="14"/>
  <c r="T259" i="14"/>
  <c r="T170" i="14"/>
  <c r="S246" i="14"/>
  <c r="S232" i="14"/>
  <c r="T97" i="14"/>
  <c r="T16" i="14"/>
  <c r="S288" i="14"/>
  <c r="T411" i="14"/>
  <c r="T394" i="14"/>
  <c r="T364" i="14"/>
  <c r="S342" i="14"/>
  <c r="T168" i="14"/>
  <c r="T196" i="14"/>
  <c r="T297" i="14"/>
  <c r="T40" i="14"/>
  <c r="T78" i="14"/>
  <c r="T70" i="14"/>
  <c r="T238" i="14"/>
  <c r="S208" i="14"/>
  <c r="T107" i="14"/>
  <c r="S37" i="14"/>
  <c r="T126" i="14"/>
  <c r="T124" i="14"/>
  <c r="T400" i="14"/>
  <c r="T320" i="14"/>
  <c r="T345" i="14"/>
  <c r="T331" i="14"/>
  <c r="T137" i="14"/>
  <c r="T424" i="14"/>
  <c r="T35" i="14"/>
  <c r="T310" i="14"/>
  <c r="T221" i="14"/>
  <c r="T91" i="14"/>
  <c r="T64" i="14"/>
  <c r="S30" i="14"/>
  <c r="T338" i="14"/>
  <c r="T59" i="14"/>
  <c r="T188" i="14"/>
  <c r="T127" i="14"/>
  <c r="T26" i="14"/>
  <c r="T213" i="14"/>
  <c r="T376" i="14"/>
  <c r="T352" i="14"/>
  <c r="S353" i="14"/>
  <c r="T353" i="14" s="1"/>
  <c r="S31" i="14"/>
  <c r="T149" i="14"/>
  <c r="S42" i="14"/>
  <c r="S48" i="14"/>
  <c r="T48" i="14" s="1"/>
  <c r="T27" i="14"/>
  <c r="T71" i="14"/>
  <c r="T419" i="14"/>
  <c r="T346" i="14"/>
  <c r="T296" i="14"/>
  <c r="T429" i="14"/>
  <c r="T371" i="14"/>
  <c r="T41" i="14"/>
  <c r="T406" i="14"/>
  <c r="S66" i="14"/>
  <c r="T66" i="14" s="1"/>
  <c r="T224" i="14"/>
  <c r="T109" i="14"/>
  <c r="T404" i="14"/>
  <c r="T319" i="14"/>
  <c r="S263" i="14"/>
  <c r="T150" i="14"/>
  <c r="T386" i="14"/>
  <c r="S36" i="14"/>
  <c r="T379" i="14"/>
  <c r="T38" i="14"/>
  <c r="T45" i="14"/>
  <c r="T375" i="14"/>
  <c r="T289" i="14"/>
  <c r="T242" i="14"/>
  <c r="T177" i="14"/>
  <c r="T110" i="14"/>
  <c r="S299" i="14"/>
  <c r="T261" i="14"/>
  <c r="T136" i="14"/>
  <c r="T144" i="14"/>
  <c r="T291" i="14"/>
  <c r="T381" i="14"/>
  <c r="T216" i="14"/>
  <c r="T84" i="14"/>
  <c r="T377" i="14"/>
  <c r="T46" i="14"/>
  <c r="T118" i="14"/>
  <c r="T151" i="14"/>
  <c r="T236" i="14"/>
  <c r="T398" i="14"/>
  <c r="T167" i="14"/>
  <c r="T387" i="14"/>
  <c r="R52" i="8"/>
  <c r="T26" i="8"/>
  <c r="J26" i="12"/>
  <c r="AE18" i="10"/>
  <c r="V26" i="8"/>
  <c r="Q26" i="8"/>
  <c r="AR26" i="12" s="1"/>
  <c r="X4" i="46"/>
  <c r="Q151" i="8"/>
  <c r="AR151" i="12" s="1"/>
  <c r="Q217" i="8"/>
  <c r="AR217" i="12" s="1"/>
  <c r="R317" i="8"/>
  <c r="T317" i="8" s="1"/>
  <c r="R203" i="8"/>
  <c r="T203" i="8" s="1"/>
  <c r="R279" i="8"/>
  <c r="T279" i="8" s="1"/>
  <c r="AZ72" i="7"/>
  <c r="Q174" i="8"/>
  <c r="AR174" i="12" s="1"/>
  <c r="R151" i="8"/>
  <c r="T151" i="8" s="1"/>
  <c r="AZ71" i="7"/>
  <c r="V151" i="8"/>
  <c r="J217" i="12"/>
  <c r="V174" i="8"/>
  <c r="V203" i="8"/>
  <c r="Q323" i="8"/>
  <c r="AR323" i="12" s="1"/>
  <c r="AZ50" i="7"/>
  <c r="J69" i="12"/>
  <c r="AZ37" i="7"/>
  <c r="R359" i="8"/>
  <c r="T359" i="8" s="1"/>
  <c r="J37" i="12"/>
  <c r="R153" i="8"/>
  <c r="T153" i="8" s="1"/>
  <c r="V215" i="8"/>
  <c r="V41" i="8"/>
  <c r="Q279" i="8"/>
  <c r="AR279" i="12" s="1"/>
  <c r="R217" i="8"/>
  <c r="T217" i="8" s="1"/>
  <c r="R211" i="8"/>
  <c r="T211" i="8" s="1"/>
  <c r="T101" i="8"/>
  <c r="R294" i="8"/>
  <c r="V217" i="8"/>
  <c r="V279" i="8"/>
  <c r="Q101" i="8"/>
  <c r="AR101" i="12" s="1"/>
  <c r="V101" i="8"/>
  <c r="AR37" i="12"/>
  <c r="Q293" i="8"/>
  <c r="AR293" i="12" s="1"/>
  <c r="AZ124" i="7"/>
  <c r="R255" i="8"/>
  <c r="T255" i="8" s="1"/>
  <c r="Q127" i="8"/>
  <c r="AR127" i="12" s="1"/>
  <c r="R309" i="8"/>
  <c r="T309" i="8" s="1"/>
  <c r="R177" i="8"/>
  <c r="T177" i="8" s="1"/>
  <c r="Q180" i="8"/>
  <c r="AR180" i="12" s="1"/>
  <c r="V180" i="8"/>
  <c r="V127" i="8"/>
  <c r="R252" i="8"/>
  <c r="T252" i="8" s="1"/>
  <c r="V348" i="8"/>
  <c r="V255" i="8"/>
  <c r="AZ137" i="7"/>
  <c r="V252" i="8"/>
  <c r="Q95" i="8"/>
  <c r="AR95" i="12" s="1"/>
  <c r="J255" i="12"/>
  <c r="J95" i="12"/>
  <c r="V308" i="8"/>
  <c r="V309" i="8"/>
  <c r="Q68" i="8"/>
  <c r="AR68" i="12" s="1"/>
  <c r="J309" i="12"/>
  <c r="AE31" i="10"/>
  <c r="J252" i="12"/>
  <c r="Q252" i="8"/>
  <c r="AR252" i="12" s="1"/>
  <c r="R112" i="8"/>
  <c r="T112" i="8" s="1"/>
  <c r="V68" i="8"/>
  <c r="V112" i="8"/>
  <c r="V95" i="8"/>
  <c r="AZ82" i="7"/>
  <c r="R68" i="8"/>
  <c r="T68" i="8" s="1"/>
  <c r="Q308" i="8"/>
  <c r="AR308" i="12" s="1"/>
  <c r="R308" i="8"/>
  <c r="T308" i="8" s="1"/>
  <c r="Q177" i="8"/>
  <c r="AR177" i="12" s="1"/>
  <c r="R95" i="8"/>
  <c r="T95" i="8" s="1"/>
  <c r="V177" i="8"/>
  <c r="V183" i="8"/>
  <c r="Q254" i="8"/>
  <c r="AR254" i="12" s="1"/>
  <c r="R336" i="8"/>
  <c r="T336" i="8" s="1"/>
  <c r="J245" i="12"/>
  <c r="R128" i="8"/>
  <c r="T128" i="8" s="1"/>
  <c r="R254" i="8"/>
  <c r="T254" i="8" s="1"/>
  <c r="V336" i="8"/>
  <c r="J277" i="12"/>
  <c r="J130" i="12"/>
  <c r="V356" i="8"/>
  <c r="R356" i="8"/>
  <c r="T356" i="8" s="1"/>
  <c r="J239" i="12"/>
  <c r="R101" i="8"/>
  <c r="AZ80" i="7"/>
  <c r="J173" i="12"/>
  <c r="AE125" i="10"/>
  <c r="Q249" i="8"/>
  <c r="AR249" i="12" s="1"/>
  <c r="AZ89" i="7"/>
  <c r="Q121" i="8"/>
  <c r="AR121" i="12" s="1"/>
  <c r="R266" i="8"/>
  <c r="T266" i="8" s="1"/>
  <c r="V301" i="8"/>
  <c r="R224" i="8"/>
  <c r="T224" i="8" s="1"/>
  <c r="V193" i="8"/>
  <c r="AZ59" i="7"/>
  <c r="Q119" i="8"/>
  <c r="AR119" i="12" s="1"/>
  <c r="R237" i="8"/>
  <c r="T237" i="8" s="1"/>
  <c r="R193" i="8"/>
  <c r="T193" i="8" s="1"/>
  <c r="R121" i="8"/>
  <c r="T121" i="8" s="1"/>
  <c r="AZ145" i="7"/>
  <c r="Q237" i="8"/>
  <c r="AR237" i="12" s="1"/>
  <c r="Q352" i="8"/>
  <c r="AR352" i="12" s="1"/>
  <c r="R102" i="8"/>
  <c r="V119" i="8"/>
  <c r="V237" i="8"/>
  <c r="V121" i="8"/>
  <c r="Q329" i="8"/>
  <c r="AR329" i="12" s="1"/>
  <c r="AZ134" i="7"/>
  <c r="R301" i="8"/>
  <c r="T301" i="8" s="1"/>
  <c r="Q264" i="8"/>
  <c r="AR264" i="12" s="1"/>
  <c r="Q230" i="8"/>
  <c r="AR230" i="12" s="1"/>
  <c r="R352" i="8"/>
  <c r="T352" i="8" s="1"/>
  <c r="R119" i="8"/>
  <c r="T119" i="8" s="1"/>
  <c r="Q102" i="8"/>
  <c r="AR102" i="12" s="1"/>
  <c r="R264" i="8"/>
  <c r="T264" i="8" s="1"/>
  <c r="R329" i="8"/>
  <c r="T329" i="8" s="1"/>
  <c r="AE98" i="10"/>
  <c r="J266" i="12"/>
  <c r="R323" i="8"/>
  <c r="T323" i="8" s="1"/>
  <c r="V264" i="8"/>
  <c r="AE86" i="10"/>
  <c r="V329" i="8"/>
  <c r="J301" i="12"/>
  <c r="V230" i="8"/>
  <c r="V352" i="8"/>
  <c r="R230" i="8"/>
  <c r="T230" i="8" s="1"/>
  <c r="AZ143" i="7"/>
  <c r="J264" i="12"/>
  <c r="V102" i="8"/>
  <c r="R159" i="8"/>
  <c r="T159" i="8" s="1"/>
  <c r="R314" i="8"/>
  <c r="T314" i="8" s="1"/>
  <c r="V134" i="8"/>
  <c r="Q348" i="8"/>
  <c r="AR348" i="12" s="1"/>
  <c r="J107" i="12"/>
  <c r="Q265" i="8"/>
  <c r="AR265" i="12" s="1"/>
  <c r="J112" i="12"/>
  <c r="Q354" i="8"/>
  <c r="AR354" i="12" s="1"/>
  <c r="V52" i="8"/>
  <c r="V80" i="8"/>
  <c r="V207" i="8"/>
  <c r="R168" i="8"/>
  <c r="T168" i="8" s="1"/>
  <c r="R130" i="8"/>
  <c r="T130" i="8" s="1"/>
  <c r="Q221" i="8"/>
  <c r="AR221" i="12" s="1"/>
  <c r="R86" i="8"/>
  <c r="T86" i="8" s="1"/>
  <c r="Q52" i="8"/>
  <c r="AR52" i="12" s="1"/>
  <c r="Q107" i="8"/>
  <c r="AR107" i="12" s="1"/>
  <c r="R221" i="8"/>
  <c r="T221" i="8" s="1"/>
  <c r="V86" i="8"/>
  <c r="V354" i="8"/>
  <c r="T52" i="8"/>
  <c r="V221" i="8"/>
  <c r="V38" i="8"/>
  <c r="R354" i="8"/>
  <c r="T354" i="8" s="1"/>
  <c r="AE54" i="10"/>
  <c r="J80" i="12"/>
  <c r="AE74" i="10"/>
  <c r="V194" i="8"/>
  <c r="AZ32" i="7"/>
  <c r="V85" i="8"/>
  <c r="Q86" i="8"/>
  <c r="AR86" i="12" s="1"/>
  <c r="AE35" i="10"/>
  <c r="J221" i="12"/>
  <c r="R57" i="8"/>
  <c r="T57" i="8" s="1"/>
  <c r="R85" i="8"/>
  <c r="T85" i="8" s="1"/>
  <c r="Q134" i="8"/>
  <c r="AR134" i="12" s="1"/>
  <c r="Q207" i="8"/>
  <c r="AR207" i="12" s="1"/>
  <c r="AE111" i="10"/>
  <c r="V37" i="8"/>
  <c r="J27" i="12"/>
  <c r="R27" i="8"/>
  <c r="T27" i="8" s="1"/>
  <c r="V27" i="8"/>
  <c r="AE43" i="10"/>
  <c r="J104" i="12"/>
  <c r="V104" i="8"/>
  <c r="R104" i="8"/>
  <c r="T104" i="8" s="1"/>
  <c r="V197" i="8"/>
  <c r="J197" i="12"/>
  <c r="AZ90" i="7"/>
  <c r="R197" i="8"/>
  <c r="T197" i="8" s="1"/>
  <c r="J180" i="12"/>
  <c r="AE69" i="10"/>
  <c r="Q224" i="8"/>
  <c r="AR224" i="12" s="1"/>
  <c r="J224" i="12"/>
  <c r="AE83" i="10"/>
  <c r="J249" i="12"/>
  <c r="AZ112" i="7"/>
  <c r="V249" i="8"/>
  <c r="S104" i="8"/>
  <c r="Q104" i="8"/>
  <c r="AR104" i="12" s="1"/>
  <c r="Q259" i="8"/>
  <c r="AR259" i="12" s="1"/>
  <c r="J259" i="12"/>
  <c r="S278" i="8"/>
  <c r="P278" i="8"/>
  <c r="Q278" i="8" s="1"/>
  <c r="AR278" i="12" s="1"/>
  <c r="AE26" i="10"/>
  <c r="S197" i="8"/>
  <c r="Q197" i="8"/>
  <c r="AR197" i="12" s="1"/>
  <c r="Q130" i="8"/>
  <c r="AR130" i="12" s="1"/>
  <c r="AE52" i="10"/>
  <c r="R162" i="8"/>
  <c r="T162" i="8" s="1"/>
  <c r="R239" i="8"/>
  <c r="T239" i="8" s="1"/>
  <c r="Q239" i="8"/>
  <c r="AR239" i="12" s="1"/>
  <c r="V239" i="8"/>
  <c r="Q353" i="8"/>
  <c r="AR353" i="12" s="1"/>
  <c r="R226" i="8"/>
  <c r="T226" i="8" s="1"/>
  <c r="V226" i="8"/>
  <c r="J35" i="12"/>
  <c r="AE84" i="10"/>
  <c r="J296" i="12"/>
  <c r="AE22" i="10"/>
  <c r="R123" i="8"/>
  <c r="T123" i="8" s="1"/>
  <c r="R97" i="8"/>
  <c r="T97" i="8" s="1"/>
  <c r="V168" i="8"/>
  <c r="V184" i="8"/>
  <c r="R184" i="8"/>
  <c r="T184" i="8" s="1"/>
  <c r="AZ34" i="7"/>
  <c r="V61" i="8"/>
  <c r="V166" i="8"/>
  <c r="R157" i="8"/>
  <c r="T157" i="8" s="1"/>
  <c r="Q157" i="8"/>
  <c r="AR157" i="12" s="1"/>
  <c r="AR38" i="12"/>
  <c r="R166" i="8"/>
  <c r="T166" i="8" s="1"/>
  <c r="V314" i="8"/>
  <c r="AE109" i="10"/>
  <c r="Q300" i="8"/>
  <c r="AR300" i="12" s="1"/>
  <c r="R300" i="8"/>
  <c r="T300" i="8" s="1"/>
  <c r="R322" i="8"/>
  <c r="T322" i="8" s="1"/>
  <c r="Q322" i="8"/>
  <c r="AR322" i="12" s="1"/>
  <c r="AZ36" i="7"/>
  <c r="R231" i="8"/>
  <c r="R198" i="8"/>
  <c r="T198" i="8" s="1"/>
  <c r="R229" i="8"/>
  <c r="T229" i="8" s="1"/>
  <c r="V198" i="8"/>
  <c r="R246" i="8"/>
  <c r="V300" i="8"/>
  <c r="J159" i="12"/>
  <c r="V317" i="8"/>
  <c r="Q128" i="8"/>
  <c r="AR128" i="12" s="1"/>
  <c r="V153" i="8"/>
  <c r="AE127" i="10"/>
  <c r="Q356" i="8"/>
  <c r="AR356" i="12" s="1"/>
  <c r="R174" i="8"/>
  <c r="T174" i="8" s="1"/>
  <c r="V118" i="8"/>
  <c r="V32" i="8"/>
  <c r="Q111" i="8"/>
  <c r="AR111" i="12" s="1"/>
  <c r="R111" i="8"/>
  <c r="T111" i="8" s="1"/>
  <c r="V286" i="8"/>
  <c r="R188" i="8"/>
  <c r="T188" i="8" s="1"/>
  <c r="Q256" i="8"/>
  <c r="AR256" i="12" s="1"/>
  <c r="V111" i="8"/>
  <c r="V256" i="8"/>
  <c r="AB27" i="13"/>
  <c r="X4" i="13"/>
  <c r="P103" i="10"/>
  <c r="Q103" i="10" s="1"/>
  <c r="R103" i="10" s="1"/>
  <c r="Y103" i="10" s="1"/>
  <c r="AA103" i="10" s="1"/>
  <c r="P99" i="10"/>
  <c r="Q99" i="10" s="1"/>
  <c r="R99" i="10" s="1"/>
  <c r="Y99" i="10" s="1"/>
  <c r="Z99" i="10" s="1"/>
  <c r="Z26" i="13"/>
  <c r="AB26" i="13"/>
  <c r="AD26" i="13" s="1"/>
  <c r="Z83" i="13"/>
  <c r="AB83" i="13"/>
  <c r="AD83" i="13" s="1"/>
  <c r="Z55" i="13"/>
  <c r="AB55" i="13"/>
  <c r="AD55" i="13" s="1"/>
  <c r="Z140" i="13"/>
  <c r="AB140" i="13"/>
  <c r="AD140" i="13" s="1"/>
  <c r="Z144" i="13"/>
  <c r="AB144" i="13"/>
  <c r="AD144" i="13" s="1"/>
  <c r="Z95" i="13"/>
  <c r="AB95" i="13"/>
  <c r="AD95" i="13" s="1"/>
  <c r="Z107" i="13"/>
  <c r="AB107" i="13"/>
  <c r="AD107" i="13" s="1"/>
  <c r="AK63" i="13"/>
  <c r="AE24" i="46"/>
  <c r="AK71" i="13"/>
  <c r="AC26" i="46"/>
  <c r="Z155" i="13"/>
  <c r="AB155" i="13"/>
  <c r="AD155" i="13" s="1"/>
  <c r="AK17" i="13"/>
  <c r="AD15" i="46"/>
  <c r="AK56" i="13"/>
  <c r="AC23" i="46"/>
  <c r="AK27" i="13"/>
  <c r="AD17" i="46"/>
  <c r="Z130" i="13"/>
  <c r="AB130" i="13"/>
  <c r="AD130" i="13" s="1"/>
  <c r="V4" i="46"/>
  <c r="AF70" i="13"/>
  <c r="AP26" i="46" s="1"/>
  <c r="AI26" i="46"/>
  <c r="AF135" i="13"/>
  <c r="AP39" i="46" s="1"/>
  <c r="AI39" i="46"/>
  <c r="F212" i="12"/>
  <c r="BE24" i="5"/>
  <c r="F277" i="12"/>
  <c r="BE23" i="5"/>
  <c r="AX23" i="5"/>
  <c r="BH23" i="5" s="1"/>
  <c r="U21" i="8" s="1"/>
  <c r="AC150" i="7"/>
  <c r="AZ132" i="7"/>
  <c r="Q251" i="8"/>
  <c r="AR251" i="12" s="1"/>
  <c r="V211" i="8"/>
  <c r="AE120" i="10"/>
  <c r="Q245" i="8"/>
  <c r="AR245" i="12" s="1"/>
  <c r="V251" i="8"/>
  <c r="J355" i="12"/>
  <c r="AZ110" i="7"/>
  <c r="AZ96" i="7"/>
  <c r="R298" i="8"/>
  <c r="T298" i="8" s="1"/>
  <c r="AZ113" i="7"/>
  <c r="V271" i="8"/>
  <c r="R58" i="8"/>
  <c r="T58" i="8" s="1"/>
  <c r="R251" i="8"/>
  <c r="T251" i="8" s="1"/>
  <c r="V297" i="8"/>
  <c r="R271" i="8"/>
  <c r="T271" i="8" s="1"/>
  <c r="J334" i="12"/>
  <c r="R245" i="8"/>
  <c r="T245" i="8" s="1"/>
  <c r="V347" i="8"/>
  <c r="V334" i="8"/>
  <c r="R297" i="8"/>
  <c r="T297" i="8" s="1"/>
  <c r="Q321" i="8"/>
  <c r="AR321" i="12" s="1"/>
  <c r="R268" i="8"/>
  <c r="T268" i="8" s="1"/>
  <c r="V298" i="8"/>
  <c r="AZ153" i="7"/>
  <c r="R347" i="8"/>
  <c r="T347" i="8" s="1"/>
  <c r="Q297" i="8"/>
  <c r="AR297" i="12" s="1"/>
  <c r="R334" i="8"/>
  <c r="T334" i="8" s="1"/>
  <c r="Q347" i="8"/>
  <c r="AR347" i="12" s="1"/>
  <c r="Q211" i="8"/>
  <c r="AR211" i="12" s="1"/>
  <c r="R69" i="8"/>
  <c r="T69" i="8" s="1"/>
  <c r="Q296" i="8"/>
  <c r="AR296" i="12" s="1"/>
  <c r="Q69" i="8"/>
  <c r="AR69" i="12" s="1"/>
  <c r="V43" i="8"/>
  <c r="AZ62" i="7"/>
  <c r="AE107" i="10"/>
  <c r="Q156" i="8"/>
  <c r="AR156" i="12" s="1"/>
  <c r="T156" i="8"/>
  <c r="R296" i="8"/>
  <c r="T296" i="8" s="1"/>
  <c r="V156" i="8"/>
  <c r="T288" i="8"/>
  <c r="V288" i="8"/>
  <c r="Q288" i="8"/>
  <c r="AR288" i="12" s="1"/>
  <c r="AE64" i="10"/>
  <c r="R67" i="8"/>
  <c r="T67" i="8" s="1"/>
  <c r="Q188" i="8"/>
  <c r="AR188" i="12" s="1"/>
  <c r="J171" i="12"/>
  <c r="V67" i="8"/>
  <c r="Q171" i="8"/>
  <c r="AR171" i="12" s="1"/>
  <c r="Q72" i="8"/>
  <c r="AR72" i="12" s="1"/>
  <c r="V34" i="8"/>
  <c r="R171" i="8"/>
  <c r="T171" i="8" s="1"/>
  <c r="AR44" i="12"/>
  <c r="Q70" i="8"/>
  <c r="AR70" i="12" s="1"/>
  <c r="Q126" i="8"/>
  <c r="AR126" i="12" s="1"/>
  <c r="R118" i="8"/>
  <c r="T118" i="8" s="1"/>
  <c r="R70" i="8"/>
  <c r="T70" i="8" s="1"/>
  <c r="V44" i="8"/>
  <c r="AE20" i="10"/>
  <c r="V188" i="8"/>
  <c r="Q67" i="8"/>
  <c r="AR67" i="12" s="1"/>
  <c r="R72" i="8"/>
  <c r="T72" i="8" s="1"/>
  <c r="J44" i="12"/>
  <c r="AR34" i="12"/>
  <c r="V70" i="8"/>
  <c r="Q166" i="8"/>
  <c r="AR166" i="12" s="1"/>
  <c r="V208" i="8"/>
  <c r="R208" i="8"/>
  <c r="T208" i="8" s="1"/>
  <c r="V35" i="8"/>
  <c r="J70" i="12"/>
  <c r="AZ23" i="7"/>
  <c r="V231" i="8"/>
  <c r="Q355" i="8"/>
  <c r="AR355" i="12" s="1"/>
  <c r="T231" i="8"/>
  <c r="AE71" i="10"/>
  <c r="Q229" i="8"/>
  <c r="AR229" i="12" s="1"/>
  <c r="J229" i="12"/>
  <c r="AE28" i="10"/>
  <c r="J58" i="12"/>
  <c r="Q231" i="8"/>
  <c r="AR231" i="12" s="1"/>
  <c r="Q198" i="8"/>
  <c r="AR198" i="12" s="1"/>
  <c r="J198" i="12"/>
  <c r="T303" i="8"/>
  <c r="T214" i="8"/>
  <c r="R256" i="8"/>
  <c r="V353" i="8"/>
  <c r="V303" i="8"/>
  <c r="V214" i="8"/>
  <c r="Q58" i="8"/>
  <c r="AR58" i="12" s="1"/>
  <c r="Q194" i="8"/>
  <c r="AR194" i="12" s="1"/>
  <c r="J194" i="12"/>
  <c r="R126" i="8"/>
  <c r="T256" i="8"/>
  <c r="T353" i="8"/>
  <c r="R330" i="8"/>
  <c r="Q184" i="8"/>
  <c r="AR184" i="12" s="1"/>
  <c r="V126" i="8"/>
  <c r="T330" i="8"/>
  <c r="R299" i="8"/>
  <c r="T299" i="8" s="1"/>
  <c r="T126" i="8"/>
  <c r="Q294" i="8"/>
  <c r="AR294" i="12" s="1"/>
  <c r="Q299" i="8"/>
  <c r="AR299" i="12" s="1"/>
  <c r="Q263" i="8"/>
  <c r="AR263" i="12" s="1"/>
  <c r="AZ118" i="7"/>
  <c r="V263" i="8"/>
  <c r="J263" i="12"/>
  <c r="R263" i="8"/>
  <c r="T263" i="8" s="1"/>
  <c r="Q317" i="8"/>
  <c r="AR317" i="12" s="1"/>
  <c r="J317" i="12"/>
  <c r="V229" i="8"/>
  <c r="AF121" i="13"/>
  <c r="AQ36" i="46" s="1"/>
  <c r="AJ36" i="46"/>
  <c r="AF57" i="13"/>
  <c r="AR23" i="46" s="1"/>
  <c r="AK23" i="46"/>
  <c r="W4" i="13"/>
  <c r="AF126" i="13"/>
  <c r="AQ37" i="46" s="1"/>
  <c r="AJ37" i="46"/>
  <c r="AF123" i="13"/>
  <c r="AS36" i="46" s="1"/>
  <c r="AL36" i="46"/>
  <c r="Z60" i="13"/>
  <c r="AB60" i="13"/>
  <c r="AD60" i="13" s="1"/>
  <c r="AF23" i="13"/>
  <c r="AS16" i="46" s="1"/>
  <c r="AL16" i="46"/>
  <c r="AF114" i="13"/>
  <c r="AT34" i="46" s="1"/>
  <c r="AM34" i="46"/>
  <c r="Z108" i="13"/>
  <c r="AB108" i="13"/>
  <c r="AD108" i="13" s="1"/>
  <c r="AK114" i="13"/>
  <c r="AF34" i="46"/>
  <c r="AF102" i="13"/>
  <c r="AR32" i="46" s="1"/>
  <c r="AK32" i="46"/>
  <c r="AF87" i="13"/>
  <c r="AR29" i="46" s="1"/>
  <c r="AK29" i="46"/>
  <c r="AF142" i="13"/>
  <c r="AR40" i="46" s="1"/>
  <c r="AK40" i="46"/>
  <c r="AF61" i="13"/>
  <c r="AQ24" i="46" s="1"/>
  <c r="AJ24" i="46"/>
  <c r="AF75" i="13"/>
  <c r="AP27" i="46" s="1"/>
  <c r="AI27" i="46"/>
  <c r="AK142" i="13"/>
  <c r="AD40" i="46"/>
  <c r="R4" i="14"/>
  <c r="L4" i="14" s="1"/>
  <c r="J214" i="12"/>
  <c r="AE80" i="10"/>
  <c r="Q61" i="8"/>
  <c r="AR61" i="12" s="1"/>
  <c r="J61" i="12"/>
  <c r="V335" i="8"/>
  <c r="R335" i="8"/>
  <c r="T335" i="8" s="1"/>
  <c r="J335" i="12"/>
  <c r="AZ148" i="7"/>
  <c r="Q117" i="8"/>
  <c r="AR117" i="12" s="1"/>
  <c r="R117" i="8"/>
  <c r="T117" i="8" s="1"/>
  <c r="V117" i="8"/>
  <c r="J117" i="12"/>
  <c r="AZ57" i="7"/>
  <c r="AZ121" i="7"/>
  <c r="J271" i="12"/>
  <c r="Q226" i="8"/>
  <c r="AR226" i="12" s="1"/>
  <c r="J299" i="12"/>
  <c r="AZ133" i="7"/>
  <c r="Q303" i="8"/>
  <c r="AR303" i="12" s="1"/>
  <c r="J303" i="12"/>
  <c r="AZ61" i="7"/>
  <c r="J127" i="12"/>
  <c r="Q153" i="8"/>
  <c r="AR153" i="12" s="1"/>
  <c r="Q335" i="8"/>
  <c r="AR335" i="12" s="1"/>
  <c r="AE33" i="10"/>
  <c r="J72" i="12"/>
  <c r="Q286" i="8"/>
  <c r="AR286" i="12" s="1"/>
  <c r="AE104" i="10"/>
  <c r="J286" i="12"/>
  <c r="Q238" i="8"/>
  <c r="AR238" i="12" s="1"/>
  <c r="J238" i="12"/>
  <c r="AE88" i="10"/>
  <c r="V238" i="8"/>
  <c r="R238" i="8"/>
  <c r="T238" i="8" s="1"/>
  <c r="J322" i="12"/>
  <c r="AE116" i="10"/>
  <c r="J298" i="12"/>
  <c r="AE108" i="10"/>
  <c r="AZ74" i="7"/>
  <c r="J157" i="12"/>
  <c r="AZ93" i="7"/>
  <c r="J203" i="12"/>
  <c r="Q123" i="8"/>
  <c r="AR123" i="12" s="1"/>
  <c r="J123" i="12"/>
  <c r="AE51" i="10"/>
  <c r="J128" i="12"/>
  <c r="AE65" i="10"/>
  <c r="J168" i="12"/>
  <c r="J324" i="12"/>
  <c r="AE117" i="10"/>
  <c r="J32" i="12"/>
  <c r="AE19" i="10"/>
  <c r="AZ106" i="7"/>
  <c r="J235" i="12"/>
  <c r="AZ138" i="7"/>
  <c r="J311" i="12"/>
  <c r="Q333" i="8"/>
  <c r="AR333" i="12" s="1"/>
  <c r="J333" i="12"/>
  <c r="V327" i="8"/>
  <c r="AZ139" i="7"/>
  <c r="T313" i="8"/>
  <c r="V268" i="8"/>
  <c r="V89" i="8"/>
  <c r="T246" i="8"/>
  <c r="AZ158" i="7"/>
  <c r="Q359" i="8"/>
  <c r="AR359" i="12" s="1"/>
  <c r="J359" i="12"/>
  <c r="AZ49" i="7"/>
  <c r="J97" i="12"/>
  <c r="Q268" i="8"/>
  <c r="AR268" i="12" s="1"/>
  <c r="AZ98" i="7"/>
  <c r="Q215" i="8"/>
  <c r="AR215" i="12" s="1"/>
  <c r="J215" i="12"/>
  <c r="J162" i="12"/>
  <c r="Q162" i="8"/>
  <c r="AR162" i="12" s="1"/>
  <c r="AE48" i="10"/>
  <c r="J118" i="12"/>
  <c r="J41" i="12"/>
  <c r="AR41" i="12"/>
  <c r="Q89" i="8"/>
  <c r="AR89" i="12" s="1"/>
  <c r="AZ142" i="7"/>
  <c r="J321" i="12"/>
  <c r="Q129" i="8"/>
  <c r="AR129" i="12" s="1"/>
  <c r="Q311" i="8"/>
  <c r="AR311" i="12" s="1"/>
  <c r="T327" i="8"/>
  <c r="V321" i="8"/>
  <c r="V313" i="8"/>
  <c r="R129" i="8"/>
  <c r="T129" i="8" s="1"/>
  <c r="R89" i="8"/>
  <c r="T89" i="8" s="1"/>
  <c r="R355" i="8"/>
  <c r="T355" i="8" s="1"/>
  <c r="V246" i="8"/>
  <c r="Q330" i="8"/>
  <c r="AR330" i="12" s="1"/>
  <c r="AE121" i="10"/>
  <c r="J336" i="12"/>
  <c r="V73" i="8"/>
  <c r="R73" i="8"/>
  <c r="T73" i="8" s="1"/>
  <c r="AZ39" i="7"/>
  <c r="J73" i="12"/>
  <c r="Q73" i="8"/>
  <c r="AR73" i="12" s="1"/>
  <c r="R321" i="8"/>
  <c r="T321" i="8" s="1"/>
  <c r="R341" i="8"/>
  <c r="T341" i="8" s="1"/>
  <c r="V333" i="8"/>
  <c r="V129" i="8"/>
  <c r="V355" i="8"/>
  <c r="J270" i="12"/>
  <c r="R270" i="8"/>
  <c r="T270" i="8" s="1"/>
  <c r="V270" i="8"/>
  <c r="Q270" i="8"/>
  <c r="AR270" i="12" s="1"/>
  <c r="Q74" i="8"/>
  <c r="AR74" i="12" s="1"/>
  <c r="J74" i="12"/>
  <c r="AE34" i="10"/>
  <c r="R74" i="8"/>
  <c r="T74" i="8" s="1"/>
  <c r="V74" i="8"/>
  <c r="V341" i="8"/>
  <c r="AZ45" i="7"/>
  <c r="R333" i="8"/>
  <c r="T333" i="8" s="1"/>
  <c r="AZ155" i="7"/>
  <c r="J353" i="12"/>
  <c r="AR43" i="12"/>
  <c r="J43" i="12"/>
  <c r="Q183" i="8"/>
  <c r="AR183" i="12" s="1"/>
  <c r="J183" i="12"/>
  <c r="AE94" i="10"/>
  <c r="J254" i="12"/>
  <c r="Q327" i="8"/>
  <c r="AR327" i="12" s="1"/>
  <c r="J66" i="12"/>
  <c r="R66" i="8"/>
  <c r="T66" i="8" s="1"/>
  <c r="V66" i="8"/>
  <c r="Q66" i="8"/>
  <c r="AR66" i="12" s="1"/>
  <c r="AZ127" i="7"/>
  <c r="V285" i="8"/>
  <c r="R285" i="8"/>
  <c r="T285" i="8" s="1"/>
  <c r="J285" i="12"/>
  <c r="Q285" i="8"/>
  <c r="AR285" i="12" s="1"/>
  <c r="Q246" i="8"/>
  <c r="AR246" i="12" s="1"/>
  <c r="J341" i="12"/>
  <c r="Q208" i="8"/>
  <c r="AR208" i="12" s="1"/>
  <c r="J208" i="12"/>
  <c r="Q21" i="8"/>
  <c r="AR21" i="12" s="1"/>
  <c r="J21" i="12"/>
  <c r="AE61" i="10"/>
  <c r="J156" i="12"/>
  <c r="J288" i="12"/>
  <c r="AE105" i="10"/>
  <c r="R311" i="8"/>
  <c r="T311" i="8" s="1"/>
  <c r="J313" i="12"/>
  <c r="Q313" i="8"/>
  <c r="AR313" i="12" s="1"/>
  <c r="J330" i="12"/>
  <c r="AZ147" i="7"/>
  <c r="Q341" i="8"/>
  <c r="AR341" i="12" s="1"/>
  <c r="J314" i="12"/>
  <c r="AE114" i="10"/>
  <c r="Q97" i="8"/>
  <c r="AR97" i="12" s="1"/>
  <c r="AM44" i="7"/>
  <c r="AL44" i="7"/>
  <c r="AO119" i="7"/>
  <c r="AP265" i="12"/>
  <c r="AX17" i="5"/>
  <c r="BH17" i="5" s="1"/>
  <c r="G15" i="12" s="1"/>
  <c r="W15" i="12" s="1"/>
  <c r="AX20" i="5"/>
  <c r="BH20" i="5" s="1"/>
  <c r="U18" i="8" s="1"/>
  <c r="Z18" i="8" s="1"/>
  <c r="AL17" i="7"/>
  <c r="AM17" i="7"/>
  <c r="AC39" i="7"/>
  <c r="AK39" i="7" s="1"/>
  <c r="BE18" i="5"/>
  <c r="AC68" i="7"/>
  <c r="AX68" i="7" s="1"/>
  <c r="AC111" i="7"/>
  <c r="AD111" i="7" s="1"/>
  <c r="AP247" i="12" s="1"/>
  <c r="J111" i="7"/>
  <c r="F247" i="12"/>
  <c r="J124" i="7"/>
  <c r="F210" i="12"/>
  <c r="J26" i="10"/>
  <c r="F232" i="12"/>
  <c r="F270" i="12"/>
  <c r="J79" i="10"/>
  <c r="W70" i="9"/>
  <c r="Z70" i="9" s="1"/>
  <c r="F256" i="12"/>
  <c r="J115" i="10"/>
  <c r="F66" i="12"/>
  <c r="W38" i="9"/>
  <c r="Z38" i="9" s="1"/>
  <c r="W27" i="9"/>
  <c r="Z27" i="9" s="1"/>
  <c r="W113" i="9"/>
  <c r="Z113" i="9" s="1"/>
  <c r="W85" i="9"/>
  <c r="Z85" i="9" s="1"/>
  <c r="W116" i="9"/>
  <c r="Z116" i="9" s="1"/>
  <c r="L16" i="12"/>
  <c r="M16" i="12"/>
  <c r="F50" i="12"/>
  <c r="W93" i="9"/>
  <c r="Z93" i="9" s="1"/>
  <c r="W22" i="9"/>
  <c r="Z22" i="9" s="1"/>
  <c r="W34" i="9"/>
  <c r="Z34" i="9" s="1"/>
  <c r="W80" i="9"/>
  <c r="Z80" i="9" s="1"/>
  <c r="W58" i="9"/>
  <c r="Z58" i="9" s="1"/>
  <c r="W126" i="9"/>
  <c r="Z126" i="9" s="1"/>
  <c r="W100" i="9"/>
  <c r="Z100" i="9" s="1"/>
  <c r="Z29" i="9"/>
  <c r="W82" i="9"/>
  <c r="Z82" i="9" s="1"/>
  <c r="W102" i="9"/>
  <c r="Z102" i="9" s="1"/>
  <c r="W25" i="9"/>
  <c r="Z25" i="9" s="1"/>
  <c r="AC33" i="7"/>
  <c r="AD33" i="7" s="1"/>
  <c r="F320" i="12"/>
  <c r="AE4" i="5"/>
  <c r="AC105" i="7"/>
  <c r="AD105" i="7" s="1"/>
  <c r="AB4" i="5"/>
  <c r="I16" i="6"/>
  <c r="M16" i="6" s="1"/>
  <c r="BE25" i="5"/>
  <c r="AX25" i="5"/>
  <c r="BH25" i="5" s="1"/>
  <c r="AL362" i="5"/>
  <c r="AM362" i="5" s="1"/>
  <c r="AO362" i="5" s="1"/>
  <c r="AP362" i="5" s="1"/>
  <c r="J113" i="10"/>
  <c r="F312" i="12"/>
  <c r="AL279" i="5"/>
  <c r="AM279" i="5" s="1"/>
  <c r="AO279" i="5" s="1"/>
  <c r="AP279" i="5" s="1"/>
  <c r="F241" i="12"/>
  <c r="AL406" i="5"/>
  <c r="AM406" i="5" s="1"/>
  <c r="AO406" i="5" s="1"/>
  <c r="AP406" i="5" s="1"/>
  <c r="F350" i="12"/>
  <c r="AC106" i="7"/>
  <c r="AD106" i="7" s="1"/>
  <c r="AL401" i="5"/>
  <c r="AM401" i="5" s="1"/>
  <c r="AO401" i="5" s="1"/>
  <c r="AP401" i="5" s="1"/>
  <c r="J152" i="7"/>
  <c r="F345" i="12"/>
  <c r="AL419" i="5"/>
  <c r="AM419" i="5" s="1"/>
  <c r="AO419" i="5" s="1"/>
  <c r="AP419" i="5" s="1"/>
  <c r="F361" i="12"/>
  <c r="J159" i="7"/>
  <c r="AL384" i="5"/>
  <c r="AM384" i="5" s="1"/>
  <c r="AO384" i="5" s="1"/>
  <c r="AP384" i="5" s="1"/>
  <c r="F330" i="12"/>
  <c r="AL84" i="5"/>
  <c r="AM84" i="5" s="1"/>
  <c r="AO84" i="5" s="1"/>
  <c r="AP84" i="5" s="1"/>
  <c r="F74" i="12"/>
  <c r="J34" i="10"/>
  <c r="AC118" i="7"/>
  <c r="AI118" i="7" s="1"/>
  <c r="AK118" i="7" s="1"/>
  <c r="AC31" i="7"/>
  <c r="AI31" i="7" s="1"/>
  <c r="AK31" i="7" s="1"/>
  <c r="AC115" i="7"/>
  <c r="AL245" i="5"/>
  <c r="AM245" i="5" s="1"/>
  <c r="AO245" i="5" s="1"/>
  <c r="AP245" i="5" s="1"/>
  <c r="BB245" i="5" s="1"/>
  <c r="F211" i="12"/>
  <c r="J96" i="7"/>
  <c r="AL414" i="5"/>
  <c r="AM414" i="5" s="1"/>
  <c r="AO414" i="5" s="1"/>
  <c r="AP414" i="5" s="1"/>
  <c r="J127" i="10"/>
  <c r="F356" i="12"/>
  <c r="AL73" i="5"/>
  <c r="AM73" i="5" s="1"/>
  <c r="AO73" i="5" s="1"/>
  <c r="AP73" i="5" s="1"/>
  <c r="F63" i="12"/>
  <c r="AL247" i="5"/>
  <c r="AM247" i="5" s="1"/>
  <c r="AO247" i="5" s="1"/>
  <c r="AP247" i="5" s="1"/>
  <c r="F213" i="12"/>
  <c r="J97" i="7"/>
  <c r="AL257" i="5"/>
  <c r="AM257" i="5" s="1"/>
  <c r="AO257" i="5" s="1"/>
  <c r="AP257" i="5" s="1"/>
  <c r="J100" i="7"/>
  <c r="AL390" i="5"/>
  <c r="AM390" i="5" s="1"/>
  <c r="AO390" i="5" s="1"/>
  <c r="AP390" i="5" s="1"/>
  <c r="F336" i="12"/>
  <c r="J121" i="10"/>
  <c r="AL54" i="5"/>
  <c r="AM54" i="5" s="1"/>
  <c r="AO54" i="5" s="1"/>
  <c r="AP54" i="5" s="1"/>
  <c r="J25" i="10"/>
  <c r="AL417" i="5"/>
  <c r="AM417" i="5" s="1"/>
  <c r="AO417" i="5" s="1"/>
  <c r="AP417" i="5" s="1"/>
  <c r="J158" i="7"/>
  <c r="J20" i="10"/>
  <c r="F34" i="12"/>
  <c r="AL108" i="5"/>
  <c r="AM108" i="5" s="1"/>
  <c r="AO108" i="5" s="1"/>
  <c r="AP108" i="5" s="1"/>
  <c r="J40" i="10"/>
  <c r="AL133" i="5"/>
  <c r="AM133" i="5" s="1"/>
  <c r="AO133" i="5" s="1"/>
  <c r="AP133" i="5" s="1"/>
  <c r="F115" i="12"/>
  <c r="J56" i="7"/>
  <c r="AL159" i="5"/>
  <c r="AM159" i="5" s="1"/>
  <c r="AO159" i="5" s="1"/>
  <c r="AP159" i="5" s="1"/>
  <c r="F137" i="12"/>
  <c r="AL146" i="5"/>
  <c r="AM146" i="5" s="1"/>
  <c r="AO146" i="5" s="1"/>
  <c r="AP146" i="5" s="1"/>
  <c r="F126" i="12"/>
  <c r="AL88" i="5"/>
  <c r="AM88" i="5" s="1"/>
  <c r="AO88" i="5" s="1"/>
  <c r="AP88" i="5" s="1"/>
  <c r="F76" i="12"/>
  <c r="AL227" i="5"/>
  <c r="AM227" i="5" s="1"/>
  <c r="AO227" i="5" s="1"/>
  <c r="AP227" i="5" s="1"/>
  <c r="F195" i="12"/>
  <c r="AL251" i="5"/>
  <c r="AM251" i="5" s="1"/>
  <c r="AO251" i="5" s="1"/>
  <c r="AP251" i="5" s="1"/>
  <c r="F217" i="12"/>
  <c r="AL77" i="5"/>
  <c r="AM77" i="5" s="1"/>
  <c r="AO77" i="5" s="1"/>
  <c r="AP77" i="5" s="1"/>
  <c r="J36" i="7"/>
  <c r="F67" i="12"/>
  <c r="AL376" i="5"/>
  <c r="AM376" i="5" s="1"/>
  <c r="AO376" i="5" s="1"/>
  <c r="AP376" i="5" s="1"/>
  <c r="J117" i="10"/>
  <c r="F324" i="12"/>
  <c r="AL399" i="5"/>
  <c r="AM399" i="5" s="1"/>
  <c r="AO399" i="5" s="1"/>
  <c r="AP399" i="5" s="1"/>
  <c r="J151" i="7"/>
  <c r="F343" i="12"/>
  <c r="AL293" i="5"/>
  <c r="AM293" i="5" s="1"/>
  <c r="AO293" i="5" s="1"/>
  <c r="AP293" i="5" s="1"/>
  <c r="F253" i="12"/>
  <c r="J114" i="7"/>
  <c r="AL83" i="5"/>
  <c r="AM83" i="5" s="1"/>
  <c r="AO83" i="5" s="1"/>
  <c r="AP83" i="5" s="1"/>
  <c r="F73" i="12"/>
  <c r="J39" i="7"/>
  <c r="AL275" i="5"/>
  <c r="AM275" i="5" s="1"/>
  <c r="AO275" i="5" s="1"/>
  <c r="AP275" i="5" s="1"/>
  <c r="F237" i="12"/>
  <c r="J107" i="7"/>
  <c r="AL252" i="5"/>
  <c r="AM252" i="5" s="1"/>
  <c r="AO252" i="5" s="1"/>
  <c r="AP252" i="5" s="1"/>
  <c r="J82" i="10"/>
  <c r="AL180" i="5"/>
  <c r="AM180" i="5" s="1"/>
  <c r="AO180" i="5" s="1"/>
  <c r="AP180" i="5" s="1"/>
  <c r="J61" i="10"/>
  <c r="AC137" i="7"/>
  <c r="H309" i="12" s="1"/>
  <c r="AL190" i="5"/>
  <c r="AM190" i="5" s="1"/>
  <c r="AO190" i="5" s="1"/>
  <c r="AP190" i="5" s="1"/>
  <c r="F164" i="12"/>
  <c r="J63" i="10"/>
  <c r="AL201" i="5"/>
  <c r="AM201" i="5" s="1"/>
  <c r="AO201" i="5" s="1"/>
  <c r="AP201" i="5" s="1"/>
  <c r="F173" i="12"/>
  <c r="J80" i="7"/>
  <c r="AL378" i="5"/>
  <c r="AM378" i="5" s="1"/>
  <c r="AO378" i="5" s="1"/>
  <c r="AP378" i="5" s="1"/>
  <c r="J118" i="10"/>
  <c r="F326" i="12"/>
  <c r="F51" i="12"/>
  <c r="AL92" i="5"/>
  <c r="AM92" i="5" s="1"/>
  <c r="AO92" i="5" s="1"/>
  <c r="AP92" i="5" s="1"/>
  <c r="AQ92" i="5" s="1"/>
  <c r="AR92" i="5" s="1"/>
  <c r="J35" i="10"/>
  <c r="F80" i="12"/>
  <c r="AL402" i="5"/>
  <c r="AM402" i="5" s="1"/>
  <c r="AO402" i="5" s="1"/>
  <c r="AP402" i="5" s="1"/>
  <c r="J124" i="10"/>
  <c r="AL418" i="5"/>
  <c r="AM418" i="5" s="1"/>
  <c r="AO418" i="5" s="1"/>
  <c r="AP418" i="5" s="1"/>
  <c r="J129" i="10"/>
  <c r="F360" i="12"/>
  <c r="AL285" i="5"/>
  <c r="AM285" i="5" s="1"/>
  <c r="AO285" i="5" s="1"/>
  <c r="AP285" i="5" s="1"/>
  <c r="J110" i="7"/>
  <c r="AL289" i="5"/>
  <c r="AM289" i="5" s="1"/>
  <c r="AO289" i="5" s="1"/>
  <c r="AP289" i="5" s="1"/>
  <c r="F249" i="12"/>
  <c r="AL165" i="5"/>
  <c r="AM165" i="5" s="1"/>
  <c r="AO165" i="5" s="1"/>
  <c r="AP165" i="5" s="1"/>
  <c r="F143" i="12"/>
  <c r="J68" i="7"/>
  <c r="AL348" i="5"/>
  <c r="AM348" i="5" s="1"/>
  <c r="AO348" i="5" s="1"/>
  <c r="AP348" i="5" s="1"/>
  <c r="F300" i="12"/>
  <c r="J109" i="10"/>
  <c r="AL284" i="5"/>
  <c r="AM284" i="5" s="1"/>
  <c r="AO284" i="5" s="1"/>
  <c r="AP284" i="5" s="1"/>
  <c r="F244" i="12"/>
  <c r="AC83" i="7"/>
  <c r="AD83" i="7" s="1"/>
  <c r="AL67" i="5"/>
  <c r="AM67" i="5" s="1"/>
  <c r="AO67" i="5" s="1"/>
  <c r="AP67" i="5" s="1"/>
  <c r="J33" i="7"/>
  <c r="AL307" i="5"/>
  <c r="AM307" i="5" s="1"/>
  <c r="AO307" i="5" s="1"/>
  <c r="AP307" i="5" s="1"/>
  <c r="J119" i="7"/>
  <c r="F265" i="12"/>
  <c r="AL248" i="5"/>
  <c r="AM248" i="5" s="1"/>
  <c r="AO248" i="5" s="1"/>
  <c r="AP248" i="5" s="1"/>
  <c r="F214" i="12"/>
  <c r="J80" i="10"/>
  <c r="AL371" i="5"/>
  <c r="AM371" i="5" s="1"/>
  <c r="AO371" i="5" s="1"/>
  <c r="AP371" i="5" s="1"/>
  <c r="F319" i="12"/>
  <c r="AL46" i="5"/>
  <c r="AM46" i="5" s="1"/>
  <c r="AO46" i="5" s="1"/>
  <c r="AP46" i="5" s="1"/>
  <c r="F40" i="12"/>
  <c r="AL322" i="5"/>
  <c r="AM322" i="5" s="1"/>
  <c r="AO322" i="5" s="1"/>
  <c r="AP322" i="5" s="1"/>
  <c r="F278" i="12"/>
  <c r="J102" i="10"/>
  <c r="AL259" i="5"/>
  <c r="AM259" i="5" s="1"/>
  <c r="AO259" i="5" s="1"/>
  <c r="AP259" i="5" s="1"/>
  <c r="J101" i="7"/>
  <c r="F223" i="12"/>
  <c r="AL206" i="5"/>
  <c r="AM206" i="5" s="1"/>
  <c r="AO206" i="5" s="1"/>
  <c r="AP206" i="5" s="1"/>
  <c r="F178" i="12"/>
  <c r="J68" i="10"/>
  <c r="AL400" i="5"/>
  <c r="AM400" i="5" s="1"/>
  <c r="AO400" i="5" s="1"/>
  <c r="AP400" i="5" s="1"/>
  <c r="F344" i="12"/>
  <c r="J123" i="10"/>
  <c r="AL33" i="5"/>
  <c r="AM33" i="5" s="1"/>
  <c r="J20" i="7"/>
  <c r="F29" i="12"/>
  <c r="F69" i="12"/>
  <c r="AL188" i="5"/>
  <c r="AM188" i="5" s="1"/>
  <c r="AO188" i="5" s="1"/>
  <c r="AP188" i="5" s="1"/>
  <c r="F162" i="12"/>
  <c r="AL276" i="5"/>
  <c r="AM276" i="5" s="1"/>
  <c r="AO276" i="5" s="1"/>
  <c r="AP276" i="5" s="1"/>
  <c r="J88" i="10"/>
  <c r="F238" i="12"/>
  <c r="AL374" i="5"/>
  <c r="AM374" i="5" s="1"/>
  <c r="AO374" i="5" s="1"/>
  <c r="AP374" i="5" s="1"/>
  <c r="J116" i="10"/>
  <c r="F322" i="12"/>
  <c r="AL299" i="5"/>
  <c r="AM299" i="5" s="1"/>
  <c r="AO299" i="5" s="1"/>
  <c r="AP299" i="5" s="1"/>
  <c r="J115" i="7"/>
  <c r="F257" i="12"/>
  <c r="AL260" i="5"/>
  <c r="AM260" i="5" s="1"/>
  <c r="AO260" i="5" s="1"/>
  <c r="AP260" i="5" s="1"/>
  <c r="J83" i="10"/>
  <c r="F224" i="12"/>
  <c r="AL266" i="5"/>
  <c r="AM266" i="5" s="1"/>
  <c r="AO266" i="5" s="1"/>
  <c r="AP266" i="5" s="1"/>
  <c r="J86" i="10"/>
  <c r="F230" i="12"/>
  <c r="AL258" i="5"/>
  <c r="AM258" i="5" s="1"/>
  <c r="AO258" i="5" s="1"/>
  <c r="AP258" i="5" s="1"/>
  <c r="F222" i="12"/>
  <c r="AL233" i="5"/>
  <c r="AM233" i="5" s="1"/>
  <c r="AO233" i="5" s="1"/>
  <c r="AP233" i="5" s="1"/>
  <c r="J92" i="7"/>
  <c r="F201" i="12"/>
  <c r="AL243" i="5"/>
  <c r="AM243" i="5" s="1"/>
  <c r="AO243" i="5" s="1"/>
  <c r="AP243" i="5" s="1"/>
  <c r="J95" i="7"/>
  <c r="F209" i="12"/>
  <c r="AL222" i="5"/>
  <c r="AM222" i="5" s="1"/>
  <c r="AO222" i="5" s="1"/>
  <c r="AP222" i="5" s="1"/>
  <c r="J73" i="10"/>
  <c r="AL403" i="5"/>
  <c r="AM403" i="5" s="1"/>
  <c r="AO403" i="5" s="1"/>
  <c r="AP403" i="5" s="1"/>
  <c r="F347" i="12"/>
  <c r="J153" i="7"/>
  <c r="AL187" i="5"/>
  <c r="AM187" i="5" s="1"/>
  <c r="AO187" i="5" s="1"/>
  <c r="AP187" i="5" s="1"/>
  <c r="F161" i="12"/>
  <c r="J75" i="7"/>
  <c r="AL148" i="5"/>
  <c r="AM148" i="5" s="1"/>
  <c r="AO148" i="5" s="1"/>
  <c r="AP148" i="5" s="1"/>
  <c r="F128" i="12"/>
  <c r="AD16" i="7"/>
  <c r="AP19" i="12" s="1"/>
  <c r="AC28" i="7"/>
  <c r="AD28" i="7" s="1"/>
  <c r="AL31" i="5"/>
  <c r="AM31" i="5" s="1"/>
  <c r="F27" i="12"/>
  <c r="AL328" i="5"/>
  <c r="AM328" i="5" s="1"/>
  <c r="AO328" i="5" s="1"/>
  <c r="AP328" i="5" s="1"/>
  <c r="F282" i="12"/>
  <c r="J37" i="7"/>
  <c r="AL140" i="5"/>
  <c r="AM140" i="5" s="1"/>
  <c r="AO140" i="5" s="1"/>
  <c r="AP140" i="5" s="1"/>
  <c r="F122" i="12"/>
  <c r="J50" i="10"/>
  <c r="AL391" i="5"/>
  <c r="AM391" i="5" s="1"/>
  <c r="AO391" i="5" s="1"/>
  <c r="AP391" i="5" s="1"/>
  <c r="F337" i="12"/>
  <c r="J149" i="7"/>
  <c r="AL416" i="5"/>
  <c r="AM416" i="5" s="1"/>
  <c r="AO416" i="5" s="1"/>
  <c r="AP416" i="5" s="1"/>
  <c r="J128" i="10"/>
  <c r="F358" i="12"/>
  <c r="AL265" i="5"/>
  <c r="AM265" i="5" s="1"/>
  <c r="AO265" i="5" s="1"/>
  <c r="AP265" i="5" s="1"/>
  <c r="J104" i="7"/>
  <c r="F229" i="12"/>
  <c r="AL311" i="5"/>
  <c r="AM311" i="5" s="1"/>
  <c r="AO311" i="5" s="1"/>
  <c r="AP311" i="5" s="1"/>
  <c r="F267" i="12"/>
  <c r="AL158" i="5"/>
  <c r="AM158" i="5" s="1"/>
  <c r="AO158" i="5" s="1"/>
  <c r="AP158" i="5" s="1"/>
  <c r="F136" i="12"/>
  <c r="F36" i="12"/>
  <c r="J21" i="10"/>
  <c r="AL369" i="5"/>
  <c r="AM369" i="5" s="1"/>
  <c r="AO369" i="5" s="1"/>
  <c r="AP369" i="5" s="1"/>
  <c r="J140" i="7"/>
  <c r="F317" i="12"/>
  <c r="AL221" i="5"/>
  <c r="AM221" i="5" s="1"/>
  <c r="AO221" i="5" s="1"/>
  <c r="AP221" i="5" s="1"/>
  <c r="F191" i="12"/>
  <c r="J88" i="7"/>
  <c r="AL116" i="5"/>
  <c r="AM116" i="5" s="1"/>
  <c r="AO116" i="5" s="1"/>
  <c r="AP116" i="5" s="1"/>
  <c r="F100" i="12"/>
  <c r="AL124" i="5"/>
  <c r="AM124" i="5" s="1"/>
  <c r="AO124" i="5" s="1"/>
  <c r="AP124" i="5" s="1"/>
  <c r="J45" i="10"/>
  <c r="F108" i="12"/>
  <c r="AL80" i="5"/>
  <c r="AM80" i="5" s="1"/>
  <c r="AO80" i="5" s="1"/>
  <c r="AP80" i="5" s="1"/>
  <c r="F70" i="12"/>
  <c r="J32" i="10"/>
  <c r="AL237" i="5"/>
  <c r="AM237" i="5" s="1"/>
  <c r="AO237" i="5" s="1"/>
  <c r="AP237" i="5" s="1"/>
  <c r="J94" i="7"/>
  <c r="F205" i="12"/>
  <c r="AL392" i="5"/>
  <c r="AM392" i="5" s="1"/>
  <c r="AO392" i="5" s="1"/>
  <c r="AP392" i="5" s="1"/>
  <c r="J122" i="10"/>
  <c r="F338" i="12"/>
  <c r="AL241" i="5"/>
  <c r="AM241" i="5" s="1"/>
  <c r="AO241" i="5" s="1"/>
  <c r="AP241" i="5" s="1"/>
  <c r="F207" i="12"/>
  <c r="AL312" i="5"/>
  <c r="AM312" i="5" s="1"/>
  <c r="AO312" i="5" s="1"/>
  <c r="AP312" i="5" s="1"/>
  <c r="F268" i="12"/>
  <c r="AL413" i="5"/>
  <c r="AM413" i="5" s="1"/>
  <c r="AO413" i="5" s="1"/>
  <c r="AP413" i="5" s="1"/>
  <c r="F355" i="12"/>
  <c r="J156" i="7"/>
  <c r="AL280" i="5"/>
  <c r="AM280" i="5" s="1"/>
  <c r="AO280" i="5" s="1"/>
  <c r="AP280" i="5" s="1"/>
  <c r="J90" i="10"/>
  <c r="AL81" i="5"/>
  <c r="AM81" i="5" s="1"/>
  <c r="AO81" i="5" s="1"/>
  <c r="AP81" i="5" s="1"/>
  <c r="BB81" i="5" s="1"/>
  <c r="J38" i="7"/>
  <c r="F71" i="12"/>
  <c r="AL161" i="5"/>
  <c r="AM161" i="5" s="1"/>
  <c r="AO161" i="5" s="1"/>
  <c r="AP161" i="5" s="1"/>
  <c r="BB161" i="5" s="1"/>
  <c r="J66" i="7"/>
  <c r="AL61" i="5"/>
  <c r="AM61" i="5" s="1"/>
  <c r="AO61" i="5" s="1"/>
  <c r="AP61" i="5" s="1"/>
  <c r="J30" i="7"/>
  <c r="F53" i="12"/>
  <c r="AL269" i="5"/>
  <c r="AM269" i="5" s="1"/>
  <c r="AO269" i="5" s="1"/>
  <c r="AP269" i="5" s="1"/>
  <c r="F231" i="12"/>
  <c r="G4" i="10"/>
  <c r="H4" i="10" s="1"/>
  <c r="W64" i="9"/>
  <c r="Z64" i="9" s="1"/>
  <c r="I4" i="10"/>
  <c r="G4" i="7"/>
  <c r="H4" i="7" s="1"/>
  <c r="W77" i="9"/>
  <c r="Z77" i="9" s="1"/>
  <c r="W124" i="9"/>
  <c r="Z124" i="9" s="1"/>
  <c r="W88" i="9"/>
  <c r="Z88" i="9" s="1"/>
  <c r="W86" i="9"/>
  <c r="Z86" i="9" s="1"/>
  <c r="W23" i="9"/>
  <c r="Z23" i="9" s="1"/>
  <c r="W55" i="9"/>
  <c r="Z55" i="9" s="1"/>
  <c r="I4" i="7"/>
  <c r="AD16" i="10"/>
  <c r="K22" i="12"/>
  <c r="AB16" i="10"/>
  <c r="AS22" i="12" s="1"/>
  <c r="AJ56" i="7"/>
  <c r="AC56" i="7"/>
  <c r="AJ125" i="7"/>
  <c r="AC125" i="7"/>
  <c r="AD125" i="7" s="1"/>
  <c r="AP281" i="12" s="1"/>
  <c r="AJ75" i="7"/>
  <c r="AC75" i="7"/>
  <c r="AJ151" i="7"/>
  <c r="AC151" i="7"/>
  <c r="AJ155" i="7"/>
  <c r="AC155" i="7"/>
  <c r="AD155" i="7" s="1"/>
  <c r="AJ87" i="7"/>
  <c r="AC87" i="7"/>
  <c r="AD87" i="7" s="1"/>
  <c r="AJ93" i="7"/>
  <c r="AC93" i="7"/>
  <c r="AJ94" i="7"/>
  <c r="AC94" i="7"/>
  <c r="AJ116" i="7"/>
  <c r="AC116" i="7"/>
  <c r="AD116" i="7" s="1"/>
  <c r="AP259" i="12" s="1"/>
  <c r="AJ96" i="7"/>
  <c r="AC96" i="7"/>
  <c r="AD96" i="7" s="1"/>
  <c r="AP211" i="12" s="1"/>
  <c r="AJ54" i="7"/>
  <c r="AC54" i="7"/>
  <c r="AD54" i="7" s="1"/>
  <c r="AP109" i="12" s="1"/>
  <c r="AJ34" i="7"/>
  <c r="AC34" i="7"/>
  <c r="AD34" i="7" s="1"/>
  <c r="AP61" i="12" s="1"/>
  <c r="AJ37" i="7"/>
  <c r="AC37" i="7"/>
  <c r="AD37" i="7" s="1"/>
  <c r="AP69" i="12" s="1"/>
  <c r="AJ153" i="7"/>
  <c r="AC153" i="7"/>
  <c r="AD153" i="7" s="1"/>
  <c r="AP347" i="12" s="1"/>
  <c r="AJ123" i="7"/>
  <c r="AC123" i="7"/>
  <c r="AR93" i="12"/>
  <c r="AJ103" i="7"/>
  <c r="AC103" i="7"/>
  <c r="AD103" i="7" s="1"/>
  <c r="AP227" i="12" s="1"/>
  <c r="AJ90" i="7"/>
  <c r="AC90" i="7"/>
  <c r="AJ84" i="7"/>
  <c r="AC84" i="7"/>
  <c r="AD84" i="7" s="1"/>
  <c r="AP181" i="12" s="1"/>
  <c r="AJ50" i="7"/>
  <c r="AC50" i="7"/>
  <c r="AJ91" i="7"/>
  <c r="AC91" i="7"/>
  <c r="AD91" i="7" s="1"/>
  <c r="AP199" i="12" s="1"/>
  <c r="AJ126" i="7"/>
  <c r="AC126" i="7"/>
  <c r="AD126" i="7" s="1"/>
  <c r="AP283" i="12" s="1"/>
  <c r="AJ42" i="7"/>
  <c r="AC42" i="7"/>
  <c r="AJ86" i="7"/>
  <c r="AC86" i="7"/>
  <c r="AD86" i="7" s="1"/>
  <c r="AP187" i="12" s="1"/>
  <c r="AJ120" i="7"/>
  <c r="AC120" i="7"/>
  <c r="AJ24" i="7"/>
  <c r="AC24" i="7"/>
  <c r="AJ59" i="7"/>
  <c r="AC59" i="7"/>
  <c r="AD59" i="7" s="1"/>
  <c r="AP121" i="12" s="1"/>
  <c r="AJ46" i="7"/>
  <c r="AC46" i="7"/>
  <c r="AD46" i="7" s="1"/>
  <c r="AJ108" i="7"/>
  <c r="AC108" i="7"/>
  <c r="AD108" i="7" s="1"/>
  <c r="AJ156" i="7"/>
  <c r="AC156" i="7"/>
  <c r="AD156" i="7" s="1"/>
  <c r="AP355" i="12" s="1"/>
  <c r="AJ130" i="7"/>
  <c r="AC130" i="7"/>
  <c r="AJ97" i="7"/>
  <c r="AC97" i="7"/>
  <c r="AD97" i="7" s="1"/>
  <c r="AP213" i="12" s="1"/>
  <c r="AJ72" i="7"/>
  <c r="AC72" i="7"/>
  <c r="AJ152" i="7"/>
  <c r="AC152" i="7"/>
  <c r="AD152" i="7" s="1"/>
  <c r="AP345" i="12" s="1"/>
  <c r="AJ141" i="7"/>
  <c r="AC141" i="7"/>
  <c r="AD141" i="7" s="1"/>
  <c r="AJ48" i="7"/>
  <c r="AC48" i="7"/>
  <c r="AD48" i="7" s="1"/>
  <c r="AL213" i="5"/>
  <c r="AM213" i="5" s="1"/>
  <c r="AO213" i="5" s="1"/>
  <c r="AP213" i="5" s="1"/>
  <c r="BB213" i="5" s="1"/>
  <c r="F183" i="12"/>
  <c r="AJ40" i="7"/>
  <c r="AC40" i="7"/>
  <c r="AF40" i="7"/>
  <c r="AG40" i="7" s="1"/>
  <c r="AN40" i="7" s="1"/>
  <c r="AF100" i="7"/>
  <c r="AG100" i="7" s="1"/>
  <c r="AL191" i="5"/>
  <c r="AM191" i="5" s="1"/>
  <c r="AO191" i="5" s="1"/>
  <c r="AP191" i="5" s="1"/>
  <c r="BB191" i="5" s="1"/>
  <c r="J77" i="7"/>
  <c r="F165" i="12"/>
  <c r="AL104" i="5"/>
  <c r="AM104" i="5" s="1"/>
  <c r="AO104" i="5" s="1"/>
  <c r="AP104" i="5" s="1"/>
  <c r="BB104" i="5" s="1"/>
  <c r="F90" i="12"/>
  <c r="AF49" i="13"/>
  <c r="AM21" i="46"/>
  <c r="AF145" i="13"/>
  <c r="AP41" i="46" s="1"/>
  <c r="AI41" i="46"/>
  <c r="R88" i="8"/>
  <c r="T88" i="8" s="1"/>
  <c r="V88" i="8"/>
  <c r="Q88" i="8"/>
  <c r="J88" i="12"/>
  <c r="V158" i="8"/>
  <c r="R158" i="8"/>
  <c r="T158" i="8" s="1"/>
  <c r="AE62" i="10"/>
  <c r="J158" i="12"/>
  <c r="R192" i="8"/>
  <c r="T192" i="8" s="1"/>
  <c r="V192" i="8"/>
  <c r="AE73" i="10"/>
  <c r="Q192" i="8"/>
  <c r="AR192" i="12" s="1"/>
  <c r="J192" i="12"/>
  <c r="V326" i="8"/>
  <c r="R326" i="8"/>
  <c r="T326" i="8"/>
  <c r="AE118" i="10"/>
  <c r="Q326" i="8"/>
  <c r="AR326" i="12" s="1"/>
  <c r="J326" i="12"/>
  <c r="V55" i="8"/>
  <c r="R55" i="8"/>
  <c r="T55" i="8" s="1"/>
  <c r="AZ31" i="7"/>
  <c r="J55" i="12"/>
  <c r="Q55" i="8"/>
  <c r="AR55" i="12" s="1"/>
  <c r="V209" i="8"/>
  <c r="R209" i="8"/>
  <c r="T209" i="8" s="1"/>
  <c r="AZ95" i="7"/>
  <c r="J209" i="12"/>
  <c r="AA124" i="10"/>
  <c r="AB124" i="10"/>
  <c r="AS346" i="12" s="1"/>
  <c r="Z124" i="10"/>
  <c r="AV389" i="5"/>
  <c r="AZ389" i="5" s="1"/>
  <c r="AU389" i="5"/>
  <c r="AQ389" i="5"/>
  <c r="AR389" i="5" s="1"/>
  <c r="AF31" i="7"/>
  <c r="AL65" i="5"/>
  <c r="AM65" i="5" s="1"/>
  <c r="AO65" i="5" s="1"/>
  <c r="AP65" i="5" s="1"/>
  <c r="BB65" i="5" s="1"/>
  <c r="F57" i="12"/>
  <c r="AU163" i="5"/>
  <c r="AQ163" i="5"/>
  <c r="AR163" i="5" s="1"/>
  <c r="AV163" i="5"/>
  <c r="AZ163" i="5" s="1"/>
  <c r="AQ343" i="5"/>
  <c r="AR343" i="5" s="1"/>
  <c r="AV343" i="5"/>
  <c r="AZ343" i="5" s="1"/>
  <c r="AU343" i="5"/>
  <c r="AF133" i="13"/>
  <c r="AS38" i="46" s="1"/>
  <c r="AL38" i="46"/>
  <c r="AK149" i="13"/>
  <c r="AF41" i="46"/>
  <c r="AT109" i="7"/>
  <c r="AQ241" i="12" s="1"/>
  <c r="AS109" i="7"/>
  <c r="AR109" i="7"/>
  <c r="V36" i="8"/>
  <c r="AR36" i="12"/>
  <c r="AE21" i="10"/>
  <c r="J36" i="12"/>
  <c r="AR92" i="12"/>
  <c r="V78" i="8"/>
  <c r="T78" i="8"/>
  <c r="R78" i="8"/>
  <c r="J78" i="12"/>
  <c r="AB55" i="10"/>
  <c r="AS140" i="12" s="1"/>
  <c r="AA55" i="10"/>
  <c r="Z55" i="10"/>
  <c r="Z81" i="10"/>
  <c r="AB81" i="10"/>
  <c r="AS216" i="12" s="1"/>
  <c r="AA81" i="10"/>
  <c r="AF142" i="7"/>
  <c r="AF104" i="7"/>
  <c r="AG104" i="7" s="1"/>
  <c r="AN104" i="7" s="1"/>
  <c r="AK38" i="13"/>
  <c r="AE19" i="46"/>
  <c r="Z117" i="10"/>
  <c r="AB117" i="10"/>
  <c r="AS324" i="12" s="1"/>
  <c r="AA117" i="10"/>
  <c r="AQ301" i="5"/>
  <c r="AR301" i="5" s="1"/>
  <c r="AU301" i="5"/>
  <c r="AV301" i="5"/>
  <c r="AZ301" i="5" s="1"/>
  <c r="AL235" i="5"/>
  <c r="AM235" i="5" s="1"/>
  <c r="AO235" i="5" s="1"/>
  <c r="AP235" i="5" s="1"/>
  <c r="BB235" i="5" s="1"/>
  <c r="J93" i="7"/>
  <c r="F203" i="12"/>
  <c r="AU314" i="5"/>
  <c r="AQ314" i="5"/>
  <c r="AR314" i="5" s="1"/>
  <c r="AV314" i="5"/>
  <c r="AZ314" i="5" s="1"/>
  <c r="AL143" i="5"/>
  <c r="AM143" i="5" s="1"/>
  <c r="AO143" i="5" s="1"/>
  <c r="AP143" i="5" s="1"/>
  <c r="BB143" i="5" s="1"/>
  <c r="F123" i="12"/>
  <c r="AL150" i="5"/>
  <c r="AM150" i="5" s="1"/>
  <c r="AO150" i="5" s="1"/>
  <c r="AP150" i="5" s="1"/>
  <c r="BB150" i="5" s="1"/>
  <c r="J52" i="10"/>
  <c r="F130" i="12"/>
  <c r="AK86" i="13"/>
  <c r="AC29" i="46"/>
  <c r="AJ112" i="7"/>
  <c r="AJ121" i="7"/>
  <c r="V312" i="8"/>
  <c r="R312" i="8"/>
  <c r="T312" i="8" s="1"/>
  <c r="Q312" i="8"/>
  <c r="AR312" i="12" s="1"/>
  <c r="AE113" i="10"/>
  <c r="J312" i="12"/>
  <c r="V320" i="8"/>
  <c r="R320" i="8"/>
  <c r="T320" i="8" s="1"/>
  <c r="AE115" i="10"/>
  <c r="Q320" i="8"/>
  <c r="AR320" i="12" s="1"/>
  <c r="J320" i="12"/>
  <c r="V220" i="8"/>
  <c r="R220" i="8"/>
  <c r="T220" i="8" s="1"/>
  <c r="J220" i="12"/>
  <c r="Q220" i="8"/>
  <c r="AR220" i="12" s="1"/>
  <c r="AA40" i="10"/>
  <c r="AB40" i="10"/>
  <c r="Z40" i="10"/>
  <c r="R178" i="8"/>
  <c r="T178" i="8" s="1"/>
  <c r="V178" i="8"/>
  <c r="AE68" i="10"/>
  <c r="J178" i="12"/>
  <c r="AJ35" i="7"/>
  <c r="AC35" i="7"/>
  <c r="AD35" i="7" s="1"/>
  <c r="AP65" i="12" s="1"/>
  <c r="AF126" i="7"/>
  <c r="AG126" i="7" s="1"/>
  <c r="AH126" i="7" s="1"/>
  <c r="AF62" i="7"/>
  <c r="AL368" i="5"/>
  <c r="AM368" i="5" s="1"/>
  <c r="AO368" i="5" s="1"/>
  <c r="AP368" i="5" s="1"/>
  <c r="BB368" i="5" s="1"/>
  <c r="F316" i="12"/>
  <c r="AL60" i="5"/>
  <c r="AM60" i="5" s="1"/>
  <c r="AO60" i="5" s="1"/>
  <c r="AP60" i="5" s="1"/>
  <c r="BB60" i="5" s="1"/>
  <c r="F52" i="12"/>
  <c r="AF115" i="13"/>
  <c r="AP35" i="46" s="1"/>
  <c r="AI35" i="46"/>
  <c r="AF42" i="13"/>
  <c r="AR20" i="46" s="1"/>
  <c r="AK20" i="46"/>
  <c r="AJ138" i="7"/>
  <c r="AJ51" i="7"/>
  <c r="R185" i="8"/>
  <c r="T185" i="8" s="1"/>
  <c r="V185" i="8"/>
  <c r="AZ85" i="7"/>
  <c r="J185" i="12"/>
  <c r="V272" i="8"/>
  <c r="R272" i="8"/>
  <c r="T272" i="8" s="1"/>
  <c r="J272" i="12"/>
  <c r="AE99" i="10"/>
  <c r="V195" i="8"/>
  <c r="R195" i="8"/>
  <c r="T195" i="8" s="1"/>
  <c r="J195" i="12"/>
  <c r="Q195" i="8"/>
  <c r="AR195" i="12" s="1"/>
  <c r="V49" i="8"/>
  <c r="R49" i="8"/>
  <c r="T49" i="8" s="1"/>
  <c r="AZ29" i="7"/>
  <c r="J49" i="12"/>
  <c r="AU409" i="5"/>
  <c r="AV409" i="5"/>
  <c r="AZ409" i="5" s="1"/>
  <c r="AQ409" i="5"/>
  <c r="AR409" i="5" s="1"/>
  <c r="Z100" i="10"/>
  <c r="AQ350" i="5"/>
  <c r="AR350" i="5" s="1"/>
  <c r="AU350" i="5"/>
  <c r="AV350" i="5"/>
  <c r="AZ350" i="5" s="1"/>
  <c r="BN21" i="46"/>
  <c r="AJ101" i="7"/>
  <c r="AC101" i="7"/>
  <c r="AD101" i="7" s="1"/>
  <c r="AP223" i="12" s="1"/>
  <c r="AJ100" i="7"/>
  <c r="AC100" i="7"/>
  <c r="AL303" i="5"/>
  <c r="AM303" i="5" s="1"/>
  <c r="AO303" i="5" s="1"/>
  <c r="AP303" i="5" s="1"/>
  <c r="BB303" i="5" s="1"/>
  <c r="J117" i="7"/>
  <c r="F261" i="12"/>
  <c r="AF46" i="13"/>
  <c r="AJ21" i="46"/>
  <c r="AJ28" i="7"/>
  <c r="AA4" i="5"/>
  <c r="Y4" i="5"/>
  <c r="AJ107" i="7"/>
  <c r="AC107" i="7"/>
  <c r="AD107" i="7" s="1"/>
  <c r="AP237" i="12" s="1"/>
  <c r="AF29" i="7"/>
  <c r="AL199" i="5"/>
  <c r="AM199" i="5" s="1"/>
  <c r="AO199" i="5" s="1"/>
  <c r="AP199" i="5" s="1"/>
  <c r="BB199" i="5" s="1"/>
  <c r="F171" i="12"/>
  <c r="AL277" i="5"/>
  <c r="AM277" i="5" s="1"/>
  <c r="AO277" i="5" s="1"/>
  <c r="AP277" i="5" s="1"/>
  <c r="BB277" i="5" s="1"/>
  <c r="J108" i="7"/>
  <c r="F239" i="12"/>
  <c r="AL200" i="5"/>
  <c r="AM200" i="5" s="1"/>
  <c r="AO200" i="5" s="1"/>
  <c r="AP200" i="5" s="1"/>
  <c r="BB200" i="5" s="1"/>
  <c r="F172" i="12"/>
  <c r="AR35" i="5"/>
  <c r="AU35" i="5"/>
  <c r="AV35" i="5"/>
  <c r="AZ35" i="5" s="1"/>
  <c r="AB70" i="10"/>
  <c r="AS182" i="12" s="1"/>
  <c r="AA70" i="10"/>
  <c r="Z70" i="10"/>
  <c r="AK133" i="13"/>
  <c r="AE38" i="46"/>
  <c r="AJ127" i="7"/>
  <c r="AM124" i="7"/>
  <c r="AL124" i="7"/>
  <c r="V216" i="8"/>
  <c r="R216" i="8"/>
  <c r="T216" i="8" s="1"/>
  <c r="Q216" i="8"/>
  <c r="AR216" i="12" s="1"/>
  <c r="J216" i="12"/>
  <c r="AE81" i="10"/>
  <c r="V23" i="8"/>
  <c r="R23" i="8"/>
  <c r="T23" i="8" s="1"/>
  <c r="J23" i="12"/>
  <c r="AZ18" i="7"/>
  <c r="Q78" i="8"/>
  <c r="AR78" i="12" s="1"/>
  <c r="AF23" i="7"/>
  <c r="AJ21" i="7"/>
  <c r="AC21" i="7"/>
  <c r="AD21" i="7" s="1"/>
  <c r="AP31" i="12" s="1"/>
  <c r="AU270" i="5"/>
  <c r="AQ270" i="5"/>
  <c r="AR270" i="5" s="1"/>
  <c r="AV270" i="5"/>
  <c r="AZ270" i="5" s="1"/>
  <c r="AK46" i="13"/>
  <c r="AC21" i="46"/>
  <c r="AF143" i="13"/>
  <c r="AS40" i="46" s="1"/>
  <c r="AL40" i="46"/>
  <c r="AR98" i="12"/>
  <c r="P90" i="8"/>
  <c r="Q90" i="8" s="1"/>
  <c r="Z42" i="10"/>
  <c r="AB42" i="10"/>
  <c r="AA42" i="10"/>
  <c r="T24" i="8"/>
  <c r="V24" i="8"/>
  <c r="AE17" i="10"/>
  <c r="Q24" i="8"/>
  <c r="AR24" i="12" s="1"/>
  <c r="J24" i="12"/>
  <c r="V242" i="8"/>
  <c r="R242" i="8"/>
  <c r="T242" i="8" s="1"/>
  <c r="AE90" i="10"/>
  <c r="J242" i="12"/>
  <c r="AM15" i="7"/>
  <c r="AL15" i="7"/>
  <c r="R225" i="8"/>
  <c r="T225" i="8" s="1"/>
  <c r="V225" i="8"/>
  <c r="AZ102" i="7"/>
  <c r="Q225" i="8"/>
  <c r="AR225" i="12" s="1"/>
  <c r="J225" i="12"/>
  <c r="V204" i="8"/>
  <c r="R204" i="8"/>
  <c r="T204" i="8" s="1"/>
  <c r="Q204" i="8"/>
  <c r="AR204" i="12" s="1"/>
  <c r="AE77" i="10"/>
  <c r="J204" i="12"/>
  <c r="R273" i="8"/>
  <c r="T273" i="8" s="1"/>
  <c r="V273" i="8"/>
  <c r="AZ122" i="7"/>
  <c r="J273" i="12"/>
  <c r="Q209" i="8"/>
  <c r="AR209" i="12" s="1"/>
  <c r="AF153" i="7"/>
  <c r="AG153" i="7" s="1"/>
  <c r="AF38" i="7"/>
  <c r="AJ74" i="7"/>
  <c r="AC74" i="7"/>
  <c r="AD74" i="7" s="1"/>
  <c r="AP157" i="12" s="1"/>
  <c r="AF118" i="7"/>
  <c r="AG118" i="7" s="1"/>
  <c r="AQ415" i="5"/>
  <c r="AR415" i="5" s="1"/>
  <c r="AU415" i="5"/>
  <c r="AV415" i="5"/>
  <c r="AZ415" i="5" s="1"/>
  <c r="AV249" i="5"/>
  <c r="AZ249" i="5" s="1"/>
  <c r="AU249" i="5"/>
  <c r="AQ249" i="5"/>
  <c r="AR249" i="5" s="1"/>
  <c r="AL203" i="5"/>
  <c r="AM203" i="5" s="1"/>
  <c r="AO203" i="5" s="1"/>
  <c r="AP203" i="5" s="1"/>
  <c r="BB203" i="5" s="1"/>
  <c r="J81" i="7"/>
  <c r="F175" i="12"/>
  <c r="AF82" i="13"/>
  <c r="AR28" i="46" s="1"/>
  <c r="AK28" i="46"/>
  <c r="AF112" i="13"/>
  <c r="AR34" i="46" s="1"/>
  <c r="AK34" i="46"/>
  <c r="AC127" i="7"/>
  <c r="R83" i="8"/>
  <c r="T83" i="8" s="1"/>
  <c r="V83" i="8"/>
  <c r="AZ43" i="7"/>
  <c r="J83" i="12"/>
  <c r="R108" i="8"/>
  <c r="T108" i="8" s="1"/>
  <c r="V108" i="8"/>
  <c r="J108" i="12"/>
  <c r="AE45" i="10"/>
  <c r="AL130" i="5"/>
  <c r="AM130" i="5" s="1"/>
  <c r="AO130" i="5" s="1"/>
  <c r="AP130" i="5" s="1"/>
  <c r="BB130" i="5" s="1"/>
  <c r="F112" i="12"/>
  <c r="AL154" i="5"/>
  <c r="AM154" i="5" s="1"/>
  <c r="AO154" i="5" s="1"/>
  <c r="AP154" i="5" s="1"/>
  <c r="BB154" i="5" s="1"/>
  <c r="F134" i="12"/>
  <c r="J54" i="10"/>
  <c r="AL106" i="5"/>
  <c r="AM106" i="5" s="1"/>
  <c r="AO106" i="5" s="1"/>
  <c r="AP106" i="5" s="1"/>
  <c r="BB106" i="5" s="1"/>
  <c r="J39" i="10"/>
  <c r="F92" i="12"/>
  <c r="AF92" i="7"/>
  <c r="AC23" i="7"/>
  <c r="AD23" i="7" s="1"/>
  <c r="AP35" i="12" s="1"/>
  <c r="AJ23" i="7"/>
  <c r="AF59" i="7"/>
  <c r="AF53" i="7"/>
  <c r="AF46" i="7"/>
  <c r="AL317" i="5"/>
  <c r="AM317" i="5" s="1"/>
  <c r="AO317" i="5" s="1"/>
  <c r="AP317" i="5" s="1"/>
  <c r="BB317" i="5" s="1"/>
  <c r="J122" i="7"/>
  <c r="F273" i="12"/>
  <c r="AL313" i="5"/>
  <c r="AM313" i="5" s="1"/>
  <c r="AO313" i="5" s="1"/>
  <c r="AP313" i="5" s="1"/>
  <c r="BB313" i="5" s="1"/>
  <c r="J120" i="7"/>
  <c r="F269" i="12"/>
  <c r="AU286" i="5"/>
  <c r="AQ286" i="5"/>
  <c r="AR286" i="5" s="1"/>
  <c r="AV286" i="5"/>
  <c r="AZ286" i="5" s="1"/>
  <c r="M118" i="9"/>
  <c r="W118" i="9" s="1"/>
  <c r="Z118" i="9" s="1"/>
  <c r="AF54" i="13"/>
  <c r="AT22" i="46" s="1"/>
  <c r="AM22" i="46"/>
  <c r="AF43" i="13"/>
  <c r="AS20" i="46" s="1"/>
  <c r="AL20" i="46"/>
  <c r="AC20" i="7"/>
  <c r="AL345" i="5"/>
  <c r="AM345" i="5" s="1"/>
  <c r="AO345" i="5" s="1"/>
  <c r="AP345" i="5" s="1"/>
  <c r="BB345" i="5" s="1"/>
  <c r="J132" i="7"/>
  <c r="F297" i="12"/>
  <c r="AJ154" i="7"/>
  <c r="AC154" i="7"/>
  <c r="AD154" i="7" s="1"/>
  <c r="AF108" i="7"/>
  <c r="AG108" i="7" s="1"/>
  <c r="AJ78" i="7"/>
  <c r="AC78" i="7"/>
  <c r="AQ354" i="5"/>
  <c r="AR354" i="5" s="1"/>
  <c r="AU354" i="5"/>
  <c r="AV354" i="5"/>
  <c r="AZ354" i="5" s="1"/>
  <c r="AL53" i="5"/>
  <c r="AM53" i="5" s="1"/>
  <c r="AO53" i="5" s="1"/>
  <c r="AP53" i="5" s="1"/>
  <c r="BB53" i="5" s="1"/>
  <c r="J28" i="7"/>
  <c r="F47" i="12"/>
  <c r="AL192" i="5"/>
  <c r="AM192" i="5" s="1"/>
  <c r="AO192" i="5" s="1"/>
  <c r="AP192" i="5" s="1"/>
  <c r="BB192" i="5" s="1"/>
  <c r="J64" i="10"/>
  <c r="F166" i="12"/>
  <c r="AL232" i="5"/>
  <c r="AM232" i="5" s="1"/>
  <c r="AO232" i="5" s="1"/>
  <c r="AP232" i="5" s="1"/>
  <c r="BB232" i="5" s="1"/>
  <c r="J75" i="10"/>
  <c r="F200" i="12"/>
  <c r="AL90" i="5"/>
  <c r="AM90" i="5" s="1"/>
  <c r="AO90" i="5" s="1"/>
  <c r="AP90" i="5" s="1"/>
  <c r="BB90" i="5" s="1"/>
  <c r="F78" i="12"/>
  <c r="AF52" i="13"/>
  <c r="AR22" i="46" s="1"/>
  <c r="AK22" i="46"/>
  <c r="AC92" i="7"/>
  <c r="AD92" i="7" s="1"/>
  <c r="V247" i="8"/>
  <c r="R247" i="8"/>
  <c r="T247" i="8" s="1"/>
  <c r="AZ111" i="7"/>
  <c r="J247" i="12"/>
  <c r="V275" i="8"/>
  <c r="R275" i="8"/>
  <c r="T275" i="8" s="1"/>
  <c r="Q275" i="8"/>
  <c r="AR275" i="12" s="1"/>
  <c r="AZ123" i="7"/>
  <c r="J275" i="12"/>
  <c r="R227" i="8"/>
  <c r="T227" i="8" s="1"/>
  <c r="V227" i="8"/>
  <c r="AZ103" i="7"/>
  <c r="Q227" i="8"/>
  <c r="AR227" i="12" s="1"/>
  <c r="J227" i="12"/>
  <c r="V33" i="8"/>
  <c r="AR33" i="12"/>
  <c r="AZ22" i="7"/>
  <c r="J33" i="12"/>
  <c r="V81" i="8"/>
  <c r="R81" i="8"/>
  <c r="T81" i="8" s="1"/>
  <c r="AZ42" i="7"/>
  <c r="J81" i="12"/>
  <c r="R77" i="8"/>
  <c r="T77" i="8"/>
  <c r="V77" i="8"/>
  <c r="J77" i="12"/>
  <c r="Q77" i="8"/>
  <c r="AR77" i="12" s="1"/>
  <c r="AZ40" i="7"/>
  <c r="AL125" i="5"/>
  <c r="AM125" i="5" s="1"/>
  <c r="AO125" i="5" s="1"/>
  <c r="AP125" i="5" s="1"/>
  <c r="BB125" i="5" s="1"/>
  <c r="F109" i="12"/>
  <c r="J54" i="7"/>
  <c r="AL95" i="5"/>
  <c r="AM95" i="5" s="1"/>
  <c r="AO95" i="5" s="1"/>
  <c r="AP95" i="5" s="1"/>
  <c r="BB95" i="5" s="1"/>
  <c r="J43" i="7"/>
  <c r="F83" i="12"/>
  <c r="AF26" i="7"/>
  <c r="AJ76" i="7"/>
  <c r="AC76" i="7"/>
  <c r="AD76" i="7" s="1"/>
  <c r="AP163" i="12" s="1"/>
  <c r="AQ228" i="5"/>
  <c r="AR228" i="5" s="1"/>
  <c r="AU228" i="5"/>
  <c r="AV228" i="5"/>
  <c r="AZ228" i="5" s="1"/>
  <c r="AU195" i="5"/>
  <c r="AQ195" i="5"/>
  <c r="AR195" i="5" s="1"/>
  <c r="AV195" i="5"/>
  <c r="AZ195" i="5" s="1"/>
  <c r="AQ294" i="5"/>
  <c r="AR294" i="5" s="1"/>
  <c r="AV294" i="5"/>
  <c r="AZ294" i="5" s="1"/>
  <c r="AU294" i="5"/>
  <c r="AU316" i="5"/>
  <c r="AQ316" i="5"/>
  <c r="AR316" i="5" s="1"/>
  <c r="AV316" i="5"/>
  <c r="AZ316" i="5" s="1"/>
  <c r="AU160" i="5"/>
  <c r="AQ160" i="5"/>
  <c r="AR160" i="5" s="1"/>
  <c r="AV160" i="5"/>
  <c r="AZ160" i="5" s="1"/>
  <c r="AF71" i="13"/>
  <c r="AQ26" i="46" s="1"/>
  <c r="R332" i="8"/>
  <c r="T332" i="8" s="1"/>
  <c r="V332" i="8"/>
  <c r="AE119" i="10"/>
  <c r="J332" i="12"/>
  <c r="R164" i="8"/>
  <c r="T164" i="8" s="1"/>
  <c r="V164" i="8"/>
  <c r="AE63" i="10"/>
  <c r="J164" i="12"/>
  <c r="AL329" i="5"/>
  <c r="AM329" i="5" s="1"/>
  <c r="AO329" i="5" s="1"/>
  <c r="AP329" i="5" s="1"/>
  <c r="BB329" i="5" s="1"/>
  <c r="F283" i="12"/>
  <c r="J126" i="7"/>
  <c r="AL68" i="5"/>
  <c r="AM68" i="5" s="1"/>
  <c r="AO68" i="5" s="1"/>
  <c r="AP68" i="5" s="1"/>
  <c r="BB68" i="5" s="1"/>
  <c r="F60" i="12"/>
  <c r="J29" i="10"/>
  <c r="AF121" i="7"/>
  <c r="AG121" i="7" s="1"/>
  <c r="AF152" i="7"/>
  <c r="AF70" i="7"/>
  <c r="AL74" i="5"/>
  <c r="AM74" i="5" s="1"/>
  <c r="AO74" i="5" s="1"/>
  <c r="AP74" i="5" s="1"/>
  <c r="BB74" i="5" s="1"/>
  <c r="F64" i="12"/>
  <c r="AL318" i="5"/>
  <c r="AM318" i="5" s="1"/>
  <c r="AO318" i="5" s="1"/>
  <c r="AP318" i="5" s="1"/>
  <c r="BB318" i="5" s="1"/>
  <c r="J100" i="10"/>
  <c r="F274" i="12"/>
  <c r="AL410" i="5"/>
  <c r="AM410" i="5" s="1"/>
  <c r="AO410" i="5" s="1"/>
  <c r="AP410" i="5" s="1"/>
  <c r="BB410" i="5" s="1"/>
  <c r="F352" i="12"/>
  <c r="AU263" i="5"/>
  <c r="AQ263" i="5"/>
  <c r="AR263" i="5" s="1"/>
  <c r="AV263" i="5"/>
  <c r="AZ263" i="5" s="1"/>
  <c r="AL173" i="5"/>
  <c r="AM173" i="5" s="1"/>
  <c r="AO173" i="5" s="1"/>
  <c r="AP173" i="5" s="1"/>
  <c r="BB173" i="5" s="1"/>
  <c r="J70" i="7"/>
  <c r="F149" i="12"/>
  <c r="AB36" i="10"/>
  <c r="AS82" i="12" s="1"/>
  <c r="AA36" i="10"/>
  <c r="Z36" i="10"/>
  <c r="AQ344" i="5"/>
  <c r="AR344" i="5" s="1"/>
  <c r="AU344" i="5"/>
  <c r="AV344" i="5"/>
  <c r="AZ344" i="5" s="1"/>
  <c r="AF58" i="13"/>
  <c r="AS23" i="46" s="1"/>
  <c r="AL23" i="46"/>
  <c r="V201" i="8"/>
  <c r="R201" i="8"/>
  <c r="T201" i="8" s="1"/>
  <c r="AZ92" i="7"/>
  <c r="Q201" i="8"/>
  <c r="AR201" i="12" s="1"/>
  <c r="J201" i="12"/>
  <c r="R116" i="8"/>
  <c r="T116" i="8" s="1"/>
  <c r="V116" i="8"/>
  <c r="Q116" i="8"/>
  <c r="AR116" i="12" s="1"/>
  <c r="AE47" i="10"/>
  <c r="J116" i="12"/>
  <c r="AB115" i="10"/>
  <c r="AS320" i="12" s="1"/>
  <c r="AA115" i="10"/>
  <c r="Z115" i="10"/>
  <c r="AL334" i="5"/>
  <c r="AM334" i="5" s="1"/>
  <c r="AO334" i="5" s="1"/>
  <c r="AP334" i="5" s="1"/>
  <c r="BB334" i="5" s="1"/>
  <c r="F288" i="12"/>
  <c r="J105" i="10"/>
  <c r="AF147" i="7"/>
  <c r="AF88" i="7"/>
  <c r="AL272" i="5"/>
  <c r="AM272" i="5" s="1"/>
  <c r="AO272" i="5" s="1"/>
  <c r="AP272" i="5" s="1"/>
  <c r="BB272" i="5" s="1"/>
  <c r="F234" i="12"/>
  <c r="AL166" i="5"/>
  <c r="AM166" i="5" s="1"/>
  <c r="AO166" i="5" s="1"/>
  <c r="AP166" i="5" s="1"/>
  <c r="BB166" i="5" s="1"/>
  <c r="F144" i="12"/>
  <c r="J57" i="10"/>
  <c r="AL340" i="5"/>
  <c r="AM340" i="5" s="1"/>
  <c r="AO340" i="5" s="1"/>
  <c r="AP340" i="5" s="1"/>
  <c r="BB340" i="5" s="1"/>
  <c r="F292" i="12"/>
  <c r="AV97" i="5"/>
  <c r="AZ97" i="5" s="1"/>
  <c r="AU97" i="5"/>
  <c r="AQ97" i="5"/>
  <c r="AR97" i="5" s="1"/>
  <c r="AL330" i="5"/>
  <c r="AM330" i="5" s="1"/>
  <c r="AO330" i="5" s="1"/>
  <c r="AP330" i="5" s="1"/>
  <c r="BB330" i="5" s="1"/>
  <c r="J103" i="10"/>
  <c r="F284" i="12"/>
  <c r="AF25" i="13"/>
  <c r="AP17" i="46" s="1"/>
  <c r="AI17" i="46"/>
  <c r="AC51" i="7"/>
  <c r="AD51" i="7" s="1"/>
  <c r="AP103" i="12" s="1"/>
  <c r="R54" i="8"/>
  <c r="T54" i="8" s="1"/>
  <c r="V54" i="8"/>
  <c r="Q54" i="8"/>
  <c r="AR54" i="12" s="1"/>
  <c r="J54" i="12"/>
  <c r="V343" i="8"/>
  <c r="R343" i="8"/>
  <c r="T343" i="8" s="1"/>
  <c r="AZ151" i="7"/>
  <c r="J343" i="12"/>
  <c r="Q49" i="8"/>
  <c r="AR49" i="12" s="1"/>
  <c r="AJ158" i="7"/>
  <c r="AC158" i="7"/>
  <c r="AF122" i="7"/>
  <c r="AG122" i="7" s="1"/>
  <c r="AJ129" i="7"/>
  <c r="AC129" i="7"/>
  <c r="AJ57" i="7"/>
  <c r="AC57" i="7"/>
  <c r="AD57" i="7" s="1"/>
  <c r="AP117" i="12" s="1"/>
  <c r="AF48" i="7"/>
  <c r="AK119" i="13"/>
  <c r="AF35" i="46"/>
  <c r="AI69" i="7"/>
  <c r="AX69" i="7"/>
  <c r="AK69" i="7"/>
  <c r="W145" i="8"/>
  <c r="H145" i="12"/>
  <c r="R340" i="8"/>
  <c r="T340" i="8" s="1"/>
  <c r="V340" i="8"/>
  <c r="J340" i="12"/>
  <c r="R307" i="8"/>
  <c r="T307" i="8" s="1"/>
  <c r="V307" i="8"/>
  <c r="AZ136" i="7"/>
  <c r="J307" i="12"/>
  <c r="R345" i="8"/>
  <c r="T345" i="8" s="1"/>
  <c r="V345" i="8"/>
  <c r="AZ152" i="7"/>
  <c r="J345" i="12"/>
  <c r="V337" i="8"/>
  <c r="R337" i="8"/>
  <c r="T337" i="8" s="1"/>
  <c r="J337" i="12"/>
  <c r="AZ149" i="7"/>
  <c r="AB129" i="10"/>
  <c r="AS360" i="12" s="1"/>
  <c r="AA129" i="10"/>
  <c r="Z129" i="10"/>
  <c r="AB95" i="10"/>
  <c r="AS260" i="12" s="1"/>
  <c r="Z95" i="10"/>
  <c r="AA95" i="10"/>
  <c r="AL326" i="5"/>
  <c r="AM326" i="5" s="1"/>
  <c r="AO326" i="5" s="1"/>
  <c r="AP326" i="5" s="1"/>
  <c r="BB326" i="5" s="1"/>
  <c r="F280" i="12"/>
  <c r="AF90" i="7"/>
  <c r="AL129" i="5"/>
  <c r="AM129" i="5" s="1"/>
  <c r="AO129" i="5" s="1"/>
  <c r="AP129" i="5" s="1"/>
  <c r="BB129" i="5" s="1"/>
  <c r="F111" i="12"/>
  <c r="AL151" i="5"/>
  <c r="AM151" i="5" s="1"/>
  <c r="AO151" i="5" s="1"/>
  <c r="AP151" i="5" s="1"/>
  <c r="BB151" i="5" s="1"/>
  <c r="F131" i="12"/>
  <c r="J63" i="7"/>
  <c r="AQ382" i="5"/>
  <c r="AR382" i="5" s="1"/>
  <c r="AU382" i="5"/>
  <c r="AV382" i="5"/>
  <c r="AZ382" i="5" s="1"/>
  <c r="R287" i="8"/>
  <c r="T287" i="8" s="1"/>
  <c r="V287" i="8"/>
  <c r="AZ128" i="7"/>
  <c r="J287" i="12"/>
  <c r="R48" i="8"/>
  <c r="T48" i="8" s="1"/>
  <c r="V48" i="8"/>
  <c r="AE25" i="10"/>
  <c r="J48" i="12"/>
  <c r="V114" i="8"/>
  <c r="R114" i="8"/>
  <c r="T114" i="8" s="1"/>
  <c r="Q114" i="8"/>
  <c r="AR114" i="12" s="1"/>
  <c r="J114" i="12"/>
  <c r="AL122" i="5"/>
  <c r="AM122" i="5" s="1"/>
  <c r="AO122" i="5" s="1"/>
  <c r="AP122" i="5" s="1"/>
  <c r="BB122" i="5" s="1"/>
  <c r="J44" i="10"/>
  <c r="F106" i="12"/>
  <c r="AF111" i="7"/>
  <c r="AF65" i="7"/>
  <c r="AL405" i="5"/>
  <c r="AM405" i="5" s="1"/>
  <c r="AO405" i="5" s="1"/>
  <c r="AP405" i="5" s="1"/>
  <c r="BB405" i="5" s="1"/>
  <c r="J154" i="7"/>
  <c r="F349" i="12"/>
  <c r="AL55" i="5"/>
  <c r="AM55" i="5" s="1"/>
  <c r="AO55" i="5" s="1"/>
  <c r="AP55" i="5" s="1"/>
  <c r="BB55" i="5" s="1"/>
  <c r="F49" i="12"/>
  <c r="J29" i="7"/>
  <c r="W122" i="9"/>
  <c r="Z122" i="9" s="1"/>
  <c r="AK115" i="13"/>
  <c r="AB35" i="46"/>
  <c r="AK42" i="13"/>
  <c r="AD20" i="46"/>
  <c r="Q287" i="8"/>
  <c r="AR287" i="12" s="1"/>
  <c r="AJ122" i="7"/>
  <c r="AC122" i="7"/>
  <c r="AD122" i="7" s="1"/>
  <c r="AP273" i="12" s="1"/>
  <c r="AQ59" i="5"/>
  <c r="AR59" i="5" s="1"/>
  <c r="AU59" i="5"/>
  <c r="AV59" i="5"/>
  <c r="AZ59" i="5" s="1"/>
  <c r="AU386" i="5"/>
  <c r="AQ386" i="5"/>
  <c r="AR386" i="5" s="1"/>
  <c r="AV386" i="5"/>
  <c r="AZ386" i="5" s="1"/>
  <c r="AJ22" i="7"/>
  <c r="AC22" i="7"/>
  <c r="AF101" i="7"/>
  <c r="AG101" i="7" s="1"/>
  <c r="AF145" i="7"/>
  <c r="AF32" i="7"/>
  <c r="AG32" i="7" s="1"/>
  <c r="AL196" i="5"/>
  <c r="AM196" i="5" s="1"/>
  <c r="AO196" i="5" s="1"/>
  <c r="AP196" i="5" s="1"/>
  <c r="BB196" i="5" s="1"/>
  <c r="J66" i="10"/>
  <c r="F170" i="12"/>
  <c r="AU79" i="5"/>
  <c r="AQ79" i="5"/>
  <c r="AR79" i="5" s="1"/>
  <c r="AV79" i="5"/>
  <c r="AZ79" i="5" s="1"/>
  <c r="AA98" i="10"/>
  <c r="Z98" i="10"/>
  <c r="AB98" i="10"/>
  <c r="AS266" i="12" s="1"/>
  <c r="AJ58" i="7"/>
  <c r="AC58" i="7"/>
  <c r="AJ145" i="7"/>
  <c r="AC145" i="7"/>
  <c r="AF128" i="7"/>
  <c r="AG128" i="7" s="1"/>
  <c r="AJ32" i="7"/>
  <c r="AC32" i="7"/>
  <c r="AL236" i="5"/>
  <c r="AM236" i="5" s="1"/>
  <c r="AO236" i="5" s="1"/>
  <c r="AP236" i="5" s="1"/>
  <c r="BB236" i="5" s="1"/>
  <c r="F204" i="12"/>
  <c r="J77" i="10"/>
  <c r="Z76" i="10"/>
  <c r="AA76" i="10" s="1"/>
  <c r="AB76" i="10" s="1"/>
  <c r="AS202" i="12" s="1"/>
  <c r="Z23" i="10"/>
  <c r="AA23" i="10" s="1"/>
  <c r="AB23" i="10" s="1"/>
  <c r="AS44" i="12" s="1"/>
  <c r="W68" i="9"/>
  <c r="Z68" i="9" s="1"/>
  <c r="AF127" i="13"/>
  <c r="AR37" i="46" s="1"/>
  <c r="AK37" i="46"/>
  <c r="AK143" i="13"/>
  <c r="AE40" i="46"/>
  <c r="V149" i="8"/>
  <c r="R149" i="8"/>
  <c r="T149" i="8" s="1"/>
  <c r="AZ70" i="7"/>
  <c r="Q149" i="8"/>
  <c r="AR149" i="12" s="1"/>
  <c r="J149" i="12"/>
  <c r="V115" i="8"/>
  <c r="R115" i="8"/>
  <c r="T115" i="8" s="1"/>
  <c r="AZ56" i="7"/>
  <c r="J115" i="12"/>
  <c r="R103" i="8"/>
  <c r="T103" i="8" s="1"/>
  <c r="V103" i="8"/>
  <c r="AZ51" i="7"/>
  <c r="J103" i="12"/>
  <c r="V357" i="8"/>
  <c r="R357" i="8"/>
  <c r="T357" i="8" s="1"/>
  <c r="J357" i="12"/>
  <c r="AZ157" i="7"/>
  <c r="AA30" i="10"/>
  <c r="Z30" i="10"/>
  <c r="AB30" i="10"/>
  <c r="AS62" i="12" s="1"/>
  <c r="AL107" i="5"/>
  <c r="AM107" i="5" s="1"/>
  <c r="AO107" i="5" s="1"/>
  <c r="AP107" i="5" s="1"/>
  <c r="BB107" i="5" s="1"/>
  <c r="F93" i="12"/>
  <c r="AF94" i="7"/>
  <c r="AJ38" i="7"/>
  <c r="AC38" i="7"/>
  <c r="AF133" i="7"/>
  <c r="AG133" i="7" s="1"/>
  <c r="BB41" i="5"/>
  <c r="J24" i="7"/>
  <c r="F37" i="12"/>
  <c r="AL292" i="5"/>
  <c r="AM292" i="5" s="1"/>
  <c r="AO292" i="5" s="1"/>
  <c r="AP292" i="5" s="1"/>
  <c r="BB292" i="5" s="1"/>
  <c r="F252" i="12"/>
  <c r="J93" i="10"/>
  <c r="AL238" i="5"/>
  <c r="AM238" i="5" s="1"/>
  <c r="AO238" i="5" s="1"/>
  <c r="AP238" i="5" s="1"/>
  <c r="BB238" i="5" s="1"/>
  <c r="J78" i="10"/>
  <c r="F206" i="12"/>
  <c r="AU214" i="5"/>
  <c r="AQ214" i="5"/>
  <c r="AR214" i="5" s="1"/>
  <c r="AV214" i="5"/>
  <c r="AZ214" i="5" s="1"/>
  <c r="W36" i="9"/>
  <c r="Z36" i="9" s="1"/>
  <c r="AF141" i="13"/>
  <c r="AQ40" i="46" s="1"/>
  <c r="AJ40" i="46"/>
  <c r="AK112" i="13"/>
  <c r="AD34" i="46"/>
  <c r="V91" i="8"/>
  <c r="R91" i="8"/>
  <c r="T91" i="8" s="1"/>
  <c r="AZ46" i="7"/>
  <c r="J91" i="12"/>
  <c r="Q91" i="8"/>
  <c r="AA53" i="10"/>
  <c r="Z53" i="10"/>
  <c r="AB53" i="10"/>
  <c r="AS132" i="12" s="1"/>
  <c r="AL78" i="5"/>
  <c r="AM78" i="5" s="1"/>
  <c r="AO78" i="5" s="1"/>
  <c r="AP78" i="5" s="1"/>
  <c r="BB78" i="5" s="1"/>
  <c r="J31" i="10"/>
  <c r="F68" i="12"/>
  <c r="AF130" i="7"/>
  <c r="AG130" i="7" s="1"/>
  <c r="AN130" i="7" s="1"/>
  <c r="AF97" i="7"/>
  <c r="AG97" i="7" s="1"/>
  <c r="AJ53" i="7"/>
  <c r="AC53" i="7"/>
  <c r="AD53" i="7" s="1"/>
  <c r="AF72" i="7"/>
  <c r="AL360" i="5"/>
  <c r="AM360" i="5" s="1"/>
  <c r="AO360" i="5" s="1"/>
  <c r="AP360" i="5" s="1"/>
  <c r="BB360" i="5" s="1"/>
  <c r="J112" i="10"/>
  <c r="F310" i="12"/>
  <c r="AQ45" i="5"/>
  <c r="AR45" i="5" s="1"/>
  <c r="AV45" i="5"/>
  <c r="AZ45" i="5" s="1"/>
  <c r="AU45" i="5"/>
  <c r="AL189" i="5"/>
  <c r="AM189" i="5" s="1"/>
  <c r="AO189" i="5" s="1"/>
  <c r="AP189" i="5" s="1"/>
  <c r="BB189" i="5" s="1"/>
  <c r="J76" i="7"/>
  <c r="F163" i="12"/>
  <c r="AL121" i="5"/>
  <c r="AM121" i="5" s="1"/>
  <c r="AO121" i="5" s="1"/>
  <c r="AP121" i="5" s="1"/>
  <c r="BB121" i="5" s="1"/>
  <c r="J52" i="7"/>
  <c r="F105" i="12"/>
  <c r="AK54" i="13"/>
  <c r="AF22" i="46"/>
  <c r="AF24" i="13"/>
  <c r="AT16" i="46" s="1"/>
  <c r="AM16" i="46"/>
  <c r="AJ150" i="7"/>
  <c r="AJ83" i="7"/>
  <c r="V28" i="8"/>
  <c r="R28" i="8"/>
  <c r="T28" i="8" s="1"/>
  <c r="J28" i="12"/>
  <c r="V315" i="8"/>
  <c r="R315" i="8"/>
  <c r="T315" i="8" s="1"/>
  <c r="J315" i="12"/>
  <c r="V62" i="8"/>
  <c r="R62" i="8"/>
  <c r="T62" i="8" s="1"/>
  <c r="AE30" i="10"/>
  <c r="J62" i="12"/>
  <c r="AQ339" i="5"/>
  <c r="AR339" i="5" s="1"/>
  <c r="AU339" i="5"/>
  <c r="AV339" i="5"/>
  <c r="AZ339" i="5" s="1"/>
  <c r="L4" i="9"/>
  <c r="AL367" i="5"/>
  <c r="AM367" i="5" s="1"/>
  <c r="AO367" i="5" s="1"/>
  <c r="AP367" i="5" s="1"/>
  <c r="BB367" i="5" s="1"/>
  <c r="F315" i="12"/>
  <c r="AL349" i="5"/>
  <c r="AM349" i="5" s="1"/>
  <c r="AO349" i="5" s="1"/>
  <c r="AP349" i="5" s="1"/>
  <c r="BB349" i="5" s="1"/>
  <c r="F301" i="12"/>
  <c r="J134" i="7"/>
  <c r="AF78" i="7"/>
  <c r="AF87" i="7"/>
  <c r="AG87" i="7" s="1"/>
  <c r="AL205" i="5"/>
  <c r="AM205" i="5" s="1"/>
  <c r="AO205" i="5" s="1"/>
  <c r="AP205" i="5" s="1"/>
  <c r="BB205" i="5" s="1"/>
  <c r="F177" i="12"/>
  <c r="J82" i="7"/>
  <c r="AL186" i="5"/>
  <c r="AM186" i="5" s="1"/>
  <c r="AO186" i="5" s="1"/>
  <c r="AP186" i="5" s="1"/>
  <c r="BB186" i="5" s="1"/>
  <c r="F160" i="12"/>
  <c r="AL261" i="5"/>
  <c r="AM261" i="5" s="1"/>
  <c r="AO261" i="5" s="1"/>
  <c r="AP261" i="5" s="1"/>
  <c r="BB261" i="5" s="1"/>
  <c r="J102" i="7"/>
  <c r="F225" i="12"/>
  <c r="AL325" i="5"/>
  <c r="AM325" i="5" s="1"/>
  <c r="AO325" i="5" s="1"/>
  <c r="AP325" i="5" s="1"/>
  <c r="BB325" i="5" s="1"/>
  <c r="F279" i="12"/>
  <c r="Z57" i="10"/>
  <c r="AA57" i="10"/>
  <c r="AB57" i="10"/>
  <c r="AS144" i="12" s="1"/>
  <c r="AF106" i="13"/>
  <c r="AQ33" i="46" s="1"/>
  <c r="AJ33" i="46"/>
  <c r="AJ47" i="7"/>
  <c r="AT44" i="7"/>
  <c r="AQ85" i="12" s="1"/>
  <c r="AS44" i="7"/>
  <c r="AR44" i="7"/>
  <c r="V351" i="8"/>
  <c r="R351" i="8"/>
  <c r="T351" i="8" s="1"/>
  <c r="J351" i="12"/>
  <c r="V76" i="8"/>
  <c r="R76" i="8"/>
  <c r="T76" i="8" s="1"/>
  <c r="J76" i="12"/>
  <c r="R206" i="8"/>
  <c r="T206" i="8" s="1"/>
  <c r="V206" i="8"/>
  <c r="AE78" i="10"/>
  <c r="J206" i="12"/>
  <c r="V234" i="8"/>
  <c r="R234" i="8"/>
  <c r="T234" i="8" s="1"/>
  <c r="J234" i="12"/>
  <c r="Q234" i="8"/>
  <c r="AR234" i="12" s="1"/>
  <c r="V59" i="8"/>
  <c r="R59" i="8"/>
  <c r="T59" i="8" s="1"/>
  <c r="AZ33" i="7"/>
  <c r="J59" i="12"/>
  <c r="V45" i="8"/>
  <c r="J45" i="12"/>
  <c r="AZ27" i="7"/>
  <c r="AR45" i="12"/>
  <c r="AL147" i="5"/>
  <c r="AM147" i="5" s="1"/>
  <c r="AO147" i="5" s="1"/>
  <c r="AP147" i="5" s="1"/>
  <c r="BB147" i="5" s="1"/>
  <c r="J61" i="7"/>
  <c r="F127" i="12"/>
  <c r="AL132" i="5"/>
  <c r="AM132" i="5" s="1"/>
  <c r="AO132" i="5" s="1"/>
  <c r="AP132" i="5" s="1"/>
  <c r="BB132" i="5" s="1"/>
  <c r="F114" i="12"/>
  <c r="AJ143" i="7"/>
  <c r="AC143" i="7"/>
  <c r="AF67" i="7"/>
  <c r="AG67" i="7" s="1"/>
  <c r="AF47" i="7"/>
  <c r="AL47" i="5"/>
  <c r="AM47" i="5" s="1"/>
  <c r="AO47" i="5" s="1"/>
  <c r="AP47" i="5" s="1"/>
  <c r="BB47" i="5" s="1"/>
  <c r="J25" i="7"/>
  <c r="F41" i="12"/>
  <c r="Z24" i="10"/>
  <c r="AA24" i="10" s="1"/>
  <c r="AB24" i="10" s="1"/>
  <c r="AS46" i="12" s="1"/>
  <c r="R39" i="10"/>
  <c r="AJ33" i="7"/>
  <c r="Z25" i="10"/>
  <c r="AA25" i="10" s="1"/>
  <c r="AL153" i="5"/>
  <c r="AM153" i="5" s="1"/>
  <c r="AO153" i="5" s="1"/>
  <c r="AP153" i="5" s="1"/>
  <c r="BB153" i="5" s="1"/>
  <c r="J64" i="7"/>
  <c r="F133" i="12"/>
  <c r="AU381" i="5"/>
  <c r="AQ381" i="5"/>
  <c r="AR381" i="5" s="1"/>
  <c r="AV381" i="5"/>
  <c r="AZ381" i="5" s="1"/>
  <c r="AF77" i="7"/>
  <c r="AG77" i="7" s="1"/>
  <c r="AF132" i="7"/>
  <c r="AG132" i="7" s="1"/>
  <c r="AL398" i="5"/>
  <c r="AM398" i="5" s="1"/>
  <c r="AO398" i="5" s="1"/>
  <c r="AP398" i="5" s="1"/>
  <c r="BB398" i="5" s="1"/>
  <c r="F342" i="12"/>
  <c r="AL271" i="5"/>
  <c r="AM271" i="5" s="1"/>
  <c r="AO271" i="5" s="1"/>
  <c r="AP271" i="5" s="1"/>
  <c r="BB271" i="5" s="1"/>
  <c r="J105" i="7"/>
  <c r="F233" i="12"/>
  <c r="AL364" i="5"/>
  <c r="AM364" i="5" s="1"/>
  <c r="AO364" i="5" s="1"/>
  <c r="AP364" i="5" s="1"/>
  <c r="BB364" i="5" s="1"/>
  <c r="F314" i="12"/>
  <c r="J114" i="10"/>
  <c r="AL181" i="5"/>
  <c r="AM181" i="5" s="1"/>
  <c r="AO181" i="5" s="1"/>
  <c r="AP181" i="5" s="1"/>
  <c r="BB181" i="5" s="1"/>
  <c r="J74" i="7"/>
  <c r="F157" i="12"/>
  <c r="AL110" i="5"/>
  <c r="AM110" i="5" s="1"/>
  <c r="AO110" i="5" s="1"/>
  <c r="AP110" i="5" s="1"/>
  <c r="BB110" i="5" s="1"/>
  <c r="J41" i="10"/>
  <c r="F96" i="12"/>
  <c r="AK58" i="13"/>
  <c r="AE23" i="46"/>
  <c r="AJ68" i="7"/>
  <c r="V243" i="8"/>
  <c r="R243" i="8"/>
  <c r="T243" i="8" s="1"/>
  <c r="J243" i="12"/>
  <c r="V274" i="8"/>
  <c r="R274" i="8"/>
  <c r="T274" i="8" s="1"/>
  <c r="Q274" i="8"/>
  <c r="AR274" i="12" s="1"/>
  <c r="AE100" i="10"/>
  <c r="J274" i="12"/>
  <c r="Q178" i="8"/>
  <c r="AR178" i="12" s="1"/>
  <c r="Z69" i="10"/>
  <c r="AB69" i="10"/>
  <c r="AS180" i="12" s="1"/>
  <c r="AA69" i="10"/>
  <c r="AA94" i="10"/>
  <c r="Z94" i="10"/>
  <c r="AB94" i="10"/>
  <c r="AS254" i="12" s="1"/>
  <c r="AQ215" i="5"/>
  <c r="AR215" i="5" s="1"/>
  <c r="AU215" i="5"/>
  <c r="AV215" i="5"/>
  <c r="AZ215" i="5" s="1"/>
  <c r="AL346" i="5"/>
  <c r="AM346" i="5" s="1"/>
  <c r="AO346" i="5" s="1"/>
  <c r="AP346" i="5" s="1"/>
  <c r="BB346" i="5" s="1"/>
  <c r="J108" i="10"/>
  <c r="F298" i="12"/>
  <c r="AF151" i="7"/>
  <c r="AF27" i="7"/>
  <c r="AG27" i="7" s="1"/>
  <c r="AJ147" i="7"/>
  <c r="AC147" i="7"/>
  <c r="AF25" i="7"/>
  <c r="AF49" i="7"/>
  <c r="AG49" i="7" s="1"/>
  <c r="AF63" i="7"/>
  <c r="AF39" i="7"/>
  <c r="AQ244" i="5"/>
  <c r="AR244" i="5" s="1"/>
  <c r="AU244" i="5"/>
  <c r="AV244" i="5"/>
  <c r="AZ244" i="5" s="1"/>
  <c r="AA118" i="10"/>
  <c r="Z118" i="10"/>
  <c r="AB118" i="10"/>
  <c r="AS326" i="12" s="1"/>
  <c r="Z105" i="10"/>
  <c r="AA105" i="10"/>
  <c r="AB105" i="10"/>
  <c r="AS288" i="12" s="1"/>
  <c r="AF85" i="13"/>
  <c r="AP29" i="46" s="1"/>
  <c r="AI29" i="46"/>
  <c r="AK25" i="13"/>
  <c r="AB17" i="46"/>
  <c r="V160" i="8"/>
  <c r="R160" i="8"/>
  <c r="T160" i="8" s="1"/>
  <c r="J160" i="12"/>
  <c r="R223" i="8"/>
  <c r="T223" i="8" s="1"/>
  <c r="V223" i="8"/>
  <c r="AZ101" i="7"/>
  <c r="J223" i="12"/>
  <c r="T295" i="8"/>
  <c r="R295" i="8"/>
  <c r="V295" i="8"/>
  <c r="AZ131" i="7"/>
  <c r="J295" i="12"/>
  <c r="V331" i="8"/>
  <c r="R331" i="8"/>
  <c r="T331" i="8" s="1"/>
  <c r="AZ146" i="7"/>
  <c r="Q331" i="8"/>
  <c r="AR331" i="12" s="1"/>
  <c r="J331" i="12"/>
  <c r="V228" i="8"/>
  <c r="R228" i="8"/>
  <c r="T228" i="8" s="1"/>
  <c r="J228" i="12"/>
  <c r="AE85" i="10"/>
  <c r="V176" i="8"/>
  <c r="R176" i="8"/>
  <c r="T176" i="8" s="1"/>
  <c r="J176" i="12"/>
  <c r="AE67" i="10"/>
  <c r="AB41" i="10"/>
  <c r="AA41" i="10"/>
  <c r="Z41" i="10"/>
  <c r="R200" i="8"/>
  <c r="T200" i="8" s="1"/>
  <c r="V200" i="8"/>
  <c r="J200" i="12"/>
  <c r="AE75" i="10"/>
  <c r="AA21" i="10"/>
  <c r="Z21" i="10"/>
  <c r="AB21" i="10"/>
  <c r="AS36" i="12" s="1"/>
  <c r="W4" i="5"/>
  <c r="AH4" i="5"/>
  <c r="AJ99" i="7"/>
  <c r="AC99" i="7"/>
  <c r="AD99" i="7" s="1"/>
  <c r="AP217" i="12" s="1"/>
  <c r="AF20" i="7"/>
  <c r="AF57" i="7"/>
  <c r="AG57" i="7" s="1"/>
  <c r="AB35" i="10"/>
  <c r="AS80" i="12" s="1"/>
  <c r="Z35" i="10"/>
  <c r="AA35" i="10"/>
  <c r="W90" i="9"/>
  <c r="Z90" i="9" s="1"/>
  <c r="K4" i="8"/>
  <c r="AJ124" i="7"/>
  <c r="AO124" i="7"/>
  <c r="V346" i="8"/>
  <c r="R346" i="8"/>
  <c r="T346" i="8" s="1"/>
  <c r="J346" i="12"/>
  <c r="AE124" i="10"/>
  <c r="AB104" i="10"/>
  <c r="AS286" i="12" s="1"/>
  <c r="AA104" i="10"/>
  <c r="Z104" i="10"/>
  <c r="AB91" i="10"/>
  <c r="AS248" i="12" s="1"/>
  <c r="AA91" i="10"/>
  <c r="Z91" i="10"/>
  <c r="Z52" i="10"/>
  <c r="AB52" i="10"/>
  <c r="AS130" i="12" s="1"/>
  <c r="AA52" i="10"/>
  <c r="AR87" i="12"/>
  <c r="AJ69" i="7"/>
  <c r="AO69" i="7"/>
  <c r="AI124" i="7"/>
  <c r="AX124" i="7"/>
  <c r="AK124" i="7"/>
  <c r="H277" i="12"/>
  <c r="W277" i="8"/>
  <c r="R212" i="8"/>
  <c r="T212" i="8" s="1"/>
  <c r="V212" i="8"/>
  <c r="AE79" i="10"/>
  <c r="J212" i="12"/>
  <c r="AU300" i="5"/>
  <c r="AQ300" i="5"/>
  <c r="AR300" i="5" s="1"/>
  <c r="AV300" i="5"/>
  <c r="AZ300" i="5" s="1"/>
  <c r="AF22" i="7"/>
  <c r="AG22" i="7" s="1"/>
  <c r="AJ128" i="7"/>
  <c r="AC128" i="7"/>
  <c r="V40" i="8"/>
  <c r="J40" i="12"/>
  <c r="AA114" i="10"/>
  <c r="Z114" i="10"/>
  <c r="AB114" i="10"/>
  <c r="AS314" i="12" s="1"/>
  <c r="AA50" i="10"/>
  <c r="Z50" i="10"/>
  <c r="AB50" i="10"/>
  <c r="AS122" i="12" s="1"/>
  <c r="AA38" i="10"/>
  <c r="Z38" i="10"/>
  <c r="AB38" i="10"/>
  <c r="AS86" i="12" s="1"/>
  <c r="AL383" i="5"/>
  <c r="AM383" i="5" s="1"/>
  <c r="AO383" i="5" s="1"/>
  <c r="AP383" i="5" s="1"/>
  <c r="BB383" i="5" s="1"/>
  <c r="J145" i="7"/>
  <c r="F329" i="12"/>
  <c r="AF113" i="7"/>
  <c r="AQ370" i="5"/>
  <c r="AR370" i="5" s="1"/>
  <c r="AU370" i="5"/>
  <c r="AV370" i="5"/>
  <c r="AZ370" i="5" s="1"/>
  <c r="AB86" i="10"/>
  <c r="AS230" i="12" s="1"/>
  <c r="AA86" i="10"/>
  <c r="Z86" i="10"/>
  <c r="AB20" i="10"/>
  <c r="AS34" i="12" s="1"/>
  <c r="AA20" i="10"/>
  <c r="Z20" i="10"/>
  <c r="AL302" i="5"/>
  <c r="AM302" i="5" s="1"/>
  <c r="AO302" i="5" s="1"/>
  <c r="AP302" i="5" s="1"/>
  <c r="BB302" i="5" s="1"/>
  <c r="J95" i="10"/>
  <c r="F260" i="12"/>
  <c r="AK80" i="13"/>
  <c r="AB28" i="46"/>
  <c r="AQ274" i="5"/>
  <c r="AR274" i="5" s="1"/>
  <c r="AU274" i="5"/>
  <c r="AV274" i="5"/>
  <c r="AZ274" i="5" s="1"/>
  <c r="AF107" i="7"/>
  <c r="AG107" i="7" s="1"/>
  <c r="AJ81" i="7"/>
  <c r="AC81" i="7"/>
  <c r="AD81" i="7" s="1"/>
  <c r="AP175" i="12" s="1"/>
  <c r="AJ79" i="7"/>
  <c r="AC79" i="7"/>
  <c r="AJ29" i="7"/>
  <c r="AC29" i="7"/>
  <c r="AD29" i="7" s="1"/>
  <c r="AP49" i="12" s="1"/>
  <c r="AJ102" i="7"/>
  <c r="AC102" i="7"/>
  <c r="AD102" i="7" s="1"/>
  <c r="AP225" i="12" s="1"/>
  <c r="AJ71" i="7"/>
  <c r="AC71" i="7"/>
  <c r="AD71" i="7" s="1"/>
  <c r="AP151" i="12" s="1"/>
  <c r="AF21" i="7"/>
  <c r="AU36" i="5"/>
  <c r="AQ36" i="5"/>
  <c r="AR36" i="5" s="1"/>
  <c r="AV36" i="5"/>
  <c r="AZ36" i="5" s="1"/>
  <c r="AL207" i="5"/>
  <c r="AM207" i="5" s="1"/>
  <c r="AO207" i="5" s="1"/>
  <c r="AP207" i="5" s="1"/>
  <c r="BB207" i="5" s="1"/>
  <c r="J83" i="7"/>
  <c r="F179" i="12"/>
  <c r="AQ246" i="5"/>
  <c r="AR246" i="5" s="1"/>
  <c r="AU246" i="5"/>
  <c r="AV246" i="5"/>
  <c r="AZ246" i="5" s="1"/>
  <c r="AL256" i="5"/>
  <c r="AM256" i="5" s="1"/>
  <c r="AO256" i="5" s="1"/>
  <c r="AP256" i="5" s="1"/>
  <c r="BB256" i="5" s="1"/>
  <c r="F220" i="12"/>
  <c r="AK21" i="13"/>
  <c r="AC16" i="46"/>
  <c r="AJ18" i="7"/>
  <c r="AV298" i="5"/>
  <c r="AZ298" i="5" s="1"/>
  <c r="AU298" i="5"/>
  <c r="AQ298" i="5"/>
  <c r="AR298" i="5" s="1"/>
  <c r="AF82" i="7"/>
  <c r="AL353" i="5"/>
  <c r="AM353" i="5" s="1"/>
  <c r="AO353" i="5" s="1"/>
  <c r="AP353" i="5" s="1"/>
  <c r="BB353" i="5" s="1"/>
  <c r="F303" i="12"/>
  <c r="AU255" i="5"/>
  <c r="AV255" i="5"/>
  <c r="AZ255" i="5" s="1"/>
  <c r="AQ255" i="5"/>
  <c r="AR255" i="5" s="1"/>
  <c r="AB66" i="10"/>
  <c r="AS170" i="12" s="1"/>
  <c r="AA66" i="10"/>
  <c r="Z66" i="10"/>
  <c r="Z37" i="10"/>
  <c r="AA37" i="10"/>
  <c r="AB37" i="10"/>
  <c r="AS84" i="12" s="1"/>
  <c r="AK62" i="13"/>
  <c r="AD24" i="46"/>
  <c r="AJ52" i="7"/>
  <c r="V147" i="8"/>
  <c r="R147" i="8"/>
  <c r="T147" i="8" s="1"/>
  <c r="J147" i="12"/>
  <c r="AX115" i="7"/>
  <c r="AI115" i="7"/>
  <c r="AK115" i="7" s="1"/>
  <c r="H257" i="12"/>
  <c r="W257" i="8"/>
  <c r="AI39" i="7"/>
  <c r="V124" i="8"/>
  <c r="T124" i="8"/>
  <c r="R124" i="8"/>
  <c r="J124" i="12"/>
  <c r="Q124" i="8"/>
  <c r="AR124" i="12" s="1"/>
  <c r="AL63" i="5"/>
  <c r="AM63" i="5" s="1"/>
  <c r="AO63" i="5" s="1"/>
  <c r="AP63" i="5" s="1"/>
  <c r="BB63" i="5" s="1"/>
  <c r="J31" i="7"/>
  <c r="F55" i="12"/>
  <c r="AJ26" i="7"/>
  <c r="AC26" i="7"/>
  <c r="AD26" i="7" s="1"/>
  <c r="AP43" i="12" s="1"/>
  <c r="AF110" i="7"/>
  <c r="AF43" i="7"/>
  <c r="AG43" i="7" s="1"/>
  <c r="AL361" i="5"/>
  <c r="AM361" i="5" s="1"/>
  <c r="AO361" i="5" s="1"/>
  <c r="AP361" i="5" s="1"/>
  <c r="BB361" i="5" s="1"/>
  <c r="J138" i="7"/>
  <c r="F311" i="12"/>
  <c r="Z77" i="10"/>
  <c r="AA77" i="10" s="1"/>
  <c r="AB77" i="10" s="1"/>
  <c r="AS204" i="12" s="1"/>
  <c r="AF117" i="13"/>
  <c r="AR35" i="46" s="1"/>
  <c r="AK35" i="46"/>
  <c r="AK73" i="13"/>
  <c r="AE26" i="46"/>
  <c r="V92" i="8"/>
  <c r="R92" i="8"/>
  <c r="T92" i="8" s="1"/>
  <c r="AE39" i="10"/>
  <c r="J92" i="12"/>
  <c r="Z101" i="10"/>
  <c r="AA101" i="10" s="1"/>
  <c r="AB101" i="10" s="1"/>
  <c r="AS276" i="12" s="1"/>
  <c r="AL164" i="5"/>
  <c r="AM164" i="5" s="1"/>
  <c r="AO164" i="5" s="1"/>
  <c r="AP164" i="5" s="1"/>
  <c r="BB164" i="5" s="1"/>
  <c r="J56" i="10"/>
  <c r="F142" i="12"/>
  <c r="AJ139" i="7"/>
  <c r="AC139" i="7"/>
  <c r="AD139" i="7" s="1"/>
  <c r="AP313" i="12" s="1"/>
  <c r="AJ70" i="7"/>
  <c r="AC70" i="7"/>
  <c r="AD70" i="7" s="1"/>
  <c r="AL69" i="5"/>
  <c r="AM69" i="5" s="1"/>
  <c r="AO69" i="5" s="1"/>
  <c r="AP69" i="5" s="1"/>
  <c r="BB69" i="5" s="1"/>
  <c r="F61" i="12"/>
  <c r="J34" i="7"/>
  <c r="AL157" i="5"/>
  <c r="AM157" i="5" s="1"/>
  <c r="AO157" i="5" s="1"/>
  <c r="AP157" i="5" s="1"/>
  <c r="BB157" i="5" s="1"/>
  <c r="F135" i="12"/>
  <c r="AK45" i="13"/>
  <c r="AB21" i="46"/>
  <c r="V100" i="8"/>
  <c r="R100" i="8"/>
  <c r="T100" i="8" s="1"/>
  <c r="Q100" i="8"/>
  <c r="AR100" i="12" s="1"/>
  <c r="J100" i="12"/>
  <c r="AL109" i="5"/>
  <c r="AM109" i="5" s="1"/>
  <c r="AO109" i="5" s="1"/>
  <c r="AP109" i="5" s="1"/>
  <c r="BB109" i="5" s="1"/>
  <c r="F95" i="12"/>
  <c r="AU102" i="5"/>
  <c r="AQ102" i="5"/>
  <c r="AR102" i="5" s="1"/>
  <c r="AV102" i="5"/>
  <c r="AZ102" i="5" s="1"/>
  <c r="AJ55" i="7"/>
  <c r="AC55" i="7"/>
  <c r="AF42" i="7"/>
  <c r="AF86" i="7"/>
  <c r="AL62" i="5"/>
  <c r="AM62" i="5" s="1"/>
  <c r="AO62" i="5" s="1"/>
  <c r="AP62" i="5" s="1"/>
  <c r="BB62" i="5" s="1"/>
  <c r="F54" i="12"/>
  <c r="AK76" i="13"/>
  <c r="AC27" i="46"/>
  <c r="Z85" i="10"/>
  <c r="AA85" i="10"/>
  <c r="AB85" i="10"/>
  <c r="AS228" i="12" s="1"/>
  <c r="R120" i="8"/>
  <c r="T120" i="8" s="1"/>
  <c r="V120" i="8"/>
  <c r="AE49" i="10"/>
  <c r="J120" i="12"/>
  <c r="AF91" i="7"/>
  <c r="AG91" i="7" s="1"/>
  <c r="AA110" i="10"/>
  <c r="Z110" i="10"/>
  <c r="AB110" i="10"/>
  <c r="AS302" i="12" s="1"/>
  <c r="AK156" i="13"/>
  <c r="AC43" i="46"/>
  <c r="AJ89" i="7"/>
  <c r="V222" i="8"/>
  <c r="R222" i="8"/>
  <c r="T222" i="8" s="1"/>
  <c r="J222" i="12"/>
  <c r="R53" i="8"/>
  <c r="T53" i="8" s="1"/>
  <c r="V53" i="8"/>
  <c r="AZ30" i="7"/>
  <c r="J53" i="12"/>
  <c r="AF30" i="7"/>
  <c r="AF120" i="7"/>
  <c r="AF103" i="7"/>
  <c r="AL273" i="5"/>
  <c r="AM273" i="5" s="1"/>
  <c r="AO273" i="5" s="1"/>
  <c r="AP273" i="5" s="1"/>
  <c r="BB273" i="5" s="1"/>
  <c r="F235" i="12"/>
  <c r="J106" i="7"/>
  <c r="AB71" i="10"/>
  <c r="AS188" i="12" s="1"/>
  <c r="Z71" i="10"/>
  <c r="AA71" i="10"/>
  <c r="AK145" i="13"/>
  <c r="AB41" i="46"/>
  <c r="V148" i="8"/>
  <c r="R148" i="8"/>
  <c r="T148" i="8" s="1"/>
  <c r="J148" i="12"/>
  <c r="R133" i="8"/>
  <c r="T133" i="8" s="1"/>
  <c r="V133" i="8"/>
  <c r="AZ64" i="7"/>
  <c r="J133" i="12"/>
  <c r="V282" i="8"/>
  <c r="T282" i="8"/>
  <c r="R282" i="8"/>
  <c r="J282" i="12"/>
  <c r="V170" i="8"/>
  <c r="R170" i="8"/>
  <c r="T170" i="8" s="1"/>
  <c r="Q170" i="8"/>
  <c r="AR170" i="12" s="1"/>
  <c r="J170" i="12"/>
  <c r="AE66" i="10"/>
  <c r="Z33" i="10"/>
  <c r="AB33" i="10"/>
  <c r="AS72" i="12" s="1"/>
  <c r="AA33" i="10"/>
  <c r="AJ133" i="7"/>
  <c r="AC133" i="7"/>
  <c r="AD133" i="7" s="1"/>
  <c r="AP299" i="12" s="1"/>
  <c r="AF137" i="7"/>
  <c r="AG137" i="7" s="1"/>
  <c r="AJ142" i="7"/>
  <c r="AC142" i="7"/>
  <c r="AB46" i="10"/>
  <c r="AS110" i="12" s="1"/>
  <c r="AA46" i="10"/>
  <c r="Z46" i="10"/>
  <c r="AJ20" i="7"/>
  <c r="R175" i="8"/>
  <c r="T175" i="8" s="1"/>
  <c r="V175" i="8"/>
  <c r="AZ81" i="7"/>
  <c r="J175" i="12"/>
  <c r="AQ331" i="5"/>
  <c r="AR331" i="5" s="1"/>
  <c r="AU331" i="5"/>
  <c r="AV331" i="5"/>
  <c r="AZ331" i="5" s="1"/>
  <c r="N4" i="10"/>
  <c r="O4" i="10" s="1"/>
  <c r="AL396" i="5"/>
  <c r="AM396" i="5" s="1"/>
  <c r="AO396" i="5" s="1"/>
  <c r="AP396" i="5" s="1"/>
  <c r="BB396" i="5" s="1"/>
  <c r="F340" i="12"/>
  <c r="AB88" i="10"/>
  <c r="AS238" i="12" s="1"/>
  <c r="AA88" i="10"/>
  <c r="Z88" i="10"/>
  <c r="AB67" i="10"/>
  <c r="AS176" i="12" s="1"/>
  <c r="AA67" i="10"/>
  <c r="Z67" i="10"/>
  <c r="AS21" i="46"/>
  <c r="AC52" i="7"/>
  <c r="AD52" i="7" s="1"/>
  <c r="AP105" i="12" s="1"/>
  <c r="AR96" i="12"/>
  <c r="AJ92" i="7"/>
  <c r="V190" i="8"/>
  <c r="R190" i="8"/>
  <c r="T190" i="8" s="1"/>
  <c r="AE72" i="10"/>
  <c r="J190" i="12"/>
  <c r="R284" i="8"/>
  <c r="T284" i="8" s="1"/>
  <c r="V284" i="8"/>
  <c r="Q284" i="8"/>
  <c r="AR284" i="12" s="1"/>
  <c r="AE103" i="10"/>
  <c r="J284" i="12"/>
  <c r="R290" i="8"/>
  <c r="T290" i="8" s="1"/>
  <c r="V290" i="8"/>
  <c r="AE106" i="10"/>
  <c r="J290" i="12"/>
  <c r="V349" i="8"/>
  <c r="R349" i="8"/>
  <c r="T349" i="8" s="1"/>
  <c r="AZ154" i="7"/>
  <c r="J349" i="12"/>
  <c r="V342" i="8"/>
  <c r="R342" i="8"/>
  <c r="T342" i="8" s="1"/>
  <c r="J342" i="12"/>
  <c r="Z112" i="10"/>
  <c r="AA112" i="10" s="1"/>
  <c r="AB112" i="10" s="1"/>
  <c r="AS310" i="12" s="1"/>
  <c r="AQ111" i="5"/>
  <c r="AR111" i="5" s="1"/>
  <c r="AU111" i="5"/>
  <c r="AV111" i="5"/>
  <c r="AZ111" i="5" s="1"/>
  <c r="AV336" i="5"/>
  <c r="AZ336" i="5" s="1"/>
  <c r="AU336" i="5"/>
  <c r="AQ336" i="5"/>
  <c r="AR336" i="5" s="1"/>
  <c r="AJ67" i="7"/>
  <c r="AC67" i="7"/>
  <c r="AF146" i="7"/>
  <c r="AJ43" i="7"/>
  <c r="AC43" i="7"/>
  <c r="AD43" i="7" s="1"/>
  <c r="AP83" i="12" s="1"/>
  <c r="AL242" i="5"/>
  <c r="AM242" i="5" s="1"/>
  <c r="AO242" i="5" s="1"/>
  <c r="AP242" i="5" s="1"/>
  <c r="BB242" i="5" s="1"/>
  <c r="F208" i="12"/>
  <c r="AL209" i="5"/>
  <c r="AM209" i="5" s="1"/>
  <c r="AO209" i="5" s="1"/>
  <c r="AP209" i="5" s="1"/>
  <c r="BB209" i="5" s="1"/>
  <c r="J84" i="7"/>
  <c r="F181" i="12"/>
  <c r="AJ31" i="7"/>
  <c r="V358" i="8"/>
  <c r="R358" i="8"/>
  <c r="T358" i="8" s="1"/>
  <c r="AE128" i="10"/>
  <c r="J358" i="12"/>
  <c r="AQ223" i="5"/>
  <c r="AR223" i="5" s="1"/>
  <c r="AU223" i="5"/>
  <c r="AV223" i="5"/>
  <c r="AZ223" i="5" s="1"/>
  <c r="AF83" i="7"/>
  <c r="AC112" i="7"/>
  <c r="AC121" i="7"/>
  <c r="AD121" i="7" s="1"/>
  <c r="AP271" i="12" s="1"/>
  <c r="R319" i="8"/>
  <c r="T319" i="8" s="1"/>
  <c r="V319" i="8"/>
  <c r="AZ141" i="7"/>
  <c r="J319" i="12"/>
  <c r="V182" i="8"/>
  <c r="R182" i="8"/>
  <c r="T182" i="8" s="1"/>
  <c r="AE70" i="10"/>
  <c r="J182" i="12"/>
  <c r="Q182" i="8"/>
  <c r="AR182" i="12" s="1"/>
  <c r="R167" i="8"/>
  <c r="T167" i="8" s="1"/>
  <c r="V167" i="8"/>
  <c r="AZ78" i="7"/>
  <c r="J167" i="12"/>
  <c r="AL177" i="5"/>
  <c r="AM177" i="5" s="1"/>
  <c r="AO177" i="5" s="1"/>
  <c r="AP177" i="5" s="1"/>
  <c r="BB177" i="5" s="1"/>
  <c r="J72" i="7"/>
  <c r="F153" i="12"/>
  <c r="AF105" i="7"/>
  <c r="AJ62" i="7"/>
  <c r="AC62" i="7"/>
  <c r="AD62" i="7" s="1"/>
  <c r="AP129" i="12" s="1"/>
  <c r="W66" i="9"/>
  <c r="Z66" i="9" s="1"/>
  <c r="AU291" i="5"/>
  <c r="AQ291" i="5"/>
  <c r="AR291" i="5" s="1"/>
  <c r="AV291" i="5"/>
  <c r="AZ291" i="5" s="1"/>
  <c r="AB83" i="10"/>
  <c r="AS224" i="12" s="1"/>
  <c r="AA83" i="10"/>
  <c r="Z83" i="10"/>
  <c r="AQ134" i="5"/>
  <c r="AR134" i="5" s="1"/>
  <c r="AU134" i="5"/>
  <c r="AV134" i="5"/>
  <c r="AZ134" i="5" s="1"/>
  <c r="AF119" i="13"/>
  <c r="AT35" i="46" s="1"/>
  <c r="AM35" i="46"/>
  <c r="AJ80" i="7"/>
  <c r="AF80" i="7"/>
  <c r="AG80" i="7" s="1"/>
  <c r="AF149" i="7"/>
  <c r="AL202" i="5"/>
  <c r="AM202" i="5" s="1"/>
  <c r="AO202" i="5" s="1"/>
  <c r="AP202" i="5" s="1"/>
  <c r="BB202" i="5" s="1"/>
  <c r="F174" i="12"/>
  <c r="AQ287" i="5"/>
  <c r="AR287" i="5" s="1"/>
  <c r="AV287" i="5"/>
  <c r="AZ287" i="5" s="1"/>
  <c r="AU287" i="5"/>
  <c r="Z90" i="10"/>
  <c r="AA90" i="10"/>
  <c r="AB90" i="10"/>
  <c r="AS242" i="12" s="1"/>
  <c r="AB73" i="10"/>
  <c r="AS192" i="12" s="1"/>
  <c r="Z73" i="10"/>
  <c r="AA73" i="10"/>
  <c r="AK127" i="13"/>
  <c r="AD37" i="46"/>
  <c r="AT28" i="46"/>
  <c r="AM28" i="46"/>
  <c r="AM18" i="7"/>
  <c r="AL18" i="7"/>
  <c r="V187" i="8"/>
  <c r="R187" i="8"/>
  <c r="T187" i="8" s="1"/>
  <c r="AZ86" i="7"/>
  <c r="J187" i="12"/>
  <c r="Q187" i="8"/>
  <c r="AR187" i="12" s="1"/>
  <c r="S90" i="8"/>
  <c r="R63" i="8"/>
  <c r="T63" i="8" s="1"/>
  <c r="V63" i="8"/>
  <c r="J63" i="12"/>
  <c r="V56" i="8"/>
  <c r="R56" i="8"/>
  <c r="T56" i="8" s="1"/>
  <c r="J56" i="12"/>
  <c r="Q56" i="8"/>
  <c r="AR56" i="12" s="1"/>
  <c r="AE27" i="10"/>
  <c r="Z60" i="10"/>
  <c r="AA60" i="10" s="1"/>
  <c r="AL219" i="5"/>
  <c r="AM219" i="5" s="1"/>
  <c r="AO219" i="5" s="1"/>
  <c r="AP219" i="5" s="1"/>
  <c r="BB219" i="5" s="1"/>
  <c r="J87" i="7"/>
  <c r="F189" i="12"/>
  <c r="AL304" i="5"/>
  <c r="AM304" i="5" s="1"/>
  <c r="AO304" i="5" s="1"/>
  <c r="AP304" i="5" s="1"/>
  <c r="BB304" i="5" s="1"/>
  <c r="F262" i="12"/>
  <c r="J96" i="10"/>
  <c r="AF138" i="7"/>
  <c r="AF74" i="7"/>
  <c r="AG74" i="7" s="1"/>
  <c r="AL204" i="5"/>
  <c r="AM204" i="5" s="1"/>
  <c r="AO204" i="5" s="1"/>
  <c r="AP204" i="5" s="1"/>
  <c r="BB204" i="5" s="1"/>
  <c r="F176" i="12"/>
  <c r="J67" i="10"/>
  <c r="BB37" i="5"/>
  <c r="J22" i="7"/>
  <c r="F33" i="12"/>
  <c r="AL185" i="5"/>
  <c r="AM185" i="5" s="1"/>
  <c r="AO185" i="5" s="1"/>
  <c r="AP185" i="5" s="1"/>
  <c r="BB185" i="5" s="1"/>
  <c r="F159" i="12"/>
  <c r="AL288" i="5"/>
  <c r="AM288" i="5" s="1"/>
  <c r="AO288" i="5" s="1"/>
  <c r="AP288" i="5" s="1"/>
  <c r="BB288" i="5" s="1"/>
  <c r="F248" i="12"/>
  <c r="J91" i="10"/>
  <c r="AA82" i="10"/>
  <c r="Z82" i="10"/>
  <c r="AB82" i="10"/>
  <c r="AS218" i="12" s="1"/>
  <c r="AL112" i="5"/>
  <c r="AM112" i="5" s="1"/>
  <c r="AO112" i="5" s="1"/>
  <c r="AP112" i="5" s="1"/>
  <c r="BB112" i="5" s="1"/>
  <c r="J42" i="10"/>
  <c r="F98" i="12"/>
  <c r="Z47" i="13"/>
  <c r="AB47" i="13"/>
  <c r="AD47" i="13" s="1"/>
  <c r="AJ60" i="7"/>
  <c r="AJ63" i="7"/>
  <c r="R155" i="8"/>
  <c r="T155" i="8" s="1"/>
  <c r="V155" i="8"/>
  <c r="AZ73" i="7"/>
  <c r="J155" i="12"/>
  <c r="V71" i="8"/>
  <c r="R71" i="8"/>
  <c r="T71" i="8" s="1"/>
  <c r="AZ38" i="7"/>
  <c r="Q71" i="8"/>
  <c r="AR71" i="12" s="1"/>
  <c r="J71" i="12"/>
  <c r="Q282" i="8"/>
  <c r="AR282" i="12" s="1"/>
  <c r="R31" i="8"/>
  <c r="T31" i="8" s="1"/>
  <c r="V31" i="8"/>
  <c r="AZ21" i="7"/>
  <c r="J31" i="12"/>
  <c r="W41" i="9"/>
  <c r="AL144" i="5"/>
  <c r="AM144" i="5" s="1"/>
  <c r="AO144" i="5" s="1"/>
  <c r="AP144" i="5" s="1"/>
  <c r="BB144" i="5" s="1"/>
  <c r="F124" i="12"/>
  <c r="AF140" i="7"/>
  <c r="AG140" i="7" s="1"/>
  <c r="AN140" i="7" s="1"/>
  <c r="AF28" i="7"/>
  <c r="AG28" i="7" s="1"/>
  <c r="AL208" i="5"/>
  <c r="AM208" i="5" s="1"/>
  <c r="AO208" i="5" s="1"/>
  <c r="AP208" i="5" s="1"/>
  <c r="BB208" i="5" s="1"/>
  <c r="F180" i="12"/>
  <c r="J69" i="10"/>
  <c r="AL75" i="5"/>
  <c r="AM75" i="5" s="1"/>
  <c r="AO75" i="5" s="1"/>
  <c r="AP75" i="5" s="1"/>
  <c r="BB75" i="5" s="1"/>
  <c r="J35" i="7"/>
  <c r="F65" i="12"/>
  <c r="AF96" i="13"/>
  <c r="AQ31" i="46" s="1"/>
  <c r="AJ31" i="46"/>
  <c r="AI150" i="7"/>
  <c r="AK150" i="7" s="1"/>
  <c r="AX150" i="7"/>
  <c r="H341" i="12"/>
  <c r="W341" i="8"/>
  <c r="AI16" i="7"/>
  <c r="AK16" i="7" s="1"/>
  <c r="AX16" i="7"/>
  <c r="W19" i="8"/>
  <c r="H19" i="12"/>
  <c r="AJ131" i="7"/>
  <c r="AL94" i="5"/>
  <c r="AM94" i="5" s="1"/>
  <c r="AO94" i="5" s="1"/>
  <c r="AP94" i="5" s="1"/>
  <c r="BB94" i="5" s="1"/>
  <c r="J36" i="10"/>
  <c r="F82" i="12"/>
  <c r="AL152" i="5"/>
  <c r="AM152" i="5" s="1"/>
  <c r="AO152" i="5" s="1"/>
  <c r="AP152" i="5" s="1"/>
  <c r="BB152" i="5" s="1"/>
  <c r="J53" i="10"/>
  <c r="F132" i="12"/>
  <c r="AF154" i="7"/>
  <c r="AG154" i="7" s="1"/>
  <c r="AN154" i="7" s="1"/>
  <c r="AJ95" i="7"/>
  <c r="AC95" i="7"/>
  <c r="AD95" i="7" s="1"/>
  <c r="AP209" i="12" s="1"/>
  <c r="AL234" i="5"/>
  <c r="AM234" i="5" s="1"/>
  <c r="AO234" i="5" s="1"/>
  <c r="AP234" i="5" s="1"/>
  <c r="BB234" i="5" s="1"/>
  <c r="J76" i="10"/>
  <c r="F202" i="12"/>
  <c r="AL363" i="5"/>
  <c r="AM363" i="5" s="1"/>
  <c r="AO363" i="5" s="1"/>
  <c r="AP363" i="5" s="1"/>
  <c r="BB363" i="5" s="1"/>
  <c r="F313" i="12"/>
  <c r="J139" i="7"/>
  <c r="AQ135" i="5"/>
  <c r="AR135" i="5" s="1"/>
  <c r="AU135" i="5"/>
  <c r="AV135" i="5"/>
  <c r="AZ135" i="5" s="1"/>
  <c r="AL333" i="5"/>
  <c r="AM333" i="5" s="1"/>
  <c r="AO333" i="5" s="1"/>
  <c r="AP333" i="5" s="1"/>
  <c r="BB333" i="5" s="1"/>
  <c r="F287" i="12"/>
  <c r="J128" i="7"/>
  <c r="AK106" i="13"/>
  <c r="AC33" i="46"/>
  <c r="V189" i="8"/>
  <c r="R189" i="8"/>
  <c r="T189" i="8" s="1"/>
  <c r="AZ87" i="7"/>
  <c r="J189" i="12"/>
  <c r="R318" i="8"/>
  <c r="T318" i="8" s="1"/>
  <c r="V318" i="8"/>
  <c r="J318" i="12"/>
  <c r="R105" i="8"/>
  <c r="T105" i="8" s="1"/>
  <c r="V105" i="8"/>
  <c r="Q105" i="8"/>
  <c r="AR105" i="12" s="1"/>
  <c r="AZ52" i="7"/>
  <c r="J105" i="12"/>
  <c r="AB64" i="10"/>
  <c r="AS166" i="12" s="1"/>
  <c r="Z64" i="10"/>
  <c r="AA64" i="10"/>
  <c r="AB123" i="10"/>
  <c r="AS344" i="12" s="1"/>
  <c r="Z123" i="10"/>
  <c r="AA123" i="10"/>
  <c r="AF76" i="7"/>
  <c r="AG76" i="7" s="1"/>
  <c r="AL66" i="5"/>
  <c r="AM66" i="5" s="1"/>
  <c r="AO66" i="5" s="1"/>
  <c r="AP66" i="5" s="1"/>
  <c r="BB66" i="5" s="1"/>
  <c r="J28" i="10"/>
  <c r="F58" i="12"/>
  <c r="AJ148" i="7"/>
  <c r="R253" i="8"/>
  <c r="T253" i="8" s="1"/>
  <c r="V253" i="8"/>
  <c r="AZ114" i="7"/>
  <c r="J253" i="12"/>
  <c r="AL175" i="5"/>
  <c r="AM175" i="5" s="1"/>
  <c r="AO175" i="5" s="1"/>
  <c r="AP175" i="5" s="1"/>
  <c r="BB175" i="5" s="1"/>
  <c r="F151" i="12"/>
  <c r="J71" i="7"/>
  <c r="AJ157" i="7"/>
  <c r="AC157" i="7"/>
  <c r="AJ77" i="7"/>
  <c r="AC77" i="7"/>
  <c r="AF36" i="7"/>
  <c r="AG36" i="7" s="1"/>
  <c r="AJ132" i="7"/>
  <c r="AC132" i="7"/>
  <c r="AD132" i="7" s="1"/>
  <c r="AP297" i="12" s="1"/>
  <c r="AL412" i="5"/>
  <c r="AM412" i="5" s="1"/>
  <c r="AO412" i="5" s="1"/>
  <c r="AP412" i="5" s="1"/>
  <c r="BB412" i="5" s="1"/>
  <c r="F354" i="12"/>
  <c r="AL231" i="5"/>
  <c r="AM231" i="5" s="1"/>
  <c r="AO231" i="5" s="1"/>
  <c r="AP231" i="5" s="1"/>
  <c r="BB231" i="5" s="1"/>
  <c r="J91" i="7"/>
  <c r="F199" i="12"/>
  <c r="AL356" i="5"/>
  <c r="AM356" i="5" s="1"/>
  <c r="AO356" i="5" s="1"/>
  <c r="AP356" i="5" s="1"/>
  <c r="BB356" i="5" s="1"/>
  <c r="F306" i="12"/>
  <c r="AL217" i="5"/>
  <c r="AM217" i="5" s="1"/>
  <c r="AO217" i="5" s="1"/>
  <c r="AP217" i="5" s="1"/>
  <c r="BB217" i="5" s="1"/>
  <c r="J86" i="7"/>
  <c r="F187" i="12"/>
  <c r="Z27" i="10"/>
  <c r="AL118" i="5"/>
  <c r="AM118" i="5" s="1"/>
  <c r="AO118" i="5" s="1"/>
  <c r="AP118" i="5" s="1"/>
  <c r="BB118" i="5" s="1"/>
  <c r="F102" i="12"/>
  <c r="AF98" i="13"/>
  <c r="AS31" i="46" s="1"/>
  <c r="AL31" i="46"/>
  <c r="Q272" i="8"/>
  <c r="AR272" i="12" s="1"/>
  <c r="R46" i="8"/>
  <c r="T46" i="8" s="1"/>
  <c r="V46" i="8"/>
  <c r="Q46" i="8"/>
  <c r="AR46" i="12" s="1"/>
  <c r="AE24" i="10"/>
  <c r="J46" i="12"/>
  <c r="R232" i="8"/>
  <c r="T232" i="8" s="1"/>
  <c r="V232" i="8"/>
  <c r="J232" i="12"/>
  <c r="R361" i="8"/>
  <c r="T361" i="8" s="1"/>
  <c r="V361" i="8"/>
  <c r="AZ159" i="7"/>
  <c r="J361" i="12"/>
  <c r="Q342" i="8"/>
  <c r="AR342" i="12" s="1"/>
  <c r="AB43" i="10"/>
  <c r="AS104" i="12" s="1"/>
  <c r="Z43" i="10"/>
  <c r="AA43" i="10"/>
  <c r="AL305" i="5"/>
  <c r="AM305" i="5" s="1"/>
  <c r="AO305" i="5" s="1"/>
  <c r="AP305" i="5" s="1"/>
  <c r="BB305" i="5" s="1"/>
  <c r="J118" i="7"/>
  <c r="F263" i="12"/>
  <c r="AL168" i="5"/>
  <c r="AM168" i="5" s="1"/>
  <c r="AO168" i="5" s="1"/>
  <c r="AP168" i="5" s="1"/>
  <c r="BB168" i="5" s="1"/>
  <c r="J58" i="10"/>
  <c r="F146" i="12"/>
  <c r="AF93" i="7"/>
  <c r="AG93" i="7" s="1"/>
  <c r="AJ27" i="7"/>
  <c r="AC27" i="7"/>
  <c r="AF68" i="7"/>
  <c r="AG68" i="7" s="1"/>
  <c r="AJ88" i="7"/>
  <c r="AC88" i="7"/>
  <c r="AD88" i="7" s="1"/>
  <c r="AJ25" i="7"/>
  <c r="AC25" i="7"/>
  <c r="AD25" i="7" s="1"/>
  <c r="AP41" i="12" s="1"/>
  <c r="AJ49" i="7"/>
  <c r="AC49" i="7"/>
  <c r="AQ320" i="5"/>
  <c r="AR320" i="5" s="1"/>
  <c r="AV320" i="5"/>
  <c r="AZ320" i="5" s="1"/>
  <c r="AU320" i="5"/>
  <c r="AL137" i="5"/>
  <c r="AM137" i="5" s="1"/>
  <c r="AO137" i="5" s="1"/>
  <c r="AP137" i="5" s="1"/>
  <c r="BB137" i="5" s="1"/>
  <c r="J58" i="7"/>
  <c r="F119" i="12"/>
  <c r="BE28" i="5"/>
  <c r="AX28" i="5"/>
  <c r="BH28" i="5" s="1"/>
  <c r="AX22" i="5"/>
  <c r="R244" i="8"/>
  <c r="T244" i="8" s="1"/>
  <c r="V244" i="8"/>
  <c r="J244" i="12"/>
  <c r="V236" i="8"/>
  <c r="R236" i="8"/>
  <c r="T236" i="8" s="1"/>
  <c r="J236" i="12"/>
  <c r="Q236" i="8"/>
  <c r="AR236" i="12" s="1"/>
  <c r="AE87" i="10"/>
  <c r="AB54" i="10"/>
  <c r="AS134" i="12" s="1"/>
  <c r="AA54" i="10"/>
  <c r="Z54" i="10"/>
  <c r="R161" i="8"/>
  <c r="V161" i="8"/>
  <c r="T161" i="8"/>
  <c r="AZ75" i="7"/>
  <c r="J161" i="12"/>
  <c r="AF158" i="7"/>
  <c r="AG158" i="7" s="1"/>
  <c r="AF129" i="7"/>
  <c r="AF127" i="7"/>
  <c r="AL89" i="5"/>
  <c r="AM89" i="5" s="1"/>
  <c r="AO89" i="5" s="1"/>
  <c r="AP89" i="5" s="1"/>
  <c r="BB89" i="5" s="1"/>
  <c r="F77" i="12"/>
  <c r="J40" i="7"/>
  <c r="AQ136" i="5"/>
  <c r="AR136" i="5" s="1"/>
  <c r="AU136" i="5"/>
  <c r="AV136" i="5"/>
  <c r="AZ136" i="5" s="1"/>
  <c r="AB26" i="10"/>
  <c r="AS50" i="12" s="1"/>
  <c r="AA26" i="10"/>
  <c r="Z26" i="10"/>
  <c r="AB51" i="10"/>
  <c r="AS128" i="12" s="1"/>
  <c r="AA51" i="10"/>
  <c r="Z51" i="10"/>
  <c r="AB107" i="10"/>
  <c r="AS296" i="12" s="1"/>
  <c r="Z107" i="10"/>
  <c r="AA107" i="10"/>
  <c r="AJ65" i="7"/>
  <c r="Z75" i="10"/>
  <c r="AA75" i="10" s="1"/>
  <c r="AJ15" i="7"/>
  <c r="V186" i="8"/>
  <c r="R186" i="8"/>
  <c r="T186" i="8" s="1"/>
  <c r="J186" i="12"/>
  <c r="AL335" i="5"/>
  <c r="AM335" i="5" s="1"/>
  <c r="AO335" i="5" s="1"/>
  <c r="AP335" i="5" s="1"/>
  <c r="BB335" i="5" s="1"/>
  <c r="J129" i="7"/>
  <c r="F289" i="12"/>
  <c r="AF58" i="7"/>
  <c r="AF24" i="7"/>
  <c r="AG24" i="7" s="1"/>
  <c r="AN24" i="7" s="1"/>
  <c r="AJ149" i="7"/>
  <c r="AC149" i="7"/>
  <c r="AL34" i="5"/>
  <c r="AM34" i="5" s="1"/>
  <c r="BB34" i="5" s="1"/>
  <c r="F30" i="12"/>
  <c r="Z59" i="10"/>
  <c r="AA59" i="10" s="1"/>
  <c r="AB59" i="10" s="1"/>
  <c r="AS152" i="12" s="1"/>
  <c r="AL172" i="5"/>
  <c r="AM172" i="5" s="1"/>
  <c r="AO172" i="5" s="1"/>
  <c r="AP172" i="5" s="1"/>
  <c r="BB172" i="5" s="1"/>
  <c r="F148" i="12"/>
  <c r="AF45" i="13"/>
  <c r="AI21" i="46"/>
  <c r="AF80" i="13"/>
  <c r="AP28" i="46" s="1"/>
  <c r="AI28" i="46"/>
  <c r="AK84" i="13"/>
  <c r="AF28" i="46"/>
  <c r="AB119" i="10"/>
  <c r="AS332" i="12" s="1"/>
  <c r="AA119" i="10"/>
  <c r="Z119" i="10"/>
  <c r="Q346" i="8"/>
  <c r="AR346" i="12" s="1"/>
  <c r="V257" i="8"/>
  <c r="R257" i="8"/>
  <c r="T257" i="8" s="1"/>
  <c r="AZ115" i="7"/>
  <c r="Q257" i="8"/>
  <c r="AR257" i="12" s="1"/>
  <c r="J257" i="12"/>
  <c r="V262" i="8"/>
  <c r="R262" i="8"/>
  <c r="T262" i="8" s="1"/>
  <c r="J262" i="12"/>
  <c r="AE96" i="10"/>
  <c r="Q357" i="8"/>
  <c r="AR357" i="12" s="1"/>
  <c r="AJ135" i="7"/>
  <c r="AC135" i="7"/>
  <c r="AD135" i="7" s="1"/>
  <c r="AP305" i="12" s="1"/>
  <c r="AJ61" i="7"/>
  <c r="AC61" i="7"/>
  <c r="AD61" i="7" s="1"/>
  <c r="AP127" i="12" s="1"/>
  <c r="AL358" i="5"/>
  <c r="AM358" i="5" s="1"/>
  <c r="AO358" i="5" s="1"/>
  <c r="AP358" i="5" s="1"/>
  <c r="BB358" i="5" s="1"/>
  <c r="J111" i="10"/>
  <c r="F308" i="12"/>
  <c r="AC63" i="7"/>
  <c r="AD63" i="7" s="1"/>
  <c r="AP131" i="12" s="1"/>
  <c r="R338" i="8"/>
  <c r="T338" i="8" s="1"/>
  <c r="V338" i="8"/>
  <c r="J338" i="12"/>
  <c r="AE122" i="10"/>
  <c r="Q115" i="8"/>
  <c r="AR115" i="12" s="1"/>
  <c r="R261" i="8"/>
  <c r="T261" i="8" s="1"/>
  <c r="V261" i="8"/>
  <c r="AZ117" i="7"/>
  <c r="J261" i="12"/>
  <c r="V218" i="8"/>
  <c r="R218" i="8"/>
  <c r="T218" i="8" s="1"/>
  <c r="AE82" i="10"/>
  <c r="J218" i="12"/>
  <c r="AA106" i="10"/>
  <c r="Z106" i="10"/>
  <c r="AB106" i="10"/>
  <c r="AS290" i="12" s="1"/>
  <c r="AQ149" i="5"/>
  <c r="AR149" i="5" s="1"/>
  <c r="AU149" i="5"/>
  <c r="AV149" i="5"/>
  <c r="AZ149" i="5" s="1"/>
  <c r="AU178" i="5"/>
  <c r="AQ178" i="5"/>
  <c r="AR178" i="5" s="1"/>
  <c r="AV178" i="5"/>
  <c r="AZ178" i="5" s="1"/>
  <c r="AF75" i="7"/>
  <c r="AG75" i="7" s="1"/>
  <c r="AJ140" i="7"/>
  <c r="AC140" i="7"/>
  <c r="AD140" i="7" s="1"/>
  <c r="AF41" i="7"/>
  <c r="AG41" i="7" s="1"/>
  <c r="AF117" i="7"/>
  <c r="AL355" i="5"/>
  <c r="AM355" i="5" s="1"/>
  <c r="AO355" i="5" s="1"/>
  <c r="AP355" i="5" s="1"/>
  <c r="BB355" i="5" s="1"/>
  <c r="J135" i="7"/>
  <c r="F305" i="12"/>
  <c r="AF60" i="7"/>
  <c r="AG60" i="7" s="1"/>
  <c r="AL193" i="5"/>
  <c r="AM193" i="5" s="1"/>
  <c r="AO193" i="5" s="1"/>
  <c r="AP193" i="5" s="1"/>
  <c r="BB193" i="5" s="1"/>
  <c r="J78" i="7"/>
  <c r="F167" i="12"/>
  <c r="AL278" i="5"/>
  <c r="AM278" i="5" s="1"/>
  <c r="AO278" i="5" s="1"/>
  <c r="AP278" i="5" s="1"/>
  <c r="BB278" i="5" s="1"/>
  <c r="J89" i="10"/>
  <c r="F240" i="12"/>
  <c r="AQ167" i="5"/>
  <c r="AR167" i="5" s="1"/>
  <c r="AU167" i="5"/>
  <c r="AV167" i="5"/>
  <c r="AZ167" i="5" s="1"/>
  <c r="AL162" i="5"/>
  <c r="AM162" i="5" s="1"/>
  <c r="AO162" i="5" s="1"/>
  <c r="AP162" i="5" s="1"/>
  <c r="BB162" i="5" s="1"/>
  <c r="J55" i="10"/>
  <c r="F140" i="12"/>
  <c r="AL120" i="5"/>
  <c r="AM120" i="5" s="1"/>
  <c r="AO120" i="5" s="1"/>
  <c r="AP120" i="5" s="1"/>
  <c r="BB120" i="5" s="1"/>
  <c r="F104" i="12"/>
  <c r="J43" i="10"/>
  <c r="AD150" i="7"/>
  <c r="AP341" i="12" s="1"/>
  <c r="AC131" i="7"/>
  <c r="V39" i="8"/>
  <c r="J39" i="12"/>
  <c r="AL131" i="5"/>
  <c r="AM131" i="5" s="1"/>
  <c r="AO131" i="5" s="1"/>
  <c r="AP131" i="5" s="1"/>
  <c r="BB131" i="5" s="1"/>
  <c r="J55" i="7"/>
  <c r="F113" i="12"/>
  <c r="AJ136" i="7"/>
  <c r="AC136" i="7"/>
  <c r="AF95" i="7"/>
  <c r="AF51" i="7"/>
  <c r="AG51" i="7" s="1"/>
  <c r="AL341" i="5"/>
  <c r="AM341" i="5" s="1"/>
  <c r="AO341" i="5" s="1"/>
  <c r="AP341" i="5" s="1"/>
  <c r="BB341" i="5" s="1"/>
  <c r="J130" i="7"/>
  <c r="F293" i="12"/>
  <c r="AA120" i="10"/>
  <c r="AB120" i="10"/>
  <c r="AS334" i="12" s="1"/>
  <c r="Z120" i="10"/>
  <c r="AU126" i="5"/>
  <c r="AQ126" i="5"/>
  <c r="AR126" i="5" s="1"/>
  <c r="AV126" i="5"/>
  <c r="AZ126" i="5" s="1"/>
  <c r="AF92" i="13"/>
  <c r="AR30" i="46" s="1"/>
  <c r="AK30" i="46"/>
  <c r="AC47" i="7"/>
  <c r="AT114" i="7"/>
  <c r="AQ253" i="12" s="1"/>
  <c r="AS114" i="7"/>
  <c r="AR114" i="7"/>
  <c r="V191" i="8"/>
  <c r="R191" i="8"/>
  <c r="T191" i="8" s="1"/>
  <c r="AZ88" i="7"/>
  <c r="J191" i="12"/>
  <c r="R339" i="8"/>
  <c r="T339" i="8" s="1"/>
  <c r="V339" i="8"/>
  <c r="J339" i="12"/>
  <c r="Q339" i="8"/>
  <c r="AR339" i="12" s="1"/>
  <c r="Q191" i="8"/>
  <c r="AR191" i="12" s="1"/>
  <c r="AL115" i="5"/>
  <c r="AM115" i="5" s="1"/>
  <c r="AO115" i="5" s="1"/>
  <c r="AP115" i="5" s="1"/>
  <c r="BB115" i="5" s="1"/>
  <c r="F99" i="12"/>
  <c r="AF106" i="7"/>
  <c r="AF143" i="7"/>
  <c r="AG143" i="7" s="1"/>
  <c r="AF112" i="7"/>
  <c r="AF125" i="7"/>
  <c r="AQ52" i="5"/>
  <c r="AR52" i="5" s="1"/>
  <c r="AU52" i="5"/>
  <c r="AV52" i="5"/>
  <c r="AZ52" i="5" s="1"/>
  <c r="AU210" i="5"/>
  <c r="AQ210" i="5"/>
  <c r="AR210" i="5" s="1"/>
  <c r="AV210" i="5"/>
  <c r="AZ210" i="5" s="1"/>
  <c r="AL93" i="5"/>
  <c r="AM93" i="5" s="1"/>
  <c r="AO93" i="5" s="1"/>
  <c r="AP93" i="5" s="1"/>
  <c r="BB93" i="5" s="1"/>
  <c r="J42" i="7"/>
  <c r="F81" i="12"/>
  <c r="Z130" i="10"/>
  <c r="AB130" i="10"/>
  <c r="AS362" i="12" s="1"/>
  <c r="AA130" i="10"/>
  <c r="AF29" i="13"/>
  <c r="AT17" i="46" s="1"/>
  <c r="AM17" i="46"/>
  <c r="AF15" i="13"/>
  <c r="AP15" i="46" s="1"/>
  <c r="AI15" i="46"/>
  <c r="AC148" i="7"/>
  <c r="Z28" i="10"/>
  <c r="AA28" i="10" s="1"/>
  <c r="AB28" i="10" s="1"/>
  <c r="AS58" i="12" s="1"/>
  <c r="Q232" i="8"/>
  <c r="AR232" i="12" s="1"/>
  <c r="Q253" i="8"/>
  <c r="AR253" i="12" s="1"/>
  <c r="AF157" i="7"/>
  <c r="AJ98" i="7"/>
  <c r="AC98" i="7"/>
  <c r="AJ36" i="7"/>
  <c r="AC36" i="7"/>
  <c r="AL397" i="5"/>
  <c r="AM397" i="5" s="1"/>
  <c r="AO397" i="5" s="1"/>
  <c r="AP397" i="5" s="1"/>
  <c r="BB397" i="5" s="1"/>
  <c r="F341" i="12"/>
  <c r="J150" i="7"/>
  <c r="AL87" i="5"/>
  <c r="AM87" i="5" s="1"/>
  <c r="AO87" i="5" s="1"/>
  <c r="AP87" i="5" s="1"/>
  <c r="BB87" i="5" s="1"/>
  <c r="F75" i="12"/>
  <c r="W20" i="9"/>
  <c r="Z20" i="9" s="1"/>
  <c r="AK98" i="13"/>
  <c r="AE31" i="46"/>
  <c r="V152" i="8"/>
  <c r="R152" i="8"/>
  <c r="T152" i="8" s="1"/>
  <c r="AE59" i="10"/>
  <c r="Q152" i="8"/>
  <c r="AR152" i="12" s="1"/>
  <c r="J152" i="12"/>
  <c r="V132" i="8"/>
  <c r="R132" i="8"/>
  <c r="T132" i="8" s="1"/>
  <c r="AE53" i="10"/>
  <c r="Q132" i="8"/>
  <c r="AR132" i="12" s="1"/>
  <c r="J132" i="12"/>
  <c r="Q120" i="8"/>
  <c r="AR120" i="12" s="1"/>
  <c r="V306" i="8"/>
  <c r="R306" i="8"/>
  <c r="T306" i="8" s="1"/>
  <c r="J306" i="12"/>
  <c r="F43" i="12"/>
  <c r="J26" i="7"/>
  <c r="AL283" i="5"/>
  <c r="AM283" i="5" s="1"/>
  <c r="AO283" i="5" s="1"/>
  <c r="AP283" i="5" s="1"/>
  <c r="BB283" i="5" s="1"/>
  <c r="F243" i="12"/>
  <c r="AF134" i="7"/>
  <c r="AG134" i="7" s="1"/>
  <c r="AN134" i="7" s="1"/>
  <c r="AF33" i="7"/>
  <c r="AG33" i="7" s="1"/>
  <c r="AF85" i="7"/>
  <c r="AG85" i="7" s="1"/>
  <c r="AF37" i="7"/>
  <c r="AL82" i="5"/>
  <c r="AM82" i="5" s="1"/>
  <c r="AO82" i="5" s="1"/>
  <c r="AP82" i="5" s="1"/>
  <c r="BB82" i="5" s="1"/>
  <c r="F72" i="12"/>
  <c r="J33" i="10"/>
  <c r="AV359" i="5"/>
  <c r="AZ359" i="5" s="1"/>
  <c r="AU359" i="5"/>
  <c r="AQ359" i="5"/>
  <c r="AR359" i="5" s="1"/>
  <c r="AA126" i="10"/>
  <c r="Z126" i="10"/>
  <c r="AB126" i="10"/>
  <c r="AS350" i="12" s="1"/>
  <c r="AL216" i="5"/>
  <c r="AM216" i="5" s="1"/>
  <c r="AO216" i="5" s="1"/>
  <c r="AP216" i="5" s="1"/>
  <c r="BB216" i="5" s="1"/>
  <c r="F186" i="12"/>
  <c r="Q243" i="8"/>
  <c r="AR243" i="12" s="1"/>
  <c r="Q167" i="8"/>
  <c r="AR167" i="12" s="1"/>
  <c r="R362" i="8"/>
  <c r="T362" i="8" s="1"/>
  <c r="V362" i="8"/>
  <c r="AE130" i="10"/>
  <c r="J362" i="12"/>
  <c r="Q161" i="8"/>
  <c r="AR161" i="12" s="1"/>
  <c r="AV306" i="5"/>
  <c r="AZ306" i="5" s="1"/>
  <c r="AU306" i="5"/>
  <c r="AQ306" i="5"/>
  <c r="AR306" i="5" s="1"/>
  <c r="AF99" i="7"/>
  <c r="AG99" i="7" s="1"/>
  <c r="AN99" i="7" s="1"/>
  <c r="AF73" i="7"/>
  <c r="Z111" i="10"/>
  <c r="AF153" i="13"/>
  <c r="AS42" i="46" s="1"/>
  <c r="AL42" i="46"/>
  <c r="AC65" i="7"/>
  <c r="AC15" i="7"/>
  <c r="AR40" i="12"/>
  <c r="Z125" i="10"/>
  <c r="AB125" i="10"/>
  <c r="AS348" i="12" s="1"/>
  <c r="AA125" i="10"/>
  <c r="AB31" i="10"/>
  <c r="AS68" i="12" s="1"/>
  <c r="AA31" i="10"/>
  <c r="Z31" i="10"/>
  <c r="V51" i="8"/>
  <c r="R51" i="8"/>
  <c r="T51" i="8" s="1"/>
  <c r="J51" i="12"/>
  <c r="V328" i="8"/>
  <c r="R328" i="8"/>
  <c r="T328" i="8" s="1"/>
  <c r="J328" i="12"/>
  <c r="AL138" i="5"/>
  <c r="AM138" i="5" s="1"/>
  <c r="AO138" i="5" s="1"/>
  <c r="AP138" i="5" s="1"/>
  <c r="BB138" i="5" s="1"/>
  <c r="J49" i="10"/>
  <c r="F120" i="12"/>
  <c r="AF135" i="7"/>
  <c r="AG135" i="7" s="1"/>
  <c r="AF116" i="7"/>
  <c r="AG116" i="7" s="1"/>
  <c r="AH116" i="7" s="1"/>
  <c r="AF131" i="7"/>
  <c r="AL319" i="5"/>
  <c r="AM319" i="5" s="1"/>
  <c r="AO319" i="5" s="1"/>
  <c r="AP319" i="5" s="1"/>
  <c r="BB319" i="5" s="1"/>
  <c r="F275" i="12"/>
  <c r="J123" i="7"/>
  <c r="AU373" i="5"/>
  <c r="AQ373" i="5"/>
  <c r="AR373" i="5" s="1"/>
  <c r="AV373" i="5"/>
  <c r="AZ373" i="5" s="1"/>
  <c r="AL411" i="5"/>
  <c r="AM411" i="5" s="1"/>
  <c r="AO411" i="5" s="1"/>
  <c r="AP411" i="5" s="1"/>
  <c r="BB411" i="5" s="1"/>
  <c r="J155" i="7"/>
  <c r="F353" i="12"/>
  <c r="AL64" i="5"/>
  <c r="AM64" i="5" s="1"/>
  <c r="AO64" i="5" s="1"/>
  <c r="AP64" i="5" s="1"/>
  <c r="BB64" i="5" s="1"/>
  <c r="J27" i="10"/>
  <c r="F56" i="12"/>
  <c r="AA68" i="10"/>
  <c r="AB68" i="10"/>
  <c r="AS178" i="12" s="1"/>
  <c r="Z68" i="10"/>
  <c r="AF50" i="13"/>
  <c r="AP22" i="46" s="1"/>
  <c r="AI22" i="46"/>
  <c r="AC60" i="7"/>
  <c r="AD60" i="7" s="1"/>
  <c r="AP125" i="12" s="1"/>
  <c r="AM16" i="7"/>
  <c r="AL16" i="7"/>
  <c r="R169" i="8"/>
  <c r="T169" i="8" s="1"/>
  <c r="V169" i="8"/>
  <c r="J169" i="12"/>
  <c r="AZ79" i="7"/>
  <c r="AB47" i="10"/>
  <c r="AS116" i="12" s="1"/>
  <c r="AA47" i="10"/>
  <c r="Z47" i="10"/>
  <c r="AL139" i="5"/>
  <c r="AM139" i="5" s="1"/>
  <c r="AO139" i="5" s="1"/>
  <c r="AP139" i="5" s="1"/>
  <c r="BB139" i="5" s="1"/>
  <c r="J59" i="7"/>
  <c r="F121" i="12"/>
  <c r="AV176" i="5"/>
  <c r="AZ176" i="5" s="1"/>
  <c r="AU176" i="5"/>
  <c r="AQ176" i="5"/>
  <c r="AR176" i="5" s="1"/>
  <c r="AF155" i="7"/>
  <c r="AC41" i="7"/>
  <c r="AJ41" i="7"/>
  <c r="AE45" i="7"/>
  <c r="V4" i="7"/>
  <c r="U4" i="7" s="1"/>
  <c r="AL395" i="5"/>
  <c r="AM395" i="5" s="1"/>
  <c r="AO395" i="5" s="1"/>
  <c r="AP395" i="5" s="1"/>
  <c r="BB395" i="5" s="1"/>
  <c r="F339" i="12"/>
  <c r="AL51" i="5"/>
  <c r="AM51" i="5" s="1"/>
  <c r="AO51" i="5" s="1"/>
  <c r="AP51" i="5" s="1"/>
  <c r="BB51" i="5" s="1"/>
  <c r="J27" i="7"/>
  <c r="F45" i="12"/>
  <c r="AL385" i="5"/>
  <c r="AM385" i="5" s="1"/>
  <c r="AO385" i="5" s="1"/>
  <c r="AP385" i="5" s="1"/>
  <c r="BB385" i="5" s="1"/>
  <c r="J146" i="7"/>
  <c r="F331" i="12"/>
  <c r="AB65" i="10"/>
  <c r="AS168" i="12" s="1"/>
  <c r="AA65" i="10"/>
  <c r="Z65" i="10"/>
  <c r="AX27" i="5"/>
  <c r="AJ106" i="7"/>
  <c r="AC18" i="7"/>
  <c r="AD18" i="7" s="1"/>
  <c r="AP23" i="12" s="1"/>
  <c r="AJ16" i="7"/>
  <c r="Q190" i="8"/>
  <c r="AR190" i="12" s="1"/>
  <c r="V196" i="8"/>
  <c r="R196" i="8"/>
  <c r="T196" i="8" s="1"/>
  <c r="J196" i="12"/>
  <c r="AL32" i="5"/>
  <c r="AM32" i="5" s="1"/>
  <c r="BB32" i="5" s="1"/>
  <c r="F28" i="12"/>
  <c r="AV220" i="5"/>
  <c r="AZ220" i="5" s="1"/>
  <c r="AU220" i="5"/>
  <c r="AQ220" i="5"/>
  <c r="AR220" i="5" s="1"/>
  <c r="AF64" i="7"/>
  <c r="AG64" i="7" s="1"/>
  <c r="AN64" i="7" s="1"/>
  <c r="AU321" i="5"/>
  <c r="AV321" i="5"/>
  <c r="AZ321" i="5" s="1"/>
  <c r="AQ321" i="5"/>
  <c r="AR321" i="5" s="1"/>
  <c r="AQ290" i="5"/>
  <c r="AR290" i="5" s="1"/>
  <c r="AU290" i="5"/>
  <c r="AV290" i="5"/>
  <c r="AZ290" i="5" s="1"/>
  <c r="AB58" i="10"/>
  <c r="AS146" i="12" s="1"/>
  <c r="AA58" i="10"/>
  <c r="Z58" i="10"/>
  <c r="AQ347" i="5"/>
  <c r="AR347" i="5" s="1"/>
  <c r="AV347" i="5"/>
  <c r="AZ347" i="5" s="1"/>
  <c r="AU347" i="5"/>
  <c r="AK92" i="13"/>
  <c r="AD30" i="46"/>
  <c r="AJ115" i="7"/>
  <c r="Q158" i="8"/>
  <c r="AR158" i="12" s="1"/>
  <c r="V163" i="8"/>
  <c r="R163" i="8"/>
  <c r="T163" i="8" s="1"/>
  <c r="AZ76" i="7"/>
  <c r="J163" i="12"/>
  <c r="Q163" i="8"/>
  <c r="AR163" i="12" s="1"/>
  <c r="AJ159" i="7"/>
  <c r="AO159" i="7"/>
  <c r="V42" i="8"/>
  <c r="J42" i="12"/>
  <c r="AA78" i="10"/>
  <c r="Z78" i="10"/>
  <c r="AB78" i="10"/>
  <c r="AS206" i="12" s="1"/>
  <c r="AQ179" i="5"/>
  <c r="AR179" i="5" s="1"/>
  <c r="AU179" i="5"/>
  <c r="AV179" i="5"/>
  <c r="AZ179" i="5" s="1"/>
  <c r="AL123" i="5"/>
  <c r="AM123" i="5" s="1"/>
  <c r="AO123" i="5" s="1"/>
  <c r="AP123" i="5" s="1"/>
  <c r="BB123" i="5" s="1"/>
  <c r="F107" i="12"/>
  <c r="J53" i="7"/>
  <c r="AL174" i="5"/>
  <c r="AM174" i="5" s="1"/>
  <c r="AO174" i="5" s="1"/>
  <c r="AP174" i="5" s="1"/>
  <c r="BB174" i="5" s="1"/>
  <c r="F150" i="12"/>
  <c r="AJ110" i="7"/>
  <c r="AC110" i="7"/>
  <c r="AL404" i="5"/>
  <c r="AM404" i="5" s="1"/>
  <c r="AO404" i="5" s="1"/>
  <c r="AP404" i="5" s="1"/>
  <c r="BB404" i="5" s="1"/>
  <c r="J125" i="10"/>
  <c r="F348" i="12"/>
  <c r="AL357" i="5"/>
  <c r="AM357" i="5" s="1"/>
  <c r="AO357" i="5" s="1"/>
  <c r="AP357" i="5" s="1"/>
  <c r="BB357" i="5" s="1"/>
  <c r="J136" i="7"/>
  <c r="F307" i="12"/>
  <c r="AK29" i="13"/>
  <c r="AF17" i="46"/>
  <c r="AK15" i="13"/>
  <c r="AB15" i="46"/>
  <c r="R30" i="8"/>
  <c r="T30" i="8" s="1"/>
  <c r="V30" i="8"/>
  <c r="J30" i="12"/>
  <c r="R213" i="8"/>
  <c r="T213" i="8" s="1"/>
  <c r="V213" i="8"/>
  <c r="AZ97" i="7"/>
  <c r="J213" i="12"/>
  <c r="AQ103" i="5"/>
  <c r="AR103" i="5" s="1"/>
  <c r="AU103" i="5"/>
  <c r="AV103" i="5"/>
  <c r="AZ103" i="5" s="1"/>
  <c r="AL297" i="5"/>
  <c r="AM297" i="5" s="1"/>
  <c r="AO297" i="5" s="1"/>
  <c r="AP297" i="5" s="1"/>
  <c r="BB297" i="5" s="1"/>
  <c r="F255" i="12"/>
  <c r="AF98" i="7"/>
  <c r="AF34" i="7"/>
  <c r="AG34" i="7" s="1"/>
  <c r="AN34" i="7" s="1"/>
  <c r="AF115" i="7"/>
  <c r="AF148" i="7"/>
  <c r="AB102" i="10"/>
  <c r="AS278" i="12" s="1"/>
  <c r="AA102" i="10"/>
  <c r="Z102" i="10"/>
  <c r="AX19" i="5"/>
  <c r="BH19" i="5" s="1"/>
  <c r="BE19" i="5"/>
  <c r="AF19" i="13"/>
  <c r="AT15" i="46" s="1"/>
  <c r="AM15" i="46"/>
  <c r="R125" i="8"/>
  <c r="T125" i="8" s="1"/>
  <c r="V125" i="8"/>
  <c r="Q125" i="8"/>
  <c r="AR125" i="12" s="1"/>
  <c r="AZ60" i="7"/>
  <c r="J125" i="12"/>
  <c r="V267" i="8"/>
  <c r="R267" i="8"/>
  <c r="T267" i="8" s="1"/>
  <c r="J267" i="12"/>
  <c r="AB63" i="10"/>
  <c r="AS164" i="12" s="1"/>
  <c r="AA63" i="10"/>
  <c r="Z63" i="10"/>
  <c r="AX17" i="7"/>
  <c r="AI17" i="7"/>
  <c r="AK17" i="7" s="1"/>
  <c r="W21" i="8"/>
  <c r="H21" i="12"/>
  <c r="AF138" i="13"/>
  <c r="AS39" i="46" s="1"/>
  <c r="AL39" i="46"/>
  <c r="AF123" i="7"/>
  <c r="AF144" i="7"/>
  <c r="AG144" i="7" s="1"/>
  <c r="AN144" i="7" s="1"/>
  <c r="AJ134" i="7"/>
  <c r="AC134" i="7"/>
  <c r="AF89" i="7"/>
  <c r="AJ85" i="7"/>
  <c r="AC85" i="7"/>
  <c r="AD85" i="7" s="1"/>
  <c r="AP185" i="12" s="1"/>
  <c r="Z29" i="10"/>
  <c r="AA29" i="10" s="1"/>
  <c r="AB29" i="10" s="1"/>
  <c r="AS60" i="12" s="1"/>
  <c r="AX26" i="5"/>
  <c r="BH26" i="5" s="1"/>
  <c r="G24" i="12" s="1"/>
  <c r="W24" i="12" s="1"/>
  <c r="BE26" i="5"/>
  <c r="AC138" i="7"/>
  <c r="R84" i="8"/>
  <c r="T84" i="8" s="1"/>
  <c r="V84" i="8"/>
  <c r="AE37" i="10"/>
  <c r="J84" i="12"/>
  <c r="R60" i="8"/>
  <c r="T60" i="8" s="1"/>
  <c r="V60" i="8"/>
  <c r="AE29" i="10"/>
  <c r="J60" i="12"/>
  <c r="V181" i="8"/>
  <c r="R181" i="8"/>
  <c r="T181" i="8" s="1"/>
  <c r="J181" i="12"/>
  <c r="AZ84" i="7"/>
  <c r="AA72" i="10"/>
  <c r="Z72" i="10"/>
  <c r="AB72" i="10"/>
  <c r="AS190" i="12" s="1"/>
  <c r="AL327" i="5"/>
  <c r="AM327" i="5" s="1"/>
  <c r="AO327" i="5" s="1"/>
  <c r="AP327" i="5" s="1"/>
  <c r="BB327" i="5" s="1"/>
  <c r="J125" i="7"/>
  <c r="F281" i="12"/>
  <c r="AL342" i="5"/>
  <c r="AM342" i="5" s="1"/>
  <c r="AO342" i="5" s="1"/>
  <c r="AP342" i="5" s="1"/>
  <c r="BB342" i="5" s="1"/>
  <c r="F294" i="12"/>
  <c r="AF66" i="7"/>
  <c r="AJ73" i="7"/>
  <c r="AC73" i="7"/>
  <c r="AD73" i="7" s="1"/>
  <c r="AL105" i="5"/>
  <c r="AM105" i="5" s="1"/>
  <c r="AO105" i="5" s="1"/>
  <c r="AP105" i="5" s="1"/>
  <c r="BB105" i="5" s="1"/>
  <c r="J46" i="7"/>
  <c r="F91" i="12"/>
  <c r="Z93" i="10"/>
  <c r="AB93" i="10"/>
  <c r="AS252" i="12" s="1"/>
  <c r="AA93" i="10"/>
  <c r="AN49" i="13"/>
  <c r="AL49" i="13"/>
  <c r="BH21" i="46" s="1"/>
  <c r="BA21" i="46"/>
  <c r="AK153" i="13"/>
  <c r="AE42" i="46"/>
  <c r="AC89" i="7"/>
  <c r="AD89" i="7" s="1"/>
  <c r="AP193" i="12" s="1"/>
  <c r="AM109" i="7"/>
  <c r="AL109" i="7"/>
  <c r="Z109" i="10"/>
  <c r="AA109" i="10"/>
  <c r="AB109" i="10"/>
  <c r="AS300" i="12" s="1"/>
  <c r="AB128" i="10"/>
  <c r="AS358" i="12" s="1"/>
  <c r="AA128" i="10"/>
  <c r="Z128" i="10"/>
  <c r="AB89" i="10"/>
  <c r="AS240" i="12" s="1"/>
  <c r="AA89" i="10"/>
  <c r="Z89" i="10"/>
  <c r="AA84" i="10"/>
  <c r="AB84" i="10"/>
  <c r="AS226" i="12" s="1"/>
  <c r="Z84" i="10"/>
  <c r="AB56" i="10"/>
  <c r="AS142" i="12" s="1"/>
  <c r="AA56" i="10"/>
  <c r="Z56" i="10"/>
  <c r="Q63" i="8"/>
  <c r="AR63" i="12" s="1"/>
  <c r="R122" i="8"/>
  <c r="T122" i="8" s="1"/>
  <c r="V122" i="8"/>
  <c r="J122" i="12"/>
  <c r="AE50" i="10"/>
  <c r="Z22" i="8"/>
  <c r="AA44" i="10"/>
  <c r="AB44" i="10"/>
  <c r="AS106" i="12" s="1"/>
  <c r="Z44" i="10"/>
  <c r="AL48" i="5"/>
  <c r="AM48" i="5" s="1"/>
  <c r="AO48" i="5" s="1"/>
  <c r="AP48" i="5" s="1"/>
  <c r="BB48" i="5" s="1"/>
  <c r="F42" i="12"/>
  <c r="AJ30" i="7"/>
  <c r="AC30" i="7"/>
  <c r="AJ113" i="7"/>
  <c r="AC113" i="7"/>
  <c r="AF56" i="7"/>
  <c r="Z113" i="10"/>
  <c r="AA113" i="10" s="1"/>
  <c r="AX28" i="7"/>
  <c r="W47" i="8"/>
  <c r="AJ118" i="7"/>
  <c r="AJ137" i="7"/>
  <c r="V344" i="8"/>
  <c r="R344" i="8"/>
  <c r="T344" i="8" s="1"/>
  <c r="AE123" i="10"/>
  <c r="Q344" i="8"/>
  <c r="AR344" i="12" s="1"/>
  <c r="J344" i="12"/>
  <c r="Z61" i="10"/>
  <c r="R205" i="8"/>
  <c r="T205" i="8" s="1"/>
  <c r="V205" i="8"/>
  <c r="AZ94" i="7"/>
  <c r="J205" i="12"/>
  <c r="Z45" i="10"/>
  <c r="AB45" i="10"/>
  <c r="AS108" i="12" s="1"/>
  <c r="AA45" i="10"/>
  <c r="AF81" i="7"/>
  <c r="AG81" i="7" s="1"/>
  <c r="AF79" i="7"/>
  <c r="AF61" i="7"/>
  <c r="AO42" i="5"/>
  <c r="AP42" i="5" s="1"/>
  <c r="BB42" i="5" s="1"/>
  <c r="J22" i="10"/>
  <c r="F38" i="12"/>
  <c r="AK50" i="13"/>
  <c r="AB22" i="46"/>
  <c r="AF149" i="13"/>
  <c r="AT41" i="46" s="1"/>
  <c r="AM41" i="46"/>
  <c r="AM69" i="7"/>
  <c r="AL69" i="7"/>
  <c r="Q315" i="8"/>
  <c r="AR315" i="12" s="1"/>
  <c r="R360" i="8"/>
  <c r="T360" i="8" s="1"/>
  <c r="V360" i="8"/>
  <c r="AE129" i="10"/>
  <c r="Q360" i="8"/>
  <c r="AR360" i="12" s="1"/>
  <c r="J360" i="12"/>
  <c r="AY19" i="7"/>
  <c r="AU19" i="7"/>
  <c r="AV19" i="7"/>
  <c r="X25" i="8"/>
  <c r="I25" i="12"/>
  <c r="AJ105" i="7"/>
  <c r="AQ171" i="5"/>
  <c r="AR171" i="5" s="1"/>
  <c r="AU171" i="5"/>
  <c r="AV171" i="5"/>
  <c r="AZ171" i="5" s="1"/>
  <c r="AL377" i="5"/>
  <c r="AM377" i="5" s="1"/>
  <c r="AO377" i="5" s="1"/>
  <c r="AP377" i="5" s="1"/>
  <c r="BB377" i="5" s="1"/>
  <c r="J144" i="7"/>
  <c r="F325" i="12"/>
  <c r="AF96" i="7"/>
  <c r="AF102" i="7"/>
  <c r="AJ117" i="7"/>
  <c r="AC117" i="7"/>
  <c r="AD117" i="7" s="1"/>
  <c r="AP261" i="12" s="1"/>
  <c r="AF71" i="7"/>
  <c r="AG71" i="7" s="1"/>
  <c r="AB4" i="7"/>
  <c r="X4" i="7" s="1"/>
  <c r="AJ45" i="7"/>
  <c r="AC45" i="7"/>
  <c r="AF54" i="7"/>
  <c r="AJ104" i="7"/>
  <c r="AC104" i="7"/>
  <c r="AL50" i="5"/>
  <c r="AM50" i="5" s="1"/>
  <c r="AO50" i="5" s="1"/>
  <c r="AP50" i="5" s="1"/>
  <c r="BB50" i="5" s="1"/>
  <c r="J23" i="10"/>
  <c r="F44" i="12"/>
  <c r="AL194" i="5"/>
  <c r="AM194" i="5" s="1"/>
  <c r="AO194" i="5" s="1"/>
  <c r="AP194" i="5" s="1"/>
  <c r="BB194" i="5" s="1"/>
  <c r="J65" i="10"/>
  <c r="F168" i="12"/>
  <c r="AL91" i="5"/>
  <c r="AM91" i="5" s="1"/>
  <c r="AO91" i="5" s="1"/>
  <c r="AP91" i="5" s="1"/>
  <c r="BB91" i="5" s="1"/>
  <c r="J41" i="7"/>
  <c r="F79" i="12"/>
  <c r="AA34" i="10"/>
  <c r="Z34" i="10"/>
  <c r="AB34" i="10"/>
  <c r="AS74" i="12" s="1"/>
  <c r="AF21" i="13"/>
  <c r="AQ16" i="46" s="1"/>
  <c r="AJ16" i="46"/>
  <c r="Q155" i="8"/>
  <c r="Q189" i="8"/>
  <c r="AR189" i="12" s="1"/>
  <c r="R292" i="8"/>
  <c r="T292" i="8" s="1"/>
  <c r="V292" i="8"/>
  <c r="J292" i="12"/>
  <c r="AQ119" i="5"/>
  <c r="AR119" i="5" s="1"/>
  <c r="AU119" i="5"/>
  <c r="AV119" i="5"/>
  <c r="AZ119" i="5" s="1"/>
  <c r="AK4" i="5"/>
  <c r="AM101" i="5"/>
  <c r="AF38" i="13"/>
  <c r="AS19" i="46" s="1"/>
  <c r="AL19" i="46"/>
  <c r="AF136" i="7"/>
  <c r="AG136" i="7" s="1"/>
  <c r="AJ82" i="7"/>
  <c r="AC82" i="7"/>
  <c r="AD82" i="7" s="1"/>
  <c r="AP177" i="12" s="1"/>
  <c r="AF156" i="7"/>
  <c r="AG156" i="7" s="1"/>
  <c r="AJ64" i="7"/>
  <c r="AC64" i="7"/>
  <c r="AD64" i="7" s="1"/>
  <c r="AP133" i="12" s="1"/>
  <c r="AL229" i="5"/>
  <c r="AM229" i="5" s="1"/>
  <c r="AO229" i="5" s="1"/>
  <c r="AP229" i="5" s="1"/>
  <c r="BB229" i="5" s="1"/>
  <c r="F197" i="12"/>
  <c r="J90" i="7"/>
  <c r="AA116" i="10"/>
  <c r="Z116" i="10"/>
  <c r="AB116" i="10"/>
  <c r="AS322" i="12" s="1"/>
  <c r="AL332" i="5"/>
  <c r="AM332" i="5" s="1"/>
  <c r="AO332" i="5" s="1"/>
  <c r="AP332" i="5" s="1"/>
  <c r="BB332" i="5" s="1"/>
  <c r="J104" i="10"/>
  <c r="F286" i="12"/>
  <c r="AF62" i="13"/>
  <c r="AR24" i="46" s="1"/>
  <c r="AK24" i="46"/>
  <c r="AD115" i="7"/>
  <c r="AP257" i="12" s="1"/>
  <c r="AJ39" i="7"/>
  <c r="R289" i="8"/>
  <c r="T289" i="8" s="1"/>
  <c r="V289" i="8"/>
  <c r="AZ129" i="7"/>
  <c r="J289" i="12"/>
  <c r="V113" i="8"/>
  <c r="R113" i="8"/>
  <c r="T113" i="8" s="1"/>
  <c r="Q113" i="8"/>
  <c r="AR113" i="12" s="1"/>
  <c r="AZ55" i="7"/>
  <c r="J113" i="12"/>
  <c r="Q212" i="8"/>
  <c r="AR212" i="12" s="1"/>
  <c r="AI159" i="7"/>
  <c r="AK159" i="7"/>
  <c r="AX159" i="7"/>
  <c r="W361" i="8"/>
  <c r="H361" i="12"/>
  <c r="AA80" i="10"/>
  <c r="AB80" i="10"/>
  <c r="AS214" i="12" s="1"/>
  <c r="Z80" i="10"/>
  <c r="AL145" i="5"/>
  <c r="AM145" i="5" s="1"/>
  <c r="AO145" i="5" s="1"/>
  <c r="AP145" i="5" s="1"/>
  <c r="BB145" i="5" s="1"/>
  <c r="J60" i="7"/>
  <c r="F125" i="12"/>
  <c r="AL182" i="5"/>
  <c r="AM182" i="5" s="1"/>
  <c r="AO182" i="5" s="1"/>
  <c r="AP182" i="5" s="1"/>
  <c r="BB182" i="5" s="1"/>
  <c r="J62" i="10"/>
  <c r="F158" i="12"/>
  <c r="AJ146" i="7"/>
  <c r="AC146" i="7"/>
  <c r="AV315" i="5"/>
  <c r="AZ315" i="5" s="1"/>
  <c r="AU315" i="5"/>
  <c r="AQ315" i="5"/>
  <c r="AR315" i="5" s="1"/>
  <c r="AQ372" i="5"/>
  <c r="AR372" i="5" s="1"/>
  <c r="AV372" i="5"/>
  <c r="AZ372" i="5" s="1"/>
  <c r="AU372" i="5"/>
  <c r="AA92" i="10"/>
  <c r="Z92" i="10"/>
  <c r="AB92" i="10"/>
  <c r="AS250" i="12" s="1"/>
  <c r="AQ264" i="5"/>
  <c r="AR264" i="5" s="1"/>
  <c r="AU264" i="5"/>
  <c r="AV264" i="5"/>
  <c r="AZ264" i="5" s="1"/>
  <c r="AF73" i="13"/>
  <c r="AS26" i="46" s="1"/>
  <c r="AL26" i="46"/>
  <c r="AJ111" i="7"/>
  <c r="AL117" i="5"/>
  <c r="AM117" i="5" s="1"/>
  <c r="AO117" i="5" s="1"/>
  <c r="AP117" i="5" s="1"/>
  <c r="BB117" i="5" s="1"/>
  <c r="F101" i="12"/>
  <c r="AL96" i="5"/>
  <c r="AM96" i="5" s="1"/>
  <c r="AO96" i="5" s="1"/>
  <c r="AP96" i="5" s="1"/>
  <c r="BB96" i="5" s="1"/>
  <c r="J37" i="10"/>
  <c r="F84" i="12"/>
  <c r="AL218" i="5"/>
  <c r="AM218" i="5" s="1"/>
  <c r="AO218" i="5" s="1"/>
  <c r="AP218" i="5" s="1"/>
  <c r="BB218" i="5" s="1"/>
  <c r="F188" i="12"/>
  <c r="J71" i="10"/>
  <c r="AF139" i="7"/>
  <c r="AG139" i="7" s="1"/>
  <c r="AN139" i="7" s="1"/>
  <c r="AF84" i="7"/>
  <c r="AL250" i="5"/>
  <c r="AM250" i="5" s="1"/>
  <c r="AO250" i="5" s="1"/>
  <c r="AP250" i="5" s="1"/>
  <c r="BB250" i="5" s="1"/>
  <c r="F216" i="12"/>
  <c r="J81" i="10"/>
  <c r="AQ56" i="5"/>
  <c r="AR56" i="5" s="1"/>
  <c r="AU56" i="5"/>
  <c r="AV56" i="5"/>
  <c r="AZ56" i="5" s="1"/>
  <c r="AQ293" i="5"/>
  <c r="AR293" i="5" s="1"/>
  <c r="AV293" i="5"/>
  <c r="AZ293" i="5" s="1"/>
  <c r="AL308" i="5"/>
  <c r="AM308" i="5" s="1"/>
  <c r="AO308" i="5" s="1"/>
  <c r="AP308" i="5" s="1"/>
  <c r="BB308" i="5" s="1"/>
  <c r="J98" i="10"/>
  <c r="F266" i="12"/>
  <c r="AQ29" i="46"/>
  <c r="AJ29" i="46"/>
  <c r="AK19" i="13"/>
  <c r="AF15" i="46"/>
  <c r="Q133" i="8"/>
  <c r="V64" i="8"/>
  <c r="R64" i="8"/>
  <c r="T64" i="8"/>
  <c r="J64" i="12"/>
  <c r="R82" i="8"/>
  <c r="T82" i="8" s="1"/>
  <c r="V82" i="8"/>
  <c r="J82" i="12"/>
  <c r="AE36" i="10"/>
  <c r="Q60" i="8"/>
  <c r="AR60" i="12" s="1"/>
  <c r="AD17" i="7"/>
  <c r="AP21" i="12" s="1"/>
  <c r="AA32" i="10"/>
  <c r="AB32" i="10"/>
  <c r="AS70" i="12" s="1"/>
  <c r="Z32" i="10"/>
  <c r="Z121" i="10"/>
  <c r="AB121" i="10"/>
  <c r="AS336" i="12" s="1"/>
  <c r="AA121" i="10"/>
  <c r="Z49" i="10"/>
  <c r="AB49" i="10"/>
  <c r="AS120" i="12" s="1"/>
  <c r="AA49" i="10"/>
  <c r="AB22" i="10"/>
  <c r="AS38" i="12" s="1"/>
  <c r="AA22" i="10"/>
  <c r="Z22" i="10"/>
  <c r="AL375" i="5"/>
  <c r="AM375" i="5" s="1"/>
  <c r="AO375" i="5" s="1"/>
  <c r="AP375" i="5" s="1"/>
  <c r="BB375" i="5" s="1"/>
  <c r="J143" i="7"/>
  <c r="F323" i="12"/>
  <c r="AL387" i="5"/>
  <c r="AM387" i="5" s="1"/>
  <c r="AO387" i="5" s="1"/>
  <c r="AP387" i="5" s="1"/>
  <c r="BB387" i="5" s="1"/>
  <c r="J147" i="7"/>
  <c r="F333" i="12"/>
  <c r="AF35" i="7"/>
  <c r="AJ144" i="7"/>
  <c r="AC144" i="7"/>
  <c r="AD144" i="7" s="1"/>
  <c r="AP325" i="12" s="1"/>
  <c r="AF55" i="7"/>
  <c r="AG55" i="7" s="1"/>
  <c r="AN55" i="7" s="1"/>
  <c r="AF50" i="7"/>
  <c r="AG50" i="7" s="1"/>
  <c r="AL420" i="5"/>
  <c r="AM420" i="5" s="1"/>
  <c r="AO420" i="5" s="1"/>
  <c r="AP420" i="5" s="1"/>
  <c r="BB420" i="5" s="1"/>
  <c r="J130" i="10"/>
  <c r="F362" i="12"/>
  <c r="AL70" i="5"/>
  <c r="AM70" i="5" s="1"/>
  <c r="AO70" i="5" s="1"/>
  <c r="AP70" i="5" s="1"/>
  <c r="BB70" i="5" s="1"/>
  <c r="J30" i="10"/>
  <c r="F62" i="12"/>
  <c r="AF76" i="13"/>
  <c r="AQ27" i="46" s="1"/>
  <c r="AJ27" i="46"/>
  <c r="AF105" i="13"/>
  <c r="AP33" i="46" s="1"/>
  <c r="AI33" i="46"/>
  <c r="R305" i="8"/>
  <c r="T305" i="8" s="1"/>
  <c r="V305" i="8"/>
  <c r="J305" i="12"/>
  <c r="AZ135" i="7"/>
  <c r="R241" i="8"/>
  <c r="V241" i="8"/>
  <c r="T241" i="8"/>
  <c r="AZ109" i="7"/>
  <c r="J241" i="12"/>
  <c r="R233" i="8"/>
  <c r="T233" i="8" s="1"/>
  <c r="V233" i="8"/>
  <c r="AZ105" i="7"/>
  <c r="J233" i="12"/>
  <c r="AB87" i="10"/>
  <c r="AS236" i="12" s="1"/>
  <c r="AA87" i="10"/>
  <c r="Z87" i="10"/>
  <c r="AL388" i="5"/>
  <c r="AM388" i="5" s="1"/>
  <c r="AO388" i="5" s="1"/>
  <c r="AP388" i="5" s="1"/>
  <c r="BB388" i="5" s="1"/>
  <c r="F334" i="12"/>
  <c r="J120" i="10"/>
  <c r="AL262" i="5"/>
  <c r="AM262" i="5" s="1"/>
  <c r="AO262" i="5" s="1"/>
  <c r="AP262" i="5" s="1"/>
  <c r="BB262" i="5" s="1"/>
  <c r="J84" i="10"/>
  <c r="F226" i="12"/>
  <c r="AF150" i="7"/>
  <c r="AJ66" i="7"/>
  <c r="AC66" i="7"/>
  <c r="AF141" i="7"/>
  <c r="AG141" i="7" s="1"/>
  <c r="AQ76" i="5"/>
  <c r="AR76" i="5" s="1"/>
  <c r="AU76" i="5"/>
  <c r="AV76" i="5"/>
  <c r="AZ76" i="5" s="1"/>
  <c r="AL230" i="5"/>
  <c r="AM230" i="5" s="1"/>
  <c r="AO230" i="5" s="1"/>
  <c r="AP230" i="5" s="1"/>
  <c r="BB230" i="5" s="1"/>
  <c r="F198" i="12"/>
  <c r="AL224" i="5"/>
  <c r="AM224" i="5" s="1"/>
  <c r="AO224" i="5" s="1"/>
  <c r="AP224" i="5" s="1"/>
  <c r="BB224" i="5" s="1"/>
  <c r="F194" i="12"/>
  <c r="J74" i="10"/>
  <c r="AQ98" i="5"/>
  <c r="AR98" i="5" s="1"/>
  <c r="AU98" i="5"/>
  <c r="AV98" i="5"/>
  <c r="AZ98" i="5" s="1"/>
  <c r="AF156" i="13"/>
  <c r="AQ43" i="46" s="1"/>
  <c r="AJ43" i="46"/>
  <c r="AC80" i="7"/>
  <c r="AA48" i="10"/>
  <c r="AB48" i="10"/>
  <c r="AS118" i="12" s="1"/>
  <c r="Z48" i="10"/>
  <c r="AB19" i="10"/>
  <c r="AS32" i="12" s="1"/>
  <c r="AA19" i="10"/>
  <c r="Z19" i="10"/>
  <c r="Z122" i="10"/>
  <c r="AB122" i="10"/>
  <c r="AS338" i="12" s="1"/>
  <c r="AA122" i="10"/>
  <c r="R276" i="8"/>
  <c r="T276" i="8" s="1"/>
  <c r="V276" i="8"/>
  <c r="AE101" i="10"/>
  <c r="J276" i="12"/>
  <c r="Q82" i="8"/>
  <c r="AR82" i="12" s="1"/>
  <c r="AB74" i="10"/>
  <c r="AS194" i="12" s="1"/>
  <c r="AA74" i="10"/>
  <c r="Z74" i="10"/>
  <c r="AB79" i="10"/>
  <c r="AS212" i="12" s="1"/>
  <c r="Z79" i="10"/>
  <c r="AA79" i="10"/>
  <c r="AR39" i="12"/>
  <c r="V93" i="8"/>
  <c r="AZ47" i="7"/>
  <c r="R93" i="8"/>
  <c r="T93" i="8" s="1"/>
  <c r="J93" i="12"/>
  <c r="Z97" i="10"/>
  <c r="AB97" i="10"/>
  <c r="AS264" i="12" s="1"/>
  <c r="AA97" i="10"/>
  <c r="AB127" i="10"/>
  <c r="AS356" i="12" s="1"/>
  <c r="AA127" i="10"/>
  <c r="Z127" i="10"/>
  <c r="V304" i="8"/>
  <c r="R304" i="8"/>
  <c r="T304" i="8" s="1"/>
  <c r="J304" i="12"/>
  <c r="AA96" i="10"/>
  <c r="AB96" i="10"/>
  <c r="AS262" i="12" s="1"/>
  <c r="Z96" i="10"/>
  <c r="AA108" i="10"/>
  <c r="AB108" i="10"/>
  <c r="AS298" i="12" s="1"/>
  <c r="Z108" i="10"/>
  <c r="AB62" i="10"/>
  <c r="AS158" i="12" s="1"/>
  <c r="AA62" i="10"/>
  <c r="Z62" i="10"/>
  <c r="V310" i="8"/>
  <c r="R310" i="8"/>
  <c r="T310" i="8" s="1"/>
  <c r="AE112" i="10"/>
  <c r="J310" i="12"/>
  <c r="V248" i="8"/>
  <c r="R248" i="8"/>
  <c r="T248" i="8" s="1"/>
  <c r="AE91" i="10"/>
  <c r="J248" i="12"/>
  <c r="Y16" i="12" l="1"/>
  <c r="Z16" i="12" s="1"/>
  <c r="W16" i="12"/>
  <c r="AM16" i="12"/>
  <c r="N16" i="12"/>
  <c r="O16" i="12"/>
  <c r="P16" i="12"/>
  <c r="U16" i="8"/>
  <c r="Z16" i="8" s="1"/>
  <c r="AK15" i="46"/>
  <c r="G18" i="9" a="1"/>
  <c r="G18" i="9" s="1"/>
  <c r="G17" i="9" a="1"/>
  <c r="G17" i="9" s="1"/>
  <c r="N17" i="9" s="1"/>
  <c r="O17" i="9" s="1"/>
  <c r="X17" i="9" s="1"/>
  <c r="AA17" i="9" s="1"/>
  <c r="AC17" i="9" s="1"/>
  <c r="U19" i="8"/>
  <c r="AW16" i="7"/>
  <c r="G19" i="12"/>
  <c r="W19" i="12" s="1"/>
  <c r="AK16" i="12"/>
  <c r="AL16" i="12" s="1"/>
  <c r="AJ30" i="46"/>
  <c r="AF40" i="13"/>
  <c r="AP20" i="46" s="1"/>
  <c r="AL24" i="46"/>
  <c r="AB16" i="12"/>
  <c r="AC16" i="12" s="1"/>
  <c r="AH16" i="12"/>
  <c r="AI16" i="12" s="1"/>
  <c r="G22" i="12"/>
  <c r="AC16" i="10"/>
  <c r="AF16" i="10" s="1"/>
  <c r="AF53" i="13"/>
  <c r="AS22" i="46" s="1"/>
  <c r="AI18" i="46"/>
  <c r="AJ23" i="46"/>
  <c r="AF139" i="13"/>
  <c r="AT39" i="46" s="1"/>
  <c r="AF152" i="13"/>
  <c r="AR42" i="46" s="1"/>
  <c r="AD27" i="13"/>
  <c r="AF27" i="13" s="1"/>
  <c r="AR17" i="46" s="1"/>
  <c r="AF16" i="13"/>
  <c r="AQ15" i="46" s="1"/>
  <c r="AF158" i="13"/>
  <c r="AS43" i="46" s="1"/>
  <c r="AF72" i="13"/>
  <c r="AR26" i="46" s="1"/>
  <c r="AF101" i="13"/>
  <c r="AQ32" i="46" s="1"/>
  <c r="AF110" i="13"/>
  <c r="AP34" i="46" s="1"/>
  <c r="AF99" i="13"/>
  <c r="AT31" i="46" s="1"/>
  <c r="AI111" i="7"/>
  <c r="AK111" i="7" s="1"/>
  <c r="AE16" i="12"/>
  <c r="AF16" i="12" s="1"/>
  <c r="AQ280" i="5"/>
  <c r="AR280" i="5" s="1"/>
  <c r="BB280" i="5"/>
  <c r="AV80" i="5"/>
  <c r="AZ80" i="5" s="1"/>
  <c r="BB80" i="5"/>
  <c r="AV221" i="5"/>
  <c r="AZ221" i="5" s="1"/>
  <c r="BB221" i="5"/>
  <c r="AQ158" i="5"/>
  <c r="AR158" i="5" s="1"/>
  <c r="BB158" i="5"/>
  <c r="AQ416" i="5"/>
  <c r="AR416" i="5" s="1"/>
  <c r="BB416" i="5"/>
  <c r="AQ299" i="5"/>
  <c r="AR299" i="5" s="1"/>
  <c r="BB299" i="5"/>
  <c r="AQ188" i="5"/>
  <c r="AR188" i="5" s="1"/>
  <c r="BB188" i="5"/>
  <c r="AQ322" i="5"/>
  <c r="AR322" i="5" s="1"/>
  <c r="BB322" i="5"/>
  <c r="AU201" i="5"/>
  <c r="BB201" i="5"/>
  <c r="AU252" i="5"/>
  <c r="BB252" i="5"/>
  <c r="AV88" i="5"/>
  <c r="AZ88" i="5" s="1"/>
  <c r="BB88" i="5"/>
  <c r="AQ54" i="5"/>
  <c r="AR54" i="5" s="1"/>
  <c r="BB54" i="5"/>
  <c r="AU247" i="5"/>
  <c r="BB247" i="5"/>
  <c r="AQ384" i="5"/>
  <c r="AR384" i="5" s="1"/>
  <c r="BB384" i="5"/>
  <c r="AV61" i="5"/>
  <c r="AZ61" i="5" s="1"/>
  <c r="BB61" i="5"/>
  <c r="AV328" i="5"/>
  <c r="AZ328" i="5" s="1"/>
  <c r="BB328" i="5"/>
  <c r="AU285" i="5"/>
  <c r="BB285" i="5"/>
  <c r="AU92" i="5"/>
  <c r="BB92" i="5"/>
  <c r="AU293" i="5"/>
  <c r="BB293" i="5"/>
  <c r="AU108" i="5"/>
  <c r="BB108" i="5"/>
  <c r="AU406" i="5"/>
  <c r="BB406" i="5"/>
  <c r="AQ392" i="5"/>
  <c r="AR392" i="5" s="1"/>
  <c r="BB392" i="5"/>
  <c r="AQ311" i="5"/>
  <c r="AR311" i="5" s="1"/>
  <c r="BB311" i="5"/>
  <c r="AU187" i="5"/>
  <c r="BB187" i="5"/>
  <c r="AQ243" i="5"/>
  <c r="AR243" i="5" s="1"/>
  <c r="BB243" i="5"/>
  <c r="AU266" i="5"/>
  <c r="BB266" i="5"/>
  <c r="AQ206" i="5"/>
  <c r="AR206" i="5" s="1"/>
  <c r="BB206" i="5"/>
  <c r="AQ46" i="5"/>
  <c r="AR46" i="5" s="1"/>
  <c r="BB46" i="5"/>
  <c r="AV307" i="5"/>
  <c r="AZ307" i="5" s="1"/>
  <c r="BB307" i="5"/>
  <c r="AU348" i="5"/>
  <c r="BB348" i="5"/>
  <c r="AU77" i="5"/>
  <c r="BB77" i="5"/>
  <c r="AU146" i="5"/>
  <c r="BB146" i="5"/>
  <c r="AQ73" i="5"/>
  <c r="AR73" i="5" s="1"/>
  <c r="BB73" i="5"/>
  <c r="AV413" i="5"/>
  <c r="AZ413" i="5" s="1"/>
  <c r="BB413" i="5"/>
  <c r="AV124" i="5"/>
  <c r="AZ124" i="5" s="1"/>
  <c r="BB124" i="5"/>
  <c r="AQ369" i="5"/>
  <c r="AR369" i="5" s="1"/>
  <c r="BB369" i="5"/>
  <c r="AQ391" i="5"/>
  <c r="AR391" i="5" s="1"/>
  <c r="BB391" i="5"/>
  <c r="AU31" i="5"/>
  <c r="BB31" i="5"/>
  <c r="AQ374" i="5"/>
  <c r="AR374" i="5" s="1"/>
  <c r="BB374" i="5"/>
  <c r="AU190" i="5"/>
  <c r="BB190" i="5"/>
  <c r="AQ275" i="5"/>
  <c r="AR275" i="5" s="1"/>
  <c r="BB275" i="5"/>
  <c r="AQ390" i="5"/>
  <c r="AR390" i="5" s="1"/>
  <c r="BB390" i="5"/>
  <c r="AU419" i="5"/>
  <c r="BB419" i="5"/>
  <c r="AV279" i="5"/>
  <c r="AZ279" i="5" s="1"/>
  <c r="BB279" i="5"/>
  <c r="AV33" i="5"/>
  <c r="AZ33" i="5" s="1"/>
  <c r="BB33" i="5"/>
  <c r="AQ371" i="5"/>
  <c r="AR371" i="5" s="1"/>
  <c r="BB371" i="5"/>
  <c r="AU67" i="5"/>
  <c r="BB67" i="5"/>
  <c r="AU418" i="5"/>
  <c r="BB418" i="5"/>
  <c r="AQ399" i="5"/>
  <c r="AR399" i="5" s="1"/>
  <c r="BB399" i="5"/>
  <c r="AQ251" i="5"/>
  <c r="AR251" i="5" s="1"/>
  <c r="BB251" i="5"/>
  <c r="AU159" i="5"/>
  <c r="BB159" i="5"/>
  <c r="BB38" i="5"/>
  <c r="AQ312" i="5"/>
  <c r="AR312" i="5" s="1"/>
  <c r="BB312" i="5"/>
  <c r="AU237" i="5"/>
  <c r="BB237" i="5"/>
  <c r="AV116" i="5"/>
  <c r="AZ116" i="5" s="1"/>
  <c r="BB116" i="5"/>
  <c r="AU265" i="5"/>
  <c r="BB265" i="5"/>
  <c r="AV403" i="5"/>
  <c r="AZ403" i="5" s="1"/>
  <c r="BB403" i="5"/>
  <c r="AQ233" i="5"/>
  <c r="AR233" i="5" s="1"/>
  <c r="BB233" i="5"/>
  <c r="AQ260" i="5"/>
  <c r="AR260" i="5" s="1"/>
  <c r="BB260" i="5"/>
  <c r="AU259" i="5"/>
  <c r="BB259" i="5"/>
  <c r="AQ165" i="5"/>
  <c r="AR165" i="5" s="1"/>
  <c r="BB165" i="5"/>
  <c r="AV378" i="5"/>
  <c r="AZ378" i="5" s="1"/>
  <c r="BB378" i="5"/>
  <c r="AQ257" i="5"/>
  <c r="AR257" i="5" s="1"/>
  <c r="BB257" i="5"/>
  <c r="AQ414" i="5"/>
  <c r="AR414" i="5" s="1"/>
  <c r="BB414" i="5"/>
  <c r="AQ269" i="5"/>
  <c r="AR269" i="5" s="1"/>
  <c r="BB269" i="5"/>
  <c r="BB40" i="5"/>
  <c r="AV140" i="5"/>
  <c r="AZ140" i="5" s="1"/>
  <c r="BB140" i="5"/>
  <c r="AU276" i="5"/>
  <c r="BB276" i="5"/>
  <c r="AU402" i="5"/>
  <c r="BB402" i="5"/>
  <c r="AQ180" i="5"/>
  <c r="AR180" i="5" s="1"/>
  <c r="BB180" i="5"/>
  <c r="AQ83" i="5"/>
  <c r="AR83" i="5" s="1"/>
  <c r="BB83" i="5"/>
  <c r="AV227" i="5"/>
  <c r="AZ227" i="5" s="1"/>
  <c r="BB227" i="5"/>
  <c r="AQ417" i="5"/>
  <c r="AR417" i="5" s="1"/>
  <c r="BB417" i="5"/>
  <c r="AQ84" i="5"/>
  <c r="AR84" i="5" s="1"/>
  <c r="BB84" i="5"/>
  <c r="AU401" i="5"/>
  <c r="BB401" i="5"/>
  <c r="AU362" i="5"/>
  <c r="BB362" i="5"/>
  <c r="AV241" i="5"/>
  <c r="AZ241" i="5" s="1"/>
  <c r="BB241" i="5"/>
  <c r="AU148" i="5"/>
  <c r="BB148" i="5"/>
  <c r="AU222" i="5"/>
  <c r="BB222" i="5"/>
  <c r="AU258" i="5"/>
  <c r="BB258" i="5"/>
  <c r="AQ400" i="5"/>
  <c r="AR400" i="5" s="1"/>
  <c r="BB400" i="5"/>
  <c r="AU248" i="5"/>
  <c r="BB248" i="5"/>
  <c r="AU284" i="5"/>
  <c r="BB284" i="5"/>
  <c r="AV289" i="5"/>
  <c r="AZ289" i="5" s="1"/>
  <c r="BB289" i="5"/>
  <c r="AU376" i="5"/>
  <c r="BB376" i="5"/>
  <c r="AV133" i="5"/>
  <c r="AZ133" i="5" s="1"/>
  <c r="BB133" i="5"/>
  <c r="AM24" i="12"/>
  <c r="AH24" i="12"/>
  <c r="AI24" i="12" s="1"/>
  <c r="AB24" i="12"/>
  <c r="AC24" i="12" s="1"/>
  <c r="Y24" i="12"/>
  <c r="Z24" i="12" s="1"/>
  <c r="AE24" i="12"/>
  <c r="AF24" i="12" s="1"/>
  <c r="AV285" i="5"/>
  <c r="AZ285" i="5" s="1"/>
  <c r="Q4" i="10"/>
  <c r="P4" i="10" s="1"/>
  <c r="AB103" i="10"/>
  <c r="AS284" i="12" s="1"/>
  <c r="Z103" i="10"/>
  <c r="R278" i="8"/>
  <c r="T278" i="8" s="1"/>
  <c r="J278" i="12"/>
  <c r="AE102" i="10"/>
  <c r="AE4" i="10" s="1"/>
  <c r="V278" i="8"/>
  <c r="W59" i="8"/>
  <c r="H59" i="12"/>
  <c r="AX33" i="7"/>
  <c r="H143" i="12"/>
  <c r="AI33" i="7"/>
  <c r="AK33" i="7" s="1"/>
  <c r="W143" i="8"/>
  <c r="AD68" i="7"/>
  <c r="AP143" i="12" s="1"/>
  <c r="AI68" i="7"/>
  <c r="AK68" i="7" s="1"/>
  <c r="AQ108" i="5"/>
  <c r="AR108" i="5" s="1"/>
  <c r="AV108" i="5"/>
  <c r="AV92" i="5"/>
  <c r="H55" i="12"/>
  <c r="AA100" i="10"/>
  <c r="AB100" i="10" s="1"/>
  <c r="AS274" i="12" s="1"/>
  <c r="AF130" i="13"/>
  <c r="AP38" i="46" s="1"/>
  <c r="AI38" i="46"/>
  <c r="AK130" i="13"/>
  <c r="AB38" i="46"/>
  <c r="AY17" i="46"/>
  <c r="AN27" i="13"/>
  <c r="BM17" i="46" s="1"/>
  <c r="AL27" i="13"/>
  <c r="BF17" i="46" s="1"/>
  <c r="AX23" i="46"/>
  <c r="AN56" i="13"/>
  <c r="BL23" i="46" s="1"/>
  <c r="AL56" i="13"/>
  <c r="BE23" i="46" s="1"/>
  <c r="AY15" i="46"/>
  <c r="AN17" i="13"/>
  <c r="BM15" i="46" s="1"/>
  <c r="AL17" i="13"/>
  <c r="BF15" i="46" s="1"/>
  <c r="AF155" i="13"/>
  <c r="AP43" i="46" s="1"/>
  <c r="AI43" i="46"/>
  <c r="AK155" i="13"/>
  <c r="AB43" i="46"/>
  <c r="AX26" i="46"/>
  <c r="AN71" i="13"/>
  <c r="BL26" i="46" s="1"/>
  <c r="AL71" i="13"/>
  <c r="BE26" i="46" s="1"/>
  <c r="AZ24" i="46"/>
  <c r="AN63" i="13"/>
  <c r="BN24" i="46" s="1"/>
  <c r="AL63" i="13"/>
  <c r="BG24" i="46" s="1"/>
  <c r="AF107" i="13"/>
  <c r="AR33" i="46" s="1"/>
  <c r="AK33" i="46"/>
  <c r="AK107" i="13"/>
  <c r="AD33" i="46"/>
  <c r="AF95" i="13"/>
  <c r="AP31" i="46" s="1"/>
  <c r="AI31" i="46"/>
  <c r="AK95" i="13"/>
  <c r="AB31" i="46"/>
  <c r="AF144" i="13"/>
  <c r="AT40" i="46" s="1"/>
  <c r="AM40" i="46"/>
  <c r="AM4" i="46" s="1"/>
  <c r="AK144" i="13"/>
  <c r="AF40" i="46"/>
  <c r="AF4" i="46" s="1"/>
  <c r="AF140" i="13"/>
  <c r="AP40" i="46" s="1"/>
  <c r="AI40" i="46"/>
  <c r="AK140" i="13"/>
  <c r="AB40" i="46"/>
  <c r="AF55" i="13"/>
  <c r="AP23" i="46" s="1"/>
  <c r="AI23" i="46"/>
  <c r="AK55" i="13"/>
  <c r="AB23" i="46"/>
  <c r="AF83" i="13"/>
  <c r="AS28" i="46" s="1"/>
  <c r="AL28" i="46"/>
  <c r="AK83" i="13"/>
  <c r="AE28" i="46"/>
  <c r="AF26" i="13"/>
  <c r="AQ17" i="46" s="1"/>
  <c r="AJ17" i="46"/>
  <c r="AK26" i="13"/>
  <c r="AC17" i="46"/>
  <c r="AC4" i="46" s="1"/>
  <c r="W235" i="8"/>
  <c r="AA27" i="10"/>
  <c r="AB27" i="10" s="1"/>
  <c r="AS56" i="12" s="1"/>
  <c r="AI106" i="7"/>
  <c r="AK106" i="7" s="1"/>
  <c r="AX106" i="7"/>
  <c r="H235" i="12"/>
  <c r="AQ285" i="5"/>
  <c r="AR285" i="5" s="1"/>
  <c r="U15" i="8"/>
  <c r="Z15" i="8" s="1"/>
  <c r="AX39" i="7"/>
  <c r="AD39" i="7"/>
  <c r="AP73" i="12" s="1"/>
  <c r="G21" i="12"/>
  <c r="W21" i="12" s="1"/>
  <c r="H73" i="12"/>
  <c r="AW17" i="7"/>
  <c r="W73" i="8"/>
  <c r="AX31" i="7"/>
  <c r="AV159" i="5"/>
  <c r="AQ418" i="5"/>
  <c r="AR418" i="5" s="1"/>
  <c r="AP235" i="12"/>
  <c r="AO106" i="7"/>
  <c r="AP59" i="12"/>
  <c r="AO33" i="7"/>
  <c r="W247" i="8"/>
  <c r="AX111" i="7"/>
  <c r="H247" i="12"/>
  <c r="G18" i="12"/>
  <c r="W18" i="12" s="1"/>
  <c r="H179" i="12"/>
  <c r="W179" i="8"/>
  <c r="AI83" i="7"/>
  <c r="AK83" i="7" s="1"/>
  <c r="AX83" i="7"/>
  <c r="P4" i="8"/>
  <c r="M4" i="8" s="1"/>
  <c r="AN142" i="13"/>
  <c r="BM40" i="46" s="1"/>
  <c r="AL142" i="13"/>
  <c r="BF40" i="46" s="1"/>
  <c r="AY40" i="46"/>
  <c r="AF60" i="13"/>
  <c r="AP24" i="46" s="1"/>
  <c r="AI24" i="46"/>
  <c r="AN114" i="13"/>
  <c r="BO34" i="46" s="1"/>
  <c r="AL114" i="13"/>
  <c r="BH34" i="46" s="1"/>
  <c r="BA34" i="46"/>
  <c r="AK60" i="13"/>
  <c r="AB24" i="46"/>
  <c r="AF108" i="13"/>
  <c r="AS33" i="46" s="1"/>
  <c r="AL33" i="46"/>
  <c r="AK108" i="13"/>
  <c r="AE33" i="46"/>
  <c r="M4" i="14"/>
  <c r="AU417" i="5"/>
  <c r="AD118" i="7"/>
  <c r="AP263" i="12" s="1"/>
  <c r="W263" i="8"/>
  <c r="AX118" i="7"/>
  <c r="AT119" i="7"/>
  <c r="AQ265" i="12" s="1"/>
  <c r="AS119" i="7"/>
  <c r="AR119" i="7"/>
  <c r="AU269" i="5"/>
  <c r="AQ403" i="5"/>
  <c r="AR403" i="5" s="1"/>
  <c r="AQ307" i="5"/>
  <c r="AR307" i="5" s="1"/>
  <c r="AU403" i="5"/>
  <c r="AU307" i="5"/>
  <c r="AQ362" i="5"/>
  <c r="AR362" i="5" s="1"/>
  <c r="H263" i="12"/>
  <c r="AD31" i="7"/>
  <c r="W55" i="8"/>
  <c r="AU84" i="5"/>
  <c r="AP179" i="12"/>
  <c r="AO83" i="7"/>
  <c r="AS83" i="7" s="1"/>
  <c r="AT83" i="7" s="1"/>
  <c r="AQ179" i="12" s="1"/>
  <c r="AP233" i="12"/>
  <c r="AO105" i="7"/>
  <c r="H233" i="12"/>
  <c r="W233" i="8"/>
  <c r="AI105" i="7"/>
  <c r="AK105" i="7"/>
  <c r="AX105" i="7"/>
  <c r="AQ406" i="5"/>
  <c r="AR406" i="5" s="1"/>
  <c r="AU400" i="5"/>
  <c r="AV269" i="5"/>
  <c r="AV406" i="5"/>
  <c r="AZ406" i="5" s="1"/>
  <c r="AQ159" i="5"/>
  <c r="AR159" i="5" s="1"/>
  <c r="AV73" i="5"/>
  <c r="AZ73" i="5" s="1"/>
  <c r="AV419" i="5"/>
  <c r="AU275" i="5"/>
  <c r="AV416" i="5"/>
  <c r="AQ67" i="5"/>
  <c r="AR67" i="5" s="1"/>
  <c r="AU280" i="5"/>
  <c r="AQ276" i="5"/>
  <c r="AR276" i="5" s="1"/>
  <c r="AV260" i="5"/>
  <c r="AU260" i="5"/>
  <c r="AV371" i="5"/>
  <c r="AV233" i="5"/>
  <c r="AZ233" i="5" s="1"/>
  <c r="AQ348" i="5"/>
  <c r="AR348" i="5" s="1"/>
  <c r="AV348" i="5"/>
  <c r="AQ116" i="5"/>
  <c r="AR116" i="5" s="1"/>
  <c r="AQ88" i="5"/>
  <c r="AR88" i="5" s="1"/>
  <c r="AQ252" i="5"/>
  <c r="AR252" i="5" s="1"/>
  <c r="AU206" i="5"/>
  <c r="AQ265" i="5"/>
  <c r="AR265" i="5" s="1"/>
  <c r="AI28" i="7"/>
  <c r="AK28" i="7" s="1"/>
  <c r="AV206" i="5"/>
  <c r="AU312" i="5"/>
  <c r="AV265" i="5"/>
  <c r="AZ265" i="5" s="1"/>
  <c r="AV312" i="5"/>
  <c r="AQ237" i="5"/>
  <c r="AR237" i="5" s="1"/>
  <c r="AZ4" i="7"/>
  <c r="H47" i="12"/>
  <c r="AQ201" i="5"/>
  <c r="AR201" i="5" s="1"/>
  <c r="AU374" i="5"/>
  <c r="AV247" i="5"/>
  <c r="AV237" i="5"/>
  <c r="AZ237" i="5" s="1"/>
  <c r="AQ247" i="5"/>
  <c r="AR247" i="5" s="1"/>
  <c r="AV252" i="5"/>
  <c r="AZ252" i="5" s="1"/>
  <c r="AU88" i="5"/>
  <c r="AV201" i="5"/>
  <c r="AV374" i="5"/>
  <c r="AZ374" i="5" s="1"/>
  <c r="AV384" i="5"/>
  <c r="AZ384" i="5" s="1"/>
  <c r="AU384" i="5"/>
  <c r="AU116" i="5"/>
  <c r="AU54" i="5"/>
  <c r="AV46" i="5"/>
  <c r="AV54" i="5"/>
  <c r="AU46" i="5"/>
  <c r="AV188" i="5"/>
  <c r="AQ133" i="5"/>
  <c r="AR133" i="5" s="1"/>
  <c r="AV414" i="5"/>
  <c r="AU289" i="5"/>
  <c r="AU165" i="5"/>
  <c r="AV222" i="5"/>
  <c r="AV190" i="5"/>
  <c r="AV259" i="5"/>
  <c r="AU80" i="5"/>
  <c r="AQ80" i="5"/>
  <c r="AR80" i="5" s="1"/>
  <c r="AQ221" i="5"/>
  <c r="AR221" i="5" s="1"/>
  <c r="AQ222" i="5"/>
  <c r="AR222" i="5" s="1"/>
  <c r="AQ190" i="5"/>
  <c r="AR190" i="5" s="1"/>
  <c r="AQ259" i="5"/>
  <c r="AR259" i="5" s="1"/>
  <c r="AU158" i="5"/>
  <c r="AU221" i="5"/>
  <c r="AV158" i="5"/>
  <c r="AV390" i="5"/>
  <c r="AV148" i="5"/>
  <c r="AV280" i="5"/>
  <c r="T33" i="46"/>
  <c r="AQ279" i="5"/>
  <c r="AR279" i="5" s="1"/>
  <c r="AU390" i="5"/>
  <c r="AQ148" i="5"/>
  <c r="AR148" i="5" s="1"/>
  <c r="AU279" i="5"/>
  <c r="S32" i="46"/>
  <c r="AV275" i="5"/>
  <c r="AZ275" i="5" s="1"/>
  <c r="AV276" i="5"/>
  <c r="AZ276" i="5" s="1"/>
  <c r="AQ419" i="5"/>
  <c r="AR419" i="5" s="1"/>
  <c r="AV67" i="5"/>
  <c r="AU416" i="5"/>
  <c r="AU414" i="5"/>
  <c r="S25" i="46"/>
  <c r="AV257" i="5"/>
  <c r="AZ257" i="5" s="1"/>
  <c r="AV400" i="5"/>
  <c r="AZ400" i="5" s="1"/>
  <c r="AU257" i="5"/>
  <c r="AV165" i="5"/>
  <c r="AZ165" i="5" s="1"/>
  <c r="T43" i="46"/>
  <c r="AQ378" i="5"/>
  <c r="AR378" i="5" s="1"/>
  <c r="AV418" i="5"/>
  <c r="AZ418" i="5" s="1"/>
  <c r="AV399" i="5"/>
  <c r="AZ399" i="5" s="1"/>
  <c r="AU399" i="5"/>
  <c r="AU322" i="5"/>
  <c r="AV258" i="5"/>
  <c r="AQ61" i="5"/>
  <c r="AR61" i="5" s="1"/>
  <c r="AU371" i="5"/>
  <c r="AU73" i="5"/>
  <c r="AU33" i="5"/>
  <c r="T38" i="46"/>
  <c r="AV77" i="5"/>
  <c r="AU241" i="5"/>
  <c r="AU233" i="5"/>
  <c r="AR33" i="5"/>
  <c r="AQ77" i="5"/>
  <c r="AR77" i="5" s="1"/>
  <c r="AQ241" i="5"/>
  <c r="AR241" i="5" s="1"/>
  <c r="M4" i="9"/>
  <c r="J4" i="9" s="1"/>
  <c r="S16" i="46"/>
  <c r="AU227" i="5"/>
  <c r="AV284" i="5"/>
  <c r="AQ289" i="5"/>
  <c r="AR289" i="5" s="1"/>
  <c r="AU133" i="5"/>
  <c r="T40" i="46"/>
  <c r="AV376" i="5"/>
  <c r="AQ284" i="5"/>
  <c r="AR284" i="5" s="1"/>
  <c r="AQ376" i="5"/>
  <c r="AR376" i="5" s="1"/>
  <c r="AV31" i="5"/>
  <c r="AZ31" i="5" s="1"/>
  <c r="AV266" i="5"/>
  <c r="AR31" i="5"/>
  <c r="S34" i="46"/>
  <c r="AQ266" i="5"/>
  <c r="AR266" i="5" s="1"/>
  <c r="AV161" i="5"/>
  <c r="AZ161" i="5" s="1"/>
  <c r="AV248" i="5"/>
  <c r="AZ248" i="5" s="1"/>
  <c r="S42" i="46"/>
  <c r="AV187" i="5"/>
  <c r="AZ187" i="5" s="1"/>
  <c r="AQ227" i="5"/>
  <c r="AR227" i="5" s="1"/>
  <c r="T31" i="46"/>
  <c r="AU161" i="5"/>
  <c r="AV243" i="5"/>
  <c r="AQ248" i="5"/>
  <c r="AR248" i="5" s="1"/>
  <c r="AV83" i="5"/>
  <c r="AZ83" i="5" s="1"/>
  <c r="AV402" i="5"/>
  <c r="AQ161" i="5"/>
  <c r="AR161" i="5" s="1"/>
  <c r="AU243" i="5"/>
  <c r="AU83" i="5"/>
  <c r="AQ401" i="5"/>
  <c r="AR401" i="5" s="1"/>
  <c r="AQ402" i="5"/>
  <c r="AR402" i="5" s="1"/>
  <c r="AV391" i="5"/>
  <c r="AV369" i="5"/>
  <c r="AZ369" i="5" s="1"/>
  <c r="S19" i="46"/>
  <c r="T42" i="46"/>
  <c r="AQ124" i="5"/>
  <c r="AR124" i="5" s="1"/>
  <c r="AV180" i="5"/>
  <c r="AV401" i="5"/>
  <c r="AU391" i="5"/>
  <c r="AU369" i="5"/>
  <c r="T26" i="46"/>
  <c r="AU124" i="5"/>
  <c r="AU180" i="5"/>
  <c r="T36" i="46"/>
  <c r="AV362" i="5"/>
  <c r="AV417" i="5"/>
  <c r="AZ417" i="5" s="1"/>
  <c r="AV84" i="5"/>
  <c r="T27" i="46"/>
  <c r="AV322" i="5"/>
  <c r="AZ322" i="5" s="1"/>
  <c r="AQ258" i="5"/>
  <c r="AR258" i="5" s="1"/>
  <c r="AU61" i="5"/>
  <c r="S23" i="46"/>
  <c r="AB75" i="10"/>
  <c r="AS200" i="12" s="1"/>
  <c r="AQ328" i="5"/>
  <c r="AR328" i="5" s="1"/>
  <c r="AU328" i="5"/>
  <c r="S31" i="46"/>
  <c r="AB25" i="10"/>
  <c r="AS48" i="12" s="1"/>
  <c r="AU413" i="5"/>
  <c r="S43" i="46"/>
  <c r="AQ187" i="5"/>
  <c r="AR187" i="5" s="1"/>
  <c r="AU378" i="5"/>
  <c r="AA61" i="10"/>
  <c r="AB61" i="10" s="1"/>
  <c r="AS156" i="12" s="1"/>
  <c r="AB113" i="10"/>
  <c r="AS312" i="12" s="1"/>
  <c r="AA111" i="10"/>
  <c r="AB111" i="10" s="1"/>
  <c r="AS308" i="12" s="1"/>
  <c r="AV81" i="5"/>
  <c r="AZ81" i="5" s="1"/>
  <c r="AU299" i="5"/>
  <c r="AB60" i="10"/>
  <c r="AS154" i="12" s="1"/>
  <c r="AD137" i="7"/>
  <c r="AP309" i="12" s="1"/>
  <c r="W309" i="8"/>
  <c r="AQ413" i="5"/>
  <c r="AR413" i="5" s="1"/>
  <c r="AI137" i="7"/>
  <c r="AK137" i="7" s="1"/>
  <c r="J4" i="10"/>
  <c r="AA99" i="10"/>
  <c r="AB99" i="10" s="1"/>
  <c r="AS272" i="12" s="1"/>
  <c r="AV245" i="5"/>
  <c r="AX137" i="7"/>
  <c r="AV392" i="5"/>
  <c r="AV251" i="5"/>
  <c r="AQ245" i="5"/>
  <c r="AR245" i="5" s="1"/>
  <c r="AU392" i="5"/>
  <c r="AU251" i="5"/>
  <c r="AQ140" i="5"/>
  <c r="AR140" i="5" s="1"/>
  <c r="AU245" i="5"/>
  <c r="AU140" i="5"/>
  <c r="AV311" i="5"/>
  <c r="AZ311" i="5" s="1"/>
  <c r="AU311" i="5"/>
  <c r="AQ81" i="5"/>
  <c r="AR81" i="5" s="1"/>
  <c r="AV299" i="5"/>
  <c r="AZ299" i="5" s="1"/>
  <c r="AU81" i="5"/>
  <c r="J4" i="7"/>
  <c r="AH34" i="7"/>
  <c r="U23" i="8"/>
  <c r="G23" i="12"/>
  <c r="W23" i="12" s="1"/>
  <c r="AW18" i="7"/>
  <c r="AO21" i="7"/>
  <c r="AS21" i="7" s="1"/>
  <c r="AV21" i="7" s="1"/>
  <c r="AD32" i="7"/>
  <c r="AP57" i="12" s="1"/>
  <c r="AG29" i="7"/>
  <c r="AH29" i="7" s="1"/>
  <c r="AD42" i="7"/>
  <c r="AP81" i="12" s="1"/>
  <c r="AO51" i="7"/>
  <c r="AS51" i="7" s="1"/>
  <c r="AV51" i="7" s="1"/>
  <c r="AD130" i="7"/>
  <c r="AP293" i="12" s="1"/>
  <c r="AD112" i="7"/>
  <c r="AP249" i="12" s="1"/>
  <c r="AV146" i="5"/>
  <c r="AG48" i="7"/>
  <c r="AH48" i="7" s="1"/>
  <c r="AQ146" i="5"/>
  <c r="AR146" i="5" s="1"/>
  <c r="AO89" i="7"/>
  <c r="AR89" i="7" s="1"/>
  <c r="AP155" i="12"/>
  <c r="AO73" i="7"/>
  <c r="AS73" i="7" s="1"/>
  <c r="AV73" i="7" s="1"/>
  <c r="AP47" i="12"/>
  <c r="AO28" i="7"/>
  <c r="AR28" i="7" s="1"/>
  <c r="AP319" i="12"/>
  <c r="AO141" i="7"/>
  <c r="AR141" i="7" s="1"/>
  <c r="AN49" i="7"/>
  <c r="AH49" i="7"/>
  <c r="AP239" i="12"/>
  <c r="AO108" i="7"/>
  <c r="AS108" i="7" s="1"/>
  <c r="AT108" i="7" s="1"/>
  <c r="AQ239" i="12" s="1"/>
  <c r="AU188" i="5"/>
  <c r="AO85" i="7"/>
  <c r="AS85" i="7" s="1"/>
  <c r="AV85" i="7" s="1"/>
  <c r="AH108" i="7"/>
  <c r="AO86" i="7"/>
  <c r="AS86" i="7" s="1"/>
  <c r="AO91" i="7"/>
  <c r="AS91" i="7" s="1"/>
  <c r="AO125" i="7"/>
  <c r="AR125" i="7" s="1"/>
  <c r="AO63" i="7"/>
  <c r="AS63" i="7" s="1"/>
  <c r="AV63" i="7" s="1"/>
  <c r="AH67" i="7"/>
  <c r="AO57" i="7"/>
  <c r="AG95" i="7"/>
  <c r="AN95" i="7" s="1"/>
  <c r="AH128" i="7"/>
  <c r="AO23" i="7"/>
  <c r="AS23" i="7" s="1"/>
  <c r="AT23" i="7" s="1"/>
  <c r="AQ35" i="12" s="1"/>
  <c r="AH81" i="7"/>
  <c r="AH55" i="7"/>
  <c r="AD131" i="7"/>
  <c r="AP295" i="12" s="1"/>
  <c r="AG88" i="7"/>
  <c r="AL88" i="7" s="1"/>
  <c r="AD24" i="7"/>
  <c r="AP37" i="12" s="1"/>
  <c r="AO16" i="7"/>
  <c r="AS16" i="7" s="1"/>
  <c r="AT16" i="7" s="1"/>
  <c r="AQ19" i="12" s="1"/>
  <c r="AG39" i="7"/>
  <c r="AN39" i="7" s="1"/>
  <c r="AH133" i="7"/>
  <c r="AH136" i="7"/>
  <c r="AO29" i="7"/>
  <c r="AS29" i="7" s="1"/>
  <c r="AT29" i="7" s="1"/>
  <c r="AQ49" i="12" s="1"/>
  <c r="AD58" i="7"/>
  <c r="AP119" i="12" s="1"/>
  <c r="AO76" i="7"/>
  <c r="AR76" i="7" s="1"/>
  <c r="T24" i="46"/>
  <c r="AH40" i="7"/>
  <c r="AO126" i="7"/>
  <c r="AR126" i="7" s="1"/>
  <c r="AO37" i="7"/>
  <c r="AS37" i="7" s="1"/>
  <c r="AH158" i="7"/>
  <c r="AG35" i="7"/>
  <c r="AL35" i="7" s="1"/>
  <c r="AO115" i="7"/>
  <c r="AR115" i="7" s="1"/>
  <c r="AO62" i="7"/>
  <c r="AR62" i="7" s="1"/>
  <c r="AO133" i="7"/>
  <c r="AS133" i="7" s="1"/>
  <c r="BE27" i="5"/>
  <c r="AN15" i="46" s="1"/>
  <c r="AG15" i="46"/>
  <c r="S38" i="46"/>
  <c r="AH76" i="7"/>
  <c r="AP353" i="12"/>
  <c r="AO155" i="7"/>
  <c r="AH41" i="7"/>
  <c r="AH22" i="7"/>
  <c r="AP107" i="12"/>
  <c r="AO53" i="7"/>
  <c r="AP201" i="12"/>
  <c r="AO92" i="7"/>
  <c r="AP349" i="12"/>
  <c r="AO154" i="7"/>
  <c r="AP95" i="12"/>
  <c r="AO48" i="7"/>
  <c r="AH85" i="7"/>
  <c r="AP317" i="12"/>
  <c r="AO140" i="7"/>
  <c r="AP191" i="12"/>
  <c r="AO88" i="7"/>
  <c r="AP149" i="12"/>
  <c r="AO70" i="7"/>
  <c r="AN118" i="7"/>
  <c r="AH118" i="7"/>
  <c r="AH50" i="7"/>
  <c r="T4" i="14"/>
  <c r="S4" i="14" s="1"/>
  <c r="AP189" i="12"/>
  <c r="AO87" i="7"/>
  <c r="AH122" i="7"/>
  <c r="AM48" i="7"/>
  <c r="AD129" i="7"/>
  <c r="AP289" i="12" s="1"/>
  <c r="AV334" i="5"/>
  <c r="AZ334" i="5" s="1"/>
  <c r="AQ334" i="5"/>
  <c r="AR334" i="5" s="1"/>
  <c r="AU334" i="5"/>
  <c r="AX344" i="5"/>
  <c r="AG70" i="7"/>
  <c r="AX228" i="5"/>
  <c r="BH228" i="5" s="1"/>
  <c r="AG26" i="7"/>
  <c r="AL26" i="7" s="1"/>
  <c r="AI20" i="7"/>
  <c r="AK20" i="7" s="1"/>
  <c r="AX20" i="7"/>
  <c r="H29" i="12"/>
  <c r="W29" i="8"/>
  <c r="AM46" i="7"/>
  <c r="AX415" i="5"/>
  <c r="BH415" i="5" s="1"/>
  <c r="I73" i="6"/>
  <c r="M73" i="6" s="1"/>
  <c r="AD42" i="10"/>
  <c r="Y98" i="8"/>
  <c r="K98" i="12"/>
  <c r="AM29" i="7"/>
  <c r="AQ303" i="5"/>
  <c r="AR303" i="5" s="1"/>
  <c r="AU303" i="5"/>
  <c r="AV303" i="5"/>
  <c r="AZ303" i="5" s="1"/>
  <c r="AO35" i="7"/>
  <c r="AG31" i="7"/>
  <c r="AN31" i="7" s="1"/>
  <c r="AD124" i="10"/>
  <c r="Y346" i="8"/>
  <c r="K346" i="12"/>
  <c r="AQ104" i="5"/>
  <c r="AR104" i="5" s="1"/>
  <c r="AU104" i="5"/>
  <c r="AV104" i="5"/>
  <c r="AZ104" i="5" s="1"/>
  <c r="AI72" i="7"/>
  <c r="AK72" i="7" s="1"/>
  <c r="AX72" i="7"/>
  <c r="W153" i="8"/>
  <c r="H153" i="12"/>
  <c r="AX59" i="7"/>
  <c r="AI59" i="7"/>
  <c r="AK59" i="7"/>
  <c r="W121" i="8"/>
  <c r="H121" i="12"/>
  <c r="AI84" i="7"/>
  <c r="AK84" i="7" s="1"/>
  <c r="AX84" i="7"/>
  <c r="H181" i="12"/>
  <c r="W181" i="8"/>
  <c r="AI153" i="7"/>
  <c r="AK153" i="7" s="1"/>
  <c r="AX153" i="7"/>
  <c r="W347" i="8"/>
  <c r="H347" i="12"/>
  <c r="AI54" i="7"/>
  <c r="AX54" i="7"/>
  <c r="AK54" i="7"/>
  <c r="H109" i="12"/>
  <c r="W109" i="8"/>
  <c r="AX116" i="7"/>
  <c r="AI116" i="7"/>
  <c r="AK116" i="7" s="1"/>
  <c r="W259" i="8"/>
  <c r="H259" i="12"/>
  <c r="AX151" i="7"/>
  <c r="AI151" i="7"/>
  <c r="AK151" i="7" s="1"/>
  <c r="W343" i="8"/>
  <c r="H343" i="12"/>
  <c r="AD48" i="10"/>
  <c r="Y118" i="8"/>
  <c r="K118" i="12"/>
  <c r="AQ230" i="5"/>
  <c r="AR230" i="5" s="1"/>
  <c r="AV230" i="5"/>
  <c r="AZ230" i="5" s="1"/>
  <c r="AU230" i="5"/>
  <c r="AI66" i="7"/>
  <c r="AK66" i="7" s="1"/>
  <c r="AX66" i="7"/>
  <c r="H139" i="12"/>
  <c r="W139" i="8"/>
  <c r="AV262" i="5"/>
  <c r="AZ262" i="5" s="1"/>
  <c r="AU262" i="5"/>
  <c r="AQ262" i="5"/>
  <c r="AR262" i="5" s="1"/>
  <c r="AI146" i="7"/>
  <c r="AK146" i="7" s="1"/>
  <c r="AX146" i="7"/>
  <c r="W331" i="8"/>
  <c r="H331" i="12"/>
  <c r="T17" i="46"/>
  <c r="AU50" i="5"/>
  <c r="AQ50" i="5"/>
  <c r="AR50" i="5" s="1"/>
  <c r="AV50" i="5"/>
  <c r="AZ50" i="5" s="1"/>
  <c r="AX45" i="7"/>
  <c r="AC4" i="7"/>
  <c r="AI45" i="7"/>
  <c r="AK45" i="7" s="1"/>
  <c r="W89" i="8"/>
  <c r="H89" i="12"/>
  <c r="AM96" i="7"/>
  <c r="AD72" i="10"/>
  <c r="Y190" i="8"/>
  <c r="K190" i="12"/>
  <c r="AI138" i="7"/>
  <c r="AK138" i="7" s="1"/>
  <c r="AX138" i="7"/>
  <c r="W311" i="8"/>
  <c r="H311" i="12"/>
  <c r="AM115" i="7"/>
  <c r="AK110" i="7"/>
  <c r="AX110" i="7"/>
  <c r="AI110" i="7"/>
  <c r="W245" i="8"/>
  <c r="H245" i="12"/>
  <c r="AU123" i="5"/>
  <c r="AQ123" i="5"/>
  <c r="AR123" i="5" s="1"/>
  <c r="AV123" i="5"/>
  <c r="AZ123" i="5" s="1"/>
  <c r="BH27" i="5"/>
  <c r="Z15" i="46"/>
  <c r="AU319" i="5"/>
  <c r="AQ319" i="5"/>
  <c r="AR319" i="5" s="1"/>
  <c r="AV319" i="5"/>
  <c r="AZ319" i="5" s="1"/>
  <c r="AX36" i="7"/>
  <c r="AI36" i="7"/>
  <c r="AK36" i="7" s="1"/>
  <c r="W67" i="8"/>
  <c r="H67" i="12"/>
  <c r="AM157" i="7"/>
  <c r="AM112" i="7"/>
  <c r="AD120" i="10"/>
  <c r="Y334" i="8"/>
  <c r="K334" i="12"/>
  <c r="AX136" i="7"/>
  <c r="AI136" i="7"/>
  <c r="AK136" i="7" s="1"/>
  <c r="W307" i="8"/>
  <c r="H307" i="12"/>
  <c r="AD51" i="10"/>
  <c r="K128" i="12"/>
  <c r="Y128" i="8"/>
  <c r="S26" i="46"/>
  <c r="AU175" i="5"/>
  <c r="AQ175" i="5"/>
  <c r="AR175" i="5" s="1"/>
  <c r="AV175" i="5"/>
  <c r="AZ175" i="5" s="1"/>
  <c r="AU94" i="5"/>
  <c r="AQ94" i="5"/>
  <c r="AR94" i="5" s="1"/>
  <c r="AV94" i="5"/>
  <c r="AZ94" i="5" s="1"/>
  <c r="AM138" i="7"/>
  <c r="AG20" i="7"/>
  <c r="AM39" i="7"/>
  <c r="AG25" i="7"/>
  <c r="AX215" i="5"/>
  <c r="BH215" i="5" s="1"/>
  <c r="AL58" i="13"/>
  <c r="BG23" i="46" s="1"/>
  <c r="AN58" i="13"/>
  <c r="BN23" i="46" s="1"/>
  <c r="AZ23" i="46"/>
  <c r="AX381" i="5"/>
  <c r="BH381" i="5" s="1"/>
  <c r="AM67" i="7"/>
  <c r="AL67" i="7"/>
  <c r="AU44" i="7"/>
  <c r="AY44" i="7"/>
  <c r="I85" i="12"/>
  <c r="X85" i="8"/>
  <c r="AV44" i="7"/>
  <c r="AM87" i="7"/>
  <c r="AL87" i="7"/>
  <c r="AU349" i="5"/>
  <c r="AQ349" i="5"/>
  <c r="AR349" i="5" s="1"/>
  <c r="AV349" i="5"/>
  <c r="AZ349" i="5" s="1"/>
  <c r="AQ121" i="5"/>
  <c r="AR121" i="5" s="1"/>
  <c r="AU121" i="5"/>
  <c r="AV121" i="5"/>
  <c r="AZ121" i="5" s="1"/>
  <c r="AU360" i="5"/>
  <c r="AQ360" i="5"/>
  <c r="AR360" i="5" s="1"/>
  <c r="AV360" i="5"/>
  <c r="AZ360" i="5" s="1"/>
  <c r="AM97" i="7"/>
  <c r="AL97" i="7"/>
  <c r="T19" i="46"/>
  <c r="AQ78" i="5"/>
  <c r="AR78" i="5" s="1"/>
  <c r="AV78" i="5"/>
  <c r="AZ78" i="5" s="1"/>
  <c r="AU78" i="5"/>
  <c r="AG145" i="7"/>
  <c r="AL145" i="7" s="1"/>
  <c r="AX386" i="5"/>
  <c r="AG65" i="7"/>
  <c r="AN65" i="7" s="1"/>
  <c r="AD95" i="10"/>
  <c r="K260" i="12"/>
  <c r="Y260" i="8"/>
  <c r="AM88" i="7"/>
  <c r="AQ173" i="5"/>
  <c r="AR173" i="5" s="1"/>
  <c r="AU173" i="5"/>
  <c r="AV173" i="5"/>
  <c r="AZ173" i="5" s="1"/>
  <c r="AU410" i="5"/>
  <c r="AQ410" i="5"/>
  <c r="AR410" i="5" s="1"/>
  <c r="AV410" i="5"/>
  <c r="AZ410" i="5" s="1"/>
  <c r="T30" i="46"/>
  <c r="AU232" i="5"/>
  <c r="AQ232" i="5"/>
  <c r="AR232" i="5" s="1"/>
  <c r="AV232" i="5"/>
  <c r="AZ232" i="5" s="1"/>
  <c r="AG46" i="7"/>
  <c r="T21" i="46"/>
  <c r="AV106" i="5"/>
  <c r="AZ106" i="5" s="1"/>
  <c r="AQ106" i="5"/>
  <c r="AR106" i="5" s="1"/>
  <c r="AU106" i="5"/>
  <c r="S28" i="46"/>
  <c r="AV203" i="5"/>
  <c r="AZ203" i="5" s="1"/>
  <c r="AQ203" i="5"/>
  <c r="AR203" i="5" s="1"/>
  <c r="AU203" i="5"/>
  <c r="AS98" i="12"/>
  <c r="AL46" i="13"/>
  <c r="BE21" i="46" s="1"/>
  <c r="AN46" i="13"/>
  <c r="AX21" i="46"/>
  <c r="AI100" i="7"/>
  <c r="AN100" i="7" s="1"/>
  <c r="AX100" i="7"/>
  <c r="H221" i="12"/>
  <c r="W221" i="8"/>
  <c r="AS94" i="12"/>
  <c r="AL86" i="13"/>
  <c r="BE29" i="46" s="1"/>
  <c r="AN86" i="13"/>
  <c r="BL29" i="46" s="1"/>
  <c r="AX29" i="46"/>
  <c r="AD81" i="10"/>
  <c r="Y216" i="8"/>
  <c r="K216" i="12"/>
  <c r="AX343" i="5"/>
  <c r="AQ65" i="5"/>
  <c r="AR65" i="5" s="1"/>
  <c r="AV65" i="5"/>
  <c r="AZ65" i="5" s="1"/>
  <c r="AU65" i="5"/>
  <c r="AK40" i="7"/>
  <c r="AX40" i="7"/>
  <c r="AI40" i="7"/>
  <c r="W77" i="8"/>
  <c r="H77" i="12"/>
  <c r="AU213" i="5"/>
  <c r="AQ213" i="5"/>
  <c r="AR213" i="5" s="1"/>
  <c r="AV213" i="5"/>
  <c r="AZ213" i="5" s="1"/>
  <c r="AI120" i="7"/>
  <c r="AK120" i="7" s="1"/>
  <c r="AX120" i="7"/>
  <c r="H269" i="12"/>
  <c r="W269" i="8"/>
  <c r="AI93" i="7"/>
  <c r="AK93" i="7" s="1"/>
  <c r="AX93" i="7"/>
  <c r="H203" i="12"/>
  <c r="W203" i="8"/>
  <c r="AD151" i="7"/>
  <c r="AP343" i="12" s="1"/>
  <c r="AI56" i="7"/>
  <c r="AK56" i="7" s="1"/>
  <c r="AX56" i="7"/>
  <c r="H115" i="12"/>
  <c r="W115" i="8"/>
  <c r="AG115" i="7"/>
  <c r="AN115" i="7" s="1"/>
  <c r="AX117" i="7"/>
  <c r="AI117" i="7"/>
  <c r="AK117" i="7" s="1"/>
  <c r="W261" i="8"/>
  <c r="H261" i="12"/>
  <c r="AM56" i="7"/>
  <c r="AD30" i="7"/>
  <c r="AP53" i="12" s="1"/>
  <c r="AI89" i="7"/>
  <c r="AX89" i="7"/>
  <c r="AK89" i="7"/>
  <c r="W193" i="8"/>
  <c r="H193" i="12"/>
  <c r="AV342" i="5"/>
  <c r="AZ342" i="5" s="1"/>
  <c r="AU342" i="5"/>
  <c r="AQ342" i="5"/>
  <c r="AR342" i="5" s="1"/>
  <c r="U24" i="8"/>
  <c r="Z24" i="8" s="1"/>
  <c r="AC17" i="10"/>
  <c r="AF17" i="10" s="1"/>
  <c r="AH144" i="7"/>
  <c r="AD63" i="10"/>
  <c r="K164" i="12"/>
  <c r="Y164" i="8"/>
  <c r="AX80" i="5"/>
  <c r="BH80" i="5" s="1"/>
  <c r="AU297" i="5"/>
  <c r="AQ297" i="5"/>
  <c r="AR297" i="5" s="1"/>
  <c r="AV297" i="5"/>
  <c r="AZ297" i="5" s="1"/>
  <c r="AX321" i="5"/>
  <c r="BH321" i="5" s="1"/>
  <c r="AD65" i="10"/>
  <c r="K168" i="12"/>
  <c r="Y168" i="8"/>
  <c r="AM155" i="7"/>
  <c r="AM131" i="7"/>
  <c r="AG73" i="7"/>
  <c r="AH73" i="7" s="1"/>
  <c r="AQ283" i="5"/>
  <c r="AR283" i="5" s="1"/>
  <c r="AU283" i="5"/>
  <c r="AV283" i="5"/>
  <c r="AZ283" i="5" s="1"/>
  <c r="AD36" i="7"/>
  <c r="AP67" i="12" s="1"/>
  <c r="AX52" i="5"/>
  <c r="BH52" i="5" s="1"/>
  <c r="T22" i="46"/>
  <c r="AQ120" i="5"/>
  <c r="AR120" i="5" s="1"/>
  <c r="AU120" i="5"/>
  <c r="AV120" i="5"/>
  <c r="AZ120" i="5" s="1"/>
  <c r="AD106" i="10"/>
  <c r="Y290" i="8"/>
  <c r="K290" i="12"/>
  <c r="AM58" i="7"/>
  <c r="AV89" i="5"/>
  <c r="AZ89" i="5" s="1"/>
  <c r="AU89" i="5"/>
  <c r="AQ89" i="5"/>
  <c r="AR89" i="5" s="1"/>
  <c r="AA15" i="46"/>
  <c r="BH22" i="5"/>
  <c r="AI157" i="7"/>
  <c r="AK157" i="7" s="1"/>
  <c r="AX157" i="7"/>
  <c r="W357" i="8"/>
  <c r="H357" i="12"/>
  <c r="AV144" i="5"/>
  <c r="AZ144" i="5" s="1"/>
  <c r="AQ144" i="5"/>
  <c r="AR144" i="5" s="1"/>
  <c r="AU144" i="5"/>
  <c r="AD67" i="7"/>
  <c r="AP141" i="12" s="1"/>
  <c r="AG120" i="7"/>
  <c r="AL120" i="7" s="1"/>
  <c r="AQ361" i="5"/>
  <c r="AR361" i="5" s="1"/>
  <c r="AU361" i="5"/>
  <c r="AV361" i="5"/>
  <c r="AZ361" i="5" s="1"/>
  <c r="AD37" i="10"/>
  <c r="Y84" i="8"/>
  <c r="K84" i="12"/>
  <c r="AX36" i="5"/>
  <c r="AI38" i="7"/>
  <c r="AK38" i="7" s="1"/>
  <c r="AX38" i="7"/>
  <c r="W71" i="8"/>
  <c r="H71" i="12"/>
  <c r="AI145" i="7"/>
  <c r="AK145" i="7" s="1"/>
  <c r="AX145" i="7"/>
  <c r="H329" i="12"/>
  <c r="W329" i="8"/>
  <c r="AX263" i="5"/>
  <c r="BH263" i="5" s="1"/>
  <c r="I50" i="6"/>
  <c r="M50" i="6" s="1"/>
  <c r="AQ68" i="5"/>
  <c r="AR68" i="5" s="1"/>
  <c r="AU68" i="5"/>
  <c r="AV68" i="5"/>
  <c r="AZ68" i="5" s="1"/>
  <c r="AX92" i="7"/>
  <c r="AI92" i="7"/>
  <c r="AK92" i="7" s="1"/>
  <c r="H201" i="12"/>
  <c r="W201" i="8"/>
  <c r="AQ53" i="5"/>
  <c r="AR53" i="5" s="1"/>
  <c r="AU53" i="5"/>
  <c r="AV53" i="5"/>
  <c r="AZ53" i="5" s="1"/>
  <c r="AM53" i="7"/>
  <c r="AI127" i="7"/>
  <c r="AK127" i="7" s="1"/>
  <c r="AX127" i="7"/>
  <c r="H285" i="12"/>
  <c r="W285" i="8"/>
  <c r="AM38" i="7"/>
  <c r="AL133" i="13"/>
  <c r="BG38" i="46" s="1"/>
  <c r="AN133" i="13"/>
  <c r="BN38" i="46" s="1"/>
  <c r="AZ38" i="46"/>
  <c r="AQ200" i="5"/>
  <c r="AR200" i="5" s="1"/>
  <c r="AV200" i="5"/>
  <c r="AZ200" i="5" s="1"/>
  <c r="AU200" i="5"/>
  <c r="AD100" i="10"/>
  <c r="Y274" i="8"/>
  <c r="K274" i="12"/>
  <c r="AM62" i="7"/>
  <c r="AD40" i="10"/>
  <c r="K94" i="12"/>
  <c r="Y94" i="8"/>
  <c r="AX314" i="5"/>
  <c r="BH314" i="5" s="1"/>
  <c r="AX301" i="5"/>
  <c r="AL38" i="13"/>
  <c r="BG19" i="46" s="1"/>
  <c r="AN38" i="13"/>
  <c r="BN19" i="46" s="1"/>
  <c r="AZ19" i="46"/>
  <c r="AY109" i="7"/>
  <c r="AU109" i="7"/>
  <c r="X241" i="8"/>
  <c r="I241" i="12"/>
  <c r="AV109" i="7"/>
  <c r="AX227" i="5"/>
  <c r="BH227" i="5" s="1"/>
  <c r="AM31" i="7"/>
  <c r="AQ191" i="5"/>
  <c r="AR191" i="5" s="1"/>
  <c r="AU191" i="5"/>
  <c r="AV191" i="5"/>
  <c r="AZ191" i="5" s="1"/>
  <c r="AD40" i="7"/>
  <c r="AP77" i="12" s="1"/>
  <c r="AO59" i="7"/>
  <c r="AD120" i="7"/>
  <c r="AP269" i="12" s="1"/>
  <c r="AI86" i="7"/>
  <c r="AK86" i="7" s="1"/>
  <c r="AX86" i="7"/>
  <c r="W187" i="8"/>
  <c r="H187" i="12"/>
  <c r="AX126" i="7"/>
  <c r="AI126" i="7"/>
  <c r="AK126" i="7" s="1"/>
  <c r="W283" i="8"/>
  <c r="H283" i="12"/>
  <c r="AO84" i="7"/>
  <c r="AI103" i="7"/>
  <c r="AK103" i="7" s="1"/>
  <c r="AX103" i="7"/>
  <c r="H227" i="12"/>
  <c r="W227" i="8"/>
  <c r="AO153" i="7"/>
  <c r="AO54" i="7"/>
  <c r="AO116" i="7"/>
  <c r="AD93" i="7"/>
  <c r="AP203" i="12" s="1"/>
  <c r="AD56" i="7"/>
  <c r="AP115" i="12" s="1"/>
  <c r="AX178" i="5"/>
  <c r="BH178" i="5" s="1"/>
  <c r="AO135" i="7"/>
  <c r="AU34" i="5"/>
  <c r="AR34" i="5"/>
  <c r="AV34" i="5"/>
  <c r="AZ34" i="5" s="1"/>
  <c r="AD54" i="10"/>
  <c r="Y134" i="8"/>
  <c r="K134" i="12"/>
  <c r="AX285" i="5"/>
  <c r="BH285" i="5" s="1"/>
  <c r="AM154" i="7"/>
  <c r="AL154" i="7"/>
  <c r="AI121" i="7"/>
  <c r="AK121" i="7" s="1"/>
  <c r="AX121" i="7"/>
  <c r="W271" i="8"/>
  <c r="H271" i="12"/>
  <c r="AX223" i="5"/>
  <c r="BH223" i="5" s="1"/>
  <c r="AI43" i="7"/>
  <c r="AK43" i="7" s="1"/>
  <c r="AX43" i="7"/>
  <c r="W83" i="8"/>
  <c r="H83" i="12"/>
  <c r="AU396" i="5"/>
  <c r="AQ396" i="5"/>
  <c r="AR396" i="5" s="1"/>
  <c r="AV396" i="5"/>
  <c r="AZ396" i="5" s="1"/>
  <c r="AD142" i="7"/>
  <c r="AP321" i="12" s="1"/>
  <c r="AG42" i="7"/>
  <c r="AL42" i="7" s="1"/>
  <c r="AU164" i="5"/>
  <c r="AQ164" i="5"/>
  <c r="AR164" i="5" s="1"/>
  <c r="AV164" i="5"/>
  <c r="AZ164" i="5" s="1"/>
  <c r="AI26" i="7"/>
  <c r="AK26" i="7" s="1"/>
  <c r="AX26" i="7"/>
  <c r="H43" i="12"/>
  <c r="W43" i="8"/>
  <c r="AQ256" i="5"/>
  <c r="AR256" i="5" s="1"/>
  <c r="AU256" i="5"/>
  <c r="AV256" i="5"/>
  <c r="AZ256" i="5" s="1"/>
  <c r="AX71" i="7"/>
  <c r="AI71" i="7"/>
  <c r="AN71" i="7" s="1"/>
  <c r="W151" i="8"/>
  <c r="H151" i="12"/>
  <c r="AD52" i="10"/>
  <c r="Y130" i="8"/>
  <c r="K130" i="12"/>
  <c r="AD104" i="10"/>
  <c r="Y286" i="8"/>
  <c r="K286" i="12"/>
  <c r="AS124" i="7"/>
  <c r="AR124" i="7"/>
  <c r="AT124" i="7"/>
  <c r="AQ277" i="12" s="1"/>
  <c r="AD41" i="10"/>
  <c r="Y96" i="8"/>
  <c r="K96" i="12"/>
  <c r="AM63" i="7"/>
  <c r="AM151" i="7"/>
  <c r="AQ181" i="5"/>
  <c r="AR181" i="5" s="1"/>
  <c r="AU181" i="5"/>
  <c r="AV181" i="5"/>
  <c r="AZ181" i="5" s="1"/>
  <c r="AQ398" i="5"/>
  <c r="AR398" i="5" s="1"/>
  <c r="AU398" i="5"/>
  <c r="AV398" i="5"/>
  <c r="AZ398" i="5" s="1"/>
  <c r="AS33" i="7"/>
  <c r="AT33" i="7" s="1"/>
  <c r="AQ59" i="12" s="1"/>
  <c r="AR33" i="7"/>
  <c r="AI143" i="7"/>
  <c r="AN143" i="7" s="1"/>
  <c r="AX143" i="7"/>
  <c r="W323" i="8"/>
  <c r="H323" i="12"/>
  <c r="S24" i="46"/>
  <c r="AV147" i="5"/>
  <c r="AZ147" i="5" s="1"/>
  <c r="AU147" i="5"/>
  <c r="AQ147" i="5"/>
  <c r="AR147" i="5" s="1"/>
  <c r="AD57" i="10"/>
  <c r="Y144" i="8"/>
  <c r="K144" i="12"/>
  <c r="AM72" i="7"/>
  <c r="AQ129" i="5"/>
  <c r="AR129" i="5" s="1"/>
  <c r="AV129" i="5"/>
  <c r="AZ129" i="5" s="1"/>
  <c r="AU129" i="5"/>
  <c r="T37" i="46"/>
  <c r="AU330" i="5"/>
  <c r="AQ330" i="5"/>
  <c r="AR330" i="5" s="1"/>
  <c r="AV330" i="5"/>
  <c r="AZ330" i="5" s="1"/>
  <c r="AD115" i="10"/>
  <c r="Y320" i="8"/>
  <c r="K320" i="12"/>
  <c r="AM152" i="7"/>
  <c r="AD19" i="10"/>
  <c r="Y32" i="8"/>
  <c r="K32" i="12"/>
  <c r="AQ224" i="5"/>
  <c r="AR224" i="5" s="1"/>
  <c r="AU224" i="5"/>
  <c r="AV224" i="5"/>
  <c r="AZ224" i="5" s="1"/>
  <c r="AG150" i="7"/>
  <c r="AN150" i="7" s="1"/>
  <c r="AV388" i="5"/>
  <c r="AZ388" i="5" s="1"/>
  <c r="AU388" i="5"/>
  <c r="AQ388" i="5"/>
  <c r="AR388" i="5" s="1"/>
  <c r="AH139" i="7"/>
  <c r="AX315" i="5"/>
  <c r="AO39" i="7"/>
  <c r="AD34" i="10"/>
  <c r="Y74" i="8"/>
  <c r="K74" i="12"/>
  <c r="AJ4" i="7"/>
  <c r="AO117" i="7"/>
  <c r="AG56" i="7"/>
  <c r="AD84" i="10"/>
  <c r="K226" i="12"/>
  <c r="Y226" i="8"/>
  <c r="AD128" i="10"/>
  <c r="Y358" i="8"/>
  <c r="K358" i="12"/>
  <c r="AI73" i="7"/>
  <c r="AK73" i="7" s="1"/>
  <c r="AX73" i="7"/>
  <c r="W155" i="8"/>
  <c r="H155" i="12"/>
  <c r="AD29" i="10"/>
  <c r="Y60" i="8"/>
  <c r="K60" i="12"/>
  <c r="AG89" i="7"/>
  <c r="AN89" i="7" s="1"/>
  <c r="AM144" i="7"/>
  <c r="AL144" i="7"/>
  <c r="AL34" i="7"/>
  <c r="AM34" i="7"/>
  <c r="AX103" i="5"/>
  <c r="AT159" i="7"/>
  <c r="AQ361" i="12" s="1"/>
  <c r="AS159" i="7"/>
  <c r="AR159" i="7"/>
  <c r="AU32" i="5"/>
  <c r="AR32" i="5"/>
  <c r="AV32" i="5"/>
  <c r="AZ32" i="5" s="1"/>
  <c r="AV395" i="5"/>
  <c r="AZ395" i="5" s="1"/>
  <c r="AU395" i="5"/>
  <c r="AQ395" i="5"/>
  <c r="AR395" i="5" s="1"/>
  <c r="AG155" i="7"/>
  <c r="AL155" i="7" s="1"/>
  <c r="AU139" i="5"/>
  <c r="AQ139" i="5"/>
  <c r="AR139" i="5" s="1"/>
  <c r="AV139" i="5"/>
  <c r="AZ139" i="5" s="1"/>
  <c r="AX373" i="5"/>
  <c r="BH373" i="5" s="1"/>
  <c r="I67" i="6"/>
  <c r="M67" i="6" s="1"/>
  <c r="AG131" i="7"/>
  <c r="AD31" i="10"/>
  <c r="Y68" i="8"/>
  <c r="K68" i="12"/>
  <c r="AQ216" i="5"/>
  <c r="AR216" i="5" s="1"/>
  <c r="AU216" i="5"/>
  <c r="AV216" i="5"/>
  <c r="AZ216" i="5" s="1"/>
  <c r="AL33" i="7"/>
  <c r="AM33" i="7"/>
  <c r="AM143" i="7"/>
  <c r="AL143" i="7"/>
  <c r="AX126" i="5"/>
  <c r="BH126" i="5" s="1"/>
  <c r="AQ341" i="5"/>
  <c r="AR341" i="5" s="1"/>
  <c r="AU341" i="5"/>
  <c r="AV341" i="5"/>
  <c r="AZ341" i="5" s="1"/>
  <c r="AU278" i="5"/>
  <c r="AQ278" i="5"/>
  <c r="AR278" i="5" s="1"/>
  <c r="AV278" i="5"/>
  <c r="AZ278" i="5" s="1"/>
  <c r="AI135" i="7"/>
  <c r="AN135" i="7" s="1"/>
  <c r="AX135" i="7"/>
  <c r="W305" i="8"/>
  <c r="H305" i="12"/>
  <c r="AG58" i="7"/>
  <c r="AL58" i="7" s="1"/>
  <c r="AD26" i="10"/>
  <c r="Y50" i="8"/>
  <c r="K50" i="12"/>
  <c r="AM158" i="7"/>
  <c r="AL158" i="7"/>
  <c r="U26" i="8"/>
  <c r="Z26" i="8" s="1"/>
  <c r="AC18" i="10"/>
  <c r="AF18" i="10" s="1"/>
  <c r="G26" i="12"/>
  <c r="W26" i="12" s="1"/>
  <c r="AQ137" i="5"/>
  <c r="AR137" i="5" s="1"/>
  <c r="AV137" i="5"/>
  <c r="AZ137" i="5" s="1"/>
  <c r="AU137" i="5"/>
  <c r="AM93" i="7"/>
  <c r="AL93" i="7"/>
  <c r="AU305" i="5"/>
  <c r="AQ305" i="5"/>
  <c r="AR305" i="5" s="1"/>
  <c r="AV305" i="5"/>
  <c r="AZ305" i="5" s="1"/>
  <c r="S29" i="46"/>
  <c r="AQ217" i="5"/>
  <c r="AR217" i="5" s="1"/>
  <c r="AU217" i="5"/>
  <c r="AV217" i="5"/>
  <c r="AZ217" i="5" s="1"/>
  <c r="AL36" i="7"/>
  <c r="AM36" i="7"/>
  <c r="AD157" i="7"/>
  <c r="AD123" i="10"/>
  <c r="K344" i="12"/>
  <c r="Y344" i="8"/>
  <c r="AL106" i="13"/>
  <c r="BE33" i="46" s="1"/>
  <c r="AN106" i="13"/>
  <c r="BL33" i="46" s="1"/>
  <c r="AX33" i="46"/>
  <c r="BH39" i="5"/>
  <c r="I18" i="6"/>
  <c r="M18" i="6" s="1"/>
  <c r="AU234" i="5"/>
  <c r="AV234" i="5"/>
  <c r="AZ234" i="5" s="1"/>
  <c r="AQ234" i="5"/>
  <c r="AR234" i="5" s="1"/>
  <c r="AM28" i="7"/>
  <c r="AL28" i="7"/>
  <c r="AQ112" i="5"/>
  <c r="AR112" i="5" s="1"/>
  <c r="AU112" i="5"/>
  <c r="AV112" i="5"/>
  <c r="AZ112" i="5" s="1"/>
  <c r="AU185" i="5"/>
  <c r="AQ185" i="5"/>
  <c r="AR185" i="5" s="1"/>
  <c r="AV185" i="5"/>
  <c r="AZ185" i="5" s="1"/>
  <c r="AD60" i="10"/>
  <c r="Y154" i="8"/>
  <c r="K154" i="12"/>
  <c r="AX287" i="5"/>
  <c r="AM80" i="7"/>
  <c r="AL80" i="7"/>
  <c r="AX291" i="5"/>
  <c r="BH291" i="5" s="1"/>
  <c r="I54" i="6"/>
  <c r="M54" i="6" s="1"/>
  <c r="AI112" i="7"/>
  <c r="AK112" i="7" s="1"/>
  <c r="AX112" i="7"/>
  <c r="W249" i="8"/>
  <c r="H249" i="12"/>
  <c r="AO43" i="7"/>
  <c r="AL156" i="13"/>
  <c r="BE43" i="46" s="1"/>
  <c r="AN156" i="13"/>
  <c r="BL43" i="46" s="1"/>
  <c r="AX43" i="46"/>
  <c r="AL76" i="13"/>
  <c r="BE27" i="46" s="1"/>
  <c r="AN76" i="13"/>
  <c r="BL27" i="46" s="1"/>
  <c r="AX27" i="46"/>
  <c r="AD101" i="10"/>
  <c r="Y276" i="8"/>
  <c r="K276" i="12"/>
  <c r="AM43" i="7"/>
  <c r="AL43" i="7"/>
  <c r="AO26" i="7"/>
  <c r="AS26" i="7" s="1"/>
  <c r="AX246" i="5"/>
  <c r="AI29" i="7"/>
  <c r="AX29" i="7"/>
  <c r="W49" i="8"/>
  <c r="H49" i="12"/>
  <c r="AX81" i="7"/>
  <c r="AI81" i="7"/>
  <c r="AK81" i="7" s="1"/>
  <c r="W175" i="8"/>
  <c r="H175" i="12"/>
  <c r="AD114" i="10"/>
  <c r="Y314" i="8"/>
  <c r="K314" i="12"/>
  <c r="AX300" i="5"/>
  <c r="BH300" i="5" s="1"/>
  <c r="AD91" i="10"/>
  <c r="Y248" i="8"/>
  <c r="K248" i="12"/>
  <c r="AK99" i="7"/>
  <c r="AX99" i="7"/>
  <c r="AI99" i="7"/>
  <c r="W217" i="8"/>
  <c r="H217" i="12"/>
  <c r="AD21" i="10"/>
  <c r="Y36" i="8"/>
  <c r="K36" i="12"/>
  <c r="AS96" i="12"/>
  <c r="AL25" i="13"/>
  <c r="BD17" i="46" s="1"/>
  <c r="AN25" i="13"/>
  <c r="BK17" i="46" s="1"/>
  <c r="AW17" i="46"/>
  <c r="AD118" i="10"/>
  <c r="Y326" i="8"/>
  <c r="K326" i="12"/>
  <c r="AG63" i="7"/>
  <c r="AL63" i="7" s="1"/>
  <c r="AG151" i="7"/>
  <c r="AL151" i="7" s="1"/>
  <c r="AM132" i="7"/>
  <c r="AL132" i="7"/>
  <c r="AU47" i="5"/>
  <c r="AQ47" i="5"/>
  <c r="AR47" i="5" s="1"/>
  <c r="AV47" i="5"/>
  <c r="AZ47" i="5" s="1"/>
  <c r="AD143" i="7"/>
  <c r="AQ261" i="5"/>
  <c r="AR261" i="5" s="1"/>
  <c r="AU261" i="5"/>
  <c r="AV261" i="5"/>
  <c r="AZ261" i="5" s="1"/>
  <c r="AH87" i="7"/>
  <c r="AU367" i="5"/>
  <c r="AQ367" i="5"/>
  <c r="AR367" i="5" s="1"/>
  <c r="AV367" i="5"/>
  <c r="AZ367" i="5" s="1"/>
  <c r="AG72" i="7"/>
  <c r="AH97" i="7"/>
  <c r="AX214" i="5"/>
  <c r="BH214" i="5" s="1"/>
  <c r="AV292" i="5"/>
  <c r="AZ292" i="5" s="1"/>
  <c r="AU292" i="5"/>
  <c r="AQ292" i="5"/>
  <c r="AR292" i="5" s="1"/>
  <c r="AD38" i="7"/>
  <c r="AU107" i="5"/>
  <c r="AQ107" i="5"/>
  <c r="AR107" i="5" s="1"/>
  <c r="AV107" i="5"/>
  <c r="AZ107" i="5" s="1"/>
  <c r="AI32" i="7"/>
  <c r="AK32" i="7" s="1"/>
  <c r="AX32" i="7"/>
  <c r="W57" i="8"/>
  <c r="H57" i="12"/>
  <c r="AD145" i="7"/>
  <c r="AP329" i="12" s="1"/>
  <c r="AX79" i="5"/>
  <c r="BH79" i="5" s="1"/>
  <c r="I23" i="6"/>
  <c r="M23" i="6" s="1"/>
  <c r="AM101" i="7"/>
  <c r="AL101" i="7"/>
  <c r="AX382" i="5"/>
  <c r="BH382" i="5" s="1"/>
  <c r="AI57" i="7"/>
  <c r="AK57" i="7" s="1"/>
  <c r="AX57" i="7"/>
  <c r="W117" i="8"/>
  <c r="H117" i="12"/>
  <c r="AG152" i="7"/>
  <c r="AX160" i="5"/>
  <c r="BH160" i="5" s="1"/>
  <c r="AX294" i="5"/>
  <c r="BH294" i="5" s="1"/>
  <c r="AX354" i="5"/>
  <c r="BH354" i="5" s="1"/>
  <c r="AU313" i="5"/>
  <c r="AQ313" i="5"/>
  <c r="AR313" i="5" s="1"/>
  <c r="AV313" i="5"/>
  <c r="AZ313" i="5" s="1"/>
  <c r="AX23" i="7"/>
  <c r="AI23" i="7"/>
  <c r="AK23" i="7" s="1"/>
  <c r="W35" i="8"/>
  <c r="H35" i="12"/>
  <c r="AG38" i="7"/>
  <c r="R90" i="8"/>
  <c r="T90" i="8" s="1"/>
  <c r="V90" i="8"/>
  <c r="V4" i="8" s="1"/>
  <c r="J90" i="12"/>
  <c r="AX270" i="5"/>
  <c r="BH270" i="5" s="1"/>
  <c r="AI21" i="7"/>
  <c r="AK21" i="7" s="1"/>
  <c r="AX21" i="7"/>
  <c r="W31" i="8"/>
  <c r="H31" i="12"/>
  <c r="AI107" i="7"/>
  <c r="AN107" i="7" s="1"/>
  <c r="AX107" i="7"/>
  <c r="W237" i="8"/>
  <c r="H237" i="12"/>
  <c r="AD100" i="7"/>
  <c r="AU60" i="5"/>
  <c r="AQ60" i="5"/>
  <c r="AR60" i="5" s="1"/>
  <c r="AV60" i="5"/>
  <c r="AZ60" i="5" s="1"/>
  <c r="AG62" i="7"/>
  <c r="AH62" i="7" s="1"/>
  <c r="AM104" i="7"/>
  <c r="AL104" i="7"/>
  <c r="S4" i="8"/>
  <c r="AM100" i="7"/>
  <c r="AL100" i="7"/>
  <c r="AI48" i="7"/>
  <c r="AX48" i="7"/>
  <c r="W95" i="8"/>
  <c r="H95" i="12"/>
  <c r="AI152" i="7"/>
  <c r="AK152" i="7" s="1"/>
  <c r="AX152" i="7"/>
  <c r="W345" i="8"/>
  <c r="H345" i="12"/>
  <c r="AI46" i="7"/>
  <c r="AK46" i="7" s="1"/>
  <c r="AX46" i="7"/>
  <c r="W91" i="8"/>
  <c r="H91" i="12"/>
  <c r="AO103" i="7"/>
  <c r="AI34" i="7"/>
  <c r="AK34" i="7"/>
  <c r="AX34" i="7"/>
  <c r="H61" i="12"/>
  <c r="W61" i="8"/>
  <c r="AX155" i="7"/>
  <c r="AI155" i="7"/>
  <c r="AK155" i="7" s="1"/>
  <c r="W353" i="8"/>
  <c r="H353" i="12"/>
  <c r="AX56" i="5"/>
  <c r="BH56" i="5" s="1"/>
  <c r="AD80" i="10"/>
  <c r="Y214" i="8"/>
  <c r="K214" i="12"/>
  <c r="AQ229" i="5"/>
  <c r="AR229" i="5" s="1"/>
  <c r="AU229" i="5"/>
  <c r="AV229" i="5"/>
  <c r="AZ229" i="5" s="1"/>
  <c r="AM79" i="7"/>
  <c r="AX49" i="7"/>
  <c r="AK49" i="7"/>
  <c r="AI49" i="7"/>
  <c r="H97" i="12"/>
  <c r="W97" i="8"/>
  <c r="AV168" i="5"/>
  <c r="AZ168" i="5" s="1"/>
  <c r="AU168" i="5"/>
  <c r="AQ168" i="5"/>
  <c r="AR168" i="5" s="1"/>
  <c r="AQ363" i="5"/>
  <c r="AR363" i="5" s="1"/>
  <c r="AU363" i="5"/>
  <c r="AV363" i="5"/>
  <c r="AZ363" i="5" s="1"/>
  <c r="AK47" i="13"/>
  <c r="AD21" i="46"/>
  <c r="AU219" i="5"/>
  <c r="AQ219" i="5"/>
  <c r="AR219" i="5" s="1"/>
  <c r="AV219" i="5"/>
  <c r="AZ219" i="5" s="1"/>
  <c r="AL62" i="13"/>
  <c r="BF24" i="46" s="1"/>
  <c r="AN62" i="13"/>
  <c r="BM24" i="46" s="1"/>
  <c r="AY24" i="46"/>
  <c r="AL21" i="13"/>
  <c r="BE16" i="46" s="1"/>
  <c r="AN21" i="13"/>
  <c r="BL16" i="46" s="1"/>
  <c r="AX16" i="46"/>
  <c r="AX79" i="7"/>
  <c r="AI79" i="7"/>
  <c r="AK79" i="7" s="1"/>
  <c r="H169" i="12"/>
  <c r="W169" i="8"/>
  <c r="AM113" i="7"/>
  <c r="AD38" i="10"/>
  <c r="Y86" i="8"/>
  <c r="K86" i="12"/>
  <c r="AQ205" i="5"/>
  <c r="AR205" i="5" s="1"/>
  <c r="AU205" i="5"/>
  <c r="AV205" i="5"/>
  <c r="AZ205" i="5" s="1"/>
  <c r="AQ238" i="5"/>
  <c r="AR238" i="5" s="1"/>
  <c r="AU238" i="5"/>
  <c r="AV238" i="5"/>
  <c r="AZ238" i="5" s="1"/>
  <c r="AL115" i="13"/>
  <c r="BD35" i="46" s="1"/>
  <c r="AN115" i="13"/>
  <c r="BK35" i="46" s="1"/>
  <c r="AW35" i="46"/>
  <c r="AM65" i="7"/>
  <c r="AU151" i="5"/>
  <c r="AQ151" i="5"/>
  <c r="AR151" i="5" s="1"/>
  <c r="AV151" i="5"/>
  <c r="AZ151" i="5" s="1"/>
  <c r="AD97" i="10"/>
  <c r="Y264" i="8"/>
  <c r="K264" i="12"/>
  <c r="AD121" i="10"/>
  <c r="Y336" i="8"/>
  <c r="K336" i="12"/>
  <c r="AU308" i="5"/>
  <c r="AQ308" i="5"/>
  <c r="AR308" i="5" s="1"/>
  <c r="AV308" i="5"/>
  <c r="AZ308" i="5" s="1"/>
  <c r="AV96" i="5"/>
  <c r="AZ96" i="5" s="1"/>
  <c r="AU96" i="5"/>
  <c r="AQ96" i="5"/>
  <c r="AR96" i="5" s="1"/>
  <c r="AD146" i="7"/>
  <c r="AP331" i="12" s="1"/>
  <c r="AK64" i="7"/>
  <c r="AI64" i="7"/>
  <c r="AX64" i="7"/>
  <c r="W133" i="8"/>
  <c r="H133" i="12"/>
  <c r="AX82" i="7"/>
  <c r="AI82" i="7"/>
  <c r="AK82" i="7" s="1"/>
  <c r="H177" i="12"/>
  <c r="W177" i="8"/>
  <c r="AK104" i="7"/>
  <c r="AI104" i="7"/>
  <c r="AX104" i="7"/>
  <c r="W229" i="8"/>
  <c r="H229" i="12"/>
  <c r="AD45" i="7"/>
  <c r="AG96" i="7"/>
  <c r="AS105" i="7"/>
  <c r="AT105" i="7" s="1"/>
  <c r="AQ233" i="12" s="1"/>
  <c r="AR105" i="7"/>
  <c r="AG79" i="7"/>
  <c r="AL79" i="7" s="1"/>
  <c r="AD110" i="7"/>
  <c r="AP245" i="12" s="1"/>
  <c r="AX179" i="5"/>
  <c r="BH179" i="5" s="1"/>
  <c r="I38" i="6"/>
  <c r="M38" i="6" s="1"/>
  <c r="AD58" i="10"/>
  <c r="Y146" i="8"/>
  <c r="K146" i="12"/>
  <c r="AI60" i="7"/>
  <c r="AN60" i="7" s="1"/>
  <c r="AX60" i="7"/>
  <c r="W125" i="8"/>
  <c r="H125" i="12"/>
  <c r="AH135" i="7"/>
  <c r="AI148" i="7"/>
  <c r="AK148" i="7" s="1"/>
  <c r="AX148" i="7"/>
  <c r="H335" i="12"/>
  <c r="W335" i="8"/>
  <c r="AD148" i="7"/>
  <c r="AP335" i="12" s="1"/>
  <c r="M15" i="12"/>
  <c r="AM15" i="12"/>
  <c r="AB15" i="12"/>
  <c r="AC15" i="12" s="1"/>
  <c r="L15" i="12"/>
  <c r="Y15" i="12"/>
  <c r="O15" i="12"/>
  <c r="P15" i="12"/>
  <c r="AH15" i="12"/>
  <c r="AI15" i="12" s="1"/>
  <c r="AK15" i="12"/>
  <c r="AL15" i="12" s="1"/>
  <c r="AE15" i="12"/>
  <c r="AF15" i="12" s="1"/>
  <c r="N15" i="12"/>
  <c r="AI63" i="7"/>
  <c r="AK63" i="7" s="1"/>
  <c r="AX63" i="7"/>
  <c r="H131" i="12"/>
  <c r="W131" i="8"/>
  <c r="AD59" i="10"/>
  <c r="Y152" i="8"/>
  <c r="K152" i="12"/>
  <c r="Z4" i="13"/>
  <c r="Y4" i="13" s="1"/>
  <c r="AI70" i="7"/>
  <c r="AK70" i="7" s="1"/>
  <c r="AX70" i="7"/>
  <c r="H149" i="12"/>
  <c r="W149" i="8"/>
  <c r="AM82" i="7"/>
  <c r="AQ207" i="5"/>
  <c r="AR207" i="5" s="1"/>
  <c r="AU207" i="5"/>
  <c r="AV207" i="5"/>
  <c r="AZ207" i="5" s="1"/>
  <c r="AD79" i="7"/>
  <c r="AP169" i="12" s="1"/>
  <c r="AH107" i="7"/>
  <c r="AL80" i="13"/>
  <c r="BD28" i="46" s="1"/>
  <c r="AN80" i="13"/>
  <c r="BK28" i="46" s="1"/>
  <c r="AW28" i="46"/>
  <c r="AD86" i="10"/>
  <c r="K230" i="12"/>
  <c r="Y230" i="8"/>
  <c r="AD50" i="10"/>
  <c r="Y122" i="8"/>
  <c r="K122" i="12"/>
  <c r="AM22" i="7"/>
  <c r="AL22" i="7"/>
  <c r="AR69" i="7"/>
  <c r="AT69" i="7"/>
  <c r="AQ145" i="12" s="1"/>
  <c r="AS69" i="7"/>
  <c r="AD96" i="10"/>
  <c r="Y262" i="8"/>
  <c r="K262" i="12"/>
  <c r="AD79" i="10"/>
  <c r="Y212" i="8"/>
  <c r="K212" i="12"/>
  <c r="AI80" i="7"/>
  <c r="AN80" i="7" s="1"/>
  <c r="AX80" i="7"/>
  <c r="H173" i="12"/>
  <c r="W173" i="8"/>
  <c r="AD80" i="7"/>
  <c r="AQ375" i="5"/>
  <c r="AR375" i="5" s="1"/>
  <c r="AU375" i="5"/>
  <c r="AV375" i="5"/>
  <c r="AZ375" i="5" s="1"/>
  <c r="AR133" i="12"/>
  <c r="AX264" i="5"/>
  <c r="BH264" i="5" s="1"/>
  <c r="AO64" i="7"/>
  <c r="AO82" i="7"/>
  <c r="AO101" i="5"/>
  <c r="AM4" i="5"/>
  <c r="AL4" i="5" s="1"/>
  <c r="S20" i="46"/>
  <c r="AQ91" i="5"/>
  <c r="AR91" i="5" s="1"/>
  <c r="AU91" i="5"/>
  <c r="AV91" i="5"/>
  <c r="AZ91" i="5" s="1"/>
  <c r="AD104" i="7"/>
  <c r="AP229" i="12" s="1"/>
  <c r="AD127" i="10"/>
  <c r="K356" i="12"/>
  <c r="Y356" i="8"/>
  <c r="AD74" i="10"/>
  <c r="Y194" i="8"/>
  <c r="K194" i="12"/>
  <c r="AM141" i="7"/>
  <c r="AL141" i="7"/>
  <c r="AM55" i="7"/>
  <c r="AL55" i="7"/>
  <c r="AM35" i="7"/>
  <c r="AD22" i="10"/>
  <c r="Y38" i="8"/>
  <c r="K38" i="12"/>
  <c r="AL19" i="13"/>
  <c r="BH15" i="46" s="1"/>
  <c r="AN19" i="13"/>
  <c r="BO15" i="46" s="1"/>
  <c r="BA15" i="46"/>
  <c r="AV117" i="5"/>
  <c r="AZ117" i="5" s="1"/>
  <c r="AU117" i="5"/>
  <c r="AQ117" i="5"/>
  <c r="AR117" i="5" s="1"/>
  <c r="AO111" i="7"/>
  <c r="S36" i="46"/>
  <c r="AQ332" i="5"/>
  <c r="AR332" i="5" s="1"/>
  <c r="AU332" i="5"/>
  <c r="AV332" i="5"/>
  <c r="AZ332" i="5" s="1"/>
  <c r="AX119" i="5"/>
  <c r="AL50" i="13"/>
  <c r="BD22" i="46" s="1"/>
  <c r="AN50" i="13"/>
  <c r="BK22" i="46" s="1"/>
  <c r="AW22" i="46"/>
  <c r="AU42" i="5"/>
  <c r="AQ42" i="5"/>
  <c r="AR42" i="5" s="1"/>
  <c r="AV42" i="5"/>
  <c r="AZ42" i="5" s="1"/>
  <c r="AL81" i="7"/>
  <c r="AM81" i="7"/>
  <c r="AL153" i="13"/>
  <c r="BG42" i="46" s="1"/>
  <c r="AN153" i="13"/>
  <c r="BN42" i="46" s="1"/>
  <c r="AZ42" i="46"/>
  <c r="AM52" i="7"/>
  <c r="AL52" i="7"/>
  <c r="AL15" i="13"/>
  <c r="BD15" i="46" s="1"/>
  <c r="AN15" i="13"/>
  <c r="BK15" i="46" s="1"/>
  <c r="AW15" i="46"/>
  <c r="S39" i="46"/>
  <c r="AU357" i="5"/>
  <c r="AQ357" i="5"/>
  <c r="AR357" i="5" s="1"/>
  <c r="AV357" i="5"/>
  <c r="AZ357" i="5" s="1"/>
  <c r="AL92" i="13"/>
  <c r="BF30" i="46" s="1"/>
  <c r="AN92" i="13"/>
  <c r="BM30" i="46" s="1"/>
  <c r="AY30" i="46"/>
  <c r="AM64" i="7"/>
  <c r="AL64" i="7"/>
  <c r="AK18" i="7"/>
  <c r="AX18" i="7"/>
  <c r="H23" i="12"/>
  <c r="W23" i="8"/>
  <c r="T18" i="46"/>
  <c r="AQ64" i="5"/>
  <c r="AR64" i="5" s="1"/>
  <c r="AU64" i="5"/>
  <c r="AV64" i="5"/>
  <c r="AZ64" i="5" s="1"/>
  <c r="AM116" i="7"/>
  <c r="AL116" i="7"/>
  <c r="AU138" i="5"/>
  <c r="AQ138" i="5"/>
  <c r="AR138" i="5" s="1"/>
  <c r="AV138" i="5"/>
  <c r="AZ138" i="5" s="1"/>
  <c r="AK15" i="7"/>
  <c r="AX15" i="7"/>
  <c r="W17" i="8"/>
  <c r="H17" i="12"/>
  <c r="AD15" i="7"/>
  <c r="AP17" i="12" s="1"/>
  <c r="AH99" i="7"/>
  <c r="AU82" i="5"/>
  <c r="AQ82" i="5"/>
  <c r="AR82" i="5" s="1"/>
  <c r="AV82" i="5"/>
  <c r="AZ82" i="5" s="1"/>
  <c r="AU87" i="5"/>
  <c r="AQ87" i="5"/>
  <c r="AR87" i="5" s="1"/>
  <c r="AV87" i="5"/>
  <c r="AZ87" i="5" s="1"/>
  <c r="AI98" i="7"/>
  <c r="AK98" i="7" s="1"/>
  <c r="AX98" i="7"/>
  <c r="W215" i="8"/>
  <c r="H215" i="12"/>
  <c r="AU114" i="7"/>
  <c r="AY114" i="7"/>
  <c r="I253" i="12"/>
  <c r="X253" i="8"/>
  <c r="AV114" i="7"/>
  <c r="AI131" i="7"/>
  <c r="AK131" i="7" s="1"/>
  <c r="AX131" i="7"/>
  <c r="H295" i="12"/>
  <c r="W295" i="8"/>
  <c r="AQ355" i="5"/>
  <c r="AR355" i="5" s="1"/>
  <c r="AU355" i="5"/>
  <c r="AV355" i="5"/>
  <c r="AZ355" i="5" s="1"/>
  <c r="AD119" i="10"/>
  <c r="Y332" i="8"/>
  <c r="K332" i="12"/>
  <c r="AK149" i="7"/>
  <c r="AI149" i="7"/>
  <c r="AX149" i="7"/>
  <c r="W337" i="8"/>
  <c r="H337" i="12"/>
  <c r="AD107" i="10"/>
  <c r="K296" i="12"/>
  <c r="Y296" i="8"/>
  <c r="AM127" i="7"/>
  <c r="AI25" i="7"/>
  <c r="AK25" i="7" s="1"/>
  <c r="AX25" i="7"/>
  <c r="W41" i="8"/>
  <c r="H41" i="12"/>
  <c r="AH68" i="7"/>
  <c r="AD43" i="10"/>
  <c r="K104" i="12"/>
  <c r="Y104" i="8"/>
  <c r="S30" i="46"/>
  <c r="AU231" i="5"/>
  <c r="AQ231" i="5"/>
  <c r="AR231" i="5" s="1"/>
  <c r="AV231" i="5"/>
  <c r="AZ231" i="5" s="1"/>
  <c r="AK95" i="7"/>
  <c r="AI95" i="7"/>
  <c r="AX95" i="7"/>
  <c r="H209" i="12"/>
  <c r="W209" i="8"/>
  <c r="M19" i="12"/>
  <c r="AQ75" i="5"/>
  <c r="AR75" i="5" s="1"/>
  <c r="AU75" i="5"/>
  <c r="AV75" i="5"/>
  <c r="AZ75" i="5" s="1"/>
  <c r="T28" i="46"/>
  <c r="AU204" i="5"/>
  <c r="AV204" i="5"/>
  <c r="AZ204" i="5" s="1"/>
  <c r="AQ204" i="5"/>
  <c r="AR204" i="5" s="1"/>
  <c r="AX134" i="5"/>
  <c r="AX33" i="5"/>
  <c r="BH33" i="5" s="1"/>
  <c r="AM105" i="7"/>
  <c r="AM83" i="7"/>
  <c r="AD112" i="10"/>
  <c r="Y310" i="8"/>
  <c r="K310" i="12"/>
  <c r="AD88" i="10"/>
  <c r="Y238" i="8"/>
  <c r="K238" i="12"/>
  <c r="AX331" i="5"/>
  <c r="BH331" i="5" s="1"/>
  <c r="I59" i="6"/>
  <c r="M59" i="6" s="1"/>
  <c r="AD33" i="10"/>
  <c r="Y72" i="8"/>
  <c r="K72" i="12"/>
  <c r="AL145" i="13"/>
  <c r="BD41" i="46" s="1"/>
  <c r="AN145" i="13"/>
  <c r="BK41" i="46" s="1"/>
  <c r="AW41" i="46"/>
  <c r="AM30" i="7"/>
  <c r="AD55" i="7"/>
  <c r="AP113" i="12" s="1"/>
  <c r="AQ157" i="5"/>
  <c r="AR157" i="5" s="1"/>
  <c r="AU157" i="5"/>
  <c r="AV157" i="5"/>
  <c r="AZ157" i="5" s="1"/>
  <c r="AO139" i="7"/>
  <c r="AL73" i="13"/>
  <c r="BG26" i="46" s="1"/>
  <c r="AN73" i="13"/>
  <c r="AZ26" i="46"/>
  <c r="AX298" i="5"/>
  <c r="BH298" i="5" s="1"/>
  <c r="AO71" i="7"/>
  <c r="AX274" i="5"/>
  <c r="T35" i="46"/>
  <c r="AQ302" i="5"/>
  <c r="AR302" i="5" s="1"/>
  <c r="AU302" i="5"/>
  <c r="AV302" i="5"/>
  <c r="AZ302" i="5" s="1"/>
  <c r="AX370" i="5"/>
  <c r="BH370" i="5" s="1"/>
  <c r="AQ383" i="5"/>
  <c r="AR383" i="5" s="1"/>
  <c r="AU383" i="5"/>
  <c r="AV383" i="5"/>
  <c r="AZ383" i="5" s="1"/>
  <c r="AI128" i="7"/>
  <c r="AN128" i="7" s="1"/>
  <c r="AX128" i="7"/>
  <c r="W287" i="8"/>
  <c r="H287" i="12"/>
  <c r="AX244" i="5"/>
  <c r="BH244" i="5" s="1"/>
  <c r="AX147" i="7"/>
  <c r="AI147" i="7"/>
  <c r="AK147" i="7" s="1"/>
  <c r="W333" i="8"/>
  <c r="H333" i="12"/>
  <c r="AU110" i="5"/>
  <c r="AQ110" i="5"/>
  <c r="AR110" i="5" s="1"/>
  <c r="AV110" i="5"/>
  <c r="AZ110" i="5" s="1"/>
  <c r="AM47" i="7"/>
  <c r="AG78" i="7"/>
  <c r="AL78" i="7" s="1"/>
  <c r="AL54" i="13"/>
  <c r="BH22" i="46" s="1"/>
  <c r="AN54" i="13"/>
  <c r="BO22" i="46" s="1"/>
  <c r="BA22" i="46"/>
  <c r="S27" i="46"/>
  <c r="AQ189" i="5"/>
  <c r="AR189" i="5" s="1"/>
  <c r="AU189" i="5"/>
  <c r="AV189" i="5"/>
  <c r="AZ189" i="5" s="1"/>
  <c r="AM130" i="7"/>
  <c r="AL130" i="7"/>
  <c r="AD53" i="10"/>
  <c r="Y132" i="8"/>
  <c r="K132" i="12"/>
  <c r="AD23" i="10"/>
  <c r="K44" i="12"/>
  <c r="Y44" i="8"/>
  <c r="S40" i="46"/>
  <c r="AD98" i="10"/>
  <c r="Y266" i="8"/>
  <c r="K266" i="12"/>
  <c r="AU196" i="5"/>
  <c r="AQ196" i="5"/>
  <c r="AR196" i="5" s="1"/>
  <c r="AV196" i="5"/>
  <c r="AZ196" i="5" s="1"/>
  <c r="T41" i="46"/>
  <c r="AI122" i="7"/>
  <c r="AX122" i="7"/>
  <c r="W273" i="8"/>
  <c r="H273" i="12"/>
  <c r="AU55" i="5"/>
  <c r="AQ55" i="5"/>
  <c r="AR55" i="5" s="1"/>
  <c r="AV55" i="5"/>
  <c r="AZ55" i="5" s="1"/>
  <c r="AM111" i="7"/>
  <c r="AM90" i="7"/>
  <c r="AM147" i="7"/>
  <c r="AQ318" i="5"/>
  <c r="AR318" i="5" s="1"/>
  <c r="AU318" i="5"/>
  <c r="AV318" i="5"/>
  <c r="AZ318" i="5" s="1"/>
  <c r="AU95" i="5"/>
  <c r="AQ95" i="5"/>
  <c r="AR95" i="5" s="1"/>
  <c r="AV95" i="5"/>
  <c r="AZ95" i="5" s="1"/>
  <c r="AQ192" i="5"/>
  <c r="AR192" i="5" s="1"/>
  <c r="AV192" i="5"/>
  <c r="AZ192" i="5" s="1"/>
  <c r="AU192" i="5"/>
  <c r="AM108" i="7"/>
  <c r="AL108" i="7"/>
  <c r="AG53" i="7"/>
  <c r="AM92" i="7"/>
  <c r="AV154" i="5"/>
  <c r="AZ154" i="5" s="1"/>
  <c r="AU154" i="5"/>
  <c r="AQ154" i="5"/>
  <c r="AR154" i="5" s="1"/>
  <c r="AQ21" i="46"/>
  <c r="AX409" i="5"/>
  <c r="BH409" i="5" s="1"/>
  <c r="AO121" i="7"/>
  <c r="AQ150" i="5"/>
  <c r="AR150" i="5" s="1"/>
  <c r="AU150" i="5"/>
  <c r="AV150" i="5"/>
  <c r="AZ150" i="5" s="1"/>
  <c r="AX163" i="5"/>
  <c r="BH163" i="5" s="1"/>
  <c r="I35" i="6"/>
  <c r="M35" i="6" s="1"/>
  <c r="AR88" i="12"/>
  <c r="AI97" i="7"/>
  <c r="AK97" i="7" s="1"/>
  <c r="AX97" i="7"/>
  <c r="W213" i="8"/>
  <c r="H213" i="12"/>
  <c r="AI156" i="7"/>
  <c r="AN156" i="7" s="1"/>
  <c r="AX156" i="7"/>
  <c r="H355" i="12"/>
  <c r="W355" i="8"/>
  <c r="AP91" i="12"/>
  <c r="AR90" i="12"/>
  <c r="AI50" i="7"/>
  <c r="AN50" i="7" s="1"/>
  <c r="AX50" i="7"/>
  <c r="H101" i="12"/>
  <c r="W101" i="8"/>
  <c r="AI90" i="7"/>
  <c r="AK90" i="7" s="1"/>
  <c r="AX90" i="7"/>
  <c r="W197" i="8"/>
  <c r="H197" i="12"/>
  <c r="AX123" i="7"/>
  <c r="AI123" i="7"/>
  <c r="AK123" i="7" s="1"/>
  <c r="W275" i="8"/>
  <c r="H275" i="12"/>
  <c r="AK94" i="7"/>
  <c r="AI94" i="7"/>
  <c r="AX94" i="7"/>
  <c r="W205" i="8"/>
  <c r="H205" i="12"/>
  <c r="AX75" i="7"/>
  <c r="AI75" i="7"/>
  <c r="AN75" i="7" s="1"/>
  <c r="H161" i="12"/>
  <c r="W161" i="8"/>
  <c r="AO17" i="7"/>
  <c r="AM37" i="7"/>
  <c r="AH33" i="7"/>
  <c r="S17" i="46"/>
  <c r="AD98" i="7"/>
  <c r="AD28" i="10"/>
  <c r="Y58" i="8"/>
  <c r="K58" i="12"/>
  <c r="AH143" i="7"/>
  <c r="AU115" i="5"/>
  <c r="AQ115" i="5"/>
  <c r="AR115" i="5" s="1"/>
  <c r="AV115" i="5"/>
  <c r="AZ115" i="5" s="1"/>
  <c r="T25" i="46"/>
  <c r="AV162" i="5"/>
  <c r="AZ162" i="5" s="1"/>
  <c r="AU162" i="5"/>
  <c r="AQ162" i="5"/>
  <c r="AR162" i="5" s="1"/>
  <c r="AM117" i="7"/>
  <c r="AX140" i="7"/>
  <c r="AK140" i="7"/>
  <c r="AI140" i="7"/>
  <c r="H317" i="12"/>
  <c r="W317" i="8"/>
  <c r="AX149" i="5"/>
  <c r="BH149" i="5" s="1"/>
  <c r="I33" i="6"/>
  <c r="M33" i="6" s="1"/>
  <c r="AP21" i="46"/>
  <c r="AD149" i="7"/>
  <c r="AP337" i="12" s="1"/>
  <c r="AX136" i="5"/>
  <c r="BH136" i="5" s="1"/>
  <c r="AG127" i="7"/>
  <c r="AX320" i="5"/>
  <c r="BH320" i="5" s="1"/>
  <c r="AO25" i="7"/>
  <c r="AM68" i="7"/>
  <c r="AL68" i="7"/>
  <c r="AH93" i="7"/>
  <c r="AU118" i="5"/>
  <c r="AQ118" i="5"/>
  <c r="AR118" i="5" s="1"/>
  <c r="AV118" i="5"/>
  <c r="AZ118" i="5" s="1"/>
  <c r="AH36" i="7"/>
  <c r="AX135" i="5"/>
  <c r="BH135" i="5" s="1"/>
  <c r="I31" i="6"/>
  <c r="M31" i="6" s="1"/>
  <c r="AO95" i="7"/>
  <c r="AQ152" i="5"/>
  <c r="AR152" i="5" s="1"/>
  <c r="AV152" i="5"/>
  <c r="AZ152" i="5" s="1"/>
  <c r="AU152" i="5"/>
  <c r="AH28" i="7"/>
  <c r="AO60" i="7"/>
  <c r="AM74" i="7"/>
  <c r="AL74" i="7"/>
  <c r="AQ304" i="5"/>
  <c r="AR304" i="5" s="1"/>
  <c r="AV304" i="5"/>
  <c r="AZ304" i="5" s="1"/>
  <c r="AU304" i="5"/>
  <c r="AL127" i="13"/>
  <c r="BF37" i="46" s="1"/>
  <c r="AN127" i="13"/>
  <c r="BM37" i="46" s="1"/>
  <c r="AY37" i="46"/>
  <c r="AD90" i="10"/>
  <c r="Y242" i="8"/>
  <c r="K242" i="12"/>
  <c r="AH80" i="7"/>
  <c r="AG105" i="7"/>
  <c r="AL105" i="7" s="1"/>
  <c r="AG83" i="7"/>
  <c r="AI52" i="7"/>
  <c r="AK52" i="7" s="1"/>
  <c r="AX52" i="7"/>
  <c r="W105" i="8"/>
  <c r="H105" i="12"/>
  <c r="AM137" i="7"/>
  <c r="AL137" i="7"/>
  <c r="AD71" i="10"/>
  <c r="K188" i="12"/>
  <c r="Y188" i="8"/>
  <c r="S33" i="46"/>
  <c r="AQ273" i="5"/>
  <c r="AR273" i="5" s="1"/>
  <c r="AU273" i="5"/>
  <c r="AV273" i="5"/>
  <c r="AZ273" i="5" s="1"/>
  <c r="AG30" i="7"/>
  <c r="AQ62" i="5"/>
  <c r="AR62" i="5" s="1"/>
  <c r="AV62" i="5"/>
  <c r="AZ62" i="5" s="1"/>
  <c r="AU62" i="5"/>
  <c r="AK139" i="7"/>
  <c r="AI139" i="7"/>
  <c r="AX139" i="7"/>
  <c r="W313" i="8"/>
  <c r="H313" i="12"/>
  <c r="AH43" i="7"/>
  <c r="AO52" i="7"/>
  <c r="AD66" i="10"/>
  <c r="Y170" i="8"/>
  <c r="K170" i="12"/>
  <c r="AO18" i="7"/>
  <c r="T16" i="46"/>
  <c r="AX102" i="7"/>
  <c r="AI102" i="7"/>
  <c r="AK102" i="7" s="1"/>
  <c r="H225" i="12"/>
  <c r="W225" i="8"/>
  <c r="AO81" i="7"/>
  <c r="AD128" i="7"/>
  <c r="AM57" i="7"/>
  <c r="AL57" i="7"/>
  <c r="AO99" i="7"/>
  <c r="AM49" i="7"/>
  <c r="AL49" i="7"/>
  <c r="AD147" i="7"/>
  <c r="AP333" i="12" s="1"/>
  <c r="AO68" i="7"/>
  <c r="AQ364" i="5"/>
  <c r="AR364" i="5" s="1"/>
  <c r="AU364" i="5"/>
  <c r="AV364" i="5"/>
  <c r="AZ364" i="5" s="1"/>
  <c r="AH132" i="7"/>
  <c r="R4" i="10"/>
  <c r="Y39" i="10"/>
  <c r="AG47" i="7"/>
  <c r="AQ325" i="5"/>
  <c r="AR325" i="5" s="1"/>
  <c r="AU325" i="5"/>
  <c r="AV325" i="5"/>
  <c r="AZ325" i="5" s="1"/>
  <c r="AQ186" i="5"/>
  <c r="AR186" i="5" s="1"/>
  <c r="AU186" i="5"/>
  <c r="AV186" i="5"/>
  <c r="AZ186" i="5" s="1"/>
  <c r="AX339" i="5"/>
  <c r="BH339" i="5" s="1"/>
  <c r="AH130" i="7"/>
  <c r="AR91" i="12"/>
  <c r="AD127" i="7"/>
  <c r="AP285" i="12" s="1"/>
  <c r="AL143" i="13"/>
  <c r="BG40" i="46" s="1"/>
  <c r="AN143" i="13"/>
  <c r="BN40" i="46" s="1"/>
  <c r="AZ40" i="46"/>
  <c r="AL32" i="7"/>
  <c r="AM32" i="7"/>
  <c r="AH101" i="7"/>
  <c r="AX59" i="5"/>
  <c r="BH59" i="5" s="1"/>
  <c r="AO122" i="7"/>
  <c r="AG111" i="7"/>
  <c r="AG90" i="7"/>
  <c r="AD129" i="10"/>
  <c r="K360" i="12"/>
  <c r="Y360" i="8"/>
  <c r="AM122" i="7"/>
  <c r="AL122" i="7"/>
  <c r="AI51" i="7"/>
  <c r="AK51" i="7" s="1"/>
  <c r="AX51" i="7"/>
  <c r="H103" i="12"/>
  <c r="W103" i="8"/>
  <c r="AX97" i="5"/>
  <c r="BH97" i="5" s="1"/>
  <c r="AQ166" i="5"/>
  <c r="AR166" i="5" s="1"/>
  <c r="AU166" i="5"/>
  <c r="AV166" i="5"/>
  <c r="AZ166" i="5" s="1"/>
  <c r="AG147" i="7"/>
  <c r="AD36" i="10"/>
  <c r="Y82" i="8"/>
  <c r="K82" i="12"/>
  <c r="AL121" i="7"/>
  <c r="AM121" i="7"/>
  <c r="AX195" i="5"/>
  <c r="BH195" i="5" s="1"/>
  <c r="AI76" i="7"/>
  <c r="AN76" i="7" s="1"/>
  <c r="AX76" i="7"/>
  <c r="W163" i="8"/>
  <c r="H163" i="12"/>
  <c r="AG92" i="7"/>
  <c r="AL92" i="7" s="1"/>
  <c r="AM118" i="7"/>
  <c r="AL118" i="7"/>
  <c r="AL153" i="7"/>
  <c r="AM153" i="7"/>
  <c r="AX35" i="5"/>
  <c r="AU277" i="5"/>
  <c r="AV277" i="5"/>
  <c r="AZ277" i="5" s="1"/>
  <c r="AQ277" i="5"/>
  <c r="AR277" i="5" s="1"/>
  <c r="AO107" i="7"/>
  <c r="AI101" i="7"/>
  <c r="AK101" i="7" s="1"/>
  <c r="AX101" i="7"/>
  <c r="W223" i="8"/>
  <c r="H223" i="12"/>
  <c r="AX350" i="5"/>
  <c r="BH350" i="5" s="1"/>
  <c r="AU368" i="5"/>
  <c r="AQ368" i="5"/>
  <c r="AR368" i="5" s="1"/>
  <c r="AV368" i="5"/>
  <c r="AZ368" i="5" s="1"/>
  <c r="AM126" i="7"/>
  <c r="AL126" i="7"/>
  <c r="S35" i="46"/>
  <c r="AH104" i="7"/>
  <c r="AD55" i="10"/>
  <c r="K140" i="12"/>
  <c r="Y140" i="8"/>
  <c r="AL149" i="13"/>
  <c r="BH41" i="46" s="1"/>
  <c r="AN149" i="13"/>
  <c r="BO41" i="46" s="1"/>
  <c r="BA41" i="46"/>
  <c r="AX389" i="5"/>
  <c r="BH389" i="5" s="1"/>
  <c r="I70" i="6"/>
  <c r="M70" i="6" s="1"/>
  <c r="AH100" i="7"/>
  <c r="AO152" i="7"/>
  <c r="AO97" i="7"/>
  <c r="AO156" i="7"/>
  <c r="AO46" i="7"/>
  <c r="AI24" i="7"/>
  <c r="AX24" i="7"/>
  <c r="AK24" i="7"/>
  <c r="H37" i="12"/>
  <c r="W37" i="8"/>
  <c r="AD50" i="7"/>
  <c r="AP101" i="12" s="1"/>
  <c r="AD90" i="7"/>
  <c r="AP197" i="12" s="1"/>
  <c r="AD123" i="7"/>
  <c r="AP275" i="12" s="1"/>
  <c r="AO34" i="7"/>
  <c r="AX96" i="7"/>
  <c r="AI96" i="7"/>
  <c r="AK96" i="7" s="1"/>
  <c r="W211" i="8"/>
  <c r="H211" i="12"/>
  <c r="AD94" i="7"/>
  <c r="AP205" i="12" s="1"/>
  <c r="AD75" i="7"/>
  <c r="AP161" i="12" s="1"/>
  <c r="AX125" i="7"/>
  <c r="AI125" i="7"/>
  <c r="AK125" i="7" s="1"/>
  <c r="W281" i="8"/>
  <c r="H281" i="12"/>
  <c r="AM149" i="7"/>
  <c r="AD85" i="10"/>
  <c r="Y228" i="8"/>
  <c r="K228" i="12"/>
  <c r="AX102" i="5"/>
  <c r="AN45" i="13"/>
  <c r="AL45" i="13"/>
  <c r="AW21" i="46"/>
  <c r="AX255" i="5"/>
  <c r="BH255" i="5" s="1"/>
  <c r="AD35" i="10"/>
  <c r="Y80" i="8"/>
  <c r="K80" i="12"/>
  <c r="AM20" i="7"/>
  <c r="AM25" i="7"/>
  <c r="AM27" i="7"/>
  <c r="AL27" i="7"/>
  <c r="AV271" i="5"/>
  <c r="AZ271" i="5" s="1"/>
  <c r="AQ271" i="5"/>
  <c r="AR271" i="5" s="1"/>
  <c r="AU271" i="5"/>
  <c r="AD24" i="10"/>
  <c r="Y46" i="8"/>
  <c r="K46" i="12"/>
  <c r="AM145" i="7"/>
  <c r="AV122" i="5"/>
  <c r="AZ122" i="5" s="1"/>
  <c r="AQ122" i="5"/>
  <c r="AR122" i="5" s="1"/>
  <c r="AU122" i="5"/>
  <c r="AX76" i="5"/>
  <c r="BH76" i="5" s="1"/>
  <c r="AD66" i="7"/>
  <c r="AP139" i="12" s="1"/>
  <c r="AQ70" i="5"/>
  <c r="AR70" i="5" s="1"/>
  <c r="AV70" i="5"/>
  <c r="AZ70" i="5" s="1"/>
  <c r="AU70" i="5"/>
  <c r="AM50" i="7"/>
  <c r="AL50" i="7"/>
  <c r="AL139" i="7"/>
  <c r="AM139" i="7"/>
  <c r="AU145" i="5"/>
  <c r="AQ145" i="5"/>
  <c r="AR145" i="5" s="1"/>
  <c r="AV145" i="5"/>
  <c r="AZ145" i="5" s="1"/>
  <c r="AD113" i="10"/>
  <c r="Y312" i="8"/>
  <c r="K312" i="12"/>
  <c r="AX30" i="7"/>
  <c r="AI30" i="7"/>
  <c r="AK30" i="7" s="1"/>
  <c r="H53" i="12"/>
  <c r="W53" i="8"/>
  <c r="AD93" i="10"/>
  <c r="K252" i="12"/>
  <c r="Y252" i="8"/>
  <c r="AW15" i="7"/>
  <c r="U17" i="8"/>
  <c r="G17" i="12"/>
  <c r="W17" i="12" s="1"/>
  <c r="AS115" i="7"/>
  <c r="AX220" i="5"/>
  <c r="BH220" i="5" s="1"/>
  <c r="AQ51" i="5"/>
  <c r="AR51" i="5" s="1"/>
  <c r="AU51" i="5"/>
  <c r="AV51" i="5"/>
  <c r="AZ51" i="5" s="1"/>
  <c r="AX41" i="7"/>
  <c r="AI41" i="7"/>
  <c r="AN41" i="7" s="1"/>
  <c r="W79" i="8"/>
  <c r="H79" i="12"/>
  <c r="AM73" i="7"/>
  <c r="AX306" i="5"/>
  <c r="BH306" i="5" s="1"/>
  <c r="AX359" i="5"/>
  <c r="BH359" i="5" s="1"/>
  <c r="I63" i="6"/>
  <c r="M63" i="6" s="1"/>
  <c r="AM85" i="7"/>
  <c r="AL85" i="7"/>
  <c r="AL98" i="13"/>
  <c r="BG31" i="46" s="1"/>
  <c r="AN98" i="13"/>
  <c r="BN31" i="46" s="1"/>
  <c r="AZ31" i="46"/>
  <c r="AG157" i="7"/>
  <c r="AD130" i="10"/>
  <c r="Y362" i="8"/>
  <c r="K362" i="12"/>
  <c r="AG112" i="7"/>
  <c r="AH51" i="7"/>
  <c r="AD136" i="7"/>
  <c r="AP307" i="12" s="1"/>
  <c r="AH60" i="7"/>
  <c r="AM41" i="7"/>
  <c r="AL41" i="7"/>
  <c r="AH75" i="7"/>
  <c r="T39" i="46"/>
  <c r="AU358" i="5"/>
  <c r="AQ358" i="5"/>
  <c r="AR358" i="5" s="1"/>
  <c r="AV358" i="5"/>
  <c r="AZ358" i="5" s="1"/>
  <c r="AH24" i="7"/>
  <c r="AH15" i="46"/>
  <c r="BE22" i="5"/>
  <c r="AO15" i="46" s="1"/>
  <c r="AX88" i="7"/>
  <c r="AI88" i="7"/>
  <c r="W191" i="8"/>
  <c r="H191" i="12"/>
  <c r="AX27" i="7"/>
  <c r="AI27" i="7"/>
  <c r="AK27" i="7" s="1"/>
  <c r="W45" i="8"/>
  <c r="H45" i="12"/>
  <c r="AQ356" i="5"/>
  <c r="AR356" i="5" s="1"/>
  <c r="AV356" i="5"/>
  <c r="AZ356" i="5" s="1"/>
  <c r="AU356" i="5"/>
  <c r="AO132" i="7"/>
  <c r="AL76" i="7"/>
  <c r="AM76" i="7"/>
  <c r="AQ333" i="5"/>
  <c r="AR333" i="5" s="1"/>
  <c r="AU333" i="5"/>
  <c r="AV333" i="5"/>
  <c r="AZ333" i="5" s="1"/>
  <c r="AH154" i="7"/>
  <c r="T34" i="46"/>
  <c r="AV288" i="5"/>
  <c r="AZ288" i="5" s="1"/>
  <c r="AU288" i="5"/>
  <c r="AQ288" i="5"/>
  <c r="AR288" i="5" s="1"/>
  <c r="AG138" i="7"/>
  <c r="AG149" i="7"/>
  <c r="AN149" i="7" s="1"/>
  <c r="AD83" i="10"/>
  <c r="Y224" i="8"/>
  <c r="K224" i="12"/>
  <c r="AX88" i="5"/>
  <c r="BH88" i="5" s="1"/>
  <c r="AX62" i="7"/>
  <c r="AI62" i="7"/>
  <c r="AK62" i="7" s="1"/>
  <c r="H129" i="12"/>
  <c r="W129" i="8"/>
  <c r="AU177" i="5"/>
  <c r="AQ177" i="5"/>
  <c r="AR177" i="5" s="1"/>
  <c r="AV177" i="5"/>
  <c r="AZ177" i="5" s="1"/>
  <c r="AU242" i="5"/>
  <c r="AV242" i="5"/>
  <c r="AZ242" i="5" s="1"/>
  <c r="AQ242" i="5"/>
  <c r="AR242" i="5" s="1"/>
  <c r="AI67" i="7"/>
  <c r="AN67" i="7" s="1"/>
  <c r="AX67" i="7"/>
  <c r="H141" i="12"/>
  <c r="W141" i="8"/>
  <c r="AI142" i="7"/>
  <c r="AK142" i="7" s="1"/>
  <c r="AX142" i="7"/>
  <c r="W321" i="8"/>
  <c r="H321" i="12"/>
  <c r="AX133" i="7"/>
  <c r="AI133" i="7"/>
  <c r="AN133" i="7" s="1"/>
  <c r="W299" i="8"/>
  <c r="H299" i="12"/>
  <c r="AM120" i="7"/>
  <c r="AM91" i="7"/>
  <c r="AL91" i="7"/>
  <c r="AR155" i="12"/>
  <c r="AQ194" i="5"/>
  <c r="AR194" i="5" s="1"/>
  <c r="AU194" i="5"/>
  <c r="AV194" i="5"/>
  <c r="AZ194" i="5" s="1"/>
  <c r="AI113" i="7"/>
  <c r="AK113" i="7" s="1"/>
  <c r="AX113" i="7"/>
  <c r="W251" i="8"/>
  <c r="H251" i="12"/>
  <c r="AU327" i="5"/>
  <c r="AQ327" i="5"/>
  <c r="AR327" i="5" s="1"/>
  <c r="AV327" i="5"/>
  <c r="AZ327" i="5" s="1"/>
  <c r="AM89" i="7"/>
  <c r="AM123" i="7"/>
  <c r="AD102" i="10"/>
  <c r="K278" i="12"/>
  <c r="Y278" i="8"/>
  <c r="AM148" i="7"/>
  <c r="AQ174" i="5"/>
  <c r="AR174" i="5" s="1"/>
  <c r="AV174" i="5"/>
  <c r="AZ174" i="5" s="1"/>
  <c r="AU174" i="5"/>
  <c r="AE4" i="7"/>
  <c r="AF45" i="7"/>
  <c r="AG45" i="7" s="1"/>
  <c r="AD47" i="10"/>
  <c r="Y116" i="8"/>
  <c r="K116" i="12"/>
  <c r="AD87" i="10"/>
  <c r="Y236" i="8"/>
  <c r="K236" i="12"/>
  <c r="AX144" i="7"/>
  <c r="AK144" i="7"/>
  <c r="AI144" i="7"/>
  <c r="H325" i="12"/>
  <c r="W325" i="8"/>
  <c r="AM84" i="7"/>
  <c r="T29" i="46"/>
  <c r="AQ218" i="5"/>
  <c r="AR218" i="5" s="1"/>
  <c r="AV218" i="5"/>
  <c r="AZ218" i="5" s="1"/>
  <c r="AU218" i="5"/>
  <c r="AM136" i="7"/>
  <c r="AL136" i="7"/>
  <c r="AM102" i="7"/>
  <c r="AL29" i="13"/>
  <c r="BH17" i="46" s="1"/>
  <c r="AN29" i="13"/>
  <c r="BO17" i="46" s="1"/>
  <c r="BA17" i="46"/>
  <c r="AX347" i="5"/>
  <c r="BH347" i="5" s="1"/>
  <c r="I62" i="6"/>
  <c r="M62" i="6" s="1"/>
  <c r="AI65" i="7"/>
  <c r="AX65" i="7"/>
  <c r="AK65" i="7"/>
  <c r="W137" i="8"/>
  <c r="H137" i="12"/>
  <c r="AD65" i="7"/>
  <c r="AP137" i="12" s="1"/>
  <c r="AM99" i="7"/>
  <c r="AL99" i="7"/>
  <c r="AD126" i="10"/>
  <c r="Y350" i="8"/>
  <c r="K350" i="12"/>
  <c r="AM134" i="7"/>
  <c r="AL134" i="7"/>
  <c r="AU131" i="5"/>
  <c r="AQ131" i="5"/>
  <c r="AR131" i="5" s="1"/>
  <c r="AV131" i="5"/>
  <c r="AZ131" i="5" s="1"/>
  <c r="AX167" i="5"/>
  <c r="BH167" i="5" s="1"/>
  <c r="AU193" i="5"/>
  <c r="AV193" i="5"/>
  <c r="AZ193" i="5" s="1"/>
  <c r="AQ193" i="5"/>
  <c r="AR193" i="5" s="1"/>
  <c r="AM129" i="7"/>
  <c r="AU412" i="5"/>
  <c r="AQ412" i="5"/>
  <c r="AR412" i="5" s="1"/>
  <c r="AV412" i="5"/>
  <c r="AZ412" i="5" s="1"/>
  <c r="AX77" i="7"/>
  <c r="AI77" i="7"/>
  <c r="W165" i="8"/>
  <c r="H165" i="12"/>
  <c r="AD64" i="10"/>
  <c r="Y166" i="8"/>
  <c r="K166" i="12"/>
  <c r="AD103" i="10"/>
  <c r="K284" i="12"/>
  <c r="Y284" i="8"/>
  <c r="AH140" i="7"/>
  <c r="W4" i="9"/>
  <c r="Z41" i="9"/>
  <c r="AD82" i="10"/>
  <c r="K218" i="12"/>
  <c r="Y218" i="8"/>
  <c r="AM146" i="7"/>
  <c r="AM103" i="7"/>
  <c r="AD110" i="10"/>
  <c r="Y302" i="8"/>
  <c r="K302" i="12"/>
  <c r="AM86" i="7"/>
  <c r="AX55" i="7"/>
  <c r="AK55" i="7"/>
  <c r="AI55" i="7"/>
  <c r="W113" i="8"/>
  <c r="H113" i="12"/>
  <c r="AV109" i="5"/>
  <c r="AZ109" i="5" s="1"/>
  <c r="AU109" i="5"/>
  <c r="AQ109" i="5"/>
  <c r="AR109" i="5" s="1"/>
  <c r="AM110" i="7"/>
  <c r="AQ353" i="5"/>
  <c r="AR353" i="5" s="1"/>
  <c r="AU353" i="5"/>
  <c r="AV353" i="5"/>
  <c r="AZ353" i="5" s="1"/>
  <c r="AM21" i="7"/>
  <c r="AD20" i="10"/>
  <c r="Y34" i="8"/>
  <c r="K34" i="12"/>
  <c r="Q4" i="8"/>
  <c r="AD94" i="10"/>
  <c r="Y254" i="8"/>
  <c r="K254" i="12"/>
  <c r="AL77" i="7"/>
  <c r="AM77" i="7"/>
  <c r="AU153" i="5"/>
  <c r="AQ153" i="5"/>
  <c r="AR153" i="5" s="1"/>
  <c r="AV153" i="5"/>
  <c r="AZ153" i="5" s="1"/>
  <c r="AM78" i="7"/>
  <c r="AX45" i="5"/>
  <c r="BH45" i="5" s="1"/>
  <c r="AX53" i="7"/>
  <c r="AI53" i="7"/>
  <c r="AK53" i="7" s="1"/>
  <c r="W107" i="8"/>
  <c r="H107" i="12"/>
  <c r="AM94" i="7"/>
  <c r="AD30" i="10"/>
  <c r="Y62" i="8"/>
  <c r="K62" i="12"/>
  <c r="AX22" i="7"/>
  <c r="AI22" i="7"/>
  <c r="AN22" i="7" s="1"/>
  <c r="H33" i="12"/>
  <c r="W33" i="8"/>
  <c r="AL42" i="13"/>
  <c r="BF20" i="46" s="1"/>
  <c r="AN42" i="13"/>
  <c r="BM20" i="46" s="1"/>
  <c r="AY20" i="46"/>
  <c r="AL119" i="13"/>
  <c r="BH35" i="46" s="1"/>
  <c r="AN119" i="13"/>
  <c r="BO35" i="46" s="1"/>
  <c r="BA35" i="46"/>
  <c r="AX158" i="7"/>
  <c r="AI158" i="7"/>
  <c r="W359" i="8"/>
  <c r="H359" i="12"/>
  <c r="AU74" i="5"/>
  <c r="AQ74" i="5"/>
  <c r="AR74" i="5" s="1"/>
  <c r="AV74" i="5"/>
  <c r="AZ74" i="5" s="1"/>
  <c r="S37" i="46"/>
  <c r="AV329" i="5"/>
  <c r="AZ329" i="5" s="1"/>
  <c r="AU329" i="5"/>
  <c r="AQ329" i="5"/>
  <c r="AR329" i="5" s="1"/>
  <c r="AX316" i="5"/>
  <c r="AQ90" i="5"/>
  <c r="AR90" i="5" s="1"/>
  <c r="AU90" i="5"/>
  <c r="AV90" i="5"/>
  <c r="AZ90" i="5" s="1"/>
  <c r="AI78" i="7"/>
  <c r="AK78" i="7" s="1"/>
  <c r="AX78" i="7"/>
  <c r="W167" i="8"/>
  <c r="H167" i="12"/>
  <c r="AQ345" i="5"/>
  <c r="AR345" i="5" s="1"/>
  <c r="AU345" i="5"/>
  <c r="AV345" i="5"/>
  <c r="AZ345" i="5" s="1"/>
  <c r="AX286" i="5"/>
  <c r="BH286" i="5" s="1"/>
  <c r="AQ317" i="5"/>
  <c r="AR317" i="5" s="1"/>
  <c r="AU317" i="5"/>
  <c r="AV317" i="5"/>
  <c r="AZ317" i="5" s="1"/>
  <c r="AM59" i="7"/>
  <c r="AU130" i="5"/>
  <c r="AQ130" i="5"/>
  <c r="AR130" i="5" s="1"/>
  <c r="AV130" i="5"/>
  <c r="AZ130" i="5" s="1"/>
  <c r="AI74" i="7"/>
  <c r="AN74" i="7" s="1"/>
  <c r="AX74" i="7"/>
  <c r="H157" i="12"/>
  <c r="W157" i="8"/>
  <c r="AM23" i="7"/>
  <c r="AQ143" i="5"/>
  <c r="AR143" i="5" s="1"/>
  <c r="AU143" i="5"/>
  <c r="AV143" i="5"/>
  <c r="AZ143" i="5" s="1"/>
  <c r="AD117" i="10"/>
  <c r="K324" i="12"/>
  <c r="Y324" i="8"/>
  <c r="AM142" i="7"/>
  <c r="AX378" i="5"/>
  <c r="BH378" i="5" s="1"/>
  <c r="AT21" i="46"/>
  <c r="AI42" i="7"/>
  <c r="AK42" i="7" s="1"/>
  <c r="AX42" i="7"/>
  <c r="W81" i="8"/>
  <c r="H81" i="12"/>
  <c r="AO96" i="7"/>
  <c r="AX87" i="7"/>
  <c r="AI87" i="7"/>
  <c r="H189" i="12"/>
  <c r="W189" i="8"/>
  <c r="AD73" i="10"/>
  <c r="Y192" i="8"/>
  <c r="K192" i="12"/>
  <c r="AD67" i="10"/>
  <c r="K176" i="12"/>
  <c r="Y176" i="8"/>
  <c r="AM42" i="7"/>
  <c r="AD62" i="10"/>
  <c r="Y158" i="8"/>
  <c r="K158" i="12"/>
  <c r="AD122" i="10"/>
  <c r="Y338" i="8"/>
  <c r="K338" i="12"/>
  <c r="AM150" i="7"/>
  <c r="AX293" i="5"/>
  <c r="BH293" i="5" s="1"/>
  <c r="AU250" i="5"/>
  <c r="AQ250" i="5"/>
  <c r="AR250" i="5" s="1"/>
  <c r="AV250" i="5"/>
  <c r="AZ250" i="5" s="1"/>
  <c r="AM156" i="7"/>
  <c r="AL156" i="7"/>
  <c r="AQ377" i="5"/>
  <c r="AR377" i="5" s="1"/>
  <c r="AU377" i="5"/>
  <c r="AV377" i="5"/>
  <c r="AZ377" i="5" s="1"/>
  <c r="AM61" i="7"/>
  <c r="AS106" i="7"/>
  <c r="AT106" i="7" s="1"/>
  <c r="AQ235" i="12" s="1"/>
  <c r="AR106" i="7"/>
  <c r="AX98" i="5"/>
  <c r="BH98" i="5" s="1"/>
  <c r="AH141" i="7"/>
  <c r="AD49" i="10"/>
  <c r="K120" i="12"/>
  <c r="Y120" i="8"/>
  <c r="AD32" i="10"/>
  <c r="Y70" i="8"/>
  <c r="K70" i="12"/>
  <c r="AX372" i="5"/>
  <c r="AQ182" i="5"/>
  <c r="AR182" i="5" s="1"/>
  <c r="AV182" i="5"/>
  <c r="AZ182" i="5" s="1"/>
  <c r="AU182" i="5"/>
  <c r="AM54" i="7"/>
  <c r="AH71" i="7"/>
  <c r="AX171" i="5"/>
  <c r="BH171" i="5" s="1"/>
  <c r="AG61" i="7"/>
  <c r="AH61" i="7" s="1"/>
  <c r="AD45" i="10"/>
  <c r="K108" i="12"/>
  <c r="Y108" i="8"/>
  <c r="AX403" i="5"/>
  <c r="BH403" i="5" s="1"/>
  <c r="I72" i="6"/>
  <c r="M72" i="6" s="1"/>
  <c r="AU48" i="5"/>
  <c r="AQ48" i="5"/>
  <c r="AR48" i="5" s="1"/>
  <c r="AV48" i="5"/>
  <c r="AZ48" i="5" s="1"/>
  <c r="AD89" i="10"/>
  <c r="K240" i="12"/>
  <c r="Y240" i="8"/>
  <c r="AD109" i="10"/>
  <c r="Y300" i="8"/>
  <c r="K300" i="12"/>
  <c r="S21" i="46"/>
  <c r="AQ105" i="5"/>
  <c r="AR105" i="5" s="1"/>
  <c r="AU105" i="5"/>
  <c r="AV105" i="5"/>
  <c r="AZ105" i="5" s="1"/>
  <c r="AM66" i="7"/>
  <c r="AX134" i="7"/>
  <c r="AI134" i="7"/>
  <c r="AK134" i="7"/>
  <c r="W301" i="8"/>
  <c r="H301" i="12"/>
  <c r="AG123" i="7"/>
  <c r="AG148" i="7"/>
  <c r="AM98" i="7"/>
  <c r="AD78" i="10"/>
  <c r="Y206" i="8"/>
  <c r="K206" i="12"/>
  <c r="AX290" i="5"/>
  <c r="BH290" i="5" s="1"/>
  <c r="AH64" i="7"/>
  <c r="S41" i="46"/>
  <c r="AQ385" i="5"/>
  <c r="AR385" i="5" s="1"/>
  <c r="AV385" i="5"/>
  <c r="AZ385" i="5" s="1"/>
  <c r="AU385" i="5"/>
  <c r="AD41" i="7"/>
  <c r="AP79" i="12" s="1"/>
  <c r="AD68" i="10"/>
  <c r="Y178" i="8"/>
  <c r="K178" i="12"/>
  <c r="AQ93" i="5"/>
  <c r="AR93" i="5" s="1"/>
  <c r="AV93" i="5"/>
  <c r="AZ93" i="5" s="1"/>
  <c r="AU93" i="5"/>
  <c r="AM125" i="7"/>
  <c r="AM106" i="7"/>
  <c r="AI47" i="7"/>
  <c r="AK47" i="7" s="1"/>
  <c r="AX47" i="7"/>
  <c r="W93" i="8"/>
  <c r="H93" i="12"/>
  <c r="AD47" i="7"/>
  <c r="AO47" i="7" s="1"/>
  <c r="T32" i="46"/>
  <c r="AI61" i="7"/>
  <c r="AK61" i="7" s="1"/>
  <c r="AX61" i="7"/>
  <c r="W127" i="8"/>
  <c r="H127" i="12"/>
  <c r="AD108" i="10"/>
  <c r="Y298" i="8"/>
  <c r="K298" i="12"/>
  <c r="AD138" i="7"/>
  <c r="AP311" i="12" s="1"/>
  <c r="AV420" i="5"/>
  <c r="AZ420" i="5" s="1"/>
  <c r="AU420" i="5"/>
  <c r="AQ420" i="5"/>
  <c r="AR420" i="5" s="1"/>
  <c r="AO144" i="7"/>
  <c r="AU387" i="5"/>
  <c r="AQ387" i="5"/>
  <c r="AR387" i="5" s="1"/>
  <c r="AV387" i="5"/>
  <c r="AZ387" i="5" s="1"/>
  <c r="AG84" i="7"/>
  <c r="AL84" i="7" s="1"/>
  <c r="AD92" i="10"/>
  <c r="Y250" i="8"/>
  <c r="K250" i="12"/>
  <c r="AD116" i="10"/>
  <c r="Y322" i="8"/>
  <c r="K322" i="12"/>
  <c r="AH156" i="7"/>
  <c r="S22" i="46"/>
  <c r="AG54" i="7"/>
  <c r="AL54" i="7" s="1"/>
  <c r="AM71" i="7"/>
  <c r="AL71" i="7"/>
  <c r="AG102" i="7"/>
  <c r="AL102" i="7" s="1"/>
  <c r="AD113" i="7"/>
  <c r="AP251" i="12" s="1"/>
  <c r="AD44" i="10"/>
  <c r="K106" i="12"/>
  <c r="Y106" i="8"/>
  <c r="AD56" i="10"/>
  <c r="K142" i="12"/>
  <c r="Y142" i="8"/>
  <c r="BO21" i="46"/>
  <c r="AG66" i="7"/>
  <c r="AL66" i="7" s="1"/>
  <c r="AX85" i="7"/>
  <c r="AI85" i="7"/>
  <c r="AN85" i="7" s="1"/>
  <c r="W185" i="8"/>
  <c r="H185" i="12"/>
  <c r="AD134" i="7"/>
  <c r="AG98" i="7"/>
  <c r="AL98" i="7" s="1"/>
  <c r="AU404" i="5"/>
  <c r="AQ404" i="5"/>
  <c r="AR404" i="5" s="1"/>
  <c r="AV404" i="5"/>
  <c r="AZ404" i="5" s="1"/>
  <c r="AX176" i="5"/>
  <c r="AV411" i="5"/>
  <c r="AZ411" i="5" s="1"/>
  <c r="AU411" i="5"/>
  <c r="AQ411" i="5"/>
  <c r="AR411" i="5" s="1"/>
  <c r="AL135" i="7"/>
  <c r="AM135" i="7"/>
  <c r="AD125" i="10"/>
  <c r="K348" i="12"/>
  <c r="Y348" i="8"/>
  <c r="AG37" i="7"/>
  <c r="AL37" i="7" s="1"/>
  <c r="AH134" i="7"/>
  <c r="AQ397" i="5"/>
  <c r="AR397" i="5" s="1"/>
  <c r="AU397" i="5"/>
  <c r="AV397" i="5"/>
  <c r="AZ397" i="5" s="1"/>
  <c r="AX210" i="5"/>
  <c r="BH210" i="5" s="1"/>
  <c r="AG125" i="7"/>
  <c r="AG106" i="7"/>
  <c r="AL106" i="7" s="1"/>
  <c r="AM51" i="7"/>
  <c r="AL51" i="7"/>
  <c r="AM95" i="7"/>
  <c r="AM60" i="7"/>
  <c r="AL60" i="7"/>
  <c r="AG117" i="7"/>
  <c r="AL75" i="7"/>
  <c r="AM75" i="7"/>
  <c r="AO61" i="7"/>
  <c r="AL84" i="13"/>
  <c r="BH28" i="46" s="1"/>
  <c r="AN84" i="13"/>
  <c r="BO28" i="46" s="1"/>
  <c r="BA28" i="46"/>
  <c r="AQ172" i="5"/>
  <c r="AR172" i="5" s="1"/>
  <c r="AU172" i="5"/>
  <c r="AV172" i="5"/>
  <c r="AZ172" i="5" s="1"/>
  <c r="AM24" i="7"/>
  <c r="AL24" i="7"/>
  <c r="AU335" i="5"/>
  <c r="AQ335" i="5"/>
  <c r="AR335" i="5" s="1"/>
  <c r="AV335" i="5"/>
  <c r="AZ335" i="5" s="1"/>
  <c r="AD75" i="10"/>
  <c r="Y200" i="8"/>
  <c r="K200" i="12"/>
  <c r="AG129" i="7"/>
  <c r="AX133" i="5"/>
  <c r="AD49" i="7"/>
  <c r="AO49" i="7" s="1"/>
  <c r="AD27" i="7"/>
  <c r="T20" i="46"/>
  <c r="AI132" i="7"/>
  <c r="AX132" i="7"/>
  <c r="W297" i="8"/>
  <c r="H297" i="12"/>
  <c r="AD77" i="7"/>
  <c r="AU66" i="5"/>
  <c r="AQ66" i="5"/>
  <c r="AR66" i="5" s="1"/>
  <c r="AV66" i="5"/>
  <c r="AZ66" i="5" s="1"/>
  <c r="AQ208" i="5"/>
  <c r="AR208" i="5" s="1"/>
  <c r="AV208" i="5"/>
  <c r="AZ208" i="5" s="1"/>
  <c r="AU208" i="5"/>
  <c r="AM140" i="7"/>
  <c r="AL140" i="7"/>
  <c r="AB4" i="13"/>
  <c r="AH74" i="7"/>
  <c r="AU202" i="5"/>
  <c r="AQ202" i="5"/>
  <c r="AR202" i="5" s="1"/>
  <c r="AV202" i="5"/>
  <c r="AZ202" i="5" s="1"/>
  <c r="T23" i="46"/>
  <c r="AU209" i="5"/>
  <c r="AQ209" i="5"/>
  <c r="AR209" i="5" s="1"/>
  <c r="AV209" i="5"/>
  <c r="AZ209" i="5" s="1"/>
  <c r="AG146" i="7"/>
  <c r="AX336" i="5"/>
  <c r="BH336" i="5" s="1"/>
  <c r="AX111" i="5"/>
  <c r="AD46" i="10"/>
  <c r="Y110" i="8"/>
  <c r="K110" i="12"/>
  <c r="AH137" i="7"/>
  <c r="AG103" i="7"/>
  <c r="AL103" i="7" s="1"/>
  <c r="AH91" i="7"/>
  <c r="AG86" i="7"/>
  <c r="AL86" i="7" s="1"/>
  <c r="AU69" i="5"/>
  <c r="AQ69" i="5"/>
  <c r="AR69" i="5" s="1"/>
  <c r="AV69" i="5"/>
  <c r="AZ69" i="5" s="1"/>
  <c r="AD77" i="10"/>
  <c r="Y204" i="8"/>
  <c r="K204" i="12"/>
  <c r="AG110" i="7"/>
  <c r="AL110" i="7" s="1"/>
  <c r="S18" i="46"/>
  <c r="AU63" i="5"/>
  <c r="AQ63" i="5"/>
  <c r="AR63" i="5" s="1"/>
  <c r="AV63" i="5"/>
  <c r="AZ63" i="5" s="1"/>
  <c r="AG82" i="7"/>
  <c r="AG21" i="7"/>
  <c r="AL21" i="7" s="1"/>
  <c r="AO102" i="7"/>
  <c r="AL107" i="7"/>
  <c r="AM107" i="7"/>
  <c r="AG113" i="7"/>
  <c r="AH113" i="7" s="1"/>
  <c r="AH57" i="7"/>
  <c r="AD105" i="10"/>
  <c r="Y288" i="8"/>
  <c r="K288" i="12"/>
  <c r="AH27" i="7"/>
  <c r="AV346" i="5"/>
  <c r="AZ346" i="5" s="1"/>
  <c r="AU346" i="5"/>
  <c r="AQ346" i="5"/>
  <c r="AR346" i="5" s="1"/>
  <c r="AD69" i="10"/>
  <c r="K180" i="12"/>
  <c r="Y180" i="8"/>
  <c r="AH77" i="7"/>
  <c r="AD25" i="10"/>
  <c r="Y48" i="8"/>
  <c r="K48" i="12"/>
  <c r="AV132" i="5"/>
  <c r="AZ132" i="5" s="1"/>
  <c r="AU132" i="5"/>
  <c r="AQ132" i="5"/>
  <c r="AR132" i="5" s="1"/>
  <c r="AO150" i="7"/>
  <c r="AL112" i="13"/>
  <c r="BF34" i="46" s="1"/>
  <c r="AN112" i="13"/>
  <c r="BM34" i="46" s="1"/>
  <c r="AY34" i="46"/>
  <c r="AM133" i="7"/>
  <c r="AL133" i="7"/>
  <c r="AG94" i="7"/>
  <c r="AD76" i="10"/>
  <c r="Y202" i="8"/>
  <c r="K202" i="12"/>
  <c r="AQ236" i="5"/>
  <c r="AR236" i="5" s="1"/>
  <c r="AU236" i="5"/>
  <c r="AV236" i="5"/>
  <c r="AZ236" i="5" s="1"/>
  <c r="AM128" i="7"/>
  <c r="AL128" i="7"/>
  <c r="AI58" i="7"/>
  <c r="AK58" i="7" s="1"/>
  <c r="AX58" i="7"/>
  <c r="W119" i="8"/>
  <c r="H119" i="12"/>
  <c r="AH32" i="7"/>
  <c r="AD22" i="7"/>
  <c r="AQ405" i="5"/>
  <c r="AR405" i="5" s="1"/>
  <c r="AU405" i="5"/>
  <c r="AV405" i="5"/>
  <c r="AZ405" i="5" s="1"/>
  <c r="AQ326" i="5"/>
  <c r="AR326" i="5" s="1"/>
  <c r="AV326" i="5"/>
  <c r="AZ326" i="5" s="1"/>
  <c r="AU326" i="5"/>
  <c r="AX129" i="7"/>
  <c r="AI129" i="7"/>
  <c r="AK129" i="7" s="1"/>
  <c r="W289" i="8"/>
  <c r="H289" i="12"/>
  <c r="AD158" i="7"/>
  <c r="AP359" i="12" s="1"/>
  <c r="AQ340" i="5"/>
  <c r="AR340" i="5" s="1"/>
  <c r="AU340" i="5"/>
  <c r="AV340" i="5"/>
  <c r="AZ340" i="5" s="1"/>
  <c r="AU272" i="5"/>
  <c r="AV272" i="5"/>
  <c r="AZ272" i="5" s="1"/>
  <c r="AQ272" i="5"/>
  <c r="AR272" i="5" s="1"/>
  <c r="AM70" i="7"/>
  <c r="AL70" i="7"/>
  <c r="AH121" i="7"/>
  <c r="AM26" i="7"/>
  <c r="AV125" i="5"/>
  <c r="AZ125" i="5" s="1"/>
  <c r="AU125" i="5"/>
  <c r="AQ125" i="5"/>
  <c r="AR125" i="5" s="1"/>
  <c r="AD78" i="7"/>
  <c r="AP167" i="12" s="1"/>
  <c r="AK154" i="7"/>
  <c r="AX154" i="7"/>
  <c r="AI154" i="7"/>
  <c r="W349" i="8"/>
  <c r="H349" i="12"/>
  <c r="AG59" i="7"/>
  <c r="AN59" i="7" s="1"/>
  <c r="AX249" i="5"/>
  <c r="BH249" i="5" s="1"/>
  <c r="I48" i="6"/>
  <c r="M48" i="6" s="1"/>
  <c r="AO74" i="7"/>
  <c r="AH153" i="7"/>
  <c r="AG23" i="7"/>
  <c r="AD70" i="10"/>
  <c r="Y182" i="8"/>
  <c r="K182" i="12"/>
  <c r="AU199" i="5"/>
  <c r="AQ199" i="5"/>
  <c r="AR199" i="5" s="1"/>
  <c r="AV199" i="5"/>
  <c r="AZ199" i="5" s="1"/>
  <c r="AO101" i="7"/>
  <c r="AI35" i="7"/>
  <c r="AK35" i="7" s="1"/>
  <c r="AX35" i="7"/>
  <c r="W65" i="8"/>
  <c r="H65" i="12"/>
  <c r="AQ235" i="5"/>
  <c r="AR235" i="5" s="1"/>
  <c r="AU235" i="5"/>
  <c r="AV235" i="5"/>
  <c r="AZ235" i="5" s="1"/>
  <c r="AG142" i="7"/>
  <c r="AM40" i="7"/>
  <c r="AL40" i="7"/>
  <c r="AI141" i="7"/>
  <c r="AN141" i="7" s="1"/>
  <c r="AX141" i="7"/>
  <c r="W319" i="8"/>
  <c r="H319" i="12"/>
  <c r="AD72" i="7"/>
  <c r="AX130" i="7"/>
  <c r="AK130" i="7"/>
  <c r="AI130" i="7"/>
  <c r="H293" i="12"/>
  <c r="W293" i="8"/>
  <c r="AI108" i="7"/>
  <c r="AN108" i="7" s="1"/>
  <c r="AX108" i="7"/>
  <c r="W239" i="8"/>
  <c r="H239" i="12"/>
  <c r="AX91" i="7"/>
  <c r="AI91" i="7"/>
  <c r="H199" i="12"/>
  <c r="W199" i="8"/>
  <c r="AI37" i="7"/>
  <c r="AK37" i="7" s="1"/>
  <c r="AX37" i="7"/>
  <c r="H69" i="12"/>
  <c r="W69" i="8"/>
  <c r="AD20" i="7"/>
  <c r="AS125" i="7"/>
  <c r="AT125" i="7" s="1"/>
  <c r="AQ281" i="12" s="1"/>
  <c r="AN111" i="7" l="1"/>
  <c r="AX241" i="5"/>
  <c r="BH241" i="5" s="1"/>
  <c r="AX279" i="5"/>
  <c r="BH279" i="5" s="1"/>
  <c r="AX61" i="5"/>
  <c r="BH61" i="5" s="1"/>
  <c r="AX413" i="5"/>
  <c r="AX289" i="5"/>
  <c r="BH289" i="5" s="1"/>
  <c r="AX328" i="5"/>
  <c r="BH328" i="5" s="1"/>
  <c r="AE22" i="12"/>
  <c r="AF22" i="12" s="1"/>
  <c r="W22" i="12"/>
  <c r="BH38" i="5"/>
  <c r="I53" i="6"/>
  <c r="M53" i="6" s="1"/>
  <c r="AX307" i="5"/>
  <c r="BH307" i="5" s="1"/>
  <c r="V16" i="12"/>
  <c r="G93" i="9" a="1"/>
  <c r="G93" i="9" s="1"/>
  <c r="AX116" i="5"/>
  <c r="BH116" i="5" s="1"/>
  <c r="AX124" i="5"/>
  <c r="BH124" i="5" s="1"/>
  <c r="AM19" i="12"/>
  <c r="AE19" i="12"/>
  <c r="AF19" i="12" s="1"/>
  <c r="P19" i="12"/>
  <c r="Y19" i="12"/>
  <c r="Z19" i="12" s="1"/>
  <c r="AH19" i="12"/>
  <c r="AI19" i="12" s="1"/>
  <c r="O19" i="12"/>
  <c r="AB19" i="12"/>
  <c r="AC19" i="12" s="1"/>
  <c r="I44" i="6"/>
  <c r="M44" i="6" s="1"/>
  <c r="AX140" i="5"/>
  <c r="BH140" i="5" s="1"/>
  <c r="AX221" i="5"/>
  <c r="BH221" i="5" s="1"/>
  <c r="L22" i="12"/>
  <c r="N22" i="12"/>
  <c r="O22" i="12"/>
  <c r="AM22" i="12"/>
  <c r="AO22" i="12" s="1"/>
  <c r="Y22" i="12"/>
  <c r="Z22" i="12" s="1"/>
  <c r="AH22" i="12"/>
  <c r="AI22" i="12" s="1"/>
  <c r="AK22" i="12"/>
  <c r="AL22" i="12" s="1"/>
  <c r="AB22" i="12"/>
  <c r="AC22" i="12" s="1"/>
  <c r="M22" i="12"/>
  <c r="AU16" i="12"/>
  <c r="AJ4" i="46"/>
  <c r="AK4" i="13"/>
  <c r="AI4" i="13" s="1"/>
  <c r="AL4" i="46"/>
  <c r="AN16" i="12"/>
  <c r="AO16" i="12" s="1"/>
  <c r="AK17" i="46"/>
  <c r="AX362" i="5"/>
  <c r="BH362" i="5" s="1"/>
  <c r="U312" i="8" s="1"/>
  <c r="Z312" i="8" s="1"/>
  <c r="AZ362" i="5"/>
  <c r="AX180" i="5"/>
  <c r="BH180" i="5" s="1"/>
  <c r="AZ180" i="5"/>
  <c r="AX312" i="5"/>
  <c r="BH312" i="5" s="1"/>
  <c r="U268" i="8" s="1"/>
  <c r="Z268" i="8" s="1"/>
  <c r="AZ312" i="5"/>
  <c r="AX245" i="5"/>
  <c r="AZ245" i="5"/>
  <c r="AX266" i="5"/>
  <c r="BH266" i="5" s="1"/>
  <c r="AZ266" i="5"/>
  <c r="AX284" i="5"/>
  <c r="BH284" i="5" s="1"/>
  <c r="AZ284" i="5"/>
  <c r="AX258" i="5"/>
  <c r="BH258" i="5" s="1"/>
  <c r="U222" i="8" s="1"/>
  <c r="Z222" i="8" s="1"/>
  <c r="AZ258" i="5"/>
  <c r="AX280" i="5"/>
  <c r="BH280" i="5" s="1"/>
  <c r="U242" i="8" s="1"/>
  <c r="Z242" i="8" s="1"/>
  <c r="AZ280" i="5"/>
  <c r="AX148" i="5"/>
  <c r="AZ148" i="5"/>
  <c r="AX414" i="5"/>
  <c r="AZ414" i="5"/>
  <c r="I47" i="6"/>
  <c r="M47" i="6" s="1"/>
  <c r="AZ247" i="5"/>
  <c r="AX348" i="5"/>
  <c r="BH348" i="5" s="1"/>
  <c r="AC109" i="10" s="1"/>
  <c r="AF109" i="10" s="1"/>
  <c r="AZ348" i="5"/>
  <c r="AX92" i="5"/>
  <c r="AZ92" i="5"/>
  <c r="AX402" i="5"/>
  <c r="BH402" i="5" s="1"/>
  <c r="AZ402" i="5"/>
  <c r="AX77" i="5"/>
  <c r="AZ77" i="5"/>
  <c r="AX390" i="5"/>
  <c r="BH390" i="5" s="1"/>
  <c r="AC121" i="10" s="1"/>
  <c r="AF121" i="10" s="1"/>
  <c r="AZ390" i="5"/>
  <c r="AX206" i="5"/>
  <c r="BH206" i="5" s="1"/>
  <c r="AZ206" i="5"/>
  <c r="AX416" i="5"/>
  <c r="BH416" i="5" s="1"/>
  <c r="AZ416" i="5"/>
  <c r="AX269" i="5"/>
  <c r="BH269" i="5" s="1"/>
  <c r="U231" i="8" s="1"/>
  <c r="Z231" i="8" s="1"/>
  <c r="AZ269" i="5"/>
  <c r="AX108" i="5"/>
  <c r="BH108" i="5" s="1"/>
  <c r="AZ108" i="5"/>
  <c r="AX158" i="5"/>
  <c r="BH158" i="5" s="1"/>
  <c r="AZ158" i="5"/>
  <c r="AX188" i="5"/>
  <c r="BH188" i="5" s="1"/>
  <c r="AZ188" i="5"/>
  <c r="AX146" i="5"/>
  <c r="BH146" i="5" s="1"/>
  <c r="U126" i="8" s="1"/>
  <c r="Z126" i="8" s="1"/>
  <c r="AZ146" i="5"/>
  <c r="AX391" i="5"/>
  <c r="BH391" i="5" s="1"/>
  <c r="G337" i="12" s="1"/>
  <c r="W337" i="12" s="1"/>
  <c r="AZ391" i="5"/>
  <c r="AX376" i="5"/>
  <c r="BH376" i="5" s="1"/>
  <c r="AZ376" i="5"/>
  <c r="AX259" i="5"/>
  <c r="AZ259" i="5"/>
  <c r="AX201" i="5"/>
  <c r="BH201" i="5" s="1"/>
  <c r="U173" i="8" s="1"/>
  <c r="AZ201" i="5"/>
  <c r="AX371" i="5"/>
  <c r="AZ371" i="5"/>
  <c r="AX419" i="5"/>
  <c r="BH419" i="5" s="1"/>
  <c r="AW159" i="7" s="1"/>
  <c r="AZ419" i="5"/>
  <c r="AX159" i="5"/>
  <c r="BH159" i="5" s="1"/>
  <c r="AZ159" i="5"/>
  <c r="AX251" i="5"/>
  <c r="BH251" i="5" s="1"/>
  <c r="G217" i="12" s="1"/>
  <c r="W217" i="12" s="1"/>
  <c r="AZ251" i="5"/>
  <c r="AX84" i="5"/>
  <c r="BH84" i="5" s="1"/>
  <c r="G74" i="12" s="1"/>
  <c r="W74" i="12" s="1"/>
  <c r="AZ84" i="5"/>
  <c r="AX243" i="5"/>
  <c r="BH243" i="5" s="1"/>
  <c r="AZ243" i="5"/>
  <c r="AX190" i="5"/>
  <c r="AZ190" i="5"/>
  <c r="AX54" i="5"/>
  <c r="BH54" i="5" s="1"/>
  <c r="AC25" i="10" s="1"/>
  <c r="AF25" i="10" s="1"/>
  <c r="AZ54" i="5"/>
  <c r="AX392" i="5"/>
  <c r="BH392" i="5" s="1"/>
  <c r="U338" i="8" s="1"/>
  <c r="Z338" i="8" s="1"/>
  <c r="AZ392" i="5"/>
  <c r="I71" i="6"/>
  <c r="M71" i="6" s="1"/>
  <c r="AZ401" i="5"/>
  <c r="AX67" i="5"/>
  <c r="BH67" i="5" s="1"/>
  <c r="AZ67" i="5"/>
  <c r="AX222" i="5"/>
  <c r="BH222" i="5" s="1"/>
  <c r="G192" i="12" s="1"/>
  <c r="W192" i="12" s="1"/>
  <c r="AZ222" i="5"/>
  <c r="AX46" i="5"/>
  <c r="BH46" i="5" s="1"/>
  <c r="G40" i="12" s="1"/>
  <c r="W40" i="12" s="1"/>
  <c r="AZ46" i="5"/>
  <c r="AX260" i="5"/>
  <c r="AZ260" i="5"/>
  <c r="AS4" i="46"/>
  <c r="O18" i="12"/>
  <c r="Y18" i="12"/>
  <c r="Z18" i="12" s="1"/>
  <c r="AK18" i="12"/>
  <c r="AL18" i="12" s="1"/>
  <c r="AE18" i="12"/>
  <c r="AF18" i="12" s="1"/>
  <c r="AB18" i="12"/>
  <c r="AC18" i="12" s="1"/>
  <c r="AH18" i="12"/>
  <c r="AI18" i="12" s="1"/>
  <c r="AM26" i="12"/>
  <c r="Y26" i="12"/>
  <c r="Z26" i="12" s="1"/>
  <c r="AE26" i="12"/>
  <c r="AF26" i="12" s="1"/>
  <c r="AB26" i="12"/>
  <c r="AC26" i="12" s="1"/>
  <c r="AH26" i="12"/>
  <c r="AI26" i="12" s="1"/>
  <c r="AH21" i="12"/>
  <c r="AI21" i="12" s="1"/>
  <c r="AM21" i="12"/>
  <c r="AQ4" i="46"/>
  <c r="AT4" i="46"/>
  <c r="BE108" i="5"/>
  <c r="AN33" i="7"/>
  <c r="AN68" i="7"/>
  <c r="BC92" i="5"/>
  <c r="Y156" i="8"/>
  <c r="Y56" i="8"/>
  <c r="AE4" i="46"/>
  <c r="AI4" i="46"/>
  <c r="AD4" i="46"/>
  <c r="AB4" i="46"/>
  <c r="AD27" i="10"/>
  <c r="K56" i="12"/>
  <c r="AN26" i="13"/>
  <c r="BL17" i="46" s="1"/>
  <c r="AL26" i="13"/>
  <c r="BE17" i="46" s="1"/>
  <c r="BE4" i="46" s="1"/>
  <c r="AX17" i="46"/>
  <c r="AX4" i="46" s="1"/>
  <c r="AN83" i="13"/>
  <c r="BN28" i="46" s="1"/>
  <c r="AL83" i="13"/>
  <c r="BG28" i="46" s="1"/>
  <c r="AZ28" i="46"/>
  <c r="AN55" i="13"/>
  <c r="BK23" i="46" s="1"/>
  <c r="AL55" i="13"/>
  <c r="BD23" i="46" s="1"/>
  <c r="AW23" i="46"/>
  <c r="AN140" i="13"/>
  <c r="BK40" i="46" s="1"/>
  <c r="AL140" i="13"/>
  <c r="BD40" i="46" s="1"/>
  <c r="AW40" i="46"/>
  <c r="AN144" i="13"/>
  <c r="BO40" i="46" s="1"/>
  <c r="BO4" i="46" s="1"/>
  <c r="AL144" i="13"/>
  <c r="BH40" i="46" s="1"/>
  <c r="BH4" i="46" s="1"/>
  <c r="BA40" i="46"/>
  <c r="BA4" i="46" s="1"/>
  <c r="AW31" i="46"/>
  <c r="AN95" i="13"/>
  <c r="BK31" i="46" s="1"/>
  <c r="AL95" i="13"/>
  <c r="BD31" i="46" s="1"/>
  <c r="AN107" i="13"/>
  <c r="BM33" i="46" s="1"/>
  <c r="AL107" i="13"/>
  <c r="BF33" i="46" s="1"/>
  <c r="AY33" i="46"/>
  <c r="AW43" i="46"/>
  <c r="AN155" i="13"/>
  <c r="BK43" i="46" s="1"/>
  <c r="AL155" i="13"/>
  <c r="BD43" i="46" s="1"/>
  <c r="AW38" i="46"/>
  <c r="AN130" i="13"/>
  <c r="BK38" i="46" s="1"/>
  <c r="AL130" i="13"/>
  <c r="BD38" i="46" s="1"/>
  <c r="AP4" i="46"/>
  <c r="AE21" i="12"/>
  <c r="AF21" i="12" s="1"/>
  <c r="AR16" i="7"/>
  <c r="AU16" i="7" s="1"/>
  <c r="K308" i="12"/>
  <c r="AD61" i="10"/>
  <c r="AB21" i="12"/>
  <c r="AC21" i="12" s="1"/>
  <c r="M21" i="12"/>
  <c r="Y21" i="12"/>
  <c r="Z21" i="12" s="1"/>
  <c r="P21" i="12"/>
  <c r="O21" i="12"/>
  <c r="BE159" i="5"/>
  <c r="BF159" i="5" s="1"/>
  <c r="AR73" i="7"/>
  <c r="AU73" i="7" s="1"/>
  <c r="AR83" i="7"/>
  <c r="AU83" i="7" s="1"/>
  <c r="AR29" i="7"/>
  <c r="L18" i="12"/>
  <c r="AM18" i="12"/>
  <c r="P18" i="12"/>
  <c r="M18" i="12"/>
  <c r="N18" i="12"/>
  <c r="AK50" i="7"/>
  <c r="AK85" i="7"/>
  <c r="AN20" i="7"/>
  <c r="AR86" i="7"/>
  <c r="AU86" i="7" s="1"/>
  <c r="AR23" i="7"/>
  <c r="AU23" i="7" s="1"/>
  <c r="AK60" i="7"/>
  <c r="AS141" i="7"/>
  <c r="AT141" i="7" s="1"/>
  <c r="AQ319" i="12" s="1"/>
  <c r="AO148" i="7"/>
  <c r="AR148" i="7" s="1"/>
  <c r="AO36" i="7"/>
  <c r="AS36" i="7" s="1"/>
  <c r="AT36" i="7" s="1"/>
  <c r="AQ67" i="12" s="1"/>
  <c r="Y308" i="8"/>
  <c r="AD111" i="10"/>
  <c r="AL108" i="13"/>
  <c r="BG33" i="46" s="1"/>
  <c r="AN108" i="13"/>
  <c r="BN33" i="46" s="1"/>
  <c r="AZ33" i="46"/>
  <c r="AN60" i="13"/>
  <c r="BK24" i="46" s="1"/>
  <c r="AL60" i="13"/>
  <c r="BD24" i="46" s="1"/>
  <c r="AW24" i="46"/>
  <c r="K272" i="12"/>
  <c r="Y272" i="8"/>
  <c r="AD99" i="10"/>
  <c r="AL89" i="7"/>
  <c r="AL20" i="7"/>
  <c r="AL73" i="7"/>
  <c r="AR21" i="7"/>
  <c r="AU21" i="7" s="1"/>
  <c r="AS126" i="7"/>
  <c r="AT126" i="7" s="1"/>
  <c r="AQ283" i="12" s="1"/>
  <c r="AO118" i="7"/>
  <c r="AT91" i="7"/>
  <c r="AQ199" i="12" s="1"/>
  <c r="AV91" i="7"/>
  <c r="AX265" i="5"/>
  <c r="BH265" i="5" s="1"/>
  <c r="G229" i="12" s="1"/>
  <c r="AR91" i="7"/>
  <c r="AU91" i="7" s="1"/>
  <c r="AL65" i="7"/>
  <c r="AO79" i="7"/>
  <c r="AV119" i="7"/>
  <c r="X265" i="8"/>
  <c r="I265" i="12"/>
  <c r="AY119" i="7"/>
  <c r="AU119" i="7"/>
  <c r="AX406" i="5"/>
  <c r="BH406" i="5" s="1"/>
  <c r="AC126" i="10" s="1"/>
  <c r="AF126" i="10" s="1"/>
  <c r="AX384" i="5"/>
  <c r="BH384" i="5" s="1"/>
  <c r="G330" i="12" s="1"/>
  <c r="W330" i="12" s="1"/>
  <c r="AX233" i="5"/>
  <c r="BH233" i="5" s="1"/>
  <c r="AW92" i="7" s="1"/>
  <c r="H4" i="9"/>
  <c r="U4" i="9"/>
  <c r="AX374" i="5"/>
  <c r="BH374" i="5" s="1"/>
  <c r="U322" i="8" s="1"/>
  <c r="Z322" i="8" s="1"/>
  <c r="AL31" i="7"/>
  <c r="AR51" i="7"/>
  <c r="AU51" i="7" s="1"/>
  <c r="BC269" i="5"/>
  <c r="AN28" i="7"/>
  <c r="AX399" i="5"/>
  <c r="BC158" i="5"/>
  <c r="I45" i="6"/>
  <c r="M45" i="6" s="1"/>
  <c r="AX322" i="5"/>
  <c r="BH322" i="5" s="1"/>
  <c r="AC102" i="10" s="1"/>
  <c r="AF102" i="10" s="1"/>
  <c r="AP55" i="12"/>
  <c r="AO31" i="7"/>
  <c r="AL48" i="7"/>
  <c r="AV23" i="7"/>
  <c r="AK135" i="7"/>
  <c r="AN120" i="7"/>
  <c r="BE284" i="5"/>
  <c r="BF284" i="5" s="1"/>
  <c r="AX276" i="5"/>
  <c r="BH276" i="5" s="1"/>
  <c r="G238" i="12" s="1"/>
  <c r="AX81" i="5"/>
  <c r="BH81" i="5" s="1"/>
  <c r="U71" i="8" s="1"/>
  <c r="AK80" i="7"/>
  <c r="AK75" i="7"/>
  <c r="AX73" i="5"/>
  <c r="BH73" i="5" s="1"/>
  <c r="U63" i="8" s="1"/>
  <c r="Z63" i="8" s="1"/>
  <c r="BC54" i="5"/>
  <c r="AN35" i="7"/>
  <c r="BC188" i="5"/>
  <c r="AN25" i="7"/>
  <c r="AN142" i="7"/>
  <c r="AX418" i="5"/>
  <c r="BH418" i="5" s="1"/>
  <c r="AC129" i="10" s="1"/>
  <c r="AF129" i="10" s="1"/>
  <c r="AK143" i="7"/>
  <c r="AK141" i="7"/>
  <c r="BC201" i="5"/>
  <c r="AG43" i="46"/>
  <c r="BE371" i="5"/>
  <c r="AX161" i="5"/>
  <c r="AK100" i="7"/>
  <c r="AX257" i="5"/>
  <c r="BH257" i="5" s="1"/>
  <c r="U221" i="8" s="1"/>
  <c r="BC390" i="5"/>
  <c r="BE77" i="5"/>
  <c r="BC416" i="5"/>
  <c r="BE206" i="5"/>
  <c r="BF206" i="5" s="1"/>
  <c r="AK67" i="7"/>
  <c r="BC247" i="5"/>
  <c r="AX247" i="5"/>
  <c r="BH247" i="5" s="1"/>
  <c r="U213" i="8" s="1"/>
  <c r="BE348" i="5"/>
  <c r="BF348" i="5" s="1"/>
  <c r="BC266" i="5"/>
  <c r="AX237" i="5"/>
  <c r="BH237" i="5" s="1"/>
  <c r="AW94" i="7" s="1"/>
  <c r="BE258" i="5"/>
  <c r="BF258" i="5" s="1"/>
  <c r="BC280" i="5"/>
  <c r="I24" i="6"/>
  <c r="M24" i="6" s="1"/>
  <c r="AK74" i="7"/>
  <c r="BC260" i="5"/>
  <c r="AK133" i="7"/>
  <c r="BC190" i="5"/>
  <c r="BE312" i="5"/>
  <c r="BF312" i="5" s="1"/>
  <c r="BE180" i="5"/>
  <c r="BF180" i="5" s="1"/>
  <c r="BE245" i="5"/>
  <c r="BC362" i="5"/>
  <c r="I36" i="6"/>
  <c r="M36" i="6" s="1"/>
  <c r="AX165" i="5"/>
  <c r="BH165" i="5" s="1"/>
  <c r="G143" i="12" s="1"/>
  <c r="W143" i="12" s="1"/>
  <c r="I74" i="6"/>
  <c r="M74" i="6" s="1"/>
  <c r="AX252" i="5"/>
  <c r="BH252" i="5" s="1"/>
  <c r="U218" i="8" s="1"/>
  <c r="Z218" i="8" s="1"/>
  <c r="AX417" i="5"/>
  <c r="BH417" i="5" s="1"/>
  <c r="AW158" i="7" s="1"/>
  <c r="BC46" i="5"/>
  <c r="AX401" i="5"/>
  <c r="BH401" i="5" s="1"/>
  <c r="AW152" i="7" s="1"/>
  <c r="I22" i="6"/>
  <c r="M22" i="6" s="1"/>
  <c r="AX299" i="5"/>
  <c r="BH299" i="5" s="1"/>
  <c r="G257" i="12" s="1"/>
  <c r="W257" i="12" s="1"/>
  <c r="AH115" i="7"/>
  <c r="AS28" i="7"/>
  <c r="AT28" i="7" s="1"/>
  <c r="AQ47" i="12" s="1"/>
  <c r="AL25" i="7"/>
  <c r="BE222" i="5"/>
  <c r="BF222" i="5" s="1"/>
  <c r="BE67" i="5"/>
  <c r="BF67" i="5" s="1"/>
  <c r="AR108" i="7"/>
  <c r="AU108" i="7" s="1"/>
  <c r="AS62" i="7"/>
  <c r="AV62" i="7" s="1"/>
  <c r="BH40" i="5"/>
  <c r="AC21" i="10" s="1"/>
  <c r="AF21" i="10" s="1"/>
  <c r="BC401" i="5"/>
  <c r="AN136" i="7"/>
  <c r="AS89" i="7"/>
  <c r="AT89" i="7" s="1"/>
  <c r="AQ193" i="12" s="1"/>
  <c r="AN36" i="7"/>
  <c r="AO137" i="7"/>
  <c r="AL95" i="7"/>
  <c r="AN126" i="7"/>
  <c r="I51" i="6"/>
  <c r="M51" i="6" s="1"/>
  <c r="AN57" i="7"/>
  <c r="AX275" i="5"/>
  <c r="BH275" i="5" s="1"/>
  <c r="AW107" i="7" s="1"/>
  <c r="AX400" i="5"/>
  <c r="AX187" i="5"/>
  <c r="BH187" i="5" s="1"/>
  <c r="AW75" i="7" s="1"/>
  <c r="BE414" i="5"/>
  <c r="BE148" i="5"/>
  <c r="AX31" i="5"/>
  <c r="BH31" i="5" s="1"/>
  <c r="G27" i="12" s="1"/>
  <c r="W27" i="12" s="1"/>
  <c r="BC392" i="5"/>
  <c r="BC376" i="5"/>
  <c r="BE259" i="5"/>
  <c r="BE391" i="5"/>
  <c r="BF391" i="5" s="1"/>
  <c r="BC402" i="5"/>
  <c r="AN116" i="7"/>
  <c r="AN127" i="7"/>
  <c r="BE251" i="5"/>
  <c r="BF251" i="5" s="1"/>
  <c r="AN123" i="7"/>
  <c r="K156" i="12"/>
  <c r="AN43" i="7"/>
  <c r="BC146" i="5"/>
  <c r="AX83" i="5"/>
  <c r="BH83" i="5" s="1"/>
  <c r="AW39" i="7" s="1"/>
  <c r="AX248" i="5"/>
  <c r="BH248" i="5" s="1"/>
  <c r="U214" i="8" s="1"/>
  <c r="Z214" i="8" s="1"/>
  <c r="AN148" i="7"/>
  <c r="AX311" i="5"/>
  <c r="BH311" i="5" s="1"/>
  <c r="G267" i="12" s="1"/>
  <c r="W267" i="12" s="1"/>
  <c r="AN121" i="7"/>
  <c r="AX369" i="5"/>
  <c r="BH369" i="5" s="1"/>
  <c r="U317" i="8" s="1"/>
  <c r="BE84" i="5"/>
  <c r="BF84" i="5" s="1"/>
  <c r="BC243" i="5"/>
  <c r="AN23" i="7"/>
  <c r="AN81" i="7"/>
  <c r="AN153" i="7"/>
  <c r="AN157" i="7"/>
  <c r="AN93" i="7"/>
  <c r="AS76" i="7"/>
  <c r="AU76" i="7" s="1"/>
  <c r="AL29" i="7"/>
  <c r="AN137" i="7"/>
  <c r="AV108" i="7"/>
  <c r="AK156" i="7"/>
  <c r="AO94" i="7"/>
  <c r="AR94" i="7" s="1"/>
  <c r="AR85" i="7"/>
  <c r="AT133" i="7"/>
  <c r="AQ299" i="12" s="1"/>
  <c r="AV133" i="7"/>
  <c r="AN38" i="7"/>
  <c r="AR57" i="7"/>
  <c r="AS57" i="7"/>
  <c r="AT57" i="7" s="1"/>
  <c r="AQ117" i="12" s="1"/>
  <c r="AR133" i="7"/>
  <c r="AU133" i="7" s="1"/>
  <c r="AN32" i="7"/>
  <c r="AL39" i="7"/>
  <c r="AN138" i="7"/>
  <c r="AO151" i="7"/>
  <c r="AS151" i="7" s="1"/>
  <c r="AN125" i="7"/>
  <c r="AO75" i="7"/>
  <c r="AK23" i="12"/>
  <c r="AL23" i="12" s="1"/>
  <c r="P23" i="12"/>
  <c r="AM23" i="12"/>
  <c r="AB23" i="12"/>
  <c r="AC23" i="12" s="1"/>
  <c r="AH23" i="12"/>
  <c r="AI23" i="12" s="1"/>
  <c r="AE23" i="12"/>
  <c r="AF23" i="12" s="1"/>
  <c r="O23" i="12"/>
  <c r="Y23" i="12"/>
  <c r="Z23" i="12" s="1"/>
  <c r="AH95" i="7"/>
  <c r="AO15" i="7"/>
  <c r="AS15" i="7" s="1"/>
  <c r="AT15" i="7" s="1"/>
  <c r="AQ17" i="12" s="1"/>
  <c r="AH148" i="7"/>
  <c r="AO113" i="7"/>
  <c r="AS113" i="7" s="1"/>
  <c r="AT113" i="7" s="1"/>
  <c r="AQ251" i="12" s="1"/>
  <c r="AH123" i="7"/>
  <c r="AN52" i="7"/>
  <c r="AO32" i="7"/>
  <c r="AO58" i="7"/>
  <c r="AO112" i="7"/>
  <c r="AL149" i="7"/>
  <c r="AL23" i="7"/>
  <c r="AO42" i="7"/>
  <c r="AO130" i="7"/>
  <c r="AT37" i="7"/>
  <c r="AQ69" i="12" s="1"/>
  <c r="AV37" i="7"/>
  <c r="AN112" i="7"/>
  <c r="AT21" i="7"/>
  <c r="AQ31" i="12" s="1"/>
  <c r="AT63" i="7"/>
  <c r="AQ131" i="12" s="1"/>
  <c r="AO131" i="7"/>
  <c r="AO24" i="7"/>
  <c r="AR63" i="7"/>
  <c r="AU63" i="7" s="1"/>
  <c r="AL59" i="7"/>
  <c r="AH45" i="7"/>
  <c r="AV125" i="7"/>
  <c r="AN147" i="7"/>
  <c r="V15" i="12"/>
  <c r="AH88" i="7"/>
  <c r="AH39" i="7"/>
  <c r="AO123" i="7"/>
  <c r="AS123" i="7" s="1"/>
  <c r="AT123" i="7" s="1"/>
  <c r="AQ275" i="12" s="1"/>
  <c r="AO66" i="7"/>
  <c r="AS66" i="7" s="1"/>
  <c r="AT66" i="7" s="1"/>
  <c r="AQ139" i="12" s="1"/>
  <c r="AO90" i="7"/>
  <c r="AS90" i="7" s="1"/>
  <c r="AH138" i="7"/>
  <c r="AL115" i="7"/>
  <c r="AO40" i="7"/>
  <c r="AR37" i="7"/>
  <c r="AU37" i="7" s="1"/>
  <c r="AK76" i="7"/>
  <c r="AN90" i="7"/>
  <c r="AO138" i="7"/>
  <c r="AS138" i="7" s="1"/>
  <c r="AT138" i="7" s="1"/>
  <c r="AQ311" i="12" s="1"/>
  <c r="AO146" i="7"/>
  <c r="AS146" i="7" s="1"/>
  <c r="AO129" i="7"/>
  <c r="AS129" i="7" s="1"/>
  <c r="AH35" i="7"/>
  <c r="AN91" i="7"/>
  <c r="AK91" i="7"/>
  <c r="AN132" i="7"/>
  <c r="AK132" i="7"/>
  <c r="S4" i="46"/>
  <c r="AN61" i="7"/>
  <c r="AN87" i="7"/>
  <c r="AK87" i="7"/>
  <c r="AN158" i="7"/>
  <c r="AK158" i="7"/>
  <c r="AN77" i="7"/>
  <c r="AK77" i="7"/>
  <c r="AN88" i="7"/>
  <c r="AK88" i="7"/>
  <c r="AR4" i="12"/>
  <c r="AN53" i="7"/>
  <c r="AN122" i="7"/>
  <c r="AK122" i="7"/>
  <c r="AN48" i="7"/>
  <c r="AK48" i="7"/>
  <c r="AN152" i="7"/>
  <c r="AN29" i="7"/>
  <c r="AK29" i="7"/>
  <c r="AS49" i="7"/>
  <c r="AT49" i="7" s="1"/>
  <c r="AQ97" i="12" s="1"/>
  <c r="AR49" i="7"/>
  <c r="AR47" i="7"/>
  <c r="AS47" i="7"/>
  <c r="AT47" i="7" s="1"/>
  <c r="AQ93" i="12" s="1"/>
  <c r="AX345" i="5"/>
  <c r="BH345" i="5" s="1"/>
  <c r="I61" i="6"/>
  <c r="M61" i="6" s="1"/>
  <c r="AX329" i="5"/>
  <c r="BC417" i="5"/>
  <c r="BE417" i="5"/>
  <c r="BF417" i="5" s="1"/>
  <c r="AX177" i="5"/>
  <c r="BH177" i="5" s="1"/>
  <c r="I37" i="6"/>
  <c r="M37" i="6" s="1"/>
  <c r="BC306" i="5"/>
  <c r="BE306" i="5"/>
  <c r="BF306" i="5" s="1"/>
  <c r="BC76" i="5"/>
  <c r="BE76" i="5"/>
  <c r="BF76" i="5" s="1"/>
  <c r="AX271" i="5"/>
  <c r="BH271" i="5" s="1"/>
  <c r="AS156" i="7"/>
  <c r="AT156" i="7" s="1"/>
  <c r="AQ355" i="12" s="1"/>
  <c r="AR156" i="7"/>
  <c r="BC389" i="5"/>
  <c r="BE389" i="5"/>
  <c r="BF389" i="5" s="1"/>
  <c r="U302" i="8"/>
  <c r="Z302" i="8" s="1"/>
  <c r="AC110" i="10"/>
  <c r="AF110" i="10" s="1"/>
  <c r="G302" i="12"/>
  <c r="W302" i="12" s="1"/>
  <c r="BC339" i="5"/>
  <c r="BE339" i="5"/>
  <c r="BF339" i="5" s="1"/>
  <c r="AS68" i="7"/>
  <c r="AR68" i="7"/>
  <c r="AX62" i="5"/>
  <c r="BH62" i="5" s="1"/>
  <c r="AC48" i="10"/>
  <c r="AF48" i="10" s="1"/>
  <c r="U118" i="8"/>
  <c r="Z118" i="8" s="1"/>
  <c r="G118" i="12"/>
  <c r="W118" i="12" s="1"/>
  <c r="AY86" i="7"/>
  <c r="X187" i="8"/>
  <c r="I187" i="12"/>
  <c r="AX192" i="5"/>
  <c r="BH192" i="5" s="1"/>
  <c r="AN101" i="7"/>
  <c r="AX189" i="5"/>
  <c r="BH274" i="5"/>
  <c r="AW109" i="7"/>
  <c r="BA109" i="7" s="1"/>
  <c r="U241" i="8"/>
  <c r="Z241" i="8" s="1"/>
  <c r="G241" i="12"/>
  <c r="AX157" i="5"/>
  <c r="BH157" i="5" s="1"/>
  <c r="AX375" i="5"/>
  <c r="BH375" i="5" s="1"/>
  <c r="I68" i="6"/>
  <c r="M68" i="6" s="1"/>
  <c r="AY69" i="7"/>
  <c r="AU69" i="7"/>
  <c r="X145" i="8"/>
  <c r="I145" i="12"/>
  <c r="AV69" i="7"/>
  <c r="BC289" i="5"/>
  <c r="BE289" i="5"/>
  <c r="BF289" i="5" s="1"/>
  <c r="U155" i="8"/>
  <c r="AW73" i="7"/>
  <c r="G155" i="12"/>
  <c r="W155" i="12" s="1"/>
  <c r="AN96" i="7"/>
  <c r="AX238" i="5"/>
  <c r="BH238" i="5" s="1"/>
  <c r="G100" i="12"/>
  <c r="W100" i="12" s="1"/>
  <c r="U100" i="8"/>
  <c r="Z100" i="8" s="1"/>
  <c r="AX168" i="5"/>
  <c r="BH168" i="5" s="1"/>
  <c r="AX60" i="5"/>
  <c r="BH60" i="5" s="1"/>
  <c r="G59" i="12"/>
  <c r="W59" i="12" s="1"/>
  <c r="U59" i="8"/>
  <c r="AW33" i="7"/>
  <c r="BC270" i="5"/>
  <c r="BE270" i="5"/>
  <c r="BF270" i="5" s="1"/>
  <c r="AX313" i="5"/>
  <c r="BH313" i="5" s="1"/>
  <c r="BC294" i="5"/>
  <c r="BE294" i="5"/>
  <c r="BF294" i="5" s="1"/>
  <c r="AX47" i="5"/>
  <c r="BH47" i="5" s="1"/>
  <c r="Z34" i="46"/>
  <c r="BH287" i="5"/>
  <c r="AS74" i="7"/>
  <c r="AT74" i="7" s="1"/>
  <c r="AQ157" i="12" s="1"/>
  <c r="AR74" i="7"/>
  <c r="I66" i="6"/>
  <c r="AX346" i="5"/>
  <c r="BH346" i="5" s="1"/>
  <c r="AN82" i="7"/>
  <c r="AH82" i="7"/>
  <c r="U290" i="8"/>
  <c r="Z290" i="8" s="1"/>
  <c r="G290" i="12"/>
  <c r="W290" i="12" s="1"/>
  <c r="AC106" i="10"/>
  <c r="AF106" i="10" s="1"/>
  <c r="AX202" i="5"/>
  <c r="BH202" i="5" s="1"/>
  <c r="AN129" i="7"/>
  <c r="AH129" i="7"/>
  <c r="BC210" i="5"/>
  <c r="BE210" i="5"/>
  <c r="BF210" i="5" s="1"/>
  <c r="AS144" i="7"/>
  <c r="AT144" i="7" s="1"/>
  <c r="AQ325" i="12" s="1"/>
  <c r="AR144" i="7"/>
  <c r="AX93" i="5"/>
  <c r="BH93" i="5" s="1"/>
  <c r="I25" i="6"/>
  <c r="M25" i="6" s="1"/>
  <c r="AL61" i="7"/>
  <c r="G312" i="12"/>
  <c r="W312" i="12" s="1"/>
  <c r="AC113" i="10"/>
  <c r="AF113" i="10" s="1"/>
  <c r="AL150" i="7"/>
  <c r="AX143" i="5"/>
  <c r="BH143" i="5" s="1"/>
  <c r="BC406" i="5"/>
  <c r="BE406" i="5"/>
  <c r="BF406" i="5" s="1"/>
  <c r="AX90" i="5"/>
  <c r="BH90" i="5" s="1"/>
  <c r="BE45" i="5"/>
  <c r="BF45" i="5" s="1"/>
  <c r="BC45" i="5"/>
  <c r="AX353" i="5"/>
  <c r="BH353" i="5" s="1"/>
  <c r="AX109" i="5"/>
  <c r="I28" i="6"/>
  <c r="M28" i="6" s="1"/>
  <c r="Z4" i="9"/>
  <c r="AB4" i="9" s="1"/>
  <c r="AX412" i="5"/>
  <c r="BH412" i="5" s="1"/>
  <c r="AM45" i="7"/>
  <c r="AM4" i="7" s="1"/>
  <c r="AL45" i="7"/>
  <c r="AF4" i="7"/>
  <c r="AL148" i="7"/>
  <c r="U76" i="8"/>
  <c r="Z76" i="8" s="1"/>
  <c r="G76" i="12"/>
  <c r="W76" i="12" s="1"/>
  <c r="AX358" i="5"/>
  <c r="AC97" i="10"/>
  <c r="AF97" i="10" s="1"/>
  <c r="G264" i="12"/>
  <c r="W264" i="12" s="1"/>
  <c r="U264" i="8"/>
  <c r="Z264" i="8" s="1"/>
  <c r="G66" i="12"/>
  <c r="W66" i="12" s="1"/>
  <c r="U66" i="8"/>
  <c r="Z66" i="8" s="1"/>
  <c r="AS97" i="7"/>
  <c r="AT97" i="7" s="1"/>
  <c r="AQ213" i="12" s="1"/>
  <c r="AR97" i="7"/>
  <c r="G335" i="12"/>
  <c r="W335" i="12" s="1"/>
  <c r="AW148" i="7"/>
  <c r="U335" i="8"/>
  <c r="AX277" i="5"/>
  <c r="BH277" i="5" s="1"/>
  <c r="I52" i="6"/>
  <c r="M52" i="6" s="1"/>
  <c r="U291" i="8"/>
  <c r="Z291" i="8" s="1"/>
  <c r="G291" i="12"/>
  <c r="W291" i="12" s="1"/>
  <c r="AN47" i="7"/>
  <c r="AH47" i="7"/>
  <c r="AS81" i="7"/>
  <c r="AT81" i="7" s="1"/>
  <c r="AQ175" i="12" s="1"/>
  <c r="AR81" i="7"/>
  <c r="AS18" i="7"/>
  <c r="AR18" i="7"/>
  <c r="AR60" i="7"/>
  <c r="AS60" i="7"/>
  <c r="BE135" i="5"/>
  <c r="BF135" i="5" s="1"/>
  <c r="BC135" i="5"/>
  <c r="AT86" i="7"/>
  <c r="AQ187" i="12" s="1"/>
  <c r="BC163" i="5"/>
  <c r="BE163" i="5"/>
  <c r="BF163" i="5" s="1"/>
  <c r="AX154" i="5"/>
  <c r="BH154" i="5" s="1"/>
  <c r="AL90" i="7"/>
  <c r="AX196" i="5"/>
  <c r="BH196" i="5" s="1"/>
  <c r="AN78" i="7"/>
  <c r="BC244" i="5"/>
  <c r="BE244" i="5"/>
  <c r="BF244" i="5" s="1"/>
  <c r="BC370" i="5"/>
  <c r="BE370" i="5"/>
  <c r="BF370" i="5" s="1"/>
  <c r="AX204" i="5"/>
  <c r="BH92" i="5"/>
  <c r="U249" i="8"/>
  <c r="AW112" i="7"/>
  <c r="G249" i="12"/>
  <c r="AD4" i="7"/>
  <c r="AP89" i="12"/>
  <c r="AX96" i="5"/>
  <c r="BH96" i="5" s="1"/>
  <c r="AX219" i="5"/>
  <c r="BH219" i="5" s="1"/>
  <c r="I43" i="6"/>
  <c r="M43" i="6" s="1"/>
  <c r="U232" i="8"/>
  <c r="Z232" i="8" s="1"/>
  <c r="G232" i="12"/>
  <c r="BC160" i="5"/>
  <c r="BE160" i="5"/>
  <c r="BF160" i="5" s="1"/>
  <c r="BC79" i="5"/>
  <c r="BE79" i="5"/>
  <c r="BF79" i="5" s="1"/>
  <c r="AX292" i="5"/>
  <c r="BH292" i="5" s="1"/>
  <c r="BC246" i="5"/>
  <c r="BE246" i="5"/>
  <c r="BC39" i="5"/>
  <c r="BE39" i="5"/>
  <c r="BF39" i="5" s="1"/>
  <c r="BE126" i="5"/>
  <c r="BF126" i="5" s="1"/>
  <c r="BC126" i="5"/>
  <c r="AX216" i="5"/>
  <c r="BH216" i="5" s="1"/>
  <c r="BC38" i="5"/>
  <c r="BE38" i="5"/>
  <c r="BF38" i="5" s="1"/>
  <c r="AX224" i="5"/>
  <c r="BH224" i="5" s="1"/>
  <c r="AU33" i="7"/>
  <c r="AY33" i="7"/>
  <c r="X59" i="8"/>
  <c r="I59" i="12"/>
  <c r="AV33" i="7"/>
  <c r="AK71" i="7"/>
  <c r="BC307" i="5"/>
  <c r="BE307" i="5"/>
  <c r="BF307" i="5" s="1"/>
  <c r="BC223" i="5"/>
  <c r="BE223" i="5"/>
  <c r="BF223" i="5" s="1"/>
  <c r="U270" i="8"/>
  <c r="Z270" i="8" s="1"/>
  <c r="G270" i="12"/>
  <c r="W270" i="12" s="1"/>
  <c r="AY51" i="7"/>
  <c r="I103" i="12"/>
  <c r="X103" i="8"/>
  <c r="BC36" i="5"/>
  <c r="BE36" i="5"/>
  <c r="BC321" i="5"/>
  <c r="BE321" i="5"/>
  <c r="BF321" i="5" s="1"/>
  <c r="BC80" i="5"/>
  <c r="BE80" i="5"/>
  <c r="BF80" i="5" s="1"/>
  <c r="AY108" i="7"/>
  <c r="I239" i="12"/>
  <c r="X239" i="8"/>
  <c r="AX213" i="5"/>
  <c r="BH213" i="5" s="1"/>
  <c r="AY28" i="7"/>
  <c r="AU28" i="7"/>
  <c r="X47" i="8"/>
  <c r="I47" i="12"/>
  <c r="AV28" i="7"/>
  <c r="AX203" i="5"/>
  <c r="AN46" i="7"/>
  <c r="AH46" i="7"/>
  <c r="AX173" i="5"/>
  <c r="BH173" i="5" s="1"/>
  <c r="BC215" i="5"/>
  <c r="BE215" i="5"/>
  <c r="BF215" i="5" s="1"/>
  <c r="BH414" i="5"/>
  <c r="AX303" i="5"/>
  <c r="BH303" i="5" s="1"/>
  <c r="I55" i="6"/>
  <c r="M55" i="6" s="1"/>
  <c r="G361" i="12"/>
  <c r="W361" i="12" s="1"/>
  <c r="U361" i="8"/>
  <c r="AW157" i="7"/>
  <c r="U357" i="8"/>
  <c r="G357" i="12"/>
  <c r="W357" i="12" s="1"/>
  <c r="AN70" i="7"/>
  <c r="AO158" i="7"/>
  <c r="AY63" i="7"/>
  <c r="X131" i="8"/>
  <c r="I131" i="12"/>
  <c r="AU85" i="7"/>
  <c r="AY85" i="7"/>
  <c r="I185" i="12"/>
  <c r="X185" i="8"/>
  <c r="AS70" i="7"/>
  <c r="AT70" i="7" s="1"/>
  <c r="AQ149" i="12" s="1"/>
  <c r="AR70" i="7"/>
  <c r="AH70" i="7"/>
  <c r="AN30" i="7"/>
  <c r="AH30" i="7"/>
  <c r="G117" i="12"/>
  <c r="W117" i="12" s="1"/>
  <c r="AW57" i="7"/>
  <c r="U117" i="8"/>
  <c r="AX162" i="5"/>
  <c r="U141" i="8"/>
  <c r="AW67" i="7"/>
  <c r="G141" i="12"/>
  <c r="W141" i="12" s="1"/>
  <c r="BC409" i="5"/>
  <c r="BE409" i="5"/>
  <c r="BF409" i="5" s="1"/>
  <c r="AX95" i="5"/>
  <c r="BH95" i="5" s="1"/>
  <c r="I26" i="6"/>
  <c r="M26" i="6" s="1"/>
  <c r="AL111" i="7"/>
  <c r="U210" i="8"/>
  <c r="Z210" i="8" s="1"/>
  <c r="G210" i="12"/>
  <c r="W210" i="12" s="1"/>
  <c r="U318" i="8"/>
  <c r="Z318" i="8" s="1"/>
  <c r="G318" i="12"/>
  <c r="W318" i="12" s="1"/>
  <c r="AY29" i="7"/>
  <c r="AU29" i="7"/>
  <c r="X49" i="8"/>
  <c r="I49" i="12"/>
  <c r="AX138" i="5"/>
  <c r="BH138" i="5" s="1"/>
  <c r="AH23" i="46"/>
  <c r="G338" i="12"/>
  <c r="W338" i="12" s="1"/>
  <c r="Z15" i="12"/>
  <c r="AU15" i="12" s="1"/>
  <c r="AN15" i="12"/>
  <c r="AX308" i="5"/>
  <c r="BH308" i="5" s="1"/>
  <c r="AX363" i="5"/>
  <c r="BH363" i="5" s="1"/>
  <c r="J4" i="12"/>
  <c r="G138" i="12"/>
  <c r="W138" i="12" s="1"/>
  <c r="U138" i="8"/>
  <c r="Z138" i="8" s="1"/>
  <c r="BC61" i="5"/>
  <c r="BE61" i="5"/>
  <c r="BF61" i="5" s="1"/>
  <c r="AW37" i="7"/>
  <c r="U69" i="8"/>
  <c r="G69" i="12"/>
  <c r="W69" i="12" s="1"/>
  <c r="AX107" i="5"/>
  <c r="I27" i="6"/>
  <c r="BE214" i="5"/>
  <c r="BF214" i="5" s="1"/>
  <c r="BC214" i="5"/>
  <c r="BH246" i="5"/>
  <c r="AP357" i="12"/>
  <c r="AO157" i="7"/>
  <c r="AC46" i="10"/>
  <c r="AF46" i="10" s="1"/>
  <c r="U110" i="8"/>
  <c r="Z110" i="8" s="1"/>
  <c r="G110" i="12"/>
  <c r="W110" i="12" s="1"/>
  <c r="AN155" i="7"/>
  <c r="AH155" i="7"/>
  <c r="AU159" i="7"/>
  <c r="AY159" i="7"/>
  <c r="I361" i="12"/>
  <c r="X361" i="8"/>
  <c r="AV159" i="7"/>
  <c r="G34" i="12"/>
  <c r="W34" i="12" s="1"/>
  <c r="Z34" i="8"/>
  <c r="AC20" i="10"/>
  <c r="AF20" i="10" s="1"/>
  <c r="AX398" i="5"/>
  <c r="BH398" i="5" s="1"/>
  <c r="U193" i="8"/>
  <c r="AW89" i="7"/>
  <c r="G193" i="12"/>
  <c r="W193" i="12" s="1"/>
  <c r="BH190" i="5"/>
  <c r="BH36" i="5"/>
  <c r="BH259" i="5"/>
  <c r="G20" i="12"/>
  <c r="W20" i="12" s="1"/>
  <c r="AC15" i="10"/>
  <c r="AF15" i="10" s="1"/>
  <c r="U20" i="8"/>
  <c r="Z20" i="8" s="1"/>
  <c r="AH112" i="7"/>
  <c r="U277" i="8"/>
  <c r="AW124" i="7"/>
  <c r="G277" i="12"/>
  <c r="W277" i="12" s="1"/>
  <c r="BE413" i="5"/>
  <c r="BC413" i="5"/>
  <c r="BL21" i="46"/>
  <c r="AX232" i="5"/>
  <c r="AW85" i="7"/>
  <c r="U185" i="8"/>
  <c r="G185" i="12"/>
  <c r="W185" i="12" s="1"/>
  <c r="BC83" i="5"/>
  <c r="BE83" i="5"/>
  <c r="BF83" i="5" s="1"/>
  <c r="AL112" i="7"/>
  <c r="BE415" i="5"/>
  <c r="BF415" i="5" s="1"/>
  <c r="BC415" i="5"/>
  <c r="BC344" i="5"/>
  <c r="BE344" i="5"/>
  <c r="AO147" i="7"/>
  <c r="AH78" i="7"/>
  <c r="AT85" i="7"/>
  <c r="AQ185" i="12" s="1"/>
  <c r="AS92" i="7"/>
  <c r="AT92" i="7" s="1"/>
  <c r="AQ201" i="12" s="1"/>
  <c r="AR92" i="7"/>
  <c r="AH147" i="7"/>
  <c r="AH90" i="7"/>
  <c r="BC328" i="5"/>
  <c r="BE328" i="5"/>
  <c r="BF328" i="5" s="1"/>
  <c r="AW30" i="7"/>
  <c r="G53" i="12"/>
  <c r="W53" i="12" s="1"/>
  <c r="U53" i="8"/>
  <c r="G184" i="12"/>
  <c r="W184" i="12" s="1"/>
  <c r="U184" i="8"/>
  <c r="Z184" i="8" s="1"/>
  <c r="AX261" i="5"/>
  <c r="BH261" i="5" s="1"/>
  <c r="I49" i="6"/>
  <c r="M49" i="6" s="1"/>
  <c r="AR26" i="7"/>
  <c r="AS43" i="7"/>
  <c r="AT43" i="7" s="1"/>
  <c r="AQ83" i="12" s="1"/>
  <c r="AR43" i="7"/>
  <c r="AW113" i="7"/>
  <c r="U251" i="8"/>
  <c r="G251" i="12"/>
  <c r="W251" i="12" s="1"/>
  <c r="AW23" i="7"/>
  <c r="G35" i="12"/>
  <c r="W35" i="12" s="1"/>
  <c r="AX137" i="5"/>
  <c r="BH137" i="5" s="1"/>
  <c r="I32" i="6"/>
  <c r="M32" i="6" s="1"/>
  <c r="AX278" i="5"/>
  <c r="BH278" i="5" s="1"/>
  <c r="AC45" i="10"/>
  <c r="AF45" i="10" s="1"/>
  <c r="U108" i="8"/>
  <c r="Z108" i="8" s="1"/>
  <c r="G108" i="12"/>
  <c r="W108" i="12" s="1"/>
  <c r="AN131" i="7"/>
  <c r="AH131" i="7"/>
  <c r="AY124" i="7"/>
  <c r="AU124" i="7"/>
  <c r="X277" i="8"/>
  <c r="I277" i="12"/>
  <c r="AV124" i="7"/>
  <c r="AN42" i="7"/>
  <c r="BE178" i="5"/>
  <c r="BF178" i="5" s="1"/>
  <c r="BC178" i="5"/>
  <c r="AS116" i="7"/>
  <c r="AR116" i="7"/>
  <c r="AS59" i="7"/>
  <c r="AR59" i="7"/>
  <c r="BE227" i="5"/>
  <c r="BF227" i="5" s="1"/>
  <c r="BC227" i="5"/>
  <c r="AT51" i="7"/>
  <c r="AQ103" i="12" s="1"/>
  <c r="AL38" i="7"/>
  <c r="N18" i="9"/>
  <c r="O18" i="9" s="1"/>
  <c r="X18" i="9" s="1"/>
  <c r="AA18" i="9" s="1"/>
  <c r="AC18" i="9" s="1"/>
  <c r="BC52" i="5"/>
  <c r="BE52" i="5"/>
  <c r="BF52" i="5" s="1"/>
  <c r="AO110" i="7"/>
  <c r="BH413" i="5"/>
  <c r="AX78" i="5"/>
  <c r="AX121" i="5"/>
  <c r="BH121" i="5" s="1"/>
  <c r="I29" i="6"/>
  <c r="M29" i="6" s="1"/>
  <c r="BC381" i="5"/>
  <c r="BE381" i="5"/>
  <c r="BF381" i="5" s="1"/>
  <c r="AL138" i="7"/>
  <c r="AX175" i="5"/>
  <c r="AN51" i="7"/>
  <c r="BH344" i="5"/>
  <c r="AH25" i="7"/>
  <c r="AO104" i="7"/>
  <c r="AH65" i="7"/>
  <c r="AH42" i="7"/>
  <c r="AS48" i="7"/>
  <c r="AT48" i="7" s="1"/>
  <c r="AQ95" i="12" s="1"/>
  <c r="AR48" i="7"/>
  <c r="AN27" i="7"/>
  <c r="AO149" i="7"/>
  <c r="AS150" i="7"/>
  <c r="AR150" i="7"/>
  <c r="BC249" i="5"/>
  <c r="BE249" i="5"/>
  <c r="BF249" i="5" s="1"/>
  <c r="AX125" i="5"/>
  <c r="BH125" i="5" s="1"/>
  <c r="AX272" i="5"/>
  <c r="BH272" i="5" s="1"/>
  <c r="AX250" i="5"/>
  <c r="AS96" i="7"/>
  <c r="AT96" i="7" s="1"/>
  <c r="AQ211" i="12" s="1"/>
  <c r="AR96" i="7"/>
  <c r="U156" i="8"/>
  <c r="AC61" i="10"/>
  <c r="G156" i="12"/>
  <c r="W156" i="12" s="1"/>
  <c r="U299" i="8"/>
  <c r="AW133" i="7"/>
  <c r="G299" i="12"/>
  <c r="W299" i="12" s="1"/>
  <c r="BC88" i="5"/>
  <c r="BE88" i="5"/>
  <c r="BF88" i="5" s="1"/>
  <c r="AX288" i="5"/>
  <c r="BD21" i="46"/>
  <c r="AS152" i="7"/>
  <c r="AT152" i="7" s="1"/>
  <c r="AQ345" i="12" s="1"/>
  <c r="AR152" i="7"/>
  <c r="BC322" i="5"/>
  <c r="BE322" i="5"/>
  <c r="BF322" i="5" s="1"/>
  <c r="AX186" i="5"/>
  <c r="BH186" i="5" s="1"/>
  <c r="AN113" i="7"/>
  <c r="AN86" i="7"/>
  <c r="AH86" i="7"/>
  <c r="AX397" i="5"/>
  <c r="BH397" i="5" s="1"/>
  <c r="BH35" i="5"/>
  <c r="AX166" i="5"/>
  <c r="BH166" i="5" s="1"/>
  <c r="AX273" i="5"/>
  <c r="AN83" i="7"/>
  <c r="AH83" i="7"/>
  <c r="AS25" i="7"/>
  <c r="AT25" i="7" s="1"/>
  <c r="AQ41" i="12" s="1"/>
  <c r="AR25" i="7"/>
  <c r="AX355" i="5"/>
  <c r="BH355" i="5" s="1"/>
  <c r="AX82" i="5"/>
  <c r="BH82" i="5" s="1"/>
  <c r="AY73" i="7"/>
  <c r="X155" i="8"/>
  <c r="I155" i="12"/>
  <c r="BC119" i="5"/>
  <c r="BE119" i="5"/>
  <c r="AS111" i="7"/>
  <c r="AR111" i="7"/>
  <c r="AC85" i="10"/>
  <c r="AF85" i="10" s="1"/>
  <c r="U228" i="8"/>
  <c r="Z228" i="8" s="1"/>
  <c r="G228" i="12"/>
  <c r="AP173" i="12"/>
  <c r="AO80" i="7"/>
  <c r="AX207" i="5"/>
  <c r="BH207" i="5" s="1"/>
  <c r="I42" i="6"/>
  <c r="M42" i="6" s="1"/>
  <c r="AW95" i="7"/>
  <c r="U209" i="8"/>
  <c r="G209" i="12"/>
  <c r="W209" i="12" s="1"/>
  <c r="U282" i="8"/>
  <c r="Z282" i="8" s="1"/>
  <c r="G282" i="12"/>
  <c r="W282" i="12" s="1"/>
  <c r="BC382" i="5"/>
  <c r="BE382" i="5"/>
  <c r="BF382" i="5" s="1"/>
  <c r="BC291" i="5"/>
  <c r="BE291" i="5"/>
  <c r="BF291" i="5" s="1"/>
  <c r="AX185" i="5"/>
  <c r="BH185" i="5" s="1"/>
  <c r="BC124" i="5"/>
  <c r="BE124" i="5"/>
  <c r="BF124" i="5" s="1"/>
  <c r="BC400" i="5"/>
  <c r="BE400" i="5"/>
  <c r="BC103" i="5"/>
  <c r="BE103" i="5"/>
  <c r="AN56" i="7"/>
  <c r="AH56" i="7"/>
  <c r="U162" i="8"/>
  <c r="Z162" i="8" s="1"/>
  <c r="G162" i="12"/>
  <c r="W162" i="12" s="1"/>
  <c r="AX256" i="5"/>
  <c r="BH256" i="5" s="1"/>
  <c r="AX34" i="5"/>
  <c r="BH34" i="5" s="1"/>
  <c r="U154" i="8"/>
  <c r="Z154" i="8" s="1"/>
  <c r="AC60" i="10"/>
  <c r="AF60" i="10" s="1"/>
  <c r="G154" i="12"/>
  <c r="W154" i="12" s="1"/>
  <c r="AR54" i="7"/>
  <c r="AS54" i="7"/>
  <c r="AT54" i="7" s="1"/>
  <c r="AQ109" i="12" s="1"/>
  <c r="U195" i="8"/>
  <c r="Z195" i="8" s="1"/>
  <c r="G195" i="12"/>
  <c r="W195" i="12" s="1"/>
  <c r="AL53" i="7"/>
  <c r="BC263" i="5"/>
  <c r="BE263" i="5"/>
  <c r="BF263" i="5" s="1"/>
  <c r="G46" i="12"/>
  <c r="W46" i="12" s="1"/>
  <c r="AC24" i="10"/>
  <c r="AF24" i="10" s="1"/>
  <c r="U46" i="8"/>
  <c r="Z46" i="8" s="1"/>
  <c r="U191" i="8"/>
  <c r="G191" i="12"/>
  <c r="W191" i="12" s="1"/>
  <c r="AW88" i="7"/>
  <c r="AX297" i="5"/>
  <c r="BH297" i="5" s="1"/>
  <c r="AX342" i="5"/>
  <c r="BH342" i="5" s="1"/>
  <c r="AL56" i="7"/>
  <c r="U327" i="8"/>
  <c r="Z327" i="8" s="1"/>
  <c r="G327" i="12"/>
  <c r="W327" i="12" s="1"/>
  <c r="BC31" i="5"/>
  <c r="BE31" i="5"/>
  <c r="BF31" i="5" s="1"/>
  <c r="BC248" i="5"/>
  <c r="BE248" i="5"/>
  <c r="BF248" i="5" s="1"/>
  <c r="BC140" i="5"/>
  <c r="BE140" i="5"/>
  <c r="BF140" i="5" s="1"/>
  <c r="AX123" i="5"/>
  <c r="BH123" i="5" s="1"/>
  <c r="I30" i="6"/>
  <c r="M30" i="6" s="1"/>
  <c r="AL96" i="7"/>
  <c r="AY23" i="7"/>
  <c r="X35" i="8"/>
  <c r="I35" i="12"/>
  <c r="AO142" i="7"/>
  <c r="AH125" i="7"/>
  <c r="AH20" i="7"/>
  <c r="AH59" i="7"/>
  <c r="AR88" i="7"/>
  <c r="AS88" i="7"/>
  <c r="AS53" i="7"/>
  <c r="AR53" i="7"/>
  <c r="AH120" i="7"/>
  <c r="AX55" i="5"/>
  <c r="BH55" i="5" s="1"/>
  <c r="AL47" i="7"/>
  <c r="G48" i="12"/>
  <c r="W48" i="12" s="1"/>
  <c r="U48" i="8"/>
  <c r="Z48" i="8" s="1"/>
  <c r="AK128" i="7"/>
  <c r="AS71" i="7"/>
  <c r="AR71" i="7"/>
  <c r="G29" i="12"/>
  <c r="W29" i="12" s="1"/>
  <c r="AW20" i="7"/>
  <c r="U29" i="8"/>
  <c r="AX231" i="5"/>
  <c r="M23" i="12"/>
  <c r="AT73" i="7"/>
  <c r="AQ155" i="12" s="1"/>
  <c r="BH119" i="5"/>
  <c r="AC90" i="10"/>
  <c r="AF90" i="10" s="1"/>
  <c r="AS82" i="7"/>
  <c r="AT82" i="7" s="1"/>
  <c r="AQ177" i="12" s="1"/>
  <c r="AR82" i="7"/>
  <c r="BE264" i="5"/>
  <c r="BF264" i="5" s="1"/>
  <c r="BC264" i="5"/>
  <c r="AN79" i="7"/>
  <c r="AX229" i="5"/>
  <c r="BH229" i="5" s="1"/>
  <c r="AK108" i="7"/>
  <c r="AP153" i="12"/>
  <c r="AO72" i="7"/>
  <c r="AO127" i="7"/>
  <c r="AX326" i="5"/>
  <c r="BH326" i="5" s="1"/>
  <c r="AN103" i="7"/>
  <c r="AH103" i="7"/>
  <c r="AP45" i="12"/>
  <c r="AO27" i="7"/>
  <c r="AX335" i="5"/>
  <c r="BH335" i="5" s="1"/>
  <c r="AO41" i="7"/>
  <c r="AN102" i="7"/>
  <c r="AH102" i="7"/>
  <c r="AN84" i="7"/>
  <c r="AH84" i="7"/>
  <c r="BC403" i="5"/>
  <c r="BE403" i="5"/>
  <c r="BF403" i="5" s="1"/>
  <c r="AY106" i="7"/>
  <c r="AU106" i="7"/>
  <c r="X235" i="8"/>
  <c r="I235" i="12"/>
  <c r="AV106" i="7"/>
  <c r="BE293" i="5"/>
  <c r="BF293" i="5" s="1"/>
  <c r="BC293" i="5"/>
  <c r="AO50" i="7"/>
  <c r="BH316" i="5"/>
  <c r="BC384" i="5"/>
  <c r="BE384" i="5"/>
  <c r="BF384" i="5" s="1"/>
  <c r="BH37" i="5"/>
  <c r="I17" i="6"/>
  <c r="M17" i="6" s="1"/>
  <c r="AL129" i="7"/>
  <c r="BC167" i="5"/>
  <c r="BE167" i="5"/>
  <c r="BF167" i="5" s="1"/>
  <c r="BC252" i="5"/>
  <c r="BE252" i="5"/>
  <c r="BF252" i="5" s="1"/>
  <c r="AL123" i="7"/>
  <c r="AO45" i="7"/>
  <c r="AX333" i="5"/>
  <c r="BH333" i="5" s="1"/>
  <c r="I60" i="6"/>
  <c r="M60" i="6" s="1"/>
  <c r="AX356" i="5"/>
  <c r="BH356" i="5" s="1"/>
  <c r="BC233" i="5"/>
  <c r="BE233" i="5"/>
  <c r="BF233" i="5" s="1"/>
  <c r="AX145" i="5"/>
  <c r="BH145" i="5" s="1"/>
  <c r="AX70" i="5"/>
  <c r="BH70" i="5" s="1"/>
  <c r="AX122" i="5"/>
  <c r="BH122" i="5" s="1"/>
  <c r="BE102" i="5"/>
  <c r="BC102" i="5"/>
  <c r="BC195" i="5"/>
  <c r="BE195" i="5"/>
  <c r="BF195" i="5" s="1"/>
  <c r="AS122" i="7"/>
  <c r="AT122" i="7" s="1"/>
  <c r="AQ273" i="12" s="1"/>
  <c r="AR122" i="7"/>
  <c r="AX325" i="5"/>
  <c r="BH325" i="5" s="1"/>
  <c r="AX364" i="5"/>
  <c r="BH364" i="5" s="1"/>
  <c r="AS52" i="7"/>
  <c r="AR52" i="7"/>
  <c r="AX304" i="5"/>
  <c r="BH304" i="5" s="1"/>
  <c r="AX152" i="5"/>
  <c r="BH152" i="5" s="1"/>
  <c r="BC320" i="5"/>
  <c r="BE320" i="5"/>
  <c r="BF320" i="5" s="1"/>
  <c r="G256" i="12"/>
  <c r="W256" i="12" s="1"/>
  <c r="U256" i="8"/>
  <c r="Z256" i="8" s="1"/>
  <c r="BN26" i="46"/>
  <c r="BE134" i="5"/>
  <c r="BC134" i="5"/>
  <c r="AL127" i="7"/>
  <c r="AS64" i="7"/>
  <c r="AT64" i="7" s="1"/>
  <c r="AQ133" i="12" s="1"/>
  <c r="AR64" i="7"/>
  <c r="AX151" i="5"/>
  <c r="BH151" i="5" s="1"/>
  <c r="I34" i="6"/>
  <c r="M34" i="6" s="1"/>
  <c r="AL113" i="7"/>
  <c r="U358" i="8"/>
  <c r="Z358" i="8" s="1"/>
  <c r="AC128" i="10"/>
  <c r="AF128" i="10" s="1"/>
  <c r="G358" i="12"/>
  <c r="W358" i="12" s="1"/>
  <c r="G50" i="12"/>
  <c r="W50" i="12" s="1"/>
  <c r="U50" i="8"/>
  <c r="Z50" i="8" s="1"/>
  <c r="AC26" i="10"/>
  <c r="AF26" i="10" s="1"/>
  <c r="AR103" i="7"/>
  <c r="AS103" i="7"/>
  <c r="AT103" i="7" s="1"/>
  <c r="AQ227" i="12" s="1"/>
  <c r="AS40" i="7"/>
  <c r="AR40" i="7"/>
  <c r="AK107" i="7"/>
  <c r="BC354" i="5"/>
  <c r="BE354" i="5"/>
  <c r="BF354" i="5" s="1"/>
  <c r="U328" i="8"/>
  <c r="Z328" i="8" s="1"/>
  <c r="G328" i="12"/>
  <c r="W328" i="12" s="1"/>
  <c r="AN72" i="7"/>
  <c r="AH72" i="7"/>
  <c r="AV29" i="7"/>
  <c r="AX217" i="5"/>
  <c r="G73" i="9" s="1" a="1"/>
  <c r="G73" i="9" s="1"/>
  <c r="AX305" i="5"/>
  <c r="BH305" i="5" s="1"/>
  <c r="I56" i="6"/>
  <c r="M56" i="6" s="1"/>
  <c r="P26" i="12"/>
  <c r="O26" i="12"/>
  <c r="N26" i="12"/>
  <c r="M26" i="12"/>
  <c r="L26" i="12"/>
  <c r="AN58" i="7"/>
  <c r="AH58" i="7"/>
  <c r="BC373" i="5"/>
  <c r="BE373" i="5"/>
  <c r="BF373" i="5" s="1"/>
  <c r="AX395" i="5"/>
  <c r="BH395" i="5" s="1"/>
  <c r="BH103" i="5"/>
  <c r="AS39" i="7"/>
  <c r="AR39" i="7"/>
  <c r="AX129" i="5"/>
  <c r="BH129" i="5" s="1"/>
  <c r="AX181" i="5"/>
  <c r="BH181" i="5" s="1"/>
  <c r="BC165" i="5"/>
  <c r="BE165" i="5"/>
  <c r="BF165" i="5" s="1"/>
  <c r="AX396" i="5"/>
  <c r="BH396" i="5" s="1"/>
  <c r="BC285" i="5"/>
  <c r="BE285" i="5"/>
  <c r="BF285" i="5" s="1"/>
  <c r="AO136" i="7"/>
  <c r="AS153" i="7"/>
  <c r="AR153" i="7"/>
  <c r="AS84" i="7"/>
  <c r="AT84" i="7" s="1"/>
  <c r="AQ181" i="12" s="1"/>
  <c r="AR84" i="7"/>
  <c r="AX191" i="5"/>
  <c r="BH191" i="5" s="1"/>
  <c r="I39" i="6"/>
  <c r="M39" i="6" s="1"/>
  <c r="BC73" i="5"/>
  <c r="BE73" i="5"/>
  <c r="BF73" i="5" s="1"/>
  <c r="G227" i="12"/>
  <c r="AW103" i="7"/>
  <c r="U227" i="8"/>
  <c r="AN97" i="7"/>
  <c r="AC124" i="10"/>
  <c r="AF124" i="10" s="1"/>
  <c r="U346" i="8"/>
  <c r="Z346" i="8" s="1"/>
  <c r="G346" i="12"/>
  <c r="W346" i="12" s="1"/>
  <c r="AH157" i="7"/>
  <c r="BC221" i="5"/>
  <c r="BE221" i="5"/>
  <c r="BF221" i="5" s="1"/>
  <c r="AX65" i="5"/>
  <c r="BH65" i="5" s="1"/>
  <c r="I21" i="6"/>
  <c r="M21" i="6" s="1"/>
  <c r="BC386" i="5"/>
  <c r="BE386" i="5"/>
  <c r="AC50" i="10"/>
  <c r="AF50" i="10" s="1"/>
  <c r="U122" i="8"/>
  <c r="Z122" i="8" s="1"/>
  <c r="G122" i="12"/>
  <c r="W122" i="12" s="1"/>
  <c r="Z4" i="7"/>
  <c r="AX104" i="5"/>
  <c r="AH142" i="7"/>
  <c r="AH127" i="7"/>
  <c r="AS87" i="7"/>
  <c r="AT87" i="7" s="1"/>
  <c r="AQ189" i="12" s="1"/>
  <c r="AR87" i="7"/>
  <c r="AH89" i="7"/>
  <c r="AO55" i="7"/>
  <c r="AH149" i="7"/>
  <c r="AS121" i="7"/>
  <c r="AT121" i="7" s="1"/>
  <c r="AQ271" i="12" s="1"/>
  <c r="AR121" i="7"/>
  <c r="AH38" i="7"/>
  <c r="AH152" i="7"/>
  <c r="AX383" i="5"/>
  <c r="BH383" i="5" s="1"/>
  <c r="BC298" i="5"/>
  <c r="BE298" i="5"/>
  <c r="BF298" i="5" s="1"/>
  <c r="AL30" i="7"/>
  <c r="BC331" i="5"/>
  <c r="BE331" i="5"/>
  <c r="BF331" i="5" s="1"/>
  <c r="BH134" i="5"/>
  <c r="G268" i="12"/>
  <c r="W268" i="12" s="1"/>
  <c r="AX117" i="5"/>
  <c r="BH117" i="5" s="1"/>
  <c r="AX91" i="5"/>
  <c r="G37" i="9" s="1" a="1"/>
  <c r="G37" i="9" s="1"/>
  <c r="AG25" i="46"/>
  <c r="BE161" i="5"/>
  <c r="BC161" i="5"/>
  <c r="AL82" i="7"/>
  <c r="AX205" i="5"/>
  <c r="BH205" i="5" s="1"/>
  <c r="I41" i="6"/>
  <c r="M41" i="6" s="1"/>
  <c r="BE56" i="5"/>
  <c r="BF56" i="5" s="1"/>
  <c r="BC56" i="5"/>
  <c r="AO93" i="7"/>
  <c r="AO120" i="7"/>
  <c r="AP221" i="12"/>
  <c r="AO100" i="7"/>
  <c r="T4" i="8"/>
  <c r="R4" i="8" s="1"/>
  <c r="U304" i="8"/>
  <c r="Z304" i="8" s="1"/>
  <c r="G304" i="12"/>
  <c r="W304" i="12" s="1"/>
  <c r="AP71" i="12"/>
  <c r="AO38" i="7"/>
  <c r="AN151" i="7"/>
  <c r="AH151" i="7"/>
  <c r="BE300" i="5"/>
  <c r="BF300" i="5" s="1"/>
  <c r="BC300" i="5"/>
  <c r="AX341" i="5"/>
  <c r="BH341" i="5" s="1"/>
  <c r="U321" i="8"/>
  <c r="AW142" i="7"/>
  <c r="G321" i="12"/>
  <c r="W321" i="12" s="1"/>
  <c r="AX32" i="5"/>
  <c r="BH32" i="5" s="1"/>
  <c r="BC315" i="5"/>
  <c r="BE315" i="5"/>
  <c r="AL152" i="7"/>
  <c r="G245" i="12"/>
  <c r="AW110" i="7"/>
  <c r="U245" i="8"/>
  <c r="BC301" i="5"/>
  <c r="BE301" i="5"/>
  <c r="AX361" i="5"/>
  <c r="BH361" i="5" s="1"/>
  <c r="I64" i="6"/>
  <c r="M64" i="6" s="1"/>
  <c r="AX120" i="5"/>
  <c r="AN73" i="7"/>
  <c r="AH96" i="7"/>
  <c r="AY37" i="7"/>
  <c r="I69" i="12"/>
  <c r="X69" i="8"/>
  <c r="BH148" i="5"/>
  <c r="AX106" i="5"/>
  <c r="AX410" i="5"/>
  <c r="BH410" i="5" s="1"/>
  <c r="BH386" i="5"/>
  <c r="AX94" i="5"/>
  <c r="BH94" i="5" s="1"/>
  <c r="AW19" i="7"/>
  <c r="BA19" i="7" s="1"/>
  <c r="U25" i="8"/>
  <c r="Z25" i="8" s="1"/>
  <c r="G25" i="12"/>
  <c r="W25" i="12" s="1"/>
  <c r="AL46" i="7"/>
  <c r="AN26" i="7"/>
  <c r="AX334" i="5"/>
  <c r="BH334" i="5" s="1"/>
  <c r="AO65" i="7"/>
  <c r="AO30" i="7"/>
  <c r="AH150" i="7"/>
  <c r="AY133" i="7"/>
  <c r="X299" i="8"/>
  <c r="I299" i="12"/>
  <c r="AS140" i="7"/>
  <c r="AT140" i="7" s="1"/>
  <c r="AQ317" i="12" s="1"/>
  <c r="AR140" i="7"/>
  <c r="AN21" i="7"/>
  <c r="AH21" i="7"/>
  <c r="BC336" i="5"/>
  <c r="BE336" i="5"/>
  <c r="BF336" i="5" s="1"/>
  <c r="AP33" i="12"/>
  <c r="AO22" i="7"/>
  <c r="AN94" i="7"/>
  <c r="AH94" i="7"/>
  <c r="AX63" i="5"/>
  <c r="AN146" i="7"/>
  <c r="AH146" i="7"/>
  <c r="AP165" i="12"/>
  <c r="AO77" i="7"/>
  <c r="AX172" i="5"/>
  <c r="BH172" i="5" s="1"/>
  <c r="AC70" i="10"/>
  <c r="AF70" i="10" s="1"/>
  <c r="U182" i="8"/>
  <c r="Z182" i="8" s="1"/>
  <c r="G182" i="12"/>
  <c r="W182" i="12" s="1"/>
  <c r="U244" i="8"/>
  <c r="Z244" i="8" s="1"/>
  <c r="G244" i="12"/>
  <c r="AN98" i="7"/>
  <c r="AH98" i="7"/>
  <c r="AS75" i="7"/>
  <c r="AR75" i="7"/>
  <c r="BC378" i="5"/>
  <c r="BE378" i="5"/>
  <c r="BF378" i="5" s="1"/>
  <c r="BH41" i="5"/>
  <c r="Z39" i="8"/>
  <c r="G39" i="12"/>
  <c r="W39" i="12" s="1"/>
  <c r="BC237" i="5"/>
  <c r="BE237" i="5"/>
  <c r="BF237" i="5" s="1"/>
  <c r="AX327" i="5"/>
  <c r="BH327" i="5" s="1"/>
  <c r="U190" i="8"/>
  <c r="Z190" i="8" s="1"/>
  <c r="AC72" i="10"/>
  <c r="AF72" i="10" s="1"/>
  <c r="G190" i="12"/>
  <c r="W190" i="12" s="1"/>
  <c r="BC276" i="5"/>
  <c r="BE276" i="5"/>
  <c r="BF276" i="5" s="1"/>
  <c r="Y4" i="10"/>
  <c r="S4" i="10" s="1"/>
  <c r="AB39" i="10"/>
  <c r="Z39" i="10"/>
  <c r="AA39" i="10"/>
  <c r="AX235" i="5"/>
  <c r="BH235" i="5" s="1"/>
  <c r="I46" i="6"/>
  <c r="M46" i="6" s="1"/>
  <c r="AX209" i="5"/>
  <c r="BH209" i="5" s="1"/>
  <c r="BC176" i="5"/>
  <c r="BE176" i="5"/>
  <c r="G231" i="12"/>
  <c r="AP93" i="12"/>
  <c r="AX385" i="5"/>
  <c r="AX377" i="5"/>
  <c r="BH377" i="5" s="1"/>
  <c r="G326" i="12"/>
  <c r="W326" i="12" s="1"/>
  <c r="AC118" i="10"/>
  <c r="AF118" i="10" s="1"/>
  <c r="U326" i="8"/>
  <c r="Z326" i="8" s="1"/>
  <c r="AX317" i="5"/>
  <c r="BH317" i="5" s="1"/>
  <c r="I57" i="6"/>
  <c r="M57" i="6" s="1"/>
  <c r="AX74" i="5"/>
  <c r="BH74" i="5" s="1"/>
  <c r="G230" i="12"/>
  <c r="U230" i="8"/>
  <c r="Z230" i="8" s="1"/>
  <c r="AC86" i="10"/>
  <c r="AF86" i="10" s="1"/>
  <c r="AX193" i="5"/>
  <c r="BH193" i="5" s="1"/>
  <c r="I40" i="6"/>
  <c r="M40" i="6" s="1"/>
  <c r="BC81" i="5"/>
  <c r="BE81" i="5"/>
  <c r="BF81" i="5" s="1"/>
  <c r="BC347" i="5"/>
  <c r="BE347" i="5"/>
  <c r="BF347" i="5" s="1"/>
  <c r="AX242" i="5"/>
  <c r="BH242" i="5" s="1"/>
  <c r="AR132" i="7"/>
  <c r="AS132" i="7"/>
  <c r="AT132" i="7" s="1"/>
  <c r="AQ297" i="12" s="1"/>
  <c r="BC220" i="5"/>
  <c r="BE220" i="5"/>
  <c r="BF220" i="5" s="1"/>
  <c r="BK21" i="46"/>
  <c r="AP287" i="12"/>
  <c r="AO128" i="7"/>
  <c r="AP215" i="12"/>
  <c r="AO98" i="7"/>
  <c r="AX150" i="5"/>
  <c r="U351" i="8"/>
  <c r="Z351" i="8" s="1"/>
  <c r="G351" i="12"/>
  <c r="W351" i="12" s="1"/>
  <c r="AL147" i="7"/>
  <c r="AX302" i="5"/>
  <c r="BC33" i="5"/>
  <c r="BE33" i="5"/>
  <c r="BF33" i="5" s="1"/>
  <c r="AX42" i="5"/>
  <c r="BH42" i="5" s="1"/>
  <c r="AP101" i="5"/>
  <c r="BB101" i="5" s="1"/>
  <c r="AW98" i="7"/>
  <c r="G215" i="12"/>
  <c r="W215" i="12" s="1"/>
  <c r="U215" i="8"/>
  <c r="AX340" i="5"/>
  <c r="BH340" i="5" s="1"/>
  <c r="AX236" i="5"/>
  <c r="BH236" i="5" s="1"/>
  <c r="AX132" i="5"/>
  <c r="BH132" i="5" s="1"/>
  <c r="AX208" i="5"/>
  <c r="BH208" i="5" s="1"/>
  <c r="AN117" i="7"/>
  <c r="AH117" i="7"/>
  <c r="BH176" i="5"/>
  <c r="U324" i="8"/>
  <c r="Z324" i="8" s="1"/>
  <c r="AC117" i="10"/>
  <c r="AF117" i="10" s="1"/>
  <c r="G324" i="12"/>
  <c r="W324" i="12" s="1"/>
  <c r="AX420" i="5"/>
  <c r="BH420" i="5" s="1"/>
  <c r="AX105" i="5"/>
  <c r="AX182" i="5"/>
  <c r="BH182" i="5" s="1"/>
  <c r="AL142" i="7"/>
  <c r="BC316" i="5"/>
  <c r="BE316" i="5"/>
  <c r="AG4" i="7"/>
  <c r="AN45" i="7"/>
  <c r="AK41" i="7"/>
  <c r="AY115" i="7"/>
  <c r="AU115" i="7"/>
  <c r="X257" i="8"/>
  <c r="I257" i="12"/>
  <c r="AV115" i="7"/>
  <c r="U136" i="8"/>
  <c r="Z136" i="8" s="1"/>
  <c r="G136" i="12"/>
  <c r="W136" i="12" s="1"/>
  <c r="AS34" i="7"/>
  <c r="AR34" i="7"/>
  <c r="AX368" i="5"/>
  <c r="BH368" i="5" s="1"/>
  <c r="BE35" i="5"/>
  <c r="BC35" i="5"/>
  <c r="BC369" i="5"/>
  <c r="BE369" i="5"/>
  <c r="BF369" i="5" s="1"/>
  <c r="AN105" i="7"/>
  <c r="AH105" i="7"/>
  <c r="AX118" i="5"/>
  <c r="BH118" i="5" s="1"/>
  <c r="U276" i="8"/>
  <c r="Z276" i="8" s="1"/>
  <c r="G276" i="12"/>
  <c r="W276" i="12" s="1"/>
  <c r="AC101" i="10"/>
  <c r="AF101" i="10" s="1"/>
  <c r="AX115" i="5"/>
  <c r="BH115" i="5" s="1"/>
  <c r="BC241" i="5"/>
  <c r="BE241" i="5"/>
  <c r="BF241" i="5" s="1"/>
  <c r="AS101" i="7"/>
  <c r="AT101" i="7" s="1"/>
  <c r="AQ223" i="12" s="1"/>
  <c r="AR101" i="7"/>
  <c r="BC187" i="5"/>
  <c r="BE187" i="5"/>
  <c r="BF187" i="5" s="1"/>
  <c r="BC257" i="5"/>
  <c r="BE257" i="5"/>
  <c r="BF257" i="5" s="1"/>
  <c r="AS79" i="7"/>
  <c r="AR79" i="7"/>
  <c r="AN110" i="7"/>
  <c r="AH110" i="7"/>
  <c r="AX69" i="5"/>
  <c r="BH69" i="5" s="1"/>
  <c r="BC111" i="5"/>
  <c r="BE111" i="5"/>
  <c r="AA4" i="13"/>
  <c r="AX66" i="5"/>
  <c r="BH66" i="5" s="1"/>
  <c r="AP97" i="12"/>
  <c r="AN66" i="7"/>
  <c r="AH66" i="7"/>
  <c r="AX387" i="5"/>
  <c r="BH387" i="5" s="1"/>
  <c r="I69" i="6"/>
  <c r="M69" i="6" s="1"/>
  <c r="AL125" i="7"/>
  <c r="U347" i="8"/>
  <c r="G347" i="12"/>
  <c r="W347" i="12" s="1"/>
  <c r="AW153" i="7"/>
  <c r="BC171" i="5"/>
  <c r="BE171" i="5"/>
  <c r="BF171" i="5" s="1"/>
  <c r="BC372" i="5"/>
  <c r="BE372" i="5"/>
  <c r="BC265" i="5"/>
  <c r="BE265" i="5"/>
  <c r="BF265" i="5" s="1"/>
  <c r="G253" i="12"/>
  <c r="W253" i="12" s="1"/>
  <c r="U253" i="8"/>
  <c r="Z253" i="8" s="1"/>
  <c r="AW114" i="7"/>
  <c r="BA114" i="7" s="1"/>
  <c r="BC311" i="5"/>
  <c r="BE311" i="5"/>
  <c r="BF311" i="5" s="1"/>
  <c r="AX130" i="5"/>
  <c r="BH130" i="5" s="1"/>
  <c r="U246" i="8"/>
  <c r="Z246" i="8" s="1"/>
  <c r="G246" i="12"/>
  <c r="AK22" i="7"/>
  <c r="AL146" i="7"/>
  <c r="G145" i="12"/>
  <c r="W145" i="12" s="1"/>
  <c r="AW69" i="7"/>
  <c r="U145" i="8"/>
  <c r="AX218" i="5"/>
  <c r="G74" i="9" s="1" a="1"/>
  <c r="G74" i="9" s="1"/>
  <c r="AX174" i="5"/>
  <c r="BH174" i="5" s="1"/>
  <c r="AX194" i="5"/>
  <c r="BH194" i="5" s="1"/>
  <c r="AW137" i="7"/>
  <c r="U309" i="8"/>
  <c r="G309" i="12"/>
  <c r="W309" i="12" s="1"/>
  <c r="AT115" i="7"/>
  <c r="AQ257" i="12" s="1"/>
  <c r="BC255" i="5"/>
  <c r="BE255" i="5"/>
  <c r="BF255" i="5" s="1"/>
  <c r="BH102" i="5"/>
  <c r="AN92" i="7"/>
  <c r="AH92" i="7"/>
  <c r="G169" i="12"/>
  <c r="W169" i="12" s="1"/>
  <c r="AW79" i="7"/>
  <c r="U169" i="8"/>
  <c r="BC97" i="5"/>
  <c r="BE97" i="5"/>
  <c r="BF97" i="5" s="1"/>
  <c r="BE59" i="5"/>
  <c r="BF59" i="5" s="1"/>
  <c r="BC59" i="5"/>
  <c r="AY83" i="7"/>
  <c r="X179" i="8"/>
  <c r="I179" i="12"/>
  <c r="AV83" i="7"/>
  <c r="AS99" i="7"/>
  <c r="AR99" i="7"/>
  <c r="BC149" i="5"/>
  <c r="BE149" i="5"/>
  <c r="BF149" i="5" s="1"/>
  <c r="AS17" i="7"/>
  <c r="AR17" i="7"/>
  <c r="AY125" i="7"/>
  <c r="AU125" i="7"/>
  <c r="X281" i="8"/>
  <c r="I281" i="12"/>
  <c r="G207" i="12"/>
  <c r="W207" i="12" s="1"/>
  <c r="U207" i="8"/>
  <c r="Z207" i="8" s="1"/>
  <c r="Z40" i="8"/>
  <c r="AX199" i="5"/>
  <c r="BH199" i="5" s="1"/>
  <c r="AX405" i="5"/>
  <c r="BH405" i="5" s="1"/>
  <c r="AS102" i="7"/>
  <c r="AT102" i="7" s="1"/>
  <c r="AQ225" i="12" s="1"/>
  <c r="AR102" i="7"/>
  <c r="I65" i="6"/>
  <c r="BH111" i="5"/>
  <c r="AF47" i="13"/>
  <c r="AK21" i="46"/>
  <c r="AD4" i="13"/>
  <c r="AC4" i="13" s="1"/>
  <c r="BC133" i="5"/>
  <c r="BE133" i="5"/>
  <c r="AN106" i="7"/>
  <c r="AH106" i="7"/>
  <c r="AN37" i="7"/>
  <c r="AH37" i="7"/>
  <c r="AX404" i="5"/>
  <c r="AP301" i="12"/>
  <c r="AO134" i="7"/>
  <c r="BE290" i="5"/>
  <c r="BF290" i="5" s="1"/>
  <c r="BC290" i="5"/>
  <c r="BC40" i="5"/>
  <c r="BE40" i="5"/>
  <c r="BF40" i="5" s="1"/>
  <c r="G147" i="12"/>
  <c r="W147" i="12" s="1"/>
  <c r="U147" i="8"/>
  <c r="Z147" i="8" s="1"/>
  <c r="BH372" i="5"/>
  <c r="BE98" i="5"/>
  <c r="BF98" i="5" s="1"/>
  <c r="BC98" i="5"/>
  <c r="BE286" i="5"/>
  <c r="BF286" i="5" s="1"/>
  <c r="BC286" i="5"/>
  <c r="AL94" i="7"/>
  <c r="AX153" i="5"/>
  <c r="BH153" i="5" s="1"/>
  <c r="AX131" i="5"/>
  <c r="BH131" i="5" s="1"/>
  <c r="BC359" i="5"/>
  <c r="BE359" i="5"/>
  <c r="BF359" i="5" s="1"/>
  <c r="AX51" i="5"/>
  <c r="BH51" i="5" s="1"/>
  <c r="I19" i="6"/>
  <c r="M19" i="6" s="1"/>
  <c r="O17" i="12"/>
  <c r="AE17" i="12"/>
  <c r="AF17" i="12" s="1"/>
  <c r="AM17" i="12"/>
  <c r="Y17" i="12"/>
  <c r="Z17" i="12" s="1"/>
  <c r="AB17" i="12"/>
  <c r="AC17" i="12" s="1"/>
  <c r="P17" i="12"/>
  <c r="AK17" i="12"/>
  <c r="AL17" i="12" s="1"/>
  <c r="AH17" i="12"/>
  <c r="AI17" i="12" s="1"/>
  <c r="M17" i="12"/>
  <c r="BE399" i="5"/>
  <c r="BC399" i="5"/>
  <c r="G219" i="12"/>
  <c r="W219" i="12" s="1"/>
  <c r="U219" i="8"/>
  <c r="Z219" i="8" s="1"/>
  <c r="BC374" i="5"/>
  <c r="BE374" i="5"/>
  <c r="BF374" i="5" s="1"/>
  <c r="AR46" i="7"/>
  <c r="AS46" i="7"/>
  <c r="AT46" i="7" s="1"/>
  <c r="AQ91" i="12" s="1"/>
  <c r="BC350" i="5"/>
  <c r="BE350" i="5"/>
  <c r="BF350" i="5" s="1"/>
  <c r="AS107" i="7"/>
  <c r="AR107" i="7"/>
  <c r="G222" i="12"/>
  <c r="W222" i="12" s="1"/>
  <c r="G85" i="12"/>
  <c r="W85" i="12" s="1"/>
  <c r="AW44" i="7"/>
  <c r="BA44" i="7" s="1"/>
  <c r="U85" i="8"/>
  <c r="Z85" i="8" s="1"/>
  <c r="G51" i="12"/>
  <c r="W51" i="12" s="1"/>
  <c r="U51" i="8"/>
  <c r="Z51" i="8" s="1"/>
  <c r="AS95" i="7"/>
  <c r="AR95" i="7"/>
  <c r="BC136" i="5"/>
  <c r="BE136" i="5"/>
  <c r="BF136" i="5" s="1"/>
  <c r="AC73" i="10"/>
  <c r="AF73" i="10" s="1"/>
  <c r="U129" i="8"/>
  <c r="AW62" i="7"/>
  <c r="G129" i="12"/>
  <c r="W129" i="12" s="1"/>
  <c r="AL117" i="7"/>
  <c r="I283" i="12"/>
  <c r="AX318" i="5"/>
  <c r="G102" i="9" s="1" a="1"/>
  <c r="G102" i="9" s="1"/>
  <c r="BC108" i="5"/>
  <c r="AO145" i="7"/>
  <c r="BC275" i="5"/>
  <c r="BE275" i="5"/>
  <c r="BF275" i="5" s="1"/>
  <c r="AX110" i="5"/>
  <c r="BC274" i="5"/>
  <c r="BE274" i="5"/>
  <c r="BC279" i="5"/>
  <c r="BE279" i="5"/>
  <c r="BF279" i="5" s="1"/>
  <c r="AS139" i="7"/>
  <c r="AR139" i="7"/>
  <c r="U285" i="8"/>
  <c r="AW127" i="7"/>
  <c r="G285" i="12"/>
  <c r="W285" i="12" s="1"/>
  <c r="AL83" i="7"/>
  <c r="AX75" i="5"/>
  <c r="BH75" i="5" s="1"/>
  <c r="AX87" i="5"/>
  <c r="BH87" i="5" s="1"/>
  <c r="AX64" i="5"/>
  <c r="AX357" i="5"/>
  <c r="AX332" i="5"/>
  <c r="BH332" i="5" s="1"/>
  <c r="BC179" i="5"/>
  <c r="BE179" i="5"/>
  <c r="BF179" i="5" s="1"/>
  <c r="AY105" i="7"/>
  <c r="AU105" i="7"/>
  <c r="I233" i="12"/>
  <c r="X233" i="8"/>
  <c r="AV105" i="7"/>
  <c r="BC116" i="5"/>
  <c r="BE116" i="5"/>
  <c r="BF116" i="5" s="1"/>
  <c r="AN47" i="13"/>
  <c r="AL47" i="13"/>
  <c r="BF21" i="46" s="1"/>
  <c r="AY21" i="46"/>
  <c r="AO56" i="7"/>
  <c r="AN62" i="7"/>
  <c r="AH53" i="7"/>
  <c r="U254" i="8"/>
  <c r="Z254" i="8" s="1"/>
  <c r="AC94" i="10"/>
  <c r="AF94" i="10" s="1"/>
  <c r="G254" i="12"/>
  <c r="W254" i="12" s="1"/>
  <c r="AX367" i="5"/>
  <c r="BH367" i="5" s="1"/>
  <c r="AP323" i="12"/>
  <c r="AO143" i="7"/>
  <c r="AN63" i="7"/>
  <c r="AH63" i="7"/>
  <c r="U258" i="8"/>
  <c r="Z258" i="8" s="1"/>
  <c r="G258" i="12"/>
  <c r="W258" i="12" s="1"/>
  <c r="AG34" i="46"/>
  <c r="BC287" i="5"/>
  <c r="BE287" i="5"/>
  <c r="AX112" i="5"/>
  <c r="AX234" i="5"/>
  <c r="BH234" i="5" s="1"/>
  <c r="BC418" i="5"/>
  <c r="BE418" i="5"/>
  <c r="BF418" i="5" s="1"/>
  <c r="BH260" i="5"/>
  <c r="AX139" i="5"/>
  <c r="BH139" i="5" s="1"/>
  <c r="AS117" i="7"/>
  <c r="AR117" i="7"/>
  <c r="BH315" i="5"/>
  <c r="AX388" i="5"/>
  <c r="BH388" i="5" s="1"/>
  <c r="AX330" i="5"/>
  <c r="AL72" i="7"/>
  <c r="AX147" i="5"/>
  <c r="G53" i="9" s="1" a="1"/>
  <c r="G53" i="9" s="1"/>
  <c r="AC68" i="10"/>
  <c r="AF68" i="10" s="1"/>
  <c r="U178" i="8"/>
  <c r="Z178" i="8" s="1"/>
  <c r="G178" i="12"/>
  <c r="W178" i="12" s="1"/>
  <c r="AV86" i="7"/>
  <c r="BH301" i="5"/>
  <c r="AL62" i="7"/>
  <c r="AY21" i="7"/>
  <c r="I31" i="12"/>
  <c r="X31" i="8"/>
  <c r="AX53" i="5"/>
  <c r="BH53" i="5" s="1"/>
  <c r="I20" i="6"/>
  <c r="M20" i="6" s="1"/>
  <c r="AL131" i="7"/>
  <c r="AY141" i="7"/>
  <c r="AU141" i="7"/>
  <c r="I319" i="12"/>
  <c r="X319" i="8"/>
  <c r="BC343" i="5"/>
  <c r="BE343" i="5"/>
  <c r="AN145" i="7"/>
  <c r="AX349" i="5"/>
  <c r="BH349" i="5" s="1"/>
  <c r="AL157" i="7"/>
  <c r="H4" i="12"/>
  <c r="AX4" i="7"/>
  <c r="AX262" i="5"/>
  <c r="BH262" i="5" s="1"/>
  <c r="AX230" i="5"/>
  <c r="BH230" i="5" s="1"/>
  <c r="BC228" i="5"/>
  <c r="BE228" i="5"/>
  <c r="BF228" i="5" s="1"/>
  <c r="AO78" i="7"/>
  <c r="AH111" i="7"/>
  <c r="AH79" i="7"/>
  <c r="AH31" i="7"/>
  <c r="AH23" i="7"/>
  <c r="AP29" i="12"/>
  <c r="AO20" i="7"/>
  <c r="BH133" i="5"/>
  <c r="AS61" i="7"/>
  <c r="AR61" i="7"/>
  <c r="AX411" i="5"/>
  <c r="BH411" i="5" s="1"/>
  <c r="G137" i="12"/>
  <c r="W137" i="12" s="1"/>
  <c r="U137" i="8"/>
  <c r="AW65" i="7"/>
  <c r="AN54" i="7"/>
  <c r="AH54" i="7"/>
  <c r="U250" i="8"/>
  <c r="Z250" i="8" s="1"/>
  <c r="G250" i="12"/>
  <c r="W250" i="12" s="1"/>
  <c r="AC92" i="10"/>
  <c r="AF92" i="10" s="1"/>
  <c r="AX48" i="5"/>
  <c r="BH48" i="5" s="1"/>
  <c r="U86" i="8"/>
  <c r="Z86" i="8" s="1"/>
  <c r="AC38" i="10"/>
  <c r="AF38" i="10" s="1"/>
  <c r="G86" i="12"/>
  <c r="W86" i="12" s="1"/>
  <c r="AX164" i="5"/>
  <c r="BH164" i="5" s="1"/>
  <c r="G265" i="12"/>
  <c r="W265" i="12" s="1"/>
  <c r="AW119" i="7"/>
  <c r="U265" i="8"/>
  <c r="AS135" i="7"/>
  <c r="AR135" i="7"/>
  <c r="BC314" i="5"/>
  <c r="BE314" i="5"/>
  <c r="BF314" i="5" s="1"/>
  <c r="AX200" i="5"/>
  <c r="BH200" i="5" s="1"/>
  <c r="AX68" i="5"/>
  <c r="BH68" i="5" s="1"/>
  <c r="AX144" i="5"/>
  <c r="BH144" i="5" s="1"/>
  <c r="AX89" i="5"/>
  <c r="BH89" i="5" s="1"/>
  <c r="AX283" i="5"/>
  <c r="BH283" i="5" s="1"/>
  <c r="AY16" i="7"/>
  <c r="BA16" i="7" s="1"/>
  <c r="X19" i="8"/>
  <c r="Z19" i="8" s="1"/>
  <c r="I19" i="12"/>
  <c r="AV16" i="7"/>
  <c r="U70" i="8"/>
  <c r="Z70" i="8" s="1"/>
  <c r="AC32" i="10"/>
  <c r="AF32" i="10" s="1"/>
  <c r="G70" i="12"/>
  <c r="W70" i="12" s="1"/>
  <c r="N24" i="12"/>
  <c r="M24" i="12"/>
  <c r="O24" i="12"/>
  <c r="L24" i="12"/>
  <c r="AY91" i="7"/>
  <c r="X199" i="8"/>
  <c r="I199" i="12"/>
  <c r="BH343" i="5"/>
  <c r="BC299" i="5"/>
  <c r="BE299" i="5"/>
  <c r="BF299" i="5" s="1"/>
  <c r="T4" i="46"/>
  <c r="AX360" i="5"/>
  <c r="BH360" i="5" s="1"/>
  <c r="AX319" i="5"/>
  <c r="BH319" i="5" s="1"/>
  <c r="I58" i="6"/>
  <c r="M58" i="6" s="1"/>
  <c r="W4" i="8"/>
  <c r="AX50" i="5"/>
  <c r="G26" i="9" s="1" a="1"/>
  <c r="G26" i="9" s="1"/>
  <c r="AS35" i="7"/>
  <c r="AT35" i="7" s="1"/>
  <c r="AQ65" i="12" s="1"/>
  <c r="AR35" i="7"/>
  <c r="U196" i="8"/>
  <c r="Z196" i="8" s="1"/>
  <c r="G196" i="12"/>
  <c r="W196" i="12" s="1"/>
  <c r="AH145" i="7"/>
  <c r="AS154" i="7"/>
  <c r="AR154" i="7"/>
  <c r="AH26" i="7"/>
  <c r="AR155" i="7"/>
  <c r="AS155" i="7"/>
  <c r="AT155" i="7" s="1"/>
  <c r="AQ353" i="12" s="1"/>
  <c r="AO67" i="7"/>
  <c r="G113" i="9" l="1" a="1"/>
  <c r="G113" i="9" s="1"/>
  <c r="G126" i="12"/>
  <c r="W126" i="12" s="1"/>
  <c r="G46" i="9" a="1"/>
  <c r="G46" i="9" s="1"/>
  <c r="G94" i="9" a="1"/>
  <c r="G94" i="9" s="1"/>
  <c r="G34" i="9" a="1"/>
  <c r="G34" i="9" s="1"/>
  <c r="G42" i="9" a="1"/>
  <c r="G42" i="9" s="1"/>
  <c r="G29" i="9" a="1"/>
  <c r="G29" i="9" s="1"/>
  <c r="G33" i="9" a="1"/>
  <c r="G33" i="9" s="1"/>
  <c r="G118" i="9" a="1"/>
  <c r="G118" i="9" s="1"/>
  <c r="G30" i="9" a="1"/>
  <c r="G30" i="9" s="1"/>
  <c r="G121" i="9" a="1"/>
  <c r="G121" i="9" s="1"/>
  <c r="G89" i="9" a="1"/>
  <c r="G89" i="9" s="1"/>
  <c r="G78" i="9" a="1"/>
  <c r="G78" i="9" s="1"/>
  <c r="G125" i="9" a="1"/>
  <c r="G125" i="9" s="1"/>
  <c r="G77" i="9" a="1"/>
  <c r="G77" i="9" s="1"/>
  <c r="G61" i="9" a="1"/>
  <c r="G61" i="9" s="1"/>
  <c r="G66" i="9" a="1"/>
  <c r="G66" i="9" s="1"/>
  <c r="G85" i="9" a="1"/>
  <c r="G85" i="9" s="1"/>
  <c r="G130" i="9" a="1"/>
  <c r="G130" i="9" s="1"/>
  <c r="G82" i="9" a="1"/>
  <c r="G82" i="9" s="1"/>
  <c r="N82" i="9" s="1"/>
  <c r="O82" i="9" s="1"/>
  <c r="X82" i="9" s="1"/>
  <c r="AA82" i="9" s="1"/>
  <c r="AC82" i="9" s="1"/>
  <c r="G25" i="9" a="1"/>
  <c r="G25" i="9" s="1"/>
  <c r="G114" i="9" a="1"/>
  <c r="G114" i="9" s="1"/>
  <c r="BH400" i="5"/>
  <c r="G126" i="9" a="1"/>
  <c r="G126" i="9" s="1"/>
  <c r="G129" i="9" a="1"/>
  <c r="G129" i="9" s="1"/>
  <c r="G105" i="9" a="1"/>
  <c r="G105" i="9" s="1"/>
  <c r="G86" i="9" a="1"/>
  <c r="G86" i="9" s="1"/>
  <c r="G38" i="9" a="1"/>
  <c r="G38" i="9" s="1"/>
  <c r="N38" i="9" s="1"/>
  <c r="O38" i="9" s="1"/>
  <c r="X38" i="9" s="1"/>
  <c r="AA38" i="9" s="1"/>
  <c r="AC38" i="9" s="1"/>
  <c r="G54" i="9" a="1"/>
  <c r="G54" i="9" s="1"/>
  <c r="N54" i="9" s="1"/>
  <c r="O54" i="9" s="1"/>
  <c r="X54" i="9" s="1"/>
  <c r="AA54" i="9" s="1"/>
  <c r="AC54" i="9" s="1"/>
  <c r="G22" i="9" a="1"/>
  <c r="G22" i="9" s="1"/>
  <c r="G122" i="9" a="1"/>
  <c r="G122" i="9" s="1"/>
  <c r="G101" i="9" a="1"/>
  <c r="G101" i="9" s="1"/>
  <c r="G62" i="9" a="1"/>
  <c r="G62" i="9" s="1"/>
  <c r="G109" i="9" a="1"/>
  <c r="G109" i="9" s="1"/>
  <c r="G106" i="9" a="1"/>
  <c r="G106" i="9" s="1"/>
  <c r="G58" i="9" a="1"/>
  <c r="G58" i="9" s="1"/>
  <c r="G69" i="9" a="1"/>
  <c r="G69" i="9" s="1"/>
  <c r="G65" i="9" a="1"/>
  <c r="G65" i="9" s="1"/>
  <c r="BH161" i="5"/>
  <c r="G57" i="9" a="1"/>
  <c r="G57" i="9" s="1"/>
  <c r="N57" i="9" s="1"/>
  <c r="O57" i="9" s="1"/>
  <c r="X57" i="9" s="1"/>
  <c r="AA57" i="9" s="1"/>
  <c r="AC57" i="9" s="1"/>
  <c r="G117" i="9" a="1"/>
  <c r="G117" i="9" s="1"/>
  <c r="BH245" i="5"/>
  <c r="G81" i="9" a="1"/>
  <c r="G81" i="9" s="1"/>
  <c r="N81" i="9" s="1"/>
  <c r="O81" i="9" s="1"/>
  <c r="X81" i="9" s="1"/>
  <c r="AA81" i="9" s="1"/>
  <c r="AC81" i="9" s="1"/>
  <c r="G45" i="9" a="1"/>
  <c r="G45" i="9" s="1"/>
  <c r="N45" i="9" s="1"/>
  <c r="O45" i="9" s="1"/>
  <c r="X45" i="9" s="1"/>
  <c r="AA45" i="9" s="1"/>
  <c r="AC45" i="9" s="1"/>
  <c r="G49" i="9" a="1"/>
  <c r="G49" i="9" s="1"/>
  <c r="N49" i="9" s="1"/>
  <c r="O49" i="9" s="1"/>
  <c r="X49" i="9" s="1"/>
  <c r="AA49" i="9" s="1"/>
  <c r="AC49" i="9" s="1"/>
  <c r="G90" i="9" a="1"/>
  <c r="G90" i="9" s="1"/>
  <c r="G41" i="9" a="1"/>
  <c r="G41" i="9" s="1"/>
  <c r="G70" i="9" a="1"/>
  <c r="G70" i="9" s="1"/>
  <c r="G50" i="9" a="1"/>
  <c r="G50" i="9" s="1"/>
  <c r="G110" i="9" a="1"/>
  <c r="G110" i="9" s="1"/>
  <c r="G21" i="9" a="1"/>
  <c r="G21" i="9" s="1"/>
  <c r="U336" i="8"/>
  <c r="Z336" i="8" s="1"/>
  <c r="G242" i="12"/>
  <c r="M242" i="12" s="1"/>
  <c r="U337" i="8"/>
  <c r="AW149" i="7"/>
  <c r="U74" i="8"/>
  <c r="Z74" i="8" s="1"/>
  <c r="G336" i="12"/>
  <c r="W336" i="12" s="1"/>
  <c r="G300" i="12"/>
  <c r="AC122" i="10"/>
  <c r="AF122" i="10" s="1"/>
  <c r="AC34" i="10"/>
  <c r="AF34" i="10" s="1"/>
  <c r="U300" i="8"/>
  <c r="Z300" i="8" s="1"/>
  <c r="BH371" i="5"/>
  <c r="AV16" i="12"/>
  <c r="AW16" i="12" s="1"/>
  <c r="V22" i="12"/>
  <c r="AU22" i="12"/>
  <c r="AV22" i="12" s="1"/>
  <c r="AW22" i="12" s="1"/>
  <c r="BB16" i="12"/>
  <c r="AK4" i="46"/>
  <c r="I163" i="12"/>
  <c r="U192" i="8"/>
  <c r="Z192" i="8" s="1"/>
  <c r="G173" i="12"/>
  <c r="AW99" i="7"/>
  <c r="AY76" i="7"/>
  <c r="AW80" i="7"/>
  <c r="U217" i="8"/>
  <c r="BH77" i="5"/>
  <c r="G67" i="12" s="1"/>
  <c r="W67" i="12" s="1"/>
  <c r="BL4" i="46"/>
  <c r="Y20" i="12"/>
  <c r="Z20" i="12" s="1"/>
  <c r="AE20" i="12"/>
  <c r="AF20" i="12" s="1"/>
  <c r="AK20" i="12"/>
  <c r="AL20" i="12" s="1"/>
  <c r="AB20" i="12"/>
  <c r="AC20" i="12" s="1"/>
  <c r="AH20" i="12"/>
  <c r="AI20" i="12" s="1"/>
  <c r="BE92" i="5"/>
  <c r="U26" i="12"/>
  <c r="AK26" i="12" s="1"/>
  <c r="AL26" i="12" s="1"/>
  <c r="AU26" i="12" s="1"/>
  <c r="U24" i="12"/>
  <c r="AK24" i="12" s="1"/>
  <c r="AL24" i="12" s="1"/>
  <c r="AU24" i="12" s="1"/>
  <c r="BB22" i="12"/>
  <c r="G350" i="12"/>
  <c r="Z156" i="8"/>
  <c r="BE390" i="5"/>
  <c r="BF390" i="5" s="1"/>
  <c r="U330" i="8"/>
  <c r="Z330" i="8" s="1"/>
  <c r="AF61" i="10"/>
  <c r="AY4" i="46"/>
  <c r="AR123" i="7"/>
  <c r="AU123" i="7" s="1"/>
  <c r="AW104" i="7"/>
  <c r="U229" i="8"/>
  <c r="BF4" i="46"/>
  <c r="BG4" i="46"/>
  <c r="AW4" i="46"/>
  <c r="AZ4" i="46"/>
  <c r="BD4" i="46"/>
  <c r="BK4" i="46"/>
  <c r="AR90" i="7"/>
  <c r="X193" i="8"/>
  <c r="Z193" i="8" s="1"/>
  <c r="BA119" i="7"/>
  <c r="AV89" i="7"/>
  <c r="I193" i="12"/>
  <c r="N193" i="12" s="1"/>
  <c r="AY89" i="7"/>
  <c r="BN4" i="46"/>
  <c r="BC159" i="5"/>
  <c r="BE158" i="5"/>
  <c r="BF158" i="5" s="1"/>
  <c r="AR36" i="7"/>
  <c r="AU36" i="7" s="1"/>
  <c r="AY126" i="7"/>
  <c r="AU126" i="7"/>
  <c r="X283" i="8"/>
  <c r="AV126" i="7"/>
  <c r="BC312" i="5"/>
  <c r="X129" i="8"/>
  <c r="Z129" i="8" s="1"/>
  <c r="I129" i="12"/>
  <c r="L129" i="12" s="1"/>
  <c r="BE247" i="5"/>
  <c r="BF247" i="5" s="1"/>
  <c r="AT62" i="7"/>
  <c r="AQ129" i="12" s="1"/>
  <c r="AR113" i="7"/>
  <c r="AU113" i="7" s="1"/>
  <c r="AY62" i="7"/>
  <c r="BA62" i="7" s="1"/>
  <c r="AU62" i="7"/>
  <c r="U350" i="8"/>
  <c r="Z350" i="8" s="1"/>
  <c r="V18" i="12"/>
  <c r="BE419" i="5"/>
  <c r="BF419" i="5" s="1"/>
  <c r="AR129" i="7"/>
  <c r="AS148" i="7"/>
  <c r="AT148" i="7" s="1"/>
  <c r="AQ335" i="12" s="1"/>
  <c r="BC419" i="5"/>
  <c r="AO18" i="12"/>
  <c r="AU89" i="7"/>
  <c r="AU18" i="12"/>
  <c r="BC284" i="5"/>
  <c r="Z265" i="8"/>
  <c r="BC206" i="5"/>
  <c r="X163" i="8"/>
  <c r="X117" i="8"/>
  <c r="AR138" i="7"/>
  <c r="AU138" i="7" s="1"/>
  <c r="AV141" i="7"/>
  <c r="I117" i="12"/>
  <c r="N117" i="12" s="1"/>
  <c r="AV57" i="7"/>
  <c r="AY57" i="7"/>
  <c r="AS94" i="7"/>
  <c r="AT94" i="7" s="1"/>
  <c r="AQ205" i="12" s="1"/>
  <c r="G322" i="12"/>
  <c r="W322" i="12" s="1"/>
  <c r="AC116" i="10"/>
  <c r="AF116" i="10" s="1"/>
  <c r="U278" i="8"/>
  <c r="Z278" i="8" s="1"/>
  <c r="AA40" i="46"/>
  <c r="BH399" i="5"/>
  <c r="G343" i="12" s="1"/>
  <c r="W343" i="12" s="1"/>
  <c r="G201" i="12"/>
  <c r="U201" i="8"/>
  <c r="AR118" i="7"/>
  <c r="AS118" i="7"/>
  <c r="Z31" i="46"/>
  <c r="AW97" i="7"/>
  <c r="AW115" i="7"/>
  <c r="BA115" i="7" s="1"/>
  <c r="G213" i="12"/>
  <c r="U257" i="8"/>
  <c r="Z257" i="8" s="1"/>
  <c r="G71" i="12"/>
  <c r="AW38" i="7"/>
  <c r="BE260" i="5"/>
  <c r="BF260" i="5" s="1"/>
  <c r="AH26" i="46"/>
  <c r="BC67" i="5"/>
  <c r="BE46" i="5"/>
  <c r="BF46" i="5" s="1"/>
  <c r="BC414" i="5"/>
  <c r="BE280" i="5"/>
  <c r="BF280" i="5" s="1"/>
  <c r="AC80" i="10"/>
  <c r="AF80" i="10" s="1"/>
  <c r="BE269" i="5"/>
  <c r="BF269" i="5" s="1"/>
  <c r="U360" i="8"/>
  <c r="Z360" i="8" s="1"/>
  <c r="BE266" i="5"/>
  <c r="BF266" i="5" s="1"/>
  <c r="G278" i="12"/>
  <c r="U238" i="8"/>
  <c r="Z238" i="8" s="1"/>
  <c r="AC88" i="10"/>
  <c r="AF88" i="10" s="1"/>
  <c r="BE188" i="5"/>
  <c r="BF188" i="5" s="1"/>
  <c r="BC371" i="5"/>
  <c r="AR31" i="7"/>
  <c r="AS31" i="7"/>
  <c r="AU57" i="7"/>
  <c r="BC259" i="5"/>
  <c r="BE190" i="5"/>
  <c r="BF190" i="5" s="1"/>
  <c r="N126" i="9"/>
  <c r="O126" i="9" s="1"/>
  <c r="X126" i="9" s="1"/>
  <c r="AA126" i="9" s="1"/>
  <c r="AC126" i="9" s="1"/>
  <c r="G63" i="12"/>
  <c r="G205" i="12"/>
  <c r="BE201" i="5"/>
  <c r="BF201" i="5" s="1"/>
  <c r="Z19" i="46"/>
  <c r="BC258" i="5"/>
  <c r="U359" i="8"/>
  <c r="BE54" i="5"/>
  <c r="BF54" i="5" s="1"/>
  <c r="U161" i="8"/>
  <c r="AH43" i="46"/>
  <c r="BE416" i="5"/>
  <c r="BF416" i="5" s="1"/>
  <c r="BE402" i="5"/>
  <c r="BF402" i="5" s="1"/>
  <c r="G221" i="12"/>
  <c r="AW100" i="7"/>
  <c r="BC348" i="5"/>
  <c r="AH38" i="46"/>
  <c r="AW68" i="7"/>
  <c r="G360" i="12"/>
  <c r="U205" i="8"/>
  <c r="AH33" i="46"/>
  <c r="BC77" i="5"/>
  <c r="BC180" i="5"/>
  <c r="BC148" i="5"/>
  <c r="G237" i="12"/>
  <c r="U237" i="8"/>
  <c r="BC84" i="5"/>
  <c r="AG19" i="46"/>
  <c r="G218" i="12"/>
  <c r="AC82" i="10"/>
  <c r="AF82" i="10" s="1"/>
  <c r="G214" i="12"/>
  <c r="AH40" i="46"/>
  <c r="U143" i="8"/>
  <c r="Z25" i="46"/>
  <c r="G345" i="12"/>
  <c r="Z36" i="8"/>
  <c r="AH41" i="46"/>
  <c r="AG32" i="46"/>
  <c r="U345" i="8"/>
  <c r="G359" i="12"/>
  <c r="Z43" i="46"/>
  <c r="G161" i="12"/>
  <c r="BC222" i="5"/>
  <c r="BC245" i="5"/>
  <c r="G73" i="12"/>
  <c r="W73" i="12" s="1"/>
  <c r="U73" i="8"/>
  <c r="BE362" i="5"/>
  <c r="BF362" i="5" s="1"/>
  <c r="U27" i="8"/>
  <c r="Z27" i="8" s="1"/>
  <c r="BE401" i="5"/>
  <c r="BF401" i="5" s="1"/>
  <c r="BE376" i="5"/>
  <c r="BF376" i="5" s="1"/>
  <c r="AA38" i="46"/>
  <c r="AG42" i="46"/>
  <c r="BC391" i="5"/>
  <c r="AR137" i="7"/>
  <c r="AS137" i="7"/>
  <c r="G36" i="12"/>
  <c r="BE392" i="5"/>
  <c r="BF392" i="5" s="1"/>
  <c r="Z185" i="8"/>
  <c r="Z145" i="8"/>
  <c r="G317" i="12"/>
  <c r="AW140" i="7"/>
  <c r="U267" i="8"/>
  <c r="Z267" i="8" s="1"/>
  <c r="AG31" i="46"/>
  <c r="BC251" i="5"/>
  <c r="BE146" i="5"/>
  <c r="BF146" i="5" s="1"/>
  <c r="BE243" i="5"/>
  <c r="BF243" i="5" s="1"/>
  <c r="AA23" i="46"/>
  <c r="AR66" i="7"/>
  <c r="AU66" i="7" s="1"/>
  <c r="BA69" i="7"/>
  <c r="AT76" i="7"/>
  <c r="AQ163" i="12" s="1"/>
  <c r="AV76" i="7"/>
  <c r="AR151" i="7"/>
  <c r="AU151" i="7" s="1"/>
  <c r="AH27" i="46"/>
  <c r="BA85" i="7"/>
  <c r="AR15" i="7"/>
  <c r="Z22" i="46"/>
  <c r="AS130" i="7"/>
  <c r="AR130" i="7"/>
  <c r="AR42" i="7"/>
  <c r="AS42" i="7"/>
  <c r="AR112" i="7"/>
  <c r="AS112" i="7"/>
  <c r="AS58" i="7"/>
  <c r="AT58" i="7" s="1"/>
  <c r="AQ119" i="12" s="1"/>
  <c r="AR58" i="7"/>
  <c r="AS32" i="7"/>
  <c r="AR32" i="7"/>
  <c r="AG16" i="46"/>
  <c r="BA33" i="7"/>
  <c r="AR24" i="7"/>
  <c r="AS24" i="7"/>
  <c r="AT24" i="7" s="1"/>
  <c r="AQ37" i="12" s="1"/>
  <c r="BA73" i="7"/>
  <c r="AR146" i="7"/>
  <c r="AU146" i="7" s="1"/>
  <c r="AR131" i="7"/>
  <c r="AS131" i="7"/>
  <c r="AH4" i="7"/>
  <c r="BH318" i="5"/>
  <c r="AC100" i="10" s="1"/>
  <c r="AF100" i="10" s="1"/>
  <c r="AA36" i="46"/>
  <c r="BH404" i="5"/>
  <c r="G348" i="12" s="1"/>
  <c r="W348" i="12" s="1"/>
  <c r="AA42" i="46"/>
  <c r="BH150" i="5"/>
  <c r="U130" i="8" s="1"/>
  <c r="Z130" i="8" s="1"/>
  <c r="AA24" i="46"/>
  <c r="AK4" i="7"/>
  <c r="AI4" i="7" s="1"/>
  <c r="BH250" i="5"/>
  <c r="AC81" i="10" s="1"/>
  <c r="AF81" i="10" s="1"/>
  <c r="AA31" i="46"/>
  <c r="AW155" i="7"/>
  <c r="U353" i="8"/>
  <c r="G353" i="12"/>
  <c r="W353" i="12" s="1"/>
  <c r="Y257" i="12"/>
  <c r="Z257" i="12" s="1"/>
  <c r="AE257" i="12"/>
  <c r="AF257" i="12" s="1"/>
  <c r="N257" i="12"/>
  <c r="AB257" i="12"/>
  <c r="AC257" i="12" s="1"/>
  <c r="P257" i="12"/>
  <c r="O257" i="12"/>
  <c r="M257" i="12"/>
  <c r="L257" i="12"/>
  <c r="AM257" i="12"/>
  <c r="AH257" i="12"/>
  <c r="AI257" i="12" s="1"/>
  <c r="U334" i="8"/>
  <c r="Z334" i="8" s="1"/>
  <c r="AC120" i="10"/>
  <c r="AF120" i="10" s="1"/>
  <c r="G334" i="12"/>
  <c r="W334" i="12" s="1"/>
  <c r="BC139" i="5"/>
  <c r="BE139" i="5"/>
  <c r="BF139" i="5" s="1"/>
  <c r="BE112" i="5"/>
  <c r="BC112" i="5"/>
  <c r="AR56" i="7"/>
  <c r="AS56" i="7"/>
  <c r="AT56" i="7" s="1"/>
  <c r="AQ115" i="12" s="1"/>
  <c r="AH18" i="46"/>
  <c r="BE64" i="5"/>
  <c r="BC64" i="5"/>
  <c r="M347" i="12"/>
  <c r="AM347" i="12"/>
  <c r="AB347" i="12"/>
  <c r="AC347" i="12" s="1"/>
  <c r="AH347" i="12"/>
  <c r="AI347" i="12" s="1"/>
  <c r="O347" i="12"/>
  <c r="AE347" i="12"/>
  <c r="AF347" i="12" s="1"/>
  <c r="Y347" i="12"/>
  <c r="Z347" i="12" s="1"/>
  <c r="P347" i="12"/>
  <c r="G275" i="12"/>
  <c r="W275" i="12" s="1"/>
  <c r="AW123" i="7"/>
  <c r="U275" i="8"/>
  <c r="G77" i="12"/>
  <c r="W77" i="12" s="1"/>
  <c r="AW40" i="7"/>
  <c r="U77" i="8"/>
  <c r="AW56" i="7"/>
  <c r="G115" i="12"/>
  <c r="W115" i="12" s="1"/>
  <c r="U115" i="8"/>
  <c r="BC230" i="5"/>
  <c r="BE230" i="5"/>
  <c r="BF230" i="5" s="1"/>
  <c r="AY123" i="7"/>
  <c r="I275" i="12"/>
  <c r="X275" i="8"/>
  <c r="AV123" i="7"/>
  <c r="AY96" i="7"/>
  <c r="AU96" i="7"/>
  <c r="X211" i="8"/>
  <c r="I211" i="12"/>
  <c r="AV96" i="7"/>
  <c r="AG26" i="46"/>
  <c r="BC175" i="5"/>
  <c r="BE175" i="5"/>
  <c r="AH19" i="46"/>
  <c r="BC78" i="5"/>
  <c r="BE78" i="5"/>
  <c r="AY116" i="7"/>
  <c r="AU116" i="7"/>
  <c r="X259" i="8"/>
  <c r="I259" i="12"/>
  <c r="AV116" i="7"/>
  <c r="AM35" i="12"/>
  <c r="AB35" i="12"/>
  <c r="AC35" i="12" s="1"/>
  <c r="L35" i="12"/>
  <c r="Y35" i="12"/>
  <c r="Z35" i="12" s="1"/>
  <c r="P35" i="12"/>
  <c r="AH35" i="12"/>
  <c r="AI35" i="12" s="1"/>
  <c r="O35" i="12"/>
  <c r="AE35" i="12"/>
  <c r="AF35" i="12" s="1"/>
  <c r="M35" i="12"/>
  <c r="N35" i="12"/>
  <c r="U223" i="8"/>
  <c r="AW101" i="7"/>
  <c r="G223" i="12"/>
  <c r="W223" i="12" s="1"/>
  <c r="N66" i="9"/>
  <c r="O66" i="9" s="1"/>
  <c r="X66" i="9" s="1"/>
  <c r="AA66" i="9" s="1"/>
  <c r="AC66" i="9" s="1"/>
  <c r="BC363" i="5"/>
  <c r="BE363" i="5"/>
  <c r="BF363" i="5" s="1"/>
  <c r="M210" i="12"/>
  <c r="AM210" i="12"/>
  <c r="AB210" i="12"/>
  <c r="AC210" i="12" s="1"/>
  <c r="P210" i="12"/>
  <c r="O210" i="12"/>
  <c r="AH210" i="12"/>
  <c r="AI210" i="12" s="1"/>
  <c r="AE210" i="12"/>
  <c r="AF210" i="12" s="1"/>
  <c r="Y210" i="12"/>
  <c r="N210" i="12"/>
  <c r="L210" i="12"/>
  <c r="BA57" i="7"/>
  <c r="AS158" i="7"/>
  <c r="AT158" i="7" s="1"/>
  <c r="AQ359" i="12" s="1"/>
  <c r="AR158" i="7"/>
  <c r="Y361" i="12"/>
  <c r="Z361" i="12" s="1"/>
  <c r="AH361" i="12"/>
  <c r="AI361" i="12" s="1"/>
  <c r="N361" i="12"/>
  <c r="AB361" i="12"/>
  <c r="AC361" i="12" s="1"/>
  <c r="P361" i="12"/>
  <c r="L361" i="12"/>
  <c r="M361" i="12"/>
  <c r="AM361" i="12"/>
  <c r="AE361" i="12"/>
  <c r="AF361" i="12" s="1"/>
  <c r="O361" i="12"/>
  <c r="N117" i="9"/>
  <c r="O117" i="9" s="1"/>
  <c r="X117" i="9" s="1"/>
  <c r="AA117" i="9" s="1"/>
  <c r="AC117" i="9" s="1"/>
  <c r="BF259" i="5"/>
  <c r="AC93" i="10"/>
  <c r="AF93" i="10" s="1"/>
  <c r="G252" i="12"/>
  <c r="W252" i="12" s="1"/>
  <c r="U252" i="8"/>
  <c r="Z252" i="8" s="1"/>
  <c r="AA20" i="46"/>
  <c r="U134" i="8"/>
  <c r="Z134" i="8" s="1"/>
  <c r="AC54" i="10"/>
  <c r="AF54" i="10" s="1"/>
  <c r="G134" i="12"/>
  <c r="W134" i="12" s="1"/>
  <c r="AH291" i="12"/>
  <c r="AI291" i="12" s="1"/>
  <c r="P291" i="12"/>
  <c r="AM291" i="12"/>
  <c r="AB291" i="12"/>
  <c r="AC291" i="12" s="1"/>
  <c r="L291" i="12"/>
  <c r="O291" i="12"/>
  <c r="N291" i="12"/>
  <c r="M291" i="12"/>
  <c r="AE291" i="12"/>
  <c r="AF291" i="12" s="1"/>
  <c r="Y291" i="12"/>
  <c r="AW108" i="7"/>
  <c r="BA108" i="7" s="1"/>
  <c r="U239" i="8"/>
  <c r="Z239" i="8" s="1"/>
  <c r="G239" i="12"/>
  <c r="BC353" i="5"/>
  <c r="BE353" i="5"/>
  <c r="BF353" i="5" s="1"/>
  <c r="U211" i="8"/>
  <c r="AW96" i="7"/>
  <c r="G211" i="12"/>
  <c r="W211" i="12" s="1"/>
  <c r="BC143" i="5"/>
  <c r="BE143" i="5"/>
  <c r="BF143" i="5" s="1"/>
  <c r="Y312" i="12"/>
  <c r="N312" i="12"/>
  <c r="AB312" i="12"/>
  <c r="AC312" i="12" s="1"/>
  <c r="M312" i="12"/>
  <c r="AE312" i="12"/>
  <c r="AF312" i="12" s="1"/>
  <c r="P312" i="12"/>
  <c r="O312" i="12"/>
  <c r="L312" i="12"/>
  <c r="AM312" i="12"/>
  <c r="AH312" i="12"/>
  <c r="AI312" i="12" s="1"/>
  <c r="AY148" i="7"/>
  <c r="BA148" i="7" s="1"/>
  <c r="AU148" i="7"/>
  <c r="I335" i="12"/>
  <c r="L335" i="12" s="1"/>
  <c r="X335" i="8"/>
  <c r="Z335" i="8" s="1"/>
  <c r="AV148" i="7"/>
  <c r="AU74" i="7"/>
  <c r="AY74" i="7"/>
  <c r="X157" i="8"/>
  <c r="I157" i="12"/>
  <c r="AV74" i="7"/>
  <c r="AH155" i="12"/>
  <c r="AI155" i="12" s="1"/>
  <c r="P155" i="12"/>
  <c r="AM155" i="12"/>
  <c r="AB155" i="12"/>
  <c r="AC155" i="12" s="1"/>
  <c r="L155" i="12"/>
  <c r="M155" i="12"/>
  <c r="AE155" i="12"/>
  <c r="AF155" i="12" s="1"/>
  <c r="Y155" i="12"/>
  <c r="Z155" i="12" s="1"/>
  <c r="O155" i="12"/>
  <c r="N155" i="12"/>
  <c r="AH241" i="12"/>
  <c r="AI241" i="12" s="1"/>
  <c r="P241" i="12"/>
  <c r="AE241" i="12"/>
  <c r="AF241" i="12" s="1"/>
  <c r="N241" i="12"/>
  <c r="L241" i="12"/>
  <c r="AB241" i="12"/>
  <c r="AC241" i="12" s="1"/>
  <c r="AM241" i="12"/>
  <c r="O241" i="12"/>
  <c r="M241" i="12"/>
  <c r="AG27" i="46"/>
  <c r="BC189" i="5"/>
  <c r="BE189" i="5"/>
  <c r="AW132" i="7"/>
  <c r="U297" i="8"/>
  <c r="G297" i="12"/>
  <c r="W297" i="12" s="1"/>
  <c r="AY47" i="7"/>
  <c r="AU47" i="7"/>
  <c r="X93" i="8"/>
  <c r="I93" i="12"/>
  <c r="AV47" i="7"/>
  <c r="BC131" i="5"/>
  <c r="BE131" i="5"/>
  <c r="BF131" i="5" s="1"/>
  <c r="AC65" i="10"/>
  <c r="AF65" i="10" s="1"/>
  <c r="U168" i="8"/>
  <c r="Z168" i="8" s="1"/>
  <c r="G168" i="12"/>
  <c r="W168" i="12" s="1"/>
  <c r="BC236" i="5"/>
  <c r="BE236" i="5"/>
  <c r="BF236" i="5" s="1"/>
  <c r="AB4" i="10"/>
  <c r="AS92" i="12"/>
  <c r="AS4" i="12" s="1"/>
  <c r="U315" i="8"/>
  <c r="Z315" i="8" s="1"/>
  <c r="G315" i="12"/>
  <c r="W315" i="12" s="1"/>
  <c r="BM21" i="46"/>
  <c r="BM4" i="46" s="1"/>
  <c r="AC104" i="10"/>
  <c r="AF104" i="10" s="1"/>
  <c r="U286" i="8"/>
  <c r="Z286" i="8" s="1"/>
  <c r="G286" i="12"/>
  <c r="W286" i="12" s="1"/>
  <c r="AU139" i="7"/>
  <c r="AY139" i="7"/>
  <c r="I313" i="12"/>
  <c r="X313" i="8"/>
  <c r="AV139" i="7"/>
  <c r="BE110" i="5"/>
  <c r="BC110" i="5"/>
  <c r="Y219" i="12"/>
  <c r="M219" i="12"/>
  <c r="AH219" i="12"/>
  <c r="AI219" i="12" s="1"/>
  <c r="L219" i="12"/>
  <c r="AE219" i="12"/>
  <c r="AF219" i="12" s="1"/>
  <c r="AB219" i="12"/>
  <c r="P219" i="12"/>
  <c r="N219" i="12"/>
  <c r="O219" i="12"/>
  <c r="AM219" i="12"/>
  <c r="BF133" i="5"/>
  <c r="Y207" i="12"/>
  <c r="AH207" i="12"/>
  <c r="AI207" i="12" s="1"/>
  <c r="P207" i="12"/>
  <c r="AB207" i="12"/>
  <c r="N207" i="12"/>
  <c r="M207" i="12"/>
  <c r="AM207" i="12"/>
  <c r="AE207" i="12"/>
  <c r="AF207" i="12" s="1"/>
  <c r="O207" i="12"/>
  <c r="L207" i="12"/>
  <c r="AH29" i="46"/>
  <c r="BC218" i="5"/>
  <c r="BE218" i="5"/>
  <c r="G292" i="12"/>
  <c r="W292" i="12" s="1"/>
  <c r="U292" i="8"/>
  <c r="Z292" i="8" s="1"/>
  <c r="AH35" i="46"/>
  <c r="BE302" i="5"/>
  <c r="BC302" i="5"/>
  <c r="BE150" i="5"/>
  <c r="BF150" i="5" s="1"/>
  <c r="BC150" i="5"/>
  <c r="U208" i="8"/>
  <c r="Z208" i="8" s="1"/>
  <c r="G208" i="12"/>
  <c r="W208" i="12" s="1"/>
  <c r="AW78" i="7"/>
  <c r="U167" i="8"/>
  <c r="G167" i="12"/>
  <c r="W167" i="12" s="1"/>
  <c r="G273" i="12"/>
  <c r="W273" i="12" s="1"/>
  <c r="U273" i="8"/>
  <c r="AW122" i="7"/>
  <c r="BF176" i="5"/>
  <c r="G203" i="12"/>
  <c r="W203" i="12" s="1"/>
  <c r="U203" i="8"/>
  <c r="AW93" i="7"/>
  <c r="Z18" i="46"/>
  <c r="BH63" i="5"/>
  <c r="AA22" i="46"/>
  <c r="BH120" i="5"/>
  <c r="AE268" i="12"/>
  <c r="AF268" i="12" s="1"/>
  <c r="N268" i="12"/>
  <c r="Y268" i="12"/>
  <c r="P268" i="12"/>
  <c r="M268" i="12"/>
  <c r="AH268" i="12"/>
  <c r="AI268" i="12" s="1"/>
  <c r="L268" i="12"/>
  <c r="O268" i="12"/>
  <c r="AM268" i="12"/>
  <c r="AB268" i="12"/>
  <c r="AC268" i="12" s="1"/>
  <c r="AS136" i="7"/>
  <c r="AT136" i="7" s="1"/>
  <c r="AQ307" i="12" s="1"/>
  <c r="AR136" i="7"/>
  <c r="AW63" i="7"/>
  <c r="BA63" i="7" s="1"/>
  <c r="U131" i="8"/>
  <c r="Z131" i="8" s="1"/>
  <c r="G131" i="12"/>
  <c r="W131" i="12" s="1"/>
  <c r="M256" i="12"/>
  <c r="AM256" i="12"/>
  <c r="Y256" i="12"/>
  <c r="P256" i="12"/>
  <c r="AH256" i="12"/>
  <c r="AI256" i="12" s="1"/>
  <c r="N256" i="12"/>
  <c r="AE256" i="12"/>
  <c r="AF256" i="12" s="1"/>
  <c r="AB256" i="12"/>
  <c r="AC256" i="12" s="1"/>
  <c r="O256" i="12"/>
  <c r="L256" i="12"/>
  <c r="BC152" i="5"/>
  <c r="BE152" i="5"/>
  <c r="BF152" i="5" s="1"/>
  <c r="U314" i="8"/>
  <c r="Z314" i="8" s="1"/>
  <c r="G314" i="12"/>
  <c r="W314" i="12" s="1"/>
  <c r="AC114" i="10"/>
  <c r="AF114" i="10" s="1"/>
  <c r="O126" i="12"/>
  <c r="Y126" i="12"/>
  <c r="P126" i="12"/>
  <c r="AE126" i="12"/>
  <c r="AF126" i="12" s="1"/>
  <c r="M126" i="12"/>
  <c r="N126" i="12"/>
  <c r="L126" i="12"/>
  <c r="AM126" i="12"/>
  <c r="AH126" i="12"/>
  <c r="AI126" i="12" s="1"/>
  <c r="AB126" i="12"/>
  <c r="AC126" i="12" s="1"/>
  <c r="U289" i="8"/>
  <c r="AW129" i="7"/>
  <c r="G289" i="12"/>
  <c r="W289" i="12" s="1"/>
  <c r="AR127" i="7"/>
  <c r="AS127" i="7"/>
  <c r="AT127" i="7" s="1"/>
  <c r="AQ285" i="12" s="1"/>
  <c r="AH28" i="46"/>
  <c r="BC204" i="5"/>
  <c r="BE204" i="5"/>
  <c r="AY15" i="7"/>
  <c r="BA15" i="7" s="1"/>
  <c r="AU15" i="7"/>
  <c r="X17" i="8"/>
  <c r="Z17" i="8" s="1"/>
  <c r="I17" i="12"/>
  <c r="AV15" i="7"/>
  <c r="AU18" i="7"/>
  <c r="AY18" i="7"/>
  <c r="BA18" i="7" s="1"/>
  <c r="X23" i="8"/>
  <c r="Z23" i="8" s="1"/>
  <c r="I23" i="12"/>
  <c r="AV18" i="7"/>
  <c r="U303" i="8"/>
  <c r="Z303" i="8" s="1"/>
  <c r="G303" i="12"/>
  <c r="W303" i="12" s="1"/>
  <c r="G123" i="12"/>
  <c r="W123" i="12" s="1"/>
  <c r="U123" i="8"/>
  <c r="Z123" i="8" s="1"/>
  <c r="BC47" i="5"/>
  <c r="BE47" i="5"/>
  <c r="BF47" i="5" s="1"/>
  <c r="BE168" i="5"/>
  <c r="BF168" i="5" s="1"/>
  <c r="BC168" i="5"/>
  <c r="AW72" i="7"/>
  <c r="U153" i="8"/>
  <c r="G153" i="12"/>
  <c r="W153" i="12" s="1"/>
  <c r="AA17" i="46"/>
  <c r="BH50" i="5"/>
  <c r="BC349" i="5"/>
  <c r="BE349" i="5"/>
  <c r="BF349" i="5" s="1"/>
  <c r="G45" i="12"/>
  <c r="W45" i="12" s="1"/>
  <c r="AW27" i="7"/>
  <c r="BE199" i="5"/>
  <c r="BF199" i="5" s="1"/>
  <c r="BC199" i="5"/>
  <c r="BC368" i="5"/>
  <c r="BE368" i="5"/>
  <c r="BF368" i="5" s="1"/>
  <c r="Z38" i="8"/>
  <c r="G38" i="12"/>
  <c r="W38" i="12" s="1"/>
  <c r="AC22" i="10"/>
  <c r="AF22" i="10" s="1"/>
  <c r="BE377" i="5"/>
  <c r="BF377" i="5" s="1"/>
  <c r="BC377" i="5"/>
  <c r="AR65" i="7"/>
  <c r="AS65" i="7"/>
  <c r="O196" i="12"/>
  <c r="AM196" i="12"/>
  <c r="P196" i="12"/>
  <c r="N196" i="12"/>
  <c r="AB196" i="12"/>
  <c r="AC196" i="12" s="1"/>
  <c r="Y196" i="12"/>
  <c r="M196" i="12"/>
  <c r="L196" i="12"/>
  <c r="AH196" i="12"/>
  <c r="AI196" i="12" s="1"/>
  <c r="AE196" i="12"/>
  <c r="AF196" i="12" s="1"/>
  <c r="U310" i="8"/>
  <c r="Z310" i="8" s="1"/>
  <c r="G310" i="12"/>
  <c r="W310" i="12" s="1"/>
  <c r="AC112" i="10"/>
  <c r="AF112" i="10" s="1"/>
  <c r="BC200" i="5"/>
  <c r="BE200" i="5"/>
  <c r="BF200" i="5" s="1"/>
  <c r="N118" i="9"/>
  <c r="O118" i="9" s="1"/>
  <c r="X118" i="9" s="1"/>
  <c r="AA118" i="9" s="1"/>
  <c r="AC118" i="9" s="1"/>
  <c r="AS134" i="7"/>
  <c r="AR134" i="7"/>
  <c r="AE276" i="12"/>
  <c r="AF276" i="12" s="1"/>
  <c r="N276" i="12"/>
  <c r="P276" i="12"/>
  <c r="AM276" i="12"/>
  <c r="O276" i="12"/>
  <c r="M276" i="12"/>
  <c r="AH276" i="12"/>
  <c r="AI276" i="12" s="1"/>
  <c r="L276" i="12"/>
  <c r="AB276" i="12"/>
  <c r="AC276" i="12" s="1"/>
  <c r="Y276" i="12"/>
  <c r="U362" i="8"/>
  <c r="Z362" i="8" s="1"/>
  <c r="AC130" i="10"/>
  <c r="AF130" i="10" s="1"/>
  <c r="G362" i="12"/>
  <c r="W362" i="12" s="1"/>
  <c r="G152" i="12"/>
  <c r="W152" i="12" s="1"/>
  <c r="AC59" i="10"/>
  <c r="AF59" i="10" s="1"/>
  <c r="U152" i="8"/>
  <c r="Z152" i="8" s="1"/>
  <c r="AE230" i="12"/>
  <c r="AF230" i="12" s="1"/>
  <c r="N230" i="12"/>
  <c r="M230" i="12"/>
  <c r="AH230" i="12"/>
  <c r="AI230" i="12" s="1"/>
  <c r="P230" i="12"/>
  <c r="AB230" i="12"/>
  <c r="AC230" i="12" s="1"/>
  <c r="AM230" i="12"/>
  <c r="L230" i="12"/>
  <c r="O230" i="12"/>
  <c r="N122" i="9"/>
  <c r="O122" i="9" s="1"/>
  <c r="X122" i="9" s="1"/>
  <c r="AA122" i="9" s="1"/>
  <c r="AC122" i="9" s="1"/>
  <c r="AE46" i="12"/>
  <c r="AF46" i="12" s="1"/>
  <c r="N46" i="12"/>
  <c r="AM46" i="12"/>
  <c r="AB46" i="12"/>
  <c r="AC46" i="12" s="1"/>
  <c r="Y46" i="12"/>
  <c r="P46" i="12"/>
  <c r="AH46" i="12"/>
  <c r="AI46" i="12" s="1"/>
  <c r="M46" i="12"/>
  <c r="O46" i="12"/>
  <c r="L46" i="12"/>
  <c r="N109" i="9"/>
  <c r="O109" i="9" s="1"/>
  <c r="X109" i="9" s="1"/>
  <c r="AA109" i="9" s="1"/>
  <c r="AC109" i="9" s="1"/>
  <c r="N19" i="12"/>
  <c r="L19" i="12"/>
  <c r="BC144" i="5"/>
  <c r="BE144" i="5"/>
  <c r="BF144" i="5" s="1"/>
  <c r="BC53" i="5"/>
  <c r="BE53" i="5"/>
  <c r="BF53" i="5" s="1"/>
  <c r="U259" i="8"/>
  <c r="AW116" i="7"/>
  <c r="BA116" i="7" s="1"/>
  <c r="G259" i="12"/>
  <c r="W259" i="12" s="1"/>
  <c r="AH37" i="46"/>
  <c r="BE330" i="5"/>
  <c r="BC330" i="5"/>
  <c r="AU117" i="7"/>
  <c r="AY117" i="7"/>
  <c r="X261" i="8"/>
  <c r="I261" i="12"/>
  <c r="AV117" i="7"/>
  <c r="BC367" i="5"/>
  <c r="BE367" i="5"/>
  <c r="BF367" i="5" s="1"/>
  <c r="AG39" i="46"/>
  <c r="BC357" i="5"/>
  <c r="BE357" i="5"/>
  <c r="U65" i="8"/>
  <c r="AW35" i="7"/>
  <c r="G65" i="12"/>
  <c r="AT139" i="7"/>
  <c r="AQ313" i="12" s="1"/>
  <c r="BH110" i="5"/>
  <c r="BC318" i="5"/>
  <c r="BE318" i="5"/>
  <c r="BF318" i="5" s="1"/>
  <c r="AU95" i="7"/>
  <c r="AY95" i="7"/>
  <c r="BA95" i="7" s="1"/>
  <c r="X209" i="8"/>
  <c r="Z209" i="8" s="1"/>
  <c r="I209" i="12"/>
  <c r="N209" i="12" s="1"/>
  <c r="AV95" i="7"/>
  <c r="AH85" i="12"/>
  <c r="AI85" i="12" s="1"/>
  <c r="P85" i="12"/>
  <c r="N85" i="12"/>
  <c r="AE85" i="12"/>
  <c r="AF85" i="12" s="1"/>
  <c r="M85" i="12"/>
  <c r="L85" i="12"/>
  <c r="Y85" i="12"/>
  <c r="O85" i="12"/>
  <c r="AM85" i="12"/>
  <c r="AB85" i="12"/>
  <c r="AC85" i="12" s="1"/>
  <c r="AA29" i="46"/>
  <c r="BH218" i="5"/>
  <c r="AU34" i="7"/>
  <c r="AY34" i="7"/>
  <c r="I61" i="12"/>
  <c r="X61" i="8"/>
  <c r="AV34" i="7"/>
  <c r="N62" i="9"/>
  <c r="O62" i="9" s="1"/>
  <c r="X62" i="9" s="1"/>
  <c r="AA62" i="9" s="1"/>
  <c r="AC62" i="9" s="1"/>
  <c r="U263" i="8"/>
  <c r="AW118" i="7"/>
  <c r="G263" i="12"/>
  <c r="W263" i="12" s="1"/>
  <c r="AU40" i="7"/>
  <c r="AY40" i="7"/>
  <c r="X77" i="8"/>
  <c r="I77" i="12"/>
  <c r="AV40" i="7"/>
  <c r="Y50" i="12"/>
  <c r="N50" i="12"/>
  <c r="P50" i="12"/>
  <c r="O50" i="12"/>
  <c r="AH50" i="12"/>
  <c r="AI50" i="12" s="1"/>
  <c r="M50" i="12"/>
  <c r="AE50" i="12"/>
  <c r="AF50" i="12" s="1"/>
  <c r="L50" i="12"/>
  <c r="AM50" i="12"/>
  <c r="AB50" i="12"/>
  <c r="AC50" i="12" s="1"/>
  <c r="G132" i="12"/>
  <c r="W132" i="12" s="1"/>
  <c r="AC53" i="10"/>
  <c r="AF53" i="10" s="1"/>
  <c r="U132" i="8"/>
  <c r="Z132" i="8" s="1"/>
  <c r="BC325" i="5"/>
  <c r="BE325" i="5"/>
  <c r="BF325" i="5" s="1"/>
  <c r="AR27" i="7"/>
  <c r="AS27" i="7"/>
  <c r="AR72" i="7"/>
  <c r="AS72" i="7"/>
  <c r="AT72" i="7" s="1"/>
  <c r="AQ153" i="12" s="1"/>
  <c r="AW53" i="7"/>
  <c r="U107" i="8"/>
  <c r="G107" i="12"/>
  <c r="W107" i="12" s="1"/>
  <c r="U255" i="8"/>
  <c r="Z255" i="8" s="1"/>
  <c r="G255" i="12"/>
  <c r="W255" i="12" s="1"/>
  <c r="BC34" i="5"/>
  <c r="BE34" i="5"/>
  <c r="BF34" i="5" s="1"/>
  <c r="Z26" i="46"/>
  <c r="BH175" i="5"/>
  <c r="AM277" i="12"/>
  <c r="AB277" i="12"/>
  <c r="AC277" i="12" s="1"/>
  <c r="L277" i="12"/>
  <c r="Y277" i="12"/>
  <c r="Z277" i="12" s="1"/>
  <c r="O277" i="12"/>
  <c r="N277" i="12"/>
  <c r="M277" i="12"/>
  <c r="AH277" i="12"/>
  <c r="AI277" i="12" s="1"/>
  <c r="AE277" i="12"/>
  <c r="AF277" i="12" s="1"/>
  <c r="P277" i="12"/>
  <c r="N85" i="9"/>
  <c r="O85" i="9" s="1"/>
  <c r="X85" i="9" s="1"/>
  <c r="AA85" i="9" s="1"/>
  <c r="AC85" i="9" s="1"/>
  <c r="AO15" i="12"/>
  <c r="BB15" i="12"/>
  <c r="BE216" i="5"/>
  <c r="BF216" i="5" s="1"/>
  <c r="BC216" i="5"/>
  <c r="BC219" i="5"/>
  <c r="BE219" i="5"/>
  <c r="BF219" i="5" s="1"/>
  <c r="AS67" i="7"/>
  <c r="AR67" i="7"/>
  <c r="BF371" i="5"/>
  <c r="Z38" i="46"/>
  <c r="G124" i="12"/>
  <c r="W124" i="12" s="1"/>
  <c r="U124" i="8"/>
  <c r="Z124" i="8" s="1"/>
  <c r="Y265" i="12"/>
  <c r="AE265" i="12"/>
  <c r="AF265" i="12" s="1"/>
  <c r="N265" i="12"/>
  <c r="AB265" i="12"/>
  <c r="AC265" i="12" s="1"/>
  <c r="AM265" i="12"/>
  <c r="P265" i="12"/>
  <c r="AH265" i="12"/>
  <c r="AI265" i="12" s="1"/>
  <c r="O265" i="12"/>
  <c r="M265" i="12"/>
  <c r="L265" i="12"/>
  <c r="BE48" i="5"/>
  <c r="BF48" i="5" s="1"/>
  <c r="BC48" i="5"/>
  <c r="Z23" i="46"/>
  <c r="L336" i="12"/>
  <c r="AB336" i="12"/>
  <c r="AC336" i="12" s="1"/>
  <c r="AM336" i="12"/>
  <c r="Y336" i="12"/>
  <c r="AH336" i="12"/>
  <c r="AI336" i="12" s="1"/>
  <c r="O336" i="12"/>
  <c r="M336" i="12"/>
  <c r="AE336" i="12"/>
  <c r="AF336" i="12" s="1"/>
  <c r="P336" i="12"/>
  <c r="N336" i="12"/>
  <c r="BE262" i="5"/>
  <c r="BF262" i="5" s="1"/>
  <c r="BC262" i="5"/>
  <c r="U47" i="8"/>
  <c r="Z47" i="8" s="1"/>
  <c r="AW28" i="7"/>
  <c r="BA28" i="7" s="1"/>
  <c r="G47" i="12"/>
  <c r="W47" i="12" s="1"/>
  <c r="AE143" i="12"/>
  <c r="AF143" i="12" s="1"/>
  <c r="AH143" i="12"/>
  <c r="AI143" i="12" s="1"/>
  <c r="M143" i="12"/>
  <c r="AB143" i="12"/>
  <c r="AC143" i="12" s="1"/>
  <c r="AM143" i="12"/>
  <c r="Y143" i="12"/>
  <c r="Z143" i="12" s="1"/>
  <c r="O143" i="12"/>
  <c r="P143" i="12"/>
  <c r="AA37" i="46"/>
  <c r="BH330" i="5"/>
  <c r="AT117" i="7"/>
  <c r="AQ261" i="12" s="1"/>
  <c r="BC234" i="5"/>
  <c r="BE234" i="5"/>
  <c r="BF234" i="5" s="1"/>
  <c r="O258" i="12"/>
  <c r="AE258" i="12"/>
  <c r="AF258" i="12" s="1"/>
  <c r="L258" i="12"/>
  <c r="AB258" i="12"/>
  <c r="AC258" i="12" s="1"/>
  <c r="AM258" i="12"/>
  <c r="AH258" i="12"/>
  <c r="AI258" i="12" s="1"/>
  <c r="Y258" i="12"/>
  <c r="P258" i="12"/>
  <c r="N258" i="12"/>
  <c r="M258" i="12"/>
  <c r="Z39" i="46"/>
  <c r="BH357" i="5"/>
  <c r="BE75" i="5"/>
  <c r="BF75" i="5" s="1"/>
  <c r="BC75" i="5"/>
  <c r="AT95" i="7"/>
  <c r="AQ209" i="12" s="1"/>
  <c r="AU46" i="7"/>
  <c r="AY46" i="7"/>
  <c r="X91" i="8"/>
  <c r="I91" i="12"/>
  <c r="AV46" i="7"/>
  <c r="BC404" i="5"/>
  <c r="BE404" i="5"/>
  <c r="BF404" i="5" s="1"/>
  <c r="AG23" i="46"/>
  <c r="BE405" i="5"/>
  <c r="BF405" i="5" s="1"/>
  <c r="BC405" i="5"/>
  <c r="M169" i="12"/>
  <c r="Y169" i="12"/>
  <c r="Z169" i="12" s="1"/>
  <c r="AH169" i="12"/>
  <c r="AI169" i="12" s="1"/>
  <c r="P169" i="12"/>
  <c r="AE169" i="12"/>
  <c r="AF169" i="12" s="1"/>
  <c r="AB169" i="12"/>
  <c r="AC169" i="12" s="1"/>
  <c r="O169" i="12"/>
  <c r="AM169" i="12"/>
  <c r="N125" i="9"/>
  <c r="O125" i="9" s="1"/>
  <c r="X125" i="9" s="1"/>
  <c r="AA125" i="9" s="1"/>
  <c r="AC125" i="9" s="1"/>
  <c r="AM246" i="12"/>
  <c r="AB246" i="12"/>
  <c r="AC246" i="12" s="1"/>
  <c r="L246" i="12"/>
  <c r="AE246" i="12"/>
  <c r="AF246" i="12" s="1"/>
  <c r="P246" i="12"/>
  <c r="O246" i="12"/>
  <c r="N246" i="12"/>
  <c r="AH246" i="12"/>
  <c r="AI246" i="12" s="1"/>
  <c r="M246" i="12"/>
  <c r="AY66" i="7"/>
  <c r="I139" i="12"/>
  <c r="X139" i="8"/>
  <c r="AV66" i="7"/>
  <c r="G58" i="12"/>
  <c r="W58" i="12" s="1"/>
  <c r="U58" i="8"/>
  <c r="Z58" i="8" s="1"/>
  <c r="AC28" i="10"/>
  <c r="AF28" i="10" s="1"/>
  <c r="BE118" i="5"/>
  <c r="BF118" i="5" s="1"/>
  <c r="BC118" i="5"/>
  <c r="BF35" i="5"/>
  <c r="AT34" i="7"/>
  <c r="AQ61" i="12" s="1"/>
  <c r="U158" i="8"/>
  <c r="Z158" i="8" s="1"/>
  <c r="AC62" i="10"/>
  <c r="AF62" i="10" s="1"/>
  <c r="G158" i="12"/>
  <c r="W158" i="12" s="1"/>
  <c r="AA26" i="46"/>
  <c r="U114" i="8"/>
  <c r="Z114" i="8" s="1"/>
  <c r="G114" i="12"/>
  <c r="W114" i="12" s="1"/>
  <c r="Y215" i="12"/>
  <c r="Z215" i="12" s="1"/>
  <c r="AH215" i="12"/>
  <c r="AI215" i="12" s="1"/>
  <c r="P215" i="12"/>
  <c r="M215" i="12"/>
  <c r="AM215" i="12"/>
  <c r="AE215" i="12"/>
  <c r="AF215" i="12" s="1"/>
  <c r="O215" i="12"/>
  <c r="AB215" i="12"/>
  <c r="Z41" i="46"/>
  <c r="BH385" i="5"/>
  <c r="AA4" i="10"/>
  <c r="AD39" i="10"/>
  <c r="AD4" i="10" s="1"/>
  <c r="Y92" i="8"/>
  <c r="Y4" i="8" s="1"/>
  <c r="K92" i="12"/>
  <c r="O190" i="12"/>
  <c r="N190" i="12"/>
  <c r="AH190" i="12"/>
  <c r="AI190" i="12" s="1"/>
  <c r="M190" i="12"/>
  <c r="AE190" i="12"/>
  <c r="AF190" i="12" s="1"/>
  <c r="L190" i="12"/>
  <c r="AB190" i="12"/>
  <c r="AC190" i="12" s="1"/>
  <c r="AM190" i="12"/>
  <c r="Y190" i="12"/>
  <c r="P190" i="12"/>
  <c r="BE172" i="5"/>
  <c r="BF172" i="5" s="1"/>
  <c r="BC172" i="5"/>
  <c r="BC94" i="5"/>
  <c r="BE94" i="5"/>
  <c r="BF94" i="5" s="1"/>
  <c r="BC410" i="5"/>
  <c r="BE410" i="5"/>
  <c r="BF410" i="5" s="1"/>
  <c r="BE361" i="5"/>
  <c r="BF361" i="5" s="1"/>
  <c r="BC361" i="5"/>
  <c r="O304" i="12"/>
  <c r="M304" i="12"/>
  <c r="Y304" i="12"/>
  <c r="L304" i="12"/>
  <c r="AH304" i="12"/>
  <c r="AI304" i="12" s="1"/>
  <c r="AE304" i="12"/>
  <c r="AF304" i="12" s="1"/>
  <c r="AB304" i="12"/>
  <c r="AC304" i="12" s="1"/>
  <c r="AM304" i="12"/>
  <c r="P304" i="12"/>
  <c r="N304" i="12"/>
  <c r="AG20" i="46"/>
  <c r="BE91" i="5"/>
  <c r="BC91" i="5"/>
  <c r="BE104" i="5"/>
  <c r="BC104" i="5"/>
  <c r="M122" i="12"/>
  <c r="AH122" i="12"/>
  <c r="AI122" i="12" s="1"/>
  <c r="O122" i="12"/>
  <c r="N122" i="12"/>
  <c r="AE122" i="12"/>
  <c r="AF122" i="12" s="1"/>
  <c r="L122" i="12"/>
  <c r="AB122" i="12"/>
  <c r="AC122" i="12" s="1"/>
  <c r="AM122" i="12"/>
  <c r="Y122" i="12"/>
  <c r="P122" i="12"/>
  <c r="U111" i="8"/>
  <c r="Z111" i="8" s="1"/>
  <c r="G111" i="12"/>
  <c r="W111" i="12" s="1"/>
  <c r="U339" i="8"/>
  <c r="Z339" i="8" s="1"/>
  <c r="G339" i="12"/>
  <c r="W339" i="12" s="1"/>
  <c r="AG29" i="46"/>
  <c r="BC217" i="5"/>
  <c r="BE217" i="5"/>
  <c r="AT40" i="7"/>
  <c r="AQ77" i="12" s="1"/>
  <c r="AH358" i="12"/>
  <c r="AI358" i="12" s="1"/>
  <c r="P358" i="12"/>
  <c r="O358" i="12"/>
  <c r="AE358" i="12"/>
  <c r="AF358" i="12" s="1"/>
  <c r="L358" i="12"/>
  <c r="M358" i="12"/>
  <c r="AB358" i="12"/>
  <c r="AC358" i="12" s="1"/>
  <c r="Y358" i="12"/>
  <c r="N358" i="12"/>
  <c r="AM358" i="12"/>
  <c r="BC304" i="5"/>
  <c r="BE304" i="5"/>
  <c r="BF304" i="5" s="1"/>
  <c r="G279" i="12"/>
  <c r="W279" i="12" s="1"/>
  <c r="U279" i="8"/>
  <c r="Z279" i="8" s="1"/>
  <c r="BC122" i="5"/>
  <c r="BE122" i="5"/>
  <c r="BF122" i="5" s="1"/>
  <c r="BC356" i="5"/>
  <c r="BE356" i="5"/>
  <c r="BF356" i="5" s="1"/>
  <c r="AS45" i="7"/>
  <c r="AT45" i="7" s="1"/>
  <c r="AR45" i="7"/>
  <c r="AO4" i="7"/>
  <c r="Y267" i="12"/>
  <c r="AH267" i="12"/>
  <c r="AI267" i="12" s="1"/>
  <c r="P267" i="12"/>
  <c r="M267" i="12"/>
  <c r="N267" i="12"/>
  <c r="L267" i="12"/>
  <c r="AE267" i="12"/>
  <c r="AF267" i="12" s="1"/>
  <c r="AB267" i="12"/>
  <c r="AC267" i="12" s="1"/>
  <c r="O267" i="12"/>
  <c r="AM267" i="12"/>
  <c r="N33" i="9"/>
  <c r="O33" i="9" s="1"/>
  <c r="X33" i="9" s="1"/>
  <c r="AA33" i="9" s="1"/>
  <c r="AC33" i="9" s="1"/>
  <c r="AM217" i="12"/>
  <c r="AB217" i="12"/>
  <c r="Y217" i="12"/>
  <c r="Z217" i="12" s="1"/>
  <c r="P217" i="12"/>
  <c r="O217" i="12"/>
  <c r="AH217" i="12"/>
  <c r="AI217" i="12" s="1"/>
  <c r="AE217" i="12"/>
  <c r="AF217" i="12" s="1"/>
  <c r="M217" i="12"/>
  <c r="U30" i="8"/>
  <c r="Z30" i="8" s="1"/>
  <c r="G30" i="12"/>
  <c r="AE162" i="12"/>
  <c r="AF162" i="12" s="1"/>
  <c r="N162" i="12"/>
  <c r="O162" i="12"/>
  <c r="AH162" i="12"/>
  <c r="AI162" i="12" s="1"/>
  <c r="M162" i="12"/>
  <c r="L162" i="12"/>
  <c r="AB162" i="12"/>
  <c r="AC162" i="12" s="1"/>
  <c r="AM162" i="12"/>
  <c r="Y162" i="12"/>
  <c r="P162" i="12"/>
  <c r="BC207" i="5"/>
  <c r="BE207" i="5"/>
  <c r="BF207" i="5" s="1"/>
  <c r="AU111" i="7"/>
  <c r="AY111" i="7"/>
  <c r="X247" i="8"/>
  <c r="I247" i="12"/>
  <c r="AV111" i="7"/>
  <c r="M238" i="12"/>
  <c r="AB238" i="12"/>
  <c r="AC238" i="12" s="1"/>
  <c r="L238" i="12"/>
  <c r="O238" i="12"/>
  <c r="AM238" i="12"/>
  <c r="N238" i="12"/>
  <c r="AH238" i="12"/>
  <c r="AI238" i="12" s="1"/>
  <c r="AE238" i="12"/>
  <c r="AF238" i="12" s="1"/>
  <c r="P238" i="12"/>
  <c r="AY152" i="7"/>
  <c r="BA152" i="7" s="1"/>
  <c r="AU152" i="7"/>
  <c r="X345" i="8"/>
  <c r="I345" i="12"/>
  <c r="AV152" i="7"/>
  <c r="BC250" i="5"/>
  <c r="BE250" i="5"/>
  <c r="BF250" i="5" s="1"/>
  <c r="BC278" i="5"/>
  <c r="BE278" i="5"/>
  <c r="BF278" i="5" s="1"/>
  <c r="BA23" i="7"/>
  <c r="AW102" i="7"/>
  <c r="U225" i="8"/>
  <c r="G225" i="12"/>
  <c r="W225" i="12" s="1"/>
  <c r="AY129" i="7"/>
  <c r="AU129" i="7"/>
  <c r="X289" i="8"/>
  <c r="I289" i="12"/>
  <c r="AV129" i="7"/>
  <c r="AH30" i="46"/>
  <c r="BC232" i="5"/>
  <c r="BE232" i="5"/>
  <c r="BA124" i="7"/>
  <c r="Z32" i="46"/>
  <c r="AE193" i="12"/>
  <c r="AF193" i="12" s="1"/>
  <c r="Y193" i="12"/>
  <c r="Z193" i="12" s="1"/>
  <c r="AM193" i="12"/>
  <c r="P193" i="12"/>
  <c r="AH193" i="12"/>
  <c r="AI193" i="12" s="1"/>
  <c r="M193" i="12"/>
  <c r="AB193" i="12"/>
  <c r="AC193" i="12" s="1"/>
  <c r="O193" i="12"/>
  <c r="I4" i="6"/>
  <c r="M27" i="6"/>
  <c r="AV15" i="12"/>
  <c r="AW15" i="12" s="1"/>
  <c r="AM141" i="12"/>
  <c r="AB141" i="12"/>
  <c r="AC141" i="12" s="1"/>
  <c r="O141" i="12"/>
  <c r="AE141" i="12"/>
  <c r="AF141" i="12" s="1"/>
  <c r="Y141" i="12"/>
  <c r="Z141" i="12" s="1"/>
  <c r="P141" i="12"/>
  <c r="AH141" i="12"/>
  <c r="AI141" i="12" s="1"/>
  <c r="M141" i="12"/>
  <c r="G356" i="12"/>
  <c r="W356" i="12" s="1"/>
  <c r="U356" i="8"/>
  <c r="Z356" i="8" s="1"/>
  <c r="AC127" i="10"/>
  <c r="AF127" i="10" s="1"/>
  <c r="BC173" i="5"/>
  <c r="BE173" i="5"/>
  <c r="BF173" i="5" s="1"/>
  <c r="M270" i="12"/>
  <c r="AH270" i="12"/>
  <c r="AI270" i="12" s="1"/>
  <c r="P270" i="12"/>
  <c r="Y270" i="12"/>
  <c r="AM270" i="12"/>
  <c r="O270" i="12"/>
  <c r="N270" i="12"/>
  <c r="L270" i="12"/>
  <c r="AE270" i="12"/>
  <c r="AF270" i="12" s="1"/>
  <c r="AB270" i="12"/>
  <c r="AC270" i="12" s="1"/>
  <c r="U186" i="8"/>
  <c r="Z186" i="8" s="1"/>
  <c r="G186" i="12"/>
  <c r="W186" i="12" s="1"/>
  <c r="U189" i="8"/>
  <c r="AW87" i="7"/>
  <c r="G189" i="12"/>
  <c r="W189" i="12" s="1"/>
  <c r="Z249" i="12"/>
  <c r="AM249" i="12"/>
  <c r="AH249" i="12"/>
  <c r="AI249" i="12" s="1"/>
  <c r="AE249" i="12"/>
  <c r="AF249" i="12" s="1"/>
  <c r="AB249" i="12"/>
  <c r="AC249" i="12" s="1"/>
  <c r="P249" i="12"/>
  <c r="O249" i="12"/>
  <c r="M249" i="12"/>
  <c r="AA28" i="46"/>
  <c r="BH204" i="5"/>
  <c r="AT18" i="7"/>
  <c r="AQ23" i="12" s="1"/>
  <c r="AU23" i="12" s="1"/>
  <c r="BC412" i="5"/>
  <c r="BE412" i="5"/>
  <c r="BF412" i="5" s="1"/>
  <c r="BC346" i="5"/>
  <c r="BE346" i="5"/>
  <c r="BF346" i="5" s="1"/>
  <c r="G41" i="12"/>
  <c r="W41" i="12" s="1"/>
  <c r="AW25" i="7"/>
  <c r="Z59" i="8"/>
  <c r="U146" i="8"/>
  <c r="Z146" i="8" s="1"/>
  <c r="G146" i="12"/>
  <c r="W146" i="12" s="1"/>
  <c r="AC58" i="10"/>
  <c r="AF58" i="10" s="1"/>
  <c r="Z155" i="8"/>
  <c r="BF92" i="5"/>
  <c r="BC192" i="5"/>
  <c r="BE192" i="5"/>
  <c r="BF192" i="5" s="1"/>
  <c r="BC177" i="5"/>
  <c r="BE177" i="5"/>
  <c r="BF177" i="5" s="1"/>
  <c r="M229" i="12"/>
  <c r="AM229" i="12"/>
  <c r="AB229" i="12"/>
  <c r="AC229" i="12" s="1"/>
  <c r="O229" i="12"/>
  <c r="P229" i="12"/>
  <c r="AH229" i="12"/>
  <c r="AI229" i="12" s="1"/>
  <c r="AE229" i="12"/>
  <c r="AF229" i="12" s="1"/>
  <c r="Z229" i="12"/>
  <c r="Z21" i="46"/>
  <c r="BH105" i="5"/>
  <c r="AU154" i="7"/>
  <c r="AY154" i="7"/>
  <c r="X349" i="8"/>
  <c r="I349" i="12"/>
  <c r="AV154" i="7"/>
  <c r="U295" i="8"/>
  <c r="AW131" i="7"/>
  <c r="G295" i="12"/>
  <c r="W295" i="12" s="1"/>
  <c r="Y129" i="12"/>
  <c r="Z129" i="12" s="1"/>
  <c r="AH129" i="12"/>
  <c r="AI129" i="12" s="1"/>
  <c r="O129" i="12"/>
  <c r="AE129" i="12"/>
  <c r="AF129" i="12" s="1"/>
  <c r="M129" i="12"/>
  <c r="AB129" i="12"/>
  <c r="AC129" i="12" s="1"/>
  <c r="AM129" i="12"/>
  <c r="P129" i="12"/>
  <c r="BC69" i="5"/>
  <c r="BE69" i="5"/>
  <c r="BF69" i="5" s="1"/>
  <c r="AH245" i="12"/>
  <c r="AI245" i="12" s="1"/>
  <c r="P245" i="12"/>
  <c r="O245" i="12"/>
  <c r="AM245" i="12"/>
  <c r="M245" i="12"/>
  <c r="AE245" i="12"/>
  <c r="AF245" i="12" s="1"/>
  <c r="Z245" i="12"/>
  <c r="AB245" i="12"/>
  <c r="AC245" i="12" s="1"/>
  <c r="AE321" i="12"/>
  <c r="AF321" i="12" s="1"/>
  <c r="AB321" i="12"/>
  <c r="AC321" i="12" s="1"/>
  <c r="AM321" i="12"/>
  <c r="Y321" i="12"/>
  <c r="Z321" i="12" s="1"/>
  <c r="M321" i="12"/>
  <c r="AH321" i="12"/>
  <c r="AI321" i="12" s="1"/>
  <c r="P321" i="12"/>
  <c r="O321" i="12"/>
  <c r="AS120" i="7"/>
  <c r="AT120" i="7" s="1"/>
  <c r="AQ269" i="12" s="1"/>
  <c r="AR120" i="7"/>
  <c r="AN25" i="46"/>
  <c r="BF161" i="5"/>
  <c r="BF386" i="5"/>
  <c r="BC65" i="5"/>
  <c r="BE65" i="5"/>
  <c r="BF65" i="5" s="1"/>
  <c r="BC191" i="5"/>
  <c r="BE191" i="5"/>
  <c r="BF191" i="5" s="1"/>
  <c r="AW74" i="7"/>
  <c r="G157" i="12"/>
  <c r="W157" i="12" s="1"/>
  <c r="U157" i="8"/>
  <c r="AW45" i="7"/>
  <c r="U89" i="8"/>
  <c r="G89" i="12"/>
  <c r="W89" i="12" s="1"/>
  <c r="BC305" i="5"/>
  <c r="BE305" i="5"/>
  <c r="BF305" i="5" s="1"/>
  <c r="N102" i="9"/>
  <c r="O102" i="9" s="1"/>
  <c r="X102" i="9" s="1"/>
  <c r="AA102" i="9" s="1"/>
  <c r="AC102" i="9" s="1"/>
  <c r="AU88" i="7"/>
  <c r="AY88" i="7"/>
  <c r="BA88" i="7" s="1"/>
  <c r="X191" i="8"/>
  <c r="Z191" i="8" s="1"/>
  <c r="I191" i="12"/>
  <c r="L191" i="12" s="1"/>
  <c r="AV88" i="7"/>
  <c r="BC123" i="5"/>
  <c r="BE123" i="5"/>
  <c r="BF123" i="5" s="1"/>
  <c r="BC297" i="5"/>
  <c r="BE297" i="5"/>
  <c r="BF297" i="5" s="1"/>
  <c r="AE195" i="12"/>
  <c r="AF195" i="12" s="1"/>
  <c r="N195" i="12"/>
  <c r="L195" i="12"/>
  <c r="P195" i="12"/>
  <c r="O195" i="12"/>
  <c r="AB195" i="12"/>
  <c r="AC195" i="12" s="1"/>
  <c r="AM195" i="12"/>
  <c r="Y195" i="12"/>
  <c r="AH195" i="12"/>
  <c r="AI195" i="12" s="1"/>
  <c r="M195" i="12"/>
  <c r="AT154" i="7"/>
  <c r="AQ349" i="12" s="1"/>
  <c r="BE319" i="5"/>
  <c r="BF319" i="5" s="1"/>
  <c r="BC319" i="5"/>
  <c r="AH250" i="12"/>
  <c r="AI250" i="12" s="1"/>
  <c r="O250" i="12"/>
  <c r="N250" i="12"/>
  <c r="AE250" i="12"/>
  <c r="AF250" i="12" s="1"/>
  <c r="AB250" i="12"/>
  <c r="AC250" i="12" s="1"/>
  <c r="Y250" i="12"/>
  <c r="P250" i="12"/>
  <c r="AM250" i="12"/>
  <c r="L250" i="12"/>
  <c r="M250" i="12"/>
  <c r="AH137" i="12"/>
  <c r="AI137" i="12" s="1"/>
  <c r="P137" i="12"/>
  <c r="O137" i="12"/>
  <c r="M137" i="12"/>
  <c r="AE137" i="12"/>
  <c r="AF137" i="12" s="1"/>
  <c r="AB137" i="12"/>
  <c r="AC137" i="12" s="1"/>
  <c r="AM137" i="12"/>
  <c r="Y137" i="12"/>
  <c r="Z137" i="12" s="1"/>
  <c r="U198" i="8"/>
  <c r="Z198" i="8" s="1"/>
  <c r="G198" i="12"/>
  <c r="W198" i="12" s="1"/>
  <c r="AW49" i="7"/>
  <c r="G97" i="12"/>
  <c r="W97" i="12" s="1"/>
  <c r="U97" i="8"/>
  <c r="AH145" i="12"/>
  <c r="AI145" i="12" s="1"/>
  <c r="P145" i="12"/>
  <c r="O145" i="12"/>
  <c r="N145" i="12"/>
  <c r="M145" i="12"/>
  <c r="AE145" i="12"/>
  <c r="AF145" i="12" s="1"/>
  <c r="L145" i="12"/>
  <c r="AB145" i="12"/>
  <c r="AC145" i="12" s="1"/>
  <c r="AM145" i="12"/>
  <c r="Y145" i="12"/>
  <c r="Z145" i="12" s="1"/>
  <c r="BC66" i="5"/>
  <c r="BE66" i="5"/>
  <c r="BF66" i="5" s="1"/>
  <c r="U61" i="8"/>
  <c r="G61" i="12"/>
  <c r="W61" i="12" s="1"/>
  <c r="AW34" i="7"/>
  <c r="BC182" i="5"/>
  <c r="BE182" i="5"/>
  <c r="BF182" i="5" s="1"/>
  <c r="AM324" i="12"/>
  <c r="Y324" i="12"/>
  <c r="P324" i="12"/>
  <c r="AH324" i="12"/>
  <c r="AI324" i="12" s="1"/>
  <c r="O324" i="12"/>
  <c r="L324" i="12"/>
  <c r="AE324" i="12"/>
  <c r="AF324" i="12" s="1"/>
  <c r="AB324" i="12"/>
  <c r="AC324" i="12" s="1"/>
  <c r="N324" i="12"/>
  <c r="M324" i="12"/>
  <c r="AA35" i="46"/>
  <c r="BH302" i="5"/>
  <c r="AG41" i="46"/>
  <c r="BC385" i="5"/>
  <c r="BE385" i="5"/>
  <c r="U148" i="8"/>
  <c r="Z148" i="8" s="1"/>
  <c r="G148" i="12"/>
  <c r="W148" i="12" s="1"/>
  <c r="AA41" i="46"/>
  <c r="AS93" i="7"/>
  <c r="AT93" i="7" s="1"/>
  <c r="AQ203" i="12" s="1"/>
  <c r="AR93" i="7"/>
  <c r="AW32" i="7"/>
  <c r="G57" i="12"/>
  <c r="W57" i="12" s="1"/>
  <c r="U57" i="8"/>
  <c r="U165" i="8"/>
  <c r="G165" i="12"/>
  <c r="W165" i="12" s="1"/>
  <c r="AW77" i="7"/>
  <c r="BC129" i="5"/>
  <c r="BE129" i="5"/>
  <c r="BF129" i="5" s="1"/>
  <c r="U67" i="8"/>
  <c r="AW36" i="7"/>
  <c r="AU82" i="7"/>
  <c r="AY82" i="7"/>
  <c r="X177" i="8"/>
  <c r="I177" i="12"/>
  <c r="AV82" i="7"/>
  <c r="AT88" i="7"/>
  <c r="AQ191" i="12" s="1"/>
  <c r="BF400" i="5"/>
  <c r="AN19" i="46"/>
  <c r="BF77" i="5"/>
  <c r="AW83" i="7"/>
  <c r="BA83" i="7" s="1"/>
  <c r="U179" i="8"/>
  <c r="Z179" i="8" s="1"/>
  <c r="G179" i="12"/>
  <c r="W179" i="12" s="1"/>
  <c r="AY25" i="7"/>
  <c r="AU25" i="7"/>
  <c r="X41" i="8"/>
  <c r="I41" i="12"/>
  <c r="AV25" i="7"/>
  <c r="AA19" i="46"/>
  <c r="BH78" i="5"/>
  <c r="AC89" i="10"/>
  <c r="AF89" i="10" s="1"/>
  <c r="U240" i="8"/>
  <c r="Z240" i="8" s="1"/>
  <c r="G240" i="12"/>
  <c r="Z35" i="8"/>
  <c r="BE261" i="5"/>
  <c r="BF261" i="5" s="1"/>
  <c r="BC261" i="5"/>
  <c r="AA27" i="46"/>
  <c r="AS157" i="7"/>
  <c r="AT157" i="7" s="1"/>
  <c r="AQ357" i="12" s="1"/>
  <c r="AR157" i="7"/>
  <c r="AW139" i="7"/>
  <c r="U313" i="8"/>
  <c r="G313" i="12"/>
  <c r="W313" i="12" s="1"/>
  <c r="AH117" i="12"/>
  <c r="AI117" i="12" s="1"/>
  <c r="P117" i="12"/>
  <c r="AE117" i="12"/>
  <c r="AF117" i="12" s="1"/>
  <c r="M117" i="12"/>
  <c r="AB117" i="12"/>
  <c r="AC117" i="12" s="1"/>
  <c r="AM117" i="12"/>
  <c r="Y117" i="12"/>
  <c r="Z117" i="12" s="1"/>
  <c r="O117" i="12"/>
  <c r="BC303" i="5"/>
  <c r="BE303" i="5"/>
  <c r="BF303" i="5" s="1"/>
  <c r="Z40" i="46"/>
  <c r="AY155" i="7"/>
  <c r="AU155" i="7"/>
  <c r="X353" i="8"/>
  <c r="I353" i="12"/>
  <c r="AV155" i="7"/>
  <c r="AH17" i="46"/>
  <c r="BC50" i="5"/>
  <c r="BE50" i="5"/>
  <c r="AG40" i="46"/>
  <c r="BE164" i="5"/>
  <c r="BF164" i="5" s="1"/>
  <c r="BC164" i="5"/>
  <c r="Z42" i="8"/>
  <c r="G42" i="12"/>
  <c r="W42" i="12" s="1"/>
  <c r="BC411" i="5"/>
  <c r="BE411" i="5"/>
  <c r="BF411" i="5" s="1"/>
  <c r="AR20" i="7"/>
  <c r="AS20" i="7"/>
  <c r="AC84" i="10"/>
  <c r="AF84" i="10" s="1"/>
  <c r="U226" i="8"/>
  <c r="Z226" i="8" s="1"/>
  <c r="G226" i="12"/>
  <c r="Z35" i="46"/>
  <c r="BC388" i="5"/>
  <c r="BE388" i="5"/>
  <c r="AW59" i="7"/>
  <c r="U121" i="8"/>
  <c r="G121" i="12"/>
  <c r="W121" i="12" s="1"/>
  <c r="G202" i="12"/>
  <c r="W202" i="12" s="1"/>
  <c r="U202" i="8"/>
  <c r="Z202" i="8" s="1"/>
  <c r="AC76" i="10"/>
  <c r="AF76" i="10" s="1"/>
  <c r="O254" i="12"/>
  <c r="AE254" i="12"/>
  <c r="AF254" i="12" s="1"/>
  <c r="M254" i="12"/>
  <c r="L254" i="12"/>
  <c r="AB254" i="12"/>
  <c r="AC254" i="12" s="1"/>
  <c r="P254" i="12"/>
  <c r="AH254" i="12"/>
  <c r="AI254" i="12" s="1"/>
  <c r="Y254" i="12"/>
  <c r="N254" i="12"/>
  <c r="AM254" i="12"/>
  <c r="G139" i="12"/>
  <c r="W139" i="12" s="1"/>
  <c r="U139" i="8"/>
  <c r="AW66" i="7"/>
  <c r="AA18" i="46"/>
  <c r="BH64" i="5"/>
  <c r="AE222" i="12"/>
  <c r="AF222" i="12" s="1"/>
  <c r="N222" i="12"/>
  <c r="M222" i="12"/>
  <c r="AH222" i="12"/>
  <c r="AI222" i="12" s="1"/>
  <c r="P222" i="12"/>
  <c r="AB222" i="12"/>
  <c r="AC222" i="12" s="1"/>
  <c r="Y222" i="12"/>
  <c r="AM222" i="12"/>
  <c r="O222" i="12"/>
  <c r="L222" i="12"/>
  <c r="BF399" i="5"/>
  <c r="BE51" i="5"/>
  <c r="BF51" i="5" s="1"/>
  <c r="BC51" i="5"/>
  <c r="U113" i="8"/>
  <c r="AW55" i="7"/>
  <c r="G113" i="12"/>
  <c r="W113" i="12" s="1"/>
  <c r="AH147" i="12"/>
  <c r="AI147" i="12" s="1"/>
  <c r="P147" i="12"/>
  <c r="AM147" i="12"/>
  <c r="AB147" i="12"/>
  <c r="AC147" i="12" s="1"/>
  <c r="L147" i="12"/>
  <c r="O147" i="12"/>
  <c r="N147" i="12"/>
  <c r="M147" i="12"/>
  <c r="Y147" i="12"/>
  <c r="AE147" i="12"/>
  <c r="AF147" i="12" s="1"/>
  <c r="AW154" i="7"/>
  <c r="U349" i="8"/>
  <c r="G349" i="12"/>
  <c r="W349" i="12" s="1"/>
  <c r="U171" i="8"/>
  <c r="Z171" i="8" s="1"/>
  <c r="G171" i="12"/>
  <c r="W171" i="12" s="1"/>
  <c r="Z42" i="46"/>
  <c r="BE194" i="5"/>
  <c r="BF194" i="5" s="1"/>
  <c r="BC194" i="5"/>
  <c r="AE253" i="12"/>
  <c r="AF253" i="12" s="1"/>
  <c r="N253" i="12"/>
  <c r="P253" i="12"/>
  <c r="AH253" i="12"/>
  <c r="AI253" i="12" s="1"/>
  <c r="O253" i="12"/>
  <c r="M253" i="12"/>
  <c r="Y253" i="12"/>
  <c r="AM253" i="12"/>
  <c r="AB253" i="12"/>
  <c r="AC253" i="12" s="1"/>
  <c r="L253" i="12"/>
  <c r="U102" i="8"/>
  <c r="Z102" i="8" s="1"/>
  <c r="G102" i="12"/>
  <c r="W102" i="12" s="1"/>
  <c r="O136" i="12"/>
  <c r="Y136" i="12"/>
  <c r="AM136" i="12"/>
  <c r="P136" i="12"/>
  <c r="N136" i="12"/>
  <c r="AH136" i="12"/>
  <c r="AI136" i="12" s="1"/>
  <c r="M136" i="12"/>
  <c r="L136" i="12"/>
  <c r="AE136" i="12"/>
  <c r="AF136" i="12" s="1"/>
  <c r="AB136" i="12"/>
  <c r="AC136" i="12" s="1"/>
  <c r="AG21" i="46"/>
  <c r="BC105" i="5"/>
  <c r="BE105" i="5"/>
  <c r="BC132" i="5"/>
  <c r="BE132" i="5"/>
  <c r="BF132" i="5" s="1"/>
  <c r="BC42" i="5"/>
  <c r="BE42" i="5"/>
  <c r="BF42" i="5" s="1"/>
  <c r="AS98" i="7"/>
  <c r="AT98" i="7" s="1"/>
  <c r="AQ215" i="12" s="1"/>
  <c r="AR98" i="7"/>
  <c r="AY132" i="7"/>
  <c r="AU132" i="7"/>
  <c r="X297" i="8"/>
  <c r="I297" i="12"/>
  <c r="AV132" i="7"/>
  <c r="L326" i="12"/>
  <c r="AB326" i="12"/>
  <c r="AC326" i="12" s="1"/>
  <c r="AM326" i="12"/>
  <c r="Y326" i="12"/>
  <c r="N326" i="12"/>
  <c r="AE326" i="12"/>
  <c r="AF326" i="12" s="1"/>
  <c r="P326" i="12"/>
  <c r="O326" i="12"/>
  <c r="M326" i="12"/>
  <c r="AH326" i="12"/>
  <c r="AI326" i="12" s="1"/>
  <c r="Z4" i="10"/>
  <c r="O39" i="12"/>
  <c r="AM39" i="12"/>
  <c r="AB39" i="12"/>
  <c r="AC39" i="12" s="1"/>
  <c r="Y39" i="12"/>
  <c r="P39" i="12"/>
  <c r="N39" i="12"/>
  <c r="AE39" i="12"/>
  <c r="AF39" i="12" s="1"/>
  <c r="L39" i="12"/>
  <c r="AH39" i="12"/>
  <c r="AI39" i="12" s="1"/>
  <c r="M39" i="12"/>
  <c r="AR77" i="7"/>
  <c r="AS77" i="7"/>
  <c r="AT77" i="7" s="1"/>
  <c r="AQ165" i="12" s="1"/>
  <c r="AS22" i="7"/>
  <c r="AT22" i="7" s="1"/>
  <c r="AQ33" i="12" s="1"/>
  <c r="AR22" i="7"/>
  <c r="AS30" i="7"/>
  <c r="AR30" i="7"/>
  <c r="G82" i="12"/>
  <c r="W82" i="12" s="1"/>
  <c r="AC36" i="10"/>
  <c r="AF36" i="10" s="1"/>
  <c r="U82" i="8"/>
  <c r="Z82" i="8" s="1"/>
  <c r="G352" i="12"/>
  <c r="W352" i="12" s="1"/>
  <c r="U352" i="8"/>
  <c r="Z352" i="8" s="1"/>
  <c r="U311" i="8"/>
  <c r="AW138" i="7"/>
  <c r="G311" i="12"/>
  <c r="W311" i="12" s="1"/>
  <c r="BF315" i="5"/>
  <c r="BC341" i="5"/>
  <c r="BE341" i="5"/>
  <c r="BF341" i="5" s="1"/>
  <c r="Z20" i="46"/>
  <c r="BH91" i="5"/>
  <c r="G94" i="12"/>
  <c r="W94" i="12" s="1"/>
  <c r="U94" i="8"/>
  <c r="Z94" i="8" s="1"/>
  <c r="AC40" i="10"/>
  <c r="AF40" i="10" s="1"/>
  <c r="AR55" i="7"/>
  <c r="AS55" i="7"/>
  <c r="AT55" i="7" s="1"/>
  <c r="AQ113" i="12" s="1"/>
  <c r="BH104" i="5"/>
  <c r="BC396" i="5"/>
  <c r="BE396" i="5"/>
  <c r="BF396" i="5" s="1"/>
  <c r="BC395" i="5"/>
  <c r="BE395" i="5"/>
  <c r="BF395" i="5" s="1"/>
  <c r="Z29" i="46"/>
  <c r="BH217" i="5"/>
  <c r="L328" i="12"/>
  <c r="AB328" i="12"/>
  <c r="AC328" i="12" s="1"/>
  <c r="AM328" i="12"/>
  <c r="Y328" i="12"/>
  <c r="AH328" i="12"/>
  <c r="AI328" i="12" s="1"/>
  <c r="O328" i="12"/>
  <c r="P328" i="12"/>
  <c r="N328" i="12"/>
  <c r="M328" i="12"/>
  <c r="AE328" i="12"/>
  <c r="AF328" i="12" s="1"/>
  <c r="BF134" i="5"/>
  <c r="U262" i="8"/>
  <c r="Z262" i="8" s="1"/>
  <c r="AC96" i="10"/>
  <c r="AF96" i="10" s="1"/>
  <c r="G262" i="12"/>
  <c r="W262" i="12" s="1"/>
  <c r="BF102" i="5"/>
  <c r="U106" i="8"/>
  <c r="Z106" i="8" s="1"/>
  <c r="AC44" i="10"/>
  <c r="AF44" i="10" s="1"/>
  <c r="G106" i="12"/>
  <c r="W106" i="12" s="1"/>
  <c r="U306" i="8"/>
  <c r="Z306" i="8" s="1"/>
  <c r="G306" i="12"/>
  <c r="W306" i="12" s="1"/>
  <c r="BC37" i="5"/>
  <c r="BE37" i="5"/>
  <c r="BF37" i="5" s="1"/>
  <c r="P242" i="12"/>
  <c r="AE29" i="12"/>
  <c r="AF29" i="12" s="1"/>
  <c r="AB29" i="12"/>
  <c r="AC29" i="12" s="1"/>
  <c r="AM29" i="12"/>
  <c r="Y29" i="12"/>
  <c r="Z29" i="12" s="1"/>
  <c r="AH29" i="12"/>
  <c r="AI29" i="12" s="1"/>
  <c r="O29" i="12"/>
  <c r="M29" i="12"/>
  <c r="P29" i="12"/>
  <c r="AH48" i="12"/>
  <c r="AI48" i="12" s="1"/>
  <c r="P48" i="12"/>
  <c r="L48" i="12"/>
  <c r="N48" i="12"/>
  <c r="M48" i="12"/>
  <c r="AE48" i="12"/>
  <c r="AF48" i="12" s="1"/>
  <c r="AB48" i="12"/>
  <c r="AC48" i="12" s="1"/>
  <c r="AM48" i="12"/>
  <c r="Y48" i="12"/>
  <c r="O48" i="12"/>
  <c r="AU54" i="7"/>
  <c r="AY54" i="7"/>
  <c r="X109" i="8"/>
  <c r="I109" i="12"/>
  <c r="AV54" i="7"/>
  <c r="U220" i="8"/>
  <c r="Z220" i="8" s="1"/>
  <c r="G220" i="12"/>
  <c r="W220" i="12" s="1"/>
  <c r="AH42" i="46"/>
  <c r="AS80" i="7"/>
  <c r="AR80" i="7"/>
  <c r="AT111" i="7"/>
  <c r="AQ247" i="12" s="1"/>
  <c r="BC82" i="5"/>
  <c r="BE82" i="5"/>
  <c r="BF82" i="5" s="1"/>
  <c r="BC166" i="5"/>
  <c r="BE166" i="5"/>
  <c r="BF166" i="5" s="1"/>
  <c r="AH299" i="12"/>
  <c r="AI299" i="12" s="1"/>
  <c r="P299" i="12"/>
  <c r="AB299" i="12"/>
  <c r="AC299" i="12" s="1"/>
  <c r="L299" i="12"/>
  <c r="M299" i="12"/>
  <c r="AE299" i="12"/>
  <c r="AF299" i="12" s="1"/>
  <c r="Y299" i="12"/>
  <c r="Z299" i="12" s="1"/>
  <c r="O299" i="12"/>
  <c r="N299" i="12"/>
  <c r="AM299" i="12"/>
  <c r="AS149" i="7"/>
  <c r="AR149" i="7"/>
  <c r="AS104" i="7"/>
  <c r="AT104" i="7" s="1"/>
  <c r="AQ229" i="12" s="1"/>
  <c r="AR104" i="7"/>
  <c r="AW156" i="7"/>
  <c r="G355" i="12"/>
  <c r="W355" i="12" s="1"/>
  <c r="U355" i="8"/>
  <c r="BC137" i="5"/>
  <c r="BE137" i="5"/>
  <c r="BF137" i="5" s="1"/>
  <c r="AM251" i="12"/>
  <c r="AB251" i="12"/>
  <c r="AC251" i="12" s="1"/>
  <c r="AE251" i="12"/>
  <c r="AF251" i="12" s="1"/>
  <c r="M251" i="12"/>
  <c r="AH251" i="12"/>
  <c r="AI251" i="12" s="1"/>
  <c r="O251" i="12"/>
  <c r="Y251" i="12"/>
  <c r="Z251" i="12" s="1"/>
  <c r="P251" i="12"/>
  <c r="AT129" i="7"/>
  <c r="AQ289" i="12" s="1"/>
  <c r="AA30" i="46"/>
  <c r="BH232" i="5"/>
  <c r="Z277" i="8"/>
  <c r="G32" i="12"/>
  <c r="W32" i="12" s="1"/>
  <c r="AC19" i="10"/>
  <c r="AF19" i="10" s="1"/>
  <c r="Z32" i="8"/>
  <c r="BA89" i="7"/>
  <c r="AE34" i="12"/>
  <c r="AF34" i="12" s="1"/>
  <c r="M34" i="12"/>
  <c r="L34" i="12"/>
  <c r="AB34" i="12"/>
  <c r="AC34" i="12" s="1"/>
  <c r="AM34" i="12"/>
  <c r="Y34" i="12"/>
  <c r="AH34" i="12"/>
  <c r="AI34" i="12" s="1"/>
  <c r="O34" i="12"/>
  <c r="P34" i="12"/>
  <c r="N34" i="12"/>
  <c r="BC107" i="5"/>
  <c r="BE107" i="5"/>
  <c r="AM138" i="12"/>
  <c r="AB138" i="12"/>
  <c r="AC138" i="12" s="1"/>
  <c r="L138" i="12"/>
  <c r="O138" i="12"/>
  <c r="AH138" i="12"/>
  <c r="AI138" i="12" s="1"/>
  <c r="N138" i="12"/>
  <c r="M138" i="12"/>
  <c r="AE138" i="12"/>
  <c r="AF138" i="12" s="1"/>
  <c r="P138" i="12"/>
  <c r="Y138" i="12"/>
  <c r="AM337" i="12"/>
  <c r="AB337" i="12"/>
  <c r="AC337" i="12" s="1"/>
  <c r="Y337" i="12"/>
  <c r="Z337" i="12" s="1"/>
  <c r="P337" i="12"/>
  <c r="AE337" i="12"/>
  <c r="AF337" i="12" s="1"/>
  <c r="M337" i="12"/>
  <c r="AH337" i="12"/>
  <c r="AI337" i="12" s="1"/>
  <c r="O337" i="12"/>
  <c r="O357" i="12"/>
  <c r="AE357" i="12"/>
  <c r="AF357" i="12" s="1"/>
  <c r="AM357" i="12"/>
  <c r="Y357" i="12"/>
  <c r="Z357" i="12" s="1"/>
  <c r="P357" i="12"/>
  <c r="M357" i="12"/>
  <c r="AH357" i="12"/>
  <c r="AI357" i="12" s="1"/>
  <c r="AB357" i="12"/>
  <c r="AC357" i="12" s="1"/>
  <c r="U261" i="8"/>
  <c r="AW117" i="7"/>
  <c r="G261" i="12"/>
  <c r="W261" i="12" s="1"/>
  <c r="N130" i="9"/>
  <c r="O130" i="9" s="1"/>
  <c r="X130" i="9" s="1"/>
  <c r="AA130" i="9" s="1"/>
  <c r="AC130" i="9" s="1"/>
  <c r="U149" i="8"/>
  <c r="G149" i="12"/>
  <c r="W149" i="12" s="1"/>
  <c r="AW70" i="7"/>
  <c r="BF36" i="5"/>
  <c r="BF246" i="5"/>
  <c r="M264" i="12"/>
  <c r="AM264" i="12"/>
  <c r="Y264" i="12"/>
  <c r="P264" i="12"/>
  <c r="O264" i="12"/>
  <c r="AH264" i="12"/>
  <c r="AI264" i="12" s="1"/>
  <c r="N264" i="12"/>
  <c r="AE264" i="12"/>
  <c r="AF264" i="12" s="1"/>
  <c r="AB264" i="12"/>
  <c r="AC264" i="12" s="1"/>
  <c r="L264" i="12"/>
  <c r="U354" i="8"/>
  <c r="Z354" i="8" s="1"/>
  <c r="G354" i="12"/>
  <c r="W354" i="12" s="1"/>
  <c r="BE90" i="5"/>
  <c r="BF90" i="5" s="1"/>
  <c r="BC90" i="5"/>
  <c r="BC93" i="5"/>
  <c r="BE93" i="5"/>
  <c r="BF93" i="5" s="1"/>
  <c r="U174" i="8"/>
  <c r="Z174" i="8" s="1"/>
  <c r="G174" i="12"/>
  <c r="W174" i="12" s="1"/>
  <c r="AC108" i="10"/>
  <c r="AF108" i="10" s="1"/>
  <c r="U298" i="8"/>
  <c r="Z298" i="8" s="1"/>
  <c r="G298" i="12"/>
  <c r="W298" i="12" s="1"/>
  <c r="N59" i="12"/>
  <c r="AE59" i="12"/>
  <c r="AF59" i="12" s="1"/>
  <c r="M59" i="12"/>
  <c r="L59" i="12"/>
  <c r="AB59" i="12"/>
  <c r="AC59" i="12" s="1"/>
  <c r="AH59" i="12"/>
  <c r="AI59" i="12" s="1"/>
  <c r="Y59" i="12"/>
  <c r="Z59" i="12" s="1"/>
  <c r="P59" i="12"/>
  <c r="AM59" i="12"/>
  <c r="O59" i="12"/>
  <c r="BC375" i="5"/>
  <c r="BE375" i="5"/>
  <c r="BF375" i="5" s="1"/>
  <c r="AC87" i="10"/>
  <c r="AF87" i="10" s="1"/>
  <c r="U236" i="8"/>
  <c r="Z236" i="8" s="1"/>
  <c r="G236" i="12"/>
  <c r="U166" i="8"/>
  <c r="Z166" i="8" s="1"/>
  <c r="AC64" i="10"/>
  <c r="AF64" i="10" s="1"/>
  <c r="G166" i="12"/>
  <c r="W166" i="12" s="1"/>
  <c r="U54" i="8"/>
  <c r="Z54" i="8" s="1"/>
  <c r="G54" i="12"/>
  <c r="W54" i="12" s="1"/>
  <c r="BE70" i="5"/>
  <c r="BF70" i="5" s="1"/>
  <c r="BC70" i="5"/>
  <c r="AW22" i="7"/>
  <c r="G33" i="12"/>
  <c r="W33" i="12" s="1"/>
  <c r="AR50" i="7"/>
  <c r="AS50" i="7"/>
  <c r="AT50" i="7" s="1"/>
  <c r="AQ101" i="12" s="1"/>
  <c r="Y327" i="12"/>
  <c r="P327" i="12"/>
  <c r="AH327" i="12"/>
  <c r="AI327" i="12" s="1"/>
  <c r="O327" i="12"/>
  <c r="N327" i="12"/>
  <c r="AB327" i="12"/>
  <c r="AC327" i="12" s="1"/>
  <c r="M327" i="12"/>
  <c r="L327" i="12"/>
  <c r="AM327" i="12"/>
  <c r="AE327" i="12"/>
  <c r="AF327" i="12" s="1"/>
  <c r="AM191" i="12"/>
  <c r="AB191" i="12"/>
  <c r="AC191" i="12" s="1"/>
  <c r="AH191" i="12"/>
  <c r="AI191" i="12" s="1"/>
  <c r="P191" i="12"/>
  <c r="O191" i="12"/>
  <c r="M191" i="12"/>
  <c r="Y191" i="12"/>
  <c r="Z191" i="12" s="1"/>
  <c r="AE191" i="12"/>
  <c r="AF191" i="12" s="1"/>
  <c r="BC256" i="5"/>
  <c r="BE256" i="5"/>
  <c r="BF256" i="5" s="1"/>
  <c r="AM209" i="12"/>
  <c r="AB209" i="12"/>
  <c r="AC209" i="12" s="1"/>
  <c r="Y209" i="12"/>
  <c r="Z209" i="12" s="1"/>
  <c r="AE209" i="12"/>
  <c r="AF209" i="12" s="1"/>
  <c r="P209" i="12"/>
  <c r="O209" i="12"/>
  <c r="M209" i="12"/>
  <c r="AH209" i="12"/>
  <c r="AI209" i="12" s="1"/>
  <c r="BF119" i="5"/>
  <c r="U72" i="8"/>
  <c r="Z72" i="8" s="1"/>
  <c r="AC33" i="10"/>
  <c r="AF33" i="10" s="1"/>
  <c r="G72" i="12"/>
  <c r="W72" i="12" s="1"/>
  <c r="U144" i="8"/>
  <c r="Z144" i="8" s="1"/>
  <c r="AC57" i="10"/>
  <c r="AF57" i="10" s="1"/>
  <c r="G144" i="12"/>
  <c r="W144" i="12" s="1"/>
  <c r="BE397" i="5"/>
  <c r="BF397" i="5" s="1"/>
  <c r="BC397" i="5"/>
  <c r="BE186" i="5"/>
  <c r="BF186" i="5" s="1"/>
  <c r="BC186" i="5"/>
  <c r="BA133" i="7"/>
  <c r="BF245" i="5"/>
  <c r="BC272" i="5"/>
  <c r="BE272" i="5"/>
  <c r="BF272" i="5" s="1"/>
  <c r="AU150" i="7"/>
  <c r="AY150" i="7"/>
  <c r="X341" i="8"/>
  <c r="I341" i="12"/>
  <c r="AV150" i="7"/>
  <c r="N129" i="9"/>
  <c r="O129" i="9" s="1"/>
  <c r="X129" i="9" s="1"/>
  <c r="AA129" i="9" s="1"/>
  <c r="AC129" i="9" s="1"/>
  <c r="AU59" i="7"/>
  <c r="AY59" i="7"/>
  <c r="X121" i="8"/>
  <c r="I121" i="12"/>
  <c r="AV59" i="7"/>
  <c r="AU26" i="7"/>
  <c r="AY26" i="7"/>
  <c r="X43" i="8"/>
  <c r="I43" i="12"/>
  <c r="AV26" i="7"/>
  <c r="M184" i="12"/>
  <c r="P184" i="12"/>
  <c r="O184" i="12"/>
  <c r="AH184" i="12"/>
  <c r="AI184" i="12" s="1"/>
  <c r="N184" i="12"/>
  <c r="AE184" i="12"/>
  <c r="AF184" i="12" s="1"/>
  <c r="AM184" i="12"/>
  <c r="AB184" i="12"/>
  <c r="AC184" i="12" s="1"/>
  <c r="Y184" i="12"/>
  <c r="L184" i="12"/>
  <c r="N22" i="9"/>
  <c r="O22" i="9" s="1"/>
  <c r="X22" i="9" s="1"/>
  <c r="AA22" i="9" s="1"/>
  <c r="AC22" i="9" s="1"/>
  <c r="BH107" i="5"/>
  <c r="BE308" i="5"/>
  <c r="BF308" i="5" s="1"/>
  <c r="BC308" i="5"/>
  <c r="AA43" i="46"/>
  <c r="AC37" i="10"/>
  <c r="AF37" i="10" s="1"/>
  <c r="U84" i="8"/>
  <c r="Z84" i="8" s="1"/>
  <c r="G84" i="12"/>
  <c r="W84" i="12" s="1"/>
  <c r="BC196" i="5"/>
  <c r="BE196" i="5"/>
  <c r="BF196" i="5" s="1"/>
  <c r="AY60" i="7"/>
  <c r="AU60" i="7"/>
  <c r="X125" i="8"/>
  <c r="I125" i="12"/>
  <c r="AV60" i="7"/>
  <c r="AU81" i="7"/>
  <c r="AY81" i="7"/>
  <c r="X175" i="8"/>
  <c r="I175" i="12"/>
  <c r="AV81" i="7"/>
  <c r="Y335" i="12"/>
  <c r="Z335" i="12" s="1"/>
  <c r="AH335" i="12"/>
  <c r="AI335" i="12" s="1"/>
  <c r="O335" i="12"/>
  <c r="AE335" i="12"/>
  <c r="AF335" i="12" s="1"/>
  <c r="M335" i="12"/>
  <c r="AM335" i="12"/>
  <c r="AB335" i="12"/>
  <c r="AC335" i="12" s="1"/>
  <c r="P335" i="12"/>
  <c r="U78" i="8"/>
  <c r="Z78" i="8" s="1"/>
  <c r="G78" i="12"/>
  <c r="W78" i="12" s="1"/>
  <c r="AW42" i="7"/>
  <c r="U81" i="8"/>
  <c r="G81" i="12"/>
  <c r="W81" i="12" s="1"/>
  <c r="BC202" i="5"/>
  <c r="BE202" i="5"/>
  <c r="BF202" i="5" s="1"/>
  <c r="AM100" i="12"/>
  <c r="Y100" i="12"/>
  <c r="N100" i="12"/>
  <c r="P100" i="12"/>
  <c r="O100" i="12"/>
  <c r="M100" i="12"/>
  <c r="L100" i="12"/>
  <c r="AH100" i="12"/>
  <c r="AI100" i="12" s="1"/>
  <c r="AE100" i="12"/>
  <c r="AF100" i="12" s="1"/>
  <c r="AB100" i="12"/>
  <c r="AC100" i="12" s="1"/>
  <c r="U323" i="8"/>
  <c r="AW143" i="7"/>
  <c r="G323" i="12"/>
  <c r="W323" i="12" s="1"/>
  <c r="AH20" i="46"/>
  <c r="N90" i="9"/>
  <c r="O90" i="9" s="1"/>
  <c r="X90" i="9" s="1"/>
  <c r="AA90" i="9" s="1"/>
  <c r="AC90" i="9" s="1"/>
  <c r="BC62" i="5"/>
  <c r="BE62" i="5"/>
  <c r="BF62" i="5" s="1"/>
  <c r="AY156" i="7"/>
  <c r="AU156" i="7"/>
  <c r="X355" i="8"/>
  <c r="I355" i="12"/>
  <c r="AV156" i="7"/>
  <c r="Z37" i="46"/>
  <c r="BH329" i="5"/>
  <c r="AC47" i="10"/>
  <c r="AF47" i="10" s="1"/>
  <c r="U116" i="8"/>
  <c r="Z116" i="8" s="1"/>
  <c r="G116" i="12"/>
  <c r="W116" i="12" s="1"/>
  <c r="C40" i="20"/>
  <c r="BF148" i="5"/>
  <c r="Z17" i="46"/>
  <c r="AY52" i="7"/>
  <c r="AU52" i="7"/>
  <c r="X105" i="8"/>
  <c r="I105" i="12"/>
  <c r="AV52" i="7"/>
  <c r="G62" i="12"/>
  <c r="W62" i="12" s="1"/>
  <c r="U62" i="8"/>
  <c r="Z62" i="8" s="1"/>
  <c r="AC30" i="10"/>
  <c r="AF30" i="10" s="1"/>
  <c r="BC333" i="5"/>
  <c r="BE333" i="5"/>
  <c r="BF333" i="5" s="1"/>
  <c r="G197" i="12"/>
  <c r="W197" i="12" s="1"/>
  <c r="AW90" i="7"/>
  <c r="U197" i="8"/>
  <c r="AG30" i="46"/>
  <c r="BC231" i="5"/>
  <c r="BE231" i="5"/>
  <c r="AM228" i="12"/>
  <c r="AB228" i="12"/>
  <c r="AC228" i="12" s="1"/>
  <c r="L228" i="12"/>
  <c r="AE228" i="12"/>
  <c r="AF228" i="12" s="1"/>
  <c r="N228" i="12"/>
  <c r="P228" i="12"/>
  <c r="O228" i="12"/>
  <c r="M228" i="12"/>
  <c r="AH228" i="12"/>
  <c r="AI228" i="12" s="1"/>
  <c r="G305" i="12"/>
  <c r="W305" i="12" s="1"/>
  <c r="AW135" i="7"/>
  <c r="U305" i="8"/>
  <c r="AG33" i="46"/>
  <c r="BC273" i="5"/>
  <c r="BE273" i="5"/>
  <c r="AW21" i="7"/>
  <c r="BA21" i="7" s="1"/>
  <c r="G31" i="12"/>
  <c r="W31" i="12" s="1"/>
  <c r="U31" i="8"/>
  <c r="Z31" i="8" s="1"/>
  <c r="AW150" i="7"/>
  <c r="U341" i="8"/>
  <c r="G341" i="12"/>
  <c r="W341" i="12" s="1"/>
  <c r="G160" i="12"/>
  <c r="W160" i="12" s="1"/>
  <c r="U160" i="8"/>
  <c r="Z160" i="8" s="1"/>
  <c r="AL4" i="13"/>
  <c r="AJ4" i="13" s="1"/>
  <c r="Z299" i="8"/>
  <c r="U234" i="8"/>
  <c r="Z234" i="8" s="1"/>
  <c r="G234" i="12"/>
  <c r="AT150" i="7"/>
  <c r="AQ341" i="12" s="1"/>
  <c r="BC121" i="5"/>
  <c r="BE121" i="5"/>
  <c r="BF121" i="5" s="1"/>
  <c r="AT59" i="7"/>
  <c r="AQ121" i="12" s="1"/>
  <c r="U119" i="8"/>
  <c r="AW58" i="7"/>
  <c r="G119" i="12"/>
  <c r="W119" i="12" s="1"/>
  <c r="AT26" i="7"/>
  <c r="AQ43" i="12" s="1"/>
  <c r="AS147" i="7"/>
  <c r="AR147" i="7"/>
  <c r="AA16" i="46"/>
  <c r="AB110" i="12"/>
  <c r="AC110" i="12" s="1"/>
  <c r="AM110" i="12"/>
  <c r="Y110" i="12"/>
  <c r="AH110" i="12"/>
  <c r="AI110" i="12" s="1"/>
  <c r="O110" i="12"/>
  <c r="N110" i="12"/>
  <c r="M110" i="12"/>
  <c r="L110" i="12"/>
  <c r="AE110" i="12"/>
  <c r="AF110" i="12" s="1"/>
  <c r="P110" i="12"/>
  <c r="U212" i="8"/>
  <c r="Z212" i="8" s="1"/>
  <c r="AC79" i="10"/>
  <c r="AF79" i="10" s="1"/>
  <c r="G212" i="12"/>
  <c r="W212" i="12" s="1"/>
  <c r="M69" i="12"/>
  <c r="AH69" i="12"/>
  <c r="AI69" i="12" s="1"/>
  <c r="O69" i="12"/>
  <c r="N69" i="12"/>
  <c r="AE69" i="12"/>
  <c r="AF69" i="12" s="1"/>
  <c r="L69" i="12"/>
  <c r="AB69" i="12"/>
  <c r="AC69" i="12" s="1"/>
  <c r="AM69" i="12"/>
  <c r="Y69" i="12"/>
  <c r="P69" i="12"/>
  <c r="AC98" i="10"/>
  <c r="AF98" i="10" s="1"/>
  <c r="U266" i="8"/>
  <c r="Z266" i="8" s="1"/>
  <c r="G266" i="12"/>
  <c r="W266" i="12" s="1"/>
  <c r="BC138" i="5"/>
  <c r="BE138" i="5"/>
  <c r="BF138" i="5" s="1"/>
  <c r="AH25" i="46"/>
  <c r="BC162" i="5"/>
  <c r="BE162" i="5"/>
  <c r="AH16" i="46"/>
  <c r="AY151" i="7"/>
  <c r="X343" i="8"/>
  <c r="I343" i="12"/>
  <c r="AV151" i="7"/>
  <c r="BE224" i="5"/>
  <c r="BF224" i="5" s="1"/>
  <c r="BC224" i="5"/>
  <c r="AH31" i="46"/>
  <c r="BC96" i="5"/>
  <c r="BE96" i="5"/>
  <c r="BF96" i="5" s="1"/>
  <c r="U170" i="8"/>
  <c r="Z170" i="8" s="1"/>
  <c r="AC66" i="10"/>
  <c r="AF66" i="10" s="1"/>
  <c r="G170" i="12"/>
  <c r="W170" i="12" s="1"/>
  <c r="Y74" i="12"/>
  <c r="P74" i="12"/>
  <c r="AH74" i="12"/>
  <c r="AI74" i="12" s="1"/>
  <c r="O74" i="12"/>
  <c r="N74" i="12"/>
  <c r="AE74" i="12"/>
  <c r="AF74" i="12" s="1"/>
  <c r="M74" i="12"/>
  <c r="L74" i="12"/>
  <c r="AB74" i="12"/>
  <c r="AC74" i="12" s="1"/>
  <c r="AM74" i="12"/>
  <c r="AA39" i="46"/>
  <c r="BH358" i="5"/>
  <c r="AL4" i="7"/>
  <c r="BC313" i="5"/>
  <c r="BE313" i="5"/>
  <c r="BF313" i="5" s="1"/>
  <c r="BC60" i="5"/>
  <c r="BE60" i="5"/>
  <c r="BF60" i="5" s="1"/>
  <c r="BC238" i="5"/>
  <c r="BE238" i="5"/>
  <c r="BF238" i="5" s="1"/>
  <c r="AA33" i="46"/>
  <c r="M302" i="12"/>
  <c r="AH302" i="12"/>
  <c r="AI302" i="12" s="1"/>
  <c r="O302" i="12"/>
  <c r="AM302" i="12"/>
  <c r="AB302" i="12"/>
  <c r="AC302" i="12" s="1"/>
  <c r="Y302" i="12"/>
  <c r="P302" i="12"/>
  <c r="N302" i="12"/>
  <c r="AE302" i="12"/>
  <c r="AF302" i="12" s="1"/>
  <c r="L302" i="12"/>
  <c r="AG37" i="46"/>
  <c r="BC329" i="5"/>
  <c r="BE329" i="5"/>
  <c r="BF414" i="5"/>
  <c r="U142" i="8"/>
  <c r="Z142" i="8" s="1"/>
  <c r="G142" i="12"/>
  <c r="W142" i="12" s="1"/>
  <c r="AC56" i="10"/>
  <c r="AF56" i="10" s="1"/>
  <c r="Y285" i="12"/>
  <c r="Z285" i="12" s="1"/>
  <c r="AE285" i="12"/>
  <c r="AF285" i="12" s="1"/>
  <c r="AM285" i="12"/>
  <c r="P285" i="12"/>
  <c r="O285" i="12"/>
  <c r="AH285" i="12"/>
  <c r="AI285" i="12" s="1"/>
  <c r="M285" i="12"/>
  <c r="AB285" i="12"/>
  <c r="AC285" i="12" s="1"/>
  <c r="BF274" i="5"/>
  <c r="AS145" i="7"/>
  <c r="AR145" i="7"/>
  <c r="BC130" i="5"/>
  <c r="BE130" i="5"/>
  <c r="BF130" i="5" s="1"/>
  <c r="BC74" i="5"/>
  <c r="BE74" i="5"/>
  <c r="BF74" i="5" s="1"/>
  <c r="BC209" i="5"/>
  <c r="BE209" i="5"/>
  <c r="BF209" i="5" s="1"/>
  <c r="AH244" i="12"/>
  <c r="AI244" i="12" s="1"/>
  <c r="P244" i="12"/>
  <c r="O244" i="12"/>
  <c r="M244" i="12"/>
  <c r="L244" i="12"/>
  <c r="AE244" i="12"/>
  <c r="AF244" i="12" s="1"/>
  <c r="AB244" i="12"/>
  <c r="AC244" i="12" s="1"/>
  <c r="AM244" i="12"/>
  <c r="N244" i="12"/>
  <c r="AH21" i="46"/>
  <c r="BC106" i="5"/>
  <c r="BE106" i="5"/>
  <c r="AW130" i="7"/>
  <c r="G293" i="12"/>
  <c r="W293" i="12" s="1"/>
  <c r="U293" i="8"/>
  <c r="AY36" i="7"/>
  <c r="X67" i="8"/>
  <c r="I67" i="12"/>
  <c r="AV36" i="7"/>
  <c r="AU121" i="7"/>
  <c r="AY121" i="7"/>
  <c r="X271" i="8"/>
  <c r="I271" i="12"/>
  <c r="AV121" i="7"/>
  <c r="Z227" i="12"/>
  <c r="M227" i="12"/>
  <c r="AE227" i="12"/>
  <c r="AF227" i="12" s="1"/>
  <c r="AB227" i="12"/>
  <c r="AC227" i="12" s="1"/>
  <c r="P227" i="12"/>
  <c r="AM227" i="12"/>
  <c r="O227" i="12"/>
  <c r="AH227" i="12"/>
  <c r="AI227" i="12" s="1"/>
  <c r="AY84" i="7"/>
  <c r="AU84" i="7"/>
  <c r="I181" i="12"/>
  <c r="X181" i="8"/>
  <c r="AV84" i="7"/>
  <c r="G340" i="12"/>
  <c r="W340" i="12" s="1"/>
  <c r="U340" i="8"/>
  <c r="Z340" i="8" s="1"/>
  <c r="AY103" i="7"/>
  <c r="BA103" i="7" s="1"/>
  <c r="AU103" i="7"/>
  <c r="X227" i="8"/>
  <c r="Z227" i="8" s="1"/>
  <c r="I227" i="12"/>
  <c r="AV103" i="7"/>
  <c r="AG17" i="46"/>
  <c r="AU122" i="7"/>
  <c r="AY122" i="7"/>
  <c r="X273" i="8"/>
  <c r="I273" i="12"/>
  <c r="AV122" i="7"/>
  <c r="AE70" i="12"/>
  <c r="AF70" i="12" s="1"/>
  <c r="N70" i="12"/>
  <c r="L70" i="12"/>
  <c r="AB70" i="12"/>
  <c r="AC70" i="12" s="1"/>
  <c r="AM70" i="12"/>
  <c r="Y70" i="12"/>
  <c r="AH70" i="12"/>
  <c r="AI70" i="12" s="1"/>
  <c r="P70" i="12"/>
  <c r="M70" i="12"/>
  <c r="O70" i="12"/>
  <c r="BC283" i="5"/>
  <c r="BE283" i="5"/>
  <c r="BF283" i="5" s="1"/>
  <c r="BC68" i="5"/>
  <c r="BE68" i="5"/>
  <c r="BF68" i="5" s="1"/>
  <c r="AU135" i="7"/>
  <c r="AY135" i="7"/>
  <c r="I305" i="12"/>
  <c r="X305" i="8"/>
  <c r="AV135" i="7"/>
  <c r="G301" i="12"/>
  <c r="W301" i="12" s="1"/>
  <c r="AW134" i="7"/>
  <c r="U301" i="8"/>
  <c r="BF343" i="5"/>
  <c r="O178" i="12"/>
  <c r="AE178" i="12"/>
  <c r="AF178" i="12" s="1"/>
  <c r="N178" i="12"/>
  <c r="Y178" i="12"/>
  <c r="M178" i="12"/>
  <c r="L178" i="12"/>
  <c r="AM178" i="12"/>
  <c r="AH178" i="12"/>
  <c r="AI178" i="12" s="1"/>
  <c r="AB178" i="12"/>
  <c r="AC178" i="12" s="1"/>
  <c r="P178" i="12"/>
  <c r="U271" i="8"/>
  <c r="AW121" i="7"/>
  <c r="G271" i="12"/>
  <c r="W271" i="12" s="1"/>
  <c r="AC83" i="10"/>
  <c r="AF83" i="10" s="1"/>
  <c r="U224" i="8"/>
  <c r="Z224" i="8" s="1"/>
  <c r="G224" i="12"/>
  <c r="W224" i="12" s="1"/>
  <c r="BH112" i="5"/>
  <c r="U75" i="8"/>
  <c r="Z75" i="8" s="1"/>
  <c r="G75" i="12"/>
  <c r="W75" i="12" s="1"/>
  <c r="BF108" i="5"/>
  <c r="M192" i="12"/>
  <c r="P192" i="12"/>
  <c r="O192" i="12"/>
  <c r="AH192" i="12"/>
  <c r="AI192" i="12" s="1"/>
  <c r="N192" i="12"/>
  <c r="AE192" i="12"/>
  <c r="AF192" i="12" s="1"/>
  <c r="L192" i="12"/>
  <c r="AM192" i="12"/>
  <c r="AB192" i="12"/>
  <c r="AC192" i="12" s="1"/>
  <c r="Y192" i="12"/>
  <c r="AU17" i="12"/>
  <c r="AR21" i="46"/>
  <c r="AR4" i="46" s="1"/>
  <c r="AF4" i="13"/>
  <c r="AE4" i="13" s="1"/>
  <c r="AU99" i="7"/>
  <c r="AY99" i="7"/>
  <c r="BA99" i="7" s="1"/>
  <c r="X217" i="8"/>
  <c r="I217" i="12"/>
  <c r="AV99" i="7"/>
  <c r="G88" i="12"/>
  <c r="W88" i="12" s="1"/>
  <c r="U88" i="8"/>
  <c r="Z88" i="8" s="1"/>
  <c r="M330" i="12"/>
  <c r="N330" i="12"/>
  <c r="AE330" i="12"/>
  <c r="AF330" i="12" s="1"/>
  <c r="L330" i="12"/>
  <c r="AB330" i="12"/>
  <c r="AC330" i="12" s="1"/>
  <c r="AM330" i="12"/>
  <c r="AH330" i="12"/>
  <c r="AI330" i="12" s="1"/>
  <c r="O330" i="12"/>
  <c r="Y330" i="12"/>
  <c r="P330" i="12"/>
  <c r="G112" i="12"/>
  <c r="W112" i="12" s="1"/>
  <c r="U112" i="8"/>
  <c r="Z112" i="8" s="1"/>
  <c r="AW147" i="7"/>
  <c r="G333" i="12"/>
  <c r="W333" i="12" s="1"/>
  <c r="U333" i="8"/>
  <c r="BF111" i="5"/>
  <c r="AY79" i="7"/>
  <c r="BA79" i="7" s="1"/>
  <c r="AU79" i="7"/>
  <c r="I169" i="12"/>
  <c r="X169" i="8"/>
  <c r="Z169" i="8" s="1"/>
  <c r="AV79" i="7"/>
  <c r="BC115" i="5"/>
  <c r="BE115" i="5"/>
  <c r="BF115" i="5" s="1"/>
  <c r="U316" i="8"/>
  <c r="Z316" i="8" s="1"/>
  <c r="G316" i="12"/>
  <c r="W316" i="12" s="1"/>
  <c r="BF316" i="5"/>
  <c r="BC208" i="5"/>
  <c r="BE208" i="5"/>
  <c r="BF208" i="5" s="1"/>
  <c r="AC77" i="10"/>
  <c r="AF77" i="10" s="1"/>
  <c r="U204" i="8"/>
  <c r="Z204" i="8" s="1"/>
  <c r="G204" i="12"/>
  <c r="W204" i="12" s="1"/>
  <c r="AH351" i="12"/>
  <c r="AI351" i="12" s="1"/>
  <c r="P351" i="12"/>
  <c r="AM351" i="12"/>
  <c r="Y351" i="12"/>
  <c r="M351" i="12"/>
  <c r="AB351" i="12"/>
  <c r="AC351" i="12" s="1"/>
  <c r="O351" i="12"/>
  <c r="N351" i="12"/>
  <c r="L351" i="12"/>
  <c r="AE351" i="12"/>
  <c r="AF351" i="12" s="1"/>
  <c r="AR128" i="7"/>
  <c r="AS128" i="7"/>
  <c r="AT128" i="7" s="1"/>
  <c r="AQ287" i="12" s="1"/>
  <c r="G64" i="12"/>
  <c r="W64" i="12" s="1"/>
  <c r="U64" i="8"/>
  <c r="Z64" i="8" s="1"/>
  <c r="U325" i="8"/>
  <c r="G325" i="12"/>
  <c r="W325" i="12" s="1"/>
  <c r="AW144" i="7"/>
  <c r="G181" i="12"/>
  <c r="W181" i="12" s="1"/>
  <c r="U181" i="8"/>
  <c r="AW84" i="7"/>
  <c r="BC327" i="5"/>
  <c r="BE327" i="5"/>
  <c r="BF327" i="5" s="1"/>
  <c r="BC41" i="5"/>
  <c r="BE41" i="5"/>
  <c r="BF41" i="5" s="1"/>
  <c r="AY75" i="7"/>
  <c r="BA75" i="7" s="1"/>
  <c r="AU75" i="7"/>
  <c r="I161" i="12"/>
  <c r="X161" i="8"/>
  <c r="AV75" i="7"/>
  <c r="AU140" i="7"/>
  <c r="AY140" i="7"/>
  <c r="X317" i="8"/>
  <c r="Z317" i="8" s="1"/>
  <c r="I317" i="12"/>
  <c r="AV140" i="7"/>
  <c r="BC334" i="5"/>
  <c r="BE334" i="5"/>
  <c r="BF334" i="5" s="1"/>
  <c r="AA21" i="46"/>
  <c r="BH106" i="5"/>
  <c r="BF301" i="5"/>
  <c r="AG36" i="46"/>
  <c r="AY35" i="7"/>
  <c r="AU35" i="7"/>
  <c r="X65" i="8"/>
  <c r="I65" i="12"/>
  <c r="AV35" i="7"/>
  <c r="U243" i="8"/>
  <c r="Z243" i="8" s="1"/>
  <c r="G243" i="12"/>
  <c r="AC29" i="10"/>
  <c r="AF29" i="10" s="1"/>
  <c r="U60" i="8"/>
  <c r="Z60" i="8" s="1"/>
  <c r="G60" i="12"/>
  <c r="W60" i="12" s="1"/>
  <c r="AT135" i="7"/>
  <c r="AQ305" i="12" s="1"/>
  <c r="AB86" i="12"/>
  <c r="AC86" i="12" s="1"/>
  <c r="AM86" i="12"/>
  <c r="Y86" i="12"/>
  <c r="N86" i="12"/>
  <c r="L86" i="12"/>
  <c r="AH86" i="12"/>
  <c r="AI86" i="12" s="1"/>
  <c r="AE86" i="12"/>
  <c r="AF86" i="12" s="1"/>
  <c r="P86" i="12"/>
  <c r="O86" i="12"/>
  <c r="M86" i="12"/>
  <c r="AU61" i="7"/>
  <c r="AY61" i="7"/>
  <c r="X127" i="8"/>
  <c r="I127" i="12"/>
  <c r="AV61" i="7"/>
  <c r="AS78" i="7"/>
  <c r="AT78" i="7" s="1"/>
  <c r="AQ167" i="12" s="1"/>
  <c r="AR78" i="7"/>
  <c r="Z24" i="46"/>
  <c r="BH147" i="5"/>
  <c r="N101" i="9"/>
  <c r="O101" i="9" s="1"/>
  <c r="X101" i="9" s="1"/>
  <c r="AA101" i="9" s="1"/>
  <c r="AC101" i="9" s="1"/>
  <c r="N86" i="9"/>
  <c r="O86" i="9" s="1"/>
  <c r="X86" i="9" s="1"/>
  <c r="AA86" i="9" s="1"/>
  <c r="AC86" i="9" s="1"/>
  <c r="AN34" i="46"/>
  <c r="BF287" i="5"/>
  <c r="AS143" i="7"/>
  <c r="AR143" i="7"/>
  <c r="BC87" i="5"/>
  <c r="BE87" i="5"/>
  <c r="BF87" i="5" s="1"/>
  <c r="AB51" i="12"/>
  <c r="AC51" i="12" s="1"/>
  <c r="AH51" i="12"/>
  <c r="AI51" i="12" s="1"/>
  <c r="N51" i="12"/>
  <c r="M51" i="12"/>
  <c r="AE51" i="12"/>
  <c r="AF51" i="12" s="1"/>
  <c r="L51" i="12"/>
  <c r="Y51" i="12"/>
  <c r="P51" i="12"/>
  <c r="AM51" i="12"/>
  <c r="O51" i="12"/>
  <c r="AU107" i="7"/>
  <c r="AY107" i="7"/>
  <c r="BA107" i="7" s="1"/>
  <c r="X237" i="8"/>
  <c r="I237" i="12"/>
  <c r="AV107" i="7"/>
  <c r="C33" i="20" s="1"/>
  <c r="BC153" i="5"/>
  <c r="BE153" i="5"/>
  <c r="BF153" i="5" s="1"/>
  <c r="O309" i="12"/>
  <c r="AM309" i="12"/>
  <c r="Y309" i="12"/>
  <c r="Z309" i="12" s="1"/>
  <c r="AH309" i="12"/>
  <c r="AI309" i="12" s="1"/>
  <c r="AE309" i="12"/>
  <c r="AF309" i="12" s="1"/>
  <c r="AB309" i="12"/>
  <c r="AC309" i="12" s="1"/>
  <c r="P309" i="12"/>
  <c r="M309" i="12"/>
  <c r="BC174" i="5"/>
  <c r="BE174" i="5"/>
  <c r="BF174" i="5" s="1"/>
  <c r="BF372" i="5"/>
  <c r="BC387" i="5"/>
  <c r="BE387" i="5"/>
  <c r="BF387" i="5" s="1"/>
  <c r="AT79" i="7"/>
  <c r="AQ169" i="12" s="1"/>
  <c r="AU101" i="7"/>
  <c r="AY101" i="7"/>
  <c r="X223" i="8"/>
  <c r="I223" i="12"/>
  <c r="AV101" i="7"/>
  <c r="U99" i="8"/>
  <c r="Z99" i="8" s="1"/>
  <c r="G99" i="12"/>
  <c r="W99" i="12" s="1"/>
  <c r="AN4" i="7"/>
  <c r="AU90" i="7"/>
  <c r="AY90" i="7"/>
  <c r="I197" i="12"/>
  <c r="X197" i="8"/>
  <c r="AV90" i="7"/>
  <c r="G180" i="12"/>
  <c r="W180" i="12" s="1"/>
  <c r="U180" i="8"/>
  <c r="Z180" i="8" s="1"/>
  <c r="AC69" i="10"/>
  <c r="AF69" i="10" s="1"/>
  <c r="AN4" i="13"/>
  <c r="AM4" i="13" s="1"/>
  <c r="AE231" i="12"/>
  <c r="AF231" i="12" s="1"/>
  <c r="N231" i="12"/>
  <c r="AM231" i="12"/>
  <c r="AB231" i="12"/>
  <c r="AC231" i="12" s="1"/>
  <c r="L231" i="12"/>
  <c r="O231" i="12"/>
  <c r="M231" i="12"/>
  <c r="AH231" i="12"/>
  <c r="AI231" i="12" s="1"/>
  <c r="P231" i="12"/>
  <c r="G281" i="12"/>
  <c r="W281" i="12" s="1"/>
  <c r="AW125" i="7"/>
  <c r="BA125" i="7" s="1"/>
  <c r="U281" i="8"/>
  <c r="Z281" i="8" s="1"/>
  <c r="AW24" i="7"/>
  <c r="G37" i="12"/>
  <c r="W37" i="12" s="1"/>
  <c r="AT75" i="7"/>
  <c r="AQ161" i="12" s="1"/>
  <c r="AH182" i="12"/>
  <c r="AI182" i="12" s="1"/>
  <c r="O182" i="12"/>
  <c r="M182" i="12"/>
  <c r="AE182" i="12"/>
  <c r="AF182" i="12" s="1"/>
  <c r="L182" i="12"/>
  <c r="AM182" i="12"/>
  <c r="Y182" i="12"/>
  <c r="P182" i="12"/>
  <c r="AB182" i="12"/>
  <c r="AC182" i="12" s="1"/>
  <c r="N182" i="12"/>
  <c r="G288" i="12"/>
  <c r="W288" i="12" s="1"/>
  <c r="AC105" i="10"/>
  <c r="AF105" i="10" s="1"/>
  <c r="U288" i="8"/>
  <c r="Z288" i="8" s="1"/>
  <c r="G128" i="12"/>
  <c r="W128" i="12" s="1"/>
  <c r="U128" i="8"/>
  <c r="Z128" i="8" s="1"/>
  <c r="AC51" i="10"/>
  <c r="AF51" i="10" s="1"/>
  <c r="BC32" i="5"/>
  <c r="BE32" i="5"/>
  <c r="BF32" i="5" s="1"/>
  <c r="AS100" i="7"/>
  <c r="AR100" i="7"/>
  <c r="BC205" i="5"/>
  <c r="BE205" i="5"/>
  <c r="BF205" i="5" s="1"/>
  <c r="G101" i="12"/>
  <c r="W101" i="12" s="1"/>
  <c r="U101" i="8"/>
  <c r="AW50" i="7"/>
  <c r="N50" i="9"/>
  <c r="O50" i="9" s="1"/>
  <c r="X50" i="9" s="1"/>
  <c r="AA50" i="9" s="1"/>
  <c r="AC50" i="9" s="1"/>
  <c r="BE383" i="5"/>
  <c r="BF383" i="5" s="1"/>
  <c r="BC383" i="5"/>
  <c r="AM27" i="12"/>
  <c r="AB27" i="12"/>
  <c r="AC27" i="12" s="1"/>
  <c r="L27" i="12"/>
  <c r="Y27" i="12"/>
  <c r="P27" i="12"/>
  <c r="AH27" i="12"/>
  <c r="AI27" i="12" s="1"/>
  <c r="O27" i="12"/>
  <c r="M27" i="12"/>
  <c r="AE27" i="12"/>
  <c r="AF27" i="12" s="1"/>
  <c r="N27" i="12"/>
  <c r="AH24" i="46"/>
  <c r="AM346" i="12"/>
  <c r="AB346" i="12"/>
  <c r="AC346" i="12" s="1"/>
  <c r="L346" i="12"/>
  <c r="N346" i="12"/>
  <c r="Y346" i="12"/>
  <c r="M346" i="12"/>
  <c r="AE346" i="12"/>
  <c r="AF346" i="12" s="1"/>
  <c r="P346" i="12"/>
  <c r="O346" i="12"/>
  <c r="AH346" i="12"/>
  <c r="AI346" i="12" s="1"/>
  <c r="AU153" i="7"/>
  <c r="AY153" i="7"/>
  <c r="BA153" i="7" s="1"/>
  <c r="X347" i="8"/>
  <c r="Z347" i="8" s="1"/>
  <c r="I347" i="12"/>
  <c r="AV153" i="7"/>
  <c r="AY39" i="7"/>
  <c r="BA39" i="7" s="1"/>
  <c r="AU39" i="7"/>
  <c r="X73" i="8"/>
  <c r="I73" i="12"/>
  <c r="AV39" i="7"/>
  <c r="G344" i="12"/>
  <c r="W344" i="12" s="1"/>
  <c r="U344" i="8"/>
  <c r="Z344" i="8" s="1"/>
  <c r="AC123" i="10"/>
  <c r="AF123" i="10" s="1"/>
  <c r="BC151" i="5"/>
  <c r="BE151" i="5"/>
  <c r="BF151" i="5" s="1"/>
  <c r="AT52" i="7"/>
  <c r="AQ105" i="12" s="1"/>
  <c r="BC145" i="5"/>
  <c r="BE145" i="5"/>
  <c r="BF145" i="5" s="1"/>
  <c r="AW128" i="7"/>
  <c r="G287" i="12"/>
  <c r="W287" i="12" s="1"/>
  <c r="U287" i="8"/>
  <c r="AS41" i="7"/>
  <c r="AR41" i="7"/>
  <c r="BC326" i="5"/>
  <c r="BE326" i="5"/>
  <c r="BF326" i="5" s="1"/>
  <c r="BE229" i="5"/>
  <c r="BF229" i="5" s="1"/>
  <c r="BC229" i="5"/>
  <c r="AW51" i="7"/>
  <c r="BA51" i="7" s="1"/>
  <c r="U103" i="8"/>
  <c r="Z103" i="8" s="1"/>
  <c r="G103" i="12"/>
  <c r="W103" i="12" s="1"/>
  <c r="Z30" i="46"/>
  <c r="BH231" i="5"/>
  <c r="AU71" i="7"/>
  <c r="AY71" i="7"/>
  <c r="I151" i="12"/>
  <c r="X151" i="8"/>
  <c r="AV71" i="7"/>
  <c r="BC55" i="5"/>
  <c r="BE55" i="5"/>
  <c r="BF55" i="5" s="1"/>
  <c r="AU53" i="7"/>
  <c r="AY53" i="7"/>
  <c r="I107" i="12"/>
  <c r="X107" i="8"/>
  <c r="AV53" i="7"/>
  <c r="AS142" i="7"/>
  <c r="AT142" i="7" s="1"/>
  <c r="AQ321" i="12" s="1"/>
  <c r="AR142" i="7"/>
  <c r="BC342" i="5"/>
  <c r="BE342" i="5"/>
  <c r="BF342" i="5" s="1"/>
  <c r="O154" i="12"/>
  <c r="AE154" i="12"/>
  <c r="AF154" i="12" s="1"/>
  <c r="L154" i="12"/>
  <c r="AB154" i="12"/>
  <c r="AC154" i="12" s="1"/>
  <c r="AM154" i="12"/>
  <c r="N154" i="12"/>
  <c r="M154" i="12"/>
  <c r="AH154" i="12"/>
  <c r="AI154" i="12" s="1"/>
  <c r="Y154" i="12"/>
  <c r="P154" i="12"/>
  <c r="BF103" i="5"/>
  <c r="BC185" i="5"/>
  <c r="BE185" i="5"/>
  <c r="BF185" i="5" s="1"/>
  <c r="AG22" i="46"/>
  <c r="BC355" i="5"/>
  <c r="BE355" i="5"/>
  <c r="BF355" i="5" s="1"/>
  <c r="Z33" i="46"/>
  <c r="BH273" i="5"/>
  <c r="N21" i="9"/>
  <c r="O21" i="9" s="1"/>
  <c r="X21" i="9" s="1"/>
  <c r="AA21" i="9" s="1"/>
  <c r="AC21" i="9" s="1"/>
  <c r="AH34" i="46"/>
  <c r="BE288" i="5"/>
  <c r="BC288" i="5"/>
  <c r="M156" i="12"/>
  <c r="AH156" i="12"/>
  <c r="AI156" i="12" s="1"/>
  <c r="N156" i="12"/>
  <c r="L156" i="12"/>
  <c r="AE156" i="12"/>
  <c r="AF156" i="12" s="1"/>
  <c r="AM156" i="12"/>
  <c r="AB156" i="12"/>
  <c r="AC156" i="12" s="1"/>
  <c r="Y156" i="12"/>
  <c r="P156" i="12"/>
  <c r="O156" i="12"/>
  <c r="G109" i="12"/>
  <c r="W109" i="12" s="1"/>
  <c r="U109" i="8"/>
  <c r="AW54" i="7"/>
  <c r="U296" i="8"/>
  <c r="Z296" i="8" s="1"/>
  <c r="G296" i="12"/>
  <c r="W296" i="12" s="1"/>
  <c r="AC107" i="10"/>
  <c r="AF107" i="10" s="1"/>
  <c r="Y108" i="12"/>
  <c r="P108" i="12"/>
  <c r="AH108" i="12"/>
  <c r="AI108" i="12" s="1"/>
  <c r="O108" i="12"/>
  <c r="AE108" i="12"/>
  <c r="AF108" i="12" s="1"/>
  <c r="M108" i="12"/>
  <c r="N108" i="12"/>
  <c r="L108" i="12"/>
  <c r="AM108" i="12"/>
  <c r="AB108" i="12"/>
  <c r="AC108" i="12" s="1"/>
  <c r="AY92" i="7"/>
  <c r="BA92" i="7" s="1"/>
  <c r="AU92" i="7"/>
  <c r="X201" i="8"/>
  <c r="I201" i="12"/>
  <c r="AV92" i="7"/>
  <c r="BF344" i="5"/>
  <c r="BC398" i="5"/>
  <c r="BE398" i="5"/>
  <c r="BF398" i="5" s="1"/>
  <c r="Z69" i="8"/>
  <c r="M338" i="12"/>
  <c r="AH338" i="12"/>
  <c r="AI338" i="12" s="1"/>
  <c r="O338" i="12"/>
  <c r="N338" i="12"/>
  <c r="AE338" i="12"/>
  <c r="AF338" i="12" s="1"/>
  <c r="L338" i="12"/>
  <c r="Y338" i="12"/>
  <c r="P338" i="12"/>
  <c r="AM338" i="12"/>
  <c r="AB338" i="12"/>
  <c r="AC338" i="12" s="1"/>
  <c r="G120" i="12"/>
  <c r="W120" i="12" s="1"/>
  <c r="AC49" i="10"/>
  <c r="AF49" i="10" s="1"/>
  <c r="U120" i="8"/>
  <c r="Z120" i="8" s="1"/>
  <c r="L318" i="12"/>
  <c r="AB318" i="12"/>
  <c r="AC318" i="12" s="1"/>
  <c r="AM318" i="12"/>
  <c r="Y318" i="12"/>
  <c r="N318" i="12"/>
  <c r="P318" i="12"/>
  <c r="O318" i="12"/>
  <c r="M318" i="12"/>
  <c r="AH318" i="12"/>
  <c r="AI318" i="12" s="1"/>
  <c r="AE318" i="12"/>
  <c r="AF318" i="12" s="1"/>
  <c r="U83" i="8"/>
  <c r="AW43" i="7"/>
  <c r="G83" i="12"/>
  <c r="W83" i="12" s="1"/>
  <c r="AA25" i="46"/>
  <c r="BH162" i="5"/>
  <c r="AU70" i="7"/>
  <c r="AY70" i="7"/>
  <c r="I149" i="12"/>
  <c r="X149" i="8"/>
  <c r="AV70" i="7"/>
  <c r="BA159" i="7"/>
  <c r="AG28" i="46"/>
  <c r="BC203" i="5"/>
  <c r="BE203" i="5"/>
  <c r="U183" i="8"/>
  <c r="Z183" i="8" s="1"/>
  <c r="G183" i="12"/>
  <c r="W183" i="12" s="1"/>
  <c r="AT151" i="7"/>
  <c r="AQ343" i="12" s="1"/>
  <c r="U194" i="8"/>
  <c r="Z194" i="8" s="1"/>
  <c r="G194" i="12"/>
  <c r="W194" i="12" s="1"/>
  <c r="AC74" i="10"/>
  <c r="AF74" i="10" s="1"/>
  <c r="O232" i="12"/>
  <c r="M232" i="12"/>
  <c r="N232" i="12"/>
  <c r="AH232" i="12"/>
  <c r="AI232" i="12" s="1"/>
  <c r="L232" i="12"/>
  <c r="AM232" i="12"/>
  <c r="AE232" i="12"/>
  <c r="AF232" i="12" s="1"/>
  <c r="AB232" i="12"/>
  <c r="AC232" i="12" s="1"/>
  <c r="P232" i="12"/>
  <c r="G80" i="12"/>
  <c r="W80" i="12" s="1"/>
  <c r="U80" i="8"/>
  <c r="Z80" i="8" s="1"/>
  <c r="AC35" i="10"/>
  <c r="AF35" i="10" s="1"/>
  <c r="AT60" i="7"/>
  <c r="AQ125" i="12" s="1"/>
  <c r="BC277" i="5"/>
  <c r="BE277" i="5"/>
  <c r="BF277" i="5" s="1"/>
  <c r="AH39" i="46"/>
  <c r="BC358" i="5"/>
  <c r="BE358" i="5"/>
  <c r="BH109" i="5"/>
  <c r="AU144" i="7"/>
  <c r="AY144" i="7"/>
  <c r="X325" i="8"/>
  <c r="I325" i="12"/>
  <c r="AV144" i="7"/>
  <c r="O290" i="12"/>
  <c r="P290" i="12"/>
  <c r="N290" i="12"/>
  <c r="AH290" i="12"/>
  <c r="AI290" i="12" s="1"/>
  <c r="M290" i="12"/>
  <c r="AE290" i="12"/>
  <c r="AF290" i="12" s="1"/>
  <c r="L290" i="12"/>
  <c r="AM290" i="12"/>
  <c r="AB290" i="12"/>
  <c r="AC290" i="12" s="1"/>
  <c r="Y290" i="12"/>
  <c r="G247" i="12"/>
  <c r="U247" i="8"/>
  <c r="AW111" i="7"/>
  <c r="U269" i="8"/>
  <c r="AW120" i="7"/>
  <c r="G269" i="12"/>
  <c r="W269" i="12" s="1"/>
  <c r="G52" i="12"/>
  <c r="W52" i="12" s="1"/>
  <c r="U52" i="8"/>
  <c r="Z52" i="8" s="1"/>
  <c r="AC78" i="10"/>
  <c r="AF78" i="10" s="1"/>
  <c r="U206" i="8"/>
  <c r="Z206" i="8" s="1"/>
  <c r="G206" i="12"/>
  <c r="W206" i="12" s="1"/>
  <c r="AY146" i="7"/>
  <c r="X331" i="8"/>
  <c r="I331" i="12"/>
  <c r="AV146" i="7"/>
  <c r="BE157" i="5"/>
  <c r="BF157" i="5" s="1"/>
  <c r="BC157" i="5"/>
  <c r="AY138" i="7"/>
  <c r="X311" i="8"/>
  <c r="I311" i="12"/>
  <c r="AV138" i="7"/>
  <c r="AU68" i="7"/>
  <c r="AY68" i="7"/>
  <c r="X143" i="8"/>
  <c r="I143" i="12"/>
  <c r="AV68" i="7"/>
  <c r="BC271" i="5"/>
  <c r="BE271" i="5"/>
  <c r="BF271" i="5" s="1"/>
  <c r="AH40" i="12"/>
  <c r="AI40" i="12" s="1"/>
  <c r="P40" i="12"/>
  <c r="AE40" i="12"/>
  <c r="AF40" i="12" s="1"/>
  <c r="M40" i="12"/>
  <c r="AM40" i="12"/>
  <c r="Y40" i="12"/>
  <c r="O40" i="12"/>
  <c r="N40" i="12"/>
  <c r="L40" i="12"/>
  <c r="AB40" i="12"/>
  <c r="AC40" i="12" s="1"/>
  <c r="AU17" i="7"/>
  <c r="AY17" i="7"/>
  <c r="BA17" i="7" s="1"/>
  <c r="X21" i="8"/>
  <c r="Z21" i="8" s="1"/>
  <c r="I21" i="12"/>
  <c r="AV17" i="7"/>
  <c r="AT99" i="7"/>
  <c r="AQ217" i="12" s="1"/>
  <c r="BC360" i="5"/>
  <c r="BE360" i="5"/>
  <c r="BF360" i="5" s="1"/>
  <c r="BC89" i="5"/>
  <c r="BE89" i="5"/>
  <c r="BF89" i="5" s="1"/>
  <c r="U172" i="8"/>
  <c r="Z172" i="8" s="1"/>
  <c r="G172" i="12"/>
  <c r="W172" i="12" s="1"/>
  <c r="AT61" i="7"/>
  <c r="AQ127" i="12" s="1"/>
  <c r="AG38" i="46"/>
  <c r="AG24" i="46"/>
  <c r="BC147" i="5"/>
  <c r="BE147" i="5"/>
  <c r="Z36" i="46"/>
  <c r="AA32" i="46"/>
  <c r="BE332" i="5"/>
  <c r="BF332" i="5" s="1"/>
  <c r="BC332" i="5"/>
  <c r="AT107" i="7"/>
  <c r="AQ237" i="12" s="1"/>
  <c r="AW64" i="7"/>
  <c r="G133" i="12"/>
  <c r="W133" i="12" s="1"/>
  <c r="U133" i="8"/>
  <c r="U320" i="8"/>
  <c r="Z320" i="8" s="1"/>
  <c r="G320" i="12"/>
  <c r="W320" i="12" s="1"/>
  <c r="AC115" i="10"/>
  <c r="AF115" i="10" s="1"/>
  <c r="AU102" i="7"/>
  <c r="AY102" i="7"/>
  <c r="X225" i="8"/>
  <c r="I225" i="12"/>
  <c r="AV102" i="7"/>
  <c r="AT17" i="7"/>
  <c r="AQ21" i="12" s="1"/>
  <c r="U150" i="8"/>
  <c r="Z150" i="8" s="1"/>
  <c r="G150" i="12"/>
  <c r="W150" i="12" s="1"/>
  <c r="AH36" i="46"/>
  <c r="AT90" i="7"/>
  <c r="AQ197" i="12" s="1"/>
  <c r="BC420" i="5"/>
  <c r="BE420" i="5"/>
  <c r="BE340" i="5"/>
  <c r="BF340" i="5" s="1"/>
  <c r="BC340" i="5"/>
  <c r="AV101" i="5"/>
  <c r="AZ101" i="5" s="1"/>
  <c r="AU101" i="5"/>
  <c r="AU4" i="5" s="1"/>
  <c r="AQ101" i="5"/>
  <c r="AR101" i="5" s="1"/>
  <c r="BC242" i="5"/>
  <c r="BE242" i="5"/>
  <c r="BF242" i="5" s="1"/>
  <c r="BC193" i="5"/>
  <c r="BE193" i="5"/>
  <c r="BF193" i="5" s="1"/>
  <c r="BE317" i="5"/>
  <c r="BC317" i="5"/>
  <c r="AY113" i="7"/>
  <c r="BA113" i="7" s="1"/>
  <c r="X251" i="8"/>
  <c r="Z251" i="8" s="1"/>
  <c r="I251" i="12"/>
  <c r="N251" i="12" s="1"/>
  <c r="AV113" i="7"/>
  <c r="BC235" i="5"/>
  <c r="BE235" i="5"/>
  <c r="BF235" i="5" s="1"/>
  <c r="L350" i="12"/>
  <c r="AG18" i="46"/>
  <c r="BC63" i="5"/>
  <c r="BE63" i="5"/>
  <c r="O25" i="12"/>
  <c r="AE25" i="12"/>
  <c r="AF25" i="12" s="1"/>
  <c r="N25" i="12"/>
  <c r="AB25" i="12"/>
  <c r="AC25" i="12" s="1"/>
  <c r="M25" i="12"/>
  <c r="P25" i="12"/>
  <c r="L25" i="12"/>
  <c r="AM25" i="12"/>
  <c r="AK25" i="12"/>
  <c r="AL25" i="12" s="1"/>
  <c r="AH25" i="12"/>
  <c r="AI25" i="12" s="1"/>
  <c r="Y25" i="12"/>
  <c r="G332" i="12"/>
  <c r="W332" i="12" s="1"/>
  <c r="AC119" i="10"/>
  <c r="AF119" i="10" s="1"/>
  <c r="U332" i="8"/>
  <c r="Z332" i="8" s="1"/>
  <c r="AH22" i="46"/>
  <c r="BE120" i="5"/>
  <c r="BC120" i="5"/>
  <c r="AG35" i="46"/>
  <c r="G28" i="12"/>
  <c r="W28" i="12" s="1"/>
  <c r="U28" i="8"/>
  <c r="Z28" i="8" s="1"/>
  <c r="AH32" i="46"/>
  <c r="AS38" i="7"/>
  <c r="AT38" i="7" s="1"/>
  <c r="AQ71" i="12" s="1"/>
  <c r="AR38" i="7"/>
  <c r="U177" i="8"/>
  <c r="G177" i="12"/>
  <c r="W177" i="12" s="1"/>
  <c r="AW82" i="7"/>
  <c r="BC117" i="5"/>
  <c r="BE117" i="5"/>
  <c r="BF117" i="5" s="1"/>
  <c r="U329" i="8"/>
  <c r="AW145" i="7"/>
  <c r="G329" i="12"/>
  <c r="W329" i="12" s="1"/>
  <c r="AU87" i="7"/>
  <c r="AY87" i="7"/>
  <c r="X189" i="8"/>
  <c r="I189" i="12"/>
  <c r="AV87" i="7"/>
  <c r="AT153" i="7"/>
  <c r="AQ347" i="12" s="1"/>
  <c r="BC181" i="5"/>
  <c r="BE181" i="5"/>
  <c r="BF181" i="5" s="1"/>
  <c r="AT39" i="7"/>
  <c r="AQ73" i="12" s="1"/>
  <c r="AY64" i="7"/>
  <c r="AU64" i="7"/>
  <c r="I133" i="12"/>
  <c r="X133" i="8"/>
  <c r="AV64" i="7"/>
  <c r="L300" i="12"/>
  <c r="P300" i="12"/>
  <c r="AE300" i="12"/>
  <c r="AF300" i="12" s="1"/>
  <c r="AB300" i="12"/>
  <c r="AC300" i="12" s="1"/>
  <c r="BC364" i="5"/>
  <c r="BE364" i="5"/>
  <c r="BF364" i="5" s="1"/>
  <c r="AW60" i="7"/>
  <c r="U125" i="8"/>
  <c r="G125" i="12"/>
  <c r="W125" i="12" s="1"/>
  <c r="AC99" i="10"/>
  <c r="AF99" i="10" s="1"/>
  <c r="U272" i="8"/>
  <c r="Z272" i="8" s="1"/>
  <c r="G272" i="12"/>
  <c r="W272" i="12" s="1"/>
  <c r="BC335" i="5"/>
  <c r="BE335" i="5"/>
  <c r="BF335" i="5" s="1"/>
  <c r="G280" i="12"/>
  <c r="W280" i="12" s="1"/>
  <c r="U280" i="8"/>
  <c r="Z280" i="8" s="1"/>
  <c r="AT71" i="7"/>
  <c r="AQ151" i="12" s="1"/>
  <c r="AW29" i="7"/>
  <c r="BA29" i="7" s="1"/>
  <c r="G49" i="12"/>
  <c r="W49" i="12" s="1"/>
  <c r="U49" i="8"/>
  <c r="Z49" i="8" s="1"/>
  <c r="AT53" i="7"/>
  <c r="AQ107" i="12" s="1"/>
  <c r="U294" i="8"/>
  <c r="Z294" i="8" s="1"/>
  <c r="G294" i="12"/>
  <c r="W294" i="12" s="1"/>
  <c r="G159" i="12"/>
  <c r="W159" i="12" s="1"/>
  <c r="U159" i="8"/>
  <c r="Z159" i="8" s="1"/>
  <c r="O282" i="12"/>
  <c r="N282" i="12"/>
  <c r="AH282" i="12"/>
  <c r="AI282" i="12" s="1"/>
  <c r="M282" i="12"/>
  <c r="AE282" i="12"/>
  <c r="AF282" i="12" s="1"/>
  <c r="L282" i="12"/>
  <c r="AB282" i="12"/>
  <c r="AC282" i="12" s="1"/>
  <c r="Y282" i="12"/>
  <c r="P282" i="12"/>
  <c r="AM282" i="12"/>
  <c r="Z16" i="46"/>
  <c r="AA34" i="46"/>
  <c r="BH288" i="5"/>
  <c r="BC125" i="5"/>
  <c r="BE125" i="5"/>
  <c r="BF125" i="5" s="1"/>
  <c r="AY48" i="7"/>
  <c r="AU48" i="7"/>
  <c r="X95" i="8"/>
  <c r="I95" i="12"/>
  <c r="AV48" i="7"/>
  <c r="N110" i="9"/>
  <c r="O110" i="9" s="1"/>
  <c r="X110" i="9" s="1"/>
  <c r="AA110" i="9" s="1"/>
  <c r="AC110" i="9" s="1"/>
  <c r="AW52" i="7"/>
  <c r="U105" i="8"/>
  <c r="G105" i="12"/>
  <c r="W105" i="12" s="1"/>
  <c r="AS110" i="7"/>
  <c r="AT110" i="7" s="1"/>
  <c r="AQ245" i="12" s="1"/>
  <c r="AR110" i="7"/>
  <c r="AT116" i="7"/>
  <c r="AQ259" i="12" s="1"/>
  <c r="AY43" i="7"/>
  <c r="AU43" i="7"/>
  <c r="X83" i="8"/>
  <c r="I83" i="12"/>
  <c r="AV43" i="7"/>
  <c r="M53" i="12"/>
  <c r="P53" i="12"/>
  <c r="AH53" i="12"/>
  <c r="AI53" i="12" s="1"/>
  <c r="O53" i="12"/>
  <c r="AE53" i="12"/>
  <c r="AF53" i="12" s="1"/>
  <c r="AB53" i="12"/>
  <c r="AC53" i="12" s="1"/>
  <c r="AM53" i="12"/>
  <c r="Y53" i="12"/>
  <c r="Z53" i="12" s="1"/>
  <c r="AE185" i="12"/>
  <c r="AF185" i="12" s="1"/>
  <c r="N185" i="12"/>
  <c r="Y185" i="12"/>
  <c r="Z185" i="12" s="1"/>
  <c r="AM185" i="12"/>
  <c r="P185" i="12"/>
  <c r="AH185" i="12"/>
  <c r="AI185" i="12" s="1"/>
  <c r="M185" i="12"/>
  <c r="AB185" i="12"/>
  <c r="AC185" i="12" s="1"/>
  <c r="O185" i="12"/>
  <c r="L185" i="12"/>
  <c r="BF413" i="5"/>
  <c r="L20" i="12"/>
  <c r="M20" i="12"/>
  <c r="P20" i="12"/>
  <c r="O20" i="12"/>
  <c r="N20" i="12"/>
  <c r="AM20" i="12"/>
  <c r="G164" i="12"/>
  <c r="W164" i="12" s="1"/>
  <c r="U164" i="8"/>
  <c r="Z164" i="8" s="1"/>
  <c r="AC63" i="10"/>
  <c r="AF63" i="10" s="1"/>
  <c r="G342" i="12"/>
  <c r="W342" i="12" s="1"/>
  <c r="U342" i="8"/>
  <c r="Z342" i="8" s="1"/>
  <c r="BA37" i="7"/>
  <c r="BC95" i="5"/>
  <c r="BE95" i="5"/>
  <c r="BF95" i="5" s="1"/>
  <c r="Z117" i="8"/>
  <c r="Z361" i="8"/>
  <c r="AW141" i="7"/>
  <c r="BA141" i="7" s="1"/>
  <c r="U319" i="8"/>
  <c r="Z319" i="8" s="1"/>
  <c r="G319" i="12"/>
  <c r="W319" i="12" s="1"/>
  <c r="Z28" i="46"/>
  <c r="BH203" i="5"/>
  <c r="BC213" i="5"/>
  <c r="BE213" i="5"/>
  <c r="BF213" i="5" s="1"/>
  <c r="BC292" i="5"/>
  <c r="BE292" i="5"/>
  <c r="BF292" i="5" s="1"/>
  <c r="AP4" i="12"/>
  <c r="BC154" i="5"/>
  <c r="BE154" i="5"/>
  <c r="BF154" i="5" s="1"/>
  <c r="AY97" i="7"/>
  <c r="AU97" i="7"/>
  <c r="I213" i="12"/>
  <c r="X213" i="8"/>
  <c r="Z213" i="8" s="1"/>
  <c r="AV97" i="7"/>
  <c r="Y66" i="12"/>
  <c r="P66" i="12"/>
  <c r="AH66" i="12"/>
  <c r="AI66" i="12" s="1"/>
  <c r="O66" i="12"/>
  <c r="N66" i="12"/>
  <c r="AE66" i="12"/>
  <c r="AF66" i="12" s="1"/>
  <c r="M66" i="12"/>
  <c r="AM66" i="12"/>
  <c r="AB66" i="12"/>
  <c r="AC66" i="12" s="1"/>
  <c r="L66" i="12"/>
  <c r="O76" i="12"/>
  <c r="AM76" i="12"/>
  <c r="Y76" i="12"/>
  <c r="AE76" i="12"/>
  <c r="AF76" i="12" s="1"/>
  <c r="M76" i="12"/>
  <c r="AH76" i="12"/>
  <c r="AI76" i="12" s="1"/>
  <c r="AB76" i="12"/>
  <c r="AC76" i="12" s="1"/>
  <c r="P76" i="12"/>
  <c r="N76" i="12"/>
  <c r="L76" i="12"/>
  <c r="BC109" i="5"/>
  <c r="BE109" i="5"/>
  <c r="N93" i="9"/>
  <c r="O93" i="9" s="1"/>
  <c r="X93" i="9" s="1"/>
  <c r="AA93" i="9" s="1"/>
  <c r="AC93" i="9" s="1"/>
  <c r="AT146" i="7"/>
  <c r="AQ331" i="12" s="1"/>
  <c r="G135" i="12"/>
  <c r="W135" i="12" s="1"/>
  <c r="U135" i="8"/>
  <c r="Z135" i="8" s="1"/>
  <c r="Z27" i="46"/>
  <c r="BH189" i="5"/>
  <c r="AM118" i="12"/>
  <c r="Y118" i="12"/>
  <c r="P118" i="12"/>
  <c r="AH118" i="12"/>
  <c r="AI118" i="12" s="1"/>
  <c r="O118" i="12"/>
  <c r="AE118" i="12"/>
  <c r="AF118" i="12" s="1"/>
  <c r="M118" i="12"/>
  <c r="AB118" i="12"/>
  <c r="AC118" i="12" s="1"/>
  <c r="N118" i="12"/>
  <c r="L118" i="12"/>
  <c r="AT68" i="7"/>
  <c r="AQ143" i="12" s="1"/>
  <c r="U233" i="8"/>
  <c r="Z233" i="8" s="1"/>
  <c r="AW105" i="7"/>
  <c r="BA105" i="7" s="1"/>
  <c r="G233" i="12"/>
  <c r="BC345" i="5"/>
  <c r="BE345" i="5"/>
  <c r="BF345" i="5" s="1"/>
  <c r="AU49" i="7"/>
  <c r="AY49" i="7"/>
  <c r="I97" i="12"/>
  <c r="X97" i="8"/>
  <c r="AV49" i="7"/>
  <c r="AH30" i="12" l="1"/>
  <c r="AI30" i="12" s="1"/>
  <c r="W30" i="12"/>
  <c r="L36" i="12"/>
  <c r="W36" i="12"/>
  <c r="AB359" i="12"/>
  <c r="AC359" i="12" s="1"/>
  <c r="W359" i="12"/>
  <c r="AB278" i="12"/>
  <c r="AC278" i="12" s="1"/>
  <c r="W278" i="12"/>
  <c r="AH214" i="12"/>
  <c r="AI214" i="12" s="1"/>
  <c r="W214" i="12"/>
  <c r="O221" i="12"/>
  <c r="W221" i="12"/>
  <c r="Y218" i="12"/>
  <c r="Z218" i="12" s="1"/>
  <c r="W218" i="12"/>
  <c r="AE350" i="12"/>
  <c r="AF350" i="12" s="1"/>
  <c r="W350" i="12"/>
  <c r="AM173" i="12"/>
  <c r="W173" i="12"/>
  <c r="P317" i="12"/>
  <c r="W317" i="12"/>
  <c r="O205" i="12"/>
  <c r="W205" i="12"/>
  <c r="AB71" i="12"/>
  <c r="AC71" i="12" s="1"/>
  <c r="W71" i="12"/>
  <c r="AM345" i="12"/>
  <c r="W345" i="12"/>
  <c r="N360" i="12"/>
  <c r="W360" i="12"/>
  <c r="O63" i="12"/>
  <c r="W63" i="12"/>
  <c r="Y201" i="12"/>
  <c r="Z201" i="12" s="1"/>
  <c r="W201" i="12"/>
  <c r="AE65" i="12"/>
  <c r="W65" i="12"/>
  <c r="O161" i="12"/>
  <c r="W161" i="12"/>
  <c r="O213" i="12"/>
  <c r="W213" i="12"/>
  <c r="Y300" i="12"/>
  <c r="W300" i="12"/>
  <c r="M300" i="12"/>
  <c r="AH300" i="12"/>
  <c r="AI300" i="12" s="1"/>
  <c r="N300" i="12"/>
  <c r="O300" i="12"/>
  <c r="AM300" i="12"/>
  <c r="AE242" i="12"/>
  <c r="AF242" i="12" s="1"/>
  <c r="L242" i="12"/>
  <c r="AB242" i="12"/>
  <c r="AC242" i="12" s="1"/>
  <c r="AH242" i="12"/>
  <c r="AI242" i="12" s="1"/>
  <c r="AM242" i="12"/>
  <c r="N242" i="12"/>
  <c r="O242" i="12"/>
  <c r="AB350" i="12"/>
  <c r="AC350" i="12" s="1"/>
  <c r="O350" i="12"/>
  <c r="N350" i="12"/>
  <c r="AH350" i="12"/>
  <c r="AI350" i="12" s="1"/>
  <c r="O173" i="12"/>
  <c r="M350" i="12"/>
  <c r="P350" i="12"/>
  <c r="AM350" i="12"/>
  <c r="AH173" i="12"/>
  <c r="AI173" i="12" s="1"/>
  <c r="Y350" i="12"/>
  <c r="AE173" i="12"/>
  <c r="AF173" i="12" s="1"/>
  <c r="G18" i="16"/>
  <c r="Z217" i="8"/>
  <c r="M173" i="12"/>
  <c r="Y173" i="12"/>
  <c r="Z173" i="12" s="1"/>
  <c r="P173" i="12"/>
  <c r="BA74" i="7"/>
  <c r="AB173" i="12"/>
  <c r="AC173" i="12" s="1"/>
  <c r="AN43" i="46"/>
  <c r="N129" i="12"/>
  <c r="U129" i="12" s="1"/>
  <c r="AK129" i="12" s="1"/>
  <c r="AL129" i="12" s="1"/>
  <c r="AU129" i="12" s="1"/>
  <c r="AB28" i="12"/>
  <c r="AC28" i="12" s="1"/>
  <c r="Y28" i="12"/>
  <c r="Z28" i="12" s="1"/>
  <c r="AH28" i="12"/>
  <c r="AI28" i="12" s="1"/>
  <c r="U19" i="12"/>
  <c r="AK19" i="12" s="1"/>
  <c r="V26" i="12"/>
  <c r="AN26" i="12"/>
  <c r="BB26" i="12" s="1"/>
  <c r="V24" i="12"/>
  <c r="AN31" i="46"/>
  <c r="L193" i="12"/>
  <c r="X4" i="10"/>
  <c r="U48" i="12"/>
  <c r="AK48" i="12" s="1"/>
  <c r="AL48" i="12" s="1"/>
  <c r="U228" i="12"/>
  <c r="AK228" i="12" s="1"/>
  <c r="AL228" i="12" s="1"/>
  <c r="U147" i="12"/>
  <c r="AK147" i="12" s="1"/>
  <c r="AL147" i="12" s="1"/>
  <c r="U209" i="12"/>
  <c r="AK209" i="12" s="1"/>
  <c r="AL209" i="12" s="1"/>
  <c r="AU209" i="12" s="1"/>
  <c r="U328" i="12"/>
  <c r="AK328" i="12" s="1"/>
  <c r="AL328" i="12" s="1"/>
  <c r="U327" i="12"/>
  <c r="AK327" i="12" s="1"/>
  <c r="AL327" i="12" s="1"/>
  <c r="U346" i="12"/>
  <c r="AK346" i="12" s="1"/>
  <c r="AL346" i="12" s="1"/>
  <c r="U250" i="12"/>
  <c r="AK250" i="12" s="1"/>
  <c r="AL250" i="12" s="1"/>
  <c r="U46" i="12"/>
  <c r="AK46" i="12" s="1"/>
  <c r="AL46" i="12" s="1"/>
  <c r="U232" i="12"/>
  <c r="AK232" i="12" s="1"/>
  <c r="AL232" i="12" s="1"/>
  <c r="U117" i="12"/>
  <c r="AK117" i="12" s="1"/>
  <c r="AL117" i="12" s="1"/>
  <c r="AU117" i="12" s="1"/>
  <c r="U195" i="12"/>
  <c r="AK195" i="12" s="1"/>
  <c r="AL195" i="12" s="1"/>
  <c r="U267" i="12"/>
  <c r="AK267" i="12" s="1"/>
  <c r="AL267" i="12" s="1"/>
  <c r="U51" i="12"/>
  <c r="AK51" i="12" s="1"/>
  <c r="AL51" i="12" s="1"/>
  <c r="U110" i="12"/>
  <c r="AK110" i="12" s="1"/>
  <c r="AL110" i="12" s="1"/>
  <c r="U184" i="12"/>
  <c r="AK184" i="12" s="1"/>
  <c r="AL184" i="12" s="1"/>
  <c r="U254" i="12"/>
  <c r="AK254" i="12" s="1"/>
  <c r="AL254" i="12" s="1"/>
  <c r="U324" i="12"/>
  <c r="AK324" i="12" s="1"/>
  <c r="AL324" i="12" s="1"/>
  <c r="U258" i="12"/>
  <c r="AK258" i="12" s="1"/>
  <c r="AL258" i="12" s="1"/>
  <c r="U85" i="12"/>
  <c r="AK85" i="12" s="1"/>
  <c r="AL85" i="12" s="1"/>
  <c r="U76" i="12"/>
  <c r="AK76" i="12" s="1"/>
  <c r="AL76" i="12" s="1"/>
  <c r="U136" i="12"/>
  <c r="AK136" i="12" s="1"/>
  <c r="AL136" i="12" s="1"/>
  <c r="U39" i="12"/>
  <c r="AK39" i="12" s="1"/>
  <c r="AL39" i="12" s="1"/>
  <c r="U238" i="12"/>
  <c r="AK238" i="12" s="1"/>
  <c r="AL238" i="12" s="1"/>
  <c r="U50" i="12"/>
  <c r="AK50" i="12" s="1"/>
  <c r="AL50" i="12" s="1"/>
  <c r="U40" i="12"/>
  <c r="AK40" i="12" s="1"/>
  <c r="AL40" i="12" s="1"/>
  <c r="U291" i="12"/>
  <c r="AK291" i="12" s="1"/>
  <c r="AL291" i="12" s="1"/>
  <c r="U70" i="12"/>
  <c r="AK70" i="12" s="1"/>
  <c r="AL70" i="12" s="1"/>
  <c r="U302" i="12"/>
  <c r="AK302" i="12" s="1"/>
  <c r="AL302" i="12" s="1"/>
  <c r="U299" i="12"/>
  <c r="AK299" i="12" s="1"/>
  <c r="AL299" i="12" s="1"/>
  <c r="AU299" i="12" s="1"/>
  <c r="U326" i="12"/>
  <c r="AK326" i="12" s="1"/>
  <c r="AL326" i="12" s="1"/>
  <c r="U122" i="12"/>
  <c r="AK122" i="12" s="1"/>
  <c r="AL122" i="12" s="1"/>
  <c r="U190" i="12"/>
  <c r="AK190" i="12" s="1"/>
  <c r="AL190" i="12" s="1"/>
  <c r="U196" i="12"/>
  <c r="AK196" i="12" s="1"/>
  <c r="AL196" i="12" s="1"/>
  <c r="U126" i="12"/>
  <c r="AK126" i="12" s="1"/>
  <c r="U312" i="12"/>
  <c r="AK312" i="12" s="1"/>
  <c r="AL312" i="12" s="1"/>
  <c r="U66" i="12"/>
  <c r="AK66" i="12" s="1"/>
  <c r="U351" i="12"/>
  <c r="AK351" i="12" s="1"/>
  <c r="AL351" i="12" s="1"/>
  <c r="U100" i="12"/>
  <c r="AK100" i="12" s="1"/>
  <c r="AL100" i="12" s="1"/>
  <c r="U59" i="12"/>
  <c r="AK59" i="12" s="1"/>
  <c r="AL59" i="12" s="1"/>
  <c r="AU59" i="12" s="1"/>
  <c r="U264" i="12"/>
  <c r="AK264" i="12" s="1"/>
  <c r="AL264" i="12" s="1"/>
  <c r="U253" i="12"/>
  <c r="AK253" i="12" s="1"/>
  <c r="AL253" i="12" s="1"/>
  <c r="U222" i="12"/>
  <c r="AK222" i="12" s="1"/>
  <c r="AL222" i="12" s="1"/>
  <c r="U162" i="12"/>
  <c r="AK162" i="12" s="1"/>
  <c r="AL162" i="12" s="1"/>
  <c r="U265" i="12"/>
  <c r="AK265" i="12" s="1"/>
  <c r="AL265" i="12" s="1"/>
  <c r="U155" i="12"/>
  <c r="AK155" i="12" s="1"/>
  <c r="AL155" i="12" s="1"/>
  <c r="AU155" i="12" s="1"/>
  <c r="G107" i="16" s="1"/>
  <c r="U241" i="12"/>
  <c r="AK241" i="12" s="1"/>
  <c r="AL241" i="12" s="1"/>
  <c r="U210" i="12"/>
  <c r="AK210" i="12" s="1"/>
  <c r="AL210" i="12" s="1"/>
  <c r="U35" i="12"/>
  <c r="AK35" i="12" s="1"/>
  <c r="AL35" i="12" s="1"/>
  <c r="AU35" i="12" s="1"/>
  <c r="U138" i="12"/>
  <c r="AK138" i="12" s="1"/>
  <c r="AL138" i="12" s="1"/>
  <c r="U193" i="12"/>
  <c r="AK193" i="12" s="1"/>
  <c r="AL193" i="12" s="1"/>
  <c r="AU193" i="12" s="1"/>
  <c r="U338" i="12"/>
  <c r="AK338" i="12" s="1"/>
  <c r="AL338" i="12" s="1"/>
  <c r="U108" i="12"/>
  <c r="AK108" i="12" s="1"/>
  <c r="AL108" i="12" s="1"/>
  <c r="U231" i="12"/>
  <c r="AK231" i="12" s="1"/>
  <c r="AL231" i="12" s="1"/>
  <c r="U192" i="12"/>
  <c r="AK192" i="12" s="1"/>
  <c r="AL192" i="12" s="1"/>
  <c r="U178" i="12"/>
  <c r="AK178" i="12" s="1"/>
  <c r="AL178" i="12" s="1"/>
  <c r="U244" i="12"/>
  <c r="AK244" i="12" s="1"/>
  <c r="AL244" i="12" s="1"/>
  <c r="U145" i="12"/>
  <c r="AK145" i="12" s="1"/>
  <c r="AL145" i="12" s="1"/>
  <c r="AU145" i="12" s="1"/>
  <c r="U277" i="12"/>
  <c r="AK277" i="12" s="1"/>
  <c r="AL277" i="12" s="1"/>
  <c r="AU277" i="12" s="1"/>
  <c r="U276" i="12"/>
  <c r="AK276" i="12" s="1"/>
  <c r="AL276" i="12" s="1"/>
  <c r="U256" i="12"/>
  <c r="AK256" i="12" s="1"/>
  <c r="AL256" i="12" s="1"/>
  <c r="U154" i="12"/>
  <c r="AK154" i="12" s="1"/>
  <c r="AL154" i="12" s="1"/>
  <c r="U246" i="12"/>
  <c r="AK246" i="12" s="1"/>
  <c r="AL246" i="12" s="1"/>
  <c r="U257" i="12"/>
  <c r="AK257" i="12" s="1"/>
  <c r="AL257" i="12" s="1"/>
  <c r="AU257" i="12" s="1"/>
  <c r="U156" i="12"/>
  <c r="AK156" i="12" s="1"/>
  <c r="AL156" i="12" s="1"/>
  <c r="U27" i="12"/>
  <c r="AK27" i="12" s="1"/>
  <c r="AL27" i="12" s="1"/>
  <c r="U185" i="12"/>
  <c r="AK185" i="12" s="1"/>
  <c r="AL185" i="12" s="1"/>
  <c r="AU185" i="12" s="1"/>
  <c r="U282" i="12"/>
  <c r="AK282" i="12" s="1"/>
  <c r="AL282" i="12" s="1"/>
  <c r="U182" i="12"/>
  <c r="AK182" i="12" s="1"/>
  <c r="AL182" i="12" s="1"/>
  <c r="U330" i="12"/>
  <c r="AK330" i="12" s="1"/>
  <c r="AL330" i="12" s="1"/>
  <c r="U69" i="12"/>
  <c r="AK69" i="12" s="1"/>
  <c r="AL69" i="12" s="1"/>
  <c r="U34" i="12"/>
  <c r="AK34" i="12" s="1"/>
  <c r="AL34" i="12" s="1"/>
  <c r="U251" i="12"/>
  <c r="AK251" i="12" s="1"/>
  <c r="AL251" i="12" s="1"/>
  <c r="AU251" i="12" s="1"/>
  <c r="U270" i="12"/>
  <c r="AK270" i="12" s="1"/>
  <c r="AL270" i="12" s="1"/>
  <c r="U358" i="12"/>
  <c r="AK358" i="12" s="1"/>
  <c r="AL358" i="12" s="1"/>
  <c r="U207" i="12"/>
  <c r="AK207" i="12" s="1"/>
  <c r="AL207" i="12" s="1"/>
  <c r="U219" i="12"/>
  <c r="AK219" i="12" s="1"/>
  <c r="AL219" i="12" s="1"/>
  <c r="U361" i="12"/>
  <c r="AK361" i="12" s="1"/>
  <c r="AL361" i="12" s="1"/>
  <c r="AU361" i="12" s="1"/>
  <c r="U118" i="12"/>
  <c r="AK118" i="12" s="1"/>
  <c r="AL118" i="12" s="1"/>
  <c r="U290" i="12"/>
  <c r="AK290" i="12" s="1"/>
  <c r="AL290" i="12" s="1"/>
  <c r="U318" i="12"/>
  <c r="AK318" i="12" s="1"/>
  <c r="AL318" i="12" s="1"/>
  <c r="U86" i="12"/>
  <c r="AK86" i="12" s="1"/>
  <c r="AL86" i="12" s="1"/>
  <c r="U74" i="12"/>
  <c r="AK74" i="12" s="1"/>
  <c r="AL74" i="12" s="1"/>
  <c r="U304" i="12"/>
  <c r="AK304" i="12" s="1"/>
  <c r="AL304" i="12" s="1"/>
  <c r="U336" i="12"/>
  <c r="AK336" i="12" s="1"/>
  <c r="AL336" i="12" s="1"/>
  <c r="U230" i="12"/>
  <c r="AK230" i="12" s="1"/>
  <c r="AL230" i="12" s="1"/>
  <c r="U268" i="12"/>
  <c r="AK268" i="12" s="1"/>
  <c r="AL268" i="12" s="1"/>
  <c r="L117" i="12"/>
  <c r="AB201" i="12"/>
  <c r="AE322" i="12"/>
  <c r="AF322" i="12" s="1"/>
  <c r="N322" i="12"/>
  <c r="Y322" i="12"/>
  <c r="Z322" i="12" s="1"/>
  <c r="L278" i="12"/>
  <c r="BA97" i="7"/>
  <c r="BB18" i="12"/>
  <c r="M278" i="12"/>
  <c r="AV18" i="12"/>
  <c r="AW18" i="12" s="1"/>
  <c r="AH201" i="12"/>
  <c r="AI201" i="12" s="1"/>
  <c r="AM201" i="12"/>
  <c r="O201" i="12"/>
  <c r="M63" i="12"/>
  <c r="AE201" i="12"/>
  <c r="AF201" i="12" s="1"/>
  <c r="Y63" i="12"/>
  <c r="Z63" i="12" s="1"/>
  <c r="M201" i="12"/>
  <c r="P201" i="12"/>
  <c r="BA82" i="7"/>
  <c r="AU94" i="7"/>
  <c r="AV94" i="7"/>
  <c r="I205" i="12"/>
  <c r="N205" i="12" s="1"/>
  <c r="X205" i="8"/>
  <c r="Z205" i="8" s="1"/>
  <c r="AY94" i="7"/>
  <c r="BA94" i="7" s="1"/>
  <c r="AM322" i="12"/>
  <c r="O322" i="12"/>
  <c r="L322" i="12"/>
  <c r="AB322" i="12"/>
  <c r="AC322" i="12" s="1"/>
  <c r="AB237" i="12"/>
  <c r="AC237" i="12" s="1"/>
  <c r="AH322" i="12"/>
  <c r="AI322" i="12" s="1"/>
  <c r="P322" i="12"/>
  <c r="M322" i="12"/>
  <c r="Z345" i="8"/>
  <c r="M205" i="12"/>
  <c r="AB205" i="12"/>
  <c r="AE71" i="12"/>
  <c r="AF71" i="12" s="1"/>
  <c r="AH71" i="12"/>
  <c r="AI71" i="12" s="1"/>
  <c r="Z201" i="8"/>
  <c r="Y205" i="12"/>
  <c r="Z205" i="12" s="1"/>
  <c r="P71" i="12"/>
  <c r="AE205" i="12"/>
  <c r="AF205" i="12" s="1"/>
  <c r="Y71" i="12"/>
  <c r="Z71" i="12" s="1"/>
  <c r="P205" i="12"/>
  <c r="AM71" i="12"/>
  <c r="AM205" i="12"/>
  <c r="AH205" i="12"/>
  <c r="AI205" i="12" s="1"/>
  <c r="M71" i="12"/>
  <c r="O71" i="12"/>
  <c r="AE213" i="12"/>
  <c r="AF213" i="12" s="1"/>
  <c r="P213" i="12"/>
  <c r="M213" i="12"/>
  <c r="AH213" i="12"/>
  <c r="AI213" i="12" s="1"/>
  <c r="N213" i="12"/>
  <c r="Y213" i="12"/>
  <c r="Z213" i="12" s="1"/>
  <c r="AW151" i="7"/>
  <c r="BA151" i="7" s="1"/>
  <c r="Z143" i="8"/>
  <c r="AM213" i="12"/>
  <c r="U343" i="8"/>
  <c r="Z343" i="8" s="1"/>
  <c r="AB213" i="12"/>
  <c r="M237" i="12"/>
  <c r="AH278" i="12"/>
  <c r="AI278" i="12" s="1"/>
  <c r="AE278" i="12"/>
  <c r="AF278" i="12" s="1"/>
  <c r="N278" i="12"/>
  <c r="O278" i="12"/>
  <c r="AM278" i="12"/>
  <c r="P278" i="12"/>
  <c r="BA66" i="7"/>
  <c r="X263" i="8"/>
  <c r="Z263" i="8" s="1"/>
  <c r="AT118" i="7"/>
  <c r="AQ263" i="12" s="1"/>
  <c r="AV118" i="7"/>
  <c r="C35" i="20" s="1"/>
  <c r="AY118" i="7"/>
  <c r="BA118" i="7" s="1"/>
  <c r="I263" i="12"/>
  <c r="N263" i="12" s="1"/>
  <c r="AU118" i="7"/>
  <c r="BA52" i="7"/>
  <c r="BA154" i="7"/>
  <c r="O237" i="12"/>
  <c r="AM237" i="12"/>
  <c r="N36" i="12"/>
  <c r="AH237" i="12"/>
  <c r="AI237" i="12" s="1"/>
  <c r="Z161" i="8"/>
  <c r="P237" i="12"/>
  <c r="AE237" i="12"/>
  <c r="AF237" i="12" s="1"/>
  <c r="Z237" i="12"/>
  <c r="AH63" i="12"/>
  <c r="AI63" i="12" s="1"/>
  <c r="AM63" i="12"/>
  <c r="N63" i="12"/>
  <c r="AB63" i="12"/>
  <c r="AC63" i="12" s="1"/>
  <c r="P63" i="12"/>
  <c r="L63" i="12"/>
  <c r="AE63" i="12"/>
  <c r="AF63" i="12" s="1"/>
  <c r="N214" i="12"/>
  <c r="Y278" i="12"/>
  <c r="Z278" i="12" s="1"/>
  <c r="BA54" i="7"/>
  <c r="Y73" i="12"/>
  <c r="Z73" i="12" s="1"/>
  <c r="M218" i="12"/>
  <c r="AM221" i="12"/>
  <c r="AT31" i="7"/>
  <c r="AQ55" i="12" s="1"/>
  <c r="AU31" i="7"/>
  <c r="AY31" i="7"/>
  <c r="X55" i="8"/>
  <c r="I55" i="12"/>
  <c r="AV31" i="7"/>
  <c r="AB214" i="12"/>
  <c r="AE214" i="12"/>
  <c r="AF214" i="12" s="1"/>
  <c r="AB221" i="12"/>
  <c r="AC221" i="12" s="1"/>
  <c r="Y221" i="12"/>
  <c r="Z221" i="12" s="1"/>
  <c r="AE221" i="12"/>
  <c r="AF221" i="12" s="1"/>
  <c r="BA139" i="7"/>
  <c r="AH221" i="12"/>
  <c r="AI221" i="12" s="1"/>
  <c r="M221" i="12"/>
  <c r="Z73" i="8"/>
  <c r="P221" i="12"/>
  <c r="L214" i="12"/>
  <c r="O214" i="12"/>
  <c r="P214" i="12"/>
  <c r="Y214" i="12"/>
  <c r="Z214" i="12" s="1"/>
  <c r="AM214" i="12"/>
  <c r="M214" i="12"/>
  <c r="AB360" i="12"/>
  <c r="AC360" i="12" s="1"/>
  <c r="M360" i="12"/>
  <c r="Y360" i="12"/>
  <c r="Z360" i="12" s="1"/>
  <c r="AH360" i="12"/>
  <c r="AI360" i="12" s="1"/>
  <c r="L360" i="12"/>
  <c r="O360" i="12"/>
  <c r="AM360" i="12"/>
  <c r="AE360" i="12"/>
  <c r="AF360" i="12" s="1"/>
  <c r="BA68" i="7"/>
  <c r="P360" i="12"/>
  <c r="N218" i="12"/>
  <c r="O218" i="12"/>
  <c r="AM73" i="12"/>
  <c r="AE73" i="12"/>
  <c r="AF73" i="12" s="1"/>
  <c r="AB73" i="12"/>
  <c r="AC73" i="12" s="1"/>
  <c r="M73" i="12"/>
  <c r="P218" i="12"/>
  <c r="O73" i="12"/>
  <c r="AH218" i="12"/>
  <c r="AI218" i="12" s="1"/>
  <c r="AE218" i="12"/>
  <c r="AF218" i="12" s="1"/>
  <c r="AH73" i="12"/>
  <c r="AI73" i="12" s="1"/>
  <c r="P73" i="12"/>
  <c r="N73" i="12"/>
  <c r="L218" i="12"/>
  <c r="AM218" i="12"/>
  <c r="AB218" i="12"/>
  <c r="AC125" i="10"/>
  <c r="AF125" i="10" s="1"/>
  <c r="AH161" i="12"/>
  <c r="AI161" i="12" s="1"/>
  <c r="Y161" i="12"/>
  <c r="Z161" i="12" s="1"/>
  <c r="M161" i="12"/>
  <c r="AM161" i="12"/>
  <c r="P161" i="12"/>
  <c r="AB161" i="12"/>
  <c r="AC161" i="12" s="1"/>
  <c r="AE161" i="12"/>
  <c r="AF161" i="12" s="1"/>
  <c r="AO40" i="46"/>
  <c r="Z237" i="8"/>
  <c r="P345" i="12"/>
  <c r="AM359" i="12"/>
  <c r="O359" i="12"/>
  <c r="Y359" i="12"/>
  <c r="Z359" i="12" s="1"/>
  <c r="AE359" i="12"/>
  <c r="AF359" i="12" s="1"/>
  <c r="Y345" i="12"/>
  <c r="Z345" i="12" s="1"/>
  <c r="AB345" i="12"/>
  <c r="AC345" i="12" s="1"/>
  <c r="AE345" i="12"/>
  <c r="AF345" i="12" s="1"/>
  <c r="M345" i="12"/>
  <c r="AH345" i="12"/>
  <c r="AI345" i="12" s="1"/>
  <c r="G216" i="12"/>
  <c r="O345" i="12"/>
  <c r="M359" i="12"/>
  <c r="P359" i="12"/>
  <c r="AH359" i="12"/>
  <c r="AI359" i="12" s="1"/>
  <c r="L209" i="12"/>
  <c r="AE36" i="12"/>
  <c r="AF36" i="12" s="1"/>
  <c r="O36" i="12"/>
  <c r="AH36" i="12"/>
  <c r="AI36" i="12" s="1"/>
  <c r="AM36" i="12"/>
  <c r="P36" i="12"/>
  <c r="Y36" i="12"/>
  <c r="Z36" i="12" s="1"/>
  <c r="M36" i="12"/>
  <c r="AB36" i="12"/>
  <c r="AC36" i="12" s="1"/>
  <c r="Z247" i="8"/>
  <c r="Z313" i="8"/>
  <c r="Z261" i="8"/>
  <c r="AO38" i="46"/>
  <c r="U348" i="8"/>
  <c r="Z348" i="8" s="1"/>
  <c r="AH317" i="12"/>
  <c r="AI317" i="12" s="1"/>
  <c r="Y317" i="12"/>
  <c r="Z317" i="12" s="1"/>
  <c r="M317" i="12"/>
  <c r="AB317" i="12"/>
  <c r="AC317" i="12" s="1"/>
  <c r="AE317" i="12"/>
  <c r="AF317" i="12" s="1"/>
  <c r="O317" i="12"/>
  <c r="AM317" i="12"/>
  <c r="Z105" i="8"/>
  <c r="N335" i="12"/>
  <c r="U216" i="8"/>
  <c r="Z216" i="8" s="1"/>
  <c r="Z157" i="8"/>
  <c r="BA34" i="7"/>
  <c r="C29" i="20"/>
  <c r="F29" i="20" s="1"/>
  <c r="G29" i="20" s="1"/>
  <c r="K29" i="20" s="1"/>
  <c r="BA140" i="7"/>
  <c r="Z139" i="8"/>
  <c r="BA121" i="7"/>
  <c r="AT137" i="7"/>
  <c r="AQ309" i="12" s="1"/>
  <c r="X309" i="8"/>
  <c r="Z309" i="8" s="1"/>
  <c r="I309" i="12"/>
  <c r="AV137" i="7"/>
  <c r="AY137" i="7"/>
  <c r="BA137" i="7" s="1"/>
  <c r="AU137" i="7"/>
  <c r="AO33" i="46"/>
  <c r="Z349" i="8"/>
  <c r="L73" i="12"/>
  <c r="Z259" i="8"/>
  <c r="Z181" i="8"/>
  <c r="U274" i="8"/>
  <c r="Z274" i="8" s="1"/>
  <c r="AO31" i="46"/>
  <c r="Z61" i="8"/>
  <c r="AO36" i="46"/>
  <c r="BA123" i="7"/>
  <c r="BA60" i="7"/>
  <c r="AC52" i="10"/>
  <c r="AF52" i="10" s="1"/>
  <c r="AO27" i="46"/>
  <c r="N191" i="12"/>
  <c r="U191" i="12" s="1"/>
  <c r="AK191" i="12" s="1"/>
  <c r="AO42" i="46"/>
  <c r="G130" i="12"/>
  <c r="BA150" i="7"/>
  <c r="AT32" i="7"/>
  <c r="AQ57" i="12" s="1"/>
  <c r="AY32" i="7"/>
  <c r="BA32" i="7" s="1"/>
  <c r="AU32" i="7"/>
  <c r="AV32" i="7"/>
  <c r="X57" i="8"/>
  <c r="Z57" i="8" s="1"/>
  <c r="I57" i="12"/>
  <c r="L57" i="12" s="1"/>
  <c r="AV58" i="7"/>
  <c r="AU58" i="7"/>
  <c r="AY58" i="7"/>
  <c r="BA58" i="7" s="1"/>
  <c r="X119" i="8"/>
  <c r="Z119" i="8" s="1"/>
  <c r="I119" i="12"/>
  <c r="N119" i="12" s="1"/>
  <c r="Z211" i="8"/>
  <c r="AT112" i="7"/>
  <c r="AQ249" i="12" s="1"/>
  <c r="AV112" i="7"/>
  <c r="AY112" i="7"/>
  <c r="BA112" i="7" s="1"/>
  <c r="AU112" i="7"/>
  <c r="X249" i="8"/>
  <c r="Z249" i="8" s="1"/>
  <c r="I249" i="12"/>
  <c r="AV42" i="7"/>
  <c r="X81" i="8"/>
  <c r="Z81" i="8" s="1"/>
  <c r="I81" i="12"/>
  <c r="N81" i="12" s="1"/>
  <c r="AY42" i="7"/>
  <c r="BA42" i="7" s="1"/>
  <c r="AU42" i="7"/>
  <c r="AT42" i="7"/>
  <c r="AQ81" i="12" s="1"/>
  <c r="AO32" i="46"/>
  <c r="AV130" i="7"/>
  <c r="AU130" i="7"/>
  <c r="AY130" i="7"/>
  <c r="BA130" i="7" s="1"/>
  <c r="I293" i="12"/>
  <c r="L293" i="12" s="1"/>
  <c r="X293" i="8"/>
  <c r="Z293" i="8" s="1"/>
  <c r="AT130" i="7"/>
  <c r="AQ293" i="12" s="1"/>
  <c r="V25" i="12"/>
  <c r="BA64" i="7"/>
  <c r="V4" i="10"/>
  <c r="BA96" i="7"/>
  <c r="AV131" i="7"/>
  <c r="AY131" i="7"/>
  <c r="BA131" i="7" s="1"/>
  <c r="AU131" i="7"/>
  <c r="X295" i="8"/>
  <c r="Z295" i="8" s="1"/>
  <c r="I295" i="12"/>
  <c r="L295" i="12" s="1"/>
  <c r="AT131" i="7"/>
  <c r="AQ295" i="12" s="1"/>
  <c r="BA84" i="7"/>
  <c r="BA25" i="7"/>
  <c r="AN35" i="46"/>
  <c r="BA156" i="7"/>
  <c r="Z177" i="8"/>
  <c r="BA144" i="7"/>
  <c r="AV24" i="7"/>
  <c r="AY24" i="7"/>
  <c r="BA24" i="7" s="1"/>
  <c r="AU24" i="7"/>
  <c r="X37" i="8"/>
  <c r="Z37" i="8" s="1"/>
  <c r="I37" i="12"/>
  <c r="L37" i="12" s="1"/>
  <c r="G274" i="12"/>
  <c r="BA117" i="7"/>
  <c r="V20" i="12"/>
  <c r="BF317" i="5"/>
  <c r="AN36" i="46"/>
  <c r="BF420" i="5"/>
  <c r="AO43" i="46"/>
  <c r="Z133" i="8"/>
  <c r="N227" i="12"/>
  <c r="L227" i="12"/>
  <c r="Z305" i="8"/>
  <c r="V138" i="12"/>
  <c r="BF388" i="5"/>
  <c r="AO41" i="46"/>
  <c r="Z67" i="8"/>
  <c r="Z97" i="8"/>
  <c r="N345" i="12"/>
  <c r="AH233" i="12"/>
  <c r="AI233" i="12" s="1"/>
  <c r="P233" i="12"/>
  <c r="AE233" i="12"/>
  <c r="AF233" i="12" s="1"/>
  <c r="N233" i="12"/>
  <c r="O233" i="12"/>
  <c r="M233" i="12"/>
  <c r="AM233" i="12"/>
  <c r="L233" i="12"/>
  <c r="AB233" i="12"/>
  <c r="AC233" i="12" s="1"/>
  <c r="AW76" i="7"/>
  <c r="BA76" i="7" s="1"/>
  <c r="U163" i="8"/>
  <c r="Z163" i="8" s="1"/>
  <c r="G163" i="12"/>
  <c r="W163" i="12" s="1"/>
  <c r="BF109" i="5"/>
  <c r="N94" i="9"/>
  <c r="O94" i="9" s="1"/>
  <c r="X94" i="9" s="1"/>
  <c r="AA94" i="9" s="1"/>
  <c r="AC94" i="9" s="1"/>
  <c r="AE159" i="12"/>
  <c r="AF159" i="12" s="1"/>
  <c r="M159" i="12"/>
  <c r="L159" i="12"/>
  <c r="AB159" i="12"/>
  <c r="AC159" i="12" s="1"/>
  <c r="AM159" i="12"/>
  <c r="Y159" i="12"/>
  <c r="AH159" i="12"/>
  <c r="AI159" i="12" s="1"/>
  <c r="O159" i="12"/>
  <c r="P159" i="12"/>
  <c r="N159" i="12"/>
  <c r="N89" i="9"/>
  <c r="O89" i="9" s="1"/>
  <c r="X89" i="9" s="1"/>
  <c r="AA89" i="9" s="1"/>
  <c r="AC89" i="9" s="1"/>
  <c r="AH99" i="12"/>
  <c r="AI99" i="12" s="1"/>
  <c r="P99" i="12"/>
  <c r="O99" i="12"/>
  <c r="N99" i="12"/>
  <c r="AB99" i="12"/>
  <c r="AC99" i="12" s="1"/>
  <c r="AE99" i="12"/>
  <c r="AF99" i="12" s="1"/>
  <c r="Y99" i="12"/>
  <c r="AM99" i="12"/>
  <c r="M99" i="12"/>
  <c r="L99" i="12"/>
  <c r="AC42" i="10"/>
  <c r="AF42" i="10" s="1"/>
  <c r="U98" i="8"/>
  <c r="Z98" i="8" s="1"/>
  <c r="G98" i="12"/>
  <c r="W98" i="12" s="1"/>
  <c r="AM301" i="12"/>
  <c r="AB301" i="12"/>
  <c r="AC301" i="12" s="1"/>
  <c r="Y301" i="12"/>
  <c r="Z301" i="12" s="1"/>
  <c r="M301" i="12"/>
  <c r="AH301" i="12"/>
  <c r="AI301" i="12" s="1"/>
  <c r="AE301" i="12"/>
  <c r="AF301" i="12" s="1"/>
  <c r="P301" i="12"/>
  <c r="O301" i="12"/>
  <c r="Y293" i="12"/>
  <c r="AE293" i="12"/>
  <c r="AF293" i="12" s="1"/>
  <c r="P293" i="12"/>
  <c r="O293" i="12"/>
  <c r="AH293" i="12"/>
  <c r="AI293" i="12" s="1"/>
  <c r="M293" i="12"/>
  <c r="AM293" i="12"/>
  <c r="AB293" i="12"/>
  <c r="AC293" i="12" s="1"/>
  <c r="AE261" i="12"/>
  <c r="AF261" i="12" s="1"/>
  <c r="N261" i="12"/>
  <c r="Y261" i="12"/>
  <c r="Z261" i="12" s="1"/>
  <c r="O261" i="12"/>
  <c r="AH261" i="12"/>
  <c r="AI261" i="12" s="1"/>
  <c r="M261" i="12"/>
  <c r="L261" i="12"/>
  <c r="AB261" i="12"/>
  <c r="AC261" i="12" s="1"/>
  <c r="P261" i="12"/>
  <c r="AM261" i="12"/>
  <c r="AY80" i="7"/>
  <c r="BA80" i="7" s="1"/>
  <c r="AU80" i="7"/>
  <c r="X173" i="8"/>
  <c r="Z173" i="8" s="1"/>
  <c r="I173" i="12"/>
  <c r="AV80" i="7"/>
  <c r="C28" i="20" s="1"/>
  <c r="Z66" i="12"/>
  <c r="AU20" i="12"/>
  <c r="AN20" i="12"/>
  <c r="AE105" i="12"/>
  <c r="AF105" i="12" s="1"/>
  <c r="N105" i="12"/>
  <c r="AM105" i="12"/>
  <c r="Y105" i="12"/>
  <c r="Z105" i="12" s="1"/>
  <c r="AH105" i="12"/>
  <c r="AI105" i="12" s="1"/>
  <c r="O105" i="12"/>
  <c r="AB105" i="12"/>
  <c r="AC105" i="12" s="1"/>
  <c r="P105" i="12"/>
  <c r="M105" i="12"/>
  <c r="L105" i="12"/>
  <c r="Z300" i="12"/>
  <c r="AN18" i="46"/>
  <c r="BF63" i="5"/>
  <c r="Z118" i="12"/>
  <c r="Z76" i="12"/>
  <c r="N69" i="9"/>
  <c r="O69" i="9" s="1"/>
  <c r="X69" i="9" s="1"/>
  <c r="AA69" i="9" s="1"/>
  <c r="AC69" i="9" s="1"/>
  <c r="Z282" i="12"/>
  <c r="O272" i="12"/>
  <c r="M272" i="12"/>
  <c r="Y272" i="12"/>
  <c r="AE272" i="12"/>
  <c r="AF272" i="12" s="1"/>
  <c r="AB272" i="12"/>
  <c r="AC272" i="12" s="1"/>
  <c r="AM272" i="12"/>
  <c r="P272" i="12"/>
  <c r="L272" i="12"/>
  <c r="AH272" i="12"/>
  <c r="AI272" i="12" s="1"/>
  <c r="N272" i="12"/>
  <c r="AM329" i="12"/>
  <c r="AB329" i="12"/>
  <c r="AC329" i="12" s="1"/>
  <c r="P329" i="12"/>
  <c r="AH329" i="12"/>
  <c r="AI329" i="12" s="1"/>
  <c r="O329" i="12"/>
  <c r="AE329" i="12"/>
  <c r="AF329" i="12" s="1"/>
  <c r="Y329" i="12"/>
  <c r="Z329" i="12" s="1"/>
  <c r="M329" i="12"/>
  <c r="Z25" i="12"/>
  <c r="AU25" i="12" s="1"/>
  <c r="Z247" i="12"/>
  <c r="M247" i="12"/>
  <c r="AM247" i="12"/>
  <c r="O247" i="12"/>
  <c r="N247" i="12"/>
  <c r="AH247" i="12"/>
  <c r="AI247" i="12" s="1"/>
  <c r="L247" i="12"/>
  <c r="AE247" i="12"/>
  <c r="AF247" i="12" s="1"/>
  <c r="AB247" i="12"/>
  <c r="AC247" i="12" s="1"/>
  <c r="P247" i="12"/>
  <c r="BA43" i="7"/>
  <c r="L120" i="12"/>
  <c r="AB120" i="12"/>
  <c r="AC120" i="12" s="1"/>
  <c r="AM120" i="12"/>
  <c r="Y120" i="12"/>
  <c r="AH120" i="12"/>
  <c r="AI120" i="12" s="1"/>
  <c r="O120" i="12"/>
  <c r="AE120" i="12"/>
  <c r="AF120" i="12" s="1"/>
  <c r="M120" i="12"/>
  <c r="P120" i="12"/>
  <c r="N120" i="12"/>
  <c r="AM103" i="12"/>
  <c r="AB103" i="12"/>
  <c r="AC103" i="12" s="1"/>
  <c r="L103" i="12"/>
  <c r="P103" i="12"/>
  <c r="AH103" i="12"/>
  <c r="AI103" i="12" s="1"/>
  <c r="O103" i="12"/>
  <c r="AE103" i="12"/>
  <c r="AF103" i="12" s="1"/>
  <c r="Y103" i="12"/>
  <c r="N103" i="12"/>
  <c r="M103" i="12"/>
  <c r="AU41" i="7"/>
  <c r="AY41" i="7"/>
  <c r="X79" i="8"/>
  <c r="I79" i="12"/>
  <c r="AV41" i="7"/>
  <c r="Y101" i="12"/>
  <c r="Z101" i="12" s="1"/>
  <c r="AH101" i="12"/>
  <c r="AI101" i="12" s="1"/>
  <c r="O101" i="12"/>
  <c r="AB101" i="12"/>
  <c r="AC101" i="12" s="1"/>
  <c r="AM101" i="12"/>
  <c r="M101" i="12"/>
  <c r="AE101" i="12"/>
  <c r="AF101" i="12" s="1"/>
  <c r="P101" i="12"/>
  <c r="Z231" i="12"/>
  <c r="Z86" i="12"/>
  <c r="O243" i="12"/>
  <c r="AE243" i="12"/>
  <c r="AF243" i="12" s="1"/>
  <c r="N243" i="12"/>
  <c r="AB243" i="12"/>
  <c r="AC243" i="12" s="1"/>
  <c r="AM243" i="12"/>
  <c r="P243" i="12"/>
  <c r="M243" i="12"/>
  <c r="L243" i="12"/>
  <c r="AH243" i="12"/>
  <c r="AI243" i="12" s="1"/>
  <c r="AE75" i="12"/>
  <c r="AF75" i="12" s="1"/>
  <c r="N75" i="12"/>
  <c r="L75" i="12"/>
  <c r="AB75" i="12"/>
  <c r="AC75" i="12" s="1"/>
  <c r="AM75" i="12"/>
  <c r="P75" i="12"/>
  <c r="Y75" i="12"/>
  <c r="O75" i="12"/>
  <c r="M75" i="12"/>
  <c r="AH75" i="12"/>
  <c r="AI75" i="12" s="1"/>
  <c r="AN17" i="46"/>
  <c r="Z244" i="12"/>
  <c r="U308" i="8"/>
  <c r="Z308" i="8" s="1"/>
  <c r="AC111" i="10"/>
  <c r="AF111" i="10" s="1"/>
  <c r="G308" i="12"/>
  <c r="W308" i="12" s="1"/>
  <c r="O266" i="12"/>
  <c r="AH266" i="12"/>
  <c r="AI266" i="12" s="1"/>
  <c r="M266" i="12"/>
  <c r="AE266" i="12"/>
  <c r="AF266" i="12" s="1"/>
  <c r="L266" i="12"/>
  <c r="AB266" i="12"/>
  <c r="AC266" i="12" s="1"/>
  <c r="Y266" i="12"/>
  <c r="AM266" i="12"/>
  <c r="P266" i="12"/>
  <c r="N266" i="12"/>
  <c r="AU147" i="7"/>
  <c r="AY147" i="7"/>
  <c r="BA147" i="7" s="1"/>
  <c r="I333" i="12"/>
  <c r="L333" i="12" s="1"/>
  <c r="X333" i="8"/>
  <c r="Z333" i="8" s="1"/>
  <c r="AV147" i="7"/>
  <c r="Z341" i="8"/>
  <c r="N25" i="9"/>
  <c r="O25" i="9" s="1"/>
  <c r="X25" i="9" s="1"/>
  <c r="AA25" i="9" s="1"/>
  <c r="AC25" i="9" s="1"/>
  <c r="AW126" i="7"/>
  <c r="BA126" i="7" s="1"/>
  <c r="U283" i="8"/>
  <c r="Z283" i="8" s="1"/>
  <c r="G283" i="12"/>
  <c r="W283" i="12" s="1"/>
  <c r="AN22" i="46"/>
  <c r="O298" i="12"/>
  <c r="AE298" i="12"/>
  <c r="AF298" i="12" s="1"/>
  <c r="L298" i="12"/>
  <c r="AB298" i="12"/>
  <c r="AC298" i="12" s="1"/>
  <c r="Y298" i="12"/>
  <c r="AM298" i="12"/>
  <c r="AH298" i="12"/>
  <c r="AI298" i="12" s="1"/>
  <c r="P298" i="12"/>
  <c r="N298" i="12"/>
  <c r="M298" i="12"/>
  <c r="Z138" i="12"/>
  <c r="AT80" i="7"/>
  <c r="AQ173" i="12" s="1"/>
  <c r="Z328" i="12"/>
  <c r="AG4" i="46"/>
  <c r="U56" i="8"/>
  <c r="Z56" i="8" s="1"/>
  <c r="AC27" i="10"/>
  <c r="AF27" i="10" s="1"/>
  <c r="G56" i="12"/>
  <c r="W56" i="12" s="1"/>
  <c r="AY20" i="7"/>
  <c r="BA20" i="7" s="1"/>
  <c r="AU20" i="7"/>
  <c r="X29" i="8"/>
  <c r="Z29" i="8" s="1"/>
  <c r="I29" i="12"/>
  <c r="AV20" i="7"/>
  <c r="L67" i="12"/>
  <c r="AB67" i="12"/>
  <c r="AC67" i="12" s="1"/>
  <c r="AM67" i="12"/>
  <c r="Y67" i="12"/>
  <c r="Z67" i="12" s="1"/>
  <c r="AH67" i="12"/>
  <c r="AI67" i="12" s="1"/>
  <c r="AE67" i="12"/>
  <c r="AF67" i="12" s="1"/>
  <c r="P67" i="12"/>
  <c r="N67" i="12"/>
  <c r="O67" i="12"/>
  <c r="M67" i="12"/>
  <c r="BA87" i="7"/>
  <c r="AM279" i="12"/>
  <c r="AB279" i="12"/>
  <c r="AC279" i="12" s="1"/>
  <c r="L279" i="12"/>
  <c r="AH279" i="12"/>
  <c r="AI279" i="12" s="1"/>
  <c r="P279" i="12"/>
  <c r="M279" i="12"/>
  <c r="AE279" i="12"/>
  <c r="AF279" i="12" s="1"/>
  <c r="Y279" i="12"/>
  <c r="O279" i="12"/>
  <c r="N279" i="12"/>
  <c r="AN29" i="46"/>
  <c r="BF217" i="5"/>
  <c r="AM319" i="12"/>
  <c r="AB319" i="12"/>
  <c r="AC319" i="12" s="1"/>
  <c r="L319" i="12"/>
  <c r="P319" i="12"/>
  <c r="AH319" i="12"/>
  <c r="AI319" i="12" s="1"/>
  <c r="O319" i="12"/>
  <c r="AE319" i="12"/>
  <c r="AF319" i="12" s="1"/>
  <c r="Y319" i="12"/>
  <c r="N319" i="12"/>
  <c r="M319" i="12"/>
  <c r="AH164" i="12"/>
  <c r="AI164" i="12" s="1"/>
  <c r="P164" i="12"/>
  <c r="M164" i="12"/>
  <c r="O164" i="12"/>
  <c r="N164" i="12"/>
  <c r="L164" i="12"/>
  <c r="AE164" i="12"/>
  <c r="AF164" i="12" s="1"/>
  <c r="AM164" i="12"/>
  <c r="AB164" i="12"/>
  <c r="AC164" i="12" s="1"/>
  <c r="Y164" i="12"/>
  <c r="U248" i="8"/>
  <c r="Z248" i="8" s="1"/>
  <c r="AC91" i="10"/>
  <c r="AF91" i="10" s="1"/>
  <c r="G248" i="12"/>
  <c r="AU38" i="7"/>
  <c r="AY38" i="7"/>
  <c r="BA38" i="7" s="1"/>
  <c r="X71" i="8"/>
  <c r="Z71" i="8" s="1"/>
  <c r="I71" i="12"/>
  <c r="AV38" i="7"/>
  <c r="C19" i="20" s="1"/>
  <c r="AO22" i="46"/>
  <c r="BF120" i="5"/>
  <c r="O150" i="12"/>
  <c r="AM150" i="12"/>
  <c r="P150" i="12"/>
  <c r="N150" i="12"/>
  <c r="AE150" i="12"/>
  <c r="AF150" i="12" s="1"/>
  <c r="L150" i="12"/>
  <c r="Y150" i="12"/>
  <c r="M150" i="12"/>
  <c r="AH150" i="12"/>
  <c r="AI150" i="12" s="1"/>
  <c r="AB150" i="12"/>
  <c r="AC150" i="12" s="1"/>
  <c r="Z40" i="12"/>
  <c r="AM183" i="12"/>
  <c r="AB183" i="12"/>
  <c r="AC183" i="12" s="1"/>
  <c r="L183" i="12"/>
  <c r="AH183" i="12"/>
  <c r="AI183" i="12" s="1"/>
  <c r="P183" i="12"/>
  <c r="Y183" i="12"/>
  <c r="O183" i="12"/>
  <c r="M183" i="12"/>
  <c r="N183" i="12"/>
  <c r="AE183" i="12"/>
  <c r="AF183" i="12" s="1"/>
  <c r="Z83" i="8"/>
  <c r="G235" i="12"/>
  <c r="U235" i="8"/>
  <c r="Z235" i="8" s="1"/>
  <c r="AW106" i="7"/>
  <c r="BA106" i="7" s="1"/>
  <c r="AT41" i="7"/>
  <c r="AQ79" i="12" s="1"/>
  <c r="AE281" i="12"/>
  <c r="AF281" i="12" s="1"/>
  <c r="N281" i="12"/>
  <c r="Y281" i="12"/>
  <c r="AH281" i="12"/>
  <c r="AI281" i="12" s="1"/>
  <c r="M281" i="12"/>
  <c r="L281" i="12"/>
  <c r="AB281" i="12"/>
  <c r="AC281" i="12" s="1"/>
  <c r="AM281" i="12"/>
  <c r="P281" i="12"/>
  <c r="O281" i="12"/>
  <c r="Z51" i="12"/>
  <c r="AY78" i="7"/>
  <c r="BA78" i="7" s="1"/>
  <c r="AU78" i="7"/>
  <c r="X167" i="8"/>
  <c r="Z167" i="8" s="1"/>
  <c r="I167" i="12"/>
  <c r="L167" i="12" s="1"/>
  <c r="AV78" i="7"/>
  <c r="AE181" i="12"/>
  <c r="AF181" i="12" s="1"/>
  <c r="N181" i="12"/>
  <c r="P181" i="12"/>
  <c r="AH181" i="12"/>
  <c r="AI181" i="12" s="1"/>
  <c r="O181" i="12"/>
  <c r="AB181" i="12"/>
  <c r="AC181" i="12" s="1"/>
  <c r="AM181" i="12"/>
  <c r="Y181" i="12"/>
  <c r="Z181" i="12" s="1"/>
  <c r="M181" i="12"/>
  <c r="L181" i="12"/>
  <c r="Z351" i="12"/>
  <c r="AH333" i="12"/>
  <c r="AI333" i="12" s="1"/>
  <c r="P333" i="12"/>
  <c r="AE333" i="12"/>
  <c r="AF333" i="12" s="1"/>
  <c r="M333" i="12"/>
  <c r="AB333" i="12"/>
  <c r="AC333" i="12" s="1"/>
  <c r="Y333" i="12"/>
  <c r="Z333" i="12" s="1"/>
  <c r="AM333" i="12"/>
  <c r="O333" i="12"/>
  <c r="AE88" i="12"/>
  <c r="N88" i="12"/>
  <c r="M88" i="12"/>
  <c r="Y88" i="12"/>
  <c r="AM88" i="12"/>
  <c r="P88" i="12"/>
  <c r="O88" i="12"/>
  <c r="L88" i="12"/>
  <c r="AH88" i="12"/>
  <c r="AB88" i="12"/>
  <c r="Z192" i="12"/>
  <c r="Z271" i="8"/>
  <c r="Z178" i="12"/>
  <c r="N114" i="9"/>
  <c r="O114" i="9" s="1"/>
  <c r="X114" i="9" s="1"/>
  <c r="AA114" i="9" s="1"/>
  <c r="AC114" i="9" s="1"/>
  <c r="AT147" i="7"/>
  <c r="AQ333" i="12" s="1"/>
  <c r="O234" i="12"/>
  <c r="P234" i="12"/>
  <c r="N234" i="12"/>
  <c r="AM234" i="12"/>
  <c r="AH234" i="12"/>
  <c r="AI234" i="12" s="1"/>
  <c r="AB234" i="12"/>
  <c r="AC234" i="12" s="1"/>
  <c r="M234" i="12"/>
  <c r="AE234" i="12"/>
  <c r="AF234" i="12" s="1"/>
  <c r="L234" i="12"/>
  <c r="BA135" i="7"/>
  <c r="Z228" i="12"/>
  <c r="AN30" i="46"/>
  <c r="BF231" i="5"/>
  <c r="AE62" i="12"/>
  <c r="AF62" i="12" s="1"/>
  <c r="N62" i="12"/>
  <c r="AH62" i="12"/>
  <c r="AI62" i="12" s="1"/>
  <c r="O62" i="12"/>
  <c r="M62" i="12"/>
  <c r="L62" i="12"/>
  <c r="AB62" i="12"/>
  <c r="AC62" i="12" s="1"/>
  <c r="AM62" i="12"/>
  <c r="P62" i="12"/>
  <c r="Y62" i="12"/>
  <c r="N105" i="9"/>
  <c r="O105" i="9" s="1"/>
  <c r="X105" i="9" s="1"/>
  <c r="AA105" i="9" s="1"/>
  <c r="AC105" i="9" s="1"/>
  <c r="Z100" i="12"/>
  <c r="AM78" i="12"/>
  <c r="Y78" i="12"/>
  <c r="P78" i="12"/>
  <c r="AE78" i="12"/>
  <c r="AF78" i="12" s="1"/>
  <c r="M78" i="12"/>
  <c r="AH78" i="12"/>
  <c r="AI78" i="12" s="1"/>
  <c r="AB78" i="12"/>
  <c r="AC78" i="12" s="1"/>
  <c r="O78" i="12"/>
  <c r="N78" i="12"/>
  <c r="L78" i="12"/>
  <c r="O84" i="12"/>
  <c r="AM84" i="12"/>
  <c r="Y84" i="12"/>
  <c r="AE84" i="12"/>
  <c r="AF84" i="12" s="1"/>
  <c r="M84" i="12"/>
  <c r="AB84" i="12"/>
  <c r="AC84" i="12" s="1"/>
  <c r="L84" i="12"/>
  <c r="AH84" i="12"/>
  <c r="AI84" i="12" s="1"/>
  <c r="P84" i="12"/>
  <c r="N84" i="12"/>
  <c r="Z184" i="12"/>
  <c r="O144" i="12"/>
  <c r="Y144" i="12"/>
  <c r="P144" i="12"/>
  <c r="N144" i="12"/>
  <c r="AH144" i="12"/>
  <c r="AI144" i="12" s="1"/>
  <c r="M144" i="12"/>
  <c r="AE144" i="12"/>
  <c r="AF144" i="12" s="1"/>
  <c r="L144" i="12"/>
  <c r="AB144" i="12"/>
  <c r="AC144" i="12" s="1"/>
  <c r="AM144" i="12"/>
  <c r="Z264" i="12"/>
  <c r="U200" i="8"/>
  <c r="Z200" i="8" s="1"/>
  <c r="AC75" i="10"/>
  <c r="AF75" i="10" s="1"/>
  <c r="G200" i="12"/>
  <c r="W200" i="12" s="1"/>
  <c r="AU77" i="7"/>
  <c r="AY77" i="7"/>
  <c r="BA77" i="7" s="1"/>
  <c r="X165" i="8"/>
  <c r="Z165" i="8" s="1"/>
  <c r="I165" i="12"/>
  <c r="N165" i="12" s="1"/>
  <c r="AV77" i="7"/>
  <c r="AN42" i="46"/>
  <c r="N30" i="9"/>
  <c r="O30" i="9" s="1"/>
  <c r="X30" i="9" s="1"/>
  <c r="AA30" i="9" s="1"/>
  <c r="AC30" i="9" s="1"/>
  <c r="AT20" i="7"/>
  <c r="AQ29" i="12" s="1"/>
  <c r="AC31" i="10"/>
  <c r="AF31" i="10" s="1"/>
  <c r="G68" i="12"/>
  <c r="W68" i="12" s="1"/>
  <c r="U68" i="8"/>
  <c r="Z68" i="8" s="1"/>
  <c r="BA36" i="7"/>
  <c r="AY93" i="7"/>
  <c r="BA93" i="7" s="1"/>
  <c r="AU93" i="7"/>
  <c r="I203" i="12"/>
  <c r="N203" i="12" s="1"/>
  <c r="X203" i="8"/>
  <c r="Z203" i="8" s="1"/>
  <c r="AV93" i="7"/>
  <c r="G260" i="12"/>
  <c r="W260" i="12" s="1"/>
  <c r="AC95" i="10"/>
  <c r="AF95" i="10" s="1"/>
  <c r="U260" i="8"/>
  <c r="Z260" i="8" s="1"/>
  <c r="Y343" i="12"/>
  <c r="Z343" i="12" s="1"/>
  <c r="N343" i="12"/>
  <c r="AM343" i="12"/>
  <c r="O343" i="12"/>
  <c r="AE343" i="12"/>
  <c r="AF343" i="12" s="1"/>
  <c r="P343" i="12"/>
  <c r="M343" i="12"/>
  <c r="L343" i="12"/>
  <c r="AH343" i="12"/>
  <c r="AI343" i="12" s="1"/>
  <c r="AB343" i="12"/>
  <c r="AC343" i="12" s="1"/>
  <c r="Z250" i="12"/>
  <c r="Z195" i="12"/>
  <c r="AM146" i="12"/>
  <c r="AB146" i="12"/>
  <c r="AC146" i="12" s="1"/>
  <c r="L146" i="12"/>
  <c r="Y146" i="12"/>
  <c r="P146" i="12"/>
  <c r="O146" i="12"/>
  <c r="AH146" i="12"/>
  <c r="AI146" i="12" s="1"/>
  <c r="N146" i="12"/>
  <c r="M146" i="12"/>
  <c r="AE146" i="12"/>
  <c r="AF146" i="12" s="1"/>
  <c r="Z189" i="8"/>
  <c r="AU45" i="7"/>
  <c r="AS4" i="7"/>
  <c r="AQ4" i="7" s="1"/>
  <c r="AY45" i="7"/>
  <c r="BA45" i="7" s="1"/>
  <c r="X89" i="8"/>
  <c r="I89" i="12"/>
  <c r="L89" i="12" s="1"/>
  <c r="AV45" i="7"/>
  <c r="N106" i="9"/>
  <c r="O106" i="9" s="1"/>
  <c r="X106" i="9" s="1"/>
  <c r="AA106" i="9" s="1"/>
  <c r="AC106" i="9" s="1"/>
  <c r="L143" i="12"/>
  <c r="O47" i="12"/>
  <c r="AH47" i="12"/>
  <c r="AI47" i="12" s="1"/>
  <c r="M47" i="12"/>
  <c r="AE47" i="12"/>
  <c r="AF47" i="12" s="1"/>
  <c r="L47" i="12"/>
  <c r="AB47" i="12"/>
  <c r="AC47" i="12" s="1"/>
  <c r="P47" i="12"/>
  <c r="AM47" i="12"/>
  <c r="Y47" i="12"/>
  <c r="N47" i="12"/>
  <c r="AY72" i="7"/>
  <c r="BA72" i="7" s="1"/>
  <c r="AU72" i="7"/>
  <c r="X153" i="8"/>
  <c r="Z153" i="8" s="1"/>
  <c r="I153" i="12"/>
  <c r="N153" i="12" s="1"/>
  <c r="AV72" i="7"/>
  <c r="Z65" i="8"/>
  <c r="Z230" i="12"/>
  <c r="AE289" i="12"/>
  <c r="AF289" i="12" s="1"/>
  <c r="N289" i="12"/>
  <c r="Y289" i="12"/>
  <c r="Z289" i="12" s="1"/>
  <c r="AH289" i="12"/>
  <c r="AI289" i="12" s="1"/>
  <c r="M289" i="12"/>
  <c r="L289" i="12"/>
  <c r="AB289" i="12"/>
  <c r="AC289" i="12" s="1"/>
  <c r="AM289" i="12"/>
  <c r="P289" i="12"/>
  <c r="O289" i="12"/>
  <c r="Z126" i="12"/>
  <c r="Z207" i="12"/>
  <c r="Z219" i="12"/>
  <c r="AN27" i="46"/>
  <c r="BF189" i="5"/>
  <c r="Z241" i="12"/>
  <c r="Z291" i="12"/>
  <c r="M252" i="12"/>
  <c r="Y252" i="12"/>
  <c r="AB252" i="12"/>
  <c r="AC252" i="12" s="1"/>
  <c r="AE252" i="12"/>
  <c r="AF252" i="12" s="1"/>
  <c r="P252" i="12"/>
  <c r="O252" i="12"/>
  <c r="AM252" i="12"/>
  <c r="N252" i="12"/>
  <c r="L252" i="12"/>
  <c r="AH252" i="12"/>
  <c r="AI252" i="12" s="1"/>
  <c r="Y353" i="12"/>
  <c r="Z353" i="12" s="1"/>
  <c r="O353" i="12"/>
  <c r="AE353" i="12"/>
  <c r="AF353" i="12" s="1"/>
  <c r="L353" i="12"/>
  <c r="AM353" i="12"/>
  <c r="M353" i="12"/>
  <c r="AB353" i="12"/>
  <c r="AC353" i="12" s="1"/>
  <c r="P353" i="12"/>
  <c r="N353" i="12"/>
  <c r="AH353" i="12"/>
  <c r="AI353" i="12" s="1"/>
  <c r="AM295" i="12"/>
  <c r="AB295" i="12"/>
  <c r="AC295" i="12" s="1"/>
  <c r="AH295" i="12"/>
  <c r="AI295" i="12" s="1"/>
  <c r="P295" i="12"/>
  <c r="O295" i="12"/>
  <c r="M295" i="12"/>
  <c r="AE295" i="12"/>
  <c r="AF295" i="12" s="1"/>
  <c r="Y295" i="12"/>
  <c r="U91" i="8"/>
  <c r="Z91" i="8" s="1"/>
  <c r="G91" i="12"/>
  <c r="W91" i="12" s="1"/>
  <c r="AW46" i="7"/>
  <c r="BA46" i="7" s="1"/>
  <c r="O186" i="12"/>
  <c r="AB186" i="12"/>
  <c r="AC186" i="12" s="1"/>
  <c r="Y186" i="12"/>
  <c r="AM186" i="12"/>
  <c r="N186" i="12"/>
  <c r="AH186" i="12"/>
  <c r="AI186" i="12" s="1"/>
  <c r="AE186" i="12"/>
  <c r="AF186" i="12" s="1"/>
  <c r="P186" i="12"/>
  <c r="M186" i="12"/>
  <c r="L186" i="12"/>
  <c r="O30" i="12"/>
  <c r="AM30" i="12"/>
  <c r="Y30" i="12"/>
  <c r="P30" i="12"/>
  <c r="L30" i="12"/>
  <c r="AE30" i="12"/>
  <c r="AF30" i="12" s="1"/>
  <c r="AB30" i="12"/>
  <c r="AC30" i="12" s="1"/>
  <c r="M30" i="12"/>
  <c r="N30" i="12"/>
  <c r="AQ89" i="12"/>
  <c r="M124" i="12"/>
  <c r="N124" i="12"/>
  <c r="AE124" i="12"/>
  <c r="AF124" i="12" s="1"/>
  <c r="L124" i="12"/>
  <c r="AB124" i="12"/>
  <c r="AC124" i="12" s="1"/>
  <c r="Y124" i="12"/>
  <c r="AH124" i="12"/>
  <c r="AI124" i="12" s="1"/>
  <c r="P124" i="12"/>
  <c r="O124" i="12"/>
  <c r="AM124" i="12"/>
  <c r="U188" i="8"/>
  <c r="Z188" i="8" s="1"/>
  <c r="G188" i="12"/>
  <c r="W188" i="12" s="1"/>
  <c r="AC71" i="10"/>
  <c r="AF71" i="10" s="1"/>
  <c r="AN39" i="46"/>
  <c r="BF357" i="5"/>
  <c r="AM259" i="12"/>
  <c r="AB259" i="12"/>
  <c r="AC259" i="12" s="1"/>
  <c r="L259" i="12"/>
  <c r="AH259" i="12"/>
  <c r="AI259" i="12" s="1"/>
  <c r="P259" i="12"/>
  <c r="AE259" i="12"/>
  <c r="AF259" i="12" s="1"/>
  <c r="N259" i="12"/>
  <c r="M259" i="12"/>
  <c r="Y259" i="12"/>
  <c r="Z259" i="12" s="1"/>
  <c r="O259" i="12"/>
  <c r="M152" i="12"/>
  <c r="AM152" i="12"/>
  <c r="Y152" i="12"/>
  <c r="P152" i="12"/>
  <c r="O152" i="12"/>
  <c r="L152" i="12"/>
  <c r="AB152" i="12"/>
  <c r="AC152" i="12" s="1"/>
  <c r="N152" i="12"/>
  <c r="AH152" i="12"/>
  <c r="AI152" i="12" s="1"/>
  <c r="AE152" i="12"/>
  <c r="AF152" i="12" s="1"/>
  <c r="Z276" i="12"/>
  <c r="O38" i="12"/>
  <c r="AB38" i="12"/>
  <c r="AC38" i="12" s="1"/>
  <c r="AM38" i="12"/>
  <c r="Y38" i="12"/>
  <c r="P38" i="12"/>
  <c r="AE38" i="12"/>
  <c r="AF38" i="12" s="1"/>
  <c r="M38" i="12"/>
  <c r="L38" i="12"/>
  <c r="AH38" i="12"/>
  <c r="AI38" i="12" s="1"/>
  <c r="N38" i="12"/>
  <c r="N23" i="12"/>
  <c r="V23" i="12" s="1"/>
  <c r="AV23" i="12"/>
  <c r="L23" i="12"/>
  <c r="BA129" i="7"/>
  <c r="Z268" i="12"/>
  <c r="U104" i="8"/>
  <c r="Z104" i="8" s="1"/>
  <c r="AC43" i="10"/>
  <c r="AF43" i="10" s="1"/>
  <c r="G104" i="12"/>
  <c r="W104" i="12" s="1"/>
  <c r="AE203" i="12"/>
  <c r="AF203" i="12" s="1"/>
  <c r="AB203" i="12"/>
  <c r="P203" i="12"/>
  <c r="O203" i="12"/>
  <c r="Y203" i="12"/>
  <c r="Z203" i="12" s="1"/>
  <c r="M203" i="12"/>
  <c r="AM203" i="12"/>
  <c r="AH203" i="12"/>
  <c r="AI203" i="12" s="1"/>
  <c r="AE297" i="12"/>
  <c r="AF297" i="12" s="1"/>
  <c r="N297" i="12"/>
  <c r="Y297" i="12"/>
  <c r="Z297" i="12" s="1"/>
  <c r="AB297" i="12"/>
  <c r="AC297" i="12" s="1"/>
  <c r="AM297" i="12"/>
  <c r="P297" i="12"/>
  <c r="O297" i="12"/>
  <c r="M297" i="12"/>
  <c r="L297" i="12"/>
  <c r="AH297" i="12"/>
  <c r="AI297" i="12" s="1"/>
  <c r="L345" i="12"/>
  <c r="O223" i="12"/>
  <c r="AE223" i="12"/>
  <c r="AF223" i="12" s="1"/>
  <c r="N223" i="12"/>
  <c r="Y223" i="12"/>
  <c r="Z223" i="12" s="1"/>
  <c r="AM223" i="12"/>
  <c r="P223" i="12"/>
  <c r="M223" i="12"/>
  <c r="L223" i="12"/>
  <c r="AH223" i="12"/>
  <c r="AI223" i="12" s="1"/>
  <c r="AB223" i="12"/>
  <c r="AC223" i="12" s="1"/>
  <c r="AN26" i="46"/>
  <c r="BF175" i="5"/>
  <c r="Z353" i="8"/>
  <c r="N78" i="9"/>
  <c r="O78" i="9" s="1"/>
  <c r="X78" i="9" s="1"/>
  <c r="AA78" i="9" s="1"/>
  <c r="AC78" i="9" s="1"/>
  <c r="AY149" i="7"/>
  <c r="BA149" i="7" s="1"/>
  <c r="AU149" i="7"/>
  <c r="X337" i="8"/>
  <c r="Z337" i="8" s="1"/>
  <c r="I337" i="12"/>
  <c r="AV149" i="7"/>
  <c r="Z254" i="12"/>
  <c r="AO17" i="46"/>
  <c r="BF50" i="5"/>
  <c r="AB313" i="12"/>
  <c r="AC313" i="12" s="1"/>
  <c r="P313" i="12"/>
  <c r="N313" i="12"/>
  <c r="AE313" i="12"/>
  <c r="AF313" i="12" s="1"/>
  <c r="AM313" i="12"/>
  <c r="AH313" i="12"/>
  <c r="AI313" i="12" s="1"/>
  <c r="Y313" i="12"/>
  <c r="Z313" i="12" s="1"/>
  <c r="M313" i="12"/>
  <c r="O313" i="12"/>
  <c r="L313" i="12"/>
  <c r="N34" i="9"/>
  <c r="O34" i="9" s="1"/>
  <c r="X34" i="9" s="1"/>
  <c r="AA34" i="9" s="1"/>
  <c r="AC34" i="9" s="1"/>
  <c r="AH179" i="12"/>
  <c r="AI179" i="12" s="1"/>
  <c r="P179" i="12"/>
  <c r="O179" i="12"/>
  <c r="AM179" i="12"/>
  <c r="AB179" i="12"/>
  <c r="AC179" i="12" s="1"/>
  <c r="L179" i="12"/>
  <c r="Y179" i="12"/>
  <c r="AE179" i="12"/>
  <c r="AF179" i="12" s="1"/>
  <c r="N179" i="12"/>
  <c r="M179" i="12"/>
  <c r="AB57" i="12"/>
  <c r="AC57" i="12" s="1"/>
  <c r="AM57" i="12"/>
  <c r="Y57" i="12"/>
  <c r="M57" i="12"/>
  <c r="AH57" i="12"/>
  <c r="AI57" i="12" s="1"/>
  <c r="AE57" i="12"/>
  <c r="AF57" i="12" s="1"/>
  <c r="O57" i="12"/>
  <c r="P57" i="12"/>
  <c r="F33" i="20"/>
  <c r="N65" i="9"/>
  <c r="O65" i="9" s="1"/>
  <c r="X65" i="9" s="1"/>
  <c r="AA65" i="9" s="1"/>
  <c r="AC65" i="9" s="1"/>
  <c r="O294" i="12"/>
  <c r="AM294" i="12"/>
  <c r="P294" i="12"/>
  <c r="N294" i="12"/>
  <c r="AH294" i="12"/>
  <c r="AI294" i="12" s="1"/>
  <c r="M294" i="12"/>
  <c r="AE294" i="12"/>
  <c r="AF294" i="12" s="1"/>
  <c r="L294" i="12"/>
  <c r="Y294" i="12"/>
  <c r="AB294" i="12"/>
  <c r="AC294" i="12" s="1"/>
  <c r="M320" i="12"/>
  <c r="N320" i="12"/>
  <c r="AE320" i="12"/>
  <c r="AF320" i="12" s="1"/>
  <c r="L320" i="12"/>
  <c r="AB320" i="12"/>
  <c r="AC320" i="12" s="1"/>
  <c r="P320" i="12"/>
  <c r="Y320" i="12"/>
  <c r="O320" i="12"/>
  <c r="AM320" i="12"/>
  <c r="AH320" i="12"/>
  <c r="AI320" i="12" s="1"/>
  <c r="AM269" i="12"/>
  <c r="AB269" i="12"/>
  <c r="AC269" i="12" s="1"/>
  <c r="Y269" i="12"/>
  <c r="Z269" i="12" s="1"/>
  <c r="O269" i="12"/>
  <c r="M269" i="12"/>
  <c r="AH269" i="12"/>
  <c r="AI269" i="12" s="1"/>
  <c r="AE269" i="12"/>
  <c r="AF269" i="12" s="1"/>
  <c r="P269" i="12"/>
  <c r="AN28" i="46"/>
  <c r="BF203" i="5"/>
  <c r="M296" i="12"/>
  <c r="AM296" i="12"/>
  <c r="Y296" i="12"/>
  <c r="P296" i="12"/>
  <c r="O296" i="12"/>
  <c r="AH296" i="12"/>
  <c r="AI296" i="12" s="1"/>
  <c r="N296" i="12"/>
  <c r="L296" i="12"/>
  <c r="AE296" i="12"/>
  <c r="AF296" i="12" s="1"/>
  <c r="AB296" i="12"/>
  <c r="AC296" i="12" s="1"/>
  <c r="AM287" i="12"/>
  <c r="AB287" i="12"/>
  <c r="AC287" i="12" s="1"/>
  <c r="AH287" i="12"/>
  <c r="AI287" i="12" s="1"/>
  <c r="P287" i="12"/>
  <c r="Y287" i="12"/>
  <c r="Z287" i="12" s="1"/>
  <c r="O287" i="12"/>
  <c r="AE287" i="12"/>
  <c r="AF287" i="12" s="1"/>
  <c r="M287" i="12"/>
  <c r="AM128" i="12"/>
  <c r="Y128" i="12"/>
  <c r="P128" i="12"/>
  <c r="N128" i="12"/>
  <c r="AE128" i="12"/>
  <c r="AF128" i="12" s="1"/>
  <c r="AB128" i="12"/>
  <c r="AC128" i="12" s="1"/>
  <c r="O128" i="12"/>
  <c r="M128" i="12"/>
  <c r="L128" i="12"/>
  <c r="AH128" i="12"/>
  <c r="AI128" i="12" s="1"/>
  <c r="M180" i="12"/>
  <c r="Y180" i="12"/>
  <c r="N180" i="12"/>
  <c r="AE180" i="12"/>
  <c r="AF180" i="12" s="1"/>
  <c r="L180" i="12"/>
  <c r="AB180" i="12"/>
  <c r="AC180" i="12" s="1"/>
  <c r="P180" i="12"/>
  <c r="O180" i="12"/>
  <c r="AM180" i="12"/>
  <c r="AH180" i="12"/>
  <c r="AI180" i="12" s="1"/>
  <c r="Y325" i="12"/>
  <c r="Z325" i="12" s="1"/>
  <c r="AH325" i="12"/>
  <c r="AI325" i="12" s="1"/>
  <c r="O325" i="12"/>
  <c r="N325" i="12"/>
  <c r="AE325" i="12"/>
  <c r="AF325" i="12" s="1"/>
  <c r="M325" i="12"/>
  <c r="L325" i="12"/>
  <c r="AM325" i="12"/>
  <c r="AB325" i="12"/>
  <c r="AC325" i="12" s="1"/>
  <c r="P325" i="12"/>
  <c r="AE170" i="12"/>
  <c r="AF170" i="12" s="1"/>
  <c r="N170" i="12"/>
  <c r="Y170" i="12"/>
  <c r="AM170" i="12"/>
  <c r="L170" i="12"/>
  <c r="AH170" i="12"/>
  <c r="AI170" i="12" s="1"/>
  <c r="AB170" i="12"/>
  <c r="AC170" i="12" s="1"/>
  <c r="M170" i="12"/>
  <c r="P170" i="12"/>
  <c r="O170" i="12"/>
  <c r="Z110" i="12"/>
  <c r="AH31" i="12"/>
  <c r="AI31" i="12" s="1"/>
  <c r="P31" i="12"/>
  <c r="N31" i="12"/>
  <c r="AE31" i="12"/>
  <c r="AF31" i="12" s="1"/>
  <c r="M31" i="12"/>
  <c r="L31" i="12"/>
  <c r="AB31" i="12"/>
  <c r="AC31" i="12" s="1"/>
  <c r="Y31" i="12"/>
  <c r="O31" i="12"/>
  <c r="AM31" i="12"/>
  <c r="AO24" i="46"/>
  <c r="U93" i="8"/>
  <c r="Z93" i="8" s="1"/>
  <c r="G93" i="12"/>
  <c r="W93" i="12" s="1"/>
  <c r="AW47" i="7"/>
  <c r="BA47" i="7" s="1"/>
  <c r="C43" i="20"/>
  <c r="Y174" i="12"/>
  <c r="O174" i="12"/>
  <c r="AE174" i="12"/>
  <c r="AF174" i="12" s="1"/>
  <c r="N174" i="12"/>
  <c r="M174" i="12"/>
  <c r="AH174" i="12"/>
  <c r="AI174" i="12" s="1"/>
  <c r="AB174" i="12"/>
  <c r="AC174" i="12" s="1"/>
  <c r="P174" i="12"/>
  <c r="L174" i="12"/>
  <c r="AM174" i="12"/>
  <c r="Z355" i="8"/>
  <c r="AT149" i="7"/>
  <c r="AQ337" i="12" s="1"/>
  <c r="Z242" i="12"/>
  <c r="O262" i="12"/>
  <c r="AM262" i="12"/>
  <c r="P262" i="12"/>
  <c r="N262" i="12"/>
  <c r="AH262" i="12"/>
  <c r="AI262" i="12" s="1"/>
  <c r="M262" i="12"/>
  <c r="AE262" i="12"/>
  <c r="AF262" i="12" s="1"/>
  <c r="L262" i="12"/>
  <c r="AB262" i="12"/>
  <c r="AC262" i="12" s="1"/>
  <c r="Y262" i="12"/>
  <c r="N94" i="12"/>
  <c r="AE94" i="12"/>
  <c r="M94" i="12"/>
  <c r="AM94" i="12"/>
  <c r="Y94" i="12"/>
  <c r="AH94" i="12"/>
  <c r="AB94" i="12"/>
  <c r="P94" i="12"/>
  <c r="O94" i="12"/>
  <c r="L94" i="12"/>
  <c r="Y311" i="12"/>
  <c r="Z311" i="12" s="1"/>
  <c r="AB311" i="12"/>
  <c r="AC311" i="12" s="1"/>
  <c r="P311" i="12"/>
  <c r="AH311" i="12"/>
  <c r="AI311" i="12" s="1"/>
  <c r="M311" i="12"/>
  <c r="AE311" i="12"/>
  <c r="AF311" i="12" s="1"/>
  <c r="O311" i="12"/>
  <c r="L311" i="12"/>
  <c r="AM311" i="12"/>
  <c r="N311" i="12"/>
  <c r="AM113" i="12"/>
  <c r="AB113" i="12"/>
  <c r="AC113" i="12" s="1"/>
  <c r="P113" i="12"/>
  <c r="AH113" i="12"/>
  <c r="AI113" i="12" s="1"/>
  <c r="O113" i="12"/>
  <c r="Y113" i="12"/>
  <c r="Z113" i="12" s="1"/>
  <c r="AE113" i="12"/>
  <c r="AF113" i="12" s="1"/>
  <c r="M113" i="12"/>
  <c r="AE97" i="12"/>
  <c r="N97" i="12"/>
  <c r="AH97" i="12"/>
  <c r="O97" i="12"/>
  <c r="M97" i="12"/>
  <c r="AM97" i="12"/>
  <c r="AB97" i="12"/>
  <c r="Y97" i="12"/>
  <c r="P97" i="12"/>
  <c r="L97" i="12"/>
  <c r="Y157" i="12"/>
  <c r="Z157" i="12" s="1"/>
  <c r="AE157" i="12"/>
  <c r="AF157" i="12" s="1"/>
  <c r="N157" i="12"/>
  <c r="P157" i="12"/>
  <c r="O157" i="12"/>
  <c r="AH157" i="12"/>
  <c r="AI157" i="12" s="1"/>
  <c r="M157" i="12"/>
  <c r="AM157" i="12"/>
  <c r="AB157" i="12"/>
  <c r="AC157" i="12" s="1"/>
  <c r="L157" i="12"/>
  <c r="AY120" i="7"/>
  <c r="BA120" i="7" s="1"/>
  <c r="AU120" i="7"/>
  <c r="I269" i="12"/>
  <c r="X269" i="8"/>
  <c r="Z269" i="8" s="1"/>
  <c r="AV120" i="7"/>
  <c r="C36" i="20" s="1"/>
  <c r="Z238" i="12"/>
  <c r="AN20" i="46"/>
  <c r="BF91" i="5"/>
  <c r="Y58" i="12"/>
  <c r="P58" i="12"/>
  <c r="AH58" i="12"/>
  <c r="AI58" i="12" s="1"/>
  <c r="O58" i="12"/>
  <c r="N58" i="12"/>
  <c r="AB58" i="12"/>
  <c r="AC58" i="12" s="1"/>
  <c r="M58" i="12"/>
  <c r="L58" i="12"/>
  <c r="AE58" i="12"/>
  <c r="AF58" i="12" s="1"/>
  <c r="AM58" i="12"/>
  <c r="Z246" i="12"/>
  <c r="M132" i="12"/>
  <c r="AH132" i="12"/>
  <c r="AI132" i="12" s="1"/>
  <c r="O132" i="12"/>
  <c r="N132" i="12"/>
  <c r="AE132" i="12"/>
  <c r="AF132" i="12" s="1"/>
  <c r="L132" i="12"/>
  <c r="AM132" i="12"/>
  <c r="Y132" i="12"/>
  <c r="P132" i="12"/>
  <c r="AB132" i="12"/>
  <c r="AC132" i="12" s="1"/>
  <c r="N74" i="9"/>
  <c r="O74" i="9" s="1"/>
  <c r="X74" i="9" s="1"/>
  <c r="AA74" i="9" s="1"/>
  <c r="AC74" i="9" s="1"/>
  <c r="AM362" i="12"/>
  <c r="AB362" i="12"/>
  <c r="AC362" i="12" s="1"/>
  <c r="L362" i="12"/>
  <c r="P362" i="12"/>
  <c r="M362" i="12"/>
  <c r="N362" i="12"/>
  <c r="AH362" i="12"/>
  <c r="AI362" i="12" s="1"/>
  <c r="AE362" i="12"/>
  <c r="AF362" i="12" s="1"/>
  <c r="Y362" i="12"/>
  <c r="O362" i="12"/>
  <c r="AO24" i="12"/>
  <c r="BB24" i="12"/>
  <c r="AE303" i="12"/>
  <c r="AF303" i="12" s="1"/>
  <c r="N303" i="12"/>
  <c r="AM303" i="12"/>
  <c r="AB303" i="12"/>
  <c r="AC303" i="12" s="1"/>
  <c r="L303" i="12"/>
  <c r="P303" i="12"/>
  <c r="O303" i="12"/>
  <c r="M303" i="12"/>
  <c r="AH303" i="12"/>
  <c r="AI303" i="12" s="1"/>
  <c r="Y303" i="12"/>
  <c r="AO28" i="46"/>
  <c r="BF204" i="5"/>
  <c r="Z289" i="8"/>
  <c r="N46" i="9"/>
  <c r="O46" i="9" s="1"/>
  <c r="X46" i="9" s="1"/>
  <c r="AA46" i="9" s="1"/>
  <c r="AC46" i="9" s="1"/>
  <c r="AM208" i="12"/>
  <c r="P208" i="12"/>
  <c r="O208" i="12"/>
  <c r="N208" i="12"/>
  <c r="AE208" i="12"/>
  <c r="AF208" i="12" s="1"/>
  <c r="AB208" i="12"/>
  <c r="AC208" i="12" s="1"/>
  <c r="Y208" i="12"/>
  <c r="M208" i="12"/>
  <c r="L208" i="12"/>
  <c r="AH208" i="12"/>
  <c r="AI208" i="12" s="1"/>
  <c r="M292" i="12"/>
  <c r="AH292" i="12"/>
  <c r="AI292" i="12" s="1"/>
  <c r="N292" i="12"/>
  <c r="L292" i="12"/>
  <c r="AE292" i="12"/>
  <c r="AF292" i="12" s="1"/>
  <c r="AB292" i="12"/>
  <c r="AC292" i="12" s="1"/>
  <c r="AM292" i="12"/>
  <c r="Y292" i="12"/>
  <c r="P292" i="12"/>
  <c r="O292" i="12"/>
  <c r="AO29" i="46"/>
  <c r="BF218" i="5"/>
  <c r="O286" i="12"/>
  <c r="AB286" i="12"/>
  <c r="AC286" i="12" s="1"/>
  <c r="Y286" i="12"/>
  <c r="AM286" i="12"/>
  <c r="P286" i="12"/>
  <c r="N286" i="12"/>
  <c r="AE286" i="12"/>
  <c r="AF286" i="12" s="1"/>
  <c r="M286" i="12"/>
  <c r="L286" i="12"/>
  <c r="AH286" i="12"/>
  <c r="AI286" i="12" s="1"/>
  <c r="Z297" i="8"/>
  <c r="Z210" i="12"/>
  <c r="BA101" i="7"/>
  <c r="Z77" i="8"/>
  <c r="BA155" i="7"/>
  <c r="AC39" i="10"/>
  <c r="U92" i="8"/>
  <c r="Z92" i="8" s="1"/>
  <c r="G92" i="12"/>
  <c r="W92" i="12" s="1"/>
  <c r="Z325" i="8"/>
  <c r="AH224" i="12"/>
  <c r="AI224" i="12" s="1"/>
  <c r="P224" i="12"/>
  <c r="O224" i="12"/>
  <c r="Y224" i="12"/>
  <c r="M224" i="12"/>
  <c r="L224" i="12"/>
  <c r="AE224" i="12"/>
  <c r="AF224" i="12" s="1"/>
  <c r="AB224" i="12"/>
  <c r="AC224" i="12" s="1"/>
  <c r="AM224" i="12"/>
  <c r="N224" i="12"/>
  <c r="AE340" i="12"/>
  <c r="AF340" i="12" s="1"/>
  <c r="N340" i="12"/>
  <c r="AB340" i="12"/>
  <c r="AC340" i="12" s="1"/>
  <c r="Y340" i="12"/>
  <c r="O340" i="12"/>
  <c r="AH340" i="12"/>
  <c r="AI340" i="12" s="1"/>
  <c r="P340" i="12"/>
  <c r="M340" i="12"/>
  <c r="AM340" i="12"/>
  <c r="L340" i="12"/>
  <c r="AO21" i="46"/>
  <c r="BF106" i="5"/>
  <c r="Z69" i="12"/>
  <c r="Y119" i="12"/>
  <c r="AH119" i="12"/>
  <c r="AI119" i="12" s="1"/>
  <c r="O119" i="12"/>
  <c r="AE119" i="12"/>
  <c r="AF119" i="12" s="1"/>
  <c r="M119" i="12"/>
  <c r="AM119" i="12"/>
  <c r="P119" i="12"/>
  <c r="AB119" i="12"/>
  <c r="AC119" i="12" s="1"/>
  <c r="Z197" i="8"/>
  <c r="F40" i="20"/>
  <c r="G40" i="20" s="1"/>
  <c r="K40" i="20" s="1"/>
  <c r="AH72" i="12"/>
  <c r="AI72" i="12" s="1"/>
  <c r="P72" i="12"/>
  <c r="N72" i="12"/>
  <c r="AE72" i="12"/>
  <c r="AF72" i="12" s="1"/>
  <c r="M72" i="12"/>
  <c r="L72" i="12"/>
  <c r="AB72" i="12"/>
  <c r="AC72" i="12" s="1"/>
  <c r="AM72" i="12"/>
  <c r="Y72" i="12"/>
  <c r="O72" i="12"/>
  <c r="Y166" i="12"/>
  <c r="O166" i="12"/>
  <c r="AB166" i="12"/>
  <c r="AC166" i="12" s="1"/>
  <c r="AM166" i="12"/>
  <c r="P166" i="12"/>
  <c r="M166" i="12"/>
  <c r="L166" i="12"/>
  <c r="AH166" i="12"/>
  <c r="AI166" i="12" s="1"/>
  <c r="AE166" i="12"/>
  <c r="AF166" i="12" s="1"/>
  <c r="N166" i="12"/>
  <c r="AO16" i="46"/>
  <c r="BF107" i="5"/>
  <c r="M355" i="12"/>
  <c r="AM355" i="12"/>
  <c r="AB355" i="12"/>
  <c r="AC355" i="12" s="1"/>
  <c r="L355" i="12"/>
  <c r="P355" i="12"/>
  <c r="N355" i="12"/>
  <c r="AE355" i="12"/>
  <c r="AF355" i="12" s="1"/>
  <c r="Y355" i="12"/>
  <c r="Z355" i="12" s="1"/>
  <c r="O355" i="12"/>
  <c r="AH355" i="12"/>
  <c r="AI355" i="12" s="1"/>
  <c r="AM220" i="12"/>
  <c r="AB220" i="12"/>
  <c r="AC220" i="12" s="1"/>
  <c r="L220" i="12"/>
  <c r="AE220" i="12"/>
  <c r="AF220" i="12" s="1"/>
  <c r="N220" i="12"/>
  <c r="Y220" i="12"/>
  <c r="P220" i="12"/>
  <c r="O220" i="12"/>
  <c r="M220" i="12"/>
  <c r="AH220" i="12"/>
  <c r="AI220" i="12" s="1"/>
  <c r="O306" i="12"/>
  <c r="AM306" i="12"/>
  <c r="AB306" i="12"/>
  <c r="AC306" i="12" s="1"/>
  <c r="L306" i="12"/>
  <c r="N306" i="12"/>
  <c r="M306" i="12"/>
  <c r="AH306" i="12"/>
  <c r="AI306" i="12" s="1"/>
  <c r="AE306" i="12"/>
  <c r="AF306" i="12" s="1"/>
  <c r="Y306" i="12"/>
  <c r="P306" i="12"/>
  <c r="AW86" i="7"/>
  <c r="BA86" i="7" s="1"/>
  <c r="G187" i="12"/>
  <c r="W187" i="12" s="1"/>
  <c r="U187" i="8"/>
  <c r="Z187" i="8" s="1"/>
  <c r="U90" i="8"/>
  <c r="Z90" i="8" s="1"/>
  <c r="G90" i="12"/>
  <c r="W90" i="12" s="1"/>
  <c r="U79" i="8"/>
  <c r="G79" i="12"/>
  <c r="W79" i="12" s="1"/>
  <c r="AW41" i="7"/>
  <c r="BA41" i="7" s="1"/>
  <c r="BA138" i="7"/>
  <c r="AU30" i="7"/>
  <c r="AY30" i="7"/>
  <c r="BA30" i="7" s="1"/>
  <c r="X53" i="8"/>
  <c r="Z53" i="8" s="1"/>
  <c r="I53" i="12"/>
  <c r="AV30" i="7"/>
  <c r="C18" i="20" s="1"/>
  <c r="Z39" i="12"/>
  <c r="AH171" i="12"/>
  <c r="AI171" i="12" s="1"/>
  <c r="P171" i="12"/>
  <c r="O171" i="12"/>
  <c r="AM171" i="12"/>
  <c r="AB171" i="12"/>
  <c r="AC171" i="12" s="1"/>
  <c r="L171" i="12"/>
  <c r="Y171" i="12"/>
  <c r="N171" i="12"/>
  <c r="M171" i="12"/>
  <c r="AE171" i="12"/>
  <c r="AF171" i="12" s="1"/>
  <c r="AE348" i="12"/>
  <c r="AF348" i="12" s="1"/>
  <c r="N348" i="12"/>
  <c r="M348" i="12"/>
  <c r="P348" i="12"/>
  <c r="AH348" i="12"/>
  <c r="AI348" i="12" s="1"/>
  <c r="AM348" i="12"/>
  <c r="O348" i="12"/>
  <c r="AB348" i="12"/>
  <c r="AC348" i="12" s="1"/>
  <c r="Y348" i="12"/>
  <c r="L348" i="12"/>
  <c r="Z147" i="12"/>
  <c r="M202" i="12"/>
  <c r="AH202" i="12"/>
  <c r="AI202" i="12" s="1"/>
  <c r="O202" i="12"/>
  <c r="AM202" i="12"/>
  <c r="Y202" i="12"/>
  <c r="N202" i="12"/>
  <c r="L202" i="12"/>
  <c r="AE202" i="12"/>
  <c r="AF202" i="12" s="1"/>
  <c r="P202" i="12"/>
  <c r="AB202" i="12"/>
  <c r="M148" i="12"/>
  <c r="AH148" i="12"/>
  <c r="AI148" i="12" s="1"/>
  <c r="N148" i="12"/>
  <c r="L148" i="12"/>
  <c r="AE148" i="12"/>
  <c r="AF148" i="12" s="1"/>
  <c r="AB148" i="12"/>
  <c r="AC148" i="12" s="1"/>
  <c r="Y148" i="12"/>
  <c r="P148" i="12"/>
  <c r="O148" i="12"/>
  <c r="AM148" i="12"/>
  <c r="BA49" i="7"/>
  <c r="L237" i="12"/>
  <c r="N41" i="9"/>
  <c r="G19" i="16"/>
  <c r="Z270" i="12"/>
  <c r="G22" i="16"/>
  <c r="Z258" i="12"/>
  <c r="AH255" i="12"/>
  <c r="AI255" i="12" s="1"/>
  <c r="P255" i="12"/>
  <c r="AM255" i="12"/>
  <c r="AB255" i="12"/>
  <c r="AC255" i="12" s="1"/>
  <c r="L255" i="12"/>
  <c r="Y255" i="12"/>
  <c r="O255" i="12"/>
  <c r="AE255" i="12"/>
  <c r="AF255" i="12" s="1"/>
  <c r="N255" i="12"/>
  <c r="M255" i="12"/>
  <c r="AU27" i="7"/>
  <c r="AY27" i="7"/>
  <c r="BA27" i="7" s="1"/>
  <c r="I45" i="12"/>
  <c r="X45" i="8"/>
  <c r="Z45" i="8" s="1"/>
  <c r="AV27" i="7"/>
  <c r="C17" i="20" s="1"/>
  <c r="G96" i="12"/>
  <c r="W96" i="12" s="1"/>
  <c r="AC41" i="10"/>
  <c r="AF41" i="10" s="1"/>
  <c r="U96" i="8"/>
  <c r="Z96" i="8" s="1"/>
  <c r="AV24" i="12"/>
  <c r="AW24" i="12" s="1"/>
  <c r="G20" i="16"/>
  <c r="AY65" i="7"/>
  <c r="BA65" i="7" s="1"/>
  <c r="AU65" i="7"/>
  <c r="X137" i="8"/>
  <c r="Z137" i="8" s="1"/>
  <c r="I137" i="12"/>
  <c r="AV65" i="7"/>
  <c r="Z44" i="8"/>
  <c r="AC23" i="10"/>
  <c r="AF23" i="10" s="1"/>
  <c r="G44" i="12"/>
  <c r="W44" i="12" s="1"/>
  <c r="AM314" i="12"/>
  <c r="AB314" i="12"/>
  <c r="AC314" i="12" s="1"/>
  <c r="L314" i="12"/>
  <c r="N314" i="12"/>
  <c r="AE314" i="12"/>
  <c r="AF314" i="12" s="1"/>
  <c r="O314" i="12"/>
  <c r="Y314" i="12"/>
  <c r="P314" i="12"/>
  <c r="M314" i="12"/>
  <c r="AH314" i="12"/>
  <c r="AI314" i="12" s="1"/>
  <c r="AM131" i="12"/>
  <c r="AB131" i="12"/>
  <c r="AC131" i="12" s="1"/>
  <c r="L131" i="12"/>
  <c r="Y131" i="12"/>
  <c r="P131" i="12"/>
  <c r="N131" i="12"/>
  <c r="AH131" i="12"/>
  <c r="AI131" i="12" s="1"/>
  <c r="AE131" i="12"/>
  <c r="AF131" i="12" s="1"/>
  <c r="O131" i="12"/>
  <c r="M131" i="12"/>
  <c r="AO26" i="46"/>
  <c r="AN23" i="46"/>
  <c r="BF110" i="5"/>
  <c r="BA132" i="7"/>
  <c r="AE211" i="12"/>
  <c r="AF211" i="12" s="1"/>
  <c r="N211" i="12"/>
  <c r="AM211" i="12"/>
  <c r="AB211" i="12"/>
  <c r="L211" i="12"/>
  <c r="O211" i="12"/>
  <c r="M211" i="12"/>
  <c r="Y211" i="12"/>
  <c r="Z211" i="12" s="1"/>
  <c r="AH211" i="12"/>
  <c r="AI211" i="12" s="1"/>
  <c r="P211" i="12"/>
  <c r="O134" i="12"/>
  <c r="AM134" i="12"/>
  <c r="Y134" i="12"/>
  <c r="AH134" i="12"/>
  <c r="AI134" i="12" s="1"/>
  <c r="N134" i="12"/>
  <c r="L134" i="12"/>
  <c r="AE134" i="12"/>
  <c r="AF134" i="12" s="1"/>
  <c r="AB134" i="12"/>
  <c r="AC134" i="12" s="1"/>
  <c r="P134" i="12"/>
  <c r="M134" i="12"/>
  <c r="Z223" i="8"/>
  <c r="BA40" i="7"/>
  <c r="BF112" i="5"/>
  <c r="N37" i="9"/>
  <c r="O37" i="9" s="1"/>
  <c r="X37" i="9" s="1"/>
  <c r="AA37" i="9" s="1"/>
  <c r="AC37" i="9" s="1"/>
  <c r="Z311" i="8"/>
  <c r="AT30" i="7"/>
  <c r="AQ53" i="12" s="1"/>
  <c r="AN21" i="46"/>
  <c r="BF105" i="5"/>
  <c r="AB102" i="12"/>
  <c r="AC102" i="12" s="1"/>
  <c r="AM102" i="12"/>
  <c r="Y102" i="12"/>
  <c r="AH102" i="12"/>
  <c r="AI102" i="12" s="1"/>
  <c r="O102" i="12"/>
  <c r="L102" i="12"/>
  <c r="AE102" i="12"/>
  <c r="AF102" i="12" s="1"/>
  <c r="P102" i="12"/>
  <c r="N102" i="12"/>
  <c r="M102" i="12"/>
  <c r="Y139" i="12"/>
  <c r="Z139" i="12" s="1"/>
  <c r="M139" i="12"/>
  <c r="P139" i="12"/>
  <c r="O139" i="12"/>
  <c r="AH139" i="12"/>
  <c r="AI139" i="12" s="1"/>
  <c r="N139" i="12"/>
  <c r="L139" i="12"/>
  <c r="AB139" i="12"/>
  <c r="AC139" i="12" s="1"/>
  <c r="AM139" i="12"/>
  <c r="AE139" i="12"/>
  <c r="AF139" i="12" s="1"/>
  <c r="AM121" i="12"/>
  <c r="AB121" i="12"/>
  <c r="AC121" i="12" s="1"/>
  <c r="L121" i="12"/>
  <c r="Y121" i="12"/>
  <c r="Z121" i="12" s="1"/>
  <c r="P121" i="12"/>
  <c r="AH121" i="12"/>
  <c r="AI121" i="12" s="1"/>
  <c r="O121" i="12"/>
  <c r="AE121" i="12"/>
  <c r="AF121" i="12" s="1"/>
  <c r="M121" i="12"/>
  <c r="N121" i="12"/>
  <c r="AM226" i="12"/>
  <c r="AB226" i="12"/>
  <c r="AC226" i="12" s="1"/>
  <c r="L226" i="12"/>
  <c r="N226" i="12"/>
  <c r="AH226" i="12"/>
  <c r="AI226" i="12" s="1"/>
  <c r="M226" i="12"/>
  <c r="AE226" i="12"/>
  <c r="AF226" i="12" s="1"/>
  <c r="O226" i="12"/>
  <c r="P226" i="12"/>
  <c r="Y42" i="12"/>
  <c r="N42" i="12"/>
  <c r="P42" i="12"/>
  <c r="O42" i="12"/>
  <c r="AH42" i="12"/>
  <c r="AI42" i="12" s="1"/>
  <c r="M42" i="12"/>
  <c r="AE42" i="12"/>
  <c r="AF42" i="12" s="1"/>
  <c r="L42" i="12"/>
  <c r="AM42" i="12"/>
  <c r="AB42" i="12"/>
  <c r="AC42" i="12" s="1"/>
  <c r="AM198" i="12"/>
  <c r="AH198" i="12"/>
  <c r="AI198" i="12" s="1"/>
  <c r="N198" i="12"/>
  <c r="M198" i="12"/>
  <c r="AB198" i="12"/>
  <c r="AC198" i="12" s="1"/>
  <c r="Y198" i="12"/>
  <c r="P198" i="12"/>
  <c r="AE198" i="12"/>
  <c r="AF198" i="12" s="1"/>
  <c r="O198" i="12"/>
  <c r="L198" i="12"/>
  <c r="Z4" i="46"/>
  <c r="Y41" i="12"/>
  <c r="Z41" i="12" s="1"/>
  <c r="O41" i="12"/>
  <c r="AH41" i="12"/>
  <c r="AI41" i="12" s="1"/>
  <c r="N41" i="12"/>
  <c r="M41" i="12"/>
  <c r="AE41" i="12"/>
  <c r="AF41" i="12" s="1"/>
  <c r="L41" i="12"/>
  <c r="AM41" i="12"/>
  <c r="AB41" i="12"/>
  <c r="AC41" i="12" s="1"/>
  <c r="P41" i="12"/>
  <c r="AC67" i="10"/>
  <c r="AF67" i="10" s="1"/>
  <c r="U176" i="8"/>
  <c r="Z176" i="8" s="1"/>
  <c r="G176" i="12"/>
  <c r="W176" i="12" s="1"/>
  <c r="AE356" i="12"/>
  <c r="AF356" i="12" s="1"/>
  <c r="N356" i="12"/>
  <c r="M356" i="12"/>
  <c r="AM356" i="12"/>
  <c r="Y356" i="12"/>
  <c r="O356" i="12"/>
  <c r="L356" i="12"/>
  <c r="P356" i="12"/>
  <c r="AH356" i="12"/>
  <c r="AI356" i="12" s="1"/>
  <c r="AB356" i="12"/>
  <c r="AC356" i="12" s="1"/>
  <c r="M4" i="6"/>
  <c r="AO30" i="46"/>
  <c r="BF232" i="5"/>
  <c r="AH225" i="12"/>
  <c r="AI225" i="12" s="1"/>
  <c r="P225" i="12"/>
  <c r="Y225" i="12"/>
  <c r="Z225" i="12" s="1"/>
  <c r="O225" i="12"/>
  <c r="AM225" i="12"/>
  <c r="N225" i="12"/>
  <c r="M225" i="12"/>
  <c r="L225" i="12"/>
  <c r="AE225" i="12"/>
  <c r="AF225" i="12" s="1"/>
  <c r="AB225" i="12"/>
  <c r="AC225" i="12" s="1"/>
  <c r="N217" i="12"/>
  <c r="L217" i="12"/>
  <c r="Z267" i="12"/>
  <c r="Z358" i="12"/>
  <c r="M339" i="12"/>
  <c r="N339" i="12"/>
  <c r="AM339" i="12"/>
  <c r="O339" i="12"/>
  <c r="AH339" i="12"/>
  <c r="AI339" i="12" s="1"/>
  <c r="Y339" i="12"/>
  <c r="AE339" i="12"/>
  <c r="AF339" i="12" s="1"/>
  <c r="AB339" i="12"/>
  <c r="AC339" i="12" s="1"/>
  <c r="P339" i="12"/>
  <c r="L339" i="12"/>
  <c r="Z122" i="12"/>
  <c r="Z304" i="12"/>
  <c r="M114" i="12"/>
  <c r="N114" i="12"/>
  <c r="AE114" i="12"/>
  <c r="AF114" i="12" s="1"/>
  <c r="L114" i="12"/>
  <c r="AB114" i="12"/>
  <c r="AC114" i="12" s="1"/>
  <c r="AH114" i="12"/>
  <c r="AI114" i="12" s="1"/>
  <c r="O114" i="12"/>
  <c r="Y114" i="12"/>
  <c r="P114" i="12"/>
  <c r="AM114" i="12"/>
  <c r="L169" i="12"/>
  <c r="N143" i="12"/>
  <c r="AN40" i="46"/>
  <c r="AT27" i="7"/>
  <c r="AQ45" i="12" s="1"/>
  <c r="Z85" i="12"/>
  <c r="Z46" i="12"/>
  <c r="L161" i="12"/>
  <c r="AU134" i="7"/>
  <c r="AY134" i="7"/>
  <c r="BA134" i="7" s="1"/>
  <c r="X301" i="8"/>
  <c r="Z301" i="8" s="1"/>
  <c r="I301" i="12"/>
  <c r="AV134" i="7"/>
  <c r="Z196" i="12"/>
  <c r="AT65" i="7"/>
  <c r="AQ137" i="12" s="1"/>
  <c r="N26" i="9"/>
  <c r="O26" i="9" s="1"/>
  <c r="X26" i="9" s="1"/>
  <c r="AA26" i="9" s="1"/>
  <c r="AC26" i="9" s="1"/>
  <c r="U55" i="8"/>
  <c r="AW31" i="7"/>
  <c r="G55" i="12"/>
  <c r="W55" i="12" s="1"/>
  <c r="BA122" i="7"/>
  <c r="AE239" i="12"/>
  <c r="AF239" i="12" s="1"/>
  <c r="N239" i="12"/>
  <c r="AM239" i="12"/>
  <c r="AB239" i="12"/>
  <c r="AC239" i="12" s="1"/>
  <c r="L239" i="12"/>
  <c r="AH239" i="12"/>
  <c r="AI239" i="12" s="1"/>
  <c r="M239" i="12"/>
  <c r="P239" i="12"/>
  <c r="O239" i="12"/>
  <c r="AN32" i="46"/>
  <c r="L317" i="12"/>
  <c r="AH77" i="12"/>
  <c r="AI77" i="12" s="1"/>
  <c r="P77" i="12"/>
  <c r="N77" i="12"/>
  <c r="AE77" i="12"/>
  <c r="AF77" i="12" s="1"/>
  <c r="M77" i="12"/>
  <c r="L77" i="12"/>
  <c r="Y77" i="12"/>
  <c r="Z77" i="12" s="1"/>
  <c r="AB77" i="12"/>
  <c r="AC77" i="12" s="1"/>
  <c r="AM77" i="12"/>
  <c r="O77" i="12"/>
  <c r="AU110" i="7"/>
  <c r="AY110" i="7"/>
  <c r="BA110" i="7" s="1"/>
  <c r="X245" i="8"/>
  <c r="Z245" i="8" s="1"/>
  <c r="I245" i="12"/>
  <c r="AV110" i="7"/>
  <c r="Z350" i="12"/>
  <c r="AM52" i="12"/>
  <c r="AB52" i="12"/>
  <c r="AC52" i="12" s="1"/>
  <c r="L52" i="12"/>
  <c r="Y52" i="12"/>
  <c r="P52" i="12"/>
  <c r="O52" i="12"/>
  <c r="N52" i="12"/>
  <c r="AH52" i="12"/>
  <c r="AI52" i="12" s="1"/>
  <c r="M52" i="12"/>
  <c r="AE52" i="12"/>
  <c r="AF52" i="12" s="1"/>
  <c r="Z318" i="12"/>
  <c r="Z156" i="12"/>
  <c r="AO25" i="46"/>
  <c r="BF162" i="5"/>
  <c r="AH305" i="12"/>
  <c r="AI305" i="12" s="1"/>
  <c r="P305" i="12"/>
  <c r="AE305" i="12"/>
  <c r="AF305" i="12" s="1"/>
  <c r="N305" i="12"/>
  <c r="Y305" i="12"/>
  <c r="Z305" i="12" s="1"/>
  <c r="AM305" i="12"/>
  <c r="O305" i="12"/>
  <c r="M305" i="12"/>
  <c r="L305" i="12"/>
  <c r="AB305" i="12"/>
  <c r="AC305" i="12" s="1"/>
  <c r="AU50" i="7"/>
  <c r="AY50" i="7"/>
  <c r="BA50" i="7" s="1"/>
  <c r="I101" i="12"/>
  <c r="X101" i="8"/>
  <c r="Z101" i="8" s="1"/>
  <c r="AV50" i="7"/>
  <c r="AE54" i="12"/>
  <c r="AF54" i="12" s="1"/>
  <c r="N54" i="12"/>
  <c r="M54" i="12"/>
  <c r="L54" i="12"/>
  <c r="AB54" i="12"/>
  <c r="AC54" i="12" s="1"/>
  <c r="AM54" i="12"/>
  <c r="O54" i="12"/>
  <c r="AH54" i="12"/>
  <c r="AI54" i="12" s="1"/>
  <c r="Y54" i="12"/>
  <c r="P54" i="12"/>
  <c r="Z326" i="12"/>
  <c r="Z136" i="12"/>
  <c r="AC55" i="10"/>
  <c r="AF55" i="10" s="1"/>
  <c r="U140" i="8"/>
  <c r="Z140" i="8" s="1"/>
  <c r="G140" i="12"/>
  <c r="W140" i="12" s="1"/>
  <c r="Y344" i="12"/>
  <c r="N344" i="12"/>
  <c r="AB344" i="12"/>
  <c r="AC344" i="12" s="1"/>
  <c r="AH344" i="12"/>
  <c r="AI344" i="12" s="1"/>
  <c r="L344" i="12"/>
  <c r="AM344" i="12"/>
  <c r="P344" i="12"/>
  <c r="AE344" i="12"/>
  <c r="AF344" i="12" s="1"/>
  <c r="O344" i="12"/>
  <c r="M344" i="12"/>
  <c r="Z346" i="12"/>
  <c r="Z27" i="12"/>
  <c r="AY100" i="7"/>
  <c r="BA100" i="7" s="1"/>
  <c r="AU100" i="7"/>
  <c r="X221" i="8"/>
  <c r="Z221" i="8" s="1"/>
  <c r="I221" i="12"/>
  <c r="AV100" i="7"/>
  <c r="Z182" i="12"/>
  <c r="AE37" i="12"/>
  <c r="AF37" i="12" s="1"/>
  <c r="M37" i="12"/>
  <c r="AB37" i="12"/>
  <c r="AC37" i="12" s="1"/>
  <c r="AM37" i="12"/>
  <c r="Y37" i="12"/>
  <c r="P37" i="12"/>
  <c r="AH37" i="12"/>
  <c r="AI37" i="12" s="1"/>
  <c r="O37" i="12"/>
  <c r="C30" i="20"/>
  <c r="M280" i="12"/>
  <c r="AE280" i="12"/>
  <c r="AF280" i="12" s="1"/>
  <c r="AB280" i="12"/>
  <c r="AC280" i="12" s="1"/>
  <c r="AM280" i="12"/>
  <c r="Y280" i="12"/>
  <c r="P280" i="12"/>
  <c r="AH280" i="12"/>
  <c r="AI280" i="12" s="1"/>
  <c r="O280" i="12"/>
  <c r="N280" i="12"/>
  <c r="L280" i="12"/>
  <c r="M28" i="12"/>
  <c r="O28" i="12"/>
  <c r="N28" i="12"/>
  <c r="AE28" i="12"/>
  <c r="AF28" i="12" s="1"/>
  <c r="L28" i="12"/>
  <c r="P28" i="12"/>
  <c r="AM28" i="12"/>
  <c r="Z290" i="12"/>
  <c r="U95" i="8"/>
  <c r="Z95" i="8" s="1"/>
  <c r="AW48" i="7"/>
  <c r="BA48" i="7" s="1"/>
  <c r="G95" i="12"/>
  <c r="W95" i="12" s="1"/>
  <c r="Z232" i="12"/>
  <c r="N58" i="9"/>
  <c r="O58" i="9" s="1"/>
  <c r="X58" i="9" s="1"/>
  <c r="AA58" i="9" s="1"/>
  <c r="AC58" i="9" s="1"/>
  <c r="AO34" i="46"/>
  <c r="BF288" i="5"/>
  <c r="Z154" i="12"/>
  <c r="U199" i="8"/>
  <c r="Z199" i="8" s="1"/>
  <c r="G199" i="12"/>
  <c r="W199" i="12" s="1"/>
  <c r="AW91" i="7"/>
  <c r="BA91" i="7" s="1"/>
  <c r="AT100" i="7"/>
  <c r="AQ221" i="12" s="1"/>
  <c r="AU143" i="7"/>
  <c r="AY143" i="7"/>
  <c r="BA143" i="7" s="1"/>
  <c r="X323" i="8"/>
  <c r="Z323" i="8" s="1"/>
  <c r="I323" i="12"/>
  <c r="L323" i="12" s="1"/>
  <c r="AV143" i="7"/>
  <c r="U127" i="8"/>
  <c r="Z127" i="8" s="1"/>
  <c r="AW61" i="7"/>
  <c r="BA61" i="7" s="1"/>
  <c r="G127" i="12"/>
  <c r="W127" i="12" s="1"/>
  <c r="AM60" i="12"/>
  <c r="AB60" i="12"/>
  <c r="AC60" i="12" s="1"/>
  <c r="L60" i="12"/>
  <c r="Y60" i="12"/>
  <c r="M60" i="12"/>
  <c r="AH60" i="12"/>
  <c r="AI60" i="12" s="1"/>
  <c r="AE60" i="12"/>
  <c r="AF60" i="12" s="1"/>
  <c r="O60" i="12"/>
  <c r="P60" i="12"/>
  <c r="N60" i="12"/>
  <c r="AB316" i="12"/>
  <c r="AC316" i="12" s="1"/>
  <c r="AM316" i="12"/>
  <c r="Y316" i="12"/>
  <c r="AE316" i="12"/>
  <c r="AF316" i="12" s="1"/>
  <c r="M316" i="12"/>
  <c r="P316" i="12"/>
  <c r="O316" i="12"/>
  <c r="N316" i="12"/>
  <c r="L316" i="12"/>
  <c r="AH316" i="12"/>
  <c r="AI316" i="12" s="1"/>
  <c r="L112" i="12"/>
  <c r="AB112" i="12"/>
  <c r="AC112" i="12" s="1"/>
  <c r="AM112" i="12"/>
  <c r="Y112" i="12"/>
  <c r="AH112" i="12"/>
  <c r="AI112" i="12" s="1"/>
  <c r="O112" i="12"/>
  <c r="AE112" i="12"/>
  <c r="AF112" i="12" s="1"/>
  <c r="M112" i="12"/>
  <c r="P112" i="12"/>
  <c r="N112" i="12"/>
  <c r="Z70" i="12"/>
  <c r="AN37" i="46"/>
  <c r="BF329" i="5"/>
  <c r="Z74" i="12"/>
  <c r="AN33" i="46"/>
  <c r="BF273" i="5"/>
  <c r="BA90" i="7"/>
  <c r="O116" i="12"/>
  <c r="Y116" i="12"/>
  <c r="P116" i="12"/>
  <c r="AH116" i="12"/>
  <c r="AI116" i="12" s="1"/>
  <c r="N116" i="12"/>
  <c r="L116" i="12"/>
  <c r="AM116" i="12"/>
  <c r="M116" i="12"/>
  <c r="AE116" i="12"/>
  <c r="AF116" i="12" s="1"/>
  <c r="AB116" i="12"/>
  <c r="AC116" i="12" s="1"/>
  <c r="AH323" i="12"/>
  <c r="AI323" i="12" s="1"/>
  <c r="P323" i="12"/>
  <c r="AE323" i="12"/>
  <c r="AF323" i="12" s="1"/>
  <c r="M323" i="12"/>
  <c r="AB323" i="12"/>
  <c r="AC323" i="12" s="1"/>
  <c r="AM323" i="12"/>
  <c r="O323" i="12"/>
  <c r="Y323" i="12"/>
  <c r="Z323" i="12" s="1"/>
  <c r="Z327" i="12"/>
  <c r="Y33" i="12"/>
  <c r="Z33" i="12" s="1"/>
  <c r="P33" i="12"/>
  <c r="AH33" i="12"/>
  <c r="AI33" i="12" s="1"/>
  <c r="O33" i="12"/>
  <c r="AE33" i="12"/>
  <c r="AF33" i="12" s="1"/>
  <c r="M33" i="12"/>
  <c r="AM33" i="12"/>
  <c r="AB33" i="12"/>
  <c r="AC33" i="12" s="1"/>
  <c r="BA70" i="7"/>
  <c r="N73" i="9"/>
  <c r="O73" i="9" s="1"/>
  <c r="X73" i="9" s="1"/>
  <c r="AA73" i="9" s="1"/>
  <c r="AC73" i="9" s="1"/>
  <c r="AE135" i="12"/>
  <c r="AF135" i="12" s="1"/>
  <c r="N135" i="12"/>
  <c r="O135" i="12"/>
  <c r="AH135" i="12"/>
  <c r="AI135" i="12" s="1"/>
  <c r="M135" i="12"/>
  <c r="L135" i="12"/>
  <c r="P135" i="12"/>
  <c r="AM135" i="12"/>
  <c r="AB135" i="12"/>
  <c r="AC135" i="12" s="1"/>
  <c r="Y135" i="12"/>
  <c r="U175" i="8"/>
  <c r="Z175" i="8" s="1"/>
  <c r="G175" i="12"/>
  <c r="W175" i="12" s="1"/>
  <c r="AW81" i="7"/>
  <c r="BA81" i="7" s="1"/>
  <c r="AH342" i="12"/>
  <c r="AI342" i="12" s="1"/>
  <c r="P342" i="12"/>
  <c r="AE342" i="12"/>
  <c r="AF342" i="12" s="1"/>
  <c r="M342" i="12"/>
  <c r="AM342" i="12"/>
  <c r="O342" i="12"/>
  <c r="L342" i="12"/>
  <c r="AB342" i="12"/>
  <c r="AC342" i="12" s="1"/>
  <c r="N342" i="12"/>
  <c r="Y342" i="12"/>
  <c r="AE125" i="12"/>
  <c r="AF125" i="12" s="1"/>
  <c r="N125" i="12"/>
  <c r="AB125" i="12"/>
  <c r="AC125" i="12" s="1"/>
  <c r="AM125" i="12"/>
  <c r="Y125" i="12"/>
  <c r="Z125" i="12" s="1"/>
  <c r="P125" i="12"/>
  <c r="L125" i="12"/>
  <c r="AH125" i="12"/>
  <c r="AI125" i="12" s="1"/>
  <c r="O125" i="12"/>
  <c r="M125" i="12"/>
  <c r="AE177" i="12"/>
  <c r="AF177" i="12" s="1"/>
  <c r="N177" i="12"/>
  <c r="M177" i="12"/>
  <c r="Y177" i="12"/>
  <c r="Z177" i="12" s="1"/>
  <c r="AH177" i="12"/>
  <c r="AI177" i="12" s="1"/>
  <c r="P177" i="12"/>
  <c r="O177" i="12"/>
  <c r="L177" i="12"/>
  <c r="AM177" i="12"/>
  <c r="AB177" i="12"/>
  <c r="AC177" i="12" s="1"/>
  <c r="AX101" i="5"/>
  <c r="AE133" i="12"/>
  <c r="AF133" i="12" s="1"/>
  <c r="N133" i="12"/>
  <c r="L133" i="12"/>
  <c r="AB133" i="12"/>
  <c r="AC133" i="12" s="1"/>
  <c r="AM133" i="12"/>
  <c r="AH133" i="12"/>
  <c r="AI133" i="12" s="1"/>
  <c r="Y133" i="12"/>
  <c r="Z133" i="12" s="1"/>
  <c r="P133" i="12"/>
  <c r="O133" i="12"/>
  <c r="M133" i="12"/>
  <c r="AN24" i="46"/>
  <c r="BF147" i="5"/>
  <c r="AH172" i="12"/>
  <c r="AI172" i="12" s="1"/>
  <c r="P172" i="12"/>
  <c r="M172" i="12"/>
  <c r="AM172" i="12"/>
  <c r="AB172" i="12"/>
  <c r="AC172" i="12" s="1"/>
  <c r="L172" i="12"/>
  <c r="Y172" i="12"/>
  <c r="O172" i="12"/>
  <c r="N172" i="12"/>
  <c r="AE172" i="12"/>
  <c r="AF172" i="12" s="1"/>
  <c r="O206" i="12"/>
  <c r="N206" i="12"/>
  <c r="M206" i="12"/>
  <c r="AB206" i="12"/>
  <c r="Y206" i="12"/>
  <c r="AM206" i="12"/>
  <c r="AH206" i="12"/>
  <c r="AI206" i="12" s="1"/>
  <c r="AE206" i="12"/>
  <c r="AF206" i="12" s="1"/>
  <c r="P206" i="12"/>
  <c r="L206" i="12"/>
  <c r="BA111" i="7"/>
  <c r="O194" i="12"/>
  <c r="AB194" i="12"/>
  <c r="AC194" i="12" s="1"/>
  <c r="Y194" i="12"/>
  <c r="P194" i="12"/>
  <c r="AE194" i="12"/>
  <c r="AF194" i="12" s="1"/>
  <c r="N194" i="12"/>
  <c r="M194" i="12"/>
  <c r="L194" i="12"/>
  <c r="AM194" i="12"/>
  <c r="AH194" i="12"/>
  <c r="AI194" i="12" s="1"/>
  <c r="Z338" i="12"/>
  <c r="Z109" i="8"/>
  <c r="N77" i="9"/>
  <c r="O77" i="9" s="1"/>
  <c r="X77" i="9" s="1"/>
  <c r="AA77" i="9" s="1"/>
  <c r="AC77" i="9" s="1"/>
  <c r="M288" i="12"/>
  <c r="AE288" i="12"/>
  <c r="AF288" i="12" s="1"/>
  <c r="AB288" i="12"/>
  <c r="AC288" i="12" s="1"/>
  <c r="AM288" i="12"/>
  <c r="Y288" i="12"/>
  <c r="P288" i="12"/>
  <c r="AH288" i="12"/>
  <c r="AI288" i="12" s="1"/>
  <c r="O288" i="12"/>
  <c r="N288" i="12"/>
  <c r="L288" i="12"/>
  <c r="AT143" i="7"/>
  <c r="AQ323" i="12" s="1"/>
  <c r="N53" i="9"/>
  <c r="O53" i="9" s="1"/>
  <c r="X53" i="9" s="1"/>
  <c r="AA53" i="9" s="1"/>
  <c r="AC53" i="9" s="1"/>
  <c r="N42" i="9"/>
  <c r="AH64" i="12"/>
  <c r="AI64" i="12" s="1"/>
  <c r="P64" i="12"/>
  <c r="O64" i="12"/>
  <c r="N64" i="12"/>
  <c r="AE64" i="12"/>
  <c r="AF64" i="12" s="1"/>
  <c r="M64" i="12"/>
  <c r="L64" i="12"/>
  <c r="Y64" i="12"/>
  <c r="AM64" i="12"/>
  <c r="AB64" i="12"/>
  <c r="AC64" i="12" s="1"/>
  <c r="O204" i="12"/>
  <c r="AM204" i="12"/>
  <c r="N204" i="12"/>
  <c r="AH204" i="12"/>
  <c r="AI204" i="12" s="1"/>
  <c r="M204" i="12"/>
  <c r="AB204" i="12"/>
  <c r="Y204" i="12"/>
  <c r="AE204" i="12"/>
  <c r="AF204" i="12" s="1"/>
  <c r="P204" i="12"/>
  <c r="L204" i="12"/>
  <c r="AY145" i="7"/>
  <c r="BA145" i="7" s="1"/>
  <c r="AU145" i="7"/>
  <c r="X329" i="8"/>
  <c r="Z329" i="8" s="1"/>
  <c r="I329" i="12"/>
  <c r="AV145" i="7"/>
  <c r="Z302" i="12"/>
  <c r="AM160" i="12"/>
  <c r="AB160" i="12"/>
  <c r="AC160" i="12" s="1"/>
  <c r="L160" i="12"/>
  <c r="Y160" i="12"/>
  <c r="P160" i="12"/>
  <c r="AH160" i="12"/>
  <c r="AI160" i="12" s="1"/>
  <c r="O160" i="12"/>
  <c r="N160" i="12"/>
  <c r="AE160" i="12"/>
  <c r="AF160" i="12" s="1"/>
  <c r="M160" i="12"/>
  <c r="AH197" i="12"/>
  <c r="AI197" i="12" s="1"/>
  <c r="P197" i="12"/>
  <c r="N197" i="12"/>
  <c r="O197" i="12"/>
  <c r="M197" i="12"/>
  <c r="AB197" i="12"/>
  <c r="AC197" i="12" s="1"/>
  <c r="AM197" i="12"/>
  <c r="Y197" i="12"/>
  <c r="Z197" i="12" s="1"/>
  <c r="AE197" i="12"/>
  <c r="AF197" i="12" s="1"/>
  <c r="L197" i="12"/>
  <c r="AM81" i="12"/>
  <c r="AB81" i="12"/>
  <c r="AC81" i="12" s="1"/>
  <c r="Y81" i="12"/>
  <c r="P81" i="12"/>
  <c r="AE81" i="12"/>
  <c r="AF81" i="12" s="1"/>
  <c r="M81" i="12"/>
  <c r="O81" i="12"/>
  <c r="AH81" i="12"/>
  <c r="AI81" i="12" s="1"/>
  <c r="Y149" i="12"/>
  <c r="Z149" i="12" s="1"/>
  <c r="AE149" i="12"/>
  <c r="AF149" i="12" s="1"/>
  <c r="N149" i="12"/>
  <c r="P149" i="12"/>
  <c r="O149" i="12"/>
  <c r="AH149" i="12"/>
  <c r="AI149" i="12" s="1"/>
  <c r="M149" i="12"/>
  <c r="AM149" i="12"/>
  <c r="AB149" i="12"/>
  <c r="AC149" i="12" s="1"/>
  <c r="L149" i="12"/>
  <c r="Z34" i="12"/>
  <c r="L251" i="12"/>
  <c r="Z48" i="12"/>
  <c r="AU48" i="12" s="1"/>
  <c r="AN48" i="12"/>
  <c r="O106" i="12"/>
  <c r="P106" i="12"/>
  <c r="L106" i="12"/>
  <c r="AH106" i="12"/>
  <c r="AI106" i="12" s="1"/>
  <c r="AE106" i="12"/>
  <c r="AF106" i="12" s="1"/>
  <c r="AB106" i="12"/>
  <c r="AC106" i="12" s="1"/>
  <c r="Y106" i="12"/>
  <c r="N106" i="12"/>
  <c r="AM106" i="12"/>
  <c r="M106" i="12"/>
  <c r="AU55" i="7"/>
  <c r="AY55" i="7"/>
  <c r="BA55" i="7" s="1"/>
  <c r="X113" i="8"/>
  <c r="Z113" i="8" s="1"/>
  <c r="I113" i="12"/>
  <c r="AV55" i="7"/>
  <c r="AU98" i="7"/>
  <c r="AY98" i="7"/>
  <c r="BA98" i="7" s="1"/>
  <c r="I215" i="12"/>
  <c r="X215" i="8"/>
  <c r="Z215" i="8" s="1"/>
  <c r="AV98" i="7"/>
  <c r="C31" i="20" s="1"/>
  <c r="O349" i="12"/>
  <c r="AE349" i="12"/>
  <c r="AF349" i="12" s="1"/>
  <c r="N349" i="12"/>
  <c r="P349" i="12"/>
  <c r="L349" i="12"/>
  <c r="AH349" i="12"/>
  <c r="AI349" i="12" s="1"/>
  <c r="Y349" i="12"/>
  <c r="Z349" i="12" s="1"/>
  <c r="AM349" i="12"/>
  <c r="AB349" i="12"/>
  <c r="AC349" i="12" s="1"/>
  <c r="M349" i="12"/>
  <c r="L213" i="12"/>
  <c r="Z121" i="8"/>
  <c r="AU157" i="7"/>
  <c r="AY157" i="7"/>
  <c r="BA157" i="7" s="1"/>
  <c r="X357" i="8"/>
  <c r="Z357" i="8" s="1"/>
  <c r="I357" i="12"/>
  <c r="AV157" i="7"/>
  <c r="O240" i="12"/>
  <c r="M240" i="12"/>
  <c r="AM240" i="12"/>
  <c r="P240" i="12"/>
  <c r="L240" i="12"/>
  <c r="AH240" i="12"/>
  <c r="AI240" i="12" s="1"/>
  <c r="AB240" i="12"/>
  <c r="AC240" i="12" s="1"/>
  <c r="AE240" i="12"/>
  <c r="AF240" i="12" s="1"/>
  <c r="N240" i="12"/>
  <c r="AN41" i="46"/>
  <c r="BF385" i="5"/>
  <c r="M61" i="12"/>
  <c r="P61" i="12"/>
  <c r="AH61" i="12"/>
  <c r="AI61" i="12" s="1"/>
  <c r="O61" i="12"/>
  <c r="N61" i="12"/>
  <c r="AB61" i="12"/>
  <c r="AC61" i="12" s="1"/>
  <c r="Y61" i="12"/>
  <c r="Z61" i="12" s="1"/>
  <c r="L61" i="12"/>
  <c r="AE61" i="12"/>
  <c r="AF61" i="12" s="1"/>
  <c r="AM61" i="12"/>
  <c r="AO20" i="46"/>
  <c r="Z41" i="8"/>
  <c r="N70" i="9"/>
  <c r="O70" i="9" s="1"/>
  <c r="X70" i="9" s="1"/>
  <c r="AA70" i="9" s="1"/>
  <c r="AC70" i="9" s="1"/>
  <c r="Z225" i="8"/>
  <c r="Z190" i="12"/>
  <c r="U331" i="8"/>
  <c r="Z331" i="8" s="1"/>
  <c r="G331" i="12"/>
  <c r="W331" i="12" s="1"/>
  <c r="AW146" i="7"/>
  <c r="BA146" i="7" s="1"/>
  <c r="AN16" i="46"/>
  <c r="N169" i="12"/>
  <c r="U169" i="12" s="1"/>
  <c r="AK169" i="12" s="1"/>
  <c r="AL169" i="12" s="1"/>
  <c r="AU169" i="12" s="1"/>
  <c r="G307" i="12"/>
  <c r="W307" i="12" s="1"/>
  <c r="AW136" i="7"/>
  <c r="U307" i="8"/>
  <c r="Z336" i="12"/>
  <c r="G151" i="12"/>
  <c r="W151" i="12" s="1"/>
  <c r="U151" i="8"/>
  <c r="Z151" i="8" s="1"/>
  <c r="AW71" i="7"/>
  <c r="BA71" i="7" s="1"/>
  <c r="AH107" i="12"/>
  <c r="AI107" i="12" s="1"/>
  <c r="P107" i="12"/>
  <c r="L107" i="12"/>
  <c r="AB107" i="12"/>
  <c r="AC107" i="12" s="1"/>
  <c r="AM107" i="12"/>
  <c r="AE107" i="12"/>
  <c r="AF107" i="12" s="1"/>
  <c r="Y107" i="12"/>
  <c r="Z107" i="12" s="1"/>
  <c r="O107" i="12"/>
  <c r="N107" i="12"/>
  <c r="M107" i="12"/>
  <c r="Z50" i="12"/>
  <c r="AO37" i="46"/>
  <c r="BF330" i="5"/>
  <c r="AT134" i="7"/>
  <c r="AQ301" i="12" s="1"/>
  <c r="AH310" i="12"/>
  <c r="AI310" i="12" s="1"/>
  <c r="P310" i="12"/>
  <c r="L310" i="12"/>
  <c r="AM310" i="12"/>
  <c r="Y310" i="12"/>
  <c r="O310" i="12"/>
  <c r="AE310" i="12"/>
  <c r="AF310" i="12" s="1"/>
  <c r="N310" i="12"/>
  <c r="M310" i="12"/>
  <c r="AB310" i="12"/>
  <c r="AC310" i="12" s="1"/>
  <c r="M45" i="12"/>
  <c r="AE45" i="12"/>
  <c r="AF45" i="12" s="1"/>
  <c r="AM45" i="12"/>
  <c r="Y45" i="12"/>
  <c r="Z45" i="12" s="1"/>
  <c r="P45" i="12"/>
  <c r="O45" i="12"/>
  <c r="AH45" i="12"/>
  <c r="AI45" i="12" s="1"/>
  <c r="AB45" i="12"/>
  <c r="AC45" i="12" s="1"/>
  <c r="AU127" i="7"/>
  <c r="AY127" i="7"/>
  <c r="BA127" i="7" s="1"/>
  <c r="X285" i="8"/>
  <c r="Z285" i="8" s="1"/>
  <c r="I285" i="12"/>
  <c r="AV127" i="7"/>
  <c r="N29" i="9"/>
  <c r="O29" i="9" s="1"/>
  <c r="X29" i="9" s="1"/>
  <c r="AA29" i="9" s="1"/>
  <c r="AC29" i="9" s="1"/>
  <c r="Z273" i="8"/>
  <c r="AU158" i="7"/>
  <c r="AY158" i="7"/>
  <c r="BA158" i="7" s="1"/>
  <c r="X359" i="8"/>
  <c r="Z359" i="8" s="1"/>
  <c r="I359" i="12"/>
  <c r="AV158" i="7"/>
  <c r="Z275" i="8"/>
  <c r="L347" i="12"/>
  <c r="AO18" i="46"/>
  <c r="BF64" i="5"/>
  <c r="L21" i="12"/>
  <c r="N21" i="12"/>
  <c r="AO39" i="46"/>
  <c r="BF358" i="5"/>
  <c r="L80" i="12"/>
  <c r="AB80" i="12"/>
  <c r="AC80" i="12" s="1"/>
  <c r="AM80" i="12"/>
  <c r="Y80" i="12"/>
  <c r="AH80" i="12"/>
  <c r="AI80" i="12" s="1"/>
  <c r="O80" i="12"/>
  <c r="AE80" i="12"/>
  <c r="AF80" i="12" s="1"/>
  <c r="P80" i="12"/>
  <c r="N80" i="12"/>
  <c r="M80" i="12"/>
  <c r="AE83" i="12"/>
  <c r="AF83" i="12" s="1"/>
  <c r="N83" i="12"/>
  <c r="L83" i="12"/>
  <c r="AB83" i="12"/>
  <c r="AC83" i="12" s="1"/>
  <c r="AM83" i="12"/>
  <c r="P83" i="12"/>
  <c r="M83" i="12"/>
  <c r="O83" i="12"/>
  <c r="AH83" i="12"/>
  <c r="AI83" i="12" s="1"/>
  <c r="Y83" i="12"/>
  <c r="Z83" i="12" s="1"/>
  <c r="Z108" i="12"/>
  <c r="Y109" i="12"/>
  <c r="Z109" i="12" s="1"/>
  <c r="N109" i="12"/>
  <c r="AE109" i="12"/>
  <c r="AF109" i="12" s="1"/>
  <c r="M109" i="12"/>
  <c r="L109" i="12"/>
  <c r="AM109" i="12"/>
  <c r="AH109" i="12"/>
  <c r="AI109" i="12" s="1"/>
  <c r="AB109" i="12"/>
  <c r="AC109" i="12" s="1"/>
  <c r="P109" i="12"/>
  <c r="O109" i="12"/>
  <c r="AY142" i="7"/>
  <c r="BA142" i="7" s="1"/>
  <c r="AU142" i="7"/>
  <c r="X321" i="8"/>
  <c r="Z321" i="8" s="1"/>
  <c r="I321" i="12"/>
  <c r="AV142" i="7"/>
  <c r="AA4" i="46"/>
  <c r="AY128" i="7"/>
  <c r="BA128" i="7" s="1"/>
  <c r="AU128" i="7"/>
  <c r="X287" i="8"/>
  <c r="Z287" i="8" s="1"/>
  <c r="I287" i="12"/>
  <c r="L287" i="12" s="1"/>
  <c r="AV128" i="7"/>
  <c r="Z330" i="12"/>
  <c r="AN330" i="12"/>
  <c r="AE271" i="12"/>
  <c r="AF271" i="12" s="1"/>
  <c r="N271" i="12"/>
  <c r="AM271" i="12"/>
  <c r="AB271" i="12"/>
  <c r="AC271" i="12" s="1"/>
  <c r="L271" i="12"/>
  <c r="M271" i="12"/>
  <c r="AH271" i="12"/>
  <c r="AI271" i="12" s="1"/>
  <c r="P271" i="12"/>
  <c r="Y271" i="12"/>
  <c r="Z271" i="12" s="1"/>
  <c r="O271" i="12"/>
  <c r="AN38" i="46"/>
  <c r="AH4" i="46"/>
  <c r="N201" i="12"/>
  <c r="L201" i="12"/>
  <c r="AT145" i="7"/>
  <c r="AQ329" i="12" s="1"/>
  <c r="M142" i="12"/>
  <c r="AH142" i="12"/>
  <c r="AI142" i="12" s="1"/>
  <c r="P142" i="12"/>
  <c r="AE142" i="12"/>
  <c r="AF142" i="12" s="1"/>
  <c r="AB142" i="12"/>
  <c r="AC142" i="12" s="1"/>
  <c r="AM142" i="12"/>
  <c r="Y142" i="12"/>
  <c r="O142" i="12"/>
  <c r="L142" i="12"/>
  <c r="N142" i="12"/>
  <c r="O212" i="12"/>
  <c r="M212" i="12"/>
  <c r="AE212" i="12"/>
  <c r="AF212" i="12" s="1"/>
  <c r="N212" i="12"/>
  <c r="AM212" i="12"/>
  <c r="P212" i="12"/>
  <c r="L212" i="12"/>
  <c r="AB212" i="12"/>
  <c r="Y212" i="12"/>
  <c r="AH212" i="12"/>
  <c r="AI212" i="12" s="1"/>
  <c r="O341" i="12"/>
  <c r="Y341" i="12"/>
  <c r="Z341" i="12" s="1"/>
  <c r="AH341" i="12"/>
  <c r="AI341" i="12" s="1"/>
  <c r="N341" i="12"/>
  <c r="AE341" i="12"/>
  <c r="AF341" i="12" s="1"/>
  <c r="AB341" i="12"/>
  <c r="AC341" i="12" s="1"/>
  <c r="AM341" i="12"/>
  <c r="P341" i="12"/>
  <c r="M341" i="12"/>
  <c r="L341" i="12"/>
  <c r="Z43" i="8"/>
  <c r="G43" i="12"/>
  <c r="W43" i="12" s="1"/>
  <c r="AW26" i="7"/>
  <c r="BA26" i="7" s="1"/>
  <c r="AM236" i="12"/>
  <c r="P236" i="12"/>
  <c r="O236" i="12"/>
  <c r="AB236" i="12"/>
  <c r="AC236" i="12" s="1"/>
  <c r="AE236" i="12"/>
  <c r="AF236" i="12" s="1"/>
  <c r="M236" i="12"/>
  <c r="L236" i="12"/>
  <c r="AH236" i="12"/>
  <c r="AI236" i="12" s="1"/>
  <c r="N236" i="12"/>
  <c r="AM354" i="12"/>
  <c r="AB354" i="12"/>
  <c r="AC354" i="12" s="1"/>
  <c r="L354" i="12"/>
  <c r="O354" i="12"/>
  <c r="AE354" i="12"/>
  <c r="AF354" i="12" s="1"/>
  <c r="Y354" i="12"/>
  <c r="N354" i="12"/>
  <c r="M354" i="12"/>
  <c r="AH354" i="12"/>
  <c r="AI354" i="12" s="1"/>
  <c r="P354" i="12"/>
  <c r="Z149" i="8"/>
  <c r="AB32" i="12"/>
  <c r="AC32" i="12" s="1"/>
  <c r="AM32" i="12"/>
  <c r="Y32" i="12"/>
  <c r="P32" i="12"/>
  <c r="AE32" i="12"/>
  <c r="AF32" i="12" s="1"/>
  <c r="M32" i="12"/>
  <c r="O32" i="12"/>
  <c r="N32" i="12"/>
  <c r="L32" i="12"/>
  <c r="AH32" i="12"/>
  <c r="AI32" i="12" s="1"/>
  <c r="AY104" i="7"/>
  <c r="BA104" i="7" s="1"/>
  <c r="AU104" i="7"/>
  <c r="I229" i="12"/>
  <c r="X229" i="8"/>
  <c r="Z229" i="8" s="1"/>
  <c r="AV104" i="7"/>
  <c r="AO23" i="46"/>
  <c r="Y352" i="12"/>
  <c r="O352" i="12"/>
  <c r="AE352" i="12"/>
  <c r="AF352" i="12" s="1"/>
  <c r="L352" i="12"/>
  <c r="P352" i="12"/>
  <c r="AM352" i="12"/>
  <c r="M352" i="12"/>
  <c r="AH352" i="12"/>
  <c r="AI352" i="12" s="1"/>
  <c r="AB352" i="12"/>
  <c r="AC352" i="12" s="1"/>
  <c r="N352" i="12"/>
  <c r="AU22" i="7"/>
  <c r="AY22" i="7"/>
  <c r="BA22" i="7" s="1"/>
  <c r="X33" i="8"/>
  <c r="Z33" i="8" s="1"/>
  <c r="I33" i="12"/>
  <c r="AV22" i="7"/>
  <c r="Z253" i="12"/>
  <c r="Z222" i="12"/>
  <c r="BA59" i="7"/>
  <c r="AE165" i="12"/>
  <c r="AF165" i="12" s="1"/>
  <c r="AM165" i="12"/>
  <c r="Y165" i="12"/>
  <c r="Z165" i="12" s="1"/>
  <c r="P165" i="12"/>
  <c r="O165" i="12"/>
  <c r="AH165" i="12"/>
  <c r="AI165" i="12" s="1"/>
  <c r="M165" i="12"/>
  <c r="AB165" i="12"/>
  <c r="AC165" i="12" s="1"/>
  <c r="Z324" i="12"/>
  <c r="O89" i="12"/>
  <c r="AE89" i="12"/>
  <c r="AM89" i="12"/>
  <c r="P89" i="12"/>
  <c r="M89" i="12"/>
  <c r="AH89" i="12"/>
  <c r="AB89" i="12"/>
  <c r="Y89" i="12"/>
  <c r="N237" i="12"/>
  <c r="Y189" i="12"/>
  <c r="Z189" i="12" s="1"/>
  <c r="AE189" i="12"/>
  <c r="AF189" i="12" s="1"/>
  <c r="N189" i="12"/>
  <c r="L189" i="12"/>
  <c r="AB189" i="12"/>
  <c r="AC189" i="12" s="1"/>
  <c r="AM189" i="12"/>
  <c r="AH189" i="12"/>
  <c r="AI189" i="12" s="1"/>
  <c r="P189" i="12"/>
  <c r="O189" i="12"/>
  <c r="M189" i="12"/>
  <c r="BA102" i="7"/>
  <c r="Z162" i="12"/>
  <c r="Y111" i="12"/>
  <c r="P111" i="12"/>
  <c r="AH111" i="12"/>
  <c r="AI111" i="12" s="1"/>
  <c r="O111" i="12"/>
  <c r="N111" i="12"/>
  <c r="AB111" i="12"/>
  <c r="AC111" i="12" s="1"/>
  <c r="M111" i="12"/>
  <c r="L111" i="12"/>
  <c r="AM111" i="12"/>
  <c r="AE111" i="12"/>
  <c r="AF111" i="12" s="1"/>
  <c r="BF104" i="5"/>
  <c r="N121" i="9"/>
  <c r="O121" i="9" s="1"/>
  <c r="X121" i="9" s="1"/>
  <c r="AA121" i="9" s="1"/>
  <c r="AC121" i="9" s="1"/>
  <c r="N113" i="9"/>
  <c r="O113" i="9" s="1"/>
  <c r="X113" i="9" s="1"/>
  <c r="AA113" i="9" s="1"/>
  <c r="AC113" i="9" s="1"/>
  <c r="Z265" i="12"/>
  <c r="AU67" i="7"/>
  <c r="AY67" i="7"/>
  <c r="BA67" i="7" s="1"/>
  <c r="I141" i="12"/>
  <c r="X141" i="8"/>
  <c r="Z141" i="8" s="1"/>
  <c r="AV67" i="7"/>
  <c r="N61" i="9"/>
  <c r="O61" i="9" s="1"/>
  <c r="X61" i="9" s="1"/>
  <c r="AA61" i="9" s="1"/>
  <c r="AC61" i="9" s="1"/>
  <c r="Z107" i="8"/>
  <c r="AH263" i="12"/>
  <c r="AI263" i="12" s="1"/>
  <c r="P263" i="12"/>
  <c r="AM263" i="12"/>
  <c r="AB263" i="12"/>
  <c r="AC263" i="12" s="1"/>
  <c r="Y263" i="12"/>
  <c r="O263" i="12"/>
  <c r="M263" i="12"/>
  <c r="AE263" i="12"/>
  <c r="AF263" i="12" s="1"/>
  <c r="AB65" i="12"/>
  <c r="AC65" i="12" s="1"/>
  <c r="AM65" i="12"/>
  <c r="Y65" i="12"/>
  <c r="Z65" i="12" s="1"/>
  <c r="P65" i="12"/>
  <c r="O65" i="12"/>
  <c r="N65" i="12"/>
  <c r="M65" i="12"/>
  <c r="L65" i="12"/>
  <c r="AH65" i="12"/>
  <c r="AI65" i="12" s="1"/>
  <c r="AF65" i="12"/>
  <c r="N161" i="12"/>
  <c r="N17" i="12"/>
  <c r="V17" i="12" s="1"/>
  <c r="L17" i="12"/>
  <c r="AN17" i="12"/>
  <c r="AV17" i="12" s="1"/>
  <c r="AH273" i="12"/>
  <c r="AI273" i="12" s="1"/>
  <c r="P273" i="12"/>
  <c r="AE273" i="12"/>
  <c r="AF273" i="12" s="1"/>
  <c r="N273" i="12"/>
  <c r="AM273" i="12"/>
  <c r="O273" i="12"/>
  <c r="M273" i="12"/>
  <c r="L273" i="12"/>
  <c r="AB273" i="12"/>
  <c r="AC273" i="12" s="1"/>
  <c r="Y273" i="12"/>
  <c r="AM168" i="12"/>
  <c r="AB168" i="12"/>
  <c r="AC168" i="12" s="1"/>
  <c r="L168" i="12"/>
  <c r="AH168" i="12"/>
  <c r="AI168" i="12" s="1"/>
  <c r="P168" i="12"/>
  <c r="M168" i="12"/>
  <c r="AE168" i="12"/>
  <c r="AF168" i="12" s="1"/>
  <c r="O168" i="12"/>
  <c r="N168" i="12"/>
  <c r="Y168" i="12"/>
  <c r="AO19" i="46"/>
  <c r="BF78" i="5"/>
  <c r="N317" i="12"/>
  <c r="M82" i="12"/>
  <c r="AH82" i="12"/>
  <c r="AI82" i="12" s="1"/>
  <c r="O82" i="12"/>
  <c r="N82" i="12"/>
  <c r="AE82" i="12"/>
  <c r="AF82" i="12" s="1"/>
  <c r="L82" i="12"/>
  <c r="Y82" i="12"/>
  <c r="P82" i="12"/>
  <c r="AB82" i="12"/>
  <c r="AC82" i="12" s="1"/>
  <c r="AM82" i="12"/>
  <c r="Y49" i="12"/>
  <c r="O49" i="12"/>
  <c r="AH49" i="12"/>
  <c r="AI49" i="12" s="1"/>
  <c r="N49" i="12"/>
  <c r="M49" i="12"/>
  <c r="AE49" i="12"/>
  <c r="AF49" i="12" s="1"/>
  <c r="L49" i="12"/>
  <c r="P49" i="12"/>
  <c r="AB49" i="12"/>
  <c r="AC49" i="12" s="1"/>
  <c r="AM49" i="12"/>
  <c r="Z125" i="8"/>
  <c r="O332" i="12"/>
  <c r="Y332" i="12"/>
  <c r="P332" i="12"/>
  <c r="L332" i="12"/>
  <c r="N332" i="12"/>
  <c r="M332" i="12"/>
  <c r="AM332" i="12"/>
  <c r="AH332" i="12"/>
  <c r="AI332" i="12" s="1"/>
  <c r="AE332" i="12"/>
  <c r="AF332" i="12" s="1"/>
  <c r="AB332" i="12"/>
  <c r="AC332" i="12" s="1"/>
  <c r="F35" i="20"/>
  <c r="K4" i="12"/>
  <c r="O158" i="12"/>
  <c r="Y158" i="12"/>
  <c r="AM158" i="12"/>
  <c r="P158" i="12"/>
  <c r="AH158" i="12"/>
  <c r="AI158" i="12" s="1"/>
  <c r="M158" i="12"/>
  <c r="AB158" i="12"/>
  <c r="AC158" i="12" s="1"/>
  <c r="N158" i="12"/>
  <c r="L158" i="12"/>
  <c r="AE158" i="12"/>
  <c r="AF158" i="12" s="1"/>
  <c r="U284" i="8"/>
  <c r="Z284" i="8" s="1"/>
  <c r="AC103" i="10"/>
  <c r="AF103" i="10" s="1"/>
  <c r="G284" i="12"/>
  <c r="W284" i="12" s="1"/>
  <c r="AT67" i="7"/>
  <c r="AQ141" i="12" s="1"/>
  <c r="BA53" i="7"/>
  <c r="BA35" i="7"/>
  <c r="AE153" i="12"/>
  <c r="AF153" i="12" s="1"/>
  <c r="Y153" i="12"/>
  <c r="Z153" i="12" s="1"/>
  <c r="AB153" i="12"/>
  <c r="AC153" i="12" s="1"/>
  <c r="AM153" i="12"/>
  <c r="O153" i="12"/>
  <c r="P153" i="12"/>
  <c r="M153" i="12"/>
  <c r="AH153" i="12"/>
  <c r="AI153" i="12" s="1"/>
  <c r="AM123" i="12"/>
  <c r="AB123" i="12"/>
  <c r="AC123" i="12" s="1"/>
  <c r="L123" i="12"/>
  <c r="P123" i="12"/>
  <c r="AH123" i="12"/>
  <c r="AI123" i="12" s="1"/>
  <c r="O123" i="12"/>
  <c r="AE123" i="12"/>
  <c r="AF123" i="12" s="1"/>
  <c r="M123" i="12"/>
  <c r="Y123" i="12"/>
  <c r="N123" i="12"/>
  <c r="Z256" i="12"/>
  <c r="AU136" i="7"/>
  <c r="AY136" i="7"/>
  <c r="I307" i="12"/>
  <c r="X307" i="8"/>
  <c r="AV136" i="7"/>
  <c r="AH167" i="12"/>
  <c r="AI167" i="12" s="1"/>
  <c r="P167" i="12"/>
  <c r="AB167" i="12"/>
  <c r="AC167" i="12" s="1"/>
  <c r="Y167" i="12"/>
  <c r="Z167" i="12" s="1"/>
  <c r="AM167" i="12"/>
  <c r="O167" i="12"/>
  <c r="M167" i="12"/>
  <c r="AE167" i="12"/>
  <c r="AF167" i="12" s="1"/>
  <c r="AO35" i="46"/>
  <c r="BF302" i="5"/>
  <c r="AH315" i="12"/>
  <c r="AI315" i="12" s="1"/>
  <c r="P315" i="12"/>
  <c r="O315" i="12"/>
  <c r="N315" i="12"/>
  <c r="AM315" i="12"/>
  <c r="AE315" i="12"/>
  <c r="AF315" i="12" s="1"/>
  <c r="AB315" i="12"/>
  <c r="AC315" i="12" s="1"/>
  <c r="Y315" i="12"/>
  <c r="M315" i="12"/>
  <c r="L315" i="12"/>
  <c r="Z312" i="12"/>
  <c r="AE115" i="12"/>
  <c r="AF115" i="12" s="1"/>
  <c r="AB115" i="12"/>
  <c r="AC115" i="12" s="1"/>
  <c r="AM115" i="12"/>
  <c r="Y115" i="12"/>
  <c r="Z115" i="12" s="1"/>
  <c r="AH115" i="12"/>
  <c r="AI115" i="12" s="1"/>
  <c r="O115" i="12"/>
  <c r="P115" i="12"/>
  <c r="M115" i="12"/>
  <c r="Y275" i="12"/>
  <c r="Z275" i="12" s="1"/>
  <c r="AH275" i="12"/>
  <c r="AI275" i="12" s="1"/>
  <c r="P275" i="12"/>
  <c r="M275" i="12"/>
  <c r="AB275" i="12"/>
  <c r="AC275" i="12" s="1"/>
  <c r="AM275" i="12"/>
  <c r="O275" i="12"/>
  <c r="N275" i="12"/>
  <c r="AE275" i="12"/>
  <c r="AF275" i="12" s="1"/>
  <c r="L275" i="12"/>
  <c r="N347" i="12"/>
  <c r="U347" i="12" s="1"/>
  <c r="AK347" i="12" s="1"/>
  <c r="AY56" i="7"/>
  <c r="BA56" i="7" s="1"/>
  <c r="AU56" i="7"/>
  <c r="I115" i="12"/>
  <c r="X115" i="8"/>
  <c r="Z115" i="8" s="1"/>
  <c r="AV56" i="7"/>
  <c r="AM334" i="12"/>
  <c r="Y334" i="12"/>
  <c r="P334" i="12"/>
  <c r="AE334" i="12"/>
  <c r="AF334" i="12" s="1"/>
  <c r="M334" i="12"/>
  <c r="L334" i="12"/>
  <c r="AH334" i="12"/>
  <c r="AI334" i="12" s="1"/>
  <c r="AB334" i="12"/>
  <c r="AC334" i="12" s="1"/>
  <c r="O334" i="12"/>
  <c r="N334" i="12"/>
  <c r="U300" i="12" l="1"/>
  <c r="AK300" i="12" s="1"/>
  <c r="AL300" i="12" s="1"/>
  <c r="N130" i="12"/>
  <c r="W130" i="12"/>
  <c r="N216" i="12"/>
  <c r="W216" i="12"/>
  <c r="O274" i="12"/>
  <c r="W274" i="12"/>
  <c r="U242" i="12"/>
  <c r="AK242" i="12" s="1"/>
  <c r="AL242" i="12" s="1"/>
  <c r="AU242" i="12" s="1"/>
  <c r="G166" i="16" s="1"/>
  <c r="AU238" i="12"/>
  <c r="U350" i="12"/>
  <c r="AK350" i="12" s="1"/>
  <c r="AL350" i="12" s="1"/>
  <c r="AU350" i="12" s="1"/>
  <c r="G238" i="16" s="1"/>
  <c r="U21" i="12"/>
  <c r="AK21" i="12" s="1"/>
  <c r="AL21" i="12" s="1"/>
  <c r="AU21" i="12" s="1"/>
  <c r="G17" i="16" s="1"/>
  <c r="AL19" i="12"/>
  <c r="AU19" i="12" s="1"/>
  <c r="AN19" i="12"/>
  <c r="AU15" i="46" s="1"/>
  <c r="V19" i="12"/>
  <c r="AO26" i="12"/>
  <c r="AV26" i="12"/>
  <c r="AW26" i="12" s="1"/>
  <c r="AN230" i="12"/>
  <c r="AO230" i="12" s="1"/>
  <c r="AN129" i="12"/>
  <c r="AO129" i="12" s="1"/>
  <c r="AN238" i="12"/>
  <c r="AU184" i="12"/>
  <c r="V129" i="12"/>
  <c r="AU228" i="12"/>
  <c r="G156" i="16" s="1"/>
  <c r="V291" i="12"/>
  <c r="AN122" i="12"/>
  <c r="AU122" i="12"/>
  <c r="G86" i="16" s="1"/>
  <c r="AN246" i="12"/>
  <c r="BB246" i="12" s="1"/>
  <c r="AN59" i="12"/>
  <c r="AV59" i="12" s="1"/>
  <c r="AW59" i="12" s="1"/>
  <c r="AU246" i="12"/>
  <c r="AN184" i="12"/>
  <c r="BB184" i="12" s="1"/>
  <c r="AU230" i="12"/>
  <c r="AN336" i="12"/>
  <c r="BB336" i="12" s="1"/>
  <c r="AN361" i="12"/>
  <c r="AV361" i="12" s="1"/>
  <c r="AW361" i="12" s="1"/>
  <c r="AU336" i="12"/>
  <c r="G228" i="16" s="1"/>
  <c r="AN156" i="12"/>
  <c r="AO156" i="12" s="1"/>
  <c r="AU156" i="12"/>
  <c r="G108" i="16" s="1"/>
  <c r="AN258" i="12"/>
  <c r="AO258" i="12" s="1"/>
  <c r="AU34" i="12"/>
  <c r="AN209" i="12"/>
  <c r="AO209" i="12" s="1"/>
  <c r="AU258" i="12"/>
  <c r="AN253" i="12"/>
  <c r="BB253" i="12" s="1"/>
  <c r="AN291" i="12"/>
  <c r="AO291" i="12" s="1"/>
  <c r="AU253" i="12"/>
  <c r="G173" i="16" s="1"/>
  <c r="AN34" i="12"/>
  <c r="BB34" i="12" s="1"/>
  <c r="AN138" i="12"/>
  <c r="BB138" i="12" s="1"/>
  <c r="AU270" i="12"/>
  <c r="AN69" i="12"/>
  <c r="BB69" i="12" s="1"/>
  <c r="AN257" i="12"/>
  <c r="AV257" i="12" s="1"/>
  <c r="AW257" i="12" s="1"/>
  <c r="AN35" i="12"/>
  <c r="BB35" i="12" s="1"/>
  <c r="AU69" i="12"/>
  <c r="G49" i="16" s="1"/>
  <c r="AN324" i="12"/>
  <c r="BB324" i="12" s="1"/>
  <c r="AN147" i="12"/>
  <c r="AU324" i="12"/>
  <c r="G220" i="16" s="1"/>
  <c r="AU147" i="12"/>
  <c r="AN222" i="12"/>
  <c r="AO222" i="12" s="1"/>
  <c r="AU138" i="12"/>
  <c r="AN312" i="12"/>
  <c r="AO312" i="12" s="1"/>
  <c r="AU70" i="12"/>
  <c r="G50" i="16" s="1"/>
  <c r="AN27" i="12"/>
  <c r="AO27" i="12" s="1"/>
  <c r="AN318" i="12"/>
  <c r="AO318" i="12" s="1"/>
  <c r="AN85" i="12"/>
  <c r="AO85" i="12" s="1"/>
  <c r="AN195" i="12"/>
  <c r="BB195" i="12" s="1"/>
  <c r="AU27" i="12"/>
  <c r="AU318" i="12"/>
  <c r="AU85" i="12"/>
  <c r="G61" i="16" s="1"/>
  <c r="AU195" i="12"/>
  <c r="AU222" i="12"/>
  <c r="AN328" i="12"/>
  <c r="AO328" i="12" s="1"/>
  <c r="AU328" i="12"/>
  <c r="AU312" i="12"/>
  <c r="G212" i="16" s="1"/>
  <c r="AN251" i="12"/>
  <c r="AV251" i="12" s="1"/>
  <c r="AW251" i="12" s="1"/>
  <c r="AN70" i="12"/>
  <c r="AO70" i="12" s="1"/>
  <c r="V59" i="12"/>
  <c r="AN46" i="12"/>
  <c r="AO46" i="12" s="1"/>
  <c r="AU46" i="12"/>
  <c r="V46" i="12"/>
  <c r="AN196" i="12"/>
  <c r="AO196" i="12" s="1"/>
  <c r="AN241" i="12"/>
  <c r="AN40" i="12"/>
  <c r="BB40" i="12" s="1"/>
  <c r="V147" i="12"/>
  <c r="V241" i="12"/>
  <c r="AU196" i="12"/>
  <c r="AN193" i="12"/>
  <c r="AO193" i="12" s="1"/>
  <c r="AU241" i="12"/>
  <c r="G165" i="16" s="1"/>
  <c r="AU40" i="12"/>
  <c r="V136" i="12"/>
  <c r="AN192" i="12"/>
  <c r="BB192" i="12" s="1"/>
  <c r="AN265" i="12"/>
  <c r="BB265" i="12" s="1"/>
  <c r="AN232" i="12"/>
  <c r="AO232" i="12" s="1"/>
  <c r="AU232" i="12"/>
  <c r="Z55" i="8"/>
  <c r="AN117" i="12"/>
  <c r="AO117" i="12" s="1"/>
  <c r="AN290" i="12"/>
  <c r="BB290" i="12" s="1"/>
  <c r="AN244" i="12"/>
  <c r="BB244" i="12" s="1"/>
  <c r="V232" i="12"/>
  <c r="AU290" i="12"/>
  <c r="AU244" i="12"/>
  <c r="AN268" i="12"/>
  <c r="AO268" i="12" s="1"/>
  <c r="AU268" i="12"/>
  <c r="V324" i="12"/>
  <c r="AN228" i="12"/>
  <c r="BB228" i="12" s="1"/>
  <c r="V228" i="12"/>
  <c r="V184" i="12"/>
  <c r="AU192" i="12"/>
  <c r="V48" i="12"/>
  <c r="V126" i="12"/>
  <c r="AN76" i="12"/>
  <c r="BB76" i="12" s="1"/>
  <c r="AN86" i="12"/>
  <c r="AO86" i="12" s="1"/>
  <c r="V85" i="12"/>
  <c r="V267" i="12"/>
  <c r="V40" i="12"/>
  <c r="AN136" i="12"/>
  <c r="AO136" i="12" s="1"/>
  <c r="AN358" i="12"/>
  <c r="AO358" i="12" s="1"/>
  <c r="AN346" i="12"/>
  <c r="AO346" i="12" s="1"/>
  <c r="AU136" i="12"/>
  <c r="AN51" i="12"/>
  <c r="BB51" i="12" s="1"/>
  <c r="AN276" i="12"/>
  <c r="BB276" i="12" s="1"/>
  <c r="AU291" i="12"/>
  <c r="AN118" i="12"/>
  <c r="BB118" i="12" s="1"/>
  <c r="AU118" i="12"/>
  <c r="G82" i="16" s="1"/>
  <c r="V34" i="12"/>
  <c r="V122" i="12"/>
  <c r="V244" i="12"/>
  <c r="V238" i="12"/>
  <c r="V35" i="12"/>
  <c r="AN277" i="12"/>
  <c r="AO277" i="12" s="1"/>
  <c r="AN185" i="12"/>
  <c r="AO185" i="12" s="1"/>
  <c r="AN302" i="12"/>
  <c r="AN327" i="12"/>
  <c r="AO327" i="12" s="1"/>
  <c r="AU302" i="12"/>
  <c r="G206" i="16" s="1"/>
  <c r="AU327" i="12"/>
  <c r="AN267" i="12"/>
  <c r="BB267" i="12" s="1"/>
  <c r="AU267" i="12"/>
  <c r="AN270" i="12"/>
  <c r="BB270" i="12" s="1"/>
  <c r="AU300" i="12"/>
  <c r="G204" i="16" s="1"/>
  <c r="V277" i="12"/>
  <c r="V328" i="12"/>
  <c r="V195" i="12"/>
  <c r="V70" i="12"/>
  <c r="V76" i="12"/>
  <c r="AU86" i="12"/>
  <c r="V257" i="12"/>
  <c r="V193" i="12"/>
  <c r="V196" i="12"/>
  <c r="V230" i="12"/>
  <c r="V192" i="12"/>
  <c r="V156" i="12"/>
  <c r="V118" i="12"/>
  <c r="V69" i="12"/>
  <c r="V290" i="12"/>
  <c r="V268" i="12"/>
  <c r="V312" i="12"/>
  <c r="AU76" i="12"/>
  <c r="V145" i="12"/>
  <c r="AN145" i="12"/>
  <c r="BB145" i="12" s="1"/>
  <c r="V27" i="12"/>
  <c r="V185" i="12"/>
  <c r="V302" i="12"/>
  <c r="AN108" i="12"/>
  <c r="AU250" i="12"/>
  <c r="G170" i="16" s="1"/>
  <c r="V258" i="12"/>
  <c r="V117" i="12"/>
  <c r="AU265" i="12"/>
  <c r="AN338" i="12"/>
  <c r="BB338" i="12" s="1"/>
  <c r="AU346" i="12"/>
  <c r="G234" i="16" s="1"/>
  <c r="AU358" i="12"/>
  <c r="AU276" i="12"/>
  <c r="G188" i="16" s="1"/>
  <c r="AU51" i="12"/>
  <c r="AU338" i="12"/>
  <c r="G230" i="16" s="1"/>
  <c r="AN282" i="12"/>
  <c r="BB282" i="12" s="1"/>
  <c r="AN299" i="12"/>
  <c r="AO299" i="12" s="1"/>
  <c r="AU282" i="12"/>
  <c r="V51" i="12"/>
  <c r="V346" i="12"/>
  <c r="V318" i="12"/>
  <c r="V327" i="12"/>
  <c r="V253" i="12"/>
  <c r="V209" i="12"/>
  <c r="AL126" i="12"/>
  <c r="AU126" i="12" s="1"/>
  <c r="AN126" i="12"/>
  <c r="BB126" i="12" s="1"/>
  <c r="U153" i="12"/>
  <c r="AK153" i="12" s="1"/>
  <c r="AL153" i="12" s="1"/>
  <c r="AU153" i="12" s="1"/>
  <c r="AU108" i="12"/>
  <c r="G76" i="16" s="1"/>
  <c r="AN326" i="12"/>
  <c r="AO326" i="12" s="1"/>
  <c r="AN207" i="12"/>
  <c r="AO207" i="12" s="1"/>
  <c r="AU326" i="12"/>
  <c r="G222" i="16" s="1"/>
  <c r="AU207" i="12"/>
  <c r="V350" i="12"/>
  <c r="V326" i="12"/>
  <c r="V250" i="12"/>
  <c r="V155" i="12"/>
  <c r="V361" i="12"/>
  <c r="V110" i="12"/>
  <c r="V100" i="12"/>
  <c r="AN100" i="12"/>
  <c r="BB100" i="12" s="1"/>
  <c r="V108" i="12"/>
  <c r="AN155" i="12"/>
  <c r="AV155" i="12" s="1"/>
  <c r="AW155" i="12" s="1"/>
  <c r="AN39" i="12"/>
  <c r="BB39" i="12" s="1"/>
  <c r="AN110" i="12"/>
  <c r="BB110" i="12" s="1"/>
  <c r="AU100" i="12"/>
  <c r="V39" i="12"/>
  <c r="AU256" i="12"/>
  <c r="AU39" i="12"/>
  <c r="AU110" i="12"/>
  <c r="G78" i="16" s="1"/>
  <c r="AN250" i="12"/>
  <c r="AO250" i="12" s="1"/>
  <c r="V207" i="12"/>
  <c r="V222" i="12"/>
  <c r="V86" i="12"/>
  <c r="V300" i="12"/>
  <c r="V251" i="12"/>
  <c r="U179" i="12"/>
  <c r="AK179" i="12" s="1"/>
  <c r="AL179" i="12" s="1"/>
  <c r="AL66" i="12"/>
  <c r="AU66" i="12" s="1"/>
  <c r="AN66" i="12"/>
  <c r="AO66" i="12" s="1"/>
  <c r="V66" i="12"/>
  <c r="U109" i="12"/>
  <c r="AK109" i="12" s="1"/>
  <c r="AL109" i="12" s="1"/>
  <c r="AU109" i="12" s="1"/>
  <c r="U49" i="12"/>
  <c r="AK49" i="12" s="1"/>
  <c r="AL49" i="12" s="1"/>
  <c r="U334" i="12"/>
  <c r="AK334" i="12" s="1"/>
  <c r="AL334" i="12" s="1"/>
  <c r="U183" i="12"/>
  <c r="AK183" i="12" s="1"/>
  <c r="AL183" i="12" s="1"/>
  <c r="U197" i="12"/>
  <c r="AK197" i="12" s="1"/>
  <c r="AL197" i="12" s="1"/>
  <c r="AU197" i="12" s="1"/>
  <c r="U213" i="12"/>
  <c r="AK213" i="12" s="1"/>
  <c r="AL213" i="12" s="1"/>
  <c r="AU213" i="12" s="1"/>
  <c r="G145" i="16" s="1"/>
  <c r="U310" i="12"/>
  <c r="AK310" i="12" s="1"/>
  <c r="AL310" i="12" s="1"/>
  <c r="U82" i="12"/>
  <c r="AK82" i="12" s="1"/>
  <c r="AL82" i="12" s="1"/>
  <c r="U65" i="12"/>
  <c r="AK65" i="12" s="1"/>
  <c r="U263" i="12"/>
  <c r="AK263" i="12" s="1"/>
  <c r="AL263" i="12" s="1"/>
  <c r="U134" i="12"/>
  <c r="AK134" i="12" s="1"/>
  <c r="AL134" i="12" s="1"/>
  <c r="U186" i="12"/>
  <c r="AK186" i="12" s="1"/>
  <c r="AL186" i="12" s="1"/>
  <c r="V358" i="12"/>
  <c r="V299" i="12"/>
  <c r="V282" i="12"/>
  <c r="V276" i="12"/>
  <c r="V265" i="12"/>
  <c r="V338" i="12"/>
  <c r="U360" i="12"/>
  <c r="AK360" i="12" s="1"/>
  <c r="AL360" i="12" s="1"/>
  <c r="AU360" i="12" s="1"/>
  <c r="U121" i="12"/>
  <c r="AK121" i="12" s="1"/>
  <c r="AL121" i="12" s="1"/>
  <c r="AU121" i="12" s="1"/>
  <c r="G85" i="16" s="1"/>
  <c r="U60" i="12"/>
  <c r="AK60" i="12" s="1"/>
  <c r="AL60" i="12" s="1"/>
  <c r="AL191" i="12"/>
  <c r="AU191" i="12" s="1"/>
  <c r="G131" i="16" s="1"/>
  <c r="AN191" i="12"/>
  <c r="AO191" i="12" s="1"/>
  <c r="AN154" i="12"/>
  <c r="BB154" i="12" s="1"/>
  <c r="U52" i="12"/>
  <c r="AK52" i="12" s="1"/>
  <c r="AL52" i="12" s="1"/>
  <c r="U225" i="12"/>
  <c r="AK225" i="12" s="1"/>
  <c r="AL225" i="12" s="1"/>
  <c r="AU225" i="12" s="1"/>
  <c r="U262" i="12"/>
  <c r="AK262" i="12" s="1"/>
  <c r="AL262" i="12" s="1"/>
  <c r="U259" i="12"/>
  <c r="AK259" i="12" s="1"/>
  <c r="AL259" i="12" s="1"/>
  <c r="AU259" i="12" s="1"/>
  <c r="AN264" i="12"/>
  <c r="AO264" i="12" s="1"/>
  <c r="U234" i="12"/>
  <c r="AK234" i="12" s="1"/>
  <c r="AL234" i="12" s="1"/>
  <c r="U243" i="12"/>
  <c r="AK243" i="12" s="1"/>
  <c r="AL243" i="12" s="1"/>
  <c r="V50" i="12"/>
  <c r="U36" i="12"/>
  <c r="AK36" i="12" s="1"/>
  <c r="AL36" i="12" s="1"/>
  <c r="AU36" i="12" s="1"/>
  <c r="G28" i="16" s="1"/>
  <c r="V254" i="12"/>
  <c r="AU154" i="12"/>
  <c r="U170" i="12"/>
  <c r="AK170" i="12" s="1"/>
  <c r="AL170" i="12" s="1"/>
  <c r="AU264" i="12"/>
  <c r="U99" i="12"/>
  <c r="AK99" i="12" s="1"/>
  <c r="AL99" i="12" s="1"/>
  <c r="AN304" i="12"/>
  <c r="BB304" i="12" s="1"/>
  <c r="U271" i="12"/>
  <c r="AK271" i="12" s="1"/>
  <c r="AL271" i="12" s="1"/>
  <c r="AU271" i="12" s="1"/>
  <c r="AU304" i="12"/>
  <c r="U148" i="12"/>
  <c r="AK148" i="12" s="1"/>
  <c r="AL148" i="12" s="1"/>
  <c r="U171" i="12"/>
  <c r="AK171" i="12" s="1"/>
  <c r="AL171" i="12" s="1"/>
  <c r="AN210" i="12"/>
  <c r="AO210" i="12" s="1"/>
  <c r="U97" i="12"/>
  <c r="AK97" i="12" s="1"/>
  <c r="AL97" i="12" s="1"/>
  <c r="U164" i="12"/>
  <c r="AK164" i="12" s="1"/>
  <c r="AL164" i="12" s="1"/>
  <c r="AN231" i="12"/>
  <c r="BB231" i="12" s="1"/>
  <c r="V304" i="12"/>
  <c r="V231" i="12"/>
  <c r="V264" i="12"/>
  <c r="AU210" i="12"/>
  <c r="AN254" i="12"/>
  <c r="BB254" i="12" s="1"/>
  <c r="U297" i="12"/>
  <c r="AK297" i="12" s="1"/>
  <c r="AL297" i="12" s="1"/>
  <c r="AU297" i="12" s="1"/>
  <c r="AN219" i="12"/>
  <c r="BB219" i="12" s="1"/>
  <c r="U47" i="12"/>
  <c r="AK47" i="12" s="1"/>
  <c r="AL47" i="12" s="1"/>
  <c r="AU231" i="12"/>
  <c r="V182" i="12"/>
  <c r="AN50" i="12"/>
  <c r="BB50" i="12" s="1"/>
  <c r="AN182" i="12"/>
  <c r="AO182" i="12" s="1"/>
  <c r="U341" i="12"/>
  <c r="AK341" i="12" s="1"/>
  <c r="AL341" i="12" s="1"/>
  <c r="AU341" i="12" s="1"/>
  <c r="AU50" i="12"/>
  <c r="AU182" i="12"/>
  <c r="G126" i="16" s="1"/>
  <c r="U41" i="12"/>
  <c r="AK41" i="12" s="1"/>
  <c r="AL41" i="12" s="1"/>
  <c r="AU41" i="12" s="1"/>
  <c r="U102" i="12"/>
  <c r="AK102" i="12" s="1"/>
  <c r="AL102" i="12" s="1"/>
  <c r="U292" i="12"/>
  <c r="AK292" i="12" s="1"/>
  <c r="AL292" i="12" s="1"/>
  <c r="AU254" i="12"/>
  <c r="G174" i="16" s="1"/>
  <c r="U62" i="12"/>
  <c r="AK62" i="12" s="1"/>
  <c r="AL62" i="12" s="1"/>
  <c r="U214" i="12"/>
  <c r="AK214" i="12" s="1"/>
  <c r="AL214" i="12" s="1"/>
  <c r="AU214" i="12" s="1"/>
  <c r="U212" i="12"/>
  <c r="AK212" i="12" s="1"/>
  <c r="AL212" i="12" s="1"/>
  <c r="U81" i="12"/>
  <c r="AK81" i="12" s="1"/>
  <c r="AL81" i="12" s="1"/>
  <c r="U204" i="12"/>
  <c r="AK204" i="12" s="1"/>
  <c r="AL204" i="12" s="1"/>
  <c r="U224" i="12"/>
  <c r="AK224" i="12" s="1"/>
  <c r="AL224" i="12" s="1"/>
  <c r="U203" i="12"/>
  <c r="AK203" i="12" s="1"/>
  <c r="AL203" i="12" s="1"/>
  <c r="AU203" i="12" s="1"/>
  <c r="G139" i="16" s="1"/>
  <c r="U353" i="12"/>
  <c r="AK353" i="12" s="1"/>
  <c r="AL353" i="12" s="1"/>
  <c r="AU353" i="12" s="1"/>
  <c r="U319" i="12"/>
  <c r="AK319" i="12" s="1"/>
  <c r="AL319" i="12" s="1"/>
  <c r="U120" i="12"/>
  <c r="AK120" i="12" s="1"/>
  <c r="AL120" i="12" s="1"/>
  <c r="U161" i="12"/>
  <c r="AK161" i="12" s="1"/>
  <c r="AL161" i="12" s="1"/>
  <c r="AU161" i="12" s="1"/>
  <c r="U123" i="12"/>
  <c r="AK123" i="12" s="1"/>
  <c r="AL123" i="12" s="1"/>
  <c r="U354" i="12"/>
  <c r="AK354" i="12" s="1"/>
  <c r="AL354" i="12" s="1"/>
  <c r="U220" i="12"/>
  <c r="AK220" i="12" s="1"/>
  <c r="AL220" i="12" s="1"/>
  <c r="U289" i="12"/>
  <c r="AK289" i="12" s="1"/>
  <c r="AL289" i="12" s="1"/>
  <c r="AU289" i="12" s="1"/>
  <c r="V210" i="12"/>
  <c r="V154" i="12"/>
  <c r="U345" i="12"/>
  <c r="AK345" i="12" s="1"/>
  <c r="AL345" i="12" s="1"/>
  <c r="AU345" i="12" s="1"/>
  <c r="AL347" i="12"/>
  <c r="AU347" i="12" s="1"/>
  <c r="G235" i="16" s="1"/>
  <c r="AN347" i="12"/>
  <c r="BB347" i="12" s="1"/>
  <c r="AN74" i="12"/>
  <c r="AO74" i="12" s="1"/>
  <c r="U77" i="12"/>
  <c r="AK77" i="12" s="1"/>
  <c r="AU74" i="12"/>
  <c r="G54" i="16" s="1"/>
  <c r="U112" i="12"/>
  <c r="AK112" i="12" s="1"/>
  <c r="AL112" i="12" s="1"/>
  <c r="U339" i="12"/>
  <c r="AK339" i="12" s="1"/>
  <c r="AL339" i="12" s="1"/>
  <c r="U252" i="12"/>
  <c r="AK252" i="12" s="1"/>
  <c r="AL252" i="12" s="1"/>
  <c r="AU219" i="12"/>
  <c r="U144" i="12"/>
  <c r="AK144" i="12" s="1"/>
  <c r="AL144" i="12" s="1"/>
  <c r="AU178" i="12"/>
  <c r="G122" i="16" s="1"/>
  <c r="AN351" i="12"/>
  <c r="BB351" i="12" s="1"/>
  <c r="U75" i="12"/>
  <c r="AK75" i="12" s="1"/>
  <c r="AL75" i="12" s="1"/>
  <c r="V330" i="12"/>
  <c r="U218" i="12"/>
  <c r="AK218" i="12" s="1"/>
  <c r="AL218" i="12" s="1"/>
  <c r="AU218" i="12" s="1"/>
  <c r="U63" i="12"/>
  <c r="AK63" i="12" s="1"/>
  <c r="AL63" i="12" s="1"/>
  <c r="AU63" i="12" s="1"/>
  <c r="AU330" i="12"/>
  <c r="AV330" i="12" s="1"/>
  <c r="AW330" i="12" s="1"/>
  <c r="U240" i="12"/>
  <c r="AK240" i="12" s="1"/>
  <c r="AL240" i="12" s="1"/>
  <c r="U172" i="12"/>
  <c r="AK172" i="12" s="1"/>
  <c r="AL172" i="12" s="1"/>
  <c r="U28" i="12"/>
  <c r="AK28" i="12" s="1"/>
  <c r="AL28" i="12" s="1"/>
  <c r="U306" i="12"/>
  <c r="AK306" i="12" s="1"/>
  <c r="AL306" i="12" s="1"/>
  <c r="AN169" i="12"/>
  <c r="AO169" i="12" s="1"/>
  <c r="U275" i="12"/>
  <c r="AK275" i="12" s="1"/>
  <c r="AL275" i="12" s="1"/>
  <c r="AU275" i="12" s="1"/>
  <c r="U168" i="12"/>
  <c r="AK168" i="12" s="1"/>
  <c r="AL168" i="12" s="1"/>
  <c r="U111" i="12"/>
  <c r="AK111" i="12" s="1"/>
  <c r="AL111" i="12" s="1"/>
  <c r="AN162" i="12"/>
  <c r="AO162" i="12" s="1"/>
  <c r="U107" i="12"/>
  <c r="AK107" i="12" s="1"/>
  <c r="AL107" i="12" s="1"/>
  <c r="AU107" i="12" s="1"/>
  <c r="U349" i="12"/>
  <c r="AK349" i="12" s="1"/>
  <c r="AL349" i="12" s="1"/>
  <c r="AU349" i="12" s="1"/>
  <c r="U149" i="12"/>
  <c r="AK149" i="12" s="1"/>
  <c r="AL149" i="12" s="1"/>
  <c r="AU149" i="12" s="1"/>
  <c r="L205" i="12"/>
  <c r="U64" i="12"/>
  <c r="AK64" i="12" s="1"/>
  <c r="AL64" i="12" s="1"/>
  <c r="U342" i="12"/>
  <c r="AK342" i="12" s="1"/>
  <c r="AL342" i="12" s="1"/>
  <c r="U114" i="12"/>
  <c r="V114" i="12" s="1"/>
  <c r="U139" i="12"/>
  <c r="AK139" i="12" s="1"/>
  <c r="AL139" i="12" s="1"/>
  <c r="AU139" i="12" s="1"/>
  <c r="U131" i="12"/>
  <c r="AK131" i="12" s="1"/>
  <c r="AL131" i="12" s="1"/>
  <c r="U255" i="12"/>
  <c r="AK255" i="12" s="1"/>
  <c r="AL255" i="12" s="1"/>
  <c r="U72" i="12"/>
  <c r="AK72" i="12" s="1"/>
  <c r="AL72" i="12" s="1"/>
  <c r="U340" i="12"/>
  <c r="AK340" i="12" s="1"/>
  <c r="AL340" i="12" s="1"/>
  <c r="U128" i="12"/>
  <c r="AK128" i="12" s="1"/>
  <c r="AL128" i="12" s="1"/>
  <c r="U294" i="12"/>
  <c r="AK294" i="12" s="1"/>
  <c r="AL294" i="12" s="1"/>
  <c r="U152" i="12"/>
  <c r="AK152" i="12" s="1"/>
  <c r="AL152" i="12" s="1"/>
  <c r="U343" i="12"/>
  <c r="AK343" i="12" s="1"/>
  <c r="AL343" i="12" s="1"/>
  <c r="AU343" i="12" s="1"/>
  <c r="AU351" i="12"/>
  <c r="U281" i="12"/>
  <c r="AK281" i="12" s="1"/>
  <c r="AL281" i="12" s="1"/>
  <c r="U261" i="12"/>
  <c r="AK261" i="12" s="1"/>
  <c r="AL261" i="12" s="1"/>
  <c r="AU261" i="12" s="1"/>
  <c r="V351" i="12"/>
  <c r="V191" i="12"/>
  <c r="U159" i="12"/>
  <c r="AK159" i="12" s="1"/>
  <c r="AL159" i="12" s="1"/>
  <c r="V219" i="12"/>
  <c r="V74" i="12"/>
  <c r="V178" i="12"/>
  <c r="U205" i="12"/>
  <c r="AK205" i="12" s="1"/>
  <c r="AL205" i="12" s="1"/>
  <c r="AU205" i="12" s="1"/>
  <c r="G141" i="16" s="1"/>
  <c r="U124" i="12"/>
  <c r="AK124" i="12" s="1"/>
  <c r="AL124" i="12" s="1"/>
  <c r="U313" i="12"/>
  <c r="AK313" i="12" s="1"/>
  <c r="AL313" i="12" s="1"/>
  <c r="AU313" i="12" s="1"/>
  <c r="U30" i="12"/>
  <c r="AK30" i="12" s="1"/>
  <c r="AL30" i="12" s="1"/>
  <c r="U332" i="12"/>
  <c r="AK332" i="12" s="1"/>
  <c r="AL332" i="12" s="1"/>
  <c r="U273" i="12"/>
  <c r="AK273" i="12" s="1"/>
  <c r="AL273" i="12" s="1"/>
  <c r="U352" i="12"/>
  <c r="AK352" i="12" s="1"/>
  <c r="AL352" i="12" s="1"/>
  <c r="AN190" i="12"/>
  <c r="BB190" i="12" s="1"/>
  <c r="U177" i="12"/>
  <c r="AK177" i="12" s="1"/>
  <c r="AL177" i="12" s="1"/>
  <c r="AU177" i="12" s="1"/>
  <c r="U116" i="12"/>
  <c r="AK116" i="12" s="1"/>
  <c r="AL116" i="12" s="1"/>
  <c r="U280" i="12"/>
  <c r="AK280" i="12" s="1"/>
  <c r="AL280" i="12" s="1"/>
  <c r="U344" i="12"/>
  <c r="AK344" i="12" s="1"/>
  <c r="AL344" i="12" s="1"/>
  <c r="U202" i="12"/>
  <c r="AK202" i="12" s="1"/>
  <c r="AL202" i="12" s="1"/>
  <c r="U119" i="12"/>
  <c r="AK119" i="12" s="1"/>
  <c r="AL119" i="12" s="1"/>
  <c r="U58" i="12"/>
  <c r="AK58" i="12" s="1"/>
  <c r="AL58" i="12" s="1"/>
  <c r="U94" i="12"/>
  <c r="AK94" i="12" s="1"/>
  <c r="AL94" i="12" s="1"/>
  <c r="U320" i="12"/>
  <c r="AK320" i="12" s="1"/>
  <c r="AL320" i="12" s="1"/>
  <c r="U181" i="12"/>
  <c r="AK181" i="12" s="1"/>
  <c r="AL181" i="12" s="1"/>
  <c r="AU181" i="12" s="1"/>
  <c r="U272" i="12"/>
  <c r="AK272" i="12" s="1"/>
  <c r="AL272" i="12" s="1"/>
  <c r="U105" i="12"/>
  <c r="AK105" i="12" s="1"/>
  <c r="AL105" i="12" s="1"/>
  <c r="AU105" i="12" s="1"/>
  <c r="V336" i="12"/>
  <c r="V270" i="12"/>
  <c r="V246" i="12"/>
  <c r="V162" i="12"/>
  <c r="V347" i="12"/>
  <c r="U236" i="12"/>
  <c r="AK236" i="12" s="1"/>
  <c r="AL236" i="12" s="1"/>
  <c r="AU190" i="12"/>
  <c r="G130" i="16" s="1"/>
  <c r="U288" i="12"/>
  <c r="AK288" i="12" s="1"/>
  <c r="AL288" i="12" s="1"/>
  <c r="U194" i="12"/>
  <c r="AK194" i="12" s="1"/>
  <c r="AL194" i="12" s="1"/>
  <c r="U206" i="12"/>
  <c r="AK206" i="12" s="1"/>
  <c r="AL206" i="12" s="1"/>
  <c r="U54" i="12"/>
  <c r="AK54" i="12" s="1"/>
  <c r="AL54" i="12" s="1"/>
  <c r="U355" i="12"/>
  <c r="AK355" i="12" s="1"/>
  <c r="AL355" i="12" s="1"/>
  <c r="AU355" i="12" s="1"/>
  <c r="U166" i="12"/>
  <c r="AK166" i="12" s="1"/>
  <c r="AL166" i="12" s="1"/>
  <c r="U303" i="12"/>
  <c r="AK303" i="12" s="1"/>
  <c r="AL303" i="12" s="1"/>
  <c r="U362" i="12"/>
  <c r="AK362" i="12" s="1"/>
  <c r="AL362" i="12" s="1"/>
  <c r="U157" i="12"/>
  <c r="AK157" i="12" s="1"/>
  <c r="AL157" i="12" s="1"/>
  <c r="AU157" i="12" s="1"/>
  <c r="U174" i="12"/>
  <c r="AK174" i="12" s="1"/>
  <c r="AL174" i="12" s="1"/>
  <c r="U88" i="12"/>
  <c r="AK88" i="12" s="1"/>
  <c r="AN88" i="12" s="1"/>
  <c r="U150" i="12"/>
  <c r="AK150" i="12" s="1"/>
  <c r="AL150" i="12" s="1"/>
  <c r="U279" i="12"/>
  <c r="AK279" i="12" s="1"/>
  <c r="AL279" i="12" s="1"/>
  <c r="U67" i="12"/>
  <c r="AK67" i="12" s="1"/>
  <c r="AL67" i="12" s="1"/>
  <c r="AU67" i="12" s="1"/>
  <c r="U266" i="12"/>
  <c r="AK266" i="12" s="1"/>
  <c r="AL266" i="12" s="1"/>
  <c r="U247" i="12"/>
  <c r="AK247" i="12" s="1"/>
  <c r="AL247" i="12" s="1"/>
  <c r="AU247" i="12" s="1"/>
  <c r="U322" i="12"/>
  <c r="AK322" i="12" s="1"/>
  <c r="AL322" i="12" s="1"/>
  <c r="AU322" i="12" s="1"/>
  <c r="G218" i="16" s="1"/>
  <c r="AU162" i="12"/>
  <c r="U61" i="12"/>
  <c r="AK61" i="12" s="1"/>
  <c r="AL61" i="12" s="1"/>
  <c r="AU61" i="12" s="1"/>
  <c r="U189" i="12"/>
  <c r="AK189" i="12" s="1"/>
  <c r="AL189" i="12" s="1"/>
  <c r="AU189" i="12" s="1"/>
  <c r="G129" i="16" s="1"/>
  <c r="U165" i="12"/>
  <c r="AK165" i="12" s="1"/>
  <c r="AL165" i="12" s="1"/>
  <c r="AU165" i="12" s="1"/>
  <c r="U32" i="12"/>
  <c r="AK32" i="12" s="1"/>
  <c r="AL32" i="12" s="1"/>
  <c r="U83" i="12"/>
  <c r="AK83" i="12" s="1"/>
  <c r="AL83" i="12" s="1"/>
  <c r="AU83" i="12" s="1"/>
  <c r="G59" i="16" s="1"/>
  <c r="U133" i="12"/>
  <c r="AK133" i="12" s="1"/>
  <c r="AL133" i="12" s="1"/>
  <c r="AU133" i="12" s="1"/>
  <c r="U135" i="12"/>
  <c r="AK135" i="12" s="1"/>
  <c r="AL135" i="12" s="1"/>
  <c r="U356" i="12"/>
  <c r="AK356" i="12" s="1"/>
  <c r="AL356" i="12" s="1"/>
  <c r="U198" i="12"/>
  <c r="AK198" i="12" s="1"/>
  <c r="AL198" i="12" s="1"/>
  <c r="U42" i="12"/>
  <c r="AK42" i="12" s="1"/>
  <c r="AL42" i="12" s="1"/>
  <c r="U211" i="12"/>
  <c r="AK211" i="12" s="1"/>
  <c r="AL211" i="12" s="1"/>
  <c r="AU211" i="12" s="1"/>
  <c r="U314" i="12"/>
  <c r="AK314" i="12" s="1"/>
  <c r="AL314" i="12" s="1"/>
  <c r="U286" i="12"/>
  <c r="AK286" i="12" s="1"/>
  <c r="AL286" i="12" s="1"/>
  <c r="U208" i="12"/>
  <c r="AK208" i="12" s="1"/>
  <c r="AL208" i="12" s="1"/>
  <c r="U132" i="12"/>
  <c r="AK132" i="12" s="1"/>
  <c r="AL132" i="12" s="1"/>
  <c r="U325" i="12"/>
  <c r="AK325" i="12" s="1"/>
  <c r="AL325" i="12" s="1"/>
  <c r="AU325" i="12" s="1"/>
  <c r="U296" i="12"/>
  <c r="AK296" i="12" s="1"/>
  <c r="AL296" i="12" s="1"/>
  <c r="U223" i="12"/>
  <c r="AK223" i="12" s="1"/>
  <c r="AL223" i="12" s="1"/>
  <c r="AU223" i="12" s="1"/>
  <c r="U38" i="12"/>
  <c r="AK38" i="12" s="1"/>
  <c r="AL38" i="12" s="1"/>
  <c r="U103" i="12"/>
  <c r="AK103" i="12" s="1"/>
  <c r="AL103" i="12" s="1"/>
  <c r="U233" i="12"/>
  <c r="AK233" i="12" s="1"/>
  <c r="AL233" i="12" s="1"/>
  <c r="V256" i="12"/>
  <c r="V190" i="12"/>
  <c r="U317" i="12"/>
  <c r="AK317" i="12" s="1"/>
  <c r="AL317" i="12" s="1"/>
  <c r="AU317" i="12" s="1"/>
  <c r="U73" i="12"/>
  <c r="AK73" i="12" s="1"/>
  <c r="AL73" i="12" s="1"/>
  <c r="AU73" i="12" s="1"/>
  <c r="G53" i="16" s="1"/>
  <c r="U201" i="12"/>
  <c r="AK201" i="12" s="1"/>
  <c r="AL201" i="12" s="1"/>
  <c r="AU201" i="12" s="1"/>
  <c r="G137" i="16" s="1"/>
  <c r="U278" i="12"/>
  <c r="AK278" i="12" s="1"/>
  <c r="AL278" i="12" s="1"/>
  <c r="AU278" i="12" s="1"/>
  <c r="G190" i="16" s="1"/>
  <c r="U335" i="12"/>
  <c r="AK335" i="12" s="1"/>
  <c r="AN178" i="12"/>
  <c r="AO178" i="12" s="1"/>
  <c r="U315" i="12"/>
  <c r="AK315" i="12" s="1"/>
  <c r="AL315" i="12" s="1"/>
  <c r="U239" i="12"/>
  <c r="AK239" i="12" s="1"/>
  <c r="AL239" i="12" s="1"/>
  <c r="U78" i="12"/>
  <c r="AK78" i="12" s="1"/>
  <c r="AL78" i="12" s="1"/>
  <c r="AN256" i="12"/>
  <c r="AO256" i="12" s="1"/>
  <c r="U158" i="12"/>
  <c r="AK158" i="12" s="1"/>
  <c r="AL158" i="12" s="1"/>
  <c r="U142" i="12"/>
  <c r="AK142" i="12" s="1"/>
  <c r="AL142" i="12" s="1"/>
  <c r="U80" i="12"/>
  <c r="AK80" i="12" s="1"/>
  <c r="AL80" i="12" s="1"/>
  <c r="V169" i="12"/>
  <c r="U106" i="12"/>
  <c r="AK106" i="12" s="1"/>
  <c r="AL106" i="12" s="1"/>
  <c r="U160" i="12"/>
  <c r="AK160" i="12" s="1"/>
  <c r="AL160" i="12" s="1"/>
  <c r="U125" i="12"/>
  <c r="AK125" i="12" s="1"/>
  <c r="AL125" i="12" s="1"/>
  <c r="AU125" i="12" s="1"/>
  <c r="U316" i="12"/>
  <c r="AK316" i="12" s="1"/>
  <c r="AL316" i="12" s="1"/>
  <c r="U305" i="12"/>
  <c r="AK305" i="12" s="1"/>
  <c r="AL305" i="12" s="1"/>
  <c r="AU305" i="12" s="1"/>
  <c r="U226" i="12"/>
  <c r="AK226" i="12" s="1"/>
  <c r="AL226" i="12" s="1"/>
  <c r="U348" i="12"/>
  <c r="AK348" i="12" s="1"/>
  <c r="AL348" i="12" s="1"/>
  <c r="U311" i="12"/>
  <c r="AK311" i="12" s="1"/>
  <c r="AL311" i="12" s="1"/>
  <c r="AU311" i="12" s="1"/>
  <c r="U31" i="12"/>
  <c r="AK31" i="12" s="1"/>
  <c r="AL31" i="12" s="1"/>
  <c r="U180" i="12"/>
  <c r="AK180" i="12" s="1"/>
  <c r="AL180" i="12" s="1"/>
  <c r="U146" i="12"/>
  <c r="AK146" i="12" s="1"/>
  <c r="AL146" i="12" s="1"/>
  <c r="U84" i="12"/>
  <c r="AK84" i="12" s="1"/>
  <c r="AL84" i="12" s="1"/>
  <c r="U298" i="12"/>
  <c r="AK298" i="12" s="1"/>
  <c r="AL298" i="12" s="1"/>
  <c r="U237" i="12"/>
  <c r="AK237" i="12" s="1"/>
  <c r="AL237" i="12" s="1"/>
  <c r="AU237" i="12" s="1"/>
  <c r="G161" i="16" s="1"/>
  <c r="U217" i="12"/>
  <c r="AK217" i="12" s="1"/>
  <c r="U227" i="12"/>
  <c r="AK227" i="12" s="1"/>
  <c r="U143" i="12"/>
  <c r="AK143" i="12" s="1"/>
  <c r="L263" i="12"/>
  <c r="C39" i="20"/>
  <c r="F39" i="20" s="1"/>
  <c r="BA31" i="7"/>
  <c r="C38" i="20"/>
  <c r="F38" i="20" s="1"/>
  <c r="C34" i="20"/>
  <c r="F34" i="20" s="1"/>
  <c r="C42" i="20"/>
  <c r="F42" i="20" s="1"/>
  <c r="Z339" i="12"/>
  <c r="Z344" i="12"/>
  <c r="C20" i="20"/>
  <c r="F20" i="20" s="1"/>
  <c r="G20" i="20" s="1"/>
  <c r="K20" i="20" s="1"/>
  <c r="N167" i="12"/>
  <c r="M216" i="12"/>
  <c r="AB216" i="12"/>
  <c r="Y216" i="12"/>
  <c r="Z216" i="12" s="1"/>
  <c r="AH216" i="12"/>
  <c r="AI216" i="12" s="1"/>
  <c r="L81" i="12"/>
  <c r="L216" i="12"/>
  <c r="N37" i="12"/>
  <c r="U37" i="12" s="1"/>
  <c r="AK37" i="12" s="1"/>
  <c r="AL37" i="12" s="1"/>
  <c r="AE216" i="12"/>
  <c r="AF216" i="12" s="1"/>
  <c r="O216" i="12"/>
  <c r="P216" i="12"/>
  <c r="AM216" i="12"/>
  <c r="C41" i="20"/>
  <c r="F41" i="20" s="1"/>
  <c r="G41" i="20" s="1"/>
  <c r="K41" i="20" s="1"/>
  <c r="N57" i="12"/>
  <c r="U57" i="12" s="1"/>
  <c r="AK57" i="12" s="1"/>
  <c r="L119" i="12"/>
  <c r="N89" i="12"/>
  <c r="U89" i="12" s="1"/>
  <c r="Y274" i="12"/>
  <c r="Z274" i="12" s="1"/>
  <c r="L153" i="12"/>
  <c r="N293" i="12"/>
  <c r="U293" i="12" s="1"/>
  <c r="AK293" i="12" s="1"/>
  <c r="N309" i="12"/>
  <c r="L309" i="12"/>
  <c r="L165" i="12"/>
  <c r="Z79" i="8"/>
  <c r="N295" i="12"/>
  <c r="P274" i="12"/>
  <c r="AM274" i="12"/>
  <c r="AH130" i="12"/>
  <c r="AI130" i="12" s="1"/>
  <c r="AH274" i="12"/>
  <c r="AI274" i="12" s="1"/>
  <c r="M274" i="12"/>
  <c r="O130" i="12"/>
  <c r="Y130" i="12"/>
  <c r="Z130" i="12" s="1"/>
  <c r="M130" i="12"/>
  <c r="AM130" i="12"/>
  <c r="AB130" i="12"/>
  <c r="AC130" i="12" s="1"/>
  <c r="AE130" i="12"/>
  <c r="AF130" i="12" s="1"/>
  <c r="L130" i="12"/>
  <c r="P130" i="12"/>
  <c r="L274" i="12"/>
  <c r="AB274" i="12"/>
  <c r="AC274" i="12" s="1"/>
  <c r="N274" i="12"/>
  <c r="AE274" i="12"/>
  <c r="AF274" i="12" s="1"/>
  <c r="L203" i="12"/>
  <c r="N333" i="12"/>
  <c r="L249" i="12"/>
  <c r="N249" i="12"/>
  <c r="C44" i="20"/>
  <c r="F44" i="20" s="1"/>
  <c r="N323" i="12"/>
  <c r="U323" i="12" s="1"/>
  <c r="AK323" i="12" s="1"/>
  <c r="C32" i="20"/>
  <c r="F32" i="20" s="1"/>
  <c r="V135" i="12"/>
  <c r="Z273" i="12"/>
  <c r="F31" i="20"/>
  <c r="G31" i="20" s="1"/>
  <c r="K31" i="20" s="1"/>
  <c r="Z49" i="12"/>
  <c r="Z131" i="12"/>
  <c r="Y79" i="12"/>
  <c r="Z79" i="12" s="1"/>
  <c r="AH79" i="12"/>
  <c r="AI79" i="12" s="1"/>
  <c r="O79" i="12"/>
  <c r="N79" i="12"/>
  <c r="AE79" i="12"/>
  <c r="AF79" i="12" s="1"/>
  <c r="M79" i="12"/>
  <c r="AM79" i="12"/>
  <c r="L79" i="12"/>
  <c r="P79" i="12"/>
  <c r="AB79" i="12"/>
  <c r="AC79" i="12" s="1"/>
  <c r="Z306" i="12"/>
  <c r="AI97" i="12"/>
  <c r="Z123" i="12"/>
  <c r="F15" i="20"/>
  <c r="G15" i="20" s="1"/>
  <c r="K15" i="20" s="1"/>
  <c r="Z116" i="12"/>
  <c r="Z356" i="12"/>
  <c r="Z42" i="12"/>
  <c r="N53" i="12"/>
  <c r="U53" i="12" s="1"/>
  <c r="L53" i="12"/>
  <c r="O90" i="12"/>
  <c r="AB90" i="12"/>
  <c r="AM90" i="12"/>
  <c r="P90" i="12"/>
  <c r="M90" i="12"/>
  <c r="L90" i="12"/>
  <c r="AH90" i="12"/>
  <c r="AE90" i="12"/>
  <c r="Y90" i="12"/>
  <c r="N90" i="12"/>
  <c r="Z72" i="12"/>
  <c r="Z58" i="12"/>
  <c r="AF97" i="12"/>
  <c r="AC94" i="12"/>
  <c r="Z334" i="12"/>
  <c r="M284" i="12"/>
  <c r="O284" i="12"/>
  <c r="AH284" i="12"/>
  <c r="AI284" i="12" s="1"/>
  <c r="N284" i="12"/>
  <c r="L284" i="12"/>
  <c r="AE284" i="12"/>
  <c r="AF284" i="12" s="1"/>
  <c r="AB284" i="12"/>
  <c r="AC284" i="12" s="1"/>
  <c r="Y284" i="12"/>
  <c r="P284" i="12"/>
  <c r="AM284" i="12"/>
  <c r="G133" i="16"/>
  <c r="AC89" i="12"/>
  <c r="AF89" i="12"/>
  <c r="L229" i="12"/>
  <c r="N229" i="12"/>
  <c r="Z354" i="12"/>
  <c r="Z212" i="12"/>
  <c r="N321" i="12"/>
  <c r="L321" i="12"/>
  <c r="K26" i="20"/>
  <c r="N285" i="12"/>
  <c r="L285" i="12"/>
  <c r="Z310" i="12"/>
  <c r="Y307" i="12"/>
  <c r="Z307" i="12" s="1"/>
  <c r="AH307" i="12"/>
  <c r="AI307" i="12" s="1"/>
  <c r="P307" i="12"/>
  <c r="M307" i="12"/>
  <c r="AB307" i="12"/>
  <c r="AC307" i="12" s="1"/>
  <c r="AM307" i="12"/>
  <c r="O307" i="12"/>
  <c r="N307" i="12"/>
  <c r="AE307" i="12"/>
  <c r="AF307" i="12" s="1"/>
  <c r="L307" i="12"/>
  <c r="AO48" i="12"/>
  <c r="BB48" i="12"/>
  <c r="Z206" i="12"/>
  <c r="Z198" i="12"/>
  <c r="L137" i="12"/>
  <c r="N137" i="12"/>
  <c r="M96" i="12"/>
  <c r="P96" i="12"/>
  <c r="AE96" i="12"/>
  <c r="L96" i="12"/>
  <c r="AB96" i="12"/>
  <c r="Y96" i="12"/>
  <c r="O96" i="12"/>
  <c r="AM96" i="12"/>
  <c r="N96" i="12"/>
  <c r="AH96" i="12"/>
  <c r="Z148" i="12"/>
  <c r="AH187" i="12"/>
  <c r="AI187" i="12" s="1"/>
  <c r="P187" i="12"/>
  <c r="AM187" i="12"/>
  <c r="AB187" i="12"/>
  <c r="AC187" i="12" s="1"/>
  <c r="L187" i="12"/>
  <c r="Y187" i="12"/>
  <c r="N187" i="12"/>
  <c r="AE187" i="12"/>
  <c r="AF187" i="12" s="1"/>
  <c r="O187" i="12"/>
  <c r="M187" i="12"/>
  <c r="Z208" i="12"/>
  <c r="Z174" i="12"/>
  <c r="Z31" i="12"/>
  <c r="Z320" i="12"/>
  <c r="Z57" i="12"/>
  <c r="Z146" i="12"/>
  <c r="G171" i="16"/>
  <c r="Z78" i="12"/>
  <c r="Z88" i="12"/>
  <c r="Z281" i="12"/>
  <c r="Z164" i="12"/>
  <c r="Z243" i="12"/>
  <c r="Z120" i="12"/>
  <c r="AV25" i="12"/>
  <c r="AW25" i="12" s="1"/>
  <c r="G21" i="16"/>
  <c r="L173" i="12"/>
  <c r="N173" i="12"/>
  <c r="N357" i="12"/>
  <c r="L357" i="12"/>
  <c r="M176" i="12"/>
  <c r="AM176" i="12"/>
  <c r="AB176" i="12"/>
  <c r="AC176" i="12" s="1"/>
  <c r="L176" i="12"/>
  <c r="AH176" i="12"/>
  <c r="AI176" i="12" s="1"/>
  <c r="P176" i="12"/>
  <c r="O176" i="12"/>
  <c r="AE176" i="12"/>
  <c r="AF176" i="12" s="1"/>
  <c r="Y176" i="12"/>
  <c r="N176" i="12"/>
  <c r="Z82" i="12"/>
  <c r="L359" i="12"/>
  <c r="N359" i="12"/>
  <c r="N215" i="12"/>
  <c r="L215" i="12"/>
  <c r="Z81" i="12"/>
  <c r="F18" i="20"/>
  <c r="G18" i="20" s="1"/>
  <c r="K18" i="20" s="1"/>
  <c r="Z220" i="12"/>
  <c r="L92" i="12"/>
  <c r="AB92" i="12"/>
  <c r="P92" i="12"/>
  <c r="M92" i="12"/>
  <c r="AH92" i="12"/>
  <c r="AE92" i="12"/>
  <c r="Y92" i="12"/>
  <c r="O92" i="12"/>
  <c r="AM92" i="12"/>
  <c r="N92" i="12"/>
  <c r="Z286" i="12"/>
  <c r="Z262" i="12"/>
  <c r="AQ4" i="12"/>
  <c r="Z158" i="12"/>
  <c r="L141" i="12"/>
  <c r="N141" i="12"/>
  <c r="Z160" i="12"/>
  <c r="N33" i="12"/>
  <c r="U33" i="12" s="1"/>
  <c r="AK33" i="12" s="1"/>
  <c r="Z52" i="12"/>
  <c r="N245" i="12"/>
  <c r="L245" i="12"/>
  <c r="Z239" i="12"/>
  <c r="F17" i="20"/>
  <c r="G17" i="20" s="1"/>
  <c r="K17" i="20" s="1"/>
  <c r="Z226" i="12"/>
  <c r="Z166" i="12"/>
  <c r="F36" i="20"/>
  <c r="N113" i="12"/>
  <c r="U113" i="12" s="1"/>
  <c r="L113" i="12"/>
  <c r="N287" i="12"/>
  <c r="U287" i="12" s="1"/>
  <c r="AK287" i="12" s="1"/>
  <c r="N269" i="12"/>
  <c r="U269" i="12" s="1"/>
  <c r="AK269" i="12" s="1"/>
  <c r="AL269" i="12" s="1"/>
  <c r="AU269" i="12" s="1"/>
  <c r="Z179" i="12"/>
  <c r="AH91" i="12"/>
  <c r="P91" i="12"/>
  <c r="O91" i="12"/>
  <c r="N91" i="12"/>
  <c r="AB91" i="12"/>
  <c r="AE91" i="12"/>
  <c r="Y91" i="12"/>
  <c r="AM91" i="12"/>
  <c r="M91" i="12"/>
  <c r="L91" i="12"/>
  <c r="Z252" i="12"/>
  <c r="C21" i="20"/>
  <c r="AV4" i="7"/>
  <c r="L200" i="12"/>
  <c r="P200" i="12"/>
  <c r="O200" i="12"/>
  <c r="AE200" i="12"/>
  <c r="AF200" i="12" s="1"/>
  <c r="AB200" i="12"/>
  <c r="Y200" i="12"/>
  <c r="N200" i="12"/>
  <c r="M200" i="12"/>
  <c r="AM200" i="12"/>
  <c r="AH200" i="12"/>
  <c r="AI200" i="12" s="1"/>
  <c r="Z84" i="12"/>
  <c r="AC88" i="12"/>
  <c r="AH235" i="12"/>
  <c r="AI235" i="12" s="1"/>
  <c r="P235" i="12"/>
  <c r="O235" i="12"/>
  <c r="N235" i="12"/>
  <c r="M235" i="12"/>
  <c r="L235" i="12"/>
  <c r="AE235" i="12"/>
  <c r="AF235" i="12" s="1"/>
  <c r="AB235" i="12"/>
  <c r="AC235" i="12" s="1"/>
  <c r="AM235" i="12"/>
  <c r="AH56" i="12"/>
  <c r="AI56" i="12" s="1"/>
  <c r="P56" i="12"/>
  <c r="O56" i="12"/>
  <c r="N56" i="12"/>
  <c r="AE56" i="12"/>
  <c r="AF56" i="12" s="1"/>
  <c r="M56" i="12"/>
  <c r="L56" i="12"/>
  <c r="AB56" i="12"/>
  <c r="AC56" i="12" s="1"/>
  <c r="Y56" i="12"/>
  <c r="AM56" i="12"/>
  <c r="Z280" i="12"/>
  <c r="Z54" i="12"/>
  <c r="O55" i="12"/>
  <c r="AB55" i="12"/>
  <c r="AC55" i="12" s="1"/>
  <c r="AM55" i="12"/>
  <c r="Y55" i="12"/>
  <c r="N55" i="12"/>
  <c r="M55" i="12"/>
  <c r="L55" i="12"/>
  <c r="AH55" i="12"/>
  <c r="AI55" i="12" s="1"/>
  <c r="AE55" i="12"/>
  <c r="AF55" i="12" s="1"/>
  <c r="P55" i="12"/>
  <c r="Z348" i="12"/>
  <c r="Z170" i="12"/>
  <c r="J33" i="20"/>
  <c r="L337" i="12"/>
  <c r="N337" i="12"/>
  <c r="BB23" i="12"/>
  <c r="AW23" i="12"/>
  <c r="AO23" i="12"/>
  <c r="L221" i="12"/>
  <c r="N221" i="12"/>
  <c r="Z102" i="12"/>
  <c r="Z134" i="12"/>
  <c r="Z255" i="12"/>
  <c r="AI89" i="12"/>
  <c r="Z352" i="12"/>
  <c r="Z80" i="12"/>
  <c r="G117" i="16"/>
  <c r="AV48" i="12"/>
  <c r="AW48" i="12" s="1"/>
  <c r="G36" i="16"/>
  <c r="Z288" i="12"/>
  <c r="Z342" i="12"/>
  <c r="Y199" i="12"/>
  <c r="AH199" i="12"/>
  <c r="AI199" i="12" s="1"/>
  <c r="O199" i="12"/>
  <c r="P199" i="12"/>
  <c r="N199" i="12"/>
  <c r="AB199" i="12"/>
  <c r="AE199" i="12"/>
  <c r="AF199" i="12" s="1"/>
  <c r="M199" i="12"/>
  <c r="L199" i="12"/>
  <c r="AM199" i="12"/>
  <c r="Z168" i="12"/>
  <c r="AW17" i="12"/>
  <c r="AO17" i="12"/>
  <c r="BB17" i="12"/>
  <c r="Z263" i="12"/>
  <c r="Z111" i="12"/>
  <c r="G81" i="16"/>
  <c r="G27" i="16"/>
  <c r="AM151" i="12"/>
  <c r="AB151" i="12"/>
  <c r="AC151" i="12" s="1"/>
  <c r="L151" i="12"/>
  <c r="AH151" i="12"/>
  <c r="AI151" i="12" s="1"/>
  <c r="P151" i="12"/>
  <c r="O151" i="12"/>
  <c r="N151" i="12"/>
  <c r="AE151" i="12"/>
  <c r="AF151" i="12" s="1"/>
  <c r="Y151" i="12"/>
  <c r="M151" i="12"/>
  <c r="Z64" i="12"/>
  <c r="BH101" i="5"/>
  <c r="Z112" i="12"/>
  <c r="Z60" i="12"/>
  <c r="AE140" i="12"/>
  <c r="AF140" i="12" s="1"/>
  <c r="N140" i="12"/>
  <c r="Y140" i="12"/>
  <c r="AM140" i="12"/>
  <c r="P140" i="12"/>
  <c r="O140" i="12"/>
  <c r="AH140" i="12"/>
  <c r="AI140" i="12" s="1"/>
  <c r="M140" i="12"/>
  <c r="L140" i="12"/>
  <c r="AB140" i="12"/>
  <c r="AC140" i="12" s="1"/>
  <c r="F19" i="20"/>
  <c r="G19" i="20" s="1"/>
  <c r="K19" i="20" s="1"/>
  <c r="AN4" i="46"/>
  <c r="Z314" i="12"/>
  <c r="Z202" i="12"/>
  <c r="Z171" i="12"/>
  <c r="J40" i="20"/>
  <c r="L40" i="20" s="1"/>
  <c r="AF94" i="12"/>
  <c r="G203" i="16"/>
  <c r="F43" i="20"/>
  <c r="G43" i="20" s="1"/>
  <c r="K43" i="20" s="1"/>
  <c r="Z128" i="12"/>
  <c r="I4" i="12"/>
  <c r="AI88" i="12"/>
  <c r="Z150" i="12"/>
  <c r="Z75" i="12"/>
  <c r="N101" i="12"/>
  <c r="U101" i="12" s="1"/>
  <c r="N329" i="12"/>
  <c r="L329" i="12"/>
  <c r="AV15" i="46"/>
  <c r="BB20" i="12"/>
  <c r="BJ15" i="46" s="1"/>
  <c r="AO20" i="12"/>
  <c r="O98" i="12"/>
  <c r="L98" i="12"/>
  <c r="AB98" i="12"/>
  <c r="AH98" i="12"/>
  <c r="AE98" i="12"/>
  <c r="Y98" i="12"/>
  <c r="P98" i="12"/>
  <c r="AM98" i="12"/>
  <c r="N98" i="12"/>
  <c r="M98" i="12"/>
  <c r="Z159" i="12"/>
  <c r="Z233" i="12"/>
  <c r="Z295" i="12"/>
  <c r="X4" i="8"/>
  <c r="Z144" i="12"/>
  <c r="Z234" i="12"/>
  <c r="Z183" i="12"/>
  <c r="BC15" i="46"/>
  <c r="AV20" i="12"/>
  <c r="AW20" i="12" s="1"/>
  <c r="G16" i="16"/>
  <c r="Z99" i="12"/>
  <c r="Z32" i="12"/>
  <c r="AO330" i="12"/>
  <c r="BB330" i="12"/>
  <c r="Z172" i="12"/>
  <c r="Z37" i="12"/>
  <c r="AM44" i="12"/>
  <c r="AB44" i="12"/>
  <c r="AC44" i="12" s="1"/>
  <c r="L44" i="12"/>
  <c r="P44" i="12"/>
  <c r="O44" i="12"/>
  <c r="AH44" i="12"/>
  <c r="AI44" i="12" s="1"/>
  <c r="N44" i="12"/>
  <c r="M44" i="12"/>
  <c r="AE44" i="12"/>
  <c r="AF44" i="12" s="1"/>
  <c r="Y44" i="12"/>
  <c r="Z340" i="12"/>
  <c r="Z292" i="12"/>
  <c r="M260" i="12"/>
  <c r="L260" i="12"/>
  <c r="AE260" i="12"/>
  <c r="AF260" i="12" s="1"/>
  <c r="AB260" i="12"/>
  <c r="AC260" i="12" s="1"/>
  <c r="AM260" i="12"/>
  <c r="Y260" i="12"/>
  <c r="AH260" i="12"/>
  <c r="AI260" i="12" s="1"/>
  <c r="P260" i="12"/>
  <c r="O260" i="12"/>
  <c r="N260" i="12"/>
  <c r="AM68" i="12"/>
  <c r="AB68" i="12"/>
  <c r="AC68" i="12" s="1"/>
  <c r="L68" i="12"/>
  <c r="Y68" i="12"/>
  <c r="P68" i="12"/>
  <c r="AH68" i="12"/>
  <c r="AI68" i="12" s="1"/>
  <c r="O68" i="12"/>
  <c r="N68" i="12"/>
  <c r="M68" i="12"/>
  <c r="AE68" i="12"/>
  <c r="AF68" i="12" s="1"/>
  <c r="AF88" i="12"/>
  <c r="AE248" i="12"/>
  <c r="AF248" i="12" s="1"/>
  <c r="M248" i="12"/>
  <c r="L248" i="12"/>
  <c r="AH248" i="12"/>
  <c r="AI248" i="12" s="1"/>
  <c r="O248" i="12"/>
  <c r="AB248" i="12"/>
  <c r="AC248" i="12" s="1"/>
  <c r="AM248" i="12"/>
  <c r="N248" i="12"/>
  <c r="P248" i="12"/>
  <c r="G89" i="16"/>
  <c r="C16" i="20"/>
  <c r="K24" i="20"/>
  <c r="AE308" i="12"/>
  <c r="AF308" i="12" s="1"/>
  <c r="N308" i="12"/>
  <c r="AM308" i="12"/>
  <c r="O308" i="12"/>
  <c r="L308" i="12"/>
  <c r="Y308" i="12"/>
  <c r="AB308" i="12"/>
  <c r="AC308" i="12" s="1"/>
  <c r="P308" i="12"/>
  <c r="M308" i="12"/>
  <c r="AH308" i="12"/>
  <c r="AI308" i="12" s="1"/>
  <c r="Z293" i="12"/>
  <c r="O163" i="12"/>
  <c r="AM163" i="12"/>
  <c r="AB163" i="12"/>
  <c r="AC163" i="12" s="1"/>
  <c r="L163" i="12"/>
  <c r="P163" i="12"/>
  <c r="N163" i="12"/>
  <c r="AH163" i="12"/>
  <c r="AI163" i="12" s="1"/>
  <c r="M163" i="12"/>
  <c r="AE163" i="12"/>
  <c r="AF163" i="12" s="1"/>
  <c r="Y163" i="12"/>
  <c r="L269" i="12"/>
  <c r="Z294" i="12"/>
  <c r="G33" i="20"/>
  <c r="K33" i="20" s="1"/>
  <c r="M104" i="12"/>
  <c r="AE104" i="12"/>
  <c r="AF104" i="12" s="1"/>
  <c r="L104" i="12"/>
  <c r="AB104" i="12"/>
  <c r="AC104" i="12" s="1"/>
  <c r="AH104" i="12"/>
  <c r="AI104" i="12" s="1"/>
  <c r="Y104" i="12"/>
  <c r="P104" i="12"/>
  <c r="AM104" i="12"/>
  <c r="O104" i="12"/>
  <c r="N104" i="12"/>
  <c r="Z152" i="12"/>
  <c r="M188" i="12"/>
  <c r="AB188" i="12"/>
  <c r="AC188" i="12" s="1"/>
  <c r="AM188" i="12"/>
  <c r="Y188" i="12"/>
  <c r="O188" i="12"/>
  <c r="P188" i="12"/>
  <c r="N188" i="12"/>
  <c r="L188" i="12"/>
  <c r="AH188" i="12"/>
  <c r="AI188" i="12" s="1"/>
  <c r="AE188" i="12"/>
  <c r="AF188" i="12" s="1"/>
  <c r="Z124" i="12"/>
  <c r="AT4" i="7"/>
  <c r="Z186" i="12"/>
  <c r="G189" i="16"/>
  <c r="AY4" i="7"/>
  <c r="Z89" i="8"/>
  <c r="N29" i="12"/>
  <c r="U29" i="12" s="1"/>
  <c r="L29" i="12"/>
  <c r="Z298" i="12"/>
  <c r="AH283" i="12"/>
  <c r="AI283" i="12" s="1"/>
  <c r="P283" i="12"/>
  <c r="AM283" i="12"/>
  <c r="AB283" i="12"/>
  <c r="AC283" i="12" s="1"/>
  <c r="L283" i="12"/>
  <c r="N283" i="12"/>
  <c r="M283" i="12"/>
  <c r="AE283" i="12"/>
  <c r="AF283" i="12" s="1"/>
  <c r="O283" i="12"/>
  <c r="Y283" i="12"/>
  <c r="Z266" i="12"/>
  <c r="Z272" i="12"/>
  <c r="N301" i="12"/>
  <c r="AO4" i="46"/>
  <c r="Z224" i="12"/>
  <c r="Z315" i="12"/>
  <c r="AM43" i="12"/>
  <c r="Y43" i="12"/>
  <c r="AH43" i="12"/>
  <c r="AI43" i="12" s="1"/>
  <c r="N43" i="12"/>
  <c r="M43" i="12"/>
  <c r="AE43" i="12"/>
  <c r="AF43" i="12" s="1"/>
  <c r="L43" i="12"/>
  <c r="AB43" i="12"/>
  <c r="AC43" i="12" s="1"/>
  <c r="P43" i="12"/>
  <c r="O43" i="12"/>
  <c r="AM175" i="12"/>
  <c r="AB175" i="12"/>
  <c r="AC175" i="12" s="1"/>
  <c r="L175" i="12"/>
  <c r="AH175" i="12"/>
  <c r="AI175" i="12" s="1"/>
  <c r="P175" i="12"/>
  <c r="O175" i="12"/>
  <c r="AE175" i="12"/>
  <c r="AF175" i="12" s="1"/>
  <c r="N175" i="12"/>
  <c r="M175" i="12"/>
  <c r="Y175" i="12"/>
  <c r="F30" i="20"/>
  <c r="Y93" i="12"/>
  <c r="P93" i="12"/>
  <c r="AE93" i="12"/>
  <c r="M93" i="12"/>
  <c r="N93" i="12"/>
  <c r="AM93" i="12"/>
  <c r="L93" i="12"/>
  <c r="AH93" i="12"/>
  <c r="AB93" i="12"/>
  <c r="O93" i="12"/>
  <c r="Z180" i="12"/>
  <c r="L115" i="12"/>
  <c r="N115" i="12"/>
  <c r="Z332" i="12"/>
  <c r="Z142" i="12"/>
  <c r="N45" i="12"/>
  <c r="U45" i="12" s="1"/>
  <c r="AK45" i="12" s="1"/>
  <c r="AL45" i="12" s="1"/>
  <c r="AU45" i="12" s="1"/>
  <c r="G33" i="16" s="1"/>
  <c r="L45" i="12"/>
  <c r="Z307" i="8"/>
  <c r="AE331" i="12"/>
  <c r="AF331" i="12" s="1"/>
  <c r="N331" i="12"/>
  <c r="AB331" i="12"/>
  <c r="AC331" i="12" s="1"/>
  <c r="AM331" i="12"/>
  <c r="Y331" i="12"/>
  <c r="AH331" i="12"/>
  <c r="AI331" i="12" s="1"/>
  <c r="O331" i="12"/>
  <c r="P331" i="12"/>
  <c r="M331" i="12"/>
  <c r="L331" i="12"/>
  <c r="Z240" i="12"/>
  <c r="O42" i="9"/>
  <c r="X42" i="9" s="1"/>
  <c r="AA42" i="9" s="1"/>
  <c r="Z316" i="12"/>
  <c r="AH127" i="12"/>
  <c r="AI127" i="12" s="1"/>
  <c r="P127" i="12"/>
  <c r="AE127" i="12"/>
  <c r="AF127" i="12" s="1"/>
  <c r="M127" i="12"/>
  <c r="L127" i="12"/>
  <c r="AB127" i="12"/>
  <c r="AC127" i="12" s="1"/>
  <c r="Y127" i="12"/>
  <c r="O127" i="12"/>
  <c r="N127" i="12"/>
  <c r="AM127" i="12"/>
  <c r="AM95" i="12"/>
  <c r="AB95" i="12"/>
  <c r="L95" i="12"/>
  <c r="P95" i="12"/>
  <c r="AE95" i="12"/>
  <c r="Y95" i="12"/>
  <c r="O95" i="12"/>
  <c r="N95" i="12"/>
  <c r="M95" i="12"/>
  <c r="AH95" i="12"/>
  <c r="Z114" i="12"/>
  <c r="O41" i="9"/>
  <c r="AF39" i="10"/>
  <c r="AF4" i="10" s="1"/>
  <c r="AC4" i="10"/>
  <c r="Z303" i="12"/>
  <c r="Z362" i="12"/>
  <c r="Z97" i="12"/>
  <c r="G101" i="16"/>
  <c r="AI94" i="12"/>
  <c r="Z296" i="12"/>
  <c r="G43" i="16"/>
  <c r="L71" i="12"/>
  <c r="N71" i="12"/>
  <c r="U71" i="12" s="1"/>
  <c r="AK71" i="12" s="1"/>
  <c r="Z319" i="12"/>
  <c r="Z279" i="12"/>
  <c r="L101" i="12"/>
  <c r="Z89" i="12"/>
  <c r="Z236" i="12"/>
  <c r="BB21" i="12"/>
  <c r="AO21" i="12"/>
  <c r="C37" i="20"/>
  <c r="BA136" i="7"/>
  <c r="Z106" i="12"/>
  <c r="Z204" i="12"/>
  <c r="Z194" i="12"/>
  <c r="Z135" i="12"/>
  <c r="L33" i="12"/>
  <c r="K22" i="20"/>
  <c r="Z119" i="12"/>
  <c r="G245" i="16"/>
  <c r="Z132" i="12"/>
  <c r="G162" i="16"/>
  <c r="AC97" i="12"/>
  <c r="Z94" i="12"/>
  <c r="Z38" i="12"/>
  <c r="Z30" i="12"/>
  <c r="Z47" i="12"/>
  <c r="AU4" i="7"/>
  <c r="AR4" i="7" s="1"/>
  <c r="AW4" i="7"/>
  <c r="Z62" i="12"/>
  <c r="Z103" i="12"/>
  <c r="AO25" i="12"/>
  <c r="BB25" i="12"/>
  <c r="F28" i="20"/>
  <c r="G28" i="20" s="1"/>
  <c r="K28" i="20" s="1"/>
  <c r="L301" i="12"/>
  <c r="J29" i="20"/>
  <c r="L29" i="20" s="1"/>
  <c r="AV76" i="12" l="1"/>
  <c r="AW76" i="12" s="1"/>
  <c r="BB129" i="12"/>
  <c r="AV129" i="12"/>
  <c r="AW129" i="12" s="1"/>
  <c r="AN300" i="12"/>
  <c r="BB300" i="12" s="1"/>
  <c r="AN242" i="12"/>
  <c r="AO242" i="12" s="1"/>
  <c r="V242" i="12"/>
  <c r="AV238" i="12"/>
  <c r="AW238" i="12" s="1"/>
  <c r="AN350" i="12"/>
  <c r="BB350" i="12" s="1"/>
  <c r="AV21" i="12"/>
  <c r="AW21" i="12" s="1"/>
  <c r="BB15" i="46"/>
  <c r="BB230" i="12"/>
  <c r="BB19" i="12"/>
  <c r="AO19" i="12"/>
  <c r="G15" i="16"/>
  <c r="AV19" i="12"/>
  <c r="AW19" i="12" s="1"/>
  <c r="V21" i="12"/>
  <c r="AV230" i="12"/>
  <c r="AW230" i="12" s="1"/>
  <c r="AO336" i="12"/>
  <c r="AO361" i="12"/>
  <c r="BB238" i="12"/>
  <c r="AO238" i="12"/>
  <c r="AV336" i="12"/>
  <c r="AW336" i="12" s="1"/>
  <c r="AV122" i="12"/>
  <c r="AW122" i="12" s="1"/>
  <c r="BB361" i="12"/>
  <c r="BB122" i="12"/>
  <c r="AO122" i="12"/>
  <c r="AV246" i="12"/>
  <c r="AW246" i="12" s="1"/>
  <c r="AO246" i="12"/>
  <c r="BB156" i="12"/>
  <c r="AO34" i="12"/>
  <c r="BB59" i="12"/>
  <c r="AO59" i="12"/>
  <c r="AV156" i="12"/>
  <c r="AW156" i="12" s="1"/>
  <c r="AV184" i="12"/>
  <c r="AW184" i="12" s="1"/>
  <c r="AO195" i="12"/>
  <c r="G158" i="16"/>
  <c r="AO184" i="12"/>
  <c r="AV34" i="12"/>
  <c r="AW34" i="12" s="1"/>
  <c r="G26" i="16"/>
  <c r="AO35" i="12"/>
  <c r="AV35" i="12"/>
  <c r="AW35" i="12" s="1"/>
  <c r="BB209" i="12"/>
  <c r="AO69" i="12"/>
  <c r="AV209" i="12"/>
  <c r="AW209" i="12" s="1"/>
  <c r="AO228" i="12"/>
  <c r="AV258" i="12"/>
  <c r="AW258" i="12" s="1"/>
  <c r="BB258" i="12"/>
  <c r="BB312" i="12"/>
  <c r="BB291" i="12"/>
  <c r="AO253" i="12"/>
  <c r="BA4" i="7"/>
  <c r="BB257" i="12"/>
  <c r="BB222" i="12"/>
  <c r="AO192" i="12"/>
  <c r="AO257" i="12"/>
  <c r="AV138" i="12"/>
  <c r="AW138" i="12" s="1"/>
  <c r="BB318" i="12"/>
  <c r="AV69" i="12"/>
  <c r="AW69" i="12" s="1"/>
  <c r="AV253" i="12"/>
  <c r="AW253" i="12" s="1"/>
  <c r="AV291" i="12"/>
  <c r="AW291" i="12" s="1"/>
  <c r="AO138" i="12"/>
  <c r="BB27" i="12"/>
  <c r="AV193" i="12"/>
  <c r="AW193" i="12" s="1"/>
  <c r="BB193" i="12"/>
  <c r="AO324" i="12"/>
  <c r="AV147" i="12"/>
  <c r="AW147" i="12" s="1"/>
  <c r="BB46" i="12"/>
  <c r="AV270" i="12"/>
  <c r="AW270" i="12" s="1"/>
  <c r="AV46" i="12"/>
  <c r="AW46" i="12" s="1"/>
  <c r="AV222" i="12"/>
  <c r="AW222" i="12" s="1"/>
  <c r="G34" i="16"/>
  <c r="AV242" i="12"/>
  <c r="AW242" i="12" s="1"/>
  <c r="AV328" i="12"/>
  <c r="AW328" i="12" s="1"/>
  <c r="AV324" i="12"/>
  <c r="AW324" i="12" s="1"/>
  <c r="BB328" i="12"/>
  <c r="BB117" i="12"/>
  <c r="AO147" i="12"/>
  <c r="AV117" i="12"/>
  <c r="AW117" i="12" s="1"/>
  <c r="BB147" i="12"/>
  <c r="AV241" i="12"/>
  <c r="AW241" i="12" s="1"/>
  <c r="AV312" i="12"/>
  <c r="AW312" i="12" s="1"/>
  <c r="AV85" i="12"/>
  <c r="AW85" i="12" s="1"/>
  <c r="AV195" i="12"/>
  <c r="AW195" i="12" s="1"/>
  <c r="AO51" i="12"/>
  <c r="BB241" i="12"/>
  <c r="AV228" i="12"/>
  <c r="AW228" i="12" s="1"/>
  <c r="AO241" i="12"/>
  <c r="BB196" i="12"/>
  <c r="AO276" i="12"/>
  <c r="AO290" i="12"/>
  <c r="BB85" i="12"/>
  <c r="AV27" i="12"/>
  <c r="AW27" i="12" s="1"/>
  <c r="AV196" i="12"/>
  <c r="AW196" i="12" s="1"/>
  <c r="AN233" i="12"/>
  <c r="AO233" i="12" s="1"/>
  <c r="AV318" i="12"/>
  <c r="AW318" i="12" s="1"/>
  <c r="AO40" i="12"/>
  <c r="AV244" i="12"/>
  <c r="AW244" i="12" s="1"/>
  <c r="BB251" i="12"/>
  <c r="AO244" i="12"/>
  <c r="AO251" i="12"/>
  <c r="AV192" i="12"/>
  <c r="AW192" i="12" s="1"/>
  <c r="AV70" i="12"/>
  <c r="AW70" i="12" s="1"/>
  <c r="BB70" i="12"/>
  <c r="AV277" i="12"/>
  <c r="AW277" i="12" s="1"/>
  <c r="AO270" i="12"/>
  <c r="BB250" i="12"/>
  <c r="BB232" i="12"/>
  <c r="G132" i="16"/>
  <c r="AV40" i="12"/>
  <c r="AW40" i="12" s="1"/>
  <c r="AO155" i="12"/>
  <c r="BB136" i="12"/>
  <c r="AV185" i="12"/>
  <c r="AW185" i="12" s="1"/>
  <c r="AV232" i="12"/>
  <c r="AW232" i="12" s="1"/>
  <c r="BB155" i="12"/>
  <c r="BB185" i="12"/>
  <c r="AN94" i="12"/>
  <c r="BB94" i="12" s="1"/>
  <c r="AO265" i="12"/>
  <c r="AV265" i="12"/>
  <c r="AW265" i="12" s="1"/>
  <c r="AV358" i="12"/>
  <c r="AW358" i="12" s="1"/>
  <c r="AV290" i="12"/>
  <c r="AW290" i="12" s="1"/>
  <c r="BB66" i="12"/>
  <c r="BB191" i="12"/>
  <c r="AU204" i="12"/>
  <c r="G140" i="16" s="1"/>
  <c r="BB86" i="12"/>
  <c r="G198" i="16"/>
  <c r="AO231" i="12"/>
  <c r="G242" i="16"/>
  <c r="AN204" i="12"/>
  <c r="BB204" i="12" s="1"/>
  <c r="AV268" i="12"/>
  <c r="AW268" i="12" s="1"/>
  <c r="BB268" i="12"/>
  <c r="AV136" i="12"/>
  <c r="AW136" i="12" s="1"/>
  <c r="AN49" i="12"/>
  <c r="AO49" i="12" s="1"/>
  <c r="AN353" i="12"/>
  <c r="AV353" i="12" s="1"/>
  <c r="AW353" i="12" s="1"/>
  <c r="AN272" i="12"/>
  <c r="BB272" i="12" s="1"/>
  <c r="AN340" i="12"/>
  <c r="AO340" i="12" s="1"/>
  <c r="AV169" i="12"/>
  <c r="AW169" i="12" s="1"/>
  <c r="BB169" i="12"/>
  <c r="AU340" i="12"/>
  <c r="AO76" i="12"/>
  <c r="AU362" i="12"/>
  <c r="G246" i="16" s="1"/>
  <c r="AN106" i="12"/>
  <c r="BB106" i="12" s="1"/>
  <c r="AO50" i="12"/>
  <c r="AU49" i="12"/>
  <c r="G37" i="16" s="1"/>
  <c r="AV51" i="12"/>
  <c r="AW51" i="12" s="1"/>
  <c r="AN303" i="12"/>
  <c r="AO303" i="12" s="1"/>
  <c r="AN266" i="12"/>
  <c r="BB266" i="12" s="1"/>
  <c r="BB346" i="12"/>
  <c r="BB207" i="12"/>
  <c r="BB358" i="12"/>
  <c r="AV250" i="12"/>
  <c r="AW250" i="12" s="1"/>
  <c r="AV327" i="12"/>
  <c r="AW327" i="12" s="1"/>
  <c r="AO110" i="12"/>
  <c r="AN203" i="12"/>
  <c r="AO203" i="12" s="1"/>
  <c r="AU292" i="12"/>
  <c r="AN311" i="12"/>
  <c r="AV311" i="12" s="1"/>
  <c r="AW311" i="12" s="1"/>
  <c r="BB327" i="12"/>
  <c r="AV178" i="12"/>
  <c r="AW178" i="12" s="1"/>
  <c r="BB178" i="12"/>
  <c r="AN292" i="12"/>
  <c r="AO292" i="12" s="1"/>
  <c r="AN75" i="12"/>
  <c r="AO75" i="12" s="1"/>
  <c r="AN52" i="12"/>
  <c r="AO52" i="12" s="1"/>
  <c r="AU52" i="12"/>
  <c r="AV86" i="12"/>
  <c r="AW86" i="12" s="1"/>
  <c r="V203" i="12"/>
  <c r="AN83" i="12"/>
  <c r="AO83" i="12" s="1"/>
  <c r="AU233" i="12"/>
  <c r="AV145" i="12"/>
  <c r="AW145" i="12" s="1"/>
  <c r="AV299" i="12"/>
  <c r="AW299" i="12" s="1"/>
  <c r="AN234" i="12"/>
  <c r="BB234" i="12" s="1"/>
  <c r="G62" i="16"/>
  <c r="AV346" i="12"/>
  <c r="AW346" i="12" s="1"/>
  <c r="AU294" i="12"/>
  <c r="BB299" i="12"/>
  <c r="AN332" i="12"/>
  <c r="BB332" i="12" s="1"/>
  <c r="AO300" i="12"/>
  <c r="AN186" i="12"/>
  <c r="AO186" i="12" s="1"/>
  <c r="AN183" i="12"/>
  <c r="AO183" i="12" s="1"/>
  <c r="AU186" i="12"/>
  <c r="AU332" i="12"/>
  <c r="AU174" i="12"/>
  <c r="AU272" i="12"/>
  <c r="AU234" i="12"/>
  <c r="AN247" i="12"/>
  <c r="AV247" i="12" s="1"/>
  <c r="AW247" i="12" s="1"/>
  <c r="AN362" i="12"/>
  <c r="AV118" i="12"/>
  <c r="AW118" i="12" s="1"/>
  <c r="AU315" i="12"/>
  <c r="AN133" i="12"/>
  <c r="BB133" i="12" s="1"/>
  <c r="AN280" i="12"/>
  <c r="BB280" i="12" s="1"/>
  <c r="AO118" i="12"/>
  <c r="BB277" i="12"/>
  <c r="AN148" i="12"/>
  <c r="AO148" i="12" s="1"/>
  <c r="V49" i="12"/>
  <c r="AN225" i="12"/>
  <c r="BB225" i="12" s="1"/>
  <c r="AV100" i="12"/>
  <c r="AW100" i="12" s="1"/>
  <c r="AU183" i="12"/>
  <c r="AV254" i="12"/>
  <c r="AW254" i="12" s="1"/>
  <c r="AU342" i="12"/>
  <c r="AO267" i="12"/>
  <c r="AU170" i="12"/>
  <c r="G118" i="16" s="1"/>
  <c r="AO254" i="12"/>
  <c r="AO100" i="12"/>
  <c r="AN159" i="12"/>
  <c r="AO159" i="12" s="1"/>
  <c r="G181" i="16"/>
  <c r="AV302" i="12"/>
  <c r="AW302" i="12" s="1"/>
  <c r="AN121" i="12"/>
  <c r="AV121" i="12" s="1"/>
  <c r="AW121" i="12" s="1"/>
  <c r="V186" i="12"/>
  <c r="AU252" i="12"/>
  <c r="G172" i="16" s="1"/>
  <c r="V202" i="12"/>
  <c r="V263" i="12"/>
  <c r="V183" i="12"/>
  <c r="V342" i="12"/>
  <c r="V225" i="12"/>
  <c r="AV267" i="12"/>
  <c r="AW267" i="12" s="1"/>
  <c r="BB302" i="12"/>
  <c r="AV300" i="12"/>
  <c r="AW300" i="12" s="1"/>
  <c r="AN202" i="12"/>
  <c r="BB202" i="12" s="1"/>
  <c r="AO302" i="12"/>
  <c r="AU202" i="12"/>
  <c r="G138" i="16" s="1"/>
  <c r="AN194" i="12"/>
  <c r="AO194" i="12" s="1"/>
  <c r="AU194" i="12"/>
  <c r="G134" i="16" s="1"/>
  <c r="V62" i="12"/>
  <c r="AU60" i="12"/>
  <c r="G44" i="16" s="1"/>
  <c r="AU316" i="12"/>
  <c r="BB264" i="12"/>
  <c r="AV338" i="12"/>
  <c r="AW338" i="12" s="1"/>
  <c r="AN31" i="12"/>
  <c r="BB31" i="12" s="1"/>
  <c r="AN152" i="12"/>
  <c r="BB152" i="12" s="1"/>
  <c r="AO126" i="12"/>
  <c r="AO338" i="12"/>
  <c r="AN298" i="12"/>
  <c r="AO298" i="12" s="1"/>
  <c r="AN111" i="12"/>
  <c r="BB111" i="12" s="1"/>
  <c r="AL65" i="12"/>
  <c r="AU65" i="12" s="1"/>
  <c r="AN65" i="12"/>
  <c r="BB65" i="12" s="1"/>
  <c r="AN286" i="12"/>
  <c r="BB286" i="12" s="1"/>
  <c r="AN289" i="12"/>
  <c r="AO289" i="12" s="1"/>
  <c r="V109" i="12"/>
  <c r="V52" i="12"/>
  <c r="V94" i="12"/>
  <c r="V292" i="12"/>
  <c r="AN109" i="12"/>
  <c r="BB109" i="12" s="1"/>
  <c r="AU106" i="12"/>
  <c r="AU298" i="12"/>
  <c r="G202" i="16" s="1"/>
  <c r="AU208" i="12"/>
  <c r="AU148" i="12"/>
  <c r="V353" i="12"/>
  <c r="V148" i="12"/>
  <c r="AN313" i="12"/>
  <c r="BB313" i="12" s="1"/>
  <c r="AN315" i="12"/>
  <c r="BB315" i="12" s="1"/>
  <c r="AN263" i="12"/>
  <c r="AO263" i="12" s="1"/>
  <c r="AU31" i="12"/>
  <c r="V340" i="12"/>
  <c r="AU150" i="12"/>
  <c r="AU112" i="12"/>
  <c r="AU263" i="12"/>
  <c r="V272" i="12"/>
  <c r="V362" i="12"/>
  <c r="V208" i="12"/>
  <c r="V280" i="12"/>
  <c r="V106" i="12"/>
  <c r="AN150" i="12"/>
  <c r="BB150" i="12" s="1"/>
  <c r="V164" i="12"/>
  <c r="V153" i="12"/>
  <c r="V234" i="12"/>
  <c r="AV110" i="12"/>
  <c r="AW110" i="12" s="1"/>
  <c r="AN153" i="12"/>
  <c r="AO153" i="12" s="1"/>
  <c r="AN99" i="12"/>
  <c r="BB99" i="12" s="1"/>
  <c r="AU356" i="12"/>
  <c r="AN189" i="12"/>
  <c r="AV189" i="12" s="1"/>
  <c r="AW189" i="12" s="1"/>
  <c r="BB326" i="12"/>
  <c r="AV326" i="12"/>
  <c r="AW326" i="12" s="1"/>
  <c r="AU240" i="12"/>
  <c r="G164" i="16" s="1"/>
  <c r="AU99" i="12"/>
  <c r="V168" i="12"/>
  <c r="AV108" i="12"/>
  <c r="AW108" i="12" s="1"/>
  <c r="AO154" i="12"/>
  <c r="AO108" i="12"/>
  <c r="AN224" i="12"/>
  <c r="BB224" i="12" s="1"/>
  <c r="AU224" i="12"/>
  <c r="AO39" i="12"/>
  <c r="AV276" i="12"/>
  <c r="AW276" i="12" s="1"/>
  <c r="V77" i="12"/>
  <c r="AU286" i="12"/>
  <c r="AV286" i="12" s="1"/>
  <c r="AW286" i="12" s="1"/>
  <c r="V75" i="12"/>
  <c r="AN349" i="12"/>
  <c r="AO349" i="12" s="1"/>
  <c r="AO351" i="12"/>
  <c r="AN252" i="12"/>
  <c r="BB252" i="12" s="1"/>
  <c r="AN158" i="12"/>
  <c r="AO158" i="12" s="1"/>
  <c r="AN220" i="12"/>
  <c r="AO220" i="12" s="1"/>
  <c r="AU120" i="12"/>
  <c r="G84" i="16" s="1"/>
  <c r="AN174" i="12"/>
  <c r="BB174" i="12" s="1"/>
  <c r="V144" i="12"/>
  <c r="V28" i="12"/>
  <c r="V161" i="12"/>
  <c r="AU220" i="12"/>
  <c r="V224" i="12"/>
  <c r="V82" i="12"/>
  <c r="BB108" i="12"/>
  <c r="AN80" i="12"/>
  <c r="AO80" i="12" s="1"/>
  <c r="AN28" i="12"/>
  <c r="BB28" i="12" s="1"/>
  <c r="AN320" i="12"/>
  <c r="AO320" i="12" s="1"/>
  <c r="AU80" i="12"/>
  <c r="G56" i="16" s="1"/>
  <c r="AN255" i="12"/>
  <c r="BB255" i="12" s="1"/>
  <c r="AN348" i="12"/>
  <c r="BB348" i="12" s="1"/>
  <c r="AU28" i="12"/>
  <c r="AN82" i="12"/>
  <c r="AO82" i="12" s="1"/>
  <c r="V102" i="12"/>
  <c r="AN271" i="12"/>
  <c r="BB271" i="12" s="1"/>
  <c r="AU255" i="12"/>
  <c r="AU348" i="12"/>
  <c r="G236" i="16" s="1"/>
  <c r="AN325" i="12"/>
  <c r="AO325" i="12" s="1"/>
  <c r="AU82" i="12"/>
  <c r="G58" i="16" s="1"/>
  <c r="AN281" i="12"/>
  <c r="AO281" i="12" s="1"/>
  <c r="V271" i="12"/>
  <c r="AO145" i="12"/>
  <c r="AU281" i="12"/>
  <c r="V220" i="12"/>
  <c r="AK114" i="12"/>
  <c r="AL114" i="12" s="1"/>
  <c r="AU114" i="12" s="1"/>
  <c r="V213" i="12"/>
  <c r="V349" i="12"/>
  <c r="AV126" i="12"/>
  <c r="AW126" i="12" s="1"/>
  <c r="V99" i="12"/>
  <c r="AN213" i="12"/>
  <c r="BB213" i="12" s="1"/>
  <c r="AV207" i="12"/>
  <c r="AW207" i="12" s="1"/>
  <c r="AN319" i="12"/>
  <c r="AO319" i="12" s="1"/>
  <c r="AN132" i="12"/>
  <c r="AN275" i="12"/>
  <c r="BB275" i="12" s="1"/>
  <c r="AU132" i="12"/>
  <c r="G92" i="16" s="1"/>
  <c r="AV182" i="12"/>
  <c r="AW182" i="12" s="1"/>
  <c r="AV282" i="12"/>
  <c r="AW282" i="12" s="1"/>
  <c r="BB182" i="12"/>
  <c r="AO282" i="12"/>
  <c r="AU319" i="12"/>
  <c r="AV50" i="12"/>
  <c r="AW50" i="12" s="1"/>
  <c r="AV39" i="12"/>
  <c r="AW39" i="12" s="1"/>
  <c r="V31" i="12"/>
  <c r="V78" i="12"/>
  <c r="V289" i="12"/>
  <c r="V121" i="12"/>
  <c r="V125" i="12"/>
  <c r="V36" i="12"/>
  <c r="V311" i="12"/>
  <c r="AN317" i="12"/>
  <c r="AV317" i="12" s="1"/>
  <c r="AW317" i="12" s="1"/>
  <c r="V266" i="12"/>
  <c r="V252" i="12"/>
  <c r="AN181" i="12"/>
  <c r="BB181" i="12" s="1"/>
  <c r="V317" i="12"/>
  <c r="V325" i="12"/>
  <c r="V63" i="12"/>
  <c r="AV264" i="12"/>
  <c r="AW264" i="12" s="1"/>
  <c r="V306" i="12"/>
  <c r="V149" i="12"/>
  <c r="V179" i="12"/>
  <c r="AU152" i="12"/>
  <c r="G104" i="16" s="1"/>
  <c r="AN119" i="12"/>
  <c r="BB119" i="12" s="1"/>
  <c r="AU119" i="12"/>
  <c r="G83" i="16" s="1"/>
  <c r="AN97" i="12"/>
  <c r="AO97" i="12" s="1"/>
  <c r="AN212" i="12"/>
  <c r="BB212" i="12" s="1"/>
  <c r="AU296" i="12"/>
  <c r="AN179" i="12"/>
  <c r="AO179" i="12" s="1"/>
  <c r="G38" i="16"/>
  <c r="G180" i="16"/>
  <c r="AU179" i="12"/>
  <c r="G123" i="16" s="1"/>
  <c r="AN273" i="12"/>
  <c r="BB273" i="12" s="1"/>
  <c r="AV66" i="12"/>
  <c r="AW66" i="12" s="1"/>
  <c r="AU111" i="12"/>
  <c r="V54" i="12"/>
  <c r="AU273" i="12"/>
  <c r="BB36" i="46" s="1"/>
  <c r="V273" i="12"/>
  <c r="V297" i="12"/>
  <c r="AN197" i="12"/>
  <c r="BB197" i="12" s="1"/>
  <c r="AN84" i="12"/>
  <c r="BB84" i="12" s="1"/>
  <c r="AU212" i="12"/>
  <c r="G144" i="16" s="1"/>
  <c r="V197" i="12"/>
  <c r="V103" i="12"/>
  <c r="AN316" i="12"/>
  <c r="BB316" i="12" s="1"/>
  <c r="AN297" i="12"/>
  <c r="AO297" i="12" s="1"/>
  <c r="V97" i="12"/>
  <c r="V60" i="12"/>
  <c r="V111" i="12"/>
  <c r="AN60" i="12"/>
  <c r="AV351" i="12"/>
  <c r="AW351" i="12" s="1"/>
  <c r="V152" i="12"/>
  <c r="V212" i="12"/>
  <c r="AN172" i="12"/>
  <c r="AO172" i="12" s="1"/>
  <c r="AV231" i="12"/>
  <c r="AW231" i="12" s="1"/>
  <c r="AV74" i="12"/>
  <c r="AW74" i="12" s="1"/>
  <c r="AN243" i="12"/>
  <c r="BB243" i="12" s="1"/>
  <c r="AN47" i="12"/>
  <c r="BB47" i="12" s="1"/>
  <c r="AU47" i="12"/>
  <c r="G35" i="16" s="1"/>
  <c r="AU172" i="12"/>
  <c r="AU243" i="12"/>
  <c r="AN310" i="12"/>
  <c r="BB310" i="12" s="1"/>
  <c r="AN131" i="12"/>
  <c r="AO131" i="12" s="1"/>
  <c r="AU310" i="12"/>
  <c r="G210" i="16" s="1"/>
  <c r="V41" i="12"/>
  <c r="V310" i="12"/>
  <c r="V80" i="12"/>
  <c r="BB74" i="12"/>
  <c r="AV190" i="12"/>
  <c r="AW190" i="12" s="1"/>
  <c r="AV191" i="12"/>
  <c r="AW191" i="12" s="1"/>
  <c r="AO304" i="12"/>
  <c r="AU354" i="12"/>
  <c r="V243" i="12"/>
  <c r="V47" i="12"/>
  <c r="AV304" i="12"/>
  <c r="AW304" i="12" s="1"/>
  <c r="V165" i="12"/>
  <c r="V354" i="12"/>
  <c r="AU226" i="12"/>
  <c r="G154" i="16" s="1"/>
  <c r="AN354" i="12"/>
  <c r="BB354" i="12" s="1"/>
  <c r="AN38" i="12"/>
  <c r="AO38" i="12" s="1"/>
  <c r="AN107" i="12"/>
  <c r="BB107" i="12" s="1"/>
  <c r="AO190" i="12"/>
  <c r="AN355" i="12"/>
  <c r="AO355" i="12" s="1"/>
  <c r="V142" i="12"/>
  <c r="AN237" i="12"/>
  <c r="BB237" i="12" s="1"/>
  <c r="AN226" i="12"/>
  <c r="AU131" i="12"/>
  <c r="V204" i="12"/>
  <c r="V172" i="12"/>
  <c r="V38" i="12"/>
  <c r="V42" i="12"/>
  <c r="AV210" i="12"/>
  <c r="AW210" i="12" s="1"/>
  <c r="AV154" i="12"/>
  <c r="AW154" i="12" s="1"/>
  <c r="V261" i="12"/>
  <c r="V281" i="12"/>
  <c r="V332" i="12"/>
  <c r="V83" i="12"/>
  <c r="V194" i="12"/>
  <c r="AN36" i="12"/>
  <c r="BB36" i="12" s="1"/>
  <c r="AN161" i="12"/>
  <c r="BB161" i="12" s="1"/>
  <c r="V356" i="12"/>
  <c r="V348" i="12"/>
  <c r="V226" i="12"/>
  <c r="V67" i="12"/>
  <c r="V237" i="12"/>
  <c r="AU128" i="12"/>
  <c r="G88" i="16" s="1"/>
  <c r="AU171" i="12"/>
  <c r="AU288" i="12"/>
  <c r="V30" i="12"/>
  <c r="V171" i="12"/>
  <c r="V334" i="12"/>
  <c r="V319" i="12"/>
  <c r="V298" i="12"/>
  <c r="AN344" i="12"/>
  <c r="BB344" i="12" s="1"/>
  <c r="V132" i="12"/>
  <c r="V239" i="12"/>
  <c r="V64" i="12"/>
  <c r="V134" i="12"/>
  <c r="V160" i="12"/>
  <c r="AN135" i="12"/>
  <c r="BB135" i="12" s="1"/>
  <c r="AU135" i="12"/>
  <c r="AN64" i="12"/>
  <c r="AO64" i="12" s="1"/>
  <c r="V344" i="12"/>
  <c r="AU64" i="12"/>
  <c r="V360" i="12"/>
  <c r="AN62" i="12"/>
  <c r="BB62" i="12" s="1"/>
  <c r="AN134" i="12"/>
  <c r="AO134" i="12" s="1"/>
  <c r="G106" i="16"/>
  <c r="AN239" i="12"/>
  <c r="BB239" i="12" s="1"/>
  <c r="AN160" i="12"/>
  <c r="AO160" i="12" s="1"/>
  <c r="AU62" i="12"/>
  <c r="G46" i="16" s="1"/>
  <c r="AU180" i="12"/>
  <c r="AU134" i="12"/>
  <c r="AU160" i="12"/>
  <c r="AN262" i="12"/>
  <c r="AO262" i="12" s="1"/>
  <c r="AN334" i="12"/>
  <c r="AO334" i="12" s="1"/>
  <c r="AN105" i="12"/>
  <c r="AO105" i="12" s="1"/>
  <c r="V322" i="12"/>
  <c r="AV219" i="12"/>
  <c r="AW219" i="12" s="1"/>
  <c r="AN128" i="12"/>
  <c r="BB128" i="12" s="1"/>
  <c r="AN171" i="12"/>
  <c r="AU262" i="12"/>
  <c r="AU334" i="12"/>
  <c r="G226" i="16" s="1"/>
  <c r="V105" i="12"/>
  <c r="V262" i="12"/>
  <c r="V275" i="12"/>
  <c r="AN360" i="12"/>
  <c r="AO360" i="12" s="1"/>
  <c r="AU30" i="12"/>
  <c r="AN30" i="12"/>
  <c r="BB30" i="12" s="1"/>
  <c r="V73" i="12"/>
  <c r="V217" i="12"/>
  <c r="AN296" i="12"/>
  <c r="AO296" i="12" s="1"/>
  <c r="AN144" i="12"/>
  <c r="AN81" i="12"/>
  <c r="AO81" i="12" s="1"/>
  <c r="V88" i="12"/>
  <c r="AU144" i="12"/>
  <c r="G100" i="16" s="1"/>
  <c r="AL88" i="12"/>
  <c r="AU88" i="12" s="1"/>
  <c r="AV88" i="12" s="1"/>
  <c r="AW88" i="12" s="1"/>
  <c r="AO219" i="12"/>
  <c r="AU81" i="12"/>
  <c r="G57" i="16" s="1"/>
  <c r="V81" i="12"/>
  <c r="AN198" i="12"/>
  <c r="AO198" i="12" s="1"/>
  <c r="BB256" i="12"/>
  <c r="V133" i="12"/>
  <c r="V315" i="12"/>
  <c r="V189" i="12"/>
  <c r="U216" i="12"/>
  <c r="AK216" i="12" s="1"/>
  <c r="AL216" i="12" s="1"/>
  <c r="AU216" i="12" s="1"/>
  <c r="AN322" i="12"/>
  <c r="AO322" i="12" s="1"/>
  <c r="AN240" i="12"/>
  <c r="AO240" i="12" s="1"/>
  <c r="AV162" i="12"/>
  <c r="AW162" i="12" s="1"/>
  <c r="AN352" i="12"/>
  <c r="BB352" i="12" s="1"/>
  <c r="AN164" i="12"/>
  <c r="BB164" i="12" s="1"/>
  <c r="AU198" i="12"/>
  <c r="AN206" i="12"/>
  <c r="AV256" i="12"/>
  <c r="AW256" i="12" s="1"/>
  <c r="AN123" i="12"/>
  <c r="BB123" i="12" s="1"/>
  <c r="V240" i="12"/>
  <c r="V146" i="12"/>
  <c r="AU164" i="12"/>
  <c r="G112" i="16" s="1"/>
  <c r="AU206" i="12"/>
  <c r="G142" i="16" s="1"/>
  <c r="AU123" i="12"/>
  <c r="V123" i="12"/>
  <c r="AO347" i="12"/>
  <c r="AU37" i="12"/>
  <c r="G29" i="16" s="1"/>
  <c r="BB162" i="12"/>
  <c r="AV347" i="12"/>
  <c r="AW347" i="12" s="1"/>
  <c r="AN54" i="12"/>
  <c r="AO54" i="12" s="1"/>
  <c r="U56" i="12"/>
  <c r="AK56" i="12" s="1"/>
  <c r="AL56" i="12" s="1"/>
  <c r="V316" i="12"/>
  <c r="AN218" i="12"/>
  <c r="AO218" i="12" s="1"/>
  <c r="AU344" i="12"/>
  <c r="AL57" i="12"/>
  <c r="AU57" i="12" s="1"/>
  <c r="AN57" i="12"/>
  <c r="AO57" i="12" s="1"/>
  <c r="AU32" i="12"/>
  <c r="G24" i="16" s="1"/>
  <c r="AU166" i="12"/>
  <c r="AU158" i="12"/>
  <c r="G110" i="16" s="1"/>
  <c r="AN146" i="12"/>
  <c r="BB146" i="12" s="1"/>
  <c r="AU320" i="12"/>
  <c r="BC40" i="46" s="1"/>
  <c r="BB210" i="12"/>
  <c r="AN306" i="12"/>
  <c r="BB306" i="12" s="1"/>
  <c r="V214" i="12"/>
  <c r="AN278" i="12"/>
  <c r="BB278" i="12" s="1"/>
  <c r="AN345" i="12"/>
  <c r="AO345" i="12" s="1"/>
  <c r="U284" i="12"/>
  <c r="AK284" i="12" s="1"/>
  <c r="AL284" i="12" s="1"/>
  <c r="AN32" i="12"/>
  <c r="AO32" i="12" s="1"/>
  <c r="AN279" i="12"/>
  <c r="BB279" i="12" s="1"/>
  <c r="AN124" i="12"/>
  <c r="BB124" i="12" s="1"/>
  <c r="AN165" i="12"/>
  <c r="AO165" i="12" s="1"/>
  <c r="AU102" i="12"/>
  <c r="U55" i="12"/>
  <c r="AK55" i="12" s="1"/>
  <c r="AL55" i="12" s="1"/>
  <c r="AU146" i="12"/>
  <c r="AU306" i="12"/>
  <c r="V120" i="12"/>
  <c r="V181" i="12"/>
  <c r="V320" i="12"/>
  <c r="AN259" i="12"/>
  <c r="BB259" i="12" s="1"/>
  <c r="AN261" i="12"/>
  <c r="AO261" i="12" s="1"/>
  <c r="U274" i="12"/>
  <c r="AK274" i="12" s="1"/>
  <c r="AL274" i="12" s="1"/>
  <c r="AU274" i="12" s="1"/>
  <c r="G186" i="16" s="1"/>
  <c r="V345" i="12"/>
  <c r="AN339" i="12"/>
  <c r="BB339" i="12" s="1"/>
  <c r="V201" i="12"/>
  <c r="AN166" i="12"/>
  <c r="BB166" i="12" s="1"/>
  <c r="U331" i="12"/>
  <c r="AK331" i="12" s="1"/>
  <c r="AL331" i="12" s="1"/>
  <c r="AU103" i="12"/>
  <c r="G71" i="16" s="1"/>
  <c r="AU124" i="12"/>
  <c r="AN149" i="12"/>
  <c r="BB149" i="12" s="1"/>
  <c r="AN211" i="12"/>
  <c r="AO211" i="12" s="1"/>
  <c r="AN72" i="12"/>
  <c r="BB72" i="12" s="1"/>
  <c r="AU116" i="12"/>
  <c r="V177" i="12"/>
  <c r="V341" i="12"/>
  <c r="V233" i="12"/>
  <c r="AN67" i="12"/>
  <c r="AO67" i="12" s="1"/>
  <c r="AN214" i="12"/>
  <c r="BB214" i="12" s="1"/>
  <c r="AU339" i="12"/>
  <c r="V227" i="12"/>
  <c r="V335" i="12"/>
  <c r="AU280" i="12"/>
  <c r="AN305" i="12"/>
  <c r="AV305" i="12" s="1"/>
  <c r="AW305" i="12" s="1"/>
  <c r="V278" i="12"/>
  <c r="AN103" i="12"/>
  <c r="AO103" i="12" s="1"/>
  <c r="U91" i="12"/>
  <c r="AK91" i="12" s="1"/>
  <c r="AN91" i="12" s="1"/>
  <c r="U96" i="12"/>
  <c r="AK96" i="12" s="1"/>
  <c r="AL96" i="12" s="1"/>
  <c r="AU72" i="12"/>
  <c r="G52" i="16" s="1"/>
  <c r="V170" i="12"/>
  <c r="V314" i="12"/>
  <c r="V339" i="12"/>
  <c r="AN201" i="12"/>
  <c r="BB201" i="12" s="1"/>
  <c r="V305" i="12"/>
  <c r="AU38" i="12"/>
  <c r="AN341" i="12"/>
  <c r="BB341" i="12" s="1"/>
  <c r="AU142" i="12"/>
  <c r="G98" i="16" s="1"/>
  <c r="AN37" i="12"/>
  <c r="AO37" i="12" s="1"/>
  <c r="AN314" i="12"/>
  <c r="AO314" i="12" s="1"/>
  <c r="U200" i="12"/>
  <c r="AK200" i="12" s="1"/>
  <c r="AL200" i="12" s="1"/>
  <c r="V259" i="12"/>
  <c r="V166" i="12"/>
  <c r="V211" i="12"/>
  <c r="AN223" i="12"/>
  <c r="AO223" i="12" s="1"/>
  <c r="AN63" i="12"/>
  <c r="AO63" i="12" s="1"/>
  <c r="V205" i="12"/>
  <c r="U188" i="12"/>
  <c r="AK188" i="12" s="1"/>
  <c r="AL188" i="12" s="1"/>
  <c r="AU314" i="12"/>
  <c r="G214" i="16" s="1"/>
  <c r="AN170" i="12"/>
  <c r="AN120" i="12"/>
  <c r="U307" i="12"/>
  <c r="AK307" i="12" s="1"/>
  <c r="AL307" i="12" s="1"/>
  <c r="AU307" i="12" s="1"/>
  <c r="V355" i="12"/>
  <c r="V32" i="12"/>
  <c r="V158" i="12"/>
  <c r="V72" i="12"/>
  <c r="AL33" i="12"/>
  <c r="AU33" i="12" s="1"/>
  <c r="G25" i="16" s="1"/>
  <c r="AN33" i="12"/>
  <c r="AO33" i="12" s="1"/>
  <c r="AL287" i="12"/>
  <c r="AU287" i="12" s="1"/>
  <c r="G195" i="16" s="1"/>
  <c r="AN287" i="12"/>
  <c r="BB287" i="12" s="1"/>
  <c r="AL293" i="12"/>
  <c r="AU293" i="12" s="1"/>
  <c r="AN293" i="12"/>
  <c r="BB293" i="12" s="1"/>
  <c r="AL77" i="12"/>
  <c r="AU77" i="12" s="1"/>
  <c r="AN77" i="12"/>
  <c r="AO77" i="12" s="1"/>
  <c r="AL71" i="12"/>
  <c r="AU71" i="12" s="1"/>
  <c r="G51" i="16" s="1"/>
  <c r="AN71" i="12"/>
  <c r="BB71" i="12" s="1"/>
  <c r="AL323" i="12"/>
  <c r="AU323" i="12" s="1"/>
  <c r="G219" i="16" s="1"/>
  <c r="AN323" i="12"/>
  <c r="AO323" i="12" s="1"/>
  <c r="U215" i="12"/>
  <c r="AK215" i="12" s="1"/>
  <c r="V143" i="12"/>
  <c r="U43" i="12"/>
  <c r="AK43" i="12" s="1"/>
  <c r="AL43" i="12" s="1"/>
  <c r="AU266" i="12"/>
  <c r="G182" i="16" s="1"/>
  <c r="AN294" i="12"/>
  <c r="AU159" i="12"/>
  <c r="U199" i="12"/>
  <c r="AK199" i="12" s="1"/>
  <c r="AL199" i="12" s="1"/>
  <c r="AN102" i="12"/>
  <c r="BB102" i="12" s="1"/>
  <c r="AU84" i="12"/>
  <c r="AU239" i="12"/>
  <c r="G163" i="16" s="1"/>
  <c r="AN177" i="12"/>
  <c r="AO177" i="12" s="1"/>
  <c r="AN116" i="12"/>
  <c r="BB116" i="12" s="1"/>
  <c r="V84" i="12"/>
  <c r="V174" i="12"/>
  <c r="V303" i="12"/>
  <c r="V112" i="12"/>
  <c r="V236" i="12"/>
  <c r="V128" i="12"/>
  <c r="V116" i="12"/>
  <c r="V150" i="12"/>
  <c r="V57" i="12"/>
  <c r="V218" i="12"/>
  <c r="AN205" i="12"/>
  <c r="AO205" i="12" s="1"/>
  <c r="U98" i="12"/>
  <c r="AK98" i="12" s="1"/>
  <c r="AL98" i="12" s="1"/>
  <c r="AN168" i="12"/>
  <c r="AO168" i="12" s="1"/>
  <c r="AU54" i="12"/>
  <c r="U245" i="12"/>
  <c r="AK245" i="12" s="1"/>
  <c r="AN58" i="12"/>
  <c r="BB58" i="12" s="1"/>
  <c r="V343" i="12"/>
  <c r="V124" i="12"/>
  <c r="V159" i="12"/>
  <c r="AN343" i="12"/>
  <c r="AO343" i="12" s="1"/>
  <c r="AL227" i="12"/>
  <c r="AU227" i="12" s="1"/>
  <c r="AN227" i="12"/>
  <c r="AL335" i="12"/>
  <c r="AU335" i="12" s="1"/>
  <c r="AN335" i="12"/>
  <c r="U285" i="12"/>
  <c r="AK285" i="12" s="1"/>
  <c r="U127" i="12"/>
  <c r="AK127" i="12" s="1"/>
  <c r="AL127" i="12" s="1"/>
  <c r="U248" i="12"/>
  <c r="AK248" i="12" s="1"/>
  <c r="AL248" i="12" s="1"/>
  <c r="AN236" i="12"/>
  <c r="AO236" i="12" s="1"/>
  <c r="V45" i="12"/>
  <c r="U308" i="12"/>
  <c r="AK308" i="12" s="1"/>
  <c r="AL308" i="12" s="1"/>
  <c r="AU168" i="12"/>
  <c r="G116" i="16" s="1"/>
  <c r="U337" i="12"/>
  <c r="AK337" i="12" s="1"/>
  <c r="U187" i="12"/>
  <c r="AK187" i="12" s="1"/>
  <c r="AL187" i="12" s="1"/>
  <c r="AU58" i="12"/>
  <c r="V296" i="12"/>
  <c r="V119" i="12"/>
  <c r="V255" i="12"/>
  <c r="V198" i="12"/>
  <c r="V206" i="12"/>
  <c r="V61" i="12"/>
  <c r="V313" i="12"/>
  <c r="AN61" i="12"/>
  <c r="BB61" i="12" s="1"/>
  <c r="U249" i="12"/>
  <c r="AK249" i="12" s="1"/>
  <c r="AK89" i="12"/>
  <c r="AL89" i="12" s="1"/>
  <c r="AU89" i="12" s="1"/>
  <c r="V37" i="12"/>
  <c r="AN73" i="12"/>
  <c r="BB73" i="12" s="1"/>
  <c r="AL217" i="12"/>
  <c r="AU217" i="12" s="1"/>
  <c r="AN217" i="12"/>
  <c r="U333" i="12"/>
  <c r="AK333" i="12" s="1"/>
  <c r="U359" i="12"/>
  <c r="AK359" i="12" s="1"/>
  <c r="U167" i="12"/>
  <c r="AK167" i="12" s="1"/>
  <c r="U95" i="12"/>
  <c r="AK95" i="12" s="1"/>
  <c r="AN95" i="12" s="1"/>
  <c r="U260" i="12"/>
  <c r="AK260" i="12" s="1"/>
  <c r="AL260" i="12" s="1"/>
  <c r="AL143" i="12"/>
  <c r="AU143" i="12" s="1"/>
  <c r="AN143" i="12"/>
  <c r="AU279" i="12"/>
  <c r="AU303" i="12"/>
  <c r="AU236" i="12"/>
  <c r="AN142" i="12"/>
  <c r="AO142" i="12" s="1"/>
  <c r="AN180" i="12"/>
  <c r="BB180" i="12" s="1"/>
  <c r="AN342" i="12"/>
  <c r="U235" i="12"/>
  <c r="AK235" i="12" s="1"/>
  <c r="AL235" i="12" s="1"/>
  <c r="V269" i="12"/>
  <c r="U176" i="12"/>
  <c r="AK176" i="12" s="1"/>
  <c r="AL176" i="12" s="1"/>
  <c r="U229" i="12"/>
  <c r="AK229" i="12" s="1"/>
  <c r="V247" i="12"/>
  <c r="V180" i="12"/>
  <c r="V157" i="12"/>
  <c r="V352" i="12"/>
  <c r="V107" i="12"/>
  <c r="V294" i="12"/>
  <c r="V139" i="12"/>
  <c r="V223" i="12"/>
  <c r="V131" i="12"/>
  <c r="AN269" i="12"/>
  <c r="BB269" i="12" s="1"/>
  <c r="V286" i="12"/>
  <c r="U309" i="12"/>
  <c r="AK309" i="12" s="1"/>
  <c r="U221" i="12"/>
  <c r="AK221" i="12" s="1"/>
  <c r="U329" i="12"/>
  <c r="AK329" i="12" s="1"/>
  <c r="U163" i="12"/>
  <c r="AK163" i="12" s="1"/>
  <c r="AL163" i="12" s="1"/>
  <c r="U68" i="12"/>
  <c r="AK68" i="12" s="1"/>
  <c r="AL68" i="12" s="1"/>
  <c r="U140" i="12"/>
  <c r="AK140" i="12" s="1"/>
  <c r="AL140" i="12" s="1"/>
  <c r="V287" i="12"/>
  <c r="V58" i="12"/>
  <c r="V323" i="12"/>
  <c r="U130" i="12"/>
  <c r="AK130" i="12" s="1"/>
  <c r="AL130" i="12" s="1"/>
  <c r="AU130" i="12" s="1"/>
  <c r="V293" i="12"/>
  <c r="U301" i="12"/>
  <c r="AK301" i="12" s="1"/>
  <c r="U115" i="12"/>
  <c r="AK115" i="12" s="1"/>
  <c r="U295" i="12"/>
  <c r="AK295" i="12" s="1"/>
  <c r="V71" i="12"/>
  <c r="U93" i="12"/>
  <c r="AK93" i="12" s="1"/>
  <c r="AN93" i="12" s="1"/>
  <c r="U175" i="12"/>
  <c r="AK175" i="12" s="1"/>
  <c r="AL175" i="12" s="1"/>
  <c r="U283" i="12"/>
  <c r="AK283" i="12" s="1"/>
  <c r="AL283" i="12" s="1"/>
  <c r="U104" i="12"/>
  <c r="AK104" i="12" s="1"/>
  <c r="AL104" i="12" s="1"/>
  <c r="U44" i="12"/>
  <c r="AK44" i="12" s="1"/>
  <c r="AL44" i="12" s="1"/>
  <c r="AU75" i="12"/>
  <c r="AN112" i="12"/>
  <c r="U151" i="12"/>
  <c r="AK151" i="12" s="1"/>
  <c r="AL151" i="12" s="1"/>
  <c r="AN288" i="12"/>
  <c r="AO288" i="12" s="1"/>
  <c r="AU352" i="12"/>
  <c r="AN157" i="12"/>
  <c r="AO157" i="12" s="1"/>
  <c r="V33" i="12"/>
  <c r="U141" i="12"/>
  <c r="AK141" i="12" s="1"/>
  <c r="U92" i="12"/>
  <c r="AK92" i="12" s="1"/>
  <c r="AN92" i="12" s="1"/>
  <c r="AN45" i="12"/>
  <c r="BB45" i="12" s="1"/>
  <c r="U357" i="12"/>
  <c r="AK357" i="12" s="1"/>
  <c r="U173" i="12"/>
  <c r="AK173" i="12" s="1"/>
  <c r="AN208" i="12"/>
  <c r="AO208" i="12" s="1"/>
  <c r="U137" i="12"/>
  <c r="AK137" i="12" s="1"/>
  <c r="U321" i="12"/>
  <c r="AK321" i="12" s="1"/>
  <c r="U90" i="12"/>
  <c r="V90" i="12" s="1"/>
  <c r="AN356" i="12"/>
  <c r="AO356" i="12" s="1"/>
  <c r="U79" i="12"/>
  <c r="AK79" i="12" s="1"/>
  <c r="AL79" i="12" s="1"/>
  <c r="AU79" i="12" s="1"/>
  <c r="V279" i="12"/>
  <c r="V288" i="12"/>
  <c r="AN139" i="12"/>
  <c r="AO139" i="12" s="1"/>
  <c r="AN42" i="12"/>
  <c r="BB42" i="12" s="1"/>
  <c r="AN78" i="12"/>
  <c r="BB78" i="12" s="1"/>
  <c r="AU78" i="12"/>
  <c r="AN125" i="12"/>
  <c r="BB125" i="12" s="1"/>
  <c r="AN41" i="12"/>
  <c r="BB41" i="12" s="1"/>
  <c r="AU42" i="12"/>
  <c r="V89" i="12"/>
  <c r="AK53" i="12"/>
  <c r="AK113" i="12"/>
  <c r="AK29" i="12"/>
  <c r="V65" i="12"/>
  <c r="AK101" i="12"/>
  <c r="G146" i="16"/>
  <c r="G244" i="16"/>
  <c r="G150" i="16"/>
  <c r="G233" i="16"/>
  <c r="G151" i="16"/>
  <c r="G143" i="16"/>
  <c r="BI15" i="46"/>
  <c r="N40" i="20"/>
  <c r="N29" i="20"/>
  <c r="BH211" i="5"/>
  <c r="BH212" i="5"/>
  <c r="J27" i="20"/>
  <c r="J30" i="20"/>
  <c r="J42" i="20"/>
  <c r="AI92" i="12"/>
  <c r="AC96" i="12"/>
  <c r="G105" i="16"/>
  <c r="Z90" i="12"/>
  <c r="AC90" i="12"/>
  <c r="K27" i="20"/>
  <c r="J43" i="20"/>
  <c r="L43" i="20" s="1"/>
  <c r="Z151" i="12"/>
  <c r="G187" i="16"/>
  <c r="G201" i="16"/>
  <c r="Z56" i="12"/>
  <c r="AC91" i="12"/>
  <c r="AF92" i="12"/>
  <c r="G221" i="16"/>
  <c r="Z187" i="12"/>
  <c r="Z96" i="12"/>
  <c r="AU94" i="12"/>
  <c r="G75" i="16"/>
  <c r="Z95" i="12"/>
  <c r="AF93" i="12"/>
  <c r="Z188" i="12"/>
  <c r="F37" i="20"/>
  <c r="AF95" i="12"/>
  <c r="Z43" i="12"/>
  <c r="Z44" i="12"/>
  <c r="BC101" i="5"/>
  <c r="BE101" i="5"/>
  <c r="Z98" i="12"/>
  <c r="G95" i="16"/>
  <c r="J26" i="20"/>
  <c r="L26" i="20" s="1"/>
  <c r="AF90" i="12"/>
  <c r="J38" i="20"/>
  <c r="AU97" i="12"/>
  <c r="Z127" i="12"/>
  <c r="Z175" i="12"/>
  <c r="Z163" i="12"/>
  <c r="F16" i="20"/>
  <c r="G16" i="20" s="1"/>
  <c r="K16" i="20" s="1"/>
  <c r="C4" i="20"/>
  <c r="F21" i="20"/>
  <c r="G21" i="20" s="1"/>
  <c r="G109" i="16"/>
  <c r="G125" i="16"/>
  <c r="G213" i="16"/>
  <c r="X41" i="9"/>
  <c r="AI95" i="12"/>
  <c r="G237" i="16"/>
  <c r="AC93" i="12"/>
  <c r="Z68" i="12"/>
  <c r="G197" i="16"/>
  <c r="AF98" i="12"/>
  <c r="J19" i="20"/>
  <c r="L19" i="20" s="1"/>
  <c r="G87" i="12"/>
  <c r="W87" i="12" s="1"/>
  <c r="W4" i="12" s="1"/>
  <c r="U87" i="8"/>
  <c r="G45" i="16"/>
  <c r="G121" i="16"/>
  <c r="J18" i="20"/>
  <c r="L18" i="20" s="1"/>
  <c r="G47" i="16"/>
  <c r="AO88" i="12"/>
  <c r="BB88" i="12"/>
  <c r="AF96" i="12"/>
  <c r="G77" i="16"/>
  <c r="Z284" i="12"/>
  <c r="AI90" i="12"/>
  <c r="J41" i="20"/>
  <c r="L41" i="20" s="1"/>
  <c r="G38" i="20"/>
  <c r="K38" i="20" s="1"/>
  <c r="J39" i="20"/>
  <c r="G177" i="16"/>
  <c r="Z248" i="12"/>
  <c r="G175" i="16"/>
  <c r="G211" i="16"/>
  <c r="G153" i="16"/>
  <c r="AC42" i="9"/>
  <c r="AI93" i="12"/>
  <c r="Z93" i="12"/>
  <c r="G73" i="16"/>
  <c r="Z283" i="12"/>
  <c r="Z104" i="12"/>
  <c r="Z260" i="12"/>
  <c r="AI98" i="12"/>
  <c r="G113" i="16"/>
  <c r="BB42" i="46"/>
  <c r="G231" i="16"/>
  <c r="AI96" i="12"/>
  <c r="L34" i="20"/>
  <c r="G39" i="20"/>
  <c r="K39" i="20" s="1"/>
  <c r="AI91" i="12"/>
  <c r="J28" i="20"/>
  <c r="L28" i="20" s="1"/>
  <c r="G167" i="16"/>
  <c r="K25" i="20"/>
  <c r="AC95" i="12"/>
  <c r="Z331" i="12"/>
  <c r="J24" i="20"/>
  <c r="L24" i="20" s="1"/>
  <c r="G42" i="20"/>
  <c r="K42" i="20" s="1"/>
  <c r="Z55" i="12"/>
  <c r="Z235" i="12"/>
  <c r="Z91" i="12"/>
  <c r="J20" i="20"/>
  <c r="L20" i="20" s="1"/>
  <c r="AC92" i="12"/>
  <c r="J32" i="20"/>
  <c r="J31" i="20"/>
  <c r="L31" i="20" s="1"/>
  <c r="G32" i="20"/>
  <c r="K32" i="20" s="1"/>
  <c r="L35" i="20"/>
  <c r="J44" i="20"/>
  <c r="L33" i="20"/>
  <c r="AF91" i="12"/>
  <c r="J17" i="20"/>
  <c r="L17" i="20" s="1"/>
  <c r="J22" i="20"/>
  <c r="L22" i="20" s="1"/>
  <c r="G30" i="20"/>
  <c r="K30" i="20" s="1"/>
  <c r="G183" i="16"/>
  <c r="Z308" i="12"/>
  <c r="AC98" i="12"/>
  <c r="Z140" i="12"/>
  <c r="Z199" i="12"/>
  <c r="Z200" i="12"/>
  <c r="L36" i="20"/>
  <c r="Z92" i="12"/>
  <c r="Z176" i="12"/>
  <c r="G239" i="16"/>
  <c r="G93" i="16"/>
  <c r="J15" i="20"/>
  <c r="L15" i="20" s="1"/>
  <c r="G44" i="20"/>
  <c r="K44" i="20" s="1"/>
  <c r="BB242" i="12" l="1"/>
  <c r="AV350" i="12"/>
  <c r="AW350" i="12" s="1"/>
  <c r="AO350" i="12"/>
  <c r="BB303" i="12"/>
  <c r="BB340" i="12"/>
  <c r="AO204" i="12"/>
  <c r="AV131" i="12"/>
  <c r="AW131" i="12" s="1"/>
  <c r="AV203" i="12"/>
  <c r="AW203" i="12" s="1"/>
  <c r="BB82" i="12"/>
  <c r="AV233" i="12"/>
  <c r="AW233" i="12" s="1"/>
  <c r="BB233" i="12"/>
  <c r="AO272" i="12"/>
  <c r="BB203" i="12"/>
  <c r="G178" i="16"/>
  <c r="AV262" i="12"/>
  <c r="AW262" i="12" s="1"/>
  <c r="AO311" i="12"/>
  <c r="BB311" i="12"/>
  <c r="BB49" i="12"/>
  <c r="AO94" i="12"/>
  <c r="AV153" i="12"/>
  <c r="AW153" i="12" s="1"/>
  <c r="BB183" i="12"/>
  <c r="AO353" i="12"/>
  <c r="BB353" i="12"/>
  <c r="AV49" i="12"/>
  <c r="AW49" i="12" s="1"/>
  <c r="BB247" i="12"/>
  <c r="AO247" i="12"/>
  <c r="BB292" i="12"/>
  <c r="BB148" i="12"/>
  <c r="AV204" i="12"/>
  <c r="AW204" i="12" s="1"/>
  <c r="AV133" i="12"/>
  <c r="AW133" i="12" s="1"/>
  <c r="AV106" i="12"/>
  <c r="AW106" i="12" s="1"/>
  <c r="BB121" i="12"/>
  <c r="AO234" i="12"/>
  <c r="AV303" i="12"/>
  <c r="AW303" i="12" s="1"/>
  <c r="AO121" i="12"/>
  <c r="G74" i="16"/>
  <c r="AV120" i="12"/>
  <c r="AW120" i="12" s="1"/>
  <c r="BC23" i="46"/>
  <c r="AO225" i="12"/>
  <c r="AV225" i="12"/>
  <c r="AW225" i="12" s="1"/>
  <c r="BB153" i="12"/>
  <c r="AV319" i="12"/>
  <c r="AW319" i="12" s="1"/>
  <c r="AV31" i="12"/>
  <c r="AW31" i="12" s="1"/>
  <c r="AV65" i="12"/>
  <c r="AW65" i="12" s="1"/>
  <c r="BB263" i="12"/>
  <c r="AO65" i="12"/>
  <c r="AV83" i="12"/>
  <c r="AW83" i="12" s="1"/>
  <c r="BB317" i="12"/>
  <c r="AO106" i="12"/>
  <c r="BB83" i="12"/>
  <c r="BB52" i="12"/>
  <c r="AO317" i="12"/>
  <c r="AV226" i="12"/>
  <c r="AW226" i="12" s="1"/>
  <c r="V140" i="12"/>
  <c r="BC38" i="46"/>
  <c r="AO271" i="12"/>
  <c r="G200" i="16"/>
  <c r="AV272" i="12"/>
  <c r="AW272" i="12" s="1"/>
  <c r="AV52" i="12"/>
  <c r="AW52" i="12" s="1"/>
  <c r="AV340" i="12"/>
  <c r="AW340" i="12" s="1"/>
  <c r="AO99" i="12"/>
  <c r="AO266" i="12"/>
  <c r="AO174" i="12"/>
  <c r="BB179" i="12"/>
  <c r="G194" i="16"/>
  <c r="BB159" i="12"/>
  <c r="AV159" i="12"/>
  <c r="AW159" i="12" s="1"/>
  <c r="BC43" i="46"/>
  <c r="AV362" i="12"/>
  <c r="AW362" i="12" s="1"/>
  <c r="AV150" i="12"/>
  <c r="AW150" i="12" s="1"/>
  <c r="BB194" i="12"/>
  <c r="BB75" i="12"/>
  <c r="AV75" i="12"/>
  <c r="AW75" i="12" s="1"/>
  <c r="AV292" i="12"/>
  <c r="AW292" i="12" s="1"/>
  <c r="AV294" i="12"/>
  <c r="AW294" i="12" s="1"/>
  <c r="G185" i="16"/>
  <c r="AO31" i="12"/>
  <c r="AV152" i="12"/>
  <c r="AW152" i="12" s="1"/>
  <c r="AV280" i="12"/>
  <c r="AW280" i="12" s="1"/>
  <c r="G23" i="16"/>
  <c r="BB320" i="12"/>
  <c r="BB349" i="12"/>
  <c r="AO286" i="12"/>
  <c r="AO280" i="12"/>
  <c r="AV194" i="12"/>
  <c r="AW194" i="12" s="1"/>
  <c r="AV349" i="12"/>
  <c r="AW349" i="12" s="1"/>
  <c r="AO316" i="12"/>
  <c r="AO189" i="12"/>
  <c r="AO150" i="12"/>
  <c r="AV105" i="12"/>
  <c r="AW105" i="12" s="1"/>
  <c r="G184" i="16"/>
  <c r="AO332" i="12"/>
  <c r="AV342" i="12"/>
  <c r="AW342" i="12" s="1"/>
  <c r="BB319" i="12"/>
  <c r="BB103" i="12"/>
  <c r="AV41" i="46"/>
  <c r="AV111" i="12"/>
  <c r="AW111" i="12" s="1"/>
  <c r="AV99" i="12"/>
  <c r="AW99" i="12" s="1"/>
  <c r="BB240" i="12"/>
  <c r="AV234" i="12"/>
  <c r="AW234" i="12" s="1"/>
  <c r="BB220" i="12"/>
  <c r="AO202" i="12"/>
  <c r="AV109" i="12"/>
  <c r="AW109" i="12" s="1"/>
  <c r="BB158" i="12"/>
  <c r="BJ26" i="46" s="1"/>
  <c r="AV170" i="12"/>
  <c r="AW170" i="12" s="1"/>
  <c r="AO212" i="12"/>
  <c r="AV202" i="12"/>
  <c r="AW202" i="12" s="1"/>
  <c r="BB186" i="12"/>
  <c r="AV315" i="12"/>
  <c r="AW315" i="12" s="1"/>
  <c r="BB362" i="12"/>
  <c r="AV281" i="12"/>
  <c r="AW281" i="12" s="1"/>
  <c r="AO315" i="12"/>
  <c r="AO362" i="12"/>
  <c r="AV186" i="12"/>
  <c r="AW186" i="12" s="1"/>
  <c r="AO109" i="12"/>
  <c r="BB281" i="12"/>
  <c r="AO111" i="12"/>
  <c r="AV128" i="12"/>
  <c r="AW128" i="12" s="1"/>
  <c r="AO348" i="12"/>
  <c r="AV212" i="12"/>
  <c r="AW212" i="12" s="1"/>
  <c r="AV332" i="12"/>
  <c r="AW332" i="12" s="1"/>
  <c r="AV132" i="12"/>
  <c r="AW132" i="12" s="1"/>
  <c r="AV263" i="12"/>
  <c r="AW263" i="12" s="1"/>
  <c r="AV271" i="12"/>
  <c r="AW271" i="12" s="1"/>
  <c r="AV28" i="12"/>
  <c r="AW28" i="12" s="1"/>
  <c r="BC32" i="46"/>
  <c r="AV183" i="12"/>
  <c r="AW183" i="12" s="1"/>
  <c r="AV174" i="12"/>
  <c r="AW174" i="12" s="1"/>
  <c r="AV82" i="12"/>
  <c r="AW82" i="12" s="1"/>
  <c r="AL91" i="12"/>
  <c r="AU91" i="12" s="1"/>
  <c r="AO152" i="12"/>
  <c r="AO133" i="12"/>
  <c r="AO132" i="12"/>
  <c r="BB289" i="12"/>
  <c r="G152" i="16"/>
  <c r="AL95" i="12"/>
  <c r="AU95" i="12" s="1"/>
  <c r="AO84" i="12"/>
  <c r="G240" i="16"/>
  <c r="AV289" i="12"/>
  <c r="AW289" i="12" s="1"/>
  <c r="G224" i="16"/>
  <c r="AO255" i="12"/>
  <c r="AV148" i="12"/>
  <c r="AW148" i="12" s="1"/>
  <c r="AN55" i="12"/>
  <c r="AV158" i="12"/>
  <c r="AW158" i="12" s="1"/>
  <c r="BB160" i="12"/>
  <c r="AO243" i="12"/>
  <c r="AO102" i="12"/>
  <c r="AL93" i="12"/>
  <c r="AU93" i="12" s="1"/>
  <c r="BB35" i="46"/>
  <c r="AV273" i="12"/>
  <c r="AW273" i="12" s="1"/>
  <c r="G179" i="16"/>
  <c r="AO180" i="12"/>
  <c r="AO149" i="12"/>
  <c r="AV243" i="12"/>
  <c r="AW243" i="12" s="1"/>
  <c r="BB325" i="12"/>
  <c r="BB298" i="12"/>
  <c r="AV252" i="12"/>
  <c r="AW252" i="12" s="1"/>
  <c r="AO252" i="12"/>
  <c r="AO239" i="12"/>
  <c r="AV298" i="12"/>
  <c r="AW298" i="12" s="1"/>
  <c r="AV149" i="12"/>
  <c r="AW149" i="12" s="1"/>
  <c r="AV84" i="12"/>
  <c r="AW84" i="12" s="1"/>
  <c r="AV60" i="12"/>
  <c r="AW60" i="12" s="1"/>
  <c r="BB132" i="12"/>
  <c r="AU55" i="12"/>
  <c r="BB18" i="46" s="1"/>
  <c r="AV325" i="12"/>
  <c r="AW325" i="12" s="1"/>
  <c r="BB198" i="12"/>
  <c r="BB323" i="12"/>
  <c r="AO342" i="12"/>
  <c r="BB208" i="12"/>
  <c r="AV161" i="12"/>
  <c r="AW161" i="12" s="1"/>
  <c r="AV102" i="12"/>
  <c r="AW102" i="12" s="1"/>
  <c r="BB77" i="12"/>
  <c r="AO166" i="12"/>
  <c r="AV344" i="12"/>
  <c r="AW344" i="12" s="1"/>
  <c r="BC31" i="46"/>
  <c r="AV160" i="12"/>
  <c r="AW160" i="12" s="1"/>
  <c r="AV275" i="12"/>
  <c r="AW275" i="12" s="1"/>
  <c r="BJ42" i="46"/>
  <c r="AO72" i="12"/>
  <c r="AO275" i="12"/>
  <c r="AU308" i="12"/>
  <c r="G208" i="16" s="1"/>
  <c r="AU200" i="12"/>
  <c r="BC30" i="46" s="1"/>
  <c r="BB64" i="12"/>
  <c r="AN235" i="12"/>
  <c r="AU33" i="46" s="1"/>
  <c r="BB60" i="12"/>
  <c r="AO60" i="12"/>
  <c r="AV72" i="12"/>
  <c r="AW72" i="12" s="1"/>
  <c r="AN260" i="12"/>
  <c r="BB260" i="12" s="1"/>
  <c r="AV26" i="46"/>
  <c r="AU260" i="12"/>
  <c r="G176" i="16" s="1"/>
  <c r="BB355" i="12"/>
  <c r="BC33" i="46"/>
  <c r="AO47" i="12"/>
  <c r="AU283" i="12"/>
  <c r="G191" i="16" s="1"/>
  <c r="BB97" i="12"/>
  <c r="AU56" i="12"/>
  <c r="BC18" i="46" s="1"/>
  <c r="AO313" i="12"/>
  <c r="AV316" i="12"/>
  <c r="AW316" i="12" s="1"/>
  <c r="AV355" i="12"/>
  <c r="AW355" i="12" s="1"/>
  <c r="BB342" i="12"/>
  <c r="AO125" i="12"/>
  <c r="AV313" i="12"/>
  <c r="AW313" i="12" s="1"/>
  <c r="AU22" i="46"/>
  <c r="AO119" i="12"/>
  <c r="AV255" i="12"/>
  <c r="AW255" i="12" s="1"/>
  <c r="AN114" i="12"/>
  <c r="BB114" i="12" s="1"/>
  <c r="AV172" i="12"/>
  <c r="AW172" i="12" s="1"/>
  <c r="G215" i="16"/>
  <c r="AV197" i="12"/>
  <c r="AW197" i="12" s="1"/>
  <c r="BB142" i="12"/>
  <c r="AV119" i="12"/>
  <c r="AW119" i="12" s="1"/>
  <c r="BB57" i="12"/>
  <c r="AV296" i="12"/>
  <c r="AW296" i="12" s="1"/>
  <c r="AV33" i="46"/>
  <c r="AN308" i="12"/>
  <c r="BB308" i="12" s="1"/>
  <c r="AV224" i="12"/>
  <c r="AW224" i="12" s="1"/>
  <c r="BB296" i="12"/>
  <c r="BB38" i="12"/>
  <c r="AO293" i="12"/>
  <c r="AO197" i="12"/>
  <c r="AN199" i="12"/>
  <c r="AU30" i="46" s="1"/>
  <c r="AU199" i="12"/>
  <c r="BB30" i="46" s="1"/>
  <c r="AV240" i="12"/>
  <c r="AW240" i="12" s="1"/>
  <c r="AV261" i="12"/>
  <c r="AW261" i="12" s="1"/>
  <c r="AV38" i="46"/>
  <c r="AV157" i="12"/>
  <c r="AW157" i="12" s="1"/>
  <c r="BB157" i="12"/>
  <c r="AV310" i="12"/>
  <c r="AW310" i="12" s="1"/>
  <c r="AV348" i="12"/>
  <c r="AW348" i="12" s="1"/>
  <c r="AO354" i="12"/>
  <c r="AV323" i="12"/>
  <c r="AW323" i="12" s="1"/>
  <c r="AV125" i="12"/>
  <c r="AW125" i="12" s="1"/>
  <c r="BB22" i="46"/>
  <c r="BB165" i="12"/>
  <c r="G91" i="16"/>
  <c r="AO181" i="12"/>
  <c r="BB134" i="12"/>
  <c r="BB189" i="12"/>
  <c r="AV181" i="12"/>
  <c r="AW181" i="12" s="1"/>
  <c r="BB131" i="12"/>
  <c r="AV67" i="12"/>
  <c r="AW67" i="12" s="1"/>
  <c r="AV112" i="12"/>
  <c r="AW112" i="12" s="1"/>
  <c r="AO62" i="12"/>
  <c r="AV179" i="12"/>
  <c r="AW179" i="12" s="1"/>
  <c r="BB120" i="12"/>
  <c r="BJ23" i="46" s="1"/>
  <c r="BB334" i="12"/>
  <c r="BJ41" i="46" s="1"/>
  <c r="AO120" i="12"/>
  <c r="AO224" i="12"/>
  <c r="AO310" i="12"/>
  <c r="AO28" i="12"/>
  <c r="AN151" i="12"/>
  <c r="AO151" i="12" s="1"/>
  <c r="AV356" i="12"/>
  <c r="AW356" i="12" s="1"/>
  <c r="BB288" i="12"/>
  <c r="BB172" i="12"/>
  <c r="AV239" i="12"/>
  <c r="AW239" i="12" s="1"/>
  <c r="AV208" i="12"/>
  <c r="AW208" i="12" s="1"/>
  <c r="AN200" i="12"/>
  <c r="BB200" i="12" s="1"/>
  <c r="BB19" i="46"/>
  <c r="AU68" i="12"/>
  <c r="BC19" i="46" s="1"/>
  <c r="AV32" i="46"/>
  <c r="AV23" i="46"/>
  <c r="BC42" i="46"/>
  <c r="AN331" i="12"/>
  <c r="AO331" i="12" s="1"/>
  <c r="AV164" i="12"/>
  <c r="AW164" i="12" s="1"/>
  <c r="BC20" i="46"/>
  <c r="BB261" i="12"/>
  <c r="AV42" i="46"/>
  <c r="AV287" i="12"/>
  <c r="AW287" i="12" s="1"/>
  <c r="AV38" i="12"/>
  <c r="AW38" i="12" s="1"/>
  <c r="AU331" i="12"/>
  <c r="G223" i="16" s="1"/>
  <c r="V216" i="12"/>
  <c r="AU36" i="46"/>
  <c r="AL92" i="12"/>
  <c r="AU92" i="12" s="1"/>
  <c r="BB356" i="12"/>
  <c r="AV124" i="12"/>
  <c r="AW124" i="12" s="1"/>
  <c r="AV220" i="12"/>
  <c r="AW220" i="12" s="1"/>
  <c r="AU235" i="12"/>
  <c r="BB33" i="46" s="1"/>
  <c r="BB305" i="12"/>
  <c r="AO36" i="12"/>
  <c r="AO164" i="12"/>
  <c r="AV47" i="12"/>
  <c r="AW47" i="12" s="1"/>
  <c r="V284" i="12"/>
  <c r="V56" i="12"/>
  <c r="AV36" i="12"/>
  <c r="AW36" i="12" s="1"/>
  <c r="BB360" i="12"/>
  <c r="AV43" i="46"/>
  <c r="AO73" i="12"/>
  <c r="AV320" i="12"/>
  <c r="AW320" i="12" s="1"/>
  <c r="AN284" i="12"/>
  <c r="AV37" i="46" s="1"/>
  <c r="BC26" i="46"/>
  <c r="AN283" i="12"/>
  <c r="AO283" i="12" s="1"/>
  <c r="AU284" i="12"/>
  <c r="G192" i="16" s="1"/>
  <c r="AO124" i="12"/>
  <c r="AN56" i="12"/>
  <c r="AO56" i="12" s="1"/>
  <c r="BB297" i="12"/>
  <c r="AO305" i="12"/>
  <c r="AV297" i="12"/>
  <c r="AW297" i="12" s="1"/>
  <c r="AN216" i="12"/>
  <c r="BB216" i="12" s="1"/>
  <c r="AO226" i="12"/>
  <c r="AO294" i="12"/>
  <c r="BB226" i="12"/>
  <c r="BJ32" i="46" s="1"/>
  <c r="G232" i="16"/>
  <c r="AN96" i="12"/>
  <c r="AO96" i="12" s="1"/>
  <c r="BB294" i="12"/>
  <c r="AV62" i="12"/>
  <c r="AW62" i="12" s="1"/>
  <c r="AN68" i="12"/>
  <c r="AV19" i="46" s="1"/>
  <c r="AV266" i="12"/>
  <c r="AW266" i="12" s="1"/>
  <c r="V331" i="12"/>
  <c r="AV64" i="12"/>
  <c r="AW64" i="12" s="1"/>
  <c r="BB80" i="12"/>
  <c r="AV80" i="12"/>
  <c r="AW80" i="12" s="1"/>
  <c r="V283" i="12"/>
  <c r="AV20" i="46"/>
  <c r="V235" i="12"/>
  <c r="AN130" i="12"/>
  <c r="AO130" i="12" s="1"/>
  <c r="AV73" i="12"/>
  <c r="AW73" i="12" s="1"/>
  <c r="V199" i="12"/>
  <c r="AO287" i="12"/>
  <c r="BB105" i="12"/>
  <c r="AO107" i="12"/>
  <c r="V188" i="12"/>
  <c r="AV180" i="12"/>
  <c r="AW180" i="12" s="1"/>
  <c r="AV288" i="12"/>
  <c r="AW288" i="12" s="1"/>
  <c r="AN274" i="12"/>
  <c r="AV274" i="12" s="1"/>
  <c r="AW274" i="12" s="1"/>
  <c r="G124" i="16"/>
  <c r="AO128" i="12"/>
  <c r="AN175" i="12"/>
  <c r="BB175" i="12" s="1"/>
  <c r="BB37" i="12"/>
  <c r="AO146" i="12"/>
  <c r="G196" i="16"/>
  <c r="BC16" i="46"/>
  <c r="AV144" i="12"/>
  <c r="AW144" i="12" s="1"/>
  <c r="BB144" i="12"/>
  <c r="AV107" i="12"/>
  <c r="AW107" i="12" s="1"/>
  <c r="AO144" i="12"/>
  <c r="AO213" i="12"/>
  <c r="AV213" i="12"/>
  <c r="AW213" i="12" s="1"/>
  <c r="AN98" i="12"/>
  <c r="AO98" i="12" s="1"/>
  <c r="G30" i="16"/>
  <c r="V151" i="12"/>
  <c r="BB236" i="12"/>
  <c r="AV269" i="12"/>
  <c r="AW269" i="12" s="1"/>
  <c r="AO214" i="12"/>
  <c r="AO278" i="12"/>
  <c r="V55" i="12"/>
  <c r="V91" i="12"/>
  <c r="BB67" i="12"/>
  <c r="BI19" i="46" s="1"/>
  <c r="AV345" i="12"/>
  <c r="AW345" i="12" s="1"/>
  <c r="AO273" i="12"/>
  <c r="AV32" i="12"/>
  <c r="AW32" i="12" s="1"/>
  <c r="AV198" i="12"/>
  <c r="AW198" i="12" s="1"/>
  <c r="BB262" i="12"/>
  <c r="AV33" i="12"/>
  <c r="AW33" i="12" s="1"/>
  <c r="AO306" i="12"/>
  <c r="BC41" i="46"/>
  <c r="AV354" i="12"/>
  <c r="AW354" i="12" s="1"/>
  <c r="AV322" i="12"/>
  <c r="AW322" i="12" s="1"/>
  <c r="AV40" i="46"/>
  <c r="AV165" i="12"/>
  <c r="AW165" i="12" s="1"/>
  <c r="AV103" i="12"/>
  <c r="AW103" i="12" s="1"/>
  <c r="G160" i="16"/>
  <c r="BB139" i="12"/>
  <c r="V307" i="12"/>
  <c r="V274" i="12"/>
  <c r="AO161" i="12"/>
  <c r="AV278" i="12"/>
  <c r="AW278" i="12" s="1"/>
  <c r="V130" i="12"/>
  <c r="AV63" i="12"/>
  <c r="AW63" i="12" s="1"/>
  <c r="BB63" i="12"/>
  <c r="AV314" i="12"/>
  <c r="AW314" i="12" s="1"/>
  <c r="AV142" i="12"/>
  <c r="AW142" i="12" s="1"/>
  <c r="AV206" i="12"/>
  <c r="AW206" i="12" s="1"/>
  <c r="AV171" i="12"/>
  <c r="AW171" i="12" s="1"/>
  <c r="AV134" i="12"/>
  <c r="AW134" i="12" s="1"/>
  <c r="AV139" i="12"/>
  <c r="AW139" i="12" s="1"/>
  <c r="G94" i="16"/>
  <c r="G216" i="16"/>
  <c r="AO58" i="12"/>
  <c r="AV237" i="12"/>
  <c r="AW237" i="12" s="1"/>
  <c r="AO237" i="12"/>
  <c r="AO171" i="12"/>
  <c r="AU163" i="12"/>
  <c r="G111" i="16" s="1"/>
  <c r="BB171" i="12"/>
  <c r="AO30" i="12"/>
  <c r="AN188" i="12"/>
  <c r="AV29" i="46" s="1"/>
  <c r="AO116" i="12"/>
  <c r="BB314" i="12"/>
  <c r="AO279" i="12"/>
  <c r="BB206" i="12"/>
  <c r="AO206" i="12"/>
  <c r="AV45" i="12"/>
  <c r="AW45" i="12" s="1"/>
  <c r="AO112" i="12"/>
  <c r="AO45" i="12"/>
  <c r="AV339" i="12"/>
  <c r="AW339" i="12" s="1"/>
  <c r="AV146" i="12"/>
  <c r="AW146" i="12" s="1"/>
  <c r="AV166" i="12"/>
  <c r="AW166" i="12" s="1"/>
  <c r="BB112" i="12"/>
  <c r="AN140" i="12"/>
  <c r="AV25" i="46" s="1"/>
  <c r="AU140" i="12"/>
  <c r="BC25" i="46" s="1"/>
  <c r="AV236" i="12"/>
  <c r="AW236" i="12" s="1"/>
  <c r="AN79" i="12"/>
  <c r="AU20" i="46" s="1"/>
  <c r="V260" i="12"/>
  <c r="V93" i="12"/>
  <c r="V200" i="12"/>
  <c r="BB16" i="46"/>
  <c r="AV30" i="12"/>
  <c r="AW30" i="12" s="1"/>
  <c r="AV135" i="12"/>
  <c r="AW135" i="12" s="1"/>
  <c r="AN163" i="12"/>
  <c r="AV334" i="12"/>
  <c r="AW334" i="12" s="1"/>
  <c r="AU19" i="46"/>
  <c r="BB322" i="12"/>
  <c r="V308" i="12"/>
  <c r="AV360" i="12"/>
  <c r="AW360" i="12" s="1"/>
  <c r="AO344" i="12"/>
  <c r="V337" i="12"/>
  <c r="V285" i="12"/>
  <c r="AO71" i="12"/>
  <c r="AV306" i="12"/>
  <c r="AW306" i="12" s="1"/>
  <c r="AO123" i="12"/>
  <c r="BB170" i="12"/>
  <c r="V163" i="12"/>
  <c r="AN307" i="12"/>
  <c r="AO307" i="12" s="1"/>
  <c r="V98" i="12"/>
  <c r="AO339" i="12"/>
  <c r="AV71" i="12"/>
  <c r="AW71" i="12" s="1"/>
  <c r="AV37" i="12"/>
  <c r="AW37" i="12" s="1"/>
  <c r="AO135" i="12"/>
  <c r="AU35" i="46"/>
  <c r="AV259" i="12"/>
  <c r="AW259" i="12" s="1"/>
  <c r="AV123" i="12"/>
  <c r="AW123" i="12" s="1"/>
  <c r="AU44" i="12"/>
  <c r="BC17" i="46" s="1"/>
  <c r="AO170" i="12"/>
  <c r="AU151" i="12"/>
  <c r="BB26" i="46" s="1"/>
  <c r="BB33" i="12"/>
  <c r="AV201" i="12"/>
  <c r="AW201" i="12" s="1"/>
  <c r="AO269" i="12"/>
  <c r="AO259" i="12"/>
  <c r="AO201" i="12"/>
  <c r="BC27" i="46"/>
  <c r="AV27" i="46"/>
  <c r="V127" i="12"/>
  <c r="AU42" i="46"/>
  <c r="AV168" i="12"/>
  <c r="AW168" i="12" s="1"/>
  <c r="AN104" i="12"/>
  <c r="AO104" i="12" s="1"/>
  <c r="AN187" i="12"/>
  <c r="AU29" i="46" s="1"/>
  <c r="V96" i="12"/>
  <c r="V95" i="12"/>
  <c r="V68" i="12"/>
  <c r="AV341" i="12"/>
  <c r="AW341" i="12" s="1"/>
  <c r="AV211" i="12"/>
  <c r="AW211" i="12" s="1"/>
  <c r="BB218" i="12"/>
  <c r="AV343" i="12"/>
  <c r="AW343" i="12" s="1"/>
  <c r="AO352" i="12"/>
  <c r="AU104" i="12"/>
  <c r="G72" i="16" s="1"/>
  <c r="AU187" i="12"/>
  <c r="G127" i="16" s="1"/>
  <c r="V187" i="12"/>
  <c r="AV223" i="12"/>
  <c r="AW223" i="12" s="1"/>
  <c r="AN127" i="12"/>
  <c r="BB127" i="12" s="1"/>
  <c r="AU188" i="12"/>
  <c r="BC29" i="46" s="1"/>
  <c r="AO42" i="12"/>
  <c r="V92" i="12"/>
  <c r="BB343" i="12"/>
  <c r="BB223" i="12"/>
  <c r="BB168" i="12"/>
  <c r="AU127" i="12"/>
  <c r="BB24" i="46" s="1"/>
  <c r="G102" i="16"/>
  <c r="AV352" i="12"/>
  <c r="AW352" i="12" s="1"/>
  <c r="AV81" i="12"/>
  <c r="AW81" i="12" s="1"/>
  <c r="V176" i="12"/>
  <c r="V245" i="12"/>
  <c r="AV77" i="12"/>
  <c r="AW77" i="12" s="1"/>
  <c r="BB211" i="12"/>
  <c r="BB54" i="12"/>
  <c r="AN176" i="12"/>
  <c r="AV28" i="46" s="1"/>
  <c r="G114" i="16"/>
  <c r="AV54" i="12"/>
  <c r="AW54" i="12" s="1"/>
  <c r="AO341" i="12"/>
  <c r="BB81" i="12"/>
  <c r="AU176" i="12"/>
  <c r="BC28" i="46" s="1"/>
  <c r="G60" i="16"/>
  <c r="AV218" i="12"/>
  <c r="AW218" i="12" s="1"/>
  <c r="BB345" i="12"/>
  <c r="V141" i="12"/>
  <c r="V229" i="12"/>
  <c r="V115" i="12"/>
  <c r="AV58" i="12"/>
  <c r="AW58" i="12" s="1"/>
  <c r="V333" i="12"/>
  <c r="AV57" i="12"/>
  <c r="AW57" i="12" s="1"/>
  <c r="G41" i="16"/>
  <c r="BB32" i="12"/>
  <c r="AV78" i="12"/>
  <c r="AW78" i="12" s="1"/>
  <c r="AU16" i="46"/>
  <c r="AN89" i="12"/>
  <c r="AV177" i="12"/>
  <c r="AW177" i="12" s="1"/>
  <c r="AV16" i="46"/>
  <c r="AU248" i="12"/>
  <c r="BC34" i="46" s="1"/>
  <c r="V44" i="12"/>
  <c r="V43" i="12"/>
  <c r="AV41" i="12"/>
  <c r="AW41" i="12" s="1"/>
  <c r="AV279" i="12"/>
  <c r="AW279" i="12" s="1"/>
  <c r="AV293" i="12"/>
  <c r="AW293" i="12" s="1"/>
  <c r="AN43" i="12"/>
  <c r="AO78" i="12"/>
  <c r="V301" i="12"/>
  <c r="AU43" i="12"/>
  <c r="G31" i="16" s="1"/>
  <c r="G80" i="16"/>
  <c r="AO41" i="12"/>
  <c r="BB177" i="12"/>
  <c r="AV116" i="12"/>
  <c r="AW116" i="12" s="1"/>
  <c r="AV214" i="12"/>
  <c r="AW214" i="12" s="1"/>
  <c r="AV61" i="12"/>
  <c r="AW61" i="12" s="1"/>
  <c r="AN44" i="12"/>
  <c r="AK90" i="12"/>
  <c r="AN90" i="12" s="1"/>
  <c r="BB90" i="12" s="1"/>
  <c r="AL173" i="12"/>
  <c r="AU173" i="12" s="1"/>
  <c r="AN173" i="12"/>
  <c r="AL329" i="12"/>
  <c r="AU329" i="12" s="1"/>
  <c r="AN329" i="12"/>
  <c r="AL359" i="12"/>
  <c r="AU359" i="12" s="1"/>
  <c r="AN359" i="12"/>
  <c r="AL249" i="12"/>
  <c r="AU249" i="12" s="1"/>
  <c r="AN249" i="12"/>
  <c r="AO227" i="12"/>
  <c r="BB227" i="12"/>
  <c r="V359" i="12"/>
  <c r="AV205" i="12"/>
  <c r="AW205" i="12" s="1"/>
  <c r="V173" i="12"/>
  <c r="AL221" i="12"/>
  <c r="AU221" i="12" s="1"/>
  <c r="AN221" i="12"/>
  <c r="AL333" i="12"/>
  <c r="AU333" i="12" s="1"/>
  <c r="AN333" i="12"/>
  <c r="V249" i="12"/>
  <c r="AV227" i="12"/>
  <c r="AW227" i="12" s="1"/>
  <c r="G155" i="16"/>
  <c r="AL245" i="12"/>
  <c r="AU245" i="12" s="1"/>
  <c r="AN245" i="12"/>
  <c r="V221" i="12"/>
  <c r="V295" i="12"/>
  <c r="V175" i="12"/>
  <c r="AL321" i="12"/>
  <c r="AU321" i="12" s="1"/>
  <c r="AN321" i="12"/>
  <c r="V357" i="12"/>
  <c r="V309" i="12"/>
  <c r="AO143" i="12"/>
  <c r="BB143" i="12"/>
  <c r="AV217" i="12"/>
  <c r="AW217" i="12" s="1"/>
  <c r="G149" i="16"/>
  <c r="V215" i="12"/>
  <c r="AL357" i="12"/>
  <c r="AU357" i="12" s="1"/>
  <c r="AN357" i="12"/>
  <c r="AL309" i="12"/>
  <c r="AU309" i="12" s="1"/>
  <c r="AN309" i="12"/>
  <c r="BB217" i="12"/>
  <c r="AO217" i="12"/>
  <c r="AL215" i="12"/>
  <c r="AU215" i="12" s="1"/>
  <c r="AN215" i="12"/>
  <c r="G42" i="16"/>
  <c r="AN248" i="12"/>
  <c r="AV34" i="46" s="1"/>
  <c r="V79" i="12"/>
  <c r="V321" i="12"/>
  <c r="AV143" i="12"/>
  <c r="AW143" i="12" s="1"/>
  <c r="G99" i="16"/>
  <c r="AL337" i="12"/>
  <c r="AU337" i="12" s="1"/>
  <c r="G229" i="16" s="1"/>
  <c r="AN337" i="12"/>
  <c r="AL285" i="12"/>
  <c r="AU285" i="12" s="1"/>
  <c r="G193" i="16" s="1"/>
  <c r="AN285" i="12"/>
  <c r="AO61" i="12"/>
  <c r="AL137" i="12"/>
  <c r="AU137" i="12" s="1"/>
  <c r="AN137" i="12"/>
  <c r="AL295" i="12"/>
  <c r="AU295" i="12" s="1"/>
  <c r="AN295" i="12"/>
  <c r="V167" i="12"/>
  <c r="V329" i="12"/>
  <c r="AU175" i="12"/>
  <c r="BB28" i="46" s="1"/>
  <c r="V137" i="12"/>
  <c r="AL141" i="12"/>
  <c r="AU141" i="12" s="1"/>
  <c r="AN141" i="12"/>
  <c r="AL115" i="12"/>
  <c r="AU115" i="12" s="1"/>
  <c r="AN115" i="12"/>
  <c r="AO335" i="12"/>
  <c r="BB335" i="12"/>
  <c r="V104" i="12"/>
  <c r="V248" i="12"/>
  <c r="BB205" i="12"/>
  <c r="AL301" i="12"/>
  <c r="AU301" i="12" s="1"/>
  <c r="AN301" i="12"/>
  <c r="AL229" i="12"/>
  <c r="AU229" i="12" s="1"/>
  <c r="AN229" i="12"/>
  <c r="AL167" i="12"/>
  <c r="AU167" i="12" s="1"/>
  <c r="AN167" i="12"/>
  <c r="AV335" i="12"/>
  <c r="AW335" i="12" s="1"/>
  <c r="G227" i="16"/>
  <c r="AV42" i="12"/>
  <c r="AW42" i="12" s="1"/>
  <c r="AL29" i="12"/>
  <c r="AU29" i="12" s="1"/>
  <c r="AN29" i="12"/>
  <c r="V29" i="12"/>
  <c r="AL113" i="12"/>
  <c r="AU113" i="12" s="1"/>
  <c r="AN113" i="12"/>
  <c r="AL53" i="12"/>
  <c r="AU53" i="12" s="1"/>
  <c r="AN53" i="12"/>
  <c r="AL101" i="12"/>
  <c r="AU101" i="12" s="1"/>
  <c r="AN101" i="12"/>
  <c r="V53" i="12"/>
  <c r="V113" i="12"/>
  <c r="V101" i="12"/>
  <c r="G148" i="16"/>
  <c r="BC24" i="46"/>
  <c r="G90" i="16"/>
  <c r="BC36" i="46"/>
  <c r="BI36" i="46"/>
  <c r="L27" i="20"/>
  <c r="L38" i="20"/>
  <c r="N38" i="20" s="1"/>
  <c r="L44" i="20"/>
  <c r="BH408" i="5" s="1"/>
  <c r="L39" i="20"/>
  <c r="N39" i="20" s="1"/>
  <c r="L30" i="20"/>
  <c r="N30" i="20" s="1"/>
  <c r="BH366" i="5"/>
  <c r="BH365" i="5"/>
  <c r="N41" i="20"/>
  <c r="BH142" i="5"/>
  <c r="BH141" i="5"/>
  <c r="BH281" i="5"/>
  <c r="BH282" i="5"/>
  <c r="N34" i="20"/>
  <c r="N43" i="20"/>
  <c r="BH393" i="5"/>
  <c r="BH394" i="5"/>
  <c r="J16" i="20"/>
  <c r="L16" i="20" s="1"/>
  <c r="AO95" i="12"/>
  <c r="BB95" i="12"/>
  <c r="G207" i="16"/>
  <c r="J25" i="20"/>
  <c r="L25" i="20" s="1"/>
  <c r="BH296" i="5"/>
  <c r="BH295" i="5"/>
  <c r="N35" i="20"/>
  <c r="BB93" i="12"/>
  <c r="AO93" i="12"/>
  <c r="N19" i="20"/>
  <c r="BH71" i="5"/>
  <c r="BH72" i="5"/>
  <c r="BH169" i="5"/>
  <c r="BH170" i="5"/>
  <c r="AU98" i="12"/>
  <c r="BF101" i="5"/>
  <c r="BH114" i="5"/>
  <c r="BH113" i="5"/>
  <c r="BH43" i="5"/>
  <c r="BH44" i="5"/>
  <c r="N17" i="20"/>
  <c r="J23" i="20"/>
  <c r="M87" i="12"/>
  <c r="G4" i="12"/>
  <c r="AM87" i="12"/>
  <c r="AM4" i="12" s="1"/>
  <c r="AB87" i="12"/>
  <c r="L87" i="12"/>
  <c r="L4" i="12" s="1"/>
  <c r="AE87" i="12"/>
  <c r="Y87" i="12"/>
  <c r="P87" i="12"/>
  <c r="O87" i="12"/>
  <c r="N87" i="12"/>
  <c r="AH87" i="12"/>
  <c r="AV97" i="12"/>
  <c r="AW97" i="12" s="1"/>
  <c r="G69" i="16"/>
  <c r="BH15" i="5"/>
  <c r="BH16" i="5"/>
  <c r="N15" i="20"/>
  <c r="BH85" i="5"/>
  <c r="BH86" i="5"/>
  <c r="N20" i="20"/>
  <c r="BH268" i="5"/>
  <c r="BH267" i="5"/>
  <c r="N33" i="20"/>
  <c r="AA41" i="9"/>
  <c r="K21" i="20"/>
  <c r="U4" i="8"/>
  <c r="Z87" i="8"/>
  <c r="Z4" i="8" s="1"/>
  <c r="L32" i="20"/>
  <c r="BH197" i="5"/>
  <c r="BH198" i="5"/>
  <c r="AO92" i="12"/>
  <c r="BB92" i="12"/>
  <c r="BH309" i="5"/>
  <c r="BH310" i="5"/>
  <c r="N36" i="20"/>
  <c r="BB20" i="46"/>
  <c r="G55" i="16"/>
  <c r="BH239" i="5"/>
  <c r="BH240" i="5"/>
  <c r="N31" i="20"/>
  <c r="BH57" i="5"/>
  <c r="BH58" i="5"/>
  <c r="N18" i="20"/>
  <c r="L42" i="20"/>
  <c r="R29" i="20"/>
  <c r="AV211" i="5"/>
  <c r="AX211" i="5" s="1"/>
  <c r="G71" i="9" s="1" a="1"/>
  <c r="G71" i="9" s="1"/>
  <c r="AV212" i="5"/>
  <c r="AX212" i="5" s="1"/>
  <c r="G72" i="9" s="1" a="1"/>
  <c r="G72" i="9" s="1"/>
  <c r="P29" i="20"/>
  <c r="AU21" i="46"/>
  <c r="BB91" i="12"/>
  <c r="AO91" i="12"/>
  <c r="K23" i="20"/>
  <c r="F4" i="20"/>
  <c r="D4" i="20" s="1"/>
  <c r="J21" i="20"/>
  <c r="AV94" i="12"/>
  <c r="AW94" i="12" s="1"/>
  <c r="G66" i="16"/>
  <c r="AU96" i="12"/>
  <c r="R40" i="20"/>
  <c r="P40" i="20"/>
  <c r="AZ211" i="5" l="1"/>
  <c r="AZ212" i="5"/>
  <c r="BJ20" i="46"/>
  <c r="BC39" i="46"/>
  <c r="BI35" i="46"/>
  <c r="BI22" i="46"/>
  <c r="BB151" i="12"/>
  <c r="BI26" i="46" s="1"/>
  <c r="AL90" i="12"/>
  <c r="AU90" i="12" s="1"/>
  <c r="AV90" i="12" s="1"/>
  <c r="AW90" i="12" s="1"/>
  <c r="BB283" i="12"/>
  <c r="G40" i="16"/>
  <c r="AV35" i="46"/>
  <c r="AO260" i="12"/>
  <c r="G39" i="16"/>
  <c r="AV39" i="46"/>
  <c r="AV24" i="46"/>
  <c r="BB130" i="12"/>
  <c r="BJ24" i="46" s="1"/>
  <c r="AU26" i="46"/>
  <c r="AO127" i="12"/>
  <c r="AU37" i="46"/>
  <c r="AV130" i="12"/>
  <c r="AW130" i="12" s="1"/>
  <c r="AU24" i="46"/>
  <c r="BJ33" i="46"/>
  <c r="BC35" i="46"/>
  <c r="AV260" i="12"/>
  <c r="AW260" i="12" s="1"/>
  <c r="BB56" i="12"/>
  <c r="BJ18" i="46" s="1"/>
  <c r="AV56" i="12"/>
  <c r="AW56" i="12" s="1"/>
  <c r="AV18" i="46"/>
  <c r="AO308" i="12"/>
  <c r="BJ40" i="46"/>
  <c r="BJ35" i="46"/>
  <c r="BB29" i="46"/>
  <c r="AV44" i="12"/>
  <c r="AW44" i="12" s="1"/>
  <c r="BJ38" i="46"/>
  <c r="AV308" i="12"/>
  <c r="AW308" i="12" s="1"/>
  <c r="AV55" i="12"/>
  <c r="AW55" i="12" s="1"/>
  <c r="G159" i="16"/>
  <c r="BB55" i="12"/>
  <c r="BI18" i="46" s="1"/>
  <c r="AO55" i="12"/>
  <c r="G135" i="16"/>
  <c r="AU18" i="46"/>
  <c r="G136" i="16"/>
  <c r="AV114" i="12"/>
  <c r="AW114" i="12" s="1"/>
  <c r="AV200" i="12"/>
  <c r="AW200" i="12" s="1"/>
  <c r="AV22" i="46"/>
  <c r="AO114" i="12"/>
  <c r="AV235" i="12"/>
  <c r="AW235" i="12" s="1"/>
  <c r="BB96" i="12"/>
  <c r="AO235" i="12"/>
  <c r="AV283" i="12"/>
  <c r="AW283" i="12" s="1"/>
  <c r="BB235" i="12"/>
  <c r="BI33" i="46" s="1"/>
  <c r="BI24" i="46"/>
  <c r="AO90" i="12"/>
  <c r="AO175" i="12"/>
  <c r="AV331" i="12"/>
  <c r="AW331" i="12" s="1"/>
  <c r="G128" i="16"/>
  <c r="AO199" i="12"/>
  <c r="BJ39" i="46"/>
  <c r="BC37" i="46"/>
  <c r="BB199" i="12"/>
  <c r="BI30" i="46" s="1"/>
  <c r="AV199" i="12"/>
  <c r="AW199" i="12" s="1"/>
  <c r="BJ31" i="46"/>
  <c r="BJ43" i="46"/>
  <c r="BB41" i="46"/>
  <c r="BB17" i="46"/>
  <c r="BB140" i="12"/>
  <c r="BJ25" i="46" s="1"/>
  <c r="AO140" i="12"/>
  <c r="AO44" i="12"/>
  <c r="AV30" i="46"/>
  <c r="AV284" i="12"/>
  <c r="AW284" i="12" s="1"/>
  <c r="AO284" i="12"/>
  <c r="AO200" i="12"/>
  <c r="G96" i="16"/>
  <c r="G32" i="16"/>
  <c r="AV140" i="12"/>
  <c r="AW140" i="12" s="1"/>
  <c r="AV176" i="12"/>
  <c r="AW176" i="12" s="1"/>
  <c r="BB284" i="12"/>
  <c r="BJ37" i="46" s="1"/>
  <c r="AV79" i="12"/>
  <c r="AW79" i="12" s="1"/>
  <c r="BJ16" i="46"/>
  <c r="BI16" i="46"/>
  <c r="BB79" i="12"/>
  <c r="BI20" i="46" s="1"/>
  <c r="BB44" i="12"/>
  <c r="BJ17" i="46" s="1"/>
  <c r="AV17" i="46"/>
  <c r="G87" i="16"/>
  <c r="AV127" i="12"/>
  <c r="AW127" i="12" s="1"/>
  <c r="G103" i="16"/>
  <c r="AV151" i="12"/>
  <c r="AW151" i="12" s="1"/>
  <c r="AV68" i="12"/>
  <c r="AW68" i="12" s="1"/>
  <c r="AO68" i="12"/>
  <c r="BI28" i="46"/>
  <c r="AV216" i="12"/>
  <c r="AW216" i="12" s="1"/>
  <c r="G48" i="16"/>
  <c r="G168" i="16"/>
  <c r="AV31" i="46"/>
  <c r="AU28" i="46"/>
  <c r="AU41" i="46"/>
  <c r="AO79" i="12"/>
  <c r="BB331" i="12"/>
  <c r="AV163" i="12"/>
  <c r="AW163" i="12" s="1"/>
  <c r="BB68" i="12"/>
  <c r="BJ19" i="46" s="1"/>
  <c r="BB98" i="12"/>
  <c r="AU27" i="46"/>
  <c r="AV21" i="46"/>
  <c r="BB188" i="12"/>
  <c r="BJ29" i="46" s="1"/>
  <c r="AO188" i="12"/>
  <c r="AO163" i="12"/>
  <c r="BJ27" i="46"/>
  <c r="AV188" i="12"/>
  <c r="AW188" i="12" s="1"/>
  <c r="BB163" i="12"/>
  <c r="AO216" i="12"/>
  <c r="G120" i="16"/>
  <c r="AV104" i="12"/>
  <c r="AW104" i="12" s="1"/>
  <c r="BB104" i="12"/>
  <c r="BJ22" i="46" s="1"/>
  <c r="BB176" i="12"/>
  <c r="BJ28" i="46" s="1"/>
  <c r="BB274" i="12"/>
  <c r="BJ36" i="46" s="1"/>
  <c r="AO176" i="12"/>
  <c r="AO274" i="12"/>
  <c r="AV36" i="46"/>
  <c r="BJ30" i="46"/>
  <c r="AV137" i="12"/>
  <c r="AW137" i="12" s="1"/>
  <c r="BB187" i="12"/>
  <c r="BI29" i="46" s="1"/>
  <c r="AV187" i="12"/>
  <c r="AW187" i="12" s="1"/>
  <c r="AO187" i="12"/>
  <c r="BB307" i="12"/>
  <c r="AV307" i="12"/>
  <c r="AW307" i="12" s="1"/>
  <c r="AV43" i="12"/>
  <c r="AW43" i="12" s="1"/>
  <c r="BI42" i="46"/>
  <c r="AO43" i="12"/>
  <c r="BC22" i="46"/>
  <c r="BB43" i="12"/>
  <c r="BI17" i="46" s="1"/>
  <c r="AU17" i="46"/>
  <c r="BB248" i="12"/>
  <c r="BJ34" i="46" s="1"/>
  <c r="AV173" i="12"/>
  <c r="AW173" i="12" s="1"/>
  <c r="AV248" i="12"/>
  <c r="AW248" i="12" s="1"/>
  <c r="AO248" i="12"/>
  <c r="AO89" i="12"/>
  <c r="BB89" i="12"/>
  <c r="G119" i="16"/>
  <c r="AV89" i="12"/>
  <c r="AW89" i="12" s="1"/>
  <c r="AV175" i="12"/>
  <c r="AW175" i="12" s="1"/>
  <c r="G97" i="16"/>
  <c r="BB25" i="46"/>
  <c r="BB167" i="12"/>
  <c r="AO167" i="12"/>
  <c r="AV285" i="12"/>
  <c r="AW285" i="12" s="1"/>
  <c r="AO285" i="12"/>
  <c r="BB285" i="12"/>
  <c r="AU43" i="46"/>
  <c r="AO357" i="12"/>
  <c r="BB357" i="12"/>
  <c r="G243" i="16"/>
  <c r="AV359" i="12"/>
  <c r="AW359" i="12" s="1"/>
  <c r="G115" i="16"/>
  <c r="AV167" i="12"/>
  <c r="AW167" i="12" s="1"/>
  <c r="G241" i="16"/>
  <c r="AV357" i="12"/>
  <c r="AW357" i="12" s="1"/>
  <c r="BB43" i="46"/>
  <c r="BB329" i="12"/>
  <c r="AO329" i="12"/>
  <c r="BB37" i="46"/>
  <c r="AV229" i="12"/>
  <c r="AW229" i="12" s="1"/>
  <c r="AU32" i="46"/>
  <c r="AO229" i="12"/>
  <c r="BB229" i="12"/>
  <c r="BI32" i="46" s="1"/>
  <c r="AV337" i="12"/>
  <c r="AW337" i="12" s="1"/>
  <c r="BB337" i="12"/>
  <c r="AO337" i="12"/>
  <c r="AV215" i="12"/>
  <c r="AW215" i="12" s="1"/>
  <c r="AO215" i="12"/>
  <c r="AU31" i="46"/>
  <c r="BB215" i="12"/>
  <c r="BI31" i="46" s="1"/>
  <c r="AV321" i="12"/>
  <c r="AW321" i="12" s="1"/>
  <c r="AU40" i="46"/>
  <c r="BB321" i="12"/>
  <c r="BI40" i="46" s="1"/>
  <c r="AO321" i="12"/>
  <c r="AV329" i="12"/>
  <c r="AW329" i="12" s="1"/>
  <c r="AO309" i="12"/>
  <c r="BB309" i="12"/>
  <c r="AO221" i="12"/>
  <c r="BB221" i="12"/>
  <c r="AV249" i="12"/>
  <c r="AW249" i="12" s="1"/>
  <c r="G169" i="16"/>
  <c r="BB34" i="46"/>
  <c r="G209" i="16"/>
  <c r="AV309" i="12"/>
  <c r="AW309" i="12" s="1"/>
  <c r="AV245" i="12"/>
  <c r="AW245" i="12" s="1"/>
  <c r="AO245" i="12"/>
  <c r="BB245" i="12"/>
  <c r="AO359" i="12"/>
  <c r="BB359" i="12"/>
  <c r="BB39" i="46"/>
  <c r="U87" i="12"/>
  <c r="AK87" i="12" s="1"/>
  <c r="AN87" i="12" s="1"/>
  <c r="G157" i="16"/>
  <c r="BB32" i="46"/>
  <c r="BB115" i="12"/>
  <c r="BI23" i="46" s="1"/>
  <c r="AU23" i="46"/>
  <c r="AO115" i="12"/>
  <c r="AU38" i="46"/>
  <c r="BB295" i="12"/>
  <c r="AO295" i="12"/>
  <c r="G147" i="16"/>
  <c r="BB31" i="46"/>
  <c r="G217" i="16"/>
  <c r="BB40" i="46"/>
  <c r="AO173" i="12"/>
  <c r="BB173" i="12"/>
  <c r="AV221" i="12"/>
  <c r="AW221" i="12" s="1"/>
  <c r="BB27" i="46"/>
  <c r="BB301" i="12"/>
  <c r="AO301" i="12"/>
  <c r="G79" i="16"/>
  <c r="AV115" i="12"/>
  <c r="AW115" i="12" s="1"/>
  <c r="BB23" i="46"/>
  <c r="BB38" i="46"/>
  <c r="AV295" i="12"/>
  <c r="AW295" i="12" s="1"/>
  <c r="G199" i="16"/>
  <c r="BB333" i="12"/>
  <c r="AO333" i="12"/>
  <c r="G205" i="16"/>
  <c r="AV301" i="12"/>
  <c r="AW301" i="12" s="1"/>
  <c r="AV141" i="12"/>
  <c r="AW141" i="12" s="1"/>
  <c r="BB141" i="12"/>
  <c r="BI25" i="46" s="1"/>
  <c r="AU25" i="46"/>
  <c r="AO141" i="12"/>
  <c r="BB137" i="12"/>
  <c r="AO137" i="12"/>
  <c r="AV333" i="12"/>
  <c r="AW333" i="12" s="1"/>
  <c r="G225" i="16"/>
  <c r="AO249" i="12"/>
  <c r="BB249" i="12"/>
  <c r="BI34" i="46" s="1"/>
  <c r="AU34" i="46"/>
  <c r="AU39" i="46"/>
  <c r="AV53" i="12"/>
  <c r="AW53" i="12" s="1"/>
  <c r="AV101" i="12"/>
  <c r="AW101" i="12" s="1"/>
  <c r="BB53" i="12"/>
  <c r="AO53" i="12"/>
  <c r="AO113" i="12"/>
  <c r="BB113" i="12"/>
  <c r="AV113" i="12"/>
  <c r="AW113" i="12" s="1"/>
  <c r="AV29" i="12"/>
  <c r="AW29" i="12" s="1"/>
  <c r="BB29" i="12"/>
  <c r="AO29" i="12"/>
  <c r="BB101" i="12"/>
  <c r="AO101" i="12"/>
  <c r="BH183" i="5"/>
  <c r="BH184" i="5"/>
  <c r="BH352" i="5"/>
  <c r="BH225" i="5"/>
  <c r="BH407" i="5"/>
  <c r="N44" i="20"/>
  <c r="AV407" i="5" s="1"/>
  <c r="AX407" i="5" s="1"/>
  <c r="G127" i="9" s="1" a="1"/>
  <c r="G127" i="9" s="1"/>
  <c r="BH337" i="5"/>
  <c r="BH226" i="5"/>
  <c r="BH351" i="5"/>
  <c r="L21" i="20"/>
  <c r="N21" i="20" s="1"/>
  <c r="BH338" i="5"/>
  <c r="L23" i="20"/>
  <c r="L37" i="20"/>
  <c r="N37" i="20" s="1"/>
  <c r="BH30" i="5"/>
  <c r="BH29" i="5"/>
  <c r="N16" i="20"/>
  <c r="BB21" i="46"/>
  <c r="AV91" i="12"/>
  <c r="AW91" i="12" s="1"/>
  <c r="G63" i="16"/>
  <c r="AV15" i="5"/>
  <c r="AX15" i="5" s="1"/>
  <c r="G15" i="9" s="1" a="1"/>
  <c r="G15" i="9" s="1"/>
  <c r="AV16" i="5"/>
  <c r="AX16" i="5" s="1"/>
  <c r="G16" i="9" s="1" a="1"/>
  <c r="G16" i="9" s="1"/>
  <c r="R15" i="20"/>
  <c r="P15" i="20"/>
  <c r="AV71" i="5"/>
  <c r="AX71" i="5" s="1"/>
  <c r="G31" i="9" s="1" a="1"/>
  <c r="G31" i="9" s="1"/>
  <c r="AV72" i="5"/>
  <c r="AX72" i="5" s="1"/>
  <c r="G32" i="9" s="1" a="1"/>
  <c r="G32" i="9" s="1"/>
  <c r="R19" i="20"/>
  <c r="P19" i="20"/>
  <c r="AV93" i="12"/>
  <c r="AW93" i="12" s="1"/>
  <c r="G65" i="16"/>
  <c r="R36" i="20"/>
  <c r="AV309" i="5"/>
  <c r="AX309" i="5" s="1"/>
  <c r="AV310" i="5"/>
  <c r="AX310" i="5" s="1"/>
  <c r="G100" i="9" s="1" a="1"/>
  <c r="G100" i="9" s="1"/>
  <c r="P36" i="20"/>
  <c r="N32" i="20"/>
  <c r="BH254" i="5"/>
  <c r="BH253" i="5"/>
  <c r="AC41" i="9"/>
  <c r="P34" i="20"/>
  <c r="R34" i="20"/>
  <c r="AV282" i="5"/>
  <c r="AX282" i="5" s="1"/>
  <c r="G92" i="9" s="1" a="1"/>
  <c r="G92" i="9" s="1"/>
  <c r="AV281" i="5"/>
  <c r="AX281" i="5" s="1"/>
  <c r="G91" i="9" s="1" a="1"/>
  <c r="G91" i="9" s="1"/>
  <c r="R27" i="20"/>
  <c r="AV183" i="5"/>
  <c r="AX183" i="5" s="1"/>
  <c r="G63" i="9" s="1" a="1"/>
  <c r="G63" i="9" s="1"/>
  <c r="AV184" i="5"/>
  <c r="AX184" i="5" s="1"/>
  <c r="G64" i="9" s="1" a="1"/>
  <c r="G64" i="9" s="1"/>
  <c r="AV239" i="5"/>
  <c r="AX239" i="5" s="1"/>
  <c r="G79" i="9" s="1" a="1"/>
  <c r="G79" i="9" s="1"/>
  <c r="AV240" i="5"/>
  <c r="AX240" i="5" s="1"/>
  <c r="G80" i="9" s="1" a="1"/>
  <c r="G80" i="9" s="1"/>
  <c r="R31" i="20"/>
  <c r="P31" i="20"/>
  <c r="AN212" i="5"/>
  <c r="AO212" i="5" s="1"/>
  <c r="AP212" i="5" s="1"/>
  <c r="AQ212" i="5" s="1"/>
  <c r="AR212" i="5" s="1"/>
  <c r="AN211" i="5"/>
  <c r="AO211" i="5" s="1"/>
  <c r="AP211" i="5" s="1"/>
  <c r="AQ211" i="5" s="1"/>
  <c r="AR211" i="5" s="1"/>
  <c r="AF87" i="12"/>
  <c r="AF4" i="12" s="1"/>
  <c r="AE4" i="12"/>
  <c r="S4" i="12" s="1"/>
  <c r="AV141" i="5"/>
  <c r="AX141" i="5" s="1"/>
  <c r="G51" i="9" s="1" a="1"/>
  <c r="G51" i="9" s="1"/>
  <c r="AV142" i="5"/>
  <c r="AX142" i="5" s="1"/>
  <c r="G52" i="9" s="1" a="1"/>
  <c r="G52" i="9" s="1"/>
  <c r="R24" i="20"/>
  <c r="T40" i="20"/>
  <c r="N71" i="9"/>
  <c r="O71" i="9" s="1"/>
  <c r="X71" i="9" s="1"/>
  <c r="AA71" i="9" s="1"/>
  <c r="AC71" i="9" s="1"/>
  <c r="BI21" i="46"/>
  <c r="P20" i="20"/>
  <c r="R20" i="20"/>
  <c r="AV85" i="5"/>
  <c r="AX85" i="5" s="1"/>
  <c r="G35" i="9" s="1" a="1"/>
  <c r="G35" i="9" s="1"/>
  <c r="AV86" i="5"/>
  <c r="AX86" i="5" s="1"/>
  <c r="G36" i="9" s="1" a="1"/>
  <c r="G36" i="9" s="1"/>
  <c r="Z87" i="12"/>
  <c r="Y4" i="12"/>
  <c r="Q4" i="12" s="1"/>
  <c r="R22" i="20"/>
  <c r="AV113" i="5"/>
  <c r="AX113" i="5" s="1"/>
  <c r="G43" i="9" s="1" a="1"/>
  <c r="G43" i="9" s="1"/>
  <c r="AV114" i="5"/>
  <c r="AX114" i="5" s="1"/>
  <c r="G44" i="9" s="1" a="1"/>
  <c r="G44" i="9" s="1"/>
  <c r="P35" i="20"/>
  <c r="AV295" i="5"/>
  <c r="AX295" i="5" s="1"/>
  <c r="G95" i="9" s="1" a="1"/>
  <c r="G95" i="9" s="1"/>
  <c r="AV296" i="5"/>
  <c r="AX296" i="5" s="1"/>
  <c r="R35" i="20"/>
  <c r="N72" i="9"/>
  <c r="O72" i="9" s="1"/>
  <c r="X72" i="9" s="1"/>
  <c r="AA72" i="9" s="1"/>
  <c r="AC72" i="9" s="1"/>
  <c r="BH379" i="5"/>
  <c r="BH380" i="5"/>
  <c r="N42" i="20"/>
  <c r="AV337" i="5"/>
  <c r="AX337" i="5" s="1"/>
  <c r="G107" i="9" s="1" a="1"/>
  <c r="G107" i="9" s="1"/>
  <c r="AV338" i="5"/>
  <c r="AX338" i="5" s="1"/>
  <c r="G108" i="9" s="1" a="1"/>
  <c r="G108" i="9" s="1"/>
  <c r="P38" i="20"/>
  <c r="R38" i="20"/>
  <c r="AV96" i="12"/>
  <c r="AW96" i="12" s="1"/>
  <c r="G68" i="16"/>
  <c r="T29" i="20"/>
  <c r="AV197" i="5"/>
  <c r="AX197" i="5" s="1"/>
  <c r="G67" i="9" s="1" a="1"/>
  <c r="G67" i="9" s="1"/>
  <c r="AV198" i="5"/>
  <c r="AX198" i="5" s="1"/>
  <c r="G68" i="9" s="1" a="1"/>
  <c r="G68" i="9" s="1"/>
  <c r="R28" i="20"/>
  <c r="AV95" i="12"/>
  <c r="AW95" i="12" s="1"/>
  <c r="G67" i="16"/>
  <c r="R33" i="20"/>
  <c r="P33" i="20"/>
  <c r="AV267" i="5"/>
  <c r="AX267" i="5" s="1"/>
  <c r="G87" i="9" s="1" a="1"/>
  <c r="G87" i="9" s="1"/>
  <c r="AV268" i="5"/>
  <c r="AX268" i="5" s="1"/>
  <c r="G88" i="9" s="1" a="1"/>
  <c r="G88" i="9" s="1"/>
  <c r="AC87" i="12"/>
  <c r="AC4" i="12" s="1"/>
  <c r="AB4" i="12"/>
  <c r="AV98" i="12"/>
  <c r="AW98" i="12" s="1"/>
  <c r="G70" i="16"/>
  <c r="AI87" i="12"/>
  <c r="AI4" i="12" s="1"/>
  <c r="AH4" i="12"/>
  <c r="BC21" i="46"/>
  <c r="AV92" i="12"/>
  <c r="AW92" i="12" s="1"/>
  <c r="G64" i="16"/>
  <c r="P18" i="20"/>
  <c r="AV58" i="5"/>
  <c r="AX58" i="5" s="1"/>
  <c r="G28" i="9" s="1" a="1"/>
  <c r="G28" i="9" s="1"/>
  <c r="AV57" i="5"/>
  <c r="AX57" i="5" s="1"/>
  <c r="G27" i="9" s="1" a="1"/>
  <c r="G27" i="9" s="1"/>
  <c r="R18" i="20"/>
  <c r="P17" i="20"/>
  <c r="AV43" i="5"/>
  <c r="AX43" i="5" s="1"/>
  <c r="G23" i="9" s="1" a="1"/>
  <c r="G23" i="9" s="1"/>
  <c r="AV44" i="5"/>
  <c r="AX44" i="5" s="1"/>
  <c r="G24" i="9" s="1" a="1"/>
  <c r="G24" i="9" s="1"/>
  <c r="R17" i="20"/>
  <c r="P39" i="20"/>
  <c r="AV352" i="5"/>
  <c r="AX352" i="5" s="1"/>
  <c r="G112" i="9" s="1" a="1"/>
  <c r="G112" i="9" s="1"/>
  <c r="AV351" i="5"/>
  <c r="AX351" i="5" s="1"/>
  <c r="G111" i="9" s="1" a="1"/>
  <c r="G111" i="9" s="1"/>
  <c r="R39" i="20"/>
  <c r="G4" i="20"/>
  <c r="E4" i="20" s="1"/>
  <c r="O4" i="12"/>
  <c r="P4" i="12"/>
  <c r="N4" i="12"/>
  <c r="M4" i="12"/>
  <c r="AV170" i="5"/>
  <c r="AX170" i="5" s="1"/>
  <c r="G60" i="9" s="1" a="1"/>
  <c r="G60" i="9" s="1"/>
  <c r="AV169" i="5"/>
  <c r="AX169" i="5" s="1"/>
  <c r="G59" i="9" s="1" a="1"/>
  <c r="G59" i="9" s="1"/>
  <c r="R26" i="20"/>
  <c r="BH156" i="5"/>
  <c r="BH155" i="5"/>
  <c r="R30" i="20"/>
  <c r="P30" i="20"/>
  <c r="AV226" i="5"/>
  <c r="AX226" i="5" s="1"/>
  <c r="G76" i="9" s="1" a="1"/>
  <c r="G76" i="9" s="1"/>
  <c r="AV225" i="5"/>
  <c r="AX225" i="5" s="1"/>
  <c r="G75" i="9" s="1" a="1"/>
  <c r="G75" i="9" s="1"/>
  <c r="AV393" i="5"/>
  <c r="AX393" i="5" s="1"/>
  <c r="G123" i="9" s="1" a="1"/>
  <c r="G123" i="9" s="1"/>
  <c r="AV394" i="5"/>
  <c r="AX394" i="5" s="1"/>
  <c r="G124" i="9" s="1" a="1"/>
  <c r="G124" i="9" s="1"/>
  <c r="R43" i="20"/>
  <c r="P43" i="20"/>
  <c r="P41" i="20"/>
  <c r="AV365" i="5"/>
  <c r="AX365" i="5" s="1"/>
  <c r="G115" i="9" s="1" a="1"/>
  <c r="G115" i="9" s="1"/>
  <c r="AV366" i="5"/>
  <c r="AX366" i="5" s="1"/>
  <c r="G116" i="9" s="1" a="1"/>
  <c r="G116" i="9" s="1"/>
  <c r="R41" i="20"/>
  <c r="BB211" i="5" l="1"/>
  <c r="BB212" i="5"/>
  <c r="AZ113" i="5"/>
  <c r="AZ114" i="5"/>
  <c r="AZ184" i="5"/>
  <c r="AZ183" i="5"/>
  <c r="AZ72" i="5"/>
  <c r="AZ71" i="5"/>
  <c r="AZ85" i="5"/>
  <c r="AZ86" i="5"/>
  <c r="AZ309" i="5"/>
  <c r="AZ310" i="5"/>
  <c r="AZ169" i="5"/>
  <c r="AZ170" i="5"/>
  <c r="AZ365" i="5"/>
  <c r="AZ366" i="5"/>
  <c r="AZ351" i="5"/>
  <c r="AZ352" i="5"/>
  <c r="AZ57" i="5"/>
  <c r="AZ58" i="5"/>
  <c r="AZ267" i="5"/>
  <c r="AZ268" i="5"/>
  <c r="AZ225" i="5"/>
  <c r="AZ226" i="5"/>
  <c r="AZ197" i="5"/>
  <c r="AZ198" i="5"/>
  <c r="AZ141" i="5"/>
  <c r="AZ142" i="5"/>
  <c r="AZ43" i="5"/>
  <c r="AZ44" i="5"/>
  <c r="AZ240" i="5"/>
  <c r="AZ239" i="5"/>
  <c r="AZ393" i="5"/>
  <c r="AZ394" i="5"/>
  <c r="AZ281" i="5"/>
  <c r="AZ282" i="5"/>
  <c r="AZ337" i="5"/>
  <c r="AZ338" i="5"/>
  <c r="AZ295" i="5"/>
  <c r="AZ296" i="5"/>
  <c r="V87" i="12"/>
  <c r="BI37" i="46"/>
  <c r="BI27" i="46"/>
  <c r="BJ21" i="46"/>
  <c r="BJ4" i="46" s="1"/>
  <c r="AV4" i="46"/>
  <c r="AK4" i="12"/>
  <c r="U4" i="12" s="1"/>
  <c r="AL87" i="12"/>
  <c r="AL4" i="12" s="1"/>
  <c r="BC4" i="46"/>
  <c r="BI39" i="46"/>
  <c r="BI41" i="46"/>
  <c r="AU4" i="46"/>
  <c r="BB4" i="46"/>
  <c r="BI43" i="46"/>
  <c r="BI38" i="46"/>
  <c r="R44" i="20"/>
  <c r="P44" i="20"/>
  <c r="AN408" i="5" s="1"/>
  <c r="AO408" i="5" s="1"/>
  <c r="AP408" i="5" s="1"/>
  <c r="AQ408" i="5" s="1"/>
  <c r="AR408" i="5" s="1"/>
  <c r="AV408" i="5"/>
  <c r="AX408" i="5" s="1"/>
  <c r="BH100" i="5"/>
  <c r="L4" i="20"/>
  <c r="BH99" i="5"/>
  <c r="BH128" i="5"/>
  <c r="BH127" i="5"/>
  <c r="AG4" i="12"/>
  <c r="BH323" i="5"/>
  <c r="BH324" i="5"/>
  <c r="AA4" i="12"/>
  <c r="AN393" i="5"/>
  <c r="AO393" i="5" s="1"/>
  <c r="AP393" i="5" s="1"/>
  <c r="AQ393" i="5" s="1"/>
  <c r="AR393" i="5" s="1"/>
  <c r="AN394" i="5"/>
  <c r="AO394" i="5" s="1"/>
  <c r="AP394" i="5" s="1"/>
  <c r="AQ394" i="5" s="1"/>
  <c r="AR394" i="5" s="1"/>
  <c r="T17" i="20"/>
  <c r="N27" i="9"/>
  <c r="O27" i="9" s="1"/>
  <c r="X27" i="9" s="1"/>
  <c r="AA27" i="9" s="1"/>
  <c r="AC27" i="9" s="1"/>
  <c r="T43" i="20"/>
  <c r="R4" i="12"/>
  <c r="N24" i="9"/>
  <c r="O24" i="9" s="1"/>
  <c r="X24" i="9" s="1"/>
  <c r="AA24" i="9" s="1"/>
  <c r="AC24" i="9" s="1"/>
  <c r="N28" i="9"/>
  <c r="O28" i="9" s="1"/>
  <c r="T33" i="20"/>
  <c r="N43" i="9"/>
  <c r="O43" i="9" s="1"/>
  <c r="X43" i="9" s="1"/>
  <c r="AA43" i="9" s="1"/>
  <c r="AC43" i="9" s="1"/>
  <c r="N36" i="9"/>
  <c r="O36" i="9" s="1"/>
  <c r="X36" i="9" s="1"/>
  <c r="AA36" i="9" s="1"/>
  <c r="AC36" i="9" s="1"/>
  <c r="R21" i="20"/>
  <c r="N4" i="20"/>
  <c r="P21" i="20"/>
  <c r="AV100" i="5"/>
  <c r="AX100" i="5" s="1"/>
  <c r="G40" i="9" s="1" a="1"/>
  <c r="G40" i="9" s="1"/>
  <c r="AV99" i="5"/>
  <c r="V40" i="20"/>
  <c r="AD4" i="12"/>
  <c r="T31" i="20"/>
  <c r="N92" i="9"/>
  <c r="O92" i="9" s="1"/>
  <c r="X92" i="9" s="1"/>
  <c r="AA92" i="9" s="1"/>
  <c r="AC92" i="9" s="1"/>
  <c r="AV254" i="5"/>
  <c r="AX254" i="5" s="1"/>
  <c r="G84" i="9" s="1" a="1"/>
  <c r="G84" i="9" s="1"/>
  <c r="AV253" i="5"/>
  <c r="AX253" i="5" s="1"/>
  <c r="G83" i="9" s="1" a="1"/>
  <c r="G83" i="9" s="1"/>
  <c r="R32" i="20"/>
  <c r="P32" i="20"/>
  <c r="T15" i="20"/>
  <c r="AN267" i="5"/>
  <c r="AO267" i="5" s="1"/>
  <c r="AP267" i="5" s="1"/>
  <c r="AQ267" i="5" s="1"/>
  <c r="AR267" i="5" s="1"/>
  <c r="AN268" i="5"/>
  <c r="AO268" i="5" s="1"/>
  <c r="AP268" i="5" s="1"/>
  <c r="AQ268" i="5" s="1"/>
  <c r="AR268" i="5" s="1"/>
  <c r="N124" i="9"/>
  <c r="O124" i="9" s="1"/>
  <c r="X124" i="9" s="1"/>
  <c r="AA124" i="9" s="1"/>
  <c r="AC124" i="9" s="1"/>
  <c r="R25" i="20"/>
  <c r="AV155" i="5"/>
  <c r="AX155" i="5" s="1"/>
  <c r="G55" i="9" s="1" a="1"/>
  <c r="G55" i="9" s="1"/>
  <c r="AV156" i="5"/>
  <c r="AX156" i="5" s="1"/>
  <c r="G56" i="9" s="1" a="1"/>
  <c r="G56" i="9" s="1"/>
  <c r="T4" i="12"/>
  <c r="N23" i="9"/>
  <c r="O23" i="9" s="1"/>
  <c r="X23" i="9" s="1"/>
  <c r="AA23" i="9" s="1"/>
  <c r="AC23" i="9" s="1"/>
  <c r="AN58" i="5"/>
  <c r="AO58" i="5" s="1"/>
  <c r="AP58" i="5" s="1"/>
  <c r="AQ58" i="5" s="1"/>
  <c r="AR58" i="5" s="1"/>
  <c r="AN57" i="5"/>
  <c r="AO57" i="5" s="1"/>
  <c r="AP57" i="5" s="1"/>
  <c r="AQ57" i="5" s="1"/>
  <c r="AR57" i="5" s="1"/>
  <c r="V29" i="20"/>
  <c r="BC212" i="5"/>
  <c r="BC211" i="5"/>
  <c r="T22" i="20"/>
  <c r="N35" i="9"/>
  <c r="O35" i="9" s="1"/>
  <c r="X35" i="9" s="1"/>
  <c r="AA35" i="9" s="1"/>
  <c r="AC35" i="9" s="1"/>
  <c r="T24" i="20"/>
  <c r="N80" i="9"/>
  <c r="O80" i="9" s="1"/>
  <c r="X80" i="9" s="1"/>
  <c r="AA80" i="9" s="1"/>
  <c r="AC80" i="9" s="1"/>
  <c r="T34" i="20"/>
  <c r="AN309" i="5"/>
  <c r="AO309" i="5" s="1"/>
  <c r="AP309" i="5" s="1"/>
  <c r="AQ309" i="5" s="1"/>
  <c r="AR309" i="5" s="1"/>
  <c r="AN310" i="5"/>
  <c r="AO310" i="5" s="1"/>
  <c r="AP310" i="5" s="1"/>
  <c r="AQ310" i="5" s="1"/>
  <c r="AR310" i="5" s="1"/>
  <c r="AN71" i="5"/>
  <c r="AO71" i="5" s="1"/>
  <c r="AP71" i="5" s="1"/>
  <c r="AQ71" i="5" s="1"/>
  <c r="AR71" i="5" s="1"/>
  <c r="AN72" i="5"/>
  <c r="AO72" i="5" s="1"/>
  <c r="AP72" i="5" s="1"/>
  <c r="AQ72" i="5" s="1"/>
  <c r="AR72" i="5" s="1"/>
  <c r="N16" i="9"/>
  <c r="O16" i="9" s="1"/>
  <c r="X16" i="9" s="1"/>
  <c r="AA16" i="9" s="1"/>
  <c r="AC16" i="9" s="1"/>
  <c r="N123" i="9"/>
  <c r="O123" i="9" s="1"/>
  <c r="X123" i="9" s="1"/>
  <c r="AA123" i="9" s="1"/>
  <c r="AC123" i="9" s="1"/>
  <c r="T26" i="20"/>
  <c r="T39" i="20"/>
  <c r="AN43" i="5"/>
  <c r="AO43" i="5" s="1"/>
  <c r="AP43" i="5" s="1"/>
  <c r="AQ43" i="5" s="1"/>
  <c r="AR43" i="5" s="1"/>
  <c r="AN44" i="5"/>
  <c r="AO44" i="5" s="1"/>
  <c r="AP44" i="5" s="1"/>
  <c r="AQ44" i="5" s="1"/>
  <c r="AR44" i="5" s="1"/>
  <c r="T35" i="20"/>
  <c r="AN4" i="12"/>
  <c r="BB87" i="12"/>
  <c r="BB4" i="12" s="1"/>
  <c r="AO87" i="12"/>
  <c r="AO4" i="12" s="1"/>
  <c r="T20" i="20"/>
  <c r="AN141" i="5"/>
  <c r="AO141" i="5" s="1"/>
  <c r="AP141" i="5" s="1"/>
  <c r="AQ141" i="5" s="1"/>
  <c r="AR141" i="5" s="1"/>
  <c r="AN142" i="5"/>
  <c r="AO142" i="5" s="1"/>
  <c r="AP142" i="5" s="1"/>
  <c r="AQ142" i="5" s="1"/>
  <c r="AR142" i="5" s="1"/>
  <c r="N79" i="9"/>
  <c r="O79" i="9" s="1"/>
  <c r="X79" i="9" s="1"/>
  <c r="AA79" i="9" s="1"/>
  <c r="AC79" i="9" s="1"/>
  <c r="AN282" i="5"/>
  <c r="AO282" i="5" s="1"/>
  <c r="AP282" i="5" s="1"/>
  <c r="AQ282" i="5" s="1"/>
  <c r="AR282" i="5" s="1"/>
  <c r="AN281" i="5"/>
  <c r="AO281" i="5" s="1"/>
  <c r="AP281" i="5" s="1"/>
  <c r="AQ281" i="5" s="1"/>
  <c r="AR281" i="5" s="1"/>
  <c r="N100" i="9"/>
  <c r="O100" i="9" s="1"/>
  <c r="X100" i="9" s="1"/>
  <c r="AA100" i="9" s="1"/>
  <c r="AC100" i="9" s="1"/>
  <c r="T19" i="20"/>
  <c r="N15" i="9"/>
  <c r="O15" i="9" s="1"/>
  <c r="X15" i="9" s="1"/>
  <c r="AA15" i="9" s="1"/>
  <c r="AC15" i="9" s="1"/>
  <c r="T41" i="20"/>
  <c r="N75" i="9"/>
  <c r="O75" i="9" s="1"/>
  <c r="X75" i="9" s="1"/>
  <c r="AA75" i="9" s="1"/>
  <c r="AC75" i="9" s="1"/>
  <c r="AN170" i="5"/>
  <c r="AO170" i="5" s="1"/>
  <c r="AP170" i="5" s="1"/>
  <c r="AQ170" i="5" s="1"/>
  <c r="AR170" i="5" s="1"/>
  <c r="AN169" i="5"/>
  <c r="AO169" i="5" s="1"/>
  <c r="AP169" i="5" s="1"/>
  <c r="AQ169" i="5" s="1"/>
  <c r="AR169" i="5" s="1"/>
  <c r="N111" i="9"/>
  <c r="O111" i="9" s="1"/>
  <c r="X111" i="9" s="1"/>
  <c r="AA111" i="9" s="1"/>
  <c r="AC111" i="9" s="1"/>
  <c r="T28" i="20"/>
  <c r="AN85" i="5"/>
  <c r="AO85" i="5" s="1"/>
  <c r="AP85" i="5" s="1"/>
  <c r="AQ85" i="5" s="1"/>
  <c r="AR85" i="5" s="1"/>
  <c r="AN86" i="5"/>
  <c r="AO86" i="5" s="1"/>
  <c r="AP86" i="5" s="1"/>
  <c r="AQ86" i="5" s="1"/>
  <c r="AR86" i="5" s="1"/>
  <c r="N52" i="9"/>
  <c r="O52" i="9" s="1"/>
  <c r="X52" i="9" s="1"/>
  <c r="AA52" i="9" s="1"/>
  <c r="AC52" i="9" s="1"/>
  <c r="AN183" i="5"/>
  <c r="AO183" i="5" s="1"/>
  <c r="AP183" i="5" s="1"/>
  <c r="AQ183" i="5" s="1"/>
  <c r="AR183" i="5" s="1"/>
  <c r="AN184" i="5"/>
  <c r="AO184" i="5" s="1"/>
  <c r="AP184" i="5" s="1"/>
  <c r="AQ184" i="5" s="1"/>
  <c r="AR184" i="5" s="1"/>
  <c r="N32" i="9"/>
  <c r="O32" i="9" s="1"/>
  <c r="X32" i="9" s="1"/>
  <c r="AA32" i="9" s="1"/>
  <c r="AC32" i="9" s="1"/>
  <c r="G4" i="16"/>
  <c r="R42" i="20"/>
  <c r="AV379" i="5"/>
  <c r="AX379" i="5" s="1"/>
  <c r="G119" i="9" s="1" a="1"/>
  <c r="G119" i="9" s="1"/>
  <c r="AV380" i="5"/>
  <c r="AX380" i="5" s="1"/>
  <c r="G120" i="9" s="1" a="1"/>
  <c r="G120" i="9" s="1"/>
  <c r="P42" i="20"/>
  <c r="N116" i="9"/>
  <c r="O116" i="9" s="1"/>
  <c r="X116" i="9" s="1"/>
  <c r="AA116" i="9" s="1"/>
  <c r="AC116" i="9" s="1"/>
  <c r="N76" i="9"/>
  <c r="O76" i="9" s="1"/>
  <c r="X76" i="9" s="1"/>
  <c r="AA76" i="9" s="1"/>
  <c r="AC76" i="9" s="1"/>
  <c r="N59" i="9"/>
  <c r="O59" i="9" s="1"/>
  <c r="X59" i="9" s="1"/>
  <c r="AA59" i="9" s="1"/>
  <c r="AC59" i="9" s="1"/>
  <c r="N112" i="9"/>
  <c r="O112" i="9" s="1"/>
  <c r="X112" i="9" s="1"/>
  <c r="AA112" i="9" s="1"/>
  <c r="AC112" i="9" s="1"/>
  <c r="N68" i="9"/>
  <c r="O68" i="9" s="1"/>
  <c r="X68" i="9" s="1"/>
  <c r="AA68" i="9" s="1"/>
  <c r="AC68" i="9" s="1"/>
  <c r="T38" i="20"/>
  <c r="N95" i="9"/>
  <c r="O95" i="9" s="1"/>
  <c r="X95" i="9" s="1"/>
  <c r="AA95" i="9" s="1"/>
  <c r="AC95" i="9" s="1"/>
  <c r="N51" i="9"/>
  <c r="O51" i="9" s="1"/>
  <c r="X51" i="9" s="1"/>
  <c r="AA51" i="9" s="1"/>
  <c r="AC51" i="9" s="1"/>
  <c r="N64" i="9"/>
  <c r="O64" i="9" s="1"/>
  <c r="X64" i="9" s="1"/>
  <c r="AA64" i="9" s="1"/>
  <c r="AC64" i="9" s="1"/>
  <c r="T36" i="20"/>
  <c r="N31" i="9"/>
  <c r="O31" i="9" s="1"/>
  <c r="X31" i="9" s="1"/>
  <c r="AA31" i="9" s="1"/>
  <c r="AC31" i="9" s="1"/>
  <c r="AV127" i="5"/>
  <c r="AX127" i="5" s="1"/>
  <c r="G47" i="9" s="1" a="1"/>
  <c r="G47" i="9" s="1"/>
  <c r="AV128" i="5"/>
  <c r="AX128" i="5" s="1"/>
  <c r="G48" i="9" s="1" a="1"/>
  <c r="G48" i="9" s="1"/>
  <c r="R23" i="20"/>
  <c r="N115" i="9"/>
  <c r="O115" i="9" s="1"/>
  <c r="X115" i="9" s="1"/>
  <c r="AA115" i="9" s="1"/>
  <c r="AC115" i="9" s="1"/>
  <c r="AN226" i="5"/>
  <c r="AO226" i="5" s="1"/>
  <c r="AP226" i="5" s="1"/>
  <c r="AQ226" i="5" s="1"/>
  <c r="AR226" i="5" s="1"/>
  <c r="AN225" i="5"/>
  <c r="AO225" i="5" s="1"/>
  <c r="AP225" i="5" s="1"/>
  <c r="AQ225" i="5" s="1"/>
  <c r="AR225" i="5" s="1"/>
  <c r="N60" i="9"/>
  <c r="O60" i="9" s="1"/>
  <c r="X60" i="9" s="1"/>
  <c r="AA60" i="9" s="1"/>
  <c r="AC60" i="9" s="1"/>
  <c r="AN352" i="5"/>
  <c r="AO352" i="5" s="1"/>
  <c r="AP352" i="5" s="1"/>
  <c r="AQ352" i="5" s="1"/>
  <c r="AR352" i="5" s="1"/>
  <c r="AN351" i="5"/>
  <c r="AO351" i="5" s="1"/>
  <c r="AP351" i="5" s="1"/>
  <c r="AQ351" i="5" s="1"/>
  <c r="AR351" i="5" s="1"/>
  <c r="N127" i="9"/>
  <c r="O127" i="9" s="1"/>
  <c r="X127" i="9" s="1"/>
  <c r="AA127" i="9" s="1"/>
  <c r="AC127" i="9" s="1"/>
  <c r="N88" i="9"/>
  <c r="O88" i="9" s="1"/>
  <c r="X88" i="9" s="1"/>
  <c r="AA88" i="9" s="1"/>
  <c r="AC88" i="9" s="1"/>
  <c r="N67" i="9"/>
  <c r="O67" i="9" s="1"/>
  <c r="X67" i="9" s="1"/>
  <c r="AA67" i="9" s="1"/>
  <c r="AC67" i="9" s="1"/>
  <c r="AN337" i="5"/>
  <c r="AO337" i="5" s="1"/>
  <c r="AP337" i="5" s="1"/>
  <c r="AQ337" i="5" s="1"/>
  <c r="AR337" i="5" s="1"/>
  <c r="AN338" i="5"/>
  <c r="AO338" i="5" s="1"/>
  <c r="AP338" i="5" s="1"/>
  <c r="AQ338" i="5" s="1"/>
  <c r="AR338" i="5" s="1"/>
  <c r="AN295" i="5"/>
  <c r="AO295" i="5" s="1"/>
  <c r="AP295" i="5" s="1"/>
  <c r="AQ295" i="5" s="1"/>
  <c r="AR295" i="5" s="1"/>
  <c r="AN296" i="5"/>
  <c r="AO296" i="5" s="1"/>
  <c r="AP296" i="5" s="1"/>
  <c r="AQ296" i="5" s="1"/>
  <c r="AR296" i="5" s="1"/>
  <c r="Z4" i="12"/>
  <c r="X4" i="12" s="1"/>
  <c r="N63" i="9"/>
  <c r="O63" i="9" s="1"/>
  <c r="X63" i="9" s="1"/>
  <c r="AA63" i="9" s="1"/>
  <c r="AC63" i="9" s="1"/>
  <c r="AN366" i="5"/>
  <c r="AO366" i="5" s="1"/>
  <c r="AP366" i="5" s="1"/>
  <c r="AQ366" i="5" s="1"/>
  <c r="AR366" i="5" s="1"/>
  <c r="AN365" i="5"/>
  <c r="AO365" i="5" s="1"/>
  <c r="AP365" i="5" s="1"/>
  <c r="AQ365" i="5" s="1"/>
  <c r="AR365" i="5" s="1"/>
  <c r="T30" i="20"/>
  <c r="T18" i="20"/>
  <c r="N87" i="9"/>
  <c r="O87" i="9" s="1"/>
  <c r="X87" i="9" s="1"/>
  <c r="AA87" i="9" s="1"/>
  <c r="AC87" i="9" s="1"/>
  <c r="AN197" i="5"/>
  <c r="AO197" i="5" s="1"/>
  <c r="AP197" i="5" s="1"/>
  <c r="AQ197" i="5" s="1"/>
  <c r="AR197" i="5" s="1"/>
  <c r="AN198" i="5"/>
  <c r="AO198" i="5" s="1"/>
  <c r="AP198" i="5" s="1"/>
  <c r="AQ198" i="5" s="1"/>
  <c r="AR198" i="5" s="1"/>
  <c r="N108" i="9"/>
  <c r="O108" i="9" s="1"/>
  <c r="X108" i="9" s="1"/>
  <c r="AA108" i="9" s="1"/>
  <c r="AC108" i="9" s="1"/>
  <c r="AN113" i="5"/>
  <c r="AO113" i="5" s="1"/>
  <c r="AP113" i="5" s="1"/>
  <c r="AQ113" i="5" s="1"/>
  <c r="AR113" i="5" s="1"/>
  <c r="AN114" i="5"/>
  <c r="AO114" i="5" s="1"/>
  <c r="AP114" i="5" s="1"/>
  <c r="AQ114" i="5" s="1"/>
  <c r="AR114" i="5" s="1"/>
  <c r="T27" i="20"/>
  <c r="N107" i="9"/>
  <c r="O107" i="9" s="1"/>
  <c r="X107" i="9" s="1"/>
  <c r="AA107" i="9" s="1"/>
  <c r="AC107" i="9" s="1"/>
  <c r="N44" i="9"/>
  <c r="O44" i="9" s="1"/>
  <c r="X44" i="9" s="1"/>
  <c r="AA44" i="9" s="1"/>
  <c r="AC44" i="9" s="1"/>
  <c r="AN239" i="5"/>
  <c r="AO239" i="5" s="1"/>
  <c r="AP239" i="5" s="1"/>
  <c r="AQ239" i="5" s="1"/>
  <c r="AR239" i="5" s="1"/>
  <c r="AN240" i="5"/>
  <c r="AO240" i="5" s="1"/>
  <c r="AP240" i="5" s="1"/>
  <c r="AQ240" i="5" s="1"/>
  <c r="AR240" i="5" s="1"/>
  <c r="N91" i="9"/>
  <c r="O91" i="9" s="1"/>
  <c r="X91" i="9" s="1"/>
  <c r="AA91" i="9" s="1"/>
  <c r="AC91" i="9" s="1"/>
  <c r="AN15" i="5"/>
  <c r="AO15" i="5" s="1"/>
  <c r="AP15" i="5" s="1"/>
  <c r="AN16" i="5"/>
  <c r="AO16" i="5" s="1"/>
  <c r="AP16" i="5" s="1"/>
  <c r="R16" i="20"/>
  <c r="P16" i="20"/>
  <c r="AV29" i="5"/>
  <c r="AX29" i="5" s="1"/>
  <c r="G19" i="9" s="1" a="1"/>
  <c r="G19" i="9" s="1"/>
  <c r="AV30" i="5"/>
  <c r="AX30" i="5" s="1"/>
  <c r="G20" i="9" s="1" a="1"/>
  <c r="G20" i="9" s="1"/>
  <c r="P37" i="20"/>
  <c r="AV323" i="5"/>
  <c r="AX323" i="5" s="1"/>
  <c r="G103" i="9" s="1" a="1"/>
  <c r="G103" i="9" s="1"/>
  <c r="AV324" i="5"/>
  <c r="AX324" i="5" s="1"/>
  <c r="G104" i="9" s="1" a="1"/>
  <c r="G104" i="9" s="1"/>
  <c r="R37" i="20"/>
  <c r="G128" i="9" l="1" a="1"/>
  <c r="G128" i="9" s="1"/>
  <c r="N128" i="9" s="1"/>
  <c r="O128" i="9" s="1"/>
  <c r="X128" i="9" s="1"/>
  <c r="AA128" i="9" s="1"/>
  <c r="AC128" i="9" s="1"/>
  <c r="AZ323" i="5"/>
  <c r="AZ324" i="5"/>
  <c r="AZ155" i="5"/>
  <c r="AZ156" i="5"/>
  <c r="BB393" i="5"/>
  <c r="BC393" i="5" s="1"/>
  <c r="BB394" i="5"/>
  <c r="BC394" i="5" s="1"/>
  <c r="AZ407" i="5"/>
  <c r="AZ408" i="5"/>
  <c r="BB365" i="5"/>
  <c r="BC365" i="5" s="1"/>
  <c r="BB366" i="5"/>
  <c r="BB351" i="5"/>
  <c r="BC351" i="5" s="1"/>
  <c r="BB352" i="5"/>
  <c r="BC352" i="5" s="1"/>
  <c r="BB281" i="5"/>
  <c r="BC281" i="5" s="1"/>
  <c r="BB282" i="5"/>
  <c r="BC282" i="5" s="1"/>
  <c r="AZ99" i="5"/>
  <c r="AZ100" i="5"/>
  <c r="AZ128" i="5"/>
  <c r="AZ127" i="5"/>
  <c r="BB337" i="5"/>
  <c r="BC337" i="5" s="1"/>
  <c r="BB338" i="5"/>
  <c r="BC338" i="5" s="1"/>
  <c r="BB85" i="5"/>
  <c r="BC85" i="5" s="1"/>
  <c r="BB86" i="5"/>
  <c r="BC86" i="5" s="1"/>
  <c r="BB169" i="5"/>
  <c r="BC169" i="5" s="1"/>
  <c r="BB170" i="5"/>
  <c r="BC170" i="5" s="1"/>
  <c r="BB239" i="5"/>
  <c r="BC239" i="5" s="1"/>
  <c r="BB240" i="5"/>
  <c r="BC240" i="5" s="1"/>
  <c r="BB43" i="5"/>
  <c r="BC43" i="5" s="1"/>
  <c r="BB44" i="5"/>
  <c r="BC44" i="5" s="1"/>
  <c r="AZ380" i="5"/>
  <c r="AZ379" i="5"/>
  <c r="BB141" i="5"/>
  <c r="BC141" i="5" s="1"/>
  <c r="BB142" i="5"/>
  <c r="BC142" i="5" s="1"/>
  <c r="BB198" i="5"/>
  <c r="BC198" i="5" s="1"/>
  <c r="BB197" i="5"/>
  <c r="BC197" i="5" s="1"/>
  <c r="BB267" i="5"/>
  <c r="BC267" i="5" s="1"/>
  <c r="BB268" i="5"/>
  <c r="BC268" i="5" s="1"/>
  <c r="BB71" i="5"/>
  <c r="BB72" i="5"/>
  <c r="BC72" i="5" s="1"/>
  <c r="BB57" i="5"/>
  <c r="BC57" i="5" s="1"/>
  <c r="BB58" i="5"/>
  <c r="BC58" i="5" s="1"/>
  <c r="BB113" i="5"/>
  <c r="BC113" i="5" s="1"/>
  <c r="BB114" i="5"/>
  <c r="BC114" i="5" s="1"/>
  <c r="AZ29" i="5"/>
  <c r="AZ30" i="5"/>
  <c r="BB183" i="5"/>
  <c r="BC183" i="5" s="1"/>
  <c r="BB184" i="5"/>
  <c r="BC184" i="5" s="1"/>
  <c r="BB225" i="5"/>
  <c r="BC225" i="5" s="1"/>
  <c r="BB226" i="5"/>
  <c r="BC226" i="5" s="1"/>
  <c r="BB309" i="5"/>
  <c r="BC309" i="5" s="1"/>
  <c r="BB310" i="5"/>
  <c r="BC310" i="5" s="1"/>
  <c r="BB295" i="5"/>
  <c r="BC295" i="5" s="1"/>
  <c r="BB296" i="5"/>
  <c r="BC296" i="5" s="1"/>
  <c r="AZ253" i="5"/>
  <c r="AZ254" i="5"/>
  <c r="X28" i="9"/>
  <c r="AA28" i="9" s="1"/>
  <c r="AC28" i="9" s="1"/>
  <c r="AU87" i="12"/>
  <c r="AV87" i="12" s="1"/>
  <c r="AN407" i="5"/>
  <c r="AO407" i="5" s="1"/>
  <c r="AP407" i="5" s="1"/>
  <c r="AQ407" i="5" s="1"/>
  <c r="AR407" i="5" s="1"/>
  <c r="AJ4" i="12"/>
  <c r="BI4" i="46"/>
  <c r="V4" i="12"/>
  <c r="T44" i="20"/>
  <c r="M4" i="20"/>
  <c r="BH4" i="5"/>
  <c r="N19" i="9"/>
  <c r="O19" i="9" s="1"/>
  <c r="X19" i="9" s="1"/>
  <c r="AA19" i="9" s="1"/>
  <c r="AC19" i="9" s="1"/>
  <c r="V18" i="20"/>
  <c r="AN127" i="5"/>
  <c r="AO127" i="5" s="1"/>
  <c r="AP127" i="5" s="1"/>
  <c r="AQ127" i="5" s="1"/>
  <c r="AR127" i="5" s="1"/>
  <c r="AN128" i="5"/>
  <c r="AO128" i="5" s="1"/>
  <c r="AP128" i="5" s="1"/>
  <c r="AQ128" i="5" s="1"/>
  <c r="AR128" i="5" s="1"/>
  <c r="V38" i="20"/>
  <c r="N120" i="9"/>
  <c r="O120" i="9" s="1"/>
  <c r="X120" i="9" s="1"/>
  <c r="AA120" i="9" s="1"/>
  <c r="AC120" i="9" s="1"/>
  <c r="V28" i="20"/>
  <c r="N55" i="9"/>
  <c r="O55" i="9" s="1"/>
  <c r="X55" i="9" s="1"/>
  <c r="AA55" i="9" s="1"/>
  <c r="AC55" i="9" s="1"/>
  <c r="V31" i="20"/>
  <c r="N40" i="9"/>
  <c r="AN29" i="5"/>
  <c r="AO29" i="5" s="1"/>
  <c r="AN30" i="5"/>
  <c r="T23" i="20"/>
  <c r="N119" i="9"/>
  <c r="O119" i="9" s="1"/>
  <c r="X119" i="9" s="1"/>
  <c r="AA119" i="9" s="1"/>
  <c r="AC119" i="9" s="1"/>
  <c r="V26" i="20"/>
  <c r="V24" i="20"/>
  <c r="BE211" i="5"/>
  <c r="BF211" i="5" s="1"/>
  <c r="BE212" i="5"/>
  <c r="BF212" i="5" s="1"/>
  <c r="T25" i="20"/>
  <c r="V15" i="20"/>
  <c r="T16" i="20"/>
  <c r="N48" i="9"/>
  <c r="O48" i="9" s="1"/>
  <c r="X48" i="9" s="1"/>
  <c r="AA48" i="9" s="1"/>
  <c r="AC48" i="9" s="1"/>
  <c r="T42" i="20"/>
  <c r="BC71" i="5"/>
  <c r="V19" i="20"/>
  <c r="V34" i="20"/>
  <c r="AN155" i="5"/>
  <c r="AO155" i="5" s="1"/>
  <c r="AP155" i="5" s="1"/>
  <c r="AQ155" i="5" s="1"/>
  <c r="AN156" i="5"/>
  <c r="AO156" i="5" s="1"/>
  <c r="AP156" i="5" s="1"/>
  <c r="AQ156" i="5" s="1"/>
  <c r="AN254" i="5"/>
  <c r="AO254" i="5" s="1"/>
  <c r="AP254" i="5" s="1"/>
  <c r="AQ254" i="5" s="1"/>
  <c r="AR254" i="5" s="1"/>
  <c r="AN253" i="5"/>
  <c r="AO253" i="5" s="1"/>
  <c r="AP253" i="5" s="1"/>
  <c r="AQ253" i="5" s="1"/>
  <c r="AR253" i="5" s="1"/>
  <c r="T37" i="20"/>
  <c r="V27" i="20"/>
  <c r="V30" i="20"/>
  <c r="N47" i="9"/>
  <c r="O47" i="9" s="1"/>
  <c r="X47" i="9" s="1"/>
  <c r="AA47" i="9" s="1"/>
  <c r="AC47" i="9" s="1"/>
  <c r="V41" i="20"/>
  <c r="BC366" i="5"/>
  <c r="BA4" i="12"/>
  <c r="T32" i="20"/>
  <c r="P4" i="20"/>
  <c r="O4" i="20" s="1"/>
  <c r="AN99" i="5"/>
  <c r="AN100" i="5"/>
  <c r="AO100" i="5" s="1"/>
  <c r="AP100" i="5" s="1"/>
  <c r="AQ100" i="5" s="1"/>
  <c r="AR100" i="5" s="1"/>
  <c r="V17" i="20"/>
  <c r="N104" i="9"/>
  <c r="O104" i="9" s="1"/>
  <c r="X104" i="9" s="1"/>
  <c r="AA104" i="9" s="1"/>
  <c r="AC104" i="9" s="1"/>
  <c r="V35" i="20"/>
  <c r="V22" i="20"/>
  <c r="N83" i="9"/>
  <c r="O83" i="9" s="1"/>
  <c r="X83" i="9" s="1"/>
  <c r="AA83" i="9" s="1"/>
  <c r="AC83" i="9" s="1"/>
  <c r="V33" i="20"/>
  <c r="N103" i="9"/>
  <c r="O103" i="9" s="1"/>
  <c r="X103" i="9" s="1"/>
  <c r="AA103" i="9" s="1"/>
  <c r="AC103" i="9" s="1"/>
  <c r="N84" i="9"/>
  <c r="O84" i="9" s="1"/>
  <c r="X84" i="9" s="1"/>
  <c r="AA84" i="9" s="1"/>
  <c r="AC84" i="9" s="1"/>
  <c r="R4" i="20"/>
  <c r="T21" i="20"/>
  <c r="AN323" i="5"/>
  <c r="AO323" i="5" s="1"/>
  <c r="AP323" i="5" s="1"/>
  <c r="AQ323" i="5" s="1"/>
  <c r="AR323" i="5" s="1"/>
  <c r="AN324" i="5"/>
  <c r="AO324" i="5" s="1"/>
  <c r="AP324" i="5" s="1"/>
  <c r="AQ324" i="5" s="1"/>
  <c r="AR324" i="5" s="1"/>
  <c r="V36" i="20"/>
  <c r="V20" i="20"/>
  <c r="V39" i="20"/>
  <c r="V43" i="20"/>
  <c r="N20" i="9"/>
  <c r="O20" i="9" s="1"/>
  <c r="X20" i="9" s="1"/>
  <c r="AN380" i="5"/>
  <c r="AO380" i="5" s="1"/>
  <c r="AP380" i="5" s="1"/>
  <c r="AQ380" i="5" s="1"/>
  <c r="AR380" i="5" s="1"/>
  <c r="AN379" i="5"/>
  <c r="AO379" i="5" s="1"/>
  <c r="AP379" i="5" s="1"/>
  <c r="AQ379" i="5" s="1"/>
  <c r="AR379" i="5" s="1"/>
  <c r="N56" i="9"/>
  <c r="O56" i="9" s="1"/>
  <c r="X56" i="9" s="1"/>
  <c r="AA56" i="9" s="1"/>
  <c r="AC56" i="9" s="1"/>
  <c r="AX99" i="5"/>
  <c r="G39" i="9" s="1" a="1"/>
  <c r="G39" i="9" s="1"/>
  <c r="AV4" i="5"/>
  <c r="BB127" i="5" l="1"/>
  <c r="BC127" i="5" s="1"/>
  <c r="BB128" i="5"/>
  <c r="BC128" i="5" s="1"/>
  <c r="BB407" i="5"/>
  <c r="BC407" i="5" s="1"/>
  <c r="BB408" i="5"/>
  <c r="BC408" i="5" s="1"/>
  <c r="BB99" i="5"/>
  <c r="BB100" i="5"/>
  <c r="BC100" i="5" s="1"/>
  <c r="BB155" i="5"/>
  <c r="BC155" i="5" s="1"/>
  <c r="BB156" i="5"/>
  <c r="BC156" i="5" s="1"/>
  <c r="BB323" i="5"/>
  <c r="BC323" i="5" s="1"/>
  <c r="BB324" i="5"/>
  <c r="BC324" i="5" s="1"/>
  <c r="BB379" i="5"/>
  <c r="BC379" i="5" s="1"/>
  <c r="BB380" i="5"/>
  <c r="BB253" i="5"/>
  <c r="BC253" i="5" s="1"/>
  <c r="BB254" i="5"/>
  <c r="BC254" i="5" s="1"/>
  <c r="BB30" i="5"/>
  <c r="BB29" i="5"/>
  <c r="AA20" i="9"/>
  <c r="AC20" i="9" s="1"/>
  <c r="AU4" i="12"/>
  <c r="AP29" i="5"/>
  <c r="AQ29" i="5" s="1"/>
  <c r="AR29" i="5" s="1"/>
  <c r="V44" i="20"/>
  <c r="BE408" i="5" s="1"/>
  <c r="BF408" i="5" s="1"/>
  <c r="AO30" i="5"/>
  <c r="AP30" i="5" s="1"/>
  <c r="AQ30" i="5" s="1"/>
  <c r="AR30" i="5" s="1"/>
  <c r="BE352" i="5"/>
  <c r="BF352" i="5" s="1"/>
  <c r="BE351" i="5"/>
  <c r="BF351" i="5" s="1"/>
  <c r="Q4" i="20"/>
  <c r="BE72" i="5"/>
  <c r="BF72" i="5" s="1"/>
  <c r="BE71" i="5"/>
  <c r="BF71" i="5" s="1"/>
  <c r="BE337" i="5"/>
  <c r="BF337" i="5" s="1"/>
  <c r="BE338" i="5"/>
  <c r="BF338" i="5" s="1"/>
  <c r="BE365" i="5"/>
  <c r="BF365" i="5" s="1"/>
  <c r="BE366" i="5"/>
  <c r="BF366" i="5" s="1"/>
  <c r="BE197" i="5"/>
  <c r="BF197" i="5" s="1"/>
  <c r="BE198" i="5"/>
  <c r="BF198" i="5" s="1"/>
  <c r="BE43" i="5"/>
  <c r="BF43" i="5" s="1"/>
  <c r="BE44" i="5"/>
  <c r="BF44" i="5" s="1"/>
  <c r="BE225" i="5"/>
  <c r="BF225" i="5" s="1"/>
  <c r="BE226" i="5"/>
  <c r="BF226" i="5" s="1"/>
  <c r="V16" i="20"/>
  <c r="BE394" i="5"/>
  <c r="BF394" i="5" s="1"/>
  <c r="BE393" i="5"/>
  <c r="BF393" i="5" s="1"/>
  <c r="BE85" i="5"/>
  <c r="BF85" i="5" s="1"/>
  <c r="BE86" i="5"/>
  <c r="BF86" i="5" s="1"/>
  <c r="BE295" i="5"/>
  <c r="BF295" i="5" s="1"/>
  <c r="BE296" i="5"/>
  <c r="BF296" i="5" s="1"/>
  <c r="BC380" i="5"/>
  <c r="V42" i="20"/>
  <c r="BE15" i="5"/>
  <c r="BE16" i="5"/>
  <c r="O40" i="9"/>
  <c r="X40" i="9" s="1"/>
  <c r="AA40" i="9" s="1"/>
  <c r="V32" i="20"/>
  <c r="AX4" i="5"/>
  <c r="BG4" i="5" s="1"/>
  <c r="T4" i="20"/>
  <c r="S4" i="20" s="1"/>
  <c r="V21" i="20"/>
  <c r="BE184" i="5"/>
  <c r="BF184" i="5" s="1"/>
  <c r="BE183" i="5"/>
  <c r="BF183" i="5" s="1"/>
  <c r="BE282" i="5"/>
  <c r="BF282" i="5" s="1"/>
  <c r="BE281" i="5"/>
  <c r="BF281" i="5" s="1"/>
  <c r="BE141" i="5"/>
  <c r="BF141" i="5" s="1"/>
  <c r="BE142" i="5"/>
  <c r="BF142" i="5" s="1"/>
  <c r="V23" i="20"/>
  <c r="BE57" i="5"/>
  <c r="BF57" i="5" s="1"/>
  <c r="BE58" i="5"/>
  <c r="BF58" i="5" s="1"/>
  <c r="BE309" i="5"/>
  <c r="BF309" i="5" s="1"/>
  <c r="BE310" i="5"/>
  <c r="BF310" i="5" s="1"/>
  <c r="BE113" i="5"/>
  <c r="BF113" i="5" s="1"/>
  <c r="BE114" i="5"/>
  <c r="BF114" i="5" s="1"/>
  <c r="AN4" i="5"/>
  <c r="AO99" i="5"/>
  <c r="V37" i="20"/>
  <c r="V25" i="20"/>
  <c r="BE169" i="5"/>
  <c r="BF169" i="5" s="1"/>
  <c r="BE170" i="5"/>
  <c r="BF170" i="5" s="1"/>
  <c r="BE240" i="5"/>
  <c r="BF240" i="5" s="1"/>
  <c r="BE239" i="5"/>
  <c r="BF239" i="5" s="1"/>
  <c r="AZ4" i="5"/>
  <c r="BE268" i="5"/>
  <c r="BF268" i="5" s="1"/>
  <c r="BE267" i="5"/>
  <c r="BF267" i="5" s="1"/>
  <c r="AV4" i="12"/>
  <c r="AW4" i="12" s="1"/>
  <c r="AW87" i="12"/>
  <c r="BC29" i="5" l="1"/>
  <c r="BE407" i="5"/>
  <c r="BF407" i="5" s="1"/>
  <c r="BC30" i="5"/>
  <c r="BE254" i="5"/>
  <c r="BF254" i="5" s="1"/>
  <c r="BE253" i="5"/>
  <c r="BF253" i="5" s="1"/>
  <c r="BE323" i="5"/>
  <c r="BF323" i="5" s="1"/>
  <c r="BE324" i="5"/>
  <c r="BF324" i="5" s="1"/>
  <c r="BE156" i="5"/>
  <c r="BF156" i="5" s="1"/>
  <c r="BE155" i="5"/>
  <c r="BF155" i="5" s="1"/>
  <c r="V4" i="20"/>
  <c r="U4" i="20" s="1"/>
  <c r="BE99" i="5"/>
  <c r="BE100" i="5"/>
  <c r="BF100" i="5" s="1"/>
  <c r="AW4" i="5"/>
  <c r="BE380" i="5"/>
  <c r="BF380" i="5" s="1"/>
  <c r="BE379" i="5"/>
  <c r="BF379" i="5" s="1"/>
  <c r="AP99" i="5"/>
  <c r="AO4" i="5"/>
  <c r="BE127" i="5"/>
  <c r="BF127" i="5" s="1"/>
  <c r="BE128" i="5"/>
  <c r="BF128" i="5" s="1"/>
  <c r="N39" i="9"/>
  <c r="G4" i="9"/>
  <c r="AC40" i="9"/>
  <c r="BB4" i="5"/>
  <c r="BA4" i="5" s="1"/>
  <c r="AY4" i="5"/>
  <c r="BE30" i="5"/>
  <c r="BF30" i="5" s="1"/>
  <c r="BE29" i="5"/>
  <c r="BF29" i="5" s="1"/>
  <c r="N4" i="9" l="1"/>
  <c r="AQ99" i="5"/>
  <c r="AR99" i="5" s="1"/>
  <c r="AP4" i="5"/>
  <c r="O39" i="9"/>
  <c r="BE4" i="5"/>
  <c r="BD4" i="5" s="1"/>
  <c r="AQ4" i="5" l="1"/>
  <c r="AR4" i="5" s="1"/>
  <c r="BF99" i="5"/>
  <c r="BF4" i="5" s="1"/>
  <c r="BC99" i="5"/>
  <c r="BC4" i="5" s="1"/>
  <c r="X39" i="9"/>
  <c r="O4" i="9"/>
  <c r="AA39" i="9" l="1"/>
  <c r="X4" i="9"/>
  <c r="V4" i="9" s="1"/>
  <c r="I4" i="9"/>
  <c r="K4" i="9"/>
  <c r="AC39" i="9" l="1"/>
  <c r="AA4" i="9"/>
  <c r="AC4" i="9" s="1"/>
  <c r="Y4" i="9" l="1"/>
  <c r="I47" i="16" l="1"/>
  <c r="T20" i="44"/>
  <c r="H47" i="16"/>
  <c r="I111" i="16"/>
  <c r="T24" i="44"/>
  <c r="T23" i="44"/>
  <c r="T21" i="44"/>
  <c r="H111" i="16"/>
  <c r="I49" i="16"/>
  <c r="T22" i="44"/>
  <c r="H49" i="16"/>
  <c r="H4" i="16"/>
  <c r="H31" i="16"/>
  <c r="P18" i="44"/>
  <c r="H209" i="16"/>
  <c r="P17" i="44"/>
  <c r="T4" i="44"/>
  <c r="T15" i="44"/>
  <c r="P30" i="44"/>
  <c r="L30" i="44"/>
  <c r="S30" i="44"/>
  <c r="T30" i="44"/>
  <c r="I209" i="16"/>
  <c r="L17" i="44"/>
  <c r="S17" i="44"/>
  <c r="T17" i="44"/>
  <c r="P21" i="44"/>
  <c r="L21" i="44"/>
  <c r="H239" i="16"/>
  <c r="S15" i="44"/>
  <c r="S4" i="44"/>
  <c r="R4" i="44"/>
  <c r="P24" i="44"/>
  <c r="L24" i="44"/>
  <c r="P29" i="44"/>
  <c r="T19" i="44"/>
  <c r="S19" i="44"/>
  <c r="H113" i="16"/>
  <c r="L20" i="44"/>
  <c r="P20" i="44"/>
  <c r="S32" i="44"/>
  <c r="T32" i="44"/>
  <c r="I239" i="16"/>
  <c r="P15" i="44"/>
  <c r="P4" i="44"/>
  <c r="L15" i="44"/>
  <c r="L4" i="44"/>
  <c r="Q4" i="44"/>
  <c r="S26" i="44"/>
  <c r="T26" i="44"/>
  <c r="I113" i="16"/>
  <c r="P27" i="44"/>
  <c r="I241" i="16"/>
  <c r="T34" i="44"/>
  <c r="H207" i="16"/>
  <c r="L27" i="44"/>
  <c r="S27" i="44"/>
  <c r="T27" i="44"/>
  <c r="T25" i="44"/>
  <c r="S25" i="44"/>
  <c r="L32" i="44"/>
  <c r="P32" i="44"/>
  <c r="P34" i="44"/>
  <c r="T33" i="44"/>
  <c r="S33" i="44"/>
  <c r="S28" i="44"/>
  <c r="T28" i="44"/>
  <c r="I207" i="16"/>
  <c r="P31" i="44"/>
  <c r="L19" i="44"/>
  <c r="P19" i="44"/>
  <c r="I33" i="16"/>
  <c r="T18" i="44"/>
  <c r="L34" i="44"/>
  <c r="S34" i="44"/>
  <c r="H241" i="16"/>
  <c r="L22" i="44"/>
  <c r="P22" i="44"/>
  <c r="L26" i="44"/>
  <c r="P26" i="44"/>
  <c r="P16" i="44"/>
  <c r="L29" i="44"/>
  <c r="S29" i="44"/>
  <c r="T29" i="44"/>
  <c r="L25" i="44"/>
  <c r="P25" i="44"/>
  <c r="L28" i="44"/>
  <c r="P28" i="44"/>
  <c r="L33" i="44"/>
  <c r="P33" i="44"/>
  <c r="L16" i="44"/>
  <c r="S16" i="44"/>
  <c r="T16" i="44"/>
  <c r="I31" i="16"/>
  <c r="I4" i="16"/>
  <c r="L18" i="44"/>
  <c r="S18" i="44"/>
  <c r="H33" i="16"/>
  <c r="P23" i="44"/>
  <c r="L23" i="44"/>
  <c r="L31" i="44"/>
  <c r="S31" i="44"/>
  <c r="T31" i="4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Domaas, Christian [BAO Systems LLC]</author>
  </authors>
  <commentList>
    <comment ref="AY1" authorId="0" shapeId="0" xr:uid="{00000000-0006-0000-0300-000001000000}">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G3" authorId="1" shapeId="0" xr:uid="{00000000-0006-0000-0300-000002000000}">
      <text>
        <r>
          <rPr>
            <sz val="10"/>
            <color rgb="FF000000"/>
            <rFont val="Tahoma"/>
            <family val="2"/>
          </rPr>
          <t>This includes both HTS_TST_POS &amp; PMTCT_HEI_POS</t>
        </r>
      </text>
    </comment>
    <comment ref="L3" authorId="1" shapeId="0" xr:uid="{00000000-0006-0000-0300-000003000000}">
      <text>
        <r>
          <rPr>
            <sz val="10"/>
            <color rgb="FF000000"/>
            <rFont val="Tahoma"/>
            <family val="2"/>
          </rPr>
          <t>This includes both HTS_TST_POS &amp; PMTCT_HEI_POS.</t>
        </r>
      </text>
    </comment>
    <comment ref="O3" authorId="2" shapeId="0" xr:uid="{00000000-0006-0000-0300-000004000000}">
      <text>
        <r>
          <rPr>
            <sz val="10"/>
            <color rgb="FF000000"/>
            <rFont val="Tahoma"/>
            <family val="2"/>
          </rPr>
          <t>The default is the Max of TX_CURR from FY23 and FY24 Teams can adjust this to point to either of the two columns as needed</t>
        </r>
      </text>
    </comment>
    <comment ref="AK3" authorId="2" shapeId="0" xr:uid="{00000000-0006-0000-0300-000005000000}">
      <text>
        <r>
          <rPr>
            <sz val="10"/>
            <color rgb="FF000000"/>
            <rFont val="Tahoma"/>
            <family val="2"/>
          </rPr>
          <t>Select whether the final PLHIV will pull from column AJ (will highlight purple) or AK (will highlight orange). You must chose one or the other and cannot mix and match. This is what will flow to DATIM and PAW.</t>
        </r>
      </text>
    </comment>
    <comment ref="AP3" authorId="2" shapeId="0" xr:uid="{00000000-0006-0000-0300-000006000000}">
      <text>
        <r>
          <rPr>
            <sz val="10"/>
            <color rgb="FF000000"/>
            <rFont val="Tahoma"/>
            <family val="2"/>
          </rPr>
          <t xml:space="preserve">This TX_CURR is the final target. If column F is populated it will take precedent in this column. </t>
        </r>
      </text>
    </comment>
    <comment ref="BG3" authorId="1" shapeId="0" xr:uid="{00000000-0006-0000-0300-000007000000}">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V3" authorId="0" shapeId="0" xr:uid="{00000000-0006-0000-0600-000001000000}">
      <text>
        <r>
          <rPr>
            <b/>
            <sz val="10"/>
            <color rgb="FF000000"/>
            <rFont val="Tahoma"/>
            <family val="34"/>
          </rPr>
          <t>#VALUE!:</t>
        </r>
        <r>
          <rPr>
            <sz val="10"/>
            <color rgb="FF000000"/>
            <rFont val="Tahoma"/>
            <family val="34"/>
          </rPr>
          <t xml:space="preserve"> Provide missing PEPFAR contribution proportions.</t>
        </r>
      </text>
    </comment>
    <comment ref="AB3" authorId="0" shapeId="0" xr:uid="{00000000-0006-0000-0600-000002000000}">
      <text>
        <r>
          <rPr>
            <b/>
            <sz val="10"/>
            <color rgb="FF000000"/>
            <rFont val="Calibri"/>
            <family val="2"/>
          </rPr>
          <t>#VALUE!:</t>
        </r>
        <r>
          <rPr>
            <sz val="10"/>
            <color rgb="FF000000"/>
            <rFont val="Calibri"/>
            <family val="2"/>
          </rPr>
          <t xml:space="preserve"> Provide missing Yield (FY25) rates.</t>
        </r>
        <r>
          <rPr>
            <sz val="10.5"/>
            <color rgb="FF000000"/>
            <rFont val="Calibri"/>
            <family val="2"/>
          </rPr>
          <t xml:space="preserve">
</t>
        </r>
      </text>
    </comment>
    <comment ref="AC3" authorId="0" shapeId="0" xr:uid="{00000000-0006-0000-0600-000003000000}">
      <text>
        <r>
          <rPr>
            <b/>
            <sz val="10"/>
            <color rgb="FF000000"/>
            <rFont val="Tahoma"/>
            <family val="34"/>
          </rPr>
          <t>#VALUE!:</t>
        </r>
        <r>
          <rPr>
            <sz val="10"/>
            <color rgb="FF000000"/>
            <rFont val="Tahoma"/>
            <family val="34"/>
          </rPr>
          <t xml:space="preserve"> Provide missing Yield (FY25) rates.</t>
        </r>
      </text>
    </comment>
    <comment ref="AS3" authorId="0" shapeId="0" xr:uid="{00000000-0006-0000-0600-000004000000}">
      <text>
        <r>
          <rPr>
            <b/>
            <sz val="10"/>
            <color rgb="FF000000"/>
            <rFont val="Tahoma"/>
            <family val="2"/>
          </rPr>
          <t>#VALUE!:</t>
        </r>
        <r>
          <rPr>
            <sz val="10"/>
            <color rgb="FF000000"/>
            <rFont val="Tahoma"/>
            <family val="2"/>
          </rPr>
          <t xml:space="preserve"> Provide missing Yield (FY25) rates.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0000000-0006-0000-0700-000001000000}">
      <text>
        <r>
          <rPr>
            <sz val="10"/>
            <color rgb="FF000000"/>
            <rFont val="Tahoma"/>
            <family val="2"/>
          </rPr>
          <t>Targets for PMTCT_HEI_POS are not required for target-setting, but historic data and related assumptions are used to link EID testing with TX_NEW &lt;1.</t>
        </r>
      </text>
    </comment>
    <comment ref="C3" authorId="1" shapeId="0" xr:uid="{00000000-0006-0000-0700-000002000000}">
      <text>
        <r>
          <rPr>
            <sz val="10"/>
            <color rgb="FF000000"/>
            <rFont val="Tahoma"/>
            <family val="2"/>
          </rPr>
          <t>Estimated based on total HIV positive pregnant women identified through PEPFAR PMTCT_STAT and Post ANC1 HTS_TST.</t>
        </r>
      </text>
    </comment>
    <comment ref="J3" authorId="1" shapeId="0" xr:uid="{00000000-0006-0000-0700-000003000000}">
      <text>
        <r>
          <rPr>
            <b/>
            <sz val="10"/>
            <color rgb="FF000000"/>
            <rFont val="Tahoma"/>
            <family val="2"/>
          </rPr>
          <t>Red highlights:</t>
        </r>
        <r>
          <rPr>
            <sz val="10"/>
            <color rgb="FF000000"/>
            <rFont val="Tahoma"/>
            <family val="2"/>
          </rPr>
          <t xml:space="preserve"> Enter yields.</t>
        </r>
      </text>
    </comment>
    <comment ref="K3" authorId="1" shapeId="0" xr:uid="{00000000-0006-0000-0700-000004000000}">
      <text>
        <r>
          <rPr>
            <b/>
            <sz val="10"/>
            <color rgb="FF000000"/>
            <rFont val="Tahoma"/>
            <family val="2"/>
          </rPr>
          <t xml:space="preserve">Red highlights: </t>
        </r>
        <r>
          <rPr>
            <sz val="10"/>
            <color rgb="FF000000"/>
            <rFont val="Tahoma"/>
            <family val="2"/>
          </rPr>
          <t>Enter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00000000-0006-0000-0800-000001000000}">
      <text>
        <r>
          <rPr>
            <sz val="10"/>
            <color rgb="FF000000"/>
            <rFont val="Tahoma"/>
            <family val="2"/>
          </rPr>
          <t>Values highlighted yellow below represent estimated increases in incidence.</t>
        </r>
      </text>
    </comment>
    <comment ref="K3" authorId="0" shapeId="0" xr:uid="{00000000-0006-0000-0800-000002000000}">
      <text>
        <r>
          <rPr>
            <b/>
            <sz val="10"/>
            <color rgb="FF000000"/>
            <rFont val="Tahoma"/>
            <family val="2"/>
          </rPr>
          <t xml:space="preserve">Red Highlights </t>
        </r>
        <r>
          <rPr>
            <sz val="10"/>
            <color rgb="FF000000"/>
            <rFont val="Tahoma"/>
            <family val="2"/>
          </rPr>
          <t xml:space="preserve">indicate either:
</t>
        </r>
        <r>
          <rPr>
            <sz val="10"/>
            <color rgb="FF000000"/>
            <rFont val="Tahoma"/>
            <family val="2"/>
          </rPr>
          <t xml:space="preserve">
</t>
        </r>
        <r>
          <rPr>
            <sz val="10"/>
            <color rgb="FF000000"/>
            <rFont val="Tahoma"/>
            <family val="2"/>
          </rPr>
          <t xml:space="preserve">- Values &lt;0%
</t>
        </r>
        <r>
          <rPr>
            <sz val="10"/>
            <color rgb="FF000000"/>
            <rFont val="Tahoma"/>
            <family val="2"/>
          </rPr>
          <t xml:space="preserve">- Missing rates.
</t>
        </r>
        <r>
          <rPr>
            <sz val="10"/>
            <color rgb="FF000000"/>
            <rFont val="Tahoma"/>
            <family val="2"/>
          </rPr>
          <t xml:space="preserve">
</t>
        </r>
        <r>
          <rPr>
            <b/>
            <sz val="10"/>
            <color rgb="FF000000"/>
            <rFont val="Tahoma"/>
            <family val="2"/>
          </rPr>
          <t>Yellow Highlights</t>
        </r>
        <r>
          <rPr>
            <sz val="10"/>
            <color rgb="FF000000"/>
            <rFont val="Tahoma"/>
            <family val="2"/>
          </rPr>
          <t xml:space="preserve"> indicate rates ≥ 75%.</t>
        </r>
      </text>
    </comment>
    <comment ref="M3" authorId="0" shapeId="0" xr:uid="{00000000-0006-0000-0800-000003000000}">
      <text>
        <r>
          <rPr>
            <b/>
            <sz val="10"/>
            <color rgb="FF000000"/>
            <rFont val="Tahoma"/>
            <family val="34"/>
          </rPr>
          <t xml:space="preserve">Red Highlights </t>
        </r>
        <r>
          <rPr>
            <sz val="10"/>
            <color rgb="FF000000"/>
            <rFont val="Tahoma"/>
            <family val="34"/>
          </rPr>
          <t>indicate either:</t>
        </r>
        <r>
          <rPr>
            <sz val="10"/>
            <color rgb="FF000000"/>
            <rFont val="Calibri"/>
            <family val="2"/>
          </rPr>
          <t xml:space="preserve">
</t>
        </r>
        <r>
          <rPr>
            <sz val="10"/>
            <color rgb="FF000000"/>
            <rFont val="Tahoma"/>
            <family val="34"/>
          </rPr>
          <t xml:space="preserve">- Values &lt;0%
</t>
        </r>
        <r>
          <rPr>
            <sz val="10"/>
            <color rgb="FF000000"/>
            <rFont val="Tahoma"/>
            <family val="34"/>
          </rPr>
          <t xml:space="preserve">- Missing rates.
</t>
        </r>
        <r>
          <rPr>
            <sz val="10"/>
            <color rgb="FF000000"/>
            <rFont val="Tahoma"/>
            <family val="34"/>
          </rPr>
          <t xml:space="preserve">
</t>
        </r>
        <r>
          <rPr>
            <b/>
            <sz val="10"/>
            <color rgb="FF000000"/>
            <rFont val="Tahoma"/>
            <family val="34"/>
          </rPr>
          <t>Yellow Highlights</t>
        </r>
        <r>
          <rPr>
            <sz val="10"/>
            <color rgb="FF000000"/>
            <rFont val="Tahoma"/>
            <family val="34"/>
          </rPr>
          <t xml:space="preserve"> indicate yields &gt; 10%.</t>
        </r>
      </text>
    </comment>
    <comment ref="O3" authorId="0" shapeId="0" xr:uid="{00000000-0006-0000-0800-000004000000}">
      <text>
        <r>
          <rPr>
            <b/>
            <sz val="10"/>
            <color rgb="FF000000"/>
            <rFont val="Tahoma"/>
            <family val="2"/>
          </rPr>
          <t>#VALUE!:</t>
        </r>
        <r>
          <rPr>
            <sz val="10"/>
            <color rgb="FF000000"/>
            <rFont val="Tahoma"/>
            <family val="2"/>
          </rPr>
          <t xml:space="preserve"> Provide missing Known Positivity (FY25) rates.</t>
        </r>
      </text>
    </comment>
    <comment ref="P3" authorId="0" shapeId="0" xr:uid="{00000000-0006-0000-0800-000005000000}">
      <text>
        <r>
          <rPr>
            <b/>
            <sz val="10"/>
            <color rgb="FF000000"/>
            <rFont val="Tahoma"/>
            <family val="2"/>
          </rPr>
          <t xml:space="preserve">Yellow Highlights: </t>
        </r>
        <r>
          <rPr>
            <sz val="10"/>
            <color rgb="FF000000"/>
            <rFont val="Tahoma"/>
            <family val="2"/>
          </rPr>
          <t xml:space="preserve">Increases over previous year targets.
</t>
        </r>
        <r>
          <rPr>
            <sz val="10"/>
            <color rgb="FF000000"/>
            <rFont val="Tahoma"/>
            <family val="2"/>
          </rPr>
          <t xml:space="preserve">
</t>
        </r>
        <r>
          <rPr>
            <b/>
            <sz val="10"/>
            <color rgb="FF000000"/>
            <rFont val="Tahoma"/>
            <family val="2"/>
          </rPr>
          <t xml:space="preserve">#VALUE!: </t>
        </r>
        <r>
          <rPr>
            <sz val="10"/>
            <color rgb="FF000000"/>
            <rFont val="Tahoma"/>
            <family val="2"/>
          </rPr>
          <t>Provide missing Yield (FY25) rates.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M3" authorId="0" shapeId="0" xr:uid="{00000000-0006-0000-0900-000001000000}">
      <text>
        <r>
          <rPr>
            <sz val="10"/>
            <color rgb="FF000000"/>
            <rFont val="Tahoma"/>
            <family val="2"/>
          </rPr>
          <t>If no estimate provided via Spectrum tab, this will reference PEPFAR's most recent target.</t>
        </r>
      </text>
    </comment>
    <comment ref="N3" authorId="0" shapeId="0" xr:uid="{00000000-0006-0000-0900-000002000000}">
      <text>
        <r>
          <rPr>
            <b/>
            <sz val="10"/>
            <color rgb="FF000000"/>
            <rFont val="Tahoma"/>
            <family val="2"/>
          </rPr>
          <t>Yellow Highlights:</t>
        </r>
        <r>
          <rPr>
            <sz val="10"/>
            <color rgb="FF000000"/>
            <rFont val="Tahoma"/>
            <family val="2"/>
          </rPr>
          <t xml:space="preserve"> VMMC_TOTALCIRC_SUBNAT &lt; VMMC_CIRC_SUBNAT</t>
        </r>
      </text>
    </comment>
    <comment ref="P3" authorId="0" shapeId="0" xr:uid="{00000000-0006-0000-0900-000003000000}">
      <text>
        <r>
          <rPr>
            <b/>
            <sz val="10"/>
            <color rgb="FF000000"/>
            <rFont val="Tahoma"/>
            <family val="2"/>
          </rPr>
          <t>Yellow Highlights:</t>
        </r>
        <r>
          <rPr>
            <sz val="10"/>
            <color rgb="FF000000"/>
            <rFont val="Tahoma"/>
            <family val="2"/>
          </rPr>
          <t xml:space="preserve"> Coverage &lt;80%, or &gt;100%.</t>
        </r>
      </text>
    </comment>
    <comment ref="Q3" authorId="0" shapeId="0" xr:uid="{00000000-0006-0000-0900-000004000000}">
      <text>
        <r>
          <rPr>
            <b/>
            <sz val="10"/>
            <color rgb="FF000000"/>
            <rFont val="Tahoma"/>
            <family val="2"/>
          </rPr>
          <t>#VALUE!:</t>
        </r>
        <r>
          <rPr>
            <sz val="10"/>
            <color rgb="FF000000"/>
            <rFont val="Tahoma"/>
            <family val="2"/>
          </rPr>
          <t xml:space="preserve"> Provide missing Targeted Host Country VMMC Coverage rates.</t>
        </r>
      </text>
    </comment>
    <comment ref="V3" authorId="0" shapeId="0" xr:uid="{00000000-0006-0000-0900-000005000000}">
      <text>
        <r>
          <rPr>
            <b/>
            <sz val="10"/>
            <color rgb="FF000000"/>
            <rFont val="Tahoma"/>
            <family val="34"/>
          </rPr>
          <t xml:space="preserve">Red Highlights </t>
        </r>
        <r>
          <rPr>
            <sz val="10"/>
            <color rgb="FF000000"/>
            <rFont val="Tahoma"/>
            <family val="34"/>
          </rPr>
          <t>indicate either:</t>
        </r>
        <r>
          <rPr>
            <sz val="10"/>
            <color rgb="FF000000"/>
            <rFont val="Calibri"/>
            <family val="2"/>
          </rPr>
          <t xml:space="preserve">
</t>
        </r>
        <r>
          <rPr>
            <sz val="10"/>
            <color rgb="FF000000"/>
            <rFont val="Tahoma"/>
            <family val="34"/>
          </rPr>
          <t>- Values &lt;0%</t>
        </r>
        <r>
          <rPr>
            <sz val="10"/>
            <color rgb="FF000000"/>
            <rFont val="Calibri"/>
            <family val="2"/>
          </rPr>
          <t xml:space="preserve">
</t>
        </r>
        <r>
          <rPr>
            <sz val="10"/>
            <color rgb="FF000000"/>
            <rFont val="Tahoma"/>
            <family val="34"/>
          </rPr>
          <t>- Missing rates.</t>
        </r>
      </text>
    </comment>
    <comment ref="X3" authorId="0" shapeId="0" xr:uid="{00000000-0006-0000-0900-000006000000}">
      <text>
        <r>
          <rPr>
            <b/>
            <sz val="10"/>
            <color rgb="FF000000"/>
            <rFont val="Tahoma"/>
            <family val="34"/>
          </rPr>
          <t xml:space="preserve">Red Highlights </t>
        </r>
        <r>
          <rPr>
            <sz val="10"/>
            <color rgb="FF000000"/>
            <rFont val="Tahoma"/>
            <family val="34"/>
          </rPr>
          <t>indicate either:</t>
        </r>
        <r>
          <rPr>
            <sz val="10"/>
            <color rgb="FF000000"/>
            <rFont val="Calibri"/>
            <family val="2"/>
          </rPr>
          <t xml:space="preserve">
</t>
        </r>
        <r>
          <rPr>
            <sz val="10"/>
            <color rgb="FF000000"/>
            <rFont val="Tahoma"/>
            <family val="34"/>
          </rPr>
          <t xml:space="preserve">- Values &lt;0%
</t>
        </r>
        <r>
          <rPr>
            <sz val="10"/>
            <color rgb="FF000000"/>
            <rFont val="Tahoma"/>
            <family val="34"/>
          </rPr>
          <t xml:space="preserve">- Missing rates.
</t>
        </r>
        <r>
          <rPr>
            <sz val="10"/>
            <color rgb="FF000000"/>
            <rFont val="Tahoma"/>
            <family val="34"/>
          </rPr>
          <t xml:space="preserve">
</t>
        </r>
        <r>
          <rPr>
            <b/>
            <sz val="10"/>
            <color rgb="FF000000"/>
            <rFont val="Tahoma"/>
            <family val="34"/>
          </rPr>
          <t>Yellow Highlights</t>
        </r>
        <r>
          <rPr>
            <sz val="10"/>
            <color rgb="FF000000"/>
            <rFont val="Tahoma"/>
            <family val="34"/>
          </rPr>
          <t xml:space="preserve"> indicate yield &gt;1%.</t>
        </r>
      </text>
    </comment>
    <comment ref="Z3" authorId="0" shapeId="0" xr:uid="{00000000-0006-0000-0900-000007000000}">
      <text>
        <r>
          <rPr>
            <b/>
            <sz val="10"/>
            <color rgb="FF000000"/>
            <rFont val="Tahoma"/>
            <family val="2"/>
          </rPr>
          <t xml:space="preserve">#VALUE!: </t>
        </r>
        <r>
          <rPr>
            <sz val="10"/>
            <color rgb="FF000000"/>
            <rFont val="Tahoma"/>
            <family val="2"/>
          </rPr>
          <t>Provide missing Indeterminate/Not Tested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Q3" authorId="0" shapeId="0" xr:uid="{00000000-0006-0000-0A00-000001000000}">
      <text>
        <r>
          <rPr>
            <sz val="10"/>
            <color rgb="FF000000"/>
            <rFont val="Tahoma"/>
            <family val="2"/>
          </rPr>
          <t>HIV Tests among PrEP follow-up patients.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M1" authorId="0" shapeId="0" xr:uid="{00000000-0006-0000-0B00-000001000000}">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Blue columns</t>
        </r>
        <r>
          <rPr>
            <sz val="10"/>
            <color rgb="FF000000"/>
            <rFont val="Tahoma"/>
            <family val="2"/>
          </rPr>
          <t xml:space="preserve"> can and should be altered. Initial percentages are based on most recent APR results.</t>
        </r>
      </text>
    </comment>
    <comment ref="V3" authorId="0" shapeId="0" xr:uid="{00000000-0006-0000-0B00-000002000000}">
      <text>
        <r>
          <rPr>
            <b/>
            <sz val="10"/>
            <color rgb="FF000000"/>
            <rFont val="Tahoma"/>
            <family val="2"/>
          </rPr>
          <t>Red Highlights</t>
        </r>
        <r>
          <rPr>
            <sz val="10"/>
            <color rgb="FF000000"/>
            <rFont val="Tahoma"/>
            <family val="2"/>
          </rPr>
          <t xml:space="preserve"> below indicate cases where HTS_TST_POS is under-distributed to modalities. Filter on these cases and address by reallocating among modalities as appropriate.</t>
        </r>
      </text>
    </comment>
    <comment ref="X3" authorId="0" shapeId="0" xr:uid="{00000000-0006-0000-0B00-000003000000}">
      <text>
        <r>
          <rPr>
            <b/>
            <sz val="10"/>
            <color rgb="FF000000"/>
            <rFont val="Tahoma"/>
            <family val="34"/>
          </rPr>
          <t>Yellow Highlights</t>
        </r>
        <r>
          <rPr>
            <sz val="10"/>
            <color rgb="FF000000"/>
            <rFont val="Tahoma"/>
            <family val="34"/>
          </rPr>
          <t xml:space="preserve"> indicate either:</t>
        </r>
        <r>
          <rPr>
            <sz val="10"/>
            <color rgb="FF000000"/>
            <rFont val="Calibri"/>
            <family val="2"/>
          </rPr>
          <t xml:space="preserve">
</t>
        </r>
        <r>
          <rPr>
            <sz val="10"/>
            <color rgb="FF000000"/>
            <rFont val="Tahoma"/>
            <family val="34"/>
          </rPr>
          <t>- ART Coverage ≥70% &amp; Yield &lt;10%</t>
        </r>
        <r>
          <rPr>
            <sz val="10"/>
            <color rgb="FF000000"/>
            <rFont val="Calibri"/>
            <family val="2"/>
          </rPr>
          <t xml:space="preserve">
</t>
        </r>
        <r>
          <rPr>
            <sz val="10"/>
            <color rgb="FF000000"/>
            <rFont val="Tahoma"/>
            <family val="34"/>
          </rPr>
          <t>- ART Coverage &lt;70% &amp; Yield &lt;5%</t>
        </r>
      </text>
    </comment>
    <comment ref="AG3" authorId="0" shapeId="0" xr:uid="{00000000-0006-0000-0B00-000004000000}">
      <text>
        <r>
          <rPr>
            <b/>
            <sz val="10"/>
            <color rgb="FF000000"/>
            <rFont val="Tahoma"/>
            <family val="34"/>
          </rPr>
          <t>Yellow Highlights</t>
        </r>
        <r>
          <rPr>
            <sz val="10"/>
            <color rgb="FF000000"/>
            <rFont val="Tahoma"/>
            <family val="34"/>
          </rPr>
          <t xml:space="preserve"> indicate either:</t>
        </r>
        <r>
          <rPr>
            <sz val="10"/>
            <color rgb="FF000000"/>
            <rFont val="Calibri"/>
            <family val="2"/>
          </rPr>
          <t xml:space="preserve">
</t>
        </r>
        <r>
          <rPr>
            <sz val="10"/>
            <color rgb="FF000000"/>
            <rFont val="Tahoma"/>
            <family val="34"/>
          </rPr>
          <t>- ART Coverage ≥70% &amp; Yield &lt;10%</t>
        </r>
        <r>
          <rPr>
            <sz val="10"/>
            <color rgb="FF000000"/>
            <rFont val="Calibri"/>
            <family val="2"/>
          </rPr>
          <t xml:space="preserve">
</t>
        </r>
        <r>
          <rPr>
            <sz val="10"/>
            <color rgb="FF000000"/>
            <rFont val="Tahoma"/>
            <family val="34"/>
          </rPr>
          <t>- ART Coverage &lt;70% &amp; Yield &lt;5%</t>
        </r>
      </text>
    </comment>
    <comment ref="AJ3" authorId="0" shapeId="0" xr:uid="{00000000-0006-0000-0B00-000005000000}">
      <text>
        <r>
          <rPr>
            <b/>
            <sz val="10"/>
            <color rgb="FF000000"/>
            <rFont val="Tahoma"/>
            <family val="34"/>
          </rPr>
          <t>Yellow Highlights</t>
        </r>
        <r>
          <rPr>
            <sz val="10"/>
            <color rgb="FF000000"/>
            <rFont val="Tahoma"/>
            <family val="34"/>
          </rPr>
          <t xml:space="preserve"> indicate either:</t>
        </r>
        <r>
          <rPr>
            <sz val="10"/>
            <color rgb="FF000000"/>
            <rFont val="Calibri"/>
            <family val="2"/>
          </rPr>
          <t xml:space="preserve">
</t>
        </r>
        <r>
          <rPr>
            <sz val="10"/>
            <color rgb="FF000000"/>
            <rFont val="Tahoma"/>
            <family val="34"/>
          </rPr>
          <t>- ART Coverage ≥70% &amp; Yield &lt;10%</t>
        </r>
        <r>
          <rPr>
            <sz val="10"/>
            <color rgb="FF000000"/>
            <rFont val="Calibri"/>
            <family val="2"/>
          </rPr>
          <t xml:space="preserve">
</t>
        </r>
        <r>
          <rPr>
            <sz val="10"/>
            <color rgb="FF000000"/>
            <rFont val="Tahoma"/>
            <family val="34"/>
          </rPr>
          <t>- ART Coverage &lt;70% &amp; Yield &lt;5%</t>
        </r>
      </text>
    </comment>
    <comment ref="AN3" authorId="1" shapeId="0" xr:uid="{00000000-0006-0000-0B00-000006000000}">
      <text>
        <r>
          <rPr>
            <sz val="10"/>
            <color rgb="FF000000"/>
            <rFont val="Tahoma"/>
            <family val="2"/>
          </rPr>
          <t>Inclusive of PMTCT_STAT, HTS PMTCT Post ANC1, TB, VMMC, INDEX, and all other modalities.</t>
        </r>
      </text>
    </comment>
    <comment ref="AO3" authorId="0" shapeId="0" xr:uid="{00000000-0006-0000-0B00-000007000000}">
      <text>
        <r>
          <rPr>
            <sz val="10"/>
            <color rgb="FF000000"/>
            <rFont val="Tahoma"/>
            <family val="2"/>
          </rPr>
          <t>Small differences may be acceptable. For larger discrepancies, return to the "Distribution of Positive Tests" section and adjust distribution percentages.</t>
        </r>
      </text>
    </comment>
    <comment ref="AV3" authorId="1" shapeId="0" xr:uid="{00000000-0006-0000-0B00-000008000000}">
      <text>
        <r>
          <rPr>
            <sz val="10"/>
            <color rgb="FF000000"/>
            <rFont val="Tahoma"/>
            <family val="2"/>
          </rPr>
          <t>Inclusive of PMTCT_STAT, HTS PMTCT Post ANC1, TB, VMMC, INDEX, and all other modalities.</t>
        </r>
      </text>
    </comment>
    <comment ref="AW3" authorId="1" shapeId="0" xr:uid="{00000000-0006-0000-0B00-000009000000}">
      <text>
        <r>
          <rPr>
            <sz val="10"/>
            <color rgb="FF000000"/>
            <rFont val="Tahoma"/>
            <family val="34"/>
          </rPr>
          <t>Total Positives divided by Total Tests.</t>
        </r>
      </text>
    </comment>
    <comment ref="BA3" authorId="0" shapeId="0" xr:uid="{00000000-0006-0000-0B00-00000A000000}">
      <text>
        <r>
          <rPr>
            <b/>
            <sz val="10"/>
            <color rgb="FF000000"/>
            <rFont val="Tahoma"/>
            <family val="2"/>
          </rPr>
          <t xml:space="preserve">Yellow highlights </t>
        </r>
        <r>
          <rPr>
            <sz val="10"/>
            <color rgb="FF000000"/>
            <rFont val="Tahoma"/>
            <family val="2"/>
          </rPr>
          <t>= Coverage rate &lt; 100%</t>
        </r>
      </text>
    </comment>
    <comment ref="Z4" authorId="1" shapeId="0" xr:uid="{00000000-0006-0000-0B00-00000B000000}">
      <text>
        <r>
          <rPr>
            <b/>
            <sz val="10"/>
            <color rgb="FF000000"/>
            <rFont val="Tahoma"/>
            <family val="34"/>
          </rPr>
          <t xml:space="preserve">#DIV/0!: </t>
        </r>
        <r>
          <rPr>
            <sz val="10"/>
            <color rgb="FF000000"/>
            <rFont val="Tahoma"/>
            <family val="34"/>
          </rPr>
          <t>If you see this here, check yields.</t>
        </r>
      </text>
    </comment>
    <comment ref="AC4" authorId="1" shapeId="0" xr:uid="{00000000-0006-0000-0B00-00000C000000}">
      <text>
        <r>
          <rPr>
            <b/>
            <sz val="10"/>
            <color rgb="FF000000"/>
            <rFont val="Tahoma"/>
            <family val="34"/>
          </rPr>
          <t xml:space="preserve">#DIV/0!: </t>
        </r>
        <r>
          <rPr>
            <sz val="10"/>
            <color rgb="FF000000"/>
            <rFont val="Tahoma"/>
            <family val="34"/>
          </rPr>
          <t>If you see this here, check yields.</t>
        </r>
      </text>
    </comment>
    <comment ref="AF4" authorId="1" shapeId="0" xr:uid="{00000000-0006-0000-0B00-00000D000000}">
      <text>
        <r>
          <rPr>
            <b/>
            <sz val="10"/>
            <color rgb="FF000000"/>
            <rFont val="Tahoma"/>
            <family val="34"/>
          </rPr>
          <t xml:space="preserve">#DIV/0!: </t>
        </r>
        <r>
          <rPr>
            <sz val="10"/>
            <color rgb="FF000000"/>
            <rFont val="Tahoma"/>
            <family val="34"/>
          </rPr>
          <t>If you see this here, check yields.</t>
        </r>
      </text>
    </comment>
    <comment ref="AI4" authorId="1" shapeId="0" xr:uid="{00000000-0006-0000-0B00-00000E000000}">
      <text>
        <r>
          <rPr>
            <b/>
            <sz val="10"/>
            <color rgb="FF000000"/>
            <rFont val="Tahoma"/>
            <family val="34"/>
          </rPr>
          <t xml:space="preserve">#DIV/0!: </t>
        </r>
        <r>
          <rPr>
            <sz val="10"/>
            <color rgb="FF000000"/>
            <rFont val="Tahoma"/>
            <family val="34"/>
          </rPr>
          <t>If you see this here, check yields.</t>
        </r>
      </text>
    </comment>
    <comment ref="AL4" authorId="1" shapeId="0" xr:uid="{00000000-0006-0000-0B00-00000F000000}">
      <text>
        <r>
          <rPr>
            <b/>
            <sz val="10"/>
            <color rgb="FF000000"/>
            <rFont val="Tahoma"/>
            <family val="34"/>
          </rPr>
          <t xml:space="preserve">#DIV/0!: </t>
        </r>
        <r>
          <rPr>
            <sz val="10"/>
            <color rgb="FF000000"/>
            <rFont val="Tahoma"/>
            <family val="34"/>
          </rPr>
          <t>If you see this here, check yields.</t>
        </r>
      </text>
    </comment>
    <comment ref="AV4" authorId="1" shapeId="0" xr:uid="{00000000-0006-0000-0B00-000010000000}">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0000000-0006-0000-0C00-000001000000}">
      <text>
        <r>
          <rPr>
            <b/>
            <sz val="10"/>
            <color rgb="FF000000"/>
            <rFont val="Tahoma"/>
            <family val="2"/>
          </rPr>
          <t xml:space="preserve">Yellow highlights = </t>
        </r>
        <r>
          <rPr>
            <sz val="10"/>
            <color rgb="FF000000"/>
            <rFont val="Tahoma"/>
            <family val="2"/>
          </rPr>
          <t>Screening coverage rate is less than 33%.</t>
        </r>
      </text>
    </comment>
    <comment ref="L3" authorId="0" shapeId="0" xr:uid="{00000000-0006-0000-0C00-000002000000}">
      <text>
        <r>
          <rPr>
            <b/>
            <sz val="10"/>
            <color rgb="FF000000"/>
            <rFont val="Tahoma"/>
            <family val="2"/>
          </rPr>
          <t xml:space="preserve">Yellow highlights = </t>
        </r>
        <r>
          <rPr>
            <sz val="10"/>
            <color rgb="FF000000"/>
            <rFont val="Tahoma"/>
            <family val="2"/>
          </rPr>
          <t>Screening coverage rate is less than 100%.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00000000-0006-0000-0D00-000001000000}">
      <text>
        <r>
          <rPr>
            <sz val="10"/>
            <color rgb="FF000000"/>
            <rFont val="Tahoma"/>
            <family val="34"/>
          </rPr>
          <t>Red highlights indicate cases where coverage rates are missing, but required.</t>
        </r>
      </text>
    </comment>
    <comment ref="I3" authorId="0" shapeId="0" xr:uid="{00000000-0006-0000-0D00-000002000000}">
      <text>
        <r>
          <rPr>
            <sz val="10"/>
            <color rgb="FF000000"/>
            <rFont val="Tahoma"/>
            <family val="34"/>
          </rPr>
          <t>Red highlights indicate cases where coverage rates are missing, but required.</t>
        </r>
      </text>
    </comment>
    <comment ref="J3" authorId="0" shapeId="0" xr:uid="{00000000-0006-0000-0D00-000003000000}">
      <text>
        <r>
          <rPr>
            <sz val="10"/>
            <color rgb="FF000000"/>
            <rFont val="Tahoma"/>
            <family val="2"/>
          </rPr>
          <t>Red highlights indicate cases where yields are missing, but required.</t>
        </r>
      </text>
    </comment>
    <comment ref="K3" authorId="0" shapeId="0" xr:uid="{00000000-0006-0000-0D00-000004000000}">
      <text>
        <r>
          <rPr>
            <sz val="10"/>
            <color rgb="FF000000"/>
            <rFont val="Tahoma"/>
            <family val="34"/>
          </rPr>
          <t>Red highlights indicate cases where yields are missing, but required.</t>
        </r>
      </text>
    </comment>
    <comment ref="P3" authorId="0" shapeId="0" xr:uid="{00000000-0006-0000-0D00-000005000000}">
      <text>
        <r>
          <rPr>
            <sz val="10"/>
            <color rgb="FF000000"/>
            <rFont val="Tahoma"/>
            <family val="2"/>
          </rPr>
          <t>Taken from TB_PREV (N) Results.</t>
        </r>
      </text>
    </comment>
    <comment ref="T3" authorId="0" shapeId="0" xr:uid="{00000000-0006-0000-0D00-000006000000}">
      <text>
        <r>
          <rPr>
            <sz val="10"/>
            <color rgb="FF000000"/>
            <rFont val="Tahoma"/>
            <family val="2"/>
          </rPr>
          <t>Those on ART who were screened and found negative for TB, and who likely have not completed TPT in the last 7 years.</t>
        </r>
      </text>
    </comment>
    <comment ref="V3" authorId="0" shapeId="0" xr:uid="{00000000-0006-0000-0D00-000007000000}">
      <text>
        <r>
          <rPr>
            <sz val="10"/>
            <color rgb="FF000000"/>
            <rFont val="Tahoma"/>
            <family val="2"/>
          </rPr>
          <t>All those New on ART who are found negative for TB are considered eligible for TPT in this column.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M3" authorId="0" shapeId="0" xr:uid="{00000000-0006-0000-0F00-000001000000}">
      <text>
        <r>
          <rPr>
            <sz val="10"/>
            <color rgb="FF000000"/>
            <rFont val="Tahoma"/>
            <family val="2"/>
          </rPr>
          <t xml:space="preserve">Does not include Exited or Transferred Out in Denominator.
</t>
        </r>
        <r>
          <rPr>
            <sz val="10"/>
            <color rgb="FF000000"/>
            <rFont val="Tahoma"/>
            <family val="2"/>
          </rPr>
          <t xml:space="preserve">
</t>
        </r>
        <r>
          <rPr>
            <b/>
            <sz val="10"/>
            <color rgb="FF000000"/>
            <rFont val="Tahoma"/>
            <family val="2"/>
          </rPr>
          <t>Yellow Highlights</t>
        </r>
        <r>
          <rPr>
            <sz val="10"/>
            <color rgb="FF000000"/>
            <rFont val="Tahoma"/>
            <family val="2"/>
          </rPr>
          <t xml:space="preserve"> indicate graduation rates &lt;20%.</t>
        </r>
      </text>
    </comment>
    <comment ref="S3" authorId="1" shapeId="0" xr:uid="{00000000-0006-0000-0F00-000002000000}">
      <text>
        <r>
          <rPr>
            <b/>
            <sz val="10"/>
            <color rgb="FF000000"/>
            <rFont val="Tahoma"/>
            <family val="2"/>
          </rPr>
          <t>Yellow Highlights</t>
        </r>
        <r>
          <rPr>
            <sz val="10"/>
            <color rgb="FF000000"/>
            <rFont val="Tahoma"/>
            <family val="2"/>
          </rPr>
          <t xml:space="preserve"> indicate rates below &lt;100%.</t>
        </r>
      </text>
    </comment>
    <comment ref="T3" authorId="0" shapeId="0" xr:uid="{00000000-0006-0000-0F00-000003000000}">
      <text>
        <r>
          <rPr>
            <sz val="10"/>
            <color rgb="FF000000"/>
            <rFont val="Tahoma"/>
            <family val="2"/>
          </rPr>
          <t>OVC_HIVSTAT will be aggregated across Age/Sex and only a numerator total will be imported into DATIM.</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Microsoft Office User</author>
  </authors>
  <commentList>
    <comment ref="F3" authorId="0" shapeId="0" xr:uid="{00000000-0006-0000-1100-000001000000}">
      <text>
        <r>
          <rPr>
            <sz val="10"/>
            <color rgb="FF000000"/>
            <rFont val="Tahoma"/>
            <family val="34"/>
          </rPr>
          <t>Please refer to the Data Pack User Guide on how to populate columns F - K.</t>
        </r>
      </text>
    </comment>
    <comment ref="H3" authorId="0" shapeId="0" xr:uid="{00000000-0006-0000-1100-000002000000}">
      <text>
        <r>
          <rPr>
            <sz val="10"/>
            <color rgb="FF000000"/>
            <rFont val="Tahoma"/>
            <family val="2"/>
          </rPr>
          <t>Copy and paste as values from the DREAMS Saturation app.</t>
        </r>
      </text>
    </comment>
    <comment ref="I3" authorId="0" shapeId="0" xr:uid="{00000000-0006-0000-1100-000003000000}">
      <text>
        <r>
          <rPr>
            <sz val="10"/>
            <color rgb="FF000000"/>
            <rFont val="Tahoma"/>
            <family val="34"/>
          </rPr>
          <t>Copy and paste as values from the DREAMS Saturation app.</t>
        </r>
      </text>
    </comment>
    <comment ref="R3" authorId="1" shapeId="0" xr:uid="{00000000-0006-0000-1100-000004000000}">
      <text>
        <r>
          <rPr>
            <b/>
            <sz val="10"/>
            <color rgb="FF000000"/>
            <rFont val="Tahoma"/>
            <family val="2"/>
          </rPr>
          <t>Yellow Highlights</t>
        </r>
        <r>
          <rPr>
            <sz val="10"/>
            <color rgb="FF000000"/>
            <rFont val="Tahoma"/>
            <family val="2"/>
          </rPr>
          <t xml:space="preserve"> indicate rates &lt;60%.</t>
        </r>
      </text>
    </comment>
    <comment ref="S3" authorId="0" shapeId="0" xr:uid="{00000000-0006-0000-1100-000005000000}">
      <text>
        <r>
          <rPr>
            <b/>
            <sz val="10"/>
            <color rgb="FF000000"/>
            <rFont val="Tahoma"/>
            <family val="2"/>
          </rPr>
          <t xml:space="preserve">Yellow Highlight </t>
        </r>
        <r>
          <rPr>
            <sz val="10"/>
            <color rgb="FF000000"/>
            <rFont val="Tahoma"/>
            <family val="2"/>
          </rPr>
          <t>Indicates that the DEN in col T is greater than projected girls eligible in col  K</t>
        </r>
      </text>
    </comment>
    <comment ref="T3" authorId="1" shapeId="0" xr:uid="{00000000-0006-0000-1100-000006000000}">
      <text>
        <r>
          <rPr>
            <b/>
            <sz val="10"/>
            <color rgb="FF000000"/>
            <rFont val="Tahoma"/>
            <family val="2"/>
          </rPr>
          <t>Red Highlights</t>
        </r>
        <r>
          <rPr>
            <sz val="10"/>
            <color rgb="FF000000"/>
            <rFont val="Tahoma"/>
            <family val="2"/>
          </rPr>
          <t xml:space="preserve"> indicate Numerator greater than Denominator.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00000000-0006-0000-1200-000001000000}">
      <text>
        <r>
          <rPr>
            <sz val="10"/>
            <color rgb="FF000000"/>
            <rFont val="Tahoma"/>
            <family val="2"/>
          </rPr>
          <t>To add KP_MAT targets where no previous targets existed, overwrite the formula in this column.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56C3CC-C7E5-435B-B67B-A7A6D5CBB7B9}" keepAlive="1" name="Query - pepfar_datapack_indicators_2024" description="Connection to the 'pepfar_datapack_indicators_2024' query in the workbook." type="5" refreshedVersion="0" background="1">
    <dbPr connection="Provider=Microsoft.Mashup.OleDb.1;Data Source=$Workbook$;Location=pepfar_datapack_indicators_2024;Extended Properties=&quot;&quot;" command="SELECT * FROM [pepfar_datapack_indicators_2024]"/>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<sst xmlns="http://schemas.openxmlformats.org/spreadsheetml/2006/main" count="95219" uniqueCount="1516">
  <si>
    <t>PEPFAR</t>
  </si>
  <si>
    <t>FY25 Target Setting Tool</t>
  </si>
  <si>
    <t>Malawi</t>
  </si>
  <si>
    <t>lZsCb6y0KDX</t>
  </si>
  <si>
    <t>Generated on: 2023-12-12 13:47:48</t>
  </si>
  <si>
    <t>Package version: 7.2.0</t>
  </si>
  <si>
    <t>psnu</t>
  </si>
  <si>
    <t>psnu_uid</t>
  </si>
  <si>
    <t>area_id</t>
  </si>
  <si>
    <t>indicator_code</t>
  </si>
  <si>
    <t>dataelement_uid</t>
  </si>
  <si>
    <t>age</t>
  </si>
  <si>
    <t>age_uid</t>
  </si>
  <si>
    <t>sex</t>
  </si>
  <si>
    <t>sex_uid</t>
  </si>
  <si>
    <t>calendar_quarter</t>
  </si>
  <si>
    <t>value</t>
  </si>
  <si>
    <t>age_sex_rse</t>
  </si>
  <si>
    <t>district_rse</t>
  </si>
  <si>
    <t>parsed_age</t>
  </si>
  <si>
    <t>ID</t>
  </si>
  <si>
    <t>Select cell D2</t>
  </si>
  <si>
    <t>--&gt;</t>
  </si>
  <si>
    <t>Chitipa District</t>
  </si>
  <si>
    <t>GkIwZrXy1h2</t>
  </si>
  <si>
    <t>MWI_3_01</t>
  </si>
  <si>
    <t>TX_CURR_SUBNAT.R</t>
  </si>
  <si>
    <t>MktYDp33kd6</t>
  </si>
  <si>
    <t>=""&lt;01""</t>
  </si>
  <si>
    <t>sMBMO5xAq5T</t>
  </si>
  <si>
    <t>Female</t>
  </si>
  <si>
    <t>Z1EnpTPaUfq</t>
  </si>
  <si>
    <t>CY2023Q4</t>
  </si>
  <si>
    <t>=""01-09""</t>
  </si>
  <si>
    <t>Y001_009</t>
  </si>
  <si>
    <t>Adding Estimates from Spectrum</t>
  </si>
  <si>
    <t>=""10-14""</t>
  </si>
  <si>
    <t>jcGQdcpPSJP</t>
  </si>
  <si>
    <t>=""15-24""</t>
  </si>
  <si>
    <t>Y015_024</t>
  </si>
  <si>
    <t>Follow the below instructions to successfully import Spectrum estimates into your Data Pack:</t>
  </si>
  <si>
    <t>=""25-34""</t>
  </si>
  <si>
    <t>Y025_034</t>
  </si>
  <si>
    <t>=""35-49""</t>
  </si>
  <si>
    <t>Y035_049</t>
  </si>
  <si>
    <t>=""50+""</t>
  </si>
  <si>
    <t>Y050_999</t>
  </si>
  <si>
    <t>1) Select cell D2.</t>
  </si>
  <si>
    <t>Male</t>
  </si>
  <si>
    <t>Qn0I5FbKQOA</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</si>
  <si>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</si>
  <si>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</si>
  <si>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</si>
  <si>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Karonga District</t>
  </si>
  <si>
    <t>cPtvxaZqXIH</t>
  </si>
  <si>
    <t>MWI_3_02</t>
  </si>
  <si>
    <t>5) In Step 2 of the Text Import Wizard, select `Comma` as Delimiter Type. Click `Next`.</t>
  </si>
  <si>
    <t>6) In Step 3 of the Text Import Wizard, click `Finish`.</t>
  </si>
  <si>
    <t>7) In the next prompt, click `Ok`.</t>
  </si>
  <si>
    <t>8) In columns Q &amp; R, drag formulas down to extend to last row of Spectrum import file.</t>
  </si>
  <si>
    <t>Nkhata Bay District</t>
  </si>
  <si>
    <t>E7zpfyBt7Tw</t>
  </si>
  <si>
    <t>MWI_3_03</t>
  </si>
  <si>
    <t>Rumphi District</t>
  </si>
  <si>
    <t>lPTyjLi4w3d</t>
  </si>
  <si>
    <t>MWI_3_04</t>
  </si>
  <si>
    <t>Mzimba District</t>
  </si>
  <si>
    <t>vA4NcHxfMBq</t>
  </si>
  <si>
    <t>MWI_3_05</t>
  </si>
  <si>
    <t>Likoma District</t>
  </si>
  <si>
    <t>ZCjuwgaMB9u</t>
  </si>
  <si>
    <t>MWI_3_06</t>
  </si>
  <si>
    <t>Kasungu District</t>
  </si>
  <si>
    <t>JQKLKuVuY61</t>
  </si>
  <si>
    <t>MWI_3_07</t>
  </si>
  <si>
    <t>Nkhotakota District</t>
  </si>
  <si>
    <t>YCKiBAp8QAg</t>
  </si>
  <si>
    <t>MWI_3_08</t>
  </si>
  <si>
    <t>Ntchisi District</t>
  </si>
  <si>
    <t>fiRkU6gEjLz</t>
  </si>
  <si>
    <t>MWI_3_09</t>
  </si>
  <si>
    <t>Dowa District</t>
  </si>
  <si>
    <t>zphK9WV8JB4</t>
  </si>
  <si>
    <t>MWI_3_10</t>
  </si>
  <si>
    <t>Salima District</t>
  </si>
  <si>
    <t>msW2zpIN7up</t>
  </si>
  <si>
    <t>MWI_3_11</t>
  </si>
  <si>
    <t>Lilongwe District</t>
  </si>
  <si>
    <t>ScR9iFKAasW</t>
  </si>
  <si>
    <t>MWI_3_12</t>
  </si>
  <si>
    <t>Mchinji District</t>
  </si>
  <si>
    <t>kxuuIFpOXyO</t>
  </si>
  <si>
    <t>MWI_3_13</t>
  </si>
  <si>
    <t>Dedza District</t>
  </si>
  <si>
    <t>PekKUkKHAzY</t>
  </si>
  <si>
    <t>MWI_3_14</t>
  </si>
  <si>
    <t>Ntcheu District</t>
  </si>
  <si>
    <t>am530wpaGvr</t>
  </si>
  <si>
    <t>MWI_3_15</t>
  </si>
  <si>
    <t>Mangochi District</t>
  </si>
  <si>
    <t>lLDyBx5XyUi</t>
  </si>
  <si>
    <t>MWI_3_16</t>
  </si>
  <si>
    <t>Machinga District</t>
  </si>
  <si>
    <t>TYnMSwzko3z</t>
  </si>
  <si>
    <t>MWI_3_17</t>
  </si>
  <si>
    <t>Zomba District</t>
  </si>
  <si>
    <t>fyEoGEPERdI</t>
  </si>
  <si>
    <t>MWI_3_18</t>
  </si>
  <si>
    <t>Mulanje District</t>
  </si>
  <si>
    <t>umc2n1Z4wNv</t>
  </si>
  <si>
    <t>MWI_3_19</t>
  </si>
  <si>
    <t>Phalombe District</t>
  </si>
  <si>
    <t>AZyWpGzhcaA</t>
  </si>
  <si>
    <t>MWI_3_20</t>
  </si>
  <si>
    <t>Balaka District</t>
  </si>
  <si>
    <t>ir8wuHHzoSs</t>
  </si>
  <si>
    <t>MWI_3_21</t>
  </si>
  <si>
    <t>Chiradzulu District</t>
  </si>
  <si>
    <t>oiPR2CiVJbf</t>
  </si>
  <si>
    <t>MWI_3_22</t>
  </si>
  <si>
    <t>Blantyre District</t>
  </si>
  <si>
    <t>mxqa3CDFmIT</t>
  </si>
  <si>
    <t>MWI_3_23</t>
  </si>
  <si>
    <t>Mwanza District</t>
  </si>
  <si>
    <t>wNqJp8oRIcF</t>
  </si>
  <si>
    <t>MWI_3_24</t>
  </si>
  <si>
    <t>Thyolo District</t>
  </si>
  <si>
    <t>ul0y9diGujK</t>
  </si>
  <si>
    <t>MWI_3_25</t>
  </si>
  <si>
    <t>Chikwawa District</t>
  </si>
  <si>
    <t>U8c0so51kT6</t>
  </si>
  <si>
    <t>MWI_3_26</t>
  </si>
  <si>
    <t>Nsanje District</t>
  </si>
  <si>
    <t>rpw540fmNUz</t>
  </si>
  <si>
    <t>MWI_3_27</t>
  </si>
  <si>
    <t>Neno District</t>
  </si>
  <si>
    <t>gwVYinjBAe9</t>
  </si>
  <si>
    <t>MWI_3_28</t>
  </si>
  <si>
    <t>POP_EST.T_1</t>
  </si>
  <si>
    <t>KssDaTsGWnS</t>
  </si>
  <si>
    <t>CY2024Q3</t>
  </si>
  <si>
    <t>HIV_PREV.T_1</t>
  </si>
  <si>
    <t>lJtpR5byqps</t>
  </si>
  <si>
    <t>PLHIV_Residents.T_1</t>
  </si>
  <si>
    <t>iwSejvD8cXl</t>
  </si>
  <si>
    <t>PopART.Rt.T_1</t>
  </si>
  <si>
    <t>TX_CURR_SUBNAT.T_1</t>
  </si>
  <si>
    <t>xghQXueYJxu</t>
  </si>
  <si>
    <t>DIAGNOSED_SUBNAT.T_1</t>
  </si>
  <si>
    <t>nF19GOjcnoD</t>
  </si>
  <si>
    <t>PLHIV_Attend.T_1</t>
  </si>
  <si>
    <t>Untreated_PLHIV_Attend.T_1</t>
  </si>
  <si>
    <t>DIAGNOSED_SUBNAT_Attend.T_1</t>
  </si>
  <si>
    <t>Incidence_SUBNAT.Rt.T_1</t>
  </si>
  <si>
    <t>2.65E-05</t>
  </si>
  <si>
    <t>2.71E-05</t>
  </si>
  <si>
    <t>9.35E-05</t>
  </si>
  <si>
    <t>5.30E-05</t>
  </si>
  <si>
    <t>5.42E-05</t>
  </si>
  <si>
    <t>5.87E-05</t>
  </si>
  <si>
    <t>6.04E-05</t>
  </si>
  <si>
    <t>4.39E-05</t>
  </si>
  <si>
    <t>4.46E-05</t>
  </si>
  <si>
    <t>4.57E-05</t>
  </si>
  <si>
    <t>4.66E-05</t>
  </si>
  <si>
    <t>6.54E-05</t>
  </si>
  <si>
    <t>6.74E-05</t>
  </si>
  <si>
    <t>2.73E-05</t>
  </si>
  <si>
    <t>2.75E-05</t>
  </si>
  <si>
    <t>9.05E-05</t>
  </si>
  <si>
    <t>4.26E-05</t>
  </si>
  <si>
    <t>1.86E-05</t>
  </si>
  <si>
    <t>8.72E-05</t>
  </si>
  <si>
    <t>6.17E-05</t>
  </si>
  <si>
    <t>2.13E-05</t>
  </si>
  <si>
    <t>2.14E-05</t>
  </si>
  <si>
    <t>7.36E-05</t>
  </si>
  <si>
    <t>5.27E-05</t>
  </si>
  <si>
    <t>5.32E-05</t>
  </si>
  <si>
    <t>5.22E-05</t>
  </si>
  <si>
    <t>5.25E-05</t>
  </si>
  <si>
    <t>3.71E-05</t>
  </si>
  <si>
    <t>2.88E-05</t>
  </si>
  <si>
    <t>2.90E-05</t>
  </si>
  <si>
    <t>9.49E-05</t>
  </si>
  <si>
    <t>5.05E-05</t>
  </si>
  <si>
    <t>5.08E-05</t>
  </si>
  <si>
    <t>8.10E-05</t>
  </si>
  <si>
    <t>8.08E-05</t>
  </si>
  <si>
    <t>5.71E-05</t>
  </si>
  <si>
    <t>5.74E-05</t>
  </si>
  <si>
    <t>9.40E-05</t>
  </si>
  <si>
    <t>9.41E-05</t>
  </si>
  <si>
    <t>8.81E-05</t>
  </si>
  <si>
    <t>8.75E-05</t>
  </si>
  <si>
    <t>6.45E-05</t>
  </si>
  <si>
    <t>6.51E-05</t>
  </si>
  <si>
    <t>8.57E-05</t>
  </si>
  <si>
    <t>8.54E-05</t>
  </si>
  <si>
    <t>9.11E-05</t>
  </si>
  <si>
    <t>9.04E-05</t>
  </si>
  <si>
    <t>6.88E-05</t>
  </si>
  <si>
    <t>6.82E-05</t>
  </si>
  <si>
    <t>NEW_INFECTIONS_SUBNAT.T_1</t>
  </si>
  <si>
    <t>PMTCT_STAT_SUBNAT.D.T_1</t>
  </si>
  <si>
    <t>RM8gRoxtsNw</t>
  </si>
  <si>
    <t>PMTCT_ART_SUBNAT.D.T_1</t>
  </si>
  <si>
    <t>eJaChfuqUTs</t>
  </si>
  <si>
    <t>PMTCT_ART_SUBNAT.N.Already.T_1</t>
  </si>
  <si>
    <t>HVBf6Sgi6Jk</t>
  </si>
  <si>
    <t>PMTCT_ART_SUBNAT.N.New.T_1</t>
  </si>
  <si>
    <t>PMTCT_STAT_SUBNAT.N.Known.Pos.T_1</t>
  </si>
  <si>
    <t>tAE7ZD7p9zu</t>
  </si>
  <si>
    <t>PMTCT_STAT_SUBNAT.N.New.Pos.T_1</t>
  </si>
  <si>
    <t>PMTCT_STAT_SUBNAT.N.New.Neg.T_1</t>
  </si>
  <si>
    <t>VMMC_CIRC_SUBNAT.T_1</t>
  </si>
  <si>
    <t>SSun4i7nHlV</t>
  </si>
  <si>
    <t>VMMC_TOTALCIRC_SUBNAT.T_1</t>
  </si>
  <si>
    <t>ZayJeEa6pCa</t>
  </si>
  <si>
    <t>PLHIV_Residents.T</t>
  </si>
  <si>
    <t>CY2025Q3</t>
  </si>
  <si>
    <t>PLHIV_Attend.T</t>
  </si>
  <si>
    <t>Incidence_SUBNAT.Rt.T</t>
  </si>
  <si>
    <t>2.41E-05</t>
  </si>
  <si>
    <t>2.46E-05</t>
  </si>
  <si>
    <t>8.19E-05</t>
  </si>
  <si>
    <t>4.82E-05</t>
  </si>
  <si>
    <t>4.94E-05</t>
  </si>
  <si>
    <t>5.33E-05</t>
  </si>
  <si>
    <t>5.49E-05</t>
  </si>
  <si>
    <t>4.00E-05</t>
  </si>
  <si>
    <t>4.05E-05</t>
  </si>
  <si>
    <t>4.17E-05</t>
  </si>
  <si>
    <t>4.25E-05</t>
  </si>
  <si>
    <t>5.95E-05</t>
  </si>
  <si>
    <t>6.13E-05</t>
  </si>
  <si>
    <t>2.49E-05</t>
  </si>
  <si>
    <t>2.50E-05</t>
  </si>
  <si>
    <t>7.96E-05</t>
  </si>
  <si>
    <t>3.88E-05</t>
  </si>
  <si>
    <t>1.70E-05</t>
  </si>
  <si>
    <t>6.96E-05</t>
  </si>
  <si>
    <t>1.69E-05</t>
  </si>
  <si>
    <t>1.94E-05</t>
  </si>
  <si>
    <t>8.38E-05</t>
  </si>
  <si>
    <t>1.95E-05</t>
  </si>
  <si>
    <t>6.43E-05</t>
  </si>
  <si>
    <t>4.80E-05</t>
  </si>
  <si>
    <t>4.84E-05</t>
  </si>
  <si>
    <t>4.76E-05</t>
  </si>
  <si>
    <t>4.79E-05</t>
  </si>
  <si>
    <t>3.37E-05</t>
  </si>
  <si>
    <t>2.62E-05</t>
  </si>
  <si>
    <t>2.64E-05</t>
  </si>
  <si>
    <t>8.32E-05</t>
  </si>
  <si>
    <t>4.59E-05</t>
  </si>
  <si>
    <t>4.62E-05</t>
  </si>
  <si>
    <t>7.37E-05</t>
  </si>
  <si>
    <t>7.35E-05</t>
  </si>
  <si>
    <t>5.20E-05</t>
  </si>
  <si>
    <t>5.23E-05</t>
  </si>
  <si>
    <t>8.55E-05</t>
  </si>
  <si>
    <t>8.56E-05</t>
  </si>
  <si>
    <t>9.99E-05</t>
  </si>
  <si>
    <t>8.01E-05</t>
  </si>
  <si>
    <t>7.95E-05</t>
  </si>
  <si>
    <t>5.92E-05</t>
  </si>
  <si>
    <t>9.58E-05</t>
  </si>
  <si>
    <t>9.62E-05</t>
  </si>
  <si>
    <t>7.80E-05</t>
  </si>
  <si>
    <t>7.76E-05</t>
  </si>
  <si>
    <t>8.28E-05</t>
  </si>
  <si>
    <t>8.21E-05</t>
  </si>
  <si>
    <t>6.26E-05</t>
  </si>
  <si>
    <t>6.20E-05</t>
  </si>
  <si>
    <t>NEW_INFECTIONS_SUBNAT.T</t>
  </si>
  <si>
    <t>PLHIV_Residents.T2</t>
  </si>
  <si>
    <t>CY2026Q3</t>
  </si>
  <si>
    <t>PLHIV_Attend.T2</t>
  </si>
  <si>
    <t>NEW_INFECTIONS_SUBNAT.T2</t>
  </si>
  <si>
    <t>Prioritization</t>
  </si>
  <si>
    <t>[TARGET]</t>
  </si>
  <si>
    <t>SNU Prioritization (FY24)</t>
  </si>
  <si>
    <t>SNU Prioritization (FY25)</t>
  </si>
  <si>
    <t>FY25 SNU Prioritization Translation</t>
  </si>
  <si>
    <t>datapack</t>
  </si>
  <si>
    <t>impatt</t>
  </si>
  <si>
    <t>row_header</t>
  </si>
  <si>
    <t>past</t>
  </si>
  <si>
    <t>target</t>
  </si>
  <si>
    <t>reference</t>
  </si>
  <si>
    <t>string</t>
  </si>
  <si>
    <t>integer</t>
  </si>
  <si>
    <t>r4zbW3owX9n</t>
  </si>
  <si>
    <t>PSNU</t>
  </si>
  <si>
    <t>IMPATT.PRIORITY_SNU.T_1</t>
  </si>
  <si>
    <t>IMPATT.PRIORITY_SNU.T</t>
  </si>
  <si>
    <t>PRIORITY_SNU.translation</t>
  </si>
  <si>
    <t>Dedza District [PekKUkKHAzY]</t>
  </si>
  <si>
    <t>Dowa District [zphK9WV8JB4]</t>
  </si>
  <si>
    <t>Kasungu District [JQKLKuVuY61]</t>
  </si>
  <si>
    <t>Lilongwe District [ScR9iFKAasW]</t>
  </si>
  <si>
    <t>Mchinji District [kxuuIFpOXyO]</t>
  </si>
  <si>
    <t>Nkhotakota District [YCKiBAp8QAg]</t>
  </si>
  <si>
    <t>Ntcheu District [am530wpaGvr]</t>
  </si>
  <si>
    <t>Ntchisi District [fiRkU6gEjLz]</t>
  </si>
  <si>
    <t>Salima District [msW2zpIN7up]</t>
  </si>
  <si>
    <t>Chitipa District [GkIwZrXy1h2]</t>
  </si>
  <si>
    <t>Karonga District [cPtvxaZqXIH]</t>
  </si>
  <si>
    <t>Likoma District [ZCjuwgaMB9u]</t>
  </si>
  <si>
    <t>Mzimba District [vA4NcHxfMBq]</t>
  </si>
  <si>
    <t>Nkhata Bay District [E7zpfyBt7Tw]</t>
  </si>
  <si>
    <t>Rumphi District [lPTyjLi4w3d]</t>
  </si>
  <si>
    <t>Balaka District [ir8wuHHzoSs]</t>
  </si>
  <si>
    <t>Blantyre District [mxqa3CDFmIT]</t>
  </si>
  <si>
    <t>Chikwawa District [U8c0so51kT6]</t>
  </si>
  <si>
    <t>Chiradzulu District [oiPR2CiVJbf]</t>
  </si>
  <si>
    <t>Machinga District [TYnMSwzko3z]</t>
  </si>
  <si>
    <t>Mangochi District [lLDyBx5XyUi]</t>
  </si>
  <si>
    <t>Mulanje District [umc2n1Z4wNv]</t>
  </si>
  <si>
    <t>Mwanza District [wNqJp8oRIcF]</t>
  </si>
  <si>
    <t>Neno District [gwVYinjBAe9]</t>
  </si>
  <si>
    <t>Nsanje District [rpw540fmNUz]</t>
  </si>
  <si>
    <t>Phalombe District [AZyWpGzhcaA]</t>
  </si>
  <si>
    <t>Thyolo District [ul0y9diGujK]</t>
  </si>
  <si>
    <t>Zomba District [fyEoGEPERdI]</t>
  </si>
  <si>
    <t>_Military Malawi [PQZgU9dagaH]</t>
  </si>
  <si>
    <t>Cascade</t>
  </si>
  <si>
    <t>TX_CURR (FY25)</t>
  </si>
  <si>
    <t>PEPFAR FY23 Cascade (Observed)</t>
  </si>
  <si>
    <t>PEPFAR FY24 Cascade (Planned)</t>
  </si>
  <si>
    <t>Partner Country Cascade (from Spectrum tab, or manually entered here)</t>
  </si>
  <si>
    <t>ART Modeling</t>
  </si>
  <si>
    <t>ART</t>
  </si>
  <si>
    <t>ART Initiation</t>
  </si>
  <si>
    <t>VL Testing Coverage</t>
  </si>
  <si>
    <t>Viral Load Suppression</t>
  </si>
  <si>
    <t>Testing</t>
  </si>
  <si>
    <t>KEY:
- Est.: Estimated
- P.C.: Partner Country
- Prev.: Previously
- VL: Viral Load
- VLS: Viral Load Suppression
- VLT: Viral Load Test(ing)
- EVLT: Eligible for Viral Load Testing</t>
  </si>
  <si>
    <t>FY23 (Observed)</t>
  </si>
  <si>
    <t>FY24 (Estimated)</t>
  </si>
  <si>
    <t>FY25 (Projected)</t>
  </si>
  <si>
    <t>Skip if modeled externally (column F)</t>
  </si>
  <si>
    <r>
      <t xml:space="preserve">If TX_CURR Target derived by OU analysis, enter here: 
</t>
    </r>
    <r>
      <rPr>
        <b/>
        <sz val="12"/>
        <color theme="1"/>
        <rFont val="Calibri"/>
        <family val="2"/>
        <scheme val="minor"/>
      </rPr>
      <t>TX_CURR (FY25)</t>
    </r>
  </si>
  <si>
    <t>New Positives</t>
  </si>
  <si>
    <t>TX_NEW</t>
  </si>
  <si>
    <t>TX_CURR</t>
  </si>
  <si>
    <t>TX_PVLS (D)</t>
  </si>
  <si>
    <t>TX_PVLS (N)</t>
  </si>
  <si>
    <t>TX_CURR: Expected Achievement (FY24)</t>
  </si>
  <si>
    <t>TX_NET_NEW</t>
  </si>
  <si>
    <t>On ART - TX_CURR_SUBNAT (FY23)</t>
  </si>
  <si>
    <t>Population (FY24)</t>
  </si>
  <si>
    <t>PLHIV by Residence (FY24)</t>
  </si>
  <si>
    <t>PLHIV by ART attendance (FY24)</t>
  </si>
  <si>
    <t>HIV Prevalence (FY24) (%)</t>
  </si>
  <si>
    <t>Diagnosed (FY24)</t>
  </si>
  <si>
    <t>% PLHIV Diagnosed (FY24) (%)</t>
  </si>
  <si>
    <t>On ART - TX_CURR_SUBNAT (FY24)</t>
  </si>
  <si>
    <t>ART Coverage (ART/PLHIV) (FY24) (%)</t>
  </si>
  <si>
    <t>% Diagnosed on ART (FY24) (%)</t>
  </si>
  <si>
    <t>Untreated PLHIV in health facility catchment area (FY24)</t>
  </si>
  <si>
    <t>ART Patients with Documented VLT 
(FY24)</t>
  </si>
  <si>
    <t>VLT Coverage (FY24) (%)</t>
  </si>
  <si>
    <t>Virally Suppressed ART Patients (FY24)</t>
  </si>
  <si>
    <t>VLS Rate (Virally Suppressed/Documented VLT) (FY24) (%)</t>
  </si>
  <si>
    <t>Incidence Rate (FY25) (%)</t>
  </si>
  <si>
    <t>New Infections (FY25)</t>
  </si>
  <si>
    <t>PLHIV by Residence (FY25)</t>
  </si>
  <si>
    <t>PLHIV used for Target Setting (FY25)</t>
  </si>
  <si>
    <t>Targeted P.C. ART Coverage (ART/PLHIV) (FY25) (%)</t>
  </si>
  <si>
    <t>Targeted P.C. # on ART (FY25)</t>
  </si>
  <si>
    <t>PMTCT_HEI_POS Linked &amp; Retained on ART (FY25)</t>
  </si>
  <si>
    <t>Calculated TX_CURR (FY25)</t>
  </si>
  <si>
    <t>P.C. # on ART - TX_CURR_SUBNAT (FY25)</t>
  </si>
  <si>
    <t>P.C. ART Coverage (ART/PLHIV) (FY25) (%)</t>
  </si>
  <si>
    <t>Retention - Already on ART (FY25) (%)</t>
  </si>
  <si>
    <t>Retention - Initiated on ART (FY25) (%)</t>
  </si>
  <si>
    <t>TX_NET_NEW (FY25)</t>
  </si>
  <si>
    <t>Initiated on ART (FY25)</t>
  </si>
  <si>
    <t>% Initiated on ART that are TX Naive (FY25) (%)</t>
  </si>
  <si>
    <t>TX_NEW
(FY25)</t>
  </si>
  <si>
    <t>% Initiated on ART Eligible for VLT (FY25) (%)</t>
  </si>
  <si>
    <t>Eligible for VLT (FY25)</t>
  </si>
  <si>
    <t>Planned VLT Coverage (FY25) (%)</t>
  </si>
  <si>
    <t>TX_PVLS (D) (FY25)</t>
  </si>
  <si>
    <t>P.C. ART Patients with Documented VLT (FY25)</t>
  </si>
  <si>
    <t>Targeted VL Suppression Rate (FY25) (%)</t>
  </si>
  <si>
    <t>TX_PVLS (N) (FY25)</t>
  </si>
  <si>
    <t>P.C. Virally Suppressed ART Patients (FY25)</t>
  </si>
  <si>
    <t>Targeted ART Linkage Rate (FY25) (%)</t>
  </si>
  <si>
    <t>PLHIV to Identify (HTS_TST_POS + PMTCT_HEI_POS) (FY25)</t>
  </si>
  <si>
    <t>Roll-up</t>
  </si>
  <si>
    <t>mer</t>
  </si>
  <si>
    <t>subnat</t>
  </si>
  <si>
    <t>assumption</t>
  </si>
  <si>
    <t>calculation</t>
  </si>
  <si>
    <t>result</t>
  </si>
  <si>
    <t>percentage</t>
  </si>
  <si>
    <t>yXZtvoYQXcD</t>
  </si>
  <si>
    <t>Hyvw9VnZ2ch</t>
  </si>
  <si>
    <t>kznQBykTtJt</t>
  </si>
  <si>
    <t>YvPOllVtINQ</t>
  </si>
  <si>
    <t>vmfKLKi1NBA</t>
  </si>
  <si>
    <t>di4b6joXm84</t>
  </si>
  <si>
    <t>WpZwPieQ060</t>
  </si>
  <si>
    <t>N55pM5ZuWcI</t>
  </si>
  <si>
    <t>P2XNbiNnIqV</t>
  </si>
  <si>
    <t>zoKiMGRucOY</t>
  </si>
  <si>
    <t>hmTKCv0EtgT</t>
  </si>
  <si>
    <t>yeRsYzyfy9t</t>
  </si>
  <si>
    <t>Iw0ZlK2LyWs</t>
  </si>
  <si>
    <t>FjLaCnuoQWR</t>
  </si>
  <si>
    <t>ebCEt4u78PX</t>
  </si>
  <si>
    <t>alP4jHSfacs</t>
  </si>
  <si>
    <t>MylJht530Cc</t>
  </si>
  <si>
    <t>DhrLCUBm3bK</t>
  </si>
  <si>
    <t>HGZY9RNZjRd</t>
  </si>
  <si>
    <t>KlAFsRMw17y</t>
  </si>
  <si>
    <t>LCrR2BK3wmA</t>
  </si>
  <si>
    <t>uhG7ToNGm4n</t>
  </si>
  <si>
    <t>PA3sRzMsxwH</t>
  </si>
  <si>
    <t>KM4dyooZHUP</t>
  </si>
  <si>
    <t>rGptWqlhaVU.KM4dyooZHUP</t>
  </si>
  <si>
    <t>10 yr, 01+</t>
  </si>
  <si>
    <t>10 yr</t>
  </si>
  <si>
    <t>&lt;01</t>
  </si>
  <si>
    <t>M/F</t>
  </si>
  <si>
    <t>Age</t>
  </si>
  <si>
    <t>Sex</t>
  </si>
  <si>
    <t>TX_CURR.C</t>
  </si>
  <si>
    <t>HTS_TST.Pos.Total_With_HEI.R</t>
  </si>
  <si>
    <t>TX_NEW.R</t>
  </si>
  <si>
    <t>TX_CURR.R</t>
  </si>
  <si>
    <t>TX_PVLS.D.Routine.R</t>
  </si>
  <si>
    <t>TX_PVLS.N.Routine.R</t>
  </si>
  <si>
    <t>HTS_TST.Pos.Total_With_HEI.T_1</t>
  </si>
  <si>
    <t>TX_NEW.T_1</t>
  </si>
  <si>
    <t>TX_CURR.T_1</t>
  </si>
  <si>
    <t>TX_CURR.Expected.T_1</t>
  </si>
  <si>
    <t>TX_PVLS.D.Routine.T_1</t>
  </si>
  <si>
    <t>TX_PVLS.N.Routine.T_1</t>
  </si>
  <si>
    <t>TX_NET_NEW.T_1</t>
  </si>
  <si>
    <t>DIAGNOSED_SUBNAT.Rt.T_1</t>
  </si>
  <si>
    <t>TX_CURR_SUBNAT.Rt.T_1</t>
  </si>
  <si>
    <t>VL_TESTING_SUBNAT.T_1</t>
  </si>
  <si>
    <t>VL_TESTING_SUBNAT.Rt.T_1</t>
  </si>
  <si>
    <t>VL_SUPPRESSED.T_1</t>
  </si>
  <si>
    <t>VLS_SUBNAT.Rt.T_1</t>
  </si>
  <si>
    <t>PLHIV.T</t>
  </si>
  <si>
    <t>PopART.Rt.M</t>
  </si>
  <si>
    <t>TX_CURR_SUBNAT.M</t>
  </si>
  <si>
    <t>PMTCT_HEI_POS.Linked.T</t>
  </si>
  <si>
    <t>TX_CURR.M</t>
  </si>
  <si>
    <t>TX_CURR.T</t>
  </si>
  <si>
    <t>TX_CURR_SUBNAT.T</t>
  </si>
  <si>
    <t>PopART.Rt.T</t>
  </si>
  <si>
    <t>TX_RET.Already.T</t>
  </si>
  <si>
    <t>TX_RET.New.T</t>
  </si>
  <si>
    <t>TX_NET_NEW.T</t>
  </si>
  <si>
    <t>TX_INITIATED.T</t>
  </si>
  <si>
    <t>TX_INITIATED.NewRt.T</t>
  </si>
  <si>
    <t>TX_NEW.T</t>
  </si>
  <si>
    <t>EVLT.Rt.T</t>
  </si>
  <si>
    <t>EVLT.T</t>
  </si>
  <si>
    <t>TX_PVLS.D.Rt.T</t>
  </si>
  <si>
    <t>TX_PVLS.D.T</t>
  </si>
  <si>
    <t>VL_TESTING_SUBNAT.T</t>
  </si>
  <si>
    <t>TX_PVLS.N.Rt.T</t>
  </si>
  <si>
    <t>TX_PVLS.N.T</t>
  </si>
  <si>
    <t>VL_SUPPRESSED.T</t>
  </si>
  <si>
    <t>HTS_TST.Linkage.T</t>
  </si>
  <si>
    <t>HTS_TST.Pos.Total_With_HEI.T</t>
  </si>
  <si>
    <t>01-09</t>
  </si>
  <si>
    <t>10-14</t>
  </si>
  <si>
    <t>15-24</t>
  </si>
  <si>
    <t>25-34</t>
  </si>
  <si>
    <t>35-49</t>
  </si>
  <si>
    <t>50+</t>
  </si>
  <si>
    <t>KP</t>
  </si>
  <si>
    <t>KP_ESTIMATES</t>
  </si>
  <si>
    <t>PrEP_CT</t>
  </si>
  <si>
    <t>PrEP_NEW</t>
  </si>
  <si>
    <t>KP_PREV</t>
  </si>
  <si>
    <t>HTS_TST</t>
  </si>
  <si>
    <t>HTS_RECENT</t>
  </si>
  <si>
    <t>HTS_SELF</t>
  </si>
  <si>
    <t>P.C. Est. Total Size (FY24)</t>
  </si>
  <si>
    <t>P.C. Est. KPLHIV (FY24)</t>
  </si>
  <si>
    <t>P.C. Est. HIV Prevalence (FY24) (%)</t>
  </si>
  <si>
    <t>PrEP_CT - KeyPop (FY24 Targets)</t>
  </si>
  <si>
    <t>PrEP_CT - KeyPop (FY25)</t>
  </si>
  <si>
    <t>PrEP_NEW - KeyPop (FY24 Targets)</t>
  </si>
  <si>
    <t>PrEP_NEW - KeyPop (FY25)</t>
  </si>
  <si>
    <t>KP_PREV (FY24 Targets)</t>
  </si>
  <si>
    <t>KP_PREV (FY25)</t>
  </si>
  <si>
    <t>TX_CURR - KeyPop (FY23 Results)</t>
  </si>
  <si>
    <t>TX_CURR - KeyPop (FY24 Targets)</t>
  </si>
  <si>
    <t>TX_CURR - KeyPop - Expected Achievement (FY24)</t>
  </si>
  <si>
    <t>TX_CURR - KeyPop (FY25)</t>
  </si>
  <si>
    <t>P.C. # KPLHIV on ART - KeyPop (FY25)</t>
  </si>
  <si>
    <t>KP ART Coverage (P.C. ART / KPLHIV) (FY25) (%)</t>
  </si>
  <si>
    <t>TX_NEW - KeyPop (FY24 Targets)</t>
  </si>
  <si>
    <t>TX_NET_NEW - KeyPop (FY25)</t>
  </si>
  <si>
    <t>TX_NEW - KeyPop (FY25)</t>
  </si>
  <si>
    <t>TX_PVLS (D) - KeyPop (FY25)</t>
  </si>
  <si>
    <t>TX_PVLS (N) - KeyPop (FY25)</t>
  </si>
  <si>
    <t>HTS_TST, KeyPop, Positive (FY24 Targets)</t>
  </si>
  <si>
    <t>HTS_TST, KeyPop, Negative (FY24 Targets)</t>
  </si>
  <si>
    <t>Yield (FY25) (%)</t>
  </si>
  <si>
    <t>KeyPop, Positive (FY25)</t>
  </si>
  <si>
    <t>KeyPop, Negative (FY25)</t>
  </si>
  <si>
    <t>Recency Test Coverage (FY25) (%)</t>
  </si>
  <si>
    <t>HTS_RECENT - KeyPop (FY25)</t>
  </si>
  <si>
    <t>HTS_SELF - KeyPop (FY24 Targets)</t>
  </si>
  <si>
    <t>HTS_SELF - KeyPop (FY25)</t>
  </si>
  <si>
    <t>qFyJH6fUPQk</t>
  </si>
  <si>
    <t>LADGHYIE9m1</t>
  </si>
  <si>
    <t>P3AT3zcyRhU</t>
  </si>
  <si>
    <t>bwlf1Jfww0L</t>
  </si>
  <si>
    <t>lXqlw8UxoqF</t>
  </si>
  <si>
    <t>wDWUutgeEX8</t>
  </si>
  <si>
    <t>ScQASwweWXL</t>
  </si>
  <si>
    <t>OLbhrUez4dP</t>
  </si>
  <si>
    <t>ktZYUSS0Zjo</t>
  </si>
  <si>
    <t>P9OjdVVMHMW</t>
  </si>
  <si>
    <t>tGtB1nLnQjC</t>
  </si>
  <si>
    <t>ef1o9r1kDIH</t>
  </si>
  <si>
    <t>y42bZItNsea</t>
  </si>
  <si>
    <t>qL1qysWLZoq</t>
  </si>
  <si>
    <t>GlyNHRiJTOu</t>
  </si>
  <si>
    <t>gdHE7Kk9Q1k</t>
  </si>
  <si>
    <t>VRgwEePUvdD</t>
  </si>
  <si>
    <t>rEKqsIDMOgB</t>
  </si>
  <si>
    <t>uIqAr4ev05I</t>
  </si>
  <si>
    <t>SyQHN3Jpcww</t>
  </si>
  <si>
    <t>ZYB5AHSw7Tm</t>
  </si>
  <si>
    <t>Qshwh8ZOmYD</t>
  </si>
  <si>
    <t>MA4lEpgzAxS</t>
  </si>
  <si>
    <t>uZ2UTVh2wkJ</t>
  </si>
  <si>
    <t>Hx5jjGAdVsT</t>
  </si>
  <si>
    <t>Gb0GYkqotaO</t>
  </si>
  <si>
    <t>Coarse KPs</t>
  </si>
  <si>
    <t>KeyPop</t>
  </si>
  <si>
    <t>KP_ESTIMATES.Total.T_1</t>
  </si>
  <si>
    <t>KP_ESTIMATES.Pos.T_1</t>
  </si>
  <si>
    <t>KP_ESTIMATES.Prev.T_1</t>
  </si>
  <si>
    <t>PrEP_CT.KP.T_1</t>
  </si>
  <si>
    <t>PrEP_CT.KP.T</t>
  </si>
  <si>
    <t>PrEP_NEW.KP.T_1</t>
  </si>
  <si>
    <t>PrEP_NEW.KP.T</t>
  </si>
  <si>
    <t>KP_PREV.T_1</t>
  </si>
  <si>
    <t>KP_PREV.T</t>
  </si>
  <si>
    <t>TX_CURR.KP.R</t>
  </si>
  <si>
    <t>TX_CURR.KP.T_1</t>
  </si>
  <si>
    <t>TX_CURR.KP.Expected.T_1</t>
  </si>
  <si>
    <t>TX_CURR.KP.T</t>
  </si>
  <si>
    <t>TX_CURR_SUBNAT.KP.T</t>
  </si>
  <si>
    <t>PopART.KP.Rt.T_1</t>
  </si>
  <si>
    <t>TX_NEW.KP.T_1</t>
  </si>
  <si>
    <t>TX_RET.KP.Already.T</t>
  </si>
  <si>
    <t>TX_RET.KP.New.T</t>
  </si>
  <si>
    <t>TX_NET_NEW.KP.T</t>
  </si>
  <si>
    <t>TX_INITIATED.KP.T</t>
  </si>
  <si>
    <t>TX_INITIATED.KP.NewRt.T</t>
  </si>
  <si>
    <t>TX_NEW.KP.T</t>
  </si>
  <si>
    <t>TX_PVLS.D.KP.Rt.T</t>
  </si>
  <si>
    <t>TX_PVLS.D.KP.T</t>
  </si>
  <si>
    <t>TX_PVLS.N.KP.Rt</t>
  </si>
  <si>
    <t>TX_PVLS.N.KP.T</t>
  </si>
  <si>
    <t>HTS_TST.KP.Pos.T_1</t>
  </si>
  <si>
    <t>HTS_TST.KP.Neg.T_1</t>
  </si>
  <si>
    <t>HTS_TST.KP.Linkage.T</t>
  </si>
  <si>
    <t>HTS_TST.KP.Pos.Yield.T</t>
  </si>
  <si>
    <t>HTS_TST.KP.Pos.T</t>
  </si>
  <si>
    <t>HTS_TST.KP.Neg.T</t>
  </si>
  <si>
    <t>HTS_RECENT.KP.Rt.T</t>
  </si>
  <si>
    <t>HTS_RECENT.KP.T</t>
  </si>
  <si>
    <t>HTS_SELF.KP.T_1</t>
  </si>
  <si>
    <t>HTS_SELF.KP.T</t>
  </si>
  <si>
    <t>FSW</t>
  </si>
  <si>
    <t>MSM</t>
  </si>
  <si>
    <t>People in prisons and other enclosed settings</t>
  </si>
  <si>
    <t>PWID</t>
  </si>
  <si>
    <t>TG</t>
  </si>
  <si>
    <t>Year 2 Targets</t>
  </si>
  <si>
    <t>Testing Distribution</t>
  </si>
  <si>
    <t>All Other Indicators</t>
  </si>
  <si>
    <t>You may manually enter TX_CURR in column Q, or follow the optional Modeled ART section, as needed.</t>
  </si>
  <si>
    <t>FY25 Targets</t>
  </si>
  <si>
    <t>Modeled ART (Optional)</t>
  </si>
  <si>
    <t>VL Suppression</t>
  </si>
  <si>
    <t>FY25</t>
  </si>
  <si>
    <t>FY26</t>
  </si>
  <si>
    <t>PMTCT_STAT</t>
  </si>
  <si>
    <t>PMTCT_ART</t>
  </si>
  <si>
    <t>TB_STAT</t>
  </si>
  <si>
    <t>TB_ART</t>
  </si>
  <si>
    <t>VMMC_CIRC</t>
  </si>
  <si>
    <t>PrEP</t>
  </si>
  <si>
    <t>PP_PREV</t>
  </si>
  <si>
    <t>CXCA_SCRN</t>
  </si>
  <si>
    <t xml:space="preserve">TX_TB (D) </t>
  </si>
  <si>
    <t>TB_PREV (D)</t>
  </si>
  <si>
    <t>TB_PREV (N)</t>
  </si>
  <si>
    <t>OVC_SERV</t>
  </si>
  <si>
    <t>OVC_HIVSTAT</t>
  </si>
  <si>
    <t>AGYW_PREV</t>
  </si>
  <si>
    <t>KP_MAT</t>
  </si>
  <si>
    <t>GEND_GBV</t>
  </si>
  <si>
    <t>Total Positives (FY25)</t>
  </si>
  <si>
    <t>TX_PVLS (D) Routine (FY25)</t>
  </si>
  <si>
    <t>TX_PVLS (N) Routine (FY25)</t>
  </si>
  <si>
    <t>PLHIV
(FY25)</t>
  </si>
  <si>
    <t>P.C. # on ART - TX_CURR_SUBNAT
(FY25)</t>
  </si>
  <si>
    <t>P.C. ART Coverage (ART/PLHIV)
(FY25)
(%)</t>
  </si>
  <si>
    <t>New Infections (FY26)</t>
  </si>
  <si>
    <t>PLHIV by Residence
(FY26)</t>
  </si>
  <si>
    <t>PLHIV by ART attendance
(FY26)</t>
  </si>
  <si>
    <t>PLHIV used for Target Setting (FY26)</t>
  </si>
  <si>
    <t>Targeted P.C. ART Coverage (ART/PLHIV)
(FY26)
(%)</t>
  </si>
  <si>
    <t>Targeted P.C. # on ART - TX_CURR_SUBNAT
(FY26)</t>
  </si>
  <si>
    <t>P.C. % ART clients at PEPFAR-supported sites (FY26) (%)</t>
  </si>
  <si>
    <t>TX_CURR (FY26)</t>
  </si>
  <si>
    <t>P.C. # on ART - TX_CURR_SUBNAT
(FY26)</t>
  </si>
  <si>
    <t>P.C. ART Coverage
(ART/PHIV)
(FY26)
(%)</t>
  </si>
  <si>
    <t>Retention - Already on ART (FY26)
(%)</t>
  </si>
  <si>
    <t>Retention - Initiated on ART (FY26)
(%)</t>
  </si>
  <si>
    <t>Initiated on ART
(FY26)</t>
  </si>
  <si>
    <t>% Initiated on ART that are TX Naïve (FY26) (%)</t>
  </si>
  <si>
    <t>TX_NEW (FY26)</t>
  </si>
  <si>
    <t>% Initiated on ART Eligible for VLT (FY26) (%)</t>
  </si>
  <si>
    <t>Eligible for VLT (FY26)</t>
  </si>
  <si>
    <t>Planned VLT Coverage (FY26) (%)</t>
  </si>
  <si>
    <t>TX_PVLS (D) (FY26)</t>
  </si>
  <si>
    <t>Targeted VL Suppression Rate (FY26) (%)</t>
  </si>
  <si>
    <t>TX_PVLS (N) (FY26)</t>
  </si>
  <si>
    <t>Targeted ART Linkage Rate (FY26) (%)</t>
  </si>
  <si>
    <t>PLHIV to Identify (HTS_TST_POS + PMTCT_HEI_POS) (FY26)</t>
  </si>
  <si>
    <t>PMTCT_STAT: New Positive (%)</t>
  </si>
  <si>
    <t>PMTCT Post ANC1: Positive (%)</t>
  </si>
  <si>
    <t>TB_STAT: New Positive (%)</t>
  </si>
  <si>
    <t>VMMC: New Positive (%)</t>
  </si>
  <si>
    <t>Active Index: Positive (%)</t>
  </si>
  <si>
    <t>Active SNS: Positive (%)</t>
  </si>
  <si>
    <t>Active Other: Positive (%)</t>
  </si>
  <si>
    <t>STI Clinic: Positive (%)</t>
  </si>
  <si>
    <t>Other Facility: Positive (%)</t>
  </si>
  <si>
    <t>Distribution Check (%)</t>
  </si>
  <si>
    <t>HTS_RECENT (FY25)</t>
  </si>
  <si>
    <t>Aggregate Recency Test Coverage (FY25)
(%)</t>
  </si>
  <si>
    <t>Aggregate Recency Test Coverage (FY26)
(%)</t>
  </si>
  <si>
    <t>HTS_RECENT (FY26)</t>
  </si>
  <si>
    <t>HTS_SELF (FY25)</t>
  </si>
  <si>
    <t>HTS_SELF (FY26)</t>
  </si>
  <si>
    <t>Change in HTS_SELF (%)</t>
  </si>
  <si>
    <t>PMTCT_STAT (N) - Known Positive (FY25)</t>
  </si>
  <si>
    <t>PMTCT_STAT (N) - New Positive (FY25)</t>
  </si>
  <si>
    <t>PMTCT_STAT (N) - New Negative (FY25)</t>
  </si>
  <si>
    <t>Total PMTCT_STAT (N) (FY25)</t>
  </si>
  <si>
    <t>PMTCT_STAT (N) - Known Positive (FY26)</t>
  </si>
  <si>
    <t>PMTCT_STAT (N) - New Positive (FY26)</t>
  </si>
  <si>
    <t>PMTCT_STAT (N) - New Negative (FY26)</t>
  </si>
  <si>
    <t>Total PMTCT_STAT (N) (FY26)</t>
  </si>
  <si>
    <t>Change in PMTCT_STAT (N) Total (%)</t>
  </si>
  <si>
    <t>Already on ART (FY25)</t>
  </si>
  <si>
    <t>New on ART (FY25)</t>
  </si>
  <si>
    <t>Already on ART (FY26)</t>
  </si>
  <si>
    <t>New on ART (FY26)</t>
  </si>
  <si>
    <t>Known HIV+ (FY25)</t>
  </si>
  <si>
    <t>New Positive (FY25)</t>
  </si>
  <si>
    <t>New Negative (FY25)</t>
  </si>
  <si>
    <t>Total TB_STAT (N) (FY25)</t>
  </si>
  <si>
    <t>Known HIV+ (FY26)</t>
  </si>
  <si>
    <t>New Positive (FY26)</t>
  </si>
  <si>
    <t>New Negative (FY26)</t>
  </si>
  <si>
    <t>Total TB_STAT (N) (FY26)</t>
  </si>
  <si>
    <t>Change in TB_STAT (N) Total (%)</t>
  </si>
  <si>
    <t>Not Tested by PEPFAR (FY25)</t>
  </si>
  <si>
    <t>HIV Positive (FY25)</t>
  </si>
  <si>
    <t>HIV Negative (FY25)</t>
  </si>
  <si>
    <t>Total VMMC_CIRC (FY25)</t>
  </si>
  <si>
    <t>Not Tested by PEPFAR (FY26)</t>
  </si>
  <si>
    <t>HIV Positive (FY26)</t>
  </si>
  <si>
    <t>HIV Negative (FY26)</t>
  </si>
  <si>
    <t>Total VMMC_CIRC (FY26)</t>
  </si>
  <si>
    <t>Change in VMMC_CIRC (N) Total (%)</t>
  </si>
  <si>
    <t>PrEP_NEW (FY25)</t>
  </si>
  <si>
    <t>PrEP_CT (FY25)</t>
  </si>
  <si>
    <t>PrEP_NEW (FY26)</t>
  </si>
  <si>
    <t>PrEP_CT (FY26)</t>
  </si>
  <si>
    <t>Change in PrEP_NEW (%)</t>
  </si>
  <si>
    <t>Change in PrEP_CT (%)</t>
  </si>
  <si>
    <t>PP_PREV (FY25)</t>
  </si>
  <si>
    <t>PP_PREV (FY26)</t>
  </si>
  <si>
    <t>Change in PP_PREV (%)</t>
  </si>
  <si>
    <t>KP_PREV (FY26)</t>
  </si>
  <si>
    <t>Change in KP_PREV (%)</t>
  </si>
  <si>
    <t>CXCA_SCRN (FY25)</t>
  </si>
  <si>
    <t>Overall CXCA_SCRN Coverage (FY25) (%)</t>
  </si>
  <si>
    <t>CXCA_SCRN Coverage - Already on ART (FY26) (%)</t>
  </si>
  <si>
    <t>CXCA_SCRN Coverage - Initiated on ART (FY26) (%)</t>
  </si>
  <si>
    <t>CXCA_SCRN (FY26)</t>
  </si>
  <si>
    <t>Overall CXCA_SCRN Coverage (FY26) (%)</t>
  </si>
  <si>
    <t>TX_TB (D) Coverage: Already on ART (FY25) (%)</t>
  </si>
  <si>
    <t>TX_TB (D) Coverage: New on ART (FY25) (%)</t>
  </si>
  <si>
    <t>Targeted Coverage: Already on ART (FY26) (%)</t>
  </si>
  <si>
    <t>Targeted Coverage: New on ART (FY26) (%)</t>
  </si>
  <si>
    <t>Est. TB Screen Positivity Rate: Already on ART (FY26) (%)</t>
  </si>
  <si>
    <t>Est. TB Screen Positivity Rate: New on ART (FY26) (%)</t>
  </si>
  <si>
    <t>Already on ART, TB Screen + (FY26)</t>
  </si>
  <si>
    <t>Already on ART, TB Screen - (FY26)</t>
  </si>
  <si>
    <t>New on ART, TB Screen + (FY26)</t>
  </si>
  <si>
    <t>New on ART, TB Screen - (FY26)</t>
  </si>
  <si>
    <t>Est. total # completed TPT in last 8 years (FY26)</t>
  </si>
  <si>
    <t>Est. % Eligible for TPT among Already on ART, TB Screen - (FY26) (%)</t>
  </si>
  <si>
    <t>% TPT Initiation Rate - Already on ART (FY26) (%)</t>
  </si>
  <si>
    <t>% TPT Initiation Rate - New on ART (FY26) (%)</t>
  </si>
  <si>
    <t>TB_PREV (D): Already on ART (FY26)</t>
  </si>
  <si>
    <t>TB_PREV (D): New on ART (FY26)</t>
  </si>
  <si>
    <t>Targeted TPT Completion (%) (FY26)</t>
  </si>
  <si>
    <t>TB_PREV (N): Already on ART (FY26)</t>
  </si>
  <si>
    <t>TB_PREV (N): New on ART (FY26)</t>
  </si>
  <si>
    <t>DREAMS (FY25)</t>
  </si>
  <si>
    <t>Preventive (FY25)</t>
  </si>
  <si>
    <t>Comprehensive - Graduated (FY25)</t>
  </si>
  <si>
    <t>Comprehensive - Active (FY25)</t>
  </si>
  <si>
    <t>DREAMS (FY26)</t>
  </si>
  <si>
    <t>Preventive (FY26)</t>
  </si>
  <si>
    <t>Comprehensive - Graduated (FY26)</t>
  </si>
  <si>
    <t>Comprehensive - Active (FY26)</t>
  </si>
  <si>
    <t>Change in DREAMS (FY26) (%)</t>
  </si>
  <si>
    <t>Change in Preventive (FY26) (%)</t>
  </si>
  <si>
    <t>Change in Comprehensive - Graduated (FY26) (%)</t>
  </si>
  <si>
    <t>Change in Comprehensive - Active (FY26) (%)</t>
  </si>
  <si>
    <t>Targeted % Comprehensive OVC (&lt;18) with reported HIV Status (FY26) (%)</t>
  </si>
  <si>
    <t># OVC with reported HIV Status (FY26)</t>
  </si>
  <si>
    <t>AGYW_PREV (D) (FY25)</t>
  </si>
  <si>
    <t>AGYW_PREV (N) (FY25)</t>
  </si>
  <si>
    <t>AGYW_PREV (D) (FY26)</t>
  </si>
  <si>
    <t>AGYW_PREV (N) (FY26)</t>
  </si>
  <si>
    <t>Change in AGYW_PREV (D) (FY26) (%)</t>
  </si>
  <si>
    <t>Change in AGYW_PREV (N) (FY26) (%)</t>
  </si>
  <si>
    <t>KP_MAT (FY25)</t>
  </si>
  <si>
    <t>KP_MAT (FY26)</t>
  </si>
  <si>
    <t>Change in KP_MAT (FY26) (%)</t>
  </si>
  <si>
    <t>Physical/Emotional Violence (FY25)</t>
  </si>
  <si>
    <t>Sexual Violence (FY25)</t>
  </si>
  <si>
    <t>Physical/Emotional Violence (FY26)</t>
  </si>
  <si>
    <t>Sexual Violence (FY26)</t>
  </si>
  <si>
    <t>Change in GEND_GBV: Physical/Emotional Violence (FY26) (%)</t>
  </si>
  <si>
    <t>Change in GEND_GBV: Sexual Violence (FY26) (%)</t>
  </si>
  <si>
    <t>iwSejvD8cXl{KP}LADGHYIE9m1</t>
  </si>
  <si>
    <t>di4b6joXm84{KP}OLbhrUez4dP</t>
  </si>
  <si>
    <t>vmfKLKi1NBA{KP}ktZYUSS0Zjo</t>
  </si>
  <si>
    <t>yeRsYzyfy9t{KP}P9OjdVVMHMW</t>
  </si>
  <si>
    <t>Iw0ZlK2LyWs{KP}tGtB1nLnQjC</t>
  </si>
  <si>
    <t>{EID}aXwcGB1xILs{KP}ef1o9r1kDIH</t>
  </si>
  <si>
    <t>Qdn0vmNSflO</t>
  </si>
  <si>
    <t>dd2WtJJxFYj</t>
  </si>
  <si>
    <t>tqP00nubcdo</t>
  </si>
  <si>
    <t>jCfFnI5DZST</t>
  </si>
  <si>
    <t>U0WZIWZ2oLm</t>
  </si>
  <si>
    <t>QPXR0jhU2zo</t>
  </si>
  <si>
    <t>E8v5iyap5SV</t>
  </si>
  <si>
    <t>JDdf06ZTwyz</t>
  </si>
  <si>
    <t>X1sIFjE7Zf5</t>
  </si>
  <si>
    <t>SsqfZeIs1Va{KP}y42bZItNsea</t>
  </si>
  <si>
    <t>r9N46a1q942{KP}qL1qysWLZoq</t>
  </si>
  <si>
    <t>qesr9meNVYc</t>
  </si>
  <si>
    <t>hJeWl5XjzgM</t>
  </si>
  <si>
    <t>rXV784LlUQ4{KP}lXqlw8UxoqF</t>
  </si>
  <si>
    <t>agoURWZyPpn{KP}bwlf1Jfww0L</t>
  </si>
  <si>
    <t>LpkXILJwnmO</t>
  </si>
  <si>
    <t>hfR9r70Fk99</t>
  </si>
  <si>
    <t>BeEA8PsZ8Ky</t>
  </si>
  <si>
    <t>L3qltmjNtSr</t>
  </si>
  <si>
    <t>DA7uTAScxxi</t>
  </si>
  <si>
    <t>j3NQAv8Fe3v</t>
  </si>
  <si>
    <t>NbvZdpPzNf6</t>
  </si>
  <si>
    <t>HVzzfyVVIs1.cx8hxarh4Ke</t>
  </si>
  <si>
    <t>TqpIEl7LfV7</t>
  </si>
  <si>
    <t>HO5wSDKttn3</t>
  </si>
  <si>
    <t>tSYnSvSK200</t>
  </si>
  <si>
    <t>gG0fbMLqEB5</t>
  </si>
  <si>
    <t>N4sS65QUOP3</t>
  </si>
  <si>
    <t>KM4dyooZHUP{KP}KM4dyooZHUP</t>
  </si>
  <si>
    <t>{EID}J4SQd7SnDi2.fELDwOVs9TV/pbXCUjm50XK.fELDwOVs9TV{KP}KM4dyooZHUP</t>
  </si>
  <si>
    <t>Vr59uUJBySG</t>
  </si>
  <si>
    <t>LvheCKbuFJZ</t>
  </si>
  <si>
    <t>BiB1MtA7o4A</t>
  </si>
  <si>
    <t>rSKP7Z85FX9.KM4dyooZHUP</t>
  </si>
  <si>
    <t>udcRwufEXFQ.KM4dyooZHUP</t>
  </si>
  <si>
    <t>gUdtLH3fV1m</t>
  </si>
  <si>
    <t>rSKP7Z85FX9.FNsYVm36CYM.KM4dyooZHUP</t>
  </si>
  <si>
    <t>rSKP7Z85FX9.xv3iwsb4m3m.KM4dyooZHUP</t>
  </si>
  <si>
    <t>udcRwufEXFQ.FNsYVm36CYM.KM4dyooZHUP</t>
  </si>
  <si>
    <t>udcRwufEXFQ.xv3iwsb4m3m.KM4dyooZHUP</t>
  </si>
  <si>
    <t>q1ViBVu6waQ</t>
  </si>
  <si>
    <t>PohP5DBPfMs</t>
  </si>
  <si>
    <t>AjOFwnjVTTm</t>
  </si>
  <si>
    <t>YSe4riCTiZv</t>
  </si>
  <si>
    <t>USe0kg2Bind</t>
  </si>
  <si>
    <t>bchuAJAMSZO</t>
  </si>
  <si>
    <t>10 yr, 10+</t>
  </si>
  <si>
    <t>10 yr, 15+</t>
  </si>
  <si>
    <t>10 yr, 25-49</t>
  </si>
  <si>
    <t>Coarse Ages</t>
  </si>
  <si>
    <t>10-17 (OVC)</t>
  </si>
  <si>
    <t>5 yr, 05-14</t>
  </si>
  <si>
    <t>&lt;01-18+ (OVC &amp; Caregivers)</t>
  </si>
  <si>
    <t>&lt;01-20 (OVC)</t>
  </si>
  <si>
    <t>5 yr, 10-29</t>
  </si>
  <si>
    <t>Females</t>
  </si>
  <si>
    <t>Males</t>
  </si>
  <si>
    <t>Indicator Group</t>
  </si>
  <si>
    <t>TX_PVLS.D.Routine.T</t>
  </si>
  <si>
    <t>TX_PVLS.N.Routine.T</t>
  </si>
  <si>
    <t>PLHIV.T2</t>
  </si>
  <si>
    <t>PopART.Rt.M2</t>
  </si>
  <si>
    <t>TX_CURR_SUBNAT.M2</t>
  </si>
  <si>
    <t>TX_CURR.NatlContr.T2</t>
  </si>
  <si>
    <t>TX_CURR.T2</t>
  </si>
  <si>
    <t>TX_CURR_SUBNAT.T2</t>
  </si>
  <si>
    <t>PopART.Rt.T2</t>
  </si>
  <si>
    <t>TX_RET.Already.T2</t>
  </si>
  <si>
    <t>TX_RET.New.T2</t>
  </si>
  <si>
    <t>TX_INITIATED.T2</t>
  </si>
  <si>
    <t>TX_INITIATED.NewRt.T2</t>
  </si>
  <si>
    <t>TX_NEW.T2</t>
  </si>
  <si>
    <t>EVLT.Rt.T2</t>
  </si>
  <si>
    <t>EVLT.T2</t>
  </si>
  <si>
    <t>TX_PVLS.D.Rt.T2</t>
  </si>
  <si>
    <t>TX_PVLS.D.T2</t>
  </si>
  <si>
    <t>TX_PVLS.N.Rt.T2</t>
  </si>
  <si>
    <t>TX_PVLS.N.T2</t>
  </si>
  <si>
    <t>HTS_TST.Linkage.T2</t>
  </si>
  <si>
    <t>HTS_TST.Pos.Total_With_HEI.T2</t>
  </si>
  <si>
    <t>HTS_TST.PMTCT.Pos.Share.T</t>
  </si>
  <si>
    <t>HTS_TST.PostANC1.Pos.Share.T</t>
  </si>
  <si>
    <t>HTS_TST.TB.Pos.Share.T</t>
  </si>
  <si>
    <t>HTS_TST.VMMC.Pos.Share.T</t>
  </si>
  <si>
    <t>HTS_TST.Index.Pos.Share.T</t>
  </si>
  <si>
    <t>HTS_TST.SNS.Pos.Share.T</t>
  </si>
  <si>
    <t>HTS_TST.ActiveOther.Pos.Share.T</t>
  </si>
  <si>
    <t>HTS_TST.STI.Pos.Share.T</t>
  </si>
  <si>
    <t>HTS_TST.Other.Pos.Share.T</t>
  </si>
  <si>
    <t>HTS_TST.PMTCT.Pos.Share.T2</t>
  </si>
  <si>
    <t>HTS_TST.PostANC1.Pos.Share.T2</t>
  </si>
  <si>
    <t>HTS_TST.TB.Pos.Share.T2</t>
  </si>
  <si>
    <t>HTS_TST.VMMC.Pos.Share.T2</t>
  </si>
  <si>
    <t>HTS_TST.Index.Pos.Share.T2</t>
  </si>
  <si>
    <t>HTS_TST.SNS.Pos.Share.T2</t>
  </si>
  <si>
    <t>HTS_TST.ActiveOther.Pos.Share.T2</t>
  </si>
  <si>
    <t>HTS_TST.STI.Pos.Share.T2</t>
  </si>
  <si>
    <t>HTS_TST.Other.Pos.Share.T2</t>
  </si>
  <si>
    <t>HTS_TST.Pos.DistCheck.T2</t>
  </si>
  <si>
    <t>HTS_RECENT.T</t>
  </si>
  <si>
    <t>HTS_RECENT.Rt.T</t>
  </si>
  <si>
    <t>HTS_RECENT.Rt.T2</t>
  </si>
  <si>
    <t>HTS_RECENT.T2</t>
  </si>
  <si>
    <t>HTS_SELF.T</t>
  </si>
  <si>
    <t>HTS_SELF.T2</t>
  </si>
  <si>
    <t>HTS_SELF.Change.T2</t>
  </si>
  <si>
    <t>PMTCT_STAT.N.Known.Pos.T</t>
  </si>
  <si>
    <t>PMTCT_STAT.N.New.Pos.T</t>
  </si>
  <si>
    <t>PMTCT_STAT.N.New.Neg.T</t>
  </si>
  <si>
    <t>PMTCT_STAT.N.T</t>
  </si>
  <si>
    <t>PMTCT_STAT.N.Known.Pos.T2</t>
  </si>
  <si>
    <t>PMTCT_STAT.N.New.Pos.T2</t>
  </si>
  <si>
    <t>PMTCT_STAT.N.New.Neg.T2</t>
  </si>
  <si>
    <t>PMTCT_STAT.N.T2</t>
  </si>
  <si>
    <t>PMTCT_STAT.N.Change.T2</t>
  </si>
  <si>
    <t>PMTCT_ART.Already.T</t>
  </si>
  <si>
    <t>PMTCT_ART.New.T</t>
  </si>
  <si>
    <t>PMTCT_STAT.Linkage.T2</t>
  </si>
  <si>
    <t>PMTCT_ART.Already.T2</t>
  </si>
  <si>
    <t>PMTCT_ART.New.T2</t>
  </si>
  <si>
    <t>TB_STAT.N.Known.Pos.T</t>
  </si>
  <si>
    <t>TB_STAT.N.New.Pos.T</t>
  </si>
  <si>
    <t>TB_STAT.N.New.Neg.T</t>
  </si>
  <si>
    <t>TB_STAT.N.T</t>
  </si>
  <si>
    <t>TB_STAT.N.Known.Pos.T2</t>
  </si>
  <si>
    <t>TB_STAT.N.New.Pos.T2</t>
  </si>
  <si>
    <t>TB_STAT.N.New.Neg.T2</t>
  </si>
  <si>
    <t>TB_STAT.N.T2</t>
  </si>
  <si>
    <t>TB_STAT.N.Change.T2</t>
  </si>
  <si>
    <t>TB_ART.Already.T</t>
  </si>
  <si>
    <t>TB_ART.New.T</t>
  </si>
  <si>
    <t>TB_STAT.Linkage.T2</t>
  </si>
  <si>
    <t>TB_ART.Already.T2</t>
  </si>
  <si>
    <t>TB_ART.New.T2</t>
  </si>
  <si>
    <t>VMMC_CIRC.Unk.T</t>
  </si>
  <si>
    <t>VMMC_CIRC.Pos.T</t>
  </si>
  <si>
    <t>VMMC_CIRC.Neg.T</t>
  </si>
  <si>
    <t>VMMC_CIRC.T</t>
  </si>
  <si>
    <t>VMMC_CIRC.Unk.T2</t>
  </si>
  <si>
    <t>VMMC_CIRC.Pos.T2</t>
  </si>
  <si>
    <t>VMMC_CIRC.Neg.T2</t>
  </si>
  <si>
    <t>VMMC_CIRC.T2</t>
  </si>
  <si>
    <t>VMMC_CIRC.Change.T2</t>
  </si>
  <si>
    <t>PrEP_NEW.T</t>
  </si>
  <si>
    <t>PrEP_CT.T</t>
  </si>
  <si>
    <t>PrEP_NEW.T2</t>
  </si>
  <si>
    <t>PrEP_CT.T2</t>
  </si>
  <si>
    <t>PrEP_NEW.Change.T2</t>
  </si>
  <si>
    <t>PrEP_CT.Change.T2</t>
  </si>
  <si>
    <t>PP_PREV.T</t>
  </si>
  <si>
    <t>PP_PREV.T2</t>
  </si>
  <si>
    <t>PP_PREV.Change.T2</t>
  </si>
  <si>
    <t>KP_PREV.T2</t>
  </si>
  <si>
    <t>KP_PREV.Change.T2</t>
  </si>
  <si>
    <t>CXCA_SCRN.T</t>
  </si>
  <si>
    <t>CXCA_SCRN.Coverage.T</t>
  </si>
  <si>
    <t>CXCA_SCRN.Coverage.Already.T2</t>
  </si>
  <si>
    <t>CXCA_SCRN.Coverage.Initiated.T2</t>
  </si>
  <si>
    <t>CXCA_SCRN.T2</t>
  </si>
  <si>
    <t>CXCA_SCRN.Coverage.T2</t>
  </si>
  <si>
    <t>TX_TB.D.New.Cov.T</t>
  </si>
  <si>
    <t>TX_TB.D.Already.Cov.T</t>
  </si>
  <si>
    <t>TX_TB.D.New.Cov.T2</t>
  </si>
  <si>
    <t>TX_TB.D.Already.Cov.T2</t>
  </si>
  <si>
    <t>TX_TB.D.Already.Yield.T2</t>
  </si>
  <si>
    <t>TX_TB.D.New.Yield.T2</t>
  </si>
  <si>
    <t>TX_TB.D.Already.Pos.T2</t>
  </si>
  <si>
    <t>TX_TB.D.Already.Neg.T2</t>
  </si>
  <si>
    <t>TX_TB.D.New.Pos.T2</t>
  </si>
  <si>
    <t>TX_TB.D.New.Neg.T2</t>
  </si>
  <si>
    <t>TX_TB.D.Already.Ineligible.T2</t>
  </si>
  <si>
    <t>TX_TB.D.Already.Eligible.T2</t>
  </si>
  <si>
    <t>TX_TB.D.Already.Neg.Linkage.T2</t>
  </si>
  <si>
    <t>TX_TB.D.New.Neg.Linkage.T2</t>
  </si>
  <si>
    <t>TB_PREV.D.Already.T2</t>
  </si>
  <si>
    <t>TB_PREV.D.New.T2</t>
  </si>
  <si>
    <t>TB_PREV.N.Rt.T2</t>
  </si>
  <si>
    <t>TB_PREV.N.Already.T2</t>
  </si>
  <si>
    <t>TB_PREV.N.New.T2</t>
  </si>
  <si>
    <t>OVC_SERV.DREAMS.T</t>
  </si>
  <si>
    <t>OVC_SERV.Prev.T</t>
  </si>
  <si>
    <t>OVC_SERV.Grad.T</t>
  </si>
  <si>
    <t>OVC_SERV.Active.T</t>
  </si>
  <si>
    <t>OVC_SERV.DREAMS.T2</t>
  </si>
  <si>
    <t>OVC_SERV.Prev.T2</t>
  </si>
  <si>
    <t>OVC_SERV.Grad.T2</t>
  </si>
  <si>
    <t>OVC_SERV.Active.T2</t>
  </si>
  <si>
    <t>OVC_SERV.DREAMS.Change.T2</t>
  </si>
  <si>
    <t>OVC_SERV.Prev.Change.T2</t>
  </si>
  <si>
    <t>OVC_SERV.Grad.Change.T2</t>
  </si>
  <si>
    <t>OVC_SERV.Active.Change.T2</t>
  </si>
  <si>
    <t>OVC_HIVSTAT.Rt.T2</t>
  </si>
  <si>
    <t>OVC_HIVSTAT.T2</t>
  </si>
  <si>
    <t>AGYW_PREV.D.T</t>
  </si>
  <si>
    <t>AGYW_PREV.N.T</t>
  </si>
  <si>
    <t>AGYW_PREV.D.T2</t>
  </si>
  <si>
    <t>AGYW_PREV.N.T2</t>
  </si>
  <si>
    <t>AGYW_PREV.D.Change.T2</t>
  </si>
  <si>
    <t>AGYW_PREV.N.Change.T2</t>
  </si>
  <si>
    <t>KP_MAT.T</t>
  </si>
  <si>
    <t>KP_MAT.T2</t>
  </si>
  <si>
    <t>KP_MAT.Change.T2</t>
  </si>
  <si>
    <t>GEND_GBV.PE.T</t>
  </si>
  <si>
    <t>GEND_GBV.S.T</t>
  </si>
  <si>
    <t>GEND_GBV.PE.T2</t>
  </si>
  <si>
    <t>GEND_GBV.S.T2</t>
  </si>
  <si>
    <t>GEND_GBV.PE.Change.T2</t>
  </si>
  <si>
    <t>GEND_GBV.S.Change.T2</t>
  </si>
  <si>
    <t>TB</t>
  </si>
  <si>
    <t>&lt;15</t>
  </si>
  <si>
    <t>15+</t>
  </si>
  <si>
    <t>OVC</t>
  </si>
  <si>
    <t>01-04</t>
  </si>
  <si>
    <t>05-09</t>
  </si>
  <si>
    <t>15-17</t>
  </si>
  <si>
    <t>18-20</t>
  </si>
  <si>
    <t>18+</t>
  </si>
  <si>
    <t>AGYW</t>
  </si>
  <si>
    <t>15-19</t>
  </si>
  <si>
    <t>20-24</t>
  </si>
  <si>
    <t>25-29</t>
  </si>
  <si>
    <t>GEND</t>
  </si>
  <si>
    <t>PMTCT_STAT &amp; PMTCT_ART</t>
  </si>
  <si>
    <t>Partner Country (P.C.) Context</t>
  </si>
  <si>
    <t>New ANC Clients</t>
  </si>
  <si>
    <t>ANC1 Testing - PEPFAR</t>
  </si>
  <si>
    <t>ANC1 Testing - Partner Country</t>
  </si>
  <si>
    <t>ART - PEPFAR</t>
  </si>
  <si>
    <t>ART - Partner Country</t>
  </si>
  <si>
    <t>Post ANC1</t>
  </si>
  <si>
    <t>Testing Rationalization</t>
  </si>
  <si>
    <t>To shut off PMTCT_STAT entirely:
1. Replace all % change values in column T with -100%.</t>
  </si>
  <si>
    <t>P.C. Est. Female Population (FY24)</t>
  </si>
  <si>
    <t>P.C. Est. PLHIV (FY24)</t>
  </si>
  <si>
    <t>P.C. Est. # on ART (FY24)</t>
  </si>
  <si>
    <t>P.C. Est. ART Coverage (ART/PLHIV) (FY24) (%)</t>
  </si>
  <si>
    <t>P.C. New ANC Clients (FY24)</t>
  </si>
  <si>
    <t>P.C. ANC Clients - Known Positive (FY24)</t>
  </si>
  <si>
    <t>P.C. ANC Clients - New Positive (FY24)</t>
  </si>
  <si>
    <t>P.C. ANC Clients - New Negative (FY24)</t>
  </si>
  <si>
    <t>P.C. HIV-positive pregnant women (FY24)</t>
  </si>
  <si>
    <t>P.C. ANC Clients - Already on ART (FY24)</t>
  </si>
  <si>
    <t>P.C. ANC Clients - New on ART (FY24)</t>
  </si>
  <si>
    <t>PMTCT_STAT (D) (FY24)</t>
  </si>
  <si>
    <t>Expected change in new ANC clients (%)</t>
  </si>
  <si>
    <t>PMTCT_STAT (D) (FY25)</t>
  </si>
  <si>
    <t>P.C. % ANC clients served at PEPFAR-supported sites (FY25) (%)</t>
  </si>
  <si>
    <t>P.C. PMTCT_STAT_SUBNAT (D) (FY25)</t>
  </si>
  <si>
    <t xml:space="preserve"> % ANC1 clients Known HIV+ (FY23 Results) (%)</t>
  </si>
  <si>
    <t>% ANC1 clients Known HIV+ (FY25) (%)</t>
  </si>
  <si>
    <t>Yield among Newly Tested ANC1 clients (FY23 Results) (%)</t>
  </si>
  <si>
    <t>Yield among Newly Tested ANC1 clients (FY25) (%)</t>
  </si>
  <si>
    <t>Total P.C. PMTCT_STAT_SUBNAT (N) (FY25)</t>
  </si>
  <si>
    <t>P.C. PMTCT_STAT_SUBNAT (N) - Known Positive (FY25)</t>
  </si>
  <si>
    <t>P.C. PMTCT_STAT_SUBNAT (N) - New Positive (FY25)</t>
  </si>
  <si>
    <t>P.C. PMTCT_STAT_SUBNAT (N) - New Negative (FY25)</t>
  </si>
  <si>
    <t>P.C. HIV+ Pregnant Women (FY25)</t>
  </si>
  <si>
    <t>P.C. HIV+ Pregnant Women Already on ART (FY25)</t>
  </si>
  <si>
    <t>P.C. HIV+ Pregnant Women New on ART (FY25)</t>
  </si>
  <si>
    <t>Total eligible for Post ANC1 retesting (FY25)</t>
  </si>
  <si>
    <t>Yield
(FY23 Results)
(%)</t>
  </si>
  <si>
    <t>Yield
(FY25) (%)</t>
  </si>
  <si>
    <t>Positive (FY25)</t>
  </si>
  <si>
    <t>Negative (FY25)</t>
  </si>
  <si>
    <t>Linked to ART (FY25)</t>
  </si>
  <si>
    <t>Total PMTCT: Positives (ANC1 + Post ANC1, incl. Known Pos) (FY25)</t>
  </si>
  <si>
    <t>Total HTS_TST_POS (FY25)</t>
  </si>
  <si>
    <t>Total New Positives from PMTCT_STAT ANC1 (FY25)</t>
  </si>
  <si>
    <t>Total New Positives from PMTCT Post ANC1 (FY25)</t>
  </si>
  <si>
    <t>Total New Positives from TB_STAT (FY25)</t>
  </si>
  <si>
    <t>Total Positives from All Other Modalities (FY25)</t>
  </si>
  <si>
    <t>jdFCj4dEvIK</t>
  </si>
  <si>
    <t>thhkv2dmiuc</t>
  </si>
  <si>
    <t>jaX3SUTcIki</t>
  </si>
  <si>
    <t>LvwJYdp0Jmr</t>
  </si>
  <si>
    <t>f10j57Ifd7k</t>
  </si>
  <si>
    <t>bu3sosk4HWn</t>
  </si>
  <si>
    <t>mfYq3HGUIX3</t>
  </si>
  <si>
    <t>vsudHZwmvb2</t>
  </si>
  <si>
    <t>CrhtWrSnb2D</t>
  </si>
  <si>
    <t>PLHIV.T_1</t>
  </si>
  <si>
    <t>PMTCT_STAT.D.T_1</t>
  </si>
  <si>
    <t>PMTCT_STAT.D.Growth.T</t>
  </si>
  <si>
    <t>PMTCT_STAT.D.T</t>
  </si>
  <si>
    <t>PMTCT_STAT.D.NatlContr.T</t>
  </si>
  <si>
    <t>PMTCT_STAT_SUBNAT.D.T</t>
  </si>
  <si>
    <t>PMTCT_STAT.N.Known.PosRt.R</t>
  </si>
  <si>
    <t>PMTCT_STAT.N.Known.PosRt.T</t>
  </si>
  <si>
    <t>PMTCT_STAT.N.New.Yield.R</t>
  </si>
  <si>
    <t>PMTCT_STAT.N.New.Yield.T</t>
  </si>
  <si>
    <t>PMTCT_STAT_SUBNAT.N.T</t>
  </si>
  <si>
    <t>PMTCT_STAT_SUBNAT.N.Known.Pos.T</t>
  </si>
  <si>
    <t>PMTCT_STAT_SUBNAT.N.New.Pos.T</t>
  </si>
  <si>
    <t>PMTCT_STAT_SUBNAT.N.New.Neg.T</t>
  </si>
  <si>
    <t>PMTCT_STAT.Linkage.T</t>
  </si>
  <si>
    <t>PMTCT_ART_SUBNAT.D.T</t>
  </si>
  <si>
    <t>PMTCT_ART_SUBNAT.N.Already.T</t>
  </si>
  <si>
    <t>PMTCT_ART_SUBNAT.N.New.T</t>
  </si>
  <si>
    <t>HTS_TST.PostANC1.Eligible.T</t>
  </si>
  <si>
    <t>HTS_TST.PostANC1.Yield</t>
  </si>
  <si>
    <t>HTS_TST.PostANC1.Yield.T</t>
  </si>
  <si>
    <t>HTS_TST.PostANC1.Pos.Linkage.T</t>
  </si>
  <si>
    <t>HTS_TST.PostANC1.Pos.T</t>
  </si>
  <si>
    <t>HTS_TST.PostANC1.Neg.T</t>
  </si>
  <si>
    <t>TX_NEW.PostANC1.T</t>
  </si>
  <si>
    <t>PMTCT.Pos.T</t>
  </si>
  <si>
    <t>HTS_TST.Pos.T</t>
  </si>
  <si>
    <t>HTS_TST.PMTCT_STAT.New.Pos.T</t>
  </si>
  <si>
    <t>HTS_TST.PostANC1.New.Pos.T</t>
  </si>
  <si>
    <t>HTS_TST.TB.New.Pos.T</t>
  </si>
  <si>
    <t>HTS_TST.Total_Other.Pos.T</t>
  </si>
  <si>
    <t>PMTCT_EID</t>
  </si>
  <si>
    <t>PMTCT_EID (N)</t>
  </si>
  <si>
    <t>PMTCT_HEI_POS (N)</t>
  </si>
  <si>
    <t>Est. # infants born to HIV-positive women (FY25)</t>
  </si>
  <si>
    <t>Targeted % HIV-exposed infants tested by 2 months (FY25) (%)</t>
  </si>
  <si>
    <t>Targeted % HIV-exposed infants tested by 12 months (FY25) (%)</t>
  </si>
  <si>
    <t>≤ 02 months (FY25)</t>
  </si>
  <si>
    <t>02 - 12 months (FY25)</t>
  </si>
  <si>
    <t>Est. Positivity Rate, ≤ 02 months (FY23 Results) (%)</t>
  </si>
  <si>
    <t>Est. Positivity Rate, 02 - 12 months (FY23 Results) (%)</t>
  </si>
  <si>
    <t>Est. Positivity Rate, ≤ 02 months (FY25) (%)</t>
  </si>
  <si>
    <t>Est. Positivity Rate, 02 - 12 months (FY25) (%)</t>
  </si>
  <si>
    <t>Total HIV+ infants identified (FY25)</t>
  </si>
  <si>
    <t>HIV+ infants Initiated on ART (FY25)</t>
  </si>
  <si>
    <t>Targeted TX Retention Rate (FY25) (%)</t>
  </si>
  <si>
    <t>HIV+ infants retained on ART at end of FY25</t>
  </si>
  <si>
    <t>% Eligible for VLT (FY25) (%)</t>
  </si>
  <si>
    <t>HIV+ Infants Eligible for VLT (FY25)</t>
  </si>
  <si>
    <t>Targeted VLT Coverage (FY25) (%)</t>
  </si>
  <si>
    <t>HIV+ infants tested for VLS (FY25)</t>
  </si>
  <si>
    <t>Targeted VLS Rate (FY25) (%)</t>
  </si>
  <si>
    <t>HIV+ infants  Virally Suppressed (FY25)</t>
  </si>
  <si>
    <t>aXwcGB1xILs</t>
  </si>
  <si>
    <t>pEQUH1BXyEt</t>
  </si>
  <si>
    <t>J4SQd7SnDi2.fELDwOVs9TV</t>
  </si>
  <si>
    <t>pbXCUjm50XK.fELDwOVs9TV</t>
  </si>
  <si>
    <t>PMTCT_EID.D.T</t>
  </si>
  <si>
    <t>PMTCT_EID.2.Rt.T</t>
  </si>
  <si>
    <t>PMTCT_EID.12.Rt.T</t>
  </si>
  <si>
    <t>PMTCT_EID.N.2.T</t>
  </si>
  <si>
    <t>PMTCT_EID.N.12.T</t>
  </si>
  <si>
    <t>PMTCT_HEI_POS.2.Yield.R</t>
  </si>
  <si>
    <t>PMTCT_HEI_POS.12.Yield.R</t>
  </si>
  <si>
    <t>PMTCT_HEI_POS.2.Yield.T</t>
  </si>
  <si>
    <t>PMTCT_HEI_POS.12.Yield.T</t>
  </si>
  <si>
    <t>PMTCT_HEI_POS.T</t>
  </si>
  <si>
    <t>PMTCT_HEI_POS.Linkage.T</t>
  </si>
  <si>
    <t>PMTCT_HEI_POS.Ret.T</t>
  </si>
  <si>
    <t>PMTCT_HEI_POS.TX_CURR.T</t>
  </si>
  <si>
    <t>PMTCT_HEI_POS.Eligible.Rt.T</t>
  </si>
  <si>
    <t>PMTCT_HEI_POS.EVLT.T</t>
  </si>
  <si>
    <t>PMTCT_HEI_POS.TX_PVLS.D.Rt.T</t>
  </si>
  <si>
    <t>PMTCT_HEI_POS.TX_PVLS.D.T</t>
  </si>
  <si>
    <t>PMTCT_HEI_POS.TX_PVLS.N.Rt.T</t>
  </si>
  <si>
    <t>PMTCT_HEI_POS.TX_PVLS.N.T</t>
  </si>
  <si>
    <t>Public Health Reference Laboratory (PHL) [UCy710RAWRp]</t>
  </si>
  <si>
    <t>TB_STAT &amp; TB_ART</t>
  </si>
  <si>
    <t>TB_STAT (D)</t>
  </si>
  <si>
    <t>TB_STAT (N)</t>
  </si>
  <si>
    <t>To shut off TB_STAT entirely:
1. Replace all formulas for "TB_STAT (D) (FY25)" targets with zeros.</t>
  </si>
  <si>
    <t>TB_STAT (D) (FY24)</t>
  </si>
  <si>
    <t>Expected Change in Incidence (%)</t>
  </si>
  <si>
    <t>TB_STAT (D) (FY25)</t>
  </si>
  <si>
    <t>TB_STAT (N): New Positives (FY24)</t>
  </si>
  <si>
    <t>% TB clients Known HIV+ (FY23 Results) (%)</t>
  </si>
  <si>
    <t>% TB clients already Known HIV+ (FY25) (%)</t>
  </si>
  <si>
    <t>Yield among Newly Tested (FY23 Results) (%)</t>
  </si>
  <si>
    <t>Yield among Newly Tested (FY25) (%)</t>
  </si>
  <si>
    <t>Total Positives from VMMC_CIRC (FY25)</t>
  </si>
  <si>
    <t>eeYmLTvWk8k</t>
  </si>
  <si>
    <t>OLbVI34nrpu</t>
  </si>
  <si>
    <t>VkrrexUefpS</t>
  </si>
  <si>
    <t>VVixfmL4Try</t>
  </si>
  <si>
    <t>TB_STAT.D.T_1</t>
  </si>
  <si>
    <t>TB_STAT.D.Growth.T</t>
  </si>
  <si>
    <t>TB_STAT.D.T</t>
  </si>
  <si>
    <t>TB_STAT.N.New.Pos.T_1</t>
  </si>
  <si>
    <t>TB_STAT.N.Known.Pos.Rt.R</t>
  </si>
  <si>
    <t>TB_STAT.N.Known.Pos.Rt.T</t>
  </si>
  <si>
    <t>TB_STAT.N.New.Yield.R</t>
  </si>
  <si>
    <t>TB_STAT.N.New.Yield.T</t>
  </si>
  <si>
    <t>TB_STAT.Linkage.T</t>
  </si>
  <si>
    <t>HTS_TST.VMMC.Pos.T</t>
  </si>
  <si>
    <t>VMMC</t>
  </si>
  <si>
    <t>VMMC_CIRC_SUBNAT</t>
  </si>
  <si>
    <t>To shut off VMMC_CIRC entirely:
1. Replace all formulas for "Total VMMC_CIRC" with zeros.</t>
  </si>
  <si>
    <t>P.C. Est. Male Population (FY24)</t>
  </si>
  <si>
    <t>PEPFAR Total VMMC_CIRC (FY23 Results)</t>
  </si>
  <si>
    <t>PEPFAR Total VMMC_CIRC (FY24 Targets)</t>
  </si>
  <si>
    <t>P.C. # Circumcised in FY24</t>
  </si>
  <si>
    <t>P.C. Total # Ever Circumcised (FY24)</t>
  </si>
  <si>
    <t>P.C. Est. VMMC Coverage (FY24) (%)</t>
  </si>
  <si>
    <t>Targeted P.C. VMMC Coverage (FY25) (%)</t>
  </si>
  <si>
    <t>Targeted P.C. Total # Ever Circumcised (FY25)</t>
  </si>
  <si>
    <t>Targeted P.C. # Circumcised in FY25</t>
  </si>
  <si>
    <t>% P.C. VMMC provided at PEPFAR-supported sites (FY25) (%)</t>
  </si>
  <si>
    <t>_Military ONLY: Expected change in VMMC_CIRC (%)</t>
  </si>
  <si>
    <t>Indeterminate/Not Tested rate
(FY23 Results) (%)</t>
  </si>
  <si>
    <t>Indeterminate/Not Tested rate
(FY25) (%)</t>
  </si>
  <si>
    <t>Total VMMC_CIRC</t>
  </si>
  <si>
    <t>Not Tested by PEPFAR</t>
  </si>
  <si>
    <t>HIV Positive</t>
  </si>
  <si>
    <t>HIV Negative</t>
  </si>
  <si>
    <t>Total Positives from TB_STAT (FY25)</t>
  </si>
  <si>
    <t>Total Tests from All Other Modalities (FY25)</t>
  </si>
  <si>
    <t>cRCw63EQEbM</t>
  </si>
  <si>
    <t>TiMvlchPiPH</t>
  </si>
  <si>
    <t>xlSW2W3YGtk</t>
  </si>
  <si>
    <t>VMMC_CIRC.R</t>
  </si>
  <si>
    <t>VMMC_CIRC.T_1</t>
  </si>
  <si>
    <t>VMMC_TOTALCIRC_SUBNAT.Rt.T_1</t>
  </si>
  <si>
    <t>VMMC_TOTALCIRC_SUBNAT.Rt.T</t>
  </si>
  <si>
    <t>VMMC_TOTALCIRC_SUBNAT.T</t>
  </si>
  <si>
    <t>VMMC_CIRC_SUBNAT.T</t>
  </si>
  <si>
    <t>VMMC_CIRC.NatlContr.T</t>
  </si>
  <si>
    <t>VMMC_CIRC.Change.Military</t>
  </si>
  <si>
    <t>VMMC_CIRC.Unk.Rt.R</t>
  </si>
  <si>
    <t>VMMC_CIRC.Unk.Rt.T</t>
  </si>
  <si>
    <t>VMMC_CIRC.Yield.R</t>
  </si>
  <si>
    <t>VMMC_CIRC.Yield.T</t>
  </si>
  <si>
    <t>PrEP_CT - HIV Testing</t>
  </si>
  <si>
    <t>HTS_TST_NEG
(FY25)</t>
  </si>
  <si>
    <t>PrEP_NEW (FY23 Results)</t>
  </si>
  <si>
    <t>PrEP_NEW (FY24 Targets)</t>
  </si>
  <si>
    <t>PrEP_CT (FY23 Results)</t>
  </si>
  <si>
    <t>PrEP_CT (FY24 Targets)</t>
  </si>
  <si>
    <t>PREP_CT (FY25)</t>
  </si>
  <si>
    <t># of PrEP follow-up visits per year</t>
  </si>
  <si>
    <t>PrEP_CT - # HIV tests administered (FY25)</t>
  </si>
  <si>
    <t>KNO4emPfF91</t>
  </si>
  <si>
    <t>rXV784LlUQ4</t>
  </si>
  <si>
    <t>ectUGvYjtaK</t>
  </si>
  <si>
    <t>agoURWZyPpn</t>
  </si>
  <si>
    <t>DNuQYS2nIPf</t>
  </si>
  <si>
    <t>b6OI9qB0Who</t>
  </si>
  <si>
    <t>DjW93zhi4zZ</t>
  </si>
  <si>
    <t>CWZXh58dLvF</t>
  </si>
  <si>
    <t>G7SQxPyGfFo</t>
  </si>
  <si>
    <t>ovFwBkjVLZA</t>
  </si>
  <si>
    <t>10 yr, 15-29</t>
  </si>
  <si>
    <t>HTS_TST.Neg.T</t>
  </si>
  <si>
    <t>PrEP_NEW.R</t>
  </si>
  <si>
    <t>PrEP_NEW.T_1</t>
  </si>
  <si>
    <t>PrEP_CT.R</t>
  </si>
  <si>
    <t>PrEP_CT.T_1</t>
  </si>
  <si>
    <t>PrEP_CT.Freq.T</t>
  </si>
  <si>
    <t>PrEP_CT.TestResult.T</t>
  </si>
  <si>
    <t>HTS</t>
  </si>
  <si>
    <t>Testing Summary from Other Tabs</t>
  </si>
  <si>
    <t>HTS_TST - Distribution of Positive Tests</t>
  </si>
  <si>
    <t>Active Index (Facility and Community Index)</t>
  </si>
  <si>
    <t>Active SNS (Facility and Community SNS)</t>
  </si>
  <si>
    <t>Active Other (Community Other and Community Mobile)</t>
  </si>
  <si>
    <t>STI Clinic (Facility)</t>
  </si>
  <si>
    <t>Other Facility (Facility: Inpatient, Emergency, Other PITC, VCT, Pediatric, Malnutrition)</t>
  </si>
  <si>
    <t>HTS_TST (Total)</t>
  </si>
  <si>
    <t>HTS_SELF (N)</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</si>
  <si>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</si>
  <si>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PMTCT_STAT New Positives (FY25)</t>
  </si>
  <si>
    <t>HTS_TST Post ANC1 New Positives (FY25)</t>
  </si>
  <si>
    <t>TB_STAT New Positives (FY25)</t>
  </si>
  <si>
    <t>VMMC_CIRC New Positives (FY25)</t>
  </si>
  <si>
    <t>HTS_TST_POS from All Other Modalities (FY25)</t>
  </si>
  <si>
    <t>Active Index (%)</t>
  </si>
  <si>
    <t>Active SNS (%)</t>
  </si>
  <si>
    <t>Active Other (%)</t>
  </si>
  <si>
    <t>STI Clinic (%)</t>
  </si>
  <si>
    <t>Other Facility (%)</t>
  </si>
  <si>
    <t>Yield (%)</t>
  </si>
  <si>
    <t>Positive</t>
  </si>
  <si>
    <t>Negative</t>
  </si>
  <si>
    <t>Original HTS_TST_POS (FY25)</t>
  </si>
  <si>
    <t>Final HTS_TST_POS (FY25)</t>
  </si>
  <si>
    <t>HTS_TST_POS difference to adjust</t>
  </si>
  <si>
    <t>PMTCT_STAT New Negatives (FY25)</t>
  </si>
  <si>
    <t>HTS_TST Post ANC1 Negatives (FY25)</t>
  </si>
  <si>
    <t>TB_STAT New Negatives (FY25)</t>
  </si>
  <si>
    <t>VMMC_CIRC New Negatives (FY25)</t>
  </si>
  <si>
    <t>PrEP_CT Total (FY25)</t>
  </si>
  <si>
    <t>Total HTS_TST_NEG (FY25)</t>
  </si>
  <si>
    <t>Total HTS_TST (FY25)</t>
  </si>
  <si>
    <t>Aggregate Yield Rate (FY25) (%)</t>
  </si>
  <si>
    <t>HTS_SELF (FY24 Targets)</t>
  </si>
  <si>
    <t>% Change in HTS_SELF (%)</t>
  </si>
  <si>
    <t>Aggregate Recency Test Coverage (FY25) (%)</t>
  </si>
  <si>
    <t>Total HTS_RECENT (FY25)</t>
  </si>
  <si>
    <t>r9N46a1q942</t>
  </si>
  <si>
    <t>SsqfZeIs1Va</t>
  </si>
  <si>
    <t>hAX7DTwvdQS</t>
  </si>
  <si>
    <t>OeY8AsZ6vWL</t>
  </si>
  <si>
    <t>jeNpjmy1XaX</t>
  </si>
  <si>
    <t>Jky7p2XOCNk</t>
  </si>
  <si>
    <t>b1643s4qxZA</t>
  </si>
  <si>
    <t>NcMMbbymtij</t>
  </si>
  <si>
    <t>p17Oj2I1PVH</t>
  </si>
  <si>
    <t>HTS_TST.Pos.Total_Other.T</t>
  </si>
  <si>
    <t>HTS_TST.PMTCT.Pos.Share</t>
  </si>
  <si>
    <t>HTS_TST.PostANC1.Pos.Share</t>
  </si>
  <si>
    <t>HTS_TST.TB.Pos.Share</t>
  </si>
  <si>
    <t>HTS_TST.VMMC.Pos.Share</t>
  </si>
  <si>
    <t>HTS_TST.Index.Pos.Share.T_1</t>
  </si>
  <si>
    <t>HTS_TST.SNS.Pos.Share</t>
  </si>
  <si>
    <t>HTS_TST.ActiveOther.Pos.Share</t>
  </si>
  <si>
    <t>HTS_TST.STI.Pos.Share</t>
  </si>
  <si>
    <t>HTS_TST.Other.Pos.Share</t>
  </si>
  <si>
    <t>HTS_TST.Pos.DistCheck</t>
  </si>
  <si>
    <t>HTS.Index.Pos.Yield</t>
  </si>
  <si>
    <t>HTS.Index.Pos.T</t>
  </si>
  <si>
    <t>HTS.Index.Neg.T</t>
  </si>
  <si>
    <t>HTS_TST.SNS.Yield</t>
  </si>
  <si>
    <t>HTS_TST.SNS.Pos.T</t>
  </si>
  <si>
    <t>HTS_TST.SNS.Neg.T</t>
  </si>
  <si>
    <t>HTS_TST.ActiveOther.Yield</t>
  </si>
  <si>
    <t>HTS_TST.ActiveOther.Pos.T</t>
  </si>
  <si>
    <t>HTS_TST.ActiveOther.Neg.T</t>
  </si>
  <si>
    <t>HTS_TST.STI.Yield</t>
  </si>
  <si>
    <t>HTS_TST.STI.Pos.T</t>
  </si>
  <si>
    <t>HTS_TST.STI.Neg.T</t>
  </si>
  <si>
    <t>HTS_TST.Other.Yield</t>
  </si>
  <si>
    <t>HTS_TST.Other.Pos.T</t>
  </si>
  <si>
    <t>HTS_TST.Other.Neg.T</t>
  </si>
  <si>
    <t>HTS_TST.Pos.Original</t>
  </si>
  <si>
    <t>HTS_TST.Pos.Total</t>
  </si>
  <si>
    <t>HTS_TST.Pos.Diff</t>
  </si>
  <si>
    <t>PrEP_CT.Total.T</t>
  </si>
  <si>
    <t>HTS_TST.Neg.Total</t>
  </si>
  <si>
    <t>HTS_TST.Total</t>
  </si>
  <si>
    <t>HTS_TST.Yield</t>
  </si>
  <si>
    <t>HTS_SELF.T_1</t>
  </si>
  <si>
    <t>HTS_SELF.Growth</t>
  </si>
  <si>
    <t>CXCA</t>
  </si>
  <si>
    <t>To shut off CXCA_SCRN entirely, replace all percentages in the green column, "Target CXCA Screening coverage rate (%)" with zeros.</t>
  </si>
  <si>
    <t>CXCA_SCRN (FY23 Results)</t>
  </si>
  <si>
    <t>CXCA_SCRN (FY24 Targets)</t>
  </si>
  <si>
    <t>TX_CURR (FY24)</t>
  </si>
  <si>
    <t>CXCA_SCRN Coverage (FY23 Results) (%)</t>
  </si>
  <si>
    <t>CXCA_SCRN Coverage - Already on ART (FY25) (%)</t>
  </si>
  <si>
    <t>CXCA_SCRN Coverage - Initiated on ART (FY25) (%)</t>
  </si>
  <si>
    <t>XboLlTkc4Av</t>
  </si>
  <si>
    <t>XWK6yAwhol8</t>
  </si>
  <si>
    <t>wQ5XOuU0LVH</t>
  </si>
  <si>
    <t>CXCA_SCRN.R</t>
  </si>
  <si>
    <t>CXCA_SCRN.T_1</t>
  </si>
  <si>
    <t>CXCA_SCRN.Rt.R</t>
  </si>
  <si>
    <t>CXCA_SCRN.Already.Rt.T</t>
  </si>
  <si>
    <t>CXCA_SCRN.Initiated.Rt.T</t>
  </si>
  <si>
    <t>TX_TB &amp; TB_PREV</t>
  </si>
  <si>
    <t>TX_TB (D)</t>
  </si>
  <si>
    <t>TX_NEW (FY25)</t>
  </si>
  <si>
    <t>Targeted coverage: Already on ART (FY25) (%)</t>
  </si>
  <si>
    <t>Targeted coverage: New on ART (FY25) (%)</t>
  </si>
  <si>
    <t>Est. TB Screen Positivity Rate: Already on ART (FY25) (%)</t>
  </si>
  <si>
    <t>Est. TB Screen Positivity Rate: New on ART (FY25) (%)</t>
  </si>
  <si>
    <t>Already on ART, TB Screen + (FY25)</t>
  </si>
  <si>
    <t>Already on ART, TB Screen - (FY25)</t>
  </si>
  <si>
    <t>New on ART, TB Screen + (FY25)</t>
  </si>
  <si>
    <t>New on ART, TB Screen - (FY25)</t>
  </si>
  <si>
    <t>Cumulative Previous Completion of TPT (Results FY18-23)</t>
  </si>
  <si>
    <t>TB_PREV (N) - Already on ART (FY24 Targets)</t>
  </si>
  <si>
    <t>TB_PREV (N) - New on ART (FY24 Targets)</t>
  </si>
  <si>
    <t>Est. total # completed TPT in last 7 years (FY25)</t>
  </si>
  <si>
    <t>Est. % Eligible for TPT among Already on ART, TB Screen - (FY25) (%)</t>
  </si>
  <si>
    <t>% TPT Initiation Rate - Already on ART (FY25) (%)</t>
  </si>
  <si>
    <t>% TPT Initiation Rate - New on ART (FY25) (%)</t>
  </si>
  <si>
    <t>Targeted TPT completion (FY25) (%)</t>
  </si>
  <si>
    <t>Projected Change: Already on ART (FY25) (%)</t>
  </si>
  <si>
    <t>Projected Change: New on ART (FY25) (%)</t>
  </si>
  <si>
    <t>DcQet8tM3my</t>
  </si>
  <si>
    <t>MdqPezsikDr</t>
  </si>
  <si>
    <t>HUgQMmRVHMS</t>
  </si>
  <si>
    <t>TX_TB.D.Already.Cov</t>
  </si>
  <si>
    <t>TX_TB.D.New.Cov</t>
  </si>
  <si>
    <t>TX_TB.D.Already.Yield</t>
  </si>
  <si>
    <t>TX_TB.D.New.Yield</t>
  </si>
  <si>
    <t>TX_TB.D.Already.Pos.T</t>
  </si>
  <si>
    <t>TX_TB.D.Already.Neg.T</t>
  </si>
  <si>
    <t>TX_TB.D.New.Pos.T</t>
  </si>
  <si>
    <t>TX_TB.D.New.Neg.T</t>
  </si>
  <si>
    <t>TB_PREV.N.R</t>
  </si>
  <si>
    <t>TB_PREV.N.Already.T_1</t>
  </si>
  <si>
    <t>TB_PREV.N.New.T_1</t>
  </si>
  <si>
    <t>TX_TB.D.Already.Ineligible.T_1</t>
  </si>
  <si>
    <t>TX_TB.D.Already.Eligible.T</t>
  </si>
  <si>
    <t>TX_TB.D.Already.Neg.Linkage</t>
  </si>
  <si>
    <t>TX_TB.D.New.Neg.Linkage</t>
  </si>
  <si>
    <t>TB_PREV.D.Already.T</t>
  </si>
  <si>
    <t>TB_PREV.D.New.T</t>
  </si>
  <si>
    <t>TB_PREV.N.Rt.T</t>
  </si>
  <si>
    <t>TB_PREV.N.Already.T</t>
  </si>
  <si>
    <t>TB_PREV.N.New.T</t>
  </si>
  <si>
    <t>TB_PREV.N.Already.Growth.T</t>
  </si>
  <si>
    <t>TB_PREV.N.New.Growth.T</t>
  </si>
  <si>
    <t>PP_PREV (FY24)</t>
  </si>
  <si>
    <t>Expected change in PP_PREV services (%)</t>
  </si>
  <si>
    <t>HV0zRuYnuv8</t>
  </si>
  <si>
    <t>PP_PREV.T_1</t>
  </si>
  <si>
    <t>PP_PREV.Growth.T</t>
  </si>
  <si>
    <t>DREAMS SNU?</t>
  </si>
  <si>
    <t>Total OVC_SERV (FY24 Targets)</t>
  </si>
  <si>
    <t>Projected Net Change in OVC_SERV (FY25) (%)</t>
  </si>
  <si>
    <t>Targeted DREAMS % of Total OVC_SERV (FY25) (%)</t>
  </si>
  <si>
    <t>Targeted Preventive % of Total OVC_SERV (FY25) (%)</t>
  </si>
  <si>
    <t>Targeted Comprehensive % of Total OVC_SERV (FY25) (%)</t>
  </si>
  <si>
    <t>Targeted Graduation Rate among Comprehensive (FY25) (%)</t>
  </si>
  <si>
    <t>Total OVC_SERV (FY25)</t>
  </si>
  <si>
    <t>Targeted % Comprehensive OVC (&lt;18) with reported HIV Status (FY25) (%)</t>
  </si>
  <si>
    <t># OVC with reported HIV Status (FY25)</t>
  </si>
  <si>
    <t>Qk8HjZeOBom.TIuD9nSQAd9</t>
  </si>
  <si>
    <t>DsIC5hZsqDF</t>
  </si>
  <si>
    <t>ZTN9wn0OQt1</t>
  </si>
  <si>
    <t>Tp792ZiaQed</t>
  </si>
  <si>
    <t>DREAMS_SNU.Flag</t>
  </si>
  <si>
    <t>OVC_SERV.T_1</t>
  </si>
  <si>
    <t>OVC_SERV.Growth.T</t>
  </si>
  <si>
    <t>OVC_SERV.DREAMS.Rt.T</t>
  </si>
  <si>
    <t>OVC_SERV.Prev.Rt.T</t>
  </si>
  <si>
    <t>OVC_SERV.Comp.Rt.T</t>
  </si>
  <si>
    <t>OVC_SERV.Grad.Rt.T</t>
  </si>
  <si>
    <t>OVC_SERV.T</t>
  </si>
  <si>
    <t>OVC_HIVSTAT.Rt.T</t>
  </si>
  <si>
    <t>OVC_HIVSTAT.T</t>
  </si>
  <si>
    <t>Y</t>
  </si>
  <si>
    <t>Physical/Emotional Violence (FY24 Targets)</t>
  </si>
  <si>
    <t>Sexual Violence (FY24 Targets)</t>
  </si>
  <si>
    <t>Projected change in GEND_GBV - Sexual Violence services (%)</t>
  </si>
  <si>
    <t>XUtNKyPozHq</t>
  </si>
  <si>
    <t>GEND_GBV.PE.T_1</t>
  </si>
  <si>
    <t>GEND_GBV.S.T_1</t>
  </si>
  <si>
    <t>GEND_GBV.S.Growth.T</t>
  </si>
  <si>
    <t>DREAMS SNUs are denoted as DNUs, though are here referred to as PSNUs. Note that these are equivalent in all PEPFAR countries except Rwanda and Eswatini.</t>
  </si>
  <si>
    <t>From AGYW Sat App
Est. Female Population (FY24)</t>
  </si>
  <si>
    <t>H.C. Est. # of Vulnerable AGYW (FY24)</t>
  </si>
  <si>
    <t>Primary Package Incomplete: Service Started (FY23 Results)</t>
  </si>
  <si>
    <t>Primary Package Incomplete: Service Completed (FY23 Results)</t>
  </si>
  <si>
    <t>Primary Package Completed (FY23 Results)</t>
  </si>
  <si>
    <t>Primary Package and Secondary (FY23 Results)</t>
  </si>
  <si>
    <t>Total AGYW_PREV (FY23 Results)</t>
  </si>
  <si>
    <t>Observed Percent Completion (FY23 Results) (%)</t>
  </si>
  <si>
    <t>Projected Net Change in Total AGYW_PREV (%)</t>
  </si>
  <si>
    <t>Targeted Percent Completion (FY25) (%)</t>
  </si>
  <si>
    <t>Denominator - Started or Completed any DREAMS Service (FY25)</t>
  </si>
  <si>
    <t>Numerator - Completed at least Primary Package (FY25)</t>
  </si>
  <si>
    <t>aZrOAEKtXAo</t>
  </si>
  <si>
    <t>RAZ3P5llmi4</t>
  </si>
  <si>
    <t>ZW2qWywZuGl</t>
  </si>
  <si>
    <t>gGkFUE1ob8y</t>
  </si>
  <si>
    <t>Xxj42CRWEPD</t>
  </si>
  <si>
    <t>KvVcLT8u0I7</t>
  </si>
  <si>
    <t>sKjBJe2Um3s</t>
  </si>
  <si>
    <t>IKC8RWqIbx9</t>
  </si>
  <si>
    <t>AGYW_SUBNAT.T_1</t>
  </si>
  <si>
    <t>AGYW_APP_SAT.Rt.T</t>
  </si>
  <si>
    <t>AGYW_APP_REACH.T</t>
  </si>
  <si>
    <t>AGYW_PREV.D.T_1</t>
  </si>
  <si>
    <t>AGYW_PREV.Started.R</t>
  </si>
  <si>
    <t>AGYW_PREV.Incomplete.R</t>
  </si>
  <si>
    <t>AGYW_PREV.Complete.R</t>
  </si>
  <si>
    <t>AGYW_PREV.CompletePlus.R</t>
  </si>
  <si>
    <t>AGYW_PREV.D.R</t>
  </si>
  <si>
    <t>AGYW_PREV.N.Rt.R</t>
  </si>
  <si>
    <t>AGYW_PREV.D.Growth.T</t>
  </si>
  <si>
    <t>AGYW_PREV.N.Rt.T</t>
  </si>
  <si>
    <t>P.C. Est. KP_MAT_SUBNAT (FY24)</t>
  </si>
  <si>
    <t>PEPFAR KP_MAT (FY24 Targets)</t>
  </si>
  <si>
    <t>Observed PEPFAR Coverage of KP_MAT_SUBNAT (FY24 Targets) (%)</t>
  </si>
  <si>
    <t>Targeted PEPFAR Coverage of KP_MAT_SUBNAT (FY25) (%)</t>
  </si>
  <si>
    <t>Projected Change in KP_MAT (%)</t>
  </si>
  <si>
    <t>P.C. KP_MAT_SUBNAT (FY25)</t>
  </si>
  <si>
    <t>ctGo7s0K63z</t>
  </si>
  <si>
    <t>KJZrqS4XcJ2</t>
  </si>
  <si>
    <t>KP_MAT_SUBNAT.T_1</t>
  </si>
  <si>
    <t>KP_MAT.T_1</t>
  </si>
  <si>
    <t>KP_MAT.NatlContr.T_1</t>
  </si>
  <si>
    <t>KP_MAT.NatlContr.T</t>
  </si>
  <si>
    <t>KP_MAT.Growth.T</t>
  </si>
  <si>
    <t>KP_MAT_SUBNAT.T</t>
  </si>
  <si>
    <t>KP Validation</t>
  </si>
  <si>
    <t>HTS_TST - Positives</t>
  </si>
  <si>
    <t>HTS_TST - Negatives</t>
  </si>
  <si>
    <t>For each indicator, red highlighting may indicate:
- MSM &gt; Males
- FSW &gt; Females
- After removing MSM &amp; FSW from Total Targets, the sum of People in prisons and other enclosed settings, PWID, &amp; TG is still higher than the remainder from Total Targets.</t>
  </si>
  <si>
    <t>Total Targets</t>
  </si>
  <si>
    <t>KP Targets Validation</t>
  </si>
  <si>
    <t>Female, 15+ (FY25)</t>
  </si>
  <si>
    <t>AGYW, 15-34 (FY25)</t>
  </si>
  <si>
    <t>Male, 15+ (FY25)</t>
  </si>
  <si>
    <t>PrEP_CT.Female.T</t>
  </si>
  <si>
    <t>PrEP_CT.AGYW.T</t>
  </si>
  <si>
    <t>PrEP_CT.Male.T</t>
  </si>
  <si>
    <t>PrEP_CT.KP.FSW.T</t>
  </si>
  <si>
    <t>PrEP_CT.KP.MSM.T</t>
  </si>
  <si>
    <t>PrEP_CT.KP.Enclosed.T</t>
  </si>
  <si>
    <t>PrEP_CT.KP.PWID.T</t>
  </si>
  <si>
    <t>PrEP_CT.KP.TG.T</t>
  </si>
  <si>
    <t>PrEP_NEW.Female.T</t>
  </si>
  <si>
    <t>PrEP_NEW.AGYW.T</t>
  </si>
  <si>
    <t>PrEP_NEW.Male.T</t>
  </si>
  <si>
    <t>PrEP_NEW.KP.FSW.T</t>
  </si>
  <si>
    <t>PrEP_NEW.KP.MSM.T</t>
  </si>
  <si>
    <t>PrEP_NEW.KP.Enclosed.T</t>
  </si>
  <si>
    <t>PrEP_NEW.KP.PWID.T</t>
  </si>
  <si>
    <t>PrEP_NEW.KP.TG.T</t>
  </si>
  <si>
    <t>TX_CURR.Female.T</t>
  </si>
  <si>
    <t>TX_CURR.Male.T</t>
  </si>
  <si>
    <t>TX_CURR.KP.FSW.T</t>
  </si>
  <si>
    <t>TX_CURR.KP.MSM.T</t>
  </si>
  <si>
    <t>TX_CURR.KP.Enclosed.T</t>
  </si>
  <si>
    <t>TX_CURR.KP.PWID.T</t>
  </si>
  <si>
    <t>TX_CURR.KP.TG.T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</si>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</sst>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2"/>
      <color theme="1"/>
      <name val="Calibri"/>
      <family val="2"/>
      <scheme val="minor"/>
    </font>
    <font>
      <sz val="12"/>
      <color theme="1"/>
      <name val="Calibri"/>
      <family val="2"/>
    </font>
    <font>
      <b/>
      <sz val="12"/>
      <color theme="1"/>
      <name val="Calibri"/>
      <family val="2"/>
      <scheme val="minor"/>
    </font>
    <font>
      <i/>
      <sz val="14"/>
      <color theme="1"/>
      <name val="Calibri"/>
      <family val="2"/>
      <scheme val="minor"/>
    </font>
    <font>
      <sz val="12"/>
      <color rgb="FF000000"/>
      <name val="Calibri"/>
      <family val="2"/>
      <scheme val="minor"/>
    </font>
    <font>
      <b/>
      <sz val="18"/>
      <color theme="0"/>
      <name val="Calibri"/>
      <family val="2"/>
      <scheme val="minor"/>
    </font>
    <font>
      <sz val="18"/>
      <color theme="0"/>
      <name val="Calibri"/>
      <family val="2"/>
      <scheme val="minor"/>
    </font>
    <font>
      <b/>
      <sz val="12"/>
      <color theme="0" tint="-0.249977111117893"/>
      <name val="Calibri"/>
      <family val="2"/>
      <scheme val="minor"/>
    </font>
    <font>
      <sz val="12"/>
      <color theme="0" tint="-0.249977111117893"/>
      <name val="Calibri"/>
      <family val="2"/>
      <scheme val="minor"/>
    </font>
    <font>
      <b/>
      <sz val="11"/>
      <color theme="1"/>
      <name val="Calibri"/>
      <family val="2"/>
      <scheme val="minor"/>
    </font>
    <font>
      <b/>
      <sz val="18"/>
      <color rgb="FF000000"/>
      <name val="Calibri"/>
      <family val="2"/>
      <scheme val="minor"/>
    </font>
    <font>
      <sz val="12"/>
      <color theme="1"/>
      <name val="Calibri"/>
      <family val="2"/>
      <scheme val="minor"/>
    </font>
    <font>
      <b/>
      <sz val="12"/>
      <color rgb="FF000000"/>
      <name val="Calibri"/>
      <family val="2"/>
      <scheme val="minor"/>
    </font>
    <font>
      <i/>
      <sz val="14"/>
      <color rgb="FF000000"/>
      <name val="Calibri"/>
      <family val="2"/>
      <scheme val="minor"/>
    </font>
    <font>
      <b/>
      <sz val="11"/>
      <color rgb="FF000000"/>
      <name val="Calibri"/>
      <family val="2"/>
      <scheme val="minor"/>
    </font>
    <font>
      <sz val="12"/>
      <color theme="1"/>
      <name val="Calibri (Body)"/>
    </font>
    <font>
      <b/>
      <sz val="18"/>
      <color theme="1"/>
      <name val="Calibri"/>
      <family val="2"/>
      <scheme val="minor"/>
    </font>
    <font>
      <sz val="11"/>
      <color theme="1"/>
      <name val="Calibri"/>
      <family val="2"/>
      <scheme val="minor"/>
    </font>
    <font>
      <sz val="12"/>
      <color theme="10"/>
      <name val="Calibri"/>
      <family val="2"/>
      <scheme val="minor"/>
    </font>
    <font>
      <b/>
      <i/>
      <sz val="14"/>
      <color theme="1"/>
      <name val="Calibri"/>
      <family val="2"/>
      <scheme val="minor"/>
    </font>
    <font>
      <b/>
      <sz val="14"/>
      <color theme="1"/>
      <name val="Calibri"/>
      <family val="2"/>
      <scheme val="minor"/>
    </font>
    <font>
      <b/>
      <sz val="12"/>
      <color theme="10"/>
      <name val="Calibri"/>
      <family val="2"/>
      <scheme val="minor"/>
    </font>
    <font>
      <sz val="36"/>
      <color rgb="FF7F7F7F"/>
      <name val="Calibri"/>
      <family val="2"/>
    </font>
    <font>
      <b/>
      <sz val="76"/>
      <color rgb="FF000000"/>
      <name val="Calibri"/>
      <family val="2"/>
    </font>
    <font>
      <b/>
      <sz val="64"/>
      <color rgb="FF073763"/>
      <name val="Calibri"/>
      <family val="2"/>
    </font>
    <font>
      <b/>
      <sz val="12"/>
      <color theme="1"/>
      <name val="Calibri"/>
      <family val="2"/>
    </font>
    <font>
      <sz val="12"/>
      <color theme="0"/>
      <name val="Calibri"/>
      <family val="2"/>
      <scheme val="minor"/>
    </font>
    <font>
      <b/>
      <u/>
      <sz val="12"/>
      <color theme="0"/>
      <name val="Calibri"/>
      <family val="2"/>
      <scheme val="minor"/>
    </font>
    <font>
      <b/>
      <sz val="12"/>
      <color theme="0"/>
      <name val="Calibri"/>
      <family val="2"/>
      <scheme val="minor"/>
    </font>
    <font>
      <b/>
      <sz val="10"/>
      <color rgb="FF000000"/>
      <name val="Tahoma"/>
      <family val="2"/>
    </font>
    <font>
      <sz val="10"/>
      <color rgb="FF000000"/>
      <name val="Tahoma"/>
      <family val="2"/>
    </font>
    <font>
      <b/>
      <sz val="10"/>
      <color rgb="FF000000"/>
      <name val="Tahoma"/>
      <family val="34"/>
    </font>
    <font>
      <sz val="10"/>
      <color rgb="FF000000"/>
      <name val="Tahoma"/>
      <family val="34"/>
    </font>
    <font>
      <b/>
      <sz val="10"/>
      <color rgb="FF000000"/>
      <name val="Calibri"/>
      <family val="2"/>
    </font>
    <font>
      <sz val="10"/>
      <color rgb="FF000000"/>
      <name val="Calibri"/>
      <family val="2"/>
    </font>
    <font>
      <sz val="10.5"/>
      <color rgb="FF000000"/>
      <name val="Calibri"/>
      <family val="2"/>
    </font>
    <font>
      <sz val="12"/>
      <color theme="1"/>
      <name val="Calibri"/>
      <family val="2"/>
    </font>
    <font>
      <sz val="11"/>
      <color rgb="FF000000"/>
      <name val="Calibri"/>
      <family val="2"/>
    </font>
    <font>
      <sz val="12"/>
      <color rgb="FF000000"/>
      <name val="Calibri"/>
      <family val="2"/>
    </font>
    <font>
      <b/>
      <sz val="12"/>
      <color theme="1"/>
      <name val="Calibri"/>
      <family val="2"/>
    </font>
    <font>
      <sz val="12"/>
      <color rgb="FF9C5700"/>
      <name val="Calibri"/>
      <family val="2"/>
      <charset val="1"/>
    </font>
    <font>
      <sz val="12"/>
      <color rgb="FF000000"/>
      <name val="Calibri"/>
      <family val="2"/>
    </font>
  </fonts>
  <fills count="11">
    <fill>
      <patternFill patternType="none"/>
    </fill>
    <fill>
      <patternFill patternType="gray125"/>
    </fill>
    <fill>
      <patternFill patternType="solid">
        <fgColor theme="0" tint="-0.249977111117893"/>
        <bgColor indexed="64"/>
      </patternFill>
    </fill>
    <fill>
      <patternFill patternType="solid">
        <fgColor rgb="FF073763"/>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79998168889431442"/>
        <bgColor indexed="64"/>
      </patternFill>
    </fill>
    <fill>
      <patternFill patternType="solid">
        <fgColor rgb="FF073763"/>
      </patternFill>
    </fill>
    <fill>
      <patternFill patternType="solid">
        <fgColor rgb="FFFFEB84"/>
      </patternFill>
    </fill>
    <fill>
      <patternFill patternType="solid">
        <fgColor rgb="FFFFEB9C"/>
        <bgColor rgb="FF000000"/>
      </patternFill>
    </fill>
  </fills>
  <borders count="9">
    <border>
      <left/>
      <right/>
      <top/>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6">
    <xf numFmtId="0" fontId="0" fillId="0" borderId="0" xfId="0"/>
    <xf numFmtId="49" fontId="1" fillId="0" borderId="0" xfId="0" applyNumberFormat="1" applyFont="1"/>
    <xf numFmtId="3" fontId="2" fillId="0" borderId="0" xfId="0" applyNumberFormat="1" applyFont="1"/>
    <xf numFmtId="49" fontId="2" fillId="0" borderId="0" xfId="0" applyNumberFormat="1" applyFont="1"/>
    <xf numFmtId="49" fontId="3" fillId="0" borderId="0" xfId="0" applyNumberFormat="1" applyFont="1"/>
    <xf numFmtId="49" fontId="1" fillId="0" borderId="0" xfId="0" applyNumberFormat="1" applyFont="1" applyAlignment="1">
      <alignment horizontal="right"/>
    </xf>
    <xf numFmtId="3" fontId="1" fillId="2" borderId="1" xfId="0" applyNumberFormat="1" applyFont="1" applyFill="1" applyBorder="1" applyAlignment="1">
      <alignment horizontal="center" vertical="center" wrapText="1"/>
    </xf>
    <xf numFmtId="3" fontId="3" fillId="0" borderId="1" xfId="0" applyNumberFormat="1" applyFont="1" applyBorder="1" applyAlignment="1">
      <alignment horizontal="left"/>
    </xf>
    <xf numFmtId="3" fontId="1" fillId="0" borderId="1" xfId="0" applyNumberFormat="1" applyFont="1" applyBorder="1" applyAlignment="1">
      <alignment horizontal="left"/>
    </xf>
    <xf numFmtId="49" fontId="1" fillId="0" borderId="0" xfId="0" applyNumberFormat="1" applyFont="1" applyAlignment="1">
      <alignment horizontal="center" vertical="center" wrapText="1"/>
    </xf>
    <xf numFmtId="49" fontId="4" fillId="0" borderId="0" xfId="0" applyNumberFormat="1" applyFont="1"/>
    <xf numFmtId="3" fontId="5" fillId="3" borderId="1" xfId="0" applyNumberFormat="1" applyFont="1" applyFill="1" applyBorder="1" applyAlignment="1">
      <alignment horizontal="left" vertical="center"/>
    </xf>
    <xf numFmtId="3" fontId="5" fillId="3" borderId="0" xfId="0" applyNumberFormat="1" applyFont="1" applyFill="1" applyAlignment="1">
      <alignment horizontal="left" vertical="center"/>
    </xf>
    <xf numFmtId="3" fontId="6" fillId="3" borderId="0" xfId="0" applyNumberFormat="1" applyFont="1" applyFill="1" applyAlignment="1">
      <alignment vertical="center"/>
    </xf>
    <xf numFmtId="3" fontId="2" fillId="4" borderId="0" xfId="0" applyNumberFormat="1" applyFont="1" applyFill="1" applyAlignment="1">
      <alignment horizontal="center" vertical="center" wrapText="1"/>
    </xf>
    <xf numFmtId="49" fontId="2" fillId="2" borderId="0" xfId="0" applyNumberFormat="1" applyFont="1" applyFill="1"/>
    <xf numFmtId="3" fontId="7" fillId="2" borderId="1" xfId="0" applyNumberFormat="1" applyFont="1" applyFill="1" applyBorder="1" applyAlignment="1">
      <alignment horizontal="left"/>
    </xf>
    <xf numFmtId="3" fontId="7" fillId="2" borderId="0" xfId="0" applyNumberFormat="1" applyFont="1" applyFill="1" applyAlignment="1">
      <alignment horizontal="left"/>
    </xf>
    <xf numFmtId="3" fontId="8" fillId="2" borderId="0" xfId="0" applyNumberFormat="1" applyFont="1" applyFill="1"/>
    <xf numFmtId="3" fontId="1" fillId="0" borderId="0" xfId="0" applyNumberFormat="1" applyFont="1" applyAlignment="1">
      <alignment horizontal="left"/>
    </xf>
    <xf numFmtId="3" fontId="9" fillId="0" borderId="0" xfId="0" applyNumberFormat="1" applyFont="1" applyAlignment="1">
      <alignment horizontal="center"/>
    </xf>
    <xf numFmtId="3" fontId="1" fillId="5" borderId="1" xfId="0" applyNumberFormat="1" applyFont="1" applyFill="1" applyBorder="1" applyAlignment="1">
      <alignment horizontal="left"/>
    </xf>
    <xf numFmtId="3" fontId="2" fillId="5" borderId="0" xfId="0" applyNumberFormat="1" applyFont="1" applyFill="1" applyAlignment="1">
      <alignment horizontal="left"/>
    </xf>
    <xf numFmtId="49" fontId="10" fillId="0" borderId="0" xfId="0" applyNumberFormat="1" applyFont="1" applyAlignment="1">
      <alignment vertical="center"/>
    </xf>
    <xf numFmtId="3" fontId="3" fillId="0" borderId="0" xfId="0" applyNumberFormat="1" applyFont="1"/>
    <xf numFmtId="3" fontId="11" fillId="2" borderId="0" xfId="0" applyNumberFormat="1" applyFont="1" applyFill="1" applyAlignment="1">
      <alignment horizontal="center" vertical="center" wrapText="1"/>
    </xf>
    <xf numFmtId="3" fontId="1" fillId="0" borderId="0" xfId="0" applyNumberFormat="1" applyFont="1" applyAlignment="1">
      <alignment horizontal="center"/>
    </xf>
    <xf numFmtId="3" fontId="2" fillId="0" borderId="0" xfId="0" applyNumberFormat="1" applyFont="1" applyAlignment="1">
      <alignment horizontal="left"/>
    </xf>
    <xf numFmtId="3" fontId="11" fillId="0" borderId="0" xfId="0" applyNumberFormat="1" applyFont="1" applyAlignment="1">
      <alignment horizontal="right"/>
    </xf>
    <xf numFmtId="3" fontId="11" fillId="0" borderId="0" xfId="0" applyNumberFormat="1" applyFont="1"/>
    <xf numFmtId="3" fontId="11" fillId="2" borderId="1" xfId="0" applyNumberFormat="1" applyFont="1" applyFill="1" applyBorder="1" applyAlignment="1">
      <alignment horizontal="center" vertical="center" wrapText="1"/>
    </xf>
    <xf numFmtId="9" fontId="3" fillId="0" borderId="1" xfId="0" applyNumberFormat="1" applyFont="1" applyBorder="1"/>
    <xf numFmtId="9" fontId="3" fillId="0" borderId="0" xfId="0" applyNumberFormat="1" applyFont="1"/>
    <xf numFmtId="9" fontId="1" fillId="0" borderId="0" xfId="0" applyNumberFormat="1" applyFont="1"/>
    <xf numFmtId="9" fontId="11" fillId="0" borderId="0" xfId="0" applyNumberFormat="1" applyFont="1"/>
    <xf numFmtId="3" fontId="1" fillId="0" borderId="0" xfId="0" applyNumberFormat="1" applyFont="1" applyAlignment="1">
      <alignment horizontal="right"/>
    </xf>
    <xf numFmtId="9" fontId="1" fillId="0" borderId="1" xfId="0" applyNumberFormat="1" applyFont="1" applyBorder="1"/>
    <xf numFmtId="9" fontId="4" fillId="0" borderId="0" xfId="0" applyNumberFormat="1" applyFont="1" applyAlignment="1">
      <alignment horizontal="right"/>
    </xf>
    <xf numFmtId="3" fontId="1" fillId="0" borderId="0" xfId="0" applyNumberFormat="1" applyFont="1"/>
    <xf numFmtId="3" fontId="12" fillId="0" borderId="0" xfId="0" applyNumberFormat="1" applyFont="1" applyAlignment="1">
      <alignment horizontal="right"/>
    </xf>
    <xf numFmtId="9" fontId="4" fillId="0" borderId="0" xfId="0" applyNumberFormat="1" applyFont="1"/>
    <xf numFmtId="9" fontId="1" fillId="0" borderId="0" xfId="0" applyNumberFormat="1" applyFont="1" applyAlignment="1">
      <alignment horizontal="right"/>
    </xf>
    <xf numFmtId="9" fontId="11" fillId="4" borderId="0" xfId="0" applyNumberFormat="1" applyFont="1" applyFill="1" applyAlignment="1">
      <alignment horizontal="center" vertical="center" wrapText="1"/>
    </xf>
    <xf numFmtId="3" fontId="5" fillId="3" borderId="0" xfId="0" applyNumberFormat="1" applyFont="1" applyFill="1" applyAlignment="1">
      <alignment vertical="center"/>
    </xf>
    <xf numFmtId="9" fontId="6" fillId="3" borderId="0" xfId="0" applyNumberFormat="1" applyFont="1" applyFill="1" applyAlignment="1">
      <alignment vertical="center"/>
    </xf>
    <xf numFmtId="9" fontId="5" fillId="3" borderId="0" xfId="0" applyNumberFormat="1" applyFont="1" applyFill="1" applyAlignment="1">
      <alignment vertical="center"/>
    </xf>
    <xf numFmtId="49" fontId="12" fillId="2" borderId="0" xfId="0" applyNumberFormat="1" applyFont="1" applyFill="1" applyAlignment="1">
      <alignment horizontal="left"/>
    </xf>
    <xf numFmtId="49" fontId="12" fillId="2" borderId="0" xfId="0" applyNumberFormat="1" applyFont="1" applyFill="1"/>
    <xf numFmtId="9" fontId="8" fillId="2" borderId="0" xfId="0" applyNumberFormat="1" applyFont="1" applyFill="1"/>
    <xf numFmtId="3" fontId="7" fillId="2" borderId="0" xfId="0" applyNumberFormat="1" applyFont="1" applyFill="1"/>
    <xf numFmtId="9" fontId="8" fillId="2" borderId="0" xfId="0" applyNumberFormat="1" applyFont="1" applyFill="1" applyAlignment="1">
      <alignment horizontal="left"/>
    </xf>
    <xf numFmtId="3" fontId="11" fillId="4" borderId="0" xfId="0" applyNumberFormat="1" applyFont="1" applyFill="1" applyAlignment="1">
      <alignment horizontal="center" vertical="center" wrapText="1"/>
    </xf>
    <xf numFmtId="3" fontId="5" fillId="3" borderId="1" xfId="0" applyNumberFormat="1" applyFont="1" applyFill="1" applyBorder="1" applyAlignment="1">
      <alignment vertical="center"/>
    </xf>
    <xf numFmtId="9" fontId="5" fillId="3" borderId="1" xfId="0" applyNumberFormat="1" applyFont="1" applyFill="1" applyBorder="1" applyAlignment="1">
      <alignment vertical="center"/>
    </xf>
    <xf numFmtId="10" fontId="8" fillId="2" borderId="0" xfId="0" applyNumberFormat="1" applyFont="1" applyFill="1"/>
    <xf numFmtId="3" fontId="8" fillId="2" borderId="1" xfId="0" applyNumberFormat="1" applyFont="1" applyFill="1" applyBorder="1"/>
    <xf numFmtId="9" fontId="8" fillId="2" borderId="1" xfId="0" applyNumberFormat="1" applyFont="1" applyFill="1" applyBorder="1"/>
    <xf numFmtId="10" fontId="5" fillId="3" borderId="0" xfId="0" applyNumberFormat="1" applyFont="1" applyFill="1" applyAlignment="1">
      <alignment vertical="center"/>
    </xf>
    <xf numFmtId="3" fontId="7" fillId="2" borderId="1" xfId="0" applyNumberFormat="1" applyFont="1" applyFill="1" applyBorder="1"/>
    <xf numFmtId="3" fontId="1" fillId="4" borderId="0" xfId="0" applyNumberFormat="1" applyFont="1" applyFill="1" applyAlignment="1">
      <alignment horizontal="center" vertical="center" wrapText="1"/>
    </xf>
    <xf numFmtId="9" fontId="11" fillId="4" borderId="1" xfId="0" applyNumberFormat="1" applyFont="1" applyFill="1" applyBorder="1" applyAlignment="1">
      <alignment horizontal="center" vertical="center" wrapText="1"/>
    </xf>
    <xf numFmtId="9" fontId="13" fillId="0" borderId="0" xfId="0" applyNumberFormat="1" applyFont="1" applyAlignment="1">
      <alignment horizontal="center"/>
    </xf>
    <xf numFmtId="3" fontId="14" fillId="0" borderId="0" xfId="0" applyNumberFormat="1" applyFont="1" applyAlignment="1">
      <alignment horizontal="center"/>
    </xf>
    <xf numFmtId="3" fontId="2" fillId="5" borderId="0" xfId="0" applyNumberFormat="1" applyFont="1" applyFill="1"/>
    <xf numFmtId="3" fontId="1" fillId="5" borderId="0" xfId="0" applyNumberFormat="1" applyFont="1" applyFill="1"/>
    <xf numFmtId="3" fontId="1" fillId="5" borderId="1" xfId="0" applyNumberFormat="1" applyFont="1" applyFill="1" applyBorder="1"/>
    <xf numFmtId="3" fontId="2" fillId="5" borderId="1" xfId="0" applyNumberFormat="1" applyFont="1" applyFill="1" applyBorder="1"/>
    <xf numFmtId="3" fontId="1" fillId="0" borderId="0" xfId="0" applyNumberFormat="1" applyFont="1" applyAlignment="1">
      <alignment horizontal="center" vertical="center" wrapText="1"/>
    </xf>
    <xf numFmtId="3" fontId="10" fillId="0" borderId="0" xfId="0" applyNumberFormat="1" applyFont="1" applyAlignment="1">
      <alignment vertical="center"/>
    </xf>
    <xf numFmtId="3" fontId="2" fillId="2" borderId="0" xfId="0" applyNumberFormat="1" applyFont="1" applyFill="1" applyAlignment="1">
      <alignment horizontal="center" vertical="center" wrapText="1"/>
    </xf>
    <xf numFmtId="3" fontId="12" fillId="2" borderId="0" xfId="0" applyNumberFormat="1" applyFont="1" applyFill="1"/>
    <xf numFmtId="3" fontId="12" fillId="2" borderId="0" xfId="0" applyNumberFormat="1" applyFont="1" applyFill="1" applyAlignment="1">
      <alignment horizontal="left"/>
    </xf>
    <xf numFmtId="3" fontId="1" fillId="4" borderId="1" xfId="0" applyNumberFormat="1" applyFont="1" applyFill="1" applyBorder="1" applyAlignment="1">
      <alignment horizontal="center" vertical="center" wrapText="1"/>
    </xf>
    <xf numFmtId="3" fontId="11" fillId="4" borderId="1" xfId="0" applyNumberFormat="1" applyFont="1" applyFill="1" applyBorder="1" applyAlignment="1">
      <alignment horizontal="center" vertical="center" wrapText="1"/>
    </xf>
    <xf numFmtId="3" fontId="14" fillId="0" borderId="1" xfId="0" applyNumberFormat="1" applyFont="1" applyBorder="1" applyAlignment="1">
      <alignment horizontal="center"/>
    </xf>
    <xf numFmtId="3" fontId="2" fillId="2" borderId="1" xfId="0" applyNumberFormat="1" applyFont="1" applyFill="1" applyBorder="1" applyAlignment="1">
      <alignment horizontal="center" vertical="center" wrapText="1"/>
    </xf>
    <xf numFmtId="9" fontId="13" fillId="0" borderId="1" xfId="0" applyNumberFormat="1" applyFont="1" applyBorder="1" applyAlignment="1">
      <alignment horizontal="left"/>
    </xf>
    <xf numFmtId="9" fontId="1" fillId="0" borderId="1" xfId="0" applyNumberFormat="1" applyFont="1" applyBorder="1" applyAlignment="1">
      <alignment horizontal="right"/>
    </xf>
    <xf numFmtId="9" fontId="7" fillId="2" borderId="1" xfId="0" applyNumberFormat="1" applyFont="1" applyFill="1" applyBorder="1" applyAlignment="1">
      <alignment horizontal="left"/>
    </xf>
    <xf numFmtId="9" fontId="4" fillId="0" borderId="1" xfId="0" applyNumberFormat="1" applyFont="1" applyBorder="1"/>
    <xf numFmtId="9" fontId="13" fillId="0" borderId="1" xfId="0" applyNumberFormat="1" applyFont="1" applyBorder="1"/>
    <xf numFmtId="9" fontId="4" fillId="0" borderId="1" xfId="0" applyNumberFormat="1" applyFont="1" applyBorder="1" applyAlignment="1">
      <alignment horizontal="right"/>
    </xf>
    <xf numFmtId="9" fontId="8" fillId="2" borderId="1" xfId="0" applyNumberFormat="1" applyFont="1" applyFill="1" applyBorder="1" applyAlignment="1">
      <alignment horizontal="left"/>
    </xf>
    <xf numFmtId="3" fontId="13" fillId="0" borderId="0" xfId="0" applyNumberFormat="1" applyFont="1" applyAlignment="1">
      <alignment horizontal="center"/>
    </xf>
    <xf numFmtId="3" fontId="8" fillId="2" borderId="0" xfId="0" applyNumberFormat="1" applyFont="1" applyFill="1" applyAlignment="1">
      <alignment horizontal="left"/>
    </xf>
    <xf numFmtId="3" fontId="4" fillId="0" borderId="0" xfId="0" applyNumberFormat="1" applyFont="1"/>
    <xf numFmtId="10" fontId="11" fillId="4" borderId="0" xfId="0" applyNumberFormat="1" applyFont="1" applyFill="1" applyAlignment="1">
      <alignment horizontal="center" vertical="center" wrapText="1"/>
    </xf>
    <xf numFmtId="10" fontId="11" fillId="0" borderId="0" xfId="0" applyNumberFormat="1" applyFont="1" applyAlignment="1">
      <alignment horizontal="right"/>
    </xf>
    <xf numFmtId="10" fontId="1" fillId="5" borderId="0" xfId="0" applyNumberFormat="1" applyFont="1" applyFill="1"/>
    <xf numFmtId="10" fontId="11" fillId="0" borderId="0" xfId="0" applyNumberFormat="1" applyFont="1"/>
    <xf numFmtId="9" fontId="11" fillId="2" borderId="0" xfId="0" applyNumberFormat="1" applyFont="1" applyFill="1" applyAlignment="1">
      <alignment horizontal="center" vertical="center" wrapText="1"/>
    </xf>
    <xf numFmtId="9" fontId="13" fillId="0" borderId="0" xfId="0" applyNumberFormat="1" applyFont="1"/>
    <xf numFmtId="1" fontId="6" fillId="3" borderId="0" xfId="0" applyNumberFormat="1" applyFont="1" applyFill="1" applyAlignment="1">
      <alignment vertical="center"/>
    </xf>
    <xf numFmtId="1" fontId="3" fillId="0" borderId="0" xfId="0" applyNumberFormat="1" applyFont="1"/>
    <xf numFmtId="1" fontId="11" fillId="4" borderId="0" xfId="0" applyNumberFormat="1" applyFont="1" applyFill="1" applyAlignment="1">
      <alignment horizontal="center" vertical="center" wrapText="1"/>
    </xf>
    <xf numFmtId="1" fontId="4" fillId="0" borderId="0" xfId="0" applyNumberFormat="1" applyFont="1" applyAlignment="1">
      <alignment horizontal="right"/>
    </xf>
    <xf numFmtId="1" fontId="11" fillId="0" borderId="0" xfId="0" applyNumberFormat="1" applyFont="1"/>
    <xf numFmtId="1" fontId="8" fillId="2" borderId="0" xfId="0" applyNumberFormat="1" applyFont="1" applyFill="1"/>
    <xf numFmtId="1" fontId="1" fillId="0" borderId="0" xfId="0" applyNumberFormat="1" applyFont="1"/>
    <xf numFmtId="3" fontId="12" fillId="0" borderId="0" xfId="0" applyNumberFormat="1" applyFont="1"/>
    <xf numFmtId="3" fontId="4" fillId="0" borderId="0" xfId="0" applyNumberFormat="1" applyFont="1" applyAlignment="1">
      <alignment horizontal="right"/>
    </xf>
    <xf numFmtId="3" fontId="13" fillId="0" borderId="0" xfId="0" applyNumberFormat="1" applyFont="1"/>
    <xf numFmtId="1" fontId="5" fillId="3" borderId="0" xfId="0" applyNumberFormat="1" applyFont="1" applyFill="1" applyAlignment="1">
      <alignment vertical="center"/>
    </xf>
    <xf numFmtId="1" fontId="1" fillId="6" borderId="0" xfId="0" applyNumberFormat="1" applyFont="1" applyFill="1"/>
    <xf numFmtId="3" fontId="1" fillId="0" borderId="1" xfId="0" applyNumberFormat="1" applyFont="1" applyBorder="1"/>
    <xf numFmtId="3" fontId="3" fillId="0" borderId="1" xfId="0" applyNumberFormat="1" applyFont="1" applyBorder="1"/>
    <xf numFmtId="3" fontId="1" fillId="0" borderId="1" xfId="0" applyNumberFormat="1" applyFont="1" applyBorder="1" applyAlignment="1">
      <alignment horizontal="right"/>
    </xf>
    <xf numFmtId="3" fontId="2" fillId="0" borderId="1" xfId="0" applyNumberFormat="1" applyFont="1" applyBorder="1"/>
    <xf numFmtId="3" fontId="4" fillId="0" borderId="1" xfId="0" applyNumberFormat="1" applyFont="1" applyBorder="1" applyAlignment="1">
      <alignment horizontal="right"/>
    </xf>
    <xf numFmtId="3" fontId="1" fillId="2" borderId="0" xfId="0" applyNumberFormat="1" applyFont="1" applyFill="1" applyAlignment="1">
      <alignment horizontal="center" vertical="center" wrapText="1"/>
    </xf>
    <xf numFmtId="10" fontId="1" fillId="0" borderId="0" xfId="0" applyNumberFormat="1" applyFont="1"/>
    <xf numFmtId="10" fontId="3" fillId="0" borderId="0" xfId="0" applyNumberFormat="1" applyFont="1"/>
    <xf numFmtId="49" fontId="16" fillId="0" borderId="0" xfId="0" applyNumberFormat="1" applyFont="1" applyAlignment="1">
      <alignment vertical="center"/>
    </xf>
    <xf numFmtId="3" fontId="11" fillId="0" borderId="1" xfId="0" applyNumberFormat="1" applyFont="1" applyBorder="1" applyAlignment="1">
      <alignment horizontal="right"/>
    </xf>
    <xf numFmtId="3" fontId="11" fillId="0" borderId="1" xfId="0" applyNumberFormat="1" applyFont="1" applyBorder="1"/>
    <xf numFmtId="3" fontId="2" fillId="0" borderId="1" xfId="0" applyNumberFormat="1" applyFont="1" applyBorder="1" applyAlignment="1">
      <alignment horizontal="right"/>
    </xf>
    <xf numFmtId="9" fontId="11" fillId="0" borderId="1" xfId="0" applyNumberFormat="1" applyFont="1" applyBorder="1"/>
    <xf numFmtId="9" fontId="11" fillId="0" borderId="1" xfId="0" applyNumberFormat="1" applyFont="1" applyBorder="1" applyAlignment="1">
      <alignment horizontal="right"/>
    </xf>
    <xf numFmtId="10" fontId="2" fillId="0" borderId="0" xfId="0" applyNumberFormat="1" applyFont="1"/>
    <xf numFmtId="10" fontId="7" fillId="2" borderId="0" xfId="0" applyNumberFormat="1" applyFont="1" applyFill="1"/>
    <xf numFmtId="3" fontId="17" fillId="0" borderId="0" xfId="0" applyNumberFormat="1" applyFont="1" applyAlignment="1">
      <alignment horizontal="center"/>
    </xf>
    <xf numFmtId="49" fontId="2" fillId="0" borderId="0" xfId="0" applyNumberFormat="1" applyFont="1" applyAlignment="1">
      <alignment horizontal="center" vertical="center" wrapText="1"/>
    </xf>
    <xf numFmtId="3" fontId="9" fillId="0" borderId="1" xfId="0" applyNumberFormat="1" applyFont="1" applyBorder="1" applyAlignment="1">
      <alignment horizontal="center"/>
    </xf>
    <xf numFmtId="3" fontId="2" fillId="4" borderId="1" xfId="0" applyNumberFormat="1" applyFont="1" applyFill="1" applyBorder="1" applyAlignment="1">
      <alignment horizontal="center" vertical="center" wrapText="1"/>
    </xf>
    <xf numFmtId="49" fontId="11" fillId="0" borderId="0" xfId="0" applyNumberFormat="1" applyFont="1" applyAlignment="1">
      <alignment horizontal="right"/>
    </xf>
    <xf numFmtId="10" fontId="9" fillId="0" borderId="0" xfId="0" applyNumberFormat="1" applyFont="1" applyAlignment="1">
      <alignment horizontal="center"/>
    </xf>
    <xf numFmtId="10" fontId="2" fillId="4" borderId="0" xfId="0" applyNumberFormat="1" applyFont="1" applyFill="1" applyAlignment="1">
      <alignment horizontal="center" vertical="center" wrapText="1"/>
    </xf>
    <xf numFmtId="3" fontId="11" fillId="5" borderId="1" xfId="0" applyNumberFormat="1" applyFont="1" applyFill="1" applyBorder="1"/>
    <xf numFmtId="49" fontId="11" fillId="0" borderId="0" xfId="0" applyNumberFormat="1" applyFont="1"/>
    <xf numFmtId="3" fontId="11" fillId="5" borderId="0" xfId="0" applyNumberFormat="1" applyFont="1" applyFill="1"/>
    <xf numFmtId="10" fontId="2" fillId="5" borderId="0" xfId="0" applyNumberFormat="1" applyFont="1" applyFill="1"/>
    <xf numFmtId="3" fontId="2" fillId="2" borderId="0" xfId="0" applyNumberFormat="1" applyFont="1" applyFill="1"/>
    <xf numFmtId="3" fontId="2" fillId="0" borderId="0" xfId="0" applyNumberFormat="1" applyFont="1" applyAlignment="1">
      <alignment horizontal="right"/>
    </xf>
    <xf numFmtId="3" fontId="4" fillId="2" borderId="0" xfId="0" applyNumberFormat="1" applyFont="1" applyFill="1" applyAlignment="1">
      <alignment horizontal="center" vertical="center" wrapText="1"/>
    </xf>
    <xf numFmtId="9" fontId="4" fillId="4" borderId="1" xfId="0" applyNumberFormat="1" applyFont="1" applyFill="1" applyBorder="1" applyAlignment="1">
      <alignment horizontal="center" vertical="center" wrapText="1"/>
    </xf>
    <xf numFmtId="9" fontId="4" fillId="4" borderId="0" xfId="0" applyNumberFormat="1" applyFont="1" applyFill="1" applyAlignment="1">
      <alignment horizontal="center" vertical="center" wrapText="1"/>
    </xf>
    <xf numFmtId="9" fontId="11" fillId="0" borderId="0" xfId="0" applyNumberFormat="1" applyFont="1" applyAlignment="1">
      <alignment horizontal="right"/>
    </xf>
    <xf numFmtId="10" fontId="6" fillId="3" borderId="0" xfId="0" applyNumberFormat="1" applyFont="1" applyFill="1" applyAlignment="1">
      <alignment vertical="center"/>
    </xf>
    <xf numFmtId="10" fontId="17" fillId="0" borderId="0" xfId="0" applyNumberFormat="1" applyFont="1" applyAlignment="1">
      <alignment horizontal="center"/>
    </xf>
    <xf numFmtId="10" fontId="1" fillId="2" borderId="0" xfId="0" applyNumberFormat="1" applyFont="1" applyFill="1" applyAlignment="1">
      <alignment horizontal="center" vertical="center" wrapText="1"/>
    </xf>
    <xf numFmtId="10" fontId="1" fillId="0" borderId="0" xfId="0" applyNumberFormat="1" applyFont="1" applyAlignment="1">
      <alignment horizontal="right"/>
    </xf>
    <xf numFmtId="10" fontId="2" fillId="0" borderId="0" xfId="0" applyNumberFormat="1" applyFont="1" applyAlignment="1">
      <alignment horizontal="right"/>
    </xf>
    <xf numFmtId="3" fontId="18" fillId="2" borderId="1" xfId="0" applyNumberFormat="1" applyFont="1" applyFill="1" applyBorder="1" applyAlignment="1">
      <alignment horizontal="center" vertical="center" wrapText="1"/>
    </xf>
    <xf numFmtId="3" fontId="18" fillId="2" borderId="0" xfId="0" applyNumberFormat="1" applyFont="1" applyFill="1" applyAlignment="1">
      <alignment horizontal="center" vertical="center" wrapText="1"/>
    </xf>
    <xf numFmtId="9" fontId="18" fillId="2" borderId="0" xfId="0" applyNumberFormat="1" applyFont="1" applyFill="1" applyAlignment="1">
      <alignment horizontal="center" vertical="center" wrapText="1"/>
    </xf>
    <xf numFmtId="9" fontId="18" fillId="2" borderId="1" xfId="0" applyNumberFormat="1" applyFont="1" applyFill="1" applyBorder="1" applyAlignment="1">
      <alignment horizontal="center" vertical="center" wrapText="1"/>
    </xf>
    <xf numFmtId="3" fontId="19" fillId="0" borderId="0" xfId="0" applyNumberFormat="1" applyFont="1"/>
    <xf numFmtId="3" fontId="12" fillId="4" borderId="1" xfId="0" applyNumberFormat="1" applyFont="1" applyFill="1" applyBorder="1" applyAlignment="1">
      <alignment horizontal="center" vertical="center" wrapText="1"/>
    </xf>
    <xf numFmtId="3" fontId="19" fillId="0" borderId="1" xfId="0" applyNumberFormat="1" applyFont="1" applyBorder="1"/>
    <xf numFmtId="9" fontId="19" fillId="0" borderId="1" xfId="0" applyNumberFormat="1" applyFont="1" applyBorder="1"/>
    <xf numFmtId="9" fontId="19" fillId="0" borderId="0" xfId="0" applyNumberFormat="1" applyFont="1"/>
    <xf numFmtId="9" fontId="4" fillId="2" borderId="0" xfId="0" applyNumberFormat="1" applyFont="1" applyFill="1" applyAlignment="1">
      <alignment horizontal="center" vertical="center" wrapText="1"/>
    </xf>
    <xf numFmtId="49" fontId="1" fillId="0" borderId="0" xfId="0" applyNumberFormat="1" applyFont="1" applyAlignment="1">
      <alignment vertical="center" wrapText="1"/>
    </xf>
    <xf numFmtId="9" fontId="4" fillId="2" borderId="1" xfId="0" applyNumberFormat="1" applyFont="1" applyFill="1" applyBorder="1" applyAlignment="1">
      <alignment horizontal="center" vertical="center" wrapText="1"/>
    </xf>
    <xf numFmtId="3" fontId="20" fillId="0" borderId="0" xfId="0" applyNumberFormat="1" applyFont="1" applyAlignment="1">
      <alignment horizontal="center"/>
    </xf>
    <xf numFmtId="3" fontId="12" fillId="4" borderId="0" xfId="0" applyNumberFormat="1" applyFont="1" applyFill="1" applyAlignment="1">
      <alignment horizontal="center" vertical="center" wrapText="1"/>
    </xf>
    <xf numFmtId="9" fontId="12" fillId="4" borderId="1" xfId="0" applyNumberFormat="1" applyFont="1" applyFill="1" applyBorder="1" applyAlignment="1">
      <alignment horizontal="center" vertical="center" wrapText="1"/>
    </xf>
    <xf numFmtId="9" fontId="12" fillId="4" borderId="0" xfId="0" applyNumberFormat="1" applyFont="1" applyFill="1" applyAlignment="1">
      <alignment horizontal="center" vertical="center" wrapText="1"/>
    </xf>
    <xf numFmtId="9" fontId="2" fillId="0" borderId="1" xfId="0" applyNumberFormat="1" applyFont="1" applyBorder="1"/>
    <xf numFmtId="9" fontId="2" fillId="0" borderId="0" xfId="0" applyNumberFormat="1" applyFont="1"/>
    <xf numFmtId="9" fontId="7" fillId="2" borderId="1" xfId="0" applyNumberFormat="1" applyFont="1" applyFill="1" applyBorder="1"/>
    <xf numFmtId="9" fontId="7" fillId="2" borderId="0" xfId="0" applyNumberFormat="1" applyFont="1" applyFill="1"/>
    <xf numFmtId="3" fontId="4" fillId="4" borderId="1" xfId="0" applyNumberFormat="1" applyFont="1" applyFill="1" applyBorder="1" applyAlignment="1">
      <alignment horizontal="center" vertical="center" wrapText="1"/>
    </xf>
    <xf numFmtId="9" fontId="2" fillId="5" borderId="1" xfId="0" applyNumberFormat="1" applyFont="1" applyFill="1" applyBorder="1"/>
    <xf numFmtId="9" fontId="2" fillId="5" borderId="0" xfId="0" applyNumberFormat="1" applyFont="1" applyFill="1"/>
    <xf numFmtId="3" fontId="6" fillId="3" borderId="1" xfId="0" applyNumberFormat="1" applyFont="1" applyFill="1" applyBorder="1" applyAlignment="1">
      <alignment vertical="center"/>
    </xf>
    <xf numFmtId="9" fontId="6" fillId="3" borderId="1" xfId="0" applyNumberFormat="1" applyFont="1" applyFill="1" applyBorder="1" applyAlignment="1">
      <alignment vertical="center"/>
    </xf>
    <xf numFmtId="3" fontId="1" fillId="2" borderId="0" xfId="0" applyNumberFormat="1" applyFont="1" applyFill="1"/>
    <xf numFmtId="9" fontId="1" fillId="2" borderId="0" xfId="0" applyNumberFormat="1" applyFont="1" applyFill="1"/>
    <xf numFmtId="3" fontId="1" fillId="2" borderId="1" xfId="0" applyNumberFormat="1" applyFont="1" applyFill="1" applyBorder="1"/>
    <xf numFmtId="9" fontId="1" fillId="2" borderId="1" xfId="0" applyNumberFormat="1" applyFont="1" applyFill="1" applyBorder="1"/>
    <xf numFmtId="9" fontId="2" fillId="2" borderId="1" xfId="0" applyNumberFormat="1" applyFont="1" applyFill="1" applyBorder="1"/>
    <xf numFmtId="9" fontId="2" fillId="2" borderId="0" xfId="0" applyNumberFormat="1" applyFont="1" applyFill="1"/>
    <xf numFmtId="3" fontId="2" fillId="2" borderId="1" xfId="0" applyNumberFormat="1" applyFont="1" applyFill="1" applyBorder="1"/>
    <xf numFmtId="9" fontId="11" fillId="2" borderId="0" xfId="0" applyNumberFormat="1" applyFont="1" applyFill="1"/>
    <xf numFmtId="3" fontId="12" fillId="2" borderId="0" xfId="0" applyNumberFormat="1" applyFont="1" applyFill="1" applyAlignment="1">
      <alignment horizontal="center" vertical="center" wrapText="1"/>
    </xf>
    <xf numFmtId="10" fontId="19" fillId="0" borderId="0" xfId="0" applyNumberFormat="1" applyFont="1"/>
    <xf numFmtId="10" fontId="4" fillId="2" borderId="0" xfId="0" applyNumberFormat="1" applyFont="1" applyFill="1" applyAlignment="1">
      <alignment horizontal="center" vertical="center" wrapText="1"/>
    </xf>
    <xf numFmtId="10" fontId="1" fillId="2" borderId="0" xfId="0" applyNumberFormat="1" applyFont="1" applyFill="1"/>
    <xf numFmtId="9" fontId="1" fillId="2" borderId="0" xfId="0" applyNumberFormat="1" applyFont="1" applyFill="1" applyAlignment="1">
      <alignment horizontal="center" vertical="center" wrapText="1"/>
    </xf>
    <xf numFmtId="10" fontId="18" fillId="2" borderId="0" xfId="0" applyNumberFormat="1" applyFont="1" applyFill="1" applyAlignment="1">
      <alignment horizontal="center" vertical="center" wrapText="1"/>
    </xf>
    <xf numFmtId="3" fontId="12" fillId="0" borderId="1" xfId="0" applyNumberFormat="1" applyFont="1" applyBorder="1" applyAlignment="1">
      <alignment horizontal="right"/>
    </xf>
    <xf numFmtId="9" fontId="1" fillId="2" borderId="1" xfId="0" applyNumberFormat="1" applyFont="1" applyFill="1" applyBorder="1" applyAlignment="1">
      <alignment horizontal="center" vertical="center" wrapText="1"/>
    </xf>
    <xf numFmtId="9" fontId="11" fillId="2" borderId="1" xfId="0" applyNumberFormat="1" applyFont="1" applyFill="1" applyBorder="1" applyAlignment="1">
      <alignment horizontal="center" vertical="center" wrapText="1"/>
    </xf>
    <xf numFmtId="9" fontId="1" fillId="4" borderId="0" xfId="0" applyNumberFormat="1" applyFont="1" applyFill="1" applyAlignment="1">
      <alignment horizontal="center" vertical="center" wrapText="1"/>
    </xf>
    <xf numFmtId="3" fontId="2" fillId="5" borderId="0" xfId="0" applyNumberFormat="1" applyFont="1" applyFill="1" applyAlignment="1">
      <alignment vertical="center"/>
    </xf>
    <xf numFmtId="9" fontId="17" fillId="0" borderId="0" xfId="0" applyNumberFormat="1" applyFont="1" applyAlignment="1">
      <alignment horizontal="right"/>
    </xf>
    <xf numFmtId="3" fontId="12" fillId="0" borderId="0" xfId="0" applyNumberFormat="1" applyFont="1" applyAlignment="1">
      <alignment horizontal="right" vertical="center"/>
    </xf>
    <xf numFmtId="3" fontId="2" fillId="0" borderId="0" xfId="0" applyNumberFormat="1" applyFont="1" applyAlignment="1">
      <alignment vertical="center"/>
    </xf>
    <xf numFmtId="10" fontId="4" fillId="0" borderId="0" xfId="0" applyNumberFormat="1" applyFont="1" applyAlignment="1">
      <alignment horizontal="right"/>
    </xf>
    <xf numFmtId="9" fontId="1" fillId="4" borderId="1" xfId="0" applyNumberFormat="1" applyFont="1" applyFill="1" applyBorder="1" applyAlignment="1">
      <alignment horizontal="center" vertical="center" wrapText="1"/>
    </xf>
    <xf numFmtId="9" fontId="18" fillId="4" borderId="0" xfId="0" applyNumberFormat="1" applyFont="1" applyFill="1" applyAlignment="1">
      <alignment horizontal="center" vertical="center" wrapText="1"/>
    </xf>
    <xf numFmtId="3" fontId="21" fillId="2" borderId="0" xfId="0" applyNumberFormat="1" applyFont="1" applyFill="1" applyAlignment="1">
      <alignment horizontal="center" vertical="center" wrapText="1"/>
    </xf>
    <xf numFmtId="3" fontId="11" fillId="5" borderId="0" xfId="0" applyNumberFormat="1" applyFont="1" applyFill="1" applyAlignment="1">
      <alignment horizontal="left"/>
    </xf>
    <xf numFmtId="3" fontId="1" fillId="5" borderId="0" xfId="0" applyNumberFormat="1" applyFont="1" applyFill="1" applyAlignment="1">
      <alignment horizontal="left"/>
    </xf>
    <xf numFmtId="3" fontId="16" fillId="0" borderId="0" xfId="0" applyNumberFormat="1" applyFont="1" applyAlignment="1">
      <alignment vertical="center"/>
    </xf>
    <xf numFmtId="3" fontId="3" fillId="0" borderId="0" xfId="0" applyNumberFormat="1" applyFont="1" applyAlignment="1">
      <alignment horizontal="left"/>
    </xf>
    <xf numFmtId="3" fontId="8" fillId="2" borderId="0" xfId="0" applyNumberFormat="1" applyFont="1" applyFill="1" applyAlignment="1">
      <alignment horizontal="center"/>
    </xf>
    <xf numFmtId="3" fontId="16" fillId="0" borderId="0" xfId="0" applyNumberFormat="1" applyFont="1" applyAlignment="1">
      <alignment horizontal="left" vertical="center"/>
    </xf>
    <xf numFmtId="49" fontId="16" fillId="0" borderId="0" xfId="0" applyNumberFormat="1" applyFont="1" applyAlignment="1">
      <alignment horizontal="left" vertical="center"/>
    </xf>
    <xf numFmtId="9" fontId="5" fillId="3" borderId="0" xfId="0" applyNumberFormat="1" applyFont="1" applyFill="1" applyAlignment="1">
      <alignment horizontal="left" vertical="center"/>
    </xf>
    <xf numFmtId="3" fontId="19" fillId="0" borderId="6" xfId="0" applyNumberFormat="1" applyFont="1" applyBorder="1"/>
    <xf numFmtId="3" fontId="2" fillId="0" borderId="6" xfId="0" applyNumberFormat="1" applyFont="1" applyBorder="1" applyAlignment="1">
      <alignment horizontal="right"/>
    </xf>
    <xf numFmtId="3" fontId="2" fillId="0" borderId="6" xfId="0" applyNumberFormat="1" applyFont="1" applyBorder="1"/>
    <xf numFmtId="3" fontId="3" fillId="0" borderId="7" xfId="0" applyNumberFormat="1" applyFont="1" applyBorder="1"/>
    <xf numFmtId="3" fontId="11" fillId="0" borderId="7" xfId="0" applyNumberFormat="1" applyFont="1" applyBorder="1" applyAlignment="1">
      <alignment horizontal="right"/>
    </xf>
    <xf numFmtId="3" fontId="11" fillId="0" borderId="7" xfId="0" applyNumberFormat="1" applyFont="1" applyBorder="1"/>
    <xf numFmtId="3" fontId="20" fillId="0" borderId="0" xfId="0" applyNumberFormat="1" applyFont="1"/>
    <xf numFmtId="3" fontId="18" fillId="2" borderId="7" xfId="0" applyNumberFormat="1" applyFont="1" applyFill="1" applyBorder="1" applyAlignment="1">
      <alignment horizontal="center" vertical="center" wrapText="1"/>
    </xf>
    <xf numFmtId="3" fontId="21" fillId="2" borderId="6" xfId="0" applyNumberFormat="1" applyFont="1" applyFill="1" applyBorder="1" applyAlignment="1">
      <alignment horizontal="center" vertical="center" wrapText="1"/>
    </xf>
    <xf numFmtId="3" fontId="5" fillId="3" borderId="7" xfId="0" applyNumberFormat="1" applyFont="1" applyFill="1" applyBorder="1" applyAlignment="1">
      <alignment vertical="center"/>
    </xf>
    <xf numFmtId="3" fontId="5" fillId="3" borderId="6" xfId="0" applyNumberFormat="1" applyFont="1" applyFill="1" applyBorder="1" applyAlignment="1">
      <alignment vertical="center"/>
    </xf>
    <xf numFmtId="3" fontId="8" fillId="2" borderId="7" xfId="0" applyNumberFormat="1" applyFont="1" applyFill="1" applyBorder="1"/>
    <xf numFmtId="3" fontId="7" fillId="2" borderId="6" xfId="0" applyNumberFormat="1" applyFont="1" applyFill="1" applyBorder="1"/>
    <xf numFmtId="3" fontId="22" fillId="0" borderId="0" xfId="0" applyNumberFormat="1" applyFont="1" applyAlignment="1">
      <alignment horizontal="left" vertical="center"/>
    </xf>
    <xf numFmtId="3" fontId="23" fillId="0" borderId="0" xfId="0" applyNumberFormat="1" applyFont="1" applyAlignment="1">
      <alignment horizontal="left" vertical="center"/>
    </xf>
    <xf numFmtId="3" fontId="24" fillId="0" borderId="0" xfId="0" applyNumberFormat="1" applyFont="1" applyAlignment="1">
      <alignment horizontal="left" vertical="center"/>
    </xf>
    <xf numFmtId="3" fontId="2" fillId="0" borderId="0" xfId="0" applyNumberFormat="1" applyFont="1" applyAlignment="1">
      <alignment horizontal="center"/>
    </xf>
    <xf numFmtId="3" fontId="25" fillId="0" borderId="0" xfId="0" applyNumberFormat="1" applyFont="1"/>
    <xf numFmtId="10" fontId="4" fillId="0" borderId="0" xfId="0" applyNumberFormat="1" applyFont="1"/>
    <xf numFmtId="10" fontId="25" fillId="0" borderId="0" xfId="0" applyNumberFormat="1" applyFont="1"/>
    <xf numFmtId="3" fontId="25" fillId="0" borderId="1" xfId="0" applyNumberFormat="1" applyFont="1" applyBorder="1"/>
    <xf numFmtId="3" fontId="1" fillId="0" borderId="7" xfId="0" applyNumberFormat="1" applyFont="1" applyBorder="1"/>
    <xf numFmtId="3" fontId="26" fillId="8" borderId="0" xfId="0" applyNumberFormat="1" applyFont="1" applyFill="1"/>
    <xf numFmtId="3" fontId="27" fillId="8" borderId="0" xfId="0" applyNumberFormat="1" applyFont="1" applyFill="1" applyAlignment="1">
      <alignment horizontal="center"/>
    </xf>
    <xf numFmtId="3" fontId="26" fillId="8" borderId="0" xfId="0" applyNumberFormat="1" applyFont="1" applyFill="1" applyAlignment="1">
      <alignment vertical="top" wrapText="1"/>
    </xf>
    <xf numFmtId="3" fontId="28" fillId="8" borderId="0" xfId="0" applyNumberFormat="1" applyFont="1" applyFill="1"/>
    <xf numFmtId="3" fontId="1" fillId="8" borderId="0" xfId="0" applyNumberFormat="1" applyFont="1" applyFill="1"/>
    <xf numFmtId="3" fontId="2" fillId="9" borderId="8" xfId="0" applyNumberFormat="1" applyFont="1" applyFill="1" applyBorder="1" applyAlignment="1">
      <alignment horizontal="center"/>
    </xf>
    <xf numFmtId="3" fontId="36" fillId="0" borderId="0" xfId="0" applyNumberFormat="1" applyFont="1"/>
    <xf numFmtId="3" fontId="1" fillId="0" borderId="6" xfId="0" applyNumberFormat="1" applyFont="1" applyBorder="1"/>
    <xf numFmtId="10" fontId="0" fillId="0" borderId="0" xfId="0" applyNumberFormat="1"/>
    <xf numFmtId="10" fontId="0" fillId="0" borderId="0" xfId="0" applyNumberFormat="1" applyAlignment="1">
      <alignment vertical="center" wrapText="1"/>
    </xf>
    <xf numFmtId="9" fontId="37" fillId="0" borderId="0" xfId="0" applyNumberFormat="1" applyFont="1"/>
    <xf numFmtId="9" fontId="38" fillId="0" borderId="0" xfId="0" applyNumberFormat="1" applyFont="1"/>
    <xf numFmtId="0" fontId="0" fillId="0" borderId="0" xfId="0" quotePrefix="1"/>
    <xf numFmtId="9" fontId="36" fillId="0" borderId="0" xfId="0" applyNumberFormat="1" applyFont="1"/>
    <xf numFmtId="3" fontId="39" fillId="0" borderId="0" xfId="0" applyNumberFormat="1" applyFont="1"/>
    <xf numFmtId="9" fontId="40" fillId="10" borderId="0" xfId="0" applyNumberFormat="1" applyFont="1" applyFill="1"/>
    <xf numFmtId="9" fontId="0" fillId="0" borderId="0" xfId="0" applyNumberFormat="1"/>
    <xf numFmtId="0" fontId="41" fillId="0" borderId="0" xfId="0" applyFont="1"/>
    <xf numFmtId="9" fontId="41" fillId="0" borderId="0" xfId="0" applyNumberFormat="1" applyFont="1"/>
    <xf numFmtId="3" fontId="36" fillId="0" borderId="1" xfId="0" applyNumberFormat="1" applyFont="1" applyBorder="1"/>
    <xf numFmtId="0" fontId="2" fillId="0" borderId="0" xfId="0" applyFont="1"/>
    <xf numFmtId="0" fontId="38" fillId="0" borderId="0" xfId="0" applyFont="1"/>
    <xf numFmtId="3" fontId="39" fillId="0" borderId="1" xfId="0" applyNumberFormat="1" applyFont="1" applyBorder="1"/>
    <xf numFmtId="9" fontId="36" fillId="0" borderId="1" xfId="0" applyNumberFormat="1" applyFont="1" applyBorder="1"/>
    <xf numFmtId="0" fontId="37" fillId="0" borderId="0" xfId="0" applyFont="1"/>
    <xf numFmtId="10" fontId="37" fillId="0" borderId="0" xfId="0" applyNumberFormat="1" applyFont="1"/>
    <xf numFmtId="3" fontId="26" fillId="8" borderId="0" xfId="0" applyNumberFormat="1" applyFont="1" applyFill="1" applyAlignment="1">
      <alignment horizontal="left" vertical="top" wrapText="1"/>
    </xf>
    <xf numFmtId="49" fontId="15" fillId="7" borderId="2" xfId="0" applyNumberFormat="1" applyFont="1" applyFill="1" applyBorder="1" applyAlignment="1">
      <alignment horizontal="left" vertical="center" wrapText="1"/>
    </xf>
    <xf numFmtId="49" fontId="1" fillId="7" borderId="3" xfId="0" applyNumberFormat="1" applyFont="1" applyFill="1" applyBorder="1" applyAlignment="1">
      <alignment horizontal="left" vertical="center" wrapText="1"/>
    </xf>
    <xf numFmtId="49" fontId="1" fillId="7" borderId="4" xfId="0" applyNumberFormat="1" applyFont="1" applyFill="1" applyBorder="1" applyAlignment="1">
      <alignment horizontal="left" vertical="center" wrapText="1"/>
    </xf>
    <xf numFmtId="49" fontId="1" fillId="7" borderId="5" xfId="0" applyNumberFormat="1" applyFont="1" applyFill="1" applyBorder="1" applyAlignment="1">
      <alignment horizontal="left" vertical="center" wrapText="1"/>
    </xf>
    <xf numFmtId="49" fontId="1" fillId="7" borderId="0" xfId="0" applyNumberFormat="1" applyFont="1" applyFill="1" applyAlignment="1">
      <alignment horizontal="center" vertical="center" wrapText="1"/>
    </xf>
    <xf numFmtId="49" fontId="1" fillId="7" borderId="2" xfId="0" applyNumberFormat="1" applyFont="1" applyFill="1" applyBorder="1" applyAlignment="1">
      <alignment horizontal="left" vertical="center" wrapText="1"/>
    </xf>
  </cellXfs>
  <cellStyles count="1">
    <cellStyle name="Normal" xfId="0" builtinId="0"/>
  </cellStyles>
  <dxfs count="161">
    <dxf>
      <font>
        <color rgb="FFC00000"/>
      </font>
      <fill>
        <patternFill patternType="darkUp">
          <fgColor theme="1"/>
        </patternFill>
      </fill>
    </dxf>
    <dxf>
      <fill>
        <patternFill>
          <bgColor rgb="FFED79F8"/>
        </patternFill>
      </fill>
    </dxf>
    <dxf>
      <fill>
        <patternFill>
          <bgColor rgb="FFFCB257"/>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patternType="darkUp"/>
      </fill>
    </dxf>
    <dxf>
      <font>
        <color rgb="FF9C0006"/>
      </font>
      <fill>
        <patternFill>
          <bgColor rgb="FFFFC7CE"/>
        </patternFill>
      </fill>
    </dxf>
    <dxf>
      <font>
        <color rgb="FF9C5700"/>
      </font>
      <fill>
        <patternFill>
          <bgColor rgb="FFFFEB9C"/>
        </patternFill>
      </fill>
    </dxf>
    <dxf>
      <font>
        <color rgb="FF9C0006"/>
      </font>
      <fill>
        <patternFill patternType="darkUp">
          <bgColor auto="1"/>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006100"/>
      </font>
      <fill>
        <patternFill>
          <bgColor rgb="FFC6EFCE"/>
        </patternFill>
      </fill>
    </dxf>
    <dxf>
      <fill>
        <patternFill>
          <bgColor rgb="FFED79F8"/>
        </patternFill>
      </fill>
    </dxf>
    <dxf>
      <fill>
        <patternFill>
          <bgColor rgb="FFFCB257"/>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gColor theme="1"/>
        </patternFill>
      </fill>
    </dxf>
    <dxf>
      <font>
        <color rgb="FF9C5700"/>
      </font>
      <fill>
        <patternFill>
          <bgColor rgb="FFFFEB9C"/>
        </patternFill>
      </fill>
    </dxf>
    <dxf>
      <font>
        <color rgb="FF9C0006"/>
      </font>
      <fill>
        <patternFill>
          <bgColor rgb="FFFFC7CE"/>
        </patternFill>
      </fill>
    </dxf>
    <dxf>
      <font>
        <color rgb="FFC00000"/>
      </font>
      <fill>
        <patternFill patternType="darkUp">
          <fgColor theme="1"/>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editAs="absolute">
    <xdr:from>
      <xdr:col>10</xdr:col>
      <xdr:colOff>622300</xdr:colOff>
      <xdr:row>1</xdr:row>
      <xdr:rowOff>114300</xdr:rowOff>
    </xdr:from>
    <xdr:to>
      <xdr:col>11</xdr:col>
      <xdr:colOff>939800</xdr:colOff>
      <xdr:row>2</xdr:row>
      <xdr:rowOff>749300</xdr:rowOff>
    </xdr:to>
    <xdr:sp macro="" textlink="">
      <xdr:nvSpPr>
        <xdr:cNvPr id="59508" name="Text Box 1140" hidden="1">
          <a:extLst>
            <a:ext uri="{FF2B5EF4-FFF2-40B4-BE49-F238E27FC236}">
              <a16:creationId xmlns:a16="http://schemas.microsoft.com/office/drawing/2014/main" id="{E1075002-F695-C9A6-852D-90259C9FC93A}"/>
            </a:ext>
          </a:extLst>
        </xdr:cNvPr>
        <xdr:cNvSpPr txBox="1">
          <a:spLocks noChangeArrowheads="1"/>
        </xdr:cNvSpPr>
      </xdr:nvSpPr>
      <xdr:spPr bwMode="auto">
        <a:xfrm>
          <a:off x="111379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292100</xdr:colOff>
      <xdr:row>1</xdr:row>
      <xdr:rowOff>114300</xdr:rowOff>
    </xdr:from>
    <xdr:to>
      <xdr:col>38</xdr:col>
      <xdr:colOff>609600</xdr:colOff>
      <xdr:row>2</xdr:row>
      <xdr:rowOff>749300</xdr:rowOff>
    </xdr:to>
    <xdr:sp macro="" textlink="">
      <xdr:nvSpPr>
        <xdr:cNvPr id="59509" name="Text Box 1141" hidden="1">
          <a:extLst>
            <a:ext uri="{FF2B5EF4-FFF2-40B4-BE49-F238E27FC236}">
              <a16:creationId xmlns:a16="http://schemas.microsoft.com/office/drawing/2014/main" id="{B27A8C36-4DC8-00A8-5FBE-8FD143D1DF37}"/>
            </a:ext>
          </a:extLst>
        </xdr:cNvPr>
        <xdr:cNvSpPr txBox="1">
          <a:spLocks noChangeArrowheads="1"/>
        </xdr:cNvSpPr>
      </xdr:nvSpPr>
      <xdr:spPr bwMode="auto">
        <a:xfrm>
          <a:off x="378968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55</xdr:col>
      <xdr:colOff>279400</xdr:colOff>
      <xdr:row>1</xdr:row>
      <xdr:rowOff>114300</xdr:rowOff>
    </xdr:from>
    <xdr:to>
      <xdr:col>56</xdr:col>
      <xdr:colOff>977900</xdr:colOff>
      <xdr:row>2</xdr:row>
      <xdr:rowOff>749300</xdr:rowOff>
    </xdr:to>
    <xdr:sp macro="" textlink="">
      <xdr:nvSpPr>
        <xdr:cNvPr id="59514" name="Text Box 1146" hidden="1">
          <a:extLst>
            <a:ext uri="{FF2B5EF4-FFF2-40B4-BE49-F238E27FC236}">
              <a16:creationId xmlns:a16="http://schemas.microsoft.com/office/drawing/2014/main" id="{98B83838-3284-15C3-82FD-DD886744DAA9}"/>
            </a:ext>
          </a:extLst>
        </xdr:cNvPr>
        <xdr:cNvSpPr txBox="1">
          <a:spLocks noChangeArrowheads="1"/>
        </xdr:cNvSpPr>
      </xdr:nvSpPr>
      <xdr:spPr bwMode="auto">
        <a:xfrm>
          <a:off x="55943500" y="508000"/>
          <a:ext cx="1701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51</xdr:col>
      <xdr:colOff>406400</xdr:colOff>
      <xdr:row>0</xdr:row>
      <xdr:rowOff>0</xdr:rowOff>
    </xdr:from>
    <xdr:to>
      <xdr:col>55</xdr:col>
      <xdr:colOff>152400</xdr:colOff>
      <xdr:row>2</xdr:row>
      <xdr:rowOff>457200</xdr:rowOff>
    </xdr:to>
    <xdr:sp macro="" textlink="">
      <xdr:nvSpPr>
        <xdr:cNvPr id="59515" name="Text Box 1147" hidden="1">
          <a:extLst>
            <a:ext uri="{FF2B5EF4-FFF2-40B4-BE49-F238E27FC236}">
              <a16:creationId xmlns:a16="http://schemas.microsoft.com/office/drawing/2014/main" id="{50F8CB4E-E3FF-E855-B0B6-5FB4DD57F3AB}"/>
            </a:ext>
          </a:extLst>
        </xdr:cNvPr>
        <xdr:cNvSpPr txBox="1">
          <a:spLocks noChangeArrowheads="1"/>
        </xdr:cNvSpPr>
      </xdr:nvSpPr>
      <xdr:spPr bwMode="auto">
        <a:xfrm>
          <a:off x="52057300" y="0"/>
          <a:ext cx="37592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1</xdr:row>
      <xdr:rowOff>114300</xdr:rowOff>
    </xdr:from>
    <xdr:to>
      <xdr:col>17</xdr:col>
      <xdr:colOff>12700</xdr:colOff>
      <xdr:row>2</xdr:row>
      <xdr:rowOff>736600</xdr:rowOff>
    </xdr:to>
    <xdr:sp macro="" textlink="">
      <xdr:nvSpPr>
        <xdr:cNvPr id="59524" name="Text Box 1156" hidden="1">
          <a:extLst>
            <a:ext uri="{FF2B5EF4-FFF2-40B4-BE49-F238E27FC236}">
              <a16:creationId xmlns:a16="http://schemas.microsoft.com/office/drawing/2014/main" id="{5F13A7F2-9350-89AF-14FA-D7ED0672CEDE}"/>
            </a:ext>
          </a:extLst>
        </xdr:cNvPr>
        <xdr:cNvSpPr txBox="1">
          <a:spLocks noChangeArrowheads="1"/>
        </xdr:cNvSpPr>
      </xdr:nvSpPr>
      <xdr:spPr bwMode="auto">
        <a:xfrm>
          <a:off x="15722600" y="508000"/>
          <a:ext cx="182880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38</xdr:col>
      <xdr:colOff>190500</xdr:colOff>
      <xdr:row>0</xdr:row>
      <xdr:rowOff>355600</xdr:rowOff>
    </xdr:from>
    <xdr:to>
      <xdr:col>40</xdr:col>
      <xdr:colOff>355600</xdr:colOff>
      <xdr:row>2</xdr:row>
      <xdr:rowOff>1219200</xdr:rowOff>
    </xdr:to>
    <xdr:sp macro="" textlink="">
      <xdr:nvSpPr>
        <xdr:cNvPr id="59525" name="Text Box 1157" hidden="1">
          <a:extLst>
            <a:ext uri="{FF2B5EF4-FFF2-40B4-BE49-F238E27FC236}">
              <a16:creationId xmlns:a16="http://schemas.microsoft.com/office/drawing/2014/main" id="{8EC602A8-5133-DAD8-9AAC-F678A14C2D44}"/>
            </a:ext>
          </a:extLst>
        </xdr:cNvPr>
        <xdr:cNvSpPr txBox="1">
          <a:spLocks noChangeArrowheads="1"/>
        </xdr:cNvSpPr>
      </xdr:nvSpPr>
      <xdr:spPr bwMode="auto">
        <a:xfrm>
          <a:off x="38798500" y="355600"/>
          <a:ext cx="2171700" cy="149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43</xdr:col>
      <xdr:colOff>190500</xdr:colOff>
      <xdr:row>1</xdr:row>
      <xdr:rowOff>114300</xdr:rowOff>
    </xdr:from>
    <xdr:to>
      <xdr:col>44</xdr:col>
      <xdr:colOff>508000</xdr:colOff>
      <xdr:row>2</xdr:row>
      <xdr:rowOff>749300</xdr:rowOff>
    </xdr:to>
    <xdr:sp macro="" textlink="">
      <xdr:nvSpPr>
        <xdr:cNvPr id="59526" name="Text Box 1158" hidden="1">
          <a:extLst>
            <a:ext uri="{FF2B5EF4-FFF2-40B4-BE49-F238E27FC236}">
              <a16:creationId xmlns:a16="http://schemas.microsoft.com/office/drawing/2014/main" id="{D2B2D521-0EBA-3FE3-8AAA-F040822B654F}"/>
            </a:ext>
          </a:extLst>
        </xdr:cNvPr>
        <xdr:cNvSpPr txBox="1">
          <a:spLocks noChangeArrowheads="1"/>
        </xdr:cNvSpPr>
      </xdr:nvSpPr>
      <xdr:spPr bwMode="auto">
        <a:xfrm>
          <a:off x="438150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45</xdr:col>
      <xdr:colOff>190500</xdr:colOff>
      <xdr:row>1</xdr:row>
      <xdr:rowOff>114300</xdr:rowOff>
    </xdr:from>
    <xdr:to>
      <xdr:col>46</xdr:col>
      <xdr:colOff>609600</xdr:colOff>
      <xdr:row>2</xdr:row>
      <xdr:rowOff>749300</xdr:rowOff>
    </xdr:to>
    <xdr:sp macro="" textlink="">
      <xdr:nvSpPr>
        <xdr:cNvPr id="142337" name="Text Box 1025" hidden="1">
          <a:extLst>
            <a:ext uri="{FF2B5EF4-FFF2-40B4-BE49-F238E27FC236}">
              <a16:creationId xmlns:a16="http://schemas.microsoft.com/office/drawing/2014/main" id="{01133263-5FAD-CBE2-9CB8-622761915FEB}"/>
            </a:ext>
          </a:extLst>
        </xdr:cNvPr>
        <xdr:cNvSpPr txBox="1">
          <a:spLocks noChangeArrowheads="1"/>
        </xdr:cNvSpPr>
      </xdr:nvSpPr>
      <xdr:spPr bwMode="auto">
        <a:xfrm>
          <a:off x="412623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76200</xdr:colOff>
      <xdr:row>0</xdr:row>
      <xdr:rowOff>381000</xdr:rowOff>
    </xdr:from>
    <xdr:to>
      <xdr:col>30</xdr:col>
      <xdr:colOff>495300</xdr:colOff>
      <xdr:row>2</xdr:row>
      <xdr:rowOff>622300</xdr:rowOff>
    </xdr:to>
    <xdr:sp macro="" textlink="">
      <xdr:nvSpPr>
        <xdr:cNvPr id="142338" name="Text Box 1026" hidden="1">
          <a:extLst>
            <a:ext uri="{FF2B5EF4-FFF2-40B4-BE49-F238E27FC236}">
              <a16:creationId xmlns:a16="http://schemas.microsoft.com/office/drawing/2014/main" id="{ABEDA898-1550-B848-FCFF-E355C86067FF}"/>
            </a:ext>
          </a:extLst>
        </xdr:cNvPr>
        <xdr:cNvSpPr txBox="1">
          <a:spLocks noChangeArrowheads="1"/>
        </xdr:cNvSpPr>
      </xdr:nvSpPr>
      <xdr:spPr bwMode="auto">
        <a:xfrm>
          <a:off x="26720800" y="381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190500</xdr:colOff>
      <xdr:row>1</xdr:row>
      <xdr:rowOff>114300</xdr:rowOff>
    </xdr:from>
    <xdr:to>
      <xdr:col>29</xdr:col>
      <xdr:colOff>812800</xdr:colOff>
      <xdr:row>2</xdr:row>
      <xdr:rowOff>508000</xdr:rowOff>
    </xdr:to>
    <xdr:sp macro="" textlink="">
      <xdr:nvSpPr>
        <xdr:cNvPr id="142339" name="Text Box 1027" hidden="1">
          <a:extLst>
            <a:ext uri="{FF2B5EF4-FFF2-40B4-BE49-F238E27FC236}">
              <a16:creationId xmlns:a16="http://schemas.microsoft.com/office/drawing/2014/main" id="{31821CC6-FBDD-F2F4-2C98-DD4A19113C30}"/>
            </a:ext>
          </a:extLst>
        </xdr:cNvPr>
        <xdr:cNvSpPr txBox="1">
          <a:spLocks noChangeArrowheads="1"/>
        </xdr:cNvSpPr>
      </xdr:nvSpPr>
      <xdr:spPr bwMode="auto">
        <a:xfrm>
          <a:off x="25933400" y="508000"/>
          <a:ext cx="1524000" cy="635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190500</xdr:colOff>
      <xdr:row>1</xdr:row>
      <xdr:rowOff>114300</xdr:rowOff>
    </xdr:from>
    <xdr:to>
      <xdr:col>23</xdr:col>
      <xdr:colOff>609600</xdr:colOff>
      <xdr:row>2</xdr:row>
      <xdr:rowOff>749300</xdr:rowOff>
    </xdr:to>
    <xdr:sp macro="" textlink="">
      <xdr:nvSpPr>
        <xdr:cNvPr id="142340" name="Text Box 1028" hidden="1">
          <a:extLst>
            <a:ext uri="{FF2B5EF4-FFF2-40B4-BE49-F238E27FC236}">
              <a16:creationId xmlns:a16="http://schemas.microsoft.com/office/drawing/2014/main" id="{1A6087DE-B8DE-E395-290E-EFE674985285}"/>
            </a:ext>
          </a:extLst>
        </xdr:cNvPr>
        <xdr:cNvSpPr txBox="1">
          <a:spLocks noChangeArrowheads="1"/>
        </xdr:cNvSpPr>
      </xdr:nvSpPr>
      <xdr:spPr bwMode="auto">
        <a:xfrm>
          <a:off x="205232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406400</xdr:colOff>
      <xdr:row>1</xdr:row>
      <xdr:rowOff>114300</xdr:rowOff>
    </xdr:from>
    <xdr:to>
      <xdr:col>4</xdr:col>
      <xdr:colOff>330200</xdr:colOff>
      <xdr:row>2</xdr:row>
      <xdr:rowOff>889000</xdr:rowOff>
    </xdr:to>
    <xdr:sp macro="" textlink="">
      <xdr:nvSpPr>
        <xdr:cNvPr id="18436" name="Text Box 4" hidden="1">
          <a:extLst>
            <a:ext uri="{FF2B5EF4-FFF2-40B4-BE49-F238E27FC236}">
              <a16:creationId xmlns:a16="http://schemas.microsoft.com/office/drawing/2014/main" id="{0B5E7D59-1FFA-0B85-0D5A-47421AF85DB5}"/>
            </a:ext>
          </a:extLst>
        </xdr:cNvPr>
        <xdr:cNvSpPr txBox="1">
          <a:spLocks noChangeArrowheads="1"/>
        </xdr:cNvSpPr>
      </xdr:nvSpPr>
      <xdr:spPr bwMode="auto">
        <a:xfrm>
          <a:off x="3987800" y="508000"/>
          <a:ext cx="1727200" cy="1016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xdr:row>
      <xdr:rowOff>114300</xdr:rowOff>
    </xdr:from>
    <xdr:to>
      <xdr:col>11</xdr:col>
      <xdr:colOff>88900</xdr:colOff>
      <xdr:row>2</xdr:row>
      <xdr:rowOff>749300</xdr:rowOff>
    </xdr:to>
    <xdr:sp macro="" textlink="">
      <xdr:nvSpPr>
        <xdr:cNvPr id="18439" name="Text Box 7" hidden="1">
          <a:extLst>
            <a:ext uri="{FF2B5EF4-FFF2-40B4-BE49-F238E27FC236}">
              <a16:creationId xmlns:a16="http://schemas.microsoft.com/office/drawing/2014/main" id="{B4ECF4C7-2FB2-2C9F-0E8C-24521DC7A62E}"/>
            </a:ext>
          </a:extLst>
        </xdr:cNvPr>
        <xdr:cNvSpPr txBox="1">
          <a:spLocks noChangeArrowheads="1"/>
        </xdr:cNvSpPr>
      </xdr:nvSpPr>
      <xdr:spPr bwMode="auto">
        <a:xfrm>
          <a:off x="104648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495300</xdr:colOff>
      <xdr:row>1</xdr:row>
      <xdr:rowOff>114300</xdr:rowOff>
    </xdr:from>
    <xdr:to>
      <xdr:col>12</xdr:col>
      <xdr:colOff>12700</xdr:colOff>
      <xdr:row>2</xdr:row>
      <xdr:rowOff>749300</xdr:rowOff>
    </xdr:to>
    <xdr:sp macro="" textlink="">
      <xdr:nvSpPr>
        <xdr:cNvPr id="18440" name="Text Box 8" hidden="1">
          <a:extLst>
            <a:ext uri="{FF2B5EF4-FFF2-40B4-BE49-F238E27FC236}">
              <a16:creationId xmlns:a16="http://schemas.microsoft.com/office/drawing/2014/main" id="{5680E1CA-1576-5414-586D-1F5C9E7CCFCD}"/>
            </a:ext>
          </a:extLst>
        </xdr:cNvPr>
        <xdr:cNvSpPr txBox="1">
          <a:spLocks noChangeArrowheads="1"/>
        </xdr:cNvSpPr>
      </xdr:nvSpPr>
      <xdr:spPr bwMode="auto">
        <a:xfrm>
          <a:off x="112903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10</xdr:col>
      <xdr:colOff>736600</xdr:colOff>
      <xdr:row>2</xdr:row>
      <xdr:rowOff>774700</xdr:rowOff>
    </xdr:to>
    <xdr:sp macro="" textlink="">
      <xdr:nvSpPr>
        <xdr:cNvPr id="18443" name="Text Box 11" hidden="1">
          <a:extLst>
            <a:ext uri="{FF2B5EF4-FFF2-40B4-BE49-F238E27FC236}">
              <a16:creationId xmlns:a16="http://schemas.microsoft.com/office/drawing/2014/main" id="{5D3A7349-43B3-7D7A-0542-34B37BBBAE49}"/>
            </a:ext>
          </a:extLst>
        </xdr:cNvPr>
        <xdr:cNvSpPr txBox="1">
          <a:spLocks noChangeArrowheads="1"/>
        </xdr:cNvSpPr>
      </xdr:nvSpPr>
      <xdr:spPr bwMode="auto">
        <a:xfrm>
          <a:off x="9182100" y="25400"/>
          <a:ext cx="2349500" cy="138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15</xdr:col>
      <xdr:colOff>279400</xdr:colOff>
      <xdr:row>1</xdr:row>
      <xdr:rowOff>114300</xdr:rowOff>
    </xdr:from>
    <xdr:to>
      <xdr:col>17</xdr:col>
      <xdr:colOff>533400</xdr:colOff>
      <xdr:row>2</xdr:row>
      <xdr:rowOff>1168400</xdr:rowOff>
    </xdr:to>
    <xdr:sp macro="" textlink="">
      <xdr:nvSpPr>
        <xdr:cNvPr id="89090" name="Text Box 2" hidden="1">
          <a:extLst>
            <a:ext uri="{FF2B5EF4-FFF2-40B4-BE49-F238E27FC236}">
              <a16:creationId xmlns:a16="http://schemas.microsoft.com/office/drawing/2014/main" id="{F920289C-6F2E-064D-A2FA-D65AE03ACF07}"/>
            </a:ext>
          </a:extLst>
        </xdr:cNvPr>
        <xdr:cNvSpPr txBox="1">
          <a:spLocks noChangeArrowheads="1"/>
        </xdr:cNvSpPr>
      </xdr:nvSpPr>
      <xdr:spPr bwMode="auto">
        <a:xfrm>
          <a:off x="14300200" y="508000"/>
          <a:ext cx="2057400" cy="130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609600</xdr:colOff>
      <xdr:row>1</xdr:row>
      <xdr:rowOff>114300</xdr:rowOff>
    </xdr:from>
    <xdr:to>
      <xdr:col>8</xdr:col>
      <xdr:colOff>127000</xdr:colOff>
      <xdr:row>2</xdr:row>
      <xdr:rowOff>736600</xdr:rowOff>
    </xdr:to>
    <xdr:sp macro="" textlink="">
      <xdr:nvSpPr>
        <xdr:cNvPr id="89091" name="Text Box 3" hidden="1">
          <a:extLst>
            <a:ext uri="{FF2B5EF4-FFF2-40B4-BE49-F238E27FC236}">
              <a16:creationId xmlns:a16="http://schemas.microsoft.com/office/drawing/2014/main" id="{FC0441F9-07F5-9BF9-F5DE-074402F5A5FB}"/>
            </a:ext>
          </a:extLst>
        </xdr:cNvPr>
        <xdr:cNvSpPr txBox="1">
          <a:spLocks noChangeArrowheads="1"/>
        </xdr:cNvSpPr>
      </xdr:nvSpPr>
      <xdr:spPr bwMode="auto">
        <a:xfrm>
          <a:off x="65151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1</xdr:row>
      <xdr:rowOff>127000</xdr:rowOff>
    </xdr:from>
    <xdr:to>
      <xdr:col>13</xdr:col>
      <xdr:colOff>508000</xdr:colOff>
      <xdr:row>2</xdr:row>
      <xdr:rowOff>1206500</xdr:rowOff>
    </xdr:to>
    <xdr:sp macro="" textlink="">
      <xdr:nvSpPr>
        <xdr:cNvPr id="89092" name="Text Box 4" hidden="1">
          <a:extLst>
            <a:ext uri="{FF2B5EF4-FFF2-40B4-BE49-F238E27FC236}">
              <a16:creationId xmlns:a16="http://schemas.microsoft.com/office/drawing/2014/main" id="{7C6798F7-89AC-D98A-F43A-6BBD02A3F802}"/>
            </a:ext>
          </a:extLst>
        </xdr:cNvPr>
        <xdr:cNvSpPr txBox="1">
          <a:spLocks noChangeArrowheads="1"/>
        </xdr:cNvSpPr>
      </xdr:nvSpPr>
      <xdr:spPr bwMode="auto">
        <a:xfrm>
          <a:off x="10604500" y="520700"/>
          <a:ext cx="212090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1</xdr:row>
      <xdr:rowOff>127000</xdr:rowOff>
    </xdr:from>
    <xdr:to>
      <xdr:col>15</xdr:col>
      <xdr:colOff>215900</xdr:colOff>
      <xdr:row>2</xdr:row>
      <xdr:rowOff>1333500</xdr:rowOff>
    </xdr:to>
    <xdr:sp macro="" textlink="">
      <xdr:nvSpPr>
        <xdr:cNvPr id="89093" name="Text Box 5" hidden="1">
          <a:extLst>
            <a:ext uri="{FF2B5EF4-FFF2-40B4-BE49-F238E27FC236}">
              <a16:creationId xmlns:a16="http://schemas.microsoft.com/office/drawing/2014/main" id="{8EE67347-A62F-7C9D-1100-865D05E4B273}"/>
            </a:ext>
          </a:extLst>
        </xdr:cNvPr>
        <xdr:cNvSpPr txBox="1">
          <a:spLocks noChangeArrowheads="1"/>
        </xdr:cNvSpPr>
      </xdr:nvSpPr>
      <xdr:spPr bwMode="auto">
        <a:xfrm>
          <a:off x="12407900" y="520700"/>
          <a:ext cx="1828800" cy="146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1</xdr:row>
      <xdr:rowOff>127000</xdr:rowOff>
    </xdr:from>
    <xdr:to>
      <xdr:col>16</xdr:col>
      <xdr:colOff>609600</xdr:colOff>
      <xdr:row>2</xdr:row>
      <xdr:rowOff>749300</xdr:rowOff>
    </xdr:to>
    <xdr:sp macro="" textlink="">
      <xdr:nvSpPr>
        <xdr:cNvPr id="89094" name="Text Box 6" hidden="1">
          <a:extLst>
            <a:ext uri="{FF2B5EF4-FFF2-40B4-BE49-F238E27FC236}">
              <a16:creationId xmlns:a16="http://schemas.microsoft.com/office/drawing/2014/main" id="{CA4B98CF-7272-538A-4E16-4784CCCD1564}"/>
            </a:ext>
          </a:extLst>
        </xdr:cNvPr>
        <xdr:cNvSpPr txBox="1">
          <a:spLocks noChangeArrowheads="1"/>
        </xdr:cNvSpPr>
      </xdr:nvSpPr>
      <xdr:spPr bwMode="auto">
        <a:xfrm>
          <a:off x="14211300" y="5207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21</xdr:col>
      <xdr:colOff>863600</xdr:colOff>
      <xdr:row>1</xdr:row>
      <xdr:rowOff>114300</xdr:rowOff>
    </xdr:from>
    <xdr:to>
      <xdr:col>23</xdr:col>
      <xdr:colOff>381000</xdr:colOff>
      <xdr:row>2</xdr:row>
      <xdr:rowOff>749300</xdr:rowOff>
    </xdr:to>
    <xdr:sp macro="" textlink="">
      <xdr:nvSpPr>
        <xdr:cNvPr id="35855" name="Text Box 15" hidden="1">
          <a:extLst>
            <a:ext uri="{FF2B5EF4-FFF2-40B4-BE49-F238E27FC236}">
              <a16:creationId xmlns:a16="http://schemas.microsoft.com/office/drawing/2014/main" id="{C7CAE702-827D-4A90-D062-59052330E106}"/>
            </a:ext>
          </a:extLst>
        </xdr:cNvPr>
        <xdr:cNvSpPr txBox="1">
          <a:spLocks noChangeArrowheads="1"/>
        </xdr:cNvSpPr>
      </xdr:nvSpPr>
      <xdr:spPr bwMode="auto">
        <a:xfrm>
          <a:off x="202946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190500</xdr:colOff>
      <xdr:row>1</xdr:row>
      <xdr:rowOff>114300</xdr:rowOff>
    </xdr:from>
    <xdr:to>
      <xdr:col>26</xdr:col>
      <xdr:colOff>266700</xdr:colOff>
      <xdr:row>13</xdr:row>
      <xdr:rowOff>53975</xdr:rowOff>
    </xdr:to>
    <xdr:sp macro="" textlink="">
      <xdr:nvSpPr>
        <xdr:cNvPr id="35856" name="Text Box 16" hidden="1">
          <a:extLst>
            <a:ext uri="{FF2B5EF4-FFF2-40B4-BE49-F238E27FC236}">
              <a16:creationId xmlns:a16="http://schemas.microsoft.com/office/drawing/2014/main" id="{145D711E-AA2B-E4C2-60F6-B9517DE05180}"/>
            </a:ext>
          </a:extLst>
        </xdr:cNvPr>
        <xdr:cNvSpPr txBox="1">
          <a:spLocks noChangeArrowheads="1"/>
        </xdr:cNvSpPr>
      </xdr:nvSpPr>
      <xdr:spPr bwMode="auto">
        <a:xfrm>
          <a:off x="22326600" y="508000"/>
          <a:ext cx="187960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190500</xdr:colOff>
      <xdr:row>1</xdr:row>
      <xdr:rowOff>114300</xdr:rowOff>
    </xdr:from>
    <xdr:to>
      <xdr:col>27</xdr:col>
      <xdr:colOff>609600</xdr:colOff>
      <xdr:row>2</xdr:row>
      <xdr:rowOff>749300</xdr:rowOff>
    </xdr:to>
    <xdr:sp macro="" textlink="">
      <xdr:nvSpPr>
        <xdr:cNvPr id="35858" name="Text Box 18" hidden="1">
          <a:extLst>
            <a:ext uri="{FF2B5EF4-FFF2-40B4-BE49-F238E27FC236}">
              <a16:creationId xmlns:a16="http://schemas.microsoft.com/office/drawing/2014/main" id="{7638A50D-6A76-67EA-9AFC-72A41012B3F2}"/>
            </a:ext>
          </a:extLst>
        </xdr:cNvPr>
        <xdr:cNvSpPr txBox="1">
          <a:spLocks noChangeArrowheads="1"/>
        </xdr:cNvSpPr>
      </xdr:nvSpPr>
      <xdr:spPr bwMode="auto">
        <a:xfrm>
          <a:off x="241300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114300</xdr:colOff>
      <xdr:row>1</xdr:row>
      <xdr:rowOff>114300</xdr:rowOff>
    </xdr:from>
    <xdr:to>
      <xdr:col>18</xdr:col>
      <xdr:colOff>533400</xdr:colOff>
      <xdr:row>2</xdr:row>
      <xdr:rowOff>749300</xdr:rowOff>
    </xdr:to>
    <xdr:sp macro="" textlink="">
      <xdr:nvSpPr>
        <xdr:cNvPr id="35860" name="Text Box 20" hidden="1">
          <a:extLst>
            <a:ext uri="{FF2B5EF4-FFF2-40B4-BE49-F238E27FC236}">
              <a16:creationId xmlns:a16="http://schemas.microsoft.com/office/drawing/2014/main" id="{CD52DA72-5B2F-8886-FF3A-84ACD967DEAC}"/>
            </a:ext>
          </a:extLst>
        </xdr:cNvPr>
        <xdr:cNvSpPr txBox="1">
          <a:spLocks noChangeArrowheads="1"/>
        </xdr:cNvSpPr>
      </xdr:nvSpPr>
      <xdr:spPr bwMode="auto">
        <a:xfrm>
          <a:off x="159385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1</xdr:row>
      <xdr:rowOff>114300</xdr:rowOff>
    </xdr:from>
    <xdr:to>
      <xdr:col>17</xdr:col>
      <xdr:colOff>533400</xdr:colOff>
      <xdr:row>2</xdr:row>
      <xdr:rowOff>749300</xdr:rowOff>
    </xdr:to>
    <xdr:sp macro="" textlink="">
      <xdr:nvSpPr>
        <xdr:cNvPr id="35861" name="Text Box 21" hidden="1">
          <a:extLst>
            <a:ext uri="{FF2B5EF4-FFF2-40B4-BE49-F238E27FC236}">
              <a16:creationId xmlns:a16="http://schemas.microsoft.com/office/drawing/2014/main" id="{8335C072-0A69-F146-F502-A8024603FBCD}"/>
            </a:ext>
          </a:extLst>
        </xdr:cNvPr>
        <xdr:cNvSpPr txBox="1">
          <a:spLocks noChangeArrowheads="1"/>
        </xdr:cNvSpPr>
      </xdr:nvSpPr>
      <xdr:spPr bwMode="auto">
        <a:xfrm>
          <a:off x="150368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114300</xdr:colOff>
      <xdr:row>1</xdr:row>
      <xdr:rowOff>114300</xdr:rowOff>
    </xdr:from>
    <xdr:to>
      <xdr:col>16</xdr:col>
      <xdr:colOff>381000</xdr:colOff>
      <xdr:row>2</xdr:row>
      <xdr:rowOff>749300</xdr:rowOff>
    </xdr:to>
    <xdr:sp macro="" textlink="">
      <xdr:nvSpPr>
        <xdr:cNvPr id="35862" name="Text Box 22" hidden="1">
          <a:extLst>
            <a:ext uri="{FF2B5EF4-FFF2-40B4-BE49-F238E27FC236}">
              <a16:creationId xmlns:a16="http://schemas.microsoft.com/office/drawing/2014/main" id="{4D2824AE-3046-560E-7DC1-418AB9D5DAA6}"/>
            </a:ext>
          </a:extLst>
        </xdr:cNvPr>
        <xdr:cNvSpPr txBox="1">
          <a:spLocks noChangeArrowheads="1"/>
        </xdr:cNvSpPr>
      </xdr:nvSpPr>
      <xdr:spPr bwMode="auto">
        <a:xfrm>
          <a:off x="13233400" y="508000"/>
          <a:ext cx="20701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1</xdr:row>
      <xdr:rowOff>114300</xdr:rowOff>
    </xdr:from>
    <xdr:to>
      <xdr:col>15</xdr:col>
      <xdr:colOff>787400</xdr:colOff>
      <xdr:row>2</xdr:row>
      <xdr:rowOff>749300</xdr:rowOff>
    </xdr:to>
    <xdr:sp macro="" textlink="">
      <xdr:nvSpPr>
        <xdr:cNvPr id="35863" name="Text Box 23" hidden="1">
          <a:extLst>
            <a:ext uri="{FF2B5EF4-FFF2-40B4-BE49-F238E27FC236}">
              <a16:creationId xmlns:a16="http://schemas.microsoft.com/office/drawing/2014/main" id="{10BFFDA7-58E8-5318-7E96-B0EC78858BDE}"/>
            </a:ext>
          </a:extLst>
        </xdr:cNvPr>
        <xdr:cNvSpPr txBox="1">
          <a:spLocks noChangeArrowheads="1"/>
        </xdr:cNvSpPr>
      </xdr:nvSpPr>
      <xdr:spPr bwMode="auto">
        <a:xfrm>
          <a:off x="12407900" y="508000"/>
          <a:ext cx="24003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17</xdr:col>
      <xdr:colOff>190500</xdr:colOff>
      <xdr:row>1</xdr:row>
      <xdr:rowOff>114300</xdr:rowOff>
    </xdr:from>
    <xdr:to>
      <xdr:col>18</xdr:col>
      <xdr:colOff>685800</xdr:colOff>
      <xdr:row>2</xdr:row>
      <xdr:rowOff>749300</xdr:rowOff>
    </xdr:to>
    <xdr:sp macro="" textlink="">
      <xdr:nvSpPr>
        <xdr:cNvPr id="178178" name="Text Box 1026" hidden="1">
          <a:extLst>
            <a:ext uri="{FF2B5EF4-FFF2-40B4-BE49-F238E27FC236}">
              <a16:creationId xmlns:a16="http://schemas.microsoft.com/office/drawing/2014/main" id="{3F16F245-F144-FB2F-9459-23049D86B8C3}"/>
            </a:ext>
          </a:extLst>
        </xdr:cNvPr>
        <xdr:cNvSpPr txBox="1">
          <a:spLocks noChangeArrowheads="1"/>
        </xdr:cNvSpPr>
      </xdr:nvSpPr>
      <xdr:spPr bwMode="auto">
        <a:xfrm>
          <a:off x="160147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40</xdr:col>
      <xdr:colOff>279400</xdr:colOff>
      <xdr:row>1</xdr:row>
      <xdr:rowOff>114300</xdr:rowOff>
    </xdr:from>
    <xdr:to>
      <xdr:col>43</xdr:col>
      <xdr:colOff>38100</xdr:colOff>
      <xdr:row>2</xdr:row>
      <xdr:rowOff>749300</xdr:rowOff>
    </xdr:to>
    <xdr:sp macro="" textlink="">
      <xdr:nvSpPr>
        <xdr:cNvPr id="22622" name="Text Box 94" hidden="1">
          <a:extLst>
            <a:ext uri="{FF2B5EF4-FFF2-40B4-BE49-F238E27FC236}">
              <a16:creationId xmlns:a16="http://schemas.microsoft.com/office/drawing/2014/main" id="{4B7C8776-8D51-F75C-E3B7-43AF7B06DB67}"/>
            </a:ext>
          </a:extLst>
        </xdr:cNvPr>
        <xdr:cNvSpPr txBox="1">
          <a:spLocks noChangeArrowheads="1"/>
        </xdr:cNvSpPr>
      </xdr:nvSpPr>
      <xdr:spPr bwMode="auto">
        <a:xfrm>
          <a:off x="36842700" y="508000"/>
          <a:ext cx="2463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838200</xdr:colOff>
      <xdr:row>2</xdr:row>
      <xdr:rowOff>1397000</xdr:rowOff>
    </xdr:from>
    <xdr:to>
      <xdr:col>35</xdr:col>
      <xdr:colOff>266700</xdr:colOff>
      <xdr:row>4</xdr:row>
      <xdr:rowOff>0</xdr:rowOff>
    </xdr:to>
    <xdr:sp macro="" textlink="">
      <xdr:nvSpPr>
        <xdr:cNvPr id="22633" name="Text Box 105" hidden="1">
          <a:extLst>
            <a:ext uri="{FF2B5EF4-FFF2-40B4-BE49-F238E27FC236}">
              <a16:creationId xmlns:a16="http://schemas.microsoft.com/office/drawing/2014/main" id="{FFC10F85-5CA8-E973-D6AC-2AC17DAD76A6}"/>
            </a:ext>
          </a:extLst>
        </xdr:cNvPr>
        <xdr:cNvSpPr txBox="1">
          <a:spLocks noChangeArrowheads="1"/>
        </xdr:cNvSpPr>
      </xdr:nvSpPr>
      <xdr:spPr bwMode="auto">
        <a:xfrm>
          <a:off x="31089600" y="2032000"/>
          <a:ext cx="1231900" cy="29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723900</xdr:colOff>
      <xdr:row>2</xdr:row>
      <xdr:rowOff>1358900</xdr:rowOff>
    </xdr:from>
    <xdr:to>
      <xdr:col>30</xdr:col>
      <xdr:colOff>254000</xdr:colOff>
      <xdr:row>4</xdr:row>
      <xdr:rowOff>0</xdr:rowOff>
    </xdr:to>
    <xdr:sp macro="" textlink="">
      <xdr:nvSpPr>
        <xdr:cNvPr id="22634" name="Text Box 106" hidden="1">
          <a:extLst>
            <a:ext uri="{FF2B5EF4-FFF2-40B4-BE49-F238E27FC236}">
              <a16:creationId xmlns:a16="http://schemas.microsoft.com/office/drawing/2014/main" id="{5F793524-C363-5481-D86F-F02DCD8CB744}"/>
            </a:ext>
          </a:extLst>
        </xdr:cNvPr>
        <xdr:cNvSpPr txBox="1">
          <a:spLocks noChangeArrowheads="1"/>
        </xdr:cNvSpPr>
      </xdr:nvSpPr>
      <xdr:spPr bwMode="auto">
        <a:xfrm>
          <a:off x="26466800" y="1993900"/>
          <a:ext cx="1333500" cy="33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825500</xdr:colOff>
      <xdr:row>2</xdr:row>
      <xdr:rowOff>1308100</xdr:rowOff>
    </xdr:from>
    <xdr:to>
      <xdr:col>32</xdr:col>
      <xdr:colOff>355600</xdr:colOff>
      <xdr:row>4</xdr:row>
      <xdr:rowOff>0</xdr:rowOff>
    </xdr:to>
    <xdr:sp macro="" textlink="">
      <xdr:nvSpPr>
        <xdr:cNvPr id="22635" name="Text Box 107" hidden="1">
          <a:extLst>
            <a:ext uri="{FF2B5EF4-FFF2-40B4-BE49-F238E27FC236}">
              <a16:creationId xmlns:a16="http://schemas.microsoft.com/office/drawing/2014/main" id="{A01F535A-1B01-0B50-A343-D5AC7A2A2395}"/>
            </a:ext>
          </a:extLst>
        </xdr:cNvPr>
        <xdr:cNvSpPr txBox="1">
          <a:spLocks noChangeArrowheads="1"/>
        </xdr:cNvSpPr>
      </xdr:nvSpPr>
      <xdr:spPr bwMode="auto">
        <a:xfrm>
          <a:off x="28371800" y="1943100"/>
          <a:ext cx="1333500" cy="38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0</xdr:colOff>
      <xdr:row>2</xdr:row>
      <xdr:rowOff>1422400</xdr:rowOff>
    </xdr:from>
    <xdr:to>
      <xdr:col>26</xdr:col>
      <xdr:colOff>419100</xdr:colOff>
      <xdr:row>4</xdr:row>
      <xdr:rowOff>0</xdr:rowOff>
    </xdr:to>
    <xdr:sp macro="" textlink="">
      <xdr:nvSpPr>
        <xdr:cNvPr id="22636" name="Text Box 108" hidden="1">
          <a:extLst>
            <a:ext uri="{FF2B5EF4-FFF2-40B4-BE49-F238E27FC236}">
              <a16:creationId xmlns:a16="http://schemas.microsoft.com/office/drawing/2014/main" id="{B042B02C-E317-5293-F8A5-648090E78518}"/>
            </a:ext>
          </a:extLst>
        </xdr:cNvPr>
        <xdr:cNvSpPr txBox="1">
          <a:spLocks noChangeArrowheads="1"/>
        </xdr:cNvSpPr>
      </xdr:nvSpPr>
      <xdr:spPr bwMode="auto">
        <a:xfrm>
          <a:off x="23025100" y="2057400"/>
          <a:ext cx="133350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36</xdr:col>
      <xdr:colOff>774700</xdr:colOff>
      <xdr:row>2</xdr:row>
      <xdr:rowOff>1384300</xdr:rowOff>
    </xdr:from>
    <xdr:to>
      <xdr:col>38</xdr:col>
      <xdr:colOff>304800</xdr:colOff>
      <xdr:row>4</xdr:row>
      <xdr:rowOff>0</xdr:rowOff>
    </xdr:to>
    <xdr:sp macro="" textlink="">
      <xdr:nvSpPr>
        <xdr:cNvPr id="22637" name="Text Box 109" hidden="1">
          <a:extLst>
            <a:ext uri="{FF2B5EF4-FFF2-40B4-BE49-F238E27FC236}">
              <a16:creationId xmlns:a16="http://schemas.microsoft.com/office/drawing/2014/main" id="{07D84780-1777-9361-5001-C58D2F6DAD5C}"/>
            </a:ext>
          </a:extLst>
        </xdr:cNvPr>
        <xdr:cNvSpPr txBox="1">
          <a:spLocks noChangeArrowheads="1"/>
        </xdr:cNvSpPr>
      </xdr:nvSpPr>
      <xdr:spPr bwMode="auto">
        <a:xfrm>
          <a:off x="33731200" y="2019300"/>
          <a:ext cx="1333500" cy="30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12700</xdr:colOff>
      <xdr:row>1</xdr:row>
      <xdr:rowOff>127000</xdr:rowOff>
    </xdr:from>
    <xdr:to>
      <xdr:col>42</xdr:col>
      <xdr:colOff>177800</xdr:colOff>
      <xdr:row>2</xdr:row>
      <xdr:rowOff>762000</xdr:rowOff>
    </xdr:to>
    <xdr:sp macro="" textlink="">
      <xdr:nvSpPr>
        <xdr:cNvPr id="22647" name="Text Box 119" hidden="1">
          <a:extLst>
            <a:ext uri="{FF2B5EF4-FFF2-40B4-BE49-F238E27FC236}">
              <a16:creationId xmlns:a16="http://schemas.microsoft.com/office/drawing/2014/main" id="{E07C09A2-E737-5D16-FBC5-1F420EBFE7A6}"/>
            </a:ext>
          </a:extLst>
        </xdr:cNvPr>
        <xdr:cNvSpPr txBox="1">
          <a:spLocks noChangeArrowheads="1"/>
        </xdr:cNvSpPr>
      </xdr:nvSpPr>
      <xdr:spPr bwMode="auto">
        <a:xfrm>
          <a:off x="36576000" y="520700"/>
          <a:ext cx="1968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46</xdr:col>
      <xdr:colOff>76200</xdr:colOff>
      <xdr:row>2</xdr:row>
      <xdr:rowOff>1358900</xdr:rowOff>
    </xdr:from>
    <xdr:to>
      <xdr:col>49</xdr:col>
      <xdr:colOff>876300</xdr:colOff>
      <xdr:row>4</xdr:row>
      <xdr:rowOff>0</xdr:rowOff>
    </xdr:to>
    <xdr:sp macro="" textlink="">
      <xdr:nvSpPr>
        <xdr:cNvPr id="22648" name="Text Box 120" hidden="1">
          <a:extLst>
            <a:ext uri="{FF2B5EF4-FFF2-40B4-BE49-F238E27FC236}">
              <a16:creationId xmlns:a16="http://schemas.microsoft.com/office/drawing/2014/main" id="{A1A0F918-FDFC-E2A5-14B3-15EEC911D608}"/>
            </a:ext>
          </a:extLst>
        </xdr:cNvPr>
        <xdr:cNvSpPr txBox="1">
          <a:spLocks noChangeArrowheads="1"/>
        </xdr:cNvSpPr>
      </xdr:nvSpPr>
      <xdr:spPr bwMode="auto">
        <a:xfrm>
          <a:off x="42049700" y="1993900"/>
          <a:ext cx="3505200" cy="33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685800</xdr:colOff>
      <xdr:row>1</xdr:row>
      <xdr:rowOff>127000</xdr:rowOff>
    </xdr:from>
    <xdr:to>
      <xdr:col>31</xdr:col>
      <xdr:colOff>711200</xdr:colOff>
      <xdr:row>2</xdr:row>
      <xdr:rowOff>1231900</xdr:rowOff>
    </xdr:to>
    <xdr:sp macro="" textlink="">
      <xdr:nvSpPr>
        <xdr:cNvPr id="22650" name="Text Box 122" hidden="1">
          <a:extLst>
            <a:ext uri="{FF2B5EF4-FFF2-40B4-BE49-F238E27FC236}">
              <a16:creationId xmlns:a16="http://schemas.microsoft.com/office/drawing/2014/main" id="{B833E3D5-BFB0-9297-AD84-67FD605EF6B2}"/>
            </a:ext>
          </a:extLst>
        </xdr:cNvPr>
        <xdr:cNvSpPr txBox="1">
          <a:spLocks noChangeArrowheads="1"/>
        </xdr:cNvSpPr>
      </xdr:nvSpPr>
      <xdr:spPr bwMode="auto">
        <a:xfrm>
          <a:off x="28232100" y="520700"/>
          <a:ext cx="92710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787400</xdr:colOff>
      <xdr:row>1</xdr:row>
      <xdr:rowOff>127000</xdr:rowOff>
    </xdr:from>
    <xdr:to>
      <xdr:col>24</xdr:col>
      <xdr:colOff>419100</xdr:colOff>
      <xdr:row>2</xdr:row>
      <xdr:rowOff>1130300</xdr:rowOff>
    </xdr:to>
    <xdr:sp macro="" textlink="">
      <xdr:nvSpPr>
        <xdr:cNvPr id="22663" name="Text Box 135" hidden="1">
          <a:extLst>
            <a:ext uri="{FF2B5EF4-FFF2-40B4-BE49-F238E27FC236}">
              <a16:creationId xmlns:a16="http://schemas.microsoft.com/office/drawing/2014/main" id="{76E0F7C5-B1D2-9632-7DEF-5D6E5B89F208}"/>
            </a:ext>
          </a:extLst>
        </xdr:cNvPr>
        <xdr:cNvSpPr txBox="1">
          <a:spLocks noChangeArrowheads="1"/>
        </xdr:cNvSpPr>
      </xdr:nvSpPr>
      <xdr:spPr bwMode="auto">
        <a:xfrm>
          <a:off x="20218400" y="520700"/>
          <a:ext cx="2336800" cy="124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508000</xdr:colOff>
      <xdr:row>1</xdr:row>
      <xdr:rowOff>88900</xdr:rowOff>
    </xdr:from>
    <xdr:to>
      <xdr:col>16</xdr:col>
      <xdr:colOff>381000</xdr:colOff>
      <xdr:row>3</xdr:row>
      <xdr:rowOff>177800</xdr:rowOff>
    </xdr:to>
    <xdr:sp macro="" textlink="">
      <xdr:nvSpPr>
        <xdr:cNvPr id="22664" name="Text Box 136" hidden="1">
          <a:extLst>
            <a:ext uri="{FF2B5EF4-FFF2-40B4-BE49-F238E27FC236}">
              <a16:creationId xmlns:a16="http://schemas.microsoft.com/office/drawing/2014/main" id="{AE7E464D-C18C-26FB-1C95-3A7373181A43}"/>
            </a:ext>
          </a:extLst>
        </xdr:cNvPr>
        <xdr:cNvSpPr txBox="1">
          <a:spLocks noChangeArrowheads="1"/>
        </xdr:cNvSpPr>
      </xdr:nvSpPr>
      <xdr:spPr bwMode="auto">
        <a:xfrm>
          <a:off x="12725400" y="482600"/>
          <a:ext cx="2578100" cy="181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35</xdr:col>
      <xdr:colOff>190500</xdr:colOff>
      <xdr:row>1</xdr:row>
      <xdr:rowOff>114300</xdr:rowOff>
    </xdr:from>
    <xdr:to>
      <xdr:col>37</xdr:col>
      <xdr:colOff>723900</xdr:colOff>
      <xdr:row>2</xdr:row>
      <xdr:rowOff>762000</xdr:rowOff>
    </xdr:to>
    <xdr:sp macro="" textlink="">
      <xdr:nvSpPr>
        <xdr:cNvPr id="22667" name="Text Box 139" hidden="1">
          <a:extLst>
            <a:ext uri="{FF2B5EF4-FFF2-40B4-BE49-F238E27FC236}">
              <a16:creationId xmlns:a16="http://schemas.microsoft.com/office/drawing/2014/main" id="{A73AEA03-100C-1844-71D8-3F4E38E1AA35}"/>
            </a:ext>
          </a:extLst>
        </xdr:cNvPr>
        <xdr:cNvSpPr txBox="1">
          <a:spLocks noChangeArrowheads="1"/>
        </xdr:cNvSpPr>
      </xdr:nvSpPr>
      <xdr:spPr bwMode="auto">
        <a:xfrm>
          <a:off x="32245300" y="508000"/>
          <a:ext cx="2336800" cy="889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32</xdr:col>
      <xdr:colOff>190500</xdr:colOff>
      <xdr:row>1</xdr:row>
      <xdr:rowOff>114300</xdr:rowOff>
    </xdr:from>
    <xdr:to>
      <xdr:col>34</xdr:col>
      <xdr:colOff>444500</xdr:colOff>
      <xdr:row>2</xdr:row>
      <xdr:rowOff>1079500</xdr:rowOff>
    </xdr:to>
    <xdr:sp macro="" textlink="">
      <xdr:nvSpPr>
        <xdr:cNvPr id="22668" name="Text Box 140" hidden="1">
          <a:extLst>
            <a:ext uri="{FF2B5EF4-FFF2-40B4-BE49-F238E27FC236}">
              <a16:creationId xmlns:a16="http://schemas.microsoft.com/office/drawing/2014/main" id="{ACB72ECD-8CA7-A016-7BFE-CD8FD405FBD4}"/>
            </a:ext>
          </a:extLst>
        </xdr:cNvPr>
        <xdr:cNvSpPr txBox="1">
          <a:spLocks noChangeArrowheads="1"/>
        </xdr:cNvSpPr>
      </xdr:nvSpPr>
      <xdr:spPr bwMode="auto">
        <a:xfrm>
          <a:off x="29540200" y="508000"/>
          <a:ext cx="2057400" cy="120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190500</xdr:colOff>
      <xdr:row>1</xdr:row>
      <xdr:rowOff>114300</xdr:rowOff>
    </xdr:from>
    <xdr:to>
      <xdr:col>26</xdr:col>
      <xdr:colOff>63500</xdr:colOff>
      <xdr:row>2</xdr:row>
      <xdr:rowOff>673100</xdr:rowOff>
    </xdr:to>
    <xdr:sp macro="" textlink="">
      <xdr:nvSpPr>
        <xdr:cNvPr id="22669" name="Text Box 141" hidden="1">
          <a:extLst>
            <a:ext uri="{FF2B5EF4-FFF2-40B4-BE49-F238E27FC236}">
              <a16:creationId xmlns:a16="http://schemas.microsoft.com/office/drawing/2014/main" id="{D445809A-F8BB-78C2-188E-429659CCE9C5}"/>
            </a:ext>
          </a:extLst>
        </xdr:cNvPr>
        <xdr:cNvSpPr txBox="1">
          <a:spLocks noChangeArrowheads="1"/>
        </xdr:cNvSpPr>
      </xdr:nvSpPr>
      <xdr:spPr bwMode="auto">
        <a:xfrm>
          <a:off x="21424900" y="508000"/>
          <a:ext cx="25781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647700</xdr:colOff>
      <xdr:row>1</xdr:row>
      <xdr:rowOff>114300</xdr:rowOff>
    </xdr:from>
    <xdr:to>
      <xdr:col>43</xdr:col>
      <xdr:colOff>431800</xdr:colOff>
      <xdr:row>2</xdr:row>
      <xdr:rowOff>1219200</xdr:rowOff>
    </xdr:to>
    <xdr:sp macro="" textlink="">
      <xdr:nvSpPr>
        <xdr:cNvPr id="22670" name="Text Box 142" hidden="1">
          <a:extLst>
            <a:ext uri="{FF2B5EF4-FFF2-40B4-BE49-F238E27FC236}">
              <a16:creationId xmlns:a16="http://schemas.microsoft.com/office/drawing/2014/main" id="{DC89491C-1F3C-3D71-E858-C53E5833ADCF}"/>
            </a:ext>
          </a:extLst>
        </xdr:cNvPr>
        <xdr:cNvSpPr txBox="1">
          <a:spLocks noChangeArrowheads="1"/>
        </xdr:cNvSpPr>
      </xdr:nvSpPr>
      <xdr:spPr bwMode="auto">
        <a:xfrm>
          <a:off x="37211000" y="508000"/>
          <a:ext cx="248920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54</xdr:col>
      <xdr:colOff>114300</xdr:colOff>
      <xdr:row>1</xdr:row>
      <xdr:rowOff>114300</xdr:rowOff>
    </xdr:from>
    <xdr:to>
      <xdr:col>56</xdr:col>
      <xdr:colOff>736600</xdr:colOff>
      <xdr:row>2</xdr:row>
      <xdr:rowOff>800100</xdr:rowOff>
    </xdr:to>
    <xdr:sp macro="" textlink="">
      <xdr:nvSpPr>
        <xdr:cNvPr id="22671" name="Text Box 143" hidden="1">
          <a:extLst>
            <a:ext uri="{FF2B5EF4-FFF2-40B4-BE49-F238E27FC236}">
              <a16:creationId xmlns:a16="http://schemas.microsoft.com/office/drawing/2014/main" id="{BDD67867-B3BB-10CF-783A-B6E1FD55BF2D}"/>
            </a:ext>
          </a:extLst>
        </xdr:cNvPr>
        <xdr:cNvSpPr txBox="1">
          <a:spLocks noChangeArrowheads="1"/>
        </xdr:cNvSpPr>
      </xdr:nvSpPr>
      <xdr:spPr bwMode="auto">
        <a:xfrm>
          <a:off x="49276000" y="508000"/>
          <a:ext cx="2273300" cy="927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10</xdr:col>
      <xdr:colOff>889000</xdr:colOff>
      <xdr:row>2</xdr:row>
      <xdr:rowOff>25400</xdr:rowOff>
    </xdr:from>
    <xdr:to>
      <xdr:col>13</xdr:col>
      <xdr:colOff>355600</xdr:colOff>
      <xdr:row>2</xdr:row>
      <xdr:rowOff>812800</xdr:rowOff>
    </xdr:to>
    <xdr:sp macro="" textlink="">
      <xdr:nvSpPr>
        <xdr:cNvPr id="111617" name="Text Box 1" hidden="1">
          <a:extLst>
            <a:ext uri="{FF2B5EF4-FFF2-40B4-BE49-F238E27FC236}">
              <a16:creationId xmlns:a16="http://schemas.microsoft.com/office/drawing/2014/main" id="{80F5AD2E-F2E8-137D-5355-89F57A8A26BA}"/>
            </a:ext>
          </a:extLst>
        </xdr:cNvPr>
        <xdr:cNvSpPr txBox="1">
          <a:spLocks noChangeArrowheads="1"/>
        </xdr:cNvSpPr>
      </xdr:nvSpPr>
      <xdr:spPr bwMode="auto">
        <a:xfrm>
          <a:off x="10401300" y="660400"/>
          <a:ext cx="2197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1</xdr:row>
      <xdr:rowOff>114300</xdr:rowOff>
    </xdr:from>
    <xdr:to>
      <xdr:col>14</xdr:col>
      <xdr:colOff>660400</xdr:colOff>
      <xdr:row>2</xdr:row>
      <xdr:rowOff>673100</xdr:rowOff>
    </xdr:to>
    <xdr:sp macro="" textlink="">
      <xdr:nvSpPr>
        <xdr:cNvPr id="111618" name="Text Box 2" hidden="1">
          <a:extLst>
            <a:ext uri="{FF2B5EF4-FFF2-40B4-BE49-F238E27FC236}">
              <a16:creationId xmlns:a16="http://schemas.microsoft.com/office/drawing/2014/main" id="{30EF4C49-29D0-88E8-EE74-1A014EC49003}"/>
            </a:ext>
          </a:extLst>
        </xdr:cNvPr>
        <xdr:cNvSpPr txBox="1">
          <a:spLocks noChangeArrowheads="1"/>
        </xdr:cNvSpPr>
      </xdr:nvSpPr>
      <xdr:spPr bwMode="auto">
        <a:xfrm>
          <a:off x="11531600" y="508000"/>
          <a:ext cx="21971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10</xdr:col>
      <xdr:colOff>190500</xdr:colOff>
      <xdr:row>1</xdr:row>
      <xdr:rowOff>114300</xdr:rowOff>
    </xdr:from>
    <xdr:to>
      <xdr:col>11</xdr:col>
      <xdr:colOff>596900</xdr:colOff>
      <xdr:row>2</xdr:row>
      <xdr:rowOff>749300</xdr:rowOff>
    </xdr:to>
    <xdr:sp macro="" textlink="">
      <xdr:nvSpPr>
        <xdr:cNvPr id="137217" name="Text Box 1" hidden="1">
          <a:extLst>
            <a:ext uri="{FF2B5EF4-FFF2-40B4-BE49-F238E27FC236}">
              <a16:creationId xmlns:a16="http://schemas.microsoft.com/office/drawing/2014/main" id="{8DA8695E-F87E-AEDE-0104-D9DD11910599}"/>
            </a:ext>
          </a:extLst>
        </xdr:cNvPr>
        <xdr:cNvSpPr txBox="1">
          <a:spLocks noChangeArrowheads="1"/>
        </xdr:cNvSpPr>
      </xdr:nvSpPr>
      <xdr:spPr bwMode="auto">
        <a:xfrm>
          <a:off x="9702800" y="508000"/>
          <a:ext cx="13081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495300</xdr:colOff>
      <xdr:row>1</xdr:row>
      <xdr:rowOff>114300</xdr:rowOff>
    </xdr:from>
    <xdr:to>
      <xdr:col>12</xdr:col>
      <xdr:colOff>12700</xdr:colOff>
      <xdr:row>2</xdr:row>
      <xdr:rowOff>749300</xdr:rowOff>
    </xdr:to>
    <xdr:sp macro="" textlink="">
      <xdr:nvSpPr>
        <xdr:cNvPr id="137218" name="Text Box 2" hidden="1">
          <a:extLst>
            <a:ext uri="{FF2B5EF4-FFF2-40B4-BE49-F238E27FC236}">
              <a16:creationId xmlns:a16="http://schemas.microsoft.com/office/drawing/2014/main" id="{CD93D8F0-4F81-D947-C141-548F7CF1A48C}"/>
            </a:ext>
          </a:extLst>
        </xdr:cNvPr>
        <xdr:cNvSpPr txBox="1">
          <a:spLocks noChangeArrowheads="1"/>
        </xdr:cNvSpPr>
      </xdr:nvSpPr>
      <xdr:spPr bwMode="auto">
        <a:xfrm>
          <a:off x="100076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495300</xdr:colOff>
      <xdr:row>1</xdr:row>
      <xdr:rowOff>114300</xdr:rowOff>
    </xdr:from>
    <xdr:to>
      <xdr:col>9</xdr:col>
      <xdr:colOff>12700</xdr:colOff>
      <xdr:row>2</xdr:row>
      <xdr:rowOff>749300</xdr:rowOff>
    </xdr:to>
    <xdr:sp macro="" textlink="">
      <xdr:nvSpPr>
        <xdr:cNvPr id="137219" name="Text Box 3" hidden="1">
          <a:extLst>
            <a:ext uri="{FF2B5EF4-FFF2-40B4-BE49-F238E27FC236}">
              <a16:creationId xmlns:a16="http://schemas.microsoft.com/office/drawing/2014/main" id="{C8BD79A4-9AA4-C0C6-08B1-D2D335AC3010}"/>
            </a:ext>
          </a:extLst>
        </xdr:cNvPr>
        <xdr:cNvSpPr txBox="1">
          <a:spLocks noChangeArrowheads="1"/>
        </xdr:cNvSpPr>
      </xdr:nvSpPr>
      <xdr:spPr bwMode="auto">
        <a:xfrm>
          <a:off x="73025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127000</xdr:colOff>
      <xdr:row>1</xdr:row>
      <xdr:rowOff>114300</xdr:rowOff>
    </xdr:from>
    <xdr:to>
      <xdr:col>9</xdr:col>
      <xdr:colOff>546100</xdr:colOff>
      <xdr:row>2</xdr:row>
      <xdr:rowOff>749300</xdr:rowOff>
    </xdr:to>
    <xdr:sp macro="" textlink="">
      <xdr:nvSpPr>
        <xdr:cNvPr id="137220" name="Text Box 4" hidden="1">
          <a:extLst>
            <a:ext uri="{FF2B5EF4-FFF2-40B4-BE49-F238E27FC236}">
              <a16:creationId xmlns:a16="http://schemas.microsoft.com/office/drawing/2014/main" id="{244ECDBA-E03B-E04D-513B-C60909BE0E91}"/>
            </a:ext>
          </a:extLst>
        </xdr:cNvPr>
        <xdr:cNvSpPr txBox="1">
          <a:spLocks noChangeArrowheads="1"/>
        </xdr:cNvSpPr>
      </xdr:nvSpPr>
      <xdr:spPr bwMode="auto">
        <a:xfrm>
          <a:off x="78359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190500</xdr:colOff>
      <xdr:row>1</xdr:row>
      <xdr:rowOff>114300</xdr:rowOff>
    </xdr:from>
    <xdr:to>
      <xdr:col>17</xdr:col>
      <xdr:colOff>685800</xdr:colOff>
      <xdr:row>2</xdr:row>
      <xdr:rowOff>749300</xdr:rowOff>
    </xdr:to>
    <xdr:sp macro="" textlink="">
      <xdr:nvSpPr>
        <xdr:cNvPr id="137222" name="Text Box 6" hidden="1">
          <a:extLst>
            <a:ext uri="{FF2B5EF4-FFF2-40B4-BE49-F238E27FC236}">
              <a16:creationId xmlns:a16="http://schemas.microsoft.com/office/drawing/2014/main" id="{6A5ABAE2-8973-994D-AC00-89CAA18F6C0E}"/>
            </a:ext>
          </a:extLst>
        </xdr:cNvPr>
        <xdr:cNvSpPr txBox="1">
          <a:spLocks noChangeArrowheads="1"/>
        </xdr:cNvSpPr>
      </xdr:nvSpPr>
      <xdr:spPr bwMode="auto">
        <a:xfrm>
          <a:off x="15113000" y="508000"/>
          <a:ext cx="13970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622300</xdr:colOff>
      <xdr:row>1</xdr:row>
      <xdr:rowOff>114300</xdr:rowOff>
    </xdr:from>
    <xdr:to>
      <xdr:col>21</xdr:col>
      <xdr:colOff>393700</xdr:colOff>
      <xdr:row>2</xdr:row>
      <xdr:rowOff>809625</xdr:rowOff>
    </xdr:to>
    <xdr:sp macro="" textlink="">
      <xdr:nvSpPr>
        <xdr:cNvPr id="137223" name="Text Box 7" hidden="1">
          <a:extLst>
            <a:ext uri="{FF2B5EF4-FFF2-40B4-BE49-F238E27FC236}">
              <a16:creationId xmlns:a16="http://schemas.microsoft.com/office/drawing/2014/main" id="{764C5388-61AB-74A1-BA4A-8E51F229B3A2}"/>
            </a:ext>
          </a:extLst>
        </xdr:cNvPr>
        <xdr:cNvSpPr txBox="1">
          <a:spLocks noChangeArrowheads="1"/>
        </xdr:cNvSpPr>
      </xdr:nvSpPr>
      <xdr:spPr bwMode="auto">
        <a:xfrm>
          <a:off x="18249900" y="508000"/>
          <a:ext cx="157480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xdr:row>
      <xdr:rowOff>114300</xdr:rowOff>
    </xdr:from>
    <xdr:to>
      <xdr:col>23</xdr:col>
      <xdr:colOff>533400</xdr:colOff>
      <xdr:row>2</xdr:row>
      <xdr:rowOff>749300</xdr:rowOff>
    </xdr:to>
    <xdr:sp macro="" textlink="">
      <xdr:nvSpPr>
        <xdr:cNvPr id="137224" name="Text Box 8" hidden="1">
          <a:extLst>
            <a:ext uri="{FF2B5EF4-FFF2-40B4-BE49-F238E27FC236}">
              <a16:creationId xmlns:a16="http://schemas.microsoft.com/office/drawing/2014/main" id="{0A77FF31-2269-C8A4-1D02-A0E267E44099}"/>
            </a:ext>
          </a:extLst>
        </xdr:cNvPr>
        <xdr:cNvSpPr txBox="1">
          <a:spLocks noChangeArrowheads="1"/>
        </xdr:cNvSpPr>
      </xdr:nvSpPr>
      <xdr:spPr bwMode="auto">
        <a:xfrm>
          <a:off x="204470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12</xdr:col>
      <xdr:colOff>190500</xdr:colOff>
      <xdr:row>1</xdr:row>
      <xdr:rowOff>114300</xdr:rowOff>
    </xdr:from>
    <xdr:to>
      <xdr:col>14</xdr:col>
      <xdr:colOff>101600</xdr:colOff>
      <xdr:row>2</xdr:row>
      <xdr:rowOff>876300</xdr:rowOff>
    </xdr:to>
    <xdr:sp macro="" textlink="">
      <xdr:nvSpPr>
        <xdr:cNvPr id="23553" name="Text Box 1" hidden="1">
          <a:extLst>
            <a:ext uri="{FF2B5EF4-FFF2-40B4-BE49-F238E27FC236}">
              <a16:creationId xmlns:a16="http://schemas.microsoft.com/office/drawing/2014/main" id="{C0FA8EF2-BCDF-73E8-D1AC-98CF3604D191}"/>
            </a:ext>
          </a:extLst>
        </xdr:cNvPr>
        <xdr:cNvSpPr txBox="1">
          <a:spLocks noChangeArrowheads="1"/>
        </xdr:cNvSpPr>
      </xdr:nvSpPr>
      <xdr:spPr bwMode="auto">
        <a:xfrm>
          <a:off x="11506200" y="508000"/>
          <a:ext cx="17145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698500</xdr:colOff>
      <xdr:row>1</xdr:row>
      <xdr:rowOff>114300</xdr:rowOff>
    </xdr:from>
    <xdr:to>
      <xdr:col>17</xdr:col>
      <xdr:colOff>863600</xdr:colOff>
      <xdr:row>3</xdr:row>
      <xdr:rowOff>12700</xdr:rowOff>
    </xdr:to>
    <xdr:sp macro="" textlink="">
      <xdr:nvSpPr>
        <xdr:cNvPr id="23554" name="Text Box 2" hidden="1">
          <a:extLst>
            <a:ext uri="{FF2B5EF4-FFF2-40B4-BE49-F238E27FC236}">
              <a16:creationId xmlns:a16="http://schemas.microsoft.com/office/drawing/2014/main" id="{66570767-7DE0-EC0C-7866-7B3D1F88EEAA}"/>
            </a:ext>
          </a:extLst>
        </xdr:cNvPr>
        <xdr:cNvSpPr txBox="1">
          <a:spLocks noChangeArrowheads="1"/>
        </xdr:cNvSpPr>
      </xdr:nvSpPr>
      <xdr:spPr bwMode="auto">
        <a:xfrm>
          <a:off x="14719300" y="508000"/>
          <a:ext cx="196850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190500</xdr:colOff>
      <xdr:row>1</xdr:row>
      <xdr:rowOff>114300</xdr:rowOff>
    </xdr:from>
    <xdr:to>
      <xdr:col>20</xdr:col>
      <xdr:colOff>685800</xdr:colOff>
      <xdr:row>2</xdr:row>
      <xdr:rowOff>749300</xdr:rowOff>
    </xdr:to>
    <xdr:sp macro="" textlink="">
      <xdr:nvSpPr>
        <xdr:cNvPr id="23555" name="Text Box 3" hidden="1">
          <a:extLst>
            <a:ext uri="{FF2B5EF4-FFF2-40B4-BE49-F238E27FC236}">
              <a16:creationId xmlns:a16="http://schemas.microsoft.com/office/drawing/2014/main" id="{5DC56DDC-F6AF-5C7C-ABF8-42F6BCAEF967}"/>
            </a:ext>
          </a:extLst>
        </xdr:cNvPr>
        <xdr:cNvSpPr txBox="1">
          <a:spLocks noChangeArrowheads="1"/>
        </xdr:cNvSpPr>
      </xdr:nvSpPr>
      <xdr:spPr bwMode="auto">
        <a:xfrm>
          <a:off x="17818100" y="508000"/>
          <a:ext cx="13970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21</xdr:col>
      <xdr:colOff>317500</xdr:colOff>
      <xdr:row>1</xdr:row>
      <xdr:rowOff>114300</xdr:rowOff>
    </xdr:from>
    <xdr:to>
      <xdr:col>23</xdr:col>
      <xdr:colOff>50800</xdr:colOff>
      <xdr:row>2</xdr:row>
      <xdr:rowOff>749300</xdr:rowOff>
    </xdr:to>
    <xdr:sp macro="" textlink="">
      <xdr:nvSpPr>
        <xdr:cNvPr id="183302" name="Text Box 6" hidden="1">
          <a:extLst>
            <a:ext uri="{FF2B5EF4-FFF2-40B4-BE49-F238E27FC236}">
              <a16:creationId xmlns:a16="http://schemas.microsoft.com/office/drawing/2014/main" id="{16BDAE1B-ABD5-5CEF-4077-9967FA0408B2}"/>
            </a:ext>
          </a:extLst>
        </xdr:cNvPr>
        <xdr:cNvSpPr txBox="1">
          <a:spLocks noChangeArrowheads="1"/>
        </xdr:cNvSpPr>
      </xdr:nvSpPr>
      <xdr:spPr bwMode="auto">
        <a:xfrm>
          <a:off x="19824700" y="508000"/>
          <a:ext cx="13843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1</xdr:row>
      <xdr:rowOff>114300</xdr:rowOff>
    </xdr:from>
    <xdr:to>
      <xdr:col>20</xdr:col>
      <xdr:colOff>508000</xdr:colOff>
      <xdr:row>2</xdr:row>
      <xdr:rowOff>749300</xdr:rowOff>
    </xdr:to>
    <xdr:sp macro="" textlink="">
      <xdr:nvSpPr>
        <xdr:cNvPr id="183301" name="Text Box 5" hidden="1">
          <a:extLst>
            <a:ext uri="{FF2B5EF4-FFF2-40B4-BE49-F238E27FC236}">
              <a16:creationId xmlns:a16="http://schemas.microsoft.com/office/drawing/2014/main" id="{0B88C2B4-1A09-5025-D72C-0221C752D111}"/>
            </a:ext>
          </a:extLst>
        </xdr:cNvPr>
        <xdr:cNvSpPr txBox="1">
          <a:spLocks noChangeArrowheads="1"/>
        </xdr:cNvSpPr>
      </xdr:nvSpPr>
      <xdr:spPr bwMode="auto">
        <a:xfrm>
          <a:off x="17843500" y="5080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1</xdr:row>
      <xdr:rowOff>114300</xdr:rowOff>
    </xdr:from>
    <xdr:to>
      <xdr:col>9</xdr:col>
      <xdr:colOff>609600</xdr:colOff>
      <xdr:row>2</xdr:row>
      <xdr:rowOff>749300</xdr:rowOff>
    </xdr:to>
    <xdr:sp macro="" textlink="">
      <xdr:nvSpPr>
        <xdr:cNvPr id="183300" name="Text Box 4" hidden="1">
          <a:extLst>
            <a:ext uri="{FF2B5EF4-FFF2-40B4-BE49-F238E27FC236}">
              <a16:creationId xmlns:a16="http://schemas.microsoft.com/office/drawing/2014/main" id="{C94CD64B-0669-398E-C2FD-552017FB5AC0}"/>
            </a:ext>
          </a:extLst>
        </xdr:cNvPr>
        <xdr:cNvSpPr txBox="1">
          <a:spLocks noChangeArrowheads="1"/>
        </xdr:cNvSpPr>
      </xdr:nvSpPr>
      <xdr:spPr bwMode="auto">
        <a:xfrm>
          <a:off x="78994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1</xdr:row>
      <xdr:rowOff>114300</xdr:rowOff>
    </xdr:from>
    <xdr:to>
      <xdr:col>10</xdr:col>
      <xdr:colOff>609600</xdr:colOff>
      <xdr:row>2</xdr:row>
      <xdr:rowOff>749300</xdr:rowOff>
    </xdr:to>
    <xdr:sp macro="" textlink="">
      <xdr:nvSpPr>
        <xdr:cNvPr id="183299" name="Text Box 3" hidden="1">
          <a:extLst>
            <a:ext uri="{FF2B5EF4-FFF2-40B4-BE49-F238E27FC236}">
              <a16:creationId xmlns:a16="http://schemas.microsoft.com/office/drawing/2014/main" id="{ECBAE2CF-A3DA-F546-418F-AEDE2FB15FB7}"/>
            </a:ext>
          </a:extLst>
        </xdr:cNvPr>
        <xdr:cNvSpPr txBox="1">
          <a:spLocks noChangeArrowheads="1"/>
        </xdr:cNvSpPr>
      </xdr:nvSpPr>
      <xdr:spPr bwMode="auto">
        <a:xfrm>
          <a:off x="88011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114300</xdr:colOff>
      <xdr:row>1</xdr:row>
      <xdr:rowOff>114300</xdr:rowOff>
    </xdr:from>
    <xdr:to>
      <xdr:col>21</xdr:col>
      <xdr:colOff>596900</xdr:colOff>
      <xdr:row>2</xdr:row>
      <xdr:rowOff>749300</xdr:rowOff>
    </xdr:to>
    <xdr:sp macro="" textlink="">
      <xdr:nvSpPr>
        <xdr:cNvPr id="183298" name="Text Box 2" hidden="1">
          <a:extLst>
            <a:ext uri="{FF2B5EF4-FFF2-40B4-BE49-F238E27FC236}">
              <a16:creationId xmlns:a16="http://schemas.microsoft.com/office/drawing/2014/main" id="{6997BBC3-B4EC-EEC9-C4BB-23A226DEC0DB}"/>
            </a:ext>
          </a:extLst>
        </xdr:cNvPr>
        <xdr:cNvSpPr txBox="1">
          <a:spLocks noChangeArrowheads="1"/>
        </xdr:cNvSpPr>
      </xdr:nvSpPr>
      <xdr:spPr bwMode="auto">
        <a:xfrm>
          <a:off x="187833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1</xdr:row>
      <xdr:rowOff>114300</xdr:rowOff>
    </xdr:from>
    <xdr:to>
      <xdr:col>7</xdr:col>
      <xdr:colOff>800100</xdr:colOff>
      <xdr:row>2</xdr:row>
      <xdr:rowOff>647700</xdr:rowOff>
    </xdr:to>
    <xdr:sp macro="" textlink="">
      <xdr:nvSpPr>
        <xdr:cNvPr id="183297" name="Text Box 1" hidden="1">
          <a:extLst>
            <a:ext uri="{FF2B5EF4-FFF2-40B4-BE49-F238E27FC236}">
              <a16:creationId xmlns:a16="http://schemas.microsoft.com/office/drawing/2014/main" id="{F5303F34-8EF0-BAD3-9417-E86128B9989D}"/>
            </a:ext>
          </a:extLst>
        </xdr:cNvPr>
        <xdr:cNvSpPr txBox="1">
          <a:spLocks noChangeArrowheads="1"/>
        </xdr:cNvSpPr>
      </xdr:nvSpPr>
      <xdr:spPr bwMode="auto">
        <a:xfrm>
          <a:off x="6096000" y="508000"/>
          <a:ext cx="1511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10</xdr:col>
      <xdr:colOff>190500</xdr:colOff>
      <xdr:row>1</xdr:row>
      <xdr:rowOff>114300</xdr:rowOff>
    </xdr:from>
    <xdr:to>
      <xdr:col>11</xdr:col>
      <xdr:colOff>609600</xdr:colOff>
      <xdr:row>2</xdr:row>
      <xdr:rowOff>749300</xdr:rowOff>
    </xdr:to>
    <xdr:sp macro="" textlink="">
      <xdr:nvSpPr>
        <xdr:cNvPr id="159745" name="Text Box 1" hidden="1">
          <a:extLst>
            <a:ext uri="{FF2B5EF4-FFF2-40B4-BE49-F238E27FC236}">
              <a16:creationId xmlns:a16="http://schemas.microsoft.com/office/drawing/2014/main" id="{FE5C3CF4-E33A-79E9-4CC4-1A03E3B044FD}"/>
            </a:ext>
          </a:extLst>
        </xdr:cNvPr>
        <xdr:cNvSpPr txBox="1">
          <a:spLocks noChangeArrowheads="1"/>
        </xdr:cNvSpPr>
      </xdr:nvSpPr>
      <xdr:spPr bwMode="auto">
        <a:xfrm>
          <a:off x="9817100" y="508000"/>
          <a:ext cx="13208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29"/>
  <sheetViews>
    <sheetView showGridLines="0" workbookViewId="0">
      <selection activeCell="O16" sqref="O16"/>
    </sheetView>
  </sheetViews>
  <sheetFormatPr baseColWidth="10" defaultColWidth="11" defaultRowHeight="16" x14ac:dyDescent="0.2"/>
  <cols>
    <col min="1" max="1" width="4.6640625" customWidth="1"/>
  </cols>
  <sheetData>
    <row r="2" spans="2:2" ht="47" customHeight="1" x14ac:dyDescent="0.2">
      <c r="B2" s="214" t="s">
        <v>0</v>
      </c>
    </row>
    <row r="10" spans="2:2" ht="97.25" customHeight="1" x14ac:dyDescent="0.2">
      <c r="B10" s="215" t="s">
        <v>1</v>
      </c>
    </row>
    <row r="20" spans="2:2" ht="82.25" customHeight="1" x14ac:dyDescent="0.2">
      <c r="B20" s="216" t="s">
        <v>2</v>
      </c>
    </row>
    <row r="25" spans="2:2" x14ac:dyDescent="0.2">
      <c r="B25" t="s">
        <v>3</v>
      </c>
    </row>
    <row r="26" spans="2:2" x14ac:dyDescent="0.2">
      <c r="B26" t="s">
        <v>2</v>
      </c>
    </row>
    <row r="27" spans="2:2" x14ac:dyDescent="0.2">
      <c r="B27" t="s">
        <v>4</v>
      </c>
    </row>
    <row r="29" spans="2:2" x14ac:dyDescent="0.2">
      <c r="B29" t="s">
        <v>5</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8205"/>
  <sheetViews>
    <sheetView topLeftCell="B1" workbookViewId="0">
      <selection activeCell="D5238" sqref="D5238:P5461"/>
    </sheetView>
  </sheetViews>
  <sheetFormatPr baseColWidth="10" defaultColWidth="11" defaultRowHeight="16" x14ac:dyDescent="0.2"/>
  <cols>
    <col min="1" max="1" width="1.6640625" customWidth="1"/>
    <col min="2" max="2" width="49" customWidth="1"/>
    <col min="3" max="3" width="3.1640625" customWidth="1"/>
    <col min="4" max="4" width="32" customWidth="1"/>
    <col min="5" max="6" width="14.1640625" customWidth="1"/>
    <col min="7" max="8" width="35.1640625" customWidth="1"/>
    <col min="9" max="9" width="9.5" bestFit="1" customWidth="1"/>
    <col min="10" max="10" width="13.6640625" customWidth="1"/>
    <col min="11" max="11" width="7.1640625" customWidth="1"/>
    <col min="12" max="12" width="12.6640625" customWidth="1"/>
    <col min="13" max="14" width="10.1640625" customWidth="1"/>
    <col min="15" max="15" width="11.1640625" customWidth="1"/>
    <col min="16" max="17" width="10.1640625" customWidth="1"/>
  </cols>
  <sheetData>
    <row r="1" spans="1:19" ht="17" customHeight="1" x14ac:dyDescent="0.2">
      <c r="A1" s="227"/>
      <c r="B1" s="227"/>
      <c r="C1" s="227"/>
      <c r="D1" s="2" t="s">
        <v>6</v>
      </c>
      <c r="E1" s="2" t="s">
        <v>7</v>
      </c>
      <c r="F1" s="2" t="s">
        <v>8</v>
      </c>
      <c r="G1" s="2" t="s">
        <v>9</v>
      </c>
      <c r="H1" s="2" t="s">
        <v>10</v>
      </c>
      <c r="I1" s="3" t="s">
        <v>11</v>
      </c>
      <c r="J1" s="2" t="s">
        <v>12</v>
      </c>
      <c r="K1" s="2" t="s">
        <v>13</v>
      </c>
      <c r="L1" s="2" t="s">
        <v>14</v>
      </c>
      <c r="M1" s="2" t="s">
        <v>15</v>
      </c>
      <c r="N1" s="2" t="s">
        <v>16</v>
      </c>
      <c r="O1" s="2" t="s">
        <v>17</v>
      </c>
      <c r="P1" s="2" t="s">
        <v>18</v>
      </c>
      <c r="Q1" s="2" t="s">
        <v>19</v>
      </c>
      <c r="R1" s="2" t="s">
        <v>20</v>
      </c>
      <c r="S1" s="2"/>
    </row>
    <row r="2" spans="1:19" ht="17" customHeight="1" x14ac:dyDescent="0.2">
      <c r="A2" s="227"/>
      <c r="B2" s="228" t="s">
        <v>21</v>
      </c>
      <c r="C2" s="226" t="s">
        <v>22</v>
      </c>
      <c r="D2" t="s">
        <v>23</v>
      </c>
      <c r="E2" t="s">
        <v>24</v>
      </c>
      <c r="F2" t="s">
        <v>25</v>
      </c>
      <c r="G2" t="s">
        <v>26</v>
      </c>
      <c r="H2" t="s">
        <v>27</v>
      </c>
      <c r="I2" t="s">
        <v>28</v>
      </c>
      <c r="J2" t="s">
        <v>29</v>
      </c>
      <c r="K2" t="s">
        <v>30</v>
      </c>
      <c r="L2" t="s">
        <v>31</v>
      </c>
      <c r="M2" t="s">
        <v>32</v>
      </c>
      <c r="N2">
        <v>2</v>
      </c>
      <c r="O2">
        <v>8.8219322000000003E-2</v>
      </c>
      <c r="P2">
        <v>2.7727213000000001E-2</v>
      </c>
      <c r="Q2" t="str">
        <f>SUBSTITUTE(SUBSTITUTE($I2,CHAR(61),""),CHAR(34),"")</f>
        <v>&lt;01</v>
      </c>
      <c r="R2" t="str">
        <f>IF($D2&lt;&gt;"","["&amp;$E2&amp;"]"&amp;"|"&amp;$Q2&amp;"|"&amp;$K2&amp;"|"&amp;$G2&amp;"|"&amp;IF($G2="TX_CURR_SUBNAT.R","CY2023Q4",$M2),"")</f>
        <v>[GkIwZrXy1h2]|&lt;01|Female|TX_CURR_SUBNAT.R|CY2023Q4</v>
      </c>
    </row>
    <row r="3" spans="1:19" x14ac:dyDescent="0.2">
      <c r="A3" s="227"/>
      <c r="B3" s="227"/>
      <c r="C3" s="227"/>
      <c r="D3" t="s">
        <v>23</v>
      </c>
      <c r="E3" t="s">
        <v>24</v>
      </c>
      <c r="F3" t="s">
        <v>25</v>
      </c>
      <c r="G3" t="s">
        <v>26</v>
      </c>
      <c r="H3" t="s">
        <v>27</v>
      </c>
      <c r="I3" t="s">
        <v>33</v>
      </c>
      <c r="J3" t="s">
        <v>34</v>
      </c>
      <c r="K3" t="s">
        <v>30</v>
      </c>
      <c r="L3" t="s">
        <v>31</v>
      </c>
      <c r="M3" t="s">
        <v>32</v>
      </c>
      <c r="N3">
        <v>45</v>
      </c>
      <c r="O3">
        <v>8.1256585000000006E-2</v>
      </c>
      <c r="P3">
        <v>2.7727213000000001E-2</v>
      </c>
      <c r="Q3" t="str">
        <f t="shared" ref="Q3:Q66" si="0">SUBSTITUTE(SUBSTITUTE($I3,CHAR(61),""),CHAR(34),"")</f>
        <v>01-09</v>
      </c>
      <c r="R3" t="str">
        <f t="shared" ref="R3:R66" si="1">IF($D3&lt;&gt;"","["&amp;$E3&amp;"]"&amp;"|"&amp;$Q3&amp;"|"&amp;$K3&amp;"|"&amp;$G3&amp;"|"&amp;IF($G3="TX_CURR_SUBNAT.R","CY2023Q4",$M3),"")</f>
        <v>[GkIwZrXy1h2]|01-09|Female|TX_CURR_SUBNAT.R|CY2023Q4</v>
      </c>
    </row>
    <row r="4" spans="1:19" x14ac:dyDescent="0.2">
      <c r="A4" s="227"/>
      <c r="B4" s="224" t="s">
        <v>35</v>
      </c>
      <c r="C4" s="227"/>
      <c r="D4" t="s">
        <v>23</v>
      </c>
      <c r="E4" t="s">
        <v>24</v>
      </c>
      <c r="F4" t="s">
        <v>25</v>
      </c>
      <c r="G4" t="s">
        <v>26</v>
      </c>
      <c r="H4" t="s">
        <v>27</v>
      </c>
      <c r="I4" t="s">
        <v>36</v>
      </c>
      <c r="J4" t="s">
        <v>37</v>
      </c>
      <c r="K4" t="s">
        <v>30</v>
      </c>
      <c r="L4" t="s">
        <v>31</v>
      </c>
      <c r="M4" t="s">
        <v>32</v>
      </c>
      <c r="N4">
        <v>62</v>
      </c>
      <c r="O4">
        <v>7.2200789000000001E-2</v>
      </c>
      <c r="P4">
        <v>2.7727213000000001E-2</v>
      </c>
      <c r="Q4" t="str">
        <f t="shared" si="0"/>
        <v>10-14</v>
      </c>
      <c r="R4" t="str">
        <f t="shared" si="1"/>
        <v>[GkIwZrXy1h2]|10-14|Female|TX_CURR_SUBNAT.R|CY2023Q4</v>
      </c>
    </row>
    <row r="5" spans="1:19" x14ac:dyDescent="0.2">
      <c r="A5" s="227"/>
      <c r="B5" s="227"/>
      <c r="C5" s="227"/>
      <c r="D5" t="s">
        <v>23</v>
      </c>
      <c r="E5" t="s">
        <v>24</v>
      </c>
      <c r="F5" t="s">
        <v>25</v>
      </c>
      <c r="G5" t="s">
        <v>26</v>
      </c>
      <c r="H5" t="s">
        <v>27</v>
      </c>
      <c r="I5" t="s">
        <v>38</v>
      </c>
      <c r="J5" t="s">
        <v>39</v>
      </c>
      <c r="K5" t="s">
        <v>30</v>
      </c>
      <c r="L5" t="s">
        <v>31</v>
      </c>
      <c r="M5" t="s">
        <v>32</v>
      </c>
      <c r="N5">
        <v>264</v>
      </c>
      <c r="O5">
        <v>7.2150106000000006E-2</v>
      </c>
      <c r="P5">
        <v>2.7727213000000001E-2</v>
      </c>
      <c r="Q5" t="str">
        <f t="shared" si="0"/>
        <v>15-24</v>
      </c>
      <c r="R5" t="str">
        <f t="shared" si="1"/>
        <v>[GkIwZrXy1h2]|15-24|Female|TX_CURR_SUBNAT.R|CY2023Q4</v>
      </c>
    </row>
    <row r="6" spans="1:19" x14ac:dyDescent="0.2">
      <c r="A6" s="227"/>
      <c r="B6" s="249" t="s">
        <v>40</v>
      </c>
      <c r="C6" s="227"/>
      <c r="D6" t="s">
        <v>23</v>
      </c>
      <c r="E6" t="s">
        <v>24</v>
      </c>
      <c r="F6" t="s">
        <v>25</v>
      </c>
      <c r="G6" t="s">
        <v>26</v>
      </c>
      <c r="H6" t="s">
        <v>27</v>
      </c>
      <c r="I6" t="s">
        <v>41</v>
      </c>
      <c r="J6" t="s">
        <v>42</v>
      </c>
      <c r="K6" t="s">
        <v>30</v>
      </c>
      <c r="L6" t="s">
        <v>31</v>
      </c>
      <c r="M6" t="s">
        <v>32</v>
      </c>
      <c r="N6">
        <v>696</v>
      </c>
      <c r="O6">
        <v>5.0605870999999997E-2</v>
      </c>
      <c r="P6">
        <v>2.7727213000000001E-2</v>
      </c>
      <c r="Q6" t="str">
        <f t="shared" si="0"/>
        <v>25-34</v>
      </c>
      <c r="R6" t="str">
        <f t="shared" si="1"/>
        <v>[GkIwZrXy1h2]|25-34|Female|TX_CURR_SUBNAT.R|CY2023Q4</v>
      </c>
    </row>
    <row r="7" spans="1:19" x14ac:dyDescent="0.2">
      <c r="A7" s="227"/>
      <c r="B7" s="249"/>
      <c r="C7" s="227"/>
      <c r="D7" t="s">
        <v>23</v>
      </c>
      <c r="E7" t="s">
        <v>24</v>
      </c>
      <c r="F7" t="s">
        <v>25</v>
      </c>
      <c r="G7" t="s">
        <v>26</v>
      </c>
      <c r="H7" t="s">
        <v>27</v>
      </c>
      <c r="I7" t="s">
        <v>43</v>
      </c>
      <c r="J7" t="s">
        <v>44</v>
      </c>
      <c r="K7" t="s">
        <v>30</v>
      </c>
      <c r="L7" t="s">
        <v>31</v>
      </c>
      <c r="M7" t="s">
        <v>32</v>
      </c>
      <c r="N7">
        <v>1805</v>
      </c>
      <c r="O7">
        <v>3.4808682000000001E-2</v>
      </c>
      <c r="P7">
        <v>2.7727213000000001E-2</v>
      </c>
      <c r="Q7" t="str">
        <f t="shared" si="0"/>
        <v>35-49</v>
      </c>
      <c r="R7" t="str">
        <f t="shared" si="1"/>
        <v>[GkIwZrXy1h2]|35-49|Female|TX_CURR_SUBNAT.R|CY2023Q4</v>
      </c>
    </row>
    <row r="8" spans="1:19" x14ac:dyDescent="0.2">
      <c r="A8" s="227"/>
      <c r="B8" s="225"/>
      <c r="C8" s="227"/>
      <c r="D8" t="s">
        <v>23</v>
      </c>
      <c r="E8" t="s">
        <v>24</v>
      </c>
      <c r="F8" t="s">
        <v>25</v>
      </c>
      <c r="G8" t="s">
        <v>26</v>
      </c>
      <c r="H8" t="s">
        <v>27</v>
      </c>
      <c r="I8" t="s">
        <v>45</v>
      </c>
      <c r="J8" t="s">
        <v>46</v>
      </c>
      <c r="K8" t="s">
        <v>30</v>
      </c>
      <c r="L8" t="s">
        <v>31</v>
      </c>
      <c r="M8" t="s">
        <v>32</v>
      </c>
      <c r="N8">
        <v>839</v>
      </c>
      <c r="O8">
        <v>4.9951763000000003E-2</v>
      </c>
      <c r="P8">
        <v>2.7727213000000001E-2</v>
      </c>
      <c r="Q8" t="str">
        <f t="shared" si="0"/>
        <v>50+</v>
      </c>
      <c r="R8" t="str">
        <f t="shared" si="1"/>
        <v>[GkIwZrXy1h2]|50+|Female|TX_CURR_SUBNAT.R|CY2023Q4</v>
      </c>
    </row>
    <row r="9" spans="1:19" ht="17" customHeight="1" x14ac:dyDescent="0.2">
      <c r="A9" s="227"/>
      <c r="B9" s="225" t="s">
        <v>47</v>
      </c>
      <c r="C9" s="227"/>
      <c r="D9" t="s">
        <v>23</v>
      </c>
      <c r="E9" t="s">
        <v>24</v>
      </c>
      <c r="F9" t="s">
        <v>25</v>
      </c>
      <c r="G9" t="s">
        <v>26</v>
      </c>
      <c r="H9" t="s">
        <v>27</v>
      </c>
      <c r="I9" t="s">
        <v>28</v>
      </c>
      <c r="J9" t="s">
        <v>29</v>
      </c>
      <c r="K9" t="s">
        <v>48</v>
      </c>
      <c r="L9" t="s">
        <v>49</v>
      </c>
      <c r="M9" t="s">
        <v>32</v>
      </c>
      <c r="N9">
        <v>2</v>
      </c>
      <c r="O9">
        <v>6.3696052000000003E-2</v>
      </c>
      <c r="P9">
        <v>2.7727213000000001E-2</v>
      </c>
      <c r="Q9" t="str">
        <f t="shared" si="0"/>
        <v>&lt;01</v>
      </c>
      <c r="R9" t="str">
        <f t="shared" si="1"/>
        <v>[GkIwZrXy1h2]|&lt;01|Male|TX_CURR_SUBNAT.R|CY2023Q4</v>
      </c>
    </row>
    <row r="10" spans="1:19" x14ac:dyDescent="0.2">
      <c r="A10" s="227"/>
      <c r="B10" s="225"/>
      <c r="C10" s="227"/>
      <c r="D10" t="s">
        <v>23</v>
      </c>
      <c r="E10" t="s">
        <v>24</v>
      </c>
      <c r="F10" t="s">
        <v>25</v>
      </c>
      <c r="G10" t="s">
        <v>26</v>
      </c>
      <c r="H10" t="s">
        <v>27</v>
      </c>
      <c r="I10" t="s">
        <v>33</v>
      </c>
      <c r="J10" t="s">
        <v>34</v>
      </c>
      <c r="K10" t="s">
        <v>48</v>
      </c>
      <c r="L10" t="s">
        <v>49</v>
      </c>
      <c r="M10" t="s">
        <v>32</v>
      </c>
      <c r="N10">
        <v>46</v>
      </c>
      <c r="O10">
        <v>6.1458625000000003E-2</v>
      </c>
      <c r="P10">
        <v>2.7727213000000001E-2</v>
      </c>
      <c r="Q10" t="str">
        <f t="shared" si="0"/>
        <v>01-09</v>
      </c>
      <c r="R10" t="str">
        <f t="shared" si="1"/>
        <v>[GkIwZrXy1h2]|01-09|Male|TX_CURR_SUBNAT.R|CY2023Q4</v>
      </c>
    </row>
    <row r="11" spans="1:19" x14ac:dyDescent="0.2">
      <c r="A11" s="227"/>
      <c r="B11" s="249" t="s">
        <v>50</v>
      </c>
      <c r="C11" s="227"/>
      <c r="D11" t="s">
        <v>23</v>
      </c>
      <c r="E11" t="s">
        <v>24</v>
      </c>
      <c r="F11" t="s">
        <v>25</v>
      </c>
      <c r="G11" t="s">
        <v>26</v>
      </c>
      <c r="H11" t="s">
        <v>27</v>
      </c>
      <c r="I11" t="s">
        <v>36</v>
      </c>
      <c r="J11" t="s">
        <v>37</v>
      </c>
      <c r="K11" t="s">
        <v>48</v>
      </c>
      <c r="L11" t="s">
        <v>49</v>
      </c>
      <c r="M11" t="s">
        <v>32</v>
      </c>
      <c r="N11">
        <v>62</v>
      </c>
      <c r="O11">
        <v>5.8011477999999998E-2</v>
      </c>
      <c r="P11">
        <v>2.7727213000000001E-2</v>
      </c>
      <c r="Q11" t="str">
        <f t="shared" si="0"/>
        <v>10-14</v>
      </c>
      <c r="R11" t="str">
        <f t="shared" si="1"/>
        <v>[GkIwZrXy1h2]|10-14|Male|TX_CURR_SUBNAT.R|CY2023Q4</v>
      </c>
    </row>
    <row r="12" spans="1:19" x14ac:dyDescent="0.2">
      <c r="A12" s="227"/>
      <c r="B12" s="249"/>
      <c r="C12" s="227"/>
      <c r="D12" t="s">
        <v>23</v>
      </c>
      <c r="E12" t="s">
        <v>24</v>
      </c>
      <c r="F12" t="s">
        <v>25</v>
      </c>
      <c r="G12" t="s">
        <v>26</v>
      </c>
      <c r="H12" t="s">
        <v>27</v>
      </c>
      <c r="I12" t="s">
        <v>38</v>
      </c>
      <c r="J12" t="s">
        <v>39</v>
      </c>
      <c r="K12" t="s">
        <v>48</v>
      </c>
      <c r="L12" t="s">
        <v>49</v>
      </c>
      <c r="M12" t="s">
        <v>32</v>
      </c>
      <c r="N12">
        <v>188</v>
      </c>
      <c r="O12">
        <v>8.5665263000000005E-2</v>
      </c>
      <c r="P12">
        <v>2.7727213000000001E-2</v>
      </c>
      <c r="Q12" t="str">
        <f t="shared" si="0"/>
        <v>15-24</v>
      </c>
      <c r="R12" t="str">
        <f t="shared" si="1"/>
        <v>[GkIwZrXy1h2]|15-24|Male|TX_CURR_SUBNAT.R|CY2023Q4</v>
      </c>
    </row>
    <row r="13" spans="1:19" x14ac:dyDescent="0.2">
      <c r="A13" s="227"/>
      <c r="B13" s="225"/>
      <c r="C13" s="227"/>
      <c r="D13" t="s">
        <v>23</v>
      </c>
      <c r="E13" t="s">
        <v>24</v>
      </c>
      <c r="F13" t="s">
        <v>25</v>
      </c>
      <c r="G13" t="s">
        <v>26</v>
      </c>
      <c r="H13" t="s">
        <v>27</v>
      </c>
      <c r="I13" t="s">
        <v>41</v>
      </c>
      <c r="J13" t="s">
        <v>42</v>
      </c>
      <c r="K13" t="s">
        <v>48</v>
      </c>
      <c r="L13" t="s">
        <v>49</v>
      </c>
      <c r="M13" t="s">
        <v>32</v>
      </c>
      <c r="N13">
        <v>248</v>
      </c>
      <c r="O13">
        <v>7.5522987E-2</v>
      </c>
      <c r="P13">
        <v>2.7727213000000001E-2</v>
      </c>
      <c r="Q13" t="str">
        <f t="shared" si="0"/>
        <v>25-34</v>
      </c>
      <c r="R13" t="str">
        <f t="shared" si="1"/>
        <v>[GkIwZrXy1h2]|25-34|Male|TX_CURR_SUBNAT.R|CY2023Q4</v>
      </c>
    </row>
    <row r="14" spans="1:19" ht="17" customHeight="1" x14ac:dyDescent="0.2">
      <c r="A14" s="227"/>
      <c r="B14" s="225" t="s">
        <v>51</v>
      </c>
      <c r="C14" s="227"/>
      <c r="D14" t="s">
        <v>23</v>
      </c>
      <c r="E14" t="s">
        <v>24</v>
      </c>
      <c r="F14" t="s">
        <v>25</v>
      </c>
      <c r="G14" t="s">
        <v>26</v>
      </c>
      <c r="H14" t="s">
        <v>27</v>
      </c>
      <c r="I14" t="s">
        <v>43</v>
      </c>
      <c r="J14" t="s">
        <v>44</v>
      </c>
      <c r="K14" t="s">
        <v>48</v>
      </c>
      <c r="L14" t="s">
        <v>49</v>
      </c>
      <c r="M14" t="s">
        <v>32</v>
      </c>
      <c r="N14">
        <v>997</v>
      </c>
      <c r="O14">
        <v>4.4191095E-2</v>
      </c>
      <c r="P14">
        <v>2.7727213000000001E-2</v>
      </c>
      <c r="Q14" t="str">
        <f t="shared" si="0"/>
        <v>35-49</v>
      </c>
      <c r="R14" t="str">
        <f t="shared" si="1"/>
        <v>[GkIwZrXy1h2]|35-49|Male|TX_CURR_SUBNAT.R|CY2023Q4</v>
      </c>
    </row>
    <row r="15" spans="1:19" x14ac:dyDescent="0.2">
      <c r="A15" s="227"/>
      <c r="B15" s="225"/>
      <c r="C15" s="227"/>
      <c r="D15" t="s">
        <v>23</v>
      </c>
      <c r="E15" t="s">
        <v>24</v>
      </c>
      <c r="F15" t="s">
        <v>25</v>
      </c>
      <c r="G15" t="s">
        <v>26</v>
      </c>
      <c r="H15" t="s">
        <v>27</v>
      </c>
      <c r="I15" t="s">
        <v>45</v>
      </c>
      <c r="J15" t="s">
        <v>46</v>
      </c>
      <c r="K15" t="s">
        <v>48</v>
      </c>
      <c r="L15" t="s">
        <v>49</v>
      </c>
      <c r="M15" t="s">
        <v>32</v>
      </c>
      <c r="N15">
        <v>796</v>
      </c>
      <c r="O15">
        <v>4.6935046000000001E-2</v>
      </c>
      <c r="P15">
        <v>2.7727213000000001E-2</v>
      </c>
      <c r="Q15" t="str">
        <f t="shared" si="0"/>
        <v>50+</v>
      </c>
      <c r="R15" t="str">
        <f t="shared" si="1"/>
        <v>[GkIwZrXy1h2]|50+|Male|TX_CURR_SUBNAT.R|CY2023Q4</v>
      </c>
    </row>
    <row r="16" spans="1:19" x14ac:dyDescent="0.2">
      <c r="A16" s="227"/>
      <c r="B16" s="249" t="s">
        <v>52</v>
      </c>
      <c r="C16" s="227"/>
      <c r="D16" t="s">
        <v>53</v>
      </c>
      <c r="E16" t="s">
        <v>54</v>
      </c>
      <c r="F16" t="s">
        <v>55</v>
      </c>
      <c r="G16" t="s">
        <v>26</v>
      </c>
      <c r="H16" t="s">
        <v>27</v>
      </c>
      <c r="I16" t="s">
        <v>28</v>
      </c>
      <c r="J16" t="s">
        <v>29</v>
      </c>
      <c r="K16" t="s">
        <v>30</v>
      </c>
      <c r="L16" t="s">
        <v>31</v>
      </c>
      <c r="M16" t="s">
        <v>32</v>
      </c>
      <c r="N16">
        <v>7</v>
      </c>
      <c r="O16">
        <v>6.8340076999999999E-2</v>
      </c>
      <c r="P16">
        <v>1.2708578999999999E-2</v>
      </c>
      <c r="Q16" t="str">
        <f t="shared" si="0"/>
        <v>&lt;01</v>
      </c>
      <c r="R16" t="str">
        <f t="shared" si="1"/>
        <v>[cPtvxaZqXIH]|&lt;01|Female|TX_CURR_SUBNAT.R|CY2023Q4</v>
      </c>
    </row>
    <row r="17" spans="1:18" x14ac:dyDescent="0.2">
      <c r="A17" s="227"/>
      <c r="B17" s="249"/>
      <c r="C17" s="227"/>
      <c r="D17" t="s">
        <v>53</v>
      </c>
      <c r="E17" t="s">
        <v>54</v>
      </c>
      <c r="F17" t="s">
        <v>55</v>
      </c>
      <c r="G17" t="s">
        <v>26</v>
      </c>
      <c r="H17" t="s">
        <v>27</v>
      </c>
      <c r="I17" t="s">
        <v>33</v>
      </c>
      <c r="J17" t="s">
        <v>34</v>
      </c>
      <c r="K17" t="s">
        <v>30</v>
      </c>
      <c r="L17" t="s">
        <v>31</v>
      </c>
      <c r="M17" t="s">
        <v>32</v>
      </c>
      <c r="N17">
        <v>131</v>
      </c>
      <c r="O17">
        <v>5.7406487999999999E-2</v>
      </c>
      <c r="P17">
        <v>1.2708578999999999E-2</v>
      </c>
      <c r="Q17" t="str">
        <f t="shared" si="0"/>
        <v>01-09</v>
      </c>
      <c r="R17" t="str">
        <f t="shared" si="1"/>
        <v>[cPtvxaZqXIH]|01-09|Female|TX_CURR_SUBNAT.R|CY2023Q4</v>
      </c>
    </row>
    <row r="18" spans="1:18" x14ac:dyDescent="0.2">
      <c r="A18" s="227"/>
      <c r="B18" s="225"/>
      <c r="C18" s="227"/>
      <c r="D18" t="s">
        <v>53</v>
      </c>
      <c r="E18" t="s">
        <v>54</v>
      </c>
      <c r="F18" t="s">
        <v>55</v>
      </c>
      <c r="G18" t="s">
        <v>26</v>
      </c>
      <c r="H18" t="s">
        <v>27</v>
      </c>
      <c r="I18" t="s">
        <v>36</v>
      </c>
      <c r="J18" t="s">
        <v>37</v>
      </c>
      <c r="K18" t="s">
        <v>30</v>
      </c>
      <c r="L18" t="s">
        <v>31</v>
      </c>
      <c r="M18" t="s">
        <v>32</v>
      </c>
      <c r="N18">
        <v>179</v>
      </c>
      <c r="O18">
        <v>4.4796179999999998E-2</v>
      </c>
      <c r="P18">
        <v>1.2708578999999999E-2</v>
      </c>
      <c r="Q18" t="str">
        <f t="shared" si="0"/>
        <v>10-14</v>
      </c>
      <c r="R18" t="str">
        <f t="shared" si="1"/>
        <v>[cPtvxaZqXIH]|10-14|Female|TX_CURR_SUBNAT.R|CY2023Q4</v>
      </c>
    </row>
    <row r="19" spans="1:18" x14ac:dyDescent="0.2">
      <c r="A19" s="227"/>
      <c r="B19" s="249" t="s">
        <v>56</v>
      </c>
      <c r="C19" s="227"/>
      <c r="D19" t="s">
        <v>53</v>
      </c>
      <c r="E19" t="s">
        <v>54</v>
      </c>
      <c r="F19" t="s">
        <v>55</v>
      </c>
      <c r="G19" t="s">
        <v>26</v>
      </c>
      <c r="H19" t="s">
        <v>27</v>
      </c>
      <c r="I19" t="s">
        <v>38</v>
      </c>
      <c r="J19" t="s">
        <v>39</v>
      </c>
      <c r="K19" t="s">
        <v>30</v>
      </c>
      <c r="L19" t="s">
        <v>31</v>
      </c>
      <c r="M19" t="s">
        <v>32</v>
      </c>
      <c r="N19">
        <v>769</v>
      </c>
      <c r="O19">
        <v>6.7294930000000003E-2</v>
      </c>
      <c r="P19">
        <v>1.2708578999999999E-2</v>
      </c>
      <c r="Q19" t="str">
        <f t="shared" si="0"/>
        <v>15-24</v>
      </c>
      <c r="R19" t="str">
        <f t="shared" si="1"/>
        <v>[cPtvxaZqXIH]|15-24|Female|TX_CURR_SUBNAT.R|CY2023Q4</v>
      </c>
    </row>
    <row r="20" spans="1:18" x14ac:dyDescent="0.2">
      <c r="A20" s="227"/>
      <c r="B20" s="249"/>
      <c r="C20" s="227"/>
      <c r="D20" t="s">
        <v>53</v>
      </c>
      <c r="E20" t="s">
        <v>54</v>
      </c>
      <c r="F20" t="s">
        <v>55</v>
      </c>
      <c r="G20" t="s">
        <v>26</v>
      </c>
      <c r="H20" t="s">
        <v>27</v>
      </c>
      <c r="I20" t="s">
        <v>41</v>
      </c>
      <c r="J20" t="s">
        <v>42</v>
      </c>
      <c r="K20" t="s">
        <v>30</v>
      </c>
      <c r="L20" t="s">
        <v>31</v>
      </c>
      <c r="M20" t="s">
        <v>32</v>
      </c>
      <c r="N20">
        <v>2003</v>
      </c>
      <c r="O20">
        <v>3.9401406999999999E-2</v>
      </c>
      <c r="P20">
        <v>1.2708578999999999E-2</v>
      </c>
      <c r="Q20" t="str">
        <f t="shared" si="0"/>
        <v>25-34</v>
      </c>
      <c r="R20" t="str">
        <f t="shared" si="1"/>
        <v>[cPtvxaZqXIH]|25-34|Female|TX_CURR_SUBNAT.R|CY2023Q4</v>
      </c>
    </row>
    <row r="21" spans="1:18" x14ac:dyDescent="0.2">
      <c r="A21" s="227"/>
      <c r="B21" s="227"/>
      <c r="C21" s="227"/>
      <c r="D21" t="s">
        <v>53</v>
      </c>
      <c r="E21" t="s">
        <v>54</v>
      </c>
      <c r="F21" t="s">
        <v>55</v>
      </c>
      <c r="G21" t="s">
        <v>26</v>
      </c>
      <c r="H21" t="s">
        <v>27</v>
      </c>
      <c r="I21" t="s">
        <v>43</v>
      </c>
      <c r="J21" t="s">
        <v>44</v>
      </c>
      <c r="K21" t="s">
        <v>30</v>
      </c>
      <c r="L21" t="s">
        <v>31</v>
      </c>
      <c r="M21" t="s">
        <v>32</v>
      </c>
      <c r="N21">
        <v>4908</v>
      </c>
      <c r="O21">
        <v>2.3270751999999999E-2</v>
      </c>
      <c r="P21">
        <v>1.2708578999999999E-2</v>
      </c>
      <c r="Q21" t="str">
        <f t="shared" si="0"/>
        <v>35-49</v>
      </c>
      <c r="R21" t="str">
        <f t="shared" si="1"/>
        <v>[cPtvxaZqXIH]|35-49|Female|TX_CURR_SUBNAT.R|CY2023Q4</v>
      </c>
    </row>
    <row r="22" spans="1:18" ht="16.25" customHeight="1" x14ac:dyDescent="0.2">
      <c r="A22" s="227"/>
      <c r="B22" s="225" t="s">
        <v>57</v>
      </c>
      <c r="C22" s="227"/>
      <c r="D22" t="s">
        <v>53</v>
      </c>
      <c r="E22" t="s">
        <v>54</v>
      </c>
      <c r="F22" t="s">
        <v>55</v>
      </c>
      <c r="G22" t="s">
        <v>26</v>
      </c>
      <c r="H22" t="s">
        <v>27</v>
      </c>
      <c r="I22" t="s">
        <v>45</v>
      </c>
      <c r="J22" t="s">
        <v>46</v>
      </c>
      <c r="K22" t="s">
        <v>30</v>
      </c>
      <c r="L22" t="s">
        <v>31</v>
      </c>
      <c r="M22" t="s">
        <v>32</v>
      </c>
      <c r="N22">
        <v>2140</v>
      </c>
      <c r="O22">
        <v>4.3125006E-2</v>
      </c>
      <c r="P22">
        <v>1.2708578999999999E-2</v>
      </c>
      <c r="Q22" t="str">
        <f t="shared" si="0"/>
        <v>50+</v>
      </c>
      <c r="R22" t="str">
        <f t="shared" si="1"/>
        <v>[cPtvxaZqXIH]|50+|Female|TX_CURR_SUBNAT.R|CY2023Q4</v>
      </c>
    </row>
    <row r="23" spans="1:18" x14ac:dyDescent="0.2">
      <c r="A23" s="227"/>
      <c r="B23" s="225"/>
      <c r="C23" s="227"/>
      <c r="D23" t="s">
        <v>53</v>
      </c>
      <c r="E23" t="s">
        <v>54</v>
      </c>
      <c r="F23" t="s">
        <v>55</v>
      </c>
      <c r="G23" t="s">
        <v>26</v>
      </c>
      <c r="H23" t="s">
        <v>27</v>
      </c>
      <c r="I23" t="s">
        <v>28</v>
      </c>
      <c r="J23" t="s">
        <v>29</v>
      </c>
      <c r="K23" t="s">
        <v>48</v>
      </c>
      <c r="L23" t="s">
        <v>49</v>
      </c>
      <c r="M23" t="s">
        <v>32</v>
      </c>
      <c r="N23">
        <v>7</v>
      </c>
      <c r="O23">
        <v>4.3787560000000003E-2</v>
      </c>
      <c r="P23">
        <v>1.2708578999999999E-2</v>
      </c>
      <c r="Q23" t="str">
        <f t="shared" si="0"/>
        <v>&lt;01</v>
      </c>
      <c r="R23" t="str">
        <f t="shared" si="1"/>
        <v>[cPtvxaZqXIH]|&lt;01|Male|TX_CURR_SUBNAT.R|CY2023Q4</v>
      </c>
    </row>
    <row r="24" spans="1:18" x14ac:dyDescent="0.2">
      <c r="A24" s="227"/>
      <c r="B24" s="223" t="s">
        <v>58</v>
      </c>
      <c r="C24" s="227"/>
      <c r="D24" t="s">
        <v>53</v>
      </c>
      <c r="E24" t="s">
        <v>54</v>
      </c>
      <c r="F24" t="s">
        <v>55</v>
      </c>
      <c r="G24" t="s">
        <v>26</v>
      </c>
      <c r="H24" t="s">
        <v>27</v>
      </c>
      <c r="I24" t="s">
        <v>33</v>
      </c>
      <c r="J24" t="s">
        <v>34</v>
      </c>
      <c r="K24" t="s">
        <v>48</v>
      </c>
      <c r="L24" t="s">
        <v>49</v>
      </c>
      <c r="M24" t="s">
        <v>32</v>
      </c>
      <c r="N24">
        <v>130</v>
      </c>
      <c r="O24">
        <v>3.9851787E-2</v>
      </c>
      <c r="P24">
        <v>1.2708578999999999E-2</v>
      </c>
      <c r="Q24" t="str">
        <f t="shared" si="0"/>
        <v>01-09</v>
      </c>
      <c r="R24" t="str">
        <f t="shared" si="1"/>
        <v>[cPtvxaZqXIH]|01-09|Male|TX_CURR_SUBNAT.R|CY2023Q4</v>
      </c>
    </row>
    <row r="25" spans="1:18" x14ac:dyDescent="0.2">
      <c r="A25" s="227"/>
      <c r="B25" s="227"/>
      <c r="C25" s="227"/>
      <c r="D25" t="s">
        <v>53</v>
      </c>
      <c r="E25" t="s">
        <v>54</v>
      </c>
      <c r="F25" t="s">
        <v>55</v>
      </c>
      <c r="G25" t="s">
        <v>26</v>
      </c>
      <c r="H25" t="s">
        <v>27</v>
      </c>
      <c r="I25" t="s">
        <v>36</v>
      </c>
      <c r="J25" t="s">
        <v>37</v>
      </c>
      <c r="K25" t="s">
        <v>48</v>
      </c>
      <c r="L25" t="s">
        <v>49</v>
      </c>
      <c r="M25" t="s">
        <v>32</v>
      </c>
      <c r="N25">
        <v>172</v>
      </c>
      <c r="O25">
        <v>3.5590338999999999E-2</v>
      </c>
      <c r="P25">
        <v>1.2708578999999999E-2</v>
      </c>
      <c r="Q25" t="str">
        <f t="shared" si="0"/>
        <v>10-14</v>
      </c>
      <c r="R25" t="str">
        <f t="shared" si="1"/>
        <v>[cPtvxaZqXIH]|10-14|Male|TX_CURR_SUBNAT.R|CY2023Q4</v>
      </c>
    </row>
    <row r="26" spans="1:18" x14ac:dyDescent="0.2">
      <c r="A26" s="227"/>
      <c r="B26" s="249" t="s">
        <v>59</v>
      </c>
      <c r="C26" s="227"/>
      <c r="D26" t="s">
        <v>53</v>
      </c>
      <c r="E26" t="s">
        <v>54</v>
      </c>
      <c r="F26" t="s">
        <v>55</v>
      </c>
      <c r="G26" t="s">
        <v>26</v>
      </c>
      <c r="H26" t="s">
        <v>27</v>
      </c>
      <c r="I26" t="s">
        <v>38</v>
      </c>
      <c r="J26" t="s">
        <v>39</v>
      </c>
      <c r="K26" t="s">
        <v>48</v>
      </c>
      <c r="L26" t="s">
        <v>49</v>
      </c>
      <c r="M26" t="s">
        <v>32</v>
      </c>
      <c r="N26">
        <v>514</v>
      </c>
      <c r="O26">
        <v>7.9444121000000006E-2</v>
      </c>
      <c r="P26">
        <v>1.2708578999999999E-2</v>
      </c>
      <c r="Q26" t="str">
        <f t="shared" si="0"/>
        <v>15-24</v>
      </c>
      <c r="R26" t="str">
        <f t="shared" si="1"/>
        <v>[cPtvxaZqXIH]|15-24|Male|TX_CURR_SUBNAT.R|CY2023Q4</v>
      </c>
    </row>
    <row r="27" spans="1:18" x14ac:dyDescent="0.2">
      <c r="A27" s="227"/>
      <c r="B27" s="249"/>
      <c r="C27" s="227"/>
      <c r="D27" t="s">
        <v>53</v>
      </c>
      <c r="E27" t="s">
        <v>54</v>
      </c>
      <c r="F27" t="s">
        <v>55</v>
      </c>
      <c r="G27" t="s">
        <v>26</v>
      </c>
      <c r="H27" t="s">
        <v>27</v>
      </c>
      <c r="I27" t="s">
        <v>41</v>
      </c>
      <c r="J27" t="s">
        <v>42</v>
      </c>
      <c r="K27" t="s">
        <v>48</v>
      </c>
      <c r="L27" t="s">
        <v>49</v>
      </c>
      <c r="M27" t="s">
        <v>32</v>
      </c>
      <c r="N27">
        <v>653</v>
      </c>
      <c r="O27">
        <v>6.9834459000000002E-2</v>
      </c>
      <c r="P27">
        <v>1.2708578999999999E-2</v>
      </c>
      <c r="Q27" t="str">
        <f t="shared" si="0"/>
        <v>25-34</v>
      </c>
      <c r="R27" t="str">
        <f t="shared" si="1"/>
        <v>[cPtvxaZqXIH]|25-34|Male|TX_CURR_SUBNAT.R|CY2023Q4</v>
      </c>
    </row>
    <row r="28" spans="1:18" x14ac:dyDescent="0.2">
      <c r="A28" s="227"/>
      <c r="B28" s="227"/>
      <c r="C28" s="227"/>
      <c r="D28" t="s">
        <v>53</v>
      </c>
      <c r="E28" t="s">
        <v>54</v>
      </c>
      <c r="F28" t="s">
        <v>55</v>
      </c>
      <c r="G28" t="s">
        <v>26</v>
      </c>
      <c r="H28" t="s">
        <v>27</v>
      </c>
      <c r="I28" t="s">
        <v>43</v>
      </c>
      <c r="J28" t="s">
        <v>44</v>
      </c>
      <c r="K28" t="s">
        <v>48</v>
      </c>
      <c r="L28" t="s">
        <v>49</v>
      </c>
      <c r="M28" t="s">
        <v>32</v>
      </c>
      <c r="N28">
        <v>2633</v>
      </c>
      <c r="O28">
        <v>3.3031960999999999E-2</v>
      </c>
      <c r="P28">
        <v>1.2708578999999999E-2</v>
      </c>
      <c r="Q28" t="str">
        <f t="shared" si="0"/>
        <v>35-49</v>
      </c>
      <c r="R28" t="str">
        <f t="shared" si="1"/>
        <v>[cPtvxaZqXIH]|35-49|Male|TX_CURR_SUBNAT.R|CY2023Q4</v>
      </c>
    </row>
    <row r="29" spans="1:18" x14ac:dyDescent="0.2">
      <c r="A29" s="227"/>
      <c r="B29" s="225"/>
      <c r="C29" s="227"/>
      <c r="D29" t="s">
        <v>53</v>
      </c>
      <c r="E29" t="s">
        <v>54</v>
      </c>
      <c r="F29" t="s">
        <v>55</v>
      </c>
      <c r="G29" t="s">
        <v>26</v>
      </c>
      <c r="H29" t="s">
        <v>27</v>
      </c>
      <c r="I29" t="s">
        <v>45</v>
      </c>
      <c r="J29" t="s">
        <v>46</v>
      </c>
      <c r="K29" t="s">
        <v>48</v>
      </c>
      <c r="L29" t="s">
        <v>49</v>
      </c>
      <c r="M29" t="s">
        <v>32</v>
      </c>
      <c r="N29">
        <v>1785</v>
      </c>
      <c r="O29">
        <v>4.1265982999999999E-2</v>
      </c>
      <c r="P29">
        <v>1.2708578999999999E-2</v>
      </c>
      <c r="Q29" t="str">
        <f t="shared" si="0"/>
        <v>50+</v>
      </c>
      <c r="R29" t="str">
        <f t="shared" si="1"/>
        <v>[cPtvxaZqXIH]|50+|Male|TX_CURR_SUBNAT.R|CY2023Q4</v>
      </c>
    </row>
    <row r="30" spans="1:18" x14ac:dyDescent="0.2">
      <c r="A30" s="227"/>
      <c r="B30" s="225"/>
      <c r="C30" s="227"/>
      <c r="D30" t="s">
        <v>60</v>
      </c>
      <c r="E30" t="s">
        <v>61</v>
      </c>
      <c r="F30" t="s">
        <v>62</v>
      </c>
      <c r="G30" t="s">
        <v>26</v>
      </c>
      <c r="H30" t="s">
        <v>27</v>
      </c>
      <c r="I30" t="s">
        <v>28</v>
      </c>
      <c r="J30" t="s">
        <v>29</v>
      </c>
      <c r="K30" t="s">
        <v>30</v>
      </c>
      <c r="L30" t="s">
        <v>31</v>
      </c>
      <c r="M30" t="s">
        <v>32</v>
      </c>
      <c r="N30">
        <v>4</v>
      </c>
      <c r="O30">
        <v>7.1527459000000002E-2</v>
      </c>
      <c r="P30">
        <v>2.1328844999999999E-2</v>
      </c>
      <c r="Q30" t="str">
        <f t="shared" si="0"/>
        <v>&lt;01</v>
      </c>
      <c r="R30" t="str">
        <f t="shared" si="1"/>
        <v>[E7zpfyBt7Tw]|&lt;01|Female|TX_CURR_SUBNAT.R|CY2023Q4</v>
      </c>
    </row>
    <row r="31" spans="1:18" x14ac:dyDescent="0.2">
      <c r="A31" s="227"/>
      <c r="B31" s="225"/>
      <c r="C31" s="227"/>
      <c r="D31" t="s">
        <v>60</v>
      </c>
      <c r="E31" t="s">
        <v>61</v>
      </c>
      <c r="F31" t="s">
        <v>62</v>
      </c>
      <c r="G31" t="s">
        <v>26</v>
      </c>
      <c r="H31" t="s">
        <v>27</v>
      </c>
      <c r="I31" t="s">
        <v>33</v>
      </c>
      <c r="J31" t="s">
        <v>34</v>
      </c>
      <c r="K31" t="s">
        <v>30</v>
      </c>
      <c r="L31" t="s">
        <v>31</v>
      </c>
      <c r="M31" t="s">
        <v>32</v>
      </c>
      <c r="N31">
        <v>79</v>
      </c>
      <c r="O31">
        <v>6.5768353000000002E-2</v>
      </c>
      <c r="P31">
        <v>2.1328844999999999E-2</v>
      </c>
      <c r="Q31" t="str">
        <f t="shared" si="0"/>
        <v>01-09</v>
      </c>
      <c r="R31" t="str">
        <f t="shared" si="1"/>
        <v>[E7zpfyBt7Tw]|01-09|Female|TX_CURR_SUBNAT.R|CY2023Q4</v>
      </c>
    </row>
    <row r="32" spans="1:18" x14ac:dyDescent="0.2">
      <c r="A32" s="227"/>
      <c r="B32" s="227"/>
      <c r="C32" s="227"/>
      <c r="D32" t="s">
        <v>60</v>
      </c>
      <c r="E32" t="s">
        <v>61</v>
      </c>
      <c r="F32" t="s">
        <v>62</v>
      </c>
      <c r="G32" t="s">
        <v>26</v>
      </c>
      <c r="H32" t="s">
        <v>27</v>
      </c>
      <c r="I32" t="s">
        <v>36</v>
      </c>
      <c r="J32" t="s">
        <v>37</v>
      </c>
      <c r="K32" t="s">
        <v>30</v>
      </c>
      <c r="L32" t="s">
        <v>31</v>
      </c>
      <c r="M32" t="s">
        <v>32</v>
      </c>
      <c r="N32">
        <v>109</v>
      </c>
      <c r="O32">
        <v>5.8376610000000002E-2</v>
      </c>
      <c r="P32">
        <v>2.1328844999999999E-2</v>
      </c>
      <c r="Q32" t="str">
        <f t="shared" si="0"/>
        <v>10-14</v>
      </c>
      <c r="R32" t="str">
        <f t="shared" si="1"/>
        <v>[E7zpfyBt7Tw]|10-14|Female|TX_CURR_SUBNAT.R|CY2023Q4</v>
      </c>
    </row>
    <row r="33" spans="1:18" x14ac:dyDescent="0.2">
      <c r="A33" s="227"/>
      <c r="B33" s="227"/>
      <c r="C33" s="227"/>
      <c r="D33" t="s">
        <v>60</v>
      </c>
      <c r="E33" t="s">
        <v>61</v>
      </c>
      <c r="F33" t="s">
        <v>62</v>
      </c>
      <c r="G33" t="s">
        <v>26</v>
      </c>
      <c r="H33" t="s">
        <v>27</v>
      </c>
      <c r="I33" t="s">
        <v>38</v>
      </c>
      <c r="J33" t="s">
        <v>39</v>
      </c>
      <c r="K33" t="s">
        <v>30</v>
      </c>
      <c r="L33" t="s">
        <v>31</v>
      </c>
      <c r="M33" t="s">
        <v>32</v>
      </c>
      <c r="N33">
        <v>559</v>
      </c>
      <c r="O33">
        <v>6.6728266999999994E-2</v>
      </c>
      <c r="P33">
        <v>2.1328844999999999E-2</v>
      </c>
      <c r="Q33" t="str">
        <f t="shared" si="0"/>
        <v>15-24</v>
      </c>
      <c r="R33" t="str">
        <f t="shared" si="1"/>
        <v>[E7zpfyBt7Tw]|15-24|Female|TX_CURR_SUBNAT.R|CY2023Q4</v>
      </c>
    </row>
    <row r="34" spans="1:18" x14ac:dyDescent="0.2">
      <c r="A34" s="227"/>
      <c r="B34" s="227"/>
      <c r="C34" s="227"/>
      <c r="D34" t="s">
        <v>60</v>
      </c>
      <c r="E34" t="s">
        <v>61</v>
      </c>
      <c r="F34" t="s">
        <v>62</v>
      </c>
      <c r="G34" t="s">
        <v>26</v>
      </c>
      <c r="H34" t="s">
        <v>27</v>
      </c>
      <c r="I34" t="s">
        <v>41</v>
      </c>
      <c r="J34" t="s">
        <v>42</v>
      </c>
      <c r="K34" t="s">
        <v>30</v>
      </c>
      <c r="L34" t="s">
        <v>31</v>
      </c>
      <c r="M34" t="s">
        <v>32</v>
      </c>
      <c r="N34">
        <v>1352</v>
      </c>
      <c r="O34">
        <v>4.3059073000000003E-2</v>
      </c>
      <c r="P34">
        <v>2.1328844999999999E-2</v>
      </c>
      <c r="Q34" t="str">
        <f t="shared" si="0"/>
        <v>25-34</v>
      </c>
      <c r="R34" t="str">
        <f t="shared" si="1"/>
        <v>[E7zpfyBt7Tw]|25-34|Female|TX_CURR_SUBNAT.R|CY2023Q4</v>
      </c>
    </row>
    <row r="35" spans="1:18" x14ac:dyDescent="0.2">
      <c r="A35" s="227"/>
      <c r="B35" s="227"/>
      <c r="C35" s="227"/>
      <c r="D35" t="s">
        <v>60</v>
      </c>
      <c r="E35" t="s">
        <v>61</v>
      </c>
      <c r="F35" t="s">
        <v>62</v>
      </c>
      <c r="G35" t="s">
        <v>26</v>
      </c>
      <c r="H35" t="s">
        <v>27</v>
      </c>
      <c r="I35" t="s">
        <v>43</v>
      </c>
      <c r="J35" t="s">
        <v>44</v>
      </c>
      <c r="K35" t="s">
        <v>30</v>
      </c>
      <c r="L35" t="s">
        <v>31</v>
      </c>
      <c r="M35" t="s">
        <v>32</v>
      </c>
      <c r="N35">
        <v>3335</v>
      </c>
      <c r="O35">
        <v>3.1287706999999998E-2</v>
      </c>
      <c r="P35">
        <v>2.1328844999999999E-2</v>
      </c>
      <c r="Q35" t="str">
        <f t="shared" si="0"/>
        <v>35-49</v>
      </c>
      <c r="R35" t="str">
        <f t="shared" si="1"/>
        <v>[E7zpfyBt7Tw]|35-49|Female|TX_CURR_SUBNAT.R|CY2023Q4</v>
      </c>
    </row>
    <row r="36" spans="1:18" x14ac:dyDescent="0.2">
      <c r="A36" s="227"/>
      <c r="B36" s="227"/>
      <c r="C36" s="227"/>
      <c r="D36" t="s">
        <v>60</v>
      </c>
      <c r="E36" t="s">
        <v>61</v>
      </c>
      <c r="F36" t="s">
        <v>62</v>
      </c>
      <c r="G36" t="s">
        <v>26</v>
      </c>
      <c r="H36" t="s">
        <v>27</v>
      </c>
      <c r="I36" t="s">
        <v>45</v>
      </c>
      <c r="J36" t="s">
        <v>46</v>
      </c>
      <c r="K36" t="s">
        <v>30</v>
      </c>
      <c r="L36" t="s">
        <v>31</v>
      </c>
      <c r="M36" t="s">
        <v>32</v>
      </c>
      <c r="N36">
        <v>1680</v>
      </c>
      <c r="O36">
        <v>4.4728604999999998E-2</v>
      </c>
      <c r="P36">
        <v>2.1328844999999999E-2</v>
      </c>
      <c r="Q36" t="str">
        <f t="shared" si="0"/>
        <v>50+</v>
      </c>
      <c r="R36" t="str">
        <f t="shared" si="1"/>
        <v>[E7zpfyBt7Tw]|50+|Female|TX_CURR_SUBNAT.R|CY2023Q4</v>
      </c>
    </row>
    <row r="37" spans="1:18" x14ac:dyDescent="0.2">
      <c r="A37" s="227"/>
      <c r="B37" s="227"/>
      <c r="C37" s="227"/>
      <c r="D37" t="s">
        <v>60</v>
      </c>
      <c r="E37" t="s">
        <v>61</v>
      </c>
      <c r="F37" t="s">
        <v>62</v>
      </c>
      <c r="G37" t="s">
        <v>26</v>
      </c>
      <c r="H37" t="s">
        <v>27</v>
      </c>
      <c r="I37" t="s">
        <v>28</v>
      </c>
      <c r="J37" t="s">
        <v>29</v>
      </c>
      <c r="K37" t="s">
        <v>48</v>
      </c>
      <c r="L37" t="s">
        <v>49</v>
      </c>
      <c r="M37" t="s">
        <v>32</v>
      </c>
      <c r="N37">
        <v>5</v>
      </c>
      <c r="O37">
        <v>5.1861439000000002E-2</v>
      </c>
      <c r="P37">
        <v>2.1328844999999999E-2</v>
      </c>
      <c r="Q37" t="str">
        <f t="shared" si="0"/>
        <v>&lt;01</v>
      </c>
      <c r="R37" t="str">
        <f t="shared" si="1"/>
        <v>[E7zpfyBt7Tw]|&lt;01|Male|TX_CURR_SUBNAT.R|CY2023Q4</v>
      </c>
    </row>
    <row r="38" spans="1:18" x14ac:dyDescent="0.2">
      <c r="A38" s="227"/>
      <c r="B38" s="227"/>
      <c r="C38" s="227"/>
      <c r="D38" t="s">
        <v>60</v>
      </c>
      <c r="E38" t="s">
        <v>61</v>
      </c>
      <c r="F38" t="s">
        <v>62</v>
      </c>
      <c r="G38" t="s">
        <v>26</v>
      </c>
      <c r="H38" t="s">
        <v>27</v>
      </c>
      <c r="I38" t="s">
        <v>33</v>
      </c>
      <c r="J38" t="s">
        <v>34</v>
      </c>
      <c r="K38" t="s">
        <v>48</v>
      </c>
      <c r="L38" t="s">
        <v>49</v>
      </c>
      <c r="M38" t="s">
        <v>32</v>
      </c>
      <c r="N38">
        <v>85</v>
      </c>
      <c r="O38">
        <v>4.8788999999999999E-2</v>
      </c>
      <c r="P38">
        <v>2.1328844999999999E-2</v>
      </c>
      <c r="Q38" t="str">
        <f t="shared" si="0"/>
        <v>01-09</v>
      </c>
      <c r="R38" t="str">
        <f t="shared" si="1"/>
        <v>[E7zpfyBt7Tw]|01-09|Male|TX_CURR_SUBNAT.R|CY2023Q4</v>
      </c>
    </row>
    <row r="39" spans="1:18" x14ac:dyDescent="0.2">
      <c r="A39" s="227"/>
      <c r="B39" s="227"/>
      <c r="C39" s="227"/>
      <c r="D39" t="s">
        <v>60</v>
      </c>
      <c r="E39" t="s">
        <v>61</v>
      </c>
      <c r="F39" t="s">
        <v>62</v>
      </c>
      <c r="G39" t="s">
        <v>26</v>
      </c>
      <c r="H39" t="s">
        <v>27</v>
      </c>
      <c r="I39" t="s">
        <v>36</v>
      </c>
      <c r="J39" t="s">
        <v>37</v>
      </c>
      <c r="K39" t="s">
        <v>48</v>
      </c>
      <c r="L39" t="s">
        <v>49</v>
      </c>
      <c r="M39" t="s">
        <v>32</v>
      </c>
      <c r="N39">
        <v>113</v>
      </c>
      <c r="O39">
        <v>4.4664184000000003E-2</v>
      </c>
      <c r="P39">
        <v>2.1328844999999999E-2</v>
      </c>
      <c r="Q39" t="str">
        <f t="shared" si="0"/>
        <v>10-14</v>
      </c>
      <c r="R39" t="str">
        <f t="shared" si="1"/>
        <v>[E7zpfyBt7Tw]|10-14|Male|TX_CURR_SUBNAT.R|CY2023Q4</v>
      </c>
    </row>
    <row r="40" spans="1:18" x14ac:dyDescent="0.2">
      <c r="A40" s="227"/>
      <c r="B40" s="227"/>
      <c r="C40" s="227"/>
      <c r="D40" t="s">
        <v>60</v>
      </c>
      <c r="E40" t="s">
        <v>61</v>
      </c>
      <c r="F40" t="s">
        <v>62</v>
      </c>
      <c r="G40" t="s">
        <v>26</v>
      </c>
      <c r="H40" t="s">
        <v>27</v>
      </c>
      <c r="I40" t="s">
        <v>38</v>
      </c>
      <c r="J40" t="s">
        <v>39</v>
      </c>
      <c r="K40" t="s">
        <v>48</v>
      </c>
      <c r="L40" t="s">
        <v>49</v>
      </c>
      <c r="M40" t="s">
        <v>32</v>
      </c>
      <c r="N40">
        <v>417</v>
      </c>
      <c r="O40">
        <v>8.2572896000000007E-2</v>
      </c>
      <c r="P40">
        <v>2.1328844999999999E-2</v>
      </c>
      <c r="Q40" t="str">
        <f t="shared" si="0"/>
        <v>15-24</v>
      </c>
      <c r="R40" t="str">
        <f t="shared" si="1"/>
        <v>[E7zpfyBt7Tw]|15-24|Male|TX_CURR_SUBNAT.R|CY2023Q4</v>
      </c>
    </row>
    <row r="41" spans="1:18" x14ac:dyDescent="0.2">
      <c r="A41" s="227"/>
      <c r="B41" s="227"/>
      <c r="C41" s="227"/>
      <c r="D41" t="s">
        <v>60</v>
      </c>
      <c r="E41" t="s">
        <v>61</v>
      </c>
      <c r="F41" t="s">
        <v>62</v>
      </c>
      <c r="G41" t="s">
        <v>26</v>
      </c>
      <c r="H41" t="s">
        <v>27</v>
      </c>
      <c r="I41" t="s">
        <v>41</v>
      </c>
      <c r="J41" t="s">
        <v>42</v>
      </c>
      <c r="K41" t="s">
        <v>48</v>
      </c>
      <c r="L41" t="s">
        <v>49</v>
      </c>
      <c r="M41" t="s">
        <v>32</v>
      </c>
      <c r="N41">
        <v>512</v>
      </c>
      <c r="O41">
        <v>7.1702338000000004E-2</v>
      </c>
      <c r="P41">
        <v>2.1328844999999999E-2</v>
      </c>
      <c r="Q41" t="str">
        <f t="shared" si="0"/>
        <v>25-34</v>
      </c>
      <c r="R41" t="str">
        <f t="shared" si="1"/>
        <v>[E7zpfyBt7Tw]|25-34|Male|TX_CURR_SUBNAT.R|CY2023Q4</v>
      </c>
    </row>
    <row r="42" spans="1:18" x14ac:dyDescent="0.2">
      <c r="A42" s="227"/>
      <c r="B42" s="227"/>
      <c r="C42" s="227"/>
      <c r="D42" t="s">
        <v>60</v>
      </c>
      <c r="E42" t="s">
        <v>61</v>
      </c>
      <c r="F42" t="s">
        <v>62</v>
      </c>
      <c r="G42" t="s">
        <v>26</v>
      </c>
      <c r="H42" t="s">
        <v>27</v>
      </c>
      <c r="I42" t="s">
        <v>43</v>
      </c>
      <c r="J42" t="s">
        <v>44</v>
      </c>
      <c r="K42" t="s">
        <v>48</v>
      </c>
      <c r="L42" t="s">
        <v>49</v>
      </c>
      <c r="M42" t="s">
        <v>32</v>
      </c>
      <c r="N42">
        <v>2000</v>
      </c>
      <c r="O42">
        <v>3.8332636000000003E-2</v>
      </c>
      <c r="P42">
        <v>2.1328844999999999E-2</v>
      </c>
      <c r="Q42" t="str">
        <f t="shared" si="0"/>
        <v>35-49</v>
      </c>
      <c r="R42" t="str">
        <f t="shared" si="1"/>
        <v>[E7zpfyBt7Tw]|35-49|Male|TX_CURR_SUBNAT.R|CY2023Q4</v>
      </c>
    </row>
    <row r="43" spans="1:18" x14ac:dyDescent="0.2">
      <c r="A43" s="227"/>
      <c r="B43" s="227"/>
      <c r="C43" s="227"/>
      <c r="D43" t="s">
        <v>60</v>
      </c>
      <c r="E43" t="s">
        <v>61</v>
      </c>
      <c r="F43" t="s">
        <v>62</v>
      </c>
      <c r="G43" t="s">
        <v>26</v>
      </c>
      <c r="H43" t="s">
        <v>27</v>
      </c>
      <c r="I43" t="s">
        <v>45</v>
      </c>
      <c r="J43" t="s">
        <v>46</v>
      </c>
      <c r="K43" t="s">
        <v>48</v>
      </c>
      <c r="L43" t="s">
        <v>49</v>
      </c>
      <c r="M43" t="s">
        <v>32</v>
      </c>
      <c r="N43">
        <v>1538</v>
      </c>
      <c r="O43">
        <v>4.3364421E-2</v>
      </c>
      <c r="P43">
        <v>2.1328844999999999E-2</v>
      </c>
      <c r="Q43" t="str">
        <f t="shared" si="0"/>
        <v>50+</v>
      </c>
      <c r="R43" t="str">
        <f t="shared" si="1"/>
        <v>[E7zpfyBt7Tw]|50+|Male|TX_CURR_SUBNAT.R|CY2023Q4</v>
      </c>
    </row>
    <row r="44" spans="1:18" x14ac:dyDescent="0.2">
      <c r="A44" s="227"/>
      <c r="B44" s="227"/>
      <c r="C44" s="227"/>
      <c r="D44" t="s">
        <v>63</v>
      </c>
      <c r="E44" t="s">
        <v>64</v>
      </c>
      <c r="F44" t="s">
        <v>65</v>
      </c>
      <c r="G44" t="s">
        <v>26</v>
      </c>
      <c r="H44" t="s">
        <v>27</v>
      </c>
      <c r="I44" t="s">
        <v>28</v>
      </c>
      <c r="J44" t="s">
        <v>29</v>
      </c>
      <c r="K44" t="s">
        <v>30</v>
      </c>
      <c r="L44" t="s">
        <v>31</v>
      </c>
      <c r="M44" t="s">
        <v>32</v>
      </c>
      <c r="N44">
        <v>4</v>
      </c>
      <c r="O44">
        <v>7.4480527000000005E-2</v>
      </c>
      <c r="P44">
        <v>1.9601836000000001E-2</v>
      </c>
      <c r="Q44" t="str">
        <f t="shared" si="0"/>
        <v>&lt;01</v>
      </c>
      <c r="R44" t="str">
        <f t="shared" si="1"/>
        <v>[lPTyjLi4w3d]|&lt;01|Female|TX_CURR_SUBNAT.R|CY2023Q4</v>
      </c>
    </row>
    <row r="45" spans="1:18" x14ac:dyDescent="0.2">
      <c r="A45" s="227"/>
      <c r="B45" s="227"/>
      <c r="C45" s="227"/>
      <c r="D45" t="s">
        <v>63</v>
      </c>
      <c r="E45" t="s">
        <v>64</v>
      </c>
      <c r="F45" t="s">
        <v>65</v>
      </c>
      <c r="G45" t="s">
        <v>26</v>
      </c>
      <c r="H45" t="s">
        <v>27</v>
      </c>
      <c r="I45" t="s">
        <v>33</v>
      </c>
      <c r="J45" t="s">
        <v>34</v>
      </c>
      <c r="K45" t="s">
        <v>30</v>
      </c>
      <c r="L45" t="s">
        <v>31</v>
      </c>
      <c r="M45" t="s">
        <v>32</v>
      </c>
      <c r="N45">
        <v>68</v>
      </c>
      <c r="O45">
        <v>6.8281823000000005E-2</v>
      </c>
      <c r="P45">
        <v>1.9601836000000001E-2</v>
      </c>
      <c r="Q45" t="str">
        <f t="shared" si="0"/>
        <v>01-09</v>
      </c>
      <c r="R45" t="str">
        <f t="shared" si="1"/>
        <v>[lPTyjLi4w3d]|01-09|Female|TX_CURR_SUBNAT.R|CY2023Q4</v>
      </c>
    </row>
    <row r="46" spans="1:18" x14ac:dyDescent="0.2">
      <c r="A46" s="227"/>
      <c r="B46" s="227"/>
      <c r="C46" s="227"/>
      <c r="D46" t="s">
        <v>63</v>
      </c>
      <c r="E46" t="s">
        <v>64</v>
      </c>
      <c r="F46" t="s">
        <v>65</v>
      </c>
      <c r="G46" t="s">
        <v>26</v>
      </c>
      <c r="H46" t="s">
        <v>27</v>
      </c>
      <c r="I46" t="s">
        <v>36</v>
      </c>
      <c r="J46" t="s">
        <v>37</v>
      </c>
      <c r="K46" t="s">
        <v>30</v>
      </c>
      <c r="L46" t="s">
        <v>31</v>
      </c>
      <c r="M46" t="s">
        <v>32</v>
      </c>
      <c r="N46">
        <v>90</v>
      </c>
      <c r="O46">
        <v>6.028389E-2</v>
      </c>
      <c r="P46">
        <v>1.9601836000000001E-2</v>
      </c>
      <c r="Q46" t="str">
        <f t="shared" si="0"/>
        <v>10-14</v>
      </c>
      <c r="R46" t="str">
        <f t="shared" si="1"/>
        <v>[lPTyjLi4w3d]|10-14|Female|TX_CURR_SUBNAT.R|CY2023Q4</v>
      </c>
    </row>
    <row r="47" spans="1:18" x14ac:dyDescent="0.2">
      <c r="A47" s="227"/>
      <c r="B47" s="227"/>
      <c r="C47" s="227"/>
      <c r="D47" t="s">
        <v>63</v>
      </c>
      <c r="E47" t="s">
        <v>64</v>
      </c>
      <c r="F47" t="s">
        <v>65</v>
      </c>
      <c r="G47" t="s">
        <v>26</v>
      </c>
      <c r="H47" t="s">
        <v>27</v>
      </c>
      <c r="I47" t="s">
        <v>38</v>
      </c>
      <c r="J47" t="s">
        <v>39</v>
      </c>
      <c r="K47" t="s">
        <v>30</v>
      </c>
      <c r="L47" t="s">
        <v>31</v>
      </c>
      <c r="M47" t="s">
        <v>32</v>
      </c>
      <c r="N47">
        <v>397</v>
      </c>
      <c r="O47">
        <v>6.8603102999999999E-2</v>
      </c>
      <c r="P47">
        <v>1.9601836000000001E-2</v>
      </c>
      <c r="Q47" t="str">
        <f t="shared" si="0"/>
        <v>15-24</v>
      </c>
      <c r="R47" t="str">
        <f t="shared" si="1"/>
        <v>[lPTyjLi4w3d]|15-24|Female|TX_CURR_SUBNAT.R|CY2023Q4</v>
      </c>
    </row>
    <row r="48" spans="1:18" x14ac:dyDescent="0.2">
      <c r="A48" s="227"/>
      <c r="B48" s="227"/>
      <c r="C48" s="227"/>
      <c r="D48" t="s">
        <v>63</v>
      </c>
      <c r="E48" t="s">
        <v>64</v>
      </c>
      <c r="F48" t="s">
        <v>65</v>
      </c>
      <c r="G48" t="s">
        <v>26</v>
      </c>
      <c r="H48" t="s">
        <v>27</v>
      </c>
      <c r="I48" t="s">
        <v>41</v>
      </c>
      <c r="J48" t="s">
        <v>42</v>
      </c>
      <c r="K48" t="s">
        <v>30</v>
      </c>
      <c r="L48" t="s">
        <v>31</v>
      </c>
      <c r="M48" t="s">
        <v>32</v>
      </c>
      <c r="N48">
        <v>1039</v>
      </c>
      <c r="O48">
        <v>4.2810590000000003E-2</v>
      </c>
      <c r="P48">
        <v>1.9601836000000001E-2</v>
      </c>
      <c r="Q48" t="str">
        <f t="shared" si="0"/>
        <v>25-34</v>
      </c>
      <c r="R48" t="str">
        <f t="shared" si="1"/>
        <v>[lPTyjLi4w3d]|25-34|Female|TX_CURR_SUBNAT.R|CY2023Q4</v>
      </c>
    </row>
    <row r="49" spans="1:18" x14ac:dyDescent="0.2">
      <c r="A49" s="227"/>
      <c r="B49" s="227"/>
      <c r="C49" s="227"/>
      <c r="D49" t="s">
        <v>63</v>
      </c>
      <c r="E49" t="s">
        <v>64</v>
      </c>
      <c r="F49" t="s">
        <v>65</v>
      </c>
      <c r="G49" t="s">
        <v>26</v>
      </c>
      <c r="H49" t="s">
        <v>27</v>
      </c>
      <c r="I49" t="s">
        <v>43</v>
      </c>
      <c r="J49" t="s">
        <v>44</v>
      </c>
      <c r="K49" t="s">
        <v>30</v>
      </c>
      <c r="L49" t="s">
        <v>31</v>
      </c>
      <c r="M49" t="s">
        <v>32</v>
      </c>
      <c r="N49">
        <v>2647</v>
      </c>
      <c r="O49">
        <v>2.885795E-2</v>
      </c>
      <c r="P49">
        <v>1.9601836000000001E-2</v>
      </c>
      <c r="Q49" t="str">
        <f t="shared" si="0"/>
        <v>35-49</v>
      </c>
      <c r="R49" t="str">
        <f t="shared" si="1"/>
        <v>[lPTyjLi4w3d]|35-49|Female|TX_CURR_SUBNAT.R|CY2023Q4</v>
      </c>
    </row>
    <row r="50" spans="1:18" x14ac:dyDescent="0.2">
      <c r="A50" s="227"/>
      <c r="B50" s="227"/>
      <c r="C50" s="227"/>
      <c r="D50" t="s">
        <v>63</v>
      </c>
      <c r="E50" t="s">
        <v>64</v>
      </c>
      <c r="F50" t="s">
        <v>65</v>
      </c>
      <c r="G50" t="s">
        <v>26</v>
      </c>
      <c r="H50" t="s">
        <v>27</v>
      </c>
      <c r="I50" t="s">
        <v>45</v>
      </c>
      <c r="J50" t="s">
        <v>46</v>
      </c>
      <c r="K50" t="s">
        <v>30</v>
      </c>
      <c r="L50" t="s">
        <v>31</v>
      </c>
      <c r="M50" t="s">
        <v>32</v>
      </c>
      <c r="N50">
        <v>1202</v>
      </c>
      <c r="O50">
        <v>4.6261610000000002E-2</v>
      </c>
      <c r="P50">
        <v>1.9601836000000001E-2</v>
      </c>
      <c r="Q50" t="str">
        <f t="shared" si="0"/>
        <v>50+</v>
      </c>
      <c r="R50" t="str">
        <f t="shared" si="1"/>
        <v>[lPTyjLi4w3d]|50+|Female|TX_CURR_SUBNAT.R|CY2023Q4</v>
      </c>
    </row>
    <row r="51" spans="1:18" x14ac:dyDescent="0.2">
      <c r="A51" s="227"/>
      <c r="B51" s="227"/>
      <c r="C51" s="227"/>
      <c r="D51" t="s">
        <v>63</v>
      </c>
      <c r="E51" t="s">
        <v>64</v>
      </c>
      <c r="F51" t="s">
        <v>65</v>
      </c>
      <c r="G51" t="s">
        <v>26</v>
      </c>
      <c r="H51" t="s">
        <v>27</v>
      </c>
      <c r="I51" t="s">
        <v>28</v>
      </c>
      <c r="J51" t="s">
        <v>29</v>
      </c>
      <c r="K51" t="s">
        <v>48</v>
      </c>
      <c r="L51" t="s">
        <v>49</v>
      </c>
      <c r="M51" t="s">
        <v>32</v>
      </c>
      <c r="N51">
        <v>4</v>
      </c>
      <c r="O51">
        <v>5.1766347999999997E-2</v>
      </c>
      <c r="P51">
        <v>1.9601836000000001E-2</v>
      </c>
      <c r="Q51" t="str">
        <f t="shared" si="0"/>
        <v>&lt;01</v>
      </c>
      <c r="R51" t="str">
        <f t="shared" si="1"/>
        <v>[lPTyjLi4w3d]|&lt;01|Male|TX_CURR_SUBNAT.R|CY2023Q4</v>
      </c>
    </row>
    <row r="52" spans="1:18" x14ac:dyDescent="0.2">
      <c r="A52" s="227"/>
      <c r="B52" s="227"/>
      <c r="C52" s="227"/>
      <c r="D52" t="s">
        <v>63</v>
      </c>
      <c r="E52" t="s">
        <v>64</v>
      </c>
      <c r="F52" t="s">
        <v>65</v>
      </c>
      <c r="G52" t="s">
        <v>26</v>
      </c>
      <c r="H52" t="s">
        <v>27</v>
      </c>
      <c r="I52" t="s">
        <v>33</v>
      </c>
      <c r="J52" t="s">
        <v>34</v>
      </c>
      <c r="K52" t="s">
        <v>48</v>
      </c>
      <c r="L52" t="s">
        <v>49</v>
      </c>
      <c r="M52" t="s">
        <v>32</v>
      </c>
      <c r="N52">
        <v>69</v>
      </c>
      <c r="O52">
        <v>4.8881029999999999E-2</v>
      </c>
      <c r="P52">
        <v>1.9601836000000001E-2</v>
      </c>
      <c r="Q52" t="str">
        <f t="shared" si="0"/>
        <v>01-09</v>
      </c>
      <c r="R52" t="str">
        <f t="shared" si="1"/>
        <v>[lPTyjLi4w3d]|01-09|Male|TX_CURR_SUBNAT.R|CY2023Q4</v>
      </c>
    </row>
    <row r="53" spans="1:18" x14ac:dyDescent="0.2">
      <c r="A53" s="227"/>
      <c r="B53" s="227"/>
      <c r="C53" s="227"/>
      <c r="D53" t="s">
        <v>63</v>
      </c>
      <c r="E53" t="s">
        <v>64</v>
      </c>
      <c r="F53" t="s">
        <v>65</v>
      </c>
      <c r="G53" t="s">
        <v>26</v>
      </c>
      <c r="H53" t="s">
        <v>27</v>
      </c>
      <c r="I53" t="s">
        <v>36</v>
      </c>
      <c r="J53" t="s">
        <v>37</v>
      </c>
      <c r="K53" t="s">
        <v>48</v>
      </c>
      <c r="L53" t="s">
        <v>49</v>
      </c>
      <c r="M53" t="s">
        <v>32</v>
      </c>
      <c r="N53">
        <v>90</v>
      </c>
      <c r="O53">
        <v>4.5022477999999998E-2</v>
      </c>
      <c r="P53">
        <v>1.9601836000000001E-2</v>
      </c>
      <c r="Q53" t="str">
        <f t="shared" si="0"/>
        <v>10-14</v>
      </c>
      <c r="R53" t="str">
        <f t="shared" si="1"/>
        <v>[lPTyjLi4w3d]|10-14|Male|TX_CURR_SUBNAT.R|CY2023Q4</v>
      </c>
    </row>
    <row r="54" spans="1:18" x14ac:dyDescent="0.2">
      <c r="A54" s="227"/>
      <c r="B54" s="227"/>
      <c r="C54" s="227"/>
      <c r="D54" t="s">
        <v>63</v>
      </c>
      <c r="E54" t="s">
        <v>64</v>
      </c>
      <c r="F54" t="s">
        <v>65</v>
      </c>
      <c r="G54" t="s">
        <v>26</v>
      </c>
      <c r="H54" t="s">
        <v>27</v>
      </c>
      <c r="I54" t="s">
        <v>38</v>
      </c>
      <c r="J54" t="s">
        <v>39</v>
      </c>
      <c r="K54" t="s">
        <v>48</v>
      </c>
      <c r="L54" t="s">
        <v>49</v>
      </c>
      <c r="M54" t="s">
        <v>32</v>
      </c>
      <c r="N54">
        <v>289</v>
      </c>
      <c r="O54">
        <v>8.2780421000000007E-2</v>
      </c>
      <c r="P54">
        <v>1.9601836000000001E-2</v>
      </c>
      <c r="Q54" t="str">
        <f t="shared" si="0"/>
        <v>15-24</v>
      </c>
      <c r="R54" t="str">
        <f t="shared" si="1"/>
        <v>[lPTyjLi4w3d]|15-24|Male|TX_CURR_SUBNAT.R|CY2023Q4</v>
      </c>
    </row>
    <row r="55" spans="1:18" x14ac:dyDescent="0.2">
      <c r="A55" s="227"/>
      <c r="B55" s="227"/>
      <c r="C55" s="227"/>
      <c r="D55" t="s">
        <v>63</v>
      </c>
      <c r="E55" t="s">
        <v>64</v>
      </c>
      <c r="F55" t="s">
        <v>65</v>
      </c>
      <c r="G55" t="s">
        <v>26</v>
      </c>
      <c r="H55" t="s">
        <v>27</v>
      </c>
      <c r="I55" t="s">
        <v>41</v>
      </c>
      <c r="J55" t="s">
        <v>42</v>
      </c>
      <c r="K55" t="s">
        <v>48</v>
      </c>
      <c r="L55" t="s">
        <v>49</v>
      </c>
      <c r="M55" t="s">
        <v>32</v>
      </c>
      <c r="N55">
        <v>382</v>
      </c>
      <c r="O55">
        <v>7.1484855999999999E-2</v>
      </c>
      <c r="P55">
        <v>1.9601836000000001E-2</v>
      </c>
      <c r="Q55" t="str">
        <f t="shared" si="0"/>
        <v>25-34</v>
      </c>
      <c r="R55" t="str">
        <f t="shared" si="1"/>
        <v>[lPTyjLi4w3d]|25-34|Male|TX_CURR_SUBNAT.R|CY2023Q4</v>
      </c>
    </row>
    <row r="56" spans="1:18" x14ac:dyDescent="0.2">
      <c r="A56" s="227"/>
      <c r="B56" s="227"/>
      <c r="C56" s="227"/>
      <c r="D56" t="s">
        <v>63</v>
      </c>
      <c r="E56" t="s">
        <v>64</v>
      </c>
      <c r="F56" t="s">
        <v>65</v>
      </c>
      <c r="G56" t="s">
        <v>26</v>
      </c>
      <c r="H56" t="s">
        <v>27</v>
      </c>
      <c r="I56" t="s">
        <v>43</v>
      </c>
      <c r="J56" t="s">
        <v>44</v>
      </c>
      <c r="K56" t="s">
        <v>48</v>
      </c>
      <c r="L56" t="s">
        <v>49</v>
      </c>
      <c r="M56" t="s">
        <v>32</v>
      </c>
      <c r="N56">
        <v>1599</v>
      </c>
      <c r="O56">
        <v>3.5343379000000001E-2</v>
      </c>
      <c r="P56">
        <v>1.9601836000000001E-2</v>
      </c>
      <c r="Q56" t="str">
        <f t="shared" si="0"/>
        <v>35-49</v>
      </c>
      <c r="R56" t="str">
        <f t="shared" si="1"/>
        <v>[lPTyjLi4w3d]|35-49|Male|TX_CURR_SUBNAT.R|CY2023Q4</v>
      </c>
    </row>
    <row r="57" spans="1:18" x14ac:dyDescent="0.2">
      <c r="A57" s="227"/>
      <c r="B57" s="227"/>
      <c r="C57" s="227"/>
      <c r="D57" t="s">
        <v>63</v>
      </c>
      <c r="E57" t="s">
        <v>64</v>
      </c>
      <c r="F57" t="s">
        <v>65</v>
      </c>
      <c r="G57" t="s">
        <v>26</v>
      </c>
      <c r="H57" t="s">
        <v>27</v>
      </c>
      <c r="I57" t="s">
        <v>45</v>
      </c>
      <c r="J57" t="s">
        <v>46</v>
      </c>
      <c r="K57" t="s">
        <v>48</v>
      </c>
      <c r="L57" t="s">
        <v>49</v>
      </c>
      <c r="M57" t="s">
        <v>32</v>
      </c>
      <c r="N57">
        <v>1166</v>
      </c>
      <c r="O57">
        <v>4.4401626E-2</v>
      </c>
      <c r="P57">
        <v>1.9601836000000001E-2</v>
      </c>
      <c r="Q57" t="str">
        <f t="shared" si="0"/>
        <v>50+</v>
      </c>
      <c r="R57" t="str">
        <f t="shared" si="1"/>
        <v>[lPTyjLi4w3d]|50+|Male|TX_CURR_SUBNAT.R|CY2023Q4</v>
      </c>
    </row>
    <row r="58" spans="1:18" x14ac:dyDescent="0.2">
      <c r="A58" s="227"/>
      <c r="B58" s="227"/>
      <c r="C58" s="227"/>
      <c r="D58" t="s">
        <v>66</v>
      </c>
      <c r="E58" t="s">
        <v>67</v>
      </c>
      <c r="F58" t="s">
        <v>68</v>
      </c>
      <c r="G58" t="s">
        <v>26</v>
      </c>
      <c r="H58" t="s">
        <v>27</v>
      </c>
      <c r="I58" t="s">
        <v>28</v>
      </c>
      <c r="J58" t="s">
        <v>29</v>
      </c>
      <c r="K58" t="s">
        <v>30</v>
      </c>
      <c r="L58" t="s">
        <v>31</v>
      </c>
      <c r="M58" t="s">
        <v>32</v>
      </c>
      <c r="N58">
        <v>18</v>
      </c>
      <c r="O58">
        <v>4.2566589000000002E-2</v>
      </c>
      <c r="P58">
        <v>8.8854529999999998E-3</v>
      </c>
      <c r="Q58" t="str">
        <f t="shared" si="0"/>
        <v>&lt;01</v>
      </c>
      <c r="R58" t="str">
        <f t="shared" si="1"/>
        <v>[vA4NcHxfMBq]|&lt;01|Female|TX_CURR_SUBNAT.R|CY2023Q4</v>
      </c>
    </row>
    <row r="59" spans="1:18" x14ac:dyDescent="0.2">
      <c r="A59" s="227"/>
      <c r="B59" s="227"/>
      <c r="C59" s="227"/>
      <c r="D59" t="s">
        <v>66</v>
      </c>
      <c r="E59" t="s">
        <v>67</v>
      </c>
      <c r="F59" t="s">
        <v>68</v>
      </c>
      <c r="G59" t="s">
        <v>26</v>
      </c>
      <c r="H59" t="s">
        <v>27</v>
      </c>
      <c r="I59" t="s">
        <v>33</v>
      </c>
      <c r="J59" t="s">
        <v>34</v>
      </c>
      <c r="K59" t="s">
        <v>30</v>
      </c>
      <c r="L59" t="s">
        <v>31</v>
      </c>
      <c r="M59" t="s">
        <v>32</v>
      </c>
      <c r="N59">
        <v>322</v>
      </c>
      <c r="O59">
        <v>3.6456312999999997E-2</v>
      </c>
      <c r="P59">
        <v>8.8854529999999998E-3</v>
      </c>
      <c r="Q59" t="str">
        <f t="shared" si="0"/>
        <v>01-09</v>
      </c>
      <c r="R59" t="str">
        <f t="shared" si="1"/>
        <v>[vA4NcHxfMBq]|01-09|Female|TX_CURR_SUBNAT.R|CY2023Q4</v>
      </c>
    </row>
    <row r="60" spans="1:18" x14ac:dyDescent="0.2">
      <c r="A60" s="227"/>
      <c r="B60" s="227"/>
      <c r="C60" s="227"/>
      <c r="D60" t="s">
        <v>66</v>
      </c>
      <c r="E60" t="s">
        <v>67</v>
      </c>
      <c r="F60" t="s">
        <v>68</v>
      </c>
      <c r="G60" t="s">
        <v>26</v>
      </c>
      <c r="H60" t="s">
        <v>27</v>
      </c>
      <c r="I60" t="s">
        <v>36</v>
      </c>
      <c r="J60" t="s">
        <v>37</v>
      </c>
      <c r="K60" t="s">
        <v>30</v>
      </c>
      <c r="L60" t="s">
        <v>31</v>
      </c>
      <c r="M60" t="s">
        <v>32</v>
      </c>
      <c r="N60">
        <v>421</v>
      </c>
      <c r="O60">
        <v>2.9396301999999999E-2</v>
      </c>
      <c r="P60">
        <v>8.8854529999999998E-3</v>
      </c>
      <c r="Q60" t="str">
        <f t="shared" si="0"/>
        <v>10-14</v>
      </c>
      <c r="R60" t="str">
        <f t="shared" si="1"/>
        <v>[vA4NcHxfMBq]|10-14|Female|TX_CURR_SUBNAT.R|CY2023Q4</v>
      </c>
    </row>
    <row r="61" spans="1:18" x14ac:dyDescent="0.2">
      <c r="A61" s="227"/>
      <c r="B61" s="227"/>
      <c r="C61" s="227"/>
      <c r="D61" t="s">
        <v>66</v>
      </c>
      <c r="E61" t="s">
        <v>67</v>
      </c>
      <c r="F61" t="s">
        <v>68</v>
      </c>
      <c r="G61" t="s">
        <v>26</v>
      </c>
      <c r="H61" t="s">
        <v>27</v>
      </c>
      <c r="I61" t="s">
        <v>38</v>
      </c>
      <c r="J61" t="s">
        <v>39</v>
      </c>
      <c r="K61" t="s">
        <v>30</v>
      </c>
      <c r="L61" t="s">
        <v>31</v>
      </c>
      <c r="M61" t="s">
        <v>32</v>
      </c>
      <c r="N61">
        <v>2220</v>
      </c>
      <c r="O61">
        <v>6.4893119999999999E-2</v>
      </c>
      <c r="P61">
        <v>8.8854529999999998E-3</v>
      </c>
      <c r="Q61" t="str">
        <f t="shared" si="0"/>
        <v>15-24</v>
      </c>
      <c r="R61" t="str">
        <f t="shared" si="1"/>
        <v>[vA4NcHxfMBq]|15-24|Female|TX_CURR_SUBNAT.R|CY2023Q4</v>
      </c>
    </row>
    <row r="62" spans="1:18" x14ac:dyDescent="0.2">
      <c r="A62" s="227"/>
      <c r="B62" s="227"/>
      <c r="C62" s="227"/>
      <c r="D62" t="s">
        <v>66</v>
      </c>
      <c r="E62" t="s">
        <v>67</v>
      </c>
      <c r="F62" t="s">
        <v>68</v>
      </c>
      <c r="G62" t="s">
        <v>26</v>
      </c>
      <c r="H62" t="s">
        <v>27</v>
      </c>
      <c r="I62" t="s">
        <v>41</v>
      </c>
      <c r="J62" t="s">
        <v>42</v>
      </c>
      <c r="K62" t="s">
        <v>30</v>
      </c>
      <c r="L62" t="s">
        <v>31</v>
      </c>
      <c r="M62" t="s">
        <v>32</v>
      </c>
      <c r="N62">
        <v>6314</v>
      </c>
      <c r="O62">
        <v>3.7482284999999997E-2</v>
      </c>
      <c r="P62">
        <v>8.8854529999999998E-3</v>
      </c>
      <c r="Q62" t="str">
        <f t="shared" si="0"/>
        <v>25-34</v>
      </c>
      <c r="R62" t="str">
        <f t="shared" si="1"/>
        <v>[vA4NcHxfMBq]|25-34|Female|TX_CURR_SUBNAT.R|CY2023Q4</v>
      </c>
    </row>
    <row r="63" spans="1:18" x14ac:dyDescent="0.2">
      <c r="A63" s="227"/>
      <c r="B63" s="227"/>
      <c r="C63" s="227"/>
      <c r="D63" t="s">
        <v>66</v>
      </c>
      <c r="E63" t="s">
        <v>67</v>
      </c>
      <c r="F63" t="s">
        <v>68</v>
      </c>
      <c r="G63" t="s">
        <v>26</v>
      </c>
      <c r="H63" t="s">
        <v>27</v>
      </c>
      <c r="I63" t="s">
        <v>43</v>
      </c>
      <c r="J63" t="s">
        <v>44</v>
      </c>
      <c r="K63" t="s">
        <v>30</v>
      </c>
      <c r="L63" t="s">
        <v>31</v>
      </c>
      <c r="M63" t="s">
        <v>32</v>
      </c>
      <c r="N63">
        <v>14699</v>
      </c>
      <c r="O63">
        <v>2.1385828999999999E-2</v>
      </c>
      <c r="P63">
        <v>8.8854529999999998E-3</v>
      </c>
      <c r="Q63" t="str">
        <f t="shared" si="0"/>
        <v>35-49</v>
      </c>
      <c r="R63" t="str">
        <f t="shared" si="1"/>
        <v>[vA4NcHxfMBq]|35-49|Female|TX_CURR_SUBNAT.R|CY2023Q4</v>
      </c>
    </row>
    <row r="64" spans="1:18" x14ac:dyDescent="0.2">
      <c r="A64" s="227"/>
      <c r="B64" s="227"/>
      <c r="C64" s="227"/>
      <c r="D64" t="s">
        <v>66</v>
      </c>
      <c r="E64" t="s">
        <v>67</v>
      </c>
      <c r="F64" t="s">
        <v>68</v>
      </c>
      <c r="G64" t="s">
        <v>26</v>
      </c>
      <c r="H64" t="s">
        <v>27</v>
      </c>
      <c r="I64" t="s">
        <v>45</v>
      </c>
      <c r="J64" t="s">
        <v>46</v>
      </c>
      <c r="K64" t="s">
        <v>30</v>
      </c>
      <c r="L64" t="s">
        <v>31</v>
      </c>
      <c r="M64" t="s">
        <v>32</v>
      </c>
      <c r="N64">
        <v>6153</v>
      </c>
      <c r="O64">
        <v>4.3493919999999998E-2</v>
      </c>
      <c r="P64">
        <v>8.8854529999999998E-3</v>
      </c>
      <c r="Q64" t="str">
        <f t="shared" si="0"/>
        <v>50+</v>
      </c>
      <c r="R64" t="str">
        <f t="shared" si="1"/>
        <v>[vA4NcHxfMBq]|50+|Female|TX_CURR_SUBNAT.R|CY2023Q4</v>
      </c>
    </row>
    <row r="65" spans="1:18" x14ac:dyDescent="0.2">
      <c r="A65" s="227"/>
      <c r="B65" s="227"/>
      <c r="C65" s="227"/>
      <c r="D65" t="s">
        <v>66</v>
      </c>
      <c r="E65" t="s">
        <v>67</v>
      </c>
      <c r="F65" t="s">
        <v>68</v>
      </c>
      <c r="G65" t="s">
        <v>26</v>
      </c>
      <c r="H65" t="s">
        <v>27</v>
      </c>
      <c r="I65" t="s">
        <v>28</v>
      </c>
      <c r="J65" t="s">
        <v>29</v>
      </c>
      <c r="K65" t="s">
        <v>48</v>
      </c>
      <c r="L65" t="s">
        <v>49</v>
      </c>
      <c r="M65" t="s">
        <v>32</v>
      </c>
      <c r="N65">
        <v>19</v>
      </c>
      <c r="O65">
        <v>2.9163333E-2</v>
      </c>
      <c r="P65">
        <v>8.8854529999999998E-3</v>
      </c>
      <c r="Q65" t="str">
        <f t="shared" si="0"/>
        <v>&lt;01</v>
      </c>
      <c r="R65" t="str">
        <f t="shared" si="1"/>
        <v>[vA4NcHxfMBq]|&lt;01|Male|TX_CURR_SUBNAT.R|CY2023Q4</v>
      </c>
    </row>
    <row r="66" spans="1:18" x14ac:dyDescent="0.2">
      <c r="A66" s="227"/>
      <c r="B66" s="227"/>
      <c r="C66" s="227"/>
      <c r="D66" t="s">
        <v>66</v>
      </c>
      <c r="E66" t="s">
        <v>67</v>
      </c>
      <c r="F66" t="s">
        <v>68</v>
      </c>
      <c r="G66" t="s">
        <v>26</v>
      </c>
      <c r="H66" t="s">
        <v>27</v>
      </c>
      <c r="I66" t="s">
        <v>33</v>
      </c>
      <c r="J66" t="s">
        <v>34</v>
      </c>
      <c r="K66" t="s">
        <v>48</v>
      </c>
      <c r="L66" t="s">
        <v>49</v>
      </c>
      <c r="M66" t="s">
        <v>32</v>
      </c>
      <c r="N66">
        <v>335</v>
      </c>
      <c r="O66">
        <v>2.6522339999999998E-2</v>
      </c>
      <c r="P66">
        <v>8.8854529999999998E-3</v>
      </c>
      <c r="Q66" t="str">
        <f t="shared" si="0"/>
        <v>01-09</v>
      </c>
      <c r="R66" t="str">
        <f t="shared" si="1"/>
        <v>[vA4NcHxfMBq]|01-09|Male|TX_CURR_SUBNAT.R|CY2023Q4</v>
      </c>
    </row>
    <row r="67" spans="1:18" x14ac:dyDescent="0.2">
      <c r="A67" s="227"/>
      <c r="B67" s="227"/>
      <c r="C67" s="227"/>
      <c r="D67" t="s">
        <v>66</v>
      </c>
      <c r="E67" t="s">
        <v>67</v>
      </c>
      <c r="F67" t="s">
        <v>68</v>
      </c>
      <c r="G67" t="s">
        <v>26</v>
      </c>
      <c r="H67" t="s">
        <v>27</v>
      </c>
      <c r="I67" t="s">
        <v>36</v>
      </c>
      <c r="J67" t="s">
        <v>37</v>
      </c>
      <c r="K67" t="s">
        <v>48</v>
      </c>
      <c r="L67" t="s">
        <v>49</v>
      </c>
      <c r="M67" t="s">
        <v>32</v>
      </c>
      <c r="N67">
        <v>422</v>
      </c>
      <c r="O67">
        <v>2.3655078999999999E-2</v>
      </c>
      <c r="P67">
        <v>8.8854529999999998E-3</v>
      </c>
      <c r="Q67" t="str">
        <f t="shared" ref="Q67:Q130" si="2">SUBSTITUTE(SUBSTITUTE($I67,CHAR(61),""),CHAR(34),"")</f>
        <v>10-14</v>
      </c>
      <c r="R67" t="str">
        <f t="shared" ref="R67:R130" si="3">IF($D67&lt;&gt;"","["&amp;$E67&amp;"]"&amp;"|"&amp;$Q67&amp;"|"&amp;$K67&amp;"|"&amp;$G67&amp;"|"&amp;IF($G67="TX_CURR_SUBNAT.R","CY2023Q4",$M67),"")</f>
        <v>[vA4NcHxfMBq]|10-14|Male|TX_CURR_SUBNAT.R|CY2023Q4</v>
      </c>
    </row>
    <row r="68" spans="1:18" x14ac:dyDescent="0.2">
      <c r="A68" s="227"/>
      <c r="B68" s="227"/>
      <c r="C68" s="227"/>
      <c r="D68" t="s">
        <v>66</v>
      </c>
      <c r="E68" t="s">
        <v>67</v>
      </c>
      <c r="F68" t="s">
        <v>68</v>
      </c>
      <c r="G68" t="s">
        <v>26</v>
      </c>
      <c r="H68" t="s">
        <v>27</v>
      </c>
      <c r="I68" t="s">
        <v>38</v>
      </c>
      <c r="J68" t="s">
        <v>39</v>
      </c>
      <c r="K68" t="s">
        <v>48</v>
      </c>
      <c r="L68" t="s">
        <v>49</v>
      </c>
      <c r="M68" t="s">
        <v>32</v>
      </c>
      <c r="N68">
        <v>1461</v>
      </c>
      <c r="O68">
        <v>7.9241278999999998E-2</v>
      </c>
      <c r="P68">
        <v>8.8854529999999998E-3</v>
      </c>
      <c r="Q68" t="str">
        <f t="shared" si="2"/>
        <v>15-24</v>
      </c>
      <c r="R68" t="str">
        <f t="shared" si="3"/>
        <v>[vA4NcHxfMBq]|15-24|Male|TX_CURR_SUBNAT.R|CY2023Q4</v>
      </c>
    </row>
    <row r="69" spans="1:18" x14ac:dyDescent="0.2">
      <c r="A69" s="227"/>
      <c r="B69" s="227"/>
      <c r="C69" s="227"/>
      <c r="D69" t="s">
        <v>66</v>
      </c>
      <c r="E69" t="s">
        <v>67</v>
      </c>
      <c r="F69" t="s">
        <v>68</v>
      </c>
      <c r="G69" t="s">
        <v>26</v>
      </c>
      <c r="H69" t="s">
        <v>27</v>
      </c>
      <c r="I69" t="s">
        <v>41</v>
      </c>
      <c r="J69" t="s">
        <v>42</v>
      </c>
      <c r="K69" t="s">
        <v>48</v>
      </c>
      <c r="L69" t="s">
        <v>49</v>
      </c>
      <c r="M69" t="s">
        <v>32</v>
      </c>
      <c r="N69">
        <v>2177</v>
      </c>
      <c r="O69">
        <v>6.7391446999999993E-2</v>
      </c>
      <c r="P69">
        <v>8.8854529999999998E-3</v>
      </c>
      <c r="Q69" t="str">
        <f t="shared" si="2"/>
        <v>25-34</v>
      </c>
      <c r="R69" t="str">
        <f t="shared" si="3"/>
        <v>[vA4NcHxfMBq]|25-34|Male|TX_CURR_SUBNAT.R|CY2023Q4</v>
      </c>
    </row>
    <row r="70" spans="1:18" x14ac:dyDescent="0.2">
      <c r="A70" s="227"/>
      <c r="B70" s="227"/>
      <c r="C70" s="227"/>
      <c r="D70" t="s">
        <v>66</v>
      </c>
      <c r="E70" t="s">
        <v>67</v>
      </c>
      <c r="F70" t="s">
        <v>68</v>
      </c>
      <c r="G70" t="s">
        <v>26</v>
      </c>
      <c r="H70" t="s">
        <v>27</v>
      </c>
      <c r="I70" t="s">
        <v>43</v>
      </c>
      <c r="J70" t="s">
        <v>44</v>
      </c>
      <c r="K70" t="s">
        <v>48</v>
      </c>
      <c r="L70" t="s">
        <v>49</v>
      </c>
      <c r="M70" t="s">
        <v>32</v>
      </c>
      <c r="N70">
        <v>8516</v>
      </c>
      <c r="O70">
        <v>3.0255799999999999E-2</v>
      </c>
      <c r="P70">
        <v>8.8854529999999998E-3</v>
      </c>
      <c r="Q70" t="str">
        <f t="shared" si="2"/>
        <v>35-49</v>
      </c>
      <c r="R70" t="str">
        <f t="shared" si="3"/>
        <v>[vA4NcHxfMBq]|35-49|Male|TX_CURR_SUBNAT.R|CY2023Q4</v>
      </c>
    </row>
    <row r="71" spans="1:18" x14ac:dyDescent="0.2">
      <c r="A71" s="227"/>
      <c r="B71" s="227"/>
      <c r="C71" s="227"/>
      <c r="D71" t="s">
        <v>66</v>
      </c>
      <c r="E71" t="s">
        <v>67</v>
      </c>
      <c r="F71" t="s">
        <v>68</v>
      </c>
      <c r="G71" t="s">
        <v>26</v>
      </c>
      <c r="H71" t="s">
        <v>27</v>
      </c>
      <c r="I71" t="s">
        <v>45</v>
      </c>
      <c r="J71" t="s">
        <v>46</v>
      </c>
      <c r="K71" t="s">
        <v>48</v>
      </c>
      <c r="L71" t="s">
        <v>49</v>
      </c>
      <c r="M71" t="s">
        <v>32</v>
      </c>
      <c r="N71">
        <v>5713</v>
      </c>
      <c r="O71">
        <v>4.0525798000000002E-2</v>
      </c>
      <c r="P71">
        <v>8.8854529999999998E-3</v>
      </c>
      <c r="Q71" t="str">
        <f t="shared" si="2"/>
        <v>50+</v>
      </c>
      <c r="R71" t="str">
        <f t="shared" si="3"/>
        <v>[vA4NcHxfMBq]|50+|Male|TX_CURR_SUBNAT.R|CY2023Q4</v>
      </c>
    </row>
    <row r="72" spans="1:18" x14ac:dyDescent="0.2">
      <c r="A72" s="227"/>
      <c r="B72" s="227"/>
      <c r="C72" s="227"/>
      <c r="D72" t="s">
        <v>69</v>
      </c>
      <c r="E72" t="s">
        <v>70</v>
      </c>
      <c r="F72" t="s">
        <v>71</v>
      </c>
      <c r="G72" t="s">
        <v>26</v>
      </c>
      <c r="H72" t="s">
        <v>27</v>
      </c>
      <c r="I72" t="s">
        <v>28</v>
      </c>
      <c r="J72" t="s">
        <v>29</v>
      </c>
      <c r="K72" t="s">
        <v>30</v>
      </c>
      <c r="L72" t="s">
        <v>31</v>
      </c>
      <c r="M72" t="s">
        <v>32</v>
      </c>
      <c r="N72">
        <v>0</v>
      </c>
      <c r="O72">
        <v>8.5837977999999995E-2</v>
      </c>
      <c r="P72">
        <v>2.4807197999999999E-2</v>
      </c>
      <c r="Q72" t="str">
        <f t="shared" si="2"/>
        <v>&lt;01</v>
      </c>
      <c r="R72" t="str">
        <f t="shared" si="3"/>
        <v>[ZCjuwgaMB9u]|&lt;01|Female|TX_CURR_SUBNAT.R|CY2023Q4</v>
      </c>
    </row>
    <row r="73" spans="1:18" x14ac:dyDescent="0.2">
      <c r="A73" s="227"/>
      <c r="B73" s="227"/>
      <c r="C73" s="227"/>
      <c r="D73" t="s">
        <v>69</v>
      </c>
      <c r="E73" t="s">
        <v>70</v>
      </c>
      <c r="F73" t="s">
        <v>71</v>
      </c>
      <c r="G73" t="s">
        <v>26</v>
      </c>
      <c r="H73" t="s">
        <v>27</v>
      </c>
      <c r="I73" t="s">
        <v>33</v>
      </c>
      <c r="J73" t="s">
        <v>34</v>
      </c>
      <c r="K73" t="s">
        <v>30</v>
      </c>
      <c r="L73" t="s">
        <v>31</v>
      </c>
      <c r="M73" t="s">
        <v>32</v>
      </c>
      <c r="N73">
        <v>7</v>
      </c>
      <c r="O73">
        <v>8.5161845999999999E-2</v>
      </c>
      <c r="P73">
        <v>2.4807197999999999E-2</v>
      </c>
      <c r="Q73" t="str">
        <f t="shared" si="2"/>
        <v>01-09</v>
      </c>
      <c r="R73" t="str">
        <f t="shared" si="3"/>
        <v>[ZCjuwgaMB9u]|01-09|Female|TX_CURR_SUBNAT.R|CY2023Q4</v>
      </c>
    </row>
    <row r="74" spans="1:18" x14ac:dyDescent="0.2">
      <c r="A74" s="227"/>
      <c r="B74" s="227"/>
      <c r="C74" s="227"/>
      <c r="D74" t="s">
        <v>69</v>
      </c>
      <c r="E74" t="s">
        <v>70</v>
      </c>
      <c r="F74" t="s">
        <v>71</v>
      </c>
      <c r="G74" t="s">
        <v>26</v>
      </c>
      <c r="H74" t="s">
        <v>27</v>
      </c>
      <c r="I74" t="s">
        <v>36</v>
      </c>
      <c r="J74" t="s">
        <v>37</v>
      </c>
      <c r="K74" t="s">
        <v>30</v>
      </c>
      <c r="L74" t="s">
        <v>31</v>
      </c>
      <c r="M74" t="s">
        <v>32</v>
      </c>
      <c r="N74">
        <v>10</v>
      </c>
      <c r="O74">
        <v>8.2046414999999998E-2</v>
      </c>
      <c r="P74">
        <v>2.4807197999999999E-2</v>
      </c>
      <c r="Q74" t="str">
        <f t="shared" si="2"/>
        <v>10-14</v>
      </c>
      <c r="R74" t="str">
        <f t="shared" si="3"/>
        <v>[ZCjuwgaMB9u]|10-14|Female|TX_CURR_SUBNAT.R|CY2023Q4</v>
      </c>
    </row>
    <row r="75" spans="1:18" x14ac:dyDescent="0.2">
      <c r="A75" s="227"/>
      <c r="B75" s="227"/>
      <c r="C75" s="227"/>
      <c r="D75" t="s">
        <v>69</v>
      </c>
      <c r="E75" t="s">
        <v>70</v>
      </c>
      <c r="F75" t="s">
        <v>71</v>
      </c>
      <c r="G75" t="s">
        <v>26</v>
      </c>
      <c r="H75" t="s">
        <v>27</v>
      </c>
      <c r="I75" t="s">
        <v>38</v>
      </c>
      <c r="J75" t="s">
        <v>39</v>
      </c>
      <c r="K75" t="s">
        <v>30</v>
      </c>
      <c r="L75" t="s">
        <v>31</v>
      </c>
      <c r="M75" t="s">
        <v>32</v>
      </c>
      <c r="N75">
        <v>38</v>
      </c>
      <c r="O75">
        <v>7.0562018000000004E-2</v>
      </c>
      <c r="P75">
        <v>2.4807197999999999E-2</v>
      </c>
      <c r="Q75" t="str">
        <f t="shared" si="2"/>
        <v>15-24</v>
      </c>
      <c r="R75" t="str">
        <f t="shared" si="3"/>
        <v>[ZCjuwgaMB9u]|15-24|Female|TX_CURR_SUBNAT.R|CY2023Q4</v>
      </c>
    </row>
    <row r="76" spans="1:18" x14ac:dyDescent="0.2">
      <c r="A76" s="227"/>
      <c r="B76" s="227"/>
      <c r="C76" s="227"/>
      <c r="D76" t="s">
        <v>69</v>
      </c>
      <c r="E76" t="s">
        <v>70</v>
      </c>
      <c r="F76" t="s">
        <v>71</v>
      </c>
      <c r="G76" t="s">
        <v>26</v>
      </c>
      <c r="H76" t="s">
        <v>27</v>
      </c>
      <c r="I76" t="s">
        <v>41</v>
      </c>
      <c r="J76" t="s">
        <v>42</v>
      </c>
      <c r="K76" t="s">
        <v>30</v>
      </c>
      <c r="L76" t="s">
        <v>31</v>
      </c>
      <c r="M76" t="s">
        <v>32</v>
      </c>
      <c r="N76">
        <v>112</v>
      </c>
      <c r="O76">
        <v>4.7463350000000001E-2</v>
      </c>
      <c r="P76">
        <v>2.4807197999999999E-2</v>
      </c>
      <c r="Q76" t="str">
        <f t="shared" si="2"/>
        <v>25-34</v>
      </c>
      <c r="R76" t="str">
        <f t="shared" si="3"/>
        <v>[ZCjuwgaMB9u]|25-34|Female|TX_CURR_SUBNAT.R|CY2023Q4</v>
      </c>
    </row>
    <row r="77" spans="1:18" x14ac:dyDescent="0.2">
      <c r="A77" s="227"/>
      <c r="B77" s="227"/>
      <c r="C77" s="227"/>
      <c r="D77" t="s">
        <v>69</v>
      </c>
      <c r="E77" t="s">
        <v>70</v>
      </c>
      <c r="F77" t="s">
        <v>71</v>
      </c>
      <c r="G77" t="s">
        <v>26</v>
      </c>
      <c r="H77" t="s">
        <v>27</v>
      </c>
      <c r="I77" t="s">
        <v>43</v>
      </c>
      <c r="J77" t="s">
        <v>44</v>
      </c>
      <c r="K77" t="s">
        <v>30</v>
      </c>
      <c r="L77" t="s">
        <v>31</v>
      </c>
      <c r="M77" t="s">
        <v>32</v>
      </c>
      <c r="N77">
        <v>275</v>
      </c>
      <c r="O77">
        <v>3.2854030999999999E-2</v>
      </c>
      <c r="P77">
        <v>2.4807197999999999E-2</v>
      </c>
      <c r="Q77" t="str">
        <f t="shared" si="2"/>
        <v>35-49</v>
      </c>
      <c r="R77" t="str">
        <f t="shared" si="3"/>
        <v>[ZCjuwgaMB9u]|35-49|Female|TX_CURR_SUBNAT.R|CY2023Q4</v>
      </c>
    </row>
    <row r="78" spans="1:18" x14ac:dyDescent="0.2">
      <c r="A78" s="227"/>
      <c r="B78" s="227"/>
      <c r="C78" s="227"/>
      <c r="D78" t="s">
        <v>69</v>
      </c>
      <c r="E78" t="s">
        <v>70</v>
      </c>
      <c r="F78" t="s">
        <v>71</v>
      </c>
      <c r="G78" t="s">
        <v>26</v>
      </c>
      <c r="H78" t="s">
        <v>27</v>
      </c>
      <c r="I78" t="s">
        <v>45</v>
      </c>
      <c r="J78" t="s">
        <v>46</v>
      </c>
      <c r="K78" t="s">
        <v>30</v>
      </c>
      <c r="L78" t="s">
        <v>31</v>
      </c>
      <c r="M78" t="s">
        <v>32</v>
      </c>
      <c r="N78">
        <v>118</v>
      </c>
      <c r="O78">
        <v>4.9078795000000001E-2</v>
      </c>
      <c r="P78">
        <v>2.4807197999999999E-2</v>
      </c>
      <c r="Q78" t="str">
        <f t="shared" si="2"/>
        <v>50+</v>
      </c>
      <c r="R78" t="str">
        <f t="shared" si="3"/>
        <v>[ZCjuwgaMB9u]|50+|Female|TX_CURR_SUBNAT.R|CY2023Q4</v>
      </c>
    </row>
    <row r="79" spans="1:18" x14ac:dyDescent="0.2">
      <c r="A79" s="227"/>
      <c r="B79" s="227"/>
      <c r="C79" s="227"/>
      <c r="D79" t="s">
        <v>69</v>
      </c>
      <c r="E79" t="s">
        <v>70</v>
      </c>
      <c r="F79" t="s">
        <v>71</v>
      </c>
      <c r="G79" t="s">
        <v>26</v>
      </c>
      <c r="H79" t="s">
        <v>27</v>
      </c>
      <c r="I79" t="s">
        <v>28</v>
      </c>
      <c r="J79" t="s">
        <v>29</v>
      </c>
      <c r="K79" t="s">
        <v>48</v>
      </c>
      <c r="L79" t="s">
        <v>49</v>
      </c>
      <c r="M79" t="s">
        <v>32</v>
      </c>
      <c r="N79">
        <v>0</v>
      </c>
      <c r="O79">
        <v>5.9668134999999997E-2</v>
      </c>
      <c r="P79">
        <v>2.4807197999999999E-2</v>
      </c>
      <c r="Q79" t="str">
        <f t="shared" si="2"/>
        <v>&lt;01</v>
      </c>
      <c r="R79" t="str">
        <f t="shared" si="3"/>
        <v>[ZCjuwgaMB9u]|&lt;01|Male|TX_CURR_SUBNAT.R|CY2023Q4</v>
      </c>
    </row>
    <row r="80" spans="1:18" x14ac:dyDescent="0.2">
      <c r="A80" s="227"/>
      <c r="B80" s="227"/>
      <c r="C80" s="227"/>
      <c r="D80" t="s">
        <v>69</v>
      </c>
      <c r="E80" t="s">
        <v>70</v>
      </c>
      <c r="F80" t="s">
        <v>71</v>
      </c>
      <c r="G80" t="s">
        <v>26</v>
      </c>
      <c r="H80" t="s">
        <v>27</v>
      </c>
      <c r="I80" t="s">
        <v>33</v>
      </c>
      <c r="J80" t="s">
        <v>34</v>
      </c>
      <c r="K80" t="s">
        <v>48</v>
      </c>
      <c r="L80" t="s">
        <v>49</v>
      </c>
      <c r="M80" t="s">
        <v>32</v>
      </c>
      <c r="N80">
        <v>7</v>
      </c>
      <c r="O80">
        <v>6.2561749999999999E-2</v>
      </c>
      <c r="P80">
        <v>2.4807197999999999E-2</v>
      </c>
      <c r="Q80" t="str">
        <f t="shared" si="2"/>
        <v>01-09</v>
      </c>
      <c r="R80" t="str">
        <f t="shared" si="3"/>
        <v>[ZCjuwgaMB9u]|01-09|Male|TX_CURR_SUBNAT.R|CY2023Q4</v>
      </c>
    </row>
    <row r="81" spans="1:18" x14ac:dyDescent="0.2">
      <c r="A81" s="227"/>
      <c r="B81" s="227"/>
      <c r="C81" s="227"/>
      <c r="D81" t="s">
        <v>69</v>
      </c>
      <c r="E81" t="s">
        <v>70</v>
      </c>
      <c r="F81" t="s">
        <v>71</v>
      </c>
      <c r="G81" t="s">
        <v>26</v>
      </c>
      <c r="H81" t="s">
        <v>27</v>
      </c>
      <c r="I81" t="s">
        <v>36</v>
      </c>
      <c r="J81" t="s">
        <v>37</v>
      </c>
      <c r="K81" t="s">
        <v>48</v>
      </c>
      <c r="L81" t="s">
        <v>49</v>
      </c>
      <c r="M81" t="s">
        <v>32</v>
      </c>
      <c r="N81">
        <v>9</v>
      </c>
      <c r="O81">
        <v>6.4038853000000007E-2</v>
      </c>
      <c r="P81">
        <v>2.4807197999999999E-2</v>
      </c>
      <c r="Q81" t="str">
        <f t="shared" si="2"/>
        <v>10-14</v>
      </c>
      <c r="R81" t="str">
        <f t="shared" si="3"/>
        <v>[ZCjuwgaMB9u]|10-14|Male|TX_CURR_SUBNAT.R|CY2023Q4</v>
      </c>
    </row>
    <row r="82" spans="1:18" x14ac:dyDescent="0.2">
      <c r="A82" s="227"/>
      <c r="B82" s="227"/>
      <c r="C82" s="227"/>
      <c r="D82" t="s">
        <v>69</v>
      </c>
      <c r="E82" t="s">
        <v>70</v>
      </c>
      <c r="F82" t="s">
        <v>71</v>
      </c>
      <c r="G82" t="s">
        <v>26</v>
      </c>
      <c r="H82" t="s">
        <v>27</v>
      </c>
      <c r="I82" t="s">
        <v>38</v>
      </c>
      <c r="J82" t="s">
        <v>39</v>
      </c>
      <c r="K82" t="s">
        <v>48</v>
      </c>
      <c r="L82" t="s">
        <v>49</v>
      </c>
      <c r="M82" t="s">
        <v>32</v>
      </c>
      <c r="N82">
        <v>29</v>
      </c>
      <c r="O82">
        <v>9.0154381000000006E-2</v>
      </c>
      <c r="P82">
        <v>2.4807197999999999E-2</v>
      </c>
      <c r="Q82" t="str">
        <f t="shared" si="2"/>
        <v>15-24</v>
      </c>
      <c r="R82" t="str">
        <f t="shared" si="3"/>
        <v>[ZCjuwgaMB9u]|15-24|Male|TX_CURR_SUBNAT.R|CY2023Q4</v>
      </c>
    </row>
    <row r="83" spans="1:18" x14ac:dyDescent="0.2">
      <c r="A83" s="227"/>
      <c r="B83" s="227"/>
      <c r="C83" s="227"/>
      <c r="D83" t="s">
        <v>69</v>
      </c>
      <c r="E83" t="s">
        <v>70</v>
      </c>
      <c r="F83" t="s">
        <v>71</v>
      </c>
      <c r="G83" t="s">
        <v>26</v>
      </c>
      <c r="H83" t="s">
        <v>27</v>
      </c>
      <c r="I83" t="s">
        <v>41</v>
      </c>
      <c r="J83" t="s">
        <v>42</v>
      </c>
      <c r="K83" t="s">
        <v>48</v>
      </c>
      <c r="L83" t="s">
        <v>49</v>
      </c>
      <c r="M83" t="s">
        <v>32</v>
      </c>
      <c r="N83">
        <v>47</v>
      </c>
      <c r="O83">
        <v>7.5388222000000005E-2</v>
      </c>
      <c r="P83">
        <v>2.4807197999999999E-2</v>
      </c>
      <c r="Q83" t="str">
        <f t="shared" si="2"/>
        <v>25-34</v>
      </c>
      <c r="R83" t="str">
        <f t="shared" si="3"/>
        <v>[ZCjuwgaMB9u]|25-34|Male|TX_CURR_SUBNAT.R|CY2023Q4</v>
      </c>
    </row>
    <row r="84" spans="1:18" x14ac:dyDescent="0.2">
      <c r="A84" s="227"/>
      <c r="B84" s="227"/>
      <c r="C84" s="227"/>
      <c r="D84" t="s">
        <v>69</v>
      </c>
      <c r="E84" t="s">
        <v>70</v>
      </c>
      <c r="F84" t="s">
        <v>71</v>
      </c>
      <c r="G84" t="s">
        <v>26</v>
      </c>
      <c r="H84" t="s">
        <v>27</v>
      </c>
      <c r="I84" t="s">
        <v>43</v>
      </c>
      <c r="J84" t="s">
        <v>44</v>
      </c>
      <c r="K84" t="s">
        <v>48</v>
      </c>
      <c r="L84" t="s">
        <v>49</v>
      </c>
      <c r="M84" t="s">
        <v>32</v>
      </c>
      <c r="N84">
        <v>166</v>
      </c>
      <c r="O84">
        <v>4.6245340000000003E-2</v>
      </c>
      <c r="P84">
        <v>2.4807197999999999E-2</v>
      </c>
      <c r="Q84" t="str">
        <f t="shared" si="2"/>
        <v>35-49</v>
      </c>
      <c r="R84" t="str">
        <f t="shared" si="3"/>
        <v>[ZCjuwgaMB9u]|35-49|Male|TX_CURR_SUBNAT.R|CY2023Q4</v>
      </c>
    </row>
    <row r="85" spans="1:18" x14ac:dyDescent="0.2">
      <c r="A85" s="227"/>
      <c r="B85" s="227"/>
      <c r="C85" s="227"/>
      <c r="D85" t="s">
        <v>69</v>
      </c>
      <c r="E85" t="s">
        <v>70</v>
      </c>
      <c r="F85" t="s">
        <v>71</v>
      </c>
      <c r="G85" t="s">
        <v>26</v>
      </c>
      <c r="H85" t="s">
        <v>27</v>
      </c>
      <c r="I85" t="s">
        <v>45</v>
      </c>
      <c r="J85" t="s">
        <v>46</v>
      </c>
      <c r="K85" t="s">
        <v>48</v>
      </c>
      <c r="L85" t="s">
        <v>49</v>
      </c>
      <c r="M85" t="s">
        <v>32</v>
      </c>
      <c r="N85">
        <v>98</v>
      </c>
      <c r="O85">
        <v>4.9481663000000002E-2</v>
      </c>
      <c r="P85">
        <v>2.4807197999999999E-2</v>
      </c>
      <c r="Q85" t="str">
        <f t="shared" si="2"/>
        <v>50+</v>
      </c>
      <c r="R85" t="str">
        <f t="shared" si="3"/>
        <v>[ZCjuwgaMB9u]|50+|Male|TX_CURR_SUBNAT.R|CY2023Q4</v>
      </c>
    </row>
    <row r="86" spans="1:18" x14ac:dyDescent="0.2">
      <c r="A86" s="227"/>
      <c r="B86" s="227"/>
      <c r="C86" s="227"/>
      <c r="D86" t="s">
        <v>72</v>
      </c>
      <c r="E86" t="s">
        <v>73</v>
      </c>
      <c r="F86" t="s">
        <v>74</v>
      </c>
      <c r="G86" t="s">
        <v>26</v>
      </c>
      <c r="H86" t="s">
        <v>27</v>
      </c>
      <c r="I86" t="s">
        <v>28</v>
      </c>
      <c r="J86" t="s">
        <v>29</v>
      </c>
      <c r="K86" t="s">
        <v>30</v>
      </c>
      <c r="L86" t="s">
        <v>31</v>
      </c>
      <c r="M86" t="s">
        <v>32</v>
      </c>
      <c r="N86">
        <v>9</v>
      </c>
      <c r="O86">
        <v>5.2665694999999998E-2</v>
      </c>
      <c r="P86">
        <v>1.3297873999999999E-2</v>
      </c>
      <c r="Q86" t="str">
        <f t="shared" si="2"/>
        <v>&lt;01</v>
      </c>
      <c r="R86" t="str">
        <f t="shared" si="3"/>
        <v>[JQKLKuVuY61]|&lt;01|Female|TX_CURR_SUBNAT.R|CY2023Q4</v>
      </c>
    </row>
    <row r="87" spans="1:18" x14ac:dyDescent="0.2">
      <c r="A87" s="227"/>
      <c r="B87" s="227"/>
      <c r="C87" s="227"/>
      <c r="D87" t="s">
        <v>72</v>
      </c>
      <c r="E87" t="s">
        <v>73</v>
      </c>
      <c r="F87" t="s">
        <v>74</v>
      </c>
      <c r="G87" t="s">
        <v>26</v>
      </c>
      <c r="H87" t="s">
        <v>27</v>
      </c>
      <c r="I87" t="s">
        <v>33</v>
      </c>
      <c r="J87" t="s">
        <v>34</v>
      </c>
      <c r="K87" t="s">
        <v>30</v>
      </c>
      <c r="L87" t="s">
        <v>31</v>
      </c>
      <c r="M87" t="s">
        <v>32</v>
      </c>
      <c r="N87">
        <v>168</v>
      </c>
      <c r="O87">
        <v>4.7155554000000002E-2</v>
      </c>
      <c r="P87">
        <v>1.3297873999999999E-2</v>
      </c>
      <c r="Q87" t="str">
        <f t="shared" si="2"/>
        <v>01-09</v>
      </c>
      <c r="R87" t="str">
        <f t="shared" si="3"/>
        <v>[JQKLKuVuY61]|01-09|Female|TX_CURR_SUBNAT.R|CY2023Q4</v>
      </c>
    </row>
    <row r="88" spans="1:18" x14ac:dyDescent="0.2">
      <c r="A88" s="227"/>
      <c r="B88" s="227"/>
      <c r="C88" s="227"/>
      <c r="D88" t="s">
        <v>72</v>
      </c>
      <c r="E88" t="s">
        <v>73</v>
      </c>
      <c r="F88" t="s">
        <v>74</v>
      </c>
      <c r="G88" t="s">
        <v>26</v>
      </c>
      <c r="H88" t="s">
        <v>27</v>
      </c>
      <c r="I88" t="s">
        <v>36</v>
      </c>
      <c r="J88" t="s">
        <v>37</v>
      </c>
      <c r="K88" t="s">
        <v>30</v>
      </c>
      <c r="L88" t="s">
        <v>31</v>
      </c>
      <c r="M88" t="s">
        <v>32</v>
      </c>
      <c r="N88">
        <v>225</v>
      </c>
      <c r="O88">
        <v>4.0167253E-2</v>
      </c>
      <c r="P88">
        <v>1.3297873999999999E-2</v>
      </c>
      <c r="Q88" t="str">
        <f t="shared" si="2"/>
        <v>10-14</v>
      </c>
      <c r="R88" t="str">
        <f t="shared" si="3"/>
        <v>[JQKLKuVuY61]|10-14|Female|TX_CURR_SUBNAT.R|CY2023Q4</v>
      </c>
    </row>
    <row r="89" spans="1:18" x14ac:dyDescent="0.2">
      <c r="A89" s="227"/>
      <c r="B89" s="227"/>
      <c r="C89" s="227"/>
      <c r="D89" t="s">
        <v>72</v>
      </c>
      <c r="E89" t="s">
        <v>73</v>
      </c>
      <c r="F89" t="s">
        <v>74</v>
      </c>
      <c r="G89" t="s">
        <v>26</v>
      </c>
      <c r="H89" t="s">
        <v>27</v>
      </c>
      <c r="I89" t="s">
        <v>38</v>
      </c>
      <c r="J89" t="s">
        <v>39</v>
      </c>
      <c r="K89" t="s">
        <v>30</v>
      </c>
      <c r="L89" t="s">
        <v>31</v>
      </c>
      <c r="M89" t="s">
        <v>32</v>
      </c>
      <c r="N89">
        <v>889</v>
      </c>
      <c r="O89">
        <v>6.5810611000000005E-2</v>
      </c>
      <c r="P89">
        <v>1.3297873999999999E-2</v>
      </c>
      <c r="Q89" t="str">
        <f t="shared" si="2"/>
        <v>15-24</v>
      </c>
      <c r="R89" t="str">
        <f t="shared" si="3"/>
        <v>[JQKLKuVuY61]|15-24|Female|TX_CURR_SUBNAT.R|CY2023Q4</v>
      </c>
    </row>
    <row r="90" spans="1:18" x14ac:dyDescent="0.2">
      <c r="A90" s="227"/>
      <c r="B90" s="227"/>
      <c r="C90" s="227"/>
      <c r="D90" t="s">
        <v>72</v>
      </c>
      <c r="E90" t="s">
        <v>73</v>
      </c>
      <c r="F90" t="s">
        <v>74</v>
      </c>
      <c r="G90" t="s">
        <v>26</v>
      </c>
      <c r="H90" t="s">
        <v>27</v>
      </c>
      <c r="I90" t="s">
        <v>41</v>
      </c>
      <c r="J90" t="s">
        <v>42</v>
      </c>
      <c r="K90" t="s">
        <v>30</v>
      </c>
      <c r="L90" t="s">
        <v>31</v>
      </c>
      <c r="M90" t="s">
        <v>32</v>
      </c>
      <c r="N90">
        <v>2323</v>
      </c>
      <c r="O90">
        <v>4.1616245000000003E-2</v>
      </c>
      <c r="P90">
        <v>1.3297873999999999E-2</v>
      </c>
      <c r="Q90" t="str">
        <f t="shared" si="2"/>
        <v>25-34</v>
      </c>
      <c r="R90" t="str">
        <f t="shared" si="3"/>
        <v>[JQKLKuVuY61]|25-34|Female|TX_CURR_SUBNAT.R|CY2023Q4</v>
      </c>
    </row>
    <row r="91" spans="1:18" x14ac:dyDescent="0.2">
      <c r="A91" s="227"/>
      <c r="B91" s="227"/>
      <c r="C91" s="227"/>
      <c r="D91" t="s">
        <v>72</v>
      </c>
      <c r="E91" t="s">
        <v>73</v>
      </c>
      <c r="F91" t="s">
        <v>74</v>
      </c>
      <c r="G91" t="s">
        <v>26</v>
      </c>
      <c r="H91" t="s">
        <v>27</v>
      </c>
      <c r="I91" t="s">
        <v>43</v>
      </c>
      <c r="J91" t="s">
        <v>44</v>
      </c>
      <c r="K91" t="s">
        <v>30</v>
      </c>
      <c r="L91" t="s">
        <v>31</v>
      </c>
      <c r="M91" t="s">
        <v>32</v>
      </c>
      <c r="N91">
        <v>6225</v>
      </c>
      <c r="O91">
        <v>2.4210006999999999E-2</v>
      </c>
      <c r="P91">
        <v>1.3297873999999999E-2</v>
      </c>
      <c r="Q91" t="str">
        <f t="shared" si="2"/>
        <v>35-49</v>
      </c>
      <c r="R91" t="str">
        <f t="shared" si="3"/>
        <v>[JQKLKuVuY61]|35-49|Female|TX_CURR_SUBNAT.R|CY2023Q4</v>
      </c>
    </row>
    <row r="92" spans="1:18" x14ac:dyDescent="0.2">
      <c r="A92" s="227"/>
      <c r="B92" s="227"/>
      <c r="C92" s="227"/>
      <c r="D92" t="s">
        <v>72</v>
      </c>
      <c r="E92" t="s">
        <v>73</v>
      </c>
      <c r="F92" t="s">
        <v>74</v>
      </c>
      <c r="G92" t="s">
        <v>26</v>
      </c>
      <c r="H92" t="s">
        <v>27</v>
      </c>
      <c r="I92" t="s">
        <v>45</v>
      </c>
      <c r="J92" t="s">
        <v>46</v>
      </c>
      <c r="K92" t="s">
        <v>30</v>
      </c>
      <c r="L92" t="s">
        <v>31</v>
      </c>
      <c r="M92" t="s">
        <v>32</v>
      </c>
      <c r="N92">
        <v>2691</v>
      </c>
      <c r="O92">
        <v>4.6170828999999997E-2</v>
      </c>
      <c r="P92">
        <v>1.3297873999999999E-2</v>
      </c>
      <c r="Q92" t="str">
        <f t="shared" si="2"/>
        <v>50+</v>
      </c>
      <c r="R92" t="str">
        <f t="shared" si="3"/>
        <v>[JQKLKuVuY61]|50+|Female|TX_CURR_SUBNAT.R|CY2023Q4</v>
      </c>
    </row>
    <row r="93" spans="1:18" x14ac:dyDescent="0.2">
      <c r="A93" s="227"/>
      <c r="B93" s="227"/>
      <c r="C93" s="227"/>
      <c r="D93" t="s">
        <v>72</v>
      </c>
      <c r="E93" t="s">
        <v>73</v>
      </c>
      <c r="F93" t="s">
        <v>74</v>
      </c>
      <c r="G93" t="s">
        <v>26</v>
      </c>
      <c r="H93" t="s">
        <v>27</v>
      </c>
      <c r="I93" t="s">
        <v>28</v>
      </c>
      <c r="J93" t="s">
        <v>29</v>
      </c>
      <c r="K93" t="s">
        <v>48</v>
      </c>
      <c r="L93" t="s">
        <v>49</v>
      </c>
      <c r="M93" t="s">
        <v>32</v>
      </c>
      <c r="N93">
        <v>9</v>
      </c>
      <c r="O93">
        <v>3.5214502000000002E-2</v>
      </c>
      <c r="P93">
        <v>1.3297873999999999E-2</v>
      </c>
      <c r="Q93" t="str">
        <f t="shared" si="2"/>
        <v>&lt;01</v>
      </c>
      <c r="R93" t="str">
        <f t="shared" si="3"/>
        <v>[JQKLKuVuY61]|&lt;01|Male|TX_CURR_SUBNAT.R|CY2023Q4</v>
      </c>
    </row>
    <row r="94" spans="1:18" x14ac:dyDescent="0.2">
      <c r="A94" s="227"/>
      <c r="B94" s="227"/>
      <c r="C94" s="227"/>
      <c r="D94" t="s">
        <v>72</v>
      </c>
      <c r="E94" t="s">
        <v>73</v>
      </c>
      <c r="F94" t="s">
        <v>74</v>
      </c>
      <c r="G94" t="s">
        <v>26</v>
      </c>
      <c r="H94" t="s">
        <v>27</v>
      </c>
      <c r="I94" t="s">
        <v>33</v>
      </c>
      <c r="J94" t="s">
        <v>34</v>
      </c>
      <c r="K94" t="s">
        <v>48</v>
      </c>
      <c r="L94" t="s">
        <v>49</v>
      </c>
      <c r="M94" t="s">
        <v>32</v>
      </c>
      <c r="N94">
        <v>168</v>
      </c>
      <c r="O94">
        <v>3.3121966000000003E-2</v>
      </c>
      <c r="P94">
        <v>1.3297873999999999E-2</v>
      </c>
      <c r="Q94" t="str">
        <f t="shared" si="2"/>
        <v>01-09</v>
      </c>
      <c r="R94" t="str">
        <f t="shared" si="3"/>
        <v>[JQKLKuVuY61]|01-09|Male|TX_CURR_SUBNAT.R|CY2023Q4</v>
      </c>
    </row>
    <row r="95" spans="1:18" x14ac:dyDescent="0.2">
      <c r="A95" s="227"/>
      <c r="B95" s="227"/>
      <c r="C95" s="227"/>
      <c r="D95" t="s">
        <v>72</v>
      </c>
      <c r="E95" t="s">
        <v>73</v>
      </c>
      <c r="F95" t="s">
        <v>74</v>
      </c>
      <c r="G95" t="s">
        <v>26</v>
      </c>
      <c r="H95" t="s">
        <v>27</v>
      </c>
      <c r="I95" t="s">
        <v>36</v>
      </c>
      <c r="J95" t="s">
        <v>37</v>
      </c>
      <c r="K95" t="s">
        <v>48</v>
      </c>
      <c r="L95" t="s">
        <v>49</v>
      </c>
      <c r="M95" t="s">
        <v>32</v>
      </c>
      <c r="N95">
        <v>222</v>
      </c>
      <c r="O95">
        <v>3.0319722E-2</v>
      </c>
      <c r="P95">
        <v>1.3297873999999999E-2</v>
      </c>
      <c r="Q95" t="str">
        <f t="shared" si="2"/>
        <v>10-14</v>
      </c>
      <c r="R95" t="str">
        <f t="shared" si="3"/>
        <v>[JQKLKuVuY61]|10-14|Male|TX_CURR_SUBNAT.R|CY2023Q4</v>
      </c>
    </row>
    <row r="96" spans="1:18" x14ac:dyDescent="0.2">
      <c r="A96" s="227"/>
      <c r="B96" s="227"/>
      <c r="C96" s="227"/>
      <c r="D96" t="s">
        <v>72</v>
      </c>
      <c r="E96" t="s">
        <v>73</v>
      </c>
      <c r="F96" t="s">
        <v>74</v>
      </c>
      <c r="G96" t="s">
        <v>26</v>
      </c>
      <c r="H96" t="s">
        <v>27</v>
      </c>
      <c r="I96" t="s">
        <v>38</v>
      </c>
      <c r="J96" t="s">
        <v>39</v>
      </c>
      <c r="K96" t="s">
        <v>48</v>
      </c>
      <c r="L96" t="s">
        <v>49</v>
      </c>
      <c r="M96" t="s">
        <v>32</v>
      </c>
      <c r="N96">
        <v>606</v>
      </c>
      <c r="O96">
        <v>7.5584239999999997E-2</v>
      </c>
      <c r="P96">
        <v>1.3297873999999999E-2</v>
      </c>
      <c r="Q96" t="str">
        <f t="shared" si="2"/>
        <v>15-24</v>
      </c>
      <c r="R96" t="str">
        <f t="shared" si="3"/>
        <v>[JQKLKuVuY61]|15-24|Male|TX_CURR_SUBNAT.R|CY2023Q4</v>
      </c>
    </row>
    <row r="97" spans="1:18" x14ac:dyDescent="0.2">
      <c r="A97" s="227"/>
      <c r="B97" s="227"/>
      <c r="C97" s="227"/>
      <c r="D97" t="s">
        <v>72</v>
      </c>
      <c r="E97" t="s">
        <v>73</v>
      </c>
      <c r="F97" t="s">
        <v>74</v>
      </c>
      <c r="G97" t="s">
        <v>26</v>
      </c>
      <c r="H97" t="s">
        <v>27</v>
      </c>
      <c r="I97" t="s">
        <v>41</v>
      </c>
      <c r="J97" t="s">
        <v>42</v>
      </c>
      <c r="K97" t="s">
        <v>48</v>
      </c>
      <c r="L97" t="s">
        <v>49</v>
      </c>
      <c r="M97" t="s">
        <v>32</v>
      </c>
      <c r="N97">
        <v>777</v>
      </c>
      <c r="O97">
        <v>7.0716236000000002E-2</v>
      </c>
      <c r="P97">
        <v>1.3297873999999999E-2</v>
      </c>
      <c r="Q97" t="str">
        <f t="shared" si="2"/>
        <v>25-34</v>
      </c>
      <c r="R97" t="str">
        <f t="shared" si="3"/>
        <v>[JQKLKuVuY61]|25-34|Male|TX_CURR_SUBNAT.R|CY2023Q4</v>
      </c>
    </row>
    <row r="98" spans="1:18" x14ac:dyDescent="0.2">
      <c r="A98" s="227"/>
      <c r="B98" s="227"/>
      <c r="C98" s="227"/>
      <c r="D98" t="s">
        <v>72</v>
      </c>
      <c r="E98" t="s">
        <v>73</v>
      </c>
      <c r="F98" t="s">
        <v>74</v>
      </c>
      <c r="G98" t="s">
        <v>26</v>
      </c>
      <c r="H98" t="s">
        <v>27</v>
      </c>
      <c r="I98" t="s">
        <v>43</v>
      </c>
      <c r="J98" t="s">
        <v>44</v>
      </c>
      <c r="K98" t="s">
        <v>48</v>
      </c>
      <c r="L98" t="s">
        <v>49</v>
      </c>
      <c r="M98" t="s">
        <v>32</v>
      </c>
      <c r="N98">
        <v>3312</v>
      </c>
      <c r="O98">
        <v>3.5009705000000002E-2</v>
      </c>
      <c r="P98">
        <v>1.3297873999999999E-2</v>
      </c>
      <c r="Q98" t="str">
        <f t="shared" si="2"/>
        <v>35-49</v>
      </c>
      <c r="R98" t="str">
        <f t="shared" si="3"/>
        <v>[JQKLKuVuY61]|35-49|Male|TX_CURR_SUBNAT.R|CY2023Q4</v>
      </c>
    </row>
    <row r="99" spans="1:18" x14ac:dyDescent="0.2">
      <c r="A99" s="227"/>
      <c r="B99" s="227"/>
      <c r="C99" s="227"/>
      <c r="D99" t="s">
        <v>72</v>
      </c>
      <c r="E99" t="s">
        <v>73</v>
      </c>
      <c r="F99" t="s">
        <v>74</v>
      </c>
      <c r="G99" t="s">
        <v>26</v>
      </c>
      <c r="H99" t="s">
        <v>27</v>
      </c>
      <c r="I99" t="s">
        <v>45</v>
      </c>
      <c r="J99" t="s">
        <v>46</v>
      </c>
      <c r="K99" t="s">
        <v>48</v>
      </c>
      <c r="L99" t="s">
        <v>49</v>
      </c>
      <c r="M99" t="s">
        <v>32</v>
      </c>
      <c r="N99">
        <v>2471</v>
      </c>
      <c r="O99">
        <v>4.1792890999999999E-2</v>
      </c>
      <c r="P99">
        <v>1.3297873999999999E-2</v>
      </c>
      <c r="Q99" t="str">
        <f t="shared" si="2"/>
        <v>50+</v>
      </c>
      <c r="R99" t="str">
        <f t="shared" si="3"/>
        <v>[JQKLKuVuY61]|50+|Male|TX_CURR_SUBNAT.R|CY2023Q4</v>
      </c>
    </row>
    <row r="100" spans="1:18" x14ac:dyDescent="0.2">
      <c r="A100" s="227"/>
      <c r="B100" s="227"/>
      <c r="C100" s="227"/>
      <c r="D100" t="s">
        <v>75</v>
      </c>
      <c r="E100" t="s">
        <v>76</v>
      </c>
      <c r="F100" t="s">
        <v>77</v>
      </c>
      <c r="G100" t="s">
        <v>26</v>
      </c>
      <c r="H100" t="s">
        <v>27</v>
      </c>
      <c r="I100" t="s">
        <v>28</v>
      </c>
      <c r="J100" t="s">
        <v>29</v>
      </c>
      <c r="K100" t="s">
        <v>30</v>
      </c>
      <c r="L100" t="s">
        <v>31</v>
      </c>
      <c r="M100" t="s">
        <v>32</v>
      </c>
      <c r="N100">
        <v>6</v>
      </c>
      <c r="O100">
        <v>6.0892383000000001E-2</v>
      </c>
      <c r="P100">
        <v>1.8107445E-2</v>
      </c>
      <c r="Q100" t="str">
        <f t="shared" si="2"/>
        <v>&lt;01</v>
      </c>
      <c r="R100" t="str">
        <f t="shared" si="3"/>
        <v>[YCKiBAp8QAg]|&lt;01|Female|TX_CURR_SUBNAT.R|CY2023Q4</v>
      </c>
    </row>
    <row r="101" spans="1:18" x14ac:dyDescent="0.2">
      <c r="A101" s="227"/>
      <c r="B101" s="227"/>
      <c r="C101" s="227"/>
      <c r="D101" t="s">
        <v>75</v>
      </c>
      <c r="E101" t="s">
        <v>76</v>
      </c>
      <c r="F101" t="s">
        <v>77</v>
      </c>
      <c r="G101" t="s">
        <v>26</v>
      </c>
      <c r="H101" t="s">
        <v>27</v>
      </c>
      <c r="I101" t="s">
        <v>33</v>
      </c>
      <c r="J101" t="s">
        <v>34</v>
      </c>
      <c r="K101" t="s">
        <v>30</v>
      </c>
      <c r="L101" t="s">
        <v>31</v>
      </c>
      <c r="M101" t="s">
        <v>32</v>
      </c>
      <c r="N101">
        <v>118</v>
      </c>
      <c r="O101">
        <v>5.5347671000000001E-2</v>
      </c>
      <c r="P101">
        <v>1.8107445E-2</v>
      </c>
      <c r="Q101" t="str">
        <f t="shared" si="2"/>
        <v>01-09</v>
      </c>
      <c r="R101" t="str">
        <f t="shared" si="3"/>
        <v>[YCKiBAp8QAg]|01-09|Female|TX_CURR_SUBNAT.R|CY2023Q4</v>
      </c>
    </row>
    <row r="102" spans="1:18" x14ac:dyDescent="0.2">
      <c r="A102" s="227"/>
      <c r="B102" s="227"/>
      <c r="C102" s="227"/>
      <c r="D102" t="s">
        <v>75</v>
      </c>
      <c r="E102" t="s">
        <v>76</v>
      </c>
      <c r="F102" t="s">
        <v>77</v>
      </c>
      <c r="G102" t="s">
        <v>26</v>
      </c>
      <c r="H102" t="s">
        <v>27</v>
      </c>
      <c r="I102" t="s">
        <v>36</v>
      </c>
      <c r="J102" t="s">
        <v>37</v>
      </c>
      <c r="K102" t="s">
        <v>30</v>
      </c>
      <c r="L102" t="s">
        <v>31</v>
      </c>
      <c r="M102" t="s">
        <v>32</v>
      </c>
      <c r="N102">
        <v>153</v>
      </c>
      <c r="O102">
        <v>4.8479968999999998E-2</v>
      </c>
      <c r="P102">
        <v>1.8107445E-2</v>
      </c>
      <c r="Q102" t="str">
        <f t="shared" si="2"/>
        <v>10-14</v>
      </c>
      <c r="R102" t="str">
        <f t="shared" si="3"/>
        <v>[YCKiBAp8QAg]|10-14|Female|TX_CURR_SUBNAT.R|CY2023Q4</v>
      </c>
    </row>
    <row r="103" spans="1:18" x14ac:dyDescent="0.2">
      <c r="A103" s="227"/>
      <c r="B103" s="227"/>
      <c r="C103" s="227"/>
      <c r="D103" t="s">
        <v>75</v>
      </c>
      <c r="E103" t="s">
        <v>76</v>
      </c>
      <c r="F103" t="s">
        <v>77</v>
      </c>
      <c r="G103" t="s">
        <v>26</v>
      </c>
      <c r="H103" t="s">
        <v>27</v>
      </c>
      <c r="I103" t="s">
        <v>38</v>
      </c>
      <c r="J103" t="s">
        <v>39</v>
      </c>
      <c r="K103" t="s">
        <v>30</v>
      </c>
      <c r="L103" t="s">
        <v>31</v>
      </c>
      <c r="M103" t="s">
        <v>32</v>
      </c>
      <c r="N103">
        <v>691</v>
      </c>
      <c r="O103">
        <v>6.7339668000000005E-2</v>
      </c>
      <c r="P103">
        <v>1.8107445E-2</v>
      </c>
      <c r="Q103" t="str">
        <f t="shared" si="2"/>
        <v>15-24</v>
      </c>
      <c r="R103" t="str">
        <f t="shared" si="3"/>
        <v>[YCKiBAp8QAg]|15-24|Female|TX_CURR_SUBNAT.R|CY2023Q4</v>
      </c>
    </row>
    <row r="104" spans="1:18" x14ac:dyDescent="0.2">
      <c r="A104" s="227"/>
      <c r="B104" s="227"/>
      <c r="C104" s="227"/>
      <c r="D104" t="s">
        <v>75</v>
      </c>
      <c r="E104" t="s">
        <v>76</v>
      </c>
      <c r="F104" t="s">
        <v>77</v>
      </c>
      <c r="G104" t="s">
        <v>26</v>
      </c>
      <c r="H104" t="s">
        <v>27</v>
      </c>
      <c r="I104" t="s">
        <v>41</v>
      </c>
      <c r="J104" t="s">
        <v>42</v>
      </c>
      <c r="K104" t="s">
        <v>30</v>
      </c>
      <c r="L104" t="s">
        <v>31</v>
      </c>
      <c r="M104" t="s">
        <v>32</v>
      </c>
      <c r="N104">
        <v>1785</v>
      </c>
      <c r="O104">
        <v>4.1770189999999999E-2</v>
      </c>
      <c r="P104">
        <v>1.8107445E-2</v>
      </c>
      <c r="Q104" t="str">
        <f t="shared" si="2"/>
        <v>25-34</v>
      </c>
      <c r="R104" t="str">
        <f t="shared" si="3"/>
        <v>[YCKiBAp8QAg]|25-34|Female|TX_CURR_SUBNAT.R|CY2023Q4</v>
      </c>
    </row>
    <row r="105" spans="1:18" x14ac:dyDescent="0.2">
      <c r="A105" s="227"/>
      <c r="B105" s="227"/>
      <c r="C105" s="227"/>
      <c r="D105" t="s">
        <v>75</v>
      </c>
      <c r="E105" t="s">
        <v>76</v>
      </c>
      <c r="F105" t="s">
        <v>77</v>
      </c>
      <c r="G105" t="s">
        <v>26</v>
      </c>
      <c r="H105" t="s">
        <v>27</v>
      </c>
      <c r="I105" t="s">
        <v>43</v>
      </c>
      <c r="J105" t="s">
        <v>44</v>
      </c>
      <c r="K105" t="s">
        <v>30</v>
      </c>
      <c r="L105" t="s">
        <v>31</v>
      </c>
      <c r="M105" t="s">
        <v>32</v>
      </c>
      <c r="N105">
        <v>4492</v>
      </c>
      <c r="O105">
        <v>2.6445171E-2</v>
      </c>
      <c r="P105">
        <v>1.8107445E-2</v>
      </c>
      <c r="Q105" t="str">
        <f t="shared" si="2"/>
        <v>35-49</v>
      </c>
      <c r="R105" t="str">
        <f t="shared" si="3"/>
        <v>[YCKiBAp8QAg]|35-49|Female|TX_CURR_SUBNAT.R|CY2023Q4</v>
      </c>
    </row>
    <row r="106" spans="1:18" x14ac:dyDescent="0.2">
      <c r="A106" s="227"/>
      <c r="B106" s="227"/>
      <c r="C106" s="227"/>
      <c r="D106" t="s">
        <v>75</v>
      </c>
      <c r="E106" t="s">
        <v>76</v>
      </c>
      <c r="F106" t="s">
        <v>77</v>
      </c>
      <c r="G106" t="s">
        <v>26</v>
      </c>
      <c r="H106" t="s">
        <v>27</v>
      </c>
      <c r="I106" t="s">
        <v>45</v>
      </c>
      <c r="J106" t="s">
        <v>46</v>
      </c>
      <c r="K106" t="s">
        <v>30</v>
      </c>
      <c r="L106" t="s">
        <v>31</v>
      </c>
      <c r="M106" t="s">
        <v>32</v>
      </c>
      <c r="N106">
        <v>1889</v>
      </c>
      <c r="O106">
        <v>4.9023784000000001E-2</v>
      </c>
      <c r="P106">
        <v>1.8107445E-2</v>
      </c>
      <c r="Q106" t="str">
        <f t="shared" si="2"/>
        <v>50+</v>
      </c>
      <c r="R106" t="str">
        <f t="shared" si="3"/>
        <v>[YCKiBAp8QAg]|50+|Female|TX_CURR_SUBNAT.R|CY2023Q4</v>
      </c>
    </row>
    <row r="107" spans="1:18" x14ac:dyDescent="0.2">
      <c r="A107" s="227"/>
      <c r="B107" s="227"/>
      <c r="C107" s="227"/>
      <c r="D107" t="s">
        <v>75</v>
      </c>
      <c r="E107" t="s">
        <v>76</v>
      </c>
      <c r="F107" t="s">
        <v>77</v>
      </c>
      <c r="G107" t="s">
        <v>26</v>
      </c>
      <c r="H107" t="s">
        <v>27</v>
      </c>
      <c r="I107" t="s">
        <v>28</v>
      </c>
      <c r="J107" t="s">
        <v>29</v>
      </c>
      <c r="K107" t="s">
        <v>48</v>
      </c>
      <c r="L107" t="s">
        <v>49</v>
      </c>
      <c r="M107" t="s">
        <v>32</v>
      </c>
      <c r="N107">
        <v>6</v>
      </c>
      <c r="O107">
        <v>4.2820983999999999E-2</v>
      </c>
      <c r="P107">
        <v>1.8107445E-2</v>
      </c>
      <c r="Q107" t="str">
        <f t="shared" si="2"/>
        <v>&lt;01</v>
      </c>
      <c r="R107" t="str">
        <f t="shared" si="3"/>
        <v>[YCKiBAp8QAg]|&lt;01|Male|TX_CURR_SUBNAT.R|CY2023Q4</v>
      </c>
    </row>
    <row r="108" spans="1:18" x14ac:dyDescent="0.2">
      <c r="A108" s="227"/>
      <c r="B108" s="227"/>
      <c r="C108" s="227"/>
      <c r="D108" t="s">
        <v>75</v>
      </c>
      <c r="E108" t="s">
        <v>76</v>
      </c>
      <c r="F108" t="s">
        <v>77</v>
      </c>
      <c r="G108" t="s">
        <v>26</v>
      </c>
      <c r="H108" t="s">
        <v>27</v>
      </c>
      <c r="I108" t="s">
        <v>33</v>
      </c>
      <c r="J108" t="s">
        <v>34</v>
      </c>
      <c r="K108" t="s">
        <v>48</v>
      </c>
      <c r="L108" t="s">
        <v>49</v>
      </c>
      <c r="M108" t="s">
        <v>32</v>
      </c>
      <c r="N108">
        <v>122</v>
      </c>
      <c r="O108">
        <v>4.0315125E-2</v>
      </c>
      <c r="P108">
        <v>1.8107445E-2</v>
      </c>
      <c r="Q108" t="str">
        <f t="shared" si="2"/>
        <v>01-09</v>
      </c>
      <c r="R108" t="str">
        <f t="shared" si="3"/>
        <v>[YCKiBAp8QAg]|01-09|Male|TX_CURR_SUBNAT.R|CY2023Q4</v>
      </c>
    </row>
    <row r="109" spans="1:18" x14ac:dyDescent="0.2">
      <c r="A109" s="227"/>
      <c r="B109" s="227"/>
      <c r="C109" s="227"/>
      <c r="D109" t="s">
        <v>75</v>
      </c>
      <c r="E109" t="s">
        <v>76</v>
      </c>
      <c r="F109" t="s">
        <v>77</v>
      </c>
      <c r="G109" t="s">
        <v>26</v>
      </c>
      <c r="H109" t="s">
        <v>27</v>
      </c>
      <c r="I109" t="s">
        <v>36</v>
      </c>
      <c r="J109" t="s">
        <v>37</v>
      </c>
      <c r="K109" t="s">
        <v>48</v>
      </c>
      <c r="L109" t="s">
        <v>49</v>
      </c>
      <c r="M109" t="s">
        <v>32</v>
      </c>
      <c r="N109">
        <v>156</v>
      </c>
      <c r="O109">
        <v>3.7279573000000003E-2</v>
      </c>
      <c r="P109">
        <v>1.8107445E-2</v>
      </c>
      <c r="Q109" t="str">
        <f t="shared" si="2"/>
        <v>10-14</v>
      </c>
      <c r="R109" t="str">
        <f t="shared" si="3"/>
        <v>[YCKiBAp8QAg]|10-14|Male|TX_CURR_SUBNAT.R|CY2023Q4</v>
      </c>
    </row>
    <row r="110" spans="1:18" x14ac:dyDescent="0.2">
      <c r="A110" s="227"/>
      <c r="B110" s="227"/>
      <c r="C110" s="227"/>
      <c r="D110" t="s">
        <v>75</v>
      </c>
      <c r="E110" t="s">
        <v>76</v>
      </c>
      <c r="F110" t="s">
        <v>77</v>
      </c>
      <c r="G110" t="s">
        <v>26</v>
      </c>
      <c r="H110" t="s">
        <v>27</v>
      </c>
      <c r="I110" t="s">
        <v>38</v>
      </c>
      <c r="J110" t="s">
        <v>39</v>
      </c>
      <c r="K110" t="s">
        <v>48</v>
      </c>
      <c r="L110" t="s">
        <v>49</v>
      </c>
      <c r="M110" t="s">
        <v>32</v>
      </c>
      <c r="N110">
        <v>477</v>
      </c>
      <c r="O110">
        <v>8.0093992000000003E-2</v>
      </c>
      <c r="P110">
        <v>1.8107445E-2</v>
      </c>
      <c r="Q110" t="str">
        <f t="shared" si="2"/>
        <v>15-24</v>
      </c>
      <c r="R110" t="str">
        <f t="shared" si="3"/>
        <v>[YCKiBAp8QAg]|15-24|Male|TX_CURR_SUBNAT.R|CY2023Q4</v>
      </c>
    </row>
    <row r="111" spans="1:18" x14ac:dyDescent="0.2">
      <c r="A111" s="227"/>
      <c r="B111" s="227"/>
      <c r="C111" s="227"/>
      <c r="D111" t="s">
        <v>75</v>
      </c>
      <c r="E111" t="s">
        <v>76</v>
      </c>
      <c r="F111" t="s">
        <v>77</v>
      </c>
      <c r="G111" t="s">
        <v>26</v>
      </c>
      <c r="H111" t="s">
        <v>27</v>
      </c>
      <c r="I111" t="s">
        <v>41</v>
      </c>
      <c r="J111" t="s">
        <v>42</v>
      </c>
      <c r="K111" t="s">
        <v>48</v>
      </c>
      <c r="L111" t="s">
        <v>49</v>
      </c>
      <c r="M111" t="s">
        <v>32</v>
      </c>
      <c r="N111">
        <v>597</v>
      </c>
      <c r="O111">
        <v>7.1558651000000001E-2</v>
      </c>
      <c r="P111">
        <v>1.8107445E-2</v>
      </c>
      <c r="Q111" t="str">
        <f t="shared" si="2"/>
        <v>25-34</v>
      </c>
      <c r="R111" t="str">
        <f t="shared" si="3"/>
        <v>[YCKiBAp8QAg]|25-34|Male|TX_CURR_SUBNAT.R|CY2023Q4</v>
      </c>
    </row>
    <row r="112" spans="1:18" x14ac:dyDescent="0.2">
      <c r="A112" s="227"/>
      <c r="B112" s="227"/>
      <c r="C112" s="227"/>
      <c r="D112" t="s">
        <v>75</v>
      </c>
      <c r="E112" t="s">
        <v>76</v>
      </c>
      <c r="F112" t="s">
        <v>77</v>
      </c>
      <c r="G112" t="s">
        <v>26</v>
      </c>
      <c r="H112" t="s">
        <v>27</v>
      </c>
      <c r="I112" t="s">
        <v>43</v>
      </c>
      <c r="J112" t="s">
        <v>44</v>
      </c>
      <c r="K112" t="s">
        <v>48</v>
      </c>
      <c r="L112" t="s">
        <v>49</v>
      </c>
      <c r="M112" t="s">
        <v>32</v>
      </c>
      <c r="N112">
        <v>2445</v>
      </c>
      <c r="O112">
        <v>3.4963823999999998E-2</v>
      </c>
      <c r="P112">
        <v>1.8107445E-2</v>
      </c>
      <c r="Q112" t="str">
        <f t="shared" si="2"/>
        <v>35-49</v>
      </c>
      <c r="R112" t="str">
        <f t="shared" si="3"/>
        <v>[YCKiBAp8QAg]|35-49|Male|TX_CURR_SUBNAT.R|CY2023Q4</v>
      </c>
    </row>
    <row r="113" spans="1:18" x14ac:dyDescent="0.2">
      <c r="A113" s="227"/>
      <c r="B113" s="227"/>
      <c r="C113" s="227"/>
      <c r="D113" t="s">
        <v>75</v>
      </c>
      <c r="E113" t="s">
        <v>76</v>
      </c>
      <c r="F113" t="s">
        <v>77</v>
      </c>
      <c r="G113" t="s">
        <v>26</v>
      </c>
      <c r="H113" t="s">
        <v>27</v>
      </c>
      <c r="I113" t="s">
        <v>45</v>
      </c>
      <c r="J113" t="s">
        <v>46</v>
      </c>
      <c r="K113" t="s">
        <v>48</v>
      </c>
      <c r="L113" t="s">
        <v>49</v>
      </c>
      <c r="M113" t="s">
        <v>32</v>
      </c>
      <c r="N113">
        <v>1810</v>
      </c>
      <c r="O113">
        <v>4.4104986999999998E-2</v>
      </c>
      <c r="P113">
        <v>1.8107445E-2</v>
      </c>
      <c r="Q113" t="str">
        <f t="shared" si="2"/>
        <v>50+</v>
      </c>
      <c r="R113" t="str">
        <f t="shared" si="3"/>
        <v>[YCKiBAp8QAg]|50+|Male|TX_CURR_SUBNAT.R|CY2023Q4</v>
      </c>
    </row>
    <row r="114" spans="1:18" x14ac:dyDescent="0.2">
      <c r="A114" s="227"/>
      <c r="B114" s="227"/>
      <c r="C114" s="227"/>
      <c r="D114" t="s">
        <v>78</v>
      </c>
      <c r="E114" t="s">
        <v>79</v>
      </c>
      <c r="F114" t="s">
        <v>80</v>
      </c>
      <c r="G114" t="s">
        <v>26</v>
      </c>
      <c r="H114" t="s">
        <v>27</v>
      </c>
      <c r="I114" t="s">
        <v>28</v>
      </c>
      <c r="J114" t="s">
        <v>29</v>
      </c>
      <c r="K114" t="s">
        <v>30</v>
      </c>
      <c r="L114" t="s">
        <v>31</v>
      </c>
      <c r="M114" t="s">
        <v>32</v>
      </c>
      <c r="N114">
        <v>2</v>
      </c>
      <c r="O114">
        <v>8.0402769999999998E-2</v>
      </c>
      <c r="P114">
        <v>2.2187011999999999E-2</v>
      </c>
      <c r="Q114" t="str">
        <f t="shared" si="2"/>
        <v>&lt;01</v>
      </c>
      <c r="R114" t="str">
        <f t="shared" si="3"/>
        <v>[fiRkU6gEjLz]|&lt;01|Female|TX_CURR_SUBNAT.R|CY2023Q4</v>
      </c>
    </row>
    <row r="115" spans="1:18" x14ac:dyDescent="0.2">
      <c r="A115" s="227"/>
      <c r="B115" s="227"/>
      <c r="C115" s="227"/>
      <c r="D115" t="s">
        <v>78</v>
      </c>
      <c r="E115" t="s">
        <v>79</v>
      </c>
      <c r="F115" t="s">
        <v>80</v>
      </c>
      <c r="G115" t="s">
        <v>26</v>
      </c>
      <c r="H115" t="s">
        <v>27</v>
      </c>
      <c r="I115" t="s">
        <v>33</v>
      </c>
      <c r="J115" t="s">
        <v>34</v>
      </c>
      <c r="K115" t="s">
        <v>30</v>
      </c>
      <c r="L115" t="s">
        <v>31</v>
      </c>
      <c r="M115" t="s">
        <v>32</v>
      </c>
      <c r="N115">
        <v>39</v>
      </c>
      <c r="O115">
        <v>7.5863655000000002E-2</v>
      </c>
      <c r="P115">
        <v>2.2187011999999999E-2</v>
      </c>
      <c r="Q115" t="str">
        <f t="shared" si="2"/>
        <v>01-09</v>
      </c>
      <c r="R115" t="str">
        <f t="shared" si="3"/>
        <v>[fiRkU6gEjLz]|01-09|Female|TX_CURR_SUBNAT.R|CY2023Q4</v>
      </c>
    </row>
    <row r="116" spans="1:18" x14ac:dyDescent="0.2">
      <c r="A116" s="227"/>
      <c r="B116" s="227"/>
      <c r="C116" s="227"/>
      <c r="D116" t="s">
        <v>78</v>
      </c>
      <c r="E116" t="s">
        <v>79</v>
      </c>
      <c r="F116" t="s">
        <v>80</v>
      </c>
      <c r="G116" t="s">
        <v>26</v>
      </c>
      <c r="H116" t="s">
        <v>27</v>
      </c>
      <c r="I116" t="s">
        <v>36</v>
      </c>
      <c r="J116" t="s">
        <v>37</v>
      </c>
      <c r="K116" t="s">
        <v>30</v>
      </c>
      <c r="L116" t="s">
        <v>31</v>
      </c>
      <c r="M116" t="s">
        <v>32</v>
      </c>
      <c r="N116">
        <v>51</v>
      </c>
      <c r="O116">
        <v>6.9371230000000006E-2</v>
      </c>
      <c r="P116">
        <v>2.2187011999999999E-2</v>
      </c>
      <c r="Q116" t="str">
        <f t="shared" si="2"/>
        <v>10-14</v>
      </c>
      <c r="R116" t="str">
        <f t="shared" si="3"/>
        <v>[fiRkU6gEjLz]|10-14|Female|TX_CURR_SUBNAT.R|CY2023Q4</v>
      </c>
    </row>
    <row r="117" spans="1:18" x14ac:dyDescent="0.2">
      <c r="A117" s="227"/>
      <c r="B117" s="227"/>
      <c r="C117" s="227"/>
      <c r="D117" t="s">
        <v>78</v>
      </c>
      <c r="E117" t="s">
        <v>79</v>
      </c>
      <c r="F117" t="s">
        <v>80</v>
      </c>
      <c r="G117" t="s">
        <v>26</v>
      </c>
      <c r="H117" t="s">
        <v>27</v>
      </c>
      <c r="I117" t="s">
        <v>38</v>
      </c>
      <c r="J117" t="s">
        <v>39</v>
      </c>
      <c r="K117" t="s">
        <v>30</v>
      </c>
      <c r="L117" t="s">
        <v>31</v>
      </c>
      <c r="M117" t="s">
        <v>32</v>
      </c>
      <c r="N117">
        <v>220</v>
      </c>
      <c r="O117">
        <v>6.9053737000000004E-2</v>
      </c>
      <c r="P117">
        <v>2.2187011999999999E-2</v>
      </c>
      <c r="Q117" t="str">
        <f t="shared" si="2"/>
        <v>15-24</v>
      </c>
      <c r="R117" t="str">
        <f t="shared" si="3"/>
        <v>[fiRkU6gEjLz]|15-24|Female|TX_CURR_SUBNAT.R|CY2023Q4</v>
      </c>
    </row>
    <row r="118" spans="1:18" x14ac:dyDescent="0.2">
      <c r="A118" s="227"/>
      <c r="B118" s="227"/>
      <c r="C118" s="227"/>
      <c r="D118" t="s">
        <v>78</v>
      </c>
      <c r="E118" t="s">
        <v>79</v>
      </c>
      <c r="F118" t="s">
        <v>80</v>
      </c>
      <c r="G118" t="s">
        <v>26</v>
      </c>
      <c r="H118" t="s">
        <v>27</v>
      </c>
      <c r="I118" t="s">
        <v>41</v>
      </c>
      <c r="J118" t="s">
        <v>42</v>
      </c>
      <c r="K118" t="s">
        <v>30</v>
      </c>
      <c r="L118" t="s">
        <v>31</v>
      </c>
      <c r="M118" t="s">
        <v>32</v>
      </c>
      <c r="N118">
        <v>585</v>
      </c>
      <c r="O118">
        <v>4.6761984999999999E-2</v>
      </c>
      <c r="P118">
        <v>2.2187011999999999E-2</v>
      </c>
      <c r="Q118" t="str">
        <f t="shared" si="2"/>
        <v>25-34</v>
      </c>
      <c r="R118" t="str">
        <f t="shared" si="3"/>
        <v>[fiRkU6gEjLz]|25-34|Female|TX_CURR_SUBNAT.R|CY2023Q4</v>
      </c>
    </row>
    <row r="119" spans="1:18" x14ac:dyDescent="0.2">
      <c r="A119" s="227"/>
      <c r="B119" s="227"/>
      <c r="C119" s="227"/>
      <c r="D119" t="s">
        <v>78</v>
      </c>
      <c r="E119" t="s">
        <v>79</v>
      </c>
      <c r="F119" t="s">
        <v>80</v>
      </c>
      <c r="G119" t="s">
        <v>26</v>
      </c>
      <c r="H119" t="s">
        <v>27</v>
      </c>
      <c r="I119" t="s">
        <v>43</v>
      </c>
      <c r="J119" t="s">
        <v>44</v>
      </c>
      <c r="K119" t="s">
        <v>30</v>
      </c>
      <c r="L119" t="s">
        <v>31</v>
      </c>
      <c r="M119" t="s">
        <v>32</v>
      </c>
      <c r="N119">
        <v>1571</v>
      </c>
      <c r="O119">
        <v>3.1707108999999997E-2</v>
      </c>
      <c r="P119">
        <v>2.2187011999999999E-2</v>
      </c>
      <c r="Q119" t="str">
        <f t="shared" si="2"/>
        <v>35-49</v>
      </c>
      <c r="R119" t="str">
        <f t="shared" si="3"/>
        <v>[fiRkU6gEjLz]|35-49|Female|TX_CURR_SUBNAT.R|CY2023Q4</v>
      </c>
    </row>
    <row r="120" spans="1:18" x14ac:dyDescent="0.2">
      <c r="A120" s="227"/>
      <c r="B120" s="227"/>
      <c r="C120" s="227"/>
      <c r="D120" t="s">
        <v>78</v>
      </c>
      <c r="E120" t="s">
        <v>79</v>
      </c>
      <c r="F120" t="s">
        <v>80</v>
      </c>
      <c r="G120" t="s">
        <v>26</v>
      </c>
      <c r="H120" t="s">
        <v>27</v>
      </c>
      <c r="I120" t="s">
        <v>45</v>
      </c>
      <c r="J120" t="s">
        <v>46</v>
      </c>
      <c r="K120" t="s">
        <v>30</v>
      </c>
      <c r="L120" t="s">
        <v>31</v>
      </c>
      <c r="M120" t="s">
        <v>32</v>
      </c>
      <c r="N120">
        <v>704</v>
      </c>
      <c r="O120">
        <v>4.8925097000000001E-2</v>
      </c>
      <c r="P120">
        <v>2.2187011999999999E-2</v>
      </c>
      <c r="Q120" t="str">
        <f t="shared" si="2"/>
        <v>50+</v>
      </c>
      <c r="R120" t="str">
        <f t="shared" si="3"/>
        <v>[fiRkU6gEjLz]|50+|Female|TX_CURR_SUBNAT.R|CY2023Q4</v>
      </c>
    </row>
    <row r="121" spans="1:18" x14ac:dyDescent="0.2">
      <c r="A121" s="227"/>
      <c r="B121" s="227"/>
      <c r="C121" s="227"/>
      <c r="D121" t="s">
        <v>78</v>
      </c>
      <c r="E121" t="s">
        <v>79</v>
      </c>
      <c r="F121" t="s">
        <v>80</v>
      </c>
      <c r="G121" t="s">
        <v>26</v>
      </c>
      <c r="H121" t="s">
        <v>27</v>
      </c>
      <c r="I121" t="s">
        <v>28</v>
      </c>
      <c r="J121" t="s">
        <v>29</v>
      </c>
      <c r="K121" t="s">
        <v>48</v>
      </c>
      <c r="L121" t="s">
        <v>49</v>
      </c>
      <c r="M121" t="s">
        <v>32</v>
      </c>
      <c r="N121">
        <v>2</v>
      </c>
      <c r="O121">
        <v>5.8219264999999999E-2</v>
      </c>
      <c r="P121">
        <v>2.2187011999999999E-2</v>
      </c>
      <c r="Q121" t="str">
        <f t="shared" si="2"/>
        <v>&lt;01</v>
      </c>
      <c r="R121" t="str">
        <f t="shared" si="3"/>
        <v>[fiRkU6gEjLz]|&lt;01|Male|TX_CURR_SUBNAT.R|CY2023Q4</v>
      </c>
    </row>
    <row r="122" spans="1:18" x14ac:dyDescent="0.2">
      <c r="A122" s="227"/>
      <c r="B122" s="227"/>
      <c r="C122" s="227"/>
      <c r="D122" t="s">
        <v>78</v>
      </c>
      <c r="E122" t="s">
        <v>79</v>
      </c>
      <c r="F122" t="s">
        <v>80</v>
      </c>
      <c r="G122" t="s">
        <v>26</v>
      </c>
      <c r="H122" t="s">
        <v>27</v>
      </c>
      <c r="I122" t="s">
        <v>33</v>
      </c>
      <c r="J122" t="s">
        <v>34</v>
      </c>
      <c r="K122" t="s">
        <v>48</v>
      </c>
      <c r="L122" t="s">
        <v>49</v>
      </c>
      <c r="M122" t="s">
        <v>32</v>
      </c>
      <c r="N122">
        <v>40</v>
      </c>
      <c r="O122">
        <v>5.6743704999999998E-2</v>
      </c>
      <c r="P122">
        <v>2.2187011999999999E-2</v>
      </c>
      <c r="Q122" t="str">
        <f t="shared" si="2"/>
        <v>01-09</v>
      </c>
      <c r="R122" t="str">
        <f t="shared" si="3"/>
        <v>[fiRkU6gEjLz]|01-09|Male|TX_CURR_SUBNAT.R|CY2023Q4</v>
      </c>
    </row>
    <row r="123" spans="1:18" x14ac:dyDescent="0.2">
      <c r="A123" s="227"/>
      <c r="B123" s="227"/>
      <c r="C123" s="227"/>
      <c r="D123" t="s">
        <v>78</v>
      </c>
      <c r="E123" t="s">
        <v>79</v>
      </c>
      <c r="F123" t="s">
        <v>80</v>
      </c>
      <c r="G123" t="s">
        <v>26</v>
      </c>
      <c r="H123" t="s">
        <v>27</v>
      </c>
      <c r="I123" t="s">
        <v>36</v>
      </c>
      <c r="J123" t="s">
        <v>37</v>
      </c>
      <c r="K123" t="s">
        <v>48</v>
      </c>
      <c r="L123" t="s">
        <v>49</v>
      </c>
      <c r="M123" t="s">
        <v>32</v>
      </c>
      <c r="N123">
        <v>52</v>
      </c>
      <c r="O123">
        <v>5.3977395999999997E-2</v>
      </c>
      <c r="P123">
        <v>2.2187011999999999E-2</v>
      </c>
      <c r="Q123" t="str">
        <f t="shared" si="2"/>
        <v>10-14</v>
      </c>
      <c r="R123" t="str">
        <f t="shared" si="3"/>
        <v>[fiRkU6gEjLz]|10-14|Male|TX_CURR_SUBNAT.R|CY2023Q4</v>
      </c>
    </row>
    <row r="124" spans="1:18" x14ac:dyDescent="0.2">
      <c r="A124" s="227"/>
      <c r="B124" s="227"/>
      <c r="C124" s="227"/>
      <c r="D124" t="s">
        <v>78</v>
      </c>
      <c r="E124" t="s">
        <v>79</v>
      </c>
      <c r="F124" t="s">
        <v>80</v>
      </c>
      <c r="G124" t="s">
        <v>26</v>
      </c>
      <c r="H124" t="s">
        <v>27</v>
      </c>
      <c r="I124" t="s">
        <v>38</v>
      </c>
      <c r="J124" t="s">
        <v>39</v>
      </c>
      <c r="K124" t="s">
        <v>48</v>
      </c>
      <c r="L124" t="s">
        <v>49</v>
      </c>
      <c r="M124" t="s">
        <v>32</v>
      </c>
      <c r="N124">
        <v>155</v>
      </c>
      <c r="O124">
        <v>8.0818475000000001E-2</v>
      </c>
      <c r="P124">
        <v>2.2187011999999999E-2</v>
      </c>
      <c r="Q124" t="str">
        <f t="shared" si="2"/>
        <v>15-24</v>
      </c>
      <c r="R124" t="str">
        <f t="shared" si="3"/>
        <v>[fiRkU6gEjLz]|15-24|Male|TX_CURR_SUBNAT.R|CY2023Q4</v>
      </c>
    </row>
    <row r="125" spans="1:18" x14ac:dyDescent="0.2">
      <c r="A125" s="227"/>
      <c r="B125" s="227"/>
      <c r="C125" s="227"/>
      <c r="D125" t="s">
        <v>78</v>
      </c>
      <c r="E125" t="s">
        <v>79</v>
      </c>
      <c r="F125" t="s">
        <v>80</v>
      </c>
      <c r="G125" t="s">
        <v>26</v>
      </c>
      <c r="H125" t="s">
        <v>27</v>
      </c>
      <c r="I125" t="s">
        <v>41</v>
      </c>
      <c r="J125" t="s">
        <v>42</v>
      </c>
      <c r="K125" t="s">
        <v>48</v>
      </c>
      <c r="L125" t="s">
        <v>49</v>
      </c>
      <c r="M125" t="s">
        <v>32</v>
      </c>
      <c r="N125">
        <v>207</v>
      </c>
      <c r="O125">
        <v>7.5439108000000005E-2</v>
      </c>
      <c r="P125">
        <v>2.2187011999999999E-2</v>
      </c>
      <c r="Q125" t="str">
        <f t="shared" si="2"/>
        <v>25-34</v>
      </c>
      <c r="R125" t="str">
        <f t="shared" si="3"/>
        <v>[fiRkU6gEjLz]|25-34|Male|TX_CURR_SUBNAT.R|CY2023Q4</v>
      </c>
    </row>
    <row r="126" spans="1:18" x14ac:dyDescent="0.2">
      <c r="A126" s="227"/>
      <c r="B126" s="227"/>
      <c r="C126" s="227"/>
      <c r="D126" t="s">
        <v>78</v>
      </c>
      <c r="E126" t="s">
        <v>79</v>
      </c>
      <c r="F126" t="s">
        <v>80</v>
      </c>
      <c r="G126" t="s">
        <v>26</v>
      </c>
      <c r="H126" t="s">
        <v>27</v>
      </c>
      <c r="I126" t="s">
        <v>43</v>
      </c>
      <c r="J126" t="s">
        <v>44</v>
      </c>
      <c r="K126" t="s">
        <v>48</v>
      </c>
      <c r="L126" t="s">
        <v>49</v>
      </c>
      <c r="M126" t="s">
        <v>32</v>
      </c>
      <c r="N126">
        <v>867</v>
      </c>
      <c r="O126">
        <v>3.9523351999999998E-2</v>
      </c>
      <c r="P126">
        <v>2.2187011999999999E-2</v>
      </c>
      <c r="Q126" t="str">
        <f t="shared" si="2"/>
        <v>35-49</v>
      </c>
      <c r="R126" t="str">
        <f t="shared" si="3"/>
        <v>[fiRkU6gEjLz]|35-49|Male|TX_CURR_SUBNAT.R|CY2023Q4</v>
      </c>
    </row>
    <row r="127" spans="1:18" x14ac:dyDescent="0.2">
      <c r="A127" s="227"/>
      <c r="B127" s="227"/>
      <c r="C127" s="227"/>
      <c r="D127" t="s">
        <v>78</v>
      </c>
      <c r="E127" t="s">
        <v>79</v>
      </c>
      <c r="F127" t="s">
        <v>80</v>
      </c>
      <c r="G127" t="s">
        <v>26</v>
      </c>
      <c r="H127" t="s">
        <v>27</v>
      </c>
      <c r="I127" t="s">
        <v>45</v>
      </c>
      <c r="J127" t="s">
        <v>46</v>
      </c>
      <c r="K127" t="s">
        <v>48</v>
      </c>
      <c r="L127" t="s">
        <v>49</v>
      </c>
      <c r="M127" t="s">
        <v>32</v>
      </c>
      <c r="N127">
        <v>635</v>
      </c>
      <c r="O127">
        <v>4.7741524E-2</v>
      </c>
      <c r="P127">
        <v>2.2187011999999999E-2</v>
      </c>
      <c r="Q127" t="str">
        <f t="shared" si="2"/>
        <v>50+</v>
      </c>
      <c r="R127" t="str">
        <f t="shared" si="3"/>
        <v>[fiRkU6gEjLz]|50+|Male|TX_CURR_SUBNAT.R|CY2023Q4</v>
      </c>
    </row>
    <row r="128" spans="1:18" x14ac:dyDescent="0.2">
      <c r="A128" s="227"/>
      <c r="B128" s="227"/>
      <c r="C128" s="227"/>
      <c r="D128" t="s">
        <v>81</v>
      </c>
      <c r="E128" t="s">
        <v>82</v>
      </c>
      <c r="F128" t="s">
        <v>83</v>
      </c>
      <c r="G128" t="s">
        <v>26</v>
      </c>
      <c r="H128" t="s">
        <v>27</v>
      </c>
      <c r="I128" t="s">
        <v>28</v>
      </c>
      <c r="J128" t="s">
        <v>29</v>
      </c>
      <c r="K128" t="s">
        <v>30</v>
      </c>
      <c r="L128" t="s">
        <v>31</v>
      </c>
      <c r="M128" t="s">
        <v>32</v>
      </c>
      <c r="N128">
        <v>5</v>
      </c>
      <c r="O128">
        <v>6.7159329000000004E-2</v>
      </c>
      <c r="P128">
        <v>1.5139926E-2</v>
      </c>
      <c r="Q128" t="str">
        <f t="shared" si="2"/>
        <v>&lt;01</v>
      </c>
      <c r="R128" t="str">
        <f t="shared" si="3"/>
        <v>[zphK9WV8JB4]|&lt;01|Female|TX_CURR_SUBNAT.R|CY2023Q4</v>
      </c>
    </row>
    <row r="129" spans="1:18" x14ac:dyDescent="0.2">
      <c r="A129" s="227"/>
      <c r="B129" s="227"/>
      <c r="C129" s="227"/>
      <c r="D129" t="s">
        <v>81</v>
      </c>
      <c r="E129" t="s">
        <v>82</v>
      </c>
      <c r="F129" t="s">
        <v>83</v>
      </c>
      <c r="G129" t="s">
        <v>26</v>
      </c>
      <c r="H129" t="s">
        <v>27</v>
      </c>
      <c r="I129" t="s">
        <v>33</v>
      </c>
      <c r="J129" t="s">
        <v>34</v>
      </c>
      <c r="K129" t="s">
        <v>30</v>
      </c>
      <c r="L129" t="s">
        <v>31</v>
      </c>
      <c r="M129" t="s">
        <v>32</v>
      </c>
      <c r="N129">
        <v>86</v>
      </c>
      <c r="O129">
        <v>6.1102245999999999E-2</v>
      </c>
      <c r="P129">
        <v>1.5139926E-2</v>
      </c>
      <c r="Q129" t="str">
        <f t="shared" si="2"/>
        <v>01-09</v>
      </c>
      <c r="R129" t="str">
        <f t="shared" si="3"/>
        <v>[zphK9WV8JB4]|01-09|Female|TX_CURR_SUBNAT.R|CY2023Q4</v>
      </c>
    </row>
    <row r="130" spans="1:18" x14ac:dyDescent="0.2">
      <c r="A130" s="227"/>
      <c r="B130" s="227"/>
      <c r="C130" s="227"/>
      <c r="D130" t="s">
        <v>81</v>
      </c>
      <c r="E130" t="s">
        <v>82</v>
      </c>
      <c r="F130" t="s">
        <v>83</v>
      </c>
      <c r="G130" t="s">
        <v>26</v>
      </c>
      <c r="H130" t="s">
        <v>27</v>
      </c>
      <c r="I130" t="s">
        <v>36</v>
      </c>
      <c r="J130" t="s">
        <v>37</v>
      </c>
      <c r="K130" t="s">
        <v>30</v>
      </c>
      <c r="L130" t="s">
        <v>31</v>
      </c>
      <c r="M130" t="s">
        <v>32</v>
      </c>
      <c r="N130">
        <v>115</v>
      </c>
      <c r="O130">
        <v>5.3421528000000003E-2</v>
      </c>
      <c r="P130">
        <v>1.5139926E-2</v>
      </c>
      <c r="Q130" t="str">
        <f t="shared" si="2"/>
        <v>10-14</v>
      </c>
      <c r="R130" t="str">
        <f t="shared" si="3"/>
        <v>[zphK9WV8JB4]|10-14|Female|TX_CURR_SUBNAT.R|CY2023Q4</v>
      </c>
    </row>
    <row r="131" spans="1:18" x14ac:dyDescent="0.2">
      <c r="A131" s="227"/>
      <c r="B131" s="227"/>
      <c r="C131" s="227"/>
      <c r="D131" t="s">
        <v>81</v>
      </c>
      <c r="E131" t="s">
        <v>82</v>
      </c>
      <c r="F131" t="s">
        <v>83</v>
      </c>
      <c r="G131" t="s">
        <v>26</v>
      </c>
      <c r="H131" t="s">
        <v>27</v>
      </c>
      <c r="I131" t="s">
        <v>38</v>
      </c>
      <c r="J131" t="s">
        <v>39</v>
      </c>
      <c r="K131" t="s">
        <v>30</v>
      </c>
      <c r="L131" t="s">
        <v>31</v>
      </c>
      <c r="M131" t="s">
        <v>32</v>
      </c>
      <c r="N131">
        <v>572</v>
      </c>
      <c r="O131">
        <v>6.7924702000000003E-2</v>
      </c>
      <c r="P131">
        <v>1.5139926E-2</v>
      </c>
      <c r="Q131" t="str">
        <f t="shared" ref="Q131:Q194" si="4">SUBSTITUTE(SUBSTITUTE($I131,CHAR(61),""),CHAR(34),"")</f>
        <v>15-24</v>
      </c>
      <c r="R131" t="str">
        <f t="shared" ref="R131:R194" si="5">IF($D131&lt;&gt;"","["&amp;$E131&amp;"]"&amp;"|"&amp;$Q131&amp;"|"&amp;$K131&amp;"|"&amp;$G131&amp;"|"&amp;IF($G131="TX_CURR_SUBNAT.R","CY2023Q4",$M131),"")</f>
        <v>[zphK9WV8JB4]|15-24|Female|TX_CURR_SUBNAT.R|CY2023Q4</v>
      </c>
    </row>
    <row r="132" spans="1:18" x14ac:dyDescent="0.2">
      <c r="A132" s="227"/>
      <c r="B132" s="227"/>
      <c r="C132" s="227"/>
      <c r="D132" t="s">
        <v>81</v>
      </c>
      <c r="E132" t="s">
        <v>82</v>
      </c>
      <c r="F132" t="s">
        <v>83</v>
      </c>
      <c r="G132" t="s">
        <v>26</v>
      </c>
      <c r="H132" t="s">
        <v>27</v>
      </c>
      <c r="I132" t="s">
        <v>41</v>
      </c>
      <c r="J132" t="s">
        <v>42</v>
      </c>
      <c r="K132" t="s">
        <v>30</v>
      </c>
      <c r="L132" t="s">
        <v>31</v>
      </c>
      <c r="M132" t="s">
        <v>32</v>
      </c>
      <c r="N132">
        <v>1575</v>
      </c>
      <c r="O132">
        <v>4.5944493000000003E-2</v>
      </c>
      <c r="P132">
        <v>1.5139926E-2</v>
      </c>
      <c r="Q132" t="str">
        <f t="shared" si="4"/>
        <v>25-34</v>
      </c>
      <c r="R132" t="str">
        <f t="shared" si="5"/>
        <v>[zphK9WV8JB4]|25-34|Female|TX_CURR_SUBNAT.R|CY2023Q4</v>
      </c>
    </row>
    <row r="133" spans="1:18" x14ac:dyDescent="0.2">
      <c r="A133" s="227"/>
      <c r="B133" s="227"/>
      <c r="C133" s="227"/>
      <c r="D133" t="s">
        <v>81</v>
      </c>
      <c r="E133" t="s">
        <v>82</v>
      </c>
      <c r="F133" t="s">
        <v>83</v>
      </c>
      <c r="G133" t="s">
        <v>26</v>
      </c>
      <c r="H133" t="s">
        <v>27</v>
      </c>
      <c r="I133" t="s">
        <v>43</v>
      </c>
      <c r="J133" t="s">
        <v>44</v>
      </c>
      <c r="K133" t="s">
        <v>30</v>
      </c>
      <c r="L133" t="s">
        <v>31</v>
      </c>
      <c r="M133" t="s">
        <v>32</v>
      </c>
      <c r="N133">
        <v>4229</v>
      </c>
      <c r="O133">
        <v>2.6353872E-2</v>
      </c>
      <c r="P133">
        <v>1.5139926E-2</v>
      </c>
      <c r="Q133" t="str">
        <f t="shared" si="4"/>
        <v>35-49</v>
      </c>
      <c r="R133" t="str">
        <f t="shared" si="5"/>
        <v>[zphK9WV8JB4]|35-49|Female|TX_CURR_SUBNAT.R|CY2023Q4</v>
      </c>
    </row>
    <row r="134" spans="1:18" x14ac:dyDescent="0.2">
      <c r="A134" s="227"/>
      <c r="B134" s="227"/>
      <c r="C134" s="227"/>
      <c r="D134" t="s">
        <v>81</v>
      </c>
      <c r="E134" t="s">
        <v>82</v>
      </c>
      <c r="F134" t="s">
        <v>83</v>
      </c>
      <c r="G134" t="s">
        <v>26</v>
      </c>
      <c r="H134" t="s">
        <v>27</v>
      </c>
      <c r="I134" t="s">
        <v>45</v>
      </c>
      <c r="J134" t="s">
        <v>46</v>
      </c>
      <c r="K134" t="s">
        <v>30</v>
      </c>
      <c r="L134" t="s">
        <v>31</v>
      </c>
      <c r="M134" t="s">
        <v>32</v>
      </c>
      <c r="N134">
        <v>1928</v>
      </c>
      <c r="O134">
        <v>4.5623769000000002E-2</v>
      </c>
      <c r="P134">
        <v>1.5139926E-2</v>
      </c>
      <c r="Q134" t="str">
        <f t="shared" si="4"/>
        <v>50+</v>
      </c>
      <c r="R134" t="str">
        <f t="shared" si="5"/>
        <v>[zphK9WV8JB4]|50+|Female|TX_CURR_SUBNAT.R|CY2023Q4</v>
      </c>
    </row>
    <row r="135" spans="1:18" x14ac:dyDescent="0.2">
      <c r="A135" s="227"/>
      <c r="B135" s="227"/>
      <c r="C135" s="227"/>
      <c r="D135" t="s">
        <v>81</v>
      </c>
      <c r="E135" t="s">
        <v>82</v>
      </c>
      <c r="F135" t="s">
        <v>83</v>
      </c>
      <c r="G135" t="s">
        <v>26</v>
      </c>
      <c r="H135" t="s">
        <v>27</v>
      </c>
      <c r="I135" t="s">
        <v>28</v>
      </c>
      <c r="J135" t="s">
        <v>29</v>
      </c>
      <c r="K135" t="s">
        <v>48</v>
      </c>
      <c r="L135" t="s">
        <v>49</v>
      </c>
      <c r="M135" t="s">
        <v>32</v>
      </c>
      <c r="N135">
        <v>5</v>
      </c>
      <c r="O135">
        <v>4.9015095000000002E-2</v>
      </c>
      <c r="P135">
        <v>1.5139926E-2</v>
      </c>
      <c r="Q135" t="str">
        <f t="shared" si="4"/>
        <v>&lt;01</v>
      </c>
      <c r="R135" t="str">
        <f t="shared" si="5"/>
        <v>[zphK9WV8JB4]|&lt;01|Male|TX_CURR_SUBNAT.R|CY2023Q4</v>
      </c>
    </row>
    <row r="136" spans="1:18" x14ac:dyDescent="0.2">
      <c r="A136" s="227"/>
      <c r="B136" s="227"/>
      <c r="C136" s="227"/>
      <c r="D136" t="s">
        <v>81</v>
      </c>
      <c r="E136" t="s">
        <v>82</v>
      </c>
      <c r="F136" t="s">
        <v>83</v>
      </c>
      <c r="G136" t="s">
        <v>26</v>
      </c>
      <c r="H136" t="s">
        <v>27</v>
      </c>
      <c r="I136" t="s">
        <v>33</v>
      </c>
      <c r="J136" t="s">
        <v>34</v>
      </c>
      <c r="K136" t="s">
        <v>48</v>
      </c>
      <c r="L136" t="s">
        <v>49</v>
      </c>
      <c r="M136" t="s">
        <v>32</v>
      </c>
      <c r="N136">
        <v>91</v>
      </c>
      <c r="O136">
        <v>4.5471791999999997E-2</v>
      </c>
      <c r="P136">
        <v>1.5139926E-2</v>
      </c>
      <c r="Q136" t="str">
        <f t="shared" si="4"/>
        <v>01-09</v>
      </c>
      <c r="R136" t="str">
        <f t="shared" si="5"/>
        <v>[zphK9WV8JB4]|01-09|Male|TX_CURR_SUBNAT.R|CY2023Q4</v>
      </c>
    </row>
    <row r="137" spans="1:18" x14ac:dyDescent="0.2">
      <c r="A137" s="227"/>
      <c r="B137" s="227"/>
      <c r="C137" s="227"/>
      <c r="D137" t="s">
        <v>81</v>
      </c>
      <c r="E137" t="s">
        <v>82</v>
      </c>
      <c r="F137" t="s">
        <v>83</v>
      </c>
      <c r="G137" t="s">
        <v>26</v>
      </c>
      <c r="H137" t="s">
        <v>27</v>
      </c>
      <c r="I137" t="s">
        <v>36</v>
      </c>
      <c r="J137" t="s">
        <v>37</v>
      </c>
      <c r="K137" t="s">
        <v>48</v>
      </c>
      <c r="L137" t="s">
        <v>49</v>
      </c>
      <c r="M137" t="s">
        <v>32</v>
      </c>
      <c r="N137">
        <v>120</v>
      </c>
      <c r="O137">
        <v>4.0699311000000002E-2</v>
      </c>
      <c r="P137">
        <v>1.5139926E-2</v>
      </c>
      <c r="Q137" t="str">
        <f t="shared" si="4"/>
        <v>10-14</v>
      </c>
      <c r="R137" t="str">
        <f t="shared" si="5"/>
        <v>[zphK9WV8JB4]|10-14|Male|TX_CURR_SUBNAT.R|CY2023Q4</v>
      </c>
    </row>
    <row r="138" spans="1:18" x14ac:dyDescent="0.2">
      <c r="A138" s="227"/>
      <c r="B138" s="227"/>
      <c r="C138" s="227"/>
      <c r="D138" t="s">
        <v>81</v>
      </c>
      <c r="E138" t="s">
        <v>82</v>
      </c>
      <c r="F138" t="s">
        <v>83</v>
      </c>
      <c r="G138" t="s">
        <v>26</v>
      </c>
      <c r="H138" t="s">
        <v>27</v>
      </c>
      <c r="I138" t="s">
        <v>38</v>
      </c>
      <c r="J138" t="s">
        <v>39</v>
      </c>
      <c r="K138" t="s">
        <v>48</v>
      </c>
      <c r="L138" t="s">
        <v>49</v>
      </c>
      <c r="M138" t="s">
        <v>32</v>
      </c>
      <c r="N138">
        <v>406</v>
      </c>
      <c r="O138">
        <v>8.1613698999999998E-2</v>
      </c>
      <c r="P138">
        <v>1.5139926E-2</v>
      </c>
      <c r="Q138" t="str">
        <f t="shared" si="4"/>
        <v>15-24</v>
      </c>
      <c r="R138" t="str">
        <f t="shared" si="5"/>
        <v>[zphK9WV8JB4]|15-24|Male|TX_CURR_SUBNAT.R|CY2023Q4</v>
      </c>
    </row>
    <row r="139" spans="1:18" x14ac:dyDescent="0.2">
      <c r="A139" s="227"/>
      <c r="B139" s="227"/>
      <c r="C139" s="227"/>
      <c r="D139" t="s">
        <v>81</v>
      </c>
      <c r="E139" t="s">
        <v>82</v>
      </c>
      <c r="F139" t="s">
        <v>83</v>
      </c>
      <c r="G139" t="s">
        <v>26</v>
      </c>
      <c r="H139" t="s">
        <v>27</v>
      </c>
      <c r="I139" t="s">
        <v>41</v>
      </c>
      <c r="J139" t="s">
        <v>42</v>
      </c>
      <c r="K139" t="s">
        <v>48</v>
      </c>
      <c r="L139" t="s">
        <v>49</v>
      </c>
      <c r="M139" t="s">
        <v>32</v>
      </c>
      <c r="N139">
        <v>570</v>
      </c>
      <c r="O139">
        <v>7.3277069E-2</v>
      </c>
      <c r="P139">
        <v>1.5139926E-2</v>
      </c>
      <c r="Q139" t="str">
        <f t="shared" si="4"/>
        <v>25-34</v>
      </c>
      <c r="R139" t="str">
        <f t="shared" si="5"/>
        <v>[zphK9WV8JB4]|25-34|Male|TX_CURR_SUBNAT.R|CY2023Q4</v>
      </c>
    </row>
    <row r="140" spans="1:18" x14ac:dyDescent="0.2">
      <c r="A140" s="227"/>
      <c r="B140" s="227"/>
      <c r="C140" s="227"/>
      <c r="D140" t="s">
        <v>81</v>
      </c>
      <c r="E140" t="s">
        <v>82</v>
      </c>
      <c r="F140" t="s">
        <v>83</v>
      </c>
      <c r="G140" t="s">
        <v>26</v>
      </c>
      <c r="H140" t="s">
        <v>27</v>
      </c>
      <c r="I140" t="s">
        <v>43</v>
      </c>
      <c r="J140" t="s">
        <v>44</v>
      </c>
      <c r="K140" t="s">
        <v>48</v>
      </c>
      <c r="L140" t="s">
        <v>49</v>
      </c>
      <c r="M140" t="s">
        <v>32</v>
      </c>
      <c r="N140">
        <v>2385</v>
      </c>
      <c r="O140">
        <v>3.5460528999999998E-2</v>
      </c>
      <c r="P140">
        <v>1.5139926E-2</v>
      </c>
      <c r="Q140" t="str">
        <f t="shared" si="4"/>
        <v>35-49</v>
      </c>
      <c r="R140" t="str">
        <f t="shared" si="5"/>
        <v>[zphK9WV8JB4]|35-49|Male|TX_CURR_SUBNAT.R|CY2023Q4</v>
      </c>
    </row>
    <row r="141" spans="1:18" x14ac:dyDescent="0.2">
      <c r="A141" s="227"/>
      <c r="B141" s="227"/>
      <c r="C141" s="227"/>
      <c r="D141" t="s">
        <v>81</v>
      </c>
      <c r="E141" t="s">
        <v>82</v>
      </c>
      <c r="F141" t="s">
        <v>83</v>
      </c>
      <c r="G141" t="s">
        <v>26</v>
      </c>
      <c r="H141" t="s">
        <v>27</v>
      </c>
      <c r="I141" t="s">
        <v>45</v>
      </c>
      <c r="J141" t="s">
        <v>46</v>
      </c>
      <c r="K141" t="s">
        <v>48</v>
      </c>
      <c r="L141" t="s">
        <v>49</v>
      </c>
      <c r="M141" t="s">
        <v>32</v>
      </c>
      <c r="N141">
        <v>1772</v>
      </c>
      <c r="O141">
        <v>4.2183682E-2</v>
      </c>
      <c r="P141">
        <v>1.5139926E-2</v>
      </c>
      <c r="Q141" t="str">
        <f t="shared" si="4"/>
        <v>50+</v>
      </c>
      <c r="R141" t="str">
        <f t="shared" si="5"/>
        <v>[zphK9WV8JB4]|50+|Male|TX_CURR_SUBNAT.R|CY2023Q4</v>
      </c>
    </row>
    <row r="142" spans="1:18" x14ac:dyDescent="0.2">
      <c r="A142" s="227"/>
      <c r="B142" s="227"/>
      <c r="C142" s="227"/>
      <c r="D142" t="s">
        <v>84</v>
      </c>
      <c r="E142" t="s">
        <v>85</v>
      </c>
      <c r="F142" t="s">
        <v>86</v>
      </c>
      <c r="G142" t="s">
        <v>26</v>
      </c>
      <c r="H142" t="s">
        <v>27</v>
      </c>
      <c r="I142" t="s">
        <v>28</v>
      </c>
      <c r="J142" t="s">
        <v>29</v>
      </c>
      <c r="K142" t="s">
        <v>30</v>
      </c>
      <c r="L142" t="s">
        <v>31</v>
      </c>
      <c r="M142" t="s">
        <v>32</v>
      </c>
      <c r="N142">
        <v>10</v>
      </c>
      <c r="O142">
        <v>5.1031677999999997E-2</v>
      </c>
      <c r="P142">
        <v>1.2823375999999999E-2</v>
      </c>
      <c r="Q142" t="str">
        <f t="shared" si="4"/>
        <v>&lt;01</v>
      </c>
      <c r="R142" t="str">
        <f t="shared" si="5"/>
        <v>[msW2zpIN7up]|&lt;01|Female|TX_CURR_SUBNAT.R|CY2023Q4</v>
      </c>
    </row>
    <row r="143" spans="1:18" x14ac:dyDescent="0.2">
      <c r="A143" s="227"/>
      <c r="B143" s="227"/>
      <c r="C143" s="227"/>
      <c r="D143" t="s">
        <v>84</v>
      </c>
      <c r="E143" t="s">
        <v>85</v>
      </c>
      <c r="F143" t="s">
        <v>86</v>
      </c>
      <c r="G143" t="s">
        <v>26</v>
      </c>
      <c r="H143" t="s">
        <v>27</v>
      </c>
      <c r="I143" t="s">
        <v>33</v>
      </c>
      <c r="J143" t="s">
        <v>34</v>
      </c>
      <c r="K143" t="s">
        <v>30</v>
      </c>
      <c r="L143" t="s">
        <v>31</v>
      </c>
      <c r="M143" t="s">
        <v>32</v>
      </c>
      <c r="N143">
        <v>180</v>
      </c>
      <c r="O143">
        <v>4.5288922000000002E-2</v>
      </c>
      <c r="P143">
        <v>1.2823375999999999E-2</v>
      </c>
      <c r="Q143" t="str">
        <f t="shared" si="4"/>
        <v>01-09</v>
      </c>
      <c r="R143" t="str">
        <f t="shared" si="5"/>
        <v>[msW2zpIN7up]|01-09|Female|TX_CURR_SUBNAT.R|CY2023Q4</v>
      </c>
    </row>
    <row r="144" spans="1:18" x14ac:dyDescent="0.2">
      <c r="A144" s="227"/>
      <c r="B144" s="227"/>
      <c r="C144" s="227"/>
      <c r="D144" t="s">
        <v>84</v>
      </c>
      <c r="E144" t="s">
        <v>85</v>
      </c>
      <c r="F144" t="s">
        <v>86</v>
      </c>
      <c r="G144" t="s">
        <v>26</v>
      </c>
      <c r="H144" t="s">
        <v>27</v>
      </c>
      <c r="I144" t="s">
        <v>36</v>
      </c>
      <c r="J144" t="s">
        <v>37</v>
      </c>
      <c r="K144" t="s">
        <v>30</v>
      </c>
      <c r="L144" t="s">
        <v>31</v>
      </c>
      <c r="M144" t="s">
        <v>32</v>
      </c>
      <c r="N144">
        <v>226</v>
      </c>
      <c r="O144">
        <v>3.8256995000000002E-2</v>
      </c>
      <c r="P144">
        <v>1.2823375999999999E-2</v>
      </c>
      <c r="Q144" t="str">
        <f t="shared" si="4"/>
        <v>10-14</v>
      </c>
      <c r="R144" t="str">
        <f t="shared" si="5"/>
        <v>[msW2zpIN7up]|10-14|Female|TX_CURR_SUBNAT.R|CY2023Q4</v>
      </c>
    </row>
    <row r="145" spans="1:18" x14ac:dyDescent="0.2">
      <c r="A145" s="227"/>
      <c r="B145" s="227"/>
      <c r="C145" s="227"/>
      <c r="D145" t="s">
        <v>84</v>
      </c>
      <c r="E145" t="s">
        <v>85</v>
      </c>
      <c r="F145" t="s">
        <v>86</v>
      </c>
      <c r="G145" t="s">
        <v>26</v>
      </c>
      <c r="H145" t="s">
        <v>27</v>
      </c>
      <c r="I145" t="s">
        <v>38</v>
      </c>
      <c r="J145" t="s">
        <v>39</v>
      </c>
      <c r="K145" t="s">
        <v>30</v>
      </c>
      <c r="L145" t="s">
        <v>31</v>
      </c>
      <c r="M145" t="s">
        <v>32</v>
      </c>
      <c r="N145">
        <v>876</v>
      </c>
      <c r="O145">
        <v>6.7126955000000002E-2</v>
      </c>
      <c r="P145">
        <v>1.2823375999999999E-2</v>
      </c>
      <c r="Q145" t="str">
        <f t="shared" si="4"/>
        <v>15-24</v>
      </c>
      <c r="R145" t="str">
        <f t="shared" si="5"/>
        <v>[msW2zpIN7up]|15-24|Female|TX_CURR_SUBNAT.R|CY2023Q4</v>
      </c>
    </row>
    <row r="146" spans="1:18" x14ac:dyDescent="0.2">
      <c r="A146" s="227"/>
      <c r="B146" s="227"/>
      <c r="C146" s="227"/>
      <c r="D146" t="s">
        <v>84</v>
      </c>
      <c r="E146" t="s">
        <v>85</v>
      </c>
      <c r="F146" t="s">
        <v>86</v>
      </c>
      <c r="G146" t="s">
        <v>26</v>
      </c>
      <c r="H146" t="s">
        <v>27</v>
      </c>
      <c r="I146" t="s">
        <v>41</v>
      </c>
      <c r="J146" t="s">
        <v>42</v>
      </c>
      <c r="K146" t="s">
        <v>30</v>
      </c>
      <c r="L146" t="s">
        <v>31</v>
      </c>
      <c r="M146" t="s">
        <v>32</v>
      </c>
      <c r="N146">
        <v>2350</v>
      </c>
      <c r="O146">
        <v>3.9487942999999998E-2</v>
      </c>
      <c r="P146">
        <v>1.2823375999999999E-2</v>
      </c>
      <c r="Q146" t="str">
        <f t="shared" si="4"/>
        <v>25-34</v>
      </c>
      <c r="R146" t="str">
        <f t="shared" si="5"/>
        <v>[msW2zpIN7up]|25-34|Female|TX_CURR_SUBNAT.R|CY2023Q4</v>
      </c>
    </row>
    <row r="147" spans="1:18" x14ac:dyDescent="0.2">
      <c r="A147" s="227"/>
      <c r="B147" s="227"/>
      <c r="C147" s="227"/>
      <c r="D147" t="s">
        <v>84</v>
      </c>
      <c r="E147" t="s">
        <v>85</v>
      </c>
      <c r="F147" t="s">
        <v>86</v>
      </c>
      <c r="G147" t="s">
        <v>26</v>
      </c>
      <c r="H147" t="s">
        <v>27</v>
      </c>
      <c r="I147" t="s">
        <v>43</v>
      </c>
      <c r="J147" t="s">
        <v>44</v>
      </c>
      <c r="K147" t="s">
        <v>30</v>
      </c>
      <c r="L147" t="s">
        <v>31</v>
      </c>
      <c r="M147" t="s">
        <v>32</v>
      </c>
      <c r="N147">
        <v>5816</v>
      </c>
      <c r="O147">
        <v>2.3651924000000001E-2</v>
      </c>
      <c r="P147">
        <v>1.2823375999999999E-2</v>
      </c>
      <c r="Q147" t="str">
        <f t="shared" si="4"/>
        <v>35-49</v>
      </c>
      <c r="R147" t="str">
        <f t="shared" si="5"/>
        <v>[msW2zpIN7up]|35-49|Female|TX_CURR_SUBNAT.R|CY2023Q4</v>
      </c>
    </row>
    <row r="148" spans="1:18" x14ac:dyDescent="0.2">
      <c r="A148" s="227"/>
      <c r="B148" s="227"/>
      <c r="C148" s="227"/>
      <c r="D148" t="s">
        <v>84</v>
      </c>
      <c r="E148" t="s">
        <v>85</v>
      </c>
      <c r="F148" t="s">
        <v>86</v>
      </c>
      <c r="G148" t="s">
        <v>26</v>
      </c>
      <c r="H148" t="s">
        <v>27</v>
      </c>
      <c r="I148" t="s">
        <v>45</v>
      </c>
      <c r="J148" t="s">
        <v>46</v>
      </c>
      <c r="K148" t="s">
        <v>30</v>
      </c>
      <c r="L148" t="s">
        <v>31</v>
      </c>
      <c r="M148" t="s">
        <v>32</v>
      </c>
      <c r="N148">
        <v>2479</v>
      </c>
      <c r="O148">
        <v>4.4588012000000003E-2</v>
      </c>
      <c r="P148">
        <v>1.2823375999999999E-2</v>
      </c>
      <c r="Q148" t="str">
        <f t="shared" si="4"/>
        <v>50+</v>
      </c>
      <c r="R148" t="str">
        <f t="shared" si="5"/>
        <v>[msW2zpIN7up]|50+|Female|TX_CURR_SUBNAT.R|CY2023Q4</v>
      </c>
    </row>
    <row r="149" spans="1:18" x14ac:dyDescent="0.2">
      <c r="A149" s="227"/>
      <c r="B149" s="227"/>
      <c r="C149" s="227"/>
      <c r="D149" t="s">
        <v>84</v>
      </c>
      <c r="E149" t="s">
        <v>85</v>
      </c>
      <c r="F149" t="s">
        <v>86</v>
      </c>
      <c r="G149" t="s">
        <v>26</v>
      </c>
      <c r="H149" t="s">
        <v>27</v>
      </c>
      <c r="I149" t="s">
        <v>28</v>
      </c>
      <c r="J149" t="s">
        <v>29</v>
      </c>
      <c r="K149" t="s">
        <v>48</v>
      </c>
      <c r="L149" t="s">
        <v>49</v>
      </c>
      <c r="M149" t="s">
        <v>32</v>
      </c>
      <c r="N149">
        <v>9</v>
      </c>
      <c r="O149">
        <v>3.2921591E-2</v>
      </c>
      <c r="P149">
        <v>1.2823375999999999E-2</v>
      </c>
      <c r="Q149" t="str">
        <f t="shared" si="4"/>
        <v>&lt;01</v>
      </c>
      <c r="R149" t="str">
        <f t="shared" si="5"/>
        <v>[msW2zpIN7up]|&lt;01|Male|TX_CURR_SUBNAT.R|CY2023Q4</v>
      </c>
    </row>
    <row r="150" spans="1:18" x14ac:dyDescent="0.2">
      <c r="A150" s="227"/>
      <c r="B150" s="227"/>
      <c r="C150" s="227"/>
      <c r="D150" t="s">
        <v>84</v>
      </c>
      <c r="E150" t="s">
        <v>85</v>
      </c>
      <c r="F150" t="s">
        <v>86</v>
      </c>
      <c r="G150" t="s">
        <v>26</v>
      </c>
      <c r="H150" t="s">
        <v>27</v>
      </c>
      <c r="I150" t="s">
        <v>33</v>
      </c>
      <c r="J150" t="s">
        <v>34</v>
      </c>
      <c r="K150" t="s">
        <v>48</v>
      </c>
      <c r="L150" t="s">
        <v>49</v>
      </c>
      <c r="M150" t="s">
        <v>32</v>
      </c>
      <c r="N150">
        <v>177</v>
      </c>
      <c r="O150">
        <v>3.1680498000000001E-2</v>
      </c>
      <c r="P150">
        <v>1.2823375999999999E-2</v>
      </c>
      <c r="Q150" t="str">
        <f t="shared" si="4"/>
        <v>01-09</v>
      </c>
      <c r="R150" t="str">
        <f t="shared" si="5"/>
        <v>[msW2zpIN7up]|01-09|Male|TX_CURR_SUBNAT.R|CY2023Q4</v>
      </c>
    </row>
    <row r="151" spans="1:18" x14ac:dyDescent="0.2">
      <c r="A151" s="227"/>
      <c r="B151" s="227"/>
      <c r="C151" s="227"/>
      <c r="D151" t="s">
        <v>84</v>
      </c>
      <c r="E151" t="s">
        <v>85</v>
      </c>
      <c r="F151" t="s">
        <v>86</v>
      </c>
      <c r="G151" t="s">
        <v>26</v>
      </c>
      <c r="H151" t="s">
        <v>27</v>
      </c>
      <c r="I151" t="s">
        <v>36</v>
      </c>
      <c r="J151" t="s">
        <v>37</v>
      </c>
      <c r="K151" t="s">
        <v>48</v>
      </c>
      <c r="L151" t="s">
        <v>49</v>
      </c>
      <c r="M151" t="s">
        <v>32</v>
      </c>
      <c r="N151">
        <v>221</v>
      </c>
      <c r="O151">
        <v>3.0141126000000001E-2</v>
      </c>
      <c r="P151">
        <v>1.2823375999999999E-2</v>
      </c>
      <c r="Q151" t="str">
        <f t="shared" si="4"/>
        <v>10-14</v>
      </c>
      <c r="R151" t="str">
        <f t="shared" si="5"/>
        <v>[msW2zpIN7up]|10-14|Male|TX_CURR_SUBNAT.R|CY2023Q4</v>
      </c>
    </row>
    <row r="152" spans="1:18" x14ac:dyDescent="0.2">
      <c r="A152" s="227"/>
      <c r="B152" s="227"/>
      <c r="C152" s="227"/>
      <c r="D152" t="s">
        <v>84</v>
      </c>
      <c r="E152" t="s">
        <v>85</v>
      </c>
      <c r="F152" t="s">
        <v>86</v>
      </c>
      <c r="G152" t="s">
        <v>26</v>
      </c>
      <c r="H152" t="s">
        <v>27</v>
      </c>
      <c r="I152" t="s">
        <v>38</v>
      </c>
      <c r="J152" t="s">
        <v>39</v>
      </c>
      <c r="K152" t="s">
        <v>48</v>
      </c>
      <c r="L152" t="s">
        <v>49</v>
      </c>
      <c r="M152" t="s">
        <v>32</v>
      </c>
      <c r="N152">
        <v>567</v>
      </c>
      <c r="O152">
        <v>7.4454365999999994E-2</v>
      </c>
      <c r="P152">
        <v>1.2823375999999999E-2</v>
      </c>
      <c r="Q152" t="str">
        <f t="shared" si="4"/>
        <v>15-24</v>
      </c>
      <c r="R152" t="str">
        <f t="shared" si="5"/>
        <v>[msW2zpIN7up]|15-24|Male|TX_CURR_SUBNAT.R|CY2023Q4</v>
      </c>
    </row>
    <row r="153" spans="1:18" x14ac:dyDescent="0.2">
      <c r="A153" s="227"/>
      <c r="B153" s="227"/>
      <c r="C153" s="227"/>
      <c r="D153" t="s">
        <v>84</v>
      </c>
      <c r="E153" t="s">
        <v>85</v>
      </c>
      <c r="F153" t="s">
        <v>86</v>
      </c>
      <c r="G153" t="s">
        <v>26</v>
      </c>
      <c r="H153" t="s">
        <v>27</v>
      </c>
      <c r="I153" t="s">
        <v>41</v>
      </c>
      <c r="J153" t="s">
        <v>42</v>
      </c>
      <c r="K153" t="s">
        <v>48</v>
      </c>
      <c r="L153" t="s">
        <v>49</v>
      </c>
      <c r="M153" t="s">
        <v>32</v>
      </c>
      <c r="N153">
        <v>688</v>
      </c>
      <c r="O153">
        <v>6.8844784000000006E-2</v>
      </c>
      <c r="P153">
        <v>1.2823375999999999E-2</v>
      </c>
      <c r="Q153" t="str">
        <f t="shared" si="4"/>
        <v>25-34</v>
      </c>
      <c r="R153" t="str">
        <f t="shared" si="5"/>
        <v>[msW2zpIN7up]|25-34|Male|TX_CURR_SUBNAT.R|CY2023Q4</v>
      </c>
    </row>
    <row r="154" spans="1:18" x14ac:dyDescent="0.2">
      <c r="A154" s="227"/>
      <c r="B154" s="227"/>
      <c r="C154" s="227"/>
      <c r="D154" t="s">
        <v>84</v>
      </c>
      <c r="E154" t="s">
        <v>85</v>
      </c>
      <c r="F154" t="s">
        <v>86</v>
      </c>
      <c r="G154" t="s">
        <v>26</v>
      </c>
      <c r="H154" t="s">
        <v>27</v>
      </c>
      <c r="I154" t="s">
        <v>43</v>
      </c>
      <c r="J154" t="s">
        <v>44</v>
      </c>
      <c r="K154" t="s">
        <v>48</v>
      </c>
      <c r="L154" t="s">
        <v>49</v>
      </c>
      <c r="M154" t="s">
        <v>32</v>
      </c>
      <c r="N154">
        <v>2859</v>
      </c>
      <c r="O154">
        <v>3.2356040000000003E-2</v>
      </c>
      <c r="P154">
        <v>1.2823375999999999E-2</v>
      </c>
      <c r="Q154" t="str">
        <f t="shared" si="4"/>
        <v>35-49</v>
      </c>
      <c r="R154" t="str">
        <f t="shared" si="5"/>
        <v>[msW2zpIN7up]|35-49|Male|TX_CURR_SUBNAT.R|CY2023Q4</v>
      </c>
    </row>
    <row r="155" spans="1:18" x14ac:dyDescent="0.2">
      <c r="A155" s="227"/>
      <c r="B155" s="227"/>
      <c r="C155" s="227"/>
      <c r="D155" t="s">
        <v>84</v>
      </c>
      <c r="E155" t="s">
        <v>85</v>
      </c>
      <c r="F155" t="s">
        <v>86</v>
      </c>
      <c r="G155" t="s">
        <v>26</v>
      </c>
      <c r="H155" t="s">
        <v>27</v>
      </c>
      <c r="I155" t="s">
        <v>45</v>
      </c>
      <c r="J155" t="s">
        <v>46</v>
      </c>
      <c r="K155" t="s">
        <v>48</v>
      </c>
      <c r="L155" t="s">
        <v>49</v>
      </c>
      <c r="M155" t="s">
        <v>32</v>
      </c>
      <c r="N155">
        <v>1992</v>
      </c>
      <c r="O155">
        <v>4.2559052999999999E-2</v>
      </c>
      <c r="P155">
        <v>1.2823375999999999E-2</v>
      </c>
      <c r="Q155" t="str">
        <f t="shared" si="4"/>
        <v>50+</v>
      </c>
      <c r="R155" t="str">
        <f t="shared" si="5"/>
        <v>[msW2zpIN7up]|50+|Male|TX_CURR_SUBNAT.R|CY2023Q4</v>
      </c>
    </row>
    <row r="156" spans="1:18" x14ac:dyDescent="0.2">
      <c r="A156" s="227"/>
      <c r="B156" s="227"/>
      <c r="C156" s="227"/>
      <c r="D156" t="s">
        <v>87</v>
      </c>
      <c r="E156" t="s">
        <v>88</v>
      </c>
      <c r="F156" t="s">
        <v>89</v>
      </c>
      <c r="G156" t="s">
        <v>26</v>
      </c>
      <c r="H156" t="s">
        <v>27</v>
      </c>
      <c r="I156" t="s">
        <v>28</v>
      </c>
      <c r="J156" t="s">
        <v>29</v>
      </c>
      <c r="K156" t="s">
        <v>30</v>
      </c>
      <c r="L156" t="s">
        <v>31</v>
      </c>
      <c r="M156" t="s">
        <v>32</v>
      </c>
      <c r="N156">
        <v>51</v>
      </c>
      <c r="O156">
        <v>3.0948061999999998E-2</v>
      </c>
      <c r="P156">
        <v>4.7525040000000003E-3</v>
      </c>
      <c r="Q156" t="str">
        <f t="shared" si="4"/>
        <v>&lt;01</v>
      </c>
      <c r="R156" t="str">
        <f t="shared" si="5"/>
        <v>[ScR9iFKAasW]|&lt;01|Female|TX_CURR_SUBNAT.R|CY2023Q4</v>
      </c>
    </row>
    <row r="157" spans="1:18" x14ac:dyDescent="0.2">
      <c r="A157" s="227"/>
      <c r="B157" s="227"/>
      <c r="C157" s="227"/>
      <c r="D157" t="s">
        <v>87</v>
      </c>
      <c r="E157" t="s">
        <v>88</v>
      </c>
      <c r="F157" t="s">
        <v>89</v>
      </c>
      <c r="G157" t="s">
        <v>26</v>
      </c>
      <c r="H157" t="s">
        <v>27</v>
      </c>
      <c r="I157" t="s">
        <v>33</v>
      </c>
      <c r="J157" t="s">
        <v>34</v>
      </c>
      <c r="K157" t="s">
        <v>30</v>
      </c>
      <c r="L157" t="s">
        <v>31</v>
      </c>
      <c r="M157" t="s">
        <v>32</v>
      </c>
      <c r="N157">
        <v>847</v>
      </c>
      <c r="O157">
        <v>2.500376E-2</v>
      </c>
      <c r="P157">
        <v>4.7525040000000003E-3</v>
      </c>
      <c r="Q157" t="str">
        <f t="shared" si="4"/>
        <v>01-09</v>
      </c>
      <c r="R157" t="str">
        <f t="shared" si="5"/>
        <v>[ScR9iFKAasW]|01-09|Female|TX_CURR_SUBNAT.R|CY2023Q4</v>
      </c>
    </row>
    <row r="158" spans="1:18" x14ac:dyDescent="0.2">
      <c r="A158" s="227"/>
      <c r="B158" s="227"/>
      <c r="C158" s="227"/>
      <c r="D158" t="s">
        <v>87</v>
      </c>
      <c r="E158" t="s">
        <v>88</v>
      </c>
      <c r="F158" t="s">
        <v>89</v>
      </c>
      <c r="G158" t="s">
        <v>26</v>
      </c>
      <c r="H158" t="s">
        <v>27</v>
      </c>
      <c r="I158" t="s">
        <v>36</v>
      </c>
      <c r="J158" t="s">
        <v>37</v>
      </c>
      <c r="K158" t="s">
        <v>30</v>
      </c>
      <c r="L158" t="s">
        <v>31</v>
      </c>
      <c r="M158" t="s">
        <v>32</v>
      </c>
      <c r="N158">
        <v>1041</v>
      </c>
      <c r="O158">
        <v>1.8365798999999999E-2</v>
      </c>
      <c r="P158">
        <v>4.7525040000000003E-3</v>
      </c>
      <c r="Q158" t="str">
        <f t="shared" si="4"/>
        <v>10-14</v>
      </c>
      <c r="R158" t="str">
        <f t="shared" si="5"/>
        <v>[ScR9iFKAasW]|10-14|Female|TX_CURR_SUBNAT.R|CY2023Q4</v>
      </c>
    </row>
    <row r="159" spans="1:18" x14ac:dyDescent="0.2">
      <c r="A159" s="227"/>
      <c r="B159" s="227"/>
      <c r="C159" s="227"/>
      <c r="D159" t="s">
        <v>87</v>
      </c>
      <c r="E159" t="s">
        <v>88</v>
      </c>
      <c r="F159" t="s">
        <v>89</v>
      </c>
      <c r="G159" t="s">
        <v>26</v>
      </c>
      <c r="H159" t="s">
        <v>27</v>
      </c>
      <c r="I159" t="s">
        <v>38</v>
      </c>
      <c r="J159" t="s">
        <v>39</v>
      </c>
      <c r="K159" t="s">
        <v>30</v>
      </c>
      <c r="L159" t="s">
        <v>31</v>
      </c>
      <c r="M159" t="s">
        <v>32</v>
      </c>
      <c r="N159">
        <v>5298</v>
      </c>
      <c r="O159">
        <v>6.4089151999999996E-2</v>
      </c>
      <c r="P159">
        <v>4.7525040000000003E-3</v>
      </c>
      <c r="Q159" t="str">
        <f t="shared" si="4"/>
        <v>15-24</v>
      </c>
      <c r="R159" t="str">
        <f t="shared" si="5"/>
        <v>[ScR9iFKAasW]|15-24|Female|TX_CURR_SUBNAT.R|CY2023Q4</v>
      </c>
    </row>
    <row r="160" spans="1:18" x14ac:dyDescent="0.2">
      <c r="A160" s="227"/>
      <c r="B160" s="227"/>
      <c r="C160" s="227"/>
      <c r="D160" t="s">
        <v>87</v>
      </c>
      <c r="E160" t="s">
        <v>88</v>
      </c>
      <c r="F160" t="s">
        <v>89</v>
      </c>
      <c r="G160" t="s">
        <v>26</v>
      </c>
      <c r="H160" t="s">
        <v>27</v>
      </c>
      <c r="I160" t="s">
        <v>41</v>
      </c>
      <c r="J160" t="s">
        <v>42</v>
      </c>
      <c r="K160" t="s">
        <v>30</v>
      </c>
      <c r="L160" t="s">
        <v>31</v>
      </c>
      <c r="M160" t="s">
        <v>32</v>
      </c>
      <c r="N160">
        <v>16890</v>
      </c>
      <c r="O160">
        <v>3.4946463999999997E-2</v>
      </c>
      <c r="P160">
        <v>4.7525040000000003E-3</v>
      </c>
      <c r="Q160" t="str">
        <f t="shared" si="4"/>
        <v>25-34</v>
      </c>
      <c r="R160" t="str">
        <f t="shared" si="5"/>
        <v>[ScR9iFKAasW]|25-34|Female|TX_CURR_SUBNAT.R|CY2023Q4</v>
      </c>
    </row>
    <row r="161" spans="1:18" x14ac:dyDescent="0.2">
      <c r="A161" s="227"/>
      <c r="B161" s="227"/>
      <c r="C161" s="227"/>
      <c r="D161" t="s">
        <v>87</v>
      </c>
      <c r="E161" t="s">
        <v>88</v>
      </c>
      <c r="F161" t="s">
        <v>89</v>
      </c>
      <c r="G161" t="s">
        <v>26</v>
      </c>
      <c r="H161" t="s">
        <v>27</v>
      </c>
      <c r="I161" t="s">
        <v>43</v>
      </c>
      <c r="J161" t="s">
        <v>44</v>
      </c>
      <c r="K161" t="s">
        <v>30</v>
      </c>
      <c r="L161" t="s">
        <v>31</v>
      </c>
      <c r="M161" t="s">
        <v>32</v>
      </c>
      <c r="N161">
        <v>37189</v>
      </c>
      <c r="O161">
        <v>1.8749564E-2</v>
      </c>
      <c r="P161">
        <v>4.7525040000000003E-3</v>
      </c>
      <c r="Q161" t="str">
        <f t="shared" si="4"/>
        <v>35-49</v>
      </c>
      <c r="R161" t="str">
        <f t="shared" si="5"/>
        <v>[ScR9iFKAasW]|35-49|Female|TX_CURR_SUBNAT.R|CY2023Q4</v>
      </c>
    </row>
    <row r="162" spans="1:18" x14ac:dyDescent="0.2">
      <c r="A162" s="227"/>
      <c r="B162" s="227"/>
      <c r="C162" s="227"/>
      <c r="D162" t="s">
        <v>87</v>
      </c>
      <c r="E162" t="s">
        <v>88</v>
      </c>
      <c r="F162" t="s">
        <v>89</v>
      </c>
      <c r="G162" t="s">
        <v>26</v>
      </c>
      <c r="H162" t="s">
        <v>27</v>
      </c>
      <c r="I162" t="s">
        <v>45</v>
      </c>
      <c r="J162" t="s">
        <v>46</v>
      </c>
      <c r="K162" t="s">
        <v>30</v>
      </c>
      <c r="L162" t="s">
        <v>31</v>
      </c>
      <c r="M162" t="s">
        <v>32</v>
      </c>
      <c r="N162">
        <v>11919</v>
      </c>
      <c r="O162">
        <v>4.2716469E-2</v>
      </c>
      <c r="P162">
        <v>4.7525040000000003E-3</v>
      </c>
      <c r="Q162" t="str">
        <f t="shared" si="4"/>
        <v>50+</v>
      </c>
      <c r="R162" t="str">
        <f t="shared" si="5"/>
        <v>[ScR9iFKAasW]|50+|Female|TX_CURR_SUBNAT.R|CY2023Q4</v>
      </c>
    </row>
    <row r="163" spans="1:18" x14ac:dyDescent="0.2">
      <c r="A163" s="227"/>
      <c r="B163" s="227"/>
      <c r="C163" s="227"/>
      <c r="D163" t="s">
        <v>87</v>
      </c>
      <c r="E163" t="s">
        <v>88</v>
      </c>
      <c r="F163" t="s">
        <v>89</v>
      </c>
      <c r="G163" t="s">
        <v>26</v>
      </c>
      <c r="H163" t="s">
        <v>27</v>
      </c>
      <c r="I163" t="s">
        <v>28</v>
      </c>
      <c r="J163" t="s">
        <v>29</v>
      </c>
      <c r="K163" t="s">
        <v>48</v>
      </c>
      <c r="L163" t="s">
        <v>49</v>
      </c>
      <c r="M163" t="s">
        <v>32</v>
      </c>
      <c r="N163">
        <v>52</v>
      </c>
      <c r="O163">
        <v>2.0031072E-2</v>
      </c>
      <c r="P163">
        <v>4.7525040000000003E-3</v>
      </c>
      <c r="Q163" t="str">
        <f t="shared" si="4"/>
        <v>&lt;01</v>
      </c>
      <c r="R163" t="str">
        <f t="shared" si="5"/>
        <v>[ScR9iFKAasW]|&lt;01|Male|TX_CURR_SUBNAT.R|CY2023Q4</v>
      </c>
    </row>
    <row r="164" spans="1:18" x14ac:dyDescent="0.2">
      <c r="A164" s="227"/>
      <c r="B164" s="227"/>
      <c r="C164" s="227"/>
      <c r="D164" t="s">
        <v>87</v>
      </c>
      <c r="E164" t="s">
        <v>88</v>
      </c>
      <c r="F164" t="s">
        <v>89</v>
      </c>
      <c r="G164" t="s">
        <v>26</v>
      </c>
      <c r="H164" t="s">
        <v>27</v>
      </c>
      <c r="I164" t="s">
        <v>33</v>
      </c>
      <c r="J164" t="s">
        <v>34</v>
      </c>
      <c r="K164" t="s">
        <v>48</v>
      </c>
      <c r="L164" t="s">
        <v>49</v>
      </c>
      <c r="M164" t="s">
        <v>32</v>
      </c>
      <c r="N164">
        <v>857</v>
      </c>
      <c r="O164">
        <v>1.7630844999999999E-2</v>
      </c>
      <c r="P164">
        <v>4.7525040000000003E-3</v>
      </c>
      <c r="Q164" t="str">
        <f t="shared" si="4"/>
        <v>01-09</v>
      </c>
      <c r="R164" t="str">
        <f t="shared" si="5"/>
        <v>[ScR9iFKAasW]|01-09|Male|TX_CURR_SUBNAT.R|CY2023Q4</v>
      </c>
    </row>
    <row r="165" spans="1:18" x14ac:dyDescent="0.2">
      <c r="A165" s="227"/>
      <c r="B165" s="227"/>
      <c r="C165" s="227"/>
      <c r="D165" t="s">
        <v>87</v>
      </c>
      <c r="E165" t="s">
        <v>88</v>
      </c>
      <c r="F165" t="s">
        <v>89</v>
      </c>
      <c r="G165" t="s">
        <v>26</v>
      </c>
      <c r="H165" t="s">
        <v>27</v>
      </c>
      <c r="I165" t="s">
        <v>36</v>
      </c>
      <c r="J165" t="s">
        <v>37</v>
      </c>
      <c r="K165" t="s">
        <v>48</v>
      </c>
      <c r="L165" t="s">
        <v>49</v>
      </c>
      <c r="M165" t="s">
        <v>32</v>
      </c>
      <c r="N165">
        <v>1015</v>
      </c>
      <c r="O165">
        <v>1.5224247999999999E-2</v>
      </c>
      <c r="P165">
        <v>4.7525040000000003E-3</v>
      </c>
      <c r="Q165" t="str">
        <f t="shared" si="4"/>
        <v>10-14</v>
      </c>
      <c r="R165" t="str">
        <f t="shared" si="5"/>
        <v>[ScR9iFKAasW]|10-14|Male|TX_CURR_SUBNAT.R|CY2023Q4</v>
      </c>
    </row>
    <row r="166" spans="1:18" x14ac:dyDescent="0.2">
      <c r="A166" s="227"/>
      <c r="B166" s="227"/>
      <c r="C166" s="227"/>
      <c r="D166" t="s">
        <v>87</v>
      </c>
      <c r="E166" t="s">
        <v>88</v>
      </c>
      <c r="F166" t="s">
        <v>89</v>
      </c>
      <c r="G166" t="s">
        <v>26</v>
      </c>
      <c r="H166" t="s">
        <v>27</v>
      </c>
      <c r="I166" t="s">
        <v>38</v>
      </c>
      <c r="J166" t="s">
        <v>39</v>
      </c>
      <c r="K166" t="s">
        <v>48</v>
      </c>
      <c r="L166" t="s">
        <v>49</v>
      </c>
      <c r="M166" t="s">
        <v>32</v>
      </c>
      <c r="N166">
        <v>3436</v>
      </c>
      <c r="O166">
        <v>7.8170108000000002E-2</v>
      </c>
      <c r="P166">
        <v>4.7525040000000003E-3</v>
      </c>
      <c r="Q166" t="str">
        <f t="shared" si="4"/>
        <v>15-24</v>
      </c>
      <c r="R166" t="str">
        <f t="shared" si="5"/>
        <v>[ScR9iFKAasW]|15-24|Male|TX_CURR_SUBNAT.R|CY2023Q4</v>
      </c>
    </row>
    <row r="167" spans="1:18" x14ac:dyDescent="0.2">
      <c r="A167" s="227"/>
      <c r="B167" s="227"/>
      <c r="C167" s="227"/>
      <c r="D167" t="s">
        <v>87</v>
      </c>
      <c r="E167" t="s">
        <v>88</v>
      </c>
      <c r="F167" t="s">
        <v>89</v>
      </c>
      <c r="G167" t="s">
        <v>26</v>
      </c>
      <c r="H167" t="s">
        <v>27</v>
      </c>
      <c r="I167" t="s">
        <v>41</v>
      </c>
      <c r="J167" t="s">
        <v>42</v>
      </c>
      <c r="K167" t="s">
        <v>48</v>
      </c>
      <c r="L167" t="s">
        <v>49</v>
      </c>
      <c r="M167" t="s">
        <v>32</v>
      </c>
      <c r="N167">
        <v>5943</v>
      </c>
      <c r="O167">
        <v>6.5155873000000003E-2</v>
      </c>
      <c r="P167">
        <v>4.7525040000000003E-3</v>
      </c>
      <c r="Q167" t="str">
        <f t="shared" si="4"/>
        <v>25-34</v>
      </c>
      <c r="R167" t="str">
        <f t="shared" si="5"/>
        <v>[ScR9iFKAasW]|25-34|Male|TX_CURR_SUBNAT.R|CY2023Q4</v>
      </c>
    </row>
    <row r="168" spans="1:18" x14ac:dyDescent="0.2">
      <c r="A168" s="227"/>
      <c r="B168" s="227"/>
      <c r="C168" s="227"/>
      <c r="D168" t="s">
        <v>87</v>
      </c>
      <c r="E168" t="s">
        <v>88</v>
      </c>
      <c r="F168" t="s">
        <v>89</v>
      </c>
      <c r="G168" t="s">
        <v>26</v>
      </c>
      <c r="H168" t="s">
        <v>27</v>
      </c>
      <c r="I168" t="s">
        <v>43</v>
      </c>
      <c r="J168" t="s">
        <v>44</v>
      </c>
      <c r="K168" t="s">
        <v>48</v>
      </c>
      <c r="L168" t="s">
        <v>49</v>
      </c>
      <c r="M168" t="s">
        <v>32</v>
      </c>
      <c r="N168">
        <v>23144</v>
      </c>
      <c r="O168">
        <v>2.6273801999999999E-2</v>
      </c>
      <c r="P168">
        <v>4.7525040000000003E-3</v>
      </c>
      <c r="Q168" t="str">
        <f t="shared" si="4"/>
        <v>35-49</v>
      </c>
      <c r="R168" t="str">
        <f t="shared" si="5"/>
        <v>[ScR9iFKAasW]|35-49|Male|TX_CURR_SUBNAT.R|CY2023Q4</v>
      </c>
    </row>
    <row r="169" spans="1:18" x14ac:dyDescent="0.2">
      <c r="A169" s="227"/>
      <c r="B169" s="227"/>
      <c r="C169" s="227"/>
      <c r="D169" t="s">
        <v>87</v>
      </c>
      <c r="E169" t="s">
        <v>88</v>
      </c>
      <c r="F169" t="s">
        <v>89</v>
      </c>
      <c r="G169" t="s">
        <v>26</v>
      </c>
      <c r="H169" t="s">
        <v>27</v>
      </c>
      <c r="I169" t="s">
        <v>45</v>
      </c>
      <c r="J169" t="s">
        <v>46</v>
      </c>
      <c r="K169" t="s">
        <v>48</v>
      </c>
      <c r="L169" t="s">
        <v>49</v>
      </c>
      <c r="M169" t="s">
        <v>32</v>
      </c>
      <c r="N169">
        <v>11927</v>
      </c>
      <c r="O169">
        <v>4.0121836000000001E-2</v>
      </c>
      <c r="P169">
        <v>4.7525040000000003E-3</v>
      </c>
      <c r="Q169" t="str">
        <f t="shared" si="4"/>
        <v>50+</v>
      </c>
      <c r="R169" t="str">
        <f t="shared" si="5"/>
        <v>[ScR9iFKAasW]|50+|Male|TX_CURR_SUBNAT.R|CY2023Q4</v>
      </c>
    </row>
    <row r="170" spans="1:18" x14ac:dyDescent="0.2">
      <c r="A170" s="227"/>
      <c r="B170" s="227"/>
      <c r="C170" s="227"/>
      <c r="D170" t="s">
        <v>90</v>
      </c>
      <c r="E170" t="s">
        <v>91</v>
      </c>
      <c r="F170" t="s">
        <v>92</v>
      </c>
      <c r="G170" t="s">
        <v>26</v>
      </c>
      <c r="H170" t="s">
        <v>27</v>
      </c>
      <c r="I170" t="s">
        <v>28</v>
      </c>
      <c r="J170" t="s">
        <v>29</v>
      </c>
      <c r="K170" t="s">
        <v>30</v>
      </c>
      <c r="L170" t="s">
        <v>31</v>
      </c>
      <c r="M170" t="s">
        <v>32</v>
      </c>
      <c r="N170">
        <v>8</v>
      </c>
      <c r="O170">
        <v>6.5338239000000006E-2</v>
      </c>
      <c r="P170">
        <v>1.7060530000000001E-2</v>
      </c>
      <c r="Q170" t="str">
        <f t="shared" si="4"/>
        <v>&lt;01</v>
      </c>
      <c r="R170" t="str">
        <f t="shared" si="5"/>
        <v>[kxuuIFpOXyO]|&lt;01|Female|TX_CURR_SUBNAT.R|CY2023Q4</v>
      </c>
    </row>
    <row r="171" spans="1:18" x14ac:dyDescent="0.2">
      <c r="A171" s="227"/>
      <c r="B171" s="227"/>
      <c r="C171" s="227"/>
      <c r="D171" t="s">
        <v>90</v>
      </c>
      <c r="E171" t="s">
        <v>91</v>
      </c>
      <c r="F171" t="s">
        <v>92</v>
      </c>
      <c r="G171" t="s">
        <v>26</v>
      </c>
      <c r="H171" t="s">
        <v>27</v>
      </c>
      <c r="I171" t="s">
        <v>33</v>
      </c>
      <c r="J171" t="s">
        <v>34</v>
      </c>
      <c r="K171" t="s">
        <v>30</v>
      </c>
      <c r="L171" t="s">
        <v>31</v>
      </c>
      <c r="M171" t="s">
        <v>32</v>
      </c>
      <c r="N171">
        <v>145</v>
      </c>
      <c r="O171">
        <v>5.6399479000000002E-2</v>
      </c>
      <c r="P171">
        <v>1.7060530000000001E-2</v>
      </c>
      <c r="Q171" t="str">
        <f t="shared" si="4"/>
        <v>01-09</v>
      </c>
      <c r="R171" t="str">
        <f t="shared" si="5"/>
        <v>[kxuuIFpOXyO]|01-09|Female|TX_CURR_SUBNAT.R|CY2023Q4</v>
      </c>
    </row>
    <row r="172" spans="1:18" x14ac:dyDescent="0.2">
      <c r="A172" s="227"/>
      <c r="B172" s="227"/>
      <c r="C172" s="227"/>
      <c r="D172" t="s">
        <v>90</v>
      </c>
      <c r="E172" t="s">
        <v>91</v>
      </c>
      <c r="F172" t="s">
        <v>92</v>
      </c>
      <c r="G172" t="s">
        <v>26</v>
      </c>
      <c r="H172" t="s">
        <v>27</v>
      </c>
      <c r="I172" t="s">
        <v>36</v>
      </c>
      <c r="J172" t="s">
        <v>37</v>
      </c>
      <c r="K172" t="s">
        <v>30</v>
      </c>
      <c r="L172" t="s">
        <v>31</v>
      </c>
      <c r="M172" t="s">
        <v>32</v>
      </c>
      <c r="N172">
        <v>191</v>
      </c>
      <c r="O172">
        <v>4.6117075E-2</v>
      </c>
      <c r="P172">
        <v>1.7060530000000001E-2</v>
      </c>
      <c r="Q172" t="str">
        <f t="shared" si="4"/>
        <v>10-14</v>
      </c>
      <c r="R172" t="str">
        <f t="shared" si="5"/>
        <v>[kxuuIFpOXyO]|10-14|Female|TX_CURR_SUBNAT.R|CY2023Q4</v>
      </c>
    </row>
    <row r="173" spans="1:18" x14ac:dyDescent="0.2">
      <c r="A173" s="227"/>
      <c r="B173" s="227"/>
      <c r="C173" s="227"/>
      <c r="D173" t="s">
        <v>90</v>
      </c>
      <c r="E173" t="s">
        <v>91</v>
      </c>
      <c r="F173" t="s">
        <v>92</v>
      </c>
      <c r="G173" t="s">
        <v>26</v>
      </c>
      <c r="H173" t="s">
        <v>27</v>
      </c>
      <c r="I173" t="s">
        <v>38</v>
      </c>
      <c r="J173" t="s">
        <v>39</v>
      </c>
      <c r="K173" t="s">
        <v>30</v>
      </c>
      <c r="L173" t="s">
        <v>31</v>
      </c>
      <c r="M173" t="s">
        <v>32</v>
      </c>
      <c r="N173">
        <v>891</v>
      </c>
      <c r="O173">
        <v>6.8994811000000003E-2</v>
      </c>
      <c r="P173">
        <v>1.7060530000000001E-2</v>
      </c>
      <c r="Q173" t="str">
        <f t="shared" si="4"/>
        <v>15-24</v>
      </c>
      <c r="R173" t="str">
        <f t="shared" si="5"/>
        <v>[kxuuIFpOXyO]|15-24|Female|TX_CURR_SUBNAT.R|CY2023Q4</v>
      </c>
    </row>
    <row r="174" spans="1:18" x14ac:dyDescent="0.2">
      <c r="A174" s="227"/>
      <c r="B174" s="227"/>
      <c r="C174" s="227"/>
      <c r="D174" t="s">
        <v>90</v>
      </c>
      <c r="E174" t="s">
        <v>91</v>
      </c>
      <c r="F174" t="s">
        <v>92</v>
      </c>
      <c r="G174" t="s">
        <v>26</v>
      </c>
      <c r="H174" t="s">
        <v>27</v>
      </c>
      <c r="I174" t="s">
        <v>41</v>
      </c>
      <c r="J174" t="s">
        <v>42</v>
      </c>
      <c r="K174" t="s">
        <v>30</v>
      </c>
      <c r="L174" t="s">
        <v>31</v>
      </c>
      <c r="M174" t="s">
        <v>32</v>
      </c>
      <c r="N174">
        <v>2447</v>
      </c>
      <c r="O174">
        <v>4.2611527000000003E-2</v>
      </c>
      <c r="P174">
        <v>1.7060530000000001E-2</v>
      </c>
      <c r="Q174" t="str">
        <f t="shared" si="4"/>
        <v>25-34</v>
      </c>
      <c r="R174" t="str">
        <f t="shared" si="5"/>
        <v>[kxuuIFpOXyO]|25-34|Female|TX_CURR_SUBNAT.R|CY2023Q4</v>
      </c>
    </row>
    <row r="175" spans="1:18" x14ac:dyDescent="0.2">
      <c r="A175" s="227"/>
      <c r="B175" s="227"/>
      <c r="C175" s="227"/>
      <c r="D175" t="s">
        <v>90</v>
      </c>
      <c r="E175" t="s">
        <v>91</v>
      </c>
      <c r="F175" t="s">
        <v>92</v>
      </c>
      <c r="G175" t="s">
        <v>26</v>
      </c>
      <c r="H175" t="s">
        <v>27</v>
      </c>
      <c r="I175" t="s">
        <v>43</v>
      </c>
      <c r="J175" t="s">
        <v>44</v>
      </c>
      <c r="K175" t="s">
        <v>30</v>
      </c>
      <c r="L175" t="s">
        <v>31</v>
      </c>
      <c r="M175" t="s">
        <v>32</v>
      </c>
      <c r="N175">
        <v>6291</v>
      </c>
      <c r="O175">
        <v>2.6853424000000001E-2</v>
      </c>
      <c r="P175">
        <v>1.7060530000000001E-2</v>
      </c>
      <c r="Q175" t="str">
        <f t="shared" si="4"/>
        <v>35-49</v>
      </c>
      <c r="R175" t="str">
        <f t="shared" si="5"/>
        <v>[kxuuIFpOXyO]|35-49|Female|TX_CURR_SUBNAT.R|CY2023Q4</v>
      </c>
    </row>
    <row r="176" spans="1:18" x14ac:dyDescent="0.2">
      <c r="A176" s="227"/>
      <c r="B176" s="227"/>
      <c r="C176" s="227"/>
      <c r="D176" t="s">
        <v>90</v>
      </c>
      <c r="E176" t="s">
        <v>91</v>
      </c>
      <c r="F176" t="s">
        <v>92</v>
      </c>
      <c r="G176" t="s">
        <v>26</v>
      </c>
      <c r="H176" t="s">
        <v>27</v>
      </c>
      <c r="I176" t="s">
        <v>45</v>
      </c>
      <c r="J176" t="s">
        <v>46</v>
      </c>
      <c r="K176" t="s">
        <v>30</v>
      </c>
      <c r="L176" t="s">
        <v>31</v>
      </c>
      <c r="M176" t="s">
        <v>32</v>
      </c>
      <c r="N176">
        <v>2737</v>
      </c>
      <c r="O176">
        <v>4.5939225E-2</v>
      </c>
      <c r="P176">
        <v>1.7060530000000001E-2</v>
      </c>
      <c r="Q176" t="str">
        <f t="shared" si="4"/>
        <v>50+</v>
      </c>
      <c r="R176" t="str">
        <f t="shared" si="5"/>
        <v>[kxuuIFpOXyO]|50+|Female|TX_CURR_SUBNAT.R|CY2023Q4</v>
      </c>
    </row>
    <row r="177" spans="1:18" x14ac:dyDescent="0.2">
      <c r="A177" s="227"/>
      <c r="B177" s="227"/>
      <c r="C177" s="227"/>
      <c r="D177" t="s">
        <v>90</v>
      </c>
      <c r="E177" t="s">
        <v>91</v>
      </c>
      <c r="F177" t="s">
        <v>92</v>
      </c>
      <c r="G177" t="s">
        <v>26</v>
      </c>
      <c r="H177" t="s">
        <v>27</v>
      </c>
      <c r="I177" t="s">
        <v>28</v>
      </c>
      <c r="J177" t="s">
        <v>29</v>
      </c>
      <c r="K177" t="s">
        <v>48</v>
      </c>
      <c r="L177" t="s">
        <v>49</v>
      </c>
      <c r="M177" t="s">
        <v>32</v>
      </c>
      <c r="N177">
        <v>8</v>
      </c>
      <c r="O177">
        <v>4.5765110999999997E-2</v>
      </c>
      <c r="P177">
        <v>1.7060530000000001E-2</v>
      </c>
      <c r="Q177" t="str">
        <f t="shared" si="4"/>
        <v>&lt;01</v>
      </c>
      <c r="R177" t="str">
        <f t="shared" si="5"/>
        <v>[kxuuIFpOXyO]|&lt;01|Male|TX_CURR_SUBNAT.R|CY2023Q4</v>
      </c>
    </row>
    <row r="178" spans="1:18" x14ac:dyDescent="0.2">
      <c r="A178" s="227"/>
      <c r="B178" s="227"/>
      <c r="C178" s="227"/>
      <c r="D178" t="s">
        <v>90</v>
      </c>
      <c r="E178" t="s">
        <v>91</v>
      </c>
      <c r="F178" t="s">
        <v>92</v>
      </c>
      <c r="G178" t="s">
        <v>26</v>
      </c>
      <c r="H178" t="s">
        <v>27</v>
      </c>
      <c r="I178" t="s">
        <v>33</v>
      </c>
      <c r="J178" t="s">
        <v>34</v>
      </c>
      <c r="K178" t="s">
        <v>48</v>
      </c>
      <c r="L178" t="s">
        <v>49</v>
      </c>
      <c r="M178" t="s">
        <v>32</v>
      </c>
      <c r="N178">
        <v>150</v>
      </c>
      <c r="O178">
        <v>4.2060386999999998E-2</v>
      </c>
      <c r="P178">
        <v>1.7060530000000001E-2</v>
      </c>
      <c r="Q178" t="str">
        <f t="shared" si="4"/>
        <v>01-09</v>
      </c>
      <c r="R178" t="str">
        <f t="shared" si="5"/>
        <v>[kxuuIFpOXyO]|01-09|Male|TX_CURR_SUBNAT.R|CY2023Q4</v>
      </c>
    </row>
    <row r="179" spans="1:18" x14ac:dyDescent="0.2">
      <c r="A179" s="227"/>
      <c r="B179" s="227"/>
      <c r="C179" s="227"/>
      <c r="D179" t="s">
        <v>90</v>
      </c>
      <c r="E179" t="s">
        <v>91</v>
      </c>
      <c r="F179" t="s">
        <v>92</v>
      </c>
      <c r="G179" t="s">
        <v>26</v>
      </c>
      <c r="H179" t="s">
        <v>27</v>
      </c>
      <c r="I179" t="s">
        <v>36</v>
      </c>
      <c r="J179" t="s">
        <v>37</v>
      </c>
      <c r="K179" t="s">
        <v>48</v>
      </c>
      <c r="L179" t="s">
        <v>49</v>
      </c>
      <c r="M179" t="s">
        <v>32</v>
      </c>
      <c r="N179">
        <v>196</v>
      </c>
      <c r="O179">
        <v>3.7886734999999998E-2</v>
      </c>
      <c r="P179">
        <v>1.7060530000000001E-2</v>
      </c>
      <c r="Q179" t="str">
        <f t="shared" si="4"/>
        <v>10-14</v>
      </c>
      <c r="R179" t="str">
        <f t="shared" si="5"/>
        <v>[kxuuIFpOXyO]|10-14|Male|TX_CURR_SUBNAT.R|CY2023Q4</v>
      </c>
    </row>
    <row r="180" spans="1:18" x14ac:dyDescent="0.2">
      <c r="A180" s="227"/>
      <c r="B180" s="227"/>
      <c r="C180" s="227"/>
      <c r="D180" t="s">
        <v>90</v>
      </c>
      <c r="E180" t="s">
        <v>91</v>
      </c>
      <c r="F180" t="s">
        <v>92</v>
      </c>
      <c r="G180" t="s">
        <v>26</v>
      </c>
      <c r="H180" t="s">
        <v>27</v>
      </c>
      <c r="I180" t="s">
        <v>38</v>
      </c>
      <c r="J180" t="s">
        <v>39</v>
      </c>
      <c r="K180" t="s">
        <v>48</v>
      </c>
      <c r="L180" t="s">
        <v>49</v>
      </c>
      <c r="M180" t="s">
        <v>32</v>
      </c>
      <c r="N180">
        <v>629</v>
      </c>
      <c r="O180">
        <v>8.2992041000000003E-2</v>
      </c>
      <c r="P180">
        <v>1.7060530000000001E-2</v>
      </c>
      <c r="Q180" t="str">
        <f t="shared" si="4"/>
        <v>15-24</v>
      </c>
      <c r="R180" t="str">
        <f t="shared" si="5"/>
        <v>[kxuuIFpOXyO]|15-24|Male|TX_CURR_SUBNAT.R|CY2023Q4</v>
      </c>
    </row>
    <row r="181" spans="1:18" x14ac:dyDescent="0.2">
      <c r="A181" s="227"/>
      <c r="B181" s="227"/>
      <c r="C181" s="227"/>
      <c r="D181" t="s">
        <v>90</v>
      </c>
      <c r="E181" t="s">
        <v>91</v>
      </c>
      <c r="F181" t="s">
        <v>92</v>
      </c>
      <c r="G181" t="s">
        <v>26</v>
      </c>
      <c r="H181" t="s">
        <v>27</v>
      </c>
      <c r="I181" t="s">
        <v>41</v>
      </c>
      <c r="J181" t="s">
        <v>42</v>
      </c>
      <c r="K181" t="s">
        <v>48</v>
      </c>
      <c r="L181" t="s">
        <v>49</v>
      </c>
      <c r="M181" t="s">
        <v>32</v>
      </c>
      <c r="N181">
        <v>863</v>
      </c>
      <c r="O181">
        <v>7.0845943999999994E-2</v>
      </c>
      <c r="P181">
        <v>1.7060530000000001E-2</v>
      </c>
      <c r="Q181" t="str">
        <f t="shared" si="4"/>
        <v>25-34</v>
      </c>
      <c r="R181" t="str">
        <f t="shared" si="5"/>
        <v>[kxuuIFpOXyO]|25-34|Male|TX_CURR_SUBNAT.R|CY2023Q4</v>
      </c>
    </row>
    <row r="182" spans="1:18" x14ac:dyDescent="0.2">
      <c r="A182" s="227"/>
      <c r="B182" s="227"/>
      <c r="C182" s="227"/>
      <c r="D182" t="s">
        <v>90</v>
      </c>
      <c r="E182" t="s">
        <v>91</v>
      </c>
      <c r="F182" t="s">
        <v>92</v>
      </c>
      <c r="G182" t="s">
        <v>26</v>
      </c>
      <c r="H182" t="s">
        <v>27</v>
      </c>
      <c r="I182" t="s">
        <v>43</v>
      </c>
      <c r="J182" t="s">
        <v>44</v>
      </c>
      <c r="K182" t="s">
        <v>48</v>
      </c>
      <c r="L182" t="s">
        <v>49</v>
      </c>
      <c r="M182" t="s">
        <v>32</v>
      </c>
      <c r="N182">
        <v>3529</v>
      </c>
      <c r="O182">
        <v>3.4115020000000003E-2</v>
      </c>
      <c r="P182">
        <v>1.7060530000000001E-2</v>
      </c>
      <c r="Q182" t="str">
        <f t="shared" si="4"/>
        <v>35-49</v>
      </c>
      <c r="R182" t="str">
        <f t="shared" si="5"/>
        <v>[kxuuIFpOXyO]|35-49|Male|TX_CURR_SUBNAT.R|CY2023Q4</v>
      </c>
    </row>
    <row r="183" spans="1:18" x14ac:dyDescent="0.2">
      <c r="A183" s="227"/>
      <c r="B183" s="227"/>
      <c r="C183" s="227"/>
      <c r="D183" t="s">
        <v>90</v>
      </c>
      <c r="E183" t="s">
        <v>91</v>
      </c>
      <c r="F183" t="s">
        <v>92</v>
      </c>
      <c r="G183" t="s">
        <v>26</v>
      </c>
      <c r="H183" t="s">
        <v>27</v>
      </c>
      <c r="I183" t="s">
        <v>45</v>
      </c>
      <c r="J183" t="s">
        <v>46</v>
      </c>
      <c r="K183" t="s">
        <v>48</v>
      </c>
      <c r="L183" t="s">
        <v>49</v>
      </c>
      <c r="M183" t="s">
        <v>32</v>
      </c>
      <c r="N183">
        <v>2554</v>
      </c>
      <c r="O183">
        <v>4.3433964999999998E-2</v>
      </c>
      <c r="P183">
        <v>1.7060530000000001E-2</v>
      </c>
      <c r="Q183" t="str">
        <f t="shared" si="4"/>
        <v>50+</v>
      </c>
      <c r="R183" t="str">
        <f t="shared" si="5"/>
        <v>[kxuuIFpOXyO]|50+|Male|TX_CURR_SUBNAT.R|CY2023Q4</v>
      </c>
    </row>
    <row r="184" spans="1:18" x14ac:dyDescent="0.2">
      <c r="A184" s="227"/>
      <c r="B184" s="227"/>
      <c r="C184" s="227"/>
      <c r="D184" t="s">
        <v>93</v>
      </c>
      <c r="E184" t="s">
        <v>94</v>
      </c>
      <c r="F184" t="s">
        <v>95</v>
      </c>
      <c r="G184" t="s">
        <v>26</v>
      </c>
      <c r="H184" t="s">
        <v>27</v>
      </c>
      <c r="I184" t="s">
        <v>28</v>
      </c>
      <c r="J184" t="s">
        <v>29</v>
      </c>
      <c r="K184" t="s">
        <v>30</v>
      </c>
      <c r="L184" t="s">
        <v>31</v>
      </c>
      <c r="M184" t="s">
        <v>32</v>
      </c>
      <c r="N184">
        <v>9</v>
      </c>
      <c r="O184">
        <v>5.8756694999999998E-2</v>
      </c>
      <c r="P184">
        <v>1.9961822000000001E-2</v>
      </c>
      <c r="Q184" t="str">
        <f t="shared" si="4"/>
        <v>&lt;01</v>
      </c>
      <c r="R184" t="str">
        <f t="shared" si="5"/>
        <v>[PekKUkKHAzY]|&lt;01|Female|TX_CURR_SUBNAT.R|CY2023Q4</v>
      </c>
    </row>
    <row r="185" spans="1:18" x14ac:dyDescent="0.2">
      <c r="A185" s="227"/>
      <c r="B185" s="227"/>
      <c r="C185" s="227"/>
      <c r="D185" t="s">
        <v>93</v>
      </c>
      <c r="E185" t="s">
        <v>94</v>
      </c>
      <c r="F185" t="s">
        <v>95</v>
      </c>
      <c r="G185" t="s">
        <v>26</v>
      </c>
      <c r="H185" t="s">
        <v>27</v>
      </c>
      <c r="I185" t="s">
        <v>33</v>
      </c>
      <c r="J185" t="s">
        <v>34</v>
      </c>
      <c r="K185" t="s">
        <v>30</v>
      </c>
      <c r="L185" t="s">
        <v>31</v>
      </c>
      <c r="M185" t="s">
        <v>32</v>
      </c>
      <c r="N185">
        <v>175</v>
      </c>
      <c r="O185">
        <v>5.2604076E-2</v>
      </c>
      <c r="P185">
        <v>1.9961822000000001E-2</v>
      </c>
      <c r="Q185" t="str">
        <f t="shared" si="4"/>
        <v>01-09</v>
      </c>
      <c r="R185" t="str">
        <f t="shared" si="5"/>
        <v>[PekKUkKHAzY]|01-09|Female|TX_CURR_SUBNAT.R|CY2023Q4</v>
      </c>
    </row>
    <row r="186" spans="1:18" x14ac:dyDescent="0.2">
      <c r="A186" s="227"/>
      <c r="B186" s="227"/>
      <c r="C186" s="227"/>
      <c r="D186" t="s">
        <v>93</v>
      </c>
      <c r="E186" t="s">
        <v>94</v>
      </c>
      <c r="F186" t="s">
        <v>95</v>
      </c>
      <c r="G186" t="s">
        <v>26</v>
      </c>
      <c r="H186" t="s">
        <v>27</v>
      </c>
      <c r="I186" t="s">
        <v>36</v>
      </c>
      <c r="J186" t="s">
        <v>37</v>
      </c>
      <c r="K186" t="s">
        <v>30</v>
      </c>
      <c r="L186" t="s">
        <v>31</v>
      </c>
      <c r="M186" t="s">
        <v>32</v>
      </c>
      <c r="N186">
        <v>225</v>
      </c>
      <c r="O186">
        <v>4.3955768999999999E-2</v>
      </c>
      <c r="P186">
        <v>1.9961822000000001E-2</v>
      </c>
      <c r="Q186" t="str">
        <f t="shared" si="4"/>
        <v>10-14</v>
      </c>
      <c r="R186" t="str">
        <f t="shared" si="5"/>
        <v>[PekKUkKHAzY]|10-14|Female|TX_CURR_SUBNAT.R|CY2023Q4</v>
      </c>
    </row>
    <row r="187" spans="1:18" x14ac:dyDescent="0.2">
      <c r="A187" s="227"/>
      <c r="B187" s="227"/>
      <c r="C187" s="227"/>
      <c r="D187" t="s">
        <v>93</v>
      </c>
      <c r="E187" t="s">
        <v>94</v>
      </c>
      <c r="F187" t="s">
        <v>95</v>
      </c>
      <c r="G187" t="s">
        <v>26</v>
      </c>
      <c r="H187" t="s">
        <v>27</v>
      </c>
      <c r="I187" t="s">
        <v>38</v>
      </c>
      <c r="J187" t="s">
        <v>39</v>
      </c>
      <c r="K187" t="s">
        <v>30</v>
      </c>
      <c r="L187" t="s">
        <v>31</v>
      </c>
      <c r="M187" t="s">
        <v>32</v>
      </c>
      <c r="N187">
        <v>993</v>
      </c>
      <c r="O187">
        <v>6.8716490000000005E-2</v>
      </c>
      <c r="P187">
        <v>1.9961822000000001E-2</v>
      </c>
      <c r="Q187" t="str">
        <f t="shared" si="4"/>
        <v>15-24</v>
      </c>
      <c r="R187" t="str">
        <f t="shared" si="5"/>
        <v>[PekKUkKHAzY]|15-24|Female|TX_CURR_SUBNAT.R|CY2023Q4</v>
      </c>
    </row>
    <row r="188" spans="1:18" x14ac:dyDescent="0.2">
      <c r="A188" s="227"/>
      <c r="B188" s="227"/>
      <c r="C188" s="227"/>
      <c r="D188" t="s">
        <v>93</v>
      </c>
      <c r="E188" t="s">
        <v>94</v>
      </c>
      <c r="F188" t="s">
        <v>95</v>
      </c>
      <c r="G188" t="s">
        <v>26</v>
      </c>
      <c r="H188" t="s">
        <v>27</v>
      </c>
      <c r="I188" t="s">
        <v>41</v>
      </c>
      <c r="J188" t="s">
        <v>42</v>
      </c>
      <c r="K188" t="s">
        <v>30</v>
      </c>
      <c r="L188" t="s">
        <v>31</v>
      </c>
      <c r="M188" t="s">
        <v>32</v>
      </c>
      <c r="N188">
        <v>2723</v>
      </c>
      <c r="O188">
        <v>4.4303114999999997E-2</v>
      </c>
      <c r="P188">
        <v>1.9961822000000001E-2</v>
      </c>
      <c r="Q188" t="str">
        <f t="shared" si="4"/>
        <v>25-34</v>
      </c>
      <c r="R188" t="str">
        <f t="shared" si="5"/>
        <v>[PekKUkKHAzY]|25-34|Female|TX_CURR_SUBNAT.R|CY2023Q4</v>
      </c>
    </row>
    <row r="189" spans="1:18" x14ac:dyDescent="0.2">
      <c r="A189" s="227"/>
      <c r="B189" s="227"/>
      <c r="C189" s="227"/>
      <c r="D189" t="s">
        <v>93</v>
      </c>
      <c r="E189" t="s">
        <v>94</v>
      </c>
      <c r="F189" t="s">
        <v>95</v>
      </c>
      <c r="G189" t="s">
        <v>26</v>
      </c>
      <c r="H189" t="s">
        <v>27</v>
      </c>
      <c r="I189" t="s">
        <v>43</v>
      </c>
      <c r="J189" t="s">
        <v>44</v>
      </c>
      <c r="K189" t="s">
        <v>30</v>
      </c>
      <c r="L189" t="s">
        <v>31</v>
      </c>
      <c r="M189" t="s">
        <v>32</v>
      </c>
      <c r="N189">
        <v>7176</v>
      </c>
      <c r="O189">
        <v>2.8208962000000001E-2</v>
      </c>
      <c r="P189">
        <v>1.9961822000000001E-2</v>
      </c>
      <c r="Q189" t="str">
        <f t="shared" si="4"/>
        <v>35-49</v>
      </c>
      <c r="R189" t="str">
        <f t="shared" si="5"/>
        <v>[PekKUkKHAzY]|35-49|Female|TX_CURR_SUBNAT.R|CY2023Q4</v>
      </c>
    </row>
    <row r="190" spans="1:18" x14ac:dyDescent="0.2">
      <c r="A190" s="227"/>
      <c r="B190" s="227"/>
      <c r="C190" s="227"/>
      <c r="D190" t="s">
        <v>93</v>
      </c>
      <c r="E190" t="s">
        <v>94</v>
      </c>
      <c r="F190" t="s">
        <v>95</v>
      </c>
      <c r="G190" t="s">
        <v>26</v>
      </c>
      <c r="H190" t="s">
        <v>27</v>
      </c>
      <c r="I190" t="s">
        <v>45</v>
      </c>
      <c r="J190" t="s">
        <v>46</v>
      </c>
      <c r="K190" t="s">
        <v>30</v>
      </c>
      <c r="L190" t="s">
        <v>31</v>
      </c>
      <c r="M190" t="s">
        <v>32</v>
      </c>
      <c r="N190">
        <v>3364</v>
      </c>
      <c r="O190">
        <v>4.7805688999999998E-2</v>
      </c>
      <c r="P190">
        <v>1.9961822000000001E-2</v>
      </c>
      <c r="Q190" t="str">
        <f t="shared" si="4"/>
        <v>50+</v>
      </c>
      <c r="R190" t="str">
        <f t="shared" si="5"/>
        <v>[PekKUkKHAzY]|50+|Female|TX_CURR_SUBNAT.R|CY2023Q4</v>
      </c>
    </row>
    <row r="191" spans="1:18" x14ac:dyDescent="0.2">
      <c r="A191" s="227"/>
      <c r="B191" s="227"/>
      <c r="C191" s="227"/>
      <c r="D191" t="s">
        <v>93</v>
      </c>
      <c r="E191" t="s">
        <v>94</v>
      </c>
      <c r="F191" t="s">
        <v>95</v>
      </c>
      <c r="G191" t="s">
        <v>26</v>
      </c>
      <c r="H191" t="s">
        <v>27</v>
      </c>
      <c r="I191" t="s">
        <v>28</v>
      </c>
      <c r="J191" t="s">
        <v>29</v>
      </c>
      <c r="K191" t="s">
        <v>48</v>
      </c>
      <c r="L191" t="s">
        <v>49</v>
      </c>
      <c r="M191" t="s">
        <v>32</v>
      </c>
      <c r="N191">
        <v>10</v>
      </c>
      <c r="O191">
        <v>4.3002431000000001E-2</v>
      </c>
      <c r="P191">
        <v>1.9961822000000001E-2</v>
      </c>
      <c r="Q191" t="str">
        <f t="shared" si="4"/>
        <v>&lt;01</v>
      </c>
      <c r="R191" t="str">
        <f t="shared" si="5"/>
        <v>[PekKUkKHAzY]|&lt;01|Male|TX_CURR_SUBNAT.R|CY2023Q4</v>
      </c>
    </row>
    <row r="192" spans="1:18" x14ac:dyDescent="0.2">
      <c r="A192" s="227"/>
      <c r="B192" s="227"/>
      <c r="C192" s="227"/>
      <c r="D192" t="s">
        <v>93</v>
      </c>
      <c r="E192" t="s">
        <v>94</v>
      </c>
      <c r="F192" t="s">
        <v>95</v>
      </c>
      <c r="G192" t="s">
        <v>26</v>
      </c>
      <c r="H192" t="s">
        <v>27</v>
      </c>
      <c r="I192" t="s">
        <v>33</v>
      </c>
      <c r="J192" t="s">
        <v>34</v>
      </c>
      <c r="K192" t="s">
        <v>48</v>
      </c>
      <c r="L192" t="s">
        <v>49</v>
      </c>
      <c r="M192" t="s">
        <v>32</v>
      </c>
      <c r="N192">
        <v>180</v>
      </c>
      <c r="O192">
        <v>4.1347841000000003E-2</v>
      </c>
      <c r="P192">
        <v>1.9961822000000001E-2</v>
      </c>
      <c r="Q192" t="str">
        <f t="shared" si="4"/>
        <v>01-09</v>
      </c>
      <c r="R192" t="str">
        <f t="shared" si="5"/>
        <v>[PekKUkKHAzY]|01-09|Male|TX_CURR_SUBNAT.R|CY2023Q4</v>
      </c>
    </row>
    <row r="193" spans="1:18" x14ac:dyDescent="0.2">
      <c r="A193" s="227"/>
      <c r="B193" s="227"/>
      <c r="C193" s="227"/>
      <c r="D193" t="s">
        <v>93</v>
      </c>
      <c r="E193" t="s">
        <v>94</v>
      </c>
      <c r="F193" t="s">
        <v>95</v>
      </c>
      <c r="G193" t="s">
        <v>26</v>
      </c>
      <c r="H193" t="s">
        <v>27</v>
      </c>
      <c r="I193" t="s">
        <v>36</v>
      </c>
      <c r="J193" t="s">
        <v>37</v>
      </c>
      <c r="K193" t="s">
        <v>48</v>
      </c>
      <c r="L193" t="s">
        <v>49</v>
      </c>
      <c r="M193" t="s">
        <v>32</v>
      </c>
      <c r="N193">
        <v>228</v>
      </c>
      <c r="O193">
        <v>3.7482660000000001E-2</v>
      </c>
      <c r="P193">
        <v>1.9961822000000001E-2</v>
      </c>
      <c r="Q193" t="str">
        <f t="shared" si="4"/>
        <v>10-14</v>
      </c>
      <c r="R193" t="str">
        <f t="shared" si="5"/>
        <v>[PekKUkKHAzY]|10-14|Male|TX_CURR_SUBNAT.R|CY2023Q4</v>
      </c>
    </row>
    <row r="194" spans="1:18" x14ac:dyDescent="0.2">
      <c r="A194" s="227"/>
      <c r="B194" s="227"/>
      <c r="C194" s="227"/>
      <c r="D194" t="s">
        <v>93</v>
      </c>
      <c r="E194" t="s">
        <v>94</v>
      </c>
      <c r="F194" t="s">
        <v>95</v>
      </c>
      <c r="G194" t="s">
        <v>26</v>
      </c>
      <c r="H194" t="s">
        <v>27</v>
      </c>
      <c r="I194" t="s">
        <v>38</v>
      </c>
      <c r="J194" t="s">
        <v>39</v>
      </c>
      <c r="K194" t="s">
        <v>48</v>
      </c>
      <c r="L194" t="s">
        <v>49</v>
      </c>
      <c r="M194" t="s">
        <v>32</v>
      </c>
      <c r="N194">
        <v>661</v>
      </c>
      <c r="O194">
        <v>7.8918045000000006E-2</v>
      </c>
      <c r="P194">
        <v>1.9961822000000001E-2</v>
      </c>
      <c r="Q194" t="str">
        <f t="shared" si="4"/>
        <v>15-24</v>
      </c>
      <c r="R194" t="str">
        <f t="shared" si="5"/>
        <v>[PekKUkKHAzY]|15-24|Male|TX_CURR_SUBNAT.R|CY2023Q4</v>
      </c>
    </row>
    <row r="195" spans="1:18" x14ac:dyDescent="0.2">
      <c r="A195" s="227"/>
      <c r="B195" s="227"/>
      <c r="C195" s="227"/>
      <c r="D195" t="s">
        <v>93</v>
      </c>
      <c r="E195" t="s">
        <v>94</v>
      </c>
      <c r="F195" t="s">
        <v>95</v>
      </c>
      <c r="G195" t="s">
        <v>26</v>
      </c>
      <c r="H195" t="s">
        <v>27</v>
      </c>
      <c r="I195" t="s">
        <v>41</v>
      </c>
      <c r="J195" t="s">
        <v>42</v>
      </c>
      <c r="K195" t="s">
        <v>48</v>
      </c>
      <c r="L195" t="s">
        <v>49</v>
      </c>
      <c r="M195" t="s">
        <v>32</v>
      </c>
      <c r="N195">
        <v>848</v>
      </c>
      <c r="O195">
        <v>7.2457574999999996E-2</v>
      </c>
      <c r="P195">
        <v>1.9961822000000001E-2</v>
      </c>
      <c r="Q195" t="str">
        <f t="shared" ref="Q195:Q258" si="6">SUBSTITUTE(SUBSTITUTE($I195,CHAR(61),""),CHAR(34),"")</f>
        <v>25-34</v>
      </c>
      <c r="R195" t="str">
        <f t="shared" ref="R195:R258" si="7">IF($D195&lt;&gt;"","["&amp;$E195&amp;"]"&amp;"|"&amp;$Q195&amp;"|"&amp;$K195&amp;"|"&amp;$G195&amp;"|"&amp;IF($G195="TX_CURR_SUBNAT.R","CY2023Q4",$M195),"")</f>
        <v>[PekKUkKHAzY]|25-34|Male|TX_CURR_SUBNAT.R|CY2023Q4</v>
      </c>
    </row>
    <row r="196" spans="1:18" x14ac:dyDescent="0.2">
      <c r="A196" s="227"/>
      <c r="B196" s="227"/>
      <c r="C196" s="227"/>
      <c r="D196" t="s">
        <v>93</v>
      </c>
      <c r="E196" t="s">
        <v>94</v>
      </c>
      <c r="F196" t="s">
        <v>95</v>
      </c>
      <c r="G196" t="s">
        <v>26</v>
      </c>
      <c r="H196" t="s">
        <v>27</v>
      </c>
      <c r="I196" t="s">
        <v>43</v>
      </c>
      <c r="J196" t="s">
        <v>44</v>
      </c>
      <c r="K196" t="s">
        <v>48</v>
      </c>
      <c r="L196" t="s">
        <v>49</v>
      </c>
      <c r="M196" t="s">
        <v>32</v>
      </c>
      <c r="N196">
        <v>3552</v>
      </c>
      <c r="O196">
        <v>3.6909675000000003E-2</v>
      </c>
      <c r="P196">
        <v>1.9961822000000001E-2</v>
      </c>
      <c r="Q196" t="str">
        <f t="shared" si="6"/>
        <v>35-49</v>
      </c>
      <c r="R196" t="str">
        <f t="shared" si="7"/>
        <v>[PekKUkKHAzY]|35-49|Male|TX_CURR_SUBNAT.R|CY2023Q4</v>
      </c>
    </row>
    <row r="197" spans="1:18" x14ac:dyDescent="0.2">
      <c r="A197" s="227"/>
      <c r="B197" s="227"/>
      <c r="C197" s="227"/>
      <c r="D197" t="s">
        <v>93</v>
      </c>
      <c r="E197" t="s">
        <v>94</v>
      </c>
      <c r="F197" t="s">
        <v>95</v>
      </c>
      <c r="G197" t="s">
        <v>26</v>
      </c>
      <c r="H197" t="s">
        <v>27</v>
      </c>
      <c r="I197" t="s">
        <v>45</v>
      </c>
      <c r="J197" t="s">
        <v>46</v>
      </c>
      <c r="K197" t="s">
        <v>48</v>
      </c>
      <c r="L197" t="s">
        <v>49</v>
      </c>
      <c r="M197" t="s">
        <v>32</v>
      </c>
      <c r="N197">
        <v>2583</v>
      </c>
      <c r="O197">
        <v>4.3915783E-2</v>
      </c>
      <c r="P197">
        <v>1.9961822000000001E-2</v>
      </c>
      <c r="Q197" t="str">
        <f t="shared" si="6"/>
        <v>50+</v>
      </c>
      <c r="R197" t="str">
        <f t="shared" si="7"/>
        <v>[PekKUkKHAzY]|50+|Male|TX_CURR_SUBNAT.R|CY2023Q4</v>
      </c>
    </row>
    <row r="198" spans="1:18" x14ac:dyDescent="0.2">
      <c r="A198" s="227"/>
      <c r="B198" s="227"/>
      <c r="C198" s="227"/>
      <c r="D198" t="s">
        <v>96</v>
      </c>
      <c r="E198" t="s">
        <v>97</v>
      </c>
      <c r="F198" t="s">
        <v>98</v>
      </c>
      <c r="G198" t="s">
        <v>26</v>
      </c>
      <c r="H198" t="s">
        <v>27</v>
      </c>
      <c r="I198" t="s">
        <v>28</v>
      </c>
      <c r="J198" t="s">
        <v>29</v>
      </c>
      <c r="K198" t="s">
        <v>30</v>
      </c>
      <c r="L198" t="s">
        <v>31</v>
      </c>
      <c r="M198" t="s">
        <v>32</v>
      </c>
      <c r="N198">
        <v>15</v>
      </c>
      <c r="O198">
        <v>4.9005251E-2</v>
      </c>
      <c r="P198">
        <v>1.5535912000000001E-2</v>
      </c>
      <c r="Q198" t="str">
        <f t="shared" si="6"/>
        <v>&lt;01</v>
      </c>
      <c r="R198" t="str">
        <f t="shared" si="7"/>
        <v>[am530wpaGvr]|&lt;01|Female|TX_CURR_SUBNAT.R|CY2023Q4</v>
      </c>
    </row>
    <row r="199" spans="1:18" x14ac:dyDescent="0.2">
      <c r="A199" s="227"/>
      <c r="B199" s="227"/>
      <c r="C199" s="227"/>
      <c r="D199" t="s">
        <v>96</v>
      </c>
      <c r="E199" t="s">
        <v>97</v>
      </c>
      <c r="F199" t="s">
        <v>98</v>
      </c>
      <c r="G199" t="s">
        <v>26</v>
      </c>
      <c r="H199" t="s">
        <v>27</v>
      </c>
      <c r="I199" t="s">
        <v>33</v>
      </c>
      <c r="J199" t="s">
        <v>34</v>
      </c>
      <c r="K199" t="s">
        <v>30</v>
      </c>
      <c r="L199" t="s">
        <v>31</v>
      </c>
      <c r="M199" t="s">
        <v>32</v>
      </c>
      <c r="N199">
        <v>270</v>
      </c>
      <c r="O199">
        <v>4.3765086000000002E-2</v>
      </c>
      <c r="P199">
        <v>1.5535912000000001E-2</v>
      </c>
      <c r="Q199" t="str">
        <f t="shared" si="6"/>
        <v>01-09</v>
      </c>
      <c r="R199" t="str">
        <f t="shared" si="7"/>
        <v>[am530wpaGvr]|01-09|Female|TX_CURR_SUBNAT.R|CY2023Q4</v>
      </c>
    </row>
    <row r="200" spans="1:18" x14ac:dyDescent="0.2">
      <c r="A200" s="227"/>
      <c r="B200" s="227"/>
      <c r="C200" s="227"/>
      <c r="D200" t="s">
        <v>96</v>
      </c>
      <c r="E200" t="s">
        <v>97</v>
      </c>
      <c r="F200" t="s">
        <v>98</v>
      </c>
      <c r="G200" t="s">
        <v>26</v>
      </c>
      <c r="H200" t="s">
        <v>27</v>
      </c>
      <c r="I200" t="s">
        <v>36</v>
      </c>
      <c r="J200" t="s">
        <v>37</v>
      </c>
      <c r="K200" t="s">
        <v>30</v>
      </c>
      <c r="L200" t="s">
        <v>31</v>
      </c>
      <c r="M200" t="s">
        <v>32</v>
      </c>
      <c r="N200">
        <v>347</v>
      </c>
      <c r="O200">
        <v>3.5666061999999998E-2</v>
      </c>
      <c r="P200">
        <v>1.5535912000000001E-2</v>
      </c>
      <c r="Q200" t="str">
        <f t="shared" si="6"/>
        <v>10-14</v>
      </c>
      <c r="R200" t="str">
        <f t="shared" si="7"/>
        <v>[am530wpaGvr]|10-14|Female|TX_CURR_SUBNAT.R|CY2023Q4</v>
      </c>
    </row>
    <row r="201" spans="1:18" x14ac:dyDescent="0.2">
      <c r="D201" t="s">
        <v>96</v>
      </c>
      <c r="E201" t="s">
        <v>97</v>
      </c>
      <c r="F201" t="s">
        <v>98</v>
      </c>
      <c r="G201" t="s">
        <v>26</v>
      </c>
      <c r="H201" t="s">
        <v>27</v>
      </c>
      <c r="I201" t="s">
        <v>38</v>
      </c>
      <c r="J201" t="s">
        <v>39</v>
      </c>
      <c r="K201" t="s">
        <v>30</v>
      </c>
      <c r="L201" t="s">
        <v>31</v>
      </c>
      <c r="M201" t="s">
        <v>32</v>
      </c>
      <c r="N201">
        <v>1493</v>
      </c>
      <c r="O201">
        <v>6.9074626E-2</v>
      </c>
      <c r="P201">
        <v>1.5535912000000001E-2</v>
      </c>
      <c r="Q201" t="str">
        <f t="shared" si="6"/>
        <v>15-24</v>
      </c>
      <c r="R201" t="str">
        <f t="shared" si="7"/>
        <v>[am530wpaGvr]|15-24|Female|TX_CURR_SUBNAT.R|CY2023Q4</v>
      </c>
    </row>
    <row r="202" spans="1:18" x14ac:dyDescent="0.2">
      <c r="D202" t="s">
        <v>96</v>
      </c>
      <c r="E202" t="s">
        <v>97</v>
      </c>
      <c r="F202" t="s">
        <v>98</v>
      </c>
      <c r="G202" t="s">
        <v>26</v>
      </c>
      <c r="H202" t="s">
        <v>27</v>
      </c>
      <c r="I202" t="s">
        <v>41</v>
      </c>
      <c r="J202" t="s">
        <v>42</v>
      </c>
      <c r="K202" t="s">
        <v>30</v>
      </c>
      <c r="L202" t="s">
        <v>31</v>
      </c>
      <c r="M202" t="s">
        <v>32</v>
      </c>
      <c r="N202">
        <v>3904</v>
      </c>
      <c r="O202">
        <v>4.268251E-2</v>
      </c>
      <c r="P202">
        <v>1.5535912000000001E-2</v>
      </c>
      <c r="Q202" t="str">
        <f t="shared" si="6"/>
        <v>25-34</v>
      </c>
      <c r="R202" t="str">
        <f t="shared" si="7"/>
        <v>[am530wpaGvr]|25-34|Female|TX_CURR_SUBNAT.R|CY2023Q4</v>
      </c>
    </row>
    <row r="203" spans="1:18" x14ac:dyDescent="0.2">
      <c r="D203" t="s">
        <v>96</v>
      </c>
      <c r="E203" t="s">
        <v>97</v>
      </c>
      <c r="F203" t="s">
        <v>98</v>
      </c>
      <c r="G203" t="s">
        <v>26</v>
      </c>
      <c r="H203" t="s">
        <v>27</v>
      </c>
      <c r="I203" t="s">
        <v>43</v>
      </c>
      <c r="J203" t="s">
        <v>44</v>
      </c>
      <c r="K203" t="s">
        <v>30</v>
      </c>
      <c r="L203" t="s">
        <v>31</v>
      </c>
      <c r="M203" t="s">
        <v>32</v>
      </c>
      <c r="N203">
        <v>10168</v>
      </c>
      <c r="O203">
        <v>2.4660331000000001E-2</v>
      </c>
      <c r="P203">
        <v>1.5535912000000001E-2</v>
      </c>
      <c r="Q203" t="str">
        <f t="shared" si="6"/>
        <v>35-49</v>
      </c>
      <c r="R203" t="str">
        <f t="shared" si="7"/>
        <v>[am530wpaGvr]|35-49|Female|TX_CURR_SUBNAT.R|CY2023Q4</v>
      </c>
    </row>
    <row r="204" spans="1:18" x14ac:dyDescent="0.2">
      <c r="D204" t="s">
        <v>96</v>
      </c>
      <c r="E204" t="s">
        <v>97</v>
      </c>
      <c r="F204" t="s">
        <v>98</v>
      </c>
      <c r="G204" t="s">
        <v>26</v>
      </c>
      <c r="H204" t="s">
        <v>27</v>
      </c>
      <c r="I204" t="s">
        <v>45</v>
      </c>
      <c r="J204" t="s">
        <v>46</v>
      </c>
      <c r="K204" t="s">
        <v>30</v>
      </c>
      <c r="L204" t="s">
        <v>31</v>
      </c>
      <c r="M204" t="s">
        <v>32</v>
      </c>
      <c r="N204">
        <v>4844</v>
      </c>
      <c r="O204">
        <v>4.2740444000000002E-2</v>
      </c>
      <c r="P204">
        <v>1.5535912000000001E-2</v>
      </c>
      <c r="Q204" t="str">
        <f t="shared" si="6"/>
        <v>50+</v>
      </c>
      <c r="R204" t="str">
        <f t="shared" si="7"/>
        <v>[am530wpaGvr]|50+|Female|TX_CURR_SUBNAT.R|CY2023Q4</v>
      </c>
    </row>
    <row r="205" spans="1:18" x14ac:dyDescent="0.2">
      <c r="D205" t="s">
        <v>96</v>
      </c>
      <c r="E205" t="s">
        <v>97</v>
      </c>
      <c r="F205" t="s">
        <v>98</v>
      </c>
      <c r="G205" t="s">
        <v>26</v>
      </c>
      <c r="H205" t="s">
        <v>27</v>
      </c>
      <c r="I205" t="s">
        <v>28</v>
      </c>
      <c r="J205" t="s">
        <v>29</v>
      </c>
      <c r="K205" t="s">
        <v>48</v>
      </c>
      <c r="L205" t="s">
        <v>49</v>
      </c>
      <c r="M205" t="s">
        <v>32</v>
      </c>
      <c r="N205">
        <v>15</v>
      </c>
      <c r="O205">
        <v>3.4420368999999999E-2</v>
      </c>
      <c r="P205">
        <v>1.5535912000000001E-2</v>
      </c>
      <c r="Q205" t="str">
        <f t="shared" si="6"/>
        <v>&lt;01</v>
      </c>
      <c r="R205" t="str">
        <f t="shared" si="7"/>
        <v>[am530wpaGvr]|&lt;01|Male|TX_CURR_SUBNAT.R|CY2023Q4</v>
      </c>
    </row>
    <row r="206" spans="1:18" x14ac:dyDescent="0.2">
      <c r="D206" t="s">
        <v>96</v>
      </c>
      <c r="E206" t="s">
        <v>97</v>
      </c>
      <c r="F206" t="s">
        <v>98</v>
      </c>
      <c r="G206" t="s">
        <v>26</v>
      </c>
      <c r="H206" t="s">
        <v>27</v>
      </c>
      <c r="I206" t="s">
        <v>33</v>
      </c>
      <c r="J206" t="s">
        <v>34</v>
      </c>
      <c r="K206" t="s">
        <v>48</v>
      </c>
      <c r="L206" t="s">
        <v>49</v>
      </c>
      <c r="M206" t="s">
        <v>32</v>
      </c>
      <c r="N206">
        <v>279</v>
      </c>
      <c r="O206">
        <v>3.2973615999999997E-2</v>
      </c>
      <c r="P206">
        <v>1.5535912000000001E-2</v>
      </c>
      <c r="Q206" t="str">
        <f t="shared" si="6"/>
        <v>01-09</v>
      </c>
      <c r="R206" t="str">
        <f t="shared" si="7"/>
        <v>[am530wpaGvr]|01-09|Male|TX_CURR_SUBNAT.R|CY2023Q4</v>
      </c>
    </row>
    <row r="207" spans="1:18" x14ac:dyDescent="0.2">
      <c r="D207" t="s">
        <v>96</v>
      </c>
      <c r="E207" t="s">
        <v>97</v>
      </c>
      <c r="F207" t="s">
        <v>98</v>
      </c>
      <c r="G207" t="s">
        <v>26</v>
      </c>
      <c r="H207" t="s">
        <v>27</v>
      </c>
      <c r="I207" t="s">
        <v>36</v>
      </c>
      <c r="J207" t="s">
        <v>37</v>
      </c>
      <c r="K207" t="s">
        <v>48</v>
      </c>
      <c r="L207" t="s">
        <v>49</v>
      </c>
      <c r="M207" t="s">
        <v>32</v>
      </c>
      <c r="N207">
        <v>357</v>
      </c>
      <c r="O207">
        <v>2.8838499E-2</v>
      </c>
      <c r="P207">
        <v>1.5535912000000001E-2</v>
      </c>
      <c r="Q207" t="str">
        <f t="shared" si="6"/>
        <v>10-14</v>
      </c>
      <c r="R207" t="str">
        <f t="shared" si="7"/>
        <v>[am530wpaGvr]|10-14|Male|TX_CURR_SUBNAT.R|CY2023Q4</v>
      </c>
    </row>
    <row r="208" spans="1:18" x14ac:dyDescent="0.2">
      <c r="D208" t="s">
        <v>96</v>
      </c>
      <c r="E208" t="s">
        <v>97</v>
      </c>
      <c r="F208" t="s">
        <v>98</v>
      </c>
      <c r="G208" t="s">
        <v>26</v>
      </c>
      <c r="H208" t="s">
        <v>27</v>
      </c>
      <c r="I208" t="s">
        <v>38</v>
      </c>
      <c r="J208" t="s">
        <v>39</v>
      </c>
      <c r="K208" t="s">
        <v>48</v>
      </c>
      <c r="L208" t="s">
        <v>49</v>
      </c>
      <c r="M208" t="s">
        <v>32</v>
      </c>
      <c r="N208">
        <v>983</v>
      </c>
      <c r="O208">
        <v>7.7572186000000001E-2</v>
      </c>
      <c r="P208">
        <v>1.5535912000000001E-2</v>
      </c>
      <c r="Q208" t="str">
        <f t="shared" si="6"/>
        <v>15-24</v>
      </c>
      <c r="R208" t="str">
        <f t="shared" si="7"/>
        <v>[am530wpaGvr]|15-24|Male|TX_CURR_SUBNAT.R|CY2023Q4</v>
      </c>
    </row>
    <row r="209" spans="4:18" x14ac:dyDescent="0.2">
      <c r="D209" t="s">
        <v>96</v>
      </c>
      <c r="E209" t="s">
        <v>97</v>
      </c>
      <c r="F209" t="s">
        <v>98</v>
      </c>
      <c r="G209" t="s">
        <v>26</v>
      </c>
      <c r="H209" t="s">
        <v>27</v>
      </c>
      <c r="I209" t="s">
        <v>41</v>
      </c>
      <c r="J209" t="s">
        <v>42</v>
      </c>
      <c r="K209" t="s">
        <v>48</v>
      </c>
      <c r="L209" t="s">
        <v>49</v>
      </c>
      <c r="M209" t="s">
        <v>32</v>
      </c>
      <c r="N209">
        <v>1192</v>
      </c>
      <c r="O209">
        <v>7.0762849000000003E-2</v>
      </c>
      <c r="P209">
        <v>1.5535912000000001E-2</v>
      </c>
      <c r="Q209" t="str">
        <f t="shared" si="6"/>
        <v>25-34</v>
      </c>
      <c r="R209" t="str">
        <f t="shared" si="7"/>
        <v>[am530wpaGvr]|25-34|Male|TX_CURR_SUBNAT.R|CY2023Q4</v>
      </c>
    </row>
    <row r="210" spans="4:18" x14ac:dyDescent="0.2">
      <c r="D210" t="s">
        <v>96</v>
      </c>
      <c r="E210" t="s">
        <v>97</v>
      </c>
      <c r="F210" t="s">
        <v>98</v>
      </c>
      <c r="G210" t="s">
        <v>26</v>
      </c>
      <c r="H210" t="s">
        <v>27</v>
      </c>
      <c r="I210" t="s">
        <v>43</v>
      </c>
      <c r="J210" t="s">
        <v>44</v>
      </c>
      <c r="K210" t="s">
        <v>48</v>
      </c>
      <c r="L210" t="s">
        <v>49</v>
      </c>
      <c r="M210" t="s">
        <v>32</v>
      </c>
      <c r="N210">
        <v>4812</v>
      </c>
      <c r="O210">
        <v>3.2572390999999999E-2</v>
      </c>
      <c r="P210">
        <v>1.5535912000000001E-2</v>
      </c>
      <c r="Q210" t="str">
        <f t="shared" si="6"/>
        <v>35-49</v>
      </c>
      <c r="R210" t="str">
        <f t="shared" si="7"/>
        <v>[am530wpaGvr]|35-49|Male|TX_CURR_SUBNAT.R|CY2023Q4</v>
      </c>
    </row>
    <row r="211" spans="4:18" x14ac:dyDescent="0.2">
      <c r="D211" t="s">
        <v>96</v>
      </c>
      <c r="E211" t="s">
        <v>97</v>
      </c>
      <c r="F211" t="s">
        <v>98</v>
      </c>
      <c r="G211" t="s">
        <v>26</v>
      </c>
      <c r="H211" t="s">
        <v>27</v>
      </c>
      <c r="I211" t="s">
        <v>45</v>
      </c>
      <c r="J211" t="s">
        <v>46</v>
      </c>
      <c r="K211" t="s">
        <v>48</v>
      </c>
      <c r="L211" t="s">
        <v>49</v>
      </c>
      <c r="M211" t="s">
        <v>32</v>
      </c>
      <c r="N211">
        <v>3488</v>
      </c>
      <c r="O211">
        <v>4.2101277999999999E-2</v>
      </c>
      <c r="P211">
        <v>1.5535912000000001E-2</v>
      </c>
      <c r="Q211" t="str">
        <f t="shared" si="6"/>
        <v>50+</v>
      </c>
      <c r="R211" t="str">
        <f t="shared" si="7"/>
        <v>[am530wpaGvr]|50+|Male|TX_CURR_SUBNAT.R|CY2023Q4</v>
      </c>
    </row>
    <row r="212" spans="4:18" x14ac:dyDescent="0.2">
      <c r="D212" t="s">
        <v>99</v>
      </c>
      <c r="E212" t="s">
        <v>100</v>
      </c>
      <c r="F212" t="s">
        <v>101</v>
      </c>
      <c r="G212" t="s">
        <v>26</v>
      </c>
      <c r="H212" t="s">
        <v>27</v>
      </c>
      <c r="I212" t="s">
        <v>28</v>
      </c>
      <c r="J212" t="s">
        <v>29</v>
      </c>
      <c r="K212" t="s">
        <v>30</v>
      </c>
      <c r="L212" t="s">
        <v>31</v>
      </c>
      <c r="M212" t="s">
        <v>32</v>
      </c>
      <c r="N212">
        <v>40</v>
      </c>
      <c r="O212">
        <v>3.9252363999999998E-2</v>
      </c>
      <c r="P212">
        <v>8.0318690000000005E-3</v>
      </c>
      <c r="Q212" t="str">
        <f t="shared" si="6"/>
        <v>&lt;01</v>
      </c>
      <c r="R212" t="str">
        <f t="shared" si="7"/>
        <v>[lLDyBx5XyUi]|&lt;01|Female|TX_CURR_SUBNAT.R|CY2023Q4</v>
      </c>
    </row>
    <row r="213" spans="4:18" x14ac:dyDescent="0.2">
      <c r="D213" t="s">
        <v>99</v>
      </c>
      <c r="E213" t="s">
        <v>100</v>
      </c>
      <c r="F213" t="s">
        <v>101</v>
      </c>
      <c r="G213" t="s">
        <v>26</v>
      </c>
      <c r="H213" t="s">
        <v>27</v>
      </c>
      <c r="I213" t="s">
        <v>33</v>
      </c>
      <c r="J213" t="s">
        <v>34</v>
      </c>
      <c r="K213" t="s">
        <v>30</v>
      </c>
      <c r="L213" t="s">
        <v>31</v>
      </c>
      <c r="M213" t="s">
        <v>32</v>
      </c>
      <c r="N213">
        <v>778</v>
      </c>
      <c r="O213">
        <v>3.1494690999999998E-2</v>
      </c>
      <c r="P213">
        <v>8.0318690000000005E-3</v>
      </c>
      <c r="Q213" t="str">
        <f t="shared" si="6"/>
        <v>01-09</v>
      </c>
      <c r="R213" t="str">
        <f t="shared" si="7"/>
        <v>[lLDyBx5XyUi]|01-09|Female|TX_CURR_SUBNAT.R|CY2023Q4</v>
      </c>
    </row>
    <row r="214" spans="4:18" x14ac:dyDescent="0.2">
      <c r="D214" t="s">
        <v>99</v>
      </c>
      <c r="E214" t="s">
        <v>100</v>
      </c>
      <c r="F214" t="s">
        <v>101</v>
      </c>
      <c r="G214" t="s">
        <v>26</v>
      </c>
      <c r="H214" t="s">
        <v>27</v>
      </c>
      <c r="I214" t="s">
        <v>36</v>
      </c>
      <c r="J214" t="s">
        <v>37</v>
      </c>
      <c r="K214" t="s">
        <v>30</v>
      </c>
      <c r="L214" t="s">
        <v>31</v>
      </c>
      <c r="M214" t="s">
        <v>32</v>
      </c>
      <c r="N214">
        <v>886</v>
      </c>
      <c r="O214">
        <v>2.2728511E-2</v>
      </c>
      <c r="P214">
        <v>8.0318690000000005E-3</v>
      </c>
      <c r="Q214" t="str">
        <f t="shared" si="6"/>
        <v>10-14</v>
      </c>
      <c r="R214" t="str">
        <f t="shared" si="7"/>
        <v>[lLDyBx5XyUi]|10-14|Female|TX_CURR_SUBNAT.R|CY2023Q4</v>
      </c>
    </row>
    <row r="215" spans="4:18" x14ac:dyDescent="0.2">
      <c r="D215" t="s">
        <v>99</v>
      </c>
      <c r="E215" t="s">
        <v>100</v>
      </c>
      <c r="F215" t="s">
        <v>101</v>
      </c>
      <c r="G215" t="s">
        <v>26</v>
      </c>
      <c r="H215" t="s">
        <v>27</v>
      </c>
      <c r="I215" t="s">
        <v>38</v>
      </c>
      <c r="J215" t="s">
        <v>39</v>
      </c>
      <c r="K215" t="s">
        <v>30</v>
      </c>
      <c r="L215" t="s">
        <v>31</v>
      </c>
      <c r="M215" t="s">
        <v>32</v>
      </c>
      <c r="N215">
        <v>3232</v>
      </c>
      <c r="O215">
        <v>6.6757685999999997E-2</v>
      </c>
      <c r="P215">
        <v>8.0318690000000005E-3</v>
      </c>
      <c r="Q215" t="str">
        <f t="shared" si="6"/>
        <v>15-24</v>
      </c>
      <c r="R215" t="str">
        <f t="shared" si="7"/>
        <v>[lLDyBx5XyUi]|15-24|Female|TX_CURR_SUBNAT.R|CY2023Q4</v>
      </c>
    </row>
    <row r="216" spans="4:18" x14ac:dyDescent="0.2">
      <c r="D216" t="s">
        <v>99</v>
      </c>
      <c r="E216" t="s">
        <v>100</v>
      </c>
      <c r="F216" t="s">
        <v>101</v>
      </c>
      <c r="G216" t="s">
        <v>26</v>
      </c>
      <c r="H216" t="s">
        <v>27</v>
      </c>
      <c r="I216" t="s">
        <v>41</v>
      </c>
      <c r="J216" t="s">
        <v>42</v>
      </c>
      <c r="K216" t="s">
        <v>30</v>
      </c>
      <c r="L216" t="s">
        <v>31</v>
      </c>
      <c r="M216" t="s">
        <v>32</v>
      </c>
      <c r="N216">
        <v>8588</v>
      </c>
      <c r="O216">
        <v>3.7046679999999999E-2</v>
      </c>
      <c r="P216">
        <v>8.0318690000000005E-3</v>
      </c>
      <c r="Q216" t="str">
        <f t="shared" si="6"/>
        <v>25-34</v>
      </c>
      <c r="R216" t="str">
        <f t="shared" si="7"/>
        <v>[lLDyBx5XyUi]|25-34|Female|TX_CURR_SUBNAT.R|CY2023Q4</v>
      </c>
    </row>
    <row r="217" spans="4:18" x14ac:dyDescent="0.2">
      <c r="D217" t="s">
        <v>99</v>
      </c>
      <c r="E217" t="s">
        <v>100</v>
      </c>
      <c r="F217" t="s">
        <v>101</v>
      </c>
      <c r="G217" t="s">
        <v>26</v>
      </c>
      <c r="H217" t="s">
        <v>27</v>
      </c>
      <c r="I217" t="s">
        <v>43</v>
      </c>
      <c r="J217" t="s">
        <v>44</v>
      </c>
      <c r="K217" t="s">
        <v>30</v>
      </c>
      <c r="L217" t="s">
        <v>31</v>
      </c>
      <c r="M217" t="s">
        <v>32</v>
      </c>
      <c r="N217">
        <v>19204</v>
      </c>
      <c r="O217">
        <v>2.1166213E-2</v>
      </c>
      <c r="P217">
        <v>8.0318690000000005E-3</v>
      </c>
      <c r="Q217" t="str">
        <f t="shared" si="6"/>
        <v>35-49</v>
      </c>
      <c r="R217" t="str">
        <f t="shared" si="7"/>
        <v>[lLDyBx5XyUi]|35-49|Female|TX_CURR_SUBNAT.R|CY2023Q4</v>
      </c>
    </row>
    <row r="218" spans="4:18" x14ac:dyDescent="0.2">
      <c r="D218" t="s">
        <v>99</v>
      </c>
      <c r="E218" t="s">
        <v>100</v>
      </c>
      <c r="F218" t="s">
        <v>101</v>
      </c>
      <c r="G218" t="s">
        <v>26</v>
      </c>
      <c r="H218" t="s">
        <v>27</v>
      </c>
      <c r="I218" t="s">
        <v>45</v>
      </c>
      <c r="J218" t="s">
        <v>46</v>
      </c>
      <c r="K218" t="s">
        <v>30</v>
      </c>
      <c r="L218" t="s">
        <v>31</v>
      </c>
      <c r="M218" t="s">
        <v>32</v>
      </c>
      <c r="N218">
        <v>8762</v>
      </c>
      <c r="O218">
        <v>3.9077596999999999E-2</v>
      </c>
      <c r="P218">
        <v>8.0318690000000005E-3</v>
      </c>
      <c r="Q218" t="str">
        <f t="shared" si="6"/>
        <v>50+</v>
      </c>
      <c r="R218" t="str">
        <f t="shared" si="7"/>
        <v>[lLDyBx5XyUi]|50+|Female|TX_CURR_SUBNAT.R|CY2023Q4</v>
      </c>
    </row>
    <row r="219" spans="4:18" x14ac:dyDescent="0.2">
      <c r="D219" t="s">
        <v>99</v>
      </c>
      <c r="E219" t="s">
        <v>100</v>
      </c>
      <c r="F219" t="s">
        <v>101</v>
      </c>
      <c r="G219" t="s">
        <v>26</v>
      </c>
      <c r="H219" t="s">
        <v>27</v>
      </c>
      <c r="I219" t="s">
        <v>28</v>
      </c>
      <c r="J219" t="s">
        <v>29</v>
      </c>
      <c r="K219" t="s">
        <v>48</v>
      </c>
      <c r="L219" t="s">
        <v>49</v>
      </c>
      <c r="M219" t="s">
        <v>32</v>
      </c>
      <c r="N219">
        <v>38</v>
      </c>
      <c r="O219">
        <v>2.2029067999999999E-2</v>
      </c>
      <c r="P219">
        <v>8.0318690000000005E-3</v>
      </c>
      <c r="Q219" t="str">
        <f t="shared" si="6"/>
        <v>&lt;01</v>
      </c>
      <c r="R219" t="str">
        <f t="shared" si="7"/>
        <v>[lLDyBx5XyUi]|&lt;01|Male|TX_CURR_SUBNAT.R|CY2023Q4</v>
      </c>
    </row>
    <row r="220" spans="4:18" x14ac:dyDescent="0.2">
      <c r="D220" t="s">
        <v>99</v>
      </c>
      <c r="E220" t="s">
        <v>100</v>
      </c>
      <c r="F220" t="s">
        <v>101</v>
      </c>
      <c r="G220" t="s">
        <v>26</v>
      </c>
      <c r="H220" t="s">
        <v>27</v>
      </c>
      <c r="I220" t="s">
        <v>33</v>
      </c>
      <c r="J220" t="s">
        <v>34</v>
      </c>
      <c r="K220" t="s">
        <v>48</v>
      </c>
      <c r="L220" t="s">
        <v>49</v>
      </c>
      <c r="M220" t="s">
        <v>32</v>
      </c>
      <c r="N220">
        <v>752</v>
      </c>
      <c r="O220">
        <v>2.0911695000000001E-2</v>
      </c>
      <c r="P220">
        <v>8.0318690000000005E-3</v>
      </c>
      <c r="Q220" t="str">
        <f t="shared" si="6"/>
        <v>01-09</v>
      </c>
      <c r="R220" t="str">
        <f t="shared" si="7"/>
        <v>[lLDyBx5XyUi]|01-09|Male|TX_CURR_SUBNAT.R|CY2023Q4</v>
      </c>
    </row>
    <row r="221" spans="4:18" x14ac:dyDescent="0.2">
      <c r="D221" t="s">
        <v>99</v>
      </c>
      <c r="E221" t="s">
        <v>100</v>
      </c>
      <c r="F221" t="s">
        <v>101</v>
      </c>
      <c r="G221" t="s">
        <v>26</v>
      </c>
      <c r="H221" t="s">
        <v>27</v>
      </c>
      <c r="I221" t="s">
        <v>36</v>
      </c>
      <c r="J221" t="s">
        <v>37</v>
      </c>
      <c r="K221" t="s">
        <v>48</v>
      </c>
      <c r="L221" t="s">
        <v>49</v>
      </c>
      <c r="M221" t="s">
        <v>32</v>
      </c>
      <c r="N221">
        <v>858</v>
      </c>
      <c r="O221">
        <v>2.0092876999999999E-2</v>
      </c>
      <c r="P221">
        <v>8.0318690000000005E-3</v>
      </c>
      <c r="Q221" t="str">
        <f t="shared" si="6"/>
        <v>10-14</v>
      </c>
      <c r="R221" t="str">
        <f t="shared" si="7"/>
        <v>[lLDyBx5XyUi]|10-14|Male|TX_CURR_SUBNAT.R|CY2023Q4</v>
      </c>
    </row>
    <row r="222" spans="4:18" x14ac:dyDescent="0.2">
      <c r="D222" t="s">
        <v>99</v>
      </c>
      <c r="E222" t="s">
        <v>100</v>
      </c>
      <c r="F222" t="s">
        <v>101</v>
      </c>
      <c r="G222" t="s">
        <v>26</v>
      </c>
      <c r="H222" t="s">
        <v>27</v>
      </c>
      <c r="I222" t="s">
        <v>38</v>
      </c>
      <c r="J222" t="s">
        <v>39</v>
      </c>
      <c r="K222" t="s">
        <v>48</v>
      </c>
      <c r="L222" t="s">
        <v>49</v>
      </c>
      <c r="M222" t="s">
        <v>32</v>
      </c>
      <c r="N222">
        <v>1880</v>
      </c>
      <c r="O222">
        <v>7.2182273000000005E-2</v>
      </c>
      <c r="P222">
        <v>8.0318690000000005E-3</v>
      </c>
      <c r="Q222" t="str">
        <f t="shared" si="6"/>
        <v>15-24</v>
      </c>
      <c r="R222" t="str">
        <f t="shared" si="7"/>
        <v>[lLDyBx5XyUi]|15-24|Male|TX_CURR_SUBNAT.R|CY2023Q4</v>
      </c>
    </row>
    <row r="223" spans="4:18" x14ac:dyDescent="0.2">
      <c r="D223" t="s">
        <v>99</v>
      </c>
      <c r="E223" t="s">
        <v>100</v>
      </c>
      <c r="F223" t="s">
        <v>101</v>
      </c>
      <c r="G223" t="s">
        <v>26</v>
      </c>
      <c r="H223" t="s">
        <v>27</v>
      </c>
      <c r="I223" t="s">
        <v>41</v>
      </c>
      <c r="J223" t="s">
        <v>42</v>
      </c>
      <c r="K223" t="s">
        <v>48</v>
      </c>
      <c r="L223" t="s">
        <v>49</v>
      </c>
      <c r="M223" t="s">
        <v>32</v>
      </c>
      <c r="N223">
        <v>2102</v>
      </c>
      <c r="O223">
        <v>6.6903165000000001E-2</v>
      </c>
      <c r="P223">
        <v>8.0318690000000005E-3</v>
      </c>
      <c r="Q223" t="str">
        <f t="shared" si="6"/>
        <v>25-34</v>
      </c>
      <c r="R223" t="str">
        <f t="shared" si="7"/>
        <v>[lLDyBx5XyUi]|25-34|Male|TX_CURR_SUBNAT.R|CY2023Q4</v>
      </c>
    </row>
    <row r="224" spans="4:18" x14ac:dyDescent="0.2">
      <c r="D224" t="s">
        <v>99</v>
      </c>
      <c r="E224" t="s">
        <v>100</v>
      </c>
      <c r="F224" t="s">
        <v>101</v>
      </c>
      <c r="G224" t="s">
        <v>26</v>
      </c>
      <c r="H224" t="s">
        <v>27</v>
      </c>
      <c r="I224" t="s">
        <v>43</v>
      </c>
      <c r="J224" t="s">
        <v>44</v>
      </c>
      <c r="K224" t="s">
        <v>48</v>
      </c>
      <c r="L224" t="s">
        <v>49</v>
      </c>
      <c r="M224" t="s">
        <v>32</v>
      </c>
      <c r="N224">
        <v>8006</v>
      </c>
      <c r="O224">
        <v>3.1242298000000002E-2</v>
      </c>
      <c r="P224">
        <v>8.0318690000000005E-3</v>
      </c>
      <c r="Q224" t="str">
        <f t="shared" si="6"/>
        <v>35-49</v>
      </c>
      <c r="R224" t="str">
        <f t="shared" si="7"/>
        <v>[lLDyBx5XyUi]|35-49|Male|TX_CURR_SUBNAT.R|CY2023Q4</v>
      </c>
    </row>
    <row r="225" spans="4:18" x14ac:dyDescent="0.2">
      <c r="D225" t="s">
        <v>99</v>
      </c>
      <c r="E225" t="s">
        <v>100</v>
      </c>
      <c r="F225" t="s">
        <v>101</v>
      </c>
      <c r="G225" t="s">
        <v>26</v>
      </c>
      <c r="H225" t="s">
        <v>27</v>
      </c>
      <c r="I225" t="s">
        <v>45</v>
      </c>
      <c r="J225" t="s">
        <v>46</v>
      </c>
      <c r="K225" t="s">
        <v>48</v>
      </c>
      <c r="L225" t="s">
        <v>49</v>
      </c>
      <c r="M225" t="s">
        <v>32</v>
      </c>
      <c r="N225">
        <v>6077</v>
      </c>
      <c r="O225">
        <v>3.7311961999999997E-2</v>
      </c>
      <c r="P225">
        <v>8.0318690000000005E-3</v>
      </c>
      <c r="Q225" t="str">
        <f t="shared" si="6"/>
        <v>50+</v>
      </c>
      <c r="R225" t="str">
        <f t="shared" si="7"/>
        <v>[lLDyBx5XyUi]|50+|Male|TX_CURR_SUBNAT.R|CY2023Q4</v>
      </c>
    </row>
    <row r="226" spans="4:18" x14ac:dyDescent="0.2">
      <c r="D226" t="s">
        <v>102</v>
      </c>
      <c r="E226" t="s">
        <v>103</v>
      </c>
      <c r="F226" t="s">
        <v>104</v>
      </c>
      <c r="G226" t="s">
        <v>26</v>
      </c>
      <c r="H226" t="s">
        <v>27</v>
      </c>
      <c r="I226" t="s">
        <v>28</v>
      </c>
      <c r="J226" t="s">
        <v>29</v>
      </c>
      <c r="K226" t="s">
        <v>30</v>
      </c>
      <c r="L226" t="s">
        <v>31</v>
      </c>
      <c r="M226" t="s">
        <v>32</v>
      </c>
      <c r="N226">
        <v>18</v>
      </c>
      <c r="O226">
        <v>4.7546560000000002E-2</v>
      </c>
      <c r="P226">
        <v>1.4300326E-2</v>
      </c>
      <c r="Q226" t="str">
        <f t="shared" si="6"/>
        <v>&lt;01</v>
      </c>
      <c r="R226" t="str">
        <f t="shared" si="7"/>
        <v>[TYnMSwzko3z]|&lt;01|Female|TX_CURR_SUBNAT.R|CY2023Q4</v>
      </c>
    </row>
    <row r="227" spans="4:18" x14ac:dyDescent="0.2">
      <c r="D227" t="s">
        <v>102</v>
      </c>
      <c r="E227" t="s">
        <v>103</v>
      </c>
      <c r="F227" t="s">
        <v>104</v>
      </c>
      <c r="G227" t="s">
        <v>26</v>
      </c>
      <c r="H227" t="s">
        <v>27</v>
      </c>
      <c r="I227" t="s">
        <v>33</v>
      </c>
      <c r="J227" t="s">
        <v>34</v>
      </c>
      <c r="K227" t="s">
        <v>30</v>
      </c>
      <c r="L227" t="s">
        <v>31</v>
      </c>
      <c r="M227" t="s">
        <v>32</v>
      </c>
      <c r="N227">
        <v>355</v>
      </c>
      <c r="O227">
        <v>3.9507582999999999E-2</v>
      </c>
      <c r="P227">
        <v>1.4300326E-2</v>
      </c>
      <c r="Q227" t="str">
        <f t="shared" si="6"/>
        <v>01-09</v>
      </c>
      <c r="R227" t="str">
        <f t="shared" si="7"/>
        <v>[TYnMSwzko3z]|01-09|Female|TX_CURR_SUBNAT.R|CY2023Q4</v>
      </c>
    </row>
    <row r="228" spans="4:18" x14ac:dyDescent="0.2">
      <c r="D228" t="s">
        <v>102</v>
      </c>
      <c r="E228" t="s">
        <v>103</v>
      </c>
      <c r="F228" t="s">
        <v>104</v>
      </c>
      <c r="G228" t="s">
        <v>26</v>
      </c>
      <c r="H228" t="s">
        <v>27</v>
      </c>
      <c r="I228" t="s">
        <v>36</v>
      </c>
      <c r="J228" t="s">
        <v>37</v>
      </c>
      <c r="K228" t="s">
        <v>30</v>
      </c>
      <c r="L228" t="s">
        <v>31</v>
      </c>
      <c r="M228" t="s">
        <v>32</v>
      </c>
      <c r="N228">
        <v>428</v>
      </c>
      <c r="O228">
        <v>3.0276460000000002E-2</v>
      </c>
      <c r="P228">
        <v>1.4300326E-2</v>
      </c>
      <c r="Q228" t="str">
        <f t="shared" si="6"/>
        <v>10-14</v>
      </c>
      <c r="R228" t="str">
        <f t="shared" si="7"/>
        <v>[TYnMSwzko3z]|10-14|Female|TX_CURR_SUBNAT.R|CY2023Q4</v>
      </c>
    </row>
    <row r="229" spans="4:18" x14ac:dyDescent="0.2">
      <c r="D229" t="s">
        <v>102</v>
      </c>
      <c r="E229" t="s">
        <v>103</v>
      </c>
      <c r="F229" t="s">
        <v>104</v>
      </c>
      <c r="G229" t="s">
        <v>26</v>
      </c>
      <c r="H229" t="s">
        <v>27</v>
      </c>
      <c r="I229" t="s">
        <v>38</v>
      </c>
      <c r="J229" t="s">
        <v>39</v>
      </c>
      <c r="K229" t="s">
        <v>30</v>
      </c>
      <c r="L229" t="s">
        <v>31</v>
      </c>
      <c r="M229" t="s">
        <v>32</v>
      </c>
      <c r="N229">
        <v>1742</v>
      </c>
      <c r="O229">
        <v>6.7726163000000006E-2</v>
      </c>
      <c r="P229">
        <v>1.4300326E-2</v>
      </c>
      <c r="Q229" t="str">
        <f t="shared" si="6"/>
        <v>15-24</v>
      </c>
      <c r="R229" t="str">
        <f t="shared" si="7"/>
        <v>[TYnMSwzko3z]|15-24|Female|TX_CURR_SUBNAT.R|CY2023Q4</v>
      </c>
    </row>
    <row r="230" spans="4:18" x14ac:dyDescent="0.2">
      <c r="D230" t="s">
        <v>102</v>
      </c>
      <c r="E230" t="s">
        <v>103</v>
      </c>
      <c r="F230" t="s">
        <v>104</v>
      </c>
      <c r="G230" t="s">
        <v>26</v>
      </c>
      <c r="H230" t="s">
        <v>27</v>
      </c>
      <c r="I230" t="s">
        <v>41</v>
      </c>
      <c r="J230" t="s">
        <v>42</v>
      </c>
      <c r="K230" t="s">
        <v>30</v>
      </c>
      <c r="L230" t="s">
        <v>31</v>
      </c>
      <c r="M230" t="s">
        <v>32</v>
      </c>
      <c r="N230">
        <v>4641</v>
      </c>
      <c r="O230">
        <v>3.9553910999999997E-2</v>
      </c>
      <c r="P230">
        <v>1.4300326E-2</v>
      </c>
      <c r="Q230" t="str">
        <f t="shared" si="6"/>
        <v>25-34</v>
      </c>
      <c r="R230" t="str">
        <f t="shared" si="7"/>
        <v>[TYnMSwzko3z]|25-34|Female|TX_CURR_SUBNAT.R|CY2023Q4</v>
      </c>
    </row>
    <row r="231" spans="4:18" x14ac:dyDescent="0.2">
      <c r="D231" t="s">
        <v>102</v>
      </c>
      <c r="E231" t="s">
        <v>103</v>
      </c>
      <c r="F231" t="s">
        <v>104</v>
      </c>
      <c r="G231" t="s">
        <v>26</v>
      </c>
      <c r="H231" t="s">
        <v>27</v>
      </c>
      <c r="I231" t="s">
        <v>43</v>
      </c>
      <c r="J231" t="s">
        <v>44</v>
      </c>
      <c r="K231" t="s">
        <v>30</v>
      </c>
      <c r="L231" t="s">
        <v>31</v>
      </c>
      <c r="M231" t="s">
        <v>32</v>
      </c>
      <c r="N231">
        <v>10892</v>
      </c>
      <c r="O231">
        <v>2.3842208E-2</v>
      </c>
      <c r="P231">
        <v>1.4300326E-2</v>
      </c>
      <c r="Q231" t="str">
        <f t="shared" si="6"/>
        <v>35-49</v>
      </c>
      <c r="R231" t="str">
        <f t="shared" si="7"/>
        <v>[TYnMSwzko3z]|35-49|Female|TX_CURR_SUBNAT.R|CY2023Q4</v>
      </c>
    </row>
    <row r="232" spans="4:18" x14ac:dyDescent="0.2">
      <c r="D232" t="s">
        <v>102</v>
      </c>
      <c r="E232" t="s">
        <v>103</v>
      </c>
      <c r="F232" t="s">
        <v>104</v>
      </c>
      <c r="G232" t="s">
        <v>26</v>
      </c>
      <c r="H232" t="s">
        <v>27</v>
      </c>
      <c r="I232" t="s">
        <v>45</v>
      </c>
      <c r="J232" t="s">
        <v>46</v>
      </c>
      <c r="K232" t="s">
        <v>30</v>
      </c>
      <c r="L232" t="s">
        <v>31</v>
      </c>
      <c r="M232" t="s">
        <v>32</v>
      </c>
      <c r="N232">
        <v>4843</v>
      </c>
      <c r="O232">
        <v>4.3686757999999999E-2</v>
      </c>
      <c r="P232">
        <v>1.4300326E-2</v>
      </c>
      <c r="Q232" t="str">
        <f t="shared" si="6"/>
        <v>50+</v>
      </c>
      <c r="R232" t="str">
        <f t="shared" si="7"/>
        <v>[TYnMSwzko3z]|50+|Female|TX_CURR_SUBNAT.R|CY2023Q4</v>
      </c>
    </row>
    <row r="233" spans="4:18" x14ac:dyDescent="0.2">
      <c r="D233" t="s">
        <v>102</v>
      </c>
      <c r="E233" t="s">
        <v>103</v>
      </c>
      <c r="F233" t="s">
        <v>104</v>
      </c>
      <c r="G233" t="s">
        <v>26</v>
      </c>
      <c r="H233" t="s">
        <v>27</v>
      </c>
      <c r="I233" t="s">
        <v>28</v>
      </c>
      <c r="J233" t="s">
        <v>29</v>
      </c>
      <c r="K233" t="s">
        <v>48</v>
      </c>
      <c r="L233" t="s">
        <v>49</v>
      </c>
      <c r="M233" t="s">
        <v>32</v>
      </c>
      <c r="N233">
        <v>18</v>
      </c>
      <c r="O233">
        <v>3.0239279000000001E-2</v>
      </c>
      <c r="P233">
        <v>1.4300326E-2</v>
      </c>
      <c r="Q233" t="str">
        <f t="shared" si="6"/>
        <v>&lt;01</v>
      </c>
      <c r="R233" t="str">
        <f t="shared" si="7"/>
        <v>[TYnMSwzko3z]|&lt;01|Male|TX_CURR_SUBNAT.R|CY2023Q4</v>
      </c>
    </row>
    <row r="234" spans="4:18" x14ac:dyDescent="0.2">
      <c r="D234" t="s">
        <v>102</v>
      </c>
      <c r="E234" t="s">
        <v>103</v>
      </c>
      <c r="F234" t="s">
        <v>104</v>
      </c>
      <c r="G234" t="s">
        <v>26</v>
      </c>
      <c r="H234" t="s">
        <v>27</v>
      </c>
      <c r="I234" t="s">
        <v>33</v>
      </c>
      <c r="J234" t="s">
        <v>34</v>
      </c>
      <c r="K234" t="s">
        <v>48</v>
      </c>
      <c r="L234" t="s">
        <v>49</v>
      </c>
      <c r="M234" t="s">
        <v>32</v>
      </c>
      <c r="N234">
        <v>358</v>
      </c>
      <c r="O234">
        <v>2.8290015000000002E-2</v>
      </c>
      <c r="P234">
        <v>1.4300326E-2</v>
      </c>
      <c r="Q234" t="str">
        <f t="shared" si="6"/>
        <v>01-09</v>
      </c>
      <c r="R234" t="str">
        <f t="shared" si="7"/>
        <v>[TYnMSwzko3z]|01-09|Male|TX_CURR_SUBNAT.R|CY2023Q4</v>
      </c>
    </row>
    <row r="235" spans="4:18" x14ac:dyDescent="0.2">
      <c r="D235" t="s">
        <v>102</v>
      </c>
      <c r="E235" t="s">
        <v>103</v>
      </c>
      <c r="F235" t="s">
        <v>104</v>
      </c>
      <c r="G235" t="s">
        <v>26</v>
      </c>
      <c r="H235" t="s">
        <v>27</v>
      </c>
      <c r="I235" t="s">
        <v>36</v>
      </c>
      <c r="J235" t="s">
        <v>37</v>
      </c>
      <c r="K235" t="s">
        <v>48</v>
      </c>
      <c r="L235" t="s">
        <v>49</v>
      </c>
      <c r="M235" t="s">
        <v>32</v>
      </c>
      <c r="N235">
        <v>429</v>
      </c>
      <c r="O235">
        <v>2.6270308999999999E-2</v>
      </c>
      <c r="P235">
        <v>1.4300326E-2</v>
      </c>
      <c r="Q235" t="str">
        <f t="shared" si="6"/>
        <v>10-14</v>
      </c>
      <c r="R235" t="str">
        <f t="shared" si="7"/>
        <v>[TYnMSwzko3z]|10-14|Male|TX_CURR_SUBNAT.R|CY2023Q4</v>
      </c>
    </row>
    <row r="236" spans="4:18" x14ac:dyDescent="0.2">
      <c r="D236" t="s">
        <v>102</v>
      </c>
      <c r="E236" t="s">
        <v>103</v>
      </c>
      <c r="F236" t="s">
        <v>104</v>
      </c>
      <c r="G236" t="s">
        <v>26</v>
      </c>
      <c r="H236" t="s">
        <v>27</v>
      </c>
      <c r="I236" t="s">
        <v>38</v>
      </c>
      <c r="J236" t="s">
        <v>39</v>
      </c>
      <c r="K236" t="s">
        <v>48</v>
      </c>
      <c r="L236" t="s">
        <v>49</v>
      </c>
      <c r="M236" t="s">
        <v>32</v>
      </c>
      <c r="N236">
        <v>1029</v>
      </c>
      <c r="O236">
        <v>7.3711054999999998E-2</v>
      </c>
      <c r="P236">
        <v>1.4300326E-2</v>
      </c>
      <c r="Q236" t="str">
        <f t="shared" si="6"/>
        <v>15-24</v>
      </c>
      <c r="R236" t="str">
        <f t="shared" si="7"/>
        <v>[TYnMSwzko3z]|15-24|Male|TX_CURR_SUBNAT.R|CY2023Q4</v>
      </c>
    </row>
    <row r="237" spans="4:18" x14ac:dyDescent="0.2">
      <c r="D237" t="s">
        <v>102</v>
      </c>
      <c r="E237" t="s">
        <v>103</v>
      </c>
      <c r="F237" t="s">
        <v>104</v>
      </c>
      <c r="G237" t="s">
        <v>26</v>
      </c>
      <c r="H237" t="s">
        <v>27</v>
      </c>
      <c r="I237" t="s">
        <v>41</v>
      </c>
      <c r="J237" t="s">
        <v>42</v>
      </c>
      <c r="K237" t="s">
        <v>48</v>
      </c>
      <c r="L237" t="s">
        <v>49</v>
      </c>
      <c r="M237" t="s">
        <v>32</v>
      </c>
      <c r="N237">
        <v>1144</v>
      </c>
      <c r="O237">
        <v>6.8136444000000004E-2</v>
      </c>
      <c r="P237">
        <v>1.4300326E-2</v>
      </c>
      <c r="Q237" t="str">
        <f t="shared" si="6"/>
        <v>25-34</v>
      </c>
      <c r="R237" t="str">
        <f t="shared" si="7"/>
        <v>[TYnMSwzko3z]|25-34|Male|TX_CURR_SUBNAT.R|CY2023Q4</v>
      </c>
    </row>
    <row r="238" spans="4:18" x14ac:dyDescent="0.2">
      <c r="D238" t="s">
        <v>102</v>
      </c>
      <c r="E238" t="s">
        <v>103</v>
      </c>
      <c r="F238" t="s">
        <v>104</v>
      </c>
      <c r="G238" t="s">
        <v>26</v>
      </c>
      <c r="H238" t="s">
        <v>27</v>
      </c>
      <c r="I238" t="s">
        <v>43</v>
      </c>
      <c r="J238" t="s">
        <v>44</v>
      </c>
      <c r="K238" t="s">
        <v>48</v>
      </c>
      <c r="L238" t="s">
        <v>49</v>
      </c>
      <c r="M238" t="s">
        <v>32</v>
      </c>
      <c r="N238">
        <v>4412</v>
      </c>
      <c r="O238">
        <v>3.4203216000000002E-2</v>
      </c>
      <c r="P238">
        <v>1.4300326E-2</v>
      </c>
      <c r="Q238" t="str">
        <f t="shared" si="6"/>
        <v>35-49</v>
      </c>
      <c r="R238" t="str">
        <f t="shared" si="7"/>
        <v>[TYnMSwzko3z]|35-49|Male|TX_CURR_SUBNAT.R|CY2023Q4</v>
      </c>
    </row>
    <row r="239" spans="4:18" x14ac:dyDescent="0.2">
      <c r="D239" t="s">
        <v>102</v>
      </c>
      <c r="E239" t="s">
        <v>103</v>
      </c>
      <c r="F239" t="s">
        <v>104</v>
      </c>
      <c r="G239" t="s">
        <v>26</v>
      </c>
      <c r="H239" t="s">
        <v>27</v>
      </c>
      <c r="I239" t="s">
        <v>45</v>
      </c>
      <c r="J239" t="s">
        <v>46</v>
      </c>
      <c r="K239" t="s">
        <v>48</v>
      </c>
      <c r="L239" t="s">
        <v>49</v>
      </c>
      <c r="M239" t="s">
        <v>32</v>
      </c>
      <c r="N239">
        <v>3398</v>
      </c>
      <c r="O239">
        <v>4.0426614E-2</v>
      </c>
      <c r="P239">
        <v>1.4300326E-2</v>
      </c>
      <c r="Q239" t="str">
        <f t="shared" si="6"/>
        <v>50+</v>
      </c>
      <c r="R239" t="str">
        <f t="shared" si="7"/>
        <v>[TYnMSwzko3z]|50+|Male|TX_CURR_SUBNAT.R|CY2023Q4</v>
      </c>
    </row>
    <row r="240" spans="4:18" x14ac:dyDescent="0.2">
      <c r="D240" t="s">
        <v>105</v>
      </c>
      <c r="E240" t="s">
        <v>106</v>
      </c>
      <c r="F240" t="s">
        <v>107</v>
      </c>
      <c r="G240" t="s">
        <v>26</v>
      </c>
      <c r="H240" t="s">
        <v>27</v>
      </c>
      <c r="I240" t="s">
        <v>28</v>
      </c>
      <c r="J240" t="s">
        <v>29</v>
      </c>
      <c r="K240" t="s">
        <v>30</v>
      </c>
      <c r="L240" t="s">
        <v>31</v>
      </c>
      <c r="M240" t="s">
        <v>32</v>
      </c>
      <c r="N240">
        <v>31</v>
      </c>
      <c r="O240">
        <v>3.4938456999999999E-2</v>
      </c>
      <c r="P240">
        <v>6.0469649999999996E-3</v>
      </c>
      <c r="Q240" t="str">
        <f t="shared" si="6"/>
        <v>&lt;01</v>
      </c>
      <c r="R240" t="str">
        <f t="shared" si="7"/>
        <v>[fyEoGEPERdI]|&lt;01|Female|TX_CURR_SUBNAT.R|CY2023Q4</v>
      </c>
    </row>
    <row r="241" spans="4:18" x14ac:dyDescent="0.2">
      <c r="D241" t="s">
        <v>105</v>
      </c>
      <c r="E241" t="s">
        <v>106</v>
      </c>
      <c r="F241" t="s">
        <v>107</v>
      </c>
      <c r="G241" t="s">
        <v>26</v>
      </c>
      <c r="H241" t="s">
        <v>27</v>
      </c>
      <c r="I241" t="s">
        <v>33</v>
      </c>
      <c r="J241" t="s">
        <v>34</v>
      </c>
      <c r="K241" t="s">
        <v>30</v>
      </c>
      <c r="L241" t="s">
        <v>31</v>
      </c>
      <c r="M241" t="s">
        <v>32</v>
      </c>
      <c r="N241">
        <v>547</v>
      </c>
      <c r="O241">
        <v>2.9457608999999999E-2</v>
      </c>
      <c r="P241">
        <v>6.0469649999999996E-3</v>
      </c>
      <c r="Q241" t="str">
        <f t="shared" si="6"/>
        <v>01-09</v>
      </c>
      <c r="R241" t="str">
        <f t="shared" si="7"/>
        <v>[fyEoGEPERdI]|01-09|Female|TX_CURR_SUBNAT.R|CY2023Q4</v>
      </c>
    </row>
    <row r="242" spans="4:18" x14ac:dyDescent="0.2">
      <c r="D242" t="s">
        <v>105</v>
      </c>
      <c r="E242" t="s">
        <v>106</v>
      </c>
      <c r="F242" t="s">
        <v>107</v>
      </c>
      <c r="G242" t="s">
        <v>26</v>
      </c>
      <c r="H242" t="s">
        <v>27</v>
      </c>
      <c r="I242" t="s">
        <v>36</v>
      </c>
      <c r="J242" t="s">
        <v>37</v>
      </c>
      <c r="K242" t="s">
        <v>30</v>
      </c>
      <c r="L242" t="s">
        <v>31</v>
      </c>
      <c r="M242" t="s">
        <v>32</v>
      </c>
      <c r="N242">
        <v>683</v>
      </c>
      <c r="O242">
        <v>2.3062824999999999E-2</v>
      </c>
      <c r="P242">
        <v>6.0469649999999996E-3</v>
      </c>
      <c r="Q242" t="str">
        <f t="shared" si="6"/>
        <v>10-14</v>
      </c>
      <c r="R242" t="str">
        <f t="shared" si="7"/>
        <v>[fyEoGEPERdI]|10-14|Female|TX_CURR_SUBNAT.R|CY2023Q4</v>
      </c>
    </row>
    <row r="243" spans="4:18" x14ac:dyDescent="0.2">
      <c r="D243" t="s">
        <v>105</v>
      </c>
      <c r="E243" t="s">
        <v>106</v>
      </c>
      <c r="F243" t="s">
        <v>107</v>
      </c>
      <c r="G243" t="s">
        <v>26</v>
      </c>
      <c r="H243" t="s">
        <v>27</v>
      </c>
      <c r="I243" t="s">
        <v>38</v>
      </c>
      <c r="J243" t="s">
        <v>39</v>
      </c>
      <c r="K243" t="s">
        <v>30</v>
      </c>
      <c r="L243" t="s">
        <v>31</v>
      </c>
      <c r="M243" t="s">
        <v>32</v>
      </c>
      <c r="N243">
        <v>3349</v>
      </c>
      <c r="O243">
        <v>6.5925460000000005E-2</v>
      </c>
      <c r="P243">
        <v>6.0469649999999996E-3</v>
      </c>
      <c r="Q243" t="str">
        <f t="shared" si="6"/>
        <v>15-24</v>
      </c>
      <c r="R243" t="str">
        <f t="shared" si="7"/>
        <v>[fyEoGEPERdI]|15-24|Female|TX_CURR_SUBNAT.R|CY2023Q4</v>
      </c>
    </row>
    <row r="244" spans="4:18" x14ac:dyDescent="0.2">
      <c r="D244" t="s">
        <v>105</v>
      </c>
      <c r="E244" t="s">
        <v>106</v>
      </c>
      <c r="F244" t="s">
        <v>107</v>
      </c>
      <c r="G244" t="s">
        <v>26</v>
      </c>
      <c r="H244" t="s">
        <v>27</v>
      </c>
      <c r="I244" t="s">
        <v>41</v>
      </c>
      <c r="J244" t="s">
        <v>42</v>
      </c>
      <c r="K244" t="s">
        <v>30</v>
      </c>
      <c r="L244" t="s">
        <v>31</v>
      </c>
      <c r="M244" t="s">
        <v>32</v>
      </c>
      <c r="N244">
        <v>9030</v>
      </c>
      <c r="O244">
        <v>3.4180663999999999E-2</v>
      </c>
      <c r="P244">
        <v>6.0469649999999996E-3</v>
      </c>
      <c r="Q244" t="str">
        <f t="shared" si="6"/>
        <v>25-34</v>
      </c>
      <c r="R244" t="str">
        <f t="shared" si="7"/>
        <v>[fyEoGEPERdI]|25-34|Female|TX_CURR_SUBNAT.R|CY2023Q4</v>
      </c>
    </row>
    <row r="245" spans="4:18" x14ac:dyDescent="0.2">
      <c r="D245" t="s">
        <v>105</v>
      </c>
      <c r="E245" t="s">
        <v>106</v>
      </c>
      <c r="F245" t="s">
        <v>107</v>
      </c>
      <c r="G245" t="s">
        <v>26</v>
      </c>
      <c r="H245" t="s">
        <v>27</v>
      </c>
      <c r="I245" t="s">
        <v>43</v>
      </c>
      <c r="J245" t="s">
        <v>44</v>
      </c>
      <c r="K245" t="s">
        <v>30</v>
      </c>
      <c r="L245" t="s">
        <v>31</v>
      </c>
      <c r="M245" t="s">
        <v>32</v>
      </c>
      <c r="N245">
        <v>20586</v>
      </c>
      <c r="O245">
        <v>1.8836657E-2</v>
      </c>
      <c r="P245">
        <v>6.0469649999999996E-3</v>
      </c>
      <c r="Q245" t="str">
        <f t="shared" si="6"/>
        <v>35-49</v>
      </c>
      <c r="R245" t="str">
        <f t="shared" si="7"/>
        <v>[fyEoGEPERdI]|35-49|Female|TX_CURR_SUBNAT.R|CY2023Q4</v>
      </c>
    </row>
    <row r="246" spans="4:18" x14ac:dyDescent="0.2">
      <c r="D246" t="s">
        <v>105</v>
      </c>
      <c r="E246" t="s">
        <v>106</v>
      </c>
      <c r="F246" t="s">
        <v>107</v>
      </c>
      <c r="G246" t="s">
        <v>26</v>
      </c>
      <c r="H246" t="s">
        <v>27</v>
      </c>
      <c r="I246" t="s">
        <v>45</v>
      </c>
      <c r="J246" t="s">
        <v>46</v>
      </c>
      <c r="K246" t="s">
        <v>30</v>
      </c>
      <c r="L246" t="s">
        <v>31</v>
      </c>
      <c r="M246" t="s">
        <v>32</v>
      </c>
      <c r="N246">
        <v>8912</v>
      </c>
      <c r="O246">
        <v>3.7486672999999998E-2</v>
      </c>
      <c r="P246">
        <v>6.0469649999999996E-3</v>
      </c>
      <c r="Q246" t="str">
        <f t="shared" si="6"/>
        <v>50+</v>
      </c>
      <c r="R246" t="str">
        <f t="shared" si="7"/>
        <v>[fyEoGEPERdI]|50+|Female|TX_CURR_SUBNAT.R|CY2023Q4</v>
      </c>
    </row>
    <row r="247" spans="4:18" x14ac:dyDescent="0.2">
      <c r="D247" t="s">
        <v>105</v>
      </c>
      <c r="E247" t="s">
        <v>106</v>
      </c>
      <c r="F247" t="s">
        <v>107</v>
      </c>
      <c r="G247" t="s">
        <v>26</v>
      </c>
      <c r="H247" t="s">
        <v>27</v>
      </c>
      <c r="I247" t="s">
        <v>28</v>
      </c>
      <c r="J247" t="s">
        <v>29</v>
      </c>
      <c r="K247" t="s">
        <v>48</v>
      </c>
      <c r="L247" t="s">
        <v>49</v>
      </c>
      <c r="M247" t="s">
        <v>32</v>
      </c>
      <c r="N247">
        <v>31</v>
      </c>
      <c r="O247">
        <v>2.2808030999999999E-2</v>
      </c>
      <c r="P247">
        <v>6.0469649999999996E-3</v>
      </c>
      <c r="Q247" t="str">
        <f t="shared" si="6"/>
        <v>&lt;01</v>
      </c>
      <c r="R247" t="str">
        <f t="shared" si="7"/>
        <v>[fyEoGEPERdI]|&lt;01|Male|TX_CURR_SUBNAT.R|CY2023Q4</v>
      </c>
    </row>
    <row r="248" spans="4:18" x14ac:dyDescent="0.2">
      <c r="D248" t="s">
        <v>105</v>
      </c>
      <c r="E248" t="s">
        <v>106</v>
      </c>
      <c r="F248" t="s">
        <v>107</v>
      </c>
      <c r="G248" t="s">
        <v>26</v>
      </c>
      <c r="H248" t="s">
        <v>27</v>
      </c>
      <c r="I248" t="s">
        <v>33</v>
      </c>
      <c r="J248" t="s">
        <v>34</v>
      </c>
      <c r="K248" t="s">
        <v>48</v>
      </c>
      <c r="L248" t="s">
        <v>49</v>
      </c>
      <c r="M248" t="s">
        <v>32</v>
      </c>
      <c r="N248">
        <v>559</v>
      </c>
      <c r="O248">
        <v>2.0263983999999999E-2</v>
      </c>
      <c r="P248">
        <v>6.0469649999999996E-3</v>
      </c>
      <c r="Q248" t="str">
        <f t="shared" si="6"/>
        <v>01-09</v>
      </c>
      <c r="R248" t="str">
        <f t="shared" si="7"/>
        <v>[fyEoGEPERdI]|01-09|Male|TX_CURR_SUBNAT.R|CY2023Q4</v>
      </c>
    </row>
    <row r="249" spans="4:18" x14ac:dyDescent="0.2">
      <c r="D249" t="s">
        <v>105</v>
      </c>
      <c r="E249" t="s">
        <v>106</v>
      </c>
      <c r="F249" t="s">
        <v>107</v>
      </c>
      <c r="G249" t="s">
        <v>26</v>
      </c>
      <c r="H249" t="s">
        <v>27</v>
      </c>
      <c r="I249" t="s">
        <v>36</v>
      </c>
      <c r="J249" t="s">
        <v>37</v>
      </c>
      <c r="K249" t="s">
        <v>48</v>
      </c>
      <c r="L249" t="s">
        <v>49</v>
      </c>
      <c r="M249" t="s">
        <v>32</v>
      </c>
      <c r="N249">
        <v>687</v>
      </c>
      <c r="O249">
        <v>1.7520266E-2</v>
      </c>
      <c r="P249">
        <v>6.0469649999999996E-3</v>
      </c>
      <c r="Q249" t="str">
        <f t="shared" si="6"/>
        <v>10-14</v>
      </c>
      <c r="R249" t="str">
        <f t="shared" si="7"/>
        <v>[fyEoGEPERdI]|10-14|Male|TX_CURR_SUBNAT.R|CY2023Q4</v>
      </c>
    </row>
    <row r="250" spans="4:18" x14ac:dyDescent="0.2">
      <c r="D250" t="s">
        <v>105</v>
      </c>
      <c r="E250" t="s">
        <v>106</v>
      </c>
      <c r="F250" t="s">
        <v>107</v>
      </c>
      <c r="G250" t="s">
        <v>26</v>
      </c>
      <c r="H250" t="s">
        <v>27</v>
      </c>
      <c r="I250" t="s">
        <v>38</v>
      </c>
      <c r="J250" t="s">
        <v>39</v>
      </c>
      <c r="K250" t="s">
        <v>48</v>
      </c>
      <c r="L250" t="s">
        <v>49</v>
      </c>
      <c r="M250" t="s">
        <v>32</v>
      </c>
      <c r="N250">
        <v>2143</v>
      </c>
      <c r="O250">
        <v>7.6280164999999997E-2</v>
      </c>
      <c r="P250">
        <v>6.0469649999999996E-3</v>
      </c>
      <c r="Q250" t="str">
        <f t="shared" si="6"/>
        <v>15-24</v>
      </c>
      <c r="R250" t="str">
        <f t="shared" si="7"/>
        <v>[fyEoGEPERdI]|15-24|Male|TX_CURR_SUBNAT.R|CY2023Q4</v>
      </c>
    </row>
    <row r="251" spans="4:18" x14ac:dyDescent="0.2">
      <c r="D251" t="s">
        <v>105</v>
      </c>
      <c r="E251" t="s">
        <v>106</v>
      </c>
      <c r="F251" t="s">
        <v>107</v>
      </c>
      <c r="G251" t="s">
        <v>26</v>
      </c>
      <c r="H251" t="s">
        <v>27</v>
      </c>
      <c r="I251" t="s">
        <v>41</v>
      </c>
      <c r="J251" t="s">
        <v>42</v>
      </c>
      <c r="K251" t="s">
        <v>48</v>
      </c>
      <c r="L251" t="s">
        <v>49</v>
      </c>
      <c r="M251" t="s">
        <v>32</v>
      </c>
      <c r="N251">
        <v>2871</v>
      </c>
      <c r="O251">
        <v>6.3702714999999993E-2</v>
      </c>
      <c r="P251">
        <v>6.0469649999999996E-3</v>
      </c>
      <c r="Q251" t="str">
        <f t="shared" si="6"/>
        <v>25-34</v>
      </c>
      <c r="R251" t="str">
        <f t="shared" si="7"/>
        <v>[fyEoGEPERdI]|25-34|Male|TX_CURR_SUBNAT.R|CY2023Q4</v>
      </c>
    </row>
    <row r="252" spans="4:18" x14ac:dyDescent="0.2">
      <c r="D252" t="s">
        <v>105</v>
      </c>
      <c r="E252" t="s">
        <v>106</v>
      </c>
      <c r="F252" t="s">
        <v>107</v>
      </c>
      <c r="G252" t="s">
        <v>26</v>
      </c>
      <c r="H252" t="s">
        <v>27</v>
      </c>
      <c r="I252" t="s">
        <v>43</v>
      </c>
      <c r="J252" t="s">
        <v>44</v>
      </c>
      <c r="K252" t="s">
        <v>48</v>
      </c>
      <c r="L252" t="s">
        <v>49</v>
      </c>
      <c r="M252" t="s">
        <v>32</v>
      </c>
      <c r="N252">
        <v>10280</v>
      </c>
      <c r="O252">
        <v>2.7361918999999998E-2</v>
      </c>
      <c r="P252">
        <v>6.0469649999999996E-3</v>
      </c>
      <c r="Q252" t="str">
        <f t="shared" si="6"/>
        <v>35-49</v>
      </c>
      <c r="R252" t="str">
        <f t="shared" si="7"/>
        <v>[fyEoGEPERdI]|35-49|Male|TX_CURR_SUBNAT.R|CY2023Q4</v>
      </c>
    </row>
    <row r="253" spans="4:18" x14ac:dyDescent="0.2">
      <c r="D253" t="s">
        <v>105</v>
      </c>
      <c r="E253" t="s">
        <v>106</v>
      </c>
      <c r="F253" t="s">
        <v>107</v>
      </c>
      <c r="G253" t="s">
        <v>26</v>
      </c>
      <c r="H253" t="s">
        <v>27</v>
      </c>
      <c r="I253" t="s">
        <v>45</v>
      </c>
      <c r="J253" t="s">
        <v>46</v>
      </c>
      <c r="K253" t="s">
        <v>48</v>
      </c>
      <c r="L253" t="s">
        <v>49</v>
      </c>
      <c r="M253" t="s">
        <v>32</v>
      </c>
      <c r="N253">
        <v>6739</v>
      </c>
      <c r="O253">
        <v>3.5883608999999997E-2</v>
      </c>
      <c r="P253">
        <v>6.0469649999999996E-3</v>
      </c>
      <c r="Q253" t="str">
        <f t="shared" si="6"/>
        <v>50+</v>
      </c>
      <c r="R253" t="str">
        <f t="shared" si="7"/>
        <v>[fyEoGEPERdI]|50+|Male|TX_CURR_SUBNAT.R|CY2023Q4</v>
      </c>
    </row>
    <row r="254" spans="4:18" x14ac:dyDescent="0.2">
      <c r="D254" t="s">
        <v>108</v>
      </c>
      <c r="E254" t="s">
        <v>109</v>
      </c>
      <c r="F254" t="s">
        <v>110</v>
      </c>
      <c r="G254" t="s">
        <v>26</v>
      </c>
      <c r="H254" t="s">
        <v>27</v>
      </c>
      <c r="I254" t="s">
        <v>28</v>
      </c>
      <c r="J254" t="s">
        <v>29</v>
      </c>
      <c r="K254" t="s">
        <v>30</v>
      </c>
      <c r="L254" t="s">
        <v>31</v>
      </c>
      <c r="M254" t="s">
        <v>32</v>
      </c>
      <c r="N254">
        <v>32</v>
      </c>
      <c r="O254">
        <v>4.7911491E-2</v>
      </c>
      <c r="P254">
        <v>6.1649000000000001E-3</v>
      </c>
      <c r="Q254" t="str">
        <f t="shared" si="6"/>
        <v>&lt;01</v>
      </c>
      <c r="R254" t="str">
        <f t="shared" si="7"/>
        <v>[umc2n1Z4wNv]|&lt;01|Female|TX_CURR_SUBNAT.R|CY2023Q4</v>
      </c>
    </row>
    <row r="255" spans="4:18" x14ac:dyDescent="0.2">
      <c r="D255" t="s">
        <v>108</v>
      </c>
      <c r="E255" t="s">
        <v>109</v>
      </c>
      <c r="F255" t="s">
        <v>110</v>
      </c>
      <c r="G255" t="s">
        <v>26</v>
      </c>
      <c r="H255" t="s">
        <v>27</v>
      </c>
      <c r="I255" t="s">
        <v>33</v>
      </c>
      <c r="J255" t="s">
        <v>34</v>
      </c>
      <c r="K255" t="s">
        <v>30</v>
      </c>
      <c r="L255" t="s">
        <v>31</v>
      </c>
      <c r="M255" t="s">
        <v>32</v>
      </c>
      <c r="N255">
        <v>537</v>
      </c>
      <c r="O255">
        <v>3.6467917000000002E-2</v>
      </c>
      <c r="P255">
        <v>6.1649000000000001E-3</v>
      </c>
      <c r="Q255" t="str">
        <f t="shared" si="6"/>
        <v>01-09</v>
      </c>
      <c r="R255" t="str">
        <f t="shared" si="7"/>
        <v>[umc2n1Z4wNv]|01-09|Female|TX_CURR_SUBNAT.R|CY2023Q4</v>
      </c>
    </row>
    <row r="256" spans="4:18" x14ac:dyDescent="0.2">
      <c r="D256" t="s">
        <v>108</v>
      </c>
      <c r="E256" t="s">
        <v>109</v>
      </c>
      <c r="F256" t="s">
        <v>110</v>
      </c>
      <c r="G256" t="s">
        <v>26</v>
      </c>
      <c r="H256" t="s">
        <v>27</v>
      </c>
      <c r="I256" t="s">
        <v>36</v>
      </c>
      <c r="J256" t="s">
        <v>37</v>
      </c>
      <c r="K256" t="s">
        <v>30</v>
      </c>
      <c r="L256" t="s">
        <v>31</v>
      </c>
      <c r="M256" t="s">
        <v>32</v>
      </c>
      <c r="N256">
        <v>660</v>
      </c>
      <c r="O256">
        <v>2.3974049000000001E-2</v>
      </c>
      <c r="P256">
        <v>6.1649000000000001E-3</v>
      </c>
      <c r="Q256" t="str">
        <f t="shared" si="6"/>
        <v>10-14</v>
      </c>
      <c r="R256" t="str">
        <f t="shared" si="7"/>
        <v>[umc2n1Z4wNv]|10-14|Female|TX_CURR_SUBNAT.R|CY2023Q4</v>
      </c>
    </row>
    <row r="257" spans="4:18" x14ac:dyDescent="0.2">
      <c r="D257" t="s">
        <v>108</v>
      </c>
      <c r="E257" t="s">
        <v>109</v>
      </c>
      <c r="F257" t="s">
        <v>110</v>
      </c>
      <c r="G257" t="s">
        <v>26</v>
      </c>
      <c r="H257" t="s">
        <v>27</v>
      </c>
      <c r="I257" t="s">
        <v>38</v>
      </c>
      <c r="J257" t="s">
        <v>39</v>
      </c>
      <c r="K257" t="s">
        <v>30</v>
      </c>
      <c r="L257" t="s">
        <v>31</v>
      </c>
      <c r="M257" t="s">
        <v>32</v>
      </c>
      <c r="N257">
        <v>2992</v>
      </c>
      <c r="O257">
        <v>6.9051452999999999E-2</v>
      </c>
      <c r="P257">
        <v>6.1649000000000001E-3</v>
      </c>
      <c r="Q257" t="str">
        <f t="shared" si="6"/>
        <v>15-24</v>
      </c>
      <c r="R257" t="str">
        <f t="shared" si="7"/>
        <v>[umc2n1Z4wNv]|15-24|Female|TX_CURR_SUBNAT.R|CY2023Q4</v>
      </c>
    </row>
    <row r="258" spans="4:18" x14ac:dyDescent="0.2">
      <c r="D258" t="s">
        <v>108</v>
      </c>
      <c r="E258" t="s">
        <v>109</v>
      </c>
      <c r="F258" t="s">
        <v>110</v>
      </c>
      <c r="G258" t="s">
        <v>26</v>
      </c>
      <c r="H258" t="s">
        <v>27</v>
      </c>
      <c r="I258" t="s">
        <v>41</v>
      </c>
      <c r="J258" t="s">
        <v>42</v>
      </c>
      <c r="K258" t="s">
        <v>30</v>
      </c>
      <c r="L258" t="s">
        <v>31</v>
      </c>
      <c r="M258" t="s">
        <v>32</v>
      </c>
      <c r="N258">
        <v>7789</v>
      </c>
      <c r="O258">
        <v>3.4472756E-2</v>
      </c>
      <c r="P258">
        <v>6.1649000000000001E-3</v>
      </c>
      <c r="Q258" t="str">
        <f t="shared" si="6"/>
        <v>25-34</v>
      </c>
      <c r="R258" t="str">
        <f t="shared" si="7"/>
        <v>[umc2n1Z4wNv]|25-34|Female|TX_CURR_SUBNAT.R|CY2023Q4</v>
      </c>
    </row>
    <row r="259" spans="4:18" x14ac:dyDescent="0.2">
      <c r="D259" t="s">
        <v>108</v>
      </c>
      <c r="E259" t="s">
        <v>109</v>
      </c>
      <c r="F259" t="s">
        <v>110</v>
      </c>
      <c r="G259" t="s">
        <v>26</v>
      </c>
      <c r="H259" t="s">
        <v>27</v>
      </c>
      <c r="I259" t="s">
        <v>43</v>
      </c>
      <c r="J259" t="s">
        <v>44</v>
      </c>
      <c r="K259" t="s">
        <v>30</v>
      </c>
      <c r="L259" t="s">
        <v>31</v>
      </c>
      <c r="M259" t="s">
        <v>32</v>
      </c>
      <c r="N259">
        <v>18705</v>
      </c>
      <c r="O259">
        <v>1.8947509000000001E-2</v>
      </c>
      <c r="P259">
        <v>6.1649000000000001E-3</v>
      </c>
      <c r="Q259" t="str">
        <f t="shared" ref="Q259:Q322" si="8">SUBSTITUTE(SUBSTITUTE($I259,CHAR(61),""),CHAR(34),"")</f>
        <v>35-49</v>
      </c>
      <c r="R259" t="str">
        <f t="shared" ref="R259:R322" si="9">IF($D259&lt;&gt;"","["&amp;$E259&amp;"]"&amp;"|"&amp;$Q259&amp;"|"&amp;$K259&amp;"|"&amp;$G259&amp;"|"&amp;IF($G259="TX_CURR_SUBNAT.R","CY2023Q4",$M259),"")</f>
        <v>[umc2n1Z4wNv]|35-49|Female|TX_CURR_SUBNAT.R|CY2023Q4</v>
      </c>
    </row>
    <row r="260" spans="4:18" x14ac:dyDescent="0.2">
      <c r="D260" t="s">
        <v>108</v>
      </c>
      <c r="E260" t="s">
        <v>109</v>
      </c>
      <c r="F260" t="s">
        <v>110</v>
      </c>
      <c r="G260" t="s">
        <v>26</v>
      </c>
      <c r="H260" t="s">
        <v>27</v>
      </c>
      <c r="I260" t="s">
        <v>45</v>
      </c>
      <c r="J260" t="s">
        <v>46</v>
      </c>
      <c r="K260" t="s">
        <v>30</v>
      </c>
      <c r="L260" t="s">
        <v>31</v>
      </c>
      <c r="M260" t="s">
        <v>32</v>
      </c>
      <c r="N260">
        <v>8879</v>
      </c>
      <c r="O260">
        <v>3.5459626000000001E-2</v>
      </c>
      <c r="P260">
        <v>6.1649000000000001E-3</v>
      </c>
      <c r="Q260" t="str">
        <f t="shared" si="8"/>
        <v>50+</v>
      </c>
      <c r="R260" t="str">
        <f t="shared" si="9"/>
        <v>[umc2n1Z4wNv]|50+|Female|TX_CURR_SUBNAT.R|CY2023Q4</v>
      </c>
    </row>
    <row r="261" spans="4:18" x14ac:dyDescent="0.2">
      <c r="D261" t="s">
        <v>108</v>
      </c>
      <c r="E261" t="s">
        <v>109</v>
      </c>
      <c r="F261" t="s">
        <v>110</v>
      </c>
      <c r="G261" t="s">
        <v>26</v>
      </c>
      <c r="H261" t="s">
        <v>27</v>
      </c>
      <c r="I261" t="s">
        <v>28</v>
      </c>
      <c r="J261" t="s">
        <v>29</v>
      </c>
      <c r="K261" t="s">
        <v>48</v>
      </c>
      <c r="L261" t="s">
        <v>49</v>
      </c>
      <c r="M261" t="s">
        <v>32</v>
      </c>
      <c r="N261">
        <v>31</v>
      </c>
      <c r="O261">
        <v>2.7036226E-2</v>
      </c>
      <c r="P261">
        <v>6.1649000000000001E-3</v>
      </c>
      <c r="Q261" t="str">
        <f t="shared" si="8"/>
        <v>&lt;01</v>
      </c>
      <c r="R261" t="str">
        <f t="shared" si="9"/>
        <v>[umc2n1Z4wNv]|&lt;01|Male|TX_CURR_SUBNAT.R|CY2023Q4</v>
      </c>
    </row>
    <row r="262" spans="4:18" x14ac:dyDescent="0.2">
      <c r="D262" t="s">
        <v>108</v>
      </c>
      <c r="E262" t="s">
        <v>109</v>
      </c>
      <c r="F262" t="s">
        <v>110</v>
      </c>
      <c r="G262" t="s">
        <v>26</v>
      </c>
      <c r="H262" t="s">
        <v>27</v>
      </c>
      <c r="I262" t="s">
        <v>33</v>
      </c>
      <c r="J262" t="s">
        <v>34</v>
      </c>
      <c r="K262" t="s">
        <v>48</v>
      </c>
      <c r="L262" t="s">
        <v>49</v>
      </c>
      <c r="M262" t="s">
        <v>32</v>
      </c>
      <c r="N262">
        <v>522</v>
      </c>
      <c r="O262">
        <v>2.4997332000000001E-2</v>
      </c>
      <c r="P262">
        <v>6.1649000000000001E-3</v>
      </c>
      <c r="Q262" t="str">
        <f t="shared" si="8"/>
        <v>01-09</v>
      </c>
      <c r="R262" t="str">
        <f t="shared" si="9"/>
        <v>[umc2n1Z4wNv]|01-09|Male|TX_CURR_SUBNAT.R|CY2023Q4</v>
      </c>
    </row>
    <row r="263" spans="4:18" x14ac:dyDescent="0.2">
      <c r="D263" t="s">
        <v>108</v>
      </c>
      <c r="E263" t="s">
        <v>109</v>
      </c>
      <c r="F263" t="s">
        <v>110</v>
      </c>
      <c r="G263" t="s">
        <v>26</v>
      </c>
      <c r="H263" t="s">
        <v>27</v>
      </c>
      <c r="I263" t="s">
        <v>36</v>
      </c>
      <c r="J263" t="s">
        <v>37</v>
      </c>
      <c r="K263" t="s">
        <v>48</v>
      </c>
      <c r="L263" t="s">
        <v>49</v>
      </c>
      <c r="M263" t="s">
        <v>32</v>
      </c>
      <c r="N263">
        <v>639</v>
      </c>
      <c r="O263">
        <v>2.3301283999999998E-2</v>
      </c>
      <c r="P263">
        <v>6.1649000000000001E-3</v>
      </c>
      <c r="Q263" t="str">
        <f t="shared" si="8"/>
        <v>10-14</v>
      </c>
      <c r="R263" t="str">
        <f t="shared" si="9"/>
        <v>[umc2n1Z4wNv]|10-14|Male|TX_CURR_SUBNAT.R|CY2023Q4</v>
      </c>
    </row>
    <row r="264" spans="4:18" x14ac:dyDescent="0.2">
      <c r="D264" t="s">
        <v>108</v>
      </c>
      <c r="E264" t="s">
        <v>109</v>
      </c>
      <c r="F264" t="s">
        <v>110</v>
      </c>
      <c r="G264" t="s">
        <v>26</v>
      </c>
      <c r="H264" t="s">
        <v>27</v>
      </c>
      <c r="I264" t="s">
        <v>38</v>
      </c>
      <c r="J264" t="s">
        <v>39</v>
      </c>
      <c r="K264" t="s">
        <v>48</v>
      </c>
      <c r="L264" t="s">
        <v>49</v>
      </c>
      <c r="M264" t="s">
        <v>32</v>
      </c>
      <c r="N264">
        <v>1924</v>
      </c>
      <c r="O264">
        <v>7.9272218000000005E-2</v>
      </c>
      <c r="P264">
        <v>6.1649000000000001E-3</v>
      </c>
      <c r="Q264" t="str">
        <f t="shared" si="8"/>
        <v>15-24</v>
      </c>
      <c r="R264" t="str">
        <f t="shared" si="9"/>
        <v>[umc2n1Z4wNv]|15-24|Male|TX_CURR_SUBNAT.R|CY2023Q4</v>
      </c>
    </row>
    <row r="265" spans="4:18" x14ac:dyDescent="0.2">
      <c r="D265" t="s">
        <v>108</v>
      </c>
      <c r="E265" t="s">
        <v>109</v>
      </c>
      <c r="F265" t="s">
        <v>110</v>
      </c>
      <c r="G265" t="s">
        <v>26</v>
      </c>
      <c r="H265" t="s">
        <v>27</v>
      </c>
      <c r="I265" t="s">
        <v>41</v>
      </c>
      <c r="J265" t="s">
        <v>42</v>
      </c>
      <c r="K265" t="s">
        <v>48</v>
      </c>
      <c r="L265" t="s">
        <v>49</v>
      </c>
      <c r="M265" t="s">
        <v>32</v>
      </c>
      <c r="N265">
        <v>2357</v>
      </c>
      <c r="O265">
        <v>6.4012925999999998E-2</v>
      </c>
      <c r="P265">
        <v>6.1649000000000001E-3</v>
      </c>
      <c r="Q265" t="str">
        <f t="shared" si="8"/>
        <v>25-34</v>
      </c>
      <c r="R265" t="str">
        <f t="shared" si="9"/>
        <v>[umc2n1Z4wNv]|25-34|Male|TX_CURR_SUBNAT.R|CY2023Q4</v>
      </c>
    </row>
    <row r="266" spans="4:18" x14ac:dyDescent="0.2">
      <c r="D266" t="s">
        <v>108</v>
      </c>
      <c r="E266" t="s">
        <v>109</v>
      </c>
      <c r="F266" t="s">
        <v>110</v>
      </c>
      <c r="G266" t="s">
        <v>26</v>
      </c>
      <c r="H266" t="s">
        <v>27</v>
      </c>
      <c r="I266" t="s">
        <v>43</v>
      </c>
      <c r="J266" t="s">
        <v>44</v>
      </c>
      <c r="K266" t="s">
        <v>48</v>
      </c>
      <c r="L266" t="s">
        <v>49</v>
      </c>
      <c r="M266" t="s">
        <v>32</v>
      </c>
      <c r="N266">
        <v>8690</v>
      </c>
      <c r="O266">
        <v>2.7850272999999998E-2</v>
      </c>
      <c r="P266">
        <v>6.1649000000000001E-3</v>
      </c>
      <c r="Q266" t="str">
        <f t="shared" si="8"/>
        <v>35-49</v>
      </c>
      <c r="R266" t="str">
        <f t="shared" si="9"/>
        <v>[umc2n1Z4wNv]|35-49|Male|TX_CURR_SUBNAT.R|CY2023Q4</v>
      </c>
    </row>
    <row r="267" spans="4:18" x14ac:dyDescent="0.2">
      <c r="D267" t="s">
        <v>108</v>
      </c>
      <c r="E267" t="s">
        <v>109</v>
      </c>
      <c r="F267" t="s">
        <v>110</v>
      </c>
      <c r="G267" t="s">
        <v>26</v>
      </c>
      <c r="H267" t="s">
        <v>27</v>
      </c>
      <c r="I267" t="s">
        <v>45</v>
      </c>
      <c r="J267" t="s">
        <v>46</v>
      </c>
      <c r="K267" t="s">
        <v>48</v>
      </c>
      <c r="L267" t="s">
        <v>49</v>
      </c>
      <c r="M267" t="s">
        <v>32</v>
      </c>
      <c r="N267">
        <v>5806</v>
      </c>
      <c r="O267">
        <v>3.5911195E-2</v>
      </c>
      <c r="P267">
        <v>6.1649000000000001E-3</v>
      </c>
      <c r="Q267" t="str">
        <f t="shared" si="8"/>
        <v>50+</v>
      </c>
      <c r="R267" t="str">
        <f t="shared" si="9"/>
        <v>[umc2n1Z4wNv]|50+|Male|TX_CURR_SUBNAT.R|CY2023Q4</v>
      </c>
    </row>
    <row r="268" spans="4:18" x14ac:dyDescent="0.2">
      <c r="D268" t="s">
        <v>111</v>
      </c>
      <c r="E268" t="s">
        <v>112</v>
      </c>
      <c r="F268" t="s">
        <v>113</v>
      </c>
      <c r="G268" t="s">
        <v>26</v>
      </c>
      <c r="H268" t="s">
        <v>27</v>
      </c>
      <c r="I268" t="s">
        <v>28</v>
      </c>
      <c r="J268" t="s">
        <v>29</v>
      </c>
      <c r="K268" t="s">
        <v>30</v>
      </c>
      <c r="L268" t="s">
        <v>31</v>
      </c>
      <c r="M268" t="s">
        <v>32</v>
      </c>
      <c r="N268">
        <v>20</v>
      </c>
      <c r="O268">
        <v>4.3669779999999998E-2</v>
      </c>
      <c r="P268">
        <v>8.3400350000000009E-3</v>
      </c>
      <c r="Q268" t="str">
        <f t="shared" si="8"/>
        <v>&lt;01</v>
      </c>
      <c r="R268" t="str">
        <f t="shared" si="9"/>
        <v>[AZyWpGzhcaA]|&lt;01|Female|TX_CURR_SUBNAT.R|CY2023Q4</v>
      </c>
    </row>
    <row r="269" spans="4:18" x14ac:dyDescent="0.2">
      <c r="D269" t="s">
        <v>111</v>
      </c>
      <c r="E269" t="s">
        <v>112</v>
      </c>
      <c r="F269" t="s">
        <v>113</v>
      </c>
      <c r="G269" t="s">
        <v>26</v>
      </c>
      <c r="H269" t="s">
        <v>27</v>
      </c>
      <c r="I269" t="s">
        <v>33</v>
      </c>
      <c r="J269" t="s">
        <v>34</v>
      </c>
      <c r="K269" t="s">
        <v>30</v>
      </c>
      <c r="L269" t="s">
        <v>31</v>
      </c>
      <c r="M269" t="s">
        <v>32</v>
      </c>
      <c r="N269">
        <v>365</v>
      </c>
      <c r="O269">
        <v>3.7086793999999999E-2</v>
      </c>
      <c r="P269">
        <v>8.3400350000000009E-3</v>
      </c>
      <c r="Q269" t="str">
        <f t="shared" si="8"/>
        <v>01-09</v>
      </c>
      <c r="R269" t="str">
        <f t="shared" si="9"/>
        <v>[AZyWpGzhcaA]|01-09|Female|TX_CURR_SUBNAT.R|CY2023Q4</v>
      </c>
    </row>
    <row r="270" spans="4:18" x14ac:dyDescent="0.2">
      <c r="D270" t="s">
        <v>111</v>
      </c>
      <c r="E270" t="s">
        <v>112</v>
      </c>
      <c r="F270" t="s">
        <v>113</v>
      </c>
      <c r="G270" t="s">
        <v>26</v>
      </c>
      <c r="H270" t="s">
        <v>27</v>
      </c>
      <c r="I270" t="s">
        <v>36</v>
      </c>
      <c r="J270" t="s">
        <v>37</v>
      </c>
      <c r="K270" t="s">
        <v>30</v>
      </c>
      <c r="L270" t="s">
        <v>31</v>
      </c>
      <c r="M270" t="s">
        <v>32</v>
      </c>
      <c r="N270">
        <v>458</v>
      </c>
      <c r="O270">
        <v>2.9357943000000001E-2</v>
      </c>
      <c r="P270">
        <v>8.3400350000000009E-3</v>
      </c>
      <c r="Q270" t="str">
        <f t="shared" si="8"/>
        <v>10-14</v>
      </c>
      <c r="R270" t="str">
        <f t="shared" si="9"/>
        <v>[AZyWpGzhcaA]|10-14|Female|TX_CURR_SUBNAT.R|CY2023Q4</v>
      </c>
    </row>
    <row r="271" spans="4:18" x14ac:dyDescent="0.2">
      <c r="D271" t="s">
        <v>111</v>
      </c>
      <c r="E271" t="s">
        <v>112</v>
      </c>
      <c r="F271" t="s">
        <v>113</v>
      </c>
      <c r="G271" t="s">
        <v>26</v>
      </c>
      <c r="H271" t="s">
        <v>27</v>
      </c>
      <c r="I271" t="s">
        <v>38</v>
      </c>
      <c r="J271" t="s">
        <v>39</v>
      </c>
      <c r="K271" t="s">
        <v>30</v>
      </c>
      <c r="L271" t="s">
        <v>31</v>
      </c>
      <c r="M271" t="s">
        <v>32</v>
      </c>
      <c r="N271">
        <v>1695</v>
      </c>
      <c r="O271">
        <v>6.7761824999999998E-2</v>
      </c>
      <c r="P271">
        <v>8.3400350000000009E-3</v>
      </c>
      <c r="Q271" t="str">
        <f t="shared" si="8"/>
        <v>15-24</v>
      </c>
      <c r="R271" t="str">
        <f t="shared" si="9"/>
        <v>[AZyWpGzhcaA]|15-24|Female|TX_CURR_SUBNAT.R|CY2023Q4</v>
      </c>
    </row>
    <row r="272" spans="4:18" x14ac:dyDescent="0.2">
      <c r="D272" t="s">
        <v>111</v>
      </c>
      <c r="E272" t="s">
        <v>112</v>
      </c>
      <c r="F272" t="s">
        <v>113</v>
      </c>
      <c r="G272" t="s">
        <v>26</v>
      </c>
      <c r="H272" t="s">
        <v>27</v>
      </c>
      <c r="I272" t="s">
        <v>41</v>
      </c>
      <c r="J272" t="s">
        <v>42</v>
      </c>
      <c r="K272" t="s">
        <v>30</v>
      </c>
      <c r="L272" t="s">
        <v>31</v>
      </c>
      <c r="M272" t="s">
        <v>32</v>
      </c>
      <c r="N272">
        <v>4308</v>
      </c>
      <c r="O272">
        <v>3.4744602999999999E-2</v>
      </c>
      <c r="P272">
        <v>8.3400350000000009E-3</v>
      </c>
      <c r="Q272" t="str">
        <f t="shared" si="8"/>
        <v>25-34</v>
      </c>
      <c r="R272" t="str">
        <f t="shared" si="9"/>
        <v>[AZyWpGzhcaA]|25-34|Female|TX_CURR_SUBNAT.R|CY2023Q4</v>
      </c>
    </row>
    <row r="273" spans="4:18" x14ac:dyDescent="0.2">
      <c r="D273" t="s">
        <v>111</v>
      </c>
      <c r="E273" t="s">
        <v>112</v>
      </c>
      <c r="F273" t="s">
        <v>113</v>
      </c>
      <c r="G273" t="s">
        <v>26</v>
      </c>
      <c r="H273" t="s">
        <v>27</v>
      </c>
      <c r="I273" t="s">
        <v>43</v>
      </c>
      <c r="J273" t="s">
        <v>44</v>
      </c>
      <c r="K273" t="s">
        <v>30</v>
      </c>
      <c r="L273" t="s">
        <v>31</v>
      </c>
      <c r="M273" t="s">
        <v>32</v>
      </c>
      <c r="N273">
        <v>9633</v>
      </c>
      <c r="O273">
        <v>2.0177119E-2</v>
      </c>
      <c r="P273">
        <v>8.3400350000000009E-3</v>
      </c>
      <c r="Q273" t="str">
        <f t="shared" si="8"/>
        <v>35-49</v>
      </c>
      <c r="R273" t="str">
        <f t="shared" si="9"/>
        <v>[AZyWpGzhcaA]|35-49|Female|TX_CURR_SUBNAT.R|CY2023Q4</v>
      </c>
    </row>
    <row r="274" spans="4:18" x14ac:dyDescent="0.2">
      <c r="D274" t="s">
        <v>111</v>
      </c>
      <c r="E274" t="s">
        <v>112</v>
      </c>
      <c r="F274" t="s">
        <v>113</v>
      </c>
      <c r="G274" t="s">
        <v>26</v>
      </c>
      <c r="H274" t="s">
        <v>27</v>
      </c>
      <c r="I274" t="s">
        <v>45</v>
      </c>
      <c r="J274" t="s">
        <v>46</v>
      </c>
      <c r="K274" t="s">
        <v>30</v>
      </c>
      <c r="L274" t="s">
        <v>31</v>
      </c>
      <c r="M274" t="s">
        <v>32</v>
      </c>
      <c r="N274">
        <v>4423</v>
      </c>
      <c r="O274">
        <v>3.6374913000000002E-2</v>
      </c>
      <c r="P274">
        <v>8.3400350000000009E-3</v>
      </c>
      <c r="Q274" t="str">
        <f t="shared" si="8"/>
        <v>50+</v>
      </c>
      <c r="R274" t="str">
        <f t="shared" si="9"/>
        <v>[AZyWpGzhcaA]|50+|Female|TX_CURR_SUBNAT.R|CY2023Q4</v>
      </c>
    </row>
    <row r="275" spans="4:18" x14ac:dyDescent="0.2">
      <c r="D275" t="s">
        <v>111</v>
      </c>
      <c r="E275" t="s">
        <v>112</v>
      </c>
      <c r="F275" t="s">
        <v>113</v>
      </c>
      <c r="G275" t="s">
        <v>26</v>
      </c>
      <c r="H275" t="s">
        <v>27</v>
      </c>
      <c r="I275" t="s">
        <v>28</v>
      </c>
      <c r="J275" t="s">
        <v>29</v>
      </c>
      <c r="K275" t="s">
        <v>48</v>
      </c>
      <c r="L275" t="s">
        <v>49</v>
      </c>
      <c r="M275" t="s">
        <v>32</v>
      </c>
      <c r="N275">
        <v>18</v>
      </c>
      <c r="O275">
        <v>2.5597285000000001E-2</v>
      </c>
      <c r="P275">
        <v>8.3400350000000009E-3</v>
      </c>
      <c r="Q275" t="str">
        <f t="shared" si="8"/>
        <v>&lt;01</v>
      </c>
      <c r="R275" t="str">
        <f t="shared" si="9"/>
        <v>[AZyWpGzhcaA]|&lt;01|Male|TX_CURR_SUBNAT.R|CY2023Q4</v>
      </c>
    </row>
    <row r="276" spans="4:18" x14ac:dyDescent="0.2">
      <c r="D276" t="s">
        <v>111</v>
      </c>
      <c r="E276" t="s">
        <v>112</v>
      </c>
      <c r="F276" t="s">
        <v>113</v>
      </c>
      <c r="G276" t="s">
        <v>26</v>
      </c>
      <c r="H276" t="s">
        <v>27</v>
      </c>
      <c r="I276" t="s">
        <v>33</v>
      </c>
      <c r="J276" t="s">
        <v>34</v>
      </c>
      <c r="K276" t="s">
        <v>48</v>
      </c>
      <c r="L276" t="s">
        <v>49</v>
      </c>
      <c r="M276" t="s">
        <v>32</v>
      </c>
      <c r="N276">
        <v>344</v>
      </c>
      <c r="O276">
        <v>2.5451312E-2</v>
      </c>
      <c r="P276">
        <v>8.3400350000000009E-3</v>
      </c>
      <c r="Q276" t="str">
        <f t="shared" si="8"/>
        <v>01-09</v>
      </c>
      <c r="R276" t="str">
        <f t="shared" si="9"/>
        <v>[AZyWpGzhcaA]|01-09|Male|TX_CURR_SUBNAT.R|CY2023Q4</v>
      </c>
    </row>
    <row r="277" spans="4:18" x14ac:dyDescent="0.2">
      <c r="D277" t="s">
        <v>111</v>
      </c>
      <c r="E277" t="s">
        <v>112</v>
      </c>
      <c r="F277" t="s">
        <v>113</v>
      </c>
      <c r="G277" t="s">
        <v>26</v>
      </c>
      <c r="H277" t="s">
        <v>27</v>
      </c>
      <c r="I277" t="s">
        <v>36</v>
      </c>
      <c r="J277" t="s">
        <v>37</v>
      </c>
      <c r="K277" t="s">
        <v>48</v>
      </c>
      <c r="L277" t="s">
        <v>49</v>
      </c>
      <c r="M277" t="s">
        <v>32</v>
      </c>
      <c r="N277">
        <v>430</v>
      </c>
      <c r="O277">
        <v>2.5247642000000001E-2</v>
      </c>
      <c r="P277">
        <v>8.3400350000000009E-3</v>
      </c>
      <c r="Q277" t="str">
        <f t="shared" si="8"/>
        <v>10-14</v>
      </c>
      <c r="R277" t="str">
        <f t="shared" si="9"/>
        <v>[AZyWpGzhcaA]|10-14|Male|TX_CURR_SUBNAT.R|CY2023Q4</v>
      </c>
    </row>
    <row r="278" spans="4:18" x14ac:dyDescent="0.2">
      <c r="D278" t="s">
        <v>111</v>
      </c>
      <c r="E278" t="s">
        <v>112</v>
      </c>
      <c r="F278" t="s">
        <v>113</v>
      </c>
      <c r="G278" t="s">
        <v>26</v>
      </c>
      <c r="H278" t="s">
        <v>27</v>
      </c>
      <c r="I278" t="s">
        <v>38</v>
      </c>
      <c r="J278" t="s">
        <v>39</v>
      </c>
      <c r="K278" t="s">
        <v>48</v>
      </c>
      <c r="L278" t="s">
        <v>49</v>
      </c>
      <c r="M278" t="s">
        <v>32</v>
      </c>
      <c r="N278">
        <v>1128</v>
      </c>
      <c r="O278">
        <v>7.5948640999999997E-2</v>
      </c>
      <c r="P278">
        <v>8.3400350000000009E-3</v>
      </c>
      <c r="Q278" t="str">
        <f t="shared" si="8"/>
        <v>15-24</v>
      </c>
      <c r="R278" t="str">
        <f t="shared" si="9"/>
        <v>[AZyWpGzhcaA]|15-24|Male|TX_CURR_SUBNAT.R|CY2023Q4</v>
      </c>
    </row>
    <row r="279" spans="4:18" x14ac:dyDescent="0.2">
      <c r="D279" t="s">
        <v>111</v>
      </c>
      <c r="E279" t="s">
        <v>112</v>
      </c>
      <c r="F279" t="s">
        <v>113</v>
      </c>
      <c r="G279" t="s">
        <v>26</v>
      </c>
      <c r="H279" t="s">
        <v>27</v>
      </c>
      <c r="I279" t="s">
        <v>41</v>
      </c>
      <c r="J279" t="s">
        <v>42</v>
      </c>
      <c r="K279" t="s">
        <v>48</v>
      </c>
      <c r="L279" t="s">
        <v>49</v>
      </c>
      <c r="M279" t="s">
        <v>32</v>
      </c>
      <c r="N279">
        <v>1356</v>
      </c>
      <c r="O279">
        <v>6.4024181999999999E-2</v>
      </c>
      <c r="P279">
        <v>8.3400350000000009E-3</v>
      </c>
      <c r="Q279" t="str">
        <f t="shared" si="8"/>
        <v>25-34</v>
      </c>
      <c r="R279" t="str">
        <f t="shared" si="9"/>
        <v>[AZyWpGzhcaA]|25-34|Male|TX_CURR_SUBNAT.R|CY2023Q4</v>
      </c>
    </row>
    <row r="280" spans="4:18" x14ac:dyDescent="0.2">
      <c r="D280" t="s">
        <v>111</v>
      </c>
      <c r="E280" t="s">
        <v>112</v>
      </c>
      <c r="F280" t="s">
        <v>113</v>
      </c>
      <c r="G280" t="s">
        <v>26</v>
      </c>
      <c r="H280" t="s">
        <v>27</v>
      </c>
      <c r="I280" t="s">
        <v>43</v>
      </c>
      <c r="J280" t="s">
        <v>44</v>
      </c>
      <c r="K280" t="s">
        <v>48</v>
      </c>
      <c r="L280" t="s">
        <v>49</v>
      </c>
      <c r="M280" t="s">
        <v>32</v>
      </c>
      <c r="N280">
        <v>4756</v>
      </c>
      <c r="O280">
        <v>2.9211162999999998E-2</v>
      </c>
      <c r="P280">
        <v>8.3400350000000009E-3</v>
      </c>
      <c r="Q280" t="str">
        <f t="shared" si="8"/>
        <v>35-49</v>
      </c>
      <c r="R280" t="str">
        <f t="shared" si="9"/>
        <v>[AZyWpGzhcaA]|35-49|Male|TX_CURR_SUBNAT.R|CY2023Q4</v>
      </c>
    </row>
    <row r="281" spans="4:18" x14ac:dyDescent="0.2">
      <c r="D281" t="s">
        <v>111</v>
      </c>
      <c r="E281" t="s">
        <v>112</v>
      </c>
      <c r="F281" t="s">
        <v>113</v>
      </c>
      <c r="G281" t="s">
        <v>26</v>
      </c>
      <c r="H281" t="s">
        <v>27</v>
      </c>
      <c r="I281" t="s">
        <v>45</v>
      </c>
      <c r="J281" t="s">
        <v>46</v>
      </c>
      <c r="K281" t="s">
        <v>48</v>
      </c>
      <c r="L281" t="s">
        <v>49</v>
      </c>
      <c r="M281" t="s">
        <v>32</v>
      </c>
      <c r="N281">
        <v>3090</v>
      </c>
      <c r="O281">
        <v>3.7300726999999999E-2</v>
      </c>
      <c r="P281">
        <v>8.3400350000000009E-3</v>
      </c>
      <c r="Q281" t="str">
        <f t="shared" si="8"/>
        <v>50+</v>
      </c>
      <c r="R281" t="str">
        <f t="shared" si="9"/>
        <v>[AZyWpGzhcaA]|50+|Male|TX_CURR_SUBNAT.R|CY2023Q4</v>
      </c>
    </row>
    <row r="282" spans="4:18" x14ac:dyDescent="0.2">
      <c r="D282" t="s">
        <v>114</v>
      </c>
      <c r="E282" t="s">
        <v>115</v>
      </c>
      <c r="F282" t="s">
        <v>116</v>
      </c>
      <c r="G282" t="s">
        <v>26</v>
      </c>
      <c r="H282" t="s">
        <v>27</v>
      </c>
      <c r="I282" t="s">
        <v>28</v>
      </c>
      <c r="J282" t="s">
        <v>29</v>
      </c>
      <c r="K282" t="s">
        <v>30</v>
      </c>
      <c r="L282" t="s">
        <v>31</v>
      </c>
      <c r="M282" t="s">
        <v>32</v>
      </c>
      <c r="N282">
        <v>12</v>
      </c>
      <c r="O282">
        <v>5.4330603999999998E-2</v>
      </c>
      <c r="P282">
        <v>1.1808898999999999E-2</v>
      </c>
      <c r="Q282" t="str">
        <f t="shared" si="8"/>
        <v>&lt;01</v>
      </c>
      <c r="R282" t="str">
        <f t="shared" si="9"/>
        <v>[ir8wuHHzoSs]|&lt;01|Female|TX_CURR_SUBNAT.R|CY2023Q4</v>
      </c>
    </row>
    <row r="283" spans="4:18" x14ac:dyDescent="0.2">
      <c r="D283" t="s">
        <v>114</v>
      </c>
      <c r="E283" t="s">
        <v>115</v>
      </c>
      <c r="F283" t="s">
        <v>116</v>
      </c>
      <c r="G283" t="s">
        <v>26</v>
      </c>
      <c r="H283" t="s">
        <v>27</v>
      </c>
      <c r="I283" t="s">
        <v>33</v>
      </c>
      <c r="J283" t="s">
        <v>34</v>
      </c>
      <c r="K283" t="s">
        <v>30</v>
      </c>
      <c r="L283" t="s">
        <v>31</v>
      </c>
      <c r="M283" t="s">
        <v>32</v>
      </c>
      <c r="N283">
        <v>225</v>
      </c>
      <c r="O283">
        <v>4.5961586999999998E-2</v>
      </c>
      <c r="P283">
        <v>1.1808898999999999E-2</v>
      </c>
      <c r="Q283" t="str">
        <f t="shared" si="8"/>
        <v>01-09</v>
      </c>
      <c r="R283" t="str">
        <f t="shared" si="9"/>
        <v>[ir8wuHHzoSs]|01-09|Female|TX_CURR_SUBNAT.R|CY2023Q4</v>
      </c>
    </row>
    <row r="284" spans="4:18" x14ac:dyDescent="0.2">
      <c r="D284" t="s">
        <v>114</v>
      </c>
      <c r="E284" t="s">
        <v>115</v>
      </c>
      <c r="F284" t="s">
        <v>116</v>
      </c>
      <c r="G284" t="s">
        <v>26</v>
      </c>
      <c r="H284" t="s">
        <v>27</v>
      </c>
      <c r="I284" t="s">
        <v>36</v>
      </c>
      <c r="J284" t="s">
        <v>37</v>
      </c>
      <c r="K284" t="s">
        <v>30</v>
      </c>
      <c r="L284" t="s">
        <v>31</v>
      </c>
      <c r="M284" t="s">
        <v>32</v>
      </c>
      <c r="N284">
        <v>281</v>
      </c>
      <c r="O284">
        <v>3.6295953999999998E-2</v>
      </c>
      <c r="P284">
        <v>1.1808898999999999E-2</v>
      </c>
      <c r="Q284" t="str">
        <f t="shared" si="8"/>
        <v>10-14</v>
      </c>
      <c r="R284" t="str">
        <f t="shared" si="9"/>
        <v>[ir8wuHHzoSs]|10-14|Female|TX_CURR_SUBNAT.R|CY2023Q4</v>
      </c>
    </row>
    <row r="285" spans="4:18" x14ac:dyDescent="0.2">
      <c r="D285" t="s">
        <v>114</v>
      </c>
      <c r="E285" t="s">
        <v>115</v>
      </c>
      <c r="F285" t="s">
        <v>116</v>
      </c>
      <c r="G285" t="s">
        <v>26</v>
      </c>
      <c r="H285" t="s">
        <v>27</v>
      </c>
      <c r="I285" t="s">
        <v>38</v>
      </c>
      <c r="J285" t="s">
        <v>39</v>
      </c>
      <c r="K285" t="s">
        <v>30</v>
      </c>
      <c r="L285" t="s">
        <v>31</v>
      </c>
      <c r="M285" t="s">
        <v>32</v>
      </c>
      <c r="N285">
        <v>1230</v>
      </c>
      <c r="O285">
        <v>6.7386779999999993E-2</v>
      </c>
      <c r="P285">
        <v>1.1808898999999999E-2</v>
      </c>
      <c r="Q285" t="str">
        <f t="shared" si="8"/>
        <v>15-24</v>
      </c>
      <c r="R285" t="str">
        <f t="shared" si="9"/>
        <v>[ir8wuHHzoSs]|15-24|Female|TX_CURR_SUBNAT.R|CY2023Q4</v>
      </c>
    </row>
    <row r="286" spans="4:18" x14ac:dyDescent="0.2">
      <c r="D286" t="s">
        <v>114</v>
      </c>
      <c r="E286" t="s">
        <v>115</v>
      </c>
      <c r="F286" t="s">
        <v>116</v>
      </c>
      <c r="G286" t="s">
        <v>26</v>
      </c>
      <c r="H286" t="s">
        <v>27</v>
      </c>
      <c r="I286" t="s">
        <v>41</v>
      </c>
      <c r="J286" t="s">
        <v>42</v>
      </c>
      <c r="K286" t="s">
        <v>30</v>
      </c>
      <c r="L286" t="s">
        <v>31</v>
      </c>
      <c r="M286" t="s">
        <v>32</v>
      </c>
      <c r="N286">
        <v>3088</v>
      </c>
      <c r="O286">
        <v>3.7650478000000001E-2</v>
      </c>
      <c r="P286">
        <v>1.1808898999999999E-2</v>
      </c>
      <c r="Q286" t="str">
        <f t="shared" si="8"/>
        <v>25-34</v>
      </c>
      <c r="R286" t="str">
        <f t="shared" si="9"/>
        <v>[ir8wuHHzoSs]|25-34|Female|TX_CURR_SUBNAT.R|CY2023Q4</v>
      </c>
    </row>
    <row r="287" spans="4:18" x14ac:dyDescent="0.2">
      <c r="D287" t="s">
        <v>114</v>
      </c>
      <c r="E287" t="s">
        <v>115</v>
      </c>
      <c r="F287" t="s">
        <v>116</v>
      </c>
      <c r="G287" t="s">
        <v>26</v>
      </c>
      <c r="H287" t="s">
        <v>27</v>
      </c>
      <c r="I287" t="s">
        <v>43</v>
      </c>
      <c r="J287" t="s">
        <v>44</v>
      </c>
      <c r="K287" t="s">
        <v>30</v>
      </c>
      <c r="L287" t="s">
        <v>31</v>
      </c>
      <c r="M287" t="s">
        <v>32</v>
      </c>
      <c r="N287">
        <v>7408</v>
      </c>
      <c r="O287">
        <v>2.3727282999999998E-2</v>
      </c>
      <c r="P287">
        <v>1.1808898999999999E-2</v>
      </c>
      <c r="Q287" t="str">
        <f t="shared" si="8"/>
        <v>35-49</v>
      </c>
      <c r="R287" t="str">
        <f t="shared" si="9"/>
        <v>[ir8wuHHzoSs]|35-49|Female|TX_CURR_SUBNAT.R|CY2023Q4</v>
      </c>
    </row>
    <row r="288" spans="4:18" x14ac:dyDescent="0.2">
      <c r="D288" t="s">
        <v>114</v>
      </c>
      <c r="E288" t="s">
        <v>115</v>
      </c>
      <c r="F288" t="s">
        <v>116</v>
      </c>
      <c r="G288" t="s">
        <v>26</v>
      </c>
      <c r="H288" t="s">
        <v>27</v>
      </c>
      <c r="I288" t="s">
        <v>45</v>
      </c>
      <c r="J288" t="s">
        <v>46</v>
      </c>
      <c r="K288" t="s">
        <v>30</v>
      </c>
      <c r="L288" t="s">
        <v>31</v>
      </c>
      <c r="M288" t="s">
        <v>32</v>
      </c>
      <c r="N288">
        <v>3563</v>
      </c>
      <c r="O288">
        <v>3.8636652E-2</v>
      </c>
      <c r="P288">
        <v>1.1808898999999999E-2</v>
      </c>
      <c r="Q288" t="str">
        <f t="shared" si="8"/>
        <v>50+</v>
      </c>
      <c r="R288" t="str">
        <f t="shared" si="9"/>
        <v>[ir8wuHHzoSs]|50+|Female|TX_CURR_SUBNAT.R|CY2023Q4</v>
      </c>
    </row>
    <row r="289" spans="4:18" x14ac:dyDescent="0.2">
      <c r="D289" t="s">
        <v>114</v>
      </c>
      <c r="E289" t="s">
        <v>115</v>
      </c>
      <c r="F289" t="s">
        <v>116</v>
      </c>
      <c r="G289" t="s">
        <v>26</v>
      </c>
      <c r="H289" t="s">
        <v>27</v>
      </c>
      <c r="I289" t="s">
        <v>28</v>
      </c>
      <c r="J289" t="s">
        <v>29</v>
      </c>
      <c r="K289" t="s">
        <v>48</v>
      </c>
      <c r="L289" t="s">
        <v>49</v>
      </c>
      <c r="M289" t="s">
        <v>32</v>
      </c>
      <c r="N289">
        <v>12</v>
      </c>
      <c r="O289">
        <v>3.4896017000000001E-2</v>
      </c>
      <c r="P289">
        <v>1.1808898999999999E-2</v>
      </c>
      <c r="Q289" t="str">
        <f t="shared" si="8"/>
        <v>&lt;01</v>
      </c>
      <c r="R289" t="str">
        <f t="shared" si="9"/>
        <v>[ir8wuHHzoSs]|&lt;01|Male|TX_CURR_SUBNAT.R|CY2023Q4</v>
      </c>
    </row>
    <row r="290" spans="4:18" x14ac:dyDescent="0.2">
      <c r="D290" t="s">
        <v>114</v>
      </c>
      <c r="E290" t="s">
        <v>115</v>
      </c>
      <c r="F290" t="s">
        <v>116</v>
      </c>
      <c r="G290" t="s">
        <v>26</v>
      </c>
      <c r="H290" t="s">
        <v>27</v>
      </c>
      <c r="I290" t="s">
        <v>33</v>
      </c>
      <c r="J290" t="s">
        <v>34</v>
      </c>
      <c r="K290" t="s">
        <v>48</v>
      </c>
      <c r="L290" t="s">
        <v>49</v>
      </c>
      <c r="M290" t="s">
        <v>32</v>
      </c>
      <c r="N290">
        <v>233</v>
      </c>
      <c r="O290">
        <v>3.1786679999999998E-2</v>
      </c>
      <c r="P290">
        <v>1.1808898999999999E-2</v>
      </c>
      <c r="Q290" t="str">
        <f t="shared" si="8"/>
        <v>01-09</v>
      </c>
      <c r="R290" t="str">
        <f t="shared" si="9"/>
        <v>[ir8wuHHzoSs]|01-09|Male|TX_CURR_SUBNAT.R|CY2023Q4</v>
      </c>
    </row>
    <row r="291" spans="4:18" x14ac:dyDescent="0.2">
      <c r="D291" t="s">
        <v>114</v>
      </c>
      <c r="E291" t="s">
        <v>115</v>
      </c>
      <c r="F291" t="s">
        <v>116</v>
      </c>
      <c r="G291" t="s">
        <v>26</v>
      </c>
      <c r="H291" t="s">
        <v>27</v>
      </c>
      <c r="I291" t="s">
        <v>36</v>
      </c>
      <c r="J291" t="s">
        <v>37</v>
      </c>
      <c r="K291" t="s">
        <v>48</v>
      </c>
      <c r="L291" t="s">
        <v>49</v>
      </c>
      <c r="M291" t="s">
        <v>32</v>
      </c>
      <c r="N291">
        <v>292</v>
      </c>
      <c r="O291">
        <v>2.8345972000000001E-2</v>
      </c>
      <c r="P291">
        <v>1.1808898999999999E-2</v>
      </c>
      <c r="Q291" t="str">
        <f t="shared" si="8"/>
        <v>10-14</v>
      </c>
      <c r="R291" t="str">
        <f t="shared" si="9"/>
        <v>[ir8wuHHzoSs]|10-14|Male|TX_CURR_SUBNAT.R|CY2023Q4</v>
      </c>
    </row>
    <row r="292" spans="4:18" x14ac:dyDescent="0.2">
      <c r="D292" t="s">
        <v>114</v>
      </c>
      <c r="E292" t="s">
        <v>115</v>
      </c>
      <c r="F292" t="s">
        <v>116</v>
      </c>
      <c r="G292" t="s">
        <v>26</v>
      </c>
      <c r="H292" t="s">
        <v>27</v>
      </c>
      <c r="I292" t="s">
        <v>38</v>
      </c>
      <c r="J292" t="s">
        <v>39</v>
      </c>
      <c r="K292" t="s">
        <v>48</v>
      </c>
      <c r="L292" t="s">
        <v>49</v>
      </c>
      <c r="M292" t="s">
        <v>32</v>
      </c>
      <c r="N292">
        <v>756</v>
      </c>
      <c r="O292">
        <v>7.1954613000000001E-2</v>
      </c>
      <c r="P292">
        <v>1.1808898999999999E-2</v>
      </c>
      <c r="Q292" t="str">
        <f t="shared" si="8"/>
        <v>15-24</v>
      </c>
      <c r="R292" t="str">
        <f t="shared" si="9"/>
        <v>[ir8wuHHzoSs]|15-24|Male|TX_CURR_SUBNAT.R|CY2023Q4</v>
      </c>
    </row>
    <row r="293" spans="4:18" x14ac:dyDescent="0.2">
      <c r="D293" t="s">
        <v>114</v>
      </c>
      <c r="E293" t="s">
        <v>115</v>
      </c>
      <c r="F293" t="s">
        <v>116</v>
      </c>
      <c r="G293" t="s">
        <v>26</v>
      </c>
      <c r="H293" t="s">
        <v>27</v>
      </c>
      <c r="I293" t="s">
        <v>41</v>
      </c>
      <c r="J293" t="s">
        <v>42</v>
      </c>
      <c r="K293" t="s">
        <v>48</v>
      </c>
      <c r="L293" t="s">
        <v>49</v>
      </c>
      <c r="M293" t="s">
        <v>32</v>
      </c>
      <c r="N293">
        <v>810</v>
      </c>
      <c r="O293">
        <v>6.7048443999999999E-2</v>
      </c>
      <c r="P293">
        <v>1.1808898999999999E-2</v>
      </c>
      <c r="Q293" t="str">
        <f t="shared" si="8"/>
        <v>25-34</v>
      </c>
      <c r="R293" t="str">
        <f t="shared" si="9"/>
        <v>[ir8wuHHzoSs]|25-34|Male|TX_CURR_SUBNAT.R|CY2023Q4</v>
      </c>
    </row>
    <row r="294" spans="4:18" x14ac:dyDescent="0.2">
      <c r="D294" t="s">
        <v>114</v>
      </c>
      <c r="E294" t="s">
        <v>115</v>
      </c>
      <c r="F294" t="s">
        <v>116</v>
      </c>
      <c r="G294" t="s">
        <v>26</v>
      </c>
      <c r="H294" t="s">
        <v>27</v>
      </c>
      <c r="I294" t="s">
        <v>43</v>
      </c>
      <c r="J294" t="s">
        <v>44</v>
      </c>
      <c r="K294" t="s">
        <v>48</v>
      </c>
      <c r="L294" t="s">
        <v>49</v>
      </c>
      <c r="M294" t="s">
        <v>32</v>
      </c>
      <c r="N294">
        <v>3116</v>
      </c>
      <c r="O294">
        <v>3.2225154999999998E-2</v>
      </c>
      <c r="P294">
        <v>1.1808898999999999E-2</v>
      </c>
      <c r="Q294" t="str">
        <f t="shared" si="8"/>
        <v>35-49</v>
      </c>
      <c r="R294" t="str">
        <f t="shared" si="9"/>
        <v>[ir8wuHHzoSs]|35-49|Male|TX_CURR_SUBNAT.R|CY2023Q4</v>
      </c>
    </row>
    <row r="295" spans="4:18" x14ac:dyDescent="0.2">
      <c r="D295" t="s">
        <v>114</v>
      </c>
      <c r="E295" t="s">
        <v>115</v>
      </c>
      <c r="F295" t="s">
        <v>116</v>
      </c>
      <c r="G295" t="s">
        <v>26</v>
      </c>
      <c r="H295" t="s">
        <v>27</v>
      </c>
      <c r="I295" t="s">
        <v>45</v>
      </c>
      <c r="J295" t="s">
        <v>46</v>
      </c>
      <c r="K295" t="s">
        <v>48</v>
      </c>
      <c r="L295" t="s">
        <v>49</v>
      </c>
      <c r="M295" t="s">
        <v>32</v>
      </c>
      <c r="N295">
        <v>2313</v>
      </c>
      <c r="O295">
        <v>3.8638097000000003E-2</v>
      </c>
      <c r="P295">
        <v>1.1808898999999999E-2</v>
      </c>
      <c r="Q295" t="str">
        <f t="shared" si="8"/>
        <v>50+</v>
      </c>
      <c r="R295" t="str">
        <f t="shared" si="9"/>
        <v>[ir8wuHHzoSs]|50+|Male|TX_CURR_SUBNAT.R|CY2023Q4</v>
      </c>
    </row>
    <row r="296" spans="4:18" x14ac:dyDescent="0.2">
      <c r="D296" t="s">
        <v>117</v>
      </c>
      <c r="E296" t="s">
        <v>118</v>
      </c>
      <c r="F296" t="s">
        <v>119</v>
      </c>
      <c r="G296" t="s">
        <v>26</v>
      </c>
      <c r="H296" t="s">
        <v>27</v>
      </c>
      <c r="I296" t="s">
        <v>28</v>
      </c>
      <c r="J296" t="s">
        <v>29</v>
      </c>
      <c r="K296" t="s">
        <v>30</v>
      </c>
      <c r="L296" t="s">
        <v>31</v>
      </c>
      <c r="M296" t="s">
        <v>32</v>
      </c>
      <c r="N296">
        <v>14</v>
      </c>
      <c r="O296">
        <v>4.2802323000000003E-2</v>
      </c>
      <c r="P296">
        <v>7.9786879999999994E-3</v>
      </c>
      <c r="Q296" t="str">
        <f t="shared" si="8"/>
        <v>&lt;01</v>
      </c>
      <c r="R296" t="str">
        <f t="shared" si="9"/>
        <v>[oiPR2CiVJbf]|&lt;01|Female|TX_CURR_SUBNAT.R|CY2023Q4</v>
      </c>
    </row>
    <row r="297" spans="4:18" x14ac:dyDescent="0.2">
      <c r="D297" t="s">
        <v>117</v>
      </c>
      <c r="E297" t="s">
        <v>118</v>
      </c>
      <c r="F297" t="s">
        <v>119</v>
      </c>
      <c r="G297" t="s">
        <v>26</v>
      </c>
      <c r="H297" t="s">
        <v>27</v>
      </c>
      <c r="I297" t="s">
        <v>33</v>
      </c>
      <c r="J297" t="s">
        <v>34</v>
      </c>
      <c r="K297" t="s">
        <v>30</v>
      </c>
      <c r="L297" t="s">
        <v>31</v>
      </c>
      <c r="M297" t="s">
        <v>32</v>
      </c>
      <c r="N297">
        <v>238</v>
      </c>
      <c r="O297">
        <v>3.8378051000000003E-2</v>
      </c>
      <c r="P297">
        <v>7.9786879999999994E-3</v>
      </c>
      <c r="Q297" t="str">
        <f t="shared" si="8"/>
        <v>01-09</v>
      </c>
      <c r="R297" t="str">
        <f t="shared" si="9"/>
        <v>[oiPR2CiVJbf]|01-09|Female|TX_CURR_SUBNAT.R|CY2023Q4</v>
      </c>
    </row>
    <row r="298" spans="4:18" x14ac:dyDescent="0.2">
      <c r="D298" t="s">
        <v>117</v>
      </c>
      <c r="E298" t="s">
        <v>118</v>
      </c>
      <c r="F298" t="s">
        <v>119</v>
      </c>
      <c r="G298" t="s">
        <v>26</v>
      </c>
      <c r="H298" t="s">
        <v>27</v>
      </c>
      <c r="I298" t="s">
        <v>36</v>
      </c>
      <c r="J298" t="s">
        <v>37</v>
      </c>
      <c r="K298" t="s">
        <v>30</v>
      </c>
      <c r="L298" t="s">
        <v>31</v>
      </c>
      <c r="M298" t="s">
        <v>32</v>
      </c>
      <c r="N298">
        <v>301</v>
      </c>
      <c r="O298">
        <v>3.3264022999999997E-2</v>
      </c>
      <c r="P298">
        <v>7.9786879999999994E-3</v>
      </c>
      <c r="Q298" t="str">
        <f t="shared" si="8"/>
        <v>10-14</v>
      </c>
      <c r="R298" t="str">
        <f t="shared" si="9"/>
        <v>[oiPR2CiVJbf]|10-14|Female|TX_CURR_SUBNAT.R|CY2023Q4</v>
      </c>
    </row>
    <row r="299" spans="4:18" x14ac:dyDescent="0.2">
      <c r="D299" t="s">
        <v>117</v>
      </c>
      <c r="E299" t="s">
        <v>118</v>
      </c>
      <c r="F299" t="s">
        <v>119</v>
      </c>
      <c r="G299" t="s">
        <v>26</v>
      </c>
      <c r="H299" t="s">
        <v>27</v>
      </c>
      <c r="I299" t="s">
        <v>38</v>
      </c>
      <c r="J299" t="s">
        <v>39</v>
      </c>
      <c r="K299" t="s">
        <v>30</v>
      </c>
      <c r="L299" t="s">
        <v>31</v>
      </c>
      <c r="M299" t="s">
        <v>32</v>
      </c>
      <c r="N299">
        <v>2194</v>
      </c>
      <c r="O299">
        <v>6.8120854999999994E-2</v>
      </c>
      <c r="P299">
        <v>7.9786879999999994E-3</v>
      </c>
      <c r="Q299" t="str">
        <f t="shared" si="8"/>
        <v>15-24</v>
      </c>
      <c r="R299" t="str">
        <f t="shared" si="9"/>
        <v>[oiPR2CiVJbf]|15-24|Female|TX_CURR_SUBNAT.R|CY2023Q4</v>
      </c>
    </row>
    <row r="300" spans="4:18" x14ac:dyDescent="0.2">
      <c r="D300" t="s">
        <v>117</v>
      </c>
      <c r="E300" t="s">
        <v>118</v>
      </c>
      <c r="F300" t="s">
        <v>119</v>
      </c>
      <c r="G300" t="s">
        <v>26</v>
      </c>
      <c r="H300" t="s">
        <v>27</v>
      </c>
      <c r="I300" t="s">
        <v>41</v>
      </c>
      <c r="J300" t="s">
        <v>42</v>
      </c>
      <c r="K300" t="s">
        <v>30</v>
      </c>
      <c r="L300" t="s">
        <v>31</v>
      </c>
      <c r="M300" t="s">
        <v>32</v>
      </c>
      <c r="N300">
        <v>5804</v>
      </c>
      <c r="O300">
        <v>3.4427923999999999E-2</v>
      </c>
      <c r="P300">
        <v>7.9786879999999994E-3</v>
      </c>
      <c r="Q300" t="str">
        <f t="shared" si="8"/>
        <v>25-34</v>
      </c>
      <c r="R300" t="str">
        <f t="shared" si="9"/>
        <v>[oiPR2CiVJbf]|25-34|Female|TX_CURR_SUBNAT.R|CY2023Q4</v>
      </c>
    </row>
    <row r="301" spans="4:18" x14ac:dyDescent="0.2">
      <c r="D301" t="s">
        <v>117</v>
      </c>
      <c r="E301" t="s">
        <v>118</v>
      </c>
      <c r="F301" t="s">
        <v>119</v>
      </c>
      <c r="G301" t="s">
        <v>26</v>
      </c>
      <c r="H301" t="s">
        <v>27</v>
      </c>
      <c r="I301" t="s">
        <v>43</v>
      </c>
      <c r="J301" t="s">
        <v>44</v>
      </c>
      <c r="K301" t="s">
        <v>30</v>
      </c>
      <c r="L301" t="s">
        <v>31</v>
      </c>
      <c r="M301" t="s">
        <v>32</v>
      </c>
      <c r="N301">
        <v>13941</v>
      </c>
      <c r="O301">
        <v>2.0393860999999999E-2</v>
      </c>
      <c r="P301">
        <v>7.9786879999999994E-3</v>
      </c>
      <c r="Q301" t="str">
        <f t="shared" si="8"/>
        <v>35-49</v>
      </c>
      <c r="R301" t="str">
        <f t="shared" si="9"/>
        <v>[oiPR2CiVJbf]|35-49|Female|TX_CURR_SUBNAT.R|CY2023Q4</v>
      </c>
    </row>
    <row r="302" spans="4:18" x14ac:dyDescent="0.2">
      <c r="D302" t="s">
        <v>117</v>
      </c>
      <c r="E302" t="s">
        <v>118</v>
      </c>
      <c r="F302" t="s">
        <v>119</v>
      </c>
      <c r="G302" t="s">
        <v>26</v>
      </c>
      <c r="H302" t="s">
        <v>27</v>
      </c>
      <c r="I302" t="s">
        <v>45</v>
      </c>
      <c r="J302" t="s">
        <v>46</v>
      </c>
      <c r="K302" t="s">
        <v>30</v>
      </c>
      <c r="L302" t="s">
        <v>31</v>
      </c>
      <c r="M302" t="s">
        <v>32</v>
      </c>
      <c r="N302">
        <v>7046</v>
      </c>
      <c r="O302">
        <v>3.3922609999999999E-2</v>
      </c>
      <c r="P302">
        <v>7.9786879999999994E-3</v>
      </c>
      <c r="Q302" t="str">
        <f t="shared" si="8"/>
        <v>50+</v>
      </c>
      <c r="R302" t="str">
        <f t="shared" si="9"/>
        <v>[oiPR2CiVJbf]|50+|Female|TX_CURR_SUBNAT.R|CY2023Q4</v>
      </c>
    </row>
    <row r="303" spans="4:18" x14ac:dyDescent="0.2">
      <c r="D303" t="s">
        <v>117</v>
      </c>
      <c r="E303" t="s">
        <v>118</v>
      </c>
      <c r="F303" t="s">
        <v>119</v>
      </c>
      <c r="G303" t="s">
        <v>26</v>
      </c>
      <c r="H303" t="s">
        <v>27</v>
      </c>
      <c r="I303" t="s">
        <v>28</v>
      </c>
      <c r="J303" t="s">
        <v>29</v>
      </c>
      <c r="K303" t="s">
        <v>48</v>
      </c>
      <c r="L303" t="s">
        <v>49</v>
      </c>
      <c r="M303" t="s">
        <v>32</v>
      </c>
      <c r="N303">
        <v>15</v>
      </c>
      <c r="O303">
        <v>3.3613595000000003E-2</v>
      </c>
      <c r="P303">
        <v>7.9786879999999994E-3</v>
      </c>
      <c r="Q303" t="str">
        <f t="shared" si="8"/>
        <v>&lt;01</v>
      </c>
      <c r="R303" t="str">
        <f t="shared" si="9"/>
        <v>[oiPR2CiVJbf]|&lt;01|Male|TX_CURR_SUBNAT.R|CY2023Q4</v>
      </c>
    </row>
    <row r="304" spans="4:18" x14ac:dyDescent="0.2">
      <c r="D304" t="s">
        <v>117</v>
      </c>
      <c r="E304" t="s">
        <v>118</v>
      </c>
      <c r="F304" t="s">
        <v>119</v>
      </c>
      <c r="G304" t="s">
        <v>26</v>
      </c>
      <c r="H304" t="s">
        <v>27</v>
      </c>
      <c r="I304" t="s">
        <v>33</v>
      </c>
      <c r="J304" t="s">
        <v>34</v>
      </c>
      <c r="K304" t="s">
        <v>48</v>
      </c>
      <c r="L304" t="s">
        <v>49</v>
      </c>
      <c r="M304" t="s">
        <v>32</v>
      </c>
      <c r="N304">
        <v>267</v>
      </c>
      <c r="O304">
        <v>3.0990241000000002E-2</v>
      </c>
      <c r="P304">
        <v>7.9786879999999994E-3</v>
      </c>
      <c r="Q304" t="str">
        <f t="shared" si="8"/>
        <v>01-09</v>
      </c>
      <c r="R304" t="str">
        <f t="shared" si="9"/>
        <v>[oiPR2CiVJbf]|01-09|Male|TX_CURR_SUBNAT.R|CY2023Q4</v>
      </c>
    </row>
    <row r="305" spans="4:18" x14ac:dyDescent="0.2">
      <c r="D305" t="s">
        <v>117</v>
      </c>
      <c r="E305" t="s">
        <v>118</v>
      </c>
      <c r="F305" t="s">
        <v>119</v>
      </c>
      <c r="G305" t="s">
        <v>26</v>
      </c>
      <c r="H305" t="s">
        <v>27</v>
      </c>
      <c r="I305" t="s">
        <v>36</v>
      </c>
      <c r="J305" t="s">
        <v>37</v>
      </c>
      <c r="K305" t="s">
        <v>48</v>
      </c>
      <c r="L305" t="s">
        <v>49</v>
      </c>
      <c r="M305" t="s">
        <v>32</v>
      </c>
      <c r="N305">
        <v>336</v>
      </c>
      <c r="O305">
        <v>2.7844958E-2</v>
      </c>
      <c r="P305">
        <v>7.9786879999999994E-3</v>
      </c>
      <c r="Q305" t="str">
        <f t="shared" si="8"/>
        <v>10-14</v>
      </c>
      <c r="R305" t="str">
        <f t="shared" si="9"/>
        <v>[oiPR2CiVJbf]|10-14|Male|TX_CURR_SUBNAT.R|CY2023Q4</v>
      </c>
    </row>
    <row r="306" spans="4:18" x14ac:dyDescent="0.2">
      <c r="D306" t="s">
        <v>117</v>
      </c>
      <c r="E306" t="s">
        <v>118</v>
      </c>
      <c r="F306" t="s">
        <v>119</v>
      </c>
      <c r="G306" t="s">
        <v>26</v>
      </c>
      <c r="H306" t="s">
        <v>27</v>
      </c>
      <c r="I306" t="s">
        <v>38</v>
      </c>
      <c r="J306" t="s">
        <v>39</v>
      </c>
      <c r="K306" t="s">
        <v>48</v>
      </c>
      <c r="L306" t="s">
        <v>49</v>
      </c>
      <c r="M306" t="s">
        <v>32</v>
      </c>
      <c r="N306">
        <v>1474</v>
      </c>
      <c r="O306">
        <v>8.0247128000000001E-2</v>
      </c>
      <c r="P306">
        <v>7.9786879999999994E-3</v>
      </c>
      <c r="Q306" t="str">
        <f t="shared" si="8"/>
        <v>15-24</v>
      </c>
      <c r="R306" t="str">
        <f t="shared" si="9"/>
        <v>[oiPR2CiVJbf]|15-24|Male|TX_CURR_SUBNAT.R|CY2023Q4</v>
      </c>
    </row>
    <row r="307" spans="4:18" x14ac:dyDescent="0.2">
      <c r="D307" t="s">
        <v>117</v>
      </c>
      <c r="E307" t="s">
        <v>118</v>
      </c>
      <c r="F307" t="s">
        <v>119</v>
      </c>
      <c r="G307" t="s">
        <v>26</v>
      </c>
      <c r="H307" t="s">
        <v>27</v>
      </c>
      <c r="I307" t="s">
        <v>41</v>
      </c>
      <c r="J307" t="s">
        <v>42</v>
      </c>
      <c r="K307" t="s">
        <v>48</v>
      </c>
      <c r="L307" t="s">
        <v>49</v>
      </c>
      <c r="M307" t="s">
        <v>32</v>
      </c>
      <c r="N307">
        <v>1914</v>
      </c>
      <c r="O307">
        <v>6.4677277000000005E-2</v>
      </c>
      <c r="P307">
        <v>7.9786879999999994E-3</v>
      </c>
      <c r="Q307" t="str">
        <f t="shared" si="8"/>
        <v>25-34</v>
      </c>
      <c r="R307" t="str">
        <f t="shared" si="9"/>
        <v>[oiPR2CiVJbf]|25-34|Male|TX_CURR_SUBNAT.R|CY2023Q4</v>
      </c>
    </row>
    <row r="308" spans="4:18" x14ac:dyDescent="0.2">
      <c r="D308" t="s">
        <v>117</v>
      </c>
      <c r="E308" t="s">
        <v>118</v>
      </c>
      <c r="F308" t="s">
        <v>119</v>
      </c>
      <c r="G308" t="s">
        <v>26</v>
      </c>
      <c r="H308" t="s">
        <v>27</v>
      </c>
      <c r="I308" t="s">
        <v>43</v>
      </c>
      <c r="J308" t="s">
        <v>44</v>
      </c>
      <c r="K308" t="s">
        <v>48</v>
      </c>
      <c r="L308" t="s">
        <v>49</v>
      </c>
      <c r="M308" t="s">
        <v>32</v>
      </c>
      <c r="N308">
        <v>6894</v>
      </c>
      <c r="O308">
        <v>2.8681472E-2</v>
      </c>
      <c r="P308">
        <v>7.9786879999999994E-3</v>
      </c>
      <c r="Q308" t="str">
        <f t="shared" si="8"/>
        <v>35-49</v>
      </c>
      <c r="R308" t="str">
        <f t="shared" si="9"/>
        <v>[oiPR2CiVJbf]|35-49|Male|TX_CURR_SUBNAT.R|CY2023Q4</v>
      </c>
    </row>
    <row r="309" spans="4:18" x14ac:dyDescent="0.2">
      <c r="D309" t="s">
        <v>117</v>
      </c>
      <c r="E309" t="s">
        <v>118</v>
      </c>
      <c r="F309" t="s">
        <v>119</v>
      </c>
      <c r="G309" t="s">
        <v>26</v>
      </c>
      <c r="H309" t="s">
        <v>27</v>
      </c>
      <c r="I309" t="s">
        <v>45</v>
      </c>
      <c r="J309" t="s">
        <v>46</v>
      </c>
      <c r="K309" t="s">
        <v>48</v>
      </c>
      <c r="L309" t="s">
        <v>49</v>
      </c>
      <c r="M309" t="s">
        <v>32</v>
      </c>
      <c r="N309">
        <v>4820</v>
      </c>
      <c r="O309">
        <v>3.4370210999999998E-2</v>
      </c>
      <c r="P309">
        <v>7.9786879999999994E-3</v>
      </c>
      <c r="Q309" t="str">
        <f t="shared" si="8"/>
        <v>50+</v>
      </c>
      <c r="R309" t="str">
        <f t="shared" si="9"/>
        <v>[oiPR2CiVJbf]|50+|Male|TX_CURR_SUBNAT.R|CY2023Q4</v>
      </c>
    </row>
    <row r="310" spans="4:18" x14ac:dyDescent="0.2">
      <c r="D310" t="s">
        <v>120</v>
      </c>
      <c r="E310" t="s">
        <v>121</v>
      </c>
      <c r="F310" t="s">
        <v>122</v>
      </c>
      <c r="G310" t="s">
        <v>26</v>
      </c>
      <c r="H310" t="s">
        <v>27</v>
      </c>
      <c r="I310" t="s">
        <v>28</v>
      </c>
      <c r="J310" t="s">
        <v>29</v>
      </c>
      <c r="K310" t="s">
        <v>30</v>
      </c>
      <c r="L310" t="s">
        <v>31</v>
      </c>
      <c r="M310" t="s">
        <v>32</v>
      </c>
      <c r="N310">
        <v>49</v>
      </c>
      <c r="O310">
        <v>3.3885670999999999E-2</v>
      </c>
      <c r="P310">
        <v>5.6360780000000001E-3</v>
      </c>
      <c r="Q310" t="str">
        <f t="shared" si="8"/>
        <v>&lt;01</v>
      </c>
      <c r="R310" t="str">
        <f t="shared" si="9"/>
        <v>[mxqa3CDFmIT]|&lt;01|Female|TX_CURR_SUBNAT.R|CY2023Q4</v>
      </c>
    </row>
    <row r="311" spans="4:18" x14ac:dyDescent="0.2">
      <c r="D311" t="s">
        <v>120</v>
      </c>
      <c r="E311" t="s">
        <v>121</v>
      </c>
      <c r="F311" t="s">
        <v>122</v>
      </c>
      <c r="G311" t="s">
        <v>26</v>
      </c>
      <c r="H311" t="s">
        <v>27</v>
      </c>
      <c r="I311" t="s">
        <v>33</v>
      </c>
      <c r="J311" t="s">
        <v>34</v>
      </c>
      <c r="K311" t="s">
        <v>30</v>
      </c>
      <c r="L311" t="s">
        <v>31</v>
      </c>
      <c r="M311" t="s">
        <v>32</v>
      </c>
      <c r="N311">
        <v>807</v>
      </c>
      <c r="O311">
        <v>2.7060511999999998E-2</v>
      </c>
      <c r="P311">
        <v>5.6360780000000001E-3</v>
      </c>
      <c r="Q311" t="str">
        <f t="shared" si="8"/>
        <v>01-09</v>
      </c>
      <c r="R311" t="str">
        <f t="shared" si="9"/>
        <v>[mxqa3CDFmIT]|01-09|Female|TX_CURR_SUBNAT.R|CY2023Q4</v>
      </c>
    </row>
    <row r="312" spans="4:18" x14ac:dyDescent="0.2">
      <c r="D312" t="s">
        <v>120</v>
      </c>
      <c r="E312" t="s">
        <v>121</v>
      </c>
      <c r="F312" t="s">
        <v>122</v>
      </c>
      <c r="G312" t="s">
        <v>26</v>
      </c>
      <c r="H312" t="s">
        <v>27</v>
      </c>
      <c r="I312" t="s">
        <v>36</v>
      </c>
      <c r="J312" t="s">
        <v>37</v>
      </c>
      <c r="K312" t="s">
        <v>30</v>
      </c>
      <c r="L312" t="s">
        <v>31</v>
      </c>
      <c r="M312" t="s">
        <v>32</v>
      </c>
      <c r="N312">
        <v>948</v>
      </c>
      <c r="O312">
        <v>1.9668670999999999E-2</v>
      </c>
      <c r="P312">
        <v>5.6360780000000001E-3</v>
      </c>
      <c r="Q312" t="str">
        <f t="shared" si="8"/>
        <v>10-14</v>
      </c>
      <c r="R312" t="str">
        <f t="shared" si="9"/>
        <v>[mxqa3CDFmIT]|10-14|Female|TX_CURR_SUBNAT.R|CY2023Q4</v>
      </c>
    </row>
    <row r="313" spans="4:18" x14ac:dyDescent="0.2">
      <c r="D313" t="s">
        <v>120</v>
      </c>
      <c r="E313" t="s">
        <v>121</v>
      </c>
      <c r="F313" t="s">
        <v>122</v>
      </c>
      <c r="G313" t="s">
        <v>26</v>
      </c>
      <c r="H313" t="s">
        <v>27</v>
      </c>
      <c r="I313" t="s">
        <v>38</v>
      </c>
      <c r="J313" t="s">
        <v>39</v>
      </c>
      <c r="K313" t="s">
        <v>30</v>
      </c>
      <c r="L313" t="s">
        <v>31</v>
      </c>
      <c r="M313" t="s">
        <v>32</v>
      </c>
      <c r="N313">
        <v>5815</v>
      </c>
      <c r="O313">
        <v>6.4891697999999998E-2</v>
      </c>
      <c r="P313">
        <v>5.6360780000000001E-3</v>
      </c>
      <c r="Q313" t="str">
        <f t="shared" si="8"/>
        <v>15-24</v>
      </c>
      <c r="R313" t="str">
        <f t="shared" si="9"/>
        <v>[mxqa3CDFmIT]|15-24|Female|TX_CURR_SUBNAT.R|CY2023Q4</v>
      </c>
    </row>
    <row r="314" spans="4:18" x14ac:dyDescent="0.2">
      <c r="D314" t="s">
        <v>120</v>
      </c>
      <c r="E314" t="s">
        <v>121</v>
      </c>
      <c r="F314" t="s">
        <v>122</v>
      </c>
      <c r="G314" t="s">
        <v>26</v>
      </c>
      <c r="H314" t="s">
        <v>27</v>
      </c>
      <c r="I314" t="s">
        <v>41</v>
      </c>
      <c r="J314" t="s">
        <v>42</v>
      </c>
      <c r="K314" t="s">
        <v>30</v>
      </c>
      <c r="L314" t="s">
        <v>31</v>
      </c>
      <c r="M314" t="s">
        <v>32</v>
      </c>
      <c r="N314">
        <v>17707</v>
      </c>
      <c r="O314">
        <v>3.3173297999999997E-2</v>
      </c>
      <c r="P314">
        <v>5.6360780000000001E-3</v>
      </c>
      <c r="Q314" t="str">
        <f t="shared" si="8"/>
        <v>25-34</v>
      </c>
      <c r="R314" t="str">
        <f t="shared" si="9"/>
        <v>[mxqa3CDFmIT]|25-34|Female|TX_CURR_SUBNAT.R|CY2023Q4</v>
      </c>
    </row>
    <row r="315" spans="4:18" x14ac:dyDescent="0.2">
      <c r="D315" t="s">
        <v>120</v>
      </c>
      <c r="E315" t="s">
        <v>121</v>
      </c>
      <c r="F315" t="s">
        <v>122</v>
      </c>
      <c r="G315" t="s">
        <v>26</v>
      </c>
      <c r="H315" t="s">
        <v>27</v>
      </c>
      <c r="I315" t="s">
        <v>43</v>
      </c>
      <c r="J315" t="s">
        <v>44</v>
      </c>
      <c r="K315" t="s">
        <v>30</v>
      </c>
      <c r="L315" t="s">
        <v>31</v>
      </c>
      <c r="M315" t="s">
        <v>32</v>
      </c>
      <c r="N315">
        <v>37074</v>
      </c>
      <c r="O315">
        <v>1.7739398999999999E-2</v>
      </c>
      <c r="P315">
        <v>5.6360780000000001E-3</v>
      </c>
      <c r="Q315" t="str">
        <f t="shared" si="8"/>
        <v>35-49</v>
      </c>
      <c r="R315" t="str">
        <f t="shared" si="9"/>
        <v>[mxqa3CDFmIT]|35-49|Female|TX_CURR_SUBNAT.R|CY2023Q4</v>
      </c>
    </row>
    <row r="316" spans="4:18" x14ac:dyDescent="0.2">
      <c r="D316" t="s">
        <v>120</v>
      </c>
      <c r="E316" t="s">
        <v>121</v>
      </c>
      <c r="F316" t="s">
        <v>122</v>
      </c>
      <c r="G316" t="s">
        <v>26</v>
      </c>
      <c r="H316" t="s">
        <v>27</v>
      </c>
      <c r="I316" t="s">
        <v>45</v>
      </c>
      <c r="J316" t="s">
        <v>46</v>
      </c>
      <c r="K316" t="s">
        <v>30</v>
      </c>
      <c r="L316" t="s">
        <v>31</v>
      </c>
      <c r="M316" t="s">
        <v>32</v>
      </c>
      <c r="N316">
        <v>12826</v>
      </c>
      <c r="O316">
        <v>3.9737179999999997E-2</v>
      </c>
      <c r="P316">
        <v>5.6360780000000001E-3</v>
      </c>
      <c r="Q316" t="str">
        <f t="shared" si="8"/>
        <v>50+</v>
      </c>
      <c r="R316" t="str">
        <f t="shared" si="9"/>
        <v>[mxqa3CDFmIT]|50+|Female|TX_CURR_SUBNAT.R|CY2023Q4</v>
      </c>
    </row>
    <row r="317" spans="4:18" x14ac:dyDescent="0.2">
      <c r="D317" t="s">
        <v>120</v>
      </c>
      <c r="E317" t="s">
        <v>121</v>
      </c>
      <c r="F317" t="s">
        <v>122</v>
      </c>
      <c r="G317" t="s">
        <v>26</v>
      </c>
      <c r="H317" t="s">
        <v>27</v>
      </c>
      <c r="I317" t="s">
        <v>28</v>
      </c>
      <c r="J317" t="s">
        <v>29</v>
      </c>
      <c r="K317" t="s">
        <v>48</v>
      </c>
      <c r="L317" t="s">
        <v>49</v>
      </c>
      <c r="M317" t="s">
        <v>32</v>
      </c>
      <c r="N317">
        <v>51</v>
      </c>
      <c r="O317">
        <v>2.1967018000000001E-2</v>
      </c>
      <c r="P317">
        <v>5.6360780000000001E-3</v>
      </c>
      <c r="Q317" t="str">
        <f t="shared" si="8"/>
        <v>&lt;01</v>
      </c>
      <c r="R317" t="str">
        <f t="shared" si="9"/>
        <v>[mxqa3CDFmIT]|&lt;01|Male|TX_CURR_SUBNAT.R|CY2023Q4</v>
      </c>
    </row>
    <row r="318" spans="4:18" x14ac:dyDescent="0.2">
      <c r="D318" t="s">
        <v>120</v>
      </c>
      <c r="E318" t="s">
        <v>121</v>
      </c>
      <c r="F318" t="s">
        <v>122</v>
      </c>
      <c r="G318" t="s">
        <v>26</v>
      </c>
      <c r="H318" t="s">
        <v>27</v>
      </c>
      <c r="I318" t="s">
        <v>33</v>
      </c>
      <c r="J318" t="s">
        <v>34</v>
      </c>
      <c r="K318" t="s">
        <v>48</v>
      </c>
      <c r="L318" t="s">
        <v>49</v>
      </c>
      <c r="M318" t="s">
        <v>32</v>
      </c>
      <c r="N318">
        <v>843</v>
      </c>
      <c r="O318">
        <v>1.9340375E-2</v>
      </c>
      <c r="P318">
        <v>5.6360780000000001E-3</v>
      </c>
      <c r="Q318" t="str">
        <f t="shared" si="8"/>
        <v>01-09</v>
      </c>
      <c r="R318" t="str">
        <f t="shared" si="9"/>
        <v>[mxqa3CDFmIT]|01-09|Male|TX_CURR_SUBNAT.R|CY2023Q4</v>
      </c>
    </row>
    <row r="319" spans="4:18" x14ac:dyDescent="0.2">
      <c r="D319" t="s">
        <v>120</v>
      </c>
      <c r="E319" t="s">
        <v>121</v>
      </c>
      <c r="F319" t="s">
        <v>122</v>
      </c>
      <c r="G319" t="s">
        <v>26</v>
      </c>
      <c r="H319" t="s">
        <v>27</v>
      </c>
      <c r="I319" t="s">
        <v>36</v>
      </c>
      <c r="J319" t="s">
        <v>37</v>
      </c>
      <c r="K319" t="s">
        <v>48</v>
      </c>
      <c r="L319" t="s">
        <v>49</v>
      </c>
      <c r="M319" t="s">
        <v>32</v>
      </c>
      <c r="N319">
        <v>971</v>
      </c>
      <c r="O319">
        <v>1.7021399E-2</v>
      </c>
      <c r="P319">
        <v>5.6360780000000001E-3</v>
      </c>
      <c r="Q319" t="str">
        <f t="shared" si="8"/>
        <v>10-14</v>
      </c>
      <c r="R319" t="str">
        <f t="shared" si="9"/>
        <v>[mxqa3CDFmIT]|10-14|Male|TX_CURR_SUBNAT.R|CY2023Q4</v>
      </c>
    </row>
    <row r="320" spans="4:18" x14ac:dyDescent="0.2">
      <c r="D320" t="s">
        <v>120</v>
      </c>
      <c r="E320" t="s">
        <v>121</v>
      </c>
      <c r="F320" t="s">
        <v>122</v>
      </c>
      <c r="G320" t="s">
        <v>26</v>
      </c>
      <c r="H320" t="s">
        <v>27</v>
      </c>
      <c r="I320" t="s">
        <v>38</v>
      </c>
      <c r="J320" t="s">
        <v>39</v>
      </c>
      <c r="K320" t="s">
        <v>48</v>
      </c>
      <c r="L320" t="s">
        <v>49</v>
      </c>
      <c r="M320" t="s">
        <v>32</v>
      </c>
      <c r="N320">
        <v>3780</v>
      </c>
      <c r="O320">
        <v>8.1116026999999993E-2</v>
      </c>
      <c r="P320">
        <v>5.6360780000000001E-3</v>
      </c>
      <c r="Q320" t="str">
        <f t="shared" si="8"/>
        <v>15-24</v>
      </c>
      <c r="R320" t="str">
        <f t="shared" si="9"/>
        <v>[mxqa3CDFmIT]|15-24|Male|TX_CURR_SUBNAT.R|CY2023Q4</v>
      </c>
    </row>
    <row r="321" spans="4:18" x14ac:dyDescent="0.2">
      <c r="D321" t="s">
        <v>120</v>
      </c>
      <c r="E321" t="s">
        <v>121</v>
      </c>
      <c r="F321" t="s">
        <v>122</v>
      </c>
      <c r="G321" t="s">
        <v>26</v>
      </c>
      <c r="H321" t="s">
        <v>27</v>
      </c>
      <c r="I321" t="s">
        <v>41</v>
      </c>
      <c r="J321" t="s">
        <v>42</v>
      </c>
      <c r="K321" t="s">
        <v>48</v>
      </c>
      <c r="L321" t="s">
        <v>49</v>
      </c>
      <c r="M321" t="s">
        <v>32</v>
      </c>
      <c r="N321">
        <v>6473</v>
      </c>
      <c r="O321">
        <v>6.3139759000000004E-2</v>
      </c>
      <c r="P321">
        <v>5.6360780000000001E-3</v>
      </c>
      <c r="Q321" t="str">
        <f t="shared" si="8"/>
        <v>25-34</v>
      </c>
      <c r="R321" t="str">
        <f t="shared" si="9"/>
        <v>[mxqa3CDFmIT]|25-34|Male|TX_CURR_SUBNAT.R|CY2023Q4</v>
      </c>
    </row>
    <row r="322" spans="4:18" x14ac:dyDescent="0.2">
      <c r="D322" t="s">
        <v>120</v>
      </c>
      <c r="E322" t="s">
        <v>121</v>
      </c>
      <c r="F322" t="s">
        <v>122</v>
      </c>
      <c r="G322" t="s">
        <v>26</v>
      </c>
      <c r="H322" t="s">
        <v>27</v>
      </c>
      <c r="I322" t="s">
        <v>43</v>
      </c>
      <c r="J322" t="s">
        <v>44</v>
      </c>
      <c r="K322" t="s">
        <v>48</v>
      </c>
      <c r="L322" t="s">
        <v>49</v>
      </c>
      <c r="M322" t="s">
        <v>32</v>
      </c>
      <c r="N322">
        <v>23209</v>
      </c>
      <c r="O322">
        <v>2.5650901E-2</v>
      </c>
      <c r="P322">
        <v>5.6360780000000001E-3</v>
      </c>
      <c r="Q322" t="str">
        <f t="shared" si="8"/>
        <v>35-49</v>
      </c>
      <c r="R322" t="str">
        <f t="shared" si="9"/>
        <v>[mxqa3CDFmIT]|35-49|Male|TX_CURR_SUBNAT.R|CY2023Q4</v>
      </c>
    </row>
    <row r="323" spans="4:18" x14ac:dyDescent="0.2">
      <c r="D323" t="s">
        <v>120</v>
      </c>
      <c r="E323" t="s">
        <v>121</v>
      </c>
      <c r="F323" t="s">
        <v>122</v>
      </c>
      <c r="G323" t="s">
        <v>26</v>
      </c>
      <c r="H323" t="s">
        <v>27</v>
      </c>
      <c r="I323" t="s">
        <v>45</v>
      </c>
      <c r="J323" t="s">
        <v>46</v>
      </c>
      <c r="K323" t="s">
        <v>48</v>
      </c>
      <c r="L323" t="s">
        <v>49</v>
      </c>
      <c r="M323" t="s">
        <v>32</v>
      </c>
      <c r="N323">
        <v>12389</v>
      </c>
      <c r="O323">
        <v>3.7231035000000003E-2</v>
      </c>
      <c r="P323">
        <v>5.6360780000000001E-3</v>
      </c>
      <c r="Q323" t="str">
        <f t="shared" ref="Q323:Q386" si="10">SUBSTITUTE(SUBSTITUTE($I323,CHAR(61),""),CHAR(34),"")</f>
        <v>50+</v>
      </c>
      <c r="R323" t="str">
        <f t="shared" ref="R323:R386" si="11">IF($D323&lt;&gt;"","["&amp;$E323&amp;"]"&amp;"|"&amp;$Q323&amp;"|"&amp;$K323&amp;"|"&amp;$G323&amp;"|"&amp;IF($G323="TX_CURR_SUBNAT.R","CY2023Q4",$M323),"")</f>
        <v>[mxqa3CDFmIT]|50+|Male|TX_CURR_SUBNAT.R|CY2023Q4</v>
      </c>
    </row>
    <row r="324" spans="4:18" x14ac:dyDescent="0.2">
      <c r="D324" t="s">
        <v>123</v>
      </c>
      <c r="E324" t="s">
        <v>124</v>
      </c>
      <c r="F324" t="s">
        <v>125</v>
      </c>
      <c r="G324" t="s">
        <v>26</v>
      </c>
      <c r="H324" t="s">
        <v>27</v>
      </c>
      <c r="I324" t="s">
        <v>28</v>
      </c>
      <c r="J324" t="s">
        <v>29</v>
      </c>
      <c r="K324" t="s">
        <v>30</v>
      </c>
      <c r="L324" t="s">
        <v>31</v>
      </c>
      <c r="M324" t="s">
        <v>32</v>
      </c>
      <c r="N324">
        <v>3</v>
      </c>
      <c r="O324">
        <v>7.8076524999999994E-2</v>
      </c>
      <c r="P324">
        <v>1.645156E-2</v>
      </c>
      <c r="Q324" t="str">
        <f t="shared" si="10"/>
        <v>&lt;01</v>
      </c>
      <c r="R324" t="str">
        <f t="shared" si="11"/>
        <v>[wNqJp8oRIcF]|&lt;01|Female|TX_CURR_SUBNAT.R|CY2023Q4</v>
      </c>
    </row>
    <row r="325" spans="4:18" x14ac:dyDescent="0.2">
      <c r="D325" t="s">
        <v>123</v>
      </c>
      <c r="E325" t="s">
        <v>124</v>
      </c>
      <c r="F325" t="s">
        <v>125</v>
      </c>
      <c r="G325" t="s">
        <v>26</v>
      </c>
      <c r="H325" t="s">
        <v>27</v>
      </c>
      <c r="I325" t="s">
        <v>33</v>
      </c>
      <c r="J325" t="s">
        <v>34</v>
      </c>
      <c r="K325" t="s">
        <v>30</v>
      </c>
      <c r="L325" t="s">
        <v>31</v>
      </c>
      <c r="M325" t="s">
        <v>32</v>
      </c>
      <c r="N325">
        <v>57</v>
      </c>
      <c r="O325">
        <v>7.3315053000000005E-2</v>
      </c>
      <c r="P325">
        <v>1.645156E-2</v>
      </c>
      <c r="Q325" t="str">
        <f t="shared" si="10"/>
        <v>01-09</v>
      </c>
      <c r="R325" t="str">
        <f t="shared" si="11"/>
        <v>[wNqJp8oRIcF]|01-09|Female|TX_CURR_SUBNAT.R|CY2023Q4</v>
      </c>
    </row>
    <row r="326" spans="4:18" x14ac:dyDescent="0.2">
      <c r="D326" t="s">
        <v>123</v>
      </c>
      <c r="E326" t="s">
        <v>124</v>
      </c>
      <c r="F326" t="s">
        <v>125</v>
      </c>
      <c r="G326" t="s">
        <v>26</v>
      </c>
      <c r="H326" t="s">
        <v>27</v>
      </c>
      <c r="I326" t="s">
        <v>36</v>
      </c>
      <c r="J326" t="s">
        <v>37</v>
      </c>
      <c r="K326" t="s">
        <v>30</v>
      </c>
      <c r="L326" t="s">
        <v>31</v>
      </c>
      <c r="M326" t="s">
        <v>32</v>
      </c>
      <c r="N326">
        <v>69</v>
      </c>
      <c r="O326">
        <v>6.7133867999999999E-2</v>
      </c>
      <c r="P326">
        <v>1.645156E-2</v>
      </c>
      <c r="Q326" t="str">
        <f t="shared" si="10"/>
        <v>10-14</v>
      </c>
      <c r="R326" t="str">
        <f t="shared" si="11"/>
        <v>[wNqJp8oRIcF]|10-14|Female|TX_CURR_SUBNAT.R|CY2023Q4</v>
      </c>
    </row>
    <row r="327" spans="4:18" x14ac:dyDescent="0.2">
      <c r="D327" t="s">
        <v>123</v>
      </c>
      <c r="E327" t="s">
        <v>124</v>
      </c>
      <c r="F327" t="s">
        <v>125</v>
      </c>
      <c r="G327" t="s">
        <v>26</v>
      </c>
      <c r="H327" t="s">
        <v>27</v>
      </c>
      <c r="I327" t="s">
        <v>38</v>
      </c>
      <c r="J327" t="s">
        <v>39</v>
      </c>
      <c r="K327" t="s">
        <v>30</v>
      </c>
      <c r="L327" t="s">
        <v>31</v>
      </c>
      <c r="M327" t="s">
        <v>32</v>
      </c>
      <c r="N327">
        <v>405</v>
      </c>
      <c r="O327">
        <v>6.6913712E-2</v>
      </c>
      <c r="P327">
        <v>1.645156E-2</v>
      </c>
      <c r="Q327" t="str">
        <f t="shared" si="10"/>
        <v>15-24</v>
      </c>
      <c r="R327" t="str">
        <f t="shared" si="11"/>
        <v>[wNqJp8oRIcF]|15-24|Female|TX_CURR_SUBNAT.R|CY2023Q4</v>
      </c>
    </row>
    <row r="328" spans="4:18" x14ac:dyDescent="0.2">
      <c r="D328" t="s">
        <v>123</v>
      </c>
      <c r="E328" t="s">
        <v>124</v>
      </c>
      <c r="F328" t="s">
        <v>125</v>
      </c>
      <c r="G328" t="s">
        <v>26</v>
      </c>
      <c r="H328" t="s">
        <v>27</v>
      </c>
      <c r="I328" t="s">
        <v>41</v>
      </c>
      <c r="J328" t="s">
        <v>42</v>
      </c>
      <c r="K328" t="s">
        <v>30</v>
      </c>
      <c r="L328" t="s">
        <v>31</v>
      </c>
      <c r="M328" t="s">
        <v>32</v>
      </c>
      <c r="N328">
        <v>1100</v>
      </c>
      <c r="O328">
        <v>4.1331394E-2</v>
      </c>
      <c r="P328">
        <v>1.645156E-2</v>
      </c>
      <c r="Q328" t="str">
        <f t="shared" si="10"/>
        <v>25-34</v>
      </c>
      <c r="R328" t="str">
        <f t="shared" si="11"/>
        <v>[wNqJp8oRIcF]|25-34|Female|TX_CURR_SUBNAT.R|CY2023Q4</v>
      </c>
    </row>
    <row r="329" spans="4:18" x14ac:dyDescent="0.2">
      <c r="D329" t="s">
        <v>123</v>
      </c>
      <c r="E329" t="s">
        <v>124</v>
      </c>
      <c r="F329" t="s">
        <v>125</v>
      </c>
      <c r="G329" t="s">
        <v>26</v>
      </c>
      <c r="H329" t="s">
        <v>27</v>
      </c>
      <c r="I329" t="s">
        <v>43</v>
      </c>
      <c r="J329" t="s">
        <v>44</v>
      </c>
      <c r="K329" t="s">
        <v>30</v>
      </c>
      <c r="L329" t="s">
        <v>31</v>
      </c>
      <c r="M329" t="s">
        <v>32</v>
      </c>
      <c r="N329">
        <v>2574</v>
      </c>
      <c r="O329">
        <v>2.4946040999999999E-2</v>
      </c>
      <c r="P329">
        <v>1.645156E-2</v>
      </c>
      <c r="Q329" t="str">
        <f t="shared" si="10"/>
        <v>35-49</v>
      </c>
      <c r="R329" t="str">
        <f t="shared" si="11"/>
        <v>[wNqJp8oRIcF]|35-49|Female|TX_CURR_SUBNAT.R|CY2023Q4</v>
      </c>
    </row>
    <row r="330" spans="4:18" x14ac:dyDescent="0.2">
      <c r="D330" t="s">
        <v>123</v>
      </c>
      <c r="E330" t="s">
        <v>124</v>
      </c>
      <c r="F330" t="s">
        <v>125</v>
      </c>
      <c r="G330" t="s">
        <v>26</v>
      </c>
      <c r="H330" t="s">
        <v>27</v>
      </c>
      <c r="I330" t="s">
        <v>45</v>
      </c>
      <c r="J330" t="s">
        <v>46</v>
      </c>
      <c r="K330" t="s">
        <v>30</v>
      </c>
      <c r="L330" t="s">
        <v>31</v>
      </c>
      <c r="M330" t="s">
        <v>32</v>
      </c>
      <c r="N330">
        <v>1122</v>
      </c>
      <c r="O330">
        <v>4.3063065999999997E-2</v>
      </c>
      <c r="P330">
        <v>1.645156E-2</v>
      </c>
      <c r="Q330" t="str">
        <f t="shared" si="10"/>
        <v>50+</v>
      </c>
      <c r="R330" t="str">
        <f t="shared" si="11"/>
        <v>[wNqJp8oRIcF]|50+|Female|TX_CURR_SUBNAT.R|CY2023Q4</v>
      </c>
    </row>
    <row r="331" spans="4:18" x14ac:dyDescent="0.2">
      <c r="D331" t="s">
        <v>123</v>
      </c>
      <c r="E331" t="s">
        <v>124</v>
      </c>
      <c r="F331" t="s">
        <v>125</v>
      </c>
      <c r="G331" t="s">
        <v>26</v>
      </c>
      <c r="H331" t="s">
        <v>27</v>
      </c>
      <c r="I331" t="s">
        <v>28</v>
      </c>
      <c r="J331" t="s">
        <v>29</v>
      </c>
      <c r="K331" t="s">
        <v>48</v>
      </c>
      <c r="L331" t="s">
        <v>49</v>
      </c>
      <c r="M331" t="s">
        <v>32</v>
      </c>
      <c r="N331">
        <v>3</v>
      </c>
      <c r="O331">
        <v>6.1392188E-2</v>
      </c>
      <c r="P331">
        <v>1.645156E-2</v>
      </c>
      <c r="Q331" t="str">
        <f t="shared" si="10"/>
        <v>&lt;01</v>
      </c>
      <c r="R331" t="str">
        <f t="shared" si="11"/>
        <v>[wNqJp8oRIcF]|&lt;01|Male|TX_CURR_SUBNAT.R|CY2023Q4</v>
      </c>
    </row>
    <row r="332" spans="4:18" x14ac:dyDescent="0.2">
      <c r="D332" t="s">
        <v>123</v>
      </c>
      <c r="E332" t="s">
        <v>124</v>
      </c>
      <c r="F332" t="s">
        <v>125</v>
      </c>
      <c r="G332" t="s">
        <v>26</v>
      </c>
      <c r="H332" t="s">
        <v>27</v>
      </c>
      <c r="I332" t="s">
        <v>33</v>
      </c>
      <c r="J332" t="s">
        <v>34</v>
      </c>
      <c r="K332" t="s">
        <v>48</v>
      </c>
      <c r="L332" t="s">
        <v>49</v>
      </c>
      <c r="M332" t="s">
        <v>32</v>
      </c>
      <c r="N332">
        <v>61</v>
      </c>
      <c r="O332">
        <v>5.8206474000000001E-2</v>
      </c>
      <c r="P332">
        <v>1.645156E-2</v>
      </c>
      <c r="Q332" t="str">
        <f t="shared" si="10"/>
        <v>01-09</v>
      </c>
      <c r="R332" t="str">
        <f t="shared" si="11"/>
        <v>[wNqJp8oRIcF]|01-09|Male|TX_CURR_SUBNAT.R|CY2023Q4</v>
      </c>
    </row>
    <row r="333" spans="4:18" x14ac:dyDescent="0.2">
      <c r="D333" t="s">
        <v>123</v>
      </c>
      <c r="E333" t="s">
        <v>124</v>
      </c>
      <c r="F333" t="s">
        <v>125</v>
      </c>
      <c r="G333" t="s">
        <v>26</v>
      </c>
      <c r="H333" t="s">
        <v>27</v>
      </c>
      <c r="I333" t="s">
        <v>36</v>
      </c>
      <c r="J333" t="s">
        <v>37</v>
      </c>
      <c r="K333" t="s">
        <v>48</v>
      </c>
      <c r="L333" t="s">
        <v>49</v>
      </c>
      <c r="M333" t="s">
        <v>32</v>
      </c>
      <c r="N333">
        <v>73</v>
      </c>
      <c r="O333">
        <v>5.3745002E-2</v>
      </c>
      <c r="P333">
        <v>1.645156E-2</v>
      </c>
      <c r="Q333" t="str">
        <f t="shared" si="10"/>
        <v>10-14</v>
      </c>
      <c r="R333" t="str">
        <f t="shared" si="11"/>
        <v>[wNqJp8oRIcF]|10-14|Male|TX_CURR_SUBNAT.R|CY2023Q4</v>
      </c>
    </row>
    <row r="334" spans="4:18" x14ac:dyDescent="0.2">
      <c r="D334" t="s">
        <v>123</v>
      </c>
      <c r="E334" t="s">
        <v>124</v>
      </c>
      <c r="F334" t="s">
        <v>125</v>
      </c>
      <c r="G334" t="s">
        <v>26</v>
      </c>
      <c r="H334" t="s">
        <v>27</v>
      </c>
      <c r="I334" t="s">
        <v>38</v>
      </c>
      <c r="J334" t="s">
        <v>39</v>
      </c>
      <c r="K334" t="s">
        <v>48</v>
      </c>
      <c r="L334" t="s">
        <v>49</v>
      </c>
      <c r="M334" t="s">
        <v>32</v>
      </c>
      <c r="N334">
        <v>257</v>
      </c>
      <c r="O334">
        <v>7.8317837000000001E-2</v>
      </c>
      <c r="P334">
        <v>1.645156E-2</v>
      </c>
      <c r="Q334" t="str">
        <f t="shared" si="10"/>
        <v>15-24</v>
      </c>
      <c r="R334" t="str">
        <f t="shared" si="11"/>
        <v>[wNqJp8oRIcF]|15-24|Male|TX_CURR_SUBNAT.R|CY2023Q4</v>
      </c>
    </row>
    <row r="335" spans="4:18" x14ac:dyDescent="0.2">
      <c r="D335" t="s">
        <v>123</v>
      </c>
      <c r="E335" t="s">
        <v>124</v>
      </c>
      <c r="F335" t="s">
        <v>125</v>
      </c>
      <c r="G335" t="s">
        <v>26</v>
      </c>
      <c r="H335" t="s">
        <v>27</v>
      </c>
      <c r="I335" t="s">
        <v>41</v>
      </c>
      <c r="J335" t="s">
        <v>42</v>
      </c>
      <c r="K335" t="s">
        <v>48</v>
      </c>
      <c r="L335" t="s">
        <v>49</v>
      </c>
      <c r="M335" t="s">
        <v>32</v>
      </c>
      <c r="N335">
        <v>350</v>
      </c>
      <c r="O335">
        <v>6.9878967E-2</v>
      </c>
      <c r="P335">
        <v>1.645156E-2</v>
      </c>
      <c r="Q335" t="str">
        <f t="shared" si="10"/>
        <v>25-34</v>
      </c>
      <c r="R335" t="str">
        <f t="shared" si="11"/>
        <v>[wNqJp8oRIcF]|25-34|Male|TX_CURR_SUBNAT.R|CY2023Q4</v>
      </c>
    </row>
    <row r="336" spans="4:18" x14ac:dyDescent="0.2">
      <c r="D336" t="s">
        <v>123</v>
      </c>
      <c r="E336" t="s">
        <v>124</v>
      </c>
      <c r="F336" t="s">
        <v>125</v>
      </c>
      <c r="G336" t="s">
        <v>26</v>
      </c>
      <c r="H336" t="s">
        <v>27</v>
      </c>
      <c r="I336" t="s">
        <v>43</v>
      </c>
      <c r="J336" t="s">
        <v>44</v>
      </c>
      <c r="K336" t="s">
        <v>48</v>
      </c>
      <c r="L336" t="s">
        <v>49</v>
      </c>
      <c r="M336" t="s">
        <v>32</v>
      </c>
      <c r="N336">
        <v>1316</v>
      </c>
      <c r="O336">
        <v>3.3668418999999998E-2</v>
      </c>
      <c r="P336">
        <v>1.645156E-2</v>
      </c>
      <c r="Q336" t="str">
        <f t="shared" si="10"/>
        <v>35-49</v>
      </c>
      <c r="R336" t="str">
        <f t="shared" si="11"/>
        <v>[wNqJp8oRIcF]|35-49|Male|TX_CURR_SUBNAT.R|CY2023Q4</v>
      </c>
    </row>
    <row r="337" spans="4:18" x14ac:dyDescent="0.2">
      <c r="D337" t="s">
        <v>123</v>
      </c>
      <c r="E337" t="s">
        <v>124</v>
      </c>
      <c r="F337" t="s">
        <v>125</v>
      </c>
      <c r="G337" t="s">
        <v>26</v>
      </c>
      <c r="H337" t="s">
        <v>27</v>
      </c>
      <c r="I337" t="s">
        <v>45</v>
      </c>
      <c r="J337" t="s">
        <v>46</v>
      </c>
      <c r="K337" t="s">
        <v>48</v>
      </c>
      <c r="L337" t="s">
        <v>49</v>
      </c>
      <c r="M337" t="s">
        <v>32</v>
      </c>
      <c r="N337">
        <v>861</v>
      </c>
      <c r="O337">
        <v>4.4148996000000003E-2</v>
      </c>
      <c r="P337">
        <v>1.645156E-2</v>
      </c>
      <c r="Q337" t="str">
        <f t="shared" si="10"/>
        <v>50+</v>
      </c>
      <c r="R337" t="str">
        <f t="shared" si="11"/>
        <v>[wNqJp8oRIcF]|50+|Male|TX_CURR_SUBNAT.R|CY2023Q4</v>
      </c>
    </row>
    <row r="338" spans="4:18" x14ac:dyDescent="0.2">
      <c r="D338" t="s">
        <v>126</v>
      </c>
      <c r="E338" t="s">
        <v>127</v>
      </c>
      <c r="F338" t="s">
        <v>128</v>
      </c>
      <c r="G338" t="s">
        <v>26</v>
      </c>
      <c r="H338" t="s">
        <v>27</v>
      </c>
      <c r="I338" t="s">
        <v>28</v>
      </c>
      <c r="J338" t="s">
        <v>29</v>
      </c>
      <c r="K338" t="s">
        <v>30</v>
      </c>
      <c r="L338" t="s">
        <v>31</v>
      </c>
      <c r="M338" t="s">
        <v>32</v>
      </c>
      <c r="N338">
        <v>23</v>
      </c>
      <c r="O338">
        <v>4.7952974000000002E-2</v>
      </c>
      <c r="P338">
        <v>7.7923699999999999E-3</v>
      </c>
      <c r="Q338" t="str">
        <f t="shared" si="10"/>
        <v>&lt;01</v>
      </c>
      <c r="R338" t="str">
        <f t="shared" si="11"/>
        <v>[ul0y9diGujK]|&lt;01|Female|TX_CURR_SUBNAT.R|CY2023Q4</v>
      </c>
    </row>
    <row r="339" spans="4:18" x14ac:dyDescent="0.2">
      <c r="D339" t="s">
        <v>126</v>
      </c>
      <c r="E339" t="s">
        <v>127</v>
      </c>
      <c r="F339" t="s">
        <v>128</v>
      </c>
      <c r="G339" t="s">
        <v>26</v>
      </c>
      <c r="H339" t="s">
        <v>27</v>
      </c>
      <c r="I339" t="s">
        <v>33</v>
      </c>
      <c r="J339" t="s">
        <v>34</v>
      </c>
      <c r="K339" t="s">
        <v>30</v>
      </c>
      <c r="L339" t="s">
        <v>31</v>
      </c>
      <c r="M339" t="s">
        <v>32</v>
      </c>
      <c r="N339">
        <v>398</v>
      </c>
      <c r="O339">
        <v>3.8187268000000003E-2</v>
      </c>
      <c r="P339">
        <v>7.7923699999999999E-3</v>
      </c>
      <c r="Q339" t="str">
        <f t="shared" si="10"/>
        <v>01-09</v>
      </c>
      <c r="R339" t="str">
        <f t="shared" si="11"/>
        <v>[ul0y9diGujK]|01-09|Female|TX_CURR_SUBNAT.R|CY2023Q4</v>
      </c>
    </row>
    <row r="340" spans="4:18" x14ac:dyDescent="0.2">
      <c r="D340" t="s">
        <v>126</v>
      </c>
      <c r="E340" t="s">
        <v>127</v>
      </c>
      <c r="F340" t="s">
        <v>128</v>
      </c>
      <c r="G340" t="s">
        <v>26</v>
      </c>
      <c r="H340" t="s">
        <v>27</v>
      </c>
      <c r="I340" t="s">
        <v>36</v>
      </c>
      <c r="J340" t="s">
        <v>37</v>
      </c>
      <c r="K340" t="s">
        <v>30</v>
      </c>
      <c r="L340" t="s">
        <v>31</v>
      </c>
      <c r="M340" t="s">
        <v>32</v>
      </c>
      <c r="N340">
        <v>515</v>
      </c>
      <c r="O340">
        <v>2.7565165999999999E-2</v>
      </c>
      <c r="P340">
        <v>7.7923699999999999E-3</v>
      </c>
      <c r="Q340" t="str">
        <f t="shared" si="10"/>
        <v>10-14</v>
      </c>
      <c r="R340" t="str">
        <f t="shared" si="11"/>
        <v>[ul0y9diGujK]|10-14|Female|TX_CURR_SUBNAT.R|CY2023Q4</v>
      </c>
    </row>
    <row r="341" spans="4:18" x14ac:dyDescent="0.2">
      <c r="D341" t="s">
        <v>126</v>
      </c>
      <c r="E341" t="s">
        <v>127</v>
      </c>
      <c r="F341" t="s">
        <v>128</v>
      </c>
      <c r="G341" t="s">
        <v>26</v>
      </c>
      <c r="H341" t="s">
        <v>27</v>
      </c>
      <c r="I341" t="s">
        <v>38</v>
      </c>
      <c r="J341" t="s">
        <v>39</v>
      </c>
      <c r="K341" t="s">
        <v>30</v>
      </c>
      <c r="L341" t="s">
        <v>31</v>
      </c>
      <c r="M341" t="s">
        <v>32</v>
      </c>
      <c r="N341">
        <v>2956</v>
      </c>
      <c r="O341">
        <v>6.8248648999999995E-2</v>
      </c>
      <c r="P341">
        <v>7.7923699999999999E-3</v>
      </c>
      <c r="Q341" t="str">
        <f t="shared" si="10"/>
        <v>15-24</v>
      </c>
      <c r="R341" t="str">
        <f t="shared" si="11"/>
        <v>[ul0y9diGujK]|15-24|Female|TX_CURR_SUBNAT.R|CY2023Q4</v>
      </c>
    </row>
    <row r="342" spans="4:18" x14ac:dyDescent="0.2">
      <c r="D342" t="s">
        <v>126</v>
      </c>
      <c r="E342" t="s">
        <v>127</v>
      </c>
      <c r="F342" t="s">
        <v>128</v>
      </c>
      <c r="G342" t="s">
        <v>26</v>
      </c>
      <c r="H342" t="s">
        <v>27</v>
      </c>
      <c r="I342" t="s">
        <v>41</v>
      </c>
      <c r="J342" t="s">
        <v>42</v>
      </c>
      <c r="K342" t="s">
        <v>30</v>
      </c>
      <c r="L342" t="s">
        <v>31</v>
      </c>
      <c r="M342" t="s">
        <v>32</v>
      </c>
      <c r="N342">
        <v>7536</v>
      </c>
      <c r="O342">
        <v>3.5203399000000003E-2</v>
      </c>
      <c r="P342">
        <v>7.7923699999999999E-3</v>
      </c>
      <c r="Q342" t="str">
        <f t="shared" si="10"/>
        <v>25-34</v>
      </c>
      <c r="R342" t="str">
        <f t="shared" si="11"/>
        <v>[ul0y9diGujK]|25-34|Female|TX_CURR_SUBNAT.R|CY2023Q4</v>
      </c>
    </row>
    <row r="343" spans="4:18" x14ac:dyDescent="0.2">
      <c r="D343" t="s">
        <v>126</v>
      </c>
      <c r="E343" t="s">
        <v>127</v>
      </c>
      <c r="F343" t="s">
        <v>128</v>
      </c>
      <c r="G343" t="s">
        <v>26</v>
      </c>
      <c r="H343" t="s">
        <v>27</v>
      </c>
      <c r="I343" t="s">
        <v>43</v>
      </c>
      <c r="J343" t="s">
        <v>44</v>
      </c>
      <c r="K343" t="s">
        <v>30</v>
      </c>
      <c r="L343" t="s">
        <v>31</v>
      </c>
      <c r="M343" t="s">
        <v>32</v>
      </c>
      <c r="N343">
        <v>18811</v>
      </c>
      <c r="O343">
        <v>1.9770478000000001E-2</v>
      </c>
      <c r="P343">
        <v>7.7923699999999999E-3</v>
      </c>
      <c r="Q343" t="str">
        <f t="shared" si="10"/>
        <v>35-49</v>
      </c>
      <c r="R343" t="str">
        <f t="shared" si="11"/>
        <v>[ul0y9diGujK]|35-49|Female|TX_CURR_SUBNAT.R|CY2023Q4</v>
      </c>
    </row>
    <row r="344" spans="4:18" x14ac:dyDescent="0.2">
      <c r="D344" t="s">
        <v>126</v>
      </c>
      <c r="E344" t="s">
        <v>127</v>
      </c>
      <c r="F344" t="s">
        <v>128</v>
      </c>
      <c r="G344" t="s">
        <v>26</v>
      </c>
      <c r="H344" t="s">
        <v>27</v>
      </c>
      <c r="I344" t="s">
        <v>45</v>
      </c>
      <c r="J344" t="s">
        <v>46</v>
      </c>
      <c r="K344" t="s">
        <v>30</v>
      </c>
      <c r="L344" t="s">
        <v>31</v>
      </c>
      <c r="M344" t="s">
        <v>32</v>
      </c>
      <c r="N344">
        <v>9029</v>
      </c>
      <c r="O344">
        <v>3.5068083E-2</v>
      </c>
      <c r="P344">
        <v>7.7923699999999999E-3</v>
      </c>
      <c r="Q344" t="str">
        <f t="shared" si="10"/>
        <v>50+</v>
      </c>
      <c r="R344" t="str">
        <f t="shared" si="11"/>
        <v>[ul0y9diGujK]|50+|Female|TX_CURR_SUBNAT.R|CY2023Q4</v>
      </c>
    </row>
    <row r="345" spans="4:18" x14ac:dyDescent="0.2">
      <c r="D345" t="s">
        <v>126</v>
      </c>
      <c r="E345" t="s">
        <v>127</v>
      </c>
      <c r="F345" t="s">
        <v>128</v>
      </c>
      <c r="G345" t="s">
        <v>26</v>
      </c>
      <c r="H345" t="s">
        <v>27</v>
      </c>
      <c r="I345" t="s">
        <v>28</v>
      </c>
      <c r="J345" t="s">
        <v>29</v>
      </c>
      <c r="K345" t="s">
        <v>48</v>
      </c>
      <c r="L345" t="s">
        <v>49</v>
      </c>
      <c r="M345" t="s">
        <v>32</v>
      </c>
      <c r="N345">
        <v>24</v>
      </c>
      <c r="O345">
        <v>3.2029961000000003E-2</v>
      </c>
      <c r="P345">
        <v>7.7923699999999999E-3</v>
      </c>
      <c r="Q345" t="str">
        <f t="shared" si="10"/>
        <v>&lt;01</v>
      </c>
      <c r="R345" t="str">
        <f t="shared" si="11"/>
        <v>[ul0y9diGujK]|&lt;01|Male|TX_CURR_SUBNAT.R|CY2023Q4</v>
      </c>
    </row>
    <row r="346" spans="4:18" x14ac:dyDescent="0.2">
      <c r="D346" t="s">
        <v>126</v>
      </c>
      <c r="E346" t="s">
        <v>127</v>
      </c>
      <c r="F346" t="s">
        <v>128</v>
      </c>
      <c r="G346" t="s">
        <v>26</v>
      </c>
      <c r="H346" t="s">
        <v>27</v>
      </c>
      <c r="I346" t="s">
        <v>33</v>
      </c>
      <c r="J346" t="s">
        <v>34</v>
      </c>
      <c r="K346" t="s">
        <v>48</v>
      </c>
      <c r="L346" t="s">
        <v>49</v>
      </c>
      <c r="M346" t="s">
        <v>32</v>
      </c>
      <c r="N346">
        <v>423</v>
      </c>
      <c r="O346">
        <v>2.8202049E-2</v>
      </c>
      <c r="P346">
        <v>7.7923699999999999E-3</v>
      </c>
      <c r="Q346" t="str">
        <f t="shared" si="10"/>
        <v>01-09</v>
      </c>
      <c r="R346" t="str">
        <f t="shared" si="11"/>
        <v>[ul0y9diGujK]|01-09|Male|TX_CURR_SUBNAT.R|CY2023Q4</v>
      </c>
    </row>
    <row r="347" spans="4:18" x14ac:dyDescent="0.2">
      <c r="D347" t="s">
        <v>126</v>
      </c>
      <c r="E347" t="s">
        <v>127</v>
      </c>
      <c r="F347" t="s">
        <v>128</v>
      </c>
      <c r="G347" t="s">
        <v>26</v>
      </c>
      <c r="H347" t="s">
        <v>27</v>
      </c>
      <c r="I347" t="s">
        <v>36</v>
      </c>
      <c r="J347" t="s">
        <v>37</v>
      </c>
      <c r="K347" t="s">
        <v>48</v>
      </c>
      <c r="L347" t="s">
        <v>49</v>
      </c>
      <c r="M347" t="s">
        <v>32</v>
      </c>
      <c r="N347">
        <v>542</v>
      </c>
      <c r="O347">
        <v>2.4312824E-2</v>
      </c>
      <c r="P347">
        <v>7.7923699999999999E-3</v>
      </c>
      <c r="Q347" t="str">
        <f t="shared" si="10"/>
        <v>10-14</v>
      </c>
      <c r="R347" t="str">
        <f t="shared" si="11"/>
        <v>[ul0y9diGujK]|10-14|Male|TX_CURR_SUBNAT.R|CY2023Q4</v>
      </c>
    </row>
    <row r="348" spans="4:18" x14ac:dyDescent="0.2">
      <c r="D348" t="s">
        <v>126</v>
      </c>
      <c r="E348" t="s">
        <v>127</v>
      </c>
      <c r="F348" t="s">
        <v>128</v>
      </c>
      <c r="G348" t="s">
        <v>26</v>
      </c>
      <c r="H348" t="s">
        <v>27</v>
      </c>
      <c r="I348" t="s">
        <v>38</v>
      </c>
      <c r="J348" t="s">
        <v>39</v>
      </c>
      <c r="K348" t="s">
        <v>48</v>
      </c>
      <c r="L348" t="s">
        <v>49</v>
      </c>
      <c r="M348" t="s">
        <v>32</v>
      </c>
      <c r="N348">
        <v>1925</v>
      </c>
      <c r="O348">
        <v>7.9737979E-2</v>
      </c>
      <c r="P348">
        <v>7.7923699999999999E-3</v>
      </c>
      <c r="Q348" t="str">
        <f t="shared" si="10"/>
        <v>15-24</v>
      </c>
      <c r="R348" t="str">
        <f t="shared" si="11"/>
        <v>[ul0y9diGujK]|15-24|Male|TX_CURR_SUBNAT.R|CY2023Q4</v>
      </c>
    </row>
    <row r="349" spans="4:18" x14ac:dyDescent="0.2">
      <c r="D349" t="s">
        <v>126</v>
      </c>
      <c r="E349" t="s">
        <v>127</v>
      </c>
      <c r="F349" t="s">
        <v>128</v>
      </c>
      <c r="G349" t="s">
        <v>26</v>
      </c>
      <c r="H349" t="s">
        <v>27</v>
      </c>
      <c r="I349" t="s">
        <v>41</v>
      </c>
      <c r="J349" t="s">
        <v>42</v>
      </c>
      <c r="K349" t="s">
        <v>48</v>
      </c>
      <c r="L349" t="s">
        <v>49</v>
      </c>
      <c r="M349" t="s">
        <v>32</v>
      </c>
      <c r="N349">
        <v>2279</v>
      </c>
      <c r="O349">
        <v>6.5676328000000006E-2</v>
      </c>
      <c r="P349">
        <v>7.7923699999999999E-3</v>
      </c>
      <c r="Q349" t="str">
        <f t="shared" si="10"/>
        <v>25-34</v>
      </c>
      <c r="R349" t="str">
        <f t="shared" si="11"/>
        <v>[ul0y9diGujK]|25-34|Male|TX_CURR_SUBNAT.R|CY2023Q4</v>
      </c>
    </row>
    <row r="350" spans="4:18" x14ac:dyDescent="0.2">
      <c r="D350" t="s">
        <v>126</v>
      </c>
      <c r="E350" t="s">
        <v>127</v>
      </c>
      <c r="F350" t="s">
        <v>128</v>
      </c>
      <c r="G350" t="s">
        <v>26</v>
      </c>
      <c r="H350" t="s">
        <v>27</v>
      </c>
      <c r="I350" t="s">
        <v>43</v>
      </c>
      <c r="J350" t="s">
        <v>44</v>
      </c>
      <c r="K350" t="s">
        <v>48</v>
      </c>
      <c r="L350" t="s">
        <v>49</v>
      </c>
      <c r="M350" t="s">
        <v>32</v>
      </c>
      <c r="N350">
        <v>8765</v>
      </c>
      <c r="O350">
        <v>2.8427134E-2</v>
      </c>
      <c r="P350">
        <v>7.7923699999999999E-3</v>
      </c>
      <c r="Q350" t="str">
        <f t="shared" si="10"/>
        <v>35-49</v>
      </c>
      <c r="R350" t="str">
        <f t="shared" si="11"/>
        <v>[ul0y9diGujK]|35-49|Male|TX_CURR_SUBNAT.R|CY2023Q4</v>
      </c>
    </row>
    <row r="351" spans="4:18" x14ac:dyDescent="0.2">
      <c r="D351" t="s">
        <v>126</v>
      </c>
      <c r="E351" t="s">
        <v>127</v>
      </c>
      <c r="F351" t="s">
        <v>128</v>
      </c>
      <c r="G351" t="s">
        <v>26</v>
      </c>
      <c r="H351" t="s">
        <v>27</v>
      </c>
      <c r="I351" t="s">
        <v>45</v>
      </c>
      <c r="J351" t="s">
        <v>46</v>
      </c>
      <c r="K351" t="s">
        <v>48</v>
      </c>
      <c r="L351" t="s">
        <v>49</v>
      </c>
      <c r="M351" t="s">
        <v>32</v>
      </c>
      <c r="N351">
        <v>6407</v>
      </c>
      <c r="O351">
        <v>3.4752806999999997E-2</v>
      </c>
      <c r="P351">
        <v>7.7923699999999999E-3</v>
      </c>
      <c r="Q351" t="str">
        <f t="shared" si="10"/>
        <v>50+</v>
      </c>
      <c r="R351" t="str">
        <f t="shared" si="11"/>
        <v>[ul0y9diGujK]|50+|Male|TX_CURR_SUBNAT.R|CY2023Q4</v>
      </c>
    </row>
    <row r="352" spans="4:18" x14ac:dyDescent="0.2">
      <c r="D352" t="s">
        <v>129</v>
      </c>
      <c r="E352" t="s">
        <v>130</v>
      </c>
      <c r="F352" t="s">
        <v>131</v>
      </c>
      <c r="G352" t="s">
        <v>26</v>
      </c>
      <c r="H352" t="s">
        <v>27</v>
      </c>
      <c r="I352" t="s">
        <v>28</v>
      </c>
      <c r="J352" t="s">
        <v>29</v>
      </c>
      <c r="K352" t="s">
        <v>30</v>
      </c>
      <c r="L352" t="s">
        <v>31</v>
      </c>
      <c r="M352" t="s">
        <v>32</v>
      </c>
      <c r="N352">
        <v>20</v>
      </c>
      <c r="O352">
        <v>4.1465153999999997E-2</v>
      </c>
      <c r="P352">
        <v>9.1329840000000002E-3</v>
      </c>
      <c r="Q352" t="str">
        <f t="shared" si="10"/>
        <v>&lt;01</v>
      </c>
      <c r="R352" t="str">
        <f t="shared" si="11"/>
        <v>[U8c0so51kT6]|&lt;01|Female|TX_CURR_SUBNAT.R|CY2023Q4</v>
      </c>
    </row>
    <row r="353" spans="4:18" x14ac:dyDescent="0.2">
      <c r="D353" t="s">
        <v>129</v>
      </c>
      <c r="E353" t="s">
        <v>130</v>
      </c>
      <c r="F353" t="s">
        <v>131</v>
      </c>
      <c r="G353" t="s">
        <v>26</v>
      </c>
      <c r="H353" t="s">
        <v>27</v>
      </c>
      <c r="I353" t="s">
        <v>33</v>
      </c>
      <c r="J353" t="s">
        <v>34</v>
      </c>
      <c r="K353" t="s">
        <v>30</v>
      </c>
      <c r="L353" t="s">
        <v>31</v>
      </c>
      <c r="M353" t="s">
        <v>32</v>
      </c>
      <c r="N353">
        <v>367</v>
      </c>
      <c r="O353">
        <v>3.5872850999999997E-2</v>
      </c>
      <c r="P353">
        <v>9.1329840000000002E-3</v>
      </c>
      <c r="Q353" t="str">
        <f t="shared" si="10"/>
        <v>01-09</v>
      </c>
      <c r="R353" t="str">
        <f t="shared" si="11"/>
        <v>[U8c0so51kT6]|01-09|Female|TX_CURR_SUBNAT.R|CY2023Q4</v>
      </c>
    </row>
    <row r="354" spans="4:18" x14ac:dyDescent="0.2">
      <c r="D354" t="s">
        <v>129</v>
      </c>
      <c r="E354" t="s">
        <v>130</v>
      </c>
      <c r="F354" t="s">
        <v>131</v>
      </c>
      <c r="G354" t="s">
        <v>26</v>
      </c>
      <c r="H354" t="s">
        <v>27</v>
      </c>
      <c r="I354" t="s">
        <v>36</v>
      </c>
      <c r="J354" t="s">
        <v>37</v>
      </c>
      <c r="K354" t="s">
        <v>30</v>
      </c>
      <c r="L354" t="s">
        <v>31</v>
      </c>
      <c r="M354" t="s">
        <v>32</v>
      </c>
      <c r="N354">
        <v>432</v>
      </c>
      <c r="O354">
        <v>2.9028195E-2</v>
      </c>
      <c r="P354">
        <v>9.1329840000000002E-3</v>
      </c>
      <c r="Q354" t="str">
        <f t="shared" si="10"/>
        <v>10-14</v>
      </c>
      <c r="R354" t="str">
        <f t="shared" si="11"/>
        <v>[U8c0so51kT6]|10-14|Female|TX_CURR_SUBNAT.R|CY2023Q4</v>
      </c>
    </row>
    <row r="355" spans="4:18" x14ac:dyDescent="0.2">
      <c r="D355" t="s">
        <v>129</v>
      </c>
      <c r="E355" t="s">
        <v>130</v>
      </c>
      <c r="F355" t="s">
        <v>131</v>
      </c>
      <c r="G355" t="s">
        <v>26</v>
      </c>
      <c r="H355" t="s">
        <v>27</v>
      </c>
      <c r="I355" t="s">
        <v>38</v>
      </c>
      <c r="J355" t="s">
        <v>39</v>
      </c>
      <c r="K355" t="s">
        <v>30</v>
      </c>
      <c r="L355" t="s">
        <v>31</v>
      </c>
      <c r="M355" t="s">
        <v>32</v>
      </c>
      <c r="N355">
        <v>1606</v>
      </c>
      <c r="O355">
        <v>6.6457931999999997E-2</v>
      </c>
      <c r="P355">
        <v>9.1329840000000002E-3</v>
      </c>
      <c r="Q355" t="str">
        <f t="shared" si="10"/>
        <v>15-24</v>
      </c>
      <c r="R355" t="str">
        <f t="shared" si="11"/>
        <v>[U8c0so51kT6]|15-24|Female|TX_CURR_SUBNAT.R|CY2023Q4</v>
      </c>
    </row>
    <row r="356" spans="4:18" x14ac:dyDescent="0.2">
      <c r="D356" t="s">
        <v>129</v>
      </c>
      <c r="E356" t="s">
        <v>130</v>
      </c>
      <c r="F356" t="s">
        <v>131</v>
      </c>
      <c r="G356" t="s">
        <v>26</v>
      </c>
      <c r="H356" t="s">
        <v>27</v>
      </c>
      <c r="I356" t="s">
        <v>41</v>
      </c>
      <c r="J356" t="s">
        <v>42</v>
      </c>
      <c r="K356" t="s">
        <v>30</v>
      </c>
      <c r="L356" t="s">
        <v>31</v>
      </c>
      <c r="M356" t="s">
        <v>32</v>
      </c>
      <c r="N356">
        <v>4274</v>
      </c>
      <c r="O356">
        <v>3.6688516999999997E-2</v>
      </c>
      <c r="P356">
        <v>9.1329840000000002E-3</v>
      </c>
      <c r="Q356" t="str">
        <f t="shared" si="10"/>
        <v>25-34</v>
      </c>
      <c r="R356" t="str">
        <f t="shared" si="11"/>
        <v>[U8c0so51kT6]|25-34|Female|TX_CURR_SUBNAT.R|CY2023Q4</v>
      </c>
    </row>
    <row r="357" spans="4:18" x14ac:dyDescent="0.2">
      <c r="D357" t="s">
        <v>129</v>
      </c>
      <c r="E357" t="s">
        <v>130</v>
      </c>
      <c r="F357" t="s">
        <v>131</v>
      </c>
      <c r="G357" t="s">
        <v>26</v>
      </c>
      <c r="H357" t="s">
        <v>27</v>
      </c>
      <c r="I357" t="s">
        <v>43</v>
      </c>
      <c r="J357" t="s">
        <v>44</v>
      </c>
      <c r="K357" t="s">
        <v>30</v>
      </c>
      <c r="L357" t="s">
        <v>31</v>
      </c>
      <c r="M357" t="s">
        <v>32</v>
      </c>
      <c r="N357">
        <v>9926</v>
      </c>
      <c r="O357">
        <v>2.1101114000000001E-2</v>
      </c>
      <c r="P357">
        <v>9.1329840000000002E-3</v>
      </c>
      <c r="Q357" t="str">
        <f t="shared" si="10"/>
        <v>35-49</v>
      </c>
      <c r="R357" t="str">
        <f t="shared" si="11"/>
        <v>[U8c0so51kT6]|35-49|Female|TX_CURR_SUBNAT.R|CY2023Q4</v>
      </c>
    </row>
    <row r="358" spans="4:18" x14ac:dyDescent="0.2">
      <c r="D358" t="s">
        <v>129</v>
      </c>
      <c r="E358" t="s">
        <v>130</v>
      </c>
      <c r="F358" t="s">
        <v>131</v>
      </c>
      <c r="G358" t="s">
        <v>26</v>
      </c>
      <c r="H358" t="s">
        <v>27</v>
      </c>
      <c r="I358" t="s">
        <v>45</v>
      </c>
      <c r="J358" t="s">
        <v>46</v>
      </c>
      <c r="K358" t="s">
        <v>30</v>
      </c>
      <c r="L358" t="s">
        <v>31</v>
      </c>
      <c r="M358" t="s">
        <v>32</v>
      </c>
      <c r="N358">
        <v>4446</v>
      </c>
      <c r="O358">
        <v>3.8814440999999998E-2</v>
      </c>
      <c r="P358">
        <v>9.1329840000000002E-3</v>
      </c>
      <c r="Q358" t="str">
        <f t="shared" si="10"/>
        <v>50+</v>
      </c>
      <c r="R358" t="str">
        <f t="shared" si="11"/>
        <v>[U8c0so51kT6]|50+|Female|TX_CURR_SUBNAT.R|CY2023Q4</v>
      </c>
    </row>
    <row r="359" spans="4:18" x14ac:dyDescent="0.2">
      <c r="D359" t="s">
        <v>129</v>
      </c>
      <c r="E359" t="s">
        <v>130</v>
      </c>
      <c r="F359" t="s">
        <v>131</v>
      </c>
      <c r="G359" t="s">
        <v>26</v>
      </c>
      <c r="H359" t="s">
        <v>27</v>
      </c>
      <c r="I359" t="s">
        <v>28</v>
      </c>
      <c r="J359" t="s">
        <v>29</v>
      </c>
      <c r="K359" t="s">
        <v>48</v>
      </c>
      <c r="L359" t="s">
        <v>49</v>
      </c>
      <c r="M359" t="s">
        <v>32</v>
      </c>
      <c r="N359">
        <v>19</v>
      </c>
      <c r="O359">
        <v>2.5029751999999999E-2</v>
      </c>
      <c r="P359">
        <v>9.1329840000000002E-3</v>
      </c>
      <c r="Q359" t="str">
        <f t="shared" si="10"/>
        <v>&lt;01</v>
      </c>
      <c r="R359" t="str">
        <f t="shared" si="11"/>
        <v>[U8c0so51kT6]|&lt;01|Male|TX_CURR_SUBNAT.R|CY2023Q4</v>
      </c>
    </row>
    <row r="360" spans="4:18" x14ac:dyDescent="0.2">
      <c r="D360" t="s">
        <v>129</v>
      </c>
      <c r="E360" t="s">
        <v>130</v>
      </c>
      <c r="F360" t="s">
        <v>131</v>
      </c>
      <c r="G360" t="s">
        <v>26</v>
      </c>
      <c r="H360" t="s">
        <v>27</v>
      </c>
      <c r="I360" t="s">
        <v>33</v>
      </c>
      <c r="J360" t="s">
        <v>34</v>
      </c>
      <c r="K360" t="s">
        <v>48</v>
      </c>
      <c r="L360" t="s">
        <v>49</v>
      </c>
      <c r="M360" t="s">
        <v>32</v>
      </c>
      <c r="N360">
        <v>349</v>
      </c>
      <c r="O360">
        <v>2.4232749000000001E-2</v>
      </c>
      <c r="P360">
        <v>9.1329840000000002E-3</v>
      </c>
      <c r="Q360" t="str">
        <f t="shared" si="10"/>
        <v>01-09</v>
      </c>
      <c r="R360" t="str">
        <f t="shared" si="11"/>
        <v>[U8c0so51kT6]|01-09|Male|TX_CURR_SUBNAT.R|CY2023Q4</v>
      </c>
    </row>
    <row r="361" spans="4:18" x14ac:dyDescent="0.2">
      <c r="D361" t="s">
        <v>129</v>
      </c>
      <c r="E361" t="s">
        <v>130</v>
      </c>
      <c r="F361" t="s">
        <v>131</v>
      </c>
      <c r="G361" t="s">
        <v>26</v>
      </c>
      <c r="H361" t="s">
        <v>27</v>
      </c>
      <c r="I361" t="s">
        <v>36</v>
      </c>
      <c r="J361" t="s">
        <v>37</v>
      </c>
      <c r="K361" t="s">
        <v>48</v>
      </c>
      <c r="L361" t="s">
        <v>49</v>
      </c>
      <c r="M361" t="s">
        <v>32</v>
      </c>
      <c r="N361">
        <v>412</v>
      </c>
      <c r="O361">
        <v>2.3191551000000001E-2</v>
      </c>
      <c r="P361">
        <v>9.1329840000000002E-3</v>
      </c>
      <c r="Q361" t="str">
        <f t="shared" si="10"/>
        <v>10-14</v>
      </c>
      <c r="R361" t="str">
        <f t="shared" si="11"/>
        <v>[U8c0so51kT6]|10-14|Male|TX_CURR_SUBNAT.R|CY2023Q4</v>
      </c>
    </row>
    <row r="362" spans="4:18" x14ac:dyDescent="0.2">
      <c r="D362" t="s">
        <v>129</v>
      </c>
      <c r="E362" t="s">
        <v>130</v>
      </c>
      <c r="F362" t="s">
        <v>131</v>
      </c>
      <c r="G362" t="s">
        <v>26</v>
      </c>
      <c r="H362" t="s">
        <v>27</v>
      </c>
      <c r="I362" t="s">
        <v>38</v>
      </c>
      <c r="J362" t="s">
        <v>39</v>
      </c>
      <c r="K362" t="s">
        <v>48</v>
      </c>
      <c r="L362" t="s">
        <v>49</v>
      </c>
      <c r="M362" t="s">
        <v>32</v>
      </c>
      <c r="N362">
        <v>1036</v>
      </c>
      <c r="O362">
        <v>7.7140014000000007E-2</v>
      </c>
      <c r="P362">
        <v>9.1329840000000002E-3</v>
      </c>
      <c r="Q362" t="str">
        <f t="shared" si="10"/>
        <v>15-24</v>
      </c>
      <c r="R362" t="str">
        <f t="shared" si="11"/>
        <v>[U8c0so51kT6]|15-24|Male|TX_CURR_SUBNAT.R|CY2023Q4</v>
      </c>
    </row>
    <row r="363" spans="4:18" x14ac:dyDescent="0.2">
      <c r="D363" t="s">
        <v>129</v>
      </c>
      <c r="E363" t="s">
        <v>130</v>
      </c>
      <c r="F363" t="s">
        <v>131</v>
      </c>
      <c r="G363" t="s">
        <v>26</v>
      </c>
      <c r="H363" t="s">
        <v>27</v>
      </c>
      <c r="I363" t="s">
        <v>41</v>
      </c>
      <c r="J363" t="s">
        <v>42</v>
      </c>
      <c r="K363" t="s">
        <v>48</v>
      </c>
      <c r="L363" t="s">
        <v>49</v>
      </c>
      <c r="M363" t="s">
        <v>32</v>
      </c>
      <c r="N363">
        <v>1351</v>
      </c>
      <c r="O363">
        <v>6.7878722000000002E-2</v>
      </c>
      <c r="P363">
        <v>9.1329840000000002E-3</v>
      </c>
      <c r="Q363" t="str">
        <f t="shared" si="10"/>
        <v>25-34</v>
      </c>
      <c r="R363" t="str">
        <f t="shared" si="11"/>
        <v>[U8c0so51kT6]|25-34|Male|TX_CURR_SUBNAT.R|CY2023Q4</v>
      </c>
    </row>
    <row r="364" spans="4:18" x14ac:dyDescent="0.2">
      <c r="D364" t="s">
        <v>129</v>
      </c>
      <c r="E364" t="s">
        <v>130</v>
      </c>
      <c r="F364" t="s">
        <v>131</v>
      </c>
      <c r="G364" t="s">
        <v>26</v>
      </c>
      <c r="H364" t="s">
        <v>27</v>
      </c>
      <c r="I364" t="s">
        <v>43</v>
      </c>
      <c r="J364" t="s">
        <v>44</v>
      </c>
      <c r="K364" t="s">
        <v>48</v>
      </c>
      <c r="L364" t="s">
        <v>49</v>
      </c>
      <c r="M364" t="s">
        <v>32</v>
      </c>
      <c r="N364">
        <v>5245</v>
      </c>
      <c r="O364">
        <v>2.9749185000000001E-2</v>
      </c>
      <c r="P364">
        <v>9.1329840000000002E-3</v>
      </c>
      <c r="Q364" t="str">
        <f t="shared" si="10"/>
        <v>35-49</v>
      </c>
      <c r="R364" t="str">
        <f t="shared" si="11"/>
        <v>[U8c0so51kT6]|35-49|Male|TX_CURR_SUBNAT.R|CY2023Q4</v>
      </c>
    </row>
    <row r="365" spans="4:18" x14ac:dyDescent="0.2">
      <c r="D365" t="s">
        <v>129</v>
      </c>
      <c r="E365" t="s">
        <v>130</v>
      </c>
      <c r="F365" t="s">
        <v>131</v>
      </c>
      <c r="G365" t="s">
        <v>26</v>
      </c>
      <c r="H365" t="s">
        <v>27</v>
      </c>
      <c r="I365" t="s">
        <v>45</v>
      </c>
      <c r="J365" t="s">
        <v>46</v>
      </c>
      <c r="K365" t="s">
        <v>48</v>
      </c>
      <c r="L365" t="s">
        <v>49</v>
      </c>
      <c r="M365" t="s">
        <v>32</v>
      </c>
      <c r="N365">
        <v>3694</v>
      </c>
      <c r="O365">
        <v>3.7765794999999998E-2</v>
      </c>
      <c r="P365">
        <v>9.1329840000000002E-3</v>
      </c>
      <c r="Q365" t="str">
        <f t="shared" si="10"/>
        <v>50+</v>
      </c>
      <c r="R365" t="str">
        <f t="shared" si="11"/>
        <v>[U8c0so51kT6]|50+|Male|TX_CURR_SUBNAT.R|CY2023Q4</v>
      </c>
    </row>
    <row r="366" spans="4:18" x14ac:dyDescent="0.2">
      <c r="D366" t="s">
        <v>132</v>
      </c>
      <c r="E366" t="s">
        <v>133</v>
      </c>
      <c r="F366" t="s">
        <v>134</v>
      </c>
      <c r="G366" t="s">
        <v>26</v>
      </c>
      <c r="H366" t="s">
        <v>27</v>
      </c>
      <c r="I366" t="s">
        <v>28</v>
      </c>
      <c r="J366" t="s">
        <v>29</v>
      </c>
      <c r="K366" t="s">
        <v>30</v>
      </c>
      <c r="L366" t="s">
        <v>31</v>
      </c>
      <c r="M366" t="s">
        <v>32</v>
      </c>
      <c r="N366">
        <v>14</v>
      </c>
      <c r="O366">
        <v>4.5198911000000001E-2</v>
      </c>
      <c r="P366">
        <v>1.7117670000000001E-2</v>
      </c>
      <c r="Q366" t="str">
        <f t="shared" si="10"/>
        <v>&lt;01</v>
      </c>
      <c r="R366" t="str">
        <f t="shared" si="11"/>
        <v>[rpw540fmNUz]|&lt;01|Female|TX_CURR_SUBNAT.R|CY2023Q4</v>
      </c>
    </row>
    <row r="367" spans="4:18" x14ac:dyDescent="0.2">
      <c r="D367" t="s">
        <v>132</v>
      </c>
      <c r="E367" t="s">
        <v>133</v>
      </c>
      <c r="F367" t="s">
        <v>134</v>
      </c>
      <c r="G367" t="s">
        <v>26</v>
      </c>
      <c r="H367" t="s">
        <v>27</v>
      </c>
      <c r="I367" t="s">
        <v>33</v>
      </c>
      <c r="J367" t="s">
        <v>34</v>
      </c>
      <c r="K367" t="s">
        <v>30</v>
      </c>
      <c r="L367" t="s">
        <v>31</v>
      </c>
      <c r="M367" t="s">
        <v>32</v>
      </c>
      <c r="N367">
        <v>272</v>
      </c>
      <c r="O367">
        <v>3.9794468999999999E-2</v>
      </c>
      <c r="P367">
        <v>1.7117670000000001E-2</v>
      </c>
      <c r="Q367" t="str">
        <f t="shared" si="10"/>
        <v>01-09</v>
      </c>
      <c r="R367" t="str">
        <f t="shared" si="11"/>
        <v>[rpw540fmNUz]|01-09|Female|TX_CURR_SUBNAT.R|CY2023Q4</v>
      </c>
    </row>
    <row r="368" spans="4:18" x14ac:dyDescent="0.2">
      <c r="D368" t="s">
        <v>132</v>
      </c>
      <c r="E368" t="s">
        <v>133</v>
      </c>
      <c r="F368" t="s">
        <v>134</v>
      </c>
      <c r="G368" t="s">
        <v>26</v>
      </c>
      <c r="H368" t="s">
        <v>27</v>
      </c>
      <c r="I368" t="s">
        <v>36</v>
      </c>
      <c r="J368" t="s">
        <v>37</v>
      </c>
      <c r="K368" t="s">
        <v>30</v>
      </c>
      <c r="L368" t="s">
        <v>31</v>
      </c>
      <c r="M368" t="s">
        <v>32</v>
      </c>
      <c r="N368">
        <v>326</v>
      </c>
      <c r="O368">
        <v>3.3192560000000003E-2</v>
      </c>
      <c r="P368">
        <v>1.7117670000000001E-2</v>
      </c>
      <c r="Q368" t="str">
        <f t="shared" si="10"/>
        <v>10-14</v>
      </c>
      <c r="R368" t="str">
        <f t="shared" si="11"/>
        <v>[rpw540fmNUz]|10-14|Female|TX_CURR_SUBNAT.R|CY2023Q4</v>
      </c>
    </row>
    <row r="369" spans="4:18" x14ac:dyDescent="0.2">
      <c r="D369" t="s">
        <v>132</v>
      </c>
      <c r="E369" t="s">
        <v>133</v>
      </c>
      <c r="F369" t="s">
        <v>134</v>
      </c>
      <c r="G369" t="s">
        <v>26</v>
      </c>
      <c r="H369" t="s">
        <v>27</v>
      </c>
      <c r="I369" t="s">
        <v>38</v>
      </c>
      <c r="J369" t="s">
        <v>39</v>
      </c>
      <c r="K369" t="s">
        <v>30</v>
      </c>
      <c r="L369" t="s">
        <v>31</v>
      </c>
      <c r="M369" t="s">
        <v>32</v>
      </c>
      <c r="N369">
        <v>1231</v>
      </c>
      <c r="O369">
        <v>6.8041852E-2</v>
      </c>
      <c r="P369">
        <v>1.7117670000000001E-2</v>
      </c>
      <c r="Q369" t="str">
        <f t="shared" si="10"/>
        <v>15-24</v>
      </c>
      <c r="R369" t="str">
        <f t="shared" si="11"/>
        <v>[rpw540fmNUz]|15-24|Female|TX_CURR_SUBNAT.R|CY2023Q4</v>
      </c>
    </row>
    <row r="370" spans="4:18" x14ac:dyDescent="0.2">
      <c r="D370" t="s">
        <v>132</v>
      </c>
      <c r="E370" t="s">
        <v>133</v>
      </c>
      <c r="F370" t="s">
        <v>134</v>
      </c>
      <c r="G370" t="s">
        <v>26</v>
      </c>
      <c r="H370" t="s">
        <v>27</v>
      </c>
      <c r="I370" t="s">
        <v>41</v>
      </c>
      <c r="J370" t="s">
        <v>42</v>
      </c>
      <c r="K370" t="s">
        <v>30</v>
      </c>
      <c r="L370" t="s">
        <v>31</v>
      </c>
      <c r="M370" t="s">
        <v>32</v>
      </c>
      <c r="N370">
        <v>3163</v>
      </c>
      <c r="O370">
        <v>3.9548687999999999E-2</v>
      </c>
      <c r="P370">
        <v>1.7117670000000001E-2</v>
      </c>
      <c r="Q370" t="str">
        <f t="shared" si="10"/>
        <v>25-34</v>
      </c>
      <c r="R370" t="str">
        <f t="shared" si="11"/>
        <v>[rpw540fmNUz]|25-34|Female|TX_CURR_SUBNAT.R|CY2023Q4</v>
      </c>
    </row>
    <row r="371" spans="4:18" x14ac:dyDescent="0.2">
      <c r="D371" t="s">
        <v>132</v>
      </c>
      <c r="E371" t="s">
        <v>133</v>
      </c>
      <c r="F371" t="s">
        <v>134</v>
      </c>
      <c r="G371" t="s">
        <v>26</v>
      </c>
      <c r="H371" t="s">
        <v>27</v>
      </c>
      <c r="I371" t="s">
        <v>43</v>
      </c>
      <c r="J371" t="s">
        <v>44</v>
      </c>
      <c r="K371" t="s">
        <v>30</v>
      </c>
      <c r="L371" t="s">
        <v>31</v>
      </c>
      <c r="M371" t="s">
        <v>32</v>
      </c>
      <c r="N371">
        <v>7188</v>
      </c>
      <c r="O371">
        <v>2.7469991999999999E-2</v>
      </c>
      <c r="P371">
        <v>1.7117670000000001E-2</v>
      </c>
      <c r="Q371" t="str">
        <f t="shared" si="10"/>
        <v>35-49</v>
      </c>
      <c r="R371" t="str">
        <f t="shared" si="11"/>
        <v>[rpw540fmNUz]|35-49|Female|TX_CURR_SUBNAT.R|CY2023Q4</v>
      </c>
    </row>
    <row r="372" spans="4:18" x14ac:dyDescent="0.2">
      <c r="D372" t="s">
        <v>132</v>
      </c>
      <c r="E372" t="s">
        <v>133</v>
      </c>
      <c r="F372" t="s">
        <v>134</v>
      </c>
      <c r="G372" t="s">
        <v>26</v>
      </c>
      <c r="H372" t="s">
        <v>27</v>
      </c>
      <c r="I372" t="s">
        <v>45</v>
      </c>
      <c r="J372" t="s">
        <v>46</v>
      </c>
      <c r="K372" t="s">
        <v>30</v>
      </c>
      <c r="L372" t="s">
        <v>31</v>
      </c>
      <c r="M372" t="s">
        <v>32</v>
      </c>
      <c r="N372">
        <v>3545</v>
      </c>
      <c r="O372">
        <v>4.0204588999999999E-2</v>
      </c>
      <c r="P372">
        <v>1.7117670000000001E-2</v>
      </c>
      <c r="Q372" t="str">
        <f t="shared" si="10"/>
        <v>50+</v>
      </c>
      <c r="R372" t="str">
        <f t="shared" si="11"/>
        <v>[rpw540fmNUz]|50+|Female|TX_CURR_SUBNAT.R|CY2023Q4</v>
      </c>
    </row>
    <row r="373" spans="4:18" x14ac:dyDescent="0.2">
      <c r="D373" t="s">
        <v>132</v>
      </c>
      <c r="E373" t="s">
        <v>133</v>
      </c>
      <c r="F373" t="s">
        <v>134</v>
      </c>
      <c r="G373" t="s">
        <v>26</v>
      </c>
      <c r="H373" t="s">
        <v>27</v>
      </c>
      <c r="I373" t="s">
        <v>28</v>
      </c>
      <c r="J373" t="s">
        <v>29</v>
      </c>
      <c r="K373" t="s">
        <v>48</v>
      </c>
      <c r="L373" t="s">
        <v>49</v>
      </c>
      <c r="M373" t="s">
        <v>32</v>
      </c>
      <c r="N373">
        <v>13</v>
      </c>
      <c r="O373">
        <v>2.8790268000000001E-2</v>
      </c>
      <c r="P373">
        <v>1.7117670000000001E-2</v>
      </c>
      <c r="Q373" t="str">
        <f t="shared" si="10"/>
        <v>&lt;01</v>
      </c>
      <c r="R373" t="str">
        <f t="shared" si="11"/>
        <v>[rpw540fmNUz]|&lt;01|Male|TX_CURR_SUBNAT.R|CY2023Q4</v>
      </c>
    </row>
    <row r="374" spans="4:18" x14ac:dyDescent="0.2">
      <c r="D374" t="s">
        <v>132</v>
      </c>
      <c r="E374" t="s">
        <v>133</v>
      </c>
      <c r="F374" t="s">
        <v>134</v>
      </c>
      <c r="G374" t="s">
        <v>26</v>
      </c>
      <c r="H374" t="s">
        <v>27</v>
      </c>
      <c r="I374" t="s">
        <v>33</v>
      </c>
      <c r="J374" t="s">
        <v>34</v>
      </c>
      <c r="K374" t="s">
        <v>48</v>
      </c>
      <c r="L374" t="s">
        <v>49</v>
      </c>
      <c r="M374" t="s">
        <v>32</v>
      </c>
      <c r="N374">
        <v>258</v>
      </c>
      <c r="O374">
        <v>2.8388158E-2</v>
      </c>
      <c r="P374">
        <v>1.7117670000000001E-2</v>
      </c>
      <c r="Q374" t="str">
        <f t="shared" si="10"/>
        <v>01-09</v>
      </c>
      <c r="R374" t="str">
        <f t="shared" si="11"/>
        <v>[rpw540fmNUz]|01-09|Male|TX_CURR_SUBNAT.R|CY2023Q4</v>
      </c>
    </row>
    <row r="375" spans="4:18" x14ac:dyDescent="0.2">
      <c r="D375" t="s">
        <v>132</v>
      </c>
      <c r="E375" t="s">
        <v>133</v>
      </c>
      <c r="F375" t="s">
        <v>134</v>
      </c>
      <c r="G375" t="s">
        <v>26</v>
      </c>
      <c r="H375" t="s">
        <v>27</v>
      </c>
      <c r="I375" t="s">
        <v>36</v>
      </c>
      <c r="J375" t="s">
        <v>37</v>
      </c>
      <c r="K375" t="s">
        <v>48</v>
      </c>
      <c r="L375" t="s">
        <v>49</v>
      </c>
      <c r="M375" t="s">
        <v>32</v>
      </c>
      <c r="N375">
        <v>311</v>
      </c>
      <c r="O375">
        <v>2.7819783000000001E-2</v>
      </c>
      <c r="P375">
        <v>1.7117670000000001E-2</v>
      </c>
      <c r="Q375" t="str">
        <f t="shared" si="10"/>
        <v>10-14</v>
      </c>
      <c r="R375" t="str">
        <f t="shared" si="11"/>
        <v>[rpw540fmNUz]|10-14|Male|TX_CURR_SUBNAT.R|CY2023Q4</v>
      </c>
    </row>
    <row r="376" spans="4:18" x14ac:dyDescent="0.2">
      <c r="D376" t="s">
        <v>132</v>
      </c>
      <c r="E376" t="s">
        <v>133</v>
      </c>
      <c r="F376" t="s">
        <v>134</v>
      </c>
      <c r="G376" t="s">
        <v>26</v>
      </c>
      <c r="H376" t="s">
        <v>27</v>
      </c>
      <c r="I376" t="s">
        <v>38</v>
      </c>
      <c r="J376" t="s">
        <v>39</v>
      </c>
      <c r="K376" t="s">
        <v>48</v>
      </c>
      <c r="L376" t="s">
        <v>49</v>
      </c>
      <c r="M376" t="s">
        <v>32</v>
      </c>
      <c r="N376">
        <v>756</v>
      </c>
      <c r="O376">
        <v>7.5040692000000006E-2</v>
      </c>
      <c r="P376">
        <v>1.7117670000000001E-2</v>
      </c>
      <c r="Q376" t="str">
        <f t="shared" si="10"/>
        <v>15-24</v>
      </c>
      <c r="R376" t="str">
        <f t="shared" si="11"/>
        <v>[rpw540fmNUz]|15-24|Male|TX_CURR_SUBNAT.R|CY2023Q4</v>
      </c>
    </row>
    <row r="377" spans="4:18" x14ac:dyDescent="0.2">
      <c r="D377" t="s">
        <v>132</v>
      </c>
      <c r="E377" t="s">
        <v>133</v>
      </c>
      <c r="F377" t="s">
        <v>134</v>
      </c>
      <c r="G377" t="s">
        <v>26</v>
      </c>
      <c r="H377" t="s">
        <v>27</v>
      </c>
      <c r="I377" t="s">
        <v>41</v>
      </c>
      <c r="J377" t="s">
        <v>42</v>
      </c>
      <c r="K377" t="s">
        <v>48</v>
      </c>
      <c r="L377" t="s">
        <v>49</v>
      </c>
      <c r="M377" t="s">
        <v>32</v>
      </c>
      <c r="N377">
        <v>881</v>
      </c>
      <c r="O377">
        <v>6.9485414999999995E-2</v>
      </c>
      <c r="P377">
        <v>1.7117670000000001E-2</v>
      </c>
      <c r="Q377" t="str">
        <f t="shared" si="10"/>
        <v>25-34</v>
      </c>
      <c r="R377" t="str">
        <f t="shared" si="11"/>
        <v>[rpw540fmNUz]|25-34|Male|TX_CURR_SUBNAT.R|CY2023Q4</v>
      </c>
    </row>
    <row r="378" spans="4:18" x14ac:dyDescent="0.2">
      <c r="D378" t="s">
        <v>132</v>
      </c>
      <c r="E378" t="s">
        <v>133</v>
      </c>
      <c r="F378" t="s">
        <v>134</v>
      </c>
      <c r="G378" t="s">
        <v>26</v>
      </c>
      <c r="H378" t="s">
        <v>27</v>
      </c>
      <c r="I378" t="s">
        <v>43</v>
      </c>
      <c r="J378" t="s">
        <v>44</v>
      </c>
      <c r="K378" t="s">
        <v>48</v>
      </c>
      <c r="L378" t="s">
        <v>49</v>
      </c>
      <c r="M378" t="s">
        <v>32</v>
      </c>
      <c r="N378">
        <v>3359</v>
      </c>
      <c r="O378">
        <v>3.5449567000000001E-2</v>
      </c>
      <c r="P378">
        <v>1.7117670000000001E-2</v>
      </c>
      <c r="Q378" t="str">
        <f t="shared" si="10"/>
        <v>35-49</v>
      </c>
      <c r="R378" t="str">
        <f t="shared" si="11"/>
        <v>[rpw540fmNUz]|35-49|Male|TX_CURR_SUBNAT.R|CY2023Q4</v>
      </c>
    </row>
    <row r="379" spans="4:18" x14ac:dyDescent="0.2">
      <c r="D379" t="s">
        <v>132</v>
      </c>
      <c r="E379" t="s">
        <v>133</v>
      </c>
      <c r="F379" t="s">
        <v>134</v>
      </c>
      <c r="G379" t="s">
        <v>26</v>
      </c>
      <c r="H379" t="s">
        <v>27</v>
      </c>
      <c r="I379" t="s">
        <v>45</v>
      </c>
      <c r="J379" t="s">
        <v>46</v>
      </c>
      <c r="K379" t="s">
        <v>48</v>
      </c>
      <c r="L379" t="s">
        <v>49</v>
      </c>
      <c r="M379" t="s">
        <v>32</v>
      </c>
      <c r="N379">
        <v>2495</v>
      </c>
      <c r="O379">
        <v>4.0056152999999997E-2</v>
      </c>
      <c r="P379">
        <v>1.7117670000000001E-2</v>
      </c>
      <c r="Q379" t="str">
        <f t="shared" si="10"/>
        <v>50+</v>
      </c>
      <c r="R379" t="str">
        <f t="shared" si="11"/>
        <v>[rpw540fmNUz]|50+|Male|TX_CURR_SUBNAT.R|CY2023Q4</v>
      </c>
    </row>
    <row r="380" spans="4:18" x14ac:dyDescent="0.2">
      <c r="D380" t="s">
        <v>135</v>
      </c>
      <c r="E380" t="s">
        <v>136</v>
      </c>
      <c r="F380" t="s">
        <v>137</v>
      </c>
      <c r="G380" t="s">
        <v>26</v>
      </c>
      <c r="H380" t="s">
        <v>27</v>
      </c>
      <c r="I380" t="s">
        <v>28</v>
      </c>
      <c r="J380" t="s">
        <v>29</v>
      </c>
      <c r="K380" t="s">
        <v>30</v>
      </c>
      <c r="L380" t="s">
        <v>31</v>
      </c>
      <c r="M380" t="s">
        <v>32</v>
      </c>
      <c r="N380">
        <v>4</v>
      </c>
      <c r="O380">
        <v>7.3630254000000006E-2</v>
      </c>
      <c r="P380">
        <v>1.5399758E-2</v>
      </c>
      <c r="Q380" t="str">
        <f t="shared" si="10"/>
        <v>&lt;01</v>
      </c>
      <c r="R380" t="str">
        <f t="shared" si="11"/>
        <v>[gwVYinjBAe9]|&lt;01|Female|TX_CURR_SUBNAT.R|CY2023Q4</v>
      </c>
    </row>
    <row r="381" spans="4:18" x14ac:dyDescent="0.2">
      <c r="D381" t="s">
        <v>135</v>
      </c>
      <c r="E381" t="s">
        <v>136</v>
      </c>
      <c r="F381" t="s">
        <v>137</v>
      </c>
      <c r="G381" t="s">
        <v>26</v>
      </c>
      <c r="H381" t="s">
        <v>27</v>
      </c>
      <c r="I381" t="s">
        <v>33</v>
      </c>
      <c r="J381" t="s">
        <v>34</v>
      </c>
      <c r="K381" t="s">
        <v>30</v>
      </c>
      <c r="L381" t="s">
        <v>31</v>
      </c>
      <c r="M381" t="s">
        <v>32</v>
      </c>
      <c r="N381">
        <v>75</v>
      </c>
      <c r="O381">
        <v>6.8088590000000004E-2</v>
      </c>
      <c r="P381">
        <v>1.5399758E-2</v>
      </c>
      <c r="Q381" t="str">
        <f t="shared" si="10"/>
        <v>01-09</v>
      </c>
      <c r="R381" t="str">
        <f t="shared" si="11"/>
        <v>[gwVYinjBAe9]|01-09|Female|TX_CURR_SUBNAT.R|CY2023Q4</v>
      </c>
    </row>
    <row r="382" spans="4:18" x14ac:dyDescent="0.2">
      <c r="D382" t="s">
        <v>135</v>
      </c>
      <c r="E382" t="s">
        <v>136</v>
      </c>
      <c r="F382" t="s">
        <v>137</v>
      </c>
      <c r="G382" t="s">
        <v>26</v>
      </c>
      <c r="H382" t="s">
        <v>27</v>
      </c>
      <c r="I382" t="s">
        <v>36</v>
      </c>
      <c r="J382" t="s">
        <v>37</v>
      </c>
      <c r="K382" t="s">
        <v>30</v>
      </c>
      <c r="L382" t="s">
        <v>31</v>
      </c>
      <c r="M382" t="s">
        <v>32</v>
      </c>
      <c r="N382">
        <v>91</v>
      </c>
      <c r="O382">
        <v>6.0331790000000003E-2</v>
      </c>
      <c r="P382">
        <v>1.5399758E-2</v>
      </c>
      <c r="Q382" t="str">
        <f t="shared" si="10"/>
        <v>10-14</v>
      </c>
      <c r="R382" t="str">
        <f t="shared" si="11"/>
        <v>[gwVYinjBAe9]|10-14|Female|TX_CURR_SUBNAT.R|CY2023Q4</v>
      </c>
    </row>
    <row r="383" spans="4:18" x14ac:dyDescent="0.2">
      <c r="D383" t="s">
        <v>135</v>
      </c>
      <c r="E383" t="s">
        <v>136</v>
      </c>
      <c r="F383" t="s">
        <v>137</v>
      </c>
      <c r="G383" t="s">
        <v>26</v>
      </c>
      <c r="H383" t="s">
        <v>27</v>
      </c>
      <c r="I383" t="s">
        <v>38</v>
      </c>
      <c r="J383" t="s">
        <v>39</v>
      </c>
      <c r="K383" t="s">
        <v>30</v>
      </c>
      <c r="L383" t="s">
        <v>31</v>
      </c>
      <c r="M383" t="s">
        <v>32</v>
      </c>
      <c r="N383">
        <v>449</v>
      </c>
      <c r="O383">
        <v>6.7066581E-2</v>
      </c>
      <c r="P383">
        <v>1.5399758E-2</v>
      </c>
      <c r="Q383" t="str">
        <f t="shared" si="10"/>
        <v>15-24</v>
      </c>
      <c r="R383" t="str">
        <f t="shared" si="11"/>
        <v>[gwVYinjBAe9]|15-24|Female|TX_CURR_SUBNAT.R|CY2023Q4</v>
      </c>
    </row>
    <row r="384" spans="4:18" x14ac:dyDescent="0.2">
      <c r="D384" t="s">
        <v>135</v>
      </c>
      <c r="E384" t="s">
        <v>136</v>
      </c>
      <c r="F384" t="s">
        <v>137</v>
      </c>
      <c r="G384" t="s">
        <v>26</v>
      </c>
      <c r="H384" t="s">
        <v>27</v>
      </c>
      <c r="I384" t="s">
        <v>41</v>
      </c>
      <c r="J384" t="s">
        <v>42</v>
      </c>
      <c r="K384" t="s">
        <v>30</v>
      </c>
      <c r="L384" t="s">
        <v>31</v>
      </c>
      <c r="M384" t="s">
        <v>32</v>
      </c>
      <c r="N384">
        <v>1160</v>
      </c>
      <c r="O384">
        <v>3.9344762999999998E-2</v>
      </c>
      <c r="P384">
        <v>1.5399758E-2</v>
      </c>
      <c r="Q384" t="str">
        <f t="shared" si="10"/>
        <v>25-34</v>
      </c>
      <c r="R384" t="str">
        <f t="shared" si="11"/>
        <v>[gwVYinjBAe9]|25-34|Female|TX_CURR_SUBNAT.R|CY2023Q4</v>
      </c>
    </row>
    <row r="385" spans="4:18" x14ac:dyDescent="0.2">
      <c r="D385" t="s">
        <v>135</v>
      </c>
      <c r="E385" t="s">
        <v>136</v>
      </c>
      <c r="F385" t="s">
        <v>137</v>
      </c>
      <c r="G385" t="s">
        <v>26</v>
      </c>
      <c r="H385" t="s">
        <v>27</v>
      </c>
      <c r="I385" t="s">
        <v>43</v>
      </c>
      <c r="J385" t="s">
        <v>44</v>
      </c>
      <c r="K385" t="s">
        <v>30</v>
      </c>
      <c r="L385" t="s">
        <v>31</v>
      </c>
      <c r="M385" t="s">
        <v>32</v>
      </c>
      <c r="N385">
        <v>2838</v>
      </c>
      <c r="O385">
        <v>2.5176921000000001E-2</v>
      </c>
      <c r="P385">
        <v>1.5399758E-2</v>
      </c>
      <c r="Q385" t="str">
        <f t="shared" si="10"/>
        <v>35-49</v>
      </c>
      <c r="R385" t="str">
        <f t="shared" si="11"/>
        <v>[gwVYinjBAe9]|35-49|Female|TX_CURR_SUBNAT.R|CY2023Q4</v>
      </c>
    </row>
    <row r="386" spans="4:18" x14ac:dyDescent="0.2">
      <c r="D386" t="s">
        <v>135</v>
      </c>
      <c r="E386" t="s">
        <v>136</v>
      </c>
      <c r="F386" t="s">
        <v>137</v>
      </c>
      <c r="G386" t="s">
        <v>26</v>
      </c>
      <c r="H386" t="s">
        <v>27</v>
      </c>
      <c r="I386" t="s">
        <v>45</v>
      </c>
      <c r="J386" t="s">
        <v>46</v>
      </c>
      <c r="K386" t="s">
        <v>30</v>
      </c>
      <c r="L386" t="s">
        <v>31</v>
      </c>
      <c r="M386" t="s">
        <v>32</v>
      </c>
      <c r="N386">
        <v>1286</v>
      </c>
      <c r="O386">
        <v>4.2852168000000003E-2</v>
      </c>
      <c r="P386">
        <v>1.5399758E-2</v>
      </c>
      <c r="Q386" t="str">
        <f t="shared" si="10"/>
        <v>50+</v>
      </c>
      <c r="R386" t="str">
        <f t="shared" si="11"/>
        <v>[gwVYinjBAe9]|50+|Female|TX_CURR_SUBNAT.R|CY2023Q4</v>
      </c>
    </row>
    <row r="387" spans="4:18" x14ac:dyDescent="0.2">
      <c r="D387" t="s">
        <v>135</v>
      </c>
      <c r="E387" t="s">
        <v>136</v>
      </c>
      <c r="F387" t="s">
        <v>137</v>
      </c>
      <c r="G387" t="s">
        <v>26</v>
      </c>
      <c r="H387" t="s">
        <v>27</v>
      </c>
      <c r="I387" t="s">
        <v>28</v>
      </c>
      <c r="J387" t="s">
        <v>29</v>
      </c>
      <c r="K387" t="s">
        <v>48</v>
      </c>
      <c r="L387" t="s">
        <v>49</v>
      </c>
      <c r="M387" t="s">
        <v>32</v>
      </c>
      <c r="N387">
        <v>4</v>
      </c>
      <c r="O387">
        <v>5.2590392E-2</v>
      </c>
      <c r="P387">
        <v>1.5399758E-2</v>
      </c>
      <c r="Q387" t="str">
        <f t="shared" ref="Q387:Q450" si="12">SUBSTITUTE(SUBSTITUTE($I387,CHAR(61),""),CHAR(34),"")</f>
        <v>&lt;01</v>
      </c>
      <c r="R387" t="str">
        <f t="shared" ref="R387:R450" si="13">IF($D387&lt;&gt;"","["&amp;$E387&amp;"]"&amp;"|"&amp;$Q387&amp;"|"&amp;$K387&amp;"|"&amp;$G387&amp;"|"&amp;IF($G387="TX_CURR_SUBNAT.R","CY2023Q4",$M387),"")</f>
        <v>[gwVYinjBAe9]|&lt;01|Male|TX_CURR_SUBNAT.R|CY2023Q4</v>
      </c>
    </row>
    <row r="388" spans="4:18" x14ac:dyDescent="0.2">
      <c r="D388" t="s">
        <v>135</v>
      </c>
      <c r="E388" t="s">
        <v>136</v>
      </c>
      <c r="F388" t="s">
        <v>137</v>
      </c>
      <c r="G388" t="s">
        <v>26</v>
      </c>
      <c r="H388" t="s">
        <v>27</v>
      </c>
      <c r="I388" t="s">
        <v>33</v>
      </c>
      <c r="J388" t="s">
        <v>34</v>
      </c>
      <c r="K388" t="s">
        <v>48</v>
      </c>
      <c r="L388" t="s">
        <v>49</v>
      </c>
      <c r="M388" t="s">
        <v>32</v>
      </c>
      <c r="N388">
        <v>79</v>
      </c>
      <c r="O388">
        <v>4.9491552000000001E-2</v>
      </c>
      <c r="P388">
        <v>1.5399758E-2</v>
      </c>
      <c r="Q388" t="str">
        <f t="shared" si="12"/>
        <v>01-09</v>
      </c>
      <c r="R388" t="str">
        <f t="shared" si="13"/>
        <v>[gwVYinjBAe9]|01-09|Male|TX_CURR_SUBNAT.R|CY2023Q4</v>
      </c>
    </row>
    <row r="389" spans="4:18" x14ac:dyDescent="0.2">
      <c r="D389" t="s">
        <v>135</v>
      </c>
      <c r="E389" t="s">
        <v>136</v>
      </c>
      <c r="F389" t="s">
        <v>137</v>
      </c>
      <c r="G389" t="s">
        <v>26</v>
      </c>
      <c r="H389" t="s">
        <v>27</v>
      </c>
      <c r="I389" t="s">
        <v>36</v>
      </c>
      <c r="J389" t="s">
        <v>37</v>
      </c>
      <c r="K389" t="s">
        <v>48</v>
      </c>
      <c r="L389" t="s">
        <v>49</v>
      </c>
      <c r="M389" t="s">
        <v>32</v>
      </c>
      <c r="N389">
        <v>97</v>
      </c>
      <c r="O389">
        <v>4.4991571000000001E-2</v>
      </c>
      <c r="P389">
        <v>1.5399758E-2</v>
      </c>
      <c r="Q389" t="str">
        <f t="shared" si="12"/>
        <v>10-14</v>
      </c>
      <c r="R389" t="str">
        <f t="shared" si="13"/>
        <v>[gwVYinjBAe9]|10-14|Male|TX_CURR_SUBNAT.R|CY2023Q4</v>
      </c>
    </row>
    <row r="390" spans="4:18" x14ac:dyDescent="0.2">
      <c r="D390" t="s">
        <v>135</v>
      </c>
      <c r="E390" t="s">
        <v>136</v>
      </c>
      <c r="F390" t="s">
        <v>137</v>
      </c>
      <c r="G390" t="s">
        <v>26</v>
      </c>
      <c r="H390" t="s">
        <v>27</v>
      </c>
      <c r="I390" t="s">
        <v>38</v>
      </c>
      <c r="J390" t="s">
        <v>39</v>
      </c>
      <c r="K390" t="s">
        <v>48</v>
      </c>
      <c r="L390" t="s">
        <v>49</v>
      </c>
      <c r="M390" t="s">
        <v>32</v>
      </c>
      <c r="N390">
        <v>292</v>
      </c>
      <c r="O390">
        <v>7.5459040000000005E-2</v>
      </c>
      <c r="P390">
        <v>1.5399758E-2</v>
      </c>
      <c r="Q390" t="str">
        <f t="shared" si="12"/>
        <v>15-24</v>
      </c>
      <c r="R390" t="str">
        <f t="shared" si="13"/>
        <v>[gwVYinjBAe9]|15-24|Male|TX_CURR_SUBNAT.R|CY2023Q4</v>
      </c>
    </row>
    <row r="391" spans="4:18" x14ac:dyDescent="0.2">
      <c r="D391" t="s">
        <v>135</v>
      </c>
      <c r="E391" t="s">
        <v>136</v>
      </c>
      <c r="F391" t="s">
        <v>137</v>
      </c>
      <c r="G391" t="s">
        <v>26</v>
      </c>
      <c r="H391" t="s">
        <v>27</v>
      </c>
      <c r="I391" t="s">
        <v>41</v>
      </c>
      <c r="J391" t="s">
        <v>42</v>
      </c>
      <c r="K391" t="s">
        <v>48</v>
      </c>
      <c r="L391" t="s">
        <v>49</v>
      </c>
      <c r="M391" t="s">
        <v>32</v>
      </c>
      <c r="N391">
        <v>361</v>
      </c>
      <c r="O391">
        <v>6.8868861000000003E-2</v>
      </c>
      <c r="P391">
        <v>1.5399758E-2</v>
      </c>
      <c r="Q391" t="str">
        <f t="shared" si="12"/>
        <v>25-34</v>
      </c>
      <c r="R391" t="str">
        <f t="shared" si="13"/>
        <v>[gwVYinjBAe9]|25-34|Male|TX_CURR_SUBNAT.R|CY2023Q4</v>
      </c>
    </row>
    <row r="392" spans="4:18" x14ac:dyDescent="0.2">
      <c r="D392" t="s">
        <v>135</v>
      </c>
      <c r="E392" t="s">
        <v>136</v>
      </c>
      <c r="F392" t="s">
        <v>137</v>
      </c>
      <c r="G392" t="s">
        <v>26</v>
      </c>
      <c r="H392" t="s">
        <v>27</v>
      </c>
      <c r="I392" t="s">
        <v>43</v>
      </c>
      <c r="J392" t="s">
        <v>44</v>
      </c>
      <c r="K392" t="s">
        <v>48</v>
      </c>
      <c r="L392" t="s">
        <v>49</v>
      </c>
      <c r="M392" t="s">
        <v>32</v>
      </c>
      <c r="N392">
        <v>1364</v>
      </c>
      <c r="O392">
        <v>3.4032699E-2</v>
      </c>
      <c r="P392">
        <v>1.5399758E-2</v>
      </c>
      <c r="Q392" t="str">
        <f t="shared" si="12"/>
        <v>35-49</v>
      </c>
      <c r="R392" t="str">
        <f t="shared" si="13"/>
        <v>[gwVYinjBAe9]|35-49|Male|TX_CURR_SUBNAT.R|CY2023Q4</v>
      </c>
    </row>
    <row r="393" spans="4:18" x14ac:dyDescent="0.2">
      <c r="D393" t="s">
        <v>135</v>
      </c>
      <c r="E393" t="s">
        <v>136</v>
      </c>
      <c r="F393" t="s">
        <v>137</v>
      </c>
      <c r="G393" t="s">
        <v>26</v>
      </c>
      <c r="H393" t="s">
        <v>27</v>
      </c>
      <c r="I393" t="s">
        <v>45</v>
      </c>
      <c r="J393" t="s">
        <v>46</v>
      </c>
      <c r="K393" t="s">
        <v>48</v>
      </c>
      <c r="L393" t="s">
        <v>49</v>
      </c>
      <c r="M393" t="s">
        <v>32</v>
      </c>
      <c r="N393">
        <v>989</v>
      </c>
      <c r="O393">
        <v>4.2091109000000002E-2</v>
      </c>
      <c r="P393">
        <v>1.5399758E-2</v>
      </c>
      <c r="Q393" t="str">
        <f t="shared" si="12"/>
        <v>50+</v>
      </c>
      <c r="R393" t="str">
        <f t="shared" si="13"/>
        <v>[gwVYinjBAe9]|50+|Male|TX_CURR_SUBNAT.R|CY2023Q4</v>
      </c>
    </row>
    <row r="394" spans="4:18" x14ac:dyDescent="0.2">
      <c r="D394" t="s">
        <v>23</v>
      </c>
      <c r="E394" t="s">
        <v>24</v>
      </c>
      <c r="F394" t="s">
        <v>25</v>
      </c>
      <c r="G394" t="s">
        <v>138</v>
      </c>
      <c r="H394" t="s">
        <v>139</v>
      </c>
      <c r="I394" t="s">
        <v>28</v>
      </c>
      <c r="J394" t="s">
        <v>29</v>
      </c>
      <c r="K394" t="s">
        <v>30</v>
      </c>
      <c r="L394" t="s">
        <v>31</v>
      </c>
      <c r="M394" t="s">
        <v>140</v>
      </c>
      <c r="N394">
        <v>3881</v>
      </c>
      <c r="O394">
        <v>0</v>
      </c>
      <c r="P394">
        <v>0</v>
      </c>
      <c r="Q394" t="str">
        <f t="shared" si="12"/>
        <v>&lt;01</v>
      </c>
      <c r="R394" t="str">
        <f t="shared" si="13"/>
        <v>[GkIwZrXy1h2]|&lt;01|Female|POP_EST.T_1|CY2024Q3</v>
      </c>
    </row>
    <row r="395" spans="4:18" x14ac:dyDescent="0.2">
      <c r="D395" t="s">
        <v>23</v>
      </c>
      <c r="E395" t="s">
        <v>24</v>
      </c>
      <c r="F395" t="s">
        <v>25</v>
      </c>
      <c r="G395" t="s">
        <v>138</v>
      </c>
      <c r="H395" t="s">
        <v>139</v>
      </c>
      <c r="I395" t="s">
        <v>33</v>
      </c>
      <c r="J395" t="s">
        <v>34</v>
      </c>
      <c r="K395" t="s">
        <v>30</v>
      </c>
      <c r="L395" t="s">
        <v>31</v>
      </c>
      <c r="M395" t="s">
        <v>140</v>
      </c>
      <c r="N395">
        <v>33694</v>
      </c>
      <c r="O395">
        <v>0</v>
      </c>
      <c r="P395">
        <v>0</v>
      </c>
      <c r="Q395" t="str">
        <f t="shared" si="12"/>
        <v>01-09</v>
      </c>
      <c r="R395" t="str">
        <f t="shared" si="13"/>
        <v>[GkIwZrXy1h2]|01-09|Female|POP_EST.T_1|CY2024Q3</v>
      </c>
    </row>
    <row r="396" spans="4:18" x14ac:dyDescent="0.2">
      <c r="D396" t="s">
        <v>23</v>
      </c>
      <c r="E396" t="s">
        <v>24</v>
      </c>
      <c r="F396" t="s">
        <v>25</v>
      </c>
      <c r="G396" t="s">
        <v>138</v>
      </c>
      <c r="H396" t="s">
        <v>139</v>
      </c>
      <c r="I396" t="s">
        <v>36</v>
      </c>
      <c r="J396" t="s">
        <v>37</v>
      </c>
      <c r="K396" t="s">
        <v>30</v>
      </c>
      <c r="L396" t="s">
        <v>31</v>
      </c>
      <c r="M396" t="s">
        <v>140</v>
      </c>
      <c r="N396">
        <v>19215</v>
      </c>
      <c r="O396">
        <v>0</v>
      </c>
      <c r="P396">
        <v>0</v>
      </c>
      <c r="Q396" t="str">
        <f t="shared" si="12"/>
        <v>10-14</v>
      </c>
      <c r="R396" t="str">
        <f t="shared" si="13"/>
        <v>[GkIwZrXy1h2]|10-14|Female|POP_EST.T_1|CY2024Q3</v>
      </c>
    </row>
    <row r="397" spans="4:18" x14ac:dyDescent="0.2">
      <c r="D397" t="s">
        <v>23</v>
      </c>
      <c r="E397" t="s">
        <v>24</v>
      </c>
      <c r="F397" t="s">
        <v>25</v>
      </c>
      <c r="G397" t="s">
        <v>138</v>
      </c>
      <c r="H397" t="s">
        <v>139</v>
      </c>
      <c r="I397" t="s">
        <v>38</v>
      </c>
      <c r="J397" t="s">
        <v>39</v>
      </c>
      <c r="K397" t="s">
        <v>30</v>
      </c>
      <c r="L397" t="s">
        <v>31</v>
      </c>
      <c r="M397" t="s">
        <v>140</v>
      </c>
      <c r="N397">
        <v>31471</v>
      </c>
      <c r="O397">
        <v>0</v>
      </c>
      <c r="P397">
        <v>0</v>
      </c>
      <c r="Q397" t="str">
        <f t="shared" si="12"/>
        <v>15-24</v>
      </c>
      <c r="R397" t="str">
        <f t="shared" si="13"/>
        <v>[GkIwZrXy1h2]|15-24|Female|POP_EST.T_1|CY2024Q3</v>
      </c>
    </row>
    <row r="398" spans="4:18" x14ac:dyDescent="0.2">
      <c r="D398" t="s">
        <v>23</v>
      </c>
      <c r="E398" t="s">
        <v>24</v>
      </c>
      <c r="F398" t="s">
        <v>25</v>
      </c>
      <c r="G398" t="s">
        <v>138</v>
      </c>
      <c r="H398" t="s">
        <v>139</v>
      </c>
      <c r="I398" t="s">
        <v>41</v>
      </c>
      <c r="J398" t="s">
        <v>42</v>
      </c>
      <c r="K398" t="s">
        <v>30</v>
      </c>
      <c r="L398" t="s">
        <v>31</v>
      </c>
      <c r="M398" t="s">
        <v>140</v>
      </c>
      <c r="N398">
        <v>20687</v>
      </c>
      <c r="O398">
        <v>0</v>
      </c>
      <c r="P398">
        <v>0</v>
      </c>
      <c r="Q398" t="str">
        <f t="shared" si="12"/>
        <v>25-34</v>
      </c>
      <c r="R398" t="str">
        <f t="shared" si="13"/>
        <v>[GkIwZrXy1h2]|25-34|Female|POP_EST.T_1|CY2024Q3</v>
      </c>
    </row>
    <row r="399" spans="4:18" x14ac:dyDescent="0.2">
      <c r="D399" t="s">
        <v>23</v>
      </c>
      <c r="E399" t="s">
        <v>24</v>
      </c>
      <c r="F399" t="s">
        <v>25</v>
      </c>
      <c r="G399" t="s">
        <v>138</v>
      </c>
      <c r="H399" t="s">
        <v>139</v>
      </c>
      <c r="I399" t="s">
        <v>43</v>
      </c>
      <c r="J399" t="s">
        <v>44</v>
      </c>
      <c r="K399" t="s">
        <v>30</v>
      </c>
      <c r="L399" t="s">
        <v>31</v>
      </c>
      <c r="M399" t="s">
        <v>140</v>
      </c>
      <c r="N399">
        <v>21303</v>
      </c>
      <c r="O399">
        <v>0</v>
      </c>
      <c r="P399">
        <v>0</v>
      </c>
      <c r="Q399" t="str">
        <f t="shared" si="12"/>
        <v>35-49</v>
      </c>
      <c r="R399" t="str">
        <f t="shared" si="13"/>
        <v>[GkIwZrXy1h2]|35-49|Female|POP_EST.T_1|CY2024Q3</v>
      </c>
    </row>
    <row r="400" spans="4:18" x14ac:dyDescent="0.2">
      <c r="D400" t="s">
        <v>23</v>
      </c>
      <c r="E400" t="s">
        <v>24</v>
      </c>
      <c r="F400" t="s">
        <v>25</v>
      </c>
      <c r="G400" t="s">
        <v>138</v>
      </c>
      <c r="H400" t="s">
        <v>139</v>
      </c>
      <c r="I400" t="s">
        <v>45</v>
      </c>
      <c r="J400" t="s">
        <v>46</v>
      </c>
      <c r="K400" t="s">
        <v>30</v>
      </c>
      <c r="L400" t="s">
        <v>31</v>
      </c>
      <c r="M400" t="s">
        <v>140</v>
      </c>
      <c r="N400">
        <v>12704</v>
      </c>
      <c r="O400">
        <v>0</v>
      </c>
      <c r="P400">
        <v>0</v>
      </c>
      <c r="Q400" t="str">
        <f t="shared" si="12"/>
        <v>50+</v>
      </c>
      <c r="R400" t="str">
        <f t="shared" si="13"/>
        <v>[GkIwZrXy1h2]|50+|Female|POP_EST.T_1|CY2024Q3</v>
      </c>
    </row>
    <row r="401" spans="4:18" x14ac:dyDescent="0.2">
      <c r="D401" t="s">
        <v>23</v>
      </c>
      <c r="E401" t="s">
        <v>24</v>
      </c>
      <c r="F401" t="s">
        <v>25</v>
      </c>
      <c r="G401" t="s">
        <v>138</v>
      </c>
      <c r="H401" t="s">
        <v>139</v>
      </c>
      <c r="I401" t="s">
        <v>28</v>
      </c>
      <c r="J401" t="s">
        <v>29</v>
      </c>
      <c r="K401" t="s">
        <v>48</v>
      </c>
      <c r="L401" t="s">
        <v>49</v>
      </c>
      <c r="M401" t="s">
        <v>140</v>
      </c>
      <c r="N401">
        <v>4007</v>
      </c>
      <c r="O401">
        <v>0</v>
      </c>
      <c r="P401">
        <v>0</v>
      </c>
      <c r="Q401" t="str">
        <f t="shared" si="12"/>
        <v>&lt;01</v>
      </c>
      <c r="R401" t="str">
        <f t="shared" si="13"/>
        <v>[GkIwZrXy1h2]|&lt;01|Male|POP_EST.T_1|CY2024Q3</v>
      </c>
    </row>
    <row r="402" spans="4:18" x14ac:dyDescent="0.2">
      <c r="D402" t="s">
        <v>23</v>
      </c>
      <c r="E402" t="s">
        <v>24</v>
      </c>
      <c r="F402" t="s">
        <v>25</v>
      </c>
      <c r="G402" t="s">
        <v>138</v>
      </c>
      <c r="H402" t="s">
        <v>139</v>
      </c>
      <c r="I402" t="s">
        <v>33</v>
      </c>
      <c r="J402" t="s">
        <v>34</v>
      </c>
      <c r="K402" t="s">
        <v>48</v>
      </c>
      <c r="L402" t="s">
        <v>49</v>
      </c>
      <c r="M402" t="s">
        <v>140</v>
      </c>
      <c r="N402">
        <v>34101</v>
      </c>
      <c r="O402">
        <v>0</v>
      </c>
      <c r="P402">
        <v>0</v>
      </c>
      <c r="Q402" t="str">
        <f t="shared" si="12"/>
        <v>01-09</v>
      </c>
      <c r="R402" t="str">
        <f t="shared" si="13"/>
        <v>[GkIwZrXy1h2]|01-09|Male|POP_EST.T_1|CY2024Q3</v>
      </c>
    </row>
    <row r="403" spans="4:18" x14ac:dyDescent="0.2">
      <c r="D403" t="s">
        <v>23</v>
      </c>
      <c r="E403" t="s">
        <v>24</v>
      </c>
      <c r="F403" t="s">
        <v>25</v>
      </c>
      <c r="G403" t="s">
        <v>138</v>
      </c>
      <c r="H403" t="s">
        <v>139</v>
      </c>
      <c r="I403" t="s">
        <v>36</v>
      </c>
      <c r="J403" t="s">
        <v>37</v>
      </c>
      <c r="K403" t="s">
        <v>48</v>
      </c>
      <c r="L403" t="s">
        <v>49</v>
      </c>
      <c r="M403" t="s">
        <v>140</v>
      </c>
      <c r="N403">
        <v>19012</v>
      </c>
      <c r="O403">
        <v>0</v>
      </c>
      <c r="P403">
        <v>0</v>
      </c>
      <c r="Q403" t="str">
        <f t="shared" si="12"/>
        <v>10-14</v>
      </c>
      <c r="R403" t="str">
        <f t="shared" si="13"/>
        <v>[GkIwZrXy1h2]|10-14|Male|POP_EST.T_1|CY2024Q3</v>
      </c>
    </row>
    <row r="404" spans="4:18" x14ac:dyDescent="0.2">
      <c r="D404" t="s">
        <v>23</v>
      </c>
      <c r="E404" t="s">
        <v>24</v>
      </c>
      <c r="F404" t="s">
        <v>25</v>
      </c>
      <c r="G404" t="s">
        <v>138</v>
      </c>
      <c r="H404" t="s">
        <v>139</v>
      </c>
      <c r="I404" t="s">
        <v>38</v>
      </c>
      <c r="J404" t="s">
        <v>39</v>
      </c>
      <c r="K404" t="s">
        <v>48</v>
      </c>
      <c r="L404" t="s">
        <v>49</v>
      </c>
      <c r="M404" t="s">
        <v>140</v>
      </c>
      <c r="N404">
        <v>30447</v>
      </c>
      <c r="O404">
        <v>0</v>
      </c>
      <c r="P404">
        <v>0</v>
      </c>
      <c r="Q404" t="str">
        <f t="shared" si="12"/>
        <v>15-24</v>
      </c>
      <c r="R404" t="str">
        <f t="shared" si="13"/>
        <v>[GkIwZrXy1h2]|15-24|Male|POP_EST.T_1|CY2024Q3</v>
      </c>
    </row>
    <row r="405" spans="4:18" x14ac:dyDescent="0.2">
      <c r="D405" t="s">
        <v>23</v>
      </c>
      <c r="E405" t="s">
        <v>24</v>
      </c>
      <c r="F405" t="s">
        <v>25</v>
      </c>
      <c r="G405" t="s">
        <v>138</v>
      </c>
      <c r="H405" t="s">
        <v>139</v>
      </c>
      <c r="I405" t="s">
        <v>41</v>
      </c>
      <c r="J405" t="s">
        <v>42</v>
      </c>
      <c r="K405" t="s">
        <v>48</v>
      </c>
      <c r="L405" t="s">
        <v>49</v>
      </c>
      <c r="M405" t="s">
        <v>140</v>
      </c>
      <c r="N405">
        <v>19203</v>
      </c>
      <c r="O405">
        <v>0</v>
      </c>
      <c r="P405">
        <v>0</v>
      </c>
      <c r="Q405" t="str">
        <f t="shared" si="12"/>
        <v>25-34</v>
      </c>
      <c r="R405" t="str">
        <f t="shared" si="13"/>
        <v>[GkIwZrXy1h2]|25-34|Male|POP_EST.T_1|CY2024Q3</v>
      </c>
    </row>
    <row r="406" spans="4:18" x14ac:dyDescent="0.2">
      <c r="D406" t="s">
        <v>23</v>
      </c>
      <c r="E406" t="s">
        <v>24</v>
      </c>
      <c r="F406" t="s">
        <v>25</v>
      </c>
      <c r="G406" t="s">
        <v>138</v>
      </c>
      <c r="H406" t="s">
        <v>139</v>
      </c>
      <c r="I406" t="s">
        <v>43</v>
      </c>
      <c r="J406" t="s">
        <v>44</v>
      </c>
      <c r="K406" t="s">
        <v>48</v>
      </c>
      <c r="L406" t="s">
        <v>49</v>
      </c>
      <c r="M406" t="s">
        <v>140</v>
      </c>
      <c r="N406">
        <v>18145</v>
      </c>
      <c r="O406">
        <v>0</v>
      </c>
      <c r="P406">
        <v>0</v>
      </c>
      <c r="Q406" t="str">
        <f t="shared" si="12"/>
        <v>35-49</v>
      </c>
      <c r="R406" t="str">
        <f t="shared" si="13"/>
        <v>[GkIwZrXy1h2]|35-49|Male|POP_EST.T_1|CY2024Q3</v>
      </c>
    </row>
    <row r="407" spans="4:18" x14ac:dyDescent="0.2">
      <c r="D407" t="s">
        <v>23</v>
      </c>
      <c r="E407" t="s">
        <v>24</v>
      </c>
      <c r="F407" t="s">
        <v>25</v>
      </c>
      <c r="G407" t="s">
        <v>138</v>
      </c>
      <c r="H407" t="s">
        <v>139</v>
      </c>
      <c r="I407" t="s">
        <v>45</v>
      </c>
      <c r="J407" t="s">
        <v>46</v>
      </c>
      <c r="K407" t="s">
        <v>48</v>
      </c>
      <c r="L407" t="s">
        <v>49</v>
      </c>
      <c r="M407" t="s">
        <v>140</v>
      </c>
      <c r="N407">
        <v>10930</v>
      </c>
      <c r="O407">
        <v>0</v>
      </c>
      <c r="P407">
        <v>0</v>
      </c>
      <c r="Q407" t="str">
        <f t="shared" si="12"/>
        <v>50+</v>
      </c>
      <c r="R407" t="str">
        <f t="shared" si="13"/>
        <v>[GkIwZrXy1h2]|50+|Male|POP_EST.T_1|CY2024Q3</v>
      </c>
    </row>
    <row r="408" spans="4:18" x14ac:dyDescent="0.2">
      <c r="D408" t="s">
        <v>53</v>
      </c>
      <c r="E408" t="s">
        <v>54</v>
      </c>
      <c r="F408" t="s">
        <v>55</v>
      </c>
      <c r="G408" t="s">
        <v>138</v>
      </c>
      <c r="H408" t="s">
        <v>139</v>
      </c>
      <c r="I408" t="s">
        <v>28</v>
      </c>
      <c r="J408" t="s">
        <v>29</v>
      </c>
      <c r="K408" t="s">
        <v>30</v>
      </c>
      <c r="L408" t="s">
        <v>31</v>
      </c>
      <c r="M408" t="s">
        <v>140</v>
      </c>
      <c r="N408">
        <v>6337</v>
      </c>
      <c r="O408">
        <v>0</v>
      </c>
      <c r="P408">
        <v>0</v>
      </c>
      <c r="Q408" t="str">
        <f t="shared" si="12"/>
        <v>&lt;01</v>
      </c>
      <c r="R408" t="str">
        <f t="shared" si="13"/>
        <v>[cPtvxaZqXIH]|&lt;01|Female|POP_EST.T_1|CY2024Q3</v>
      </c>
    </row>
    <row r="409" spans="4:18" x14ac:dyDescent="0.2">
      <c r="D409" t="s">
        <v>53</v>
      </c>
      <c r="E409" t="s">
        <v>54</v>
      </c>
      <c r="F409" t="s">
        <v>55</v>
      </c>
      <c r="G409" t="s">
        <v>138</v>
      </c>
      <c r="H409" t="s">
        <v>139</v>
      </c>
      <c r="I409" t="s">
        <v>33</v>
      </c>
      <c r="J409" t="s">
        <v>34</v>
      </c>
      <c r="K409" t="s">
        <v>30</v>
      </c>
      <c r="L409" t="s">
        <v>31</v>
      </c>
      <c r="M409" t="s">
        <v>140</v>
      </c>
      <c r="N409">
        <v>53830</v>
      </c>
      <c r="O409">
        <v>0</v>
      </c>
      <c r="P409">
        <v>0</v>
      </c>
      <c r="Q409" t="str">
        <f t="shared" si="12"/>
        <v>01-09</v>
      </c>
      <c r="R409" t="str">
        <f t="shared" si="13"/>
        <v>[cPtvxaZqXIH]|01-09|Female|POP_EST.T_1|CY2024Q3</v>
      </c>
    </row>
    <row r="410" spans="4:18" x14ac:dyDescent="0.2">
      <c r="D410" t="s">
        <v>53</v>
      </c>
      <c r="E410" t="s">
        <v>54</v>
      </c>
      <c r="F410" t="s">
        <v>55</v>
      </c>
      <c r="G410" t="s">
        <v>138</v>
      </c>
      <c r="H410" t="s">
        <v>139</v>
      </c>
      <c r="I410" t="s">
        <v>36</v>
      </c>
      <c r="J410" t="s">
        <v>37</v>
      </c>
      <c r="K410" t="s">
        <v>30</v>
      </c>
      <c r="L410" t="s">
        <v>31</v>
      </c>
      <c r="M410" t="s">
        <v>140</v>
      </c>
      <c r="N410">
        <v>31455</v>
      </c>
      <c r="O410">
        <v>0</v>
      </c>
      <c r="P410">
        <v>0</v>
      </c>
      <c r="Q410" t="str">
        <f t="shared" si="12"/>
        <v>10-14</v>
      </c>
      <c r="R410" t="str">
        <f t="shared" si="13"/>
        <v>[cPtvxaZqXIH]|10-14|Female|POP_EST.T_1|CY2024Q3</v>
      </c>
    </row>
    <row r="411" spans="4:18" x14ac:dyDescent="0.2">
      <c r="D411" t="s">
        <v>53</v>
      </c>
      <c r="E411" t="s">
        <v>54</v>
      </c>
      <c r="F411" t="s">
        <v>55</v>
      </c>
      <c r="G411" t="s">
        <v>138</v>
      </c>
      <c r="H411" t="s">
        <v>139</v>
      </c>
      <c r="I411" t="s">
        <v>38</v>
      </c>
      <c r="J411" t="s">
        <v>39</v>
      </c>
      <c r="K411" t="s">
        <v>30</v>
      </c>
      <c r="L411" t="s">
        <v>31</v>
      </c>
      <c r="M411" t="s">
        <v>140</v>
      </c>
      <c r="N411">
        <v>51672</v>
      </c>
      <c r="O411">
        <v>0</v>
      </c>
      <c r="P411">
        <v>0</v>
      </c>
      <c r="Q411" t="str">
        <f t="shared" si="12"/>
        <v>15-24</v>
      </c>
      <c r="R411" t="str">
        <f t="shared" si="13"/>
        <v>[cPtvxaZqXIH]|15-24|Female|POP_EST.T_1|CY2024Q3</v>
      </c>
    </row>
    <row r="412" spans="4:18" x14ac:dyDescent="0.2">
      <c r="D412" t="s">
        <v>53</v>
      </c>
      <c r="E412" t="s">
        <v>54</v>
      </c>
      <c r="F412" t="s">
        <v>55</v>
      </c>
      <c r="G412" t="s">
        <v>138</v>
      </c>
      <c r="H412" t="s">
        <v>139</v>
      </c>
      <c r="I412" t="s">
        <v>41</v>
      </c>
      <c r="J412" t="s">
        <v>42</v>
      </c>
      <c r="K412" t="s">
        <v>30</v>
      </c>
      <c r="L412" t="s">
        <v>31</v>
      </c>
      <c r="M412" t="s">
        <v>140</v>
      </c>
      <c r="N412">
        <v>33855</v>
      </c>
      <c r="O412">
        <v>0</v>
      </c>
      <c r="P412">
        <v>0</v>
      </c>
      <c r="Q412" t="str">
        <f t="shared" si="12"/>
        <v>25-34</v>
      </c>
      <c r="R412" t="str">
        <f t="shared" si="13"/>
        <v>[cPtvxaZqXIH]|25-34|Female|POP_EST.T_1|CY2024Q3</v>
      </c>
    </row>
    <row r="413" spans="4:18" x14ac:dyDescent="0.2">
      <c r="D413" t="s">
        <v>53</v>
      </c>
      <c r="E413" t="s">
        <v>54</v>
      </c>
      <c r="F413" t="s">
        <v>55</v>
      </c>
      <c r="G413" t="s">
        <v>138</v>
      </c>
      <c r="H413" t="s">
        <v>139</v>
      </c>
      <c r="I413" t="s">
        <v>43</v>
      </c>
      <c r="J413" t="s">
        <v>44</v>
      </c>
      <c r="K413" t="s">
        <v>30</v>
      </c>
      <c r="L413" t="s">
        <v>31</v>
      </c>
      <c r="M413" t="s">
        <v>140</v>
      </c>
      <c r="N413">
        <v>33093</v>
      </c>
      <c r="O413">
        <v>0</v>
      </c>
      <c r="P413">
        <v>0</v>
      </c>
      <c r="Q413" t="str">
        <f t="shared" si="12"/>
        <v>35-49</v>
      </c>
      <c r="R413" t="str">
        <f t="shared" si="13"/>
        <v>[cPtvxaZqXIH]|35-49|Female|POP_EST.T_1|CY2024Q3</v>
      </c>
    </row>
    <row r="414" spans="4:18" x14ac:dyDescent="0.2">
      <c r="D414" t="s">
        <v>53</v>
      </c>
      <c r="E414" t="s">
        <v>54</v>
      </c>
      <c r="F414" t="s">
        <v>55</v>
      </c>
      <c r="G414" t="s">
        <v>138</v>
      </c>
      <c r="H414" t="s">
        <v>139</v>
      </c>
      <c r="I414" t="s">
        <v>45</v>
      </c>
      <c r="J414" t="s">
        <v>46</v>
      </c>
      <c r="K414" t="s">
        <v>30</v>
      </c>
      <c r="L414" t="s">
        <v>31</v>
      </c>
      <c r="M414" t="s">
        <v>140</v>
      </c>
      <c r="N414">
        <v>19179</v>
      </c>
      <c r="O414">
        <v>0</v>
      </c>
      <c r="P414">
        <v>0</v>
      </c>
      <c r="Q414" t="str">
        <f t="shared" si="12"/>
        <v>50+</v>
      </c>
      <c r="R414" t="str">
        <f t="shared" si="13"/>
        <v>[cPtvxaZqXIH]|50+|Female|POP_EST.T_1|CY2024Q3</v>
      </c>
    </row>
    <row r="415" spans="4:18" x14ac:dyDescent="0.2">
      <c r="D415" t="s">
        <v>53</v>
      </c>
      <c r="E415" t="s">
        <v>54</v>
      </c>
      <c r="F415" t="s">
        <v>55</v>
      </c>
      <c r="G415" t="s">
        <v>138</v>
      </c>
      <c r="H415" t="s">
        <v>139</v>
      </c>
      <c r="I415" t="s">
        <v>28</v>
      </c>
      <c r="J415" t="s">
        <v>29</v>
      </c>
      <c r="K415" t="s">
        <v>48</v>
      </c>
      <c r="L415" t="s">
        <v>49</v>
      </c>
      <c r="M415" t="s">
        <v>140</v>
      </c>
      <c r="N415">
        <v>6423</v>
      </c>
      <c r="O415">
        <v>0</v>
      </c>
      <c r="P415">
        <v>0</v>
      </c>
      <c r="Q415" t="str">
        <f t="shared" si="12"/>
        <v>&lt;01</v>
      </c>
      <c r="R415" t="str">
        <f t="shared" si="13"/>
        <v>[cPtvxaZqXIH]|&lt;01|Male|POP_EST.T_1|CY2024Q3</v>
      </c>
    </row>
    <row r="416" spans="4:18" x14ac:dyDescent="0.2">
      <c r="D416" t="s">
        <v>53</v>
      </c>
      <c r="E416" t="s">
        <v>54</v>
      </c>
      <c r="F416" t="s">
        <v>55</v>
      </c>
      <c r="G416" t="s">
        <v>138</v>
      </c>
      <c r="H416" t="s">
        <v>139</v>
      </c>
      <c r="I416" t="s">
        <v>33</v>
      </c>
      <c r="J416" t="s">
        <v>34</v>
      </c>
      <c r="K416" t="s">
        <v>48</v>
      </c>
      <c r="L416" t="s">
        <v>49</v>
      </c>
      <c r="M416" t="s">
        <v>140</v>
      </c>
      <c r="N416">
        <v>53457</v>
      </c>
      <c r="O416">
        <v>0</v>
      </c>
      <c r="P416">
        <v>0</v>
      </c>
      <c r="Q416" t="str">
        <f t="shared" si="12"/>
        <v>01-09</v>
      </c>
      <c r="R416" t="str">
        <f t="shared" si="13"/>
        <v>[cPtvxaZqXIH]|01-09|Male|POP_EST.T_1|CY2024Q3</v>
      </c>
    </row>
    <row r="417" spans="4:18" x14ac:dyDescent="0.2">
      <c r="D417" t="s">
        <v>53</v>
      </c>
      <c r="E417" t="s">
        <v>54</v>
      </c>
      <c r="F417" t="s">
        <v>55</v>
      </c>
      <c r="G417" t="s">
        <v>138</v>
      </c>
      <c r="H417" t="s">
        <v>139</v>
      </c>
      <c r="I417" t="s">
        <v>36</v>
      </c>
      <c r="J417" t="s">
        <v>37</v>
      </c>
      <c r="K417" t="s">
        <v>48</v>
      </c>
      <c r="L417" t="s">
        <v>49</v>
      </c>
      <c r="M417" t="s">
        <v>140</v>
      </c>
      <c r="N417">
        <v>30140</v>
      </c>
      <c r="O417">
        <v>0</v>
      </c>
      <c r="P417">
        <v>0</v>
      </c>
      <c r="Q417" t="str">
        <f t="shared" si="12"/>
        <v>10-14</v>
      </c>
      <c r="R417" t="str">
        <f t="shared" si="13"/>
        <v>[cPtvxaZqXIH]|10-14|Male|POP_EST.T_1|CY2024Q3</v>
      </c>
    </row>
    <row r="418" spans="4:18" x14ac:dyDescent="0.2">
      <c r="D418" t="s">
        <v>53</v>
      </c>
      <c r="E418" t="s">
        <v>54</v>
      </c>
      <c r="F418" t="s">
        <v>55</v>
      </c>
      <c r="G418" t="s">
        <v>138</v>
      </c>
      <c r="H418" t="s">
        <v>139</v>
      </c>
      <c r="I418" t="s">
        <v>38</v>
      </c>
      <c r="J418" t="s">
        <v>39</v>
      </c>
      <c r="K418" t="s">
        <v>48</v>
      </c>
      <c r="L418" t="s">
        <v>49</v>
      </c>
      <c r="M418" t="s">
        <v>140</v>
      </c>
      <c r="N418">
        <v>48216</v>
      </c>
      <c r="O418">
        <v>0</v>
      </c>
      <c r="P418">
        <v>0</v>
      </c>
      <c r="Q418" t="str">
        <f t="shared" si="12"/>
        <v>15-24</v>
      </c>
      <c r="R418" t="str">
        <f t="shared" si="13"/>
        <v>[cPtvxaZqXIH]|15-24|Male|POP_EST.T_1|CY2024Q3</v>
      </c>
    </row>
    <row r="419" spans="4:18" x14ac:dyDescent="0.2">
      <c r="D419" t="s">
        <v>53</v>
      </c>
      <c r="E419" t="s">
        <v>54</v>
      </c>
      <c r="F419" t="s">
        <v>55</v>
      </c>
      <c r="G419" t="s">
        <v>138</v>
      </c>
      <c r="H419" t="s">
        <v>139</v>
      </c>
      <c r="I419" t="s">
        <v>41</v>
      </c>
      <c r="J419" t="s">
        <v>42</v>
      </c>
      <c r="K419" t="s">
        <v>48</v>
      </c>
      <c r="L419" t="s">
        <v>49</v>
      </c>
      <c r="M419" t="s">
        <v>140</v>
      </c>
      <c r="N419">
        <v>30275</v>
      </c>
      <c r="O419">
        <v>0</v>
      </c>
      <c r="P419">
        <v>0</v>
      </c>
      <c r="Q419" t="str">
        <f t="shared" si="12"/>
        <v>25-34</v>
      </c>
      <c r="R419" t="str">
        <f t="shared" si="13"/>
        <v>[cPtvxaZqXIH]|25-34|Male|POP_EST.T_1|CY2024Q3</v>
      </c>
    </row>
    <row r="420" spans="4:18" x14ac:dyDescent="0.2">
      <c r="D420" t="s">
        <v>53</v>
      </c>
      <c r="E420" t="s">
        <v>54</v>
      </c>
      <c r="F420" t="s">
        <v>55</v>
      </c>
      <c r="G420" t="s">
        <v>138</v>
      </c>
      <c r="H420" t="s">
        <v>139</v>
      </c>
      <c r="I420" t="s">
        <v>43</v>
      </c>
      <c r="J420" t="s">
        <v>44</v>
      </c>
      <c r="K420" t="s">
        <v>48</v>
      </c>
      <c r="L420" t="s">
        <v>49</v>
      </c>
      <c r="M420" t="s">
        <v>140</v>
      </c>
      <c r="N420">
        <v>29248</v>
      </c>
      <c r="O420">
        <v>0</v>
      </c>
      <c r="P420">
        <v>0</v>
      </c>
      <c r="Q420" t="str">
        <f t="shared" si="12"/>
        <v>35-49</v>
      </c>
      <c r="R420" t="str">
        <f t="shared" si="13"/>
        <v>[cPtvxaZqXIH]|35-49|Male|POP_EST.T_1|CY2024Q3</v>
      </c>
    </row>
    <row r="421" spans="4:18" x14ac:dyDescent="0.2">
      <c r="D421" t="s">
        <v>53</v>
      </c>
      <c r="E421" t="s">
        <v>54</v>
      </c>
      <c r="F421" t="s">
        <v>55</v>
      </c>
      <c r="G421" t="s">
        <v>138</v>
      </c>
      <c r="H421" t="s">
        <v>139</v>
      </c>
      <c r="I421" t="s">
        <v>45</v>
      </c>
      <c r="J421" t="s">
        <v>46</v>
      </c>
      <c r="K421" t="s">
        <v>48</v>
      </c>
      <c r="L421" t="s">
        <v>49</v>
      </c>
      <c r="M421" t="s">
        <v>140</v>
      </c>
      <c r="N421">
        <v>15147</v>
      </c>
      <c r="O421">
        <v>0</v>
      </c>
      <c r="P421">
        <v>0</v>
      </c>
      <c r="Q421" t="str">
        <f t="shared" si="12"/>
        <v>50+</v>
      </c>
      <c r="R421" t="str">
        <f t="shared" si="13"/>
        <v>[cPtvxaZqXIH]|50+|Male|POP_EST.T_1|CY2024Q3</v>
      </c>
    </row>
    <row r="422" spans="4:18" x14ac:dyDescent="0.2">
      <c r="D422" t="s">
        <v>60</v>
      </c>
      <c r="E422" t="s">
        <v>61</v>
      </c>
      <c r="F422" t="s">
        <v>62</v>
      </c>
      <c r="G422" t="s">
        <v>138</v>
      </c>
      <c r="H422" t="s">
        <v>139</v>
      </c>
      <c r="I422" t="s">
        <v>28</v>
      </c>
      <c r="J422" t="s">
        <v>29</v>
      </c>
      <c r="K422" t="s">
        <v>30</v>
      </c>
      <c r="L422" t="s">
        <v>31</v>
      </c>
      <c r="M422" t="s">
        <v>140</v>
      </c>
      <c r="N422">
        <v>4827</v>
      </c>
      <c r="O422">
        <v>0</v>
      </c>
      <c r="P422">
        <v>0</v>
      </c>
      <c r="Q422" t="str">
        <f t="shared" si="12"/>
        <v>&lt;01</v>
      </c>
      <c r="R422" t="str">
        <f t="shared" si="13"/>
        <v>[E7zpfyBt7Tw]|&lt;01|Female|POP_EST.T_1|CY2024Q3</v>
      </c>
    </row>
    <row r="423" spans="4:18" x14ac:dyDescent="0.2">
      <c r="D423" t="s">
        <v>60</v>
      </c>
      <c r="E423" t="s">
        <v>61</v>
      </c>
      <c r="F423" t="s">
        <v>62</v>
      </c>
      <c r="G423" t="s">
        <v>138</v>
      </c>
      <c r="H423" t="s">
        <v>139</v>
      </c>
      <c r="I423" t="s">
        <v>33</v>
      </c>
      <c r="J423" t="s">
        <v>34</v>
      </c>
      <c r="K423" t="s">
        <v>30</v>
      </c>
      <c r="L423" t="s">
        <v>31</v>
      </c>
      <c r="M423" t="s">
        <v>140</v>
      </c>
      <c r="N423">
        <v>39871</v>
      </c>
      <c r="O423">
        <v>0</v>
      </c>
      <c r="P423">
        <v>0</v>
      </c>
      <c r="Q423" t="str">
        <f t="shared" si="12"/>
        <v>01-09</v>
      </c>
      <c r="R423" t="str">
        <f t="shared" si="13"/>
        <v>[E7zpfyBt7Tw]|01-09|Female|POP_EST.T_1|CY2024Q3</v>
      </c>
    </row>
    <row r="424" spans="4:18" x14ac:dyDescent="0.2">
      <c r="D424" t="s">
        <v>60</v>
      </c>
      <c r="E424" t="s">
        <v>61</v>
      </c>
      <c r="F424" t="s">
        <v>62</v>
      </c>
      <c r="G424" t="s">
        <v>138</v>
      </c>
      <c r="H424" t="s">
        <v>139</v>
      </c>
      <c r="I424" t="s">
        <v>36</v>
      </c>
      <c r="J424" t="s">
        <v>37</v>
      </c>
      <c r="K424" t="s">
        <v>30</v>
      </c>
      <c r="L424" t="s">
        <v>31</v>
      </c>
      <c r="M424" t="s">
        <v>140</v>
      </c>
      <c r="N424">
        <v>23386</v>
      </c>
      <c r="O424">
        <v>0</v>
      </c>
      <c r="P424">
        <v>0</v>
      </c>
      <c r="Q424" t="str">
        <f t="shared" si="12"/>
        <v>10-14</v>
      </c>
      <c r="R424" t="str">
        <f t="shared" si="13"/>
        <v>[E7zpfyBt7Tw]|10-14|Female|POP_EST.T_1|CY2024Q3</v>
      </c>
    </row>
    <row r="425" spans="4:18" x14ac:dyDescent="0.2">
      <c r="D425" t="s">
        <v>60</v>
      </c>
      <c r="E425" t="s">
        <v>61</v>
      </c>
      <c r="F425" t="s">
        <v>62</v>
      </c>
      <c r="G425" t="s">
        <v>138</v>
      </c>
      <c r="H425" t="s">
        <v>139</v>
      </c>
      <c r="I425" t="s">
        <v>38</v>
      </c>
      <c r="J425" t="s">
        <v>39</v>
      </c>
      <c r="K425" t="s">
        <v>30</v>
      </c>
      <c r="L425" t="s">
        <v>31</v>
      </c>
      <c r="M425" t="s">
        <v>140</v>
      </c>
      <c r="N425">
        <v>39277</v>
      </c>
      <c r="O425">
        <v>0</v>
      </c>
      <c r="P425">
        <v>0</v>
      </c>
      <c r="Q425" t="str">
        <f t="shared" si="12"/>
        <v>15-24</v>
      </c>
      <c r="R425" t="str">
        <f t="shared" si="13"/>
        <v>[E7zpfyBt7Tw]|15-24|Female|POP_EST.T_1|CY2024Q3</v>
      </c>
    </row>
    <row r="426" spans="4:18" x14ac:dyDescent="0.2">
      <c r="D426" t="s">
        <v>60</v>
      </c>
      <c r="E426" t="s">
        <v>61</v>
      </c>
      <c r="F426" t="s">
        <v>62</v>
      </c>
      <c r="G426" t="s">
        <v>138</v>
      </c>
      <c r="H426" t="s">
        <v>139</v>
      </c>
      <c r="I426" t="s">
        <v>41</v>
      </c>
      <c r="J426" t="s">
        <v>42</v>
      </c>
      <c r="K426" t="s">
        <v>30</v>
      </c>
      <c r="L426" t="s">
        <v>31</v>
      </c>
      <c r="M426" t="s">
        <v>140</v>
      </c>
      <c r="N426">
        <v>23378</v>
      </c>
      <c r="O426">
        <v>0</v>
      </c>
      <c r="P426">
        <v>0</v>
      </c>
      <c r="Q426" t="str">
        <f t="shared" si="12"/>
        <v>25-34</v>
      </c>
      <c r="R426" t="str">
        <f t="shared" si="13"/>
        <v>[E7zpfyBt7Tw]|25-34|Female|POP_EST.T_1|CY2024Q3</v>
      </c>
    </row>
    <row r="427" spans="4:18" x14ac:dyDescent="0.2">
      <c r="D427" t="s">
        <v>60</v>
      </c>
      <c r="E427" t="s">
        <v>61</v>
      </c>
      <c r="F427" t="s">
        <v>62</v>
      </c>
      <c r="G427" t="s">
        <v>138</v>
      </c>
      <c r="H427" t="s">
        <v>139</v>
      </c>
      <c r="I427" t="s">
        <v>43</v>
      </c>
      <c r="J427" t="s">
        <v>44</v>
      </c>
      <c r="K427" t="s">
        <v>30</v>
      </c>
      <c r="L427" t="s">
        <v>31</v>
      </c>
      <c r="M427" t="s">
        <v>140</v>
      </c>
      <c r="N427">
        <v>24431</v>
      </c>
      <c r="O427">
        <v>0</v>
      </c>
      <c r="P427">
        <v>0</v>
      </c>
      <c r="Q427" t="str">
        <f t="shared" si="12"/>
        <v>35-49</v>
      </c>
      <c r="R427" t="str">
        <f t="shared" si="13"/>
        <v>[E7zpfyBt7Tw]|35-49|Female|POP_EST.T_1|CY2024Q3</v>
      </c>
    </row>
    <row r="428" spans="4:18" x14ac:dyDescent="0.2">
      <c r="D428" t="s">
        <v>60</v>
      </c>
      <c r="E428" t="s">
        <v>61</v>
      </c>
      <c r="F428" t="s">
        <v>62</v>
      </c>
      <c r="G428" t="s">
        <v>138</v>
      </c>
      <c r="H428" t="s">
        <v>139</v>
      </c>
      <c r="I428" t="s">
        <v>45</v>
      </c>
      <c r="J428" t="s">
        <v>46</v>
      </c>
      <c r="K428" t="s">
        <v>30</v>
      </c>
      <c r="L428" t="s">
        <v>31</v>
      </c>
      <c r="M428" t="s">
        <v>140</v>
      </c>
      <c r="N428">
        <v>16740</v>
      </c>
      <c r="O428">
        <v>0</v>
      </c>
      <c r="P428">
        <v>0</v>
      </c>
      <c r="Q428" t="str">
        <f t="shared" si="12"/>
        <v>50+</v>
      </c>
      <c r="R428" t="str">
        <f t="shared" si="13"/>
        <v>[E7zpfyBt7Tw]|50+|Female|POP_EST.T_1|CY2024Q3</v>
      </c>
    </row>
    <row r="429" spans="4:18" x14ac:dyDescent="0.2">
      <c r="D429" t="s">
        <v>60</v>
      </c>
      <c r="E429" t="s">
        <v>61</v>
      </c>
      <c r="F429" t="s">
        <v>62</v>
      </c>
      <c r="G429" t="s">
        <v>138</v>
      </c>
      <c r="H429" t="s">
        <v>139</v>
      </c>
      <c r="I429" t="s">
        <v>28</v>
      </c>
      <c r="J429" t="s">
        <v>29</v>
      </c>
      <c r="K429" t="s">
        <v>48</v>
      </c>
      <c r="L429" t="s">
        <v>49</v>
      </c>
      <c r="M429" t="s">
        <v>140</v>
      </c>
      <c r="N429">
        <v>5080</v>
      </c>
      <c r="O429">
        <v>0</v>
      </c>
      <c r="P429">
        <v>0</v>
      </c>
      <c r="Q429" t="str">
        <f t="shared" si="12"/>
        <v>&lt;01</v>
      </c>
      <c r="R429" t="str">
        <f t="shared" si="13"/>
        <v>[E7zpfyBt7Tw]|&lt;01|Male|POP_EST.T_1|CY2024Q3</v>
      </c>
    </row>
    <row r="430" spans="4:18" x14ac:dyDescent="0.2">
      <c r="D430" t="s">
        <v>60</v>
      </c>
      <c r="E430" t="s">
        <v>61</v>
      </c>
      <c r="F430" t="s">
        <v>62</v>
      </c>
      <c r="G430" t="s">
        <v>138</v>
      </c>
      <c r="H430" t="s">
        <v>139</v>
      </c>
      <c r="I430" t="s">
        <v>33</v>
      </c>
      <c r="J430" t="s">
        <v>34</v>
      </c>
      <c r="K430" t="s">
        <v>48</v>
      </c>
      <c r="L430" t="s">
        <v>49</v>
      </c>
      <c r="M430" t="s">
        <v>140</v>
      </c>
      <c r="N430">
        <v>40887</v>
      </c>
      <c r="O430">
        <v>0</v>
      </c>
      <c r="P430">
        <v>0</v>
      </c>
      <c r="Q430" t="str">
        <f t="shared" si="12"/>
        <v>01-09</v>
      </c>
      <c r="R430" t="str">
        <f t="shared" si="13"/>
        <v>[E7zpfyBt7Tw]|01-09|Male|POP_EST.T_1|CY2024Q3</v>
      </c>
    </row>
    <row r="431" spans="4:18" x14ac:dyDescent="0.2">
      <c r="D431" t="s">
        <v>60</v>
      </c>
      <c r="E431" t="s">
        <v>61</v>
      </c>
      <c r="F431" t="s">
        <v>62</v>
      </c>
      <c r="G431" t="s">
        <v>138</v>
      </c>
      <c r="H431" t="s">
        <v>139</v>
      </c>
      <c r="I431" t="s">
        <v>36</v>
      </c>
      <c r="J431" t="s">
        <v>37</v>
      </c>
      <c r="K431" t="s">
        <v>48</v>
      </c>
      <c r="L431" t="s">
        <v>49</v>
      </c>
      <c r="M431" t="s">
        <v>140</v>
      </c>
      <c r="N431">
        <v>23387</v>
      </c>
      <c r="O431">
        <v>0</v>
      </c>
      <c r="P431">
        <v>0</v>
      </c>
      <c r="Q431" t="str">
        <f t="shared" si="12"/>
        <v>10-14</v>
      </c>
      <c r="R431" t="str">
        <f t="shared" si="13"/>
        <v>[E7zpfyBt7Tw]|10-14|Male|POP_EST.T_1|CY2024Q3</v>
      </c>
    </row>
    <row r="432" spans="4:18" x14ac:dyDescent="0.2">
      <c r="D432" t="s">
        <v>60</v>
      </c>
      <c r="E432" t="s">
        <v>61</v>
      </c>
      <c r="F432" t="s">
        <v>62</v>
      </c>
      <c r="G432" t="s">
        <v>138</v>
      </c>
      <c r="H432" t="s">
        <v>139</v>
      </c>
      <c r="I432" t="s">
        <v>38</v>
      </c>
      <c r="J432" t="s">
        <v>39</v>
      </c>
      <c r="K432" t="s">
        <v>48</v>
      </c>
      <c r="L432" t="s">
        <v>49</v>
      </c>
      <c r="M432" t="s">
        <v>140</v>
      </c>
      <c r="N432">
        <v>38988</v>
      </c>
      <c r="O432">
        <v>0</v>
      </c>
      <c r="P432">
        <v>0</v>
      </c>
      <c r="Q432" t="str">
        <f t="shared" si="12"/>
        <v>15-24</v>
      </c>
      <c r="R432" t="str">
        <f t="shared" si="13"/>
        <v>[E7zpfyBt7Tw]|15-24|Male|POP_EST.T_1|CY2024Q3</v>
      </c>
    </row>
    <row r="433" spans="4:18" x14ac:dyDescent="0.2">
      <c r="D433" t="s">
        <v>60</v>
      </c>
      <c r="E433" t="s">
        <v>61</v>
      </c>
      <c r="F433" t="s">
        <v>62</v>
      </c>
      <c r="G433" t="s">
        <v>138</v>
      </c>
      <c r="H433" t="s">
        <v>139</v>
      </c>
      <c r="I433" t="s">
        <v>41</v>
      </c>
      <c r="J433" t="s">
        <v>42</v>
      </c>
      <c r="K433" t="s">
        <v>48</v>
      </c>
      <c r="L433" t="s">
        <v>49</v>
      </c>
      <c r="M433" t="s">
        <v>140</v>
      </c>
      <c r="N433">
        <v>21959</v>
      </c>
      <c r="O433">
        <v>0</v>
      </c>
      <c r="P433">
        <v>0</v>
      </c>
      <c r="Q433" t="str">
        <f t="shared" si="12"/>
        <v>25-34</v>
      </c>
      <c r="R433" t="str">
        <f t="shared" si="13"/>
        <v>[E7zpfyBt7Tw]|25-34|Male|POP_EST.T_1|CY2024Q3</v>
      </c>
    </row>
    <row r="434" spans="4:18" x14ac:dyDescent="0.2">
      <c r="D434" t="s">
        <v>60</v>
      </c>
      <c r="E434" t="s">
        <v>61</v>
      </c>
      <c r="F434" t="s">
        <v>62</v>
      </c>
      <c r="G434" t="s">
        <v>138</v>
      </c>
      <c r="H434" t="s">
        <v>139</v>
      </c>
      <c r="I434" t="s">
        <v>43</v>
      </c>
      <c r="J434" t="s">
        <v>44</v>
      </c>
      <c r="K434" t="s">
        <v>48</v>
      </c>
      <c r="L434" t="s">
        <v>49</v>
      </c>
      <c r="M434" t="s">
        <v>140</v>
      </c>
      <c r="N434">
        <v>21458</v>
      </c>
      <c r="O434">
        <v>0</v>
      </c>
      <c r="P434">
        <v>0</v>
      </c>
      <c r="Q434" t="str">
        <f t="shared" si="12"/>
        <v>35-49</v>
      </c>
      <c r="R434" t="str">
        <f t="shared" si="13"/>
        <v>[E7zpfyBt7Tw]|35-49|Male|POP_EST.T_1|CY2024Q3</v>
      </c>
    </row>
    <row r="435" spans="4:18" x14ac:dyDescent="0.2">
      <c r="D435" t="s">
        <v>60</v>
      </c>
      <c r="E435" t="s">
        <v>61</v>
      </c>
      <c r="F435" t="s">
        <v>62</v>
      </c>
      <c r="G435" t="s">
        <v>138</v>
      </c>
      <c r="H435" t="s">
        <v>139</v>
      </c>
      <c r="I435" t="s">
        <v>45</v>
      </c>
      <c r="J435" t="s">
        <v>46</v>
      </c>
      <c r="K435" t="s">
        <v>48</v>
      </c>
      <c r="L435" t="s">
        <v>49</v>
      </c>
      <c r="M435" t="s">
        <v>140</v>
      </c>
      <c r="N435">
        <v>13116</v>
      </c>
      <c r="O435">
        <v>0</v>
      </c>
      <c r="P435">
        <v>0</v>
      </c>
      <c r="Q435" t="str">
        <f t="shared" si="12"/>
        <v>50+</v>
      </c>
      <c r="R435" t="str">
        <f t="shared" si="13"/>
        <v>[E7zpfyBt7Tw]|50+|Male|POP_EST.T_1|CY2024Q3</v>
      </c>
    </row>
    <row r="436" spans="4:18" x14ac:dyDescent="0.2">
      <c r="D436" t="s">
        <v>63</v>
      </c>
      <c r="E436" t="s">
        <v>64</v>
      </c>
      <c r="F436" t="s">
        <v>65</v>
      </c>
      <c r="G436" t="s">
        <v>138</v>
      </c>
      <c r="H436" t="s">
        <v>139</v>
      </c>
      <c r="I436" t="s">
        <v>28</v>
      </c>
      <c r="J436" t="s">
        <v>29</v>
      </c>
      <c r="K436" t="s">
        <v>30</v>
      </c>
      <c r="L436" t="s">
        <v>31</v>
      </c>
      <c r="M436" t="s">
        <v>140</v>
      </c>
      <c r="N436">
        <v>4093</v>
      </c>
      <c r="O436">
        <v>0</v>
      </c>
      <c r="P436">
        <v>0</v>
      </c>
      <c r="Q436" t="str">
        <f t="shared" si="12"/>
        <v>&lt;01</v>
      </c>
      <c r="R436" t="str">
        <f t="shared" si="13"/>
        <v>[lPTyjLi4w3d]|&lt;01|Female|POP_EST.T_1|CY2024Q3</v>
      </c>
    </row>
    <row r="437" spans="4:18" x14ac:dyDescent="0.2">
      <c r="D437" t="s">
        <v>63</v>
      </c>
      <c r="E437" t="s">
        <v>64</v>
      </c>
      <c r="F437" t="s">
        <v>65</v>
      </c>
      <c r="G437" t="s">
        <v>138</v>
      </c>
      <c r="H437" t="s">
        <v>139</v>
      </c>
      <c r="I437" t="s">
        <v>33</v>
      </c>
      <c r="J437" t="s">
        <v>34</v>
      </c>
      <c r="K437" t="s">
        <v>30</v>
      </c>
      <c r="L437" t="s">
        <v>31</v>
      </c>
      <c r="M437" t="s">
        <v>140</v>
      </c>
      <c r="N437">
        <v>33709</v>
      </c>
      <c r="O437">
        <v>0</v>
      </c>
      <c r="P437">
        <v>0</v>
      </c>
      <c r="Q437" t="str">
        <f t="shared" si="12"/>
        <v>01-09</v>
      </c>
      <c r="R437" t="str">
        <f t="shared" si="13"/>
        <v>[lPTyjLi4w3d]|01-09|Female|POP_EST.T_1|CY2024Q3</v>
      </c>
    </row>
    <row r="438" spans="4:18" x14ac:dyDescent="0.2">
      <c r="D438" t="s">
        <v>63</v>
      </c>
      <c r="E438" t="s">
        <v>64</v>
      </c>
      <c r="F438" t="s">
        <v>65</v>
      </c>
      <c r="G438" t="s">
        <v>138</v>
      </c>
      <c r="H438" t="s">
        <v>139</v>
      </c>
      <c r="I438" t="s">
        <v>36</v>
      </c>
      <c r="J438" t="s">
        <v>37</v>
      </c>
      <c r="K438" t="s">
        <v>30</v>
      </c>
      <c r="L438" t="s">
        <v>31</v>
      </c>
      <c r="M438" t="s">
        <v>140</v>
      </c>
      <c r="N438">
        <v>18621</v>
      </c>
      <c r="O438">
        <v>0</v>
      </c>
      <c r="P438">
        <v>0</v>
      </c>
      <c r="Q438" t="str">
        <f t="shared" si="12"/>
        <v>10-14</v>
      </c>
      <c r="R438" t="str">
        <f t="shared" si="13"/>
        <v>[lPTyjLi4w3d]|10-14|Female|POP_EST.T_1|CY2024Q3</v>
      </c>
    </row>
    <row r="439" spans="4:18" x14ac:dyDescent="0.2">
      <c r="D439" t="s">
        <v>63</v>
      </c>
      <c r="E439" t="s">
        <v>64</v>
      </c>
      <c r="F439" t="s">
        <v>65</v>
      </c>
      <c r="G439" t="s">
        <v>138</v>
      </c>
      <c r="H439" t="s">
        <v>139</v>
      </c>
      <c r="I439" t="s">
        <v>38</v>
      </c>
      <c r="J439" t="s">
        <v>39</v>
      </c>
      <c r="K439" t="s">
        <v>30</v>
      </c>
      <c r="L439" t="s">
        <v>31</v>
      </c>
      <c r="M439" t="s">
        <v>140</v>
      </c>
      <c r="N439">
        <v>31076</v>
      </c>
      <c r="O439">
        <v>0</v>
      </c>
      <c r="P439">
        <v>0</v>
      </c>
      <c r="Q439" t="str">
        <f t="shared" si="12"/>
        <v>15-24</v>
      </c>
      <c r="R439" t="str">
        <f t="shared" si="13"/>
        <v>[lPTyjLi4w3d]|15-24|Female|POP_EST.T_1|CY2024Q3</v>
      </c>
    </row>
    <row r="440" spans="4:18" x14ac:dyDescent="0.2">
      <c r="D440" t="s">
        <v>63</v>
      </c>
      <c r="E440" t="s">
        <v>64</v>
      </c>
      <c r="F440" t="s">
        <v>65</v>
      </c>
      <c r="G440" t="s">
        <v>138</v>
      </c>
      <c r="H440" t="s">
        <v>139</v>
      </c>
      <c r="I440" t="s">
        <v>41</v>
      </c>
      <c r="J440" t="s">
        <v>42</v>
      </c>
      <c r="K440" t="s">
        <v>30</v>
      </c>
      <c r="L440" t="s">
        <v>31</v>
      </c>
      <c r="M440" t="s">
        <v>140</v>
      </c>
      <c r="N440">
        <v>20516</v>
      </c>
      <c r="O440">
        <v>0</v>
      </c>
      <c r="P440">
        <v>0</v>
      </c>
      <c r="Q440" t="str">
        <f t="shared" si="12"/>
        <v>25-34</v>
      </c>
      <c r="R440" t="str">
        <f t="shared" si="13"/>
        <v>[lPTyjLi4w3d]|25-34|Female|POP_EST.T_1|CY2024Q3</v>
      </c>
    </row>
    <row r="441" spans="4:18" x14ac:dyDescent="0.2">
      <c r="D441" t="s">
        <v>63</v>
      </c>
      <c r="E441" t="s">
        <v>64</v>
      </c>
      <c r="F441" t="s">
        <v>65</v>
      </c>
      <c r="G441" t="s">
        <v>138</v>
      </c>
      <c r="H441" t="s">
        <v>139</v>
      </c>
      <c r="I441" t="s">
        <v>43</v>
      </c>
      <c r="J441" t="s">
        <v>44</v>
      </c>
      <c r="K441" t="s">
        <v>30</v>
      </c>
      <c r="L441" t="s">
        <v>31</v>
      </c>
      <c r="M441" t="s">
        <v>140</v>
      </c>
      <c r="N441">
        <v>21003</v>
      </c>
      <c r="O441">
        <v>0</v>
      </c>
      <c r="P441">
        <v>0</v>
      </c>
      <c r="Q441" t="str">
        <f t="shared" si="12"/>
        <v>35-49</v>
      </c>
      <c r="R441" t="str">
        <f t="shared" si="13"/>
        <v>[lPTyjLi4w3d]|35-49|Female|POP_EST.T_1|CY2024Q3</v>
      </c>
    </row>
    <row r="442" spans="4:18" x14ac:dyDescent="0.2">
      <c r="D442" t="s">
        <v>63</v>
      </c>
      <c r="E442" t="s">
        <v>64</v>
      </c>
      <c r="F442" t="s">
        <v>65</v>
      </c>
      <c r="G442" t="s">
        <v>138</v>
      </c>
      <c r="H442" t="s">
        <v>139</v>
      </c>
      <c r="I442" t="s">
        <v>45</v>
      </c>
      <c r="J442" t="s">
        <v>46</v>
      </c>
      <c r="K442" t="s">
        <v>30</v>
      </c>
      <c r="L442" t="s">
        <v>31</v>
      </c>
      <c r="M442" t="s">
        <v>140</v>
      </c>
      <c r="N442">
        <v>12245</v>
      </c>
      <c r="O442">
        <v>0</v>
      </c>
      <c r="P442">
        <v>0</v>
      </c>
      <c r="Q442" t="str">
        <f t="shared" si="12"/>
        <v>50+</v>
      </c>
      <c r="R442" t="str">
        <f t="shared" si="13"/>
        <v>[lPTyjLi4w3d]|50+|Female|POP_EST.T_1|CY2024Q3</v>
      </c>
    </row>
    <row r="443" spans="4:18" x14ac:dyDescent="0.2">
      <c r="D443" t="s">
        <v>63</v>
      </c>
      <c r="E443" t="s">
        <v>64</v>
      </c>
      <c r="F443" t="s">
        <v>65</v>
      </c>
      <c r="G443" t="s">
        <v>138</v>
      </c>
      <c r="H443" t="s">
        <v>139</v>
      </c>
      <c r="I443" t="s">
        <v>28</v>
      </c>
      <c r="J443" t="s">
        <v>29</v>
      </c>
      <c r="K443" t="s">
        <v>48</v>
      </c>
      <c r="L443" t="s">
        <v>49</v>
      </c>
      <c r="M443" t="s">
        <v>140</v>
      </c>
      <c r="N443">
        <v>4118</v>
      </c>
      <c r="O443">
        <v>0</v>
      </c>
      <c r="P443">
        <v>0</v>
      </c>
      <c r="Q443" t="str">
        <f t="shared" si="12"/>
        <v>&lt;01</v>
      </c>
      <c r="R443" t="str">
        <f t="shared" si="13"/>
        <v>[lPTyjLi4w3d]|&lt;01|Male|POP_EST.T_1|CY2024Q3</v>
      </c>
    </row>
    <row r="444" spans="4:18" x14ac:dyDescent="0.2">
      <c r="D444" t="s">
        <v>63</v>
      </c>
      <c r="E444" t="s">
        <v>64</v>
      </c>
      <c r="F444" t="s">
        <v>65</v>
      </c>
      <c r="G444" t="s">
        <v>138</v>
      </c>
      <c r="H444" t="s">
        <v>139</v>
      </c>
      <c r="I444" t="s">
        <v>33</v>
      </c>
      <c r="J444" t="s">
        <v>34</v>
      </c>
      <c r="K444" t="s">
        <v>48</v>
      </c>
      <c r="L444" t="s">
        <v>49</v>
      </c>
      <c r="M444" t="s">
        <v>140</v>
      </c>
      <c r="N444">
        <v>33548</v>
      </c>
      <c r="O444">
        <v>0</v>
      </c>
      <c r="P444">
        <v>0</v>
      </c>
      <c r="Q444" t="str">
        <f t="shared" si="12"/>
        <v>01-09</v>
      </c>
      <c r="R444" t="str">
        <f t="shared" si="13"/>
        <v>[lPTyjLi4w3d]|01-09|Male|POP_EST.T_1|CY2024Q3</v>
      </c>
    </row>
    <row r="445" spans="4:18" x14ac:dyDescent="0.2">
      <c r="D445" t="s">
        <v>63</v>
      </c>
      <c r="E445" t="s">
        <v>64</v>
      </c>
      <c r="F445" t="s">
        <v>65</v>
      </c>
      <c r="G445" t="s">
        <v>138</v>
      </c>
      <c r="H445" t="s">
        <v>139</v>
      </c>
      <c r="I445" t="s">
        <v>36</v>
      </c>
      <c r="J445" t="s">
        <v>37</v>
      </c>
      <c r="K445" t="s">
        <v>48</v>
      </c>
      <c r="L445" t="s">
        <v>49</v>
      </c>
      <c r="M445" t="s">
        <v>140</v>
      </c>
      <c r="N445">
        <v>18490</v>
      </c>
      <c r="O445">
        <v>0</v>
      </c>
      <c r="P445">
        <v>0</v>
      </c>
      <c r="Q445" t="str">
        <f t="shared" si="12"/>
        <v>10-14</v>
      </c>
      <c r="R445" t="str">
        <f t="shared" si="13"/>
        <v>[lPTyjLi4w3d]|10-14|Male|POP_EST.T_1|CY2024Q3</v>
      </c>
    </row>
    <row r="446" spans="4:18" x14ac:dyDescent="0.2">
      <c r="D446" t="s">
        <v>63</v>
      </c>
      <c r="E446" t="s">
        <v>64</v>
      </c>
      <c r="F446" t="s">
        <v>65</v>
      </c>
      <c r="G446" t="s">
        <v>138</v>
      </c>
      <c r="H446" t="s">
        <v>139</v>
      </c>
      <c r="I446" t="s">
        <v>38</v>
      </c>
      <c r="J446" t="s">
        <v>39</v>
      </c>
      <c r="K446" t="s">
        <v>48</v>
      </c>
      <c r="L446" t="s">
        <v>49</v>
      </c>
      <c r="M446" t="s">
        <v>140</v>
      </c>
      <c r="N446">
        <v>30149</v>
      </c>
      <c r="O446">
        <v>0</v>
      </c>
      <c r="P446">
        <v>0</v>
      </c>
      <c r="Q446" t="str">
        <f t="shared" si="12"/>
        <v>15-24</v>
      </c>
      <c r="R446" t="str">
        <f t="shared" si="13"/>
        <v>[lPTyjLi4w3d]|15-24|Male|POP_EST.T_1|CY2024Q3</v>
      </c>
    </row>
    <row r="447" spans="4:18" x14ac:dyDescent="0.2">
      <c r="D447" t="s">
        <v>63</v>
      </c>
      <c r="E447" t="s">
        <v>64</v>
      </c>
      <c r="F447" t="s">
        <v>65</v>
      </c>
      <c r="G447" t="s">
        <v>138</v>
      </c>
      <c r="H447" t="s">
        <v>139</v>
      </c>
      <c r="I447" t="s">
        <v>41</v>
      </c>
      <c r="J447" t="s">
        <v>42</v>
      </c>
      <c r="K447" t="s">
        <v>48</v>
      </c>
      <c r="L447" t="s">
        <v>49</v>
      </c>
      <c r="M447" t="s">
        <v>140</v>
      </c>
      <c r="N447">
        <v>19303</v>
      </c>
      <c r="O447">
        <v>0</v>
      </c>
      <c r="P447">
        <v>0</v>
      </c>
      <c r="Q447" t="str">
        <f t="shared" si="12"/>
        <v>25-34</v>
      </c>
      <c r="R447" t="str">
        <f t="shared" si="13"/>
        <v>[lPTyjLi4w3d]|25-34|Male|POP_EST.T_1|CY2024Q3</v>
      </c>
    </row>
    <row r="448" spans="4:18" x14ac:dyDescent="0.2">
      <c r="D448" t="s">
        <v>63</v>
      </c>
      <c r="E448" t="s">
        <v>64</v>
      </c>
      <c r="F448" t="s">
        <v>65</v>
      </c>
      <c r="G448" t="s">
        <v>138</v>
      </c>
      <c r="H448" t="s">
        <v>139</v>
      </c>
      <c r="I448" t="s">
        <v>43</v>
      </c>
      <c r="J448" t="s">
        <v>44</v>
      </c>
      <c r="K448" t="s">
        <v>48</v>
      </c>
      <c r="L448" t="s">
        <v>49</v>
      </c>
      <c r="M448" t="s">
        <v>140</v>
      </c>
      <c r="N448">
        <v>19383</v>
      </c>
      <c r="O448">
        <v>0</v>
      </c>
      <c r="P448">
        <v>0</v>
      </c>
      <c r="Q448" t="str">
        <f t="shared" si="12"/>
        <v>35-49</v>
      </c>
      <c r="R448" t="str">
        <f t="shared" si="13"/>
        <v>[lPTyjLi4w3d]|35-49|Male|POP_EST.T_1|CY2024Q3</v>
      </c>
    </row>
    <row r="449" spans="4:18" x14ac:dyDescent="0.2">
      <c r="D449" t="s">
        <v>63</v>
      </c>
      <c r="E449" t="s">
        <v>64</v>
      </c>
      <c r="F449" t="s">
        <v>65</v>
      </c>
      <c r="G449" t="s">
        <v>138</v>
      </c>
      <c r="H449" t="s">
        <v>139</v>
      </c>
      <c r="I449" t="s">
        <v>45</v>
      </c>
      <c r="J449" t="s">
        <v>46</v>
      </c>
      <c r="K449" t="s">
        <v>48</v>
      </c>
      <c r="L449" t="s">
        <v>49</v>
      </c>
      <c r="M449" t="s">
        <v>140</v>
      </c>
      <c r="N449">
        <v>10570</v>
      </c>
      <c r="O449">
        <v>0</v>
      </c>
      <c r="P449">
        <v>0</v>
      </c>
      <c r="Q449" t="str">
        <f t="shared" si="12"/>
        <v>50+</v>
      </c>
      <c r="R449" t="str">
        <f t="shared" si="13"/>
        <v>[lPTyjLi4w3d]|50+|Male|POP_EST.T_1|CY2024Q3</v>
      </c>
    </row>
    <row r="450" spans="4:18" x14ac:dyDescent="0.2">
      <c r="D450" t="s">
        <v>66</v>
      </c>
      <c r="E450" t="s">
        <v>67</v>
      </c>
      <c r="F450" t="s">
        <v>68</v>
      </c>
      <c r="G450" t="s">
        <v>138</v>
      </c>
      <c r="H450" t="s">
        <v>139</v>
      </c>
      <c r="I450" t="s">
        <v>28</v>
      </c>
      <c r="J450" t="s">
        <v>29</v>
      </c>
      <c r="K450" t="s">
        <v>30</v>
      </c>
      <c r="L450" t="s">
        <v>31</v>
      </c>
      <c r="M450" t="s">
        <v>140</v>
      </c>
      <c r="N450">
        <v>20181</v>
      </c>
      <c r="O450">
        <v>0</v>
      </c>
      <c r="P450">
        <v>0</v>
      </c>
      <c r="Q450" t="str">
        <f t="shared" si="12"/>
        <v>&lt;01</v>
      </c>
      <c r="R450" t="str">
        <f t="shared" si="13"/>
        <v>[vA4NcHxfMBq]|&lt;01|Female|POP_EST.T_1|CY2024Q3</v>
      </c>
    </row>
    <row r="451" spans="4:18" x14ac:dyDescent="0.2">
      <c r="D451" t="s">
        <v>66</v>
      </c>
      <c r="E451" t="s">
        <v>67</v>
      </c>
      <c r="F451" t="s">
        <v>68</v>
      </c>
      <c r="G451" t="s">
        <v>138</v>
      </c>
      <c r="H451" t="s">
        <v>139</v>
      </c>
      <c r="I451" t="s">
        <v>33</v>
      </c>
      <c r="J451" t="s">
        <v>34</v>
      </c>
      <c r="K451" t="s">
        <v>30</v>
      </c>
      <c r="L451" t="s">
        <v>31</v>
      </c>
      <c r="M451" t="s">
        <v>140</v>
      </c>
      <c r="N451">
        <v>167330</v>
      </c>
      <c r="O451">
        <v>0</v>
      </c>
      <c r="P451">
        <v>0</v>
      </c>
      <c r="Q451" t="str">
        <f t="shared" ref="Q451:Q514" si="14">SUBSTITUTE(SUBSTITUTE($I451,CHAR(61),""),CHAR(34),"")</f>
        <v>01-09</v>
      </c>
      <c r="R451" t="str">
        <f t="shared" ref="R451:R514" si="15">IF($D451&lt;&gt;"","["&amp;$E451&amp;"]"&amp;"|"&amp;$Q451&amp;"|"&amp;$K451&amp;"|"&amp;$G451&amp;"|"&amp;IF($G451="TX_CURR_SUBNAT.R","CY2023Q4",$M451),"")</f>
        <v>[vA4NcHxfMBq]|01-09|Female|POP_EST.T_1|CY2024Q3</v>
      </c>
    </row>
    <row r="452" spans="4:18" x14ac:dyDescent="0.2">
      <c r="D452" t="s">
        <v>66</v>
      </c>
      <c r="E452" t="s">
        <v>67</v>
      </c>
      <c r="F452" t="s">
        <v>68</v>
      </c>
      <c r="G452" t="s">
        <v>138</v>
      </c>
      <c r="H452" t="s">
        <v>139</v>
      </c>
      <c r="I452" t="s">
        <v>36</v>
      </c>
      <c r="J452" t="s">
        <v>37</v>
      </c>
      <c r="K452" t="s">
        <v>30</v>
      </c>
      <c r="L452" t="s">
        <v>31</v>
      </c>
      <c r="M452" t="s">
        <v>140</v>
      </c>
      <c r="N452">
        <v>93213</v>
      </c>
      <c r="O452">
        <v>0</v>
      </c>
      <c r="P452">
        <v>0</v>
      </c>
      <c r="Q452" t="str">
        <f t="shared" si="14"/>
        <v>10-14</v>
      </c>
      <c r="R452" t="str">
        <f t="shared" si="15"/>
        <v>[vA4NcHxfMBq]|10-14|Female|POP_EST.T_1|CY2024Q3</v>
      </c>
    </row>
    <row r="453" spans="4:18" x14ac:dyDescent="0.2">
      <c r="D453" t="s">
        <v>66</v>
      </c>
      <c r="E453" t="s">
        <v>67</v>
      </c>
      <c r="F453" t="s">
        <v>68</v>
      </c>
      <c r="G453" t="s">
        <v>138</v>
      </c>
      <c r="H453" t="s">
        <v>139</v>
      </c>
      <c r="I453" t="s">
        <v>38</v>
      </c>
      <c r="J453" t="s">
        <v>39</v>
      </c>
      <c r="K453" t="s">
        <v>30</v>
      </c>
      <c r="L453" t="s">
        <v>31</v>
      </c>
      <c r="M453" t="s">
        <v>140</v>
      </c>
      <c r="N453">
        <v>162504</v>
      </c>
      <c r="O453">
        <v>0</v>
      </c>
      <c r="P453">
        <v>0</v>
      </c>
      <c r="Q453" t="str">
        <f t="shared" si="14"/>
        <v>15-24</v>
      </c>
      <c r="R453" t="str">
        <f t="shared" si="15"/>
        <v>[vA4NcHxfMBq]|15-24|Female|POP_EST.T_1|CY2024Q3</v>
      </c>
    </row>
    <row r="454" spans="4:18" x14ac:dyDescent="0.2">
      <c r="D454" t="s">
        <v>66</v>
      </c>
      <c r="E454" t="s">
        <v>67</v>
      </c>
      <c r="F454" t="s">
        <v>68</v>
      </c>
      <c r="G454" t="s">
        <v>138</v>
      </c>
      <c r="H454" t="s">
        <v>139</v>
      </c>
      <c r="I454" t="s">
        <v>41</v>
      </c>
      <c r="J454" t="s">
        <v>42</v>
      </c>
      <c r="K454" t="s">
        <v>30</v>
      </c>
      <c r="L454" t="s">
        <v>31</v>
      </c>
      <c r="M454" t="s">
        <v>140</v>
      </c>
      <c r="N454">
        <v>109451</v>
      </c>
      <c r="O454">
        <v>0</v>
      </c>
      <c r="P454">
        <v>0</v>
      </c>
      <c r="Q454" t="str">
        <f t="shared" si="14"/>
        <v>25-34</v>
      </c>
      <c r="R454" t="str">
        <f t="shared" si="15"/>
        <v>[vA4NcHxfMBq]|25-34|Female|POP_EST.T_1|CY2024Q3</v>
      </c>
    </row>
    <row r="455" spans="4:18" x14ac:dyDescent="0.2">
      <c r="D455" t="s">
        <v>66</v>
      </c>
      <c r="E455" t="s">
        <v>67</v>
      </c>
      <c r="F455" t="s">
        <v>68</v>
      </c>
      <c r="G455" t="s">
        <v>138</v>
      </c>
      <c r="H455" t="s">
        <v>139</v>
      </c>
      <c r="I455" t="s">
        <v>43</v>
      </c>
      <c r="J455" t="s">
        <v>44</v>
      </c>
      <c r="K455" t="s">
        <v>30</v>
      </c>
      <c r="L455" t="s">
        <v>31</v>
      </c>
      <c r="M455" t="s">
        <v>140</v>
      </c>
      <c r="N455">
        <v>107201</v>
      </c>
      <c r="O455">
        <v>0</v>
      </c>
      <c r="P455">
        <v>0</v>
      </c>
      <c r="Q455" t="str">
        <f t="shared" si="14"/>
        <v>35-49</v>
      </c>
      <c r="R455" t="str">
        <f t="shared" si="15"/>
        <v>[vA4NcHxfMBq]|35-49|Female|POP_EST.T_1|CY2024Q3</v>
      </c>
    </row>
    <row r="456" spans="4:18" x14ac:dyDescent="0.2">
      <c r="D456" t="s">
        <v>66</v>
      </c>
      <c r="E456" t="s">
        <v>67</v>
      </c>
      <c r="F456" t="s">
        <v>68</v>
      </c>
      <c r="G456" t="s">
        <v>138</v>
      </c>
      <c r="H456" t="s">
        <v>139</v>
      </c>
      <c r="I456" t="s">
        <v>45</v>
      </c>
      <c r="J456" t="s">
        <v>46</v>
      </c>
      <c r="K456" t="s">
        <v>30</v>
      </c>
      <c r="L456" t="s">
        <v>31</v>
      </c>
      <c r="M456" t="s">
        <v>140</v>
      </c>
      <c r="N456">
        <v>64600</v>
      </c>
      <c r="O456">
        <v>0</v>
      </c>
      <c r="P456">
        <v>0</v>
      </c>
      <c r="Q456" t="str">
        <f t="shared" si="14"/>
        <v>50+</v>
      </c>
      <c r="R456" t="str">
        <f t="shared" si="15"/>
        <v>[vA4NcHxfMBq]|50+|Female|POP_EST.T_1|CY2024Q3</v>
      </c>
    </row>
    <row r="457" spans="4:18" x14ac:dyDescent="0.2">
      <c r="D457" t="s">
        <v>66</v>
      </c>
      <c r="E457" t="s">
        <v>67</v>
      </c>
      <c r="F457" t="s">
        <v>68</v>
      </c>
      <c r="G457" t="s">
        <v>138</v>
      </c>
      <c r="H457" t="s">
        <v>139</v>
      </c>
      <c r="I457" t="s">
        <v>28</v>
      </c>
      <c r="J457" t="s">
        <v>29</v>
      </c>
      <c r="K457" t="s">
        <v>48</v>
      </c>
      <c r="L457" t="s">
        <v>49</v>
      </c>
      <c r="M457" t="s">
        <v>140</v>
      </c>
      <c r="N457">
        <v>20654</v>
      </c>
      <c r="O457">
        <v>0</v>
      </c>
      <c r="P457">
        <v>0</v>
      </c>
      <c r="Q457" t="str">
        <f t="shared" si="14"/>
        <v>&lt;01</v>
      </c>
      <c r="R457" t="str">
        <f t="shared" si="15"/>
        <v>[vA4NcHxfMBq]|&lt;01|Male|POP_EST.T_1|CY2024Q3</v>
      </c>
    </row>
    <row r="458" spans="4:18" x14ac:dyDescent="0.2">
      <c r="D458" t="s">
        <v>66</v>
      </c>
      <c r="E458" t="s">
        <v>67</v>
      </c>
      <c r="F458" t="s">
        <v>68</v>
      </c>
      <c r="G458" t="s">
        <v>138</v>
      </c>
      <c r="H458" t="s">
        <v>139</v>
      </c>
      <c r="I458" t="s">
        <v>33</v>
      </c>
      <c r="J458" t="s">
        <v>34</v>
      </c>
      <c r="K458" t="s">
        <v>48</v>
      </c>
      <c r="L458" t="s">
        <v>49</v>
      </c>
      <c r="M458" t="s">
        <v>140</v>
      </c>
      <c r="N458">
        <v>168327</v>
      </c>
      <c r="O458">
        <v>0</v>
      </c>
      <c r="P458">
        <v>0</v>
      </c>
      <c r="Q458" t="str">
        <f t="shared" si="14"/>
        <v>01-09</v>
      </c>
      <c r="R458" t="str">
        <f t="shared" si="15"/>
        <v>[vA4NcHxfMBq]|01-09|Male|POP_EST.T_1|CY2024Q3</v>
      </c>
    </row>
    <row r="459" spans="4:18" x14ac:dyDescent="0.2">
      <c r="D459" t="s">
        <v>66</v>
      </c>
      <c r="E459" t="s">
        <v>67</v>
      </c>
      <c r="F459" t="s">
        <v>68</v>
      </c>
      <c r="G459" t="s">
        <v>138</v>
      </c>
      <c r="H459" t="s">
        <v>139</v>
      </c>
      <c r="I459" t="s">
        <v>36</v>
      </c>
      <c r="J459" t="s">
        <v>37</v>
      </c>
      <c r="K459" t="s">
        <v>48</v>
      </c>
      <c r="L459" t="s">
        <v>49</v>
      </c>
      <c r="M459" t="s">
        <v>140</v>
      </c>
      <c r="N459">
        <v>89145</v>
      </c>
      <c r="O459">
        <v>0</v>
      </c>
      <c r="P459">
        <v>0</v>
      </c>
      <c r="Q459" t="str">
        <f t="shared" si="14"/>
        <v>10-14</v>
      </c>
      <c r="R459" t="str">
        <f t="shared" si="15"/>
        <v>[vA4NcHxfMBq]|10-14|Male|POP_EST.T_1|CY2024Q3</v>
      </c>
    </row>
    <row r="460" spans="4:18" x14ac:dyDescent="0.2">
      <c r="D460" t="s">
        <v>66</v>
      </c>
      <c r="E460" t="s">
        <v>67</v>
      </c>
      <c r="F460" t="s">
        <v>68</v>
      </c>
      <c r="G460" t="s">
        <v>138</v>
      </c>
      <c r="H460" t="s">
        <v>139</v>
      </c>
      <c r="I460" t="s">
        <v>38</v>
      </c>
      <c r="J460" t="s">
        <v>39</v>
      </c>
      <c r="K460" t="s">
        <v>48</v>
      </c>
      <c r="L460" t="s">
        <v>49</v>
      </c>
      <c r="M460" t="s">
        <v>140</v>
      </c>
      <c r="N460">
        <v>152017</v>
      </c>
      <c r="O460">
        <v>0</v>
      </c>
      <c r="P460">
        <v>0</v>
      </c>
      <c r="Q460" t="str">
        <f t="shared" si="14"/>
        <v>15-24</v>
      </c>
      <c r="R460" t="str">
        <f t="shared" si="15"/>
        <v>[vA4NcHxfMBq]|15-24|Male|POP_EST.T_1|CY2024Q3</v>
      </c>
    </row>
    <row r="461" spans="4:18" x14ac:dyDescent="0.2">
      <c r="D461" t="s">
        <v>66</v>
      </c>
      <c r="E461" t="s">
        <v>67</v>
      </c>
      <c r="F461" t="s">
        <v>68</v>
      </c>
      <c r="G461" t="s">
        <v>138</v>
      </c>
      <c r="H461" t="s">
        <v>139</v>
      </c>
      <c r="I461" t="s">
        <v>41</v>
      </c>
      <c r="J461" t="s">
        <v>42</v>
      </c>
      <c r="K461" t="s">
        <v>48</v>
      </c>
      <c r="L461" t="s">
        <v>49</v>
      </c>
      <c r="M461" t="s">
        <v>140</v>
      </c>
      <c r="N461">
        <v>100517</v>
      </c>
      <c r="O461">
        <v>0</v>
      </c>
      <c r="P461">
        <v>0</v>
      </c>
      <c r="Q461" t="str">
        <f t="shared" si="14"/>
        <v>25-34</v>
      </c>
      <c r="R461" t="str">
        <f t="shared" si="15"/>
        <v>[vA4NcHxfMBq]|25-34|Male|POP_EST.T_1|CY2024Q3</v>
      </c>
    </row>
    <row r="462" spans="4:18" x14ac:dyDescent="0.2">
      <c r="D462" t="s">
        <v>66</v>
      </c>
      <c r="E462" t="s">
        <v>67</v>
      </c>
      <c r="F462" t="s">
        <v>68</v>
      </c>
      <c r="G462" t="s">
        <v>138</v>
      </c>
      <c r="H462" t="s">
        <v>139</v>
      </c>
      <c r="I462" t="s">
        <v>43</v>
      </c>
      <c r="J462" t="s">
        <v>44</v>
      </c>
      <c r="K462" t="s">
        <v>48</v>
      </c>
      <c r="L462" t="s">
        <v>49</v>
      </c>
      <c r="M462" t="s">
        <v>140</v>
      </c>
      <c r="N462">
        <v>94814</v>
      </c>
      <c r="O462">
        <v>0</v>
      </c>
      <c r="P462">
        <v>0</v>
      </c>
      <c r="Q462" t="str">
        <f t="shared" si="14"/>
        <v>35-49</v>
      </c>
      <c r="R462" t="str">
        <f t="shared" si="15"/>
        <v>[vA4NcHxfMBq]|35-49|Male|POP_EST.T_1|CY2024Q3</v>
      </c>
    </row>
    <row r="463" spans="4:18" x14ac:dyDescent="0.2">
      <c r="D463" t="s">
        <v>66</v>
      </c>
      <c r="E463" t="s">
        <v>67</v>
      </c>
      <c r="F463" t="s">
        <v>68</v>
      </c>
      <c r="G463" t="s">
        <v>138</v>
      </c>
      <c r="H463" t="s">
        <v>139</v>
      </c>
      <c r="I463" t="s">
        <v>45</v>
      </c>
      <c r="J463" t="s">
        <v>46</v>
      </c>
      <c r="K463" t="s">
        <v>48</v>
      </c>
      <c r="L463" t="s">
        <v>49</v>
      </c>
      <c r="M463" t="s">
        <v>140</v>
      </c>
      <c r="N463">
        <v>54702</v>
      </c>
      <c r="O463">
        <v>0</v>
      </c>
      <c r="P463">
        <v>0</v>
      </c>
      <c r="Q463" t="str">
        <f t="shared" si="14"/>
        <v>50+</v>
      </c>
      <c r="R463" t="str">
        <f t="shared" si="15"/>
        <v>[vA4NcHxfMBq]|50+|Male|POP_EST.T_1|CY2024Q3</v>
      </c>
    </row>
    <row r="464" spans="4:18" x14ac:dyDescent="0.2">
      <c r="D464" t="s">
        <v>69</v>
      </c>
      <c r="E464" t="s">
        <v>70</v>
      </c>
      <c r="F464" t="s">
        <v>71</v>
      </c>
      <c r="G464" t="s">
        <v>138</v>
      </c>
      <c r="H464" t="s">
        <v>139</v>
      </c>
      <c r="I464" t="s">
        <v>28</v>
      </c>
      <c r="J464" t="s">
        <v>29</v>
      </c>
      <c r="K464" t="s">
        <v>30</v>
      </c>
      <c r="L464" t="s">
        <v>31</v>
      </c>
      <c r="M464" t="s">
        <v>140</v>
      </c>
      <c r="N464">
        <v>198</v>
      </c>
      <c r="O464">
        <v>0</v>
      </c>
      <c r="P464">
        <v>0</v>
      </c>
      <c r="Q464" t="str">
        <f t="shared" si="14"/>
        <v>&lt;01</v>
      </c>
      <c r="R464" t="str">
        <f t="shared" si="15"/>
        <v>[ZCjuwgaMB9u]|&lt;01|Female|POP_EST.T_1|CY2024Q3</v>
      </c>
    </row>
    <row r="465" spans="4:18" x14ac:dyDescent="0.2">
      <c r="D465" t="s">
        <v>69</v>
      </c>
      <c r="E465" t="s">
        <v>70</v>
      </c>
      <c r="F465" t="s">
        <v>71</v>
      </c>
      <c r="G465" t="s">
        <v>138</v>
      </c>
      <c r="H465" t="s">
        <v>139</v>
      </c>
      <c r="I465" t="s">
        <v>33</v>
      </c>
      <c r="J465" t="s">
        <v>34</v>
      </c>
      <c r="K465" t="s">
        <v>30</v>
      </c>
      <c r="L465" t="s">
        <v>31</v>
      </c>
      <c r="M465" t="s">
        <v>140</v>
      </c>
      <c r="N465">
        <v>1690</v>
      </c>
      <c r="O465">
        <v>0</v>
      </c>
      <c r="P465">
        <v>0</v>
      </c>
      <c r="Q465" t="str">
        <f t="shared" si="14"/>
        <v>01-09</v>
      </c>
      <c r="R465" t="str">
        <f t="shared" si="15"/>
        <v>[ZCjuwgaMB9u]|01-09|Female|POP_EST.T_1|CY2024Q3</v>
      </c>
    </row>
    <row r="466" spans="4:18" x14ac:dyDescent="0.2">
      <c r="D466" t="s">
        <v>69</v>
      </c>
      <c r="E466" t="s">
        <v>70</v>
      </c>
      <c r="F466" t="s">
        <v>71</v>
      </c>
      <c r="G466" t="s">
        <v>138</v>
      </c>
      <c r="H466" t="s">
        <v>139</v>
      </c>
      <c r="I466" t="s">
        <v>36</v>
      </c>
      <c r="J466" t="s">
        <v>37</v>
      </c>
      <c r="K466" t="s">
        <v>30</v>
      </c>
      <c r="L466" t="s">
        <v>31</v>
      </c>
      <c r="M466" t="s">
        <v>140</v>
      </c>
      <c r="N466">
        <v>1098</v>
      </c>
      <c r="O466">
        <v>0</v>
      </c>
      <c r="P466">
        <v>0</v>
      </c>
      <c r="Q466" t="str">
        <f t="shared" si="14"/>
        <v>10-14</v>
      </c>
      <c r="R466" t="str">
        <f t="shared" si="15"/>
        <v>[ZCjuwgaMB9u]|10-14|Female|POP_EST.T_1|CY2024Q3</v>
      </c>
    </row>
    <row r="467" spans="4:18" x14ac:dyDescent="0.2">
      <c r="D467" t="s">
        <v>69</v>
      </c>
      <c r="E467" t="s">
        <v>70</v>
      </c>
      <c r="F467" t="s">
        <v>71</v>
      </c>
      <c r="G467" t="s">
        <v>138</v>
      </c>
      <c r="H467" t="s">
        <v>139</v>
      </c>
      <c r="I467" t="s">
        <v>38</v>
      </c>
      <c r="J467" t="s">
        <v>39</v>
      </c>
      <c r="K467" t="s">
        <v>30</v>
      </c>
      <c r="L467" t="s">
        <v>31</v>
      </c>
      <c r="M467" t="s">
        <v>140</v>
      </c>
      <c r="N467">
        <v>1913</v>
      </c>
      <c r="O467">
        <v>0</v>
      </c>
      <c r="P467">
        <v>0</v>
      </c>
      <c r="Q467" t="str">
        <f t="shared" si="14"/>
        <v>15-24</v>
      </c>
      <c r="R467" t="str">
        <f t="shared" si="15"/>
        <v>[ZCjuwgaMB9u]|15-24|Female|POP_EST.T_1|CY2024Q3</v>
      </c>
    </row>
    <row r="468" spans="4:18" x14ac:dyDescent="0.2">
      <c r="D468" t="s">
        <v>69</v>
      </c>
      <c r="E468" t="s">
        <v>70</v>
      </c>
      <c r="F468" t="s">
        <v>71</v>
      </c>
      <c r="G468" t="s">
        <v>138</v>
      </c>
      <c r="H468" t="s">
        <v>139</v>
      </c>
      <c r="I468" t="s">
        <v>41</v>
      </c>
      <c r="J468" t="s">
        <v>42</v>
      </c>
      <c r="K468" t="s">
        <v>30</v>
      </c>
      <c r="L468" t="s">
        <v>31</v>
      </c>
      <c r="M468" t="s">
        <v>140</v>
      </c>
      <c r="N468">
        <v>1450</v>
      </c>
      <c r="O468">
        <v>0</v>
      </c>
      <c r="P468">
        <v>0</v>
      </c>
      <c r="Q468" t="str">
        <f t="shared" si="14"/>
        <v>25-34</v>
      </c>
      <c r="R468" t="str">
        <f t="shared" si="15"/>
        <v>[ZCjuwgaMB9u]|25-34|Female|POP_EST.T_1|CY2024Q3</v>
      </c>
    </row>
    <row r="469" spans="4:18" x14ac:dyDescent="0.2">
      <c r="D469" t="s">
        <v>69</v>
      </c>
      <c r="E469" t="s">
        <v>70</v>
      </c>
      <c r="F469" t="s">
        <v>71</v>
      </c>
      <c r="G469" t="s">
        <v>138</v>
      </c>
      <c r="H469" t="s">
        <v>139</v>
      </c>
      <c r="I469" t="s">
        <v>43</v>
      </c>
      <c r="J469" t="s">
        <v>44</v>
      </c>
      <c r="K469" t="s">
        <v>30</v>
      </c>
      <c r="L469" t="s">
        <v>31</v>
      </c>
      <c r="M469" t="s">
        <v>140</v>
      </c>
      <c r="N469">
        <v>1445</v>
      </c>
      <c r="O469">
        <v>0</v>
      </c>
      <c r="P469">
        <v>0</v>
      </c>
      <c r="Q469" t="str">
        <f t="shared" si="14"/>
        <v>35-49</v>
      </c>
      <c r="R469" t="str">
        <f t="shared" si="15"/>
        <v>[ZCjuwgaMB9u]|35-49|Female|POP_EST.T_1|CY2024Q3</v>
      </c>
    </row>
    <row r="470" spans="4:18" x14ac:dyDescent="0.2">
      <c r="D470" t="s">
        <v>69</v>
      </c>
      <c r="E470" t="s">
        <v>70</v>
      </c>
      <c r="F470" t="s">
        <v>71</v>
      </c>
      <c r="G470" t="s">
        <v>138</v>
      </c>
      <c r="H470" t="s">
        <v>139</v>
      </c>
      <c r="I470" t="s">
        <v>45</v>
      </c>
      <c r="J470" t="s">
        <v>46</v>
      </c>
      <c r="K470" t="s">
        <v>30</v>
      </c>
      <c r="L470" t="s">
        <v>31</v>
      </c>
      <c r="M470" t="s">
        <v>140</v>
      </c>
      <c r="N470">
        <v>835</v>
      </c>
      <c r="O470">
        <v>0</v>
      </c>
      <c r="P470">
        <v>0</v>
      </c>
      <c r="Q470" t="str">
        <f t="shared" si="14"/>
        <v>50+</v>
      </c>
      <c r="R470" t="str">
        <f t="shared" si="15"/>
        <v>[ZCjuwgaMB9u]|50+|Female|POP_EST.T_1|CY2024Q3</v>
      </c>
    </row>
    <row r="471" spans="4:18" x14ac:dyDescent="0.2">
      <c r="D471" t="s">
        <v>69</v>
      </c>
      <c r="E471" t="s">
        <v>70</v>
      </c>
      <c r="F471" t="s">
        <v>71</v>
      </c>
      <c r="G471" t="s">
        <v>138</v>
      </c>
      <c r="H471" t="s">
        <v>139</v>
      </c>
      <c r="I471" t="s">
        <v>28</v>
      </c>
      <c r="J471" t="s">
        <v>29</v>
      </c>
      <c r="K471" t="s">
        <v>48</v>
      </c>
      <c r="L471" t="s">
        <v>49</v>
      </c>
      <c r="M471" t="s">
        <v>140</v>
      </c>
      <c r="N471">
        <v>216</v>
      </c>
      <c r="O471">
        <v>0</v>
      </c>
      <c r="P471">
        <v>0</v>
      </c>
      <c r="Q471" t="str">
        <f t="shared" si="14"/>
        <v>&lt;01</v>
      </c>
      <c r="R471" t="str">
        <f t="shared" si="15"/>
        <v>[ZCjuwgaMB9u]|&lt;01|Male|POP_EST.T_1|CY2024Q3</v>
      </c>
    </row>
    <row r="472" spans="4:18" x14ac:dyDescent="0.2">
      <c r="D472" t="s">
        <v>69</v>
      </c>
      <c r="E472" t="s">
        <v>70</v>
      </c>
      <c r="F472" t="s">
        <v>71</v>
      </c>
      <c r="G472" t="s">
        <v>138</v>
      </c>
      <c r="H472" t="s">
        <v>139</v>
      </c>
      <c r="I472" t="s">
        <v>33</v>
      </c>
      <c r="J472" t="s">
        <v>34</v>
      </c>
      <c r="K472" t="s">
        <v>48</v>
      </c>
      <c r="L472" t="s">
        <v>49</v>
      </c>
      <c r="M472" t="s">
        <v>140</v>
      </c>
      <c r="N472">
        <v>1796</v>
      </c>
      <c r="O472">
        <v>0</v>
      </c>
      <c r="P472">
        <v>0</v>
      </c>
      <c r="Q472" t="str">
        <f t="shared" si="14"/>
        <v>01-09</v>
      </c>
      <c r="R472" t="str">
        <f t="shared" si="15"/>
        <v>[ZCjuwgaMB9u]|01-09|Male|POP_EST.T_1|CY2024Q3</v>
      </c>
    </row>
    <row r="473" spans="4:18" x14ac:dyDescent="0.2">
      <c r="D473" t="s">
        <v>69</v>
      </c>
      <c r="E473" t="s">
        <v>70</v>
      </c>
      <c r="F473" t="s">
        <v>71</v>
      </c>
      <c r="G473" t="s">
        <v>138</v>
      </c>
      <c r="H473" t="s">
        <v>139</v>
      </c>
      <c r="I473" t="s">
        <v>36</v>
      </c>
      <c r="J473" t="s">
        <v>37</v>
      </c>
      <c r="K473" t="s">
        <v>48</v>
      </c>
      <c r="L473" t="s">
        <v>49</v>
      </c>
      <c r="M473" t="s">
        <v>140</v>
      </c>
      <c r="N473">
        <v>971</v>
      </c>
      <c r="O473">
        <v>0</v>
      </c>
      <c r="P473">
        <v>0</v>
      </c>
      <c r="Q473" t="str">
        <f t="shared" si="14"/>
        <v>10-14</v>
      </c>
      <c r="R473" t="str">
        <f t="shared" si="15"/>
        <v>[ZCjuwgaMB9u]|10-14|Male|POP_EST.T_1|CY2024Q3</v>
      </c>
    </row>
    <row r="474" spans="4:18" x14ac:dyDescent="0.2">
      <c r="D474" t="s">
        <v>69</v>
      </c>
      <c r="E474" t="s">
        <v>70</v>
      </c>
      <c r="F474" t="s">
        <v>71</v>
      </c>
      <c r="G474" t="s">
        <v>138</v>
      </c>
      <c r="H474" t="s">
        <v>139</v>
      </c>
      <c r="I474" t="s">
        <v>38</v>
      </c>
      <c r="J474" t="s">
        <v>39</v>
      </c>
      <c r="K474" t="s">
        <v>48</v>
      </c>
      <c r="L474" t="s">
        <v>49</v>
      </c>
      <c r="M474" t="s">
        <v>140</v>
      </c>
      <c r="N474">
        <v>2230</v>
      </c>
      <c r="O474">
        <v>0</v>
      </c>
      <c r="P474">
        <v>0</v>
      </c>
      <c r="Q474" t="str">
        <f t="shared" si="14"/>
        <v>15-24</v>
      </c>
      <c r="R474" t="str">
        <f t="shared" si="15"/>
        <v>[ZCjuwgaMB9u]|15-24|Male|POP_EST.T_1|CY2024Q3</v>
      </c>
    </row>
    <row r="475" spans="4:18" x14ac:dyDescent="0.2">
      <c r="D475" t="s">
        <v>69</v>
      </c>
      <c r="E475" t="s">
        <v>70</v>
      </c>
      <c r="F475" t="s">
        <v>71</v>
      </c>
      <c r="G475" t="s">
        <v>138</v>
      </c>
      <c r="H475" t="s">
        <v>139</v>
      </c>
      <c r="I475" t="s">
        <v>41</v>
      </c>
      <c r="J475" t="s">
        <v>42</v>
      </c>
      <c r="K475" t="s">
        <v>48</v>
      </c>
      <c r="L475" t="s">
        <v>49</v>
      </c>
      <c r="M475" t="s">
        <v>140</v>
      </c>
      <c r="N475">
        <v>1637</v>
      </c>
      <c r="O475">
        <v>0</v>
      </c>
      <c r="P475">
        <v>0</v>
      </c>
      <c r="Q475" t="str">
        <f t="shared" si="14"/>
        <v>25-34</v>
      </c>
      <c r="R475" t="str">
        <f t="shared" si="15"/>
        <v>[ZCjuwgaMB9u]|25-34|Male|POP_EST.T_1|CY2024Q3</v>
      </c>
    </row>
    <row r="476" spans="4:18" x14ac:dyDescent="0.2">
      <c r="D476" t="s">
        <v>69</v>
      </c>
      <c r="E476" t="s">
        <v>70</v>
      </c>
      <c r="F476" t="s">
        <v>71</v>
      </c>
      <c r="G476" t="s">
        <v>138</v>
      </c>
      <c r="H476" t="s">
        <v>139</v>
      </c>
      <c r="I476" t="s">
        <v>43</v>
      </c>
      <c r="J476" t="s">
        <v>44</v>
      </c>
      <c r="K476" t="s">
        <v>48</v>
      </c>
      <c r="L476" t="s">
        <v>49</v>
      </c>
      <c r="M476" t="s">
        <v>140</v>
      </c>
      <c r="N476">
        <v>1348</v>
      </c>
      <c r="O476">
        <v>0</v>
      </c>
      <c r="P476">
        <v>0</v>
      </c>
      <c r="Q476" t="str">
        <f t="shared" si="14"/>
        <v>35-49</v>
      </c>
      <c r="R476" t="str">
        <f t="shared" si="15"/>
        <v>[ZCjuwgaMB9u]|35-49|Male|POP_EST.T_1|CY2024Q3</v>
      </c>
    </row>
    <row r="477" spans="4:18" x14ac:dyDescent="0.2">
      <c r="D477" t="s">
        <v>69</v>
      </c>
      <c r="E477" t="s">
        <v>70</v>
      </c>
      <c r="F477" t="s">
        <v>71</v>
      </c>
      <c r="G477" t="s">
        <v>138</v>
      </c>
      <c r="H477" t="s">
        <v>139</v>
      </c>
      <c r="I477" t="s">
        <v>45</v>
      </c>
      <c r="J477" t="s">
        <v>46</v>
      </c>
      <c r="K477" t="s">
        <v>48</v>
      </c>
      <c r="L477" t="s">
        <v>49</v>
      </c>
      <c r="M477" t="s">
        <v>140</v>
      </c>
      <c r="N477">
        <v>619</v>
      </c>
      <c r="O477">
        <v>0</v>
      </c>
      <c r="P477">
        <v>0</v>
      </c>
      <c r="Q477" t="str">
        <f t="shared" si="14"/>
        <v>50+</v>
      </c>
      <c r="R477" t="str">
        <f t="shared" si="15"/>
        <v>[ZCjuwgaMB9u]|50+|Male|POP_EST.T_1|CY2024Q3</v>
      </c>
    </row>
    <row r="478" spans="4:18" x14ac:dyDescent="0.2">
      <c r="D478" t="s">
        <v>72</v>
      </c>
      <c r="E478" t="s">
        <v>73</v>
      </c>
      <c r="F478" t="s">
        <v>74</v>
      </c>
      <c r="G478" t="s">
        <v>138</v>
      </c>
      <c r="H478" t="s">
        <v>139</v>
      </c>
      <c r="I478" t="s">
        <v>28</v>
      </c>
      <c r="J478" t="s">
        <v>29</v>
      </c>
      <c r="K478" t="s">
        <v>30</v>
      </c>
      <c r="L478" t="s">
        <v>31</v>
      </c>
      <c r="M478" t="s">
        <v>140</v>
      </c>
      <c r="N478">
        <v>15293</v>
      </c>
      <c r="O478">
        <v>0</v>
      </c>
      <c r="P478">
        <v>0</v>
      </c>
      <c r="Q478" t="str">
        <f t="shared" si="14"/>
        <v>&lt;01</v>
      </c>
      <c r="R478" t="str">
        <f t="shared" si="15"/>
        <v>[JQKLKuVuY61]|&lt;01|Female|POP_EST.T_1|CY2024Q3</v>
      </c>
    </row>
    <row r="479" spans="4:18" x14ac:dyDescent="0.2">
      <c r="D479" t="s">
        <v>72</v>
      </c>
      <c r="E479" t="s">
        <v>73</v>
      </c>
      <c r="F479" t="s">
        <v>74</v>
      </c>
      <c r="G479" t="s">
        <v>138</v>
      </c>
      <c r="H479" t="s">
        <v>139</v>
      </c>
      <c r="I479" t="s">
        <v>33</v>
      </c>
      <c r="J479" t="s">
        <v>34</v>
      </c>
      <c r="K479" t="s">
        <v>30</v>
      </c>
      <c r="L479" t="s">
        <v>31</v>
      </c>
      <c r="M479" t="s">
        <v>140</v>
      </c>
      <c r="N479">
        <v>131088</v>
      </c>
      <c r="O479">
        <v>0</v>
      </c>
      <c r="P479">
        <v>0</v>
      </c>
      <c r="Q479" t="str">
        <f t="shared" si="14"/>
        <v>01-09</v>
      </c>
      <c r="R479" t="str">
        <f t="shared" si="15"/>
        <v>[JQKLKuVuY61]|01-09|Female|POP_EST.T_1|CY2024Q3</v>
      </c>
    </row>
    <row r="480" spans="4:18" x14ac:dyDescent="0.2">
      <c r="D480" t="s">
        <v>72</v>
      </c>
      <c r="E480" t="s">
        <v>73</v>
      </c>
      <c r="F480" t="s">
        <v>74</v>
      </c>
      <c r="G480" t="s">
        <v>138</v>
      </c>
      <c r="H480" t="s">
        <v>139</v>
      </c>
      <c r="I480" t="s">
        <v>36</v>
      </c>
      <c r="J480" t="s">
        <v>37</v>
      </c>
      <c r="K480" t="s">
        <v>30</v>
      </c>
      <c r="L480" t="s">
        <v>31</v>
      </c>
      <c r="M480" t="s">
        <v>140</v>
      </c>
      <c r="N480">
        <v>70621</v>
      </c>
      <c r="O480">
        <v>0</v>
      </c>
      <c r="P480">
        <v>0</v>
      </c>
      <c r="Q480" t="str">
        <f t="shared" si="14"/>
        <v>10-14</v>
      </c>
      <c r="R480" t="str">
        <f t="shared" si="15"/>
        <v>[JQKLKuVuY61]|10-14|Female|POP_EST.T_1|CY2024Q3</v>
      </c>
    </row>
    <row r="481" spans="4:18" x14ac:dyDescent="0.2">
      <c r="D481" t="s">
        <v>72</v>
      </c>
      <c r="E481" t="s">
        <v>73</v>
      </c>
      <c r="F481" t="s">
        <v>74</v>
      </c>
      <c r="G481" t="s">
        <v>138</v>
      </c>
      <c r="H481" t="s">
        <v>139</v>
      </c>
      <c r="I481" t="s">
        <v>38</v>
      </c>
      <c r="J481" t="s">
        <v>39</v>
      </c>
      <c r="K481" t="s">
        <v>30</v>
      </c>
      <c r="L481" t="s">
        <v>31</v>
      </c>
      <c r="M481" t="s">
        <v>140</v>
      </c>
      <c r="N481">
        <v>112549</v>
      </c>
      <c r="O481">
        <v>0</v>
      </c>
      <c r="P481">
        <v>0</v>
      </c>
      <c r="Q481" t="str">
        <f t="shared" si="14"/>
        <v>15-24</v>
      </c>
      <c r="R481" t="str">
        <f t="shared" si="15"/>
        <v>[JQKLKuVuY61]|15-24|Female|POP_EST.T_1|CY2024Q3</v>
      </c>
    </row>
    <row r="482" spans="4:18" x14ac:dyDescent="0.2">
      <c r="D482" t="s">
        <v>72</v>
      </c>
      <c r="E482" t="s">
        <v>73</v>
      </c>
      <c r="F482" t="s">
        <v>74</v>
      </c>
      <c r="G482" t="s">
        <v>138</v>
      </c>
      <c r="H482" t="s">
        <v>139</v>
      </c>
      <c r="I482" t="s">
        <v>41</v>
      </c>
      <c r="J482" t="s">
        <v>42</v>
      </c>
      <c r="K482" t="s">
        <v>30</v>
      </c>
      <c r="L482" t="s">
        <v>31</v>
      </c>
      <c r="M482" t="s">
        <v>140</v>
      </c>
      <c r="N482">
        <v>74335</v>
      </c>
      <c r="O482">
        <v>0</v>
      </c>
      <c r="P482">
        <v>0</v>
      </c>
      <c r="Q482" t="str">
        <f t="shared" si="14"/>
        <v>25-34</v>
      </c>
      <c r="R482" t="str">
        <f t="shared" si="15"/>
        <v>[JQKLKuVuY61]|25-34|Female|POP_EST.T_1|CY2024Q3</v>
      </c>
    </row>
    <row r="483" spans="4:18" x14ac:dyDescent="0.2">
      <c r="D483" t="s">
        <v>72</v>
      </c>
      <c r="E483" t="s">
        <v>73</v>
      </c>
      <c r="F483" t="s">
        <v>74</v>
      </c>
      <c r="G483" t="s">
        <v>138</v>
      </c>
      <c r="H483" t="s">
        <v>139</v>
      </c>
      <c r="I483" t="s">
        <v>43</v>
      </c>
      <c r="J483" t="s">
        <v>44</v>
      </c>
      <c r="K483" t="s">
        <v>30</v>
      </c>
      <c r="L483" t="s">
        <v>31</v>
      </c>
      <c r="M483" t="s">
        <v>140</v>
      </c>
      <c r="N483">
        <v>77199</v>
      </c>
      <c r="O483">
        <v>0</v>
      </c>
      <c r="P483">
        <v>0</v>
      </c>
      <c r="Q483" t="str">
        <f t="shared" si="14"/>
        <v>35-49</v>
      </c>
      <c r="R483" t="str">
        <f t="shared" si="15"/>
        <v>[JQKLKuVuY61]|35-49|Female|POP_EST.T_1|CY2024Q3</v>
      </c>
    </row>
    <row r="484" spans="4:18" x14ac:dyDescent="0.2">
      <c r="D484" t="s">
        <v>72</v>
      </c>
      <c r="E484" t="s">
        <v>73</v>
      </c>
      <c r="F484" t="s">
        <v>74</v>
      </c>
      <c r="G484" t="s">
        <v>138</v>
      </c>
      <c r="H484" t="s">
        <v>139</v>
      </c>
      <c r="I484" t="s">
        <v>45</v>
      </c>
      <c r="J484" t="s">
        <v>46</v>
      </c>
      <c r="K484" t="s">
        <v>30</v>
      </c>
      <c r="L484" t="s">
        <v>31</v>
      </c>
      <c r="M484" t="s">
        <v>140</v>
      </c>
      <c r="N484">
        <v>41307</v>
      </c>
      <c r="O484">
        <v>0</v>
      </c>
      <c r="P484">
        <v>0</v>
      </c>
      <c r="Q484" t="str">
        <f t="shared" si="14"/>
        <v>50+</v>
      </c>
      <c r="R484" t="str">
        <f t="shared" si="15"/>
        <v>[JQKLKuVuY61]|50+|Female|POP_EST.T_1|CY2024Q3</v>
      </c>
    </row>
    <row r="485" spans="4:18" x14ac:dyDescent="0.2">
      <c r="D485" t="s">
        <v>72</v>
      </c>
      <c r="E485" t="s">
        <v>73</v>
      </c>
      <c r="F485" t="s">
        <v>74</v>
      </c>
      <c r="G485" t="s">
        <v>138</v>
      </c>
      <c r="H485" t="s">
        <v>139</v>
      </c>
      <c r="I485" t="s">
        <v>28</v>
      </c>
      <c r="J485" t="s">
        <v>29</v>
      </c>
      <c r="K485" t="s">
        <v>48</v>
      </c>
      <c r="L485" t="s">
        <v>49</v>
      </c>
      <c r="M485" t="s">
        <v>140</v>
      </c>
      <c r="N485">
        <v>15308</v>
      </c>
      <c r="O485">
        <v>0</v>
      </c>
      <c r="P485">
        <v>0</v>
      </c>
      <c r="Q485" t="str">
        <f t="shared" si="14"/>
        <v>&lt;01</v>
      </c>
      <c r="R485" t="str">
        <f t="shared" si="15"/>
        <v>[JQKLKuVuY61]|&lt;01|Male|POP_EST.T_1|CY2024Q3</v>
      </c>
    </row>
    <row r="486" spans="4:18" x14ac:dyDescent="0.2">
      <c r="D486" t="s">
        <v>72</v>
      </c>
      <c r="E486" t="s">
        <v>73</v>
      </c>
      <c r="F486" t="s">
        <v>74</v>
      </c>
      <c r="G486" t="s">
        <v>138</v>
      </c>
      <c r="H486" t="s">
        <v>139</v>
      </c>
      <c r="I486" t="s">
        <v>33</v>
      </c>
      <c r="J486" t="s">
        <v>34</v>
      </c>
      <c r="K486" t="s">
        <v>48</v>
      </c>
      <c r="L486" t="s">
        <v>49</v>
      </c>
      <c r="M486" t="s">
        <v>140</v>
      </c>
      <c r="N486">
        <v>130903</v>
      </c>
      <c r="O486">
        <v>0</v>
      </c>
      <c r="P486">
        <v>0</v>
      </c>
      <c r="Q486" t="str">
        <f t="shared" si="14"/>
        <v>01-09</v>
      </c>
      <c r="R486" t="str">
        <f t="shared" si="15"/>
        <v>[JQKLKuVuY61]|01-09|Male|POP_EST.T_1|CY2024Q3</v>
      </c>
    </row>
    <row r="487" spans="4:18" x14ac:dyDescent="0.2">
      <c r="D487" t="s">
        <v>72</v>
      </c>
      <c r="E487" t="s">
        <v>73</v>
      </c>
      <c r="F487" t="s">
        <v>74</v>
      </c>
      <c r="G487" t="s">
        <v>138</v>
      </c>
      <c r="H487" t="s">
        <v>139</v>
      </c>
      <c r="I487" t="s">
        <v>36</v>
      </c>
      <c r="J487" t="s">
        <v>37</v>
      </c>
      <c r="K487" t="s">
        <v>48</v>
      </c>
      <c r="L487" t="s">
        <v>49</v>
      </c>
      <c r="M487" t="s">
        <v>140</v>
      </c>
      <c r="N487">
        <v>69604</v>
      </c>
      <c r="O487">
        <v>0</v>
      </c>
      <c r="P487">
        <v>0</v>
      </c>
      <c r="Q487" t="str">
        <f t="shared" si="14"/>
        <v>10-14</v>
      </c>
      <c r="R487" t="str">
        <f t="shared" si="15"/>
        <v>[JQKLKuVuY61]|10-14|Male|POP_EST.T_1|CY2024Q3</v>
      </c>
    </row>
    <row r="488" spans="4:18" x14ac:dyDescent="0.2">
      <c r="D488" t="s">
        <v>72</v>
      </c>
      <c r="E488" t="s">
        <v>73</v>
      </c>
      <c r="F488" t="s">
        <v>74</v>
      </c>
      <c r="G488" t="s">
        <v>138</v>
      </c>
      <c r="H488" t="s">
        <v>139</v>
      </c>
      <c r="I488" t="s">
        <v>38</v>
      </c>
      <c r="J488" t="s">
        <v>39</v>
      </c>
      <c r="K488" t="s">
        <v>48</v>
      </c>
      <c r="L488" t="s">
        <v>49</v>
      </c>
      <c r="M488" t="s">
        <v>140</v>
      </c>
      <c r="N488">
        <v>114291</v>
      </c>
      <c r="O488">
        <v>0</v>
      </c>
      <c r="P488">
        <v>0</v>
      </c>
      <c r="Q488" t="str">
        <f t="shared" si="14"/>
        <v>15-24</v>
      </c>
      <c r="R488" t="str">
        <f t="shared" si="15"/>
        <v>[JQKLKuVuY61]|15-24|Male|POP_EST.T_1|CY2024Q3</v>
      </c>
    </row>
    <row r="489" spans="4:18" x14ac:dyDescent="0.2">
      <c r="D489" t="s">
        <v>72</v>
      </c>
      <c r="E489" t="s">
        <v>73</v>
      </c>
      <c r="F489" t="s">
        <v>74</v>
      </c>
      <c r="G489" t="s">
        <v>138</v>
      </c>
      <c r="H489" t="s">
        <v>139</v>
      </c>
      <c r="I489" t="s">
        <v>41</v>
      </c>
      <c r="J489" t="s">
        <v>42</v>
      </c>
      <c r="K489" t="s">
        <v>48</v>
      </c>
      <c r="L489" t="s">
        <v>49</v>
      </c>
      <c r="M489" t="s">
        <v>140</v>
      </c>
      <c r="N489">
        <v>73468</v>
      </c>
      <c r="O489">
        <v>0</v>
      </c>
      <c r="P489">
        <v>0</v>
      </c>
      <c r="Q489" t="str">
        <f t="shared" si="14"/>
        <v>25-34</v>
      </c>
      <c r="R489" t="str">
        <f t="shared" si="15"/>
        <v>[JQKLKuVuY61]|25-34|Male|POP_EST.T_1|CY2024Q3</v>
      </c>
    </row>
    <row r="490" spans="4:18" x14ac:dyDescent="0.2">
      <c r="D490" t="s">
        <v>72</v>
      </c>
      <c r="E490" t="s">
        <v>73</v>
      </c>
      <c r="F490" t="s">
        <v>74</v>
      </c>
      <c r="G490" t="s">
        <v>138</v>
      </c>
      <c r="H490" t="s">
        <v>139</v>
      </c>
      <c r="I490" t="s">
        <v>43</v>
      </c>
      <c r="J490" t="s">
        <v>44</v>
      </c>
      <c r="K490" t="s">
        <v>48</v>
      </c>
      <c r="L490" t="s">
        <v>49</v>
      </c>
      <c r="M490" t="s">
        <v>140</v>
      </c>
      <c r="N490">
        <v>72207</v>
      </c>
      <c r="O490">
        <v>0</v>
      </c>
      <c r="P490">
        <v>0</v>
      </c>
      <c r="Q490" t="str">
        <f t="shared" si="14"/>
        <v>35-49</v>
      </c>
      <c r="R490" t="str">
        <f t="shared" si="15"/>
        <v>[JQKLKuVuY61]|35-49|Male|POP_EST.T_1|CY2024Q3</v>
      </c>
    </row>
    <row r="491" spans="4:18" x14ac:dyDescent="0.2">
      <c r="D491" t="s">
        <v>72</v>
      </c>
      <c r="E491" t="s">
        <v>73</v>
      </c>
      <c r="F491" t="s">
        <v>74</v>
      </c>
      <c r="G491" t="s">
        <v>138</v>
      </c>
      <c r="H491" t="s">
        <v>139</v>
      </c>
      <c r="I491" t="s">
        <v>45</v>
      </c>
      <c r="J491" t="s">
        <v>46</v>
      </c>
      <c r="K491" t="s">
        <v>48</v>
      </c>
      <c r="L491" t="s">
        <v>49</v>
      </c>
      <c r="M491" t="s">
        <v>140</v>
      </c>
      <c r="N491">
        <v>38951</v>
      </c>
      <c r="O491">
        <v>0</v>
      </c>
      <c r="P491">
        <v>0</v>
      </c>
      <c r="Q491" t="str">
        <f t="shared" si="14"/>
        <v>50+</v>
      </c>
      <c r="R491" t="str">
        <f t="shared" si="15"/>
        <v>[JQKLKuVuY61]|50+|Male|POP_EST.T_1|CY2024Q3</v>
      </c>
    </row>
    <row r="492" spans="4:18" x14ac:dyDescent="0.2">
      <c r="D492" t="s">
        <v>75</v>
      </c>
      <c r="E492" t="s">
        <v>76</v>
      </c>
      <c r="F492" t="s">
        <v>77</v>
      </c>
      <c r="G492" t="s">
        <v>138</v>
      </c>
      <c r="H492" t="s">
        <v>139</v>
      </c>
      <c r="I492" t="s">
        <v>28</v>
      </c>
      <c r="J492" t="s">
        <v>29</v>
      </c>
      <c r="K492" t="s">
        <v>30</v>
      </c>
      <c r="L492" t="s">
        <v>31</v>
      </c>
      <c r="M492" t="s">
        <v>140</v>
      </c>
      <c r="N492">
        <v>7668</v>
      </c>
      <c r="O492">
        <v>0</v>
      </c>
      <c r="P492">
        <v>0</v>
      </c>
      <c r="Q492" t="str">
        <f t="shared" si="14"/>
        <v>&lt;01</v>
      </c>
      <c r="R492" t="str">
        <f t="shared" si="15"/>
        <v>[YCKiBAp8QAg]|&lt;01|Female|POP_EST.T_1|CY2024Q3</v>
      </c>
    </row>
    <row r="493" spans="4:18" x14ac:dyDescent="0.2">
      <c r="D493" t="s">
        <v>75</v>
      </c>
      <c r="E493" t="s">
        <v>76</v>
      </c>
      <c r="F493" t="s">
        <v>77</v>
      </c>
      <c r="G493" t="s">
        <v>138</v>
      </c>
      <c r="H493" t="s">
        <v>139</v>
      </c>
      <c r="I493" t="s">
        <v>33</v>
      </c>
      <c r="J493" t="s">
        <v>34</v>
      </c>
      <c r="K493" t="s">
        <v>30</v>
      </c>
      <c r="L493" t="s">
        <v>31</v>
      </c>
      <c r="M493" t="s">
        <v>140</v>
      </c>
      <c r="N493">
        <v>62404</v>
      </c>
      <c r="O493">
        <v>0</v>
      </c>
      <c r="P493">
        <v>0</v>
      </c>
      <c r="Q493" t="str">
        <f t="shared" si="14"/>
        <v>01-09</v>
      </c>
      <c r="R493" t="str">
        <f t="shared" si="15"/>
        <v>[YCKiBAp8QAg]|01-09|Female|POP_EST.T_1|CY2024Q3</v>
      </c>
    </row>
    <row r="494" spans="4:18" x14ac:dyDescent="0.2">
      <c r="D494" t="s">
        <v>75</v>
      </c>
      <c r="E494" t="s">
        <v>76</v>
      </c>
      <c r="F494" t="s">
        <v>77</v>
      </c>
      <c r="G494" t="s">
        <v>138</v>
      </c>
      <c r="H494" t="s">
        <v>139</v>
      </c>
      <c r="I494" t="s">
        <v>36</v>
      </c>
      <c r="J494" t="s">
        <v>37</v>
      </c>
      <c r="K494" t="s">
        <v>30</v>
      </c>
      <c r="L494" t="s">
        <v>31</v>
      </c>
      <c r="M494" t="s">
        <v>140</v>
      </c>
      <c r="N494">
        <v>32630</v>
      </c>
      <c r="O494">
        <v>0</v>
      </c>
      <c r="P494">
        <v>0</v>
      </c>
      <c r="Q494" t="str">
        <f t="shared" si="14"/>
        <v>10-14</v>
      </c>
      <c r="R494" t="str">
        <f t="shared" si="15"/>
        <v>[YCKiBAp8QAg]|10-14|Female|POP_EST.T_1|CY2024Q3</v>
      </c>
    </row>
    <row r="495" spans="4:18" x14ac:dyDescent="0.2">
      <c r="D495" t="s">
        <v>75</v>
      </c>
      <c r="E495" t="s">
        <v>76</v>
      </c>
      <c r="F495" t="s">
        <v>77</v>
      </c>
      <c r="G495" t="s">
        <v>138</v>
      </c>
      <c r="H495" t="s">
        <v>139</v>
      </c>
      <c r="I495" t="s">
        <v>38</v>
      </c>
      <c r="J495" t="s">
        <v>39</v>
      </c>
      <c r="K495" t="s">
        <v>30</v>
      </c>
      <c r="L495" t="s">
        <v>31</v>
      </c>
      <c r="M495" t="s">
        <v>140</v>
      </c>
      <c r="N495">
        <v>53085</v>
      </c>
      <c r="O495">
        <v>0</v>
      </c>
      <c r="P495">
        <v>0</v>
      </c>
      <c r="Q495" t="str">
        <f t="shared" si="14"/>
        <v>15-24</v>
      </c>
      <c r="R495" t="str">
        <f t="shared" si="15"/>
        <v>[YCKiBAp8QAg]|15-24|Female|POP_EST.T_1|CY2024Q3</v>
      </c>
    </row>
    <row r="496" spans="4:18" x14ac:dyDescent="0.2">
      <c r="D496" t="s">
        <v>75</v>
      </c>
      <c r="E496" t="s">
        <v>76</v>
      </c>
      <c r="F496" t="s">
        <v>77</v>
      </c>
      <c r="G496" t="s">
        <v>138</v>
      </c>
      <c r="H496" t="s">
        <v>139</v>
      </c>
      <c r="I496" t="s">
        <v>41</v>
      </c>
      <c r="J496" t="s">
        <v>42</v>
      </c>
      <c r="K496" t="s">
        <v>30</v>
      </c>
      <c r="L496" t="s">
        <v>31</v>
      </c>
      <c r="M496" t="s">
        <v>140</v>
      </c>
      <c r="N496">
        <v>34640</v>
      </c>
      <c r="O496">
        <v>0</v>
      </c>
      <c r="P496">
        <v>0</v>
      </c>
      <c r="Q496" t="str">
        <f t="shared" si="14"/>
        <v>25-34</v>
      </c>
      <c r="R496" t="str">
        <f t="shared" si="15"/>
        <v>[YCKiBAp8QAg]|25-34|Female|POP_EST.T_1|CY2024Q3</v>
      </c>
    </row>
    <row r="497" spans="4:18" x14ac:dyDescent="0.2">
      <c r="D497" t="s">
        <v>75</v>
      </c>
      <c r="E497" t="s">
        <v>76</v>
      </c>
      <c r="F497" t="s">
        <v>77</v>
      </c>
      <c r="G497" t="s">
        <v>138</v>
      </c>
      <c r="H497" t="s">
        <v>139</v>
      </c>
      <c r="I497" t="s">
        <v>43</v>
      </c>
      <c r="J497" t="s">
        <v>44</v>
      </c>
      <c r="K497" t="s">
        <v>30</v>
      </c>
      <c r="L497" t="s">
        <v>31</v>
      </c>
      <c r="M497" t="s">
        <v>140</v>
      </c>
      <c r="N497">
        <v>34201</v>
      </c>
      <c r="O497">
        <v>0</v>
      </c>
      <c r="P497">
        <v>0</v>
      </c>
      <c r="Q497" t="str">
        <f t="shared" si="14"/>
        <v>35-49</v>
      </c>
      <c r="R497" t="str">
        <f t="shared" si="15"/>
        <v>[YCKiBAp8QAg]|35-49|Female|POP_EST.T_1|CY2024Q3</v>
      </c>
    </row>
    <row r="498" spans="4:18" x14ac:dyDescent="0.2">
      <c r="D498" t="s">
        <v>75</v>
      </c>
      <c r="E498" t="s">
        <v>76</v>
      </c>
      <c r="F498" t="s">
        <v>77</v>
      </c>
      <c r="G498" t="s">
        <v>138</v>
      </c>
      <c r="H498" t="s">
        <v>139</v>
      </c>
      <c r="I498" t="s">
        <v>45</v>
      </c>
      <c r="J498" t="s">
        <v>46</v>
      </c>
      <c r="K498" t="s">
        <v>30</v>
      </c>
      <c r="L498" t="s">
        <v>31</v>
      </c>
      <c r="M498" t="s">
        <v>140</v>
      </c>
      <c r="N498">
        <v>18414</v>
      </c>
      <c r="O498">
        <v>0</v>
      </c>
      <c r="P498">
        <v>0</v>
      </c>
      <c r="Q498" t="str">
        <f t="shared" si="14"/>
        <v>50+</v>
      </c>
      <c r="R498" t="str">
        <f t="shared" si="15"/>
        <v>[YCKiBAp8QAg]|50+|Female|POP_EST.T_1|CY2024Q3</v>
      </c>
    </row>
    <row r="499" spans="4:18" x14ac:dyDescent="0.2">
      <c r="D499" t="s">
        <v>75</v>
      </c>
      <c r="E499" t="s">
        <v>76</v>
      </c>
      <c r="F499" t="s">
        <v>77</v>
      </c>
      <c r="G499" t="s">
        <v>138</v>
      </c>
      <c r="H499" t="s">
        <v>139</v>
      </c>
      <c r="I499" t="s">
        <v>28</v>
      </c>
      <c r="J499" t="s">
        <v>29</v>
      </c>
      <c r="K499" t="s">
        <v>48</v>
      </c>
      <c r="L499" t="s">
        <v>49</v>
      </c>
      <c r="M499" t="s">
        <v>140</v>
      </c>
      <c r="N499">
        <v>7696</v>
      </c>
      <c r="O499">
        <v>0</v>
      </c>
      <c r="P499">
        <v>0</v>
      </c>
      <c r="Q499" t="str">
        <f t="shared" si="14"/>
        <v>&lt;01</v>
      </c>
      <c r="R499" t="str">
        <f t="shared" si="15"/>
        <v>[YCKiBAp8QAg]|&lt;01|Male|POP_EST.T_1|CY2024Q3</v>
      </c>
    </row>
    <row r="500" spans="4:18" x14ac:dyDescent="0.2">
      <c r="D500" t="s">
        <v>75</v>
      </c>
      <c r="E500" t="s">
        <v>76</v>
      </c>
      <c r="F500" t="s">
        <v>77</v>
      </c>
      <c r="G500" t="s">
        <v>138</v>
      </c>
      <c r="H500" t="s">
        <v>139</v>
      </c>
      <c r="I500" t="s">
        <v>33</v>
      </c>
      <c r="J500" t="s">
        <v>34</v>
      </c>
      <c r="K500" t="s">
        <v>48</v>
      </c>
      <c r="L500" t="s">
        <v>49</v>
      </c>
      <c r="M500" t="s">
        <v>140</v>
      </c>
      <c r="N500">
        <v>62799</v>
      </c>
      <c r="O500">
        <v>0</v>
      </c>
      <c r="P500">
        <v>0</v>
      </c>
      <c r="Q500" t="str">
        <f t="shared" si="14"/>
        <v>01-09</v>
      </c>
      <c r="R500" t="str">
        <f t="shared" si="15"/>
        <v>[YCKiBAp8QAg]|01-09|Male|POP_EST.T_1|CY2024Q3</v>
      </c>
    </row>
    <row r="501" spans="4:18" x14ac:dyDescent="0.2">
      <c r="D501" t="s">
        <v>75</v>
      </c>
      <c r="E501" t="s">
        <v>76</v>
      </c>
      <c r="F501" t="s">
        <v>77</v>
      </c>
      <c r="G501" t="s">
        <v>138</v>
      </c>
      <c r="H501" t="s">
        <v>139</v>
      </c>
      <c r="I501" t="s">
        <v>36</v>
      </c>
      <c r="J501" t="s">
        <v>37</v>
      </c>
      <c r="K501" t="s">
        <v>48</v>
      </c>
      <c r="L501" t="s">
        <v>49</v>
      </c>
      <c r="M501" t="s">
        <v>140</v>
      </c>
      <c r="N501">
        <v>31941</v>
      </c>
      <c r="O501">
        <v>0</v>
      </c>
      <c r="P501">
        <v>0</v>
      </c>
      <c r="Q501" t="str">
        <f t="shared" si="14"/>
        <v>10-14</v>
      </c>
      <c r="R501" t="str">
        <f t="shared" si="15"/>
        <v>[YCKiBAp8QAg]|10-14|Male|POP_EST.T_1|CY2024Q3</v>
      </c>
    </row>
    <row r="502" spans="4:18" x14ac:dyDescent="0.2">
      <c r="D502" t="s">
        <v>75</v>
      </c>
      <c r="E502" t="s">
        <v>76</v>
      </c>
      <c r="F502" t="s">
        <v>77</v>
      </c>
      <c r="G502" t="s">
        <v>138</v>
      </c>
      <c r="H502" t="s">
        <v>139</v>
      </c>
      <c r="I502" t="s">
        <v>38</v>
      </c>
      <c r="J502" t="s">
        <v>39</v>
      </c>
      <c r="K502" t="s">
        <v>48</v>
      </c>
      <c r="L502" t="s">
        <v>49</v>
      </c>
      <c r="M502" t="s">
        <v>140</v>
      </c>
      <c r="N502">
        <v>52190</v>
      </c>
      <c r="O502">
        <v>0</v>
      </c>
      <c r="P502">
        <v>0</v>
      </c>
      <c r="Q502" t="str">
        <f t="shared" si="14"/>
        <v>15-24</v>
      </c>
      <c r="R502" t="str">
        <f t="shared" si="15"/>
        <v>[YCKiBAp8QAg]|15-24|Male|POP_EST.T_1|CY2024Q3</v>
      </c>
    </row>
    <row r="503" spans="4:18" x14ac:dyDescent="0.2">
      <c r="D503" t="s">
        <v>75</v>
      </c>
      <c r="E503" t="s">
        <v>76</v>
      </c>
      <c r="F503" t="s">
        <v>77</v>
      </c>
      <c r="G503" t="s">
        <v>138</v>
      </c>
      <c r="H503" t="s">
        <v>139</v>
      </c>
      <c r="I503" t="s">
        <v>41</v>
      </c>
      <c r="J503" t="s">
        <v>42</v>
      </c>
      <c r="K503" t="s">
        <v>48</v>
      </c>
      <c r="L503" t="s">
        <v>49</v>
      </c>
      <c r="M503" t="s">
        <v>140</v>
      </c>
      <c r="N503">
        <v>32017</v>
      </c>
      <c r="O503">
        <v>0</v>
      </c>
      <c r="P503">
        <v>0</v>
      </c>
      <c r="Q503" t="str">
        <f t="shared" si="14"/>
        <v>25-34</v>
      </c>
      <c r="R503" t="str">
        <f t="shared" si="15"/>
        <v>[YCKiBAp8QAg]|25-34|Male|POP_EST.T_1|CY2024Q3</v>
      </c>
    </row>
    <row r="504" spans="4:18" x14ac:dyDescent="0.2">
      <c r="D504" t="s">
        <v>75</v>
      </c>
      <c r="E504" t="s">
        <v>76</v>
      </c>
      <c r="F504" t="s">
        <v>77</v>
      </c>
      <c r="G504" t="s">
        <v>138</v>
      </c>
      <c r="H504" t="s">
        <v>139</v>
      </c>
      <c r="I504" t="s">
        <v>43</v>
      </c>
      <c r="J504" t="s">
        <v>44</v>
      </c>
      <c r="K504" t="s">
        <v>48</v>
      </c>
      <c r="L504" t="s">
        <v>49</v>
      </c>
      <c r="M504" t="s">
        <v>140</v>
      </c>
      <c r="N504">
        <v>30849</v>
      </c>
      <c r="O504">
        <v>0</v>
      </c>
      <c r="P504">
        <v>0</v>
      </c>
      <c r="Q504" t="str">
        <f t="shared" si="14"/>
        <v>35-49</v>
      </c>
      <c r="R504" t="str">
        <f t="shared" si="15"/>
        <v>[YCKiBAp8QAg]|35-49|Male|POP_EST.T_1|CY2024Q3</v>
      </c>
    </row>
    <row r="505" spans="4:18" x14ac:dyDescent="0.2">
      <c r="D505" t="s">
        <v>75</v>
      </c>
      <c r="E505" t="s">
        <v>76</v>
      </c>
      <c r="F505" t="s">
        <v>77</v>
      </c>
      <c r="G505" t="s">
        <v>138</v>
      </c>
      <c r="H505" t="s">
        <v>139</v>
      </c>
      <c r="I505" t="s">
        <v>45</v>
      </c>
      <c r="J505" t="s">
        <v>46</v>
      </c>
      <c r="K505" t="s">
        <v>48</v>
      </c>
      <c r="L505" t="s">
        <v>49</v>
      </c>
      <c r="M505" t="s">
        <v>140</v>
      </c>
      <c r="N505">
        <v>16737</v>
      </c>
      <c r="O505">
        <v>0</v>
      </c>
      <c r="P505">
        <v>0</v>
      </c>
      <c r="Q505" t="str">
        <f t="shared" si="14"/>
        <v>50+</v>
      </c>
      <c r="R505" t="str">
        <f t="shared" si="15"/>
        <v>[YCKiBAp8QAg]|50+|Male|POP_EST.T_1|CY2024Q3</v>
      </c>
    </row>
    <row r="506" spans="4:18" x14ac:dyDescent="0.2">
      <c r="D506" t="s">
        <v>78</v>
      </c>
      <c r="E506" t="s">
        <v>79</v>
      </c>
      <c r="F506" t="s">
        <v>80</v>
      </c>
      <c r="G506" t="s">
        <v>138</v>
      </c>
      <c r="H506" t="s">
        <v>139</v>
      </c>
      <c r="I506" t="s">
        <v>28</v>
      </c>
      <c r="J506" t="s">
        <v>29</v>
      </c>
      <c r="K506" t="s">
        <v>30</v>
      </c>
      <c r="L506" t="s">
        <v>31</v>
      </c>
      <c r="M506" t="s">
        <v>140</v>
      </c>
      <c r="N506">
        <v>6096</v>
      </c>
      <c r="O506">
        <v>0</v>
      </c>
      <c r="P506">
        <v>0</v>
      </c>
      <c r="Q506" t="str">
        <f t="shared" si="14"/>
        <v>&lt;01</v>
      </c>
      <c r="R506" t="str">
        <f t="shared" si="15"/>
        <v>[fiRkU6gEjLz]|&lt;01|Female|POP_EST.T_1|CY2024Q3</v>
      </c>
    </row>
    <row r="507" spans="4:18" x14ac:dyDescent="0.2">
      <c r="D507" t="s">
        <v>78</v>
      </c>
      <c r="E507" t="s">
        <v>79</v>
      </c>
      <c r="F507" t="s">
        <v>80</v>
      </c>
      <c r="G507" t="s">
        <v>138</v>
      </c>
      <c r="H507" t="s">
        <v>139</v>
      </c>
      <c r="I507" t="s">
        <v>33</v>
      </c>
      <c r="J507" t="s">
        <v>34</v>
      </c>
      <c r="K507" t="s">
        <v>30</v>
      </c>
      <c r="L507" t="s">
        <v>31</v>
      </c>
      <c r="M507" t="s">
        <v>140</v>
      </c>
      <c r="N507">
        <v>50237</v>
      </c>
      <c r="O507">
        <v>0</v>
      </c>
      <c r="P507">
        <v>0</v>
      </c>
      <c r="Q507" t="str">
        <f t="shared" si="14"/>
        <v>01-09</v>
      </c>
      <c r="R507" t="str">
        <f t="shared" si="15"/>
        <v>[fiRkU6gEjLz]|01-09|Female|POP_EST.T_1|CY2024Q3</v>
      </c>
    </row>
    <row r="508" spans="4:18" x14ac:dyDescent="0.2">
      <c r="D508" t="s">
        <v>78</v>
      </c>
      <c r="E508" t="s">
        <v>79</v>
      </c>
      <c r="F508" t="s">
        <v>80</v>
      </c>
      <c r="G508" t="s">
        <v>138</v>
      </c>
      <c r="H508" t="s">
        <v>139</v>
      </c>
      <c r="I508" t="s">
        <v>36</v>
      </c>
      <c r="J508" t="s">
        <v>37</v>
      </c>
      <c r="K508" t="s">
        <v>30</v>
      </c>
      <c r="L508" t="s">
        <v>31</v>
      </c>
      <c r="M508" t="s">
        <v>140</v>
      </c>
      <c r="N508">
        <v>27191</v>
      </c>
      <c r="O508">
        <v>0</v>
      </c>
      <c r="P508">
        <v>0</v>
      </c>
      <c r="Q508" t="str">
        <f t="shared" si="14"/>
        <v>10-14</v>
      </c>
      <c r="R508" t="str">
        <f t="shared" si="15"/>
        <v>[fiRkU6gEjLz]|10-14|Female|POP_EST.T_1|CY2024Q3</v>
      </c>
    </row>
    <row r="509" spans="4:18" x14ac:dyDescent="0.2">
      <c r="D509" t="s">
        <v>78</v>
      </c>
      <c r="E509" t="s">
        <v>79</v>
      </c>
      <c r="F509" t="s">
        <v>80</v>
      </c>
      <c r="G509" t="s">
        <v>138</v>
      </c>
      <c r="H509" t="s">
        <v>139</v>
      </c>
      <c r="I509" t="s">
        <v>38</v>
      </c>
      <c r="J509" t="s">
        <v>39</v>
      </c>
      <c r="K509" t="s">
        <v>30</v>
      </c>
      <c r="L509" t="s">
        <v>31</v>
      </c>
      <c r="M509" t="s">
        <v>140</v>
      </c>
      <c r="N509">
        <v>43060</v>
      </c>
      <c r="O509">
        <v>0</v>
      </c>
      <c r="P509">
        <v>0</v>
      </c>
      <c r="Q509" t="str">
        <f t="shared" si="14"/>
        <v>15-24</v>
      </c>
      <c r="R509" t="str">
        <f t="shared" si="15"/>
        <v>[fiRkU6gEjLz]|15-24|Female|POP_EST.T_1|CY2024Q3</v>
      </c>
    </row>
    <row r="510" spans="4:18" x14ac:dyDescent="0.2">
      <c r="D510" t="s">
        <v>78</v>
      </c>
      <c r="E510" t="s">
        <v>79</v>
      </c>
      <c r="F510" t="s">
        <v>80</v>
      </c>
      <c r="G510" t="s">
        <v>138</v>
      </c>
      <c r="H510" t="s">
        <v>139</v>
      </c>
      <c r="I510" t="s">
        <v>41</v>
      </c>
      <c r="J510" t="s">
        <v>42</v>
      </c>
      <c r="K510" t="s">
        <v>30</v>
      </c>
      <c r="L510" t="s">
        <v>31</v>
      </c>
      <c r="M510" t="s">
        <v>140</v>
      </c>
      <c r="N510">
        <v>28944</v>
      </c>
      <c r="O510">
        <v>0</v>
      </c>
      <c r="P510">
        <v>0</v>
      </c>
      <c r="Q510" t="str">
        <f t="shared" si="14"/>
        <v>25-34</v>
      </c>
      <c r="R510" t="str">
        <f t="shared" si="15"/>
        <v>[fiRkU6gEjLz]|25-34|Female|POP_EST.T_1|CY2024Q3</v>
      </c>
    </row>
    <row r="511" spans="4:18" x14ac:dyDescent="0.2">
      <c r="D511" t="s">
        <v>78</v>
      </c>
      <c r="E511" t="s">
        <v>79</v>
      </c>
      <c r="F511" t="s">
        <v>80</v>
      </c>
      <c r="G511" t="s">
        <v>138</v>
      </c>
      <c r="H511" t="s">
        <v>139</v>
      </c>
      <c r="I511" t="s">
        <v>43</v>
      </c>
      <c r="J511" t="s">
        <v>44</v>
      </c>
      <c r="K511" t="s">
        <v>30</v>
      </c>
      <c r="L511" t="s">
        <v>31</v>
      </c>
      <c r="M511" t="s">
        <v>140</v>
      </c>
      <c r="N511">
        <v>29676</v>
      </c>
      <c r="O511">
        <v>0</v>
      </c>
      <c r="P511">
        <v>0</v>
      </c>
      <c r="Q511" t="str">
        <f t="shared" si="14"/>
        <v>35-49</v>
      </c>
      <c r="R511" t="str">
        <f t="shared" si="15"/>
        <v>[fiRkU6gEjLz]|35-49|Female|POP_EST.T_1|CY2024Q3</v>
      </c>
    </row>
    <row r="512" spans="4:18" x14ac:dyDescent="0.2">
      <c r="D512" t="s">
        <v>78</v>
      </c>
      <c r="E512" t="s">
        <v>79</v>
      </c>
      <c r="F512" t="s">
        <v>80</v>
      </c>
      <c r="G512" t="s">
        <v>138</v>
      </c>
      <c r="H512" t="s">
        <v>139</v>
      </c>
      <c r="I512" t="s">
        <v>45</v>
      </c>
      <c r="J512" t="s">
        <v>46</v>
      </c>
      <c r="K512" t="s">
        <v>30</v>
      </c>
      <c r="L512" t="s">
        <v>31</v>
      </c>
      <c r="M512" t="s">
        <v>140</v>
      </c>
      <c r="N512">
        <v>17940</v>
      </c>
      <c r="O512">
        <v>0</v>
      </c>
      <c r="P512">
        <v>0</v>
      </c>
      <c r="Q512" t="str">
        <f t="shared" si="14"/>
        <v>50+</v>
      </c>
      <c r="R512" t="str">
        <f t="shared" si="15"/>
        <v>[fiRkU6gEjLz]|50+|Female|POP_EST.T_1|CY2024Q3</v>
      </c>
    </row>
    <row r="513" spans="4:18" x14ac:dyDescent="0.2">
      <c r="D513" t="s">
        <v>78</v>
      </c>
      <c r="E513" t="s">
        <v>79</v>
      </c>
      <c r="F513" t="s">
        <v>80</v>
      </c>
      <c r="G513" t="s">
        <v>138</v>
      </c>
      <c r="H513" t="s">
        <v>139</v>
      </c>
      <c r="I513" t="s">
        <v>28</v>
      </c>
      <c r="J513" t="s">
        <v>29</v>
      </c>
      <c r="K513" t="s">
        <v>48</v>
      </c>
      <c r="L513" t="s">
        <v>49</v>
      </c>
      <c r="M513" t="s">
        <v>140</v>
      </c>
      <c r="N513">
        <v>6109</v>
      </c>
      <c r="O513">
        <v>0</v>
      </c>
      <c r="P513">
        <v>0</v>
      </c>
      <c r="Q513" t="str">
        <f t="shared" si="14"/>
        <v>&lt;01</v>
      </c>
      <c r="R513" t="str">
        <f t="shared" si="15"/>
        <v>[fiRkU6gEjLz]|&lt;01|Male|POP_EST.T_1|CY2024Q3</v>
      </c>
    </row>
    <row r="514" spans="4:18" x14ac:dyDescent="0.2">
      <c r="D514" t="s">
        <v>78</v>
      </c>
      <c r="E514" t="s">
        <v>79</v>
      </c>
      <c r="F514" t="s">
        <v>80</v>
      </c>
      <c r="G514" t="s">
        <v>138</v>
      </c>
      <c r="H514" t="s">
        <v>139</v>
      </c>
      <c r="I514" t="s">
        <v>33</v>
      </c>
      <c r="J514" t="s">
        <v>34</v>
      </c>
      <c r="K514" t="s">
        <v>48</v>
      </c>
      <c r="L514" t="s">
        <v>49</v>
      </c>
      <c r="M514" t="s">
        <v>140</v>
      </c>
      <c r="N514">
        <v>50717</v>
      </c>
      <c r="O514">
        <v>0</v>
      </c>
      <c r="P514">
        <v>0</v>
      </c>
      <c r="Q514" t="str">
        <f t="shared" si="14"/>
        <v>01-09</v>
      </c>
      <c r="R514" t="str">
        <f t="shared" si="15"/>
        <v>[fiRkU6gEjLz]|01-09|Male|POP_EST.T_1|CY2024Q3</v>
      </c>
    </row>
    <row r="515" spans="4:18" x14ac:dyDescent="0.2">
      <c r="D515" t="s">
        <v>78</v>
      </c>
      <c r="E515" t="s">
        <v>79</v>
      </c>
      <c r="F515" t="s">
        <v>80</v>
      </c>
      <c r="G515" t="s">
        <v>138</v>
      </c>
      <c r="H515" t="s">
        <v>139</v>
      </c>
      <c r="I515" t="s">
        <v>36</v>
      </c>
      <c r="J515" t="s">
        <v>37</v>
      </c>
      <c r="K515" t="s">
        <v>48</v>
      </c>
      <c r="L515" t="s">
        <v>49</v>
      </c>
      <c r="M515" t="s">
        <v>140</v>
      </c>
      <c r="N515">
        <v>26981</v>
      </c>
      <c r="O515">
        <v>0</v>
      </c>
      <c r="P515">
        <v>0</v>
      </c>
      <c r="Q515" t="str">
        <f t="shared" ref="Q515:Q578" si="16">SUBSTITUTE(SUBSTITUTE($I515,CHAR(61),""),CHAR(34),"")</f>
        <v>10-14</v>
      </c>
      <c r="R515" t="str">
        <f t="shared" ref="R515:R578" si="17">IF($D515&lt;&gt;"","["&amp;$E515&amp;"]"&amp;"|"&amp;$Q515&amp;"|"&amp;$K515&amp;"|"&amp;$G515&amp;"|"&amp;IF($G515="TX_CURR_SUBNAT.R","CY2023Q4",$M515),"")</f>
        <v>[fiRkU6gEjLz]|10-14|Male|POP_EST.T_1|CY2024Q3</v>
      </c>
    </row>
    <row r="516" spans="4:18" x14ac:dyDescent="0.2">
      <c r="D516" t="s">
        <v>78</v>
      </c>
      <c r="E516" t="s">
        <v>79</v>
      </c>
      <c r="F516" t="s">
        <v>80</v>
      </c>
      <c r="G516" t="s">
        <v>138</v>
      </c>
      <c r="H516" t="s">
        <v>139</v>
      </c>
      <c r="I516" t="s">
        <v>38</v>
      </c>
      <c r="J516" t="s">
        <v>39</v>
      </c>
      <c r="K516" t="s">
        <v>48</v>
      </c>
      <c r="L516" t="s">
        <v>49</v>
      </c>
      <c r="M516" t="s">
        <v>140</v>
      </c>
      <c r="N516">
        <v>43324</v>
      </c>
      <c r="O516">
        <v>0</v>
      </c>
      <c r="P516">
        <v>0</v>
      </c>
      <c r="Q516" t="str">
        <f t="shared" si="16"/>
        <v>15-24</v>
      </c>
      <c r="R516" t="str">
        <f t="shared" si="17"/>
        <v>[fiRkU6gEjLz]|15-24|Male|POP_EST.T_1|CY2024Q3</v>
      </c>
    </row>
    <row r="517" spans="4:18" x14ac:dyDescent="0.2">
      <c r="D517" t="s">
        <v>78</v>
      </c>
      <c r="E517" t="s">
        <v>79</v>
      </c>
      <c r="F517" t="s">
        <v>80</v>
      </c>
      <c r="G517" t="s">
        <v>138</v>
      </c>
      <c r="H517" t="s">
        <v>139</v>
      </c>
      <c r="I517" t="s">
        <v>41</v>
      </c>
      <c r="J517" t="s">
        <v>42</v>
      </c>
      <c r="K517" t="s">
        <v>48</v>
      </c>
      <c r="L517" t="s">
        <v>49</v>
      </c>
      <c r="M517" t="s">
        <v>140</v>
      </c>
      <c r="N517">
        <v>28097</v>
      </c>
      <c r="O517">
        <v>0</v>
      </c>
      <c r="P517">
        <v>0</v>
      </c>
      <c r="Q517" t="str">
        <f t="shared" si="16"/>
        <v>25-34</v>
      </c>
      <c r="R517" t="str">
        <f t="shared" si="17"/>
        <v>[fiRkU6gEjLz]|25-34|Male|POP_EST.T_1|CY2024Q3</v>
      </c>
    </row>
    <row r="518" spans="4:18" x14ac:dyDescent="0.2">
      <c r="D518" t="s">
        <v>78</v>
      </c>
      <c r="E518" t="s">
        <v>79</v>
      </c>
      <c r="F518" t="s">
        <v>80</v>
      </c>
      <c r="G518" t="s">
        <v>138</v>
      </c>
      <c r="H518" t="s">
        <v>139</v>
      </c>
      <c r="I518" t="s">
        <v>43</v>
      </c>
      <c r="J518" t="s">
        <v>44</v>
      </c>
      <c r="K518" t="s">
        <v>48</v>
      </c>
      <c r="L518" t="s">
        <v>49</v>
      </c>
      <c r="M518" t="s">
        <v>140</v>
      </c>
      <c r="N518">
        <v>26499</v>
      </c>
      <c r="O518">
        <v>0</v>
      </c>
      <c r="P518">
        <v>0</v>
      </c>
      <c r="Q518" t="str">
        <f t="shared" si="16"/>
        <v>35-49</v>
      </c>
      <c r="R518" t="str">
        <f t="shared" si="17"/>
        <v>[fiRkU6gEjLz]|35-49|Male|POP_EST.T_1|CY2024Q3</v>
      </c>
    </row>
    <row r="519" spans="4:18" x14ac:dyDescent="0.2">
      <c r="D519" t="s">
        <v>78</v>
      </c>
      <c r="E519" t="s">
        <v>79</v>
      </c>
      <c r="F519" t="s">
        <v>80</v>
      </c>
      <c r="G519" t="s">
        <v>138</v>
      </c>
      <c r="H519" t="s">
        <v>139</v>
      </c>
      <c r="I519" t="s">
        <v>45</v>
      </c>
      <c r="J519" t="s">
        <v>46</v>
      </c>
      <c r="K519" t="s">
        <v>48</v>
      </c>
      <c r="L519" t="s">
        <v>49</v>
      </c>
      <c r="M519" t="s">
        <v>140</v>
      </c>
      <c r="N519">
        <v>14476</v>
      </c>
      <c r="O519">
        <v>0</v>
      </c>
      <c r="P519">
        <v>0</v>
      </c>
      <c r="Q519" t="str">
        <f t="shared" si="16"/>
        <v>50+</v>
      </c>
      <c r="R519" t="str">
        <f t="shared" si="17"/>
        <v>[fiRkU6gEjLz]|50+|Male|POP_EST.T_1|CY2024Q3</v>
      </c>
    </row>
    <row r="520" spans="4:18" x14ac:dyDescent="0.2">
      <c r="D520" t="s">
        <v>81</v>
      </c>
      <c r="E520" t="s">
        <v>82</v>
      </c>
      <c r="F520" t="s">
        <v>83</v>
      </c>
      <c r="G520" t="s">
        <v>138</v>
      </c>
      <c r="H520" t="s">
        <v>139</v>
      </c>
      <c r="I520" t="s">
        <v>28</v>
      </c>
      <c r="J520" t="s">
        <v>29</v>
      </c>
      <c r="K520" t="s">
        <v>30</v>
      </c>
      <c r="L520" t="s">
        <v>31</v>
      </c>
      <c r="M520" t="s">
        <v>140</v>
      </c>
      <c r="N520">
        <v>13305</v>
      </c>
      <c r="O520">
        <v>0</v>
      </c>
      <c r="P520">
        <v>0</v>
      </c>
      <c r="Q520" t="str">
        <f t="shared" si="16"/>
        <v>&lt;01</v>
      </c>
      <c r="R520" t="str">
        <f t="shared" si="17"/>
        <v>[zphK9WV8JB4]|&lt;01|Female|POP_EST.T_1|CY2024Q3</v>
      </c>
    </row>
    <row r="521" spans="4:18" x14ac:dyDescent="0.2">
      <c r="D521" t="s">
        <v>81</v>
      </c>
      <c r="E521" t="s">
        <v>82</v>
      </c>
      <c r="F521" t="s">
        <v>83</v>
      </c>
      <c r="G521" t="s">
        <v>138</v>
      </c>
      <c r="H521" t="s">
        <v>139</v>
      </c>
      <c r="I521" t="s">
        <v>33</v>
      </c>
      <c r="J521" t="s">
        <v>34</v>
      </c>
      <c r="K521" t="s">
        <v>30</v>
      </c>
      <c r="L521" t="s">
        <v>31</v>
      </c>
      <c r="M521" t="s">
        <v>140</v>
      </c>
      <c r="N521">
        <v>112583</v>
      </c>
      <c r="O521">
        <v>0</v>
      </c>
      <c r="P521">
        <v>0</v>
      </c>
      <c r="Q521" t="str">
        <f t="shared" si="16"/>
        <v>01-09</v>
      </c>
      <c r="R521" t="str">
        <f t="shared" si="17"/>
        <v>[zphK9WV8JB4]|01-09|Female|POP_EST.T_1|CY2024Q3</v>
      </c>
    </row>
    <row r="522" spans="4:18" x14ac:dyDescent="0.2">
      <c r="D522" t="s">
        <v>81</v>
      </c>
      <c r="E522" t="s">
        <v>82</v>
      </c>
      <c r="F522" t="s">
        <v>83</v>
      </c>
      <c r="G522" t="s">
        <v>138</v>
      </c>
      <c r="H522" t="s">
        <v>139</v>
      </c>
      <c r="I522" t="s">
        <v>36</v>
      </c>
      <c r="J522" t="s">
        <v>37</v>
      </c>
      <c r="K522" t="s">
        <v>30</v>
      </c>
      <c r="L522" t="s">
        <v>31</v>
      </c>
      <c r="M522" t="s">
        <v>140</v>
      </c>
      <c r="N522">
        <v>64644</v>
      </c>
      <c r="O522">
        <v>0</v>
      </c>
      <c r="P522">
        <v>0</v>
      </c>
      <c r="Q522" t="str">
        <f t="shared" si="16"/>
        <v>10-14</v>
      </c>
      <c r="R522" t="str">
        <f t="shared" si="17"/>
        <v>[zphK9WV8JB4]|10-14|Female|POP_EST.T_1|CY2024Q3</v>
      </c>
    </row>
    <row r="523" spans="4:18" x14ac:dyDescent="0.2">
      <c r="D523" t="s">
        <v>81</v>
      </c>
      <c r="E523" t="s">
        <v>82</v>
      </c>
      <c r="F523" t="s">
        <v>83</v>
      </c>
      <c r="G523" t="s">
        <v>138</v>
      </c>
      <c r="H523" t="s">
        <v>139</v>
      </c>
      <c r="I523" t="s">
        <v>38</v>
      </c>
      <c r="J523" t="s">
        <v>39</v>
      </c>
      <c r="K523" t="s">
        <v>30</v>
      </c>
      <c r="L523" t="s">
        <v>31</v>
      </c>
      <c r="M523" t="s">
        <v>140</v>
      </c>
      <c r="N523">
        <v>103534</v>
      </c>
      <c r="O523">
        <v>0</v>
      </c>
      <c r="P523">
        <v>0</v>
      </c>
      <c r="Q523" t="str">
        <f t="shared" si="16"/>
        <v>15-24</v>
      </c>
      <c r="R523" t="str">
        <f t="shared" si="17"/>
        <v>[zphK9WV8JB4]|15-24|Female|POP_EST.T_1|CY2024Q3</v>
      </c>
    </row>
    <row r="524" spans="4:18" x14ac:dyDescent="0.2">
      <c r="D524" t="s">
        <v>81</v>
      </c>
      <c r="E524" t="s">
        <v>82</v>
      </c>
      <c r="F524" t="s">
        <v>83</v>
      </c>
      <c r="G524" t="s">
        <v>138</v>
      </c>
      <c r="H524" t="s">
        <v>139</v>
      </c>
      <c r="I524" t="s">
        <v>41</v>
      </c>
      <c r="J524" t="s">
        <v>42</v>
      </c>
      <c r="K524" t="s">
        <v>30</v>
      </c>
      <c r="L524" t="s">
        <v>31</v>
      </c>
      <c r="M524" t="s">
        <v>140</v>
      </c>
      <c r="N524">
        <v>71556</v>
      </c>
      <c r="O524">
        <v>0</v>
      </c>
      <c r="P524">
        <v>0</v>
      </c>
      <c r="Q524" t="str">
        <f t="shared" si="16"/>
        <v>25-34</v>
      </c>
      <c r="R524" t="str">
        <f t="shared" si="17"/>
        <v>[zphK9WV8JB4]|25-34|Female|POP_EST.T_1|CY2024Q3</v>
      </c>
    </row>
    <row r="525" spans="4:18" x14ac:dyDescent="0.2">
      <c r="D525" t="s">
        <v>81</v>
      </c>
      <c r="E525" t="s">
        <v>82</v>
      </c>
      <c r="F525" t="s">
        <v>83</v>
      </c>
      <c r="G525" t="s">
        <v>138</v>
      </c>
      <c r="H525" t="s">
        <v>139</v>
      </c>
      <c r="I525" t="s">
        <v>43</v>
      </c>
      <c r="J525" t="s">
        <v>44</v>
      </c>
      <c r="K525" t="s">
        <v>30</v>
      </c>
      <c r="L525" t="s">
        <v>31</v>
      </c>
      <c r="M525" t="s">
        <v>140</v>
      </c>
      <c r="N525">
        <v>74814</v>
      </c>
      <c r="O525">
        <v>0</v>
      </c>
      <c r="P525">
        <v>0</v>
      </c>
      <c r="Q525" t="str">
        <f t="shared" si="16"/>
        <v>35-49</v>
      </c>
      <c r="R525" t="str">
        <f t="shared" si="17"/>
        <v>[zphK9WV8JB4]|35-49|Female|POP_EST.T_1|CY2024Q3</v>
      </c>
    </row>
    <row r="526" spans="4:18" x14ac:dyDescent="0.2">
      <c r="D526" t="s">
        <v>81</v>
      </c>
      <c r="E526" t="s">
        <v>82</v>
      </c>
      <c r="F526" t="s">
        <v>83</v>
      </c>
      <c r="G526" t="s">
        <v>138</v>
      </c>
      <c r="H526" t="s">
        <v>139</v>
      </c>
      <c r="I526" t="s">
        <v>45</v>
      </c>
      <c r="J526" t="s">
        <v>46</v>
      </c>
      <c r="K526" t="s">
        <v>30</v>
      </c>
      <c r="L526" t="s">
        <v>31</v>
      </c>
      <c r="M526" t="s">
        <v>140</v>
      </c>
      <c r="N526">
        <v>45668</v>
      </c>
      <c r="O526">
        <v>0</v>
      </c>
      <c r="P526">
        <v>0</v>
      </c>
      <c r="Q526" t="str">
        <f t="shared" si="16"/>
        <v>50+</v>
      </c>
      <c r="R526" t="str">
        <f t="shared" si="17"/>
        <v>[zphK9WV8JB4]|50+|Female|POP_EST.T_1|CY2024Q3</v>
      </c>
    </row>
    <row r="527" spans="4:18" x14ac:dyDescent="0.2">
      <c r="D527" t="s">
        <v>81</v>
      </c>
      <c r="E527" t="s">
        <v>82</v>
      </c>
      <c r="F527" t="s">
        <v>83</v>
      </c>
      <c r="G527" t="s">
        <v>138</v>
      </c>
      <c r="H527" t="s">
        <v>139</v>
      </c>
      <c r="I527" t="s">
        <v>28</v>
      </c>
      <c r="J527" t="s">
        <v>29</v>
      </c>
      <c r="K527" t="s">
        <v>48</v>
      </c>
      <c r="L527" t="s">
        <v>49</v>
      </c>
      <c r="M527" t="s">
        <v>140</v>
      </c>
      <c r="N527">
        <v>13463</v>
      </c>
      <c r="O527">
        <v>0</v>
      </c>
      <c r="P527">
        <v>0</v>
      </c>
      <c r="Q527" t="str">
        <f t="shared" si="16"/>
        <v>&lt;01</v>
      </c>
      <c r="R527" t="str">
        <f t="shared" si="17"/>
        <v>[zphK9WV8JB4]|&lt;01|Male|POP_EST.T_1|CY2024Q3</v>
      </c>
    </row>
    <row r="528" spans="4:18" x14ac:dyDescent="0.2">
      <c r="D528" t="s">
        <v>81</v>
      </c>
      <c r="E528" t="s">
        <v>82</v>
      </c>
      <c r="F528" t="s">
        <v>83</v>
      </c>
      <c r="G528" t="s">
        <v>138</v>
      </c>
      <c r="H528" t="s">
        <v>139</v>
      </c>
      <c r="I528" t="s">
        <v>33</v>
      </c>
      <c r="J528" t="s">
        <v>34</v>
      </c>
      <c r="K528" t="s">
        <v>48</v>
      </c>
      <c r="L528" t="s">
        <v>49</v>
      </c>
      <c r="M528" t="s">
        <v>140</v>
      </c>
      <c r="N528">
        <v>113819</v>
      </c>
      <c r="O528">
        <v>0</v>
      </c>
      <c r="P528">
        <v>0</v>
      </c>
      <c r="Q528" t="str">
        <f t="shared" si="16"/>
        <v>01-09</v>
      </c>
      <c r="R528" t="str">
        <f t="shared" si="17"/>
        <v>[zphK9WV8JB4]|01-09|Male|POP_EST.T_1|CY2024Q3</v>
      </c>
    </row>
    <row r="529" spans="4:18" x14ac:dyDescent="0.2">
      <c r="D529" t="s">
        <v>81</v>
      </c>
      <c r="E529" t="s">
        <v>82</v>
      </c>
      <c r="F529" t="s">
        <v>83</v>
      </c>
      <c r="G529" t="s">
        <v>138</v>
      </c>
      <c r="H529" t="s">
        <v>139</v>
      </c>
      <c r="I529" t="s">
        <v>36</v>
      </c>
      <c r="J529" t="s">
        <v>37</v>
      </c>
      <c r="K529" t="s">
        <v>48</v>
      </c>
      <c r="L529" t="s">
        <v>49</v>
      </c>
      <c r="M529" t="s">
        <v>140</v>
      </c>
      <c r="N529">
        <v>63889</v>
      </c>
      <c r="O529">
        <v>0</v>
      </c>
      <c r="P529">
        <v>0</v>
      </c>
      <c r="Q529" t="str">
        <f t="shared" si="16"/>
        <v>10-14</v>
      </c>
      <c r="R529" t="str">
        <f t="shared" si="17"/>
        <v>[zphK9WV8JB4]|10-14|Male|POP_EST.T_1|CY2024Q3</v>
      </c>
    </row>
    <row r="530" spans="4:18" x14ac:dyDescent="0.2">
      <c r="D530" t="s">
        <v>81</v>
      </c>
      <c r="E530" t="s">
        <v>82</v>
      </c>
      <c r="F530" t="s">
        <v>83</v>
      </c>
      <c r="G530" t="s">
        <v>138</v>
      </c>
      <c r="H530" t="s">
        <v>139</v>
      </c>
      <c r="I530" t="s">
        <v>38</v>
      </c>
      <c r="J530" t="s">
        <v>39</v>
      </c>
      <c r="K530" t="s">
        <v>48</v>
      </c>
      <c r="L530" t="s">
        <v>49</v>
      </c>
      <c r="M530" t="s">
        <v>140</v>
      </c>
      <c r="N530">
        <v>106218</v>
      </c>
      <c r="O530">
        <v>0</v>
      </c>
      <c r="P530">
        <v>0</v>
      </c>
      <c r="Q530" t="str">
        <f t="shared" si="16"/>
        <v>15-24</v>
      </c>
      <c r="R530" t="str">
        <f t="shared" si="17"/>
        <v>[zphK9WV8JB4]|15-24|Male|POP_EST.T_1|CY2024Q3</v>
      </c>
    </row>
    <row r="531" spans="4:18" x14ac:dyDescent="0.2">
      <c r="D531" t="s">
        <v>81</v>
      </c>
      <c r="E531" t="s">
        <v>82</v>
      </c>
      <c r="F531" t="s">
        <v>83</v>
      </c>
      <c r="G531" t="s">
        <v>138</v>
      </c>
      <c r="H531" t="s">
        <v>139</v>
      </c>
      <c r="I531" t="s">
        <v>41</v>
      </c>
      <c r="J531" t="s">
        <v>42</v>
      </c>
      <c r="K531" t="s">
        <v>48</v>
      </c>
      <c r="L531" t="s">
        <v>49</v>
      </c>
      <c r="M531" t="s">
        <v>140</v>
      </c>
      <c r="N531">
        <v>70247</v>
      </c>
      <c r="O531">
        <v>0</v>
      </c>
      <c r="P531">
        <v>0</v>
      </c>
      <c r="Q531" t="str">
        <f t="shared" si="16"/>
        <v>25-34</v>
      </c>
      <c r="R531" t="str">
        <f t="shared" si="17"/>
        <v>[zphK9WV8JB4]|25-34|Male|POP_EST.T_1|CY2024Q3</v>
      </c>
    </row>
    <row r="532" spans="4:18" x14ac:dyDescent="0.2">
      <c r="D532" t="s">
        <v>81</v>
      </c>
      <c r="E532" t="s">
        <v>82</v>
      </c>
      <c r="F532" t="s">
        <v>83</v>
      </c>
      <c r="G532" t="s">
        <v>138</v>
      </c>
      <c r="H532" t="s">
        <v>139</v>
      </c>
      <c r="I532" t="s">
        <v>43</v>
      </c>
      <c r="J532" t="s">
        <v>44</v>
      </c>
      <c r="K532" t="s">
        <v>48</v>
      </c>
      <c r="L532" t="s">
        <v>49</v>
      </c>
      <c r="M532" t="s">
        <v>140</v>
      </c>
      <c r="N532">
        <v>66687</v>
      </c>
      <c r="O532">
        <v>0</v>
      </c>
      <c r="P532">
        <v>0</v>
      </c>
      <c r="Q532" t="str">
        <f t="shared" si="16"/>
        <v>35-49</v>
      </c>
      <c r="R532" t="str">
        <f t="shared" si="17"/>
        <v>[zphK9WV8JB4]|35-49|Male|POP_EST.T_1|CY2024Q3</v>
      </c>
    </row>
    <row r="533" spans="4:18" x14ac:dyDescent="0.2">
      <c r="D533" t="s">
        <v>81</v>
      </c>
      <c r="E533" t="s">
        <v>82</v>
      </c>
      <c r="F533" t="s">
        <v>83</v>
      </c>
      <c r="G533" t="s">
        <v>138</v>
      </c>
      <c r="H533" t="s">
        <v>139</v>
      </c>
      <c r="I533" t="s">
        <v>45</v>
      </c>
      <c r="J533" t="s">
        <v>46</v>
      </c>
      <c r="K533" t="s">
        <v>48</v>
      </c>
      <c r="L533" t="s">
        <v>49</v>
      </c>
      <c r="M533" t="s">
        <v>140</v>
      </c>
      <c r="N533">
        <v>37052</v>
      </c>
      <c r="O533">
        <v>0</v>
      </c>
      <c r="P533">
        <v>0</v>
      </c>
      <c r="Q533" t="str">
        <f t="shared" si="16"/>
        <v>50+</v>
      </c>
      <c r="R533" t="str">
        <f t="shared" si="17"/>
        <v>[zphK9WV8JB4]|50+|Male|POP_EST.T_1|CY2024Q3</v>
      </c>
    </row>
    <row r="534" spans="4:18" x14ac:dyDescent="0.2">
      <c r="D534" t="s">
        <v>84</v>
      </c>
      <c r="E534" t="s">
        <v>85</v>
      </c>
      <c r="F534" t="s">
        <v>86</v>
      </c>
      <c r="G534" t="s">
        <v>138</v>
      </c>
      <c r="H534" t="s">
        <v>139</v>
      </c>
      <c r="I534" t="s">
        <v>28</v>
      </c>
      <c r="J534" t="s">
        <v>29</v>
      </c>
      <c r="K534" t="s">
        <v>30</v>
      </c>
      <c r="L534" t="s">
        <v>31</v>
      </c>
      <c r="M534" t="s">
        <v>140</v>
      </c>
      <c r="N534">
        <v>9912</v>
      </c>
      <c r="O534">
        <v>0</v>
      </c>
      <c r="P534">
        <v>0</v>
      </c>
      <c r="Q534" t="str">
        <f t="shared" si="16"/>
        <v>&lt;01</v>
      </c>
      <c r="R534" t="str">
        <f t="shared" si="17"/>
        <v>[msW2zpIN7up]|&lt;01|Female|POP_EST.T_1|CY2024Q3</v>
      </c>
    </row>
    <row r="535" spans="4:18" x14ac:dyDescent="0.2">
      <c r="D535" t="s">
        <v>84</v>
      </c>
      <c r="E535" t="s">
        <v>85</v>
      </c>
      <c r="F535" t="s">
        <v>86</v>
      </c>
      <c r="G535" t="s">
        <v>138</v>
      </c>
      <c r="H535" t="s">
        <v>139</v>
      </c>
      <c r="I535" t="s">
        <v>33</v>
      </c>
      <c r="J535" t="s">
        <v>34</v>
      </c>
      <c r="K535" t="s">
        <v>30</v>
      </c>
      <c r="L535" t="s">
        <v>31</v>
      </c>
      <c r="M535" t="s">
        <v>140</v>
      </c>
      <c r="N535">
        <v>80270</v>
      </c>
      <c r="O535">
        <v>0</v>
      </c>
      <c r="P535">
        <v>0</v>
      </c>
      <c r="Q535" t="str">
        <f t="shared" si="16"/>
        <v>01-09</v>
      </c>
      <c r="R535" t="str">
        <f t="shared" si="17"/>
        <v>[msW2zpIN7up]|01-09|Female|POP_EST.T_1|CY2024Q3</v>
      </c>
    </row>
    <row r="536" spans="4:18" x14ac:dyDescent="0.2">
      <c r="D536" t="s">
        <v>84</v>
      </c>
      <c r="E536" t="s">
        <v>85</v>
      </c>
      <c r="F536" t="s">
        <v>86</v>
      </c>
      <c r="G536" t="s">
        <v>138</v>
      </c>
      <c r="H536" t="s">
        <v>139</v>
      </c>
      <c r="I536" t="s">
        <v>36</v>
      </c>
      <c r="J536" t="s">
        <v>37</v>
      </c>
      <c r="K536" t="s">
        <v>30</v>
      </c>
      <c r="L536" t="s">
        <v>31</v>
      </c>
      <c r="M536" t="s">
        <v>140</v>
      </c>
      <c r="N536">
        <v>40118</v>
      </c>
      <c r="O536">
        <v>0</v>
      </c>
      <c r="P536">
        <v>0</v>
      </c>
      <c r="Q536" t="str">
        <f t="shared" si="16"/>
        <v>10-14</v>
      </c>
      <c r="R536" t="str">
        <f t="shared" si="17"/>
        <v>[msW2zpIN7up]|10-14|Female|POP_EST.T_1|CY2024Q3</v>
      </c>
    </row>
    <row r="537" spans="4:18" x14ac:dyDescent="0.2">
      <c r="D537" t="s">
        <v>84</v>
      </c>
      <c r="E537" t="s">
        <v>85</v>
      </c>
      <c r="F537" t="s">
        <v>86</v>
      </c>
      <c r="G537" t="s">
        <v>138</v>
      </c>
      <c r="H537" t="s">
        <v>139</v>
      </c>
      <c r="I537" t="s">
        <v>38</v>
      </c>
      <c r="J537" t="s">
        <v>39</v>
      </c>
      <c r="K537" t="s">
        <v>30</v>
      </c>
      <c r="L537" t="s">
        <v>31</v>
      </c>
      <c r="M537" t="s">
        <v>140</v>
      </c>
      <c r="N537">
        <v>65175</v>
      </c>
      <c r="O537">
        <v>0</v>
      </c>
      <c r="P537">
        <v>0</v>
      </c>
      <c r="Q537" t="str">
        <f t="shared" si="16"/>
        <v>15-24</v>
      </c>
      <c r="R537" t="str">
        <f t="shared" si="17"/>
        <v>[msW2zpIN7up]|15-24|Female|POP_EST.T_1|CY2024Q3</v>
      </c>
    </row>
    <row r="538" spans="4:18" x14ac:dyDescent="0.2">
      <c r="D538" t="s">
        <v>84</v>
      </c>
      <c r="E538" t="s">
        <v>85</v>
      </c>
      <c r="F538" t="s">
        <v>86</v>
      </c>
      <c r="G538" t="s">
        <v>138</v>
      </c>
      <c r="H538" t="s">
        <v>139</v>
      </c>
      <c r="I538" t="s">
        <v>41</v>
      </c>
      <c r="J538" t="s">
        <v>42</v>
      </c>
      <c r="K538" t="s">
        <v>30</v>
      </c>
      <c r="L538" t="s">
        <v>31</v>
      </c>
      <c r="M538" t="s">
        <v>140</v>
      </c>
      <c r="N538">
        <v>44531</v>
      </c>
      <c r="O538">
        <v>0</v>
      </c>
      <c r="P538">
        <v>0</v>
      </c>
      <c r="Q538" t="str">
        <f t="shared" si="16"/>
        <v>25-34</v>
      </c>
      <c r="R538" t="str">
        <f t="shared" si="17"/>
        <v>[msW2zpIN7up]|25-34|Female|POP_EST.T_1|CY2024Q3</v>
      </c>
    </row>
    <row r="539" spans="4:18" x14ac:dyDescent="0.2">
      <c r="D539" t="s">
        <v>84</v>
      </c>
      <c r="E539" t="s">
        <v>85</v>
      </c>
      <c r="F539" t="s">
        <v>86</v>
      </c>
      <c r="G539" t="s">
        <v>138</v>
      </c>
      <c r="H539" t="s">
        <v>139</v>
      </c>
      <c r="I539" t="s">
        <v>43</v>
      </c>
      <c r="J539" t="s">
        <v>44</v>
      </c>
      <c r="K539" t="s">
        <v>30</v>
      </c>
      <c r="L539" t="s">
        <v>31</v>
      </c>
      <c r="M539" t="s">
        <v>140</v>
      </c>
      <c r="N539">
        <v>43663</v>
      </c>
      <c r="O539">
        <v>0</v>
      </c>
      <c r="P539">
        <v>0</v>
      </c>
      <c r="Q539" t="str">
        <f t="shared" si="16"/>
        <v>35-49</v>
      </c>
      <c r="R539" t="str">
        <f t="shared" si="17"/>
        <v>[msW2zpIN7up]|35-49|Female|POP_EST.T_1|CY2024Q3</v>
      </c>
    </row>
    <row r="540" spans="4:18" x14ac:dyDescent="0.2">
      <c r="D540" t="s">
        <v>84</v>
      </c>
      <c r="E540" t="s">
        <v>85</v>
      </c>
      <c r="F540" t="s">
        <v>86</v>
      </c>
      <c r="G540" t="s">
        <v>138</v>
      </c>
      <c r="H540" t="s">
        <v>139</v>
      </c>
      <c r="I540" t="s">
        <v>45</v>
      </c>
      <c r="J540" t="s">
        <v>46</v>
      </c>
      <c r="K540" t="s">
        <v>30</v>
      </c>
      <c r="L540" t="s">
        <v>31</v>
      </c>
      <c r="M540" t="s">
        <v>140</v>
      </c>
      <c r="N540">
        <v>24676</v>
      </c>
      <c r="O540">
        <v>0</v>
      </c>
      <c r="P540">
        <v>0</v>
      </c>
      <c r="Q540" t="str">
        <f t="shared" si="16"/>
        <v>50+</v>
      </c>
      <c r="R540" t="str">
        <f t="shared" si="17"/>
        <v>[msW2zpIN7up]|50+|Female|POP_EST.T_1|CY2024Q3</v>
      </c>
    </row>
    <row r="541" spans="4:18" x14ac:dyDescent="0.2">
      <c r="D541" t="s">
        <v>84</v>
      </c>
      <c r="E541" t="s">
        <v>85</v>
      </c>
      <c r="F541" t="s">
        <v>86</v>
      </c>
      <c r="G541" t="s">
        <v>138</v>
      </c>
      <c r="H541" t="s">
        <v>139</v>
      </c>
      <c r="I541" t="s">
        <v>28</v>
      </c>
      <c r="J541" t="s">
        <v>29</v>
      </c>
      <c r="K541" t="s">
        <v>48</v>
      </c>
      <c r="L541" t="s">
        <v>49</v>
      </c>
      <c r="M541" t="s">
        <v>140</v>
      </c>
      <c r="N541">
        <v>10059</v>
      </c>
      <c r="O541">
        <v>0</v>
      </c>
      <c r="P541">
        <v>0</v>
      </c>
      <c r="Q541" t="str">
        <f t="shared" si="16"/>
        <v>&lt;01</v>
      </c>
      <c r="R541" t="str">
        <f t="shared" si="17"/>
        <v>[msW2zpIN7up]|&lt;01|Male|POP_EST.T_1|CY2024Q3</v>
      </c>
    </row>
    <row r="542" spans="4:18" x14ac:dyDescent="0.2">
      <c r="D542" t="s">
        <v>84</v>
      </c>
      <c r="E542" t="s">
        <v>85</v>
      </c>
      <c r="F542" t="s">
        <v>86</v>
      </c>
      <c r="G542" t="s">
        <v>138</v>
      </c>
      <c r="H542" t="s">
        <v>139</v>
      </c>
      <c r="I542" t="s">
        <v>33</v>
      </c>
      <c r="J542" t="s">
        <v>34</v>
      </c>
      <c r="K542" t="s">
        <v>48</v>
      </c>
      <c r="L542" t="s">
        <v>49</v>
      </c>
      <c r="M542" t="s">
        <v>140</v>
      </c>
      <c r="N542">
        <v>80981</v>
      </c>
      <c r="O542">
        <v>0</v>
      </c>
      <c r="P542">
        <v>0</v>
      </c>
      <c r="Q542" t="str">
        <f t="shared" si="16"/>
        <v>01-09</v>
      </c>
      <c r="R542" t="str">
        <f t="shared" si="17"/>
        <v>[msW2zpIN7up]|01-09|Male|POP_EST.T_1|CY2024Q3</v>
      </c>
    </row>
    <row r="543" spans="4:18" x14ac:dyDescent="0.2">
      <c r="D543" t="s">
        <v>84</v>
      </c>
      <c r="E543" t="s">
        <v>85</v>
      </c>
      <c r="F543" t="s">
        <v>86</v>
      </c>
      <c r="G543" t="s">
        <v>138</v>
      </c>
      <c r="H543" t="s">
        <v>139</v>
      </c>
      <c r="I543" t="s">
        <v>36</v>
      </c>
      <c r="J543" t="s">
        <v>37</v>
      </c>
      <c r="K543" t="s">
        <v>48</v>
      </c>
      <c r="L543" t="s">
        <v>49</v>
      </c>
      <c r="M543" t="s">
        <v>140</v>
      </c>
      <c r="N543">
        <v>40590</v>
      </c>
      <c r="O543">
        <v>0</v>
      </c>
      <c r="P543">
        <v>0</v>
      </c>
      <c r="Q543" t="str">
        <f t="shared" si="16"/>
        <v>10-14</v>
      </c>
      <c r="R543" t="str">
        <f t="shared" si="17"/>
        <v>[msW2zpIN7up]|10-14|Male|POP_EST.T_1|CY2024Q3</v>
      </c>
    </row>
    <row r="544" spans="4:18" x14ac:dyDescent="0.2">
      <c r="D544" t="s">
        <v>84</v>
      </c>
      <c r="E544" t="s">
        <v>85</v>
      </c>
      <c r="F544" t="s">
        <v>86</v>
      </c>
      <c r="G544" t="s">
        <v>138</v>
      </c>
      <c r="H544" t="s">
        <v>139</v>
      </c>
      <c r="I544" t="s">
        <v>38</v>
      </c>
      <c r="J544" t="s">
        <v>39</v>
      </c>
      <c r="K544" t="s">
        <v>48</v>
      </c>
      <c r="L544" t="s">
        <v>49</v>
      </c>
      <c r="M544" t="s">
        <v>140</v>
      </c>
      <c r="N544">
        <v>62495</v>
      </c>
      <c r="O544">
        <v>0</v>
      </c>
      <c r="P544">
        <v>0</v>
      </c>
      <c r="Q544" t="str">
        <f t="shared" si="16"/>
        <v>15-24</v>
      </c>
      <c r="R544" t="str">
        <f t="shared" si="17"/>
        <v>[msW2zpIN7up]|15-24|Male|POP_EST.T_1|CY2024Q3</v>
      </c>
    </row>
    <row r="545" spans="4:18" x14ac:dyDescent="0.2">
      <c r="D545" t="s">
        <v>84</v>
      </c>
      <c r="E545" t="s">
        <v>85</v>
      </c>
      <c r="F545" t="s">
        <v>86</v>
      </c>
      <c r="G545" t="s">
        <v>138</v>
      </c>
      <c r="H545" t="s">
        <v>139</v>
      </c>
      <c r="I545" t="s">
        <v>41</v>
      </c>
      <c r="J545" t="s">
        <v>42</v>
      </c>
      <c r="K545" t="s">
        <v>48</v>
      </c>
      <c r="L545" t="s">
        <v>49</v>
      </c>
      <c r="M545" t="s">
        <v>140</v>
      </c>
      <c r="N545">
        <v>39574</v>
      </c>
      <c r="O545">
        <v>0</v>
      </c>
      <c r="P545">
        <v>0</v>
      </c>
      <c r="Q545" t="str">
        <f t="shared" si="16"/>
        <v>25-34</v>
      </c>
      <c r="R545" t="str">
        <f t="shared" si="17"/>
        <v>[msW2zpIN7up]|25-34|Male|POP_EST.T_1|CY2024Q3</v>
      </c>
    </row>
    <row r="546" spans="4:18" x14ac:dyDescent="0.2">
      <c r="D546" t="s">
        <v>84</v>
      </c>
      <c r="E546" t="s">
        <v>85</v>
      </c>
      <c r="F546" t="s">
        <v>86</v>
      </c>
      <c r="G546" t="s">
        <v>138</v>
      </c>
      <c r="H546" t="s">
        <v>139</v>
      </c>
      <c r="I546" t="s">
        <v>43</v>
      </c>
      <c r="J546" t="s">
        <v>44</v>
      </c>
      <c r="K546" t="s">
        <v>48</v>
      </c>
      <c r="L546" t="s">
        <v>49</v>
      </c>
      <c r="M546" t="s">
        <v>140</v>
      </c>
      <c r="N546">
        <v>39162</v>
      </c>
      <c r="O546">
        <v>0</v>
      </c>
      <c r="P546">
        <v>0</v>
      </c>
      <c r="Q546" t="str">
        <f t="shared" si="16"/>
        <v>35-49</v>
      </c>
      <c r="R546" t="str">
        <f t="shared" si="17"/>
        <v>[msW2zpIN7up]|35-49|Male|POP_EST.T_1|CY2024Q3</v>
      </c>
    </row>
    <row r="547" spans="4:18" x14ac:dyDescent="0.2">
      <c r="D547" t="s">
        <v>84</v>
      </c>
      <c r="E547" t="s">
        <v>85</v>
      </c>
      <c r="F547" t="s">
        <v>86</v>
      </c>
      <c r="G547" t="s">
        <v>138</v>
      </c>
      <c r="H547" t="s">
        <v>139</v>
      </c>
      <c r="I547" t="s">
        <v>45</v>
      </c>
      <c r="J547" t="s">
        <v>46</v>
      </c>
      <c r="K547" t="s">
        <v>48</v>
      </c>
      <c r="L547" t="s">
        <v>49</v>
      </c>
      <c r="M547" t="s">
        <v>140</v>
      </c>
      <c r="N547">
        <v>19907</v>
      </c>
      <c r="O547">
        <v>0</v>
      </c>
      <c r="P547">
        <v>0</v>
      </c>
      <c r="Q547" t="str">
        <f t="shared" si="16"/>
        <v>50+</v>
      </c>
      <c r="R547" t="str">
        <f t="shared" si="17"/>
        <v>[msW2zpIN7up]|50+|Male|POP_EST.T_1|CY2024Q3</v>
      </c>
    </row>
    <row r="548" spans="4:18" x14ac:dyDescent="0.2">
      <c r="D548" t="s">
        <v>87</v>
      </c>
      <c r="E548" t="s">
        <v>88</v>
      </c>
      <c r="F548" t="s">
        <v>89</v>
      </c>
      <c r="G548" t="s">
        <v>138</v>
      </c>
      <c r="H548" t="s">
        <v>139</v>
      </c>
      <c r="I548" t="s">
        <v>28</v>
      </c>
      <c r="J548" t="s">
        <v>29</v>
      </c>
      <c r="K548" t="s">
        <v>30</v>
      </c>
      <c r="L548" t="s">
        <v>31</v>
      </c>
      <c r="M548" t="s">
        <v>140</v>
      </c>
      <c r="N548">
        <v>47049</v>
      </c>
      <c r="O548">
        <v>0</v>
      </c>
      <c r="P548">
        <v>0</v>
      </c>
      <c r="Q548" t="str">
        <f t="shared" si="16"/>
        <v>&lt;01</v>
      </c>
      <c r="R548" t="str">
        <f t="shared" si="17"/>
        <v>[ScR9iFKAasW]|&lt;01|Female|POP_EST.T_1|CY2024Q3</v>
      </c>
    </row>
    <row r="549" spans="4:18" x14ac:dyDescent="0.2">
      <c r="D549" t="s">
        <v>87</v>
      </c>
      <c r="E549" t="s">
        <v>88</v>
      </c>
      <c r="F549" t="s">
        <v>89</v>
      </c>
      <c r="G549" t="s">
        <v>138</v>
      </c>
      <c r="H549" t="s">
        <v>139</v>
      </c>
      <c r="I549" t="s">
        <v>33</v>
      </c>
      <c r="J549" t="s">
        <v>34</v>
      </c>
      <c r="K549" t="s">
        <v>30</v>
      </c>
      <c r="L549" t="s">
        <v>31</v>
      </c>
      <c r="M549" t="s">
        <v>140</v>
      </c>
      <c r="N549">
        <v>382622</v>
      </c>
      <c r="O549">
        <v>0</v>
      </c>
      <c r="P549">
        <v>0</v>
      </c>
      <c r="Q549" t="str">
        <f t="shared" si="16"/>
        <v>01-09</v>
      </c>
      <c r="R549" t="str">
        <f t="shared" si="17"/>
        <v>[ScR9iFKAasW]|01-09|Female|POP_EST.T_1|CY2024Q3</v>
      </c>
    </row>
    <row r="550" spans="4:18" x14ac:dyDescent="0.2">
      <c r="D550" t="s">
        <v>87</v>
      </c>
      <c r="E550" t="s">
        <v>88</v>
      </c>
      <c r="F550" t="s">
        <v>89</v>
      </c>
      <c r="G550" t="s">
        <v>138</v>
      </c>
      <c r="H550" t="s">
        <v>139</v>
      </c>
      <c r="I550" t="s">
        <v>36</v>
      </c>
      <c r="J550" t="s">
        <v>37</v>
      </c>
      <c r="K550" t="s">
        <v>30</v>
      </c>
      <c r="L550" t="s">
        <v>31</v>
      </c>
      <c r="M550" t="s">
        <v>140</v>
      </c>
      <c r="N550">
        <v>206463</v>
      </c>
      <c r="O550">
        <v>0</v>
      </c>
      <c r="P550">
        <v>0</v>
      </c>
      <c r="Q550" t="str">
        <f t="shared" si="16"/>
        <v>10-14</v>
      </c>
      <c r="R550" t="str">
        <f t="shared" si="17"/>
        <v>[ScR9iFKAasW]|10-14|Female|POP_EST.T_1|CY2024Q3</v>
      </c>
    </row>
    <row r="551" spans="4:18" x14ac:dyDescent="0.2">
      <c r="D551" t="s">
        <v>87</v>
      </c>
      <c r="E551" t="s">
        <v>88</v>
      </c>
      <c r="F551" t="s">
        <v>89</v>
      </c>
      <c r="G551" t="s">
        <v>138</v>
      </c>
      <c r="H551" t="s">
        <v>139</v>
      </c>
      <c r="I551" t="s">
        <v>38</v>
      </c>
      <c r="J551" t="s">
        <v>39</v>
      </c>
      <c r="K551" t="s">
        <v>30</v>
      </c>
      <c r="L551" t="s">
        <v>31</v>
      </c>
      <c r="M551" t="s">
        <v>140</v>
      </c>
      <c r="N551">
        <v>369366</v>
      </c>
      <c r="O551">
        <v>0</v>
      </c>
      <c r="P551">
        <v>0</v>
      </c>
      <c r="Q551" t="str">
        <f t="shared" si="16"/>
        <v>15-24</v>
      </c>
      <c r="R551" t="str">
        <f t="shared" si="17"/>
        <v>[ScR9iFKAasW]|15-24|Female|POP_EST.T_1|CY2024Q3</v>
      </c>
    </row>
    <row r="552" spans="4:18" x14ac:dyDescent="0.2">
      <c r="D552" t="s">
        <v>87</v>
      </c>
      <c r="E552" t="s">
        <v>88</v>
      </c>
      <c r="F552" t="s">
        <v>89</v>
      </c>
      <c r="G552" t="s">
        <v>138</v>
      </c>
      <c r="H552" t="s">
        <v>139</v>
      </c>
      <c r="I552" t="s">
        <v>41</v>
      </c>
      <c r="J552" t="s">
        <v>42</v>
      </c>
      <c r="K552" t="s">
        <v>30</v>
      </c>
      <c r="L552" t="s">
        <v>31</v>
      </c>
      <c r="M552" t="s">
        <v>140</v>
      </c>
      <c r="N552">
        <v>273125</v>
      </c>
      <c r="O552">
        <v>0</v>
      </c>
      <c r="P552">
        <v>0</v>
      </c>
      <c r="Q552" t="str">
        <f t="shared" si="16"/>
        <v>25-34</v>
      </c>
      <c r="R552" t="str">
        <f t="shared" si="17"/>
        <v>[ScR9iFKAasW]|25-34|Female|POP_EST.T_1|CY2024Q3</v>
      </c>
    </row>
    <row r="553" spans="4:18" x14ac:dyDescent="0.2">
      <c r="D553" t="s">
        <v>87</v>
      </c>
      <c r="E553" t="s">
        <v>88</v>
      </c>
      <c r="F553" t="s">
        <v>89</v>
      </c>
      <c r="G553" t="s">
        <v>138</v>
      </c>
      <c r="H553" t="s">
        <v>139</v>
      </c>
      <c r="I553" t="s">
        <v>43</v>
      </c>
      <c r="J553" t="s">
        <v>44</v>
      </c>
      <c r="K553" t="s">
        <v>30</v>
      </c>
      <c r="L553" t="s">
        <v>31</v>
      </c>
      <c r="M553" t="s">
        <v>140</v>
      </c>
      <c r="N553">
        <v>257561</v>
      </c>
      <c r="O553">
        <v>0</v>
      </c>
      <c r="P553">
        <v>0</v>
      </c>
      <c r="Q553" t="str">
        <f t="shared" si="16"/>
        <v>35-49</v>
      </c>
      <c r="R553" t="str">
        <f t="shared" si="17"/>
        <v>[ScR9iFKAasW]|35-49|Female|POP_EST.T_1|CY2024Q3</v>
      </c>
    </row>
    <row r="554" spans="4:18" x14ac:dyDescent="0.2">
      <c r="D554" t="s">
        <v>87</v>
      </c>
      <c r="E554" t="s">
        <v>88</v>
      </c>
      <c r="F554" t="s">
        <v>89</v>
      </c>
      <c r="G554" t="s">
        <v>138</v>
      </c>
      <c r="H554" t="s">
        <v>139</v>
      </c>
      <c r="I554" t="s">
        <v>45</v>
      </c>
      <c r="J554" t="s">
        <v>46</v>
      </c>
      <c r="K554" t="s">
        <v>30</v>
      </c>
      <c r="L554" t="s">
        <v>31</v>
      </c>
      <c r="M554" t="s">
        <v>140</v>
      </c>
      <c r="N554">
        <v>122571</v>
      </c>
      <c r="O554">
        <v>0</v>
      </c>
      <c r="P554">
        <v>0</v>
      </c>
      <c r="Q554" t="str">
        <f t="shared" si="16"/>
        <v>50+</v>
      </c>
      <c r="R554" t="str">
        <f t="shared" si="17"/>
        <v>[ScR9iFKAasW]|50+|Female|POP_EST.T_1|CY2024Q3</v>
      </c>
    </row>
    <row r="555" spans="4:18" x14ac:dyDescent="0.2">
      <c r="D555" t="s">
        <v>87</v>
      </c>
      <c r="E555" t="s">
        <v>88</v>
      </c>
      <c r="F555" t="s">
        <v>89</v>
      </c>
      <c r="G555" t="s">
        <v>138</v>
      </c>
      <c r="H555" t="s">
        <v>139</v>
      </c>
      <c r="I555" t="s">
        <v>28</v>
      </c>
      <c r="J555" t="s">
        <v>29</v>
      </c>
      <c r="K555" t="s">
        <v>48</v>
      </c>
      <c r="L555" t="s">
        <v>49</v>
      </c>
      <c r="M555" t="s">
        <v>140</v>
      </c>
      <c r="N555">
        <v>46962</v>
      </c>
      <c r="O555">
        <v>0</v>
      </c>
      <c r="P555">
        <v>0</v>
      </c>
      <c r="Q555" t="str">
        <f t="shared" si="16"/>
        <v>&lt;01</v>
      </c>
      <c r="R555" t="str">
        <f t="shared" si="17"/>
        <v>[ScR9iFKAasW]|&lt;01|Male|POP_EST.T_1|CY2024Q3</v>
      </c>
    </row>
    <row r="556" spans="4:18" x14ac:dyDescent="0.2">
      <c r="D556" t="s">
        <v>87</v>
      </c>
      <c r="E556" t="s">
        <v>88</v>
      </c>
      <c r="F556" t="s">
        <v>89</v>
      </c>
      <c r="G556" t="s">
        <v>138</v>
      </c>
      <c r="H556" t="s">
        <v>139</v>
      </c>
      <c r="I556" t="s">
        <v>33</v>
      </c>
      <c r="J556" t="s">
        <v>34</v>
      </c>
      <c r="K556" t="s">
        <v>48</v>
      </c>
      <c r="L556" t="s">
        <v>49</v>
      </c>
      <c r="M556" t="s">
        <v>140</v>
      </c>
      <c r="N556">
        <v>380770</v>
      </c>
      <c r="O556">
        <v>0</v>
      </c>
      <c r="P556">
        <v>0</v>
      </c>
      <c r="Q556" t="str">
        <f t="shared" si="16"/>
        <v>01-09</v>
      </c>
      <c r="R556" t="str">
        <f t="shared" si="17"/>
        <v>[ScR9iFKAasW]|01-09|Male|POP_EST.T_1|CY2024Q3</v>
      </c>
    </row>
    <row r="557" spans="4:18" x14ac:dyDescent="0.2">
      <c r="D557" t="s">
        <v>87</v>
      </c>
      <c r="E557" t="s">
        <v>88</v>
      </c>
      <c r="F557" t="s">
        <v>89</v>
      </c>
      <c r="G557" t="s">
        <v>138</v>
      </c>
      <c r="H557" t="s">
        <v>139</v>
      </c>
      <c r="I557" t="s">
        <v>36</v>
      </c>
      <c r="J557" t="s">
        <v>37</v>
      </c>
      <c r="K557" t="s">
        <v>48</v>
      </c>
      <c r="L557" t="s">
        <v>49</v>
      </c>
      <c r="M557" t="s">
        <v>140</v>
      </c>
      <c r="N557">
        <v>199154</v>
      </c>
      <c r="O557">
        <v>0</v>
      </c>
      <c r="P557">
        <v>0</v>
      </c>
      <c r="Q557" t="str">
        <f t="shared" si="16"/>
        <v>10-14</v>
      </c>
      <c r="R557" t="str">
        <f t="shared" si="17"/>
        <v>[ScR9iFKAasW]|10-14|Male|POP_EST.T_1|CY2024Q3</v>
      </c>
    </row>
    <row r="558" spans="4:18" x14ac:dyDescent="0.2">
      <c r="D558" t="s">
        <v>87</v>
      </c>
      <c r="E558" t="s">
        <v>88</v>
      </c>
      <c r="F558" t="s">
        <v>89</v>
      </c>
      <c r="G558" t="s">
        <v>138</v>
      </c>
      <c r="H558" t="s">
        <v>139</v>
      </c>
      <c r="I558" t="s">
        <v>38</v>
      </c>
      <c r="J558" t="s">
        <v>39</v>
      </c>
      <c r="K558" t="s">
        <v>48</v>
      </c>
      <c r="L558" t="s">
        <v>49</v>
      </c>
      <c r="M558" t="s">
        <v>140</v>
      </c>
      <c r="N558">
        <v>363064</v>
      </c>
      <c r="O558">
        <v>0</v>
      </c>
      <c r="P558">
        <v>0</v>
      </c>
      <c r="Q558" t="str">
        <f t="shared" si="16"/>
        <v>15-24</v>
      </c>
      <c r="R558" t="str">
        <f t="shared" si="17"/>
        <v>[ScR9iFKAasW]|15-24|Male|POP_EST.T_1|CY2024Q3</v>
      </c>
    </row>
    <row r="559" spans="4:18" x14ac:dyDescent="0.2">
      <c r="D559" t="s">
        <v>87</v>
      </c>
      <c r="E559" t="s">
        <v>88</v>
      </c>
      <c r="F559" t="s">
        <v>89</v>
      </c>
      <c r="G559" t="s">
        <v>138</v>
      </c>
      <c r="H559" t="s">
        <v>139</v>
      </c>
      <c r="I559" t="s">
        <v>41</v>
      </c>
      <c r="J559" t="s">
        <v>42</v>
      </c>
      <c r="K559" t="s">
        <v>48</v>
      </c>
      <c r="L559" t="s">
        <v>49</v>
      </c>
      <c r="M559" t="s">
        <v>140</v>
      </c>
      <c r="N559">
        <v>267588</v>
      </c>
      <c r="O559">
        <v>0</v>
      </c>
      <c r="P559">
        <v>0</v>
      </c>
      <c r="Q559" t="str">
        <f t="shared" si="16"/>
        <v>25-34</v>
      </c>
      <c r="R559" t="str">
        <f t="shared" si="17"/>
        <v>[ScR9iFKAasW]|25-34|Male|POP_EST.T_1|CY2024Q3</v>
      </c>
    </row>
    <row r="560" spans="4:18" x14ac:dyDescent="0.2">
      <c r="D560" t="s">
        <v>87</v>
      </c>
      <c r="E560" t="s">
        <v>88</v>
      </c>
      <c r="F560" t="s">
        <v>89</v>
      </c>
      <c r="G560" t="s">
        <v>138</v>
      </c>
      <c r="H560" t="s">
        <v>139</v>
      </c>
      <c r="I560" t="s">
        <v>43</v>
      </c>
      <c r="J560" t="s">
        <v>44</v>
      </c>
      <c r="K560" t="s">
        <v>48</v>
      </c>
      <c r="L560" t="s">
        <v>49</v>
      </c>
      <c r="M560" t="s">
        <v>140</v>
      </c>
      <c r="N560">
        <v>252089</v>
      </c>
      <c r="O560">
        <v>0</v>
      </c>
      <c r="P560">
        <v>0</v>
      </c>
      <c r="Q560" t="str">
        <f t="shared" si="16"/>
        <v>35-49</v>
      </c>
      <c r="R560" t="str">
        <f t="shared" si="17"/>
        <v>[ScR9iFKAasW]|35-49|Male|POP_EST.T_1|CY2024Q3</v>
      </c>
    </row>
    <row r="561" spans="4:18" x14ac:dyDescent="0.2">
      <c r="D561" t="s">
        <v>87</v>
      </c>
      <c r="E561" t="s">
        <v>88</v>
      </c>
      <c r="F561" t="s">
        <v>89</v>
      </c>
      <c r="G561" t="s">
        <v>138</v>
      </c>
      <c r="H561" t="s">
        <v>139</v>
      </c>
      <c r="I561" t="s">
        <v>45</v>
      </c>
      <c r="J561" t="s">
        <v>46</v>
      </c>
      <c r="K561" t="s">
        <v>48</v>
      </c>
      <c r="L561" t="s">
        <v>49</v>
      </c>
      <c r="M561" t="s">
        <v>140</v>
      </c>
      <c r="N561">
        <v>106361</v>
      </c>
      <c r="O561">
        <v>0</v>
      </c>
      <c r="P561">
        <v>0</v>
      </c>
      <c r="Q561" t="str">
        <f t="shared" si="16"/>
        <v>50+</v>
      </c>
      <c r="R561" t="str">
        <f t="shared" si="17"/>
        <v>[ScR9iFKAasW]|50+|Male|POP_EST.T_1|CY2024Q3</v>
      </c>
    </row>
    <row r="562" spans="4:18" x14ac:dyDescent="0.2">
      <c r="D562" t="s">
        <v>90</v>
      </c>
      <c r="E562" t="s">
        <v>91</v>
      </c>
      <c r="F562" t="s">
        <v>92</v>
      </c>
      <c r="G562" t="s">
        <v>138</v>
      </c>
      <c r="H562" t="s">
        <v>139</v>
      </c>
      <c r="I562" t="s">
        <v>28</v>
      </c>
      <c r="J562" t="s">
        <v>29</v>
      </c>
      <c r="K562" t="s">
        <v>30</v>
      </c>
      <c r="L562" t="s">
        <v>31</v>
      </c>
      <c r="M562" t="s">
        <v>140</v>
      </c>
      <c r="N562">
        <v>11115</v>
      </c>
      <c r="O562">
        <v>0</v>
      </c>
      <c r="P562">
        <v>0</v>
      </c>
      <c r="Q562" t="str">
        <f t="shared" si="16"/>
        <v>&lt;01</v>
      </c>
      <c r="R562" t="str">
        <f t="shared" si="17"/>
        <v>[kxuuIFpOXyO]|&lt;01|Female|POP_EST.T_1|CY2024Q3</v>
      </c>
    </row>
    <row r="563" spans="4:18" x14ac:dyDescent="0.2">
      <c r="D563" t="s">
        <v>90</v>
      </c>
      <c r="E563" t="s">
        <v>91</v>
      </c>
      <c r="F563" t="s">
        <v>92</v>
      </c>
      <c r="G563" t="s">
        <v>138</v>
      </c>
      <c r="H563" t="s">
        <v>139</v>
      </c>
      <c r="I563" t="s">
        <v>33</v>
      </c>
      <c r="J563" t="s">
        <v>34</v>
      </c>
      <c r="K563" t="s">
        <v>30</v>
      </c>
      <c r="L563" t="s">
        <v>31</v>
      </c>
      <c r="M563" t="s">
        <v>140</v>
      </c>
      <c r="N563">
        <v>93298</v>
      </c>
      <c r="O563">
        <v>0</v>
      </c>
      <c r="P563">
        <v>0</v>
      </c>
      <c r="Q563" t="str">
        <f t="shared" si="16"/>
        <v>01-09</v>
      </c>
      <c r="R563" t="str">
        <f t="shared" si="17"/>
        <v>[kxuuIFpOXyO]|01-09|Female|POP_EST.T_1|CY2024Q3</v>
      </c>
    </row>
    <row r="564" spans="4:18" x14ac:dyDescent="0.2">
      <c r="D564" t="s">
        <v>90</v>
      </c>
      <c r="E564" t="s">
        <v>91</v>
      </c>
      <c r="F564" t="s">
        <v>92</v>
      </c>
      <c r="G564" t="s">
        <v>138</v>
      </c>
      <c r="H564" t="s">
        <v>139</v>
      </c>
      <c r="I564" t="s">
        <v>36</v>
      </c>
      <c r="J564" t="s">
        <v>37</v>
      </c>
      <c r="K564" t="s">
        <v>30</v>
      </c>
      <c r="L564" t="s">
        <v>31</v>
      </c>
      <c r="M564" t="s">
        <v>140</v>
      </c>
      <c r="N564">
        <v>49750</v>
      </c>
      <c r="O564">
        <v>0</v>
      </c>
      <c r="P564">
        <v>0</v>
      </c>
      <c r="Q564" t="str">
        <f t="shared" si="16"/>
        <v>10-14</v>
      </c>
      <c r="R564" t="str">
        <f t="shared" si="17"/>
        <v>[kxuuIFpOXyO]|10-14|Female|POP_EST.T_1|CY2024Q3</v>
      </c>
    </row>
    <row r="565" spans="4:18" x14ac:dyDescent="0.2">
      <c r="D565" t="s">
        <v>90</v>
      </c>
      <c r="E565" t="s">
        <v>91</v>
      </c>
      <c r="F565" t="s">
        <v>92</v>
      </c>
      <c r="G565" t="s">
        <v>138</v>
      </c>
      <c r="H565" t="s">
        <v>139</v>
      </c>
      <c r="I565" t="s">
        <v>38</v>
      </c>
      <c r="J565" t="s">
        <v>39</v>
      </c>
      <c r="K565" t="s">
        <v>30</v>
      </c>
      <c r="L565" t="s">
        <v>31</v>
      </c>
      <c r="M565" t="s">
        <v>140</v>
      </c>
      <c r="N565">
        <v>78824</v>
      </c>
      <c r="O565">
        <v>0</v>
      </c>
      <c r="P565">
        <v>0</v>
      </c>
      <c r="Q565" t="str">
        <f t="shared" si="16"/>
        <v>15-24</v>
      </c>
      <c r="R565" t="str">
        <f t="shared" si="17"/>
        <v>[kxuuIFpOXyO]|15-24|Female|POP_EST.T_1|CY2024Q3</v>
      </c>
    </row>
    <row r="566" spans="4:18" x14ac:dyDescent="0.2">
      <c r="D566" t="s">
        <v>90</v>
      </c>
      <c r="E566" t="s">
        <v>91</v>
      </c>
      <c r="F566" t="s">
        <v>92</v>
      </c>
      <c r="G566" t="s">
        <v>138</v>
      </c>
      <c r="H566" t="s">
        <v>139</v>
      </c>
      <c r="I566" t="s">
        <v>41</v>
      </c>
      <c r="J566" t="s">
        <v>42</v>
      </c>
      <c r="K566" t="s">
        <v>30</v>
      </c>
      <c r="L566" t="s">
        <v>31</v>
      </c>
      <c r="M566" t="s">
        <v>140</v>
      </c>
      <c r="N566">
        <v>54787</v>
      </c>
      <c r="O566">
        <v>0</v>
      </c>
      <c r="P566">
        <v>0</v>
      </c>
      <c r="Q566" t="str">
        <f t="shared" si="16"/>
        <v>25-34</v>
      </c>
      <c r="R566" t="str">
        <f t="shared" si="17"/>
        <v>[kxuuIFpOXyO]|25-34|Female|POP_EST.T_1|CY2024Q3</v>
      </c>
    </row>
    <row r="567" spans="4:18" x14ac:dyDescent="0.2">
      <c r="D567" t="s">
        <v>90</v>
      </c>
      <c r="E567" t="s">
        <v>91</v>
      </c>
      <c r="F567" t="s">
        <v>92</v>
      </c>
      <c r="G567" t="s">
        <v>138</v>
      </c>
      <c r="H567" t="s">
        <v>139</v>
      </c>
      <c r="I567" t="s">
        <v>43</v>
      </c>
      <c r="J567" t="s">
        <v>44</v>
      </c>
      <c r="K567" t="s">
        <v>30</v>
      </c>
      <c r="L567" t="s">
        <v>31</v>
      </c>
      <c r="M567" t="s">
        <v>140</v>
      </c>
      <c r="N567">
        <v>54449</v>
      </c>
      <c r="O567">
        <v>0</v>
      </c>
      <c r="P567">
        <v>0</v>
      </c>
      <c r="Q567" t="str">
        <f t="shared" si="16"/>
        <v>35-49</v>
      </c>
      <c r="R567" t="str">
        <f t="shared" si="17"/>
        <v>[kxuuIFpOXyO]|35-49|Female|POP_EST.T_1|CY2024Q3</v>
      </c>
    </row>
    <row r="568" spans="4:18" x14ac:dyDescent="0.2">
      <c r="D568" t="s">
        <v>90</v>
      </c>
      <c r="E568" t="s">
        <v>91</v>
      </c>
      <c r="F568" t="s">
        <v>92</v>
      </c>
      <c r="G568" t="s">
        <v>138</v>
      </c>
      <c r="H568" t="s">
        <v>139</v>
      </c>
      <c r="I568" t="s">
        <v>45</v>
      </c>
      <c r="J568" t="s">
        <v>46</v>
      </c>
      <c r="K568" t="s">
        <v>30</v>
      </c>
      <c r="L568" t="s">
        <v>31</v>
      </c>
      <c r="M568" t="s">
        <v>140</v>
      </c>
      <c r="N568">
        <v>29713</v>
      </c>
      <c r="O568">
        <v>0</v>
      </c>
      <c r="P568">
        <v>0</v>
      </c>
      <c r="Q568" t="str">
        <f t="shared" si="16"/>
        <v>50+</v>
      </c>
      <c r="R568" t="str">
        <f t="shared" si="17"/>
        <v>[kxuuIFpOXyO]|50+|Female|POP_EST.T_1|CY2024Q3</v>
      </c>
    </row>
    <row r="569" spans="4:18" x14ac:dyDescent="0.2">
      <c r="D569" t="s">
        <v>90</v>
      </c>
      <c r="E569" t="s">
        <v>91</v>
      </c>
      <c r="F569" t="s">
        <v>92</v>
      </c>
      <c r="G569" t="s">
        <v>138</v>
      </c>
      <c r="H569" t="s">
        <v>139</v>
      </c>
      <c r="I569" t="s">
        <v>28</v>
      </c>
      <c r="J569" t="s">
        <v>29</v>
      </c>
      <c r="K569" t="s">
        <v>48</v>
      </c>
      <c r="L569" t="s">
        <v>49</v>
      </c>
      <c r="M569" t="s">
        <v>140</v>
      </c>
      <c r="N569">
        <v>11021</v>
      </c>
      <c r="O569">
        <v>0</v>
      </c>
      <c r="P569">
        <v>0</v>
      </c>
      <c r="Q569" t="str">
        <f t="shared" si="16"/>
        <v>&lt;01</v>
      </c>
      <c r="R569" t="str">
        <f t="shared" si="17"/>
        <v>[kxuuIFpOXyO]|&lt;01|Male|POP_EST.T_1|CY2024Q3</v>
      </c>
    </row>
    <row r="570" spans="4:18" x14ac:dyDescent="0.2">
      <c r="D570" t="s">
        <v>90</v>
      </c>
      <c r="E570" t="s">
        <v>91</v>
      </c>
      <c r="F570" t="s">
        <v>92</v>
      </c>
      <c r="G570" t="s">
        <v>138</v>
      </c>
      <c r="H570" t="s">
        <v>139</v>
      </c>
      <c r="I570" t="s">
        <v>33</v>
      </c>
      <c r="J570" t="s">
        <v>34</v>
      </c>
      <c r="K570" t="s">
        <v>48</v>
      </c>
      <c r="L570" t="s">
        <v>49</v>
      </c>
      <c r="M570" t="s">
        <v>140</v>
      </c>
      <c r="N570">
        <v>92862</v>
      </c>
      <c r="O570">
        <v>0</v>
      </c>
      <c r="P570">
        <v>0</v>
      </c>
      <c r="Q570" t="str">
        <f t="shared" si="16"/>
        <v>01-09</v>
      </c>
      <c r="R570" t="str">
        <f t="shared" si="17"/>
        <v>[kxuuIFpOXyO]|01-09|Male|POP_EST.T_1|CY2024Q3</v>
      </c>
    </row>
    <row r="571" spans="4:18" x14ac:dyDescent="0.2">
      <c r="D571" t="s">
        <v>90</v>
      </c>
      <c r="E571" t="s">
        <v>91</v>
      </c>
      <c r="F571" t="s">
        <v>92</v>
      </c>
      <c r="G571" t="s">
        <v>138</v>
      </c>
      <c r="H571" t="s">
        <v>139</v>
      </c>
      <c r="I571" t="s">
        <v>36</v>
      </c>
      <c r="J571" t="s">
        <v>37</v>
      </c>
      <c r="K571" t="s">
        <v>48</v>
      </c>
      <c r="L571" t="s">
        <v>49</v>
      </c>
      <c r="M571" t="s">
        <v>140</v>
      </c>
      <c r="N571">
        <v>49600</v>
      </c>
      <c r="O571">
        <v>0</v>
      </c>
      <c r="P571">
        <v>0</v>
      </c>
      <c r="Q571" t="str">
        <f t="shared" si="16"/>
        <v>10-14</v>
      </c>
      <c r="R571" t="str">
        <f t="shared" si="17"/>
        <v>[kxuuIFpOXyO]|10-14|Male|POP_EST.T_1|CY2024Q3</v>
      </c>
    </row>
    <row r="572" spans="4:18" x14ac:dyDescent="0.2">
      <c r="D572" t="s">
        <v>90</v>
      </c>
      <c r="E572" t="s">
        <v>91</v>
      </c>
      <c r="F572" t="s">
        <v>92</v>
      </c>
      <c r="G572" t="s">
        <v>138</v>
      </c>
      <c r="H572" t="s">
        <v>139</v>
      </c>
      <c r="I572" t="s">
        <v>38</v>
      </c>
      <c r="J572" t="s">
        <v>39</v>
      </c>
      <c r="K572" t="s">
        <v>48</v>
      </c>
      <c r="L572" t="s">
        <v>49</v>
      </c>
      <c r="M572" t="s">
        <v>140</v>
      </c>
      <c r="N572">
        <v>79838</v>
      </c>
      <c r="O572">
        <v>0</v>
      </c>
      <c r="P572">
        <v>0</v>
      </c>
      <c r="Q572" t="str">
        <f t="shared" si="16"/>
        <v>15-24</v>
      </c>
      <c r="R572" t="str">
        <f t="shared" si="17"/>
        <v>[kxuuIFpOXyO]|15-24|Male|POP_EST.T_1|CY2024Q3</v>
      </c>
    </row>
    <row r="573" spans="4:18" x14ac:dyDescent="0.2">
      <c r="D573" t="s">
        <v>90</v>
      </c>
      <c r="E573" t="s">
        <v>91</v>
      </c>
      <c r="F573" t="s">
        <v>92</v>
      </c>
      <c r="G573" t="s">
        <v>138</v>
      </c>
      <c r="H573" t="s">
        <v>139</v>
      </c>
      <c r="I573" t="s">
        <v>41</v>
      </c>
      <c r="J573" t="s">
        <v>42</v>
      </c>
      <c r="K573" t="s">
        <v>48</v>
      </c>
      <c r="L573" t="s">
        <v>49</v>
      </c>
      <c r="M573" t="s">
        <v>140</v>
      </c>
      <c r="N573">
        <v>53249</v>
      </c>
      <c r="O573">
        <v>0</v>
      </c>
      <c r="P573">
        <v>0</v>
      </c>
      <c r="Q573" t="str">
        <f t="shared" si="16"/>
        <v>25-34</v>
      </c>
      <c r="R573" t="str">
        <f t="shared" si="17"/>
        <v>[kxuuIFpOXyO]|25-34|Male|POP_EST.T_1|CY2024Q3</v>
      </c>
    </row>
    <row r="574" spans="4:18" x14ac:dyDescent="0.2">
      <c r="D574" t="s">
        <v>90</v>
      </c>
      <c r="E574" t="s">
        <v>91</v>
      </c>
      <c r="F574" t="s">
        <v>92</v>
      </c>
      <c r="G574" t="s">
        <v>138</v>
      </c>
      <c r="H574" t="s">
        <v>139</v>
      </c>
      <c r="I574" t="s">
        <v>43</v>
      </c>
      <c r="J574" t="s">
        <v>44</v>
      </c>
      <c r="K574" t="s">
        <v>48</v>
      </c>
      <c r="L574" t="s">
        <v>49</v>
      </c>
      <c r="M574" t="s">
        <v>140</v>
      </c>
      <c r="N574">
        <v>49726</v>
      </c>
      <c r="O574">
        <v>0</v>
      </c>
      <c r="P574">
        <v>0</v>
      </c>
      <c r="Q574" t="str">
        <f t="shared" si="16"/>
        <v>35-49</v>
      </c>
      <c r="R574" t="str">
        <f t="shared" si="17"/>
        <v>[kxuuIFpOXyO]|35-49|Male|POP_EST.T_1|CY2024Q3</v>
      </c>
    </row>
    <row r="575" spans="4:18" x14ac:dyDescent="0.2">
      <c r="D575" t="s">
        <v>90</v>
      </c>
      <c r="E575" t="s">
        <v>91</v>
      </c>
      <c r="F575" t="s">
        <v>92</v>
      </c>
      <c r="G575" t="s">
        <v>138</v>
      </c>
      <c r="H575" t="s">
        <v>139</v>
      </c>
      <c r="I575" t="s">
        <v>45</v>
      </c>
      <c r="J575" t="s">
        <v>46</v>
      </c>
      <c r="K575" t="s">
        <v>48</v>
      </c>
      <c r="L575" t="s">
        <v>49</v>
      </c>
      <c r="M575" t="s">
        <v>140</v>
      </c>
      <c r="N575">
        <v>25904</v>
      </c>
      <c r="O575">
        <v>0</v>
      </c>
      <c r="P575">
        <v>0</v>
      </c>
      <c r="Q575" t="str">
        <f t="shared" si="16"/>
        <v>50+</v>
      </c>
      <c r="R575" t="str">
        <f t="shared" si="17"/>
        <v>[kxuuIFpOXyO]|50+|Male|POP_EST.T_1|CY2024Q3</v>
      </c>
    </row>
    <row r="576" spans="4:18" x14ac:dyDescent="0.2">
      <c r="D576" t="s">
        <v>93</v>
      </c>
      <c r="E576" t="s">
        <v>94</v>
      </c>
      <c r="F576" t="s">
        <v>95</v>
      </c>
      <c r="G576" t="s">
        <v>138</v>
      </c>
      <c r="H576" t="s">
        <v>139</v>
      </c>
      <c r="I576" t="s">
        <v>28</v>
      </c>
      <c r="J576" t="s">
        <v>29</v>
      </c>
      <c r="K576" t="s">
        <v>30</v>
      </c>
      <c r="L576" t="s">
        <v>31</v>
      </c>
      <c r="M576" t="s">
        <v>140</v>
      </c>
      <c r="N576">
        <v>15085</v>
      </c>
      <c r="O576">
        <v>0</v>
      </c>
      <c r="P576">
        <v>0</v>
      </c>
      <c r="Q576" t="str">
        <f t="shared" si="16"/>
        <v>&lt;01</v>
      </c>
      <c r="R576" t="str">
        <f t="shared" si="17"/>
        <v>[PekKUkKHAzY]|&lt;01|Female|POP_EST.T_1|CY2024Q3</v>
      </c>
    </row>
    <row r="577" spans="4:18" x14ac:dyDescent="0.2">
      <c r="D577" t="s">
        <v>93</v>
      </c>
      <c r="E577" t="s">
        <v>94</v>
      </c>
      <c r="F577" t="s">
        <v>95</v>
      </c>
      <c r="G577" t="s">
        <v>138</v>
      </c>
      <c r="H577" t="s">
        <v>139</v>
      </c>
      <c r="I577" t="s">
        <v>33</v>
      </c>
      <c r="J577" t="s">
        <v>34</v>
      </c>
      <c r="K577" t="s">
        <v>30</v>
      </c>
      <c r="L577" t="s">
        <v>31</v>
      </c>
      <c r="M577" t="s">
        <v>140</v>
      </c>
      <c r="N577">
        <v>125670</v>
      </c>
      <c r="O577">
        <v>0</v>
      </c>
      <c r="P577">
        <v>0</v>
      </c>
      <c r="Q577" t="str">
        <f t="shared" si="16"/>
        <v>01-09</v>
      </c>
      <c r="R577" t="str">
        <f t="shared" si="17"/>
        <v>[PekKUkKHAzY]|01-09|Female|POP_EST.T_1|CY2024Q3</v>
      </c>
    </row>
    <row r="578" spans="4:18" x14ac:dyDescent="0.2">
      <c r="D578" t="s">
        <v>93</v>
      </c>
      <c r="E578" t="s">
        <v>94</v>
      </c>
      <c r="F578" t="s">
        <v>95</v>
      </c>
      <c r="G578" t="s">
        <v>138</v>
      </c>
      <c r="H578" t="s">
        <v>139</v>
      </c>
      <c r="I578" t="s">
        <v>36</v>
      </c>
      <c r="J578" t="s">
        <v>37</v>
      </c>
      <c r="K578" t="s">
        <v>30</v>
      </c>
      <c r="L578" t="s">
        <v>31</v>
      </c>
      <c r="M578" t="s">
        <v>140</v>
      </c>
      <c r="N578">
        <v>66637</v>
      </c>
      <c r="O578">
        <v>0</v>
      </c>
      <c r="P578">
        <v>0</v>
      </c>
      <c r="Q578" t="str">
        <f t="shared" si="16"/>
        <v>10-14</v>
      </c>
      <c r="R578" t="str">
        <f t="shared" si="17"/>
        <v>[PekKUkKHAzY]|10-14|Female|POP_EST.T_1|CY2024Q3</v>
      </c>
    </row>
    <row r="579" spans="4:18" x14ac:dyDescent="0.2">
      <c r="D579" t="s">
        <v>93</v>
      </c>
      <c r="E579" t="s">
        <v>94</v>
      </c>
      <c r="F579" t="s">
        <v>95</v>
      </c>
      <c r="G579" t="s">
        <v>138</v>
      </c>
      <c r="H579" t="s">
        <v>139</v>
      </c>
      <c r="I579" t="s">
        <v>38</v>
      </c>
      <c r="J579" t="s">
        <v>39</v>
      </c>
      <c r="K579" t="s">
        <v>30</v>
      </c>
      <c r="L579" t="s">
        <v>31</v>
      </c>
      <c r="M579" t="s">
        <v>140</v>
      </c>
      <c r="N579">
        <v>109865</v>
      </c>
      <c r="O579">
        <v>0</v>
      </c>
      <c r="P579">
        <v>0</v>
      </c>
      <c r="Q579" t="str">
        <f t="shared" ref="Q579:Q642" si="18">SUBSTITUTE(SUBSTITUTE($I579,CHAR(61),""),CHAR(34),"")</f>
        <v>15-24</v>
      </c>
      <c r="R579" t="str">
        <f t="shared" ref="R579:R642" si="19">IF($D579&lt;&gt;"","["&amp;$E579&amp;"]"&amp;"|"&amp;$Q579&amp;"|"&amp;$K579&amp;"|"&amp;$G579&amp;"|"&amp;IF($G579="TX_CURR_SUBNAT.R","CY2023Q4",$M579),"")</f>
        <v>[PekKUkKHAzY]|15-24|Female|POP_EST.T_1|CY2024Q3</v>
      </c>
    </row>
    <row r="580" spans="4:18" x14ac:dyDescent="0.2">
      <c r="D580" t="s">
        <v>93</v>
      </c>
      <c r="E580" t="s">
        <v>94</v>
      </c>
      <c r="F580" t="s">
        <v>95</v>
      </c>
      <c r="G580" t="s">
        <v>138</v>
      </c>
      <c r="H580" t="s">
        <v>139</v>
      </c>
      <c r="I580" t="s">
        <v>41</v>
      </c>
      <c r="J580" t="s">
        <v>42</v>
      </c>
      <c r="K580" t="s">
        <v>30</v>
      </c>
      <c r="L580" t="s">
        <v>31</v>
      </c>
      <c r="M580" t="s">
        <v>140</v>
      </c>
      <c r="N580">
        <v>76304</v>
      </c>
      <c r="O580">
        <v>0</v>
      </c>
      <c r="P580">
        <v>0</v>
      </c>
      <c r="Q580" t="str">
        <f t="shared" si="18"/>
        <v>25-34</v>
      </c>
      <c r="R580" t="str">
        <f t="shared" si="19"/>
        <v>[PekKUkKHAzY]|25-34|Female|POP_EST.T_1|CY2024Q3</v>
      </c>
    </row>
    <row r="581" spans="4:18" x14ac:dyDescent="0.2">
      <c r="D581" t="s">
        <v>93</v>
      </c>
      <c r="E581" t="s">
        <v>94</v>
      </c>
      <c r="F581" t="s">
        <v>95</v>
      </c>
      <c r="G581" t="s">
        <v>138</v>
      </c>
      <c r="H581" t="s">
        <v>139</v>
      </c>
      <c r="I581" t="s">
        <v>43</v>
      </c>
      <c r="J581" t="s">
        <v>44</v>
      </c>
      <c r="K581" t="s">
        <v>30</v>
      </c>
      <c r="L581" t="s">
        <v>31</v>
      </c>
      <c r="M581" t="s">
        <v>140</v>
      </c>
      <c r="N581">
        <v>79283</v>
      </c>
      <c r="O581">
        <v>0</v>
      </c>
      <c r="P581">
        <v>0</v>
      </c>
      <c r="Q581" t="str">
        <f t="shared" si="18"/>
        <v>35-49</v>
      </c>
      <c r="R581" t="str">
        <f t="shared" si="19"/>
        <v>[PekKUkKHAzY]|35-49|Female|POP_EST.T_1|CY2024Q3</v>
      </c>
    </row>
    <row r="582" spans="4:18" x14ac:dyDescent="0.2">
      <c r="D582" t="s">
        <v>93</v>
      </c>
      <c r="E582" t="s">
        <v>94</v>
      </c>
      <c r="F582" t="s">
        <v>95</v>
      </c>
      <c r="G582" t="s">
        <v>138</v>
      </c>
      <c r="H582" t="s">
        <v>139</v>
      </c>
      <c r="I582" t="s">
        <v>45</v>
      </c>
      <c r="J582" t="s">
        <v>46</v>
      </c>
      <c r="K582" t="s">
        <v>30</v>
      </c>
      <c r="L582" t="s">
        <v>31</v>
      </c>
      <c r="M582" t="s">
        <v>140</v>
      </c>
      <c r="N582">
        <v>51830</v>
      </c>
      <c r="O582">
        <v>0</v>
      </c>
      <c r="P582">
        <v>0</v>
      </c>
      <c r="Q582" t="str">
        <f t="shared" si="18"/>
        <v>50+</v>
      </c>
      <c r="R582" t="str">
        <f t="shared" si="19"/>
        <v>[PekKUkKHAzY]|50+|Female|POP_EST.T_1|CY2024Q3</v>
      </c>
    </row>
    <row r="583" spans="4:18" x14ac:dyDescent="0.2">
      <c r="D583" t="s">
        <v>93</v>
      </c>
      <c r="E583" t="s">
        <v>94</v>
      </c>
      <c r="F583" t="s">
        <v>95</v>
      </c>
      <c r="G583" t="s">
        <v>138</v>
      </c>
      <c r="H583" t="s">
        <v>139</v>
      </c>
      <c r="I583" t="s">
        <v>28</v>
      </c>
      <c r="J583" t="s">
        <v>29</v>
      </c>
      <c r="K583" t="s">
        <v>48</v>
      </c>
      <c r="L583" t="s">
        <v>49</v>
      </c>
      <c r="M583" t="s">
        <v>140</v>
      </c>
      <c r="N583">
        <v>15190</v>
      </c>
      <c r="O583">
        <v>0</v>
      </c>
      <c r="P583">
        <v>0</v>
      </c>
      <c r="Q583" t="str">
        <f t="shared" si="18"/>
        <v>&lt;01</v>
      </c>
      <c r="R583" t="str">
        <f t="shared" si="19"/>
        <v>[PekKUkKHAzY]|&lt;01|Male|POP_EST.T_1|CY2024Q3</v>
      </c>
    </row>
    <row r="584" spans="4:18" x14ac:dyDescent="0.2">
      <c r="D584" t="s">
        <v>93</v>
      </c>
      <c r="E584" t="s">
        <v>94</v>
      </c>
      <c r="F584" t="s">
        <v>95</v>
      </c>
      <c r="G584" t="s">
        <v>138</v>
      </c>
      <c r="H584" t="s">
        <v>139</v>
      </c>
      <c r="I584" t="s">
        <v>33</v>
      </c>
      <c r="J584" t="s">
        <v>34</v>
      </c>
      <c r="K584" t="s">
        <v>48</v>
      </c>
      <c r="L584" t="s">
        <v>49</v>
      </c>
      <c r="M584" t="s">
        <v>140</v>
      </c>
      <c r="N584">
        <v>125918</v>
      </c>
      <c r="O584">
        <v>0</v>
      </c>
      <c r="P584">
        <v>0</v>
      </c>
      <c r="Q584" t="str">
        <f t="shared" si="18"/>
        <v>01-09</v>
      </c>
      <c r="R584" t="str">
        <f t="shared" si="19"/>
        <v>[PekKUkKHAzY]|01-09|Male|POP_EST.T_1|CY2024Q3</v>
      </c>
    </row>
    <row r="585" spans="4:18" x14ac:dyDescent="0.2">
      <c r="D585" t="s">
        <v>93</v>
      </c>
      <c r="E585" t="s">
        <v>94</v>
      </c>
      <c r="F585" t="s">
        <v>95</v>
      </c>
      <c r="G585" t="s">
        <v>138</v>
      </c>
      <c r="H585" t="s">
        <v>139</v>
      </c>
      <c r="I585" t="s">
        <v>36</v>
      </c>
      <c r="J585" t="s">
        <v>37</v>
      </c>
      <c r="K585" t="s">
        <v>48</v>
      </c>
      <c r="L585" t="s">
        <v>49</v>
      </c>
      <c r="M585" t="s">
        <v>140</v>
      </c>
      <c r="N585">
        <v>66760</v>
      </c>
      <c r="O585">
        <v>0</v>
      </c>
      <c r="P585">
        <v>0</v>
      </c>
      <c r="Q585" t="str">
        <f t="shared" si="18"/>
        <v>10-14</v>
      </c>
      <c r="R585" t="str">
        <f t="shared" si="19"/>
        <v>[PekKUkKHAzY]|10-14|Male|POP_EST.T_1|CY2024Q3</v>
      </c>
    </row>
    <row r="586" spans="4:18" x14ac:dyDescent="0.2">
      <c r="D586" t="s">
        <v>93</v>
      </c>
      <c r="E586" t="s">
        <v>94</v>
      </c>
      <c r="F586" t="s">
        <v>95</v>
      </c>
      <c r="G586" t="s">
        <v>138</v>
      </c>
      <c r="H586" t="s">
        <v>139</v>
      </c>
      <c r="I586" t="s">
        <v>38</v>
      </c>
      <c r="J586" t="s">
        <v>39</v>
      </c>
      <c r="K586" t="s">
        <v>48</v>
      </c>
      <c r="L586" t="s">
        <v>49</v>
      </c>
      <c r="M586" t="s">
        <v>140</v>
      </c>
      <c r="N586">
        <v>106127</v>
      </c>
      <c r="O586">
        <v>0</v>
      </c>
      <c r="P586">
        <v>0</v>
      </c>
      <c r="Q586" t="str">
        <f t="shared" si="18"/>
        <v>15-24</v>
      </c>
      <c r="R586" t="str">
        <f t="shared" si="19"/>
        <v>[PekKUkKHAzY]|15-24|Male|POP_EST.T_1|CY2024Q3</v>
      </c>
    </row>
    <row r="587" spans="4:18" x14ac:dyDescent="0.2">
      <c r="D587" t="s">
        <v>93</v>
      </c>
      <c r="E587" t="s">
        <v>94</v>
      </c>
      <c r="F587" t="s">
        <v>95</v>
      </c>
      <c r="G587" t="s">
        <v>138</v>
      </c>
      <c r="H587" t="s">
        <v>139</v>
      </c>
      <c r="I587" t="s">
        <v>41</v>
      </c>
      <c r="J587" t="s">
        <v>42</v>
      </c>
      <c r="K587" t="s">
        <v>48</v>
      </c>
      <c r="L587" t="s">
        <v>49</v>
      </c>
      <c r="M587" t="s">
        <v>140</v>
      </c>
      <c r="N587">
        <v>68603</v>
      </c>
      <c r="O587">
        <v>0</v>
      </c>
      <c r="P587">
        <v>0</v>
      </c>
      <c r="Q587" t="str">
        <f t="shared" si="18"/>
        <v>25-34</v>
      </c>
      <c r="R587" t="str">
        <f t="shared" si="19"/>
        <v>[PekKUkKHAzY]|25-34|Male|POP_EST.T_1|CY2024Q3</v>
      </c>
    </row>
    <row r="588" spans="4:18" x14ac:dyDescent="0.2">
      <c r="D588" t="s">
        <v>93</v>
      </c>
      <c r="E588" t="s">
        <v>94</v>
      </c>
      <c r="F588" t="s">
        <v>95</v>
      </c>
      <c r="G588" t="s">
        <v>138</v>
      </c>
      <c r="H588" t="s">
        <v>139</v>
      </c>
      <c r="I588" t="s">
        <v>43</v>
      </c>
      <c r="J588" t="s">
        <v>44</v>
      </c>
      <c r="K588" t="s">
        <v>48</v>
      </c>
      <c r="L588" t="s">
        <v>49</v>
      </c>
      <c r="M588" t="s">
        <v>140</v>
      </c>
      <c r="N588">
        <v>66362</v>
      </c>
      <c r="O588">
        <v>0</v>
      </c>
      <c r="P588">
        <v>0</v>
      </c>
      <c r="Q588" t="str">
        <f t="shared" si="18"/>
        <v>35-49</v>
      </c>
      <c r="R588" t="str">
        <f t="shared" si="19"/>
        <v>[PekKUkKHAzY]|35-49|Male|POP_EST.T_1|CY2024Q3</v>
      </c>
    </row>
    <row r="589" spans="4:18" x14ac:dyDescent="0.2">
      <c r="D589" t="s">
        <v>93</v>
      </c>
      <c r="E589" t="s">
        <v>94</v>
      </c>
      <c r="F589" t="s">
        <v>95</v>
      </c>
      <c r="G589" t="s">
        <v>138</v>
      </c>
      <c r="H589" t="s">
        <v>139</v>
      </c>
      <c r="I589" t="s">
        <v>45</v>
      </c>
      <c r="J589" t="s">
        <v>46</v>
      </c>
      <c r="K589" t="s">
        <v>48</v>
      </c>
      <c r="L589" t="s">
        <v>49</v>
      </c>
      <c r="M589" t="s">
        <v>140</v>
      </c>
      <c r="N589">
        <v>35890</v>
      </c>
      <c r="O589">
        <v>0</v>
      </c>
      <c r="P589">
        <v>0</v>
      </c>
      <c r="Q589" t="str">
        <f t="shared" si="18"/>
        <v>50+</v>
      </c>
      <c r="R589" t="str">
        <f t="shared" si="19"/>
        <v>[PekKUkKHAzY]|50+|Male|POP_EST.T_1|CY2024Q3</v>
      </c>
    </row>
    <row r="590" spans="4:18" x14ac:dyDescent="0.2">
      <c r="D590" t="s">
        <v>96</v>
      </c>
      <c r="E590" t="s">
        <v>97</v>
      </c>
      <c r="F590" t="s">
        <v>98</v>
      </c>
      <c r="G590" t="s">
        <v>138</v>
      </c>
      <c r="H590" t="s">
        <v>139</v>
      </c>
      <c r="I590" t="s">
        <v>28</v>
      </c>
      <c r="J590" t="s">
        <v>29</v>
      </c>
      <c r="K590" t="s">
        <v>30</v>
      </c>
      <c r="L590" t="s">
        <v>31</v>
      </c>
      <c r="M590" t="s">
        <v>140</v>
      </c>
      <c r="N590">
        <v>11931</v>
      </c>
      <c r="O590">
        <v>0</v>
      </c>
      <c r="P590">
        <v>0</v>
      </c>
      <c r="Q590" t="str">
        <f t="shared" si="18"/>
        <v>&lt;01</v>
      </c>
      <c r="R590" t="str">
        <f t="shared" si="19"/>
        <v>[am530wpaGvr]|&lt;01|Female|POP_EST.T_1|CY2024Q3</v>
      </c>
    </row>
    <row r="591" spans="4:18" x14ac:dyDescent="0.2">
      <c r="D591" t="s">
        <v>96</v>
      </c>
      <c r="E591" t="s">
        <v>97</v>
      </c>
      <c r="F591" t="s">
        <v>98</v>
      </c>
      <c r="G591" t="s">
        <v>138</v>
      </c>
      <c r="H591" t="s">
        <v>139</v>
      </c>
      <c r="I591" t="s">
        <v>33</v>
      </c>
      <c r="J591" t="s">
        <v>34</v>
      </c>
      <c r="K591" t="s">
        <v>30</v>
      </c>
      <c r="L591" t="s">
        <v>31</v>
      </c>
      <c r="M591" t="s">
        <v>140</v>
      </c>
      <c r="N591">
        <v>99048</v>
      </c>
      <c r="O591">
        <v>0</v>
      </c>
      <c r="P591">
        <v>0</v>
      </c>
      <c r="Q591" t="str">
        <f t="shared" si="18"/>
        <v>01-09</v>
      </c>
      <c r="R591" t="str">
        <f t="shared" si="19"/>
        <v>[am530wpaGvr]|01-09|Female|POP_EST.T_1|CY2024Q3</v>
      </c>
    </row>
    <row r="592" spans="4:18" x14ac:dyDescent="0.2">
      <c r="D592" t="s">
        <v>96</v>
      </c>
      <c r="E592" t="s">
        <v>97</v>
      </c>
      <c r="F592" t="s">
        <v>98</v>
      </c>
      <c r="G592" t="s">
        <v>138</v>
      </c>
      <c r="H592" t="s">
        <v>139</v>
      </c>
      <c r="I592" t="s">
        <v>36</v>
      </c>
      <c r="J592" t="s">
        <v>37</v>
      </c>
      <c r="K592" t="s">
        <v>30</v>
      </c>
      <c r="L592" t="s">
        <v>31</v>
      </c>
      <c r="M592" t="s">
        <v>140</v>
      </c>
      <c r="N592">
        <v>53856</v>
      </c>
      <c r="O592">
        <v>0</v>
      </c>
      <c r="P592">
        <v>0</v>
      </c>
      <c r="Q592" t="str">
        <f t="shared" si="18"/>
        <v>10-14</v>
      </c>
      <c r="R592" t="str">
        <f t="shared" si="19"/>
        <v>[am530wpaGvr]|10-14|Female|POP_EST.T_1|CY2024Q3</v>
      </c>
    </row>
    <row r="593" spans="4:18" x14ac:dyDescent="0.2">
      <c r="D593" t="s">
        <v>96</v>
      </c>
      <c r="E593" t="s">
        <v>97</v>
      </c>
      <c r="F593" t="s">
        <v>98</v>
      </c>
      <c r="G593" t="s">
        <v>138</v>
      </c>
      <c r="H593" t="s">
        <v>139</v>
      </c>
      <c r="I593" t="s">
        <v>38</v>
      </c>
      <c r="J593" t="s">
        <v>39</v>
      </c>
      <c r="K593" t="s">
        <v>30</v>
      </c>
      <c r="L593" t="s">
        <v>31</v>
      </c>
      <c r="M593" t="s">
        <v>140</v>
      </c>
      <c r="N593">
        <v>89059</v>
      </c>
      <c r="O593">
        <v>0</v>
      </c>
      <c r="P593">
        <v>0</v>
      </c>
      <c r="Q593" t="str">
        <f t="shared" si="18"/>
        <v>15-24</v>
      </c>
      <c r="R593" t="str">
        <f t="shared" si="19"/>
        <v>[am530wpaGvr]|15-24|Female|POP_EST.T_1|CY2024Q3</v>
      </c>
    </row>
    <row r="594" spans="4:18" x14ac:dyDescent="0.2">
      <c r="D594" t="s">
        <v>96</v>
      </c>
      <c r="E594" t="s">
        <v>97</v>
      </c>
      <c r="F594" t="s">
        <v>98</v>
      </c>
      <c r="G594" t="s">
        <v>138</v>
      </c>
      <c r="H594" t="s">
        <v>139</v>
      </c>
      <c r="I594" t="s">
        <v>41</v>
      </c>
      <c r="J594" t="s">
        <v>42</v>
      </c>
      <c r="K594" t="s">
        <v>30</v>
      </c>
      <c r="L594" t="s">
        <v>31</v>
      </c>
      <c r="M594" t="s">
        <v>140</v>
      </c>
      <c r="N594">
        <v>59017</v>
      </c>
      <c r="O594">
        <v>0</v>
      </c>
      <c r="P594">
        <v>0</v>
      </c>
      <c r="Q594" t="str">
        <f t="shared" si="18"/>
        <v>25-34</v>
      </c>
      <c r="R594" t="str">
        <f t="shared" si="19"/>
        <v>[am530wpaGvr]|25-34|Female|POP_EST.T_1|CY2024Q3</v>
      </c>
    </row>
    <row r="595" spans="4:18" x14ac:dyDescent="0.2">
      <c r="D595" t="s">
        <v>96</v>
      </c>
      <c r="E595" t="s">
        <v>97</v>
      </c>
      <c r="F595" t="s">
        <v>98</v>
      </c>
      <c r="G595" t="s">
        <v>138</v>
      </c>
      <c r="H595" t="s">
        <v>139</v>
      </c>
      <c r="I595" t="s">
        <v>43</v>
      </c>
      <c r="J595" t="s">
        <v>44</v>
      </c>
      <c r="K595" t="s">
        <v>30</v>
      </c>
      <c r="L595" t="s">
        <v>31</v>
      </c>
      <c r="M595" t="s">
        <v>140</v>
      </c>
      <c r="N595">
        <v>62971</v>
      </c>
      <c r="O595">
        <v>0</v>
      </c>
      <c r="P595">
        <v>0</v>
      </c>
      <c r="Q595" t="str">
        <f t="shared" si="18"/>
        <v>35-49</v>
      </c>
      <c r="R595" t="str">
        <f t="shared" si="19"/>
        <v>[am530wpaGvr]|35-49|Female|POP_EST.T_1|CY2024Q3</v>
      </c>
    </row>
    <row r="596" spans="4:18" x14ac:dyDescent="0.2">
      <c r="D596" t="s">
        <v>96</v>
      </c>
      <c r="E596" t="s">
        <v>97</v>
      </c>
      <c r="F596" t="s">
        <v>98</v>
      </c>
      <c r="G596" t="s">
        <v>138</v>
      </c>
      <c r="H596" t="s">
        <v>139</v>
      </c>
      <c r="I596" t="s">
        <v>45</v>
      </c>
      <c r="J596" t="s">
        <v>46</v>
      </c>
      <c r="K596" t="s">
        <v>30</v>
      </c>
      <c r="L596" t="s">
        <v>31</v>
      </c>
      <c r="M596" t="s">
        <v>140</v>
      </c>
      <c r="N596">
        <v>42479</v>
      </c>
      <c r="O596">
        <v>0</v>
      </c>
      <c r="P596">
        <v>0</v>
      </c>
      <c r="Q596" t="str">
        <f t="shared" si="18"/>
        <v>50+</v>
      </c>
      <c r="R596" t="str">
        <f t="shared" si="19"/>
        <v>[am530wpaGvr]|50+|Female|POP_EST.T_1|CY2024Q3</v>
      </c>
    </row>
    <row r="597" spans="4:18" x14ac:dyDescent="0.2">
      <c r="D597" t="s">
        <v>96</v>
      </c>
      <c r="E597" t="s">
        <v>97</v>
      </c>
      <c r="F597" t="s">
        <v>98</v>
      </c>
      <c r="G597" t="s">
        <v>138</v>
      </c>
      <c r="H597" t="s">
        <v>139</v>
      </c>
      <c r="I597" t="s">
        <v>28</v>
      </c>
      <c r="J597" t="s">
        <v>29</v>
      </c>
      <c r="K597" t="s">
        <v>48</v>
      </c>
      <c r="L597" t="s">
        <v>49</v>
      </c>
      <c r="M597" t="s">
        <v>140</v>
      </c>
      <c r="N597">
        <v>12444</v>
      </c>
      <c r="O597">
        <v>0</v>
      </c>
      <c r="P597">
        <v>0</v>
      </c>
      <c r="Q597" t="str">
        <f t="shared" si="18"/>
        <v>&lt;01</v>
      </c>
      <c r="R597" t="str">
        <f t="shared" si="19"/>
        <v>[am530wpaGvr]|&lt;01|Male|POP_EST.T_1|CY2024Q3</v>
      </c>
    </row>
    <row r="598" spans="4:18" x14ac:dyDescent="0.2">
      <c r="D598" t="s">
        <v>96</v>
      </c>
      <c r="E598" t="s">
        <v>97</v>
      </c>
      <c r="F598" t="s">
        <v>98</v>
      </c>
      <c r="G598" t="s">
        <v>138</v>
      </c>
      <c r="H598" t="s">
        <v>139</v>
      </c>
      <c r="I598" t="s">
        <v>33</v>
      </c>
      <c r="J598" t="s">
        <v>34</v>
      </c>
      <c r="K598" t="s">
        <v>48</v>
      </c>
      <c r="L598" t="s">
        <v>49</v>
      </c>
      <c r="M598" t="s">
        <v>140</v>
      </c>
      <c r="N598">
        <v>103038</v>
      </c>
      <c r="O598">
        <v>0</v>
      </c>
      <c r="P598">
        <v>0</v>
      </c>
      <c r="Q598" t="str">
        <f t="shared" si="18"/>
        <v>01-09</v>
      </c>
      <c r="R598" t="str">
        <f t="shared" si="19"/>
        <v>[am530wpaGvr]|01-09|Male|POP_EST.T_1|CY2024Q3</v>
      </c>
    </row>
    <row r="599" spans="4:18" x14ac:dyDescent="0.2">
      <c r="D599" t="s">
        <v>96</v>
      </c>
      <c r="E599" t="s">
        <v>97</v>
      </c>
      <c r="F599" t="s">
        <v>98</v>
      </c>
      <c r="G599" t="s">
        <v>138</v>
      </c>
      <c r="H599" t="s">
        <v>139</v>
      </c>
      <c r="I599" t="s">
        <v>36</v>
      </c>
      <c r="J599" t="s">
        <v>37</v>
      </c>
      <c r="K599" t="s">
        <v>48</v>
      </c>
      <c r="L599" t="s">
        <v>49</v>
      </c>
      <c r="M599" t="s">
        <v>140</v>
      </c>
      <c r="N599">
        <v>55456</v>
      </c>
      <c r="O599">
        <v>0</v>
      </c>
      <c r="P599">
        <v>0</v>
      </c>
      <c r="Q599" t="str">
        <f t="shared" si="18"/>
        <v>10-14</v>
      </c>
      <c r="R599" t="str">
        <f t="shared" si="19"/>
        <v>[am530wpaGvr]|10-14|Male|POP_EST.T_1|CY2024Q3</v>
      </c>
    </row>
    <row r="600" spans="4:18" x14ac:dyDescent="0.2">
      <c r="D600" t="s">
        <v>96</v>
      </c>
      <c r="E600" t="s">
        <v>97</v>
      </c>
      <c r="F600" t="s">
        <v>98</v>
      </c>
      <c r="G600" t="s">
        <v>138</v>
      </c>
      <c r="H600" t="s">
        <v>139</v>
      </c>
      <c r="I600" t="s">
        <v>38</v>
      </c>
      <c r="J600" t="s">
        <v>39</v>
      </c>
      <c r="K600" t="s">
        <v>48</v>
      </c>
      <c r="L600" t="s">
        <v>49</v>
      </c>
      <c r="M600" t="s">
        <v>140</v>
      </c>
      <c r="N600">
        <v>91383</v>
      </c>
      <c r="O600">
        <v>0</v>
      </c>
      <c r="P600">
        <v>0</v>
      </c>
      <c r="Q600" t="str">
        <f t="shared" si="18"/>
        <v>15-24</v>
      </c>
      <c r="R600" t="str">
        <f t="shared" si="19"/>
        <v>[am530wpaGvr]|15-24|Male|POP_EST.T_1|CY2024Q3</v>
      </c>
    </row>
    <row r="601" spans="4:18" x14ac:dyDescent="0.2">
      <c r="D601" t="s">
        <v>96</v>
      </c>
      <c r="E601" t="s">
        <v>97</v>
      </c>
      <c r="F601" t="s">
        <v>98</v>
      </c>
      <c r="G601" t="s">
        <v>138</v>
      </c>
      <c r="H601" t="s">
        <v>139</v>
      </c>
      <c r="I601" t="s">
        <v>41</v>
      </c>
      <c r="J601" t="s">
        <v>42</v>
      </c>
      <c r="K601" t="s">
        <v>48</v>
      </c>
      <c r="L601" t="s">
        <v>49</v>
      </c>
      <c r="M601" t="s">
        <v>140</v>
      </c>
      <c r="N601">
        <v>56371</v>
      </c>
      <c r="O601">
        <v>0</v>
      </c>
      <c r="P601">
        <v>0</v>
      </c>
      <c r="Q601" t="str">
        <f t="shared" si="18"/>
        <v>25-34</v>
      </c>
      <c r="R601" t="str">
        <f t="shared" si="19"/>
        <v>[am530wpaGvr]|25-34|Male|POP_EST.T_1|CY2024Q3</v>
      </c>
    </row>
    <row r="602" spans="4:18" x14ac:dyDescent="0.2">
      <c r="D602" t="s">
        <v>96</v>
      </c>
      <c r="E602" t="s">
        <v>97</v>
      </c>
      <c r="F602" t="s">
        <v>98</v>
      </c>
      <c r="G602" t="s">
        <v>138</v>
      </c>
      <c r="H602" t="s">
        <v>139</v>
      </c>
      <c r="I602" t="s">
        <v>43</v>
      </c>
      <c r="J602" t="s">
        <v>44</v>
      </c>
      <c r="K602" t="s">
        <v>48</v>
      </c>
      <c r="L602" t="s">
        <v>49</v>
      </c>
      <c r="M602" t="s">
        <v>140</v>
      </c>
      <c r="N602">
        <v>54163</v>
      </c>
      <c r="O602">
        <v>0</v>
      </c>
      <c r="P602">
        <v>0</v>
      </c>
      <c r="Q602" t="str">
        <f t="shared" si="18"/>
        <v>35-49</v>
      </c>
      <c r="R602" t="str">
        <f t="shared" si="19"/>
        <v>[am530wpaGvr]|35-49|Male|POP_EST.T_1|CY2024Q3</v>
      </c>
    </row>
    <row r="603" spans="4:18" x14ac:dyDescent="0.2">
      <c r="D603" t="s">
        <v>96</v>
      </c>
      <c r="E603" t="s">
        <v>97</v>
      </c>
      <c r="F603" t="s">
        <v>98</v>
      </c>
      <c r="G603" t="s">
        <v>138</v>
      </c>
      <c r="H603" t="s">
        <v>139</v>
      </c>
      <c r="I603" t="s">
        <v>45</v>
      </c>
      <c r="J603" t="s">
        <v>46</v>
      </c>
      <c r="K603" t="s">
        <v>48</v>
      </c>
      <c r="L603" t="s">
        <v>49</v>
      </c>
      <c r="M603" t="s">
        <v>140</v>
      </c>
      <c r="N603">
        <v>30684</v>
      </c>
      <c r="O603">
        <v>0</v>
      </c>
      <c r="P603">
        <v>0</v>
      </c>
      <c r="Q603" t="str">
        <f t="shared" si="18"/>
        <v>50+</v>
      </c>
      <c r="R603" t="str">
        <f t="shared" si="19"/>
        <v>[am530wpaGvr]|50+|Male|POP_EST.T_1|CY2024Q3</v>
      </c>
    </row>
    <row r="604" spans="4:18" x14ac:dyDescent="0.2">
      <c r="D604" t="s">
        <v>99</v>
      </c>
      <c r="E604" t="s">
        <v>100</v>
      </c>
      <c r="F604" t="s">
        <v>101</v>
      </c>
      <c r="G604" t="s">
        <v>138</v>
      </c>
      <c r="H604" t="s">
        <v>139</v>
      </c>
      <c r="I604" t="s">
        <v>28</v>
      </c>
      <c r="J604" t="s">
        <v>29</v>
      </c>
      <c r="K604" t="s">
        <v>30</v>
      </c>
      <c r="L604" t="s">
        <v>31</v>
      </c>
      <c r="M604" t="s">
        <v>140</v>
      </c>
      <c r="N604">
        <v>28775</v>
      </c>
      <c r="O604">
        <v>0</v>
      </c>
      <c r="P604">
        <v>0</v>
      </c>
      <c r="Q604" t="str">
        <f t="shared" si="18"/>
        <v>&lt;01</v>
      </c>
      <c r="R604" t="str">
        <f t="shared" si="19"/>
        <v>[lLDyBx5XyUi]|&lt;01|Female|POP_EST.T_1|CY2024Q3</v>
      </c>
    </row>
    <row r="605" spans="4:18" x14ac:dyDescent="0.2">
      <c r="D605" t="s">
        <v>99</v>
      </c>
      <c r="E605" t="s">
        <v>100</v>
      </c>
      <c r="F605" t="s">
        <v>101</v>
      </c>
      <c r="G605" t="s">
        <v>138</v>
      </c>
      <c r="H605" t="s">
        <v>139</v>
      </c>
      <c r="I605" t="s">
        <v>33</v>
      </c>
      <c r="J605" t="s">
        <v>34</v>
      </c>
      <c r="K605" t="s">
        <v>30</v>
      </c>
      <c r="L605" t="s">
        <v>31</v>
      </c>
      <c r="M605" t="s">
        <v>140</v>
      </c>
      <c r="N605">
        <v>221841</v>
      </c>
      <c r="O605">
        <v>0</v>
      </c>
      <c r="P605">
        <v>0</v>
      </c>
      <c r="Q605" t="str">
        <f t="shared" si="18"/>
        <v>01-09</v>
      </c>
      <c r="R605" t="str">
        <f t="shared" si="19"/>
        <v>[lLDyBx5XyUi]|01-09|Female|POP_EST.T_1|CY2024Q3</v>
      </c>
    </row>
    <row r="606" spans="4:18" x14ac:dyDescent="0.2">
      <c r="D606" t="s">
        <v>99</v>
      </c>
      <c r="E606" t="s">
        <v>100</v>
      </c>
      <c r="F606" t="s">
        <v>101</v>
      </c>
      <c r="G606" t="s">
        <v>138</v>
      </c>
      <c r="H606" t="s">
        <v>139</v>
      </c>
      <c r="I606" t="s">
        <v>36</v>
      </c>
      <c r="J606" t="s">
        <v>37</v>
      </c>
      <c r="K606" t="s">
        <v>30</v>
      </c>
      <c r="L606" t="s">
        <v>31</v>
      </c>
      <c r="M606" t="s">
        <v>140</v>
      </c>
      <c r="N606">
        <v>91354</v>
      </c>
      <c r="O606">
        <v>0</v>
      </c>
      <c r="P606">
        <v>0</v>
      </c>
      <c r="Q606" t="str">
        <f t="shared" si="18"/>
        <v>10-14</v>
      </c>
      <c r="R606" t="str">
        <f t="shared" si="19"/>
        <v>[lLDyBx5XyUi]|10-14|Female|POP_EST.T_1|CY2024Q3</v>
      </c>
    </row>
    <row r="607" spans="4:18" x14ac:dyDescent="0.2">
      <c r="D607" t="s">
        <v>99</v>
      </c>
      <c r="E607" t="s">
        <v>100</v>
      </c>
      <c r="F607" t="s">
        <v>101</v>
      </c>
      <c r="G607" t="s">
        <v>138</v>
      </c>
      <c r="H607" t="s">
        <v>139</v>
      </c>
      <c r="I607" t="s">
        <v>38</v>
      </c>
      <c r="J607" t="s">
        <v>39</v>
      </c>
      <c r="K607" t="s">
        <v>30</v>
      </c>
      <c r="L607" t="s">
        <v>31</v>
      </c>
      <c r="M607" t="s">
        <v>140</v>
      </c>
      <c r="N607">
        <v>159628</v>
      </c>
      <c r="O607">
        <v>0</v>
      </c>
      <c r="P607">
        <v>0</v>
      </c>
      <c r="Q607" t="str">
        <f t="shared" si="18"/>
        <v>15-24</v>
      </c>
      <c r="R607" t="str">
        <f t="shared" si="19"/>
        <v>[lLDyBx5XyUi]|15-24|Female|POP_EST.T_1|CY2024Q3</v>
      </c>
    </row>
    <row r="608" spans="4:18" x14ac:dyDescent="0.2">
      <c r="D608" t="s">
        <v>99</v>
      </c>
      <c r="E608" t="s">
        <v>100</v>
      </c>
      <c r="F608" t="s">
        <v>101</v>
      </c>
      <c r="G608" t="s">
        <v>138</v>
      </c>
      <c r="H608" t="s">
        <v>139</v>
      </c>
      <c r="I608" t="s">
        <v>41</v>
      </c>
      <c r="J608" t="s">
        <v>42</v>
      </c>
      <c r="K608" t="s">
        <v>30</v>
      </c>
      <c r="L608" t="s">
        <v>31</v>
      </c>
      <c r="M608" t="s">
        <v>140</v>
      </c>
      <c r="N608">
        <v>106616</v>
      </c>
      <c r="O608">
        <v>0</v>
      </c>
      <c r="P608">
        <v>0</v>
      </c>
      <c r="Q608" t="str">
        <f t="shared" si="18"/>
        <v>25-34</v>
      </c>
      <c r="R608" t="str">
        <f t="shared" si="19"/>
        <v>[lLDyBx5XyUi]|25-34|Female|POP_EST.T_1|CY2024Q3</v>
      </c>
    </row>
    <row r="609" spans="4:18" x14ac:dyDescent="0.2">
      <c r="D609" t="s">
        <v>99</v>
      </c>
      <c r="E609" t="s">
        <v>100</v>
      </c>
      <c r="F609" t="s">
        <v>101</v>
      </c>
      <c r="G609" t="s">
        <v>138</v>
      </c>
      <c r="H609" t="s">
        <v>139</v>
      </c>
      <c r="I609" t="s">
        <v>43</v>
      </c>
      <c r="J609" t="s">
        <v>44</v>
      </c>
      <c r="K609" t="s">
        <v>30</v>
      </c>
      <c r="L609" t="s">
        <v>31</v>
      </c>
      <c r="M609" t="s">
        <v>140</v>
      </c>
      <c r="N609">
        <v>99896</v>
      </c>
      <c r="O609">
        <v>0</v>
      </c>
      <c r="P609">
        <v>0</v>
      </c>
      <c r="Q609" t="str">
        <f t="shared" si="18"/>
        <v>35-49</v>
      </c>
      <c r="R609" t="str">
        <f t="shared" si="19"/>
        <v>[lLDyBx5XyUi]|35-49|Female|POP_EST.T_1|CY2024Q3</v>
      </c>
    </row>
    <row r="610" spans="4:18" x14ac:dyDescent="0.2">
      <c r="D610" t="s">
        <v>99</v>
      </c>
      <c r="E610" t="s">
        <v>100</v>
      </c>
      <c r="F610" t="s">
        <v>101</v>
      </c>
      <c r="G610" t="s">
        <v>138</v>
      </c>
      <c r="H610" t="s">
        <v>139</v>
      </c>
      <c r="I610" t="s">
        <v>45</v>
      </c>
      <c r="J610" t="s">
        <v>46</v>
      </c>
      <c r="K610" t="s">
        <v>30</v>
      </c>
      <c r="L610" t="s">
        <v>31</v>
      </c>
      <c r="M610" t="s">
        <v>140</v>
      </c>
      <c r="N610">
        <v>60110</v>
      </c>
      <c r="O610">
        <v>0</v>
      </c>
      <c r="P610">
        <v>0</v>
      </c>
      <c r="Q610" t="str">
        <f t="shared" si="18"/>
        <v>50+</v>
      </c>
      <c r="R610" t="str">
        <f t="shared" si="19"/>
        <v>[lLDyBx5XyUi]|50+|Female|POP_EST.T_1|CY2024Q3</v>
      </c>
    </row>
    <row r="611" spans="4:18" x14ac:dyDescent="0.2">
      <c r="D611" t="s">
        <v>99</v>
      </c>
      <c r="E611" t="s">
        <v>100</v>
      </c>
      <c r="F611" t="s">
        <v>101</v>
      </c>
      <c r="G611" t="s">
        <v>138</v>
      </c>
      <c r="H611" t="s">
        <v>139</v>
      </c>
      <c r="I611" t="s">
        <v>28</v>
      </c>
      <c r="J611" t="s">
        <v>29</v>
      </c>
      <c r="K611" t="s">
        <v>48</v>
      </c>
      <c r="L611" t="s">
        <v>49</v>
      </c>
      <c r="M611" t="s">
        <v>140</v>
      </c>
      <c r="N611">
        <v>28791</v>
      </c>
      <c r="O611">
        <v>0</v>
      </c>
      <c r="P611">
        <v>0</v>
      </c>
      <c r="Q611" t="str">
        <f t="shared" si="18"/>
        <v>&lt;01</v>
      </c>
      <c r="R611" t="str">
        <f t="shared" si="19"/>
        <v>[lLDyBx5XyUi]|&lt;01|Male|POP_EST.T_1|CY2024Q3</v>
      </c>
    </row>
    <row r="612" spans="4:18" x14ac:dyDescent="0.2">
      <c r="D612" t="s">
        <v>99</v>
      </c>
      <c r="E612" t="s">
        <v>100</v>
      </c>
      <c r="F612" t="s">
        <v>101</v>
      </c>
      <c r="G612" t="s">
        <v>138</v>
      </c>
      <c r="H612" t="s">
        <v>139</v>
      </c>
      <c r="I612" t="s">
        <v>33</v>
      </c>
      <c r="J612" t="s">
        <v>34</v>
      </c>
      <c r="K612" t="s">
        <v>48</v>
      </c>
      <c r="L612" t="s">
        <v>49</v>
      </c>
      <c r="M612" t="s">
        <v>140</v>
      </c>
      <c r="N612">
        <v>223067</v>
      </c>
      <c r="O612">
        <v>0</v>
      </c>
      <c r="P612">
        <v>0</v>
      </c>
      <c r="Q612" t="str">
        <f t="shared" si="18"/>
        <v>01-09</v>
      </c>
      <c r="R612" t="str">
        <f t="shared" si="19"/>
        <v>[lLDyBx5XyUi]|01-09|Male|POP_EST.T_1|CY2024Q3</v>
      </c>
    </row>
    <row r="613" spans="4:18" x14ac:dyDescent="0.2">
      <c r="D613" t="s">
        <v>99</v>
      </c>
      <c r="E613" t="s">
        <v>100</v>
      </c>
      <c r="F613" t="s">
        <v>101</v>
      </c>
      <c r="G613" t="s">
        <v>138</v>
      </c>
      <c r="H613" t="s">
        <v>139</v>
      </c>
      <c r="I613" t="s">
        <v>36</v>
      </c>
      <c r="J613" t="s">
        <v>37</v>
      </c>
      <c r="K613" t="s">
        <v>48</v>
      </c>
      <c r="L613" t="s">
        <v>49</v>
      </c>
      <c r="M613" t="s">
        <v>140</v>
      </c>
      <c r="N613">
        <v>93373</v>
      </c>
      <c r="O613">
        <v>0</v>
      </c>
      <c r="P613">
        <v>0</v>
      </c>
      <c r="Q613" t="str">
        <f t="shared" si="18"/>
        <v>10-14</v>
      </c>
      <c r="R613" t="str">
        <f t="shared" si="19"/>
        <v>[lLDyBx5XyUi]|10-14|Male|POP_EST.T_1|CY2024Q3</v>
      </c>
    </row>
    <row r="614" spans="4:18" x14ac:dyDescent="0.2">
      <c r="D614" t="s">
        <v>99</v>
      </c>
      <c r="E614" t="s">
        <v>100</v>
      </c>
      <c r="F614" t="s">
        <v>101</v>
      </c>
      <c r="G614" t="s">
        <v>138</v>
      </c>
      <c r="H614" t="s">
        <v>139</v>
      </c>
      <c r="I614" t="s">
        <v>38</v>
      </c>
      <c r="J614" t="s">
        <v>39</v>
      </c>
      <c r="K614" t="s">
        <v>48</v>
      </c>
      <c r="L614" t="s">
        <v>49</v>
      </c>
      <c r="M614" t="s">
        <v>140</v>
      </c>
      <c r="N614">
        <v>141560</v>
      </c>
      <c r="O614">
        <v>0</v>
      </c>
      <c r="P614">
        <v>0</v>
      </c>
      <c r="Q614" t="str">
        <f t="shared" si="18"/>
        <v>15-24</v>
      </c>
      <c r="R614" t="str">
        <f t="shared" si="19"/>
        <v>[lLDyBx5XyUi]|15-24|Male|POP_EST.T_1|CY2024Q3</v>
      </c>
    </row>
    <row r="615" spans="4:18" x14ac:dyDescent="0.2">
      <c r="D615" t="s">
        <v>99</v>
      </c>
      <c r="E615" t="s">
        <v>100</v>
      </c>
      <c r="F615" t="s">
        <v>101</v>
      </c>
      <c r="G615" t="s">
        <v>138</v>
      </c>
      <c r="H615" t="s">
        <v>139</v>
      </c>
      <c r="I615" t="s">
        <v>41</v>
      </c>
      <c r="J615" t="s">
        <v>42</v>
      </c>
      <c r="K615" t="s">
        <v>48</v>
      </c>
      <c r="L615" t="s">
        <v>49</v>
      </c>
      <c r="M615" t="s">
        <v>140</v>
      </c>
      <c r="N615">
        <v>86099</v>
      </c>
      <c r="O615">
        <v>0</v>
      </c>
      <c r="P615">
        <v>0</v>
      </c>
      <c r="Q615" t="str">
        <f t="shared" si="18"/>
        <v>25-34</v>
      </c>
      <c r="R615" t="str">
        <f t="shared" si="19"/>
        <v>[lLDyBx5XyUi]|25-34|Male|POP_EST.T_1|CY2024Q3</v>
      </c>
    </row>
    <row r="616" spans="4:18" x14ac:dyDescent="0.2">
      <c r="D616" t="s">
        <v>99</v>
      </c>
      <c r="E616" t="s">
        <v>100</v>
      </c>
      <c r="F616" t="s">
        <v>101</v>
      </c>
      <c r="G616" t="s">
        <v>138</v>
      </c>
      <c r="H616" t="s">
        <v>139</v>
      </c>
      <c r="I616" t="s">
        <v>43</v>
      </c>
      <c r="J616" t="s">
        <v>44</v>
      </c>
      <c r="K616" t="s">
        <v>48</v>
      </c>
      <c r="L616" t="s">
        <v>49</v>
      </c>
      <c r="M616" t="s">
        <v>140</v>
      </c>
      <c r="N616">
        <v>79516</v>
      </c>
      <c r="O616">
        <v>0</v>
      </c>
      <c r="P616">
        <v>0</v>
      </c>
      <c r="Q616" t="str">
        <f t="shared" si="18"/>
        <v>35-49</v>
      </c>
      <c r="R616" t="str">
        <f t="shared" si="19"/>
        <v>[lLDyBx5XyUi]|35-49|Male|POP_EST.T_1|CY2024Q3</v>
      </c>
    </row>
    <row r="617" spans="4:18" x14ac:dyDescent="0.2">
      <c r="D617" t="s">
        <v>99</v>
      </c>
      <c r="E617" t="s">
        <v>100</v>
      </c>
      <c r="F617" t="s">
        <v>101</v>
      </c>
      <c r="G617" t="s">
        <v>138</v>
      </c>
      <c r="H617" t="s">
        <v>139</v>
      </c>
      <c r="I617" t="s">
        <v>45</v>
      </c>
      <c r="J617" t="s">
        <v>46</v>
      </c>
      <c r="K617" t="s">
        <v>48</v>
      </c>
      <c r="L617" t="s">
        <v>49</v>
      </c>
      <c r="M617" t="s">
        <v>140</v>
      </c>
      <c r="N617">
        <v>46320</v>
      </c>
      <c r="O617">
        <v>0</v>
      </c>
      <c r="P617">
        <v>0</v>
      </c>
      <c r="Q617" t="str">
        <f t="shared" si="18"/>
        <v>50+</v>
      </c>
      <c r="R617" t="str">
        <f t="shared" si="19"/>
        <v>[lLDyBx5XyUi]|50+|Male|POP_EST.T_1|CY2024Q3</v>
      </c>
    </row>
    <row r="618" spans="4:18" x14ac:dyDescent="0.2">
      <c r="D618" t="s">
        <v>102</v>
      </c>
      <c r="E618" t="s">
        <v>103</v>
      </c>
      <c r="F618" t="s">
        <v>104</v>
      </c>
      <c r="G618" t="s">
        <v>138</v>
      </c>
      <c r="H618" t="s">
        <v>139</v>
      </c>
      <c r="I618" t="s">
        <v>28</v>
      </c>
      <c r="J618" t="s">
        <v>29</v>
      </c>
      <c r="K618" t="s">
        <v>30</v>
      </c>
      <c r="L618" t="s">
        <v>31</v>
      </c>
      <c r="M618" t="s">
        <v>140</v>
      </c>
      <c r="N618">
        <v>17989</v>
      </c>
      <c r="O618">
        <v>0</v>
      </c>
      <c r="P618">
        <v>0</v>
      </c>
      <c r="Q618" t="str">
        <f t="shared" si="18"/>
        <v>&lt;01</v>
      </c>
      <c r="R618" t="str">
        <f t="shared" si="19"/>
        <v>[TYnMSwzko3z]|&lt;01|Female|POP_EST.T_1|CY2024Q3</v>
      </c>
    </row>
    <row r="619" spans="4:18" x14ac:dyDescent="0.2">
      <c r="D619" t="s">
        <v>102</v>
      </c>
      <c r="E619" t="s">
        <v>103</v>
      </c>
      <c r="F619" t="s">
        <v>104</v>
      </c>
      <c r="G619" t="s">
        <v>138</v>
      </c>
      <c r="H619" t="s">
        <v>139</v>
      </c>
      <c r="I619" t="s">
        <v>33</v>
      </c>
      <c r="J619" t="s">
        <v>34</v>
      </c>
      <c r="K619" t="s">
        <v>30</v>
      </c>
      <c r="L619" t="s">
        <v>31</v>
      </c>
      <c r="M619" t="s">
        <v>140</v>
      </c>
      <c r="N619">
        <v>144776</v>
      </c>
      <c r="O619">
        <v>0</v>
      </c>
      <c r="P619">
        <v>0</v>
      </c>
      <c r="Q619" t="str">
        <f t="shared" si="18"/>
        <v>01-09</v>
      </c>
      <c r="R619" t="str">
        <f t="shared" si="19"/>
        <v>[TYnMSwzko3z]|01-09|Female|POP_EST.T_1|CY2024Q3</v>
      </c>
    </row>
    <row r="620" spans="4:18" x14ac:dyDescent="0.2">
      <c r="D620" t="s">
        <v>102</v>
      </c>
      <c r="E620" t="s">
        <v>103</v>
      </c>
      <c r="F620" t="s">
        <v>104</v>
      </c>
      <c r="G620" t="s">
        <v>138</v>
      </c>
      <c r="H620" t="s">
        <v>139</v>
      </c>
      <c r="I620" t="s">
        <v>36</v>
      </c>
      <c r="J620" t="s">
        <v>37</v>
      </c>
      <c r="K620" t="s">
        <v>30</v>
      </c>
      <c r="L620" t="s">
        <v>31</v>
      </c>
      <c r="M620" t="s">
        <v>140</v>
      </c>
      <c r="N620">
        <v>62620</v>
      </c>
      <c r="O620">
        <v>0</v>
      </c>
      <c r="P620">
        <v>0</v>
      </c>
      <c r="Q620" t="str">
        <f t="shared" si="18"/>
        <v>10-14</v>
      </c>
      <c r="R620" t="str">
        <f t="shared" si="19"/>
        <v>[TYnMSwzko3z]|10-14|Female|POP_EST.T_1|CY2024Q3</v>
      </c>
    </row>
    <row r="621" spans="4:18" x14ac:dyDescent="0.2">
      <c r="D621" t="s">
        <v>102</v>
      </c>
      <c r="E621" t="s">
        <v>103</v>
      </c>
      <c r="F621" t="s">
        <v>104</v>
      </c>
      <c r="G621" t="s">
        <v>138</v>
      </c>
      <c r="H621" t="s">
        <v>139</v>
      </c>
      <c r="I621" t="s">
        <v>38</v>
      </c>
      <c r="J621" t="s">
        <v>39</v>
      </c>
      <c r="K621" t="s">
        <v>30</v>
      </c>
      <c r="L621" t="s">
        <v>31</v>
      </c>
      <c r="M621" t="s">
        <v>140</v>
      </c>
      <c r="N621">
        <v>100698</v>
      </c>
      <c r="O621">
        <v>0</v>
      </c>
      <c r="P621">
        <v>0</v>
      </c>
      <c r="Q621" t="str">
        <f t="shared" si="18"/>
        <v>15-24</v>
      </c>
      <c r="R621" t="str">
        <f t="shared" si="19"/>
        <v>[TYnMSwzko3z]|15-24|Female|POP_EST.T_1|CY2024Q3</v>
      </c>
    </row>
    <row r="622" spans="4:18" x14ac:dyDescent="0.2">
      <c r="D622" t="s">
        <v>102</v>
      </c>
      <c r="E622" t="s">
        <v>103</v>
      </c>
      <c r="F622" t="s">
        <v>104</v>
      </c>
      <c r="G622" t="s">
        <v>138</v>
      </c>
      <c r="H622" t="s">
        <v>139</v>
      </c>
      <c r="I622" t="s">
        <v>41</v>
      </c>
      <c r="J622" t="s">
        <v>42</v>
      </c>
      <c r="K622" t="s">
        <v>30</v>
      </c>
      <c r="L622" t="s">
        <v>31</v>
      </c>
      <c r="M622" t="s">
        <v>140</v>
      </c>
      <c r="N622">
        <v>68261</v>
      </c>
      <c r="O622">
        <v>0</v>
      </c>
      <c r="P622">
        <v>0</v>
      </c>
      <c r="Q622" t="str">
        <f t="shared" si="18"/>
        <v>25-34</v>
      </c>
      <c r="R622" t="str">
        <f t="shared" si="19"/>
        <v>[TYnMSwzko3z]|25-34|Female|POP_EST.T_1|CY2024Q3</v>
      </c>
    </row>
    <row r="623" spans="4:18" x14ac:dyDescent="0.2">
      <c r="D623" t="s">
        <v>102</v>
      </c>
      <c r="E623" t="s">
        <v>103</v>
      </c>
      <c r="F623" t="s">
        <v>104</v>
      </c>
      <c r="G623" t="s">
        <v>138</v>
      </c>
      <c r="H623" t="s">
        <v>139</v>
      </c>
      <c r="I623" t="s">
        <v>43</v>
      </c>
      <c r="J623" t="s">
        <v>44</v>
      </c>
      <c r="K623" t="s">
        <v>30</v>
      </c>
      <c r="L623" t="s">
        <v>31</v>
      </c>
      <c r="M623" t="s">
        <v>140</v>
      </c>
      <c r="N623">
        <v>64203</v>
      </c>
      <c r="O623">
        <v>0</v>
      </c>
      <c r="P623">
        <v>0</v>
      </c>
      <c r="Q623" t="str">
        <f t="shared" si="18"/>
        <v>35-49</v>
      </c>
      <c r="R623" t="str">
        <f t="shared" si="19"/>
        <v>[TYnMSwzko3z]|35-49|Female|POP_EST.T_1|CY2024Q3</v>
      </c>
    </row>
    <row r="624" spans="4:18" x14ac:dyDescent="0.2">
      <c r="D624" t="s">
        <v>102</v>
      </c>
      <c r="E624" t="s">
        <v>103</v>
      </c>
      <c r="F624" t="s">
        <v>104</v>
      </c>
      <c r="G624" t="s">
        <v>138</v>
      </c>
      <c r="H624" t="s">
        <v>139</v>
      </c>
      <c r="I624" t="s">
        <v>45</v>
      </c>
      <c r="J624" t="s">
        <v>46</v>
      </c>
      <c r="K624" t="s">
        <v>30</v>
      </c>
      <c r="L624" t="s">
        <v>31</v>
      </c>
      <c r="M624" t="s">
        <v>140</v>
      </c>
      <c r="N624">
        <v>38368</v>
      </c>
      <c r="O624">
        <v>0</v>
      </c>
      <c r="P624">
        <v>0</v>
      </c>
      <c r="Q624" t="str">
        <f t="shared" si="18"/>
        <v>50+</v>
      </c>
      <c r="R624" t="str">
        <f t="shared" si="19"/>
        <v>[TYnMSwzko3z]|50+|Female|POP_EST.T_1|CY2024Q3</v>
      </c>
    </row>
    <row r="625" spans="4:18" x14ac:dyDescent="0.2">
      <c r="D625" t="s">
        <v>102</v>
      </c>
      <c r="E625" t="s">
        <v>103</v>
      </c>
      <c r="F625" t="s">
        <v>104</v>
      </c>
      <c r="G625" t="s">
        <v>138</v>
      </c>
      <c r="H625" t="s">
        <v>139</v>
      </c>
      <c r="I625" t="s">
        <v>28</v>
      </c>
      <c r="J625" t="s">
        <v>29</v>
      </c>
      <c r="K625" t="s">
        <v>48</v>
      </c>
      <c r="L625" t="s">
        <v>49</v>
      </c>
      <c r="M625" t="s">
        <v>140</v>
      </c>
      <c r="N625">
        <v>17939</v>
      </c>
      <c r="O625">
        <v>0</v>
      </c>
      <c r="P625">
        <v>0</v>
      </c>
      <c r="Q625" t="str">
        <f t="shared" si="18"/>
        <v>&lt;01</v>
      </c>
      <c r="R625" t="str">
        <f t="shared" si="19"/>
        <v>[TYnMSwzko3z]|&lt;01|Male|POP_EST.T_1|CY2024Q3</v>
      </c>
    </row>
    <row r="626" spans="4:18" x14ac:dyDescent="0.2">
      <c r="D626" t="s">
        <v>102</v>
      </c>
      <c r="E626" t="s">
        <v>103</v>
      </c>
      <c r="F626" t="s">
        <v>104</v>
      </c>
      <c r="G626" t="s">
        <v>138</v>
      </c>
      <c r="H626" t="s">
        <v>139</v>
      </c>
      <c r="I626" t="s">
        <v>33</v>
      </c>
      <c r="J626" t="s">
        <v>34</v>
      </c>
      <c r="K626" t="s">
        <v>48</v>
      </c>
      <c r="L626" t="s">
        <v>49</v>
      </c>
      <c r="M626" t="s">
        <v>140</v>
      </c>
      <c r="N626">
        <v>144019</v>
      </c>
      <c r="O626">
        <v>0</v>
      </c>
      <c r="P626">
        <v>0</v>
      </c>
      <c r="Q626" t="str">
        <f t="shared" si="18"/>
        <v>01-09</v>
      </c>
      <c r="R626" t="str">
        <f t="shared" si="19"/>
        <v>[TYnMSwzko3z]|01-09|Male|POP_EST.T_1|CY2024Q3</v>
      </c>
    </row>
    <row r="627" spans="4:18" x14ac:dyDescent="0.2">
      <c r="D627" t="s">
        <v>102</v>
      </c>
      <c r="E627" t="s">
        <v>103</v>
      </c>
      <c r="F627" t="s">
        <v>104</v>
      </c>
      <c r="G627" t="s">
        <v>138</v>
      </c>
      <c r="H627" t="s">
        <v>139</v>
      </c>
      <c r="I627" t="s">
        <v>36</v>
      </c>
      <c r="J627" t="s">
        <v>37</v>
      </c>
      <c r="K627" t="s">
        <v>48</v>
      </c>
      <c r="L627" t="s">
        <v>49</v>
      </c>
      <c r="M627" t="s">
        <v>140</v>
      </c>
      <c r="N627">
        <v>62997</v>
      </c>
      <c r="O627">
        <v>0</v>
      </c>
      <c r="P627">
        <v>0</v>
      </c>
      <c r="Q627" t="str">
        <f t="shared" si="18"/>
        <v>10-14</v>
      </c>
      <c r="R627" t="str">
        <f t="shared" si="19"/>
        <v>[TYnMSwzko3z]|10-14|Male|POP_EST.T_1|CY2024Q3</v>
      </c>
    </row>
    <row r="628" spans="4:18" x14ac:dyDescent="0.2">
      <c r="D628" t="s">
        <v>102</v>
      </c>
      <c r="E628" t="s">
        <v>103</v>
      </c>
      <c r="F628" t="s">
        <v>104</v>
      </c>
      <c r="G628" t="s">
        <v>138</v>
      </c>
      <c r="H628" t="s">
        <v>139</v>
      </c>
      <c r="I628" t="s">
        <v>38</v>
      </c>
      <c r="J628" t="s">
        <v>39</v>
      </c>
      <c r="K628" t="s">
        <v>48</v>
      </c>
      <c r="L628" t="s">
        <v>49</v>
      </c>
      <c r="M628" t="s">
        <v>140</v>
      </c>
      <c r="N628">
        <v>93230</v>
      </c>
      <c r="O628">
        <v>0</v>
      </c>
      <c r="P628">
        <v>0</v>
      </c>
      <c r="Q628" t="str">
        <f t="shared" si="18"/>
        <v>15-24</v>
      </c>
      <c r="R628" t="str">
        <f t="shared" si="19"/>
        <v>[TYnMSwzko3z]|15-24|Male|POP_EST.T_1|CY2024Q3</v>
      </c>
    </row>
    <row r="629" spans="4:18" x14ac:dyDescent="0.2">
      <c r="D629" t="s">
        <v>102</v>
      </c>
      <c r="E629" t="s">
        <v>103</v>
      </c>
      <c r="F629" t="s">
        <v>104</v>
      </c>
      <c r="G629" t="s">
        <v>138</v>
      </c>
      <c r="H629" t="s">
        <v>139</v>
      </c>
      <c r="I629" t="s">
        <v>41</v>
      </c>
      <c r="J629" t="s">
        <v>42</v>
      </c>
      <c r="K629" t="s">
        <v>48</v>
      </c>
      <c r="L629" t="s">
        <v>49</v>
      </c>
      <c r="M629" t="s">
        <v>140</v>
      </c>
      <c r="N629">
        <v>55790</v>
      </c>
      <c r="O629">
        <v>0</v>
      </c>
      <c r="P629">
        <v>0</v>
      </c>
      <c r="Q629" t="str">
        <f t="shared" si="18"/>
        <v>25-34</v>
      </c>
      <c r="R629" t="str">
        <f t="shared" si="19"/>
        <v>[TYnMSwzko3z]|25-34|Male|POP_EST.T_1|CY2024Q3</v>
      </c>
    </row>
    <row r="630" spans="4:18" x14ac:dyDescent="0.2">
      <c r="D630" t="s">
        <v>102</v>
      </c>
      <c r="E630" t="s">
        <v>103</v>
      </c>
      <c r="F630" t="s">
        <v>104</v>
      </c>
      <c r="G630" t="s">
        <v>138</v>
      </c>
      <c r="H630" t="s">
        <v>139</v>
      </c>
      <c r="I630" t="s">
        <v>43</v>
      </c>
      <c r="J630" t="s">
        <v>44</v>
      </c>
      <c r="K630" t="s">
        <v>48</v>
      </c>
      <c r="L630" t="s">
        <v>49</v>
      </c>
      <c r="M630" t="s">
        <v>140</v>
      </c>
      <c r="N630">
        <v>51561</v>
      </c>
      <c r="O630">
        <v>0</v>
      </c>
      <c r="P630">
        <v>0</v>
      </c>
      <c r="Q630" t="str">
        <f t="shared" si="18"/>
        <v>35-49</v>
      </c>
      <c r="R630" t="str">
        <f t="shared" si="19"/>
        <v>[TYnMSwzko3z]|35-49|Male|POP_EST.T_1|CY2024Q3</v>
      </c>
    </row>
    <row r="631" spans="4:18" x14ac:dyDescent="0.2">
      <c r="D631" t="s">
        <v>102</v>
      </c>
      <c r="E631" t="s">
        <v>103</v>
      </c>
      <c r="F631" t="s">
        <v>104</v>
      </c>
      <c r="G631" t="s">
        <v>138</v>
      </c>
      <c r="H631" t="s">
        <v>139</v>
      </c>
      <c r="I631" t="s">
        <v>45</v>
      </c>
      <c r="J631" t="s">
        <v>46</v>
      </c>
      <c r="K631" t="s">
        <v>48</v>
      </c>
      <c r="L631" t="s">
        <v>49</v>
      </c>
      <c r="M631" t="s">
        <v>140</v>
      </c>
      <c r="N631">
        <v>30149</v>
      </c>
      <c r="O631">
        <v>0</v>
      </c>
      <c r="P631">
        <v>0</v>
      </c>
      <c r="Q631" t="str">
        <f t="shared" si="18"/>
        <v>50+</v>
      </c>
      <c r="R631" t="str">
        <f t="shared" si="19"/>
        <v>[TYnMSwzko3z]|50+|Male|POP_EST.T_1|CY2024Q3</v>
      </c>
    </row>
    <row r="632" spans="4:18" x14ac:dyDescent="0.2">
      <c r="D632" t="s">
        <v>105</v>
      </c>
      <c r="E632" t="s">
        <v>106</v>
      </c>
      <c r="F632" t="s">
        <v>107</v>
      </c>
      <c r="G632" t="s">
        <v>138</v>
      </c>
      <c r="H632" t="s">
        <v>139</v>
      </c>
      <c r="I632" t="s">
        <v>28</v>
      </c>
      <c r="J632" t="s">
        <v>29</v>
      </c>
      <c r="K632" t="s">
        <v>30</v>
      </c>
      <c r="L632" t="s">
        <v>31</v>
      </c>
      <c r="M632" t="s">
        <v>140</v>
      </c>
      <c r="N632">
        <v>16034</v>
      </c>
      <c r="O632">
        <v>0</v>
      </c>
      <c r="P632">
        <v>0</v>
      </c>
      <c r="Q632" t="str">
        <f t="shared" si="18"/>
        <v>&lt;01</v>
      </c>
      <c r="R632" t="str">
        <f t="shared" si="19"/>
        <v>[fyEoGEPERdI]|&lt;01|Female|POP_EST.T_1|CY2024Q3</v>
      </c>
    </row>
    <row r="633" spans="4:18" x14ac:dyDescent="0.2">
      <c r="D633" t="s">
        <v>105</v>
      </c>
      <c r="E633" t="s">
        <v>106</v>
      </c>
      <c r="F633" t="s">
        <v>107</v>
      </c>
      <c r="G633" t="s">
        <v>138</v>
      </c>
      <c r="H633" t="s">
        <v>139</v>
      </c>
      <c r="I633" t="s">
        <v>33</v>
      </c>
      <c r="J633" t="s">
        <v>34</v>
      </c>
      <c r="K633" t="s">
        <v>30</v>
      </c>
      <c r="L633" t="s">
        <v>31</v>
      </c>
      <c r="M633" t="s">
        <v>140</v>
      </c>
      <c r="N633">
        <v>132738</v>
      </c>
      <c r="O633">
        <v>0</v>
      </c>
      <c r="P633">
        <v>0</v>
      </c>
      <c r="Q633" t="str">
        <f t="shared" si="18"/>
        <v>01-09</v>
      </c>
      <c r="R633" t="str">
        <f t="shared" si="19"/>
        <v>[fyEoGEPERdI]|01-09|Female|POP_EST.T_1|CY2024Q3</v>
      </c>
    </row>
    <row r="634" spans="4:18" x14ac:dyDescent="0.2">
      <c r="D634" t="s">
        <v>105</v>
      </c>
      <c r="E634" t="s">
        <v>106</v>
      </c>
      <c r="F634" t="s">
        <v>107</v>
      </c>
      <c r="G634" t="s">
        <v>138</v>
      </c>
      <c r="H634" t="s">
        <v>139</v>
      </c>
      <c r="I634" t="s">
        <v>36</v>
      </c>
      <c r="J634" t="s">
        <v>37</v>
      </c>
      <c r="K634" t="s">
        <v>30</v>
      </c>
      <c r="L634" t="s">
        <v>31</v>
      </c>
      <c r="M634" t="s">
        <v>140</v>
      </c>
      <c r="N634">
        <v>67070</v>
      </c>
      <c r="O634">
        <v>0</v>
      </c>
      <c r="P634">
        <v>0</v>
      </c>
      <c r="Q634" t="str">
        <f t="shared" si="18"/>
        <v>10-14</v>
      </c>
      <c r="R634" t="str">
        <f t="shared" si="19"/>
        <v>[fyEoGEPERdI]|10-14|Female|POP_EST.T_1|CY2024Q3</v>
      </c>
    </row>
    <row r="635" spans="4:18" x14ac:dyDescent="0.2">
      <c r="D635" t="s">
        <v>105</v>
      </c>
      <c r="E635" t="s">
        <v>106</v>
      </c>
      <c r="F635" t="s">
        <v>107</v>
      </c>
      <c r="G635" t="s">
        <v>138</v>
      </c>
      <c r="H635" t="s">
        <v>139</v>
      </c>
      <c r="I635" t="s">
        <v>38</v>
      </c>
      <c r="J635" t="s">
        <v>39</v>
      </c>
      <c r="K635" t="s">
        <v>30</v>
      </c>
      <c r="L635" t="s">
        <v>31</v>
      </c>
      <c r="M635" t="s">
        <v>140</v>
      </c>
      <c r="N635">
        <v>114375</v>
      </c>
      <c r="O635">
        <v>0</v>
      </c>
      <c r="P635">
        <v>0</v>
      </c>
      <c r="Q635" t="str">
        <f t="shared" si="18"/>
        <v>15-24</v>
      </c>
      <c r="R635" t="str">
        <f t="shared" si="19"/>
        <v>[fyEoGEPERdI]|15-24|Female|POP_EST.T_1|CY2024Q3</v>
      </c>
    </row>
    <row r="636" spans="4:18" x14ac:dyDescent="0.2">
      <c r="D636" t="s">
        <v>105</v>
      </c>
      <c r="E636" t="s">
        <v>106</v>
      </c>
      <c r="F636" t="s">
        <v>107</v>
      </c>
      <c r="G636" t="s">
        <v>138</v>
      </c>
      <c r="H636" t="s">
        <v>139</v>
      </c>
      <c r="I636" t="s">
        <v>41</v>
      </c>
      <c r="J636" t="s">
        <v>42</v>
      </c>
      <c r="K636" t="s">
        <v>30</v>
      </c>
      <c r="L636" t="s">
        <v>31</v>
      </c>
      <c r="M636" t="s">
        <v>140</v>
      </c>
      <c r="N636">
        <v>78033</v>
      </c>
      <c r="O636">
        <v>0</v>
      </c>
      <c r="P636">
        <v>0</v>
      </c>
      <c r="Q636" t="str">
        <f t="shared" si="18"/>
        <v>25-34</v>
      </c>
      <c r="R636" t="str">
        <f t="shared" si="19"/>
        <v>[fyEoGEPERdI]|25-34|Female|POP_EST.T_1|CY2024Q3</v>
      </c>
    </row>
    <row r="637" spans="4:18" x14ac:dyDescent="0.2">
      <c r="D637" t="s">
        <v>105</v>
      </c>
      <c r="E637" t="s">
        <v>106</v>
      </c>
      <c r="F637" t="s">
        <v>107</v>
      </c>
      <c r="G637" t="s">
        <v>138</v>
      </c>
      <c r="H637" t="s">
        <v>139</v>
      </c>
      <c r="I637" t="s">
        <v>43</v>
      </c>
      <c r="J637" t="s">
        <v>44</v>
      </c>
      <c r="K637" t="s">
        <v>30</v>
      </c>
      <c r="L637" t="s">
        <v>31</v>
      </c>
      <c r="M637" t="s">
        <v>140</v>
      </c>
      <c r="N637">
        <v>79543</v>
      </c>
      <c r="O637">
        <v>0</v>
      </c>
      <c r="P637">
        <v>0</v>
      </c>
      <c r="Q637" t="str">
        <f t="shared" si="18"/>
        <v>35-49</v>
      </c>
      <c r="R637" t="str">
        <f t="shared" si="19"/>
        <v>[fyEoGEPERdI]|35-49|Female|POP_EST.T_1|CY2024Q3</v>
      </c>
    </row>
    <row r="638" spans="4:18" x14ac:dyDescent="0.2">
      <c r="D638" t="s">
        <v>105</v>
      </c>
      <c r="E638" t="s">
        <v>106</v>
      </c>
      <c r="F638" t="s">
        <v>107</v>
      </c>
      <c r="G638" t="s">
        <v>138</v>
      </c>
      <c r="H638" t="s">
        <v>139</v>
      </c>
      <c r="I638" t="s">
        <v>45</v>
      </c>
      <c r="J638" t="s">
        <v>46</v>
      </c>
      <c r="K638" t="s">
        <v>30</v>
      </c>
      <c r="L638" t="s">
        <v>31</v>
      </c>
      <c r="M638" t="s">
        <v>140</v>
      </c>
      <c r="N638">
        <v>46614</v>
      </c>
      <c r="O638">
        <v>0</v>
      </c>
      <c r="P638">
        <v>0</v>
      </c>
      <c r="Q638" t="str">
        <f t="shared" si="18"/>
        <v>50+</v>
      </c>
      <c r="R638" t="str">
        <f t="shared" si="19"/>
        <v>[fyEoGEPERdI]|50+|Female|POP_EST.T_1|CY2024Q3</v>
      </c>
    </row>
    <row r="639" spans="4:18" x14ac:dyDescent="0.2">
      <c r="D639" t="s">
        <v>105</v>
      </c>
      <c r="E639" t="s">
        <v>106</v>
      </c>
      <c r="F639" t="s">
        <v>107</v>
      </c>
      <c r="G639" t="s">
        <v>138</v>
      </c>
      <c r="H639" t="s">
        <v>139</v>
      </c>
      <c r="I639" t="s">
        <v>28</v>
      </c>
      <c r="J639" t="s">
        <v>29</v>
      </c>
      <c r="K639" t="s">
        <v>48</v>
      </c>
      <c r="L639" t="s">
        <v>49</v>
      </c>
      <c r="M639" t="s">
        <v>140</v>
      </c>
      <c r="N639">
        <v>16300</v>
      </c>
      <c r="O639">
        <v>0</v>
      </c>
      <c r="P639">
        <v>0</v>
      </c>
      <c r="Q639" t="str">
        <f t="shared" si="18"/>
        <v>&lt;01</v>
      </c>
      <c r="R639" t="str">
        <f t="shared" si="19"/>
        <v>[fyEoGEPERdI]|&lt;01|Male|POP_EST.T_1|CY2024Q3</v>
      </c>
    </row>
    <row r="640" spans="4:18" x14ac:dyDescent="0.2">
      <c r="D640" t="s">
        <v>105</v>
      </c>
      <c r="E640" t="s">
        <v>106</v>
      </c>
      <c r="F640" t="s">
        <v>107</v>
      </c>
      <c r="G640" t="s">
        <v>138</v>
      </c>
      <c r="H640" t="s">
        <v>139</v>
      </c>
      <c r="I640" t="s">
        <v>33</v>
      </c>
      <c r="J640" t="s">
        <v>34</v>
      </c>
      <c r="K640" t="s">
        <v>48</v>
      </c>
      <c r="L640" t="s">
        <v>49</v>
      </c>
      <c r="M640" t="s">
        <v>140</v>
      </c>
      <c r="N640">
        <v>135331</v>
      </c>
      <c r="O640">
        <v>0</v>
      </c>
      <c r="P640">
        <v>0</v>
      </c>
      <c r="Q640" t="str">
        <f t="shared" si="18"/>
        <v>01-09</v>
      </c>
      <c r="R640" t="str">
        <f t="shared" si="19"/>
        <v>[fyEoGEPERdI]|01-09|Male|POP_EST.T_1|CY2024Q3</v>
      </c>
    </row>
    <row r="641" spans="4:18" x14ac:dyDescent="0.2">
      <c r="D641" t="s">
        <v>105</v>
      </c>
      <c r="E641" t="s">
        <v>106</v>
      </c>
      <c r="F641" t="s">
        <v>107</v>
      </c>
      <c r="G641" t="s">
        <v>138</v>
      </c>
      <c r="H641" t="s">
        <v>139</v>
      </c>
      <c r="I641" t="s">
        <v>36</v>
      </c>
      <c r="J641" t="s">
        <v>37</v>
      </c>
      <c r="K641" t="s">
        <v>48</v>
      </c>
      <c r="L641" t="s">
        <v>49</v>
      </c>
      <c r="M641" t="s">
        <v>140</v>
      </c>
      <c r="N641">
        <v>67340</v>
      </c>
      <c r="O641">
        <v>0</v>
      </c>
      <c r="P641">
        <v>0</v>
      </c>
      <c r="Q641" t="str">
        <f t="shared" si="18"/>
        <v>10-14</v>
      </c>
      <c r="R641" t="str">
        <f t="shared" si="19"/>
        <v>[fyEoGEPERdI]|10-14|Male|POP_EST.T_1|CY2024Q3</v>
      </c>
    </row>
    <row r="642" spans="4:18" x14ac:dyDescent="0.2">
      <c r="D642" t="s">
        <v>105</v>
      </c>
      <c r="E642" t="s">
        <v>106</v>
      </c>
      <c r="F642" t="s">
        <v>107</v>
      </c>
      <c r="G642" t="s">
        <v>138</v>
      </c>
      <c r="H642" t="s">
        <v>139</v>
      </c>
      <c r="I642" t="s">
        <v>38</v>
      </c>
      <c r="J642" t="s">
        <v>39</v>
      </c>
      <c r="K642" t="s">
        <v>48</v>
      </c>
      <c r="L642" t="s">
        <v>49</v>
      </c>
      <c r="M642" t="s">
        <v>140</v>
      </c>
      <c r="N642">
        <v>110935</v>
      </c>
      <c r="O642">
        <v>0</v>
      </c>
      <c r="P642">
        <v>0</v>
      </c>
      <c r="Q642" t="str">
        <f t="shared" si="18"/>
        <v>15-24</v>
      </c>
      <c r="R642" t="str">
        <f t="shared" si="19"/>
        <v>[fyEoGEPERdI]|15-24|Male|POP_EST.T_1|CY2024Q3</v>
      </c>
    </row>
    <row r="643" spans="4:18" x14ac:dyDescent="0.2">
      <c r="D643" t="s">
        <v>105</v>
      </c>
      <c r="E643" t="s">
        <v>106</v>
      </c>
      <c r="F643" t="s">
        <v>107</v>
      </c>
      <c r="G643" t="s">
        <v>138</v>
      </c>
      <c r="H643" t="s">
        <v>139</v>
      </c>
      <c r="I643" t="s">
        <v>41</v>
      </c>
      <c r="J643" t="s">
        <v>42</v>
      </c>
      <c r="K643" t="s">
        <v>48</v>
      </c>
      <c r="L643" t="s">
        <v>49</v>
      </c>
      <c r="M643" t="s">
        <v>140</v>
      </c>
      <c r="N643">
        <v>69407</v>
      </c>
      <c r="O643">
        <v>0</v>
      </c>
      <c r="P643">
        <v>0</v>
      </c>
      <c r="Q643" t="str">
        <f t="shared" ref="Q643:Q706" si="20">SUBSTITUTE(SUBSTITUTE($I643,CHAR(61),""),CHAR(34),"")</f>
        <v>25-34</v>
      </c>
      <c r="R643" t="str">
        <f t="shared" ref="R643:R706" si="21">IF($D643&lt;&gt;"","["&amp;$E643&amp;"]"&amp;"|"&amp;$Q643&amp;"|"&amp;$K643&amp;"|"&amp;$G643&amp;"|"&amp;IF($G643="TX_CURR_SUBNAT.R","CY2023Q4",$M643),"")</f>
        <v>[fyEoGEPERdI]|25-34|Male|POP_EST.T_1|CY2024Q3</v>
      </c>
    </row>
    <row r="644" spans="4:18" x14ac:dyDescent="0.2">
      <c r="D644" t="s">
        <v>105</v>
      </c>
      <c r="E644" t="s">
        <v>106</v>
      </c>
      <c r="F644" t="s">
        <v>107</v>
      </c>
      <c r="G644" t="s">
        <v>138</v>
      </c>
      <c r="H644" t="s">
        <v>139</v>
      </c>
      <c r="I644" t="s">
        <v>43</v>
      </c>
      <c r="J644" t="s">
        <v>44</v>
      </c>
      <c r="K644" t="s">
        <v>48</v>
      </c>
      <c r="L644" t="s">
        <v>49</v>
      </c>
      <c r="M644" t="s">
        <v>140</v>
      </c>
      <c r="N644">
        <v>63975</v>
      </c>
      <c r="O644">
        <v>0</v>
      </c>
      <c r="P644">
        <v>0</v>
      </c>
      <c r="Q644" t="str">
        <f t="shared" si="20"/>
        <v>35-49</v>
      </c>
      <c r="R644" t="str">
        <f t="shared" si="21"/>
        <v>[fyEoGEPERdI]|35-49|Male|POP_EST.T_1|CY2024Q3</v>
      </c>
    </row>
    <row r="645" spans="4:18" x14ac:dyDescent="0.2">
      <c r="D645" t="s">
        <v>105</v>
      </c>
      <c r="E645" t="s">
        <v>106</v>
      </c>
      <c r="F645" t="s">
        <v>107</v>
      </c>
      <c r="G645" t="s">
        <v>138</v>
      </c>
      <c r="H645" t="s">
        <v>139</v>
      </c>
      <c r="I645" t="s">
        <v>45</v>
      </c>
      <c r="J645" t="s">
        <v>46</v>
      </c>
      <c r="K645" t="s">
        <v>48</v>
      </c>
      <c r="L645" t="s">
        <v>49</v>
      </c>
      <c r="M645" t="s">
        <v>140</v>
      </c>
      <c r="N645">
        <v>35214</v>
      </c>
      <c r="O645">
        <v>0</v>
      </c>
      <c r="P645">
        <v>0</v>
      </c>
      <c r="Q645" t="str">
        <f t="shared" si="20"/>
        <v>50+</v>
      </c>
      <c r="R645" t="str">
        <f t="shared" si="21"/>
        <v>[fyEoGEPERdI]|50+|Male|POP_EST.T_1|CY2024Q3</v>
      </c>
    </row>
    <row r="646" spans="4:18" x14ac:dyDescent="0.2">
      <c r="D646" t="s">
        <v>108</v>
      </c>
      <c r="E646" t="s">
        <v>109</v>
      </c>
      <c r="F646" t="s">
        <v>110</v>
      </c>
      <c r="G646" t="s">
        <v>138</v>
      </c>
      <c r="H646" t="s">
        <v>139</v>
      </c>
      <c r="I646" t="s">
        <v>28</v>
      </c>
      <c r="J646" t="s">
        <v>29</v>
      </c>
      <c r="K646" t="s">
        <v>30</v>
      </c>
      <c r="L646" t="s">
        <v>31</v>
      </c>
      <c r="M646" t="s">
        <v>140</v>
      </c>
      <c r="N646">
        <v>12620</v>
      </c>
      <c r="O646">
        <v>0</v>
      </c>
      <c r="P646">
        <v>0</v>
      </c>
      <c r="Q646" t="str">
        <f t="shared" si="20"/>
        <v>&lt;01</v>
      </c>
      <c r="R646" t="str">
        <f t="shared" si="21"/>
        <v>[umc2n1Z4wNv]|&lt;01|Female|POP_EST.T_1|CY2024Q3</v>
      </c>
    </row>
    <row r="647" spans="4:18" x14ac:dyDescent="0.2">
      <c r="D647" t="s">
        <v>108</v>
      </c>
      <c r="E647" t="s">
        <v>109</v>
      </c>
      <c r="F647" t="s">
        <v>110</v>
      </c>
      <c r="G647" t="s">
        <v>138</v>
      </c>
      <c r="H647" t="s">
        <v>139</v>
      </c>
      <c r="I647" t="s">
        <v>33</v>
      </c>
      <c r="J647" t="s">
        <v>34</v>
      </c>
      <c r="K647" t="s">
        <v>30</v>
      </c>
      <c r="L647" t="s">
        <v>31</v>
      </c>
      <c r="M647" t="s">
        <v>140</v>
      </c>
      <c r="N647">
        <v>104545</v>
      </c>
      <c r="O647">
        <v>0</v>
      </c>
      <c r="P647">
        <v>0</v>
      </c>
      <c r="Q647" t="str">
        <f t="shared" si="20"/>
        <v>01-09</v>
      </c>
      <c r="R647" t="str">
        <f t="shared" si="21"/>
        <v>[umc2n1Z4wNv]|01-09|Female|POP_EST.T_1|CY2024Q3</v>
      </c>
    </row>
    <row r="648" spans="4:18" x14ac:dyDescent="0.2">
      <c r="D648" t="s">
        <v>108</v>
      </c>
      <c r="E648" t="s">
        <v>109</v>
      </c>
      <c r="F648" t="s">
        <v>110</v>
      </c>
      <c r="G648" t="s">
        <v>138</v>
      </c>
      <c r="H648" t="s">
        <v>139</v>
      </c>
      <c r="I648" t="s">
        <v>36</v>
      </c>
      <c r="J648" t="s">
        <v>37</v>
      </c>
      <c r="K648" t="s">
        <v>30</v>
      </c>
      <c r="L648" t="s">
        <v>31</v>
      </c>
      <c r="M648" t="s">
        <v>140</v>
      </c>
      <c r="N648">
        <v>54585</v>
      </c>
      <c r="O648">
        <v>0</v>
      </c>
      <c r="P648">
        <v>0</v>
      </c>
      <c r="Q648" t="str">
        <f t="shared" si="20"/>
        <v>10-14</v>
      </c>
      <c r="R648" t="str">
        <f t="shared" si="21"/>
        <v>[umc2n1Z4wNv]|10-14|Female|POP_EST.T_1|CY2024Q3</v>
      </c>
    </row>
    <row r="649" spans="4:18" x14ac:dyDescent="0.2">
      <c r="D649" t="s">
        <v>108</v>
      </c>
      <c r="E649" t="s">
        <v>109</v>
      </c>
      <c r="F649" t="s">
        <v>110</v>
      </c>
      <c r="G649" t="s">
        <v>138</v>
      </c>
      <c r="H649" t="s">
        <v>139</v>
      </c>
      <c r="I649" t="s">
        <v>38</v>
      </c>
      <c r="J649" t="s">
        <v>39</v>
      </c>
      <c r="K649" t="s">
        <v>30</v>
      </c>
      <c r="L649" t="s">
        <v>31</v>
      </c>
      <c r="M649" t="s">
        <v>140</v>
      </c>
      <c r="N649">
        <v>91443</v>
      </c>
      <c r="O649">
        <v>0</v>
      </c>
      <c r="P649">
        <v>0</v>
      </c>
      <c r="Q649" t="str">
        <f t="shared" si="20"/>
        <v>15-24</v>
      </c>
      <c r="R649" t="str">
        <f t="shared" si="21"/>
        <v>[umc2n1Z4wNv]|15-24|Female|POP_EST.T_1|CY2024Q3</v>
      </c>
    </row>
    <row r="650" spans="4:18" x14ac:dyDescent="0.2">
      <c r="D650" t="s">
        <v>108</v>
      </c>
      <c r="E650" t="s">
        <v>109</v>
      </c>
      <c r="F650" t="s">
        <v>110</v>
      </c>
      <c r="G650" t="s">
        <v>138</v>
      </c>
      <c r="H650" t="s">
        <v>139</v>
      </c>
      <c r="I650" t="s">
        <v>41</v>
      </c>
      <c r="J650" t="s">
        <v>42</v>
      </c>
      <c r="K650" t="s">
        <v>30</v>
      </c>
      <c r="L650" t="s">
        <v>31</v>
      </c>
      <c r="M650" t="s">
        <v>140</v>
      </c>
      <c r="N650">
        <v>61705</v>
      </c>
      <c r="O650">
        <v>0</v>
      </c>
      <c r="P650">
        <v>0</v>
      </c>
      <c r="Q650" t="str">
        <f t="shared" si="20"/>
        <v>25-34</v>
      </c>
      <c r="R650" t="str">
        <f t="shared" si="21"/>
        <v>[umc2n1Z4wNv]|25-34|Female|POP_EST.T_1|CY2024Q3</v>
      </c>
    </row>
    <row r="651" spans="4:18" x14ac:dyDescent="0.2">
      <c r="D651" t="s">
        <v>108</v>
      </c>
      <c r="E651" t="s">
        <v>109</v>
      </c>
      <c r="F651" t="s">
        <v>110</v>
      </c>
      <c r="G651" t="s">
        <v>138</v>
      </c>
      <c r="H651" t="s">
        <v>139</v>
      </c>
      <c r="I651" t="s">
        <v>43</v>
      </c>
      <c r="J651" t="s">
        <v>44</v>
      </c>
      <c r="K651" t="s">
        <v>30</v>
      </c>
      <c r="L651" t="s">
        <v>31</v>
      </c>
      <c r="M651" t="s">
        <v>140</v>
      </c>
      <c r="N651">
        <v>65525</v>
      </c>
      <c r="O651">
        <v>0</v>
      </c>
      <c r="P651">
        <v>0</v>
      </c>
      <c r="Q651" t="str">
        <f t="shared" si="20"/>
        <v>35-49</v>
      </c>
      <c r="R651" t="str">
        <f t="shared" si="21"/>
        <v>[umc2n1Z4wNv]|35-49|Female|POP_EST.T_1|CY2024Q3</v>
      </c>
    </row>
    <row r="652" spans="4:18" x14ac:dyDescent="0.2">
      <c r="D652" t="s">
        <v>108</v>
      </c>
      <c r="E652" t="s">
        <v>109</v>
      </c>
      <c r="F652" t="s">
        <v>110</v>
      </c>
      <c r="G652" t="s">
        <v>138</v>
      </c>
      <c r="H652" t="s">
        <v>139</v>
      </c>
      <c r="I652" t="s">
        <v>45</v>
      </c>
      <c r="J652" t="s">
        <v>46</v>
      </c>
      <c r="K652" t="s">
        <v>30</v>
      </c>
      <c r="L652" t="s">
        <v>31</v>
      </c>
      <c r="M652" t="s">
        <v>140</v>
      </c>
      <c r="N652">
        <v>41998</v>
      </c>
      <c r="O652">
        <v>0</v>
      </c>
      <c r="P652">
        <v>0</v>
      </c>
      <c r="Q652" t="str">
        <f t="shared" si="20"/>
        <v>50+</v>
      </c>
      <c r="R652" t="str">
        <f t="shared" si="21"/>
        <v>[umc2n1Z4wNv]|50+|Female|POP_EST.T_1|CY2024Q3</v>
      </c>
    </row>
    <row r="653" spans="4:18" x14ac:dyDescent="0.2">
      <c r="D653" t="s">
        <v>108</v>
      </c>
      <c r="E653" t="s">
        <v>109</v>
      </c>
      <c r="F653" t="s">
        <v>110</v>
      </c>
      <c r="G653" t="s">
        <v>138</v>
      </c>
      <c r="H653" t="s">
        <v>139</v>
      </c>
      <c r="I653" t="s">
        <v>28</v>
      </c>
      <c r="J653" t="s">
        <v>29</v>
      </c>
      <c r="K653" t="s">
        <v>48</v>
      </c>
      <c r="L653" t="s">
        <v>49</v>
      </c>
      <c r="M653" t="s">
        <v>140</v>
      </c>
      <c r="N653">
        <v>13029</v>
      </c>
      <c r="O653">
        <v>0</v>
      </c>
      <c r="P653">
        <v>0</v>
      </c>
      <c r="Q653" t="str">
        <f t="shared" si="20"/>
        <v>&lt;01</v>
      </c>
      <c r="R653" t="str">
        <f t="shared" si="21"/>
        <v>[umc2n1Z4wNv]|&lt;01|Male|POP_EST.T_1|CY2024Q3</v>
      </c>
    </row>
    <row r="654" spans="4:18" x14ac:dyDescent="0.2">
      <c r="D654" t="s">
        <v>108</v>
      </c>
      <c r="E654" t="s">
        <v>109</v>
      </c>
      <c r="F654" t="s">
        <v>110</v>
      </c>
      <c r="G654" t="s">
        <v>138</v>
      </c>
      <c r="H654" t="s">
        <v>139</v>
      </c>
      <c r="I654" t="s">
        <v>33</v>
      </c>
      <c r="J654" t="s">
        <v>34</v>
      </c>
      <c r="K654" t="s">
        <v>48</v>
      </c>
      <c r="L654" t="s">
        <v>49</v>
      </c>
      <c r="M654" t="s">
        <v>140</v>
      </c>
      <c r="N654">
        <v>107685</v>
      </c>
      <c r="O654">
        <v>0</v>
      </c>
      <c r="P654">
        <v>0</v>
      </c>
      <c r="Q654" t="str">
        <f t="shared" si="20"/>
        <v>01-09</v>
      </c>
      <c r="R654" t="str">
        <f t="shared" si="21"/>
        <v>[umc2n1Z4wNv]|01-09|Male|POP_EST.T_1|CY2024Q3</v>
      </c>
    </row>
    <row r="655" spans="4:18" x14ac:dyDescent="0.2">
      <c r="D655" t="s">
        <v>108</v>
      </c>
      <c r="E655" t="s">
        <v>109</v>
      </c>
      <c r="F655" t="s">
        <v>110</v>
      </c>
      <c r="G655" t="s">
        <v>138</v>
      </c>
      <c r="H655" t="s">
        <v>139</v>
      </c>
      <c r="I655" t="s">
        <v>36</v>
      </c>
      <c r="J655" t="s">
        <v>37</v>
      </c>
      <c r="K655" t="s">
        <v>48</v>
      </c>
      <c r="L655" t="s">
        <v>49</v>
      </c>
      <c r="M655" t="s">
        <v>140</v>
      </c>
      <c r="N655">
        <v>56779</v>
      </c>
      <c r="O655">
        <v>0</v>
      </c>
      <c r="P655">
        <v>0</v>
      </c>
      <c r="Q655" t="str">
        <f t="shared" si="20"/>
        <v>10-14</v>
      </c>
      <c r="R655" t="str">
        <f t="shared" si="21"/>
        <v>[umc2n1Z4wNv]|10-14|Male|POP_EST.T_1|CY2024Q3</v>
      </c>
    </row>
    <row r="656" spans="4:18" x14ac:dyDescent="0.2">
      <c r="D656" t="s">
        <v>108</v>
      </c>
      <c r="E656" t="s">
        <v>109</v>
      </c>
      <c r="F656" t="s">
        <v>110</v>
      </c>
      <c r="G656" t="s">
        <v>138</v>
      </c>
      <c r="H656" t="s">
        <v>139</v>
      </c>
      <c r="I656" t="s">
        <v>38</v>
      </c>
      <c r="J656" t="s">
        <v>39</v>
      </c>
      <c r="K656" t="s">
        <v>48</v>
      </c>
      <c r="L656" t="s">
        <v>49</v>
      </c>
      <c r="M656" t="s">
        <v>140</v>
      </c>
      <c r="N656">
        <v>90851</v>
      </c>
      <c r="O656">
        <v>0</v>
      </c>
      <c r="P656">
        <v>0</v>
      </c>
      <c r="Q656" t="str">
        <f t="shared" si="20"/>
        <v>15-24</v>
      </c>
      <c r="R656" t="str">
        <f t="shared" si="21"/>
        <v>[umc2n1Z4wNv]|15-24|Male|POP_EST.T_1|CY2024Q3</v>
      </c>
    </row>
    <row r="657" spans="4:18" x14ac:dyDescent="0.2">
      <c r="D657" t="s">
        <v>108</v>
      </c>
      <c r="E657" t="s">
        <v>109</v>
      </c>
      <c r="F657" t="s">
        <v>110</v>
      </c>
      <c r="G657" t="s">
        <v>138</v>
      </c>
      <c r="H657" t="s">
        <v>139</v>
      </c>
      <c r="I657" t="s">
        <v>41</v>
      </c>
      <c r="J657" t="s">
        <v>42</v>
      </c>
      <c r="K657" t="s">
        <v>48</v>
      </c>
      <c r="L657" t="s">
        <v>49</v>
      </c>
      <c r="M657" t="s">
        <v>140</v>
      </c>
      <c r="N657">
        <v>53971</v>
      </c>
      <c r="O657">
        <v>0</v>
      </c>
      <c r="P657">
        <v>0</v>
      </c>
      <c r="Q657" t="str">
        <f t="shared" si="20"/>
        <v>25-34</v>
      </c>
      <c r="R657" t="str">
        <f t="shared" si="21"/>
        <v>[umc2n1Z4wNv]|25-34|Male|POP_EST.T_1|CY2024Q3</v>
      </c>
    </row>
    <row r="658" spans="4:18" x14ac:dyDescent="0.2">
      <c r="D658" t="s">
        <v>108</v>
      </c>
      <c r="E658" t="s">
        <v>109</v>
      </c>
      <c r="F658" t="s">
        <v>110</v>
      </c>
      <c r="G658" t="s">
        <v>138</v>
      </c>
      <c r="H658" t="s">
        <v>139</v>
      </c>
      <c r="I658" t="s">
        <v>43</v>
      </c>
      <c r="J658" t="s">
        <v>44</v>
      </c>
      <c r="K658" t="s">
        <v>48</v>
      </c>
      <c r="L658" t="s">
        <v>49</v>
      </c>
      <c r="M658" t="s">
        <v>140</v>
      </c>
      <c r="N658">
        <v>50837</v>
      </c>
      <c r="O658">
        <v>0</v>
      </c>
      <c r="P658">
        <v>0</v>
      </c>
      <c r="Q658" t="str">
        <f t="shared" si="20"/>
        <v>35-49</v>
      </c>
      <c r="R658" t="str">
        <f t="shared" si="21"/>
        <v>[umc2n1Z4wNv]|35-49|Male|POP_EST.T_1|CY2024Q3</v>
      </c>
    </row>
    <row r="659" spans="4:18" x14ac:dyDescent="0.2">
      <c r="D659" t="s">
        <v>108</v>
      </c>
      <c r="E659" t="s">
        <v>109</v>
      </c>
      <c r="F659" t="s">
        <v>110</v>
      </c>
      <c r="G659" t="s">
        <v>138</v>
      </c>
      <c r="H659" t="s">
        <v>139</v>
      </c>
      <c r="I659" t="s">
        <v>45</v>
      </c>
      <c r="J659" t="s">
        <v>46</v>
      </c>
      <c r="K659" t="s">
        <v>48</v>
      </c>
      <c r="L659" t="s">
        <v>49</v>
      </c>
      <c r="M659" t="s">
        <v>140</v>
      </c>
      <c r="N659">
        <v>27939</v>
      </c>
      <c r="O659">
        <v>0</v>
      </c>
      <c r="P659">
        <v>0</v>
      </c>
      <c r="Q659" t="str">
        <f t="shared" si="20"/>
        <v>50+</v>
      </c>
      <c r="R659" t="str">
        <f t="shared" si="21"/>
        <v>[umc2n1Z4wNv]|50+|Male|POP_EST.T_1|CY2024Q3</v>
      </c>
    </row>
    <row r="660" spans="4:18" x14ac:dyDescent="0.2">
      <c r="D660" t="s">
        <v>111</v>
      </c>
      <c r="E660" t="s">
        <v>112</v>
      </c>
      <c r="F660" t="s">
        <v>113</v>
      </c>
      <c r="G660" t="s">
        <v>138</v>
      </c>
      <c r="H660" t="s">
        <v>139</v>
      </c>
      <c r="I660" t="s">
        <v>28</v>
      </c>
      <c r="J660" t="s">
        <v>29</v>
      </c>
      <c r="K660" t="s">
        <v>30</v>
      </c>
      <c r="L660" t="s">
        <v>31</v>
      </c>
      <c r="M660" t="s">
        <v>140</v>
      </c>
      <c r="N660">
        <v>8785</v>
      </c>
      <c r="O660">
        <v>0</v>
      </c>
      <c r="P660">
        <v>0</v>
      </c>
      <c r="Q660" t="str">
        <f t="shared" si="20"/>
        <v>&lt;01</v>
      </c>
      <c r="R660" t="str">
        <f t="shared" si="21"/>
        <v>[AZyWpGzhcaA]|&lt;01|Female|POP_EST.T_1|CY2024Q3</v>
      </c>
    </row>
    <row r="661" spans="4:18" x14ac:dyDescent="0.2">
      <c r="D661" t="s">
        <v>111</v>
      </c>
      <c r="E661" t="s">
        <v>112</v>
      </c>
      <c r="F661" t="s">
        <v>113</v>
      </c>
      <c r="G661" t="s">
        <v>138</v>
      </c>
      <c r="H661" t="s">
        <v>139</v>
      </c>
      <c r="I661" t="s">
        <v>33</v>
      </c>
      <c r="J661" t="s">
        <v>34</v>
      </c>
      <c r="K661" t="s">
        <v>30</v>
      </c>
      <c r="L661" t="s">
        <v>31</v>
      </c>
      <c r="M661" t="s">
        <v>140</v>
      </c>
      <c r="N661">
        <v>73174</v>
      </c>
      <c r="O661">
        <v>0</v>
      </c>
      <c r="P661">
        <v>0</v>
      </c>
      <c r="Q661" t="str">
        <f t="shared" si="20"/>
        <v>01-09</v>
      </c>
      <c r="R661" t="str">
        <f t="shared" si="21"/>
        <v>[AZyWpGzhcaA]|01-09|Female|POP_EST.T_1|CY2024Q3</v>
      </c>
    </row>
    <row r="662" spans="4:18" x14ac:dyDescent="0.2">
      <c r="D662" t="s">
        <v>111</v>
      </c>
      <c r="E662" t="s">
        <v>112</v>
      </c>
      <c r="F662" t="s">
        <v>113</v>
      </c>
      <c r="G662" t="s">
        <v>138</v>
      </c>
      <c r="H662" t="s">
        <v>139</v>
      </c>
      <c r="I662" t="s">
        <v>36</v>
      </c>
      <c r="J662" t="s">
        <v>37</v>
      </c>
      <c r="K662" t="s">
        <v>30</v>
      </c>
      <c r="L662" t="s">
        <v>31</v>
      </c>
      <c r="M662" t="s">
        <v>140</v>
      </c>
      <c r="N662">
        <v>36005</v>
      </c>
      <c r="O662">
        <v>0</v>
      </c>
      <c r="P662">
        <v>0</v>
      </c>
      <c r="Q662" t="str">
        <f t="shared" si="20"/>
        <v>10-14</v>
      </c>
      <c r="R662" t="str">
        <f t="shared" si="21"/>
        <v>[AZyWpGzhcaA]|10-14|Female|POP_EST.T_1|CY2024Q3</v>
      </c>
    </row>
    <row r="663" spans="4:18" x14ac:dyDescent="0.2">
      <c r="D663" t="s">
        <v>111</v>
      </c>
      <c r="E663" t="s">
        <v>112</v>
      </c>
      <c r="F663" t="s">
        <v>113</v>
      </c>
      <c r="G663" t="s">
        <v>138</v>
      </c>
      <c r="H663" t="s">
        <v>139</v>
      </c>
      <c r="I663" t="s">
        <v>38</v>
      </c>
      <c r="J663" t="s">
        <v>39</v>
      </c>
      <c r="K663" t="s">
        <v>30</v>
      </c>
      <c r="L663" t="s">
        <v>31</v>
      </c>
      <c r="M663" t="s">
        <v>140</v>
      </c>
      <c r="N663">
        <v>56280</v>
      </c>
      <c r="O663">
        <v>0</v>
      </c>
      <c r="P663">
        <v>0</v>
      </c>
      <c r="Q663" t="str">
        <f t="shared" si="20"/>
        <v>15-24</v>
      </c>
      <c r="R663" t="str">
        <f t="shared" si="21"/>
        <v>[AZyWpGzhcaA]|15-24|Female|POP_EST.T_1|CY2024Q3</v>
      </c>
    </row>
    <row r="664" spans="4:18" x14ac:dyDescent="0.2">
      <c r="D664" t="s">
        <v>111</v>
      </c>
      <c r="E664" t="s">
        <v>112</v>
      </c>
      <c r="F664" t="s">
        <v>113</v>
      </c>
      <c r="G664" t="s">
        <v>138</v>
      </c>
      <c r="H664" t="s">
        <v>139</v>
      </c>
      <c r="I664" t="s">
        <v>41</v>
      </c>
      <c r="J664" t="s">
        <v>42</v>
      </c>
      <c r="K664" t="s">
        <v>30</v>
      </c>
      <c r="L664" t="s">
        <v>31</v>
      </c>
      <c r="M664" t="s">
        <v>140</v>
      </c>
      <c r="N664">
        <v>38527</v>
      </c>
      <c r="O664">
        <v>0</v>
      </c>
      <c r="P664">
        <v>0</v>
      </c>
      <c r="Q664" t="str">
        <f t="shared" si="20"/>
        <v>25-34</v>
      </c>
      <c r="R664" t="str">
        <f t="shared" si="21"/>
        <v>[AZyWpGzhcaA]|25-34|Female|POP_EST.T_1|CY2024Q3</v>
      </c>
    </row>
    <row r="665" spans="4:18" x14ac:dyDescent="0.2">
      <c r="D665" t="s">
        <v>111</v>
      </c>
      <c r="E665" t="s">
        <v>112</v>
      </c>
      <c r="F665" t="s">
        <v>113</v>
      </c>
      <c r="G665" t="s">
        <v>138</v>
      </c>
      <c r="H665" t="s">
        <v>139</v>
      </c>
      <c r="I665" t="s">
        <v>43</v>
      </c>
      <c r="J665" t="s">
        <v>44</v>
      </c>
      <c r="K665" t="s">
        <v>30</v>
      </c>
      <c r="L665" t="s">
        <v>31</v>
      </c>
      <c r="M665" t="s">
        <v>140</v>
      </c>
      <c r="N665">
        <v>37371</v>
      </c>
      <c r="O665">
        <v>0</v>
      </c>
      <c r="P665">
        <v>0</v>
      </c>
      <c r="Q665" t="str">
        <f t="shared" si="20"/>
        <v>35-49</v>
      </c>
      <c r="R665" t="str">
        <f t="shared" si="21"/>
        <v>[AZyWpGzhcaA]|35-49|Female|POP_EST.T_1|CY2024Q3</v>
      </c>
    </row>
    <row r="666" spans="4:18" x14ac:dyDescent="0.2">
      <c r="D666" t="s">
        <v>111</v>
      </c>
      <c r="E666" t="s">
        <v>112</v>
      </c>
      <c r="F666" t="s">
        <v>113</v>
      </c>
      <c r="G666" t="s">
        <v>138</v>
      </c>
      <c r="H666" t="s">
        <v>139</v>
      </c>
      <c r="I666" t="s">
        <v>45</v>
      </c>
      <c r="J666" t="s">
        <v>46</v>
      </c>
      <c r="K666" t="s">
        <v>30</v>
      </c>
      <c r="L666" t="s">
        <v>31</v>
      </c>
      <c r="M666" t="s">
        <v>140</v>
      </c>
      <c r="N666">
        <v>23211</v>
      </c>
      <c r="O666">
        <v>0</v>
      </c>
      <c r="P666">
        <v>0</v>
      </c>
      <c r="Q666" t="str">
        <f t="shared" si="20"/>
        <v>50+</v>
      </c>
      <c r="R666" t="str">
        <f t="shared" si="21"/>
        <v>[AZyWpGzhcaA]|50+|Female|POP_EST.T_1|CY2024Q3</v>
      </c>
    </row>
    <row r="667" spans="4:18" x14ac:dyDescent="0.2">
      <c r="D667" t="s">
        <v>111</v>
      </c>
      <c r="E667" t="s">
        <v>112</v>
      </c>
      <c r="F667" t="s">
        <v>113</v>
      </c>
      <c r="G667" t="s">
        <v>138</v>
      </c>
      <c r="H667" t="s">
        <v>139</v>
      </c>
      <c r="I667" t="s">
        <v>28</v>
      </c>
      <c r="J667" t="s">
        <v>29</v>
      </c>
      <c r="K667" t="s">
        <v>48</v>
      </c>
      <c r="L667" t="s">
        <v>49</v>
      </c>
      <c r="M667" t="s">
        <v>140</v>
      </c>
      <c r="N667">
        <v>8961</v>
      </c>
      <c r="O667">
        <v>0</v>
      </c>
      <c r="P667">
        <v>0</v>
      </c>
      <c r="Q667" t="str">
        <f t="shared" si="20"/>
        <v>&lt;01</v>
      </c>
      <c r="R667" t="str">
        <f t="shared" si="21"/>
        <v>[AZyWpGzhcaA]|&lt;01|Male|POP_EST.T_1|CY2024Q3</v>
      </c>
    </row>
    <row r="668" spans="4:18" x14ac:dyDescent="0.2">
      <c r="D668" t="s">
        <v>111</v>
      </c>
      <c r="E668" t="s">
        <v>112</v>
      </c>
      <c r="F668" t="s">
        <v>113</v>
      </c>
      <c r="G668" t="s">
        <v>138</v>
      </c>
      <c r="H668" t="s">
        <v>139</v>
      </c>
      <c r="I668" t="s">
        <v>33</v>
      </c>
      <c r="J668" t="s">
        <v>34</v>
      </c>
      <c r="K668" t="s">
        <v>48</v>
      </c>
      <c r="L668" t="s">
        <v>49</v>
      </c>
      <c r="M668" t="s">
        <v>140</v>
      </c>
      <c r="N668">
        <v>74644</v>
      </c>
      <c r="O668">
        <v>0</v>
      </c>
      <c r="P668">
        <v>0</v>
      </c>
      <c r="Q668" t="str">
        <f t="shared" si="20"/>
        <v>01-09</v>
      </c>
      <c r="R668" t="str">
        <f t="shared" si="21"/>
        <v>[AZyWpGzhcaA]|01-09|Male|POP_EST.T_1|CY2024Q3</v>
      </c>
    </row>
    <row r="669" spans="4:18" x14ac:dyDescent="0.2">
      <c r="D669" t="s">
        <v>111</v>
      </c>
      <c r="E669" t="s">
        <v>112</v>
      </c>
      <c r="F669" t="s">
        <v>113</v>
      </c>
      <c r="G669" t="s">
        <v>138</v>
      </c>
      <c r="H669" t="s">
        <v>139</v>
      </c>
      <c r="I669" t="s">
        <v>36</v>
      </c>
      <c r="J669" t="s">
        <v>37</v>
      </c>
      <c r="K669" t="s">
        <v>48</v>
      </c>
      <c r="L669" t="s">
        <v>49</v>
      </c>
      <c r="M669" t="s">
        <v>140</v>
      </c>
      <c r="N669">
        <v>37080</v>
      </c>
      <c r="O669">
        <v>0</v>
      </c>
      <c r="P669">
        <v>0</v>
      </c>
      <c r="Q669" t="str">
        <f t="shared" si="20"/>
        <v>10-14</v>
      </c>
      <c r="R669" t="str">
        <f t="shared" si="21"/>
        <v>[AZyWpGzhcaA]|10-14|Male|POP_EST.T_1|CY2024Q3</v>
      </c>
    </row>
    <row r="670" spans="4:18" x14ac:dyDescent="0.2">
      <c r="D670" t="s">
        <v>111</v>
      </c>
      <c r="E670" t="s">
        <v>112</v>
      </c>
      <c r="F670" t="s">
        <v>113</v>
      </c>
      <c r="G670" t="s">
        <v>138</v>
      </c>
      <c r="H670" t="s">
        <v>139</v>
      </c>
      <c r="I670" t="s">
        <v>38</v>
      </c>
      <c r="J670" t="s">
        <v>39</v>
      </c>
      <c r="K670" t="s">
        <v>48</v>
      </c>
      <c r="L670" t="s">
        <v>49</v>
      </c>
      <c r="M670" t="s">
        <v>140</v>
      </c>
      <c r="N670">
        <v>57613</v>
      </c>
      <c r="O670">
        <v>0</v>
      </c>
      <c r="P670">
        <v>0</v>
      </c>
      <c r="Q670" t="str">
        <f t="shared" si="20"/>
        <v>15-24</v>
      </c>
      <c r="R670" t="str">
        <f t="shared" si="21"/>
        <v>[AZyWpGzhcaA]|15-24|Male|POP_EST.T_1|CY2024Q3</v>
      </c>
    </row>
    <row r="671" spans="4:18" x14ac:dyDescent="0.2">
      <c r="D671" t="s">
        <v>111</v>
      </c>
      <c r="E671" t="s">
        <v>112</v>
      </c>
      <c r="F671" t="s">
        <v>113</v>
      </c>
      <c r="G671" t="s">
        <v>138</v>
      </c>
      <c r="H671" t="s">
        <v>139</v>
      </c>
      <c r="I671" t="s">
        <v>41</v>
      </c>
      <c r="J671" t="s">
        <v>42</v>
      </c>
      <c r="K671" t="s">
        <v>48</v>
      </c>
      <c r="L671" t="s">
        <v>49</v>
      </c>
      <c r="M671" t="s">
        <v>140</v>
      </c>
      <c r="N671">
        <v>35221</v>
      </c>
      <c r="O671">
        <v>0</v>
      </c>
      <c r="P671">
        <v>0</v>
      </c>
      <c r="Q671" t="str">
        <f t="shared" si="20"/>
        <v>25-34</v>
      </c>
      <c r="R671" t="str">
        <f t="shared" si="21"/>
        <v>[AZyWpGzhcaA]|25-34|Male|POP_EST.T_1|CY2024Q3</v>
      </c>
    </row>
    <row r="672" spans="4:18" x14ac:dyDescent="0.2">
      <c r="D672" t="s">
        <v>111</v>
      </c>
      <c r="E672" t="s">
        <v>112</v>
      </c>
      <c r="F672" t="s">
        <v>113</v>
      </c>
      <c r="G672" t="s">
        <v>138</v>
      </c>
      <c r="H672" t="s">
        <v>139</v>
      </c>
      <c r="I672" t="s">
        <v>43</v>
      </c>
      <c r="J672" t="s">
        <v>44</v>
      </c>
      <c r="K672" t="s">
        <v>48</v>
      </c>
      <c r="L672" t="s">
        <v>49</v>
      </c>
      <c r="M672" t="s">
        <v>140</v>
      </c>
      <c r="N672">
        <v>31050</v>
      </c>
      <c r="O672">
        <v>0</v>
      </c>
      <c r="P672">
        <v>0</v>
      </c>
      <c r="Q672" t="str">
        <f t="shared" si="20"/>
        <v>35-49</v>
      </c>
      <c r="R672" t="str">
        <f t="shared" si="21"/>
        <v>[AZyWpGzhcaA]|35-49|Male|POP_EST.T_1|CY2024Q3</v>
      </c>
    </row>
    <row r="673" spans="4:18" x14ac:dyDescent="0.2">
      <c r="D673" t="s">
        <v>111</v>
      </c>
      <c r="E673" t="s">
        <v>112</v>
      </c>
      <c r="F673" t="s">
        <v>113</v>
      </c>
      <c r="G673" t="s">
        <v>138</v>
      </c>
      <c r="H673" t="s">
        <v>139</v>
      </c>
      <c r="I673" t="s">
        <v>45</v>
      </c>
      <c r="J673" t="s">
        <v>46</v>
      </c>
      <c r="K673" t="s">
        <v>48</v>
      </c>
      <c r="L673" t="s">
        <v>49</v>
      </c>
      <c r="M673" t="s">
        <v>140</v>
      </c>
      <c r="N673">
        <v>16717</v>
      </c>
      <c r="O673">
        <v>0</v>
      </c>
      <c r="P673">
        <v>0</v>
      </c>
      <c r="Q673" t="str">
        <f t="shared" si="20"/>
        <v>50+</v>
      </c>
      <c r="R673" t="str">
        <f t="shared" si="21"/>
        <v>[AZyWpGzhcaA]|50+|Male|POP_EST.T_1|CY2024Q3</v>
      </c>
    </row>
    <row r="674" spans="4:18" x14ac:dyDescent="0.2">
      <c r="D674" t="s">
        <v>114</v>
      </c>
      <c r="E674" t="s">
        <v>115</v>
      </c>
      <c r="F674" t="s">
        <v>116</v>
      </c>
      <c r="G674" t="s">
        <v>138</v>
      </c>
      <c r="H674" t="s">
        <v>139</v>
      </c>
      <c r="I674" t="s">
        <v>28</v>
      </c>
      <c r="J674" t="s">
        <v>29</v>
      </c>
      <c r="K674" t="s">
        <v>30</v>
      </c>
      <c r="L674" t="s">
        <v>31</v>
      </c>
      <c r="M674" t="s">
        <v>140</v>
      </c>
      <c r="N674">
        <v>9221</v>
      </c>
      <c r="O674">
        <v>0</v>
      </c>
      <c r="P674">
        <v>0</v>
      </c>
      <c r="Q674" t="str">
        <f t="shared" si="20"/>
        <v>&lt;01</v>
      </c>
      <c r="R674" t="str">
        <f t="shared" si="21"/>
        <v>[ir8wuHHzoSs]|&lt;01|Female|POP_EST.T_1|CY2024Q3</v>
      </c>
    </row>
    <row r="675" spans="4:18" x14ac:dyDescent="0.2">
      <c r="D675" t="s">
        <v>114</v>
      </c>
      <c r="E675" t="s">
        <v>115</v>
      </c>
      <c r="F675" t="s">
        <v>116</v>
      </c>
      <c r="G675" t="s">
        <v>138</v>
      </c>
      <c r="H675" t="s">
        <v>139</v>
      </c>
      <c r="I675" t="s">
        <v>33</v>
      </c>
      <c r="J675" t="s">
        <v>34</v>
      </c>
      <c r="K675" t="s">
        <v>30</v>
      </c>
      <c r="L675" t="s">
        <v>31</v>
      </c>
      <c r="M675" t="s">
        <v>140</v>
      </c>
      <c r="N675">
        <v>74770</v>
      </c>
      <c r="O675">
        <v>0</v>
      </c>
      <c r="P675">
        <v>0</v>
      </c>
      <c r="Q675" t="str">
        <f t="shared" si="20"/>
        <v>01-09</v>
      </c>
      <c r="R675" t="str">
        <f t="shared" si="21"/>
        <v>[ir8wuHHzoSs]|01-09|Female|POP_EST.T_1|CY2024Q3</v>
      </c>
    </row>
    <row r="676" spans="4:18" x14ac:dyDescent="0.2">
      <c r="D676" t="s">
        <v>114</v>
      </c>
      <c r="E676" t="s">
        <v>115</v>
      </c>
      <c r="F676" t="s">
        <v>116</v>
      </c>
      <c r="G676" t="s">
        <v>138</v>
      </c>
      <c r="H676" t="s">
        <v>139</v>
      </c>
      <c r="I676" t="s">
        <v>36</v>
      </c>
      <c r="J676" t="s">
        <v>37</v>
      </c>
      <c r="K676" t="s">
        <v>30</v>
      </c>
      <c r="L676" t="s">
        <v>31</v>
      </c>
      <c r="M676" t="s">
        <v>140</v>
      </c>
      <c r="N676">
        <v>36120</v>
      </c>
      <c r="O676">
        <v>0</v>
      </c>
      <c r="P676">
        <v>0</v>
      </c>
      <c r="Q676" t="str">
        <f t="shared" si="20"/>
        <v>10-14</v>
      </c>
      <c r="R676" t="str">
        <f t="shared" si="21"/>
        <v>[ir8wuHHzoSs]|10-14|Female|POP_EST.T_1|CY2024Q3</v>
      </c>
    </row>
    <row r="677" spans="4:18" x14ac:dyDescent="0.2">
      <c r="D677" t="s">
        <v>114</v>
      </c>
      <c r="E677" t="s">
        <v>115</v>
      </c>
      <c r="F677" t="s">
        <v>116</v>
      </c>
      <c r="G677" t="s">
        <v>138</v>
      </c>
      <c r="H677" t="s">
        <v>139</v>
      </c>
      <c r="I677" t="s">
        <v>38</v>
      </c>
      <c r="J677" t="s">
        <v>39</v>
      </c>
      <c r="K677" t="s">
        <v>30</v>
      </c>
      <c r="L677" t="s">
        <v>31</v>
      </c>
      <c r="M677" t="s">
        <v>140</v>
      </c>
      <c r="N677">
        <v>59961</v>
      </c>
      <c r="O677">
        <v>0</v>
      </c>
      <c r="P677">
        <v>0</v>
      </c>
      <c r="Q677" t="str">
        <f t="shared" si="20"/>
        <v>15-24</v>
      </c>
      <c r="R677" t="str">
        <f t="shared" si="21"/>
        <v>[ir8wuHHzoSs]|15-24|Female|POP_EST.T_1|CY2024Q3</v>
      </c>
    </row>
    <row r="678" spans="4:18" x14ac:dyDescent="0.2">
      <c r="D678" t="s">
        <v>114</v>
      </c>
      <c r="E678" t="s">
        <v>115</v>
      </c>
      <c r="F678" t="s">
        <v>116</v>
      </c>
      <c r="G678" t="s">
        <v>138</v>
      </c>
      <c r="H678" t="s">
        <v>139</v>
      </c>
      <c r="I678" t="s">
        <v>41</v>
      </c>
      <c r="J678" t="s">
        <v>42</v>
      </c>
      <c r="K678" t="s">
        <v>30</v>
      </c>
      <c r="L678" t="s">
        <v>31</v>
      </c>
      <c r="M678" t="s">
        <v>140</v>
      </c>
      <c r="N678">
        <v>39024</v>
      </c>
      <c r="O678">
        <v>0</v>
      </c>
      <c r="P678">
        <v>0</v>
      </c>
      <c r="Q678" t="str">
        <f t="shared" si="20"/>
        <v>25-34</v>
      </c>
      <c r="R678" t="str">
        <f t="shared" si="21"/>
        <v>[ir8wuHHzoSs]|25-34|Female|POP_EST.T_1|CY2024Q3</v>
      </c>
    </row>
    <row r="679" spans="4:18" x14ac:dyDescent="0.2">
      <c r="D679" t="s">
        <v>114</v>
      </c>
      <c r="E679" t="s">
        <v>115</v>
      </c>
      <c r="F679" t="s">
        <v>116</v>
      </c>
      <c r="G679" t="s">
        <v>138</v>
      </c>
      <c r="H679" t="s">
        <v>139</v>
      </c>
      <c r="I679" t="s">
        <v>43</v>
      </c>
      <c r="J679" t="s">
        <v>44</v>
      </c>
      <c r="K679" t="s">
        <v>30</v>
      </c>
      <c r="L679" t="s">
        <v>31</v>
      </c>
      <c r="M679" t="s">
        <v>140</v>
      </c>
      <c r="N679">
        <v>40331</v>
      </c>
      <c r="O679">
        <v>0</v>
      </c>
      <c r="P679">
        <v>0</v>
      </c>
      <c r="Q679" t="str">
        <f t="shared" si="20"/>
        <v>35-49</v>
      </c>
      <c r="R679" t="str">
        <f t="shared" si="21"/>
        <v>[ir8wuHHzoSs]|35-49|Female|POP_EST.T_1|CY2024Q3</v>
      </c>
    </row>
    <row r="680" spans="4:18" x14ac:dyDescent="0.2">
      <c r="D680" t="s">
        <v>114</v>
      </c>
      <c r="E680" t="s">
        <v>115</v>
      </c>
      <c r="F680" t="s">
        <v>116</v>
      </c>
      <c r="G680" t="s">
        <v>138</v>
      </c>
      <c r="H680" t="s">
        <v>139</v>
      </c>
      <c r="I680" t="s">
        <v>45</v>
      </c>
      <c r="J680" t="s">
        <v>46</v>
      </c>
      <c r="K680" t="s">
        <v>30</v>
      </c>
      <c r="L680" t="s">
        <v>31</v>
      </c>
      <c r="M680" t="s">
        <v>140</v>
      </c>
      <c r="N680">
        <v>26097</v>
      </c>
      <c r="O680">
        <v>0</v>
      </c>
      <c r="P680">
        <v>0</v>
      </c>
      <c r="Q680" t="str">
        <f t="shared" si="20"/>
        <v>50+</v>
      </c>
      <c r="R680" t="str">
        <f t="shared" si="21"/>
        <v>[ir8wuHHzoSs]|50+|Female|POP_EST.T_1|CY2024Q3</v>
      </c>
    </row>
    <row r="681" spans="4:18" x14ac:dyDescent="0.2">
      <c r="D681" t="s">
        <v>114</v>
      </c>
      <c r="E681" t="s">
        <v>115</v>
      </c>
      <c r="F681" t="s">
        <v>116</v>
      </c>
      <c r="G681" t="s">
        <v>138</v>
      </c>
      <c r="H681" t="s">
        <v>139</v>
      </c>
      <c r="I681" t="s">
        <v>28</v>
      </c>
      <c r="J681" t="s">
        <v>29</v>
      </c>
      <c r="K681" t="s">
        <v>48</v>
      </c>
      <c r="L681" t="s">
        <v>49</v>
      </c>
      <c r="M681" t="s">
        <v>140</v>
      </c>
      <c r="N681">
        <v>9374</v>
      </c>
      <c r="O681">
        <v>0</v>
      </c>
      <c r="P681">
        <v>0</v>
      </c>
      <c r="Q681" t="str">
        <f t="shared" si="20"/>
        <v>&lt;01</v>
      </c>
      <c r="R681" t="str">
        <f t="shared" si="21"/>
        <v>[ir8wuHHzoSs]|&lt;01|Male|POP_EST.T_1|CY2024Q3</v>
      </c>
    </row>
    <row r="682" spans="4:18" x14ac:dyDescent="0.2">
      <c r="D682" t="s">
        <v>114</v>
      </c>
      <c r="E682" t="s">
        <v>115</v>
      </c>
      <c r="F682" t="s">
        <v>116</v>
      </c>
      <c r="G682" t="s">
        <v>138</v>
      </c>
      <c r="H682" t="s">
        <v>139</v>
      </c>
      <c r="I682" t="s">
        <v>33</v>
      </c>
      <c r="J682" t="s">
        <v>34</v>
      </c>
      <c r="K682" t="s">
        <v>48</v>
      </c>
      <c r="L682" t="s">
        <v>49</v>
      </c>
      <c r="M682" t="s">
        <v>140</v>
      </c>
      <c r="N682">
        <v>76808</v>
      </c>
      <c r="O682">
        <v>0</v>
      </c>
      <c r="P682">
        <v>0</v>
      </c>
      <c r="Q682" t="str">
        <f t="shared" si="20"/>
        <v>01-09</v>
      </c>
      <c r="R682" t="str">
        <f t="shared" si="21"/>
        <v>[ir8wuHHzoSs]|01-09|Male|POP_EST.T_1|CY2024Q3</v>
      </c>
    </row>
    <row r="683" spans="4:18" x14ac:dyDescent="0.2">
      <c r="D683" t="s">
        <v>114</v>
      </c>
      <c r="E683" t="s">
        <v>115</v>
      </c>
      <c r="F683" t="s">
        <v>116</v>
      </c>
      <c r="G683" t="s">
        <v>138</v>
      </c>
      <c r="H683" t="s">
        <v>139</v>
      </c>
      <c r="I683" t="s">
        <v>36</v>
      </c>
      <c r="J683" t="s">
        <v>37</v>
      </c>
      <c r="K683" t="s">
        <v>48</v>
      </c>
      <c r="L683" t="s">
        <v>49</v>
      </c>
      <c r="M683" t="s">
        <v>140</v>
      </c>
      <c r="N683">
        <v>37194</v>
      </c>
      <c r="O683">
        <v>0</v>
      </c>
      <c r="P683">
        <v>0</v>
      </c>
      <c r="Q683" t="str">
        <f t="shared" si="20"/>
        <v>10-14</v>
      </c>
      <c r="R683" t="str">
        <f t="shared" si="21"/>
        <v>[ir8wuHHzoSs]|10-14|Male|POP_EST.T_1|CY2024Q3</v>
      </c>
    </row>
    <row r="684" spans="4:18" x14ac:dyDescent="0.2">
      <c r="D684" t="s">
        <v>114</v>
      </c>
      <c r="E684" t="s">
        <v>115</v>
      </c>
      <c r="F684" t="s">
        <v>116</v>
      </c>
      <c r="G684" t="s">
        <v>138</v>
      </c>
      <c r="H684" t="s">
        <v>139</v>
      </c>
      <c r="I684" t="s">
        <v>38</v>
      </c>
      <c r="J684" t="s">
        <v>39</v>
      </c>
      <c r="K684" t="s">
        <v>48</v>
      </c>
      <c r="L684" t="s">
        <v>49</v>
      </c>
      <c r="M684" t="s">
        <v>140</v>
      </c>
      <c r="N684">
        <v>57583</v>
      </c>
      <c r="O684">
        <v>0</v>
      </c>
      <c r="P684">
        <v>0</v>
      </c>
      <c r="Q684" t="str">
        <f t="shared" si="20"/>
        <v>15-24</v>
      </c>
      <c r="R684" t="str">
        <f t="shared" si="21"/>
        <v>[ir8wuHHzoSs]|15-24|Male|POP_EST.T_1|CY2024Q3</v>
      </c>
    </row>
    <row r="685" spans="4:18" x14ac:dyDescent="0.2">
      <c r="D685" t="s">
        <v>114</v>
      </c>
      <c r="E685" t="s">
        <v>115</v>
      </c>
      <c r="F685" t="s">
        <v>116</v>
      </c>
      <c r="G685" t="s">
        <v>138</v>
      </c>
      <c r="H685" t="s">
        <v>139</v>
      </c>
      <c r="I685" t="s">
        <v>41</v>
      </c>
      <c r="J685" t="s">
        <v>42</v>
      </c>
      <c r="K685" t="s">
        <v>48</v>
      </c>
      <c r="L685" t="s">
        <v>49</v>
      </c>
      <c r="M685" t="s">
        <v>140</v>
      </c>
      <c r="N685">
        <v>32782</v>
      </c>
      <c r="O685">
        <v>0</v>
      </c>
      <c r="P685">
        <v>0</v>
      </c>
      <c r="Q685" t="str">
        <f t="shared" si="20"/>
        <v>25-34</v>
      </c>
      <c r="R685" t="str">
        <f t="shared" si="21"/>
        <v>[ir8wuHHzoSs]|25-34|Male|POP_EST.T_1|CY2024Q3</v>
      </c>
    </row>
    <row r="686" spans="4:18" x14ac:dyDescent="0.2">
      <c r="D686" t="s">
        <v>114</v>
      </c>
      <c r="E686" t="s">
        <v>115</v>
      </c>
      <c r="F686" t="s">
        <v>116</v>
      </c>
      <c r="G686" t="s">
        <v>138</v>
      </c>
      <c r="H686" t="s">
        <v>139</v>
      </c>
      <c r="I686" t="s">
        <v>43</v>
      </c>
      <c r="J686" t="s">
        <v>44</v>
      </c>
      <c r="K686" t="s">
        <v>48</v>
      </c>
      <c r="L686" t="s">
        <v>49</v>
      </c>
      <c r="M686" t="s">
        <v>140</v>
      </c>
      <c r="N686">
        <v>31128</v>
      </c>
      <c r="O686">
        <v>0</v>
      </c>
      <c r="P686">
        <v>0</v>
      </c>
      <c r="Q686" t="str">
        <f t="shared" si="20"/>
        <v>35-49</v>
      </c>
      <c r="R686" t="str">
        <f t="shared" si="21"/>
        <v>[ir8wuHHzoSs]|35-49|Male|POP_EST.T_1|CY2024Q3</v>
      </c>
    </row>
    <row r="687" spans="4:18" x14ac:dyDescent="0.2">
      <c r="D687" t="s">
        <v>114</v>
      </c>
      <c r="E687" t="s">
        <v>115</v>
      </c>
      <c r="F687" t="s">
        <v>116</v>
      </c>
      <c r="G687" t="s">
        <v>138</v>
      </c>
      <c r="H687" t="s">
        <v>139</v>
      </c>
      <c r="I687" t="s">
        <v>45</v>
      </c>
      <c r="J687" t="s">
        <v>46</v>
      </c>
      <c r="K687" t="s">
        <v>48</v>
      </c>
      <c r="L687" t="s">
        <v>49</v>
      </c>
      <c r="M687" t="s">
        <v>140</v>
      </c>
      <c r="N687">
        <v>18528</v>
      </c>
      <c r="O687">
        <v>0</v>
      </c>
      <c r="P687">
        <v>0</v>
      </c>
      <c r="Q687" t="str">
        <f t="shared" si="20"/>
        <v>50+</v>
      </c>
      <c r="R687" t="str">
        <f t="shared" si="21"/>
        <v>[ir8wuHHzoSs]|50+|Male|POP_EST.T_1|CY2024Q3</v>
      </c>
    </row>
    <row r="688" spans="4:18" x14ac:dyDescent="0.2">
      <c r="D688" t="s">
        <v>117</v>
      </c>
      <c r="E688" t="s">
        <v>118</v>
      </c>
      <c r="F688" t="s">
        <v>119</v>
      </c>
      <c r="G688" t="s">
        <v>138</v>
      </c>
      <c r="H688" t="s">
        <v>139</v>
      </c>
      <c r="I688" t="s">
        <v>28</v>
      </c>
      <c r="J688" t="s">
        <v>29</v>
      </c>
      <c r="K688" t="s">
        <v>30</v>
      </c>
      <c r="L688" t="s">
        <v>31</v>
      </c>
      <c r="M688" t="s">
        <v>140</v>
      </c>
      <c r="N688">
        <v>6020</v>
      </c>
      <c r="O688">
        <v>0</v>
      </c>
      <c r="P688">
        <v>0</v>
      </c>
      <c r="Q688" t="str">
        <f t="shared" si="20"/>
        <v>&lt;01</v>
      </c>
      <c r="R688" t="str">
        <f t="shared" si="21"/>
        <v>[oiPR2CiVJbf]|&lt;01|Female|POP_EST.T_1|CY2024Q3</v>
      </c>
    </row>
    <row r="689" spans="4:18" x14ac:dyDescent="0.2">
      <c r="D689" t="s">
        <v>117</v>
      </c>
      <c r="E689" t="s">
        <v>118</v>
      </c>
      <c r="F689" t="s">
        <v>119</v>
      </c>
      <c r="G689" t="s">
        <v>138</v>
      </c>
      <c r="H689" t="s">
        <v>139</v>
      </c>
      <c r="I689" t="s">
        <v>33</v>
      </c>
      <c r="J689" t="s">
        <v>34</v>
      </c>
      <c r="K689" t="s">
        <v>30</v>
      </c>
      <c r="L689" t="s">
        <v>31</v>
      </c>
      <c r="M689" t="s">
        <v>140</v>
      </c>
      <c r="N689">
        <v>50099</v>
      </c>
      <c r="O689">
        <v>0</v>
      </c>
      <c r="P689">
        <v>0</v>
      </c>
      <c r="Q689" t="str">
        <f t="shared" si="20"/>
        <v>01-09</v>
      </c>
      <c r="R689" t="str">
        <f t="shared" si="21"/>
        <v>[oiPR2CiVJbf]|01-09|Female|POP_EST.T_1|CY2024Q3</v>
      </c>
    </row>
    <row r="690" spans="4:18" x14ac:dyDescent="0.2">
      <c r="D690" t="s">
        <v>117</v>
      </c>
      <c r="E690" t="s">
        <v>118</v>
      </c>
      <c r="F690" t="s">
        <v>119</v>
      </c>
      <c r="G690" t="s">
        <v>138</v>
      </c>
      <c r="H690" t="s">
        <v>139</v>
      </c>
      <c r="I690" t="s">
        <v>36</v>
      </c>
      <c r="J690" t="s">
        <v>37</v>
      </c>
      <c r="K690" t="s">
        <v>30</v>
      </c>
      <c r="L690" t="s">
        <v>31</v>
      </c>
      <c r="M690" t="s">
        <v>140</v>
      </c>
      <c r="N690">
        <v>26378</v>
      </c>
      <c r="O690">
        <v>0</v>
      </c>
      <c r="P690">
        <v>0</v>
      </c>
      <c r="Q690" t="str">
        <f t="shared" si="20"/>
        <v>10-14</v>
      </c>
      <c r="R690" t="str">
        <f t="shared" si="21"/>
        <v>[oiPR2CiVJbf]|10-14|Female|POP_EST.T_1|CY2024Q3</v>
      </c>
    </row>
    <row r="691" spans="4:18" x14ac:dyDescent="0.2">
      <c r="D691" t="s">
        <v>117</v>
      </c>
      <c r="E691" t="s">
        <v>118</v>
      </c>
      <c r="F691" t="s">
        <v>119</v>
      </c>
      <c r="G691" t="s">
        <v>138</v>
      </c>
      <c r="H691" t="s">
        <v>139</v>
      </c>
      <c r="I691" t="s">
        <v>38</v>
      </c>
      <c r="J691" t="s">
        <v>39</v>
      </c>
      <c r="K691" t="s">
        <v>30</v>
      </c>
      <c r="L691" t="s">
        <v>31</v>
      </c>
      <c r="M691" t="s">
        <v>140</v>
      </c>
      <c r="N691">
        <v>45920</v>
      </c>
      <c r="O691">
        <v>0</v>
      </c>
      <c r="P691">
        <v>0</v>
      </c>
      <c r="Q691" t="str">
        <f t="shared" si="20"/>
        <v>15-24</v>
      </c>
      <c r="R691" t="str">
        <f t="shared" si="21"/>
        <v>[oiPR2CiVJbf]|15-24|Female|POP_EST.T_1|CY2024Q3</v>
      </c>
    </row>
    <row r="692" spans="4:18" x14ac:dyDescent="0.2">
      <c r="D692" t="s">
        <v>117</v>
      </c>
      <c r="E692" t="s">
        <v>118</v>
      </c>
      <c r="F692" t="s">
        <v>119</v>
      </c>
      <c r="G692" t="s">
        <v>138</v>
      </c>
      <c r="H692" t="s">
        <v>139</v>
      </c>
      <c r="I692" t="s">
        <v>41</v>
      </c>
      <c r="J692" t="s">
        <v>42</v>
      </c>
      <c r="K692" t="s">
        <v>30</v>
      </c>
      <c r="L692" t="s">
        <v>31</v>
      </c>
      <c r="M692" t="s">
        <v>140</v>
      </c>
      <c r="N692">
        <v>31627</v>
      </c>
      <c r="O692">
        <v>0</v>
      </c>
      <c r="P692">
        <v>0</v>
      </c>
      <c r="Q692" t="str">
        <f t="shared" si="20"/>
        <v>25-34</v>
      </c>
      <c r="R692" t="str">
        <f t="shared" si="21"/>
        <v>[oiPR2CiVJbf]|25-34|Female|POP_EST.T_1|CY2024Q3</v>
      </c>
    </row>
    <row r="693" spans="4:18" x14ac:dyDescent="0.2">
      <c r="D693" t="s">
        <v>117</v>
      </c>
      <c r="E693" t="s">
        <v>118</v>
      </c>
      <c r="F693" t="s">
        <v>119</v>
      </c>
      <c r="G693" t="s">
        <v>138</v>
      </c>
      <c r="H693" t="s">
        <v>139</v>
      </c>
      <c r="I693" t="s">
        <v>43</v>
      </c>
      <c r="J693" t="s">
        <v>44</v>
      </c>
      <c r="K693" t="s">
        <v>30</v>
      </c>
      <c r="L693" t="s">
        <v>31</v>
      </c>
      <c r="M693" t="s">
        <v>140</v>
      </c>
      <c r="N693">
        <v>35377</v>
      </c>
      <c r="O693">
        <v>0</v>
      </c>
      <c r="P693">
        <v>0</v>
      </c>
      <c r="Q693" t="str">
        <f t="shared" si="20"/>
        <v>35-49</v>
      </c>
      <c r="R693" t="str">
        <f t="shared" si="21"/>
        <v>[oiPR2CiVJbf]|35-49|Female|POP_EST.T_1|CY2024Q3</v>
      </c>
    </row>
    <row r="694" spans="4:18" x14ac:dyDescent="0.2">
      <c r="D694" t="s">
        <v>117</v>
      </c>
      <c r="E694" t="s">
        <v>118</v>
      </c>
      <c r="F694" t="s">
        <v>119</v>
      </c>
      <c r="G694" t="s">
        <v>138</v>
      </c>
      <c r="H694" t="s">
        <v>139</v>
      </c>
      <c r="I694" t="s">
        <v>45</v>
      </c>
      <c r="J694" t="s">
        <v>46</v>
      </c>
      <c r="K694" t="s">
        <v>30</v>
      </c>
      <c r="L694" t="s">
        <v>31</v>
      </c>
      <c r="M694" t="s">
        <v>140</v>
      </c>
      <c r="N694">
        <v>24104</v>
      </c>
      <c r="O694">
        <v>0</v>
      </c>
      <c r="P694">
        <v>0</v>
      </c>
      <c r="Q694" t="str">
        <f t="shared" si="20"/>
        <v>50+</v>
      </c>
      <c r="R694" t="str">
        <f t="shared" si="21"/>
        <v>[oiPR2CiVJbf]|50+|Female|POP_EST.T_1|CY2024Q3</v>
      </c>
    </row>
    <row r="695" spans="4:18" x14ac:dyDescent="0.2">
      <c r="D695" t="s">
        <v>117</v>
      </c>
      <c r="E695" t="s">
        <v>118</v>
      </c>
      <c r="F695" t="s">
        <v>119</v>
      </c>
      <c r="G695" t="s">
        <v>138</v>
      </c>
      <c r="H695" t="s">
        <v>139</v>
      </c>
      <c r="I695" t="s">
        <v>28</v>
      </c>
      <c r="J695" t="s">
        <v>29</v>
      </c>
      <c r="K695" t="s">
        <v>48</v>
      </c>
      <c r="L695" t="s">
        <v>49</v>
      </c>
      <c r="M695" t="s">
        <v>140</v>
      </c>
      <c r="N695">
        <v>6234</v>
      </c>
      <c r="O695">
        <v>0</v>
      </c>
      <c r="P695">
        <v>0</v>
      </c>
      <c r="Q695" t="str">
        <f t="shared" si="20"/>
        <v>&lt;01</v>
      </c>
      <c r="R695" t="str">
        <f t="shared" si="21"/>
        <v>[oiPR2CiVJbf]|&lt;01|Male|POP_EST.T_1|CY2024Q3</v>
      </c>
    </row>
    <row r="696" spans="4:18" x14ac:dyDescent="0.2">
      <c r="D696" t="s">
        <v>117</v>
      </c>
      <c r="E696" t="s">
        <v>118</v>
      </c>
      <c r="F696" t="s">
        <v>119</v>
      </c>
      <c r="G696" t="s">
        <v>138</v>
      </c>
      <c r="H696" t="s">
        <v>139</v>
      </c>
      <c r="I696" t="s">
        <v>33</v>
      </c>
      <c r="J696" t="s">
        <v>34</v>
      </c>
      <c r="K696" t="s">
        <v>48</v>
      </c>
      <c r="L696" t="s">
        <v>49</v>
      </c>
      <c r="M696" t="s">
        <v>140</v>
      </c>
      <c r="N696">
        <v>52205</v>
      </c>
      <c r="O696">
        <v>0</v>
      </c>
      <c r="P696">
        <v>0</v>
      </c>
      <c r="Q696" t="str">
        <f t="shared" si="20"/>
        <v>01-09</v>
      </c>
      <c r="R696" t="str">
        <f t="shared" si="21"/>
        <v>[oiPR2CiVJbf]|01-09|Male|POP_EST.T_1|CY2024Q3</v>
      </c>
    </row>
    <row r="697" spans="4:18" x14ac:dyDescent="0.2">
      <c r="D697" t="s">
        <v>117</v>
      </c>
      <c r="E697" t="s">
        <v>118</v>
      </c>
      <c r="F697" t="s">
        <v>119</v>
      </c>
      <c r="G697" t="s">
        <v>138</v>
      </c>
      <c r="H697" t="s">
        <v>139</v>
      </c>
      <c r="I697" t="s">
        <v>36</v>
      </c>
      <c r="J697" t="s">
        <v>37</v>
      </c>
      <c r="K697" t="s">
        <v>48</v>
      </c>
      <c r="L697" t="s">
        <v>49</v>
      </c>
      <c r="M697" t="s">
        <v>140</v>
      </c>
      <c r="N697">
        <v>27267</v>
      </c>
      <c r="O697">
        <v>0</v>
      </c>
      <c r="P697">
        <v>0</v>
      </c>
      <c r="Q697" t="str">
        <f t="shared" si="20"/>
        <v>10-14</v>
      </c>
      <c r="R697" t="str">
        <f t="shared" si="21"/>
        <v>[oiPR2CiVJbf]|10-14|Male|POP_EST.T_1|CY2024Q3</v>
      </c>
    </row>
    <row r="698" spans="4:18" x14ac:dyDescent="0.2">
      <c r="D698" t="s">
        <v>117</v>
      </c>
      <c r="E698" t="s">
        <v>118</v>
      </c>
      <c r="F698" t="s">
        <v>119</v>
      </c>
      <c r="G698" t="s">
        <v>138</v>
      </c>
      <c r="H698" t="s">
        <v>139</v>
      </c>
      <c r="I698" t="s">
        <v>38</v>
      </c>
      <c r="J698" t="s">
        <v>39</v>
      </c>
      <c r="K698" t="s">
        <v>48</v>
      </c>
      <c r="L698" t="s">
        <v>49</v>
      </c>
      <c r="M698" t="s">
        <v>140</v>
      </c>
      <c r="N698">
        <v>47319</v>
      </c>
      <c r="O698">
        <v>0</v>
      </c>
      <c r="P698">
        <v>0</v>
      </c>
      <c r="Q698" t="str">
        <f t="shared" si="20"/>
        <v>15-24</v>
      </c>
      <c r="R698" t="str">
        <f t="shared" si="21"/>
        <v>[oiPR2CiVJbf]|15-24|Male|POP_EST.T_1|CY2024Q3</v>
      </c>
    </row>
    <row r="699" spans="4:18" x14ac:dyDescent="0.2">
      <c r="D699" t="s">
        <v>117</v>
      </c>
      <c r="E699" t="s">
        <v>118</v>
      </c>
      <c r="F699" t="s">
        <v>119</v>
      </c>
      <c r="G699" t="s">
        <v>138</v>
      </c>
      <c r="H699" t="s">
        <v>139</v>
      </c>
      <c r="I699" t="s">
        <v>41</v>
      </c>
      <c r="J699" t="s">
        <v>42</v>
      </c>
      <c r="K699" t="s">
        <v>48</v>
      </c>
      <c r="L699" t="s">
        <v>49</v>
      </c>
      <c r="M699" t="s">
        <v>140</v>
      </c>
      <c r="N699">
        <v>28482</v>
      </c>
      <c r="O699">
        <v>0</v>
      </c>
      <c r="P699">
        <v>0</v>
      </c>
      <c r="Q699" t="str">
        <f t="shared" si="20"/>
        <v>25-34</v>
      </c>
      <c r="R699" t="str">
        <f t="shared" si="21"/>
        <v>[oiPR2CiVJbf]|25-34|Male|POP_EST.T_1|CY2024Q3</v>
      </c>
    </row>
    <row r="700" spans="4:18" x14ac:dyDescent="0.2">
      <c r="D700" t="s">
        <v>117</v>
      </c>
      <c r="E700" t="s">
        <v>118</v>
      </c>
      <c r="F700" t="s">
        <v>119</v>
      </c>
      <c r="G700" t="s">
        <v>138</v>
      </c>
      <c r="H700" t="s">
        <v>139</v>
      </c>
      <c r="I700" t="s">
        <v>43</v>
      </c>
      <c r="J700" t="s">
        <v>44</v>
      </c>
      <c r="K700" t="s">
        <v>48</v>
      </c>
      <c r="L700" t="s">
        <v>49</v>
      </c>
      <c r="M700" t="s">
        <v>140</v>
      </c>
      <c r="N700">
        <v>26689</v>
      </c>
      <c r="O700">
        <v>0</v>
      </c>
      <c r="P700">
        <v>0</v>
      </c>
      <c r="Q700" t="str">
        <f t="shared" si="20"/>
        <v>35-49</v>
      </c>
      <c r="R700" t="str">
        <f t="shared" si="21"/>
        <v>[oiPR2CiVJbf]|35-49|Male|POP_EST.T_1|CY2024Q3</v>
      </c>
    </row>
    <row r="701" spans="4:18" x14ac:dyDescent="0.2">
      <c r="D701" t="s">
        <v>117</v>
      </c>
      <c r="E701" t="s">
        <v>118</v>
      </c>
      <c r="F701" t="s">
        <v>119</v>
      </c>
      <c r="G701" t="s">
        <v>138</v>
      </c>
      <c r="H701" t="s">
        <v>139</v>
      </c>
      <c r="I701" t="s">
        <v>45</v>
      </c>
      <c r="J701" t="s">
        <v>46</v>
      </c>
      <c r="K701" t="s">
        <v>48</v>
      </c>
      <c r="L701" t="s">
        <v>49</v>
      </c>
      <c r="M701" t="s">
        <v>140</v>
      </c>
      <c r="N701">
        <v>15774</v>
      </c>
      <c r="O701">
        <v>0</v>
      </c>
      <c r="P701">
        <v>0</v>
      </c>
      <c r="Q701" t="str">
        <f t="shared" si="20"/>
        <v>50+</v>
      </c>
      <c r="R701" t="str">
        <f t="shared" si="21"/>
        <v>[oiPR2CiVJbf]|50+|Male|POP_EST.T_1|CY2024Q3</v>
      </c>
    </row>
    <row r="702" spans="4:18" x14ac:dyDescent="0.2">
      <c r="D702" t="s">
        <v>120</v>
      </c>
      <c r="E702" t="s">
        <v>121</v>
      </c>
      <c r="F702" t="s">
        <v>122</v>
      </c>
      <c r="G702" t="s">
        <v>138</v>
      </c>
      <c r="H702" t="s">
        <v>139</v>
      </c>
      <c r="I702" t="s">
        <v>28</v>
      </c>
      <c r="J702" t="s">
        <v>29</v>
      </c>
      <c r="K702" t="s">
        <v>30</v>
      </c>
      <c r="L702" t="s">
        <v>31</v>
      </c>
      <c r="M702" t="s">
        <v>140</v>
      </c>
      <c r="N702">
        <v>21441</v>
      </c>
      <c r="O702">
        <v>0</v>
      </c>
      <c r="P702">
        <v>0</v>
      </c>
      <c r="Q702" t="str">
        <f t="shared" si="20"/>
        <v>&lt;01</v>
      </c>
      <c r="R702" t="str">
        <f t="shared" si="21"/>
        <v>[mxqa3CDFmIT]|&lt;01|Female|POP_EST.T_1|CY2024Q3</v>
      </c>
    </row>
    <row r="703" spans="4:18" x14ac:dyDescent="0.2">
      <c r="D703" t="s">
        <v>120</v>
      </c>
      <c r="E703" t="s">
        <v>121</v>
      </c>
      <c r="F703" t="s">
        <v>122</v>
      </c>
      <c r="G703" t="s">
        <v>138</v>
      </c>
      <c r="H703" t="s">
        <v>139</v>
      </c>
      <c r="I703" t="s">
        <v>33</v>
      </c>
      <c r="J703" t="s">
        <v>34</v>
      </c>
      <c r="K703" t="s">
        <v>30</v>
      </c>
      <c r="L703" t="s">
        <v>31</v>
      </c>
      <c r="M703" t="s">
        <v>140</v>
      </c>
      <c r="N703">
        <v>170580</v>
      </c>
      <c r="O703">
        <v>0</v>
      </c>
      <c r="P703">
        <v>0</v>
      </c>
      <c r="Q703" t="str">
        <f t="shared" si="20"/>
        <v>01-09</v>
      </c>
      <c r="R703" t="str">
        <f t="shared" si="21"/>
        <v>[mxqa3CDFmIT]|01-09|Female|POP_EST.T_1|CY2024Q3</v>
      </c>
    </row>
    <row r="704" spans="4:18" x14ac:dyDescent="0.2">
      <c r="D704" t="s">
        <v>120</v>
      </c>
      <c r="E704" t="s">
        <v>121</v>
      </c>
      <c r="F704" t="s">
        <v>122</v>
      </c>
      <c r="G704" t="s">
        <v>138</v>
      </c>
      <c r="H704" t="s">
        <v>139</v>
      </c>
      <c r="I704" t="s">
        <v>36</v>
      </c>
      <c r="J704" t="s">
        <v>37</v>
      </c>
      <c r="K704" t="s">
        <v>30</v>
      </c>
      <c r="L704" t="s">
        <v>31</v>
      </c>
      <c r="M704" t="s">
        <v>140</v>
      </c>
      <c r="N704">
        <v>86772</v>
      </c>
      <c r="O704">
        <v>0</v>
      </c>
      <c r="P704">
        <v>0</v>
      </c>
      <c r="Q704" t="str">
        <f t="shared" si="20"/>
        <v>10-14</v>
      </c>
      <c r="R704" t="str">
        <f t="shared" si="21"/>
        <v>[mxqa3CDFmIT]|10-14|Female|POP_EST.T_1|CY2024Q3</v>
      </c>
    </row>
    <row r="705" spans="4:18" x14ac:dyDescent="0.2">
      <c r="D705" t="s">
        <v>120</v>
      </c>
      <c r="E705" t="s">
        <v>121</v>
      </c>
      <c r="F705" t="s">
        <v>122</v>
      </c>
      <c r="G705" t="s">
        <v>138</v>
      </c>
      <c r="H705" t="s">
        <v>139</v>
      </c>
      <c r="I705" t="s">
        <v>38</v>
      </c>
      <c r="J705" t="s">
        <v>39</v>
      </c>
      <c r="K705" t="s">
        <v>30</v>
      </c>
      <c r="L705" t="s">
        <v>31</v>
      </c>
      <c r="M705" t="s">
        <v>140</v>
      </c>
      <c r="N705">
        <v>179443</v>
      </c>
      <c r="O705">
        <v>0</v>
      </c>
      <c r="P705">
        <v>0</v>
      </c>
      <c r="Q705" t="str">
        <f t="shared" si="20"/>
        <v>15-24</v>
      </c>
      <c r="R705" t="str">
        <f t="shared" si="21"/>
        <v>[mxqa3CDFmIT]|15-24|Female|POP_EST.T_1|CY2024Q3</v>
      </c>
    </row>
    <row r="706" spans="4:18" x14ac:dyDescent="0.2">
      <c r="D706" t="s">
        <v>120</v>
      </c>
      <c r="E706" t="s">
        <v>121</v>
      </c>
      <c r="F706" t="s">
        <v>122</v>
      </c>
      <c r="G706" t="s">
        <v>138</v>
      </c>
      <c r="H706" t="s">
        <v>139</v>
      </c>
      <c r="I706" t="s">
        <v>41</v>
      </c>
      <c r="J706" t="s">
        <v>42</v>
      </c>
      <c r="K706" t="s">
        <v>30</v>
      </c>
      <c r="L706" t="s">
        <v>31</v>
      </c>
      <c r="M706" t="s">
        <v>140</v>
      </c>
      <c r="N706">
        <v>133812</v>
      </c>
      <c r="O706">
        <v>0</v>
      </c>
      <c r="P706">
        <v>0</v>
      </c>
      <c r="Q706" t="str">
        <f t="shared" si="20"/>
        <v>25-34</v>
      </c>
      <c r="R706" t="str">
        <f t="shared" si="21"/>
        <v>[mxqa3CDFmIT]|25-34|Female|POP_EST.T_1|CY2024Q3</v>
      </c>
    </row>
    <row r="707" spans="4:18" x14ac:dyDescent="0.2">
      <c r="D707" t="s">
        <v>120</v>
      </c>
      <c r="E707" t="s">
        <v>121</v>
      </c>
      <c r="F707" t="s">
        <v>122</v>
      </c>
      <c r="G707" t="s">
        <v>138</v>
      </c>
      <c r="H707" t="s">
        <v>139</v>
      </c>
      <c r="I707" t="s">
        <v>43</v>
      </c>
      <c r="J707" t="s">
        <v>44</v>
      </c>
      <c r="K707" t="s">
        <v>30</v>
      </c>
      <c r="L707" t="s">
        <v>31</v>
      </c>
      <c r="M707" t="s">
        <v>140</v>
      </c>
      <c r="N707">
        <v>119548</v>
      </c>
      <c r="O707">
        <v>0</v>
      </c>
      <c r="P707">
        <v>0</v>
      </c>
      <c r="Q707" t="str">
        <f t="shared" ref="Q707:Q770" si="22">SUBSTITUTE(SUBSTITUTE($I707,CHAR(61),""),CHAR(34),"")</f>
        <v>35-49</v>
      </c>
      <c r="R707" t="str">
        <f t="shared" ref="R707:R770" si="23">IF($D707&lt;&gt;"","["&amp;$E707&amp;"]"&amp;"|"&amp;$Q707&amp;"|"&amp;$K707&amp;"|"&amp;$G707&amp;"|"&amp;IF($G707="TX_CURR_SUBNAT.R","CY2023Q4",$M707),"")</f>
        <v>[mxqa3CDFmIT]|35-49|Female|POP_EST.T_1|CY2024Q3</v>
      </c>
    </row>
    <row r="708" spans="4:18" x14ac:dyDescent="0.2">
      <c r="D708" t="s">
        <v>120</v>
      </c>
      <c r="E708" t="s">
        <v>121</v>
      </c>
      <c r="F708" t="s">
        <v>122</v>
      </c>
      <c r="G708" t="s">
        <v>138</v>
      </c>
      <c r="H708" t="s">
        <v>139</v>
      </c>
      <c r="I708" t="s">
        <v>45</v>
      </c>
      <c r="J708" t="s">
        <v>46</v>
      </c>
      <c r="K708" t="s">
        <v>30</v>
      </c>
      <c r="L708" t="s">
        <v>31</v>
      </c>
      <c r="M708" t="s">
        <v>140</v>
      </c>
      <c r="N708">
        <v>49877</v>
      </c>
      <c r="O708">
        <v>0</v>
      </c>
      <c r="P708">
        <v>0</v>
      </c>
      <c r="Q708" t="str">
        <f t="shared" si="22"/>
        <v>50+</v>
      </c>
      <c r="R708" t="str">
        <f t="shared" si="23"/>
        <v>[mxqa3CDFmIT]|50+|Female|POP_EST.T_1|CY2024Q3</v>
      </c>
    </row>
    <row r="709" spans="4:18" x14ac:dyDescent="0.2">
      <c r="D709" t="s">
        <v>120</v>
      </c>
      <c r="E709" t="s">
        <v>121</v>
      </c>
      <c r="F709" t="s">
        <v>122</v>
      </c>
      <c r="G709" t="s">
        <v>138</v>
      </c>
      <c r="H709" t="s">
        <v>139</v>
      </c>
      <c r="I709" t="s">
        <v>28</v>
      </c>
      <c r="J709" t="s">
        <v>29</v>
      </c>
      <c r="K709" t="s">
        <v>48</v>
      </c>
      <c r="L709" t="s">
        <v>49</v>
      </c>
      <c r="M709" t="s">
        <v>140</v>
      </c>
      <c r="N709">
        <v>21409</v>
      </c>
      <c r="O709">
        <v>0</v>
      </c>
      <c r="P709">
        <v>0</v>
      </c>
      <c r="Q709" t="str">
        <f t="shared" si="22"/>
        <v>&lt;01</v>
      </c>
      <c r="R709" t="str">
        <f t="shared" si="23"/>
        <v>[mxqa3CDFmIT]|&lt;01|Male|POP_EST.T_1|CY2024Q3</v>
      </c>
    </row>
    <row r="710" spans="4:18" x14ac:dyDescent="0.2">
      <c r="D710" t="s">
        <v>120</v>
      </c>
      <c r="E710" t="s">
        <v>121</v>
      </c>
      <c r="F710" t="s">
        <v>122</v>
      </c>
      <c r="G710" t="s">
        <v>138</v>
      </c>
      <c r="H710" t="s">
        <v>139</v>
      </c>
      <c r="I710" t="s">
        <v>33</v>
      </c>
      <c r="J710" t="s">
        <v>34</v>
      </c>
      <c r="K710" t="s">
        <v>48</v>
      </c>
      <c r="L710" t="s">
        <v>49</v>
      </c>
      <c r="M710" t="s">
        <v>140</v>
      </c>
      <c r="N710">
        <v>171424</v>
      </c>
      <c r="O710">
        <v>0</v>
      </c>
      <c r="P710">
        <v>0</v>
      </c>
      <c r="Q710" t="str">
        <f t="shared" si="22"/>
        <v>01-09</v>
      </c>
      <c r="R710" t="str">
        <f t="shared" si="23"/>
        <v>[mxqa3CDFmIT]|01-09|Male|POP_EST.T_1|CY2024Q3</v>
      </c>
    </row>
    <row r="711" spans="4:18" x14ac:dyDescent="0.2">
      <c r="D711" t="s">
        <v>120</v>
      </c>
      <c r="E711" t="s">
        <v>121</v>
      </c>
      <c r="F711" t="s">
        <v>122</v>
      </c>
      <c r="G711" t="s">
        <v>138</v>
      </c>
      <c r="H711" t="s">
        <v>139</v>
      </c>
      <c r="I711" t="s">
        <v>36</v>
      </c>
      <c r="J711" t="s">
        <v>37</v>
      </c>
      <c r="K711" t="s">
        <v>48</v>
      </c>
      <c r="L711" t="s">
        <v>49</v>
      </c>
      <c r="M711" t="s">
        <v>140</v>
      </c>
      <c r="N711">
        <v>85158</v>
      </c>
      <c r="O711">
        <v>0</v>
      </c>
      <c r="P711">
        <v>0</v>
      </c>
      <c r="Q711" t="str">
        <f t="shared" si="22"/>
        <v>10-14</v>
      </c>
      <c r="R711" t="str">
        <f t="shared" si="23"/>
        <v>[mxqa3CDFmIT]|10-14|Male|POP_EST.T_1|CY2024Q3</v>
      </c>
    </row>
    <row r="712" spans="4:18" x14ac:dyDescent="0.2">
      <c r="D712" t="s">
        <v>120</v>
      </c>
      <c r="E712" t="s">
        <v>121</v>
      </c>
      <c r="F712" t="s">
        <v>122</v>
      </c>
      <c r="G712" t="s">
        <v>138</v>
      </c>
      <c r="H712" t="s">
        <v>139</v>
      </c>
      <c r="I712" t="s">
        <v>38</v>
      </c>
      <c r="J712" t="s">
        <v>39</v>
      </c>
      <c r="K712" t="s">
        <v>48</v>
      </c>
      <c r="L712" t="s">
        <v>49</v>
      </c>
      <c r="M712" t="s">
        <v>140</v>
      </c>
      <c r="N712">
        <v>177883</v>
      </c>
      <c r="O712">
        <v>0</v>
      </c>
      <c r="P712">
        <v>0</v>
      </c>
      <c r="Q712" t="str">
        <f t="shared" si="22"/>
        <v>15-24</v>
      </c>
      <c r="R712" t="str">
        <f t="shared" si="23"/>
        <v>[mxqa3CDFmIT]|15-24|Male|POP_EST.T_1|CY2024Q3</v>
      </c>
    </row>
    <row r="713" spans="4:18" x14ac:dyDescent="0.2">
      <c r="D713" t="s">
        <v>120</v>
      </c>
      <c r="E713" t="s">
        <v>121</v>
      </c>
      <c r="F713" t="s">
        <v>122</v>
      </c>
      <c r="G713" t="s">
        <v>138</v>
      </c>
      <c r="H713" t="s">
        <v>139</v>
      </c>
      <c r="I713" t="s">
        <v>41</v>
      </c>
      <c r="J713" t="s">
        <v>42</v>
      </c>
      <c r="K713" t="s">
        <v>48</v>
      </c>
      <c r="L713" t="s">
        <v>49</v>
      </c>
      <c r="M713" t="s">
        <v>140</v>
      </c>
      <c r="N713">
        <v>132101</v>
      </c>
      <c r="O713">
        <v>0</v>
      </c>
      <c r="P713">
        <v>0</v>
      </c>
      <c r="Q713" t="str">
        <f t="shared" si="22"/>
        <v>25-34</v>
      </c>
      <c r="R713" t="str">
        <f t="shared" si="23"/>
        <v>[mxqa3CDFmIT]|25-34|Male|POP_EST.T_1|CY2024Q3</v>
      </c>
    </row>
    <row r="714" spans="4:18" x14ac:dyDescent="0.2">
      <c r="D714" t="s">
        <v>120</v>
      </c>
      <c r="E714" t="s">
        <v>121</v>
      </c>
      <c r="F714" t="s">
        <v>122</v>
      </c>
      <c r="G714" t="s">
        <v>138</v>
      </c>
      <c r="H714" t="s">
        <v>139</v>
      </c>
      <c r="I714" t="s">
        <v>43</v>
      </c>
      <c r="J714" t="s">
        <v>44</v>
      </c>
      <c r="K714" t="s">
        <v>48</v>
      </c>
      <c r="L714" t="s">
        <v>49</v>
      </c>
      <c r="M714" t="s">
        <v>140</v>
      </c>
      <c r="N714">
        <v>117838</v>
      </c>
      <c r="O714">
        <v>0</v>
      </c>
      <c r="P714">
        <v>0</v>
      </c>
      <c r="Q714" t="str">
        <f t="shared" si="22"/>
        <v>35-49</v>
      </c>
      <c r="R714" t="str">
        <f t="shared" si="23"/>
        <v>[mxqa3CDFmIT]|35-49|Male|POP_EST.T_1|CY2024Q3</v>
      </c>
    </row>
    <row r="715" spans="4:18" x14ac:dyDescent="0.2">
      <c r="D715" t="s">
        <v>120</v>
      </c>
      <c r="E715" t="s">
        <v>121</v>
      </c>
      <c r="F715" t="s">
        <v>122</v>
      </c>
      <c r="G715" t="s">
        <v>138</v>
      </c>
      <c r="H715" t="s">
        <v>139</v>
      </c>
      <c r="I715" t="s">
        <v>45</v>
      </c>
      <c r="J715" t="s">
        <v>46</v>
      </c>
      <c r="K715" t="s">
        <v>48</v>
      </c>
      <c r="L715" t="s">
        <v>49</v>
      </c>
      <c r="M715" t="s">
        <v>140</v>
      </c>
      <c r="N715">
        <v>46839</v>
      </c>
      <c r="O715">
        <v>0</v>
      </c>
      <c r="P715">
        <v>0</v>
      </c>
      <c r="Q715" t="str">
        <f t="shared" si="22"/>
        <v>50+</v>
      </c>
      <c r="R715" t="str">
        <f t="shared" si="23"/>
        <v>[mxqa3CDFmIT]|50+|Male|POP_EST.T_1|CY2024Q3</v>
      </c>
    </row>
    <row r="716" spans="4:18" x14ac:dyDescent="0.2">
      <c r="D716" t="s">
        <v>123</v>
      </c>
      <c r="E716" t="s">
        <v>124</v>
      </c>
      <c r="F716" t="s">
        <v>125</v>
      </c>
      <c r="G716" t="s">
        <v>138</v>
      </c>
      <c r="H716" t="s">
        <v>139</v>
      </c>
      <c r="I716" t="s">
        <v>28</v>
      </c>
      <c r="J716" t="s">
        <v>29</v>
      </c>
      <c r="K716" t="s">
        <v>30</v>
      </c>
      <c r="L716" t="s">
        <v>31</v>
      </c>
      <c r="M716" t="s">
        <v>140</v>
      </c>
      <c r="N716">
        <v>2707</v>
      </c>
      <c r="O716">
        <v>0</v>
      </c>
      <c r="P716">
        <v>0</v>
      </c>
      <c r="Q716" t="str">
        <f t="shared" si="22"/>
        <v>&lt;01</v>
      </c>
      <c r="R716" t="str">
        <f t="shared" si="23"/>
        <v>[wNqJp8oRIcF]|&lt;01|Female|POP_EST.T_1|CY2024Q3</v>
      </c>
    </row>
    <row r="717" spans="4:18" x14ac:dyDescent="0.2">
      <c r="D717" t="s">
        <v>123</v>
      </c>
      <c r="E717" t="s">
        <v>124</v>
      </c>
      <c r="F717" t="s">
        <v>125</v>
      </c>
      <c r="G717" t="s">
        <v>138</v>
      </c>
      <c r="H717" t="s">
        <v>139</v>
      </c>
      <c r="I717" t="s">
        <v>33</v>
      </c>
      <c r="J717" t="s">
        <v>34</v>
      </c>
      <c r="K717" t="s">
        <v>30</v>
      </c>
      <c r="L717" t="s">
        <v>31</v>
      </c>
      <c r="M717" t="s">
        <v>140</v>
      </c>
      <c r="N717">
        <v>21550</v>
      </c>
      <c r="O717">
        <v>0</v>
      </c>
      <c r="P717">
        <v>0</v>
      </c>
      <c r="Q717" t="str">
        <f t="shared" si="22"/>
        <v>01-09</v>
      </c>
      <c r="R717" t="str">
        <f t="shared" si="23"/>
        <v>[wNqJp8oRIcF]|01-09|Female|POP_EST.T_1|CY2024Q3</v>
      </c>
    </row>
    <row r="718" spans="4:18" x14ac:dyDescent="0.2">
      <c r="D718" t="s">
        <v>123</v>
      </c>
      <c r="E718" t="s">
        <v>124</v>
      </c>
      <c r="F718" t="s">
        <v>125</v>
      </c>
      <c r="G718" t="s">
        <v>138</v>
      </c>
      <c r="H718" t="s">
        <v>139</v>
      </c>
      <c r="I718" t="s">
        <v>36</v>
      </c>
      <c r="J718" t="s">
        <v>37</v>
      </c>
      <c r="K718" t="s">
        <v>30</v>
      </c>
      <c r="L718" t="s">
        <v>31</v>
      </c>
      <c r="M718" t="s">
        <v>140</v>
      </c>
      <c r="N718">
        <v>10261</v>
      </c>
      <c r="O718">
        <v>0</v>
      </c>
      <c r="P718">
        <v>0</v>
      </c>
      <c r="Q718" t="str">
        <f t="shared" si="22"/>
        <v>10-14</v>
      </c>
      <c r="R718" t="str">
        <f t="shared" si="23"/>
        <v>[wNqJp8oRIcF]|10-14|Female|POP_EST.T_1|CY2024Q3</v>
      </c>
    </row>
    <row r="719" spans="4:18" x14ac:dyDescent="0.2">
      <c r="D719" t="s">
        <v>123</v>
      </c>
      <c r="E719" t="s">
        <v>124</v>
      </c>
      <c r="F719" t="s">
        <v>125</v>
      </c>
      <c r="G719" t="s">
        <v>138</v>
      </c>
      <c r="H719" t="s">
        <v>139</v>
      </c>
      <c r="I719" t="s">
        <v>38</v>
      </c>
      <c r="J719" t="s">
        <v>39</v>
      </c>
      <c r="K719" t="s">
        <v>30</v>
      </c>
      <c r="L719" t="s">
        <v>31</v>
      </c>
      <c r="M719" t="s">
        <v>140</v>
      </c>
      <c r="N719">
        <v>18981</v>
      </c>
      <c r="O719">
        <v>0</v>
      </c>
      <c r="P719">
        <v>0</v>
      </c>
      <c r="Q719" t="str">
        <f t="shared" si="22"/>
        <v>15-24</v>
      </c>
      <c r="R719" t="str">
        <f t="shared" si="23"/>
        <v>[wNqJp8oRIcF]|15-24|Female|POP_EST.T_1|CY2024Q3</v>
      </c>
    </row>
    <row r="720" spans="4:18" x14ac:dyDescent="0.2">
      <c r="D720" t="s">
        <v>123</v>
      </c>
      <c r="E720" t="s">
        <v>124</v>
      </c>
      <c r="F720" t="s">
        <v>125</v>
      </c>
      <c r="G720" t="s">
        <v>138</v>
      </c>
      <c r="H720" t="s">
        <v>139</v>
      </c>
      <c r="I720" t="s">
        <v>41</v>
      </c>
      <c r="J720" t="s">
        <v>42</v>
      </c>
      <c r="K720" t="s">
        <v>30</v>
      </c>
      <c r="L720" t="s">
        <v>31</v>
      </c>
      <c r="M720" t="s">
        <v>140</v>
      </c>
      <c r="N720">
        <v>12499</v>
      </c>
      <c r="O720">
        <v>0</v>
      </c>
      <c r="P720">
        <v>0</v>
      </c>
      <c r="Q720" t="str">
        <f t="shared" si="22"/>
        <v>25-34</v>
      </c>
      <c r="R720" t="str">
        <f t="shared" si="23"/>
        <v>[wNqJp8oRIcF]|25-34|Female|POP_EST.T_1|CY2024Q3</v>
      </c>
    </row>
    <row r="721" spans="4:18" x14ac:dyDescent="0.2">
      <c r="D721" t="s">
        <v>123</v>
      </c>
      <c r="E721" t="s">
        <v>124</v>
      </c>
      <c r="F721" t="s">
        <v>125</v>
      </c>
      <c r="G721" t="s">
        <v>138</v>
      </c>
      <c r="H721" t="s">
        <v>139</v>
      </c>
      <c r="I721" t="s">
        <v>43</v>
      </c>
      <c r="J721" t="s">
        <v>44</v>
      </c>
      <c r="K721" t="s">
        <v>30</v>
      </c>
      <c r="L721" t="s">
        <v>31</v>
      </c>
      <c r="M721" t="s">
        <v>140</v>
      </c>
      <c r="N721">
        <v>12074</v>
      </c>
      <c r="O721">
        <v>0</v>
      </c>
      <c r="P721">
        <v>0</v>
      </c>
      <c r="Q721" t="str">
        <f t="shared" si="22"/>
        <v>35-49</v>
      </c>
      <c r="R721" t="str">
        <f t="shared" si="23"/>
        <v>[wNqJp8oRIcF]|35-49|Female|POP_EST.T_1|CY2024Q3</v>
      </c>
    </row>
    <row r="722" spans="4:18" x14ac:dyDescent="0.2">
      <c r="D722" t="s">
        <v>123</v>
      </c>
      <c r="E722" t="s">
        <v>124</v>
      </c>
      <c r="F722" t="s">
        <v>125</v>
      </c>
      <c r="G722" t="s">
        <v>138</v>
      </c>
      <c r="H722" t="s">
        <v>139</v>
      </c>
      <c r="I722" t="s">
        <v>45</v>
      </c>
      <c r="J722" t="s">
        <v>46</v>
      </c>
      <c r="K722" t="s">
        <v>30</v>
      </c>
      <c r="L722" t="s">
        <v>31</v>
      </c>
      <c r="M722" t="s">
        <v>140</v>
      </c>
      <c r="N722">
        <v>6722</v>
      </c>
      <c r="O722">
        <v>0</v>
      </c>
      <c r="P722">
        <v>0</v>
      </c>
      <c r="Q722" t="str">
        <f t="shared" si="22"/>
        <v>50+</v>
      </c>
      <c r="R722" t="str">
        <f t="shared" si="23"/>
        <v>[wNqJp8oRIcF]|50+|Female|POP_EST.T_1|CY2024Q3</v>
      </c>
    </row>
    <row r="723" spans="4:18" x14ac:dyDescent="0.2">
      <c r="D723" t="s">
        <v>123</v>
      </c>
      <c r="E723" t="s">
        <v>124</v>
      </c>
      <c r="F723" t="s">
        <v>125</v>
      </c>
      <c r="G723" t="s">
        <v>138</v>
      </c>
      <c r="H723" t="s">
        <v>139</v>
      </c>
      <c r="I723" t="s">
        <v>28</v>
      </c>
      <c r="J723" t="s">
        <v>29</v>
      </c>
      <c r="K723" t="s">
        <v>48</v>
      </c>
      <c r="L723" t="s">
        <v>49</v>
      </c>
      <c r="M723" t="s">
        <v>140</v>
      </c>
      <c r="N723">
        <v>2729</v>
      </c>
      <c r="O723">
        <v>0</v>
      </c>
      <c r="P723">
        <v>0</v>
      </c>
      <c r="Q723" t="str">
        <f t="shared" si="22"/>
        <v>&lt;01</v>
      </c>
      <c r="R723" t="str">
        <f t="shared" si="23"/>
        <v>[wNqJp8oRIcF]|&lt;01|Male|POP_EST.T_1|CY2024Q3</v>
      </c>
    </row>
    <row r="724" spans="4:18" x14ac:dyDescent="0.2">
      <c r="D724" t="s">
        <v>123</v>
      </c>
      <c r="E724" t="s">
        <v>124</v>
      </c>
      <c r="F724" t="s">
        <v>125</v>
      </c>
      <c r="G724" t="s">
        <v>138</v>
      </c>
      <c r="H724" t="s">
        <v>139</v>
      </c>
      <c r="I724" t="s">
        <v>33</v>
      </c>
      <c r="J724" t="s">
        <v>34</v>
      </c>
      <c r="K724" t="s">
        <v>48</v>
      </c>
      <c r="L724" t="s">
        <v>49</v>
      </c>
      <c r="M724" t="s">
        <v>140</v>
      </c>
      <c r="N724">
        <v>21599</v>
      </c>
      <c r="O724">
        <v>0</v>
      </c>
      <c r="P724">
        <v>0</v>
      </c>
      <c r="Q724" t="str">
        <f t="shared" si="22"/>
        <v>01-09</v>
      </c>
      <c r="R724" t="str">
        <f t="shared" si="23"/>
        <v>[wNqJp8oRIcF]|01-09|Male|POP_EST.T_1|CY2024Q3</v>
      </c>
    </row>
    <row r="725" spans="4:18" x14ac:dyDescent="0.2">
      <c r="D725" t="s">
        <v>123</v>
      </c>
      <c r="E725" t="s">
        <v>124</v>
      </c>
      <c r="F725" t="s">
        <v>125</v>
      </c>
      <c r="G725" t="s">
        <v>138</v>
      </c>
      <c r="H725" t="s">
        <v>139</v>
      </c>
      <c r="I725" t="s">
        <v>36</v>
      </c>
      <c r="J725" t="s">
        <v>37</v>
      </c>
      <c r="K725" t="s">
        <v>48</v>
      </c>
      <c r="L725" t="s">
        <v>49</v>
      </c>
      <c r="M725" t="s">
        <v>140</v>
      </c>
      <c r="N725">
        <v>10482</v>
      </c>
      <c r="O725">
        <v>0</v>
      </c>
      <c r="P725">
        <v>0</v>
      </c>
      <c r="Q725" t="str">
        <f t="shared" si="22"/>
        <v>10-14</v>
      </c>
      <c r="R725" t="str">
        <f t="shared" si="23"/>
        <v>[wNqJp8oRIcF]|10-14|Male|POP_EST.T_1|CY2024Q3</v>
      </c>
    </row>
    <row r="726" spans="4:18" x14ac:dyDescent="0.2">
      <c r="D726" t="s">
        <v>123</v>
      </c>
      <c r="E726" t="s">
        <v>124</v>
      </c>
      <c r="F726" t="s">
        <v>125</v>
      </c>
      <c r="G726" t="s">
        <v>138</v>
      </c>
      <c r="H726" t="s">
        <v>139</v>
      </c>
      <c r="I726" t="s">
        <v>38</v>
      </c>
      <c r="J726" t="s">
        <v>39</v>
      </c>
      <c r="K726" t="s">
        <v>48</v>
      </c>
      <c r="L726" t="s">
        <v>49</v>
      </c>
      <c r="M726" t="s">
        <v>140</v>
      </c>
      <c r="N726">
        <v>18857</v>
      </c>
      <c r="O726">
        <v>0</v>
      </c>
      <c r="P726">
        <v>0</v>
      </c>
      <c r="Q726" t="str">
        <f t="shared" si="22"/>
        <v>15-24</v>
      </c>
      <c r="R726" t="str">
        <f t="shared" si="23"/>
        <v>[wNqJp8oRIcF]|15-24|Male|POP_EST.T_1|CY2024Q3</v>
      </c>
    </row>
    <row r="727" spans="4:18" x14ac:dyDescent="0.2">
      <c r="D727" t="s">
        <v>123</v>
      </c>
      <c r="E727" t="s">
        <v>124</v>
      </c>
      <c r="F727" t="s">
        <v>125</v>
      </c>
      <c r="G727" t="s">
        <v>138</v>
      </c>
      <c r="H727" t="s">
        <v>139</v>
      </c>
      <c r="I727" t="s">
        <v>41</v>
      </c>
      <c r="J727" t="s">
        <v>42</v>
      </c>
      <c r="K727" t="s">
        <v>48</v>
      </c>
      <c r="L727" t="s">
        <v>49</v>
      </c>
      <c r="M727" t="s">
        <v>140</v>
      </c>
      <c r="N727">
        <v>12179</v>
      </c>
      <c r="O727">
        <v>0</v>
      </c>
      <c r="P727">
        <v>0</v>
      </c>
      <c r="Q727" t="str">
        <f t="shared" si="22"/>
        <v>25-34</v>
      </c>
      <c r="R727" t="str">
        <f t="shared" si="23"/>
        <v>[wNqJp8oRIcF]|25-34|Male|POP_EST.T_1|CY2024Q3</v>
      </c>
    </row>
    <row r="728" spans="4:18" x14ac:dyDescent="0.2">
      <c r="D728" t="s">
        <v>123</v>
      </c>
      <c r="E728" t="s">
        <v>124</v>
      </c>
      <c r="F728" t="s">
        <v>125</v>
      </c>
      <c r="G728" t="s">
        <v>138</v>
      </c>
      <c r="H728" t="s">
        <v>139</v>
      </c>
      <c r="I728" t="s">
        <v>43</v>
      </c>
      <c r="J728" t="s">
        <v>44</v>
      </c>
      <c r="K728" t="s">
        <v>48</v>
      </c>
      <c r="L728" t="s">
        <v>49</v>
      </c>
      <c r="M728" t="s">
        <v>140</v>
      </c>
      <c r="N728">
        <v>10745</v>
      </c>
      <c r="O728">
        <v>0</v>
      </c>
      <c r="P728">
        <v>0</v>
      </c>
      <c r="Q728" t="str">
        <f t="shared" si="22"/>
        <v>35-49</v>
      </c>
      <c r="R728" t="str">
        <f t="shared" si="23"/>
        <v>[wNqJp8oRIcF]|35-49|Male|POP_EST.T_1|CY2024Q3</v>
      </c>
    </row>
    <row r="729" spans="4:18" x14ac:dyDescent="0.2">
      <c r="D729" t="s">
        <v>123</v>
      </c>
      <c r="E729" t="s">
        <v>124</v>
      </c>
      <c r="F729" t="s">
        <v>125</v>
      </c>
      <c r="G729" t="s">
        <v>138</v>
      </c>
      <c r="H729" t="s">
        <v>139</v>
      </c>
      <c r="I729" t="s">
        <v>45</v>
      </c>
      <c r="J729" t="s">
        <v>46</v>
      </c>
      <c r="K729" t="s">
        <v>48</v>
      </c>
      <c r="L729" t="s">
        <v>49</v>
      </c>
      <c r="M729" t="s">
        <v>140</v>
      </c>
      <c r="N729">
        <v>5143</v>
      </c>
      <c r="O729">
        <v>0</v>
      </c>
      <c r="P729">
        <v>0</v>
      </c>
      <c r="Q729" t="str">
        <f t="shared" si="22"/>
        <v>50+</v>
      </c>
      <c r="R729" t="str">
        <f t="shared" si="23"/>
        <v>[wNqJp8oRIcF]|50+|Male|POP_EST.T_1|CY2024Q3</v>
      </c>
    </row>
    <row r="730" spans="4:18" x14ac:dyDescent="0.2">
      <c r="D730" t="s">
        <v>126</v>
      </c>
      <c r="E730" t="s">
        <v>127</v>
      </c>
      <c r="F730" t="s">
        <v>128</v>
      </c>
      <c r="G730" t="s">
        <v>138</v>
      </c>
      <c r="H730" t="s">
        <v>139</v>
      </c>
      <c r="I730" t="s">
        <v>28</v>
      </c>
      <c r="J730" t="s">
        <v>29</v>
      </c>
      <c r="K730" t="s">
        <v>30</v>
      </c>
      <c r="L730" t="s">
        <v>31</v>
      </c>
      <c r="M730" t="s">
        <v>140</v>
      </c>
      <c r="N730">
        <v>12321</v>
      </c>
      <c r="O730">
        <v>0</v>
      </c>
      <c r="P730">
        <v>0</v>
      </c>
      <c r="Q730" t="str">
        <f t="shared" si="22"/>
        <v>&lt;01</v>
      </c>
      <c r="R730" t="str">
        <f t="shared" si="23"/>
        <v>[ul0y9diGujK]|&lt;01|Female|POP_EST.T_1|CY2024Q3</v>
      </c>
    </row>
    <row r="731" spans="4:18" x14ac:dyDescent="0.2">
      <c r="D731" t="s">
        <v>126</v>
      </c>
      <c r="E731" t="s">
        <v>127</v>
      </c>
      <c r="F731" t="s">
        <v>128</v>
      </c>
      <c r="G731" t="s">
        <v>138</v>
      </c>
      <c r="H731" t="s">
        <v>139</v>
      </c>
      <c r="I731" t="s">
        <v>33</v>
      </c>
      <c r="J731" t="s">
        <v>34</v>
      </c>
      <c r="K731" t="s">
        <v>30</v>
      </c>
      <c r="L731" t="s">
        <v>31</v>
      </c>
      <c r="M731" t="s">
        <v>140</v>
      </c>
      <c r="N731">
        <v>104761</v>
      </c>
      <c r="O731">
        <v>0</v>
      </c>
      <c r="P731">
        <v>0</v>
      </c>
      <c r="Q731" t="str">
        <f t="shared" si="22"/>
        <v>01-09</v>
      </c>
      <c r="R731" t="str">
        <f t="shared" si="23"/>
        <v>[ul0y9diGujK]|01-09|Female|POP_EST.T_1|CY2024Q3</v>
      </c>
    </row>
    <row r="732" spans="4:18" x14ac:dyDescent="0.2">
      <c r="D732" t="s">
        <v>126</v>
      </c>
      <c r="E732" t="s">
        <v>127</v>
      </c>
      <c r="F732" t="s">
        <v>128</v>
      </c>
      <c r="G732" t="s">
        <v>138</v>
      </c>
      <c r="H732" t="s">
        <v>139</v>
      </c>
      <c r="I732" t="s">
        <v>36</v>
      </c>
      <c r="J732" t="s">
        <v>37</v>
      </c>
      <c r="K732" t="s">
        <v>30</v>
      </c>
      <c r="L732" t="s">
        <v>31</v>
      </c>
      <c r="M732" t="s">
        <v>140</v>
      </c>
      <c r="N732">
        <v>57044</v>
      </c>
      <c r="O732">
        <v>0</v>
      </c>
      <c r="P732">
        <v>0</v>
      </c>
      <c r="Q732" t="str">
        <f t="shared" si="22"/>
        <v>10-14</v>
      </c>
      <c r="R732" t="str">
        <f t="shared" si="23"/>
        <v>[ul0y9diGujK]|10-14|Female|POP_EST.T_1|CY2024Q3</v>
      </c>
    </row>
    <row r="733" spans="4:18" x14ac:dyDescent="0.2">
      <c r="D733" t="s">
        <v>126</v>
      </c>
      <c r="E733" t="s">
        <v>127</v>
      </c>
      <c r="F733" t="s">
        <v>128</v>
      </c>
      <c r="G733" t="s">
        <v>138</v>
      </c>
      <c r="H733" t="s">
        <v>139</v>
      </c>
      <c r="I733" t="s">
        <v>38</v>
      </c>
      <c r="J733" t="s">
        <v>39</v>
      </c>
      <c r="K733" t="s">
        <v>30</v>
      </c>
      <c r="L733" t="s">
        <v>31</v>
      </c>
      <c r="M733" t="s">
        <v>140</v>
      </c>
      <c r="N733">
        <v>94960</v>
      </c>
      <c r="O733">
        <v>0</v>
      </c>
      <c r="P733">
        <v>0</v>
      </c>
      <c r="Q733" t="str">
        <f t="shared" si="22"/>
        <v>15-24</v>
      </c>
      <c r="R733" t="str">
        <f t="shared" si="23"/>
        <v>[ul0y9diGujK]|15-24|Female|POP_EST.T_1|CY2024Q3</v>
      </c>
    </row>
    <row r="734" spans="4:18" x14ac:dyDescent="0.2">
      <c r="D734" t="s">
        <v>126</v>
      </c>
      <c r="E734" t="s">
        <v>127</v>
      </c>
      <c r="F734" t="s">
        <v>128</v>
      </c>
      <c r="G734" t="s">
        <v>138</v>
      </c>
      <c r="H734" t="s">
        <v>139</v>
      </c>
      <c r="I734" t="s">
        <v>41</v>
      </c>
      <c r="J734" t="s">
        <v>42</v>
      </c>
      <c r="K734" t="s">
        <v>30</v>
      </c>
      <c r="L734" t="s">
        <v>31</v>
      </c>
      <c r="M734" t="s">
        <v>140</v>
      </c>
      <c r="N734">
        <v>63274</v>
      </c>
      <c r="O734">
        <v>0</v>
      </c>
      <c r="P734">
        <v>0</v>
      </c>
      <c r="Q734" t="str">
        <f t="shared" si="22"/>
        <v>25-34</v>
      </c>
      <c r="R734" t="str">
        <f t="shared" si="23"/>
        <v>[ul0y9diGujK]|25-34|Female|POP_EST.T_1|CY2024Q3</v>
      </c>
    </row>
    <row r="735" spans="4:18" x14ac:dyDescent="0.2">
      <c r="D735" t="s">
        <v>126</v>
      </c>
      <c r="E735" t="s">
        <v>127</v>
      </c>
      <c r="F735" t="s">
        <v>128</v>
      </c>
      <c r="G735" t="s">
        <v>138</v>
      </c>
      <c r="H735" t="s">
        <v>139</v>
      </c>
      <c r="I735" t="s">
        <v>43</v>
      </c>
      <c r="J735" t="s">
        <v>44</v>
      </c>
      <c r="K735" t="s">
        <v>30</v>
      </c>
      <c r="L735" t="s">
        <v>31</v>
      </c>
      <c r="M735" t="s">
        <v>140</v>
      </c>
      <c r="N735">
        <v>71748</v>
      </c>
      <c r="O735">
        <v>0</v>
      </c>
      <c r="P735">
        <v>0</v>
      </c>
      <c r="Q735" t="str">
        <f t="shared" si="22"/>
        <v>35-49</v>
      </c>
      <c r="R735" t="str">
        <f t="shared" si="23"/>
        <v>[ul0y9diGujK]|35-49|Female|POP_EST.T_1|CY2024Q3</v>
      </c>
    </row>
    <row r="736" spans="4:18" x14ac:dyDescent="0.2">
      <c r="D736" t="s">
        <v>126</v>
      </c>
      <c r="E736" t="s">
        <v>127</v>
      </c>
      <c r="F736" t="s">
        <v>128</v>
      </c>
      <c r="G736" t="s">
        <v>138</v>
      </c>
      <c r="H736" t="s">
        <v>139</v>
      </c>
      <c r="I736" t="s">
        <v>45</v>
      </c>
      <c r="J736" t="s">
        <v>46</v>
      </c>
      <c r="K736" t="s">
        <v>30</v>
      </c>
      <c r="L736" t="s">
        <v>31</v>
      </c>
      <c r="M736" t="s">
        <v>140</v>
      </c>
      <c r="N736">
        <v>43595</v>
      </c>
      <c r="O736">
        <v>0</v>
      </c>
      <c r="P736">
        <v>0</v>
      </c>
      <c r="Q736" t="str">
        <f t="shared" si="22"/>
        <v>50+</v>
      </c>
      <c r="R736" t="str">
        <f t="shared" si="23"/>
        <v>[ul0y9diGujK]|50+|Female|POP_EST.T_1|CY2024Q3</v>
      </c>
    </row>
    <row r="737" spans="4:18" x14ac:dyDescent="0.2">
      <c r="D737" t="s">
        <v>126</v>
      </c>
      <c r="E737" t="s">
        <v>127</v>
      </c>
      <c r="F737" t="s">
        <v>128</v>
      </c>
      <c r="G737" t="s">
        <v>138</v>
      </c>
      <c r="H737" t="s">
        <v>139</v>
      </c>
      <c r="I737" t="s">
        <v>28</v>
      </c>
      <c r="J737" t="s">
        <v>29</v>
      </c>
      <c r="K737" t="s">
        <v>48</v>
      </c>
      <c r="L737" t="s">
        <v>49</v>
      </c>
      <c r="M737" t="s">
        <v>140</v>
      </c>
      <c r="N737">
        <v>12511</v>
      </c>
      <c r="O737">
        <v>0</v>
      </c>
      <c r="P737">
        <v>0</v>
      </c>
      <c r="Q737" t="str">
        <f t="shared" si="22"/>
        <v>&lt;01</v>
      </c>
      <c r="R737" t="str">
        <f t="shared" si="23"/>
        <v>[ul0y9diGujK]|&lt;01|Male|POP_EST.T_1|CY2024Q3</v>
      </c>
    </row>
    <row r="738" spans="4:18" x14ac:dyDescent="0.2">
      <c r="D738" t="s">
        <v>126</v>
      </c>
      <c r="E738" t="s">
        <v>127</v>
      </c>
      <c r="F738" t="s">
        <v>128</v>
      </c>
      <c r="G738" t="s">
        <v>138</v>
      </c>
      <c r="H738" t="s">
        <v>139</v>
      </c>
      <c r="I738" t="s">
        <v>33</v>
      </c>
      <c r="J738" t="s">
        <v>34</v>
      </c>
      <c r="K738" t="s">
        <v>48</v>
      </c>
      <c r="L738" t="s">
        <v>49</v>
      </c>
      <c r="M738" t="s">
        <v>140</v>
      </c>
      <c r="N738">
        <v>106226</v>
      </c>
      <c r="O738">
        <v>0</v>
      </c>
      <c r="P738">
        <v>0</v>
      </c>
      <c r="Q738" t="str">
        <f t="shared" si="22"/>
        <v>01-09</v>
      </c>
      <c r="R738" t="str">
        <f t="shared" si="23"/>
        <v>[ul0y9diGujK]|01-09|Male|POP_EST.T_1|CY2024Q3</v>
      </c>
    </row>
    <row r="739" spans="4:18" x14ac:dyDescent="0.2">
      <c r="D739" t="s">
        <v>126</v>
      </c>
      <c r="E739" t="s">
        <v>127</v>
      </c>
      <c r="F739" t="s">
        <v>128</v>
      </c>
      <c r="G739" t="s">
        <v>138</v>
      </c>
      <c r="H739" t="s">
        <v>139</v>
      </c>
      <c r="I739" t="s">
        <v>36</v>
      </c>
      <c r="J739" t="s">
        <v>37</v>
      </c>
      <c r="K739" t="s">
        <v>48</v>
      </c>
      <c r="L739" t="s">
        <v>49</v>
      </c>
      <c r="M739" t="s">
        <v>140</v>
      </c>
      <c r="N739">
        <v>58051</v>
      </c>
      <c r="O739">
        <v>0</v>
      </c>
      <c r="P739">
        <v>0</v>
      </c>
      <c r="Q739" t="str">
        <f t="shared" si="22"/>
        <v>10-14</v>
      </c>
      <c r="R739" t="str">
        <f t="shared" si="23"/>
        <v>[ul0y9diGujK]|10-14|Male|POP_EST.T_1|CY2024Q3</v>
      </c>
    </row>
    <row r="740" spans="4:18" x14ac:dyDescent="0.2">
      <c r="D740" t="s">
        <v>126</v>
      </c>
      <c r="E740" t="s">
        <v>127</v>
      </c>
      <c r="F740" t="s">
        <v>128</v>
      </c>
      <c r="G740" t="s">
        <v>138</v>
      </c>
      <c r="H740" t="s">
        <v>139</v>
      </c>
      <c r="I740" t="s">
        <v>38</v>
      </c>
      <c r="J740" t="s">
        <v>39</v>
      </c>
      <c r="K740" t="s">
        <v>48</v>
      </c>
      <c r="L740" t="s">
        <v>49</v>
      </c>
      <c r="M740" t="s">
        <v>140</v>
      </c>
      <c r="N740">
        <v>91430</v>
      </c>
      <c r="O740">
        <v>0</v>
      </c>
      <c r="P740">
        <v>0</v>
      </c>
      <c r="Q740" t="str">
        <f t="shared" si="22"/>
        <v>15-24</v>
      </c>
      <c r="R740" t="str">
        <f t="shared" si="23"/>
        <v>[ul0y9diGujK]|15-24|Male|POP_EST.T_1|CY2024Q3</v>
      </c>
    </row>
    <row r="741" spans="4:18" x14ac:dyDescent="0.2">
      <c r="D741" t="s">
        <v>126</v>
      </c>
      <c r="E741" t="s">
        <v>127</v>
      </c>
      <c r="F741" t="s">
        <v>128</v>
      </c>
      <c r="G741" t="s">
        <v>138</v>
      </c>
      <c r="H741" t="s">
        <v>139</v>
      </c>
      <c r="I741" t="s">
        <v>41</v>
      </c>
      <c r="J741" t="s">
        <v>42</v>
      </c>
      <c r="K741" t="s">
        <v>48</v>
      </c>
      <c r="L741" t="s">
        <v>49</v>
      </c>
      <c r="M741" t="s">
        <v>140</v>
      </c>
      <c r="N741">
        <v>52244</v>
      </c>
      <c r="O741">
        <v>0</v>
      </c>
      <c r="P741">
        <v>0</v>
      </c>
      <c r="Q741" t="str">
        <f t="shared" si="22"/>
        <v>25-34</v>
      </c>
      <c r="R741" t="str">
        <f t="shared" si="23"/>
        <v>[ul0y9diGujK]|25-34|Male|POP_EST.T_1|CY2024Q3</v>
      </c>
    </row>
    <row r="742" spans="4:18" x14ac:dyDescent="0.2">
      <c r="D742" t="s">
        <v>126</v>
      </c>
      <c r="E742" t="s">
        <v>127</v>
      </c>
      <c r="F742" t="s">
        <v>128</v>
      </c>
      <c r="G742" t="s">
        <v>138</v>
      </c>
      <c r="H742" t="s">
        <v>139</v>
      </c>
      <c r="I742" t="s">
        <v>43</v>
      </c>
      <c r="J742" t="s">
        <v>44</v>
      </c>
      <c r="K742" t="s">
        <v>48</v>
      </c>
      <c r="L742" t="s">
        <v>49</v>
      </c>
      <c r="M742" t="s">
        <v>140</v>
      </c>
      <c r="N742">
        <v>52380</v>
      </c>
      <c r="O742">
        <v>0</v>
      </c>
      <c r="P742">
        <v>0</v>
      </c>
      <c r="Q742" t="str">
        <f t="shared" si="22"/>
        <v>35-49</v>
      </c>
      <c r="R742" t="str">
        <f t="shared" si="23"/>
        <v>[ul0y9diGujK]|35-49|Male|POP_EST.T_1|CY2024Q3</v>
      </c>
    </row>
    <row r="743" spans="4:18" x14ac:dyDescent="0.2">
      <c r="D743" t="s">
        <v>126</v>
      </c>
      <c r="E743" t="s">
        <v>127</v>
      </c>
      <c r="F743" t="s">
        <v>128</v>
      </c>
      <c r="G743" t="s">
        <v>138</v>
      </c>
      <c r="H743" t="s">
        <v>139</v>
      </c>
      <c r="I743" t="s">
        <v>45</v>
      </c>
      <c r="J743" t="s">
        <v>46</v>
      </c>
      <c r="K743" t="s">
        <v>48</v>
      </c>
      <c r="L743" t="s">
        <v>49</v>
      </c>
      <c r="M743" t="s">
        <v>140</v>
      </c>
      <c r="N743">
        <v>30884</v>
      </c>
      <c r="O743">
        <v>0</v>
      </c>
      <c r="P743">
        <v>0</v>
      </c>
      <c r="Q743" t="str">
        <f t="shared" si="22"/>
        <v>50+</v>
      </c>
      <c r="R743" t="str">
        <f t="shared" si="23"/>
        <v>[ul0y9diGujK]|50+|Male|POP_EST.T_1|CY2024Q3</v>
      </c>
    </row>
    <row r="744" spans="4:18" x14ac:dyDescent="0.2">
      <c r="D744" t="s">
        <v>129</v>
      </c>
      <c r="E744" t="s">
        <v>130</v>
      </c>
      <c r="F744" t="s">
        <v>131</v>
      </c>
      <c r="G744" t="s">
        <v>138</v>
      </c>
      <c r="H744" t="s">
        <v>139</v>
      </c>
      <c r="I744" t="s">
        <v>28</v>
      </c>
      <c r="J744" t="s">
        <v>29</v>
      </c>
      <c r="K744" t="s">
        <v>30</v>
      </c>
      <c r="L744" t="s">
        <v>31</v>
      </c>
      <c r="M744" t="s">
        <v>140</v>
      </c>
      <c r="N744">
        <v>11767</v>
      </c>
      <c r="O744">
        <v>0</v>
      </c>
      <c r="P744">
        <v>0</v>
      </c>
      <c r="Q744" t="str">
        <f t="shared" si="22"/>
        <v>&lt;01</v>
      </c>
      <c r="R744" t="str">
        <f t="shared" si="23"/>
        <v>[U8c0so51kT6]|&lt;01|Female|POP_EST.T_1|CY2024Q3</v>
      </c>
    </row>
    <row r="745" spans="4:18" x14ac:dyDescent="0.2">
      <c r="D745" t="s">
        <v>129</v>
      </c>
      <c r="E745" t="s">
        <v>130</v>
      </c>
      <c r="F745" t="s">
        <v>131</v>
      </c>
      <c r="G745" t="s">
        <v>138</v>
      </c>
      <c r="H745" t="s">
        <v>139</v>
      </c>
      <c r="I745" t="s">
        <v>33</v>
      </c>
      <c r="J745" t="s">
        <v>34</v>
      </c>
      <c r="K745" t="s">
        <v>30</v>
      </c>
      <c r="L745" t="s">
        <v>31</v>
      </c>
      <c r="M745" t="s">
        <v>140</v>
      </c>
      <c r="N745">
        <v>93338</v>
      </c>
      <c r="O745">
        <v>0</v>
      </c>
      <c r="P745">
        <v>0</v>
      </c>
      <c r="Q745" t="str">
        <f t="shared" si="22"/>
        <v>01-09</v>
      </c>
      <c r="R745" t="str">
        <f t="shared" si="23"/>
        <v>[U8c0so51kT6]|01-09|Female|POP_EST.T_1|CY2024Q3</v>
      </c>
    </row>
    <row r="746" spans="4:18" x14ac:dyDescent="0.2">
      <c r="D746" t="s">
        <v>129</v>
      </c>
      <c r="E746" t="s">
        <v>130</v>
      </c>
      <c r="F746" t="s">
        <v>131</v>
      </c>
      <c r="G746" t="s">
        <v>138</v>
      </c>
      <c r="H746" t="s">
        <v>139</v>
      </c>
      <c r="I746" t="s">
        <v>36</v>
      </c>
      <c r="J746" t="s">
        <v>37</v>
      </c>
      <c r="K746" t="s">
        <v>30</v>
      </c>
      <c r="L746" t="s">
        <v>31</v>
      </c>
      <c r="M746" t="s">
        <v>140</v>
      </c>
      <c r="N746">
        <v>41803</v>
      </c>
      <c r="O746">
        <v>0</v>
      </c>
      <c r="P746">
        <v>0</v>
      </c>
      <c r="Q746" t="str">
        <f t="shared" si="22"/>
        <v>10-14</v>
      </c>
      <c r="R746" t="str">
        <f t="shared" si="23"/>
        <v>[U8c0so51kT6]|10-14|Female|POP_EST.T_1|CY2024Q3</v>
      </c>
    </row>
    <row r="747" spans="4:18" x14ac:dyDescent="0.2">
      <c r="D747" t="s">
        <v>129</v>
      </c>
      <c r="E747" t="s">
        <v>130</v>
      </c>
      <c r="F747" t="s">
        <v>131</v>
      </c>
      <c r="G747" t="s">
        <v>138</v>
      </c>
      <c r="H747" t="s">
        <v>139</v>
      </c>
      <c r="I747" t="s">
        <v>38</v>
      </c>
      <c r="J747" t="s">
        <v>39</v>
      </c>
      <c r="K747" t="s">
        <v>30</v>
      </c>
      <c r="L747" t="s">
        <v>31</v>
      </c>
      <c r="M747" t="s">
        <v>140</v>
      </c>
      <c r="N747">
        <v>74084</v>
      </c>
      <c r="O747">
        <v>0</v>
      </c>
      <c r="P747">
        <v>0</v>
      </c>
      <c r="Q747" t="str">
        <f t="shared" si="22"/>
        <v>15-24</v>
      </c>
      <c r="R747" t="str">
        <f t="shared" si="23"/>
        <v>[U8c0so51kT6]|15-24|Female|POP_EST.T_1|CY2024Q3</v>
      </c>
    </row>
    <row r="748" spans="4:18" x14ac:dyDescent="0.2">
      <c r="D748" t="s">
        <v>129</v>
      </c>
      <c r="E748" t="s">
        <v>130</v>
      </c>
      <c r="F748" t="s">
        <v>131</v>
      </c>
      <c r="G748" t="s">
        <v>138</v>
      </c>
      <c r="H748" t="s">
        <v>139</v>
      </c>
      <c r="I748" t="s">
        <v>41</v>
      </c>
      <c r="J748" t="s">
        <v>42</v>
      </c>
      <c r="K748" t="s">
        <v>30</v>
      </c>
      <c r="L748" t="s">
        <v>31</v>
      </c>
      <c r="M748" t="s">
        <v>140</v>
      </c>
      <c r="N748">
        <v>49875</v>
      </c>
      <c r="O748">
        <v>0</v>
      </c>
      <c r="P748">
        <v>0</v>
      </c>
      <c r="Q748" t="str">
        <f t="shared" si="22"/>
        <v>25-34</v>
      </c>
      <c r="R748" t="str">
        <f t="shared" si="23"/>
        <v>[U8c0so51kT6]|25-34|Female|POP_EST.T_1|CY2024Q3</v>
      </c>
    </row>
    <row r="749" spans="4:18" x14ac:dyDescent="0.2">
      <c r="D749" t="s">
        <v>129</v>
      </c>
      <c r="E749" t="s">
        <v>130</v>
      </c>
      <c r="F749" t="s">
        <v>131</v>
      </c>
      <c r="G749" t="s">
        <v>138</v>
      </c>
      <c r="H749" t="s">
        <v>139</v>
      </c>
      <c r="I749" t="s">
        <v>43</v>
      </c>
      <c r="J749" t="s">
        <v>44</v>
      </c>
      <c r="K749" t="s">
        <v>30</v>
      </c>
      <c r="L749" t="s">
        <v>31</v>
      </c>
      <c r="M749" t="s">
        <v>140</v>
      </c>
      <c r="N749">
        <v>49726</v>
      </c>
      <c r="O749">
        <v>0</v>
      </c>
      <c r="P749">
        <v>0</v>
      </c>
      <c r="Q749" t="str">
        <f t="shared" si="22"/>
        <v>35-49</v>
      </c>
      <c r="R749" t="str">
        <f t="shared" si="23"/>
        <v>[U8c0so51kT6]|35-49|Female|POP_EST.T_1|CY2024Q3</v>
      </c>
    </row>
    <row r="750" spans="4:18" x14ac:dyDescent="0.2">
      <c r="D750" t="s">
        <v>129</v>
      </c>
      <c r="E750" t="s">
        <v>130</v>
      </c>
      <c r="F750" t="s">
        <v>131</v>
      </c>
      <c r="G750" t="s">
        <v>138</v>
      </c>
      <c r="H750" t="s">
        <v>139</v>
      </c>
      <c r="I750" t="s">
        <v>45</v>
      </c>
      <c r="J750" t="s">
        <v>46</v>
      </c>
      <c r="K750" t="s">
        <v>30</v>
      </c>
      <c r="L750" t="s">
        <v>31</v>
      </c>
      <c r="M750" t="s">
        <v>140</v>
      </c>
      <c r="N750">
        <v>28493</v>
      </c>
      <c r="O750">
        <v>0</v>
      </c>
      <c r="P750">
        <v>0</v>
      </c>
      <c r="Q750" t="str">
        <f t="shared" si="22"/>
        <v>50+</v>
      </c>
      <c r="R750" t="str">
        <f t="shared" si="23"/>
        <v>[U8c0so51kT6]|50+|Female|POP_EST.T_1|CY2024Q3</v>
      </c>
    </row>
    <row r="751" spans="4:18" x14ac:dyDescent="0.2">
      <c r="D751" t="s">
        <v>129</v>
      </c>
      <c r="E751" t="s">
        <v>130</v>
      </c>
      <c r="F751" t="s">
        <v>131</v>
      </c>
      <c r="G751" t="s">
        <v>138</v>
      </c>
      <c r="H751" t="s">
        <v>139</v>
      </c>
      <c r="I751" t="s">
        <v>28</v>
      </c>
      <c r="J751" t="s">
        <v>29</v>
      </c>
      <c r="K751" t="s">
        <v>48</v>
      </c>
      <c r="L751" t="s">
        <v>49</v>
      </c>
      <c r="M751" t="s">
        <v>140</v>
      </c>
      <c r="N751">
        <v>11676</v>
      </c>
      <c r="O751">
        <v>0</v>
      </c>
      <c r="P751">
        <v>0</v>
      </c>
      <c r="Q751" t="str">
        <f t="shared" si="22"/>
        <v>&lt;01</v>
      </c>
      <c r="R751" t="str">
        <f t="shared" si="23"/>
        <v>[U8c0so51kT6]|&lt;01|Male|POP_EST.T_1|CY2024Q3</v>
      </c>
    </row>
    <row r="752" spans="4:18" x14ac:dyDescent="0.2">
      <c r="D752" t="s">
        <v>129</v>
      </c>
      <c r="E752" t="s">
        <v>130</v>
      </c>
      <c r="F752" t="s">
        <v>131</v>
      </c>
      <c r="G752" t="s">
        <v>138</v>
      </c>
      <c r="H752" t="s">
        <v>139</v>
      </c>
      <c r="I752" t="s">
        <v>33</v>
      </c>
      <c r="J752" t="s">
        <v>34</v>
      </c>
      <c r="K752" t="s">
        <v>48</v>
      </c>
      <c r="L752" t="s">
        <v>49</v>
      </c>
      <c r="M752" t="s">
        <v>140</v>
      </c>
      <c r="N752">
        <v>93323</v>
      </c>
      <c r="O752">
        <v>0</v>
      </c>
      <c r="P752">
        <v>0</v>
      </c>
      <c r="Q752" t="str">
        <f t="shared" si="22"/>
        <v>01-09</v>
      </c>
      <c r="R752" t="str">
        <f t="shared" si="23"/>
        <v>[U8c0so51kT6]|01-09|Male|POP_EST.T_1|CY2024Q3</v>
      </c>
    </row>
    <row r="753" spans="4:18" x14ac:dyDescent="0.2">
      <c r="D753" t="s">
        <v>129</v>
      </c>
      <c r="E753" t="s">
        <v>130</v>
      </c>
      <c r="F753" t="s">
        <v>131</v>
      </c>
      <c r="G753" t="s">
        <v>138</v>
      </c>
      <c r="H753" t="s">
        <v>139</v>
      </c>
      <c r="I753" t="s">
        <v>36</v>
      </c>
      <c r="J753" t="s">
        <v>37</v>
      </c>
      <c r="K753" t="s">
        <v>48</v>
      </c>
      <c r="L753" t="s">
        <v>49</v>
      </c>
      <c r="M753" t="s">
        <v>140</v>
      </c>
      <c r="N753">
        <v>42148</v>
      </c>
      <c r="O753">
        <v>0</v>
      </c>
      <c r="P753">
        <v>0</v>
      </c>
      <c r="Q753" t="str">
        <f t="shared" si="22"/>
        <v>10-14</v>
      </c>
      <c r="R753" t="str">
        <f t="shared" si="23"/>
        <v>[U8c0so51kT6]|10-14|Male|POP_EST.T_1|CY2024Q3</v>
      </c>
    </row>
    <row r="754" spans="4:18" x14ac:dyDescent="0.2">
      <c r="D754" t="s">
        <v>129</v>
      </c>
      <c r="E754" t="s">
        <v>130</v>
      </c>
      <c r="F754" t="s">
        <v>131</v>
      </c>
      <c r="G754" t="s">
        <v>138</v>
      </c>
      <c r="H754" t="s">
        <v>139</v>
      </c>
      <c r="I754" t="s">
        <v>38</v>
      </c>
      <c r="J754" t="s">
        <v>39</v>
      </c>
      <c r="K754" t="s">
        <v>48</v>
      </c>
      <c r="L754" t="s">
        <v>49</v>
      </c>
      <c r="M754" t="s">
        <v>140</v>
      </c>
      <c r="N754">
        <v>72428</v>
      </c>
      <c r="O754">
        <v>0</v>
      </c>
      <c r="P754">
        <v>0</v>
      </c>
      <c r="Q754" t="str">
        <f t="shared" si="22"/>
        <v>15-24</v>
      </c>
      <c r="R754" t="str">
        <f t="shared" si="23"/>
        <v>[U8c0so51kT6]|15-24|Male|POP_EST.T_1|CY2024Q3</v>
      </c>
    </row>
    <row r="755" spans="4:18" x14ac:dyDescent="0.2">
      <c r="D755" t="s">
        <v>129</v>
      </c>
      <c r="E755" t="s">
        <v>130</v>
      </c>
      <c r="F755" t="s">
        <v>131</v>
      </c>
      <c r="G755" t="s">
        <v>138</v>
      </c>
      <c r="H755" t="s">
        <v>139</v>
      </c>
      <c r="I755" t="s">
        <v>41</v>
      </c>
      <c r="J755" t="s">
        <v>42</v>
      </c>
      <c r="K755" t="s">
        <v>48</v>
      </c>
      <c r="L755" t="s">
        <v>49</v>
      </c>
      <c r="M755" t="s">
        <v>140</v>
      </c>
      <c r="N755">
        <v>47119</v>
      </c>
      <c r="O755">
        <v>0</v>
      </c>
      <c r="P755">
        <v>0</v>
      </c>
      <c r="Q755" t="str">
        <f t="shared" si="22"/>
        <v>25-34</v>
      </c>
      <c r="R755" t="str">
        <f t="shared" si="23"/>
        <v>[U8c0so51kT6]|25-34|Male|POP_EST.T_1|CY2024Q3</v>
      </c>
    </row>
    <row r="756" spans="4:18" x14ac:dyDescent="0.2">
      <c r="D756" t="s">
        <v>129</v>
      </c>
      <c r="E756" t="s">
        <v>130</v>
      </c>
      <c r="F756" t="s">
        <v>131</v>
      </c>
      <c r="G756" t="s">
        <v>138</v>
      </c>
      <c r="H756" t="s">
        <v>139</v>
      </c>
      <c r="I756" t="s">
        <v>43</v>
      </c>
      <c r="J756" t="s">
        <v>44</v>
      </c>
      <c r="K756" t="s">
        <v>48</v>
      </c>
      <c r="L756" t="s">
        <v>49</v>
      </c>
      <c r="M756" t="s">
        <v>140</v>
      </c>
      <c r="N756">
        <v>45517</v>
      </c>
      <c r="O756">
        <v>0</v>
      </c>
      <c r="P756">
        <v>0</v>
      </c>
      <c r="Q756" t="str">
        <f t="shared" si="22"/>
        <v>35-49</v>
      </c>
      <c r="R756" t="str">
        <f t="shared" si="23"/>
        <v>[U8c0so51kT6]|35-49|Male|POP_EST.T_1|CY2024Q3</v>
      </c>
    </row>
    <row r="757" spans="4:18" x14ac:dyDescent="0.2">
      <c r="D757" t="s">
        <v>129</v>
      </c>
      <c r="E757" t="s">
        <v>130</v>
      </c>
      <c r="F757" t="s">
        <v>131</v>
      </c>
      <c r="G757" t="s">
        <v>138</v>
      </c>
      <c r="H757" t="s">
        <v>139</v>
      </c>
      <c r="I757" t="s">
        <v>45</v>
      </c>
      <c r="J757" t="s">
        <v>46</v>
      </c>
      <c r="K757" t="s">
        <v>48</v>
      </c>
      <c r="L757" t="s">
        <v>49</v>
      </c>
      <c r="M757" t="s">
        <v>140</v>
      </c>
      <c r="N757">
        <v>23630</v>
      </c>
      <c r="O757">
        <v>0</v>
      </c>
      <c r="P757">
        <v>0</v>
      </c>
      <c r="Q757" t="str">
        <f t="shared" si="22"/>
        <v>50+</v>
      </c>
      <c r="R757" t="str">
        <f t="shared" si="23"/>
        <v>[U8c0so51kT6]|50+|Male|POP_EST.T_1|CY2024Q3</v>
      </c>
    </row>
    <row r="758" spans="4:18" x14ac:dyDescent="0.2">
      <c r="D758" t="s">
        <v>132</v>
      </c>
      <c r="E758" t="s">
        <v>133</v>
      </c>
      <c r="F758" t="s">
        <v>134</v>
      </c>
      <c r="G758" t="s">
        <v>138</v>
      </c>
      <c r="H758" t="s">
        <v>139</v>
      </c>
      <c r="I758" t="s">
        <v>28</v>
      </c>
      <c r="J758" t="s">
        <v>29</v>
      </c>
      <c r="K758" t="s">
        <v>30</v>
      </c>
      <c r="L758" t="s">
        <v>31</v>
      </c>
      <c r="M758" t="s">
        <v>140</v>
      </c>
      <c r="N758">
        <v>6330</v>
      </c>
      <c r="O758">
        <v>0</v>
      </c>
      <c r="P758">
        <v>0</v>
      </c>
      <c r="Q758" t="str">
        <f t="shared" si="22"/>
        <v>&lt;01</v>
      </c>
      <c r="R758" t="str">
        <f t="shared" si="23"/>
        <v>[rpw540fmNUz]|&lt;01|Female|POP_EST.T_1|CY2024Q3</v>
      </c>
    </row>
    <row r="759" spans="4:18" x14ac:dyDescent="0.2">
      <c r="D759" t="s">
        <v>132</v>
      </c>
      <c r="E759" t="s">
        <v>133</v>
      </c>
      <c r="F759" t="s">
        <v>134</v>
      </c>
      <c r="G759" t="s">
        <v>138</v>
      </c>
      <c r="H759" t="s">
        <v>139</v>
      </c>
      <c r="I759" t="s">
        <v>33</v>
      </c>
      <c r="J759" t="s">
        <v>34</v>
      </c>
      <c r="K759" t="s">
        <v>30</v>
      </c>
      <c r="L759" t="s">
        <v>31</v>
      </c>
      <c r="M759" t="s">
        <v>140</v>
      </c>
      <c r="N759">
        <v>50846</v>
      </c>
      <c r="O759">
        <v>0</v>
      </c>
      <c r="P759">
        <v>0</v>
      </c>
      <c r="Q759" t="str">
        <f t="shared" si="22"/>
        <v>01-09</v>
      </c>
      <c r="R759" t="str">
        <f t="shared" si="23"/>
        <v>[rpw540fmNUz]|01-09|Female|POP_EST.T_1|CY2024Q3</v>
      </c>
    </row>
    <row r="760" spans="4:18" x14ac:dyDescent="0.2">
      <c r="D760" t="s">
        <v>132</v>
      </c>
      <c r="E760" t="s">
        <v>133</v>
      </c>
      <c r="F760" t="s">
        <v>134</v>
      </c>
      <c r="G760" t="s">
        <v>138</v>
      </c>
      <c r="H760" t="s">
        <v>139</v>
      </c>
      <c r="I760" t="s">
        <v>36</v>
      </c>
      <c r="J760" t="s">
        <v>37</v>
      </c>
      <c r="K760" t="s">
        <v>30</v>
      </c>
      <c r="L760" t="s">
        <v>31</v>
      </c>
      <c r="M760" t="s">
        <v>140</v>
      </c>
      <c r="N760">
        <v>22370</v>
      </c>
      <c r="O760">
        <v>0</v>
      </c>
      <c r="P760">
        <v>0</v>
      </c>
      <c r="Q760" t="str">
        <f t="shared" si="22"/>
        <v>10-14</v>
      </c>
      <c r="R760" t="str">
        <f t="shared" si="23"/>
        <v>[rpw540fmNUz]|10-14|Female|POP_EST.T_1|CY2024Q3</v>
      </c>
    </row>
    <row r="761" spans="4:18" x14ac:dyDescent="0.2">
      <c r="D761" t="s">
        <v>132</v>
      </c>
      <c r="E761" t="s">
        <v>133</v>
      </c>
      <c r="F761" t="s">
        <v>134</v>
      </c>
      <c r="G761" t="s">
        <v>138</v>
      </c>
      <c r="H761" t="s">
        <v>139</v>
      </c>
      <c r="I761" t="s">
        <v>38</v>
      </c>
      <c r="J761" t="s">
        <v>39</v>
      </c>
      <c r="K761" t="s">
        <v>30</v>
      </c>
      <c r="L761" t="s">
        <v>31</v>
      </c>
      <c r="M761" t="s">
        <v>140</v>
      </c>
      <c r="N761">
        <v>38727</v>
      </c>
      <c r="O761">
        <v>0</v>
      </c>
      <c r="P761">
        <v>0</v>
      </c>
      <c r="Q761" t="str">
        <f t="shared" si="22"/>
        <v>15-24</v>
      </c>
      <c r="R761" t="str">
        <f t="shared" si="23"/>
        <v>[rpw540fmNUz]|15-24|Female|POP_EST.T_1|CY2024Q3</v>
      </c>
    </row>
    <row r="762" spans="4:18" x14ac:dyDescent="0.2">
      <c r="D762" t="s">
        <v>132</v>
      </c>
      <c r="E762" t="s">
        <v>133</v>
      </c>
      <c r="F762" t="s">
        <v>134</v>
      </c>
      <c r="G762" t="s">
        <v>138</v>
      </c>
      <c r="H762" t="s">
        <v>139</v>
      </c>
      <c r="I762" t="s">
        <v>41</v>
      </c>
      <c r="J762" t="s">
        <v>42</v>
      </c>
      <c r="K762" t="s">
        <v>30</v>
      </c>
      <c r="L762" t="s">
        <v>31</v>
      </c>
      <c r="M762" t="s">
        <v>140</v>
      </c>
      <c r="N762">
        <v>25181</v>
      </c>
      <c r="O762">
        <v>0</v>
      </c>
      <c r="P762">
        <v>0</v>
      </c>
      <c r="Q762" t="str">
        <f t="shared" si="22"/>
        <v>25-34</v>
      </c>
      <c r="R762" t="str">
        <f t="shared" si="23"/>
        <v>[rpw540fmNUz]|25-34|Female|POP_EST.T_1|CY2024Q3</v>
      </c>
    </row>
    <row r="763" spans="4:18" x14ac:dyDescent="0.2">
      <c r="D763" t="s">
        <v>132</v>
      </c>
      <c r="E763" t="s">
        <v>133</v>
      </c>
      <c r="F763" t="s">
        <v>134</v>
      </c>
      <c r="G763" t="s">
        <v>138</v>
      </c>
      <c r="H763" t="s">
        <v>139</v>
      </c>
      <c r="I763" t="s">
        <v>43</v>
      </c>
      <c r="J763" t="s">
        <v>44</v>
      </c>
      <c r="K763" t="s">
        <v>30</v>
      </c>
      <c r="L763" t="s">
        <v>31</v>
      </c>
      <c r="M763" t="s">
        <v>140</v>
      </c>
      <c r="N763">
        <v>25444</v>
      </c>
      <c r="O763">
        <v>0</v>
      </c>
      <c r="P763">
        <v>0</v>
      </c>
      <c r="Q763" t="str">
        <f t="shared" si="22"/>
        <v>35-49</v>
      </c>
      <c r="R763" t="str">
        <f t="shared" si="23"/>
        <v>[rpw540fmNUz]|35-49|Female|POP_EST.T_1|CY2024Q3</v>
      </c>
    </row>
    <row r="764" spans="4:18" x14ac:dyDescent="0.2">
      <c r="D764" t="s">
        <v>132</v>
      </c>
      <c r="E764" t="s">
        <v>133</v>
      </c>
      <c r="F764" t="s">
        <v>134</v>
      </c>
      <c r="G764" t="s">
        <v>138</v>
      </c>
      <c r="H764" t="s">
        <v>139</v>
      </c>
      <c r="I764" t="s">
        <v>45</v>
      </c>
      <c r="J764" t="s">
        <v>46</v>
      </c>
      <c r="K764" t="s">
        <v>30</v>
      </c>
      <c r="L764" t="s">
        <v>31</v>
      </c>
      <c r="M764" t="s">
        <v>140</v>
      </c>
      <c r="N764">
        <v>16655</v>
      </c>
      <c r="O764">
        <v>0</v>
      </c>
      <c r="P764">
        <v>0</v>
      </c>
      <c r="Q764" t="str">
        <f t="shared" si="22"/>
        <v>50+</v>
      </c>
      <c r="R764" t="str">
        <f t="shared" si="23"/>
        <v>[rpw540fmNUz]|50+|Female|POP_EST.T_1|CY2024Q3</v>
      </c>
    </row>
    <row r="765" spans="4:18" x14ac:dyDescent="0.2">
      <c r="D765" t="s">
        <v>132</v>
      </c>
      <c r="E765" t="s">
        <v>133</v>
      </c>
      <c r="F765" t="s">
        <v>134</v>
      </c>
      <c r="G765" t="s">
        <v>138</v>
      </c>
      <c r="H765" t="s">
        <v>139</v>
      </c>
      <c r="I765" t="s">
        <v>28</v>
      </c>
      <c r="J765" t="s">
        <v>29</v>
      </c>
      <c r="K765" t="s">
        <v>48</v>
      </c>
      <c r="L765" t="s">
        <v>49</v>
      </c>
      <c r="M765" t="s">
        <v>140</v>
      </c>
      <c r="N765">
        <v>6160</v>
      </c>
      <c r="O765">
        <v>0</v>
      </c>
      <c r="P765">
        <v>0</v>
      </c>
      <c r="Q765" t="str">
        <f t="shared" si="22"/>
        <v>&lt;01</v>
      </c>
      <c r="R765" t="str">
        <f t="shared" si="23"/>
        <v>[rpw540fmNUz]|&lt;01|Male|POP_EST.T_1|CY2024Q3</v>
      </c>
    </row>
    <row r="766" spans="4:18" x14ac:dyDescent="0.2">
      <c r="D766" t="s">
        <v>132</v>
      </c>
      <c r="E766" t="s">
        <v>133</v>
      </c>
      <c r="F766" t="s">
        <v>134</v>
      </c>
      <c r="G766" t="s">
        <v>138</v>
      </c>
      <c r="H766" t="s">
        <v>139</v>
      </c>
      <c r="I766" t="s">
        <v>33</v>
      </c>
      <c r="J766" t="s">
        <v>34</v>
      </c>
      <c r="K766" t="s">
        <v>48</v>
      </c>
      <c r="L766" t="s">
        <v>49</v>
      </c>
      <c r="M766" t="s">
        <v>140</v>
      </c>
      <c r="N766">
        <v>50000</v>
      </c>
      <c r="O766">
        <v>0</v>
      </c>
      <c r="P766">
        <v>0</v>
      </c>
      <c r="Q766" t="str">
        <f t="shared" si="22"/>
        <v>01-09</v>
      </c>
      <c r="R766" t="str">
        <f t="shared" si="23"/>
        <v>[rpw540fmNUz]|01-09|Male|POP_EST.T_1|CY2024Q3</v>
      </c>
    </row>
    <row r="767" spans="4:18" x14ac:dyDescent="0.2">
      <c r="D767" t="s">
        <v>132</v>
      </c>
      <c r="E767" t="s">
        <v>133</v>
      </c>
      <c r="F767" t="s">
        <v>134</v>
      </c>
      <c r="G767" t="s">
        <v>138</v>
      </c>
      <c r="H767" t="s">
        <v>139</v>
      </c>
      <c r="I767" t="s">
        <v>36</v>
      </c>
      <c r="J767" t="s">
        <v>37</v>
      </c>
      <c r="K767" t="s">
        <v>48</v>
      </c>
      <c r="L767" t="s">
        <v>49</v>
      </c>
      <c r="M767" t="s">
        <v>140</v>
      </c>
      <c r="N767">
        <v>22407</v>
      </c>
      <c r="O767">
        <v>0</v>
      </c>
      <c r="P767">
        <v>0</v>
      </c>
      <c r="Q767" t="str">
        <f t="shared" si="22"/>
        <v>10-14</v>
      </c>
      <c r="R767" t="str">
        <f t="shared" si="23"/>
        <v>[rpw540fmNUz]|10-14|Male|POP_EST.T_1|CY2024Q3</v>
      </c>
    </row>
    <row r="768" spans="4:18" x14ac:dyDescent="0.2">
      <c r="D768" t="s">
        <v>132</v>
      </c>
      <c r="E768" t="s">
        <v>133</v>
      </c>
      <c r="F768" t="s">
        <v>134</v>
      </c>
      <c r="G768" t="s">
        <v>138</v>
      </c>
      <c r="H768" t="s">
        <v>139</v>
      </c>
      <c r="I768" t="s">
        <v>38</v>
      </c>
      <c r="J768" t="s">
        <v>39</v>
      </c>
      <c r="K768" t="s">
        <v>48</v>
      </c>
      <c r="L768" t="s">
        <v>49</v>
      </c>
      <c r="M768" t="s">
        <v>140</v>
      </c>
      <c r="N768">
        <v>36682</v>
      </c>
      <c r="O768">
        <v>0</v>
      </c>
      <c r="P768">
        <v>0</v>
      </c>
      <c r="Q768" t="str">
        <f t="shared" si="22"/>
        <v>15-24</v>
      </c>
      <c r="R768" t="str">
        <f t="shared" si="23"/>
        <v>[rpw540fmNUz]|15-24|Male|POP_EST.T_1|CY2024Q3</v>
      </c>
    </row>
    <row r="769" spans="4:18" x14ac:dyDescent="0.2">
      <c r="D769" t="s">
        <v>132</v>
      </c>
      <c r="E769" t="s">
        <v>133</v>
      </c>
      <c r="F769" t="s">
        <v>134</v>
      </c>
      <c r="G769" t="s">
        <v>138</v>
      </c>
      <c r="H769" t="s">
        <v>139</v>
      </c>
      <c r="I769" t="s">
        <v>41</v>
      </c>
      <c r="J769" t="s">
        <v>42</v>
      </c>
      <c r="K769" t="s">
        <v>48</v>
      </c>
      <c r="L769" t="s">
        <v>49</v>
      </c>
      <c r="M769" t="s">
        <v>140</v>
      </c>
      <c r="N769">
        <v>21541</v>
      </c>
      <c r="O769">
        <v>0</v>
      </c>
      <c r="P769">
        <v>0</v>
      </c>
      <c r="Q769" t="str">
        <f t="shared" si="22"/>
        <v>25-34</v>
      </c>
      <c r="R769" t="str">
        <f t="shared" si="23"/>
        <v>[rpw540fmNUz]|25-34|Male|POP_EST.T_1|CY2024Q3</v>
      </c>
    </row>
    <row r="770" spans="4:18" x14ac:dyDescent="0.2">
      <c r="D770" t="s">
        <v>132</v>
      </c>
      <c r="E770" t="s">
        <v>133</v>
      </c>
      <c r="F770" t="s">
        <v>134</v>
      </c>
      <c r="G770" t="s">
        <v>138</v>
      </c>
      <c r="H770" t="s">
        <v>139</v>
      </c>
      <c r="I770" t="s">
        <v>43</v>
      </c>
      <c r="J770" t="s">
        <v>44</v>
      </c>
      <c r="K770" t="s">
        <v>48</v>
      </c>
      <c r="L770" t="s">
        <v>49</v>
      </c>
      <c r="M770" t="s">
        <v>140</v>
      </c>
      <c r="N770">
        <v>20925</v>
      </c>
      <c r="O770">
        <v>0</v>
      </c>
      <c r="P770">
        <v>0</v>
      </c>
      <c r="Q770" t="str">
        <f t="shared" si="22"/>
        <v>35-49</v>
      </c>
      <c r="R770" t="str">
        <f t="shared" si="23"/>
        <v>[rpw540fmNUz]|35-49|Male|POP_EST.T_1|CY2024Q3</v>
      </c>
    </row>
    <row r="771" spans="4:18" x14ac:dyDescent="0.2">
      <c r="D771" t="s">
        <v>132</v>
      </c>
      <c r="E771" t="s">
        <v>133</v>
      </c>
      <c r="F771" t="s">
        <v>134</v>
      </c>
      <c r="G771" t="s">
        <v>138</v>
      </c>
      <c r="H771" t="s">
        <v>139</v>
      </c>
      <c r="I771" t="s">
        <v>45</v>
      </c>
      <c r="J771" t="s">
        <v>46</v>
      </c>
      <c r="K771" t="s">
        <v>48</v>
      </c>
      <c r="L771" t="s">
        <v>49</v>
      </c>
      <c r="M771" t="s">
        <v>140</v>
      </c>
      <c r="N771">
        <v>12232</v>
      </c>
      <c r="O771">
        <v>0</v>
      </c>
      <c r="P771">
        <v>0</v>
      </c>
      <c r="Q771" t="str">
        <f t="shared" ref="Q771:Q834" si="24">SUBSTITUTE(SUBSTITUTE($I771,CHAR(61),""),CHAR(34),"")</f>
        <v>50+</v>
      </c>
      <c r="R771" t="str">
        <f t="shared" ref="R771:R834" si="25">IF($D771&lt;&gt;"","["&amp;$E771&amp;"]"&amp;"|"&amp;$Q771&amp;"|"&amp;$K771&amp;"|"&amp;$G771&amp;"|"&amp;IF($G771="TX_CURR_SUBNAT.R","CY2023Q4",$M771),"")</f>
        <v>[rpw540fmNUz]|50+|Male|POP_EST.T_1|CY2024Q3</v>
      </c>
    </row>
    <row r="772" spans="4:18" x14ac:dyDescent="0.2">
      <c r="D772" t="s">
        <v>135</v>
      </c>
      <c r="E772" t="s">
        <v>136</v>
      </c>
      <c r="F772" t="s">
        <v>137</v>
      </c>
      <c r="G772" t="s">
        <v>138</v>
      </c>
      <c r="H772" t="s">
        <v>139</v>
      </c>
      <c r="I772" t="s">
        <v>28</v>
      </c>
      <c r="J772" t="s">
        <v>29</v>
      </c>
      <c r="K772" t="s">
        <v>30</v>
      </c>
      <c r="L772" t="s">
        <v>31</v>
      </c>
      <c r="M772" t="s">
        <v>140</v>
      </c>
      <c r="N772">
        <v>2826</v>
      </c>
      <c r="O772">
        <v>0</v>
      </c>
      <c r="P772">
        <v>0</v>
      </c>
      <c r="Q772" t="str">
        <f t="shared" si="24"/>
        <v>&lt;01</v>
      </c>
      <c r="R772" t="str">
        <f t="shared" si="25"/>
        <v>[gwVYinjBAe9]|&lt;01|Female|POP_EST.T_1|CY2024Q3</v>
      </c>
    </row>
    <row r="773" spans="4:18" x14ac:dyDescent="0.2">
      <c r="D773" t="s">
        <v>135</v>
      </c>
      <c r="E773" t="s">
        <v>136</v>
      </c>
      <c r="F773" t="s">
        <v>137</v>
      </c>
      <c r="G773" t="s">
        <v>138</v>
      </c>
      <c r="H773" t="s">
        <v>139</v>
      </c>
      <c r="I773" t="s">
        <v>33</v>
      </c>
      <c r="J773" t="s">
        <v>34</v>
      </c>
      <c r="K773" t="s">
        <v>30</v>
      </c>
      <c r="L773" t="s">
        <v>31</v>
      </c>
      <c r="M773" t="s">
        <v>140</v>
      </c>
      <c r="N773">
        <v>22153</v>
      </c>
      <c r="O773">
        <v>0</v>
      </c>
      <c r="P773">
        <v>0</v>
      </c>
      <c r="Q773" t="str">
        <f t="shared" si="24"/>
        <v>01-09</v>
      </c>
      <c r="R773" t="str">
        <f t="shared" si="25"/>
        <v>[gwVYinjBAe9]|01-09|Female|POP_EST.T_1|CY2024Q3</v>
      </c>
    </row>
    <row r="774" spans="4:18" x14ac:dyDescent="0.2">
      <c r="D774" t="s">
        <v>135</v>
      </c>
      <c r="E774" t="s">
        <v>136</v>
      </c>
      <c r="F774" t="s">
        <v>137</v>
      </c>
      <c r="G774" t="s">
        <v>138</v>
      </c>
      <c r="H774" t="s">
        <v>139</v>
      </c>
      <c r="I774" t="s">
        <v>36</v>
      </c>
      <c r="J774" t="s">
        <v>37</v>
      </c>
      <c r="K774" t="s">
        <v>30</v>
      </c>
      <c r="L774" t="s">
        <v>31</v>
      </c>
      <c r="M774" t="s">
        <v>140</v>
      </c>
      <c r="N774">
        <v>10568</v>
      </c>
      <c r="O774">
        <v>0</v>
      </c>
      <c r="P774">
        <v>0</v>
      </c>
      <c r="Q774" t="str">
        <f t="shared" si="24"/>
        <v>10-14</v>
      </c>
      <c r="R774" t="str">
        <f t="shared" si="25"/>
        <v>[gwVYinjBAe9]|10-14|Female|POP_EST.T_1|CY2024Q3</v>
      </c>
    </row>
    <row r="775" spans="4:18" x14ac:dyDescent="0.2">
      <c r="D775" t="s">
        <v>135</v>
      </c>
      <c r="E775" t="s">
        <v>136</v>
      </c>
      <c r="F775" t="s">
        <v>137</v>
      </c>
      <c r="G775" t="s">
        <v>138</v>
      </c>
      <c r="H775" t="s">
        <v>139</v>
      </c>
      <c r="I775" t="s">
        <v>38</v>
      </c>
      <c r="J775" t="s">
        <v>39</v>
      </c>
      <c r="K775" t="s">
        <v>30</v>
      </c>
      <c r="L775" t="s">
        <v>31</v>
      </c>
      <c r="M775" t="s">
        <v>140</v>
      </c>
      <c r="N775">
        <v>18436</v>
      </c>
      <c r="O775">
        <v>0</v>
      </c>
      <c r="P775">
        <v>0</v>
      </c>
      <c r="Q775" t="str">
        <f t="shared" si="24"/>
        <v>15-24</v>
      </c>
      <c r="R775" t="str">
        <f t="shared" si="25"/>
        <v>[gwVYinjBAe9]|15-24|Female|POP_EST.T_1|CY2024Q3</v>
      </c>
    </row>
    <row r="776" spans="4:18" x14ac:dyDescent="0.2">
      <c r="D776" t="s">
        <v>135</v>
      </c>
      <c r="E776" t="s">
        <v>136</v>
      </c>
      <c r="F776" t="s">
        <v>137</v>
      </c>
      <c r="G776" t="s">
        <v>138</v>
      </c>
      <c r="H776" t="s">
        <v>139</v>
      </c>
      <c r="I776" t="s">
        <v>41</v>
      </c>
      <c r="J776" t="s">
        <v>42</v>
      </c>
      <c r="K776" t="s">
        <v>30</v>
      </c>
      <c r="L776" t="s">
        <v>31</v>
      </c>
      <c r="M776" t="s">
        <v>140</v>
      </c>
      <c r="N776">
        <v>11886</v>
      </c>
      <c r="O776">
        <v>0</v>
      </c>
      <c r="P776">
        <v>0</v>
      </c>
      <c r="Q776" t="str">
        <f t="shared" si="24"/>
        <v>25-34</v>
      </c>
      <c r="R776" t="str">
        <f t="shared" si="25"/>
        <v>[gwVYinjBAe9]|25-34|Female|POP_EST.T_1|CY2024Q3</v>
      </c>
    </row>
    <row r="777" spans="4:18" x14ac:dyDescent="0.2">
      <c r="D777" t="s">
        <v>135</v>
      </c>
      <c r="E777" t="s">
        <v>136</v>
      </c>
      <c r="F777" t="s">
        <v>137</v>
      </c>
      <c r="G777" t="s">
        <v>138</v>
      </c>
      <c r="H777" t="s">
        <v>139</v>
      </c>
      <c r="I777" t="s">
        <v>43</v>
      </c>
      <c r="J777" t="s">
        <v>44</v>
      </c>
      <c r="K777" t="s">
        <v>30</v>
      </c>
      <c r="L777" t="s">
        <v>31</v>
      </c>
      <c r="M777" t="s">
        <v>140</v>
      </c>
      <c r="N777">
        <v>12244</v>
      </c>
      <c r="O777">
        <v>0</v>
      </c>
      <c r="P777">
        <v>0</v>
      </c>
      <c r="Q777" t="str">
        <f t="shared" si="24"/>
        <v>35-49</v>
      </c>
      <c r="R777" t="str">
        <f t="shared" si="25"/>
        <v>[gwVYinjBAe9]|35-49|Female|POP_EST.T_1|CY2024Q3</v>
      </c>
    </row>
    <row r="778" spans="4:18" x14ac:dyDescent="0.2">
      <c r="D778" t="s">
        <v>135</v>
      </c>
      <c r="E778" t="s">
        <v>136</v>
      </c>
      <c r="F778" t="s">
        <v>137</v>
      </c>
      <c r="G778" t="s">
        <v>138</v>
      </c>
      <c r="H778" t="s">
        <v>139</v>
      </c>
      <c r="I778" t="s">
        <v>45</v>
      </c>
      <c r="J778" t="s">
        <v>46</v>
      </c>
      <c r="K778" t="s">
        <v>30</v>
      </c>
      <c r="L778" t="s">
        <v>31</v>
      </c>
      <c r="M778" t="s">
        <v>140</v>
      </c>
      <c r="N778">
        <v>6870</v>
      </c>
      <c r="O778">
        <v>0</v>
      </c>
      <c r="P778">
        <v>0</v>
      </c>
      <c r="Q778" t="str">
        <f t="shared" si="24"/>
        <v>50+</v>
      </c>
      <c r="R778" t="str">
        <f t="shared" si="25"/>
        <v>[gwVYinjBAe9]|50+|Female|POP_EST.T_1|CY2024Q3</v>
      </c>
    </row>
    <row r="779" spans="4:18" x14ac:dyDescent="0.2">
      <c r="D779" t="s">
        <v>135</v>
      </c>
      <c r="E779" t="s">
        <v>136</v>
      </c>
      <c r="F779" t="s">
        <v>137</v>
      </c>
      <c r="G779" t="s">
        <v>138</v>
      </c>
      <c r="H779" t="s">
        <v>139</v>
      </c>
      <c r="I779" t="s">
        <v>28</v>
      </c>
      <c r="J779" t="s">
        <v>29</v>
      </c>
      <c r="K779" t="s">
        <v>48</v>
      </c>
      <c r="L779" t="s">
        <v>49</v>
      </c>
      <c r="M779" t="s">
        <v>140</v>
      </c>
      <c r="N779">
        <v>2867</v>
      </c>
      <c r="O779">
        <v>0</v>
      </c>
      <c r="P779">
        <v>0</v>
      </c>
      <c r="Q779" t="str">
        <f t="shared" si="24"/>
        <v>&lt;01</v>
      </c>
      <c r="R779" t="str">
        <f t="shared" si="25"/>
        <v>[gwVYinjBAe9]|&lt;01|Male|POP_EST.T_1|CY2024Q3</v>
      </c>
    </row>
    <row r="780" spans="4:18" x14ac:dyDescent="0.2">
      <c r="D780" t="s">
        <v>135</v>
      </c>
      <c r="E780" t="s">
        <v>136</v>
      </c>
      <c r="F780" t="s">
        <v>137</v>
      </c>
      <c r="G780" t="s">
        <v>138</v>
      </c>
      <c r="H780" t="s">
        <v>139</v>
      </c>
      <c r="I780" t="s">
        <v>33</v>
      </c>
      <c r="J780" t="s">
        <v>34</v>
      </c>
      <c r="K780" t="s">
        <v>48</v>
      </c>
      <c r="L780" t="s">
        <v>49</v>
      </c>
      <c r="M780" t="s">
        <v>140</v>
      </c>
      <c r="N780">
        <v>22742</v>
      </c>
      <c r="O780">
        <v>0</v>
      </c>
      <c r="P780">
        <v>0</v>
      </c>
      <c r="Q780" t="str">
        <f t="shared" si="24"/>
        <v>01-09</v>
      </c>
      <c r="R780" t="str">
        <f t="shared" si="25"/>
        <v>[gwVYinjBAe9]|01-09|Male|POP_EST.T_1|CY2024Q3</v>
      </c>
    </row>
    <row r="781" spans="4:18" x14ac:dyDescent="0.2">
      <c r="D781" t="s">
        <v>135</v>
      </c>
      <c r="E781" t="s">
        <v>136</v>
      </c>
      <c r="F781" t="s">
        <v>137</v>
      </c>
      <c r="G781" t="s">
        <v>138</v>
      </c>
      <c r="H781" t="s">
        <v>139</v>
      </c>
      <c r="I781" t="s">
        <v>36</v>
      </c>
      <c r="J781" t="s">
        <v>37</v>
      </c>
      <c r="K781" t="s">
        <v>48</v>
      </c>
      <c r="L781" t="s">
        <v>49</v>
      </c>
      <c r="M781" t="s">
        <v>140</v>
      </c>
      <c r="N781">
        <v>10937</v>
      </c>
      <c r="O781">
        <v>0</v>
      </c>
      <c r="P781">
        <v>0</v>
      </c>
      <c r="Q781" t="str">
        <f t="shared" si="24"/>
        <v>10-14</v>
      </c>
      <c r="R781" t="str">
        <f t="shared" si="25"/>
        <v>[gwVYinjBAe9]|10-14|Male|POP_EST.T_1|CY2024Q3</v>
      </c>
    </row>
    <row r="782" spans="4:18" x14ac:dyDescent="0.2">
      <c r="D782" t="s">
        <v>135</v>
      </c>
      <c r="E782" t="s">
        <v>136</v>
      </c>
      <c r="F782" t="s">
        <v>137</v>
      </c>
      <c r="G782" t="s">
        <v>138</v>
      </c>
      <c r="H782" t="s">
        <v>139</v>
      </c>
      <c r="I782" t="s">
        <v>38</v>
      </c>
      <c r="J782" t="s">
        <v>39</v>
      </c>
      <c r="K782" t="s">
        <v>48</v>
      </c>
      <c r="L782" t="s">
        <v>49</v>
      </c>
      <c r="M782" t="s">
        <v>140</v>
      </c>
      <c r="N782">
        <v>18109</v>
      </c>
      <c r="O782">
        <v>0</v>
      </c>
      <c r="P782">
        <v>0</v>
      </c>
      <c r="Q782" t="str">
        <f t="shared" si="24"/>
        <v>15-24</v>
      </c>
      <c r="R782" t="str">
        <f t="shared" si="25"/>
        <v>[gwVYinjBAe9]|15-24|Male|POP_EST.T_1|CY2024Q3</v>
      </c>
    </row>
    <row r="783" spans="4:18" x14ac:dyDescent="0.2">
      <c r="D783" t="s">
        <v>135</v>
      </c>
      <c r="E783" t="s">
        <v>136</v>
      </c>
      <c r="F783" t="s">
        <v>137</v>
      </c>
      <c r="G783" t="s">
        <v>138</v>
      </c>
      <c r="H783" t="s">
        <v>139</v>
      </c>
      <c r="I783" t="s">
        <v>41</v>
      </c>
      <c r="J783" t="s">
        <v>42</v>
      </c>
      <c r="K783" t="s">
        <v>48</v>
      </c>
      <c r="L783" t="s">
        <v>49</v>
      </c>
      <c r="M783" t="s">
        <v>140</v>
      </c>
      <c r="N783">
        <v>11371</v>
      </c>
      <c r="O783">
        <v>0</v>
      </c>
      <c r="P783">
        <v>0</v>
      </c>
      <c r="Q783" t="str">
        <f t="shared" si="24"/>
        <v>25-34</v>
      </c>
      <c r="R783" t="str">
        <f t="shared" si="25"/>
        <v>[gwVYinjBAe9]|25-34|Male|POP_EST.T_1|CY2024Q3</v>
      </c>
    </row>
    <row r="784" spans="4:18" x14ac:dyDescent="0.2">
      <c r="D784" t="s">
        <v>135</v>
      </c>
      <c r="E784" t="s">
        <v>136</v>
      </c>
      <c r="F784" t="s">
        <v>137</v>
      </c>
      <c r="G784" t="s">
        <v>138</v>
      </c>
      <c r="H784" t="s">
        <v>139</v>
      </c>
      <c r="I784" t="s">
        <v>43</v>
      </c>
      <c r="J784" t="s">
        <v>44</v>
      </c>
      <c r="K784" t="s">
        <v>48</v>
      </c>
      <c r="L784" t="s">
        <v>49</v>
      </c>
      <c r="M784" t="s">
        <v>140</v>
      </c>
      <c r="N784">
        <v>10319</v>
      </c>
      <c r="O784">
        <v>0</v>
      </c>
      <c r="P784">
        <v>0</v>
      </c>
      <c r="Q784" t="str">
        <f t="shared" si="24"/>
        <v>35-49</v>
      </c>
      <c r="R784" t="str">
        <f t="shared" si="25"/>
        <v>[gwVYinjBAe9]|35-49|Male|POP_EST.T_1|CY2024Q3</v>
      </c>
    </row>
    <row r="785" spans="4:18" x14ac:dyDescent="0.2">
      <c r="D785" t="s">
        <v>135</v>
      </c>
      <c r="E785" t="s">
        <v>136</v>
      </c>
      <c r="F785" t="s">
        <v>137</v>
      </c>
      <c r="G785" t="s">
        <v>138</v>
      </c>
      <c r="H785" t="s">
        <v>139</v>
      </c>
      <c r="I785" t="s">
        <v>45</v>
      </c>
      <c r="J785" t="s">
        <v>46</v>
      </c>
      <c r="K785" t="s">
        <v>48</v>
      </c>
      <c r="L785" t="s">
        <v>49</v>
      </c>
      <c r="M785" t="s">
        <v>140</v>
      </c>
      <c r="N785">
        <v>5704</v>
      </c>
      <c r="O785">
        <v>0</v>
      </c>
      <c r="P785">
        <v>0</v>
      </c>
      <c r="Q785" t="str">
        <f t="shared" si="24"/>
        <v>50+</v>
      </c>
      <c r="R785" t="str">
        <f t="shared" si="25"/>
        <v>[gwVYinjBAe9]|50+|Male|POP_EST.T_1|CY2024Q3</v>
      </c>
    </row>
    <row r="786" spans="4:18" x14ac:dyDescent="0.2">
      <c r="D786" t="s">
        <v>23</v>
      </c>
      <c r="E786" t="s">
        <v>24</v>
      </c>
      <c r="F786" t="s">
        <v>25</v>
      </c>
      <c r="G786" t="s">
        <v>141</v>
      </c>
      <c r="H786" t="s">
        <v>142</v>
      </c>
      <c r="I786" t="s">
        <v>28</v>
      </c>
      <c r="J786" t="s">
        <v>29</v>
      </c>
      <c r="K786" t="s">
        <v>30</v>
      </c>
      <c r="L786" t="s">
        <v>31</v>
      </c>
      <c r="M786" t="s">
        <v>140</v>
      </c>
      <c r="N786">
        <v>7.4055499999999995E-4</v>
      </c>
      <c r="O786">
        <v>7.8796551000000006E-2</v>
      </c>
      <c r="P786">
        <v>7.0605005999999998E-2</v>
      </c>
      <c r="Q786" t="str">
        <f t="shared" si="24"/>
        <v>&lt;01</v>
      </c>
      <c r="R786" t="str">
        <f t="shared" si="25"/>
        <v>[GkIwZrXy1h2]|&lt;01|Female|HIV_PREV.T_1|CY2024Q3</v>
      </c>
    </row>
    <row r="787" spans="4:18" x14ac:dyDescent="0.2">
      <c r="D787" t="s">
        <v>23</v>
      </c>
      <c r="E787" t="s">
        <v>24</v>
      </c>
      <c r="F787" t="s">
        <v>25</v>
      </c>
      <c r="G787" t="s">
        <v>141</v>
      </c>
      <c r="H787" t="s">
        <v>142</v>
      </c>
      <c r="I787" t="s">
        <v>33</v>
      </c>
      <c r="J787" t="s">
        <v>34</v>
      </c>
      <c r="K787" t="s">
        <v>30</v>
      </c>
      <c r="L787" t="s">
        <v>31</v>
      </c>
      <c r="M787" t="s">
        <v>140</v>
      </c>
      <c r="N787">
        <v>1.656804E-3</v>
      </c>
      <c r="O787">
        <v>8.8963132E-2</v>
      </c>
      <c r="P787">
        <v>7.0605005999999998E-2</v>
      </c>
      <c r="Q787" t="str">
        <f t="shared" si="24"/>
        <v>01-09</v>
      </c>
      <c r="R787" t="str">
        <f t="shared" si="25"/>
        <v>[GkIwZrXy1h2]|01-09|Female|HIV_PREV.T_1|CY2024Q3</v>
      </c>
    </row>
    <row r="788" spans="4:18" x14ac:dyDescent="0.2">
      <c r="D788" t="s">
        <v>23</v>
      </c>
      <c r="E788" t="s">
        <v>24</v>
      </c>
      <c r="F788" t="s">
        <v>25</v>
      </c>
      <c r="G788" t="s">
        <v>141</v>
      </c>
      <c r="H788" t="s">
        <v>142</v>
      </c>
      <c r="I788" t="s">
        <v>36</v>
      </c>
      <c r="J788" t="s">
        <v>37</v>
      </c>
      <c r="K788" t="s">
        <v>30</v>
      </c>
      <c r="L788" t="s">
        <v>31</v>
      </c>
      <c r="M788" t="s">
        <v>140</v>
      </c>
      <c r="N788">
        <v>3.9050600000000001E-3</v>
      </c>
      <c r="O788">
        <v>0.102180125</v>
      </c>
      <c r="P788">
        <v>7.0605005999999998E-2</v>
      </c>
      <c r="Q788" t="str">
        <f t="shared" si="24"/>
        <v>10-14</v>
      </c>
      <c r="R788" t="str">
        <f t="shared" si="25"/>
        <v>[GkIwZrXy1h2]|10-14|Female|HIV_PREV.T_1|CY2024Q3</v>
      </c>
    </row>
    <row r="789" spans="4:18" x14ac:dyDescent="0.2">
      <c r="D789" t="s">
        <v>23</v>
      </c>
      <c r="E789" t="s">
        <v>24</v>
      </c>
      <c r="F789" t="s">
        <v>25</v>
      </c>
      <c r="G789" t="s">
        <v>141</v>
      </c>
      <c r="H789" t="s">
        <v>142</v>
      </c>
      <c r="I789" t="s">
        <v>38</v>
      </c>
      <c r="J789" t="s">
        <v>39</v>
      </c>
      <c r="K789" t="s">
        <v>30</v>
      </c>
      <c r="L789" t="s">
        <v>31</v>
      </c>
      <c r="M789" t="s">
        <v>140</v>
      </c>
      <c r="N789">
        <v>8.1504309999999996E-3</v>
      </c>
      <c r="O789">
        <v>9.8795771000000004E-2</v>
      </c>
      <c r="P789">
        <v>7.0605005999999998E-2</v>
      </c>
      <c r="Q789" t="str">
        <f t="shared" si="24"/>
        <v>15-24</v>
      </c>
      <c r="R789" t="str">
        <f t="shared" si="25"/>
        <v>[GkIwZrXy1h2]|15-24|Female|HIV_PREV.T_1|CY2024Q3</v>
      </c>
    </row>
    <row r="790" spans="4:18" x14ac:dyDescent="0.2">
      <c r="D790" t="s">
        <v>23</v>
      </c>
      <c r="E790" t="s">
        <v>24</v>
      </c>
      <c r="F790" t="s">
        <v>25</v>
      </c>
      <c r="G790" t="s">
        <v>141</v>
      </c>
      <c r="H790" t="s">
        <v>142</v>
      </c>
      <c r="I790" t="s">
        <v>41</v>
      </c>
      <c r="J790" t="s">
        <v>42</v>
      </c>
      <c r="K790" t="s">
        <v>30</v>
      </c>
      <c r="L790" t="s">
        <v>31</v>
      </c>
      <c r="M790" t="s">
        <v>140</v>
      </c>
      <c r="N790">
        <v>3.0385136E-2</v>
      </c>
      <c r="O790">
        <v>8.4674115999999994E-2</v>
      </c>
      <c r="P790">
        <v>7.0605005999999998E-2</v>
      </c>
      <c r="Q790" t="str">
        <f t="shared" si="24"/>
        <v>25-34</v>
      </c>
      <c r="R790" t="str">
        <f t="shared" si="25"/>
        <v>[GkIwZrXy1h2]|25-34|Female|HIV_PREV.T_1|CY2024Q3</v>
      </c>
    </row>
    <row r="791" spans="4:18" x14ac:dyDescent="0.2">
      <c r="D791" t="s">
        <v>23</v>
      </c>
      <c r="E791" t="s">
        <v>24</v>
      </c>
      <c r="F791" t="s">
        <v>25</v>
      </c>
      <c r="G791" t="s">
        <v>141</v>
      </c>
      <c r="H791" t="s">
        <v>142</v>
      </c>
      <c r="I791" t="s">
        <v>43</v>
      </c>
      <c r="J791" t="s">
        <v>44</v>
      </c>
      <c r="K791" t="s">
        <v>30</v>
      </c>
      <c r="L791" t="s">
        <v>31</v>
      </c>
      <c r="M791" t="s">
        <v>140</v>
      </c>
      <c r="N791">
        <v>7.8634124999999999E-2</v>
      </c>
      <c r="O791">
        <v>7.2945120000000002E-2</v>
      </c>
      <c r="P791">
        <v>7.0605005999999998E-2</v>
      </c>
      <c r="Q791" t="str">
        <f t="shared" si="24"/>
        <v>35-49</v>
      </c>
      <c r="R791" t="str">
        <f t="shared" si="25"/>
        <v>[GkIwZrXy1h2]|35-49|Female|HIV_PREV.T_1|CY2024Q3</v>
      </c>
    </row>
    <row r="792" spans="4:18" x14ac:dyDescent="0.2">
      <c r="D792" t="s">
        <v>23</v>
      </c>
      <c r="E792" t="s">
        <v>24</v>
      </c>
      <c r="F792" t="s">
        <v>25</v>
      </c>
      <c r="G792" t="s">
        <v>141</v>
      </c>
      <c r="H792" t="s">
        <v>142</v>
      </c>
      <c r="I792" t="s">
        <v>45</v>
      </c>
      <c r="J792" t="s">
        <v>46</v>
      </c>
      <c r="K792" t="s">
        <v>30</v>
      </c>
      <c r="L792" t="s">
        <v>31</v>
      </c>
      <c r="M792" t="s">
        <v>140</v>
      </c>
      <c r="N792">
        <v>6.6349396000000005E-2</v>
      </c>
      <c r="O792">
        <v>7.7827060000000003E-2</v>
      </c>
      <c r="P792">
        <v>7.0605005999999998E-2</v>
      </c>
      <c r="Q792" t="str">
        <f t="shared" si="24"/>
        <v>50+</v>
      </c>
      <c r="R792" t="str">
        <f t="shared" si="25"/>
        <v>[GkIwZrXy1h2]|50+|Female|HIV_PREV.T_1|CY2024Q3</v>
      </c>
    </row>
    <row r="793" spans="4:18" x14ac:dyDescent="0.2">
      <c r="D793" t="s">
        <v>23</v>
      </c>
      <c r="E793" t="s">
        <v>24</v>
      </c>
      <c r="F793" t="s">
        <v>25</v>
      </c>
      <c r="G793" t="s">
        <v>141</v>
      </c>
      <c r="H793" t="s">
        <v>142</v>
      </c>
      <c r="I793" t="s">
        <v>28</v>
      </c>
      <c r="J793" t="s">
        <v>29</v>
      </c>
      <c r="K793" t="s">
        <v>48</v>
      </c>
      <c r="L793" t="s">
        <v>49</v>
      </c>
      <c r="M793" t="s">
        <v>140</v>
      </c>
      <c r="N793">
        <v>7.2694399999999998E-4</v>
      </c>
      <c r="O793">
        <v>7.8812513000000001E-2</v>
      </c>
      <c r="P793">
        <v>7.0605005999999998E-2</v>
      </c>
      <c r="Q793" t="str">
        <f t="shared" si="24"/>
        <v>&lt;01</v>
      </c>
      <c r="R793" t="str">
        <f t="shared" si="25"/>
        <v>[GkIwZrXy1h2]|&lt;01|Male|HIV_PREV.T_1|CY2024Q3</v>
      </c>
    </row>
    <row r="794" spans="4:18" x14ac:dyDescent="0.2">
      <c r="D794" t="s">
        <v>23</v>
      </c>
      <c r="E794" t="s">
        <v>24</v>
      </c>
      <c r="F794" t="s">
        <v>25</v>
      </c>
      <c r="G794" t="s">
        <v>141</v>
      </c>
      <c r="H794" t="s">
        <v>142</v>
      </c>
      <c r="I794" t="s">
        <v>33</v>
      </c>
      <c r="J794" t="s">
        <v>34</v>
      </c>
      <c r="K794" t="s">
        <v>48</v>
      </c>
      <c r="L794" t="s">
        <v>49</v>
      </c>
      <c r="M794" t="s">
        <v>140</v>
      </c>
      <c r="N794">
        <v>1.645348E-3</v>
      </c>
      <c r="O794">
        <v>8.8957829000000002E-2</v>
      </c>
      <c r="P794">
        <v>7.0605005999999998E-2</v>
      </c>
      <c r="Q794" t="str">
        <f t="shared" si="24"/>
        <v>01-09</v>
      </c>
      <c r="R794" t="str">
        <f t="shared" si="25"/>
        <v>[GkIwZrXy1h2]|01-09|Male|HIV_PREV.T_1|CY2024Q3</v>
      </c>
    </row>
    <row r="795" spans="4:18" x14ac:dyDescent="0.2">
      <c r="D795" t="s">
        <v>23</v>
      </c>
      <c r="E795" t="s">
        <v>24</v>
      </c>
      <c r="F795" t="s">
        <v>25</v>
      </c>
      <c r="G795" t="s">
        <v>141</v>
      </c>
      <c r="H795" t="s">
        <v>142</v>
      </c>
      <c r="I795" t="s">
        <v>36</v>
      </c>
      <c r="J795" t="s">
        <v>37</v>
      </c>
      <c r="K795" t="s">
        <v>48</v>
      </c>
      <c r="L795" t="s">
        <v>49</v>
      </c>
      <c r="M795" t="s">
        <v>140</v>
      </c>
      <c r="N795">
        <v>3.8905150000000002E-3</v>
      </c>
      <c r="O795">
        <v>0.102180203</v>
      </c>
      <c r="P795">
        <v>7.0605005999999998E-2</v>
      </c>
      <c r="Q795" t="str">
        <f t="shared" si="24"/>
        <v>10-14</v>
      </c>
      <c r="R795" t="str">
        <f t="shared" si="25"/>
        <v>[GkIwZrXy1h2]|10-14|Male|HIV_PREV.T_1|CY2024Q3</v>
      </c>
    </row>
    <row r="796" spans="4:18" x14ac:dyDescent="0.2">
      <c r="D796" t="s">
        <v>23</v>
      </c>
      <c r="E796" t="s">
        <v>24</v>
      </c>
      <c r="F796" t="s">
        <v>25</v>
      </c>
      <c r="G796" t="s">
        <v>141</v>
      </c>
      <c r="H796" t="s">
        <v>142</v>
      </c>
      <c r="I796" t="s">
        <v>38</v>
      </c>
      <c r="J796" t="s">
        <v>39</v>
      </c>
      <c r="K796" t="s">
        <v>48</v>
      </c>
      <c r="L796" t="s">
        <v>49</v>
      </c>
      <c r="M796" t="s">
        <v>140</v>
      </c>
      <c r="N796">
        <v>6.4085660000000001E-3</v>
      </c>
      <c r="O796">
        <v>0.10563934799999999</v>
      </c>
      <c r="P796">
        <v>7.0605005999999998E-2</v>
      </c>
      <c r="Q796" t="str">
        <f t="shared" si="24"/>
        <v>15-24</v>
      </c>
      <c r="R796" t="str">
        <f t="shared" si="25"/>
        <v>[GkIwZrXy1h2]|15-24|Male|HIV_PREV.T_1|CY2024Q3</v>
      </c>
    </row>
    <row r="797" spans="4:18" x14ac:dyDescent="0.2">
      <c r="D797" t="s">
        <v>23</v>
      </c>
      <c r="E797" t="s">
        <v>24</v>
      </c>
      <c r="F797" t="s">
        <v>25</v>
      </c>
      <c r="G797" t="s">
        <v>141</v>
      </c>
      <c r="H797" t="s">
        <v>142</v>
      </c>
      <c r="I797" t="s">
        <v>41</v>
      </c>
      <c r="J797" t="s">
        <v>42</v>
      </c>
      <c r="K797" t="s">
        <v>48</v>
      </c>
      <c r="L797" t="s">
        <v>49</v>
      </c>
      <c r="M797" t="s">
        <v>140</v>
      </c>
      <c r="N797">
        <v>1.3532608E-2</v>
      </c>
      <c r="O797">
        <v>9.9871023000000003E-2</v>
      </c>
      <c r="P797">
        <v>7.0605005999999998E-2</v>
      </c>
      <c r="Q797" t="str">
        <f t="shared" si="24"/>
        <v>25-34</v>
      </c>
      <c r="R797" t="str">
        <f t="shared" si="25"/>
        <v>[GkIwZrXy1h2]|25-34|Male|HIV_PREV.T_1|CY2024Q3</v>
      </c>
    </row>
    <row r="798" spans="4:18" x14ac:dyDescent="0.2">
      <c r="D798" t="s">
        <v>23</v>
      </c>
      <c r="E798" t="s">
        <v>24</v>
      </c>
      <c r="F798" t="s">
        <v>25</v>
      </c>
      <c r="G798" t="s">
        <v>141</v>
      </c>
      <c r="H798" t="s">
        <v>142</v>
      </c>
      <c r="I798" t="s">
        <v>43</v>
      </c>
      <c r="J798" t="s">
        <v>44</v>
      </c>
      <c r="K798" t="s">
        <v>48</v>
      </c>
      <c r="L798" t="s">
        <v>49</v>
      </c>
      <c r="M798" t="s">
        <v>140</v>
      </c>
      <c r="N798">
        <v>5.4438738E-2</v>
      </c>
      <c r="O798">
        <v>7.6884334999999998E-2</v>
      </c>
      <c r="P798">
        <v>7.0605005999999998E-2</v>
      </c>
      <c r="Q798" t="str">
        <f t="shared" si="24"/>
        <v>35-49</v>
      </c>
      <c r="R798" t="str">
        <f t="shared" si="25"/>
        <v>[GkIwZrXy1h2]|35-49|Male|HIV_PREV.T_1|CY2024Q3</v>
      </c>
    </row>
    <row r="799" spans="4:18" x14ac:dyDescent="0.2">
      <c r="D799" t="s">
        <v>23</v>
      </c>
      <c r="E799" t="s">
        <v>24</v>
      </c>
      <c r="F799" t="s">
        <v>25</v>
      </c>
      <c r="G799" t="s">
        <v>141</v>
      </c>
      <c r="H799" t="s">
        <v>142</v>
      </c>
      <c r="I799" t="s">
        <v>45</v>
      </c>
      <c r="J799" t="s">
        <v>46</v>
      </c>
      <c r="K799" t="s">
        <v>48</v>
      </c>
      <c r="L799" t="s">
        <v>49</v>
      </c>
      <c r="M799" t="s">
        <v>140</v>
      </c>
      <c r="N799">
        <v>7.6228679999999993E-2</v>
      </c>
      <c r="O799">
        <v>7.6473174000000005E-2</v>
      </c>
      <c r="P799">
        <v>7.0605005999999998E-2</v>
      </c>
      <c r="Q799" t="str">
        <f t="shared" si="24"/>
        <v>50+</v>
      </c>
      <c r="R799" t="str">
        <f t="shared" si="25"/>
        <v>[GkIwZrXy1h2]|50+|Male|HIV_PREV.T_1|CY2024Q3</v>
      </c>
    </row>
    <row r="800" spans="4:18" x14ac:dyDescent="0.2">
      <c r="D800" t="s">
        <v>53</v>
      </c>
      <c r="E800" t="s">
        <v>54</v>
      </c>
      <c r="F800" t="s">
        <v>55</v>
      </c>
      <c r="G800" t="s">
        <v>141</v>
      </c>
      <c r="H800" t="s">
        <v>142</v>
      </c>
      <c r="I800" t="s">
        <v>28</v>
      </c>
      <c r="J800" t="s">
        <v>29</v>
      </c>
      <c r="K800" t="s">
        <v>30</v>
      </c>
      <c r="L800" t="s">
        <v>31</v>
      </c>
      <c r="M800" t="s">
        <v>140</v>
      </c>
      <c r="N800">
        <v>1.4298270000000001E-3</v>
      </c>
      <c r="O800">
        <v>3.9357412000000001E-2</v>
      </c>
      <c r="P800">
        <v>3.2325633999999999E-2</v>
      </c>
      <c r="Q800" t="str">
        <f t="shared" si="24"/>
        <v>&lt;01</v>
      </c>
      <c r="R800" t="str">
        <f t="shared" si="25"/>
        <v>[cPtvxaZqXIH]|&lt;01|Female|HIV_PREV.T_1|CY2024Q3</v>
      </c>
    </row>
    <row r="801" spans="4:18" x14ac:dyDescent="0.2">
      <c r="D801" t="s">
        <v>53</v>
      </c>
      <c r="E801" t="s">
        <v>54</v>
      </c>
      <c r="F801" t="s">
        <v>55</v>
      </c>
      <c r="G801" t="s">
        <v>141</v>
      </c>
      <c r="H801" t="s">
        <v>142</v>
      </c>
      <c r="I801" t="s">
        <v>33</v>
      </c>
      <c r="J801" t="s">
        <v>34</v>
      </c>
      <c r="K801" t="s">
        <v>30</v>
      </c>
      <c r="L801" t="s">
        <v>31</v>
      </c>
      <c r="M801" t="s">
        <v>140</v>
      </c>
      <c r="N801">
        <v>3.2325019999999999E-3</v>
      </c>
      <c r="O801">
        <v>5.2383898999999998E-2</v>
      </c>
      <c r="P801">
        <v>3.2325633999999999E-2</v>
      </c>
      <c r="Q801" t="str">
        <f t="shared" si="24"/>
        <v>01-09</v>
      </c>
      <c r="R801" t="str">
        <f t="shared" si="25"/>
        <v>[cPtvxaZqXIH]|01-09|Female|HIV_PREV.T_1|CY2024Q3</v>
      </c>
    </row>
    <row r="802" spans="4:18" x14ac:dyDescent="0.2">
      <c r="D802" t="s">
        <v>53</v>
      </c>
      <c r="E802" t="s">
        <v>54</v>
      </c>
      <c r="F802" t="s">
        <v>55</v>
      </c>
      <c r="G802" t="s">
        <v>141</v>
      </c>
      <c r="H802" t="s">
        <v>142</v>
      </c>
      <c r="I802" t="s">
        <v>36</v>
      </c>
      <c r="J802" t="s">
        <v>37</v>
      </c>
      <c r="K802" t="s">
        <v>30</v>
      </c>
      <c r="L802" t="s">
        <v>31</v>
      </c>
      <c r="M802" t="s">
        <v>140</v>
      </c>
      <c r="N802">
        <v>7.354551E-3</v>
      </c>
      <c r="O802">
        <v>6.9011818000000003E-2</v>
      </c>
      <c r="P802">
        <v>3.2325633999999999E-2</v>
      </c>
      <c r="Q802" t="str">
        <f t="shared" si="24"/>
        <v>10-14</v>
      </c>
      <c r="R802" t="str">
        <f t="shared" si="25"/>
        <v>[cPtvxaZqXIH]|10-14|Female|HIV_PREV.T_1|CY2024Q3</v>
      </c>
    </row>
    <row r="803" spans="4:18" x14ac:dyDescent="0.2">
      <c r="D803" t="s">
        <v>53</v>
      </c>
      <c r="E803" t="s">
        <v>54</v>
      </c>
      <c r="F803" t="s">
        <v>55</v>
      </c>
      <c r="G803" t="s">
        <v>141</v>
      </c>
      <c r="H803" t="s">
        <v>142</v>
      </c>
      <c r="I803" t="s">
        <v>38</v>
      </c>
      <c r="J803" t="s">
        <v>39</v>
      </c>
      <c r="K803" t="s">
        <v>30</v>
      </c>
      <c r="L803" t="s">
        <v>31</v>
      </c>
      <c r="M803" t="s">
        <v>140</v>
      </c>
      <c r="N803">
        <v>1.5986546000000001E-2</v>
      </c>
      <c r="O803">
        <v>6.9416301E-2</v>
      </c>
      <c r="P803">
        <v>3.2325633999999999E-2</v>
      </c>
      <c r="Q803" t="str">
        <f t="shared" si="24"/>
        <v>15-24</v>
      </c>
      <c r="R803" t="str">
        <f t="shared" si="25"/>
        <v>[cPtvxaZqXIH]|15-24|Female|HIV_PREV.T_1|CY2024Q3</v>
      </c>
    </row>
    <row r="804" spans="4:18" x14ac:dyDescent="0.2">
      <c r="D804" t="s">
        <v>53</v>
      </c>
      <c r="E804" t="s">
        <v>54</v>
      </c>
      <c r="F804" t="s">
        <v>55</v>
      </c>
      <c r="G804" t="s">
        <v>141</v>
      </c>
      <c r="H804" t="s">
        <v>142</v>
      </c>
      <c r="I804" t="s">
        <v>41</v>
      </c>
      <c r="J804" t="s">
        <v>42</v>
      </c>
      <c r="K804" t="s">
        <v>30</v>
      </c>
      <c r="L804" t="s">
        <v>31</v>
      </c>
      <c r="M804" t="s">
        <v>140</v>
      </c>
      <c r="N804">
        <v>5.9562717000000001E-2</v>
      </c>
      <c r="O804">
        <v>4.9372940999999997E-2</v>
      </c>
      <c r="P804">
        <v>3.2325633999999999E-2</v>
      </c>
      <c r="Q804" t="str">
        <f t="shared" si="24"/>
        <v>25-34</v>
      </c>
      <c r="R804" t="str">
        <f t="shared" si="25"/>
        <v>[cPtvxaZqXIH]|25-34|Female|HIV_PREV.T_1|CY2024Q3</v>
      </c>
    </row>
    <row r="805" spans="4:18" x14ac:dyDescent="0.2">
      <c r="D805" t="s">
        <v>53</v>
      </c>
      <c r="E805" t="s">
        <v>54</v>
      </c>
      <c r="F805" t="s">
        <v>55</v>
      </c>
      <c r="G805" t="s">
        <v>141</v>
      </c>
      <c r="H805" t="s">
        <v>142</v>
      </c>
      <c r="I805" t="s">
        <v>43</v>
      </c>
      <c r="J805" t="s">
        <v>44</v>
      </c>
      <c r="K805" t="s">
        <v>30</v>
      </c>
      <c r="L805" t="s">
        <v>31</v>
      </c>
      <c r="M805" t="s">
        <v>140</v>
      </c>
      <c r="N805">
        <v>0.154599704</v>
      </c>
      <c r="O805">
        <v>3.5220044999999998E-2</v>
      </c>
      <c r="P805">
        <v>3.2325633999999999E-2</v>
      </c>
      <c r="Q805" t="str">
        <f t="shared" si="24"/>
        <v>35-49</v>
      </c>
      <c r="R805" t="str">
        <f t="shared" si="25"/>
        <v>[cPtvxaZqXIH]|35-49|Female|HIV_PREV.T_1|CY2024Q3</v>
      </c>
    </row>
    <row r="806" spans="4:18" x14ac:dyDescent="0.2">
      <c r="D806" t="s">
        <v>53</v>
      </c>
      <c r="E806" t="s">
        <v>54</v>
      </c>
      <c r="F806" t="s">
        <v>55</v>
      </c>
      <c r="G806" t="s">
        <v>141</v>
      </c>
      <c r="H806" t="s">
        <v>142</v>
      </c>
      <c r="I806" t="s">
        <v>45</v>
      </c>
      <c r="J806" t="s">
        <v>46</v>
      </c>
      <c r="K806" t="s">
        <v>30</v>
      </c>
      <c r="L806" t="s">
        <v>31</v>
      </c>
      <c r="M806" t="s">
        <v>140</v>
      </c>
      <c r="N806">
        <v>0.12316790399999999</v>
      </c>
      <c r="O806">
        <v>4.8698463999999997E-2</v>
      </c>
      <c r="P806">
        <v>3.2325633999999999E-2</v>
      </c>
      <c r="Q806" t="str">
        <f t="shared" si="24"/>
        <v>50+</v>
      </c>
      <c r="R806" t="str">
        <f t="shared" si="25"/>
        <v>[cPtvxaZqXIH]|50+|Female|HIV_PREV.T_1|CY2024Q3</v>
      </c>
    </row>
    <row r="807" spans="4:18" x14ac:dyDescent="0.2">
      <c r="D807" t="s">
        <v>53</v>
      </c>
      <c r="E807" t="s">
        <v>54</v>
      </c>
      <c r="F807" t="s">
        <v>55</v>
      </c>
      <c r="G807" t="s">
        <v>141</v>
      </c>
      <c r="H807" t="s">
        <v>142</v>
      </c>
      <c r="I807" t="s">
        <v>28</v>
      </c>
      <c r="J807" t="s">
        <v>29</v>
      </c>
      <c r="K807" t="s">
        <v>48</v>
      </c>
      <c r="L807" t="s">
        <v>49</v>
      </c>
      <c r="M807" t="s">
        <v>140</v>
      </c>
      <c r="N807">
        <v>1.42268E-3</v>
      </c>
      <c r="O807">
        <v>3.9273402999999998E-2</v>
      </c>
      <c r="P807">
        <v>3.2325633999999999E-2</v>
      </c>
      <c r="Q807" t="str">
        <f t="shared" si="24"/>
        <v>&lt;01</v>
      </c>
      <c r="R807" t="str">
        <f t="shared" si="25"/>
        <v>[cPtvxaZqXIH]|&lt;01|Male|HIV_PREV.T_1|CY2024Q3</v>
      </c>
    </row>
    <row r="808" spans="4:18" x14ac:dyDescent="0.2">
      <c r="D808" t="s">
        <v>53</v>
      </c>
      <c r="E808" t="s">
        <v>54</v>
      </c>
      <c r="F808" t="s">
        <v>55</v>
      </c>
      <c r="G808" t="s">
        <v>141</v>
      </c>
      <c r="H808" t="s">
        <v>142</v>
      </c>
      <c r="I808" t="s">
        <v>33</v>
      </c>
      <c r="J808" t="s">
        <v>34</v>
      </c>
      <c r="K808" t="s">
        <v>48</v>
      </c>
      <c r="L808" t="s">
        <v>49</v>
      </c>
      <c r="M808" t="s">
        <v>140</v>
      </c>
      <c r="N808">
        <v>3.2371119999999999E-3</v>
      </c>
      <c r="O808">
        <v>5.2300439999999997E-2</v>
      </c>
      <c r="P808">
        <v>3.2325633999999999E-2</v>
      </c>
      <c r="Q808" t="str">
        <f t="shared" si="24"/>
        <v>01-09</v>
      </c>
      <c r="R808" t="str">
        <f t="shared" si="25"/>
        <v>[cPtvxaZqXIH]|01-09|Male|HIV_PREV.T_1|CY2024Q3</v>
      </c>
    </row>
    <row r="809" spans="4:18" x14ac:dyDescent="0.2">
      <c r="D809" t="s">
        <v>53</v>
      </c>
      <c r="E809" t="s">
        <v>54</v>
      </c>
      <c r="F809" t="s">
        <v>55</v>
      </c>
      <c r="G809" t="s">
        <v>141</v>
      </c>
      <c r="H809" t="s">
        <v>142</v>
      </c>
      <c r="I809" t="s">
        <v>36</v>
      </c>
      <c r="J809" t="s">
        <v>37</v>
      </c>
      <c r="K809" t="s">
        <v>48</v>
      </c>
      <c r="L809" t="s">
        <v>49</v>
      </c>
      <c r="M809" t="s">
        <v>140</v>
      </c>
      <c r="N809">
        <v>7.4208019999999998E-3</v>
      </c>
      <c r="O809">
        <v>6.9011691999999999E-2</v>
      </c>
      <c r="P809">
        <v>3.2325633999999999E-2</v>
      </c>
      <c r="Q809" t="str">
        <f t="shared" si="24"/>
        <v>10-14</v>
      </c>
      <c r="R809" t="str">
        <f t="shared" si="25"/>
        <v>[cPtvxaZqXIH]|10-14|Male|HIV_PREV.T_1|CY2024Q3</v>
      </c>
    </row>
    <row r="810" spans="4:18" x14ac:dyDescent="0.2">
      <c r="D810" t="s">
        <v>53</v>
      </c>
      <c r="E810" t="s">
        <v>54</v>
      </c>
      <c r="F810" t="s">
        <v>55</v>
      </c>
      <c r="G810" t="s">
        <v>141</v>
      </c>
      <c r="H810" t="s">
        <v>142</v>
      </c>
      <c r="I810" t="s">
        <v>38</v>
      </c>
      <c r="J810" t="s">
        <v>39</v>
      </c>
      <c r="K810" t="s">
        <v>48</v>
      </c>
      <c r="L810" t="s">
        <v>49</v>
      </c>
      <c r="M810" t="s">
        <v>140</v>
      </c>
      <c r="N810">
        <v>1.2213945E-2</v>
      </c>
      <c r="O810">
        <v>8.1505279E-2</v>
      </c>
      <c r="P810">
        <v>3.2325633999999999E-2</v>
      </c>
      <c r="Q810" t="str">
        <f t="shared" si="24"/>
        <v>15-24</v>
      </c>
      <c r="R810" t="str">
        <f t="shared" si="25"/>
        <v>[cPtvxaZqXIH]|15-24|Male|HIV_PREV.T_1|CY2024Q3</v>
      </c>
    </row>
    <row r="811" spans="4:18" x14ac:dyDescent="0.2">
      <c r="D811" t="s">
        <v>53</v>
      </c>
      <c r="E811" t="s">
        <v>54</v>
      </c>
      <c r="F811" t="s">
        <v>55</v>
      </c>
      <c r="G811" t="s">
        <v>141</v>
      </c>
      <c r="H811" t="s">
        <v>142</v>
      </c>
      <c r="I811" t="s">
        <v>41</v>
      </c>
      <c r="J811" t="s">
        <v>42</v>
      </c>
      <c r="K811" t="s">
        <v>48</v>
      </c>
      <c r="L811" t="s">
        <v>49</v>
      </c>
      <c r="M811" t="s">
        <v>140</v>
      </c>
      <c r="N811">
        <v>2.4860447000000001E-2</v>
      </c>
      <c r="O811">
        <v>7.7060924000000003E-2</v>
      </c>
      <c r="P811">
        <v>3.2325633999999999E-2</v>
      </c>
      <c r="Q811" t="str">
        <f t="shared" si="24"/>
        <v>25-34</v>
      </c>
      <c r="R811" t="str">
        <f t="shared" si="25"/>
        <v>[cPtvxaZqXIH]|25-34|Male|HIV_PREV.T_1|CY2024Q3</v>
      </c>
    </row>
    <row r="812" spans="4:18" x14ac:dyDescent="0.2">
      <c r="D812" t="s">
        <v>53</v>
      </c>
      <c r="E812" t="s">
        <v>54</v>
      </c>
      <c r="F812" t="s">
        <v>55</v>
      </c>
      <c r="G812" t="s">
        <v>141</v>
      </c>
      <c r="H812" t="s">
        <v>142</v>
      </c>
      <c r="I812" t="s">
        <v>43</v>
      </c>
      <c r="J812" t="s">
        <v>44</v>
      </c>
      <c r="K812" t="s">
        <v>48</v>
      </c>
      <c r="L812" t="s">
        <v>49</v>
      </c>
      <c r="M812" t="s">
        <v>140</v>
      </c>
      <c r="N812">
        <v>9.8790363000000006E-2</v>
      </c>
      <c r="O812">
        <v>4.4388736999999998E-2</v>
      </c>
      <c r="P812">
        <v>3.2325633999999999E-2</v>
      </c>
      <c r="Q812" t="str">
        <f t="shared" si="24"/>
        <v>35-49</v>
      </c>
      <c r="R812" t="str">
        <f t="shared" si="25"/>
        <v>[cPtvxaZqXIH]|35-49|Male|HIV_PREV.T_1|CY2024Q3</v>
      </c>
    </row>
    <row r="813" spans="4:18" x14ac:dyDescent="0.2">
      <c r="D813" t="s">
        <v>53</v>
      </c>
      <c r="E813" t="s">
        <v>54</v>
      </c>
      <c r="F813" t="s">
        <v>55</v>
      </c>
      <c r="G813" t="s">
        <v>141</v>
      </c>
      <c r="H813" t="s">
        <v>142</v>
      </c>
      <c r="I813" t="s">
        <v>45</v>
      </c>
      <c r="J813" t="s">
        <v>46</v>
      </c>
      <c r="K813" t="s">
        <v>48</v>
      </c>
      <c r="L813" t="s">
        <v>49</v>
      </c>
      <c r="M813" t="s">
        <v>140</v>
      </c>
      <c r="N813">
        <v>0.13523723500000001</v>
      </c>
      <c r="O813">
        <v>4.6895612000000003E-2</v>
      </c>
      <c r="P813">
        <v>3.2325633999999999E-2</v>
      </c>
      <c r="Q813" t="str">
        <f t="shared" si="24"/>
        <v>50+</v>
      </c>
      <c r="R813" t="str">
        <f t="shared" si="25"/>
        <v>[cPtvxaZqXIH]|50+|Male|HIV_PREV.T_1|CY2024Q3</v>
      </c>
    </row>
    <row r="814" spans="4:18" x14ac:dyDescent="0.2">
      <c r="D814" t="s">
        <v>60</v>
      </c>
      <c r="E814" t="s">
        <v>61</v>
      </c>
      <c r="F814" t="s">
        <v>62</v>
      </c>
      <c r="G814" t="s">
        <v>141</v>
      </c>
      <c r="H814" t="s">
        <v>142</v>
      </c>
      <c r="I814" t="s">
        <v>28</v>
      </c>
      <c r="J814" t="s">
        <v>29</v>
      </c>
      <c r="K814" t="s">
        <v>30</v>
      </c>
      <c r="L814" t="s">
        <v>31</v>
      </c>
      <c r="M814" t="s">
        <v>140</v>
      </c>
      <c r="N814">
        <v>1.5281279999999999E-3</v>
      </c>
      <c r="O814">
        <v>8.5017439E-2</v>
      </c>
      <c r="P814">
        <v>8.1622581999999999E-2</v>
      </c>
      <c r="Q814" t="str">
        <f t="shared" si="24"/>
        <v>&lt;01</v>
      </c>
      <c r="R814" t="str">
        <f t="shared" si="25"/>
        <v>[E7zpfyBt7Tw]|&lt;01|Female|HIV_PREV.T_1|CY2024Q3</v>
      </c>
    </row>
    <row r="815" spans="4:18" x14ac:dyDescent="0.2">
      <c r="D815" t="s">
        <v>60</v>
      </c>
      <c r="E815" t="s">
        <v>61</v>
      </c>
      <c r="F815" t="s">
        <v>62</v>
      </c>
      <c r="G815" t="s">
        <v>141</v>
      </c>
      <c r="H815" t="s">
        <v>142</v>
      </c>
      <c r="I815" t="s">
        <v>33</v>
      </c>
      <c r="J815" t="s">
        <v>34</v>
      </c>
      <c r="K815" t="s">
        <v>30</v>
      </c>
      <c r="L815" t="s">
        <v>31</v>
      </c>
      <c r="M815" t="s">
        <v>140</v>
      </c>
      <c r="N815">
        <v>3.6281130000000001E-3</v>
      </c>
      <c r="O815">
        <v>8.8843606000000006E-2</v>
      </c>
      <c r="P815">
        <v>8.1622581999999999E-2</v>
      </c>
      <c r="Q815" t="str">
        <f t="shared" si="24"/>
        <v>01-09</v>
      </c>
      <c r="R815" t="str">
        <f t="shared" si="25"/>
        <v>[E7zpfyBt7Tw]|01-09|Female|HIV_PREV.T_1|CY2024Q3</v>
      </c>
    </row>
    <row r="816" spans="4:18" x14ac:dyDescent="0.2">
      <c r="D816" t="s">
        <v>60</v>
      </c>
      <c r="E816" t="s">
        <v>61</v>
      </c>
      <c r="F816" t="s">
        <v>62</v>
      </c>
      <c r="G816" t="s">
        <v>141</v>
      </c>
      <c r="H816" t="s">
        <v>142</v>
      </c>
      <c r="I816" t="s">
        <v>36</v>
      </c>
      <c r="J816" t="s">
        <v>37</v>
      </c>
      <c r="K816" t="s">
        <v>30</v>
      </c>
      <c r="L816" t="s">
        <v>31</v>
      </c>
      <c r="M816" t="s">
        <v>140</v>
      </c>
      <c r="N816">
        <v>8.2164300000000003E-3</v>
      </c>
      <c r="O816">
        <v>9.3897241000000006E-2</v>
      </c>
      <c r="P816">
        <v>8.1622581999999999E-2</v>
      </c>
      <c r="Q816" t="str">
        <f t="shared" si="24"/>
        <v>10-14</v>
      </c>
      <c r="R816" t="str">
        <f t="shared" si="25"/>
        <v>[E7zpfyBt7Tw]|10-14|Female|HIV_PREV.T_1|CY2024Q3</v>
      </c>
    </row>
    <row r="817" spans="4:18" x14ac:dyDescent="0.2">
      <c r="D817" t="s">
        <v>60</v>
      </c>
      <c r="E817" t="s">
        <v>61</v>
      </c>
      <c r="F817" t="s">
        <v>62</v>
      </c>
      <c r="G817" t="s">
        <v>141</v>
      </c>
      <c r="H817" t="s">
        <v>142</v>
      </c>
      <c r="I817" t="s">
        <v>38</v>
      </c>
      <c r="J817" t="s">
        <v>39</v>
      </c>
      <c r="K817" t="s">
        <v>30</v>
      </c>
      <c r="L817" t="s">
        <v>31</v>
      </c>
      <c r="M817" t="s">
        <v>140</v>
      </c>
      <c r="N817">
        <v>1.7973386000000001E-2</v>
      </c>
      <c r="O817">
        <v>0.106639364</v>
      </c>
      <c r="P817">
        <v>8.1622581999999999E-2</v>
      </c>
      <c r="Q817" t="str">
        <f t="shared" si="24"/>
        <v>15-24</v>
      </c>
      <c r="R817" t="str">
        <f t="shared" si="25"/>
        <v>[E7zpfyBt7Tw]|15-24|Female|HIV_PREV.T_1|CY2024Q3</v>
      </c>
    </row>
    <row r="818" spans="4:18" x14ac:dyDescent="0.2">
      <c r="D818" t="s">
        <v>60</v>
      </c>
      <c r="E818" t="s">
        <v>61</v>
      </c>
      <c r="F818" t="s">
        <v>62</v>
      </c>
      <c r="G818" t="s">
        <v>141</v>
      </c>
      <c r="H818" t="s">
        <v>142</v>
      </c>
      <c r="I818" t="s">
        <v>41</v>
      </c>
      <c r="J818" t="s">
        <v>42</v>
      </c>
      <c r="K818" t="s">
        <v>30</v>
      </c>
      <c r="L818" t="s">
        <v>31</v>
      </c>
      <c r="M818" t="s">
        <v>140</v>
      </c>
      <c r="N818">
        <v>6.8292254999999996E-2</v>
      </c>
      <c r="O818">
        <v>9.7187256999999999E-2</v>
      </c>
      <c r="P818">
        <v>8.1622581999999999E-2</v>
      </c>
      <c r="Q818" t="str">
        <f t="shared" si="24"/>
        <v>25-34</v>
      </c>
      <c r="R818" t="str">
        <f t="shared" si="25"/>
        <v>[E7zpfyBt7Tw]|25-34|Female|HIV_PREV.T_1|CY2024Q3</v>
      </c>
    </row>
    <row r="819" spans="4:18" x14ac:dyDescent="0.2">
      <c r="D819" t="s">
        <v>60</v>
      </c>
      <c r="E819" t="s">
        <v>61</v>
      </c>
      <c r="F819" t="s">
        <v>62</v>
      </c>
      <c r="G819" t="s">
        <v>141</v>
      </c>
      <c r="H819" t="s">
        <v>142</v>
      </c>
      <c r="I819" t="s">
        <v>43</v>
      </c>
      <c r="J819" t="s">
        <v>44</v>
      </c>
      <c r="K819" t="s">
        <v>30</v>
      </c>
      <c r="L819" t="s">
        <v>31</v>
      </c>
      <c r="M819" t="s">
        <v>140</v>
      </c>
      <c r="N819">
        <v>0.16477068</v>
      </c>
      <c r="O819">
        <v>8.0543067999999995E-2</v>
      </c>
      <c r="P819">
        <v>8.1622581999999999E-2</v>
      </c>
      <c r="Q819" t="str">
        <f t="shared" si="24"/>
        <v>35-49</v>
      </c>
      <c r="R819" t="str">
        <f t="shared" si="25"/>
        <v>[E7zpfyBt7Tw]|35-49|Female|HIV_PREV.T_1|CY2024Q3</v>
      </c>
    </row>
    <row r="820" spans="4:18" x14ac:dyDescent="0.2">
      <c r="D820" t="s">
        <v>60</v>
      </c>
      <c r="E820" t="s">
        <v>61</v>
      </c>
      <c r="F820" t="s">
        <v>62</v>
      </c>
      <c r="G820" t="s">
        <v>141</v>
      </c>
      <c r="H820" t="s">
        <v>142</v>
      </c>
      <c r="I820" t="s">
        <v>45</v>
      </c>
      <c r="J820" t="s">
        <v>46</v>
      </c>
      <c r="K820" t="s">
        <v>30</v>
      </c>
      <c r="L820" t="s">
        <v>31</v>
      </c>
      <c r="M820" t="s">
        <v>140</v>
      </c>
      <c r="N820">
        <v>0.128782797</v>
      </c>
      <c r="O820">
        <v>8.7614469E-2</v>
      </c>
      <c r="P820">
        <v>8.1622581999999999E-2</v>
      </c>
      <c r="Q820" t="str">
        <f t="shared" si="24"/>
        <v>50+</v>
      </c>
      <c r="R820" t="str">
        <f t="shared" si="25"/>
        <v>[E7zpfyBt7Tw]|50+|Female|HIV_PREV.T_1|CY2024Q3</v>
      </c>
    </row>
    <row r="821" spans="4:18" x14ac:dyDescent="0.2">
      <c r="D821" t="s">
        <v>60</v>
      </c>
      <c r="E821" t="s">
        <v>61</v>
      </c>
      <c r="F821" t="s">
        <v>62</v>
      </c>
      <c r="G821" t="s">
        <v>141</v>
      </c>
      <c r="H821" t="s">
        <v>142</v>
      </c>
      <c r="I821" t="s">
        <v>28</v>
      </c>
      <c r="J821" t="s">
        <v>29</v>
      </c>
      <c r="K821" t="s">
        <v>48</v>
      </c>
      <c r="L821" t="s">
        <v>49</v>
      </c>
      <c r="M821" t="s">
        <v>140</v>
      </c>
      <c r="N821">
        <v>1.483795E-3</v>
      </c>
      <c r="O821">
        <v>8.5061734999999999E-2</v>
      </c>
      <c r="P821">
        <v>8.1622581999999999E-2</v>
      </c>
      <c r="Q821" t="str">
        <f t="shared" si="24"/>
        <v>&lt;01</v>
      </c>
      <c r="R821" t="str">
        <f t="shared" si="25"/>
        <v>[E7zpfyBt7Tw]|&lt;01|Male|HIV_PREV.T_1|CY2024Q3</v>
      </c>
    </row>
    <row r="822" spans="4:18" x14ac:dyDescent="0.2">
      <c r="D822" t="s">
        <v>60</v>
      </c>
      <c r="E822" t="s">
        <v>61</v>
      </c>
      <c r="F822" t="s">
        <v>62</v>
      </c>
      <c r="G822" t="s">
        <v>141</v>
      </c>
      <c r="H822" t="s">
        <v>142</v>
      </c>
      <c r="I822" t="s">
        <v>33</v>
      </c>
      <c r="J822" t="s">
        <v>34</v>
      </c>
      <c r="K822" t="s">
        <v>48</v>
      </c>
      <c r="L822" t="s">
        <v>49</v>
      </c>
      <c r="M822" t="s">
        <v>140</v>
      </c>
      <c r="N822">
        <v>3.6016519999999999E-3</v>
      </c>
      <c r="O822">
        <v>8.8870472000000006E-2</v>
      </c>
      <c r="P822">
        <v>8.1622581999999999E-2</v>
      </c>
      <c r="Q822" t="str">
        <f t="shared" si="24"/>
        <v>01-09</v>
      </c>
      <c r="R822" t="str">
        <f t="shared" si="25"/>
        <v>[E7zpfyBt7Tw]|01-09|Male|HIV_PREV.T_1|CY2024Q3</v>
      </c>
    </row>
    <row r="823" spans="4:18" x14ac:dyDescent="0.2">
      <c r="D823" t="s">
        <v>60</v>
      </c>
      <c r="E823" t="s">
        <v>61</v>
      </c>
      <c r="F823" t="s">
        <v>62</v>
      </c>
      <c r="G823" t="s">
        <v>141</v>
      </c>
      <c r="H823" t="s">
        <v>142</v>
      </c>
      <c r="I823" t="s">
        <v>36</v>
      </c>
      <c r="J823" t="s">
        <v>37</v>
      </c>
      <c r="K823" t="s">
        <v>48</v>
      </c>
      <c r="L823" t="s">
        <v>49</v>
      </c>
      <c r="M823" t="s">
        <v>140</v>
      </c>
      <c r="N823">
        <v>8.1872830000000001E-3</v>
      </c>
      <c r="O823">
        <v>9.3898211999999995E-2</v>
      </c>
      <c r="P823">
        <v>8.1622581999999999E-2</v>
      </c>
      <c r="Q823" t="str">
        <f t="shared" si="24"/>
        <v>10-14</v>
      </c>
      <c r="R823" t="str">
        <f t="shared" si="25"/>
        <v>[E7zpfyBt7Tw]|10-14|Male|HIV_PREV.T_1|CY2024Q3</v>
      </c>
    </row>
    <row r="824" spans="4:18" x14ac:dyDescent="0.2">
      <c r="D824" t="s">
        <v>60</v>
      </c>
      <c r="E824" t="s">
        <v>61</v>
      </c>
      <c r="F824" t="s">
        <v>62</v>
      </c>
      <c r="G824" t="s">
        <v>141</v>
      </c>
      <c r="H824" t="s">
        <v>142</v>
      </c>
      <c r="I824" t="s">
        <v>38</v>
      </c>
      <c r="J824" t="s">
        <v>39</v>
      </c>
      <c r="K824" t="s">
        <v>48</v>
      </c>
      <c r="L824" t="s">
        <v>49</v>
      </c>
      <c r="M824" t="s">
        <v>140</v>
      </c>
      <c r="N824">
        <v>1.4339184E-2</v>
      </c>
      <c r="O824">
        <v>0.114529848</v>
      </c>
      <c r="P824">
        <v>8.1622581999999999E-2</v>
      </c>
      <c r="Q824" t="str">
        <f t="shared" si="24"/>
        <v>15-24</v>
      </c>
      <c r="R824" t="str">
        <f t="shared" si="25"/>
        <v>[E7zpfyBt7Tw]|15-24|Male|HIV_PREV.T_1|CY2024Q3</v>
      </c>
    </row>
    <row r="825" spans="4:18" x14ac:dyDescent="0.2">
      <c r="D825" t="s">
        <v>60</v>
      </c>
      <c r="E825" t="s">
        <v>61</v>
      </c>
      <c r="F825" t="s">
        <v>62</v>
      </c>
      <c r="G825" t="s">
        <v>141</v>
      </c>
      <c r="H825" t="s">
        <v>142</v>
      </c>
      <c r="I825" t="s">
        <v>41</v>
      </c>
      <c r="J825" t="s">
        <v>42</v>
      </c>
      <c r="K825" t="s">
        <v>48</v>
      </c>
      <c r="L825" t="s">
        <v>49</v>
      </c>
      <c r="M825" t="s">
        <v>140</v>
      </c>
      <c r="N825">
        <v>3.1860667000000002E-2</v>
      </c>
      <c r="O825">
        <v>0.112698032</v>
      </c>
      <c r="P825">
        <v>8.1622581999999999E-2</v>
      </c>
      <c r="Q825" t="str">
        <f t="shared" si="24"/>
        <v>25-34</v>
      </c>
      <c r="R825" t="str">
        <f t="shared" si="25"/>
        <v>[E7zpfyBt7Tw]|25-34|Male|HIV_PREV.T_1|CY2024Q3</v>
      </c>
    </row>
    <row r="826" spans="4:18" x14ac:dyDescent="0.2">
      <c r="D826" t="s">
        <v>60</v>
      </c>
      <c r="E826" t="s">
        <v>61</v>
      </c>
      <c r="F826" t="s">
        <v>62</v>
      </c>
      <c r="G826" t="s">
        <v>141</v>
      </c>
      <c r="H826" t="s">
        <v>142</v>
      </c>
      <c r="I826" t="s">
        <v>43</v>
      </c>
      <c r="J826" t="s">
        <v>44</v>
      </c>
      <c r="K826" t="s">
        <v>48</v>
      </c>
      <c r="L826" t="s">
        <v>49</v>
      </c>
      <c r="M826" t="s">
        <v>140</v>
      </c>
      <c r="N826">
        <v>0.11922395199999999</v>
      </c>
      <c r="O826">
        <v>8.7812298999999996E-2</v>
      </c>
      <c r="P826">
        <v>8.1622581999999999E-2</v>
      </c>
      <c r="Q826" t="str">
        <f t="shared" si="24"/>
        <v>35-49</v>
      </c>
      <c r="R826" t="str">
        <f t="shared" si="25"/>
        <v>[E7zpfyBt7Tw]|35-49|Male|HIV_PREV.T_1|CY2024Q3</v>
      </c>
    </row>
    <row r="827" spans="4:18" x14ac:dyDescent="0.2">
      <c r="D827" t="s">
        <v>60</v>
      </c>
      <c r="E827" t="s">
        <v>61</v>
      </c>
      <c r="F827" t="s">
        <v>62</v>
      </c>
      <c r="G827" t="s">
        <v>141</v>
      </c>
      <c r="H827" t="s">
        <v>142</v>
      </c>
      <c r="I827" t="s">
        <v>45</v>
      </c>
      <c r="J827" t="s">
        <v>46</v>
      </c>
      <c r="K827" t="s">
        <v>48</v>
      </c>
      <c r="L827" t="s">
        <v>49</v>
      </c>
      <c r="M827" t="s">
        <v>140</v>
      </c>
      <c r="N827">
        <v>0.15662590100000001</v>
      </c>
      <c r="O827">
        <v>8.2675684999999999E-2</v>
      </c>
      <c r="P827">
        <v>8.1622581999999999E-2</v>
      </c>
      <c r="Q827" t="str">
        <f t="shared" si="24"/>
        <v>50+</v>
      </c>
      <c r="R827" t="str">
        <f t="shared" si="25"/>
        <v>[E7zpfyBt7Tw]|50+|Male|HIV_PREV.T_1|CY2024Q3</v>
      </c>
    </row>
    <row r="828" spans="4:18" x14ac:dyDescent="0.2">
      <c r="D828" t="s">
        <v>63</v>
      </c>
      <c r="E828" t="s">
        <v>64</v>
      </c>
      <c r="F828" t="s">
        <v>65</v>
      </c>
      <c r="G828" t="s">
        <v>141</v>
      </c>
      <c r="H828" t="s">
        <v>142</v>
      </c>
      <c r="I828" t="s">
        <v>28</v>
      </c>
      <c r="J828" t="s">
        <v>29</v>
      </c>
      <c r="K828" t="s">
        <v>30</v>
      </c>
      <c r="L828" t="s">
        <v>31</v>
      </c>
      <c r="M828" t="s">
        <v>140</v>
      </c>
      <c r="N828">
        <v>1.1276560000000001E-3</v>
      </c>
      <c r="O828">
        <v>8.0322025000000005E-2</v>
      </c>
      <c r="P828">
        <v>7.5735146000000003E-2</v>
      </c>
      <c r="Q828" t="str">
        <f t="shared" si="24"/>
        <v>&lt;01</v>
      </c>
      <c r="R828" t="str">
        <f t="shared" si="25"/>
        <v>[lPTyjLi4w3d]|&lt;01|Female|HIV_PREV.T_1|CY2024Q3</v>
      </c>
    </row>
    <row r="829" spans="4:18" x14ac:dyDescent="0.2">
      <c r="D829" t="s">
        <v>63</v>
      </c>
      <c r="E829" t="s">
        <v>64</v>
      </c>
      <c r="F829" t="s">
        <v>65</v>
      </c>
      <c r="G829" t="s">
        <v>141</v>
      </c>
      <c r="H829" t="s">
        <v>142</v>
      </c>
      <c r="I829" t="s">
        <v>33</v>
      </c>
      <c r="J829" t="s">
        <v>34</v>
      </c>
      <c r="K829" t="s">
        <v>30</v>
      </c>
      <c r="L829" t="s">
        <v>31</v>
      </c>
      <c r="M829" t="s">
        <v>140</v>
      </c>
      <c r="N829">
        <v>2.6652809999999998E-3</v>
      </c>
      <c r="O829">
        <v>8.4745516000000007E-2</v>
      </c>
      <c r="P829">
        <v>7.5735146000000003E-2</v>
      </c>
      <c r="Q829" t="str">
        <f t="shared" si="24"/>
        <v>01-09</v>
      </c>
      <c r="R829" t="str">
        <f t="shared" si="25"/>
        <v>[lPTyjLi4w3d]|01-09|Female|HIV_PREV.T_1|CY2024Q3</v>
      </c>
    </row>
    <row r="830" spans="4:18" x14ac:dyDescent="0.2">
      <c r="D830" t="s">
        <v>63</v>
      </c>
      <c r="E830" t="s">
        <v>64</v>
      </c>
      <c r="F830" t="s">
        <v>65</v>
      </c>
      <c r="G830" t="s">
        <v>141</v>
      </c>
      <c r="H830" t="s">
        <v>142</v>
      </c>
      <c r="I830" t="s">
        <v>36</v>
      </c>
      <c r="J830" t="s">
        <v>37</v>
      </c>
      <c r="K830" t="s">
        <v>30</v>
      </c>
      <c r="L830" t="s">
        <v>31</v>
      </c>
      <c r="M830" t="s">
        <v>140</v>
      </c>
      <c r="N830">
        <v>6.2346229999999999E-3</v>
      </c>
      <c r="O830">
        <v>9.0665060000000006E-2</v>
      </c>
      <c r="P830">
        <v>7.5735146000000003E-2</v>
      </c>
      <c r="Q830" t="str">
        <f t="shared" si="24"/>
        <v>10-14</v>
      </c>
      <c r="R830" t="str">
        <f t="shared" si="25"/>
        <v>[lPTyjLi4w3d]|10-14|Female|HIV_PREV.T_1|CY2024Q3</v>
      </c>
    </row>
    <row r="831" spans="4:18" x14ac:dyDescent="0.2">
      <c r="D831" t="s">
        <v>63</v>
      </c>
      <c r="E831" t="s">
        <v>64</v>
      </c>
      <c r="F831" t="s">
        <v>65</v>
      </c>
      <c r="G831" t="s">
        <v>141</v>
      </c>
      <c r="H831" t="s">
        <v>142</v>
      </c>
      <c r="I831" t="s">
        <v>38</v>
      </c>
      <c r="J831" t="s">
        <v>39</v>
      </c>
      <c r="K831" t="s">
        <v>30</v>
      </c>
      <c r="L831" t="s">
        <v>31</v>
      </c>
      <c r="M831" t="s">
        <v>140</v>
      </c>
      <c r="N831">
        <v>1.2926517E-2</v>
      </c>
      <c r="O831">
        <v>0.100479413</v>
      </c>
      <c r="P831">
        <v>7.5735146000000003E-2</v>
      </c>
      <c r="Q831" t="str">
        <f t="shared" si="24"/>
        <v>15-24</v>
      </c>
      <c r="R831" t="str">
        <f t="shared" si="25"/>
        <v>[lPTyjLi4w3d]|15-24|Female|HIV_PREV.T_1|CY2024Q3</v>
      </c>
    </row>
    <row r="832" spans="4:18" x14ac:dyDescent="0.2">
      <c r="D832" t="s">
        <v>63</v>
      </c>
      <c r="E832" t="s">
        <v>64</v>
      </c>
      <c r="F832" t="s">
        <v>65</v>
      </c>
      <c r="G832" t="s">
        <v>141</v>
      </c>
      <c r="H832" t="s">
        <v>142</v>
      </c>
      <c r="I832" t="s">
        <v>41</v>
      </c>
      <c r="J832" t="s">
        <v>42</v>
      </c>
      <c r="K832" t="s">
        <v>30</v>
      </c>
      <c r="L832" t="s">
        <v>31</v>
      </c>
      <c r="M832" t="s">
        <v>140</v>
      </c>
      <c r="N832">
        <v>4.7989641999999999E-2</v>
      </c>
      <c r="O832">
        <v>8.9696119000000005E-2</v>
      </c>
      <c r="P832">
        <v>7.5735146000000003E-2</v>
      </c>
      <c r="Q832" t="str">
        <f t="shared" si="24"/>
        <v>25-34</v>
      </c>
      <c r="R832" t="str">
        <f t="shared" si="25"/>
        <v>[lPTyjLi4w3d]|25-34|Female|HIV_PREV.T_1|CY2024Q3</v>
      </c>
    </row>
    <row r="833" spans="4:18" x14ac:dyDescent="0.2">
      <c r="D833" t="s">
        <v>63</v>
      </c>
      <c r="E833" t="s">
        <v>64</v>
      </c>
      <c r="F833" t="s">
        <v>65</v>
      </c>
      <c r="G833" t="s">
        <v>141</v>
      </c>
      <c r="H833" t="s">
        <v>142</v>
      </c>
      <c r="I833" t="s">
        <v>43</v>
      </c>
      <c r="J833" t="s">
        <v>44</v>
      </c>
      <c r="K833" t="s">
        <v>30</v>
      </c>
      <c r="L833" t="s">
        <v>31</v>
      </c>
      <c r="M833" t="s">
        <v>140</v>
      </c>
      <c r="N833">
        <v>0.122955473</v>
      </c>
      <c r="O833">
        <v>7.7829278000000002E-2</v>
      </c>
      <c r="P833">
        <v>7.5735146000000003E-2</v>
      </c>
      <c r="Q833" t="str">
        <f t="shared" si="24"/>
        <v>35-49</v>
      </c>
      <c r="R833" t="str">
        <f t="shared" si="25"/>
        <v>[lPTyjLi4w3d]|35-49|Female|HIV_PREV.T_1|CY2024Q3</v>
      </c>
    </row>
    <row r="834" spans="4:18" x14ac:dyDescent="0.2">
      <c r="D834" t="s">
        <v>63</v>
      </c>
      <c r="E834" t="s">
        <v>64</v>
      </c>
      <c r="F834" t="s">
        <v>65</v>
      </c>
      <c r="G834" t="s">
        <v>141</v>
      </c>
      <c r="H834" t="s">
        <v>142</v>
      </c>
      <c r="I834" t="s">
        <v>45</v>
      </c>
      <c r="J834" t="s">
        <v>46</v>
      </c>
      <c r="K834" t="s">
        <v>30</v>
      </c>
      <c r="L834" t="s">
        <v>31</v>
      </c>
      <c r="M834" t="s">
        <v>140</v>
      </c>
      <c r="N834">
        <v>0.101483992</v>
      </c>
      <c r="O834">
        <v>8.3793513E-2</v>
      </c>
      <c r="P834">
        <v>7.5735146000000003E-2</v>
      </c>
      <c r="Q834" t="str">
        <f t="shared" si="24"/>
        <v>50+</v>
      </c>
      <c r="R834" t="str">
        <f t="shared" si="25"/>
        <v>[lPTyjLi4w3d]|50+|Female|HIV_PREV.T_1|CY2024Q3</v>
      </c>
    </row>
    <row r="835" spans="4:18" x14ac:dyDescent="0.2">
      <c r="D835" t="s">
        <v>63</v>
      </c>
      <c r="E835" t="s">
        <v>64</v>
      </c>
      <c r="F835" t="s">
        <v>65</v>
      </c>
      <c r="G835" t="s">
        <v>141</v>
      </c>
      <c r="H835" t="s">
        <v>142</v>
      </c>
      <c r="I835" t="s">
        <v>28</v>
      </c>
      <c r="J835" t="s">
        <v>29</v>
      </c>
      <c r="K835" t="s">
        <v>48</v>
      </c>
      <c r="L835" t="s">
        <v>49</v>
      </c>
      <c r="M835" t="s">
        <v>140</v>
      </c>
      <c r="N835">
        <v>1.127351E-3</v>
      </c>
      <c r="O835">
        <v>8.0289120000000005E-2</v>
      </c>
      <c r="P835">
        <v>7.5735146000000003E-2</v>
      </c>
      <c r="Q835" t="str">
        <f t="shared" ref="Q835:Q898" si="26">SUBSTITUTE(SUBSTITUTE($I835,CHAR(61),""),CHAR(34),"")</f>
        <v>&lt;01</v>
      </c>
      <c r="R835" t="str">
        <f t="shared" ref="R835:R898" si="27">IF($D835&lt;&gt;"","["&amp;$E835&amp;"]"&amp;"|"&amp;$Q835&amp;"|"&amp;$K835&amp;"|"&amp;$G835&amp;"|"&amp;IF($G835="TX_CURR_SUBNAT.R","CY2023Q4",$M835),"")</f>
        <v>[lPTyjLi4w3d]|&lt;01|Male|HIV_PREV.T_1|CY2024Q3</v>
      </c>
    </row>
    <row r="836" spans="4:18" x14ac:dyDescent="0.2">
      <c r="D836" t="s">
        <v>63</v>
      </c>
      <c r="E836" t="s">
        <v>64</v>
      </c>
      <c r="F836" t="s">
        <v>65</v>
      </c>
      <c r="G836" t="s">
        <v>141</v>
      </c>
      <c r="H836" t="s">
        <v>142</v>
      </c>
      <c r="I836" t="s">
        <v>33</v>
      </c>
      <c r="J836" t="s">
        <v>34</v>
      </c>
      <c r="K836" t="s">
        <v>48</v>
      </c>
      <c r="L836" t="s">
        <v>49</v>
      </c>
      <c r="M836" t="s">
        <v>140</v>
      </c>
      <c r="N836">
        <v>2.6633970000000001E-3</v>
      </c>
      <c r="O836">
        <v>8.4713371999999995E-2</v>
      </c>
      <c r="P836">
        <v>7.5735146000000003E-2</v>
      </c>
      <c r="Q836" t="str">
        <f t="shared" si="26"/>
        <v>01-09</v>
      </c>
      <c r="R836" t="str">
        <f t="shared" si="27"/>
        <v>[lPTyjLi4w3d]|01-09|Male|HIV_PREV.T_1|CY2024Q3</v>
      </c>
    </row>
    <row r="837" spans="4:18" x14ac:dyDescent="0.2">
      <c r="D837" t="s">
        <v>63</v>
      </c>
      <c r="E837" t="s">
        <v>64</v>
      </c>
      <c r="F837" t="s">
        <v>65</v>
      </c>
      <c r="G837" t="s">
        <v>141</v>
      </c>
      <c r="H837" t="s">
        <v>142</v>
      </c>
      <c r="I837" t="s">
        <v>36</v>
      </c>
      <c r="J837" t="s">
        <v>37</v>
      </c>
      <c r="K837" t="s">
        <v>48</v>
      </c>
      <c r="L837" t="s">
        <v>49</v>
      </c>
      <c r="M837" t="s">
        <v>140</v>
      </c>
      <c r="N837">
        <v>6.1865430000000001E-3</v>
      </c>
      <c r="O837">
        <v>9.0665186999999994E-2</v>
      </c>
      <c r="P837">
        <v>7.5735146000000003E-2</v>
      </c>
      <c r="Q837" t="str">
        <f t="shared" si="26"/>
        <v>10-14</v>
      </c>
      <c r="R837" t="str">
        <f t="shared" si="27"/>
        <v>[lPTyjLi4w3d]|10-14|Male|HIV_PREV.T_1|CY2024Q3</v>
      </c>
    </row>
    <row r="838" spans="4:18" x14ac:dyDescent="0.2">
      <c r="D838" t="s">
        <v>63</v>
      </c>
      <c r="E838" t="s">
        <v>64</v>
      </c>
      <c r="F838" t="s">
        <v>65</v>
      </c>
      <c r="G838" t="s">
        <v>141</v>
      </c>
      <c r="H838" t="s">
        <v>142</v>
      </c>
      <c r="I838" t="s">
        <v>38</v>
      </c>
      <c r="J838" t="s">
        <v>39</v>
      </c>
      <c r="K838" t="s">
        <v>48</v>
      </c>
      <c r="L838" t="s">
        <v>49</v>
      </c>
      <c r="M838" t="s">
        <v>140</v>
      </c>
      <c r="N838">
        <v>1.0293546000000001E-2</v>
      </c>
      <c r="O838">
        <v>0.105404313</v>
      </c>
      <c r="P838">
        <v>7.5735146000000003E-2</v>
      </c>
      <c r="Q838" t="str">
        <f t="shared" si="26"/>
        <v>15-24</v>
      </c>
      <c r="R838" t="str">
        <f t="shared" si="27"/>
        <v>[lPTyjLi4w3d]|15-24|Male|HIV_PREV.T_1|CY2024Q3</v>
      </c>
    </row>
    <row r="839" spans="4:18" x14ac:dyDescent="0.2">
      <c r="D839" t="s">
        <v>63</v>
      </c>
      <c r="E839" t="s">
        <v>64</v>
      </c>
      <c r="F839" t="s">
        <v>65</v>
      </c>
      <c r="G839" t="s">
        <v>141</v>
      </c>
      <c r="H839" t="s">
        <v>142</v>
      </c>
      <c r="I839" t="s">
        <v>41</v>
      </c>
      <c r="J839" t="s">
        <v>42</v>
      </c>
      <c r="K839" t="s">
        <v>48</v>
      </c>
      <c r="L839" t="s">
        <v>49</v>
      </c>
      <c r="M839" t="s">
        <v>140</v>
      </c>
      <c r="N839">
        <v>2.1667559999999999E-2</v>
      </c>
      <c r="O839">
        <v>0.106436005</v>
      </c>
      <c r="P839">
        <v>7.5735146000000003E-2</v>
      </c>
      <c r="Q839" t="str">
        <f t="shared" si="26"/>
        <v>25-34</v>
      </c>
      <c r="R839" t="str">
        <f t="shared" si="27"/>
        <v>[lPTyjLi4w3d]|25-34|Male|HIV_PREV.T_1|CY2024Q3</v>
      </c>
    </row>
    <row r="840" spans="4:18" x14ac:dyDescent="0.2">
      <c r="D840" t="s">
        <v>63</v>
      </c>
      <c r="E840" t="s">
        <v>64</v>
      </c>
      <c r="F840" t="s">
        <v>65</v>
      </c>
      <c r="G840" t="s">
        <v>141</v>
      </c>
      <c r="H840" t="s">
        <v>142</v>
      </c>
      <c r="I840" t="s">
        <v>43</v>
      </c>
      <c r="J840" t="s">
        <v>44</v>
      </c>
      <c r="K840" t="s">
        <v>48</v>
      </c>
      <c r="L840" t="s">
        <v>49</v>
      </c>
      <c r="M840" t="s">
        <v>140</v>
      </c>
      <c r="N840">
        <v>8.6110010000000001E-2</v>
      </c>
      <c r="O840">
        <v>8.1783930000000005E-2</v>
      </c>
      <c r="P840">
        <v>7.5735146000000003E-2</v>
      </c>
      <c r="Q840" t="str">
        <f t="shared" si="26"/>
        <v>35-49</v>
      </c>
      <c r="R840" t="str">
        <f t="shared" si="27"/>
        <v>[lPTyjLi4w3d]|35-49|Male|HIV_PREV.T_1|CY2024Q3</v>
      </c>
    </row>
    <row r="841" spans="4:18" x14ac:dyDescent="0.2">
      <c r="D841" t="s">
        <v>63</v>
      </c>
      <c r="E841" t="s">
        <v>64</v>
      </c>
      <c r="F841" t="s">
        <v>65</v>
      </c>
      <c r="G841" t="s">
        <v>141</v>
      </c>
      <c r="H841" t="s">
        <v>142</v>
      </c>
      <c r="I841" t="s">
        <v>45</v>
      </c>
      <c r="J841" t="s">
        <v>46</v>
      </c>
      <c r="K841" t="s">
        <v>48</v>
      </c>
      <c r="L841" t="s">
        <v>49</v>
      </c>
      <c r="M841" t="s">
        <v>140</v>
      </c>
      <c r="N841">
        <v>0.11990174100000001</v>
      </c>
      <c r="O841">
        <v>7.7793529E-2</v>
      </c>
      <c r="P841">
        <v>7.5735146000000003E-2</v>
      </c>
      <c r="Q841" t="str">
        <f t="shared" si="26"/>
        <v>50+</v>
      </c>
      <c r="R841" t="str">
        <f t="shared" si="27"/>
        <v>[lPTyjLi4w3d]|50+|Male|HIV_PREV.T_1|CY2024Q3</v>
      </c>
    </row>
    <row r="842" spans="4:18" x14ac:dyDescent="0.2">
      <c r="D842" t="s">
        <v>66</v>
      </c>
      <c r="E842" t="s">
        <v>67</v>
      </c>
      <c r="F842" t="s">
        <v>68</v>
      </c>
      <c r="G842" t="s">
        <v>141</v>
      </c>
      <c r="H842" t="s">
        <v>142</v>
      </c>
      <c r="I842" t="s">
        <v>28</v>
      </c>
      <c r="J842" t="s">
        <v>29</v>
      </c>
      <c r="K842" t="s">
        <v>30</v>
      </c>
      <c r="L842" t="s">
        <v>31</v>
      </c>
      <c r="M842" t="s">
        <v>140</v>
      </c>
      <c r="N842">
        <v>1.261594E-3</v>
      </c>
      <c r="O842">
        <v>3.1972221000000002E-2</v>
      </c>
      <c r="P842">
        <v>2.7596529000000002E-2</v>
      </c>
      <c r="Q842" t="str">
        <f t="shared" si="26"/>
        <v>&lt;01</v>
      </c>
      <c r="R842" t="str">
        <f t="shared" si="27"/>
        <v>[vA4NcHxfMBq]|&lt;01|Female|HIV_PREV.T_1|CY2024Q3</v>
      </c>
    </row>
    <row r="843" spans="4:18" x14ac:dyDescent="0.2">
      <c r="D843" t="s">
        <v>66</v>
      </c>
      <c r="E843" t="s">
        <v>67</v>
      </c>
      <c r="F843" t="s">
        <v>68</v>
      </c>
      <c r="G843" t="s">
        <v>141</v>
      </c>
      <c r="H843" t="s">
        <v>142</v>
      </c>
      <c r="I843" t="s">
        <v>33</v>
      </c>
      <c r="J843" t="s">
        <v>34</v>
      </c>
      <c r="K843" t="s">
        <v>30</v>
      </c>
      <c r="L843" t="s">
        <v>31</v>
      </c>
      <c r="M843" t="s">
        <v>140</v>
      </c>
      <c r="N843">
        <v>2.8082810000000001E-3</v>
      </c>
      <c r="O843">
        <v>3.8531455999999999E-2</v>
      </c>
      <c r="P843">
        <v>2.7596529000000002E-2</v>
      </c>
      <c r="Q843" t="str">
        <f t="shared" si="26"/>
        <v>01-09</v>
      </c>
      <c r="R843" t="str">
        <f t="shared" si="27"/>
        <v>[vA4NcHxfMBq]|01-09|Female|HIV_PREV.T_1|CY2024Q3</v>
      </c>
    </row>
    <row r="844" spans="4:18" x14ac:dyDescent="0.2">
      <c r="D844" t="s">
        <v>66</v>
      </c>
      <c r="E844" t="s">
        <v>67</v>
      </c>
      <c r="F844" t="s">
        <v>68</v>
      </c>
      <c r="G844" t="s">
        <v>141</v>
      </c>
      <c r="H844" t="s">
        <v>142</v>
      </c>
      <c r="I844" t="s">
        <v>36</v>
      </c>
      <c r="J844" t="s">
        <v>37</v>
      </c>
      <c r="K844" t="s">
        <v>30</v>
      </c>
      <c r="L844" t="s">
        <v>31</v>
      </c>
      <c r="M844" t="s">
        <v>140</v>
      </c>
      <c r="N844">
        <v>6.3559419999999998E-3</v>
      </c>
      <c r="O844">
        <v>4.7129465000000002E-2</v>
      </c>
      <c r="P844">
        <v>2.7596529000000002E-2</v>
      </c>
      <c r="Q844" t="str">
        <f t="shared" si="26"/>
        <v>10-14</v>
      </c>
      <c r="R844" t="str">
        <f t="shared" si="27"/>
        <v>[vA4NcHxfMBq]|10-14|Female|HIV_PREV.T_1|CY2024Q3</v>
      </c>
    </row>
    <row r="845" spans="4:18" x14ac:dyDescent="0.2">
      <c r="D845" t="s">
        <v>66</v>
      </c>
      <c r="E845" t="s">
        <v>67</v>
      </c>
      <c r="F845" t="s">
        <v>68</v>
      </c>
      <c r="G845" t="s">
        <v>141</v>
      </c>
      <c r="H845" t="s">
        <v>142</v>
      </c>
      <c r="I845" t="s">
        <v>38</v>
      </c>
      <c r="J845" t="s">
        <v>39</v>
      </c>
      <c r="K845" t="s">
        <v>30</v>
      </c>
      <c r="L845" t="s">
        <v>31</v>
      </c>
      <c r="M845" t="s">
        <v>140</v>
      </c>
      <c r="N845">
        <v>1.3897512000000001E-2</v>
      </c>
      <c r="O845">
        <v>6.5563414E-2</v>
      </c>
      <c r="P845">
        <v>2.7596529000000002E-2</v>
      </c>
      <c r="Q845" t="str">
        <f t="shared" si="26"/>
        <v>15-24</v>
      </c>
      <c r="R845" t="str">
        <f t="shared" si="27"/>
        <v>[vA4NcHxfMBq]|15-24|Female|HIV_PREV.T_1|CY2024Q3</v>
      </c>
    </row>
    <row r="846" spans="4:18" x14ac:dyDescent="0.2">
      <c r="D846" t="s">
        <v>66</v>
      </c>
      <c r="E846" t="s">
        <v>67</v>
      </c>
      <c r="F846" t="s">
        <v>68</v>
      </c>
      <c r="G846" t="s">
        <v>141</v>
      </c>
      <c r="H846" t="s">
        <v>142</v>
      </c>
      <c r="I846" t="s">
        <v>41</v>
      </c>
      <c r="J846" t="s">
        <v>42</v>
      </c>
      <c r="K846" t="s">
        <v>30</v>
      </c>
      <c r="L846" t="s">
        <v>31</v>
      </c>
      <c r="M846" t="s">
        <v>140</v>
      </c>
      <c r="N846">
        <v>5.5235320999999997E-2</v>
      </c>
      <c r="O846">
        <v>4.5873780000000003E-2</v>
      </c>
      <c r="P846">
        <v>2.7596529000000002E-2</v>
      </c>
      <c r="Q846" t="str">
        <f t="shared" si="26"/>
        <v>25-34</v>
      </c>
      <c r="R846" t="str">
        <f t="shared" si="27"/>
        <v>[vA4NcHxfMBq]|25-34|Female|HIV_PREV.T_1|CY2024Q3</v>
      </c>
    </row>
    <row r="847" spans="4:18" x14ac:dyDescent="0.2">
      <c r="D847" t="s">
        <v>66</v>
      </c>
      <c r="E847" t="s">
        <v>67</v>
      </c>
      <c r="F847" t="s">
        <v>68</v>
      </c>
      <c r="G847" t="s">
        <v>141</v>
      </c>
      <c r="H847" t="s">
        <v>142</v>
      </c>
      <c r="I847" t="s">
        <v>43</v>
      </c>
      <c r="J847" t="s">
        <v>44</v>
      </c>
      <c r="K847" t="s">
        <v>30</v>
      </c>
      <c r="L847" t="s">
        <v>31</v>
      </c>
      <c r="M847" t="s">
        <v>140</v>
      </c>
      <c r="N847">
        <v>0.13592779199999999</v>
      </c>
      <c r="O847">
        <v>3.1215528999999999E-2</v>
      </c>
      <c r="P847">
        <v>2.7596529000000002E-2</v>
      </c>
      <c r="Q847" t="str">
        <f t="shared" si="26"/>
        <v>35-49</v>
      </c>
      <c r="R847" t="str">
        <f t="shared" si="27"/>
        <v>[vA4NcHxfMBq]|35-49|Female|HIV_PREV.T_1|CY2024Q3</v>
      </c>
    </row>
    <row r="848" spans="4:18" x14ac:dyDescent="0.2">
      <c r="D848" t="s">
        <v>66</v>
      </c>
      <c r="E848" t="s">
        <v>67</v>
      </c>
      <c r="F848" t="s">
        <v>68</v>
      </c>
      <c r="G848" t="s">
        <v>141</v>
      </c>
      <c r="H848" t="s">
        <v>142</v>
      </c>
      <c r="I848" t="s">
        <v>45</v>
      </c>
      <c r="J848" t="s">
        <v>46</v>
      </c>
      <c r="K848" t="s">
        <v>30</v>
      </c>
      <c r="L848" t="s">
        <v>31</v>
      </c>
      <c r="M848" t="s">
        <v>140</v>
      </c>
      <c r="N848">
        <v>9.9703703000000005E-2</v>
      </c>
      <c r="O848">
        <v>4.7719494000000001E-2</v>
      </c>
      <c r="P848">
        <v>2.7596529000000002E-2</v>
      </c>
      <c r="Q848" t="str">
        <f t="shared" si="26"/>
        <v>50+</v>
      </c>
      <c r="R848" t="str">
        <f t="shared" si="27"/>
        <v>[vA4NcHxfMBq]|50+|Female|HIV_PREV.T_1|CY2024Q3</v>
      </c>
    </row>
    <row r="849" spans="4:18" x14ac:dyDescent="0.2">
      <c r="D849" t="s">
        <v>66</v>
      </c>
      <c r="E849" t="s">
        <v>67</v>
      </c>
      <c r="F849" t="s">
        <v>68</v>
      </c>
      <c r="G849" t="s">
        <v>141</v>
      </c>
      <c r="H849" t="s">
        <v>142</v>
      </c>
      <c r="I849" t="s">
        <v>28</v>
      </c>
      <c r="J849" t="s">
        <v>29</v>
      </c>
      <c r="K849" t="s">
        <v>48</v>
      </c>
      <c r="L849" t="s">
        <v>49</v>
      </c>
      <c r="M849" t="s">
        <v>140</v>
      </c>
      <c r="N849">
        <v>1.247864E-3</v>
      </c>
      <c r="O849">
        <v>3.1969783000000002E-2</v>
      </c>
      <c r="P849">
        <v>2.7596529000000002E-2</v>
      </c>
      <c r="Q849" t="str">
        <f t="shared" si="26"/>
        <v>&lt;01</v>
      </c>
      <c r="R849" t="str">
        <f t="shared" si="27"/>
        <v>[vA4NcHxfMBq]|&lt;01|Male|HIV_PREV.T_1|CY2024Q3</v>
      </c>
    </row>
    <row r="850" spans="4:18" x14ac:dyDescent="0.2">
      <c r="D850" t="s">
        <v>66</v>
      </c>
      <c r="E850" t="s">
        <v>67</v>
      </c>
      <c r="F850" t="s">
        <v>68</v>
      </c>
      <c r="G850" t="s">
        <v>141</v>
      </c>
      <c r="H850" t="s">
        <v>142</v>
      </c>
      <c r="I850" t="s">
        <v>33</v>
      </c>
      <c r="J850" t="s">
        <v>34</v>
      </c>
      <c r="K850" t="s">
        <v>48</v>
      </c>
      <c r="L850" t="s">
        <v>49</v>
      </c>
      <c r="M850" t="s">
        <v>140</v>
      </c>
      <c r="N850">
        <v>2.8000360000000001E-3</v>
      </c>
      <c r="O850">
        <v>3.8533797000000002E-2</v>
      </c>
      <c r="P850">
        <v>2.7596529000000002E-2</v>
      </c>
      <c r="Q850" t="str">
        <f t="shared" si="26"/>
        <v>01-09</v>
      </c>
      <c r="R850" t="str">
        <f t="shared" si="27"/>
        <v>[vA4NcHxfMBq]|01-09|Male|HIV_PREV.T_1|CY2024Q3</v>
      </c>
    </row>
    <row r="851" spans="4:18" x14ac:dyDescent="0.2">
      <c r="D851" t="s">
        <v>66</v>
      </c>
      <c r="E851" t="s">
        <v>67</v>
      </c>
      <c r="F851" t="s">
        <v>68</v>
      </c>
      <c r="G851" t="s">
        <v>141</v>
      </c>
      <c r="H851" t="s">
        <v>142</v>
      </c>
      <c r="I851" t="s">
        <v>36</v>
      </c>
      <c r="J851" t="s">
        <v>37</v>
      </c>
      <c r="K851" t="s">
        <v>48</v>
      </c>
      <c r="L851" t="s">
        <v>49</v>
      </c>
      <c r="M851" t="s">
        <v>140</v>
      </c>
      <c r="N851">
        <v>6.4427010000000003E-3</v>
      </c>
      <c r="O851">
        <v>4.7288421999999997E-2</v>
      </c>
      <c r="P851">
        <v>2.7596529000000002E-2</v>
      </c>
      <c r="Q851" t="str">
        <f t="shared" si="26"/>
        <v>10-14</v>
      </c>
      <c r="R851" t="str">
        <f t="shared" si="27"/>
        <v>[vA4NcHxfMBq]|10-14|Male|HIV_PREV.T_1|CY2024Q3</v>
      </c>
    </row>
    <row r="852" spans="4:18" x14ac:dyDescent="0.2">
      <c r="D852" t="s">
        <v>66</v>
      </c>
      <c r="E852" t="s">
        <v>67</v>
      </c>
      <c r="F852" t="s">
        <v>68</v>
      </c>
      <c r="G852" t="s">
        <v>141</v>
      </c>
      <c r="H852" t="s">
        <v>142</v>
      </c>
      <c r="I852" t="s">
        <v>38</v>
      </c>
      <c r="J852" t="s">
        <v>39</v>
      </c>
      <c r="K852" t="s">
        <v>48</v>
      </c>
      <c r="L852" t="s">
        <v>49</v>
      </c>
      <c r="M852" t="s">
        <v>140</v>
      </c>
      <c r="N852">
        <v>1.0384226999999999E-2</v>
      </c>
      <c r="O852">
        <v>7.6692739999999995E-2</v>
      </c>
      <c r="P852">
        <v>2.7596529000000002E-2</v>
      </c>
      <c r="Q852" t="str">
        <f t="shared" si="26"/>
        <v>15-24</v>
      </c>
      <c r="R852" t="str">
        <f t="shared" si="27"/>
        <v>[vA4NcHxfMBq]|15-24|Male|HIV_PREV.T_1|CY2024Q3</v>
      </c>
    </row>
    <row r="853" spans="4:18" x14ac:dyDescent="0.2">
      <c r="D853" t="s">
        <v>66</v>
      </c>
      <c r="E853" t="s">
        <v>67</v>
      </c>
      <c r="F853" t="s">
        <v>68</v>
      </c>
      <c r="G853" t="s">
        <v>141</v>
      </c>
      <c r="H853" t="s">
        <v>142</v>
      </c>
      <c r="I853" t="s">
        <v>41</v>
      </c>
      <c r="J853" t="s">
        <v>42</v>
      </c>
      <c r="K853" t="s">
        <v>48</v>
      </c>
      <c r="L853" t="s">
        <v>49</v>
      </c>
      <c r="M853" t="s">
        <v>140</v>
      </c>
      <c r="N853">
        <v>2.3757133E-2</v>
      </c>
      <c r="O853">
        <v>7.3241845E-2</v>
      </c>
      <c r="P853">
        <v>2.7596529000000002E-2</v>
      </c>
      <c r="Q853" t="str">
        <f t="shared" si="26"/>
        <v>25-34</v>
      </c>
      <c r="R853" t="str">
        <f t="shared" si="27"/>
        <v>[vA4NcHxfMBq]|25-34|Male|HIV_PREV.T_1|CY2024Q3</v>
      </c>
    </row>
    <row r="854" spans="4:18" x14ac:dyDescent="0.2">
      <c r="D854" t="s">
        <v>66</v>
      </c>
      <c r="E854" t="s">
        <v>67</v>
      </c>
      <c r="F854" t="s">
        <v>68</v>
      </c>
      <c r="G854" t="s">
        <v>141</v>
      </c>
      <c r="H854" t="s">
        <v>142</v>
      </c>
      <c r="I854" t="s">
        <v>43</v>
      </c>
      <c r="J854" t="s">
        <v>44</v>
      </c>
      <c r="K854" t="s">
        <v>48</v>
      </c>
      <c r="L854" t="s">
        <v>49</v>
      </c>
      <c r="M854" t="s">
        <v>140</v>
      </c>
      <c r="N854">
        <v>9.3812175999999997E-2</v>
      </c>
      <c r="O854">
        <v>3.9870100999999998E-2</v>
      </c>
      <c r="P854">
        <v>2.7596529000000002E-2</v>
      </c>
      <c r="Q854" t="str">
        <f t="shared" si="26"/>
        <v>35-49</v>
      </c>
      <c r="R854" t="str">
        <f t="shared" si="27"/>
        <v>[vA4NcHxfMBq]|35-49|Male|HIV_PREV.T_1|CY2024Q3</v>
      </c>
    </row>
    <row r="855" spans="4:18" x14ac:dyDescent="0.2">
      <c r="D855" t="s">
        <v>66</v>
      </c>
      <c r="E855" t="s">
        <v>67</v>
      </c>
      <c r="F855" t="s">
        <v>68</v>
      </c>
      <c r="G855" t="s">
        <v>141</v>
      </c>
      <c r="H855" t="s">
        <v>142</v>
      </c>
      <c r="I855" t="s">
        <v>45</v>
      </c>
      <c r="J855" t="s">
        <v>46</v>
      </c>
      <c r="K855" t="s">
        <v>48</v>
      </c>
      <c r="L855" t="s">
        <v>49</v>
      </c>
      <c r="M855" t="s">
        <v>140</v>
      </c>
      <c r="N855">
        <v>0.113678979</v>
      </c>
      <c r="O855">
        <v>4.4291493000000001E-2</v>
      </c>
      <c r="P855">
        <v>2.7596529000000002E-2</v>
      </c>
      <c r="Q855" t="str">
        <f t="shared" si="26"/>
        <v>50+</v>
      </c>
      <c r="R855" t="str">
        <f t="shared" si="27"/>
        <v>[vA4NcHxfMBq]|50+|Male|HIV_PREV.T_1|CY2024Q3</v>
      </c>
    </row>
    <row r="856" spans="4:18" x14ac:dyDescent="0.2">
      <c r="D856" t="s">
        <v>69</v>
      </c>
      <c r="E856" t="s">
        <v>70</v>
      </c>
      <c r="F856" t="s">
        <v>71</v>
      </c>
      <c r="G856" t="s">
        <v>141</v>
      </c>
      <c r="H856" t="s">
        <v>142</v>
      </c>
      <c r="I856" t="s">
        <v>28</v>
      </c>
      <c r="J856" t="s">
        <v>29</v>
      </c>
      <c r="K856" t="s">
        <v>30</v>
      </c>
      <c r="L856" t="s">
        <v>31</v>
      </c>
      <c r="M856" t="s">
        <v>140</v>
      </c>
      <c r="N856">
        <v>2.2839459999999998E-3</v>
      </c>
      <c r="O856">
        <v>3.5703196E-2</v>
      </c>
      <c r="P856">
        <v>2.9659537E-2</v>
      </c>
      <c r="Q856" t="str">
        <f t="shared" si="26"/>
        <v>&lt;01</v>
      </c>
      <c r="R856" t="str">
        <f t="shared" si="27"/>
        <v>[ZCjuwgaMB9u]|&lt;01|Female|HIV_PREV.T_1|CY2024Q3</v>
      </c>
    </row>
    <row r="857" spans="4:18" x14ac:dyDescent="0.2">
      <c r="D857" t="s">
        <v>69</v>
      </c>
      <c r="E857" t="s">
        <v>70</v>
      </c>
      <c r="F857" t="s">
        <v>71</v>
      </c>
      <c r="G857" t="s">
        <v>141</v>
      </c>
      <c r="H857" t="s">
        <v>142</v>
      </c>
      <c r="I857" t="s">
        <v>33</v>
      </c>
      <c r="J857" t="s">
        <v>34</v>
      </c>
      <c r="K857" t="s">
        <v>30</v>
      </c>
      <c r="L857" t="s">
        <v>31</v>
      </c>
      <c r="M857" t="s">
        <v>140</v>
      </c>
      <c r="N857">
        <v>4.6982609999999996E-3</v>
      </c>
      <c r="O857">
        <v>4.416424E-2</v>
      </c>
      <c r="P857">
        <v>2.9659537E-2</v>
      </c>
      <c r="Q857" t="str">
        <f t="shared" si="26"/>
        <v>01-09</v>
      </c>
      <c r="R857" t="str">
        <f t="shared" si="27"/>
        <v>[ZCjuwgaMB9u]|01-09|Female|HIV_PREV.T_1|CY2024Q3</v>
      </c>
    </row>
    <row r="858" spans="4:18" x14ac:dyDescent="0.2">
      <c r="D858" t="s">
        <v>69</v>
      </c>
      <c r="E858" t="s">
        <v>70</v>
      </c>
      <c r="F858" t="s">
        <v>71</v>
      </c>
      <c r="G858" t="s">
        <v>141</v>
      </c>
      <c r="H858" t="s">
        <v>142</v>
      </c>
      <c r="I858" t="s">
        <v>36</v>
      </c>
      <c r="J858" t="s">
        <v>37</v>
      </c>
      <c r="K858" t="s">
        <v>30</v>
      </c>
      <c r="L858" t="s">
        <v>31</v>
      </c>
      <c r="M858" t="s">
        <v>140</v>
      </c>
      <c r="N858">
        <v>9.39422E-3</v>
      </c>
      <c r="O858">
        <v>5.5695674000000001E-2</v>
      </c>
      <c r="P858">
        <v>2.9659537E-2</v>
      </c>
      <c r="Q858" t="str">
        <f t="shared" si="26"/>
        <v>10-14</v>
      </c>
      <c r="R858" t="str">
        <f t="shared" si="27"/>
        <v>[ZCjuwgaMB9u]|10-14|Female|HIV_PREV.T_1|CY2024Q3</v>
      </c>
    </row>
    <row r="859" spans="4:18" x14ac:dyDescent="0.2">
      <c r="D859" t="s">
        <v>69</v>
      </c>
      <c r="E859" t="s">
        <v>70</v>
      </c>
      <c r="F859" t="s">
        <v>71</v>
      </c>
      <c r="G859" t="s">
        <v>141</v>
      </c>
      <c r="H859" t="s">
        <v>142</v>
      </c>
      <c r="I859" t="s">
        <v>38</v>
      </c>
      <c r="J859" t="s">
        <v>39</v>
      </c>
      <c r="K859" t="s">
        <v>30</v>
      </c>
      <c r="L859" t="s">
        <v>31</v>
      </c>
      <c r="M859" t="s">
        <v>140</v>
      </c>
      <c r="N859">
        <v>2.0650617999999999E-2</v>
      </c>
      <c r="O859">
        <v>6.7536035999999994E-2</v>
      </c>
      <c r="P859">
        <v>2.9659537E-2</v>
      </c>
      <c r="Q859" t="str">
        <f t="shared" si="26"/>
        <v>15-24</v>
      </c>
      <c r="R859" t="str">
        <f t="shared" si="27"/>
        <v>[ZCjuwgaMB9u]|15-24|Female|HIV_PREV.T_1|CY2024Q3</v>
      </c>
    </row>
    <row r="860" spans="4:18" x14ac:dyDescent="0.2">
      <c r="D860" t="s">
        <v>69</v>
      </c>
      <c r="E860" t="s">
        <v>70</v>
      </c>
      <c r="F860" t="s">
        <v>71</v>
      </c>
      <c r="G860" t="s">
        <v>141</v>
      </c>
      <c r="H860" t="s">
        <v>142</v>
      </c>
      <c r="I860" t="s">
        <v>41</v>
      </c>
      <c r="J860" t="s">
        <v>42</v>
      </c>
      <c r="K860" t="s">
        <v>30</v>
      </c>
      <c r="L860" t="s">
        <v>31</v>
      </c>
      <c r="M860" t="s">
        <v>140</v>
      </c>
      <c r="N860">
        <v>7.5231224999999999E-2</v>
      </c>
      <c r="O860">
        <v>5.0294821000000003E-2</v>
      </c>
      <c r="P860">
        <v>2.9659537E-2</v>
      </c>
      <c r="Q860" t="str">
        <f t="shared" si="26"/>
        <v>25-34</v>
      </c>
      <c r="R860" t="str">
        <f t="shared" si="27"/>
        <v>[ZCjuwgaMB9u]|25-34|Female|HIV_PREV.T_1|CY2024Q3</v>
      </c>
    </row>
    <row r="861" spans="4:18" x14ac:dyDescent="0.2">
      <c r="D861" t="s">
        <v>69</v>
      </c>
      <c r="E861" t="s">
        <v>70</v>
      </c>
      <c r="F861" t="s">
        <v>71</v>
      </c>
      <c r="G861" t="s">
        <v>141</v>
      </c>
      <c r="H861" t="s">
        <v>142</v>
      </c>
      <c r="I861" t="s">
        <v>43</v>
      </c>
      <c r="J861" t="s">
        <v>44</v>
      </c>
      <c r="K861" t="s">
        <v>30</v>
      </c>
      <c r="L861" t="s">
        <v>31</v>
      </c>
      <c r="M861" t="s">
        <v>140</v>
      </c>
      <c r="N861">
        <v>0.19396013400000001</v>
      </c>
      <c r="O861">
        <v>3.4570439000000001E-2</v>
      </c>
      <c r="P861">
        <v>2.9659537E-2</v>
      </c>
      <c r="Q861" t="str">
        <f t="shared" si="26"/>
        <v>35-49</v>
      </c>
      <c r="R861" t="str">
        <f t="shared" si="27"/>
        <v>[ZCjuwgaMB9u]|35-49|Female|HIV_PREV.T_1|CY2024Q3</v>
      </c>
    </row>
    <row r="862" spans="4:18" x14ac:dyDescent="0.2">
      <c r="D862" t="s">
        <v>69</v>
      </c>
      <c r="E862" t="s">
        <v>70</v>
      </c>
      <c r="F862" t="s">
        <v>71</v>
      </c>
      <c r="G862" t="s">
        <v>141</v>
      </c>
      <c r="H862" t="s">
        <v>142</v>
      </c>
      <c r="I862" t="s">
        <v>45</v>
      </c>
      <c r="J862" t="s">
        <v>46</v>
      </c>
      <c r="K862" t="s">
        <v>30</v>
      </c>
      <c r="L862" t="s">
        <v>31</v>
      </c>
      <c r="M862" t="s">
        <v>140</v>
      </c>
      <c r="N862">
        <v>0.15204709799999999</v>
      </c>
      <c r="O862">
        <v>4.7017846000000002E-2</v>
      </c>
      <c r="P862">
        <v>2.9659537E-2</v>
      </c>
      <c r="Q862" t="str">
        <f t="shared" si="26"/>
        <v>50+</v>
      </c>
      <c r="R862" t="str">
        <f t="shared" si="27"/>
        <v>[ZCjuwgaMB9u]|50+|Female|HIV_PREV.T_1|CY2024Q3</v>
      </c>
    </row>
    <row r="863" spans="4:18" x14ac:dyDescent="0.2">
      <c r="D863" t="s">
        <v>69</v>
      </c>
      <c r="E863" t="s">
        <v>70</v>
      </c>
      <c r="F863" t="s">
        <v>71</v>
      </c>
      <c r="G863" t="s">
        <v>141</v>
      </c>
      <c r="H863" t="s">
        <v>142</v>
      </c>
      <c r="I863" t="s">
        <v>28</v>
      </c>
      <c r="J863" t="s">
        <v>29</v>
      </c>
      <c r="K863" t="s">
        <v>48</v>
      </c>
      <c r="L863" t="s">
        <v>49</v>
      </c>
      <c r="M863" t="s">
        <v>140</v>
      </c>
      <c r="N863">
        <v>2.1491660000000001E-3</v>
      </c>
      <c r="O863">
        <v>3.5834712999999997E-2</v>
      </c>
      <c r="P863">
        <v>2.9659537E-2</v>
      </c>
      <c r="Q863" t="str">
        <f t="shared" si="26"/>
        <v>&lt;01</v>
      </c>
      <c r="R863" t="str">
        <f t="shared" si="27"/>
        <v>[ZCjuwgaMB9u]|&lt;01|Male|HIV_PREV.T_1|CY2024Q3</v>
      </c>
    </row>
    <row r="864" spans="4:18" x14ac:dyDescent="0.2">
      <c r="D864" t="s">
        <v>69</v>
      </c>
      <c r="E864" t="s">
        <v>70</v>
      </c>
      <c r="F864" t="s">
        <v>71</v>
      </c>
      <c r="G864" t="s">
        <v>141</v>
      </c>
      <c r="H864" t="s">
        <v>142</v>
      </c>
      <c r="I864" t="s">
        <v>33</v>
      </c>
      <c r="J864" t="s">
        <v>34</v>
      </c>
      <c r="K864" t="s">
        <v>48</v>
      </c>
      <c r="L864" t="s">
        <v>49</v>
      </c>
      <c r="M864" t="s">
        <v>140</v>
      </c>
      <c r="N864">
        <v>4.5539279999999996E-3</v>
      </c>
      <c r="O864">
        <v>4.4264897999999997E-2</v>
      </c>
      <c r="P864">
        <v>2.9659537E-2</v>
      </c>
      <c r="Q864" t="str">
        <f t="shared" si="26"/>
        <v>01-09</v>
      </c>
      <c r="R864" t="str">
        <f t="shared" si="27"/>
        <v>[ZCjuwgaMB9u]|01-09|Male|HIV_PREV.T_1|CY2024Q3</v>
      </c>
    </row>
    <row r="865" spans="4:18" x14ac:dyDescent="0.2">
      <c r="D865" t="s">
        <v>69</v>
      </c>
      <c r="E865" t="s">
        <v>70</v>
      </c>
      <c r="F865" t="s">
        <v>71</v>
      </c>
      <c r="G865" t="s">
        <v>141</v>
      </c>
      <c r="H865" t="s">
        <v>142</v>
      </c>
      <c r="I865" t="s">
        <v>36</v>
      </c>
      <c r="J865" t="s">
        <v>37</v>
      </c>
      <c r="K865" t="s">
        <v>48</v>
      </c>
      <c r="L865" t="s">
        <v>49</v>
      </c>
      <c r="M865" t="s">
        <v>140</v>
      </c>
      <c r="N865">
        <v>1.0167089000000001E-2</v>
      </c>
      <c r="O865">
        <v>5.5703366999999997E-2</v>
      </c>
      <c r="P865">
        <v>2.9659537E-2</v>
      </c>
      <c r="Q865" t="str">
        <f t="shared" si="26"/>
        <v>10-14</v>
      </c>
      <c r="R865" t="str">
        <f t="shared" si="27"/>
        <v>[ZCjuwgaMB9u]|10-14|Male|HIV_PREV.T_1|CY2024Q3</v>
      </c>
    </row>
    <row r="866" spans="4:18" x14ac:dyDescent="0.2">
      <c r="D866" t="s">
        <v>69</v>
      </c>
      <c r="E866" t="s">
        <v>70</v>
      </c>
      <c r="F866" t="s">
        <v>71</v>
      </c>
      <c r="G866" t="s">
        <v>141</v>
      </c>
      <c r="H866" t="s">
        <v>142</v>
      </c>
      <c r="I866" t="s">
        <v>38</v>
      </c>
      <c r="J866" t="s">
        <v>39</v>
      </c>
      <c r="K866" t="s">
        <v>48</v>
      </c>
      <c r="L866" t="s">
        <v>49</v>
      </c>
      <c r="M866" t="s">
        <v>140</v>
      </c>
      <c r="N866">
        <v>1.3991986E-2</v>
      </c>
      <c r="O866">
        <v>8.5743445000000001E-2</v>
      </c>
      <c r="P866">
        <v>2.9659537E-2</v>
      </c>
      <c r="Q866" t="str">
        <f t="shared" si="26"/>
        <v>15-24</v>
      </c>
      <c r="R866" t="str">
        <f t="shared" si="27"/>
        <v>[ZCjuwgaMB9u]|15-24|Male|HIV_PREV.T_1|CY2024Q3</v>
      </c>
    </row>
    <row r="867" spans="4:18" x14ac:dyDescent="0.2">
      <c r="D867" t="s">
        <v>69</v>
      </c>
      <c r="E867" t="s">
        <v>70</v>
      </c>
      <c r="F867" t="s">
        <v>71</v>
      </c>
      <c r="G867" t="s">
        <v>141</v>
      </c>
      <c r="H867" t="s">
        <v>142</v>
      </c>
      <c r="I867" t="s">
        <v>41</v>
      </c>
      <c r="J867" t="s">
        <v>42</v>
      </c>
      <c r="K867" t="s">
        <v>48</v>
      </c>
      <c r="L867" t="s">
        <v>49</v>
      </c>
      <c r="M867" t="s">
        <v>140</v>
      </c>
      <c r="N867">
        <v>3.2142069000000002E-2</v>
      </c>
      <c r="O867">
        <v>7.9557777999999996E-2</v>
      </c>
      <c r="P867">
        <v>2.9659537E-2</v>
      </c>
      <c r="Q867" t="str">
        <f t="shared" si="26"/>
        <v>25-34</v>
      </c>
      <c r="R867" t="str">
        <f t="shared" si="27"/>
        <v>[ZCjuwgaMB9u]|25-34|Male|HIV_PREV.T_1|CY2024Q3</v>
      </c>
    </row>
    <row r="868" spans="4:18" x14ac:dyDescent="0.2">
      <c r="D868" t="s">
        <v>69</v>
      </c>
      <c r="E868" t="s">
        <v>70</v>
      </c>
      <c r="F868" t="s">
        <v>71</v>
      </c>
      <c r="G868" t="s">
        <v>141</v>
      </c>
      <c r="H868" t="s">
        <v>142</v>
      </c>
      <c r="I868" t="s">
        <v>43</v>
      </c>
      <c r="J868" t="s">
        <v>44</v>
      </c>
      <c r="K868" t="s">
        <v>48</v>
      </c>
      <c r="L868" t="s">
        <v>49</v>
      </c>
      <c r="M868" t="s">
        <v>140</v>
      </c>
      <c r="N868">
        <v>0.13259605699999999</v>
      </c>
      <c r="O868">
        <v>4.9186200999999999E-2</v>
      </c>
      <c r="P868">
        <v>2.9659537E-2</v>
      </c>
      <c r="Q868" t="str">
        <f t="shared" si="26"/>
        <v>35-49</v>
      </c>
      <c r="R868" t="str">
        <f t="shared" si="27"/>
        <v>[ZCjuwgaMB9u]|35-49|Male|HIV_PREV.T_1|CY2024Q3</v>
      </c>
    </row>
    <row r="869" spans="4:18" x14ac:dyDescent="0.2">
      <c r="D869" t="s">
        <v>69</v>
      </c>
      <c r="E869" t="s">
        <v>70</v>
      </c>
      <c r="F869" t="s">
        <v>71</v>
      </c>
      <c r="G869" t="s">
        <v>141</v>
      </c>
      <c r="H869" t="s">
        <v>142</v>
      </c>
      <c r="I869" t="s">
        <v>45</v>
      </c>
      <c r="J869" t="s">
        <v>46</v>
      </c>
      <c r="K869" t="s">
        <v>48</v>
      </c>
      <c r="L869" t="s">
        <v>49</v>
      </c>
      <c r="M869" t="s">
        <v>140</v>
      </c>
      <c r="N869">
        <v>0.17904529899999999</v>
      </c>
      <c r="O869">
        <v>4.7912956E-2</v>
      </c>
      <c r="P869">
        <v>2.9659537E-2</v>
      </c>
      <c r="Q869" t="str">
        <f t="shared" si="26"/>
        <v>50+</v>
      </c>
      <c r="R869" t="str">
        <f t="shared" si="27"/>
        <v>[ZCjuwgaMB9u]|50+|Male|HIV_PREV.T_1|CY2024Q3</v>
      </c>
    </row>
    <row r="870" spans="4:18" x14ac:dyDescent="0.2">
      <c r="D870" t="s">
        <v>72</v>
      </c>
      <c r="E870" t="s">
        <v>73</v>
      </c>
      <c r="F870" t="s">
        <v>74</v>
      </c>
      <c r="G870" t="s">
        <v>141</v>
      </c>
      <c r="H870" t="s">
        <v>142</v>
      </c>
      <c r="I870" t="s">
        <v>28</v>
      </c>
      <c r="J870" t="s">
        <v>29</v>
      </c>
      <c r="K870" t="s">
        <v>30</v>
      </c>
      <c r="L870" t="s">
        <v>31</v>
      </c>
      <c r="M870" t="s">
        <v>140</v>
      </c>
      <c r="N870">
        <v>7.0438300000000005E-4</v>
      </c>
      <c r="O870">
        <v>7.6880370000000003E-2</v>
      </c>
      <c r="P870">
        <v>7.5212599000000005E-2</v>
      </c>
      <c r="Q870" t="str">
        <f t="shared" si="26"/>
        <v>&lt;01</v>
      </c>
      <c r="R870" t="str">
        <f t="shared" si="27"/>
        <v>[JQKLKuVuY61]|&lt;01|Female|HIV_PREV.T_1|CY2024Q3</v>
      </c>
    </row>
    <row r="871" spans="4:18" x14ac:dyDescent="0.2">
      <c r="D871" t="s">
        <v>72</v>
      </c>
      <c r="E871" t="s">
        <v>73</v>
      </c>
      <c r="F871" t="s">
        <v>74</v>
      </c>
      <c r="G871" t="s">
        <v>141</v>
      </c>
      <c r="H871" t="s">
        <v>142</v>
      </c>
      <c r="I871" t="s">
        <v>33</v>
      </c>
      <c r="J871" t="s">
        <v>34</v>
      </c>
      <c r="K871" t="s">
        <v>30</v>
      </c>
      <c r="L871" t="s">
        <v>31</v>
      </c>
      <c r="M871" t="s">
        <v>140</v>
      </c>
      <c r="N871">
        <v>1.6217429999999999E-3</v>
      </c>
      <c r="O871">
        <v>7.9754743000000003E-2</v>
      </c>
      <c r="P871">
        <v>7.5212599000000005E-2</v>
      </c>
      <c r="Q871" t="str">
        <f t="shared" si="26"/>
        <v>01-09</v>
      </c>
      <c r="R871" t="str">
        <f t="shared" si="27"/>
        <v>[JQKLKuVuY61]|01-09|Female|HIV_PREV.T_1|CY2024Q3</v>
      </c>
    </row>
    <row r="872" spans="4:18" x14ac:dyDescent="0.2">
      <c r="D872" t="s">
        <v>72</v>
      </c>
      <c r="E872" t="s">
        <v>73</v>
      </c>
      <c r="F872" t="s">
        <v>74</v>
      </c>
      <c r="G872" t="s">
        <v>141</v>
      </c>
      <c r="H872" t="s">
        <v>142</v>
      </c>
      <c r="I872" t="s">
        <v>36</v>
      </c>
      <c r="J872" t="s">
        <v>37</v>
      </c>
      <c r="K872" t="s">
        <v>30</v>
      </c>
      <c r="L872" t="s">
        <v>31</v>
      </c>
      <c r="M872" t="s">
        <v>140</v>
      </c>
      <c r="N872">
        <v>3.9751639999999998E-3</v>
      </c>
      <c r="O872">
        <v>8.3703064999999993E-2</v>
      </c>
      <c r="P872">
        <v>7.5212599000000005E-2</v>
      </c>
      <c r="Q872" t="str">
        <f t="shared" si="26"/>
        <v>10-14</v>
      </c>
      <c r="R872" t="str">
        <f t="shared" si="27"/>
        <v>[JQKLKuVuY61]|10-14|Female|HIV_PREV.T_1|CY2024Q3</v>
      </c>
    </row>
    <row r="873" spans="4:18" x14ac:dyDescent="0.2">
      <c r="D873" t="s">
        <v>72</v>
      </c>
      <c r="E873" t="s">
        <v>73</v>
      </c>
      <c r="F873" t="s">
        <v>74</v>
      </c>
      <c r="G873" t="s">
        <v>141</v>
      </c>
      <c r="H873" t="s">
        <v>142</v>
      </c>
      <c r="I873" t="s">
        <v>38</v>
      </c>
      <c r="J873" t="s">
        <v>39</v>
      </c>
      <c r="K873" t="s">
        <v>30</v>
      </c>
      <c r="L873" t="s">
        <v>31</v>
      </c>
      <c r="M873" t="s">
        <v>140</v>
      </c>
      <c r="N873">
        <v>8.1581850000000001E-3</v>
      </c>
      <c r="O873">
        <v>9.7002152999999994E-2</v>
      </c>
      <c r="P873">
        <v>7.5212599000000005E-2</v>
      </c>
      <c r="Q873" t="str">
        <f t="shared" si="26"/>
        <v>15-24</v>
      </c>
      <c r="R873" t="str">
        <f t="shared" si="27"/>
        <v>[JQKLKuVuY61]|15-24|Female|HIV_PREV.T_1|CY2024Q3</v>
      </c>
    </row>
    <row r="874" spans="4:18" x14ac:dyDescent="0.2">
      <c r="D874" t="s">
        <v>72</v>
      </c>
      <c r="E874" t="s">
        <v>73</v>
      </c>
      <c r="F874" t="s">
        <v>74</v>
      </c>
      <c r="G874" t="s">
        <v>141</v>
      </c>
      <c r="H874" t="s">
        <v>142</v>
      </c>
      <c r="I874" t="s">
        <v>41</v>
      </c>
      <c r="J874" t="s">
        <v>42</v>
      </c>
      <c r="K874" t="s">
        <v>30</v>
      </c>
      <c r="L874" t="s">
        <v>31</v>
      </c>
      <c r="M874" t="s">
        <v>140</v>
      </c>
      <c r="N874">
        <v>2.9919699000000001E-2</v>
      </c>
      <c r="O874">
        <v>8.5913432999999997E-2</v>
      </c>
      <c r="P874">
        <v>7.5212599000000005E-2</v>
      </c>
      <c r="Q874" t="str">
        <f t="shared" si="26"/>
        <v>25-34</v>
      </c>
      <c r="R874" t="str">
        <f t="shared" si="27"/>
        <v>[JQKLKuVuY61]|25-34|Female|HIV_PREV.T_1|CY2024Q3</v>
      </c>
    </row>
    <row r="875" spans="4:18" x14ac:dyDescent="0.2">
      <c r="D875" t="s">
        <v>72</v>
      </c>
      <c r="E875" t="s">
        <v>73</v>
      </c>
      <c r="F875" t="s">
        <v>74</v>
      </c>
      <c r="G875" t="s">
        <v>141</v>
      </c>
      <c r="H875" t="s">
        <v>142</v>
      </c>
      <c r="I875" t="s">
        <v>43</v>
      </c>
      <c r="J875" t="s">
        <v>44</v>
      </c>
      <c r="K875" t="s">
        <v>30</v>
      </c>
      <c r="L875" t="s">
        <v>31</v>
      </c>
      <c r="M875" t="s">
        <v>140</v>
      </c>
      <c r="N875">
        <v>7.9233044000000002E-2</v>
      </c>
      <c r="O875">
        <v>7.7347922999999999E-2</v>
      </c>
      <c r="P875">
        <v>7.5212599000000005E-2</v>
      </c>
      <c r="Q875" t="str">
        <f t="shared" si="26"/>
        <v>35-49</v>
      </c>
      <c r="R875" t="str">
        <f t="shared" si="27"/>
        <v>[JQKLKuVuY61]|35-49|Female|HIV_PREV.T_1|CY2024Q3</v>
      </c>
    </row>
    <row r="876" spans="4:18" x14ac:dyDescent="0.2">
      <c r="D876" t="s">
        <v>72</v>
      </c>
      <c r="E876" t="s">
        <v>73</v>
      </c>
      <c r="F876" t="s">
        <v>74</v>
      </c>
      <c r="G876" t="s">
        <v>141</v>
      </c>
      <c r="H876" t="s">
        <v>142</v>
      </c>
      <c r="I876" t="s">
        <v>45</v>
      </c>
      <c r="J876" t="s">
        <v>46</v>
      </c>
      <c r="K876" t="s">
        <v>30</v>
      </c>
      <c r="L876" t="s">
        <v>31</v>
      </c>
      <c r="M876" t="s">
        <v>140</v>
      </c>
      <c r="N876">
        <v>6.8478301000000005E-2</v>
      </c>
      <c r="O876">
        <v>8.4977748000000006E-2</v>
      </c>
      <c r="P876">
        <v>7.5212599000000005E-2</v>
      </c>
      <c r="Q876" t="str">
        <f t="shared" si="26"/>
        <v>50+</v>
      </c>
      <c r="R876" t="str">
        <f t="shared" si="27"/>
        <v>[JQKLKuVuY61]|50+|Female|HIV_PREV.T_1|CY2024Q3</v>
      </c>
    </row>
    <row r="877" spans="4:18" x14ac:dyDescent="0.2">
      <c r="D877" t="s">
        <v>72</v>
      </c>
      <c r="E877" t="s">
        <v>73</v>
      </c>
      <c r="F877" t="s">
        <v>74</v>
      </c>
      <c r="G877" t="s">
        <v>141</v>
      </c>
      <c r="H877" t="s">
        <v>142</v>
      </c>
      <c r="I877" t="s">
        <v>28</v>
      </c>
      <c r="J877" t="s">
        <v>29</v>
      </c>
      <c r="K877" t="s">
        <v>48</v>
      </c>
      <c r="L877" t="s">
        <v>49</v>
      </c>
      <c r="M877" t="s">
        <v>140</v>
      </c>
      <c r="N877">
        <v>7.1090499999999996E-4</v>
      </c>
      <c r="O877">
        <v>7.6874929999999994E-2</v>
      </c>
      <c r="P877">
        <v>7.5212599000000005E-2</v>
      </c>
      <c r="Q877" t="str">
        <f t="shared" si="26"/>
        <v>&lt;01</v>
      </c>
      <c r="R877" t="str">
        <f t="shared" si="27"/>
        <v>[JQKLKuVuY61]|&lt;01|Male|HIV_PREV.T_1|CY2024Q3</v>
      </c>
    </row>
    <row r="878" spans="4:18" x14ac:dyDescent="0.2">
      <c r="D878" t="s">
        <v>72</v>
      </c>
      <c r="E878" t="s">
        <v>73</v>
      </c>
      <c r="F878" t="s">
        <v>74</v>
      </c>
      <c r="G878" t="s">
        <v>141</v>
      </c>
      <c r="H878" t="s">
        <v>142</v>
      </c>
      <c r="I878" t="s">
        <v>33</v>
      </c>
      <c r="J878" t="s">
        <v>34</v>
      </c>
      <c r="K878" t="s">
        <v>48</v>
      </c>
      <c r="L878" t="s">
        <v>49</v>
      </c>
      <c r="M878" t="s">
        <v>140</v>
      </c>
      <c r="N878">
        <v>1.6280470000000001E-3</v>
      </c>
      <c r="O878">
        <v>7.9746381000000005E-2</v>
      </c>
      <c r="P878">
        <v>7.5212599000000005E-2</v>
      </c>
      <c r="Q878" t="str">
        <f t="shared" si="26"/>
        <v>01-09</v>
      </c>
      <c r="R878" t="str">
        <f t="shared" si="27"/>
        <v>[JQKLKuVuY61]|01-09|Male|HIV_PREV.T_1|CY2024Q3</v>
      </c>
    </row>
    <row r="879" spans="4:18" x14ac:dyDescent="0.2">
      <c r="D879" t="s">
        <v>72</v>
      </c>
      <c r="E879" t="s">
        <v>73</v>
      </c>
      <c r="F879" t="s">
        <v>74</v>
      </c>
      <c r="G879" t="s">
        <v>141</v>
      </c>
      <c r="H879" t="s">
        <v>142</v>
      </c>
      <c r="I879" t="s">
        <v>36</v>
      </c>
      <c r="J879" t="s">
        <v>37</v>
      </c>
      <c r="K879" t="s">
        <v>48</v>
      </c>
      <c r="L879" t="s">
        <v>49</v>
      </c>
      <c r="M879" t="s">
        <v>140</v>
      </c>
      <c r="N879">
        <v>3.9889590000000003E-3</v>
      </c>
      <c r="O879">
        <v>8.3703582999999998E-2</v>
      </c>
      <c r="P879">
        <v>7.5212599000000005E-2</v>
      </c>
      <c r="Q879" t="str">
        <f t="shared" si="26"/>
        <v>10-14</v>
      </c>
      <c r="R879" t="str">
        <f t="shared" si="27"/>
        <v>[JQKLKuVuY61]|10-14|Male|HIV_PREV.T_1|CY2024Q3</v>
      </c>
    </row>
    <row r="880" spans="4:18" x14ac:dyDescent="0.2">
      <c r="D880" t="s">
        <v>72</v>
      </c>
      <c r="E880" t="s">
        <v>73</v>
      </c>
      <c r="F880" t="s">
        <v>74</v>
      </c>
      <c r="G880" t="s">
        <v>141</v>
      </c>
      <c r="H880" t="s">
        <v>142</v>
      </c>
      <c r="I880" t="s">
        <v>38</v>
      </c>
      <c r="J880" t="s">
        <v>39</v>
      </c>
      <c r="K880" t="s">
        <v>48</v>
      </c>
      <c r="L880" t="s">
        <v>49</v>
      </c>
      <c r="M880" t="s">
        <v>140</v>
      </c>
      <c r="N880">
        <v>5.8870570000000002E-3</v>
      </c>
      <c r="O880">
        <v>0.101835499</v>
      </c>
      <c r="P880">
        <v>7.5212599000000005E-2</v>
      </c>
      <c r="Q880" t="str">
        <f t="shared" si="26"/>
        <v>15-24</v>
      </c>
      <c r="R880" t="str">
        <f t="shared" si="27"/>
        <v>[JQKLKuVuY61]|15-24|Male|HIV_PREV.T_1|CY2024Q3</v>
      </c>
    </row>
    <row r="881" spans="4:18" x14ac:dyDescent="0.2">
      <c r="D881" t="s">
        <v>72</v>
      </c>
      <c r="E881" t="s">
        <v>73</v>
      </c>
      <c r="F881" t="s">
        <v>74</v>
      </c>
      <c r="G881" t="s">
        <v>141</v>
      </c>
      <c r="H881" t="s">
        <v>142</v>
      </c>
      <c r="I881" t="s">
        <v>41</v>
      </c>
      <c r="J881" t="s">
        <v>42</v>
      </c>
      <c r="K881" t="s">
        <v>48</v>
      </c>
      <c r="L881" t="s">
        <v>49</v>
      </c>
      <c r="M881" t="s">
        <v>140</v>
      </c>
      <c r="N881">
        <v>1.1657545E-2</v>
      </c>
      <c r="O881">
        <v>0.105613951</v>
      </c>
      <c r="P881">
        <v>7.5212599000000005E-2</v>
      </c>
      <c r="Q881" t="str">
        <f t="shared" si="26"/>
        <v>25-34</v>
      </c>
      <c r="R881" t="str">
        <f t="shared" si="27"/>
        <v>[JQKLKuVuY61]|25-34|Male|HIV_PREV.T_1|CY2024Q3</v>
      </c>
    </row>
    <row r="882" spans="4:18" x14ac:dyDescent="0.2">
      <c r="D882" t="s">
        <v>72</v>
      </c>
      <c r="E882" t="s">
        <v>73</v>
      </c>
      <c r="F882" t="s">
        <v>74</v>
      </c>
      <c r="G882" t="s">
        <v>141</v>
      </c>
      <c r="H882" t="s">
        <v>142</v>
      </c>
      <c r="I882" t="s">
        <v>43</v>
      </c>
      <c r="J882" t="s">
        <v>44</v>
      </c>
      <c r="K882" t="s">
        <v>48</v>
      </c>
      <c r="L882" t="s">
        <v>49</v>
      </c>
      <c r="M882" t="s">
        <v>140</v>
      </c>
      <c r="N882">
        <v>4.8277970000000003E-2</v>
      </c>
      <c r="O882">
        <v>8.0802332000000004E-2</v>
      </c>
      <c r="P882">
        <v>7.5212599000000005E-2</v>
      </c>
      <c r="Q882" t="str">
        <f t="shared" si="26"/>
        <v>35-49</v>
      </c>
      <c r="R882" t="str">
        <f t="shared" si="27"/>
        <v>[JQKLKuVuY61]|35-49|Male|HIV_PREV.T_1|CY2024Q3</v>
      </c>
    </row>
    <row r="883" spans="4:18" x14ac:dyDescent="0.2">
      <c r="D883" t="s">
        <v>72</v>
      </c>
      <c r="E883" t="s">
        <v>73</v>
      </c>
      <c r="F883" t="s">
        <v>74</v>
      </c>
      <c r="G883" t="s">
        <v>141</v>
      </c>
      <c r="H883" t="s">
        <v>142</v>
      </c>
      <c r="I883" t="s">
        <v>45</v>
      </c>
      <c r="J883" t="s">
        <v>46</v>
      </c>
      <c r="K883" t="s">
        <v>48</v>
      </c>
      <c r="L883" t="s">
        <v>49</v>
      </c>
      <c r="M883" t="s">
        <v>140</v>
      </c>
      <c r="N883">
        <v>6.9580300999999997E-2</v>
      </c>
      <c r="O883">
        <v>8.2701925999999995E-2</v>
      </c>
      <c r="P883">
        <v>7.5212599000000005E-2</v>
      </c>
      <c r="Q883" t="str">
        <f t="shared" si="26"/>
        <v>50+</v>
      </c>
      <c r="R883" t="str">
        <f t="shared" si="27"/>
        <v>[JQKLKuVuY61]|50+|Male|HIV_PREV.T_1|CY2024Q3</v>
      </c>
    </row>
    <row r="884" spans="4:18" x14ac:dyDescent="0.2">
      <c r="D884" t="s">
        <v>75</v>
      </c>
      <c r="E884" t="s">
        <v>76</v>
      </c>
      <c r="F884" t="s">
        <v>77</v>
      </c>
      <c r="G884" t="s">
        <v>141</v>
      </c>
      <c r="H884" t="s">
        <v>142</v>
      </c>
      <c r="I884" t="s">
        <v>28</v>
      </c>
      <c r="J884" t="s">
        <v>29</v>
      </c>
      <c r="K884" t="s">
        <v>30</v>
      </c>
      <c r="L884" t="s">
        <v>31</v>
      </c>
      <c r="M884" t="s">
        <v>140</v>
      </c>
      <c r="N884">
        <v>9.873970000000001E-4</v>
      </c>
      <c r="O884">
        <v>8.6037275999999996E-2</v>
      </c>
      <c r="P884">
        <v>8.2163968000000004E-2</v>
      </c>
      <c r="Q884" t="str">
        <f t="shared" si="26"/>
        <v>&lt;01</v>
      </c>
      <c r="R884" t="str">
        <f t="shared" si="27"/>
        <v>[YCKiBAp8QAg]|&lt;01|Female|HIV_PREV.T_1|CY2024Q3</v>
      </c>
    </row>
    <row r="885" spans="4:18" x14ac:dyDescent="0.2">
      <c r="D885" t="s">
        <v>75</v>
      </c>
      <c r="E885" t="s">
        <v>76</v>
      </c>
      <c r="F885" t="s">
        <v>77</v>
      </c>
      <c r="G885" t="s">
        <v>141</v>
      </c>
      <c r="H885" t="s">
        <v>142</v>
      </c>
      <c r="I885" t="s">
        <v>33</v>
      </c>
      <c r="J885" t="s">
        <v>34</v>
      </c>
      <c r="K885" t="s">
        <v>30</v>
      </c>
      <c r="L885" t="s">
        <v>31</v>
      </c>
      <c r="M885" t="s">
        <v>140</v>
      </c>
      <c r="N885">
        <v>2.4055629999999999E-3</v>
      </c>
      <c r="O885">
        <v>8.9926810999999995E-2</v>
      </c>
      <c r="P885">
        <v>8.2163968000000004E-2</v>
      </c>
      <c r="Q885" t="str">
        <f t="shared" si="26"/>
        <v>01-09</v>
      </c>
      <c r="R885" t="str">
        <f t="shared" si="27"/>
        <v>[YCKiBAp8QAg]|01-09|Female|HIV_PREV.T_1|CY2024Q3</v>
      </c>
    </row>
    <row r="886" spans="4:18" x14ac:dyDescent="0.2">
      <c r="D886" t="s">
        <v>75</v>
      </c>
      <c r="E886" t="s">
        <v>76</v>
      </c>
      <c r="F886" t="s">
        <v>77</v>
      </c>
      <c r="G886" t="s">
        <v>141</v>
      </c>
      <c r="H886" t="s">
        <v>142</v>
      </c>
      <c r="I886" t="s">
        <v>36</v>
      </c>
      <c r="J886" t="s">
        <v>37</v>
      </c>
      <c r="K886" t="s">
        <v>30</v>
      </c>
      <c r="L886" t="s">
        <v>31</v>
      </c>
      <c r="M886" t="s">
        <v>140</v>
      </c>
      <c r="N886">
        <v>5.8517439999999999E-3</v>
      </c>
      <c r="O886">
        <v>9.5072764000000004E-2</v>
      </c>
      <c r="P886">
        <v>8.2163968000000004E-2</v>
      </c>
      <c r="Q886" t="str">
        <f t="shared" si="26"/>
        <v>10-14</v>
      </c>
      <c r="R886" t="str">
        <f t="shared" si="27"/>
        <v>[YCKiBAp8QAg]|10-14|Female|HIV_PREV.T_1|CY2024Q3</v>
      </c>
    </row>
    <row r="887" spans="4:18" x14ac:dyDescent="0.2">
      <c r="D887" t="s">
        <v>75</v>
      </c>
      <c r="E887" t="s">
        <v>76</v>
      </c>
      <c r="F887" t="s">
        <v>77</v>
      </c>
      <c r="G887" t="s">
        <v>141</v>
      </c>
      <c r="H887" t="s">
        <v>142</v>
      </c>
      <c r="I887" t="s">
        <v>38</v>
      </c>
      <c r="J887" t="s">
        <v>39</v>
      </c>
      <c r="K887" t="s">
        <v>30</v>
      </c>
      <c r="L887" t="s">
        <v>31</v>
      </c>
      <c r="M887" t="s">
        <v>140</v>
      </c>
      <c r="N887">
        <v>1.2286593E-2</v>
      </c>
      <c r="O887">
        <v>0.10735852799999999</v>
      </c>
      <c r="P887">
        <v>8.2163968000000004E-2</v>
      </c>
      <c r="Q887" t="str">
        <f t="shared" si="26"/>
        <v>15-24</v>
      </c>
      <c r="R887" t="str">
        <f t="shared" si="27"/>
        <v>[YCKiBAp8QAg]|15-24|Female|HIV_PREV.T_1|CY2024Q3</v>
      </c>
    </row>
    <row r="888" spans="4:18" x14ac:dyDescent="0.2">
      <c r="D888" t="s">
        <v>75</v>
      </c>
      <c r="E888" t="s">
        <v>76</v>
      </c>
      <c r="F888" t="s">
        <v>77</v>
      </c>
      <c r="G888" t="s">
        <v>141</v>
      </c>
      <c r="H888" t="s">
        <v>142</v>
      </c>
      <c r="I888" t="s">
        <v>41</v>
      </c>
      <c r="J888" t="s">
        <v>42</v>
      </c>
      <c r="K888" t="s">
        <v>30</v>
      </c>
      <c r="L888" t="s">
        <v>31</v>
      </c>
      <c r="M888" t="s">
        <v>140</v>
      </c>
      <c r="N888">
        <v>4.5468874999999999E-2</v>
      </c>
      <c r="O888">
        <v>9.4200301E-2</v>
      </c>
      <c r="P888">
        <v>8.2163968000000004E-2</v>
      </c>
      <c r="Q888" t="str">
        <f t="shared" si="26"/>
        <v>25-34</v>
      </c>
      <c r="R888" t="str">
        <f t="shared" si="27"/>
        <v>[YCKiBAp8QAg]|25-34|Female|HIV_PREV.T_1|CY2024Q3</v>
      </c>
    </row>
    <row r="889" spans="4:18" x14ac:dyDescent="0.2">
      <c r="D889" t="s">
        <v>75</v>
      </c>
      <c r="E889" t="s">
        <v>76</v>
      </c>
      <c r="F889" t="s">
        <v>77</v>
      </c>
      <c r="G889" t="s">
        <v>141</v>
      </c>
      <c r="H889" t="s">
        <v>142</v>
      </c>
      <c r="I889" t="s">
        <v>43</v>
      </c>
      <c r="J889" t="s">
        <v>44</v>
      </c>
      <c r="K889" t="s">
        <v>30</v>
      </c>
      <c r="L889" t="s">
        <v>31</v>
      </c>
      <c r="M889" t="s">
        <v>140</v>
      </c>
      <c r="N889">
        <v>0.118977256</v>
      </c>
      <c r="O889">
        <v>8.3576853000000006E-2</v>
      </c>
      <c r="P889">
        <v>8.2163968000000004E-2</v>
      </c>
      <c r="Q889" t="str">
        <f t="shared" si="26"/>
        <v>35-49</v>
      </c>
      <c r="R889" t="str">
        <f t="shared" si="27"/>
        <v>[YCKiBAp8QAg]|35-49|Female|HIV_PREV.T_1|CY2024Q3</v>
      </c>
    </row>
    <row r="890" spans="4:18" x14ac:dyDescent="0.2">
      <c r="D890" t="s">
        <v>75</v>
      </c>
      <c r="E890" t="s">
        <v>76</v>
      </c>
      <c r="F890" t="s">
        <v>77</v>
      </c>
      <c r="G890" t="s">
        <v>141</v>
      </c>
      <c r="H890" t="s">
        <v>142</v>
      </c>
      <c r="I890" t="s">
        <v>45</v>
      </c>
      <c r="J890" t="s">
        <v>46</v>
      </c>
      <c r="K890" t="s">
        <v>30</v>
      </c>
      <c r="L890" t="s">
        <v>31</v>
      </c>
      <c r="M890" t="s">
        <v>140</v>
      </c>
      <c r="N890">
        <v>9.7609396000000001E-2</v>
      </c>
      <c r="O890">
        <v>8.7800095999999994E-2</v>
      </c>
      <c r="P890">
        <v>8.2163968000000004E-2</v>
      </c>
      <c r="Q890" t="str">
        <f t="shared" si="26"/>
        <v>50+</v>
      </c>
      <c r="R890" t="str">
        <f t="shared" si="27"/>
        <v>[YCKiBAp8QAg]|50+|Female|HIV_PREV.T_1|CY2024Q3</v>
      </c>
    </row>
    <row r="891" spans="4:18" x14ac:dyDescent="0.2">
      <c r="D891" t="s">
        <v>75</v>
      </c>
      <c r="E891" t="s">
        <v>76</v>
      </c>
      <c r="F891" t="s">
        <v>77</v>
      </c>
      <c r="G891" t="s">
        <v>141</v>
      </c>
      <c r="H891" t="s">
        <v>142</v>
      </c>
      <c r="I891" t="s">
        <v>28</v>
      </c>
      <c r="J891" t="s">
        <v>29</v>
      </c>
      <c r="K891" t="s">
        <v>48</v>
      </c>
      <c r="L891" t="s">
        <v>49</v>
      </c>
      <c r="M891" t="s">
        <v>140</v>
      </c>
      <c r="N891">
        <v>9.9529400000000008E-4</v>
      </c>
      <c r="O891">
        <v>8.6032763999999998E-2</v>
      </c>
      <c r="P891">
        <v>8.2163968000000004E-2</v>
      </c>
      <c r="Q891" t="str">
        <f t="shared" si="26"/>
        <v>&lt;01</v>
      </c>
      <c r="R891" t="str">
        <f t="shared" si="27"/>
        <v>[YCKiBAp8QAg]|&lt;01|Male|HIV_PREV.T_1|CY2024Q3</v>
      </c>
    </row>
    <row r="892" spans="4:18" x14ac:dyDescent="0.2">
      <c r="D892" t="s">
        <v>75</v>
      </c>
      <c r="E892" t="s">
        <v>76</v>
      </c>
      <c r="F892" t="s">
        <v>77</v>
      </c>
      <c r="G892" t="s">
        <v>141</v>
      </c>
      <c r="H892" t="s">
        <v>142</v>
      </c>
      <c r="I892" t="s">
        <v>33</v>
      </c>
      <c r="J892" t="s">
        <v>34</v>
      </c>
      <c r="K892" t="s">
        <v>48</v>
      </c>
      <c r="L892" t="s">
        <v>49</v>
      </c>
      <c r="M892" t="s">
        <v>140</v>
      </c>
      <c r="N892">
        <v>2.4094670000000002E-3</v>
      </c>
      <c r="O892">
        <v>8.9922578000000003E-2</v>
      </c>
      <c r="P892">
        <v>8.2163968000000004E-2</v>
      </c>
      <c r="Q892" t="str">
        <f t="shared" si="26"/>
        <v>01-09</v>
      </c>
      <c r="R892" t="str">
        <f t="shared" si="27"/>
        <v>[YCKiBAp8QAg]|01-09|Male|HIV_PREV.T_1|CY2024Q3</v>
      </c>
    </row>
    <row r="893" spans="4:18" x14ac:dyDescent="0.2">
      <c r="D893" t="s">
        <v>75</v>
      </c>
      <c r="E893" t="s">
        <v>76</v>
      </c>
      <c r="F893" t="s">
        <v>77</v>
      </c>
      <c r="G893" t="s">
        <v>141</v>
      </c>
      <c r="H893" t="s">
        <v>142</v>
      </c>
      <c r="I893" t="s">
        <v>36</v>
      </c>
      <c r="J893" t="s">
        <v>37</v>
      </c>
      <c r="K893" t="s">
        <v>48</v>
      </c>
      <c r="L893" t="s">
        <v>49</v>
      </c>
      <c r="M893" t="s">
        <v>140</v>
      </c>
      <c r="N893">
        <v>5.9488359999999999E-3</v>
      </c>
      <c r="O893">
        <v>9.5073827999999999E-2</v>
      </c>
      <c r="P893">
        <v>8.2163968000000004E-2</v>
      </c>
      <c r="Q893" t="str">
        <f t="shared" si="26"/>
        <v>10-14</v>
      </c>
      <c r="R893" t="str">
        <f t="shared" si="27"/>
        <v>[YCKiBAp8QAg]|10-14|Male|HIV_PREV.T_1|CY2024Q3</v>
      </c>
    </row>
    <row r="894" spans="4:18" x14ac:dyDescent="0.2">
      <c r="D894" t="s">
        <v>75</v>
      </c>
      <c r="E894" t="s">
        <v>76</v>
      </c>
      <c r="F894" t="s">
        <v>77</v>
      </c>
      <c r="G894" t="s">
        <v>141</v>
      </c>
      <c r="H894" t="s">
        <v>142</v>
      </c>
      <c r="I894" t="s">
        <v>38</v>
      </c>
      <c r="J894" t="s">
        <v>39</v>
      </c>
      <c r="K894" t="s">
        <v>48</v>
      </c>
      <c r="L894" t="s">
        <v>49</v>
      </c>
      <c r="M894" t="s">
        <v>140</v>
      </c>
      <c r="N894">
        <v>9.2323449999999994E-3</v>
      </c>
      <c r="O894">
        <v>0.11197818499999999</v>
      </c>
      <c r="P894">
        <v>8.2163968000000004E-2</v>
      </c>
      <c r="Q894" t="str">
        <f t="shared" si="26"/>
        <v>15-24</v>
      </c>
      <c r="R894" t="str">
        <f t="shared" si="27"/>
        <v>[YCKiBAp8QAg]|15-24|Male|HIV_PREV.T_1|CY2024Q3</v>
      </c>
    </row>
    <row r="895" spans="4:18" x14ac:dyDescent="0.2">
      <c r="D895" t="s">
        <v>75</v>
      </c>
      <c r="E895" t="s">
        <v>76</v>
      </c>
      <c r="F895" t="s">
        <v>77</v>
      </c>
      <c r="G895" t="s">
        <v>141</v>
      </c>
      <c r="H895" t="s">
        <v>142</v>
      </c>
      <c r="I895" t="s">
        <v>41</v>
      </c>
      <c r="J895" t="s">
        <v>42</v>
      </c>
      <c r="K895" t="s">
        <v>48</v>
      </c>
      <c r="L895" t="s">
        <v>49</v>
      </c>
      <c r="M895" t="s">
        <v>140</v>
      </c>
      <c r="N895">
        <v>1.9017213000000002E-2</v>
      </c>
      <c r="O895">
        <v>0.110114475</v>
      </c>
      <c r="P895">
        <v>8.2163968000000004E-2</v>
      </c>
      <c r="Q895" t="str">
        <f t="shared" si="26"/>
        <v>25-34</v>
      </c>
      <c r="R895" t="str">
        <f t="shared" si="27"/>
        <v>[YCKiBAp8QAg]|25-34|Male|HIV_PREV.T_1|CY2024Q3</v>
      </c>
    </row>
    <row r="896" spans="4:18" x14ac:dyDescent="0.2">
      <c r="D896" t="s">
        <v>75</v>
      </c>
      <c r="E896" t="s">
        <v>76</v>
      </c>
      <c r="F896" t="s">
        <v>77</v>
      </c>
      <c r="G896" t="s">
        <v>141</v>
      </c>
      <c r="H896" t="s">
        <v>142</v>
      </c>
      <c r="I896" t="s">
        <v>43</v>
      </c>
      <c r="J896" t="s">
        <v>44</v>
      </c>
      <c r="K896" t="s">
        <v>48</v>
      </c>
      <c r="L896" t="s">
        <v>49</v>
      </c>
      <c r="M896" t="s">
        <v>140</v>
      </c>
      <c r="N896">
        <v>7.6437272000000001E-2</v>
      </c>
      <c r="O896">
        <v>8.7905504999999995E-2</v>
      </c>
      <c r="P896">
        <v>8.2163968000000004E-2</v>
      </c>
      <c r="Q896" t="str">
        <f t="shared" si="26"/>
        <v>35-49</v>
      </c>
      <c r="R896" t="str">
        <f t="shared" si="27"/>
        <v>[YCKiBAp8QAg]|35-49|Male|HIV_PREV.T_1|CY2024Q3</v>
      </c>
    </row>
    <row r="897" spans="4:18" x14ac:dyDescent="0.2">
      <c r="D897" t="s">
        <v>75</v>
      </c>
      <c r="E897" t="s">
        <v>76</v>
      </c>
      <c r="F897" t="s">
        <v>77</v>
      </c>
      <c r="G897" t="s">
        <v>141</v>
      </c>
      <c r="H897" t="s">
        <v>142</v>
      </c>
      <c r="I897" t="s">
        <v>45</v>
      </c>
      <c r="J897" t="s">
        <v>46</v>
      </c>
      <c r="K897" t="s">
        <v>48</v>
      </c>
      <c r="L897" t="s">
        <v>49</v>
      </c>
      <c r="M897" t="s">
        <v>140</v>
      </c>
      <c r="N897">
        <v>0.108521255</v>
      </c>
      <c r="O897">
        <v>8.5247714000000002E-2</v>
      </c>
      <c r="P897">
        <v>8.2163968000000004E-2</v>
      </c>
      <c r="Q897" t="str">
        <f t="shared" si="26"/>
        <v>50+</v>
      </c>
      <c r="R897" t="str">
        <f t="shared" si="27"/>
        <v>[YCKiBAp8QAg]|50+|Male|HIV_PREV.T_1|CY2024Q3</v>
      </c>
    </row>
    <row r="898" spans="4:18" x14ac:dyDescent="0.2">
      <c r="D898" t="s">
        <v>78</v>
      </c>
      <c r="E898" t="s">
        <v>79</v>
      </c>
      <c r="F898" t="s">
        <v>80</v>
      </c>
      <c r="G898" t="s">
        <v>141</v>
      </c>
      <c r="H898" t="s">
        <v>142</v>
      </c>
      <c r="I898" t="s">
        <v>28</v>
      </c>
      <c r="J898" t="s">
        <v>29</v>
      </c>
      <c r="K898" t="s">
        <v>30</v>
      </c>
      <c r="L898" t="s">
        <v>31</v>
      </c>
      <c r="M898" t="s">
        <v>140</v>
      </c>
      <c r="N898">
        <v>4.39975E-4</v>
      </c>
      <c r="O898">
        <v>0.101952243</v>
      </c>
      <c r="P898">
        <v>9.8030975000000006E-2</v>
      </c>
      <c r="Q898" t="str">
        <f t="shared" si="26"/>
        <v>&lt;01</v>
      </c>
      <c r="R898" t="str">
        <f t="shared" si="27"/>
        <v>[fiRkU6gEjLz]|&lt;01|Female|HIV_PREV.T_1|CY2024Q3</v>
      </c>
    </row>
    <row r="899" spans="4:18" x14ac:dyDescent="0.2">
      <c r="D899" t="s">
        <v>78</v>
      </c>
      <c r="E899" t="s">
        <v>79</v>
      </c>
      <c r="F899" t="s">
        <v>80</v>
      </c>
      <c r="G899" t="s">
        <v>141</v>
      </c>
      <c r="H899" t="s">
        <v>142</v>
      </c>
      <c r="I899" t="s">
        <v>33</v>
      </c>
      <c r="J899" t="s">
        <v>34</v>
      </c>
      <c r="K899" t="s">
        <v>30</v>
      </c>
      <c r="L899" t="s">
        <v>31</v>
      </c>
      <c r="M899" t="s">
        <v>140</v>
      </c>
      <c r="N899">
        <v>1.0336010000000001E-3</v>
      </c>
      <c r="O899">
        <v>0.106638158</v>
      </c>
      <c r="P899">
        <v>9.8030975000000006E-2</v>
      </c>
      <c r="Q899" t="str">
        <f t="shared" ref="Q899:Q962" si="28">SUBSTITUTE(SUBSTITUTE($I899,CHAR(61),""),CHAR(34),"")</f>
        <v>01-09</v>
      </c>
      <c r="R899" t="str">
        <f t="shared" ref="R899:R962" si="29">IF($D899&lt;&gt;"","["&amp;$E899&amp;"]"&amp;"|"&amp;$Q899&amp;"|"&amp;$K899&amp;"|"&amp;$G899&amp;"|"&amp;IF($G899="TX_CURR_SUBNAT.R","CY2023Q4",$M899),"")</f>
        <v>[fiRkU6gEjLz]|01-09|Female|HIV_PREV.T_1|CY2024Q3</v>
      </c>
    </row>
    <row r="900" spans="4:18" x14ac:dyDescent="0.2">
      <c r="D900" t="s">
        <v>78</v>
      </c>
      <c r="E900" t="s">
        <v>79</v>
      </c>
      <c r="F900" t="s">
        <v>80</v>
      </c>
      <c r="G900" t="s">
        <v>141</v>
      </c>
      <c r="H900" t="s">
        <v>142</v>
      </c>
      <c r="I900" t="s">
        <v>36</v>
      </c>
      <c r="J900" t="s">
        <v>37</v>
      </c>
      <c r="K900" t="s">
        <v>30</v>
      </c>
      <c r="L900" t="s">
        <v>31</v>
      </c>
      <c r="M900" t="s">
        <v>140</v>
      </c>
      <c r="N900">
        <v>2.4384699999999999E-3</v>
      </c>
      <c r="O900">
        <v>0.11291079499999999</v>
      </c>
      <c r="P900">
        <v>9.8030975000000006E-2</v>
      </c>
      <c r="Q900" t="str">
        <f t="shared" si="28"/>
        <v>10-14</v>
      </c>
      <c r="R900" t="str">
        <f t="shared" si="29"/>
        <v>[fiRkU6gEjLz]|10-14|Female|HIV_PREV.T_1|CY2024Q3</v>
      </c>
    </row>
    <row r="901" spans="4:18" x14ac:dyDescent="0.2">
      <c r="D901" t="s">
        <v>78</v>
      </c>
      <c r="E901" t="s">
        <v>79</v>
      </c>
      <c r="F901" t="s">
        <v>80</v>
      </c>
      <c r="G901" t="s">
        <v>141</v>
      </c>
      <c r="H901" t="s">
        <v>142</v>
      </c>
      <c r="I901" t="s">
        <v>38</v>
      </c>
      <c r="J901" t="s">
        <v>39</v>
      </c>
      <c r="K901" t="s">
        <v>30</v>
      </c>
      <c r="L901" t="s">
        <v>31</v>
      </c>
      <c r="M901" t="s">
        <v>140</v>
      </c>
      <c r="N901">
        <v>5.2141679999999999E-3</v>
      </c>
      <c r="O901">
        <v>0.11635538600000001</v>
      </c>
      <c r="P901">
        <v>9.8030975000000006E-2</v>
      </c>
      <c r="Q901" t="str">
        <f t="shared" si="28"/>
        <v>15-24</v>
      </c>
      <c r="R901" t="str">
        <f t="shared" si="29"/>
        <v>[fiRkU6gEjLz]|15-24|Female|HIV_PREV.T_1|CY2024Q3</v>
      </c>
    </row>
    <row r="902" spans="4:18" x14ac:dyDescent="0.2">
      <c r="D902" t="s">
        <v>78</v>
      </c>
      <c r="E902" t="s">
        <v>79</v>
      </c>
      <c r="F902" t="s">
        <v>80</v>
      </c>
      <c r="G902" t="s">
        <v>141</v>
      </c>
      <c r="H902" t="s">
        <v>142</v>
      </c>
      <c r="I902" t="s">
        <v>41</v>
      </c>
      <c r="J902" t="s">
        <v>42</v>
      </c>
      <c r="K902" t="s">
        <v>30</v>
      </c>
      <c r="L902" t="s">
        <v>31</v>
      </c>
      <c r="M902" t="s">
        <v>140</v>
      </c>
      <c r="N902">
        <v>1.9174152999999999E-2</v>
      </c>
      <c r="O902">
        <v>0.109128582</v>
      </c>
      <c r="P902">
        <v>9.8030975000000006E-2</v>
      </c>
      <c r="Q902" t="str">
        <f t="shared" si="28"/>
        <v>25-34</v>
      </c>
      <c r="R902" t="str">
        <f t="shared" si="29"/>
        <v>[fiRkU6gEjLz]|25-34|Female|HIV_PREV.T_1|CY2024Q3</v>
      </c>
    </row>
    <row r="903" spans="4:18" x14ac:dyDescent="0.2">
      <c r="D903" t="s">
        <v>78</v>
      </c>
      <c r="E903" t="s">
        <v>79</v>
      </c>
      <c r="F903" t="s">
        <v>80</v>
      </c>
      <c r="G903" t="s">
        <v>141</v>
      </c>
      <c r="H903" t="s">
        <v>142</v>
      </c>
      <c r="I903" t="s">
        <v>43</v>
      </c>
      <c r="J903" t="s">
        <v>44</v>
      </c>
      <c r="K903" t="s">
        <v>30</v>
      </c>
      <c r="L903" t="s">
        <v>31</v>
      </c>
      <c r="M903" t="s">
        <v>140</v>
      </c>
      <c r="N903">
        <v>5.1629192999999997E-2</v>
      </c>
      <c r="O903">
        <v>9.9622437999999994E-2</v>
      </c>
      <c r="P903">
        <v>9.8030975000000006E-2</v>
      </c>
      <c r="Q903" t="str">
        <f t="shared" si="28"/>
        <v>35-49</v>
      </c>
      <c r="R903" t="str">
        <f t="shared" si="29"/>
        <v>[fiRkU6gEjLz]|35-49|Female|HIV_PREV.T_1|CY2024Q3</v>
      </c>
    </row>
    <row r="904" spans="4:18" x14ac:dyDescent="0.2">
      <c r="D904" t="s">
        <v>78</v>
      </c>
      <c r="E904" t="s">
        <v>79</v>
      </c>
      <c r="F904" t="s">
        <v>80</v>
      </c>
      <c r="G904" t="s">
        <v>141</v>
      </c>
      <c r="H904" t="s">
        <v>142</v>
      </c>
      <c r="I904" t="s">
        <v>45</v>
      </c>
      <c r="J904" t="s">
        <v>46</v>
      </c>
      <c r="K904" t="s">
        <v>30</v>
      </c>
      <c r="L904" t="s">
        <v>31</v>
      </c>
      <c r="M904" t="s">
        <v>140</v>
      </c>
      <c r="N904">
        <v>4.1472736000000003E-2</v>
      </c>
      <c r="O904">
        <v>0.106213134</v>
      </c>
      <c r="P904">
        <v>9.8030975000000006E-2</v>
      </c>
      <c r="Q904" t="str">
        <f t="shared" si="28"/>
        <v>50+</v>
      </c>
      <c r="R904" t="str">
        <f t="shared" si="29"/>
        <v>[fiRkU6gEjLz]|50+|Female|HIV_PREV.T_1|CY2024Q3</v>
      </c>
    </row>
    <row r="905" spans="4:18" x14ac:dyDescent="0.2">
      <c r="D905" t="s">
        <v>78</v>
      </c>
      <c r="E905" t="s">
        <v>79</v>
      </c>
      <c r="F905" t="s">
        <v>80</v>
      </c>
      <c r="G905" t="s">
        <v>141</v>
      </c>
      <c r="H905" t="s">
        <v>142</v>
      </c>
      <c r="I905" t="s">
        <v>28</v>
      </c>
      <c r="J905" t="s">
        <v>29</v>
      </c>
      <c r="K905" t="s">
        <v>48</v>
      </c>
      <c r="L905" t="s">
        <v>49</v>
      </c>
      <c r="M905" t="s">
        <v>140</v>
      </c>
      <c r="N905">
        <v>4.4318100000000001E-4</v>
      </c>
      <c r="O905">
        <v>0.101933436</v>
      </c>
      <c r="P905">
        <v>9.8030975000000006E-2</v>
      </c>
      <c r="Q905" t="str">
        <f t="shared" si="28"/>
        <v>&lt;01</v>
      </c>
      <c r="R905" t="str">
        <f t="shared" si="29"/>
        <v>[fiRkU6gEjLz]|&lt;01|Male|HIV_PREV.T_1|CY2024Q3</v>
      </c>
    </row>
    <row r="906" spans="4:18" x14ac:dyDescent="0.2">
      <c r="D906" t="s">
        <v>78</v>
      </c>
      <c r="E906" t="s">
        <v>79</v>
      </c>
      <c r="F906" t="s">
        <v>80</v>
      </c>
      <c r="G906" t="s">
        <v>141</v>
      </c>
      <c r="H906" t="s">
        <v>142</v>
      </c>
      <c r="I906" t="s">
        <v>33</v>
      </c>
      <c r="J906" t="s">
        <v>34</v>
      </c>
      <c r="K906" t="s">
        <v>48</v>
      </c>
      <c r="L906" t="s">
        <v>49</v>
      </c>
      <c r="M906" t="s">
        <v>140</v>
      </c>
      <c r="N906">
        <v>1.029896E-3</v>
      </c>
      <c r="O906">
        <v>0.10662453199999999</v>
      </c>
      <c r="P906">
        <v>9.8030975000000006E-2</v>
      </c>
      <c r="Q906" t="str">
        <f t="shared" si="28"/>
        <v>01-09</v>
      </c>
      <c r="R906" t="str">
        <f t="shared" si="29"/>
        <v>[fiRkU6gEjLz]|01-09|Male|HIV_PREV.T_1|CY2024Q3</v>
      </c>
    </row>
    <row r="907" spans="4:18" x14ac:dyDescent="0.2">
      <c r="D907" t="s">
        <v>78</v>
      </c>
      <c r="E907" t="s">
        <v>79</v>
      </c>
      <c r="F907" t="s">
        <v>80</v>
      </c>
      <c r="G907" t="s">
        <v>141</v>
      </c>
      <c r="H907" t="s">
        <v>142</v>
      </c>
      <c r="I907" t="s">
        <v>36</v>
      </c>
      <c r="J907" t="s">
        <v>37</v>
      </c>
      <c r="K907" t="s">
        <v>48</v>
      </c>
      <c r="L907" t="s">
        <v>49</v>
      </c>
      <c r="M907" t="s">
        <v>140</v>
      </c>
      <c r="N907">
        <v>2.4557530000000002E-3</v>
      </c>
      <c r="O907">
        <v>0.11291127099999999</v>
      </c>
      <c r="P907">
        <v>9.8030975000000006E-2</v>
      </c>
      <c r="Q907" t="str">
        <f t="shared" si="28"/>
        <v>10-14</v>
      </c>
      <c r="R907" t="str">
        <f t="shared" si="29"/>
        <v>[fiRkU6gEjLz]|10-14|Male|HIV_PREV.T_1|CY2024Q3</v>
      </c>
    </row>
    <row r="908" spans="4:18" x14ac:dyDescent="0.2">
      <c r="D908" t="s">
        <v>78</v>
      </c>
      <c r="E908" t="s">
        <v>79</v>
      </c>
      <c r="F908" t="s">
        <v>80</v>
      </c>
      <c r="G908" t="s">
        <v>141</v>
      </c>
      <c r="H908" t="s">
        <v>142</v>
      </c>
      <c r="I908" t="s">
        <v>38</v>
      </c>
      <c r="J908" t="s">
        <v>39</v>
      </c>
      <c r="K908" t="s">
        <v>48</v>
      </c>
      <c r="L908" t="s">
        <v>49</v>
      </c>
      <c r="M908" t="s">
        <v>140</v>
      </c>
      <c r="N908">
        <v>3.9300029999999996E-3</v>
      </c>
      <c r="O908">
        <v>0.121720907</v>
      </c>
      <c r="P908">
        <v>9.8030975000000006E-2</v>
      </c>
      <c r="Q908" t="str">
        <f t="shared" si="28"/>
        <v>15-24</v>
      </c>
      <c r="R908" t="str">
        <f t="shared" si="29"/>
        <v>[fiRkU6gEjLz]|15-24|Male|HIV_PREV.T_1|CY2024Q3</v>
      </c>
    </row>
    <row r="909" spans="4:18" x14ac:dyDescent="0.2">
      <c r="D909" t="s">
        <v>78</v>
      </c>
      <c r="E909" t="s">
        <v>79</v>
      </c>
      <c r="F909" t="s">
        <v>80</v>
      </c>
      <c r="G909" t="s">
        <v>141</v>
      </c>
      <c r="H909" t="s">
        <v>142</v>
      </c>
      <c r="I909" t="s">
        <v>41</v>
      </c>
      <c r="J909" t="s">
        <v>42</v>
      </c>
      <c r="K909" t="s">
        <v>48</v>
      </c>
      <c r="L909" t="s">
        <v>49</v>
      </c>
      <c r="M909" t="s">
        <v>140</v>
      </c>
      <c r="N909">
        <v>8.1821299999999993E-3</v>
      </c>
      <c r="O909">
        <v>0.122701675</v>
      </c>
      <c r="P909">
        <v>9.8030975000000006E-2</v>
      </c>
      <c r="Q909" t="str">
        <f t="shared" si="28"/>
        <v>25-34</v>
      </c>
      <c r="R909" t="str">
        <f t="shared" si="29"/>
        <v>[fiRkU6gEjLz]|25-34|Male|HIV_PREV.T_1|CY2024Q3</v>
      </c>
    </row>
    <row r="910" spans="4:18" x14ac:dyDescent="0.2">
      <c r="D910" t="s">
        <v>78</v>
      </c>
      <c r="E910" t="s">
        <v>79</v>
      </c>
      <c r="F910" t="s">
        <v>80</v>
      </c>
      <c r="G910" t="s">
        <v>141</v>
      </c>
      <c r="H910" t="s">
        <v>142</v>
      </c>
      <c r="I910" t="s">
        <v>43</v>
      </c>
      <c r="J910" t="s">
        <v>44</v>
      </c>
      <c r="K910" t="s">
        <v>48</v>
      </c>
      <c r="L910" t="s">
        <v>49</v>
      </c>
      <c r="M910" t="s">
        <v>140</v>
      </c>
      <c r="N910">
        <v>3.4548983999999998E-2</v>
      </c>
      <c r="O910">
        <v>0.103739368</v>
      </c>
      <c r="P910">
        <v>9.8030975000000006E-2</v>
      </c>
      <c r="Q910" t="str">
        <f t="shared" si="28"/>
        <v>35-49</v>
      </c>
      <c r="R910" t="str">
        <f t="shared" si="29"/>
        <v>[fiRkU6gEjLz]|35-49|Male|HIV_PREV.T_1|CY2024Q3</v>
      </c>
    </row>
    <row r="911" spans="4:18" x14ac:dyDescent="0.2">
      <c r="D911" t="s">
        <v>78</v>
      </c>
      <c r="E911" t="s">
        <v>79</v>
      </c>
      <c r="F911" t="s">
        <v>80</v>
      </c>
      <c r="G911" t="s">
        <v>141</v>
      </c>
      <c r="H911" t="s">
        <v>142</v>
      </c>
      <c r="I911" t="s">
        <v>45</v>
      </c>
      <c r="J911" t="s">
        <v>46</v>
      </c>
      <c r="K911" t="s">
        <v>48</v>
      </c>
      <c r="L911" t="s">
        <v>49</v>
      </c>
      <c r="M911" t="s">
        <v>140</v>
      </c>
      <c r="N911">
        <v>4.8310389000000002E-2</v>
      </c>
      <c r="O911">
        <v>0.102420461</v>
      </c>
      <c r="P911">
        <v>9.8030975000000006E-2</v>
      </c>
      <c r="Q911" t="str">
        <f t="shared" si="28"/>
        <v>50+</v>
      </c>
      <c r="R911" t="str">
        <f t="shared" si="29"/>
        <v>[fiRkU6gEjLz]|50+|Male|HIV_PREV.T_1|CY2024Q3</v>
      </c>
    </row>
    <row r="912" spans="4:18" x14ac:dyDescent="0.2">
      <c r="D912" t="s">
        <v>81</v>
      </c>
      <c r="E912" t="s">
        <v>82</v>
      </c>
      <c r="F912" t="s">
        <v>83</v>
      </c>
      <c r="G912" t="s">
        <v>141</v>
      </c>
      <c r="H912" t="s">
        <v>142</v>
      </c>
      <c r="I912" t="s">
        <v>28</v>
      </c>
      <c r="J912" t="s">
        <v>29</v>
      </c>
      <c r="K912" t="s">
        <v>30</v>
      </c>
      <c r="L912" t="s">
        <v>31</v>
      </c>
      <c r="M912" t="s">
        <v>140</v>
      </c>
      <c r="N912">
        <v>5.6885200000000001E-4</v>
      </c>
      <c r="O912">
        <v>8.9099715999999995E-2</v>
      </c>
      <c r="P912">
        <v>8.5166205999999994E-2</v>
      </c>
      <c r="Q912" t="str">
        <f t="shared" si="28"/>
        <v>&lt;01</v>
      </c>
      <c r="R912" t="str">
        <f t="shared" si="29"/>
        <v>[zphK9WV8JB4]|&lt;01|Female|HIV_PREV.T_1|CY2024Q3</v>
      </c>
    </row>
    <row r="913" spans="4:18" x14ac:dyDescent="0.2">
      <c r="D913" t="s">
        <v>81</v>
      </c>
      <c r="E913" t="s">
        <v>82</v>
      </c>
      <c r="F913" t="s">
        <v>83</v>
      </c>
      <c r="G913" t="s">
        <v>141</v>
      </c>
      <c r="H913" t="s">
        <v>142</v>
      </c>
      <c r="I913" t="s">
        <v>33</v>
      </c>
      <c r="J913" t="s">
        <v>34</v>
      </c>
      <c r="K913" t="s">
        <v>30</v>
      </c>
      <c r="L913" t="s">
        <v>31</v>
      </c>
      <c r="M913" t="s">
        <v>140</v>
      </c>
      <c r="N913">
        <v>1.262181E-3</v>
      </c>
      <c r="O913">
        <v>9.4273432000000004E-2</v>
      </c>
      <c r="P913">
        <v>8.5166205999999994E-2</v>
      </c>
      <c r="Q913" t="str">
        <f t="shared" si="28"/>
        <v>01-09</v>
      </c>
      <c r="R913" t="str">
        <f t="shared" si="29"/>
        <v>[zphK9WV8JB4]|01-09|Female|HIV_PREV.T_1|CY2024Q3</v>
      </c>
    </row>
    <row r="914" spans="4:18" x14ac:dyDescent="0.2">
      <c r="D914" t="s">
        <v>81</v>
      </c>
      <c r="E914" t="s">
        <v>82</v>
      </c>
      <c r="F914" t="s">
        <v>83</v>
      </c>
      <c r="G914" t="s">
        <v>141</v>
      </c>
      <c r="H914" t="s">
        <v>142</v>
      </c>
      <c r="I914" t="s">
        <v>36</v>
      </c>
      <c r="J914" t="s">
        <v>37</v>
      </c>
      <c r="K914" t="s">
        <v>30</v>
      </c>
      <c r="L914" t="s">
        <v>31</v>
      </c>
      <c r="M914" t="s">
        <v>140</v>
      </c>
      <c r="N914">
        <v>2.8493709999999998E-3</v>
      </c>
      <c r="O914">
        <v>0.101225543</v>
      </c>
      <c r="P914">
        <v>8.5166205999999994E-2</v>
      </c>
      <c r="Q914" t="str">
        <f t="shared" si="28"/>
        <v>10-14</v>
      </c>
      <c r="R914" t="str">
        <f t="shared" si="29"/>
        <v>[zphK9WV8JB4]|10-14|Female|HIV_PREV.T_1|CY2024Q3</v>
      </c>
    </row>
    <row r="915" spans="4:18" x14ac:dyDescent="0.2">
      <c r="D915" t="s">
        <v>81</v>
      </c>
      <c r="E915" t="s">
        <v>82</v>
      </c>
      <c r="F915" t="s">
        <v>83</v>
      </c>
      <c r="G915" t="s">
        <v>141</v>
      </c>
      <c r="H915" t="s">
        <v>142</v>
      </c>
      <c r="I915" t="s">
        <v>38</v>
      </c>
      <c r="J915" t="s">
        <v>39</v>
      </c>
      <c r="K915" t="s">
        <v>30</v>
      </c>
      <c r="L915" t="s">
        <v>31</v>
      </c>
      <c r="M915" t="s">
        <v>140</v>
      </c>
      <c r="N915">
        <v>6.2750549999999999E-3</v>
      </c>
      <c r="O915">
        <v>0.105865916</v>
      </c>
      <c r="P915">
        <v>8.5166205999999994E-2</v>
      </c>
      <c r="Q915" t="str">
        <f t="shared" si="28"/>
        <v>15-24</v>
      </c>
      <c r="R915" t="str">
        <f t="shared" si="29"/>
        <v>[zphK9WV8JB4]|15-24|Female|HIV_PREV.T_1|CY2024Q3</v>
      </c>
    </row>
    <row r="916" spans="4:18" x14ac:dyDescent="0.2">
      <c r="D916" t="s">
        <v>81</v>
      </c>
      <c r="E916" t="s">
        <v>82</v>
      </c>
      <c r="F916" t="s">
        <v>83</v>
      </c>
      <c r="G916" t="s">
        <v>141</v>
      </c>
      <c r="H916" t="s">
        <v>142</v>
      </c>
      <c r="I916" t="s">
        <v>41</v>
      </c>
      <c r="J916" t="s">
        <v>42</v>
      </c>
      <c r="K916" t="s">
        <v>30</v>
      </c>
      <c r="L916" t="s">
        <v>31</v>
      </c>
      <c r="M916" t="s">
        <v>140</v>
      </c>
      <c r="N916">
        <v>2.2934498000000001E-2</v>
      </c>
      <c r="O916">
        <v>9.5848509999999998E-2</v>
      </c>
      <c r="P916">
        <v>8.5166205999999994E-2</v>
      </c>
      <c r="Q916" t="str">
        <f t="shared" si="28"/>
        <v>25-34</v>
      </c>
      <c r="R916" t="str">
        <f t="shared" si="29"/>
        <v>[zphK9WV8JB4]|25-34|Female|HIV_PREV.T_1|CY2024Q3</v>
      </c>
    </row>
    <row r="917" spans="4:18" x14ac:dyDescent="0.2">
      <c r="D917" t="s">
        <v>81</v>
      </c>
      <c r="E917" t="s">
        <v>82</v>
      </c>
      <c r="F917" t="s">
        <v>83</v>
      </c>
      <c r="G917" t="s">
        <v>141</v>
      </c>
      <c r="H917" t="s">
        <v>142</v>
      </c>
      <c r="I917" t="s">
        <v>43</v>
      </c>
      <c r="J917" t="s">
        <v>44</v>
      </c>
      <c r="K917" t="s">
        <v>30</v>
      </c>
      <c r="L917" t="s">
        <v>31</v>
      </c>
      <c r="M917" t="s">
        <v>140</v>
      </c>
      <c r="N917">
        <v>6.0768332000000001E-2</v>
      </c>
      <c r="O917">
        <v>8.6530996999999998E-2</v>
      </c>
      <c r="P917">
        <v>8.5166205999999994E-2</v>
      </c>
      <c r="Q917" t="str">
        <f t="shared" si="28"/>
        <v>35-49</v>
      </c>
      <c r="R917" t="str">
        <f t="shared" si="29"/>
        <v>[zphK9WV8JB4]|35-49|Female|HIV_PREV.T_1|CY2024Q3</v>
      </c>
    </row>
    <row r="918" spans="4:18" x14ac:dyDescent="0.2">
      <c r="D918" t="s">
        <v>81</v>
      </c>
      <c r="E918" t="s">
        <v>82</v>
      </c>
      <c r="F918" t="s">
        <v>83</v>
      </c>
      <c r="G918" t="s">
        <v>141</v>
      </c>
      <c r="H918" t="s">
        <v>142</v>
      </c>
      <c r="I918" t="s">
        <v>45</v>
      </c>
      <c r="J918" t="s">
        <v>46</v>
      </c>
      <c r="K918" t="s">
        <v>30</v>
      </c>
      <c r="L918" t="s">
        <v>31</v>
      </c>
      <c r="M918" t="s">
        <v>140</v>
      </c>
      <c r="N918">
        <v>5.0082038000000002E-2</v>
      </c>
      <c r="O918">
        <v>9.4730906000000004E-2</v>
      </c>
      <c r="P918">
        <v>8.5166205999999994E-2</v>
      </c>
      <c r="Q918" t="str">
        <f t="shared" si="28"/>
        <v>50+</v>
      </c>
      <c r="R918" t="str">
        <f t="shared" si="29"/>
        <v>[zphK9WV8JB4]|50+|Female|HIV_PREV.T_1|CY2024Q3</v>
      </c>
    </row>
    <row r="919" spans="4:18" x14ac:dyDescent="0.2">
      <c r="D919" t="s">
        <v>81</v>
      </c>
      <c r="E919" t="s">
        <v>82</v>
      </c>
      <c r="F919" t="s">
        <v>83</v>
      </c>
      <c r="G919" t="s">
        <v>141</v>
      </c>
      <c r="H919" t="s">
        <v>142</v>
      </c>
      <c r="I919" t="s">
        <v>28</v>
      </c>
      <c r="J919" t="s">
        <v>29</v>
      </c>
      <c r="K919" t="s">
        <v>48</v>
      </c>
      <c r="L919" t="s">
        <v>49</v>
      </c>
      <c r="M919" t="s">
        <v>140</v>
      </c>
      <c r="N919">
        <v>5.6959700000000003E-4</v>
      </c>
      <c r="O919">
        <v>8.9104168999999997E-2</v>
      </c>
      <c r="P919">
        <v>8.5166205999999994E-2</v>
      </c>
      <c r="Q919" t="str">
        <f t="shared" si="28"/>
        <v>&lt;01</v>
      </c>
      <c r="R919" t="str">
        <f t="shared" si="29"/>
        <v>[zphK9WV8JB4]|&lt;01|Male|HIV_PREV.T_1|CY2024Q3</v>
      </c>
    </row>
    <row r="920" spans="4:18" x14ac:dyDescent="0.2">
      <c r="D920" t="s">
        <v>81</v>
      </c>
      <c r="E920" t="s">
        <v>82</v>
      </c>
      <c r="F920" t="s">
        <v>83</v>
      </c>
      <c r="G920" t="s">
        <v>141</v>
      </c>
      <c r="H920" t="s">
        <v>142</v>
      </c>
      <c r="I920" t="s">
        <v>33</v>
      </c>
      <c r="J920" t="s">
        <v>34</v>
      </c>
      <c r="K920" t="s">
        <v>48</v>
      </c>
      <c r="L920" t="s">
        <v>49</v>
      </c>
      <c r="M920" t="s">
        <v>140</v>
      </c>
      <c r="N920">
        <v>1.2600599999999999E-3</v>
      </c>
      <c r="O920">
        <v>9.4273644000000004E-2</v>
      </c>
      <c r="P920">
        <v>8.5166205999999994E-2</v>
      </c>
      <c r="Q920" t="str">
        <f t="shared" si="28"/>
        <v>01-09</v>
      </c>
      <c r="R920" t="str">
        <f t="shared" si="29"/>
        <v>[zphK9WV8JB4]|01-09|Male|HIV_PREV.T_1|CY2024Q3</v>
      </c>
    </row>
    <row r="921" spans="4:18" x14ac:dyDescent="0.2">
      <c r="D921" t="s">
        <v>81</v>
      </c>
      <c r="E921" t="s">
        <v>82</v>
      </c>
      <c r="F921" t="s">
        <v>83</v>
      </c>
      <c r="G921" t="s">
        <v>141</v>
      </c>
      <c r="H921" t="s">
        <v>142</v>
      </c>
      <c r="I921" t="s">
        <v>36</v>
      </c>
      <c r="J921" t="s">
        <v>37</v>
      </c>
      <c r="K921" t="s">
        <v>48</v>
      </c>
      <c r="L921" t="s">
        <v>49</v>
      </c>
      <c r="M921" t="s">
        <v>140</v>
      </c>
      <c r="N921">
        <v>2.8702620000000002E-3</v>
      </c>
      <c r="O921">
        <v>0.101226019</v>
      </c>
      <c r="P921">
        <v>8.5166205999999994E-2</v>
      </c>
      <c r="Q921" t="str">
        <f t="shared" si="28"/>
        <v>10-14</v>
      </c>
      <c r="R921" t="str">
        <f t="shared" si="29"/>
        <v>[zphK9WV8JB4]|10-14|Male|HIV_PREV.T_1|CY2024Q3</v>
      </c>
    </row>
    <row r="922" spans="4:18" x14ac:dyDescent="0.2">
      <c r="D922" t="s">
        <v>81</v>
      </c>
      <c r="E922" t="s">
        <v>82</v>
      </c>
      <c r="F922" t="s">
        <v>83</v>
      </c>
      <c r="G922" t="s">
        <v>141</v>
      </c>
      <c r="H922" t="s">
        <v>142</v>
      </c>
      <c r="I922" t="s">
        <v>38</v>
      </c>
      <c r="J922" t="s">
        <v>39</v>
      </c>
      <c r="K922" t="s">
        <v>48</v>
      </c>
      <c r="L922" t="s">
        <v>49</v>
      </c>
      <c r="M922" t="s">
        <v>140</v>
      </c>
      <c r="N922">
        <v>4.6842569999999998E-3</v>
      </c>
      <c r="O922">
        <v>0.114137906</v>
      </c>
      <c r="P922">
        <v>8.5166205999999994E-2</v>
      </c>
      <c r="Q922" t="str">
        <f t="shared" si="28"/>
        <v>15-24</v>
      </c>
      <c r="R922" t="str">
        <f t="shared" si="29"/>
        <v>[zphK9WV8JB4]|15-24|Male|HIV_PREV.T_1|CY2024Q3</v>
      </c>
    </row>
    <row r="923" spans="4:18" x14ac:dyDescent="0.2">
      <c r="D923" t="s">
        <v>81</v>
      </c>
      <c r="E923" t="s">
        <v>82</v>
      </c>
      <c r="F923" t="s">
        <v>83</v>
      </c>
      <c r="G923" t="s">
        <v>141</v>
      </c>
      <c r="H923" t="s">
        <v>142</v>
      </c>
      <c r="I923" t="s">
        <v>41</v>
      </c>
      <c r="J923" t="s">
        <v>42</v>
      </c>
      <c r="K923" t="s">
        <v>48</v>
      </c>
      <c r="L923" t="s">
        <v>49</v>
      </c>
      <c r="M923" t="s">
        <v>140</v>
      </c>
      <c r="N923">
        <v>9.9316270000000002E-3</v>
      </c>
      <c r="O923">
        <v>0.11370614499999999</v>
      </c>
      <c r="P923">
        <v>8.5166205999999994E-2</v>
      </c>
      <c r="Q923" t="str">
        <f t="shared" si="28"/>
        <v>25-34</v>
      </c>
      <c r="R923" t="str">
        <f t="shared" si="29"/>
        <v>[zphK9WV8JB4]|25-34|Male|HIV_PREV.T_1|CY2024Q3</v>
      </c>
    </row>
    <row r="924" spans="4:18" x14ac:dyDescent="0.2">
      <c r="D924" t="s">
        <v>81</v>
      </c>
      <c r="E924" t="s">
        <v>82</v>
      </c>
      <c r="F924" t="s">
        <v>83</v>
      </c>
      <c r="G924" t="s">
        <v>141</v>
      </c>
      <c r="H924" t="s">
        <v>142</v>
      </c>
      <c r="I924" t="s">
        <v>43</v>
      </c>
      <c r="J924" t="s">
        <v>44</v>
      </c>
      <c r="K924" t="s">
        <v>48</v>
      </c>
      <c r="L924" t="s">
        <v>49</v>
      </c>
      <c r="M924" t="s">
        <v>140</v>
      </c>
      <c r="N924">
        <v>4.1389410000000001E-2</v>
      </c>
      <c r="O924">
        <v>9.2166678000000002E-2</v>
      </c>
      <c r="P924">
        <v>8.5166205999999994E-2</v>
      </c>
      <c r="Q924" t="str">
        <f t="shared" si="28"/>
        <v>35-49</v>
      </c>
      <c r="R924" t="str">
        <f t="shared" si="29"/>
        <v>[zphK9WV8JB4]|35-49|Male|HIV_PREV.T_1|CY2024Q3</v>
      </c>
    </row>
    <row r="925" spans="4:18" x14ac:dyDescent="0.2">
      <c r="D925" t="s">
        <v>81</v>
      </c>
      <c r="E925" t="s">
        <v>82</v>
      </c>
      <c r="F925" t="s">
        <v>83</v>
      </c>
      <c r="G925" t="s">
        <v>141</v>
      </c>
      <c r="H925" t="s">
        <v>142</v>
      </c>
      <c r="I925" t="s">
        <v>45</v>
      </c>
      <c r="J925" t="s">
        <v>46</v>
      </c>
      <c r="K925" t="s">
        <v>48</v>
      </c>
      <c r="L925" t="s">
        <v>49</v>
      </c>
      <c r="M925" t="s">
        <v>140</v>
      </c>
      <c r="N925">
        <v>5.9119000999999997E-2</v>
      </c>
      <c r="O925">
        <v>8.7299958999999996E-2</v>
      </c>
      <c r="P925">
        <v>8.5166205999999994E-2</v>
      </c>
      <c r="Q925" t="str">
        <f t="shared" si="28"/>
        <v>50+</v>
      </c>
      <c r="R925" t="str">
        <f t="shared" si="29"/>
        <v>[zphK9WV8JB4]|50+|Male|HIV_PREV.T_1|CY2024Q3</v>
      </c>
    </row>
    <row r="926" spans="4:18" x14ac:dyDescent="0.2">
      <c r="D926" t="s">
        <v>84</v>
      </c>
      <c r="E926" t="s">
        <v>85</v>
      </c>
      <c r="F926" t="s">
        <v>86</v>
      </c>
      <c r="G926" t="s">
        <v>141</v>
      </c>
      <c r="H926" t="s">
        <v>142</v>
      </c>
      <c r="I926" t="s">
        <v>28</v>
      </c>
      <c r="J926" t="s">
        <v>29</v>
      </c>
      <c r="K926" t="s">
        <v>30</v>
      </c>
      <c r="L926" t="s">
        <v>31</v>
      </c>
      <c r="M926" t="s">
        <v>140</v>
      </c>
      <c r="N926">
        <v>1.174011E-3</v>
      </c>
      <c r="O926">
        <v>7.0231246999999997E-2</v>
      </c>
      <c r="P926">
        <v>6.8005834000000001E-2</v>
      </c>
      <c r="Q926" t="str">
        <f t="shared" si="28"/>
        <v>&lt;01</v>
      </c>
      <c r="R926" t="str">
        <f t="shared" si="29"/>
        <v>[msW2zpIN7up]|&lt;01|Female|HIV_PREV.T_1|CY2024Q3</v>
      </c>
    </row>
    <row r="927" spans="4:18" x14ac:dyDescent="0.2">
      <c r="D927" t="s">
        <v>84</v>
      </c>
      <c r="E927" t="s">
        <v>85</v>
      </c>
      <c r="F927" t="s">
        <v>86</v>
      </c>
      <c r="G927" t="s">
        <v>141</v>
      </c>
      <c r="H927" t="s">
        <v>142</v>
      </c>
      <c r="I927" t="s">
        <v>33</v>
      </c>
      <c r="J927" t="s">
        <v>34</v>
      </c>
      <c r="K927" t="s">
        <v>30</v>
      </c>
      <c r="L927" t="s">
        <v>31</v>
      </c>
      <c r="M927" t="s">
        <v>140</v>
      </c>
      <c r="N927">
        <v>2.8755170000000002E-3</v>
      </c>
      <c r="O927">
        <v>7.4215745999999999E-2</v>
      </c>
      <c r="P927">
        <v>6.8005834000000001E-2</v>
      </c>
      <c r="Q927" t="str">
        <f t="shared" si="28"/>
        <v>01-09</v>
      </c>
      <c r="R927" t="str">
        <f t="shared" si="29"/>
        <v>[msW2zpIN7up]|01-09|Female|HIV_PREV.T_1|CY2024Q3</v>
      </c>
    </row>
    <row r="928" spans="4:18" x14ac:dyDescent="0.2">
      <c r="D928" t="s">
        <v>84</v>
      </c>
      <c r="E928" t="s">
        <v>85</v>
      </c>
      <c r="F928" t="s">
        <v>86</v>
      </c>
      <c r="G928" t="s">
        <v>141</v>
      </c>
      <c r="H928" t="s">
        <v>142</v>
      </c>
      <c r="I928" t="s">
        <v>36</v>
      </c>
      <c r="J928" t="s">
        <v>37</v>
      </c>
      <c r="K928" t="s">
        <v>30</v>
      </c>
      <c r="L928" t="s">
        <v>31</v>
      </c>
      <c r="M928" t="s">
        <v>140</v>
      </c>
      <c r="N928">
        <v>7.189974E-3</v>
      </c>
      <c r="O928">
        <v>7.9473609000000001E-2</v>
      </c>
      <c r="P928">
        <v>6.8005834000000001E-2</v>
      </c>
      <c r="Q928" t="str">
        <f t="shared" si="28"/>
        <v>10-14</v>
      </c>
      <c r="R928" t="str">
        <f t="shared" si="29"/>
        <v>[msW2zpIN7up]|10-14|Female|HIV_PREV.T_1|CY2024Q3</v>
      </c>
    </row>
    <row r="929" spans="4:18" x14ac:dyDescent="0.2">
      <c r="D929" t="s">
        <v>84</v>
      </c>
      <c r="E929" t="s">
        <v>85</v>
      </c>
      <c r="F929" t="s">
        <v>86</v>
      </c>
      <c r="G929" t="s">
        <v>141</v>
      </c>
      <c r="H929" t="s">
        <v>142</v>
      </c>
      <c r="I929" t="s">
        <v>38</v>
      </c>
      <c r="J929" t="s">
        <v>39</v>
      </c>
      <c r="K929" t="s">
        <v>30</v>
      </c>
      <c r="L929" t="s">
        <v>31</v>
      </c>
      <c r="M929" t="s">
        <v>140</v>
      </c>
      <c r="N929">
        <v>1.4857617E-2</v>
      </c>
      <c r="O929">
        <v>9.5313998999999996E-2</v>
      </c>
      <c r="P929">
        <v>6.8005834000000001E-2</v>
      </c>
      <c r="Q929" t="str">
        <f t="shared" si="28"/>
        <v>15-24</v>
      </c>
      <c r="R929" t="str">
        <f t="shared" si="29"/>
        <v>[msW2zpIN7up]|15-24|Female|HIV_PREV.T_1|CY2024Q3</v>
      </c>
    </row>
    <row r="930" spans="4:18" x14ac:dyDescent="0.2">
      <c r="D930" t="s">
        <v>84</v>
      </c>
      <c r="E930" t="s">
        <v>85</v>
      </c>
      <c r="F930" t="s">
        <v>86</v>
      </c>
      <c r="G930" t="s">
        <v>141</v>
      </c>
      <c r="H930" t="s">
        <v>142</v>
      </c>
      <c r="I930" t="s">
        <v>41</v>
      </c>
      <c r="J930" t="s">
        <v>42</v>
      </c>
      <c r="K930" t="s">
        <v>30</v>
      </c>
      <c r="L930" t="s">
        <v>31</v>
      </c>
      <c r="M930" t="s">
        <v>140</v>
      </c>
      <c r="N930">
        <v>5.4532056000000002E-2</v>
      </c>
      <c r="O930">
        <v>8.0798350000000005E-2</v>
      </c>
      <c r="P930">
        <v>6.8005834000000001E-2</v>
      </c>
      <c r="Q930" t="str">
        <f t="shared" si="28"/>
        <v>25-34</v>
      </c>
      <c r="R930" t="str">
        <f t="shared" si="29"/>
        <v>[msW2zpIN7up]|25-34|Female|HIV_PREV.T_1|CY2024Q3</v>
      </c>
    </row>
    <row r="931" spans="4:18" x14ac:dyDescent="0.2">
      <c r="D931" t="s">
        <v>84</v>
      </c>
      <c r="E931" t="s">
        <v>85</v>
      </c>
      <c r="F931" t="s">
        <v>86</v>
      </c>
      <c r="G931" t="s">
        <v>141</v>
      </c>
      <c r="H931" t="s">
        <v>142</v>
      </c>
      <c r="I931" t="s">
        <v>43</v>
      </c>
      <c r="J931" t="s">
        <v>44</v>
      </c>
      <c r="K931" t="s">
        <v>30</v>
      </c>
      <c r="L931" t="s">
        <v>31</v>
      </c>
      <c r="M931" t="s">
        <v>140</v>
      </c>
      <c r="N931">
        <v>0.14243650599999999</v>
      </c>
      <c r="O931">
        <v>6.7824545E-2</v>
      </c>
      <c r="P931">
        <v>6.8005834000000001E-2</v>
      </c>
      <c r="Q931" t="str">
        <f t="shared" si="28"/>
        <v>35-49</v>
      </c>
      <c r="R931" t="str">
        <f t="shared" si="29"/>
        <v>[msW2zpIN7up]|35-49|Female|HIV_PREV.T_1|CY2024Q3</v>
      </c>
    </row>
    <row r="932" spans="4:18" x14ac:dyDescent="0.2">
      <c r="D932" t="s">
        <v>84</v>
      </c>
      <c r="E932" t="s">
        <v>85</v>
      </c>
      <c r="F932" t="s">
        <v>86</v>
      </c>
      <c r="G932" t="s">
        <v>141</v>
      </c>
      <c r="H932" t="s">
        <v>142</v>
      </c>
      <c r="I932" t="s">
        <v>45</v>
      </c>
      <c r="J932" t="s">
        <v>46</v>
      </c>
      <c r="K932" t="s">
        <v>30</v>
      </c>
      <c r="L932" t="s">
        <v>31</v>
      </c>
      <c r="M932" t="s">
        <v>140</v>
      </c>
      <c r="N932">
        <v>0.113417276</v>
      </c>
      <c r="O932">
        <v>7.4978815000000004E-2</v>
      </c>
      <c r="P932">
        <v>6.8005834000000001E-2</v>
      </c>
      <c r="Q932" t="str">
        <f t="shared" si="28"/>
        <v>50+</v>
      </c>
      <c r="R932" t="str">
        <f t="shared" si="29"/>
        <v>[msW2zpIN7up]|50+|Female|HIV_PREV.T_1|CY2024Q3</v>
      </c>
    </row>
    <row r="933" spans="4:18" x14ac:dyDescent="0.2">
      <c r="D933" t="s">
        <v>84</v>
      </c>
      <c r="E933" t="s">
        <v>85</v>
      </c>
      <c r="F933" t="s">
        <v>86</v>
      </c>
      <c r="G933" t="s">
        <v>141</v>
      </c>
      <c r="H933" t="s">
        <v>142</v>
      </c>
      <c r="I933" t="s">
        <v>28</v>
      </c>
      <c r="J933" t="s">
        <v>29</v>
      </c>
      <c r="K933" t="s">
        <v>48</v>
      </c>
      <c r="L933" t="s">
        <v>49</v>
      </c>
      <c r="M933" t="s">
        <v>140</v>
      </c>
      <c r="N933">
        <v>1.1741309999999999E-3</v>
      </c>
      <c r="O933">
        <v>7.0243260000000002E-2</v>
      </c>
      <c r="P933">
        <v>6.8005834000000001E-2</v>
      </c>
      <c r="Q933" t="str">
        <f t="shared" si="28"/>
        <v>&lt;01</v>
      </c>
      <c r="R933" t="str">
        <f t="shared" si="29"/>
        <v>[msW2zpIN7up]|&lt;01|Male|HIV_PREV.T_1|CY2024Q3</v>
      </c>
    </row>
    <row r="934" spans="4:18" x14ac:dyDescent="0.2">
      <c r="D934" t="s">
        <v>84</v>
      </c>
      <c r="E934" t="s">
        <v>85</v>
      </c>
      <c r="F934" t="s">
        <v>86</v>
      </c>
      <c r="G934" t="s">
        <v>141</v>
      </c>
      <c r="H934" t="s">
        <v>142</v>
      </c>
      <c r="I934" t="s">
        <v>33</v>
      </c>
      <c r="J934" t="s">
        <v>34</v>
      </c>
      <c r="K934" t="s">
        <v>48</v>
      </c>
      <c r="L934" t="s">
        <v>49</v>
      </c>
      <c r="M934" t="s">
        <v>140</v>
      </c>
      <c r="N934">
        <v>2.878804E-3</v>
      </c>
      <c r="O934">
        <v>7.4220752000000001E-2</v>
      </c>
      <c r="P934">
        <v>6.8005834000000001E-2</v>
      </c>
      <c r="Q934" t="str">
        <f t="shared" si="28"/>
        <v>01-09</v>
      </c>
      <c r="R934" t="str">
        <f t="shared" si="29"/>
        <v>[msW2zpIN7up]|01-09|Male|HIV_PREV.T_1|CY2024Q3</v>
      </c>
    </row>
    <row r="935" spans="4:18" x14ac:dyDescent="0.2">
      <c r="D935" t="s">
        <v>84</v>
      </c>
      <c r="E935" t="s">
        <v>85</v>
      </c>
      <c r="F935" t="s">
        <v>86</v>
      </c>
      <c r="G935" t="s">
        <v>141</v>
      </c>
      <c r="H935" t="s">
        <v>142</v>
      </c>
      <c r="I935" t="s">
        <v>36</v>
      </c>
      <c r="J935" t="s">
        <v>37</v>
      </c>
      <c r="K935" t="s">
        <v>48</v>
      </c>
      <c r="L935" t="s">
        <v>49</v>
      </c>
      <c r="M935" t="s">
        <v>140</v>
      </c>
      <c r="N935">
        <v>7.1141399999999997E-3</v>
      </c>
      <c r="O935">
        <v>7.9474012999999996E-2</v>
      </c>
      <c r="P935">
        <v>6.8005834000000001E-2</v>
      </c>
      <c r="Q935" t="str">
        <f t="shared" si="28"/>
        <v>10-14</v>
      </c>
      <c r="R935" t="str">
        <f t="shared" si="29"/>
        <v>[msW2zpIN7up]|10-14|Male|HIV_PREV.T_1|CY2024Q3</v>
      </c>
    </row>
    <row r="936" spans="4:18" x14ac:dyDescent="0.2">
      <c r="D936" t="s">
        <v>84</v>
      </c>
      <c r="E936" t="s">
        <v>85</v>
      </c>
      <c r="F936" t="s">
        <v>86</v>
      </c>
      <c r="G936" t="s">
        <v>141</v>
      </c>
      <c r="H936" t="s">
        <v>142</v>
      </c>
      <c r="I936" t="s">
        <v>38</v>
      </c>
      <c r="J936" t="s">
        <v>39</v>
      </c>
      <c r="K936" t="s">
        <v>48</v>
      </c>
      <c r="L936" t="s">
        <v>49</v>
      </c>
      <c r="M936" t="s">
        <v>140</v>
      </c>
      <c r="N936">
        <v>1.079423E-2</v>
      </c>
      <c r="O936">
        <v>9.8694189000000002E-2</v>
      </c>
      <c r="P936">
        <v>6.8005834000000001E-2</v>
      </c>
      <c r="Q936" t="str">
        <f t="shared" si="28"/>
        <v>15-24</v>
      </c>
      <c r="R936" t="str">
        <f t="shared" si="29"/>
        <v>[msW2zpIN7up]|15-24|Male|HIV_PREV.T_1|CY2024Q3</v>
      </c>
    </row>
    <row r="937" spans="4:18" x14ac:dyDescent="0.2">
      <c r="D937" t="s">
        <v>84</v>
      </c>
      <c r="E937" t="s">
        <v>85</v>
      </c>
      <c r="F937" t="s">
        <v>86</v>
      </c>
      <c r="G937" t="s">
        <v>141</v>
      </c>
      <c r="H937" t="s">
        <v>142</v>
      </c>
      <c r="I937" t="s">
        <v>41</v>
      </c>
      <c r="J937" t="s">
        <v>42</v>
      </c>
      <c r="K937" t="s">
        <v>48</v>
      </c>
      <c r="L937" t="s">
        <v>49</v>
      </c>
      <c r="M937" t="s">
        <v>140</v>
      </c>
      <c r="N937">
        <v>2.0466472999999999E-2</v>
      </c>
      <c r="O937">
        <v>0.103438487</v>
      </c>
      <c r="P937">
        <v>6.8005834000000001E-2</v>
      </c>
      <c r="Q937" t="str">
        <f t="shared" si="28"/>
        <v>25-34</v>
      </c>
      <c r="R937" t="str">
        <f t="shared" si="29"/>
        <v>[msW2zpIN7up]|25-34|Male|HIV_PREV.T_1|CY2024Q3</v>
      </c>
    </row>
    <row r="938" spans="4:18" x14ac:dyDescent="0.2">
      <c r="D938" t="s">
        <v>84</v>
      </c>
      <c r="E938" t="s">
        <v>85</v>
      </c>
      <c r="F938" t="s">
        <v>86</v>
      </c>
      <c r="G938" t="s">
        <v>141</v>
      </c>
      <c r="H938" t="s">
        <v>142</v>
      </c>
      <c r="I938" t="s">
        <v>43</v>
      </c>
      <c r="J938" t="s">
        <v>44</v>
      </c>
      <c r="K938" t="s">
        <v>48</v>
      </c>
      <c r="L938" t="s">
        <v>49</v>
      </c>
      <c r="M938" t="s">
        <v>140</v>
      </c>
      <c r="N938">
        <v>8.1975430000000002E-2</v>
      </c>
      <c r="O938">
        <v>7.6314796000000004E-2</v>
      </c>
      <c r="P938">
        <v>6.8005834000000001E-2</v>
      </c>
      <c r="Q938" t="str">
        <f t="shared" si="28"/>
        <v>35-49</v>
      </c>
      <c r="R938" t="str">
        <f t="shared" si="29"/>
        <v>[msW2zpIN7up]|35-49|Male|HIV_PREV.T_1|CY2024Q3</v>
      </c>
    </row>
    <row r="939" spans="4:18" x14ac:dyDescent="0.2">
      <c r="D939" t="s">
        <v>84</v>
      </c>
      <c r="E939" t="s">
        <v>85</v>
      </c>
      <c r="F939" t="s">
        <v>86</v>
      </c>
      <c r="G939" t="s">
        <v>141</v>
      </c>
      <c r="H939" t="s">
        <v>142</v>
      </c>
      <c r="I939" t="s">
        <v>45</v>
      </c>
      <c r="J939" t="s">
        <v>46</v>
      </c>
      <c r="K939" t="s">
        <v>48</v>
      </c>
      <c r="L939" t="s">
        <v>49</v>
      </c>
      <c r="M939" t="s">
        <v>140</v>
      </c>
      <c r="N939">
        <v>0.11703311</v>
      </c>
      <c r="O939">
        <v>7.3891417000000001E-2</v>
      </c>
      <c r="P939">
        <v>6.8005834000000001E-2</v>
      </c>
      <c r="Q939" t="str">
        <f t="shared" si="28"/>
        <v>50+</v>
      </c>
      <c r="R939" t="str">
        <f t="shared" si="29"/>
        <v>[msW2zpIN7up]|50+|Male|HIV_PREV.T_1|CY2024Q3</v>
      </c>
    </row>
    <row r="940" spans="4:18" x14ac:dyDescent="0.2">
      <c r="D940" t="s">
        <v>87</v>
      </c>
      <c r="E940" t="s">
        <v>88</v>
      </c>
      <c r="F940" t="s">
        <v>89</v>
      </c>
      <c r="G940" t="s">
        <v>141</v>
      </c>
      <c r="H940" t="s">
        <v>142</v>
      </c>
      <c r="I940" t="s">
        <v>28</v>
      </c>
      <c r="J940" t="s">
        <v>29</v>
      </c>
      <c r="K940" t="s">
        <v>30</v>
      </c>
      <c r="L940" t="s">
        <v>31</v>
      </c>
      <c r="M940" t="s">
        <v>140</v>
      </c>
      <c r="N940">
        <v>1.4436270000000001E-3</v>
      </c>
      <c r="O940">
        <v>2.3832235E-2</v>
      </c>
      <c r="P940">
        <v>2.0192233E-2</v>
      </c>
      <c r="Q940" t="str">
        <f t="shared" si="28"/>
        <v>&lt;01</v>
      </c>
      <c r="R940" t="str">
        <f t="shared" si="29"/>
        <v>[ScR9iFKAasW]|&lt;01|Female|HIV_PREV.T_1|CY2024Q3</v>
      </c>
    </row>
    <row r="941" spans="4:18" x14ac:dyDescent="0.2">
      <c r="D941" t="s">
        <v>87</v>
      </c>
      <c r="E941" t="s">
        <v>88</v>
      </c>
      <c r="F941" t="s">
        <v>89</v>
      </c>
      <c r="G941" t="s">
        <v>141</v>
      </c>
      <c r="H941" t="s">
        <v>142</v>
      </c>
      <c r="I941" t="s">
        <v>33</v>
      </c>
      <c r="J941" t="s">
        <v>34</v>
      </c>
      <c r="K941" t="s">
        <v>30</v>
      </c>
      <c r="L941" t="s">
        <v>31</v>
      </c>
      <c r="M941" t="s">
        <v>140</v>
      </c>
      <c r="N941">
        <v>3.131273E-3</v>
      </c>
      <c r="O941">
        <v>2.9421218999999998E-2</v>
      </c>
      <c r="P941">
        <v>2.0192233E-2</v>
      </c>
      <c r="Q941" t="str">
        <f t="shared" si="28"/>
        <v>01-09</v>
      </c>
      <c r="R941" t="str">
        <f t="shared" si="29"/>
        <v>[ScR9iFKAasW]|01-09|Female|HIV_PREV.T_1|CY2024Q3</v>
      </c>
    </row>
    <row r="942" spans="4:18" x14ac:dyDescent="0.2">
      <c r="D942" t="s">
        <v>87</v>
      </c>
      <c r="E942" t="s">
        <v>88</v>
      </c>
      <c r="F942" t="s">
        <v>89</v>
      </c>
      <c r="G942" t="s">
        <v>141</v>
      </c>
      <c r="H942" t="s">
        <v>142</v>
      </c>
      <c r="I942" t="s">
        <v>36</v>
      </c>
      <c r="J942" t="s">
        <v>37</v>
      </c>
      <c r="K942" t="s">
        <v>30</v>
      </c>
      <c r="L942" t="s">
        <v>31</v>
      </c>
      <c r="M942" t="s">
        <v>140</v>
      </c>
      <c r="N942">
        <v>6.8606370000000002E-3</v>
      </c>
      <c r="O942">
        <v>3.6909217000000001E-2</v>
      </c>
      <c r="P942">
        <v>2.0192233E-2</v>
      </c>
      <c r="Q942" t="str">
        <f t="shared" si="28"/>
        <v>10-14</v>
      </c>
      <c r="R942" t="str">
        <f t="shared" si="29"/>
        <v>[ScR9iFKAasW]|10-14|Female|HIV_PREV.T_1|CY2024Q3</v>
      </c>
    </row>
    <row r="943" spans="4:18" x14ac:dyDescent="0.2">
      <c r="D943" t="s">
        <v>87</v>
      </c>
      <c r="E943" t="s">
        <v>88</v>
      </c>
      <c r="F943" t="s">
        <v>89</v>
      </c>
      <c r="G943" t="s">
        <v>141</v>
      </c>
      <c r="H943" t="s">
        <v>142</v>
      </c>
      <c r="I943" t="s">
        <v>38</v>
      </c>
      <c r="J943" t="s">
        <v>39</v>
      </c>
      <c r="K943" t="s">
        <v>30</v>
      </c>
      <c r="L943" t="s">
        <v>31</v>
      </c>
      <c r="M943" t="s">
        <v>140</v>
      </c>
      <c r="N943">
        <v>1.5218716E-2</v>
      </c>
      <c r="O943">
        <v>6.1322237000000002E-2</v>
      </c>
      <c r="P943">
        <v>2.0192233E-2</v>
      </c>
      <c r="Q943" t="str">
        <f t="shared" si="28"/>
        <v>15-24</v>
      </c>
      <c r="R943" t="str">
        <f t="shared" si="29"/>
        <v>[ScR9iFKAasW]|15-24|Female|HIV_PREV.T_1|CY2024Q3</v>
      </c>
    </row>
    <row r="944" spans="4:18" x14ac:dyDescent="0.2">
      <c r="D944" t="s">
        <v>87</v>
      </c>
      <c r="E944" t="s">
        <v>88</v>
      </c>
      <c r="F944" t="s">
        <v>89</v>
      </c>
      <c r="G944" t="s">
        <v>141</v>
      </c>
      <c r="H944" t="s">
        <v>142</v>
      </c>
      <c r="I944" t="s">
        <v>41</v>
      </c>
      <c r="J944" t="s">
        <v>42</v>
      </c>
      <c r="K944" t="s">
        <v>30</v>
      </c>
      <c r="L944" t="s">
        <v>31</v>
      </c>
      <c r="M944" t="s">
        <v>140</v>
      </c>
      <c r="N944">
        <v>6.1466092E-2</v>
      </c>
      <c r="O944">
        <v>3.9257116000000002E-2</v>
      </c>
      <c r="P944">
        <v>2.0192233E-2</v>
      </c>
      <c r="Q944" t="str">
        <f t="shared" si="28"/>
        <v>25-34</v>
      </c>
      <c r="R944" t="str">
        <f t="shared" si="29"/>
        <v>[ScR9iFKAasW]|25-34|Female|HIV_PREV.T_1|CY2024Q3</v>
      </c>
    </row>
    <row r="945" spans="4:18" x14ac:dyDescent="0.2">
      <c r="D945" t="s">
        <v>87</v>
      </c>
      <c r="E945" t="s">
        <v>88</v>
      </c>
      <c r="F945" t="s">
        <v>89</v>
      </c>
      <c r="G945" t="s">
        <v>141</v>
      </c>
      <c r="H945" t="s">
        <v>142</v>
      </c>
      <c r="I945" t="s">
        <v>43</v>
      </c>
      <c r="J945" t="s">
        <v>44</v>
      </c>
      <c r="K945" t="s">
        <v>30</v>
      </c>
      <c r="L945" t="s">
        <v>31</v>
      </c>
      <c r="M945" t="s">
        <v>140</v>
      </c>
      <c r="N945">
        <v>0.152671158</v>
      </c>
      <c r="O945">
        <v>2.5595969E-2</v>
      </c>
      <c r="P945">
        <v>2.0192233E-2</v>
      </c>
      <c r="Q945" t="str">
        <f t="shared" si="28"/>
        <v>35-49</v>
      </c>
      <c r="R945" t="str">
        <f t="shared" si="29"/>
        <v>[ScR9iFKAasW]|35-49|Female|HIV_PREV.T_1|CY2024Q3</v>
      </c>
    </row>
    <row r="946" spans="4:18" x14ac:dyDescent="0.2">
      <c r="D946" t="s">
        <v>87</v>
      </c>
      <c r="E946" t="s">
        <v>88</v>
      </c>
      <c r="F946" t="s">
        <v>89</v>
      </c>
      <c r="G946" t="s">
        <v>141</v>
      </c>
      <c r="H946" t="s">
        <v>142</v>
      </c>
      <c r="I946" t="s">
        <v>45</v>
      </c>
      <c r="J946" t="s">
        <v>46</v>
      </c>
      <c r="K946" t="s">
        <v>30</v>
      </c>
      <c r="L946" t="s">
        <v>31</v>
      </c>
      <c r="M946" t="s">
        <v>140</v>
      </c>
      <c r="N946">
        <v>0.110589617</v>
      </c>
      <c r="O946">
        <v>4.5210678999999997E-2</v>
      </c>
      <c r="P946">
        <v>2.0192233E-2</v>
      </c>
      <c r="Q946" t="str">
        <f t="shared" si="28"/>
        <v>50+</v>
      </c>
      <c r="R946" t="str">
        <f t="shared" si="29"/>
        <v>[ScR9iFKAasW]|50+|Female|HIV_PREV.T_1|CY2024Q3</v>
      </c>
    </row>
    <row r="947" spans="4:18" x14ac:dyDescent="0.2">
      <c r="D947" t="s">
        <v>87</v>
      </c>
      <c r="E947" t="s">
        <v>88</v>
      </c>
      <c r="F947" t="s">
        <v>89</v>
      </c>
      <c r="G947" t="s">
        <v>141</v>
      </c>
      <c r="H947" t="s">
        <v>142</v>
      </c>
      <c r="I947" t="s">
        <v>28</v>
      </c>
      <c r="J947" t="s">
        <v>29</v>
      </c>
      <c r="K947" t="s">
        <v>48</v>
      </c>
      <c r="L947" t="s">
        <v>49</v>
      </c>
      <c r="M947" t="s">
        <v>140</v>
      </c>
      <c r="N947">
        <v>1.462135E-3</v>
      </c>
      <c r="O947">
        <v>2.3803297000000001E-2</v>
      </c>
      <c r="P947">
        <v>2.0192233E-2</v>
      </c>
      <c r="Q947" t="str">
        <f t="shared" si="28"/>
        <v>&lt;01</v>
      </c>
      <c r="R947" t="str">
        <f t="shared" si="29"/>
        <v>[ScR9iFKAasW]|&lt;01|Male|HIV_PREV.T_1|CY2024Q3</v>
      </c>
    </row>
    <row r="948" spans="4:18" x14ac:dyDescent="0.2">
      <c r="D948" t="s">
        <v>87</v>
      </c>
      <c r="E948" t="s">
        <v>88</v>
      </c>
      <c r="F948" t="s">
        <v>89</v>
      </c>
      <c r="G948" t="s">
        <v>141</v>
      </c>
      <c r="H948" t="s">
        <v>142</v>
      </c>
      <c r="I948" t="s">
        <v>33</v>
      </c>
      <c r="J948" t="s">
        <v>34</v>
      </c>
      <c r="K948" t="s">
        <v>48</v>
      </c>
      <c r="L948" t="s">
        <v>49</v>
      </c>
      <c r="M948" t="s">
        <v>140</v>
      </c>
      <c r="N948">
        <v>3.1539820000000001E-3</v>
      </c>
      <c r="O948">
        <v>2.9394516999999998E-2</v>
      </c>
      <c r="P948">
        <v>2.0192233E-2</v>
      </c>
      <c r="Q948" t="str">
        <f t="shared" si="28"/>
        <v>01-09</v>
      </c>
      <c r="R948" t="str">
        <f t="shared" si="29"/>
        <v>[ScR9iFKAasW]|01-09|Male|HIV_PREV.T_1|CY2024Q3</v>
      </c>
    </row>
    <row r="949" spans="4:18" x14ac:dyDescent="0.2">
      <c r="D949" t="s">
        <v>87</v>
      </c>
      <c r="E949" t="s">
        <v>88</v>
      </c>
      <c r="F949" t="s">
        <v>89</v>
      </c>
      <c r="G949" t="s">
        <v>141</v>
      </c>
      <c r="H949" t="s">
        <v>142</v>
      </c>
      <c r="I949" t="s">
        <v>36</v>
      </c>
      <c r="J949" t="s">
        <v>37</v>
      </c>
      <c r="K949" t="s">
        <v>48</v>
      </c>
      <c r="L949" t="s">
        <v>49</v>
      </c>
      <c r="M949" t="s">
        <v>140</v>
      </c>
      <c r="N949">
        <v>6.9095729999999996E-3</v>
      </c>
      <c r="O949">
        <v>3.7030905000000003E-2</v>
      </c>
      <c r="P949">
        <v>2.0192233E-2</v>
      </c>
      <c r="Q949" t="str">
        <f t="shared" si="28"/>
        <v>10-14</v>
      </c>
      <c r="R949" t="str">
        <f t="shared" si="29"/>
        <v>[ScR9iFKAasW]|10-14|Male|HIV_PREV.T_1|CY2024Q3</v>
      </c>
    </row>
    <row r="950" spans="4:18" x14ac:dyDescent="0.2">
      <c r="D950" t="s">
        <v>87</v>
      </c>
      <c r="E950" t="s">
        <v>88</v>
      </c>
      <c r="F950" t="s">
        <v>89</v>
      </c>
      <c r="G950" t="s">
        <v>141</v>
      </c>
      <c r="H950" t="s">
        <v>142</v>
      </c>
      <c r="I950" t="s">
        <v>38</v>
      </c>
      <c r="J950" t="s">
        <v>39</v>
      </c>
      <c r="K950" t="s">
        <v>48</v>
      </c>
      <c r="L950" t="s">
        <v>49</v>
      </c>
      <c r="M950" t="s">
        <v>140</v>
      </c>
      <c r="N950">
        <v>1.0701336000000001E-2</v>
      </c>
      <c r="O950">
        <v>7.3571952999999995E-2</v>
      </c>
      <c r="P950">
        <v>2.0192233E-2</v>
      </c>
      <c r="Q950" t="str">
        <f t="shared" si="28"/>
        <v>15-24</v>
      </c>
      <c r="R950" t="str">
        <f t="shared" si="29"/>
        <v>[ScR9iFKAasW]|15-24|Male|HIV_PREV.T_1|CY2024Q3</v>
      </c>
    </row>
    <row r="951" spans="4:18" x14ac:dyDescent="0.2">
      <c r="D951" t="s">
        <v>87</v>
      </c>
      <c r="E951" t="s">
        <v>88</v>
      </c>
      <c r="F951" t="s">
        <v>89</v>
      </c>
      <c r="G951" t="s">
        <v>141</v>
      </c>
      <c r="H951" t="s">
        <v>142</v>
      </c>
      <c r="I951" t="s">
        <v>41</v>
      </c>
      <c r="J951" t="s">
        <v>42</v>
      </c>
      <c r="K951" t="s">
        <v>48</v>
      </c>
      <c r="L951" t="s">
        <v>49</v>
      </c>
      <c r="M951" t="s">
        <v>140</v>
      </c>
      <c r="N951">
        <v>2.513719E-2</v>
      </c>
      <c r="O951">
        <v>6.7253698000000001E-2</v>
      </c>
      <c r="P951">
        <v>2.0192233E-2</v>
      </c>
      <c r="Q951" t="str">
        <f t="shared" si="28"/>
        <v>25-34</v>
      </c>
      <c r="R951" t="str">
        <f t="shared" si="29"/>
        <v>[ScR9iFKAasW]|25-34|Male|HIV_PREV.T_1|CY2024Q3</v>
      </c>
    </row>
    <row r="952" spans="4:18" x14ac:dyDescent="0.2">
      <c r="D952" t="s">
        <v>87</v>
      </c>
      <c r="E952" t="s">
        <v>88</v>
      </c>
      <c r="F952" t="s">
        <v>89</v>
      </c>
      <c r="G952" t="s">
        <v>141</v>
      </c>
      <c r="H952" t="s">
        <v>142</v>
      </c>
      <c r="I952" t="s">
        <v>43</v>
      </c>
      <c r="J952" t="s">
        <v>44</v>
      </c>
      <c r="K952" t="s">
        <v>48</v>
      </c>
      <c r="L952" t="s">
        <v>49</v>
      </c>
      <c r="M952" t="s">
        <v>140</v>
      </c>
      <c r="N952">
        <v>0.100595752</v>
      </c>
      <c r="O952">
        <v>3.1385464000000002E-2</v>
      </c>
      <c r="P952">
        <v>2.0192233E-2</v>
      </c>
      <c r="Q952" t="str">
        <f t="shared" si="28"/>
        <v>35-49</v>
      </c>
      <c r="R952" t="str">
        <f t="shared" si="29"/>
        <v>[ScR9iFKAasW]|35-49|Male|HIV_PREV.T_1|CY2024Q3</v>
      </c>
    </row>
    <row r="953" spans="4:18" x14ac:dyDescent="0.2">
      <c r="D953" t="s">
        <v>87</v>
      </c>
      <c r="E953" t="s">
        <v>88</v>
      </c>
      <c r="F953" t="s">
        <v>89</v>
      </c>
      <c r="G953" t="s">
        <v>141</v>
      </c>
      <c r="H953" t="s">
        <v>142</v>
      </c>
      <c r="I953" t="s">
        <v>45</v>
      </c>
      <c r="J953" t="s">
        <v>46</v>
      </c>
      <c r="K953" t="s">
        <v>48</v>
      </c>
      <c r="L953" t="s">
        <v>49</v>
      </c>
      <c r="M953" t="s">
        <v>140</v>
      </c>
      <c r="N953">
        <v>0.13169607999999999</v>
      </c>
      <c r="O953">
        <v>4.1852001999999999E-2</v>
      </c>
      <c r="P953">
        <v>2.0192233E-2</v>
      </c>
      <c r="Q953" t="str">
        <f t="shared" si="28"/>
        <v>50+</v>
      </c>
      <c r="R953" t="str">
        <f t="shared" si="29"/>
        <v>[ScR9iFKAasW]|50+|Male|HIV_PREV.T_1|CY2024Q3</v>
      </c>
    </row>
    <row r="954" spans="4:18" x14ac:dyDescent="0.2">
      <c r="D954" t="s">
        <v>90</v>
      </c>
      <c r="E954" t="s">
        <v>91</v>
      </c>
      <c r="F954" t="s">
        <v>92</v>
      </c>
      <c r="G954" t="s">
        <v>141</v>
      </c>
      <c r="H954" t="s">
        <v>142</v>
      </c>
      <c r="I954" t="s">
        <v>28</v>
      </c>
      <c r="J954" t="s">
        <v>29</v>
      </c>
      <c r="K954" t="s">
        <v>30</v>
      </c>
      <c r="L954" t="s">
        <v>31</v>
      </c>
      <c r="M954" t="s">
        <v>140</v>
      </c>
      <c r="N954">
        <v>9.0853799999999997E-4</v>
      </c>
      <c r="O954">
        <v>6.7216758000000001E-2</v>
      </c>
      <c r="P954">
        <v>5.8913226999999999E-2</v>
      </c>
      <c r="Q954" t="str">
        <f t="shared" si="28"/>
        <v>&lt;01</v>
      </c>
      <c r="R954" t="str">
        <f t="shared" si="29"/>
        <v>[kxuuIFpOXyO]|&lt;01|Female|HIV_PREV.T_1|CY2024Q3</v>
      </c>
    </row>
    <row r="955" spans="4:18" x14ac:dyDescent="0.2">
      <c r="D955" t="s">
        <v>90</v>
      </c>
      <c r="E955" t="s">
        <v>91</v>
      </c>
      <c r="F955" t="s">
        <v>92</v>
      </c>
      <c r="G955" t="s">
        <v>141</v>
      </c>
      <c r="H955" t="s">
        <v>142</v>
      </c>
      <c r="I955" t="s">
        <v>33</v>
      </c>
      <c r="J955" t="s">
        <v>34</v>
      </c>
      <c r="K955" t="s">
        <v>30</v>
      </c>
      <c r="L955" t="s">
        <v>31</v>
      </c>
      <c r="M955" t="s">
        <v>140</v>
      </c>
      <c r="N955">
        <v>2.080948E-3</v>
      </c>
      <c r="O955">
        <v>7.7947117999999996E-2</v>
      </c>
      <c r="P955">
        <v>5.8913226999999999E-2</v>
      </c>
      <c r="Q955" t="str">
        <f t="shared" si="28"/>
        <v>01-09</v>
      </c>
      <c r="R955" t="str">
        <f t="shared" si="29"/>
        <v>[kxuuIFpOXyO]|01-09|Female|HIV_PREV.T_1|CY2024Q3</v>
      </c>
    </row>
    <row r="956" spans="4:18" x14ac:dyDescent="0.2">
      <c r="D956" t="s">
        <v>90</v>
      </c>
      <c r="E956" t="s">
        <v>91</v>
      </c>
      <c r="F956" t="s">
        <v>92</v>
      </c>
      <c r="G956" t="s">
        <v>141</v>
      </c>
      <c r="H956" t="s">
        <v>142</v>
      </c>
      <c r="I956" t="s">
        <v>36</v>
      </c>
      <c r="J956" t="s">
        <v>37</v>
      </c>
      <c r="K956" t="s">
        <v>30</v>
      </c>
      <c r="L956" t="s">
        <v>31</v>
      </c>
      <c r="M956" t="s">
        <v>140</v>
      </c>
      <c r="N956">
        <v>4.9892570000000004E-3</v>
      </c>
      <c r="O956">
        <v>9.1844972999999996E-2</v>
      </c>
      <c r="P956">
        <v>5.8913226999999999E-2</v>
      </c>
      <c r="Q956" t="str">
        <f t="shared" si="28"/>
        <v>10-14</v>
      </c>
      <c r="R956" t="str">
        <f t="shared" si="29"/>
        <v>[kxuuIFpOXyO]|10-14|Female|HIV_PREV.T_1|CY2024Q3</v>
      </c>
    </row>
    <row r="957" spans="4:18" x14ac:dyDescent="0.2">
      <c r="D957" t="s">
        <v>90</v>
      </c>
      <c r="E957" t="s">
        <v>91</v>
      </c>
      <c r="F957" t="s">
        <v>92</v>
      </c>
      <c r="G957" t="s">
        <v>141</v>
      </c>
      <c r="H957" t="s">
        <v>142</v>
      </c>
      <c r="I957" t="s">
        <v>38</v>
      </c>
      <c r="J957" t="s">
        <v>39</v>
      </c>
      <c r="K957" t="s">
        <v>30</v>
      </c>
      <c r="L957" t="s">
        <v>31</v>
      </c>
      <c r="M957" t="s">
        <v>140</v>
      </c>
      <c r="N957">
        <v>1.0930039000000001E-2</v>
      </c>
      <c r="O957">
        <v>9.1181999999999999E-2</v>
      </c>
      <c r="P957">
        <v>5.8913226999999999E-2</v>
      </c>
      <c r="Q957" t="str">
        <f t="shared" si="28"/>
        <v>15-24</v>
      </c>
      <c r="R957" t="str">
        <f t="shared" si="29"/>
        <v>[kxuuIFpOXyO]|15-24|Female|HIV_PREV.T_1|CY2024Q3</v>
      </c>
    </row>
    <row r="958" spans="4:18" x14ac:dyDescent="0.2">
      <c r="D958" t="s">
        <v>90</v>
      </c>
      <c r="E958" t="s">
        <v>91</v>
      </c>
      <c r="F958" t="s">
        <v>92</v>
      </c>
      <c r="G958" t="s">
        <v>141</v>
      </c>
      <c r="H958" t="s">
        <v>142</v>
      </c>
      <c r="I958" t="s">
        <v>41</v>
      </c>
      <c r="J958" t="s">
        <v>42</v>
      </c>
      <c r="K958" t="s">
        <v>30</v>
      </c>
      <c r="L958" t="s">
        <v>31</v>
      </c>
      <c r="M958" t="s">
        <v>140</v>
      </c>
      <c r="N958">
        <v>4.0245165999999999E-2</v>
      </c>
      <c r="O958">
        <v>7.4580637000000005E-2</v>
      </c>
      <c r="P958">
        <v>5.8913226999999999E-2</v>
      </c>
      <c r="Q958" t="str">
        <f t="shared" si="28"/>
        <v>25-34</v>
      </c>
      <c r="R958" t="str">
        <f t="shared" si="29"/>
        <v>[kxuuIFpOXyO]|25-34|Female|HIV_PREV.T_1|CY2024Q3</v>
      </c>
    </row>
    <row r="959" spans="4:18" x14ac:dyDescent="0.2">
      <c r="D959" t="s">
        <v>90</v>
      </c>
      <c r="E959" t="s">
        <v>91</v>
      </c>
      <c r="F959" t="s">
        <v>92</v>
      </c>
      <c r="G959" t="s">
        <v>141</v>
      </c>
      <c r="H959" t="s">
        <v>142</v>
      </c>
      <c r="I959" t="s">
        <v>43</v>
      </c>
      <c r="J959" t="s">
        <v>44</v>
      </c>
      <c r="K959" t="s">
        <v>30</v>
      </c>
      <c r="L959" t="s">
        <v>31</v>
      </c>
      <c r="M959" t="s">
        <v>140</v>
      </c>
      <c r="N959">
        <v>0.106101604</v>
      </c>
      <c r="O959">
        <v>6.0103433999999997E-2</v>
      </c>
      <c r="P959">
        <v>5.8913226999999999E-2</v>
      </c>
      <c r="Q959" t="str">
        <f t="shared" si="28"/>
        <v>35-49</v>
      </c>
      <c r="R959" t="str">
        <f t="shared" si="29"/>
        <v>[kxuuIFpOXyO]|35-49|Female|HIV_PREV.T_1|CY2024Q3</v>
      </c>
    </row>
    <row r="960" spans="4:18" x14ac:dyDescent="0.2">
      <c r="D960" t="s">
        <v>90</v>
      </c>
      <c r="E960" t="s">
        <v>91</v>
      </c>
      <c r="F960" t="s">
        <v>92</v>
      </c>
      <c r="G960" t="s">
        <v>141</v>
      </c>
      <c r="H960" t="s">
        <v>142</v>
      </c>
      <c r="I960" t="s">
        <v>45</v>
      </c>
      <c r="J960" t="s">
        <v>46</v>
      </c>
      <c r="K960" t="s">
        <v>30</v>
      </c>
      <c r="L960" t="s">
        <v>31</v>
      </c>
      <c r="M960" t="s">
        <v>140</v>
      </c>
      <c r="N960">
        <v>9.0410906999999999E-2</v>
      </c>
      <c r="O960">
        <v>7.0211755000000001E-2</v>
      </c>
      <c r="P960">
        <v>5.8913226999999999E-2</v>
      </c>
      <c r="Q960" t="str">
        <f t="shared" si="28"/>
        <v>50+</v>
      </c>
      <c r="R960" t="str">
        <f t="shared" si="29"/>
        <v>[kxuuIFpOXyO]|50+|Female|HIV_PREV.T_1|CY2024Q3</v>
      </c>
    </row>
    <row r="961" spans="4:18" x14ac:dyDescent="0.2">
      <c r="D961" t="s">
        <v>90</v>
      </c>
      <c r="E961" t="s">
        <v>91</v>
      </c>
      <c r="F961" t="s">
        <v>92</v>
      </c>
      <c r="G961" t="s">
        <v>141</v>
      </c>
      <c r="H961" t="s">
        <v>142</v>
      </c>
      <c r="I961" t="s">
        <v>28</v>
      </c>
      <c r="J961" t="s">
        <v>29</v>
      </c>
      <c r="K961" t="s">
        <v>48</v>
      </c>
      <c r="L961" t="s">
        <v>49</v>
      </c>
      <c r="M961" t="s">
        <v>140</v>
      </c>
      <c r="N961">
        <v>9.2330999999999999E-4</v>
      </c>
      <c r="O961">
        <v>6.7134403999999995E-2</v>
      </c>
      <c r="P961">
        <v>5.8913226999999999E-2</v>
      </c>
      <c r="Q961" t="str">
        <f t="shared" si="28"/>
        <v>&lt;01</v>
      </c>
      <c r="R961" t="str">
        <f t="shared" si="29"/>
        <v>[kxuuIFpOXyO]|&lt;01|Male|HIV_PREV.T_1|CY2024Q3</v>
      </c>
    </row>
    <row r="962" spans="4:18" x14ac:dyDescent="0.2">
      <c r="D962" t="s">
        <v>90</v>
      </c>
      <c r="E962" t="s">
        <v>91</v>
      </c>
      <c r="F962" t="s">
        <v>92</v>
      </c>
      <c r="G962" t="s">
        <v>141</v>
      </c>
      <c r="H962" t="s">
        <v>142</v>
      </c>
      <c r="I962" t="s">
        <v>33</v>
      </c>
      <c r="J962" t="s">
        <v>34</v>
      </c>
      <c r="K962" t="s">
        <v>48</v>
      </c>
      <c r="L962" t="s">
        <v>49</v>
      </c>
      <c r="M962" t="s">
        <v>140</v>
      </c>
      <c r="N962">
        <v>2.0914050000000002E-3</v>
      </c>
      <c r="O962">
        <v>7.7884974999999995E-2</v>
      </c>
      <c r="P962">
        <v>5.8913226999999999E-2</v>
      </c>
      <c r="Q962" t="str">
        <f t="shared" si="28"/>
        <v>01-09</v>
      </c>
      <c r="R962" t="str">
        <f t="shared" si="29"/>
        <v>[kxuuIFpOXyO]|01-09|Male|HIV_PREV.T_1|CY2024Q3</v>
      </c>
    </row>
    <row r="963" spans="4:18" x14ac:dyDescent="0.2">
      <c r="D963" t="s">
        <v>90</v>
      </c>
      <c r="E963" t="s">
        <v>91</v>
      </c>
      <c r="F963" t="s">
        <v>92</v>
      </c>
      <c r="G963" t="s">
        <v>141</v>
      </c>
      <c r="H963" t="s">
        <v>142</v>
      </c>
      <c r="I963" t="s">
        <v>36</v>
      </c>
      <c r="J963" t="s">
        <v>37</v>
      </c>
      <c r="K963" t="s">
        <v>48</v>
      </c>
      <c r="L963" t="s">
        <v>49</v>
      </c>
      <c r="M963" t="s">
        <v>140</v>
      </c>
      <c r="N963">
        <v>4.9821609999999997E-3</v>
      </c>
      <c r="O963">
        <v>9.1844592000000003E-2</v>
      </c>
      <c r="P963">
        <v>5.8913226999999999E-2</v>
      </c>
      <c r="Q963" t="str">
        <f t="shared" ref="Q963:Q1026" si="30">SUBSTITUTE(SUBSTITUTE($I963,CHAR(61),""),CHAR(34),"")</f>
        <v>10-14</v>
      </c>
      <c r="R963" t="str">
        <f t="shared" ref="R963:R1026" si="31">IF($D963&lt;&gt;"","["&amp;$E963&amp;"]"&amp;"|"&amp;$Q963&amp;"|"&amp;$K963&amp;"|"&amp;$G963&amp;"|"&amp;IF($G963="TX_CURR_SUBNAT.R","CY2023Q4",$M963),"")</f>
        <v>[kxuuIFpOXyO]|10-14|Male|HIV_PREV.T_1|CY2024Q3</v>
      </c>
    </row>
    <row r="964" spans="4:18" x14ac:dyDescent="0.2">
      <c r="D964" t="s">
        <v>90</v>
      </c>
      <c r="E964" t="s">
        <v>91</v>
      </c>
      <c r="F964" t="s">
        <v>92</v>
      </c>
      <c r="G964" t="s">
        <v>141</v>
      </c>
      <c r="H964" t="s">
        <v>142</v>
      </c>
      <c r="I964" t="s">
        <v>38</v>
      </c>
      <c r="J964" t="s">
        <v>39</v>
      </c>
      <c r="K964" t="s">
        <v>48</v>
      </c>
      <c r="L964" t="s">
        <v>49</v>
      </c>
      <c r="M964" t="s">
        <v>140</v>
      </c>
      <c r="N964">
        <v>8.1878999999999997E-3</v>
      </c>
      <c r="O964">
        <v>9.8790698999999996E-2</v>
      </c>
      <c r="P964">
        <v>5.8913226999999999E-2</v>
      </c>
      <c r="Q964" t="str">
        <f t="shared" si="30"/>
        <v>15-24</v>
      </c>
      <c r="R964" t="str">
        <f t="shared" si="31"/>
        <v>[kxuuIFpOXyO]|15-24|Male|HIV_PREV.T_1|CY2024Q3</v>
      </c>
    </row>
    <row r="965" spans="4:18" x14ac:dyDescent="0.2">
      <c r="D965" t="s">
        <v>90</v>
      </c>
      <c r="E965" t="s">
        <v>91</v>
      </c>
      <c r="F965" t="s">
        <v>92</v>
      </c>
      <c r="G965" t="s">
        <v>141</v>
      </c>
      <c r="H965" t="s">
        <v>142</v>
      </c>
      <c r="I965" t="s">
        <v>41</v>
      </c>
      <c r="J965" t="s">
        <v>42</v>
      </c>
      <c r="K965" t="s">
        <v>48</v>
      </c>
      <c r="L965" t="s">
        <v>49</v>
      </c>
      <c r="M965" t="s">
        <v>140</v>
      </c>
      <c r="N965">
        <v>1.7091942999999998E-2</v>
      </c>
      <c r="O965">
        <v>9.1254805999999994E-2</v>
      </c>
      <c r="P965">
        <v>5.8913226999999999E-2</v>
      </c>
      <c r="Q965" t="str">
        <f t="shared" si="30"/>
        <v>25-34</v>
      </c>
      <c r="R965" t="str">
        <f t="shared" si="31"/>
        <v>[kxuuIFpOXyO]|25-34|Male|HIV_PREV.T_1|CY2024Q3</v>
      </c>
    </row>
    <row r="966" spans="4:18" x14ac:dyDescent="0.2">
      <c r="D966" t="s">
        <v>90</v>
      </c>
      <c r="E966" t="s">
        <v>91</v>
      </c>
      <c r="F966" t="s">
        <v>92</v>
      </c>
      <c r="G966" t="s">
        <v>141</v>
      </c>
      <c r="H966" t="s">
        <v>142</v>
      </c>
      <c r="I966" t="s">
        <v>43</v>
      </c>
      <c r="J966" t="s">
        <v>44</v>
      </c>
      <c r="K966" t="s">
        <v>48</v>
      </c>
      <c r="L966" t="s">
        <v>49</v>
      </c>
      <c r="M966" t="s">
        <v>140</v>
      </c>
      <c r="N966">
        <v>7.0566282999999994E-2</v>
      </c>
      <c r="O966">
        <v>6.5890946000000006E-2</v>
      </c>
      <c r="P966">
        <v>5.8913226999999999E-2</v>
      </c>
      <c r="Q966" t="str">
        <f t="shared" si="30"/>
        <v>35-49</v>
      </c>
      <c r="R966" t="str">
        <f t="shared" si="31"/>
        <v>[kxuuIFpOXyO]|35-49|Male|HIV_PREV.T_1|CY2024Q3</v>
      </c>
    </row>
    <row r="967" spans="4:18" x14ac:dyDescent="0.2">
      <c r="D967" t="s">
        <v>90</v>
      </c>
      <c r="E967" t="s">
        <v>91</v>
      </c>
      <c r="F967" t="s">
        <v>92</v>
      </c>
      <c r="G967" t="s">
        <v>141</v>
      </c>
      <c r="H967" t="s">
        <v>142</v>
      </c>
      <c r="I967" t="s">
        <v>45</v>
      </c>
      <c r="J967" t="s">
        <v>46</v>
      </c>
      <c r="K967" t="s">
        <v>48</v>
      </c>
      <c r="L967" t="s">
        <v>49</v>
      </c>
      <c r="M967" t="s">
        <v>140</v>
      </c>
      <c r="N967">
        <v>0.101973947</v>
      </c>
      <c r="O967">
        <v>6.2212321000000001E-2</v>
      </c>
      <c r="P967">
        <v>5.8913226999999999E-2</v>
      </c>
      <c r="Q967" t="str">
        <f t="shared" si="30"/>
        <v>50+</v>
      </c>
      <c r="R967" t="str">
        <f t="shared" si="31"/>
        <v>[kxuuIFpOXyO]|50+|Male|HIV_PREV.T_1|CY2024Q3</v>
      </c>
    </row>
    <row r="968" spans="4:18" x14ac:dyDescent="0.2">
      <c r="D968" t="s">
        <v>93</v>
      </c>
      <c r="E968" t="s">
        <v>94</v>
      </c>
      <c r="F968" t="s">
        <v>95</v>
      </c>
      <c r="G968" t="s">
        <v>141</v>
      </c>
      <c r="H968" t="s">
        <v>142</v>
      </c>
      <c r="I968" t="s">
        <v>28</v>
      </c>
      <c r="J968" t="s">
        <v>29</v>
      </c>
      <c r="K968" t="s">
        <v>30</v>
      </c>
      <c r="L968" t="s">
        <v>31</v>
      </c>
      <c r="M968" t="s">
        <v>140</v>
      </c>
      <c r="N968">
        <v>7.3623299999999998E-4</v>
      </c>
      <c r="O968">
        <v>9.4825296000000003E-2</v>
      </c>
      <c r="P968">
        <v>8.7835512000000004E-2</v>
      </c>
      <c r="Q968" t="str">
        <f t="shared" si="30"/>
        <v>&lt;01</v>
      </c>
      <c r="R968" t="str">
        <f t="shared" si="31"/>
        <v>[PekKUkKHAzY]|&lt;01|Female|HIV_PREV.T_1|CY2024Q3</v>
      </c>
    </row>
    <row r="969" spans="4:18" x14ac:dyDescent="0.2">
      <c r="D969" t="s">
        <v>93</v>
      </c>
      <c r="E969" t="s">
        <v>94</v>
      </c>
      <c r="F969" t="s">
        <v>95</v>
      </c>
      <c r="G969" t="s">
        <v>141</v>
      </c>
      <c r="H969" t="s">
        <v>142</v>
      </c>
      <c r="I969" t="s">
        <v>33</v>
      </c>
      <c r="J969" t="s">
        <v>34</v>
      </c>
      <c r="K969" t="s">
        <v>30</v>
      </c>
      <c r="L969" t="s">
        <v>31</v>
      </c>
      <c r="M969" t="s">
        <v>140</v>
      </c>
      <c r="N969">
        <v>1.697692E-3</v>
      </c>
      <c r="O969">
        <v>0.102748177</v>
      </c>
      <c r="P969">
        <v>8.7835512000000004E-2</v>
      </c>
      <c r="Q969" t="str">
        <f t="shared" si="30"/>
        <v>01-09</v>
      </c>
      <c r="R969" t="str">
        <f t="shared" si="31"/>
        <v>[PekKUkKHAzY]|01-09|Female|HIV_PREV.T_1|CY2024Q3</v>
      </c>
    </row>
    <row r="970" spans="4:18" x14ac:dyDescent="0.2">
      <c r="D970" t="s">
        <v>93</v>
      </c>
      <c r="E970" t="s">
        <v>94</v>
      </c>
      <c r="F970" t="s">
        <v>95</v>
      </c>
      <c r="G970" t="s">
        <v>141</v>
      </c>
      <c r="H970" t="s">
        <v>142</v>
      </c>
      <c r="I970" t="s">
        <v>36</v>
      </c>
      <c r="J970" t="s">
        <v>37</v>
      </c>
      <c r="K970" t="s">
        <v>30</v>
      </c>
      <c r="L970" t="s">
        <v>31</v>
      </c>
      <c r="M970" t="s">
        <v>140</v>
      </c>
      <c r="N970">
        <v>4.0648969999999996E-3</v>
      </c>
      <c r="O970">
        <v>0.11313970399999999</v>
      </c>
      <c r="P970">
        <v>8.7835512000000004E-2</v>
      </c>
      <c r="Q970" t="str">
        <f t="shared" si="30"/>
        <v>10-14</v>
      </c>
      <c r="R970" t="str">
        <f t="shared" si="31"/>
        <v>[PekKUkKHAzY]|10-14|Female|HIV_PREV.T_1|CY2024Q3</v>
      </c>
    </row>
    <row r="971" spans="4:18" x14ac:dyDescent="0.2">
      <c r="D971" t="s">
        <v>93</v>
      </c>
      <c r="E971" t="s">
        <v>94</v>
      </c>
      <c r="F971" t="s">
        <v>95</v>
      </c>
      <c r="G971" t="s">
        <v>141</v>
      </c>
      <c r="H971" t="s">
        <v>142</v>
      </c>
      <c r="I971" t="s">
        <v>38</v>
      </c>
      <c r="J971" t="s">
        <v>39</v>
      </c>
      <c r="K971" t="s">
        <v>30</v>
      </c>
      <c r="L971" t="s">
        <v>31</v>
      </c>
      <c r="M971" t="s">
        <v>140</v>
      </c>
      <c r="N971">
        <v>8.3888039999999997E-3</v>
      </c>
      <c r="O971">
        <v>0.11006442399999999</v>
      </c>
      <c r="P971">
        <v>8.7835512000000004E-2</v>
      </c>
      <c r="Q971" t="str">
        <f t="shared" si="30"/>
        <v>15-24</v>
      </c>
      <c r="R971" t="str">
        <f t="shared" si="31"/>
        <v>[PekKUkKHAzY]|15-24|Female|HIV_PREV.T_1|CY2024Q3</v>
      </c>
    </row>
    <row r="972" spans="4:18" x14ac:dyDescent="0.2">
      <c r="D972" t="s">
        <v>93</v>
      </c>
      <c r="E972" t="s">
        <v>94</v>
      </c>
      <c r="F972" t="s">
        <v>95</v>
      </c>
      <c r="G972" t="s">
        <v>141</v>
      </c>
      <c r="H972" t="s">
        <v>142</v>
      </c>
      <c r="I972" t="s">
        <v>41</v>
      </c>
      <c r="J972" t="s">
        <v>42</v>
      </c>
      <c r="K972" t="s">
        <v>30</v>
      </c>
      <c r="L972" t="s">
        <v>31</v>
      </c>
      <c r="M972" t="s">
        <v>140</v>
      </c>
      <c r="N972">
        <v>3.0885132999999999E-2</v>
      </c>
      <c r="O972">
        <v>0.101442513</v>
      </c>
      <c r="P972">
        <v>8.7835512000000004E-2</v>
      </c>
      <c r="Q972" t="str">
        <f t="shared" si="30"/>
        <v>25-34</v>
      </c>
      <c r="R972" t="str">
        <f t="shared" si="31"/>
        <v>[PekKUkKHAzY]|25-34|Female|HIV_PREV.T_1|CY2024Q3</v>
      </c>
    </row>
    <row r="973" spans="4:18" x14ac:dyDescent="0.2">
      <c r="D973" t="s">
        <v>93</v>
      </c>
      <c r="E973" t="s">
        <v>94</v>
      </c>
      <c r="F973" t="s">
        <v>95</v>
      </c>
      <c r="G973" t="s">
        <v>141</v>
      </c>
      <c r="H973" t="s">
        <v>142</v>
      </c>
      <c r="I973" t="s">
        <v>43</v>
      </c>
      <c r="J973" t="s">
        <v>44</v>
      </c>
      <c r="K973" t="s">
        <v>30</v>
      </c>
      <c r="L973" t="s">
        <v>31</v>
      </c>
      <c r="M973" t="s">
        <v>140</v>
      </c>
      <c r="N973">
        <v>8.1125095999999994E-2</v>
      </c>
      <c r="O973">
        <v>8.9116635E-2</v>
      </c>
      <c r="P973">
        <v>8.7835512000000004E-2</v>
      </c>
      <c r="Q973" t="str">
        <f t="shared" si="30"/>
        <v>35-49</v>
      </c>
      <c r="R973" t="str">
        <f t="shared" si="31"/>
        <v>[PekKUkKHAzY]|35-49|Female|HIV_PREV.T_1|CY2024Q3</v>
      </c>
    </row>
    <row r="974" spans="4:18" x14ac:dyDescent="0.2">
      <c r="D974" t="s">
        <v>93</v>
      </c>
      <c r="E974" t="s">
        <v>94</v>
      </c>
      <c r="F974" t="s">
        <v>95</v>
      </c>
      <c r="G974" t="s">
        <v>141</v>
      </c>
      <c r="H974" t="s">
        <v>142</v>
      </c>
      <c r="I974" t="s">
        <v>45</v>
      </c>
      <c r="J974" t="s">
        <v>46</v>
      </c>
      <c r="K974" t="s">
        <v>30</v>
      </c>
      <c r="L974" t="s">
        <v>31</v>
      </c>
      <c r="M974" t="s">
        <v>140</v>
      </c>
      <c r="N974">
        <v>6.2821189E-2</v>
      </c>
      <c r="O974">
        <v>9.6411539000000004E-2</v>
      </c>
      <c r="P974">
        <v>8.7835512000000004E-2</v>
      </c>
      <c r="Q974" t="str">
        <f t="shared" si="30"/>
        <v>50+</v>
      </c>
      <c r="R974" t="str">
        <f t="shared" si="31"/>
        <v>[PekKUkKHAzY]|50+|Female|HIV_PREV.T_1|CY2024Q3</v>
      </c>
    </row>
    <row r="975" spans="4:18" x14ac:dyDescent="0.2">
      <c r="D975" t="s">
        <v>93</v>
      </c>
      <c r="E975" t="s">
        <v>94</v>
      </c>
      <c r="F975" t="s">
        <v>95</v>
      </c>
      <c r="G975" t="s">
        <v>141</v>
      </c>
      <c r="H975" t="s">
        <v>142</v>
      </c>
      <c r="I975" t="s">
        <v>28</v>
      </c>
      <c r="J975" t="s">
        <v>29</v>
      </c>
      <c r="K975" t="s">
        <v>48</v>
      </c>
      <c r="L975" t="s">
        <v>49</v>
      </c>
      <c r="M975" t="s">
        <v>140</v>
      </c>
      <c r="N975">
        <v>7.3908299999999997E-4</v>
      </c>
      <c r="O975">
        <v>9.4805981999999997E-2</v>
      </c>
      <c r="P975">
        <v>8.7835512000000004E-2</v>
      </c>
      <c r="Q975" t="str">
        <f t="shared" si="30"/>
        <v>&lt;01</v>
      </c>
      <c r="R975" t="str">
        <f t="shared" si="31"/>
        <v>[PekKUkKHAzY]|&lt;01|Male|HIV_PREV.T_1|CY2024Q3</v>
      </c>
    </row>
    <row r="976" spans="4:18" x14ac:dyDescent="0.2">
      <c r="D976" t="s">
        <v>93</v>
      </c>
      <c r="E976" t="s">
        <v>94</v>
      </c>
      <c r="F976" t="s">
        <v>95</v>
      </c>
      <c r="G976" t="s">
        <v>141</v>
      </c>
      <c r="H976" t="s">
        <v>142</v>
      </c>
      <c r="I976" t="s">
        <v>33</v>
      </c>
      <c r="J976" t="s">
        <v>34</v>
      </c>
      <c r="K976" t="s">
        <v>48</v>
      </c>
      <c r="L976" t="s">
        <v>49</v>
      </c>
      <c r="M976" t="s">
        <v>140</v>
      </c>
      <c r="N976">
        <v>1.698698E-3</v>
      </c>
      <c r="O976">
        <v>0.102724748</v>
      </c>
      <c r="P976">
        <v>8.7835512000000004E-2</v>
      </c>
      <c r="Q976" t="str">
        <f t="shared" si="30"/>
        <v>01-09</v>
      </c>
      <c r="R976" t="str">
        <f t="shared" si="31"/>
        <v>[PekKUkKHAzY]|01-09|Male|HIV_PREV.T_1|CY2024Q3</v>
      </c>
    </row>
    <row r="977" spans="4:18" x14ac:dyDescent="0.2">
      <c r="D977" t="s">
        <v>93</v>
      </c>
      <c r="E977" t="s">
        <v>94</v>
      </c>
      <c r="F977" t="s">
        <v>95</v>
      </c>
      <c r="G977" t="s">
        <v>141</v>
      </c>
      <c r="H977" t="s">
        <v>142</v>
      </c>
      <c r="I977" t="s">
        <v>36</v>
      </c>
      <c r="J977" t="s">
        <v>37</v>
      </c>
      <c r="K977" t="s">
        <v>48</v>
      </c>
      <c r="L977" t="s">
        <v>49</v>
      </c>
      <c r="M977" t="s">
        <v>140</v>
      </c>
      <c r="N977">
        <v>4.0218850000000002E-3</v>
      </c>
      <c r="O977">
        <v>0.113139828</v>
      </c>
      <c r="P977">
        <v>8.7835512000000004E-2</v>
      </c>
      <c r="Q977" t="str">
        <f t="shared" si="30"/>
        <v>10-14</v>
      </c>
      <c r="R977" t="str">
        <f t="shared" si="31"/>
        <v>[PekKUkKHAzY]|10-14|Male|HIV_PREV.T_1|CY2024Q3</v>
      </c>
    </row>
    <row r="978" spans="4:18" x14ac:dyDescent="0.2">
      <c r="D978" t="s">
        <v>93</v>
      </c>
      <c r="E978" t="s">
        <v>94</v>
      </c>
      <c r="F978" t="s">
        <v>95</v>
      </c>
      <c r="G978" t="s">
        <v>141</v>
      </c>
      <c r="H978" t="s">
        <v>142</v>
      </c>
      <c r="I978" t="s">
        <v>38</v>
      </c>
      <c r="J978" t="s">
        <v>39</v>
      </c>
      <c r="K978" t="s">
        <v>48</v>
      </c>
      <c r="L978" t="s">
        <v>49</v>
      </c>
      <c r="M978" t="s">
        <v>140</v>
      </c>
      <c r="N978">
        <v>6.3021750000000001E-3</v>
      </c>
      <c r="O978">
        <v>0.114974177</v>
      </c>
      <c r="P978">
        <v>8.7835512000000004E-2</v>
      </c>
      <c r="Q978" t="str">
        <f t="shared" si="30"/>
        <v>15-24</v>
      </c>
      <c r="R978" t="str">
        <f t="shared" si="31"/>
        <v>[PekKUkKHAzY]|15-24|Male|HIV_PREV.T_1|CY2024Q3</v>
      </c>
    </row>
    <row r="979" spans="4:18" x14ac:dyDescent="0.2">
      <c r="D979" t="s">
        <v>93</v>
      </c>
      <c r="E979" t="s">
        <v>94</v>
      </c>
      <c r="F979" t="s">
        <v>95</v>
      </c>
      <c r="G979" t="s">
        <v>141</v>
      </c>
      <c r="H979" t="s">
        <v>142</v>
      </c>
      <c r="I979" t="s">
        <v>41</v>
      </c>
      <c r="J979" t="s">
        <v>42</v>
      </c>
      <c r="K979" t="s">
        <v>48</v>
      </c>
      <c r="L979" t="s">
        <v>49</v>
      </c>
      <c r="M979" t="s">
        <v>140</v>
      </c>
      <c r="N979">
        <v>1.2673461E-2</v>
      </c>
      <c r="O979">
        <v>0.112477216</v>
      </c>
      <c r="P979">
        <v>8.7835512000000004E-2</v>
      </c>
      <c r="Q979" t="str">
        <f t="shared" si="30"/>
        <v>25-34</v>
      </c>
      <c r="R979" t="str">
        <f t="shared" si="31"/>
        <v>[PekKUkKHAzY]|25-34|Male|HIV_PREV.T_1|CY2024Q3</v>
      </c>
    </row>
    <row r="980" spans="4:18" x14ac:dyDescent="0.2">
      <c r="D980" t="s">
        <v>93</v>
      </c>
      <c r="E980" t="s">
        <v>94</v>
      </c>
      <c r="F980" t="s">
        <v>95</v>
      </c>
      <c r="G980" t="s">
        <v>141</v>
      </c>
      <c r="H980" t="s">
        <v>142</v>
      </c>
      <c r="I980" t="s">
        <v>43</v>
      </c>
      <c r="J980" t="s">
        <v>44</v>
      </c>
      <c r="K980" t="s">
        <v>48</v>
      </c>
      <c r="L980" t="s">
        <v>49</v>
      </c>
      <c r="M980" t="s">
        <v>140</v>
      </c>
      <c r="N980">
        <v>5.2059382000000001E-2</v>
      </c>
      <c r="O980">
        <v>9.0610715999999994E-2</v>
      </c>
      <c r="P980">
        <v>8.7835512000000004E-2</v>
      </c>
      <c r="Q980" t="str">
        <f t="shared" si="30"/>
        <v>35-49</v>
      </c>
      <c r="R980" t="str">
        <f t="shared" si="31"/>
        <v>[PekKUkKHAzY]|35-49|Male|HIV_PREV.T_1|CY2024Q3</v>
      </c>
    </row>
    <row r="981" spans="4:18" x14ac:dyDescent="0.2">
      <c r="D981" t="s">
        <v>93</v>
      </c>
      <c r="E981" t="s">
        <v>94</v>
      </c>
      <c r="F981" t="s">
        <v>95</v>
      </c>
      <c r="G981" t="s">
        <v>141</v>
      </c>
      <c r="H981" t="s">
        <v>142</v>
      </c>
      <c r="I981" t="s">
        <v>45</v>
      </c>
      <c r="J981" t="s">
        <v>46</v>
      </c>
      <c r="K981" t="s">
        <v>48</v>
      </c>
      <c r="L981" t="s">
        <v>49</v>
      </c>
      <c r="M981" t="s">
        <v>140</v>
      </c>
      <c r="N981">
        <v>7.3155392999999999E-2</v>
      </c>
      <c r="O981">
        <v>9.0009169E-2</v>
      </c>
      <c r="P981">
        <v>8.7835512000000004E-2</v>
      </c>
      <c r="Q981" t="str">
        <f t="shared" si="30"/>
        <v>50+</v>
      </c>
      <c r="R981" t="str">
        <f t="shared" si="31"/>
        <v>[PekKUkKHAzY]|50+|Male|HIV_PREV.T_1|CY2024Q3</v>
      </c>
    </row>
    <row r="982" spans="4:18" x14ac:dyDescent="0.2">
      <c r="D982" t="s">
        <v>96</v>
      </c>
      <c r="E982" t="s">
        <v>97</v>
      </c>
      <c r="F982" t="s">
        <v>98</v>
      </c>
      <c r="G982" t="s">
        <v>141</v>
      </c>
      <c r="H982" t="s">
        <v>142</v>
      </c>
      <c r="I982" t="s">
        <v>28</v>
      </c>
      <c r="J982" t="s">
        <v>29</v>
      </c>
      <c r="K982" t="s">
        <v>30</v>
      </c>
      <c r="L982" t="s">
        <v>31</v>
      </c>
      <c r="M982" t="s">
        <v>140</v>
      </c>
      <c r="N982">
        <v>1.3030629999999999E-3</v>
      </c>
      <c r="O982">
        <v>8.2776753999999994E-2</v>
      </c>
      <c r="P982">
        <v>7.6824075000000006E-2</v>
      </c>
      <c r="Q982" t="str">
        <f t="shared" si="30"/>
        <v>&lt;01</v>
      </c>
      <c r="R982" t="str">
        <f t="shared" si="31"/>
        <v>[am530wpaGvr]|&lt;01|Female|HIV_PREV.T_1|CY2024Q3</v>
      </c>
    </row>
    <row r="983" spans="4:18" x14ac:dyDescent="0.2">
      <c r="D983" t="s">
        <v>96</v>
      </c>
      <c r="E983" t="s">
        <v>97</v>
      </c>
      <c r="F983" t="s">
        <v>98</v>
      </c>
      <c r="G983" t="s">
        <v>141</v>
      </c>
      <c r="H983" t="s">
        <v>142</v>
      </c>
      <c r="I983" t="s">
        <v>33</v>
      </c>
      <c r="J983" t="s">
        <v>34</v>
      </c>
      <c r="K983" t="s">
        <v>30</v>
      </c>
      <c r="L983" t="s">
        <v>31</v>
      </c>
      <c r="M983" t="s">
        <v>140</v>
      </c>
      <c r="N983">
        <v>3.0261590000000001E-3</v>
      </c>
      <c r="O983">
        <v>8.8086948999999998E-2</v>
      </c>
      <c r="P983">
        <v>7.6824075000000006E-2</v>
      </c>
      <c r="Q983" t="str">
        <f t="shared" si="30"/>
        <v>01-09</v>
      </c>
      <c r="R983" t="str">
        <f t="shared" si="31"/>
        <v>[am530wpaGvr]|01-09|Female|HIV_PREV.T_1|CY2024Q3</v>
      </c>
    </row>
    <row r="984" spans="4:18" x14ac:dyDescent="0.2">
      <c r="D984" t="s">
        <v>96</v>
      </c>
      <c r="E984" t="s">
        <v>97</v>
      </c>
      <c r="F984" t="s">
        <v>98</v>
      </c>
      <c r="G984" t="s">
        <v>141</v>
      </c>
      <c r="H984" t="s">
        <v>142</v>
      </c>
      <c r="I984" t="s">
        <v>36</v>
      </c>
      <c r="J984" t="s">
        <v>37</v>
      </c>
      <c r="K984" t="s">
        <v>30</v>
      </c>
      <c r="L984" t="s">
        <v>31</v>
      </c>
      <c r="M984" t="s">
        <v>140</v>
      </c>
      <c r="N984">
        <v>7.1284089999999996E-3</v>
      </c>
      <c r="O984">
        <v>9.5037096000000001E-2</v>
      </c>
      <c r="P984">
        <v>7.6824075000000006E-2</v>
      </c>
      <c r="Q984" t="str">
        <f t="shared" si="30"/>
        <v>10-14</v>
      </c>
      <c r="R984" t="str">
        <f t="shared" si="31"/>
        <v>[am530wpaGvr]|10-14|Female|HIV_PREV.T_1|CY2024Q3</v>
      </c>
    </row>
    <row r="985" spans="4:18" x14ac:dyDescent="0.2">
      <c r="D985" t="s">
        <v>96</v>
      </c>
      <c r="E985" t="s">
        <v>97</v>
      </c>
      <c r="F985" t="s">
        <v>98</v>
      </c>
      <c r="G985" t="s">
        <v>141</v>
      </c>
      <c r="H985" t="s">
        <v>142</v>
      </c>
      <c r="I985" t="s">
        <v>38</v>
      </c>
      <c r="J985" t="s">
        <v>39</v>
      </c>
      <c r="K985" t="s">
        <v>30</v>
      </c>
      <c r="L985" t="s">
        <v>31</v>
      </c>
      <c r="M985" t="s">
        <v>140</v>
      </c>
      <c r="N985">
        <v>1.4988258000000001E-2</v>
      </c>
      <c r="O985">
        <v>0.10166672</v>
      </c>
      <c r="P985">
        <v>7.6824075000000006E-2</v>
      </c>
      <c r="Q985" t="str">
        <f t="shared" si="30"/>
        <v>15-24</v>
      </c>
      <c r="R985" t="str">
        <f t="shared" si="31"/>
        <v>[am530wpaGvr]|15-24|Female|HIV_PREV.T_1|CY2024Q3</v>
      </c>
    </row>
    <row r="986" spans="4:18" x14ac:dyDescent="0.2">
      <c r="D986" t="s">
        <v>96</v>
      </c>
      <c r="E986" t="s">
        <v>97</v>
      </c>
      <c r="F986" t="s">
        <v>98</v>
      </c>
      <c r="G986" t="s">
        <v>141</v>
      </c>
      <c r="H986" t="s">
        <v>142</v>
      </c>
      <c r="I986" t="s">
        <v>41</v>
      </c>
      <c r="J986" t="s">
        <v>42</v>
      </c>
      <c r="K986" t="s">
        <v>30</v>
      </c>
      <c r="L986" t="s">
        <v>31</v>
      </c>
      <c r="M986" t="s">
        <v>140</v>
      </c>
      <c r="N986">
        <v>5.5089781999999997E-2</v>
      </c>
      <c r="O986">
        <v>9.2681421E-2</v>
      </c>
      <c r="P986">
        <v>7.6824075000000006E-2</v>
      </c>
      <c r="Q986" t="str">
        <f t="shared" si="30"/>
        <v>25-34</v>
      </c>
      <c r="R986" t="str">
        <f t="shared" si="31"/>
        <v>[am530wpaGvr]|25-34|Female|HIV_PREV.T_1|CY2024Q3</v>
      </c>
    </row>
    <row r="987" spans="4:18" x14ac:dyDescent="0.2">
      <c r="D987" t="s">
        <v>96</v>
      </c>
      <c r="E987" t="s">
        <v>97</v>
      </c>
      <c r="F987" t="s">
        <v>98</v>
      </c>
      <c r="G987" t="s">
        <v>141</v>
      </c>
      <c r="H987" t="s">
        <v>142</v>
      </c>
      <c r="I987" t="s">
        <v>43</v>
      </c>
      <c r="J987" t="s">
        <v>44</v>
      </c>
      <c r="K987" t="s">
        <v>30</v>
      </c>
      <c r="L987" t="s">
        <v>31</v>
      </c>
      <c r="M987" t="s">
        <v>140</v>
      </c>
      <c r="N987">
        <v>0.14027089600000001</v>
      </c>
      <c r="O987">
        <v>7.8143085000000001E-2</v>
      </c>
      <c r="P987">
        <v>7.6824075000000006E-2</v>
      </c>
      <c r="Q987" t="str">
        <f t="shared" si="30"/>
        <v>35-49</v>
      </c>
      <c r="R987" t="str">
        <f t="shared" si="31"/>
        <v>[am530wpaGvr]|35-49|Female|HIV_PREV.T_1|CY2024Q3</v>
      </c>
    </row>
    <row r="988" spans="4:18" x14ac:dyDescent="0.2">
      <c r="D988" t="s">
        <v>96</v>
      </c>
      <c r="E988" t="s">
        <v>97</v>
      </c>
      <c r="F988" t="s">
        <v>98</v>
      </c>
      <c r="G988" t="s">
        <v>141</v>
      </c>
      <c r="H988" t="s">
        <v>142</v>
      </c>
      <c r="I988" t="s">
        <v>45</v>
      </c>
      <c r="J988" t="s">
        <v>46</v>
      </c>
      <c r="K988" t="s">
        <v>30</v>
      </c>
      <c r="L988" t="s">
        <v>31</v>
      </c>
      <c r="M988" t="s">
        <v>140</v>
      </c>
      <c r="N988">
        <v>0.105358067</v>
      </c>
      <c r="O988">
        <v>8.6155317999999995E-2</v>
      </c>
      <c r="P988">
        <v>7.6824075000000006E-2</v>
      </c>
      <c r="Q988" t="str">
        <f t="shared" si="30"/>
        <v>50+</v>
      </c>
      <c r="R988" t="str">
        <f t="shared" si="31"/>
        <v>[am530wpaGvr]|50+|Female|HIV_PREV.T_1|CY2024Q3</v>
      </c>
    </row>
    <row r="989" spans="4:18" x14ac:dyDescent="0.2">
      <c r="D989" t="s">
        <v>96</v>
      </c>
      <c r="E989" t="s">
        <v>97</v>
      </c>
      <c r="F989" t="s">
        <v>98</v>
      </c>
      <c r="G989" t="s">
        <v>141</v>
      </c>
      <c r="H989" t="s">
        <v>142</v>
      </c>
      <c r="I989" t="s">
        <v>28</v>
      </c>
      <c r="J989" t="s">
        <v>29</v>
      </c>
      <c r="K989" t="s">
        <v>48</v>
      </c>
      <c r="L989" t="s">
        <v>49</v>
      </c>
      <c r="M989" t="s">
        <v>140</v>
      </c>
      <c r="N989">
        <v>1.2762579999999999E-3</v>
      </c>
      <c r="O989">
        <v>8.2846243999999999E-2</v>
      </c>
      <c r="P989">
        <v>7.6824075000000006E-2</v>
      </c>
      <c r="Q989" t="str">
        <f t="shared" si="30"/>
        <v>&lt;01</v>
      </c>
      <c r="R989" t="str">
        <f t="shared" si="31"/>
        <v>[am530wpaGvr]|&lt;01|Male|HIV_PREV.T_1|CY2024Q3</v>
      </c>
    </row>
    <row r="990" spans="4:18" x14ac:dyDescent="0.2">
      <c r="D990" t="s">
        <v>96</v>
      </c>
      <c r="E990" t="s">
        <v>97</v>
      </c>
      <c r="F990" t="s">
        <v>98</v>
      </c>
      <c r="G990" t="s">
        <v>141</v>
      </c>
      <c r="H990" t="s">
        <v>142</v>
      </c>
      <c r="I990" t="s">
        <v>33</v>
      </c>
      <c r="J990" t="s">
        <v>34</v>
      </c>
      <c r="K990" t="s">
        <v>48</v>
      </c>
      <c r="L990" t="s">
        <v>49</v>
      </c>
      <c r="M990" t="s">
        <v>140</v>
      </c>
      <c r="N990">
        <v>2.981835E-3</v>
      </c>
      <c r="O990">
        <v>8.8135980000000003E-2</v>
      </c>
      <c r="P990">
        <v>7.6824075000000006E-2</v>
      </c>
      <c r="Q990" t="str">
        <f t="shared" si="30"/>
        <v>01-09</v>
      </c>
      <c r="R990" t="str">
        <f t="shared" si="31"/>
        <v>[am530wpaGvr]|01-09|Male|HIV_PREV.T_1|CY2024Q3</v>
      </c>
    </row>
    <row r="991" spans="4:18" x14ac:dyDescent="0.2">
      <c r="D991" t="s">
        <v>96</v>
      </c>
      <c r="E991" t="s">
        <v>97</v>
      </c>
      <c r="F991" t="s">
        <v>98</v>
      </c>
      <c r="G991" t="s">
        <v>141</v>
      </c>
      <c r="H991" t="s">
        <v>142</v>
      </c>
      <c r="I991" t="s">
        <v>36</v>
      </c>
      <c r="J991" t="s">
        <v>37</v>
      </c>
      <c r="K991" t="s">
        <v>48</v>
      </c>
      <c r="L991" t="s">
        <v>49</v>
      </c>
      <c r="M991" t="s">
        <v>140</v>
      </c>
      <c r="N991">
        <v>7.0572839999999996E-3</v>
      </c>
      <c r="O991">
        <v>9.5037653E-2</v>
      </c>
      <c r="P991">
        <v>7.6824075000000006E-2</v>
      </c>
      <c r="Q991" t="str">
        <f t="shared" si="30"/>
        <v>10-14</v>
      </c>
      <c r="R991" t="str">
        <f t="shared" si="31"/>
        <v>[am530wpaGvr]|10-14|Male|HIV_PREV.T_1|CY2024Q3</v>
      </c>
    </row>
    <row r="992" spans="4:18" x14ac:dyDescent="0.2">
      <c r="D992" t="s">
        <v>96</v>
      </c>
      <c r="E992" t="s">
        <v>97</v>
      </c>
      <c r="F992" t="s">
        <v>98</v>
      </c>
      <c r="G992" t="s">
        <v>141</v>
      </c>
      <c r="H992" t="s">
        <v>142</v>
      </c>
      <c r="I992" t="s">
        <v>38</v>
      </c>
      <c r="J992" t="s">
        <v>39</v>
      </c>
      <c r="K992" t="s">
        <v>48</v>
      </c>
      <c r="L992" t="s">
        <v>49</v>
      </c>
      <c r="M992" t="s">
        <v>140</v>
      </c>
      <c r="N992">
        <v>1.0605262000000001E-2</v>
      </c>
      <c r="O992">
        <v>0.10644759299999999</v>
      </c>
      <c r="P992">
        <v>7.6824075000000006E-2</v>
      </c>
      <c r="Q992" t="str">
        <f t="shared" si="30"/>
        <v>15-24</v>
      </c>
      <c r="R992" t="str">
        <f t="shared" si="31"/>
        <v>[am530wpaGvr]|15-24|Male|HIV_PREV.T_1|CY2024Q3</v>
      </c>
    </row>
    <row r="993" spans="4:18" x14ac:dyDescent="0.2">
      <c r="D993" t="s">
        <v>96</v>
      </c>
      <c r="E993" t="s">
        <v>97</v>
      </c>
      <c r="F993" t="s">
        <v>98</v>
      </c>
      <c r="G993" t="s">
        <v>141</v>
      </c>
      <c r="H993" t="s">
        <v>142</v>
      </c>
      <c r="I993" t="s">
        <v>41</v>
      </c>
      <c r="J993" t="s">
        <v>42</v>
      </c>
      <c r="K993" t="s">
        <v>48</v>
      </c>
      <c r="L993" t="s">
        <v>49</v>
      </c>
      <c r="M993" t="s">
        <v>140</v>
      </c>
      <c r="N993">
        <v>2.1278411000000001E-2</v>
      </c>
      <c r="O993">
        <v>0.10647071800000001</v>
      </c>
      <c r="P993">
        <v>7.6824075000000006E-2</v>
      </c>
      <c r="Q993" t="str">
        <f t="shared" si="30"/>
        <v>25-34</v>
      </c>
      <c r="R993" t="str">
        <f t="shared" si="31"/>
        <v>[am530wpaGvr]|25-34|Male|HIV_PREV.T_1|CY2024Q3</v>
      </c>
    </row>
    <row r="994" spans="4:18" x14ac:dyDescent="0.2">
      <c r="D994" t="s">
        <v>96</v>
      </c>
      <c r="E994" t="s">
        <v>97</v>
      </c>
      <c r="F994" t="s">
        <v>98</v>
      </c>
      <c r="G994" t="s">
        <v>141</v>
      </c>
      <c r="H994" t="s">
        <v>142</v>
      </c>
      <c r="I994" t="s">
        <v>43</v>
      </c>
      <c r="J994" t="s">
        <v>44</v>
      </c>
      <c r="K994" t="s">
        <v>48</v>
      </c>
      <c r="L994" t="s">
        <v>49</v>
      </c>
      <c r="M994" t="s">
        <v>140</v>
      </c>
      <c r="N994">
        <v>8.409266E-2</v>
      </c>
      <c r="O994">
        <v>7.9424501999999994E-2</v>
      </c>
      <c r="P994">
        <v>7.6824075000000006E-2</v>
      </c>
      <c r="Q994" t="str">
        <f t="shared" si="30"/>
        <v>35-49</v>
      </c>
      <c r="R994" t="str">
        <f t="shared" si="31"/>
        <v>[am530wpaGvr]|35-49|Male|HIV_PREV.T_1|CY2024Q3</v>
      </c>
    </row>
    <row r="995" spans="4:18" x14ac:dyDescent="0.2">
      <c r="D995" t="s">
        <v>96</v>
      </c>
      <c r="E995" t="s">
        <v>97</v>
      </c>
      <c r="F995" t="s">
        <v>98</v>
      </c>
      <c r="G995" t="s">
        <v>141</v>
      </c>
      <c r="H995" t="s">
        <v>142</v>
      </c>
      <c r="I995" t="s">
        <v>45</v>
      </c>
      <c r="J995" t="s">
        <v>46</v>
      </c>
      <c r="K995" t="s">
        <v>48</v>
      </c>
      <c r="L995" t="s">
        <v>49</v>
      </c>
      <c r="M995" t="s">
        <v>140</v>
      </c>
      <c r="N995">
        <v>0.11127217</v>
      </c>
      <c r="O995">
        <v>7.6999784000000002E-2</v>
      </c>
      <c r="P995">
        <v>7.6824075000000006E-2</v>
      </c>
      <c r="Q995" t="str">
        <f t="shared" si="30"/>
        <v>50+</v>
      </c>
      <c r="R995" t="str">
        <f t="shared" si="31"/>
        <v>[am530wpaGvr]|50+|Male|HIV_PREV.T_1|CY2024Q3</v>
      </c>
    </row>
    <row r="996" spans="4:18" x14ac:dyDescent="0.2">
      <c r="D996" t="s">
        <v>99</v>
      </c>
      <c r="E996" t="s">
        <v>100</v>
      </c>
      <c r="F996" t="s">
        <v>101</v>
      </c>
      <c r="G996" t="s">
        <v>141</v>
      </c>
      <c r="H996" t="s">
        <v>142</v>
      </c>
      <c r="I996" t="s">
        <v>28</v>
      </c>
      <c r="J996" t="s">
        <v>29</v>
      </c>
      <c r="K996" t="s">
        <v>30</v>
      </c>
      <c r="L996" t="s">
        <v>31</v>
      </c>
      <c r="M996" t="s">
        <v>140</v>
      </c>
      <c r="N996">
        <v>1.5362710000000001E-3</v>
      </c>
      <c r="O996">
        <v>5.0841849000000001E-2</v>
      </c>
      <c r="P996">
        <v>4.4418289999999999E-2</v>
      </c>
      <c r="Q996" t="str">
        <f t="shared" si="30"/>
        <v>&lt;01</v>
      </c>
      <c r="R996" t="str">
        <f t="shared" si="31"/>
        <v>[lLDyBx5XyUi]|&lt;01|Female|HIV_PREV.T_1|CY2024Q3</v>
      </c>
    </row>
    <row r="997" spans="4:18" x14ac:dyDescent="0.2">
      <c r="D997" t="s">
        <v>99</v>
      </c>
      <c r="E997" t="s">
        <v>100</v>
      </c>
      <c r="F997" t="s">
        <v>101</v>
      </c>
      <c r="G997" t="s">
        <v>141</v>
      </c>
      <c r="H997" t="s">
        <v>142</v>
      </c>
      <c r="I997" t="s">
        <v>33</v>
      </c>
      <c r="J997" t="s">
        <v>34</v>
      </c>
      <c r="K997" t="s">
        <v>30</v>
      </c>
      <c r="L997" t="s">
        <v>31</v>
      </c>
      <c r="M997" t="s">
        <v>140</v>
      </c>
      <c r="N997">
        <v>4.1342729999999999E-3</v>
      </c>
      <c r="O997">
        <v>5.6744708999999997E-2</v>
      </c>
      <c r="P997">
        <v>4.4418289999999999E-2</v>
      </c>
      <c r="Q997" t="str">
        <f t="shared" si="30"/>
        <v>01-09</v>
      </c>
      <c r="R997" t="str">
        <f t="shared" si="31"/>
        <v>[lLDyBx5XyUi]|01-09|Female|HIV_PREV.T_1|CY2024Q3</v>
      </c>
    </row>
    <row r="998" spans="4:18" x14ac:dyDescent="0.2">
      <c r="D998" t="s">
        <v>99</v>
      </c>
      <c r="E998" t="s">
        <v>100</v>
      </c>
      <c r="F998" t="s">
        <v>101</v>
      </c>
      <c r="G998" t="s">
        <v>141</v>
      </c>
      <c r="H998" t="s">
        <v>142</v>
      </c>
      <c r="I998" t="s">
        <v>36</v>
      </c>
      <c r="J998" t="s">
        <v>37</v>
      </c>
      <c r="K998" t="s">
        <v>30</v>
      </c>
      <c r="L998" t="s">
        <v>31</v>
      </c>
      <c r="M998" t="s">
        <v>140</v>
      </c>
      <c r="N998">
        <v>1.1669863000000001E-2</v>
      </c>
      <c r="O998">
        <v>6.4086250999999997E-2</v>
      </c>
      <c r="P998">
        <v>4.4418289999999999E-2</v>
      </c>
      <c r="Q998" t="str">
        <f t="shared" si="30"/>
        <v>10-14</v>
      </c>
      <c r="R998" t="str">
        <f t="shared" si="31"/>
        <v>[lLDyBx5XyUi]|10-14|Female|HIV_PREV.T_1|CY2024Q3</v>
      </c>
    </row>
    <row r="999" spans="4:18" x14ac:dyDescent="0.2">
      <c r="D999" t="s">
        <v>99</v>
      </c>
      <c r="E999" t="s">
        <v>100</v>
      </c>
      <c r="F999" t="s">
        <v>101</v>
      </c>
      <c r="G999" t="s">
        <v>141</v>
      </c>
      <c r="H999" t="s">
        <v>142</v>
      </c>
      <c r="I999" t="s">
        <v>38</v>
      </c>
      <c r="J999" t="s">
        <v>39</v>
      </c>
      <c r="K999" t="s">
        <v>30</v>
      </c>
      <c r="L999" t="s">
        <v>31</v>
      </c>
      <c r="M999" t="s">
        <v>140</v>
      </c>
      <c r="N999">
        <v>2.2151093E-2</v>
      </c>
      <c r="O999">
        <v>8.0911288999999997E-2</v>
      </c>
      <c r="P999">
        <v>4.4418289999999999E-2</v>
      </c>
      <c r="Q999" t="str">
        <f t="shared" si="30"/>
        <v>15-24</v>
      </c>
      <c r="R999" t="str">
        <f t="shared" si="31"/>
        <v>[lLDyBx5XyUi]|15-24|Female|HIV_PREV.T_1|CY2024Q3</v>
      </c>
    </row>
    <row r="1000" spans="4:18" x14ac:dyDescent="0.2">
      <c r="D1000" t="s">
        <v>99</v>
      </c>
      <c r="E1000" t="s">
        <v>100</v>
      </c>
      <c r="F1000" t="s">
        <v>101</v>
      </c>
      <c r="G1000" t="s">
        <v>141</v>
      </c>
      <c r="H1000" t="s">
        <v>142</v>
      </c>
      <c r="I1000" t="s">
        <v>41</v>
      </c>
      <c r="J1000" t="s">
        <v>42</v>
      </c>
      <c r="K1000" t="s">
        <v>30</v>
      </c>
      <c r="L1000" t="s">
        <v>31</v>
      </c>
      <c r="M1000" t="s">
        <v>140</v>
      </c>
      <c r="N1000">
        <v>8.2788924E-2</v>
      </c>
      <c r="O1000">
        <v>5.8899401999999997E-2</v>
      </c>
      <c r="P1000">
        <v>4.4418289999999999E-2</v>
      </c>
      <c r="Q1000" t="str">
        <f t="shared" si="30"/>
        <v>25-34</v>
      </c>
      <c r="R1000" t="str">
        <f t="shared" si="31"/>
        <v>[lLDyBx5XyUi]|25-34|Female|HIV_PREV.T_1|CY2024Q3</v>
      </c>
    </row>
    <row r="1001" spans="4:18" x14ac:dyDescent="0.2">
      <c r="D1001" t="s">
        <v>99</v>
      </c>
      <c r="E1001" t="s">
        <v>100</v>
      </c>
      <c r="F1001" t="s">
        <v>101</v>
      </c>
      <c r="G1001" t="s">
        <v>141</v>
      </c>
      <c r="H1001" t="s">
        <v>142</v>
      </c>
      <c r="I1001" t="s">
        <v>43</v>
      </c>
      <c r="J1001" t="s">
        <v>44</v>
      </c>
      <c r="K1001" t="s">
        <v>30</v>
      </c>
      <c r="L1001" t="s">
        <v>31</v>
      </c>
      <c r="M1001" t="s">
        <v>140</v>
      </c>
      <c r="N1001">
        <v>0.205594411</v>
      </c>
      <c r="O1001">
        <v>4.5668427999999997E-2</v>
      </c>
      <c r="P1001">
        <v>4.4418289999999999E-2</v>
      </c>
      <c r="Q1001" t="str">
        <f t="shared" si="30"/>
        <v>35-49</v>
      </c>
      <c r="R1001" t="str">
        <f t="shared" si="31"/>
        <v>[lLDyBx5XyUi]|35-49|Female|HIV_PREV.T_1|CY2024Q3</v>
      </c>
    </row>
    <row r="1002" spans="4:18" x14ac:dyDescent="0.2">
      <c r="D1002" t="s">
        <v>99</v>
      </c>
      <c r="E1002" t="s">
        <v>100</v>
      </c>
      <c r="F1002" t="s">
        <v>101</v>
      </c>
      <c r="G1002" t="s">
        <v>141</v>
      </c>
      <c r="H1002" t="s">
        <v>142</v>
      </c>
      <c r="I1002" t="s">
        <v>45</v>
      </c>
      <c r="J1002" t="s">
        <v>46</v>
      </c>
      <c r="K1002" t="s">
        <v>30</v>
      </c>
      <c r="L1002" t="s">
        <v>31</v>
      </c>
      <c r="M1002" t="s">
        <v>140</v>
      </c>
      <c r="N1002">
        <v>0.162826216</v>
      </c>
      <c r="O1002">
        <v>5.4269036999999999E-2</v>
      </c>
      <c r="P1002">
        <v>4.4418289999999999E-2</v>
      </c>
      <c r="Q1002" t="str">
        <f t="shared" si="30"/>
        <v>50+</v>
      </c>
      <c r="R1002" t="str">
        <f t="shared" si="31"/>
        <v>[lLDyBx5XyUi]|50+|Female|HIV_PREV.T_1|CY2024Q3</v>
      </c>
    </row>
    <row r="1003" spans="4:18" x14ac:dyDescent="0.2">
      <c r="D1003" t="s">
        <v>99</v>
      </c>
      <c r="E1003" t="s">
        <v>100</v>
      </c>
      <c r="F1003" t="s">
        <v>101</v>
      </c>
      <c r="G1003" t="s">
        <v>141</v>
      </c>
      <c r="H1003" t="s">
        <v>142</v>
      </c>
      <c r="I1003" t="s">
        <v>28</v>
      </c>
      <c r="J1003" t="s">
        <v>29</v>
      </c>
      <c r="K1003" t="s">
        <v>48</v>
      </c>
      <c r="L1003" t="s">
        <v>49</v>
      </c>
      <c r="M1003" t="s">
        <v>140</v>
      </c>
      <c r="N1003">
        <v>1.55123E-3</v>
      </c>
      <c r="O1003">
        <v>5.0820689000000002E-2</v>
      </c>
      <c r="P1003">
        <v>4.4418289999999999E-2</v>
      </c>
      <c r="Q1003" t="str">
        <f t="shared" si="30"/>
        <v>&lt;01</v>
      </c>
      <c r="R1003" t="str">
        <f t="shared" si="31"/>
        <v>[lLDyBx5XyUi]|&lt;01|Male|HIV_PREV.T_1|CY2024Q3</v>
      </c>
    </row>
    <row r="1004" spans="4:18" x14ac:dyDescent="0.2">
      <c r="D1004" t="s">
        <v>99</v>
      </c>
      <c r="E1004" t="s">
        <v>100</v>
      </c>
      <c r="F1004" t="s">
        <v>101</v>
      </c>
      <c r="G1004" t="s">
        <v>141</v>
      </c>
      <c r="H1004" t="s">
        <v>142</v>
      </c>
      <c r="I1004" t="s">
        <v>33</v>
      </c>
      <c r="J1004" t="s">
        <v>34</v>
      </c>
      <c r="K1004" t="s">
        <v>48</v>
      </c>
      <c r="L1004" t="s">
        <v>49</v>
      </c>
      <c r="M1004" t="s">
        <v>140</v>
      </c>
      <c r="N1004">
        <v>4.1542360000000004E-3</v>
      </c>
      <c r="O1004">
        <v>5.6734334999999997E-2</v>
      </c>
      <c r="P1004">
        <v>4.4418289999999999E-2</v>
      </c>
      <c r="Q1004" t="str">
        <f t="shared" si="30"/>
        <v>01-09</v>
      </c>
      <c r="R1004" t="str">
        <f t="shared" si="31"/>
        <v>[lLDyBx5XyUi]|01-09|Male|HIV_PREV.T_1|CY2024Q3</v>
      </c>
    </row>
    <row r="1005" spans="4:18" x14ac:dyDescent="0.2">
      <c r="D1005" t="s">
        <v>99</v>
      </c>
      <c r="E1005" t="s">
        <v>100</v>
      </c>
      <c r="F1005" t="s">
        <v>101</v>
      </c>
      <c r="G1005" t="s">
        <v>141</v>
      </c>
      <c r="H1005" t="s">
        <v>142</v>
      </c>
      <c r="I1005" t="s">
        <v>36</v>
      </c>
      <c r="J1005" t="s">
        <v>37</v>
      </c>
      <c r="K1005" t="s">
        <v>48</v>
      </c>
      <c r="L1005" t="s">
        <v>49</v>
      </c>
      <c r="M1005" t="s">
        <v>140</v>
      </c>
      <c r="N1005">
        <v>1.1553025E-2</v>
      </c>
      <c r="O1005">
        <v>6.4086389999999993E-2</v>
      </c>
      <c r="P1005">
        <v>4.4418289999999999E-2</v>
      </c>
      <c r="Q1005" t="str">
        <f t="shared" si="30"/>
        <v>10-14</v>
      </c>
      <c r="R1005" t="str">
        <f t="shared" si="31"/>
        <v>[lLDyBx5XyUi]|10-14|Male|HIV_PREV.T_1|CY2024Q3</v>
      </c>
    </row>
    <row r="1006" spans="4:18" x14ac:dyDescent="0.2">
      <c r="D1006" t="s">
        <v>99</v>
      </c>
      <c r="E1006" t="s">
        <v>100</v>
      </c>
      <c r="F1006" t="s">
        <v>101</v>
      </c>
      <c r="G1006" t="s">
        <v>141</v>
      </c>
      <c r="H1006" t="s">
        <v>142</v>
      </c>
      <c r="I1006" t="s">
        <v>38</v>
      </c>
      <c r="J1006" t="s">
        <v>39</v>
      </c>
      <c r="K1006" t="s">
        <v>48</v>
      </c>
      <c r="L1006" t="s">
        <v>49</v>
      </c>
      <c r="M1006" t="s">
        <v>140</v>
      </c>
      <c r="N1006">
        <v>1.5937185999999999E-2</v>
      </c>
      <c r="O1006">
        <v>8.1893927000000005E-2</v>
      </c>
      <c r="P1006">
        <v>4.4418289999999999E-2</v>
      </c>
      <c r="Q1006" t="str">
        <f t="shared" si="30"/>
        <v>15-24</v>
      </c>
      <c r="R1006" t="str">
        <f t="shared" si="31"/>
        <v>[lLDyBx5XyUi]|15-24|Male|HIV_PREV.T_1|CY2024Q3</v>
      </c>
    </row>
    <row r="1007" spans="4:18" x14ac:dyDescent="0.2">
      <c r="D1007" t="s">
        <v>99</v>
      </c>
      <c r="E1007" t="s">
        <v>100</v>
      </c>
      <c r="F1007" t="s">
        <v>101</v>
      </c>
      <c r="G1007" t="s">
        <v>141</v>
      </c>
      <c r="H1007" t="s">
        <v>142</v>
      </c>
      <c r="I1007" t="s">
        <v>41</v>
      </c>
      <c r="J1007" t="s">
        <v>42</v>
      </c>
      <c r="K1007" t="s">
        <v>48</v>
      </c>
      <c r="L1007" t="s">
        <v>49</v>
      </c>
      <c r="M1007" t="s">
        <v>140</v>
      </c>
      <c r="N1007">
        <v>2.8876678999999999E-2</v>
      </c>
      <c r="O1007">
        <v>8.3677446000000003E-2</v>
      </c>
      <c r="P1007">
        <v>4.4418289999999999E-2</v>
      </c>
      <c r="Q1007" t="str">
        <f t="shared" si="30"/>
        <v>25-34</v>
      </c>
      <c r="R1007" t="str">
        <f t="shared" si="31"/>
        <v>[lLDyBx5XyUi]|25-34|Male|HIV_PREV.T_1|CY2024Q3</v>
      </c>
    </row>
    <row r="1008" spans="4:18" x14ac:dyDescent="0.2">
      <c r="D1008" t="s">
        <v>99</v>
      </c>
      <c r="E1008" t="s">
        <v>100</v>
      </c>
      <c r="F1008" t="s">
        <v>101</v>
      </c>
      <c r="G1008" t="s">
        <v>141</v>
      </c>
      <c r="H1008" t="s">
        <v>142</v>
      </c>
      <c r="I1008" t="s">
        <v>43</v>
      </c>
      <c r="J1008" t="s">
        <v>44</v>
      </c>
      <c r="K1008" t="s">
        <v>48</v>
      </c>
      <c r="L1008" t="s">
        <v>49</v>
      </c>
      <c r="M1008" t="s">
        <v>140</v>
      </c>
      <c r="N1008">
        <v>0.112868463</v>
      </c>
      <c r="O1008">
        <v>5.3042391000000001E-2</v>
      </c>
      <c r="P1008">
        <v>4.4418289999999999E-2</v>
      </c>
      <c r="Q1008" t="str">
        <f t="shared" si="30"/>
        <v>35-49</v>
      </c>
      <c r="R1008" t="str">
        <f t="shared" si="31"/>
        <v>[lLDyBx5XyUi]|35-49|Male|HIV_PREV.T_1|CY2024Q3</v>
      </c>
    </row>
    <row r="1009" spans="4:18" x14ac:dyDescent="0.2">
      <c r="D1009" t="s">
        <v>99</v>
      </c>
      <c r="E1009" t="s">
        <v>100</v>
      </c>
      <c r="F1009" t="s">
        <v>101</v>
      </c>
      <c r="G1009" t="s">
        <v>141</v>
      </c>
      <c r="H1009" t="s">
        <v>142</v>
      </c>
      <c r="I1009" t="s">
        <v>45</v>
      </c>
      <c r="J1009" t="s">
        <v>46</v>
      </c>
      <c r="K1009" t="s">
        <v>48</v>
      </c>
      <c r="L1009" t="s">
        <v>49</v>
      </c>
      <c r="M1009" t="s">
        <v>140</v>
      </c>
      <c r="N1009">
        <v>0.15258785599999999</v>
      </c>
      <c r="O1009">
        <v>5.2466147999999997E-2</v>
      </c>
      <c r="P1009">
        <v>4.4418289999999999E-2</v>
      </c>
      <c r="Q1009" t="str">
        <f t="shared" si="30"/>
        <v>50+</v>
      </c>
      <c r="R1009" t="str">
        <f t="shared" si="31"/>
        <v>[lLDyBx5XyUi]|50+|Male|HIV_PREV.T_1|CY2024Q3</v>
      </c>
    </row>
    <row r="1010" spans="4:18" x14ac:dyDescent="0.2">
      <c r="D1010" t="s">
        <v>102</v>
      </c>
      <c r="E1010" t="s">
        <v>103</v>
      </c>
      <c r="F1010" t="s">
        <v>104</v>
      </c>
      <c r="G1010" t="s">
        <v>141</v>
      </c>
      <c r="H1010" t="s">
        <v>142</v>
      </c>
      <c r="I1010" t="s">
        <v>28</v>
      </c>
      <c r="J1010" t="s">
        <v>29</v>
      </c>
      <c r="K1010" t="s">
        <v>30</v>
      </c>
      <c r="L1010" t="s">
        <v>31</v>
      </c>
      <c r="M1010" t="s">
        <v>140</v>
      </c>
      <c r="N1010">
        <v>1.1076180000000001E-3</v>
      </c>
      <c r="O1010">
        <v>7.1257558999999998E-2</v>
      </c>
      <c r="P1010">
        <v>6.5410377000000006E-2</v>
      </c>
      <c r="Q1010" t="str">
        <f t="shared" si="30"/>
        <v>&lt;01</v>
      </c>
      <c r="R1010" t="str">
        <f t="shared" si="31"/>
        <v>[TYnMSwzko3z]|&lt;01|Female|HIV_PREV.T_1|CY2024Q3</v>
      </c>
    </row>
    <row r="1011" spans="4:18" x14ac:dyDescent="0.2">
      <c r="D1011" t="s">
        <v>102</v>
      </c>
      <c r="E1011" t="s">
        <v>103</v>
      </c>
      <c r="F1011" t="s">
        <v>104</v>
      </c>
      <c r="G1011" t="s">
        <v>141</v>
      </c>
      <c r="H1011" t="s">
        <v>142</v>
      </c>
      <c r="I1011" t="s">
        <v>33</v>
      </c>
      <c r="J1011" t="s">
        <v>34</v>
      </c>
      <c r="K1011" t="s">
        <v>30</v>
      </c>
      <c r="L1011" t="s">
        <v>31</v>
      </c>
      <c r="M1011" t="s">
        <v>140</v>
      </c>
      <c r="N1011">
        <v>2.8410509999999998E-3</v>
      </c>
      <c r="O1011">
        <v>7.8680528999999999E-2</v>
      </c>
      <c r="P1011">
        <v>6.5410377000000006E-2</v>
      </c>
      <c r="Q1011" t="str">
        <f t="shared" si="30"/>
        <v>01-09</v>
      </c>
      <c r="R1011" t="str">
        <f t="shared" si="31"/>
        <v>[TYnMSwzko3z]|01-09|Female|HIV_PREV.T_1|CY2024Q3</v>
      </c>
    </row>
    <row r="1012" spans="4:18" x14ac:dyDescent="0.2">
      <c r="D1012" t="s">
        <v>102</v>
      </c>
      <c r="E1012" t="s">
        <v>103</v>
      </c>
      <c r="F1012" t="s">
        <v>104</v>
      </c>
      <c r="G1012" t="s">
        <v>141</v>
      </c>
      <c r="H1012" t="s">
        <v>142</v>
      </c>
      <c r="I1012" t="s">
        <v>36</v>
      </c>
      <c r="J1012" t="s">
        <v>37</v>
      </c>
      <c r="K1012" t="s">
        <v>30</v>
      </c>
      <c r="L1012" t="s">
        <v>31</v>
      </c>
      <c r="M1012" t="s">
        <v>140</v>
      </c>
      <c r="N1012">
        <v>7.9611460000000005E-3</v>
      </c>
      <c r="O1012">
        <v>8.8014669000000004E-2</v>
      </c>
      <c r="P1012">
        <v>6.5410377000000006E-2</v>
      </c>
      <c r="Q1012" t="str">
        <f t="shared" si="30"/>
        <v>10-14</v>
      </c>
      <c r="R1012" t="str">
        <f t="shared" si="31"/>
        <v>[TYnMSwzko3z]|10-14|Female|HIV_PREV.T_1|CY2024Q3</v>
      </c>
    </row>
    <row r="1013" spans="4:18" x14ac:dyDescent="0.2">
      <c r="D1013" t="s">
        <v>102</v>
      </c>
      <c r="E1013" t="s">
        <v>103</v>
      </c>
      <c r="F1013" t="s">
        <v>104</v>
      </c>
      <c r="G1013" t="s">
        <v>141</v>
      </c>
      <c r="H1013" t="s">
        <v>142</v>
      </c>
      <c r="I1013" t="s">
        <v>38</v>
      </c>
      <c r="J1013" t="s">
        <v>39</v>
      </c>
      <c r="K1013" t="s">
        <v>30</v>
      </c>
      <c r="L1013" t="s">
        <v>31</v>
      </c>
      <c r="M1013" t="s">
        <v>140</v>
      </c>
      <c r="N1013">
        <v>1.5920289000000001E-2</v>
      </c>
      <c r="O1013">
        <v>9.1720487000000003E-2</v>
      </c>
      <c r="P1013">
        <v>6.5410377000000006E-2</v>
      </c>
      <c r="Q1013" t="str">
        <f t="shared" si="30"/>
        <v>15-24</v>
      </c>
      <c r="R1013" t="str">
        <f t="shared" si="31"/>
        <v>[TYnMSwzko3z]|15-24|Female|HIV_PREV.T_1|CY2024Q3</v>
      </c>
    </row>
    <row r="1014" spans="4:18" x14ac:dyDescent="0.2">
      <c r="D1014" t="s">
        <v>102</v>
      </c>
      <c r="E1014" t="s">
        <v>103</v>
      </c>
      <c r="F1014" t="s">
        <v>104</v>
      </c>
      <c r="G1014" t="s">
        <v>141</v>
      </c>
      <c r="H1014" t="s">
        <v>142</v>
      </c>
      <c r="I1014" t="s">
        <v>41</v>
      </c>
      <c r="J1014" t="s">
        <v>42</v>
      </c>
      <c r="K1014" t="s">
        <v>30</v>
      </c>
      <c r="L1014" t="s">
        <v>31</v>
      </c>
      <c r="M1014" t="s">
        <v>140</v>
      </c>
      <c r="N1014">
        <v>5.8673555000000002E-2</v>
      </c>
      <c r="O1014">
        <v>7.7626819E-2</v>
      </c>
      <c r="P1014">
        <v>6.5410377000000006E-2</v>
      </c>
      <c r="Q1014" t="str">
        <f t="shared" si="30"/>
        <v>25-34</v>
      </c>
      <c r="R1014" t="str">
        <f t="shared" si="31"/>
        <v>[TYnMSwzko3z]|25-34|Female|HIV_PREV.T_1|CY2024Q3</v>
      </c>
    </row>
    <row r="1015" spans="4:18" x14ac:dyDescent="0.2">
      <c r="D1015" t="s">
        <v>102</v>
      </c>
      <c r="E1015" t="s">
        <v>103</v>
      </c>
      <c r="F1015" t="s">
        <v>104</v>
      </c>
      <c r="G1015" t="s">
        <v>141</v>
      </c>
      <c r="H1015" t="s">
        <v>142</v>
      </c>
      <c r="I1015" t="s">
        <v>43</v>
      </c>
      <c r="J1015" t="s">
        <v>44</v>
      </c>
      <c r="K1015" t="s">
        <v>30</v>
      </c>
      <c r="L1015" t="s">
        <v>31</v>
      </c>
      <c r="M1015" t="s">
        <v>140</v>
      </c>
      <c r="N1015">
        <v>0.151992774</v>
      </c>
      <c r="O1015">
        <v>6.5443993000000006E-2</v>
      </c>
      <c r="P1015">
        <v>6.5410377000000006E-2</v>
      </c>
      <c r="Q1015" t="str">
        <f t="shared" si="30"/>
        <v>35-49</v>
      </c>
      <c r="R1015" t="str">
        <f t="shared" si="31"/>
        <v>[TYnMSwzko3z]|35-49|Female|HIV_PREV.T_1|CY2024Q3</v>
      </c>
    </row>
    <row r="1016" spans="4:18" x14ac:dyDescent="0.2">
      <c r="D1016" t="s">
        <v>102</v>
      </c>
      <c r="E1016" t="s">
        <v>103</v>
      </c>
      <c r="F1016" t="s">
        <v>104</v>
      </c>
      <c r="G1016" t="s">
        <v>141</v>
      </c>
      <c r="H1016" t="s">
        <v>142</v>
      </c>
      <c r="I1016" t="s">
        <v>45</v>
      </c>
      <c r="J1016" t="s">
        <v>46</v>
      </c>
      <c r="K1016" t="s">
        <v>30</v>
      </c>
      <c r="L1016" t="s">
        <v>31</v>
      </c>
      <c r="M1016" t="s">
        <v>140</v>
      </c>
      <c r="N1016">
        <v>0.11824370100000001</v>
      </c>
      <c r="O1016">
        <v>7.3846310999999998E-2</v>
      </c>
      <c r="P1016">
        <v>6.5410377000000006E-2</v>
      </c>
      <c r="Q1016" t="str">
        <f t="shared" si="30"/>
        <v>50+</v>
      </c>
      <c r="R1016" t="str">
        <f t="shared" si="31"/>
        <v>[TYnMSwzko3z]|50+|Female|HIV_PREV.T_1|CY2024Q3</v>
      </c>
    </row>
    <row r="1017" spans="4:18" x14ac:dyDescent="0.2">
      <c r="D1017" t="s">
        <v>102</v>
      </c>
      <c r="E1017" t="s">
        <v>103</v>
      </c>
      <c r="F1017" t="s">
        <v>104</v>
      </c>
      <c r="G1017" t="s">
        <v>141</v>
      </c>
      <c r="H1017" t="s">
        <v>142</v>
      </c>
      <c r="I1017" t="s">
        <v>28</v>
      </c>
      <c r="J1017" t="s">
        <v>29</v>
      </c>
      <c r="K1017" t="s">
        <v>48</v>
      </c>
      <c r="L1017" t="s">
        <v>49</v>
      </c>
      <c r="M1017" t="s">
        <v>140</v>
      </c>
      <c r="N1017">
        <v>1.1206499999999999E-3</v>
      </c>
      <c r="O1017">
        <v>7.1215923E-2</v>
      </c>
      <c r="P1017">
        <v>6.5410377000000006E-2</v>
      </c>
      <c r="Q1017" t="str">
        <f t="shared" si="30"/>
        <v>&lt;01</v>
      </c>
      <c r="R1017" t="str">
        <f t="shared" si="31"/>
        <v>[TYnMSwzko3z]|&lt;01|Male|HIV_PREV.T_1|CY2024Q3</v>
      </c>
    </row>
    <row r="1018" spans="4:18" x14ac:dyDescent="0.2">
      <c r="D1018" t="s">
        <v>102</v>
      </c>
      <c r="E1018" t="s">
        <v>103</v>
      </c>
      <c r="F1018" t="s">
        <v>104</v>
      </c>
      <c r="G1018" t="s">
        <v>141</v>
      </c>
      <c r="H1018" t="s">
        <v>142</v>
      </c>
      <c r="I1018" t="s">
        <v>33</v>
      </c>
      <c r="J1018" t="s">
        <v>34</v>
      </c>
      <c r="K1018" t="s">
        <v>48</v>
      </c>
      <c r="L1018" t="s">
        <v>49</v>
      </c>
      <c r="M1018" t="s">
        <v>140</v>
      </c>
      <c r="N1018">
        <v>2.8679869999999998E-3</v>
      </c>
      <c r="O1018">
        <v>7.8652141999999994E-2</v>
      </c>
      <c r="P1018">
        <v>6.5410377000000006E-2</v>
      </c>
      <c r="Q1018" t="str">
        <f t="shared" si="30"/>
        <v>01-09</v>
      </c>
      <c r="R1018" t="str">
        <f t="shared" si="31"/>
        <v>[TYnMSwzko3z]|01-09|Male|HIV_PREV.T_1|CY2024Q3</v>
      </c>
    </row>
    <row r="1019" spans="4:18" x14ac:dyDescent="0.2">
      <c r="D1019" t="s">
        <v>102</v>
      </c>
      <c r="E1019" t="s">
        <v>103</v>
      </c>
      <c r="F1019" t="s">
        <v>104</v>
      </c>
      <c r="G1019" t="s">
        <v>141</v>
      </c>
      <c r="H1019" t="s">
        <v>142</v>
      </c>
      <c r="I1019" t="s">
        <v>36</v>
      </c>
      <c r="J1019" t="s">
        <v>37</v>
      </c>
      <c r="K1019" t="s">
        <v>48</v>
      </c>
      <c r="L1019" t="s">
        <v>49</v>
      </c>
      <c r="M1019" t="s">
        <v>140</v>
      </c>
      <c r="N1019">
        <v>7.8814869999999995E-3</v>
      </c>
      <c r="O1019">
        <v>8.8015243000000007E-2</v>
      </c>
      <c r="P1019">
        <v>6.5410377000000006E-2</v>
      </c>
      <c r="Q1019" t="str">
        <f t="shared" si="30"/>
        <v>10-14</v>
      </c>
      <c r="R1019" t="str">
        <f t="shared" si="31"/>
        <v>[TYnMSwzko3z]|10-14|Male|HIV_PREV.T_1|CY2024Q3</v>
      </c>
    </row>
    <row r="1020" spans="4:18" x14ac:dyDescent="0.2">
      <c r="D1020" t="s">
        <v>102</v>
      </c>
      <c r="E1020" t="s">
        <v>103</v>
      </c>
      <c r="F1020" t="s">
        <v>104</v>
      </c>
      <c r="G1020" t="s">
        <v>141</v>
      </c>
      <c r="H1020" t="s">
        <v>142</v>
      </c>
      <c r="I1020" t="s">
        <v>38</v>
      </c>
      <c r="J1020" t="s">
        <v>39</v>
      </c>
      <c r="K1020" t="s">
        <v>48</v>
      </c>
      <c r="L1020" t="s">
        <v>49</v>
      </c>
      <c r="M1020" t="s">
        <v>140</v>
      </c>
      <c r="N1020">
        <v>1.1139019E-2</v>
      </c>
      <c r="O1020">
        <v>9.4705716999999995E-2</v>
      </c>
      <c r="P1020">
        <v>6.5410377000000006E-2</v>
      </c>
      <c r="Q1020" t="str">
        <f t="shared" si="30"/>
        <v>15-24</v>
      </c>
      <c r="R1020" t="str">
        <f t="shared" si="31"/>
        <v>[TYnMSwzko3z]|15-24|Male|HIV_PREV.T_1|CY2024Q3</v>
      </c>
    </row>
    <row r="1021" spans="4:18" x14ac:dyDescent="0.2">
      <c r="D1021" t="s">
        <v>102</v>
      </c>
      <c r="E1021" t="s">
        <v>103</v>
      </c>
      <c r="F1021" t="s">
        <v>104</v>
      </c>
      <c r="G1021" t="s">
        <v>141</v>
      </c>
      <c r="H1021" t="s">
        <v>142</v>
      </c>
      <c r="I1021" t="s">
        <v>41</v>
      </c>
      <c r="J1021" t="s">
        <v>42</v>
      </c>
      <c r="K1021" t="s">
        <v>48</v>
      </c>
      <c r="L1021" t="s">
        <v>49</v>
      </c>
      <c r="M1021" t="s">
        <v>140</v>
      </c>
      <c r="N1021">
        <v>2.0345143999999999E-2</v>
      </c>
      <c r="O1021">
        <v>9.5706182000000001E-2</v>
      </c>
      <c r="P1021">
        <v>6.5410377000000006E-2</v>
      </c>
      <c r="Q1021" t="str">
        <f t="shared" si="30"/>
        <v>25-34</v>
      </c>
      <c r="R1021" t="str">
        <f t="shared" si="31"/>
        <v>[TYnMSwzko3z]|25-34|Male|HIV_PREV.T_1|CY2024Q3</v>
      </c>
    </row>
    <row r="1022" spans="4:18" x14ac:dyDescent="0.2">
      <c r="D1022" t="s">
        <v>102</v>
      </c>
      <c r="E1022" t="s">
        <v>103</v>
      </c>
      <c r="F1022" t="s">
        <v>104</v>
      </c>
      <c r="G1022" t="s">
        <v>141</v>
      </c>
      <c r="H1022" t="s">
        <v>142</v>
      </c>
      <c r="I1022" t="s">
        <v>43</v>
      </c>
      <c r="J1022" t="s">
        <v>44</v>
      </c>
      <c r="K1022" t="s">
        <v>48</v>
      </c>
      <c r="L1022" t="s">
        <v>49</v>
      </c>
      <c r="M1022" t="s">
        <v>140</v>
      </c>
      <c r="N1022">
        <v>8.0474354999999997E-2</v>
      </c>
      <c r="O1022">
        <v>7.4264928999999993E-2</v>
      </c>
      <c r="P1022">
        <v>6.5410377000000006E-2</v>
      </c>
      <c r="Q1022" t="str">
        <f t="shared" si="30"/>
        <v>35-49</v>
      </c>
      <c r="R1022" t="str">
        <f t="shared" si="31"/>
        <v>[TYnMSwzko3z]|35-49|Male|HIV_PREV.T_1|CY2024Q3</v>
      </c>
    </row>
    <row r="1023" spans="4:18" x14ac:dyDescent="0.2">
      <c r="D1023" t="s">
        <v>102</v>
      </c>
      <c r="E1023" t="s">
        <v>103</v>
      </c>
      <c r="F1023" t="s">
        <v>104</v>
      </c>
      <c r="G1023" t="s">
        <v>141</v>
      </c>
      <c r="H1023" t="s">
        <v>142</v>
      </c>
      <c r="I1023" t="s">
        <v>45</v>
      </c>
      <c r="J1023" t="s">
        <v>46</v>
      </c>
      <c r="K1023" t="s">
        <v>48</v>
      </c>
      <c r="L1023" t="s">
        <v>49</v>
      </c>
      <c r="M1023" t="s">
        <v>140</v>
      </c>
      <c r="N1023">
        <v>0.110638053</v>
      </c>
      <c r="O1023">
        <v>7.3089731000000005E-2</v>
      </c>
      <c r="P1023">
        <v>6.5410377000000006E-2</v>
      </c>
      <c r="Q1023" t="str">
        <f t="shared" si="30"/>
        <v>50+</v>
      </c>
      <c r="R1023" t="str">
        <f t="shared" si="31"/>
        <v>[TYnMSwzko3z]|50+|Male|HIV_PREV.T_1|CY2024Q3</v>
      </c>
    </row>
    <row r="1024" spans="4:18" x14ac:dyDescent="0.2">
      <c r="D1024" t="s">
        <v>105</v>
      </c>
      <c r="E1024" t="s">
        <v>106</v>
      </c>
      <c r="F1024" t="s">
        <v>107</v>
      </c>
      <c r="G1024" t="s">
        <v>141</v>
      </c>
      <c r="H1024" t="s">
        <v>142</v>
      </c>
      <c r="I1024" t="s">
        <v>28</v>
      </c>
      <c r="J1024" t="s">
        <v>29</v>
      </c>
      <c r="K1024" t="s">
        <v>30</v>
      </c>
      <c r="L1024" t="s">
        <v>31</v>
      </c>
      <c r="M1024" t="s">
        <v>140</v>
      </c>
      <c r="N1024">
        <v>2.4329149999999999E-3</v>
      </c>
      <c r="O1024">
        <v>4.0873145E-2</v>
      </c>
      <c r="P1024">
        <v>3.6388565999999997E-2</v>
      </c>
      <c r="Q1024" t="str">
        <f t="shared" si="30"/>
        <v>&lt;01</v>
      </c>
      <c r="R1024" t="str">
        <f t="shared" si="31"/>
        <v>[fyEoGEPERdI]|&lt;01|Female|HIV_PREV.T_1|CY2024Q3</v>
      </c>
    </row>
    <row r="1025" spans="4:18" x14ac:dyDescent="0.2">
      <c r="D1025" t="s">
        <v>105</v>
      </c>
      <c r="E1025" t="s">
        <v>106</v>
      </c>
      <c r="F1025" t="s">
        <v>107</v>
      </c>
      <c r="G1025" t="s">
        <v>141</v>
      </c>
      <c r="H1025" t="s">
        <v>142</v>
      </c>
      <c r="I1025" t="s">
        <v>33</v>
      </c>
      <c r="J1025" t="s">
        <v>34</v>
      </c>
      <c r="K1025" t="s">
        <v>30</v>
      </c>
      <c r="L1025" t="s">
        <v>31</v>
      </c>
      <c r="M1025" t="s">
        <v>140</v>
      </c>
      <c r="N1025">
        <v>5.4958330000000003E-3</v>
      </c>
      <c r="O1025">
        <v>4.5901546000000001E-2</v>
      </c>
      <c r="P1025">
        <v>3.6388565999999997E-2</v>
      </c>
      <c r="Q1025" t="str">
        <f t="shared" si="30"/>
        <v>01-09</v>
      </c>
      <c r="R1025" t="str">
        <f t="shared" si="31"/>
        <v>[fyEoGEPERdI]|01-09|Female|HIV_PREV.T_1|CY2024Q3</v>
      </c>
    </row>
    <row r="1026" spans="4:18" x14ac:dyDescent="0.2">
      <c r="D1026" t="s">
        <v>105</v>
      </c>
      <c r="E1026" t="s">
        <v>106</v>
      </c>
      <c r="F1026" t="s">
        <v>107</v>
      </c>
      <c r="G1026" t="s">
        <v>141</v>
      </c>
      <c r="H1026" t="s">
        <v>142</v>
      </c>
      <c r="I1026" t="s">
        <v>36</v>
      </c>
      <c r="J1026" t="s">
        <v>37</v>
      </c>
      <c r="K1026" t="s">
        <v>30</v>
      </c>
      <c r="L1026" t="s">
        <v>31</v>
      </c>
      <c r="M1026" t="s">
        <v>140</v>
      </c>
      <c r="N1026">
        <v>1.3273541999999999E-2</v>
      </c>
      <c r="O1026">
        <v>5.2302954999999998E-2</v>
      </c>
      <c r="P1026">
        <v>3.6388565999999997E-2</v>
      </c>
      <c r="Q1026" t="str">
        <f t="shared" si="30"/>
        <v>10-14</v>
      </c>
      <c r="R1026" t="str">
        <f t="shared" si="31"/>
        <v>[fyEoGEPERdI]|10-14|Female|HIV_PREV.T_1|CY2024Q3</v>
      </c>
    </row>
    <row r="1027" spans="4:18" x14ac:dyDescent="0.2">
      <c r="D1027" t="s">
        <v>105</v>
      </c>
      <c r="E1027" t="s">
        <v>106</v>
      </c>
      <c r="F1027" t="s">
        <v>107</v>
      </c>
      <c r="G1027" t="s">
        <v>141</v>
      </c>
      <c r="H1027" t="s">
        <v>142</v>
      </c>
      <c r="I1027" t="s">
        <v>38</v>
      </c>
      <c r="J1027" t="s">
        <v>39</v>
      </c>
      <c r="K1027" t="s">
        <v>30</v>
      </c>
      <c r="L1027" t="s">
        <v>31</v>
      </c>
      <c r="M1027" t="s">
        <v>140</v>
      </c>
      <c r="N1027">
        <v>3.0345459000000002E-2</v>
      </c>
      <c r="O1027">
        <v>7.3487703000000001E-2</v>
      </c>
      <c r="P1027">
        <v>3.6388565999999997E-2</v>
      </c>
      <c r="Q1027" t="str">
        <f t="shared" ref="Q1027:Q1090" si="32">SUBSTITUTE(SUBSTITUTE($I1027,CHAR(61),""),CHAR(34),"")</f>
        <v>15-24</v>
      </c>
      <c r="R1027" t="str">
        <f t="shared" ref="R1027:R1090" si="33">IF($D1027&lt;&gt;"","["&amp;$E1027&amp;"]"&amp;"|"&amp;$Q1027&amp;"|"&amp;$K1027&amp;"|"&amp;$G1027&amp;"|"&amp;IF($G1027="TX_CURR_SUBNAT.R","CY2023Q4",$M1027),"")</f>
        <v>[fyEoGEPERdI]|15-24|Female|HIV_PREV.T_1|CY2024Q3</v>
      </c>
    </row>
    <row r="1028" spans="4:18" x14ac:dyDescent="0.2">
      <c r="D1028" t="s">
        <v>105</v>
      </c>
      <c r="E1028" t="s">
        <v>106</v>
      </c>
      <c r="F1028" t="s">
        <v>107</v>
      </c>
      <c r="G1028" t="s">
        <v>141</v>
      </c>
      <c r="H1028" t="s">
        <v>142</v>
      </c>
      <c r="I1028" t="s">
        <v>41</v>
      </c>
      <c r="J1028" t="s">
        <v>42</v>
      </c>
      <c r="K1028" t="s">
        <v>30</v>
      </c>
      <c r="L1028" t="s">
        <v>31</v>
      </c>
      <c r="M1028" t="s">
        <v>140</v>
      </c>
      <c r="N1028">
        <v>0.113633519</v>
      </c>
      <c r="O1028">
        <v>5.0679546999999998E-2</v>
      </c>
      <c r="P1028">
        <v>3.6388565999999997E-2</v>
      </c>
      <c r="Q1028" t="str">
        <f t="shared" si="32"/>
        <v>25-34</v>
      </c>
      <c r="R1028" t="str">
        <f t="shared" si="33"/>
        <v>[fyEoGEPERdI]|25-34|Female|HIV_PREV.T_1|CY2024Q3</v>
      </c>
    </row>
    <row r="1029" spans="4:18" x14ac:dyDescent="0.2">
      <c r="D1029" t="s">
        <v>105</v>
      </c>
      <c r="E1029" t="s">
        <v>106</v>
      </c>
      <c r="F1029" t="s">
        <v>107</v>
      </c>
      <c r="G1029" t="s">
        <v>141</v>
      </c>
      <c r="H1029" t="s">
        <v>142</v>
      </c>
      <c r="I1029" t="s">
        <v>43</v>
      </c>
      <c r="J1029" t="s">
        <v>44</v>
      </c>
      <c r="K1029" t="s">
        <v>30</v>
      </c>
      <c r="L1029" t="s">
        <v>31</v>
      </c>
      <c r="M1029" t="s">
        <v>140</v>
      </c>
      <c r="N1029">
        <v>0.26854677599999999</v>
      </c>
      <c r="O1029">
        <v>3.8765373999999998E-2</v>
      </c>
      <c r="P1029">
        <v>3.6388565999999997E-2</v>
      </c>
      <c r="Q1029" t="str">
        <f t="shared" si="32"/>
        <v>35-49</v>
      </c>
      <c r="R1029" t="str">
        <f t="shared" si="33"/>
        <v>[fyEoGEPERdI]|35-49|Female|HIV_PREV.T_1|CY2024Q3</v>
      </c>
    </row>
    <row r="1030" spans="4:18" x14ac:dyDescent="0.2">
      <c r="D1030" t="s">
        <v>105</v>
      </c>
      <c r="E1030" t="s">
        <v>106</v>
      </c>
      <c r="F1030" t="s">
        <v>107</v>
      </c>
      <c r="G1030" t="s">
        <v>141</v>
      </c>
      <c r="H1030" t="s">
        <v>142</v>
      </c>
      <c r="I1030" t="s">
        <v>45</v>
      </c>
      <c r="J1030" t="s">
        <v>46</v>
      </c>
      <c r="K1030" t="s">
        <v>30</v>
      </c>
      <c r="L1030" t="s">
        <v>31</v>
      </c>
      <c r="M1030" t="s">
        <v>140</v>
      </c>
      <c r="N1030">
        <v>0.206953098</v>
      </c>
      <c r="O1030">
        <v>5.0526910000000001E-2</v>
      </c>
      <c r="P1030">
        <v>3.6388565999999997E-2</v>
      </c>
      <c r="Q1030" t="str">
        <f t="shared" si="32"/>
        <v>50+</v>
      </c>
      <c r="R1030" t="str">
        <f t="shared" si="33"/>
        <v>[fyEoGEPERdI]|50+|Female|HIV_PREV.T_1|CY2024Q3</v>
      </c>
    </row>
    <row r="1031" spans="4:18" x14ac:dyDescent="0.2">
      <c r="D1031" t="s">
        <v>105</v>
      </c>
      <c r="E1031" t="s">
        <v>106</v>
      </c>
      <c r="F1031" t="s">
        <v>107</v>
      </c>
      <c r="G1031" t="s">
        <v>141</v>
      </c>
      <c r="H1031" t="s">
        <v>142</v>
      </c>
      <c r="I1031" t="s">
        <v>28</v>
      </c>
      <c r="J1031" t="s">
        <v>29</v>
      </c>
      <c r="K1031" t="s">
        <v>48</v>
      </c>
      <c r="L1031" t="s">
        <v>49</v>
      </c>
      <c r="M1031" t="s">
        <v>140</v>
      </c>
      <c r="N1031">
        <v>2.431332E-3</v>
      </c>
      <c r="O1031">
        <v>4.0851327999999999E-2</v>
      </c>
      <c r="P1031">
        <v>3.6388565999999997E-2</v>
      </c>
      <c r="Q1031" t="str">
        <f t="shared" si="32"/>
        <v>&lt;01</v>
      </c>
      <c r="R1031" t="str">
        <f t="shared" si="33"/>
        <v>[fyEoGEPERdI]|&lt;01|Male|HIV_PREV.T_1|CY2024Q3</v>
      </c>
    </row>
    <row r="1032" spans="4:18" x14ac:dyDescent="0.2">
      <c r="D1032" t="s">
        <v>105</v>
      </c>
      <c r="E1032" t="s">
        <v>106</v>
      </c>
      <c r="F1032" t="s">
        <v>107</v>
      </c>
      <c r="G1032" t="s">
        <v>141</v>
      </c>
      <c r="H1032" t="s">
        <v>142</v>
      </c>
      <c r="I1032" t="s">
        <v>33</v>
      </c>
      <c r="J1032" t="s">
        <v>34</v>
      </c>
      <c r="K1032" t="s">
        <v>48</v>
      </c>
      <c r="L1032" t="s">
        <v>49</v>
      </c>
      <c r="M1032" t="s">
        <v>140</v>
      </c>
      <c r="N1032">
        <v>5.4952289999999999E-3</v>
      </c>
      <c r="O1032">
        <v>4.5887796000000002E-2</v>
      </c>
      <c r="P1032">
        <v>3.6388565999999997E-2</v>
      </c>
      <c r="Q1032" t="str">
        <f t="shared" si="32"/>
        <v>01-09</v>
      </c>
      <c r="R1032" t="str">
        <f t="shared" si="33"/>
        <v>[fyEoGEPERdI]|01-09|Male|HIV_PREV.T_1|CY2024Q3</v>
      </c>
    </row>
    <row r="1033" spans="4:18" x14ac:dyDescent="0.2">
      <c r="D1033" t="s">
        <v>105</v>
      </c>
      <c r="E1033" t="s">
        <v>106</v>
      </c>
      <c r="F1033" t="s">
        <v>107</v>
      </c>
      <c r="G1033" t="s">
        <v>141</v>
      </c>
      <c r="H1033" t="s">
        <v>142</v>
      </c>
      <c r="I1033" t="s">
        <v>36</v>
      </c>
      <c r="J1033" t="s">
        <v>37</v>
      </c>
      <c r="K1033" t="s">
        <v>48</v>
      </c>
      <c r="L1033" t="s">
        <v>49</v>
      </c>
      <c r="M1033" t="s">
        <v>140</v>
      </c>
      <c r="N1033">
        <v>1.3316186000000001E-2</v>
      </c>
      <c r="O1033">
        <v>5.2637153999999998E-2</v>
      </c>
      <c r="P1033">
        <v>3.6388565999999997E-2</v>
      </c>
      <c r="Q1033" t="str">
        <f t="shared" si="32"/>
        <v>10-14</v>
      </c>
      <c r="R1033" t="str">
        <f t="shared" si="33"/>
        <v>[fyEoGEPERdI]|10-14|Male|HIV_PREV.T_1|CY2024Q3</v>
      </c>
    </row>
    <row r="1034" spans="4:18" x14ac:dyDescent="0.2">
      <c r="D1034" t="s">
        <v>105</v>
      </c>
      <c r="E1034" t="s">
        <v>106</v>
      </c>
      <c r="F1034" t="s">
        <v>107</v>
      </c>
      <c r="G1034" t="s">
        <v>141</v>
      </c>
      <c r="H1034" t="s">
        <v>142</v>
      </c>
      <c r="I1034" t="s">
        <v>38</v>
      </c>
      <c r="J1034" t="s">
        <v>39</v>
      </c>
      <c r="K1034" t="s">
        <v>48</v>
      </c>
      <c r="L1034" t="s">
        <v>49</v>
      </c>
      <c r="M1034" t="s">
        <v>140</v>
      </c>
      <c r="N1034">
        <v>2.1483163999999999E-2</v>
      </c>
      <c r="O1034">
        <v>8.1680983999999998E-2</v>
      </c>
      <c r="P1034">
        <v>3.6388565999999997E-2</v>
      </c>
      <c r="Q1034" t="str">
        <f t="shared" si="32"/>
        <v>15-24</v>
      </c>
      <c r="R1034" t="str">
        <f t="shared" si="33"/>
        <v>[fyEoGEPERdI]|15-24|Male|HIV_PREV.T_1|CY2024Q3</v>
      </c>
    </row>
    <row r="1035" spans="4:18" x14ac:dyDescent="0.2">
      <c r="D1035" t="s">
        <v>105</v>
      </c>
      <c r="E1035" t="s">
        <v>106</v>
      </c>
      <c r="F1035" t="s">
        <v>107</v>
      </c>
      <c r="G1035" t="s">
        <v>141</v>
      </c>
      <c r="H1035" t="s">
        <v>142</v>
      </c>
      <c r="I1035" t="s">
        <v>41</v>
      </c>
      <c r="J1035" t="s">
        <v>42</v>
      </c>
      <c r="K1035" t="s">
        <v>48</v>
      </c>
      <c r="L1035" t="s">
        <v>49</v>
      </c>
      <c r="M1035" t="s">
        <v>140</v>
      </c>
      <c r="N1035">
        <v>4.6445605000000001E-2</v>
      </c>
      <c r="O1035">
        <v>7.3336009999999993E-2</v>
      </c>
      <c r="P1035">
        <v>3.6388565999999997E-2</v>
      </c>
      <c r="Q1035" t="str">
        <f t="shared" si="32"/>
        <v>25-34</v>
      </c>
      <c r="R1035" t="str">
        <f t="shared" si="33"/>
        <v>[fyEoGEPERdI]|25-34|Male|HIV_PREV.T_1|CY2024Q3</v>
      </c>
    </row>
    <row r="1036" spans="4:18" x14ac:dyDescent="0.2">
      <c r="D1036" t="s">
        <v>105</v>
      </c>
      <c r="E1036" t="s">
        <v>106</v>
      </c>
      <c r="F1036" t="s">
        <v>107</v>
      </c>
      <c r="G1036" t="s">
        <v>141</v>
      </c>
      <c r="H1036" t="s">
        <v>142</v>
      </c>
      <c r="I1036" t="s">
        <v>43</v>
      </c>
      <c r="J1036" t="s">
        <v>44</v>
      </c>
      <c r="K1036" t="s">
        <v>48</v>
      </c>
      <c r="L1036" t="s">
        <v>49</v>
      </c>
      <c r="M1036" t="s">
        <v>140</v>
      </c>
      <c r="N1036">
        <v>0.172068998</v>
      </c>
      <c r="O1036">
        <v>4.3552753999999999E-2</v>
      </c>
      <c r="P1036">
        <v>3.6388565999999997E-2</v>
      </c>
      <c r="Q1036" t="str">
        <f t="shared" si="32"/>
        <v>35-49</v>
      </c>
      <c r="R1036" t="str">
        <f t="shared" si="33"/>
        <v>[fyEoGEPERdI]|35-49|Male|HIV_PREV.T_1|CY2024Q3</v>
      </c>
    </row>
    <row r="1037" spans="4:18" x14ac:dyDescent="0.2">
      <c r="D1037" t="s">
        <v>105</v>
      </c>
      <c r="E1037" t="s">
        <v>106</v>
      </c>
      <c r="F1037" t="s">
        <v>107</v>
      </c>
      <c r="G1037" t="s">
        <v>141</v>
      </c>
      <c r="H1037" t="s">
        <v>142</v>
      </c>
      <c r="I1037" t="s">
        <v>45</v>
      </c>
      <c r="J1037" t="s">
        <v>46</v>
      </c>
      <c r="K1037" t="s">
        <v>48</v>
      </c>
      <c r="L1037" t="s">
        <v>49</v>
      </c>
      <c r="M1037" t="s">
        <v>140</v>
      </c>
      <c r="N1037">
        <v>0.21549512700000001</v>
      </c>
      <c r="O1037">
        <v>4.3999968E-2</v>
      </c>
      <c r="P1037">
        <v>3.6388565999999997E-2</v>
      </c>
      <c r="Q1037" t="str">
        <f t="shared" si="32"/>
        <v>50+</v>
      </c>
      <c r="R1037" t="str">
        <f t="shared" si="33"/>
        <v>[fyEoGEPERdI]|50+|Male|HIV_PREV.T_1|CY2024Q3</v>
      </c>
    </row>
    <row r="1038" spans="4:18" x14ac:dyDescent="0.2">
      <c r="D1038" t="s">
        <v>108</v>
      </c>
      <c r="E1038" t="s">
        <v>109</v>
      </c>
      <c r="F1038" t="s">
        <v>110</v>
      </c>
      <c r="G1038" t="s">
        <v>141</v>
      </c>
      <c r="H1038" t="s">
        <v>142</v>
      </c>
      <c r="I1038" t="s">
        <v>28</v>
      </c>
      <c r="J1038" t="s">
        <v>29</v>
      </c>
      <c r="K1038" t="s">
        <v>30</v>
      </c>
      <c r="L1038" t="s">
        <v>31</v>
      </c>
      <c r="M1038" t="s">
        <v>140</v>
      </c>
      <c r="N1038">
        <v>2.7478730000000001E-3</v>
      </c>
      <c r="O1038">
        <v>5.0434312000000002E-2</v>
      </c>
      <c r="P1038">
        <v>4.4251103E-2</v>
      </c>
      <c r="Q1038" t="str">
        <f t="shared" si="32"/>
        <v>&lt;01</v>
      </c>
      <c r="R1038" t="str">
        <f t="shared" si="33"/>
        <v>[umc2n1Z4wNv]|&lt;01|Female|HIV_PREV.T_1|CY2024Q3</v>
      </c>
    </row>
    <row r="1039" spans="4:18" x14ac:dyDescent="0.2">
      <c r="D1039" t="s">
        <v>108</v>
      </c>
      <c r="E1039" t="s">
        <v>109</v>
      </c>
      <c r="F1039" t="s">
        <v>110</v>
      </c>
      <c r="G1039" t="s">
        <v>141</v>
      </c>
      <c r="H1039" t="s">
        <v>142</v>
      </c>
      <c r="I1039" t="s">
        <v>33</v>
      </c>
      <c r="J1039" t="s">
        <v>34</v>
      </c>
      <c r="K1039" t="s">
        <v>30</v>
      </c>
      <c r="L1039" t="s">
        <v>31</v>
      </c>
      <c r="M1039" t="s">
        <v>140</v>
      </c>
      <c r="N1039">
        <v>5.9697329999999996E-3</v>
      </c>
      <c r="O1039">
        <v>6.0134582999999998E-2</v>
      </c>
      <c r="P1039">
        <v>4.4251103E-2</v>
      </c>
      <c r="Q1039" t="str">
        <f t="shared" si="32"/>
        <v>01-09</v>
      </c>
      <c r="R1039" t="str">
        <f t="shared" si="33"/>
        <v>[umc2n1Z4wNv]|01-09|Female|HIV_PREV.T_1|CY2024Q3</v>
      </c>
    </row>
    <row r="1040" spans="4:18" x14ac:dyDescent="0.2">
      <c r="D1040" t="s">
        <v>108</v>
      </c>
      <c r="E1040" t="s">
        <v>109</v>
      </c>
      <c r="F1040" t="s">
        <v>110</v>
      </c>
      <c r="G1040" t="s">
        <v>141</v>
      </c>
      <c r="H1040" t="s">
        <v>142</v>
      </c>
      <c r="I1040" t="s">
        <v>36</v>
      </c>
      <c r="J1040" t="s">
        <v>37</v>
      </c>
      <c r="K1040" t="s">
        <v>30</v>
      </c>
      <c r="L1040" t="s">
        <v>31</v>
      </c>
      <c r="M1040" t="s">
        <v>140</v>
      </c>
      <c r="N1040">
        <v>1.3723185000000001E-2</v>
      </c>
      <c r="O1040">
        <v>7.2969790000000007E-2</v>
      </c>
      <c r="P1040">
        <v>4.4251103E-2</v>
      </c>
      <c r="Q1040" t="str">
        <f t="shared" si="32"/>
        <v>10-14</v>
      </c>
      <c r="R1040" t="str">
        <f t="shared" si="33"/>
        <v>[umc2n1Z4wNv]|10-14|Female|HIV_PREV.T_1|CY2024Q3</v>
      </c>
    </row>
    <row r="1041" spans="4:18" x14ac:dyDescent="0.2">
      <c r="D1041" t="s">
        <v>108</v>
      </c>
      <c r="E1041" t="s">
        <v>109</v>
      </c>
      <c r="F1041" t="s">
        <v>110</v>
      </c>
      <c r="G1041" t="s">
        <v>141</v>
      </c>
      <c r="H1041" t="s">
        <v>142</v>
      </c>
      <c r="I1041" t="s">
        <v>38</v>
      </c>
      <c r="J1041" t="s">
        <v>39</v>
      </c>
      <c r="K1041" t="s">
        <v>30</v>
      </c>
      <c r="L1041" t="s">
        <v>31</v>
      </c>
      <c r="M1041" t="s">
        <v>140</v>
      </c>
      <c r="N1041">
        <v>3.4388201E-2</v>
      </c>
      <c r="O1041">
        <v>8.4559239999999994E-2</v>
      </c>
      <c r="P1041">
        <v>4.4251103E-2</v>
      </c>
      <c r="Q1041" t="str">
        <f t="shared" si="32"/>
        <v>15-24</v>
      </c>
      <c r="R1041" t="str">
        <f t="shared" si="33"/>
        <v>[umc2n1Z4wNv]|15-24|Female|HIV_PREV.T_1|CY2024Q3</v>
      </c>
    </row>
    <row r="1042" spans="4:18" x14ac:dyDescent="0.2">
      <c r="D1042" t="s">
        <v>108</v>
      </c>
      <c r="E1042" t="s">
        <v>109</v>
      </c>
      <c r="F1042" t="s">
        <v>110</v>
      </c>
      <c r="G1042" t="s">
        <v>141</v>
      </c>
      <c r="H1042" t="s">
        <v>142</v>
      </c>
      <c r="I1042" t="s">
        <v>41</v>
      </c>
      <c r="J1042" t="s">
        <v>42</v>
      </c>
      <c r="K1042" t="s">
        <v>30</v>
      </c>
      <c r="L1042" t="s">
        <v>31</v>
      </c>
      <c r="M1042" t="s">
        <v>140</v>
      </c>
      <c r="N1042">
        <v>0.12737716299999999</v>
      </c>
      <c r="O1042">
        <v>5.8776654999999997E-2</v>
      </c>
      <c r="P1042">
        <v>4.4251103E-2</v>
      </c>
      <c r="Q1042" t="str">
        <f t="shared" si="32"/>
        <v>25-34</v>
      </c>
      <c r="R1042" t="str">
        <f t="shared" si="33"/>
        <v>[umc2n1Z4wNv]|25-34|Female|HIV_PREV.T_1|CY2024Q3</v>
      </c>
    </row>
    <row r="1043" spans="4:18" x14ac:dyDescent="0.2">
      <c r="D1043" t="s">
        <v>108</v>
      </c>
      <c r="E1043" t="s">
        <v>109</v>
      </c>
      <c r="F1043" t="s">
        <v>110</v>
      </c>
      <c r="G1043" t="s">
        <v>141</v>
      </c>
      <c r="H1043" t="s">
        <v>142</v>
      </c>
      <c r="I1043" t="s">
        <v>43</v>
      </c>
      <c r="J1043" t="s">
        <v>44</v>
      </c>
      <c r="K1043" t="s">
        <v>30</v>
      </c>
      <c r="L1043" t="s">
        <v>31</v>
      </c>
      <c r="M1043" t="s">
        <v>140</v>
      </c>
      <c r="N1043">
        <v>0.304423783</v>
      </c>
      <c r="O1043">
        <v>4.4719588999999997E-2</v>
      </c>
      <c r="P1043">
        <v>4.4251103E-2</v>
      </c>
      <c r="Q1043" t="str">
        <f t="shared" si="32"/>
        <v>35-49</v>
      </c>
      <c r="R1043" t="str">
        <f t="shared" si="33"/>
        <v>[umc2n1Z4wNv]|35-49|Female|HIV_PREV.T_1|CY2024Q3</v>
      </c>
    </row>
    <row r="1044" spans="4:18" x14ac:dyDescent="0.2">
      <c r="D1044" t="s">
        <v>108</v>
      </c>
      <c r="E1044" t="s">
        <v>109</v>
      </c>
      <c r="F1044" t="s">
        <v>110</v>
      </c>
      <c r="G1044" t="s">
        <v>141</v>
      </c>
      <c r="H1044" t="s">
        <v>142</v>
      </c>
      <c r="I1044" t="s">
        <v>45</v>
      </c>
      <c r="J1044" t="s">
        <v>46</v>
      </c>
      <c r="K1044" t="s">
        <v>30</v>
      </c>
      <c r="L1044" t="s">
        <v>31</v>
      </c>
      <c r="M1044" t="s">
        <v>140</v>
      </c>
      <c r="N1044">
        <v>0.234222665</v>
      </c>
      <c r="O1044">
        <v>5.2180876000000001E-2</v>
      </c>
      <c r="P1044">
        <v>4.4251103E-2</v>
      </c>
      <c r="Q1044" t="str">
        <f t="shared" si="32"/>
        <v>50+</v>
      </c>
      <c r="R1044" t="str">
        <f t="shared" si="33"/>
        <v>[umc2n1Z4wNv]|50+|Female|HIV_PREV.T_1|CY2024Q3</v>
      </c>
    </row>
    <row r="1045" spans="4:18" x14ac:dyDescent="0.2">
      <c r="D1045" t="s">
        <v>108</v>
      </c>
      <c r="E1045" t="s">
        <v>109</v>
      </c>
      <c r="F1045" t="s">
        <v>110</v>
      </c>
      <c r="G1045" t="s">
        <v>141</v>
      </c>
      <c r="H1045" t="s">
        <v>142</v>
      </c>
      <c r="I1045" t="s">
        <v>28</v>
      </c>
      <c r="J1045" t="s">
        <v>29</v>
      </c>
      <c r="K1045" t="s">
        <v>48</v>
      </c>
      <c r="L1045" t="s">
        <v>49</v>
      </c>
      <c r="M1045" t="s">
        <v>140</v>
      </c>
      <c r="N1045">
        <v>2.7119230000000002E-3</v>
      </c>
      <c r="O1045">
        <v>5.0524166000000002E-2</v>
      </c>
      <c r="P1045">
        <v>4.4251103E-2</v>
      </c>
      <c r="Q1045" t="str">
        <f t="shared" si="32"/>
        <v>&lt;01</v>
      </c>
      <c r="R1045" t="str">
        <f t="shared" si="33"/>
        <v>[umc2n1Z4wNv]|&lt;01|Male|HIV_PREV.T_1|CY2024Q3</v>
      </c>
    </row>
    <row r="1046" spans="4:18" x14ac:dyDescent="0.2">
      <c r="D1046" t="s">
        <v>108</v>
      </c>
      <c r="E1046" t="s">
        <v>109</v>
      </c>
      <c r="F1046" t="s">
        <v>110</v>
      </c>
      <c r="G1046" t="s">
        <v>141</v>
      </c>
      <c r="H1046" t="s">
        <v>142</v>
      </c>
      <c r="I1046" t="s">
        <v>33</v>
      </c>
      <c r="J1046" t="s">
        <v>34</v>
      </c>
      <c r="K1046" t="s">
        <v>48</v>
      </c>
      <c r="L1046" t="s">
        <v>49</v>
      </c>
      <c r="M1046" t="s">
        <v>140</v>
      </c>
      <c r="N1046">
        <v>5.9352240000000002E-3</v>
      </c>
      <c r="O1046">
        <v>6.0206982999999999E-2</v>
      </c>
      <c r="P1046">
        <v>4.4251103E-2</v>
      </c>
      <c r="Q1046" t="str">
        <f t="shared" si="32"/>
        <v>01-09</v>
      </c>
      <c r="R1046" t="str">
        <f t="shared" si="33"/>
        <v>[umc2n1Z4wNv]|01-09|Male|HIV_PREV.T_1|CY2024Q3</v>
      </c>
    </row>
    <row r="1047" spans="4:18" x14ac:dyDescent="0.2">
      <c r="D1047" t="s">
        <v>108</v>
      </c>
      <c r="E1047" t="s">
        <v>109</v>
      </c>
      <c r="F1047" t="s">
        <v>110</v>
      </c>
      <c r="G1047" t="s">
        <v>141</v>
      </c>
      <c r="H1047" t="s">
        <v>142</v>
      </c>
      <c r="I1047" t="s">
        <v>36</v>
      </c>
      <c r="J1047" t="s">
        <v>37</v>
      </c>
      <c r="K1047" t="s">
        <v>48</v>
      </c>
      <c r="L1047" t="s">
        <v>49</v>
      </c>
      <c r="M1047" t="s">
        <v>140</v>
      </c>
      <c r="N1047">
        <v>1.348486E-2</v>
      </c>
      <c r="O1047">
        <v>7.2969709999999993E-2</v>
      </c>
      <c r="P1047">
        <v>4.4251103E-2</v>
      </c>
      <c r="Q1047" t="str">
        <f t="shared" si="32"/>
        <v>10-14</v>
      </c>
      <c r="R1047" t="str">
        <f t="shared" si="33"/>
        <v>[umc2n1Z4wNv]|10-14|Male|HIV_PREV.T_1|CY2024Q3</v>
      </c>
    </row>
    <row r="1048" spans="4:18" x14ac:dyDescent="0.2">
      <c r="D1048" t="s">
        <v>108</v>
      </c>
      <c r="E1048" t="s">
        <v>109</v>
      </c>
      <c r="F1048" t="s">
        <v>110</v>
      </c>
      <c r="G1048" t="s">
        <v>141</v>
      </c>
      <c r="H1048" t="s">
        <v>142</v>
      </c>
      <c r="I1048" t="s">
        <v>38</v>
      </c>
      <c r="J1048" t="s">
        <v>39</v>
      </c>
      <c r="K1048" t="s">
        <v>48</v>
      </c>
      <c r="L1048" t="s">
        <v>49</v>
      </c>
      <c r="M1048" t="s">
        <v>140</v>
      </c>
      <c r="N1048">
        <v>2.3782398E-2</v>
      </c>
      <c r="O1048">
        <v>8.8411140999999999E-2</v>
      </c>
      <c r="P1048">
        <v>4.4251103E-2</v>
      </c>
      <c r="Q1048" t="str">
        <f t="shared" si="32"/>
        <v>15-24</v>
      </c>
      <c r="R1048" t="str">
        <f t="shared" si="33"/>
        <v>[umc2n1Z4wNv]|15-24|Male|HIV_PREV.T_1|CY2024Q3</v>
      </c>
    </row>
    <row r="1049" spans="4:18" x14ac:dyDescent="0.2">
      <c r="D1049" t="s">
        <v>108</v>
      </c>
      <c r="E1049" t="s">
        <v>109</v>
      </c>
      <c r="F1049" t="s">
        <v>110</v>
      </c>
      <c r="G1049" t="s">
        <v>141</v>
      </c>
      <c r="H1049" t="s">
        <v>142</v>
      </c>
      <c r="I1049" t="s">
        <v>41</v>
      </c>
      <c r="J1049" t="s">
        <v>42</v>
      </c>
      <c r="K1049" t="s">
        <v>48</v>
      </c>
      <c r="L1049" t="s">
        <v>49</v>
      </c>
      <c r="M1049" t="s">
        <v>140</v>
      </c>
      <c r="N1049">
        <v>5.0250229E-2</v>
      </c>
      <c r="O1049">
        <v>8.0250923000000002E-2</v>
      </c>
      <c r="P1049">
        <v>4.4251103E-2</v>
      </c>
      <c r="Q1049" t="str">
        <f t="shared" si="32"/>
        <v>25-34</v>
      </c>
      <c r="R1049" t="str">
        <f t="shared" si="33"/>
        <v>[umc2n1Z4wNv]|25-34|Male|HIV_PREV.T_1|CY2024Q3</v>
      </c>
    </row>
    <row r="1050" spans="4:18" x14ac:dyDescent="0.2">
      <c r="D1050" t="s">
        <v>108</v>
      </c>
      <c r="E1050" t="s">
        <v>109</v>
      </c>
      <c r="F1050" t="s">
        <v>110</v>
      </c>
      <c r="G1050" t="s">
        <v>141</v>
      </c>
      <c r="H1050" t="s">
        <v>142</v>
      </c>
      <c r="I1050" t="s">
        <v>43</v>
      </c>
      <c r="J1050" t="s">
        <v>44</v>
      </c>
      <c r="K1050" t="s">
        <v>48</v>
      </c>
      <c r="L1050" t="s">
        <v>49</v>
      </c>
      <c r="M1050" t="s">
        <v>140</v>
      </c>
      <c r="N1050">
        <v>0.18836955899999999</v>
      </c>
      <c r="O1050">
        <v>5.0285921999999997E-2</v>
      </c>
      <c r="P1050">
        <v>4.4251103E-2</v>
      </c>
      <c r="Q1050" t="str">
        <f t="shared" si="32"/>
        <v>35-49</v>
      </c>
      <c r="R1050" t="str">
        <f t="shared" si="33"/>
        <v>[umc2n1Z4wNv]|35-49|Male|HIV_PREV.T_1|CY2024Q3</v>
      </c>
    </row>
    <row r="1051" spans="4:18" x14ac:dyDescent="0.2">
      <c r="D1051" t="s">
        <v>108</v>
      </c>
      <c r="E1051" t="s">
        <v>109</v>
      </c>
      <c r="F1051" t="s">
        <v>110</v>
      </c>
      <c r="G1051" t="s">
        <v>141</v>
      </c>
      <c r="H1051" t="s">
        <v>142</v>
      </c>
      <c r="I1051" t="s">
        <v>45</v>
      </c>
      <c r="J1051" t="s">
        <v>46</v>
      </c>
      <c r="K1051" t="s">
        <v>48</v>
      </c>
      <c r="L1051" t="s">
        <v>49</v>
      </c>
      <c r="M1051" t="s">
        <v>140</v>
      </c>
      <c r="N1051">
        <v>0.238734164</v>
      </c>
      <c r="O1051">
        <v>5.2762539999999997E-2</v>
      </c>
      <c r="P1051">
        <v>4.4251103E-2</v>
      </c>
      <c r="Q1051" t="str">
        <f t="shared" si="32"/>
        <v>50+</v>
      </c>
      <c r="R1051" t="str">
        <f t="shared" si="33"/>
        <v>[umc2n1Z4wNv]|50+|Male|HIV_PREV.T_1|CY2024Q3</v>
      </c>
    </row>
    <row r="1052" spans="4:18" x14ac:dyDescent="0.2">
      <c r="D1052" t="s">
        <v>111</v>
      </c>
      <c r="E1052" t="s">
        <v>112</v>
      </c>
      <c r="F1052" t="s">
        <v>113</v>
      </c>
      <c r="G1052" t="s">
        <v>141</v>
      </c>
      <c r="H1052" t="s">
        <v>142</v>
      </c>
      <c r="I1052" t="s">
        <v>28</v>
      </c>
      <c r="J1052" t="s">
        <v>29</v>
      </c>
      <c r="K1052" t="s">
        <v>30</v>
      </c>
      <c r="L1052" t="s">
        <v>31</v>
      </c>
      <c r="M1052" t="s">
        <v>140</v>
      </c>
      <c r="N1052">
        <v>2.5514550000000002E-3</v>
      </c>
      <c r="O1052">
        <v>4.6882356E-2</v>
      </c>
      <c r="P1052">
        <v>4.1909729999999999E-2</v>
      </c>
      <c r="Q1052" t="str">
        <f t="shared" si="32"/>
        <v>&lt;01</v>
      </c>
      <c r="R1052" t="str">
        <f t="shared" si="33"/>
        <v>[AZyWpGzhcaA]|&lt;01|Female|HIV_PREV.T_1|CY2024Q3</v>
      </c>
    </row>
    <row r="1053" spans="4:18" x14ac:dyDescent="0.2">
      <c r="D1053" t="s">
        <v>111</v>
      </c>
      <c r="E1053" t="s">
        <v>112</v>
      </c>
      <c r="F1053" t="s">
        <v>113</v>
      </c>
      <c r="G1053" t="s">
        <v>141</v>
      </c>
      <c r="H1053" t="s">
        <v>142</v>
      </c>
      <c r="I1053" t="s">
        <v>33</v>
      </c>
      <c r="J1053" t="s">
        <v>34</v>
      </c>
      <c r="K1053" t="s">
        <v>30</v>
      </c>
      <c r="L1053" t="s">
        <v>31</v>
      </c>
      <c r="M1053" t="s">
        <v>140</v>
      </c>
      <c r="N1053">
        <v>6.0539030000000002E-3</v>
      </c>
      <c r="O1053">
        <v>5.3041072000000002E-2</v>
      </c>
      <c r="P1053">
        <v>4.1909729999999999E-2</v>
      </c>
      <c r="Q1053" t="str">
        <f t="shared" si="32"/>
        <v>01-09</v>
      </c>
      <c r="R1053" t="str">
        <f t="shared" si="33"/>
        <v>[AZyWpGzhcaA]|01-09|Female|HIV_PREV.T_1|CY2024Q3</v>
      </c>
    </row>
    <row r="1054" spans="4:18" x14ac:dyDescent="0.2">
      <c r="D1054" t="s">
        <v>111</v>
      </c>
      <c r="E1054" t="s">
        <v>112</v>
      </c>
      <c r="F1054" t="s">
        <v>113</v>
      </c>
      <c r="G1054" t="s">
        <v>141</v>
      </c>
      <c r="H1054" t="s">
        <v>142</v>
      </c>
      <c r="I1054" t="s">
        <v>36</v>
      </c>
      <c r="J1054" t="s">
        <v>37</v>
      </c>
      <c r="K1054" t="s">
        <v>30</v>
      </c>
      <c r="L1054" t="s">
        <v>31</v>
      </c>
      <c r="M1054" t="s">
        <v>140</v>
      </c>
      <c r="N1054">
        <v>1.5477388E-2</v>
      </c>
      <c r="O1054">
        <v>6.0885349999999998E-2</v>
      </c>
      <c r="P1054">
        <v>4.1909729999999999E-2</v>
      </c>
      <c r="Q1054" t="str">
        <f t="shared" si="32"/>
        <v>10-14</v>
      </c>
      <c r="R1054" t="str">
        <f t="shared" si="33"/>
        <v>[AZyWpGzhcaA]|10-14|Female|HIV_PREV.T_1|CY2024Q3</v>
      </c>
    </row>
    <row r="1055" spans="4:18" x14ac:dyDescent="0.2">
      <c r="D1055" t="s">
        <v>111</v>
      </c>
      <c r="E1055" t="s">
        <v>112</v>
      </c>
      <c r="F1055" t="s">
        <v>113</v>
      </c>
      <c r="G1055" t="s">
        <v>141</v>
      </c>
      <c r="H1055" t="s">
        <v>142</v>
      </c>
      <c r="I1055" t="s">
        <v>38</v>
      </c>
      <c r="J1055" t="s">
        <v>39</v>
      </c>
      <c r="K1055" t="s">
        <v>30</v>
      </c>
      <c r="L1055" t="s">
        <v>31</v>
      </c>
      <c r="M1055" t="s">
        <v>140</v>
      </c>
      <c r="N1055">
        <v>3.5641812000000002E-2</v>
      </c>
      <c r="O1055">
        <v>7.7109526999999997E-2</v>
      </c>
      <c r="P1055">
        <v>4.1909729999999999E-2</v>
      </c>
      <c r="Q1055" t="str">
        <f t="shared" si="32"/>
        <v>15-24</v>
      </c>
      <c r="R1055" t="str">
        <f t="shared" si="33"/>
        <v>[AZyWpGzhcaA]|15-24|Female|HIV_PREV.T_1|CY2024Q3</v>
      </c>
    </row>
    <row r="1056" spans="4:18" x14ac:dyDescent="0.2">
      <c r="D1056" t="s">
        <v>111</v>
      </c>
      <c r="E1056" t="s">
        <v>112</v>
      </c>
      <c r="F1056" t="s">
        <v>113</v>
      </c>
      <c r="G1056" t="s">
        <v>141</v>
      </c>
      <c r="H1056" t="s">
        <v>142</v>
      </c>
      <c r="I1056" t="s">
        <v>41</v>
      </c>
      <c r="J1056" t="s">
        <v>42</v>
      </c>
      <c r="K1056" t="s">
        <v>30</v>
      </c>
      <c r="L1056" t="s">
        <v>31</v>
      </c>
      <c r="M1056" t="s">
        <v>140</v>
      </c>
      <c r="N1056">
        <v>0.125687242</v>
      </c>
      <c r="O1056">
        <v>5.9192177999999998E-2</v>
      </c>
      <c r="P1056">
        <v>4.1909729999999999E-2</v>
      </c>
      <c r="Q1056" t="str">
        <f t="shared" si="32"/>
        <v>25-34</v>
      </c>
      <c r="R1056" t="str">
        <f t="shared" si="33"/>
        <v>[AZyWpGzhcaA]|25-34|Female|HIV_PREV.T_1|CY2024Q3</v>
      </c>
    </row>
    <row r="1057" spans="4:18" x14ac:dyDescent="0.2">
      <c r="D1057" t="s">
        <v>111</v>
      </c>
      <c r="E1057" t="s">
        <v>112</v>
      </c>
      <c r="F1057" t="s">
        <v>113</v>
      </c>
      <c r="G1057" t="s">
        <v>141</v>
      </c>
      <c r="H1057" t="s">
        <v>142</v>
      </c>
      <c r="I1057" t="s">
        <v>43</v>
      </c>
      <c r="J1057" t="s">
        <v>44</v>
      </c>
      <c r="K1057" t="s">
        <v>30</v>
      </c>
      <c r="L1057" t="s">
        <v>31</v>
      </c>
      <c r="M1057" t="s">
        <v>140</v>
      </c>
      <c r="N1057">
        <v>0.30795450600000002</v>
      </c>
      <c r="O1057">
        <v>4.2262007999999997E-2</v>
      </c>
      <c r="P1057">
        <v>4.1909729999999999E-2</v>
      </c>
      <c r="Q1057" t="str">
        <f t="shared" si="32"/>
        <v>35-49</v>
      </c>
      <c r="R1057" t="str">
        <f t="shared" si="33"/>
        <v>[AZyWpGzhcaA]|35-49|Female|HIV_PREV.T_1|CY2024Q3</v>
      </c>
    </row>
    <row r="1058" spans="4:18" x14ac:dyDescent="0.2">
      <c r="D1058" t="s">
        <v>111</v>
      </c>
      <c r="E1058" t="s">
        <v>112</v>
      </c>
      <c r="F1058" t="s">
        <v>113</v>
      </c>
      <c r="G1058" t="s">
        <v>141</v>
      </c>
      <c r="H1058" t="s">
        <v>142</v>
      </c>
      <c r="I1058" t="s">
        <v>45</v>
      </c>
      <c r="J1058" t="s">
        <v>46</v>
      </c>
      <c r="K1058" t="s">
        <v>30</v>
      </c>
      <c r="L1058" t="s">
        <v>31</v>
      </c>
      <c r="M1058" t="s">
        <v>140</v>
      </c>
      <c r="N1058">
        <v>0.23504441100000001</v>
      </c>
      <c r="O1058">
        <v>5.2195654000000001E-2</v>
      </c>
      <c r="P1058">
        <v>4.1909729999999999E-2</v>
      </c>
      <c r="Q1058" t="str">
        <f t="shared" si="32"/>
        <v>50+</v>
      </c>
      <c r="R1058" t="str">
        <f t="shared" si="33"/>
        <v>[AZyWpGzhcaA]|50+|Female|HIV_PREV.T_1|CY2024Q3</v>
      </c>
    </row>
    <row r="1059" spans="4:18" x14ac:dyDescent="0.2">
      <c r="D1059" t="s">
        <v>111</v>
      </c>
      <c r="E1059" t="s">
        <v>112</v>
      </c>
      <c r="F1059" t="s">
        <v>113</v>
      </c>
      <c r="G1059" t="s">
        <v>141</v>
      </c>
      <c r="H1059" t="s">
        <v>142</v>
      </c>
      <c r="I1059" t="s">
        <v>28</v>
      </c>
      <c r="J1059" t="s">
        <v>29</v>
      </c>
      <c r="K1059" t="s">
        <v>48</v>
      </c>
      <c r="L1059" t="s">
        <v>49</v>
      </c>
      <c r="M1059" t="s">
        <v>140</v>
      </c>
      <c r="N1059">
        <v>2.5377759999999998E-3</v>
      </c>
      <c r="O1059">
        <v>4.6900074E-2</v>
      </c>
      <c r="P1059">
        <v>4.1909729999999999E-2</v>
      </c>
      <c r="Q1059" t="str">
        <f t="shared" si="32"/>
        <v>&lt;01</v>
      </c>
      <c r="R1059" t="str">
        <f t="shared" si="33"/>
        <v>[AZyWpGzhcaA]|&lt;01|Male|HIV_PREV.T_1|CY2024Q3</v>
      </c>
    </row>
    <row r="1060" spans="4:18" x14ac:dyDescent="0.2">
      <c r="D1060" t="s">
        <v>111</v>
      </c>
      <c r="E1060" t="s">
        <v>112</v>
      </c>
      <c r="F1060" t="s">
        <v>113</v>
      </c>
      <c r="G1060" t="s">
        <v>141</v>
      </c>
      <c r="H1060" t="s">
        <v>142</v>
      </c>
      <c r="I1060" t="s">
        <v>33</v>
      </c>
      <c r="J1060" t="s">
        <v>34</v>
      </c>
      <c r="K1060" t="s">
        <v>48</v>
      </c>
      <c r="L1060" t="s">
        <v>49</v>
      </c>
      <c r="M1060" t="s">
        <v>140</v>
      </c>
      <c r="N1060">
        <v>6.0281960000000004E-3</v>
      </c>
      <c r="O1060">
        <v>5.3055682E-2</v>
      </c>
      <c r="P1060">
        <v>4.1909729999999999E-2</v>
      </c>
      <c r="Q1060" t="str">
        <f t="shared" si="32"/>
        <v>01-09</v>
      </c>
      <c r="R1060" t="str">
        <f t="shared" si="33"/>
        <v>[AZyWpGzhcaA]|01-09|Male|HIV_PREV.T_1|CY2024Q3</v>
      </c>
    </row>
    <row r="1061" spans="4:18" x14ac:dyDescent="0.2">
      <c r="D1061" t="s">
        <v>111</v>
      </c>
      <c r="E1061" t="s">
        <v>112</v>
      </c>
      <c r="F1061" t="s">
        <v>113</v>
      </c>
      <c r="G1061" t="s">
        <v>141</v>
      </c>
      <c r="H1061" t="s">
        <v>142</v>
      </c>
      <c r="I1061" t="s">
        <v>36</v>
      </c>
      <c r="J1061" t="s">
        <v>37</v>
      </c>
      <c r="K1061" t="s">
        <v>48</v>
      </c>
      <c r="L1061" t="s">
        <v>49</v>
      </c>
      <c r="M1061" t="s">
        <v>140</v>
      </c>
      <c r="N1061">
        <v>1.52096E-2</v>
      </c>
      <c r="O1061">
        <v>6.0885703999999999E-2</v>
      </c>
      <c r="P1061">
        <v>4.1909729999999999E-2</v>
      </c>
      <c r="Q1061" t="str">
        <f t="shared" si="32"/>
        <v>10-14</v>
      </c>
      <c r="R1061" t="str">
        <f t="shared" si="33"/>
        <v>[AZyWpGzhcaA]|10-14|Male|HIV_PREV.T_1|CY2024Q3</v>
      </c>
    </row>
    <row r="1062" spans="4:18" x14ac:dyDescent="0.2">
      <c r="D1062" t="s">
        <v>111</v>
      </c>
      <c r="E1062" t="s">
        <v>112</v>
      </c>
      <c r="F1062" t="s">
        <v>113</v>
      </c>
      <c r="G1062" t="s">
        <v>141</v>
      </c>
      <c r="H1062" t="s">
        <v>142</v>
      </c>
      <c r="I1062" t="s">
        <v>38</v>
      </c>
      <c r="J1062" t="s">
        <v>39</v>
      </c>
      <c r="K1062" t="s">
        <v>48</v>
      </c>
      <c r="L1062" t="s">
        <v>49</v>
      </c>
      <c r="M1062" t="s">
        <v>140</v>
      </c>
      <c r="N1062">
        <v>2.4836566000000001E-2</v>
      </c>
      <c r="O1062">
        <v>8.2349659000000006E-2</v>
      </c>
      <c r="P1062">
        <v>4.1909729999999999E-2</v>
      </c>
      <c r="Q1062" t="str">
        <f t="shared" si="32"/>
        <v>15-24</v>
      </c>
      <c r="R1062" t="str">
        <f t="shared" si="33"/>
        <v>[AZyWpGzhcaA]|15-24|Male|HIV_PREV.T_1|CY2024Q3</v>
      </c>
    </row>
    <row r="1063" spans="4:18" x14ac:dyDescent="0.2">
      <c r="D1063" t="s">
        <v>111</v>
      </c>
      <c r="E1063" t="s">
        <v>112</v>
      </c>
      <c r="F1063" t="s">
        <v>113</v>
      </c>
      <c r="G1063" t="s">
        <v>141</v>
      </c>
      <c r="H1063" t="s">
        <v>142</v>
      </c>
      <c r="I1063" t="s">
        <v>41</v>
      </c>
      <c r="J1063" t="s">
        <v>42</v>
      </c>
      <c r="K1063" t="s">
        <v>48</v>
      </c>
      <c r="L1063" t="s">
        <v>49</v>
      </c>
      <c r="M1063" t="s">
        <v>140</v>
      </c>
      <c r="N1063">
        <v>4.9266281000000002E-2</v>
      </c>
      <c r="O1063">
        <v>7.8821034999999998E-2</v>
      </c>
      <c r="P1063">
        <v>4.1909729999999999E-2</v>
      </c>
      <c r="Q1063" t="str">
        <f t="shared" si="32"/>
        <v>25-34</v>
      </c>
      <c r="R1063" t="str">
        <f t="shared" si="33"/>
        <v>[AZyWpGzhcaA]|25-34|Male|HIV_PREV.T_1|CY2024Q3</v>
      </c>
    </row>
    <row r="1064" spans="4:18" x14ac:dyDescent="0.2">
      <c r="D1064" t="s">
        <v>111</v>
      </c>
      <c r="E1064" t="s">
        <v>112</v>
      </c>
      <c r="F1064" t="s">
        <v>113</v>
      </c>
      <c r="G1064" t="s">
        <v>141</v>
      </c>
      <c r="H1064" t="s">
        <v>142</v>
      </c>
      <c r="I1064" t="s">
        <v>43</v>
      </c>
      <c r="J1064" t="s">
        <v>44</v>
      </c>
      <c r="K1064" t="s">
        <v>48</v>
      </c>
      <c r="L1064" t="s">
        <v>49</v>
      </c>
      <c r="M1064" t="s">
        <v>140</v>
      </c>
      <c r="N1064">
        <v>0.18914888299999999</v>
      </c>
      <c r="O1064">
        <v>4.9566976999999998E-2</v>
      </c>
      <c r="P1064">
        <v>4.1909729999999999E-2</v>
      </c>
      <c r="Q1064" t="str">
        <f t="shared" si="32"/>
        <v>35-49</v>
      </c>
      <c r="R1064" t="str">
        <f t="shared" si="33"/>
        <v>[AZyWpGzhcaA]|35-49|Male|HIV_PREV.T_1|CY2024Q3</v>
      </c>
    </row>
    <row r="1065" spans="4:18" x14ac:dyDescent="0.2">
      <c r="D1065" t="s">
        <v>111</v>
      </c>
      <c r="E1065" t="s">
        <v>112</v>
      </c>
      <c r="F1065" t="s">
        <v>113</v>
      </c>
      <c r="G1065" t="s">
        <v>141</v>
      </c>
      <c r="H1065" t="s">
        <v>142</v>
      </c>
      <c r="I1065" t="s">
        <v>45</v>
      </c>
      <c r="J1065" t="s">
        <v>46</v>
      </c>
      <c r="K1065" t="s">
        <v>48</v>
      </c>
      <c r="L1065" t="s">
        <v>49</v>
      </c>
      <c r="M1065" t="s">
        <v>140</v>
      </c>
      <c r="N1065">
        <v>0.23748361700000001</v>
      </c>
      <c r="O1065">
        <v>4.7404975000000002E-2</v>
      </c>
      <c r="P1065">
        <v>4.1909729999999999E-2</v>
      </c>
      <c r="Q1065" t="str">
        <f t="shared" si="32"/>
        <v>50+</v>
      </c>
      <c r="R1065" t="str">
        <f t="shared" si="33"/>
        <v>[AZyWpGzhcaA]|50+|Male|HIV_PREV.T_1|CY2024Q3</v>
      </c>
    </row>
    <row r="1066" spans="4:18" x14ac:dyDescent="0.2">
      <c r="D1066" t="s">
        <v>114</v>
      </c>
      <c r="E1066" t="s">
        <v>115</v>
      </c>
      <c r="F1066" t="s">
        <v>116</v>
      </c>
      <c r="G1066" t="s">
        <v>141</v>
      </c>
      <c r="H1066" t="s">
        <v>142</v>
      </c>
      <c r="I1066" t="s">
        <v>28</v>
      </c>
      <c r="J1066" t="s">
        <v>29</v>
      </c>
      <c r="K1066" t="s">
        <v>30</v>
      </c>
      <c r="L1066" t="s">
        <v>31</v>
      </c>
      <c r="M1066" t="s">
        <v>140</v>
      </c>
      <c r="N1066">
        <v>2.030909E-3</v>
      </c>
      <c r="O1066">
        <v>7.1608178999999994E-2</v>
      </c>
      <c r="P1066">
        <v>6.8082961999999997E-2</v>
      </c>
      <c r="Q1066" t="str">
        <f t="shared" si="32"/>
        <v>&lt;01</v>
      </c>
      <c r="R1066" t="str">
        <f t="shared" si="33"/>
        <v>[ir8wuHHzoSs]|&lt;01|Female|HIV_PREV.T_1|CY2024Q3</v>
      </c>
    </row>
    <row r="1067" spans="4:18" x14ac:dyDescent="0.2">
      <c r="D1067" t="s">
        <v>114</v>
      </c>
      <c r="E1067" t="s">
        <v>115</v>
      </c>
      <c r="F1067" t="s">
        <v>116</v>
      </c>
      <c r="G1067" t="s">
        <v>141</v>
      </c>
      <c r="H1067" t="s">
        <v>142</v>
      </c>
      <c r="I1067" t="s">
        <v>33</v>
      </c>
      <c r="J1067" t="s">
        <v>34</v>
      </c>
      <c r="K1067" t="s">
        <v>30</v>
      </c>
      <c r="L1067" t="s">
        <v>31</v>
      </c>
      <c r="M1067" t="s">
        <v>140</v>
      </c>
      <c r="N1067">
        <v>5.0473009999999997E-3</v>
      </c>
      <c r="O1067">
        <v>7.6930261E-2</v>
      </c>
      <c r="P1067">
        <v>6.8082961999999997E-2</v>
      </c>
      <c r="Q1067" t="str">
        <f t="shared" si="32"/>
        <v>01-09</v>
      </c>
      <c r="R1067" t="str">
        <f t="shared" si="33"/>
        <v>[ir8wuHHzoSs]|01-09|Female|HIV_PREV.T_1|CY2024Q3</v>
      </c>
    </row>
    <row r="1068" spans="4:18" x14ac:dyDescent="0.2">
      <c r="D1068" t="s">
        <v>114</v>
      </c>
      <c r="E1068" t="s">
        <v>115</v>
      </c>
      <c r="F1068" t="s">
        <v>116</v>
      </c>
      <c r="G1068" t="s">
        <v>141</v>
      </c>
      <c r="H1068" t="s">
        <v>142</v>
      </c>
      <c r="I1068" t="s">
        <v>36</v>
      </c>
      <c r="J1068" t="s">
        <v>37</v>
      </c>
      <c r="K1068" t="s">
        <v>30</v>
      </c>
      <c r="L1068" t="s">
        <v>31</v>
      </c>
      <c r="M1068" t="s">
        <v>140</v>
      </c>
      <c r="N1068">
        <v>1.2996733E-2</v>
      </c>
      <c r="O1068">
        <v>8.3752633000000007E-2</v>
      </c>
      <c r="P1068">
        <v>6.8082961999999997E-2</v>
      </c>
      <c r="Q1068" t="str">
        <f t="shared" si="32"/>
        <v>10-14</v>
      </c>
      <c r="R1068" t="str">
        <f t="shared" si="33"/>
        <v>[ir8wuHHzoSs]|10-14|Female|HIV_PREV.T_1|CY2024Q3</v>
      </c>
    </row>
    <row r="1069" spans="4:18" x14ac:dyDescent="0.2">
      <c r="D1069" t="s">
        <v>114</v>
      </c>
      <c r="E1069" t="s">
        <v>115</v>
      </c>
      <c r="F1069" t="s">
        <v>116</v>
      </c>
      <c r="G1069" t="s">
        <v>141</v>
      </c>
      <c r="H1069" t="s">
        <v>142</v>
      </c>
      <c r="I1069" t="s">
        <v>38</v>
      </c>
      <c r="J1069" t="s">
        <v>39</v>
      </c>
      <c r="K1069" t="s">
        <v>30</v>
      </c>
      <c r="L1069" t="s">
        <v>31</v>
      </c>
      <c r="M1069" t="s">
        <v>140</v>
      </c>
      <c r="N1069">
        <v>2.6987601E-2</v>
      </c>
      <c r="O1069">
        <v>9.7135973E-2</v>
      </c>
      <c r="P1069">
        <v>6.8082961999999997E-2</v>
      </c>
      <c r="Q1069" t="str">
        <f t="shared" si="32"/>
        <v>15-24</v>
      </c>
      <c r="R1069" t="str">
        <f t="shared" si="33"/>
        <v>[ir8wuHHzoSs]|15-24|Female|HIV_PREV.T_1|CY2024Q3</v>
      </c>
    </row>
    <row r="1070" spans="4:18" x14ac:dyDescent="0.2">
      <c r="D1070" t="s">
        <v>114</v>
      </c>
      <c r="E1070" t="s">
        <v>115</v>
      </c>
      <c r="F1070" t="s">
        <v>116</v>
      </c>
      <c r="G1070" t="s">
        <v>141</v>
      </c>
      <c r="H1070" t="s">
        <v>142</v>
      </c>
      <c r="I1070" t="s">
        <v>41</v>
      </c>
      <c r="J1070" t="s">
        <v>42</v>
      </c>
      <c r="K1070" t="s">
        <v>30</v>
      </c>
      <c r="L1070" t="s">
        <v>31</v>
      </c>
      <c r="M1070" t="s">
        <v>140</v>
      </c>
      <c r="N1070">
        <v>9.7608734000000003E-2</v>
      </c>
      <c r="O1070">
        <v>8.4228240999999995E-2</v>
      </c>
      <c r="P1070">
        <v>6.8082961999999997E-2</v>
      </c>
      <c r="Q1070" t="str">
        <f t="shared" si="32"/>
        <v>25-34</v>
      </c>
      <c r="R1070" t="str">
        <f t="shared" si="33"/>
        <v>[ir8wuHHzoSs]|25-34|Female|HIV_PREV.T_1|CY2024Q3</v>
      </c>
    </row>
    <row r="1071" spans="4:18" x14ac:dyDescent="0.2">
      <c r="D1071" t="s">
        <v>114</v>
      </c>
      <c r="E1071" t="s">
        <v>115</v>
      </c>
      <c r="F1071" t="s">
        <v>116</v>
      </c>
      <c r="G1071" t="s">
        <v>141</v>
      </c>
      <c r="H1071" t="s">
        <v>142</v>
      </c>
      <c r="I1071" t="s">
        <v>43</v>
      </c>
      <c r="J1071" t="s">
        <v>44</v>
      </c>
      <c r="K1071" t="s">
        <v>30</v>
      </c>
      <c r="L1071" t="s">
        <v>31</v>
      </c>
      <c r="M1071" t="s">
        <v>140</v>
      </c>
      <c r="N1071">
        <v>0.23486480900000001</v>
      </c>
      <c r="O1071">
        <v>6.6442025000000002E-2</v>
      </c>
      <c r="P1071">
        <v>6.8082961999999997E-2</v>
      </c>
      <c r="Q1071" t="str">
        <f t="shared" si="32"/>
        <v>35-49</v>
      </c>
      <c r="R1071" t="str">
        <f t="shared" si="33"/>
        <v>[ir8wuHHzoSs]|35-49|Female|HIV_PREV.T_1|CY2024Q3</v>
      </c>
    </row>
    <row r="1072" spans="4:18" x14ac:dyDescent="0.2">
      <c r="D1072" t="s">
        <v>114</v>
      </c>
      <c r="E1072" t="s">
        <v>115</v>
      </c>
      <c r="F1072" t="s">
        <v>116</v>
      </c>
      <c r="G1072" t="s">
        <v>141</v>
      </c>
      <c r="H1072" t="s">
        <v>142</v>
      </c>
      <c r="I1072" t="s">
        <v>45</v>
      </c>
      <c r="J1072" t="s">
        <v>46</v>
      </c>
      <c r="K1072" t="s">
        <v>30</v>
      </c>
      <c r="L1072" t="s">
        <v>31</v>
      </c>
      <c r="M1072" t="s">
        <v>140</v>
      </c>
      <c r="N1072">
        <v>0.182935084</v>
      </c>
      <c r="O1072">
        <v>7.4176344000000005E-2</v>
      </c>
      <c r="P1072">
        <v>6.8082961999999997E-2</v>
      </c>
      <c r="Q1072" t="str">
        <f t="shared" si="32"/>
        <v>50+</v>
      </c>
      <c r="R1072" t="str">
        <f t="shared" si="33"/>
        <v>[ir8wuHHzoSs]|50+|Female|HIV_PREV.T_1|CY2024Q3</v>
      </c>
    </row>
    <row r="1073" spans="4:18" x14ac:dyDescent="0.2">
      <c r="D1073" t="s">
        <v>114</v>
      </c>
      <c r="E1073" t="s">
        <v>115</v>
      </c>
      <c r="F1073" t="s">
        <v>116</v>
      </c>
      <c r="G1073" t="s">
        <v>141</v>
      </c>
      <c r="H1073" t="s">
        <v>142</v>
      </c>
      <c r="I1073" t="s">
        <v>28</v>
      </c>
      <c r="J1073" t="s">
        <v>29</v>
      </c>
      <c r="K1073" t="s">
        <v>48</v>
      </c>
      <c r="L1073" t="s">
        <v>49</v>
      </c>
      <c r="M1073" t="s">
        <v>140</v>
      </c>
      <c r="N1073">
        <v>2.03097E-3</v>
      </c>
      <c r="O1073">
        <v>7.1637046999999995E-2</v>
      </c>
      <c r="P1073">
        <v>6.8082961999999997E-2</v>
      </c>
      <c r="Q1073" t="str">
        <f t="shared" si="32"/>
        <v>&lt;01</v>
      </c>
      <c r="R1073" t="str">
        <f t="shared" si="33"/>
        <v>[ir8wuHHzoSs]|&lt;01|Male|HIV_PREV.T_1|CY2024Q3</v>
      </c>
    </row>
    <row r="1074" spans="4:18" x14ac:dyDescent="0.2">
      <c r="D1074" t="s">
        <v>114</v>
      </c>
      <c r="E1074" t="s">
        <v>115</v>
      </c>
      <c r="F1074" t="s">
        <v>116</v>
      </c>
      <c r="G1074" t="s">
        <v>141</v>
      </c>
      <c r="H1074" t="s">
        <v>142</v>
      </c>
      <c r="I1074" t="s">
        <v>33</v>
      </c>
      <c r="J1074" t="s">
        <v>34</v>
      </c>
      <c r="K1074" t="s">
        <v>48</v>
      </c>
      <c r="L1074" t="s">
        <v>49</v>
      </c>
      <c r="M1074" t="s">
        <v>140</v>
      </c>
      <c r="N1074">
        <v>5.0351069999999996E-3</v>
      </c>
      <c r="O1074">
        <v>7.6959140999999995E-2</v>
      </c>
      <c r="P1074">
        <v>6.8082961999999997E-2</v>
      </c>
      <c r="Q1074" t="str">
        <f t="shared" si="32"/>
        <v>01-09</v>
      </c>
      <c r="R1074" t="str">
        <f t="shared" si="33"/>
        <v>[ir8wuHHzoSs]|01-09|Male|HIV_PREV.T_1|CY2024Q3</v>
      </c>
    </row>
    <row r="1075" spans="4:18" x14ac:dyDescent="0.2">
      <c r="D1075" t="s">
        <v>114</v>
      </c>
      <c r="E1075" t="s">
        <v>115</v>
      </c>
      <c r="F1075" t="s">
        <v>116</v>
      </c>
      <c r="G1075" t="s">
        <v>141</v>
      </c>
      <c r="H1075" t="s">
        <v>142</v>
      </c>
      <c r="I1075" t="s">
        <v>36</v>
      </c>
      <c r="J1075" t="s">
        <v>37</v>
      </c>
      <c r="K1075" t="s">
        <v>48</v>
      </c>
      <c r="L1075" t="s">
        <v>49</v>
      </c>
      <c r="M1075" t="s">
        <v>140</v>
      </c>
      <c r="N1075">
        <v>1.2993662E-2</v>
      </c>
      <c r="O1075">
        <v>8.3754011000000003E-2</v>
      </c>
      <c r="P1075">
        <v>6.8082961999999997E-2</v>
      </c>
      <c r="Q1075" t="str">
        <f t="shared" si="32"/>
        <v>10-14</v>
      </c>
      <c r="R1075" t="str">
        <f t="shared" si="33"/>
        <v>[ir8wuHHzoSs]|10-14|Male|HIV_PREV.T_1|CY2024Q3</v>
      </c>
    </row>
    <row r="1076" spans="4:18" x14ac:dyDescent="0.2">
      <c r="D1076" t="s">
        <v>114</v>
      </c>
      <c r="E1076" t="s">
        <v>115</v>
      </c>
      <c r="F1076" t="s">
        <v>116</v>
      </c>
      <c r="G1076" t="s">
        <v>141</v>
      </c>
      <c r="H1076" t="s">
        <v>142</v>
      </c>
      <c r="I1076" t="s">
        <v>38</v>
      </c>
      <c r="J1076" t="s">
        <v>39</v>
      </c>
      <c r="K1076" t="s">
        <v>48</v>
      </c>
      <c r="L1076" t="s">
        <v>49</v>
      </c>
      <c r="M1076" t="s">
        <v>140</v>
      </c>
      <c r="N1076">
        <v>1.8938349E-2</v>
      </c>
      <c r="O1076">
        <v>9.8472925000000003E-2</v>
      </c>
      <c r="P1076">
        <v>6.8082961999999997E-2</v>
      </c>
      <c r="Q1076" t="str">
        <f t="shared" si="32"/>
        <v>15-24</v>
      </c>
      <c r="R1076" t="str">
        <f t="shared" si="33"/>
        <v>[ir8wuHHzoSs]|15-24|Male|HIV_PREV.T_1|CY2024Q3</v>
      </c>
    </row>
    <row r="1077" spans="4:18" x14ac:dyDescent="0.2">
      <c r="D1077" t="s">
        <v>114</v>
      </c>
      <c r="E1077" t="s">
        <v>115</v>
      </c>
      <c r="F1077" t="s">
        <v>116</v>
      </c>
      <c r="G1077" t="s">
        <v>141</v>
      </c>
      <c r="H1077" t="s">
        <v>142</v>
      </c>
      <c r="I1077" t="s">
        <v>41</v>
      </c>
      <c r="J1077" t="s">
        <v>42</v>
      </c>
      <c r="K1077" t="s">
        <v>48</v>
      </c>
      <c r="L1077" t="s">
        <v>49</v>
      </c>
      <c r="M1077" t="s">
        <v>140</v>
      </c>
      <c r="N1077">
        <v>3.5385710000000001E-2</v>
      </c>
      <c r="O1077">
        <v>9.9666007000000001E-2</v>
      </c>
      <c r="P1077">
        <v>6.8082961999999997E-2</v>
      </c>
      <c r="Q1077" t="str">
        <f t="shared" si="32"/>
        <v>25-34</v>
      </c>
      <c r="R1077" t="str">
        <f t="shared" si="33"/>
        <v>[ir8wuHHzoSs]|25-34|Male|HIV_PREV.T_1|CY2024Q3</v>
      </c>
    </row>
    <row r="1078" spans="4:18" x14ac:dyDescent="0.2">
      <c r="D1078" t="s">
        <v>114</v>
      </c>
      <c r="E1078" t="s">
        <v>115</v>
      </c>
      <c r="F1078" t="s">
        <v>116</v>
      </c>
      <c r="G1078" t="s">
        <v>141</v>
      </c>
      <c r="H1078" t="s">
        <v>142</v>
      </c>
      <c r="I1078" t="s">
        <v>43</v>
      </c>
      <c r="J1078" t="s">
        <v>44</v>
      </c>
      <c r="K1078" t="s">
        <v>48</v>
      </c>
      <c r="L1078" t="s">
        <v>49</v>
      </c>
      <c r="M1078" t="s">
        <v>140</v>
      </c>
      <c r="N1078">
        <v>0.13439896200000001</v>
      </c>
      <c r="O1078">
        <v>7.5541776000000005E-2</v>
      </c>
      <c r="P1078">
        <v>6.8082961999999997E-2</v>
      </c>
      <c r="Q1078" t="str">
        <f t="shared" si="32"/>
        <v>35-49</v>
      </c>
      <c r="R1078" t="str">
        <f t="shared" si="33"/>
        <v>[ir8wuHHzoSs]|35-49|Male|HIV_PREV.T_1|CY2024Q3</v>
      </c>
    </row>
    <row r="1079" spans="4:18" x14ac:dyDescent="0.2">
      <c r="D1079" t="s">
        <v>114</v>
      </c>
      <c r="E1079" t="s">
        <v>115</v>
      </c>
      <c r="F1079" t="s">
        <v>116</v>
      </c>
      <c r="G1079" t="s">
        <v>141</v>
      </c>
      <c r="H1079" t="s">
        <v>142</v>
      </c>
      <c r="I1079" t="s">
        <v>45</v>
      </c>
      <c r="J1079" t="s">
        <v>46</v>
      </c>
      <c r="K1079" t="s">
        <v>48</v>
      </c>
      <c r="L1079" t="s">
        <v>49</v>
      </c>
      <c r="M1079" t="s">
        <v>140</v>
      </c>
      <c r="N1079">
        <v>0.174125154</v>
      </c>
      <c r="O1079">
        <v>7.2018027999999998E-2</v>
      </c>
      <c r="P1079">
        <v>6.8082961999999997E-2</v>
      </c>
      <c r="Q1079" t="str">
        <f t="shared" si="32"/>
        <v>50+</v>
      </c>
      <c r="R1079" t="str">
        <f t="shared" si="33"/>
        <v>[ir8wuHHzoSs]|50+|Male|HIV_PREV.T_1|CY2024Q3</v>
      </c>
    </row>
    <row r="1080" spans="4:18" x14ac:dyDescent="0.2">
      <c r="D1080" t="s">
        <v>117</v>
      </c>
      <c r="E1080" t="s">
        <v>118</v>
      </c>
      <c r="F1080" t="s">
        <v>119</v>
      </c>
      <c r="G1080" t="s">
        <v>141</v>
      </c>
      <c r="H1080" t="s">
        <v>142</v>
      </c>
      <c r="I1080" t="s">
        <v>28</v>
      </c>
      <c r="J1080" t="s">
        <v>29</v>
      </c>
      <c r="K1080" t="s">
        <v>30</v>
      </c>
      <c r="L1080" t="s">
        <v>31</v>
      </c>
      <c r="M1080" t="s">
        <v>140</v>
      </c>
      <c r="N1080">
        <v>3.3945529999999998E-3</v>
      </c>
      <c r="O1080">
        <v>5.8210314999999999E-2</v>
      </c>
      <c r="P1080">
        <v>5.4667558999999998E-2</v>
      </c>
      <c r="Q1080" t="str">
        <f t="shared" si="32"/>
        <v>&lt;01</v>
      </c>
      <c r="R1080" t="str">
        <f t="shared" si="33"/>
        <v>[oiPR2CiVJbf]|&lt;01|Female|HIV_PREV.T_1|CY2024Q3</v>
      </c>
    </row>
    <row r="1081" spans="4:18" x14ac:dyDescent="0.2">
      <c r="D1081" t="s">
        <v>117</v>
      </c>
      <c r="E1081" t="s">
        <v>118</v>
      </c>
      <c r="F1081" t="s">
        <v>119</v>
      </c>
      <c r="G1081" t="s">
        <v>141</v>
      </c>
      <c r="H1081" t="s">
        <v>142</v>
      </c>
      <c r="I1081" t="s">
        <v>33</v>
      </c>
      <c r="J1081" t="s">
        <v>34</v>
      </c>
      <c r="K1081" t="s">
        <v>30</v>
      </c>
      <c r="L1081" t="s">
        <v>31</v>
      </c>
      <c r="M1081" t="s">
        <v>140</v>
      </c>
      <c r="N1081">
        <v>7.3425859999999999E-3</v>
      </c>
      <c r="O1081">
        <v>6.3933978000000002E-2</v>
      </c>
      <c r="P1081">
        <v>5.4667558999999998E-2</v>
      </c>
      <c r="Q1081" t="str">
        <f t="shared" si="32"/>
        <v>01-09</v>
      </c>
      <c r="R1081" t="str">
        <f t="shared" si="33"/>
        <v>[oiPR2CiVJbf]|01-09|Female|HIV_PREV.T_1|CY2024Q3</v>
      </c>
    </row>
    <row r="1082" spans="4:18" x14ac:dyDescent="0.2">
      <c r="D1082" t="s">
        <v>117</v>
      </c>
      <c r="E1082" t="s">
        <v>118</v>
      </c>
      <c r="F1082" t="s">
        <v>119</v>
      </c>
      <c r="G1082" t="s">
        <v>141</v>
      </c>
      <c r="H1082" t="s">
        <v>142</v>
      </c>
      <c r="I1082" t="s">
        <v>36</v>
      </c>
      <c r="J1082" t="s">
        <v>37</v>
      </c>
      <c r="K1082" t="s">
        <v>30</v>
      </c>
      <c r="L1082" t="s">
        <v>31</v>
      </c>
      <c r="M1082" t="s">
        <v>140</v>
      </c>
      <c r="N1082">
        <v>1.6832614999999999E-2</v>
      </c>
      <c r="O1082">
        <v>7.1705333999999996E-2</v>
      </c>
      <c r="P1082">
        <v>5.4667558999999998E-2</v>
      </c>
      <c r="Q1082" t="str">
        <f t="shared" si="32"/>
        <v>10-14</v>
      </c>
      <c r="R1082" t="str">
        <f t="shared" si="33"/>
        <v>[oiPR2CiVJbf]|10-14|Female|HIV_PREV.T_1|CY2024Q3</v>
      </c>
    </row>
    <row r="1083" spans="4:18" x14ac:dyDescent="0.2">
      <c r="D1083" t="s">
        <v>117</v>
      </c>
      <c r="E1083" t="s">
        <v>118</v>
      </c>
      <c r="F1083" t="s">
        <v>119</v>
      </c>
      <c r="G1083" t="s">
        <v>141</v>
      </c>
      <c r="H1083" t="s">
        <v>142</v>
      </c>
      <c r="I1083" t="s">
        <v>38</v>
      </c>
      <c r="J1083" t="s">
        <v>39</v>
      </c>
      <c r="K1083" t="s">
        <v>30</v>
      </c>
      <c r="L1083" t="s">
        <v>31</v>
      </c>
      <c r="M1083" t="s">
        <v>140</v>
      </c>
      <c r="N1083">
        <v>4.0991469000000003E-2</v>
      </c>
      <c r="O1083">
        <v>9.0297621999999994E-2</v>
      </c>
      <c r="P1083">
        <v>5.4667558999999998E-2</v>
      </c>
      <c r="Q1083" t="str">
        <f t="shared" si="32"/>
        <v>15-24</v>
      </c>
      <c r="R1083" t="str">
        <f t="shared" si="33"/>
        <v>[oiPR2CiVJbf]|15-24|Female|HIV_PREV.T_1|CY2024Q3</v>
      </c>
    </row>
    <row r="1084" spans="4:18" x14ac:dyDescent="0.2">
      <c r="D1084" t="s">
        <v>117</v>
      </c>
      <c r="E1084" t="s">
        <v>118</v>
      </c>
      <c r="F1084" t="s">
        <v>119</v>
      </c>
      <c r="G1084" t="s">
        <v>141</v>
      </c>
      <c r="H1084" t="s">
        <v>142</v>
      </c>
      <c r="I1084" t="s">
        <v>41</v>
      </c>
      <c r="J1084" t="s">
        <v>42</v>
      </c>
      <c r="K1084" t="s">
        <v>30</v>
      </c>
      <c r="L1084" t="s">
        <v>31</v>
      </c>
      <c r="M1084" t="s">
        <v>140</v>
      </c>
      <c r="N1084">
        <v>0.149707233</v>
      </c>
      <c r="O1084">
        <v>6.9675912000000007E-2</v>
      </c>
      <c r="P1084">
        <v>5.4667558999999998E-2</v>
      </c>
      <c r="Q1084" t="str">
        <f t="shared" si="32"/>
        <v>25-34</v>
      </c>
      <c r="R1084" t="str">
        <f t="shared" si="33"/>
        <v>[oiPR2CiVJbf]|25-34|Female|HIV_PREV.T_1|CY2024Q3</v>
      </c>
    </row>
    <row r="1085" spans="4:18" x14ac:dyDescent="0.2">
      <c r="D1085" t="s">
        <v>117</v>
      </c>
      <c r="E1085" t="s">
        <v>118</v>
      </c>
      <c r="F1085" t="s">
        <v>119</v>
      </c>
      <c r="G1085" t="s">
        <v>141</v>
      </c>
      <c r="H1085" t="s">
        <v>142</v>
      </c>
      <c r="I1085" t="s">
        <v>43</v>
      </c>
      <c r="J1085" t="s">
        <v>44</v>
      </c>
      <c r="K1085" t="s">
        <v>30</v>
      </c>
      <c r="L1085" t="s">
        <v>31</v>
      </c>
      <c r="M1085" t="s">
        <v>140</v>
      </c>
      <c r="N1085">
        <v>0.33444923300000001</v>
      </c>
      <c r="O1085">
        <v>5.3149984999999997E-2</v>
      </c>
      <c r="P1085">
        <v>5.4667558999999998E-2</v>
      </c>
      <c r="Q1085" t="str">
        <f t="shared" si="32"/>
        <v>35-49</v>
      </c>
      <c r="R1085" t="str">
        <f t="shared" si="33"/>
        <v>[oiPR2CiVJbf]|35-49|Female|HIV_PREV.T_1|CY2024Q3</v>
      </c>
    </row>
    <row r="1086" spans="4:18" x14ac:dyDescent="0.2">
      <c r="D1086" t="s">
        <v>117</v>
      </c>
      <c r="E1086" t="s">
        <v>118</v>
      </c>
      <c r="F1086" t="s">
        <v>119</v>
      </c>
      <c r="G1086" t="s">
        <v>141</v>
      </c>
      <c r="H1086" t="s">
        <v>142</v>
      </c>
      <c r="I1086" t="s">
        <v>45</v>
      </c>
      <c r="J1086" t="s">
        <v>46</v>
      </c>
      <c r="K1086" t="s">
        <v>30</v>
      </c>
      <c r="L1086" t="s">
        <v>31</v>
      </c>
      <c r="M1086" t="s">
        <v>140</v>
      </c>
      <c r="N1086">
        <v>0.263482402</v>
      </c>
      <c r="O1086">
        <v>6.3269427000000003E-2</v>
      </c>
      <c r="P1086">
        <v>5.4667558999999998E-2</v>
      </c>
      <c r="Q1086" t="str">
        <f t="shared" si="32"/>
        <v>50+</v>
      </c>
      <c r="R1086" t="str">
        <f t="shared" si="33"/>
        <v>[oiPR2CiVJbf]|50+|Female|HIV_PREV.T_1|CY2024Q3</v>
      </c>
    </row>
    <row r="1087" spans="4:18" x14ac:dyDescent="0.2">
      <c r="D1087" t="s">
        <v>117</v>
      </c>
      <c r="E1087" t="s">
        <v>118</v>
      </c>
      <c r="F1087" t="s">
        <v>119</v>
      </c>
      <c r="G1087" t="s">
        <v>141</v>
      </c>
      <c r="H1087" t="s">
        <v>142</v>
      </c>
      <c r="I1087" t="s">
        <v>28</v>
      </c>
      <c r="J1087" t="s">
        <v>29</v>
      </c>
      <c r="K1087" t="s">
        <v>48</v>
      </c>
      <c r="L1087" t="s">
        <v>49</v>
      </c>
      <c r="M1087" t="s">
        <v>140</v>
      </c>
      <c r="N1087">
        <v>3.3429890000000002E-3</v>
      </c>
      <c r="O1087">
        <v>5.8260026999999999E-2</v>
      </c>
      <c r="P1087">
        <v>5.4667558999999998E-2</v>
      </c>
      <c r="Q1087" t="str">
        <f t="shared" si="32"/>
        <v>&lt;01</v>
      </c>
      <c r="R1087" t="str">
        <f t="shared" si="33"/>
        <v>[oiPR2CiVJbf]|&lt;01|Male|HIV_PREV.T_1|CY2024Q3</v>
      </c>
    </row>
    <row r="1088" spans="4:18" x14ac:dyDescent="0.2">
      <c r="D1088" t="s">
        <v>117</v>
      </c>
      <c r="E1088" t="s">
        <v>118</v>
      </c>
      <c r="F1088" t="s">
        <v>119</v>
      </c>
      <c r="G1088" t="s">
        <v>141</v>
      </c>
      <c r="H1088" t="s">
        <v>142</v>
      </c>
      <c r="I1088" t="s">
        <v>33</v>
      </c>
      <c r="J1088" t="s">
        <v>34</v>
      </c>
      <c r="K1088" t="s">
        <v>48</v>
      </c>
      <c r="L1088" t="s">
        <v>49</v>
      </c>
      <c r="M1088" t="s">
        <v>140</v>
      </c>
      <c r="N1088">
        <v>7.2597829999999997E-3</v>
      </c>
      <c r="O1088">
        <v>6.3986161E-2</v>
      </c>
      <c r="P1088">
        <v>5.4667558999999998E-2</v>
      </c>
      <c r="Q1088" t="str">
        <f t="shared" si="32"/>
        <v>01-09</v>
      </c>
      <c r="R1088" t="str">
        <f t="shared" si="33"/>
        <v>[oiPR2CiVJbf]|01-09|Male|HIV_PREV.T_1|CY2024Q3</v>
      </c>
    </row>
    <row r="1089" spans="4:18" x14ac:dyDescent="0.2">
      <c r="D1089" t="s">
        <v>117</v>
      </c>
      <c r="E1089" t="s">
        <v>118</v>
      </c>
      <c r="F1089" t="s">
        <v>119</v>
      </c>
      <c r="G1089" t="s">
        <v>141</v>
      </c>
      <c r="H1089" t="s">
        <v>142</v>
      </c>
      <c r="I1089" t="s">
        <v>36</v>
      </c>
      <c r="J1089" t="s">
        <v>37</v>
      </c>
      <c r="K1089" t="s">
        <v>48</v>
      </c>
      <c r="L1089" t="s">
        <v>49</v>
      </c>
      <c r="M1089" t="s">
        <v>140</v>
      </c>
      <c r="N1089">
        <v>1.6785755999999999E-2</v>
      </c>
      <c r="O1089">
        <v>7.1707403000000003E-2</v>
      </c>
      <c r="P1089">
        <v>5.4667558999999998E-2</v>
      </c>
      <c r="Q1089" t="str">
        <f t="shared" si="32"/>
        <v>10-14</v>
      </c>
      <c r="R1089" t="str">
        <f t="shared" si="33"/>
        <v>[oiPR2CiVJbf]|10-14|Male|HIV_PREV.T_1|CY2024Q3</v>
      </c>
    </row>
    <row r="1090" spans="4:18" x14ac:dyDescent="0.2">
      <c r="D1090" t="s">
        <v>117</v>
      </c>
      <c r="E1090" t="s">
        <v>118</v>
      </c>
      <c r="F1090" t="s">
        <v>119</v>
      </c>
      <c r="G1090" t="s">
        <v>141</v>
      </c>
      <c r="H1090" t="s">
        <v>142</v>
      </c>
      <c r="I1090" t="s">
        <v>38</v>
      </c>
      <c r="J1090" t="s">
        <v>39</v>
      </c>
      <c r="K1090" t="s">
        <v>48</v>
      </c>
      <c r="L1090" t="s">
        <v>49</v>
      </c>
      <c r="M1090" t="s">
        <v>140</v>
      </c>
      <c r="N1090">
        <v>2.9059426999999999E-2</v>
      </c>
      <c r="O1090">
        <v>9.3264966000000005E-2</v>
      </c>
      <c r="P1090">
        <v>5.4667558999999998E-2</v>
      </c>
      <c r="Q1090" t="str">
        <f t="shared" si="32"/>
        <v>15-24</v>
      </c>
      <c r="R1090" t="str">
        <f t="shared" si="33"/>
        <v>[oiPR2CiVJbf]|15-24|Male|HIV_PREV.T_1|CY2024Q3</v>
      </c>
    </row>
    <row r="1091" spans="4:18" x14ac:dyDescent="0.2">
      <c r="D1091" t="s">
        <v>117</v>
      </c>
      <c r="E1091" t="s">
        <v>118</v>
      </c>
      <c r="F1091" t="s">
        <v>119</v>
      </c>
      <c r="G1091" t="s">
        <v>141</v>
      </c>
      <c r="H1091" t="s">
        <v>142</v>
      </c>
      <c r="I1091" t="s">
        <v>41</v>
      </c>
      <c r="J1091" t="s">
        <v>42</v>
      </c>
      <c r="K1091" t="s">
        <v>48</v>
      </c>
      <c r="L1091" t="s">
        <v>49</v>
      </c>
      <c r="M1091" t="s">
        <v>140</v>
      </c>
      <c r="N1091">
        <v>6.4902737000000002E-2</v>
      </c>
      <c r="O1091">
        <v>8.9187062999999997E-2</v>
      </c>
      <c r="P1091">
        <v>5.4667558999999998E-2</v>
      </c>
      <c r="Q1091" t="str">
        <f t="shared" ref="Q1091:Q1154" si="34">SUBSTITUTE(SUBSTITUTE($I1091,CHAR(61),""),CHAR(34),"")</f>
        <v>25-34</v>
      </c>
      <c r="R1091" t="str">
        <f t="shared" ref="R1091:R1154" si="35">IF($D1091&lt;&gt;"","["&amp;$E1091&amp;"]"&amp;"|"&amp;$Q1091&amp;"|"&amp;$K1091&amp;"|"&amp;$G1091&amp;"|"&amp;IF($G1091="TX_CURR_SUBNAT.R","CY2023Q4",$M1091),"")</f>
        <v>[oiPR2CiVJbf]|25-34|Male|HIV_PREV.T_1|CY2024Q3</v>
      </c>
    </row>
    <row r="1092" spans="4:18" x14ac:dyDescent="0.2">
      <c r="D1092" t="s">
        <v>117</v>
      </c>
      <c r="E1092" t="s">
        <v>118</v>
      </c>
      <c r="F1092" t="s">
        <v>119</v>
      </c>
      <c r="G1092" t="s">
        <v>141</v>
      </c>
      <c r="H1092" t="s">
        <v>142</v>
      </c>
      <c r="I1092" t="s">
        <v>43</v>
      </c>
      <c r="J1092" t="s">
        <v>44</v>
      </c>
      <c r="K1092" t="s">
        <v>48</v>
      </c>
      <c r="L1092" t="s">
        <v>49</v>
      </c>
      <c r="M1092" t="s">
        <v>140</v>
      </c>
      <c r="N1092">
        <v>0.22998005099999999</v>
      </c>
      <c r="O1092">
        <v>6.1328124999999997E-2</v>
      </c>
      <c r="P1092">
        <v>5.4667558999999998E-2</v>
      </c>
      <c r="Q1092" t="str">
        <f t="shared" si="34"/>
        <v>35-49</v>
      </c>
      <c r="R1092" t="str">
        <f t="shared" si="35"/>
        <v>[oiPR2CiVJbf]|35-49|Male|HIV_PREV.T_1|CY2024Q3</v>
      </c>
    </row>
    <row r="1093" spans="4:18" x14ac:dyDescent="0.2">
      <c r="D1093" t="s">
        <v>117</v>
      </c>
      <c r="E1093" t="s">
        <v>118</v>
      </c>
      <c r="F1093" t="s">
        <v>119</v>
      </c>
      <c r="G1093" t="s">
        <v>141</v>
      </c>
      <c r="H1093" t="s">
        <v>142</v>
      </c>
      <c r="I1093" t="s">
        <v>45</v>
      </c>
      <c r="J1093" t="s">
        <v>46</v>
      </c>
      <c r="K1093" t="s">
        <v>48</v>
      </c>
      <c r="L1093" t="s">
        <v>49</v>
      </c>
      <c r="M1093" t="s">
        <v>140</v>
      </c>
      <c r="N1093">
        <v>0.28591303899999998</v>
      </c>
      <c r="O1093">
        <v>5.6535522999999997E-2</v>
      </c>
      <c r="P1093">
        <v>5.4667558999999998E-2</v>
      </c>
      <c r="Q1093" t="str">
        <f t="shared" si="34"/>
        <v>50+</v>
      </c>
      <c r="R1093" t="str">
        <f t="shared" si="35"/>
        <v>[oiPR2CiVJbf]|50+|Male|HIV_PREV.T_1|CY2024Q3</v>
      </c>
    </row>
    <row r="1094" spans="4:18" x14ac:dyDescent="0.2">
      <c r="D1094" t="s">
        <v>120</v>
      </c>
      <c r="E1094" t="s">
        <v>121</v>
      </c>
      <c r="F1094" t="s">
        <v>122</v>
      </c>
      <c r="G1094" t="s">
        <v>141</v>
      </c>
      <c r="H1094" t="s">
        <v>142</v>
      </c>
      <c r="I1094" t="s">
        <v>28</v>
      </c>
      <c r="J1094" t="s">
        <v>29</v>
      </c>
      <c r="K1094" t="s">
        <v>30</v>
      </c>
      <c r="L1094" t="s">
        <v>31</v>
      </c>
      <c r="M1094" t="s">
        <v>140</v>
      </c>
      <c r="N1094">
        <v>3.0923959999999999E-3</v>
      </c>
      <c r="O1094">
        <v>3.3371574000000001E-2</v>
      </c>
      <c r="P1094">
        <v>2.9914053999999999E-2</v>
      </c>
      <c r="Q1094" t="str">
        <f t="shared" si="34"/>
        <v>&lt;01</v>
      </c>
      <c r="R1094" t="str">
        <f t="shared" si="35"/>
        <v>[mxqa3CDFmIT]|&lt;01|Female|HIV_PREV.T_1|CY2024Q3</v>
      </c>
    </row>
    <row r="1095" spans="4:18" x14ac:dyDescent="0.2">
      <c r="D1095" t="s">
        <v>120</v>
      </c>
      <c r="E1095" t="s">
        <v>121</v>
      </c>
      <c r="F1095" t="s">
        <v>122</v>
      </c>
      <c r="G1095" t="s">
        <v>141</v>
      </c>
      <c r="H1095" t="s">
        <v>142</v>
      </c>
      <c r="I1095" t="s">
        <v>33</v>
      </c>
      <c r="J1095" t="s">
        <v>34</v>
      </c>
      <c r="K1095" t="s">
        <v>30</v>
      </c>
      <c r="L1095" t="s">
        <v>31</v>
      </c>
      <c r="M1095" t="s">
        <v>140</v>
      </c>
      <c r="N1095">
        <v>6.7471279999999998E-3</v>
      </c>
      <c r="O1095">
        <v>3.7756600000000001E-2</v>
      </c>
      <c r="P1095">
        <v>2.9914053999999999E-2</v>
      </c>
      <c r="Q1095" t="str">
        <f t="shared" si="34"/>
        <v>01-09</v>
      </c>
      <c r="R1095" t="str">
        <f t="shared" si="35"/>
        <v>[mxqa3CDFmIT]|01-09|Female|HIV_PREV.T_1|CY2024Q3</v>
      </c>
    </row>
    <row r="1096" spans="4:18" x14ac:dyDescent="0.2">
      <c r="D1096" t="s">
        <v>120</v>
      </c>
      <c r="E1096" t="s">
        <v>121</v>
      </c>
      <c r="F1096" t="s">
        <v>122</v>
      </c>
      <c r="G1096" t="s">
        <v>141</v>
      </c>
      <c r="H1096" t="s">
        <v>142</v>
      </c>
      <c r="I1096" t="s">
        <v>36</v>
      </c>
      <c r="J1096" t="s">
        <v>37</v>
      </c>
      <c r="K1096" t="s">
        <v>30</v>
      </c>
      <c r="L1096" t="s">
        <v>31</v>
      </c>
      <c r="M1096" t="s">
        <v>140</v>
      </c>
      <c r="N1096">
        <v>1.4928187000000001E-2</v>
      </c>
      <c r="O1096">
        <v>4.3828951999999997E-2</v>
      </c>
      <c r="P1096">
        <v>2.9914053999999999E-2</v>
      </c>
      <c r="Q1096" t="str">
        <f t="shared" si="34"/>
        <v>10-14</v>
      </c>
      <c r="R1096" t="str">
        <f t="shared" si="35"/>
        <v>[mxqa3CDFmIT]|10-14|Female|HIV_PREV.T_1|CY2024Q3</v>
      </c>
    </row>
    <row r="1097" spans="4:18" x14ac:dyDescent="0.2">
      <c r="D1097" t="s">
        <v>120</v>
      </c>
      <c r="E1097" t="s">
        <v>121</v>
      </c>
      <c r="F1097" t="s">
        <v>122</v>
      </c>
      <c r="G1097" t="s">
        <v>141</v>
      </c>
      <c r="H1097" t="s">
        <v>142</v>
      </c>
      <c r="I1097" t="s">
        <v>38</v>
      </c>
      <c r="J1097" t="s">
        <v>39</v>
      </c>
      <c r="K1097" t="s">
        <v>30</v>
      </c>
      <c r="L1097" t="s">
        <v>31</v>
      </c>
      <c r="M1097" t="s">
        <v>140</v>
      </c>
      <c r="N1097">
        <v>3.2612809999999999E-2</v>
      </c>
      <c r="O1097">
        <v>6.8163109999999999E-2</v>
      </c>
      <c r="P1097">
        <v>2.9914053999999999E-2</v>
      </c>
      <c r="Q1097" t="str">
        <f t="shared" si="34"/>
        <v>15-24</v>
      </c>
      <c r="R1097" t="str">
        <f t="shared" si="35"/>
        <v>[mxqa3CDFmIT]|15-24|Female|HIV_PREV.T_1|CY2024Q3</v>
      </c>
    </row>
    <row r="1098" spans="4:18" x14ac:dyDescent="0.2">
      <c r="D1098" t="s">
        <v>120</v>
      </c>
      <c r="E1098" t="s">
        <v>121</v>
      </c>
      <c r="F1098" t="s">
        <v>122</v>
      </c>
      <c r="G1098" t="s">
        <v>141</v>
      </c>
      <c r="H1098" t="s">
        <v>142</v>
      </c>
      <c r="I1098" t="s">
        <v>41</v>
      </c>
      <c r="J1098" t="s">
        <v>42</v>
      </c>
      <c r="K1098" t="s">
        <v>30</v>
      </c>
      <c r="L1098" t="s">
        <v>31</v>
      </c>
      <c r="M1098" t="s">
        <v>140</v>
      </c>
      <c r="N1098">
        <v>0.12727746600000001</v>
      </c>
      <c r="O1098">
        <v>4.8324951999999997E-2</v>
      </c>
      <c r="P1098">
        <v>2.9914053999999999E-2</v>
      </c>
      <c r="Q1098" t="str">
        <f t="shared" si="34"/>
        <v>25-34</v>
      </c>
      <c r="R1098" t="str">
        <f t="shared" si="35"/>
        <v>[mxqa3CDFmIT]|25-34|Female|HIV_PREV.T_1|CY2024Q3</v>
      </c>
    </row>
    <row r="1099" spans="4:18" x14ac:dyDescent="0.2">
      <c r="D1099" t="s">
        <v>120</v>
      </c>
      <c r="E1099" t="s">
        <v>121</v>
      </c>
      <c r="F1099" t="s">
        <v>122</v>
      </c>
      <c r="G1099" t="s">
        <v>141</v>
      </c>
      <c r="H1099" t="s">
        <v>142</v>
      </c>
      <c r="I1099" t="s">
        <v>43</v>
      </c>
      <c r="J1099" t="s">
        <v>44</v>
      </c>
      <c r="K1099" t="s">
        <v>30</v>
      </c>
      <c r="L1099" t="s">
        <v>31</v>
      </c>
      <c r="M1099" t="s">
        <v>140</v>
      </c>
      <c r="N1099">
        <v>0.31094217200000002</v>
      </c>
      <c r="O1099">
        <v>3.2611701999999999E-2</v>
      </c>
      <c r="P1099">
        <v>2.9914053999999999E-2</v>
      </c>
      <c r="Q1099" t="str">
        <f t="shared" si="34"/>
        <v>35-49</v>
      </c>
      <c r="R1099" t="str">
        <f t="shared" si="35"/>
        <v>[mxqa3CDFmIT]|35-49|Female|HIV_PREV.T_1|CY2024Q3</v>
      </c>
    </row>
    <row r="1100" spans="4:18" x14ac:dyDescent="0.2">
      <c r="D1100" t="s">
        <v>120</v>
      </c>
      <c r="E1100" t="s">
        <v>121</v>
      </c>
      <c r="F1100" t="s">
        <v>122</v>
      </c>
      <c r="G1100" t="s">
        <v>141</v>
      </c>
      <c r="H1100" t="s">
        <v>142</v>
      </c>
      <c r="I1100" t="s">
        <v>45</v>
      </c>
      <c r="J1100" t="s">
        <v>46</v>
      </c>
      <c r="K1100" t="s">
        <v>30</v>
      </c>
      <c r="L1100" t="s">
        <v>31</v>
      </c>
      <c r="M1100" t="s">
        <v>140</v>
      </c>
      <c r="N1100">
        <v>0.26418321500000003</v>
      </c>
      <c r="O1100">
        <v>4.2540403999999997E-2</v>
      </c>
      <c r="P1100">
        <v>2.9914053999999999E-2</v>
      </c>
      <c r="Q1100" t="str">
        <f t="shared" si="34"/>
        <v>50+</v>
      </c>
      <c r="R1100" t="str">
        <f t="shared" si="35"/>
        <v>[mxqa3CDFmIT]|50+|Female|HIV_PREV.T_1|CY2024Q3</v>
      </c>
    </row>
    <row r="1101" spans="4:18" x14ac:dyDescent="0.2">
      <c r="D1101" t="s">
        <v>120</v>
      </c>
      <c r="E1101" t="s">
        <v>121</v>
      </c>
      <c r="F1101" t="s">
        <v>122</v>
      </c>
      <c r="G1101" t="s">
        <v>141</v>
      </c>
      <c r="H1101" t="s">
        <v>142</v>
      </c>
      <c r="I1101" t="s">
        <v>28</v>
      </c>
      <c r="J1101" t="s">
        <v>29</v>
      </c>
      <c r="K1101" t="s">
        <v>48</v>
      </c>
      <c r="L1101" t="s">
        <v>49</v>
      </c>
      <c r="M1101" t="s">
        <v>140</v>
      </c>
      <c r="N1101">
        <v>3.1291969999999998E-3</v>
      </c>
      <c r="O1101">
        <v>3.3362532E-2</v>
      </c>
      <c r="P1101">
        <v>2.9914053999999999E-2</v>
      </c>
      <c r="Q1101" t="str">
        <f t="shared" si="34"/>
        <v>&lt;01</v>
      </c>
      <c r="R1101" t="str">
        <f t="shared" si="35"/>
        <v>[mxqa3CDFmIT]|&lt;01|Male|HIV_PREV.T_1|CY2024Q3</v>
      </c>
    </row>
    <row r="1102" spans="4:18" x14ac:dyDescent="0.2">
      <c r="D1102" t="s">
        <v>120</v>
      </c>
      <c r="E1102" t="s">
        <v>121</v>
      </c>
      <c r="F1102" t="s">
        <v>122</v>
      </c>
      <c r="G1102" t="s">
        <v>141</v>
      </c>
      <c r="H1102" t="s">
        <v>142</v>
      </c>
      <c r="I1102" t="s">
        <v>33</v>
      </c>
      <c r="J1102" t="s">
        <v>34</v>
      </c>
      <c r="K1102" t="s">
        <v>48</v>
      </c>
      <c r="L1102" t="s">
        <v>49</v>
      </c>
      <c r="M1102" t="s">
        <v>140</v>
      </c>
      <c r="N1102">
        <v>6.7792340000000003E-3</v>
      </c>
      <c r="O1102">
        <v>3.7743559000000003E-2</v>
      </c>
      <c r="P1102">
        <v>2.9914053999999999E-2</v>
      </c>
      <c r="Q1102" t="str">
        <f t="shared" si="34"/>
        <v>01-09</v>
      </c>
      <c r="R1102" t="str">
        <f t="shared" si="35"/>
        <v>[mxqa3CDFmIT]|01-09|Male|HIV_PREV.T_1|CY2024Q3</v>
      </c>
    </row>
    <row r="1103" spans="4:18" x14ac:dyDescent="0.2">
      <c r="D1103" t="s">
        <v>120</v>
      </c>
      <c r="E1103" t="s">
        <v>121</v>
      </c>
      <c r="F1103" t="s">
        <v>122</v>
      </c>
      <c r="G1103" t="s">
        <v>141</v>
      </c>
      <c r="H1103" t="s">
        <v>142</v>
      </c>
      <c r="I1103" t="s">
        <v>36</v>
      </c>
      <c r="J1103" t="s">
        <v>37</v>
      </c>
      <c r="K1103" t="s">
        <v>48</v>
      </c>
      <c r="L1103" t="s">
        <v>49</v>
      </c>
      <c r="M1103" t="s">
        <v>140</v>
      </c>
      <c r="N1103">
        <v>1.5139850999999999E-2</v>
      </c>
      <c r="O1103">
        <v>4.3789913E-2</v>
      </c>
      <c r="P1103">
        <v>2.9914053999999999E-2</v>
      </c>
      <c r="Q1103" t="str">
        <f t="shared" si="34"/>
        <v>10-14</v>
      </c>
      <c r="R1103" t="str">
        <f t="shared" si="35"/>
        <v>[mxqa3CDFmIT]|10-14|Male|HIV_PREV.T_1|CY2024Q3</v>
      </c>
    </row>
    <row r="1104" spans="4:18" x14ac:dyDescent="0.2">
      <c r="D1104" t="s">
        <v>120</v>
      </c>
      <c r="E1104" t="s">
        <v>121</v>
      </c>
      <c r="F1104" t="s">
        <v>122</v>
      </c>
      <c r="G1104" t="s">
        <v>141</v>
      </c>
      <c r="H1104" t="s">
        <v>142</v>
      </c>
      <c r="I1104" t="s">
        <v>38</v>
      </c>
      <c r="J1104" t="s">
        <v>39</v>
      </c>
      <c r="K1104" t="s">
        <v>48</v>
      </c>
      <c r="L1104" t="s">
        <v>49</v>
      </c>
      <c r="M1104" t="s">
        <v>140</v>
      </c>
      <c r="N1104">
        <v>2.2835617999999999E-2</v>
      </c>
      <c r="O1104">
        <v>7.8905611E-2</v>
      </c>
      <c r="P1104">
        <v>2.9914053999999999E-2</v>
      </c>
      <c r="Q1104" t="str">
        <f t="shared" si="34"/>
        <v>15-24</v>
      </c>
      <c r="R1104" t="str">
        <f t="shared" si="35"/>
        <v>[mxqa3CDFmIT]|15-24|Male|HIV_PREV.T_1|CY2024Q3</v>
      </c>
    </row>
    <row r="1105" spans="4:18" x14ac:dyDescent="0.2">
      <c r="D1105" t="s">
        <v>120</v>
      </c>
      <c r="E1105" t="s">
        <v>121</v>
      </c>
      <c r="F1105" t="s">
        <v>122</v>
      </c>
      <c r="G1105" t="s">
        <v>141</v>
      </c>
      <c r="H1105" t="s">
        <v>142</v>
      </c>
      <c r="I1105" t="s">
        <v>41</v>
      </c>
      <c r="J1105" t="s">
        <v>42</v>
      </c>
      <c r="K1105" t="s">
        <v>48</v>
      </c>
      <c r="L1105" t="s">
        <v>49</v>
      </c>
      <c r="M1105" t="s">
        <v>140</v>
      </c>
      <c r="N1105">
        <v>5.4875206000000003E-2</v>
      </c>
      <c r="O1105">
        <v>7.0330361999999993E-2</v>
      </c>
      <c r="P1105">
        <v>2.9914053999999999E-2</v>
      </c>
      <c r="Q1105" t="str">
        <f t="shared" si="34"/>
        <v>25-34</v>
      </c>
      <c r="R1105" t="str">
        <f t="shared" si="35"/>
        <v>[mxqa3CDFmIT]|25-34|Male|HIV_PREV.T_1|CY2024Q3</v>
      </c>
    </row>
    <row r="1106" spans="4:18" x14ac:dyDescent="0.2">
      <c r="D1106" t="s">
        <v>120</v>
      </c>
      <c r="E1106" t="s">
        <v>121</v>
      </c>
      <c r="F1106" t="s">
        <v>122</v>
      </c>
      <c r="G1106" t="s">
        <v>141</v>
      </c>
      <c r="H1106" t="s">
        <v>142</v>
      </c>
      <c r="I1106" t="s">
        <v>43</v>
      </c>
      <c r="J1106" t="s">
        <v>44</v>
      </c>
      <c r="K1106" t="s">
        <v>48</v>
      </c>
      <c r="L1106" t="s">
        <v>49</v>
      </c>
      <c r="M1106" t="s">
        <v>140</v>
      </c>
      <c r="N1106">
        <v>0.207297815</v>
      </c>
      <c r="O1106">
        <v>3.8273901999999999E-2</v>
      </c>
      <c r="P1106">
        <v>2.9914053999999999E-2</v>
      </c>
      <c r="Q1106" t="str">
        <f t="shared" si="34"/>
        <v>35-49</v>
      </c>
      <c r="R1106" t="str">
        <f t="shared" si="35"/>
        <v>[mxqa3CDFmIT]|35-49|Male|HIV_PREV.T_1|CY2024Q3</v>
      </c>
    </row>
    <row r="1107" spans="4:18" x14ac:dyDescent="0.2">
      <c r="D1107" t="s">
        <v>120</v>
      </c>
      <c r="E1107" t="s">
        <v>121</v>
      </c>
      <c r="F1107" t="s">
        <v>122</v>
      </c>
      <c r="G1107" t="s">
        <v>141</v>
      </c>
      <c r="H1107" t="s">
        <v>142</v>
      </c>
      <c r="I1107" t="s">
        <v>45</v>
      </c>
      <c r="J1107" t="s">
        <v>46</v>
      </c>
      <c r="K1107" t="s">
        <v>48</v>
      </c>
      <c r="L1107" t="s">
        <v>49</v>
      </c>
      <c r="M1107" t="s">
        <v>140</v>
      </c>
      <c r="N1107">
        <v>0.29006646800000002</v>
      </c>
      <c r="O1107">
        <v>3.9808258999999999E-2</v>
      </c>
      <c r="P1107">
        <v>2.9914053999999999E-2</v>
      </c>
      <c r="Q1107" t="str">
        <f t="shared" si="34"/>
        <v>50+</v>
      </c>
      <c r="R1107" t="str">
        <f t="shared" si="35"/>
        <v>[mxqa3CDFmIT]|50+|Male|HIV_PREV.T_1|CY2024Q3</v>
      </c>
    </row>
    <row r="1108" spans="4:18" x14ac:dyDescent="0.2">
      <c r="D1108" t="s">
        <v>123</v>
      </c>
      <c r="E1108" t="s">
        <v>124</v>
      </c>
      <c r="F1108" t="s">
        <v>125</v>
      </c>
      <c r="G1108" t="s">
        <v>141</v>
      </c>
      <c r="H1108" t="s">
        <v>142</v>
      </c>
      <c r="I1108" t="s">
        <v>28</v>
      </c>
      <c r="J1108" t="s">
        <v>29</v>
      </c>
      <c r="K1108" t="s">
        <v>30</v>
      </c>
      <c r="L1108" t="s">
        <v>31</v>
      </c>
      <c r="M1108" t="s">
        <v>140</v>
      </c>
      <c r="N1108">
        <v>1.4552619999999999E-3</v>
      </c>
      <c r="O1108">
        <v>9.0325169999999996E-2</v>
      </c>
      <c r="P1108">
        <v>8.5931485000000002E-2</v>
      </c>
      <c r="Q1108" t="str">
        <f t="shared" si="34"/>
        <v>&lt;01</v>
      </c>
      <c r="R1108" t="str">
        <f t="shared" si="35"/>
        <v>[wNqJp8oRIcF]|&lt;01|Female|HIV_PREV.T_1|CY2024Q3</v>
      </c>
    </row>
    <row r="1109" spans="4:18" x14ac:dyDescent="0.2">
      <c r="D1109" t="s">
        <v>123</v>
      </c>
      <c r="E1109" t="s">
        <v>124</v>
      </c>
      <c r="F1109" t="s">
        <v>125</v>
      </c>
      <c r="G1109" t="s">
        <v>141</v>
      </c>
      <c r="H1109" t="s">
        <v>142</v>
      </c>
      <c r="I1109" t="s">
        <v>33</v>
      </c>
      <c r="J1109" t="s">
        <v>34</v>
      </c>
      <c r="K1109" t="s">
        <v>30</v>
      </c>
      <c r="L1109" t="s">
        <v>31</v>
      </c>
      <c r="M1109" t="s">
        <v>140</v>
      </c>
      <c r="N1109">
        <v>3.5058960000000001E-3</v>
      </c>
      <c r="O1109">
        <v>9.7171774000000002E-2</v>
      </c>
      <c r="P1109">
        <v>8.5931485000000002E-2</v>
      </c>
      <c r="Q1109" t="str">
        <f t="shared" si="34"/>
        <v>01-09</v>
      </c>
      <c r="R1109" t="str">
        <f t="shared" si="35"/>
        <v>[wNqJp8oRIcF]|01-09|Female|HIV_PREV.T_1|CY2024Q3</v>
      </c>
    </row>
    <row r="1110" spans="4:18" x14ac:dyDescent="0.2">
      <c r="D1110" t="s">
        <v>123</v>
      </c>
      <c r="E1110" t="s">
        <v>124</v>
      </c>
      <c r="F1110" t="s">
        <v>125</v>
      </c>
      <c r="G1110" t="s">
        <v>141</v>
      </c>
      <c r="H1110" t="s">
        <v>142</v>
      </c>
      <c r="I1110" t="s">
        <v>36</v>
      </c>
      <c r="J1110" t="s">
        <v>37</v>
      </c>
      <c r="K1110" t="s">
        <v>30</v>
      </c>
      <c r="L1110" t="s">
        <v>31</v>
      </c>
      <c r="M1110" t="s">
        <v>140</v>
      </c>
      <c r="N1110">
        <v>8.7275510000000001E-3</v>
      </c>
      <c r="O1110">
        <v>0.10610109099999999</v>
      </c>
      <c r="P1110">
        <v>8.5931485000000002E-2</v>
      </c>
      <c r="Q1110" t="str">
        <f t="shared" si="34"/>
        <v>10-14</v>
      </c>
      <c r="R1110" t="str">
        <f t="shared" si="35"/>
        <v>[wNqJp8oRIcF]|10-14|Female|HIV_PREV.T_1|CY2024Q3</v>
      </c>
    </row>
    <row r="1111" spans="4:18" x14ac:dyDescent="0.2">
      <c r="D1111" t="s">
        <v>123</v>
      </c>
      <c r="E1111" t="s">
        <v>124</v>
      </c>
      <c r="F1111" t="s">
        <v>125</v>
      </c>
      <c r="G1111" t="s">
        <v>141</v>
      </c>
      <c r="H1111" t="s">
        <v>142</v>
      </c>
      <c r="I1111" t="s">
        <v>38</v>
      </c>
      <c r="J1111" t="s">
        <v>39</v>
      </c>
      <c r="K1111" t="s">
        <v>30</v>
      </c>
      <c r="L1111" t="s">
        <v>31</v>
      </c>
      <c r="M1111" t="s">
        <v>140</v>
      </c>
      <c r="N1111">
        <v>1.7743475000000002E-2</v>
      </c>
      <c r="O1111">
        <v>0.110794723</v>
      </c>
      <c r="P1111">
        <v>8.5931485000000002E-2</v>
      </c>
      <c r="Q1111" t="str">
        <f t="shared" si="34"/>
        <v>15-24</v>
      </c>
      <c r="R1111" t="str">
        <f t="shared" si="35"/>
        <v>[wNqJp8oRIcF]|15-24|Female|HIV_PREV.T_1|CY2024Q3</v>
      </c>
    </row>
    <row r="1112" spans="4:18" x14ac:dyDescent="0.2">
      <c r="D1112" t="s">
        <v>123</v>
      </c>
      <c r="E1112" t="s">
        <v>124</v>
      </c>
      <c r="F1112" t="s">
        <v>125</v>
      </c>
      <c r="G1112" t="s">
        <v>141</v>
      </c>
      <c r="H1112" t="s">
        <v>142</v>
      </c>
      <c r="I1112" t="s">
        <v>41</v>
      </c>
      <c r="J1112" t="s">
        <v>42</v>
      </c>
      <c r="K1112" t="s">
        <v>30</v>
      </c>
      <c r="L1112" t="s">
        <v>31</v>
      </c>
      <c r="M1112" t="s">
        <v>140</v>
      </c>
      <c r="N1112">
        <v>6.9331470000000006E-2</v>
      </c>
      <c r="O1112">
        <v>9.8648197000000007E-2</v>
      </c>
      <c r="P1112">
        <v>8.5931485000000002E-2</v>
      </c>
      <c r="Q1112" t="str">
        <f t="shared" si="34"/>
        <v>25-34</v>
      </c>
      <c r="R1112" t="str">
        <f t="shared" si="35"/>
        <v>[wNqJp8oRIcF]|25-34|Female|HIV_PREV.T_1|CY2024Q3</v>
      </c>
    </row>
    <row r="1113" spans="4:18" x14ac:dyDescent="0.2">
      <c r="D1113" t="s">
        <v>123</v>
      </c>
      <c r="E1113" t="s">
        <v>124</v>
      </c>
      <c r="F1113" t="s">
        <v>125</v>
      </c>
      <c r="G1113" t="s">
        <v>141</v>
      </c>
      <c r="H1113" t="s">
        <v>142</v>
      </c>
      <c r="I1113" t="s">
        <v>43</v>
      </c>
      <c r="J1113" t="s">
        <v>44</v>
      </c>
      <c r="K1113" t="s">
        <v>30</v>
      </c>
      <c r="L1113" t="s">
        <v>31</v>
      </c>
      <c r="M1113" t="s">
        <v>140</v>
      </c>
      <c r="N1113">
        <v>0.17236664500000001</v>
      </c>
      <c r="O1113">
        <v>8.4066243999999998E-2</v>
      </c>
      <c r="P1113">
        <v>8.5931485000000002E-2</v>
      </c>
      <c r="Q1113" t="str">
        <f t="shared" si="34"/>
        <v>35-49</v>
      </c>
      <c r="R1113" t="str">
        <f t="shared" si="35"/>
        <v>[wNqJp8oRIcF]|35-49|Female|HIV_PREV.T_1|CY2024Q3</v>
      </c>
    </row>
    <row r="1114" spans="4:18" x14ac:dyDescent="0.2">
      <c r="D1114" t="s">
        <v>123</v>
      </c>
      <c r="E1114" t="s">
        <v>124</v>
      </c>
      <c r="F1114" t="s">
        <v>125</v>
      </c>
      <c r="G1114" t="s">
        <v>141</v>
      </c>
      <c r="H1114" t="s">
        <v>142</v>
      </c>
      <c r="I1114" t="s">
        <v>45</v>
      </c>
      <c r="J1114" t="s">
        <v>46</v>
      </c>
      <c r="K1114" t="s">
        <v>30</v>
      </c>
      <c r="L1114" t="s">
        <v>31</v>
      </c>
      <c r="M1114" t="s">
        <v>140</v>
      </c>
      <c r="N1114">
        <v>0.141427148</v>
      </c>
      <c r="O1114">
        <v>9.1406255000000006E-2</v>
      </c>
      <c r="P1114">
        <v>8.5931485000000002E-2</v>
      </c>
      <c r="Q1114" t="str">
        <f t="shared" si="34"/>
        <v>50+</v>
      </c>
      <c r="R1114" t="str">
        <f t="shared" si="35"/>
        <v>[wNqJp8oRIcF]|50+|Female|HIV_PREV.T_1|CY2024Q3</v>
      </c>
    </row>
    <row r="1115" spans="4:18" x14ac:dyDescent="0.2">
      <c r="D1115" t="s">
        <v>123</v>
      </c>
      <c r="E1115" t="s">
        <v>124</v>
      </c>
      <c r="F1115" t="s">
        <v>125</v>
      </c>
      <c r="G1115" t="s">
        <v>141</v>
      </c>
      <c r="H1115" t="s">
        <v>142</v>
      </c>
      <c r="I1115" t="s">
        <v>28</v>
      </c>
      <c r="J1115" t="s">
        <v>29</v>
      </c>
      <c r="K1115" t="s">
        <v>48</v>
      </c>
      <c r="L1115" t="s">
        <v>49</v>
      </c>
      <c r="M1115" t="s">
        <v>140</v>
      </c>
      <c r="N1115">
        <v>1.459637E-3</v>
      </c>
      <c r="O1115">
        <v>9.0309084999999997E-2</v>
      </c>
      <c r="P1115">
        <v>8.5931485000000002E-2</v>
      </c>
      <c r="Q1115" t="str">
        <f t="shared" si="34"/>
        <v>&lt;01</v>
      </c>
      <c r="R1115" t="str">
        <f t="shared" si="35"/>
        <v>[wNqJp8oRIcF]|&lt;01|Male|HIV_PREV.T_1|CY2024Q3</v>
      </c>
    </row>
    <row r="1116" spans="4:18" x14ac:dyDescent="0.2">
      <c r="D1116" t="s">
        <v>123</v>
      </c>
      <c r="E1116" t="s">
        <v>124</v>
      </c>
      <c r="F1116" t="s">
        <v>125</v>
      </c>
      <c r="G1116" t="s">
        <v>141</v>
      </c>
      <c r="H1116" t="s">
        <v>142</v>
      </c>
      <c r="I1116" t="s">
        <v>33</v>
      </c>
      <c r="J1116" t="s">
        <v>34</v>
      </c>
      <c r="K1116" t="s">
        <v>48</v>
      </c>
      <c r="L1116" t="s">
        <v>49</v>
      </c>
      <c r="M1116" t="s">
        <v>140</v>
      </c>
      <c r="N1116">
        <v>3.519178E-3</v>
      </c>
      <c r="O1116">
        <v>9.7157420999999994E-2</v>
      </c>
      <c r="P1116">
        <v>8.5931485000000002E-2</v>
      </c>
      <c r="Q1116" t="str">
        <f t="shared" si="34"/>
        <v>01-09</v>
      </c>
      <c r="R1116" t="str">
        <f t="shared" si="35"/>
        <v>[wNqJp8oRIcF]|01-09|Male|HIV_PREV.T_1|CY2024Q3</v>
      </c>
    </row>
    <row r="1117" spans="4:18" x14ac:dyDescent="0.2">
      <c r="D1117" t="s">
        <v>123</v>
      </c>
      <c r="E1117" t="s">
        <v>124</v>
      </c>
      <c r="F1117" t="s">
        <v>125</v>
      </c>
      <c r="G1117" t="s">
        <v>141</v>
      </c>
      <c r="H1117" t="s">
        <v>142</v>
      </c>
      <c r="I1117" t="s">
        <v>36</v>
      </c>
      <c r="J1117" t="s">
        <v>37</v>
      </c>
      <c r="K1117" t="s">
        <v>48</v>
      </c>
      <c r="L1117" t="s">
        <v>49</v>
      </c>
      <c r="M1117" t="s">
        <v>140</v>
      </c>
      <c r="N1117">
        <v>8.5257890000000006E-3</v>
      </c>
      <c r="O1117">
        <v>0.106101716</v>
      </c>
      <c r="P1117">
        <v>8.5931485000000002E-2</v>
      </c>
      <c r="Q1117" t="str">
        <f t="shared" si="34"/>
        <v>10-14</v>
      </c>
      <c r="R1117" t="str">
        <f t="shared" si="35"/>
        <v>[wNqJp8oRIcF]|10-14|Male|HIV_PREV.T_1|CY2024Q3</v>
      </c>
    </row>
    <row r="1118" spans="4:18" x14ac:dyDescent="0.2">
      <c r="D1118" t="s">
        <v>123</v>
      </c>
      <c r="E1118" t="s">
        <v>124</v>
      </c>
      <c r="F1118" t="s">
        <v>125</v>
      </c>
      <c r="G1118" t="s">
        <v>141</v>
      </c>
      <c r="H1118" t="s">
        <v>142</v>
      </c>
      <c r="I1118" t="s">
        <v>38</v>
      </c>
      <c r="J1118" t="s">
        <v>39</v>
      </c>
      <c r="K1118" t="s">
        <v>48</v>
      </c>
      <c r="L1118" t="s">
        <v>49</v>
      </c>
      <c r="M1118" t="s">
        <v>140</v>
      </c>
      <c r="N1118">
        <v>1.2285348E-2</v>
      </c>
      <c r="O1118">
        <v>0.117440447</v>
      </c>
      <c r="P1118">
        <v>8.5931485000000002E-2</v>
      </c>
      <c r="Q1118" t="str">
        <f t="shared" si="34"/>
        <v>15-24</v>
      </c>
      <c r="R1118" t="str">
        <f t="shared" si="35"/>
        <v>[wNqJp8oRIcF]|15-24|Male|HIV_PREV.T_1|CY2024Q3</v>
      </c>
    </row>
    <row r="1119" spans="4:18" x14ac:dyDescent="0.2">
      <c r="D1119" t="s">
        <v>123</v>
      </c>
      <c r="E1119" t="s">
        <v>124</v>
      </c>
      <c r="F1119" t="s">
        <v>125</v>
      </c>
      <c r="G1119" t="s">
        <v>141</v>
      </c>
      <c r="H1119" t="s">
        <v>142</v>
      </c>
      <c r="I1119" t="s">
        <v>41</v>
      </c>
      <c r="J1119" t="s">
        <v>42</v>
      </c>
      <c r="K1119" t="s">
        <v>48</v>
      </c>
      <c r="L1119" t="s">
        <v>49</v>
      </c>
      <c r="M1119" t="s">
        <v>140</v>
      </c>
      <c r="N1119">
        <v>2.6507598E-2</v>
      </c>
      <c r="O1119">
        <v>0.111151228</v>
      </c>
      <c r="P1119">
        <v>8.5931485000000002E-2</v>
      </c>
      <c r="Q1119" t="str">
        <f t="shared" si="34"/>
        <v>25-34</v>
      </c>
      <c r="R1119" t="str">
        <f t="shared" si="35"/>
        <v>[wNqJp8oRIcF]|25-34|Male|HIV_PREV.T_1|CY2024Q3</v>
      </c>
    </row>
    <row r="1120" spans="4:18" x14ac:dyDescent="0.2">
      <c r="D1120" t="s">
        <v>123</v>
      </c>
      <c r="E1120" t="s">
        <v>124</v>
      </c>
      <c r="F1120" t="s">
        <v>125</v>
      </c>
      <c r="G1120" t="s">
        <v>141</v>
      </c>
      <c r="H1120" t="s">
        <v>142</v>
      </c>
      <c r="I1120" t="s">
        <v>43</v>
      </c>
      <c r="J1120" t="s">
        <v>44</v>
      </c>
      <c r="K1120" t="s">
        <v>48</v>
      </c>
      <c r="L1120" t="s">
        <v>49</v>
      </c>
      <c r="M1120" t="s">
        <v>140</v>
      </c>
      <c r="N1120">
        <v>0.105198074</v>
      </c>
      <c r="O1120">
        <v>9.266083E-2</v>
      </c>
      <c r="P1120">
        <v>8.5931485000000002E-2</v>
      </c>
      <c r="Q1120" t="str">
        <f t="shared" si="34"/>
        <v>35-49</v>
      </c>
      <c r="R1120" t="str">
        <f t="shared" si="35"/>
        <v>[wNqJp8oRIcF]|35-49|Male|HIV_PREV.T_1|CY2024Q3</v>
      </c>
    </row>
    <row r="1121" spans="4:18" x14ac:dyDescent="0.2">
      <c r="D1121" t="s">
        <v>123</v>
      </c>
      <c r="E1121" t="s">
        <v>124</v>
      </c>
      <c r="F1121" t="s">
        <v>125</v>
      </c>
      <c r="G1121" t="s">
        <v>141</v>
      </c>
      <c r="H1121" t="s">
        <v>142</v>
      </c>
      <c r="I1121" t="s">
        <v>45</v>
      </c>
      <c r="J1121" t="s">
        <v>46</v>
      </c>
      <c r="K1121" t="s">
        <v>48</v>
      </c>
      <c r="L1121" t="s">
        <v>49</v>
      </c>
      <c r="M1121" t="s">
        <v>140</v>
      </c>
      <c r="N1121">
        <v>0.147368692</v>
      </c>
      <c r="O1121">
        <v>9.2309898000000001E-2</v>
      </c>
      <c r="P1121">
        <v>8.5931485000000002E-2</v>
      </c>
      <c r="Q1121" t="str">
        <f t="shared" si="34"/>
        <v>50+</v>
      </c>
      <c r="R1121" t="str">
        <f t="shared" si="35"/>
        <v>[wNqJp8oRIcF]|50+|Male|HIV_PREV.T_1|CY2024Q3</v>
      </c>
    </row>
    <row r="1122" spans="4:18" x14ac:dyDescent="0.2">
      <c r="D1122" t="s">
        <v>126</v>
      </c>
      <c r="E1122" t="s">
        <v>127</v>
      </c>
      <c r="F1122" t="s">
        <v>128</v>
      </c>
      <c r="G1122" t="s">
        <v>141</v>
      </c>
      <c r="H1122" t="s">
        <v>142</v>
      </c>
      <c r="I1122" t="s">
        <v>28</v>
      </c>
      <c r="J1122" t="s">
        <v>29</v>
      </c>
      <c r="K1122" t="s">
        <v>30</v>
      </c>
      <c r="L1122" t="s">
        <v>31</v>
      </c>
      <c r="M1122" t="s">
        <v>140</v>
      </c>
      <c r="N1122">
        <v>2.9897690000000002E-3</v>
      </c>
      <c r="O1122">
        <v>5.4040721E-2</v>
      </c>
      <c r="P1122">
        <v>4.8522155999999997E-2</v>
      </c>
      <c r="Q1122" t="str">
        <f t="shared" si="34"/>
        <v>&lt;01</v>
      </c>
      <c r="R1122" t="str">
        <f t="shared" si="35"/>
        <v>[ul0y9diGujK]|&lt;01|Female|HIV_PREV.T_1|CY2024Q3</v>
      </c>
    </row>
    <row r="1123" spans="4:18" x14ac:dyDescent="0.2">
      <c r="D1123" t="s">
        <v>126</v>
      </c>
      <c r="E1123" t="s">
        <v>127</v>
      </c>
      <c r="F1123" t="s">
        <v>128</v>
      </c>
      <c r="G1123" t="s">
        <v>141</v>
      </c>
      <c r="H1123" t="s">
        <v>142</v>
      </c>
      <c r="I1123" t="s">
        <v>33</v>
      </c>
      <c r="J1123" t="s">
        <v>34</v>
      </c>
      <c r="K1123" t="s">
        <v>30</v>
      </c>
      <c r="L1123" t="s">
        <v>31</v>
      </c>
      <c r="M1123" t="s">
        <v>140</v>
      </c>
      <c r="N1123">
        <v>6.4321329999999996E-3</v>
      </c>
      <c r="O1123">
        <v>6.2450722E-2</v>
      </c>
      <c r="P1123">
        <v>4.8522155999999997E-2</v>
      </c>
      <c r="Q1123" t="str">
        <f t="shared" si="34"/>
        <v>01-09</v>
      </c>
      <c r="R1123" t="str">
        <f t="shared" si="35"/>
        <v>[ul0y9diGujK]|01-09|Female|HIV_PREV.T_1|CY2024Q3</v>
      </c>
    </row>
    <row r="1124" spans="4:18" x14ac:dyDescent="0.2">
      <c r="D1124" t="s">
        <v>126</v>
      </c>
      <c r="E1124" t="s">
        <v>127</v>
      </c>
      <c r="F1124" t="s">
        <v>128</v>
      </c>
      <c r="G1124" t="s">
        <v>141</v>
      </c>
      <c r="H1124" t="s">
        <v>142</v>
      </c>
      <c r="I1124" t="s">
        <v>36</v>
      </c>
      <c r="J1124" t="s">
        <v>37</v>
      </c>
      <c r="K1124" t="s">
        <v>30</v>
      </c>
      <c r="L1124" t="s">
        <v>31</v>
      </c>
      <c r="M1124" t="s">
        <v>140</v>
      </c>
      <c r="N1124">
        <v>1.4784179999999999E-2</v>
      </c>
      <c r="O1124">
        <v>7.3581621999999999E-2</v>
      </c>
      <c r="P1124">
        <v>4.8522155999999997E-2</v>
      </c>
      <c r="Q1124" t="str">
        <f t="shared" si="34"/>
        <v>10-14</v>
      </c>
      <c r="R1124" t="str">
        <f t="shared" si="35"/>
        <v>[ul0y9diGujK]|10-14|Female|HIV_PREV.T_1|CY2024Q3</v>
      </c>
    </row>
    <row r="1125" spans="4:18" x14ac:dyDescent="0.2">
      <c r="D1125" t="s">
        <v>126</v>
      </c>
      <c r="E1125" t="s">
        <v>127</v>
      </c>
      <c r="F1125" t="s">
        <v>128</v>
      </c>
      <c r="G1125" t="s">
        <v>141</v>
      </c>
      <c r="H1125" t="s">
        <v>142</v>
      </c>
      <c r="I1125" t="s">
        <v>38</v>
      </c>
      <c r="J1125" t="s">
        <v>39</v>
      </c>
      <c r="K1125" t="s">
        <v>30</v>
      </c>
      <c r="L1125" t="s">
        <v>31</v>
      </c>
      <c r="M1125" t="s">
        <v>140</v>
      </c>
      <c r="N1125">
        <v>3.5830616000000003E-2</v>
      </c>
      <c r="O1125">
        <v>8.4856794999999999E-2</v>
      </c>
      <c r="P1125">
        <v>4.8522155999999997E-2</v>
      </c>
      <c r="Q1125" t="str">
        <f t="shared" si="34"/>
        <v>15-24</v>
      </c>
      <c r="R1125" t="str">
        <f t="shared" si="35"/>
        <v>[ul0y9diGujK]|15-24|Female|HIV_PREV.T_1|CY2024Q3</v>
      </c>
    </row>
    <row r="1126" spans="4:18" x14ac:dyDescent="0.2">
      <c r="D1126" t="s">
        <v>126</v>
      </c>
      <c r="E1126" t="s">
        <v>127</v>
      </c>
      <c r="F1126" t="s">
        <v>128</v>
      </c>
      <c r="G1126" t="s">
        <v>141</v>
      </c>
      <c r="H1126" t="s">
        <v>142</v>
      </c>
      <c r="I1126" t="s">
        <v>41</v>
      </c>
      <c r="J1126" t="s">
        <v>42</v>
      </c>
      <c r="K1126" t="s">
        <v>30</v>
      </c>
      <c r="L1126" t="s">
        <v>31</v>
      </c>
      <c r="M1126" t="s">
        <v>140</v>
      </c>
      <c r="N1126">
        <v>0.12984515699999999</v>
      </c>
      <c r="O1126">
        <v>6.5243807000000001E-2</v>
      </c>
      <c r="P1126">
        <v>4.8522155999999997E-2</v>
      </c>
      <c r="Q1126" t="str">
        <f t="shared" si="34"/>
        <v>25-34</v>
      </c>
      <c r="R1126" t="str">
        <f t="shared" si="35"/>
        <v>[ul0y9diGujK]|25-34|Female|HIV_PREV.T_1|CY2024Q3</v>
      </c>
    </row>
    <row r="1127" spans="4:18" x14ac:dyDescent="0.2">
      <c r="D1127" t="s">
        <v>126</v>
      </c>
      <c r="E1127" t="s">
        <v>127</v>
      </c>
      <c r="F1127" t="s">
        <v>128</v>
      </c>
      <c r="G1127" t="s">
        <v>141</v>
      </c>
      <c r="H1127" t="s">
        <v>142</v>
      </c>
      <c r="I1127" t="s">
        <v>43</v>
      </c>
      <c r="J1127" t="s">
        <v>44</v>
      </c>
      <c r="K1127" t="s">
        <v>30</v>
      </c>
      <c r="L1127" t="s">
        <v>31</v>
      </c>
      <c r="M1127" t="s">
        <v>140</v>
      </c>
      <c r="N1127">
        <v>0.29874725000000002</v>
      </c>
      <c r="O1127">
        <v>4.8124909E-2</v>
      </c>
      <c r="P1127">
        <v>4.8522155999999997E-2</v>
      </c>
      <c r="Q1127" t="str">
        <f t="shared" si="34"/>
        <v>35-49</v>
      </c>
      <c r="R1127" t="str">
        <f t="shared" si="35"/>
        <v>[ul0y9diGujK]|35-49|Female|HIV_PREV.T_1|CY2024Q3</v>
      </c>
    </row>
    <row r="1128" spans="4:18" x14ac:dyDescent="0.2">
      <c r="D1128" t="s">
        <v>126</v>
      </c>
      <c r="E1128" t="s">
        <v>127</v>
      </c>
      <c r="F1128" t="s">
        <v>128</v>
      </c>
      <c r="G1128" t="s">
        <v>141</v>
      </c>
      <c r="H1128" t="s">
        <v>142</v>
      </c>
      <c r="I1128" t="s">
        <v>45</v>
      </c>
      <c r="J1128" t="s">
        <v>46</v>
      </c>
      <c r="K1128" t="s">
        <v>30</v>
      </c>
      <c r="L1128" t="s">
        <v>31</v>
      </c>
      <c r="M1128" t="s">
        <v>140</v>
      </c>
      <c r="N1128">
        <v>0.247746414</v>
      </c>
      <c r="O1128">
        <v>5.5220803999999998E-2</v>
      </c>
      <c r="P1128">
        <v>4.8522155999999997E-2</v>
      </c>
      <c r="Q1128" t="str">
        <f t="shared" si="34"/>
        <v>50+</v>
      </c>
      <c r="R1128" t="str">
        <f t="shared" si="35"/>
        <v>[ul0y9diGujK]|50+|Female|HIV_PREV.T_1|CY2024Q3</v>
      </c>
    </row>
    <row r="1129" spans="4:18" x14ac:dyDescent="0.2">
      <c r="D1129" t="s">
        <v>126</v>
      </c>
      <c r="E1129" t="s">
        <v>127</v>
      </c>
      <c r="F1129" t="s">
        <v>128</v>
      </c>
      <c r="G1129" t="s">
        <v>141</v>
      </c>
      <c r="H1129" t="s">
        <v>142</v>
      </c>
      <c r="I1129" t="s">
        <v>28</v>
      </c>
      <c r="J1129" t="s">
        <v>29</v>
      </c>
      <c r="K1129" t="s">
        <v>48</v>
      </c>
      <c r="L1129" t="s">
        <v>49</v>
      </c>
      <c r="M1129" t="s">
        <v>140</v>
      </c>
      <c r="N1129">
        <v>2.9904319999999999E-3</v>
      </c>
      <c r="O1129">
        <v>5.4076425999999997E-2</v>
      </c>
      <c r="P1129">
        <v>4.8522155999999997E-2</v>
      </c>
      <c r="Q1129" t="str">
        <f t="shared" si="34"/>
        <v>&lt;01</v>
      </c>
      <c r="R1129" t="str">
        <f t="shared" si="35"/>
        <v>[ul0y9diGujK]|&lt;01|Male|HIV_PREV.T_1|CY2024Q3</v>
      </c>
    </row>
    <row r="1130" spans="4:18" x14ac:dyDescent="0.2">
      <c r="D1130" t="s">
        <v>126</v>
      </c>
      <c r="E1130" t="s">
        <v>127</v>
      </c>
      <c r="F1130" t="s">
        <v>128</v>
      </c>
      <c r="G1130" t="s">
        <v>141</v>
      </c>
      <c r="H1130" t="s">
        <v>142</v>
      </c>
      <c r="I1130" t="s">
        <v>33</v>
      </c>
      <c r="J1130" t="s">
        <v>34</v>
      </c>
      <c r="K1130" t="s">
        <v>48</v>
      </c>
      <c r="L1130" t="s">
        <v>49</v>
      </c>
      <c r="M1130" t="s">
        <v>140</v>
      </c>
      <c r="N1130">
        <v>6.4562730000000002E-3</v>
      </c>
      <c r="O1130">
        <v>6.2481406000000003E-2</v>
      </c>
      <c r="P1130">
        <v>4.8522155999999997E-2</v>
      </c>
      <c r="Q1130" t="str">
        <f t="shared" si="34"/>
        <v>01-09</v>
      </c>
      <c r="R1130" t="str">
        <f t="shared" si="35"/>
        <v>[ul0y9diGujK]|01-09|Male|HIV_PREV.T_1|CY2024Q3</v>
      </c>
    </row>
    <row r="1131" spans="4:18" x14ac:dyDescent="0.2">
      <c r="D1131" t="s">
        <v>126</v>
      </c>
      <c r="E1131" t="s">
        <v>127</v>
      </c>
      <c r="F1131" t="s">
        <v>128</v>
      </c>
      <c r="G1131" t="s">
        <v>141</v>
      </c>
      <c r="H1131" t="s">
        <v>142</v>
      </c>
      <c r="I1131" t="s">
        <v>36</v>
      </c>
      <c r="J1131" t="s">
        <v>37</v>
      </c>
      <c r="K1131" t="s">
        <v>48</v>
      </c>
      <c r="L1131" t="s">
        <v>49</v>
      </c>
      <c r="M1131" t="s">
        <v>140</v>
      </c>
      <c r="N1131">
        <v>1.4697913E-2</v>
      </c>
      <c r="O1131">
        <v>7.3582177999999998E-2</v>
      </c>
      <c r="P1131">
        <v>4.8522155999999997E-2</v>
      </c>
      <c r="Q1131" t="str">
        <f t="shared" si="34"/>
        <v>10-14</v>
      </c>
      <c r="R1131" t="str">
        <f t="shared" si="35"/>
        <v>[ul0y9diGujK]|10-14|Male|HIV_PREV.T_1|CY2024Q3</v>
      </c>
    </row>
    <row r="1132" spans="4:18" x14ac:dyDescent="0.2">
      <c r="D1132" t="s">
        <v>126</v>
      </c>
      <c r="E1132" t="s">
        <v>127</v>
      </c>
      <c r="F1132" t="s">
        <v>128</v>
      </c>
      <c r="G1132" t="s">
        <v>141</v>
      </c>
      <c r="H1132" t="s">
        <v>142</v>
      </c>
      <c r="I1132" t="s">
        <v>38</v>
      </c>
      <c r="J1132" t="s">
        <v>39</v>
      </c>
      <c r="K1132" t="s">
        <v>48</v>
      </c>
      <c r="L1132" t="s">
        <v>49</v>
      </c>
      <c r="M1132" t="s">
        <v>140</v>
      </c>
      <c r="N1132">
        <v>2.6076021000000001E-2</v>
      </c>
      <c r="O1132">
        <v>9.3074269000000001E-2</v>
      </c>
      <c r="P1132">
        <v>4.8522155999999997E-2</v>
      </c>
      <c r="Q1132" t="str">
        <f t="shared" si="34"/>
        <v>15-24</v>
      </c>
      <c r="R1132" t="str">
        <f t="shared" si="35"/>
        <v>[ul0y9diGujK]|15-24|Male|HIV_PREV.T_1|CY2024Q3</v>
      </c>
    </row>
    <row r="1133" spans="4:18" x14ac:dyDescent="0.2">
      <c r="D1133" t="s">
        <v>126</v>
      </c>
      <c r="E1133" t="s">
        <v>127</v>
      </c>
      <c r="F1133" t="s">
        <v>128</v>
      </c>
      <c r="G1133" t="s">
        <v>141</v>
      </c>
      <c r="H1133" t="s">
        <v>142</v>
      </c>
      <c r="I1133" t="s">
        <v>41</v>
      </c>
      <c r="J1133" t="s">
        <v>42</v>
      </c>
      <c r="K1133" t="s">
        <v>48</v>
      </c>
      <c r="L1133" t="s">
        <v>49</v>
      </c>
      <c r="M1133" t="s">
        <v>140</v>
      </c>
      <c r="N1133">
        <v>5.4746511999999997E-2</v>
      </c>
      <c r="O1133">
        <v>8.7227412000000004E-2</v>
      </c>
      <c r="P1133">
        <v>4.8522155999999997E-2</v>
      </c>
      <c r="Q1133" t="str">
        <f t="shared" si="34"/>
        <v>25-34</v>
      </c>
      <c r="R1133" t="str">
        <f t="shared" si="35"/>
        <v>[ul0y9diGujK]|25-34|Male|HIV_PREV.T_1|CY2024Q3</v>
      </c>
    </row>
    <row r="1134" spans="4:18" x14ac:dyDescent="0.2">
      <c r="D1134" t="s">
        <v>126</v>
      </c>
      <c r="E1134" t="s">
        <v>127</v>
      </c>
      <c r="F1134" t="s">
        <v>128</v>
      </c>
      <c r="G1134" t="s">
        <v>141</v>
      </c>
      <c r="H1134" t="s">
        <v>142</v>
      </c>
      <c r="I1134" t="s">
        <v>43</v>
      </c>
      <c r="J1134" t="s">
        <v>44</v>
      </c>
      <c r="K1134" t="s">
        <v>48</v>
      </c>
      <c r="L1134" t="s">
        <v>49</v>
      </c>
      <c r="M1134" t="s">
        <v>140</v>
      </c>
      <c r="N1134">
        <v>0.19715259700000001</v>
      </c>
      <c r="O1134">
        <v>5.4452963E-2</v>
      </c>
      <c r="P1134">
        <v>4.8522155999999997E-2</v>
      </c>
      <c r="Q1134" t="str">
        <f t="shared" si="34"/>
        <v>35-49</v>
      </c>
      <c r="R1134" t="str">
        <f t="shared" si="35"/>
        <v>[ul0y9diGujK]|35-49|Male|HIV_PREV.T_1|CY2024Q3</v>
      </c>
    </row>
    <row r="1135" spans="4:18" x14ac:dyDescent="0.2">
      <c r="D1135" t="s">
        <v>126</v>
      </c>
      <c r="E1135" t="s">
        <v>127</v>
      </c>
      <c r="F1135" t="s">
        <v>128</v>
      </c>
      <c r="G1135" t="s">
        <v>141</v>
      </c>
      <c r="H1135" t="s">
        <v>142</v>
      </c>
      <c r="I1135" t="s">
        <v>45</v>
      </c>
      <c r="J1135" t="s">
        <v>46</v>
      </c>
      <c r="K1135" t="s">
        <v>48</v>
      </c>
      <c r="L1135" t="s">
        <v>49</v>
      </c>
      <c r="M1135" t="s">
        <v>140</v>
      </c>
      <c r="N1135">
        <v>0.25717641000000002</v>
      </c>
      <c r="O1135">
        <v>5.2668465999999997E-2</v>
      </c>
      <c r="P1135">
        <v>4.8522155999999997E-2</v>
      </c>
      <c r="Q1135" t="str">
        <f t="shared" si="34"/>
        <v>50+</v>
      </c>
      <c r="R1135" t="str">
        <f t="shared" si="35"/>
        <v>[ul0y9diGujK]|50+|Male|HIV_PREV.T_1|CY2024Q3</v>
      </c>
    </row>
    <row r="1136" spans="4:18" x14ac:dyDescent="0.2">
      <c r="D1136" t="s">
        <v>129</v>
      </c>
      <c r="E1136" t="s">
        <v>130</v>
      </c>
      <c r="F1136" t="s">
        <v>131</v>
      </c>
      <c r="G1136" t="s">
        <v>141</v>
      </c>
      <c r="H1136" t="s">
        <v>142</v>
      </c>
      <c r="I1136" t="s">
        <v>28</v>
      </c>
      <c r="J1136" t="s">
        <v>29</v>
      </c>
      <c r="K1136" t="s">
        <v>30</v>
      </c>
      <c r="L1136" t="s">
        <v>31</v>
      </c>
      <c r="M1136" t="s">
        <v>140</v>
      </c>
      <c r="N1136">
        <v>1.915358E-3</v>
      </c>
      <c r="O1136">
        <v>5.8533490000000001E-2</v>
      </c>
      <c r="P1136">
        <v>5.4662418999999997E-2</v>
      </c>
      <c r="Q1136" t="str">
        <f t="shared" si="34"/>
        <v>&lt;01</v>
      </c>
      <c r="R1136" t="str">
        <f t="shared" si="35"/>
        <v>[U8c0so51kT6]|&lt;01|Female|HIV_PREV.T_1|CY2024Q3</v>
      </c>
    </row>
    <row r="1137" spans="4:18" x14ac:dyDescent="0.2">
      <c r="D1137" t="s">
        <v>129</v>
      </c>
      <c r="E1137" t="s">
        <v>130</v>
      </c>
      <c r="F1137" t="s">
        <v>131</v>
      </c>
      <c r="G1137" t="s">
        <v>141</v>
      </c>
      <c r="H1137" t="s">
        <v>142</v>
      </c>
      <c r="I1137" t="s">
        <v>33</v>
      </c>
      <c r="J1137" t="s">
        <v>34</v>
      </c>
      <c r="K1137" t="s">
        <v>30</v>
      </c>
      <c r="L1137" t="s">
        <v>31</v>
      </c>
      <c r="M1137" t="s">
        <v>140</v>
      </c>
      <c r="N1137">
        <v>4.8223720000000001E-3</v>
      </c>
      <c r="O1137">
        <v>6.1938702999999998E-2</v>
      </c>
      <c r="P1137">
        <v>5.4662418999999997E-2</v>
      </c>
      <c r="Q1137" t="str">
        <f t="shared" si="34"/>
        <v>01-09</v>
      </c>
      <c r="R1137" t="str">
        <f t="shared" si="35"/>
        <v>[U8c0so51kT6]|01-09|Female|HIV_PREV.T_1|CY2024Q3</v>
      </c>
    </row>
    <row r="1138" spans="4:18" x14ac:dyDescent="0.2">
      <c r="D1138" t="s">
        <v>129</v>
      </c>
      <c r="E1138" t="s">
        <v>130</v>
      </c>
      <c r="F1138" t="s">
        <v>131</v>
      </c>
      <c r="G1138" t="s">
        <v>141</v>
      </c>
      <c r="H1138" t="s">
        <v>142</v>
      </c>
      <c r="I1138" t="s">
        <v>36</v>
      </c>
      <c r="J1138" t="s">
        <v>37</v>
      </c>
      <c r="K1138" t="s">
        <v>30</v>
      </c>
      <c r="L1138" t="s">
        <v>31</v>
      </c>
      <c r="M1138" t="s">
        <v>140</v>
      </c>
      <c r="N1138">
        <v>1.2805311E-2</v>
      </c>
      <c r="O1138">
        <v>6.6345948000000002E-2</v>
      </c>
      <c r="P1138">
        <v>5.4662418999999997E-2</v>
      </c>
      <c r="Q1138" t="str">
        <f t="shared" si="34"/>
        <v>10-14</v>
      </c>
      <c r="R1138" t="str">
        <f t="shared" si="35"/>
        <v>[U8c0so51kT6]|10-14|Female|HIV_PREV.T_1|CY2024Q3</v>
      </c>
    </row>
    <row r="1139" spans="4:18" x14ac:dyDescent="0.2">
      <c r="D1139" t="s">
        <v>129</v>
      </c>
      <c r="E1139" t="s">
        <v>130</v>
      </c>
      <c r="F1139" t="s">
        <v>131</v>
      </c>
      <c r="G1139" t="s">
        <v>141</v>
      </c>
      <c r="H1139" t="s">
        <v>142</v>
      </c>
      <c r="I1139" t="s">
        <v>38</v>
      </c>
      <c r="J1139" t="s">
        <v>39</v>
      </c>
      <c r="K1139" t="s">
        <v>30</v>
      </c>
      <c r="L1139" t="s">
        <v>31</v>
      </c>
      <c r="M1139" t="s">
        <v>140</v>
      </c>
      <c r="N1139">
        <v>2.5120524000000002E-2</v>
      </c>
      <c r="O1139">
        <v>8.5094949000000003E-2</v>
      </c>
      <c r="P1139">
        <v>5.4662418999999997E-2</v>
      </c>
      <c r="Q1139" t="str">
        <f t="shared" si="34"/>
        <v>15-24</v>
      </c>
      <c r="R1139" t="str">
        <f t="shared" si="35"/>
        <v>[U8c0so51kT6]|15-24|Female|HIV_PREV.T_1|CY2024Q3</v>
      </c>
    </row>
    <row r="1140" spans="4:18" x14ac:dyDescent="0.2">
      <c r="D1140" t="s">
        <v>129</v>
      </c>
      <c r="E1140" t="s">
        <v>130</v>
      </c>
      <c r="F1140" t="s">
        <v>131</v>
      </c>
      <c r="G1140" t="s">
        <v>141</v>
      </c>
      <c r="H1140" t="s">
        <v>142</v>
      </c>
      <c r="I1140" t="s">
        <v>41</v>
      </c>
      <c r="J1140" t="s">
        <v>42</v>
      </c>
      <c r="K1140" t="s">
        <v>30</v>
      </c>
      <c r="L1140" t="s">
        <v>31</v>
      </c>
      <c r="M1140" t="s">
        <v>140</v>
      </c>
      <c r="N1140">
        <v>9.3746778000000003E-2</v>
      </c>
      <c r="O1140">
        <v>7.0676215000000001E-2</v>
      </c>
      <c r="P1140">
        <v>5.4662418999999997E-2</v>
      </c>
      <c r="Q1140" t="str">
        <f t="shared" si="34"/>
        <v>25-34</v>
      </c>
      <c r="R1140" t="str">
        <f t="shared" si="35"/>
        <v>[U8c0so51kT6]|25-34|Female|HIV_PREV.T_1|CY2024Q3</v>
      </c>
    </row>
    <row r="1141" spans="4:18" x14ac:dyDescent="0.2">
      <c r="D1141" t="s">
        <v>129</v>
      </c>
      <c r="E1141" t="s">
        <v>130</v>
      </c>
      <c r="F1141" t="s">
        <v>131</v>
      </c>
      <c r="G1141" t="s">
        <v>141</v>
      </c>
      <c r="H1141" t="s">
        <v>142</v>
      </c>
      <c r="I1141" t="s">
        <v>43</v>
      </c>
      <c r="J1141" t="s">
        <v>44</v>
      </c>
      <c r="K1141" t="s">
        <v>30</v>
      </c>
      <c r="L1141" t="s">
        <v>31</v>
      </c>
      <c r="M1141" t="s">
        <v>140</v>
      </c>
      <c r="N1141">
        <v>0.22791239299999999</v>
      </c>
      <c r="O1141">
        <v>5.5845028999999997E-2</v>
      </c>
      <c r="P1141">
        <v>5.4662418999999997E-2</v>
      </c>
      <c r="Q1141" t="str">
        <f t="shared" si="34"/>
        <v>35-49</v>
      </c>
      <c r="R1141" t="str">
        <f t="shared" si="35"/>
        <v>[U8c0so51kT6]|35-49|Female|HIV_PREV.T_1|CY2024Q3</v>
      </c>
    </row>
    <row r="1142" spans="4:18" x14ac:dyDescent="0.2">
      <c r="D1142" t="s">
        <v>129</v>
      </c>
      <c r="E1142" t="s">
        <v>130</v>
      </c>
      <c r="F1142" t="s">
        <v>131</v>
      </c>
      <c r="G1142" t="s">
        <v>141</v>
      </c>
      <c r="H1142" t="s">
        <v>142</v>
      </c>
      <c r="I1142" t="s">
        <v>45</v>
      </c>
      <c r="J1142" t="s">
        <v>46</v>
      </c>
      <c r="K1142" t="s">
        <v>30</v>
      </c>
      <c r="L1142" t="s">
        <v>31</v>
      </c>
      <c r="M1142" t="s">
        <v>140</v>
      </c>
      <c r="N1142">
        <v>0.186393697</v>
      </c>
      <c r="O1142">
        <v>6.1994465999999998E-2</v>
      </c>
      <c r="P1142">
        <v>5.4662418999999997E-2</v>
      </c>
      <c r="Q1142" t="str">
        <f t="shared" si="34"/>
        <v>50+</v>
      </c>
      <c r="R1142" t="str">
        <f t="shared" si="35"/>
        <v>[U8c0so51kT6]|50+|Female|HIV_PREV.T_1|CY2024Q3</v>
      </c>
    </row>
    <row r="1143" spans="4:18" x14ac:dyDescent="0.2">
      <c r="D1143" t="s">
        <v>129</v>
      </c>
      <c r="E1143" t="s">
        <v>130</v>
      </c>
      <c r="F1143" t="s">
        <v>131</v>
      </c>
      <c r="G1143" t="s">
        <v>141</v>
      </c>
      <c r="H1143" t="s">
        <v>142</v>
      </c>
      <c r="I1143" t="s">
        <v>28</v>
      </c>
      <c r="J1143" t="s">
        <v>29</v>
      </c>
      <c r="K1143" t="s">
        <v>48</v>
      </c>
      <c r="L1143" t="s">
        <v>49</v>
      </c>
      <c r="M1143" t="s">
        <v>140</v>
      </c>
      <c r="N1143">
        <v>1.9475549999999999E-3</v>
      </c>
      <c r="O1143">
        <v>5.8517898999999998E-2</v>
      </c>
      <c r="P1143">
        <v>5.4662418999999997E-2</v>
      </c>
      <c r="Q1143" t="str">
        <f t="shared" si="34"/>
        <v>&lt;01</v>
      </c>
      <c r="R1143" t="str">
        <f t="shared" si="35"/>
        <v>[U8c0so51kT6]|&lt;01|Male|HIV_PREV.T_1|CY2024Q3</v>
      </c>
    </row>
    <row r="1144" spans="4:18" x14ac:dyDescent="0.2">
      <c r="D1144" t="s">
        <v>129</v>
      </c>
      <c r="E1144" t="s">
        <v>130</v>
      </c>
      <c r="F1144" t="s">
        <v>131</v>
      </c>
      <c r="G1144" t="s">
        <v>141</v>
      </c>
      <c r="H1144" t="s">
        <v>142</v>
      </c>
      <c r="I1144" t="s">
        <v>33</v>
      </c>
      <c r="J1144" t="s">
        <v>34</v>
      </c>
      <c r="K1144" t="s">
        <v>48</v>
      </c>
      <c r="L1144" t="s">
        <v>49</v>
      </c>
      <c r="M1144" t="s">
        <v>140</v>
      </c>
      <c r="N1144">
        <v>4.8664759999999998E-3</v>
      </c>
      <c r="O1144">
        <v>6.1930427000000003E-2</v>
      </c>
      <c r="P1144">
        <v>5.4662418999999997E-2</v>
      </c>
      <c r="Q1144" t="str">
        <f t="shared" si="34"/>
        <v>01-09</v>
      </c>
      <c r="R1144" t="str">
        <f t="shared" si="35"/>
        <v>[U8c0so51kT6]|01-09|Male|HIV_PREV.T_1|CY2024Q3</v>
      </c>
    </row>
    <row r="1145" spans="4:18" x14ac:dyDescent="0.2">
      <c r="D1145" t="s">
        <v>129</v>
      </c>
      <c r="E1145" t="s">
        <v>130</v>
      </c>
      <c r="F1145" t="s">
        <v>131</v>
      </c>
      <c r="G1145" t="s">
        <v>141</v>
      </c>
      <c r="H1145" t="s">
        <v>142</v>
      </c>
      <c r="I1145" t="s">
        <v>36</v>
      </c>
      <c r="J1145" t="s">
        <v>37</v>
      </c>
      <c r="K1145" t="s">
        <v>48</v>
      </c>
      <c r="L1145" t="s">
        <v>49</v>
      </c>
      <c r="M1145" t="s">
        <v>140</v>
      </c>
      <c r="N1145">
        <v>1.2819005E-2</v>
      </c>
      <c r="O1145">
        <v>6.6347090999999997E-2</v>
      </c>
      <c r="P1145">
        <v>5.4662418999999997E-2</v>
      </c>
      <c r="Q1145" t="str">
        <f t="shared" si="34"/>
        <v>10-14</v>
      </c>
      <c r="R1145" t="str">
        <f t="shared" si="35"/>
        <v>[U8c0so51kT6]|10-14|Male|HIV_PREV.T_1|CY2024Q3</v>
      </c>
    </row>
    <row r="1146" spans="4:18" x14ac:dyDescent="0.2">
      <c r="D1146" t="s">
        <v>129</v>
      </c>
      <c r="E1146" t="s">
        <v>130</v>
      </c>
      <c r="F1146" t="s">
        <v>131</v>
      </c>
      <c r="G1146" t="s">
        <v>141</v>
      </c>
      <c r="H1146" t="s">
        <v>142</v>
      </c>
      <c r="I1146" t="s">
        <v>38</v>
      </c>
      <c r="J1146" t="s">
        <v>39</v>
      </c>
      <c r="K1146" t="s">
        <v>48</v>
      </c>
      <c r="L1146" t="s">
        <v>49</v>
      </c>
      <c r="M1146" t="s">
        <v>140</v>
      </c>
      <c r="N1146">
        <v>1.7933068E-2</v>
      </c>
      <c r="O1146">
        <v>8.9233196000000001E-2</v>
      </c>
      <c r="P1146">
        <v>5.4662418999999997E-2</v>
      </c>
      <c r="Q1146" t="str">
        <f t="shared" si="34"/>
        <v>15-24</v>
      </c>
      <c r="R1146" t="str">
        <f t="shared" si="35"/>
        <v>[U8c0so51kT6]|15-24|Male|HIV_PREV.T_1|CY2024Q3</v>
      </c>
    </row>
    <row r="1147" spans="4:18" x14ac:dyDescent="0.2">
      <c r="D1147" t="s">
        <v>129</v>
      </c>
      <c r="E1147" t="s">
        <v>130</v>
      </c>
      <c r="F1147" t="s">
        <v>131</v>
      </c>
      <c r="G1147" t="s">
        <v>141</v>
      </c>
      <c r="H1147" t="s">
        <v>142</v>
      </c>
      <c r="I1147" t="s">
        <v>41</v>
      </c>
      <c r="J1147" t="s">
        <v>42</v>
      </c>
      <c r="K1147" t="s">
        <v>48</v>
      </c>
      <c r="L1147" t="s">
        <v>49</v>
      </c>
      <c r="M1147" t="s">
        <v>140</v>
      </c>
      <c r="N1147">
        <v>3.6059121999999999E-2</v>
      </c>
      <c r="O1147">
        <v>9.2157263000000003E-2</v>
      </c>
      <c r="P1147">
        <v>5.4662418999999997E-2</v>
      </c>
      <c r="Q1147" t="str">
        <f t="shared" si="34"/>
        <v>25-34</v>
      </c>
      <c r="R1147" t="str">
        <f t="shared" si="35"/>
        <v>[U8c0so51kT6]|25-34|Male|HIV_PREV.T_1|CY2024Q3</v>
      </c>
    </row>
    <row r="1148" spans="4:18" x14ac:dyDescent="0.2">
      <c r="D1148" t="s">
        <v>129</v>
      </c>
      <c r="E1148" t="s">
        <v>130</v>
      </c>
      <c r="F1148" t="s">
        <v>131</v>
      </c>
      <c r="G1148" t="s">
        <v>141</v>
      </c>
      <c r="H1148" t="s">
        <v>142</v>
      </c>
      <c r="I1148" t="s">
        <v>43</v>
      </c>
      <c r="J1148" t="s">
        <v>44</v>
      </c>
      <c r="K1148" t="s">
        <v>48</v>
      </c>
      <c r="L1148" t="s">
        <v>49</v>
      </c>
      <c r="M1148" t="s">
        <v>140</v>
      </c>
      <c r="N1148">
        <v>0.13812439400000001</v>
      </c>
      <c r="O1148">
        <v>6.1450782000000002E-2</v>
      </c>
      <c r="P1148">
        <v>5.4662418999999997E-2</v>
      </c>
      <c r="Q1148" t="str">
        <f t="shared" si="34"/>
        <v>35-49</v>
      </c>
      <c r="R1148" t="str">
        <f t="shared" si="35"/>
        <v>[U8c0so51kT6]|35-49|Male|HIV_PREV.T_1|CY2024Q3</v>
      </c>
    </row>
    <row r="1149" spans="4:18" x14ac:dyDescent="0.2">
      <c r="D1149" t="s">
        <v>129</v>
      </c>
      <c r="E1149" t="s">
        <v>130</v>
      </c>
      <c r="F1149" t="s">
        <v>131</v>
      </c>
      <c r="G1149" t="s">
        <v>141</v>
      </c>
      <c r="H1149" t="s">
        <v>142</v>
      </c>
      <c r="I1149" t="s">
        <v>45</v>
      </c>
      <c r="J1149" t="s">
        <v>46</v>
      </c>
      <c r="K1149" t="s">
        <v>48</v>
      </c>
      <c r="L1149" t="s">
        <v>49</v>
      </c>
      <c r="M1149" t="s">
        <v>140</v>
      </c>
      <c r="N1149">
        <v>0.19591251300000001</v>
      </c>
      <c r="O1149">
        <v>5.8106518000000003E-2</v>
      </c>
      <c r="P1149">
        <v>5.4662418999999997E-2</v>
      </c>
      <c r="Q1149" t="str">
        <f t="shared" si="34"/>
        <v>50+</v>
      </c>
      <c r="R1149" t="str">
        <f t="shared" si="35"/>
        <v>[U8c0so51kT6]|50+|Male|HIV_PREV.T_1|CY2024Q3</v>
      </c>
    </row>
    <row r="1150" spans="4:18" x14ac:dyDescent="0.2">
      <c r="D1150" t="s">
        <v>132</v>
      </c>
      <c r="E1150" t="s">
        <v>133</v>
      </c>
      <c r="F1150" t="s">
        <v>134</v>
      </c>
      <c r="G1150" t="s">
        <v>141</v>
      </c>
      <c r="H1150" t="s">
        <v>142</v>
      </c>
      <c r="I1150" t="s">
        <v>28</v>
      </c>
      <c r="J1150" t="s">
        <v>29</v>
      </c>
      <c r="K1150" t="s">
        <v>30</v>
      </c>
      <c r="L1150" t="s">
        <v>31</v>
      </c>
      <c r="M1150" t="s">
        <v>140</v>
      </c>
      <c r="N1150">
        <v>2.0020289999999998E-3</v>
      </c>
      <c r="O1150">
        <v>7.4205332999999998E-2</v>
      </c>
      <c r="P1150">
        <v>7.4363403999999994E-2</v>
      </c>
      <c r="Q1150" t="str">
        <f t="shared" si="34"/>
        <v>&lt;01</v>
      </c>
      <c r="R1150" t="str">
        <f t="shared" si="35"/>
        <v>[rpw540fmNUz]|&lt;01|Female|HIV_PREV.T_1|CY2024Q3</v>
      </c>
    </row>
    <row r="1151" spans="4:18" x14ac:dyDescent="0.2">
      <c r="D1151" t="s">
        <v>132</v>
      </c>
      <c r="E1151" t="s">
        <v>133</v>
      </c>
      <c r="F1151" t="s">
        <v>134</v>
      </c>
      <c r="G1151" t="s">
        <v>141</v>
      </c>
      <c r="H1151" t="s">
        <v>142</v>
      </c>
      <c r="I1151" t="s">
        <v>33</v>
      </c>
      <c r="J1151" t="s">
        <v>34</v>
      </c>
      <c r="K1151" t="s">
        <v>30</v>
      </c>
      <c r="L1151" t="s">
        <v>31</v>
      </c>
      <c r="M1151" t="s">
        <v>140</v>
      </c>
      <c r="N1151">
        <v>5.1262510000000001E-3</v>
      </c>
      <c r="O1151">
        <v>7.7446419000000002E-2</v>
      </c>
      <c r="P1151">
        <v>7.4363403999999994E-2</v>
      </c>
      <c r="Q1151" t="str">
        <f t="shared" si="34"/>
        <v>01-09</v>
      </c>
      <c r="R1151" t="str">
        <f t="shared" si="35"/>
        <v>[rpw540fmNUz]|01-09|Female|HIV_PREV.T_1|CY2024Q3</v>
      </c>
    </row>
    <row r="1152" spans="4:18" x14ac:dyDescent="0.2">
      <c r="D1152" t="s">
        <v>132</v>
      </c>
      <c r="E1152" t="s">
        <v>133</v>
      </c>
      <c r="F1152" t="s">
        <v>134</v>
      </c>
      <c r="G1152" t="s">
        <v>141</v>
      </c>
      <c r="H1152" t="s">
        <v>142</v>
      </c>
      <c r="I1152" t="s">
        <v>36</v>
      </c>
      <c r="J1152" t="s">
        <v>37</v>
      </c>
      <c r="K1152" t="s">
        <v>30</v>
      </c>
      <c r="L1152" t="s">
        <v>31</v>
      </c>
      <c r="M1152" t="s">
        <v>140</v>
      </c>
      <c r="N1152">
        <v>1.4146051E-2</v>
      </c>
      <c r="O1152">
        <v>8.1652289000000003E-2</v>
      </c>
      <c r="P1152">
        <v>7.4363403999999994E-2</v>
      </c>
      <c r="Q1152" t="str">
        <f t="shared" si="34"/>
        <v>10-14</v>
      </c>
      <c r="R1152" t="str">
        <f t="shared" si="35"/>
        <v>[rpw540fmNUz]|10-14|Female|HIV_PREV.T_1|CY2024Q3</v>
      </c>
    </row>
    <row r="1153" spans="4:18" x14ac:dyDescent="0.2">
      <c r="D1153" t="s">
        <v>132</v>
      </c>
      <c r="E1153" t="s">
        <v>133</v>
      </c>
      <c r="F1153" t="s">
        <v>134</v>
      </c>
      <c r="G1153" t="s">
        <v>141</v>
      </c>
      <c r="H1153" t="s">
        <v>142</v>
      </c>
      <c r="I1153" t="s">
        <v>38</v>
      </c>
      <c r="J1153" t="s">
        <v>39</v>
      </c>
      <c r="K1153" t="s">
        <v>30</v>
      </c>
      <c r="L1153" t="s">
        <v>31</v>
      </c>
      <c r="M1153" t="s">
        <v>140</v>
      </c>
      <c r="N1153">
        <v>2.78628E-2</v>
      </c>
      <c r="O1153">
        <v>0.10135928399999999</v>
      </c>
      <c r="P1153">
        <v>7.4363403999999994E-2</v>
      </c>
      <c r="Q1153" t="str">
        <f t="shared" si="34"/>
        <v>15-24</v>
      </c>
      <c r="R1153" t="str">
        <f t="shared" si="35"/>
        <v>[rpw540fmNUz]|15-24|Female|HIV_PREV.T_1|CY2024Q3</v>
      </c>
    </row>
    <row r="1154" spans="4:18" x14ac:dyDescent="0.2">
      <c r="D1154" t="s">
        <v>132</v>
      </c>
      <c r="E1154" t="s">
        <v>133</v>
      </c>
      <c r="F1154" t="s">
        <v>134</v>
      </c>
      <c r="G1154" t="s">
        <v>141</v>
      </c>
      <c r="H1154" t="s">
        <v>142</v>
      </c>
      <c r="I1154" t="s">
        <v>41</v>
      </c>
      <c r="J1154" t="s">
        <v>42</v>
      </c>
      <c r="K1154" t="s">
        <v>30</v>
      </c>
      <c r="L1154" t="s">
        <v>31</v>
      </c>
      <c r="M1154" t="s">
        <v>140</v>
      </c>
      <c r="N1154">
        <v>0.103820359</v>
      </c>
      <c r="O1154">
        <v>8.8034363000000004E-2</v>
      </c>
      <c r="P1154">
        <v>7.4363403999999994E-2</v>
      </c>
      <c r="Q1154" t="str">
        <f t="shared" si="34"/>
        <v>25-34</v>
      </c>
      <c r="R1154" t="str">
        <f t="shared" si="35"/>
        <v>[rpw540fmNUz]|25-34|Female|HIV_PREV.T_1|CY2024Q3</v>
      </c>
    </row>
    <row r="1155" spans="4:18" x14ac:dyDescent="0.2">
      <c r="D1155" t="s">
        <v>132</v>
      </c>
      <c r="E1155" t="s">
        <v>133</v>
      </c>
      <c r="F1155" t="s">
        <v>134</v>
      </c>
      <c r="G1155" t="s">
        <v>141</v>
      </c>
      <c r="H1155" t="s">
        <v>142</v>
      </c>
      <c r="I1155" t="s">
        <v>43</v>
      </c>
      <c r="J1155" t="s">
        <v>44</v>
      </c>
      <c r="K1155" t="s">
        <v>30</v>
      </c>
      <c r="L1155" t="s">
        <v>31</v>
      </c>
      <c r="M1155" t="s">
        <v>140</v>
      </c>
      <c r="N1155">
        <v>0.240999512</v>
      </c>
      <c r="O1155">
        <v>7.045469E-2</v>
      </c>
      <c r="P1155">
        <v>7.4363403999999994E-2</v>
      </c>
      <c r="Q1155" t="str">
        <f t="shared" ref="Q1155:Q1218" si="36">SUBSTITUTE(SUBSTITUTE($I1155,CHAR(61),""),CHAR(34),"")</f>
        <v>35-49</v>
      </c>
      <c r="R1155" t="str">
        <f t="shared" ref="R1155:R1218" si="37">IF($D1155&lt;&gt;"","["&amp;$E1155&amp;"]"&amp;"|"&amp;$Q1155&amp;"|"&amp;$K1155&amp;"|"&amp;$G1155&amp;"|"&amp;IF($G1155="TX_CURR_SUBNAT.R","CY2023Q4",$M1155),"")</f>
        <v>[rpw540fmNUz]|35-49|Female|HIV_PREV.T_1|CY2024Q3</v>
      </c>
    </row>
    <row r="1156" spans="4:18" x14ac:dyDescent="0.2">
      <c r="D1156" t="s">
        <v>132</v>
      </c>
      <c r="E1156" t="s">
        <v>133</v>
      </c>
      <c r="F1156" t="s">
        <v>134</v>
      </c>
      <c r="G1156" t="s">
        <v>141</v>
      </c>
      <c r="H1156" t="s">
        <v>142</v>
      </c>
      <c r="I1156" t="s">
        <v>45</v>
      </c>
      <c r="J1156" t="s">
        <v>46</v>
      </c>
      <c r="K1156" t="s">
        <v>30</v>
      </c>
      <c r="L1156" t="s">
        <v>31</v>
      </c>
      <c r="M1156" t="s">
        <v>140</v>
      </c>
      <c r="N1156">
        <v>0.19139657299999999</v>
      </c>
      <c r="O1156">
        <v>8.1229727000000002E-2</v>
      </c>
      <c r="P1156">
        <v>7.4363403999999994E-2</v>
      </c>
      <c r="Q1156" t="str">
        <f t="shared" si="36"/>
        <v>50+</v>
      </c>
      <c r="R1156" t="str">
        <f t="shared" si="37"/>
        <v>[rpw540fmNUz]|50+|Female|HIV_PREV.T_1|CY2024Q3</v>
      </c>
    </row>
    <row r="1157" spans="4:18" x14ac:dyDescent="0.2">
      <c r="D1157" t="s">
        <v>132</v>
      </c>
      <c r="E1157" t="s">
        <v>133</v>
      </c>
      <c r="F1157" t="s">
        <v>134</v>
      </c>
      <c r="G1157" t="s">
        <v>141</v>
      </c>
      <c r="H1157" t="s">
        <v>142</v>
      </c>
      <c r="I1157" t="s">
        <v>28</v>
      </c>
      <c r="J1157" t="s">
        <v>29</v>
      </c>
      <c r="K1157" t="s">
        <v>48</v>
      </c>
      <c r="L1157" t="s">
        <v>49</v>
      </c>
      <c r="M1157" t="s">
        <v>140</v>
      </c>
      <c r="N1157">
        <v>2.061284E-3</v>
      </c>
      <c r="O1157">
        <v>7.4169991000000005E-2</v>
      </c>
      <c r="P1157">
        <v>7.4363403999999994E-2</v>
      </c>
      <c r="Q1157" t="str">
        <f t="shared" si="36"/>
        <v>&lt;01</v>
      </c>
      <c r="R1157" t="str">
        <f t="shared" si="37"/>
        <v>[rpw540fmNUz]|&lt;01|Male|HIV_PREV.T_1|CY2024Q3</v>
      </c>
    </row>
    <row r="1158" spans="4:18" x14ac:dyDescent="0.2">
      <c r="D1158" t="s">
        <v>132</v>
      </c>
      <c r="E1158" t="s">
        <v>133</v>
      </c>
      <c r="F1158" t="s">
        <v>134</v>
      </c>
      <c r="G1158" t="s">
        <v>141</v>
      </c>
      <c r="H1158" t="s">
        <v>142</v>
      </c>
      <c r="I1158" t="s">
        <v>33</v>
      </c>
      <c r="J1158" t="s">
        <v>34</v>
      </c>
      <c r="K1158" t="s">
        <v>48</v>
      </c>
      <c r="L1158" t="s">
        <v>49</v>
      </c>
      <c r="M1158" t="s">
        <v>140</v>
      </c>
      <c r="N1158">
        <v>5.2028370000000001E-3</v>
      </c>
      <c r="O1158">
        <v>7.7421506000000001E-2</v>
      </c>
      <c r="P1158">
        <v>7.4363403999999994E-2</v>
      </c>
      <c r="Q1158" t="str">
        <f t="shared" si="36"/>
        <v>01-09</v>
      </c>
      <c r="R1158" t="str">
        <f t="shared" si="37"/>
        <v>[rpw540fmNUz]|01-09|Male|HIV_PREV.T_1|CY2024Q3</v>
      </c>
    </row>
    <row r="1159" spans="4:18" x14ac:dyDescent="0.2">
      <c r="D1159" t="s">
        <v>132</v>
      </c>
      <c r="E1159" t="s">
        <v>133</v>
      </c>
      <c r="F1159" t="s">
        <v>134</v>
      </c>
      <c r="G1159" t="s">
        <v>141</v>
      </c>
      <c r="H1159" t="s">
        <v>142</v>
      </c>
      <c r="I1159" t="s">
        <v>36</v>
      </c>
      <c r="J1159" t="s">
        <v>37</v>
      </c>
      <c r="K1159" t="s">
        <v>48</v>
      </c>
      <c r="L1159" t="s">
        <v>49</v>
      </c>
      <c r="M1159" t="s">
        <v>140</v>
      </c>
      <c r="N1159">
        <v>1.4135958000000001E-2</v>
      </c>
      <c r="O1159">
        <v>8.1653643999999997E-2</v>
      </c>
      <c r="P1159">
        <v>7.4363403999999994E-2</v>
      </c>
      <c r="Q1159" t="str">
        <f t="shared" si="36"/>
        <v>10-14</v>
      </c>
      <c r="R1159" t="str">
        <f t="shared" si="37"/>
        <v>[rpw540fmNUz]|10-14|Male|HIV_PREV.T_1|CY2024Q3</v>
      </c>
    </row>
    <row r="1160" spans="4:18" x14ac:dyDescent="0.2">
      <c r="D1160" t="s">
        <v>132</v>
      </c>
      <c r="E1160" t="s">
        <v>133</v>
      </c>
      <c r="F1160" t="s">
        <v>134</v>
      </c>
      <c r="G1160" t="s">
        <v>141</v>
      </c>
      <c r="H1160" t="s">
        <v>142</v>
      </c>
      <c r="I1160" t="s">
        <v>38</v>
      </c>
      <c r="J1160" t="s">
        <v>39</v>
      </c>
      <c r="K1160" t="s">
        <v>48</v>
      </c>
      <c r="L1160" t="s">
        <v>49</v>
      </c>
      <c r="M1160" t="s">
        <v>140</v>
      </c>
      <c r="N1160">
        <v>1.9515329000000001E-2</v>
      </c>
      <c r="O1160">
        <v>0.103188187</v>
      </c>
      <c r="P1160">
        <v>7.4363403999999994E-2</v>
      </c>
      <c r="Q1160" t="str">
        <f t="shared" si="36"/>
        <v>15-24</v>
      </c>
      <c r="R1160" t="str">
        <f t="shared" si="37"/>
        <v>[rpw540fmNUz]|15-24|Male|HIV_PREV.T_1|CY2024Q3</v>
      </c>
    </row>
    <row r="1161" spans="4:18" x14ac:dyDescent="0.2">
      <c r="D1161" t="s">
        <v>132</v>
      </c>
      <c r="E1161" t="s">
        <v>133</v>
      </c>
      <c r="F1161" t="s">
        <v>134</v>
      </c>
      <c r="G1161" t="s">
        <v>141</v>
      </c>
      <c r="H1161" t="s">
        <v>142</v>
      </c>
      <c r="I1161" t="s">
        <v>41</v>
      </c>
      <c r="J1161" t="s">
        <v>42</v>
      </c>
      <c r="K1161" t="s">
        <v>48</v>
      </c>
      <c r="L1161" t="s">
        <v>49</v>
      </c>
      <c r="M1161" t="s">
        <v>140</v>
      </c>
      <c r="N1161">
        <v>3.8130184999999997E-2</v>
      </c>
      <c r="O1161">
        <v>0.109935295</v>
      </c>
      <c r="P1161">
        <v>7.4363403999999994E-2</v>
      </c>
      <c r="Q1161" t="str">
        <f t="shared" si="36"/>
        <v>25-34</v>
      </c>
      <c r="R1161" t="str">
        <f t="shared" si="37"/>
        <v>[rpw540fmNUz]|25-34|Male|HIV_PREV.T_1|CY2024Q3</v>
      </c>
    </row>
    <row r="1162" spans="4:18" x14ac:dyDescent="0.2">
      <c r="D1162" t="s">
        <v>132</v>
      </c>
      <c r="E1162" t="s">
        <v>133</v>
      </c>
      <c r="F1162" t="s">
        <v>134</v>
      </c>
      <c r="G1162" t="s">
        <v>141</v>
      </c>
      <c r="H1162" t="s">
        <v>142</v>
      </c>
      <c r="I1162" t="s">
        <v>43</v>
      </c>
      <c r="J1162" t="s">
        <v>44</v>
      </c>
      <c r="K1162" t="s">
        <v>48</v>
      </c>
      <c r="L1162" t="s">
        <v>49</v>
      </c>
      <c r="M1162" t="s">
        <v>140</v>
      </c>
      <c r="N1162">
        <v>0.14111537299999999</v>
      </c>
      <c r="O1162">
        <v>8.4760580000000002E-2</v>
      </c>
      <c r="P1162">
        <v>7.4363403999999994E-2</v>
      </c>
      <c r="Q1162" t="str">
        <f t="shared" si="36"/>
        <v>35-49</v>
      </c>
      <c r="R1162" t="str">
        <f t="shared" si="37"/>
        <v>[rpw540fmNUz]|35-49|Male|HIV_PREV.T_1|CY2024Q3</v>
      </c>
    </row>
    <row r="1163" spans="4:18" x14ac:dyDescent="0.2">
      <c r="D1163" t="s">
        <v>132</v>
      </c>
      <c r="E1163" t="s">
        <v>133</v>
      </c>
      <c r="F1163" t="s">
        <v>134</v>
      </c>
      <c r="G1163" t="s">
        <v>141</v>
      </c>
      <c r="H1163" t="s">
        <v>142</v>
      </c>
      <c r="I1163" t="s">
        <v>45</v>
      </c>
      <c r="J1163" t="s">
        <v>46</v>
      </c>
      <c r="K1163" t="s">
        <v>48</v>
      </c>
      <c r="L1163" t="s">
        <v>49</v>
      </c>
      <c r="M1163" t="s">
        <v>140</v>
      </c>
      <c r="N1163">
        <v>0.18826631899999999</v>
      </c>
      <c r="O1163">
        <v>8.0014926E-2</v>
      </c>
      <c r="P1163">
        <v>7.4363403999999994E-2</v>
      </c>
      <c r="Q1163" t="str">
        <f t="shared" si="36"/>
        <v>50+</v>
      </c>
      <c r="R1163" t="str">
        <f t="shared" si="37"/>
        <v>[rpw540fmNUz]|50+|Male|HIV_PREV.T_1|CY2024Q3</v>
      </c>
    </row>
    <row r="1164" spans="4:18" x14ac:dyDescent="0.2">
      <c r="D1164" t="s">
        <v>135</v>
      </c>
      <c r="E1164" t="s">
        <v>136</v>
      </c>
      <c r="F1164" t="s">
        <v>137</v>
      </c>
      <c r="G1164" t="s">
        <v>141</v>
      </c>
      <c r="H1164" t="s">
        <v>142</v>
      </c>
      <c r="I1164" t="s">
        <v>28</v>
      </c>
      <c r="J1164" t="s">
        <v>29</v>
      </c>
      <c r="K1164" t="s">
        <v>30</v>
      </c>
      <c r="L1164" t="s">
        <v>31</v>
      </c>
      <c r="M1164" t="s">
        <v>140</v>
      </c>
      <c r="N1164">
        <v>1.5536269999999999E-3</v>
      </c>
      <c r="O1164">
        <v>0.103172123</v>
      </c>
      <c r="P1164">
        <v>9.5940757000000002E-2</v>
      </c>
      <c r="Q1164" t="str">
        <f t="shared" si="36"/>
        <v>&lt;01</v>
      </c>
      <c r="R1164" t="str">
        <f t="shared" si="37"/>
        <v>[gwVYinjBAe9]|&lt;01|Female|HIV_PREV.T_1|CY2024Q3</v>
      </c>
    </row>
    <row r="1165" spans="4:18" x14ac:dyDescent="0.2">
      <c r="D1165" t="s">
        <v>135</v>
      </c>
      <c r="E1165" t="s">
        <v>136</v>
      </c>
      <c r="F1165" t="s">
        <v>137</v>
      </c>
      <c r="G1165" t="s">
        <v>141</v>
      </c>
      <c r="H1165" t="s">
        <v>142</v>
      </c>
      <c r="I1165" t="s">
        <v>33</v>
      </c>
      <c r="J1165" t="s">
        <v>34</v>
      </c>
      <c r="K1165" t="s">
        <v>30</v>
      </c>
      <c r="L1165" t="s">
        <v>31</v>
      </c>
      <c r="M1165" t="s">
        <v>140</v>
      </c>
      <c r="N1165">
        <v>3.9250220000000002E-3</v>
      </c>
      <c r="O1165">
        <v>0.108656035</v>
      </c>
      <c r="P1165">
        <v>9.5940757000000002E-2</v>
      </c>
      <c r="Q1165" t="str">
        <f t="shared" si="36"/>
        <v>01-09</v>
      </c>
      <c r="R1165" t="str">
        <f t="shared" si="37"/>
        <v>[gwVYinjBAe9]|01-09|Female|HIV_PREV.T_1|CY2024Q3</v>
      </c>
    </row>
    <row r="1166" spans="4:18" x14ac:dyDescent="0.2">
      <c r="D1166" t="s">
        <v>135</v>
      </c>
      <c r="E1166" t="s">
        <v>136</v>
      </c>
      <c r="F1166" t="s">
        <v>137</v>
      </c>
      <c r="G1166" t="s">
        <v>141</v>
      </c>
      <c r="H1166" t="s">
        <v>142</v>
      </c>
      <c r="I1166" t="s">
        <v>36</v>
      </c>
      <c r="J1166" t="s">
        <v>37</v>
      </c>
      <c r="K1166" t="s">
        <v>30</v>
      </c>
      <c r="L1166" t="s">
        <v>31</v>
      </c>
      <c r="M1166" t="s">
        <v>140</v>
      </c>
      <c r="N1166">
        <v>9.8619080000000008E-3</v>
      </c>
      <c r="O1166">
        <v>0.11577364499999999</v>
      </c>
      <c r="P1166">
        <v>9.5940757000000002E-2</v>
      </c>
      <c r="Q1166" t="str">
        <f t="shared" si="36"/>
        <v>10-14</v>
      </c>
      <c r="R1166" t="str">
        <f t="shared" si="37"/>
        <v>[gwVYinjBAe9]|10-14|Female|HIV_PREV.T_1|CY2024Q3</v>
      </c>
    </row>
    <row r="1167" spans="4:18" x14ac:dyDescent="0.2">
      <c r="D1167" t="s">
        <v>135</v>
      </c>
      <c r="E1167" t="s">
        <v>136</v>
      </c>
      <c r="F1167" t="s">
        <v>137</v>
      </c>
      <c r="G1167" t="s">
        <v>141</v>
      </c>
      <c r="H1167" t="s">
        <v>142</v>
      </c>
      <c r="I1167" t="s">
        <v>38</v>
      </c>
      <c r="J1167" t="s">
        <v>39</v>
      </c>
      <c r="K1167" t="s">
        <v>30</v>
      </c>
      <c r="L1167" t="s">
        <v>31</v>
      </c>
      <c r="M1167" t="s">
        <v>140</v>
      </c>
      <c r="N1167">
        <v>1.9646265999999999E-2</v>
      </c>
      <c r="O1167">
        <v>0.123517026</v>
      </c>
      <c r="P1167">
        <v>9.5940757000000002E-2</v>
      </c>
      <c r="Q1167" t="str">
        <f t="shared" si="36"/>
        <v>15-24</v>
      </c>
      <c r="R1167" t="str">
        <f t="shared" si="37"/>
        <v>[gwVYinjBAe9]|15-24|Female|HIV_PREV.T_1|CY2024Q3</v>
      </c>
    </row>
    <row r="1168" spans="4:18" x14ac:dyDescent="0.2">
      <c r="D1168" t="s">
        <v>135</v>
      </c>
      <c r="E1168" t="s">
        <v>136</v>
      </c>
      <c r="F1168" t="s">
        <v>137</v>
      </c>
      <c r="G1168" t="s">
        <v>141</v>
      </c>
      <c r="H1168" t="s">
        <v>142</v>
      </c>
      <c r="I1168" t="s">
        <v>41</v>
      </c>
      <c r="J1168" t="s">
        <v>42</v>
      </c>
      <c r="K1168" t="s">
        <v>30</v>
      </c>
      <c r="L1168" t="s">
        <v>31</v>
      </c>
      <c r="M1168" t="s">
        <v>140</v>
      </c>
      <c r="N1168">
        <v>7.4380018000000006E-2</v>
      </c>
      <c r="O1168">
        <v>0.11062192799999999</v>
      </c>
      <c r="P1168">
        <v>9.5940757000000002E-2</v>
      </c>
      <c r="Q1168" t="str">
        <f t="shared" si="36"/>
        <v>25-34</v>
      </c>
      <c r="R1168" t="str">
        <f t="shared" si="37"/>
        <v>[gwVYinjBAe9]|25-34|Female|HIV_PREV.T_1|CY2024Q3</v>
      </c>
    </row>
    <row r="1169" spans="4:18" x14ac:dyDescent="0.2">
      <c r="D1169" t="s">
        <v>135</v>
      </c>
      <c r="E1169" t="s">
        <v>136</v>
      </c>
      <c r="F1169" t="s">
        <v>137</v>
      </c>
      <c r="G1169" t="s">
        <v>141</v>
      </c>
      <c r="H1169" t="s">
        <v>142</v>
      </c>
      <c r="I1169" t="s">
        <v>43</v>
      </c>
      <c r="J1169" t="s">
        <v>44</v>
      </c>
      <c r="K1169" t="s">
        <v>30</v>
      </c>
      <c r="L1169" t="s">
        <v>31</v>
      </c>
      <c r="M1169" t="s">
        <v>140</v>
      </c>
      <c r="N1169">
        <v>0.18365247800000001</v>
      </c>
      <c r="O1169">
        <v>9.7730132999999997E-2</v>
      </c>
      <c r="P1169">
        <v>9.5940757000000002E-2</v>
      </c>
      <c r="Q1169" t="str">
        <f t="shared" si="36"/>
        <v>35-49</v>
      </c>
      <c r="R1169" t="str">
        <f t="shared" si="37"/>
        <v>[gwVYinjBAe9]|35-49|Female|HIV_PREV.T_1|CY2024Q3</v>
      </c>
    </row>
    <row r="1170" spans="4:18" x14ac:dyDescent="0.2">
      <c r="D1170" t="s">
        <v>135</v>
      </c>
      <c r="E1170" t="s">
        <v>136</v>
      </c>
      <c r="F1170" t="s">
        <v>137</v>
      </c>
      <c r="G1170" t="s">
        <v>141</v>
      </c>
      <c r="H1170" t="s">
        <v>142</v>
      </c>
      <c r="I1170" t="s">
        <v>45</v>
      </c>
      <c r="J1170" t="s">
        <v>46</v>
      </c>
      <c r="K1170" t="s">
        <v>30</v>
      </c>
      <c r="L1170" t="s">
        <v>31</v>
      </c>
      <c r="M1170" t="s">
        <v>140</v>
      </c>
      <c r="N1170">
        <v>0.154734388</v>
      </c>
      <c r="O1170">
        <v>0.101793682</v>
      </c>
      <c r="P1170">
        <v>9.5940757000000002E-2</v>
      </c>
      <c r="Q1170" t="str">
        <f t="shared" si="36"/>
        <v>50+</v>
      </c>
      <c r="R1170" t="str">
        <f t="shared" si="37"/>
        <v>[gwVYinjBAe9]|50+|Female|HIV_PREV.T_1|CY2024Q3</v>
      </c>
    </row>
    <row r="1171" spans="4:18" x14ac:dyDescent="0.2">
      <c r="D1171" t="s">
        <v>135</v>
      </c>
      <c r="E1171" t="s">
        <v>136</v>
      </c>
      <c r="F1171" t="s">
        <v>137</v>
      </c>
      <c r="G1171" t="s">
        <v>141</v>
      </c>
      <c r="H1171" t="s">
        <v>142</v>
      </c>
      <c r="I1171" t="s">
        <v>28</v>
      </c>
      <c r="J1171" t="s">
        <v>29</v>
      </c>
      <c r="K1171" t="s">
        <v>48</v>
      </c>
      <c r="L1171" t="s">
        <v>49</v>
      </c>
      <c r="M1171" t="s">
        <v>140</v>
      </c>
      <c r="N1171">
        <v>1.5531080000000001E-3</v>
      </c>
      <c r="O1171">
        <v>0.10318477</v>
      </c>
      <c r="P1171">
        <v>9.5940757000000002E-2</v>
      </c>
      <c r="Q1171" t="str">
        <f t="shared" si="36"/>
        <v>&lt;01</v>
      </c>
      <c r="R1171" t="str">
        <f t="shared" si="37"/>
        <v>[gwVYinjBAe9]|&lt;01|Male|HIV_PREV.T_1|CY2024Q3</v>
      </c>
    </row>
    <row r="1172" spans="4:18" x14ac:dyDescent="0.2">
      <c r="D1172" t="s">
        <v>135</v>
      </c>
      <c r="E1172" t="s">
        <v>136</v>
      </c>
      <c r="F1172" t="s">
        <v>137</v>
      </c>
      <c r="G1172" t="s">
        <v>141</v>
      </c>
      <c r="H1172" t="s">
        <v>142</v>
      </c>
      <c r="I1172" t="s">
        <v>33</v>
      </c>
      <c r="J1172" t="s">
        <v>34</v>
      </c>
      <c r="K1172" t="s">
        <v>48</v>
      </c>
      <c r="L1172" t="s">
        <v>49</v>
      </c>
      <c r="M1172" t="s">
        <v>140</v>
      </c>
      <c r="N1172">
        <v>3.9029630000000002E-3</v>
      </c>
      <c r="O1172">
        <v>0.108674137</v>
      </c>
      <c r="P1172">
        <v>9.5940757000000002E-2</v>
      </c>
      <c r="Q1172" t="str">
        <f t="shared" si="36"/>
        <v>01-09</v>
      </c>
      <c r="R1172" t="str">
        <f t="shared" si="37"/>
        <v>[gwVYinjBAe9]|01-09|Male|HIV_PREV.T_1|CY2024Q3</v>
      </c>
    </row>
    <row r="1173" spans="4:18" x14ac:dyDescent="0.2">
      <c r="D1173" t="s">
        <v>135</v>
      </c>
      <c r="E1173" t="s">
        <v>136</v>
      </c>
      <c r="F1173" t="s">
        <v>137</v>
      </c>
      <c r="G1173" t="s">
        <v>141</v>
      </c>
      <c r="H1173" t="s">
        <v>142</v>
      </c>
      <c r="I1173" t="s">
        <v>36</v>
      </c>
      <c r="J1173" t="s">
        <v>37</v>
      </c>
      <c r="K1173" t="s">
        <v>48</v>
      </c>
      <c r="L1173" t="s">
        <v>49</v>
      </c>
      <c r="M1173" t="s">
        <v>140</v>
      </c>
      <c r="N1173">
        <v>9.7957879999999997E-3</v>
      </c>
      <c r="O1173">
        <v>0.115775197</v>
      </c>
      <c r="P1173">
        <v>9.5940757000000002E-2</v>
      </c>
      <c r="Q1173" t="str">
        <f t="shared" si="36"/>
        <v>10-14</v>
      </c>
      <c r="R1173" t="str">
        <f t="shared" si="37"/>
        <v>[gwVYinjBAe9]|10-14|Male|HIV_PREV.T_1|CY2024Q3</v>
      </c>
    </row>
    <row r="1174" spans="4:18" x14ac:dyDescent="0.2">
      <c r="D1174" t="s">
        <v>135</v>
      </c>
      <c r="E1174" t="s">
        <v>136</v>
      </c>
      <c r="F1174" t="s">
        <v>137</v>
      </c>
      <c r="G1174" t="s">
        <v>141</v>
      </c>
      <c r="H1174" t="s">
        <v>142</v>
      </c>
      <c r="I1174" t="s">
        <v>38</v>
      </c>
      <c r="J1174" t="s">
        <v>39</v>
      </c>
      <c r="K1174" t="s">
        <v>48</v>
      </c>
      <c r="L1174" t="s">
        <v>49</v>
      </c>
      <c r="M1174" t="s">
        <v>140</v>
      </c>
      <c r="N1174">
        <v>1.4330051E-2</v>
      </c>
      <c r="O1174">
        <v>0.122870431</v>
      </c>
      <c r="P1174">
        <v>9.5940757000000002E-2</v>
      </c>
      <c r="Q1174" t="str">
        <f t="shared" si="36"/>
        <v>15-24</v>
      </c>
      <c r="R1174" t="str">
        <f t="shared" si="37"/>
        <v>[gwVYinjBAe9]|15-24|Male|HIV_PREV.T_1|CY2024Q3</v>
      </c>
    </row>
    <row r="1175" spans="4:18" x14ac:dyDescent="0.2">
      <c r="D1175" t="s">
        <v>135</v>
      </c>
      <c r="E1175" t="s">
        <v>136</v>
      </c>
      <c r="F1175" t="s">
        <v>137</v>
      </c>
      <c r="G1175" t="s">
        <v>141</v>
      </c>
      <c r="H1175" t="s">
        <v>142</v>
      </c>
      <c r="I1175" t="s">
        <v>41</v>
      </c>
      <c r="J1175" t="s">
        <v>42</v>
      </c>
      <c r="K1175" t="s">
        <v>48</v>
      </c>
      <c r="L1175" t="s">
        <v>49</v>
      </c>
      <c r="M1175" t="s">
        <v>140</v>
      </c>
      <c r="N1175">
        <v>2.8759356E-2</v>
      </c>
      <c r="O1175">
        <v>0.123501535</v>
      </c>
      <c r="P1175">
        <v>9.5940757000000002E-2</v>
      </c>
      <c r="Q1175" t="str">
        <f t="shared" si="36"/>
        <v>25-34</v>
      </c>
      <c r="R1175" t="str">
        <f t="shared" si="37"/>
        <v>[gwVYinjBAe9]|25-34|Male|HIV_PREV.T_1|CY2024Q3</v>
      </c>
    </row>
    <row r="1176" spans="4:18" x14ac:dyDescent="0.2">
      <c r="D1176" t="s">
        <v>135</v>
      </c>
      <c r="E1176" t="s">
        <v>136</v>
      </c>
      <c r="F1176" t="s">
        <v>137</v>
      </c>
      <c r="G1176" t="s">
        <v>141</v>
      </c>
      <c r="H1176" t="s">
        <v>142</v>
      </c>
      <c r="I1176" t="s">
        <v>43</v>
      </c>
      <c r="J1176" t="s">
        <v>44</v>
      </c>
      <c r="K1176" t="s">
        <v>48</v>
      </c>
      <c r="L1176" t="s">
        <v>49</v>
      </c>
      <c r="M1176" t="s">
        <v>140</v>
      </c>
      <c r="N1176">
        <v>0.11387313</v>
      </c>
      <c r="O1176">
        <v>9.6163006999999995E-2</v>
      </c>
      <c r="P1176">
        <v>9.5940757000000002E-2</v>
      </c>
      <c r="Q1176" t="str">
        <f t="shared" si="36"/>
        <v>35-49</v>
      </c>
      <c r="R1176" t="str">
        <f t="shared" si="37"/>
        <v>[gwVYinjBAe9]|35-49|Male|HIV_PREV.T_1|CY2024Q3</v>
      </c>
    </row>
    <row r="1177" spans="4:18" x14ac:dyDescent="0.2">
      <c r="D1177" t="s">
        <v>135</v>
      </c>
      <c r="E1177" t="s">
        <v>136</v>
      </c>
      <c r="F1177" t="s">
        <v>137</v>
      </c>
      <c r="G1177" t="s">
        <v>141</v>
      </c>
      <c r="H1177" t="s">
        <v>142</v>
      </c>
      <c r="I1177" t="s">
        <v>45</v>
      </c>
      <c r="J1177" t="s">
        <v>46</v>
      </c>
      <c r="K1177" t="s">
        <v>48</v>
      </c>
      <c r="L1177" t="s">
        <v>49</v>
      </c>
      <c r="M1177" t="s">
        <v>140</v>
      </c>
      <c r="N1177">
        <v>0.15613564199999999</v>
      </c>
      <c r="O1177">
        <v>9.1713352999999997E-2</v>
      </c>
      <c r="P1177">
        <v>9.5940757000000002E-2</v>
      </c>
      <c r="Q1177" t="str">
        <f t="shared" si="36"/>
        <v>50+</v>
      </c>
      <c r="R1177" t="str">
        <f t="shared" si="37"/>
        <v>[gwVYinjBAe9]|50+|Male|HIV_PREV.T_1|CY2024Q3</v>
      </c>
    </row>
    <row r="1178" spans="4:18" x14ac:dyDescent="0.2">
      <c r="D1178" t="s">
        <v>23</v>
      </c>
      <c r="E1178" t="s">
        <v>24</v>
      </c>
      <c r="F1178" t="s">
        <v>25</v>
      </c>
      <c r="G1178" t="s">
        <v>143</v>
      </c>
      <c r="H1178" t="s">
        <v>144</v>
      </c>
      <c r="I1178" t="s">
        <v>28</v>
      </c>
      <c r="J1178" t="s">
        <v>29</v>
      </c>
      <c r="K1178" t="s">
        <v>30</v>
      </c>
      <c r="L1178" t="s">
        <v>31</v>
      </c>
      <c r="M1178" t="s">
        <v>140</v>
      </c>
      <c r="N1178">
        <v>3</v>
      </c>
      <c r="O1178">
        <v>7.8795561E-2</v>
      </c>
      <c r="P1178">
        <v>7.0623828E-2</v>
      </c>
      <c r="Q1178" t="str">
        <f t="shared" si="36"/>
        <v>&lt;01</v>
      </c>
      <c r="R1178" t="str">
        <f t="shared" si="37"/>
        <v>[GkIwZrXy1h2]|&lt;01|Female|PLHIV_Residents.T_1|CY2024Q3</v>
      </c>
    </row>
    <row r="1179" spans="4:18" x14ac:dyDescent="0.2">
      <c r="D1179" t="s">
        <v>23</v>
      </c>
      <c r="E1179" t="s">
        <v>24</v>
      </c>
      <c r="F1179" t="s">
        <v>25</v>
      </c>
      <c r="G1179" t="s">
        <v>143</v>
      </c>
      <c r="H1179" t="s">
        <v>144</v>
      </c>
      <c r="I1179" t="s">
        <v>33</v>
      </c>
      <c r="J1179" t="s">
        <v>34</v>
      </c>
      <c r="K1179" t="s">
        <v>30</v>
      </c>
      <c r="L1179" t="s">
        <v>31</v>
      </c>
      <c r="M1179" t="s">
        <v>140</v>
      </c>
      <c r="N1179">
        <v>56</v>
      </c>
      <c r="O1179">
        <v>8.8963163999999997E-2</v>
      </c>
      <c r="P1179">
        <v>7.0623828E-2</v>
      </c>
      <c r="Q1179" t="str">
        <f t="shared" si="36"/>
        <v>01-09</v>
      </c>
      <c r="R1179" t="str">
        <f t="shared" si="37"/>
        <v>[GkIwZrXy1h2]|01-09|Female|PLHIV_Residents.T_1|CY2024Q3</v>
      </c>
    </row>
    <row r="1180" spans="4:18" x14ac:dyDescent="0.2">
      <c r="D1180" t="s">
        <v>23</v>
      </c>
      <c r="E1180" t="s">
        <v>24</v>
      </c>
      <c r="F1180" t="s">
        <v>25</v>
      </c>
      <c r="G1180" t="s">
        <v>143</v>
      </c>
      <c r="H1180" t="s">
        <v>144</v>
      </c>
      <c r="I1180" t="s">
        <v>36</v>
      </c>
      <c r="J1180" t="s">
        <v>37</v>
      </c>
      <c r="K1180" t="s">
        <v>30</v>
      </c>
      <c r="L1180" t="s">
        <v>31</v>
      </c>
      <c r="M1180" t="s">
        <v>140</v>
      </c>
      <c r="N1180">
        <v>75</v>
      </c>
      <c r="O1180">
        <v>0.102179904</v>
      </c>
      <c r="P1180">
        <v>7.0623828E-2</v>
      </c>
      <c r="Q1180" t="str">
        <f t="shared" si="36"/>
        <v>10-14</v>
      </c>
      <c r="R1180" t="str">
        <f t="shared" si="37"/>
        <v>[GkIwZrXy1h2]|10-14|Female|PLHIV_Residents.T_1|CY2024Q3</v>
      </c>
    </row>
    <row r="1181" spans="4:18" x14ac:dyDescent="0.2">
      <c r="D1181" t="s">
        <v>23</v>
      </c>
      <c r="E1181" t="s">
        <v>24</v>
      </c>
      <c r="F1181" t="s">
        <v>25</v>
      </c>
      <c r="G1181" t="s">
        <v>143</v>
      </c>
      <c r="H1181" t="s">
        <v>144</v>
      </c>
      <c r="I1181" t="s">
        <v>38</v>
      </c>
      <c r="J1181" t="s">
        <v>39</v>
      </c>
      <c r="K1181" t="s">
        <v>30</v>
      </c>
      <c r="L1181" t="s">
        <v>31</v>
      </c>
      <c r="M1181" t="s">
        <v>140</v>
      </c>
      <c r="N1181">
        <v>257</v>
      </c>
      <c r="O1181">
        <v>9.8754578999999995E-2</v>
      </c>
      <c r="P1181">
        <v>7.0623828E-2</v>
      </c>
      <c r="Q1181" t="str">
        <f t="shared" si="36"/>
        <v>15-24</v>
      </c>
      <c r="R1181" t="str">
        <f t="shared" si="37"/>
        <v>[GkIwZrXy1h2]|15-24|Female|PLHIV_Residents.T_1|CY2024Q3</v>
      </c>
    </row>
    <row r="1182" spans="4:18" x14ac:dyDescent="0.2">
      <c r="D1182" t="s">
        <v>23</v>
      </c>
      <c r="E1182" t="s">
        <v>24</v>
      </c>
      <c r="F1182" t="s">
        <v>25</v>
      </c>
      <c r="G1182" t="s">
        <v>143</v>
      </c>
      <c r="H1182" t="s">
        <v>144</v>
      </c>
      <c r="I1182" t="s">
        <v>41</v>
      </c>
      <c r="J1182" t="s">
        <v>42</v>
      </c>
      <c r="K1182" t="s">
        <v>30</v>
      </c>
      <c r="L1182" t="s">
        <v>31</v>
      </c>
      <c r="M1182" t="s">
        <v>140</v>
      </c>
      <c r="N1182">
        <v>629</v>
      </c>
      <c r="O1182">
        <v>8.4652573999999994E-2</v>
      </c>
      <c r="P1182">
        <v>7.0623828E-2</v>
      </c>
      <c r="Q1182" t="str">
        <f t="shared" si="36"/>
        <v>25-34</v>
      </c>
      <c r="R1182" t="str">
        <f t="shared" si="37"/>
        <v>[GkIwZrXy1h2]|25-34|Female|PLHIV_Residents.T_1|CY2024Q3</v>
      </c>
    </row>
    <row r="1183" spans="4:18" x14ac:dyDescent="0.2">
      <c r="D1183" t="s">
        <v>23</v>
      </c>
      <c r="E1183" t="s">
        <v>24</v>
      </c>
      <c r="F1183" t="s">
        <v>25</v>
      </c>
      <c r="G1183" t="s">
        <v>143</v>
      </c>
      <c r="H1183" t="s">
        <v>144</v>
      </c>
      <c r="I1183" t="s">
        <v>43</v>
      </c>
      <c r="J1183" t="s">
        <v>44</v>
      </c>
      <c r="K1183" t="s">
        <v>30</v>
      </c>
      <c r="L1183" t="s">
        <v>31</v>
      </c>
      <c r="M1183" t="s">
        <v>140</v>
      </c>
      <c r="N1183">
        <v>1675</v>
      </c>
      <c r="O1183">
        <v>7.2647986999999997E-2</v>
      </c>
      <c r="P1183">
        <v>7.0623828E-2</v>
      </c>
      <c r="Q1183" t="str">
        <f t="shared" si="36"/>
        <v>35-49</v>
      </c>
      <c r="R1183" t="str">
        <f t="shared" si="37"/>
        <v>[GkIwZrXy1h2]|35-49|Female|PLHIV_Residents.T_1|CY2024Q3</v>
      </c>
    </row>
    <row r="1184" spans="4:18" x14ac:dyDescent="0.2">
      <c r="D1184" t="s">
        <v>23</v>
      </c>
      <c r="E1184" t="s">
        <v>24</v>
      </c>
      <c r="F1184" t="s">
        <v>25</v>
      </c>
      <c r="G1184" t="s">
        <v>143</v>
      </c>
      <c r="H1184" t="s">
        <v>144</v>
      </c>
      <c r="I1184" t="s">
        <v>45</v>
      </c>
      <c r="J1184" t="s">
        <v>46</v>
      </c>
      <c r="K1184" t="s">
        <v>30</v>
      </c>
      <c r="L1184" t="s">
        <v>31</v>
      </c>
      <c r="M1184" t="s">
        <v>140</v>
      </c>
      <c r="N1184">
        <v>843</v>
      </c>
      <c r="O1184">
        <v>7.7901143000000006E-2</v>
      </c>
      <c r="P1184">
        <v>7.0623828E-2</v>
      </c>
      <c r="Q1184" t="str">
        <f t="shared" si="36"/>
        <v>50+</v>
      </c>
      <c r="R1184" t="str">
        <f t="shared" si="37"/>
        <v>[GkIwZrXy1h2]|50+|Female|PLHIV_Residents.T_1|CY2024Q3</v>
      </c>
    </row>
    <row r="1185" spans="4:18" x14ac:dyDescent="0.2">
      <c r="D1185" t="s">
        <v>23</v>
      </c>
      <c r="E1185" t="s">
        <v>24</v>
      </c>
      <c r="F1185" t="s">
        <v>25</v>
      </c>
      <c r="G1185" t="s">
        <v>143</v>
      </c>
      <c r="H1185" t="s">
        <v>144</v>
      </c>
      <c r="I1185" t="s">
        <v>28</v>
      </c>
      <c r="J1185" t="s">
        <v>29</v>
      </c>
      <c r="K1185" t="s">
        <v>48</v>
      </c>
      <c r="L1185" t="s">
        <v>49</v>
      </c>
      <c r="M1185" t="s">
        <v>140</v>
      </c>
      <c r="N1185">
        <v>3</v>
      </c>
      <c r="O1185">
        <v>7.8811494999999995E-2</v>
      </c>
      <c r="P1185">
        <v>7.0623828E-2</v>
      </c>
      <c r="Q1185" t="str">
        <f t="shared" si="36"/>
        <v>&lt;01</v>
      </c>
      <c r="R1185" t="str">
        <f t="shared" si="37"/>
        <v>[GkIwZrXy1h2]|&lt;01|Male|PLHIV_Residents.T_1|CY2024Q3</v>
      </c>
    </row>
    <row r="1186" spans="4:18" x14ac:dyDescent="0.2">
      <c r="D1186" t="s">
        <v>23</v>
      </c>
      <c r="E1186" t="s">
        <v>24</v>
      </c>
      <c r="F1186" t="s">
        <v>25</v>
      </c>
      <c r="G1186" t="s">
        <v>143</v>
      </c>
      <c r="H1186" t="s">
        <v>144</v>
      </c>
      <c r="I1186" t="s">
        <v>33</v>
      </c>
      <c r="J1186" t="s">
        <v>34</v>
      </c>
      <c r="K1186" t="s">
        <v>48</v>
      </c>
      <c r="L1186" t="s">
        <v>49</v>
      </c>
      <c r="M1186" t="s">
        <v>140</v>
      </c>
      <c r="N1186">
        <v>56</v>
      </c>
      <c r="O1186">
        <v>8.8957555999999993E-2</v>
      </c>
      <c r="P1186">
        <v>7.0623828E-2</v>
      </c>
      <c r="Q1186" t="str">
        <f t="shared" si="36"/>
        <v>01-09</v>
      </c>
      <c r="R1186" t="str">
        <f t="shared" si="37"/>
        <v>[GkIwZrXy1h2]|01-09|Male|PLHIV_Residents.T_1|CY2024Q3</v>
      </c>
    </row>
    <row r="1187" spans="4:18" x14ac:dyDescent="0.2">
      <c r="D1187" t="s">
        <v>23</v>
      </c>
      <c r="E1187" t="s">
        <v>24</v>
      </c>
      <c r="F1187" t="s">
        <v>25</v>
      </c>
      <c r="G1187" t="s">
        <v>143</v>
      </c>
      <c r="H1187" t="s">
        <v>144</v>
      </c>
      <c r="I1187" t="s">
        <v>36</v>
      </c>
      <c r="J1187" t="s">
        <v>37</v>
      </c>
      <c r="K1187" t="s">
        <v>48</v>
      </c>
      <c r="L1187" t="s">
        <v>49</v>
      </c>
      <c r="M1187" t="s">
        <v>140</v>
      </c>
      <c r="N1187">
        <v>74</v>
      </c>
      <c r="O1187">
        <v>0.10217894199999999</v>
      </c>
      <c r="P1187">
        <v>7.0623828E-2</v>
      </c>
      <c r="Q1187" t="str">
        <f t="shared" si="36"/>
        <v>10-14</v>
      </c>
      <c r="R1187" t="str">
        <f t="shared" si="37"/>
        <v>[GkIwZrXy1h2]|10-14|Male|PLHIV_Residents.T_1|CY2024Q3</v>
      </c>
    </row>
    <row r="1188" spans="4:18" x14ac:dyDescent="0.2">
      <c r="D1188" t="s">
        <v>23</v>
      </c>
      <c r="E1188" t="s">
        <v>24</v>
      </c>
      <c r="F1188" t="s">
        <v>25</v>
      </c>
      <c r="G1188" t="s">
        <v>143</v>
      </c>
      <c r="H1188" t="s">
        <v>144</v>
      </c>
      <c r="I1188" t="s">
        <v>38</v>
      </c>
      <c r="J1188" t="s">
        <v>39</v>
      </c>
      <c r="K1188" t="s">
        <v>48</v>
      </c>
      <c r="L1188" t="s">
        <v>49</v>
      </c>
      <c r="M1188" t="s">
        <v>140</v>
      </c>
      <c r="N1188">
        <v>195</v>
      </c>
      <c r="O1188">
        <v>0.105756406</v>
      </c>
      <c r="P1188">
        <v>7.0623828E-2</v>
      </c>
      <c r="Q1188" t="str">
        <f t="shared" si="36"/>
        <v>15-24</v>
      </c>
      <c r="R1188" t="str">
        <f t="shared" si="37"/>
        <v>[GkIwZrXy1h2]|15-24|Male|PLHIV_Residents.T_1|CY2024Q3</v>
      </c>
    </row>
    <row r="1189" spans="4:18" x14ac:dyDescent="0.2">
      <c r="D1189" t="s">
        <v>23</v>
      </c>
      <c r="E1189" t="s">
        <v>24</v>
      </c>
      <c r="F1189" t="s">
        <v>25</v>
      </c>
      <c r="G1189" t="s">
        <v>143</v>
      </c>
      <c r="H1189" t="s">
        <v>144</v>
      </c>
      <c r="I1189" t="s">
        <v>41</v>
      </c>
      <c r="J1189" t="s">
        <v>42</v>
      </c>
      <c r="K1189" t="s">
        <v>48</v>
      </c>
      <c r="L1189" t="s">
        <v>49</v>
      </c>
      <c r="M1189" t="s">
        <v>140</v>
      </c>
      <c r="N1189">
        <v>260</v>
      </c>
      <c r="O1189">
        <v>9.9935583999999994E-2</v>
      </c>
      <c r="P1189">
        <v>7.0623828E-2</v>
      </c>
      <c r="Q1189" t="str">
        <f t="shared" si="36"/>
        <v>25-34</v>
      </c>
      <c r="R1189" t="str">
        <f t="shared" si="37"/>
        <v>[GkIwZrXy1h2]|25-34|Male|PLHIV_Residents.T_1|CY2024Q3</v>
      </c>
    </row>
    <row r="1190" spans="4:18" x14ac:dyDescent="0.2">
      <c r="D1190" t="s">
        <v>23</v>
      </c>
      <c r="E1190" t="s">
        <v>24</v>
      </c>
      <c r="F1190" t="s">
        <v>25</v>
      </c>
      <c r="G1190" t="s">
        <v>143</v>
      </c>
      <c r="H1190" t="s">
        <v>144</v>
      </c>
      <c r="I1190" t="s">
        <v>43</v>
      </c>
      <c r="J1190" t="s">
        <v>44</v>
      </c>
      <c r="K1190" t="s">
        <v>48</v>
      </c>
      <c r="L1190" t="s">
        <v>49</v>
      </c>
      <c r="M1190" t="s">
        <v>140</v>
      </c>
      <c r="N1190">
        <v>988</v>
      </c>
      <c r="O1190">
        <v>7.7377942000000005E-2</v>
      </c>
      <c r="P1190">
        <v>7.0623828E-2</v>
      </c>
      <c r="Q1190" t="str">
        <f t="shared" si="36"/>
        <v>35-49</v>
      </c>
      <c r="R1190" t="str">
        <f t="shared" si="37"/>
        <v>[GkIwZrXy1h2]|35-49|Male|PLHIV_Residents.T_1|CY2024Q3</v>
      </c>
    </row>
    <row r="1191" spans="4:18" x14ac:dyDescent="0.2">
      <c r="D1191" t="s">
        <v>23</v>
      </c>
      <c r="E1191" t="s">
        <v>24</v>
      </c>
      <c r="F1191" t="s">
        <v>25</v>
      </c>
      <c r="G1191" t="s">
        <v>143</v>
      </c>
      <c r="H1191" t="s">
        <v>144</v>
      </c>
      <c r="I1191" t="s">
        <v>45</v>
      </c>
      <c r="J1191" t="s">
        <v>46</v>
      </c>
      <c r="K1191" t="s">
        <v>48</v>
      </c>
      <c r="L1191" t="s">
        <v>49</v>
      </c>
      <c r="M1191" t="s">
        <v>140</v>
      </c>
      <c r="N1191">
        <v>833</v>
      </c>
      <c r="O1191">
        <v>7.6813728999999997E-2</v>
      </c>
      <c r="P1191">
        <v>7.0623828E-2</v>
      </c>
      <c r="Q1191" t="str">
        <f t="shared" si="36"/>
        <v>50+</v>
      </c>
      <c r="R1191" t="str">
        <f t="shared" si="37"/>
        <v>[GkIwZrXy1h2]|50+|Male|PLHIV_Residents.T_1|CY2024Q3</v>
      </c>
    </row>
    <row r="1192" spans="4:18" x14ac:dyDescent="0.2">
      <c r="D1192" t="s">
        <v>53</v>
      </c>
      <c r="E1192" t="s">
        <v>54</v>
      </c>
      <c r="F1192" t="s">
        <v>55</v>
      </c>
      <c r="G1192" t="s">
        <v>143</v>
      </c>
      <c r="H1192" t="s">
        <v>144</v>
      </c>
      <c r="I1192" t="s">
        <v>28</v>
      </c>
      <c r="J1192" t="s">
        <v>29</v>
      </c>
      <c r="K1192" t="s">
        <v>30</v>
      </c>
      <c r="L1192" t="s">
        <v>31</v>
      </c>
      <c r="M1192" t="s">
        <v>140</v>
      </c>
      <c r="N1192">
        <v>9</v>
      </c>
      <c r="O1192">
        <v>3.9356456999999997E-2</v>
      </c>
      <c r="P1192">
        <v>3.2337286E-2</v>
      </c>
      <c r="Q1192" t="str">
        <f t="shared" si="36"/>
        <v>&lt;01</v>
      </c>
      <c r="R1192" t="str">
        <f t="shared" si="37"/>
        <v>[cPtvxaZqXIH]|&lt;01|Female|PLHIV_Residents.T_1|CY2024Q3</v>
      </c>
    </row>
    <row r="1193" spans="4:18" x14ac:dyDescent="0.2">
      <c r="D1193" t="s">
        <v>53</v>
      </c>
      <c r="E1193" t="s">
        <v>54</v>
      </c>
      <c r="F1193" t="s">
        <v>55</v>
      </c>
      <c r="G1193" t="s">
        <v>143</v>
      </c>
      <c r="H1193" t="s">
        <v>144</v>
      </c>
      <c r="I1193" t="s">
        <v>33</v>
      </c>
      <c r="J1193" t="s">
        <v>34</v>
      </c>
      <c r="K1193" t="s">
        <v>30</v>
      </c>
      <c r="L1193" t="s">
        <v>31</v>
      </c>
      <c r="M1193" t="s">
        <v>140</v>
      </c>
      <c r="N1193">
        <v>174</v>
      </c>
      <c r="O1193">
        <v>5.2384106999999999E-2</v>
      </c>
      <c r="P1193">
        <v>3.2337286E-2</v>
      </c>
      <c r="Q1193" t="str">
        <f t="shared" si="36"/>
        <v>01-09</v>
      </c>
      <c r="R1193" t="str">
        <f t="shared" si="37"/>
        <v>[cPtvxaZqXIH]|01-09|Female|PLHIV_Residents.T_1|CY2024Q3</v>
      </c>
    </row>
    <row r="1194" spans="4:18" x14ac:dyDescent="0.2">
      <c r="D1194" t="s">
        <v>53</v>
      </c>
      <c r="E1194" t="s">
        <v>54</v>
      </c>
      <c r="F1194" t="s">
        <v>55</v>
      </c>
      <c r="G1194" t="s">
        <v>143</v>
      </c>
      <c r="H1194" t="s">
        <v>144</v>
      </c>
      <c r="I1194" t="s">
        <v>36</v>
      </c>
      <c r="J1194" t="s">
        <v>37</v>
      </c>
      <c r="K1194" t="s">
        <v>30</v>
      </c>
      <c r="L1194" t="s">
        <v>31</v>
      </c>
      <c r="M1194" t="s">
        <v>140</v>
      </c>
      <c r="N1194">
        <v>231</v>
      </c>
      <c r="O1194">
        <v>6.9011536999999998E-2</v>
      </c>
      <c r="P1194">
        <v>3.2337286E-2</v>
      </c>
      <c r="Q1194" t="str">
        <f t="shared" si="36"/>
        <v>10-14</v>
      </c>
      <c r="R1194" t="str">
        <f t="shared" si="37"/>
        <v>[cPtvxaZqXIH]|10-14|Female|PLHIV_Residents.T_1|CY2024Q3</v>
      </c>
    </row>
    <row r="1195" spans="4:18" x14ac:dyDescent="0.2">
      <c r="D1195" t="s">
        <v>53</v>
      </c>
      <c r="E1195" t="s">
        <v>54</v>
      </c>
      <c r="F1195" t="s">
        <v>55</v>
      </c>
      <c r="G1195" t="s">
        <v>143</v>
      </c>
      <c r="H1195" t="s">
        <v>144</v>
      </c>
      <c r="I1195" t="s">
        <v>38</v>
      </c>
      <c r="J1195" t="s">
        <v>39</v>
      </c>
      <c r="K1195" t="s">
        <v>30</v>
      </c>
      <c r="L1195" t="s">
        <v>31</v>
      </c>
      <c r="M1195" t="s">
        <v>140</v>
      </c>
      <c r="N1195">
        <v>826</v>
      </c>
      <c r="O1195">
        <v>6.9359429E-2</v>
      </c>
      <c r="P1195">
        <v>3.2337286E-2</v>
      </c>
      <c r="Q1195" t="str">
        <f t="shared" si="36"/>
        <v>15-24</v>
      </c>
      <c r="R1195" t="str">
        <f t="shared" si="37"/>
        <v>[cPtvxaZqXIH]|15-24|Female|PLHIV_Residents.T_1|CY2024Q3</v>
      </c>
    </row>
    <row r="1196" spans="4:18" x14ac:dyDescent="0.2">
      <c r="D1196" t="s">
        <v>53</v>
      </c>
      <c r="E1196" t="s">
        <v>54</v>
      </c>
      <c r="F1196" t="s">
        <v>55</v>
      </c>
      <c r="G1196" t="s">
        <v>143</v>
      </c>
      <c r="H1196" t="s">
        <v>144</v>
      </c>
      <c r="I1196" t="s">
        <v>41</v>
      </c>
      <c r="J1196" t="s">
        <v>42</v>
      </c>
      <c r="K1196" t="s">
        <v>30</v>
      </c>
      <c r="L1196" t="s">
        <v>31</v>
      </c>
      <c r="M1196" t="s">
        <v>140</v>
      </c>
      <c r="N1196">
        <v>2017</v>
      </c>
      <c r="O1196">
        <v>4.9348101999999998E-2</v>
      </c>
      <c r="P1196">
        <v>3.2337286E-2</v>
      </c>
      <c r="Q1196" t="str">
        <f t="shared" si="36"/>
        <v>25-34</v>
      </c>
      <c r="R1196" t="str">
        <f t="shared" si="37"/>
        <v>[cPtvxaZqXIH]|25-34|Female|PLHIV_Residents.T_1|CY2024Q3</v>
      </c>
    </row>
    <row r="1197" spans="4:18" x14ac:dyDescent="0.2">
      <c r="D1197" t="s">
        <v>53</v>
      </c>
      <c r="E1197" t="s">
        <v>54</v>
      </c>
      <c r="F1197" t="s">
        <v>55</v>
      </c>
      <c r="G1197" t="s">
        <v>143</v>
      </c>
      <c r="H1197" t="s">
        <v>144</v>
      </c>
      <c r="I1197" t="s">
        <v>43</v>
      </c>
      <c r="J1197" t="s">
        <v>44</v>
      </c>
      <c r="K1197" t="s">
        <v>30</v>
      </c>
      <c r="L1197" t="s">
        <v>31</v>
      </c>
      <c r="M1197" t="s">
        <v>140</v>
      </c>
      <c r="N1197">
        <v>5116</v>
      </c>
      <c r="O1197">
        <v>3.4926341999999999E-2</v>
      </c>
      <c r="P1197">
        <v>3.2337286E-2</v>
      </c>
      <c r="Q1197" t="str">
        <f t="shared" si="36"/>
        <v>35-49</v>
      </c>
      <c r="R1197" t="str">
        <f t="shared" si="37"/>
        <v>[cPtvxaZqXIH]|35-49|Female|PLHIV_Residents.T_1|CY2024Q3</v>
      </c>
    </row>
    <row r="1198" spans="4:18" x14ac:dyDescent="0.2">
      <c r="D1198" t="s">
        <v>53</v>
      </c>
      <c r="E1198" t="s">
        <v>54</v>
      </c>
      <c r="F1198" t="s">
        <v>55</v>
      </c>
      <c r="G1198" t="s">
        <v>143</v>
      </c>
      <c r="H1198" t="s">
        <v>144</v>
      </c>
      <c r="I1198" t="s">
        <v>45</v>
      </c>
      <c r="J1198" t="s">
        <v>46</v>
      </c>
      <c r="K1198" t="s">
        <v>30</v>
      </c>
      <c r="L1198" t="s">
        <v>31</v>
      </c>
      <c r="M1198" t="s">
        <v>140</v>
      </c>
      <c r="N1198">
        <v>2362</v>
      </c>
      <c r="O1198">
        <v>4.8754355999999999E-2</v>
      </c>
      <c r="P1198">
        <v>3.2337286E-2</v>
      </c>
      <c r="Q1198" t="str">
        <f t="shared" si="36"/>
        <v>50+</v>
      </c>
      <c r="R1198" t="str">
        <f t="shared" si="37"/>
        <v>[cPtvxaZqXIH]|50+|Female|PLHIV_Residents.T_1|CY2024Q3</v>
      </c>
    </row>
    <row r="1199" spans="4:18" x14ac:dyDescent="0.2">
      <c r="D1199" t="s">
        <v>53</v>
      </c>
      <c r="E1199" t="s">
        <v>54</v>
      </c>
      <c r="F1199" t="s">
        <v>55</v>
      </c>
      <c r="G1199" t="s">
        <v>143</v>
      </c>
      <c r="H1199" t="s">
        <v>144</v>
      </c>
      <c r="I1199" t="s">
        <v>28</v>
      </c>
      <c r="J1199" t="s">
        <v>29</v>
      </c>
      <c r="K1199" t="s">
        <v>48</v>
      </c>
      <c r="L1199" t="s">
        <v>49</v>
      </c>
      <c r="M1199" t="s">
        <v>140</v>
      </c>
      <c r="N1199">
        <v>9</v>
      </c>
      <c r="O1199">
        <v>3.9272411E-2</v>
      </c>
      <c r="P1199">
        <v>3.2337286E-2</v>
      </c>
      <c r="Q1199" t="str">
        <f t="shared" si="36"/>
        <v>&lt;01</v>
      </c>
      <c r="R1199" t="str">
        <f t="shared" si="37"/>
        <v>[cPtvxaZqXIH]|&lt;01|Male|PLHIV_Residents.T_1|CY2024Q3</v>
      </c>
    </row>
    <row r="1200" spans="4:18" x14ac:dyDescent="0.2">
      <c r="D1200" t="s">
        <v>53</v>
      </c>
      <c r="E1200" t="s">
        <v>54</v>
      </c>
      <c r="F1200" t="s">
        <v>55</v>
      </c>
      <c r="G1200" t="s">
        <v>143</v>
      </c>
      <c r="H1200" t="s">
        <v>144</v>
      </c>
      <c r="I1200" t="s">
        <v>33</v>
      </c>
      <c r="J1200" t="s">
        <v>34</v>
      </c>
      <c r="K1200" t="s">
        <v>48</v>
      </c>
      <c r="L1200" t="s">
        <v>49</v>
      </c>
      <c r="M1200" t="s">
        <v>140</v>
      </c>
      <c r="N1200">
        <v>173</v>
      </c>
      <c r="O1200">
        <v>5.2300251999999998E-2</v>
      </c>
      <c r="P1200">
        <v>3.2337286E-2</v>
      </c>
      <c r="Q1200" t="str">
        <f t="shared" si="36"/>
        <v>01-09</v>
      </c>
      <c r="R1200" t="str">
        <f t="shared" si="37"/>
        <v>[cPtvxaZqXIH]|01-09|Male|PLHIV_Residents.T_1|CY2024Q3</v>
      </c>
    </row>
    <row r="1201" spans="4:18" x14ac:dyDescent="0.2">
      <c r="D1201" t="s">
        <v>53</v>
      </c>
      <c r="E1201" t="s">
        <v>54</v>
      </c>
      <c r="F1201" t="s">
        <v>55</v>
      </c>
      <c r="G1201" t="s">
        <v>143</v>
      </c>
      <c r="H1201" t="s">
        <v>144</v>
      </c>
      <c r="I1201" t="s">
        <v>36</v>
      </c>
      <c r="J1201" t="s">
        <v>37</v>
      </c>
      <c r="K1201" t="s">
        <v>48</v>
      </c>
      <c r="L1201" t="s">
        <v>49</v>
      </c>
      <c r="M1201" t="s">
        <v>140</v>
      </c>
      <c r="N1201">
        <v>224</v>
      </c>
      <c r="O1201">
        <v>6.9010068999999993E-2</v>
      </c>
      <c r="P1201">
        <v>3.2337286E-2</v>
      </c>
      <c r="Q1201" t="str">
        <f t="shared" si="36"/>
        <v>10-14</v>
      </c>
      <c r="R1201" t="str">
        <f t="shared" si="37"/>
        <v>[cPtvxaZqXIH]|10-14|Male|PLHIV_Residents.T_1|CY2024Q3</v>
      </c>
    </row>
    <row r="1202" spans="4:18" x14ac:dyDescent="0.2">
      <c r="D1202" t="s">
        <v>53</v>
      </c>
      <c r="E1202" t="s">
        <v>54</v>
      </c>
      <c r="F1202" t="s">
        <v>55</v>
      </c>
      <c r="G1202" t="s">
        <v>143</v>
      </c>
      <c r="H1202" t="s">
        <v>144</v>
      </c>
      <c r="I1202" t="s">
        <v>38</v>
      </c>
      <c r="J1202" t="s">
        <v>39</v>
      </c>
      <c r="K1202" t="s">
        <v>48</v>
      </c>
      <c r="L1202" t="s">
        <v>49</v>
      </c>
      <c r="M1202" t="s">
        <v>140</v>
      </c>
      <c r="N1202">
        <v>589</v>
      </c>
      <c r="O1202">
        <v>8.1676166999999994E-2</v>
      </c>
      <c r="P1202">
        <v>3.2337286E-2</v>
      </c>
      <c r="Q1202" t="str">
        <f t="shared" si="36"/>
        <v>15-24</v>
      </c>
      <c r="R1202" t="str">
        <f t="shared" si="37"/>
        <v>[cPtvxaZqXIH]|15-24|Male|PLHIV_Residents.T_1|CY2024Q3</v>
      </c>
    </row>
    <row r="1203" spans="4:18" x14ac:dyDescent="0.2">
      <c r="D1203" t="s">
        <v>53</v>
      </c>
      <c r="E1203" t="s">
        <v>54</v>
      </c>
      <c r="F1203" t="s">
        <v>55</v>
      </c>
      <c r="G1203" t="s">
        <v>143</v>
      </c>
      <c r="H1203" t="s">
        <v>144</v>
      </c>
      <c r="I1203" t="s">
        <v>41</v>
      </c>
      <c r="J1203" t="s">
        <v>42</v>
      </c>
      <c r="K1203" t="s">
        <v>48</v>
      </c>
      <c r="L1203" t="s">
        <v>49</v>
      </c>
      <c r="M1203" t="s">
        <v>140</v>
      </c>
      <c r="N1203">
        <v>753</v>
      </c>
      <c r="O1203">
        <v>7.7152199000000005E-2</v>
      </c>
      <c r="P1203">
        <v>3.2337286E-2</v>
      </c>
      <c r="Q1203" t="str">
        <f t="shared" si="36"/>
        <v>25-34</v>
      </c>
      <c r="R1203" t="str">
        <f t="shared" si="37"/>
        <v>[cPtvxaZqXIH]|25-34|Male|PLHIV_Residents.T_1|CY2024Q3</v>
      </c>
    </row>
    <row r="1204" spans="4:18" x14ac:dyDescent="0.2">
      <c r="D1204" t="s">
        <v>53</v>
      </c>
      <c r="E1204" t="s">
        <v>54</v>
      </c>
      <c r="F1204" t="s">
        <v>55</v>
      </c>
      <c r="G1204" t="s">
        <v>143</v>
      </c>
      <c r="H1204" t="s">
        <v>144</v>
      </c>
      <c r="I1204" t="s">
        <v>43</v>
      </c>
      <c r="J1204" t="s">
        <v>44</v>
      </c>
      <c r="K1204" t="s">
        <v>48</v>
      </c>
      <c r="L1204" t="s">
        <v>49</v>
      </c>
      <c r="M1204" t="s">
        <v>140</v>
      </c>
      <c r="N1204">
        <v>2889</v>
      </c>
      <c r="O1204">
        <v>4.4897682000000001E-2</v>
      </c>
      <c r="P1204">
        <v>3.2337286E-2</v>
      </c>
      <c r="Q1204" t="str">
        <f t="shared" si="36"/>
        <v>35-49</v>
      </c>
      <c r="R1204" t="str">
        <f t="shared" si="37"/>
        <v>[cPtvxaZqXIH]|35-49|Male|PLHIV_Residents.T_1|CY2024Q3</v>
      </c>
    </row>
    <row r="1205" spans="4:18" x14ac:dyDescent="0.2">
      <c r="D1205" t="s">
        <v>53</v>
      </c>
      <c r="E1205" t="s">
        <v>54</v>
      </c>
      <c r="F1205" t="s">
        <v>55</v>
      </c>
      <c r="G1205" t="s">
        <v>143</v>
      </c>
      <c r="H1205" t="s">
        <v>144</v>
      </c>
      <c r="I1205" t="s">
        <v>45</v>
      </c>
      <c r="J1205" t="s">
        <v>46</v>
      </c>
      <c r="K1205" t="s">
        <v>48</v>
      </c>
      <c r="L1205" t="s">
        <v>49</v>
      </c>
      <c r="M1205" t="s">
        <v>140</v>
      </c>
      <c r="N1205">
        <v>2048</v>
      </c>
      <c r="O1205">
        <v>4.7254646999999997E-2</v>
      </c>
      <c r="P1205">
        <v>3.2337286E-2</v>
      </c>
      <c r="Q1205" t="str">
        <f t="shared" si="36"/>
        <v>50+</v>
      </c>
      <c r="R1205" t="str">
        <f t="shared" si="37"/>
        <v>[cPtvxaZqXIH]|50+|Male|PLHIV_Residents.T_1|CY2024Q3</v>
      </c>
    </row>
    <row r="1206" spans="4:18" x14ac:dyDescent="0.2">
      <c r="D1206" t="s">
        <v>60</v>
      </c>
      <c r="E1206" t="s">
        <v>61</v>
      </c>
      <c r="F1206" t="s">
        <v>62</v>
      </c>
      <c r="G1206" t="s">
        <v>143</v>
      </c>
      <c r="H1206" t="s">
        <v>144</v>
      </c>
      <c r="I1206" t="s">
        <v>28</v>
      </c>
      <c r="J1206" t="s">
        <v>29</v>
      </c>
      <c r="K1206" t="s">
        <v>30</v>
      </c>
      <c r="L1206" t="s">
        <v>31</v>
      </c>
      <c r="M1206" t="s">
        <v>140</v>
      </c>
      <c r="N1206">
        <v>7</v>
      </c>
      <c r="O1206">
        <v>8.5015233999999995E-2</v>
      </c>
      <c r="P1206">
        <v>8.1668113000000001E-2</v>
      </c>
      <c r="Q1206" t="str">
        <f t="shared" si="36"/>
        <v>&lt;01</v>
      </c>
      <c r="R1206" t="str">
        <f t="shared" si="37"/>
        <v>[E7zpfyBt7Tw]|&lt;01|Female|PLHIV_Residents.T_1|CY2024Q3</v>
      </c>
    </row>
    <row r="1207" spans="4:18" x14ac:dyDescent="0.2">
      <c r="D1207" t="s">
        <v>60</v>
      </c>
      <c r="E1207" t="s">
        <v>61</v>
      </c>
      <c r="F1207" t="s">
        <v>62</v>
      </c>
      <c r="G1207" t="s">
        <v>143</v>
      </c>
      <c r="H1207" t="s">
        <v>144</v>
      </c>
      <c r="I1207" t="s">
        <v>33</v>
      </c>
      <c r="J1207" t="s">
        <v>34</v>
      </c>
      <c r="K1207" t="s">
        <v>30</v>
      </c>
      <c r="L1207" t="s">
        <v>31</v>
      </c>
      <c r="M1207" t="s">
        <v>140</v>
      </c>
      <c r="N1207">
        <v>145</v>
      </c>
      <c r="O1207">
        <v>8.8843630000000007E-2</v>
      </c>
      <c r="P1207">
        <v>8.1668113000000001E-2</v>
      </c>
      <c r="Q1207" t="str">
        <f t="shared" si="36"/>
        <v>01-09</v>
      </c>
      <c r="R1207" t="str">
        <f t="shared" si="37"/>
        <v>[E7zpfyBt7Tw]|01-09|Female|PLHIV_Residents.T_1|CY2024Q3</v>
      </c>
    </row>
    <row r="1208" spans="4:18" x14ac:dyDescent="0.2">
      <c r="D1208" t="s">
        <v>60</v>
      </c>
      <c r="E1208" t="s">
        <v>61</v>
      </c>
      <c r="F1208" t="s">
        <v>62</v>
      </c>
      <c r="G1208" t="s">
        <v>143</v>
      </c>
      <c r="H1208" t="s">
        <v>144</v>
      </c>
      <c r="I1208" t="s">
        <v>36</v>
      </c>
      <c r="J1208" t="s">
        <v>37</v>
      </c>
      <c r="K1208" t="s">
        <v>30</v>
      </c>
      <c r="L1208" t="s">
        <v>31</v>
      </c>
      <c r="M1208" t="s">
        <v>140</v>
      </c>
      <c r="N1208">
        <v>192</v>
      </c>
      <c r="O1208">
        <v>9.3896813999999995E-2</v>
      </c>
      <c r="P1208">
        <v>8.1668113000000001E-2</v>
      </c>
      <c r="Q1208" t="str">
        <f t="shared" si="36"/>
        <v>10-14</v>
      </c>
      <c r="R1208" t="str">
        <f t="shared" si="37"/>
        <v>[E7zpfyBt7Tw]|10-14|Female|PLHIV_Residents.T_1|CY2024Q3</v>
      </c>
    </row>
    <row r="1209" spans="4:18" x14ac:dyDescent="0.2">
      <c r="D1209" t="s">
        <v>60</v>
      </c>
      <c r="E1209" t="s">
        <v>61</v>
      </c>
      <c r="F1209" t="s">
        <v>62</v>
      </c>
      <c r="G1209" t="s">
        <v>143</v>
      </c>
      <c r="H1209" t="s">
        <v>144</v>
      </c>
      <c r="I1209" t="s">
        <v>38</v>
      </c>
      <c r="J1209" t="s">
        <v>39</v>
      </c>
      <c r="K1209" t="s">
        <v>30</v>
      </c>
      <c r="L1209" t="s">
        <v>31</v>
      </c>
      <c r="M1209" t="s">
        <v>140</v>
      </c>
      <c r="N1209">
        <v>706</v>
      </c>
      <c r="O1209">
        <v>0.10654109</v>
      </c>
      <c r="P1209">
        <v>8.1668113000000001E-2</v>
      </c>
      <c r="Q1209" t="str">
        <f t="shared" si="36"/>
        <v>15-24</v>
      </c>
      <c r="R1209" t="str">
        <f t="shared" si="37"/>
        <v>[E7zpfyBt7Tw]|15-24|Female|PLHIV_Residents.T_1|CY2024Q3</v>
      </c>
    </row>
    <row r="1210" spans="4:18" x14ac:dyDescent="0.2">
      <c r="D1210" t="s">
        <v>60</v>
      </c>
      <c r="E1210" t="s">
        <v>61</v>
      </c>
      <c r="F1210" t="s">
        <v>62</v>
      </c>
      <c r="G1210" t="s">
        <v>143</v>
      </c>
      <c r="H1210" t="s">
        <v>144</v>
      </c>
      <c r="I1210" t="s">
        <v>41</v>
      </c>
      <c r="J1210" t="s">
        <v>42</v>
      </c>
      <c r="K1210" t="s">
        <v>30</v>
      </c>
      <c r="L1210" t="s">
        <v>31</v>
      </c>
      <c r="M1210" t="s">
        <v>140</v>
      </c>
      <c r="N1210">
        <v>1597</v>
      </c>
      <c r="O1210">
        <v>9.7129391999999995E-2</v>
      </c>
      <c r="P1210">
        <v>8.1668113000000001E-2</v>
      </c>
      <c r="Q1210" t="str">
        <f t="shared" si="36"/>
        <v>25-34</v>
      </c>
      <c r="R1210" t="str">
        <f t="shared" si="37"/>
        <v>[E7zpfyBt7Tw]|25-34|Female|PLHIV_Residents.T_1|CY2024Q3</v>
      </c>
    </row>
    <row r="1211" spans="4:18" x14ac:dyDescent="0.2">
      <c r="D1211" t="s">
        <v>60</v>
      </c>
      <c r="E1211" t="s">
        <v>61</v>
      </c>
      <c r="F1211" t="s">
        <v>62</v>
      </c>
      <c r="G1211" t="s">
        <v>143</v>
      </c>
      <c r="H1211" t="s">
        <v>144</v>
      </c>
      <c r="I1211" t="s">
        <v>43</v>
      </c>
      <c r="J1211" t="s">
        <v>44</v>
      </c>
      <c r="K1211" t="s">
        <v>30</v>
      </c>
      <c r="L1211" t="s">
        <v>31</v>
      </c>
      <c r="M1211" t="s">
        <v>140</v>
      </c>
      <c r="N1211">
        <v>4026</v>
      </c>
      <c r="O1211">
        <v>7.9836792000000004E-2</v>
      </c>
      <c r="P1211">
        <v>8.1668113000000001E-2</v>
      </c>
      <c r="Q1211" t="str">
        <f t="shared" si="36"/>
        <v>35-49</v>
      </c>
      <c r="R1211" t="str">
        <f t="shared" si="37"/>
        <v>[E7zpfyBt7Tw]|35-49|Female|PLHIV_Residents.T_1|CY2024Q3</v>
      </c>
    </row>
    <row r="1212" spans="4:18" x14ac:dyDescent="0.2">
      <c r="D1212" t="s">
        <v>60</v>
      </c>
      <c r="E1212" t="s">
        <v>61</v>
      </c>
      <c r="F1212" t="s">
        <v>62</v>
      </c>
      <c r="G1212" t="s">
        <v>143</v>
      </c>
      <c r="H1212" t="s">
        <v>144</v>
      </c>
      <c r="I1212" t="s">
        <v>45</v>
      </c>
      <c r="J1212" t="s">
        <v>46</v>
      </c>
      <c r="K1212" t="s">
        <v>30</v>
      </c>
      <c r="L1212" t="s">
        <v>31</v>
      </c>
      <c r="M1212" t="s">
        <v>140</v>
      </c>
      <c r="N1212">
        <v>2156</v>
      </c>
      <c r="O1212">
        <v>8.769913E-2</v>
      </c>
      <c r="P1212">
        <v>8.1668113000000001E-2</v>
      </c>
      <c r="Q1212" t="str">
        <f t="shared" si="36"/>
        <v>50+</v>
      </c>
      <c r="R1212" t="str">
        <f t="shared" si="37"/>
        <v>[E7zpfyBt7Tw]|50+|Female|PLHIV_Residents.T_1|CY2024Q3</v>
      </c>
    </row>
    <row r="1213" spans="4:18" x14ac:dyDescent="0.2">
      <c r="D1213" t="s">
        <v>60</v>
      </c>
      <c r="E1213" t="s">
        <v>61</v>
      </c>
      <c r="F1213" t="s">
        <v>62</v>
      </c>
      <c r="G1213" t="s">
        <v>143</v>
      </c>
      <c r="H1213" t="s">
        <v>144</v>
      </c>
      <c r="I1213" t="s">
        <v>28</v>
      </c>
      <c r="J1213" t="s">
        <v>29</v>
      </c>
      <c r="K1213" t="s">
        <v>48</v>
      </c>
      <c r="L1213" t="s">
        <v>49</v>
      </c>
      <c r="M1213" t="s">
        <v>140</v>
      </c>
      <c r="N1213">
        <v>8</v>
      </c>
      <c r="O1213">
        <v>8.5059493999999999E-2</v>
      </c>
      <c r="P1213">
        <v>8.1668113000000001E-2</v>
      </c>
      <c r="Q1213" t="str">
        <f t="shared" si="36"/>
        <v>&lt;01</v>
      </c>
      <c r="R1213" t="str">
        <f t="shared" si="37"/>
        <v>[E7zpfyBt7Tw]|&lt;01|Male|PLHIV_Residents.T_1|CY2024Q3</v>
      </c>
    </row>
    <row r="1214" spans="4:18" x14ac:dyDescent="0.2">
      <c r="D1214" t="s">
        <v>60</v>
      </c>
      <c r="E1214" t="s">
        <v>61</v>
      </c>
      <c r="F1214" t="s">
        <v>62</v>
      </c>
      <c r="G1214" t="s">
        <v>143</v>
      </c>
      <c r="H1214" t="s">
        <v>144</v>
      </c>
      <c r="I1214" t="s">
        <v>33</v>
      </c>
      <c r="J1214" t="s">
        <v>34</v>
      </c>
      <c r="K1214" t="s">
        <v>48</v>
      </c>
      <c r="L1214" t="s">
        <v>49</v>
      </c>
      <c r="M1214" t="s">
        <v>140</v>
      </c>
      <c r="N1214">
        <v>147</v>
      </c>
      <c r="O1214">
        <v>8.8869859999999995E-2</v>
      </c>
      <c r="P1214">
        <v>8.1668113000000001E-2</v>
      </c>
      <c r="Q1214" t="str">
        <f t="shared" si="36"/>
        <v>01-09</v>
      </c>
      <c r="R1214" t="str">
        <f t="shared" si="37"/>
        <v>[E7zpfyBt7Tw]|01-09|Male|PLHIV_Residents.T_1|CY2024Q3</v>
      </c>
    </row>
    <row r="1215" spans="4:18" x14ac:dyDescent="0.2">
      <c r="D1215" t="s">
        <v>60</v>
      </c>
      <c r="E1215" t="s">
        <v>61</v>
      </c>
      <c r="F1215" t="s">
        <v>62</v>
      </c>
      <c r="G1215" t="s">
        <v>143</v>
      </c>
      <c r="H1215" t="s">
        <v>144</v>
      </c>
      <c r="I1215" t="s">
        <v>36</v>
      </c>
      <c r="J1215" t="s">
        <v>37</v>
      </c>
      <c r="K1215" t="s">
        <v>48</v>
      </c>
      <c r="L1215" t="s">
        <v>49</v>
      </c>
      <c r="M1215" t="s">
        <v>140</v>
      </c>
      <c r="N1215">
        <v>191</v>
      </c>
      <c r="O1215">
        <v>9.3895775000000001E-2</v>
      </c>
      <c r="P1215">
        <v>8.1668113000000001E-2</v>
      </c>
      <c r="Q1215" t="str">
        <f t="shared" si="36"/>
        <v>10-14</v>
      </c>
      <c r="R1215" t="str">
        <f t="shared" si="37"/>
        <v>[E7zpfyBt7Tw]|10-14|Male|PLHIV_Residents.T_1|CY2024Q3</v>
      </c>
    </row>
    <row r="1216" spans="4:18" x14ac:dyDescent="0.2">
      <c r="D1216" t="s">
        <v>60</v>
      </c>
      <c r="E1216" t="s">
        <v>61</v>
      </c>
      <c r="F1216" t="s">
        <v>62</v>
      </c>
      <c r="G1216" t="s">
        <v>143</v>
      </c>
      <c r="H1216" t="s">
        <v>144</v>
      </c>
      <c r="I1216" t="s">
        <v>38</v>
      </c>
      <c r="J1216" t="s">
        <v>39</v>
      </c>
      <c r="K1216" t="s">
        <v>48</v>
      </c>
      <c r="L1216" t="s">
        <v>49</v>
      </c>
      <c r="M1216" t="s">
        <v>140</v>
      </c>
      <c r="N1216">
        <v>559</v>
      </c>
      <c r="O1216">
        <v>0.1148187</v>
      </c>
      <c r="P1216">
        <v>8.1668113000000001E-2</v>
      </c>
      <c r="Q1216" t="str">
        <f t="shared" si="36"/>
        <v>15-24</v>
      </c>
      <c r="R1216" t="str">
        <f t="shared" si="37"/>
        <v>[E7zpfyBt7Tw]|15-24|Male|PLHIV_Residents.T_1|CY2024Q3</v>
      </c>
    </row>
    <row r="1217" spans="4:18" x14ac:dyDescent="0.2">
      <c r="D1217" t="s">
        <v>60</v>
      </c>
      <c r="E1217" t="s">
        <v>61</v>
      </c>
      <c r="F1217" t="s">
        <v>62</v>
      </c>
      <c r="G1217" t="s">
        <v>143</v>
      </c>
      <c r="H1217" t="s">
        <v>144</v>
      </c>
      <c r="I1217" t="s">
        <v>41</v>
      </c>
      <c r="J1217" t="s">
        <v>42</v>
      </c>
      <c r="K1217" t="s">
        <v>48</v>
      </c>
      <c r="L1217" t="s">
        <v>49</v>
      </c>
      <c r="M1217" t="s">
        <v>140</v>
      </c>
      <c r="N1217">
        <v>700</v>
      </c>
      <c r="O1217">
        <v>0.112874322</v>
      </c>
      <c r="P1217">
        <v>8.1668113000000001E-2</v>
      </c>
      <c r="Q1217" t="str">
        <f t="shared" si="36"/>
        <v>25-34</v>
      </c>
      <c r="R1217" t="str">
        <f t="shared" si="37"/>
        <v>[E7zpfyBt7Tw]|25-34|Male|PLHIV_Residents.T_1|CY2024Q3</v>
      </c>
    </row>
    <row r="1218" spans="4:18" x14ac:dyDescent="0.2">
      <c r="D1218" t="s">
        <v>60</v>
      </c>
      <c r="E1218" t="s">
        <v>61</v>
      </c>
      <c r="F1218" t="s">
        <v>62</v>
      </c>
      <c r="G1218" t="s">
        <v>143</v>
      </c>
      <c r="H1218" t="s">
        <v>144</v>
      </c>
      <c r="I1218" t="s">
        <v>43</v>
      </c>
      <c r="J1218" t="s">
        <v>44</v>
      </c>
      <c r="K1218" t="s">
        <v>48</v>
      </c>
      <c r="L1218" t="s">
        <v>49</v>
      </c>
      <c r="M1218" t="s">
        <v>140</v>
      </c>
      <c r="N1218">
        <v>2558</v>
      </c>
      <c r="O1218">
        <v>8.9022852999999999E-2</v>
      </c>
      <c r="P1218">
        <v>8.1668113000000001E-2</v>
      </c>
      <c r="Q1218" t="str">
        <f t="shared" si="36"/>
        <v>35-49</v>
      </c>
      <c r="R1218" t="str">
        <f t="shared" si="37"/>
        <v>[E7zpfyBt7Tw]|35-49|Male|PLHIV_Residents.T_1|CY2024Q3</v>
      </c>
    </row>
    <row r="1219" spans="4:18" x14ac:dyDescent="0.2">
      <c r="D1219" t="s">
        <v>60</v>
      </c>
      <c r="E1219" t="s">
        <v>61</v>
      </c>
      <c r="F1219" t="s">
        <v>62</v>
      </c>
      <c r="G1219" t="s">
        <v>143</v>
      </c>
      <c r="H1219" t="s">
        <v>144</v>
      </c>
      <c r="I1219" t="s">
        <v>45</v>
      </c>
      <c r="J1219" t="s">
        <v>46</v>
      </c>
      <c r="K1219" t="s">
        <v>48</v>
      </c>
      <c r="L1219" t="s">
        <v>49</v>
      </c>
      <c r="M1219" t="s">
        <v>140</v>
      </c>
      <c r="N1219">
        <v>2054</v>
      </c>
      <c r="O1219">
        <v>8.3400944000000005E-2</v>
      </c>
      <c r="P1219">
        <v>8.1668113000000001E-2</v>
      </c>
      <c r="Q1219" t="str">
        <f t="shared" ref="Q1219:Q1282" si="38">SUBSTITUTE(SUBSTITUTE($I1219,CHAR(61),""),CHAR(34),"")</f>
        <v>50+</v>
      </c>
      <c r="R1219" t="str">
        <f t="shared" ref="R1219:R1282" si="39">IF($D1219&lt;&gt;"","["&amp;$E1219&amp;"]"&amp;"|"&amp;$Q1219&amp;"|"&amp;$K1219&amp;"|"&amp;$G1219&amp;"|"&amp;IF($G1219="TX_CURR_SUBNAT.R","CY2023Q4",$M1219),"")</f>
        <v>[E7zpfyBt7Tw]|50+|Male|PLHIV_Residents.T_1|CY2024Q3</v>
      </c>
    </row>
    <row r="1220" spans="4:18" x14ac:dyDescent="0.2">
      <c r="D1220" t="s">
        <v>63</v>
      </c>
      <c r="E1220" t="s">
        <v>64</v>
      </c>
      <c r="F1220" t="s">
        <v>65</v>
      </c>
      <c r="G1220" t="s">
        <v>143</v>
      </c>
      <c r="H1220" t="s">
        <v>144</v>
      </c>
      <c r="I1220" t="s">
        <v>28</v>
      </c>
      <c r="J1220" t="s">
        <v>29</v>
      </c>
      <c r="K1220" t="s">
        <v>30</v>
      </c>
      <c r="L1220" t="s">
        <v>31</v>
      </c>
      <c r="M1220" t="s">
        <v>140</v>
      </c>
      <c r="N1220">
        <v>5</v>
      </c>
      <c r="O1220">
        <v>8.0320486999999996E-2</v>
      </c>
      <c r="P1220">
        <v>7.5768112999999998E-2</v>
      </c>
      <c r="Q1220" t="str">
        <f t="shared" si="38"/>
        <v>&lt;01</v>
      </c>
      <c r="R1220" t="str">
        <f t="shared" si="39"/>
        <v>[lPTyjLi4w3d]|&lt;01|Female|PLHIV_Residents.T_1|CY2024Q3</v>
      </c>
    </row>
    <row r="1221" spans="4:18" x14ac:dyDescent="0.2">
      <c r="D1221" t="s">
        <v>63</v>
      </c>
      <c r="E1221" t="s">
        <v>64</v>
      </c>
      <c r="F1221" t="s">
        <v>65</v>
      </c>
      <c r="G1221" t="s">
        <v>143</v>
      </c>
      <c r="H1221" t="s">
        <v>144</v>
      </c>
      <c r="I1221" t="s">
        <v>33</v>
      </c>
      <c r="J1221" t="s">
        <v>34</v>
      </c>
      <c r="K1221" t="s">
        <v>30</v>
      </c>
      <c r="L1221" t="s">
        <v>31</v>
      </c>
      <c r="M1221" t="s">
        <v>140</v>
      </c>
      <c r="N1221">
        <v>90</v>
      </c>
      <c r="O1221">
        <v>8.4745543000000007E-2</v>
      </c>
      <c r="P1221">
        <v>7.5768112999999998E-2</v>
      </c>
      <c r="Q1221" t="str">
        <f t="shared" si="38"/>
        <v>01-09</v>
      </c>
      <c r="R1221" t="str">
        <f t="shared" si="39"/>
        <v>[lPTyjLi4w3d]|01-09|Female|PLHIV_Residents.T_1|CY2024Q3</v>
      </c>
    </row>
    <row r="1222" spans="4:18" x14ac:dyDescent="0.2">
      <c r="D1222" t="s">
        <v>63</v>
      </c>
      <c r="E1222" t="s">
        <v>64</v>
      </c>
      <c r="F1222" t="s">
        <v>65</v>
      </c>
      <c r="G1222" t="s">
        <v>143</v>
      </c>
      <c r="H1222" t="s">
        <v>144</v>
      </c>
      <c r="I1222" t="s">
        <v>36</v>
      </c>
      <c r="J1222" t="s">
        <v>37</v>
      </c>
      <c r="K1222" t="s">
        <v>30</v>
      </c>
      <c r="L1222" t="s">
        <v>31</v>
      </c>
      <c r="M1222" t="s">
        <v>140</v>
      </c>
      <c r="N1222">
        <v>116</v>
      </c>
      <c r="O1222">
        <v>9.0664747000000004E-2</v>
      </c>
      <c r="P1222">
        <v>7.5768112999999998E-2</v>
      </c>
      <c r="Q1222" t="str">
        <f t="shared" si="38"/>
        <v>10-14</v>
      </c>
      <c r="R1222" t="str">
        <f t="shared" si="39"/>
        <v>[lPTyjLi4w3d]|10-14|Female|PLHIV_Residents.T_1|CY2024Q3</v>
      </c>
    </row>
    <row r="1223" spans="4:18" x14ac:dyDescent="0.2">
      <c r="D1223" t="s">
        <v>63</v>
      </c>
      <c r="E1223" t="s">
        <v>64</v>
      </c>
      <c r="F1223" t="s">
        <v>65</v>
      </c>
      <c r="G1223" t="s">
        <v>143</v>
      </c>
      <c r="H1223" t="s">
        <v>144</v>
      </c>
      <c r="I1223" t="s">
        <v>38</v>
      </c>
      <c r="J1223" t="s">
        <v>39</v>
      </c>
      <c r="K1223" t="s">
        <v>30</v>
      </c>
      <c r="L1223" t="s">
        <v>31</v>
      </c>
      <c r="M1223" t="s">
        <v>140</v>
      </c>
      <c r="N1223">
        <v>402</v>
      </c>
      <c r="O1223">
        <v>0.10041288600000001</v>
      </c>
      <c r="P1223">
        <v>7.5768112999999998E-2</v>
      </c>
      <c r="Q1223" t="str">
        <f t="shared" si="38"/>
        <v>15-24</v>
      </c>
      <c r="R1223" t="str">
        <f t="shared" si="39"/>
        <v>[lPTyjLi4w3d]|15-24|Female|PLHIV_Residents.T_1|CY2024Q3</v>
      </c>
    </row>
    <row r="1224" spans="4:18" x14ac:dyDescent="0.2">
      <c r="D1224" t="s">
        <v>63</v>
      </c>
      <c r="E1224" t="s">
        <v>64</v>
      </c>
      <c r="F1224" t="s">
        <v>65</v>
      </c>
      <c r="G1224" t="s">
        <v>143</v>
      </c>
      <c r="H1224" t="s">
        <v>144</v>
      </c>
      <c r="I1224" t="s">
        <v>41</v>
      </c>
      <c r="J1224" t="s">
        <v>42</v>
      </c>
      <c r="K1224" t="s">
        <v>30</v>
      </c>
      <c r="L1224" t="s">
        <v>31</v>
      </c>
      <c r="M1224" t="s">
        <v>140</v>
      </c>
      <c r="N1224">
        <v>985</v>
      </c>
      <c r="O1224">
        <v>8.9659815000000004E-2</v>
      </c>
      <c r="P1224">
        <v>7.5768112999999998E-2</v>
      </c>
      <c r="Q1224" t="str">
        <f t="shared" si="38"/>
        <v>25-34</v>
      </c>
      <c r="R1224" t="str">
        <f t="shared" si="39"/>
        <v>[lPTyjLi4w3d]|25-34|Female|PLHIV_Residents.T_1|CY2024Q3</v>
      </c>
    </row>
    <row r="1225" spans="4:18" x14ac:dyDescent="0.2">
      <c r="D1225" t="s">
        <v>63</v>
      </c>
      <c r="E1225" t="s">
        <v>64</v>
      </c>
      <c r="F1225" t="s">
        <v>65</v>
      </c>
      <c r="G1225" t="s">
        <v>143</v>
      </c>
      <c r="H1225" t="s">
        <v>144</v>
      </c>
      <c r="I1225" t="s">
        <v>43</v>
      </c>
      <c r="J1225" t="s">
        <v>44</v>
      </c>
      <c r="K1225" t="s">
        <v>30</v>
      </c>
      <c r="L1225" t="s">
        <v>31</v>
      </c>
      <c r="M1225" t="s">
        <v>140</v>
      </c>
      <c r="N1225">
        <v>2582</v>
      </c>
      <c r="O1225">
        <v>7.7321260000000003E-2</v>
      </c>
      <c r="P1225">
        <v>7.5768112999999998E-2</v>
      </c>
      <c r="Q1225" t="str">
        <f t="shared" si="38"/>
        <v>35-49</v>
      </c>
      <c r="R1225" t="str">
        <f t="shared" si="39"/>
        <v>[lPTyjLi4w3d]|35-49|Female|PLHIV_Residents.T_1|CY2024Q3</v>
      </c>
    </row>
    <row r="1226" spans="4:18" x14ac:dyDescent="0.2">
      <c r="D1226" t="s">
        <v>63</v>
      </c>
      <c r="E1226" t="s">
        <v>64</v>
      </c>
      <c r="F1226" t="s">
        <v>65</v>
      </c>
      <c r="G1226" t="s">
        <v>143</v>
      </c>
      <c r="H1226" t="s">
        <v>144</v>
      </c>
      <c r="I1226" t="s">
        <v>45</v>
      </c>
      <c r="J1226" t="s">
        <v>46</v>
      </c>
      <c r="K1226" t="s">
        <v>30</v>
      </c>
      <c r="L1226" t="s">
        <v>31</v>
      </c>
      <c r="M1226" t="s">
        <v>140</v>
      </c>
      <c r="N1226">
        <v>1243</v>
      </c>
      <c r="O1226">
        <v>8.3897293999999997E-2</v>
      </c>
      <c r="P1226">
        <v>7.5768112999999998E-2</v>
      </c>
      <c r="Q1226" t="str">
        <f t="shared" si="38"/>
        <v>50+</v>
      </c>
      <c r="R1226" t="str">
        <f t="shared" si="39"/>
        <v>[lPTyjLi4w3d]|50+|Female|PLHIV_Residents.T_1|CY2024Q3</v>
      </c>
    </row>
    <row r="1227" spans="4:18" x14ac:dyDescent="0.2">
      <c r="D1227" t="s">
        <v>63</v>
      </c>
      <c r="E1227" t="s">
        <v>64</v>
      </c>
      <c r="F1227" t="s">
        <v>65</v>
      </c>
      <c r="G1227" t="s">
        <v>143</v>
      </c>
      <c r="H1227" t="s">
        <v>144</v>
      </c>
      <c r="I1227" t="s">
        <v>28</v>
      </c>
      <c r="J1227" t="s">
        <v>29</v>
      </c>
      <c r="K1227" t="s">
        <v>48</v>
      </c>
      <c r="L1227" t="s">
        <v>49</v>
      </c>
      <c r="M1227" t="s">
        <v>140</v>
      </c>
      <c r="N1227">
        <v>5</v>
      </c>
      <c r="O1227">
        <v>8.0287512000000005E-2</v>
      </c>
      <c r="P1227">
        <v>7.5768112999999998E-2</v>
      </c>
      <c r="Q1227" t="str">
        <f t="shared" si="38"/>
        <v>&lt;01</v>
      </c>
      <c r="R1227" t="str">
        <f t="shared" si="39"/>
        <v>[lPTyjLi4w3d]|&lt;01|Male|PLHIV_Residents.T_1|CY2024Q3</v>
      </c>
    </row>
    <row r="1228" spans="4:18" x14ac:dyDescent="0.2">
      <c r="D1228" t="s">
        <v>63</v>
      </c>
      <c r="E1228" t="s">
        <v>64</v>
      </c>
      <c r="F1228" t="s">
        <v>65</v>
      </c>
      <c r="G1228" t="s">
        <v>143</v>
      </c>
      <c r="H1228" t="s">
        <v>144</v>
      </c>
      <c r="I1228" t="s">
        <v>33</v>
      </c>
      <c r="J1228" t="s">
        <v>34</v>
      </c>
      <c r="K1228" t="s">
        <v>48</v>
      </c>
      <c r="L1228" t="s">
        <v>49</v>
      </c>
      <c r="M1228" t="s">
        <v>140</v>
      </c>
      <c r="N1228">
        <v>89</v>
      </c>
      <c r="O1228">
        <v>8.4712923999999995E-2</v>
      </c>
      <c r="P1228">
        <v>7.5768112999999998E-2</v>
      </c>
      <c r="Q1228" t="str">
        <f t="shared" si="38"/>
        <v>01-09</v>
      </c>
      <c r="R1228" t="str">
        <f t="shared" si="39"/>
        <v>[lPTyjLi4w3d]|01-09|Male|PLHIV_Residents.T_1|CY2024Q3</v>
      </c>
    </row>
    <row r="1229" spans="4:18" x14ac:dyDescent="0.2">
      <c r="D1229" t="s">
        <v>63</v>
      </c>
      <c r="E1229" t="s">
        <v>64</v>
      </c>
      <c r="F1229" t="s">
        <v>65</v>
      </c>
      <c r="G1229" t="s">
        <v>143</v>
      </c>
      <c r="H1229" t="s">
        <v>144</v>
      </c>
      <c r="I1229" t="s">
        <v>36</v>
      </c>
      <c r="J1229" t="s">
        <v>37</v>
      </c>
      <c r="K1229" t="s">
        <v>48</v>
      </c>
      <c r="L1229" t="s">
        <v>49</v>
      </c>
      <c r="M1229" t="s">
        <v>140</v>
      </c>
      <c r="N1229">
        <v>114</v>
      </c>
      <c r="O1229">
        <v>9.0663409E-2</v>
      </c>
      <c r="P1229">
        <v>7.5768112999999998E-2</v>
      </c>
      <c r="Q1229" t="str">
        <f t="shared" si="38"/>
        <v>10-14</v>
      </c>
      <c r="R1229" t="str">
        <f t="shared" si="39"/>
        <v>[lPTyjLi4w3d]|10-14|Male|PLHIV_Residents.T_1|CY2024Q3</v>
      </c>
    </row>
    <row r="1230" spans="4:18" x14ac:dyDescent="0.2">
      <c r="D1230" t="s">
        <v>63</v>
      </c>
      <c r="E1230" t="s">
        <v>64</v>
      </c>
      <c r="F1230" t="s">
        <v>65</v>
      </c>
      <c r="G1230" t="s">
        <v>143</v>
      </c>
      <c r="H1230" t="s">
        <v>144</v>
      </c>
      <c r="I1230" t="s">
        <v>38</v>
      </c>
      <c r="J1230" t="s">
        <v>39</v>
      </c>
      <c r="K1230" t="s">
        <v>48</v>
      </c>
      <c r="L1230" t="s">
        <v>49</v>
      </c>
      <c r="M1230" t="s">
        <v>140</v>
      </c>
      <c r="N1230">
        <v>310</v>
      </c>
      <c r="O1230">
        <v>0.105592935</v>
      </c>
      <c r="P1230">
        <v>7.5768112999999998E-2</v>
      </c>
      <c r="Q1230" t="str">
        <f t="shared" si="38"/>
        <v>15-24</v>
      </c>
      <c r="R1230" t="str">
        <f t="shared" si="39"/>
        <v>[lPTyjLi4w3d]|15-24|Male|PLHIV_Residents.T_1|CY2024Q3</v>
      </c>
    </row>
    <row r="1231" spans="4:18" x14ac:dyDescent="0.2">
      <c r="D1231" t="s">
        <v>63</v>
      </c>
      <c r="E1231" t="s">
        <v>64</v>
      </c>
      <c r="F1231" t="s">
        <v>65</v>
      </c>
      <c r="G1231" t="s">
        <v>143</v>
      </c>
      <c r="H1231" t="s">
        <v>144</v>
      </c>
      <c r="I1231" t="s">
        <v>41</v>
      </c>
      <c r="J1231" t="s">
        <v>42</v>
      </c>
      <c r="K1231" t="s">
        <v>48</v>
      </c>
      <c r="L1231" t="s">
        <v>49</v>
      </c>
      <c r="M1231" t="s">
        <v>140</v>
      </c>
      <c r="N1231">
        <v>418</v>
      </c>
      <c r="O1231">
        <v>0.106545554</v>
      </c>
      <c r="P1231">
        <v>7.5768112999999998E-2</v>
      </c>
      <c r="Q1231" t="str">
        <f t="shared" si="38"/>
        <v>25-34</v>
      </c>
      <c r="R1231" t="str">
        <f t="shared" si="39"/>
        <v>[lPTyjLi4w3d]|25-34|Male|PLHIV_Residents.T_1|CY2024Q3</v>
      </c>
    </row>
    <row r="1232" spans="4:18" x14ac:dyDescent="0.2">
      <c r="D1232" t="s">
        <v>63</v>
      </c>
      <c r="E1232" t="s">
        <v>64</v>
      </c>
      <c r="F1232" t="s">
        <v>65</v>
      </c>
      <c r="G1232" t="s">
        <v>143</v>
      </c>
      <c r="H1232" t="s">
        <v>144</v>
      </c>
      <c r="I1232" t="s">
        <v>43</v>
      </c>
      <c r="J1232" t="s">
        <v>44</v>
      </c>
      <c r="K1232" t="s">
        <v>48</v>
      </c>
      <c r="L1232" t="s">
        <v>49</v>
      </c>
      <c r="M1232" t="s">
        <v>140</v>
      </c>
      <c r="N1232">
        <v>1669</v>
      </c>
      <c r="O1232">
        <v>8.2606188999999997E-2</v>
      </c>
      <c r="P1232">
        <v>7.5768112999999998E-2</v>
      </c>
      <c r="Q1232" t="str">
        <f t="shared" si="38"/>
        <v>35-49</v>
      </c>
      <c r="R1232" t="str">
        <f t="shared" si="39"/>
        <v>[lPTyjLi4w3d]|35-49|Male|PLHIV_Residents.T_1|CY2024Q3</v>
      </c>
    </row>
    <row r="1233" spans="4:18" x14ac:dyDescent="0.2">
      <c r="D1233" t="s">
        <v>63</v>
      </c>
      <c r="E1233" t="s">
        <v>64</v>
      </c>
      <c r="F1233" t="s">
        <v>65</v>
      </c>
      <c r="G1233" t="s">
        <v>143</v>
      </c>
      <c r="H1233" t="s">
        <v>144</v>
      </c>
      <c r="I1233" t="s">
        <v>45</v>
      </c>
      <c r="J1233" t="s">
        <v>46</v>
      </c>
      <c r="K1233" t="s">
        <v>48</v>
      </c>
      <c r="L1233" t="s">
        <v>49</v>
      </c>
      <c r="M1233" t="s">
        <v>140</v>
      </c>
      <c r="N1233">
        <v>1267</v>
      </c>
      <c r="O1233">
        <v>7.8319810000000004E-2</v>
      </c>
      <c r="P1233">
        <v>7.5768112999999998E-2</v>
      </c>
      <c r="Q1233" t="str">
        <f t="shared" si="38"/>
        <v>50+</v>
      </c>
      <c r="R1233" t="str">
        <f t="shared" si="39"/>
        <v>[lPTyjLi4w3d]|50+|Male|PLHIV_Residents.T_1|CY2024Q3</v>
      </c>
    </row>
    <row r="1234" spans="4:18" x14ac:dyDescent="0.2">
      <c r="D1234" t="s">
        <v>66</v>
      </c>
      <c r="E1234" t="s">
        <v>67</v>
      </c>
      <c r="F1234" t="s">
        <v>68</v>
      </c>
      <c r="G1234" t="s">
        <v>143</v>
      </c>
      <c r="H1234" t="s">
        <v>144</v>
      </c>
      <c r="I1234" t="s">
        <v>28</v>
      </c>
      <c r="J1234" t="s">
        <v>29</v>
      </c>
      <c r="K1234" t="s">
        <v>30</v>
      </c>
      <c r="L1234" t="s">
        <v>31</v>
      </c>
      <c r="M1234" t="s">
        <v>140</v>
      </c>
      <c r="N1234">
        <v>25</v>
      </c>
      <c r="O1234">
        <v>3.1971537000000001E-2</v>
      </c>
      <c r="P1234">
        <v>2.7606967999999999E-2</v>
      </c>
      <c r="Q1234" t="str">
        <f t="shared" si="38"/>
        <v>&lt;01</v>
      </c>
      <c r="R1234" t="str">
        <f t="shared" si="39"/>
        <v>[vA4NcHxfMBq]|&lt;01|Female|PLHIV_Residents.T_1|CY2024Q3</v>
      </c>
    </row>
    <row r="1235" spans="4:18" x14ac:dyDescent="0.2">
      <c r="D1235" t="s">
        <v>66</v>
      </c>
      <c r="E1235" t="s">
        <v>67</v>
      </c>
      <c r="F1235" t="s">
        <v>68</v>
      </c>
      <c r="G1235" t="s">
        <v>143</v>
      </c>
      <c r="H1235" t="s">
        <v>144</v>
      </c>
      <c r="I1235" t="s">
        <v>33</v>
      </c>
      <c r="J1235" t="s">
        <v>34</v>
      </c>
      <c r="K1235" t="s">
        <v>30</v>
      </c>
      <c r="L1235" t="s">
        <v>31</v>
      </c>
      <c r="M1235" t="s">
        <v>140</v>
      </c>
      <c r="N1235">
        <v>470</v>
      </c>
      <c r="O1235">
        <v>3.8531523999999998E-2</v>
      </c>
      <c r="P1235">
        <v>2.7606967999999999E-2</v>
      </c>
      <c r="Q1235" t="str">
        <f t="shared" si="38"/>
        <v>01-09</v>
      </c>
      <c r="R1235" t="str">
        <f t="shared" si="39"/>
        <v>[vA4NcHxfMBq]|01-09|Female|PLHIV_Residents.T_1|CY2024Q3</v>
      </c>
    </row>
    <row r="1236" spans="4:18" x14ac:dyDescent="0.2">
      <c r="D1236" t="s">
        <v>66</v>
      </c>
      <c r="E1236" t="s">
        <v>67</v>
      </c>
      <c r="F1236" t="s">
        <v>68</v>
      </c>
      <c r="G1236" t="s">
        <v>143</v>
      </c>
      <c r="H1236" t="s">
        <v>144</v>
      </c>
      <c r="I1236" t="s">
        <v>36</v>
      </c>
      <c r="J1236" t="s">
        <v>37</v>
      </c>
      <c r="K1236" t="s">
        <v>30</v>
      </c>
      <c r="L1236" t="s">
        <v>31</v>
      </c>
      <c r="M1236" t="s">
        <v>140</v>
      </c>
      <c r="N1236">
        <v>592</v>
      </c>
      <c r="O1236">
        <v>4.7129298999999999E-2</v>
      </c>
      <c r="P1236">
        <v>2.7606967999999999E-2</v>
      </c>
      <c r="Q1236" t="str">
        <f t="shared" si="38"/>
        <v>10-14</v>
      </c>
      <c r="R1236" t="str">
        <f t="shared" si="39"/>
        <v>[vA4NcHxfMBq]|10-14|Female|PLHIV_Residents.T_1|CY2024Q3</v>
      </c>
    </row>
    <row r="1237" spans="4:18" x14ac:dyDescent="0.2">
      <c r="D1237" t="s">
        <v>66</v>
      </c>
      <c r="E1237" t="s">
        <v>67</v>
      </c>
      <c r="F1237" t="s">
        <v>68</v>
      </c>
      <c r="G1237" t="s">
        <v>143</v>
      </c>
      <c r="H1237" t="s">
        <v>144</v>
      </c>
      <c r="I1237" t="s">
        <v>38</v>
      </c>
      <c r="J1237" t="s">
        <v>39</v>
      </c>
      <c r="K1237" t="s">
        <v>30</v>
      </c>
      <c r="L1237" t="s">
        <v>31</v>
      </c>
      <c r="M1237" t="s">
        <v>140</v>
      </c>
      <c r="N1237">
        <v>2258</v>
      </c>
      <c r="O1237">
        <v>6.5516292000000004E-2</v>
      </c>
      <c r="P1237">
        <v>2.7606967999999999E-2</v>
      </c>
      <c r="Q1237" t="str">
        <f t="shared" si="38"/>
        <v>15-24</v>
      </c>
      <c r="R1237" t="str">
        <f t="shared" si="39"/>
        <v>[vA4NcHxfMBq]|15-24|Female|PLHIV_Residents.T_1|CY2024Q3</v>
      </c>
    </row>
    <row r="1238" spans="4:18" x14ac:dyDescent="0.2">
      <c r="D1238" t="s">
        <v>66</v>
      </c>
      <c r="E1238" t="s">
        <v>67</v>
      </c>
      <c r="F1238" t="s">
        <v>68</v>
      </c>
      <c r="G1238" t="s">
        <v>143</v>
      </c>
      <c r="H1238" t="s">
        <v>144</v>
      </c>
      <c r="I1238" t="s">
        <v>41</v>
      </c>
      <c r="J1238" t="s">
        <v>42</v>
      </c>
      <c r="K1238" t="s">
        <v>30</v>
      </c>
      <c r="L1238" t="s">
        <v>31</v>
      </c>
      <c r="M1238" t="s">
        <v>140</v>
      </c>
      <c r="N1238">
        <v>6046</v>
      </c>
      <c r="O1238">
        <v>4.5852525999999998E-2</v>
      </c>
      <c r="P1238">
        <v>2.7606967999999999E-2</v>
      </c>
      <c r="Q1238" t="str">
        <f t="shared" si="38"/>
        <v>25-34</v>
      </c>
      <c r="R1238" t="str">
        <f t="shared" si="39"/>
        <v>[vA4NcHxfMBq]|25-34|Female|PLHIV_Residents.T_1|CY2024Q3</v>
      </c>
    </row>
    <row r="1239" spans="4:18" x14ac:dyDescent="0.2">
      <c r="D1239" t="s">
        <v>66</v>
      </c>
      <c r="E1239" t="s">
        <v>67</v>
      </c>
      <c r="F1239" t="s">
        <v>68</v>
      </c>
      <c r="G1239" t="s">
        <v>143</v>
      </c>
      <c r="H1239" t="s">
        <v>144</v>
      </c>
      <c r="I1239" t="s">
        <v>43</v>
      </c>
      <c r="J1239" t="s">
        <v>44</v>
      </c>
      <c r="K1239" t="s">
        <v>30</v>
      </c>
      <c r="L1239" t="s">
        <v>31</v>
      </c>
      <c r="M1239" t="s">
        <v>140</v>
      </c>
      <c r="N1239">
        <v>14572</v>
      </c>
      <c r="O1239">
        <v>3.0993234000000001E-2</v>
      </c>
      <c r="P1239">
        <v>2.7606967999999999E-2</v>
      </c>
      <c r="Q1239" t="str">
        <f t="shared" si="38"/>
        <v>35-49</v>
      </c>
      <c r="R1239" t="str">
        <f t="shared" si="39"/>
        <v>[vA4NcHxfMBq]|35-49|Female|PLHIV_Residents.T_1|CY2024Q3</v>
      </c>
    </row>
    <row r="1240" spans="4:18" x14ac:dyDescent="0.2">
      <c r="D1240" t="s">
        <v>66</v>
      </c>
      <c r="E1240" t="s">
        <v>67</v>
      </c>
      <c r="F1240" t="s">
        <v>68</v>
      </c>
      <c r="G1240" t="s">
        <v>143</v>
      </c>
      <c r="H1240" t="s">
        <v>144</v>
      </c>
      <c r="I1240" t="s">
        <v>45</v>
      </c>
      <c r="J1240" t="s">
        <v>46</v>
      </c>
      <c r="K1240" t="s">
        <v>30</v>
      </c>
      <c r="L1240" t="s">
        <v>31</v>
      </c>
      <c r="M1240" t="s">
        <v>140</v>
      </c>
      <c r="N1240">
        <v>6441</v>
      </c>
      <c r="O1240">
        <v>4.7778449000000001E-2</v>
      </c>
      <c r="P1240">
        <v>2.7606967999999999E-2</v>
      </c>
      <c r="Q1240" t="str">
        <f t="shared" si="38"/>
        <v>50+</v>
      </c>
      <c r="R1240" t="str">
        <f t="shared" si="39"/>
        <v>[vA4NcHxfMBq]|50+|Female|PLHIV_Residents.T_1|CY2024Q3</v>
      </c>
    </row>
    <row r="1241" spans="4:18" x14ac:dyDescent="0.2">
      <c r="D1241" t="s">
        <v>66</v>
      </c>
      <c r="E1241" t="s">
        <v>67</v>
      </c>
      <c r="F1241" t="s">
        <v>68</v>
      </c>
      <c r="G1241" t="s">
        <v>143</v>
      </c>
      <c r="H1241" t="s">
        <v>144</v>
      </c>
      <c r="I1241" t="s">
        <v>28</v>
      </c>
      <c r="J1241" t="s">
        <v>29</v>
      </c>
      <c r="K1241" t="s">
        <v>48</v>
      </c>
      <c r="L1241" t="s">
        <v>49</v>
      </c>
      <c r="M1241" t="s">
        <v>140</v>
      </c>
      <c r="N1241">
        <v>26</v>
      </c>
      <c r="O1241">
        <v>3.1969075E-2</v>
      </c>
      <c r="P1241">
        <v>2.7606967999999999E-2</v>
      </c>
      <c r="Q1241" t="str">
        <f t="shared" si="38"/>
        <v>&lt;01</v>
      </c>
      <c r="R1241" t="str">
        <f t="shared" si="39"/>
        <v>[vA4NcHxfMBq]|&lt;01|Male|PLHIV_Residents.T_1|CY2024Q3</v>
      </c>
    </row>
    <row r="1242" spans="4:18" x14ac:dyDescent="0.2">
      <c r="D1242" t="s">
        <v>66</v>
      </c>
      <c r="E1242" t="s">
        <v>67</v>
      </c>
      <c r="F1242" t="s">
        <v>68</v>
      </c>
      <c r="G1242" t="s">
        <v>143</v>
      </c>
      <c r="H1242" t="s">
        <v>144</v>
      </c>
      <c r="I1242" t="s">
        <v>33</v>
      </c>
      <c r="J1242" t="s">
        <v>34</v>
      </c>
      <c r="K1242" t="s">
        <v>48</v>
      </c>
      <c r="L1242" t="s">
        <v>49</v>
      </c>
      <c r="M1242" t="s">
        <v>140</v>
      </c>
      <c r="N1242">
        <v>471</v>
      </c>
      <c r="O1242">
        <v>3.8533627000000001E-2</v>
      </c>
      <c r="P1242">
        <v>2.7606967999999999E-2</v>
      </c>
      <c r="Q1242" t="str">
        <f t="shared" si="38"/>
        <v>01-09</v>
      </c>
      <c r="R1242" t="str">
        <f t="shared" si="39"/>
        <v>[vA4NcHxfMBq]|01-09|Male|PLHIV_Residents.T_1|CY2024Q3</v>
      </c>
    </row>
    <row r="1243" spans="4:18" x14ac:dyDescent="0.2">
      <c r="D1243" t="s">
        <v>66</v>
      </c>
      <c r="E1243" t="s">
        <v>67</v>
      </c>
      <c r="F1243" t="s">
        <v>68</v>
      </c>
      <c r="G1243" t="s">
        <v>143</v>
      </c>
      <c r="H1243" t="s">
        <v>144</v>
      </c>
      <c r="I1243" t="s">
        <v>36</v>
      </c>
      <c r="J1243" t="s">
        <v>37</v>
      </c>
      <c r="K1243" t="s">
        <v>48</v>
      </c>
      <c r="L1243" t="s">
        <v>49</v>
      </c>
      <c r="M1243" t="s">
        <v>140</v>
      </c>
      <c r="N1243">
        <v>574</v>
      </c>
      <c r="O1243">
        <v>4.7287455999999999E-2</v>
      </c>
      <c r="P1243">
        <v>2.7606967999999999E-2</v>
      </c>
      <c r="Q1243" t="str">
        <f t="shared" si="38"/>
        <v>10-14</v>
      </c>
      <c r="R1243" t="str">
        <f t="shared" si="39"/>
        <v>[vA4NcHxfMBq]|10-14|Male|PLHIV_Residents.T_1|CY2024Q3</v>
      </c>
    </row>
    <row r="1244" spans="4:18" x14ac:dyDescent="0.2">
      <c r="D1244" t="s">
        <v>66</v>
      </c>
      <c r="E1244" t="s">
        <v>67</v>
      </c>
      <c r="F1244" t="s">
        <v>68</v>
      </c>
      <c r="G1244" t="s">
        <v>143</v>
      </c>
      <c r="H1244" t="s">
        <v>144</v>
      </c>
      <c r="I1244" t="s">
        <v>38</v>
      </c>
      <c r="J1244" t="s">
        <v>39</v>
      </c>
      <c r="K1244" t="s">
        <v>48</v>
      </c>
      <c r="L1244" t="s">
        <v>49</v>
      </c>
      <c r="M1244" t="s">
        <v>140</v>
      </c>
      <c r="N1244">
        <v>1579</v>
      </c>
      <c r="O1244">
        <v>7.6832781000000003E-2</v>
      </c>
      <c r="P1244">
        <v>2.7606967999999999E-2</v>
      </c>
      <c r="Q1244" t="str">
        <f t="shared" si="38"/>
        <v>15-24</v>
      </c>
      <c r="R1244" t="str">
        <f t="shared" si="39"/>
        <v>[vA4NcHxfMBq]|15-24|Male|PLHIV_Residents.T_1|CY2024Q3</v>
      </c>
    </row>
    <row r="1245" spans="4:18" x14ac:dyDescent="0.2">
      <c r="D1245" t="s">
        <v>66</v>
      </c>
      <c r="E1245" t="s">
        <v>67</v>
      </c>
      <c r="F1245" t="s">
        <v>68</v>
      </c>
      <c r="G1245" t="s">
        <v>143</v>
      </c>
      <c r="H1245" t="s">
        <v>144</v>
      </c>
      <c r="I1245" t="s">
        <v>41</v>
      </c>
      <c r="J1245" t="s">
        <v>42</v>
      </c>
      <c r="K1245" t="s">
        <v>48</v>
      </c>
      <c r="L1245" t="s">
        <v>49</v>
      </c>
      <c r="M1245" t="s">
        <v>140</v>
      </c>
      <c r="N1245">
        <v>2388</v>
      </c>
      <c r="O1245">
        <v>7.3323368E-2</v>
      </c>
      <c r="P1245">
        <v>2.7606967999999999E-2</v>
      </c>
      <c r="Q1245" t="str">
        <f t="shared" si="38"/>
        <v>25-34</v>
      </c>
      <c r="R1245" t="str">
        <f t="shared" si="39"/>
        <v>[vA4NcHxfMBq]|25-34|Male|PLHIV_Residents.T_1|CY2024Q3</v>
      </c>
    </row>
    <row r="1246" spans="4:18" x14ac:dyDescent="0.2">
      <c r="D1246" t="s">
        <v>66</v>
      </c>
      <c r="E1246" t="s">
        <v>67</v>
      </c>
      <c r="F1246" t="s">
        <v>68</v>
      </c>
      <c r="G1246" t="s">
        <v>143</v>
      </c>
      <c r="H1246" t="s">
        <v>144</v>
      </c>
      <c r="I1246" t="s">
        <v>43</v>
      </c>
      <c r="J1246" t="s">
        <v>44</v>
      </c>
      <c r="K1246" t="s">
        <v>48</v>
      </c>
      <c r="L1246" t="s">
        <v>49</v>
      </c>
      <c r="M1246" t="s">
        <v>140</v>
      </c>
      <c r="N1246">
        <v>8895</v>
      </c>
      <c r="O1246">
        <v>4.0291421000000001E-2</v>
      </c>
      <c r="P1246">
        <v>2.7606967999999999E-2</v>
      </c>
      <c r="Q1246" t="str">
        <f t="shared" si="38"/>
        <v>35-49</v>
      </c>
      <c r="R1246" t="str">
        <f t="shared" si="39"/>
        <v>[vA4NcHxfMBq]|35-49|Male|PLHIV_Residents.T_1|CY2024Q3</v>
      </c>
    </row>
    <row r="1247" spans="4:18" x14ac:dyDescent="0.2">
      <c r="D1247" t="s">
        <v>66</v>
      </c>
      <c r="E1247" t="s">
        <v>67</v>
      </c>
      <c r="F1247" t="s">
        <v>68</v>
      </c>
      <c r="G1247" t="s">
        <v>143</v>
      </c>
      <c r="H1247" t="s">
        <v>144</v>
      </c>
      <c r="I1247" t="s">
        <v>45</v>
      </c>
      <c r="J1247" t="s">
        <v>46</v>
      </c>
      <c r="K1247" t="s">
        <v>48</v>
      </c>
      <c r="L1247" t="s">
        <v>49</v>
      </c>
      <c r="M1247" t="s">
        <v>140</v>
      </c>
      <c r="N1247">
        <v>6219</v>
      </c>
      <c r="O1247">
        <v>4.4558590000000002E-2</v>
      </c>
      <c r="P1247">
        <v>2.7606967999999999E-2</v>
      </c>
      <c r="Q1247" t="str">
        <f t="shared" si="38"/>
        <v>50+</v>
      </c>
      <c r="R1247" t="str">
        <f t="shared" si="39"/>
        <v>[vA4NcHxfMBq]|50+|Male|PLHIV_Residents.T_1|CY2024Q3</v>
      </c>
    </row>
    <row r="1248" spans="4:18" x14ac:dyDescent="0.2">
      <c r="D1248" t="s">
        <v>69</v>
      </c>
      <c r="E1248" t="s">
        <v>70</v>
      </c>
      <c r="F1248" t="s">
        <v>71</v>
      </c>
      <c r="G1248" t="s">
        <v>143</v>
      </c>
      <c r="H1248" t="s">
        <v>144</v>
      </c>
      <c r="I1248" t="s">
        <v>28</v>
      </c>
      <c r="J1248" t="s">
        <v>29</v>
      </c>
      <c r="K1248" t="s">
        <v>30</v>
      </c>
      <c r="L1248" t="s">
        <v>31</v>
      </c>
      <c r="M1248" t="s">
        <v>140</v>
      </c>
      <c r="N1248">
        <v>0</v>
      </c>
      <c r="O1248">
        <v>3.5701811999999999E-2</v>
      </c>
      <c r="P1248">
        <v>2.9678327000000001E-2</v>
      </c>
      <c r="Q1248" t="str">
        <f t="shared" si="38"/>
        <v>&lt;01</v>
      </c>
      <c r="R1248" t="str">
        <f t="shared" si="39"/>
        <v>[ZCjuwgaMB9u]|&lt;01|Female|PLHIV_Residents.T_1|CY2024Q3</v>
      </c>
    </row>
    <row r="1249" spans="4:18" x14ac:dyDescent="0.2">
      <c r="D1249" t="s">
        <v>69</v>
      </c>
      <c r="E1249" t="s">
        <v>70</v>
      </c>
      <c r="F1249" t="s">
        <v>71</v>
      </c>
      <c r="G1249" t="s">
        <v>143</v>
      </c>
      <c r="H1249" t="s">
        <v>144</v>
      </c>
      <c r="I1249" t="s">
        <v>33</v>
      </c>
      <c r="J1249" t="s">
        <v>34</v>
      </c>
      <c r="K1249" t="s">
        <v>30</v>
      </c>
      <c r="L1249" t="s">
        <v>31</v>
      </c>
      <c r="M1249" t="s">
        <v>140</v>
      </c>
      <c r="N1249">
        <v>8</v>
      </c>
      <c r="O1249">
        <v>4.4164309999999998E-2</v>
      </c>
      <c r="P1249">
        <v>2.9678327000000001E-2</v>
      </c>
      <c r="Q1249" t="str">
        <f t="shared" si="38"/>
        <v>01-09</v>
      </c>
      <c r="R1249" t="str">
        <f t="shared" si="39"/>
        <v>[ZCjuwgaMB9u]|01-09|Female|PLHIV_Residents.T_1|CY2024Q3</v>
      </c>
    </row>
    <row r="1250" spans="4:18" x14ac:dyDescent="0.2">
      <c r="D1250" t="s">
        <v>69</v>
      </c>
      <c r="E1250" t="s">
        <v>70</v>
      </c>
      <c r="F1250" t="s">
        <v>71</v>
      </c>
      <c r="G1250" t="s">
        <v>143</v>
      </c>
      <c r="H1250" t="s">
        <v>144</v>
      </c>
      <c r="I1250" t="s">
        <v>36</v>
      </c>
      <c r="J1250" t="s">
        <v>37</v>
      </c>
      <c r="K1250" t="s">
        <v>30</v>
      </c>
      <c r="L1250" t="s">
        <v>31</v>
      </c>
      <c r="M1250" t="s">
        <v>140</v>
      </c>
      <c r="N1250">
        <v>10</v>
      </c>
      <c r="O1250">
        <v>5.5695384000000001E-2</v>
      </c>
      <c r="P1250">
        <v>2.9678327000000001E-2</v>
      </c>
      <c r="Q1250" t="str">
        <f t="shared" si="38"/>
        <v>10-14</v>
      </c>
      <c r="R1250" t="str">
        <f t="shared" si="39"/>
        <v>[ZCjuwgaMB9u]|10-14|Female|PLHIV_Residents.T_1|CY2024Q3</v>
      </c>
    </row>
    <row r="1251" spans="4:18" x14ac:dyDescent="0.2">
      <c r="D1251" t="s">
        <v>69</v>
      </c>
      <c r="E1251" t="s">
        <v>70</v>
      </c>
      <c r="F1251" t="s">
        <v>71</v>
      </c>
      <c r="G1251" t="s">
        <v>143</v>
      </c>
      <c r="H1251" t="s">
        <v>144</v>
      </c>
      <c r="I1251" t="s">
        <v>38</v>
      </c>
      <c r="J1251" t="s">
        <v>39</v>
      </c>
      <c r="K1251" t="s">
        <v>30</v>
      </c>
      <c r="L1251" t="s">
        <v>31</v>
      </c>
      <c r="M1251" t="s">
        <v>140</v>
      </c>
      <c r="N1251">
        <v>40</v>
      </c>
      <c r="O1251">
        <v>6.7464141000000005E-2</v>
      </c>
      <c r="P1251">
        <v>2.9678327000000001E-2</v>
      </c>
      <c r="Q1251" t="str">
        <f t="shared" si="38"/>
        <v>15-24</v>
      </c>
      <c r="R1251" t="str">
        <f t="shared" si="39"/>
        <v>[ZCjuwgaMB9u]|15-24|Female|PLHIV_Residents.T_1|CY2024Q3</v>
      </c>
    </row>
    <row r="1252" spans="4:18" x14ac:dyDescent="0.2">
      <c r="D1252" t="s">
        <v>69</v>
      </c>
      <c r="E1252" t="s">
        <v>70</v>
      </c>
      <c r="F1252" t="s">
        <v>71</v>
      </c>
      <c r="G1252" t="s">
        <v>143</v>
      </c>
      <c r="H1252" t="s">
        <v>144</v>
      </c>
      <c r="I1252" t="s">
        <v>41</v>
      </c>
      <c r="J1252" t="s">
        <v>42</v>
      </c>
      <c r="K1252" t="s">
        <v>30</v>
      </c>
      <c r="L1252" t="s">
        <v>31</v>
      </c>
      <c r="M1252" t="s">
        <v>140</v>
      </c>
      <c r="N1252">
        <v>109</v>
      </c>
      <c r="O1252">
        <v>5.0263347E-2</v>
      </c>
      <c r="P1252">
        <v>2.9678327000000001E-2</v>
      </c>
      <c r="Q1252" t="str">
        <f t="shared" si="38"/>
        <v>25-34</v>
      </c>
      <c r="R1252" t="str">
        <f t="shared" si="39"/>
        <v>[ZCjuwgaMB9u]|25-34|Female|PLHIV_Residents.T_1|CY2024Q3</v>
      </c>
    </row>
    <row r="1253" spans="4:18" x14ac:dyDescent="0.2">
      <c r="D1253" t="s">
        <v>69</v>
      </c>
      <c r="E1253" t="s">
        <v>70</v>
      </c>
      <c r="F1253" t="s">
        <v>71</v>
      </c>
      <c r="G1253" t="s">
        <v>143</v>
      </c>
      <c r="H1253" t="s">
        <v>144</v>
      </c>
      <c r="I1253" t="s">
        <v>43</v>
      </c>
      <c r="J1253" t="s">
        <v>44</v>
      </c>
      <c r="K1253" t="s">
        <v>30</v>
      </c>
      <c r="L1253" t="s">
        <v>31</v>
      </c>
      <c r="M1253" t="s">
        <v>140</v>
      </c>
      <c r="N1253">
        <v>280</v>
      </c>
      <c r="O1253">
        <v>3.4205711E-2</v>
      </c>
      <c r="P1253">
        <v>2.9678327000000001E-2</v>
      </c>
      <c r="Q1253" t="str">
        <f t="shared" si="38"/>
        <v>35-49</v>
      </c>
      <c r="R1253" t="str">
        <f t="shared" si="39"/>
        <v>[ZCjuwgaMB9u]|35-49|Female|PLHIV_Residents.T_1|CY2024Q3</v>
      </c>
    </row>
    <row r="1254" spans="4:18" x14ac:dyDescent="0.2">
      <c r="D1254" t="s">
        <v>69</v>
      </c>
      <c r="E1254" t="s">
        <v>70</v>
      </c>
      <c r="F1254" t="s">
        <v>71</v>
      </c>
      <c r="G1254" t="s">
        <v>143</v>
      </c>
      <c r="H1254" t="s">
        <v>144</v>
      </c>
      <c r="I1254" t="s">
        <v>45</v>
      </c>
      <c r="J1254" t="s">
        <v>46</v>
      </c>
      <c r="K1254" t="s">
        <v>30</v>
      </c>
      <c r="L1254" t="s">
        <v>31</v>
      </c>
      <c r="M1254" t="s">
        <v>140</v>
      </c>
      <c r="N1254">
        <v>127</v>
      </c>
      <c r="O1254">
        <v>4.7084073999999997E-2</v>
      </c>
      <c r="P1254">
        <v>2.9678327000000001E-2</v>
      </c>
      <c r="Q1254" t="str">
        <f t="shared" si="38"/>
        <v>50+</v>
      </c>
      <c r="R1254" t="str">
        <f t="shared" si="39"/>
        <v>[ZCjuwgaMB9u]|50+|Female|PLHIV_Residents.T_1|CY2024Q3</v>
      </c>
    </row>
    <row r="1255" spans="4:18" x14ac:dyDescent="0.2">
      <c r="D1255" t="s">
        <v>69</v>
      </c>
      <c r="E1255" t="s">
        <v>70</v>
      </c>
      <c r="F1255" t="s">
        <v>71</v>
      </c>
      <c r="G1255" t="s">
        <v>143</v>
      </c>
      <c r="H1255" t="s">
        <v>144</v>
      </c>
      <c r="I1255" t="s">
        <v>28</v>
      </c>
      <c r="J1255" t="s">
        <v>29</v>
      </c>
      <c r="K1255" t="s">
        <v>48</v>
      </c>
      <c r="L1255" t="s">
        <v>49</v>
      </c>
      <c r="M1255" t="s">
        <v>140</v>
      </c>
      <c r="N1255">
        <v>0</v>
      </c>
      <c r="O1255">
        <v>3.5833345000000003E-2</v>
      </c>
      <c r="P1255">
        <v>2.9678327000000001E-2</v>
      </c>
      <c r="Q1255" t="str">
        <f t="shared" si="38"/>
        <v>&lt;01</v>
      </c>
      <c r="R1255" t="str">
        <f t="shared" si="39"/>
        <v>[ZCjuwgaMB9u]|&lt;01|Male|PLHIV_Residents.T_1|CY2024Q3</v>
      </c>
    </row>
    <row r="1256" spans="4:18" x14ac:dyDescent="0.2">
      <c r="D1256" t="s">
        <v>69</v>
      </c>
      <c r="E1256" t="s">
        <v>70</v>
      </c>
      <c r="F1256" t="s">
        <v>71</v>
      </c>
      <c r="G1256" t="s">
        <v>143</v>
      </c>
      <c r="H1256" t="s">
        <v>144</v>
      </c>
      <c r="I1256" t="s">
        <v>33</v>
      </c>
      <c r="J1256" t="s">
        <v>34</v>
      </c>
      <c r="K1256" t="s">
        <v>48</v>
      </c>
      <c r="L1256" t="s">
        <v>49</v>
      </c>
      <c r="M1256" t="s">
        <v>140</v>
      </c>
      <c r="N1256">
        <v>8</v>
      </c>
      <c r="O1256">
        <v>4.4264550999999999E-2</v>
      </c>
      <c r="P1256">
        <v>2.9678327000000001E-2</v>
      </c>
      <c r="Q1256" t="str">
        <f t="shared" si="38"/>
        <v>01-09</v>
      </c>
      <c r="R1256" t="str">
        <f t="shared" si="39"/>
        <v>[ZCjuwgaMB9u]|01-09|Male|PLHIV_Residents.T_1|CY2024Q3</v>
      </c>
    </row>
    <row r="1257" spans="4:18" x14ac:dyDescent="0.2">
      <c r="D1257" t="s">
        <v>69</v>
      </c>
      <c r="E1257" t="s">
        <v>70</v>
      </c>
      <c r="F1257" t="s">
        <v>71</v>
      </c>
      <c r="G1257" t="s">
        <v>143</v>
      </c>
      <c r="H1257" t="s">
        <v>144</v>
      </c>
      <c r="I1257" t="s">
        <v>36</v>
      </c>
      <c r="J1257" t="s">
        <v>37</v>
      </c>
      <c r="K1257" t="s">
        <v>48</v>
      </c>
      <c r="L1257" t="s">
        <v>49</v>
      </c>
      <c r="M1257" t="s">
        <v>140</v>
      </c>
      <c r="N1257">
        <v>10</v>
      </c>
      <c r="O1257">
        <v>5.5701571999999998E-2</v>
      </c>
      <c r="P1257">
        <v>2.9678327000000001E-2</v>
      </c>
      <c r="Q1257" t="str">
        <f t="shared" si="38"/>
        <v>10-14</v>
      </c>
      <c r="R1257" t="str">
        <f t="shared" si="39"/>
        <v>[ZCjuwgaMB9u]|10-14|Male|PLHIV_Residents.T_1|CY2024Q3</v>
      </c>
    </row>
    <row r="1258" spans="4:18" x14ac:dyDescent="0.2">
      <c r="D1258" t="s">
        <v>69</v>
      </c>
      <c r="E1258" t="s">
        <v>70</v>
      </c>
      <c r="F1258" t="s">
        <v>71</v>
      </c>
      <c r="G1258" t="s">
        <v>143</v>
      </c>
      <c r="H1258" t="s">
        <v>144</v>
      </c>
      <c r="I1258" t="s">
        <v>38</v>
      </c>
      <c r="J1258" t="s">
        <v>39</v>
      </c>
      <c r="K1258" t="s">
        <v>48</v>
      </c>
      <c r="L1258" t="s">
        <v>49</v>
      </c>
      <c r="M1258" t="s">
        <v>140</v>
      </c>
      <c r="N1258">
        <v>31</v>
      </c>
      <c r="O1258">
        <v>8.5962497999999998E-2</v>
      </c>
      <c r="P1258">
        <v>2.9678327000000001E-2</v>
      </c>
      <c r="Q1258" t="str">
        <f t="shared" si="38"/>
        <v>15-24</v>
      </c>
      <c r="R1258" t="str">
        <f t="shared" si="39"/>
        <v>[ZCjuwgaMB9u]|15-24|Male|PLHIV_Residents.T_1|CY2024Q3</v>
      </c>
    </row>
    <row r="1259" spans="4:18" x14ac:dyDescent="0.2">
      <c r="D1259" t="s">
        <v>69</v>
      </c>
      <c r="E1259" t="s">
        <v>70</v>
      </c>
      <c r="F1259" t="s">
        <v>71</v>
      </c>
      <c r="G1259" t="s">
        <v>143</v>
      </c>
      <c r="H1259" t="s">
        <v>144</v>
      </c>
      <c r="I1259" t="s">
        <v>41</v>
      </c>
      <c r="J1259" t="s">
        <v>42</v>
      </c>
      <c r="K1259" t="s">
        <v>48</v>
      </c>
      <c r="L1259" t="s">
        <v>49</v>
      </c>
      <c r="M1259" t="s">
        <v>140</v>
      </c>
      <c r="N1259">
        <v>53</v>
      </c>
      <c r="O1259">
        <v>7.9677094000000004E-2</v>
      </c>
      <c r="P1259">
        <v>2.9678327000000001E-2</v>
      </c>
      <c r="Q1259" t="str">
        <f t="shared" si="38"/>
        <v>25-34</v>
      </c>
      <c r="R1259" t="str">
        <f t="shared" si="39"/>
        <v>[ZCjuwgaMB9u]|25-34|Male|PLHIV_Residents.T_1|CY2024Q3</v>
      </c>
    </row>
    <row r="1260" spans="4:18" x14ac:dyDescent="0.2">
      <c r="D1260" t="s">
        <v>69</v>
      </c>
      <c r="E1260" t="s">
        <v>70</v>
      </c>
      <c r="F1260" t="s">
        <v>71</v>
      </c>
      <c r="G1260" t="s">
        <v>143</v>
      </c>
      <c r="H1260" t="s">
        <v>144</v>
      </c>
      <c r="I1260" t="s">
        <v>43</v>
      </c>
      <c r="J1260" t="s">
        <v>44</v>
      </c>
      <c r="K1260" t="s">
        <v>48</v>
      </c>
      <c r="L1260" t="s">
        <v>49</v>
      </c>
      <c r="M1260" t="s">
        <v>140</v>
      </c>
      <c r="N1260">
        <v>179</v>
      </c>
      <c r="O1260">
        <v>4.992692E-2</v>
      </c>
      <c r="P1260">
        <v>2.9678327000000001E-2</v>
      </c>
      <c r="Q1260" t="str">
        <f t="shared" si="38"/>
        <v>35-49</v>
      </c>
      <c r="R1260" t="str">
        <f t="shared" si="39"/>
        <v>[ZCjuwgaMB9u]|35-49|Male|PLHIV_Residents.T_1|CY2024Q3</v>
      </c>
    </row>
    <row r="1261" spans="4:18" x14ac:dyDescent="0.2">
      <c r="D1261" t="s">
        <v>69</v>
      </c>
      <c r="E1261" t="s">
        <v>70</v>
      </c>
      <c r="F1261" t="s">
        <v>71</v>
      </c>
      <c r="G1261" t="s">
        <v>143</v>
      </c>
      <c r="H1261" t="s">
        <v>144</v>
      </c>
      <c r="I1261" t="s">
        <v>45</v>
      </c>
      <c r="J1261" t="s">
        <v>46</v>
      </c>
      <c r="K1261" t="s">
        <v>48</v>
      </c>
      <c r="L1261" t="s">
        <v>49</v>
      </c>
      <c r="M1261" t="s">
        <v>140</v>
      </c>
      <c r="N1261">
        <v>111</v>
      </c>
      <c r="O1261">
        <v>4.8382858000000001E-2</v>
      </c>
      <c r="P1261">
        <v>2.9678327000000001E-2</v>
      </c>
      <c r="Q1261" t="str">
        <f t="shared" si="38"/>
        <v>50+</v>
      </c>
      <c r="R1261" t="str">
        <f t="shared" si="39"/>
        <v>[ZCjuwgaMB9u]|50+|Male|PLHIV_Residents.T_1|CY2024Q3</v>
      </c>
    </row>
    <row r="1262" spans="4:18" x14ac:dyDescent="0.2">
      <c r="D1262" t="s">
        <v>72</v>
      </c>
      <c r="E1262" t="s">
        <v>73</v>
      </c>
      <c r="F1262" t="s">
        <v>74</v>
      </c>
      <c r="G1262" t="s">
        <v>143</v>
      </c>
      <c r="H1262" t="s">
        <v>144</v>
      </c>
      <c r="I1262" t="s">
        <v>28</v>
      </c>
      <c r="J1262" t="s">
        <v>29</v>
      </c>
      <c r="K1262" t="s">
        <v>30</v>
      </c>
      <c r="L1262" t="s">
        <v>31</v>
      </c>
      <c r="M1262" t="s">
        <v>140</v>
      </c>
      <c r="N1262">
        <v>11</v>
      </c>
      <c r="O1262">
        <v>7.6879451000000001E-2</v>
      </c>
      <c r="P1262">
        <v>7.5229398000000003E-2</v>
      </c>
      <c r="Q1262" t="str">
        <f t="shared" si="38"/>
        <v>&lt;01</v>
      </c>
      <c r="R1262" t="str">
        <f t="shared" si="39"/>
        <v>[JQKLKuVuY61]|&lt;01|Female|PLHIV_Residents.T_1|CY2024Q3</v>
      </c>
    </row>
    <row r="1263" spans="4:18" x14ac:dyDescent="0.2">
      <c r="D1263" t="s">
        <v>72</v>
      </c>
      <c r="E1263" t="s">
        <v>73</v>
      </c>
      <c r="F1263" t="s">
        <v>74</v>
      </c>
      <c r="G1263" t="s">
        <v>143</v>
      </c>
      <c r="H1263" t="s">
        <v>144</v>
      </c>
      <c r="I1263" t="s">
        <v>33</v>
      </c>
      <c r="J1263" t="s">
        <v>34</v>
      </c>
      <c r="K1263" t="s">
        <v>30</v>
      </c>
      <c r="L1263" t="s">
        <v>31</v>
      </c>
      <c r="M1263" t="s">
        <v>140</v>
      </c>
      <c r="N1263">
        <v>213</v>
      </c>
      <c r="O1263">
        <v>7.9754721000000001E-2</v>
      </c>
      <c r="P1263">
        <v>7.5229398000000003E-2</v>
      </c>
      <c r="Q1263" t="str">
        <f t="shared" si="38"/>
        <v>01-09</v>
      </c>
      <c r="R1263" t="str">
        <f t="shared" si="39"/>
        <v>[JQKLKuVuY61]|01-09|Female|PLHIV_Residents.T_1|CY2024Q3</v>
      </c>
    </row>
    <row r="1264" spans="4:18" x14ac:dyDescent="0.2">
      <c r="D1264" t="s">
        <v>72</v>
      </c>
      <c r="E1264" t="s">
        <v>73</v>
      </c>
      <c r="F1264" t="s">
        <v>74</v>
      </c>
      <c r="G1264" t="s">
        <v>143</v>
      </c>
      <c r="H1264" t="s">
        <v>144</v>
      </c>
      <c r="I1264" t="s">
        <v>36</v>
      </c>
      <c r="J1264" t="s">
        <v>37</v>
      </c>
      <c r="K1264" t="s">
        <v>30</v>
      </c>
      <c r="L1264" t="s">
        <v>31</v>
      </c>
      <c r="M1264" t="s">
        <v>140</v>
      </c>
      <c r="N1264">
        <v>281</v>
      </c>
      <c r="O1264">
        <v>8.3702881000000007E-2</v>
      </c>
      <c r="P1264">
        <v>7.5229398000000003E-2</v>
      </c>
      <c r="Q1264" t="str">
        <f t="shared" si="38"/>
        <v>10-14</v>
      </c>
      <c r="R1264" t="str">
        <f t="shared" si="39"/>
        <v>[JQKLKuVuY61]|10-14|Female|PLHIV_Residents.T_1|CY2024Q3</v>
      </c>
    </row>
    <row r="1265" spans="4:18" x14ac:dyDescent="0.2">
      <c r="D1265" t="s">
        <v>72</v>
      </c>
      <c r="E1265" t="s">
        <v>73</v>
      </c>
      <c r="F1265" t="s">
        <v>74</v>
      </c>
      <c r="G1265" t="s">
        <v>143</v>
      </c>
      <c r="H1265" t="s">
        <v>144</v>
      </c>
      <c r="I1265" t="s">
        <v>38</v>
      </c>
      <c r="J1265" t="s">
        <v>39</v>
      </c>
      <c r="K1265" t="s">
        <v>30</v>
      </c>
      <c r="L1265" t="s">
        <v>31</v>
      </c>
      <c r="M1265" t="s">
        <v>140</v>
      </c>
      <c r="N1265">
        <v>918</v>
      </c>
      <c r="O1265">
        <v>9.6961769000000003E-2</v>
      </c>
      <c r="P1265">
        <v>7.5229398000000003E-2</v>
      </c>
      <c r="Q1265" t="str">
        <f t="shared" si="38"/>
        <v>15-24</v>
      </c>
      <c r="R1265" t="str">
        <f t="shared" si="39"/>
        <v>[JQKLKuVuY61]|15-24|Female|PLHIV_Residents.T_1|CY2024Q3</v>
      </c>
    </row>
    <row r="1266" spans="4:18" x14ac:dyDescent="0.2">
      <c r="D1266" t="s">
        <v>72</v>
      </c>
      <c r="E1266" t="s">
        <v>73</v>
      </c>
      <c r="F1266" t="s">
        <v>74</v>
      </c>
      <c r="G1266" t="s">
        <v>143</v>
      </c>
      <c r="H1266" t="s">
        <v>144</v>
      </c>
      <c r="I1266" t="s">
        <v>41</v>
      </c>
      <c r="J1266" t="s">
        <v>42</v>
      </c>
      <c r="K1266" t="s">
        <v>30</v>
      </c>
      <c r="L1266" t="s">
        <v>31</v>
      </c>
      <c r="M1266" t="s">
        <v>140</v>
      </c>
      <c r="N1266">
        <v>2224</v>
      </c>
      <c r="O1266">
        <v>8.5891969999999998E-2</v>
      </c>
      <c r="P1266">
        <v>7.5229398000000003E-2</v>
      </c>
      <c r="Q1266" t="str">
        <f t="shared" si="38"/>
        <v>25-34</v>
      </c>
      <c r="R1266" t="str">
        <f t="shared" si="39"/>
        <v>[JQKLKuVuY61]|25-34|Female|PLHIV_Residents.T_1|CY2024Q3</v>
      </c>
    </row>
    <row r="1267" spans="4:18" x14ac:dyDescent="0.2">
      <c r="D1267" t="s">
        <v>72</v>
      </c>
      <c r="E1267" t="s">
        <v>73</v>
      </c>
      <c r="F1267" t="s">
        <v>74</v>
      </c>
      <c r="G1267" t="s">
        <v>143</v>
      </c>
      <c r="H1267" t="s">
        <v>144</v>
      </c>
      <c r="I1267" t="s">
        <v>43</v>
      </c>
      <c r="J1267" t="s">
        <v>44</v>
      </c>
      <c r="K1267" t="s">
        <v>30</v>
      </c>
      <c r="L1267" t="s">
        <v>31</v>
      </c>
      <c r="M1267" t="s">
        <v>140</v>
      </c>
      <c r="N1267">
        <v>6117</v>
      </c>
      <c r="O1267">
        <v>7.7025293999999994E-2</v>
      </c>
      <c r="P1267">
        <v>7.5229398000000003E-2</v>
      </c>
      <c r="Q1267" t="str">
        <f t="shared" si="38"/>
        <v>35-49</v>
      </c>
      <c r="R1267" t="str">
        <f t="shared" si="39"/>
        <v>[JQKLKuVuY61]|35-49|Female|PLHIV_Residents.T_1|CY2024Q3</v>
      </c>
    </row>
    <row r="1268" spans="4:18" x14ac:dyDescent="0.2">
      <c r="D1268" t="s">
        <v>72</v>
      </c>
      <c r="E1268" t="s">
        <v>73</v>
      </c>
      <c r="F1268" t="s">
        <v>74</v>
      </c>
      <c r="G1268" t="s">
        <v>143</v>
      </c>
      <c r="H1268" t="s">
        <v>144</v>
      </c>
      <c r="I1268" t="s">
        <v>45</v>
      </c>
      <c r="J1268" t="s">
        <v>46</v>
      </c>
      <c r="K1268" t="s">
        <v>30</v>
      </c>
      <c r="L1268" t="s">
        <v>31</v>
      </c>
      <c r="M1268" t="s">
        <v>140</v>
      </c>
      <c r="N1268">
        <v>2829</v>
      </c>
      <c r="O1268">
        <v>8.5090349999999995E-2</v>
      </c>
      <c r="P1268">
        <v>7.5229398000000003E-2</v>
      </c>
      <c r="Q1268" t="str">
        <f t="shared" si="38"/>
        <v>50+</v>
      </c>
      <c r="R1268" t="str">
        <f t="shared" si="39"/>
        <v>[JQKLKuVuY61]|50+|Female|PLHIV_Residents.T_1|CY2024Q3</v>
      </c>
    </row>
    <row r="1269" spans="4:18" x14ac:dyDescent="0.2">
      <c r="D1269" t="s">
        <v>72</v>
      </c>
      <c r="E1269" t="s">
        <v>73</v>
      </c>
      <c r="F1269" t="s">
        <v>74</v>
      </c>
      <c r="G1269" t="s">
        <v>143</v>
      </c>
      <c r="H1269" t="s">
        <v>144</v>
      </c>
      <c r="I1269" t="s">
        <v>28</v>
      </c>
      <c r="J1269" t="s">
        <v>29</v>
      </c>
      <c r="K1269" t="s">
        <v>48</v>
      </c>
      <c r="L1269" t="s">
        <v>49</v>
      </c>
      <c r="M1269" t="s">
        <v>140</v>
      </c>
      <c r="N1269">
        <v>11</v>
      </c>
      <c r="O1269">
        <v>7.6873959000000006E-2</v>
      </c>
      <c r="P1269">
        <v>7.5229398000000003E-2</v>
      </c>
      <c r="Q1269" t="str">
        <f t="shared" si="38"/>
        <v>&lt;01</v>
      </c>
      <c r="R1269" t="str">
        <f t="shared" si="39"/>
        <v>[JQKLKuVuY61]|&lt;01|Male|PLHIV_Residents.T_1|CY2024Q3</v>
      </c>
    </row>
    <row r="1270" spans="4:18" x14ac:dyDescent="0.2">
      <c r="D1270" t="s">
        <v>72</v>
      </c>
      <c r="E1270" t="s">
        <v>73</v>
      </c>
      <c r="F1270" t="s">
        <v>74</v>
      </c>
      <c r="G1270" t="s">
        <v>143</v>
      </c>
      <c r="H1270" t="s">
        <v>144</v>
      </c>
      <c r="I1270" t="s">
        <v>33</v>
      </c>
      <c r="J1270" t="s">
        <v>34</v>
      </c>
      <c r="K1270" t="s">
        <v>48</v>
      </c>
      <c r="L1270" t="s">
        <v>49</v>
      </c>
      <c r="M1270" t="s">
        <v>140</v>
      </c>
      <c r="N1270">
        <v>213</v>
      </c>
      <c r="O1270">
        <v>7.9746091000000005E-2</v>
      </c>
      <c r="P1270">
        <v>7.5229398000000003E-2</v>
      </c>
      <c r="Q1270" t="str">
        <f t="shared" si="38"/>
        <v>01-09</v>
      </c>
      <c r="R1270" t="str">
        <f t="shared" si="39"/>
        <v>[JQKLKuVuY61]|01-09|Male|PLHIV_Residents.T_1|CY2024Q3</v>
      </c>
    </row>
    <row r="1271" spans="4:18" x14ac:dyDescent="0.2">
      <c r="D1271" t="s">
        <v>72</v>
      </c>
      <c r="E1271" t="s">
        <v>73</v>
      </c>
      <c r="F1271" t="s">
        <v>74</v>
      </c>
      <c r="G1271" t="s">
        <v>143</v>
      </c>
      <c r="H1271" t="s">
        <v>144</v>
      </c>
      <c r="I1271" t="s">
        <v>36</v>
      </c>
      <c r="J1271" t="s">
        <v>37</v>
      </c>
      <c r="K1271" t="s">
        <v>48</v>
      </c>
      <c r="L1271" t="s">
        <v>49</v>
      </c>
      <c r="M1271" t="s">
        <v>140</v>
      </c>
      <c r="N1271">
        <v>278</v>
      </c>
      <c r="O1271">
        <v>8.3702524E-2</v>
      </c>
      <c r="P1271">
        <v>7.5229398000000003E-2</v>
      </c>
      <c r="Q1271" t="str">
        <f t="shared" si="38"/>
        <v>10-14</v>
      </c>
      <c r="R1271" t="str">
        <f t="shared" si="39"/>
        <v>[JQKLKuVuY61]|10-14|Male|PLHIV_Residents.T_1|CY2024Q3</v>
      </c>
    </row>
    <row r="1272" spans="4:18" x14ac:dyDescent="0.2">
      <c r="D1272" t="s">
        <v>72</v>
      </c>
      <c r="E1272" t="s">
        <v>73</v>
      </c>
      <c r="F1272" t="s">
        <v>74</v>
      </c>
      <c r="G1272" t="s">
        <v>143</v>
      </c>
      <c r="H1272" t="s">
        <v>144</v>
      </c>
      <c r="I1272" t="s">
        <v>38</v>
      </c>
      <c r="J1272" t="s">
        <v>39</v>
      </c>
      <c r="K1272" t="s">
        <v>48</v>
      </c>
      <c r="L1272" t="s">
        <v>49</v>
      </c>
      <c r="M1272" t="s">
        <v>140</v>
      </c>
      <c r="N1272">
        <v>673</v>
      </c>
      <c r="O1272">
        <v>0.10193726</v>
      </c>
      <c r="P1272">
        <v>7.5229398000000003E-2</v>
      </c>
      <c r="Q1272" t="str">
        <f t="shared" si="38"/>
        <v>15-24</v>
      </c>
      <c r="R1272" t="str">
        <f t="shared" si="39"/>
        <v>[JQKLKuVuY61]|15-24|Male|PLHIV_Residents.T_1|CY2024Q3</v>
      </c>
    </row>
    <row r="1273" spans="4:18" x14ac:dyDescent="0.2">
      <c r="D1273" t="s">
        <v>72</v>
      </c>
      <c r="E1273" t="s">
        <v>73</v>
      </c>
      <c r="F1273" t="s">
        <v>74</v>
      </c>
      <c r="G1273" t="s">
        <v>143</v>
      </c>
      <c r="H1273" t="s">
        <v>144</v>
      </c>
      <c r="I1273" t="s">
        <v>41</v>
      </c>
      <c r="J1273" t="s">
        <v>42</v>
      </c>
      <c r="K1273" t="s">
        <v>48</v>
      </c>
      <c r="L1273" t="s">
        <v>49</v>
      </c>
      <c r="M1273" t="s">
        <v>140</v>
      </c>
      <c r="N1273">
        <v>856</v>
      </c>
      <c r="O1273">
        <v>0.105672232</v>
      </c>
      <c r="P1273">
        <v>7.5229398000000003E-2</v>
      </c>
      <c r="Q1273" t="str">
        <f t="shared" si="38"/>
        <v>25-34</v>
      </c>
      <c r="R1273" t="str">
        <f t="shared" si="39"/>
        <v>[JQKLKuVuY61]|25-34|Male|PLHIV_Residents.T_1|CY2024Q3</v>
      </c>
    </row>
    <row r="1274" spans="4:18" x14ac:dyDescent="0.2">
      <c r="D1274" t="s">
        <v>72</v>
      </c>
      <c r="E1274" t="s">
        <v>73</v>
      </c>
      <c r="F1274" t="s">
        <v>74</v>
      </c>
      <c r="G1274" t="s">
        <v>143</v>
      </c>
      <c r="H1274" t="s">
        <v>144</v>
      </c>
      <c r="I1274" t="s">
        <v>43</v>
      </c>
      <c r="J1274" t="s">
        <v>44</v>
      </c>
      <c r="K1274" t="s">
        <v>48</v>
      </c>
      <c r="L1274" t="s">
        <v>49</v>
      </c>
      <c r="M1274" t="s">
        <v>140</v>
      </c>
      <c r="N1274">
        <v>3486</v>
      </c>
      <c r="O1274">
        <v>8.1262656000000003E-2</v>
      </c>
      <c r="P1274">
        <v>7.5229398000000003E-2</v>
      </c>
      <c r="Q1274" t="str">
        <f t="shared" si="38"/>
        <v>35-49</v>
      </c>
      <c r="R1274" t="str">
        <f t="shared" si="39"/>
        <v>[JQKLKuVuY61]|35-49|Male|PLHIV_Residents.T_1|CY2024Q3</v>
      </c>
    </row>
    <row r="1275" spans="4:18" x14ac:dyDescent="0.2">
      <c r="D1275" t="s">
        <v>72</v>
      </c>
      <c r="E1275" t="s">
        <v>73</v>
      </c>
      <c r="F1275" t="s">
        <v>74</v>
      </c>
      <c r="G1275" t="s">
        <v>143</v>
      </c>
      <c r="H1275" t="s">
        <v>144</v>
      </c>
      <c r="I1275" t="s">
        <v>45</v>
      </c>
      <c r="J1275" t="s">
        <v>46</v>
      </c>
      <c r="K1275" t="s">
        <v>48</v>
      </c>
      <c r="L1275" t="s">
        <v>49</v>
      </c>
      <c r="M1275" t="s">
        <v>140</v>
      </c>
      <c r="N1275">
        <v>2710</v>
      </c>
      <c r="O1275">
        <v>8.3018911000000001E-2</v>
      </c>
      <c r="P1275">
        <v>7.5229398000000003E-2</v>
      </c>
      <c r="Q1275" t="str">
        <f t="shared" si="38"/>
        <v>50+</v>
      </c>
      <c r="R1275" t="str">
        <f t="shared" si="39"/>
        <v>[JQKLKuVuY61]|50+|Male|PLHIV_Residents.T_1|CY2024Q3</v>
      </c>
    </row>
    <row r="1276" spans="4:18" x14ac:dyDescent="0.2">
      <c r="D1276" t="s">
        <v>75</v>
      </c>
      <c r="E1276" t="s">
        <v>76</v>
      </c>
      <c r="F1276" t="s">
        <v>77</v>
      </c>
      <c r="G1276" t="s">
        <v>143</v>
      </c>
      <c r="H1276" t="s">
        <v>144</v>
      </c>
      <c r="I1276" t="s">
        <v>28</v>
      </c>
      <c r="J1276" t="s">
        <v>29</v>
      </c>
      <c r="K1276" t="s">
        <v>30</v>
      </c>
      <c r="L1276" t="s">
        <v>31</v>
      </c>
      <c r="M1276" t="s">
        <v>140</v>
      </c>
      <c r="N1276">
        <v>8</v>
      </c>
      <c r="O1276">
        <v>8.6035834000000005E-2</v>
      </c>
      <c r="P1276">
        <v>8.2189696000000007E-2</v>
      </c>
      <c r="Q1276" t="str">
        <f t="shared" si="38"/>
        <v>&lt;01</v>
      </c>
      <c r="R1276" t="str">
        <f t="shared" si="39"/>
        <v>[YCKiBAp8QAg]|&lt;01|Female|PLHIV_Residents.T_1|CY2024Q3</v>
      </c>
    </row>
    <row r="1277" spans="4:18" x14ac:dyDescent="0.2">
      <c r="D1277" t="s">
        <v>75</v>
      </c>
      <c r="E1277" t="s">
        <v>76</v>
      </c>
      <c r="F1277" t="s">
        <v>77</v>
      </c>
      <c r="G1277" t="s">
        <v>143</v>
      </c>
      <c r="H1277" t="s">
        <v>144</v>
      </c>
      <c r="I1277" t="s">
        <v>33</v>
      </c>
      <c r="J1277" t="s">
        <v>34</v>
      </c>
      <c r="K1277" t="s">
        <v>30</v>
      </c>
      <c r="L1277" t="s">
        <v>31</v>
      </c>
      <c r="M1277" t="s">
        <v>140</v>
      </c>
      <c r="N1277">
        <v>150</v>
      </c>
      <c r="O1277">
        <v>8.9926860999999997E-2</v>
      </c>
      <c r="P1277">
        <v>8.2189696000000007E-2</v>
      </c>
      <c r="Q1277" t="str">
        <f t="shared" si="38"/>
        <v>01-09</v>
      </c>
      <c r="R1277" t="str">
        <f t="shared" si="39"/>
        <v>[YCKiBAp8QAg]|01-09|Female|PLHIV_Residents.T_1|CY2024Q3</v>
      </c>
    </row>
    <row r="1278" spans="4:18" x14ac:dyDescent="0.2">
      <c r="D1278" t="s">
        <v>75</v>
      </c>
      <c r="E1278" t="s">
        <v>76</v>
      </c>
      <c r="F1278" t="s">
        <v>77</v>
      </c>
      <c r="G1278" t="s">
        <v>143</v>
      </c>
      <c r="H1278" t="s">
        <v>144</v>
      </c>
      <c r="I1278" t="s">
        <v>36</v>
      </c>
      <c r="J1278" t="s">
        <v>37</v>
      </c>
      <c r="K1278" t="s">
        <v>30</v>
      </c>
      <c r="L1278" t="s">
        <v>31</v>
      </c>
      <c r="M1278" t="s">
        <v>140</v>
      </c>
      <c r="N1278">
        <v>191</v>
      </c>
      <c r="O1278">
        <v>9.5072456E-2</v>
      </c>
      <c r="P1278">
        <v>8.2189696000000007E-2</v>
      </c>
      <c r="Q1278" t="str">
        <f t="shared" si="38"/>
        <v>10-14</v>
      </c>
      <c r="R1278" t="str">
        <f t="shared" si="39"/>
        <v>[YCKiBAp8QAg]|10-14|Female|PLHIV_Residents.T_1|CY2024Q3</v>
      </c>
    </row>
    <row r="1279" spans="4:18" x14ac:dyDescent="0.2">
      <c r="D1279" t="s">
        <v>75</v>
      </c>
      <c r="E1279" t="s">
        <v>76</v>
      </c>
      <c r="F1279" t="s">
        <v>77</v>
      </c>
      <c r="G1279" t="s">
        <v>143</v>
      </c>
      <c r="H1279" t="s">
        <v>144</v>
      </c>
      <c r="I1279" t="s">
        <v>38</v>
      </c>
      <c r="J1279" t="s">
        <v>39</v>
      </c>
      <c r="K1279" t="s">
        <v>30</v>
      </c>
      <c r="L1279" t="s">
        <v>31</v>
      </c>
      <c r="M1279" t="s">
        <v>140</v>
      </c>
      <c r="N1279">
        <v>652</v>
      </c>
      <c r="O1279">
        <v>0.107290937</v>
      </c>
      <c r="P1279">
        <v>8.2189696000000007E-2</v>
      </c>
      <c r="Q1279" t="str">
        <f t="shared" si="38"/>
        <v>15-24</v>
      </c>
      <c r="R1279" t="str">
        <f t="shared" si="39"/>
        <v>[YCKiBAp8QAg]|15-24|Female|PLHIV_Residents.T_1|CY2024Q3</v>
      </c>
    </row>
    <row r="1280" spans="4:18" x14ac:dyDescent="0.2">
      <c r="D1280" t="s">
        <v>75</v>
      </c>
      <c r="E1280" t="s">
        <v>76</v>
      </c>
      <c r="F1280" t="s">
        <v>77</v>
      </c>
      <c r="G1280" t="s">
        <v>143</v>
      </c>
      <c r="H1280" t="s">
        <v>144</v>
      </c>
      <c r="I1280" t="s">
        <v>41</v>
      </c>
      <c r="J1280" t="s">
        <v>42</v>
      </c>
      <c r="K1280" t="s">
        <v>30</v>
      </c>
      <c r="L1280" t="s">
        <v>31</v>
      </c>
      <c r="M1280" t="s">
        <v>140</v>
      </c>
      <c r="N1280">
        <v>1575</v>
      </c>
      <c r="O1280">
        <v>9.4164139999999993E-2</v>
      </c>
      <c r="P1280">
        <v>8.2189696000000007E-2</v>
      </c>
      <c r="Q1280" t="str">
        <f t="shared" si="38"/>
        <v>25-34</v>
      </c>
      <c r="R1280" t="str">
        <f t="shared" si="39"/>
        <v>[YCKiBAp8QAg]|25-34|Female|PLHIV_Residents.T_1|CY2024Q3</v>
      </c>
    </row>
    <row r="1281" spans="4:18" x14ac:dyDescent="0.2">
      <c r="D1281" t="s">
        <v>75</v>
      </c>
      <c r="E1281" t="s">
        <v>76</v>
      </c>
      <c r="F1281" t="s">
        <v>77</v>
      </c>
      <c r="G1281" t="s">
        <v>143</v>
      </c>
      <c r="H1281" t="s">
        <v>144</v>
      </c>
      <c r="I1281" t="s">
        <v>43</v>
      </c>
      <c r="J1281" t="s">
        <v>44</v>
      </c>
      <c r="K1281" t="s">
        <v>30</v>
      </c>
      <c r="L1281" t="s">
        <v>31</v>
      </c>
      <c r="M1281" t="s">
        <v>140</v>
      </c>
      <c r="N1281">
        <v>4069</v>
      </c>
      <c r="O1281">
        <v>8.3044271000000003E-2</v>
      </c>
      <c r="P1281">
        <v>8.2189696000000007E-2</v>
      </c>
      <c r="Q1281" t="str">
        <f t="shared" si="38"/>
        <v>35-49</v>
      </c>
      <c r="R1281" t="str">
        <f t="shared" si="39"/>
        <v>[YCKiBAp8QAg]|35-49|Female|PLHIV_Residents.T_1|CY2024Q3</v>
      </c>
    </row>
    <row r="1282" spans="4:18" x14ac:dyDescent="0.2">
      <c r="D1282" t="s">
        <v>75</v>
      </c>
      <c r="E1282" t="s">
        <v>76</v>
      </c>
      <c r="F1282" t="s">
        <v>77</v>
      </c>
      <c r="G1282" t="s">
        <v>143</v>
      </c>
      <c r="H1282" t="s">
        <v>144</v>
      </c>
      <c r="I1282" t="s">
        <v>45</v>
      </c>
      <c r="J1282" t="s">
        <v>46</v>
      </c>
      <c r="K1282" t="s">
        <v>30</v>
      </c>
      <c r="L1282" t="s">
        <v>31</v>
      </c>
      <c r="M1282" t="s">
        <v>140</v>
      </c>
      <c r="N1282">
        <v>1797</v>
      </c>
      <c r="O1282">
        <v>8.7921748999999993E-2</v>
      </c>
      <c r="P1282">
        <v>8.2189696000000007E-2</v>
      </c>
      <c r="Q1282" t="str">
        <f t="shared" si="38"/>
        <v>50+</v>
      </c>
      <c r="R1282" t="str">
        <f t="shared" si="39"/>
        <v>[YCKiBAp8QAg]|50+|Female|PLHIV_Residents.T_1|CY2024Q3</v>
      </c>
    </row>
    <row r="1283" spans="4:18" x14ac:dyDescent="0.2">
      <c r="D1283" t="s">
        <v>75</v>
      </c>
      <c r="E1283" t="s">
        <v>76</v>
      </c>
      <c r="F1283" t="s">
        <v>77</v>
      </c>
      <c r="G1283" t="s">
        <v>143</v>
      </c>
      <c r="H1283" t="s">
        <v>144</v>
      </c>
      <c r="I1283" t="s">
        <v>28</v>
      </c>
      <c r="J1283" t="s">
        <v>29</v>
      </c>
      <c r="K1283" t="s">
        <v>48</v>
      </c>
      <c r="L1283" t="s">
        <v>49</v>
      </c>
      <c r="M1283" t="s">
        <v>140</v>
      </c>
      <c r="N1283">
        <v>8</v>
      </c>
      <c r="O1283">
        <v>8.6031242999999993E-2</v>
      </c>
      <c r="P1283">
        <v>8.2189696000000007E-2</v>
      </c>
      <c r="Q1283" t="str">
        <f t="shared" ref="Q1283:Q1346" si="40">SUBSTITUTE(SUBSTITUTE($I1283,CHAR(61),""),CHAR(34),"")</f>
        <v>&lt;01</v>
      </c>
      <c r="R1283" t="str">
        <f t="shared" ref="R1283:R1346" si="41">IF($D1283&lt;&gt;"","["&amp;$E1283&amp;"]"&amp;"|"&amp;$Q1283&amp;"|"&amp;$K1283&amp;"|"&amp;$G1283&amp;"|"&amp;IF($G1283="TX_CURR_SUBNAT.R","CY2023Q4",$M1283),"")</f>
        <v>[YCKiBAp8QAg]|&lt;01|Male|PLHIV_Residents.T_1|CY2024Q3</v>
      </c>
    </row>
    <row r="1284" spans="4:18" x14ac:dyDescent="0.2">
      <c r="D1284" t="s">
        <v>75</v>
      </c>
      <c r="E1284" t="s">
        <v>76</v>
      </c>
      <c r="F1284" t="s">
        <v>77</v>
      </c>
      <c r="G1284" t="s">
        <v>143</v>
      </c>
      <c r="H1284" t="s">
        <v>144</v>
      </c>
      <c r="I1284" t="s">
        <v>33</v>
      </c>
      <c r="J1284" t="s">
        <v>34</v>
      </c>
      <c r="K1284" t="s">
        <v>48</v>
      </c>
      <c r="L1284" t="s">
        <v>49</v>
      </c>
      <c r="M1284" t="s">
        <v>140</v>
      </c>
      <c r="N1284">
        <v>151</v>
      </c>
      <c r="O1284">
        <v>8.9922160000000001E-2</v>
      </c>
      <c r="P1284">
        <v>8.2189696000000007E-2</v>
      </c>
      <c r="Q1284" t="str">
        <f t="shared" si="40"/>
        <v>01-09</v>
      </c>
      <c r="R1284" t="str">
        <f t="shared" si="41"/>
        <v>[YCKiBAp8QAg]|01-09|Male|PLHIV_Residents.T_1|CY2024Q3</v>
      </c>
    </row>
    <row r="1285" spans="4:18" x14ac:dyDescent="0.2">
      <c r="D1285" t="s">
        <v>75</v>
      </c>
      <c r="E1285" t="s">
        <v>76</v>
      </c>
      <c r="F1285" t="s">
        <v>77</v>
      </c>
      <c r="G1285" t="s">
        <v>143</v>
      </c>
      <c r="H1285" t="s">
        <v>144</v>
      </c>
      <c r="I1285" t="s">
        <v>36</v>
      </c>
      <c r="J1285" t="s">
        <v>37</v>
      </c>
      <c r="K1285" t="s">
        <v>48</v>
      </c>
      <c r="L1285" t="s">
        <v>49</v>
      </c>
      <c r="M1285" t="s">
        <v>140</v>
      </c>
      <c r="N1285">
        <v>190</v>
      </c>
      <c r="O1285">
        <v>9.5072035999999999E-2</v>
      </c>
      <c r="P1285">
        <v>8.2189696000000007E-2</v>
      </c>
      <c r="Q1285" t="str">
        <f t="shared" si="40"/>
        <v>10-14</v>
      </c>
      <c r="R1285" t="str">
        <f t="shared" si="41"/>
        <v>[YCKiBAp8QAg]|10-14|Male|PLHIV_Residents.T_1|CY2024Q3</v>
      </c>
    </row>
    <row r="1286" spans="4:18" x14ac:dyDescent="0.2">
      <c r="D1286" t="s">
        <v>75</v>
      </c>
      <c r="E1286" t="s">
        <v>76</v>
      </c>
      <c r="F1286" t="s">
        <v>77</v>
      </c>
      <c r="G1286" t="s">
        <v>143</v>
      </c>
      <c r="H1286" t="s">
        <v>144</v>
      </c>
      <c r="I1286" t="s">
        <v>38</v>
      </c>
      <c r="J1286" t="s">
        <v>39</v>
      </c>
      <c r="K1286" t="s">
        <v>48</v>
      </c>
      <c r="L1286" t="s">
        <v>49</v>
      </c>
      <c r="M1286" t="s">
        <v>140</v>
      </c>
      <c r="N1286">
        <v>482</v>
      </c>
      <c r="O1286">
        <v>0.11215628800000001</v>
      </c>
      <c r="P1286">
        <v>8.2189696000000007E-2</v>
      </c>
      <c r="Q1286" t="str">
        <f t="shared" si="40"/>
        <v>15-24</v>
      </c>
      <c r="R1286" t="str">
        <f t="shared" si="41"/>
        <v>[YCKiBAp8QAg]|15-24|Male|PLHIV_Residents.T_1|CY2024Q3</v>
      </c>
    </row>
    <row r="1287" spans="4:18" x14ac:dyDescent="0.2">
      <c r="D1287" t="s">
        <v>75</v>
      </c>
      <c r="E1287" t="s">
        <v>76</v>
      </c>
      <c r="F1287" t="s">
        <v>77</v>
      </c>
      <c r="G1287" t="s">
        <v>143</v>
      </c>
      <c r="H1287" t="s">
        <v>144</v>
      </c>
      <c r="I1287" t="s">
        <v>41</v>
      </c>
      <c r="J1287" t="s">
        <v>42</v>
      </c>
      <c r="K1287" t="s">
        <v>48</v>
      </c>
      <c r="L1287" t="s">
        <v>49</v>
      </c>
      <c r="M1287" t="s">
        <v>140</v>
      </c>
      <c r="N1287">
        <v>609</v>
      </c>
      <c r="O1287">
        <v>0.110214828</v>
      </c>
      <c r="P1287">
        <v>8.2189696000000007E-2</v>
      </c>
      <c r="Q1287" t="str">
        <f t="shared" si="40"/>
        <v>25-34</v>
      </c>
      <c r="R1287" t="str">
        <f t="shared" si="41"/>
        <v>[YCKiBAp8QAg]|25-34|Male|PLHIV_Residents.T_1|CY2024Q3</v>
      </c>
    </row>
    <row r="1288" spans="4:18" x14ac:dyDescent="0.2">
      <c r="D1288" t="s">
        <v>75</v>
      </c>
      <c r="E1288" t="s">
        <v>76</v>
      </c>
      <c r="F1288" t="s">
        <v>77</v>
      </c>
      <c r="G1288" t="s">
        <v>143</v>
      </c>
      <c r="H1288" t="s">
        <v>144</v>
      </c>
      <c r="I1288" t="s">
        <v>43</v>
      </c>
      <c r="J1288" t="s">
        <v>44</v>
      </c>
      <c r="K1288" t="s">
        <v>48</v>
      </c>
      <c r="L1288" t="s">
        <v>49</v>
      </c>
      <c r="M1288" t="s">
        <v>140</v>
      </c>
      <c r="N1288">
        <v>2358</v>
      </c>
      <c r="O1288">
        <v>8.8691130000000007E-2</v>
      </c>
      <c r="P1288">
        <v>8.2189696000000007E-2</v>
      </c>
      <c r="Q1288" t="str">
        <f t="shared" si="40"/>
        <v>35-49</v>
      </c>
      <c r="R1288" t="str">
        <f t="shared" si="41"/>
        <v>[YCKiBAp8QAg]|35-49|Male|PLHIV_Residents.T_1|CY2024Q3</v>
      </c>
    </row>
    <row r="1289" spans="4:18" x14ac:dyDescent="0.2">
      <c r="D1289" t="s">
        <v>75</v>
      </c>
      <c r="E1289" t="s">
        <v>76</v>
      </c>
      <c r="F1289" t="s">
        <v>77</v>
      </c>
      <c r="G1289" t="s">
        <v>143</v>
      </c>
      <c r="H1289" t="s">
        <v>144</v>
      </c>
      <c r="I1289" t="s">
        <v>45</v>
      </c>
      <c r="J1289" t="s">
        <v>46</v>
      </c>
      <c r="K1289" t="s">
        <v>48</v>
      </c>
      <c r="L1289" t="s">
        <v>49</v>
      </c>
      <c r="M1289" t="s">
        <v>140</v>
      </c>
      <c r="N1289">
        <v>1816</v>
      </c>
      <c r="O1289">
        <v>8.5761155000000006E-2</v>
      </c>
      <c r="P1289">
        <v>8.2189696000000007E-2</v>
      </c>
      <c r="Q1289" t="str">
        <f t="shared" si="40"/>
        <v>50+</v>
      </c>
      <c r="R1289" t="str">
        <f t="shared" si="41"/>
        <v>[YCKiBAp8QAg]|50+|Male|PLHIV_Residents.T_1|CY2024Q3</v>
      </c>
    </row>
    <row r="1290" spans="4:18" x14ac:dyDescent="0.2">
      <c r="D1290" t="s">
        <v>78</v>
      </c>
      <c r="E1290" t="s">
        <v>79</v>
      </c>
      <c r="F1290" t="s">
        <v>80</v>
      </c>
      <c r="G1290" t="s">
        <v>143</v>
      </c>
      <c r="H1290" t="s">
        <v>144</v>
      </c>
      <c r="I1290" t="s">
        <v>28</v>
      </c>
      <c r="J1290" t="s">
        <v>29</v>
      </c>
      <c r="K1290" t="s">
        <v>30</v>
      </c>
      <c r="L1290" t="s">
        <v>31</v>
      </c>
      <c r="M1290" t="s">
        <v>140</v>
      </c>
      <c r="N1290">
        <v>3</v>
      </c>
      <c r="O1290">
        <v>0.101951482</v>
      </c>
      <c r="P1290">
        <v>9.8046408000000002E-2</v>
      </c>
      <c r="Q1290" t="str">
        <f t="shared" si="40"/>
        <v>&lt;01</v>
      </c>
      <c r="R1290" t="str">
        <f t="shared" si="41"/>
        <v>[fiRkU6gEjLz]|&lt;01|Female|PLHIV_Residents.T_1|CY2024Q3</v>
      </c>
    </row>
    <row r="1291" spans="4:18" x14ac:dyDescent="0.2">
      <c r="D1291" t="s">
        <v>78</v>
      </c>
      <c r="E1291" t="s">
        <v>79</v>
      </c>
      <c r="F1291" t="s">
        <v>80</v>
      </c>
      <c r="G1291" t="s">
        <v>143</v>
      </c>
      <c r="H1291" t="s">
        <v>144</v>
      </c>
      <c r="I1291" t="s">
        <v>33</v>
      </c>
      <c r="J1291" t="s">
        <v>34</v>
      </c>
      <c r="K1291" t="s">
        <v>30</v>
      </c>
      <c r="L1291" t="s">
        <v>31</v>
      </c>
      <c r="M1291" t="s">
        <v>140</v>
      </c>
      <c r="N1291">
        <v>52</v>
      </c>
      <c r="O1291">
        <v>0.106638161</v>
      </c>
      <c r="P1291">
        <v>9.8046408000000002E-2</v>
      </c>
      <c r="Q1291" t="str">
        <f t="shared" si="40"/>
        <v>01-09</v>
      </c>
      <c r="R1291" t="str">
        <f t="shared" si="41"/>
        <v>[fiRkU6gEjLz]|01-09|Female|PLHIV_Residents.T_1|CY2024Q3</v>
      </c>
    </row>
    <row r="1292" spans="4:18" x14ac:dyDescent="0.2">
      <c r="D1292" t="s">
        <v>78</v>
      </c>
      <c r="E1292" t="s">
        <v>79</v>
      </c>
      <c r="F1292" t="s">
        <v>80</v>
      </c>
      <c r="G1292" t="s">
        <v>143</v>
      </c>
      <c r="H1292" t="s">
        <v>144</v>
      </c>
      <c r="I1292" t="s">
        <v>36</v>
      </c>
      <c r="J1292" t="s">
        <v>37</v>
      </c>
      <c r="K1292" t="s">
        <v>30</v>
      </c>
      <c r="L1292" t="s">
        <v>31</v>
      </c>
      <c r="M1292" t="s">
        <v>140</v>
      </c>
      <c r="N1292">
        <v>66</v>
      </c>
      <c r="O1292">
        <v>0.11291064200000001</v>
      </c>
      <c r="P1292">
        <v>9.8046408000000002E-2</v>
      </c>
      <c r="Q1292" t="str">
        <f t="shared" si="40"/>
        <v>10-14</v>
      </c>
      <c r="R1292" t="str">
        <f t="shared" si="41"/>
        <v>[fiRkU6gEjLz]|10-14|Female|PLHIV_Residents.T_1|CY2024Q3</v>
      </c>
    </row>
    <row r="1293" spans="4:18" x14ac:dyDescent="0.2">
      <c r="D1293" t="s">
        <v>78</v>
      </c>
      <c r="E1293" t="s">
        <v>79</v>
      </c>
      <c r="F1293" t="s">
        <v>80</v>
      </c>
      <c r="G1293" t="s">
        <v>143</v>
      </c>
      <c r="H1293" t="s">
        <v>144</v>
      </c>
      <c r="I1293" t="s">
        <v>38</v>
      </c>
      <c r="J1293" t="s">
        <v>39</v>
      </c>
      <c r="K1293" t="s">
        <v>30</v>
      </c>
      <c r="L1293" t="s">
        <v>31</v>
      </c>
      <c r="M1293" t="s">
        <v>140</v>
      </c>
      <c r="N1293">
        <v>225</v>
      </c>
      <c r="O1293">
        <v>0.116324335</v>
      </c>
      <c r="P1293">
        <v>9.8046408000000002E-2</v>
      </c>
      <c r="Q1293" t="str">
        <f t="shared" si="40"/>
        <v>15-24</v>
      </c>
      <c r="R1293" t="str">
        <f t="shared" si="41"/>
        <v>[fiRkU6gEjLz]|15-24|Female|PLHIV_Residents.T_1|CY2024Q3</v>
      </c>
    </row>
    <row r="1294" spans="4:18" x14ac:dyDescent="0.2">
      <c r="D1294" t="s">
        <v>78</v>
      </c>
      <c r="E1294" t="s">
        <v>79</v>
      </c>
      <c r="F1294" t="s">
        <v>80</v>
      </c>
      <c r="G1294" t="s">
        <v>143</v>
      </c>
      <c r="H1294" t="s">
        <v>144</v>
      </c>
      <c r="I1294" t="s">
        <v>41</v>
      </c>
      <c r="J1294" t="s">
        <v>42</v>
      </c>
      <c r="K1294" t="s">
        <v>30</v>
      </c>
      <c r="L1294" t="s">
        <v>31</v>
      </c>
      <c r="M1294" t="s">
        <v>140</v>
      </c>
      <c r="N1294">
        <v>555</v>
      </c>
      <c r="O1294">
        <v>0.10911125300000001</v>
      </c>
      <c r="P1294">
        <v>9.8046408000000002E-2</v>
      </c>
      <c r="Q1294" t="str">
        <f t="shared" si="40"/>
        <v>25-34</v>
      </c>
      <c r="R1294" t="str">
        <f t="shared" si="41"/>
        <v>[fiRkU6gEjLz]|25-34|Female|PLHIV_Residents.T_1|CY2024Q3</v>
      </c>
    </row>
    <row r="1295" spans="4:18" x14ac:dyDescent="0.2">
      <c r="D1295" t="s">
        <v>78</v>
      </c>
      <c r="E1295" t="s">
        <v>79</v>
      </c>
      <c r="F1295" t="s">
        <v>80</v>
      </c>
      <c r="G1295" t="s">
        <v>143</v>
      </c>
      <c r="H1295" t="s">
        <v>144</v>
      </c>
      <c r="I1295" t="s">
        <v>43</v>
      </c>
      <c r="J1295" t="s">
        <v>44</v>
      </c>
      <c r="K1295" t="s">
        <v>30</v>
      </c>
      <c r="L1295" t="s">
        <v>31</v>
      </c>
      <c r="M1295" t="s">
        <v>140</v>
      </c>
      <c r="N1295">
        <v>1532</v>
      </c>
      <c r="O1295">
        <v>9.9354283000000002E-2</v>
      </c>
      <c r="P1295">
        <v>9.8046408000000002E-2</v>
      </c>
      <c r="Q1295" t="str">
        <f t="shared" si="40"/>
        <v>35-49</v>
      </c>
      <c r="R1295" t="str">
        <f t="shared" si="41"/>
        <v>[fiRkU6gEjLz]|35-49|Female|PLHIV_Residents.T_1|CY2024Q3</v>
      </c>
    </row>
    <row r="1296" spans="4:18" x14ac:dyDescent="0.2">
      <c r="D1296" t="s">
        <v>78</v>
      </c>
      <c r="E1296" t="s">
        <v>79</v>
      </c>
      <c r="F1296" t="s">
        <v>80</v>
      </c>
      <c r="G1296" t="s">
        <v>143</v>
      </c>
      <c r="H1296" t="s">
        <v>144</v>
      </c>
      <c r="I1296" t="s">
        <v>45</v>
      </c>
      <c r="J1296" t="s">
        <v>46</v>
      </c>
      <c r="K1296" t="s">
        <v>30</v>
      </c>
      <c r="L1296" t="s">
        <v>31</v>
      </c>
      <c r="M1296" t="s">
        <v>140</v>
      </c>
      <c r="N1296">
        <v>744</v>
      </c>
      <c r="O1296">
        <v>0.106279412</v>
      </c>
      <c r="P1296">
        <v>9.8046408000000002E-2</v>
      </c>
      <c r="Q1296" t="str">
        <f t="shared" si="40"/>
        <v>50+</v>
      </c>
      <c r="R1296" t="str">
        <f t="shared" si="41"/>
        <v>[fiRkU6gEjLz]|50+|Female|PLHIV_Residents.T_1|CY2024Q3</v>
      </c>
    </row>
    <row r="1297" spans="4:18" x14ac:dyDescent="0.2">
      <c r="D1297" t="s">
        <v>78</v>
      </c>
      <c r="E1297" t="s">
        <v>79</v>
      </c>
      <c r="F1297" t="s">
        <v>80</v>
      </c>
      <c r="G1297" t="s">
        <v>143</v>
      </c>
      <c r="H1297" t="s">
        <v>144</v>
      </c>
      <c r="I1297" t="s">
        <v>28</v>
      </c>
      <c r="J1297" t="s">
        <v>29</v>
      </c>
      <c r="K1297" t="s">
        <v>48</v>
      </c>
      <c r="L1297" t="s">
        <v>49</v>
      </c>
      <c r="M1297" t="s">
        <v>140</v>
      </c>
      <c r="N1297">
        <v>3</v>
      </c>
      <c r="O1297">
        <v>0.10193263399999999</v>
      </c>
      <c r="P1297">
        <v>9.8046408000000002E-2</v>
      </c>
      <c r="Q1297" t="str">
        <f t="shared" si="40"/>
        <v>&lt;01</v>
      </c>
      <c r="R1297" t="str">
        <f t="shared" si="41"/>
        <v>[fiRkU6gEjLz]|&lt;01|Male|PLHIV_Residents.T_1|CY2024Q3</v>
      </c>
    </row>
    <row r="1298" spans="4:18" x14ac:dyDescent="0.2">
      <c r="D1298" t="s">
        <v>78</v>
      </c>
      <c r="E1298" t="s">
        <v>79</v>
      </c>
      <c r="F1298" t="s">
        <v>80</v>
      </c>
      <c r="G1298" t="s">
        <v>143</v>
      </c>
      <c r="H1298" t="s">
        <v>144</v>
      </c>
      <c r="I1298" t="s">
        <v>33</v>
      </c>
      <c r="J1298" t="s">
        <v>34</v>
      </c>
      <c r="K1298" t="s">
        <v>48</v>
      </c>
      <c r="L1298" t="s">
        <v>49</v>
      </c>
      <c r="M1298" t="s">
        <v>140</v>
      </c>
      <c r="N1298">
        <v>52</v>
      </c>
      <c r="O1298">
        <v>0.10662430000000001</v>
      </c>
      <c r="P1298">
        <v>9.8046408000000002E-2</v>
      </c>
      <c r="Q1298" t="str">
        <f t="shared" si="40"/>
        <v>01-09</v>
      </c>
      <c r="R1298" t="str">
        <f t="shared" si="41"/>
        <v>[fiRkU6gEjLz]|01-09|Male|PLHIV_Residents.T_1|CY2024Q3</v>
      </c>
    </row>
    <row r="1299" spans="4:18" x14ac:dyDescent="0.2">
      <c r="D1299" t="s">
        <v>78</v>
      </c>
      <c r="E1299" t="s">
        <v>79</v>
      </c>
      <c r="F1299" t="s">
        <v>80</v>
      </c>
      <c r="G1299" t="s">
        <v>143</v>
      </c>
      <c r="H1299" t="s">
        <v>144</v>
      </c>
      <c r="I1299" t="s">
        <v>36</v>
      </c>
      <c r="J1299" t="s">
        <v>37</v>
      </c>
      <c r="K1299" t="s">
        <v>48</v>
      </c>
      <c r="L1299" t="s">
        <v>49</v>
      </c>
      <c r="M1299" t="s">
        <v>140</v>
      </c>
      <c r="N1299">
        <v>66</v>
      </c>
      <c r="O1299">
        <v>0.112910392</v>
      </c>
      <c r="P1299">
        <v>9.8046408000000002E-2</v>
      </c>
      <c r="Q1299" t="str">
        <f t="shared" si="40"/>
        <v>10-14</v>
      </c>
      <c r="R1299" t="str">
        <f t="shared" si="41"/>
        <v>[fiRkU6gEjLz]|10-14|Male|PLHIV_Residents.T_1|CY2024Q3</v>
      </c>
    </row>
    <row r="1300" spans="4:18" x14ac:dyDescent="0.2">
      <c r="D1300" t="s">
        <v>78</v>
      </c>
      <c r="E1300" t="s">
        <v>79</v>
      </c>
      <c r="F1300" t="s">
        <v>80</v>
      </c>
      <c r="G1300" t="s">
        <v>143</v>
      </c>
      <c r="H1300" t="s">
        <v>144</v>
      </c>
      <c r="I1300" t="s">
        <v>38</v>
      </c>
      <c r="J1300" t="s">
        <v>39</v>
      </c>
      <c r="K1300" t="s">
        <v>48</v>
      </c>
      <c r="L1300" t="s">
        <v>49</v>
      </c>
      <c r="M1300" t="s">
        <v>140</v>
      </c>
      <c r="N1300">
        <v>170</v>
      </c>
      <c r="O1300">
        <v>0.12180353200000001</v>
      </c>
      <c r="P1300">
        <v>9.8046408000000002E-2</v>
      </c>
      <c r="Q1300" t="str">
        <f t="shared" si="40"/>
        <v>15-24</v>
      </c>
      <c r="R1300" t="str">
        <f t="shared" si="41"/>
        <v>[fiRkU6gEjLz]|15-24|Male|PLHIV_Residents.T_1|CY2024Q3</v>
      </c>
    </row>
    <row r="1301" spans="4:18" x14ac:dyDescent="0.2">
      <c r="D1301" t="s">
        <v>78</v>
      </c>
      <c r="E1301" t="s">
        <v>79</v>
      </c>
      <c r="F1301" t="s">
        <v>80</v>
      </c>
      <c r="G1301" t="s">
        <v>143</v>
      </c>
      <c r="H1301" t="s">
        <v>144</v>
      </c>
      <c r="I1301" t="s">
        <v>41</v>
      </c>
      <c r="J1301" t="s">
        <v>42</v>
      </c>
      <c r="K1301" t="s">
        <v>48</v>
      </c>
      <c r="L1301" t="s">
        <v>49</v>
      </c>
      <c r="M1301" t="s">
        <v>140</v>
      </c>
      <c r="N1301">
        <v>230</v>
      </c>
      <c r="O1301">
        <v>0.122749344</v>
      </c>
      <c r="P1301">
        <v>9.8046408000000002E-2</v>
      </c>
      <c r="Q1301" t="str">
        <f t="shared" si="40"/>
        <v>25-34</v>
      </c>
      <c r="R1301" t="str">
        <f t="shared" si="41"/>
        <v>[fiRkU6gEjLz]|25-34|Male|PLHIV_Residents.T_1|CY2024Q3</v>
      </c>
    </row>
    <row r="1302" spans="4:18" x14ac:dyDescent="0.2">
      <c r="D1302" t="s">
        <v>78</v>
      </c>
      <c r="E1302" t="s">
        <v>79</v>
      </c>
      <c r="F1302" t="s">
        <v>80</v>
      </c>
      <c r="G1302" t="s">
        <v>143</v>
      </c>
      <c r="H1302" t="s">
        <v>144</v>
      </c>
      <c r="I1302" t="s">
        <v>43</v>
      </c>
      <c r="J1302" t="s">
        <v>44</v>
      </c>
      <c r="K1302" t="s">
        <v>48</v>
      </c>
      <c r="L1302" t="s">
        <v>49</v>
      </c>
      <c r="M1302" t="s">
        <v>140</v>
      </c>
      <c r="N1302">
        <v>916</v>
      </c>
      <c r="O1302">
        <v>0.10416376500000001</v>
      </c>
      <c r="P1302">
        <v>9.8046408000000002E-2</v>
      </c>
      <c r="Q1302" t="str">
        <f t="shared" si="40"/>
        <v>35-49</v>
      </c>
      <c r="R1302" t="str">
        <f t="shared" si="41"/>
        <v>[fiRkU6gEjLz]|35-49|Male|PLHIV_Residents.T_1|CY2024Q3</v>
      </c>
    </row>
    <row r="1303" spans="4:18" x14ac:dyDescent="0.2">
      <c r="D1303" t="s">
        <v>78</v>
      </c>
      <c r="E1303" t="s">
        <v>79</v>
      </c>
      <c r="F1303" t="s">
        <v>80</v>
      </c>
      <c r="G1303" t="s">
        <v>143</v>
      </c>
      <c r="H1303" t="s">
        <v>144</v>
      </c>
      <c r="I1303" t="s">
        <v>45</v>
      </c>
      <c r="J1303" t="s">
        <v>46</v>
      </c>
      <c r="K1303" t="s">
        <v>48</v>
      </c>
      <c r="L1303" t="s">
        <v>49</v>
      </c>
      <c r="M1303" t="s">
        <v>140</v>
      </c>
      <c r="N1303">
        <v>699</v>
      </c>
      <c r="O1303">
        <v>0.102696176</v>
      </c>
      <c r="P1303">
        <v>9.8046408000000002E-2</v>
      </c>
      <c r="Q1303" t="str">
        <f t="shared" si="40"/>
        <v>50+</v>
      </c>
      <c r="R1303" t="str">
        <f t="shared" si="41"/>
        <v>[fiRkU6gEjLz]|50+|Male|PLHIV_Residents.T_1|CY2024Q3</v>
      </c>
    </row>
    <row r="1304" spans="4:18" x14ac:dyDescent="0.2">
      <c r="D1304" t="s">
        <v>81</v>
      </c>
      <c r="E1304" t="s">
        <v>82</v>
      </c>
      <c r="F1304" t="s">
        <v>83</v>
      </c>
      <c r="G1304" t="s">
        <v>143</v>
      </c>
      <c r="H1304" t="s">
        <v>144</v>
      </c>
      <c r="I1304" t="s">
        <v>28</v>
      </c>
      <c r="J1304" t="s">
        <v>29</v>
      </c>
      <c r="K1304" t="s">
        <v>30</v>
      </c>
      <c r="L1304" t="s">
        <v>31</v>
      </c>
      <c r="M1304" t="s">
        <v>140</v>
      </c>
      <c r="N1304">
        <v>8</v>
      </c>
      <c r="O1304">
        <v>8.9098856000000004E-2</v>
      </c>
      <c r="P1304">
        <v>8.5184337999999998E-2</v>
      </c>
      <c r="Q1304" t="str">
        <f t="shared" si="40"/>
        <v>&lt;01</v>
      </c>
      <c r="R1304" t="str">
        <f t="shared" si="41"/>
        <v>[zphK9WV8JB4]|&lt;01|Female|PLHIV_Residents.T_1|CY2024Q3</v>
      </c>
    </row>
    <row r="1305" spans="4:18" x14ac:dyDescent="0.2">
      <c r="D1305" t="s">
        <v>81</v>
      </c>
      <c r="E1305" t="s">
        <v>82</v>
      </c>
      <c r="F1305" t="s">
        <v>83</v>
      </c>
      <c r="G1305" t="s">
        <v>143</v>
      </c>
      <c r="H1305" t="s">
        <v>144</v>
      </c>
      <c r="I1305" t="s">
        <v>33</v>
      </c>
      <c r="J1305" t="s">
        <v>34</v>
      </c>
      <c r="K1305" t="s">
        <v>30</v>
      </c>
      <c r="L1305" t="s">
        <v>31</v>
      </c>
      <c r="M1305" t="s">
        <v>140</v>
      </c>
      <c r="N1305">
        <v>142</v>
      </c>
      <c r="O1305">
        <v>9.4273406000000004E-2</v>
      </c>
      <c r="P1305">
        <v>8.5184337999999998E-2</v>
      </c>
      <c r="Q1305" t="str">
        <f t="shared" si="40"/>
        <v>01-09</v>
      </c>
      <c r="R1305" t="str">
        <f t="shared" si="41"/>
        <v>[zphK9WV8JB4]|01-09|Female|PLHIV_Residents.T_1|CY2024Q3</v>
      </c>
    </row>
    <row r="1306" spans="4:18" x14ac:dyDescent="0.2">
      <c r="D1306" t="s">
        <v>81</v>
      </c>
      <c r="E1306" t="s">
        <v>82</v>
      </c>
      <c r="F1306" t="s">
        <v>83</v>
      </c>
      <c r="G1306" t="s">
        <v>143</v>
      </c>
      <c r="H1306" t="s">
        <v>144</v>
      </c>
      <c r="I1306" t="s">
        <v>36</v>
      </c>
      <c r="J1306" t="s">
        <v>37</v>
      </c>
      <c r="K1306" t="s">
        <v>30</v>
      </c>
      <c r="L1306" t="s">
        <v>31</v>
      </c>
      <c r="M1306" t="s">
        <v>140</v>
      </c>
      <c r="N1306">
        <v>184</v>
      </c>
      <c r="O1306">
        <v>0.101225384</v>
      </c>
      <c r="P1306">
        <v>8.5184337999999998E-2</v>
      </c>
      <c r="Q1306" t="str">
        <f t="shared" si="40"/>
        <v>10-14</v>
      </c>
      <c r="R1306" t="str">
        <f t="shared" si="41"/>
        <v>[zphK9WV8JB4]|10-14|Female|PLHIV_Residents.T_1|CY2024Q3</v>
      </c>
    </row>
    <row r="1307" spans="4:18" x14ac:dyDescent="0.2">
      <c r="D1307" t="s">
        <v>81</v>
      </c>
      <c r="E1307" t="s">
        <v>82</v>
      </c>
      <c r="F1307" t="s">
        <v>83</v>
      </c>
      <c r="G1307" t="s">
        <v>143</v>
      </c>
      <c r="H1307" t="s">
        <v>144</v>
      </c>
      <c r="I1307" t="s">
        <v>38</v>
      </c>
      <c r="J1307" t="s">
        <v>39</v>
      </c>
      <c r="K1307" t="s">
        <v>30</v>
      </c>
      <c r="L1307" t="s">
        <v>31</v>
      </c>
      <c r="M1307" t="s">
        <v>140</v>
      </c>
      <c r="N1307">
        <v>650</v>
      </c>
      <c r="O1307">
        <v>0.105831841</v>
      </c>
      <c r="P1307">
        <v>8.5184337999999998E-2</v>
      </c>
      <c r="Q1307" t="str">
        <f t="shared" si="40"/>
        <v>15-24</v>
      </c>
      <c r="R1307" t="str">
        <f t="shared" si="41"/>
        <v>[zphK9WV8JB4]|15-24|Female|PLHIV_Residents.T_1|CY2024Q3</v>
      </c>
    </row>
    <row r="1308" spans="4:18" x14ac:dyDescent="0.2">
      <c r="D1308" t="s">
        <v>81</v>
      </c>
      <c r="E1308" t="s">
        <v>82</v>
      </c>
      <c r="F1308" t="s">
        <v>83</v>
      </c>
      <c r="G1308" t="s">
        <v>143</v>
      </c>
      <c r="H1308" t="s">
        <v>144</v>
      </c>
      <c r="I1308" t="s">
        <v>41</v>
      </c>
      <c r="J1308" t="s">
        <v>42</v>
      </c>
      <c r="K1308" t="s">
        <v>30</v>
      </c>
      <c r="L1308" t="s">
        <v>31</v>
      </c>
      <c r="M1308" t="s">
        <v>140</v>
      </c>
      <c r="N1308">
        <v>1641</v>
      </c>
      <c r="O1308">
        <v>9.5830346999999996E-2</v>
      </c>
      <c r="P1308">
        <v>8.5184337999999998E-2</v>
      </c>
      <c r="Q1308" t="str">
        <f t="shared" si="40"/>
        <v>25-34</v>
      </c>
      <c r="R1308" t="str">
        <f t="shared" si="41"/>
        <v>[zphK9WV8JB4]|25-34|Female|PLHIV_Residents.T_1|CY2024Q3</v>
      </c>
    </row>
    <row r="1309" spans="4:18" x14ac:dyDescent="0.2">
      <c r="D1309" t="s">
        <v>81</v>
      </c>
      <c r="E1309" t="s">
        <v>82</v>
      </c>
      <c r="F1309" t="s">
        <v>83</v>
      </c>
      <c r="G1309" t="s">
        <v>143</v>
      </c>
      <c r="H1309" t="s">
        <v>144</v>
      </c>
      <c r="I1309" t="s">
        <v>43</v>
      </c>
      <c r="J1309" t="s">
        <v>44</v>
      </c>
      <c r="K1309" t="s">
        <v>30</v>
      </c>
      <c r="L1309" t="s">
        <v>31</v>
      </c>
      <c r="M1309" t="s">
        <v>140</v>
      </c>
      <c r="N1309">
        <v>4546</v>
      </c>
      <c r="O1309">
        <v>8.6258762000000003E-2</v>
      </c>
      <c r="P1309">
        <v>8.5184337999999998E-2</v>
      </c>
      <c r="Q1309" t="str">
        <f t="shared" si="40"/>
        <v>35-49</v>
      </c>
      <c r="R1309" t="str">
        <f t="shared" si="41"/>
        <v>[zphK9WV8JB4]|35-49|Female|PLHIV_Residents.T_1|CY2024Q3</v>
      </c>
    </row>
    <row r="1310" spans="4:18" x14ac:dyDescent="0.2">
      <c r="D1310" t="s">
        <v>81</v>
      </c>
      <c r="E1310" t="s">
        <v>82</v>
      </c>
      <c r="F1310" t="s">
        <v>83</v>
      </c>
      <c r="G1310" t="s">
        <v>143</v>
      </c>
      <c r="H1310" t="s">
        <v>144</v>
      </c>
      <c r="I1310" t="s">
        <v>45</v>
      </c>
      <c r="J1310" t="s">
        <v>46</v>
      </c>
      <c r="K1310" t="s">
        <v>30</v>
      </c>
      <c r="L1310" t="s">
        <v>31</v>
      </c>
      <c r="M1310" t="s">
        <v>140</v>
      </c>
      <c r="N1310">
        <v>2287</v>
      </c>
      <c r="O1310">
        <v>9.4805080999999999E-2</v>
      </c>
      <c r="P1310">
        <v>8.5184337999999998E-2</v>
      </c>
      <c r="Q1310" t="str">
        <f t="shared" si="40"/>
        <v>50+</v>
      </c>
      <c r="R1310" t="str">
        <f t="shared" si="41"/>
        <v>[zphK9WV8JB4]|50+|Female|PLHIV_Residents.T_1|CY2024Q3</v>
      </c>
    </row>
    <row r="1311" spans="4:18" x14ac:dyDescent="0.2">
      <c r="D1311" t="s">
        <v>81</v>
      </c>
      <c r="E1311" t="s">
        <v>82</v>
      </c>
      <c r="F1311" t="s">
        <v>83</v>
      </c>
      <c r="G1311" t="s">
        <v>143</v>
      </c>
      <c r="H1311" t="s">
        <v>144</v>
      </c>
      <c r="I1311" t="s">
        <v>28</v>
      </c>
      <c r="J1311" t="s">
        <v>29</v>
      </c>
      <c r="K1311" t="s">
        <v>48</v>
      </c>
      <c r="L1311" t="s">
        <v>49</v>
      </c>
      <c r="M1311" t="s">
        <v>140</v>
      </c>
      <c r="N1311">
        <v>8</v>
      </c>
      <c r="O1311">
        <v>8.9103267999999999E-2</v>
      </c>
      <c r="P1311">
        <v>8.5184337999999998E-2</v>
      </c>
      <c r="Q1311" t="str">
        <f t="shared" si="40"/>
        <v>&lt;01</v>
      </c>
      <c r="R1311" t="str">
        <f t="shared" si="41"/>
        <v>[zphK9WV8JB4]|&lt;01|Male|PLHIV_Residents.T_1|CY2024Q3</v>
      </c>
    </row>
    <row r="1312" spans="4:18" x14ac:dyDescent="0.2">
      <c r="D1312" t="s">
        <v>81</v>
      </c>
      <c r="E1312" t="s">
        <v>82</v>
      </c>
      <c r="F1312" t="s">
        <v>83</v>
      </c>
      <c r="G1312" t="s">
        <v>143</v>
      </c>
      <c r="H1312" t="s">
        <v>144</v>
      </c>
      <c r="I1312" t="s">
        <v>33</v>
      </c>
      <c r="J1312" t="s">
        <v>34</v>
      </c>
      <c r="K1312" t="s">
        <v>48</v>
      </c>
      <c r="L1312" t="s">
        <v>49</v>
      </c>
      <c r="M1312" t="s">
        <v>140</v>
      </c>
      <c r="N1312">
        <v>143</v>
      </c>
      <c r="O1312">
        <v>9.4273372999999994E-2</v>
      </c>
      <c r="P1312">
        <v>8.5184337999999998E-2</v>
      </c>
      <c r="Q1312" t="str">
        <f t="shared" si="40"/>
        <v>01-09</v>
      </c>
      <c r="R1312" t="str">
        <f t="shared" si="41"/>
        <v>[zphK9WV8JB4]|01-09|Male|PLHIV_Residents.T_1|CY2024Q3</v>
      </c>
    </row>
    <row r="1313" spans="4:18" x14ac:dyDescent="0.2">
      <c r="D1313" t="s">
        <v>81</v>
      </c>
      <c r="E1313" t="s">
        <v>82</v>
      </c>
      <c r="F1313" t="s">
        <v>83</v>
      </c>
      <c r="G1313" t="s">
        <v>143</v>
      </c>
      <c r="H1313" t="s">
        <v>144</v>
      </c>
      <c r="I1313" t="s">
        <v>36</v>
      </c>
      <c r="J1313" t="s">
        <v>37</v>
      </c>
      <c r="K1313" t="s">
        <v>48</v>
      </c>
      <c r="L1313" t="s">
        <v>49</v>
      </c>
      <c r="M1313" t="s">
        <v>140</v>
      </c>
      <c r="N1313">
        <v>183</v>
      </c>
      <c r="O1313">
        <v>0.101225098</v>
      </c>
      <c r="P1313">
        <v>8.5184337999999998E-2</v>
      </c>
      <c r="Q1313" t="str">
        <f t="shared" si="40"/>
        <v>10-14</v>
      </c>
      <c r="R1313" t="str">
        <f t="shared" si="41"/>
        <v>[zphK9WV8JB4]|10-14|Male|PLHIV_Residents.T_1|CY2024Q3</v>
      </c>
    </row>
    <row r="1314" spans="4:18" x14ac:dyDescent="0.2">
      <c r="D1314" t="s">
        <v>81</v>
      </c>
      <c r="E1314" t="s">
        <v>82</v>
      </c>
      <c r="F1314" t="s">
        <v>83</v>
      </c>
      <c r="G1314" t="s">
        <v>143</v>
      </c>
      <c r="H1314" t="s">
        <v>144</v>
      </c>
      <c r="I1314" t="s">
        <v>38</v>
      </c>
      <c r="J1314" t="s">
        <v>39</v>
      </c>
      <c r="K1314" t="s">
        <v>48</v>
      </c>
      <c r="L1314" t="s">
        <v>49</v>
      </c>
      <c r="M1314" t="s">
        <v>140</v>
      </c>
      <c r="N1314">
        <v>498</v>
      </c>
      <c r="O1314">
        <v>0.114231134</v>
      </c>
      <c r="P1314">
        <v>8.5184337999999998E-2</v>
      </c>
      <c r="Q1314" t="str">
        <f t="shared" si="40"/>
        <v>15-24</v>
      </c>
      <c r="R1314" t="str">
        <f t="shared" si="41"/>
        <v>[zphK9WV8JB4]|15-24|Male|PLHIV_Residents.T_1|CY2024Q3</v>
      </c>
    </row>
    <row r="1315" spans="4:18" x14ac:dyDescent="0.2">
      <c r="D1315" t="s">
        <v>81</v>
      </c>
      <c r="E1315" t="s">
        <v>82</v>
      </c>
      <c r="F1315" t="s">
        <v>83</v>
      </c>
      <c r="G1315" t="s">
        <v>143</v>
      </c>
      <c r="H1315" t="s">
        <v>144</v>
      </c>
      <c r="I1315" t="s">
        <v>41</v>
      </c>
      <c r="J1315" t="s">
        <v>42</v>
      </c>
      <c r="K1315" t="s">
        <v>48</v>
      </c>
      <c r="L1315" t="s">
        <v>49</v>
      </c>
      <c r="M1315" t="s">
        <v>140</v>
      </c>
      <c r="N1315">
        <v>698</v>
      </c>
      <c r="O1315">
        <v>0.113759544</v>
      </c>
      <c r="P1315">
        <v>8.5184337999999998E-2</v>
      </c>
      <c r="Q1315" t="str">
        <f t="shared" si="40"/>
        <v>25-34</v>
      </c>
      <c r="R1315" t="str">
        <f t="shared" si="41"/>
        <v>[zphK9WV8JB4]|25-34|Male|PLHIV_Residents.T_1|CY2024Q3</v>
      </c>
    </row>
    <row r="1316" spans="4:18" x14ac:dyDescent="0.2">
      <c r="D1316" t="s">
        <v>81</v>
      </c>
      <c r="E1316" t="s">
        <v>82</v>
      </c>
      <c r="F1316" t="s">
        <v>83</v>
      </c>
      <c r="G1316" t="s">
        <v>143</v>
      </c>
      <c r="H1316" t="s">
        <v>144</v>
      </c>
      <c r="I1316" t="s">
        <v>43</v>
      </c>
      <c r="J1316" t="s">
        <v>44</v>
      </c>
      <c r="K1316" t="s">
        <v>48</v>
      </c>
      <c r="L1316" t="s">
        <v>49</v>
      </c>
      <c r="M1316" t="s">
        <v>140</v>
      </c>
      <c r="N1316">
        <v>2760</v>
      </c>
      <c r="O1316">
        <v>9.2617940999999995E-2</v>
      </c>
      <c r="P1316">
        <v>8.5184337999999998E-2</v>
      </c>
      <c r="Q1316" t="str">
        <f t="shared" si="40"/>
        <v>35-49</v>
      </c>
      <c r="R1316" t="str">
        <f t="shared" si="41"/>
        <v>[zphK9WV8JB4]|35-49|Male|PLHIV_Residents.T_1|CY2024Q3</v>
      </c>
    </row>
    <row r="1317" spans="4:18" x14ac:dyDescent="0.2">
      <c r="D1317" t="s">
        <v>81</v>
      </c>
      <c r="E1317" t="s">
        <v>82</v>
      </c>
      <c r="F1317" t="s">
        <v>83</v>
      </c>
      <c r="G1317" t="s">
        <v>143</v>
      </c>
      <c r="H1317" t="s">
        <v>144</v>
      </c>
      <c r="I1317" t="s">
        <v>45</v>
      </c>
      <c r="J1317" t="s">
        <v>46</v>
      </c>
      <c r="K1317" t="s">
        <v>48</v>
      </c>
      <c r="L1317" t="s">
        <v>49</v>
      </c>
      <c r="M1317" t="s">
        <v>140</v>
      </c>
      <c r="N1317">
        <v>2191</v>
      </c>
      <c r="O1317">
        <v>8.7591026000000002E-2</v>
      </c>
      <c r="P1317">
        <v>8.5184337999999998E-2</v>
      </c>
      <c r="Q1317" t="str">
        <f t="shared" si="40"/>
        <v>50+</v>
      </c>
      <c r="R1317" t="str">
        <f t="shared" si="41"/>
        <v>[zphK9WV8JB4]|50+|Male|PLHIV_Residents.T_1|CY2024Q3</v>
      </c>
    </row>
    <row r="1318" spans="4:18" x14ac:dyDescent="0.2">
      <c r="D1318" t="s">
        <v>84</v>
      </c>
      <c r="E1318" t="s">
        <v>85</v>
      </c>
      <c r="F1318" t="s">
        <v>86</v>
      </c>
      <c r="G1318" t="s">
        <v>143</v>
      </c>
      <c r="H1318" t="s">
        <v>144</v>
      </c>
      <c r="I1318" t="s">
        <v>28</v>
      </c>
      <c r="J1318" t="s">
        <v>29</v>
      </c>
      <c r="K1318" t="s">
        <v>30</v>
      </c>
      <c r="L1318" t="s">
        <v>31</v>
      </c>
      <c r="M1318" t="s">
        <v>140</v>
      </c>
      <c r="N1318">
        <v>12</v>
      </c>
      <c r="O1318">
        <v>7.0229847999999997E-2</v>
      </c>
      <c r="P1318">
        <v>6.8022682000000001E-2</v>
      </c>
      <c r="Q1318" t="str">
        <f t="shared" si="40"/>
        <v>&lt;01</v>
      </c>
      <c r="R1318" t="str">
        <f t="shared" si="41"/>
        <v>[msW2zpIN7up]|&lt;01|Female|PLHIV_Residents.T_1|CY2024Q3</v>
      </c>
    </row>
    <row r="1319" spans="4:18" x14ac:dyDescent="0.2">
      <c r="D1319" t="s">
        <v>84</v>
      </c>
      <c r="E1319" t="s">
        <v>85</v>
      </c>
      <c r="F1319" t="s">
        <v>86</v>
      </c>
      <c r="G1319" t="s">
        <v>143</v>
      </c>
      <c r="H1319" t="s">
        <v>144</v>
      </c>
      <c r="I1319" t="s">
        <v>33</v>
      </c>
      <c r="J1319" t="s">
        <v>34</v>
      </c>
      <c r="K1319" t="s">
        <v>30</v>
      </c>
      <c r="L1319" t="s">
        <v>31</v>
      </c>
      <c r="M1319" t="s">
        <v>140</v>
      </c>
      <c r="N1319">
        <v>231</v>
      </c>
      <c r="O1319">
        <v>7.4215818000000003E-2</v>
      </c>
      <c r="P1319">
        <v>6.8022682000000001E-2</v>
      </c>
      <c r="Q1319" t="str">
        <f t="shared" si="40"/>
        <v>01-09</v>
      </c>
      <c r="R1319" t="str">
        <f t="shared" si="41"/>
        <v>[msW2zpIN7up]|01-09|Female|PLHIV_Residents.T_1|CY2024Q3</v>
      </c>
    </row>
    <row r="1320" spans="4:18" x14ac:dyDescent="0.2">
      <c r="D1320" t="s">
        <v>84</v>
      </c>
      <c r="E1320" t="s">
        <v>85</v>
      </c>
      <c r="F1320" t="s">
        <v>86</v>
      </c>
      <c r="G1320" t="s">
        <v>143</v>
      </c>
      <c r="H1320" t="s">
        <v>144</v>
      </c>
      <c r="I1320" t="s">
        <v>36</v>
      </c>
      <c r="J1320" t="s">
        <v>37</v>
      </c>
      <c r="K1320" t="s">
        <v>30</v>
      </c>
      <c r="L1320" t="s">
        <v>31</v>
      </c>
      <c r="M1320" t="s">
        <v>140</v>
      </c>
      <c r="N1320">
        <v>288</v>
      </c>
      <c r="O1320">
        <v>7.9473293E-2</v>
      </c>
      <c r="P1320">
        <v>6.8022682000000001E-2</v>
      </c>
      <c r="Q1320" t="str">
        <f t="shared" si="40"/>
        <v>10-14</v>
      </c>
      <c r="R1320" t="str">
        <f t="shared" si="41"/>
        <v>[msW2zpIN7up]|10-14|Female|PLHIV_Residents.T_1|CY2024Q3</v>
      </c>
    </row>
    <row r="1321" spans="4:18" x14ac:dyDescent="0.2">
      <c r="D1321" t="s">
        <v>84</v>
      </c>
      <c r="E1321" t="s">
        <v>85</v>
      </c>
      <c r="F1321" t="s">
        <v>86</v>
      </c>
      <c r="G1321" t="s">
        <v>143</v>
      </c>
      <c r="H1321" t="s">
        <v>144</v>
      </c>
      <c r="I1321" t="s">
        <v>38</v>
      </c>
      <c r="J1321" t="s">
        <v>39</v>
      </c>
      <c r="K1321" t="s">
        <v>30</v>
      </c>
      <c r="L1321" t="s">
        <v>31</v>
      </c>
      <c r="M1321" t="s">
        <v>140</v>
      </c>
      <c r="N1321">
        <v>968</v>
      </c>
      <c r="O1321">
        <v>9.5241437999999998E-2</v>
      </c>
      <c r="P1321">
        <v>6.8022682000000001E-2</v>
      </c>
      <c r="Q1321" t="str">
        <f t="shared" si="40"/>
        <v>15-24</v>
      </c>
      <c r="R1321" t="str">
        <f t="shared" si="41"/>
        <v>[msW2zpIN7up]|15-24|Female|PLHIV_Residents.T_1|CY2024Q3</v>
      </c>
    </row>
    <row r="1322" spans="4:18" x14ac:dyDescent="0.2">
      <c r="D1322" t="s">
        <v>84</v>
      </c>
      <c r="E1322" t="s">
        <v>85</v>
      </c>
      <c r="F1322" t="s">
        <v>86</v>
      </c>
      <c r="G1322" t="s">
        <v>143</v>
      </c>
      <c r="H1322" t="s">
        <v>144</v>
      </c>
      <c r="I1322" t="s">
        <v>41</v>
      </c>
      <c r="J1322" t="s">
        <v>42</v>
      </c>
      <c r="K1322" t="s">
        <v>30</v>
      </c>
      <c r="L1322" t="s">
        <v>31</v>
      </c>
      <c r="M1322" t="s">
        <v>140</v>
      </c>
      <c r="N1322">
        <v>2428</v>
      </c>
      <c r="O1322">
        <v>8.0761497000000002E-2</v>
      </c>
      <c r="P1322">
        <v>6.8022682000000001E-2</v>
      </c>
      <c r="Q1322" t="str">
        <f t="shared" si="40"/>
        <v>25-34</v>
      </c>
      <c r="R1322" t="str">
        <f t="shared" si="41"/>
        <v>[msW2zpIN7up]|25-34|Female|PLHIV_Residents.T_1|CY2024Q3</v>
      </c>
    </row>
    <row r="1323" spans="4:18" x14ac:dyDescent="0.2">
      <c r="D1323" t="s">
        <v>84</v>
      </c>
      <c r="E1323" t="s">
        <v>85</v>
      </c>
      <c r="F1323" t="s">
        <v>86</v>
      </c>
      <c r="G1323" t="s">
        <v>143</v>
      </c>
      <c r="H1323" t="s">
        <v>144</v>
      </c>
      <c r="I1323" t="s">
        <v>43</v>
      </c>
      <c r="J1323" t="s">
        <v>44</v>
      </c>
      <c r="K1323" t="s">
        <v>30</v>
      </c>
      <c r="L1323" t="s">
        <v>31</v>
      </c>
      <c r="M1323" t="s">
        <v>140</v>
      </c>
      <c r="N1323">
        <v>6219</v>
      </c>
      <c r="O1323">
        <v>6.7304438999999994E-2</v>
      </c>
      <c r="P1323">
        <v>6.8022682000000001E-2</v>
      </c>
      <c r="Q1323" t="str">
        <f t="shared" si="40"/>
        <v>35-49</v>
      </c>
      <c r="R1323" t="str">
        <f t="shared" si="41"/>
        <v>[msW2zpIN7up]|35-49|Female|PLHIV_Residents.T_1|CY2024Q3</v>
      </c>
    </row>
    <row r="1324" spans="4:18" x14ac:dyDescent="0.2">
      <c r="D1324" t="s">
        <v>84</v>
      </c>
      <c r="E1324" t="s">
        <v>85</v>
      </c>
      <c r="F1324" t="s">
        <v>86</v>
      </c>
      <c r="G1324" t="s">
        <v>143</v>
      </c>
      <c r="H1324" t="s">
        <v>144</v>
      </c>
      <c r="I1324" t="s">
        <v>45</v>
      </c>
      <c r="J1324" t="s">
        <v>46</v>
      </c>
      <c r="K1324" t="s">
        <v>30</v>
      </c>
      <c r="L1324" t="s">
        <v>31</v>
      </c>
      <c r="M1324" t="s">
        <v>140</v>
      </c>
      <c r="N1324">
        <v>2799</v>
      </c>
      <c r="O1324">
        <v>7.5056162999999995E-2</v>
      </c>
      <c r="P1324">
        <v>6.8022682000000001E-2</v>
      </c>
      <c r="Q1324" t="str">
        <f t="shared" si="40"/>
        <v>50+</v>
      </c>
      <c r="R1324" t="str">
        <f t="shared" si="41"/>
        <v>[msW2zpIN7up]|50+|Female|PLHIV_Residents.T_1|CY2024Q3</v>
      </c>
    </row>
    <row r="1325" spans="4:18" x14ac:dyDescent="0.2">
      <c r="D1325" t="s">
        <v>84</v>
      </c>
      <c r="E1325" t="s">
        <v>85</v>
      </c>
      <c r="F1325" t="s">
        <v>86</v>
      </c>
      <c r="G1325" t="s">
        <v>143</v>
      </c>
      <c r="H1325" t="s">
        <v>144</v>
      </c>
      <c r="I1325" t="s">
        <v>28</v>
      </c>
      <c r="J1325" t="s">
        <v>29</v>
      </c>
      <c r="K1325" t="s">
        <v>48</v>
      </c>
      <c r="L1325" t="s">
        <v>49</v>
      </c>
      <c r="M1325" t="s">
        <v>140</v>
      </c>
      <c r="N1325">
        <v>12</v>
      </c>
      <c r="O1325">
        <v>7.0241794999999996E-2</v>
      </c>
      <c r="P1325">
        <v>6.8022682000000001E-2</v>
      </c>
      <c r="Q1325" t="str">
        <f t="shared" si="40"/>
        <v>&lt;01</v>
      </c>
      <c r="R1325" t="str">
        <f t="shared" si="41"/>
        <v>[msW2zpIN7up]|&lt;01|Male|PLHIV_Residents.T_1|CY2024Q3</v>
      </c>
    </row>
    <row r="1326" spans="4:18" x14ac:dyDescent="0.2">
      <c r="D1326" t="s">
        <v>84</v>
      </c>
      <c r="E1326" t="s">
        <v>85</v>
      </c>
      <c r="F1326" t="s">
        <v>86</v>
      </c>
      <c r="G1326" t="s">
        <v>143</v>
      </c>
      <c r="H1326" t="s">
        <v>144</v>
      </c>
      <c r="I1326" t="s">
        <v>33</v>
      </c>
      <c r="J1326" t="s">
        <v>34</v>
      </c>
      <c r="K1326" t="s">
        <v>48</v>
      </c>
      <c r="L1326" t="s">
        <v>49</v>
      </c>
      <c r="M1326" t="s">
        <v>140</v>
      </c>
      <c r="N1326">
        <v>233</v>
      </c>
      <c r="O1326">
        <v>7.4220363999999997E-2</v>
      </c>
      <c r="P1326">
        <v>6.8022682000000001E-2</v>
      </c>
      <c r="Q1326" t="str">
        <f t="shared" si="40"/>
        <v>01-09</v>
      </c>
      <c r="R1326" t="str">
        <f t="shared" si="41"/>
        <v>[msW2zpIN7up]|01-09|Male|PLHIV_Residents.T_1|CY2024Q3</v>
      </c>
    </row>
    <row r="1327" spans="4:18" x14ac:dyDescent="0.2">
      <c r="D1327" t="s">
        <v>84</v>
      </c>
      <c r="E1327" t="s">
        <v>85</v>
      </c>
      <c r="F1327" t="s">
        <v>86</v>
      </c>
      <c r="G1327" t="s">
        <v>143</v>
      </c>
      <c r="H1327" t="s">
        <v>144</v>
      </c>
      <c r="I1327" t="s">
        <v>36</v>
      </c>
      <c r="J1327" t="s">
        <v>37</v>
      </c>
      <c r="K1327" t="s">
        <v>48</v>
      </c>
      <c r="L1327" t="s">
        <v>49</v>
      </c>
      <c r="M1327" t="s">
        <v>140</v>
      </c>
      <c r="N1327">
        <v>289</v>
      </c>
      <c r="O1327">
        <v>7.9472220999999996E-2</v>
      </c>
      <c r="P1327">
        <v>6.8022682000000001E-2</v>
      </c>
      <c r="Q1327" t="str">
        <f t="shared" si="40"/>
        <v>10-14</v>
      </c>
      <c r="R1327" t="str">
        <f t="shared" si="41"/>
        <v>[msW2zpIN7up]|10-14|Male|PLHIV_Residents.T_1|CY2024Q3</v>
      </c>
    </row>
    <row r="1328" spans="4:18" x14ac:dyDescent="0.2">
      <c r="D1328" t="s">
        <v>84</v>
      </c>
      <c r="E1328" t="s">
        <v>85</v>
      </c>
      <c r="F1328" t="s">
        <v>86</v>
      </c>
      <c r="G1328" t="s">
        <v>143</v>
      </c>
      <c r="H1328" t="s">
        <v>144</v>
      </c>
      <c r="I1328" t="s">
        <v>38</v>
      </c>
      <c r="J1328" t="s">
        <v>39</v>
      </c>
      <c r="K1328" t="s">
        <v>48</v>
      </c>
      <c r="L1328" t="s">
        <v>49</v>
      </c>
      <c r="M1328" t="s">
        <v>140</v>
      </c>
      <c r="N1328">
        <v>675</v>
      </c>
      <c r="O1328">
        <v>9.8872821E-2</v>
      </c>
      <c r="P1328">
        <v>6.8022682000000001E-2</v>
      </c>
      <c r="Q1328" t="str">
        <f t="shared" si="40"/>
        <v>15-24</v>
      </c>
      <c r="R1328" t="str">
        <f t="shared" si="41"/>
        <v>[msW2zpIN7up]|15-24|Male|PLHIV_Residents.T_1|CY2024Q3</v>
      </c>
    </row>
    <row r="1329" spans="4:18" x14ac:dyDescent="0.2">
      <c r="D1329" t="s">
        <v>84</v>
      </c>
      <c r="E1329" t="s">
        <v>85</v>
      </c>
      <c r="F1329" t="s">
        <v>86</v>
      </c>
      <c r="G1329" t="s">
        <v>143</v>
      </c>
      <c r="H1329" t="s">
        <v>144</v>
      </c>
      <c r="I1329" t="s">
        <v>41</v>
      </c>
      <c r="J1329" t="s">
        <v>42</v>
      </c>
      <c r="K1329" t="s">
        <v>48</v>
      </c>
      <c r="L1329" t="s">
        <v>49</v>
      </c>
      <c r="M1329" t="s">
        <v>140</v>
      </c>
      <c r="N1329">
        <v>810</v>
      </c>
      <c r="O1329">
        <v>0.103538932</v>
      </c>
      <c r="P1329">
        <v>6.8022682000000001E-2</v>
      </c>
      <c r="Q1329" t="str">
        <f t="shared" si="40"/>
        <v>25-34</v>
      </c>
      <c r="R1329" t="str">
        <f t="shared" si="41"/>
        <v>[msW2zpIN7up]|25-34|Male|PLHIV_Residents.T_1|CY2024Q3</v>
      </c>
    </row>
    <row r="1330" spans="4:18" x14ac:dyDescent="0.2">
      <c r="D1330" t="s">
        <v>84</v>
      </c>
      <c r="E1330" t="s">
        <v>85</v>
      </c>
      <c r="F1330" t="s">
        <v>86</v>
      </c>
      <c r="G1330" t="s">
        <v>143</v>
      </c>
      <c r="H1330" t="s">
        <v>144</v>
      </c>
      <c r="I1330" t="s">
        <v>43</v>
      </c>
      <c r="J1330" t="s">
        <v>44</v>
      </c>
      <c r="K1330" t="s">
        <v>48</v>
      </c>
      <c r="L1330" t="s">
        <v>49</v>
      </c>
      <c r="M1330" t="s">
        <v>140</v>
      </c>
      <c r="N1330">
        <v>3210</v>
      </c>
      <c r="O1330">
        <v>7.7045534999999998E-2</v>
      </c>
      <c r="P1330">
        <v>6.8022682000000001E-2</v>
      </c>
      <c r="Q1330" t="str">
        <f t="shared" si="40"/>
        <v>35-49</v>
      </c>
      <c r="R1330" t="str">
        <f t="shared" si="41"/>
        <v>[msW2zpIN7up]|35-49|Male|PLHIV_Residents.T_1|CY2024Q3</v>
      </c>
    </row>
    <row r="1331" spans="4:18" x14ac:dyDescent="0.2">
      <c r="D1331" t="s">
        <v>84</v>
      </c>
      <c r="E1331" t="s">
        <v>85</v>
      </c>
      <c r="F1331" t="s">
        <v>86</v>
      </c>
      <c r="G1331" t="s">
        <v>143</v>
      </c>
      <c r="H1331" t="s">
        <v>144</v>
      </c>
      <c r="I1331" t="s">
        <v>45</v>
      </c>
      <c r="J1331" t="s">
        <v>46</v>
      </c>
      <c r="K1331" t="s">
        <v>48</v>
      </c>
      <c r="L1331" t="s">
        <v>49</v>
      </c>
      <c r="M1331" t="s">
        <v>140</v>
      </c>
      <c r="N1331">
        <v>2330</v>
      </c>
      <c r="O1331">
        <v>7.4375604999999997E-2</v>
      </c>
      <c r="P1331">
        <v>6.8022682000000001E-2</v>
      </c>
      <c r="Q1331" t="str">
        <f t="shared" si="40"/>
        <v>50+</v>
      </c>
      <c r="R1331" t="str">
        <f t="shared" si="41"/>
        <v>[msW2zpIN7up]|50+|Male|PLHIV_Residents.T_1|CY2024Q3</v>
      </c>
    </row>
    <row r="1332" spans="4:18" x14ac:dyDescent="0.2">
      <c r="D1332" t="s">
        <v>87</v>
      </c>
      <c r="E1332" t="s">
        <v>88</v>
      </c>
      <c r="F1332" t="s">
        <v>89</v>
      </c>
      <c r="G1332" t="s">
        <v>143</v>
      </c>
      <c r="H1332" t="s">
        <v>144</v>
      </c>
      <c r="I1332" t="s">
        <v>28</v>
      </c>
      <c r="J1332" t="s">
        <v>29</v>
      </c>
      <c r="K1332" t="s">
        <v>30</v>
      </c>
      <c r="L1332" t="s">
        <v>31</v>
      </c>
      <c r="M1332" t="s">
        <v>140</v>
      </c>
      <c r="N1332">
        <v>68</v>
      </c>
      <c r="O1332">
        <v>2.3831650999999999E-2</v>
      </c>
      <c r="P1332">
        <v>2.0200873000000001E-2</v>
      </c>
      <c r="Q1332" t="str">
        <f t="shared" si="40"/>
        <v>&lt;01</v>
      </c>
      <c r="R1332" t="str">
        <f t="shared" si="41"/>
        <v>[ScR9iFKAasW]|&lt;01|Female|PLHIV_Residents.T_1|CY2024Q3</v>
      </c>
    </row>
    <row r="1333" spans="4:18" x14ac:dyDescent="0.2">
      <c r="D1333" t="s">
        <v>87</v>
      </c>
      <c r="E1333" t="s">
        <v>88</v>
      </c>
      <c r="F1333" t="s">
        <v>89</v>
      </c>
      <c r="G1333" t="s">
        <v>143</v>
      </c>
      <c r="H1333" t="s">
        <v>144</v>
      </c>
      <c r="I1333" t="s">
        <v>33</v>
      </c>
      <c r="J1333" t="s">
        <v>34</v>
      </c>
      <c r="K1333" t="s">
        <v>30</v>
      </c>
      <c r="L1333" t="s">
        <v>31</v>
      </c>
      <c r="M1333" t="s">
        <v>140</v>
      </c>
      <c r="N1333">
        <v>1198</v>
      </c>
      <c r="O1333">
        <v>2.9421279000000002E-2</v>
      </c>
      <c r="P1333">
        <v>2.0200873000000001E-2</v>
      </c>
      <c r="Q1333" t="str">
        <f t="shared" si="40"/>
        <v>01-09</v>
      </c>
      <c r="R1333" t="str">
        <f t="shared" si="41"/>
        <v>[ScR9iFKAasW]|01-09|Female|PLHIV_Residents.T_1|CY2024Q3</v>
      </c>
    </row>
    <row r="1334" spans="4:18" x14ac:dyDescent="0.2">
      <c r="D1334" t="s">
        <v>87</v>
      </c>
      <c r="E1334" t="s">
        <v>88</v>
      </c>
      <c r="F1334" t="s">
        <v>89</v>
      </c>
      <c r="G1334" t="s">
        <v>143</v>
      </c>
      <c r="H1334" t="s">
        <v>144</v>
      </c>
      <c r="I1334" t="s">
        <v>36</v>
      </c>
      <c r="J1334" t="s">
        <v>37</v>
      </c>
      <c r="K1334" t="s">
        <v>30</v>
      </c>
      <c r="L1334" t="s">
        <v>31</v>
      </c>
      <c r="M1334" t="s">
        <v>140</v>
      </c>
      <c r="N1334">
        <v>1416</v>
      </c>
      <c r="O1334">
        <v>3.6909077999999998E-2</v>
      </c>
      <c r="P1334">
        <v>2.0200873000000001E-2</v>
      </c>
      <c r="Q1334" t="str">
        <f t="shared" si="40"/>
        <v>10-14</v>
      </c>
      <c r="R1334" t="str">
        <f t="shared" si="41"/>
        <v>[ScR9iFKAasW]|10-14|Female|PLHIV_Residents.T_1|CY2024Q3</v>
      </c>
    </row>
    <row r="1335" spans="4:18" x14ac:dyDescent="0.2">
      <c r="D1335" t="s">
        <v>87</v>
      </c>
      <c r="E1335" t="s">
        <v>88</v>
      </c>
      <c r="F1335" t="s">
        <v>89</v>
      </c>
      <c r="G1335" t="s">
        <v>143</v>
      </c>
      <c r="H1335" t="s">
        <v>144</v>
      </c>
      <c r="I1335" t="s">
        <v>38</v>
      </c>
      <c r="J1335" t="s">
        <v>39</v>
      </c>
      <c r="K1335" t="s">
        <v>30</v>
      </c>
      <c r="L1335" t="s">
        <v>31</v>
      </c>
      <c r="M1335" t="s">
        <v>140</v>
      </c>
      <c r="N1335">
        <v>5621</v>
      </c>
      <c r="O1335">
        <v>6.1273696000000002E-2</v>
      </c>
      <c r="P1335">
        <v>2.0200873000000001E-2</v>
      </c>
      <c r="Q1335" t="str">
        <f t="shared" si="40"/>
        <v>15-24</v>
      </c>
      <c r="R1335" t="str">
        <f t="shared" si="41"/>
        <v>[ScR9iFKAasW]|15-24|Female|PLHIV_Residents.T_1|CY2024Q3</v>
      </c>
    </row>
    <row r="1336" spans="4:18" x14ac:dyDescent="0.2">
      <c r="D1336" t="s">
        <v>87</v>
      </c>
      <c r="E1336" t="s">
        <v>88</v>
      </c>
      <c r="F1336" t="s">
        <v>89</v>
      </c>
      <c r="G1336" t="s">
        <v>143</v>
      </c>
      <c r="H1336" t="s">
        <v>144</v>
      </c>
      <c r="I1336" t="s">
        <v>41</v>
      </c>
      <c r="J1336" t="s">
        <v>42</v>
      </c>
      <c r="K1336" t="s">
        <v>30</v>
      </c>
      <c r="L1336" t="s">
        <v>31</v>
      </c>
      <c r="M1336" t="s">
        <v>140</v>
      </c>
      <c r="N1336">
        <v>16788</v>
      </c>
      <c r="O1336">
        <v>3.9237288000000002E-2</v>
      </c>
      <c r="P1336">
        <v>2.0200873000000001E-2</v>
      </c>
      <c r="Q1336" t="str">
        <f t="shared" si="40"/>
        <v>25-34</v>
      </c>
      <c r="R1336" t="str">
        <f t="shared" si="41"/>
        <v>[ScR9iFKAasW]|25-34|Female|PLHIV_Residents.T_1|CY2024Q3</v>
      </c>
    </row>
    <row r="1337" spans="4:18" x14ac:dyDescent="0.2">
      <c r="D1337" t="s">
        <v>87</v>
      </c>
      <c r="E1337" t="s">
        <v>88</v>
      </c>
      <c r="F1337" t="s">
        <v>89</v>
      </c>
      <c r="G1337" t="s">
        <v>143</v>
      </c>
      <c r="H1337" t="s">
        <v>144</v>
      </c>
      <c r="I1337" t="s">
        <v>43</v>
      </c>
      <c r="J1337" t="s">
        <v>44</v>
      </c>
      <c r="K1337" t="s">
        <v>30</v>
      </c>
      <c r="L1337" t="s">
        <v>31</v>
      </c>
      <c r="M1337" t="s">
        <v>140</v>
      </c>
      <c r="N1337">
        <v>39322</v>
      </c>
      <c r="O1337">
        <v>2.5391853999999998E-2</v>
      </c>
      <c r="P1337">
        <v>2.0200873000000001E-2</v>
      </c>
      <c r="Q1337" t="str">
        <f t="shared" si="40"/>
        <v>35-49</v>
      </c>
      <c r="R1337" t="str">
        <f t="shared" si="41"/>
        <v>[ScR9iFKAasW]|35-49|Female|PLHIV_Residents.T_1|CY2024Q3</v>
      </c>
    </row>
    <row r="1338" spans="4:18" x14ac:dyDescent="0.2">
      <c r="D1338" t="s">
        <v>87</v>
      </c>
      <c r="E1338" t="s">
        <v>88</v>
      </c>
      <c r="F1338" t="s">
        <v>89</v>
      </c>
      <c r="G1338" t="s">
        <v>143</v>
      </c>
      <c r="H1338" t="s">
        <v>144</v>
      </c>
      <c r="I1338" t="s">
        <v>45</v>
      </c>
      <c r="J1338" t="s">
        <v>46</v>
      </c>
      <c r="K1338" t="s">
        <v>30</v>
      </c>
      <c r="L1338" t="s">
        <v>31</v>
      </c>
      <c r="M1338" t="s">
        <v>140</v>
      </c>
      <c r="N1338">
        <v>13555</v>
      </c>
      <c r="O1338">
        <v>4.5298326E-2</v>
      </c>
      <c r="P1338">
        <v>2.0200873000000001E-2</v>
      </c>
      <c r="Q1338" t="str">
        <f t="shared" si="40"/>
        <v>50+</v>
      </c>
      <c r="R1338" t="str">
        <f t="shared" si="41"/>
        <v>[ScR9iFKAasW]|50+|Female|PLHIV_Residents.T_1|CY2024Q3</v>
      </c>
    </row>
    <row r="1339" spans="4:18" x14ac:dyDescent="0.2">
      <c r="D1339" t="s">
        <v>87</v>
      </c>
      <c r="E1339" t="s">
        <v>88</v>
      </c>
      <c r="F1339" t="s">
        <v>89</v>
      </c>
      <c r="G1339" t="s">
        <v>143</v>
      </c>
      <c r="H1339" t="s">
        <v>144</v>
      </c>
      <c r="I1339" t="s">
        <v>28</v>
      </c>
      <c r="J1339" t="s">
        <v>29</v>
      </c>
      <c r="K1339" t="s">
        <v>48</v>
      </c>
      <c r="L1339" t="s">
        <v>49</v>
      </c>
      <c r="M1339" t="s">
        <v>140</v>
      </c>
      <c r="N1339">
        <v>69</v>
      </c>
      <c r="O1339">
        <v>2.3802679E-2</v>
      </c>
      <c r="P1339">
        <v>2.0200873000000001E-2</v>
      </c>
      <c r="Q1339" t="str">
        <f t="shared" si="40"/>
        <v>&lt;01</v>
      </c>
      <c r="R1339" t="str">
        <f t="shared" si="41"/>
        <v>[ScR9iFKAasW]|&lt;01|Male|PLHIV_Residents.T_1|CY2024Q3</v>
      </c>
    </row>
    <row r="1340" spans="4:18" x14ac:dyDescent="0.2">
      <c r="D1340" t="s">
        <v>87</v>
      </c>
      <c r="E1340" t="s">
        <v>88</v>
      </c>
      <c r="F1340" t="s">
        <v>89</v>
      </c>
      <c r="G1340" t="s">
        <v>143</v>
      </c>
      <c r="H1340" t="s">
        <v>144</v>
      </c>
      <c r="I1340" t="s">
        <v>33</v>
      </c>
      <c r="J1340" t="s">
        <v>34</v>
      </c>
      <c r="K1340" t="s">
        <v>48</v>
      </c>
      <c r="L1340" t="s">
        <v>49</v>
      </c>
      <c r="M1340" t="s">
        <v>140</v>
      </c>
      <c r="N1340">
        <v>1201</v>
      </c>
      <c r="O1340">
        <v>2.9394366000000002E-2</v>
      </c>
      <c r="P1340">
        <v>2.0200873000000001E-2</v>
      </c>
      <c r="Q1340" t="str">
        <f t="shared" si="40"/>
        <v>01-09</v>
      </c>
      <c r="R1340" t="str">
        <f t="shared" si="41"/>
        <v>[ScR9iFKAasW]|01-09|Male|PLHIV_Residents.T_1|CY2024Q3</v>
      </c>
    </row>
    <row r="1341" spans="4:18" x14ac:dyDescent="0.2">
      <c r="D1341" t="s">
        <v>87</v>
      </c>
      <c r="E1341" t="s">
        <v>88</v>
      </c>
      <c r="F1341" t="s">
        <v>89</v>
      </c>
      <c r="G1341" t="s">
        <v>143</v>
      </c>
      <c r="H1341" t="s">
        <v>144</v>
      </c>
      <c r="I1341" t="s">
        <v>36</v>
      </c>
      <c r="J1341" t="s">
        <v>37</v>
      </c>
      <c r="K1341" t="s">
        <v>48</v>
      </c>
      <c r="L1341" t="s">
        <v>49</v>
      </c>
      <c r="M1341" t="s">
        <v>140</v>
      </c>
      <c r="N1341">
        <v>1376</v>
      </c>
      <c r="O1341">
        <v>3.7030095999999998E-2</v>
      </c>
      <c r="P1341">
        <v>2.0200873000000001E-2</v>
      </c>
      <c r="Q1341" t="str">
        <f t="shared" si="40"/>
        <v>10-14</v>
      </c>
      <c r="R1341" t="str">
        <f t="shared" si="41"/>
        <v>[ScR9iFKAasW]|10-14|Male|PLHIV_Residents.T_1|CY2024Q3</v>
      </c>
    </row>
    <row r="1342" spans="4:18" x14ac:dyDescent="0.2">
      <c r="D1342" t="s">
        <v>87</v>
      </c>
      <c r="E1342" t="s">
        <v>88</v>
      </c>
      <c r="F1342" t="s">
        <v>89</v>
      </c>
      <c r="G1342" t="s">
        <v>143</v>
      </c>
      <c r="H1342" t="s">
        <v>144</v>
      </c>
      <c r="I1342" t="s">
        <v>38</v>
      </c>
      <c r="J1342" t="s">
        <v>39</v>
      </c>
      <c r="K1342" t="s">
        <v>48</v>
      </c>
      <c r="L1342" t="s">
        <v>49</v>
      </c>
      <c r="M1342" t="s">
        <v>140</v>
      </c>
      <c r="N1342">
        <v>3885</v>
      </c>
      <c r="O1342">
        <v>7.3712438000000005E-2</v>
      </c>
      <c r="P1342">
        <v>2.0200873000000001E-2</v>
      </c>
      <c r="Q1342" t="str">
        <f t="shared" si="40"/>
        <v>15-24</v>
      </c>
      <c r="R1342" t="str">
        <f t="shared" si="41"/>
        <v>[ScR9iFKAasW]|15-24|Male|PLHIV_Residents.T_1|CY2024Q3</v>
      </c>
    </row>
    <row r="1343" spans="4:18" x14ac:dyDescent="0.2">
      <c r="D1343" t="s">
        <v>87</v>
      </c>
      <c r="E1343" t="s">
        <v>88</v>
      </c>
      <c r="F1343" t="s">
        <v>89</v>
      </c>
      <c r="G1343" t="s">
        <v>143</v>
      </c>
      <c r="H1343" t="s">
        <v>144</v>
      </c>
      <c r="I1343" t="s">
        <v>41</v>
      </c>
      <c r="J1343" t="s">
        <v>42</v>
      </c>
      <c r="K1343" t="s">
        <v>48</v>
      </c>
      <c r="L1343" t="s">
        <v>49</v>
      </c>
      <c r="M1343" t="s">
        <v>140</v>
      </c>
      <c r="N1343">
        <v>6726</v>
      </c>
      <c r="O1343">
        <v>6.7331502000000001E-2</v>
      </c>
      <c r="P1343">
        <v>2.0200873000000001E-2</v>
      </c>
      <c r="Q1343" t="str">
        <f t="shared" si="40"/>
        <v>25-34</v>
      </c>
      <c r="R1343" t="str">
        <f t="shared" si="41"/>
        <v>[ScR9iFKAasW]|25-34|Male|PLHIV_Residents.T_1|CY2024Q3</v>
      </c>
    </row>
    <row r="1344" spans="4:18" x14ac:dyDescent="0.2">
      <c r="D1344" t="s">
        <v>87</v>
      </c>
      <c r="E1344" t="s">
        <v>88</v>
      </c>
      <c r="F1344" t="s">
        <v>89</v>
      </c>
      <c r="G1344" t="s">
        <v>143</v>
      </c>
      <c r="H1344" t="s">
        <v>144</v>
      </c>
      <c r="I1344" t="s">
        <v>43</v>
      </c>
      <c r="J1344" t="s">
        <v>44</v>
      </c>
      <c r="K1344" t="s">
        <v>48</v>
      </c>
      <c r="L1344" t="s">
        <v>49</v>
      </c>
      <c r="M1344" t="s">
        <v>140</v>
      </c>
      <c r="N1344">
        <v>25359</v>
      </c>
      <c r="O1344">
        <v>3.1730162999999999E-2</v>
      </c>
      <c r="P1344">
        <v>2.0200873000000001E-2</v>
      </c>
      <c r="Q1344" t="str">
        <f t="shared" si="40"/>
        <v>35-49</v>
      </c>
      <c r="R1344" t="str">
        <f t="shared" si="41"/>
        <v>[ScR9iFKAasW]|35-49|Male|PLHIV_Residents.T_1|CY2024Q3</v>
      </c>
    </row>
    <row r="1345" spans="4:18" x14ac:dyDescent="0.2">
      <c r="D1345" t="s">
        <v>87</v>
      </c>
      <c r="E1345" t="s">
        <v>88</v>
      </c>
      <c r="F1345" t="s">
        <v>89</v>
      </c>
      <c r="G1345" t="s">
        <v>143</v>
      </c>
      <c r="H1345" t="s">
        <v>144</v>
      </c>
      <c r="I1345" t="s">
        <v>45</v>
      </c>
      <c r="J1345" t="s">
        <v>46</v>
      </c>
      <c r="K1345" t="s">
        <v>48</v>
      </c>
      <c r="L1345" t="s">
        <v>49</v>
      </c>
      <c r="M1345" t="s">
        <v>140</v>
      </c>
      <c r="N1345">
        <v>14007</v>
      </c>
      <c r="O1345">
        <v>4.2142419E-2</v>
      </c>
      <c r="P1345">
        <v>2.0200873000000001E-2</v>
      </c>
      <c r="Q1345" t="str">
        <f t="shared" si="40"/>
        <v>50+</v>
      </c>
      <c r="R1345" t="str">
        <f t="shared" si="41"/>
        <v>[ScR9iFKAasW]|50+|Male|PLHIV_Residents.T_1|CY2024Q3</v>
      </c>
    </row>
    <row r="1346" spans="4:18" x14ac:dyDescent="0.2">
      <c r="D1346" t="s">
        <v>90</v>
      </c>
      <c r="E1346" t="s">
        <v>91</v>
      </c>
      <c r="F1346" t="s">
        <v>92</v>
      </c>
      <c r="G1346" t="s">
        <v>143</v>
      </c>
      <c r="H1346" t="s">
        <v>144</v>
      </c>
      <c r="I1346" t="s">
        <v>28</v>
      </c>
      <c r="J1346" t="s">
        <v>29</v>
      </c>
      <c r="K1346" t="s">
        <v>30</v>
      </c>
      <c r="L1346" t="s">
        <v>31</v>
      </c>
      <c r="M1346" t="s">
        <v>140</v>
      </c>
      <c r="N1346">
        <v>10</v>
      </c>
      <c r="O1346">
        <v>6.7215722000000006E-2</v>
      </c>
      <c r="P1346">
        <v>5.8932768000000003E-2</v>
      </c>
      <c r="Q1346" t="str">
        <f t="shared" si="40"/>
        <v>&lt;01</v>
      </c>
      <c r="R1346" t="str">
        <f t="shared" si="41"/>
        <v>[kxuuIFpOXyO]|&lt;01|Female|PLHIV_Residents.T_1|CY2024Q3</v>
      </c>
    </row>
    <row r="1347" spans="4:18" x14ac:dyDescent="0.2">
      <c r="D1347" t="s">
        <v>90</v>
      </c>
      <c r="E1347" t="s">
        <v>91</v>
      </c>
      <c r="F1347" t="s">
        <v>92</v>
      </c>
      <c r="G1347" t="s">
        <v>143</v>
      </c>
      <c r="H1347" t="s">
        <v>144</v>
      </c>
      <c r="I1347" t="s">
        <v>33</v>
      </c>
      <c r="J1347" t="s">
        <v>34</v>
      </c>
      <c r="K1347" t="s">
        <v>30</v>
      </c>
      <c r="L1347" t="s">
        <v>31</v>
      </c>
      <c r="M1347" t="s">
        <v>140</v>
      </c>
      <c r="N1347">
        <v>194</v>
      </c>
      <c r="O1347">
        <v>7.7947204000000006E-2</v>
      </c>
      <c r="P1347">
        <v>5.8932768000000003E-2</v>
      </c>
      <c r="Q1347" t="str">
        <f t="shared" ref="Q1347:Q1410" si="42">SUBSTITUTE(SUBSTITUTE($I1347,CHAR(61),""),CHAR(34),"")</f>
        <v>01-09</v>
      </c>
      <c r="R1347" t="str">
        <f t="shared" ref="R1347:R1410" si="43">IF($D1347&lt;&gt;"","["&amp;$E1347&amp;"]"&amp;"|"&amp;$Q1347&amp;"|"&amp;$K1347&amp;"|"&amp;$G1347&amp;"|"&amp;IF($G1347="TX_CURR_SUBNAT.R","CY2023Q4",$M1347),"")</f>
        <v>[kxuuIFpOXyO]|01-09|Female|PLHIV_Residents.T_1|CY2024Q3</v>
      </c>
    </row>
    <row r="1348" spans="4:18" x14ac:dyDescent="0.2">
      <c r="D1348" t="s">
        <v>90</v>
      </c>
      <c r="E1348" t="s">
        <v>91</v>
      </c>
      <c r="F1348" t="s">
        <v>92</v>
      </c>
      <c r="G1348" t="s">
        <v>143</v>
      </c>
      <c r="H1348" t="s">
        <v>144</v>
      </c>
      <c r="I1348" t="s">
        <v>36</v>
      </c>
      <c r="J1348" t="s">
        <v>37</v>
      </c>
      <c r="K1348" t="s">
        <v>30</v>
      </c>
      <c r="L1348" t="s">
        <v>31</v>
      </c>
      <c r="M1348" t="s">
        <v>140</v>
      </c>
      <c r="N1348">
        <v>248</v>
      </c>
      <c r="O1348">
        <v>9.1844720000000005E-2</v>
      </c>
      <c r="P1348">
        <v>5.8932768000000003E-2</v>
      </c>
      <c r="Q1348" t="str">
        <f t="shared" si="42"/>
        <v>10-14</v>
      </c>
      <c r="R1348" t="str">
        <f t="shared" si="43"/>
        <v>[kxuuIFpOXyO]|10-14|Female|PLHIV_Residents.T_1|CY2024Q3</v>
      </c>
    </row>
    <row r="1349" spans="4:18" x14ac:dyDescent="0.2">
      <c r="D1349" t="s">
        <v>90</v>
      </c>
      <c r="E1349" t="s">
        <v>91</v>
      </c>
      <c r="F1349" t="s">
        <v>92</v>
      </c>
      <c r="G1349" t="s">
        <v>143</v>
      </c>
      <c r="H1349" t="s">
        <v>144</v>
      </c>
      <c r="I1349" t="s">
        <v>38</v>
      </c>
      <c r="J1349" t="s">
        <v>39</v>
      </c>
      <c r="K1349" t="s">
        <v>30</v>
      </c>
      <c r="L1349" t="s">
        <v>31</v>
      </c>
      <c r="M1349" t="s">
        <v>140</v>
      </c>
      <c r="N1349">
        <v>862</v>
      </c>
      <c r="O1349">
        <v>9.1130759000000006E-2</v>
      </c>
      <c r="P1349">
        <v>5.8932768000000003E-2</v>
      </c>
      <c r="Q1349" t="str">
        <f t="shared" si="42"/>
        <v>15-24</v>
      </c>
      <c r="R1349" t="str">
        <f t="shared" si="43"/>
        <v>[kxuuIFpOXyO]|15-24|Female|PLHIV_Residents.T_1|CY2024Q3</v>
      </c>
    </row>
    <row r="1350" spans="4:18" x14ac:dyDescent="0.2">
      <c r="D1350" t="s">
        <v>90</v>
      </c>
      <c r="E1350" t="s">
        <v>91</v>
      </c>
      <c r="F1350" t="s">
        <v>92</v>
      </c>
      <c r="G1350" t="s">
        <v>143</v>
      </c>
      <c r="H1350" t="s">
        <v>144</v>
      </c>
      <c r="I1350" t="s">
        <v>41</v>
      </c>
      <c r="J1350" t="s">
        <v>42</v>
      </c>
      <c r="K1350" t="s">
        <v>30</v>
      </c>
      <c r="L1350" t="s">
        <v>31</v>
      </c>
      <c r="M1350" t="s">
        <v>140</v>
      </c>
      <c r="N1350">
        <v>2205</v>
      </c>
      <c r="O1350">
        <v>7.4555675000000002E-2</v>
      </c>
      <c r="P1350">
        <v>5.8932768000000003E-2</v>
      </c>
      <c r="Q1350" t="str">
        <f t="shared" si="42"/>
        <v>25-34</v>
      </c>
      <c r="R1350" t="str">
        <f t="shared" si="43"/>
        <v>[kxuuIFpOXyO]|25-34|Female|PLHIV_Residents.T_1|CY2024Q3</v>
      </c>
    </row>
    <row r="1351" spans="4:18" x14ac:dyDescent="0.2">
      <c r="D1351" t="s">
        <v>90</v>
      </c>
      <c r="E1351" t="s">
        <v>91</v>
      </c>
      <c r="F1351" t="s">
        <v>92</v>
      </c>
      <c r="G1351" t="s">
        <v>143</v>
      </c>
      <c r="H1351" t="s">
        <v>144</v>
      </c>
      <c r="I1351" t="s">
        <v>43</v>
      </c>
      <c r="J1351" t="s">
        <v>44</v>
      </c>
      <c r="K1351" t="s">
        <v>30</v>
      </c>
      <c r="L1351" t="s">
        <v>31</v>
      </c>
      <c r="M1351" t="s">
        <v>140</v>
      </c>
      <c r="N1351">
        <v>5777</v>
      </c>
      <c r="O1351">
        <v>5.9765832999999997E-2</v>
      </c>
      <c r="P1351">
        <v>5.8932768000000003E-2</v>
      </c>
      <c r="Q1351" t="str">
        <f t="shared" si="42"/>
        <v>35-49</v>
      </c>
      <c r="R1351" t="str">
        <f t="shared" si="43"/>
        <v>[kxuuIFpOXyO]|35-49|Female|PLHIV_Residents.T_1|CY2024Q3</v>
      </c>
    </row>
    <row r="1352" spans="4:18" x14ac:dyDescent="0.2">
      <c r="D1352" t="s">
        <v>90</v>
      </c>
      <c r="E1352" t="s">
        <v>91</v>
      </c>
      <c r="F1352" t="s">
        <v>92</v>
      </c>
      <c r="G1352" t="s">
        <v>143</v>
      </c>
      <c r="H1352" t="s">
        <v>144</v>
      </c>
      <c r="I1352" t="s">
        <v>45</v>
      </c>
      <c r="J1352" t="s">
        <v>46</v>
      </c>
      <c r="K1352" t="s">
        <v>30</v>
      </c>
      <c r="L1352" t="s">
        <v>31</v>
      </c>
      <c r="M1352" t="s">
        <v>140</v>
      </c>
      <c r="N1352">
        <v>2686</v>
      </c>
      <c r="O1352">
        <v>7.0319898000000006E-2</v>
      </c>
      <c r="P1352">
        <v>5.8932768000000003E-2</v>
      </c>
      <c r="Q1352" t="str">
        <f t="shared" si="42"/>
        <v>50+</v>
      </c>
      <c r="R1352" t="str">
        <f t="shared" si="43"/>
        <v>[kxuuIFpOXyO]|50+|Female|PLHIV_Residents.T_1|CY2024Q3</v>
      </c>
    </row>
    <row r="1353" spans="4:18" x14ac:dyDescent="0.2">
      <c r="D1353" t="s">
        <v>90</v>
      </c>
      <c r="E1353" t="s">
        <v>91</v>
      </c>
      <c r="F1353" t="s">
        <v>92</v>
      </c>
      <c r="G1353" t="s">
        <v>143</v>
      </c>
      <c r="H1353" t="s">
        <v>144</v>
      </c>
      <c r="I1353" t="s">
        <v>28</v>
      </c>
      <c r="J1353" t="s">
        <v>29</v>
      </c>
      <c r="K1353" t="s">
        <v>48</v>
      </c>
      <c r="L1353" t="s">
        <v>49</v>
      </c>
      <c r="M1353" t="s">
        <v>140</v>
      </c>
      <c r="N1353">
        <v>10</v>
      </c>
      <c r="O1353">
        <v>6.7133303000000005E-2</v>
      </c>
      <c r="P1353">
        <v>5.8932768000000003E-2</v>
      </c>
      <c r="Q1353" t="str">
        <f t="shared" si="42"/>
        <v>&lt;01</v>
      </c>
      <c r="R1353" t="str">
        <f t="shared" si="43"/>
        <v>[kxuuIFpOXyO]|&lt;01|Male|PLHIV_Residents.T_1|CY2024Q3</v>
      </c>
    </row>
    <row r="1354" spans="4:18" x14ac:dyDescent="0.2">
      <c r="D1354" t="s">
        <v>90</v>
      </c>
      <c r="E1354" t="s">
        <v>91</v>
      </c>
      <c r="F1354" t="s">
        <v>92</v>
      </c>
      <c r="G1354" t="s">
        <v>143</v>
      </c>
      <c r="H1354" t="s">
        <v>144</v>
      </c>
      <c r="I1354" t="s">
        <v>33</v>
      </c>
      <c r="J1354" t="s">
        <v>34</v>
      </c>
      <c r="K1354" t="s">
        <v>48</v>
      </c>
      <c r="L1354" t="s">
        <v>49</v>
      </c>
      <c r="M1354" t="s">
        <v>140</v>
      </c>
      <c r="N1354">
        <v>194</v>
      </c>
      <c r="O1354">
        <v>7.7884693000000005E-2</v>
      </c>
      <c r="P1354">
        <v>5.8932768000000003E-2</v>
      </c>
      <c r="Q1354" t="str">
        <f t="shared" si="42"/>
        <v>01-09</v>
      </c>
      <c r="R1354" t="str">
        <f t="shared" si="43"/>
        <v>[kxuuIFpOXyO]|01-09|Male|PLHIV_Residents.T_1|CY2024Q3</v>
      </c>
    </row>
    <row r="1355" spans="4:18" x14ac:dyDescent="0.2">
      <c r="D1355" t="s">
        <v>90</v>
      </c>
      <c r="E1355" t="s">
        <v>91</v>
      </c>
      <c r="F1355" t="s">
        <v>92</v>
      </c>
      <c r="G1355" t="s">
        <v>143</v>
      </c>
      <c r="H1355" t="s">
        <v>144</v>
      </c>
      <c r="I1355" t="s">
        <v>36</v>
      </c>
      <c r="J1355" t="s">
        <v>37</v>
      </c>
      <c r="K1355" t="s">
        <v>48</v>
      </c>
      <c r="L1355" t="s">
        <v>49</v>
      </c>
      <c r="M1355" t="s">
        <v>140</v>
      </c>
      <c r="N1355">
        <v>247</v>
      </c>
      <c r="O1355">
        <v>9.1843141000000003E-2</v>
      </c>
      <c r="P1355">
        <v>5.8932768000000003E-2</v>
      </c>
      <c r="Q1355" t="str">
        <f t="shared" si="42"/>
        <v>10-14</v>
      </c>
      <c r="R1355" t="str">
        <f t="shared" si="43"/>
        <v>[kxuuIFpOXyO]|10-14|Male|PLHIV_Residents.T_1|CY2024Q3</v>
      </c>
    </row>
    <row r="1356" spans="4:18" x14ac:dyDescent="0.2">
      <c r="D1356" t="s">
        <v>90</v>
      </c>
      <c r="E1356" t="s">
        <v>91</v>
      </c>
      <c r="F1356" t="s">
        <v>92</v>
      </c>
      <c r="G1356" t="s">
        <v>143</v>
      </c>
      <c r="H1356" t="s">
        <v>144</v>
      </c>
      <c r="I1356" t="s">
        <v>38</v>
      </c>
      <c r="J1356" t="s">
        <v>39</v>
      </c>
      <c r="K1356" t="s">
        <v>48</v>
      </c>
      <c r="L1356" t="s">
        <v>49</v>
      </c>
      <c r="M1356" t="s">
        <v>140</v>
      </c>
      <c r="N1356">
        <v>654</v>
      </c>
      <c r="O1356">
        <v>9.8931549999999993E-2</v>
      </c>
      <c r="P1356">
        <v>5.8932768000000003E-2</v>
      </c>
      <c r="Q1356" t="str">
        <f t="shared" si="42"/>
        <v>15-24</v>
      </c>
      <c r="R1356" t="str">
        <f t="shared" si="43"/>
        <v>[kxuuIFpOXyO]|15-24|Male|PLHIV_Residents.T_1|CY2024Q3</v>
      </c>
    </row>
    <row r="1357" spans="4:18" x14ac:dyDescent="0.2">
      <c r="D1357" t="s">
        <v>90</v>
      </c>
      <c r="E1357" t="s">
        <v>91</v>
      </c>
      <c r="F1357" t="s">
        <v>92</v>
      </c>
      <c r="G1357" t="s">
        <v>143</v>
      </c>
      <c r="H1357" t="s">
        <v>144</v>
      </c>
      <c r="I1357" t="s">
        <v>41</v>
      </c>
      <c r="J1357" t="s">
        <v>42</v>
      </c>
      <c r="K1357" t="s">
        <v>48</v>
      </c>
      <c r="L1357" t="s">
        <v>49</v>
      </c>
      <c r="M1357" t="s">
        <v>140</v>
      </c>
      <c r="N1357">
        <v>910</v>
      </c>
      <c r="O1357">
        <v>9.1328383999999999E-2</v>
      </c>
      <c r="P1357">
        <v>5.8932768000000003E-2</v>
      </c>
      <c r="Q1357" t="str">
        <f t="shared" si="42"/>
        <v>25-34</v>
      </c>
      <c r="R1357" t="str">
        <f t="shared" si="43"/>
        <v>[kxuuIFpOXyO]|25-34|Male|PLHIV_Residents.T_1|CY2024Q3</v>
      </c>
    </row>
    <row r="1358" spans="4:18" x14ac:dyDescent="0.2">
      <c r="D1358" t="s">
        <v>90</v>
      </c>
      <c r="E1358" t="s">
        <v>91</v>
      </c>
      <c r="F1358" t="s">
        <v>92</v>
      </c>
      <c r="G1358" t="s">
        <v>143</v>
      </c>
      <c r="H1358" t="s">
        <v>144</v>
      </c>
      <c r="I1358" t="s">
        <v>43</v>
      </c>
      <c r="J1358" t="s">
        <v>44</v>
      </c>
      <c r="K1358" t="s">
        <v>48</v>
      </c>
      <c r="L1358" t="s">
        <v>49</v>
      </c>
      <c r="M1358" t="s">
        <v>140</v>
      </c>
      <c r="N1358">
        <v>3509</v>
      </c>
      <c r="O1358">
        <v>6.6434122999999998E-2</v>
      </c>
      <c r="P1358">
        <v>5.8932768000000003E-2</v>
      </c>
      <c r="Q1358" t="str">
        <f t="shared" si="42"/>
        <v>35-49</v>
      </c>
      <c r="R1358" t="str">
        <f t="shared" si="43"/>
        <v>[kxuuIFpOXyO]|35-49|Male|PLHIV_Residents.T_1|CY2024Q3</v>
      </c>
    </row>
    <row r="1359" spans="4:18" x14ac:dyDescent="0.2">
      <c r="D1359" t="s">
        <v>90</v>
      </c>
      <c r="E1359" t="s">
        <v>91</v>
      </c>
      <c r="F1359" t="s">
        <v>92</v>
      </c>
      <c r="G1359" t="s">
        <v>143</v>
      </c>
      <c r="H1359" t="s">
        <v>144</v>
      </c>
      <c r="I1359" t="s">
        <v>45</v>
      </c>
      <c r="J1359" t="s">
        <v>46</v>
      </c>
      <c r="K1359" t="s">
        <v>48</v>
      </c>
      <c r="L1359" t="s">
        <v>49</v>
      </c>
      <c r="M1359" t="s">
        <v>140</v>
      </c>
      <c r="N1359">
        <v>2642</v>
      </c>
      <c r="O1359">
        <v>6.2565284999999998E-2</v>
      </c>
      <c r="P1359">
        <v>5.8932768000000003E-2</v>
      </c>
      <c r="Q1359" t="str">
        <f t="shared" si="42"/>
        <v>50+</v>
      </c>
      <c r="R1359" t="str">
        <f t="shared" si="43"/>
        <v>[kxuuIFpOXyO]|50+|Male|PLHIV_Residents.T_1|CY2024Q3</v>
      </c>
    </row>
    <row r="1360" spans="4:18" x14ac:dyDescent="0.2">
      <c r="D1360" t="s">
        <v>93</v>
      </c>
      <c r="E1360" t="s">
        <v>94</v>
      </c>
      <c r="F1360" t="s">
        <v>95</v>
      </c>
      <c r="G1360" t="s">
        <v>143</v>
      </c>
      <c r="H1360" t="s">
        <v>144</v>
      </c>
      <c r="I1360" t="s">
        <v>28</v>
      </c>
      <c r="J1360" t="s">
        <v>29</v>
      </c>
      <c r="K1360" t="s">
        <v>30</v>
      </c>
      <c r="L1360" t="s">
        <v>31</v>
      </c>
      <c r="M1360" t="s">
        <v>140</v>
      </c>
      <c r="N1360">
        <v>11</v>
      </c>
      <c r="O1360">
        <v>9.4824111000000003E-2</v>
      </c>
      <c r="P1360">
        <v>8.7851988000000006E-2</v>
      </c>
      <c r="Q1360" t="str">
        <f t="shared" si="42"/>
        <v>&lt;01</v>
      </c>
      <c r="R1360" t="str">
        <f t="shared" si="43"/>
        <v>[PekKUkKHAzY]|&lt;01|Female|PLHIV_Residents.T_1|CY2024Q3</v>
      </c>
    </row>
    <row r="1361" spans="4:18" x14ac:dyDescent="0.2">
      <c r="D1361" t="s">
        <v>93</v>
      </c>
      <c r="E1361" t="s">
        <v>94</v>
      </c>
      <c r="F1361" t="s">
        <v>95</v>
      </c>
      <c r="G1361" t="s">
        <v>143</v>
      </c>
      <c r="H1361" t="s">
        <v>144</v>
      </c>
      <c r="I1361" t="s">
        <v>33</v>
      </c>
      <c r="J1361" t="s">
        <v>34</v>
      </c>
      <c r="K1361" t="s">
        <v>30</v>
      </c>
      <c r="L1361" t="s">
        <v>31</v>
      </c>
      <c r="M1361" t="s">
        <v>140</v>
      </c>
      <c r="N1361">
        <v>213</v>
      </c>
      <c r="O1361">
        <v>0.102748204</v>
      </c>
      <c r="P1361">
        <v>8.7851988000000006E-2</v>
      </c>
      <c r="Q1361" t="str">
        <f t="shared" si="42"/>
        <v>01-09</v>
      </c>
      <c r="R1361" t="str">
        <f t="shared" si="43"/>
        <v>[PekKUkKHAzY]|01-09|Female|PLHIV_Residents.T_1|CY2024Q3</v>
      </c>
    </row>
    <row r="1362" spans="4:18" x14ac:dyDescent="0.2">
      <c r="D1362" t="s">
        <v>93</v>
      </c>
      <c r="E1362" t="s">
        <v>94</v>
      </c>
      <c r="F1362" t="s">
        <v>95</v>
      </c>
      <c r="G1362" t="s">
        <v>143</v>
      </c>
      <c r="H1362" t="s">
        <v>144</v>
      </c>
      <c r="I1362" t="s">
        <v>36</v>
      </c>
      <c r="J1362" t="s">
        <v>37</v>
      </c>
      <c r="K1362" t="s">
        <v>30</v>
      </c>
      <c r="L1362" t="s">
        <v>31</v>
      </c>
      <c r="M1362" t="s">
        <v>140</v>
      </c>
      <c r="N1362">
        <v>271</v>
      </c>
      <c r="O1362">
        <v>0.11313945</v>
      </c>
      <c r="P1362">
        <v>8.7851988000000006E-2</v>
      </c>
      <c r="Q1362" t="str">
        <f t="shared" si="42"/>
        <v>10-14</v>
      </c>
      <c r="R1362" t="str">
        <f t="shared" si="43"/>
        <v>[PekKUkKHAzY]|10-14|Female|PLHIV_Residents.T_1|CY2024Q3</v>
      </c>
    </row>
    <row r="1363" spans="4:18" x14ac:dyDescent="0.2">
      <c r="D1363" t="s">
        <v>93</v>
      </c>
      <c r="E1363" t="s">
        <v>94</v>
      </c>
      <c r="F1363" t="s">
        <v>95</v>
      </c>
      <c r="G1363" t="s">
        <v>143</v>
      </c>
      <c r="H1363" t="s">
        <v>144</v>
      </c>
      <c r="I1363" t="s">
        <v>38</v>
      </c>
      <c r="J1363" t="s">
        <v>39</v>
      </c>
      <c r="K1363" t="s">
        <v>30</v>
      </c>
      <c r="L1363" t="s">
        <v>31</v>
      </c>
      <c r="M1363" t="s">
        <v>140</v>
      </c>
      <c r="N1363">
        <v>922</v>
      </c>
      <c r="O1363">
        <v>0.110017039</v>
      </c>
      <c r="P1363">
        <v>8.7851988000000006E-2</v>
      </c>
      <c r="Q1363" t="str">
        <f t="shared" si="42"/>
        <v>15-24</v>
      </c>
      <c r="R1363" t="str">
        <f t="shared" si="43"/>
        <v>[PekKUkKHAzY]|15-24|Female|PLHIV_Residents.T_1|CY2024Q3</v>
      </c>
    </row>
    <row r="1364" spans="4:18" x14ac:dyDescent="0.2">
      <c r="D1364" t="s">
        <v>93</v>
      </c>
      <c r="E1364" t="s">
        <v>94</v>
      </c>
      <c r="F1364" t="s">
        <v>95</v>
      </c>
      <c r="G1364" t="s">
        <v>143</v>
      </c>
      <c r="H1364" t="s">
        <v>144</v>
      </c>
      <c r="I1364" t="s">
        <v>41</v>
      </c>
      <c r="J1364" t="s">
        <v>42</v>
      </c>
      <c r="K1364" t="s">
        <v>30</v>
      </c>
      <c r="L1364" t="s">
        <v>31</v>
      </c>
      <c r="M1364" t="s">
        <v>140</v>
      </c>
      <c r="N1364">
        <v>2357</v>
      </c>
      <c r="O1364">
        <v>0.10141651</v>
      </c>
      <c r="P1364">
        <v>8.7851988000000006E-2</v>
      </c>
      <c r="Q1364" t="str">
        <f t="shared" si="42"/>
        <v>25-34</v>
      </c>
      <c r="R1364" t="str">
        <f t="shared" si="43"/>
        <v>[PekKUkKHAzY]|25-34|Female|PLHIV_Residents.T_1|CY2024Q3</v>
      </c>
    </row>
    <row r="1365" spans="4:18" x14ac:dyDescent="0.2">
      <c r="D1365" t="s">
        <v>93</v>
      </c>
      <c r="E1365" t="s">
        <v>94</v>
      </c>
      <c r="F1365" t="s">
        <v>95</v>
      </c>
      <c r="G1365" t="s">
        <v>143</v>
      </c>
      <c r="H1365" t="s">
        <v>144</v>
      </c>
      <c r="I1365" t="s">
        <v>43</v>
      </c>
      <c r="J1365" t="s">
        <v>44</v>
      </c>
      <c r="K1365" t="s">
        <v>30</v>
      </c>
      <c r="L1365" t="s">
        <v>31</v>
      </c>
      <c r="M1365" t="s">
        <v>140</v>
      </c>
      <c r="N1365">
        <v>6432</v>
      </c>
      <c r="O1365">
        <v>8.8738331000000004E-2</v>
      </c>
      <c r="P1365">
        <v>8.7851988000000006E-2</v>
      </c>
      <c r="Q1365" t="str">
        <f t="shared" si="42"/>
        <v>35-49</v>
      </c>
      <c r="R1365" t="str">
        <f t="shared" si="43"/>
        <v>[PekKUkKHAzY]|35-49|Female|PLHIV_Residents.T_1|CY2024Q3</v>
      </c>
    </row>
    <row r="1366" spans="4:18" x14ac:dyDescent="0.2">
      <c r="D1366" t="s">
        <v>93</v>
      </c>
      <c r="E1366" t="s">
        <v>94</v>
      </c>
      <c r="F1366" t="s">
        <v>95</v>
      </c>
      <c r="G1366" t="s">
        <v>143</v>
      </c>
      <c r="H1366" t="s">
        <v>144</v>
      </c>
      <c r="I1366" t="s">
        <v>45</v>
      </c>
      <c r="J1366" t="s">
        <v>46</v>
      </c>
      <c r="K1366" t="s">
        <v>30</v>
      </c>
      <c r="L1366" t="s">
        <v>31</v>
      </c>
      <c r="M1366" t="s">
        <v>140</v>
      </c>
      <c r="N1366">
        <v>3256</v>
      </c>
      <c r="O1366">
        <v>9.6468495000000001E-2</v>
      </c>
      <c r="P1366">
        <v>8.7851988000000006E-2</v>
      </c>
      <c r="Q1366" t="str">
        <f t="shared" si="42"/>
        <v>50+</v>
      </c>
      <c r="R1366" t="str">
        <f t="shared" si="43"/>
        <v>[PekKUkKHAzY]|50+|Female|PLHIV_Residents.T_1|CY2024Q3</v>
      </c>
    </row>
    <row r="1367" spans="4:18" x14ac:dyDescent="0.2">
      <c r="D1367" t="s">
        <v>93</v>
      </c>
      <c r="E1367" t="s">
        <v>94</v>
      </c>
      <c r="F1367" t="s">
        <v>95</v>
      </c>
      <c r="G1367" t="s">
        <v>143</v>
      </c>
      <c r="H1367" t="s">
        <v>144</v>
      </c>
      <c r="I1367" t="s">
        <v>28</v>
      </c>
      <c r="J1367" t="s">
        <v>29</v>
      </c>
      <c r="K1367" t="s">
        <v>48</v>
      </c>
      <c r="L1367" t="s">
        <v>49</v>
      </c>
      <c r="M1367" t="s">
        <v>140</v>
      </c>
      <c r="N1367">
        <v>11</v>
      </c>
      <c r="O1367">
        <v>9.4804738E-2</v>
      </c>
      <c r="P1367">
        <v>8.7851988000000006E-2</v>
      </c>
      <c r="Q1367" t="str">
        <f t="shared" si="42"/>
        <v>&lt;01</v>
      </c>
      <c r="R1367" t="str">
        <f t="shared" si="43"/>
        <v>[PekKUkKHAzY]|&lt;01|Male|PLHIV_Residents.T_1|CY2024Q3</v>
      </c>
    </row>
    <row r="1368" spans="4:18" x14ac:dyDescent="0.2">
      <c r="D1368" t="s">
        <v>93</v>
      </c>
      <c r="E1368" t="s">
        <v>94</v>
      </c>
      <c r="F1368" t="s">
        <v>95</v>
      </c>
      <c r="G1368" t="s">
        <v>143</v>
      </c>
      <c r="H1368" t="s">
        <v>144</v>
      </c>
      <c r="I1368" t="s">
        <v>33</v>
      </c>
      <c r="J1368" t="s">
        <v>34</v>
      </c>
      <c r="K1368" t="s">
        <v>48</v>
      </c>
      <c r="L1368" t="s">
        <v>49</v>
      </c>
      <c r="M1368" t="s">
        <v>140</v>
      </c>
      <c r="N1368">
        <v>214</v>
      </c>
      <c r="O1368">
        <v>0.10272440100000001</v>
      </c>
      <c r="P1368">
        <v>8.7851988000000006E-2</v>
      </c>
      <c r="Q1368" t="str">
        <f t="shared" si="42"/>
        <v>01-09</v>
      </c>
      <c r="R1368" t="str">
        <f t="shared" si="43"/>
        <v>[PekKUkKHAzY]|01-09|Male|PLHIV_Residents.T_1|CY2024Q3</v>
      </c>
    </row>
    <row r="1369" spans="4:18" x14ac:dyDescent="0.2">
      <c r="D1369" t="s">
        <v>93</v>
      </c>
      <c r="E1369" t="s">
        <v>94</v>
      </c>
      <c r="F1369" t="s">
        <v>95</v>
      </c>
      <c r="G1369" t="s">
        <v>143</v>
      </c>
      <c r="H1369" t="s">
        <v>144</v>
      </c>
      <c r="I1369" t="s">
        <v>36</v>
      </c>
      <c r="J1369" t="s">
        <v>37</v>
      </c>
      <c r="K1369" t="s">
        <v>48</v>
      </c>
      <c r="L1369" t="s">
        <v>49</v>
      </c>
      <c r="M1369" t="s">
        <v>140</v>
      </c>
      <c r="N1369">
        <v>269</v>
      </c>
      <c r="O1369">
        <v>0.11313838499999999</v>
      </c>
      <c r="P1369">
        <v>8.7851988000000006E-2</v>
      </c>
      <c r="Q1369" t="str">
        <f t="shared" si="42"/>
        <v>10-14</v>
      </c>
      <c r="R1369" t="str">
        <f t="shared" si="43"/>
        <v>[PekKUkKHAzY]|10-14|Male|PLHIV_Residents.T_1|CY2024Q3</v>
      </c>
    </row>
    <row r="1370" spans="4:18" x14ac:dyDescent="0.2">
      <c r="D1370" t="s">
        <v>93</v>
      </c>
      <c r="E1370" t="s">
        <v>94</v>
      </c>
      <c r="F1370" t="s">
        <v>95</v>
      </c>
      <c r="G1370" t="s">
        <v>143</v>
      </c>
      <c r="H1370" t="s">
        <v>144</v>
      </c>
      <c r="I1370" t="s">
        <v>38</v>
      </c>
      <c r="J1370" t="s">
        <v>39</v>
      </c>
      <c r="K1370" t="s">
        <v>48</v>
      </c>
      <c r="L1370" t="s">
        <v>49</v>
      </c>
      <c r="M1370" t="s">
        <v>140</v>
      </c>
      <c r="N1370">
        <v>669</v>
      </c>
      <c r="O1370">
        <v>0.115097853</v>
      </c>
      <c r="P1370">
        <v>8.7851988000000006E-2</v>
      </c>
      <c r="Q1370" t="str">
        <f t="shared" si="42"/>
        <v>15-24</v>
      </c>
      <c r="R1370" t="str">
        <f t="shared" si="43"/>
        <v>[PekKUkKHAzY]|15-24|Male|PLHIV_Residents.T_1|CY2024Q3</v>
      </c>
    </row>
    <row r="1371" spans="4:18" x14ac:dyDescent="0.2">
      <c r="D1371" t="s">
        <v>93</v>
      </c>
      <c r="E1371" t="s">
        <v>94</v>
      </c>
      <c r="F1371" t="s">
        <v>95</v>
      </c>
      <c r="G1371" t="s">
        <v>143</v>
      </c>
      <c r="H1371" t="s">
        <v>144</v>
      </c>
      <c r="I1371" t="s">
        <v>41</v>
      </c>
      <c r="J1371" t="s">
        <v>42</v>
      </c>
      <c r="K1371" t="s">
        <v>48</v>
      </c>
      <c r="L1371" t="s">
        <v>49</v>
      </c>
      <c r="M1371" t="s">
        <v>140</v>
      </c>
      <c r="N1371">
        <v>869</v>
      </c>
      <c r="O1371">
        <v>0.112544879</v>
      </c>
      <c r="P1371">
        <v>8.7851988000000006E-2</v>
      </c>
      <c r="Q1371" t="str">
        <f t="shared" si="42"/>
        <v>25-34</v>
      </c>
      <c r="R1371" t="str">
        <f t="shared" si="43"/>
        <v>[PekKUkKHAzY]|25-34|Male|PLHIV_Residents.T_1|CY2024Q3</v>
      </c>
    </row>
    <row r="1372" spans="4:18" x14ac:dyDescent="0.2">
      <c r="D1372" t="s">
        <v>93</v>
      </c>
      <c r="E1372" t="s">
        <v>94</v>
      </c>
      <c r="F1372" t="s">
        <v>95</v>
      </c>
      <c r="G1372" t="s">
        <v>143</v>
      </c>
      <c r="H1372" t="s">
        <v>144</v>
      </c>
      <c r="I1372" t="s">
        <v>43</v>
      </c>
      <c r="J1372" t="s">
        <v>44</v>
      </c>
      <c r="K1372" t="s">
        <v>48</v>
      </c>
      <c r="L1372" t="s">
        <v>49</v>
      </c>
      <c r="M1372" t="s">
        <v>140</v>
      </c>
      <c r="N1372">
        <v>3455</v>
      </c>
      <c r="O1372">
        <v>9.1167714999999996E-2</v>
      </c>
      <c r="P1372">
        <v>8.7851988000000006E-2</v>
      </c>
      <c r="Q1372" t="str">
        <f t="shared" si="42"/>
        <v>35-49</v>
      </c>
      <c r="R1372" t="str">
        <f t="shared" si="43"/>
        <v>[PekKUkKHAzY]|35-49|Male|PLHIV_Residents.T_1|CY2024Q3</v>
      </c>
    </row>
    <row r="1373" spans="4:18" x14ac:dyDescent="0.2">
      <c r="D1373" t="s">
        <v>93</v>
      </c>
      <c r="E1373" t="s">
        <v>94</v>
      </c>
      <c r="F1373" t="s">
        <v>95</v>
      </c>
      <c r="G1373" t="s">
        <v>143</v>
      </c>
      <c r="H1373" t="s">
        <v>144</v>
      </c>
      <c r="I1373" t="s">
        <v>45</v>
      </c>
      <c r="J1373" t="s">
        <v>46</v>
      </c>
      <c r="K1373" t="s">
        <v>48</v>
      </c>
      <c r="L1373" t="s">
        <v>49</v>
      </c>
      <c r="M1373" t="s">
        <v>140</v>
      </c>
      <c r="N1373">
        <v>2626</v>
      </c>
      <c r="O1373">
        <v>9.0385521999999996E-2</v>
      </c>
      <c r="P1373">
        <v>8.7851988000000006E-2</v>
      </c>
      <c r="Q1373" t="str">
        <f t="shared" si="42"/>
        <v>50+</v>
      </c>
      <c r="R1373" t="str">
        <f t="shared" si="43"/>
        <v>[PekKUkKHAzY]|50+|Male|PLHIV_Residents.T_1|CY2024Q3</v>
      </c>
    </row>
    <row r="1374" spans="4:18" x14ac:dyDescent="0.2">
      <c r="D1374" t="s">
        <v>96</v>
      </c>
      <c r="E1374" t="s">
        <v>97</v>
      </c>
      <c r="F1374" t="s">
        <v>98</v>
      </c>
      <c r="G1374" t="s">
        <v>143</v>
      </c>
      <c r="H1374" t="s">
        <v>144</v>
      </c>
      <c r="I1374" t="s">
        <v>28</v>
      </c>
      <c r="J1374" t="s">
        <v>29</v>
      </c>
      <c r="K1374" t="s">
        <v>30</v>
      </c>
      <c r="L1374" t="s">
        <v>31</v>
      </c>
      <c r="M1374" t="s">
        <v>140</v>
      </c>
      <c r="N1374">
        <v>16</v>
      </c>
      <c r="O1374">
        <v>8.2774923E-2</v>
      </c>
      <c r="P1374">
        <v>7.6842680999999996E-2</v>
      </c>
      <c r="Q1374" t="str">
        <f t="shared" si="42"/>
        <v>&lt;01</v>
      </c>
      <c r="R1374" t="str">
        <f t="shared" si="43"/>
        <v>[am530wpaGvr]|&lt;01|Female|PLHIV_Residents.T_1|CY2024Q3</v>
      </c>
    </row>
    <row r="1375" spans="4:18" x14ac:dyDescent="0.2">
      <c r="D1375" t="s">
        <v>96</v>
      </c>
      <c r="E1375" t="s">
        <v>97</v>
      </c>
      <c r="F1375" t="s">
        <v>98</v>
      </c>
      <c r="G1375" t="s">
        <v>143</v>
      </c>
      <c r="H1375" t="s">
        <v>144</v>
      </c>
      <c r="I1375" t="s">
        <v>33</v>
      </c>
      <c r="J1375" t="s">
        <v>34</v>
      </c>
      <c r="K1375" t="s">
        <v>30</v>
      </c>
      <c r="L1375" t="s">
        <v>31</v>
      </c>
      <c r="M1375" t="s">
        <v>140</v>
      </c>
      <c r="N1375">
        <v>300</v>
      </c>
      <c r="O1375">
        <v>8.8086969000000001E-2</v>
      </c>
      <c r="P1375">
        <v>7.6842680999999996E-2</v>
      </c>
      <c r="Q1375" t="str">
        <f t="shared" si="42"/>
        <v>01-09</v>
      </c>
      <c r="R1375" t="str">
        <f t="shared" si="43"/>
        <v>[am530wpaGvr]|01-09|Female|PLHIV_Residents.T_1|CY2024Q3</v>
      </c>
    </row>
    <row r="1376" spans="4:18" x14ac:dyDescent="0.2">
      <c r="D1376" t="s">
        <v>96</v>
      </c>
      <c r="E1376" t="s">
        <v>97</v>
      </c>
      <c r="F1376" t="s">
        <v>98</v>
      </c>
      <c r="G1376" t="s">
        <v>143</v>
      </c>
      <c r="H1376" t="s">
        <v>144</v>
      </c>
      <c r="I1376" t="s">
        <v>36</v>
      </c>
      <c r="J1376" t="s">
        <v>37</v>
      </c>
      <c r="K1376" t="s">
        <v>30</v>
      </c>
      <c r="L1376" t="s">
        <v>31</v>
      </c>
      <c r="M1376" t="s">
        <v>140</v>
      </c>
      <c r="N1376">
        <v>384</v>
      </c>
      <c r="O1376">
        <v>9.5036721000000005E-2</v>
      </c>
      <c r="P1376">
        <v>7.6842680999999996E-2</v>
      </c>
      <c r="Q1376" t="str">
        <f t="shared" si="42"/>
        <v>10-14</v>
      </c>
      <c r="R1376" t="str">
        <f t="shared" si="43"/>
        <v>[am530wpaGvr]|10-14|Female|PLHIV_Residents.T_1|CY2024Q3</v>
      </c>
    </row>
    <row r="1377" spans="4:18" x14ac:dyDescent="0.2">
      <c r="D1377" t="s">
        <v>96</v>
      </c>
      <c r="E1377" t="s">
        <v>97</v>
      </c>
      <c r="F1377" t="s">
        <v>98</v>
      </c>
      <c r="G1377" t="s">
        <v>143</v>
      </c>
      <c r="H1377" t="s">
        <v>144</v>
      </c>
      <c r="I1377" t="s">
        <v>38</v>
      </c>
      <c r="J1377" t="s">
        <v>39</v>
      </c>
      <c r="K1377" t="s">
        <v>30</v>
      </c>
      <c r="L1377" t="s">
        <v>31</v>
      </c>
      <c r="M1377" t="s">
        <v>140</v>
      </c>
      <c r="N1377">
        <v>1335</v>
      </c>
      <c r="O1377">
        <v>0.101588572</v>
      </c>
      <c r="P1377">
        <v>7.6842680999999996E-2</v>
      </c>
      <c r="Q1377" t="str">
        <f t="shared" si="42"/>
        <v>15-24</v>
      </c>
      <c r="R1377" t="str">
        <f t="shared" si="43"/>
        <v>[am530wpaGvr]|15-24|Female|PLHIV_Residents.T_1|CY2024Q3</v>
      </c>
    </row>
    <row r="1378" spans="4:18" x14ac:dyDescent="0.2">
      <c r="D1378" t="s">
        <v>96</v>
      </c>
      <c r="E1378" t="s">
        <v>97</v>
      </c>
      <c r="F1378" t="s">
        <v>98</v>
      </c>
      <c r="G1378" t="s">
        <v>143</v>
      </c>
      <c r="H1378" t="s">
        <v>144</v>
      </c>
      <c r="I1378" t="s">
        <v>41</v>
      </c>
      <c r="J1378" t="s">
        <v>42</v>
      </c>
      <c r="K1378" t="s">
        <v>30</v>
      </c>
      <c r="L1378" t="s">
        <v>31</v>
      </c>
      <c r="M1378" t="s">
        <v>140</v>
      </c>
      <c r="N1378">
        <v>3251</v>
      </c>
      <c r="O1378">
        <v>9.2638235999999999E-2</v>
      </c>
      <c r="P1378">
        <v>7.6842680999999996E-2</v>
      </c>
      <c r="Q1378" t="str">
        <f t="shared" si="42"/>
        <v>25-34</v>
      </c>
      <c r="R1378" t="str">
        <f t="shared" si="43"/>
        <v>[am530wpaGvr]|25-34|Female|PLHIV_Residents.T_1|CY2024Q3</v>
      </c>
    </row>
    <row r="1379" spans="4:18" x14ac:dyDescent="0.2">
      <c r="D1379" t="s">
        <v>96</v>
      </c>
      <c r="E1379" t="s">
        <v>97</v>
      </c>
      <c r="F1379" t="s">
        <v>98</v>
      </c>
      <c r="G1379" t="s">
        <v>143</v>
      </c>
      <c r="H1379" t="s">
        <v>144</v>
      </c>
      <c r="I1379" t="s">
        <v>43</v>
      </c>
      <c r="J1379" t="s">
        <v>44</v>
      </c>
      <c r="K1379" t="s">
        <v>30</v>
      </c>
      <c r="L1379" t="s">
        <v>31</v>
      </c>
      <c r="M1379" t="s">
        <v>140</v>
      </c>
      <c r="N1379">
        <v>8833</v>
      </c>
      <c r="O1379">
        <v>7.7555558999999996E-2</v>
      </c>
      <c r="P1379">
        <v>7.6842680999999996E-2</v>
      </c>
      <c r="Q1379" t="str">
        <f t="shared" si="42"/>
        <v>35-49</v>
      </c>
      <c r="R1379" t="str">
        <f t="shared" si="43"/>
        <v>[am530wpaGvr]|35-49|Female|PLHIV_Residents.T_1|CY2024Q3</v>
      </c>
    </row>
    <row r="1380" spans="4:18" x14ac:dyDescent="0.2">
      <c r="D1380" t="s">
        <v>96</v>
      </c>
      <c r="E1380" t="s">
        <v>97</v>
      </c>
      <c r="F1380" t="s">
        <v>98</v>
      </c>
      <c r="G1380" t="s">
        <v>143</v>
      </c>
      <c r="H1380" t="s">
        <v>144</v>
      </c>
      <c r="I1380" t="s">
        <v>45</v>
      </c>
      <c r="J1380" t="s">
        <v>46</v>
      </c>
      <c r="K1380" t="s">
        <v>30</v>
      </c>
      <c r="L1380" t="s">
        <v>31</v>
      </c>
      <c r="M1380" t="s">
        <v>140</v>
      </c>
      <c r="N1380">
        <v>4475</v>
      </c>
      <c r="O1380">
        <v>8.6182928000000006E-2</v>
      </c>
      <c r="P1380">
        <v>7.6842680999999996E-2</v>
      </c>
      <c r="Q1380" t="str">
        <f t="shared" si="42"/>
        <v>50+</v>
      </c>
      <c r="R1380" t="str">
        <f t="shared" si="43"/>
        <v>[am530wpaGvr]|50+|Female|PLHIV_Residents.T_1|CY2024Q3</v>
      </c>
    </row>
    <row r="1381" spans="4:18" x14ac:dyDescent="0.2">
      <c r="D1381" t="s">
        <v>96</v>
      </c>
      <c r="E1381" t="s">
        <v>97</v>
      </c>
      <c r="F1381" t="s">
        <v>98</v>
      </c>
      <c r="G1381" t="s">
        <v>143</v>
      </c>
      <c r="H1381" t="s">
        <v>144</v>
      </c>
      <c r="I1381" t="s">
        <v>28</v>
      </c>
      <c r="J1381" t="s">
        <v>29</v>
      </c>
      <c r="K1381" t="s">
        <v>48</v>
      </c>
      <c r="L1381" t="s">
        <v>49</v>
      </c>
      <c r="M1381" t="s">
        <v>140</v>
      </c>
      <c r="N1381">
        <v>16</v>
      </c>
      <c r="O1381">
        <v>8.2844366000000003E-2</v>
      </c>
      <c r="P1381">
        <v>7.6842680999999996E-2</v>
      </c>
      <c r="Q1381" t="str">
        <f t="shared" si="42"/>
        <v>&lt;01</v>
      </c>
      <c r="R1381" t="str">
        <f t="shared" si="43"/>
        <v>[am530wpaGvr]|&lt;01|Male|PLHIV_Residents.T_1|CY2024Q3</v>
      </c>
    </row>
    <row r="1382" spans="4:18" x14ac:dyDescent="0.2">
      <c r="D1382" t="s">
        <v>96</v>
      </c>
      <c r="E1382" t="s">
        <v>97</v>
      </c>
      <c r="F1382" t="s">
        <v>98</v>
      </c>
      <c r="G1382" t="s">
        <v>143</v>
      </c>
      <c r="H1382" t="s">
        <v>144</v>
      </c>
      <c r="I1382" t="s">
        <v>33</v>
      </c>
      <c r="J1382" t="s">
        <v>34</v>
      </c>
      <c r="K1382" t="s">
        <v>48</v>
      </c>
      <c r="L1382" t="s">
        <v>49</v>
      </c>
      <c r="M1382" t="s">
        <v>140</v>
      </c>
      <c r="N1382">
        <v>307</v>
      </c>
      <c r="O1382">
        <v>8.8135454000000002E-2</v>
      </c>
      <c r="P1382">
        <v>7.6842680999999996E-2</v>
      </c>
      <c r="Q1382" t="str">
        <f t="shared" si="42"/>
        <v>01-09</v>
      </c>
      <c r="R1382" t="str">
        <f t="shared" si="43"/>
        <v>[am530wpaGvr]|01-09|Male|PLHIV_Residents.T_1|CY2024Q3</v>
      </c>
    </row>
    <row r="1383" spans="4:18" x14ac:dyDescent="0.2">
      <c r="D1383" t="s">
        <v>96</v>
      </c>
      <c r="E1383" t="s">
        <v>97</v>
      </c>
      <c r="F1383" t="s">
        <v>98</v>
      </c>
      <c r="G1383" t="s">
        <v>143</v>
      </c>
      <c r="H1383" t="s">
        <v>144</v>
      </c>
      <c r="I1383" t="s">
        <v>36</v>
      </c>
      <c r="J1383" t="s">
        <v>37</v>
      </c>
      <c r="K1383" t="s">
        <v>48</v>
      </c>
      <c r="L1383" t="s">
        <v>49</v>
      </c>
      <c r="M1383" t="s">
        <v>140</v>
      </c>
      <c r="N1383">
        <v>391</v>
      </c>
      <c r="O1383">
        <v>9.5035526999999995E-2</v>
      </c>
      <c r="P1383">
        <v>7.6842680999999996E-2</v>
      </c>
      <c r="Q1383" t="str">
        <f t="shared" si="42"/>
        <v>10-14</v>
      </c>
      <c r="R1383" t="str">
        <f t="shared" si="43"/>
        <v>[am530wpaGvr]|10-14|Male|PLHIV_Residents.T_1|CY2024Q3</v>
      </c>
    </row>
    <row r="1384" spans="4:18" x14ac:dyDescent="0.2">
      <c r="D1384" t="s">
        <v>96</v>
      </c>
      <c r="E1384" t="s">
        <v>97</v>
      </c>
      <c r="F1384" t="s">
        <v>98</v>
      </c>
      <c r="G1384" t="s">
        <v>143</v>
      </c>
      <c r="H1384" t="s">
        <v>144</v>
      </c>
      <c r="I1384" t="s">
        <v>38</v>
      </c>
      <c r="J1384" t="s">
        <v>39</v>
      </c>
      <c r="K1384" t="s">
        <v>48</v>
      </c>
      <c r="L1384" t="s">
        <v>49</v>
      </c>
      <c r="M1384" t="s">
        <v>140</v>
      </c>
      <c r="N1384">
        <v>969</v>
      </c>
      <c r="O1384">
        <v>0.106639392</v>
      </c>
      <c r="P1384">
        <v>7.6842680999999996E-2</v>
      </c>
      <c r="Q1384" t="str">
        <f t="shared" si="42"/>
        <v>15-24</v>
      </c>
      <c r="R1384" t="str">
        <f t="shared" si="43"/>
        <v>[am530wpaGvr]|15-24|Male|PLHIV_Residents.T_1|CY2024Q3</v>
      </c>
    </row>
    <row r="1385" spans="4:18" x14ac:dyDescent="0.2">
      <c r="D1385" t="s">
        <v>96</v>
      </c>
      <c r="E1385" t="s">
        <v>97</v>
      </c>
      <c r="F1385" t="s">
        <v>98</v>
      </c>
      <c r="G1385" t="s">
        <v>143</v>
      </c>
      <c r="H1385" t="s">
        <v>144</v>
      </c>
      <c r="I1385" t="s">
        <v>41</v>
      </c>
      <c r="J1385" t="s">
        <v>42</v>
      </c>
      <c r="K1385" t="s">
        <v>48</v>
      </c>
      <c r="L1385" t="s">
        <v>49</v>
      </c>
      <c r="M1385" t="s">
        <v>140</v>
      </c>
      <c r="N1385">
        <v>1199</v>
      </c>
      <c r="O1385">
        <v>0.106580021</v>
      </c>
      <c r="P1385">
        <v>7.6842680999999996E-2</v>
      </c>
      <c r="Q1385" t="str">
        <f t="shared" si="42"/>
        <v>25-34</v>
      </c>
      <c r="R1385" t="str">
        <f t="shared" si="43"/>
        <v>[am530wpaGvr]|25-34|Male|PLHIV_Residents.T_1|CY2024Q3</v>
      </c>
    </row>
    <row r="1386" spans="4:18" x14ac:dyDescent="0.2">
      <c r="D1386" t="s">
        <v>96</v>
      </c>
      <c r="E1386" t="s">
        <v>97</v>
      </c>
      <c r="F1386" t="s">
        <v>98</v>
      </c>
      <c r="G1386" t="s">
        <v>143</v>
      </c>
      <c r="H1386" t="s">
        <v>144</v>
      </c>
      <c r="I1386" t="s">
        <v>43</v>
      </c>
      <c r="J1386" t="s">
        <v>44</v>
      </c>
      <c r="K1386" t="s">
        <v>48</v>
      </c>
      <c r="L1386" t="s">
        <v>49</v>
      </c>
      <c r="M1386" t="s">
        <v>140</v>
      </c>
      <c r="N1386">
        <v>4555</v>
      </c>
      <c r="O1386">
        <v>8.0201800000000004E-2</v>
      </c>
      <c r="P1386">
        <v>7.6842680999999996E-2</v>
      </c>
      <c r="Q1386" t="str">
        <f t="shared" si="42"/>
        <v>35-49</v>
      </c>
      <c r="R1386" t="str">
        <f t="shared" si="43"/>
        <v>[am530wpaGvr]|35-49|Male|PLHIV_Residents.T_1|CY2024Q3</v>
      </c>
    </row>
    <row r="1387" spans="4:18" x14ac:dyDescent="0.2">
      <c r="D1387" t="s">
        <v>96</v>
      </c>
      <c r="E1387" t="s">
        <v>97</v>
      </c>
      <c r="F1387" t="s">
        <v>98</v>
      </c>
      <c r="G1387" t="s">
        <v>143</v>
      </c>
      <c r="H1387" t="s">
        <v>144</v>
      </c>
      <c r="I1387" t="s">
        <v>45</v>
      </c>
      <c r="J1387" t="s">
        <v>46</v>
      </c>
      <c r="K1387" t="s">
        <v>48</v>
      </c>
      <c r="L1387" t="s">
        <v>49</v>
      </c>
      <c r="M1387" t="s">
        <v>140</v>
      </c>
      <c r="N1387">
        <v>3414</v>
      </c>
      <c r="O1387">
        <v>7.7459664999999997E-2</v>
      </c>
      <c r="P1387">
        <v>7.6842680999999996E-2</v>
      </c>
      <c r="Q1387" t="str">
        <f t="shared" si="42"/>
        <v>50+</v>
      </c>
      <c r="R1387" t="str">
        <f t="shared" si="43"/>
        <v>[am530wpaGvr]|50+|Male|PLHIV_Residents.T_1|CY2024Q3</v>
      </c>
    </row>
    <row r="1388" spans="4:18" x14ac:dyDescent="0.2">
      <c r="D1388" t="s">
        <v>99</v>
      </c>
      <c r="E1388" t="s">
        <v>100</v>
      </c>
      <c r="F1388" t="s">
        <v>101</v>
      </c>
      <c r="G1388" t="s">
        <v>143</v>
      </c>
      <c r="H1388" t="s">
        <v>144</v>
      </c>
      <c r="I1388" t="s">
        <v>28</v>
      </c>
      <c r="J1388" t="s">
        <v>29</v>
      </c>
      <c r="K1388" t="s">
        <v>30</v>
      </c>
      <c r="L1388" t="s">
        <v>31</v>
      </c>
      <c r="M1388" t="s">
        <v>140</v>
      </c>
      <c r="N1388">
        <v>44</v>
      </c>
      <c r="O1388">
        <v>5.0840522999999999E-2</v>
      </c>
      <c r="P1388">
        <v>4.4426684000000001E-2</v>
      </c>
      <c r="Q1388" t="str">
        <f t="shared" si="42"/>
        <v>&lt;01</v>
      </c>
      <c r="R1388" t="str">
        <f t="shared" si="43"/>
        <v>[lLDyBx5XyUi]|&lt;01|Female|PLHIV_Residents.T_1|CY2024Q3</v>
      </c>
    </row>
    <row r="1389" spans="4:18" x14ac:dyDescent="0.2">
      <c r="D1389" t="s">
        <v>99</v>
      </c>
      <c r="E1389" t="s">
        <v>100</v>
      </c>
      <c r="F1389" t="s">
        <v>101</v>
      </c>
      <c r="G1389" t="s">
        <v>143</v>
      </c>
      <c r="H1389" t="s">
        <v>144</v>
      </c>
      <c r="I1389" t="s">
        <v>33</v>
      </c>
      <c r="J1389" t="s">
        <v>34</v>
      </c>
      <c r="K1389" t="s">
        <v>30</v>
      </c>
      <c r="L1389" t="s">
        <v>31</v>
      </c>
      <c r="M1389" t="s">
        <v>140</v>
      </c>
      <c r="N1389">
        <v>917</v>
      </c>
      <c r="O1389">
        <v>5.6744994999999999E-2</v>
      </c>
      <c r="P1389">
        <v>4.4426684000000001E-2</v>
      </c>
      <c r="Q1389" t="str">
        <f t="shared" si="42"/>
        <v>01-09</v>
      </c>
      <c r="R1389" t="str">
        <f t="shared" si="43"/>
        <v>[lLDyBx5XyUi]|01-09|Female|PLHIV_Residents.T_1|CY2024Q3</v>
      </c>
    </row>
    <row r="1390" spans="4:18" x14ac:dyDescent="0.2">
      <c r="D1390" t="s">
        <v>99</v>
      </c>
      <c r="E1390" t="s">
        <v>100</v>
      </c>
      <c r="F1390" t="s">
        <v>101</v>
      </c>
      <c r="G1390" t="s">
        <v>143</v>
      </c>
      <c r="H1390" t="s">
        <v>144</v>
      </c>
      <c r="I1390" t="s">
        <v>36</v>
      </c>
      <c r="J1390" t="s">
        <v>37</v>
      </c>
      <c r="K1390" t="s">
        <v>30</v>
      </c>
      <c r="L1390" t="s">
        <v>31</v>
      </c>
      <c r="M1390" t="s">
        <v>140</v>
      </c>
      <c r="N1390">
        <v>1066</v>
      </c>
      <c r="O1390">
        <v>6.4085837000000007E-2</v>
      </c>
      <c r="P1390">
        <v>4.4426684000000001E-2</v>
      </c>
      <c r="Q1390" t="str">
        <f t="shared" si="42"/>
        <v>10-14</v>
      </c>
      <c r="R1390" t="str">
        <f t="shared" si="43"/>
        <v>[lLDyBx5XyUi]|10-14|Female|PLHIV_Residents.T_1|CY2024Q3</v>
      </c>
    </row>
    <row r="1391" spans="4:18" x14ac:dyDescent="0.2">
      <c r="D1391" t="s">
        <v>99</v>
      </c>
      <c r="E1391" t="s">
        <v>100</v>
      </c>
      <c r="F1391" t="s">
        <v>101</v>
      </c>
      <c r="G1391" t="s">
        <v>143</v>
      </c>
      <c r="H1391" t="s">
        <v>144</v>
      </c>
      <c r="I1391" t="s">
        <v>38</v>
      </c>
      <c r="J1391" t="s">
        <v>39</v>
      </c>
      <c r="K1391" t="s">
        <v>30</v>
      </c>
      <c r="L1391" t="s">
        <v>31</v>
      </c>
      <c r="M1391" t="s">
        <v>140</v>
      </c>
      <c r="N1391">
        <v>3536</v>
      </c>
      <c r="O1391">
        <v>8.0819113999999997E-2</v>
      </c>
      <c r="P1391">
        <v>4.4426684000000001E-2</v>
      </c>
      <c r="Q1391" t="str">
        <f t="shared" si="42"/>
        <v>15-24</v>
      </c>
      <c r="R1391" t="str">
        <f t="shared" si="43"/>
        <v>[lLDyBx5XyUi]|15-24|Female|PLHIV_Residents.T_1|CY2024Q3</v>
      </c>
    </row>
    <row r="1392" spans="4:18" x14ac:dyDescent="0.2">
      <c r="D1392" t="s">
        <v>99</v>
      </c>
      <c r="E1392" t="s">
        <v>100</v>
      </c>
      <c r="F1392" t="s">
        <v>101</v>
      </c>
      <c r="G1392" t="s">
        <v>143</v>
      </c>
      <c r="H1392" t="s">
        <v>144</v>
      </c>
      <c r="I1392" t="s">
        <v>41</v>
      </c>
      <c r="J1392" t="s">
        <v>42</v>
      </c>
      <c r="K1392" t="s">
        <v>30</v>
      </c>
      <c r="L1392" t="s">
        <v>31</v>
      </c>
      <c r="M1392" t="s">
        <v>140</v>
      </c>
      <c r="N1392">
        <v>8827</v>
      </c>
      <c r="O1392">
        <v>5.8857465999999997E-2</v>
      </c>
      <c r="P1392">
        <v>4.4426684000000001E-2</v>
      </c>
      <c r="Q1392" t="str">
        <f t="shared" si="42"/>
        <v>25-34</v>
      </c>
      <c r="R1392" t="str">
        <f t="shared" si="43"/>
        <v>[lLDyBx5XyUi]|25-34|Female|PLHIV_Residents.T_1|CY2024Q3</v>
      </c>
    </row>
    <row r="1393" spans="4:18" x14ac:dyDescent="0.2">
      <c r="D1393" t="s">
        <v>99</v>
      </c>
      <c r="E1393" t="s">
        <v>100</v>
      </c>
      <c r="F1393" t="s">
        <v>101</v>
      </c>
      <c r="G1393" t="s">
        <v>143</v>
      </c>
      <c r="H1393" t="s">
        <v>144</v>
      </c>
      <c r="I1393" t="s">
        <v>43</v>
      </c>
      <c r="J1393" t="s">
        <v>44</v>
      </c>
      <c r="K1393" t="s">
        <v>30</v>
      </c>
      <c r="L1393" t="s">
        <v>31</v>
      </c>
      <c r="M1393" t="s">
        <v>140</v>
      </c>
      <c r="N1393">
        <v>20538</v>
      </c>
      <c r="O1393">
        <v>4.5158403999999999E-2</v>
      </c>
      <c r="P1393">
        <v>4.4426684000000001E-2</v>
      </c>
      <c r="Q1393" t="str">
        <f t="shared" si="42"/>
        <v>35-49</v>
      </c>
      <c r="R1393" t="str">
        <f t="shared" si="43"/>
        <v>[lLDyBx5XyUi]|35-49|Female|PLHIV_Residents.T_1|CY2024Q3</v>
      </c>
    </row>
    <row r="1394" spans="4:18" x14ac:dyDescent="0.2">
      <c r="D1394" t="s">
        <v>99</v>
      </c>
      <c r="E1394" t="s">
        <v>100</v>
      </c>
      <c r="F1394" t="s">
        <v>101</v>
      </c>
      <c r="G1394" t="s">
        <v>143</v>
      </c>
      <c r="H1394" t="s">
        <v>144</v>
      </c>
      <c r="I1394" t="s">
        <v>45</v>
      </c>
      <c r="J1394" t="s">
        <v>46</v>
      </c>
      <c r="K1394" t="s">
        <v>30</v>
      </c>
      <c r="L1394" t="s">
        <v>31</v>
      </c>
      <c r="M1394" t="s">
        <v>140</v>
      </c>
      <c r="N1394">
        <v>9787</v>
      </c>
      <c r="O1394">
        <v>5.4316504000000002E-2</v>
      </c>
      <c r="P1394">
        <v>4.4426684000000001E-2</v>
      </c>
      <c r="Q1394" t="str">
        <f t="shared" si="42"/>
        <v>50+</v>
      </c>
      <c r="R1394" t="str">
        <f t="shared" si="43"/>
        <v>[lLDyBx5XyUi]|50+|Female|PLHIV_Residents.T_1|CY2024Q3</v>
      </c>
    </row>
    <row r="1395" spans="4:18" x14ac:dyDescent="0.2">
      <c r="D1395" t="s">
        <v>99</v>
      </c>
      <c r="E1395" t="s">
        <v>100</v>
      </c>
      <c r="F1395" t="s">
        <v>101</v>
      </c>
      <c r="G1395" t="s">
        <v>143</v>
      </c>
      <c r="H1395" t="s">
        <v>144</v>
      </c>
      <c r="I1395" t="s">
        <v>28</v>
      </c>
      <c r="J1395" t="s">
        <v>29</v>
      </c>
      <c r="K1395" t="s">
        <v>48</v>
      </c>
      <c r="L1395" t="s">
        <v>49</v>
      </c>
      <c r="M1395" t="s">
        <v>140</v>
      </c>
      <c r="N1395">
        <v>45</v>
      </c>
      <c r="O1395">
        <v>5.0819287999999997E-2</v>
      </c>
      <c r="P1395">
        <v>4.4426684000000001E-2</v>
      </c>
      <c r="Q1395" t="str">
        <f t="shared" si="42"/>
        <v>&lt;01</v>
      </c>
      <c r="R1395" t="str">
        <f t="shared" si="43"/>
        <v>[lLDyBx5XyUi]|&lt;01|Male|PLHIV_Residents.T_1|CY2024Q3</v>
      </c>
    </row>
    <row r="1396" spans="4:18" x14ac:dyDescent="0.2">
      <c r="D1396" t="s">
        <v>99</v>
      </c>
      <c r="E1396" t="s">
        <v>100</v>
      </c>
      <c r="F1396" t="s">
        <v>101</v>
      </c>
      <c r="G1396" t="s">
        <v>143</v>
      </c>
      <c r="H1396" t="s">
        <v>144</v>
      </c>
      <c r="I1396" t="s">
        <v>33</v>
      </c>
      <c r="J1396" t="s">
        <v>34</v>
      </c>
      <c r="K1396" t="s">
        <v>48</v>
      </c>
      <c r="L1396" t="s">
        <v>49</v>
      </c>
      <c r="M1396" t="s">
        <v>140</v>
      </c>
      <c r="N1396">
        <v>927</v>
      </c>
      <c r="O1396">
        <v>5.6734056999999997E-2</v>
      </c>
      <c r="P1396">
        <v>4.4426684000000001E-2</v>
      </c>
      <c r="Q1396" t="str">
        <f t="shared" si="42"/>
        <v>01-09</v>
      </c>
      <c r="R1396" t="str">
        <f t="shared" si="43"/>
        <v>[lLDyBx5XyUi]|01-09|Male|PLHIV_Residents.T_1|CY2024Q3</v>
      </c>
    </row>
    <row r="1397" spans="4:18" x14ac:dyDescent="0.2">
      <c r="D1397" t="s">
        <v>99</v>
      </c>
      <c r="E1397" t="s">
        <v>100</v>
      </c>
      <c r="F1397" t="s">
        <v>101</v>
      </c>
      <c r="G1397" t="s">
        <v>143</v>
      </c>
      <c r="H1397" t="s">
        <v>144</v>
      </c>
      <c r="I1397" t="s">
        <v>36</v>
      </c>
      <c r="J1397" t="s">
        <v>37</v>
      </c>
      <c r="K1397" t="s">
        <v>48</v>
      </c>
      <c r="L1397" t="s">
        <v>49</v>
      </c>
      <c r="M1397" t="s">
        <v>140</v>
      </c>
      <c r="N1397">
        <v>1079</v>
      </c>
      <c r="O1397">
        <v>6.4084042999999993E-2</v>
      </c>
      <c r="P1397">
        <v>4.4426684000000001E-2</v>
      </c>
      <c r="Q1397" t="str">
        <f t="shared" si="42"/>
        <v>10-14</v>
      </c>
      <c r="R1397" t="str">
        <f t="shared" si="43"/>
        <v>[lLDyBx5XyUi]|10-14|Male|PLHIV_Residents.T_1|CY2024Q3</v>
      </c>
    </row>
    <row r="1398" spans="4:18" x14ac:dyDescent="0.2">
      <c r="D1398" t="s">
        <v>99</v>
      </c>
      <c r="E1398" t="s">
        <v>100</v>
      </c>
      <c r="F1398" t="s">
        <v>101</v>
      </c>
      <c r="G1398" t="s">
        <v>143</v>
      </c>
      <c r="H1398" t="s">
        <v>144</v>
      </c>
      <c r="I1398" t="s">
        <v>38</v>
      </c>
      <c r="J1398" t="s">
        <v>39</v>
      </c>
      <c r="K1398" t="s">
        <v>48</v>
      </c>
      <c r="L1398" t="s">
        <v>49</v>
      </c>
      <c r="M1398" t="s">
        <v>140</v>
      </c>
      <c r="N1398">
        <v>2256</v>
      </c>
      <c r="O1398">
        <v>8.2108079E-2</v>
      </c>
      <c r="P1398">
        <v>4.4426684000000001E-2</v>
      </c>
      <c r="Q1398" t="str">
        <f t="shared" si="42"/>
        <v>15-24</v>
      </c>
      <c r="R1398" t="str">
        <f t="shared" si="43"/>
        <v>[lLDyBx5XyUi]|15-24|Male|PLHIV_Residents.T_1|CY2024Q3</v>
      </c>
    </row>
    <row r="1399" spans="4:18" x14ac:dyDescent="0.2">
      <c r="D1399" t="s">
        <v>99</v>
      </c>
      <c r="E1399" t="s">
        <v>100</v>
      </c>
      <c r="F1399" t="s">
        <v>101</v>
      </c>
      <c r="G1399" t="s">
        <v>143</v>
      </c>
      <c r="H1399" t="s">
        <v>144</v>
      </c>
      <c r="I1399" t="s">
        <v>41</v>
      </c>
      <c r="J1399" t="s">
        <v>42</v>
      </c>
      <c r="K1399" t="s">
        <v>48</v>
      </c>
      <c r="L1399" t="s">
        <v>49</v>
      </c>
      <c r="M1399" t="s">
        <v>140</v>
      </c>
      <c r="N1399">
        <v>2486</v>
      </c>
      <c r="O1399">
        <v>8.3793322000000003E-2</v>
      </c>
      <c r="P1399">
        <v>4.4426684000000001E-2</v>
      </c>
      <c r="Q1399" t="str">
        <f t="shared" si="42"/>
        <v>25-34</v>
      </c>
      <c r="R1399" t="str">
        <f t="shared" si="43"/>
        <v>[lLDyBx5XyUi]|25-34|Male|PLHIV_Residents.T_1|CY2024Q3</v>
      </c>
    </row>
    <row r="1400" spans="4:18" x14ac:dyDescent="0.2">
      <c r="D1400" t="s">
        <v>99</v>
      </c>
      <c r="E1400" t="s">
        <v>100</v>
      </c>
      <c r="F1400" t="s">
        <v>101</v>
      </c>
      <c r="G1400" t="s">
        <v>143</v>
      </c>
      <c r="H1400" t="s">
        <v>144</v>
      </c>
      <c r="I1400" t="s">
        <v>43</v>
      </c>
      <c r="J1400" t="s">
        <v>44</v>
      </c>
      <c r="K1400" t="s">
        <v>48</v>
      </c>
      <c r="L1400" t="s">
        <v>49</v>
      </c>
      <c r="M1400" t="s">
        <v>140</v>
      </c>
      <c r="N1400">
        <v>8975</v>
      </c>
      <c r="O1400">
        <v>5.3732961000000003E-2</v>
      </c>
      <c r="P1400">
        <v>4.4426684000000001E-2</v>
      </c>
      <c r="Q1400" t="str">
        <f t="shared" si="42"/>
        <v>35-49</v>
      </c>
      <c r="R1400" t="str">
        <f t="shared" si="43"/>
        <v>[lLDyBx5XyUi]|35-49|Male|PLHIV_Residents.T_1|CY2024Q3</v>
      </c>
    </row>
    <row r="1401" spans="4:18" x14ac:dyDescent="0.2">
      <c r="D1401" t="s">
        <v>99</v>
      </c>
      <c r="E1401" t="s">
        <v>100</v>
      </c>
      <c r="F1401" t="s">
        <v>101</v>
      </c>
      <c r="G1401" t="s">
        <v>143</v>
      </c>
      <c r="H1401" t="s">
        <v>144</v>
      </c>
      <c r="I1401" t="s">
        <v>45</v>
      </c>
      <c r="J1401" t="s">
        <v>46</v>
      </c>
      <c r="K1401" t="s">
        <v>48</v>
      </c>
      <c r="L1401" t="s">
        <v>49</v>
      </c>
      <c r="M1401" t="s">
        <v>140</v>
      </c>
      <c r="N1401">
        <v>7068</v>
      </c>
      <c r="O1401">
        <v>5.2915009999999998E-2</v>
      </c>
      <c r="P1401">
        <v>4.4426684000000001E-2</v>
      </c>
      <c r="Q1401" t="str">
        <f t="shared" si="42"/>
        <v>50+</v>
      </c>
      <c r="R1401" t="str">
        <f t="shared" si="43"/>
        <v>[lLDyBx5XyUi]|50+|Male|PLHIV_Residents.T_1|CY2024Q3</v>
      </c>
    </row>
    <row r="1402" spans="4:18" x14ac:dyDescent="0.2">
      <c r="D1402" t="s">
        <v>102</v>
      </c>
      <c r="E1402" t="s">
        <v>103</v>
      </c>
      <c r="F1402" t="s">
        <v>104</v>
      </c>
      <c r="G1402" t="s">
        <v>143</v>
      </c>
      <c r="H1402" t="s">
        <v>144</v>
      </c>
      <c r="I1402" t="s">
        <v>28</v>
      </c>
      <c r="J1402" t="s">
        <v>29</v>
      </c>
      <c r="K1402" t="s">
        <v>30</v>
      </c>
      <c r="L1402" t="s">
        <v>31</v>
      </c>
      <c r="M1402" t="s">
        <v>140</v>
      </c>
      <c r="N1402">
        <v>20</v>
      </c>
      <c r="O1402">
        <v>7.1256218999999996E-2</v>
      </c>
      <c r="P1402">
        <v>6.5418117999999997E-2</v>
      </c>
      <c r="Q1402" t="str">
        <f t="shared" si="42"/>
        <v>&lt;01</v>
      </c>
      <c r="R1402" t="str">
        <f t="shared" si="43"/>
        <v>[TYnMSwzko3z]|&lt;01|Female|PLHIV_Residents.T_1|CY2024Q3</v>
      </c>
    </row>
    <row r="1403" spans="4:18" x14ac:dyDescent="0.2">
      <c r="D1403" t="s">
        <v>102</v>
      </c>
      <c r="E1403" t="s">
        <v>103</v>
      </c>
      <c r="F1403" t="s">
        <v>104</v>
      </c>
      <c r="G1403" t="s">
        <v>143</v>
      </c>
      <c r="H1403" t="s">
        <v>144</v>
      </c>
      <c r="I1403" t="s">
        <v>33</v>
      </c>
      <c r="J1403" t="s">
        <v>34</v>
      </c>
      <c r="K1403" t="s">
        <v>30</v>
      </c>
      <c r="L1403" t="s">
        <v>31</v>
      </c>
      <c r="M1403" t="s">
        <v>140</v>
      </c>
      <c r="N1403">
        <v>411</v>
      </c>
      <c r="O1403">
        <v>7.8680717999999997E-2</v>
      </c>
      <c r="P1403">
        <v>6.5418117999999997E-2</v>
      </c>
      <c r="Q1403" t="str">
        <f t="shared" si="42"/>
        <v>01-09</v>
      </c>
      <c r="R1403" t="str">
        <f t="shared" si="43"/>
        <v>[TYnMSwzko3z]|01-09|Female|PLHIV_Residents.T_1|CY2024Q3</v>
      </c>
    </row>
    <row r="1404" spans="4:18" x14ac:dyDescent="0.2">
      <c r="D1404" t="s">
        <v>102</v>
      </c>
      <c r="E1404" t="s">
        <v>103</v>
      </c>
      <c r="F1404" t="s">
        <v>104</v>
      </c>
      <c r="G1404" t="s">
        <v>143</v>
      </c>
      <c r="H1404" t="s">
        <v>144</v>
      </c>
      <c r="I1404" t="s">
        <v>36</v>
      </c>
      <c r="J1404" t="s">
        <v>37</v>
      </c>
      <c r="K1404" t="s">
        <v>30</v>
      </c>
      <c r="L1404" t="s">
        <v>31</v>
      </c>
      <c r="M1404" t="s">
        <v>140</v>
      </c>
      <c r="N1404">
        <v>499</v>
      </c>
      <c r="O1404">
        <v>8.8014281999999999E-2</v>
      </c>
      <c r="P1404">
        <v>6.5418117999999997E-2</v>
      </c>
      <c r="Q1404" t="str">
        <f t="shared" si="42"/>
        <v>10-14</v>
      </c>
      <c r="R1404" t="str">
        <f t="shared" si="43"/>
        <v>[TYnMSwzko3z]|10-14|Female|PLHIV_Residents.T_1|CY2024Q3</v>
      </c>
    </row>
    <row r="1405" spans="4:18" x14ac:dyDescent="0.2">
      <c r="D1405" t="s">
        <v>102</v>
      </c>
      <c r="E1405" t="s">
        <v>103</v>
      </c>
      <c r="F1405" t="s">
        <v>104</v>
      </c>
      <c r="G1405" t="s">
        <v>143</v>
      </c>
      <c r="H1405" t="s">
        <v>144</v>
      </c>
      <c r="I1405" t="s">
        <v>38</v>
      </c>
      <c r="J1405" t="s">
        <v>39</v>
      </c>
      <c r="K1405" t="s">
        <v>30</v>
      </c>
      <c r="L1405" t="s">
        <v>31</v>
      </c>
      <c r="M1405" t="s">
        <v>140</v>
      </c>
      <c r="N1405">
        <v>1603</v>
      </c>
      <c r="O1405">
        <v>9.1645709000000006E-2</v>
      </c>
      <c r="P1405">
        <v>6.5418117999999997E-2</v>
      </c>
      <c r="Q1405" t="str">
        <f t="shared" si="42"/>
        <v>15-24</v>
      </c>
      <c r="R1405" t="str">
        <f t="shared" si="43"/>
        <v>[TYnMSwzko3z]|15-24|Female|PLHIV_Residents.T_1|CY2024Q3</v>
      </c>
    </row>
    <row r="1406" spans="4:18" x14ac:dyDescent="0.2">
      <c r="D1406" t="s">
        <v>102</v>
      </c>
      <c r="E1406" t="s">
        <v>103</v>
      </c>
      <c r="F1406" t="s">
        <v>104</v>
      </c>
      <c r="G1406" t="s">
        <v>143</v>
      </c>
      <c r="H1406" t="s">
        <v>144</v>
      </c>
      <c r="I1406" t="s">
        <v>41</v>
      </c>
      <c r="J1406" t="s">
        <v>42</v>
      </c>
      <c r="K1406" t="s">
        <v>30</v>
      </c>
      <c r="L1406" t="s">
        <v>31</v>
      </c>
      <c r="M1406" t="s">
        <v>140</v>
      </c>
      <c r="N1406">
        <v>4005</v>
      </c>
      <c r="O1406">
        <v>7.7588352999999999E-2</v>
      </c>
      <c r="P1406">
        <v>6.5418117999999997E-2</v>
      </c>
      <c r="Q1406" t="str">
        <f t="shared" si="42"/>
        <v>25-34</v>
      </c>
      <c r="R1406" t="str">
        <f t="shared" si="43"/>
        <v>[TYnMSwzko3z]|25-34|Female|PLHIV_Residents.T_1|CY2024Q3</v>
      </c>
    </row>
    <row r="1407" spans="4:18" x14ac:dyDescent="0.2">
      <c r="D1407" t="s">
        <v>102</v>
      </c>
      <c r="E1407" t="s">
        <v>103</v>
      </c>
      <c r="F1407" t="s">
        <v>104</v>
      </c>
      <c r="G1407" t="s">
        <v>143</v>
      </c>
      <c r="H1407" t="s">
        <v>144</v>
      </c>
      <c r="I1407" t="s">
        <v>43</v>
      </c>
      <c r="J1407" t="s">
        <v>44</v>
      </c>
      <c r="K1407" t="s">
        <v>30</v>
      </c>
      <c r="L1407" t="s">
        <v>31</v>
      </c>
      <c r="M1407" t="s">
        <v>140</v>
      </c>
      <c r="N1407">
        <v>9758</v>
      </c>
      <c r="O1407">
        <v>6.4907431000000002E-2</v>
      </c>
      <c r="P1407">
        <v>6.5418117999999997E-2</v>
      </c>
      <c r="Q1407" t="str">
        <f t="shared" si="42"/>
        <v>35-49</v>
      </c>
      <c r="R1407" t="str">
        <f t="shared" si="43"/>
        <v>[TYnMSwzko3z]|35-49|Female|PLHIV_Residents.T_1|CY2024Q3</v>
      </c>
    </row>
    <row r="1408" spans="4:18" x14ac:dyDescent="0.2">
      <c r="D1408" t="s">
        <v>102</v>
      </c>
      <c r="E1408" t="s">
        <v>103</v>
      </c>
      <c r="F1408" t="s">
        <v>104</v>
      </c>
      <c r="G1408" t="s">
        <v>143</v>
      </c>
      <c r="H1408" t="s">
        <v>144</v>
      </c>
      <c r="I1408" t="s">
        <v>45</v>
      </c>
      <c r="J1408" t="s">
        <v>46</v>
      </c>
      <c r="K1408" t="s">
        <v>30</v>
      </c>
      <c r="L1408" t="s">
        <v>31</v>
      </c>
      <c r="M1408" t="s">
        <v>140</v>
      </c>
      <c r="N1408">
        <v>4537</v>
      </c>
      <c r="O1408">
        <v>7.3905553999999998E-2</v>
      </c>
      <c r="P1408">
        <v>6.5418117999999997E-2</v>
      </c>
      <c r="Q1408" t="str">
        <f t="shared" si="42"/>
        <v>50+</v>
      </c>
      <c r="R1408" t="str">
        <f t="shared" si="43"/>
        <v>[TYnMSwzko3z]|50+|Female|PLHIV_Residents.T_1|CY2024Q3</v>
      </c>
    </row>
    <row r="1409" spans="4:18" x14ac:dyDescent="0.2">
      <c r="D1409" t="s">
        <v>102</v>
      </c>
      <c r="E1409" t="s">
        <v>103</v>
      </c>
      <c r="F1409" t="s">
        <v>104</v>
      </c>
      <c r="G1409" t="s">
        <v>143</v>
      </c>
      <c r="H1409" t="s">
        <v>144</v>
      </c>
      <c r="I1409" t="s">
        <v>28</v>
      </c>
      <c r="J1409" t="s">
        <v>29</v>
      </c>
      <c r="K1409" t="s">
        <v>48</v>
      </c>
      <c r="L1409" t="s">
        <v>49</v>
      </c>
      <c r="M1409" t="s">
        <v>140</v>
      </c>
      <c r="N1409">
        <v>20</v>
      </c>
      <c r="O1409">
        <v>7.1214504999999997E-2</v>
      </c>
      <c r="P1409">
        <v>6.5418117999999997E-2</v>
      </c>
      <c r="Q1409" t="str">
        <f t="shared" si="42"/>
        <v>&lt;01</v>
      </c>
      <c r="R1409" t="str">
        <f t="shared" si="43"/>
        <v>[TYnMSwzko3z]|&lt;01|Male|PLHIV_Residents.T_1|CY2024Q3</v>
      </c>
    </row>
    <row r="1410" spans="4:18" x14ac:dyDescent="0.2">
      <c r="D1410" t="s">
        <v>102</v>
      </c>
      <c r="E1410" t="s">
        <v>103</v>
      </c>
      <c r="F1410" t="s">
        <v>104</v>
      </c>
      <c r="G1410" t="s">
        <v>143</v>
      </c>
      <c r="H1410" t="s">
        <v>144</v>
      </c>
      <c r="I1410" t="s">
        <v>33</v>
      </c>
      <c r="J1410" t="s">
        <v>34</v>
      </c>
      <c r="K1410" t="s">
        <v>48</v>
      </c>
      <c r="L1410" t="s">
        <v>49</v>
      </c>
      <c r="M1410" t="s">
        <v>140</v>
      </c>
      <c r="N1410">
        <v>413</v>
      </c>
      <c r="O1410">
        <v>7.8651819999999997E-2</v>
      </c>
      <c r="P1410">
        <v>6.5418117999999997E-2</v>
      </c>
      <c r="Q1410" t="str">
        <f t="shared" si="42"/>
        <v>01-09</v>
      </c>
      <c r="R1410" t="str">
        <f t="shared" si="43"/>
        <v>[TYnMSwzko3z]|01-09|Male|PLHIV_Residents.T_1|CY2024Q3</v>
      </c>
    </row>
    <row r="1411" spans="4:18" x14ac:dyDescent="0.2">
      <c r="D1411" t="s">
        <v>102</v>
      </c>
      <c r="E1411" t="s">
        <v>103</v>
      </c>
      <c r="F1411" t="s">
        <v>104</v>
      </c>
      <c r="G1411" t="s">
        <v>143</v>
      </c>
      <c r="H1411" t="s">
        <v>144</v>
      </c>
      <c r="I1411" t="s">
        <v>36</v>
      </c>
      <c r="J1411" t="s">
        <v>37</v>
      </c>
      <c r="K1411" t="s">
        <v>48</v>
      </c>
      <c r="L1411" t="s">
        <v>49</v>
      </c>
      <c r="M1411" t="s">
        <v>140</v>
      </c>
      <c r="N1411">
        <v>497</v>
      </c>
      <c r="O1411">
        <v>8.8013043999999999E-2</v>
      </c>
      <c r="P1411">
        <v>6.5418117999999997E-2</v>
      </c>
      <c r="Q1411" t="str">
        <f t="shared" ref="Q1411:Q1474" si="44">SUBSTITUTE(SUBSTITUTE($I1411,CHAR(61),""),CHAR(34),"")</f>
        <v>10-14</v>
      </c>
      <c r="R1411" t="str">
        <f t="shared" ref="R1411:R1474" si="45">IF($D1411&lt;&gt;"","["&amp;$E1411&amp;"]"&amp;"|"&amp;$Q1411&amp;"|"&amp;$K1411&amp;"|"&amp;$G1411&amp;"|"&amp;IF($G1411="TX_CURR_SUBNAT.R","CY2023Q4",$M1411),"")</f>
        <v>[TYnMSwzko3z]|10-14|Male|PLHIV_Residents.T_1|CY2024Q3</v>
      </c>
    </row>
    <row r="1412" spans="4:18" x14ac:dyDescent="0.2">
      <c r="D1412" t="s">
        <v>102</v>
      </c>
      <c r="E1412" t="s">
        <v>103</v>
      </c>
      <c r="F1412" t="s">
        <v>104</v>
      </c>
      <c r="G1412" t="s">
        <v>143</v>
      </c>
      <c r="H1412" t="s">
        <v>144</v>
      </c>
      <c r="I1412" t="s">
        <v>38</v>
      </c>
      <c r="J1412" t="s">
        <v>39</v>
      </c>
      <c r="K1412" t="s">
        <v>48</v>
      </c>
      <c r="L1412" t="s">
        <v>49</v>
      </c>
      <c r="M1412" t="s">
        <v>140</v>
      </c>
      <c r="N1412">
        <v>1038</v>
      </c>
      <c r="O1412">
        <v>9.4878335999999994E-2</v>
      </c>
      <c r="P1412">
        <v>6.5418117999999997E-2</v>
      </c>
      <c r="Q1412" t="str">
        <f t="shared" si="44"/>
        <v>15-24</v>
      </c>
      <c r="R1412" t="str">
        <f t="shared" si="45"/>
        <v>[TYnMSwzko3z]|15-24|Male|PLHIV_Residents.T_1|CY2024Q3</v>
      </c>
    </row>
    <row r="1413" spans="4:18" x14ac:dyDescent="0.2">
      <c r="D1413" t="s">
        <v>102</v>
      </c>
      <c r="E1413" t="s">
        <v>103</v>
      </c>
      <c r="F1413" t="s">
        <v>104</v>
      </c>
      <c r="G1413" t="s">
        <v>143</v>
      </c>
      <c r="H1413" t="s">
        <v>144</v>
      </c>
      <c r="I1413" t="s">
        <v>41</v>
      </c>
      <c r="J1413" t="s">
        <v>42</v>
      </c>
      <c r="K1413" t="s">
        <v>48</v>
      </c>
      <c r="L1413" t="s">
        <v>49</v>
      </c>
      <c r="M1413" t="s">
        <v>140</v>
      </c>
      <c r="N1413">
        <v>1135</v>
      </c>
      <c r="O1413">
        <v>9.5799771000000006E-2</v>
      </c>
      <c r="P1413">
        <v>6.5418117999999997E-2</v>
      </c>
      <c r="Q1413" t="str">
        <f t="shared" si="44"/>
        <v>25-34</v>
      </c>
      <c r="R1413" t="str">
        <f t="shared" si="45"/>
        <v>[TYnMSwzko3z]|25-34|Male|PLHIV_Residents.T_1|CY2024Q3</v>
      </c>
    </row>
    <row r="1414" spans="4:18" x14ac:dyDescent="0.2">
      <c r="D1414" t="s">
        <v>102</v>
      </c>
      <c r="E1414" t="s">
        <v>103</v>
      </c>
      <c r="F1414" t="s">
        <v>104</v>
      </c>
      <c r="G1414" t="s">
        <v>143</v>
      </c>
      <c r="H1414" t="s">
        <v>144</v>
      </c>
      <c r="I1414" t="s">
        <v>43</v>
      </c>
      <c r="J1414" t="s">
        <v>44</v>
      </c>
      <c r="K1414" t="s">
        <v>48</v>
      </c>
      <c r="L1414" t="s">
        <v>49</v>
      </c>
      <c r="M1414" t="s">
        <v>140</v>
      </c>
      <c r="N1414">
        <v>4149</v>
      </c>
      <c r="O1414">
        <v>7.4961806000000006E-2</v>
      </c>
      <c r="P1414">
        <v>6.5418117999999997E-2</v>
      </c>
      <c r="Q1414" t="str">
        <f t="shared" si="44"/>
        <v>35-49</v>
      </c>
      <c r="R1414" t="str">
        <f t="shared" si="45"/>
        <v>[TYnMSwzko3z]|35-49|Male|PLHIV_Residents.T_1|CY2024Q3</v>
      </c>
    </row>
    <row r="1415" spans="4:18" x14ac:dyDescent="0.2">
      <c r="D1415" t="s">
        <v>102</v>
      </c>
      <c r="E1415" t="s">
        <v>103</v>
      </c>
      <c r="F1415" t="s">
        <v>104</v>
      </c>
      <c r="G1415" t="s">
        <v>143</v>
      </c>
      <c r="H1415" t="s">
        <v>144</v>
      </c>
      <c r="I1415" t="s">
        <v>45</v>
      </c>
      <c r="J1415" t="s">
        <v>46</v>
      </c>
      <c r="K1415" t="s">
        <v>48</v>
      </c>
      <c r="L1415" t="s">
        <v>49</v>
      </c>
      <c r="M1415" t="s">
        <v>140</v>
      </c>
      <c r="N1415">
        <v>3336</v>
      </c>
      <c r="O1415">
        <v>7.3537413999999995E-2</v>
      </c>
      <c r="P1415">
        <v>6.5418117999999997E-2</v>
      </c>
      <c r="Q1415" t="str">
        <f t="shared" si="44"/>
        <v>50+</v>
      </c>
      <c r="R1415" t="str">
        <f t="shared" si="45"/>
        <v>[TYnMSwzko3z]|50+|Male|PLHIV_Residents.T_1|CY2024Q3</v>
      </c>
    </row>
    <row r="1416" spans="4:18" x14ac:dyDescent="0.2">
      <c r="D1416" t="s">
        <v>105</v>
      </c>
      <c r="E1416" t="s">
        <v>106</v>
      </c>
      <c r="F1416" t="s">
        <v>107</v>
      </c>
      <c r="G1416" t="s">
        <v>143</v>
      </c>
      <c r="H1416" t="s">
        <v>144</v>
      </c>
      <c r="I1416" t="s">
        <v>28</v>
      </c>
      <c r="J1416" t="s">
        <v>29</v>
      </c>
      <c r="K1416" t="s">
        <v>30</v>
      </c>
      <c r="L1416" t="s">
        <v>31</v>
      </c>
      <c r="M1416" t="s">
        <v>140</v>
      </c>
      <c r="N1416">
        <v>39</v>
      </c>
      <c r="O1416">
        <v>4.0871458999999999E-2</v>
      </c>
      <c r="P1416">
        <v>3.6403737999999998E-2</v>
      </c>
      <c r="Q1416" t="str">
        <f t="shared" si="44"/>
        <v>&lt;01</v>
      </c>
      <c r="R1416" t="str">
        <f t="shared" si="45"/>
        <v>[fyEoGEPERdI]|&lt;01|Female|PLHIV_Residents.T_1|CY2024Q3</v>
      </c>
    </row>
    <row r="1417" spans="4:18" x14ac:dyDescent="0.2">
      <c r="D1417" t="s">
        <v>105</v>
      </c>
      <c r="E1417" t="s">
        <v>106</v>
      </c>
      <c r="F1417" t="s">
        <v>107</v>
      </c>
      <c r="G1417" t="s">
        <v>143</v>
      </c>
      <c r="H1417" t="s">
        <v>144</v>
      </c>
      <c r="I1417" t="s">
        <v>33</v>
      </c>
      <c r="J1417" t="s">
        <v>34</v>
      </c>
      <c r="K1417" t="s">
        <v>30</v>
      </c>
      <c r="L1417" t="s">
        <v>31</v>
      </c>
      <c r="M1417" t="s">
        <v>140</v>
      </c>
      <c r="N1417">
        <v>730</v>
      </c>
      <c r="O1417">
        <v>4.5901616999999999E-2</v>
      </c>
      <c r="P1417">
        <v>3.6403737999999998E-2</v>
      </c>
      <c r="Q1417" t="str">
        <f t="shared" si="44"/>
        <v>01-09</v>
      </c>
      <c r="R1417" t="str">
        <f t="shared" si="45"/>
        <v>[fyEoGEPERdI]|01-09|Female|PLHIV_Residents.T_1|CY2024Q3</v>
      </c>
    </row>
    <row r="1418" spans="4:18" x14ac:dyDescent="0.2">
      <c r="D1418" t="s">
        <v>105</v>
      </c>
      <c r="E1418" t="s">
        <v>106</v>
      </c>
      <c r="F1418" t="s">
        <v>107</v>
      </c>
      <c r="G1418" t="s">
        <v>143</v>
      </c>
      <c r="H1418" t="s">
        <v>144</v>
      </c>
      <c r="I1418" t="s">
        <v>36</v>
      </c>
      <c r="J1418" t="s">
        <v>37</v>
      </c>
      <c r="K1418" t="s">
        <v>30</v>
      </c>
      <c r="L1418" t="s">
        <v>31</v>
      </c>
      <c r="M1418" t="s">
        <v>140</v>
      </c>
      <c r="N1418">
        <v>890</v>
      </c>
      <c r="O1418">
        <v>5.2302570999999999E-2</v>
      </c>
      <c r="P1418">
        <v>3.6403737999999998E-2</v>
      </c>
      <c r="Q1418" t="str">
        <f t="shared" si="44"/>
        <v>10-14</v>
      </c>
      <c r="R1418" t="str">
        <f t="shared" si="45"/>
        <v>[fyEoGEPERdI]|10-14|Female|PLHIV_Residents.T_1|CY2024Q3</v>
      </c>
    </row>
    <row r="1419" spans="4:18" x14ac:dyDescent="0.2">
      <c r="D1419" t="s">
        <v>105</v>
      </c>
      <c r="E1419" t="s">
        <v>106</v>
      </c>
      <c r="F1419" t="s">
        <v>107</v>
      </c>
      <c r="G1419" t="s">
        <v>143</v>
      </c>
      <c r="H1419" t="s">
        <v>144</v>
      </c>
      <c r="I1419" t="s">
        <v>38</v>
      </c>
      <c r="J1419" t="s">
        <v>39</v>
      </c>
      <c r="K1419" t="s">
        <v>30</v>
      </c>
      <c r="L1419" t="s">
        <v>31</v>
      </c>
      <c r="M1419" t="s">
        <v>140</v>
      </c>
      <c r="N1419">
        <v>3471</v>
      </c>
      <c r="O1419">
        <v>7.3372594999999999E-2</v>
      </c>
      <c r="P1419">
        <v>3.6403737999999998E-2</v>
      </c>
      <c r="Q1419" t="str">
        <f t="shared" si="44"/>
        <v>15-24</v>
      </c>
      <c r="R1419" t="str">
        <f t="shared" si="45"/>
        <v>[fyEoGEPERdI]|15-24|Female|PLHIV_Residents.T_1|CY2024Q3</v>
      </c>
    </row>
    <row r="1420" spans="4:18" x14ac:dyDescent="0.2">
      <c r="D1420" t="s">
        <v>105</v>
      </c>
      <c r="E1420" t="s">
        <v>106</v>
      </c>
      <c r="F1420" t="s">
        <v>107</v>
      </c>
      <c r="G1420" t="s">
        <v>143</v>
      </c>
      <c r="H1420" t="s">
        <v>144</v>
      </c>
      <c r="I1420" t="s">
        <v>41</v>
      </c>
      <c r="J1420" t="s">
        <v>42</v>
      </c>
      <c r="K1420" t="s">
        <v>30</v>
      </c>
      <c r="L1420" t="s">
        <v>31</v>
      </c>
      <c r="M1420" t="s">
        <v>140</v>
      </c>
      <c r="N1420">
        <v>8867</v>
      </c>
      <c r="O1420">
        <v>5.0630222000000003E-2</v>
      </c>
      <c r="P1420">
        <v>3.6403737999999998E-2</v>
      </c>
      <c r="Q1420" t="str">
        <f t="shared" si="44"/>
        <v>25-34</v>
      </c>
      <c r="R1420" t="str">
        <f t="shared" si="45"/>
        <v>[fyEoGEPERdI]|25-34|Female|PLHIV_Residents.T_1|CY2024Q3</v>
      </c>
    </row>
    <row r="1421" spans="4:18" x14ac:dyDescent="0.2">
      <c r="D1421" t="s">
        <v>105</v>
      </c>
      <c r="E1421" t="s">
        <v>106</v>
      </c>
      <c r="F1421" t="s">
        <v>107</v>
      </c>
      <c r="G1421" t="s">
        <v>143</v>
      </c>
      <c r="H1421" t="s">
        <v>144</v>
      </c>
      <c r="I1421" t="s">
        <v>43</v>
      </c>
      <c r="J1421" t="s">
        <v>44</v>
      </c>
      <c r="K1421" t="s">
        <v>30</v>
      </c>
      <c r="L1421" t="s">
        <v>31</v>
      </c>
      <c r="M1421" t="s">
        <v>140</v>
      </c>
      <c r="N1421">
        <v>21361</v>
      </c>
      <c r="O1421">
        <v>3.8200976999999997E-2</v>
      </c>
      <c r="P1421">
        <v>3.6403737999999998E-2</v>
      </c>
      <c r="Q1421" t="str">
        <f t="shared" si="44"/>
        <v>35-49</v>
      </c>
      <c r="R1421" t="str">
        <f t="shared" si="45"/>
        <v>[fyEoGEPERdI]|35-49|Female|PLHIV_Residents.T_1|CY2024Q3</v>
      </c>
    </row>
    <row r="1422" spans="4:18" x14ac:dyDescent="0.2">
      <c r="D1422" t="s">
        <v>105</v>
      </c>
      <c r="E1422" t="s">
        <v>106</v>
      </c>
      <c r="F1422" t="s">
        <v>107</v>
      </c>
      <c r="G1422" t="s">
        <v>143</v>
      </c>
      <c r="H1422" t="s">
        <v>144</v>
      </c>
      <c r="I1422" t="s">
        <v>45</v>
      </c>
      <c r="J1422" t="s">
        <v>46</v>
      </c>
      <c r="K1422" t="s">
        <v>30</v>
      </c>
      <c r="L1422" t="s">
        <v>31</v>
      </c>
      <c r="M1422" t="s">
        <v>140</v>
      </c>
      <c r="N1422">
        <v>9647</v>
      </c>
      <c r="O1422">
        <v>5.0538874999999997E-2</v>
      </c>
      <c r="P1422">
        <v>3.6403737999999998E-2</v>
      </c>
      <c r="Q1422" t="str">
        <f t="shared" si="44"/>
        <v>50+</v>
      </c>
      <c r="R1422" t="str">
        <f t="shared" si="45"/>
        <v>[fyEoGEPERdI]|50+|Female|PLHIV_Residents.T_1|CY2024Q3</v>
      </c>
    </row>
    <row r="1423" spans="4:18" x14ac:dyDescent="0.2">
      <c r="D1423" t="s">
        <v>105</v>
      </c>
      <c r="E1423" t="s">
        <v>106</v>
      </c>
      <c r="F1423" t="s">
        <v>107</v>
      </c>
      <c r="G1423" t="s">
        <v>143</v>
      </c>
      <c r="H1423" t="s">
        <v>144</v>
      </c>
      <c r="I1423" t="s">
        <v>28</v>
      </c>
      <c r="J1423" t="s">
        <v>29</v>
      </c>
      <c r="K1423" t="s">
        <v>48</v>
      </c>
      <c r="L1423" t="s">
        <v>49</v>
      </c>
      <c r="M1423" t="s">
        <v>140</v>
      </c>
      <c r="N1423">
        <v>40</v>
      </c>
      <c r="O1423">
        <v>4.0849564999999997E-2</v>
      </c>
      <c r="P1423">
        <v>3.6403737999999998E-2</v>
      </c>
      <c r="Q1423" t="str">
        <f t="shared" si="44"/>
        <v>&lt;01</v>
      </c>
      <c r="R1423" t="str">
        <f t="shared" si="45"/>
        <v>[fyEoGEPERdI]|&lt;01|Male|PLHIV_Residents.T_1|CY2024Q3</v>
      </c>
    </row>
    <row r="1424" spans="4:18" x14ac:dyDescent="0.2">
      <c r="D1424" t="s">
        <v>105</v>
      </c>
      <c r="E1424" t="s">
        <v>106</v>
      </c>
      <c r="F1424" t="s">
        <v>107</v>
      </c>
      <c r="G1424" t="s">
        <v>143</v>
      </c>
      <c r="H1424" t="s">
        <v>144</v>
      </c>
      <c r="I1424" t="s">
        <v>33</v>
      </c>
      <c r="J1424" t="s">
        <v>34</v>
      </c>
      <c r="K1424" t="s">
        <v>48</v>
      </c>
      <c r="L1424" t="s">
        <v>49</v>
      </c>
      <c r="M1424" t="s">
        <v>140</v>
      </c>
      <c r="N1424">
        <v>744</v>
      </c>
      <c r="O1424">
        <v>4.5887321000000002E-2</v>
      </c>
      <c r="P1424">
        <v>3.6403737999999998E-2</v>
      </c>
      <c r="Q1424" t="str">
        <f t="shared" si="44"/>
        <v>01-09</v>
      </c>
      <c r="R1424" t="str">
        <f t="shared" si="45"/>
        <v>[fyEoGEPERdI]|01-09|Male|PLHIV_Residents.T_1|CY2024Q3</v>
      </c>
    </row>
    <row r="1425" spans="4:18" x14ac:dyDescent="0.2">
      <c r="D1425" t="s">
        <v>105</v>
      </c>
      <c r="E1425" t="s">
        <v>106</v>
      </c>
      <c r="F1425" t="s">
        <v>107</v>
      </c>
      <c r="G1425" t="s">
        <v>143</v>
      </c>
      <c r="H1425" t="s">
        <v>144</v>
      </c>
      <c r="I1425" t="s">
        <v>36</v>
      </c>
      <c r="J1425" t="s">
        <v>37</v>
      </c>
      <c r="K1425" t="s">
        <v>48</v>
      </c>
      <c r="L1425" t="s">
        <v>49</v>
      </c>
      <c r="M1425" t="s">
        <v>140</v>
      </c>
      <c r="N1425">
        <v>897</v>
      </c>
      <c r="O1425">
        <v>5.2634933000000002E-2</v>
      </c>
      <c r="P1425">
        <v>3.6403737999999998E-2</v>
      </c>
      <c r="Q1425" t="str">
        <f t="shared" si="44"/>
        <v>10-14</v>
      </c>
      <c r="R1425" t="str">
        <f t="shared" si="45"/>
        <v>[fyEoGEPERdI]|10-14|Male|PLHIV_Residents.T_1|CY2024Q3</v>
      </c>
    </row>
    <row r="1426" spans="4:18" x14ac:dyDescent="0.2">
      <c r="D1426" t="s">
        <v>105</v>
      </c>
      <c r="E1426" t="s">
        <v>106</v>
      </c>
      <c r="F1426" t="s">
        <v>107</v>
      </c>
      <c r="G1426" t="s">
        <v>143</v>
      </c>
      <c r="H1426" t="s">
        <v>144</v>
      </c>
      <c r="I1426" t="s">
        <v>38</v>
      </c>
      <c r="J1426" t="s">
        <v>39</v>
      </c>
      <c r="K1426" t="s">
        <v>48</v>
      </c>
      <c r="L1426" t="s">
        <v>49</v>
      </c>
      <c r="M1426" t="s">
        <v>140</v>
      </c>
      <c r="N1426">
        <v>2383</v>
      </c>
      <c r="O1426">
        <v>8.1985913999999993E-2</v>
      </c>
      <c r="P1426">
        <v>3.6403737999999998E-2</v>
      </c>
      <c r="Q1426" t="str">
        <f t="shared" si="44"/>
        <v>15-24</v>
      </c>
      <c r="R1426" t="str">
        <f t="shared" si="45"/>
        <v>[fyEoGEPERdI]|15-24|Male|PLHIV_Residents.T_1|CY2024Q3</v>
      </c>
    </row>
    <row r="1427" spans="4:18" x14ac:dyDescent="0.2">
      <c r="D1427" t="s">
        <v>105</v>
      </c>
      <c r="E1427" t="s">
        <v>106</v>
      </c>
      <c r="F1427" t="s">
        <v>107</v>
      </c>
      <c r="G1427" t="s">
        <v>143</v>
      </c>
      <c r="H1427" t="s">
        <v>144</v>
      </c>
      <c r="I1427" t="s">
        <v>41</v>
      </c>
      <c r="J1427" t="s">
        <v>42</v>
      </c>
      <c r="K1427" t="s">
        <v>48</v>
      </c>
      <c r="L1427" t="s">
        <v>49</v>
      </c>
      <c r="M1427" t="s">
        <v>140</v>
      </c>
      <c r="N1427">
        <v>3224</v>
      </c>
      <c r="O1427">
        <v>7.3499110000000006E-2</v>
      </c>
      <c r="P1427">
        <v>3.6403737999999998E-2</v>
      </c>
      <c r="Q1427" t="str">
        <f t="shared" si="44"/>
        <v>25-34</v>
      </c>
      <c r="R1427" t="str">
        <f t="shared" si="45"/>
        <v>[fyEoGEPERdI]|25-34|Male|PLHIV_Residents.T_1|CY2024Q3</v>
      </c>
    </row>
    <row r="1428" spans="4:18" x14ac:dyDescent="0.2">
      <c r="D1428" t="s">
        <v>105</v>
      </c>
      <c r="E1428" t="s">
        <v>106</v>
      </c>
      <c r="F1428" t="s">
        <v>107</v>
      </c>
      <c r="G1428" t="s">
        <v>143</v>
      </c>
      <c r="H1428" t="s">
        <v>144</v>
      </c>
      <c r="I1428" t="s">
        <v>43</v>
      </c>
      <c r="J1428" t="s">
        <v>44</v>
      </c>
      <c r="K1428" t="s">
        <v>48</v>
      </c>
      <c r="L1428" t="s">
        <v>49</v>
      </c>
      <c r="M1428" t="s">
        <v>140</v>
      </c>
      <c r="N1428">
        <v>11008</v>
      </c>
      <c r="O1428">
        <v>4.4361953000000003E-2</v>
      </c>
      <c r="P1428">
        <v>3.6403737999999998E-2</v>
      </c>
      <c r="Q1428" t="str">
        <f t="shared" si="44"/>
        <v>35-49</v>
      </c>
      <c r="R1428" t="str">
        <f t="shared" si="45"/>
        <v>[fyEoGEPERdI]|35-49|Male|PLHIV_Residents.T_1|CY2024Q3</v>
      </c>
    </row>
    <row r="1429" spans="4:18" x14ac:dyDescent="0.2">
      <c r="D1429" t="s">
        <v>105</v>
      </c>
      <c r="E1429" t="s">
        <v>106</v>
      </c>
      <c r="F1429" t="s">
        <v>107</v>
      </c>
      <c r="G1429" t="s">
        <v>143</v>
      </c>
      <c r="H1429" t="s">
        <v>144</v>
      </c>
      <c r="I1429" t="s">
        <v>45</v>
      </c>
      <c r="J1429" t="s">
        <v>46</v>
      </c>
      <c r="K1429" t="s">
        <v>48</v>
      </c>
      <c r="L1429" t="s">
        <v>49</v>
      </c>
      <c r="M1429" t="s">
        <v>140</v>
      </c>
      <c r="N1429">
        <v>7588</v>
      </c>
      <c r="O1429">
        <v>4.4498272999999998E-2</v>
      </c>
      <c r="P1429">
        <v>3.6403737999999998E-2</v>
      </c>
      <c r="Q1429" t="str">
        <f t="shared" si="44"/>
        <v>50+</v>
      </c>
      <c r="R1429" t="str">
        <f t="shared" si="45"/>
        <v>[fyEoGEPERdI]|50+|Male|PLHIV_Residents.T_1|CY2024Q3</v>
      </c>
    </row>
    <row r="1430" spans="4:18" x14ac:dyDescent="0.2">
      <c r="D1430" t="s">
        <v>108</v>
      </c>
      <c r="E1430" t="s">
        <v>109</v>
      </c>
      <c r="F1430" t="s">
        <v>110</v>
      </c>
      <c r="G1430" t="s">
        <v>143</v>
      </c>
      <c r="H1430" t="s">
        <v>144</v>
      </c>
      <c r="I1430" t="s">
        <v>28</v>
      </c>
      <c r="J1430" t="s">
        <v>29</v>
      </c>
      <c r="K1430" t="s">
        <v>30</v>
      </c>
      <c r="L1430" t="s">
        <v>31</v>
      </c>
      <c r="M1430" t="s">
        <v>140</v>
      </c>
      <c r="N1430">
        <v>35</v>
      </c>
      <c r="O1430">
        <v>5.0431959999999998E-2</v>
      </c>
      <c r="P1430">
        <v>4.4268001000000001E-2</v>
      </c>
      <c r="Q1430" t="str">
        <f t="shared" si="44"/>
        <v>&lt;01</v>
      </c>
      <c r="R1430" t="str">
        <f t="shared" si="45"/>
        <v>[umc2n1Z4wNv]|&lt;01|Female|PLHIV_Residents.T_1|CY2024Q3</v>
      </c>
    </row>
    <row r="1431" spans="4:18" x14ac:dyDescent="0.2">
      <c r="D1431" t="s">
        <v>108</v>
      </c>
      <c r="E1431" t="s">
        <v>109</v>
      </c>
      <c r="F1431" t="s">
        <v>110</v>
      </c>
      <c r="G1431" t="s">
        <v>143</v>
      </c>
      <c r="H1431" t="s">
        <v>144</v>
      </c>
      <c r="I1431" t="s">
        <v>33</v>
      </c>
      <c r="J1431" t="s">
        <v>34</v>
      </c>
      <c r="K1431" t="s">
        <v>30</v>
      </c>
      <c r="L1431" t="s">
        <v>31</v>
      </c>
      <c r="M1431" t="s">
        <v>140</v>
      </c>
      <c r="N1431">
        <v>624</v>
      </c>
      <c r="O1431">
        <v>6.0134741999999998E-2</v>
      </c>
      <c r="P1431">
        <v>4.4268001000000001E-2</v>
      </c>
      <c r="Q1431" t="str">
        <f t="shared" si="44"/>
        <v>01-09</v>
      </c>
      <c r="R1431" t="str">
        <f t="shared" si="45"/>
        <v>[umc2n1Z4wNv]|01-09|Female|PLHIV_Residents.T_1|CY2024Q3</v>
      </c>
    </row>
    <row r="1432" spans="4:18" x14ac:dyDescent="0.2">
      <c r="D1432" t="s">
        <v>108</v>
      </c>
      <c r="E1432" t="s">
        <v>109</v>
      </c>
      <c r="F1432" t="s">
        <v>110</v>
      </c>
      <c r="G1432" t="s">
        <v>143</v>
      </c>
      <c r="H1432" t="s">
        <v>144</v>
      </c>
      <c r="I1432" t="s">
        <v>36</v>
      </c>
      <c r="J1432" t="s">
        <v>37</v>
      </c>
      <c r="K1432" t="s">
        <v>30</v>
      </c>
      <c r="L1432" t="s">
        <v>31</v>
      </c>
      <c r="M1432" t="s">
        <v>140</v>
      </c>
      <c r="N1432">
        <v>749</v>
      </c>
      <c r="O1432">
        <v>7.2969236000000007E-2</v>
      </c>
      <c r="P1432">
        <v>4.4268001000000001E-2</v>
      </c>
      <c r="Q1432" t="str">
        <f t="shared" si="44"/>
        <v>10-14</v>
      </c>
      <c r="R1432" t="str">
        <f t="shared" si="45"/>
        <v>[umc2n1Z4wNv]|10-14|Female|PLHIV_Residents.T_1|CY2024Q3</v>
      </c>
    </row>
    <row r="1433" spans="4:18" x14ac:dyDescent="0.2">
      <c r="D1433" t="s">
        <v>108</v>
      </c>
      <c r="E1433" t="s">
        <v>109</v>
      </c>
      <c r="F1433" t="s">
        <v>110</v>
      </c>
      <c r="G1433" t="s">
        <v>143</v>
      </c>
      <c r="H1433" t="s">
        <v>144</v>
      </c>
      <c r="I1433" t="s">
        <v>38</v>
      </c>
      <c r="J1433" t="s">
        <v>39</v>
      </c>
      <c r="K1433" t="s">
        <v>30</v>
      </c>
      <c r="L1433" t="s">
        <v>31</v>
      </c>
      <c r="M1433" t="s">
        <v>140</v>
      </c>
      <c r="N1433">
        <v>3145</v>
      </c>
      <c r="O1433">
        <v>8.4408552999999997E-2</v>
      </c>
      <c r="P1433">
        <v>4.4268001000000001E-2</v>
      </c>
      <c r="Q1433" t="str">
        <f t="shared" si="44"/>
        <v>15-24</v>
      </c>
      <c r="R1433" t="str">
        <f t="shared" si="45"/>
        <v>[umc2n1Z4wNv]|15-24|Female|PLHIV_Residents.T_1|CY2024Q3</v>
      </c>
    </row>
    <row r="1434" spans="4:18" x14ac:dyDescent="0.2">
      <c r="D1434" t="s">
        <v>108</v>
      </c>
      <c r="E1434" t="s">
        <v>109</v>
      </c>
      <c r="F1434" t="s">
        <v>110</v>
      </c>
      <c r="G1434" t="s">
        <v>143</v>
      </c>
      <c r="H1434" t="s">
        <v>144</v>
      </c>
      <c r="I1434" t="s">
        <v>41</v>
      </c>
      <c r="J1434" t="s">
        <v>42</v>
      </c>
      <c r="K1434" t="s">
        <v>30</v>
      </c>
      <c r="L1434" t="s">
        <v>31</v>
      </c>
      <c r="M1434" t="s">
        <v>140</v>
      </c>
      <c r="N1434">
        <v>7860</v>
      </c>
      <c r="O1434">
        <v>5.8712321999999997E-2</v>
      </c>
      <c r="P1434">
        <v>4.4268001000000001E-2</v>
      </c>
      <c r="Q1434" t="str">
        <f t="shared" si="44"/>
        <v>25-34</v>
      </c>
      <c r="R1434" t="str">
        <f t="shared" si="45"/>
        <v>[umc2n1Z4wNv]|25-34|Female|PLHIV_Residents.T_1|CY2024Q3</v>
      </c>
    </row>
    <row r="1435" spans="4:18" x14ac:dyDescent="0.2">
      <c r="D1435" t="s">
        <v>108</v>
      </c>
      <c r="E1435" t="s">
        <v>109</v>
      </c>
      <c r="F1435" t="s">
        <v>110</v>
      </c>
      <c r="G1435" t="s">
        <v>143</v>
      </c>
      <c r="H1435" t="s">
        <v>144</v>
      </c>
      <c r="I1435" t="s">
        <v>43</v>
      </c>
      <c r="J1435" t="s">
        <v>44</v>
      </c>
      <c r="K1435" t="s">
        <v>30</v>
      </c>
      <c r="L1435" t="s">
        <v>31</v>
      </c>
      <c r="M1435" t="s">
        <v>140</v>
      </c>
      <c r="N1435">
        <v>19947</v>
      </c>
      <c r="O1435">
        <v>4.3962538000000002E-2</v>
      </c>
      <c r="P1435">
        <v>4.4268001000000001E-2</v>
      </c>
      <c r="Q1435" t="str">
        <f t="shared" si="44"/>
        <v>35-49</v>
      </c>
      <c r="R1435" t="str">
        <f t="shared" si="45"/>
        <v>[umc2n1Z4wNv]|35-49|Female|PLHIV_Residents.T_1|CY2024Q3</v>
      </c>
    </row>
    <row r="1436" spans="4:18" x14ac:dyDescent="0.2">
      <c r="D1436" t="s">
        <v>108</v>
      </c>
      <c r="E1436" t="s">
        <v>109</v>
      </c>
      <c r="F1436" t="s">
        <v>110</v>
      </c>
      <c r="G1436" t="s">
        <v>143</v>
      </c>
      <c r="H1436" t="s">
        <v>144</v>
      </c>
      <c r="I1436" t="s">
        <v>45</v>
      </c>
      <c r="J1436" t="s">
        <v>46</v>
      </c>
      <c r="K1436" t="s">
        <v>30</v>
      </c>
      <c r="L1436" t="s">
        <v>31</v>
      </c>
      <c r="M1436" t="s">
        <v>140</v>
      </c>
      <c r="N1436">
        <v>9837</v>
      </c>
      <c r="O1436">
        <v>5.2130969999999999E-2</v>
      </c>
      <c r="P1436">
        <v>4.4268001000000001E-2</v>
      </c>
      <c r="Q1436" t="str">
        <f t="shared" si="44"/>
        <v>50+</v>
      </c>
      <c r="R1436" t="str">
        <f t="shared" si="45"/>
        <v>[umc2n1Z4wNv]|50+|Female|PLHIV_Residents.T_1|CY2024Q3</v>
      </c>
    </row>
    <row r="1437" spans="4:18" x14ac:dyDescent="0.2">
      <c r="D1437" t="s">
        <v>108</v>
      </c>
      <c r="E1437" t="s">
        <v>109</v>
      </c>
      <c r="F1437" t="s">
        <v>110</v>
      </c>
      <c r="G1437" t="s">
        <v>143</v>
      </c>
      <c r="H1437" t="s">
        <v>144</v>
      </c>
      <c r="I1437" t="s">
        <v>28</v>
      </c>
      <c r="J1437" t="s">
        <v>29</v>
      </c>
      <c r="K1437" t="s">
        <v>48</v>
      </c>
      <c r="L1437" t="s">
        <v>49</v>
      </c>
      <c r="M1437" t="s">
        <v>140</v>
      </c>
      <c r="N1437">
        <v>35</v>
      </c>
      <c r="O1437">
        <v>5.0521732999999999E-2</v>
      </c>
      <c r="P1437">
        <v>4.4268001000000001E-2</v>
      </c>
      <c r="Q1437" t="str">
        <f t="shared" si="44"/>
        <v>&lt;01</v>
      </c>
      <c r="R1437" t="str">
        <f t="shared" si="45"/>
        <v>[umc2n1Z4wNv]|&lt;01|Male|PLHIV_Residents.T_1|CY2024Q3</v>
      </c>
    </row>
    <row r="1438" spans="4:18" x14ac:dyDescent="0.2">
      <c r="D1438" t="s">
        <v>108</v>
      </c>
      <c r="E1438" t="s">
        <v>109</v>
      </c>
      <c r="F1438" t="s">
        <v>110</v>
      </c>
      <c r="G1438" t="s">
        <v>143</v>
      </c>
      <c r="H1438" t="s">
        <v>144</v>
      </c>
      <c r="I1438" t="s">
        <v>33</v>
      </c>
      <c r="J1438" t="s">
        <v>34</v>
      </c>
      <c r="K1438" t="s">
        <v>48</v>
      </c>
      <c r="L1438" t="s">
        <v>49</v>
      </c>
      <c r="M1438" t="s">
        <v>140</v>
      </c>
      <c r="N1438">
        <v>639</v>
      </c>
      <c r="O1438">
        <v>6.0206361E-2</v>
      </c>
      <c r="P1438">
        <v>4.4268001000000001E-2</v>
      </c>
      <c r="Q1438" t="str">
        <f t="shared" si="44"/>
        <v>01-09</v>
      </c>
      <c r="R1438" t="str">
        <f t="shared" si="45"/>
        <v>[umc2n1Z4wNv]|01-09|Male|PLHIV_Residents.T_1|CY2024Q3</v>
      </c>
    </row>
    <row r="1439" spans="4:18" x14ac:dyDescent="0.2">
      <c r="D1439" t="s">
        <v>108</v>
      </c>
      <c r="E1439" t="s">
        <v>109</v>
      </c>
      <c r="F1439" t="s">
        <v>110</v>
      </c>
      <c r="G1439" t="s">
        <v>143</v>
      </c>
      <c r="H1439" t="s">
        <v>144</v>
      </c>
      <c r="I1439" t="s">
        <v>36</v>
      </c>
      <c r="J1439" t="s">
        <v>37</v>
      </c>
      <c r="K1439" t="s">
        <v>48</v>
      </c>
      <c r="L1439" t="s">
        <v>49</v>
      </c>
      <c r="M1439" t="s">
        <v>140</v>
      </c>
      <c r="N1439">
        <v>766</v>
      </c>
      <c r="O1439">
        <v>7.2966590999999997E-2</v>
      </c>
      <c r="P1439">
        <v>4.4268001000000001E-2</v>
      </c>
      <c r="Q1439" t="str">
        <f t="shared" si="44"/>
        <v>10-14</v>
      </c>
      <c r="R1439" t="str">
        <f t="shared" si="45"/>
        <v>[umc2n1Z4wNv]|10-14|Male|PLHIV_Residents.T_1|CY2024Q3</v>
      </c>
    </row>
    <row r="1440" spans="4:18" x14ac:dyDescent="0.2">
      <c r="D1440" t="s">
        <v>108</v>
      </c>
      <c r="E1440" t="s">
        <v>109</v>
      </c>
      <c r="F1440" t="s">
        <v>110</v>
      </c>
      <c r="G1440" t="s">
        <v>143</v>
      </c>
      <c r="H1440" t="s">
        <v>144</v>
      </c>
      <c r="I1440" t="s">
        <v>38</v>
      </c>
      <c r="J1440" t="s">
        <v>39</v>
      </c>
      <c r="K1440" t="s">
        <v>48</v>
      </c>
      <c r="L1440" t="s">
        <v>49</v>
      </c>
      <c r="M1440" t="s">
        <v>140</v>
      </c>
      <c r="N1440">
        <v>2161</v>
      </c>
      <c r="O1440">
        <v>8.8778801000000004E-2</v>
      </c>
      <c r="P1440">
        <v>4.4268001000000001E-2</v>
      </c>
      <c r="Q1440" t="str">
        <f t="shared" si="44"/>
        <v>15-24</v>
      </c>
      <c r="R1440" t="str">
        <f t="shared" si="45"/>
        <v>[umc2n1Z4wNv]|15-24|Male|PLHIV_Residents.T_1|CY2024Q3</v>
      </c>
    </row>
    <row r="1441" spans="4:18" x14ac:dyDescent="0.2">
      <c r="D1441" t="s">
        <v>108</v>
      </c>
      <c r="E1441" t="s">
        <v>109</v>
      </c>
      <c r="F1441" t="s">
        <v>110</v>
      </c>
      <c r="G1441" t="s">
        <v>143</v>
      </c>
      <c r="H1441" t="s">
        <v>144</v>
      </c>
      <c r="I1441" t="s">
        <v>41</v>
      </c>
      <c r="J1441" t="s">
        <v>42</v>
      </c>
      <c r="K1441" t="s">
        <v>48</v>
      </c>
      <c r="L1441" t="s">
        <v>49</v>
      </c>
      <c r="M1441" t="s">
        <v>140</v>
      </c>
      <c r="N1441">
        <v>2712</v>
      </c>
      <c r="O1441">
        <v>8.0447498000000006E-2</v>
      </c>
      <c r="P1441">
        <v>4.4268001000000001E-2</v>
      </c>
      <c r="Q1441" t="str">
        <f t="shared" si="44"/>
        <v>25-34</v>
      </c>
      <c r="R1441" t="str">
        <f t="shared" si="45"/>
        <v>[umc2n1Z4wNv]|25-34|Male|PLHIV_Residents.T_1|CY2024Q3</v>
      </c>
    </row>
    <row r="1442" spans="4:18" x14ac:dyDescent="0.2">
      <c r="D1442" t="s">
        <v>108</v>
      </c>
      <c r="E1442" t="s">
        <v>109</v>
      </c>
      <c r="F1442" t="s">
        <v>110</v>
      </c>
      <c r="G1442" t="s">
        <v>143</v>
      </c>
      <c r="H1442" t="s">
        <v>144</v>
      </c>
      <c r="I1442" t="s">
        <v>43</v>
      </c>
      <c r="J1442" t="s">
        <v>44</v>
      </c>
      <c r="K1442" t="s">
        <v>48</v>
      </c>
      <c r="L1442" t="s">
        <v>49</v>
      </c>
      <c r="M1442" t="s">
        <v>140</v>
      </c>
      <c r="N1442">
        <v>9576</v>
      </c>
      <c r="O1442">
        <v>5.1347309000000001E-2</v>
      </c>
      <c r="P1442">
        <v>4.4268001000000001E-2</v>
      </c>
      <c r="Q1442" t="str">
        <f t="shared" si="44"/>
        <v>35-49</v>
      </c>
      <c r="R1442" t="str">
        <f t="shared" si="45"/>
        <v>[umc2n1Z4wNv]|35-49|Male|PLHIV_Residents.T_1|CY2024Q3</v>
      </c>
    </row>
    <row r="1443" spans="4:18" x14ac:dyDescent="0.2">
      <c r="D1443" t="s">
        <v>108</v>
      </c>
      <c r="E1443" t="s">
        <v>109</v>
      </c>
      <c r="F1443" t="s">
        <v>110</v>
      </c>
      <c r="G1443" t="s">
        <v>143</v>
      </c>
      <c r="H1443" t="s">
        <v>144</v>
      </c>
      <c r="I1443" t="s">
        <v>45</v>
      </c>
      <c r="J1443" t="s">
        <v>46</v>
      </c>
      <c r="K1443" t="s">
        <v>48</v>
      </c>
      <c r="L1443" t="s">
        <v>49</v>
      </c>
      <c r="M1443" t="s">
        <v>140</v>
      </c>
      <c r="N1443">
        <v>6670</v>
      </c>
      <c r="O1443">
        <v>5.3457285E-2</v>
      </c>
      <c r="P1443">
        <v>4.4268001000000001E-2</v>
      </c>
      <c r="Q1443" t="str">
        <f t="shared" si="44"/>
        <v>50+</v>
      </c>
      <c r="R1443" t="str">
        <f t="shared" si="45"/>
        <v>[umc2n1Z4wNv]|50+|Male|PLHIV_Residents.T_1|CY2024Q3</v>
      </c>
    </row>
    <row r="1444" spans="4:18" x14ac:dyDescent="0.2">
      <c r="D1444" t="s">
        <v>111</v>
      </c>
      <c r="E1444" t="s">
        <v>112</v>
      </c>
      <c r="F1444" t="s">
        <v>113</v>
      </c>
      <c r="G1444" t="s">
        <v>143</v>
      </c>
      <c r="H1444" t="s">
        <v>144</v>
      </c>
      <c r="I1444" t="s">
        <v>28</v>
      </c>
      <c r="J1444" t="s">
        <v>29</v>
      </c>
      <c r="K1444" t="s">
        <v>30</v>
      </c>
      <c r="L1444" t="s">
        <v>31</v>
      </c>
      <c r="M1444" t="s">
        <v>140</v>
      </c>
      <c r="N1444">
        <v>22</v>
      </c>
      <c r="O1444">
        <v>4.6880326E-2</v>
      </c>
      <c r="P1444">
        <v>4.1927878000000002E-2</v>
      </c>
      <c r="Q1444" t="str">
        <f t="shared" si="44"/>
        <v>&lt;01</v>
      </c>
      <c r="R1444" t="str">
        <f t="shared" si="45"/>
        <v>[AZyWpGzhcaA]|&lt;01|Female|PLHIV_Residents.T_1|CY2024Q3</v>
      </c>
    </row>
    <row r="1445" spans="4:18" x14ac:dyDescent="0.2">
      <c r="D1445" t="s">
        <v>111</v>
      </c>
      <c r="E1445" t="s">
        <v>112</v>
      </c>
      <c r="F1445" t="s">
        <v>113</v>
      </c>
      <c r="G1445" t="s">
        <v>143</v>
      </c>
      <c r="H1445" t="s">
        <v>144</v>
      </c>
      <c r="I1445" t="s">
        <v>33</v>
      </c>
      <c r="J1445" t="s">
        <v>34</v>
      </c>
      <c r="K1445" t="s">
        <v>30</v>
      </c>
      <c r="L1445" t="s">
        <v>31</v>
      </c>
      <c r="M1445" t="s">
        <v>140</v>
      </c>
      <c r="N1445">
        <v>443</v>
      </c>
      <c r="O1445">
        <v>5.3041255000000002E-2</v>
      </c>
      <c r="P1445">
        <v>4.1927878000000002E-2</v>
      </c>
      <c r="Q1445" t="str">
        <f t="shared" si="44"/>
        <v>01-09</v>
      </c>
      <c r="R1445" t="str">
        <f t="shared" si="45"/>
        <v>[AZyWpGzhcaA]|01-09|Female|PLHIV_Residents.T_1|CY2024Q3</v>
      </c>
    </row>
    <row r="1446" spans="4:18" x14ac:dyDescent="0.2">
      <c r="D1446" t="s">
        <v>111</v>
      </c>
      <c r="E1446" t="s">
        <v>112</v>
      </c>
      <c r="F1446" t="s">
        <v>113</v>
      </c>
      <c r="G1446" t="s">
        <v>143</v>
      </c>
      <c r="H1446" t="s">
        <v>144</v>
      </c>
      <c r="I1446" t="s">
        <v>36</v>
      </c>
      <c r="J1446" t="s">
        <v>37</v>
      </c>
      <c r="K1446" t="s">
        <v>30</v>
      </c>
      <c r="L1446" t="s">
        <v>31</v>
      </c>
      <c r="M1446" t="s">
        <v>140</v>
      </c>
      <c r="N1446">
        <v>557</v>
      </c>
      <c r="O1446">
        <v>6.0884829000000001E-2</v>
      </c>
      <c r="P1446">
        <v>4.1927878000000002E-2</v>
      </c>
      <c r="Q1446" t="str">
        <f t="shared" si="44"/>
        <v>10-14</v>
      </c>
      <c r="R1446" t="str">
        <f t="shared" si="45"/>
        <v>[AZyWpGzhcaA]|10-14|Female|PLHIV_Residents.T_1|CY2024Q3</v>
      </c>
    </row>
    <row r="1447" spans="4:18" x14ac:dyDescent="0.2">
      <c r="D1447" t="s">
        <v>111</v>
      </c>
      <c r="E1447" t="s">
        <v>112</v>
      </c>
      <c r="F1447" t="s">
        <v>113</v>
      </c>
      <c r="G1447" t="s">
        <v>143</v>
      </c>
      <c r="H1447" t="s">
        <v>144</v>
      </c>
      <c r="I1447" t="s">
        <v>38</v>
      </c>
      <c r="J1447" t="s">
        <v>39</v>
      </c>
      <c r="K1447" t="s">
        <v>30</v>
      </c>
      <c r="L1447" t="s">
        <v>31</v>
      </c>
      <c r="M1447" t="s">
        <v>140</v>
      </c>
      <c r="N1447">
        <v>2006</v>
      </c>
      <c r="O1447">
        <v>7.6968850000000005E-2</v>
      </c>
      <c r="P1447">
        <v>4.1927878000000002E-2</v>
      </c>
      <c r="Q1447" t="str">
        <f t="shared" si="44"/>
        <v>15-24</v>
      </c>
      <c r="R1447" t="str">
        <f t="shared" si="45"/>
        <v>[AZyWpGzhcaA]|15-24|Female|PLHIV_Residents.T_1|CY2024Q3</v>
      </c>
    </row>
    <row r="1448" spans="4:18" x14ac:dyDescent="0.2">
      <c r="D1448" t="s">
        <v>111</v>
      </c>
      <c r="E1448" t="s">
        <v>112</v>
      </c>
      <c r="F1448" t="s">
        <v>113</v>
      </c>
      <c r="G1448" t="s">
        <v>143</v>
      </c>
      <c r="H1448" t="s">
        <v>144</v>
      </c>
      <c r="I1448" t="s">
        <v>41</v>
      </c>
      <c r="J1448" t="s">
        <v>42</v>
      </c>
      <c r="K1448" t="s">
        <v>30</v>
      </c>
      <c r="L1448" t="s">
        <v>31</v>
      </c>
      <c r="M1448" t="s">
        <v>140</v>
      </c>
      <c r="N1448">
        <v>4842</v>
      </c>
      <c r="O1448">
        <v>5.9128565000000001E-2</v>
      </c>
      <c r="P1448">
        <v>4.1927878000000002E-2</v>
      </c>
      <c r="Q1448" t="str">
        <f t="shared" si="44"/>
        <v>25-34</v>
      </c>
      <c r="R1448" t="str">
        <f t="shared" si="45"/>
        <v>[AZyWpGzhcaA]|25-34|Female|PLHIV_Residents.T_1|CY2024Q3</v>
      </c>
    </row>
    <row r="1449" spans="4:18" x14ac:dyDescent="0.2">
      <c r="D1449" t="s">
        <v>111</v>
      </c>
      <c r="E1449" t="s">
        <v>112</v>
      </c>
      <c r="F1449" t="s">
        <v>113</v>
      </c>
      <c r="G1449" t="s">
        <v>143</v>
      </c>
      <c r="H1449" t="s">
        <v>144</v>
      </c>
      <c r="I1449" t="s">
        <v>43</v>
      </c>
      <c r="J1449" t="s">
        <v>44</v>
      </c>
      <c r="K1449" t="s">
        <v>30</v>
      </c>
      <c r="L1449" t="s">
        <v>31</v>
      </c>
      <c r="M1449" t="s">
        <v>140</v>
      </c>
      <c r="N1449">
        <v>11509</v>
      </c>
      <c r="O1449">
        <v>4.1535033999999998E-2</v>
      </c>
      <c r="P1449">
        <v>4.1927878000000002E-2</v>
      </c>
      <c r="Q1449" t="str">
        <f t="shared" si="44"/>
        <v>35-49</v>
      </c>
      <c r="R1449" t="str">
        <f t="shared" si="45"/>
        <v>[AZyWpGzhcaA]|35-49|Female|PLHIV_Residents.T_1|CY2024Q3</v>
      </c>
    </row>
    <row r="1450" spans="4:18" x14ac:dyDescent="0.2">
      <c r="D1450" t="s">
        <v>111</v>
      </c>
      <c r="E1450" t="s">
        <v>112</v>
      </c>
      <c r="F1450" t="s">
        <v>113</v>
      </c>
      <c r="G1450" t="s">
        <v>143</v>
      </c>
      <c r="H1450" t="s">
        <v>144</v>
      </c>
      <c r="I1450" t="s">
        <v>45</v>
      </c>
      <c r="J1450" t="s">
        <v>46</v>
      </c>
      <c r="K1450" t="s">
        <v>30</v>
      </c>
      <c r="L1450" t="s">
        <v>31</v>
      </c>
      <c r="M1450" t="s">
        <v>140</v>
      </c>
      <c r="N1450">
        <v>5456</v>
      </c>
      <c r="O1450">
        <v>5.2134477999999998E-2</v>
      </c>
      <c r="P1450">
        <v>4.1927878000000002E-2</v>
      </c>
      <c r="Q1450" t="str">
        <f t="shared" si="44"/>
        <v>50+</v>
      </c>
      <c r="R1450" t="str">
        <f t="shared" si="45"/>
        <v>[AZyWpGzhcaA]|50+|Female|PLHIV_Residents.T_1|CY2024Q3</v>
      </c>
    </row>
    <row r="1451" spans="4:18" x14ac:dyDescent="0.2">
      <c r="D1451" t="s">
        <v>111</v>
      </c>
      <c r="E1451" t="s">
        <v>112</v>
      </c>
      <c r="F1451" t="s">
        <v>113</v>
      </c>
      <c r="G1451" t="s">
        <v>143</v>
      </c>
      <c r="H1451" t="s">
        <v>144</v>
      </c>
      <c r="I1451" t="s">
        <v>28</v>
      </c>
      <c r="J1451" t="s">
        <v>29</v>
      </c>
      <c r="K1451" t="s">
        <v>48</v>
      </c>
      <c r="L1451" t="s">
        <v>49</v>
      </c>
      <c r="M1451" t="s">
        <v>140</v>
      </c>
      <c r="N1451">
        <v>23</v>
      </c>
      <c r="O1451">
        <v>4.6897960000000002E-2</v>
      </c>
      <c r="P1451">
        <v>4.1927878000000002E-2</v>
      </c>
      <c r="Q1451" t="str">
        <f t="shared" si="44"/>
        <v>&lt;01</v>
      </c>
      <c r="R1451" t="str">
        <f t="shared" si="45"/>
        <v>[AZyWpGzhcaA]|&lt;01|Male|PLHIV_Residents.T_1|CY2024Q3</v>
      </c>
    </row>
    <row r="1452" spans="4:18" x14ac:dyDescent="0.2">
      <c r="D1452" t="s">
        <v>111</v>
      </c>
      <c r="E1452" t="s">
        <v>112</v>
      </c>
      <c r="F1452" t="s">
        <v>113</v>
      </c>
      <c r="G1452" t="s">
        <v>143</v>
      </c>
      <c r="H1452" t="s">
        <v>144</v>
      </c>
      <c r="I1452" t="s">
        <v>33</v>
      </c>
      <c r="J1452" t="s">
        <v>34</v>
      </c>
      <c r="K1452" t="s">
        <v>48</v>
      </c>
      <c r="L1452" t="s">
        <v>49</v>
      </c>
      <c r="M1452" t="s">
        <v>140</v>
      </c>
      <c r="N1452">
        <v>450</v>
      </c>
      <c r="O1452">
        <v>5.3055155999999999E-2</v>
      </c>
      <c r="P1452">
        <v>4.1927878000000002E-2</v>
      </c>
      <c r="Q1452" t="str">
        <f t="shared" si="44"/>
        <v>01-09</v>
      </c>
      <c r="R1452" t="str">
        <f t="shared" si="45"/>
        <v>[AZyWpGzhcaA]|01-09|Male|PLHIV_Residents.T_1|CY2024Q3</v>
      </c>
    </row>
    <row r="1453" spans="4:18" x14ac:dyDescent="0.2">
      <c r="D1453" t="s">
        <v>111</v>
      </c>
      <c r="E1453" t="s">
        <v>112</v>
      </c>
      <c r="F1453" t="s">
        <v>113</v>
      </c>
      <c r="G1453" t="s">
        <v>143</v>
      </c>
      <c r="H1453" t="s">
        <v>144</v>
      </c>
      <c r="I1453" t="s">
        <v>36</v>
      </c>
      <c r="J1453" t="s">
        <v>37</v>
      </c>
      <c r="K1453" t="s">
        <v>48</v>
      </c>
      <c r="L1453" t="s">
        <v>49</v>
      </c>
      <c r="M1453" t="s">
        <v>140</v>
      </c>
      <c r="N1453">
        <v>564</v>
      </c>
      <c r="O1453">
        <v>6.0882769000000003E-2</v>
      </c>
      <c r="P1453">
        <v>4.1927878000000002E-2</v>
      </c>
      <c r="Q1453" t="str">
        <f t="shared" si="44"/>
        <v>10-14</v>
      </c>
      <c r="R1453" t="str">
        <f t="shared" si="45"/>
        <v>[AZyWpGzhcaA]|10-14|Male|PLHIV_Residents.T_1|CY2024Q3</v>
      </c>
    </row>
    <row r="1454" spans="4:18" x14ac:dyDescent="0.2">
      <c r="D1454" t="s">
        <v>111</v>
      </c>
      <c r="E1454" t="s">
        <v>112</v>
      </c>
      <c r="F1454" t="s">
        <v>113</v>
      </c>
      <c r="G1454" t="s">
        <v>143</v>
      </c>
      <c r="H1454" t="s">
        <v>144</v>
      </c>
      <c r="I1454" t="s">
        <v>38</v>
      </c>
      <c r="J1454" t="s">
        <v>39</v>
      </c>
      <c r="K1454" t="s">
        <v>48</v>
      </c>
      <c r="L1454" t="s">
        <v>49</v>
      </c>
      <c r="M1454" t="s">
        <v>140</v>
      </c>
      <c r="N1454">
        <v>1431</v>
      </c>
      <c r="O1454">
        <v>8.2699755999999999E-2</v>
      </c>
      <c r="P1454">
        <v>4.1927878000000002E-2</v>
      </c>
      <c r="Q1454" t="str">
        <f t="shared" si="44"/>
        <v>15-24</v>
      </c>
      <c r="R1454" t="str">
        <f t="shared" si="45"/>
        <v>[AZyWpGzhcaA]|15-24|Male|PLHIV_Residents.T_1|CY2024Q3</v>
      </c>
    </row>
    <row r="1455" spans="4:18" x14ac:dyDescent="0.2">
      <c r="D1455" t="s">
        <v>111</v>
      </c>
      <c r="E1455" t="s">
        <v>112</v>
      </c>
      <c r="F1455" t="s">
        <v>113</v>
      </c>
      <c r="G1455" t="s">
        <v>143</v>
      </c>
      <c r="H1455" t="s">
        <v>144</v>
      </c>
      <c r="I1455" t="s">
        <v>41</v>
      </c>
      <c r="J1455" t="s">
        <v>42</v>
      </c>
      <c r="K1455" t="s">
        <v>48</v>
      </c>
      <c r="L1455" t="s">
        <v>49</v>
      </c>
      <c r="M1455" t="s">
        <v>140</v>
      </c>
      <c r="N1455">
        <v>1735</v>
      </c>
      <c r="O1455">
        <v>7.9009007000000006E-2</v>
      </c>
      <c r="P1455">
        <v>4.1927878000000002E-2</v>
      </c>
      <c r="Q1455" t="str">
        <f t="shared" si="44"/>
        <v>25-34</v>
      </c>
      <c r="R1455" t="str">
        <f t="shared" si="45"/>
        <v>[AZyWpGzhcaA]|25-34|Male|PLHIV_Residents.T_1|CY2024Q3</v>
      </c>
    </row>
    <row r="1456" spans="4:18" x14ac:dyDescent="0.2">
      <c r="D1456" t="s">
        <v>111</v>
      </c>
      <c r="E1456" t="s">
        <v>112</v>
      </c>
      <c r="F1456" t="s">
        <v>113</v>
      </c>
      <c r="G1456" t="s">
        <v>143</v>
      </c>
      <c r="H1456" t="s">
        <v>144</v>
      </c>
      <c r="I1456" t="s">
        <v>43</v>
      </c>
      <c r="J1456" t="s">
        <v>44</v>
      </c>
      <c r="K1456" t="s">
        <v>48</v>
      </c>
      <c r="L1456" t="s">
        <v>49</v>
      </c>
      <c r="M1456" t="s">
        <v>140</v>
      </c>
      <c r="N1456">
        <v>5873</v>
      </c>
      <c r="O1456">
        <v>5.0612960999999998E-2</v>
      </c>
      <c r="P1456">
        <v>4.1927878000000002E-2</v>
      </c>
      <c r="Q1456" t="str">
        <f t="shared" si="44"/>
        <v>35-49</v>
      </c>
      <c r="R1456" t="str">
        <f t="shared" si="45"/>
        <v>[AZyWpGzhcaA]|35-49|Male|PLHIV_Residents.T_1|CY2024Q3</v>
      </c>
    </row>
    <row r="1457" spans="4:18" x14ac:dyDescent="0.2">
      <c r="D1457" t="s">
        <v>111</v>
      </c>
      <c r="E1457" t="s">
        <v>112</v>
      </c>
      <c r="F1457" t="s">
        <v>113</v>
      </c>
      <c r="G1457" t="s">
        <v>143</v>
      </c>
      <c r="H1457" t="s">
        <v>144</v>
      </c>
      <c r="I1457" t="s">
        <v>45</v>
      </c>
      <c r="J1457" t="s">
        <v>46</v>
      </c>
      <c r="K1457" t="s">
        <v>48</v>
      </c>
      <c r="L1457" t="s">
        <v>49</v>
      </c>
      <c r="M1457" t="s">
        <v>140</v>
      </c>
      <c r="N1457">
        <v>3970</v>
      </c>
      <c r="O1457">
        <v>4.8031012999999997E-2</v>
      </c>
      <c r="P1457">
        <v>4.1927878000000002E-2</v>
      </c>
      <c r="Q1457" t="str">
        <f t="shared" si="44"/>
        <v>50+</v>
      </c>
      <c r="R1457" t="str">
        <f t="shared" si="45"/>
        <v>[AZyWpGzhcaA]|50+|Male|PLHIV_Residents.T_1|CY2024Q3</v>
      </c>
    </row>
    <row r="1458" spans="4:18" x14ac:dyDescent="0.2">
      <c r="D1458" t="s">
        <v>114</v>
      </c>
      <c r="E1458" t="s">
        <v>115</v>
      </c>
      <c r="F1458" t="s">
        <v>116</v>
      </c>
      <c r="G1458" t="s">
        <v>143</v>
      </c>
      <c r="H1458" t="s">
        <v>144</v>
      </c>
      <c r="I1458" t="s">
        <v>28</v>
      </c>
      <c r="J1458" t="s">
        <v>29</v>
      </c>
      <c r="K1458" t="s">
        <v>30</v>
      </c>
      <c r="L1458" t="s">
        <v>31</v>
      </c>
      <c r="M1458" t="s">
        <v>140</v>
      </c>
      <c r="N1458">
        <v>19</v>
      </c>
      <c r="O1458">
        <v>7.1605710000000003E-2</v>
      </c>
      <c r="P1458">
        <v>6.8098433999999999E-2</v>
      </c>
      <c r="Q1458" t="str">
        <f t="shared" si="44"/>
        <v>&lt;01</v>
      </c>
      <c r="R1458" t="str">
        <f t="shared" si="45"/>
        <v>[ir8wuHHzoSs]|&lt;01|Female|PLHIV_Residents.T_1|CY2024Q3</v>
      </c>
    </row>
    <row r="1459" spans="4:18" x14ac:dyDescent="0.2">
      <c r="D1459" t="s">
        <v>114</v>
      </c>
      <c r="E1459" t="s">
        <v>115</v>
      </c>
      <c r="F1459" t="s">
        <v>116</v>
      </c>
      <c r="G1459" t="s">
        <v>143</v>
      </c>
      <c r="H1459" t="s">
        <v>144</v>
      </c>
      <c r="I1459" t="s">
        <v>33</v>
      </c>
      <c r="J1459" t="s">
        <v>34</v>
      </c>
      <c r="K1459" t="s">
        <v>30</v>
      </c>
      <c r="L1459" t="s">
        <v>31</v>
      </c>
      <c r="M1459" t="s">
        <v>140</v>
      </c>
      <c r="N1459">
        <v>377</v>
      </c>
      <c r="O1459">
        <v>7.6930459000000007E-2</v>
      </c>
      <c r="P1459">
        <v>6.8098433999999999E-2</v>
      </c>
      <c r="Q1459" t="str">
        <f t="shared" si="44"/>
        <v>01-09</v>
      </c>
      <c r="R1459" t="str">
        <f t="shared" si="45"/>
        <v>[ir8wuHHzoSs]|01-09|Female|PLHIV_Residents.T_1|CY2024Q3</v>
      </c>
    </row>
    <row r="1460" spans="4:18" x14ac:dyDescent="0.2">
      <c r="D1460" t="s">
        <v>114</v>
      </c>
      <c r="E1460" t="s">
        <v>115</v>
      </c>
      <c r="F1460" t="s">
        <v>116</v>
      </c>
      <c r="G1460" t="s">
        <v>143</v>
      </c>
      <c r="H1460" t="s">
        <v>144</v>
      </c>
      <c r="I1460" t="s">
        <v>36</v>
      </c>
      <c r="J1460" t="s">
        <v>37</v>
      </c>
      <c r="K1460" t="s">
        <v>30</v>
      </c>
      <c r="L1460" t="s">
        <v>31</v>
      </c>
      <c r="M1460" t="s">
        <v>140</v>
      </c>
      <c r="N1460">
        <v>469</v>
      </c>
      <c r="O1460">
        <v>8.3752031000000005E-2</v>
      </c>
      <c r="P1460">
        <v>6.8098433999999999E-2</v>
      </c>
      <c r="Q1460" t="str">
        <f t="shared" si="44"/>
        <v>10-14</v>
      </c>
      <c r="R1460" t="str">
        <f t="shared" si="45"/>
        <v>[ir8wuHHzoSs]|10-14|Female|PLHIV_Residents.T_1|CY2024Q3</v>
      </c>
    </row>
    <row r="1461" spans="4:18" x14ac:dyDescent="0.2">
      <c r="D1461" t="s">
        <v>114</v>
      </c>
      <c r="E1461" t="s">
        <v>115</v>
      </c>
      <c r="F1461" t="s">
        <v>116</v>
      </c>
      <c r="G1461" t="s">
        <v>143</v>
      </c>
      <c r="H1461" t="s">
        <v>144</v>
      </c>
      <c r="I1461" t="s">
        <v>38</v>
      </c>
      <c r="J1461" t="s">
        <v>39</v>
      </c>
      <c r="K1461" t="s">
        <v>30</v>
      </c>
      <c r="L1461" t="s">
        <v>31</v>
      </c>
      <c r="M1461" t="s">
        <v>140</v>
      </c>
      <c r="N1461">
        <v>1618</v>
      </c>
      <c r="O1461">
        <v>9.7001948000000005E-2</v>
      </c>
      <c r="P1461">
        <v>6.8098433999999999E-2</v>
      </c>
      <c r="Q1461" t="str">
        <f t="shared" si="44"/>
        <v>15-24</v>
      </c>
      <c r="R1461" t="str">
        <f t="shared" si="45"/>
        <v>[ir8wuHHzoSs]|15-24|Female|PLHIV_Residents.T_1|CY2024Q3</v>
      </c>
    </row>
    <row r="1462" spans="4:18" x14ac:dyDescent="0.2">
      <c r="D1462" t="s">
        <v>114</v>
      </c>
      <c r="E1462" t="s">
        <v>115</v>
      </c>
      <c r="F1462" t="s">
        <v>116</v>
      </c>
      <c r="G1462" t="s">
        <v>143</v>
      </c>
      <c r="H1462" t="s">
        <v>144</v>
      </c>
      <c r="I1462" t="s">
        <v>41</v>
      </c>
      <c r="J1462" t="s">
        <v>42</v>
      </c>
      <c r="K1462" t="s">
        <v>30</v>
      </c>
      <c r="L1462" t="s">
        <v>31</v>
      </c>
      <c r="M1462" t="s">
        <v>140</v>
      </c>
      <c r="N1462">
        <v>3809</v>
      </c>
      <c r="O1462">
        <v>8.4157160999999994E-2</v>
      </c>
      <c r="P1462">
        <v>6.8098433999999999E-2</v>
      </c>
      <c r="Q1462" t="str">
        <f t="shared" si="44"/>
        <v>25-34</v>
      </c>
      <c r="R1462" t="str">
        <f t="shared" si="45"/>
        <v>[ir8wuHHzoSs]|25-34|Female|PLHIV_Residents.T_1|CY2024Q3</v>
      </c>
    </row>
    <row r="1463" spans="4:18" x14ac:dyDescent="0.2">
      <c r="D1463" t="s">
        <v>114</v>
      </c>
      <c r="E1463" t="s">
        <v>115</v>
      </c>
      <c r="F1463" t="s">
        <v>116</v>
      </c>
      <c r="G1463" t="s">
        <v>143</v>
      </c>
      <c r="H1463" t="s">
        <v>144</v>
      </c>
      <c r="I1463" t="s">
        <v>43</v>
      </c>
      <c r="J1463" t="s">
        <v>44</v>
      </c>
      <c r="K1463" t="s">
        <v>30</v>
      </c>
      <c r="L1463" t="s">
        <v>31</v>
      </c>
      <c r="M1463" t="s">
        <v>140</v>
      </c>
      <c r="N1463">
        <v>9472</v>
      </c>
      <c r="O1463">
        <v>6.5591326000000005E-2</v>
      </c>
      <c r="P1463">
        <v>6.8098433999999999E-2</v>
      </c>
      <c r="Q1463" t="str">
        <f t="shared" si="44"/>
        <v>35-49</v>
      </c>
      <c r="R1463" t="str">
        <f t="shared" si="45"/>
        <v>[ir8wuHHzoSs]|35-49|Female|PLHIV_Residents.T_1|CY2024Q3</v>
      </c>
    </row>
    <row r="1464" spans="4:18" x14ac:dyDescent="0.2">
      <c r="D1464" t="s">
        <v>114</v>
      </c>
      <c r="E1464" t="s">
        <v>115</v>
      </c>
      <c r="F1464" t="s">
        <v>116</v>
      </c>
      <c r="G1464" t="s">
        <v>143</v>
      </c>
      <c r="H1464" t="s">
        <v>144</v>
      </c>
      <c r="I1464" t="s">
        <v>45</v>
      </c>
      <c r="J1464" t="s">
        <v>46</v>
      </c>
      <c r="K1464" t="s">
        <v>30</v>
      </c>
      <c r="L1464" t="s">
        <v>31</v>
      </c>
      <c r="M1464" t="s">
        <v>140</v>
      </c>
      <c r="N1464">
        <v>4774</v>
      </c>
      <c r="O1464">
        <v>7.4178113000000004E-2</v>
      </c>
      <c r="P1464">
        <v>6.8098433999999999E-2</v>
      </c>
      <c r="Q1464" t="str">
        <f t="shared" si="44"/>
        <v>50+</v>
      </c>
      <c r="R1464" t="str">
        <f t="shared" si="45"/>
        <v>[ir8wuHHzoSs]|50+|Female|PLHIV_Residents.T_1|CY2024Q3</v>
      </c>
    </row>
    <row r="1465" spans="4:18" x14ac:dyDescent="0.2">
      <c r="D1465" t="s">
        <v>114</v>
      </c>
      <c r="E1465" t="s">
        <v>115</v>
      </c>
      <c r="F1465" t="s">
        <v>116</v>
      </c>
      <c r="G1465" t="s">
        <v>143</v>
      </c>
      <c r="H1465" t="s">
        <v>144</v>
      </c>
      <c r="I1465" t="s">
        <v>28</v>
      </c>
      <c r="J1465" t="s">
        <v>29</v>
      </c>
      <c r="K1465" t="s">
        <v>48</v>
      </c>
      <c r="L1465" t="s">
        <v>49</v>
      </c>
      <c r="M1465" t="s">
        <v>140</v>
      </c>
      <c r="N1465">
        <v>19</v>
      </c>
      <c r="O1465">
        <v>7.1634462999999995E-2</v>
      </c>
      <c r="P1465">
        <v>6.8098433999999999E-2</v>
      </c>
      <c r="Q1465" t="str">
        <f t="shared" si="44"/>
        <v>&lt;01</v>
      </c>
      <c r="R1465" t="str">
        <f t="shared" si="45"/>
        <v>[ir8wuHHzoSs]|&lt;01|Male|PLHIV_Residents.T_1|CY2024Q3</v>
      </c>
    </row>
    <row r="1466" spans="4:18" x14ac:dyDescent="0.2">
      <c r="D1466" t="s">
        <v>114</v>
      </c>
      <c r="E1466" t="s">
        <v>115</v>
      </c>
      <c r="F1466" t="s">
        <v>116</v>
      </c>
      <c r="G1466" t="s">
        <v>143</v>
      </c>
      <c r="H1466" t="s">
        <v>144</v>
      </c>
      <c r="I1466" t="s">
        <v>33</v>
      </c>
      <c r="J1466" t="s">
        <v>34</v>
      </c>
      <c r="K1466" t="s">
        <v>48</v>
      </c>
      <c r="L1466" t="s">
        <v>49</v>
      </c>
      <c r="M1466" t="s">
        <v>140</v>
      </c>
      <c r="N1466">
        <v>387</v>
      </c>
      <c r="O1466">
        <v>7.6958482999999994E-2</v>
      </c>
      <c r="P1466">
        <v>6.8098433999999999E-2</v>
      </c>
      <c r="Q1466" t="str">
        <f t="shared" si="44"/>
        <v>01-09</v>
      </c>
      <c r="R1466" t="str">
        <f t="shared" si="45"/>
        <v>[ir8wuHHzoSs]|01-09|Male|PLHIV_Residents.T_1|CY2024Q3</v>
      </c>
    </row>
    <row r="1467" spans="4:18" x14ac:dyDescent="0.2">
      <c r="D1467" t="s">
        <v>114</v>
      </c>
      <c r="E1467" t="s">
        <v>115</v>
      </c>
      <c r="F1467" t="s">
        <v>116</v>
      </c>
      <c r="G1467" t="s">
        <v>143</v>
      </c>
      <c r="H1467" t="s">
        <v>144</v>
      </c>
      <c r="I1467" t="s">
        <v>36</v>
      </c>
      <c r="J1467" t="s">
        <v>37</v>
      </c>
      <c r="K1467" t="s">
        <v>48</v>
      </c>
      <c r="L1467" t="s">
        <v>49</v>
      </c>
      <c r="M1467" t="s">
        <v>140</v>
      </c>
      <c r="N1467">
        <v>483</v>
      </c>
      <c r="O1467">
        <v>8.3750562000000001E-2</v>
      </c>
      <c r="P1467">
        <v>6.8098433999999999E-2</v>
      </c>
      <c r="Q1467" t="str">
        <f t="shared" si="44"/>
        <v>10-14</v>
      </c>
      <c r="R1467" t="str">
        <f t="shared" si="45"/>
        <v>[ir8wuHHzoSs]|10-14|Male|PLHIV_Residents.T_1|CY2024Q3</v>
      </c>
    </row>
    <row r="1468" spans="4:18" x14ac:dyDescent="0.2">
      <c r="D1468" t="s">
        <v>114</v>
      </c>
      <c r="E1468" t="s">
        <v>115</v>
      </c>
      <c r="F1468" t="s">
        <v>116</v>
      </c>
      <c r="G1468" t="s">
        <v>143</v>
      </c>
      <c r="H1468" t="s">
        <v>144</v>
      </c>
      <c r="I1468" t="s">
        <v>38</v>
      </c>
      <c r="J1468" t="s">
        <v>39</v>
      </c>
      <c r="K1468" t="s">
        <v>48</v>
      </c>
      <c r="L1468" t="s">
        <v>49</v>
      </c>
      <c r="M1468" t="s">
        <v>140</v>
      </c>
      <c r="N1468">
        <v>1091</v>
      </c>
      <c r="O1468">
        <v>9.8780921999999993E-2</v>
      </c>
      <c r="P1468">
        <v>6.8098433999999999E-2</v>
      </c>
      <c r="Q1468" t="str">
        <f t="shared" si="44"/>
        <v>15-24</v>
      </c>
      <c r="R1468" t="str">
        <f t="shared" si="45"/>
        <v>[ir8wuHHzoSs]|15-24|Male|PLHIV_Residents.T_1|CY2024Q3</v>
      </c>
    </row>
    <row r="1469" spans="4:18" x14ac:dyDescent="0.2">
      <c r="D1469" t="s">
        <v>114</v>
      </c>
      <c r="E1469" t="s">
        <v>115</v>
      </c>
      <c r="F1469" t="s">
        <v>116</v>
      </c>
      <c r="G1469" t="s">
        <v>143</v>
      </c>
      <c r="H1469" t="s">
        <v>144</v>
      </c>
      <c r="I1469" t="s">
        <v>41</v>
      </c>
      <c r="J1469" t="s">
        <v>42</v>
      </c>
      <c r="K1469" t="s">
        <v>48</v>
      </c>
      <c r="L1469" t="s">
        <v>49</v>
      </c>
      <c r="M1469" t="s">
        <v>140</v>
      </c>
      <c r="N1469">
        <v>1160</v>
      </c>
      <c r="O1469">
        <v>9.9838284999999999E-2</v>
      </c>
      <c r="P1469">
        <v>6.8098433999999999E-2</v>
      </c>
      <c r="Q1469" t="str">
        <f t="shared" si="44"/>
        <v>25-34</v>
      </c>
      <c r="R1469" t="str">
        <f t="shared" si="45"/>
        <v>[ir8wuHHzoSs]|25-34|Male|PLHIV_Residents.T_1|CY2024Q3</v>
      </c>
    </row>
    <row r="1470" spans="4:18" x14ac:dyDescent="0.2">
      <c r="D1470" t="s">
        <v>114</v>
      </c>
      <c r="E1470" t="s">
        <v>115</v>
      </c>
      <c r="F1470" t="s">
        <v>116</v>
      </c>
      <c r="G1470" t="s">
        <v>143</v>
      </c>
      <c r="H1470" t="s">
        <v>144</v>
      </c>
      <c r="I1470" t="s">
        <v>43</v>
      </c>
      <c r="J1470" t="s">
        <v>44</v>
      </c>
      <c r="K1470" t="s">
        <v>48</v>
      </c>
      <c r="L1470" t="s">
        <v>49</v>
      </c>
      <c r="M1470" t="s">
        <v>140</v>
      </c>
      <c r="N1470">
        <v>4184</v>
      </c>
      <c r="O1470">
        <v>7.6705175E-2</v>
      </c>
      <c r="P1470">
        <v>6.8098433999999999E-2</v>
      </c>
      <c r="Q1470" t="str">
        <f t="shared" si="44"/>
        <v>35-49</v>
      </c>
      <c r="R1470" t="str">
        <f t="shared" si="45"/>
        <v>[ir8wuHHzoSs]|35-49|Male|PLHIV_Residents.T_1|CY2024Q3</v>
      </c>
    </row>
    <row r="1471" spans="4:18" x14ac:dyDescent="0.2">
      <c r="D1471" t="s">
        <v>114</v>
      </c>
      <c r="E1471" t="s">
        <v>115</v>
      </c>
      <c r="F1471" t="s">
        <v>116</v>
      </c>
      <c r="G1471" t="s">
        <v>143</v>
      </c>
      <c r="H1471" t="s">
        <v>144</v>
      </c>
      <c r="I1471" t="s">
        <v>45</v>
      </c>
      <c r="J1471" t="s">
        <v>46</v>
      </c>
      <c r="K1471" t="s">
        <v>48</v>
      </c>
      <c r="L1471" t="s">
        <v>49</v>
      </c>
      <c r="M1471" t="s">
        <v>140</v>
      </c>
      <c r="N1471">
        <v>3226</v>
      </c>
      <c r="O1471">
        <v>7.2705405000000001E-2</v>
      </c>
      <c r="P1471">
        <v>6.8098433999999999E-2</v>
      </c>
      <c r="Q1471" t="str">
        <f t="shared" si="44"/>
        <v>50+</v>
      </c>
      <c r="R1471" t="str">
        <f t="shared" si="45"/>
        <v>[ir8wuHHzoSs]|50+|Male|PLHIV_Residents.T_1|CY2024Q3</v>
      </c>
    </row>
    <row r="1472" spans="4:18" x14ac:dyDescent="0.2">
      <c r="D1472" t="s">
        <v>117</v>
      </c>
      <c r="E1472" t="s">
        <v>118</v>
      </c>
      <c r="F1472" t="s">
        <v>119</v>
      </c>
      <c r="G1472" t="s">
        <v>143</v>
      </c>
      <c r="H1472" t="s">
        <v>144</v>
      </c>
      <c r="I1472" t="s">
        <v>28</v>
      </c>
      <c r="J1472" t="s">
        <v>29</v>
      </c>
      <c r="K1472" t="s">
        <v>30</v>
      </c>
      <c r="L1472" t="s">
        <v>31</v>
      </c>
      <c r="M1472" t="s">
        <v>140</v>
      </c>
      <c r="N1472">
        <v>20</v>
      </c>
      <c r="O1472">
        <v>5.8206961000000002E-2</v>
      </c>
      <c r="P1472">
        <v>5.4700922999999999E-2</v>
      </c>
      <c r="Q1472" t="str">
        <f t="shared" si="44"/>
        <v>&lt;01</v>
      </c>
      <c r="R1472" t="str">
        <f t="shared" si="45"/>
        <v>[oiPR2CiVJbf]|&lt;01|Female|PLHIV_Residents.T_1|CY2024Q3</v>
      </c>
    </row>
    <row r="1473" spans="4:18" x14ac:dyDescent="0.2">
      <c r="D1473" t="s">
        <v>117</v>
      </c>
      <c r="E1473" t="s">
        <v>118</v>
      </c>
      <c r="F1473" t="s">
        <v>119</v>
      </c>
      <c r="G1473" t="s">
        <v>143</v>
      </c>
      <c r="H1473" t="s">
        <v>144</v>
      </c>
      <c r="I1473" t="s">
        <v>33</v>
      </c>
      <c r="J1473" t="s">
        <v>34</v>
      </c>
      <c r="K1473" t="s">
        <v>30</v>
      </c>
      <c r="L1473" t="s">
        <v>31</v>
      </c>
      <c r="M1473" t="s">
        <v>140</v>
      </c>
      <c r="N1473">
        <v>368</v>
      </c>
      <c r="O1473">
        <v>6.3933932999999998E-2</v>
      </c>
      <c r="P1473">
        <v>5.4700922999999999E-2</v>
      </c>
      <c r="Q1473" t="str">
        <f t="shared" si="44"/>
        <v>01-09</v>
      </c>
      <c r="R1473" t="str">
        <f t="shared" si="45"/>
        <v>[oiPR2CiVJbf]|01-09|Female|PLHIV_Residents.T_1|CY2024Q3</v>
      </c>
    </row>
    <row r="1474" spans="4:18" x14ac:dyDescent="0.2">
      <c r="D1474" t="s">
        <v>117</v>
      </c>
      <c r="E1474" t="s">
        <v>118</v>
      </c>
      <c r="F1474" t="s">
        <v>119</v>
      </c>
      <c r="G1474" t="s">
        <v>143</v>
      </c>
      <c r="H1474" t="s">
        <v>144</v>
      </c>
      <c r="I1474" t="s">
        <v>36</v>
      </c>
      <c r="J1474" t="s">
        <v>37</v>
      </c>
      <c r="K1474" t="s">
        <v>30</v>
      </c>
      <c r="L1474" t="s">
        <v>31</v>
      </c>
      <c r="M1474" t="s">
        <v>140</v>
      </c>
      <c r="N1474">
        <v>444</v>
      </c>
      <c r="O1474">
        <v>7.1704666E-2</v>
      </c>
      <c r="P1474">
        <v>5.4700922999999999E-2</v>
      </c>
      <c r="Q1474" t="str">
        <f t="shared" si="44"/>
        <v>10-14</v>
      </c>
      <c r="R1474" t="str">
        <f t="shared" si="45"/>
        <v>[oiPR2CiVJbf]|10-14|Female|PLHIV_Residents.T_1|CY2024Q3</v>
      </c>
    </row>
    <row r="1475" spans="4:18" x14ac:dyDescent="0.2">
      <c r="D1475" t="s">
        <v>117</v>
      </c>
      <c r="E1475" t="s">
        <v>118</v>
      </c>
      <c r="F1475" t="s">
        <v>119</v>
      </c>
      <c r="G1475" t="s">
        <v>143</v>
      </c>
      <c r="H1475" t="s">
        <v>144</v>
      </c>
      <c r="I1475" t="s">
        <v>38</v>
      </c>
      <c r="J1475" t="s">
        <v>39</v>
      </c>
      <c r="K1475" t="s">
        <v>30</v>
      </c>
      <c r="L1475" t="s">
        <v>31</v>
      </c>
      <c r="M1475" t="s">
        <v>140</v>
      </c>
      <c r="N1475">
        <v>1882</v>
      </c>
      <c r="O1475">
        <v>9.0105594999999997E-2</v>
      </c>
      <c r="P1475">
        <v>5.4700922999999999E-2</v>
      </c>
      <c r="Q1475" t="str">
        <f t="shared" ref="Q1475:Q1538" si="46">SUBSTITUTE(SUBSTITUTE($I1475,CHAR(61),""),CHAR(34),"")</f>
        <v>15-24</v>
      </c>
      <c r="R1475" t="str">
        <f t="shared" ref="R1475:R1538" si="47">IF($D1475&lt;&gt;"","["&amp;$E1475&amp;"]"&amp;"|"&amp;$Q1475&amp;"|"&amp;$K1475&amp;"|"&amp;$G1475&amp;"|"&amp;IF($G1475="TX_CURR_SUBNAT.R","CY2023Q4",$M1475),"")</f>
        <v>[oiPR2CiVJbf]|15-24|Female|PLHIV_Residents.T_1|CY2024Q3</v>
      </c>
    </row>
    <row r="1476" spans="4:18" x14ac:dyDescent="0.2">
      <c r="D1476" t="s">
        <v>117</v>
      </c>
      <c r="E1476" t="s">
        <v>118</v>
      </c>
      <c r="F1476" t="s">
        <v>119</v>
      </c>
      <c r="G1476" t="s">
        <v>143</v>
      </c>
      <c r="H1476" t="s">
        <v>144</v>
      </c>
      <c r="I1476" t="s">
        <v>41</v>
      </c>
      <c r="J1476" t="s">
        <v>42</v>
      </c>
      <c r="K1476" t="s">
        <v>30</v>
      </c>
      <c r="L1476" t="s">
        <v>31</v>
      </c>
      <c r="M1476" t="s">
        <v>140</v>
      </c>
      <c r="N1476">
        <v>4735</v>
      </c>
      <c r="O1476">
        <v>6.9584501000000007E-2</v>
      </c>
      <c r="P1476">
        <v>5.4700922999999999E-2</v>
      </c>
      <c r="Q1476" t="str">
        <f t="shared" si="46"/>
        <v>25-34</v>
      </c>
      <c r="R1476" t="str">
        <f t="shared" si="47"/>
        <v>[oiPR2CiVJbf]|25-34|Female|PLHIV_Residents.T_1|CY2024Q3</v>
      </c>
    </row>
    <row r="1477" spans="4:18" x14ac:dyDescent="0.2">
      <c r="D1477" t="s">
        <v>117</v>
      </c>
      <c r="E1477" t="s">
        <v>118</v>
      </c>
      <c r="F1477" t="s">
        <v>119</v>
      </c>
      <c r="G1477" t="s">
        <v>143</v>
      </c>
      <c r="H1477" t="s">
        <v>144</v>
      </c>
      <c r="I1477" t="s">
        <v>43</v>
      </c>
      <c r="J1477" t="s">
        <v>44</v>
      </c>
      <c r="K1477" t="s">
        <v>30</v>
      </c>
      <c r="L1477" t="s">
        <v>31</v>
      </c>
      <c r="M1477" t="s">
        <v>140</v>
      </c>
      <c r="N1477">
        <v>11832</v>
      </c>
      <c r="O1477">
        <v>5.2167849000000002E-2</v>
      </c>
      <c r="P1477">
        <v>5.4700922999999999E-2</v>
      </c>
      <c r="Q1477" t="str">
        <f t="shared" si="46"/>
        <v>35-49</v>
      </c>
      <c r="R1477" t="str">
        <f t="shared" si="47"/>
        <v>[oiPR2CiVJbf]|35-49|Female|PLHIV_Residents.T_1|CY2024Q3</v>
      </c>
    </row>
    <row r="1478" spans="4:18" x14ac:dyDescent="0.2">
      <c r="D1478" t="s">
        <v>117</v>
      </c>
      <c r="E1478" t="s">
        <v>118</v>
      </c>
      <c r="F1478" t="s">
        <v>119</v>
      </c>
      <c r="G1478" t="s">
        <v>143</v>
      </c>
      <c r="H1478" t="s">
        <v>144</v>
      </c>
      <c r="I1478" t="s">
        <v>45</v>
      </c>
      <c r="J1478" t="s">
        <v>46</v>
      </c>
      <c r="K1478" t="s">
        <v>30</v>
      </c>
      <c r="L1478" t="s">
        <v>31</v>
      </c>
      <c r="M1478" t="s">
        <v>140</v>
      </c>
      <c r="N1478">
        <v>6351</v>
      </c>
      <c r="O1478">
        <v>6.3160930000000004E-2</v>
      </c>
      <c r="P1478">
        <v>5.4700922999999999E-2</v>
      </c>
      <c r="Q1478" t="str">
        <f t="shared" si="46"/>
        <v>50+</v>
      </c>
      <c r="R1478" t="str">
        <f t="shared" si="47"/>
        <v>[oiPR2CiVJbf]|50+|Female|PLHIV_Residents.T_1|CY2024Q3</v>
      </c>
    </row>
    <row r="1479" spans="4:18" x14ac:dyDescent="0.2">
      <c r="D1479" t="s">
        <v>117</v>
      </c>
      <c r="E1479" t="s">
        <v>118</v>
      </c>
      <c r="F1479" t="s">
        <v>119</v>
      </c>
      <c r="G1479" t="s">
        <v>143</v>
      </c>
      <c r="H1479" t="s">
        <v>144</v>
      </c>
      <c r="I1479" t="s">
        <v>28</v>
      </c>
      <c r="J1479" t="s">
        <v>29</v>
      </c>
      <c r="K1479" t="s">
        <v>48</v>
      </c>
      <c r="L1479" t="s">
        <v>49</v>
      </c>
      <c r="M1479" t="s">
        <v>140</v>
      </c>
      <c r="N1479">
        <v>21</v>
      </c>
      <c r="O1479">
        <v>5.8256568000000002E-2</v>
      </c>
      <c r="P1479">
        <v>5.4700922999999999E-2</v>
      </c>
      <c r="Q1479" t="str">
        <f t="shared" si="46"/>
        <v>&lt;01</v>
      </c>
      <c r="R1479" t="str">
        <f t="shared" si="47"/>
        <v>[oiPR2CiVJbf]|&lt;01|Male|PLHIV_Residents.T_1|CY2024Q3</v>
      </c>
    </row>
    <row r="1480" spans="4:18" x14ac:dyDescent="0.2">
      <c r="D1480" t="s">
        <v>117</v>
      </c>
      <c r="E1480" t="s">
        <v>118</v>
      </c>
      <c r="F1480" t="s">
        <v>119</v>
      </c>
      <c r="G1480" t="s">
        <v>143</v>
      </c>
      <c r="H1480" t="s">
        <v>144</v>
      </c>
      <c r="I1480" t="s">
        <v>33</v>
      </c>
      <c r="J1480" t="s">
        <v>34</v>
      </c>
      <c r="K1480" t="s">
        <v>48</v>
      </c>
      <c r="L1480" t="s">
        <v>49</v>
      </c>
      <c r="M1480" t="s">
        <v>140</v>
      </c>
      <c r="N1480">
        <v>379</v>
      </c>
      <c r="O1480">
        <v>6.3985151000000004E-2</v>
      </c>
      <c r="P1480">
        <v>5.4700922999999999E-2</v>
      </c>
      <c r="Q1480" t="str">
        <f t="shared" si="46"/>
        <v>01-09</v>
      </c>
      <c r="R1480" t="str">
        <f t="shared" si="47"/>
        <v>[oiPR2CiVJbf]|01-09|Male|PLHIV_Residents.T_1|CY2024Q3</v>
      </c>
    </row>
    <row r="1481" spans="4:18" x14ac:dyDescent="0.2">
      <c r="D1481" t="s">
        <v>117</v>
      </c>
      <c r="E1481" t="s">
        <v>118</v>
      </c>
      <c r="F1481" t="s">
        <v>119</v>
      </c>
      <c r="G1481" t="s">
        <v>143</v>
      </c>
      <c r="H1481" t="s">
        <v>144</v>
      </c>
      <c r="I1481" t="s">
        <v>36</v>
      </c>
      <c r="J1481" t="s">
        <v>37</v>
      </c>
      <c r="K1481" t="s">
        <v>48</v>
      </c>
      <c r="L1481" t="s">
        <v>49</v>
      </c>
      <c r="M1481" t="s">
        <v>140</v>
      </c>
      <c r="N1481">
        <v>458</v>
      </c>
      <c r="O1481">
        <v>7.1703586999999999E-2</v>
      </c>
      <c r="P1481">
        <v>5.4700922999999999E-2</v>
      </c>
      <c r="Q1481" t="str">
        <f t="shared" si="46"/>
        <v>10-14</v>
      </c>
      <c r="R1481" t="str">
        <f t="shared" si="47"/>
        <v>[oiPR2CiVJbf]|10-14|Male|PLHIV_Residents.T_1|CY2024Q3</v>
      </c>
    </row>
    <row r="1482" spans="4:18" x14ac:dyDescent="0.2">
      <c r="D1482" t="s">
        <v>117</v>
      </c>
      <c r="E1482" t="s">
        <v>118</v>
      </c>
      <c r="F1482" t="s">
        <v>119</v>
      </c>
      <c r="G1482" t="s">
        <v>143</v>
      </c>
      <c r="H1482" t="s">
        <v>144</v>
      </c>
      <c r="I1482" t="s">
        <v>38</v>
      </c>
      <c r="J1482" t="s">
        <v>39</v>
      </c>
      <c r="K1482" t="s">
        <v>48</v>
      </c>
      <c r="L1482" t="s">
        <v>49</v>
      </c>
      <c r="M1482" t="s">
        <v>140</v>
      </c>
      <c r="N1482">
        <v>1375</v>
      </c>
      <c r="O1482">
        <v>9.3748825999999993E-2</v>
      </c>
      <c r="P1482">
        <v>5.4700922999999999E-2</v>
      </c>
      <c r="Q1482" t="str">
        <f t="shared" si="46"/>
        <v>15-24</v>
      </c>
      <c r="R1482" t="str">
        <f t="shared" si="47"/>
        <v>[oiPR2CiVJbf]|15-24|Male|PLHIV_Residents.T_1|CY2024Q3</v>
      </c>
    </row>
    <row r="1483" spans="4:18" x14ac:dyDescent="0.2">
      <c r="D1483" t="s">
        <v>117</v>
      </c>
      <c r="E1483" t="s">
        <v>118</v>
      </c>
      <c r="F1483" t="s">
        <v>119</v>
      </c>
      <c r="G1483" t="s">
        <v>143</v>
      </c>
      <c r="H1483" t="s">
        <v>144</v>
      </c>
      <c r="I1483" t="s">
        <v>41</v>
      </c>
      <c r="J1483" t="s">
        <v>42</v>
      </c>
      <c r="K1483" t="s">
        <v>48</v>
      </c>
      <c r="L1483" t="s">
        <v>49</v>
      </c>
      <c r="M1483" t="s">
        <v>140</v>
      </c>
      <c r="N1483">
        <v>1849</v>
      </c>
      <c r="O1483">
        <v>8.9472709999999997E-2</v>
      </c>
      <c r="P1483">
        <v>5.4700922999999999E-2</v>
      </c>
      <c r="Q1483" t="str">
        <f t="shared" si="46"/>
        <v>25-34</v>
      </c>
      <c r="R1483" t="str">
        <f t="shared" si="47"/>
        <v>[oiPR2CiVJbf]|25-34|Male|PLHIV_Residents.T_1|CY2024Q3</v>
      </c>
    </row>
    <row r="1484" spans="4:18" x14ac:dyDescent="0.2">
      <c r="D1484" t="s">
        <v>117</v>
      </c>
      <c r="E1484" t="s">
        <v>118</v>
      </c>
      <c r="F1484" t="s">
        <v>119</v>
      </c>
      <c r="G1484" t="s">
        <v>143</v>
      </c>
      <c r="H1484" t="s">
        <v>144</v>
      </c>
      <c r="I1484" t="s">
        <v>43</v>
      </c>
      <c r="J1484" t="s">
        <v>44</v>
      </c>
      <c r="K1484" t="s">
        <v>48</v>
      </c>
      <c r="L1484" t="s">
        <v>49</v>
      </c>
      <c r="M1484" t="s">
        <v>140</v>
      </c>
      <c r="N1484">
        <v>6138</v>
      </c>
      <c r="O1484">
        <v>6.2889492000000005E-2</v>
      </c>
      <c r="P1484">
        <v>5.4700922999999999E-2</v>
      </c>
      <c r="Q1484" t="str">
        <f t="shared" si="46"/>
        <v>35-49</v>
      </c>
      <c r="R1484" t="str">
        <f t="shared" si="47"/>
        <v>[oiPR2CiVJbf]|35-49|Male|PLHIV_Residents.T_1|CY2024Q3</v>
      </c>
    </row>
    <row r="1485" spans="4:18" x14ac:dyDescent="0.2">
      <c r="D1485" t="s">
        <v>117</v>
      </c>
      <c r="E1485" t="s">
        <v>118</v>
      </c>
      <c r="F1485" t="s">
        <v>119</v>
      </c>
      <c r="G1485" t="s">
        <v>143</v>
      </c>
      <c r="H1485" t="s">
        <v>144</v>
      </c>
      <c r="I1485" t="s">
        <v>45</v>
      </c>
      <c r="J1485" t="s">
        <v>46</v>
      </c>
      <c r="K1485" t="s">
        <v>48</v>
      </c>
      <c r="L1485" t="s">
        <v>49</v>
      </c>
      <c r="M1485" t="s">
        <v>140</v>
      </c>
      <c r="N1485">
        <v>4510</v>
      </c>
      <c r="O1485">
        <v>5.7424362E-2</v>
      </c>
      <c r="P1485">
        <v>5.4700922999999999E-2</v>
      </c>
      <c r="Q1485" t="str">
        <f t="shared" si="46"/>
        <v>50+</v>
      </c>
      <c r="R1485" t="str">
        <f t="shared" si="47"/>
        <v>[oiPR2CiVJbf]|50+|Male|PLHIV_Residents.T_1|CY2024Q3</v>
      </c>
    </row>
    <row r="1486" spans="4:18" x14ac:dyDescent="0.2">
      <c r="D1486" t="s">
        <v>120</v>
      </c>
      <c r="E1486" t="s">
        <v>121</v>
      </c>
      <c r="F1486" t="s">
        <v>122</v>
      </c>
      <c r="G1486" t="s">
        <v>143</v>
      </c>
      <c r="H1486" t="s">
        <v>144</v>
      </c>
      <c r="I1486" t="s">
        <v>28</v>
      </c>
      <c r="J1486" t="s">
        <v>29</v>
      </c>
      <c r="K1486" t="s">
        <v>30</v>
      </c>
      <c r="L1486" t="s">
        <v>31</v>
      </c>
      <c r="M1486" t="s">
        <v>140</v>
      </c>
      <c r="N1486">
        <v>66</v>
      </c>
      <c r="O1486">
        <v>3.3369823E-2</v>
      </c>
      <c r="P1486">
        <v>2.9940485999999999E-2</v>
      </c>
      <c r="Q1486" t="str">
        <f t="shared" si="46"/>
        <v>&lt;01</v>
      </c>
      <c r="R1486" t="str">
        <f t="shared" si="47"/>
        <v>[mxqa3CDFmIT]|&lt;01|Female|PLHIV_Residents.T_1|CY2024Q3</v>
      </c>
    </row>
    <row r="1487" spans="4:18" x14ac:dyDescent="0.2">
      <c r="D1487" t="s">
        <v>120</v>
      </c>
      <c r="E1487" t="s">
        <v>121</v>
      </c>
      <c r="F1487" t="s">
        <v>122</v>
      </c>
      <c r="G1487" t="s">
        <v>143</v>
      </c>
      <c r="H1487" t="s">
        <v>144</v>
      </c>
      <c r="I1487" t="s">
        <v>33</v>
      </c>
      <c r="J1487" t="s">
        <v>34</v>
      </c>
      <c r="K1487" t="s">
        <v>30</v>
      </c>
      <c r="L1487" t="s">
        <v>31</v>
      </c>
      <c r="M1487" t="s">
        <v>140</v>
      </c>
      <c r="N1487">
        <v>1151</v>
      </c>
      <c r="O1487">
        <v>3.7756649000000003E-2</v>
      </c>
      <c r="P1487">
        <v>2.9940485999999999E-2</v>
      </c>
      <c r="Q1487" t="str">
        <f t="shared" si="46"/>
        <v>01-09</v>
      </c>
      <c r="R1487" t="str">
        <f t="shared" si="47"/>
        <v>[mxqa3CDFmIT]|01-09|Female|PLHIV_Residents.T_1|CY2024Q3</v>
      </c>
    </row>
    <row r="1488" spans="4:18" x14ac:dyDescent="0.2">
      <c r="D1488" t="s">
        <v>120</v>
      </c>
      <c r="E1488" t="s">
        <v>121</v>
      </c>
      <c r="F1488" t="s">
        <v>122</v>
      </c>
      <c r="G1488" t="s">
        <v>143</v>
      </c>
      <c r="H1488" t="s">
        <v>144</v>
      </c>
      <c r="I1488" t="s">
        <v>36</v>
      </c>
      <c r="J1488" t="s">
        <v>37</v>
      </c>
      <c r="K1488" t="s">
        <v>30</v>
      </c>
      <c r="L1488" t="s">
        <v>31</v>
      </c>
      <c r="M1488" t="s">
        <v>140</v>
      </c>
      <c r="N1488">
        <v>1295</v>
      </c>
      <c r="O1488">
        <v>4.3828590000000001E-2</v>
      </c>
      <c r="P1488">
        <v>2.9940485999999999E-2</v>
      </c>
      <c r="Q1488" t="str">
        <f t="shared" si="46"/>
        <v>10-14</v>
      </c>
      <c r="R1488" t="str">
        <f t="shared" si="47"/>
        <v>[mxqa3CDFmIT]|10-14|Female|PLHIV_Residents.T_1|CY2024Q3</v>
      </c>
    </row>
    <row r="1489" spans="4:18" x14ac:dyDescent="0.2">
      <c r="D1489" t="s">
        <v>120</v>
      </c>
      <c r="E1489" t="s">
        <v>121</v>
      </c>
      <c r="F1489" t="s">
        <v>122</v>
      </c>
      <c r="G1489" t="s">
        <v>143</v>
      </c>
      <c r="H1489" t="s">
        <v>144</v>
      </c>
      <c r="I1489" t="s">
        <v>38</v>
      </c>
      <c r="J1489" t="s">
        <v>39</v>
      </c>
      <c r="K1489" t="s">
        <v>30</v>
      </c>
      <c r="L1489" t="s">
        <v>31</v>
      </c>
      <c r="M1489" t="s">
        <v>140</v>
      </c>
      <c r="N1489">
        <v>5852</v>
      </c>
      <c r="O1489">
        <v>6.8045983000000004E-2</v>
      </c>
      <c r="P1489">
        <v>2.9940485999999999E-2</v>
      </c>
      <c r="Q1489" t="str">
        <f t="shared" si="46"/>
        <v>15-24</v>
      </c>
      <c r="R1489" t="str">
        <f t="shared" si="47"/>
        <v>[mxqa3CDFmIT]|15-24|Female|PLHIV_Residents.T_1|CY2024Q3</v>
      </c>
    </row>
    <row r="1490" spans="4:18" x14ac:dyDescent="0.2">
      <c r="D1490" t="s">
        <v>120</v>
      </c>
      <c r="E1490" t="s">
        <v>121</v>
      </c>
      <c r="F1490" t="s">
        <v>122</v>
      </c>
      <c r="G1490" t="s">
        <v>143</v>
      </c>
      <c r="H1490" t="s">
        <v>144</v>
      </c>
      <c r="I1490" t="s">
        <v>41</v>
      </c>
      <c r="J1490" t="s">
        <v>42</v>
      </c>
      <c r="K1490" t="s">
        <v>30</v>
      </c>
      <c r="L1490" t="s">
        <v>31</v>
      </c>
      <c r="M1490" t="s">
        <v>140</v>
      </c>
      <c r="N1490">
        <v>17031</v>
      </c>
      <c r="O1490">
        <v>4.8271592000000002E-2</v>
      </c>
      <c r="P1490">
        <v>2.9940485999999999E-2</v>
      </c>
      <c r="Q1490" t="str">
        <f t="shared" si="46"/>
        <v>25-34</v>
      </c>
      <c r="R1490" t="str">
        <f t="shared" si="47"/>
        <v>[mxqa3CDFmIT]|25-34|Female|PLHIV_Residents.T_1|CY2024Q3</v>
      </c>
    </row>
    <row r="1491" spans="4:18" x14ac:dyDescent="0.2">
      <c r="D1491" t="s">
        <v>120</v>
      </c>
      <c r="E1491" t="s">
        <v>121</v>
      </c>
      <c r="F1491" t="s">
        <v>122</v>
      </c>
      <c r="G1491" t="s">
        <v>143</v>
      </c>
      <c r="H1491" t="s">
        <v>144</v>
      </c>
      <c r="I1491" t="s">
        <v>43</v>
      </c>
      <c r="J1491" t="s">
        <v>44</v>
      </c>
      <c r="K1491" t="s">
        <v>30</v>
      </c>
      <c r="L1491" t="s">
        <v>31</v>
      </c>
      <c r="M1491" t="s">
        <v>140</v>
      </c>
      <c r="N1491">
        <v>37173</v>
      </c>
      <c r="O1491">
        <v>3.2036571E-2</v>
      </c>
      <c r="P1491">
        <v>2.9940485999999999E-2</v>
      </c>
      <c r="Q1491" t="str">
        <f t="shared" si="46"/>
        <v>35-49</v>
      </c>
      <c r="R1491" t="str">
        <f t="shared" si="47"/>
        <v>[mxqa3CDFmIT]|35-49|Female|PLHIV_Residents.T_1|CY2024Q3</v>
      </c>
    </row>
    <row r="1492" spans="4:18" x14ac:dyDescent="0.2">
      <c r="D1492" t="s">
        <v>120</v>
      </c>
      <c r="E1492" t="s">
        <v>121</v>
      </c>
      <c r="F1492" t="s">
        <v>122</v>
      </c>
      <c r="G1492" t="s">
        <v>143</v>
      </c>
      <c r="H1492" t="s">
        <v>144</v>
      </c>
      <c r="I1492" t="s">
        <v>45</v>
      </c>
      <c r="J1492" t="s">
        <v>46</v>
      </c>
      <c r="K1492" t="s">
        <v>30</v>
      </c>
      <c r="L1492" t="s">
        <v>31</v>
      </c>
      <c r="M1492" t="s">
        <v>140</v>
      </c>
      <c r="N1492">
        <v>13177</v>
      </c>
      <c r="O1492">
        <v>4.2667188000000002E-2</v>
      </c>
      <c r="P1492">
        <v>2.9940485999999999E-2</v>
      </c>
      <c r="Q1492" t="str">
        <f t="shared" si="46"/>
        <v>50+</v>
      </c>
      <c r="R1492" t="str">
        <f t="shared" si="47"/>
        <v>[mxqa3CDFmIT]|50+|Female|PLHIV_Residents.T_1|CY2024Q3</v>
      </c>
    </row>
    <row r="1493" spans="4:18" x14ac:dyDescent="0.2">
      <c r="D1493" t="s">
        <v>120</v>
      </c>
      <c r="E1493" t="s">
        <v>121</v>
      </c>
      <c r="F1493" t="s">
        <v>122</v>
      </c>
      <c r="G1493" t="s">
        <v>143</v>
      </c>
      <c r="H1493" t="s">
        <v>144</v>
      </c>
      <c r="I1493" t="s">
        <v>28</v>
      </c>
      <c r="J1493" t="s">
        <v>29</v>
      </c>
      <c r="K1493" t="s">
        <v>48</v>
      </c>
      <c r="L1493" t="s">
        <v>49</v>
      </c>
      <c r="M1493" t="s">
        <v>140</v>
      </c>
      <c r="N1493">
        <v>67</v>
      </c>
      <c r="O1493">
        <v>3.3360677999999998E-2</v>
      </c>
      <c r="P1493">
        <v>2.9940485999999999E-2</v>
      </c>
      <c r="Q1493" t="str">
        <f t="shared" si="46"/>
        <v>&lt;01</v>
      </c>
      <c r="R1493" t="str">
        <f t="shared" si="47"/>
        <v>[mxqa3CDFmIT]|&lt;01|Male|PLHIV_Residents.T_1|CY2024Q3</v>
      </c>
    </row>
    <row r="1494" spans="4:18" x14ac:dyDescent="0.2">
      <c r="D1494" t="s">
        <v>120</v>
      </c>
      <c r="E1494" t="s">
        <v>121</v>
      </c>
      <c r="F1494" t="s">
        <v>122</v>
      </c>
      <c r="G1494" t="s">
        <v>143</v>
      </c>
      <c r="H1494" t="s">
        <v>144</v>
      </c>
      <c r="I1494" t="s">
        <v>33</v>
      </c>
      <c r="J1494" t="s">
        <v>34</v>
      </c>
      <c r="K1494" t="s">
        <v>48</v>
      </c>
      <c r="L1494" t="s">
        <v>49</v>
      </c>
      <c r="M1494" t="s">
        <v>140</v>
      </c>
      <c r="N1494">
        <v>1162</v>
      </c>
      <c r="O1494">
        <v>3.7743042999999997E-2</v>
      </c>
      <c r="P1494">
        <v>2.9940485999999999E-2</v>
      </c>
      <c r="Q1494" t="str">
        <f t="shared" si="46"/>
        <v>01-09</v>
      </c>
      <c r="R1494" t="str">
        <f t="shared" si="47"/>
        <v>[mxqa3CDFmIT]|01-09|Male|PLHIV_Residents.T_1|CY2024Q3</v>
      </c>
    </row>
    <row r="1495" spans="4:18" x14ac:dyDescent="0.2">
      <c r="D1495" t="s">
        <v>120</v>
      </c>
      <c r="E1495" t="s">
        <v>121</v>
      </c>
      <c r="F1495" t="s">
        <v>122</v>
      </c>
      <c r="G1495" t="s">
        <v>143</v>
      </c>
      <c r="H1495" t="s">
        <v>144</v>
      </c>
      <c r="I1495" t="s">
        <v>36</v>
      </c>
      <c r="J1495" t="s">
        <v>37</v>
      </c>
      <c r="K1495" t="s">
        <v>48</v>
      </c>
      <c r="L1495" t="s">
        <v>49</v>
      </c>
      <c r="M1495" t="s">
        <v>140</v>
      </c>
      <c r="N1495">
        <v>1289</v>
      </c>
      <c r="O1495">
        <v>4.3787812000000002E-2</v>
      </c>
      <c r="P1495">
        <v>2.9940485999999999E-2</v>
      </c>
      <c r="Q1495" t="str">
        <f t="shared" si="46"/>
        <v>10-14</v>
      </c>
      <c r="R1495" t="str">
        <f t="shared" si="47"/>
        <v>[mxqa3CDFmIT]|10-14|Male|PLHIV_Residents.T_1|CY2024Q3</v>
      </c>
    </row>
    <row r="1496" spans="4:18" x14ac:dyDescent="0.2">
      <c r="D1496" t="s">
        <v>120</v>
      </c>
      <c r="E1496" t="s">
        <v>121</v>
      </c>
      <c r="F1496" t="s">
        <v>122</v>
      </c>
      <c r="G1496" t="s">
        <v>143</v>
      </c>
      <c r="H1496" t="s">
        <v>144</v>
      </c>
      <c r="I1496" t="s">
        <v>38</v>
      </c>
      <c r="J1496" t="s">
        <v>39</v>
      </c>
      <c r="K1496" t="s">
        <v>48</v>
      </c>
      <c r="L1496" t="s">
        <v>49</v>
      </c>
      <c r="M1496" t="s">
        <v>140</v>
      </c>
      <c r="N1496">
        <v>4062</v>
      </c>
      <c r="O1496">
        <v>7.9237130000000003E-2</v>
      </c>
      <c r="P1496">
        <v>2.9940485999999999E-2</v>
      </c>
      <c r="Q1496" t="str">
        <f t="shared" si="46"/>
        <v>15-24</v>
      </c>
      <c r="R1496" t="str">
        <f t="shared" si="47"/>
        <v>[mxqa3CDFmIT]|15-24|Male|PLHIV_Residents.T_1|CY2024Q3</v>
      </c>
    </row>
    <row r="1497" spans="4:18" x14ac:dyDescent="0.2">
      <c r="D1497" t="s">
        <v>120</v>
      </c>
      <c r="E1497" t="s">
        <v>121</v>
      </c>
      <c r="F1497" t="s">
        <v>122</v>
      </c>
      <c r="G1497" t="s">
        <v>143</v>
      </c>
      <c r="H1497" t="s">
        <v>144</v>
      </c>
      <c r="I1497" t="s">
        <v>41</v>
      </c>
      <c r="J1497" t="s">
        <v>42</v>
      </c>
      <c r="K1497" t="s">
        <v>48</v>
      </c>
      <c r="L1497" t="s">
        <v>49</v>
      </c>
      <c r="M1497" t="s">
        <v>140</v>
      </c>
      <c r="N1497">
        <v>7249</v>
      </c>
      <c r="O1497">
        <v>7.0513682999999994E-2</v>
      </c>
      <c r="P1497">
        <v>2.9940485999999999E-2</v>
      </c>
      <c r="Q1497" t="str">
        <f t="shared" si="46"/>
        <v>25-34</v>
      </c>
      <c r="R1497" t="str">
        <f t="shared" si="47"/>
        <v>[mxqa3CDFmIT]|25-34|Male|PLHIV_Residents.T_1|CY2024Q3</v>
      </c>
    </row>
    <row r="1498" spans="4:18" x14ac:dyDescent="0.2">
      <c r="D1498" t="s">
        <v>120</v>
      </c>
      <c r="E1498" t="s">
        <v>121</v>
      </c>
      <c r="F1498" t="s">
        <v>122</v>
      </c>
      <c r="G1498" t="s">
        <v>143</v>
      </c>
      <c r="H1498" t="s">
        <v>144</v>
      </c>
      <c r="I1498" t="s">
        <v>43</v>
      </c>
      <c r="J1498" t="s">
        <v>44</v>
      </c>
      <c r="K1498" t="s">
        <v>48</v>
      </c>
      <c r="L1498" t="s">
        <v>49</v>
      </c>
      <c r="M1498" t="s">
        <v>140</v>
      </c>
      <c r="N1498">
        <v>24428</v>
      </c>
      <c r="O1498">
        <v>3.9138088000000001E-2</v>
      </c>
      <c r="P1498">
        <v>2.9940485999999999E-2</v>
      </c>
      <c r="Q1498" t="str">
        <f t="shared" si="46"/>
        <v>35-49</v>
      </c>
      <c r="R1498" t="str">
        <f t="shared" si="47"/>
        <v>[mxqa3CDFmIT]|35-49|Male|PLHIV_Residents.T_1|CY2024Q3</v>
      </c>
    </row>
    <row r="1499" spans="4:18" x14ac:dyDescent="0.2">
      <c r="D1499" t="s">
        <v>120</v>
      </c>
      <c r="E1499" t="s">
        <v>121</v>
      </c>
      <c r="F1499" t="s">
        <v>122</v>
      </c>
      <c r="G1499" t="s">
        <v>143</v>
      </c>
      <c r="H1499" t="s">
        <v>144</v>
      </c>
      <c r="I1499" t="s">
        <v>45</v>
      </c>
      <c r="J1499" t="s">
        <v>46</v>
      </c>
      <c r="K1499" t="s">
        <v>48</v>
      </c>
      <c r="L1499" t="s">
        <v>49</v>
      </c>
      <c r="M1499" t="s">
        <v>140</v>
      </c>
      <c r="N1499">
        <v>13586</v>
      </c>
      <c r="O1499">
        <v>4.0426737999999997E-2</v>
      </c>
      <c r="P1499">
        <v>2.9940485999999999E-2</v>
      </c>
      <c r="Q1499" t="str">
        <f t="shared" si="46"/>
        <v>50+</v>
      </c>
      <c r="R1499" t="str">
        <f t="shared" si="47"/>
        <v>[mxqa3CDFmIT]|50+|Male|PLHIV_Residents.T_1|CY2024Q3</v>
      </c>
    </row>
    <row r="1500" spans="4:18" x14ac:dyDescent="0.2">
      <c r="D1500" t="s">
        <v>123</v>
      </c>
      <c r="E1500" t="s">
        <v>124</v>
      </c>
      <c r="F1500" t="s">
        <v>125</v>
      </c>
      <c r="G1500" t="s">
        <v>143</v>
      </c>
      <c r="H1500" t="s">
        <v>144</v>
      </c>
      <c r="I1500" t="s">
        <v>28</v>
      </c>
      <c r="J1500" t="s">
        <v>29</v>
      </c>
      <c r="K1500" t="s">
        <v>30</v>
      </c>
      <c r="L1500" t="s">
        <v>31</v>
      </c>
      <c r="M1500" t="s">
        <v>140</v>
      </c>
      <c r="N1500">
        <v>4</v>
      </c>
      <c r="O1500">
        <v>9.0322939000000005E-2</v>
      </c>
      <c r="P1500">
        <v>8.5961228000000001E-2</v>
      </c>
      <c r="Q1500" t="str">
        <f t="shared" si="46"/>
        <v>&lt;01</v>
      </c>
      <c r="R1500" t="str">
        <f t="shared" si="47"/>
        <v>[wNqJp8oRIcF]|&lt;01|Female|PLHIV_Residents.T_1|CY2024Q3</v>
      </c>
    </row>
    <row r="1501" spans="4:18" x14ac:dyDescent="0.2">
      <c r="D1501" t="s">
        <v>123</v>
      </c>
      <c r="E1501" t="s">
        <v>124</v>
      </c>
      <c r="F1501" t="s">
        <v>125</v>
      </c>
      <c r="G1501" t="s">
        <v>143</v>
      </c>
      <c r="H1501" t="s">
        <v>144</v>
      </c>
      <c r="I1501" t="s">
        <v>33</v>
      </c>
      <c r="J1501" t="s">
        <v>34</v>
      </c>
      <c r="K1501" t="s">
        <v>30</v>
      </c>
      <c r="L1501" t="s">
        <v>31</v>
      </c>
      <c r="M1501" t="s">
        <v>140</v>
      </c>
      <c r="N1501">
        <v>76</v>
      </c>
      <c r="O1501">
        <v>9.7171908000000001E-2</v>
      </c>
      <c r="P1501">
        <v>8.5961228000000001E-2</v>
      </c>
      <c r="Q1501" t="str">
        <f t="shared" si="46"/>
        <v>01-09</v>
      </c>
      <c r="R1501" t="str">
        <f t="shared" si="47"/>
        <v>[wNqJp8oRIcF]|01-09|Female|PLHIV_Residents.T_1|CY2024Q3</v>
      </c>
    </row>
    <row r="1502" spans="4:18" x14ac:dyDescent="0.2">
      <c r="D1502" t="s">
        <v>123</v>
      </c>
      <c r="E1502" t="s">
        <v>124</v>
      </c>
      <c r="F1502" t="s">
        <v>125</v>
      </c>
      <c r="G1502" t="s">
        <v>143</v>
      </c>
      <c r="H1502" t="s">
        <v>144</v>
      </c>
      <c r="I1502" t="s">
        <v>36</v>
      </c>
      <c r="J1502" t="s">
        <v>37</v>
      </c>
      <c r="K1502" t="s">
        <v>30</v>
      </c>
      <c r="L1502" t="s">
        <v>31</v>
      </c>
      <c r="M1502" t="s">
        <v>140</v>
      </c>
      <c r="N1502">
        <v>90</v>
      </c>
      <c r="O1502">
        <v>0.106100578</v>
      </c>
      <c r="P1502">
        <v>8.5961228000000001E-2</v>
      </c>
      <c r="Q1502" t="str">
        <f t="shared" si="46"/>
        <v>10-14</v>
      </c>
      <c r="R1502" t="str">
        <f t="shared" si="47"/>
        <v>[wNqJp8oRIcF]|10-14|Female|PLHIV_Residents.T_1|CY2024Q3</v>
      </c>
    </row>
    <row r="1503" spans="4:18" x14ac:dyDescent="0.2">
      <c r="D1503" t="s">
        <v>123</v>
      </c>
      <c r="E1503" t="s">
        <v>124</v>
      </c>
      <c r="F1503" t="s">
        <v>125</v>
      </c>
      <c r="G1503" t="s">
        <v>143</v>
      </c>
      <c r="H1503" t="s">
        <v>144</v>
      </c>
      <c r="I1503" t="s">
        <v>38</v>
      </c>
      <c r="J1503" t="s">
        <v>39</v>
      </c>
      <c r="K1503" t="s">
        <v>30</v>
      </c>
      <c r="L1503" t="s">
        <v>31</v>
      </c>
      <c r="M1503" t="s">
        <v>140</v>
      </c>
      <c r="N1503">
        <v>337</v>
      </c>
      <c r="O1503">
        <v>0.110692559</v>
      </c>
      <c r="P1503">
        <v>8.5961228000000001E-2</v>
      </c>
      <c r="Q1503" t="str">
        <f t="shared" si="46"/>
        <v>15-24</v>
      </c>
      <c r="R1503" t="str">
        <f t="shared" si="47"/>
        <v>[wNqJp8oRIcF]|15-24|Female|PLHIV_Residents.T_1|CY2024Q3</v>
      </c>
    </row>
    <row r="1504" spans="4:18" x14ac:dyDescent="0.2">
      <c r="D1504" t="s">
        <v>123</v>
      </c>
      <c r="E1504" t="s">
        <v>124</v>
      </c>
      <c r="F1504" t="s">
        <v>125</v>
      </c>
      <c r="G1504" t="s">
        <v>143</v>
      </c>
      <c r="H1504" t="s">
        <v>144</v>
      </c>
      <c r="I1504" t="s">
        <v>41</v>
      </c>
      <c r="J1504" t="s">
        <v>42</v>
      </c>
      <c r="K1504" t="s">
        <v>30</v>
      </c>
      <c r="L1504" t="s">
        <v>31</v>
      </c>
      <c r="M1504" t="s">
        <v>140</v>
      </c>
      <c r="N1504">
        <v>867</v>
      </c>
      <c r="O1504">
        <v>9.8588886000000001E-2</v>
      </c>
      <c r="P1504">
        <v>8.5961228000000001E-2</v>
      </c>
      <c r="Q1504" t="str">
        <f t="shared" si="46"/>
        <v>25-34</v>
      </c>
      <c r="R1504" t="str">
        <f t="shared" si="47"/>
        <v>[wNqJp8oRIcF]|25-34|Female|PLHIV_Residents.T_1|CY2024Q3</v>
      </c>
    </row>
    <row r="1505" spans="4:18" x14ac:dyDescent="0.2">
      <c r="D1505" t="s">
        <v>123</v>
      </c>
      <c r="E1505" t="s">
        <v>124</v>
      </c>
      <c r="F1505" t="s">
        <v>125</v>
      </c>
      <c r="G1505" t="s">
        <v>143</v>
      </c>
      <c r="H1505" t="s">
        <v>144</v>
      </c>
      <c r="I1505" t="s">
        <v>43</v>
      </c>
      <c r="J1505" t="s">
        <v>44</v>
      </c>
      <c r="K1505" t="s">
        <v>30</v>
      </c>
      <c r="L1505" t="s">
        <v>31</v>
      </c>
      <c r="M1505" t="s">
        <v>140</v>
      </c>
      <c r="N1505">
        <v>2081</v>
      </c>
      <c r="O1505">
        <v>8.3281320000000006E-2</v>
      </c>
      <c r="P1505">
        <v>8.5961228000000001E-2</v>
      </c>
      <c r="Q1505" t="str">
        <f t="shared" si="46"/>
        <v>35-49</v>
      </c>
      <c r="R1505" t="str">
        <f t="shared" si="47"/>
        <v>[wNqJp8oRIcF]|35-49|Female|PLHIV_Residents.T_1|CY2024Q3</v>
      </c>
    </row>
    <row r="1506" spans="4:18" x14ac:dyDescent="0.2">
      <c r="D1506" t="s">
        <v>123</v>
      </c>
      <c r="E1506" t="s">
        <v>124</v>
      </c>
      <c r="F1506" t="s">
        <v>125</v>
      </c>
      <c r="G1506" t="s">
        <v>143</v>
      </c>
      <c r="H1506" t="s">
        <v>144</v>
      </c>
      <c r="I1506" t="s">
        <v>45</v>
      </c>
      <c r="J1506" t="s">
        <v>46</v>
      </c>
      <c r="K1506" t="s">
        <v>30</v>
      </c>
      <c r="L1506" t="s">
        <v>31</v>
      </c>
      <c r="M1506" t="s">
        <v>140</v>
      </c>
      <c r="N1506">
        <v>951</v>
      </c>
      <c r="O1506">
        <v>9.1535778999999998E-2</v>
      </c>
      <c r="P1506">
        <v>8.5961228000000001E-2</v>
      </c>
      <c r="Q1506" t="str">
        <f t="shared" si="46"/>
        <v>50+</v>
      </c>
      <c r="R1506" t="str">
        <f t="shared" si="47"/>
        <v>[wNqJp8oRIcF]|50+|Female|PLHIV_Residents.T_1|CY2024Q3</v>
      </c>
    </row>
    <row r="1507" spans="4:18" x14ac:dyDescent="0.2">
      <c r="D1507" t="s">
        <v>123</v>
      </c>
      <c r="E1507" t="s">
        <v>124</v>
      </c>
      <c r="F1507" t="s">
        <v>125</v>
      </c>
      <c r="G1507" t="s">
        <v>143</v>
      </c>
      <c r="H1507" t="s">
        <v>144</v>
      </c>
      <c r="I1507" t="s">
        <v>28</v>
      </c>
      <c r="J1507" t="s">
        <v>29</v>
      </c>
      <c r="K1507" t="s">
        <v>48</v>
      </c>
      <c r="L1507" t="s">
        <v>49</v>
      </c>
      <c r="M1507" t="s">
        <v>140</v>
      </c>
      <c r="N1507">
        <v>4</v>
      </c>
      <c r="O1507">
        <v>9.0306743999999994E-2</v>
      </c>
      <c r="P1507">
        <v>8.5961228000000001E-2</v>
      </c>
      <c r="Q1507" t="str">
        <f t="shared" si="46"/>
        <v>&lt;01</v>
      </c>
      <c r="R1507" t="str">
        <f t="shared" si="47"/>
        <v>[wNqJp8oRIcF]|&lt;01|Male|PLHIV_Residents.T_1|CY2024Q3</v>
      </c>
    </row>
    <row r="1508" spans="4:18" x14ac:dyDescent="0.2">
      <c r="D1508" t="s">
        <v>123</v>
      </c>
      <c r="E1508" t="s">
        <v>124</v>
      </c>
      <c r="F1508" t="s">
        <v>125</v>
      </c>
      <c r="G1508" t="s">
        <v>143</v>
      </c>
      <c r="H1508" t="s">
        <v>144</v>
      </c>
      <c r="I1508" t="s">
        <v>33</v>
      </c>
      <c r="J1508" t="s">
        <v>34</v>
      </c>
      <c r="K1508" t="s">
        <v>48</v>
      </c>
      <c r="L1508" t="s">
        <v>49</v>
      </c>
      <c r="M1508" t="s">
        <v>140</v>
      </c>
      <c r="N1508">
        <v>76</v>
      </c>
      <c r="O1508">
        <v>9.7156809999999996E-2</v>
      </c>
      <c r="P1508">
        <v>8.5961228000000001E-2</v>
      </c>
      <c r="Q1508" t="str">
        <f t="shared" si="46"/>
        <v>01-09</v>
      </c>
      <c r="R1508" t="str">
        <f t="shared" si="47"/>
        <v>[wNqJp8oRIcF]|01-09|Male|PLHIV_Residents.T_1|CY2024Q3</v>
      </c>
    </row>
    <row r="1509" spans="4:18" x14ac:dyDescent="0.2">
      <c r="D1509" t="s">
        <v>123</v>
      </c>
      <c r="E1509" t="s">
        <v>124</v>
      </c>
      <c r="F1509" t="s">
        <v>125</v>
      </c>
      <c r="G1509" t="s">
        <v>143</v>
      </c>
      <c r="H1509" t="s">
        <v>144</v>
      </c>
      <c r="I1509" t="s">
        <v>36</v>
      </c>
      <c r="J1509" t="s">
        <v>37</v>
      </c>
      <c r="K1509" t="s">
        <v>48</v>
      </c>
      <c r="L1509" t="s">
        <v>49</v>
      </c>
      <c r="M1509" t="s">
        <v>140</v>
      </c>
      <c r="N1509">
        <v>89</v>
      </c>
      <c r="O1509">
        <v>0.106098848</v>
      </c>
      <c r="P1509">
        <v>8.5961228000000001E-2</v>
      </c>
      <c r="Q1509" t="str">
        <f t="shared" si="46"/>
        <v>10-14</v>
      </c>
      <c r="R1509" t="str">
        <f t="shared" si="47"/>
        <v>[wNqJp8oRIcF]|10-14|Male|PLHIV_Residents.T_1|CY2024Q3</v>
      </c>
    </row>
    <row r="1510" spans="4:18" x14ac:dyDescent="0.2">
      <c r="D1510" t="s">
        <v>123</v>
      </c>
      <c r="E1510" t="s">
        <v>124</v>
      </c>
      <c r="F1510" t="s">
        <v>125</v>
      </c>
      <c r="G1510" t="s">
        <v>143</v>
      </c>
      <c r="H1510" t="s">
        <v>144</v>
      </c>
      <c r="I1510" t="s">
        <v>38</v>
      </c>
      <c r="J1510" t="s">
        <v>39</v>
      </c>
      <c r="K1510" t="s">
        <v>48</v>
      </c>
      <c r="L1510" t="s">
        <v>49</v>
      </c>
      <c r="M1510" t="s">
        <v>140</v>
      </c>
      <c r="N1510">
        <v>232</v>
      </c>
      <c r="O1510">
        <v>0.11769151899999999</v>
      </c>
      <c r="P1510">
        <v>8.5961228000000001E-2</v>
      </c>
      <c r="Q1510" t="str">
        <f t="shared" si="46"/>
        <v>15-24</v>
      </c>
      <c r="R1510" t="str">
        <f t="shared" si="47"/>
        <v>[wNqJp8oRIcF]|15-24|Male|PLHIV_Residents.T_1|CY2024Q3</v>
      </c>
    </row>
    <row r="1511" spans="4:18" x14ac:dyDescent="0.2">
      <c r="D1511" t="s">
        <v>123</v>
      </c>
      <c r="E1511" t="s">
        <v>124</v>
      </c>
      <c r="F1511" t="s">
        <v>125</v>
      </c>
      <c r="G1511" t="s">
        <v>143</v>
      </c>
      <c r="H1511" t="s">
        <v>144</v>
      </c>
      <c r="I1511" t="s">
        <v>41</v>
      </c>
      <c r="J1511" t="s">
        <v>42</v>
      </c>
      <c r="K1511" t="s">
        <v>48</v>
      </c>
      <c r="L1511" t="s">
        <v>49</v>
      </c>
      <c r="M1511" t="s">
        <v>140</v>
      </c>
      <c r="N1511">
        <v>323</v>
      </c>
      <c r="O1511">
        <v>0.111294217</v>
      </c>
      <c r="P1511">
        <v>8.5961228000000001E-2</v>
      </c>
      <c r="Q1511" t="str">
        <f t="shared" si="46"/>
        <v>25-34</v>
      </c>
      <c r="R1511" t="str">
        <f t="shared" si="47"/>
        <v>[wNqJp8oRIcF]|25-34|Male|PLHIV_Residents.T_1|CY2024Q3</v>
      </c>
    </row>
    <row r="1512" spans="4:18" x14ac:dyDescent="0.2">
      <c r="D1512" t="s">
        <v>123</v>
      </c>
      <c r="E1512" t="s">
        <v>124</v>
      </c>
      <c r="F1512" t="s">
        <v>125</v>
      </c>
      <c r="G1512" t="s">
        <v>143</v>
      </c>
      <c r="H1512" t="s">
        <v>144</v>
      </c>
      <c r="I1512" t="s">
        <v>43</v>
      </c>
      <c r="J1512" t="s">
        <v>44</v>
      </c>
      <c r="K1512" t="s">
        <v>48</v>
      </c>
      <c r="L1512" t="s">
        <v>49</v>
      </c>
      <c r="M1512" t="s">
        <v>140</v>
      </c>
      <c r="N1512">
        <v>1130</v>
      </c>
      <c r="O1512">
        <v>9.3783143999999999E-2</v>
      </c>
      <c r="P1512">
        <v>8.5961228000000001E-2</v>
      </c>
      <c r="Q1512" t="str">
        <f t="shared" si="46"/>
        <v>35-49</v>
      </c>
      <c r="R1512" t="str">
        <f t="shared" si="47"/>
        <v>[wNqJp8oRIcF]|35-49|Male|PLHIV_Residents.T_1|CY2024Q3</v>
      </c>
    </row>
    <row r="1513" spans="4:18" x14ac:dyDescent="0.2">
      <c r="D1513" t="s">
        <v>123</v>
      </c>
      <c r="E1513" t="s">
        <v>124</v>
      </c>
      <c r="F1513" t="s">
        <v>125</v>
      </c>
      <c r="G1513" t="s">
        <v>143</v>
      </c>
      <c r="H1513" t="s">
        <v>144</v>
      </c>
      <c r="I1513" t="s">
        <v>45</v>
      </c>
      <c r="J1513" t="s">
        <v>46</v>
      </c>
      <c r="K1513" t="s">
        <v>48</v>
      </c>
      <c r="L1513" t="s">
        <v>49</v>
      </c>
      <c r="M1513" t="s">
        <v>140</v>
      </c>
      <c r="N1513">
        <v>758</v>
      </c>
      <c r="O1513">
        <v>9.3091442999999996E-2</v>
      </c>
      <c r="P1513">
        <v>8.5961228000000001E-2</v>
      </c>
      <c r="Q1513" t="str">
        <f t="shared" si="46"/>
        <v>50+</v>
      </c>
      <c r="R1513" t="str">
        <f t="shared" si="47"/>
        <v>[wNqJp8oRIcF]|50+|Male|PLHIV_Residents.T_1|CY2024Q3</v>
      </c>
    </row>
    <row r="1514" spans="4:18" x14ac:dyDescent="0.2">
      <c r="D1514" t="s">
        <v>126</v>
      </c>
      <c r="E1514" t="s">
        <v>127</v>
      </c>
      <c r="F1514" t="s">
        <v>128</v>
      </c>
      <c r="G1514" t="s">
        <v>143</v>
      </c>
      <c r="H1514" t="s">
        <v>144</v>
      </c>
      <c r="I1514" t="s">
        <v>28</v>
      </c>
      <c r="J1514" t="s">
        <v>29</v>
      </c>
      <c r="K1514" t="s">
        <v>30</v>
      </c>
      <c r="L1514" t="s">
        <v>31</v>
      </c>
      <c r="M1514" t="s">
        <v>140</v>
      </c>
      <c r="N1514">
        <v>37</v>
      </c>
      <c r="O1514">
        <v>5.4037979E-2</v>
      </c>
      <c r="P1514">
        <v>4.8546854E-2</v>
      </c>
      <c r="Q1514" t="str">
        <f t="shared" si="46"/>
        <v>&lt;01</v>
      </c>
      <c r="R1514" t="str">
        <f t="shared" si="47"/>
        <v>[ul0y9diGujK]|&lt;01|Female|PLHIV_Residents.T_1|CY2024Q3</v>
      </c>
    </row>
    <row r="1515" spans="4:18" x14ac:dyDescent="0.2">
      <c r="D1515" t="s">
        <v>126</v>
      </c>
      <c r="E1515" t="s">
        <v>127</v>
      </c>
      <c r="F1515" t="s">
        <v>128</v>
      </c>
      <c r="G1515" t="s">
        <v>143</v>
      </c>
      <c r="H1515" t="s">
        <v>144</v>
      </c>
      <c r="I1515" t="s">
        <v>33</v>
      </c>
      <c r="J1515" t="s">
        <v>34</v>
      </c>
      <c r="K1515" t="s">
        <v>30</v>
      </c>
      <c r="L1515" t="s">
        <v>31</v>
      </c>
      <c r="M1515" t="s">
        <v>140</v>
      </c>
      <c r="N1515">
        <v>674</v>
      </c>
      <c r="O1515">
        <v>6.2450791999999998E-2</v>
      </c>
      <c r="P1515">
        <v>4.8546854E-2</v>
      </c>
      <c r="Q1515" t="str">
        <f t="shared" si="46"/>
        <v>01-09</v>
      </c>
      <c r="R1515" t="str">
        <f t="shared" si="47"/>
        <v>[ul0y9diGujK]|01-09|Female|PLHIV_Residents.T_1|CY2024Q3</v>
      </c>
    </row>
    <row r="1516" spans="4:18" x14ac:dyDescent="0.2">
      <c r="D1516" t="s">
        <v>126</v>
      </c>
      <c r="E1516" t="s">
        <v>127</v>
      </c>
      <c r="F1516" t="s">
        <v>128</v>
      </c>
      <c r="G1516" t="s">
        <v>143</v>
      </c>
      <c r="H1516" t="s">
        <v>144</v>
      </c>
      <c r="I1516" t="s">
        <v>36</v>
      </c>
      <c r="J1516" t="s">
        <v>37</v>
      </c>
      <c r="K1516" t="s">
        <v>30</v>
      </c>
      <c r="L1516" t="s">
        <v>31</v>
      </c>
      <c r="M1516" t="s">
        <v>140</v>
      </c>
      <c r="N1516">
        <v>843</v>
      </c>
      <c r="O1516">
        <v>7.3581019999999997E-2</v>
      </c>
      <c r="P1516">
        <v>4.8546854E-2</v>
      </c>
      <c r="Q1516" t="str">
        <f t="shared" si="46"/>
        <v>10-14</v>
      </c>
      <c r="R1516" t="str">
        <f t="shared" si="47"/>
        <v>[ul0y9diGujK]|10-14|Female|PLHIV_Residents.T_1|CY2024Q3</v>
      </c>
    </row>
    <row r="1517" spans="4:18" x14ac:dyDescent="0.2">
      <c r="D1517" t="s">
        <v>126</v>
      </c>
      <c r="E1517" t="s">
        <v>127</v>
      </c>
      <c r="F1517" t="s">
        <v>128</v>
      </c>
      <c r="G1517" t="s">
        <v>143</v>
      </c>
      <c r="H1517" t="s">
        <v>144</v>
      </c>
      <c r="I1517" t="s">
        <v>38</v>
      </c>
      <c r="J1517" t="s">
        <v>39</v>
      </c>
      <c r="K1517" t="s">
        <v>30</v>
      </c>
      <c r="L1517" t="s">
        <v>31</v>
      </c>
      <c r="M1517" t="s">
        <v>140</v>
      </c>
      <c r="N1517">
        <v>3402</v>
      </c>
      <c r="O1517">
        <v>8.4700109999999995E-2</v>
      </c>
      <c r="P1517">
        <v>4.8546854E-2</v>
      </c>
      <c r="Q1517" t="str">
        <f t="shared" si="46"/>
        <v>15-24</v>
      </c>
      <c r="R1517" t="str">
        <f t="shared" si="47"/>
        <v>[ul0y9diGujK]|15-24|Female|PLHIV_Residents.T_1|CY2024Q3</v>
      </c>
    </row>
    <row r="1518" spans="4:18" x14ac:dyDescent="0.2">
      <c r="D1518" t="s">
        <v>126</v>
      </c>
      <c r="E1518" t="s">
        <v>127</v>
      </c>
      <c r="F1518" t="s">
        <v>128</v>
      </c>
      <c r="G1518" t="s">
        <v>143</v>
      </c>
      <c r="H1518" t="s">
        <v>144</v>
      </c>
      <c r="I1518" t="s">
        <v>41</v>
      </c>
      <c r="J1518" t="s">
        <v>42</v>
      </c>
      <c r="K1518" t="s">
        <v>30</v>
      </c>
      <c r="L1518" t="s">
        <v>31</v>
      </c>
      <c r="M1518" t="s">
        <v>140</v>
      </c>
      <c r="N1518">
        <v>8216</v>
      </c>
      <c r="O1518">
        <v>6.5170488999999998E-2</v>
      </c>
      <c r="P1518">
        <v>4.8546854E-2</v>
      </c>
      <c r="Q1518" t="str">
        <f t="shared" si="46"/>
        <v>25-34</v>
      </c>
      <c r="R1518" t="str">
        <f t="shared" si="47"/>
        <v>[ul0y9diGujK]|25-34|Female|PLHIV_Residents.T_1|CY2024Q3</v>
      </c>
    </row>
    <row r="1519" spans="4:18" x14ac:dyDescent="0.2">
      <c r="D1519" t="s">
        <v>126</v>
      </c>
      <c r="E1519" t="s">
        <v>127</v>
      </c>
      <c r="F1519" t="s">
        <v>128</v>
      </c>
      <c r="G1519" t="s">
        <v>143</v>
      </c>
      <c r="H1519" t="s">
        <v>144</v>
      </c>
      <c r="I1519" t="s">
        <v>43</v>
      </c>
      <c r="J1519" t="s">
        <v>44</v>
      </c>
      <c r="K1519" t="s">
        <v>30</v>
      </c>
      <c r="L1519" t="s">
        <v>31</v>
      </c>
      <c r="M1519" t="s">
        <v>140</v>
      </c>
      <c r="N1519">
        <v>21434</v>
      </c>
      <c r="O1519">
        <v>4.7338440000000002E-2</v>
      </c>
      <c r="P1519">
        <v>4.8546854E-2</v>
      </c>
      <c r="Q1519" t="str">
        <f t="shared" si="46"/>
        <v>35-49</v>
      </c>
      <c r="R1519" t="str">
        <f t="shared" si="47"/>
        <v>[ul0y9diGujK]|35-49|Female|PLHIV_Residents.T_1|CY2024Q3</v>
      </c>
    </row>
    <row r="1520" spans="4:18" x14ac:dyDescent="0.2">
      <c r="D1520" t="s">
        <v>126</v>
      </c>
      <c r="E1520" t="s">
        <v>127</v>
      </c>
      <c r="F1520" t="s">
        <v>128</v>
      </c>
      <c r="G1520" t="s">
        <v>143</v>
      </c>
      <c r="H1520" t="s">
        <v>144</v>
      </c>
      <c r="I1520" t="s">
        <v>45</v>
      </c>
      <c r="J1520" t="s">
        <v>46</v>
      </c>
      <c r="K1520" t="s">
        <v>30</v>
      </c>
      <c r="L1520" t="s">
        <v>31</v>
      </c>
      <c r="M1520" t="s">
        <v>140</v>
      </c>
      <c r="N1520">
        <v>10801</v>
      </c>
      <c r="O1520">
        <v>5.5228811000000003E-2</v>
      </c>
      <c r="P1520">
        <v>4.8546854E-2</v>
      </c>
      <c r="Q1520" t="str">
        <f t="shared" si="46"/>
        <v>50+</v>
      </c>
      <c r="R1520" t="str">
        <f t="shared" si="47"/>
        <v>[ul0y9diGujK]|50+|Female|PLHIV_Residents.T_1|CY2024Q3</v>
      </c>
    </row>
    <row r="1521" spans="4:18" x14ac:dyDescent="0.2">
      <c r="D1521" t="s">
        <v>126</v>
      </c>
      <c r="E1521" t="s">
        <v>127</v>
      </c>
      <c r="F1521" t="s">
        <v>128</v>
      </c>
      <c r="G1521" t="s">
        <v>143</v>
      </c>
      <c r="H1521" t="s">
        <v>144</v>
      </c>
      <c r="I1521" t="s">
        <v>28</v>
      </c>
      <c r="J1521" t="s">
        <v>29</v>
      </c>
      <c r="K1521" t="s">
        <v>48</v>
      </c>
      <c r="L1521" t="s">
        <v>49</v>
      </c>
      <c r="M1521" t="s">
        <v>140</v>
      </c>
      <c r="N1521">
        <v>37</v>
      </c>
      <c r="O1521">
        <v>5.4073554000000003E-2</v>
      </c>
      <c r="P1521">
        <v>4.8546854E-2</v>
      </c>
      <c r="Q1521" t="str">
        <f t="shared" si="46"/>
        <v>&lt;01</v>
      </c>
      <c r="R1521" t="str">
        <f t="shared" si="47"/>
        <v>[ul0y9diGujK]|&lt;01|Male|PLHIV_Residents.T_1|CY2024Q3</v>
      </c>
    </row>
    <row r="1522" spans="4:18" x14ac:dyDescent="0.2">
      <c r="D1522" t="s">
        <v>126</v>
      </c>
      <c r="E1522" t="s">
        <v>127</v>
      </c>
      <c r="F1522" t="s">
        <v>128</v>
      </c>
      <c r="G1522" t="s">
        <v>143</v>
      </c>
      <c r="H1522" t="s">
        <v>144</v>
      </c>
      <c r="I1522" t="s">
        <v>33</v>
      </c>
      <c r="J1522" t="s">
        <v>34</v>
      </c>
      <c r="K1522" t="s">
        <v>48</v>
      </c>
      <c r="L1522" t="s">
        <v>49</v>
      </c>
      <c r="M1522" t="s">
        <v>140</v>
      </c>
      <c r="N1522">
        <v>686</v>
      </c>
      <c r="O1522">
        <v>6.2480616000000003E-2</v>
      </c>
      <c r="P1522">
        <v>4.8546854E-2</v>
      </c>
      <c r="Q1522" t="str">
        <f t="shared" si="46"/>
        <v>01-09</v>
      </c>
      <c r="R1522" t="str">
        <f t="shared" si="47"/>
        <v>[ul0y9diGujK]|01-09|Male|PLHIV_Residents.T_1|CY2024Q3</v>
      </c>
    </row>
    <row r="1523" spans="4:18" x14ac:dyDescent="0.2">
      <c r="D1523" t="s">
        <v>126</v>
      </c>
      <c r="E1523" t="s">
        <v>127</v>
      </c>
      <c r="F1523" t="s">
        <v>128</v>
      </c>
      <c r="G1523" t="s">
        <v>143</v>
      </c>
      <c r="H1523" t="s">
        <v>144</v>
      </c>
      <c r="I1523" t="s">
        <v>36</v>
      </c>
      <c r="J1523" t="s">
        <v>37</v>
      </c>
      <c r="K1523" t="s">
        <v>48</v>
      </c>
      <c r="L1523" t="s">
        <v>49</v>
      </c>
      <c r="M1523" t="s">
        <v>140</v>
      </c>
      <c r="N1523">
        <v>853</v>
      </c>
      <c r="O1523">
        <v>7.3578748999999999E-2</v>
      </c>
      <c r="P1523">
        <v>4.8546854E-2</v>
      </c>
      <c r="Q1523" t="str">
        <f t="shared" si="46"/>
        <v>10-14</v>
      </c>
      <c r="R1523" t="str">
        <f t="shared" si="47"/>
        <v>[ul0y9diGujK]|10-14|Male|PLHIV_Residents.T_1|CY2024Q3</v>
      </c>
    </row>
    <row r="1524" spans="4:18" x14ac:dyDescent="0.2">
      <c r="D1524" t="s">
        <v>126</v>
      </c>
      <c r="E1524" t="s">
        <v>127</v>
      </c>
      <c r="F1524" t="s">
        <v>128</v>
      </c>
      <c r="G1524" t="s">
        <v>143</v>
      </c>
      <c r="H1524" t="s">
        <v>144</v>
      </c>
      <c r="I1524" t="s">
        <v>38</v>
      </c>
      <c r="J1524" t="s">
        <v>39</v>
      </c>
      <c r="K1524" t="s">
        <v>48</v>
      </c>
      <c r="L1524" t="s">
        <v>49</v>
      </c>
      <c r="M1524" t="s">
        <v>140</v>
      </c>
      <c r="N1524">
        <v>2384</v>
      </c>
      <c r="O1524">
        <v>9.3495911000000001E-2</v>
      </c>
      <c r="P1524">
        <v>4.8546854E-2</v>
      </c>
      <c r="Q1524" t="str">
        <f t="shared" si="46"/>
        <v>15-24</v>
      </c>
      <c r="R1524" t="str">
        <f t="shared" si="47"/>
        <v>[ul0y9diGujK]|15-24|Male|PLHIV_Residents.T_1|CY2024Q3</v>
      </c>
    </row>
    <row r="1525" spans="4:18" x14ac:dyDescent="0.2">
      <c r="D1525" t="s">
        <v>126</v>
      </c>
      <c r="E1525" t="s">
        <v>127</v>
      </c>
      <c r="F1525" t="s">
        <v>128</v>
      </c>
      <c r="G1525" t="s">
        <v>143</v>
      </c>
      <c r="H1525" t="s">
        <v>144</v>
      </c>
      <c r="I1525" t="s">
        <v>41</v>
      </c>
      <c r="J1525" t="s">
        <v>42</v>
      </c>
      <c r="K1525" t="s">
        <v>48</v>
      </c>
      <c r="L1525" t="s">
        <v>49</v>
      </c>
      <c r="M1525" t="s">
        <v>140</v>
      </c>
      <c r="N1525">
        <v>2860</v>
      </c>
      <c r="O1525">
        <v>8.7462525999999999E-2</v>
      </c>
      <c r="P1525">
        <v>4.8546854E-2</v>
      </c>
      <c r="Q1525" t="str">
        <f t="shared" si="46"/>
        <v>25-34</v>
      </c>
      <c r="R1525" t="str">
        <f t="shared" si="47"/>
        <v>[ul0y9diGujK]|25-34|Male|PLHIV_Residents.T_1|CY2024Q3</v>
      </c>
    </row>
    <row r="1526" spans="4:18" x14ac:dyDescent="0.2">
      <c r="D1526" t="s">
        <v>126</v>
      </c>
      <c r="E1526" t="s">
        <v>127</v>
      </c>
      <c r="F1526" t="s">
        <v>128</v>
      </c>
      <c r="G1526" t="s">
        <v>143</v>
      </c>
      <c r="H1526" t="s">
        <v>144</v>
      </c>
      <c r="I1526" t="s">
        <v>43</v>
      </c>
      <c r="J1526" t="s">
        <v>44</v>
      </c>
      <c r="K1526" t="s">
        <v>48</v>
      </c>
      <c r="L1526" t="s">
        <v>49</v>
      </c>
      <c r="M1526" t="s">
        <v>140</v>
      </c>
      <c r="N1526">
        <v>10327</v>
      </c>
      <c r="O1526">
        <v>5.5665287000000001E-2</v>
      </c>
      <c r="P1526">
        <v>4.8546854E-2</v>
      </c>
      <c r="Q1526" t="str">
        <f t="shared" si="46"/>
        <v>35-49</v>
      </c>
      <c r="R1526" t="str">
        <f t="shared" si="47"/>
        <v>[ul0y9diGujK]|35-49|Male|PLHIV_Residents.T_1|CY2024Q3</v>
      </c>
    </row>
    <row r="1527" spans="4:18" x14ac:dyDescent="0.2">
      <c r="D1527" t="s">
        <v>126</v>
      </c>
      <c r="E1527" t="s">
        <v>127</v>
      </c>
      <c r="F1527" t="s">
        <v>128</v>
      </c>
      <c r="G1527" t="s">
        <v>143</v>
      </c>
      <c r="H1527" t="s">
        <v>144</v>
      </c>
      <c r="I1527" t="s">
        <v>45</v>
      </c>
      <c r="J1527" t="s">
        <v>46</v>
      </c>
      <c r="K1527" t="s">
        <v>48</v>
      </c>
      <c r="L1527" t="s">
        <v>49</v>
      </c>
      <c r="M1527" t="s">
        <v>140</v>
      </c>
      <c r="N1527">
        <v>7943</v>
      </c>
      <c r="O1527">
        <v>5.3427424000000001E-2</v>
      </c>
      <c r="P1527">
        <v>4.8546854E-2</v>
      </c>
      <c r="Q1527" t="str">
        <f t="shared" si="46"/>
        <v>50+</v>
      </c>
      <c r="R1527" t="str">
        <f t="shared" si="47"/>
        <v>[ul0y9diGujK]|50+|Male|PLHIV_Residents.T_1|CY2024Q3</v>
      </c>
    </row>
    <row r="1528" spans="4:18" x14ac:dyDescent="0.2">
      <c r="D1528" t="s">
        <v>129</v>
      </c>
      <c r="E1528" t="s">
        <v>130</v>
      </c>
      <c r="F1528" t="s">
        <v>131</v>
      </c>
      <c r="G1528" t="s">
        <v>143</v>
      </c>
      <c r="H1528" t="s">
        <v>144</v>
      </c>
      <c r="I1528" t="s">
        <v>28</v>
      </c>
      <c r="J1528" t="s">
        <v>29</v>
      </c>
      <c r="K1528" t="s">
        <v>30</v>
      </c>
      <c r="L1528" t="s">
        <v>31</v>
      </c>
      <c r="M1528" t="s">
        <v>140</v>
      </c>
      <c r="N1528">
        <v>23</v>
      </c>
      <c r="O1528">
        <v>5.8531587000000003E-2</v>
      </c>
      <c r="P1528">
        <v>5.4690228E-2</v>
      </c>
      <c r="Q1528" t="str">
        <f t="shared" si="46"/>
        <v>&lt;01</v>
      </c>
      <c r="R1528" t="str">
        <f t="shared" si="47"/>
        <v>[U8c0so51kT6]|&lt;01|Female|PLHIV_Residents.T_1|CY2024Q3</v>
      </c>
    </row>
    <row r="1529" spans="4:18" x14ac:dyDescent="0.2">
      <c r="D1529" t="s">
        <v>129</v>
      </c>
      <c r="E1529" t="s">
        <v>130</v>
      </c>
      <c r="F1529" t="s">
        <v>131</v>
      </c>
      <c r="G1529" t="s">
        <v>143</v>
      </c>
      <c r="H1529" t="s">
        <v>144</v>
      </c>
      <c r="I1529" t="s">
        <v>33</v>
      </c>
      <c r="J1529" t="s">
        <v>34</v>
      </c>
      <c r="K1529" t="s">
        <v>30</v>
      </c>
      <c r="L1529" t="s">
        <v>31</v>
      </c>
      <c r="M1529" t="s">
        <v>140</v>
      </c>
      <c r="N1529">
        <v>450</v>
      </c>
      <c r="O1529">
        <v>6.1938856E-2</v>
      </c>
      <c r="P1529">
        <v>5.4690228E-2</v>
      </c>
      <c r="Q1529" t="str">
        <f t="shared" si="46"/>
        <v>01-09</v>
      </c>
      <c r="R1529" t="str">
        <f t="shared" si="47"/>
        <v>[U8c0so51kT6]|01-09|Female|PLHIV_Residents.T_1|CY2024Q3</v>
      </c>
    </row>
    <row r="1530" spans="4:18" x14ac:dyDescent="0.2">
      <c r="D1530" t="s">
        <v>129</v>
      </c>
      <c r="E1530" t="s">
        <v>130</v>
      </c>
      <c r="F1530" t="s">
        <v>131</v>
      </c>
      <c r="G1530" t="s">
        <v>143</v>
      </c>
      <c r="H1530" t="s">
        <v>144</v>
      </c>
      <c r="I1530" t="s">
        <v>36</v>
      </c>
      <c r="J1530" t="s">
        <v>37</v>
      </c>
      <c r="K1530" t="s">
        <v>30</v>
      </c>
      <c r="L1530" t="s">
        <v>31</v>
      </c>
      <c r="M1530" t="s">
        <v>140</v>
      </c>
      <c r="N1530">
        <v>535</v>
      </c>
      <c r="O1530">
        <v>6.6345477E-2</v>
      </c>
      <c r="P1530">
        <v>5.4690228E-2</v>
      </c>
      <c r="Q1530" t="str">
        <f t="shared" si="46"/>
        <v>10-14</v>
      </c>
      <c r="R1530" t="str">
        <f t="shared" si="47"/>
        <v>[U8c0so51kT6]|10-14|Female|PLHIV_Residents.T_1|CY2024Q3</v>
      </c>
    </row>
    <row r="1531" spans="4:18" x14ac:dyDescent="0.2">
      <c r="D1531" t="s">
        <v>129</v>
      </c>
      <c r="E1531" t="s">
        <v>130</v>
      </c>
      <c r="F1531" t="s">
        <v>131</v>
      </c>
      <c r="G1531" t="s">
        <v>143</v>
      </c>
      <c r="H1531" t="s">
        <v>144</v>
      </c>
      <c r="I1531" t="s">
        <v>38</v>
      </c>
      <c r="J1531" t="s">
        <v>39</v>
      </c>
      <c r="K1531" t="s">
        <v>30</v>
      </c>
      <c r="L1531" t="s">
        <v>31</v>
      </c>
      <c r="M1531" t="s">
        <v>140</v>
      </c>
      <c r="N1531">
        <v>1861</v>
      </c>
      <c r="O1531">
        <v>8.4984877E-2</v>
      </c>
      <c r="P1531">
        <v>5.4690228E-2</v>
      </c>
      <c r="Q1531" t="str">
        <f t="shared" si="46"/>
        <v>15-24</v>
      </c>
      <c r="R1531" t="str">
        <f t="shared" si="47"/>
        <v>[U8c0so51kT6]|15-24|Female|PLHIV_Residents.T_1|CY2024Q3</v>
      </c>
    </row>
    <row r="1532" spans="4:18" x14ac:dyDescent="0.2">
      <c r="D1532" t="s">
        <v>129</v>
      </c>
      <c r="E1532" t="s">
        <v>130</v>
      </c>
      <c r="F1532" t="s">
        <v>131</v>
      </c>
      <c r="G1532" t="s">
        <v>143</v>
      </c>
      <c r="H1532" t="s">
        <v>144</v>
      </c>
      <c r="I1532" t="s">
        <v>41</v>
      </c>
      <c r="J1532" t="s">
        <v>42</v>
      </c>
      <c r="K1532" t="s">
        <v>30</v>
      </c>
      <c r="L1532" t="s">
        <v>31</v>
      </c>
      <c r="M1532" t="s">
        <v>140</v>
      </c>
      <c r="N1532">
        <v>4676</v>
      </c>
      <c r="O1532">
        <v>7.0619071000000005E-2</v>
      </c>
      <c r="P1532">
        <v>5.4690228E-2</v>
      </c>
      <c r="Q1532" t="str">
        <f t="shared" si="46"/>
        <v>25-34</v>
      </c>
      <c r="R1532" t="str">
        <f t="shared" si="47"/>
        <v>[U8c0so51kT6]|25-34|Female|PLHIV_Residents.T_1|CY2024Q3</v>
      </c>
    </row>
    <row r="1533" spans="4:18" x14ac:dyDescent="0.2">
      <c r="D1533" t="s">
        <v>129</v>
      </c>
      <c r="E1533" t="s">
        <v>130</v>
      </c>
      <c r="F1533" t="s">
        <v>131</v>
      </c>
      <c r="G1533" t="s">
        <v>143</v>
      </c>
      <c r="H1533" t="s">
        <v>144</v>
      </c>
      <c r="I1533" t="s">
        <v>43</v>
      </c>
      <c r="J1533" t="s">
        <v>44</v>
      </c>
      <c r="K1533" t="s">
        <v>30</v>
      </c>
      <c r="L1533" t="s">
        <v>31</v>
      </c>
      <c r="M1533" t="s">
        <v>140</v>
      </c>
      <c r="N1533">
        <v>11333</v>
      </c>
      <c r="O1533">
        <v>5.5153292E-2</v>
      </c>
      <c r="P1533">
        <v>5.4690228E-2</v>
      </c>
      <c r="Q1533" t="str">
        <f t="shared" si="46"/>
        <v>35-49</v>
      </c>
      <c r="R1533" t="str">
        <f t="shared" si="47"/>
        <v>[U8c0so51kT6]|35-49|Female|PLHIV_Residents.T_1|CY2024Q3</v>
      </c>
    </row>
    <row r="1534" spans="4:18" x14ac:dyDescent="0.2">
      <c r="D1534" t="s">
        <v>129</v>
      </c>
      <c r="E1534" t="s">
        <v>130</v>
      </c>
      <c r="F1534" t="s">
        <v>131</v>
      </c>
      <c r="G1534" t="s">
        <v>143</v>
      </c>
      <c r="H1534" t="s">
        <v>144</v>
      </c>
      <c r="I1534" t="s">
        <v>45</v>
      </c>
      <c r="J1534" t="s">
        <v>46</v>
      </c>
      <c r="K1534" t="s">
        <v>30</v>
      </c>
      <c r="L1534" t="s">
        <v>31</v>
      </c>
      <c r="M1534" t="s">
        <v>140</v>
      </c>
      <c r="N1534">
        <v>5311</v>
      </c>
      <c r="O1534">
        <v>6.2069196E-2</v>
      </c>
      <c r="P1534">
        <v>5.4690228E-2</v>
      </c>
      <c r="Q1534" t="str">
        <f t="shared" si="46"/>
        <v>50+</v>
      </c>
      <c r="R1534" t="str">
        <f t="shared" si="47"/>
        <v>[U8c0so51kT6]|50+|Female|PLHIV_Residents.T_1|CY2024Q3</v>
      </c>
    </row>
    <row r="1535" spans="4:18" x14ac:dyDescent="0.2">
      <c r="D1535" t="s">
        <v>129</v>
      </c>
      <c r="E1535" t="s">
        <v>130</v>
      </c>
      <c r="F1535" t="s">
        <v>131</v>
      </c>
      <c r="G1535" t="s">
        <v>143</v>
      </c>
      <c r="H1535" t="s">
        <v>144</v>
      </c>
      <c r="I1535" t="s">
        <v>28</v>
      </c>
      <c r="J1535" t="s">
        <v>29</v>
      </c>
      <c r="K1535" t="s">
        <v>48</v>
      </c>
      <c r="L1535" t="s">
        <v>49</v>
      </c>
      <c r="M1535" t="s">
        <v>140</v>
      </c>
      <c r="N1535">
        <v>23</v>
      </c>
      <c r="O1535">
        <v>5.8515875000000002E-2</v>
      </c>
      <c r="P1535">
        <v>5.4690228E-2</v>
      </c>
      <c r="Q1535" t="str">
        <f t="shared" si="46"/>
        <v>&lt;01</v>
      </c>
      <c r="R1535" t="str">
        <f t="shared" si="47"/>
        <v>[U8c0so51kT6]|&lt;01|Male|PLHIV_Residents.T_1|CY2024Q3</v>
      </c>
    </row>
    <row r="1536" spans="4:18" x14ac:dyDescent="0.2">
      <c r="D1536" t="s">
        <v>129</v>
      </c>
      <c r="E1536" t="s">
        <v>130</v>
      </c>
      <c r="F1536" t="s">
        <v>131</v>
      </c>
      <c r="G1536" t="s">
        <v>143</v>
      </c>
      <c r="H1536" t="s">
        <v>144</v>
      </c>
      <c r="I1536" t="s">
        <v>33</v>
      </c>
      <c r="J1536" t="s">
        <v>34</v>
      </c>
      <c r="K1536" t="s">
        <v>48</v>
      </c>
      <c r="L1536" t="s">
        <v>49</v>
      </c>
      <c r="M1536" t="s">
        <v>140</v>
      </c>
      <c r="N1536">
        <v>454</v>
      </c>
      <c r="O1536">
        <v>6.1929907999999999E-2</v>
      </c>
      <c r="P1536">
        <v>5.4690228E-2</v>
      </c>
      <c r="Q1536" t="str">
        <f t="shared" si="46"/>
        <v>01-09</v>
      </c>
      <c r="R1536" t="str">
        <f t="shared" si="47"/>
        <v>[U8c0so51kT6]|01-09|Male|PLHIV_Residents.T_1|CY2024Q3</v>
      </c>
    </row>
    <row r="1537" spans="4:18" x14ac:dyDescent="0.2">
      <c r="D1537" t="s">
        <v>129</v>
      </c>
      <c r="E1537" t="s">
        <v>130</v>
      </c>
      <c r="F1537" t="s">
        <v>131</v>
      </c>
      <c r="G1537" t="s">
        <v>143</v>
      </c>
      <c r="H1537" t="s">
        <v>144</v>
      </c>
      <c r="I1537" t="s">
        <v>36</v>
      </c>
      <c r="J1537" t="s">
        <v>37</v>
      </c>
      <c r="K1537" t="s">
        <v>48</v>
      </c>
      <c r="L1537" t="s">
        <v>49</v>
      </c>
      <c r="M1537" t="s">
        <v>140</v>
      </c>
      <c r="N1537">
        <v>540</v>
      </c>
      <c r="O1537">
        <v>6.6344395E-2</v>
      </c>
      <c r="P1537">
        <v>5.4690228E-2</v>
      </c>
      <c r="Q1537" t="str">
        <f t="shared" si="46"/>
        <v>10-14</v>
      </c>
      <c r="R1537" t="str">
        <f t="shared" si="47"/>
        <v>[U8c0so51kT6]|10-14|Male|PLHIV_Residents.T_1|CY2024Q3</v>
      </c>
    </row>
    <row r="1538" spans="4:18" x14ac:dyDescent="0.2">
      <c r="D1538" t="s">
        <v>129</v>
      </c>
      <c r="E1538" t="s">
        <v>130</v>
      </c>
      <c r="F1538" t="s">
        <v>131</v>
      </c>
      <c r="G1538" t="s">
        <v>143</v>
      </c>
      <c r="H1538" t="s">
        <v>144</v>
      </c>
      <c r="I1538" t="s">
        <v>38</v>
      </c>
      <c r="J1538" t="s">
        <v>39</v>
      </c>
      <c r="K1538" t="s">
        <v>48</v>
      </c>
      <c r="L1538" t="s">
        <v>49</v>
      </c>
      <c r="M1538" t="s">
        <v>140</v>
      </c>
      <c r="N1538">
        <v>1299</v>
      </c>
      <c r="O1538">
        <v>8.9506960999999996E-2</v>
      </c>
      <c r="P1538">
        <v>5.4690228E-2</v>
      </c>
      <c r="Q1538" t="str">
        <f t="shared" si="46"/>
        <v>15-24</v>
      </c>
      <c r="R1538" t="str">
        <f t="shared" si="47"/>
        <v>[U8c0so51kT6]|15-24|Male|PLHIV_Residents.T_1|CY2024Q3</v>
      </c>
    </row>
    <row r="1539" spans="4:18" x14ac:dyDescent="0.2">
      <c r="D1539" t="s">
        <v>129</v>
      </c>
      <c r="E1539" t="s">
        <v>130</v>
      </c>
      <c r="F1539" t="s">
        <v>131</v>
      </c>
      <c r="G1539" t="s">
        <v>143</v>
      </c>
      <c r="H1539" t="s">
        <v>144</v>
      </c>
      <c r="I1539" t="s">
        <v>41</v>
      </c>
      <c r="J1539" t="s">
        <v>42</v>
      </c>
      <c r="K1539" t="s">
        <v>48</v>
      </c>
      <c r="L1539" t="s">
        <v>49</v>
      </c>
      <c r="M1539" t="s">
        <v>140</v>
      </c>
      <c r="N1539">
        <v>1699</v>
      </c>
      <c r="O1539">
        <v>9.2316908000000003E-2</v>
      </c>
      <c r="P1539">
        <v>5.4690228E-2</v>
      </c>
      <c r="Q1539" t="str">
        <f t="shared" ref="Q1539:Q1602" si="48">SUBSTITUTE(SUBSTITUTE($I1539,CHAR(61),""),CHAR(34),"")</f>
        <v>25-34</v>
      </c>
      <c r="R1539" t="str">
        <f t="shared" ref="R1539:R1602" si="49">IF($D1539&lt;&gt;"","["&amp;$E1539&amp;"]"&amp;"|"&amp;$Q1539&amp;"|"&amp;$K1539&amp;"|"&amp;$G1539&amp;"|"&amp;IF($G1539="TX_CURR_SUBNAT.R","CY2023Q4",$M1539),"")</f>
        <v>[U8c0so51kT6]|25-34|Male|PLHIV_Residents.T_1|CY2024Q3</v>
      </c>
    </row>
    <row r="1540" spans="4:18" x14ac:dyDescent="0.2">
      <c r="D1540" t="s">
        <v>129</v>
      </c>
      <c r="E1540" t="s">
        <v>130</v>
      </c>
      <c r="F1540" t="s">
        <v>131</v>
      </c>
      <c r="G1540" t="s">
        <v>143</v>
      </c>
      <c r="H1540" t="s">
        <v>144</v>
      </c>
      <c r="I1540" t="s">
        <v>43</v>
      </c>
      <c r="J1540" t="s">
        <v>44</v>
      </c>
      <c r="K1540" t="s">
        <v>48</v>
      </c>
      <c r="L1540" t="s">
        <v>49</v>
      </c>
      <c r="M1540" t="s">
        <v>140</v>
      </c>
      <c r="N1540">
        <v>6287</v>
      </c>
      <c r="O1540">
        <v>6.2426452E-2</v>
      </c>
      <c r="P1540">
        <v>5.4690228E-2</v>
      </c>
      <c r="Q1540" t="str">
        <f t="shared" si="48"/>
        <v>35-49</v>
      </c>
      <c r="R1540" t="str">
        <f t="shared" si="49"/>
        <v>[U8c0so51kT6]|35-49|Male|PLHIV_Residents.T_1|CY2024Q3</v>
      </c>
    </row>
    <row r="1541" spans="4:18" x14ac:dyDescent="0.2">
      <c r="D1541" t="s">
        <v>129</v>
      </c>
      <c r="E1541" t="s">
        <v>130</v>
      </c>
      <c r="F1541" t="s">
        <v>131</v>
      </c>
      <c r="G1541" t="s">
        <v>143</v>
      </c>
      <c r="H1541" t="s">
        <v>144</v>
      </c>
      <c r="I1541" t="s">
        <v>45</v>
      </c>
      <c r="J1541" t="s">
        <v>46</v>
      </c>
      <c r="K1541" t="s">
        <v>48</v>
      </c>
      <c r="L1541" t="s">
        <v>49</v>
      </c>
      <c r="M1541" t="s">
        <v>140</v>
      </c>
      <c r="N1541">
        <v>4629</v>
      </c>
      <c r="O1541">
        <v>5.8755887E-2</v>
      </c>
      <c r="P1541">
        <v>5.4690228E-2</v>
      </c>
      <c r="Q1541" t="str">
        <f t="shared" si="48"/>
        <v>50+</v>
      </c>
      <c r="R1541" t="str">
        <f t="shared" si="49"/>
        <v>[U8c0so51kT6]|50+|Male|PLHIV_Residents.T_1|CY2024Q3</v>
      </c>
    </row>
    <row r="1542" spans="4:18" x14ac:dyDescent="0.2">
      <c r="D1542" t="s">
        <v>132</v>
      </c>
      <c r="E1542" t="s">
        <v>133</v>
      </c>
      <c r="F1542" t="s">
        <v>134</v>
      </c>
      <c r="G1542" t="s">
        <v>143</v>
      </c>
      <c r="H1542" t="s">
        <v>144</v>
      </c>
      <c r="I1542" t="s">
        <v>28</v>
      </c>
      <c r="J1542" t="s">
        <v>29</v>
      </c>
      <c r="K1542" t="s">
        <v>30</v>
      </c>
      <c r="L1542" t="s">
        <v>31</v>
      </c>
      <c r="M1542" t="s">
        <v>140</v>
      </c>
      <c r="N1542">
        <v>13</v>
      </c>
      <c r="O1542">
        <v>7.4202812000000007E-2</v>
      </c>
      <c r="P1542">
        <v>7.4389829000000005E-2</v>
      </c>
      <c r="Q1542" t="str">
        <f t="shared" si="48"/>
        <v>&lt;01</v>
      </c>
      <c r="R1542" t="str">
        <f t="shared" si="49"/>
        <v>[rpw540fmNUz]|&lt;01|Female|PLHIV_Residents.T_1|CY2024Q3</v>
      </c>
    </row>
    <row r="1543" spans="4:18" x14ac:dyDescent="0.2">
      <c r="D1543" t="s">
        <v>132</v>
      </c>
      <c r="E1543" t="s">
        <v>133</v>
      </c>
      <c r="F1543" t="s">
        <v>134</v>
      </c>
      <c r="G1543" t="s">
        <v>143</v>
      </c>
      <c r="H1543" t="s">
        <v>144</v>
      </c>
      <c r="I1543" t="s">
        <v>33</v>
      </c>
      <c r="J1543" t="s">
        <v>34</v>
      </c>
      <c r="K1543" t="s">
        <v>30</v>
      </c>
      <c r="L1543" t="s">
        <v>31</v>
      </c>
      <c r="M1543" t="s">
        <v>140</v>
      </c>
      <c r="N1543">
        <v>261</v>
      </c>
      <c r="O1543">
        <v>7.7446609999999999E-2</v>
      </c>
      <c r="P1543">
        <v>7.4389829000000005E-2</v>
      </c>
      <c r="Q1543" t="str">
        <f t="shared" si="48"/>
        <v>01-09</v>
      </c>
      <c r="R1543" t="str">
        <f t="shared" si="49"/>
        <v>[rpw540fmNUz]|01-09|Female|PLHIV_Residents.T_1|CY2024Q3</v>
      </c>
    </row>
    <row r="1544" spans="4:18" x14ac:dyDescent="0.2">
      <c r="D1544" t="s">
        <v>132</v>
      </c>
      <c r="E1544" t="s">
        <v>133</v>
      </c>
      <c r="F1544" t="s">
        <v>134</v>
      </c>
      <c r="G1544" t="s">
        <v>143</v>
      </c>
      <c r="H1544" t="s">
        <v>144</v>
      </c>
      <c r="I1544" t="s">
        <v>36</v>
      </c>
      <c r="J1544" t="s">
        <v>37</v>
      </c>
      <c r="K1544" t="s">
        <v>30</v>
      </c>
      <c r="L1544" t="s">
        <v>31</v>
      </c>
      <c r="M1544" t="s">
        <v>140</v>
      </c>
      <c r="N1544">
        <v>316</v>
      </c>
      <c r="O1544">
        <v>8.1651650000000006E-2</v>
      </c>
      <c r="P1544">
        <v>7.4389829000000005E-2</v>
      </c>
      <c r="Q1544" t="str">
        <f t="shared" si="48"/>
        <v>10-14</v>
      </c>
      <c r="R1544" t="str">
        <f t="shared" si="49"/>
        <v>[rpw540fmNUz]|10-14|Female|PLHIV_Residents.T_1|CY2024Q3</v>
      </c>
    </row>
    <row r="1545" spans="4:18" x14ac:dyDescent="0.2">
      <c r="D1545" t="s">
        <v>132</v>
      </c>
      <c r="E1545" t="s">
        <v>133</v>
      </c>
      <c r="F1545" t="s">
        <v>134</v>
      </c>
      <c r="G1545" t="s">
        <v>143</v>
      </c>
      <c r="H1545" t="s">
        <v>144</v>
      </c>
      <c r="I1545" t="s">
        <v>38</v>
      </c>
      <c r="J1545" t="s">
        <v>39</v>
      </c>
      <c r="K1545" t="s">
        <v>30</v>
      </c>
      <c r="L1545" t="s">
        <v>31</v>
      </c>
      <c r="M1545" t="s">
        <v>140</v>
      </c>
      <c r="N1545">
        <v>1079</v>
      </c>
      <c r="O1545">
        <v>0.101214416</v>
      </c>
      <c r="P1545">
        <v>7.4389829000000005E-2</v>
      </c>
      <c r="Q1545" t="str">
        <f t="shared" si="48"/>
        <v>15-24</v>
      </c>
      <c r="R1545" t="str">
        <f t="shared" si="49"/>
        <v>[rpw540fmNUz]|15-24|Female|PLHIV_Residents.T_1|CY2024Q3</v>
      </c>
    </row>
    <row r="1546" spans="4:18" x14ac:dyDescent="0.2">
      <c r="D1546" t="s">
        <v>132</v>
      </c>
      <c r="E1546" t="s">
        <v>133</v>
      </c>
      <c r="F1546" t="s">
        <v>134</v>
      </c>
      <c r="G1546" t="s">
        <v>143</v>
      </c>
      <c r="H1546" t="s">
        <v>144</v>
      </c>
      <c r="I1546" t="s">
        <v>41</v>
      </c>
      <c r="J1546" t="s">
        <v>42</v>
      </c>
      <c r="K1546" t="s">
        <v>30</v>
      </c>
      <c r="L1546" t="s">
        <v>31</v>
      </c>
      <c r="M1546" t="s">
        <v>140</v>
      </c>
      <c r="N1546">
        <v>2614</v>
      </c>
      <c r="O1546">
        <v>8.7954436999999996E-2</v>
      </c>
      <c r="P1546">
        <v>7.4389829000000005E-2</v>
      </c>
      <c r="Q1546" t="str">
        <f t="shared" si="48"/>
        <v>25-34</v>
      </c>
      <c r="R1546" t="str">
        <f t="shared" si="49"/>
        <v>[rpw540fmNUz]|25-34|Female|PLHIV_Residents.T_1|CY2024Q3</v>
      </c>
    </row>
    <row r="1547" spans="4:18" x14ac:dyDescent="0.2">
      <c r="D1547" t="s">
        <v>132</v>
      </c>
      <c r="E1547" t="s">
        <v>133</v>
      </c>
      <c r="F1547" t="s">
        <v>134</v>
      </c>
      <c r="G1547" t="s">
        <v>143</v>
      </c>
      <c r="H1547" t="s">
        <v>144</v>
      </c>
      <c r="I1547" t="s">
        <v>43</v>
      </c>
      <c r="J1547" t="s">
        <v>44</v>
      </c>
      <c r="K1547" t="s">
        <v>30</v>
      </c>
      <c r="L1547" t="s">
        <v>31</v>
      </c>
      <c r="M1547" t="s">
        <v>140</v>
      </c>
      <c r="N1547">
        <v>6132</v>
      </c>
      <c r="O1547">
        <v>6.9542663000000005E-2</v>
      </c>
      <c r="P1547">
        <v>7.4389829000000005E-2</v>
      </c>
      <c r="Q1547" t="str">
        <f t="shared" si="48"/>
        <v>35-49</v>
      </c>
      <c r="R1547" t="str">
        <f t="shared" si="49"/>
        <v>[rpw540fmNUz]|35-49|Female|PLHIV_Residents.T_1|CY2024Q3</v>
      </c>
    </row>
    <row r="1548" spans="4:18" x14ac:dyDescent="0.2">
      <c r="D1548" t="s">
        <v>132</v>
      </c>
      <c r="E1548" t="s">
        <v>133</v>
      </c>
      <c r="F1548" t="s">
        <v>134</v>
      </c>
      <c r="G1548" t="s">
        <v>143</v>
      </c>
      <c r="H1548" t="s">
        <v>144</v>
      </c>
      <c r="I1548" t="s">
        <v>45</v>
      </c>
      <c r="J1548" t="s">
        <v>46</v>
      </c>
      <c r="K1548" t="s">
        <v>30</v>
      </c>
      <c r="L1548" t="s">
        <v>31</v>
      </c>
      <c r="M1548" t="s">
        <v>140</v>
      </c>
      <c r="N1548">
        <v>3188</v>
      </c>
      <c r="O1548">
        <v>8.1241146E-2</v>
      </c>
      <c r="P1548">
        <v>7.4389829000000005E-2</v>
      </c>
      <c r="Q1548" t="str">
        <f t="shared" si="48"/>
        <v>50+</v>
      </c>
      <c r="R1548" t="str">
        <f t="shared" si="49"/>
        <v>[rpw540fmNUz]|50+|Female|PLHIV_Residents.T_1|CY2024Q3</v>
      </c>
    </row>
    <row r="1549" spans="4:18" x14ac:dyDescent="0.2">
      <c r="D1549" t="s">
        <v>132</v>
      </c>
      <c r="E1549" t="s">
        <v>133</v>
      </c>
      <c r="F1549" t="s">
        <v>134</v>
      </c>
      <c r="G1549" t="s">
        <v>143</v>
      </c>
      <c r="H1549" t="s">
        <v>144</v>
      </c>
      <c r="I1549" t="s">
        <v>28</v>
      </c>
      <c r="J1549" t="s">
        <v>29</v>
      </c>
      <c r="K1549" t="s">
        <v>48</v>
      </c>
      <c r="L1549" t="s">
        <v>49</v>
      </c>
      <c r="M1549" t="s">
        <v>140</v>
      </c>
      <c r="N1549">
        <v>13</v>
      </c>
      <c r="O1549">
        <v>7.4167275000000005E-2</v>
      </c>
      <c r="P1549">
        <v>7.4389829000000005E-2</v>
      </c>
      <c r="Q1549" t="str">
        <f t="shared" si="48"/>
        <v>&lt;01</v>
      </c>
      <c r="R1549" t="str">
        <f t="shared" si="49"/>
        <v>[rpw540fmNUz]|&lt;01|Male|PLHIV_Residents.T_1|CY2024Q3</v>
      </c>
    </row>
    <row r="1550" spans="4:18" x14ac:dyDescent="0.2">
      <c r="D1550" t="s">
        <v>132</v>
      </c>
      <c r="E1550" t="s">
        <v>133</v>
      </c>
      <c r="F1550" t="s">
        <v>134</v>
      </c>
      <c r="G1550" t="s">
        <v>143</v>
      </c>
      <c r="H1550" t="s">
        <v>144</v>
      </c>
      <c r="I1550" t="s">
        <v>33</v>
      </c>
      <c r="J1550" t="s">
        <v>34</v>
      </c>
      <c r="K1550" t="s">
        <v>48</v>
      </c>
      <c r="L1550" t="s">
        <v>49</v>
      </c>
      <c r="M1550" t="s">
        <v>140</v>
      </c>
      <c r="N1550">
        <v>260</v>
      </c>
      <c r="O1550">
        <v>7.7420797E-2</v>
      </c>
      <c r="P1550">
        <v>7.4389829000000005E-2</v>
      </c>
      <c r="Q1550" t="str">
        <f t="shared" si="48"/>
        <v>01-09</v>
      </c>
      <c r="R1550" t="str">
        <f t="shared" si="49"/>
        <v>[rpw540fmNUz]|01-09|Male|PLHIV_Residents.T_1|CY2024Q3</v>
      </c>
    </row>
    <row r="1551" spans="4:18" x14ac:dyDescent="0.2">
      <c r="D1551" t="s">
        <v>132</v>
      </c>
      <c r="E1551" t="s">
        <v>133</v>
      </c>
      <c r="F1551" t="s">
        <v>134</v>
      </c>
      <c r="G1551" t="s">
        <v>143</v>
      </c>
      <c r="H1551" t="s">
        <v>144</v>
      </c>
      <c r="I1551" t="s">
        <v>36</v>
      </c>
      <c r="J1551" t="s">
        <v>37</v>
      </c>
      <c r="K1551" t="s">
        <v>48</v>
      </c>
      <c r="L1551" t="s">
        <v>49</v>
      </c>
      <c r="M1551" t="s">
        <v>140</v>
      </c>
      <c r="N1551">
        <v>317</v>
      </c>
      <c r="O1551">
        <v>8.1649984999999994E-2</v>
      </c>
      <c r="P1551">
        <v>7.4389829000000005E-2</v>
      </c>
      <c r="Q1551" t="str">
        <f t="shared" si="48"/>
        <v>10-14</v>
      </c>
      <c r="R1551" t="str">
        <f t="shared" si="49"/>
        <v>[rpw540fmNUz]|10-14|Male|PLHIV_Residents.T_1|CY2024Q3</v>
      </c>
    </row>
    <row r="1552" spans="4:18" x14ac:dyDescent="0.2">
      <c r="D1552" t="s">
        <v>132</v>
      </c>
      <c r="E1552" t="s">
        <v>133</v>
      </c>
      <c r="F1552" t="s">
        <v>134</v>
      </c>
      <c r="G1552" t="s">
        <v>143</v>
      </c>
      <c r="H1552" t="s">
        <v>144</v>
      </c>
      <c r="I1552" t="s">
        <v>38</v>
      </c>
      <c r="J1552" t="s">
        <v>39</v>
      </c>
      <c r="K1552" t="s">
        <v>48</v>
      </c>
      <c r="L1552" t="s">
        <v>49</v>
      </c>
      <c r="M1552" t="s">
        <v>140</v>
      </c>
      <c r="N1552">
        <v>716</v>
      </c>
      <c r="O1552">
        <v>0.10352573299999999</v>
      </c>
      <c r="P1552">
        <v>7.4389829000000005E-2</v>
      </c>
      <c r="Q1552" t="str">
        <f t="shared" si="48"/>
        <v>15-24</v>
      </c>
      <c r="R1552" t="str">
        <f t="shared" si="49"/>
        <v>[rpw540fmNUz]|15-24|Male|PLHIV_Residents.T_1|CY2024Q3</v>
      </c>
    </row>
    <row r="1553" spans="4:18" x14ac:dyDescent="0.2">
      <c r="D1553" t="s">
        <v>132</v>
      </c>
      <c r="E1553" t="s">
        <v>133</v>
      </c>
      <c r="F1553" t="s">
        <v>134</v>
      </c>
      <c r="G1553" t="s">
        <v>143</v>
      </c>
      <c r="H1553" t="s">
        <v>144</v>
      </c>
      <c r="I1553" t="s">
        <v>41</v>
      </c>
      <c r="J1553" t="s">
        <v>42</v>
      </c>
      <c r="K1553" t="s">
        <v>48</v>
      </c>
      <c r="L1553" t="s">
        <v>49</v>
      </c>
      <c r="M1553" t="s">
        <v>140</v>
      </c>
      <c r="N1553">
        <v>821</v>
      </c>
      <c r="O1553">
        <v>0.110141117</v>
      </c>
      <c r="P1553">
        <v>7.4389829000000005E-2</v>
      </c>
      <c r="Q1553" t="str">
        <f t="shared" si="48"/>
        <v>25-34</v>
      </c>
      <c r="R1553" t="str">
        <f t="shared" si="49"/>
        <v>[rpw540fmNUz]|25-34|Male|PLHIV_Residents.T_1|CY2024Q3</v>
      </c>
    </row>
    <row r="1554" spans="4:18" x14ac:dyDescent="0.2">
      <c r="D1554" t="s">
        <v>132</v>
      </c>
      <c r="E1554" t="s">
        <v>133</v>
      </c>
      <c r="F1554" t="s">
        <v>134</v>
      </c>
      <c r="G1554" t="s">
        <v>143</v>
      </c>
      <c r="H1554" t="s">
        <v>144</v>
      </c>
      <c r="I1554" t="s">
        <v>43</v>
      </c>
      <c r="J1554" t="s">
        <v>44</v>
      </c>
      <c r="K1554" t="s">
        <v>48</v>
      </c>
      <c r="L1554" t="s">
        <v>49</v>
      </c>
      <c r="M1554" t="s">
        <v>140</v>
      </c>
      <c r="N1554">
        <v>2953</v>
      </c>
      <c r="O1554">
        <v>8.6137988999999998E-2</v>
      </c>
      <c r="P1554">
        <v>7.4389829000000005E-2</v>
      </c>
      <c r="Q1554" t="str">
        <f t="shared" si="48"/>
        <v>35-49</v>
      </c>
      <c r="R1554" t="str">
        <f t="shared" si="49"/>
        <v>[rpw540fmNUz]|35-49|Male|PLHIV_Residents.T_1|CY2024Q3</v>
      </c>
    </row>
    <row r="1555" spans="4:18" x14ac:dyDescent="0.2">
      <c r="D1555" t="s">
        <v>132</v>
      </c>
      <c r="E1555" t="s">
        <v>133</v>
      </c>
      <c r="F1555" t="s">
        <v>134</v>
      </c>
      <c r="G1555" t="s">
        <v>143</v>
      </c>
      <c r="H1555" t="s">
        <v>144</v>
      </c>
      <c r="I1555" t="s">
        <v>45</v>
      </c>
      <c r="J1555" t="s">
        <v>46</v>
      </c>
      <c r="K1555" t="s">
        <v>48</v>
      </c>
      <c r="L1555" t="s">
        <v>49</v>
      </c>
      <c r="M1555" t="s">
        <v>140</v>
      </c>
      <c r="N1555">
        <v>2303</v>
      </c>
      <c r="O1555">
        <v>8.0877642E-2</v>
      </c>
      <c r="P1555">
        <v>7.4389829000000005E-2</v>
      </c>
      <c r="Q1555" t="str">
        <f t="shared" si="48"/>
        <v>50+</v>
      </c>
      <c r="R1555" t="str">
        <f t="shared" si="49"/>
        <v>[rpw540fmNUz]|50+|Male|PLHIV_Residents.T_1|CY2024Q3</v>
      </c>
    </row>
    <row r="1556" spans="4:18" x14ac:dyDescent="0.2">
      <c r="D1556" t="s">
        <v>135</v>
      </c>
      <c r="E1556" t="s">
        <v>136</v>
      </c>
      <c r="F1556" t="s">
        <v>137</v>
      </c>
      <c r="G1556" t="s">
        <v>143</v>
      </c>
      <c r="H1556" t="s">
        <v>144</v>
      </c>
      <c r="I1556" t="s">
        <v>28</v>
      </c>
      <c r="J1556" t="s">
        <v>29</v>
      </c>
      <c r="K1556" t="s">
        <v>30</v>
      </c>
      <c r="L1556" t="s">
        <v>31</v>
      </c>
      <c r="M1556" t="s">
        <v>140</v>
      </c>
      <c r="N1556">
        <v>4</v>
      </c>
      <c r="O1556">
        <v>0.10316940199999999</v>
      </c>
      <c r="P1556">
        <v>9.5976581000000005E-2</v>
      </c>
      <c r="Q1556" t="str">
        <f t="shared" si="48"/>
        <v>&lt;01</v>
      </c>
      <c r="R1556" t="str">
        <f t="shared" si="49"/>
        <v>[gwVYinjBAe9]|&lt;01|Female|PLHIV_Residents.T_1|CY2024Q3</v>
      </c>
    </row>
    <row r="1557" spans="4:18" x14ac:dyDescent="0.2">
      <c r="D1557" t="s">
        <v>135</v>
      </c>
      <c r="E1557" t="s">
        <v>136</v>
      </c>
      <c r="F1557" t="s">
        <v>137</v>
      </c>
      <c r="G1557" t="s">
        <v>143</v>
      </c>
      <c r="H1557" t="s">
        <v>144</v>
      </c>
      <c r="I1557" t="s">
        <v>33</v>
      </c>
      <c r="J1557" t="s">
        <v>34</v>
      </c>
      <c r="K1557" t="s">
        <v>30</v>
      </c>
      <c r="L1557" t="s">
        <v>31</v>
      </c>
      <c r="M1557" t="s">
        <v>140</v>
      </c>
      <c r="N1557">
        <v>87</v>
      </c>
      <c r="O1557">
        <v>0.10865625600000001</v>
      </c>
      <c r="P1557">
        <v>9.5976581000000005E-2</v>
      </c>
      <c r="Q1557" t="str">
        <f t="shared" si="48"/>
        <v>01-09</v>
      </c>
      <c r="R1557" t="str">
        <f t="shared" si="49"/>
        <v>[gwVYinjBAe9]|01-09|Female|PLHIV_Residents.T_1|CY2024Q3</v>
      </c>
    </row>
    <row r="1558" spans="4:18" x14ac:dyDescent="0.2">
      <c r="D1558" t="s">
        <v>135</v>
      </c>
      <c r="E1558" t="s">
        <v>136</v>
      </c>
      <c r="F1558" t="s">
        <v>137</v>
      </c>
      <c r="G1558" t="s">
        <v>143</v>
      </c>
      <c r="H1558" t="s">
        <v>144</v>
      </c>
      <c r="I1558" t="s">
        <v>36</v>
      </c>
      <c r="J1558" t="s">
        <v>37</v>
      </c>
      <c r="K1558" t="s">
        <v>30</v>
      </c>
      <c r="L1558" t="s">
        <v>31</v>
      </c>
      <c r="M1558" t="s">
        <v>140</v>
      </c>
      <c r="N1558">
        <v>104</v>
      </c>
      <c r="O1558">
        <v>0.11577301399999999</v>
      </c>
      <c r="P1558">
        <v>9.5976581000000005E-2</v>
      </c>
      <c r="Q1558" t="str">
        <f t="shared" si="48"/>
        <v>10-14</v>
      </c>
      <c r="R1558" t="str">
        <f t="shared" si="49"/>
        <v>[gwVYinjBAe9]|10-14|Female|PLHIV_Residents.T_1|CY2024Q3</v>
      </c>
    </row>
    <row r="1559" spans="4:18" x14ac:dyDescent="0.2">
      <c r="D1559" t="s">
        <v>135</v>
      </c>
      <c r="E1559" t="s">
        <v>136</v>
      </c>
      <c r="F1559" t="s">
        <v>137</v>
      </c>
      <c r="G1559" t="s">
        <v>143</v>
      </c>
      <c r="H1559" t="s">
        <v>144</v>
      </c>
      <c r="I1559" t="s">
        <v>38</v>
      </c>
      <c r="J1559" t="s">
        <v>39</v>
      </c>
      <c r="K1559" t="s">
        <v>30</v>
      </c>
      <c r="L1559" t="s">
        <v>31</v>
      </c>
      <c r="M1559" t="s">
        <v>140</v>
      </c>
      <c r="N1559">
        <v>362</v>
      </c>
      <c r="O1559">
        <v>0.123392213</v>
      </c>
      <c r="P1559">
        <v>9.5976581000000005E-2</v>
      </c>
      <c r="Q1559" t="str">
        <f t="shared" si="48"/>
        <v>15-24</v>
      </c>
      <c r="R1559" t="str">
        <f t="shared" si="49"/>
        <v>[gwVYinjBAe9]|15-24|Female|PLHIV_Residents.T_1|CY2024Q3</v>
      </c>
    </row>
    <row r="1560" spans="4:18" x14ac:dyDescent="0.2">
      <c r="D1560" t="s">
        <v>135</v>
      </c>
      <c r="E1560" t="s">
        <v>136</v>
      </c>
      <c r="F1560" t="s">
        <v>137</v>
      </c>
      <c r="G1560" t="s">
        <v>143</v>
      </c>
      <c r="H1560" t="s">
        <v>144</v>
      </c>
      <c r="I1560" t="s">
        <v>41</v>
      </c>
      <c r="J1560" t="s">
        <v>42</v>
      </c>
      <c r="K1560" t="s">
        <v>30</v>
      </c>
      <c r="L1560" t="s">
        <v>31</v>
      </c>
      <c r="M1560" t="s">
        <v>140</v>
      </c>
      <c r="N1560">
        <v>884</v>
      </c>
      <c r="O1560">
        <v>0.110550833</v>
      </c>
      <c r="P1560">
        <v>9.5976581000000005E-2</v>
      </c>
      <c r="Q1560" t="str">
        <f t="shared" si="48"/>
        <v>25-34</v>
      </c>
      <c r="R1560" t="str">
        <f t="shared" si="49"/>
        <v>[gwVYinjBAe9]|25-34|Female|PLHIV_Residents.T_1|CY2024Q3</v>
      </c>
    </row>
    <row r="1561" spans="4:18" x14ac:dyDescent="0.2">
      <c r="D1561" t="s">
        <v>135</v>
      </c>
      <c r="E1561" t="s">
        <v>136</v>
      </c>
      <c r="F1561" t="s">
        <v>137</v>
      </c>
      <c r="G1561" t="s">
        <v>143</v>
      </c>
      <c r="H1561" t="s">
        <v>144</v>
      </c>
      <c r="I1561" t="s">
        <v>43</v>
      </c>
      <c r="J1561" t="s">
        <v>44</v>
      </c>
      <c r="K1561" t="s">
        <v>30</v>
      </c>
      <c r="L1561" t="s">
        <v>31</v>
      </c>
      <c r="M1561" t="s">
        <v>140</v>
      </c>
      <c r="N1561">
        <v>2249</v>
      </c>
      <c r="O1561">
        <v>9.6765324E-2</v>
      </c>
      <c r="P1561">
        <v>9.5976581000000005E-2</v>
      </c>
      <c r="Q1561" t="str">
        <f t="shared" si="48"/>
        <v>35-49</v>
      </c>
      <c r="R1561" t="str">
        <f t="shared" si="49"/>
        <v>[gwVYinjBAe9]|35-49|Female|PLHIV_Residents.T_1|CY2024Q3</v>
      </c>
    </row>
    <row r="1562" spans="4:18" x14ac:dyDescent="0.2">
      <c r="D1562" t="s">
        <v>135</v>
      </c>
      <c r="E1562" t="s">
        <v>136</v>
      </c>
      <c r="F1562" t="s">
        <v>137</v>
      </c>
      <c r="G1562" t="s">
        <v>143</v>
      </c>
      <c r="H1562" t="s">
        <v>144</v>
      </c>
      <c r="I1562" t="s">
        <v>45</v>
      </c>
      <c r="J1562" t="s">
        <v>46</v>
      </c>
      <c r="K1562" t="s">
        <v>30</v>
      </c>
      <c r="L1562" t="s">
        <v>31</v>
      </c>
      <c r="M1562" t="s">
        <v>140</v>
      </c>
      <c r="N1562">
        <v>1063</v>
      </c>
      <c r="O1562">
        <v>0.10195391099999999</v>
      </c>
      <c r="P1562">
        <v>9.5976581000000005E-2</v>
      </c>
      <c r="Q1562" t="str">
        <f t="shared" si="48"/>
        <v>50+</v>
      </c>
      <c r="R1562" t="str">
        <f t="shared" si="49"/>
        <v>[gwVYinjBAe9]|50+|Female|PLHIV_Residents.T_1|CY2024Q3</v>
      </c>
    </row>
    <row r="1563" spans="4:18" x14ac:dyDescent="0.2">
      <c r="D1563" t="s">
        <v>135</v>
      </c>
      <c r="E1563" t="s">
        <v>136</v>
      </c>
      <c r="F1563" t="s">
        <v>137</v>
      </c>
      <c r="G1563" t="s">
        <v>143</v>
      </c>
      <c r="H1563" t="s">
        <v>144</v>
      </c>
      <c r="I1563" t="s">
        <v>28</v>
      </c>
      <c r="J1563" t="s">
        <v>29</v>
      </c>
      <c r="K1563" t="s">
        <v>48</v>
      </c>
      <c r="L1563" t="s">
        <v>49</v>
      </c>
      <c r="M1563" t="s">
        <v>140</v>
      </c>
      <c r="N1563">
        <v>4</v>
      </c>
      <c r="O1563">
        <v>0.10318192399999999</v>
      </c>
      <c r="P1563">
        <v>9.5976581000000005E-2</v>
      </c>
      <c r="Q1563" t="str">
        <f t="shared" si="48"/>
        <v>&lt;01</v>
      </c>
      <c r="R1563" t="str">
        <f t="shared" si="49"/>
        <v>[gwVYinjBAe9]|&lt;01|Male|PLHIV_Residents.T_1|CY2024Q3</v>
      </c>
    </row>
    <row r="1564" spans="4:18" x14ac:dyDescent="0.2">
      <c r="D1564" t="s">
        <v>135</v>
      </c>
      <c r="E1564" t="s">
        <v>136</v>
      </c>
      <c r="F1564" t="s">
        <v>137</v>
      </c>
      <c r="G1564" t="s">
        <v>143</v>
      </c>
      <c r="H1564" t="s">
        <v>144</v>
      </c>
      <c r="I1564" t="s">
        <v>33</v>
      </c>
      <c r="J1564" t="s">
        <v>34</v>
      </c>
      <c r="K1564" t="s">
        <v>48</v>
      </c>
      <c r="L1564" t="s">
        <v>49</v>
      </c>
      <c r="M1564" t="s">
        <v>140</v>
      </c>
      <c r="N1564">
        <v>89</v>
      </c>
      <c r="O1564">
        <v>0.108673409</v>
      </c>
      <c r="P1564">
        <v>9.5976581000000005E-2</v>
      </c>
      <c r="Q1564" t="str">
        <f t="shared" si="48"/>
        <v>01-09</v>
      </c>
      <c r="R1564" t="str">
        <f t="shared" si="49"/>
        <v>[gwVYinjBAe9]|01-09|Male|PLHIV_Residents.T_1|CY2024Q3</v>
      </c>
    </row>
    <row r="1565" spans="4:18" x14ac:dyDescent="0.2">
      <c r="D1565" t="s">
        <v>135</v>
      </c>
      <c r="E1565" t="s">
        <v>136</v>
      </c>
      <c r="F1565" t="s">
        <v>137</v>
      </c>
      <c r="G1565" t="s">
        <v>143</v>
      </c>
      <c r="H1565" t="s">
        <v>144</v>
      </c>
      <c r="I1565" t="s">
        <v>36</v>
      </c>
      <c r="J1565" t="s">
        <v>37</v>
      </c>
      <c r="K1565" t="s">
        <v>48</v>
      </c>
      <c r="L1565" t="s">
        <v>49</v>
      </c>
      <c r="M1565" t="s">
        <v>140</v>
      </c>
      <c r="N1565">
        <v>107</v>
      </c>
      <c r="O1565">
        <v>0.115771602</v>
      </c>
      <c r="P1565">
        <v>9.5976581000000005E-2</v>
      </c>
      <c r="Q1565" t="str">
        <f t="shared" si="48"/>
        <v>10-14</v>
      </c>
      <c r="R1565" t="str">
        <f t="shared" si="49"/>
        <v>[gwVYinjBAe9]|10-14|Male|PLHIV_Residents.T_1|CY2024Q3</v>
      </c>
    </row>
    <row r="1566" spans="4:18" x14ac:dyDescent="0.2">
      <c r="D1566" t="s">
        <v>135</v>
      </c>
      <c r="E1566" t="s">
        <v>136</v>
      </c>
      <c r="F1566" t="s">
        <v>137</v>
      </c>
      <c r="G1566" t="s">
        <v>143</v>
      </c>
      <c r="H1566" t="s">
        <v>144</v>
      </c>
      <c r="I1566" t="s">
        <v>38</v>
      </c>
      <c r="J1566" t="s">
        <v>39</v>
      </c>
      <c r="K1566" t="s">
        <v>48</v>
      </c>
      <c r="L1566" t="s">
        <v>49</v>
      </c>
      <c r="M1566" t="s">
        <v>140</v>
      </c>
      <c r="N1566">
        <v>260</v>
      </c>
      <c r="O1566">
        <v>0.123169588</v>
      </c>
      <c r="P1566">
        <v>9.5976581000000005E-2</v>
      </c>
      <c r="Q1566" t="str">
        <f t="shared" si="48"/>
        <v>15-24</v>
      </c>
      <c r="R1566" t="str">
        <f t="shared" si="49"/>
        <v>[gwVYinjBAe9]|15-24|Male|PLHIV_Residents.T_1|CY2024Q3</v>
      </c>
    </row>
    <row r="1567" spans="4:18" x14ac:dyDescent="0.2">
      <c r="D1567" t="s">
        <v>135</v>
      </c>
      <c r="E1567" t="s">
        <v>136</v>
      </c>
      <c r="F1567" t="s">
        <v>137</v>
      </c>
      <c r="G1567" t="s">
        <v>143</v>
      </c>
      <c r="H1567" t="s">
        <v>144</v>
      </c>
      <c r="I1567" t="s">
        <v>41</v>
      </c>
      <c r="J1567" t="s">
        <v>42</v>
      </c>
      <c r="K1567" t="s">
        <v>48</v>
      </c>
      <c r="L1567" t="s">
        <v>49</v>
      </c>
      <c r="M1567" t="s">
        <v>140</v>
      </c>
      <c r="N1567">
        <v>327</v>
      </c>
      <c r="O1567">
        <v>0.12367341</v>
      </c>
      <c r="P1567">
        <v>9.5976581000000005E-2</v>
      </c>
      <c r="Q1567" t="str">
        <f t="shared" si="48"/>
        <v>25-34</v>
      </c>
      <c r="R1567" t="str">
        <f t="shared" si="49"/>
        <v>[gwVYinjBAe9]|25-34|Male|PLHIV_Residents.T_1|CY2024Q3</v>
      </c>
    </row>
    <row r="1568" spans="4:18" x14ac:dyDescent="0.2">
      <c r="D1568" t="s">
        <v>135</v>
      </c>
      <c r="E1568" t="s">
        <v>136</v>
      </c>
      <c r="F1568" t="s">
        <v>137</v>
      </c>
      <c r="G1568" t="s">
        <v>143</v>
      </c>
      <c r="H1568" t="s">
        <v>144</v>
      </c>
      <c r="I1568" t="s">
        <v>43</v>
      </c>
      <c r="J1568" t="s">
        <v>44</v>
      </c>
      <c r="K1568" t="s">
        <v>48</v>
      </c>
      <c r="L1568" t="s">
        <v>49</v>
      </c>
      <c r="M1568" t="s">
        <v>140</v>
      </c>
      <c r="N1568">
        <v>1175</v>
      </c>
      <c r="O1568">
        <v>9.7423847999999993E-2</v>
      </c>
      <c r="P1568">
        <v>9.5976581000000005E-2</v>
      </c>
      <c r="Q1568" t="str">
        <f t="shared" si="48"/>
        <v>35-49</v>
      </c>
      <c r="R1568" t="str">
        <f t="shared" si="49"/>
        <v>[gwVYinjBAe9]|35-49|Male|PLHIV_Residents.T_1|CY2024Q3</v>
      </c>
    </row>
    <row r="1569" spans="4:18" x14ac:dyDescent="0.2">
      <c r="D1569" t="s">
        <v>135</v>
      </c>
      <c r="E1569" t="s">
        <v>136</v>
      </c>
      <c r="F1569" t="s">
        <v>137</v>
      </c>
      <c r="G1569" t="s">
        <v>143</v>
      </c>
      <c r="H1569" t="s">
        <v>144</v>
      </c>
      <c r="I1569" t="s">
        <v>45</v>
      </c>
      <c r="J1569" t="s">
        <v>46</v>
      </c>
      <c r="K1569" t="s">
        <v>48</v>
      </c>
      <c r="L1569" t="s">
        <v>49</v>
      </c>
      <c r="M1569" t="s">
        <v>140</v>
      </c>
      <c r="N1569">
        <v>891</v>
      </c>
      <c r="O1569">
        <v>9.2505048000000006E-2</v>
      </c>
      <c r="P1569">
        <v>9.5976581000000005E-2</v>
      </c>
      <c r="Q1569" t="str">
        <f t="shared" si="48"/>
        <v>50+</v>
      </c>
      <c r="R1569" t="str">
        <f t="shared" si="49"/>
        <v>[gwVYinjBAe9]|50+|Male|PLHIV_Residents.T_1|CY2024Q3</v>
      </c>
    </row>
    <row r="1570" spans="4:18" x14ac:dyDescent="0.2">
      <c r="D1570" t="s">
        <v>23</v>
      </c>
      <c r="E1570" t="s">
        <v>24</v>
      </c>
      <c r="F1570" t="s">
        <v>25</v>
      </c>
      <c r="G1570" t="s">
        <v>145</v>
      </c>
      <c r="H1570" t="s">
        <v>145</v>
      </c>
      <c r="I1570" t="s">
        <v>28</v>
      </c>
      <c r="J1570" t="s">
        <v>29</v>
      </c>
      <c r="K1570" t="s">
        <v>30</v>
      </c>
      <c r="L1570" t="s">
        <v>31</v>
      </c>
      <c r="M1570" t="s">
        <v>140</v>
      </c>
      <c r="N1570">
        <v>0.66708796599999998</v>
      </c>
      <c r="O1570">
        <v>7.6602762000000005E-2</v>
      </c>
      <c r="P1570">
        <v>1.7079328000000001E-2</v>
      </c>
      <c r="Q1570" t="str">
        <f t="shared" si="48"/>
        <v>&lt;01</v>
      </c>
      <c r="R1570" t="str">
        <f t="shared" si="49"/>
        <v>[GkIwZrXy1h2]|&lt;01|Female|PopART.Rt.T_1|CY2024Q3</v>
      </c>
    </row>
    <row r="1571" spans="4:18" x14ac:dyDescent="0.2">
      <c r="D1571" t="s">
        <v>23</v>
      </c>
      <c r="E1571" t="s">
        <v>24</v>
      </c>
      <c r="F1571" t="s">
        <v>25</v>
      </c>
      <c r="G1571" t="s">
        <v>145</v>
      </c>
      <c r="H1571" t="s">
        <v>145</v>
      </c>
      <c r="I1571" t="s">
        <v>33</v>
      </c>
      <c r="J1571" t="s">
        <v>34</v>
      </c>
      <c r="K1571" t="s">
        <v>30</v>
      </c>
      <c r="L1571" t="s">
        <v>31</v>
      </c>
      <c r="M1571" t="s">
        <v>140</v>
      </c>
      <c r="N1571">
        <v>0.71373950399999997</v>
      </c>
      <c r="O1571">
        <v>7.4080244000000003E-2</v>
      </c>
      <c r="P1571">
        <v>1.7079328000000001E-2</v>
      </c>
      <c r="Q1571" t="str">
        <f t="shared" si="48"/>
        <v>01-09</v>
      </c>
      <c r="R1571" t="str">
        <f t="shared" si="49"/>
        <v>[GkIwZrXy1h2]|01-09|Female|PopART.Rt.T_1|CY2024Q3</v>
      </c>
    </row>
    <row r="1572" spans="4:18" x14ac:dyDescent="0.2">
      <c r="D1572" t="s">
        <v>23</v>
      </c>
      <c r="E1572" t="s">
        <v>24</v>
      </c>
      <c r="F1572" t="s">
        <v>25</v>
      </c>
      <c r="G1572" t="s">
        <v>145</v>
      </c>
      <c r="H1572" t="s">
        <v>145</v>
      </c>
      <c r="I1572" t="s">
        <v>36</v>
      </c>
      <c r="J1572" t="s">
        <v>37</v>
      </c>
      <c r="K1572" t="s">
        <v>30</v>
      </c>
      <c r="L1572" t="s">
        <v>31</v>
      </c>
      <c r="M1572" t="s">
        <v>140</v>
      </c>
      <c r="N1572">
        <v>0.74950894700000004</v>
      </c>
      <c r="O1572">
        <v>6.2192526999999997E-2</v>
      </c>
      <c r="P1572">
        <v>1.7079328000000001E-2</v>
      </c>
      <c r="Q1572" t="str">
        <f t="shared" si="48"/>
        <v>10-14</v>
      </c>
      <c r="R1572" t="str">
        <f t="shared" si="49"/>
        <v>[GkIwZrXy1h2]|10-14|Female|PopART.Rt.T_1|CY2024Q3</v>
      </c>
    </row>
    <row r="1573" spans="4:18" x14ac:dyDescent="0.2">
      <c r="D1573" t="s">
        <v>23</v>
      </c>
      <c r="E1573" t="s">
        <v>24</v>
      </c>
      <c r="F1573" t="s">
        <v>25</v>
      </c>
      <c r="G1573" t="s">
        <v>145</v>
      </c>
      <c r="H1573" t="s">
        <v>145</v>
      </c>
      <c r="I1573" t="s">
        <v>38</v>
      </c>
      <c r="J1573" t="s">
        <v>39</v>
      </c>
      <c r="K1573" t="s">
        <v>30</v>
      </c>
      <c r="L1573" t="s">
        <v>31</v>
      </c>
      <c r="M1573" t="s">
        <v>140</v>
      </c>
      <c r="N1573">
        <v>0.93034223400000005</v>
      </c>
      <c r="O1573">
        <v>3.2396447000000002E-2</v>
      </c>
      <c r="P1573">
        <v>1.7079328000000001E-2</v>
      </c>
      <c r="Q1573" t="str">
        <f t="shared" si="48"/>
        <v>15-24</v>
      </c>
      <c r="R1573" t="str">
        <f t="shared" si="49"/>
        <v>[GkIwZrXy1h2]|15-24|Female|PopART.Rt.T_1|CY2024Q3</v>
      </c>
    </row>
    <row r="1574" spans="4:18" x14ac:dyDescent="0.2">
      <c r="D1574" t="s">
        <v>23</v>
      </c>
      <c r="E1574" t="s">
        <v>24</v>
      </c>
      <c r="F1574" t="s">
        <v>25</v>
      </c>
      <c r="G1574" t="s">
        <v>145</v>
      </c>
      <c r="H1574" t="s">
        <v>145</v>
      </c>
      <c r="I1574" t="s">
        <v>41</v>
      </c>
      <c r="J1574" t="s">
        <v>42</v>
      </c>
      <c r="K1574" t="s">
        <v>30</v>
      </c>
      <c r="L1574" t="s">
        <v>31</v>
      </c>
      <c r="M1574" t="s">
        <v>140</v>
      </c>
      <c r="N1574">
        <v>0.96284545499999996</v>
      </c>
      <c r="O1574">
        <v>1.6910877000000001E-2</v>
      </c>
      <c r="P1574">
        <v>1.7079328000000001E-2</v>
      </c>
      <c r="Q1574" t="str">
        <f t="shared" si="48"/>
        <v>25-34</v>
      </c>
      <c r="R1574" t="str">
        <f t="shared" si="49"/>
        <v>[GkIwZrXy1h2]|25-34|Female|PopART.Rt.T_1|CY2024Q3</v>
      </c>
    </row>
    <row r="1575" spans="4:18" x14ac:dyDescent="0.2">
      <c r="D1575" t="s">
        <v>23</v>
      </c>
      <c r="E1575" t="s">
        <v>24</v>
      </c>
      <c r="F1575" t="s">
        <v>25</v>
      </c>
      <c r="G1575" t="s">
        <v>145</v>
      </c>
      <c r="H1575" t="s">
        <v>145</v>
      </c>
      <c r="I1575" t="s">
        <v>43</v>
      </c>
      <c r="J1575" t="s">
        <v>44</v>
      </c>
      <c r="K1575" t="s">
        <v>30</v>
      </c>
      <c r="L1575" t="s">
        <v>31</v>
      </c>
      <c r="M1575" t="s">
        <v>140</v>
      </c>
      <c r="N1575">
        <v>0.98161381199999997</v>
      </c>
      <c r="O1575">
        <v>8.5238940000000006E-3</v>
      </c>
      <c r="P1575">
        <v>1.7079328000000001E-2</v>
      </c>
      <c r="Q1575" t="str">
        <f t="shared" si="48"/>
        <v>35-49</v>
      </c>
      <c r="R1575" t="str">
        <f t="shared" si="49"/>
        <v>[GkIwZrXy1h2]|35-49|Female|PopART.Rt.T_1|CY2024Q3</v>
      </c>
    </row>
    <row r="1576" spans="4:18" x14ac:dyDescent="0.2">
      <c r="D1576" t="s">
        <v>23</v>
      </c>
      <c r="E1576" t="s">
        <v>24</v>
      </c>
      <c r="F1576" t="s">
        <v>25</v>
      </c>
      <c r="G1576" t="s">
        <v>145</v>
      </c>
      <c r="H1576" t="s">
        <v>145</v>
      </c>
      <c r="I1576" t="s">
        <v>45</v>
      </c>
      <c r="J1576" t="s">
        <v>46</v>
      </c>
      <c r="K1576" t="s">
        <v>30</v>
      </c>
      <c r="L1576" t="s">
        <v>31</v>
      </c>
      <c r="M1576" t="s">
        <v>140</v>
      </c>
      <c r="N1576">
        <v>0.98726924299999996</v>
      </c>
      <c r="O1576">
        <v>5.9770830000000002E-3</v>
      </c>
      <c r="P1576">
        <v>1.7079328000000001E-2</v>
      </c>
      <c r="Q1576" t="str">
        <f t="shared" si="48"/>
        <v>50+</v>
      </c>
      <c r="R1576" t="str">
        <f t="shared" si="49"/>
        <v>[GkIwZrXy1h2]|50+|Female|PopART.Rt.T_1|CY2024Q3</v>
      </c>
    </row>
    <row r="1577" spans="4:18" x14ac:dyDescent="0.2">
      <c r="D1577" t="s">
        <v>23</v>
      </c>
      <c r="E1577" t="s">
        <v>24</v>
      </c>
      <c r="F1577" t="s">
        <v>25</v>
      </c>
      <c r="G1577" t="s">
        <v>145</v>
      </c>
      <c r="H1577" t="s">
        <v>145</v>
      </c>
      <c r="I1577" t="s">
        <v>28</v>
      </c>
      <c r="J1577" t="s">
        <v>29</v>
      </c>
      <c r="K1577" t="s">
        <v>48</v>
      </c>
      <c r="L1577" t="s">
        <v>49</v>
      </c>
      <c r="M1577" t="s">
        <v>140</v>
      </c>
      <c r="N1577">
        <v>0.66653035900000002</v>
      </c>
      <c r="O1577">
        <v>7.6609694000000006E-2</v>
      </c>
      <c r="P1577">
        <v>1.7079328000000001E-2</v>
      </c>
      <c r="Q1577" t="str">
        <f t="shared" si="48"/>
        <v>&lt;01</v>
      </c>
      <c r="R1577" t="str">
        <f t="shared" si="49"/>
        <v>[GkIwZrXy1h2]|&lt;01|Male|PopART.Rt.T_1|CY2024Q3</v>
      </c>
    </row>
    <row r="1578" spans="4:18" x14ac:dyDescent="0.2">
      <c r="D1578" t="s">
        <v>23</v>
      </c>
      <c r="E1578" t="s">
        <v>24</v>
      </c>
      <c r="F1578" t="s">
        <v>25</v>
      </c>
      <c r="G1578" t="s">
        <v>145</v>
      </c>
      <c r="H1578" t="s">
        <v>145</v>
      </c>
      <c r="I1578" t="s">
        <v>33</v>
      </c>
      <c r="J1578" t="s">
        <v>34</v>
      </c>
      <c r="K1578" t="s">
        <v>48</v>
      </c>
      <c r="L1578" t="s">
        <v>49</v>
      </c>
      <c r="M1578" t="s">
        <v>140</v>
      </c>
      <c r="N1578">
        <v>0.71312361999999996</v>
      </c>
      <c r="O1578">
        <v>7.3301266000000004E-2</v>
      </c>
      <c r="P1578">
        <v>1.7079328000000001E-2</v>
      </c>
      <c r="Q1578" t="str">
        <f t="shared" si="48"/>
        <v>01-09</v>
      </c>
      <c r="R1578" t="str">
        <f t="shared" si="49"/>
        <v>[GkIwZrXy1h2]|01-09|Male|PopART.Rt.T_1|CY2024Q3</v>
      </c>
    </row>
    <row r="1579" spans="4:18" x14ac:dyDescent="0.2">
      <c r="D1579" t="s">
        <v>23</v>
      </c>
      <c r="E1579" t="s">
        <v>24</v>
      </c>
      <c r="F1579" t="s">
        <v>25</v>
      </c>
      <c r="G1579" t="s">
        <v>145</v>
      </c>
      <c r="H1579" t="s">
        <v>145</v>
      </c>
      <c r="I1579" t="s">
        <v>36</v>
      </c>
      <c r="J1579" t="s">
        <v>37</v>
      </c>
      <c r="K1579" t="s">
        <v>48</v>
      </c>
      <c r="L1579" t="s">
        <v>49</v>
      </c>
      <c r="M1579" t="s">
        <v>140</v>
      </c>
      <c r="N1579">
        <v>0.74866735500000003</v>
      </c>
      <c r="O1579">
        <v>6.4545651999999995E-2</v>
      </c>
      <c r="P1579">
        <v>1.7079328000000001E-2</v>
      </c>
      <c r="Q1579" t="str">
        <f t="shared" si="48"/>
        <v>10-14</v>
      </c>
      <c r="R1579" t="str">
        <f t="shared" si="49"/>
        <v>[GkIwZrXy1h2]|10-14|Male|PopART.Rt.T_1|CY2024Q3</v>
      </c>
    </row>
    <row r="1580" spans="4:18" x14ac:dyDescent="0.2">
      <c r="D1580" t="s">
        <v>23</v>
      </c>
      <c r="E1580" t="s">
        <v>24</v>
      </c>
      <c r="F1580" t="s">
        <v>25</v>
      </c>
      <c r="G1580" t="s">
        <v>145</v>
      </c>
      <c r="H1580" t="s">
        <v>145</v>
      </c>
      <c r="I1580" t="s">
        <v>38</v>
      </c>
      <c r="J1580" t="s">
        <v>39</v>
      </c>
      <c r="K1580" t="s">
        <v>48</v>
      </c>
      <c r="L1580" t="s">
        <v>49</v>
      </c>
      <c r="M1580" t="s">
        <v>140</v>
      </c>
      <c r="N1580">
        <v>0.900563699</v>
      </c>
      <c r="O1580">
        <v>4.1299128999999997E-2</v>
      </c>
      <c r="P1580">
        <v>1.7079328000000001E-2</v>
      </c>
      <c r="Q1580" t="str">
        <f t="shared" si="48"/>
        <v>15-24</v>
      </c>
      <c r="R1580" t="str">
        <f t="shared" si="49"/>
        <v>[GkIwZrXy1h2]|15-24|Male|PopART.Rt.T_1|CY2024Q3</v>
      </c>
    </row>
    <row r="1581" spans="4:18" x14ac:dyDescent="0.2">
      <c r="D1581" t="s">
        <v>23</v>
      </c>
      <c r="E1581" t="s">
        <v>24</v>
      </c>
      <c r="F1581" t="s">
        <v>25</v>
      </c>
      <c r="G1581" t="s">
        <v>145</v>
      </c>
      <c r="H1581" t="s">
        <v>145</v>
      </c>
      <c r="I1581" t="s">
        <v>41</v>
      </c>
      <c r="J1581" t="s">
        <v>42</v>
      </c>
      <c r="K1581" t="s">
        <v>48</v>
      </c>
      <c r="L1581" t="s">
        <v>49</v>
      </c>
      <c r="M1581" t="s">
        <v>140</v>
      </c>
      <c r="N1581">
        <v>0.87149221600000004</v>
      </c>
      <c r="O1581">
        <v>5.0132590999999997E-2</v>
      </c>
      <c r="P1581">
        <v>1.7079328000000001E-2</v>
      </c>
      <c r="Q1581" t="str">
        <f t="shared" si="48"/>
        <v>25-34</v>
      </c>
      <c r="R1581" t="str">
        <f t="shared" si="49"/>
        <v>[GkIwZrXy1h2]|25-34|Male|PopART.Rt.T_1|CY2024Q3</v>
      </c>
    </row>
    <row r="1582" spans="4:18" x14ac:dyDescent="0.2">
      <c r="D1582" t="s">
        <v>23</v>
      </c>
      <c r="E1582" t="s">
        <v>24</v>
      </c>
      <c r="F1582" t="s">
        <v>25</v>
      </c>
      <c r="G1582" t="s">
        <v>145</v>
      </c>
      <c r="H1582" t="s">
        <v>145</v>
      </c>
      <c r="I1582" t="s">
        <v>43</v>
      </c>
      <c r="J1582" t="s">
        <v>44</v>
      </c>
      <c r="K1582" t="s">
        <v>48</v>
      </c>
      <c r="L1582" t="s">
        <v>49</v>
      </c>
      <c r="M1582" t="s">
        <v>140</v>
      </c>
      <c r="N1582">
        <v>0.92157162100000001</v>
      </c>
      <c r="O1582">
        <v>2.8353463999999998E-2</v>
      </c>
      <c r="P1582">
        <v>1.7079328000000001E-2</v>
      </c>
      <c r="Q1582" t="str">
        <f t="shared" si="48"/>
        <v>35-49</v>
      </c>
      <c r="R1582" t="str">
        <f t="shared" si="49"/>
        <v>[GkIwZrXy1h2]|35-49|Male|PopART.Rt.T_1|CY2024Q3</v>
      </c>
    </row>
    <row r="1583" spans="4:18" x14ac:dyDescent="0.2">
      <c r="D1583" t="s">
        <v>23</v>
      </c>
      <c r="E1583" t="s">
        <v>24</v>
      </c>
      <c r="F1583" t="s">
        <v>25</v>
      </c>
      <c r="G1583" t="s">
        <v>145</v>
      </c>
      <c r="H1583" t="s">
        <v>145</v>
      </c>
      <c r="I1583" t="s">
        <v>45</v>
      </c>
      <c r="J1583" t="s">
        <v>46</v>
      </c>
      <c r="K1583" t="s">
        <v>48</v>
      </c>
      <c r="L1583" t="s">
        <v>49</v>
      </c>
      <c r="M1583" t="s">
        <v>140</v>
      </c>
      <c r="N1583">
        <v>0.94608709000000002</v>
      </c>
      <c r="O1583">
        <v>2.2212758999999999E-2</v>
      </c>
      <c r="P1583">
        <v>1.7079328000000001E-2</v>
      </c>
      <c r="Q1583" t="str">
        <f t="shared" si="48"/>
        <v>50+</v>
      </c>
      <c r="R1583" t="str">
        <f t="shared" si="49"/>
        <v>[GkIwZrXy1h2]|50+|Male|PopART.Rt.T_1|CY2024Q3</v>
      </c>
    </row>
    <row r="1584" spans="4:18" x14ac:dyDescent="0.2">
      <c r="D1584" t="s">
        <v>53</v>
      </c>
      <c r="E1584" t="s">
        <v>54</v>
      </c>
      <c r="F1584" t="s">
        <v>55</v>
      </c>
      <c r="G1584" t="s">
        <v>145</v>
      </c>
      <c r="H1584" t="s">
        <v>145</v>
      </c>
      <c r="I1584" t="s">
        <v>28</v>
      </c>
      <c r="J1584" t="s">
        <v>29</v>
      </c>
      <c r="K1584" t="s">
        <v>30</v>
      </c>
      <c r="L1584" t="s">
        <v>31</v>
      </c>
      <c r="M1584" t="s">
        <v>140</v>
      </c>
      <c r="N1584">
        <v>0.69184321900000001</v>
      </c>
      <c r="O1584">
        <v>6.3469528999999997E-2</v>
      </c>
      <c r="P1584">
        <v>1.3839445000000001E-2</v>
      </c>
      <c r="Q1584" t="str">
        <f t="shared" si="48"/>
        <v>&lt;01</v>
      </c>
      <c r="R1584" t="str">
        <f t="shared" si="49"/>
        <v>[cPtvxaZqXIH]|&lt;01|Female|PopART.Rt.T_1|CY2024Q3</v>
      </c>
    </row>
    <row r="1585" spans="4:18" x14ac:dyDescent="0.2">
      <c r="D1585" t="s">
        <v>53</v>
      </c>
      <c r="E1585" t="s">
        <v>54</v>
      </c>
      <c r="F1585" t="s">
        <v>55</v>
      </c>
      <c r="G1585" t="s">
        <v>145</v>
      </c>
      <c r="H1585" t="s">
        <v>145</v>
      </c>
      <c r="I1585" t="s">
        <v>33</v>
      </c>
      <c r="J1585" t="s">
        <v>34</v>
      </c>
      <c r="K1585" t="s">
        <v>30</v>
      </c>
      <c r="L1585" t="s">
        <v>31</v>
      </c>
      <c r="M1585" t="s">
        <v>140</v>
      </c>
      <c r="N1585">
        <v>0.73872258599999996</v>
      </c>
      <c r="O1585">
        <v>6.1332920999999999E-2</v>
      </c>
      <c r="P1585">
        <v>1.3839445000000001E-2</v>
      </c>
      <c r="Q1585" t="str">
        <f t="shared" si="48"/>
        <v>01-09</v>
      </c>
      <c r="R1585" t="str">
        <f t="shared" si="49"/>
        <v>[cPtvxaZqXIH]|01-09|Female|PopART.Rt.T_1|CY2024Q3</v>
      </c>
    </row>
    <row r="1586" spans="4:18" x14ac:dyDescent="0.2">
      <c r="D1586" t="s">
        <v>53</v>
      </c>
      <c r="E1586" t="s">
        <v>54</v>
      </c>
      <c r="F1586" t="s">
        <v>55</v>
      </c>
      <c r="G1586" t="s">
        <v>145</v>
      </c>
      <c r="H1586" t="s">
        <v>145</v>
      </c>
      <c r="I1586" t="s">
        <v>36</v>
      </c>
      <c r="J1586" t="s">
        <v>37</v>
      </c>
      <c r="K1586" t="s">
        <v>30</v>
      </c>
      <c r="L1586" t="s">
        <v>31</v>
      </c>
      <c r="M1586" t="s">
        <v>140</v>
      </c>
      <c r="N1586">
        <v>0.77229919300000005</v>
      </c>
      <c r="O1586">
        <v>5.1365531999999998E-2</v>
      </c>
      <c r="P1586">
        <v>1.3839445000000001E-2</v>
      </c>
      <c r="Q1586" t="str">
        <f t="shared" si="48"/>
        <v>10-14</v>
      </c>
      <c r="R1586" t="str">
        <f t="shared" si="49"/>
        <v>[cPtvxaZqXIH]|10-14|Female|PopART.Rt.T_1|CY2024Q3</v>
      </c>
    </row>
    <row r="1587" spans="4:18" x14ac:dyDescent="0.2">
      <c r="D1587" t="s">
        <v>53</v>
      </c>
      <c r="E1587" t="s">
        <v>54</v>
      </c>
      <c r="F1587" t="s">
        <v>55</v>
      </c>
      <c r="G1587" t="s">
        <v>145</v>
      </c>
      <c r="H1587" t="s">
        <v>145</v>
      </c>
      <c r="I1587" t="s">
        <v>38</v>
      </c>
      <c r="J1587" t="s">
        <v>39</v>
      </c>
      <c r="K1587" t="s">
        <v>30</v>
      </c>
      <c r="L1587" t="s">
        <v>31</v>
      </c>
      <c r="M1587" t="s">
        <v>140</v>
      </c>
      <c r="N1587">
        <v>0.94173053100000004</v>
      </c>
      <c r="O1587">
        <v>2.6054701E-2</v>
      </c>
      <c r="P1587">
        <v>1.3839445000000001E-2</v>
      </c>
      <c r="Q1587" t="str">
        <f t="shared" si="48"/>
        <v>15-24</v>
      </c>
      <c r="R1587" t="str">
        <f t="shared" si="49"/>
        <v>[cPtvxaZqXIH]|15-24|Female|PopART.Rt.T_1|CY2024Q3</v>
      </c>
    </row>
    <row r="1588" spans="4:18" x14ac:dyDescent="0.2">
      <c r="D1588" t="s">
        <v>53</v>
      </c>
      <c r="E1588" t="s">
        <v>54</v>
      </c>
      <c r="F1588" t="s">
        <v>55</v>
      </c>
      <c r="G1588" t="s">
        <v>145</v>
      </c>
      <c r="H1588" t="s">
        <v>145</v>
      </c>
      <c r="I1588" t="s">
        <v>41</v>
      </c>
      <c r="J1588" t="s">
        <v>42</v>
      </c>
      <c r="K1588" t="s">
        <v>30</v>
      </c>
      <c r="L1588" t="s">
        <v>31</v>
      </c>
      <c r="M1588" t="s">
        <v>140</v>
      </c>
      <c r="N1588">
        <v>0.96908219699999998</v>
      </c>
      <c r="O1588">
        <v>1.3540879E-2</v>
      </c>
      <c r="P1588">
        <v>1.3839445000000001E-2</v>
      </c>
      <c r="Q1588" t="str">
        <f t="shared" si="48"/>
        <v>25-34</v>
      </c>
      <c r="R1588" t="str">
        <f t="shared" si="49"/>
        <v>[cPtvxaZqXIH]|25-34|Female|PopART.Rt.T_1|CY2024Q3</v>
      </c>
    </row>
    <row r="1589" spans="4:18" x14ac:dyDescent="0.2">
      <c r="D1589" t="s">
        <v>53</v>
      </c>
      <c r="E1589" t="s">
        <v>54</v>
      </c>
      <c r="F1589" t="s">
        <v>55</v>
      </c>
      <c r="G1589" t="s">
        <v>145</v>
      </c>
      <c r="H1589" t="s">
        <v>145</v>
      </c>
      <c r="I1589" t="s">
        <v>43</v>
      </c>
      <c r="J1589" t="s">
        <v>44</v>
      </c>
      <c r="K1589" t="s">
        <v>30</v>
      </c>
      <c r="L1589" t="s">
        <v>31</v>
      </c>
      <c r="M1589" t="s">
        <v>140</v>
      </c>
      <c r="N1589">
        <v>0.98464116300000004</v>
      </c>
      <c r="O1589">
        <v>6.8921809999999998E-3</v>
      </c>
      <c r="P1589">
        <v>1.3839445000000001E-2</v>
      </c>
      <c r="Q1589" t="str">
        <f t="shared" si="48"/>
        <v>35-49</v>
      </c>
      <c r="R1589" t="str">
        <f t="shared" si="49"/>
        <v>[cPtvxaZqXIH]|35-49|Female|PopART.Rt.T_1|CY2024Q3</v>
      </c>
    </row>
    <row r="1590" spans="4:18" x14ac:dyDescent="0.2">
      <c r="D1590" t="s">
        <v>53</v>
      </c>
      <c r="E1590" t="s">
        <v>54</v>
      </c>
      <c r="F1590" t="s">
        <v>55</v>
      </c>
      <c r="G1590" t="s">
        <v>145</v>
      </c>
      <c r="H1590" t="s">
        <v>145</v>
      </c>
      <c r="I1590" t="s">
        <v>45</v>
      </c>
      <c r="J1590" t="s">
        <v>46</v>
      </c>
      <c r="K1590" t="s">
        <v>30</v>
      </c>
      <c r="L1590" t="s">
        <v>31</v>
      </c>
      <c r="M1590" t="s">
        <v>140</v>
      </c>
      <c r="N1590">
        <v>0.98948808600000004</v>
      </c>
      <c r="O1590">
        <v>4.7598190000000002E-3</v>
      </c>
      <c r="P1590">
        <v>1.3839445000000001E-2</v>
      </c>
      <c r="Q1590" t="str">
        <f t="shared" si="48"/>
        <v>50+</v>
      </c>
      <c r="R1590" t="str">
        <f t="shared" si="49"/>
        <v>[cPtvxaZqXIH]|50+|Female|PopART.Rt.T_1|CY2024Q3</v>
      </c>
    </row>
    <row r="1591" spans="4:18" x14ac:dyDescent="0.2">
      <c r="D1591" t="s">
        <v>53</v>
      </c>
      <c r="E1591" t="s">
        <v>54</v>
      </c>
      <c r="F1591" t="s">
        <v>55</v>
      </c>
      <c r="G1591" t="s">
        <v>145</v>
      </c>
      <c r="H1591" t="s">
        <v>145</v>
      </c>
      <c r="I1591" t="s">
        <v>28</v>
      </c>
      <c r="J1591" t="s">
        <v>29</v>
      </c>
      <c r="K1591" t="s">
        <v>48</v>
      </c>
      <c r="L1591" t="s">
        <v>49</v>
      </c>
      <c r="M1591" t="s">
        <v>140</v>
      </c>
      <c r="N1591">
        <v>0.69165352899999999</v>
      </c>
      <c r="O1591">
        <v>6.3706416000000002E-2</v>
      </c>
      <c r="P1591">
        <v>1.3839445000000001E-2</v>
      </c>
      <c r="Q1591" t="str">
        <f t="shared" si="48"/>
        <v>&lt;01</v>
      </c>
      <c r="R1591" t="str">
        <f t="shared" si="49"/>
        <v>[cPtvxaZqXIH]|&lt;01|Male|PopART.Rt.T_1|CY2024Q3</v>
      </c>
    </row>
    <row r="1592" spans="4:18" x14ac:dyDescent="0.2">
      <c r="D1592" t="s">
        <v>53</v>
      </c>
      <c r="E1592" t="s">
        <v>54</v>
      </c>
      <c r="F1592" t="s">
        <v>55</v>
      </c>
      <c r="G1592" t="s">
        <v>145</v>
      </c>
      <c r="H1592" t="s">
        <v>145</v>
      </c>
      <c r="I1592" t="s">
        <v>33</v>
      </c>
      <c r="J1592" t="s">
        <v>34</v>
      </c>
      <c r="K1592" t="s">
        <v>48</v>
      </c>
      <c r="L1592" t="s">
        <v>49</v>
      </c>
      <c r="M1592" t="s">
        <v>140</v>
      </c>
      <c r="N1592">
        <v>0.73843608199999999</v>
      </c>
      <c r="O1592">
        <v>6.0922880999999998E-2</v>
      </c>
      <c r="P1592">
        <v>1.3839445000000001E-2</v>
      </c>
      <c r="Q1592" t="str">
        <f t="shared" si="48"/>
        <v>01-09</v>
      </c>
      <c r="R1592" t="str">
        <f t="shared" si="49"/>
        <v>[cPtvxaZqXIH]|01-09|Male|PopART.Rt.T_1|CY2024Q3</v>
      </c>
    </row>
    <row r="1593" spans="4:18" x14ac:dyDescent="0.2">
      <c r="D1593" t="s">
        <v>53</v>
      </c>
      <c r="E1593" t="s">
        <v>54</v>
      </c>
      <c r="F1593" t="s">
        <v>55</v>
      </c>
      <c r="G1593" t="s">
        <v>145</v>
      </c>
      <c r="H1593" t="s">
        <v>145</v>
      </c>
      <c r="I1593" t="s">
        <v>36</v>
      </c>
      <c r="J1593" t="s">
        <v>37</v>
      </c>
      <c r="K1593" t="s">
        <v>48</v>
      </c>
      <c r="L1593" t="s">
        <v>49</v>
      </c>
      <c r="M1593" t="s">
        <v>140</v>
      </c>
      <c r="N1593">
        <v>0.771795283</v>
      </c>
      <c r="O1593">
        <v>5.3338979000000002E-2</v>
      </c>
      <c r="P1593">
        <v>1.3839445000000001E-2</v>
      </c>
      <c r="Q1593" t="str">
        <f t="shared" si="48"/>
        <v>10-14</v>
      </c>
      <c r="R1593" t="str">
        <f t="shared" si="49"/>
        <v>[cPtvxaZqXIH]|10-14|Male|PopART.Rt.T_1|CY2024Q3</v>
      </c>
    </row>
    <row r="1594" spans="4:18" x14ac:dyDescent="0.2">
      <c r="D1594" t="s">
        <v>53</v>
      </c>
      <c r="E1594" t="s">
        <v>54</v>
      </c>
      <c r="F1594" t="s">
        <v>55</v>
      </c>
      <c r="G1594" t="s">
        <v>145</v>
      </c>
      <c r="H1594" t="s">
        <v>145</v>
      </c>
      <c r="I1594" t="s">
        <v>38</v>
      </c>
      <c r="J1594" t="s">
        <v>39</v>
      </c>
      <c r="K1594" t="s">
        <v>48</v>
      </c>
      <c r="L1594" t="s">
        <v>49</v>
      </c>
      <c r="M1594" t="s">
        <v>140</v>
      </c>
      <c r="N1594">
        <v>0.91544905799999998</v>
      </c>
      <c r="O1594">
        <v>3.3821165E-2</v>
      </c>
      <c r="P1594">
        <v>1.3839445000000001E-2</v>
      </c>
      <c r="Q1594" t="str">
        <f t="shared" si="48"/>
        <v>15-24</v>
      </c>
      <c r="R1594" t="str">
        <f t="shared" si="49"/>
        <v>[cPtvxaZqXIH]|15-24|Male|PopART.Rt.T_1|CY2024Q3</v>
      </c>
    </row>
    <row r="1595" spans="4:18" x14ac:dyDescent="0.2">
      <c r="D1595" t="s">
        <v>53</v>
      </c>
      <c r="E1595" t="s">
        <v>54</v>
      </c>
      <c r="F1595" t="s">
        <v>55</v>
      </c>
      <c r="G1595" t="s">
        <v>145</v>
      </c>
      <c r="H1595" t="s">
        <v>145</v>
      </c>
      <c r="I1595" t="s">
        <v>41</v>
      </c>
      <c r="J1595" t="s">
        <v>42</v>
      </c>
      <c r="K1595" t="s">
        <v>48</v>
      </c>
      <c r="L1595" t="s">
        <v>49</v>
      </c>
      <c r="M1595" t="s">
        <v>140</v>
      </c>
      <c r="N1595">
        <v>0.890155629</v>
      </c>
      <c r="O1595">
        <v>4.2249319E-2</v>
      </c>
      <c r="P1595">
        <v>1.3839445000000001E-2</v>
      </c>
      <c r="Q1595" t="str">
        <f t="shared" si="48"/>
        <v>25-34</v>
      </c>
      <c r="R1595" t="str">
        <f t="shared" si="49"/>
        <v>[cPtvxaZqXIH]|25-34|Male|PopART.Rt.T_1|CY2024Q3</v>
      </c>
    </row>
    <row r="1596" spans="4:18" x14ac:dyDescent="0.2">
      <c r="D1596" t="s">
        <v>53</v>
      </c>
      <c r="E1596" t="s">
        <v>54</v>
      </c>
      <c r="F1596" t="s">
        <v>55</v>
      </c>
      <c r="G1596" t="s">
        <v>145</v>
      </c>
      <c r="H1596" t="s">
        <v>145</v>
      </c>
      <c r="I1596" t="s">
        <v>43</v>
      </c>
      <c r="J1596" t="s">
        <v>44</v>
      </c>
      <c r="K1596" t="s">
        <v>48</v>
      </c>
      <c r="L1596" t="s">
        <v>49</v>
      </c>
      <c r="M1596" t="s">
        <v>140</v>
      </c>
      <c r="N1596">
        <v>0.93335633299999998</v>
      </c>
      <c r="O1596">
        <v>2.3789237000000001E-2</v>
      </c>
      <c r="P1596">
        <v>1.3839445000000001E-2</v>
      </c>
      <c r="Q1596" t="str">
        <f t="shared" si="48"/>
        <v>35-49</v>
      </c>
      <c r="R1596" t="str">
        <f t="shared" si="49"/>
        <v>[cPtvxaZqXIH]|35-49|Male|PopART.Rt.T_1|CY2024Q3</v>
      </c>
    </row>
    <row r="1597" spans="4:18" x14ac:dyDescent="0.2">
      <c r="D1597" t="s">
        <v>53</v>
      </c>
      <c r="E1597" t="s">
        <v>54</v>
      </c>
      <c r="F1597" t="s">
        <v>55</v>
      </c>
      <c r="G1597" t="s">
        <v>145</v>
      </c>
      <c r="H1597" t="s">
        <v>145</v>
      </c>
      <c r="I1597" t="s">
        <v>45</v>
      </c>
      <c r="J1597" t="s">
        <v>46</v>
      </c>
      <c r="K1597" t="s">
        <v>48</v>
      </c>
      <c r="L1597" t="s">
        <v>49</v>
      </c>
      <c r="M1597" t="s">
        <v>140</v>
      </c>
      <c r="N1597">
        <v>0.95438316400000001</v>
      </c>
      <c r="O1597">
        <v>1.8767953E-2</v>
      </c>
      <c r="P1597">
        <v>1.3839445000000001E-2</v>
      </c>
      <c r="Q1597" t="str">
        <f t="shared" si="48"/>
        <v>50+</v>
      </c>
      <c r="R1597" t="str">
        <f t="shared" si="49"/>
        <v>[cPtvxaZqXIH]|50+|Male|PopART.Rt.T_1|CY2024Q3</v>
      </c>
    </row>
    <row r="1598" spans="4:18" x14ac:dyDescent="0.2">
      <c r="D1598" t="s">
        <v>60</v>
      </c>
      <c r="E1598" t="s">
        <v>61</v>
      </c>
      <c r="F1598" t="s">
        <v>62</v>
      </c>
      <c r="G1598" t="s">
        <v>145</v>
      </c>
      <c r="H1598" t="s">
        <v>145</v>
      </c>
      <c r="I1598" t="s">
        <v>28</v>
      </c>
      <c r="J1598" t="s">
        <v>29</v>
      </c>
      <c r="K1598" t="s">
        <v>30</v>
      </c>
      <c r="L1598" t="s">
        <v>31</v>
      </c>
      <c r="M1598" t="s">
        <v>140</v>
      </c>
      <c r="N1598">
        <v>0.60395633000000004</v>
      </c>
      <c r="O1598">
        <v>6.3719889000000002E-2</v>
      </c>
      <c r="P1598">
        <v>1.5837819999999999E-2</v>
      </c>
      <c r="Q1598" t="str">
        <f t="shared" si="48"/>
        <v>&lt;01</v>
      </c>
      <c r="R1598" t="str">
        <f t="shared" si="49"/>
        <v>[E7zpfyBt7Tw]|&lt;01|Female|PopART.Rt.T_1|CY2024Q3</v>
      </c>
    </row>
    <row r="1599" spans="4:18" x14ac:dyDescent="0.2">
      <c r="D1599" t="s">
        <v>60</v>
      </c>
      <c r="E1599" t="s">
        <v>61</v>
      </c>
      <c r="F1599" t="s">
        <v>62</v>
      </c>
      <c r="G1599" t="s">
        <v>145</v>
      </c>
      <c r="H1599" t="s">
        <v>145</v>
      </c>
      <c r="I1599" t="s">
        <v>33</v>
      </c>
      <c r="J1599" t="s">
        <v>34</v>
      </c>
      <c r="K1599" t="s">
        <v>30</v>
      </c>
      <c r="L1599" t="s">
        <v>31</v>
      </c>
      <c r="M1599" t="s">
        <v>140</v>
      </c>
      <c r="N1599">
        <v>0.65018489199999996</v>
      </c>
      <c r="O1599">
        <v>6.1776361000000002E-2</v>
      </c>
      <c r="P1599">
        <v>1.5837819999999999E-2</v>
      </c>
      <c r="Q1599" t="str">
        <f t="shared" si="48"/>
        <v>01-09</v>
      </c>
      <c r="R1599" t="str">
        <f t="shared" si="49"/>
        <v>[E7zpfyBt7Tw]|01-09|Female|PopART.Rt.T_1|CY2024Q3</v>
      </c>
    </row>
    <row r="1600" spans="4:18" x14ac:dyDescent="0.2">
      <c r="D1600" t="s">
        <v>60</v>
      </c>
      <c r="E1600" t="s">
        <v>61</v>
      </c>
      <c r="F1600" t="s">
        <v>62</v>
      </c>
      <c r="G1600" t="s">
        <v>145</v>
      </c>
      <c r="H1600" t="s">
        <v>145</v>
      </c>
      <c r="I1600" t="s">
        <v>36</v>
      </c>
      <c r="J1600" t="s">
        <v>37</v>
      </c>
      <c r="K1600" t="s">
        <v>30</v>
      </c>
      <c r="L1600" t="s">
        <v>31</v>
      </c>
      <c r="M1600" t="s">
        <v>140</v>
      </c>
      <c r="N1600">
        <v>0.69107622199999996</v>
      </c>
      <c r="O1600">
        <v>5.2211191999999997E-2</v>
      </c>
      <c r="P1600">
        <v>1.5837819999999999E-2</v>
      </c>
      <c r="Q1600" t="str">
        <f t="shared" si="48"/>
        <v>10-14</v>
      </c>
      <c r="R1600" t="str">
        <f t="shared" si="49"/>
        <v>[E7zpfyBt7Tw]|10-14|Female|PopART.Rt.T_1|CY2024Q3</v>
      </c>
    </row>
    <row r="1601" spans="4:18" x14ac:dyDescent="0.2">
      <c r="D1601" t="s">
        <v>60</v>
      </c>
      <c r="E1601" t="s">
        <v>61</v>
      </c>
      <c r="F1601" t="s">
        <v>62</v>
      </c>
      <c r="G1601" t="s">
        <v>145</v>
      </c>
      <c r="H1601" t="s">
        <v>145</v>
      </c>
      <c r="I1601" t="s">
        <v>38</v>
      </c>
      <c r="J1601" t="s">
        <v>39</v>
      </c>
      <c r="K1601" t="s">
        <v>30</v>
      </c>
      <c r="L1601" t="s">
        <v>31</v>
      </c>
      <c r="M1601" t="s">
        <v>140</v>
      </c>
      <c r="N1601">
        <v>0.93130131999999999</v>
      </c>
      <c r="O1601">
        <v>2.9282669000000001E-2</v>
      </c>
      <c r="P1601">
        <v>1.5837819999999999E-2</v>
      </c>
      <c r="Q1601" t="str">
        <f t="shared" si="48"/>
        <v>15-24</v>
      </c>
      <c r="R1601" t="str">
        <f t="shared" si="49"/>
        <v>[E7zpfyBt7Tw]|15-24|Female|PopART.Rt.T_1|CY2024Q3</v>
      </c>
    </row>
    <row r="1602" spans="4:18" x14ac:dyDescent="0.2">
      <c r="D1602" t="s">
        <v>60</v>
      </c>
      <c r="E1602" t="s">
        <v>61</v>
      </c>
      <c r="F1602" t="s">
        <v>62</v>
      </c>
      <c r="G1602" t="s">
        <v>145</v>
      </c>
      <c r="H1602" t="s">
        <v>145</v>
      </c>
      <c r="I1602" t="s">
        <v>41</v>
      </c>
      <c r="J1602" t="s">
        <v>42</v>
      </c>
      <c r="K1602" t="s">
        <v>30</v>
      </c>
      <c r="L1602" t="s">
        <v>31</v>
      </c>
      <c r="M1602" t="s">
        <v>140</v>
      </c>
      <c r="N1602">
        <v>0.96306522699999997</v>
      </c>
      <c r="O1602">
        <v>1.5773372000000001E-2</v>
      </c>
      <c r="P1602">
        <v>1.5837819999999999E-2</v>
      </c>
      <c r="Q1602" t="str">
        <f t="shared" si="48"/>
        <v>25-34</v>
      </c>
      <c r="R1602" t="str">
        <f t="shared" si="49"/>
        <v>[E7zpfyBt7Tw]|25-34|Female|PopART.Rt.T_1|CY2024Q3</v>
      </c>
    </row>
    <row r="1603" spans="4:18" x14ac:dyDescent="0.2">
      <c r="D1603" t="s">
        <v>60</v>
      </c>
      <c r="E1603" t="s">
        <v>61</v>
      </c>
      <c r="F1603" t="s">
        <v>62</v>
      </c>
      <c r="G1603" t="s">
        <v>145</v>
      </c>
      <c r="H1603" t="s">
        <v>145</v>
      </c>
      <c r="I1603" t="s">
        <v>43</v>
      </c>
      <c r="J1603" t="s">
        <v>44</v>
      </c>
      <c r="K1603" t="s">
        <v>30</v>
      </c>
      <c r="L1603" t="s">
        <v>31</v>
      </c>
      <c r="M1603" t="s">
        <v>140</v>
      </c>
      <c r="N1603">
        <v>0.98181460399999998</v>
      </c>
      <c r="O1603">
        <v>7.9419480000000008E-3</v>
      </c>
      <c r="P1603">
        <v>1.5837819999999999E-2</v>
      </c>
      <c r="Q1603" t="str">
        <f t="shared" ref="Q1603:Q1666" si="50">SUBSTITUTE(SUBSTITUTE($I1603,CHAR(61),""),CHAR(34),"")</f>
        <v>35-49</v>
      </c>
      <c r="R1603" t="str">
        <f t="shared" ref="R1603:R1666" si="51">IF($D1603&lt;&gt;"","["&amp;$E1603&amp;"]"&amp;"|"&amp;$Q1603&amp;"|"&amp;$K1603&amp;"|"&amp;$G1603&amp;"|"&amp;IF($G1603="TX_CURR_SUBNAT.R","CY2023Q4",$M1603),"")</f>
        <v>[E7zpfyBt7Tw]|35-49|Female|PopART.Rt.T_1|CY2024Q3</v>
      </c>
    </row>
    <row r="1604" spans="4:18" x14ac:dyDescent="0.2">
      <c r="D1604" t="s">
        <v>60</v>
      </c>
      <c r="E1604" t="s">
        <v>61</v>
      </c>
      <c r="F1604" t="s">
        <v>62</v>
      </c>
      <c r="G1604" t="s">
        <v>145</v>
      </c>
      <c r="H1604" t="s">
        <v>145</v>
      </c>
      <c r="I1604" t="s">
        <v>45</v>
      </c>
      <c r="J1604" t="s">
        <v>46</v>
      </c>
      <c r="K1604" t="s">
        <v>30</v>
      </c>
      <c r="L1604" t="s">
        <v>31</v>
      </c>
      <c r="M1604" t="s">
        <v>140</v>
      </c>
      <c r="N1604">
        <v>0.98751988199999996</v>
      </c>
      <c r="O1604">
        <v>5.4554979999999996E-3</v>
      </c>
      <c r="P1604">
        <v>1.5837819999999999E-2</v>
      </c>
      <c r="Q1604" t="str">
        <f t="shared" si="50"/>
        <v>50+</v>
      </c>
      <c r="R1604" t="str">
        <f t="shared" si="51"/>
        <v>[E7zpfyBt7Tw]|50+|Female|PopART.Rt.T_1|CY2024Q3</v>
      </c>
    </row>
    <row r="1605" spans="4:18" x14ac:dyDescent="0.2">
      <c r="D1605" t="s">
        <v>60</v>
      </c>
      <c r="E1605" t="s">
        <v>61</v>
      </c>
      <c r="F1605" t="s">
        <v>62</v>
      </c>
      <c r="G1605" t="s">
        <v>145</v>
      </c>
      <c r="H1605" t="s">
        <v>145</v>
      </c>
      <c r="I1605" t="s">
        <v>28</v>
      </c>
      <c r="J1605" t="s">
        <v>29</v>
      </c>
      <c r="K1605" t="s">
        <v>48</v>
      </c>
      <c r="L1605" t="s">
        <v>49</v>
      </c>
      <c r="M1605" t="s">
        <v>140</v>
      </c>
      <c r="N1605">
        <v>0.60418133100000004</v>
      </c>
      <c r="O1605">
        <v>6.3705372999999996E-2</v>
      </c>
      <c r="P1605">
        <v>1.5837819999999999E-2</v>
      </c>
      <c r="Q1605" t="str">
        <f t="shared" si="50"/>
        <v>&lt;01</v>
      </c>
      <c r="R1605" t="str">
        <f t="shared" si="51"/>
        <v>[E7zpfyBt7Tw]|&lt;01|Male|PopART.Rt.T_1|CY2024Q3</v>
      </c>
    </row>
    <row r="1606" spans="4:18" x14ac:dyDescent="0.2">
      <c r="D1606" t="s">
        <v>60</v>
      </c>
      <c r="E1606" t="s">
        <v>61</v>
      </c>
      <c r="F1606" t="s">
        <v>62</v>
      </c>
      <c r="G1606" t="s">
        <v>145</v>
      </c>
      <c r="H1606" t="s">
        <v>145</v>
      </c>
      <c r="I1606" t="s">
        <v>33</v>
      </c>
      <c r="J1606" t="s">
        <v>34</v>
      </c>
      <c r="K1606" t="s">
        <v>48</v>
      </c>
      <c r="L1606" t="s">
        <v>49</v>
      </c>
      <c r="M1606" t="s">
        <v>140</v>
      </c>
      <c r="N1606">
        <v>0.65033589300000005</v>
      </c>
      <c r="O1606">
        <v>6.1063712999999999E-2</v>
      </c>
      <c r="P1606">
        <v>1.5837819999999999E-2</v>
      </c>
      <c r="Q1606" t="str">
        <f t="shared" si="50"/>
        <v>01-09</v>
      </c>
      <c r="R1606" t="str">
        <f t="shared" si="51"/>
        <v>[E7zpfyBt7Tw]|01-09|Male|PopART.Rt.T_1|CY2024Q3</v>
      </c>
    </row>
    <row r="1607" spans="4:18" x14ac:dyDescent="0.2">
      <c r="D1607" t="s">
        <v>60</v>
      </c>
      <c r="E1607" t="s">
        <v>61</v>
      </c>
      <c r="F1607" t="s">
        <v>62</v>
      </c>
      <c r="G1607" t="s">
        <v>145</v>
      </c>
      <c r="H1607" t="s">
        <v>145</v>
      </c>
      <c r="I1607" t="s">
        <v>36</v>
      </c>
      <c r="J1607" t="s">
        <v>37</v>
      </c>
      <c r="K1607" t="s">
        <v>48</v>
      </c>
      <c r="L1607" t="s">
        <v>49</v>
      </c>
      <c r="M1607" t="s">
        <v>140</v>
      </c>
      <c r="N1607">
        <v>0.69084721699999996</v>
      </c>
      <c r="O1607">
        <v>5.4474489000000001E-2</v>
      </c>
      <c r="P1607">
        <v>1.5837819999999999E-2</v>
      </c>
      <c r="Q1607" t="str">
        <f t="shared" si="50"/>
        <v>10-14</v>
      </c>
      <c r="R1607" t="str">
        <f t="shared" si="51"/>
        <v>[E7zpfyBt7Tw]|10-14|Male|PopART.Rt.T_1|CY2024Q3</v>
      </c>
    </row>
    <row r="1608" spans="4:18" x14ac:dyDescent="0.2">
      <c r="D1608" t="s">
        <v>60</v>
      </c>
      <c r="E1608" t="s">
        <v>61</v>
      </c>
      <c r="F1608" t="s">
        <v>62</v>
      </c>
      <c r="G1608" t="s">
        <v>145</v>
      </c>
      <c r="H1608" t="s">
        <v>145</v>
      </c>
      <c r="I1608" t="s">
        <v>38</v>
      </c>
      <c r="J1608" t="s">
        <v>39</v>
      </c>
      <c r="K1608" t="s">
        <v>48</v>
      </c>
      <c r="L1608" t="s">
        <v>49</v>
      </c>
      <c r="M1608" t="s">
        <v>140</v>
      </c>
      <c r="N1608">
        <v>0.89991666599999998</v>
      </c>
      <c r="O1608">
        <v>3.7685614999999999E-2</v>
      </c>
      <c r="P1608">
        <v>1.5837819999999999E-2</v>
      </c>
      <c r="Q1608" t="str">
        <f t="shared" si="50"/>
        <v>15-24</v>
      </c>
      <c r="R1608" t="str">
        <f t="shared" si="51"/>
        <v>[E7zpfyBt7Tw]|15-24|Male|PopART.Rt.T_1|CY2024Q3</v>
      </c>
    </row>
    <row r="1609" spans="4:18" x14ac:dyDescent="0.2">
      <c r="D1609" t="s">
        <v>60</v>
      </c>
      <c r="E1609" t="s">
        <v>61</v>
      </c>
      <c r="F1609" t="s">
        <v>62</v>
      </c>
      <c r="G1609" t="s">
        <v>145</v>
      </c>
      <c r="H1609" t="s">
        <v>145</v>
      </c>
      <c r="I1609" t="s">
        <v>41</v>
      </c>
      <c r="J1609" t="s">
        <v>42</v>
      </c>
      <c r="K1609" t="s">
        <v>48</v>
      </c>
      <c r="L1609" t="s">
        <v>49</v>
      </c>
      <c r="M1609" t="s">
        <v>140</v>
      </c>
      <c r="N1609">
        <v>0.87060098799999996</v>
      </c>
      <c r="O1609">
        <v>4.6799196000000001E-2</v>
      </c>
      <c r="P1609">
        <v>1.5837819999999999E-2</v>
      </c>
      <c r="Q1609" t="str">
        <f t="shared" si="50"/>
        <v>25-34</v>
      </c>
      <c r="R1609" t="str">
        <f t="shared" si="51"/>
        <v>[E7zpfyBt7Tw]|25-34|Male|PopART.Rt.T_1|CY2024Q3</v>
      </c>
    </row>
    <row r="1610" spans="4:18" x14ac:dyDescent="0.2">
      <c r="D1610" t="s">
        <v>60</v>
      </c>
      <c r="E1610" t="s">
        <v>61</v>
      </c>
      <c r="F1610" t="s">
        <v>62</v>
      </c>
      <c r="G1610" t="s">
        <v>145</v>
      </c>
      <c r="H1610" t="s">
        <v>145</v>
      </c>
      <c r="I1610" t="s">
        <v>43</v>
      </c>
      <c r="J1610" t="s">
        <v>44</v>
      </c>
      <c r="K1610" t="s">
        <v>48</v>
      </c>
      <c r="L1610" t="s">
        <v>49</v>
      </c>
      <c r="M1610" t="s">
        <v>140</v>
      </c>
      <c r="N1610">
        <v>0.92083868099999999</v>
      </c>
      <c r="O1610">
        <v>2.6132969999999998E-2</v>
      </c>
      <c r="P1610">
        <v>1.5837819999999999E-2</v>
      </c>
      <c r="Q1610" t="str">
        <f t="shared" si="50"/>
        <v>35-49</v>
      </c>
      <c r="R1610" t="str">
        <f t="shared" si="51"/>
        <v>[E7zpfyBt7Tw]|35-49|Male|PopART.Rt.T_1|CY2024Q3</v>
      </c>
    </row>
    <row r="1611" spans="4:18" x14ac:dyDescent="0.2">
      <c r="D1611" t="s">
        <v>60</v>
      </c>
      <c r="E1611" t="s">
        <v>61</v>
      </c>
      <c r="F1611" t="s">
        <v>62</v>
      </c>
      <c r="G1611" t="s">
        <v>145</v>
      </c>
      <c r="H1611" t="s">
        <v>145</v>
      </c>
      <c r="I1611" t="s">
        <v>45</v>
      </c>
      <c r="J1611" t="s">
        <v>46</v>
      </c>
      <c r="K1611" t="s">
        <v>48</v>
      </c>
      <c r="L1611" t="s">
        <v>49</v>
      </c>
      <c r="M1611" t="s">
        <v>140</v>
      </c>
      <c r="N1611">
        <v>0.94559209499999997</v>
      </c>
      <c r="O1611">
        <v>2.1416107E-2</v>
      </c>
      <c r="P1611">
        <v>1.5837819999999999E-2</v>
      </c>
      <c r="Q1611" t="str">
        <f t="shared" si="50"/>
        <v>50+</v>
      </c>
      <c r="R1611" t="str">
        <f t="shared" si="51"/>
        <v>[E7zpfyBt7Tw]|50+|Male|PopART.Rt.T_1|CY2024Q3</v>
      </c>
    </row>
    <row r="1612" spans="4:18" x14ac:dyDescent="0.2">
      <c r="D1612" t="s">
        <v>63</v>
      </c>
      <c r="E1612" t="s">
        <v>64</v>
      </c>
      <c r="F1612" t="s">
        <v>65</v>
      </c>
      <c r="G1612" t="s">
        <v>145</v>
      </c>
      <c r="H1612" t="s">
        <v>145</v>
      </c>
      <c r="I1612" t="s">
        <v>28</v>
      </c>
      <c r="J1612" t="s">
        <v>29</v>
      </c>
      <c r="K1612" t="s">
        <v>30</v>
      </c>
      <c r="L1612" t="s">
        <v>31</v>
      </c>
      <c r="M1612" t="s">
        <v>140</v>
      </c>
      <c r="N1612">
        <v>0.66197463300000003</v>
      </c>
      <c r="O1612">
        <v>6.9112152999999996E-2</v>
      </c>
      <c r="P1612">
        <v>1.6986883000000001E-2</v>
      </c>
      <c r="Q1612" t="str">
        <f t="shared" si="50"/>
        <v>&lt;01</v>
      </c>
      <c r="R1612" t="str">
        <f t="shared" si="51"/>
        <v>[lPTyjLi4w3d]|&lt;01|Female|PopART.Rt.T_1|CY2024Q3</v>
      </c>
    </row>
    <row r="1613" spans="4:18" x14ac:dyDescent="0.2">
      <c r="D1613" t="s">
        <v>63</v>
      </c>
      <c r="E1613" t="s">
        <v>64</v>
      </c>
      <c r="F1613" t="s">
        <v>65</v>
      </c>
      <c r="G1613" t="s">
        <v>145</v>
      </c>
      <c r="H1613" t="s">
        <v>145</v>
      </c>
      <c r="I1613" t="s">
        <v>33</v>
      </c>
      <c r="J1613" t="s">
        <v>34</v>
      </c>
      <c r="K1613" t="s">
        <v>30</v>
      </c>
      <c r="L1613" t="s">
        <v>31</v>
      </c>
      <c r="M1613" t="s">
        <v>140</v>
      </c>
      <c r="N1613">
        <v>0.70896089900000003</v>
      </c>
      <c r="O1613">
        <v>6.6823878000000003E-2</v>
      </c>
      <c r="P1613">
        <v>1.6986883000000001E-2</v>
      </c>
      <c r="Q1613" t="str">
        <f t="shared" si="50"/>
        <v>01-09</v>
      </c>
      <c r="R1613" t="str">
        <f t="shared" si="51"/>
        <v>[lPTyjLi4w3d]|01-09|Female|PopART.Rt.T_1|CY2024Q3</v>
      </c>
    </row>
    <row r="1614" spans="4:18" x14ac:dyDescent="0.2">
      <c r="D1614" t="s">
        <v>63</v>
      </c>
      <c r="E1614" t="s">
        <v>64</v>
      </c>
      <c r="F1614" t="s">
        <v>65</v>
      </c>
      <c r="G1614" t="s">
        <v>145</v>
      </c>
      <c r="H1614" t="s">
        <v>145</v>
      </c>
      <c r="I1614" t="s">
        <v>36</v>
      </c>
      <c r="J1614" t="s">
        <v>37</v>
      </c>
      <c r="K1614" t="s">
        <v>30</v>
      </c>
      <c r="L1614" t="s">
        <v>31</v>
      </c>
      <c r="M1614" t="s">
        <v>140</v>
      </c>
      <c r="N1614">
        <v>0.74536502100000002</v>
      </c>
      <c r="O1614">
        <v>5.6069810999999997E-2</v>
      </c>
      <c r="P1614">
        <v>1.6986883000000001E-2</v>
      </c>
      <c r="Q1614" t="str">
        <f t="shared" si="50"/>
        <v>10-14</v>
      </c>
      <c r="R1614" t="str">
        <f t="shared" si="51"/>
        <v>[lPTyjLi4w3d]|10-14|Female|PopART.Rt.T_1|CY2024Q3</v>
      </c>
    </row>
    <row r="1615" spans="4:18" x14ac:dyDescent="0.2">
      <c r="D1615" t="s">
        <v>63</v>
      </c>
      <c r="E1615" t="s">
        <v>64</v>
      </c>
      <c r="F1615" t="s">
        <v>65</v>
      </c>
      <c r="G1615" t="s">
        <v>145</v>
      </c>
      <c r="H1615" t="s">
        <v>145</v>
      </c>
      <c r="I1615" t="s">
        <v>38</v>
      </c>
      <c r="J1615" t="s">
        <v>39</v>
      </c>
      <c r="K1615" t="s">
        <v>30</v>
      </c>
      <c r="L1615" t="s">
        <v>31</v>
      </c>
      <c r="M1615" t="s">
        <v>140</v>
      </c>
      <c r="N1615">
        <v>0.93293244500000005</v>
      </c>
      <c r="O1615">
        <v>3.1590782999999997E-2</v>
      </c>
      <c r="P1615">
        <v>1.6986883000000001E-2</v>
      </c>
      <c r="Q1615" t="str">
        <f t="shared" si="50"/>
        <v>15-24</v>
      </c>
      <c r="R1615" t="str">
        <f t="shared" si="51"/>
        <v>[lPTyjLi4w3d]|15-24|Female|PopART.Rt.T_1|CY2024Q3</v>
      </c>
    </row>
    <row r="1616" spans="4:18" x14ac:dyDescent="0.2">
      <c r="D1616" t="s">
        <v>63</v>
      </c>
      <c r="E1616" t="s">
        <v>64</v>
      </c>
      <c r="F1616" t="s">
        <v>65</v>
      </c>
      <c r="G1616" t="s">
        <v>145</v>
      </c>
      <c r="H1616" t="s">
        <v>145</v>
      </c>
      <c r="I1616" t="s">
        <v>41</v>
      </c>
      <c r="J1616" t="s">
        <v>42</v>
      </c>
      <c r="K1616" t="s">
        <v>30</v>
      </c>
      <c r="L1616" t="s">
        <v>31</v>
      </c>
      <c r="M1616" t="s">
        <v>140</v>
      </c>
      <c r="N1616">
        <v>0.96423711199999995</v>
      </c>
      <c r="O1616">
        <v>1.6516846000000002E-2</v>
      </c>
      <c r="P1616">
        <v>1.6986883000000001E-2</v>
      </c>
      <c r="Q1616" t="str">
        <f t="shared" si="50"/>
        <v>25-34</v>
      </c>
      <c r="R1616" t="str">
        <f t="shared" si="51"/>
        <v>[lPTyjLi4w3d]|25-34|Female|PopART.Rt.T_1|CY2024Q3</v>
      </c>
    </row>
    <row r="1617" spans="4:18" x14ac:dyDescent="0.2">
      <c r="D1617" t="s">
        <v>63</v>
      </c>
      <c r="E1617" t="s">
        <v>64</v>
      </c>
      <c r="F1617" t="s">
        <v>65</v>
      </c>
      <c r="G1617" t="s">
        <v>145</v>
      </c>
      <c r="H1617" t="s">
        <v>145</v>
      </c>
      <c r="I1617" t="s">
        <v>43</v>
      </c>
      <c r="J1617" t="s">
        <v>44</v>
      </c>
      <c r="K1617" t="s">
        <v>30</v>
      </c>
      <c r="L1617" t="s">
        <v>31</v>
      </c>
      <c r="M1617" t="s">
        <v>140</v>
      </c>
      <c r="N1617">
        <v>0.98222830699999997</v>
      </c>
      <c r="O1617">
        <v>8.4519739999999993E-3</v>
      </c>
      <c r="P1617">
        <v>1.6986883000000001E-2</v>
      </c>
      <c r="Q1617" t="str">
        <f t="shared" si="50"/>
        <v>35-49</v>
      </c>
      <c r="R1617" t="str">
        <f t="shared" si="51"/>
        <v>[lPTyjLi4w3d]|35-49|Female|PopART.Rt.T_1|CY2024Q3</v>
      </c>
    </row>
    <row r="1618" spans="4:18" x14ac:dyDescent="0.2">
      <c r="D1618" t="s">
        <v>63</v>
      </c>
      <c r="E1618" t="s">
        <v>64</v>
      </c>
      <c r="F1618" t="s">
        <v>65</v>
      </c>
      <c r="G1618" t="s">
        <v>145</v>
      </c>
      <c r="H1618" t="s">
        <v>145</v>
      </c>
      <c r="I1618" t="s">
        <v>45</v>
      </c>
      <c r="J1618" t="s">
        <v>46</v>
      </c>
      <c r="K1618" t="s">
        <v>30</v>
      </c>
      <c r="L1618" t="s">
        <v>31</v>
      </c>
      <c r="M1618" t="s">
        <v>140</v>
      </c>
      <c r="N1618">
        <v>0.98776393200000001</v>
      </c>
      <c r="O1618">
        <v>5.908857E-3</v>
      </c>
      <c r="P1618">
        <v>1.6986883000000001E-2</v>
      </c>
      <c r="Q1618" t="str">
        <f t="shared" si="50"/>
        <v>50+</v>
      </c>
      <c r="R1618" t="str">
        <f t="shared" si="51"/>
        <v>[lPTyjLi4w3d]|50+|Female|PopART.Rt.T_1|CY2024Q3</v>
      </c>
    </row>
    <row r="1619" spans="4:18" x14ac:dyDescent="0.2">
      <c r="D1619" t="s">
        <v>63</v>
      </c>
      <c r="E1619" t="s">
        <v>64</v>
      </c>
      <c r="F1619" t="s">
        <v>65</v>
      </c>
      <c r="G1619" t="s">
        <v>145</v>
      </c>
      <c r="H1619" t="s">
        <v>145</v>
      </c>
      <c r="I1619" t="s">
        <v>28</v>
      </c>
      <c r="J1619" t="s">
        <v>29</v>
      </c>
      <c r="K1619" t="s">
        <v>48</v>
      </c>
      <c r="L1619" t="s">
        <v>49</v>
      </c>
      <c r="M1619" t="s">
        <v>140</v>
      </c>
      <c r="N1619">
        <v>0.66174916900000003</v>
      </c>
      <c r="O1619">
        <v>6.9357651000000006E-2</v>
      </c>
      <c r="P1619">
        <v>1.6986883000000001E-2</v>
      </c>
      <c r="Q1619" t="str">
        <f t="shared" si="50"/>
        <v>&lt;01</v>
      </c>
      <c r="R1619" t="str">
        <f t="shared" si="51"/>
        <v>[lPTyjLi4w3d]|&lt;01|Male|PopART.Rt.T_1|CY2024Q3</v>
      </c>
    </row>
    <row r="1620" spans="4:18" x14ac:dyDescent="0.2">
      <c r="D1620" t="s">
        <v>63</v>
      </c>
      <c r="E1620" t="s">
        <v>64</v>
      </c>
      <c r="F1620" t="s">
        <v>65</v>
      </c>
      <c r="G1620" t="s">
        <v>145</v>
      </c>
      <c r="H1620" t="s">
        <v>145</v>
      </c>
      <c r="I1620" t="s">
        <v>33</v>
      </c>
      <c r="J1620" t="s">
        <v>34</v>
      </c>
      <c r="K1620" t="s">
        <v>48</v>
      </c>
      <c r="L1620" t="s">
        <v>49</v>
      </c>
      <c r="M1620" t="s">
        <v>140</v>
      </c>
      <c r="N1620">
        <v>0.70863553899999998</v>
      </c>
      <c r="O1620">
        <v>6.6361919000000005E-2</v>
      </c>
      <c r="P1620">
        <v>1.6986883000000001E-2</v>
      </c>
      <c r="Q1620" t="str">
        <f t="shared" si="50"/>
        <v>01-09</v>
      </c>
      <c r="R1620" t="str">
        <f t="shared" si="51"/>
        <v>[lPTyjLi4w3d]|01-09|Male|PopART.Rt.T_1|CY2024Q3</v>
      </c>
    </row>
    <row r="1621" spans="4:18" x14ac:dyDescent="0.2">
      <c r="D1621" t="s">
        <v>63</v>
      </c>
      <c r="E1621" t="s">
        <v>64</v>
      </c>
      <c r="F1621" t="s">
        <v>65</v>
      </c>
      <c r="G1621" t="s">
        <v>145</v>
      </c>
      <c r="H1621" t="s">
        <v>145</v>
      </c>
      <c r="I1621" t="s">
        <v>36</v>
      </c>
      <c r="J1621" t="s">
        <v>37</v>
      </c>
      <c r="K1621" t="s">
        <v>48</v>
      </c>
      <c r="L1621" t="s">
        <v>49</v>
      </c>
      <c r="M1621" t="s">
        <v>140</v>
      </c>
      <c r="N1621">
        <v>0.74479041499999998</v>
      </c>
      <c r="O1621">
        <v>5.8442004999999998E-2</v>
      </c>
      <c r="P1621">
        <v>1.6986883000000001E-2</v>
      </c>
      <c r="Q1621" t="str">
        <f t="shared" si="50"/>
        <v>10-14</v>
      </c>
      <c r="R1621" t="str">
        <f t="shared" si="51"/>
        <v>[lPTyjLi4w3d]|10-14|Male|PopART.Rt.T_1|CY2024Q3</v>
      </c>
    </row>
    <row r="1622" spans="4:18" x14ac:dyDescent="0.2">
      <c r="D1622" t="s">
        <v>63</v>
      </c>
      <c r="E1622" t="s">
        <v>64</v>
      </c>
      <c r="F1622" t="s">
        <v>65</v>
      </c>
      <c r="G1622" t="s">
        <v>145</v>
      </c>
      <c r="H1622" t="s">
        <v>145</v>
      </c>
      <c r="I1622" t="s">
        <v>38</v>
      </c>
      <c r="J1622" t="s">
        <v>39</v>
      </c>
      <c r="K1622" t="s">
        <v>48</v>
      </c>
      <c r="L1622" t="s">
        <v>49</v>
      </c>
      <c r="M1622" t="s">
        <v>140</v>
      </c>
      <c r="N1622">
        <v>0.903059948</v>
      </c>
      <c r="O1622">
        <v>4.1037533000000001E-2</v>
      </c>
      <c r="P1622">
        <v>1.6986883000000001E-2</v>
      </c>
      <c r="Q1622" t="str">
        <f t="shared" si="50"/>
        <v>15-24</v>
      </c>
      <c r="R1622" t="str">
        <f t="shared" si="51"/>
        <v>[lPTyjLi4w3d]|15-24|Male|PopART.Rt.T_1|CY2024Q3</v>
      </c>
    </row>
    <row r="1623" spans="4:18" x14ac:dyDescent="0.2">
      <c r="D1623" t="s">
        <v>63</v>
      </c>
      <c r="E1623" t="s">
        <v>64</v>
      </c>
      <c r="F1623" t="s">
        <v>65</v>
      </c>
      <c r="G1623" t="s">
        <v>145</v>
      </c>
      <c r="H1623" t="s">
        <v>145</v>
      </c>
      <c r="I1623" t="s">
        <v>41</v>
      </c>
      <c r="J1623" t="s">
        <v>42</v>
      </c>
      <c r="K1623" t="s">
        <v>48</v>
      </c>
      <c r="L1623" t="s">
        <v>49</v>
      </c>
      <c r="M1623" t="s">
        <v>140</v>
      </c>
      <c r="N1623">
        <v>0.87441124999999997</v>
      </c>
      <c r="O1623">
        <v>5.0365923E-2</v>
      </c>
      <c r="P1623">
        <v>1.6986883000000001E-2</v>
      </c>
      <c r="Q1623" t="str">
        <f t="shared" si="50"/>
        <v>25-34</v>
      </c>
      <c r="R1623" t="str">
        <f t="shared" si="51"/>
        <v>[lPTyjLi4w3d]|25-34|Male|PopART.Rt.T_1|CY2024Q3</v>
      </c>
    </row>
    <row r="1624" spans="4:18" x14ac:dyDescent="0.2">
      <c r="D1624" t="s">
        <v>63</v>
      </c>
      <c r="E1624" t="s">
        <v>64</v>
      </c>
      <c r="F1624" t="s">
        <v>65</v>
      </c>
      <c r="G1624" t="s">
        <v>145</v>
      </c>
      <c r="H1624" t="s">
        <v>145</v>
      </c>
      <c r="I1624" t="s">
        <v>43</v>
      </c>
      <c r="J1624" t="s">
        <v>44</v>
      </c>
      <c r="K1624" t="s">
        <v>48</v>
      </c>
      <c r="L1624" t="s">
        <v>49</v>
      </c>
      <c r="M1624" t="s">
        <v>140</v>
      </c>
      <c r="N1624">
        <v>0.92321659099999998</v>
      </c>
      <c r="O1624">
        <v>2.8220245000000001E-2</v>
      </c>
      <c r="P1624">
        <v>1.6986883000000001E-2</v>
      </c>
      <c r="Q1624" t="str">
        <f t="shared" si="50"/>
        <v>35-49</v>
      </c>
      <c r="R1624" t="str">
        <f t="shared" si="51"/>
        <v>[lPTyjLi4w3d]|35-49|Male|PopART.Rt.T_1|CY2024Q3</v>
      </c>
    </row>
    <row r="1625" spans="4:18" x14ac:dyDescent="0.2">
      <c r="D1625" t="s">
        <v>63</v>
      </c>
      <c r="E1625" t="s">
        <v>64</v>
      </c>
      <c r="F1625" t="s">
        <v>65</v>
      </c>
      <c r="G1625" t="s">
        <v>145</v>
      </c>
      <c r="H1625" t="s">
        <v>145</v>
      </c>
      <c r="I1625" t="s">
        <v>45</v>
      </c>
      <c r="J1625" t="s">
        <v>46</v>
      </c>
      <c r="K1625" t="s">
        <v>48</v>
      </c>
      <c r="L1625" t="s">
        <v>49</v>
      </c>
      <c r="M1625" t="s">
        <v>140</v>
      </c>
      <c r="N1625">
        <v>0.94738130499999995</v>
      </c>
      <c r="O1625">
        <v>2.2477764000000001E-2</v>
      </c>
      <c r="P1625">
        <v>1.6986883000000001E-2</v>
      </c>
      <c r="Q1625" t="str">
        <f t="shared" si="50"/>
        <v>50+</v>
      </c>
      <c r="R1625" t="str">
        <f t="shared" si="51"/>
        <v>[lPTyjLi4w3d]|50+|Male|PopART.Rt.T_1|CY2024Q3</v>
      </c>
    </row>
    <row r="1626" spans="4:18" x14ac:dyDescent="0.2">
      <c r="D1626" t="s">
        <v>66</v>
      </c>
      <c r="E1626" t="s">
        <v>67</v>
      </c>
      <c r="F1626" t="s">
        <v>68</v>
      </c>
      <c r="G1626" t="s">
        <v>145</v>
      </c>
      <c r="H1626" t="s">
        <v>145</v>
      </c>
      <c r="I1626" t="s">
        <v>28</v>
      </c>
      <c r="J1626" t="s">
        <v>29</v>
      </c>
      <c r="K1626" t="s">
        <v>30</v>
      </c>
      <c r="L1626" t="s">
        <v>31</v>
      </c>
      <c r="M1626" t="s">
        <v>140</v>
      </c>
      <c r="N1626">
        <v>0.61799754600000001</v>
      </c>
      <c r="O1626">
        <v>4.1820594000000003E-2</v>
      </c>
      <c r="P1626">
        <v>1.5903805999999999E-2</v>
      </c>
      <c r="Q1626" t="str">
        <f t="shared" si="50"/>
        <v>&lt;01</v>
      </c>
      <c r="R1626" t="str">
        <f t="shared" si="51"/>
        <v>[vA4NcHxfMBq]|&lt;01|Female|PopART.Rt.T_1|CY2024Q3</v>
      </c>
    </row>
    <row r="1627" spans="4:18" x14ac:dyDescent="0.2">
      <c r="D1627" t="s">
        <v>66</v>
      </c>
      <c r="E1627" t="s">
        <v>67</v>
      </c>
      <c r="F1627" t="s">
        <v>68</v>
      </c>
      <c r="G1627" t="s">
        <v>145</v>
      </c>
      <c r="H1627" t="s">
        <v>145</v>
      </c>
      <c r="I1627" t="s">
        <v>33</v>
      </c>
      <c r="J1627" t="s">
        <v>34</v>
      </c>
      <c r="K1627" t="s">
        <v>30</v>
      </c>
      <c r="L1627" t="s">
        <v>31</v>
      </c>
      <c r="M1627" t="s">
        <v>140</v>
      </c>
      <c r="N1627">
        <v>0.65912864599999998</v>
      </c>
      <c r="O1627">
        <v>4.0748702999999997E-2</v>
      </c>
      <c r="P1627">
        <v>1.5903805999999999E-2</v>
      </c>
      <c r="Q1627" t="str">
        <f t="shared" si="50"/>
        <v>01-09</v>
      </c>
      <c r="R1627" t="str">
        <f t="shared" si="51"/>
        <v>[vA4NcHxfMBq]|01-09|Female|PopART.Rt.T_1|CY2024Q3</v>
      </c>
    </row>
    <row r="1628" spans="4:18" x14ac:dyDescent="0.2">
      <c r="D1628" t="s">
        <v>66</v>
      </c>
      <c r="E1628" t="s">
        <v>67</v>
      </c>
      <c r="F1628" t="s">
        <v>68</v>
      </c>
      <c r="G1628" t="s">
        <v>145</v>
      </c>
      <c r="H1628" t="s">
        <v>145</v>
      </c>
      <c r="I1628" t="s">
        <v>36</v>
      </c>
      <c r="J1628" t="s">
        <v>37</v>
      </c>
      <c r="K1628" t="s">
        <v>30</v>
      </c>
      <c r="L1628" t="s">
        <v>31</v>
      </c>
      <c r="M1628" t="s">
        <v>140</v>
      </c>
      <c r="N1628">
        <v>0.69672084099999998</v>
      </c>
      <c r="O1628">
        <v>3.4718526999999999E-2</v>
      </c>
      <c r="P1628">
        <v>1.5903805999999999E-2</v>
      </c>
      <c r="Q1628" t="str">
        <f t="shared" si="50"/>
        <v>10-14</v>
      </c>
      <c r="R1628" t="str">
        <f t="shared" si="51"/>
        <v>[vA4NcHxfMBq]|10-14|Female|PopART.Rt.T_1|CY2024Q3</v>
      </c>
    </row>
    <row r="1629" spans="4:18" x14ac:dyDescent="0.2">
      <c r="D1629" t="s">
        <v>66</v>
      </c>
      <c r="E1629" t="s">
        <v>67</v>
      </c>
      <c r="F1629" t="s">
        <v>68</v>
      </c>
      <c r="G1629" t="s">
        <v>145</v>
      </c>
      <c r="H1629" t="s">
        <v>145</v>
      </c>
      <c r="I1629" t="s">
        <v>38</v>
      </c>
      <c r="J1629" t="s">
        <v>39</v>
      </c>
      <c r="K1629" t="s">
        <v>30</v>
      </c>
      <c r="L1629" t="s">
        <v>31</v>
      </c>
      <c r="M1629" t="s">
        <v>140</v>
      </c>
      <c r="N1629">
        <v>0.92891963799999999</v>
      </c>
      <c r="O1629">
        <v>2.9727132E-2</v>
      </c>
      <c r="P1629">
        <v>1.5903805999999999E-2</v>
      </c>
      <c r="Q1629" t="str">
        <f t="shared" si="50"/>
        <v>15-24</v>
      </c>
      <c r="R1629" t="str">
        <f t="shared" si="51"/>
        <v>[vA4NcHxfMBq]|15-24|Female|PopART.Rt.T_1|CY2024Q3</v>
      </c>
    </row>
    <row r="1630" spans="4:18" x14ac:dyDescent="0.2">
      <c r="D1630" t="s">
        <v>66</v>
      </c>
      <c r="E1630" t="s">
        <v>67</v>
      </c>
      <c r="F1630" t="s">
        <v>68</v>
      </c>
      <c r="G1630" t="s">
        <v>145</v>
      </c>
      <c r="H1630" t="s">
        <v>145</v>
      </c>
      <c r="I1630" t="s">
        <v>41</v>
      </c>
      <c r="J1630" t="s">
        <v>42</v>
      </c>
      <c r="K1630" t="s">
        <v>30</v>
      </c>
      <c r="L1630" t="s">
        <v>31</v>
      </c>
      <c r="M1630" t="s">
        <v>140</v>
      </c>
      <c r="N1630">
        <v>0.96281286300000002</v>
      </c>
      <c r="O1630">
        <v>1.5384045000000001E-2</v>
      </c>
      <c r="P1630">
        <v>1.5903805999999999E-2</v>
      </c>
      <c r="Q1630" t="str">
        <f t="shared" si="50"/>
        <v>25-34</v>
      </c>
      <c r="R1630" t="str">
        <f t="shared" si="51"/>
        <v>[vA4NcHxfMBq]|25-34|Female|PopART.Rt.T_1|CY2024Q3</v>
      </c>
    </row>
    <row r="1631" spans="4:18" x14ac:dyDescent="0.2">
      <c r="D1631" t="s">
        <v>66</v>
      </c>
      <c r="E1631" t="s">
        <v>67</v>
      </c>
      <c r="F1631" t="s">
        <v>68</v>
      </c>
      <c r="G1631" t="s">
        <v>145</v>
      </c>
      <c r="H1631" t="s">
        <v>145</v>
      </c>
      <c r="I1631" t="s">
        <v>43</v>
      </c>
      <c r="J1631" t="s">
        <v>44</v>
      </c>
      <c r="K1631" t="s">
        <v>30</v>
      </c>
      <c r="L1631" t="s">
        <v>31</v>
      </c>
      <c r="M1631" t="s">
        <v>140</v>
      </c>
      <c r="N1631">
        <v>0.98112466700000001</v>
      </c>
      <c r="O1631">
        <v>8.1237340000000005E-3</v>
      </c>
      <c r="P1631">
        <v>1.5903805999999999E-2</v>
      </c>
      <c r="Q1631" t="str">
        <f t="shared" si="50"/>
        <v>35-49</v>
      </c>
      <c r="R1631" t="str">
        <f t="shared" si="51"/>
        <v>[vA4NcHxfMBq]|35-49|Female|PopART.Rt.T_1|CY2024Q3</v>
      </c>
    </row>
    <row r="1632" spans="4:18" x14ac:dyDescent="0.2">
      <c r="D1632" t="s">
        <v>66</v>
      </c>
      <c r="E1632" t="s">
        <v>67</v>
      </c>
      <c r="F1632" t="s">
        <v>68</v>
      </c>
      <c r="G1632" t="s">
        <v>145</v>
      </c>
      <c r="H1632" t="s">
        <v>145</v>
      </c>
      <c r="I1632" t="s">
        <v>45</v>
      </c>
      <c r="J1632" t="s">
        <v>46</v>
      </c>
      <c r="K1632" t="s">
        <v>30</v>
      </c>
      <c r="L1632" t="s">
        <v>31</v>
      </c>
      <c r="M1632" t="s">
        <v>140</v>
      </c>
      <c r="N1632">
        <v>0.98658949699999998</v>
      </c>
      <c r="O1632">
        <v>5.8626529999999998E-3</v>
      </c>
      <c r="P1632">
        <v>1.5903805999999999E-2</v>
      </c>
      <c r="Q1632" t="str">
        <f t="shared" si="50"/>
        <v>50+</v>
      </c>
      <c r="R1632" t="str">
        <f t="shared" si="51"/>
        <v>[vA4NcHxfMBq]|50+|Female|PopART.Rt.T_1|CY2024Q3</v>
      </c>
    </row>
    <row r="1633" spans="4:18" x14ac:dyDescent="0.2">
      <c r="D1633" t="s">
        <v>66</v>
      </c>
      <c r="E1633" t="s">
        <v>67</v>
      </c>
      <c r="F1633" t="s">
        <v>68</v>
      </c>
      <c r="G1633" t="s">
        <v>145</v>
      </c>
      <c r="H1633" t="s">
        <v>145</v>
      </c>
      <c r="I1633" t="s">
        <v>28</v>
      </c>
      <c r="J1633" t="s">
        <v>29</v>
      </c>
      <c r="K1633" t="s">
        <v>48</v>
      </c>
      <c r="L1633" t="s">
        <v>49</v>
      </c>
      <c r="M1633" t="s">
        <v>140</v>
      </c>
      <c r="N1633">
        <v>0.61802941300000003</v>
      </c>
      <c r="O1633">
        <v>4.1710566999999997E-2</v>
      </c>
      <c r="P1633">
        <v>1.5903805999999999E-2</v>
      </c>
      <c r="Q1633" t="str">
        <f t="shared" si="50"/>
        <v>&lt;01</v>
      </c>
      <c r="R1633" t="str">
        <f t="shared" si="51"/>
        <v>[vA4NcHxfMBq]|&lt;01|Male|PopART.Rt.T_1|CY2024Q3</v>
      </c>
    </row>
    <row r="1634" spans="4:18" x14ac:dyDescent="0.2">
      <c r="D1634" t="s">
        <v>66</v>
      </c>
      <c r="E1634" t="s">
        <v>67</v>
      </c>
      <c r="F1634" t="s">
        <v>68</v>
      </c>
      <c r="G1634" t="s">
        <v>145</v>
      </c>
      <c r="H1634" t="s">
        <v>145</v>
      </c>
      <c r="I1634" t="s">
        <v>33</v>
      </c>
      <c r="J1634" t="s">
        <v>34</v>
      </c>
      <c r="K1634" t="s">
        <v>48</v>
      </c>
      <c r="L1634" t="s">
        <v>49</v>
      </c>
      <c r="M1634" t="s">
        <v>140</v>
      </c>
      <c r="N1634">
        <v>0.65896781400000004</v>
      </c>
      <c r="O1634">
        <v>4.0423819999999999E-2</v>
      </c>
      <c r="P1634">
        <v>1.5903805999999999E-2</v>
      </c>
      <c r="Q1634" t="str">
        <f t="shared" si="50"/>
        <v>01-09</v>
      </c>
      <c r="R1634" t="str">
        <f t="shared" si="51"/>
        <v>[vA4NcHxfMBq]|01-09|Male|PopART.Rt.T_1|CY2024Q3</v>
      </c>
    </row>
    <row r="1635" spans="4:18" x14ac:dyDescent="0.2">
      <c r="D1635" t="s">
        <v>66</v>
      </c>
      <c r="E1635" t="s">
        <v>67</v>
      </c>
      <c r="F1635" t="s">
        <v>68</v>
      </c>
      <c r="G1635" t="s">
        <v>145</v>
      </c>
      <c r="H1635" t="s">
        <v>145</v>
      </c>
      <c r="I1635" t="s">
        <v>36</v>
      </c>
      <c r="J1635" t="s">
        <v>37</v>
      </c>
      <c r="K1635" t="s">
        <v>48</v>
      </c>
      <c r="L1635" t="s">
        <v>49</v>
      </c>
      <c r="M1635" t="s">
        <v>140</v>
      </c>
      <c r="N1635">
        <v>0.69548312800000001</v>
      </c>
      <c r="O1635">
        <v>3.6655077000000001E-2</v>
      </c>
      <c r="P1635">
        <v>1.5903805999999999E-2</v>
      </c>
      <c r="Q1635" t="str">
        <f t="shared" si="50"/>
        <v>10-14</v>
      </c>
      <c r="R1635" t="str">
        <f t="shared" si="51"/>
        <v>[vA4NcHxfMBq]|10-14|Male|PopART.Rt.T_1|CY2024Q3</v>
      </c>
    </row>
    <row r="1636" spans="4:18" x14ac:dyDescent="0.2">
      <c r="D1636" t="s">
        <v>66</v>
      </c>
      <c r="E1636" t="s">
        <v>67</v>
      </c>
      <c r="F1636" t="s">
        <v>68</v>
      </c>
      <c r="G1636" t="s">
        <v>145</v>
      </c>
      <c r="H1636" t="s">
        <v>145</v>
      </c>
      <c r="I1636" t="s">
        <v>38</v>
      </c>
      <c r="J1636" t="s">
        <v>39</v>
      </c>
      <c r="K1636" t="s">
        <v>48</v>
      </c>
      <c r="L1636" t="s">
        <v>49</v>
      </c>
      <c r="M1636" t="s">
        <v>140</v>
      </c>
      <c r="N1636">
        <v>0.89525706800000004</v>
      </c>
      <c r="O1636">
        <v>3.9134163E-2</v>
      </c>
      <c r="P1636">
        <v>1.5903805999999999E-2</v>
      </c>
      <c r="Q1636" t="str">
        <f t="shared" si="50"/>
        <v>15-24</v>
      </c>
      <c r="R1636" t="str">
        <f t="shared" si="51"/>
        <v>[vA4NcHxfMBq]|15-24|Male|PopART.Rt.T_1|CY2024Q3</v>
      </c>
    </row>
    <row r="1637" spans="4:18" x14ac:dyDescent="0.2">
      <c r="D1637" t="s">
        <v>66</v>
      </c>
      <c r="E1637" t="s">
        <v>67</v>
      </c>
      <c r="F1637" t="s">
        <v>68</v>
      </c>
      <c r="G1637" t="s">
        <v>145</v>
      </c>
      <c r="H1637" t="s">
        <v>145</v>
      </c>
      <c r="I1637" t="s">
        <v>41</v>
      </c>
      <c r="J1637" t="s">
        <v>42</v>
      </c>
      <c r="K1637" t="s">
        <v>48</v>
      </c>
      <c r="L1637" t="s">
        <v>49</v>
      </c>
      <c r="M1637" t="s">
        <v>140</v>
      </c>
      <c r="N1637">
        <v>0.86840037299999995</v>
      </c>
      <c r="O1637">
        <v>4.7082527999999998E-2</v>
      </c>
      <c r="P1637">
        <v>1.5903805999999999E-2</v>
      </c>
      <c r="Q1637" t="str">
        <f t="shared" si="50"/>
        <v>25-34</v>
      </c>
      <c r="R1637" t="str">
        <f t="shared" si="51"/>
        <v>[vA4NcHxfMBq]|25-34|Male|PopART.Rt.T_1|CY2024Q3</v>
      </c>
    </row>
    <row r="1638" spans="4:18" x14ac:dyDescent="0.2">
      <c r="D1638" t="s">
        <v>66</v>
      </c>
      <c r="E1638" t="s">
        <v>67</v>
      </c>
      <c r="F1638" t="s">
        <v>68</v>
      </c>
      <c r="G1638" t="s">
        <v>145</v>
      </c>
      <c r="H1638" t="s">
        <v>145</v>
      </c>
      <c r="I1638" t="s">
        <v>43</v>
      </c>
      <c r="J1638" t="s">
        <v>44</v>
      </c>
      <c r="K1638" t="s">
        <v>48</v>
      </c>
      <c r="L1638" t="s">
        <v>49</v>
      </c>
      <c r="M1638" t="s">
        <v>140</v>
      </c>
      <c r="N1638">
        <v>0.91850760099999995</v>
      </c>
      <c r="O1638">
        <v>2.6531514999999999E-2</v>
      </c>
      <c r="P1638">
        <v>1.5903805999999999E-2</v>
      </c>
      <c r="Q1638" t="str">
        <f t="shared" si="50"/>
        <v>35-49</v>
      </c>
      <c r="R1638" t="str">
        <f t="shared" si="51"/>
        <v>[vA4NcHxfMBq]|35-49|Male|PopART.Rt.T_1|CY2024Q3</v>
      </c>
    </row>
    <row r="1639" spans="4:18" x14ac:dyDescent="0.2">
      <c r="D1639" t="s">
        <v>66</v>
      </c>
      <c r="E1639" t="s">
        <v>67</v>
      </c>
      <c r="F1639" t="s">
        <v>68</v>
      </c>
      <c r="G1639" t="s">
        <v>145</v>
      </c>
      <c r="H1639" t="s">
        <v>145</v>
      </c>
      <c r="I1639" t="s">
        <v>45</v>
      </c>
      <c r="J1639" t="s">
        <v>46</v>
      </c>
      <c r="K1639" t="s">
        <v>48</v>
      </c>
      <c r="L1639" t="s">
        <v>49</v>
      </c>
      <c r="M1639" t="s">
        <v>140</v>
      </c>
      <c r="N1639">
        <v>0.94219619399999999</v>
      </c>
      <c r="O1639">
        <v>2.2432046000000001E-2</v>
      </c>
      <c r="P1639">
        <v>1.5903805999999999E-2</v>
      </c>
      <c r="Q1639" t="str">
        <f t="shared" si="50"/>
        <v>50+</v>
      </c>
      <c r="R1639" t="str">
        <f t="shared" si="51"/>
        <v>[vA4NcHxfMBq]|50+|Male|PopART.Rt.T_1|CY2024Q3</v>
      </c>
    </row>
    <row r="1640" spans="4:18" x14ac:dyDescent="0.2">
      <c r="D1640" t="s">
        <v>69</v>
      </c>
      <c r="E1640" t="s">
        <v>70</v>
      </c>
      <c r="F1640" t="s">
        <v>71</v>
      </c>
      <c r="G1640" t="s">
        <v>145</v>
      </c>
      <c r="H1640" t="s">
        <v>145</v>
      </c>
      <c r="I1640" t="s">
        <v>28</v>
      </c>
      <c r="J1640" t="s">
        <v>29</v>
      </c>
      <c r="K1640" t="s">
        <v>30</v>
      </c>
      <c r="L1640" t="s">
        <v>31</v>
      </c>
      <c r="M1640" t="s">
        <v>140</v>
      </c>
      <c r="N1640">
        <v>0.77798547399999995</v>
      </c>
      <c r="O1640">
        <v>6.1849660000000001E-2</v>
      </c>
      <c r="P1640">
        <v>1.7977379000000002E-2</v>
      </c>
      <c r="Q1640" t="str">
        <f t="shared" si="50"/>
        <v>&lt;01</v>
      </c>
      <c r="R1640" t="str">
        <f t="shared" si="51"/>
        <v>[ZCjuwgaMB9u]|&lt;01|Female|PopART.Rt.T_1|CY2024Q3</v>
      </c>
    </row>
    <row r="1641" spans="4:18" x14ac:dyDescent="0.2">
      <c r="D1641" t="s">
        <v>69</v>
      </c>
      <c r="E1641" t="s">
        <v>70</v>
      </c>
      <c r="F1641" t="s">
        <v>71</v>
      </c>
      <c r="G1641" t="s">
        <v>145</v>
      </c>
      <c r="H1641" t="s">
        <v>145</v>
      </c>
      <c r="I1641" t="s">
        <v>33</v>
      </c>
      <c r="J1641" t="s">
        <v>34</v>
      </c>
      <c r="K1641" t="s">
        <v>30</v>
      </c>
      <c r="L1641" t="s">
        <v>31</v>
      </c>
      <c r="M1641" t="s">
        <v>140</v>
      </c>
      <c r="N1641">
        <v>0.82520635600000003</v>
      </c>
      <c r="O1641">
        <v>5.9339244999999999E-2</v>
      </c>
      <c r="P1641">
        <v>1.7977379000000002E-2</v>
      </c>
      <c r="Q1641" t="str">
        <f t="shared" si="50"/>
        <v>01-09</v>
      </c>
      <c r="R1641" t="str">
        <f t="shared" si="51"/>
        <v>[ZCjuwgaMB9u]|01-09|Female|PopART.Rt.T_1|CY2024Q3</v>
      </c>
    </row>
    <row r="1642" spans="4:18" x14ac:dyDescent="0.2">
      <c r="D1642" t="s">
        <v>69</v>
      </c>
      <c r="E1642" t="s">
        <v>70</v>
      </c>
      <c r="F1642" t="s">
        <v>71</v>
      </c>
      <c r="G1642" t="s">
        <v>145</v>
      </c>
      <c r="H1642" t="s">
        <v>145</v>
      </c>
      <c r="I1642" t="s">
        <v>36</v>
      </c>
      <c r="J1642" t="s">
        <v>37</v>
      </c>
      <c r="K1642" t="s">
        <v>30</v>
      </c>
      <c r="L1642" t="s">
        <v>31</v>
      </c>
      <c r="M1642" t="s">
        <v>140</v>
      </c>
      <c r="N1642">
        <v>0.84996440100000004</v>
      </c>
      <c r="O1642">
        <v>4.9026360999999997E-2</v>
      </c>
      <c r="P1642">
        <v>1.7977379000000002E-2</v>
      </c>
      <c r="Q1642" t="str">
        <f t="shared" si="50"/>
        <v>10-14</v>
      </c>
      <c r="R1642" t="str">
        <f t="shared" si="51"/>
        <v>[ZCjuwgaMB9u]|10-14|Female|PopART.Rt.T_1|CY2024Q3</v>
      </c>
    </row>
    <row r="1643" spans="4:18" x14ac:dyDescent="0.2">
      <c r="D1643" t="s">
        <v>69</v>
      </c>
      <c r="E1643" t="s">
        <v>70</v>
      </c>
      <c r="F1643" t="s">
        <v>71</v>
      </c>
      <c r="G1643" t="s">
        <v>145</v>
      </c>
      <c r="H1643" t="s">
        <v>145</v>
      </c>
      <c r="I1643" t="s">
        <v>38</v>
      </c>
      <c r="J1643" t="s">
        <v>39</v>
      </c>
      <c r="K1643" t="s">
        <v>30</v>
      </c>
      <c r="L1643" t="s">
        <v>31</v>
      </c>
      <c r="M1643" t="s">
        <v>140</v>
      </c>
      <c r="N1643">
        <v>0.93601061799999996</v>
      </c>
      <c r="O1643">
        <v>3.0311033000000001E-2</v>
      </c>
      <c r="P1643">
        <v>1.7977379000000002E-2</v>
      </c>
      <c r="Q1643" t="str">
        <f t="shared" si="50"/>
        <v>15-24</v>
      </c>
      <c r="R1643" t="str">
        <f t="shared" si="51"/>
        <v>[ZCjuwgaMB9u]|15-24|Female|PopART.Rt.T_1|CY2024Q3</v>
      </c>
    </row>
    <row r="1644" spans="4:18" x14ac:dyDescent="0.2">
      <c r="D1644" t="s">
        <v>69</v>
      </c>
      <c r="E1644" t="s">
        <v>70</v>
      </c>
      <c r="F1644" t="s">
        <v>71</v>
      </c>
      <c r="G1644" t="s">
        <v>145</v>
      </c>
      <c r="H1644" t="s">
        <v>145</v>
      </c>
      <c r="I1644" t="s">
        <v>41</v>
      </c>
      <c r="J1644" t="s">
        <v>42</v>
      </c>
      <c r="K1644" t="s">
        <v>30</v>
      </c>
      <c r="L1644" t="s">
        <v>31</v>
      </c>
      <c r="M1644" t="s">
        <v>140</v>
      </c>
      <c r="N1644">
        <v>0.96611167099999995</v>
      </c>
      <c r="O1644">
        <v>1.5853058999999999E-2</v>
      </c>
      <c r="P1644">
        <v>1.7977379000000002E-2</v>
      </c>
      <c r="Q1644" t="str">
        <f t="shared" si="50"/>
        <v>25-34</v>
      </c>
      <c r="R1644" t="str">
        <f t="shared" si="51"/>
        <v>[ZCjuwgaMB9u]|25-34|Female|PopART.Rt.T_1|CY2024Q3</v>
      </c>
    </row>
    <row r="1645" spans="4:18" x14ac:dyDescent="0.2">
      <c r="D1645" t="s">
        <v>69</v>
      </c>
      <c r="E1645" t="s">
        <v>70</v>
      </c>
      <c r="F1645" t="s">
        <v>71</v>
      </c>
      <c r="G1645" t="s">
        <v>145</v>
      </c>
      <c r="H1645" t="s">
        <v>145</v>
      </c>
      <c r="I1645" t="s">
        <v>43</v>
      </c>
      <c r="J1645" t="s">
        <v>44</v>
      </c>
      <c r="K1645" t="s">
        <v>30</v>
      </c>
      <c r="L1645" t="s">
        <v>31</v>
      </c>
      <c r="M1645" t="s">
        <v>140</v>
      </c>
      <c r="N1645">
        <v>0.98295734499999998</v>
      </c>
      <c r="O1645">
        <v>8.4371710000000003E-3</v>
      </c>
      <c r="P1645">
        <v>1.7977379000000002E-2</v>
      </c>
      <c r="Q1645" t="str">
        <f t="shared" si="50"/>
        <v>35-49</v>
      </c>
      <c r="R1645" t="str">
        <f t="shared" si="51"/>
        <v>[ZCjuwgaMB9u]|35-49|Female|PopART.Rt.T_1|CY2024Q3</v>
      </c>
    </row>
    <row r="1646" spans="4:18" x14ac:dyDescent="0.2">
      <c r="D1646" t="s">
        <v>69</v>
      </c>
      <c r="E1646" t="s">
        <v>70</v>
      </c>
      <c r="F1646" t="s">
        <v>71</v>
      </c>
      <c r="G1646" t="s">
        <v>145</v>
      </c>
      <c r="H1646" t="s">
        <v>145</v>
      </c>
      <c r="I1646" t="s">
        <v>45</v>
      </c>
      <c r="J1646" t="s">
        <v>46</v>
      </c>
      <c r="K1646" t="s">
        <v>30</v>
      </c>
      <c r="L1646" t="s">
        <v>31</v>
      </c>
      <c r="M1646" t="s">
        <v>140</v>
      </c>
      <c r="N1646">
        <v>0.98839737000000005</v>
      </c>
      <c r="O1646">
        <v>5.6376120000000002E-3</v>
      </c>
      <c r="P1646">
        <v>1.7977379000000002E-2</v>
      </c>
      <c r="Q1646" t="str">
        <f t="shared" si="50"/>
        <v>50+</v>
      </c>
      <c r="R1646" t="str">
        <f t="shared" si="51"/>
        <v>[ZCjuwgaMB9u]|50+|Female|PopART.Rt.T_1|CY2024Q3</v>
      </c>
    </row>
    <row r="1647" spans="4:18" x14ac:dyDescent="0.2">
      <c r="D1647" t="s">
        <v>69</v>
      </c>
      <c r="E1647" t="s">
        <v>70</v>
      </c>
      <c r="F1647" t="s">
        <v>71</v>
      </c>
      <c r="G1647" t="s">
        <v>145</v>
      </c>
      <c r="H1647" t="s">
        <v>145</v>
      </c>
      <c r="I1647" t="s">
        <v>28</v>
      </c>
      <c r="J1647" t="s">
        <v>29</v>
      </c>
      <c r="K1647" t="s">
        <v>48</v>
      </c>
      <c r="L1647" t="s">
        <v>49</v>
      </c>
      <c r="M1647" t="s">
        <v>140</v>
      </c>
      <c r="N1647">
        <v>0.77733348000000002</v>
      </c>
      <c r="O1647">
        <v>6.2483803999999997E-2</v>
      </c>
      <c r="P1647">
        <v>1.7977379000000002E-2</v>
      </c>
      <c r="Q1647" t="str">
        <f t="shared" si="50"/>
        <v>&lt;01</v>
      </c>
      <c r="R1647" t="str">
        <f t="shared" si="51"/>
        <v>[ZCjuwgaMB9u]|&lt;01|Male|PopART.Rt.T_1|CY2024Q3</v>
      </c>
    </row>
    <row r="1648" spans="4:18" x14ac:dyDescent="0.2">
      <c r="D1648" t="s">
        <v>69</v>
      </c>
      <c r="E1648" t="s">
        <v>70</v>
      </c>
      <c r="F1648" t="s">
        <v>71</v>
      </c>
      <c r="G1648" t="s">
        <v>145</v>
      </c>
      <c r="H1648" t="s">
        <v>145</v>
      </c>
      <c r="I1648" t="s">
        <v>33</v>
      </c>
      <c r="J1648" t="s">
        <v>34</v>
      </c>
      <c r="K1648" t="s">
        <v>48</v>
      </c>
      <c r="L1648" t="s">
        <v>49</v>
      </c>
      <c r="M1648" t="s">
        <v>140</v>
      </c>
      <c r="N1648">
        <v>0.824610764</v>
      </c>
      <c r="O1648">
        <v>5.9517709000000002E-2</v>
      </c>
      <c r="P1648">
        <v>1.7977379000000002E-2</v>
      </c>
      <c r="Q1648" t="str">
        <f t="shared" si="50"/>
        <v>01-09</v>
      </c>
      <c r="R1648" t="str">
        <f t="shared" si="51"/>
        <v>[ZCjuwgaMB9u]|01-09|Male|PopART.Rt.T_1|CY2024Q3</v>
      </c>
    </row>
    <row r="1649" spans="4:18" x14ac:dyDescent="0.2">
      <c r="D1649" t="s">
        <v>69</v>
      </c>
      <c r="E1649" t="s">
        <v>70</v>
      </c>
      <c r="F1649" t="s">
        <v>71</v>
      </c>
      <c r="G1649" t="s">
        <v>145</v>
      </c>
      <c r="H1649" t="s">
        <v>145</v>
      </c>
      <c r="I1649" t="s">
        <v>36</v>
      </c>
      <c r="J1649" t="s">
        <v>37</v>
      </c>
      <c r="K1649" t="s">
        <v>48</v>
      </c>
      <c r="L1649" t="s">
        <v>49</v>
      </c>
      <c r="M1649" t="s">
        <v>140</v>
      </c>
      <c r="N1649">
        <v>0.84923215500000004</v>
      </c>
      <c r="O1649">
        <v>5.0856125000000002E-2</v>
      </c>
      <c r="P1649">
        <v>1.7977379000000002E-2</v>
      </c>
      <c r="Q1649" t="str">
        <f t="shared" si="50"/>
        <v>10-14</v>
      </c>
      <c r="R1649" t="str">
        <f t="shared" si="51"/>
        <v>[ZCjuwgaMB9u]|10-14|Male|PopART.Rt.T_1|CY2024Q3</v>
      </c>
    </row>
    <row r="1650" spans="4:18" x14ac:dyDescent="0.2">
      <c r="D1650" t="s">
        <v>69</v>
      </c>
      <c r="E1650" t="s">
        <v>70</v>
      </c>
      <c r="F1650" t="s">
        <v>71</v>
      </c>
      <c r="G1650" t="s">
        <v>145</v>
      </c>
      <c r="H1650" t="s">
        <v>145</v>
      </c>
      <c r="I1650" t="s">
        <v>38</v>
      </c>
      <c r="J1650" t="s">
        <v>39</v>
      </c>
      <c r="K1650" t="s">
        <v>48</v>
      </c>
      <c r="L1650" t="s">
        <v>49</v>
      </c>
      <c r="M1650" t="s">
        <v>140</v>
      </c>
      <c r="N1650">
        <v>0.90676878999999999</v>
      </c>
      <c r="O1650">
        <v>4.0510345000000003E-2</v>
      </c>
      <c r="P1650">
        <v>1.7977379000000002E-2</v>
      </c>
      <c r="Q1650" t="str">
        <f t="shared" si="50"/>
        <v>15-24</v>
      </c>
      <c r="R1650" t="str">
        <f t="shared" si="51"/>
        <v>[ZCjuwgaMB9u]|15-24|Male|PopART.Rt.T_1|CY2024Q3</v>
      </c>
    </row>
    <row r="1651" spans="4:18" x14ac:dyDescent="0.2">
      <c r="D1651" t="s">
        <v>69</v>
      </c>
      <c r="E1651" t="s">
        <v>70</v>
      </c>
      <c r="F1651" t="s">
        <v>71</v>
      </c>
      <c r="G1651" t="s">
        <v>145</v>
      </c>
      <c r="H1651" t="s">
        <v>145</v>
      </c>
      <c r="I1651" t="s">
        <v>41</v>
      </c>
      <c r="J1651" t="s">
        <v>42</v>
      </c>
      <c r="K1651" t="s">
        <v>48</v>
      </c>
      <c r="L1651" t="s">
        <v>49</v>
      </c>
      <c r="M1651" t="s">
        <v>140</v>
      </c>
      <c r="N1651">
        <v>0.87973873499999999</v>
      </c>
      <c r="O1651">
        <v>4.8181846E-2</v>
      </c>
      <c r="P1651">
        <v>1.7977379000000002E-2</v>
      </c>
      <c r="Q1651" t="str">
        <f t="shared" si="50"/>
        <v>25-34</v>
      </c>
      <c r="R1651" t="str">
        <f t="shared" si="51"/>
        <v>[ZCjuwgaMB9u]|25-34|Male|PopART.Rt.T_1|CY2024Q3</v>
      </c>
    </row>
    <row r="1652" spans="4:18" x14ac:dyDescent="0.2">
      <c r="D1652" t="s">
        <v>69</v>
      </c>
      <c r="E1652" t="s">
        <v>70</v>
      </c>
      <c r="F1652" t="s">
        <v>71</v>
      </c>
      <c r="G1652" t="s">
        <v>145</v>
      </c>
      <c r="H1652" t="s">
        <v>145</v>
      </c>
      <c r="I1652" t="s">
        <v>43</v>
      </c>
      <c r="J1652" t="s">
        <v>44</v>
      </c>
      <c r="K1652" t="s">
        <v>48</v>
      </c>
      <c r="L1652" t="s">
        <v>49</v>
      </c>
      <c r="M1652" t="s">
        <v>140</v>
      </c>
      <c r="N1652">
        <v>0.92567324600000001</v>
      </c>
      <c r="O1652">
        <v>2.8330293999999999E-2</v>
      </c>
      <c r="P1652">
        <v>1.7977379000000002E-2</v>
      </c>
      <c r="Q1652" t="str">
        <f t="shared" si="50"/>
        <v>35-49</v>
      </c>
      <c r="R1652" t="str">
        <f t="shared" si="51"/>
        <v>[ZCjuwgaMB9u]|35-49|Male|PopART.Rt.T_1|CY2024Q3</v>
      </c>
    </row>
    <row r="1653" spans="4:18" x14ac:dyDescent="0.2">
      <c r="D1653" t="s">
        <v>69</v>
      </c>
      <c r="E1653" t="s">
        <v>70</v>
      </c>
      <c r="F1653" t="s">
        <v>71</v>
      </c>
      <c r="G1653" t="s">
        <v>145</v>
      </c>
      <c r="H1653" t="s">
        <v>145</v>
      </c>
      <c r="I1653" t="s">
        <v>45</v>
      </c>
      <c r="J1653" t="s">
        <v>46</v>
      </c>
      <c r="K1653" t="s">
        <v>48</v>
      </c>
      <c r="L1653" t="s">
        <v>49</v>
      </c>
      <c r="M1653" t="s">
        <v>140</v>
      </c>
      <c r="N1653">
        <v>0.94964043200000003</v>
      </c>
      <c r="O1653">
        <v>2.2311725000000001E-2</v>
      </c>
      <c r="P1653">
        <v>1.7977379000000002E-2</v>
      </c>
      <c r="Q1653" t="str">
        <f t="shared" si="50"/>
        <v>50+</v>
      </c>
      <c r="R1653" t="str">
        <f t="shared" si="51"/>
        <v>[ZCjuwgaMB9u]|50+|Male|PopART.Rt.T_1|CY2024Q3</v>
      </c>
    </row>
    <row r="1654" spans="4:18" x14ac:dyDescent="0.2">
      <c r="D1654" t="s">
        <v>72</v>
      </c>
      <c r="E1654" t="s">
        <v>73</v>
      </c>
      <c r="F1654" t="s">
        <v>74</v>
      </c>
      <c r="G1654" t="s">
        <v>145</v>
      </c>
      <c r="H1654" t="s">
        <v>145</v>
      </c>
      <c r="I1654" t="s">
        <v>28</v>
      </c>
      <c r="J1654" t="s">
        <v>29</v>
      </c>
      <c r="K1654" t="s">
        <v>30</v>
      </c>
      <c r="L1654" t="s">
        <v>31</v>
      </c>
      <c r="M1654" t="s">
        <v>140</v>
      </c>
      <c r="N1654">
        <v>0.69531325399999999</v>
      </c>
      <c r="O1654">
        <v>5.0396781000000002E-2</v>
      </c>
      <c r="P1654">
        <v>1.4894928E-2</v>
      </c>
      <c r="Q1654" t="str">
        <f t="shared" si="50"/>
        <v>&lt;01</v>
      </c>
      <c r="R1654" t="str">
        <f t="shared" si="51"/>
        <v>[JQKLKuVuY61]|&lt;01|Female|PopART.Rt.T_1|CY2024Q3</v>
      </c>
    </row>
    <row r="1655" spans="4:18" x14ac:dyDescent="0.2">
      <c r="D1655" t="s">
        <v>72</v>
      </c>
      <c r="E1655" t="s">
        <v>73</v>
      </c>
      <c r="F1655" t="s">
        <v>74</v>
      </c>
      <c r="G1655" t="s">
        <v>145</v>
      </c>
      <c r="H1655" t="s">
        <v>145</v>
      </c>
      <c r="I1655" t="s">
        <v>33</v>
      </c>
      <c r="J1655" t="s">
        <v>34</v>
      </c>
      <c r="K1655" t="s">
        <v>30</v>
      </c>
      <c r="L1655" t="s">
        <v>31</v>
      </c>
      <c r="M1655" t="s">
        <v>140</v>
      </c>
      <c r="N1655">
        <v>0.74296213099999997</v>
      </c>
      <c r="O1655">
        <v>4.8577399E-2</v>
      </c>
      <c r="P1655">
        <v>1.4894928E-2</v>
      </c>
      <c r="Q1655" t="str">
        <f t="shared" si="50"/>
        <v>01-09</v>
      </c>
      <c r="R1655" t="str">
        <f t="shared" si="51"/>
        <v>[JQKLKuVuY61]|01-09|Female|PopART.Rt.T_1|CY2024Q3</v>
      </c>
    </row>
    <row r="1656" spans="4:18" x14ac:dyDescent="0.2">
      <c r="D1656" t="s">
        <v>72</v>
      </c>
      <c r="E1656" t="s">
        <v>73</v>
      </c>
      <c r="F1656" t="s">
        <v>74</v>
      </c>
      <c r="G1656" t="s">
        <v>145</v>
      </c>
      <c r="H1656" t="s">
        <v>145</v>
      </c>
      <c r="I1656" t="s">
        <v>36</v>
      </c>
      <c r="J1656" t="s">
        <v>37</v>
      </c>
      <c r="K1656" t="s">
        <v>30</v>
      </c>
      <c r="L1656" t="s">
        <v>31</v>
      </c>
      <c r="M1656" t="s">
        <v>140</v>
      </c>
      <c r="N1656">
        <v>0.77635323300000003</v>
      </c>
      <c r="O1656">
        <v>4.0520199999999999E-2</v>
      </c>
      <c r="P1656">
        <v>1.4894928E-2</v>
      </c>
      <c r="Q1656" t="str">
        <f t="shared" si="50"/>
        <v>10-14</v>
      </c>
      <c r="R1656" t="str">
        <f t="shared" si="51"/>
        <v>[JQKLKuVuY61]|10-14|Female|PopART.Rt.T_1|CY2024Q3</v>
      </c>
    </row>
    <row r="1657" spans="4:18" x14ac:dyDescent="0.2">
      <c r="D1657" t="s">
        <v>72</v>
      </c>
      <c r="E1657" t="s">
        <v>73</v>
      </c>
      <c r="F1657" t="s">
        <v>74</v>
      </c>
      <c r="G1657" t="s">
        <v>145</v>
      </c>
      <c r="H1657" t="s">
        <v>145</v>
      </c>
      <c r="I1657" t="s">
        <v>38</v>
      </c>
      <c r="J1657" t="s">
        <v>39</v>
      </c>
      <c r="K1657" t="s">
        <v>30</v>
      </c>
      <c r="L1657" t="s">
        <v>31</v>
      </c>
      <c r="M1657" t="s">
        <v>140</v>
      </c>
      <c r="N1657">
        <v>0.93796064999999995</v>
      </c>
      <c r="O1657">
        <v>2.7805804999999999E-2</v>
      </c>
      <c r="P1657">
        <v>1.4894928E-2</v>
      </c>
      <c r="Q1657" t="str">
        <f t="shared" si="50"/>
        <v>15-24</v>
      </c>
      <c r="R1657" t="str">
        <f t="shared" si="51"/>
        <v>[JQKLKuVuY61]|15-24|Female|PopART.Rt.T_1|CY2024Q3</v>
      </c>
    </row>
    <row r="1658" spans="4:18" x14ac:dyDescent="0.2">
      <c r="D1658" t="s">
        <v>72</v>
      </c>
      <c r="E1658" t="s">
        <v>73</v>
      </c>
      <c r="F1658" t="s">
        <v>74</v>
      </c>
      <c r="G1658" t="s">
        <v>145</v>
      </c>
      <c r="H1658" t="s">
        <v>145</v>
      </c>
      <c r="I1658" t="s">
        <v>41</v>
      </c>
      <c r="J1658" t="s">
        <v>42</v>
      </c>
      <c r="K1658" t="s">
        <v>30</v>
      </c>
      <c r="L1658" t="s">
        <v>31</v>
      </c>
      <c r="M1658" t="s">
        <v>140</v>
      </c>
      <c r="N1658">
        <v>0.96703728799999999</v>
      </c>
      <c r="O1658">
        <v>1.4522937E-2</v>
      </c>
      <c r="P1658">
        <v>1.4894928E-2</v>
      </c>
      <c r="Q1658" t="str">
        <f t="shared" si="50"/>
        <v>25-34</v>
      </c>
      <c r="R1658" t="str">
        <f t="shared" si="51"/>
        <v>[JQKLKuVuY61]|25-34|Female|PopART.Rt.T_1|CY2024Q3</v>
      </c>
    </row>
    <row r="1659" spans="4:18" x14ac:dyDescent="0.2">
      <c r="D1659" t="s">
        <v>72</v>
      </c>
      <c r="E1659" t="s">
        <v>73</v>
      </c>
      <c r="F1659" t="s">
        <v>74</v>
      </c>
      <c r="G1659" t="s">
        <v>145</v>
      </c>
      <c r="H1659" t="s">
        <v>145</v>
      </c>
      <c r="I1659" t="s">
        <v>43</v>
      </c>
      <c r="J1659" t="s">
        <v>44</v>
      </c>
      <c r="K1659" t="s">
        <v>30</v>
      </c>
      <c r="L1659" t="s">
        <v>31</v>
      </c>
      <c r="M1659" t="s">
        <v>140</v>
      </c>
      <c r="N1659">
        <v>0.98367389400000005</v>
      </c>
      <c r="O1659">
        <v>7.4137739999999997E-3</v>
      </c>
      <c r="P1659">
        <v>1.4894928E-2</v>
      </c>
      <c r="Q1659" t="str">
        <f t="shared" si="50"/>
        <v>35-49</v>
      </c>
      <c r="R1659" t="str">
        <f t="shared" si="51"/>
        <v>[JQKLKuVuY61]|35-49|Female|PopART.Rt.T_1|CY2024Q3</v>
      </c>
    </row>
    <row r="1660" spans="4:18" x14ac:dyDescent="0.2">
      <c r="D1660" t="s">
        <v>72</v>
      </c>
      <c r="E1660" t="s">
        <v>73</v>
      </c>
      <c r="F1660" t="s">
        <v>74</v>
      </c>
      <c r="G1660" t="s">
        <v>145</v>
      </c>
      <c r="H1660" t="s">
        <v>145</v>
      </c>
      <c r="I1660" t="s">
        <v>45</v>
      </c>
      <c r="J1660" t="s">
        <v>46</v>
      </c>
      <c r="K1660" t="s">
        <v>30</v>
      </c>
      <c r="L1660" t="s">
        <v>31</v>
      </c>
      <c r="M1660" t="s">
        <v>140</v>
      </c>
      <c r="N1660">
        <v>0.98875709199999995</v>
      </c>
      <c r="O1660">
        <v>5.1919660000000001E-3</v>
      </c>
      <c r="P1660">
        <v>1.4894928E-2</v>
      </c>
      <c r="Q1660" t="str">
        <f t="shared" si="50"/>
        <v>50+</v>
      </c>
      <c r="R1660" t="str">
        <f t="shared" si="51"/>
        <v>[JQKLKuVuY61]|50+|Female|PopART.Rt.T_1|CY2024Q3</v>
      </c>
    </row>
    <row r="1661" spans="4:18" x14ac:dyDescent="0.2">
      <c r="D1661" t="s">
        <v>72</v>
      </c>
      <c r="E1661" t="s">
        <v>73</v>
      </c>
      <c r="F1661" t="s">
        <v>74</v>
      </c>
      <c r="G1661" t="s">
        <v>145</v>
      </c>
      <c r="H1661" t="s">
        <v>145</v>
      </c>
      <c r="I1661" t="s">
        <v>28</v>
      </c>
      <c r="J1661" t="s">
        <v>29</v>
      </c>
      <c r="K1661" t="s">
        <v>48</v>
      </c>
      <c r="L1661" t="s">
        <v>49</v>
      </c>
      <c r="M1661" t="s">
        <v>140</v>
      </c>
      <c r="N1661">
        <v>0.69553474000000004</v>
      </c>
      <c r="O1661">
        <v>5.0397604999999998E-2</v>
      </c>
      <c r="P1661">
        <v>1.4894928E-2</v>
      </c>
      <c r="Q1661" t="str">
        <f t="shared" si="50"/>
        <v>&lt;01</v>
      </c>
      <c r="R1661" t="str">
        <f t="shared" si="51"/>
        <v>[JQKLKuVuY61]|&lt;01|Male|PopART.Rt.T_1|CY2024Q3</v>
      </c>
    </row>
    <row r="1662" spans="4:18" x14ac:dyDescent="0.2">
      <c r="D1662" t="s">
        <v>72</v>
      </c>
      <c r="E1662" t="s">
        <v>73</v>
      </c>
      <c r="F1662" t="s">
        <v>74</v>
      </c>
      <c r="G1662" t="s">
        <v>145</v>
      </c>
      <c r="H1662" t="s">
        <v>145</v>
      </c>
      <c r="I1662" t="s">
        <v>33</v>
      </c>
      <c r="J1662" t="s">
        <v>34</v>
      </c>
      <c r="K1662" t="s">
        <v>48</v>
      </c>
      <c r="L1662" t="s">
        <v>49</v>
      </c>
      <c r="M1662" t="s">
        <v>140</v>
      </c>
      <c r="N1662">
        <v>0.74310935600000005</v>
      </c>
      <c r="O1662">
        <v>4.8117044999999997E-2</v>
      </c>
      <c r="P1662">
        <v>1.4894928E-2</v>
      </c>
      <c r="Q1662" t="str">
        <f t="shared" si="50"/>
        <v>01-09</v>
      </c>
      <c r="R1662" t="str">
        <f t="shared" si="51"/>
        <v>[JQKLKuVuY61]|01-09|Male|PopART.Rt.T_1|CY2024Q3</v>
      </c>
    </row>
    <row r="1663" spans="4:18" x14ac:dyDescent="0.2">
      <c r="D1663" t="s">
        <v>72</v>
      </c>
      <c r="E1663" t="s">
        <v>73</v>
      </c>
      <c r="F1663" t="s">
        <v>74</v>
      </c>
      <c r="G1663" t="s">
        <v>145</v>
      </c>
      <c r="H1663" t="s">
        <v>145</v>
      </c>
      <c r="I1663" t="s">
        <v>36</v>
      </c>
      <c r="J1663" t="s">
        <v>37</v>
      </c>
      <c r="K1663" t="s">
        <v>48</v>
      </c>
      <c r="L1663" t="s">
        <v>49</v>
      </c>
      <c r="M1663" t="s">
        <v>140</v>
      </c>
      <c r="N1663">
        <v>0.77620868499999995</v>
      </c>
      <c r="O1663">
        <v>4.1967973999999998E-2</v>
      </c>
      <c r="P1663">
        <v>1.4894928E-2</v>
      </c>
      <c r="Q1663" t="str">
        <f t="shared" si="50"/>
        <v>10-14</v>
      </c>
      <c r="R1663" t="str">
        <f t="shared" si="51"/>
        <v>[JQKLKuVuY61]|10-14|Male|PopART.Rt.T_1|CY2024Q3</v>
      </c>
    </row>
    <row r="1664" spans="4:18" x14ac:dyDescent="0.2">
      <c r="D1664" t="s">
        <v>72</v>
      </c>
      <c r="E1664" t="s">
        <v>73</v>
      </c>
      <c r="F1664" t="s">
        <v>74</v>
      </c>
      <c r="G1664" t="s">
        <v>145</v>
      </c>
      <c r="H1664" t="s">
        <v>145</v>
      </c>
      <c r="I1664" t="s">
        <v>38</v>
      </c>
      <c r="J1664" t="s">
        <v>39</v>
      </c>
      <c r="K1664" t="s">
        <v>48</v>
      </c>
      <c r="L1664" t="s">
        <v>49</v>
      </c>
      <c r="M1664" t="s">
        <v>140</v>
      </c>
      <c r="N1664">
        <v>0.90832086700000003</v>
      </c>
      <c r="O1664">
        <v>3.6451222999999998E-2</v>
      </c>
      <c r="P1664">
        <v>1.4894928E-2</v>
      </c>
      <c r="Q1664" t="str">
        <f t="shared" si="50"/>
        <v>15-24</v>
      </c>
      <c r="R1664" t="str">
        <f t="shared" si="51"/>
        <v>[JQKLKuVuY61]|15-24|Male|PopART.Rt.T_1|CY2024Q3</v>
      </c>
    </row>
    <row r="1665" spans="4:18" x14ac:dyDescent="0.2">
      <c r="D1665" t="s">
        <v>72</v>
      </c>
      <c r="E1665" t="s">
        <v>73</v>
      </c>
      <c r="F1665" t="s">
        <v>74</v>
      </c>
      <c r="G1665" t="s">
        <v>145</v>
      </c>
      <c r="H1665" t="s">
        <v>145</v>
      </c>
      <c r="I1665" t="s">
        <v>41</v>
      </c>
      <c r="J1665" t="s">
        <v>42</v>
      </c>
      <c r="K1665" t="s">
        <v>48</v>
      </c>
      <c r="L1665" t="s">
        <v>49</v>
      </c>
      <c r="M1665" t="s">
        <v>140</v>
      </c>
      <c r="N1665">
        <v>0.88106239500000005</v>
      </c>
      <c r="O1665">
        <v>4.5611248E-2</v>
      </c>
      <c r="P1665">
        <v>1.4894928E-2</v>
      </c>
      <c r="Q1665" t="str">
        <f t="shared" si="50"/>
        <v>25-34</v>
      </c>
      <c r="R1665" t="str">
        <f t="shared" si="51"/>
        <v>[JQKLKuVuY61]|25-34|Male|PopART.Rt.T_1|CY2024Q3</v>
      </c>
    </row>
    <row r="1666" spans="4:18" x14ac:dyDescent="0.2">
      <c r="D1666" t="s">
        <v>72</v>
      </c>
      <c r="E1666" t="s">
        <v>73</v>
      </c>
      <c r="F1666" t="s">
        <v>74</v>
      </c>
      <c r="G1666" t="s">
        <v>145</v>
      </c>
      <c r="H1666" t="s">
        <v>145</v>
      </c>
      <c r="I1666" t="s">
        <v>43</v>
      </c>
      <c r="J1666" t="s">
        <v>44</v>
      </c>
      <c r="K1666" t="s">
        <v>48</v>
      </c>
      <c r="L1666" t="s">
        <v>49</v>
      </c>
      <c r="M1666" t="s">
        <v>140</v>
      </c>
      <c r="N1666">
        <v>0.92758116099999999</v>
      </c>
      <c r="O1666">
        <v>2.5578534E-2</v>
      </c>
      <c r="P1666">
        <v>1.4894928E-2</v>
      </c>
      <c r="Q1666" t="str">
        <f t="shared" si="50"/>
        <v>35-49</v>
      </c>
      <c r="R1666" t="str">
        <f t="shared" si="51"/>
        <v>[JQKLKuVuY61]|35-49|Male|PopART.Rt.T_1|CY2024Q3</v>
      </c>
    </row>
    <row r="1667" spans="4:18" x14ac:dyDescent="0.2">
      <c r="D1667" t="s">
        <v>72</v>
      </c>
      <c r="E1667" t="s">
        <v>73</v>
      </c>
      <c r="F1667" t="s">
        <v>74</v>
      </c>
      <c r="G1667" t="s">
        <v>145</v>
      </c>
      <c r="H1667" t="s">
        <v>145</v>
      </c>
      <c r="I1667" t="s">
        <v>45</v>
      </c>
      <c r="J1667" t="s">
        <v>46</v>
      </c>
      <c r="K1667" t="s">
        <v>48</v>
      </c>
      <c r="L1667" t="s">
        <v>49</v>
      </c>
      <c r="M1667" t="s">
        <v>140</v>
      </c>
      <c r="N1667">
        <v>0.95031301300000004</v>
      </c>
      <c r="O1667">
        <v>2.0734678999999999E-2</v>
      </c>
      <c r="P1667">
        <v>1.4894928E-2</v>
      </c>
      <c r="Q1667" t="str">
        <f t="shared" ref="Q1667:Q1730" si="52">SUBSTITUTE(SUBSTITUTE($I1667,CHAR(61),""),CHAR(34),"")</f>
        <v>50+</v>
      </c>
      <c r="R1667" t="str">
        <f t="shared" ref="R1667:R1730" si="53">IF($D1667&lt;&gt;"","["&amp;$E1667&amp;"]"&amp;"|"&amp;$Q1667&amp;"|"&amp;$K1667&amp;"|"&amp;$G1667&amp;"|"&amp;IF($G1667="TX_CURR_SUBNAT.R","CY2023Q4",$M1667),"")</f>
        <v>[JQKLKuVuY61]|50+|Male|PopART.Rt.T_1|CY2024Q3</v>
      </c>
    </row>
    <row r="1668" spans="4:18" x14ac:dyDescent="0.2">
      <c r="D1668" t="s">
        <v>75</v>
      </c>
      <c r="E1668" t="s">
        <v>76</v>
      </c>
      <c r="F1668" t="s">
        <v>77</v>
      </c>
      <c r="G1668" t="s">
        <v>145</v>
      </c>
      <c r="H1668" t="s">
        <v>145</v>
      </c>
      <c r="I1668" t="s">
        <v>28</v>
      </c>
      <c r="J1668" t="s">
        <v>29</v>
      </c>
      <c r="K1668" t="s">
        <v>30</v>
      </c>
      <c r="L1668" t="s">
        <v>31</v>
      </c>
      <c r="M1668" t="s">
        <v>140</v>
      </c>
      <c r="N1668">
        <v>0.637563039</v>
      </c>
      <c r="O1668">
        <v>6.1291188000000003E-2</v>
      </c>
      <c r="P1668">
        <v>1.6368285999999999E-2</v>
      </c>
      <c r="Q1668" t="str">
        <f t="shared" si="52"/>
        <v>&lt;01</v>
      </c>
      <c r="R1668" t="str">
        <f t="shared" si="53"/>
        <v>[YCKiBAp8QAg]|&lt;01|Female|PopART.Rt.T_1|CY2024Q3</v>
      </c>
    </row>
    <row r="1669" spans="4:18" x14ac:dyDescent="0.2">
      <c r="D1669" t="s">
        <v>75</v>
      </c>
      <c r="E1669" t="s">
        <v>76</v>
      </c>
      <c r="F1669" t="s">
        <v>77</v>
      </c>
      <c r="G1669" t="s">
        <v>145</v>
      </c>
      <c r="H1669" t="s">
        <v>145</v>
      </c>
      <c r="I1669" t="s">
        <v>33</v>
      </c>
      <c r="J1669" t="s">
        <v>34</v>
      </c>
      <c r="K1669" t="s">
        <v>30</v>
      </c>
      <c r="L1669" t="s">
        <v>31</v>
      </c>
      <c r="M1669" t="s">
        <v>140</v>
      </c>
      <c r="N1669">
        <v>0.68445976200000003</v>
      </c>
      <c r="O1669">
        <v>5.9291604999999997E-2</v>
      </c>
      <c r="P1669">
        <v>1.6368285999999999E-2</v>
      </c>
      <c r="Q1669" t="str">
        <f t="shared" si="52"/>
        <v>01-09</v>
      </c>
      <c r="R1669" t="str">
        <f t="shared" si="53"/>
        <v>[YCKiBAp8QAg]|01-09|Female|PopART.Rt.T_1|CY2024Q3</v>
      </c>
    </row>
    <row r="1670" spans="4:18" x14ac:dyDescent="0.2">
      <c r="D1670" t="s">
        <v>75</v>
      </c>
      <c r="E1670" t="s">
        <v>76</v>
      </c>
      <c r="F1670" t="s">
        <v>77</v>
      </c>
      <c r="G1670" t="s">
        <v>145</v>
      </c>
      <c r="H1670" t="s">
        <v>145</v>
      </c>
      <c r="I1670" t="s">
        <v>36</v>
      </c>
      <c r="J1670" t="s">
        <v>37</v>
      </c>
      <c r="K1670" t="s">
        <v>30</v>
      </c>
      <c r="L1670" t="s">
        <v>31</v>
      </c>
      <c r="M1670" t="s">
        <v>140</v>
      </c>
      <c r="N1670">
        <v>0.72282444800000001</v>
      </c>
      <c r="O1670">
        <v>4.9860093000000001E-2</v>
      </c>
      <c r="P1670">
        <v>1.6368285999999999E-2</v>
      </c>
      <c r="Q1670" t="str">
        <f t="shared" si="52"/>
        <v>10-14</v>
      </c>
      <c r="R1670" t="str">
        <f t="shared" si="53"/>
        <v>[YCKiBAp8QAg]|10-14|Female|PopART.Rt.T_1|CY2024Q3</v>
      </c>
    </row>
    <row r="1671" spans="4:18" x14ac:dyDescent="0.2">
      <c r="D1671" t="s">
        <v>75</v>
      </c>
      <c r="E1671" t="s">
        <v>76</v>
      </c>
      <c r="F1671" t="s">
        <v>77</v>
      </c>
      <c r="G1671" t="s">
        <v>145</v>
      </c>
      <c r="H1671" t="s">
        <v>145</v>
      </c>
      <c r="I1671" t="s">
        <v>38</v>
      </c>
      <c r="J1671" t="s">
        <v>39</v>
      </c>
      <c r="K1671" t="s">
        <v>30</v>
      </c>
      <c r="L1671" t="s">
        <v>31</v>
      </c>
      <c r="M1671" t="s">
        <v>140</v>
      </c>
      <c r="N1671">
        <v>0.93421819900000003</v>
      </c>
      <c r="O1671">
        <v>3.0112216000000001E-2</v>
      </c>
      <c r="P1671">
        <v>1.6368285999999999E-2</v>
      </c>
      <c r="Q1671" t="str">
        <f t="shared" si="52"/>
        <v>15-24</v>
      </c>
      <c r="R1671" t="str">
        <f t="shared" si="53"/>
        <v>[YCKiBAp8QAg]|15-24|Female|PopART.Rt.T_1|CY2024Q3</v>
      </c>
    </row>
    <row r="1672" spans="4:18" x14ac:dyDescent="0.2">
      <c r="D1672" t="s">
        <v>75</v>
      </c>
      <c r="E1672" t="s">
        <v>76</v>
      </c>
      <c r="F1672" t="s">
        <v>77</v>
      </c>
      <c r="G1672" t="s">
        <v>145</v>
      </c>
      <c r="H1672" t="s">
        <v>145</v>
      </c>
      <c r="I1672" t="s">
        <v>41</v>
      </c>
      <c r="J1672" t="s">
        <v>42</v>
      </c>
      <c r="K1672" t="s">
        <v>30</v>
      </c>
      <c r="L1672" t="s">
        <v>31</v>
      </c>
      <c r="M1672" t="s">
        <v>140</v>
      </c>
      <c r="N1672">
        <v>0.96493463199999996</v>
      </c>
      <c r="O1672">
        <v>1.5878496999999998E-2</v>
      </c>
      <c r="P1672">
        <v>1.6368285999999999E-2</v>
      </c>
      <c r="Q1672" t="str">
        <f t="shared" si="52"/>
        <v>25-34</v>
      </c>
      <c r="R1672" t="str">
        <f t="shared" si="53"/>
        <v>[YCKiBAp8QAg]|25-34|Female|PopART.Rt.T_1|CY2024Q3</v>
      </c>
    </row>
    <row r="1673" spans="4:18" x14ac:dyDescent="0.2">
      <c r="D1673" t="s">
        <v>75</v>
      </c>
      <c r="E1673" t="s">
        <v>76</v>
      </c>
      <c r="F1673" t="s">
        <v>77</v>
      </c>
      <c r="G1673" t="s">
        <v>145</v>
      </c>
      <c r="H1673" t="s">
        <v>145</v>
      </c>
      <c r="I1673" t="s">
        <v>43</v>
      </c>
      <c r="J1673" t="s">
        <v>44</v>
      </c>
      <c r="K1673" t="s">
        <v>30</v>
      </c>
      <c r="L1673" t="s">
        <v>31</v>
      </c>
      <c r="M1673" t="s">
        <v>140</v>
      </c>
      <c r="N1673">
        <v>0.98257627400000003</v>
      </c>
      <c r="O1673">
        <v>8.0592909999999997E-3</v>
      </c>
      <c r="P1673">
        <v>1.6368285999999999E-2</v>
      </c>
      <c r="Q1673" t="str">
        <f t="shared" si="52"/>
        <v>35-49</v>
      </c>
      <c r="R1673" t="str">
        <f t="shared" si="53"/>
        <v>[YCKiBAp8QAg]|35-49|Female|PopART.Rt.T_1|CY2024Q3</v>
      </c>
    </row>
    <row r="1674" spans="4:18" x14ac:dyDescent="0.2">
      <c r="D1674" t="s">
        <v>75</v>
      </c>
      <c r="E1674" t="s">
        <v>76</v>
      </c>
      <c r="F1674" t="s">
        <v>77</v>
      </c>
      <c r="G1674" t="s">
        <v>145</v>
      </c>
      <c r="H1674" t="s">
        <v>145</v>
      </c>
      <c r="I1674" t="s">
        <v>45</v>
      </c>
      <c r="J1674" t="s">
        <v>46</v>
      </c>
      <c r="K1674" t="s">
        <v>30</v>
      </c>
      <c r="L1674" t="s">
        <v>31</v>
      </c>
      <c r="M1674" t="s">
        <v>140</v>
      </c>
      <c r="N1674">
        <v>0.98803872699999995</v>
      </c>
      <c r="O1674">
        <v>5.6227639999999997E-3</v>
      </c>
      <c r="P1674">
        <v>1.6368285999999999E-2</v>
      </c>
      <c r="Q1674" t="str">
        <f t="shared" si="52"/>
        <v>50+</v>
      </c>
      <c r="R1674" t="str">
        <f t="shared" si="53"/>
        <v>[YCKiBAp8QAg]|50+|Female|PopART.Rt.T_1|CY2024Q3</v>
      </c>
    </row>
    <row r="1675" spans="4:18" x14ac:dyDescent="0.2">
      <c r="D1675" t="s">
        <v>75</v>
      </c>
      <c r="E1675" t="s">
        <v>76</v>
      </c>
      <c r="F1675" t="s">
        <v>77</v>
      </c>
      <c r="G1675" t="s">
        <v>145</v>
      </c>
      <c r="H1675" t="s">
        <v>145</v>
      </c>
      <c r="I1675" t="s">
        <v>28</v>
      </c>
      <c r="J1675" t="s">
        <v>29</v>
      </c>
      <c r="K1675" t="s">
        <v>48</v>
      </c>
      <c r="L1675" t="s">
        <v>49</v>
      </c>
      <c r="M1675" t="s">
        <v>140</v>
      </c>
      <c r="N1675">
        <v>0.63770792899999995</v>
      </c>
      <c r="O1675">
        <v>6.1181575000000002E-2</v>
      </c>
      <c r="P1675">
        <v>1.6368285999999999E-2</v>
      </c>
      <c r="Q1675" t="str">
        <f t="shared" si="52"/>
        <v>&lt;01</v>
      </c>
      <c r="R1675" t="str">
        <f t="shared" si="53"/>
        <v>[YCKiBAp8QAg]|&lt;01|Male|PopART.Rt.T_1|CY2024Q3</v>
      </c>
    </row>
    <row r="1676" spans="4:18" x14ac:dyDescent="0.2">
      <c r="D1676" t="s">
        <v>75</v>
      </c>
      <c r="E1676" t="s">
        <v>76</v>
      </c>
      <c r="F1676" t="s">
        <v>77</v>
      </c>
      <c r="G1676" t="s">
        <v>145</v>
      </c>
      <c r="H1676" t="s">
        <v>145</v>
      </c>
      <c r="I1676" t="s">
        <v>33</v>
      </c>
      <c r="J1676" t="s">
        <v>34</v>
      </c>
      <c r="K1676" t="s">
        <v>48</v>
      </c>
      <c r="L1676" t="s">
        <v>49</v>
      </c>
      <c r="M1676" t="s">
        <v>140</v>
      </c>
      <c r="N1676">
        <v>0.68454166500000002</v>
      </c>
      <c r="O1676">
        <v>5.8554146000000001E-2</v>
      </c>
      <c r="P1676">
        <v>1.6368285999999999E-2</v>
      </c>
      <c r="Q1676" t="str">
        <f t="shared" si="52"/>
        <v>01-09</v>
      </c>
      <c r="R1676" t="str">
        <f t="shared" si="53"/>
        <v>[YCKiBAp8QAg]|01-09|Male|PopART.Rt.T_1|CY2024Q3</v>
      </c>
    </row>
    <row r="1677" spans="4:18" x14ac:dyDescent="0.2">
      <c r="D1677" t="s">
        <v>75</v>
      </c>
      <c r="E1677" t="s">
        <v>76</v>
      </c>
      <c r="F1677" t="s">
        <v>77</v>
      </c>
      <c r="G1677" t="s">
        <v>145</v>
      </c>
      <c r="H1677" t="s">
        <v>145</v>
      </c>
      <c r="I1677" t="s">
        <v>36</v>
      </c>
      <c r="J1677" t="s">
        <v>37</v>
      </c>
      <c r="K1677" t="s">
        <v>48</v>
      </c>
      <c r="L1677" t="s">
        <v>49</v>
      </c>
      <c r="M1677" t="s">
        <v>140</v>
      </c>
      <c r="N1677">
        <v>0.72255380000000002</v>
      </c>
      <c r="O1677">
        <v>5.1820977999999997E-2</v>
      </c>
      <c r="P1677">
        <v>1.6368285999999999E-2</v>
      </c>
      <c r="Q1677" t="str">
        <f t="shared" si="52"/>
        <v>10-14</v>
      </c>
      <c r="R1677" t="str">
        <f t="shared" si="53"/>
        <v>[YCKiBAp8QAg]|10-14|Male|PopART.Rt.T_1|CY2024Q3</v>
      </c>
    </row>
    <row r="1678" spans="4:18" x14ac:dyDescent="0.2">
      <c r="D1678" t="s">
        <v>75</v>
      </c>
      <c r="E1678" t="s">
        <v>76</v>
      </c>
      <c r="F1678" t="s">
        <v>77</v>
      </c>
      <c r="G1678" t="s">
        <v>145</v>
      </c>
      <c r="H1678" t="s">
        <v>145</v>
      </c>
      <c r="I1678" t="s">
        <v>38</v>
      </c>
      <c r="J1678" t="s">
        <v>39</v>
      </c>
      <c r="K1678" t="s">
        <v>48</v>
      </c>
      <c r="L1678" t="s">
        <v>49</v>
      </c>
      <c r="M1678" t="s">
        <v>140</v>
      </c>
      <c r="N1678">
        <v>0.90349623899999998</v>
      </c>
      <c r="O1678">
        <v>4.0042134E-2</v>
      </c>
      <c r="P1678">
        <v>1.6368285999999999E-2</v>
      </c>
      <c r="Q1678" t="str">
        <f t="shared" si="52"/>
        <v>15-24</v>
      </c>
      <c r="R1678" t="str">
        <f t="shared" si="53"/>
        <v>[YCKiBAp8QAg]|15-24|Male|PopART.Rt.T_1|CY2024Q3</v>
      </c>
    </row>
    <row r="1679" spans="4:18" x14ac:dyDescent="0.2">
      <c r="D1679" t="s">
        <v>75</v>
      </c>
      <c r="E1679" t="s">
        <v>76</v>
      </c>
      <c r="F1679" t="s">
        <v>77</v>
      </c>
      <c r="G1679" t="s">
        <v>145</v>
      </c>
      <c r="H1679" t="s">
        <v>145</v>
      </c>
      <c r="I1679" t="s">
        <v>41</v>
      </c>
      <c r="J1679" t="s">
        <v>42</v>
      </c>
      <c r="K1679" t="s">
        <v>48</v>
      </c>
      <c r="L1679" t="s">
        <v>49</v>
      </c>
      <c r="M1679" t="s">
        <v>140</v>
      </c>
      <c r="N1679">
        <v>0.87478092399999996</v>
      </c>
      <c r="O1679">
        <v>4.9526050000000002E-2</v>
      </c>
      <c r="P1679">
        <v>1.6368285999999999E-2</v>
      </c>
      <c r="Q1679" t="str">
        <f t="shared" si="52"/>
        <v>25-34</v>
      </c>
      <c r="R1679" t="str">
        <f t="shared" si="53"/>
        <v>[YCKiBAp8QAg]|25-34|Male|PopART.Rt.T_1|CY2024Q3</v>
      </c>
    </row>
    <row r="1680" spans="4:18" x14ac:dyDescent="0.2">
      <c r="D1680" t="s">
        <v>75</v>
      </c>
      <c r="E1680" t="s">
        <v>76</v>
      </c>
      <c r="F1680" t="s">
        <v>77</v>
      </c>
      <c r="G1680" t="s">
        <v>145</v>
      </c>
      <c r="H1680" t="s">
        <v>145</v>
      </c>
      <c r="I1680" t="s">
        <v>43</v>
      </c>
      <c r="J1680" t="s">
        <v>44</v>
      </c>
      <c r="K1680" t="s">
        <v>48</v>
      </c>
      <c r="L1680" t="s">
        <v>49</v>
      </c>
      <c r="M1680" t="s">
        <v>140</v>
      </c>
      <c r="N1680">
        <v>0.92371606699999997</v>
      </c>
      <c r="O1680">
        <v>2.6973723000000002E-2</v>
      </c>
      <c r="P1680">
        <v>1.6368285999999999E-2</v>
      </c>
      <c r="Q1680" t="str">
        <f t="shared" si="52"/>
        <v>35-49</v>
      </c>
      <c r="R1680" t="str">
        <f t="shared" si="53"/>
        <v>[YCKiBAp8QAg]|35-49|Male|PopART.Rt.T_1|CY2024Q3</v>
      </c>
    </row>
    <row r="1681" spans="4:18" x14ac:dyDescent="0.2">
      <c r="D1681" t="s">
        <v>75</v>
      </c>
      <c r="E1681" t="s">
        <v>76</v>
      </c>
      <c r="F1681" t="s">
        <v>77</v>
      </c>
      <c r="G1681" t="s">
        <v>145</v>
      </c>
      <c r="H1681" t="s">
        <v>145</v>
      </c>
      <c r="I1681" t="s">
        <v>45</v>
      </c>
      <c r="J1681" t="s">
        <v>46</v>
      </c>
      <c r="K1681" t="s">
        <v>48</v>
      </c>
      <c r="L1681" t="s">
        <v>49</v>
      </c>
      <c r="M1681" t="s">
        <v>140</v>
      </c>
      <c r="N1681">
        <v>0.94755055399999999</v>
      </c>
      <c r="O1681">
        <v>2.2454469000000001E-2</v>
      </c>
      <c r="P1681">
        <v>1.6368285999999999E-2</v>
      </c>
      <c r="Q1681" t="str">
        <f t="shared" si="52"/>
        <v>50+</v>
      </c>
      <c r="R1681" t="str">
        <f t="shared" si="53"/>
        <v>[YCKiBAp8QAg]|50+|Male|PopART.Rt.T_1|CY2024Q3</v>
      </c>
    </row>
    <row r="1682" spans="4:18" x14ac:dyDescent="0.2">
      <c r="D1682" t="s">
        <v>78</v>
      </c>
      <c r="E1682" t="s">
        <v>79</v>
      </c>
      <c r="F1682" t="s">
        <v>80</v>
      </c>
      <c r="G1682" t="s">
        <v>145</v>
      </c>
      <c r="H1682" t="s">
        <v>145</v>
      </c>
      <c r="I1682" t="s">
        <v>28</v>
      </c>
      <c r="J1682" t="s">
        <v>29</v>
      </c>
      <c r="K1682" t="s">
        <v>30</v>
      </c>
      <c r="L1682" t="s">
        <v>31</v>
      </c>
      <c r="M1682" t="s">
        <v>140</v>
      </c>
      <c r="N1682">
        <v>0.65624877000000004</v>
      </c>
      <c r="O1682">
        <v>7.4649304E-2</v>
      </c>
      <c r="P1682">
        <v>1.7319432999999999E-2</v>
      </c>
      <c r="Q1682" t="str">
        <f t="shared" si="52"/>
        <v>&lt;01</v>
      </c>
      <c r="R1682" t="str">
        <f t="shared" si="53"/>
        <v>[fiRkU6gEjLz]|&lt;01|Female|PopART.Rt.T_1|CY2024Q3</v>
      </c>
    </row>
    <row r="1683" spans="4:18" x14ac:dyDescent="0.2">
      <c r="D1683" t="s">
        <v>78</v>
      </c>
      <c r="E1683" t="s">
        <v>79</v>
      </c>
      <c r="F1683" t="s">
        <v>80</v>
      </c>
      <c r="G1683" t="s">
        <v>145</v>
      </c>
      <c r="H1683" t="s">
        <v>145</v>
      </c>
      <c r="I1683" t="s">
        <v>33</v>
      </c>
      <c r="J1683" t="s">
        <v>34</v>
      </c>
      <c r="K1683" t="s">
        <v>30</v>
      </c>
      <c r="L1683" t="s">
        <v>31</v>
      </c>
      <c r="M1683" t="s">
        <v>140</v>
      </c>
      <c r="N1683">
        <v>0.70310582200000005</v>
      </c>
      <c r="O1683">
        <v>7.2201564999999995E-2</v>
      </c>
      <c r="P1683">
        <v>1.7319432999999999E-2</v>
      </c>
      <c r="Q1683" t="str">
        <f t="shared" si="52"/>
        <v>01-09</v>
      </c>
      <c r="R1683" t="str">
        <f t="shared" si="53"/>
        <v>[fiRkU6gEjLz]|01-09|Female|PopART.Rt.T_1|CY2024Q3</v>
      </c>
    </row>
    <row r="1684" spans="4:18" x14ac:dyDescent="0.2">
      <c r="D1684" t="s">
        <v>78</v>
      </c>
      <c r="E1684" t="s">
        <v>79</v>
      </c>
      <c r="F1684" t="s">
        <v>80</v>
      </c>
      <c r="G1684" t="s">
        <v>145</v>
      </c>
      <c r="H1684" t="s">
        <v>145</v>
      </c>
      <c r="I1684" t="s">
        <v>36</v>
      </c>
      <c r="J1684" t="s">
        <v>37</v>
      </c>
      <c r="K1684" t="s">
        <v>30</v>
      </c>
      <c r="L1684" t="s">
        <v>31</v>
      </c>
      <c r="M1684" t="s">
        <v>140</v>
      </c>
      <c r="N1684">
        <v>0.74002315799999996</v>
      </c>
      <c r="O1684">
        <v>6.0628484000000003E-2</v>
      </c>
      <c r="P1684">
        <v>1.7319432999999999E-2</v>
      </c>
      <c r="Q1684" t="str">
        <f t="shared" si="52"/>
        <v>10-14</v>
      </c>
      <c r="R1684" t="str">
        <f t="shared" si="53"/>
        <v>[fiRkU6gEjLz]|10-14|Female|PopART.Rt.T_1|CY2024Q3</v>
      </c>
    </row>
    <row r="1685" spans="4:18" x14ac:dyDescent="0.2">
      <c r="D1685" t="s">
        <v>78</v>
      </c>
      <c r="E1685" t="s">
        <v>79</v>
      </c>
      <c r="F1685" t="s">
        <v>80</v>
      </c>
      <c r="G1685" t="s">
        <v>145</v>
      </c>
      <c r="H1685" t="s">
        <v>145</v>
      </c>
      <c r="I1685" t="s">
        <v>38</v>
      </c>
      <c r="J1685" t="s">
        <v>39</v>
      </c>
      <c r="K1685" t="s">
        <v>30</v>
      </c>
      <c r="L1685" t="s">
        <v>31</v>
      </c>
      <c r="M1685" t="s">
        <v>140</v>
      </c>
      <c r="N1685">
        <v>0.93177653699999996</v>
      </c>
      <c r="O1685">
        <v>3.1871657999999997E-2</v>
      </c>
      <c r="P1685">
        <v>1.7319432999999999E-2</v>
      </c>
      <c r="Q1685" t="str">
        <f t="shared" si="52"/>
        <v>15-24</v>
      </c>
      <c r="R1685" t="str">
        <f t="shared" si="53"/>
        <v>[fiRkU6gEjLz]|15-24|Female|PopART.Rt.T_1|CY2024Q3</v>
      </c>
    </row>
    <row r="1686" spans="4:18" x14ac:dyDescent="0.2">
      <c r="D1686" t="s">
        <v>78</v>
      </c>
      <c r="E1686" t="s">
        <v>79</v>
      </c>
      <c r="F1686" t="s">
        <v>80</v>
      </c>
      <c r="G1686" t="s">
        <v>145</v>
      </c>
      <c r="H1686" t="s">
        <v>145</v>
      </c>
      <c r="I1686" t="s">
        <v>41</v>
      </c>
      <c r="J1686" t="s">
        <v>42</v>
      </c>
      <c r="K1686" t="s">
        <v>30</v>
      </c>
      <c r="L1686" t="s">
        <v>31</v>
      </c>
      <c r="M1686" t="s">
        <v>140</v>
      </c>
      <c r="N1686">
        <v>0.96369239500000003</v>
      </c>
      <c r="O1686">
        <v>1.6916700999999999E-2</v>
      </c>
      <c r="P1686">
        <v>1.7319432999999999E-2</v>
      </c>
      <c r="Q1686" t="str">
        <f t="shared" si="52"/>
        <v>25-34</v>
      </c>
      <c r="R1686" t="str">
        <f t="shared" si="53"/>
        <v>[fiRkU6gEjLz]|25-34|Female|PopART.Rt.T_1|CY2024Q3</v>
      </c>
    </row>
    <row r="1687" spans="4:18" x14ac:dyDescent="0.2">
      <c r="D1687" t="s">
        <v>78</v>
      </c>
      <c r="E1687" t="s">
        <v>79</v>
      </c>
      <c r="F1687" t="s">
        <v>80</v>
      </c>
      <c r="G1687" t="s">
        <v>145</v>
      </c>
      <c r="H1687" t="s">
        <v>145</v>
      </c>
      <c r="I1687" t="s">
        <v>43</v>
      </c>
      <c r="J1687" t="s">
        <v>44</v>
      </c>
      <c r="K1687" t="s">
        <v>30</v>
      </c>
      <c r="L1687" t="s">
        <v>31</v>
      </c>
      <c r="M1687" t="s">
        <v>140</v>
      </c>
      <c r="N1687">
        <v>0.98197121600000004</v>
      </c>
      <c r="O1687">
        <v>8.6138150000000004E-3</v>
      </c>
      <c r="P1687">
        <v>1.7319432999999999E-2</v>
      </c>
      <c r="Q1687" t="str">
        <f t="shared" si="52"/>
        <v>35-49</v>
      </c>
      <c r="R1687" t="str">
        <f t="shared" si="53"/>
        <v>[fiRkU6gEjLz]|35-49|Female|PopART.Rt.T_1|CY2024Q3</v>
      </c>
    </row>
    <row r="1688" spans="4:18" x14ac:dyDescent="0.2">
      <c r="D1688" t="s">
        <v>78</v>
      </c>
      <c r="E1688" t="s">
        <v>79</v>
      </c>
      <c r="F1688" t="s">
        <v>80</v>
      </c>
      <c r="G1688" t="s">
        <v>145</v>
      </c>
      <c r="H1688" t="s">
        <v>145</v>
      </c>
      <c r="I1688" t="s">
        <v>45</v>
      </c>
      <c r="J1688" t="s">
        <v>46</v>
      </c>
      <c r="K1688" t="s">
        <v>30</v>
      </c>
      <c r="L1688" t="s">
        <v>31</v>
      </c>
      <c r="M1688" t="s">
        <v>140</v>
      </c>
      <c r="N1688">
        <v>0.98757174000000003</v>
      </c>
      <c r="O1688">
        <v>5.8718010000000003E-3</v>
      </c>
      <c r="P1688">
        <v>1.7319432999999999E-2</v>
      </c>
      <c r="Q1688" t="str">
        <f t="shared" si="52"/>
        <v>50+</v>
      </c>
      <c r="R1688" t="str">
        <f t="shared" si="53"/>
        <v>[fiRkU6gEjLz]|50+|Female|PopART.Rt.T_1|CY2024Q3</v>
      </c>
    </row>
    <row r="1689" spans="4:18" x14ac:dyDescent="0.2">
      <c r="D1689" t="s">
        <v>78</v>
      </c>
      <c r="E1689" t="s">
        <v>79</v>
      </c>
      <c r="F1689" t="s">
        <v>80</v>
      </c>
      <c r="G1689" t="s">
        <v>145</v>
      </c>
      <c r="H1689" t="s">
        <v>145</v>
      </c>
      <c r="I1689" t="s">
        <v>28</v>
      </c>
      <c r="J1689" t="s">
        <v>29</v>
      </c>
      <c r="K1689" t="s">
        <v>48</v>
      </c>
      <c r="L1689" t="s">
        <v>49</v>
      </c>
      <c r="M1689" t="s">
        <v>140</v>
      </c>
      <c r="N1689">
        <v>0.65584712700000003</v>
      </c>
      <c r="O1689">
        <v>7.4942807E-2</v>
      </c>
      <c r="P1689">
        <v>1.7319432999999999E-2</v>
      </c>
      <c r="Q1689" t="str">
        <f t="shared" si="52"/>
        <v>&lt;01</v>
      </c>
      <c r="R1689" t="str">
        <f t="shared" si="53"/>
        <v>[fiRkU6gEjLz]|&lt;01|Male|PopART.Rt.T_1|CY2024Q3</v>
      </c>
    </row>
    <row r="1690" spans="4:18" x14ac:dyDescent="0.2">
      <c r="D1690" t="s">
        <v>78</v>
      </c>
      <c r="E1690" t="s">
        <v>79</v>
      </c>
      <c r="F1690" t="s">
        <v>80</v>
      </c>
      <c r="G1690" t="s">
        <v>145</v>
      </c>
      <c r="H1690" t="s">
        <v>145</v>
      </c>
      <c r="I1690" t="s">
        <v>33</v>
      </c>
      <c r="J1690" t="s">
        <v>34</v>
      </c>
      <c r="K1690" t="s">
        <v>48</v>
      </c>
      <c r="L1690" t="s">
        <v>49</v>
      </c>
      <c r="M1690" t="s">
        <v>140</v>
      </c>
      <c r="N1690">
        <v>0.70265834500000002</v>
      </c>
      <c r="O1690">
        <v>7.1727353999999993E-2</v>
      </c>
      <c r="P1690">
        <v>1.7319432999999999E-2</v>
      </c>
      <c r="Q1690" t="str">
        <f t="shared" si="52"/>
        <v>01-09</v>
      </c>
      <c r="R1690" t="str">
        <f t="shared" si="53"/>
        <v>[fiRkU6gEjLz]|01-09|Male|PopART.Rt.T_1|CY2024Q3</v>
      </c>
    </row>
    <row r="1691" spans="4:18" x14ac:dyDescent="0.2">
      <c r="D1691" t="s">
        <v>78</v>
      </c>
      <c r="E1691" t="s">
        <v>79</v>
      </c>
      <c r="F1691" t="s">
        <v>80</v>
      </c>
      <c r="G1691" t="s">
        <v>145</v>
      </c>
      <c r="H1691" t="s">
        <v>145</v>
      </c>
      <c r="I1691" t="s">
        <v>36</v>
      </c>
      <c r="J1691" t="s">
        <v>37</v>
      </c>
      <c r="K1691" t="s">
        <v>48</v>
      </c>
      <c r="L1691" t="s">
        <v>49</v>
      </c>
      <c r="M1691" t="s">
        <v>140</v>
      </c>
      <c r="N1691">
        <v>0.73929039100000005</v>
      </c>
      <c r="O1691">
        <v>6.3262611999999996E-2</v>
      </c>
      <c r="P1691">
        <v>1.7319432999999999E-2</v>
      </c>
      <c r="Q1691" t="str">
        <f t="shared" si="52"/>
        <v>10-14</v>
      </c>
      <c r="R1691" t="str">
        <f t="shared" si="53"/>
        <v>[fiRkU6gEjLz]|10-14|Male|PopART.Rt.T_1|CY2024Q3</v>
      </c>
    </row>
    <row r="1692" spans="4:18" x14ac:dyDescent="0.2">
      <c r="D1692" t="s">
        <v>78</v>
      </c>
      <c r="E1692" t="s">
        <v>79</v>
      </c>
      <c r="F1692" t="s">
        <v>80</v>
      </c>
      <c r="G1692" t="s">
        <v>145</v>
      </c>
      <c r="H1692" t="s">
        <v>145</v>
      </c>
      <c r="I1692" t="s">
        <v>38</v>
      </c>
      <c r="J1692" t="s">
        <v>39</v>
      </c>
      <c r="K1692" t="s">
        <v>48</v>
      </c>
      <c r="L1692" t="s">
        <v>49</v>
      </c>
      <c r="M1692" t="s">
        <v>140</v>
      </c>
      <c r="N1692">
        <v>0.89981646599999998</v>
      </c>
      <c r="O1692">
        <v>4.2596859000000001E-2</v>
      </c>
      <c r="P1692">
        <v>1.7319432999999999E-2</v>
      </c>
      <c r="Q1692" t="str">
        <f t="shared" si="52"/>
        <v>15-24</v>
      </c>
      <c r="R1692" t="str">
        <f t="shared" si="53"/>
        <v>[fiRkU6gEjLz]|15-24|Male|PopART.Rt.T_1|CY2024Q3</v>
      </c>
    </row>
    <row r="1693" spans="4:18" x14ac:dyDescent="0.2">
      <c r="D1693" t="s">
        <v>78</v>
      </c>
      <c r="E1693" t="s">
        <v>79</v>
      </c>
      <c r="F1693" t="s">
        <v>80</v>
      </c>
      <c r="G1693" t="s">
        <v>145</v>
      </c>
      <c r="H1693" t="s">
        <v>145</v>
      </c>
      <c r="I1693" t="s">
        <v>41</v>
      </c>
      <c r="J1693" t="s">
        <v>42</v>
      </c>
      <c r="K1693" t="s">
        <v>48</v>
      </c>
      <c r="L1693" t="s">
        <v>49</v>
      </c>
      <c r="M1693" t="s">
        <v>140</v>
      </c>
      <c r="N1693">
        <v>0.87049392800000003</v>
      </c>
      <c r="O1693">
        <v>5.1931906E-2</v>
      </c>
      <c r="P1693">
        <v>1.7319432999999999E-2</v>
      </c>
      <c r="Q1693" t="str">
        <f t="shared" si="52"/>
        <v>25-34</v>
      </c>
      <c r="R1693" t="str">
        <f t="shared" si="53"/>
        <v>[fiRkU6gEjLz]|25-34|Male|PopART.Rt.T_1|CY2024Q3</v>
      </c>
    </row>
    <row r="1694" spans="4:18" x14ac:dyDescent="0.2">
      <c r="D1694" t="s">
        <v>78</v>
      </c>
      <c r="E1694" t="s">
        <v>79</v>
      </c>
      <c r="F1694" t="s">
        <v>80</v>
      </c>
      <c r="G1694" t="s">
        <v>145</v>
      </c>
      <c r="H1694" t="s">
        <v>145</v>
      </c>
      <c r="I1694" t="s">
        <v>43</v>
      </c>
      <c r="J1694" t="s">
        <v>44</v>
      </c>
      <c r="K1694" t="s">
        <v>48</v>
      </c>
      <c r="L1694" t="s">
        <v>49</v>
      </c>
      <c r="M1694" t="s">
        <v>140</v>
      </c>
      <c r="N1694">
        <v>0.92068153900000005</v>
      </c>
      <c r="O1694">
        <v>2.8831398000000001E-2</v>
      </c>
      <c r="P1694">
        <v>1.7319432999999999E-2</v>
      </c>
      <c r="Q1694" t="str">
        <f t="shared" si="52"/>
        <v>35-49</v>
      </c>
      <c r="R1694" t="str">
        <f t="shared" si="53"/>
        <v>[fiRkU6gEjLz]|35-49|Male|PopART.Rt.T_1|CY2024Q3</v>
      </c>
    </row>
    <row r="1695" spans="4:18" x14ac:dyDescent="0.2">
      <c r="D1695" t="s">
        <v>78</v>
      </c>
      <c r="E1695" t="s">
        <v>79</v>
      </c>
      <c r="F1695" t="s">
        <v>80</v>
      </c>
      <c r="G1695" t="s">
        <v>145</v>
      </c>
      <c r="H1695" t="s">
        <v>145</v>
      </c>
      <c r="I1695" t="s">
        <v>45</v>
      </c>
      <c r="J1695" t="s">
        <v>46</v>
      </c>
      <c r="K1695" t="s">
        <v>48</v>
      </c>
      <c r="L1695" t="s">
        <v>49</v>
      </c>
      <c r="M1695" t="s">
        <v>140</v>
      </c>
      <c r="N1695">
        <v>0.945513033</v>
      </c>
      <c r="O1695">
        <v>2.3151418E-2</v>
      </c>
      <c r="P1695">
        <v>1.7319432999999999E-2</v>
      </c>
      <c r="Q1695" t="str">
        <f t="shared" si="52"/>
        <v>50+</v>
      </c>
      <c r="R1695" t="str">
        <f t="shared" si="53"/>
        <v>[fiRkU6gEjLz]|50+|Male|PopART.Rt.T_1|CY2024Q3</v>
      </c>
    </row>
    <row r="1696" spans="4:18" x14ac:dyDescent="0.2">
      <c r="D1696" t="s">
        <v>81</v>
      </c>
      <c r="E1696" t="s">
        <v>82</v>
      </c>
      <c r="F1696" t="s">
        <v>83</v>
      </c>
      <c r="G1696" t="s">
        <v>145</v>
      </c>
      <c r="H1696" t="s">
        <v>145</v>
      </c>
      <c r="I1696" t="s">
        <v>28</v>
      </c>
      <c r="J1696" t="s">
        <v>29</v>
      </c>
      <c r="K1696" t="s">
        <v>30</v>
      </c>
      <c r="L1696" t="s">
        <v>31</v>
      </c>
      <c r="M1696" t="s">
        <v>140</v>
      </c>
      <c r="N1696">
        <v>0.58581258899999999</v>
      </c>
      <c r="O1696">
        <v>6.6526501000000002E-2</v>
      </c>
      <c r="P1696">
        <v>2.0116634000000001E-2</v>
      </c>
      <c r="Q1696" t="str">
        <f t="shared" si="52"/>
        <v>&lt;01</v>
      </c>
      <c r="R1696" t="str">
        <f t="shared" si="53"/>
        <v>[zphK9WV8JB4]|&lt;01|Female|PopART.Rt.T_1|CY2024Q3</v>
      </c>
    </row>
    <row r="1697" spans="4:18" x14ac:dyDescent="0.2">
      <c r="D1697" t="s">
        <v>81</v>
      </c>
      <c r="E1697" t="s">
        <v>82</v>
      </c>
      <c r="F1697" t="s">
        <v>83</v>
      </c>
      <c r="G1697" t="s">
        <v>145</v>
      </c>
      <c r="H1697" t="s">
        <v>145</v>
      </c>
      <c r="I1697" t="s">
        <v>33</v>
      </c>
      <c r="J1697" t="s">
        <v>34</v>
      </c>
      <c r="K1697" t="s">
        <v>30</v>
      </c>
      <c r="L1697" t="s">
        <v>31</v>
      </c>
      <c r="M1697" t="s">
        <v>140</v>
      </c>
      <c r="N1697">
        <v>0.63122977899999999</v>
      </c>
      <c r="O1697">
        <v>6.4551191999999993E-2</v>
      </c>
      <c r="P1697">
        <v>2.0116634000000001E-2</v>
      </c>
      <c r="Q1697" t="str">
        <f t="shared" si="52"/>
        <v>01-09</v>
      </c>
      <c r="R1697" t="str">
        <f t="shared" si="53"/>
        <v>[zphK9WV8JB4]|01-09|Female|PopART.Rt.T_1|CY2024Q3</v>
      </c>
    </row>
    <row r="1698" spans="4:18" x14ac:dyDescent="0.2">
      <c r="D1698" t="s">
        <v>81</v>
      </c>
      <c r="E1698" t="s">
        <v>82</v>
      </c>
      <c r="F1698" t="s">
        <v>83</v>
      </c>
      <c r="G1698" t="s">
        <v>145</v>
      </c>
      <c r="H1698" t="s">
        <v>145</v>
      </c>
      <c r="I1698" t="s">
        <v>36</v>
      </c>
      <c r="J1698" t="s">
        <v>37</v>
      </c>
      <c r="K1698" t="s">
        <v>30</v>
      </c>
      <c r="L1698" t="s">
        <v>31</v>
      </c>
      <c r="M1698" t="s">
        <v>140</v>
      </c>
      <c r="N1698">
        <v>0.67356255300000001</v>
      </c>
      <c r="O1698">
        <v>5.4687603000000001E-2</v>
      </c>
      <c r="P1698">
        <v>2.0116634000000001E-2</v>
      </c>
      <c r="Q1698" t="str">
        <f t="shared" si="52"/>
        <v>10-14</v>
      </c>
      <c r="R1698" t="str">
        <f t="shared" si="53"/>
        <v>[zphK9WV8JB4]|10-14|Female|PopART.Rt.T_1|CY2024Q3</v>
      </c>
    </row>
    <row r="1699" spans="4:18" x14ac:dyDescent="0.2">
      <c r="D1699" t="s">
        <v>81</v>
      </c>
      <c r="E1699" t="s">
        <v>82</v>
      </c>
      <c r="F1699" t="s">
        <v>83</v>
      </c>
      <c r="G1699" t="s">
        <v>145</v>
      </c>
      <c r="H1699" t="s">
        <v>145</v>
      </c>
      <c r="I1699" t="s">
        <v>38</v>
      </c>
      <c r="J1699" t="s">
        <v>39</v>
      </c>
      <c r="K1699" t="s">
        <v>30</v>
      </c>
      <c r="L1699" t="s">
        <v>31</v>
      </c>
      <c r="M1699" t="s">
        <v>140</v>
      </c>
      <c r="N1699">
        <v>0.91633558000000004</v>
      </c>
      <c r="O1699">
        <v>3.7731540000000001E-2</v>
      </c>
      <c r="P1699">
        <v>2.0116634000000001E-2</v>
      </c>
      <c r="Q1699" t="str">
        <f t="shared" si="52"/>
        <v>15-24</v>
      </c>
      <c r="R1699" t="str">
        <f t="shared" si="53"/>
        <v>[zphK9WV8JB4]|15-24|Female|PopART.Rt.T_1|CY2024Q3</v>
      </c>
    </row>
    <row r="1700" spans="4:18" x14ac:dyDescent="0.2">
      <c r="D1700" t="s">
        <v>81</v>
      </c>
      <c r="E1700" t="s">
        <v>82</v>
      </c>
      <c r="F1700" t="s">
        <v>83</v>
      </c>
      <c r="G1700" t="s">
        <v>145</v>
      </c>
      <c r="H1700" t="s">
        <v>145</v>
      </c>
      <c r="I1700" t="s">
        <v>41</v>
      </c>
      <c r="J1700" t="s">
        <v>42</v>
      </c>
      <c r="K1700" t="s">
        <v>30</v>
      </c>
      <c r="L1700" t="s">
        <v>31</v>
      </c>
      <c r="M1700" t="s">
        <v>140</v>
      </c>
      <c r="N1700">
        <v>0.95511856799999995</v>
      </c>
      <c r="O1700">
        <v>2.0027105E-2</v>
      </c>
      <c r="P1700">
        <v>2.0116634000000001E-2</v>
      </c>
      <c r="Q1700" t="str">
        <f t="shared" si="52"/>
        <v>25-34</v>
      </c>
      <c r="R1700" t="str">
        <f t="shared" si="53"/>
        <v>[zphK9WV8JB4]|25-34|Female|PopART.Rt.T_1|CY2024Q3</v>
      </c>
    </row>
    <row r="1701" spans="4:18" x14ac:dyDescent="0.2">
      <c r="D1701" t="s">
        <v>81</v>
      </c>
      <c r="E1701" t="s">
        <v>82</v>
      </c>
      <c r="F1701" t="s">
        <v>83</v>
      </c>
      <c r="G1701" t="s">
        <v>145</v>
      </c>
      <c r="H1701" t="s">
        <v>145</v>
      </c>
      <c r="I1701" t="s">
        <v>43</v>
      </c>
      <c r="J1701" t="s">
        <v>44</v>
      </c>
      <c r="K1701" t="s">
        <v>30</v>
      </c>
      <c r="L1701" t="s">
        <v>31</v>
      </c>
      <c r="M1701" t="s">
        <v>140</v>
      </c>
      <c r="N1701">
        <v>0.97762817899999999</v>
      </c>
      <c r="O1701">
        <v>1.0272528E-2</v>
      </c>
      <c r="P1701">
        <v>2.0116634000000001E-2</v>
      </c>
      <c r="Q1701" t="str">
        <f t="shared" si="52"/>
        <v>35-49</v>
      </c>
      <c r="R1701" t="str">
        <f t="shared" si="53"/>
        <v>[zphK9WV8JB4]|35-49|Female|PopART.Rt.T_1|CY2024Q3</v>
      </c>
    </row>
    <row r="1702" spans="4:18" x14ac:dyDescent="0.2">
      <c r="D1702" t="s">
        <v>81</v>
      </c>
      <c r="E1702" t="s">
        <v>82</v>
      </c>
      <c r="F1702" t="s">
        <v>83</v>
      </c>
      <c r="G1702" t="s">
        <v>145</v>
      </c>
      <c r="H1702" t="s">
        <v>145</v>
      </c>
      <c r="I1702" t="s">
        <v>45</v>
      </c>
      <c r="J1702" t="s">
        <v>46</v>
      </c>
      <c r="K1702" t="s">
        <v>30</v>
      </c>
      <c r="L1702" t="s">
        <v>31</v>
      </c>
      <c r="M1702" t="s">
        <v>140</v>
      </c>
      <c r="N1702">
        <v>0.98448496100000005</v>
      </c>
      <c r="O1702">
        <v>7.3110969999999999E-3</v>
      </c>
      <c r="P1702">
        <v>2.0116634000000001E-2</v>
      </c>
      <c r="Q1702" t="str">
        <f t="shared" si="52"/>
        <v>50+</v>
      </c>
      <c r="R1702" t="str">
        <f t="shared" si="53"/>
        <v>[zphK9WV8JB4]|50+|Female|PopART.Rt.T_1|CY2024Q3</v>
      </c>
    </row>
    <row r="1703" spans="4:18" x14ac:dyDescent="0.2">
      <c r="D1703" t="s">
        <v>81</v>
      </c>
      <c r="E1703" t="s">
        <v>82</v>
      </c>
      <c r="F1703" t="s">
        <v>83</v>
      </c>
      <c r="G1703" t="s">
        <v>145</v>
      </c>
      <c r="H1703" t="s">
        <v>145</v>
      </c>
      <c r="I1703" t="s">
        <v>28</v>
      </c>
      <c r="J1703" t="s">
        <v>29</v>
      </c>
      <c r="K1703" t="s">
        <v>48</v>
      </c>
      <c r="L1703" t="s">
        <v>49</v>
      </c>
      <c r="M1703" t="s">
        <v>140</v>
      </c>
      <c r="N1703">
        <v>0.58603528400000005</v>
      </c>
      <c r="O1703">
        <v>6.6385725000000007E-2</v>
      </c>
      <c r="P1703">
        <v>2.0116634000000001E-2</v>
      </c>
      <c r="Q1703" t="str">
        <f t="shared" si="52"/>
        <v>&lt;01</v>
      </c>
      <c r="R1703" t="str">
        <f t="shared" si="53"/>
        <v>[zphK9WV8JB4]|&lt;01|Male|PopART.Rt.T_1|CY2024Q3</v>
      </c>
    </row>
    <row r="1704" spans="4:18" x14ac:dyDescent="0.2">
      <c r="D1704" t="s">
        <v>81</v>
      </c>
      <c r="E1704" t="s">
        <v>82</v>
      </c>
      <c r="F1704" t="s">
        <v>83</v>
      </c>
      <c r="G1704" t="s">
        <v>145</v>
      </c>
      <c r="H1704" t="s">
        <v>145</v>
      </c>
      <c r="I1704" t="s">
        <v>33</v>
      </c>
      <c r="J1704" t="s">
        <v>34</v>
      </c>
      <c r="K1704" t="s">
        <v>48</v>
      </c>
      <c r="L1704" t="s">
        <v>49</v>
      </c>
      <c r="M1704" t="s">
        <v>140</v>
      </c>
      <c r="N1704">
        <v>0.63137337100000002</v>
      </c>
      <c r="O1704">
        <v>6.3668318000000002E-2</v>
      </c>
      <c r="P1704">
        <v>2.0116634000000001E-2</v>
      </c>
      <c r="Q1704" t="str">
        <f t="shared" si="52"/>
        <v>01-09</v>
      </c>
      <c r="R1704" t="str">
        <f t="shared" si="53"/>
        <v>[zphK9WV8JB4]|01-09|Male|PopART.Rt.T_1|CY2024Q3</v>
      </c>
    </row>
    <row r="1705" spans="4:18" x14ac:dyDescent="0.2">
      <c r="D1705" t="s">
        <v>81</v>
      </c>
      <c r="E1705" t="s">
        <v>82</v>
      </c>
      <c r="F1705" t="s">
        <v>83</v>
      </c>
      <c r="G1705" t="s">
        <v>145</v>
      </c>
      <c r="H1705" t="s">
        <v>145</v>
      </c>
      <c r="I1705" t="s">
        <v>36</v>
      </c>
      <c r="J1705" t="s">
        <v>37</v>
      </c>
      <c r="K1705" t="s">
        <v>48</v>
      </c>
      <c r="L1705" t="s">
        <v>49</v>
      </c>
      <c r="M1705" t="s">
        <v>140</v>
      </c>
      <c r="N1705">
        <v>0.67331397100000001</v>
      </c>
      <c r="O1705">
        <v>5.7015379999999997E-2</v>
      </c>
      <c r="P1705">
        <v>2.0116634000000001E-2</v>
      </c>
      <c r="Q1705" t="str">
        <f t="shared" si="52"/>
        <v>10-14</v>
      </c>
      <c r="R1705" t="str">
        <f t="shared" si="53"/>
        <v>[zphK9WV8JB4]|10-14|Male|PopART.Rt.T_1|CY2024Q3</v>
      </c>
    </row>
    <row r="1706" spans="4:18" x14ac:dyDescent="0.2">
      <c r="D1706" t="s">
        <v>81</v>
      </c>
      <c r="E1706" t="s">
        <v>82</v>
      </c>
      <c r="F1706" t="s">
        <v>83</v>
      </c>
      <c r="G1706" t="s">
        <v>145</v>
      </c>
      <c r="H1706" t="s">
        <v>145</v>
      </c>
      <c r="I1706" t="s">
        <v>38</v>
      </c>
      <c r="J1706" t="s">
        <v>39</v>
      </c>
      <c r="K1706" t="s">
        <v>48</v>
      </c>
      <c r="L1706" t="s">
        <v>49</v>
      </c>
      <c r="M1706" t="s">
        <v>140</v>
      </c>
      <c r="N1706">
        <v>0.87844108300000001</v>
      </c>
      <c r="O1706">
        <v>4.7833757999999997E-2</v>
      </c>
      <c r="P1706">
        <v>2.0116634000000001E-2</v>
      </c>
      <c r="Q1706" t="str">
        <f t="shared" si="52"/>
        <v>15-24</v>
      </c>
      <c r="R1706" t="str">
        <f t="shared" si="53"/>
        <v>[zphK9WV8JB4]|15-24|Male|PopART.Rt.T_1|CY2024Q3</v>
      </c>
    </row>
    <row r="1707" spans="4:18" x14ac:dyDescent="0.2">
      <c r="D1707" t="s">
        <v>81</v>
      </c>
      <c r="E1707" t="s">
        <v>82</v>
      </c>
      <c r="F1707" t="s">
        <v>83</v>
      </c>
      <c r="G1707" t="s">
        <v>145</v>
      </c>
      <c r="H1707" t="s">
        <v>145</v>
      </c>
      <c r="I1707" t="s">
        <v>41</v>
      </c>
      <c r="J1707" t="s">
        <v>42</v>
      </c>
      <c r="K1707" t="s">
        <v>48</v>
      </c>
      <c r="L1707" t="s">
        <v>49</v>
      </c>
      <c r="M1707" t="s">
        <v>140</v>
      </c>
      <c r="N1707">
        <v>0.84374567499999997</v>
      </c>
      <c r="O1707">
        <v>5.7746985000000001E-2</v>
      </c>
      <c r="P1707">
        <v>2.0116634000000001E-2</v>
      </c>
      <c r="Q1707" t="str">
        <f t="shared" si="52"/>
        <v>25-34</v>
      </c>
      <c r="R1707" t="str">
        <f t="shared" si="53"/>
        <v>[zphK9WV8JB4]|25-34|Male|PopART.Rt.T_1|CY2024Q3</v>
      </c>
    </row>
    <row r="1708" spans="4:18" x14ac:dyDescent="0.2">
      <c r="D1708" t="s">
        <v>81</v>
      </c>
      <c r="E1708" t="s">
        <v>82</v>
      </c>
      <c r="F1708" t="s">
        <v>83</v>
      </c>
      <c r="G1708" t="s">
        <v>145</v>
      </c>
      <c r="H1708" t="s">
        <v>145</v>
      </c>
      <c r="I1708" t="s">
        <v>43</v>
      </c>
      <c r="J1708" t="s">
        <v>44</v>
      </c>
      <c r="K1708" t="s">
        <v>48</v>
      </c>
      <c r="L1708" t="s">
        <v>49</v>
      </c>
      <c r="M1708" t="s">
        <v>140</v>
      </c>
      <c r="N1708">
        <v>0.90343677899999997</v>
      </c>
      <c r="O1708">
        <v>3.2065812999999999E-2</v>
      </c>
      <c r="P1708">
        <v>2.0116634000000001E-2</v>
      </c>
      <c r="Q1708" t="str">
        <f t="shared" si="52"/>
        <v>35-49</v>
      </c>
      <c r="R1708" t="str">
        <f t="shared" si="53"/>
        <v>[zphK9WV8JB4]|35-49|Male|PopART.Rt.T_1|CY2024Q3</v>
      </c>
    </row>
    <row r="1709" spans="4:18" x14ac:dyDescent="0.2">
      <c r="D1709" t="s">
        <v>81</v>
      </c>
      <c r="E1709" t="s">
        <v>82</v>
      </c>
      <c r="F1709" t="s">
        <v>83</v>
      </c>
      <c r="G1709" t="s">
        <v>145</v>
      </c>
      <c r="H1709" t="s">
        <v>145</v>
      </c>
      <c r="I1709" t="s">
        <v>45</v>
      </c>
      <c r="J1709" t="s">
        <v>46</v>
      </c>
      <c r="K1709" t="s">
        <v>48</v>
      </c>
      <c r="L1709" t="s">
        <v>49</v>
      </c>
      <c r="M1709" t="s">
        <v>140</v>
      </c>
      <c r="N1709">
        <v>0.93289692199999996</v>
      </c>
      <c r="O1709">
        <v>2.7570790000000001E-2</v>
      </c>
      <c r="P1709">
        <v>2.0116634000000001E-2</v>
      </c>
      <c r="Q1709" t="str">
        <f t="shared" si="52"/>
        <v>50+</v>
      </c>
      <c r="R1709" t="str">
        <f t="shared" si="53"/>
        <v>[zphK9WV8JB4]|50+|Male|PopART.Rt.T_1|CY2024Q3</v>
      </c>
    </row>
    <row r="1710" spans="4:18" x14ac:dyDescent="0.2">
      <c r="D1710" t="s">
        <v>84</v>
      </c>
      <c r="E1710" t="s">
        <v>85</v>
      </c>
      <c r="F1710" t="s">
        <v>86</v>
      </c>
      <c r="G1710" t="s">
        <v>145</v>
      </c>
      <c r="H1710" t="s">
        <v>145</v>
      </c>
      <c r="I1710" t="s">
        <v>28</v>
      </c>
      <c r="J1710" t="s">
        <v>29</v>
      </c>
      <c r="K1710" t="s">
        <v>30</v>
      </c>
      <c r="L1710" t="s">
        <v>31</v>
      </c>
      <c r="M1710" t="s">
        <v>140</v>
      </c>
      <c r="N1710">
        <v>0.73050089299999998</v>
      </c>
      <c r="O1710">
        <v>4.6987174E-2</v>
      </c>
      <c r="P1710">
        <v>1.1906129999999999E-2</v>
      </c>
      <c r="Q1710" t="str">
        <f t="shared" si="52"/>
        <v>&lt;01</v>
      </c>
      <c r="R1710" t="str">
        <f t="shared" si="53"/>
        <v>[msW2zpIN7up]|&lt;01|Female|PopART.Rt.T_1|CY2024Q3</v>
      </c>
    </row>
    <row r="1711" spans="4:18" x14ac:dyDescent="0.2">
      <c r="D1711" t="s">
        <v>84</v>
      </c>
      <c r="E1711" t="s">
        <v>85</v>
      </c>
      <c r="F1711" t="s">
        <v>86</v>
      </c>
      <c r="G1711" t="s">
        <v>145</v>
      </c>
      <c r="H1711" t="s">
        <v>145</v>
      </c>
      <c r="I1711" t="s">
        <v>33</v>
      </c>
      <c r="J1711" t="s">
        <v>34</v>
      </c>
      <c r="K1711" t="s">
        <v>30</v>
      </c>
      <c r="L1711" t="s">
        <v>31</v>
      </c>
      <c r="M1711" t="s">
        <v>140</v>
      </c>
      <c r="N1711">
        <v>0.77828722500000003</v>
      </c>
      <c r="O1711">
        <v>4.5186021E-2</v>
      </c>
      <c r="P1711">
        <v>1.1906129999999999E-2</v>
      </c>
      <c r="Q1711" t="str">
        <f t="shared" si="52"/>
        <v>01-09</v>
      </c>
      <c r="R1711" t="str">
        <f t="shared" si="53"/>
        <v>[msW2zpIN7up]|01-09|Female|PopART.Rt.T_1|CY2024Q3</v>
      </c>
    </row>
    <row r="1712" spans="4:18" x14ac:dyDescent="0.2">
      <c r="D1712" t="s">
        <v>84</v>
      </c>
      <c r="E1712" t="s">
        <v>85</v>
      </c>
      <c r="F1712" t="s">
        <v>86</v>
      </c>
      <c r="G1712" t="s">
        <v>145</v>
      </c>
      <c r="H1712" t="s">
        <v>145</v>
      </c>
      <c r="I1712" t="s">
        <v>36</v>
      </c>
      <c r="J1712" t="s">
        <v>37</v>
      </c>
      <c r="K1712" t="s">
        <v>30</v>
      </c>
      <c r="L1712" t="s">
        <v>31</v>
      </c>
      <c r="M1712" t="s">
        <v>140</v>
      </c>
      <c r="N1712">
        <v>0.80802627000000005</v>
      </c>
      <c r="O1712">
        <v>3.7521195E-2</v>
      </c>
      <c r="P1712">
        <v>1.1906129999999999E-2</v>
      </c>
      <c r="Q1712" t="str">
        <f t="shared" si="52"/>
        <v>10-14</v>
      </c>
      <c r="R1712" t="str">
        <f t="shared" si="53"/>
        <v>[msW2zpIN7up]|10-14|Female|PopART.Rt.T_1|CY2024Q3</v>
      </c>
    </row>
    <row r="1713" spans="4:18" x14ac:dyDescent="0.2">
      <c r="D1713" t="s">
        <v>84</v>
      </c>
      <c r="E1713" t="s">
        <v>85</v>
      </c>
      <c r="F1713" t="s">
        <v>86</v>
      </c>
      <c r="G1713" t="s">
        <v>145</v>
      </c>
      <c r="H1713" t="s">
        <v>145</v>
      </c>
      <c r="I1713" t="s">
        <v>38</v>
      </c>
      <c r="J1713" t="s">
        <v>39</v>
      </c>
      <c r="K1713" t="s">
        <v>30</v>
      </c>
      <c r="L1713" t="s">
        <v>31</v>
      </c>
      <c r="M1713" t="s">
        <v>140</v>
      </c>
      <c r="N1713">
        <v>0.94846739199999996</v>
      </c>
      <c r="O1713">
        <v>2.3011855000000001E-2</v>
      </c>
      <c r="P1713">
        <v>1.1906129999999999E-2</v>
      </c>
      <c r="Q1713" t="str">
        <f t="shared" si="52"/>
        <v>15-24</v>
      </c>
      <c r="R1713" t="str">
        <f t="shared" si="53"/>
        <v>[msW2zpIN7up]|15-24|Female|PopART.Rt.T_1|CY2024Q3</v>
      </c>
    </row>
    <row r="1714" spans="4:18" x14ac:dyDescent="0.2">
      <c r="D1714" t="s">
        <v>84</v>
      </c>
      <c r="E1714" t="s">
        <v>85</v>
      </c>
      <c r="F1714" t="s">
        <v>86</v>
      </c>
      <c r="G1714" t="s">
        <v>145</v>
      </c>
      <c r="H1714" t="s">
        <v>145</v>
      </c>
      <c r="I1714" t="s">
        <v>41</v>
      </c>
      <c r="J1714" t="s">
        <v>42</v>
      </c>
      <c r="K1714" t="s">
        <v>30</v>
      </c>
      <c r="L1714" t="s">
        <v>31</v>
      </c>
      <c r="M1714" t="s">
        <v>140</v>
      </c>
      <c r="N1714">
        <v>0.97282246999999999</v>
      </c>
      <c r="O1714">
        <v>1.1995451000000001E-2</v>
      </c>
      <c r="P1714">
        <v>1.1906129999999999E-2</v>
      </c>
      <c r="Q1714" t="str">
        <f t="shared" si="52"/>
        <v>25-34</v>
      </c>
      <c r="R1714" t="str">
        <f t="shared" si="53"/>
        <v>[msW2zpIN7up]|25-34|Female|PopART.Rt.T_1|CY2024Q3</v>
      </c>
    </row>
    <row r="1715" spans="4:18" x14ac:dyDescent="0.2">
      <c r="D1715" t="s">
        <v>84</v>
      </c>
      <c r="E1715" t="s">
        <v>85</v>
      </c>
      <c r="F1715" t="s">
        <v>86</v>
      </c>
      <c r="G1715" t="s">
        <v>145</v>
      </c>
      <c r="H1715" t="s">
        <v>145</v>
      </c>
      <c r="I1715" t="s">
        <v>43</v>
      </c>
      <c r="J1715" t="s">
        <v>44</v>
      </c>
      <c r="K1715" t="s">
        <v>30</v>
      </c>
      <c r="L1715" t="s">
        <v>31</v>
      </c>
      <c r="M1715" t="s">
        <v>140</v>
      </c>
      <c r="N1715">
        <v>0.98652527599999995</v>
      </c>
      <c r="O1715">
        <v>6.0048369999999998E-3</v>
      </c>
      <c r="P1715">
        <v>1.1906129999999999E-2</v>
      </c>
      <c r="Q1715" t="str">
        <f t="shared" si="52"/>
        <v>35-49</v>
      </c>
      <c r="R1715" t="str">
        <f t="shared" si="53"/>
        <v>[msW2zpIN7up]|35-49|Female|PopART.Rt.T_1|CY2024Q3</v>
      </c>
    </row>
    <row r="1716" spans="4:18" x14ac:dyDescent="0.2">
      <c r="D1716" t="s">
        <v>84</v>
      </c>
      <c r="E1716" t="s">
        <v>85</v>
      </c>
      <c r="F1716" t="s">
        <v>86</v>
      </c>
      <c r="G1716" t="s">
        <v>145</v>
      </c>
      <c r="H1716" t="s">
        <v>145</v>
      </c>
      <c r="I1716" t="s">
        <v>45</v>
      </c>
      <c r="J1716" t="s">
        <v>46</v>
      </c>
      <c r="K1716" t="s">
        <v>30</v>
      </c>
      <c r="L1716" t="s">
        <v>31</v>
      </c>
      <c r="M1716" t="s">
        <v>140</v>
      </c>
      <c r="N1716">
        <v>0.99076948200000003</v>
      </c>
      <c r="O1716">
        <v>4.1751549999999998E-3</v>
      </c>
      <c r="P1716">
        <v>1.1906129999999999E-2</v>
      </c>
      <c r="Q1716" t="str">
        <f t="shared" si="52"/>
        <v>50+</v>
      </c>
      <c r="R1716" t="str">
        <f t="shared" si="53"/>
        <v>[msW2zpIN7up]|50+|Female|PopART.Rt.T_1|CY2024Q3</v>
      </c>
    </row>
    <row r="1717" spans="4:18" x14ac:dyDescent="0.2">
      <c r="D1717" t="s">
        <v>84</v>
      </c>
      <c r="E1717" t="s">
        <v>85</v>
      </c>
      <c r="F1717" t="s">
        <v>86</v>
      </c>
      <c r="G1717" t="s">
        <v>145</v>
      </c>
      <c r="H1717" t="s">
        <v>145</v>
      </c>
      <c r="I1717" t="s">
        <v>28</v>
      </c>
      <c r="J1717" t="s">
        <v>29</v>
      </c>
      <c r="K1717" t="s">
        <v>48</v>
      </c>
      <c r="L1717" t="s">
        <v>49</v>
      </c>
      <c r="M1717" t="s">
        <v>140</v>
      </c>
      <c r="N1717">
        <v>0.73066687100000005</v>
      </c>
      <c r="O1717">
        <v>4.6936612000000003E-2</v>
      </c>
      <c r="P1717">
        <v>1.1906129999999999E-2</v>
      </c>
      <c r="Q1717" t="str">
        <f t="shared" si="52"/>
        <v>&lt;01</v>
      </c>
      <c r="R1717" t="str">
        <f t="shared" si="53"/>
        <v>[msW2zpIN7up]|&lt;01|Male|PopART.Rt.T_1|CY2024Q3</v>
      </c>
    </row>
    <row r="1718" spans="4:18" x14ac:dyDescent="0.2">
      <c r="D1718" t="s">
        <v>84</v>
      </c>
      <c r="E1718" t="s">
        <v>85</v>
      </c>
      <c r="F1718" t="s">
        <v>86</v>
      </c>
      <c r="G1718" t="s">
        <v>145</v>
      </c>
      <c r="H1718" t="s">
        <v>145</v>
      </c>
      <c r="I1718" t="s">
        <v>33</v>
      </c>
      <c r="J1718" t="s">
        <v>34</v>
      </c>
      <c r="K1718" t="s">
        <v>48</v>
      </c>
      <c r="L1718" t="s">
        <v>49</v>
      </c>
      <c r="M1718" t="s">
        <v>140</v>
      </c>
      <c r="N1718">
        <v>0.77840935</v>
      </c>
      <c r="O1718">
        <v>4.4747098999999999E-2</v>
      </c>
      <c r="P1718">
        <v>1.1906129999999999E-2</v>
      </c>
      <c r="Q1718" t="str">
        <f t="shared" si="52"/>
        <v>01-09</v>
      </c>
      <c r="R1718" t="str">
        <f t="shared" si="53"/>
        <v>[msW2zpIN7up]|01-09|Male|PopART.Rt.T_1|CY2024Q3</v>
      </c>
    </row>
    <row r="1719" spans="4:18" x14ac:dyDescent="0.2">
      <c r="D1719" t="s">
        <v>84</v>
      </c>
      <c r="E1719" t="s">
        <v>85</v>
      </c>
      <c r="F1719" t="s">
        <v>86</v>
      </c>
      <c r="G1719" t="s">
        <v>145</v>
      </c>
      <c r="H1719" t="s">
        <v>145</v>
      </c>
      <c r="I1719" t="s">
        <v>36</v>
      </c>
      <c r="J1719" t="s">
        <v>37</v>
      </c>
      <c r="K1719" t="s">
        <v>48</v>
      </c>
      <c r="L1719" t="s">
        <v>49</v>
      </c>
      <c r="M1719" t="s">
        <v>140</v>
      </c>
      <c r="N1719">
        <v>0.80787807499999997</v>
      </c>
      <c r="O1719">
        <v>3.8678617999999998E-2</v>
      </c>
      <c r="P1719">
        <v>1.1906129999999999E-2</v>
      </c>
      <c r="Q1719" t="str">
        <f t="shared" si="52"/>
        <v>10-14</v>
      </c>
      <c r="R1719" t="str">
        <f t="shared" si="53"/>
        <v>[msW2zpIN7up]|10-14|Male|PopART.Rt.T_1|CY2024Q3</v>
      </c>
    </row>
    <row r="1720" spans="4:18" x14ac:dyDescent="0.2">
      <c r="D1720" t="s">
        <v>84</v>
      </c>
      <c r="E1720" t="s">
        <v>85</v>
      </c>
      <c r="F1720" t="s">
        <v>86</v>
      </c>
      <c r="G1720" t="s">
        <v>145</v>
      </c>
      <c r="H1720" t="s">
        <v>145</v>
      </c>
      <c r="I1720" t="s">
        <v>38</v>
      </c>
      <c r="J1720" t="s">
        <v>39</v>
      </c>
      <c r="K1720" t="s">
        <v>48</v>
      </c>
      <c r="L1720" t="s">
        <v>49</v>
      </c>
      <c r="M1720" t="s">
        <v>140</v>
      </c>
      <c r="N1720">
        <v>0.92394196200000001</v>
      </c>
      <c r="O1720">
        <v>3.0562868999999999E-2</v>
      </c>
      <c r="P1720">
        <v>1.1906129999999999E-2</v>
      </c>
      <c r="Q1720" t="str">
        <f t="shared" si="52"/>
        <v>15-24</v>
      </c>
      <c r="R1720" t="str">
        <f t="shared" si="53"/>
        <v>[msW2zpIN7up]|15-24|Male|PopART.Rt.T_1|CY2024Q3</v>
      </c>
    </row>
    <row r="1721" spans="4:18" x14ac:dyDescent="0.2">
      <c r="D1721" t="s">
        <v>84</v>
      </c>
      <c r="E1721" t="s">
        <v>85</v>
      </c>
      <c r="F1721" t="s">
        <v>86</v>
      </c>
      <c r="G1721" t="s">
        <v>145</v>
      </c>
      <c r="H1721" t="s">
        <v>145</v>
      </c>
      <c r="I1721" t="s">
        <v>41</v>
      </c>
      <c r="J1721" t="s">
        <v>42</v>
      </c>
      <c r="K1721" t="s">
        <v>48</v>
      </c>
      <c r="L1721" t="s">
        <v>49</v>
      </c>
      <c r="M1721" t="s">
        <v>140</v>
      </c>
      <c r="N1721">
        <v>0.90049973299999997</v>
      </c>
      <c r="O1721">
        <v>3.9464060000000002E-2</v>
      </c>
      <c r="P1721">
        <v>1.1906129999999999E-2</v>
      </c>
      <c r="Q1721" t="str">
        <f t="shared" si="52"/>
        <v>25-34</v>
      </c>
      <c r="R1721" t="str">
        <f t="shared" si="53"/>
        <v>[msW2zpIN7up]|25-34|Male|PopART.Rt.T_1|CY2024Q3</v>
      </c>
    </row>
    <row r="1722" spans="4:18" x14ac:dyDescent="0.2">
      <c r="D1722" t="s">
        <v>84</v>
      </c>
      <c r="E1722" t="s">
        <v>85</v>
      </c>
      <c r="F1722" t="s">
        <v>86</v>
      </c>
      <c r="G1722" t="s">
        <v>145</v>
      </c>
      <c r="H1722" t="s">
        <v>145</v>
      </c>
      <c r="I1722" t="s">
        <v>43</v>
      </c>
      <c r="J1722" t="s">
        <v>44</v>
      </c>
      <c r="K1722" t="s">
        <v>48</v>
      </c>
      <c r="L1722" t="s">
        <v>49</v>
      </c>
      <c r="M1722" t="s">
        <v>140</v>
      </c>
      <c r="N1722">
        <v>0.94003702499999997</v>
      </c>
      <c r="O1722">
        <v>2.2077405000000001E-2</v>
      </c>
      <c r="P1722">
        <v>1.1906129999999999E-2</v>
      </c>
      <c r="Q1722" t="str">
        <f t="shared" si="52"/>
        <v>35-49</v>
      </c>
      <c r="R1722" t="str">
        <f t="shared" si="53"/>
        <v>[msW2zpIN7up]|35-49|Male|PopART.Rt.T_1|CY2024Q3</v>
      </c>
    </row>
    <row r="1723" spans="4:18" x14ac:dyDescent="0.2">
      <c r="D1723" t="s">
        <v>84</v>
      </c>
      <c r="E1723" t="s">
        <v>85</v>
      </c>
      <c r="F1723" t="s">
        <v>86</v>
      </c>
      <c r="G1723" t="s">
        <v>145</v>
      </c>
      <c r="H1723" t="s">
        <v>145</v>
      </c>
      <c r="I1723" t="s">
        <v>45</v>
      </c>
      <c r="J1723" t="s">
        <v>46</v>
      </c>
      <c r="K1723" t="s">
        <v>48</v>
      </c>
      <c r="L1723" t="s">
        <v>49</v>
      </c>
      <c r="M1723" t="s">
        <v>140</v>
      </c>
      <c r="N1723">
        <v>0.95897100300000004</v>
      </c>
      <c r="O1723">
        <v>1.7104667E-2</v>
      </c>
      <c r="P1723">
        <v>1.1906129999999999E-2</v>
      </c>
      <c r="Q1723" t="str">
        <f t="shared" si="52"/>
        <v>50+</v>
      </c>
      <c r="R1723" t="str">
        <f t="shared" si="53"/>
        <v>[msW2zpIN7up]|50+|Male|PopART.Rt.T_1|CY2024Q3</v>
      </c>
    </row>
    <row r="1724" spans="4:18" x14ac:dyDescent="0.2">
      <c r="D1724" t="s">
        <v>87</v>
      </c>
      <c r="E1724" t="s">
        <v>88</v>
      </c>
      <c r="F1724" t="s">
        <v>89</v>
      </c>
      <c r="G1724" t="s">
        <v>145</v>
      </c>
      <c r="H1724" t="s">
        <v>145</v>
      </c>
      <c r="I1724" t="s">
        <v>28</v>
      </c>
      <c r="J1724" t="s">
        <v>29</v>
      </c>
      <c r="K1724" t="s">
        <v>30</v>
      </c>
      <c r="L1724" t="s">
        <v>31</v>
      </c>
      <c r="M1724" t="s">
        <v>140</v>
      </c>
      <c r="N1724">
        <v>0.669542835</v>
      </c>
      <c r="O1724">
        <v>3.0227173E-2</v>
      </c>
      <c r="P1724">
        <v>1.2573467E-2</v>
      </c>
      <c r="Q1724" t="str">
        <f t="shared" si="52"/>
        <v>&lt;01</v>
      </c>
      <c r="R1724" t="str">
        <f t="shared" si="53"/>
        <v>[ScR9iFKAasW]|&lt;01|Female|PopART.Rt.T_1|CY2024Q3</v>
      </c>
    </row>
    <row r="1725" spans="4:18" x14ac:dyDescent="0.2">
      <c r="D1725" t="s">
        <v>87</v>
      </c>
      <c r="E1725" t="s">
        <v>88</v>
      </c>
      <c r="F1725" t="s">
        <v>89</v>
      </c>
      <c r="G1725" t="s">
        <v>145</v>
      </c>
      <c r="H1725" t="s">
        <v>145</v>
      </c>
      <c r="I1725" t="s">
        <v>33</v>
      </c>
      <c r="J1725" t="s">
        <v>34</v>
      </c>
      <c r="K1725" t="s">
        <v>30</v>
      </c>
      <c r="L1725" t="s">
        <v>31</v>
      </c>
      <c r="M1725" t="s">
        <v>140</v>
      </c>
      <c r="N1725">
        <v>0.71788388700000005</v>
      </c>
      <c r="O1725">
        <v>2.9095183E-2</v>
      </c>
      <c r="P1725">
        <v>1.2573467E-2</v>
      </c>
      <c r="Q1725" t="str">
        <f t="shared" si="52"/>
        <v>01-09</v>
      </c>
      <c r="R1725" t="str">
        <f t="shared" si="53"/>
        <v>[ScR9iFKAasW]|01-09|Female|PopART.Rt.T_1|CY2024Q3</v>
      </c>
    </row>
    <row r="1726" spans="4:18" x14ac:dyDescent="0.2">
      <c r="D1726" t="s">
        <v>87</v>
      </c>
      <c r="E1726" t="s">
        <v>88</v>
      </c>
      <c r="F1726" t="s">
        <v>89</v>
      </c>
      <c r="G1726" t="s">
        <v>145</v>
      </c>
      <c r="H1726" t="s">
        <v>145</v>
      </c>
      <c r="I1726" t="s">
        <v>36</v>
      </c>
      <c r="J1726" t="s">
        <v>37</v>
      </c>
      <c r="K1726" t="s">
        <v>30</v>
      </c>
      <c r="L1726" t="s">
        <v>31</v>
      </c>
      <c r="M1726" t="s">
        <v>140</v>
      </c>
      <c r="N1726">
        <v>0.75542786299999998</v>
      </c>
      <c r="O1726">
        <v>2.4258525999999999E-2</v>
      </c>
      <c r="P1726">
        <v>1.2573467E-2</v>
      </c>
      <c r="Q1726" t="str">
        <f t="shared" si="52"/>
        <v>10-14</v>
      </c>
      <c r="R1726" t="str">
        <f t="shared" si="53"/>
        <v>[ScR9iFKAasW]|10-14|Female|PopART.Rt.T_1|CY2024Q3</v>
      </c>
    </row>
    <row r="1727" spans="4:18" x14ac:dyDescent="0.2">
      <c r="D1727" t="s">
        <v>87</v>
      </c>
      <c r="E1727" t="s">
        <v>88</v>
      </c>
      <c r="F1727" t="s">
        <v>89</v>
      </c>
      <c r="G1727" t="s">
        <v>145</v>
      </c>
      <c r="H1727" t="s">
        <v>145</v>
      </c>
      <c r="I1727" t="s">
        <v>38</v>
      </c>
      <c r="J1727" t="s">
        <v>39</v>
      </c>
      <c r="K1727" t="s">
        <v>30</v>
      </c>
      <c r="L1727" t="s">
        <v>31</v>
      </c>
      <c r="M1727" t="s">
        <v>140</v>
      </c>
      <c r="N1727">
        <v>0.94513043900000004</v>
      </c>
      <c r="O1727">
        <v>2.3265601E-2</v>
      </c>
      <c r="P1727">
        <v>1.2573467E-2</v>
      </c>
      <c r="Q1727" t="str">
        <f t="shared" si="52"/>
        <v>15-24</v>
      </c>
      <c r="R1727" t="str">
        <f t="shared" si="53"/>
        <v>[ScR9iFKAasW]|15-24|Female|PopART.Rt.T_1|CY2024Q3</v>
      </c>
    </row>
    <row r="1728" spans="4:18" x14ac:dyDescent="0.2">
      <c r="D1728" t="s">
        <v>87</v>
      </c>
      <c r="E1728" t="s">
        <v>88</v>
      </c>
      <c r="F1728" t="s">
        <v>89</v>
      </c>
      <c r="G1728" t="s">
        <v>145</v>
      </c>
      <c r="H1728" t="s">
        <v>145</v>
      </c>
      <c r="I1728" t="s">
        <v>41</v>
      </c>
      <c r="J1728" t="s">
        <v>42</v>
      </c>
      <c r="K1728" t="s">
        <v>30</v>
      </c>
      <c r="L1728" t="s">
        <v>31</v>
      </c>
      <c r="M1728" t="s">
        <v>140</v>
      </c>
      <c r="N1728">
        <v>0.97168093499999997</v>
      </c>
      <c r="O1728">
        <v>1.1806857E-2</v>
      </c>
      <c r="P1728">
        <v>1.2573467E-2</v>
      </c>
      <c r="Q1728" t="str">
        <f t="shared" si="52"/>
        <v>25-34</v>
      </c>
      <c r="R1728" t="str">
        <f t="shared" si="53"/>
        <v>[ScR9iFKAasW]|25-34|Female|PopART.Rt.T_1|CY2024Q3</v>
      </c>
    </row>
    <row r="1729" spans="4:18" x14ac:dyDescent="0.2">
      <c r="D1729" t="s">
        <v>87</v>
      </c>
      <c r="E1729" t="s">
        <v>88</v>
      </c>
      <c r="F1729" t="s">
        <v>89</v>
      </c>
      <c r="G1729" t="s">
        <v>145</v>
      </c>
      <c r="H1729" t="s">
        <v>145</v>
      </c>
      <c r="I1729" t="s">
        <v>43</v>
      </c>
      <c r="J1729" t="s">
        <v>44</v>
      </c>
      <c r="K1729" t="s">
        <v>30</v>
      </c>
      <c r="L1729" t="s">
        <v>31</v>
      </c>
      <c r="M1729" t="s">
        <v>140</v>
      </c>
      <c r="N1729">
        <v>0.98554509300000004</v>
      </c>
      <c r="O1729">
        <v>6.2232859999999997E-3</v>
      </c>
      <c r="P1729">
        <v>1.2573467E-2</v>
      </c>
      <c r="Q1729" t="str">
        <f t="shared" si="52"/>
        <v>35-49</v>
      </c>
      <c r="R1729" t="str">
        <f t="shared" si="53"/>
        <v>[ScR9iFKAasW]|35-49|Female|PopART.Rt.T_1|CY2024Q3</v>
      </c>
    </row>
    <row r="1730" spans="4:18" x14ac:dyDescent="0.2">
      <c r="D1730" t="s">
        <v>87</v>
      </c>
      <c r="E1730" t="s">
        <v>88</v>
      </c>
      <c r="F1730" t="s">
        <v>89</v>
      </c>
      <c r="G1730" t="s">
        <v>145</v>
      </c>
      <c r="H1730" t="s">
        <v>145</v>
      </c>
      <c r="I1730" t="s">
        <v>45</v>
      </c>
      <c r="J1730" t="s">
        <v>46</v>
      </c>
      <c r="K1730" t="s">
        <v>30</v>
      </c>
      <c r="L1730" t="s">
        <v>31</v>
      </c>
      <c r="M1730" t="s">
        <v>140</v>
      </c>
      <c r="N1730">
        <v>0.98975779799999997</v>
      </c>
      <c r="O1730">
        <v>4.4635830000000001E-3</v>
      </c>
      <c r="P1730">
        <v>1.2573467E-2</v>
      </c>
      <c r="Q1730" t="str">
        <f t="shared" si="52"/>
        <v>50+</v>
      </c>
      <c r="R1730" t="str">
        <f t="shared" si="53"/>
        <v>[ScR9iFKAasW]|50+|Female|PopART.Rt.T_1|CY2024Q3</v>
      </c>
    </row>
    <row r="1731" spans="4:18" x14ac:dyDescent="0.2">
      <c r="D1731" t="s">
        <v>87</v>
      </c>
      <c r="E1731" t="s">
        <v>88</v>
      </c>
      <c r="F1731" t="s">
        <v>89</v>
      </c>
      <c r="G1731" t="s">
        <v>145</v>
      </c>
      <c r="H1731" t="s">
        <v>145</v>
      </c>
      <c r="I1731" t="s">
        <v>28</v>
      </c>
      <c r="J1731" t="s">
        <v>29</v>
      </c>
      <c r="K1731" t="s">
        <v>48</v>
      </c>
      <c r="L1731" t="s">
        <v>49</v>
      </c>
      <c r="M1731" t="s">
        <v>140</v>
      </c>
      <c r="N1731">
        <v>0.67004543800000005</v>
      </c>
      <c r="O1731">
        <v>3.0350944000000001E-2</v>
      </c>
      <c r="P1731">
        <v>1.2573467E-2</v>
      </c>
      <c r="Q1731" t="str">
        <f t="shared" ref="Q1731:Q1794" si="54">SUBSTITUTE(SUBSTITUTE($I1731,CHAR(61),""),CHAR(34),"")</f>
        <v>&lt;01</v>
      </c>
      <c r="R1731" t="str">
        <f t="shared" ref="R1731:R1794" si="55">IF($D1731&lt;&gt;"","["&amp;$E1731&amp;"]"&amp;"|"&amp;$Q1731&amp;"|"&amp;$K1731&amp;"|"&amp;$G1731&amp;"|"&amp;IF($G1731="TX_CURR_SUBNAT.R","CY2023Q4",$M1731),"")</f>
        <v>[ScR9iFKAasW]|&lt;01|Male|PopART.Rt.T_1|CY2024Q3</v>
      </c>
    </row>
    <row r="1732" spans="4:18" x14ac:dyDescent="0.2">
      <c r="D1732" t="s">
        <v>87</v>
      </c>
      <c r="E1732" t="s">
        <v>88</v>
      </c>
      <c r="F1732" t="s">
        <v>89</v>
      </c>
      <c r="G1732" t="s">
        <v>145</v>
      </c>
      <c r="H1732" t="s">
        <v>145</v>
      </c>
      <c r="I1732" t="s">
        <v>33</v>
      </c>
      <c r="J1732" t="s">
        <v>34</v>
      </c>
      <c r="K1732" t="s">
        <v>48</v>
      </c>
      <c r="L1732" t="s">
        <v>49</v>
      </c>
      <c r="M1732" t="s">
        <v>140</v>
      </c>
      <c r="N1732">
        <v>0.71829328599999998</v>
      </c>
      <c r="O1732">
        <v>2.8910610999999999E-2</v>
      </c>
      <c r="P1732">
        <v>1.2573467E-2</v>
      </c>
      <c r="Q1732" t="str">
        <f t="shared" si="54"/>
        <v>01-09</v>
      </c>
      <c r="R1732" t="str">
        <f t="shared" si="55"/>
        <v>[ScR9iFKAasW]|01-09|Male|PopART.Rt.T_1|CY2024Q3</v>
      </c>
    </row>
    <row r="1733" spans="4:18" x14ac:dyDescent="0.2">
      <c r="D1733" t="s">
        <v>87</v>
      </c>
      <c r="E1733" t="s">
        <v>88</v>
      </c>
      <c r="F1733" t="s">
        <v>89</v>
      </c>
      <c r="G1733" t="s">
        <v>145</v>
      </c>
      <c r="H1733" t="s">
        <v>145</v>
      </c>
      <c r="I1733" t="s">
        <v>36</v>
      </c>
      <c r="J1733" t="s">
        <v>37</v>
      </c>
      <c r="K1733" t="s">
        <v>48</v>
      </c>
      <c r="L1733" t="s">
        <v>49</v>
      </c>
      <c r="M1733" t="s">
        <v>140</v>
      </c>
      <c r="N1733">
        <v>0.75596696299999999</v>
      </c>
      <c r="O1733">
        <v>2.5178592E-2</v>
      </c>
      <c r="P1733">
        <v>1.2573467E-2</v>
      </c>
      <c r="Q1733" t="str">
        <f t="shared" si="54"/>
        <v>10-14</v>
      </c>
      <c r="R1733" t="str">
        <f t="shared" si="55"/>
        <v>[ScR9iFKAasW]|10-14|Male|PopART.Rt.T_1|CY2024Q3</v>
      </c>
    </row>
    <row r="1734" spans="4:18" x14ac:dyDescent="0.2">
      <c r="D1734" t="s">
        <v>87</v>
      </c>
      <c r="E1734" t="s">
        <v>88</v>
      </c>
      <c r="F1734" t="s">
        <v>89</v>
      </c>
      <c r="G1734" t="s">
        <v>145</v>
      </c>
      <c r="H1734" t="s">
        <v>145</v>
      </c>
      <c r="I1734" t="s">
        <v>38</v>
      </c>
      <c r="J1734" t="s">
        <v>39</v>
      </c>
      <c r="K1734" t="s">
        <v>48</v>
      </c>
      <c r="L1734" t="s">
        <v>49</v>
      </c>
      <c r="M1734" t="s">
        <v>140</v>
      </c>
      <c r="N1734">
        <v>0.91757151299999995</v>
      </c>
      <c r="O1734">
        <v>3.1535651999999997E-2</v>
      </c>
      <c r="P1734">
        <v>1.2573467E-2</v>
      </c>
      <c r="Q1734" t="str">
        <f t="shared" si="54"/>
        <v>15-24</v>
      </c>
      <c r="R1734" t="str">
        <f t="shared" si="55"/>
        <v>[ScR9iFKAasW]|15-24|Male|PopART.Rt.T_1|CY2024Q3</v>
      </c>
    </row>
    <row r="1735" spans="4:18" x14ac:dyDescent="0.2">
      <c r="D1735" t="s">
        <v>87</v>
      </c>
      <c r="E1735" t="s">
        <v>88</v>
      </c>
      <c r="F1735" t="s">
        <v>89</v>
      </c>
      <c r="G1735" t="s">
        <v>145</v>
      </c>
      <c r="H1735" t="s">
        <v>145</v>
      </c>
      <c r="I1735" t="s">
        <v>41</v>
      </c>
      <c r="J1735" t="s">
        <v>42</v>
      </c>
      <c r="K1735" t="s">
        <v>48</v>
      </c>
      <c r="L1735" t="s">
        <v>49</v>
      </c>
      <c r="M1735" t="s">
        <v>140</v>
      </c>
      <c r="N1735">
        <v>0.89544854299999999</v>
      </c>
      <c r="O1735">
        <v>3.8731421000000002E-2</v>
      </c>
      <c r="P1735">
        <v>1.2573467E-2</v>
      </c>
      <c r="Q1735" t="str">
        <f t="shared" si="54"/>
        <v>25-34</v>
      </c>
      <c r="R1735" t="str">
        <f t="shared" si="55"/>
        <v>[ScR9iFKAasW]|25-34|Male|PopART.Rt.T_1|CY2024Q3</v>
      </c>
    </row>
    <row r="1736" spans="4:18" x14ac:dyDescent="0.2">
      <c r="D1736" t="s">
        <v>87</v>
      </c>
      <c r="E1736" t="s">
        <v>88</v>
      </c>
      <c r="F1736" t="s">
        <v>89</v>
      </c>
      <c r="G1736" t="s">
        <v>145</v>
      </c>
      <c r="H1736" t="s">
        <v>145</v>
      </c>
      <c r="I1736" t="s">
        <v>43</v>
      </c>
      <c r="J1736" t="s">
        <v>44</v>
      </c>
      <c r="K1736" t="s">
        <v>48</v>
      </c>
      <c r="L1736" t="s">
        <v>49</v>
      </c>
      <c r="M1736" t="s">
        <v>140</v>
      </c>
      <c r="N1736">
        <v>0.93583390700000002</v>
      </c>
      <c r="O1736">
        <v>2.2194927E-2</v>
      </c>
      <c r="P1736">
        <v>1.2573467E-2</v>
      </c>
      <c r="Q1736" t="str">
        <f t="shared" si="54"/>
        <v>35-49</v>
      </c>
      <c r="R1736" t="str">
        <f t="shared" si="55"/>
        <v>[ScR9iFKAasW]|35-49|Male|PopART.Rt.T_1|CY2024Q3</v>
      </c>
    </row>
    <row r="1737" spans="4:18" x14ac:dyDescent="0.2">
      <c r="D1737" t="s">
        <v>87</v>
      </c>
      <c r="E1737" t="s">
        <v>88</v>
      </c>
      <c r="F1737" t="s">
        <v>89</v>
      </c>
      <c r="G1737" t="s">
        <v>145</v>
      </c>
      <c r="H1737" t="s">
        <v>145</v>
      </c>
      <c r="I1737" t="s">
        <v>45</v>
      </c>
      <c r="J1737" t="s">
        <v>46</v>
      </c>
      <c r="K1737" t="s">
        <v>48</v>
      </c>
      <c r="L1737" t="s">
        <v>49</v>
      </c>
      <c r="M1737" t="s">
        <v>140</v>
      </c>
      <c r="N1737">
        <v>0.95512615899999997</v>
      </c>
      <c r="O1737">
        <v>1.7790137000000001E-2</v>
      </c>
      <c r="P1737">
        <v>1.2573467E-2</v>
      </c>
      <c r="Q1737" t="str">
        <f t="shared" si="54"/>
        <v>50+</v>
      </c>
      <c r="R1737" t="str">
        <f t="shared" si="55"/>
        <v>[ScR9iFKAasW]|50+|Male|PopART.Rt.T_1|CY2024Q3</v>
      </c>
    </row>
    <row r="1738" spans="4:18" x14ac:dyDescent="0.2">
      <c r="D1738" t="s">
        <v>90</v>
      </c>
      <c r="E1738" t="s">
        <v>91</v>
      </c>
      <c r="F1738" t="s">
        <v>92</v>
      </c>
      <c r="G1738" t="s">
        <v>145</v>
      </c>
      <c r="H1738" t="s">
        <v>145</v>
      </c>
      <c r="I1738" t="s">
        <v>28</v>
      </c>
      <c r="J1738" t="s">
        <v>29</v>
      </c>
      <c r="K1738" t="s">
        <v>30</v>
      </c>
      <c r="L1738" t="s">
        <v>31</v>
      </c>
      <c r="M1738" t="s">
        <v>140</v>
      </c>
      <c r="N1738">
        <v>0.61245588200000001</v>
      </c>
      <c r="O1738">
        <v>6.7605580999999998E-2</v>
      </c>
      <c r="P1738">
        <v>1.8251186999999999E-2</v>
      </c>
      <c r="Q1738" t="str">
        <f t="shared" si="54"/>
        <v>&lt;01</v>
      </c>
      <c r="R1738" t="str">
        <f t="shared" si="55"/>
        <v>[kxuuIFpOXyO]|&lt;01|Female|PopART.Rt.T_1|CY2024Q3</v>
      </c>
    </row>
    <row r="1739" spans="4:18" x14ac:dyDescent="0.2">
      <c r="D1739" t="s">
        <v>90</v>
      </c>
      <c r="E1739" t="s">
        <v>91</v>
      </c>
      <c r="F1739" t="s">
        <v>92</v>
      </c>
      <c r="G1739" t="s">
        <v>145</v>
      </c>
      <c r="H1739" t="s">
        <v>145</v>
      </c>
      <c r="I1739" t="s">
        <v>33</v>
      </c>
      <c r="J1739" t="s">
        <v>34</v>
      </c>
      <c r="K1739" t="s">
        <v>30</v>
      </c>
      <c r="L1739" t="s">
        <v>31</v>
      </c>
      <c r="M1739" t="s">
        <v>140</v>
      </c>
      <c r="N1739">
        <v>0.65828417299999997</v>
      </c>
      <c r="O1739">
        <v>6.5580337000000002E-2</v>
      </c>
      <c r="P1739">
        <v>1.8251186999999999E-2</v>
      </c>
      <c r="Q1739" t="str">
        <f t="shared" si="54"/>
        <v>01-09</v>
      </c>
      <c r="R1739" t="str">
        <f t="shared" si="55"/>
        <v>[kxuuIFpOXyO]|01-09|Female|PopART.Rt.T_1|CY2024Q3</v>
      </c>
    </row>
    <row r="1740" spans="4:18" x14ac:dyDescent="0.2">
      <c r="D1740" t="s">
        <v>90</v>
      </c>
      <c r="E1740" t="s">
        <v>91</v>
      </c>
      <c r="F1740" t="s">
        <v>92</v>
      </c>
      <c r="G1740" t="s">
        <v>145</v>
      </c>
      <c r="H1740" t="s">
        <v>145</v>
      </c>
      <c r="I1740" t="s">
        <v>36</v>
      </c>
      <c r="J1740" t="s">
        <v>37</v>
      </c>
      <c r="K1740" t="s">
        <v>30</v>
      </c>
      <c r="L1740" t="s">
        <v>31</v>
      </c>
      <c r="M1740" t="s">
        <v>140</v>
      </c>
      <c r="N1740">
        <v>0.69849032899999997</v>
      </c>
      <c r="O1740">
        <v>5.5460904999999998E-2</v>
      </c>
      <c r="P1740">
        <v>1.8251186999999999E-2</v>
      </c>
      <c r="Q1740" t="str">
        <f t="shared" si="54"/>
        <v>10-14</v>
      </c>
      <c r="R1740" t="str">
        <f t="shared" si="55"/>
        <v>[kxuuIFpOXyO]|10-14|Female|PopART.Rt.T_1|CY2024Q3</v>
      </c>
    </row>
    <row r="1741" spans="4:18" x14ac:dyDescent="0.2">
      <c r="D1741" t="s">
        <v>90</v>
      </c>
      <c r="E1741" t="s">
        <v>91</v>
      </c>
      <c r="F1741" t="s">
        <v>92</v>
      </c>
      <c r="G1741" t="s">
        <v>145</v>
      </c>
      <c r="H1741" t="s">
        <v>145</v>
      </c>
      <c r="I1741" t="s">
        <v>38</v>
      </c>
      <c r="J1741" t="s">
        <v>39</v>
      </c>
      <c r="K1741" t="s">
        <v>30</v>
      </c>
      <c r="L1741" t="s">
        <v>31</v>
      </c>
      <c r="M1741" t="s">
        <v>140</v>
      </c>
      <c r="N1741">
        <v>0.92565124899999995</v>
      </c>
      <c r="O1741">
        <v>3.3942581999999999E-2</v>
      </c>
      <c r="P1741">
        <v>1.8251186999999999E-2</v>
      </c>
      <c r="Q1741" t="str">
        <f t="shared" si="54"/>
        <v>15-24</v>
      </c>
      <c r="R1741" t="str">
        <f t="shared" si="55"/>
        <v>[kxuuIFpOXyO]|15-24|Female|PopART.Rt.T_1|CY2024Q3</v>
      </c>
    </row>
    <row r="1742" spans="4:18" x14ac:dyDescent="0.2">
      <c r="D1742" t="s">
        <v>90</v>
      </c>
      <c r="E1742" t="s">
        <v>91</v>
      </c>
      <c r="F1742" t="s">
        <v>92</v>
      </c>
      <c r="G1742" t="s">
        <v>145</v>
      </c>
      <c r="H1742" t="s">
        <v>145</v>
      </c>
      <c r="I1742" t="s">
        <v>41</v>
      </c>
      <c r="J1742" t="s">
        <v>42</v>
      </c>
      <c r="K1742" t="s">
        <v>30</v>
      </c>
      <c r="L1742" t="s">
        <v>31</v>
      </c>
      <c r="M1742" t="s">
        <v>140</v>
      </c>
      <c r="N1742">
        <v>0.96035129100000005</v>
      </c>
      <c r="O1742">
        <v>1.7719183999999999E-2</v>
      </c>
      <c r="P1742">
        <v>1.8251186999999999E-2</v>
      </c>
      <c r="Q1742" t="str">
        <f t="shared" si="54"/>
        <v>25-34</v>
      </c>
      <c r="R1742" t="str">
        <f t="shared" si="55"/>
        <v>[kxuuIFpOXyO]|25-34|Female|PopART.Rt.T_1|CY2024Q3</v>
      </c>
    </row>
    <row r="1743" spans="4:18" x14ac:dyDescent="0.2">
      <c r="D1743" t="s">
        <v>90</v>
      </c>
      <c r="E1743" t="s">
        <v>91</v>
      </c>
      <c r="F1743" t="s">
        <v>92</v>
      </c>
      <c r="G1743" t="s">
        <v>145</v>
      </c>
      <c r="H1743" t="s">
        <v>145</v>
      </c>
      <c r="I1743" t="s">
        <v>43</v>
      </c>
      <c r="J1743" t="s">
        <v>44</v>
      </c>
      <c r="K1743" t="s">
        <v>30</v>
      </c>
      <c r="L1743" t="s">
        <v>31</v>
      </c>
      <c r="M1743" t="s">
        <v>140</v>
      </c>
      <c r="N1743">
        <v>0.98019103900000004</v>
      </c>
      <c r="O1743">
        <v>9.1537270000000004E-3</v>
      </c>
      <c r="P1743">
        <v>1.8251186999999999E-2</v>
      </c>
      <c r="Q1743" t="str">
        <f t="shared" si="54"/>
        <v>35-49</v>
      </c>
      <c r="R1743" t="str">
        <f t="shared" si="55"/>
        <v>[kxuuIFpOXyO]|35-49|Female|PopART.Rt.T_1|CY2024Q3</v>
      </c>
    </row>
    <row r="1744" spans="4:18" x14ac:dyDescent="0.2">
      <c r="D1744" t="s">
        <v>90</v>
      </c>
      <c r="E1744" t="s">
        <v>91</v>
      </c>
      <c r="F1744" t="s">
        <v>92</v>
      </c>
      <c r="G1744" t="s">
        <v>145</v>
      </c>
      <c r="H1744" t="s">
        <v>145</v>
      </c>
      <c r="I1744" t="s">
        <v>45</v>
      </c>
      <c r="J1744" t="s">
        <v>46</v>
      </c>
      <c r="K1744" t="s">
        <v>30</v>
      </c>
      <c r="L1744" t="s">
        <v>31</v>
      </c>
      <c r="M1744" t="s">
        <v>140</v>
      </c>
      <c r="N1744">
        <v>0.98636674400000002</v>
      </c>
      <c r="O1744">
        <v>6.3075140000000002E-3</v>
      </c>
      <c r="P1744">
        <v>1.8251186999999999E-2</v>
      </c>
      <c r="Q1744" t="str">
        <f t="shared" si="54"/>
        <v>50+</v>
      </c>
      <c r="R1744" t="str">
        <f t="shared" si="55"/>
        <v>[kxuuIFpOXyO]|50+|Female|PopART.Rt.T_1|CY2024Q3</v>
      </c>
    </row>
    <row r="1745" spans="4:18" x14ac:dyDescent="0.2">
      <c r="D1745" t="s">
        <v>90</v>
      </c>
      <c r="E1745" t="s">
        <v>91</v>
      </c>
      <c r="F1745" t="s">
        <v>92</v>
      </c>
      <c r="G1745" t="s">
        <v>145</v>
      </c>
      <c r="H1745" t="s">
        <v>145</v>
      </c>
      <c r="I1745" t="s">
        <v>28</v>
      </c>
      <c r="J1745" t="s">
        <v>29</v>
      </c>
      <c r="K1745" t="s">
        <v>48</v>
      </c>
      <c r="L1745" t="s">
        <v>49</v>
      </c>
      <c r="M1745" t="s">
        <v>140</v>
      </c>
      <c r="N1745">
        <v>0.61253701699999996</v>
      </c>
      <c r="O1745">
        <v>6.7563748000000007E-2</v>
      </c>
      <c r="P1745">
        <v>1.8251186999999999E-2</v>
      </c>
      <c r="Q1745" t="str">
        <f t="shared" si="54"/>
        <v>&lt;01</v>
      </c>
      <c r="R1745" t="str">
        <f t="shared" si="55"/>
        <v>[kxuuIFpOXyO]|&lt;01|Male|PopART.Rt.T_1|CY2024Q3</v>
      </c>
    </row>
    <row r="1746" spans="4:18" x14ac:dyDescent="0.2">
      <c r="D1746" t="s">
        <v>90</v>
      </c>
      <c r="E1746" t="s">
        <v>91</v>
      </c>
      <c r="F1746" t="s">
        <v>92</v>
      </c>
      <c r="G1746" t="s">
        <v>145</v>
      </c>
      <c r="H1746" t="s">
        <v>145</v>
      </c>
      <c r="I1746" t="s">
        <v>33</v>
      </c>
      <c r="J1746" t="s">
        <v>34</v>
      </c>
      <c r="K1746" t="s">
        <v>48</v>
      </c>
      <c r="L1746" t="s">
        <v>49</v>
      </c>
      <c r="M1746" t="s">
        <v>140</v>
      </c>
      <c r="N1746">
        <v>0.65826665900000003</v>
      </c>
      <c r="O1746">
        <v>6.4770734999999996E-2</v>
      </c>
      <c r="P1746">
        <v>1.8251186999999999E-2</v>
      </c>
      <c r="Q1746" t="str">
        <f t="shared" si="54"/>
        <v>01-09</v>
      </c>
      <c r="R1746" t="str">
        <f t="shared" si="55"/>
        <v>[kxuuIFpOXyO]|01-09|Male|PopART.Rt.T_1|CY2024Q3</v>
      </c>
    </row>
    <row r="1747" spans="4:18" x14ac:dyDescent="0.2">
      <c r="D1747" t="s">
        <v>90</v>
      </c>
      <c r="E1747" t="s">
        <v>91</v>
      </c>
      <c r="F1747" t="s">
        <v>92</v>
      </c>
      <c r="G1747" t="s">
        <v>145</v>
      </c>
      <c r="H1747" t="s">
        <v>145</v>
      </c>
      <c r="I1747" t="s">
        <v>36</v>
      </c>
      <c r="J1747" t="s">
        <v>37</v>
      </c>
      <c r="K1747" t="s">
        <v>48</v>
      </c>
      <c r="L1747" t="s">
        <v>49</v>
      </c>
      <c r="M1747" t="s">
        <v>140</v>
      </c>
      <c r="N1747">
        <v>0.69812909199999995</v>
      </c>
      <c r="O1747">
        <v>5.7743926000000001E-2</v>
      </c>
      <c r="P1747">
        <v>1.8251186999999999E-2</v>
      </c>
      <c r="Q1747" t="str">
        <f t="shared" si="54"/>
        <v>10-14</v>
      </c>
      <c r="R1747" t="str">
        <f t="shared" si="55"/>
        <v>[kxuuIFpOXyO]|10-14|Male|PopART.Rt.T_1|CY2024Q3</v>
      </c>
    </row>
    <row r="1748" spans="4:18" x14ac:dyDescent="0.2">
      <c r="D1748" t="s">
        <v>90</v>
      </c>
      <c r="E1748" t="s">
        <v>91</v>
      </c>
      <c r="F1748" t="s">
        <v>92</v>
      </c>
      <c r="G1748" t="s">
        <v>145</v>
      </c>
      <c r="H1748" t="s">
        <v>145</v>
      </c>
      <c r="I1748" t="s">
        <v>38</v>
      </c>
      <c r="J1748" t="s">
        <v>39</v>
      </c>
      <c r="K1748" t="s">
        <v>48</v>
      </c>
      <c r="L1748" t="s">
        <v>49</v>
      </c>
      <c r="M1748" t="s">
        <v>140</v>
      </c>
      <c r="N1748">
        <v>0.89061911900000001</v>
      </c>
      <c r="O1748">
        <v>4.4143882000000002E-2</v>
      </c>
      <c r="P1748">
        <v>1.8251186999999999E-2</v>
      </c>
      <c r="Q1748" t="str">
        <f t="shared" si="54"/>
        <v>15-24</v>
      </c>
      <c r="R1748" t="str">
        <f t="shared" si="55"/>
        <v>[kxuuIFpOXyO]|15-24|Male|PopART.Rt.T_1|CY2024Q3</v>
      </c>
    </row>
    <row r="1749" spans="4:18" x14ac:dyDescent="0.2">
      <c r="D1749" t="s">
        <v>90</v>
      </c>
      <c r="E1749" t="s">
        <v>91</v>
      </c>
      <c r="F1749" t="s">
        <v>92</v>
      </c>
      <c r="G1749" t="s">
        <v>145</v>
      </c>
      <c r="H1749" t="s">
        <v>145</v>
      </c>
      <c r="I1749" t="s">
        <v>41</v>
      </c>
      <c r="J1749" t="s">
        <v>42</v>
      </c>
      <c r="K1749" t="s">
        <v>48</v>
      </c>
      <c r="L1749" t="s">
        <v>49</v>
      </c>
      <c r="M1749" t="s">
        <v>140</v>
      </c>
      <c r="N1749">
        <v>0.85908688700000002</v>
      </c>
      <c r="O1749">
        <v>5.3589249999999998E-2</v>
      </c>
      <c r="P1749">
        <v>1.8251186999999999E-2</v>
      </c>
      <c r="Q1749" t="str">
        <f t="shared" si="54"/>
        <v>25-34</v>
      </c>
      <c r="R1749" t="str">
        <f t="shared" si="55"/>
        <v>[kxuuIFpOXyO]|25-34|Male|PopART.Rt.T_1|CY2024Q3</v>
      </c>
    </row>
    <row r="1750" spans="4:18" x14ac:dyDescent="0.2">
      <c r="D1750" t="s">
        <v>90</v>
      </c>
      <c r="E1750" t="s">
        <v>91</v>
      </c>
      <c r="F1750" t="s">
        <v>92</v>
      </c>
      <c r="G1750" t="s">
        <v>145</v>
      </c>
      <c r="H1750" t="s">
        <v>145</v>
      </c>
      <c r="I1750" t="s">
        <v>43</v>
      </c>
      <c r="J1750" t="s">
        <v>44</v>
      </c>
      <c r="K1750" t="s">
        <v>48</v>
      </c>
      <c r="L1750" t="s">
        <v>49</v>
      </c>
      <c r="M1750" t="s">
        <v>140</v>
      </c>
      <c r="N1750">
        <v>0.91316525599999998</v>
      </c>
      <c r="O1750">
        <v>2.9840175E-2</v>
      </c>
      <c r="P1750">
        <v>1.8251186999999999E-2</v>
      </c>
      <c r="Q1750" t="str">
        <f t="shared" si="54"/>
        <v>35-49</v>
      </c>
      <c r="R1750" t="str">
        <f t="shared" si="55"/>
        <v>[kxuuIFpOXyO]|35-49|Male|PopART.Rt.T_1|CY2024Q3</v>
      </c>
    </row>
    <row r="1751" spans="4:18" x14ac:dyDescent="0.2">
      <c r="D1751" t="s">
        <v>90</v>
      </c>
      <c r="E1751" t="s">
        <v>91</v>
      </c>
      <c r="F1751" t="s">
        <v>92</v>
      </c>
      <c r="G1751" t="s">
        <v>145</v>
      </c>
      <c r="H1751" t="s">
        <v>145</v>
      </c>
      <c r="I1751" t="s">
        <v>45</v>
      </c>
      <c r="J1751" t="s">
        <v>46</v>
      </c>
      <c r="K1751" t="s">
        <v>48</v>
      </c>
      <c r="L1751" t="s">
        <v>49</v>
      </c>
      <c r="M1751" t="s">
        <v>140</v>
      </c>
      <c r="N1751">
        <v>0.94032277099999995</v>
      </c>
      <c r="O1751">
        <v>2.421891E-2</v>
      </c>
      <c r="P1751">
        <v>1.8251186999999999E-2</v>
      </c>
      <c r="Q1751" t="str">
        <f t="shared" si="54"/>
        <v>50+</v>
      </c>
      <c r="R1751" t="str">
        <f t="shared" si="55"/>
        <v>[kxuuIFpOXyO]|50+|Male|PopART.Rt.T_1|CY2024Q3</v>
      </c>
    </row>
    <row r="1752" spans="4:18" x14ac:dyDescent="0.2">
      <c r="D1752" t="s">
        <v>93</v>
      </c>
      <c r="E1752" t="s">
        <v>94</v>
      </c>
      <c r="F1752" t="s">
        <v>95</v>
      </c>
      <c r="G1752" t="s">
        <v>145</v>
      </c>
      <c r="H1752" t="s">
        <v>145</v>
      </c>
      <c r="I1752" t="s">
        <v>28</v>
      </c>
      <c r="J1752" t="s">
        <v>29</v>
      </c>
      <c r="K1752" t="s">
        <v>30</v>
      </c>
      <c r="L1752" t="s">
        <v>31</v>
      </c>
      <c r="M1752" t="s">
        <v>140</v>
      </c>
      <c r="N1752">
        <v>0.62526094399999999</v>
      </c>
      <c r="O1752">
        <v>6.6061963000000001E-2</v>
      </c>
      <c r="P1752">
        <v>1.7230390000000002E-2</v>
      </c>
      <c r="Q1752" t="str">
        <f t="shared" si="54"/>
        <v>&lt;01</v>
      </c>
      <c r="R1752" t="str">
        <f t="shared" si="55"/>
        <v>[PekKUkKHAzY]|&lt;01|Female|PopART.Rt.T_1|CY2024Q3</v>
      </c>
    </row>
    <row r="1753" spans="4:18" x14ac:dyDescent="0.2">
      <c r="D1753" t="s">
        <v>93</v>
      </c>
      <c r="E1753" t="s">
        <v>94</v>
      </c>
      <c r="F1753" t="s">
        <v>95</v>
      </c>
      <c r="G1753" t="s">
        <v>145</v>
      </c>
      <c r="H1753" t="s">
        <v>145</v>
      </c>
      <c r="I1753" t="s">
        <v>33</v>
      </c>
      <c r="J1753" t="s">
        <v>34</v>
      </c>
      <c r="K1753" t="s">
        <v>30</v>
      </c>
      <c r="L1753" t="s">
        <v>31</v>
      </c>
      <c r="M1753" t="s">
        <v>140</v>
      </c>
      <c r="N1753">
        <v>0.67143921500000003</v>
      </c>
      <c r="O1753">
        <v>6.4047022999999995E-2</v>
      </c>
      <c r="P1753">
        <v>1.7230390000000002E-2</v>
      </c>
      <c r="Q1753" t="str">
        <f t="shared" si="54"/>
        <v>01-09</v>
      </c>
      <c r="R1753" t="str">
        <f t="shared" si="55"/>
        <v>[PekKUkKHAzY]|01-09|Female|PopART.Rt.T_1|CY2024Q3</v>
      </c>
    </row>
    <row r="1754" spans="4:18" x14ac:dyDescent="0.2">
      <c r="D1754" t="s">
        <v>93</v>
      </c>
      <c r="E1754" t="s">
        <v>94</v>
      </c>
      <c r="F1754" t="s">
        <v>95</v>
      </c>
      <c r="G1754" t="s">
        <v>145</v>
      </c>
      <c r="H1754" t="s">
        <v>145</v>
      </c>
      <c r="I1754" t="s">
        <v>36</v>
      </c>
      <c r="J1754" t="s">
        <v>37</v>
      </c>
      <c r="K1754" t="s">
        <v>30</v>
      </c>
      <c r="L1754" t="s">
        <v>31</v>
      </c>
      <c r="M1754" t="s">
        <v>140</v>
      </c>
      <c r="N1754">
        <v>0.71078913099999996</v>
      </c>
      <c r="O1754">
        <v>5.4045305000000002E-2</v>
      </c>
      <c r="P1754">
        <v>1.7230390000000002E-2</v>
      </c>
      <c r="Q1754" t="str">
        <f t="shared" si="54"/>
        <v>10-14</v>
      </c>
      <c r="R1754" t="str">
        <f t="shared" si="55"/>
        <v>[PekKUkKHAzY]|10-14|Female|PopART.Rt.T_1|CY2024Q3</v>
      </c>
    </row>
    <row r="1755" spans="4:18" x14ac:dyDescent="0.2">
      <c r="D1755" t="s">
        <v>93</v>
      </c>
      <c r="E1755" t="s">
        <v>94</v>
      </c>
      <c r="F1755" t="s">
        <v>95</v>
      </c>
      <c r="G1755" t="s">
        <v>145</v>
      </c>
      <c r="H1755" t="s">
        <v>145</v>
      </c>
      <c r="I1755" t="s">
        <v>38</v>
      </c>
      <c r="J1755" t="s">
        <v>39</v>
      </c>
      <c r="K1755" t="s">
        <v>30</v>
      </c>
      <c r="L1755" t="s">
        <v>31</v>
      </c>
      <c r="M1755" t="s">
        <v>140</v>
      </c>
      <c r="N1755">
        <v>0.92455388599999999</v>
      </c>
      <c r="O1755">
        <v>3.4017238999999998E-2</v>
      </c>
      <c r="P1755">
        <v>1.7230390000000002E-2</v>
      </c>
      <c r="Q1755" t="str">
        <f t="shared" si="54"/>
        <v>15-24</v>
      </c>
      <c r="R1755" t="str">
        <f t="shared" si="55"/>
        <v>[PekKUkKHAzY]|15-24|Female|PopART.Rt.T_1|CY2024Q3</v>
      </c>
    </row>
    <row r="1756" spans="4:18" x14ac:dyDescent="0.2">
      <c r="D1756" t="s">
        <v>93</v>
      </c>
      <c r="E1756" t="s">
        <v>94</v>
      </c>
      <c r="F1756" t="s">
        <v>95</v>
      </c>
      <c r="G1756" t="s">
        <v>145</v>
      </c>
      <c r="H1756" t="s">
        <v>145</v>
      </c>
      <c r="I1756" t="s">
        <v>41</v>
      </c>
      <c r="J1756" t="s">
        <v>42</v>
      </c>
      <c r="K1756" t="s">
        <v>30</v>
      </c>
      <c r="L1756" t="s">
        <v>31</v>
      </c>
      <c r="M1756" t="s">
        <v>140</v>
      </c>
      <c r="N1756">
        <v>0.95970299100000001</v>
      </c>
      <c r="O1756">
        <v>1.7788170999999998E-2</v>
      </c>
      <c r="P1756">
        <v>1.7230390000000002E-2</v>
      </c>
      <c r="Q1756" t="str">
        <f t="shared" si="54"/>
        <v>25-34</v>
      </c>
      <c r="R1756" t="str">
        <f t="shared" si="55"/>
        <v>[PekKUkKHAzY]|25-34|Female|PopART.Rt.T_1|CY2024Q3</v>
      </c>
    </row>
    <row r="1757" spans="4:18" x14ac:dyDescent="0.2">
      <c r="D1757" t="s">
        <v>93</v>
      </c>
      <c r="E1757" t="s">
        <v>94</v>
      </c>
      <c r="F1757" t="s">
        <v>95</v>
      </c>
      <c r="G1757" t="s">
        <v>145</v>
      </c>
      <c r="H1757" t="s">
        <v>145</v>
      </c>
      <c r="I1757" t="s">
        <v>43</v>
      </c>
      <c r="J1757" t="s">
        <v>44</v>
      </c>
      <c r="K1757" t="s">
        <v>30</v>
      </c>
      <c r="L1757" t="s">
        <v>31</v>
      </c>
      <c r="M1757" t="s">
        <v>140</v>
      </c>
      <c r="N1757">
        <v>0.97995915300000003</v>
      </c>
      <c r="O1757">
        <v>9.0321570000000007E-3</v>
      </c>
      <c r="P1757">
        <v>1.7230390000000002E-2</v>
      </c>
      <c r="Q1757" t="str">
        <f t="shared" si="54"/>
        <v>35-49</v>
      </c>
      <c r="R1757" t="str">
        <f t="shared" si="55"/>
        <v>[PekKUkKHAzY]|35-49|Female|PopART.Rt.T_1|CY2024Q3</v>
      </c>
    </row>
    <row r="1758" spans="4:18" x14ac:dyDescent="0.2">
      <c r="D1758" t="s">
        <v>93</v>
      </c>
      <c r="E1758" t="s">
        <v>94</v>
      </c>
      <c r="F1758" t="s">
        <v>95</v>
      </c>
      <c r="G1758" t="s">
        <v>145</v>
      </c>
      <c r="H1758" t="s">
        <v>145</v>
      </c>
      <c r="I1758" t="s">
        <v>45</v>
      </c>
      <c r="J1758" t="s">
        <v>46</v>
      </c>
      <c r="K1758" t="s">
        <v>30</v>
      </c>
      <c r="L1758" t="s">
        <v>31</v>
      </c>
      <c r="M1758" t="s">
        <v>140</v>
      </c>
      <c r="N1758">
        <v>0.986161909</v>
      </c>
      <c r="O1758">
        <v>6.2670979999999996E-3</v>
      </c>
      <c r="P1758">
        <v>1.7230390000000002E-2</v>
      </c>
      <c r="Q1758" t="str">
        <f t="shared" si="54"/>
        <v>50+</v>
      </c>
      <c r="R1758" t="str">
        <f t="shared" si="55"/>
        <v>[PekKUkKHAzY]|50+|Female|PopART.Rt.T_1|CY2024Q3</v>
      </c>
    </row>
    <row r="1759" spans="4:18" x14ac:dyDescent="0.2">
      <c r="D1759" t="s">
        <v>93</v>
      </c>
      <c r="E1759" t="s">
        <v>94</v>
      </c>
      <c r="F1759" t="s">
        <v>95</v>
      </c>
      <c r="G1759" t="s">
        <v>145</v>
      </c>
      <c r="H1759" t="s">
        <v>145</v>
      </c>
      <c r="I1759" t="s">
        <v>28</v>
      </c>
      <c r="J1759" t="s">
        <v>29</v>
      </c>
      <c r="K1759" t="s">
        <v>48</v>
      </c>
      <c r="L1759" t="s">
        <v>49</v>
      </c>
      <c r="M1759" t="s">
        <v>140</v>
      </c>
      <c r="N1759">
        <v>0.62532120499999999</v>
      </c>
      <c r="O1759">
        <v>6.6299933000000005E-2</v>
      </c>
      <c r="P1759">
        <v>1.7230390000000002E-2</v>
      </c>
      <c r="Q1759" t="str">
        <f t="shared" si="54"/>
        <v>&lt;01</v>
      </c>
      <c r="R1759" t="str">
        <f t="shared" si="55"/>
        <v>[PekKUkKHAzY]|&lt;01|Male|PopART.Rt.T_1|CY2024Q3</v>
      </c>
    </row>
    <row r="1760" spans="4:18" x14ac:dyDescent="0.2">
      <c r="D1760" t="s">
        <v>93</v>
      </c>
      <c r="E1760" t="s">
        <v>94</v>
      </c>
      <c r="F1760" t="s">
        <v>95</v>
      </c>
      <c r="G1760" t="s">
        <v>145</v>
      </c>
      <c r="H1760" t="s">
        <v>145</v>
      </c>
      <c r="I1760" t="s">
        <v>33</v>
      </c>
      <c r="J1760" t="s">
        <v>34</v>
      </c>
      <c r="K1760" t="s">
        <v>48</v>
      </c>
      <c r="L1760" t="s">
        <v>49</v>
      </c>
      <c r="M1760" t="s">
        <v>140</v>
      </c>
      <c r="N1760">
        <v>0.67139945499999998</v>
      </c>
      <c r="O1760">
        <v>6.3537977999999995E-2</v>
      </c>
      <c r="P1760">
        <v>1.7230390000000002E-2</v>
      </c>
      <c r="Q1760" t="str">
        <f t="shared" si="54"/>
        <v>01-09</v>
      </c>
      <c r="R1760" t="str">
        <f t="shared" si="55"/>
        <v>[PekKUkKHAzY]|01-09|Male|PopART.Rt.T_1|CY2024Q3</v>
      </c>
    </row>
    <row r="1761" spans="4:18" x14ac:dyDescent="0.2">
      <c r="D1761" t="s">
        <v>93</v>
      </c>
      <c r="E1761" t="s">
        <v>94</v>
      </c>
      <c r="F1761" t="s">
        <v>95</v>
      </c>
      <c r="G1761" t="s">
        <v>145</v>
      </c>
      <c r="H1761" t="s">
        <v>145</v>
      </c>
      <c r="I1761" t="s">
        <v>36</v>
      </c>
      <c r="J1761" t="s">
        <v>37</v>
      </c>
      <c r="K1761" t="s">
        <v>48</v>
      </c>
      <c r="L1761" t="s">
        <v>49</v>
      </c>
      <c r="M1761" t="s">
        <v>140</v>
      </c>
      <c r="N1761">
        <v>0.71042472499999998</v>
      </c>
      <c r="O1761">
        <v>5.6449697E-2</v>
      </c>
      <c r="P1761">
        <v>1.7230390000000002E-2</v>
      </c>
      <c r="Q1761" t="str">
        <f t="shared" si="54"/>
        <v>10-14</v>
      </c>
      <c r="R1761" t="str">
        <f t="shared" si="55"/>
        <v>[PekKUkKHAzY]|10-14|Male|PopART.Rt.T_1|CY2024Q3</v>
      </c>
    </row>
    <row r="1762" spans="4:18" x14ac:dyDescent="0.2">
      <c r="D1762" t="s">
        <v>93</v>
      </c>
      <c r="E1762" t="s">
        <v>94</v>
      </c>
      <c r="F1762" t="s">
        <v>95</v>
      </c>
      <c r="G1762" t="s">
        <v>145</v>
      </c>
      <c r="H1762" t="s">
        <v>145</v>
      </c>
      <c r="I1762" t="s">
        <v>38</v>
      </c>
      <c r="J1762" t="s">
        <v>39</v>
      </c>
      <c r="K1762" t="s">
        <v>48</v>
      </c>
      <c r="L1762" t="s">
        <v>49</v>
      </c>
      <c r="M1762" t="s">
        <v>140</v>
      </c>
      <c r="N1762">
        <v>0.89049498699999996</v>
      </c>
      <c r="O1762">
        <v>4.2735060999999998E-2</v>
      </c>
      <c r="P1762">
        <v>1.7230390000000002E-2</v>
      </c>
      <c r="Q1762" t="str">
        <f t="shared" si="54"/>
        <v>15-24</v>
      </c>
      <c r="R1762" t="str">
        <f t="shared" si="55"/>
        <v>[PekKUkKHAzY]|15-24|Male|PopART.Rt.T_1|CY2024Q3</v>
      </c>
    </row>
    <row r="1763" spans="4:18" x14ac:dyDescent="0.2">
      <c r="D1763" t="s">
        <v>93</v>
      </c>
      <c r="E1763" t="s">
        <v>94</v>
      </c>
      <c r="F1763" t="s">
        <v>95</v>
      </c>
      <c r="G1763" t="s">
        <v>145</v>
      </c>
      <c r="H1763" t="s">
        <v>145</v>
      </c>
      <c r="I1763" t="s">
        <v>41</v>
      </c>
      <c r="J1763" t="s">
        <v>42</v>
      </c>
      <c r="K1763" t="s">
        <v>48</v>
      </c>
      <c r="L1763" t="s">
        <v>49</v>
      </c>
      <c r="M1763" t="s">
        <v>140</v>
      </c>
      <c r="N1763">
        <v>0.85865854699999999</v>
      </c>
      <c r="O1763">
        <v>5.1950534E-2</v>
      </c>
      <c r="P1763">
        <v>1.7230390000000002E-2</v>
      </c>
      <c r="Q1763" t="str">
        <f t="shared" si="54"/>
        <v>25-34</v>
      </c>
      <c r="R1763" t="str">
        <f t="shared" si="55"/>
        <v>[PekKUkKHAzY]|25-34|Male|PopART.Rt.T_1|CY2024Q3</v>
      </c>
    </row>
    <row r="1764" spans="4:18" x14ac:dyDescent="0.2">
      <c r="D1764" t="s">
        <v>93</v>
      </c>
      <c r="E1764" t="s">
        <v>94</v>
      </c>
      <c r="F1764" t="s">
        <v>95</v>
      </c>
      <c r="G1764" t="s">
        <v>145</v>
      </c>
      <c r="H1764" t="s">
        <v>145</v>
      </c>
      <c r="I1764" t="s">
        <v>43</v>
      </c>
      <c r="J1764" t="s">
        <v>44</v>
      </c>
      <c r="K1764" t="s">
        <v>48</v>
      </c>
      <c r="L1764" t="s">
        <v>49</v>
      </c>
      <c r="M1764" t="s">
        <v>140</v>
      </c>
      <c r="N1764">
        <v>0.91334394299999999</v>
      </c>
      <c r="O1764">
        <v>2.8947198E-2</v>
      </c>
      <c r="P1764">
        <v>1.7230390000000002E-2</v>
      </c>
      <c r="Q1764" t="str">
        <f t="shared" si="54"/>
        <v>35-49</v>
      </c>
      <c r="R1764" t="str">
        <f t="shared" si="55"/>
        <v>[PekKUkKHAzY]|35-49|Male|PopART.Rt.T_1|CY2024Q3</v>
      </c>
    </row>
    <row r="1765" spans="4:18" x14ac:dyDescent="0.2">
      <c r="D1765" t="s">
        <v>93</v>
      </c>
      <c r="E1765" t="s">
        <v>94</v>
      </c>
      <c r="F1765" t="s">
        <v>95</v>
      </c>
      <c r="G1765" t="s">
        <v>145</v>
      </c>
      <c r="H1765" t="s">
        <v>145</v>
      </c>
      <c r="I1765" t="s">
        <v>45</v>
      </c>
      <c r="J1765" t="s">
        <v>46</v>
      </c>
      <c r="K1765" t="s">
        <v>48</v>
      </c>
      <c r="L1765" t="s">
        <v>49</v>
      </c>
      <c r="M1765" t="s">
        <v>140</v>
      </c>
      <c r="N1765">
        <v>0.93995411799999995</v>
      </c>
      <c r="O1765">
        <v>2.3930961000000001E-2</v>
      </c>
      <c r="P1765">
        <v>1.7230390000000002E-2</v>
      </c>
      <c r="Q1765" t="str">
        <f t="shared" si="54"/>
        <v>50+</v>
      </c>
      <c r="R1765" t="str">
        <f t="shared" si="55"/>
        <v>[PekKUkKHAzY]|50+|Male|PopART.Rt.T_1|CY2024Q3</v>
      </c>
    </row>
    <row r="1766" spans="4:18" x14ac:dyDescent="0.2">
      <c r="D1766" t="s">
        <v>96</v>
      </c>
      <c r="E1766" t="s">
        <v>97</v>
      </c>
      <c r="F1766" t="s">
        <v>98</v>
      </c>
      <c r="G1766" t="s">
        <v>145</v>
      </c>
      <c r="H1766" t="s">
        <v>145</v>
      </c>
      <c r="I1766" t="s">
        <v>28</v>
      </c>
      <c r="J1766" t="s">
        <v>29</v>
      </c>
      <c r="K1766" t="s">
        <v>30</v>
      </c>
      <c r="L1766" t="s">
        <v>31</v>
      </c>
      <c r="M1766" t="s">
        <v>140</v>
      </c>
      <c r="N1766">
        <v>0.658667373</v>
      </c>
      <c r="O1766">
        <v>5.3944179000000002E-2</v>
      </c>
      <c r="P1766">
        <v>1.9389478000000002E-2</v>
      </c>
      <c r="Q1766" t="str">
        <f t="shared" si="54"/>
        <v>&lt;01</v>
      </c>
      <c r="R1766" t="str">
        <f t="shared" si="55"/>
        <v>[am530wpaGvr]|&lt;01|Female|PopART.Rt.T_1|CY2024Q3</v>
      </c>
    </row>
    <row r="1767" spans="4:18" x14ac:dyDescent="0.2">
      <c r="D1767" t="s">
        <v>96</v>
      </c>
      <c r="E1767" t="s">
        <v>97</v>
      </c>
      <c r="F1767" t="s">
        <v>98</v>
      </c>
      <c r="G1767" t="s">
        <v>145</v>
      </c>
      <c r="H1767" t="s">
        <v>145</v>
      </c>
      <c r="I1767" t="s">
        <v>33</v>
      </c>
      <c r="J1767" t="s">
        <v>34</v>
      </c>
      <c r="K1767" t="s">
        <v>30</v>
      </c>
      <c r="L1767" t="s">
        <v>31</v>
      </c>
      <c r="M1767" t="s">
        <v>140</v>
      </c>
      <c r="N1767">
        <v>0.70570888799999998</v>
      </c>
      <c r="O1767">
        <v>5.2129902999999998E-2</v>
      </c>
      <c r="P1767">
        <v>1.9389478000000002E-2</v>
      </c>
      <c r="Q1767" t="str">
        <f t="shared" si="54"/>
        <v>01-09</v>
      </c>
      <c r="R1767" t="str">
        <f t="shared" si="55"/>
        <v>[am530wpaGvr]|01-09|Female|PopART.Rt.T_1|CY2024Q3</v>
      </c>
    </row>
    <row r="1768" spans="4:18" x14ac:dyDescent="0.2">
      <c r="D1768" t="s">
        <v>96</v>
      </c>
      <c r="E1768" t="s">
        <v>97</v>
      </c>
      <c r="F1768" t="s">
        <v>98</v>
      </c>
      <c r="G1768" t="s">
        <v>145</v>
      </c>
      <c r="H1768" t="s">
        <v>145</v>
      </c>
      <c r="I1768" t="s">
        <v>36</v>
      </c>
      <c r="J1768" t="s">
        <v>37</v>
      </c>
      <c r="K1768" t="s">
        <v>30</v>
      </c>
      <c r="L1768" t="s">
        <v>31</v>
      </c>
      <c r="M1768" t="s">
        <v>140</v>
      </c>
      <c r="N1768">
        <v>0.74253842000000003</v>
      </c>
      <c r="O1768">
        <v>4.3705550000000003E-2</v>
      </c>
      <c r="P1768">
        <v>1.9389478000000002E-2</v>
      </c>
      <c r="Q1768" t="str">
        <f t="shared" si="54"/>
        <v>10-14</v>
      </c>
      <c r="R1768" t="str">
        <f t="shared" si="55"/>
        <v>[am530wpaGvr]|10-14|Female|PopART.Rt.T_1|CY2024Q3</v>
      </c>
    </row>
    <row r="1769" spans="4:18" x14ac:dyDescent="0.2">
      <c r="D1769" t="s">
        <v>96</v>
      </c>
      <c r="E1769" t="s">
        <v>97</v>
      </c>
      <c r="F1769" t="s">
        <v>98</v>
      </c>
      <c r="G1769" t="s">
        <v>145</v>
      </c>
      <c r="H1769" t="s">
        <v>145</v>
      </c>
      <c r="I1769" t="s">
        <v>38</v>
      </c>
      <c r="J1769" t="s">
        <v>39</v>
      </c>
      <c r="K1769" t="s">
        <v>30</v>
      </c>
      <c r="L1769" t="s">
        <v>31</v>
      </c>
      <c r="M1769" t="s">
        <v>140</v>
      </c>
      <c r="N1769">
        <v>0.91552181600000004</v>
      </c>
      <c r="O1769">
        <v>3.6946942000000003E-2</v>
      </c>
      <c r="P1769">
        <v>1.9389478000000002E-2</v>
      </c>
      <c r="Q1769" t="str">
        <f t="shared" si="54"/>
        <v>15-24</v>
      </c>
      <c r="R1769" t="str">
        <f t="shared" si="55"/>
        <v>[am530wpaGvr]|15-24|Female|PopART.Rt.T_1|CY2024Q3</v>
      </c>
    </row>
    <row r="1770" spans="4:18" x14ac:dyDescent="0.2">
      <c r="D1770" t="s">
        <v>96</v>
      </c>
      <c r="E1770" t="s">
        <v>97</v>
      </c>
      <c r="F1770" t="s">
        <v>98</v>
      </c>
      <c r="G1770" t="s">
        <v>145</v>
      </c>
      <c r="H1770" t="s">
        <v>145</v>
      </c>
      <c r="I1770" t="s">
        <v>41</v>
      </c>
      <c r="J1770" t="s">
        <v>42</v>
      </c>
      <c r="K1770" t="s">
        <v>30</v>
      </c>
      <c r="L1770" t="s">
        <v>31</v>
      </c>
      <c r="M1770" t="s">
        <v>140</v>
      </c>
      <c r="N1770">
        <v>0.95456085000000002</v>
      </c>
      <c r="O1770">
        <v>1.9392538000000001E-2</v>
      </c>
      <c r="P1770">
        <v>1.9389478000000002E-2</v>
      </c>
      <c r="Q1770" t="str">
        <f t="shared" si="54"/>
        <v>25-34</v>
      </c>
      <c r="R1770" t="str">
        <f t="shared" si="55"/>
        <v>[am530wpaGvr]|25-34|Female|PopART.Rt.T_1|CY2024Q3</v>
      </c>
    </row>
    <row r="1771" spans="4:18" x14ac:dyDescent="0.2">
      <c r="D1771" t="s">
        <v>96</v>
      </c>
      <c r="E1771" t="s">
        <v>97</v>
      </c>
      <c r="F1771" t="s">
        <v>98</v>
      </c>
      <c r="G1771" t="s">
        <v>145</v>
      </c>
      <c r="H1771" t="s">
        <v>145</v>
      </c>
      <c r="I1771" t="s">
        <v>43</v>
      </c>
      <c r="J1771" t="s">
        <v>44</v>
      </c>
      <c r="K1771" t="s">
        <v>30</v>
      </c>
      <c r="L1771" t="s">
        <v>31</v>
      </c>
      <c r="M1771" t="s">
        <v>140</v>
      </c>
      <c r="N1771">
        <v>0.97728523499999997</v>
      </c>
      <c r="O1771">
        <v>1.0095358E-2</v>
      </c>
      <c r="P1771">
        <v>1.9389478000000002E-2</v>
      </c>
      <c r="Q1771" t="str">
        <f t="shared" si="54"/>
        <v>35-49</v>
      </c>
      <c r="R1771" t="str">
        <f t="shared" si="55"/>
        <v>[am530wpaGvr]|35-49|Female|PopART.Rt.T_1|CY2024Q3</v>
      </c>
    </row>
    <row r="1772" spans="4:18" x14ac:dyDescent="0.2">
      <c r="D1772" t="s">
        <v>96</v>
      </c>
      <c r="E1772" t="s">
        <v>97</v>
      </c>
      <c r="F1772" t="s">
        <v>98</v>
      </c>
      <c r="G1772" t="s">
        <v>145</v>
      </c>
      <c r="H1772" t="s">
        <v>145</v>
      </c>
      <c r="I1772" t="s">
        <v>45</v>
      </c>
      <c r="J1772" t="s">
        <v>46</v>
      </c>
      <c r="K1772" t="s">
        <v>30</v>
      </c>
      <c r="L1772" t="s">
        <v>31</v>
      </c>
      <c r="M1772" t="s">
        <v>140</v>
      </c>
      <c r="N1772">
        <v>0.98439424099999995</v>
      </c>
      <c r="O1772">
        <v>7.0028030000000002E-3</v>
      </c>
      <c r="P1772">
        <v>1.9389478000000002E-2</v>
      </c>
      <c r="Q1772" t="str">
        <f t="shared" si="54"/>
        <v>50+</v>
      </c>
      <c r="R1772" t="str">
        <f t="shared" si="55"/>
        <v>[am530wpaGvr]|50+|Female|PopART.Rt.T_1|CY2024Q3</v>
      </c>
    </row>
    <row r="1773" spans="4:18" x14ac:dyDescent="0.2">
      <c r="D1773" t="s">
        <v>96</v>
      </c>
      <c r="E1773" t="s">
        <v>97</v>
      </c>
      <c r="F1773" t="s">
        <v>98</v>
      </c>
      <c r="G1773" t="s">
        <v>145</v>
      </c>
      <c r="H1773" t="s">
        <v>145</v>
      </c>
      <c r="I1773" t="s">
        <v>28</v>
      </c>
      <c r="J1773" t="s">
        <v>29</v>
      </c>
      <c r="K1773" t="s">
        <v>48</v>
      </c>
      <c r="L1773" t="s">
        <v>49</v>
      </c>
      <c r="M1773" t="s">
        <v>140</v>
      </c>
      <c r="N1773">
        <v>0.65892561800000005</v>
      </c>
      <c r="O1773">
        <v>5.3973090000000001E-2</v>
      </c>
      <c r="P1773">
        <v>1.9389478000000002E-2</v>
      </c>
      <c r="Q1773" t="str">
        <f t="shared" si="54"/>
        <v>&lt;01</v>
      </c>
      <c r="R1773" t="str">
        <f t="shared" si="55"/>
        <v>[am530wpaGvr]|&lt;01|Male|PopART.Rt.T_1|CY2024Q3</v>
      </c>
    </row>
    <row r="1774" spans="4:18" x14ac:dyDescent="0.2">
      <c r="D1774" t="s">
        <v>96</v>
      </c>
      <c r="E1774" t="s">
        <v>97</v>
      </c>
      <c r="F1774" t="s">
        <v>98</v>
      </c>
      <c r="G1774" t="s">
        <v>145</v>
      </c>
      <c r="H1774" t="s">
        <v>145</v>
      </c>
      <c r="I1774" t="s">
        <v>33</v>
      </c>
      <c r="J1774" t="s">
        <v>34</v>
      </c>
      <c r="K1774" t="s">
        <v>48</v>
      </c>
      <c r="L1774" t="s">
        <v>49</v>
      </c>
      <c r="M1774" t="s">
        <v>140</v>
      </c>
      <c r="N1774">
        <v>0.70595324400000004</v>
      </c>
      <c r="O1774">
        <v>5.1613642000000001E-2</v>
      </c>
      <c r="P1774">
        <v>1.9389478000000002E-2</v>
      </c>
      <c r="Q1774" t="str">
        <f t="shared" si="54"/>
        <v>01-09</v>
      </c>
      <c r="R1774" t="str">
        <f t="shared" si="55"/>
        <v>[am530wpaGvr]|01-09|Male|PopART.Rt.T_1|CY2024Q3</v>
      </c>
    </row>
    <row r="1775" spans="4:18" x14ac:dyDescent="0.2">
      <c r="D1775" t="s">
        <v>96</v>
      </c>
      <c r="E1775" t="s">
        <v>97</v>
      </c>
      <c r="F1775" t="s">
        <v>98</v>
      </c>
      <c r="G1775" t="s">
        <v>145</v>
      </c>
      <c r="H1775" t="s">
        <v>145</v>
      </c>
      <c r="I1775" t="s">
        <v>36</v>
      </c>
      <c r="J1775" t="s">
        <v>37</v>
      </c>
      <c r="K1775" t="s">
        <v>48</v>
      </c>
      <c r="L1775" t="s">
        <v>49</v>
      </c>
      <c r="M1775" t="s">
        <v>140</v>
      </c>
      <c r="N1775">
        <v>0.74239079200000002</v>
      </c>
      <c r="O1775">
        <v>4.5427035999999997E-2</v>
      </c>
      <c r="P1775">
        <v>1.9389478000000002E-2</v>
      </c>
      <c r="Q1775" t="str">
        <f t="shared" si="54"/>
        <v>10-14</v>
      </c>
      <c r="R1775" t="str">
        <f t="shared" si="55"/>
        <v>[am530wpaGvr]|10-14|Male|PopART.Rt.T_1|CY2024Q3</v>
      </c>
    </row>
    <row r="1776" spans="4:18" x14ac:dyDescent="0.2">
      <c r="D1776" t="s">
        <v>96</v>
      </c>
      <c r="E1776" t="s">
        <v>97</v>
      </c>
      <c r="F1776" t="s">
        <v>98</v>
      </c>
      <c r="G1776" t="s">
        <v>145</v>
      </c>
      <c r="H1776" t="s">
        <v>145</v>
      </c>
      <c r="I1776" t="s">
        <v>38</v>
      </c>
      <c r="J1776" t="s">
        <v>39</v>
      </c>
      <c r="K1776" t="s">
        <v>48</v>
      </c>
      <c r="L1776" t="s">
        <v>49</v>
      </c>
      <c r="M1776" t="s">
        <v>140</v>
      </c>
      <c r="N1776">
        <v>0.87517345000000002</v>
      </c>
      <c r="O1776">
        <v>4.7993331E-2</v>
      </c>
      <c r="P1776">
        <v>1.9389478000000002E-2</v>
      </c>
      <c r="Q1776" t="str">
        <f t="shared" si="54"/>
        <v>15-24</v>
      </c>
      <c r="R1776" t="str">
        <f t="shared" si="55"/>
        <v>[am530wpaGvr]|15-24|Male|PopART.Rt.T_1|CY2024Q3</v>
      </c>
    </row>
    <row r="1777" spans="4:18" x14ac:dyDescent="0.2">
      <c r="D1777" t="s">
        <v>96</v>
      </c>
      <c r="E1777" t="s">
        <v>97</v>
      </c>
      <c r="F1777" t="s">
        <v>98</v>
      </c>
      <c r="G1777" t="s">
        <v>145</v>
      </c>
      <c r="H1777" t="s">
        <v>145</v>
      </c>
      <c r="I1777" t="s">
        <v>41</v>
      </c>
      <c r="J1777" t="s">
        <v>42</v>
      </c>
      <c r="K1777" t="s">
        <v>48</v>
      </c>
      <c r="L1777" t="s">
        <v>49</v>
      </c>
      <c r="M1777" t="s">
        <v>140</v>
      </c>
      <c r="N1777">
        <v>0.83954640999999997</v>
      </c>
      <c r="O1777">
        <v>5.7755595999999999E-2</v>
      </c>
      <c r="P1777">
        <v>1.9389478000000002E-2</v>
      </c>
      <c r="Q1777" t="str">
        <f t="shared" si="54"/>
        <v>25-34</v>
      </c>
      <c r="R1777" t="str">
        <f t="shared" si="55"/>
        <v>[am530wpaGvr]|25-34|Male|PopART.Rt.T_1|CY2024Q3</v>
      </c>
    </row>
    <row r="1778" spans="4:18" x14ac:dyDescent="0.2">
      <c r="D1778" t="s">
        <v>96</v>
      </c>
      <c r="E1778" t="s">
        <v>97</v>
      </c>
      <c r="F1778" t="s">
        <v>98</v>
      </c>
      <c r="G1778" t="s">
        <v>145</v>
      </c>
      <c r="H1778" t="s">
        <v>145</v>
      </c>
      <c r="I1778" t="s">
        <v>43</v>
      </c>
      <c r="J1778" t="s">
        <v>44</v>
      </c>
      <c r="K1778" t="s">
        <v>48</v>
      </c>
      <c r="L1778" t="s">
        <v>49</v>
      </c>
      <c r="M1778" t="s">
        <v>140</v>
      </c>
      <c r="N1778">
        <v>0.90023134500000002</v>
      </c>
      <c r="O1778">
        <v>3.1712580999999997E-2</v>
      </c>
      <c r="P1778">
        <v>1.9389478000000002E-2</v>
      </c>
      <c r="Q1778" t="str">
        <f t="shared" si="54"/>
        <v>35-49</v>
      </c>
      <c r="R1778" t="str">
        <f t="shared" si="55"/>
        <v>[am530wpaGvr]|35-49|Male|PopART.Rt.T_1|CY2024Q3</v>
      </c>
    </row>
    <row r="1779" spans="4:18" x14ac:dyDescent="0.2">
      <c r="D1779" t="s">
        <v>96</v>
      </c>
      <c r="E1779" t="s">
        <v>97</v>
      </c>
      <c r="F1779" t="s">
        <v>98</v>
      </c>
      <c r="G1779" t="s">
        <v>145</v>
      </c>
      <c r="H1779" t="s">
        <v>145</v>
      </c>
      <c r="I1779" t="s">
        <v>45</v>
      </c>
      <c r="J1779" t="s">
        <v>46</v>
      </c>
      <c r="K1779" t="s">
        <v>48</v>
      </c>
      <c r="L1779" t="s">
        <v>49</v>
      </c>
      <c r="M1779" t="s">
        <v>140</v>
      </c>
      <c r="N1779">
        <v>0.93104606199999995</v>
      </c>
      <c r="O1779">
        <v>2.7410388000000001E-2</v>
      </c>
      <c r="P1779">
        <v>1.9389478000000002E-2</v>
      </c>
      <c r="Q1779" t="str">
        <f t="shared" si="54"/>
        <v>50+</v>
      </c>
      <c r="R1779" t="str">
        <f t="shared" si="55"/>
        <v>[am530wpaGvr]|50+|Male|PopART.Rt.T_1|CY2024Q3</v>
      </c>
    </row>
    <row r="1780" spans="4:18" x14ac:dyDescent="0.2">
      <c r="D1780" t="s">
        <v>99</v>
      </c>
      <c r="E1780" t="s">
        <v>100</v>
      </c>
      <c r="F1780" t="s">
        <v>101</v>
      </c>
      <c r="G1780" t="s">
        <v>145</v>
      </c>
      <c r="H1780" t="s">
        <v>145</v>
      </c>
      <c r="I1780" t="s">
        <v>28</v>
      </c>
      <c r="J1780" t="s">
        <v>29</v>
      </c>
      <c r="K1780" t="s">
        <v>30</v>
      </c>
      <c r="L1780" t="s">
        <v>31</v>
      </c>
      <c r="M1780" t="s">
        <v>140</v>
      </c>
      <c r="N1780">
        <v>0.76738709800000005</v>
      </c>
      <c r="O1780">
        <v>4.1706109999999998E-2</v>
      </c>
      <c r="P1780">
        <v>1.3034379E-2</v>
      </c>
      <c r="Q1780" t="str">
        <f t="shared" si="54"/>
        <v>&lt;01</v>
      </c>
      <c r="R1780" t="str">
        <f t="shared" si="55"/>
        <v>[lLDyBx5XyUi]|&lt;01|Female|PopART.Rt.T_1|CY2024Q3</v>
      </c>
    </row>
    <row r="1781" spans="4:18" x14ac:dyDescent="0.2">
      <c r="D1781" t="s">
        <v>99</v>
      </c>
      <c r="E1781" t="s">
        <v>100</v>
      </c>
      <c r="F1781" t="s">
        <v>101</v>
      </c>
      <c r="G1781" t="s">
        <v>145</v>
      </c>
      <c r="H1781" t="s">
        <v>145</v>
      </c>
      <c r="I1781" t="s">
        <v>33</v>
      </c>
      <c r="J1781" t="s">
        <v>34</v>
      </c>
      <c r="K1781" t="s">
        <v>30</v>
      </c>
      <c r="L1781" t="s">
        <v>31</v>
      </c>
      <c r="M1781" t="s">
        <v>140</v>
      </c>
      <c r="N1781">
        <v>0.81526676399999998</v>
      </c>
      <c r="O1781">
        <v>4.0035379000000003E-2</v>
      </c>
      <c r="P1781">
        <v>1.3034379E-2</v>
      </c>
      <c r="Q1781" t="str">
        <f t="shared" si="54"/>
        <v>01-09</v>
      </c>
      <c r="R1781" t="str">
        <f t="shared" si="55"/>
        <v>[lLDyBx5XyUi]|01-09|Female|PopART.Rt.T_1|CY2024Q3</v>
      </c>
    </row>
    <row r="1782" spans="4:18" x14ac:dyDescent="0.2">
      <c r="D1782" t="s">
        <v>99</v>
      </c>
      <c r="E1782" t="s">
        <v>100</v>
      </c>
      <c r="F1782" t="s">
        <v>101</v>
      </c>
      <c r="G1782" t="s">
        <v>145</v>
      </c>
      <c r="H1782" t="s">
        <v>145</v>
      </c>
      <c r="I1782" t="s">
        <v>36</v>
      </c>
      <c r="J1782" t="s">
        <v>37</v>
      </c>
      <c r="K1782" t="s">
        <v>30</v>
      </c>
      <c r="L1782" t="s">
        <v>31</v>
      </c>
      <c r="M1782" t="s">
        <v>140</v>
      </c>
      <c r="N1782">
        <v>0.84063538999999998</v>
      </c>
      <c r="O1782">
        <v>3.3122020000000002E-2</v>
      </c>
      <c r="P1782">
        <v>1.3034379E-2</v>
      </c>
      <c r="Q1782" t="str">
        <f t="shared" si="54"/>
        <v>10-14</v>
      </c>
      <c r="R1782" t="str">
        <f t="shared" si="55"/>
        <v>[lLDyBx5XyUi]|10-14|Female|PopART.Rt.T_1|CY2024Q3</v>
      </c>
    </row>
    <row r="1783" spans="4:18" x14ac:dyDescent="0.2">
      <c r="D1783" t="s">
        <v>99</v>
      </c>
      <c r="E1783" t="s">
        <v>100</v>
      </c>
      <c r="F1783" t="s">
        <v>101</v>
      </c>
      <c r="G1783" t="s">
        <v>145</v>
      </c>
      <c r="H1783" t="s">
        <v>145</v>
      </c>
      <c r="I1783" t="s">
        <v>38</v>
      </c>
      <c r="J1783" t="s">
        <v>39</v>
      </c>
      <c r="K1783" t="s">
        <v>30</v>
      </c>
      <c r="L1783" t="s">
        <v>31</v>
      </c>
      <c r="M1783" t="s">
        <v>140</v>
      </c>
      <c r="N1783">
        <v>0.94357294599999997</v>
      </c>
      <c r="O1783">
        <v>2.5031479999999998E-2</v>
      </c>
      <c r="P1783">
        <v>1.3034379E-2</v>
      </c>
      <c r="Q1783" t="str">
        <f t="shared" si="54"/>
        <v>15-24</v>
      </c>
      <c r="R1783" t="str">
        <f t="shared" si="55"/>
        <v>[lLDyBx5XyUi]|15-24|Female|PopART.Rt.T_1|CY2024Q3</v>
      </c>
    </row>
    <row r="1784" spans="4:18" x14ac:dyDescent="0.2">
      <c r="D1784" t="s">
        <v>99</v>
      </c>
      <c r="E1784" t="s">
        <v>100</v>
      </c>
      <c r="F1784" t="s">
        <v>101</v>
      </c>
      <c r="G1784" t="s">
        <v>145</v>
      </c>
      <c r="H1784" t="s">
        <v>145</v>
      </c>
      <c r="I1784" t="s">
        <v>41</v>
      </c>
      <c r="J1784" t="s">
        <v>42</v>
      </c>
      <c r="K1784" t="s">
        <v>30</v>
      </c>
      <c r="L1784" t="s">
        <v>31</v>
      </c>
      <c r="M1784" t="s">
        <v>140</v>
      </c>
      <c r="N1784">
        <v>0.970080057</v>
      </c>
      <c r="O1784">
        <v>1.2957622E-2</v>
      </c>
      <c r="P1784">
        <v>1.3034379E-2</v>
      </c>
      <c r="Q1784" t="str">
        <f t="shared" si="54"/>
        <v>25-34</v>
      </c>
      <c r="R1784" t="str">
        <f t="shared" si="55"/>
        <v>[lLDyBx5XyUi]|25-34|Female|PopART.Rt.T_1|CY2024Q3</v>
      </c>
    </row>
    <row r="1785" spans="4:18" x14ac:dyDescent="0.2">
      <c r="D1785" t="s">
        <v>99</v>
      </c>
      <c r="E1785" t="s">
        <v>100</v>
      </c>
      <c r="F1785" t="s">
        <v>101</v>
      </c>
      <c r="G1785" t="s">
        <v>145</v>
      </c>
      <c r="H1785" t="s">
        <v>145</v>
      </c>
      <c r="I1785" t="s">
        <v>43</v>
      </c>
      <c r="J1785" t="s">
        <v>44</v>
      </c>
      <c r="K1785" t="s">
        <v>30</v>
      </c>
      <c r="L1785" t="s">
        <v>31</v>
      </c>
      <c r="M1785" t="s">
        <v>140</v>
      </c>
      <c r="N1785">
        <v>0.98513753599999998</v>
      </c>
      <c r="O1785">
        <v>6.6593750000000004E-3</v>
      </c>
      <c r="P1785">
        <v>1.3034379E-2</v>
      </c>
      <c r="Q1785" t="str">
        <f t="shared" si="54"/>
        <v>35-49</v>
      </c>
      <c r="R1785" t="str">
        <f t="shared" si="55"/>
        <v>[lLDyBx5XyUi]|35-49|Female|PopART.Rt.T_1|CY2024Q3</v>
      </c>
    </row>
    <row r="1786" spans="4:18" x14ac:dyDescent="0.2">
      <c r="D1786" t="s">
        <v>99</v>
      </c>
      <c r="E1786" t="s">
        <v>100</v>
      </c>
      <c r="F1786" t="s">
        <v>101</v>
      </c>
      <c r="G1786" t="s">
        <v>145</v>
      </c>
      <c r="H1786" t="s">
        <v>145</v>
      </c>
      <c r="I1786" t="s">
        <v>45</v>
      </c>
      <c r="J1786" t="s">
        <v>46</v>
      </c>
      <c r="K1786" t="s">
        <v>30</v>
      </c>
      <c r="L1786" t="s">
        <v>31</v>
      </c>
      <c r="M1786" t="s">
        <v>140</v>
      </c>
      <c r="N1786">
        <v>0.98985411400000001</v>
      </c>
      <c r="O1786">
        <v>4.5992469999999999E-3</v>
      </c>
      <c r="P1786">
        <v>1.3034379E-2</v>
      </c>
      <c r="Q1786" t="str">
        <f t="shared" si="54"/>
        <v>50+</v>
      </c>
      <c r="R1786" t="str">
        <f t="shared" si="55"/>
        <v>[lLDyBx5XyUi]|50+|Female|PopART.Rt.T_1|CY2024Q3</v>
      </c>
    </row>
    <row r="1787" spans="4:18" x14ac:dyDescent="0.2">
      <c r="D1787" t="s">
        <v>99</v>
      </c>
      <c r="E1787" t="s">
        <v>100</v>
      </c>
      <c r="F1787" t="s">
        <v>101</v>
      </c>
      <c r="G1787" t="s">
        <v>145</v>
      </c>
      <c r="H1787" t="s">
        <v>145</v>
      </c>
      <c r="I1787" t="s">
        <v>28</v>
      </c>
      <c r="J1787" t="s">
        <v>29</v>
      </c>
      <c r="K1787" t="s">
        <v>48</v>
      </c>
      <c r="L1787" t="s">
        <v>49</v>
      </c>
      <c r="M1787" t="s">
        <v>140</v>
      </c>
      <c r="N1787">
        <v>0.76754311799999997</v>
      </c>
      <c r="O1787">
        <v>4.1784312999999997E-2</v>
      </c>
      <c r="P1787">
        <v>1.3034379E-2</v>
      </c>
      <c r="Q1787" t="str">
        <f t="shared" si="54"/>
        <v>&lt;01</v>
      </c>
      <c r="R1787" t="str">
        <f t="shared" si="55"/>
        <v>[lLDyBx5XyUi]|&lt;01|Male|PopART.Rt.T_1|CY2024Q3</v>
      </c>
    </row>
    <row r="1788" spans="4:18" x14ac:dyDescent="0.2">
      <c r="D1788" t="s">
        <v>99</v>
      </c>
      <c r="E1788" t="s">
        <v>100</v>
      </c>
      <c r="F1788" t="s">
        <v>101</v>
      </c>
      <c r="G1788" t="s">
        <v>145</v>
      </c>
      <c r="H1788" t="s">
        <v>145</v>
      </c>
      <c r="I1788" t="s">
        <v>33</v>
      </c>
      <c r="J1788" t="s">
        <v>34</v>
      </c>
      <c r="K1788" t="s">
        <v>48</v>
      </c>
      <c r="L1788" t="s">
        <v>49</v>
      </c>
      <c r="M1788" t="s">
        <v>140</v>
      </c>
      <c r="N1788">
        <v>0.81540460299999995</v>
      </c>
      <c r="O1788">
        <v>3.9799922000000001E-2</v>
      </c>
      <c r="P1788">
        <v>1.3034379E-2</v>
      </c>
      <c r="Q1788" t="str">
        <f t="shared" si="54"/>
        <v>01-09</v>
      </c>
      <c r="R1788" t="str">
        <f t="shared" si="55"/>
        <v>[lLDyBx5XyUi]|01-09|Male|PopART.Rt.T_1|CY2024Q3</v>
      </c>
    </row>
    <row r="1789" spans="4:18" x14ac:dyDescent="0.2">
      <c r="D1789" t="s">
        <v>99</v>
      </c>
      <c r="E1789" t="s">
        <v>100</v>
      </c>
      <c r="F1789" t="s">
        <v>101</v>
      </c>
      <c r="G1789" t="s">
        <v>145</v>
      </c>
      <c r="H1789" t="s">
        <v>145</v>
      </c>
      <c r="I1789" t="s">
        <v>36</v>
      </c>
      <c r="J1789" t="s">
        <v>37</v>
      </c>
      <c r="K1789" t="s">
        <v>48</v>
      </c>
      <c r="L1789" t="s">
        <v>49</v>
      </c>
      <c r="M1789" t="s">
        <v>140</v>
      </c>
      <c r="N1789">
        <v>0.840516873</v>
      </c>
      <c r="O1789">
        <v>3.4095857E-2</v>
      </c>
      <c r="P1789">
        <v>1.3034379E-2</v>
      </c>
      <c r="Q1789" t="str">
        <f t="shared" si="54"/>
        <v>10-14</v>
      </c>
      <c r="R1789" t="str">
        <f t="shared" si="55"/>
        <v>[lLDyBx5XyUi]|10-14|Male|PopART.Rt.T_1|CY2024Q3</v>
      </c>
    </row>
    <row r="1790" spans="4:18" x14ac:dyDescent="0.2">
      <c r="D1790" t="s">
        <v>99</v>
      </c>
      <c r="E1790" t="s">
        <v>100</v>
      </c>
      <c r="F1790" t="s">
        <v>101</v>
      </c>
      <c r="G1790" t="s">
        <v>145</v>
      </c>
      <c r="H1790" t="s">
        <v>145</v>
      </c>
      <c r="I1790" t="s">
        <v>38</v>
      </c>
      <c r="J1790" t="s">
        <v>39</v>
      </c>
      <c r="K1790" t="s">
        <v>48</v>
      </c>
      <c r="L1790" t="s">
        <v>49</v>
      </c>
      <c r="M1790" t="s">
        <v>140</v>
      </c>
      <c r="N1790">
        <v>0.91517324899999997</v>
      </c>
      <c r="O1790">
        <v>3.3654774999999998E-2</v>
      </c>
      <c r="P1790">
        <v>1.3034379E-2</v>
      </c>
      <c r="Q1790" t="str">
        <f t="shared" si="54"/>
        <v>15-24</v>
      </c>
      <c r="R1790" t="str">
        <f t="shared" si="55"/>
        <v>[lLDyBx5XyUi]|15-24|Male|PopART.Rt.T_1|CY2024Q3</v>
      </c>
    </row>
    <row r="1791" spans="4:18" x14ac:dyDescent="0.2">
      <c r="D1791" t="s">
        <v>99</v>
      </c>
      <c r="E1791" t="s">
        <v>100</v>
      </c>
      <c r="F1791" t="s">
        <v>101</v>
      </c>
      <c r="G1791" t="s">
        <v>145</v>
      </c>
      <c r="H1791" t="s">
        <v>145</v>
      </c>
      <c r="I1791" t="s">
        <v>41</v>
      </c>
      <c r="J1791" t="s">
        <v>42</v>
      </c>
      <c r="K1791" t="s">
        <v>48</v>
      </c>
      <c r="L1791" t="s">
        <v>49</v>
      </c>
      <c r="M1791" t="s">
        <v>140</v>
      </c>
      <c r="N1791">
        <v>0.88935630600000004</v>
      </c>
      <c r="O1791">
        <v>4.2803487000000001E-2</v>
      </c>
      <c r="P1791">
        <v>1.3034379E-2</v>
      </c>
      <c r="Q1791" t="str">
        <f t="shared" si="54"/>
        <v>25-34</v>
      </c>
      <c r="R1791" t="str">
        <f t="shared" si="55"/>
        <v>[lLDyBx5XyUi]|25-34|Male|PopART.Rt.T_1|CY2024Q3</v>
      </c>
    </row>
    <row r="1792" spans="4:18" x14ac:dyDescent="0.2">
      <c r="D1792" t="s">
        <v>99</v>
      </c>
      <c r="E1792" t="s">
        <v>100</v>
      </c>
      <c r="F1792" t="s">
        <v>101</v>
      </c>
      <c r="G1792" t="s">
        <v>145</v>
      </c>
      <c r="H1792" t="s">
        <v>145</v>
      </c>
      <c r="I1792" t="s">
        <v>43</v>
      </c>
      <c r="J1792" t="s">
        <v>44</v>
      </c>
      <c r="K1792" t="s">
        <v>48</v>
      </c>
      <c r="L1792" t="s">
        <v>49</v>
      </c>
      <c r="M1792" t="s">
        <v>140</v>
      </c>
      <c r="N1792">
        <v>0.93266976599999996</v>
      </c>
      <c r="O1792">
        <v>2.3970701000000001E-2</v>
      </c>
      <c r="P1792">
        <v>1.3034379E-2</v>
      </c>
      <c r="Q1792" t="str">
        <f t="shared" si="54"/>
        <v>35-49</v>
      </c>
      <c r="R1792" t="str">
        <f t="shared" si="55"/>
        <v>[lLDyBx5XyUi]|35-49|Male|PopART.Rt.T_1|CY2024Q3</v>
      </c>
    </row>
    <row r="1793" spans="4:18" x14ac:dyDescent="0.2">
      <c r="D1793" t="s">
        <v>99</v>
      </c>
      <c r="E1793" t="s">
        <v>100</v>
      </c>
      <c r="F1793" t="s">
        <v>101</v>
      </c>
      <c r="G1793" t="s">
        <v>145</v>
      </c>
      <c r="H1793" t="s">
        <v>145</v>
      </c>
      <c r="I1793" t="s">
        <v>45</v>
      </c>
      <c r="J1793" t="s">
        <v>46</v>
      </c>
      <c r="K1793" t="s">
        <v>48</v>
      </c>
      <c r="L1793" t="s">
        <v>49</v>
      </c>
      <c r="M1793" t="s">
        <v>140</v>
      </c>
      <c r="N1793">
        <v>0.95404985099999995</v>
      </c>
      <c r="O1793">
        <v>1.9158087000000001E-2</v>
      </c>
      <c r="P1793">
        <v>1.3034379E-2</v>
      </c>
      <c r="Q1793" t="str">
        <f t="shared" si="54"/>
        <v>50+</v>
      </c>
      <c r="R1793" t="str">
        <f t="shared" si="55"/>
        <v>[lLDyBx5XyUi]|50+|Male|PopART.Rt.T_1|CY2024Q3</v>
      </c>
    </row>
    <row r="1794" spans="4:18" x14ac:dyDescent="0.2">
      <c r="D1794" t="s">
        <v>102</v>
      </c>
      <c r="E1794" t="s">
        <v>103</v>
      </c>
      <c r="F1794" t="s">
        <v>104</v>
      </c>
      <c r="G1794" t="s">
        <v>145</v>
      </c>
      <c r="H1794" t="s">
        <v>145</v>
      </c>
      <c r="I1794" t="s">
        <v>28</v>
      </c>
      <c r="J1794" t="s">
        <v>29</v>
      </c>
      <c r="K1794" t="s">
        <v>30</v>
      </c>
      <c r="L1794" t="s">
        <v>31</v>
      </c>
      <c r="M1794" t="s">
        <v>140</v>
      </c>
      <c r="N1794">
        <v>0.67454632699999995</v>
      </c>
      <c r="O1794">
        <v>5.5610668000000002E-2</v>
      </c>
      <c r="P1794">
        <v>1.3743724000000001E-2</v>
      </c>
      <c r="Q1794" t="str">
        <f t="shared" si="54"/>
        <v>&lt;01</v>
      </c>
      <c r="R1794" t="str">
        <f t="shared" si="55"/>
        <v>[TYnMSwzko3z]|&lt;01|Female|PopART.Rt.T_1|CY2024Q3</v>
      </c>
    </row>
    <row r="1795" spans="4:18" x14ac:dyDescent="0.2">
      <c r="D1795" t="s">
        <v>102</v>
      </c>
      <c r="E1795" t="s">
        <v>103</v>
      </c>
      <c r="F1795" t="s">
        <v>104</v>
      </c>
      <c r="G1795" t="s">
        <v>145</v>
      </c>
      <c r="H1795" t="s">
        <v>145</v>
      </c>
      <c r="I1795" t="s">
        <v>33</v>
      </c>
      <c r="J1795" t="s">
        <v>34</v>
      </c>
      <c r="K1795" t="s">
        <v>30</v>
      </c>
      <c r="L1795" t="s">
        <v>31</v>
      </c>
      <c r="M1795" t="s">
        <v>140</v>
      </c>
      <c r="N1795">
        <v>0.72200169400000003</v>
      </c>
      <c r="O1795">
        <v>5.3691955E-2</v>
      </c>
      <c r="P1795">
        <v>1.3743724000000001E-2</v>
      </c>
      <c r="Q1795" t="str">
        <f t="shared" ref="Q1795:Q1858" si="56">SUBSTITUTE(SUBSTITUTE($I1795,CHAR(61),""),CHAR(34),"")</f>
        <v>01-09</v>
      </c>
      <c r="R1795" t="str">
        <f t="shared" ref="R1795:R1858" si="57">IF($D1795&lt;&gt;"","["&amp;$E1795&amp;"]"&amp;"|"&amp;$Q1795&amp;"|"&amp;$K1795&amp;"|"&amp;$G1795&amp;"|"&amp;IF($G1795="TX_CURR_SUBNAT.R","CY2023Q4",$M1795),"")</f>
        <v>[TYnMSwzko3z]|01-09|Female|PopART.Rt.T_1|CY2024Q3</v>
      </c>
    </row>
    <row r="1796" spans="4:18" x14ac:dyDescent="0.2">
      <c r="D1796" t="s">
        <v>102</v>
      </c>
      <c r="E1796" t="s">
        <v>103</v>
      </c>
      <c r="F1796" t="s">
        <v>104</v>
      </c>
      <c r="G1796" t="s">
        <v>145</v>
      </c>
      <c r="H1796" t="s">
        <v>145</v>
      </c>
      <c r="I1796" t="s">
        <v>36</v>
      </c>
      <c r="J1796" t="s">
        <v>37</v>
      </c>
      <c r="K1796" t="s">
        <v>30</v>
      </c>
      <c r="L1796" t="s">
        <v>31</v>
      </c>
      <c r="M1796" t="s">
        <v>140</v>
      </c>
      <c r="N1796">
        <v>0.75694518300000002</v>
      </c>
      <c r="O1796">
        <v>4.4948272999999997E-2</v>
      </c>
      <c r="P1796">
        <v>1.3743724000000001E-2</v>
      </c>
      <c r="Q1796" t="str">
        <f t="shared" si="56"/>
        <v>10-14</v>
      </c>
      <c r="R1796" t="str">
        <f t="shared" si="57"/>
        <v>[TYnMSwzko3z]|10-14|Female|PopART.Rt.T_1|CY2024Q3</v>
      </c>
    </row>
    <row r="1797" spans="4:18" x14ac:dyDescent="0.2">
      <c r="D1797" t="s">
        <v>102</v>
      </c>
      <c r="E1797" t="s">
        <v>103</v>
      </c>
      <c r="F1797" t="s">
        <v>104</v>
      </c>
      <c r="G1797" t="s">
        <v>145</v>
      </c>
      <c r="H1797" t="s">
        <v>145</v>
      </c>
      <c r="I1797" t="s">
        <v>38</v>
      </c>
      <c r="J1797" t="s">
        <v>39</v>
      </c>
      <c r="K1797" t="s">
        <v>30</v>
      </c>
      <c r="L1797" t="s">
        <v>31</v>
      </c>
      <c r="M1797" t="s">
        <v>140</v>
      </c>
      <c r="N1797">
        <v>0.93894512100000005</v>
      </c>
      <c r="O1797">
        <v>2.6277508000000002E-2</v>
      </c>
      <c r="P1797">
        <v>1.3743724000000001E-2</v>
      </c>
      <c r="Q1797" t="str">
        <f t="shared" si="56"/>
        <v>15-24</v>
      </c>
      <c r="R1797" t="str">
        <f t="shared" si="57"/>
        <v>[TYnMSwzko3z]|15-24|Female|PopART.Rt.T_1|CY2024Q3</v>
      </c>
    </row>
    <row r="1798" spans="4:18" x14ac:dyDescent="0.2">
      <c r="D1798" t="s">
        <v>102</v>
      </c>
      <c r="E1798" t="s">
        <v>103</v>
      </c>
      <c r="F1798" t="s">
        <v>104</v>
      </c>
      <c r="G1798" t="s">
        <v>145</v>
      </c>
      <c r="H1798" t="s">
        <v>145</v>
      </c>
      <c r="I1798" t="s">
        <v>41</v>
      </c>
      <c r="J1798" t="s">
        <v>42</v>
      </c>
      <c r="K1798" t="s">
        <v>30</v>
      </c>
      <c r="L1798" t="s">
        <v>31</v>
      </c>
      <c r="M1798" t="s">
        <v>140</v>
      </c>
      <c r="N1798">
        <v>0.96755493000000004</v>
      </c>
      <c r="O1798">
        <v>1.3749737999999999E-2</v>
      </c>
      <c r="P1798">
        <v>1.3743724000000001E-2</v>
      </c>
      <c r="Q1798" t="str">
        <f t="shared" si="56"/>
        <v>25-34</v>
      </c>
      <c r="R1798" t="str">
        <f t="shared" si="57"/>
        <v>[TYnMSwzko3z]|25-34|Female|PopART.Rt.T_1|CY2024Q3</v>
      </c>
    </row>
    <row r="1799" spans="4:18" x14ac:dyDescent="0.2">
      <c r="D1799" t="s">
        <v>102</v>
      </c>
      <c r="E1799" t="s">
        <v>103</v>
      </c>
      <c r="F1799" t="s">
        <v>104</v>
      </c>
      <c r="G1799" t="s">
        <v>145</v>
      </c>
      <c r="H1799" t="s">
        <v>145</v>
      </c>
      <c r="I1799" t="s">
        <v>43</v>
      </c>
      <c r="J1799" t="s">
        <v>44</v>
      </c>
      <c r="K1799" t="s">
        <v>30</v>
      </c>
      <c r="L1799" t="s">
        <v>31</v>
      </c>
      <c r="M1799" t="s">
        <v>140</v>
      </c>
      <c r="N1799">
        <v>0.983804397</v>
      </c>
      <c r="O1799">
        <v>7.1468349999999998E-3</v>
      </c>
      <c r="P1799">
        <v>1.3743724000000001E-2</v>
      </c>
      <c r="Q1799" t="str">
        <f t="shared" si="56"/>
        <v>35-49</v>
      </c>
      <c r="R1799" t="str">
        <f t="shared" si="57"/>
        <v>[TYnMSwzko3z]|35-49|Female|PopART.Rt.T_1|CY2024Q3</v>
      </c>
    </row>
    <row r="1800" spans="4:18" x14ac:dyDescent="0.2">
      <c r="D1800" t="s">
        <v>102</v>
      </c>
      <c r="E1800" t="s">
        <v>103</v>
      </c>
      <c r="F1800" t="s">
        <v>104</v>
      </c>
      <c r="G1800" t="s">
        <v>145</v>
      </c>
      <c r="H1800" t="s">
        <v>145</v>
      </c>
      <c r="I1800" t="s">
        <v>45</v>
      </c>
      <c r="J1800" t="s">
        <v>46</v>
      </c>
      <c r="K1800" t="s">
        <v>30</v>
      </c>
      <c r="L1800" t="s">
        <v>31</v>
      </c>
      <c r="M1800" t="s">
        <v>140</v>
      </c>
      <c r="N1800">
        <v>0.98894703500000003</v>
      </c>
      <c r="O1800">
        <v>4.8932439999999997E-3</v>
      </c>
      <c r="P1800">
        <v>1.3743724000000001E-2</v>
      </c>
      <c r="Q1800" t="str">
        <f t="shared" si="56"/>
        <v>50+</v>
      </c>
      <c r="R1800" t="str">
        <f t="shared" si="57"/>
        <v>[TYnMSwzko3z]|50+|Female|PopART.Rt.T_1|CY2024Q3</v>
      </c>
    </row>
    <row r="1801" spans="4:18" x14ac:dyDescent="0.2">
      <c r="D1801" t="s">
        <v>102</v>
      </c>
      <c r="E1801" t="s">
        <v>103</v>
      </c>
      <c r="F1801" t="s">
        <v>104</v>
      </c>
      <c r="G1801" t="s">
        <v>145</v>
      </c>
      <c r="H1801" t="s">
        <v>145</v>
      </c>
      <c r="I1801" t="s">
        <v>28</v>
      </c>
      <c r="J1801" t="s">
        <v>29</v>
      </c>
      <c r="K1801" t="s">
        <v>48</v>
      </c>
      <c r="L1801" t="s">
        <v>49</v>
      </c>
      <c r="M1801" t="s">
        <v>140</v>
      </c>
      <c r="N1801">
        <v>0.67471720999999996</v>
      </c>
      <c r="O1801">
        <v>5.5410081E-2</v>
      </c>
      <c r="P1801">
        <v>1.3743724000000001E-2</v>
      </c>
      <c r="Q1801" t="str">
        <f t="shared" si="56"/>
        <v>&lt;01</v>
      </c>
      <c r="R1801" t="str">
        <f t="shared" si="57"/>
        <v>[TYnMSwzko3z]|&lt;01|Male|PopART.Rt.T_1|CY2024Q3</v>
      </c>
    </row>
    <row r="1802" spans="4:18" x14ac:dyDescent="0.2">
      <c r="D1802" t="s">
        <v>102</v>
      </c>
      <c r="E1802" t="s">
        <v>103</v>
      </c>
      <c r="F1802" t="s">
        <v>104</v>
      </c>
      <c r="G1802" t="s">
        <v>145</v>
      </c>
      <c r="H1802" t="s">
        <v>145</v>
      </c>
      <c r="I1802" t="s">
        <v>33</v>
      </c>
      <c r="J1802" t="s">
        <v>34</v>
      </c>
      <c r="K1802" t="s">
        <v>48</v>
      </c>
      <c r="L1802" t="s">
        <v>49</v>
      </c>
      <c r="M1802" t="s">
        <v>140</v>
      </c>
      <c r="N1802">
        <v>0.72211396699999997</v>
      </c>
      <c r="O1802">
        <v>5.2949067000000002E-2</v>
      </c>
      <c r="P1802">
        <v>1.3743724000000001E-2</v>
      </c>
      <c r="Q1802" t="str">
        <f t="shared" si="56"/>
        <v>01-09</v>
      </c>
      <c r="R1802" t="str">
        <f t="shared" si="57"/>
        <v>[TYnMSwzko3z]|01-09|Male|PopART.Rt.T_1|CY2024Q3</v>
      </c>
    </row>
    <row r="1803" spans="4:18" x14ac:dyDescent="0.2">
      <c r="D1803" t="s">
        <v>102</v>
      </c>
      <c r="E1803" t="s">
        <v>103</v>
      </c>
      <c r="F1803" t="s">
        <v>104</v>
      </c>
      <c r="G1803" t="s">
        <v>145</v>
      </c>
      <c r="H1803" t="s">
        <v>145</v>
      </c>
      <c r="I1803" t="s">
        <v>36</v>
      </c>
      <c r="J1803" t="s">
        <v>37</v>
      </c>
      <c r="K1803" t="s">
        <v>48</v>
      </c>
      <c r="L1803" t="s">
        <v>49</v>
      </c>
      <c r="M1803" t="s">
        <v>140</v>
      </c>
      <c r="N1803">
        <v>0.75673748500000004</v>
      </c>
      <c r="O1803">
        <v>4.6451946000000001E-2</v>
      </c>
      <c r="P1803">
        <v>1.3743724000000001E-2</v>
      </c>
      <c r="Q1803" t="str">
        <f t="shared" si="56"/>
        <v>10-14</v>
      </c>
      <c r="R1803" t="str">
        <f t="shared" si="57"/>
        <v>[TYnMSwzko3z]|10-14|Male|PopART.Rt.T_1|CY2024Q3</v>
      </c>
    </row>
    <row r="1804" spans="4:18" x14ac:dyDescent="0.2">
      <c r="D1804" t="s">
        <v>102</v>
      </c>
      <c r="E1804" t="s">
        <v>103</v>
      </c>
      <c r="F1804" t="s">
        <v>104</v>
      </c>
      <c r="G1804" t="s">
        <v>145</v>
      </c>
      <c r="H1804" t="s">
        <v>145</v>
      </c>
      <c r="I1804" t="s">
        <v>38</v>
      </c>
      <c r="J1804" t="s">
        <v>39</v>
      </c>
      <c r="K1804" t="s">
        <v>48</v>
      </c>
      <c r="L1804" t="s">
        <v>49</v>
      </c>
      <c r="M1804" t="s">
        <v>140</v>
      </c>
      <c r="N1804">
        <v>0.90654579700000004</v>
      </c>
      <c r="O1804">
        <v>3.5930389E-2</v>
      </c>
      <c r="P1804">
        <v>1.3743724000000001E-2</v>
      </c>
      <c r="Q1804" t="str">
        <f t="shared" si="56"/>
        <v>15-24</v>
      </c>
      <c r="R1804" t="str">
        <f t="shared" si="57"/>
        <v>[TYnMSwzko3z]|15-24|Male|PopART.Rt.T_1|CY2024Q3</v>
      </c>
    </row>
    <row r="1805" spans="4:18" x14ac:dyDescent="0.2">
      <c r="D1805" t="s">
        <v>102</v>
      </c>
      <c r="E1805" t="s">
        <v>103</v>
      </c>
      <c r="F1805" t="s">
        <v>104</v>
      </c>
      <c r="G1805" t="s">
        <v>145</v>
      </c>
      <c r="H1805" t="s">
        <v>145</v>
      </c>
      <c r="I1805" t="s">
        <v>41</v>
      </c>
      <c r="J1805" t="s">
        <v>42</v>
      </c>
      <c r="K1805" t="s">
        <v>48</v>
      </c>
      <c r="L1805" t="s">
        <v>49</v>
      </c>
      <c r="M1805" t="s">
        <v>140</v>
      </c>
      <c r="N1805">
        <v>0.87858911399999995</v>
      </c>
      <c r="O1805">
        <v>4.4877462E-2</v>
      </c>
      <c r="P1805">
        <v>1.3743724000000001E-2</v>
      </c>
      <c r="Q1805" t="str">
        <f t="shared" si="56"/>
        <v>25-34</v>
      </c>
      <c r="R1805" t="str">
        <f t="shared" si="57"/>
        <v>[TYnMSwzko3z]|25-34|Male|PopART.Rt.T_1|CY2024Q3</v>
      </c>
    </row>
    <row r="1806" spans="4:18" x14ac:dyDescent="0.2">
      <c r="D1806" t="s">
        <v>102</v>
      </c>
      <c r="E1806" t="s">
        <v>103</v>
      </c>
      <c r="F1806" t="s">
        <v>104</v>
      </c>
      <c r="G1806" t="s">
        <v>145</v>
      </c>
      <c r="H1806" t="s">
        <v>145</v>
      </c>
      <c r="I1806" t="s">
        <v>43</v>
      </c>
      <c r="J1806" t="s">
        <v>44</v>
      </c>
      <c r="K1806" t="s">
        <v>48</v>
      </c>
      <c r="L1806" t="s">
        <v>49</v>
      </c>
      <c r="M1806" t="s">
        <v>140</v>
      </c>
      <c r="N1806">
        <v>0.92580439999999997</v>
      </c>
      <c r="O1806">
        <v>2.5517689999999999E-2</v>
      </c>
      <c r="P1806">
        <v>1.3743724000000001E-2</v>
      </c>
      <c r="Q1806" t="str">
        <f t="shared" si="56"/>
        <v>35-49</v>
      </c>
      <c r="R1806" t="str">
        <f t="shared" si="57"/>
        <v>[TYnMSwzko3z]|35-49|Male|PopART.Rt.T_1|CY2024Q3</v>
      </c>
    </row>
    <row r="1807" spans="4:18" x14ac:dyDescent="0.2">
      <c r="D1807" t="s">
        <v>102</v>
      </c>
      <c r="E1807" t="s">
        <v>103</v>
      </c>
      <c r="F1807" t="s">
        <v>104</v>
      </c>
      <c r="G1807" t="s">
        <v>145</v>
      </c>
      <c r="H1807" t="s">
        <v>145</v>
      </c>
      <c r="I1807" t="s">
        <v>45</v>
      </c>
      <c r="J1807" t="s">
        <v>46</v>
      </c>
      <c r="K1807" t="s">
        <v>48</v>
      </c>
      <c r="L1807" t="s">
        <v>49</v>
      </c>
      <c r="M1807" t="s">
        <v>140</v>
      </c>
      <c r="N1807">
        <v>0.949072837</v>
      </c>
      <c r="O1807">
        <v>2.0454785E-2</v>
      </c>
      <c r="P1807">
        <v>1.3743724000000001E-2</v>
      </c>
      <c r="Q1807" t="str">
        <f t="shared" si="56"/>
        <v>50+</v>
      </c>
      <c r="R1807" t="str">
        <f t="shared" si="57"/>
        <v>[TYnMSwzko3z]|50+|Male|PopART.Rt.T_1|CY2024Q3</v>
      </c>
    </row>
    <row r="1808" spans="4:18" x14ac:dyDescent="0.2">
      <c r="D1808" t="s">
        <v>105</v>
      </c>
      <c r="E1808" t="s">
        <v>106</v>
      </c>
      <c r="F1808" t="s">
        <v>107</v>
      </c>
      <c r="G1808" t="s">
        <v>145</v>
      </c>
      <c r="H1808" t="s">
        <v>145</v>
      </c>
      <c r="I1808" t="s">
        <v>28</v>
      </c>
      <c r="J1808" t="s">
        <v>29</v>
      </c>
      <c r="K1808" t="s">
        <v>30</v>
      </c>
      <c r="L1808" t="s">
        <v>31</v>
      </c>
      <c r="M1808" t="s">
        <v>140</v>
      </c>
      <c r="N1808">
        <v>0.67260841599999999</v>
      </c>
      <c r="O1808">
        <v>3.5937993000000001E-2</v>
      </c>
      <c r="P1808">
        <v>1.2554624E-2</v>
      </c>
      <c r="Q1808" t="str">
        <f t="shared" si="56"/>
        <v>&lt;01</v>
      </c>
      <c r="R1808" t="str">
        <f t="shared" si="57"/>
        <v>[fyEoGEPERdI]|&lt;01|Female|PopART.Rt.T_1|CY2024Q3</v>
      </c>
    </row>
    <row r="1809" spans="4:18" x14ac:dyDescent="0.2">
      <c r="D1809" t="s">
        <v>105</v>
      </c>
      <c r="E1809" t="s">
        <v>106</v>
      </c>
      <c r="F1809" t="s">
        <v>107</v>
      </c>
      <c r="G1809" t="s">
        <v>145</v>
      </c>
      <c r="H1809" t="s">
        <v>145</v>
      </c>
      <c r="I1809" t="s">
        <v>33</v>
      </c>
      <c r="J1809" t="s">
        <v>34</v>
      </c>
      <c r="K1809" t="s">
        <v>30</v>
      </c>
      <c r="L1809" t="s">
        <v>31</v>
      </c>
      <c r="M1809" t="s">
        <v>140</v>
      </c>
      <c r="N1809">
        <v>0.72084813599999997</v>
      </c>
      <c r="O1809">
        <v>3.4874847E-2</v>
      </c>
      <c r="P1809">
        <v>1.2554624E-2</v>
      </c>
      <c r="Q1809" t="str">
        <f t="shared" si="56"/>
        <v>01-09</v>
      </c>
      <c r="R1809" t="str">
        <f t="shared" si="57"/>
        <v>[fyEoGEPERdI]|01-09|Female|PopART.Rt.T_1|CY2024Q3</v>
      </c>
    </row>
    <row r="1810" spans="4:18" x14ac:dyDescent="0.2">
      <c r="D1810" t="s">
        <v>105</v>
      </c>
      <c r="E1810" t="s">
        <v>106</v>
      </c>
      <c r="F1810" t="s">
        <v>107</v>
      </c>
      <c r="G1810" t="s">
        <v>145</v>
      </c>
      <c r="H1810" t="s">
        <v>145</v>
      </c>
      <c r="I1810" t="s">
        <v>36</v>
      </c>
      <c r="J1810" t="s">
        <v>37</v>
      </c>
      <c r="K1810" t="s">
        <v>30</v>
      </c>
      <c r="L1810" t="s">
        <v>31</v>
      </c>
      <c r="M1810" t="s">
        <v>140</v>
      </c>
      <c r="N1810">
        <v>0.75721107200000004</v>
      </c>
      <c r="O1810">
        <v>2.9360540000000001E-2</v>
      </c>
      <c r="P1810">
        <v>1.2554624E-2</v>
      </c>
      <c r="Q1810" t="str">
        <f t="shared" si="56"/>
        <v>10-14</v>
      </c>
      <c r="R1810" t="str">
        <f t="shared" si="57"/>
        <v>[fyEoGEPERdI]|10-14|Female|PopART.Rt.T_1|CY2024Q3</v>
      </c>
    </row>
    <row r="1811" spans="4:18" x14ac:dyDescent="0.2">
      <c r="D1811" t="s">
        <v>105</v>
      </c>
      <c r="E1811" t="s">
        <v>106</v>
      </c>
      <c r="F1811" t="s">
        <v>107</v>
      </c>
      <c r="G1811" t="s">
        <v>145</v>
      </c>
      <c r="H1811" t="s">
        <v>145</v>
      </c>
      <c r="I1811" t="s">
        <v>38</v>
      </c>
      <c r="J1811" t="s">
        <v>39</v>
      </c>
      <c r="K1811" t="s">
        <v>30</v>
      </c>
      <c r="L1811" t="s">
        <v>31</v>
      </c>
      <c r="M1811" t="s">
        <v>140</v>
      </c>
      <c r="N1811">
        <v>0.94401551399999994</v>
      </c>
      <c r="O1811">
        <v>2.3781663000000001E-2</v>
      </c>
      <c r="P1811">
        <v>1.2554624E-2</v>
      </c>
      <c r="Q1811" t="str">
        <f t="shared" si="56"/>
        <v>15-24</v>
      </c>
      <c r="R1811" t="str">
        <f t="shared" si="57"/>
        <v>[fyEoGEPERdI]|15-24|Female|PopART.Rt.T_1|CY2024Q3</v>
      </c>
    </row>
    <row r="1812" spans="4:18" x14ac:dyDescent="0.2">
      <c r="D1812" t="s">
        <v>105</v>
      </c>
      <c r="E1812" t="s">
        <v>106</v>
      </c>
      <c r="F1812" t="s">
        <v>107</v>
      </c>
      <c r="G1812" t="s">
        <v>145</v>
      </c>
      <c r="H1812" t="s">
        <v>145</v>
      </c>
      <c r="I1812" t="s">
        <v>41</v>
      </c>
      <c r="J1812" t="s">
        <v>42</v>
      </c>
      <c r="K1812" t="s">
        <v>30</v>
      </c>
      <c r="L1812" t="s">
        <v>31</v>
      </c>
      <c r="M1812" t="s">
        <v>140</v>
      </c>
      <c r="N1812">
        <v>0.97052296500000002</v>
      </c>
      <c r="O1812">
        <v>1.2199529000000001E-2</v>
      </c>
      <c r="P1812">
        <v>1.2554624E-2</v>
      </c>
      <c r="Q1812" t="str">
        <f t="shared" si="56"/>
        <v>25-34</v>
      </c>
      <c r="R1812" t="str">
        <f t="shared" si="57"/>
        <v>[fyEoGEPERdI]|25-34|Female|PopART.Rt.T_1|CY2024Q3</v>
      </c>
    </row>
    <row r="1813" spans="4:18" x14ac:dyDescent="0.2">
      <c r="D1813" t="s">
        <v>105</v>
      </c>
      <c r="E1813" t="s">
        <v>106</v>
      </c>
      <c r="F1813" t="s">
        <v>107</v>
      </c>
      <c r="G1813" t="s">
        <v>145</v>
      </c>
      <c r="H1813" t="s">
        <v>145</v>
      </c>
      <c r="I1813" t="s">
        <v>43</v>
      </c>
      <c r="J1813" t="s">
        <v>44</v>
      </c>
      <c r="K1813" t="s">
        <v>30</v>
      </c>
      <c r="L1813" t="s">
        <v>31</v>
      </c>
      <c r="M1813" t="s">
        <v>140</v>
      </c>
      <c r="N1813">
        <v>0.98528611099999996</v>
      </c>
      <c r="O1813">
        <v>6.2711279999999999E-3</v>
      </c>
      <c r="P1813">
        <v>1.2554624E-2</v>
      </c>
      <c r="Q1813" t="str">
        <f t="shared" si="56"/>
        <v>35-49</v>
      </c>
      <c r="R1813" t="str">
        <f t="shared" si="57"/>
        <v>[fyEoGEPERdI]|35-49|Female|PopART.Rt.T_1|CY2024Q3</v>
      </c>
    </row>
    <row r="1814" spans="4:18" x14ac:dyDescent="0.2">
      <c r="D1814" t="s">
        <v>105</v>
      </c>
      <c r="E1814" t="s">
        <v>106</v>
      </c>
      <c r="F1814" t="s">
        <v>107</v>
      </c>
      <c r="G1814" t="s">
        <v>145</v>
      </c>
      <c r="H1814" t="s">
        <v>145</v>
      </c>
      <c r="I1814" t="s">
        <v>45</v>
      </c>
      <c r="J1814" t="s">
        <v>46</v>
      </c>
      <c r="K1814" t="s">
        <v>30</v>
      </c>
      <c r="L1814" t="s">
        <v>31</v>
      </c>
      <c r="M1814" t="s">
        <v>140</v>
      </c>
      <c r="N1814">
        <v>0.98989951200000004</v>
      </c>
      <c r="O1814">
        <v>4.4074209999999999E-3</v>
      </c>
      <c r="P1814">
        <v>1.2554624E-2</v>
      </c>
      <c r="Q1814" t="str">
        <f t="shared" si="56"/>
        <v>50+</v>
      </c>
      <c r="R1814" t="str">
        <f t="shared" si="57"/>
        <v>[fyEoGEPERdI]|50+|Female|PopART.Rt.T_1|CY2024Q3</v>
      </c>
    </row>
    <row r="1815" spans="4:18" x14ac:dyDescent="0.2">
      <c r="D1815" t="s">
        <v>105</v>
      </c>
      <c r="E1815" t="s">
        <v>106</v>
      </c>
      <c r="F1815" t="s">
        <v>107</v>
      </c>
      <c r="G1815" t="s">
        <v>145</v>
      </c>
      <c r="H1815" t="s">
        <v>145</v>
      </c>
      <c r="I1815" t="s">
        <v>28</v>
      </c>
      <c r="J1815" t="s">
        <v>29</v>
      </c>
      <c r="K1815" t="s">
        <v>48</v>
      </c>
      <c r="L1815" t="s">
        <v>49</v>
      </c>
      <c r="M1815" t="s">
        <v>140</v>
      </c>
      <c r="N1815">
        <v>0.67298957800000003</v>
      </c>
      <c r="O1815">
        <v>3.5729425000000002E-2</v>
      </c>
      <c r="P1815">
        <v>1.2554624E-2</v>
      </c>
      <c r="Q1815" t="str">
        <f t="shared" si="56"/>
        <v>&lt;01</v>
      </c>
      <c r="R1815" t="str">
        <f t="shared" si="57"/>
        <v>[fyEoGEPERdI]|&lt;01|Male|PopART.Rt.T_1|CY2024Q3</v>
      </c>
    </row>
    <row r="1816" spans="4:18" x14ac:dyDescent="0.2">
      <c r="D1816" t="s">
        <v>105</v>
      </c>
      <c r="E1816" t="s">
        <v>106</v>
      </c>
      <c r="F1816" t="s">
        <v>107</v>
      </c>
      <c r="G1816" t="s">
        <v>145</v>
      </c>
      <c r="H1816" t="s">
        <v>145</v>
      </c>
      <c r="I1816" t="s">
        <v>33</v>
      </c>
      <c r="J1816" t="s">
        <v>34</v>
      </c>
      <c r="K1816" t="s">
        <v>48</v>
      </c>
      <c r="L1816" t="s">
        <v>49</v>
      </c>
      <c r="M1816" t="s">
        <v>140</v>
      </c>
      <c r="N1816">
        <v>0.72123726700000002</v>
      </c>
      <c r="O1816">
        <v>3.4328154E-2</v>
      </c>
      <c r="P1816">
        <v>1.2554624E-2</v>
      </c>
      <c r="Q1816" t="str">
        <f t="shared" si="56"/>
        <v>01-09</v>
      </c>
      <c r="R1816" t="str">
        <f t="shared" si="57"/>
        <v>[fyEoGEPERdI]|01-09|Male|PopART.Rt.T_1|CY2024Q3</v>
      </c>
    </row>
    <row r="1817" spans="4:18" x14ac:dyDescent="0.2">
      <c r="D1817" t="s">
        <v>105</v>
      </c>
      <c r="E1817" t="s">
        <v>106</v>
      </c>
      <c r="F1817" t="s">
        <v>107</v>
      </c>
      <c r="G1817" t="s">
        <v>145</v>
      </c>
      <c r="H1817" t="s">
        <v>145</v>
      </c>
      <c r="I1817" t="s">
        <v>36</v>
      </c>
      <c r="J1817" t="s">
        <v>37</v>
      </c>
      <c r="K1817" t="s">
        <v>48</v>
      </c>
      <c r="L1817" t="s">
        <v>49</v>
      </c>
      <c r="M1817" t="s">
        <v>140</v>
      </c>
      <c r="N1817">
        <v>0.75747239600000005</v>
      </c>
      <c r="O1817">
        <v>3.0378817999999998E-2</v>
      </c>
      <c r="P1817">
        <v>1.2554624E-2</v>
      </c>
      <c r="Q1817" t="str">
        <f t="shared" si="56"/>
        <v>10-14</v>
      </c>
      <c r="R1817" t="str">
        <f t="shared" si="57"/>
        <v>[fyEoGEPERdI]|10-14|Male|PopART.Rt.T_1|CY2024Q3</v>
      </c>
    </row>
    <row r="1818" spans="4:18" x14ac:dyDescent="0.2">
      <c r="D1818" t="s">
        <v>105</v>
      </c>
      <c r="E1818" t="s">
        <v>106</v>
      </c>
      <c r="F1818" t="s">
        <v>107</v>
      </c>
      <c r="G1818" t="s">
        <v>145</v>
      </c>
      <c r="H1818" t="s">
        <v>145</v>
      </c>
      <c r="I1818" t="s">
        <v>38</v>
      </c>
      <c r="J1818" t="s">
        <v>39</v>
      </c>
      <c r="K1818" t="s">
        <v>48</v>
      </c>
      <c r="L1818" t="s">
        <v>49</v>
      </c>
      <c r="M1818" t="s">
        <v>140</v>
      </c>
      <c r="N1818">
        <v>0.91281844899999998</v>
      </c>
      <c r="O1818">
        <v>3.3249220000000003E-2</v>
      </c>
      <c r="P1818">
        <v>1.2554624E-2</v>
      </c>
      <c r="Q1818" t="str">
        <f t="shared" si="56"/>
        <v>15-24</v>
      </c>
      <c r="R1818" t="str">
        <f t="shared" si="57"/>
        <v>[fyEoGEPERdI]|15-24|Male|PopART.Rt.T_1|CY2024Q3</v>
      </c>
    </row>
    <row r="1819" spans="4:18" x14ac:dyDescent="0.2">
      <c r="D1819" t="s">
        <v>105</v>
      </c>
      <c r="E1819" t="s">
        <v>106</v>
      </c>
      <c r="F1819" t="s">
        <v>107</v>
      </c>
      <c r="G1819" t="s">
        <v>145</v>
      </c>
      <c r="H1819" t="s">
        <v>145</v>
      </c>
      <c r="I1819" t="s">
        <v>41</v>
      </c>
      <c r="J1819" t="s">
        <v>42</v>
      </c>
      <c r="K1819" t="s">
        <v>48</v>
      </c>
      <c r="L1819" t="s">
        <v>49</v>
      </c>
      <c r="M1819" t="s">
        <v>140</v>
      </c>
      <c r="N1819">
        <v>0.88782268799999997</v>
      </c>
      <c r="O1819">
        <v>4.0941445999999999E-2</v>
      </c>
      <c r="P1819">
        <v>1.2554624E-2</v>
      </c>
      <c r="Q1819" t="str">
        <f t="shared" si="56"/>
        <v>25-34</v>
      </c>
      <c r="R1819" t="str">
        <f t="shared" si="57"/>
        <v>[fyEoGEPERdI]|25-34|Male|PopART.Rt.T_1|CY2024Q3</v>
      </c>
    </row>
    <row r="1820" spans="4:18" x14ac:dyDescent="0.2">
      <c r="D1820" t="s">
        <v>105</v>
      </c>
      <c r="E1820" t="s">
        <v>106</v>
      </c>
      <c r="F1820" t="s">
        <v>107</v>
      </c>
      <c r="G1820" t="s">
        <v>145</v>
      </c>
      <c r="H1820" t="s">
        <v>145</v>
      </c>
      <c r="I1820" t="s">
        <v>43</v>
      </c>
      <c r="J1820" t="s">
        <v>44</v>
      </c>
      <c r="K1820" t="s">
        <v>48</v>
      </c>
      <c r="L1820" t="s">
        <v>49</v>
      </c>
      <c r="M1820" t="s">
        <v>140</v>
      </c>
      <c r="N1820">
        <v>0.93094442099999997</v>
      </c>
      <c r="O1820">
        <v>2.3304429000000002E-2</v>
      </c>
      <c r="P1820">
        <v>1.2554624E-2</v>
      </c>
      <c r="Q1820" t="str">
        <f t="shared" si="56"/>
        <v>35-49</v>
      </c>
      <c r="R1820" t="str">
        <f t="shared" si="57"/>
        <v>[fyEoGEPERdI]|35-49|Male|PopART.Rt.T_1|CY2024Q3</v>
      </c>
    </row>
    <row r="1821" spans="4:18" x14ac:dyDescent="0.2">
      <c r="D1821" t="s">
        <v>105</v>
      </c>
      <c r="E1821" t="s">
        <v>106</v>
      </c>
      <c r="F1821" t="s">
        <v>107</v>
      </c>
      <c r="G1821" t="s">
        <v>145</v>
      </c>
      <c r="H1821" t="s">
        <v>145</v>
      </c>
      <c r="I1821" t="s">
        <v>45</v>
      </c>
      <c r="J1821" t="s">
        <v>46</v>
      </c>
      <c r="K1821" t="s">
        <v>48</v>
      </c>
      <c r="L1821" t="s">
        <v>49</v>
      </c>
      <c r="M1821" t="s">
        <v>140</v>
      </c>
      <c r="N1821">
        <v>0.95286562399999997</v>
      </c>
      <c r="O1821">
        <v>1.8527320999999999E-2</v>
      </c>
      <c r="P1821">
        <v>1.2554624E-2</v>
      </c>
      <c r="Q1821" t="str">
        <f t="shared" si="56"/>
        <v>50+</v>
      </c>
      <c r="R1821" t="str">
        <f t="shared" si="57"/>
        <v>[fyEoGEPERdI]|50+|Male|PopART.Rt.T_1|CY2024Q3</v>
      </c>
    </row>
    <row r="1822" spans="4:18" x14ac:dyDescent="0.2">
      <c r="D1822" t="s">
        <v>108</v>
      </c>
      <c r="E1822" t="s">
        <v>109</v>
      </c>
      <c r="F1822" t="s">
        <v>110</v>
      </c>
      <c r="G1822" t="s">
        <v>145</v>
      </c>
      <c r="H1822" t="s">
        <v>145</v>
      </c>
      <c r="I1822" t="s">
        <v>28</v>
      </c>
      <c r="J1822" t="s">
        <v>29</v>
      </c>
      <c r="K1822" t="s">
        <v>30</v>
      </c>
      <c r="L1822" t="s">
        <v>31</v>
      </c>
      <c r="M1822" t="s">
        <v>140</v>
      </c>
      <c r="N1822">
        <v>0.77879976100000003</v>
      </c>
      <c r="O1822">
        <v>4.8249267999999998E-2</v>
      </c>
      <c r="P1822">
        <v>9.12316E-3</v>
      </c>
      <c r="Q1822" t="str">
        <f t="shared" si="56"/>
        <v>&lt;01</v>
      </c>
      <c r="R1822" t="str">
        <f t="shared" si="57"/>
        <v>[umc2n1Z4wNv]|&lt;01|Female|PopART.Rt.T_1|CY2024Q3</v>
      </c>
    </row>
    <row r="1823" spans="4:18" x14ac:dyDescent="0.2">
      <c r="D1823" t="s">
        <v>108</v>
      </c>
      <c r="E1823" t="s">
        <v>109</v>
      </c>
      <c r="F1823" t="s">
        <v>110</v>
      </c>
      <c r="G1823" t="s">
        <v>145</v>
      </c>
      <c r="H1823" t="s">
        <v>145</v>
      </c>
      <c r="I1823" t="s">
        <v>33</v>
      </c>
      <c r="J1823" t="s">
        <v>34</v>
      </c>
      <c r="K1823" t="s">
        <v>30</v>
      </c>
      <c r="L1823" t="s">
        <v>31</v>
      </c>
      <c r="M1823" t="s">
        <v>140</v>
      </c>
      <c r="N1823">
        <v>0.82570347600000005</v>
      </c>
      <c r="O1823">
        <v>4.6370494999999998E-2</v>
      </c>
      <c r="P1823">
        <v>9.12316E-3</v>
      </c>
      <c r="Q1823" t="str">
        <f t="shared" si="56"/>
        <v>01-09</v>
      </c>
      <c r="R1823" t="str">
        <f t="shared" si="57"/>
        <v>[umc2n1Z4wNv]|01-09|Female|PopART.Rt.T_1|CY2024Q3</v>
      </c>
    </row>
    <row r="1824" spans="4:18" x14ac:dyDescent="0.2">
      <c r="D1824" t="s">
        <v>108</v>
      </c>
      <c r="E1824" t="s">
        <v>109</v>
      </c>
      <c r="F1824" t="s">
        <v>110</v>
      </c>
      <c r="G1824" t="s">
        <v>145</v>
      </c>
      <c r="H1824" t="s">
        <v>145</v>
      </c>
      <c r="I1824" t="s">
        <v>36</v>
      </c>
      <c r="J1824" t="s">
        <v>37</v>
      </c>
      <c r="K1824" t="s">
        <v>30</v>
      </c>
      <c r="L1824" t="s">
        <v>31</v>
      </c>
      <c r="M1824" t="s">
        <v>140</v>
      </c>
      <c r="N1824">
        <v>0.85001977799999995</v>
      </c>
      <c r="O1824">
        <v>3.8423032000000003E-2</v>
      </c>
      <c r="P1824">
        <v>9.12316E-3</v>
      </c>
      <c r="Q1824" t="str">
        <f t="shared" si="56"/>
        <v>10-14</v>
      </c>
      <c r="R1824" t="str">
        <f t="shared" si="57"/>
        <v>[umc2n1Z4wNv]|10-14|Female|PopART.Rt.T_1|CY2024Q3</v>
      </c>
    </row>
    <row r="1825" spans="4:18" x14ac:dyDescent="0.2">
      <c r="D1825" t="s">
        <v>108</v>
      </c>
      <c r="E1825" t="s">
        <v>109</v>
      </c>
      <c r="F1825" t="s">
        <v>110</v>
      </c>
      <c r="G1825" t="s">
        <v>145</v>
      </c>
      <c r="H1825" t="s">
        <v>145</v>
      </c>
      <c r="I1825" t="s">
        <v>38</v>
      </c>
      <c r="J1825" t="s">
        <v>39</v>
      </c>
      <c r="K1825" t="s">
        <v>30</v>
      </c>
      <c r="L1825" t="s">
        <v>31</v>
      </c>
      <c r="M1825" t="s">
        <v>140</v>
      </c>
      <c r="N1825">
        <v>0.961381716</v>
      </c>
      <c r="O1825">
        <v>1.6921370000000002E-2</v>
      </c>
      <c r="P1825">
        <v>9.12316E-3</v>
      </c>
      <c r="Q1825" t="str">
        <f t="shared" si="56"/>
        <v>15-24</v>
      </c>
      <c r="R1825" t="str">
        <f t="shared" si="57"/>
        <v>[umc2n1Z4wNv]|15-24|Female|PopART.Rt.T_1|CY2024Q3</v>
      </c>
    </row>
    <row r="1826" spans="4:18" x14ac:dyDescent="0.2">
      <c r="D1826" t="s">
        <v>108</v>
      </c>
      <c r="E1826" t="s">
        <v>109</v>
      </c>
      <c r="F1826" t="s">
        <v>110</v>
      </c>
      <c r="G1826" t="s">
        <v>145</v>
      </c>
      <c r="H1826" t="s">
        <v>145</v>
      </c>
      <c r="I1826" t="s">
        <v>41</v>
      </c>
      <c r="J1826" t="s">
        <v>42</v>
      </c>
      <c r="K1826" t="s">
        <v>30</v>
      </c>
      <c r="L1826" t="s">
        <v>31</v>
      </c>
      <c r="M1826" t="s">
        <v>140</v>
      </c>
      <c r="N1826">
        <v>0.97979461000000001</v>
      </c>
      <c r="O1826">
        <v>8.7013939999999994E-3</v>
      </c>
      <c r="P1826">
        <v>9.12316E-3</v>
      </c>
      <c r="Q1826" t="str">
        <f t="shared" si="56"/>
        <v>25-34</v>
      </c>
      <c r="R1826" t="str">
        <f t="shared" si="57"/>
        <v>[umc2n1Z4wNv]|25-34|Female|PopART.Rt.T_1|CY2024Q3</v>
      </c>
    </row>
    <row r="1827" spans="4:18" x14ac:dyDescent="0.2">
      <c r="D1827" t="s">
        <v>108</v>
      </c>
      <c r="E1827" t="s">
        <v>109</v>
      </c>
      <c r="F1827" t="s">
        <v>110</v>
      </c>
      <c r="G1827" t="s">
        <v>145</v>
      </c>
      <c r="H1827" t="s">
        <v>145</v>
      </c>
      <c r="I1827" t="s">
        <v>43</v>
      </c>
      <c r="J1827" t="s">
        <v>44</v>
      </c>
      <c r="K1827" t="s">
        <v>30</v>
      </c>
      <c r="L1827" t="s">
        <v>31</v>
      </c>
      <c r="M1827" t="s">
        <v>140</v>
      </c>
      <c r="N1827">
        <v>0.99001191899999996</v>
      </c>
      <c r="O1827">
        <v>4.4248780000000001E-3</v>
      </c>
      <c r="P1827">
        <v>9.12316E-3</v>
      </c>
      <c r="Q1827" t="str">
        <f t="shared" si="56"/>
        <v>35-49</v>
      </c>
      <c r="R1827" t="str">
        <f t="shared" si="57"/>
        <v>[umc2n1Z4wNv]|35-49|Female|PopART.Rt.T_1|CY2024Q3</v>
      </c>
    </row>
    <row r="1828" spans="4:18" x14ac:dyDescent="0.2">
      <c r="D1828" t="s">
        <v>108</v>
      </c>
      <c r="E1828" t="s">
        <v>109</v>
      </c>
      <c r="F1828" t="s">
        <v>110</v>
      </c>
      <c r="G1828" t="s">
        <v>145</v>
      </c>
      <c r="H1828" t="s">
        <v>145</v>
      </c>
      <c r="I1828" t="s">
        <v>45</v>
      </c>
      <c r="J1828" t="s">
        <v>46</v>
      </c>
      <c r="K1828" t="s">
        <v>30</v>
      </c>
      <c r="L1828" t="s">
        <v>31</v>
      </c>
      <c r="M1828" t="s">
        <v>140</v>
      </c>
      <c r="N1828">
        <v>0.99320023499999999</v>
      </c>
      <c r="O1828">
        <v>3.0917679999999999E-3</v>
      </c>
      <c r="P1828">
        <v>9.12316E-3</v>
      </c>
      <c r="Q1828" t="str">
        <f t="shared" si="56"/>
        <v>50+</v>
      </c>
      <c r="R1828" t="str">
        <f t="shared" si="57"/>
        <v>[umc2n1Z4wNv]|50+|Female|PopART.Rt.T_1|CY2024Q3</v>
      </c>
    </row>
    <row r="1829" spans="4:18" x14ac:dyDescent="0.2">
      <c r="D1829" t="s">
        <v>108</v>
      </c>
      <c r="E1829" t="s">
        <v>109</v>
      </c>
      <c r="F1829" t="s">
        <v>110</v>
      </c>
      <c r="G1829" t="s">
        <v>145</v>
      </c>
      <c r="H1829" t="s">
        <v>145</v>
      </c>
      <c r="I1829" t="s">
        <v>28</v>
      </c>
      <c r="J1829" t="s">
        <v>29</v>
      </c>
      <c r="K1829" t="s">
        <v>48</v>
      </c>
      <c r="L1829" t="s">
        <v>49</v>
      </c>
      <c r="M1829" t="s">
        <v>140</v>
      </c>
      <c r="N1829">
        <v>0.77868139599999997</v>
      </c>
      <c r="O1829">
        <v>4.8456326000000001E-2</v>
      </c>
      <c r="P1829">
        <v>9.12316E-3</v>
      </c>
      <c r="Q1829" t="str">
        <f t="shared" si="56"/>
        <v>&lt;01</v>
      </c>
      <c r="R1829" t="str">
        <f t="shared" si="57"/>
        <v>[umc2n1Z4wNv]|&lt;01|Male|PopART.Rt.T_1|CY2024Q3</v>
      </c>
    </row>
    <row r="1830" spans="4:18" x14ac:dyDescent="0.2">
      <c r="D1830" t="s">
        <v>108</v>
      </c>
      <c r="E1830" t="s">
        <v>109</v>
      </c>
      <c r="F1830" t="s">
        <v>110</v>
      </c>
      <c r="G1830" t="s">
        <v>145</v>
      </c>
      <c r="H1830" t="s">
        <v>145</v>
      </c>
      <c r="I1830" t="s">
        <v>33</v>
      </c>
      <c r="J1830" t="s">
        <v>34</v>
      </c>
      <c r="K1830" t="s">
        <v>48</v>
      </c>
      <c r="L1830" t="s">
        <v>49</v>
      </c>
      <c r="M1830" t="s">
        <v>140</v>
      </c>
      <c r="N1830">
        <v>0.82560984999999998</v>
      </c>
      <c r="O1830">
        <v>4.6196593000000001E-2</v>
      </c>
      <c r="P1830">
        <v>9.12316E-3</v>
      </c>
      <c r="Q1830" t="str">
        <f t="shared" si="56"/>
        <v>01-09</v>
      </c>
      <c r="R1830" t="str">
        <f t="shared" si="57"/>
        <v>[umc2n1Z4wNv]|01-09|Male|PopART.Rt.T_1|CY2024Q3</v>
      </c>
    </row>
    <row r="1831" spans="4:18" x14ac:dyDescent="0.2">
      <c r="D1831" t="s">
        <v>108</v>
      </c>
      <c r="E1831" t="s">
        <v>109</v>
      </c>
      <c r="F1831" t="s">
        <v>110</v>
      </c>
      <c r="G1831" t="s">
        <v>145</v>
      </c>
      <c r="H1831" t="s">
        <v>145</v>
      </c>
      <c r="I1831" t="s">
        <v>36</v>
      </c>
      <c r="J1831" t="s">
        <v>37</v>
      </c>
      <c r="K1831" t="s">
        <v>48</v>
      </c>
      <c r="L1831" t="s">
        <v>49</v>
      </c>
      <c r="M1831" t="s">
        <v>140</v>
      </c>
      <c r="N1831">
        <v>0.84970562400000005</v>
      </c>
      <c r="O1831">
        <v>3.9548475999999999E-2</v>
      </c>
      <c r="P1831">
        <v>9.12316E-3</v>
      </c>
      <c r="Q1831" t="str">
        <f t="shared" si="56"/>
        <v>10-14</v>
      </c>
      <c r="R1831" t="str">
        <f t="shared" si="57"/>
        <v>[umc2n1Z4wNv]|10-14|Male|PopART.Rt.T_1|CY2024Q3</v>
      </c>
    </row>
    <row r="1832" spans="4:18" x14ac:dyDescent="0.2">
      <c r="D1832" t="s">
        <v>108</v>
      </c>
      <c r="E1832" t="s">
        <v>109</v>
      </c>
      <c r="F1832" t="s">
        <v>110</v>
      </c>
      <c r="G1832" t="s">
        <v>145</v>
      </c>
      <c r="H1832" t="s">
        <v>145</v>
      </c>
      <c r="I1832" t="s">
        <v>38</v>
      </c>
      <c r="J1832" t="s">
        <v>39</v>
      </c>
      <c r="K1832" t="s">
        <v>48</v>
      </c>
      <c r="L1832" t="s">
        <v>49</v>
      </c>
      <c r="M1832" t="s">
        <v>140</v>
      </c>
      <c r="N1832">
        <v>0.94219673599999998</v>
      </c>
      <c r="O1832">
        <v>2.2918297000000001E-2</v>
      </c>
      <c r="P1832">
        <v>9.12316E-3</v>
      </c>
      <c r="Q1832" t="str">
        <f t="shared" si="56"/>
        <v>15-24</v>
      </c>
      <c r="R1832" t="str">
        <f t="shared" si="57"/>
        <v>[umc2n1Z4wNv]|15-24|Male|PopART.Rt.T_1|CY2024Q3</v>
      </c>
    </row>
    <row r="1833" spans="4:18" x14ac:dyDescent="0.2">
      <c r="D1833" t="s">
        <v>108</v>
      </c>
      <c r="E1833" t="s">
        <v>109</v>
      </c>
      <c r="F1833" t="s">
        <v>110</v>
      </c>
      <c r="G1833" t="s">
        <v>145</v>
      </c>
      <c r="H1833" t="s">
        <v>145</v>
      </c>
      <c r="I1833" t="s">
        <v>41</v>
      </c>
      <c r="J1833" t="s">
        <v>42</v>
      </c>
      <c r="K1833" t="s">
        <v>48</v>
      </c>
      <c r="L1833" t="s">
        <v>49</v>
      </c>
      <c r="M1833" t="s">
        <v>140</v>
      </c>
      <c r="N1833">
        <v>0.92420764700000002</v>
      </c>
      <c r="O1833">
        <v>2.9814732E-2</v>
      </c>
      <c r="P1833">
        <v>9.12316E-3</v>
      </c>
      <c r="Q1833" t="str">
        <f t="shared" si="56"/>
        <v>25-34</v>
      </c>
      <c r="R1833" t="str">
        <f t="shared" si="57"/>
        <v>[umc2n1Z4wNv]|25-34|Male|PopART.Rt.T_1|CY2024Q3</v>
      </c>
    </row>
    <row r="1834" spans="4:18" x14ac:dyDescent="0.2">
      <c r="D1834" t="s">
        <v>108</v>
      </c>
      <c r="E1834" t="s">
        <v>109</v>
      </c>
      <c r="F1834" t="s">
        <v>110</v>
      </c>
      <c r="G1834" t="s">
        <v>145</v>
      </c>
      <c r="H1834" t="s">
        <v>145</v>
      </c>
      <c r="I1834" t="s">
        <v>43</v>
      </c>
      <c r="J1834" t="s">
        <v>44</v>
      </c>
      <c r="K1834" t="s">
        <v>48</v>
      </c>
      <c r="L1834" t="s">
        <v>49</v>
      </c>
      <c r="M1834" t="s">
        <v>140</v>
      </c>
      <c r="N1834">
        <v>0.95442503000000001</v>
      </c>
      <c r="O1834">
        <v>1.7126969999999998E-2</v>
      </c>
      <c r="P1834">
        <v>9.12316E-3</v>
      </c>
      <c r="Q1834" t="str">
        <f t="shared" si="56"/>
        <v>35-49</v>
      </c>
      <c r="R1834" t="str">
        <f t="shared" si="57"/>
        <v>[umc2n1Z4wNv]|35-49|Male|PopART.Rt.T_1|CY2024Q3</v>
      </c>
    </row>
    <row r="1835" spans="4:18" x14ac:dyDescent="0.2">
      <c r="D1835" t="s">
        <v>108</v>
      </c>
      <c r="E1835" t="s">
        <v>109</v>
      </c>
      <c r="F1835" t="s">
        <v>110</v>
      </c>
      <c r="G1835" t="s">
        <v>145</v>
      </c>
      <c r="H1835" t="s">
        <v>145</v>
      </c>
      <c r="I1835" t="s">
        <v>45</v>
      </c>
      <c r="J1835" t="s">
        <v>46</v>
      </c>
      <c r="K1835" t="s">
        <v>48</v>
      </c>
      <c r="L1835" t="s">
        <v>49</v>
      </c>
      <c r="M1835" t="s">
        <v>140</v>
      </c>
      <c r="N1835">
        <v>0.96930602600000004</v>
      </c>
      <c r="O1835">
        <v>1.2799672E-2</v>
      </c>
      <c r="P1835">
        <v>9.12316E-3</v>
      </c>
      <c r="Q1835" t="str">
        <f t="shared" si="56"/>
        <v>50+</v>
      </c>
      <c r="R1835" t="str">
        <f t="shared" si="57"/>
        <v>[umc2n1Z4wNv]|50+|Male|PopART.Rt.T_1|CY2024Q3</v>
      </c>
    </row>
    <row r="1836" spans="4:18" x14ac:dyDescent="0.2">
      <c r="D1836" t="s">
        <v>111</v>
      </c>
      <c r="E1836" t="s">
        <v>112</v>
      </c>
      <c r="F1836" t="s">
        <v>113</v>
      </c>
      <c r="G1836" t="s">
        <v>145</v>
      </c>
      <c r="H1836" t="s">
        <v>145</v>
      </c>
      <c r="I1836" t="s">
        <v>28</v>
      </c>
      <c r="J1836" t="s">
        <v>29</v>
      </c>
      <c r="K1836" t="s">
        <v>30</v>
      </c>
      <c r="L1836" t="s">
        <v>31</v>
      </c>
      <c r="M1836" t="s">
        <v>140</v>
      </c>
      <c r="N1836">
        <v>0.81518243800000001</v>
      </c>
      <c r="O1836">
        <v>3.9369559999999998E-2</v>
      </c>
      <c r="P1836">
        <v>7.7051979999999999E-3</v>
      </c>
      <c r="Q1836" t="str">
        <f t="shared" si="56"/>
        <v>&lt;01</v>
      </c>
      <c r="R1836" t="str">
        <f t="shared" si="57"/>
        <v>[AZyWpGzhcaA]|&lt;01|Female|PopART.Rt.T_1|CY2024Q3</v>
      </c>
    </row>
    <row r="1837" spans="4:18" x14ac:dyDescent="0.2">
      <c r="D1837" t="s">
        <v>111</v>
      </c>
      <c r="E1837" t="s">
        <v>112</v>
      </c>
      <c r="F1837" t="s">
        <v>113</v>
      </c>
      <c r="G1837" t="s">
        <v>145</v>
      </c>
      <c r="H1837" t="s">
        <v>145</v>
      </c>
      <c r="I1837" t="s">
        <v>33</v>
      </c>
      <c r="J1837" t="s">
        <v>34</v>
      </c>
      <c r="K1837" t="s">
        <v>30</v>
      </c>
      <c r="L1837" t="s">
        <v>31</v>
      </c>
      <c r="M1837" t="s">
        <v>140</v>
      </c>
      <c r="N1837">
        <v>0.86244275100000001</v>
      </c>
      <c r="O1837">
        <v>3.7714312999999999E-2</v>
      </c>
      <c r="P1837">
        <v>7.7051979999999999E-3</v>
      </c>
      <c r="Q1837" t="str">
        <f t="shared" si="56"/>
        <v>01-09</v>
      </c>
      <c r="R1837" t="str">
        <f t="shared" si="57"/>
        <v>[AZyWpGzhcaA]|01-09|Female|PopART.Rt.T_1|CY2024Q3</v>
      </c>
    </row>
    <row r="1838" spans="4:18" x14ac:dyDescent="0.2">
      <c r="D1838" t="s">
        <v>111</v>
      </c>
      <c r="E1838" t="s">
        <v>112</v>
      </c>
      <c r="F1838" t="s">
        <v>113</v>
      </c>
      <c r="G1838" t="s">
        <v>145</v>
      </c>
      <c r="H1838" t="s">
        <v>145</v>
      </c>
      <c r="I1838" t="s">
        <v>36</v>
      </c>
      <c r="J1838" t="s">
        <v>37</v>
      </c>
      <c r="K1838" t="s">
        <v>30</v>
      </c>
      <c r="L1838" t="s">
        <v>31</v>
      </c>
      <c r="M1838" t="s">
        <v>140</v>
      </c>
      <c r="N1838">
        <v>0.881937164</v>
      </c>
      <c r="O1838">
        <v>3.1073066999999999E-2</v>
      </c>
      <c r="P1838">
        <v>7.7051979999999999E-3</v>
      </c>
      <c r="Q1838" t="str">
        <f t="shared" si="56"/>
        <v>10-14</v>
      </c>
      <c r="R1838" t="str">
        <f t="shared" si="57"/>
        <v>[AZyWpGzhcaA]|10-14|Female|PopART.Rt.T_1|CY2024Q3</v>
      </c>
    </row>
    <row r="1839" spans="4:18" x14ac:dyDescent="0.2">
      <c r="D1839" t="s">
        <v>111</v>
      </c>
      <c r="E1839" t="s">
        <v>112</v>
      </c>
      <c r="F1839" t="s">
        <v>113</v>
      </c>
      <c r="G1839" t="s">
        <v>145</v>
      </c>
      <c r="H1839" t="s">
        <v>145</v>
      </c>
      <c r="I1839" t="s">
        <v>38</v>
      </c>
      <c r="J1839" t="s">
        <v>39</v>
      </c>
      <c r="K1839" t="s">
        <v>30</v>
      </c>
      <c r="L1839" t="s">
        <v>31</v>
      </c>
      <c r="M1839" t="s">
        <v>140</v>
      </c>
      <c r="N1839">
        <v>0.96984132700000003</v>
      </c>
      <c r="O1839">
        <v>1.347594E-2</v>
      </c>
      <c r="P1839">
        <v>7.7051979999999999E-3</v>
      </c>
      <c r="Q1839" t="str">
        <f t="shared" si="56"/>
        <v>15-24</v>
      </c>
      <c r="R1839" t="str">
        <f t="shared" si="57"/>
        <v>[AZyWpGzhcaA]|15-24|Female|PopART.Rt.T_1|CY2024Q3</v>
      </c>
    </row>
    <row r="1840" spans="4:18" x14ac:dyDescent="0.2">
      <c r="D1840" t="s">
        <v>111</v>
      </c>
      <c r="E1840" t="s">
        <v>112</v>
      </c>
      <c r="F1840" t="s">
        <v>113</v>
      </c>
      <c r="G1840" t="s">
        <v>145</v>
      </c>
      <c r="H1840" t="s">
        <v>145</v>
      </c>
      <c r="I1840" t="s">
        <v>41</v>
      </c>
      <c r="J1840" t="s">
        <v>42</v>
      </c>
      <c r="K1840" t="s">
        <v>30</v>
      </c>
      <c r="L1840" t="s">
        <v>31</v>
      </c>
      <c r="M1840" t="s">
        <v>140</v>
      </c>
      <c r="N1840">
        <v>0.98423557100000003</v>
      </c>
      <c r="O1840">
        <v>6.9618429999999997E-3</v>
      </c>
      <c r="P1840">
        <v>7.7051979999999999E-3</v>
      </c>
      <c r="Q1840" t="str">
        <f t="shared" si="56"/>
        <v>25-34</v>
      </c>
      <c r="R1840" t="str">
        <f t="shared" si="57"/>
        <v>[AZyWpGzhcaA]|25-34|Female|PopART.Rt.T_1|CY2024Q3</v>
      </c>
    </row>
    <row r="1841" spans="4:18" x14ac:dyDescent="0.2">
      <c r="D1841" t="s">
        <v>111</v>
      </c>
      <c r="E1841" t="s">
        <v>112</v>
      </c>
      <c r="F1841" t="s">
        <v>113</v>
      </c>
      <c r="G1841" t="s">
        <v>145</v>
      </c>
      <c r="H1841" t="s">
        <v>145</v>
      </c>
      <c r="I1841" t="s">
        <v>43</v>
      </c>
      <c r="J1841" t="s">
        <v>44</v>
      </c>
      <c r="K1841" t="s">
        <v>30</v>
      </c>
      <c r="L1841" t="s">
        <v>31</v>
      </c>
      <c r="M1841" t="s">
        <v>140</v>
      </c>
      <c r="N1841">
        <v>0.99220980000000003</v>
      </c>
      <c r="O1841">
        <v>3.4641619999999998E-3</v>
      </c>
      <c r="P1841">
        <v>7.7051979999999999E-3</v>
      </c>
      <c r="Q1841" t="str">
        <f t="shared" si="56"/>
        <v>35-49</v>
      </c>
      <c r="R1841" t="str">
        <f t="shared" si="57"/>
        <v>[AZyWpGzhcaA]|35-49|Female|PopART.Rt.T_1|CY2024Q3</v>
      </c>
    </row>
    <row r="1842" spans="4:18" x14ac:dyDescent="0.2">
      <c r="D1842" t="s">
        <v>111</v>
      </c>
      <c r="E1842" t="s">
        <v>112</v>
      </c>
      <c r="F1842" t="s">
        <v>113</v>
      </c>
      <c r="G1842" t="s">
        <v>145</v>
      </c>
      <c r="H1842" t="s">
        <v>145</v>
      </c>
      <c r="I1842" t="s">
        <v>45</v>
      </c>
      <c r="J1842" t="s">
        <v>46</v>
      </c>
      <c r="K1842" t="s">
        <v>30</v>
      </c>
      <c r="L1842" t="s">
        <v>31</v>
      </c>
      <c r="M1842" t="s">
        <v>140</v>
      </c>
      <c r="N1842">
        <v>0.99472093100000003</v>
      </c>
      <c r="O1842">
        <v>2.3847220000000001E-3</v>
      </c>
      <c r="P1842">
        <v>7.7051979999999999E-3</v>
      </c>
      <c r="Q1842" t="str">
        <f t="shared" si="56"/>
        <v>50+</v>
      </c>
      <c r="R1842" t="str">
        <f t="shared" si="57"/>
        <v>[AZyWpGzhcaA]|50+|Female|PopART.Rt.T_1|CY2024Q3</v>
      </c>
    </row>
    <row r="1843" spans="4:18" x14ac:dyDescent="0.2">
      <c r="D1843" t="s">
        <v>111</v>
      </c>
      <c r="E1843" t="s">
        <v>112</v>
      </c>
      <c r="F1843" t="s">
        <v>113</v>
      </c>
      <c r="G1843" t="s">
        <v>145</v>
      </c>
      <c r="H1843" t="s">
        <v>145</v>
      </c>
      <c r="I1843" t="s">
        <v>28</v>
      </c>
      <c r="J1843" t="s">
        <v>29</v>
      </c>
      <c r="K1843" t="s">
        <v>48</v>
      </c>
      <c r="L1843" t="s">
        <v>49</v>
      </c>
      <c r="M1843" t="s">
        <v>140</v>
      </c>
      <c r="N1843">
        <v>0.815178191</v>
      </c>
      <c r="O1843">
        <v>3.9674909000000001E-2</v>
      </c>
      <c r="P1843">
        <v>7.7051979999999999E-3</v>
      </c>
      <c r="Q1843" t="str">
        <f t="shared" si="56"/>
        <v>&lt;01</v>
      </c>
      <c r="R1843" t="str">
        <f t="shared" si="57"/>
        <v>[AZyWpGzhcaA]|&lt;01|Male|PopART.Rt.T_1|CY2024Q3</v>
      </c>
    </row>
    <row r="1844" spans="4:18" x14ac:dyDescent="0.2">
      <c r="D1844" t="s">
        <v>111</v>
      </c>
      <c r="E1844" t="s">
        <v>112</v>
      </c>
      <c r="F1844" t="s">
        <v>113</v>
      </c>
      <c r="G1844" t="s">
        <v>145</v>
      </c>
      <c r="H1844" t="s">
        <v>145</v>
      </c>
      <c r="I1844" t="s">
        <v>33</v>
      </c>
      <c r="J1844" t="s">
        <v>34</v>
      </c>
      <c r="K1844" t="s">
        <v>48</v>
      </c>
      <c r="L1844" t="s">
        <v>49</v>
      </c>
      <c r="M1844" t="s">
        <v>140</v>
      </c>
      <c r="N1844">
        <v>0.86244139099999995</v>
      </c>
      <c r="O1844">
        <v>3.7758092E-2</v>
      </c>
      <c r="P1844">
        <v>7.7051979999999999E-3</v>
      </c>
      <c r="Q1844" t="str">
        <f t="shared" si="56"/>
        <v>01-09</v>
      </c>
      <c r="R1844" t="str">
        <f t="shared" si="57"/>
        <v>[AZyWpGzhcaA]|01-09|Male|PopART.Rt.T_1|CY2024Q3</v>
      </c>
    </row>
    <row r="1845" spans="4:18" x14ac:dyDescent="0.2">
      <c r="D1845" t="s">
        <v>111</v>
      </c>
      <c r="E1845" t="s">
        <v>112</v>
      </c>
      <c r="F1845" t="s">
        <v>113</v>
      </c>
      <c r="G1845" t="s">
        <v>145</v>
      </c>
      <c r="H1845" t="s">
        <v>145</v>
      </c>
      <c r="I1845" t="s">
        <v>36</v>
      </c>
      <c r="J1845" t="s">
        <v>37</v>
      </c>
      <c r="K1845" t="s">
        <v>48</v>
      </c>
      <c r="L1845" t="s">
        <v>49</v>
      </c>
      <c r="M1845" t="s">
        <v>140</v>
      </c>
      <c r="N1845">
        <v>0.88175382400000002</v>
      </c>
      <c r="O1845">
        <v>3.1964303999999999E-2</v>
      </c>
      <c r="P1845">
        <v>7.7051979999999999E-3</v>
      </c>
      <c r="Q1845" t="str">
        <f t="shared" si="56"/>
        <v>10-14</v>
      </c>
      <c r="R1845" t="str">
        <f t="shared" si="57"/>
        <v>[AZyWpGzhcaA]|10-14|Male|PopART.Rt.T_1|CY2024Q3</v>
      </c>
    </row>
    <row r="1846" spans="4:18" x14ac:dyDescent="0.2">
      <c r="D1846" t="s">
        <v>111</v>
      </c>
      <c r="E1846" t="s">
        <v>112</v>
      </c>
      <c r="F1846" t="s">
        <v>113</v>
      </c>
      <c r="G1846" t="s">
        <v>145</v>
      </c>
      <c r="H1846" t="s">
        <v>145</v>
      </c>
      <c r="I1846" t="s">
        <v>38</v>
      </c>
      <c r="J1846" t="s">
        <v>39</v>
      </c>
      <c r="K1846" t="s">
        <v>48</v>
      </c>
      <c r="L1846" t="s">
        <v>49</v>
      </c>
      <c r="M1846" t="s">
        <v>140</v>
      </c>
      <c r="N1846">
        <v>0.95348282399999995</v>
      </c>
      <c r="O1846">
        <v>1.9267447E-2</v>
      </c>
      <c r="P1846">
        <v>7.7051979999999999E-3</v>
      </c>
      <c r="Q1846" t="str">
        <f t="shared" si="56"/>
        <v>15-24</v>
      </c>
      <c r="R1846" t="str">
        <f t="shared" si="57"/>
        <v>[AZyWpGzhcaA]|15-24|Male|PopART.Rt.T_1|CY2024Q3</v>
      </c>
    </row>
    <row r="1847" spans="4:18" x14ac:dyDescent="0.2">
      <c r="D1847" t="s">
        <v>111</v>
      </c>
      <c r="E1847" t="s">
        <v>112</v>
      </c>
      <c r="F1847" t="s">
        <v>113</v>
      </c>
      <c r="G1847" t="s">
        <v>145</v>
      </c>
      <c r="H1847" t="s">
        <v>145</v>
      </c>
      <c r="I1847" t="s">
        <v>41</v>
      </c>
      <c r="J1847" t="s">
        <v>42</v>
      </c>
      <c r="K1847" t="s">
        <v>48</v>
      </c>
      <c r="L1847" t="s">
        <v>49</v>
      </c>
      <c r="M1847" t="s">
        <v>140</v>
      </c>
      <c r="N1847">
        <v>0.93871762599999997</v>
      </c>
      <c r="O1847">
        <v>2.5625512E-2</v>
      </c>
      <c r="P1847">
        <v>7.7051979999999999E-3</v>
      </c>
      <c r="Q1847" t="str">
        <f t="shared" si="56"/>
        <v>25-34</v>
      </c>
      <c r="R1847" t="str">
        <f t="shared" si="57"/>
        <v>[AZyWpGzhcaA]|25-34|Male|PopART.Rt.T_1|CY2024Q3</v>
      </c>
    </row>
    <row r="1848" spans="4:18" x14ac:dyDescent="0.2">
      <c r="D1848" t="s">
        <v>111</v>
      </c>
      <c r="E1848" t="s">
        <v>112</v>
      </c>
      <c r="F1848" t="s">
        <v>113</v>
      </c>
      <c r="G1848" t="s">
        <v>145</v>
      </c>
      <c r="H1848" t="s">
        <v>145</v>
      </c>
      <c r="I1848" t="s">
        <v>43</v>
      </c>
      <c r="J1848" t="s">
        <v>44</v>
      </c>
      <c r="K1848" t="s">
        <v>48</v>
      </c>
      <c r="L1848" t="s">
        <v>49</v>
      </c>
      <c r="M1848" t="s">
        <v>140</v>
      </c>
      <c r="N1848">
        <v>0.96324561200000003</v>
      </c>
      <c r="O1848">
        <v>1.4552771000000001E-2</v>
      </c>
      <c r="P1848">
        <v>7.7051979999999999E-3</v>
      </c>
      <c r="Q1848" t="str">
        <f t="shared" si="56"/>
        <v>35-49</v>
      </c>
      <c r="R1848" t="str">
        <f t="shared" si="57"/>
        <v>[AZyWpGzhcaA]|35-49|Male|PopART.Rt.T_1|CY2024Q3</v>
      </c>
    </row>
    <row r="1849" spans="4:18" x14ac:dyDescent="0.2">
      <c r="D1849" t="s">
        <v>111</v>
      </c>
      <c r="E1849" t="s">
        <v>112</v>
      </c>
      <c r="F1849" t="s">
        <v>113</v>
      </c>
      <c r="G1849" t="s">
        <v>145</v>
      </c>
      <c r="H1849" t="s">
        <v>145</v>
      </c>
      <c r="I1849" t="s">
        <v>45</v>
      </c>
      <c r="J1849" t="s">
        <v>46</v>
      </c>
      <c r="K1849" t="s">
        <v>48</v>
      </c>
      <c r="L1849" t="s">
        <v>49</v>
      </c>
      <c r="M1849" t="s">
        <v>140</v>
      </c>
      <c r="N1849">
        <v>0.97539912299999998</v>
      </c>
      <c r="O1849">
        <v>1.0820565000000001E-2</v>
      </c>
      <c r="P1849">
        <v>7.7051979999999999E-3</v>
      </c>
      <c r="Q1849" t="str">
        <f t="shared" si="56"/>
        <v>50+</v>
      </c>
      <c r="R1849" t="str">
        <f t="shared" si="57"/>
        <v>[AZyWpGzhcaA]|50+|Male|PopART.Rt.T_1|CY2024Q3</v>
      </c>
    </row>
    <row r="1850" spans="4:18" x14ac:dyDescent="0.2">
      <c r="D1850" t="s">
        <v>114</v>
      </c>
      <c r="E1850" t="s">
        <v>115</v>
      </c>
      <c r="F1850" t="s">
        <v>116</v>
      </c>
      <c r="G1850" t="s">
        <v>145</v>
      </c>
      <c r="H1850" t="s">
        <v>145</v>
      </c>
      <c r="I1850" t="s">
        <v>28</v>
      </c>
      <c r="J1850" t="s">
        <v>29</v>
      </c>
      <c r="K1850" t="s">
        <v>30</v>
      </c>
      <c r="L1850" t="s">
        <v>31</v>
      </c>
      <c r="M1850" t="s">
        <v>140</v>
      </c>
      <c r="N1850">
        <v>0.66735657100000001</v>
      </c>
      <c r="O1850">
        <v>5.5507566000000001E-2</v>
      </c>
      <c r="P1850">
        <v>1.4322094E-2</v>
      </c>
      <c r="Q1850" t="str">
        <f t="shared" si="56"/>
        <v>&lt;01</v>
      </c>
      <c r="R1850" t="str">
        <f t="shared" si="57"/>
        <v>[ir8wuHHzoSs]|&lt;01|Female|PopART.Rt.T_1|CY2024Q3</v>
      </c>
    </row>
    <row r="1851" spans="4:18" x14ac:dyDescent="0.2">
      <c r="D1851" t="s">
        <v>114</v>
      </c>
      <c r="E1851" t="s">
        <v>115</v>
      </c>
      <c r="F1851" t="s">
        <v>116</v>
      </c>
      <c r="G1851" t="s">
        <v>145</v>
      </c>
      <c r="H1851" t="s">
        <v>145</v>
      </c>
      <c r="I1851" t="s">
        <v>33</v>
      </c>
      <c r="J1851" t="s">
        <v>34</v>
      </c>
      <c r="K1851" t="s">
        <v>30</v>
      </c>
      <c r="L1851" t="s">
        <v>31</v>
      </c>
      <c r="M1851" t="s">
        <v>140</v>
      </c>
      <c r="N1851">
        <v>0.71466822600000002</v>
      </c>
      <c r="O1851">
        <v>5.3620096999999999E-2</v>
      </c>
      <c r="P1851">
        <v>1.4322094E-2</v>
      </c>
      <c r="Q1851" t="str">
        <f t="shared" si="56"/>
        <v>01-09</v>
      </c>
      <c r="R1851" t="str">
        <f t="shared" si="57"/>
        <v>[ir8wuHHzoSs]|01-09|Female|PopART.Rt.T_1|CY2024Q3</v>
      </c>
    </row>
    <row r="1852" spans="4:18" x14ac:dyDescent="0.2">
      <c r="D1852" t="s">
        <v>114</v>
      </c>
      <c r="E1852" t="s">
        <v>115</v>
      </c>
      <c r="F1852" t="s">
        <v>116</v>
      </c>
      <c r="G1852" t="s">
        <v>145</v>
      </c>
      <c r="H1852" t="s">
        <v>145</v>
      </c>
      <c r="I1852" t="s">
        <v>36</v>
      </c>
      <c r="J1852" t="s">
        <v>37</v>
      </c>
      <c r="K1852" t="s">
        <v>30</v>
      </c>
      <c r="L1852" t="s">
        <v>31</v>
      </c>
      <c r="M1852" t="s">
        <v>140</v>
      </c>
      <c r="N1852">
        <v>0.75042192699999999</v>
      </c>
      <c r="O1852">
        <v>4.4924810000000003E-2</v>
      </c>
      <c r="P1852">
        <v>1.4322094E-2</v>
      </c>
      <c r="Q1852" t="str">
        <f t="shared" si="56"/>
        <v>10-14</v>
      </c>
      <c r="R1852" t="str">
        <f t="shared" si="57"/>
        <v>[ir8wuHHzoSs]|10-14|Female|PopART.Rt.T_1|CY2024Q3</v>
      </c>
    </row>
    <row r="1853" spans="4:18" x14ac:dyDescent="0.2">
      <c r="D1853" t="s">
        <v>114</v>
      </c>
      <c r="E1853" t="s">
        <v>115</v>
      </c>
      <c r="F1853" t="s">
        <v>116</v>
      </c>
      <c r="G1853" t="s">
        <v>145</v>
      </c>
      <c r="H1853" t="s">
        <v>145</v>
      </c>
      <c r="I1853" t="s">
        <v>38</v>
      </c>
      <c r="J1853" t="s">
        <v>39</v>
      </c>
      <c r="K1853" t="s">
        <v>30</v>
      </c>
      <c r="L1853" t="s">
        <v>31</v>
      </c>
      <c r="M1853" t="s">
        <v>140</v>
      </c>
      <c r="N1853">
        <v>0.936701966</v>
      </c>
      <c r="O1853">
        <v>2.7126332999999999E-2</v>
      </c>
      <c r="P1853">
        <v>1.4322094E-2</v>
      </c>
      <c r="Q1853" t="str">
        <f t="shared" si="56"/>
        <v>15-24</v>
      </c>
      <c r="R1853" t="str">
        <f t="shared" si="57"/>
        <v>[ir8wuHHzoSs]|15-24|Female|PopART.Rt.T_1|CY2024Q3</v>
      </c>
    </row>
    <row r="1854" spans="4:18" x14ac:dyDescent="0.2">
      <c r="D1854" t="s">
        <v>114</v>
      </c>
      <c r="E1854" t="s">
        <v>115</v>
      </c>
      <c r="F1854" t="s">
        <v>116</v>
      </c>
      <c r="G1854" t="s">
        <v>145</v>
      </c>
      <c r="H1854" t="s">
        <v>145</v>
      </c>
      <c r="I1854" t="s">
        <v>41</v>
      </c>
      <c r="J1854" t="s">
        <v>42</v>
      </c>
      <c r="K1854" t="s">
        <v>30</v>
      </c>
      <c r="L1854" t="s">
        <v>31</v>
      </c>
      <c r="M1854" t="s">
        <v>140</v>
      </c>
      <c r="N1854">
        <v>0.966175067</v>
      </c>
      <c r="O1854">
        <v>1.4364411000000001E-2</v>
      </c>
      <c r="P1854">
        <v>1.4322094E-2</v>
      </c>
      <c r="Q1854" t="str">
        <f t="shared" si="56"/>
        <v>25-34</v>
      </c>
      <c r="R1854" t="str">
        <f t="shared" si="57"/>
        <v>[ir8wuHHzoSs]|25-34|Female|PopART.Rt.T_1|CY2024Q3</v>
      </c>
    </row>
    <row r="1855" spans="4:18" x14ac:dyDescent="0.2">
      <c r="D1855" t="s">
        <v>114</v>
      </c>
      <c r="E1855" t="s">
        <v>115</v>
      </c>
      <c r="F1855" t="s">
        <v>116</v>
      </c>
      <c r="G1855" t="s">
        <v>145</v>
      </c>
      <c r="H1855" t="s">
        <v>145</v>
      </c>
      <c r="I1855" t="s">
        <v>43</v>
      </c>
      <c r="J1855" t="s">
        <v>44</v>
      </c>
      <c r="K1855" t="s">
        <v>30</v>
      </c>
      <c r="L1855" t="s">
        <v>31</v>
      </c>
      <c r="M1855" t="s">
        <v>140</v>
      </c>
      <c r="N1855">
        <v>0.98324480999999997</v>
      </c>
      <c r="O1855">
        <v>7.3637260000000001E-3</v>
      </c>
      <c r="P1855">
        <v>1.4322094E-2</v>
      </c>
      <c r="Q1855" t="str">
        <f t="shared" si="56"/>
        <v>35-49</v>
      </c>
      <c r="R1855" t="str">
        <f t="shared" si="57"/>
        <v>[ir8wuHHzoSs]|35-49|Female|PopART.Rt.T_1|CY2024Q3</v>
      </c>
    </row>
    <row r="1856" spans="4:18" x14ac:dyDescent="0.2">
      <c r="D1856" t="s">
        <v>114</v>
      </c>
      <c r="E1856" t="s">
        <v>115</v>
      </c>
      <c r="F1856" t="s">
        <v>116</v>
      </c>
      <c r="G1856" t="s">
        <v>145</v>
      </c>
      <c r="H1856" t="s">
        <v>145</v>
      </c>
      <c r="I1856" t="s">
        <v>45</v>
      </c>
      <c r="J1856" t="s">
        <v>46</v>
      </c>
      <c r="K1856" t="s">
        <v>30</v>
      </c>
      <c r="L1856" t="s">
        <v>31</v>
      </c>
      <c r="M1856" t="s">
        <v>140</v>
      </c>
      <c r="N1856">
        <v>0.98854152900000003</v>
      </c>
      <c r="O1856">
        <v>5.0524890000000003E-3</v>
      </c>
      <c r="P1856">
        <v>1.4322094E-2</v>
      </c>
      <c r="Q1856" t="str">
        <f t="shared" si="56"/>
        <v>50+</v>
      </c>
      <c r="R1856" t="str">
        <f t="shared" si="57"/>
        <v>[ir8wuHHzoSs]|50+|Female|PopART.Rt.T_1|CY2024Q3</v>
      </c>
    </row>
    <row r="1857" spans="4:18" x14ac:dyDescent="0.2">
      <c r="D1857" t="s">
        <v>114</v>
      </c>
      <c r="E1857" t="s">
        <v>115</v>
      </c>
      <c r="F1857" t="s">
        <v>116</v>
      </c>
      <c r="G1857" t="s">
        <v>145</v>
      </c>
      <c r="H1857" t="s">
        <v>145</v>
      </c>
      <c r="I1857" t="s">
        <v>28</v>
      </c>
      <c r="J1857" t="s">
        <v>29</v>
      </c>
      <c r="K1857" t="s">
        <v>48</v>
      </c>
      <c r="L1857" t="s">
        <v>49</v>
      </c>
      <c r="M1857" t="s">
        <v>140</v>
      </c>
      <c r="N1857">
        <v>0.66754651899999995</v>
      </c>
      <c r="O1857">
        <v>5.5442828E-2</v>
      </c>
      <c r="P1857">
        <v>1.4322094E-2</v>
      </c>
      <c r="Q1857" t="str">
        <f t="shared" si="56"/>
        <v>&lt;01</v>
      </c>
      <c r="R1857" t="str">
        <f t="shared" si="57"/>
        <v>[ir8wuHHzoSs]|&lt;01|Male|PopART.Rt.T_1|CY2024Q3</v>
      </c>
    </row>
    <row r="1858" spans="4:18" x14ac:dyDescent="0.2">
      <c r="D1858" t="s">
        <v>114</v>
      </c>
      <c r="E1858" t="s">
        <v>115</v>
      </c>
      <c r="F1858" t="s">
        <v>116</v>
      </c>
      <c r="G1858" t="s">
        <v>145</v>
      </c>
      <c r="H1858" t="s">
        <v>145</v>
      </c>
      <c r="I1858" t="s">
        <v>33</v>
      </c>
      <c r="J1858" t="s">
        <v>34</v>
      </c>
      <c r="K1858" t="s">
        <v>48</v>
      </c>
      <c r="L1858" t="s">
        <v>49</v>
      </c>
      <c r="M1858" t="s">
        <v>140</v>
      </c>
      <c r="N1858">
        <v>0.71487340499999996</v>
      </c>
      <c r="O1858">
        <v>5.3003871000000001E-2</v>
      </c>
      <c r="P1858">
        <v>1.4322094E-2</v>
      </c>
      <c r="Q1858" t="str">
        <f t="shared" si="56"/>
        <v>01-09</v>
      </c>
      <c r="R1858" t="str">
        <f t="shared" si="57"/>
        <v>[ir8wuHHzoSs]|01-09|Male|PopART.Rt.T_1|CY2024Q3</v>
      </c>
    </row>
    <row r="1859" spans="4:18" x14ac:dyDescent="0.2">
      <c r="D1859" t="s">
        <v>114</v>
      </c>
      <c r="E1859" t="s">
        <v>115</v>
      </c>
      <c r="F1859" t="s">
        <v>116</v>
      </c>
      <c r="G1859" t="s">
        <v>145</v>
      </c>
      <c r="H1859" t="s">
        <v>145</v>
      </c>
      <c r="I1859" t="s">
        <v>36</v>
      </c>
      <c r="J1859" t="s">
        <v>37</v>
      </c>
      <c r="K1859" t="s">
        <v>48</v>
      </c>
      <c r="L1859" t="s">
        <v>49</v>
      </c>
      <c r="M1859" t="s">
        <v>140</v>
      </c>
      <c r="N1859">
        <v>0.750226689</v>
      </c>
      <c r="O1859">
        <v>4.6576574000000003E-2</v>
      </c>
      <c r="P1859">
        <v>1.4322094E-2</v>
      </c>
      <c r="Q1859" t="str">
        <f t="shared" ref="Q1859:Q1922" si="58">SUBSTITUTE(SUBSTITUTE($I1859,CHAR(61),""),CHAR(34),"")</f>
        <v>10-14</v>
      </c>
      <c r="R1859" t="str">
        <f t="shared" ref="R1859:R1922" si="59">IF($D1859&lt;&gt;"","["&amp;$E1859&amp;"]"&amp;"|"&amp;$Q1859&amp;"|"&amp;$K1859&amp;"|"&amp;$G1859&amp;"|"&amp;IF($G1859="TX_CURR_SUBNAT.R","CY2023Q4",$M1859),"")</f>
        <v>[ir8wuHHzoSs]|10-14|Male|PopART.Rt.T_1|CY2024Q3</v>
      </c>
    </row>
    <row r="1860" spans="4:18" x14ac:dyDescent="0.2">
      <c r="D1860" t="s">
        <v>114</v>
      </c>
      <c r="E1860" t="s">
        <v>115</v>
      </c>
      <c r="F1860" t="s">
        <v>116</v>
      </c>
      <c r="G1860" t="s">
        <v>145</v>
      </c>
      <c r="H1860" t="s">
        <v>145</v>
      </c>
      <c r="I1860" t="s">
        <v>38</v>
      </c>
      <c r="J1860" t="s">
        <v>39</v>
      </c>
      <c r="K1860" t="s">
        <v>48</v>
      </c>
      <c r="L1860" t="s">
        <v>49</v>
      </c>
      <c r="M1860" t="s">
        <v>140</v>
      </c>
      <c r="N1860">
        <v>0.90392237399999997</v>
      </c>
      <c r="O1860">
        <v>3.6920316000000002E-2</v>
      </c>
      <c r="P1860">
        <v>1.4322094E-2</v>
      </c>
      <c r="Q1860" t="str">
        <f t="shared" si="58"/>
        <v>15-24</v>
      </c>
      <c r="R1860" t="str">
        <f t="shared" si="59"/>
        <v>[ir8wuHHzoSs]|15-24|Male|PopART.Rt.T_1|CY2024Q3</v>
      </c>
    </row>
    <row r="1861" spans="4:18" x14ac:dyDescent="0.2">
      <c r="D1861" t="s">
        <v>114</v>
      </c>
      <c r="E1861" t="s">
        <v>115</v>
      </c>
      <c r="F1861" t="s">
        <v>116</v>
      </c>
      <c r="G1861" t="s">
        <v>145</v>
      </c>
      <c r="H1861" t="s">
        <v>145</v>
      </c>
      <c r="I1861" t="s">
        <v>41</v>
      </c>
      <c r="J1861" t="s">
        <v>42</v>
      </c>
      <c r="K1861" t="s">
        <v>48</v>
      </c>
      <c r="L1861" t="s">
        <v>49</v>
      </c>
      <c r="M1861" t="s">
        <v>140</v>
      </c>
      <c r="N1861">
        <v>0.875072348</v>
      </c>
      <c r="O1861">
        <v>4.6989654999999998E-2</v>
      </c>
      <c r="P1861">
        <v>1.4322094E-2</v>
      </c>
      <c r="Q1861" t="str">
        <f t="shared" si="58"/>
        <v>25-34</v>
      </c>
      <c r="R1861" t="str">
        <f t="shared" si="59"/>
        <v>[ir8wuHHzoSs]|25-34|Male|PopART.Rt.T_1|CY2024Q3</v>
      </c>
    </row>
    <row r="1862" spans="4:18" x14ac:dyDescent="0.2">
      <c r="D1862" t="s">
        <v>114</v>
      </c>
      <c r="E1862" t="s">
        <v>115</v>
      </c>
      <c r="F1862" t="s">
        <v>116</v>
      </c>
      <c r="G1862" t="s">
        <v>145</v>
      </c>
      <c r="H1862" t="s">
        <v>145</v>
      </c>
      <c r="I1862" t="s">
        <v>43</v>
      </c>
      <c r="J1862" t="s">
        <v>44</v>
      </c>
      <c r="K1862" t="s">
        <v>48</v>
      </c>
      <c r="L1862" t="s">
        <v>49</v>
      </c>
      <c r="M1862" t="s">
        <v>140</v>
      </c>
      <c r="N1862">
        <v>0.923680426</v>
      </c>
      <c r="O1862">
        <v>2.5670648000000001E-2</v>
      </c>
      <c r="P1862">
        <v>1.4322094E-2</v>
      </c>
      <c r="Q1862" t="str">
        <f t="shared" si="58"/>
        <v>35-49</v>
      </c>
      <c r="R1862" t="str">
        <f t="shared" si="59"/>
        <v>[ir8wuHHzoSs]|35-49|Male|PopART.Rt.T_1|CY2024Q3</v>
      </c>
    </row>
    <row r="1863" spans="4:18" x14ac:dyDescent="0.2">
      <c r="D1863" t="s">
        <v>114</v>
      </c>
      <c r="E1863" t="s">
        <v>115</v>
      </c>
      <c r="F1863" t="s">
        <v>116</v>
      </c>
      <c r="G1863" t="s">
        <v>145</v>
      </c>
      <c r="H1863" t="s">
        <v>145</v>
      </c>
      <c r="I1863" t="s">
        <v>45</v>
      </c>
      <c r="J1863" t="s">
        <v>46</v>
      </c>
      <c r="K1863" t="s">
        <v>48</v>
      </c>
      <c r="L1863" t="s">
        <v>49</v>
      </c>
      <c r="M1863" t="s">
        <v>140</v>
      </c>
      <c r="N1863">
        <v>0.94778467099999997</v>
      </c>
      <c r="O1863">
        <v>2.1067637E-2</v>
      </c>
      <c r="P1863">
        <v>1.4322094E-2</v>
      </c>
      <c r="Q1863" t="str">
        <f t="shared" si="58"/>
        <v>50+</v>
      </c>
      <c r="R1863" t="str">
        <f t="shared" si="59"/>
        <v>[ir8wuHHzoSs]|50+|Male|PopART.Rt.T_1|CY2024Q3</v>
      </c>
    </row>
    <row r="1864" spans="4:18" x14ac:dyDescent="0.2">
      <c r="D1864" t="s">
        <v>117</v>
      </c>
      <c r="E1864" t="s">
        <v>118</v>
      </c>
      <c r="F1864" t="s">
        <v>119</v>
      </c>
      <c r="G1864" t="s">
        <v>145</v>
      </c>
      <c r="H1864" t="s">
        <v>145</v>
      </c>
      <c r="I1864" t="s">
        <v>28</v>
      </c>
      <c r="J1864" t="s">
        <v>29</v>
      </c>
      <c r="K1864" t="s">
        <v>30</v>
      </c>
      <c r="L1864" t="s">
        <v>31</v>
      </c>
      <c r="M1864" t="s">
        <v>140</v>
      </c>
      <c r="N1864">
        <v>0.45869770199999998</v>
      </c>
      <c r="O1864">
        <v>6.2760489000000003E-2</v>
      </c>
      <c r="P1864">
        <v>1.5354781E-2</v>
      </c>
      <c r="Q1864" t="str">
        <f t="shared" si="58"/>
        <v>&lt;01</v>
      </c>
      <c r="R1864" t="str">
        <f t="shared" si="59"/>
        <v>[oiPR2CiVJbf]|&lt;01|Female|PopART.Rt.T_1|CY2024Q3</v>
      </c>
    </row>
    <row r="1865" spans="4:18" x14ac:dyDescent="0.2">
      <c r="D1865" t="s">
        <v>117</v>
      </c>
      <c r="E1865" t="s">
        <v>118</v>
      </c>
      <c r="F1865" t="s">
        <v>119</v>
      </c>
      <c r="G1865" t="s">
        <v>145</v>
      </c>
      <c r="H1865" t="s">
        <v>145</v>
      </c>
      <c r="I1865" t="s">
        <v>33</v>
      </c>
      <c r="J1865" t="s">
        <v>34</v>
      </c>
      <c r="K1865" t="s">
        <v>30</v>
      </c>
      <c r="L1865" t="s">
        <v>31</v>
      </c>
      <c r="M1865" t="s">
        <v>140</v>
      </c>
      <c r="N1865">
        <v>0.49926406099999998</v>
      </c>
      <c r="O1865">
        <v>6.1354388000000003E-2</v>
      </c>
      <c r="P1865">
        <v>1.5354781E-2</v>
      </c>
      <c r="Q1865" t="str">
        <f t="shared" si="58"/>
        <v>01-09</v>
      </c>
      <c r="R1865" t="str">
        <f t="shared" si="59"/>
        <v>[oiPR2CiVJbf]|01-09|Female|PopART.Rt.T_1|CY2024Q3</v>
      </c>
    </row>
    <row r="1866" spans="4:18" x14ac:dyDescent="0.2">
      <c r="D1866" t="s">
        <v>117</v>
      </c>
      <c r="E1866" t="s">
        <v>118</v>
      </c>
      <c r="F1866" t="s">
        <v>119</v>
      </c>
      <c r="G1866" t="s">
        <v>145</v>
      </c>
      <c r="H1866" t="s">
        <v>145</v>
      </c>
      <c r="I1866" t="s">
        <v>36</v>
      </c>
      <c r="J1866" t="s">
        <v>37</v>
      </c>
      <c r="K1866" t="s">
        <v>30</v>
      </c>
      <c r="L1866" t="s">
        <v>31</v>
      </c>
      <c r="M1866" t="s">
        <v>140</v>
      </c>
      <c r="N1866">
        <v>0.54665741099999998</v>
      </c>
      <c r="O1866">
        <v>5.3134727999999999E-2</v>
      </c>
      <c r="P1866">
        <v>1.5354781E-2</v>
      </c>
      <c r="Q1866" t="str">
        <f t="shared" si="58"/>
        <v>10-14</v>
      </c>
      <c r="R1866" t="str">
        <f t="shared" si="59"/>
        <v>[oiPR2CiVJbf]|10-14|Female|PopART.Rt.T_1|CY2024Q3</v>
      </c>
    </row>
    <row r="1867" spans="4:18" x14ac:dyDescent="0.2">
      <c r="D1867" t="s">
        <v>117</v>
      </c>
      <c r="E1867" t="s">
        <v>118</v>
      </c>
      <c r="F1867" t="s">
        <v>119</v>
      </c>
      <c r="G1867" t="s">
        <v>145</v>
      </c>
      <c r="H1867" t="s">
        <v>145</v>
      </c>
      <c r="I1867" t="s">
        <v>38</v>
      </c>
      <c r="J1867" t="s">
        <v>39</v>
      </c>
      <c r="K1867" t="s">
        <v>30</v>
      </c>
      <c r="L1867" t="s">
        <v>31</v>
      </c>
      <c r="M1867" t="s">
        <v>140</v>
      </c>
      <c r="N1867">
        <v>0.92834955799999996</v>
      </c>
      <c r="O1867">
        <v>2.9575483E-2</v>
      </c>
      <c r="P1867">
        <v>1.5354781E-2</v>
      </c>
      <c r="Q1867" t="str">
        <f t="shared" si="58"/>
        <v>15-24</v>
      </c>
      <c r="R1867" t="str">
        <f t="shared" si="59"/>
        <v>[oiPR2CiVJbf]|15-24|Female|PopART.Rt.T_1|CY2024Q3</v>
      </c>
    </row>
    <row r="1868" spans="4:18" x14ac:dyDescent="0.2">
      <c r="D1868" t="s">
        <v>117</v>
      </c>
      <c r="E1868" t="s">
        <v>118</v>
      </c>
      <c r="F1868" t="s">
        <v>119</v>
      </c>
      <c r="G1868" t="s">
        <v>145</v>
      </c>
      <c r="H1868" t="s">
        <v>145</v>
      </c>
      <c r="I1868" t="s">
        <v>41</v>
      </c>
      <c r="J1868" t="s">
        <v>42</v>
      </c>
      <c r="K1868" t="s">
        <v>30</v>
      </c>
      <c r="L1868" t="s">
        <v>31</v>
      </c>
      <c r="M1868" t="s">
        <v>140</v>
      </c>
      <c r="N1868">
        <v>0.96183478600000005</v>
      </c>
      <c r="O1868">
        <v>1.5622472E-2</v>
      </c>
      <c r="P1868">
        <v>1.5354781E-2</v>
      </c>
      <c r="Q1868" t="str">
        <f t="shared" si="58"/>
        <v>25-34</v>
      </c>
      <c r="R1868" t="str">
        <f t="shared" si="59"/>
        <v>[oiPR2CiVJbf]|25-34|Female|PopART.Rt.T_1|CY2024Q3</v>
      </c>
    </row>
    <row r="1869" spans="4:18" x14ac:dyDescent="0.2">
      <c r="D1869" t="s">
        <v>117</v>
      </c>
      <c r="E1869" t="s">
        <v>118</v>
      </c>
      <c r="F1869" t="s">
        <v>119</v>
      </c>
      <c r="G1869" t="s">
        <v>145</v>
      </c>
      <c r="H1869" t="s">
        <v>145</v>
      </c>
      <c r="I1869" t="s">
        <v>43</v>
      </c>
      <c r="J1869" t="s">
        <v>44</v>
      </c>
      <c r="K1869" t="s">
        <v>30</v>
      </c>
      <c r="L1869" t="s">
        <v>31</v>
      </c>
      <c r="M1869" t="s">
        <v>140</v>
      </c>
      <c r="N1869">
        <v>0.98102772299999996</v>
      </c>
      <c r="O1869">
        <v>8.0548589999999993E-3</v>
      </c>
      <c r="P1869">
        <v>1.5354781E-2</v>
      </c>
      <c r="Q1869" t="str">
        <f t="shared" si="58"/>
        <v>35-49</v>
      </c>
      <c r="R1869" t="str">
        <f t="shared" si="59"/>
        <v>[oiPR2CiVJbf]|35-49|Female|PopART.Rt.T_1|CY2024Q3</v>
      </c>
    </row>
    <row r="1870" spans="4:18" x14ac:dyDescent="0.2">
      <c r="D1870" t="s">
        <v>117</v>
      </c>
      <c r="E1870" t="s">
        <v>118</v>
      </c>
      <c r="F1870" t="s">
        <v>119</v>
      </c>
      <c r="G1870" t="s">
        <v>145</v>
      </c>
      <c r="H1870" t="s">
        <v>145</v>
      </c>
      <c r="I1870" t="s">
        <v>45</v>
      </c>
      <c r="J1870" t="s">
        <v>46</v>
      </c>
      <c r="K1870" t="s">
        <v>30</v>
      </c>
      <c r="L1870" t="s">
        <v>31</v>
      </c>
      <c r="M1870" t="s">
        <v>140</v>
      </c>
      <c r="N1870">
        <v>0.98703662199999997</v>
      </c>
      <c r="O1870">
        <v>5.5448540000000001E-3</v>
      </c>
      <c r="P1870">
        <v>1.5354781E-2</v>
      </c>
      <c r="Q1870" t="str">
        <f t="shared" si="58"/>
        <v>50+</v>
      </c>
      <c r="R1870" t="str">
        <f t="shared" si="59"/>
        <v>[oiPR2CiVJbf]|50+|Female|PopART.Rt.T_1|CY2024Q3</v>
      </c>
    </row>
    <row r="1871" spans="4:18" x14ac:dyDescent="0.2">
      <c r="D1871" t="s">
        <v>117</v>
      </c>
      <c r="E1871" t="s">
        <v>118</v>
      </c>
      <c r="F1871" t="s">
        <v>119</v>
      </c>
      <c r="G1871" t="s">
        <v>145</v>
      </c>
      <c r="H1871" t="s">
        <v>145</v>
      </c>
      <c r="I1871" t="s">
        <v>28</v>
      </c>
      <c r="J1871" t="s">
        <v>29</v>
      </c>
      <c r="K1871" t="s">
        <v>48</v>
      </c>
      <c r="L1871" t="s">
        <v>49</v>
      </c>
      <c r="M1871" t="s">
        <v>140</v>
      </c>
      <c r="N1871">
        <v>0.45938984300000002</v>
      </c>
      <c r="O1871">
        <v>6.2785459000000002E-2</v>
      </c>
      <c r="P1871">
        <v>1.5354781E-2</v>
      </c>
      <c r="Q1871" t="str">
        <f t="shared" si="58"/>
        <v>&lt;01</v>
      </c>
      <c r="R1871" t="str">
        <f t="shared" si="59"/>
        <v>[oiPR2CiVJbf]|&lt;01|Male|PopART.Rt.T_1|CY2024Q3</v>
      </c>
    </row>
    <row r="1872" spans="4:18" x14ac:dyDescent="0.2">
      <c r="D1872" t="s">
        <v>117</v>
      </c>
      <c r="E1872" t="s">
        <v>118</v>
      </c>
      <c r="F1872" t="s">
        <v>119</v>
      </c>
      <c r="G1872" t="s">
        <v>145</v>
      </c>
      <c r="H1872" t="s">
        <v>145</v>
      </c>
      <c r="I1872" t="s">
        <v>33</v>
      </c>
      <c r="J1872" t="s">
        <v>34</v>
      </c>
      <c r="K1872" t="s">
        <v>48</v>
      </c>
      <c r="L1872" t="s">
        <v>49</v>
      </c>
      <c r="M1872" t="s">
        <v>140</v>
      </c>
      <c r="N1872">
        <v>0.49999459200000002</v>
      </c>
      <c r="O1872">
        <v>6.0604617999999999E-2</v>
      </c>
      <c r="P1872">
        <v>1.5354781E-2</v>
      </c>
      <c r="Q1872" t="str">
        <f t="shared" si="58"/>
        <v>01-09</v>
      </c>
      <c r="R1872" t="str">
        <f t="shared" si="59"/>
        <v>[oiPR2CiVJbf]|01-09|Male|PopART.Rt.T_1|CY2024Q3</v>
      </c>
    </row>
    <row r="1873" spans="4:18" x14ac:dyDescent="0.2">
      <c r="D1873" t="s">
        <v>117</v>
      </c>
      <c r="E1873" t="s">
        <v>118</v>
      </c>
      <c r="F1873" t="s">
        <v>119</v>
      </c>
      <c r="G1873" t="s">
        <v>145</v>
      </c>
      <c r="H1873" t="s">
        <v>145</v>
      </c>
      <c r="I1873" t="s">
        <v>36</v>
      </c>
      <c r="J1873" t="s">
        <v>37</v>
      </c>
      <c r="K1873" t="s">
        <v>48</v>
      </c>
      <c r="L1873" t="s">
        <v>49</v>
      </c>
      <c r="M1873" t="s">
        <v>140</v>
      </c>
      <c r="N1873">
        <v>0.54680766700000005</v>
      </c>
      <c r="O1873">
        <v>5.5814679999999998E-2</v>
      </c>
      <c r="P1873">
        <v>1.5354781E-2</v>
      </c>
      <c r="Q1873" t="str">
        <f t="shared" si="58"/>
        <v>10-14</v>
      </c>
      <c r="R1873" t="str">
        <f t="shared" si="59"/>
        <v>[oiPR2CiVJbf]|10-14|Male|PopART.Rt.T_1|CY2024Q3</v>
      </c>
    </row>
    <row r="1874" spans="4:18" x14ac:dyDescent="0.2">
      <c r="D1874" t="s">
        <v>117</v>
      </c>
      <c r="E1874" t="s">
        <v>118</v>
      </c>
      <c r="F1874" t="s">
        <v>119</v>
      </c>
      <c r="G1874" t="s">
        <v>145</v>
      </c>
      <c r="H1874" t="s">
        <v>145</v>
      </c>
      <c r="I1874" t="s">
        <v>38</v>
      </c>
      <c r="J1874" t="s">
        <v>39</v>
      </c>
      <c r="K1874" t="s">
        <v>48</v>
      </c>
      <c r="L1874" t="s">
        <v>49</v>
      </c>
      <c r="M1874" t="s">
        <v>140</v>
      </c>
      <c r="N1874">
        <v>0.88935998699999996</v>
      </c>
      <c r="O1874">
        <v>4.1076177999999998E-2</v>
      </c>
      <c r="P1874">
        <v>1.5354781E-2</v>
      </c>
      <c r="Q1874" t="str">
        <f t="shared" si="58"/>
        <v>15-24</v>
      </c>
      <c r="R1874" t="str">
        <f t="shared" si="59"/>
        <v>[oiPR2CiVJbf]|15-24|Male|PopART.Rt.T_1|CY2024Q3</v>
      </c>
    </row>
    <row r="1875" spans="4:18" x14ac:dyDescent="0.2">
      <c r="D1875" t="s">
        <v>117</v>
      </c>
      <c r="E1875" t="s">
        <v>118</v>
      </c>
      <c r="F1875" t="s">
        <v>119</v>
      </c>
      <c r="G1875" t="s">
        <v>145</v>
      </c>
      <c r="H1875" t="s">
        <v>145</v>
      </c>
      <c r="I1875" t="s">
        <v>41</v>
      </c>
      <c r="J1875" t="s">
        <v>42</v>
      </c>
      <c r="K1875" t="s">
        <v>48</v>
      </c>
      <c r="L1875" t="s">
        <v>49</v>
      </c>
      <c r="M1875" t="s">
        <v>140</v>
      </c>
      <c r="N1875">
        <v>0.85752875299999998</v>
      </c>
      <c r="O1875">
        <v>5.0421362999999997E-2</v>
      </c>
      <c r="P1875">
        <v>1.5354781E-2</v>
      </c>
      <c r="Q1875" t="str">
        <f t="shared" si="58"/>
        <v>25-34</v>
      </c>
      <c r="R1875" t="str">
        <f t="shared" si="59"/>
        <v>[oiPR2CiVJbf]|25-34|Male|PopART.Rt.T_1|CY2024Q3</v>
      </c>
    </row>
    <row r="1876" spans="4:18" x14ac:dyDescent="0.2">
      <c r="D1876" t="s">
        <v>117</v>
      </c>
      <c r="E1876" t="s">
        <v>118</v>
      </c>
      <c r="F1876" t="s">
        <v>119</v>
      </c>
      <c r="G1876" t="s">
        <v>145</v>
      </c>
      <c r="H1876" t="s">
        <v>145</v>
      </c>
      <c r="I1876" t="s">
        <v>43</v>
      </c>
      <c r="J1876" t="s">
        <v>44</v>
      </c>
      <c r="K1876" t="s">
        <v>48</v>
      </c>
      <c r="L1876" t="s">
        <v>49</v>
      </c>
      <c r="M1876" t="s">
        <v>140</v>
      </c>
      <c r="N1876">
        <v>0.91152878199999998</v>
      </c>
      <c r="O1876">
        <v>2.8093145E-2</v>
      </c>
      <c r="P1876">
        <v>1.5354781E-2</v>
      </c>
      <c r="Q1876" t="str">
        <f t="shared" si="58"/>
        <v>35-49</v>
      </c>
      <c r="R1876" t="str">
        <f t="shared" si="59"/>
        <v>[oiPR2CiVJbf]|35-49|Male|PopART.Rt.T_1|CY2024Q3</v>
      </c>
    </row>
    <row r="1877" spans="4:18" x14ac:dyDescent="0.2">
      <c r="D1877" t="s">
        <v>117</v>
      </c>
      <c r="E1877" t="s">
        <v>118</v>
      </c>
      <c r="F1877" t="s">
        <v>119</v>
      </c>
      <c r="G1877" t="s">
        <v>145</v>
      </c>
      <c r="H1877" t="s">
        <v>145</v>
      </c>
      <c r="I1877" t="s">
        <v>45</v>
      </c>
      <c r="J1877" t="s">
        <v>46</v>
      </c>
      <c r="K1877" t="s">
        <v>48</v>
      </c>
      <c r="L1877" t="s">
        <v>49</v>
      </c>
      <c r="M1877" t="s">
        <v>140</v>
      </c>
      <c r="N1877">
        <v>0.93965161799999997</v>
      </c>
      <c r="O1877">
        <v>2.3280006999999998E-2</v>
      </c>
      <c r="P1877">
        <v>1.5354781E-2</v>
      </c>
      <c r="Q1877" t="str">
        <f t="shared" si="58"/>
        <v>50+</v>
      </c>
      <c r="R1877" t="str">
        <f t="shared" si="59"/>
        <v>[oiPR2CiVJbf]|50+|Male|PopART.Rt.T_1|CY2024Q3</v>
      </c>
    </row>
    <row r="1878" spans="4:18" x14ac:dyDescent="0.2">
      <c r="D1878" t="s">
        <v>120</v>
      </c>
      <c r="E1878" t="s">
        <v>121</v>
      </c>
      <c r="F1878" t="s">
        <v>122</v>
      </c>
      <c r="G1878" t="s">
        <v>145</v>
      </c>
      <c r="H1878" t="s">
        <v>145</v>
      </c>
      <c r="I1878" t="s">
        <v>28</v>
      </c>
      <c r="J1878" t="s">
        <v>29</v>
      </c>
      <c r="K1878" t="s">
        <v>30</v>
      </c>
      <c r="L1878" t="s">
        <v>31</v>
      </c>
      <c r="M1878" t="s">
        <v>140</v>
      </c>
      <c r="N1878">
        <v>0.63151004200000005</v>
      </c>
      <c r="O1878">
        <v>3.5277784E-2</v>
      </c>
      <c r="P1878">
        <v>1.8144351999999999E-2</v>
      </c>
      <c r="Q1878" t="str">
        <f t="shared" si="58"/>
        <v>&lt;01</v>
      </c>
      <c r="R1878" t="str">
        <f t="shared" si="59"/>
        <v>[mxqa3CDFmIT]|&lt;01|Female|PopART.Rt.T_1|CY2024Q3</v>
      </c>
    </row>
    <row r="1879" spans="4:18" x14ac:dyDescent="0.2">
      <c r="D1879" t="s">
        <v>120</v>
      </c>
      <c r="E1879" t="s">
        <v>121</v>
      </c>
      <c r="F1879" t="s">
        <v>122</v>
      </c>
      <c r="G1879" t="s">
        <v>145</v>
      </c>
      <c r="H1879" t="s">
        <v>145</v>
      </c>
      <c r="I1879" t="s">
        <v>33</v>
      </c>
      <c r="J1879" t="s">
        <v>34</v>
      </c>
      <c r="K1879" t="s">
        <v>30</v>
      </c>
      <c r="L1879" t="s">
        <v>31</v>
      </c>
      <c r="M1879" t="s">
        <v>140</v>
      </c>
      <c r="N1879">
        <v>0.67658420699999999</v>
      </c>
      <c r="O1879">
        <v>3.3943468999999997E-2</v>
      </c>
      <c r="P1879">
        <v>1.8144351999999999E-2</v>
      </c>
      <c r="Q1879" t="str">
        <f t="shared" si="58"/>
        <v>01-09</v>
      </c>
      <c r="R1879" t="str">
        <f t="shared" si="59"/>
        <v>[mxqa3CDFmIT]|01-09|Female|PopART.Rt.T_1|CY2024Q3</v>
      </c>
    </row>
    <row r="1880" spans="4:18" x14ac:dyDescent="0.2">
      <c r="D1880" t="s">
        <v>120</v>
      </c>
      <c r="E1880" t="s">
        <v>121</v>
      </c>
      <c r="F1880" t="s">
        <v>122</v>
      </c>
      <c r="G1880" t="s">
        <v>145</v>
      </c>
      <c r="H1880" t="s">
        <v>145</v>
      </c>
      <c r="I1880" t="s">
        <v>36</v>
      </c>
      <c r="J1880" t="s">
        <v>37</v>
      </c>
      <c r="K1880" t="s">
        <v>30</v>
      </c>
      <c r="L1880" t="s">
        <v>31</v>
      </c>
      <c r="M1880" t="s">
        <v>140</v>
      </c>
      <c r="N1880">
        <v>0.71552081099999998</v>
      </c>
      <c r="O1880">
        <v>2.8333091000000001E-2</v>
      </c>
      <c r="P1880">
        <v>1.8144351999999999E-2</v>
      </c>
      <c r="Q1880" t="str">
        <f t="shared" si="58"/>
        <v>10-14</v>
      </c>
      <c r="R1880" t="str">
        <f t="shared" si="59"/>
        <v>[mxqa3CDFmIT]|10-14|Female|PopART.Rt.T_1|CY2024Q3</v>
      </c>
    </row>
    <row r="1881" spans="4:18" x14ac:dyDescent="0.2">
      <c r="D1881" t="s">
        <v>120</v>
      </c>
      <c r="E1881" t="s">
        <v>121</v>
      </c>
      <c r="F1881" t="s">
        <v>122</v>
      </c>
      <c r="G1881" t="s">
        <v>145</v>
      </c>
      <c r="H1881" t="s">
        <v>145</v>
      </c>
      <c r="I1881" t="s">
        <v>38</v>
      </c>
      <c r="J1881" t="s">
        <v>39</v>
      </c>
      <c r="K1881" t="s">
        <v>30</v>
      </c>
      <c r="L1881" t="s">
        <v>31</v>
      </c>
      <c r="M1881" t="s">
        <v>140</v>
      </c>
      <c r="N1881">
        <v>0.92230277800000005</v>
      </c>
      <c r="O1881">
        <v>3.1303364E-2</v>
      </c>
      <c r="P1881">
        <v>1.8144351999999999E-2</v>
      </c>
      <c r="Q1881" t="str">
        <f t="shared" si="58"/>
        <v>15-24</v>
      </c>
      <c r="R1881" t="str">
        <f t="shared" si="59"/>
        <v>[mxqa3CDFmIT]|15-24|Female|PopART.Rt.T_1|CY2024Q3</v>
      </c>
    </row>
    <row r="1882" spans="4:18" x14ac:dyDescent="0.2">
      <c r="D1882" t="s">
        <v>120</v>
      </c>
      <c r="E1882" t="s">
        <v>121</v>
      </c>
      <c r="F1882" t="s">
        <v>122</v>
      </c>
      <c r="G1882" t="s">
        <v>145</v>
      </c>
      <c r="H1882" t="s">
        <v>145</v>
      </c>
      <c r="I1882" t="s">
        <v>41</v>
      </c>
      <c r="J1882" t="s">
        <v>42</v>
      </c>
      <c r="K1882" t="s">
        <v>30</v>
      </c>
      <c r="L1882" t="s">
        <v>31</v>
      </c>
      <c r="M1882" t="s">
        <v>140</v>
      </c>
      <c r="N1882">
        <v>0.95868927699999995</v>
      </c>
      <c r="O1882">
        <v>1.6281172999999999E-2</v>
      </c>
      <c r="P1882">
        <v>1.8144351999999999E-2</v>
      </c>
      <c r="Q1882" t="str">
        <f t="shared" si="58"/>
        <v>25-34</v>
      </c>
      <c r="R1882" t="str">
        <f t="shared" si="59"/>
        <v>[mxqa3CDFmIT]|25-34|Female|PopART.Rt.T_1|CY2024Q3</v>
      </c>
    </row>
    <row r="1883" spans="4:18" x14ac:dyDescent="0.2">
      <c r="D1883" t="s">
        <v>120</v>
      </c>
      <c r="E1883" t="s">
        <v>121</v>
      </c>
      <c r="F1883" t="s">
        <v>122</v>
      </c>
      <c r="G1883" t="s">
        <v>145</v>
      </c>
      <c r="H1883" t="s">
        <v>145</v>
      </c>
      <c r="I1883" t="s">
        <v>43</v>
      </c>
      <c r="J1883" t="s">
        <v>44</v>
      </c>
      <c r="K1883" t="s">
        <v>30</v>
      </c>
      <c r="L1883" t="s">
        <v>31</v>
      </c>
      <c r="M1883" t="s">
        <v>140</v>
      </c>
      <c r="N1883">
        <v>0.97917629799999994</v>
      </c>
      <c r="O1883">
        <v>8.4860089999999992E-3</v>
      </c>
      <c r="P1883">
        <v>1.8144351999999999E-2</v>
      </c>
      <c r="Q1883" t="str">
        <f t="shared" si="58"/>
        <v>35-49</v>
      </c>
      <c r="R1883" t="str">
        <f t="shared" si="59"/>
        <v>[mxqa3CDFmIT]|35-49|Female|PopART.Rt.T_1|CY2024Q3</v>
      </c>
    </row>
    <row r="1884" spans="4:18" x14ac:dyDescent="0.2">
      <c r="D1884" t="s">
        <v>120</v>
      </c>
      <c r="E1884" t="s">
        <v>121</v>
      </c>
      <c r="F1884" t="s">
        <v>122</v>
      </c>
      <c r="G1884" t="s">
        <v>145</v>
      </c>
      <c r="H1884" t="s">
        <v>145</v>
      </c>
      <c r="I1884" t="s">
        <v>45</v>
      </c>
      <c r="J1884" t="s">
        <v>46</v>
      </c>
      <c r="K1884" t="s">
        <v>30</v>
      </c>
      <c r="L1884" t="s">
        <v>31</v>
      </c>
      <c r="M1884" t="s">
        <v>140</v>
      </c>
      <c r="N1884">
        <v>0.98584084500000002</v>
      </c>
      <c r="O1884">
        <v>5.8272310000000004E-3</v>
      </c>
      <c r="P1884">
        <v>1.8144351999999999E-2</v>
      </c>
      <c r="Q1884" t="str">
        <f t="shared" si="58"/>
        <v>50+</v>
      </c>
      <c r="R1884" t="str">
        <f t="shared" si="59"/>
        <v>[mxqa3CDFmIT]|50+|Female|PopART.Rt.T_1|CY2024Q3</v>
      </c>
    </row>
    <row r="1885" spans="4:18" x14ac:dyDescent="0.2">
      <c r="D1885" t="s">
        <v>120</v>
      </c>
      <c r="E1885" t="s">
        <v>121</v>
      </c>
      <c r="F1885" t="s">
        <v>122</v>
      </c>
      <c r="G1885" t="s">
        <v>145</v>
      </c>
      <c r="H1885" t="s">
        <v>145</v>
      </c>
      <c r="I1885" t="s">
        <v>28</v>
      </c>
      <c r="J1885" t="s">
        <v>29</v>
      </c>
      <c r="K1885" t="s">
        <v>48</v>
      </c>
      <c r="L1885" t="s">
        <v>49</v>
      </c>
      <c r="M1885" t="s">
        <v>140</v>
      </c>
      <c r="N1885">
        <v>0.63212508899999997</v>
      </c>
      <c r="O1885">
        <v>3.5078050999999999E-2</v>
      </c>
      <c r="P1885">
        <v>1.8144351999999999E-2</v>
      </c>
      <c r="Q1885" t="str">
        <f t="shared" si="58"/>
        <v>&lt;01</v>
      </c>
      <c r="R1885" t="str">
        <f t="shared" si="59"/>
        <v>[mxqa3CDFmIT]|&lt;01|Male|PopART.Rt.T_1|CY2024Q3</v>
      </c>
    </row>
    <row r="1886" spans="4:18" x14ac:dyDescent="0.2">
      <c r="D1886" t="s">
        <v>120</v>
      </c>
      <c r="E1886" t="s">
        <v>121</v>
      </c>
      <c r="F1886" t="s">
        <v>122</v>
      </c>
      <c r="G1886" t="s">
        <v>145</v>
      </c>
      <c r="H1886" t="s">
        <v>145</v>
      </c>
      <c r="I1886" t="s">
        <v>33</v>
      </c>
      <c r="J1886" t="s">
        <v>34</v>
      </c>
      <c r="K1886" t="s">
        <v>48</v>
      </c>
      <c r="L1886" t="s">
        <v>49</v>
      </c>
      <c r="M1886" t="s">
        <v>140</v>
      </c>
      <c r="N1886">
        <v>0.67707003499999996</v>
      </c>
      <c r="O1886">
        <v>3.3410435000000002E-2</v>
      </c>
      <c r="P1886">
        <v>1.8144351999999999E-2</v>
      </c>
      <c r="Q1886" t="str">
        <f t="shared" si="58"/>
        <v>01-09</v>
      </c>
      <c r="R1886" t="str">
        <f t="shared" si="59"/>
        <v>[mxqa3CDFmIT]|01-09|Male|PopART.Rt.T_1|CY2024Q3</v>
      </c>
    </row>
    <row r="1887" spans="4:18" x14ac:dyDescent="0.2">
      <c r="D1887" t="s">
        <v>120</v>
      </c>
      <c r="E1887" t="s">
        <v>121</v>
      </c>
      <c r="F1887" t="s">
        <v>122</v>
      </c>
      <c r="G1887" t="s">
        <v>145</v>
      </c>
      <c r="H1887" t="s">
        <v>145</v>
      </c>
      <c r="I1887" t="s">
        <v>36</v>
      </c>
      <c r="J1887" t="s">
        <v>37</v>
      </c>
      <c r="K1887" t="s">
        <v>48</v>
      </c>
      <c r="L1887" t="s">
        <v>49</v>
      </c>
      <c r="M1887" t="s">
        <v>140</v>
      </c>
      <c r="N1887">
        <v>0.71527235099999997</v>
      </c>
      <c r="O1887">
        <v>2.9375610999999999E-2</v>
      </c>
      <c r="P1887">
        <v>1.8144351999999999E-2</v>
      </c>
      <c r="Q1887" t="str">
        <f t="shared" si="58"/>
        <v>10-14</v>
      </c>
      <c r="R1887" t="str">
        <f t="shared" si="59"/>
        <v>[mxqa3CDFmIT]|10-14|Male|PopART.Rt.T_1|CY2024Q3</v>
      </c>
    </row>
    <row r="1888" spans="4:18" x14ac:dyDescent="0.2">
      <c r="D1888" t="s">
        <v>120</v>
      </c>
      <c r="E1888" t="s">
        <v>121</v>
      </c>
      <c r="F1888" t="s">
        <v>122</v>
      </c>
      <c r="G1888" t="s">
        <v>145</v>
      </c>
      <c r="H1888" t="s">
        <v>145</v>
      </c>
      <c r="I1888" t="s">
        <v>38</v>
      </c>
      <c r="J1888" t="s">
        <v>39</v>
      </c>
      <c r="K1888" t="s">
        <v>48</v>
      </c>
      <c r="L1888" t="s">
        <v>49</v>
      </c>
      <c r="M1888" t="s">
        <v>140</v>
      </c>
      <c r="N1888">
        <v>0.880261081</v>
      </c>
      <c r="O1888">
        <v>4.2762293E-2</v>
      </c>
      <c r="P1888">
        <v>1.8144351999999999E-2</v>
      </c>
      <c r="Q1888" t="str">
        <f t="shared" si="58"/>
        <v>15-24</v>
      </c>
      <c r="R1888" t="str">
        <f t="shared" si="59"/>
        <v>[mxqa3CDFmIT]|15-24|Male|PopART.Rt.T_1|CY2024Q3</v>
      </c>
    </row>
    <row r="1889" spans="4:18" x14ac:dyDescent="0.2">
      <c r="D1889" t="s">
        <v>120</v>
      </c>
      <c r="E1889" t="s">
        <v>121</v>
      </c>
      <c r="F1889" t="s">
        <v>122</v>
      </c>
      <c r="G1889" t="s">
        <v>145</v>
      </c>
      <c r="H1889" t="s">
        <v>145</v>
      </c>
      <c r="I1889" t="s">
        <v>41</v>
      </c>
      <c r="J1889" t="s">
        <v>42</v>
      </c>
      <c r="K1889" t="s">
        <v>48</v>
      </c>
      <c r="L1889" t="s">
        <v>49</v>
      </c>
      <c r="M1889" t="s">
        <v>140</v>
      </c>
      <c r="N1889">
        <v>0.84697652000000001</v>
      </c>
      <c r="O1889">
        <v>5.094626E-2</v>
      </c>
      <c r="P1889">
        <v>1.8144351999999999E-2</v>
      </c>
      <c r="Q1889" t="str">
        <f t="shared" si="58"/>
        <v>25-34</v>
      </c>
      <c r="R1889" t="str">
        <f t="shared" si="59"/>
        <v>[mxqa3CDFmIT]|25-34|Male|PopART.Rt.T_1|CY2024Q3</v>
      </c>
    </row>
    <row r="1890" spans="4:18" x14ac:dyDescent="0.2">
      <c r="D1890" t="s">
        <v>120</v>
      </c>
      <c r="E1890" t="s">
        <v>121</v>
      </c>
      <c r="F1890" t="s">
        <v>122</v>
      </c>
      <c r="G1890" t="s">
        <v>145</v>
      </c>
      <c r="H1890" t="s">
        <v>145</v>
      </c>
      <c r="I1890" t="s">
        <v>43</v>
      </c>
      <c r="J1890" t="s">
        <v>44</v>
      </c>
      <c r="K1890" t="s">
        <v>48</v>
      </c>
      <c r="L1890" t="s">
        <v>49</v>
      </c>
      <c r="M1890" t="s">
        <v>140</v>
      </c>
      <c r="N1890">
        <v>0.90412988900000002</v>
      </c>
      <c r="O1890">
        <v>2.8547244999999999E-2</v>
      </c>
      <c r="P1890">
        <v>1.8144351999999999E-2</v>
      </c>
      <c r="Q1890" t="str">
        <f t="shared" si="58"/>
        <v>35-49</v>
      </c>
      <c r="R1890" t="str">
        <f t="shared" si="59"/>
        <v>[mxqa3CDFmIT]|35-49|Male|PopART.Rt.T_1|CY2024Q3</v>
      </c>
    </row>
    <row r="1891" spans="4:18" x14ac:dyDescent="0.2">
      <c r="D1891" t="s">
        <v>120</v>
      </c>
      <c r="E1891" t="s">
        <v>121</v>
      </c>
      <c r="F1891" t="s">
        <v>122</v>
      </c>
      <c r="G1891" t="s">
        <v>145</v>
      </c>
      <c r="H1891" t="s">
        <v>145</v>
      </c>
      <c r="I1891" t="s">
        <v>45</v>
      </c>
      <c r="J1891" t="s">
        <v>46</v>
      </c>
      <c r="K1891" t="s">
        <v>48</v>
      </c>
      <c r="L1891" t="s">
        <v>49</v>
      </c>
      <c r="M1891" t="s">
        <v>140</v>
      </c>
      <c r="N1891">
        <v>0.93427018299999998</v>
      </c>
      <c r="O1891">
        <v>2.3651444000000001E-2</v>
      </c>
      <c r="P1891">
        <v>1.8144351999999999E-2</v>
      </c>
      <c r="Q1891" t="str">
        <f t="shared" si="58"/>
        <v>50+</v>
      </c>
      <c r="R1891" t="str">
        <f t="shared" si="59"/>
        <v>[mxqa3CDFmIT]|50+|Male|PopART.Rt.T_1|CY2024Q3</v>
      </c>
    </row>
    <row r="1892" spans="4:18" x14ac:dyDescent="0.2">
      <c r="D1892" t="s">
        <v>123</v>
      </c>
      <c r="E1892" t="s">
        <v>124</v>
      </c>
      <c r="F1892" t="s">
        <v>125</v>
      </c>
      <c r="G1892" t="s">
        <v>145</v>
      </c>
      <c r="H1892" t="s">
        <v>145</v>
      </c>
      <c r="I1892" t="s">
        <v>28</v>
      </c>
      <c r="J1892" t="s">
        <v>29</v>
      </c>
      <c r="K1892" t="s">
        <v>30</v>
      </c>
      <c r="L1892" t="s">
        <v>31</v>
      </c>
      <c r="M1892" t="s">
        <v>140</v>
      </c>
      <c r="N1892">
        <v>0.495859773</v>
      </c>
      <c r="O1892">
        <v>0.100967655</v>
      </c>
      <c r="P1892">
        <v>1.848118E-2</v>
      </c>
      <c r="Q1892" t="str">
        <f t="shared" si="58"/>
        <v>&lt;01</v>
      </c>
      <c r="R1892" t="str">
        <f t="shared" si="59"/>
        <v>[wNqJp8oRIcF]|&lt;01|Female|PopART.Rt.T_1|CY2024Q3</v>
      </c>
    </row>
    <row r="1893" spans="4:18" x14ac:dyDescent="0.2">
      <c r="D1893" t="s">
        <v>123</v>
      </c>
      <c r="E1893" t="s">
        <v>124</v>
      </c>
      <c r="F1893" t="s">
        <v>125</v>
      </c>
      <c r="G1893" t="s">
        <v>145</v>
      </c>
      <c r="H1893" t="s">
        <v>145</v>
      </c>
      <c r="I1893" t="s">
        <v>33</v>
      </c>
      <c r="J1893" t="s">
        <v>34</v>
      </c>
      <c r="K1893" t="s">
        <v>30</v>
      </c>
      <c r="L1893" t="s">
        <v>31</v>
      </c>
      <c r="M1893" t="s">
        <v>140</v>
      </c>
      <c r="N1893">
        <v>0.53822641199999999</v>
      </c>
      <c r="O1893">
        <v>9.8562816999999997E-2</v>
      </c>
      <c r="P1893">
        <v>1.848118E-2</v>
      </c>
      <c r="Q1893" t="str">
        <f t="shared" si="58"/>
        <v>01-09</v>
      </c>
      <c r="R1893" t="str">
        <f t="shared" si="59"/>
        <v>[wNqJp8oRIcF]|01-09|Female|PopART.Rt.T_1|CY2024Q3</v>
      </c>
    </row>
    <row r="1894" spans="4:18" x14ac:dyDescent="0.2">
      <c r="D1894" t="s">
        <v>123</v>
      </c>
      <c r="E1894" t="s">
        <v>124</v>
      </c>
      <c r="F1894" t="s">
        <v>125</v>
      </c>
      <c r="G1894" t="s">
        <v>145</v>
      </c>
      <c r="H1894" t="s">
        <v>145</v>
      </c>
      <c r="I1894" t="s">
        <v>36</v>
      </c>
      <c r="J1894" t="s">
        <v>37</v>
      </c>
      <c r="K1894" t="s">
        <v>30</v>
      </c>
      <c r="L1894" t="s">
        <v>31</v>
      </c>
      <c r="M1894" t="s">
        <v>140</v>
      </c>
      <c r="N1894">
        <v>0.58414217599999996</v>
      </c>
      <c r="O1894">
        <v>8.4844527000000003E-2</v>
      </c>
      <c r="P1894">
        <v>1.848118E-2</v>
      </c>
      <c r="Q1894" t="str">
        <f t="shared" si="58"/>
        <v>10-14</v>
      </c>
      <c r="R1894" t="str">
        <f t="shared" si="59"/>
        <v>[wNqJp8oRIcF]|10-14|Female|PopART.Rt.T_1|CY2024Q3</v>
      </c>
    </row>
    <row r="1895" spans="4:18" x14ac:dyDescent="0.2">
      <c r="D1895" t="s">
        <v>123</v>
      </c>
      <c r="E1895" t="s">
        <v>124</v>
      </c>
      <c r="F1895" t="s">
        <v>125</v>
      </c>
      <c r="G1895" t="s">
        <v>145</v>
      </c>
      <c r="H1895" t="s">
        <v>145</v>
      </c>
      <c r="I1895" t="s">
        <v>38</v>
      </c>
      <c r="J1895" t="s">
        <v>39</v>
      </c>
      <c r="K1895" t="s">
        <v>30</v>
      </c>
      <c r="L1895" t="s">
        <v>31</v>
      </c>
      <c r="M1895" t="s">
        <v>140</v>
      </c>
      <c r="N1895">
        <v>0.92450870200000002</v>
      </c>
      <c r="O1895">
        <v>3.3915190999999997E-2</v>
      </c>
      <c r="P1895">
        <v>1.848118E-2</v>
      </c>
      <c r="Q1895" t="str">
        <f t="shared" si="58"/>
        <v>15-24</v>
      </c>
      <c r="R1895" t="str">
        <f t="shared" si="59"/>
        <v>[wNqJp8oRIcF]|15-24|Female|PopART.Rt.T_1|CY2024Q3</v>
      </c>
    </row>
    <row r="1896" spans="4:18" x14ac:dyDescent="0.2">
      <c r="D1896" t="s">
        <v>123</v>
      </c>
      <c r="E1896" t="s">
        <v>124</v>
      </c>
      <c r="F1896" t="s">
        <v>125</v>
      </c>
      <c r="G1896" t="s">
        <v>145</v>
      </c>
      <c r="H1896" t="s">
        <v>145</v>
      </c>
      <c r="I1896" t="s">
        <v>41</v>
      </c>
      <c r="J1896" t="s">
        <v>42</v>
      </c>
      <c r="K1896" t="s">
        <v>30</v>
      </c>
      <c r="L1896" t="s">
        <v>31</v>
      </c>
      <c r="M1896" t="s">
        <v>140</v>
      </c>
      <c r="N1896">
        <v>0.95967726099999995</v>
      </c>
      <c r="O1896">
        <v>1.7791141E-2</v>
      </c>
      <c r="P1896">
        <v>1.848118E-2</v>
      </c>
      <c r="Q1896" t="str">
        <f t="shared" si="58"/>
        <v>25-34</v>
      </c>
      <c r="R1896" t="str">
        <f t="shared" si="59"/>
        <v>[wNqJp8oRIcF]|25-34|Female|PopART.Rt.T_1|CY2024Q3</v>
      </c>
    </row>
    <row r="1897" spans="4:18" x14ac:dyDescent="0.2">
      <c r="D1897" t="s">
        <v>123</v>
      </c>
      <c r="E1897" t="s">
        <v>124</v>
      </c>
      <c r="F1897" t="s">
        <v>125</v>
      </c>
      <c r="G1897" t="s">
        <v>145</v>
      </c>
      <c r="H1897" t="s">
        <v>145</v>
      </c>
      <c r="I1897" t="s">
        <v>43</v>
      </c>
      <c r="J1897" t="s">
        <v>44</v>
      </c>
      <c r="K1897" t="s">
        <v>30</v>
      </c>
      <c r="L1897" t="s">
        <v>31</v>
      </c>
      <c r="M1897" t="s">
        <v>140</v>
      </c>
      <c r="N1897">
        <v>0.97988412199999997</v>
      </c>
      <c r="O1897">
        <v>9.2000480000000006E-3</v>
      </c>
      <c r="P1897">
        <v>1.848118E-2</v>
      </c>
      <c r="Q1897" t="str">
        <f t="shared" si="58"/>
        <v>35-49</v>
      </c>
      <c r="R1897" t="str">
        <f t="shared" si="59"/>
        <v>[wNqJp8oRIcF]|35-49|Female|PopART.Rt.T_1|CY2024Q3</v>
      </c>
    </row>
    <row r="1898" spans="4:18" x14ac:dyDescent="0.2">
      <c r="D1898" t="s">
        <v>123</v>
      </c>
      <c r="E1898" t="s">
        <v>124</v>
      </c>
      <c r="F1898" t="s">
        <v>125</v>
      </c>
      <c r="G1898" t="s">
        <v>145</v>
      </c>
      <c r="H1898" t="s">
        <v>145</v>
      </c>
      <c r="I1898" t="s">
        <v>45</v>
      </c>
      <c r="J1898" t="s">
        <v>46</v>
      </c>
      <c r="K1898" t="s">
        <v>30</v>
      </c>
      <c r="L1898" t="s">
        <v>31</v>
      </c>
      <c r="M1898" t="s">
        <v>140</v>
      </c>
      <c r="N1898">
        <v>0.98624378499999998</v>
      </c>
      <c r="O1898">
        <v>6.2992489999999998E-3</v>
      </c>
      <c r="P1898">
        <v>1.848118E-2</v>
      </c>
      <c r="Q1898" t="str">
        <f t="shared" si="58"/>
        <v>50+</v>
      </c>
      <c r="R1898" t="str">
        <f t="shared" si="59"/>
        <v>[wNqJp8oRIcF]|50+|Female|PopART.Rt.T_1|CY2024Q3</v>
      </c>
    </row>
    <row r="1899" spans="4:18" x14ac:dyDescent="0.2">
      <c r="D1899" t="s">
        <v>123</v>
      </c>
      <c r="E1899" t="s">
        <v>124</v>
      </c>
      <c r="F1899" t="s">
        <v>125</v>
      </c>
      <c r="G1899" t="s">
        <v>145</v>
      </c>
      <c r="H1899" t="s">
        <v>145</v>
      </c>
      <c r="I1899" t="s">
        <v>28</v>
      </c>
      <c r="J1899" t="s">
        <v>29</v>
      </c>
      <c r="K1899" t="s">
        <v>48</v>
      </c>
      <c r="L1899" t="s">
        <v>49</v>
      </c>
      <c r="M1899" t="s">
        <v>140</v>
      </c>
      <c r="N1899">
        <v>0.495537267</v>
      </c>
      <c r="O1899">
        <v>0.10123620799999999</v>
      </c>
      <c r="P1899">
        <v>1.848118E-2</v>
      </c>
      <c r="Q1899" t="str">
        <f t="shared" si="58"/>
        <v>&lt;01</v>
      </c>
      <c r="R1899" t="str">
        <f t="shared" si="59"/>
        <v>[wNqJp8oRIcF]|&lt;01|Male|PopART.Rt.T_1|CY2024Q3</v>
      </c>
    </row>
    <row r="1900" spans="4:18" x14ac:dyDescent="0.2">
      <c r="D1900" t="s">
        <v>123</v>
      </c>
      <c r="E1900" t="s">
        <v>124</v>
      </c>
      <c r="F1900" t="s">
        <v>125</v>
      </c>
      <c r="G1900" t="s">
        <v>145</v>
      </c>
      <c r="H1900" t="s">
        <v>145</v>
      </c>
      <c r="I1900" t="s">
        <v>33</v>
      </c>
      <c r="J1900" t="s">
        <v>34</v>
      </c>
      <c r="K1900" t="s">
        <v>48</v>
      </c>
      <c r="L1900" t="s">
        <v>49</v>
      </c>
      <c r="M1900" t="s">
        <v>140</v>
      </c>
      <c r="N1900">
        <v>0.53777086799999996</v>
      </c>
      <c r="O1900">
        <v>9.7591193000000007E-2</v>
      </c>
      <c r="P1900">
        <v>1.848118E-2</v>
      </c>
      <c r="Q1900" t="str">
        <f t="shared" si="58"/>
        <v>01-09</v>
      </c>
      <c r="R1900" t="str">
        <f t="shared" si="59"/>
        <v>[wNqJp8oRIcF]|01-09|Male|PopART.Rt.T_1|CY2024Q3</v>
      </c>
    </row>
    <row r="1901" spans="4:18" x14ac:dyDescent="0.2">
      <c r="D1901" t="s">
        <v>123</v>
      </c>
      <c r="E1901" t="s">
        <v>124</v>
      </c>
      <c r="F1901" t="s">
        <v>125</v>
      </c>
      <c r="G1901" t="s">
        <v>145</v>
      </c>
      <c r="H1901" t="s">
        <v>145</v>
      </c>
      <c r="I1901" t="s">
        <v>36</v>
      </c>
      <c r="J1901" t="s">
        <v>37</v>
      </c>
      <c r="K1901" t="s">
        <v>48</v>
      </c>
      <c r="L1901" t="s">
        <v>49</v>
      </c>
      <c r="M1901" t="s">
        <v>140</v>
      </c>
      <c r="N1901">
        <v>0.58327093100000005</v>
      </c>
      <c r="O1901">
        <v>8.9263182999999996E-2</v>
      </c>
      <c r="P1901">
        <v>1.848118E-2</v>
      </c>
      <c r="Q1901" t="str">
        <f t="shared" si="58"/>
        <v>10-14</v>
      </c>
      <c r="R1901" t="str">
        <f t="shared" si="59"/>
        <v>[wNqJp8oRIcF]|10-14|Male|PopART.Rt.T_1|CY2024Q3</v>
      </c>
    </row>
    <row r="1902" spans="4:18" x14ac:dyDescent="0.2">
      <c r="D1902" t="s">
        <v>123</v>
      </c>
      <c r="E1902" t="s">
        <v>124</v>
      </c>
      <c r="F1902" t="s">
        <v>125</v>
      </c>
      <c r="G1902" t="s">
        <v>145</v>
      </c>
      <c r="H1902" t="s">
        <v>145</v>
      </c>
      <c r="I1902" t="s">
        <v>38</v>
      </c>
      <c r="J1902" t="s">
        <v>39</v>
      </c>
      <c r="K1902" t="s">
        <v>48</v>
      </c>
      <c r="L1902" t="s">
        <v>49</v>
      </c>
      <c r="M1902" t="s">
        <v>140</v>
      </c>
      <c r="N1902">
        <v>0.88483243499999997</v>
      </c>
      <c r="O1902">
        <v>4.5994142000000002E-2</v>
      </c>
      <c r="P1902">
        <v>1.848118E-2</v>
      </c>
      <c r="Q1902" t="str">
        <f t="shared" si="58"/>
        <v>15-24</v>
      </c>
      <c r="R1902" t="str">
        <f t="shared" si="59"/>
        <v>[wNqJp8oRIcF]|15-24|Male|PopART.Rt.T_1|CY2024Q3</v>
      </c>
    </row>
    <row r="1903" spans="4:18" x14ac:dyDescent="0.2">
      <c r="D1903" t="s">
        <v>123</v>
      </c>
      <c r="E1903" t="s">
        <v>124</v>
      </c>
      <c r="F1903" t="s">
        <v>125</v>
      </c>
      <c r="G1903" t="s">
        <v>145</v>
      </c>
      <c r="H1903" t="s">
        <v>145</v>
      </c>
      <c r="I1903" t="s">
        <v>41</v>
      </c>
      <c r="J1903" t="s">
        <v>42</v>
      </c>
      <c r="K1903" t="s">
        <v>48</v>
      </c>
      <c r="L1903" t="s">
        <v>49</v>
      </c>
      <c r="M1903" t="s">
        <v>140</v>
      </c>
      <c r="N1903">
        <v>0.851851421</v>
      </c>
      <c r="O1903">
        <v>5.5400290999999997E-2</v>
      </c>
      <c r="P1903">
        <v>1.848118E-2</v>
      </c>
      <c r="Q1903" t="str">
        <f t="shared" si="58"/>
        <v>25-34</v>
      </c>
      <c r="R1903" t="str">
        <f t="shared" si="59"/>
        <v>[wNqJp8oRIcF]|25-34|Male|PopART.Rt.T_1|CY2024Q3</v>
      </c>
    </row>
    <row r="1904" spans="4:18" x14ac:dyDescent="0.2">
      <c r="D1904" t="s">
        <v>123</v>
      </c>
      <c r="E1904" t="s">
        <v>124</v>
      </c>
      <c r="F1904" t="s">
        <v>125</v>
      </c>
      <c r="G1904" t="s">
        <v>145</v>
      </c>
      <c r="H1904" t="s">
        <v>145</v>
      </c>
      <c r="I1904" t="s">
        <v>43</v>
      </c>
      <c r="J1904" t="s">
        <v>44</v>
      </c>
      <c r="K1904" t="s">
        <v>48</v>
      </c>
      <c r="L1904" t="s">
        <v>49</v>
      </c>
      <c r="M1904" t="s">
        <v>140</v>
      </c>
      <c r="N1904">
        <v>0.90792339799999999</v>
      </c>
      <c r="O1904">
        <v>3.1330873000000002E-2</v>
      </c>
      <c r="P1904">
        <v>1.848118E-2</v>
      </c>
      <c r="Q1904" t="str">
        <f t="shared" si="58"/>
        <v>35-49</v>
      </c>
      <c r="R1904" t="str">
        <f t="shared" si="59"/>
        <v>[wNqJp8oRIcF]|35-49|Male|PopART.Rt.T_1|CY2024Q3</v>
      </c>
    </row>
    <row r="1905" spans="4:18" x14ac:dyDescent="0.2">
      <c r="D1905" t="s">
        <v>123</v>
      </c>
      <c r="E1905" t="s">
        <v>124</v>
      </c>
      <c r="F1905" t="s">
        <v>125</v>
      </c>
      <c r="G1905" t="s">
        <v>145</v>
      </c>
      <c r="H1905" t="s">
        <v>145</v>
      </c>
      <c r="I1905" t="s">
        <v>45</v>
      </c>
      <c r="J1905" t="s">
        <v>46</v>
      </c>
      <c r="K1905" t="s">
        <v>48</v>
      </c>
      <c r="L1905" t="s">
        <v>49</v>
      </c>
      <c r="M1905" t="s">
        <v>140</v>
      </c>
      <c r="N1905">
        <v>0.93660958599999999</v>
      </c>
      <c r="O1905">
        <v>2.6116363E-2</v>
      </c>
      <c r="P1905">
        <v>1.848118E-2</v>
      </c>
      <c r="Q1905" t="str">
        <f t="shared" si="58"/>
        <v>50+</v>
      </c>
      <c r="R1905" t="str">
        <f t="shared" si="59"/>
        <v>[wNqJp8oRIcF]|50+|Male|PopART.Rt.T_1|CY2024Q3</v>
      </c>
    </row>
    <row r="1906" spans="4:18" x14ac:dyDescent="0.2">
      <c r="D1906" t="s">
        <v>126</v>
      </c>
      <c r="E1906" t="s">
        <v>127</v>
      </c>
      <c r="F1906" t="s">
        <v>128</v>
      </c>
      <c r="G1906" t="s">
        <v>145</v>
      </c>
      <c r="H1906" t="s">
        <v>145</v>
      </c>
      <c r="I1906" t="s">
        <v>28</v>
      </c>
      <c r="J1906" t="s">
        <v>29</v>
      </c>
      <c r="K1906" t="s">
        <v>30</v>
      </c>
      <c r="L1906" t="s">
        <v>31</v>
      </c>
      <c r="M1906" t="s">
        <v>140</v>
      </c>
      <c r="N1906">
        <v>0.60210805099999998</v>
      </c>
      <c r="O1906">
        <v>5.2677808999999999E-2</v>
      </c>
      <c r="P1906">
        <v>1.2662001000000001E-2</v>
      </c>
      <c r="Q1906" t="str">
        <f t="shared" si="58"/>
        <v>&lt;01</v>
      </c>
      <c r="R1906" t="str">
        <f t="shared" si="59"/>
        <v>[ul0y9diGujK]|&lt;01|Female|PopART.Rt.T_1|CY2024Q3</v>
      </c>
    </row>
    <row r="1907" spans="4:18" x14ac:dyDescent="0.2">
      <c r="D1907" t="s">
        <v>126</v>
      </c>
      <c r="E1907" t="s">
        <v>127</v>
      </c>
      <c r="F1907" t="s">
        <v>128</v>
      </c>
      <c r="G1907" t="s">
        <v>145</v>
      </c>
      <c r="H1907" t="s">
        <v>145</v>
      </c>
      <c r="I1907" t="s">
        <v>33</v>
      </c>
      <c r="J1907" t="s">
        <v>34</v>
      </c>
      <c r="K1907" t="s">
        <v>30</v>
      </c>
      <c r="L1907" t="s">
        <v>31</v>
      </c>
      <c r="M1907" t="s">
        <v>140</v>
      </c>
      <c r="N1907">
        <v>0.64762971499999999</v>
      </c>
      <c r="O1907">
        <v>5.1084806000000003E-2</v>
      </c>
      <c r="P1907">
        <v>1.2662001000000001E-2</v>
      </c>
      <c r="Q1907" t="str">
        <f t="shared" si="58"/>
        <v>01-09</v>
      </c>
      <c r="R1907" t="str">
        <f t="shared" si="59"/>
        <v>[ul0y9diGujK]|01-09|Female|PopART.Rt.T_1|CY2024Q3</v>
      </c>
    </row>
    <row r="1908" spans="4:18" x14ac:dyDescent="0.2">
      <c r="D1908" t="s">
        <v>126</v>
      </c>
      <c r="E1908" t="s">
        <v>127</v>
      </c>
      <c r="F1908" t="s">
        <v>128</v>
      </c>
      <c r="G1908" t="s">
        <v>145</v>
      </c>
      <c r="H1908" t="s">
        <v>145</v>
      </c>
      <c r="I1908" t="s">
        <v>36</v>
      </c>
      <c r="J1908" t="s">
        <v>37</v>
      </c>
      <c r="K1908" t="s">
        <v>30</v>
      </c>
      <c r="L1908" t="s">
        <v>31</v>
      </c>
      <c r="M1908" t="s">
        <v>140</v>
      </c>
      <c r="N1908">
        <v>0.68907048900000001</v>
      </c>
      <c r="O1908">
        <v>4.3203045000000002E-2</v>
      </c>
      <c r="P1908">
        <v>1.2662001000000001E-2</v>
      </c>
      <c r="Q1908" t="str">
        <f t="shared" si="58"/>
        <v>10-14</v>
      </c>
      <c r="R1908" t="str">
        <f t="shared" si="59"/>
        <v>[ul0y9diGujK]|10-14|Female|PopART.Rt.T_1|CY2024Q3</v>
      </c>
    </row>
    <row r="1909" spans="4:18" x14ac:dyDescent="0.2">
      <c r="D1909" t="s">
        <v>126</v>
      </c>
      <c r="E1909" t="s">
        <v>127</v>
      </c>
      <c r="F1909" t="s">
        <v>128</v>
      </c>
      <c r="G1909" t="s">
        <v>145</v>
      </c>
      <c r="H1909" t="s">
        <v>145</v>
      </c>
      <c r="I1909" t="s">
        <v>38</v>
      </c>
      <c r="J1909" t="s">
        <v>39</v>
      </c>
      <c r="K1909" t="s">
        <v>30</v>
      </c>
      <c r="L1909" t="s">
        <v>31</v>
      </c>
      <c r="M1909" t="s">
        <v>140</v>
      </c>
      <c r="N1909">
        <v>0.94278845899999997</v>
      </c>
      <c r="O1909">
        <v>2.4607740999999999E-2</v>
      </c>
      <c r="P1909">
        <v>1.2662001000000001E-2</v>
      </c>
      <c r="Q1909" t="str">
        <f t="shared" si="58"/>
        <v>15-24</v>
      </c>
      <c r="R1909" t="str">
        <f t="shared" si="59"/>
        <v>[ul0y9diGujK]|15-24|Female|PopART.Rt.T_1|CY2024Q3</v>
      </c>
    </row>
    <row r="1910" spans="4:18" x14ac:dyDescent="0.2">
      <c r="D1910" t="s">
        <v>126</v>
      </c>
      <c r="E1910" t="s">
        <v>127</v>
      </c>
      <c r="F1910" t="s">
        <v>128</v>
      </c>
      <c r="G1910" t="s">
        <v>145</v>
      </c>
      <c r="H1910" t="s">
        <v>145</v>
      </c>
      <c r="I1910" t="s">
        <v>41</v>
      </c>
      <c r="J1910" t="s">
        <v>42</v>
      </c>
      <c r="K1910" t="s">
        <v>30</v>
      </c>
      <c r="L1910" t="s">
        <v>31</v>
      </c>
      <c r="M1910" t="s">
        <v>140</v>
      </c>
      <c r="N1910">
        <v>0.96969375599999996</v>
      </c>
      <c r="O1910">
        <v>1.2832075E-2</v>
      </c>
      <c r="P1910">
        <v>1.2662001000000001E-2</v>
      </c>
      <c r="Q1910" t="str">
        <f t="shared" si="58"/>
        <v>25-34</v>
      </c>
      <c r="R1910" t="str">
        <f t="shared" si="59"/>
        <v>[ul0y9diGujK]|25-34|Female|PopART.Rt.T_1|CY2024Q3</v>
      </c>
    </row>
    <row r="1911" spans="4:18" x14ac:dyDescent="0.2">
      <c r="D1911" t="s">
        <v>126</v>
      </c>
      <c r="E1911" t="s">
        <v>127</v>
      </c>
      <c r="F1911" t="s">
        <v>128</v>
      </c>
      <c r="G1911" t="s">
        <v>145</v>
      </c>
      <c r="H1911" t="s">
        <v>145</v>
      </c>
      <c r="I1911" t="s">
        <v>43</v>
      </c>
      <c r="J1911" t="s">
        <v>44</v>
      </c>
      <c r="K1911" t="s">
        <v>30</v>
      </c>
      <c r="L1911" t="s">
        <v>31</v>
      </c>
      <c r="M1911" t="s">
        <v>140</v>
      </c>
      <c r="N1911">
        <v>0.98503778099999995</v>
      </c>
      <c r="O1911">
        <v>6.5238859999999996E-3</v>
      </c>
      <c r="P1911">
        <v>1.2662001000000001E-2</v>
      </c>
      <c r="Q1911" t="str">
        <f t="shared" si="58"/>
        <v>35-49</v>
      </c>
      <c r="R1911" t="str">
        <f t="shared" si="59"/>
        <v>[ul0y9diGujK]|35-49|Female|PopART.Rt.T_1|CY2024Q3</v>
      </c>
    </row>
    <row r="1912" spans="4:18" x14ac:dyDescent="0.2">
      <c r="D1912" t="s">
        <v>126</v>
      </c>
      <c r="E1912" t="s">
        <v>127</v>
      </c>
      <c r="F1912" t="s">
        <v>128</v>
      </c>
      <c r="G1912" t="s">
        <v>145</v>
      </c>
      <c r="H1912" t="s">
        <v>145</v>
      </c>
      <c r="I1912" t="s">
        <v>45</v>
      </c>
      <c r="J1912" t="s">
        <v>46</v>
      </c>
      <c r="K1912" t="s">
        <v>30</v>
      </c>
      <c r="L1912" t="s">
        <v>31</v>
      </c>
      <c r="M1912" t="s">
        <v>140</v>
      </c>
      <c r="N1912">
        <v>0.98972613899999995</v>
      </c>
      <c r="O1912">
        <v>4.5696529999999999E-3</v>
      </c>
      <c r="P1912">
        <v>1.2662001000000001E-2</v>
      </c>
      <c r="Q1912" t="str">
        <f t="shared" si="58"/>
        <v>50+</v>
      </c>
      <c r="R1912" t="str">
        <f t="shared" si="59"/>
        <v>[ul0y9diGujK]|50+|Female|PopART.Rt.T_1|CY2024Q3</v>
      </c>
    </row>
    <row r="1913" spans="4:18" x14ac:dyDescent="0.2">
      <c r="D1913" t="s">
        <v>126</v>
      </c>
      <c r="E1913" t="s">
        <v>127</v>
      </c>
      <c r="F1913" t="s">
        <v>128</v>
      </c>
      <c r="G1913" t="s">
        <v>145</v>
      </c>
      <c r="H1913" t="s">
        <v>145</v>
      </c>
      <c r="I1913" t="s">
        <v>28</v>
      </c>
      <c r="J1913" t="s">
        <v>29</v>
      </c>
      <c r="K1913" t="s">
        <v>48</v>
      </c>
      <c r="L1913" t="s">
        <v>49</v>
      </c>
      <c r="M1913" t="s">
        <v>140</v>
      </c>
      <c r="N1913">
        <v>0.602619452</v>
      </c>
      <c r="O1913">
        <v>5.2537405000000002E-2</v>
      </c>
      <c r="P1913">
        <v>1.2662001000000001E-2</v>
      </c>
      <c r="Q1913" t="str">
        <f t="shared" si="58"/>
        <v>&lt;01</v>
      </c>
      <c r="R1913" t="str">
        <f t="shared" si="59"/>
        <v>[ul0y9diGujK]|&lt;01|Male|PopART.Rt.T_1|CY2024Q3</v>
      </c>
    </row>
    <row r="1914" spans="4:18" x14ac:dyDescent="0.2">
      <c r="D1914" t="s">
        <v>126</v>
      </c>
      <c r="E1914" t="s">
        <v>127</v>
      </c>
      <c r="F1914" t="s">
        <v>128</v>
      </c>
      <c r="G1914" t="s">
        <v>145</v>
      </c>
      <c r="H1914" t="s">
        <v>145</v>
      </c>
      <c r="I1914" t="s">
        <v>33</v>
      </c>
      <c r="J1914" t="s">
        <v>34</v>
      </c>
      <c r="K1914" t="s">
        <v>48</v>
      </c>
      <c r="L1914" t="s">
        <v>49</v>
      </c>
      <c r="M1914" t="s">
        <v>140</v>
      </c>
      <c r="N1914">
        <v>0.64811048599999999</v>
      </c>
      <c r="O1914">
        <v>5.0352940999999998E-2</v>
      </c>
      <c r="P1914">
        <v>1.2662001000000001E-2</v>
      </c>
      <c r="Q1914" t="str">
        <f t="shared" si="58"/>
        <v>01-09</v>
      </c>
      <c r="R1914" t="str">
        <f t="shared" si="59"/>
        <v>[ul0y9diGujK]|01-09|Male|PopART.Rt.T_1|CY2024Q3</v>
      </c>
    </row>
    <row r="1915" spans="4:18" x14ac:dyDescent="0.2">
      <c r="D1915" t="s">
        <v>126</v>
      </c>
      <c r="E1915" t="s">
        <v>127</v>
      </c>
      <c r="F1915" t="s">
        <v>128</v>
      </c>
      <c r="G1915" t="s">
        <v>145</v>
      </c>
      <c r="H1915" t="s">
        <v>145</v>
      </c>
      <c r="I1915" t="s">
        <v>36</v>
      </c>
      <c r="J1915" t="s">
        <v>37</v>
      </c>
      <c r="K1915" t="s">
        <v>48</v>
      </c>
      <c r="L1915" t="s">
        <v>49</v>
      </c>
      <c r="M1915" t="s">
        <v>140</v>
      </c>
      <c r="N1915">
        <v>0.68910099300000005</v>
      </c>
      <c r="O1915">
        <v>4.493345E-2</v>
      </c>
      <c r="P1915">
        <v>1.2662001000000001E-2</v>
      </c>
      <c r="Q1915" t="str">
        <f t="shared" si="58"/>
        <v>10-14</v>
      </c>
      <c r="R1915" t="str">
        <f t="shared" si="59"/>
        <v>[ul0y9diGujK]|10-14|Male|PopART.Rt.T_1|CY2024Q3</v>
      </c>
    </row>
    <row r="1916" spans="4:18" x14ac:dyDescent="0.2">
      <c r="D1916" t="s">
        <v>126</v>
      </c>
      <c r="E1916" t="s">
        <v>127</v>
      </c>
      <c r="F1916" t="s">
        <v>128</v>
      </c>
      <c r="G1916" t="s">
        <v>145</v>
      </c>
      <c r="H1916" t="s">
        <v>145</v>
      </c>
      <c r="I1916" t="s">
        <v>38</v>
      </c>
      <c r="J1916" t="s">
        <v>39</v>
      </c>
      <c r="K1916" t="s">
        <v>48</v>
      </c>
      <c r="L1916" t="s">
        <v>49</v>
      </c>
      <c r="M1916" t="s">
        <v>140</v>
      </c>
      <c r="N1916">
        <v>0.91191234399999999</v>
      </c>
      <c r="O1916">
        <v>3.4559072000000003E-2</v>
      </c>
      <c r="P1916">
        <v>1.2662001000000001E-2</v>
      </c>
      <c r="Q1916" t="str">
        <f t="shared" si="58"/>
        <v>15-24</v>
      </c>
      <c r="R1916" t="str">
        <f t="shared" si="59"/>
        <v>[ul0y9diGujK]|15-24|Male|PopART.Rt.T_1|CY2024Q3</v>
      </c>
    </row>
    <row r="1917" spans="4:18" x14ac:dyDescent="0.2">
      <c r="D1917" t="s">
        <v>126</v>
      </c>
      <c r="E1917" t="s">
        <v>127</v>
      </c>
      <c r="F1917" t="s">
        <v>128</v>
      </c>
      <c r="G1917" t="s">
        <v>145</v>
      </c>
      <c r="H1917" t="s">
        <v>145</v>
      </c>
      <c r="I1917" t="s">
        <v>41</v>
      </c>
      <c r="J1917" t="s">
        <v>42</v>
      </c>
      <c r="K1917" t="s">
        <v>48</v>
      </c>
      <c r="L1917" t="s">
        <v>49</v>
      </c>
      <c r="M1917" t="s">
        <v>140</v>
      </c>
      <c r="N1917">
        <v>0.88571062700000003</v>
      </c>
      <c r="O1917">
        <v>4.2624405999999997E-2</v>
      </c>
      <c r="P1917">
        <v>1.2662001000000001E-2</v>
      </c>
      <c r="Q1917" t="str">
        <f t="shared" si="58"/>
        <v>25-34</v>
      </c>
      <c r="R1917" t="str">
        <f t="shared" si="59"/>
        <v>[ul0y9diGujK]|25-34|Male|PopART.Rt.T_1|CY2024Q3</v>
      </c>
    </row>
    <row r="1918" spans="4:18" x14ac:dyDescent="0.2">
      <c r="D1918" t="s">
        <v>126</v>
      </c>
      <c r="E1918" t="s">
        <v>127</v>
      </c>
      <c r="F1918" t="s">
        <v>128</v>
      </c>
      <c r="G1918" t="s">
        <v>145</v>
      </c>
      <c r="H1918" t="s">
        <v>145</v>
      </c>
      <c r="I1918" t="s">
        <v>43</v>
      </c>
      <c r="J1918" t="s">
        <v>44</v>
      </c>
      <c r="K1918" t="s">
        <v>48</v>
      </c>
      <c r="L1918" t="s">
        <v>49</v>
      </c>
      <c r="M1918" t="s">
        <v>140</v>
      </c>
      <c r="N1918">
        <v>0.93047459600000004</v>
      </c>
      <c r="O1918">
        <v>2.3790875999999999E-2</v>
      </c>
      <c r="P1918">
        <v>1.2662001000000001E-2</v>
      </c>
      <c r="Q1918" t="str">
        <f t="shared" si="58"/>
        <v>35-49</v>
      </c>
      <c r="R1918" t="str">
        <f t="shared" si="59"/>
        <v>[ul0y9diGujK]|35-49|Male|PopART.Rt.T_1|CY2024Q3</v>
      </c>
    </row>
    <row r="1919" spans="4:18" x14ac:dyDescent="0.2">
      <c r="D1919" t="s">
        <v>126</v>
      </c>
      <c r="E1919" t="s">
        <v>127</v>
      </c>
      <c r="F1919" t="s">
        <v>128</v>
      </c>
      <c r="G1919" t="s">
        <v>145</v>
      </c>
      <c r="H1919" t="s">
        <v>145</v>
      </c>
      <c r="I1919" t="s">
        <v>45</v>
      </c>
      <c r="J1919" t="s">
        <v>46</v>
      </c>
      <c r="K1919" t="s">
        <v>48</v>
      </c>
      <c r="L1919" t="s">
        <v>49</v>
      </c>
      <c r="M1919" t="s">
        <v>140</v>
      </c>
      <c r="N1919">
        <v>0.95247974300000005</v>
      </c>
      <c r="O1919">
        <v>1.9107974999999999E-2</v>
      </c>
      <c r="P1919">
        <v>1.2662001000000001E-2</v>
      </c>
      <c r="Q1919" t="str">
        <f t="shared" si="58"/>
        <v>50+</v>
      </c>
      <c r="R1919" t="str">
        <f t="shared" si="59"/>
        <v>[ul0y9diGujK]|50+|Male|PopART.Rt.T_1|CY2024Q3</v>
      </c>
    </row>
    <row r="1920" spans="4:18" x14ac:dyDescent="0.2">
      <c r="D1920" t="s">
        <v>129</v>
      </c>
      <c r="E1920" t="s">
        <v>130</v>
      </c>
      <c r="F1920" t="s">
        <v>131</v>
      </c>
      <c r="G1920" t="s">
        <v>145</v>
      </c>
      <c r="H1920" t="s">
        <v>145</v>
      </c>
      <c r="I1920" t="s">
        <v>28</v>
      </c>
      <c r="J1920" t="s">
        <v>29</v>
      </c>
      <c r="K1920" t="s">
        <v>30</v>
      </c>
      <c r="L1920" t="s">
        <v>31</v>
      </c>
      <c r="M1920" t="s">
        <v>140</v>
      </c>
      <c r="N1920">
        <v>0.78882313900000001</v>
      </c>
      <c r="O1920">
        <v>3.8348614000000003E-2</v>
      </c>
      <c r="P1920">
        <v>1.2656888E-2</v>
      </c>
      <c r="Q1920" t="str">
        <f t="shared" si="58"/>
        <v>&lt;01</v>
      </c>
      <c r="R1920" t="str">
        <f t="shared" si="59"/>
        <v>[U8c0so51kT6]|&lt;01|Female|PopART.Rt.T_1|CY2024Q3</v>
      </c>
    </row>
    <row r="1921" spans="4:18" x14ac:dyDescent="0.2">
      <c r="D1921" t="s">
        <v>129</v>
      </c>
      <c r="E1921" t="s">
        <v>130</v>
      </c>
      <c r="F1921" t="s">
        <v>131</v>
      </c>
      <c r="G1921" t="s">
        <v>145</v>
      </c>
      <c r="H1921" t="s">
        <v>145</v>
      </c>
      <c r="I1921" t="s">
        <v>33</v>
      </c>
      <c r="J1921" t="s">
        <v>34</v>
      </c>
      <c r="K1921" t="s">
        <v>30</v>
      </c>
      <c r="L1921" t="s">
        <v>31</v>
      </c>
      <c r="M1921" t="s">
        <v>140</v>
      </c>
      <c r="N1921">
        <v>0.83652184399999996</v>
      </c>
      <c r="O1921">
        <v>3.6737733000000002E-2</v>
      </c>
      <c r="P1921">
        <v>1.2656888E-2</v>
      </c>
      <c r="Q1921" t="str">
        <f t="shared" si="58"/>
        <v>01-09</v>
      </c>
      <c r="R1921" t="str">
        <f t="shared" si="59"/>
        <v>[U8c0so51kT6]|01-09|Female|PopART.Rt.T_1|CY2024Q3</v>
      </c>
    </row>
    <row r="1922" spans="4:18" x14ac:dyDescent="0.2">
      <c r="D1922" t="s">
        <v>129</v>
      </c>
      <c r="E1922" t="s">
        <v>130</v>
      </c>
      <c r="F1922" t="s">
        <v>131</v>
      </c>
      <c r="G1922" t="s">
        <v>145</v>
      </c>
      <c r="H1922" t="s">
        <v>145</v>
      </c>
      <c r="I1922" t="s">
        <v>36</v>
      </c>
      <c r="J1922" t="s">
        <v>37</v>
      </c>
      <c r="K1922" t="s">
        <v>30</v>
      </c>
      <c r="L1922" t="s">
        <v>31</v>
      </c>
      <c r="M1922" t="s">
        <v>140</v>
      </c>
      <c r="N1922">
        <v>0.85945853100000003</v>
      </c>
      <c r="O1922">
        <v>3.0289244E-2</v>
      </c>
      <c r="P1922">
        <v>1.2656888E-2</v>
      </c>
      <c r="Q1922" t="str">
        <f t="shared" si="58"/>
        <v>10-14</v>
      </c>
      <c r="R1922" t="str">
        <f t="shared" si="59"/>
        <v>[U8c0so51kT6]|10-14|Female|PopART.Rt.T_1|CY2024Q3</v>
      </c>
    </row>
    <row r="1923" spans="4:18" x14ac:dyDescent="0.2">
      <c r="D1923" t="s">
        <v>129</v>
      </c>
      <c r="E1923" t="s">
        <v>130</v>
      </c>
      <c r="F1923" t="s">
        <v>131</v>
      </c>
      <c r="G1923" t="s">
        <v>145</v>
      </c>
      <c r="H1923" t="s">
        <v>145</v>
      </c>
      <c r="I1923" t="s">
        <v>38</v>
      </c>
      <c r="J1923" t="s">
        <v>39</v>
      </c>
      <c r="K1923" t="s">
        <v>30</v>
      </c>
      <c r="L1923" t="s">
        <v>31</v>
      </c>
      <c r="M1923" t="s">
        <v>140</v>
      </c>
      <c r="N1923">
        <v>0.95003399700000002</v>
      </c>
      <c r="O1923">
        <v>2.2412672000000002E-2</v>
      </c>
      <c r="P1923">
        <v>1.2656888E-2</v>
      </c>
      <c r="Q1923" t="str">
        <f t="shared" ref="Q1923:Q1986" si="60">SUBSTITUTE(SUBSTITUTE($I1923,CHAR(61),""),CHAR(34),"")</f>
        <v>15-24</v>
      </c>
      <c r="R1923" t="str">
        <f t="shared" ref="R1923:R1986" si="61">IF($D1923&lt;&gt;"","["&amp;$E1923&amp;"]"&amp;"|"&amp;$Q1923&amp;"|"&amp;$K1923&amp;"|"&amp;$G1923&amp;"|"&amp;IF($G1923="TX_CURR_SUBNAT.R","CY2023Q4",$M1923),"")</f>
        <v>[U8c0so51kT6]|15-24|Female|PopART.Rt.T_1|CY2024Q3</v>
      </c>
    </row>
    <row r="1924" spans="4:18" x14ac:dyDescent="0.2">
      <c r="D1924" t="s">
        <v>129</v>
      </c>
      <c r="E1924" t="s">
        <v>130</v>
      </c>
      <c r="F1924" t="s">
        <v>131</v>
      </c>
      <c r="G1924" t="s">
        <v>145</v>
      </c>
      <c r="H1924" t="s">
        <v>145</v>
      </c>
      <c r="I1924" t="s">
        <v>41</v>
      </c>
      <c r="J1924" t="s">
        <v>42</v>
      </c>
      <c r="K1924" t="s">
        <v>30</v>
      </c>
      <c r="L1924" t="s">
        <v>31</v>
      </c>
      <c r="M1924" t="s">
        <v>140</v>
      </c>
      <c r="N1924">
        <v>0.97356952699999999</v>
      </c>
      <c r="O1924">
        <v>1.1625007E-2</v>
      </c>
      <c r="P1924">
        <v>1.2656888E-2</v>
      </c>
      <c r="Q1924" t="str">
        <f t="shared" si="60"/>
        <v>25-34</v>
      </c>
      <c r="R1924" t="str">
        <f t="shared" si="61"/>
        <v>[U8c0so51kT6]|25-34|Female|PopART.Rt.T_1|CY2024Q3</v>
      </c>
    </row>
    <row r="1925" spans="4:18" x14ac:dyDescent="0.2">
      <c r="D1925" t="s">
        <v>129</v>
      </c>
      <c r="E1925" t="s">
        <v>130</v>
      </c>
      <c r="F1925" t="s">
        <v>131</v>
      </c>
      <c r="G1925" t="s">
        <v>145</v>
      </c>
      <c r="H1925" t="s">
        <v>145</v>
      </c>
      <c r="I1925" t="s">
        <v>43</v>
      </c>
      <c r="J1925" t="s">
        <v>44</v>
      </c>
      <c r="K1925" t="s">
        <v>30</v>
      </c>
      <c r="L1925" t="s">
        <v>31</v>
      </c>
      <c r="M1925" t="s">
        <v>140</v>
      </c>
      <c r="N1925">
        <v>0.98694368399999999</v>
      </c>
      <c r="O1925">
        <v>5.9304739999999998E-3</v>
      </c>
      <c r="P1925">
        <v>1.2656888E-2</v>
      </c>
      <c r="Q1925" t="str">
        <f t="shared" si="60"/>
        <v>35-49</v>
      </c>
      <c r="R1925" t="str">
        <f t="shared" si="61"/>
        <v>[U8c0so51kT6]|35-49|Female|PopART.Rt.T_1|CY2024Q3</v>
      </c>
    </row>
    <row r="1926" spans="4:18" x14ac:dyDescent="0.2">
      <c r="D1926" t="s">
        <v>129</v>
      </c>
      <c r="E1926" t="s">
        <v>130</v>
      </c>
      <c r="F1926" t="s">
        <v>131</v>
      </c>
      <c r="G1926" t="s">
        <v>145</v>
      </c>
      <c r="H1926" t="s">
        <v>145</v>
      </c>
      <c r="I1926" t="s">
        <v>45</v>
      </c>
      <c r="J1926" t="s">
        <v>46</v>
      </c>
      <c r="K1926" t="s">
        <v>30</v>
      </c>
      <c r="L1926" t="s">
        <v>31</v>
      </c>
      <c r="M1926" t="s">
        <v>140</v>
      </c>
      <c r="N1926">
        <v>0.99108265299999998</v>
      </c>
      <c r="O1926">
        <v>3.9966439999999997E-3</v>
      </c>
      <c r="P1926">
        <v>1.2656888E-2</v>
      </c>
      <c r="Q1926" t="str">
        <f t="shared" si="60"/>
        <v>50+</v>
      </c>
      <c r="R1926" t="str">
        <f t="shared" si="61"/>
        <v>[U8c0so51kT6]|50+|Female|PopART.Rt.T_1|CY2024Q3</v>
      </c>
    </row>
    <row r="1927" spans="4:18" x14ac:dyDescent="0.2">
      <c r="D1927" t="s">
        <v>129</v>
      </c>
      <c r="E1927" t="s">
        <v>130</v>
      </c>
      <c r="F1927" t="s">
        <v>131</v>
      </c>
      <c r="G1927" t="s">
        <v>145</v>
      </c>
      <c r="H1927" t="s">
        <v>145</v>
      </c>
      <c r="I1927" t="s">
        <v>28</v>
      </c>
      <c r="J1927" t="s">
        <v>29</v>
      </c>
      <c r="K1927" t="s">
        <v>48</v>
      </c>
      <c r="L1927" t="s">
        <v>49</v>
      </c>
      <c r="M1927" t="s">
        <v>140</v>
      </c>
      <c r="N1927">
        <v>0.788980028</v>
      </c>
      <c r="O1927">
        <v>3.8392954E-2</v>
      </c>
      <c r="P1927">
        <v>1.2656888E-2</v>
      </c>
      <c r="Q1927" t="str">
        <f t="shared" si="60"/>
        <v>&lt;01</v>
      </c>
      <c r="R1927" t="str">
        <f t="shared" si="61"/>
        <v>[U8c0so51kT6]|&lt;01|Male|PopART.Rt.T_1|CY2024Q3</v>
      </c>
    </row>
    <row r="1928" spans="4:18" x14ac:dyDescent="0.2">
      <c r="D1928" t="s">
        <v>129</v>
      </c>
      <c r="E1928" t="s">
        <v>130</v>
      </c>
      <c r="F1928" t="s">
        <v>131</v>
      </c>
      <c r="G1928" t="s">
        <v>145</v>
      </c>
      <c r="H1928" t="s">
        <v>145</v>
      </c>
      <c r="I1928" t="s">
        <v>33</v>
      </c>
      <c r="J1928" t="s">
        <v>34</v>
      </c>
      <c r="K1928" t="s">
        <v>48</v>
      </c>
      <c r="L1928" t="s">
        <v>49</v>
      </c>
      <c r="M1928" t="s">
        <v>140</v>
      </c>
      <c r="N1928">
        <v>0.83666390499999999</v>
      </c>
      <c r="O1928">
        <v>3.6524821999999998E-2</v>
      </c>
      <c r="P1928">
        <v>1.2656888E-2</v>
      </c>
      <c r="Q1928" t="str">
        <f t="shared" si="60"/>
        <v>01-09</v>
      </c>
      <c r="R1928" t="str">
        <f t="shared" si="61"/>
        <v>[U8c0so51kT6]|01-09|Male|PopART.Rt.T_1|CY2024Q3</v>
      </c>
    </row>
    <row r="1929" spans="4:18" x14ac:dyDescent="0.2">
      <c r="D1929" t="s">
        <v>129</v>
      </c>
      <c r="E1929" t="s">
        <v>130</v>
      </c>
      <c r="F1929" t="s">
        <v>131</v>
      </c>
      <c r="G1929" t="s">
        <v>145</v>
      </c>
      <c r="H1929" t="s">
        <v>145</v>
      </c>
      <c r="I1929" t="s">
        <v>36</v>
      </c>
      <c r="J1929" t="s">
        <v>37</v>
      </c>
      <c r="K1929" t="s">
        <v>48</v>
      </c>
      <c r="L1929" t="s">
        <v>49</v>
      </c>
      <c r="M1929" t="s">
        <v>140</v>
      </c>
      <c r="N1929">
        <v>0.859367188</v>
      </c>
      <c r="O1929">
        <v>3.1084325999999999E-2</v>
      </c>
      <c r="P1929">
        <v>1.2656888E-2</v>
      </c>
      <c r="Q1929" t="str">
        <f t="shared" si="60"/>
        <v>10-14</v>
      </c>
      <c r="R1929" t="str">
        <f t="shared" si="61"/>
        <v>[U8c0so51kT6]|10-14|Male|PopART.Rt.T_1|CY2024Q3</v>
      </c>
    </row>
    <row r="1930" spans="4:18" x14ac:dyDescent="0.2">
      <c r="D1930" t="s">
        <v>129</v>
      </c>
      <c r="E1930" t="s">
        <v>130</v>
      </c>
      <c r="F1930" t="s">
        <v>131</v>
      </c>
      <c r="G1930" t="s">
        <v>145</v>
      </c>
      <c r="H1930" t="s">
        <v>145</v>
      </c>
      <c r="I1930" t="s">
        <v>38</v>
      </c>
      <c r="J1930" t="s">
        <v>39</v>
      </c>
      <c r="K1930" t="s">
        <v>48</v>
      </c>
      <c r="L1930" t="s">
        <v>49</v>
      </c>
      <c r="M1930" t="s">
        <v>140</v>
      </c>
      <c r="N1930">
        <v>0.92118114299999998</v>
      </c>
      <c r="O1930">
        <v>3.2192380999999999E-2</v>
      </c>
      <c r="P1930">
        <v>1.2656888E-2</v>
      </c>
      <c r="Q1930" t="str">
        <f t="shared" si="60"/>
        <v>15-24</v>
      </c>
      <c r="R1930" t="str">
        <f t="shared" si="61"/>
        <v>[U8c0so51kT6]|15-24|Male|PopART.Rt.T_1|CY2024Q3</v>
      </c>
    </row>
    <row r="1931" spans="4:18" x14ac:dyDescent="0.2">
      <c r="D1931" t="s">
        <v>129</v>
      </c>
      <c r="E1931" t="s">
        <v>130</v>
      </c>
      <c r="F1931" t="s">
        <v>131</v>
      </c>
      <c r="G1931" t="s">
        <v>145</v>
      </c>
      <c r="H1931" t="s">
        <v>145</v>
      </c>
      <c r="I1931" t="s">
        <v>41</v>
      </c>
      <c r="J1931" t="s">
        <v>42</v>
      </c>
      <c r="K1931" t="s">
        <v>48</v>
      </c>
      <c r="L1931" t="s">
        <v>49</v>
      </c>
      <c r="M1931" t="s">
        <v>140</v>
      </c>
      <c r="N1931">
        <v>0.89722069800000004</v>
      </c>
      <c r="O1931">
        <v>4.0601422999999998E-2</v>
      </c>
      <c r="P1931">
        <v>1.2656888E-2</v>
      </c>
      <c r="Q1931" t="str">
        <f t="shared" si="60"/>
        <v>25-34</v>
      </c>
      <c r="R1931" t="str">
        <f t="shared" si="61"/>
        <v>[U8c0so51kT6]|25-34|Male|PopART.Rt.T_1|CY2024Q3</v>
      </c>
    </row>
    <row r="1932" spans="4:18" x14ac:dyDescent="0.2">
      <c r="D1932" t="s">
        <v>129</v>
      </c>
      <c r="E1932" t="s">
        <v>130</v>
      </c>
      <c r="F1932" t="s">
        <v>131</v>
      </c>
      <c r="G1932" t="s">
        <v>145</v>
      </c>
      <c r="H1932" t="s">
        <v>145</v>
      </c>
      <c r="I1932" t="s">
        <v>43</v>
      </c>
      <c r="J1932" t="s">
        <v>44</v>
      </c>
      <c r="K1932" t="s">
        <v>48</v>
      </c>
      <c r="L1932" t="s">
        <v>49</v>
      </c>
      <c r="M1932" t="s">
        <v>140</v>
      </c>
      <c r="N1932">
        <v>0.93787394999999996</v>
      </c>
      <c r="O1932">
        <v>2.2629442999999999E-2</v>
      </c>
      <c r="P1932">
        <v>1.2656888E-2</v>
      </c>
      <c r="Q1932" t="str">
        <f t="shared" si="60"/>
        <v>35-49</v>
      </c>
      <c r="R1932" t="str">
        <f t="shared" si="61"/>
        <v>[U8c0so51kT6]|35-49|Male|PopART.Rt.T_1|CY2024Q3</v>
      </c>
    </row>
    <row r="1933" spans="4:18" x14ac:dyDescent="0.2">
      <c r="D1933" t="s">
        <v>129</v>
      </c>
      <c r="E1933" t="s">
        <v>130</v>
      </c>
      <c r="F1933" t="s">
        <v>131</v>
      </c>
      <c r="G1933" t="s">
        <v>145</v>
      </c>
      <c r="H1933" t="s">
        <v>145</v>
      </c>
      <c r="I1933" t="s">
        <v>45</v>
      </c>
      <c r="J1933" t="s">
        <v>46</v>
      </c>
      <c r="K1933" t="s">
        <v>48</v>
      </c>
      <c r="L1933" t="s">
        <v>49</v>
      </c>
      <c r="M1933" t="s">
        <v>140</v>
      </c>
      <c r="N1933">
        <v>0.957511106</v>
      </c>
      <c r="O1933">
        <v>1.7846323000000001E-2</v>
      </c>
      <c r="P1933">
        <v>1.2656888E-2</v>
      </c>
      <c r="Q1933" t="str">
        <f t="shared" si="60"/>
        <v>50+</v>
      </c>
      <c r="R1933" t="str">
        <f t="shared" si="61"/>
        <v>[U8c0so51kT6]|50+|Male|PopART.Rt.T_1|CY2024Q3</v>
      </c>
    </row>
    <row r="1934" spans="4:18" x14ac:dyDescent="0.2">
      <c r="D1934" t="s">
        <v>132</v>
      </c>
      <c r="E1934" t="s">
        <v>133</v>
      </c>
      <c r="F1934" t="s">
        <v>134</v>
      </c>
      <c r="G1934" t="s">
        <v>145</v>
      </c>
      <c r="H1934" t="s">
        <v>145</v>
      </c>
      <c r="I1934" t="s">
        <v>28</v>
      </c>
      <c r="J1934" t="s">
        <v>29</v>
      </c>
      <c r="K1934" t="s">
        <v>30</v>
      </c>
      <c r="L1934" t="s">
        <v>31</v>
      </c>
      <c r="M1934" t="s">
        <v>140</v>
      </c>
      <c r="N1934">
        <v>0.78115453800000001</v>
      </c>
      <c r="O1934">
        <v>4.6255812E-2</v>
      </c>
      <c r="P1934">
        <v>1.2110981E-2</v>
      </c>
      <c r="Q1934" t="str">
        <f t="shared" si="60"/>
        <v>&lt;01</v>
      </c>
      <c r="R1934" t="str">
        <f t="shared" si="61"/>
        <v>[rpw540fmNUz]|&lt;01|Female|PopART.Rt.T_1|CY2024Q3</v>
      </c>
    </row>
    <row r="1935" spans="4:18" x14ac:dyDescent="0.2">
      <c r="D1935" t="s">
        <v>132</v>
      </c>
      <c r="E1935" t="s">
        <v>133</v>
      </c>
      <c r="F1935" t="s">
        <v>134</v>
      </c>
      <c r="G1935" t="s">
        <v>145</v>
      </c>
      <c r="H1935" t="s">
        <v>145</v>
      </c>
      <c r="I1935" t="s">
        <v>33</v>
      </c>
      <c r="J1935" t="s">
        <v>34</v>
      </c>
      <c r="K1935" t="s">
        <v>30</v>
      </c>
      <c r="L1935" t="s">
        <v>31</v>
      </c>
      <c r="M1935" t="s">
        <v>140</v>
      </c>
      <c r="N1935">
        <v>0.82886012499999995</v>
      </c>
      <c r="O1935">
        <v>4.4393899000000001E-2</v>
      </c>
      <c r="P1935">
        <v>1.2110981E-2</v>
      </c>
      <c r="Q1935" t="str">
        <f t="shared" si="60"/>
        <v>01-09</v>
      </c>
      <c r="R1935" t="str">
        <f t="shared" si="61"/>
        <v>[rpw540fmNUz]|01-09|Female|PopART.Rt.T_1|CY2024Q3</v>
      </c>
    </row>
    <row r="1936" spans="4:18" x14ac:dyDescent="0.2">
      <c r="D1936" t="s">
        <v>132</v>
      </c>
      <c r="E1936" t="s">
        <v>133</v>
      </c>
      <c r="F1936" t="s">
        <v>134</v>
      </c>
      <c r="G1936" t="s">
        <v>145</v>
      </c>
      <c r="H1936" t="s">
        <v>145</v>
      </c>
      <c r="I1936" t="s">
        <v>36</v>
      </c>
      <c r="J1936" t="s">
        <v>37</v>
      </c>
      <c r="K1936" t="s">
        <v>30</v>
      </c>
      <c r="L1936" t="s">
        <v>31</v>
      </c>
      <c r="M1936" t="s">
        <v>140</v>
      </c>
      <c r="N1936">
        <v>0.85258405900000001</v>
      </c>
      <c r="O1936">
        <v>3.6704671000000001E-2</v>
      </c>
      <c r="P1936">
        <v>1.2110981E-2</v>
      </c>
      <c r="Q1936" t="str">
        <f t="shared" si="60"/>
        <v>10-14</v>
      </c>
      <c r="R1936" t="str">
        <f t="shared" si="61"/>
        <v>[rpw540fmNUz]|10-14|Female|PopART.Rt.T_1|CY2024Q3</v>
      </c>
    </row>
    <row r="1937" spans="4:18" x14ac:dyDescent="0.2">
      <c r="D1937" t="s">
        <v>132</v>
      </c>
      <c r="E1937" t="s">
        <v>133</v>
      </c>
      <c r="F1937" t="s">
        <v>134</v>
      </c>
      <c r="G1937" t="s">
        <v>145</v>
      </c>
      <c r="H1937" t="s">
        <v>145</v>
      </c>
      <c r="I1937" t="s">
        <v>38</v>
      </c>
      <c r="J1937" t="s">
        <v>39</v>
      </c>
      <c r="K1937" t="s">
        <v>30</v>
      </c>
      <c r="L1937" t="s">
        <v>31</v>
      </c>
      <c r="M1937" t="s">
        <v>140</v>
      </c>
      <c r="N1937">
        <v>0.95070151899999999</v>
      </c>
      <c r="O1937">
        <v>2.1449312000000002E-2</v>
      </c>
      <c r="P1937">
        <v>1.2110981E-2</v>
      </c>
      <c r="Q1937" t="str">
        <f t="shared" si="60"/>
        <v>15-24</v>
      </c>
      <c r="R1937" t="str">
        <f t="shared" si="61"/>
        <v>[rpw540fmNUz]|15-24|Female|PopART.Rt.T_1|CY2024Q3</v>
      </c>
    </row>
    <row r="1938" spans="4:18" x14ac:dyDescent="0.2">
      <c r="D1938" t="s">
        <v>132</v>
      </c>
      <c r="E1938" t="s">
        <v>133</v>
      </c>
      <c r="F1938" t="s">
        <v>134</v>
      </c>
      <c r="G1938" t="s">
        <v>145</v>
      </c>
      <c r="H1938" t="s">
        <v>145</v>
      </c>
      <c r="I1938" t="s">
        <v>41</v>
      </c>
      <c r="J1938" t="s">
        <v>42</v>
      </c>
      <c r="K1938" t="s">
        <v>30</v>
      </c>
      <c r="L1938" t="s">
        <v>31</v>
      </c>
      <c r="M1938" t="s">
        <v>140</v>
      </c>
      <c r="N1938">
        <v>0.97385967500000004</v>
      </c>
      <c r="O1938">
        <v>1.1291824000000001E-2</v>
      </c>
      <c r="P1938">
        <v>1.2110981E-2</v>
      </c>
      <c r="Q1938" t="str">
        <f t="shared" si="60"/>
        <v>25-34</v>
      </c>
      <c r="R1938" t="str">
        <f t="shared" si="61"/>
        <v>[rpw540fmNUz]|25-34|Female|PopART.Rt.T_1|CY2024Q3</v>
      </c>
    </row>
    <row r="1939" spans="4:18" x14ac:dyDescent="0.2">
      <c r="D1939" t="s">
        <v>132</v>
      </c>
      <c r="E1939" t="s">
        <v>133</v>
      </c>
      <c r="F1939" t="s">
        <v>134</v>
      </c>
      <c r="G1939" t="s">
        <v>145</v>
      </c>
      <c r="H1939" t="s">
        <v>145</v>
      </c>
      <c r="I1939" t="s">
        <v>43</v>
      </c>
      <c r="J1939" t="s">
        <v>44</v>
      </c>
      <c r="K1939" t="s">
        <v>30</v>
      </c>
      <c r="L1939" t="s">
        <v>31</v>
      </c>
      <c r="M1939" t="s">
        <v>140</v>
      </c>
      <c r="N1939">
        <v>0.98713408400000002</v>
      </c>
      <c r="O1939">
        <v>5.7671600000000003E-3</v>
      </c>
      <c r="P1939">
        <v>1.2110981E-2</v>
      </c>
      <c r="Q1939" t="str">
        <f t="shared" si="60"/>
        <v>35-49</v>
      </c>
      <c r="R1939" t="str">
        <f t="shared" si="61"/>
        <v>[rpw540fmNUz]|35-49|Female|PopART.Rt.T_1|CY2024Q3</v>
      </c>
    </row>
    <row r="1940" spans="4:18" x14ac:dyDescent="0.2">
      <c r="D1940" t="s">
        <v>132</v>
      </c>
      <c r="E1940" t="s">
        <v>133</v>
      </c>
      <c r="F1940" t="s">
        <v>134</v>
      </c>
      <c r="G1940" t="s">
        <v>145</v>
      </c>
      <c r="H1940" t="s">
        <v>145</v>
      </c>
      <c r="I1940" t="s">
        <v>45</v>
      </c>
      <c r="J1940" t="s">
        <v>46</v>
      </c>
      <c r="K1940" t="s">
        <v>30</v>
      </c>
      <c r="L1940" t="s">
        <v>31</v>
      </c>
      <c r="M1940" t="s">
        <v>140</v>
      </c>
      <c r="N1940">
        <v>0.99118106800000005</v>
      </c>
      <c r="O1940">
        <v>4.0144129999999997E-3</v>
      </c>
      <c r="P1940">
        <v>1.2110981E-2</v>
      </c>
      <c r="Q1940" t="str">
        <f t="shared" si="60"/>
        <v>50+</v>
      </c>
      <c r="R1940" t="str">
        <f t="shared" si="61"/>
        <v>[rpw540fmNUz]|50+|Female|PopART.Rt.T_1|CY2024Q3</v>
      </c>
    </row>
    <row r="1941" spans="4:18" x14ac:dyDescent="0.2">
      <c r="D1941" t="s">
        <v>132</v>
      </c>
      <c r="E1941" t="s">
        <v>133</v>
      </c>
      <c r="F1941" t="s">
        <v>134</v>
      </c>
      <c r="G1941" t="s">
        <v>145</v>
      </c>
      <c r="H1941" t="s">
        <v>145</v>
      </c>
      <c r="I1941" t="s">
        <v>28</v>
      </c>
      <c r="J1941" t="s">
        <v>29</v>
      </c>
      <c r="K1941" t="s">
        <v>48</v>
      </c>
      <c r="L1941" t="s">
        <v>49</v>
      </c>
      <c r="M1941" t="s">
        <v>140</v>
      </c>
      <c r="N1941">
        <v>0.78110216499999996</v>
      </c>
      <c r="O1941">
        <v>4.6515552000000002E-2</v>
      </c>
      <c r="P1941">
        <v>1.2110981E-2</v>
      </c>
      <c r="Q1941" t="str">
        <f t="shared" si="60"/>
        <v>&lt;01</v>
      </c>
      <c r="R1941" t="str">
        <f t="shared" si="61"/>
        <v>[rpw540fmNUz]|&lt;01|Male|PopART.Rt.T_1|CY2024Q3</v>
      </c>
    </row>
    <row r="1942" spans="4:18" x14ac:dyDescent="0.2">
      <c r="D1942" t="s">
        <v>132</v>
      </c>
      <c r="E1942" t="s">
        <v>133</v>
      </c>
      <c r="F1942" t="s">
        <v>134</v>
      </c>
      <c r="G1942" t="s">
        <v>145</v>
      </c>
      <c r="H1942" t="s">
        <v>145</v>
      </c>
      <c r="I1942" t="s">
        <v>33</v>
      </c>
      <c r="J1942" t="s">
        <v>34</v>
      </c>
      <c r="K1942" t="s">
        <v>48</v>
      </c>
      <c r="L1942" t="s">
        <v>49</v>
      </c>
      <c r="M1942" t="s">
        <v>140</v>
      </c>
      <c r="N1942">
        <v>0.82878834199999996</v>
      </c>
      <c r="O1942">
        <v>4.4308977999999999E-2</v>
      </c>
      <c r="P1942">
        <v>1.2110981E-2</v>
      </c>
      <c r="Q1942" t="str">
        <f t="shared" si="60"/>
        <v>01-09</v>
      </c>
      <c r="R1942" t="str">
        <f t="shared" si="61"/>
        <v>[rpw540fmNUz]|01-09|Male|PopART.Rt.T_1|CY2024Q3</v>
      </c>
    </row>
    <row r="1943" spans="4:18" x14ac:dyDescent="0.2">
      <c r="D1943" t="s">
        <v>132</v>
      </c>
      <c r="E1943" t="s">
        <v>133</v>
      </c>
      <c r="F1943" t="s">
        <v>134</v>
      </c>
      <c r="G1943" t="s">
        <v>145</v>
      </c>
      <c r="H1943" t="s">
        <v>145</v>
      </c>
      <c r="I1943" t="s">
        <v>36</v>
      </c>
      <c r="J1943" t="s">
        <v>37</v>
      </c>
      <c r="K1943" t="s">
        <v>48</v>
      </c>
      <c r="L1943" t="s">
        <v>49</v>
      </c>
      <c r="M1943" t="s">
        <v>140</v>
      </c>
      <c r="N1943">
        <v>0.85231247799999998</v>
      </c>
      <c r="O1943">
        <v>3.7854055999999997E-2</v>
      </c>
      <c r="P1943">
        <v>1.2110981E-2</v>
      </c>
      <c r="Q1943" t="str">
        <f t="shared" si="60"/>
        <v>10-14</v>
      </c>
      <c r="R1943" t="str">
        <f t="shared" si="61"/>
        <v>[rpw540fmNUz]|10-14|Male|PopART.Rt.T_1|CY2024Q3</v>
      </c>
    </row>
    <row r="1944" spans="4:18" x14ac:dyDescent="0.2">
      <c r="D1944" t="s">
        <v>132</v>
      </c>
      <c r="E1944" t="s">
        <v>133</v>
      </c>
      <c r="F1944" t="s">
        <v>134</v>
      </c>
      <c r="G1944" t="s">
        <v>145</v>
      </c>
      <c r="H1944" t="s">
        <v>145</v>
      </c>
      <c r="I1944" t="s">
        <v>38</v>
      </c>
      <c r="J1944" t="s">
        <v>39</v>
      </c>
      <c r="K1944" t="s">
        <v>48</v>
      </c>
      <c r="L1944" t="s">
        <v>49</v>
      </c>
      <c r="M1944" t="s">
        <v>140</v>
      </c>
      <c r="N1944">
        <v>0.92256944600000002</v>
      </c>
      <c r="O1944">
        <v>3.0622645E-2</v>
      </c>
      <c r="P1944">
        <v>1.2110981E-2</v>
      </c>
      <c r="Q1944" t="str">
        <f t="shared" si="60"/>
        <v>15-24</v>
      </c>
      <c r="R1944" t="str">
        <f t="shared" si="61"/>
        <v>[rpw540fmNUz]|15-24|Male|PopART.Rt.T_1|CY2024Q3</v>
      </c>
    </row>
    <row r="1945" spans="4:18" x14ac:dyDescent="0.2">
      <c r="D1945" t="s">
        <v>132</v>
      </c>
      <c r="E1945" t="s">
        <v>133</v>
      </c>
      <c r="F1945" t="s">
        <v>134</v>
      </c>
      <c r="G1945" t="s">
        <v>145</v>
      </c>
      <c r="H1945" t="s">
        <v>145</v>
      </c>
      <c r="I1945" t="s">
        <v>41</v>
      </c>
      <c r="J1945" t="s">
        <v>42</v>
      </c>
      <c r="K1945" t="s">
        <v>48</v>
      </c>
      <c r="L1945" t="s">
        <v>49</v>
      </c>
      <c r="M1945" t="s">
        <v>140</v>
      </c>
      <c r="N1945">
        <v>0.89897509900000006</v>
      </c>
      <c r="O1945">
        <v>3.8709441999999997E-2</v>
      </c>
      <c r="P1945">
        <v>1.2110981E-2</v>
      </c>
      <c r="Q1945" t="str">
        <f t="shared" si="60"/>
        <v>25-34</v>
      </c>
      <c r="R1945" t="str">
        <f t="shared" si="61"/>
        <v>[rpw540fmNUz]|25-34|Male|PopART.Rt.T_1|CY2024Q3</v>
      </c>
    </row>
    <row r="1946" spans="4:18" x14ac:dyDescent="0.2">
      <c r="D1946" t="s">
        <v>132</v>
      </c>
      <c r="E1946" t="s">
        <v>133</v>
      </c>
      <c r="F1946" t="s">
        <v>134</v>
      </c>
      <c r="G1946" t="s">
        <v>145</v>
      </c>
      <c r="H1946" t="s">
        <v>145</v>
      </c>
      <c r="I1946" t="s">
        <v>43</v>
      </c>
      <c r="J1946" t="s">
        <v>44</v>
      </c>
      <c r="K1946" t="s">
        <v>48</v>
      </c>
      <c r="L1946" t="s">
        <v>49</v>
      </c>
      <c r="M1946" t="s">
        <v>140</v>
      </c>
      <c r="N1946">
        <v>0.939080052</v>
      </c>
      <c r="O1946">
        <v>2.1941334999999999E-2</v>
      </c>
      <c r="P1946">
        <v>1.2110981E-2</v>
      </c>
      <c r="Q1946" t="str">
        <f t="shared" si="60"/>
        <v>35-49</v>
      </c>
      <c r="R1946" t="str">
        <f t="shared" si="61"/>
        <v>[rpw540fmNUz]|35-49|Male|PopART.Rt.T_1|CY2024Q3</v>
      </c>
    </row>
    <row r="1947" spans="4:18" x14ac:dyDescent="0.2">
      <c r="D1947" t="s">
        <v>132</v>
      </c>
      <c r="E1947" t="s">
        <v>133</v>
      </c>
      <c r="F1947" t="s">
        <v>134</v>
      </c>
      <c r="G1947" t="s">
        <v>145</v>
      </c>
      <c r="H1947" t="s">
        <v>145</v>
      </c>
      <c r="I1947" t="s">
        <v>45</v>
      </c>
      <c r="J1947" t="s">
        <v>46</v>
      </c>
      <c r="K1947" t="s">
        <v>48</v>
      </c>
      <c r="L1947" t="s">
        <v>49</v>
      </c>
      <c r="M1947" t="s">
        <v>140</v>
      </c>
      <c r="N1947">
        <v>0.95835509799999996</v>
      </c>
      <c r="O1947">
        <v>1.7351209999999999E-2</v>
      </c>
      <c r="P1947">
        <v>1.2110981E-2</v>
      </c>
      <c r="Q1947" t="str">
        <f t="shared" si="60"/>
        <v>50+</v>
      </c>
      <c r="R1947" t="str">
        <f t="shared" si="61"/>
        <v>[rpw540fmNUz]|50+|Male|PopART.Rt.T_1|CY2024Q3</v>
      </c>
    </row>
    <row r="1948" spans="4:18" x14ac:dyDescent="0.2">
      <c r="D1948" t="s">
        <v>135</v>
      </c>
      <c r="E1948" t="s">
        <v>136</v>
      </c>
      <c r="F1948" t="s">
        <v>137</v>
      </c>
      <c r="G1948" t="s">
        <v>145</v>
      </c>
      <c r="H1948" t="s">
        <v>145</v>
      </c>
      <c r="I1948" t="s">
        <v>28</v>
      </c>
      <c r="J1948" t="s">
        <v>29</v>
      </c>
      <c r="K1948" t="s">
        <v>30</v>
      </c>
      <c r="L1948" t="s">
        <v>31</v>
      </c>
      <c r="M1948" t="s">
        <v>140</v>
      </c>
      <c r="N1948">
        <v>0.61104762700000004</v>
      </c>
      <c r="O1948">
        <v>8.9246751999999999E-2</v>
      </c>
      <c r="P1948">
        <v>1.2270978E-2</v>
      </c>
      <c r="Q1948" t="str">
        <f t="shared" si="60"/>
        <v>&lt;01</v>
      </c>
      <c r="R1948" t="str">
        <f t="shared" si="61"/>
        <v>[gwVYinjBAe9]|&lt;01|Female|PopART.Rt.T_1|CY2024Q3</v>
      </c>
    </row>
    <row r="1949" spans="4:18" x14ac:dyDescent="0.2">
      <c r="D1949" t="s">
        <v>135</v>
      </c>
      <c r="E1949" t="s">
        <v>136</v>
      </c>
      <c r="F1949" t="s">
        <v>137</v>
      </c>
      <c r="G1949" t="s">
        <v>145</v>
      </c>
      <c r="H1949" t="s">
        <v>145</v>
      </c>
      <c r="I1949" t="s">
        <v>33</v>
      </c>
      <c r="J1949" t="s">
        <v>34</v>
      </c>
      <c r="K1949" t="s">
        <v>30</v>
      </c>
      <c r="L1949" t="s">
        <v>31</v>
      </c>
      <c r="M1949" t="s">
        <v>140</v>
      </c>
      <c r="N1949">
        <v>0.65697352899999995</v>
      </c>
      <c r="O1949">
        <v>8.6616422999999998E-2</v>
      </c>
      <c r="P1949">
        <v>1.2270978E-2</v>
      </c>
      <c r="Q1949" t="str">
        <f t="shared" si="60"/>
        <v>01-09</v>
      </c>
      <c r="R1949" t="str">
        <f t="shared" si="61"/>
        <v>[gwVYinjBAe9]|01-09|Female|PopART.Rt.T_1|CY2024Q3</v>
      </c>
    </row>
    <row r="1950" spans="4:18" x14ac:dyDescent="0.2">
      <c r="D1950" t="s">
        <v>135</v>
      </c>
      <c r="E1950" t="s">
        <v>136</v>
      </c>
      <c r="F1950" t="s">
        <v>137</v>
      </c>
      <c r="G1950" t="s">
        <v>145</v>
      </c>
      <c r="H1950" t="s">
        <v>145</v>
      </c>
      <c r="I1950" t="s">
        <v>36</v>
      </c>
      <c r="J1950" t="s">
        <v>37</v>
      </c>
      <c r="K1950" t="s">
        <v>30</v>
      </c>
      <c r="L1950" t="s">
        <v>31</v>
      </c>
      <c r="M1950" t="s">
        <v>140</v>
      </c>
      <c r="N1950">
        <v>0.69704582800000003</v>
      </c>
      <c r="O1950">
        <v>7.3305299000000004E-2</v>
      </c>
      <c r="P1950">
        <v>1.2270978E-2</v>
      </c>
      <c r="Q1950" t="str">
        <f t="shared" si="60"/>
        <v>10-14</v>
      </c>
      <c r="R1950" t="str">
        <f t="shared" si="61"/>
        <v>[gwVYinjBAe9]|10-14|Female|PopART.Rt.T_1|CY2024Q3</v>
      </c>
    </row>
    <row r="1951" spans="4:18" x14ac:dyDescent="0.2">
      <c r="D1951" t="s">
        <v>135</v>
      </c>
      <c r="E1951" t="s">
        <v>136</v>
      </c>
      <c r="F1951" t="s">
        <v>137</v>
      </c>
      <c r="G1951" t="s">
        <v>145</v>
      </c>
      <c r="H1951" t="s">
        <v>145</v>
      </c>
      <c r="I1951" t="s">
        <v>38</v>
      </c>
      <c r="J1951" t="s">
        <v>39</v>
      </c>
      <c r="K1951" t="s">
        <v>30</v>
      </c>
      <c r="L1951" t="s">
        <v>31</v>
      </c>
      <c r="M1951" t="s">
        <v>140</v>
      </c>
      <c r="N1951">
        <v>0.953167612</v>
      </c>
      <c r="O1951">
        <v>2.1467512000000001E-2</v>
      </c>
      <c r="P1951">
        <v>1.2270978E-2</v>
      </c>
      <c r="Q1951" t="str">
        <f t="shared" si="60"/>
        <v>15-24</v>
      </c>
      <c r="R1951" t="str">
        <f t="shared" si="61"/>
        <v>[gwVYinjBAe9]|15-24|Female|PopART.Rt.T_1|CY2024Q3</v>
      </c>
    </row>
    <row r="1952" spans="4:18" x14ac:dyDescent="0.2">
      <c r="D1952" t="s">
        <v>135</v>
      </c>
      <c r="E1952" t="s">
        <v>136</v>
      </c>
      <c r="F1952" t="s">
        <v>137</v>
      </c>
      <c r="G1952" t="s">
        <v>145</v>
      </c>
      <c r="H1952" t="s">
        <v>145</v>
      </c>
      <c r="I1952" t="s">
        <v>41</v>
      </c>
      <c r="J1952" t="s">
        <v>42</v>
      </c>
      <c r="K1952" t="s">
        <v>30</v>
      </c>
      <c r="L1952" t="s">
        <v>31</v>
      </c>
      <c r="M1952" t="s">
        <v>140</v>
      </c>
      <c r="N1952">
        <v>0.97521978300000001</v>
      </c>
      <c r="O1952">
        <v>1.14857E-2</v>
      </c>
      <c r="P1952">
        <v>1.2270978E-2</v>
      </c>
      <c r="Q1952" t="str">
        <f t="shared" si="60"/>
        <v>25-34</v>
      </c>
      <c r="R1952" t="str">
        <f t="shared" si="61"/>
        <v>[gwVYinjBAe9]|25-34|Female|PopART.Rt.T_1|CY2024Q3</v>
      </c>
    </row>
    <row r="1953" spans="4:18" x14ac:dyDescent="0.2">
      <c r="D1953" t="s">
        <v>135</v>
      </c>
      <c r="E1953" t="s">
        <v>136</v>
      </c>
      <c r="F1953" t="s">
        <v>137</v>
      </c>
      <c r="G1953" t="s">
        <v>145</v>
      </c>
      <c r="H1953" t="s">
        <v>145</v>
      </c>
      <c r="I1953" t="s">
        <v>43</v>
      </c>
      <c r="J1953" t="s">
        <v>44</v>
      </c>
      <c r="K1953" t="s">
        <v>30</v>
      </c>
      <c r="L1953" t="s">
        <v>31</v>
      </c>
      <c r="M1953" t="s">
        <v>140</v>
      </c>
      <c r="N1953">
        <v>0.98782882500000002</v>
      </c>
      <c r="O1953">
        <v>5.784829E-3</v>
      </c>
      <c r="P1953">
        <v>1.2270978E-2</v>
      </c>
      <c r="Q1953" t="str">
        <f t="shared" si="60"/>
        <v>35-49</v>
      </c>
      <c r="R1953" t="str">
        <f t="shared" si="61"/>
        <v>[gwVYinjBAe9]|35-49|Female|PopART.Rt.T_1|CY2024Q3</v>
      </c>
    </row>
    <row r="1954" spans="4:18" x14ac:dyDescent="0.2">
      <c r="D1954" t="s">
        <v>135</v>
      </c>
      <c r="E1954" t="s">
        <v>136</v>
      </c>
      <c r="F1954" t="s">
        <v>137</v>
      </c>
      <c r="G1954" t="s">
        <v>145</v>
      </c>
      <c r="H1954" t="s">
        <v>145</v>
      </c>
      <c r="I1954" t="s">
        <v>45</v>
      </c>
      <c r="J1954" t="s">
        <v>46</v>
      </c>
      <c r="K1954" t="s">
        <v>30</v>
      </c>
      <c r="L1954" t="s">
        <v>31</v>
      </c>
      <c r="M1954" t="s">
        <v>140</v>
      </c>
      <c r="N1954">
        <v>0.99166011200000004</v>
      </c>
      <c r="O1954">
        <v>3.9544849999999998E-3</v>
      </c>
      <c r="P1954">
        <v>1.2270978E-2</v>
      </c>
      <c r="Q1954" t="str">
        <f t="shared" si="60"/>
        <v>50+</v>
      </c>
      <c r="R1954" t="str">
        <f t="shared" si="61"/>
        <v>[gwVYinjBAe9]|50+|Female|PopART.Rt.T_1|CY2024Q3</v>
      </c>
    </row>
    <row r="1955" spans="4:18" x14ac:dyDescent="0.2">
      <c r="D1955" t="s">
        <v>135</v>
      </c>
      <c r="E1955" t="s">
        <v>136</v>
      </c>
      <c r="F1955" t="s">
        <v>137</v>
      </c>
      <c r="G1955" t="s">
        <v>145</v>
      </c>
      <c r="H1955" t="s">
        <v>145</v>
      </c>
      <c r="I1955" t="s">
        <v>28</v>
      </c>
      <c r="J1955" t="s">
        <v>29</v>
      </c>
      <c r="K1955" t="s">
        <v>48</v>
      </c>
      <c r="L1955" t="s">
        <v>49</v>
      </c>
      <c r="M1955" t="s">
        <v>140</v>
      </c>
      <c r="N1955">
        <v>0.61035315800000001</v>
      </c>
      <c r="O1955">
        <v>8.9557842999999998E-2</v>
      </c>
      <c r="P1955">
        <v>1.2270978E-2</v>
      </c>
      <c r="Q1955" t="str">
        <f t="shared" si="60"/>
        <v>&lt;01</v>
      </c>
      <c r="R1955" t="str">
        <f t="shared" si="61"/>
        <v>[gwVYinjBAe9]|&lt;01|Male|PopART.Rt.T_1|CY2024Q3</v>
      </c>
    </row>
    <row r="1956" spans="4:18" x14ac:dyDescent="0.2">
      <c r="D1956" t="s">
        <v>135</v>
      </c>
      <c r="E1956" t="s">
        <v>136</v>
      </c>
      <c r="F1956" t="s">
        <v>137</v>
      </c>
      <c r="G1956" t="s">
        <v>145</v>
      </c>
      <c r="H1956" t="s">
        <v>145</v>
      </c>
      <c r="I1956" t="s">
        <v>33</v>
      </c>
      <c r="J1956" t="s">
        <v>34</v>
      </c>
      <c r="K1956" t="s">
        <v>48</v>
      </c>
      <c r="L1956" t="s">
        <v>49</v>
      </c>
      <c r="M1956" t="s">
        <v>140</v>
      </c>
      <c r="N1956">
        <v>0.65628593300000004</v>
      </c>
      <c r="O1956">
        <v>8.5916558000000004E-2</v>
      </c>
      <c r="P1956">
        <v>1.2270978E-2</v>
      </c>
      <c r="Q1956" t="str">
        <f t="shared" si="60"/>
        <v>01-09</v>
      </c>
      <c r="R1956" t="str">
        <f t="shared" si="61"/>
        <v>[gwVYinjBAe9]|01-09|Male|PopART.Rt.T_1|CY2024Q3</v>
      </c>
    </row>
    <row r="1957" spans="4:18" x14ac:dyDescent="0.2">
      <c r="D1957" t="s">
        <v>135</v>
      </c>
      <c r="E1957" t="s">
        <v>136</v>
      </c>
      <c r="F1957" t="s">
        <v>137</v>
      </c>
      <c r="G1957" t="s">
        <v>145</v>
      </c>
      <c r="H1957" t="s">
        <v>145</v>
      </c>
      <c r="I1957" t="s">
        <v>36</v>
      </c>
      <c r="J1957" t="s">
        <v>37</v>
      </c>
      <c r="K1957" t="s">
        <v>48</v>
      </c>
      <c r="L1957" t="s">
        <v>49</v>
      </c>
      <c r="M1957" t="s">
        <v>140</v>
      </c>
      <c r="N1957">
        <v>0.69598732100000005</v>
      </c>
      <c r="O1957">
        <v>7.6700087E-2</v>
      </c>
      <c r="P1957">
        <v>1.2270978E-2</v>
      </c>
      <c r="Q1957" t="str">
        <f t="shared" si="60"/>
        <v>10-14</v>
      </c>
      <c r="R1957" t="str">
        <f t="shared" si="61"/>
        <v>[gwVYinjBAe9]|10-14|Male|PopART.Rt.T_1|CY2024Q3</v>
      </c>
    </row>
    <row r="1958" spans="4:18" x14ac:dyDescent="0.2">
      <c r="D1958" t="s">
        <v>135</v>
      </c>
      <c r="E1958" t="s">
        <v>136</v>
      </c>
      <c r="F1958" t="s">
        <v>137</v>
      </c>
      <c r="G1958" t="s">
        <v>145</v>
      </c>
      <c r="H1958" t="s">
        <v>145</v>
      </c>
      <c r="I1958" t="s">
        <v>38</v>
      </c>
      <c r="J1958" t="s">
        <v>39</v>
      </c>
      <c r="K1958" t="s">
        <v>48</v>
      </c>
      <c r="L1958" t="s">
        <v>49</v>
      </c>
      <c r="M1958" t="s">
        <v>140</v>
      </c>
      <c r="N1958">
        <v>0.92737244600000002</v>
      </c>
      <c r="O1958">
        <v>3.0830185999999999E-2</v>
      </c>
      <c r="P1958">
        <v>1.2270978E-2</v>
      </c>
      <c r="Q1958" t="str">
        <f t="shared" si="60"/>
        <v>15-24</v>
      </c>
      <c r="R1958" t="str">
        <f t="shared" si="61"/>
        <v>[gwVYinjBAe9]|15-24|Male|PopART.Rt.T_1|CY2024Q3</v>
      </c>
    </row>
    <row r="1959" spans="4:18" x14ac:dyDescent="0.2">
      <c r="D1959" t="s">
        <v>135</v>
      </c>
      <c r="E1959" t="s">
        <v>136</v>
      </c>
      <c r="F1959" t="s">
        <v>137</v>
      </c>
      <c r="G1959" t="s">
        <v>145</v>
      </c>
      <c r="H1959" t="s">
        <v>145</v>
      </c>
      <c r="I1959" t="s">
        <v>41</v>
      </c>
      <c r="J1959" t="s">
        <v>42</v>
      </c>
      <c r="K1959" t="s">
        <v>48</v>
      </c>
      <c r="L1959" t="s">
        <v>49</v>
      </c>
      <c r="M1959" t="s">
        <v>140</v>
      </c>
      <c r="N1959">
        <v>0.90508178900000003</v>
      </c>
      <c r="O1959">
        <v>3.9353384999999998E-2</v>
      </c>
      <c r="P1959">
        <v>1.2270978E-2</v>
      </c>
      <c r="Q1959" t="str">
        <f t="shared" si="60"/>
        <v>25-34</v>
      </c>
      <c r="R1959" t="str">
        <f t="shared" si="61"/>
        <v>[gwVYinjBAe9]|25-34|Male|PopART.Rt.T_1|CY2024Q3</v>
      </c>
    </row>
    <row r="1960" spans="4:18" x14ac:dyDescent="0.2">
      <c r="D1960" t="s">
        <v>135</v>
      </c>
      <c r="E1960" t="s">
        <v>136</v>
      </c>
      <c r="F1960" t="s">
        <v>137</v>
      </c>
      <c r="G1960" t="s">
        <v>145</v>
      </c>
      <c r="H1960" t="s">
        <v>145</v>
      </c>
      <c r="I1960" t="s">
        <v>43</v>
      </c>
      <c r="J1960" t="s">
        <v>44</v>
      </c>
      <c r="K1960" t="s">
        <v>48</v>
      </c>
      <c r="L1960" t="s">
        <v>49</v>
      </c>
      <c r="M1960" t="s">
        <v>140</v>
      </c>
      <c r="N1960">
        <v>0.94254833299999996</v>
      </c>
      <c r="O1960">
        <v>2.2213900000000002E-2</v>
      </c>
      <c r="P1960">
        <v>1.2270978E-2</v>
      </c>
      <c r="Q1960" t="str">
        <f t="shared" si="60"/>
        <v>35-49</v>
      </c>
      <c r="R1960" t="str">
        <f t="shared" si="61"/>
        <v>[gwVYinjBAe9]|35-49|Male|PopART.Rt.T_1|CY2024Q3</v>
      </c>
    </row>
    <row r="1961" spans="4:18" x14ac:dyDescent="0.2">
      <c r="D1961" t="s">
        <v>135</v>
      </c>
      <c r="E1961" t="s">
        <v>136</v>
      </c>
      <c r="F1961" t="s">
        <v>137</v>
      </c>
      <c r="G1961" t="s">
        <v>145</v>
      </c>
      <c r="H1961" t="s">
        <v>145</v>
      </c>
      <c r="I1961" t="s">
        <v>45</v>
      </c>
      <c r="J1961" t="s">
        <v>46</v>
      </c>
      <c r="K1961" t="s">
        <v>48</v>
      </c>
      <c r="L1961" t="s">
        <v>49</v>
      </c>
      <c r="M1961" t="s">
        <v>140</v>
      </c>
      <c r="N1961">
        <v>0.96101100399999995</v>
      </c>
      <c r="O1961">
        <v>1.7092759999999999E-2</v>
      </c>
      <c r="P1961">
        <v>1.2270978E-2</v>
      </c>
      <c r="Q1961" t="str">
        <f t="shared" si="60"/>
        <v>50+</v>
      </c>
      <c r="R1961" t="str">
        <f t="shared" si="61"/>
        <v>[gwVYinjBAe9]|50+|Male|PopART.Rt.T_1|CY2024Q3</v>
      </c>
    </row>
    <row r="1962" spans="4:18" x14ac:dyDescent="0.2">
      <c r="D1962" t="s">
        <v>23</v>
      </c>
      <c r="E1962" t="s">
        <v>24</v>
      </c>
      <c r="F1962" t="s">
        <v>25</v>
      </c>
      <c r="G1962" t="s">
        <v>146</v>
      </c>
      <c r="H1962" t="s">
        <v>147</v>
      </c>
      <c r="I1962" t="s">
        <v>28</v>
      </c>
      <c r="J1962" t="s">
        <v>29</v>
      </c>
      <c r="K1962" t="s">
        <v>30</v>
      </c>
      <c r="L1962" t="s">
        <v>31</v>
      </c>
      <c r="M1962" t="s">
        <v>140</v>
      </c>
      <c r="N1962">
        <v>2</v>
      </c>
      <c r="O1962">
        <v>7.9875071000000006E-2</v>
      </c>
      <c r="P1962">
        <v>2.7668925E-2</v>
      </c>
      <c r="Q1962" t="str">
        <f t="shared" si="60"/>
        <v>&lt;01</v>
      </c>
      <c r="R1962" t="str">
        <f t="shared" si="61"/>
        <v>[GkIwZrXy1h2]|&lt;01|Female|TX_CURR_SUBNAT.T_1|CY2024Q3</v>
      </c>
    </row>
    <row r="1963" spans="4:18" x14ac:dyDescent="0.2">
      <c r="D1963" t="s">
        <v>23</v>
      </c>
      <c r="E1963" t="s">
        <v>24</v>
      </c>
      <c r="F1963" t="s">
        <v>25</v>
      </c>
      <c r="G1963" t="s">
        <v>146</v>
      </c>
      <c r="H1963" t="s">
        <v>147</v>
      </c>
      <c r="I1963" t="s">
        <v>33</v>
      </c>
      <c r="J1963" t="s">
        <v>34</v>
      </c>
      <c r="K1963" t="s">
        <v>30</v>
      </c>
      <c r="L1963" t="s">
        <v>31</v>
      </c>
      <c r="M1963" t="s">
        <v>140</v>
      </c>
      <c r="N1963">
        <v>43</v>
      </c>
      <c r="O1963">
        <v>7.3027171000000002E-2</v>
      </c>
      <c r="P1963">
        <v>2.7668925E-2</v>
      </c>
      <c r="Q1963" t="str">
        <f t="shared" si="60"/>
        <v>01-09</v>
      </c>
      <c r="R1963" t="str">
        <f t="shared" si="61"/>
        <v>[GkIwZrXy1h2]|01-09|Female|TX_CURR_SUBNAT.T_1|CY2024Q3</v>
      </c>
    </row>
    <row r="1964" spans="4:18" x14ac:dyDescent="0.2">
      <c r="D1964" t="s">
        <v>23</v>
      </c>
      <c r="E1964" t="s">
        <v>24</v>
      </c>
      <c r="F1964" t="s">
        <v>25</v>
      </c>
      <c r="G1964" t="s">
        <v>146</v>
      </c>
      <c r="H1964" t="s">
        <v>147</v>
      </c>
      <c r="I1964" t="s">
        <v>36</v>
      </c>
      <c r="J1964" t="s">
        <v>37</v>
      </c>
      <c r="K1964" t="s">
        <v>30</v>
      </c>
      <c r="L1964" t="s">
        <v>31</v>
      </c>
      <c r="M1964" t="s">
        <v>140</v>
      </c>
      <c r="N1964">
        <v>61</v>
      </c>
      <c r="O1964">
        <v>6.6102361999999998E-2</v>
      </c>
      <c r="P1964">
        <v>2.7668925E-2</v>
      </c>
      <c r="Q1964" t="str">
        <f t="shared" si="60"/>
        <v>10-14</v>
      </c>
      <c r="R1964" t="str">
        <f t="shared" si="61"/>
        <v>[GkIwZrXy1h2]|10-14|Female|TX_CURR_SUBNAT.T_1|CY2024Q3</v>
      </c>
    </row>
    <row r="1965" spans="4:18" x14ac:dyDescent="0.2">
      <c r="D1965" t="s">
        <v>23</v>
      </c>
      <c r="E1965" t="s">
        <v>24</v>
      </c>
      <c r="F1965" t="s">
        <v>25</v>
      </c>
      <c r="G1965" t="s">
        <v>146</v>
      </c>
      <c r="H1965" t="s">
        <v>147</v>
      </c>
      <c r="I1965" t="s">
        <v>38</v>
      </c>
      <c r="J1965" t="s">
        <v>39</v>
      </c>
      <c r="K1965" t="s">
        <v>30</v>
      </c>
      <c r="L1965" t="s">
        <v>31</v>
      </c>
      <c r="M1965" t="s">
        <v>140</v>
      </c>
      <c r="N1965">
        <v>261</v>
      </c>
      <c r="O1965">
        <v>6.6756456000000006E-2</v>
      </c>
      <c r="P1965">
        <v>2.7668925E-2</v>
      </c>
      <c r="Q1965" t="str">
        <f t="shared" si="60"/>
        <v>15-24</v>
      </c>
      <c r="R1965" t="str">
        <f t="shared" si="61"/>
        <v>[GkIwZrXy1h2]|15-24|Female|TX_CURR_SUBNAT.T_1|CY2024Q3</v>
      </c>
    </row>
    <row r="1966" spans="4:18" x14ac:dyDescent="0.2">
      <c r="D1966" t="s">
        <v>23</v>
      </c>
      <c r="E1966" t="s">
        <v>24</v>
      </c>
      <c r="F1966" t="s">
        <v>25</v>
      </c>
      <c r="G1966" t="s">
        <v>146</v>
      </c>
      <c r="H1966" t="s">
        <v>147</v>
      </c>
      <c r="I1966" t="s">
        <v>41</v>
      </c>
      <c r="J1966" t="s">
        <v>42</v>
      </c>
      <c r="K1966" t="s">
        <v>30</v>
      </c>
      <c r="L1966" t="s">
        <v>31</v>
      </c>
      <c r="M1966" t="s">
        <v>140</v>
      </c>
      <c r="N1966">
        <v>660</v>
      </c>
      <c r="O1966">
        <v>4.9125416999999998E-2</v>
      </c>
      <c r="P1966">
        <v>2.7668925E-2</v>
      </c>
      <c r="Q1966" t="str">
        <f t="shared" si="60"/>
        <v>25-34</v>
      </c>
      <c r="R1966" t="str">
        <f t="shared" si="61"/>
        <v>[GkIwZrXy1h2]|25-34|Female|TX_CURR_SUBNAT.T_1|CY2024Q3</v>
      </c>
    </row>
    <row r="1967" spans="4:18" x14ac:dyDescent="0.2">
      <c r="D1967" t="s">
        <v>23</v>
      </c>
      <c r="E1967" t="s">
        <v>24</v>
      </c>
      <c r="F1967" t="s">
        <v>25</v>
      </c>
      <c r="G1967" t="s">
        <v>146</v>
      </c>
      <c r="H1967" t="s">
        <v>147</v>
      </c>
      <c r="I1967" t="s">
        <v>43</v>
      </c>
      <c r="J1967" t="s">
        <v>44</v>
      </c>
      <c r="K1967" t="s">
        <v>30</v>
      </c>
      <c r="L1967" t="s">
        <v>31</v>
      </c>
      <c r="M1967" t="s">
        <v>140</v>
      </c>
      <c r="N1967">
        <v>1801</v>
      </c>
      <c r="O1967">
        <v>3.4411872000000003E-2</v>
      </c>
      <c r="P1967">
        <v>2.7668925E-2</v>
      </c>
      <c r="Q1967" t="str">
        <f t="shared" si="60"/>
        <v>35-49</v>
      </c>
      <c r="R1967" t="str">
        <f t="shared" si="61"/>
        <v>[GkIwZrXy1h2]|35-49|Female|TX_CURR_SUBNAT.T_1|CY2024Q3</v>
      </c>
    </row>
    <row r="1968" spans="4:18" x14ac:dyDescent="0.2">
      <c r="D1968" t="s">
        <v>23</v>
      </c>
      <c r="E1968" t="s">
        <v>24</v>
      </c>
      <c r="F1968" t="s">
        <v>25</v>
      </c>
      <c r="G1968" t="s">
        <v>146</v>
      </c>
      <c r="H1968" t="s">
        <v>147</v>
      </c>
      <c r="I1968" t="s">
        <v>45</v>
      </c>
      <c r="J1968" t="s">
        <v>46</v>
      </c>
      <c r="K1968" t="s">
        <v>30</v>
      </c>
      <c r="L1968" t="s">
        <v>31</v>
      </c>
      <c r="M1968" t="s">
        <v>140</v>
      </c>
      <c r="N1968">
        <v>892</v>
      </c>
      <c r="O1968">
        <v>4.7158722E-2</v>
      </c>
      <c r="P1968">
        <v>2.7668925E-2</v>
      </c>
      <c r="Q1968" t="str">
        <f t="shared" si="60"/>
        <v>50+</v>
      </c>
      <c r="R1968" t="str">
        <f t="shared" si="61"/>
        <v>[GkIwZrXy1h2]|50+|Female|TX_CURR_SUBNAT.T_1|CY2024Q3</v>
      </c>
    </row>
    <row r="1969" spans="4:18" x14ac:dyDescent="0.2">
      <c r="D1969" t="s">
        <v>23</v>
      </c>
      <c r="E1969" t="s">
        <v>24</v>
      </c>
      <c r="F1969" t="s">
        <v>25</v>
      </c>
      <c r="G1969" t="s">
        <v>146</v>
      </c>
      <c r="H1969" t="s">
        <v>147</v>
      </c>
      <c r="I1969" t="s">
        <v>28</v>
      </c>
      <c r="J1969" t="s">
        <v>29</v>
      </c>
      <c r="K1969" t="s">
        <v>48</v>
      </c>
      <c r="L1969" t="s">
        <v>49</v>
      </c>
      <c r="M1969" t="s">
        <v>140</v>
      </c>
      <c r="N1969">
        <v>2</v>
      </c>
      <c r="O1969">
        <v>5.7600612000000002E-2</v>
      </c>
      <c r="P1969">
        <v>2.7668925E-2</v>
      </c>
      <c r="Q1969" t="str">
        <f t="shared" si="60"/>
        <v>&lt;01</v>
      </c>
      <c r="R1969" t="str">
        <f t="shared" si="61"/>
        <v>[GkIwZrXy1h2]|&lt;01|Male|TX_CURR_SUBNAT.T_1|CY2024Q3</v>
      </c>
    </row>
    <row r="1970" spans="4:18" x14ac:dyDescent="0.2">
      <c r="D1970" t="s">
        <v>23</v>
      </c>
      <c r="E1970" t="s">
        <v>24</v>
      </c>
      <c r="F1970" t="s">
        <v>25</v>
      </c>
      <c r="G1970" t="s">
        <v>146</v>
      </c>
      <c r="H1970" t="s">
        <v>147</v>
      </c>
      <c r="I1970" t="s">
        <v>33</v>
      </c>
      <c r="J1970" t="s">
        <v>34</v>
      </c>
      <c r="K1970" t="s">
        <v>48</v>
      </c>
      <c r="L1970" t="s">
        <v>49</v>
      </c>
      <c r="M1970" t="s">
        <v>140</v>
      </c>
      <c r="N1970">
        <v>44</v>
      </c>
      <c r="O1970">
        <v>5.5956276999999999E-2</v>
      </c>
      <c r="P1970">
        <v>2.7668925E-2</v>
      </c>
      <c r="Q1970" t="str">
        <f t="shared" si="60"/>
        <v>01-09</v>
      </c>
      <c r="R1970" t="str">
        <f t="shared" si="61"/>
        <v>[GkIwZrXy1h2]|01-09|Male|TX_CURR_SUBNAT.T_1|CY2024Q3</v>
      </c>
    </row>
    <row r="1971" spans="4:18" x14ac:dyDescent="0.2">
      <c r="D1971" t="s">
        <v>23</v>
      </c>
      <c r="E1971" t="s">
        <v>24</v>
      </c>
      <c r="F1971" t="s">
        <v>25</v>
      </c>
      <c r="G1971" t="s">
        <v>146</v>
      </c>
      <c r="H1971" t="s">
        <v>147</v>
      </c>
      <c r="I1971" t="s">
        <v>36</v>
      </c>
      <c r="J1971" t="s">
        <v>37</v>
      </c>
      <c r="K1971" t="s">
        <v>48</v>
      </c>
      <c r="L1971" t="s">
        <v>49</v>
      </c>
      <c r="M1971" t="s">
        <v>140</v>
      </c>
      <c r="N1971">
        <v>60</v>
      </c>
      <c r="O1971">
        <v>5.5648648000000002E-2</v>
      </c>
      <c r="P1971">
        <v>2.7668925E-2</v>
      </c>
      <c r="Q1971" t="str">
        <f t="shared" si="60"/>
        <v>10-14</v>
      </c>
      <c r="R1971" t="str">
        <f t="shared" si="61"/>
        <v>[GkIwZrXy1h2]|10-14|Male|TX_CURR_SUBNAT.T_1|CY2024Q3</v>
      </c>
    </row>
    <row r="1972" spans="4:18" x14ac:dyDescent="0.2">
      <c r="D1972" t="s">
        <v>23</v>
      </c>
      <c r="E1972" t="s">
        <v>24</v>
      </c>
      <c r="F1972" t="s">
        <v>25</v>
      </c>
      <c r="G1972" t="s">
        <v>146</v>
      </c>
      <c r="H1972" t="s">
        <v>147</v>
      </c>
      <c r="I1972" t="s">
        <v>38</v>
      </c>
      <c r="J1972" t="s">
        <v>39</v>
      </c>
      <c r="K1972" t="s">
        <v>48</v>
      </c>
      <c r="L1972" t="s">
        <v>49</v>
      </c>
      <c r="M1972" t="s">
        <v>140</v>
      </c>
      <c r="N1972">
        <v>192</v>
      </c>
      <c r="O1972">
        <v>7.7964955000000002E-2</v>
      </c>
      <c r="P1972">
        <v>2.7668925E-2</v>
      </c>
      <c r="Q1972" t="str">
        <f t="shared" si="60"/>
        <v>15-24</v>
      </c>
      <c r="R1972" t="str">
        <f t="shared" si="61"/>
        <v>[GkIwZrXy1h2]|15-24|Male|TX_CURR_SUBNAT.T_1|CY2024Q3</v>
      </c>
    </row>
    <row r="1973" spans="4:18" x14ac:dyDescent="0.2">
      <c r="D1973" t="s">
        <v>23</v>
      </c>
      <c r="E1973" t="s">
        <v>24</v>
      </c>
      <c r="F1973" t="s">
        <v>25</v>
      </c>
      <c r="G1973" t="s">
        <v>146</v>
      </c>
      <c r="H1973" t="s">
        <v>147</v>
      </c>
      <c r="I1973" t="s">
        <v>41</v>
      </c>
      <c r="J1973" t="s">
        <v>42</v>
      </c>
      <c r="K1973" t="s">
        <v>48</v>
      </c>
      <c r="L1973" t="s">
        <v>49</v>
      </c>
      <c r="M1973" t="s">
        <v>140</v>
      </c>
      <c r="N1973">
        <v>247</v>
      </c>
      <c r="O1973">
        <v>7.2350011000000006E-2</v>
      </c>
      <c r="P1973">
        <v>2.7668925E-2</v>
      </c>
      <c r="Q1973" t="str">
        <f t="shared" si="60"/>
        <v>25-34</v>
      </c>
      <c r="R1973" t="str">
        <f t="shared" si="61"/>
        <v>[GkIwZrXy1h2]|25-34|Male|TX_CURR_SUBNAT.T_1|CY2024Q3</v>
      </c>
    </row>
    <row r="1974" spans="4:18" x14ac:dyDescent="0.2">
      <c r="D1974" t="s">
        <v>23</v>
      </c>
      <c r="E1974" t="s">
        <v>24</v>
      </c>
      <c r="F1974" t="s">
        <v>25</v>
      </c>
      <c r="G1974" t="s">
        <v>146</v>
      </c>
      <c r="H1974" t="s">
        <v>147</v>
      </c>
      <c r="I1974" t="s">
        <v>43</v>
      </c>
      <c r="J1974" t="s">
        <v>44</v>
      </c>
      <c r="K1974" t="s">
        <v>48</v>
      </c>
      <c r="L1974" t="s">
        <v>49</v>
      </c>
      <c r="M1974" t="s">
        <v>140</v>
      </c>
      <c r="N1974">
        <v>984</v>
      </c>
      <c r="O1974">
        <v>4.3804435000000003E-2</v>
      </c>
      <c r="P1974">
        <v>2.7668925E-2</v>
      </c>
      <c r="Q1974" t="str">
        <f t="shared" si="60"/>
        <v>35-49</v>
      </c>
      <c r="R1974" t="str">
        <f t="shared" si="61"/>
        <v>[GkIwZrXy1h2]|35-49|Male|TX_CURR_SUBNAT.T_1|CY2024Q3</v>
      </c>
    </row>
    <row r="1975" spans="4:18" x14ac:dyDescent="0.2">
      <c r="D1975" t="s">
        <v>23</v>
      </c>
      <c r="E1975" t="s">
        <v>24</v>
      </c>
      <c r="F1975" t="s">
        <v>25</v>
      </c>
      <c r="G1975" t="s">
        <v>146</v>
      </c>
      <c r="H1975" t="s">
        <v>147</v>
      </c>
      <c r="I1975" t="s">
        <v>45</v>
      </c>
      <c r="J1975" t="s">
        <v>46</v>
      </c>
      <c r="K1975" t="s">
        <v>48</v>
      </c>
      <c r="L1975" t="s">
        <v>49</v>
      </c>
      <c r="M1975" t="s">
        <v>140</v>
      </c>
      <c r="N1975">
        <v>840</v>
      </c>
      <c r="O1975">
        <v>4.4246396E-2</v>
      </c>
      <c r="P1975">
        <v>2.7668925E-2</v>
      </c>
      <c r="Q1975" t="str">
        <f t="shared" si="60"/>
        <v>50+</v>
      </c>
      <c r="R1975" t="str">
        <f t="shared" si="61"/>
        <v>[GkIwZrXy1h2]|50+|Male|TX_CURR_SUBNAT.T_1|CY2024Q3</v>
      </c>
    </row>
    <row r="1976" spans="4:18" x14ac:dyDescent="0.2">
      <c r="D1976" t="s">
        <v>53</v>
      </c>
      <c r="E1976" t="s">
        <v>54</v>
      </c>
      <c r="F1976" t="s">
        <v>55</v>
      </c>
      <c r="G1976" t="s">
        <v>146</v>
      </c>
      <c r="H1976" t="s">
        <v>147</v>
      </c>
      <c r="I1976" t="s">
        <v>28</v>
      </c>
      <c r="J1976" t="s">
        <v>29</v>
      </c>
      <c r="K1976" t="s">
        <v>30</v>
      </c>
      <c r="L1976" t="s">
        <v>31</v>
      </c>
      <c r="M1976" t="s">
        <v>140</v>
      </c>
      <c r="N1976">
        <v>6</v>
      </c>
      <c r="O1976">
        <v>6.0512980000000001E-2</v>
      </c>
      <c r="P1976">
        <v>1.2677696E-2</v>
      </c>
      <c r="Q1976" t="str">
        <f t="shared" si="60"/>
        <v>&lt;01</v>
      </c>
      <c r="R1976" t="str">
        <f t="shared" si="61"/>
        <v>[cPtvxaZqXIH]|&lt;01|Female|TX_CURR_SUBNAT.T_1|CY2024Q3</v>
      </c>
    </row>
    <row r="1977" spans="4:18" x14ac:dyDescent="0.2">
      <c r="D1977" t="s">
        <v>53</v>
      </c>
      <c r="E1977" t="s">
        <v>54</v>
      </c>
      <c r="F1977" t="s">
        <v>55</v>
      </c>
      <c r="G1977" t="s">
        <v>146</v>
      </c>
      <c r="H1977" t="s">
        <v>147</v>
      </c>
      <c r="I1977" t="s">
        <v>33</v>
      </c>
      <c r="J1977" t="s">
        <v>34</v>
      </c>
      <c r="K1977" t="s">
        <v>30</v>
      </c>
      <c r="L1977" t="s">
        <v>31</v>
      </c>
      <c r="M1977" t="s">
        <v>140</v>
      </c>
      <c r="N1977">
        <v>125</v>
      </c>
      <c r="O1977">
        <v>5.0157355000000001E-2</v>
      </c>
      <c r="P1977">
        <v>1.2677696E-2</v>
      </c>
      <c r="Q1977" t="str">
        <f t="shared" si="60"/>
        <v>01-09</v>
      </c>
      <c r="R1977" t="str">
        <f t="shared" si="61"/>
        <v>[cPtvxaZqXIH]|01-09|Female|TX_CURR_SUBNAT.T_1|CY2024Q3</v>
      </c>
    </row>
    <row r="1978" spans="4:18" x14ac:dyDescent="0.2">
      <c r="D1978" t="s">
        <v>53</v>
      </c>
      <c r="E1978" t="s">
        <v>54</v>
      </c>
      <c r="F1978" t="s">
        <v>55</v>
      </c>
      <c r="G1978" t="s">
        <v>146</v>
      </c>
      <c r="H1978" t="s">
        <v>147</v>
      </c>
      <c r="I1978" t="s">
        <v>36</v>
      </c>
      <c r="J1978" t="s">
        <v>37</v>
      </c>
      <c r="K1978" t="s">
        <v>30</v>
      </c>
      <c r="L1978" t="s">
        <v>31</v>
      </c>
      <c r="M1978" t="s">
        <v>140</v>
      </c>
      <c r="N1978">
        <v>174</v>
      </c>
      <c r="O1978">
        <v>3.9777037000000001E-2</v>
      </c>
      <c r="P1978">
        <v>1.2677696E-2</v>
      </c>
      <c r="Q1978" t="str">
        <f t="shared" si="60"/>
        <v>10-14</v>
      </c>
      <c r="R1978" t="str">
        <f t="shared" si="61"/>
        <v>[cPtvxaZqXIH]|10-14|Female|TX_CURR_SUBNAT.T_1|CY2024Q3</v>
      </c>
    </row>
    <row r="1979" spans="4:18" x14ac:dyDescent="0.2">
      <c r="D1979" t="s">
        <v>53</v>
      </c>
      <c r="E1979" t="s">
        <v>54</v>
      </c>
      <c r="F1979" t="s">
        <v>55</v>
      </c>
      <c r="G1979" t="s">
        <v>146</v>
      </c>
      <c r="H1979" t="s">
        <v>147</v>
      </c>
      <c r="I1979" t="s">
        <v>38</v>
      </c>
      <c r="J1979" t="s">
        <v>39</v>
      </c>
      <c r="K1979" t="s">
        <v>30</v>
      </c>
      <c r="L1979" t="s">
        <v>31</v>
      </c>
      <c r="M1979" t="s">
        <v>140</v>
      </c>
      <c r="N1979">
        <v>757</v>
      </c>
      <c r="O1979">
        <v>6.1564386999999998E-2</v>
      </c>
      <c r="P1979">
        <v>1.2677696E-2</v>
      </c>
      <c r="Q1979" t="str">
        <f t="shared" si="60"/>
        <v>15-24</v>
      </c>
      <c r="R1979" t="str">
        <f t="shared" si="61"/>
        <v>[cPtvxaZqXIH]|15-24|Female|TX_CURR_SUBNAT.T_1|CY2024Q3</v>
      </c>
    </row>
    <row r="1980" spans="4:18" x14ac:dyDescent="0.2">
      <c r="D1980" t="s">
        <v>53</v>
      </c>
      <c r="E1980" t="s">
        <v>54</v>
      </c>
      <c r="F1980" t="s">
        <v>55</v>
      </c>
      <c r="G1980" t="s">
        <v>146</v>
      </c>
      <c r="H1980" t="s">
        <v>147</v>
      </c>
      <c r="I1980" t="s">
        <v>41</v>
      </c>
      <c r="J1980" t="s">
        <v>42</v>
      </c>
      <c r="K1980" t="s">
        <v>30</v>
      </c>
      <c r="L1980" t="s">
        <v>31</v>
      </c>
      <c r="M1980" t="s">
        <v>140</v>
      </c>
      <c r="N1980">
        <v>1901</v>
      </c>
      <c r="O1980">
        <v>3.7979225999999998E-2</v>
      </c>
      <c r="P1980">
        <v>1.2677696E-2</v>
      </c>
      <c r="Q1980" t="str">
        <f t="shared" si="60"/>
        <v>25-34</v>
      </c>
      <c r="R1980" t="str">
        <f t="shared" si="61"/>
        <v>[cPtvxaZqXIH]|25-34|Female|TX_CURR_SUBNAT.T_1|CY2024Q3</v>
      </c>
    </row>
    <row r="1981" spans="4:18" x14ac:dyDescent="0.2">
      <c r="D1981" t="s">
        <v>53</v>
      </c>
      <c r="E1981" t="s">
        <v>54</v>
      </c>
      <c r="F1981" t="s">
        <v>55</v>
      </c>
      <c r="G1981" t="s">
        <v>146</v>
      </c>
      <c r="H1981" t="s">
        <v>147</v>
      </c>
      <c r="I1981" t="s">
        <v>43</v>
      </c>
      <c r="J1981" t="s">
        <v>44</v>
      </c>
      <c r="K1981" t="s">
        <v>30</v>
      </c>
      <c r="L1981" t="s">
        <v>31</v>
      </c>
      <c r="M1981" t="s">
        <v>140</v>
      </c>
      <c r="N1981">
        <v>4923</v>
      </c>
      <c r="O1981">
        <v>2.2441116000000001E-2</v>
      </c>
      <c r="P1981">
        <v>1.2677696E-2</v>
      </c>
      <c r="Q1981" t="str">
        <f t="shared" si="60"/>
        <v>35-49</v>
      </c>
      <c r="R1981" t="str">
        <f t="shared" si="61"/>
        <v>[cPtvxaZqXIH]|35-49|Female|TX_CURR_SUBNAT.T_1|CY2024Q3</v>
      </c>
    </row>
    <row r="1982" spans="4:18" x14ac:dyDescent="0.2">
      <c r="D1982" t="s">
        <v>53</v>
      </c>
      <c r="E1982" t="s">
        <v>54</v>
      </c>
      <c r="F1982" t="s">
        <v>55</v>
      </c>
      <c r="G1982" t="s">
        <v>146</v>
      </c>
      <c r="H1982" t="s">
        <v>147</v>
      </c>
      <c r="I1982" t="s">
        <v>45</v>
      </c>
      <c r="J1982" t="s">
        <v>46</v>
      </c>
      <c r="K1982" t="s">
        <v>30</v>
      </c>
      <c r="L1982" t="s">
        <v>31</v>
      </c>
      <c r="M1982" t="s">
        <v>140</v>
      </c>
      <c r="N1982">
        <v>2272</v>
      </c>
      <c r="O1982">
        <v>4.0087390000000001E-2</v>
      </c>
      <c r="P1982">
        <v>1.2677696E-2</v>
      </c>
      <c r="Q1982" t="str">
        <f t="shared" si="60"/>
        <v>50+</v>
      </c>
      <c r="R1982" t="str">
        <f t="shared" si="61"/>
        <v>[cPtvxaZqXIH]|50+|Female|TX_CURR_SUBNAT.T_1|CY2024Q3</v>
      </c>
    </row>
    <row r="1983" spans="4:18" x14ac:dyDescent="0.2">
      <c r="D1983" t="s">
        <v>53</v>
      </c>
      <c r="E1983" t="s">
        <v>54</v>
      </c>
      <c r="F1983" t="s">
        <v>55</v>
      </c>
      <c r="G1983" t="s">
        <v>146</v>
      </c>
      <c r="H1983" t="s">
        <v>147</v>
      </c>
      <c r="I1983" t="s">
        <v>28</v>
      </c>
      <c r="J1983" t="s">
        <v>29</v>
      </c>
      <c r="K1983" t="s">
        <v>48</v>
      </c>
      <c r="L1983" t="s">
        <v>49</v>
      </c>
      <c r="M1983" t="s">
        <v>140</v>
      </c>
      <c r="N1983">
        <v>6</v>
      </c>
      <c r="O1983">
        <v>3.8130116999999998E-2</v>
      </c>
      <c r="P1983">
        <v>1.2677696E-2</v>
      </c>
      <c r="Q1983" t="str">
        <f t="shared" si="60"/>
        <v>&lt;01</v>
      </c>
      <c r="R1983" t="str">
        <f t="shared" si="61"/>
        <v>[cPtvxaZqXIH]|&lt;01|Male|TX_CURR_SUBNAT.T_1|CY2024Q3</v>
      </c>
    </row>
    <row r="1984" spans="4:18" x14ac:dyDescent="0.2">
      <c r="D1984" t="s">
        <v>53</v>
      </c>
      <c r="E1984" t="s">
        <v>54</v>
      </c>
      <c r="F1984" t="s">
        <v>55</v>
      </c>
      <c r="G1984" t="s">
        <v>146</v>
      </c>
      <c r="H1984" t="s">
        <v>147</v>
      </c>
      <c r="I1984" t="s">
        <v>33</v>
      </c>
      <c r="J1984" t="s">
        <v>34</v>
      </c>
      <c r="K1984" t="s">
        <v>48</v>
      </c>
      <c r="L1984" t="s">
        <v>49</v>
      </c>
      <c r="M1984" t="s">
        <v>140</v>
      </c>
      <c r="N1984">
        <v>124</v>
      </c>
      <c r="O1984">
        <v>3.5718708000000002E-2</v>
      </c>
      <c r="P1984">
        <v>1.2677696E-2</v>
      </c>
      <c r="Q1984" t="str">
        <f t="shared" si="60"/>
        <v>01-09</v>
      </c>
      <c r="R1984" t="str">
        <f t="shared" si="61"/>
        <v>[cPtvxaZqXIH]|01-09|Male|TX_CURR_SUBNAT.T_1|CY2024Q3</v>
      </c>
    </row>
    <row r="1985" spans="4:18" x14ac:dyDescent="0.2">
      <c r="D1985" t="s">
        <v>53</v>
      </c>
      <c r="E1985" t="s">
        <v>54</v>
      </c>
      <c r="F1985" t="s">
        <v>55</v>
      </c>
      <c r="G1985" t="s">
        <v>146</v>
      </c>
      <c r="H1985" t="s">
        <v>147</v>
      </c>
      <c r="I1985" t="s">
        <v>36</v>
      </c>
      <c r="J1985" t="s">
        <v>37</v>
      </c>
      <c r="K1985" t="s">
        <v>48</v>
      </c>
      <c r="L1985" t="s">
        <v>49</v>
      </c>
      <c r="M1985" t="s">
        <v>140</v>
      </c>
      <c r="N1985">
        <v>168</v>
      </c>
      <c r="O1985">
        <v>3.5816685000000001E-2</v>
      </c>
      <c r="P1985">
        <v>1.2677696E-2</v>
      </c>
      <c r="Q1985" t="str">
        <f t="shared" si="60"/>
        <v>10-14</v>
      </c>
      <c r="R1985" t="str">
        <f t="shared" si="61"/>
        <v>[cPtvxaZqXIH]|10-14|Male|TX_CURR_SUBNAT.T_1|CY2024Q3</v>
      </c>
    </row>
    <row r="1986" spans="4:18" x14ac:dyDescent="0.2">
      <c r="D1986" t="s">
        <v>53</v>
      </c>
      <c r="E1986" t="s">
        <v>54</v>
      </c>
      <c r="F1986" t="s">
        <v>55</v>
      </c>
      <c r="G1986" t="s">
        <v>146</v>
      </c>
      <c r="H1986" t="s">
        <v>147</v>
      </c>
      <c r="I1986" t="s">
        <v>38</v>
      </c>
      <c r="J1986" t="s">
        <v>39</v>
      </c>
      <c r="K1986" t="s">
        <v>48</v>
      </c>
      <c r="L1986" t="s">
        <v>49</v>
      </c>
      <c r="M1986" t="s">
        <v>140</v>
      </c>
      <c r="N1986">
        <v>523</v>
      </c>
      <c r="O1986">
        <v>7.1911544999999993E-2</v>
      </c>
      <c r="P1986">
        <v>1.2677696E-2</v>
      </c>
      <c r="Q1986" t="str">
        <f t="shared" si="60"/>
        <v>15-24</v>
      </c>
      <c r="R1986" t="str">
        <f t="shared" si="61"/>
        <v>[cPtvxaZqXIH]|15-24|Male|TX_CURR_SUBNAT.T_1|CY2024Q3</v>
      </c>
    </row>
    <row r="1987" spans="4:18" x14ac:dyDescent="0.2">
      <c r="D1987" t="s">
        <v>53</v>
      </c>
      <c r="E1987" t="s">
        <v>54</v>
      </c>
      <c r="F1987" t="s">
        <v>55</v>
      </c>
      <c r="G1987" t="s">
        <v>146</v>
      </c>
      <c r="H1987" t="s">
        <v>147</v>
      </c>
      <c r="I1987" t="s">
        <v>41</v>
      </c>
      <c r="J1987" t="s">
        <v>42</v>
      </c>
      <c r="K1987" t="s">
        <v>48</v>
      </c>
      <c r="L1987" t="s">
        <v>49</v>
      </c>
      <c r="M1987" t="s">
        <v>140</v>
      </c>
      <c r="N1987">
        <v>649</v>
      </c>
      <c r="O1987">
        <v>6.6429965999999993E-2</v>
      </c>
      <c r="P1987">
        <v>1.2677696E-2</v>
      </c>
      <c r="Q1987" t="str">
        <f t="shared" ref="Q1987:Q2050" si="62">SUBSTITUTE(SUBSTITUTE($I1987,CHAR(61),""),CHAR(34),"")</f>
        <v>25-34</v>
      </c>
      <c r="R1987" t="str">
        <f t="shared" ref="R1987:R2050" si="63">IF($D1987&lt;&gt;"","["&amp;$E1987&amp;"]"&amp;"|"&amp;$Q1987&amp;"|"&amp;$K1987&amp;"|"&amp;$G1987&amp;"|"&amp;IF($G1987="TX_CURR_SUBNAT.R","CY2023Q4",$M1987),"")</f>
        <v>[cPtvxaZqXIH]|25-34|Male|TX_CURR_SUBNAT.T_1|CY2024Q3</v>
      </c>
    </row>
    <row r="1988" spans="4:18" x14ac:dyDescent="0.2">
      <c r="D1988" t="s">
        <v>53</v>
      </c>
      <c r="E1988" t="s">
        <v>54</v>
      </c>
      <c r="F1988" t="s">
        <v>55</v>
      </c>
      <c r="G1988" t="s">
        <v>146</v>
      </c>
      <c r="H1988" t="s">
        <v>147</v>
      </c>
      <c r="I1988" t="s">
        <v>43</v>
      </c>
      <c r="J1988" t="s">
        <v>44</v>
      </c>
      <c r="K1988" t="s">
        <v>48</v>
      </c>
      <c r="L1988" t="s">
        <v>49</v>
      </c>
      <c r="M1988" t="s">
        <v>140</v>
      </c>
      <c r="N1988">
        <v>2602</v>
      </c>
      <c r="O1988">
        <v>3.2493568E-2</v>
      </c>
      <c r="P1988">
        <v>1.2677696E-2</v>
      </c>
      <c r="Q1988" t="str">
        <f t="shared" si="62"/>
        <v>35-49</v>
      </c>
      <c r="R1988" t="str">
        <f t="shared" si="63"/>
        <v>[cPtvxaZqXIH]|35-49|Male|TX_CURR_SUBNAT.T_1|CY2024Q3</v>
      </c>
    </row>
    <row r="1989" spans="4:18" x14ac:dyDescent="0.2">
      <c r="D1989" t="s">
        <v>53</v>
      </c>
      <c r="E1989" t="s">
        <v>54</v>
      </c>
      <c r="F1989" t="s">
        <v>55</v>
      </c>
      <c r="G1989" t="s">
        <v>146</v>
      </c>
      <c r="H1989" t="s">
        <v>147</v>
      </c>
      <c r="I1989" t="s">
        <v>45</v>
      </c>
      <c r="J1989" t="s">
        <v>46</v>
      </c>
      <c r="K1989" t="s">
        <v>48</v>
      </c>
      <c r="L1989" t="s">
        <v>49</v>
      </c>
      <c r="M1989" t="s">
        <v>140</v>
      </c>
      <c r="N1989">
        <v>1899</v>
      </c>
      <c r="O1989">
        <v>3.7986714999999997E-2</v>
      </c>
      <c r="P1989">
        <v>1.2677696E-2</v>
      </c>
      <c r="Q1989" t="str">
        <f t="shared" si="62"/>
        <v>50+</v>
      </c>
      <c r="R1989" t="str">
        <f t="shared" si="63"/>
        <v>[cPtvxaZqXIH]|50+|Male|TX_CURR_SUBNAT.T_1|CY2024Q3</v>
      </c>
    </row>
    <row r="1990" spans="4:18" x14ac:dyDescent="0.2">
      <c r="D1990" t="s">
        <v>60</v>
      </c>
      <c r="E1990" t="s">
        <v>61</v>
      </c>
      <c r="F1990" t="s">
        <v>62</v>
      </c>
      <c r="G1990" t="s">
        <v>146</v>
      </c>
      <c r="H1990" t="s">
        <v>147</v>
      </c>
      <c r="I1990" t="s">
        <v>28</v>
      </c>
      <c r="J1990" t="s">
        <v>29</v>
      </c>
      <c r="K1990" t="s">
        <v>30</v>
      </c>
      <c r="L1990" t="s">
        <v>31</v>
      </c>
      <c r="M1990" t="s">
        <v>140</v>
      </c>
      <c r="N1990">
        <v>4</v>
      </c>
      <c r="O1990">
        <v>6.5013085999999998E-2</v>
      </c>
      <c r="P1990">
        <v>2.1332708999999998E-2</v>
      </c>
      <c r="Q1990" t="str">
        <f t="shared" si="62"/>
        <v>&lt;01</v>
      </c>
      <c r="R1990" t="str">
        <f t="shared" si="63"/>
        <v>[E7zpfyBt7Tw]|&lt;01|Female|TX_CURR_SUBNAT.T_1|CY2024Q3</v>
      </c>
    </row>
    <row r="1991" spans="4:18" x14ac:dyDescent="0.2">
      <c r="D1991" t="s">
        <v>60</v>
      </c>
      <c r="E1991" t="s">
        <v>61</v>
      </c>
      <c r="F1991" t="s">
        <v>62</v>
      </c>
      <c r="G1991" t="s">
        <v>146</v>
      </c>
      <c r="H1991" t="s">
        <v>147</v>
      </c>
      <c r="I1991" t="s">
        <v>33</v>
      </c>
      <c r="J1991" t="s">
        <v>34</v>
      </c>
      <c r="K1991" t="s">
        <v>30</v>
      </c>
      <c r="L1991" t="s">
        <v>31</v>
      </c>
      <c r="M1991" t="s">
        <v>140</v>
      </c>
      <c r="N1991">
        <v>77</v>
      </c>
      <c r="O1991">
        <v>5.9043852000000001E-2</v>
      </c>
      <c r="P1991">
        <v>2.1332708999999998E-2</v>
      </c>
      <c r="Q1991" t="str">
        <f t="shared" si="62"/>
        <v>01-09</v>
      </c>
      <c r="R1991" t="str">
        <f t="shared" si="63"/>
        <v>[E7zpfyBt7Tw]|01-09|Female|TX_CURR_SUBNAT.T_1|CY2024Q3</v>
      </c>
    </row>
    <row r="1992" spans="4:18" x14ac:dyDescent="0.2">
      <c r="D1992" t="s">
        <v>60</v>
      </c>
      <c r="E1992" t="s">
        <v>61</v>
      </c>
      <c r="F1992" t="s">
        <v>62</v>
      </c>
      <c r="G1992" t="s">
        <v>146</v>
      </c>
      <c r="H1992" t="s">
        <v>147</v>
      </c>
      <c r="I1992" t="s">
        <v>36</v>
      </c>
      <c r="J1992" t="s">
        <v>37</v>
      </c>
      <c r="K1992" t="s">
        <v>30</v>
      </c>
      <c r="L1992" t="s">
        <v>31</v>
      </c>
      <c r="M1992" t="s">
        <v>140</v>
      </c>
      <c r="N1992">
        <v>108</v>
      </c>
      <c r="O1992">
        <v>5.2742980000000002E-2</v>
      </c>
      <c r="P1992">
        <v>2.1332708999999998E-2</v>
      </c>
      <c r="Q1992" t="str">
        <f t="shared" si="62"/>
        <v>10-14</v>
      </c>
      <c r="R1992" t="str">
        <f t="shared" si="63"/>
        <v>[E7zpfyBt7Tw]|10-14|Female|TX_CURR_SUBNAT.T_1|CY2024Q3</v>
      </c>
    </row>
    <row r="1993" spans="4:18" x14ac:dyDescent="0.2">
      <c r="D1993" t="s">
        <v>60</v>
      </c>
      <c r="E1993" t="s">
        <v>61</v>
      </c>
      <c r="F1993" t="s">
        <v>62</v>
      </c>
      <c r="G1993" t="s">
        <v>146</v>
      </c>
      <c r="H1993" t="s">
        <v>147</v>
      </c>
      <c r="I1993" t="s">
        <v>38</v>
      </c>
      <c r="J1993" t="s">
        <v>39</v>
      </c>
      <c r="K1993" t="s">
        <v>30</v>
      </c>
      <c r="L1993" t="s">
        <v>31</v>
      </c>
      <c r="M1993" t="s">
        <v>140</v>
      </c>
      <c r="N1993">
        <v>550</v>
      </c>
      <c r="O1993">
        <v>6.0840432999999999E-2</v>
      </c>
      <c r="P1993">
        <v>2.1332708999999998E-2</v>
      </c>
      <c r="Q1993" t="str">
        <f t="shared" si="62"/>
        <v>15-24</v>
      </c>
      <c r="R1993" t="str">
        <f t="shared" si="63"/>
        <v>[E7zpfyBt7Tw]|15-24|Female|TX_CURR_SUBNAT.T_1|CY2024Q3</v>
      </c>
    </row>
    <row r="1994" spans="4:18" x14ac:dyDescent="0.2">
      <c r="D1994" t="s">
        <v>60</v>
      </c>
      <c r="E1994" t="s">
        <v>61</v>
      </c>
      <c r="F1994" t="s">
        <v>62</v>
      </c>
      <c r="G1994" t="s">
        <v>146</v>
      </c>
      <c r="H1994" t="s">
        <v>147</v>
      </c>
      <c r="I1994" t="s">
        <v>41</v>
      </c>
      <c r="J1994" t="s">
        <v>42</v>
      </c>
      <c r="K1994" t="s">
        <v>30</v>
      </c>
      <c r="L1994" t="s">
        <v>31</v>
      </c>
      <c r="M1994" t="s">
        <v>140</v>
      </c>
      <c r="N1994">
        <v>1291</v>
      </c>
      <c r="O1994">
        <v>4.1597375999999998E-2</v>
      </c>
      <c r="P1994">
        <v>2.1332708999999998E-2</v>
      </c>
      <c r="Q1994" t="str">
        <f t="shared" si="62"/>
        <v>25-34</v>
      </c>
      <c r="R1994" t="str">
        <f t="shared" si="63"/>
        <v>[E7zpfyBt7Tw]|25-34|Female|TX_CURR_SUBNAT.T_1|CY2024Q3</v>
      </c>
    </row>
    <row r="1995" spans="4:18" x14ac:dyDescent="0.2">
      <c r="D1995" t="s">
        <v>60</v>
      </c>
      <c r="E1995" t="s">
        <v>61</v>
      </c>
      <c r="F1995" t="s">
        <v>62</v>
      </c>
      <c r="G1995" t="s">
        <v>146</v>
      </c>
      <c r="H1995" t="s">
        <v>147</v>
      </c>
      <c r="I1995" t="s">
        <v>43</v>
      </c>
      <c r="J1995" t="s">
        <v>44</v>
      </c>
      <c r="K1995" t="s">
        <v>30</v>
      </c>
      <c r="L1995" t="s">
        <v>31</v>
      </c>
      <c r="M1995" t="s">
        <v>140</v>
      </c>
      <c r="N1995">
        <v>3335</v>
      </c>
      <c r="O1995">
        <v>3.0578075E-2</v>
      </c>
      <c r="P1995">
        <v>2.1332708999999998E-2</v>
      </c>
      <c r="Q1995" t="str">
        <f t="shared" si="62"/>
        <v>35-49</v>
      </c>
      <c r="R1995" t="str">
        <f t="shared" si="63"/>
        <v>[E7zpfyBt7Tw]|35-49|Female|TX_CURR_SUBNAT.T_1|CY2024Q3</v>
      </c>
    </row>
    <row r="1996" spans="4:18" x14ac:dyDescent="0.2">
      <c r="D1996" t="s">
        <v>60</v>
      </c>
      <c r="E1996" t="s">
        <v>61</v>
      </c>
      <c r="F1996" t="s">
        <v>62</v>
      </c>
      <c r="G1996" t="s">
        <v>146</v>
      </c>
      <c r="H1996" t="s">
        <v>147</v>
      </c>
      <c r="I1996" t="s">
        <v>45</v>
      </c>
      <c r="J1996" t="s">
        <v>46</v>
      </c>
      <c r="K1996" t="s">
        <v>30</v>
      </c>
      <c r="L1996" t="s">
        <v>31</v>
      </c>
      <c r="M1996" t="s">
        <v>140</v>
      </c>
      <c r="N1996">
        <v>1770</v>
      </c>
      <c r="O1996">
        <v>4.2205125000000003E-2</v>
      </c>
      <c r="P1996">
        <v>2.1332708999999998E-2</v>
      </c>
      <c r="Q1996" t="str">
        <f t="shared" si="62"/>
        <v>50+</v>
      </c>
      <c r="R1996" t="str">
        <f t="shared" si="63"/>
        <v>[E7zpfyBt7Tw]|50+|Female|TX_CURR_SUBNAT.T_1|CY2024Q3</v>
      </c>
    </row>
    <row r="1997" spans="4:18" x14ac:dyDescent="0.2">
      <c r="D1997" t="s">
        <v>60</v>
      </c>
      <c r="E1997" t="s">
        <v>61</v>
      </c>
      <c r="F1997" t="s">
        <v>62</v>
      </c>
      <c r="G1997" t="s">
        <v>146</v>
      </c>
      <c r="H1997" t="s">
        <v>147</v>
      </c>
      <c r="I1997" t="s">
        <v>28</v>
      </c>
      <c r="J1997" t="s">
        <v>29</v>
      </c>
      <c r="K1997" t="s">
        <v>48</v>
      </c>
      <c r="L1997" t="s">
        <v>49</v>
      </c>
      <c r="M1997" t="s">
        <v>140</v>
      </c>
      <c r="N1997">
        <v>4</v>
      </c>
      <c r="O1997">
        <v>4.6614206999999998E-2</v>
      </c>
      <c r="P1997">
        <v>2.1332708999999998E-2</v>
      </c>
      <c r="Q1997" t="str">
        <f t="shared" si="62"/>
        <v>&lt;01</v>
      </c>
      <c r="R1997" t="str">
        <f t="shared" si="63"/>
        <v>[E7zpfyBt7Tw]|&lt;01|Male|TX_CURR_SUBNAT.T_1|CY2024Q3</v>
      </c>
    </row>
    <row r="1998" spans="4:18" x14ac:dyDescent="0.2">
      <c r="D1998" t="s">
        <v>60</v>
      </c>
      <c r="E1998" t="s">
        <v>61</v>
      </c>
      <c r="F1998" t="s">
        <v>62</v>
      </c>
      <c r="G1998" t="s">
        <v>146</v>
      </c>
      <c r="H1998" t="s">
        <v>147</v>
      </c>
      <c r="I1998" t="s">
        <v>33</v>
      </c>
      <c r="J1998" t="s">
        <v>34</v>
      </c>
      <c r="K1998" t="s">
        <v>48</v>
      </c>
      <c r="L1998" t="s">
        <v>49</v>
      </c>
      <c r="M1998" t="s">
        <v>140</v>
      </c>
      <c r="N1998">
        <v>82</v>
      </c>
      <c r="O1998">
        <v>4.3850376000000003E-2</v>
      </c>
      <c r="P1998">
        <v>2.1332708999999998E-2</v>
      </c>
      <c r="Q1998" t="str">
        <f t="shared" si="62"/>
        <v>01-09</v>
      </c>
      <c r="R1998" t="str">
        <f t="shared" si="63"/>
        <v>[E7zpfyBt7Tw]|01-09|Male|TX_CURR_SUBNAT.T_1|CY2024Q3</v>
      </c>
    </row>
    <row r="1999" spans="4:18" x14ac:dyDescent="0.2">
      <c r="D1999" t="s">
        <v>60</v>
      </c>
      <c r="E1999" t="s">
        <v>61</v>
      </c>
      <c r="F1999" t="s">
        <v>62</v>
      </c>
      <c r="G1999" t="s">
        <v>146</v>
      </c>
      <c r="H1999" t="s">
        <v>147</v>
      </c>
      <c r="I1999" t="s">
        <v>36</v>
      </c>
      <c r="J1999" t="s">
        <v>37</v>
      </c>
      <c r="K1999" t="s">
        <v>48</v>
      </c>
      <c r="L1999" t="s">
        <v>49</v>
      </c>
      <c r="M1999" t="s">
        <v>140</v>
      </c>
      <c r="N1999">
        <v>112</v>
      </c>
      <c r="O1999">
        <v>4.1683896999999998E-2</v>
      </c>
      <c r="P1999">
        <v>2.1332708999999998E-2</v>
      </c>
      <c r="Q1999" t="str">
        <f t="shared" si="62"/>
        <v>10-14</v>
      </c>
      <c r="R1999" t="str">
        <f t="shared" si="63"/>
        <v>[E7zpfyBt7Tw]|10-14|Male|TX_CURR_SUBNAT.T_1|CY2024Q3</v>
      </c>
    </row>
    <row r="2000" spans="4:18" x14ac:dyDescent="0.2">
      <c r="D2000" t="s">
        <v>60</v>
      </c>
      <c r="E2000" t="s">
        <v>61</v>
      </c>
      <c r="F2000" t="s">
        <v>62</v>
      </c>
      <c r="G2000" t="s">
        <v>146</v>
      </c>
      <c r="H2000" t="s">
        <v>147</v>
      </c>
      <c r="I2000" t="s">
        <v>38</v>
      </c>
      <c r="J2000" t="s">
        <v>39</v>
      </c>
      <c r="K2000" t="s">
        <v>48</v>
      </c>
      <c r="L2000" t="s">
        <v>49</v>
      </c>
      <c r="M2000" t="s">
        <v>140</v>
      </c>
      <c r="N2000">
        <v>420</v>
      </c>
      <c r="O2000">
        <v>7.4514162999999994E-2</v>
      </c>
      <c r="P2000">
        <v>2.1332708999999998E-2</v>
      </c>
      <c r="Q2000" t="str">
        <f t="shared" si="62"/>
        <v>15-24</v>
      </c>
      <c r="R2000" t="str">
        <f t="shared" si="63"/>
        <v>[E7zpfyBt7Tw]|15-24|Male|TX_CURR_SUBNAT.T_1|CY2024Q3</v>
      </c>
    </row>
    <row r="2001" spans="4:18" x14ac:dyDescent="0.2">
      <c r="D2001" t="s">
        <v>60</v>
      </c>
      <c r="E2001" t="s">
        <v>61</v>
      </c>
      <c r="F2001" t="s">
        <v>62</v>
      </c>
      <c r="G2001" t="s">
        <v>146</v>
      </c>
      <c r="H2001" t="s">
        <v>147</v>
      </c>
      <c r="I2001" t="s">
        <v>41</v>
      </c>
      <c r="J2001" t="s">
        <v>42</v>
      </c>
      <c r="K2001" t="s">
        <v>48</v>
      </c>
      <c r="L2001" t="s">
        <v>49</v>
      </c>
      <c r="M2001" t="s">
        <v>140</v>
      </c>
      <c r="N2001">
        <v>512</v>
      </c>
      <c r="O2001">
        <v>6.8520492000000002E-2</v>
      </c>
      <c r="P2001">
        <v>2.1332708999999998E-2</v>
      </c>
      <c r="Q2001" t="str">
        <f t="shared" si="62"/>
        <v>25-34</v>
      </c>
      <c r="R2001" t="str">
        <f t="shared" si="63"/>
        <v>[E7zpfyBt7Tw]|25-34|Male|TX_CURR_SUBNAT.T_1|CY2024Q3</v>
      </c>
    </row>
    <row r="2002" spans="4:18" x14ac:dyDescent="0.2">
      <c r="D2002" t="s">
        <v>60</v>
      </c>
      <c r="E2002" t="s">
        <v>61</v>
      </c>
      <c r="F2002" t="s">
        <v>62</v>
      </c>
      <c r="G2002" t="s">
        <v>146</v>
      </c>
      <c r="H2002" t="s">
        <v>147</v>
      </c>
      <c r="I2002" t="s">
        <v>43</v>
      </c>
      <c r="J2002" t="s">
        <v>44</v>
      </c>
      <c r="K2002" t="s">
        <v>48</v>
      </c>
      <c r="L2002" t="s">
        <v>49</v>
      </c>
      <c r="M2002" t="s">
        <v>140</v>
      </c>
      <c r="N2002">
        <v>1977</v>
      </c>
      <c r="O2002">
        <v>3.8004259999999998E-2</v>
      </c>
      <c r="P2002">
        <v>2.1332708999999998E-2</v>
      </c>
      <c r="Q2002" t="str">
        <f t="shared" si="62"/>
        <v>35-49</v>
      </c>
      <c r="R2002" t="str">
        <f t="shared" si="63"/>
        <v>[E7zpfyBt7Tw]|35-49|Male|TX_CURR_SUBNAT.T_1|CY2024Q3</v>
      </c>
    </row>
    <row r="2003" spans="4:18" x14ac:dyDescent="0.2">
      <c r="D2003" t="s">
        <v>60</v>
      </c>
      <c r="E2003" t="s">
        <v>61</v>
      </c>
      <c r="F2003" t="s">
        <v>62</v>
      </c>
      <c r="G2003" t="s">
        <v>146</v>
      </c>
      <c r="H2003" t="s">
        <v>147</v>
      </c>
      <c r="I2003" t="s">
        <v>45</v>
      </c>
      <c r="J2003" t="s">
        <v>46</v>
      </c>
      <c r="K2003" t="s">
        <v>48</v>
      </c>
      <c r="L2003" t="s">
        <v>49</v>
      </c>
      <c r="M2003" t="s">
        <v>140</v>
      </c>
      <c r="N2003">
        <v>1623</v>
      </c>
      <c r="O2003">
        <v>4.0858329999999998E-2</v>
      </c>
      <c r="P2003">
        <v>2.1332708999999998E-2</v>
      </c>
      <c r="Q2003" t="str">
        <f t="shared" si="62"/>
        <v>50+</v>
      </c>
      <c r="R2003" t="str">
        <f t="shared" si="63"/>
        <v>[E7zpfyBt7Tw]|50+|Male|TX_CURR_SUBNAT.T_1|CY2024Q3</v>
      </c>
    </row>
    <row r="2004" spans="4:18" x14ac:dyDescent="0.2">
      <c r="D2004" t="s">
        <v>63</v>
      </c>
      <c r="E2004" t="s">
        <v>64</v>
      </c>
      <c r="F2004" t="s">
        <v>65</v>
      </c>
      <c r="G2004" t="s">
        <v>146</v>
      </c>
      <c r="H2004" t="s">
        <v>147</v>
      </c>
      <c r="I2004" t="s">
        <v>28</v>
      </c>
      <c r="J2004" t="s">
        <v>29</v>
      </c>
      <c r="K2004" t="s">
        <v>30</v>
      </c>
      <c r="L2004" t="s">
        <v>31</v>
      </c>
      <c r="M2004" t="s">
        <v>140</v>
      </c>
      <c r="N2004">
        <v>3</v>
      </c>
      <c r="O2004">
        <v>6.6623598000000006E-2</v>
      </c>
      <c r="P2004">
        <v>1.9502061000000001E-2</v>
      </c>
      <c r="Q2004" t="str">
        <f t="shared" si="62"/>
        <v>&lt;01</v>
      </c>
      <c r="R2004" t="str">
        <f t="shared" si="63"/>
        <v>[lPTyjLi4w3d]|&lt;01|Female|TX_CURR_SUBNAT.T_1|CY2024Q3</v>
      </c>
    </row>
    <row r="2005" spans="4:18" x14ac:dyDescent="0.2">
      <c r="D2005" t="s">
        <v>63</v>
      </c>
      <c r="E2005" t="s">
        <v>64</v>
      </c>
      <c r="F2005" t="s">
        <v>65</v>
      </c>
      <c r="G2005" t="s">
        <v>146</v>
      </c>
      <c r="H2005" t="s">
        <v>147</v>
      </c>
      <c r="I2005" t="s">
        <v>33</v>
      </c>
      <c r="J2005" t="s">
        <v>34</v>
      </c>
      <c r="K2005" t="s">
        <v>30</v>
      </c>
      <c r="L2005" t="s">
        <v>31</v>
      </c>
      <c r="M2005" t="s">
        <v>140</v>
      </c>
      <c r="N2005">
        <v>65</v>
      </c>
      <c r="O2005">
        <v>6.0288645000000002E-2</v>
      </c>
      <c r="P2005">
        <v>1.9502061000000001E-2</v>
      </c>
      <c r="Q2005" t="str">
        <f t="shared" si="62"/>
        <v>01-09</v>
      </c>
      <c r="R2005" t="str">
        <f t="shared" si="63"/>
        <v>[lPTyjLi4w3d]|01-09|Female|TX_CURR_SUBNAT.T_1|CY2024Q3</v>
      </c>
    </row>
    <row r="2006" spans="4:18" x14ac:dyDescent="0.2">
      <c r="D2006" t="s">
        <v>63</v>
      </c>
      <c r="E2006" t="s">
        <v>64</v>
      </c>
      <c r="F2006" t="s">
        <v>65</v>
      </c>
      <c r="G2006" t="s">
        <v>146</v>
      </c>
      <c r="H2006" t="s">
        <v>147</v>
      </c>
      <c r="I2006" t="s">
        <v>36</v>
      </c>
      <c r="J2006" t="s">
        <v>37</v>
      </c>
      <c r="K2006" t="s">
        <v>30</v>
      </c>
      <c r="L2006" t="s">
        <v>31</v>
      </c>
      <c r="M2006" t="s">
        <v>140</v>
      </c>
      <c r="N2006">
        <v>89</v>
      </c>
      <c r="O2006">
        <v>5.3843188E-2</v>
      </c>
      <c r="P2006">
        <v>1.9502061000000001E-2</v>
      </c>
      <c r="Q2006" t="str">
        <f t="shared" si="62"/>
        <v>10-14</v>
      </c>
      <c r="R2006" t="str">
        <f t="shared" si="63"/>
        <v>[lPTyjLi4w3d]|10-14|Female|TX_CURR_SUBNAT.T_1|CY2024Q3</v>
      </c>
    </row>
    <row r="2007" spans="4:18" x14ac:dyDescent="0.2">
      <c r="D2007" t="s">
        <v>63</v>
      </c>
      <c r="E2007" t="s">
        <v>64</v>
      </c>
      <c r="F2007" t="s">
        <v>65</v>
      </c>
      <c r="G2007" t="s">
        <v>146</v>
      </c>
      <c r="H2007" t="s">
        <v>147</v>
      </c>
      <c r="I2007" t="s">
        <v>38</v>
      </c>
      <c r="J2007" t="s">
        <v>39</v>
      </c>
      <c r="K2007" t="s">
        <v>30</v>
      </c>
      <c r="L2007" t="s">
        <v>31</v>
      </c>
      <c r="M2007" t="s">
        <v>140</v>
      </c>
      <c r="N2007">
        <v>392</v>
      </c>
      <c r="O2007">
        <v>6.2638384000000005E-2</v>
      </c>
      <c r="P2007">
        <v>1.9502061000000001E-2</v>
      </c>
      <c r="Q2007" t="str">
        <f t="shared" si="62"/>
        <v>15-24</v>
      </c>
      <c r="R2007" t="str">
        <f t="shared" si="63"/>
        <v>[lPTyjLi4w3d]|15-24|Female|TX_CURR_SUBNAT.T_1|CY2024Q3</v>
      </c>
    </row>
    <row r="2008" spans="4:18" x14ac:dyDescent="0.2">
      <c r="D2008" t="s">
        <v>63</v>
      </c>
      <c r="E2008" t="s">
        <v>64</v>
      </c>
      <c r="F2008" t="s">
        <v>65</v>
      </c>
      <c r="G2008" t="s">
        <v>146</v>
      </c>
      <c r="H2008" t="s">
        <v>147</v>
      </c>
      <c r="I2008" t="s">
        <v>41</v>
      </c>
      <c r="J2008" t="s">
        <v>42</v>
      </c>
      <c r="K2008" t="s">
        <v>30</v>
      </c>
      <c r="L2008" t="s">
        <v>31</v>
      </c>
      <c r="M2008" t="s">
        <v>140</v>
      </c>
      <c r="N2008">
        <v>987</v>
      </c>
      <c r="O2008">
        <v>4.1422319999999999E-2</v>
      </c>
      <c r="P2008">
        <v>1.9502061000000001E-2</v>
      </c>
      <c r="Q2008" t="str">
        <f t="shared" si="62"/>
        <v>25-34</v>
      </c>
      <c r="R2008" t="str">
        <f t="shared" si="63"/>
        <v>[lPTyjLi4w3d]|25-34|Female|TX_CURR_SUBNAT.T_1|CY2024Q3</v>
      </c>
    </row>
    <row r="2009" spans="4:18" x14ac:dyDescent="0.2">
      <c r="D2009" t="s">
        <v>63</v>
      </c>
      <c r="E2009" t="s">
        <v>64</v>
      </c>
      <c r="F2009" t="s">
        <v>65</v>
      </c>
      <c r="G2009" t="s">
        <v>146</v>
      </c>
      <c r="H2009" t="s">
        <v>147</v>
      </c>
      <c r="I2009" t="s">
        <v>43</v>
      </c>
      <c r="J2009" t="s">
        <v>44</v>
      </c>
      <c r="K2009" t="s">
        <v>30</v>
      </c>
      <c r="L2009" t="s">
        <v>31</v>
      </c>
      <c r="M2009" t="s">
        <v>140</v>
      </c>
      <c r="N2009">
        <v>2648</v>
      </c>
      <c r="O2009">
        <v>2.8130176E-2</v>
      </c>
      <c r="P2009">
        <v>1.9502061000000001E-2</v>
      </c>
      <c r="Q2009" t="str">
        <f t="shared" si="62"/>
        <v>35-49</v>
      </c>
      <c r="R2009" t="str">
        <f t="shared" si="63"/>
        <v>[lPTyjLi4w3d]|35-49|Female|TX_CURR_SUBNAT.T_1|CY2024Q3</v>
      </c>
    </row>
    <row r="2010" spans="4:18" x14ac:dyDescent="0.2">
      <c r="D2010" t="s">
        <v>63</v>
      </c>
      <c r="E2010" t="s">
        <v>64</v>
      </c>
      <c r="F2010" t="s">
        <v>65</v>
      </c>
      <c r="G2010" t="s">
        <v>146</v>
      </c>
      <c r="H2010" t="s">
        <v>147</v>
      </c>
      <c r="I2010" t="s">
        <v>45</v>
      </c>
      <c r="J2010" t="s">
        <v>46</v>
      </c>
      <c r="K2010" t="s">
        <v>30</v>
      </c>
      <c r="L2010" t="s">
        <v>31</v>
      </c>
      <c r="M2010" t="s">
        <v>140</v>
      </c>
      <c r="N2010">
        <v>1275</v>
      </c>
      <c r="O2010">
        <v>4.3463674000000001E-2</v>
      </c>
      <c r="P2010">
        <v>1.9502061000000001E-2</v>
      </c>
      <c r="Q2010" t="str">
        <f t="shared" si="62"/>
        <v>50+</v>
      </c>
      <c r="R2010" t="str">
        <f t="shared" si="63"/>
        <v>[lPTyjLi4w3d]|50+|Female|TX_CURR_SUBNAT.T_1|CY2024Q3</v>
      </c>
    </row>
    <row r="2011" spans="4:18" x14ac:dyDescent="0.2">
      <c r="D2011" t="s">
        <v>63</v>
      </c>
      <c r="E2011" t="s">
        <v>64</v>
      </c>
      <c r="F2011" t="s">
        <v>65</v>
      </c>
      <c r="G2011" t="s">
        <v>146</v>
      </c>
      <c r="H2011" t="s">
        <v>147</v>
      </c>
      <c r="I2011" t="s">
        <v>28</v>
      </c>
      <c r="J2011" t="s">
        <v>29</v>
      </c>
      <c r="K2011" t="s">
        <v>48</v>
      </c>
      <c r="L2011" t="s">
        <v>49</v>
      </c>
      <c r="M2011" t="s">
        <v>140</v>
      </c>
      <c r="N2011">
        <v>3</v>
      </c>
      <c r="O2011">
        <v>4.586167E-2</v>
      </c>
      <c r="P2011">
        <v>1.9502061000000001E-2</v>
      </c>
      <c r="Q2011" t="str">
        <f t="shared" si="62"/>
        <v>&lt;01</v>
      </c>
      <c r="R2011" t="str">
        <f t="shared" si="63"/>
        <v>[lPTyjLi4w3d]|&lt;01|Male|TX_CURR_SUBNAT.T_1|CY2024Q3</v>
      </c>
    </row>
    <row r="2012" spans="4:18" x14ac:dyDescent="0.2">
      <c r="D2012" t="s">
        <v>63</v>
      </c>
      <c r="E2012" t="s">
        <v>64</v>
      </c>
      <c r="F2012" t="s">
        <v>65</v>
      </c>
      <c r="G2012" t="s">
        <v>146</v>
      </c>
      <c r="H2012" t="s">
        <v>147</v>
      </c>
      <c r="I2012" t="s">
        <v>33</v>
      </c>
      <c r="J2012" t="s">
        <v>34</v>
      </c>
      <c r="K2012" t="s">
        <v>48</v>
      </c>
      <c r="L2012" t="s">
        <v>49</v>
      </c>
      <c r="M2012" t="s">
        <v>140</v>
      </c>
      <c r="N2012">
        <v>66</v>
      </c>
      <c r="O2012">
        <v>4.3428832000000001E-2</v>
      </c>
      <c r="P2012">
        <v>1.9502061000000001E-2</v>
      </c>
      <c r="Q2012" t="str">
        <f t="shared" si="62"/>
        <v>01-09</v>
      </c>
      <c r="R2012" t="str">
        <f t="shared" si="63"/>
        <v>[lPTyjLi4w3d]|01-09|Male|TX_CURR_SUBNAT.T_1|CY2024Q3</v>
      </c>
    </row>
    <row r="2013" spans="4:18" x14ac:dyDescent="0.2">
      <c r="D2013" t="s">
        <v>63</v>
      </c>
      <c r="E2013" t="s">
        <v>64</v>
      </c>
      <c r="F2013" t="s">
        <v>65</v>
      </c>
      <c r="G2013" t="s">
        <v>146</v>
      </c>
      <c r="H2013" t="s">
        <v>147</v>
      </c>
      <c r="I2013" t="s">
        <v>36</v>
      </c>
      <c r="J2013" t="s">
        <v>37</v>
      </c>
      <c r="K2013" t="s">
        <v>48</v>
      </c>
      <c r="L2013" t="s">
        <v>49</v>
      </c>
      <c r="M2013" t="s">
        <v>140</v>
      </c>
      <c r="N2013">
        <v>89</v>
      </c>
      <c r="O2013">
        <v>4.2003881999999999E-2</v>
      </c>
      <c r="P2013">
        <v>1.9502061000000001E-2</v>
      </c>
      <c r="Q2013" t="str">
        <f t="shared" si="62"/>
        <v>10-14</v>
      </c>
      <c r="R2013" t="str">
        <f t="shared" si="63"/>
        <v>[lPTyjLi4w3d]|10-14|Male|TX_CURR_SUBNAT.T_1|CY2024Q3</v>
      </c>
    </row>
    <row r="2014" spans="4:18" x14ac:dyDescent="0.2">
      <c r="D2014" t="s">
        <v>63</v>
      </c>
      <c r="E2014" t="s">
        <v>64</v>
      </c>
      <c r="F2014" t="s">
        <v>65</v>
      </c>
      <c r="G2014" t="s">
        <v>146</v>
      </c>
      <c r="H2014" t="s">
        <v>147</v>
      </c>
      <c r="I2014" t="s">
        <v>38</v>
      </c>
      <c r="J2014" t="s">
        <v>39</v>
      </c>
      <c r="K2014" t="s">
        <v>48</v>
      </c>
      <c r="L2014" t="s">
        <v>49</v>
      </c>
      <c r="M2014" t="s">
        <v>140</v>
      </c>
      <c r="N2014">
        <v>292</v>
      </c>
      <c r="O2014">
        <v>7.4335914000000003E-2</v>
      </c>
      <c r="P2014">
        <v>1.9502061000000001E-2</v>
      </c>
      <c r="Q2014" t="str">
        <f t="shared" si="62"/>
        <v>15-24</v>
      </c>
      <c r="R2014" t="str">
        <f t="shared" si="63"/>
        <v>[lPTyjLi4w3d]|15-24|Male|TX_CURR_SUBNAT.T_1|CY2024Q3</v>
      </c>
    </row>
    <row r="2015" spans="4:18" x14ac:dyDescent="0.2">
      <c r="D2015" t="s">
        <v>63</v>
      </c>
      <c r="E2015" t="s">
        <v>64</v>
      </c>
      <c r="F2015" t="s">
        <v>65</v>
      </c>
      <c r="G2015" t="s">
        <v>146</v>
      </c>
      <c r="H2015" t="s">
        <v>147</v>
      </c>
      <c r="I2015" t="s">
        <v>41</v>
      </c>
      <c r="J2015" t="s">
        <v>42</v>
      </c>
      <c r="K2015" t="s">
        <v>48</v>
      </c>
      <c r="L2015" t="s">
        <v>49</v>
      </c>
      <c r="M2015" t="s">
        <v>140</v>
      </c>
      <c r="N2015">
        <v>380</v>
      </c>
      <c r="O2015">
        <v>6.8367074E-2</v>
      </c>
      <c r="P2015">
        <v>1.9502061000000001E-2</v>
      </c>
      <c r="Q2015" t="str">
        <f t="shared" si="62"/>
        <v>25-34</v>
      </c>
      <c r="R2015" t="str">
        <f t="shared" si="63"/>
        <v>[lPTyjLi4w3d]|25-34|Male|TX_CURR_SUBNAT.T_1|CY2024Q3</v>
      </c>
    </row>
    <row r="2016" spans="4:18" x14ac:dyDescent="0.2">
      <c r="D2016" t="s">
        <v>63</v>
      </c>
      <c r="E2016" t="s">
        <v>64</v>
      </c>
      <c r="F2016" t="s">
        <v>65</v>
      </c>
      <c r="G2016" t="s">
        <v>146</v>
      </c>
      <c r="H2016" t="s">
        <v>147</v>
      </c>
      <c r="I2016" t="s">
        <v>43</v>
      </c>
      <c r="J2016" t="s">
        <v>44</v>
      </c>
      <c r="K2016" t="s">
        <v>48</v>
      </c>
      <c r="L2016" t="s">
        <v>49</v>
      </c>
      <c r="M2016" t="s">
        <v>140</v>
      </c>
      <c r="N2016">
        <v>1579</v>
      </c>
      <c r="O2016">
        <v>3.4988719000000001E-2</v>
      </c>
      <c r="P2016">
        <v>1.9502061000000001E-2</v>
      </c>
      <c r="Q2016" t="str">
        <f t="shared" si="62"/>
        <v>35-49</v>
      </c>
      <c r="R2016" t="str">
        <f t="shared" si="63"/>
        <v>[lPTyjLi4w3d]|35-49|Male|TX_CURR_SUBNAT.T_1|CY2024Q3</v>
      </c>
    </row>
    <row r="2017" spans="4:18" x14ac:dyDescent="0.2">
      <c r="D2017" t="s">
        <v>63</v>
      </c>
      <c r="E2017" t="s">
        <v>64</v>
      </c>
      <c r="F2017" t="s">
        <v>65</v>
      </c>
      <c r="G2017" t="s">
        <v>146</v>
      </c>
      <c r="H2017" t="s">
        <v>147</v>
      </c>
      <c r="I2017" t="s">
        <v>45</v>
      </c>
      <c r="J2017" t="s">
        <v>46</v>
      </c>
      <c r="K2017" t="s">
        <v>48</v>
      </c>
      <c r="L2017" t="s">
        <v>49</v>
      </c>
      <c r="M2017" t="s">
        <v>140</v>
      </c>
      <c r="N2017">
        <v>1236</v>
      </c>
      <c r="O2017">
        <v>4.1360683000000002E-2</v>
      </c>
      <c r="P2017">
        <v>1.9502061000000001E-2</v>
      </c>
      <c r="Q2017" t="str">
        <f t="shared" si="62"/>
        <v>50+</v>
      </c>
      <c r="R2017" t="str">
        <f t="shared" si="63"/>
        <v>[lPTyjLi4w3d]|50+|Male|TX_CURR_SUBNAT.T_1|CY2024Q3</v>
      </c>
    </row>
    <row r="2018" spans="4:18" x14ac:dyDescent="0.2">
      <c r="D2018" t="s">
        <v>66</v>
      </c>
      <c r="E2018" t="s">
        <v>67</v>
      </c>
      <c r="F2018" t="s">
        <v>68</v>
      </c>
      <c r="G2018" t="s">
        <v>146</v>
      </c>
      <c r="H2018" t="s">
        <v>147</v>
      </c>
      <c r="I2018" t="s">
        <v>28</v>
      </c>
      <c r="J2018" t="s">
        <v>29</v>
      </c>
      <c r="K2018" t="s">
        <v>30</v>
      </c>
      <c r="L2018" t="s">
        <v>31</v>
      </c>
      <c r="M2018" t="s">
        <v>140</v>
      </c>
      <c r="N2018">
        <v>16</v>
      </c>
      <c r="O2018">
        <v>3.8460439999999999E-2</v>
      </c>
      <c r="P2018">
        <v>8.8046029999999994E-3</v>
      </c>
      <c r="Q2018" t="str">
        <f t="shared" si="62"/>
        <v>&lt;01</v>
      </c>
      <c r="R2018" t="str">
        <f t="shared" si="63"/>
        <v>[vA4NcHxfMBq]|&lt;01|Female|TX_CURR_SUBNAT.T_1|CY2024Q3</v>
      </c>
    </row>
    <row r="2019" spans="4:18" x14ac:dyDescent="0.2">
      <c r="D2019" t="s">
        <v>66</v>
      </c>
      <c r="E2019" t="s">
        <v>67</v>
      </c>
      <c r="F2019" t="s">
        <v>68</v>
      </c>
      <c r="G2019" t="s">
        <v>146</v>
      </c>
      <c r="H2019" t="s">
        <v>147</v>
      </c>
      <c r="I2019" t="s">
        <v>33</v>
      </c>
      <c r="J2019" t="s">
        <v>34</v>
      </c>
      <c r="K2019" t="s">
        <v>30</v>
      </c>
      <c r="L2019" t="s">
        <v>31</v>
      </c>
      <c r="M2019" t="s">
        <v>140</v>
      </c>
      <c r="N2019">
        <v>316</v>
      </c>
      <c r="O2019">
        <v>3.2492974000000001E-2</v>
      </c>
      <c r="P2019">
        <v>8.8046029999999994E-3</v>
      </c>
      <c r="Q2019" t="str">
        <f t="shared" si="62"/>
        <v>01-09</v>
      </c>
      <c r="R2019" t="str">
        <f t="shared" si="63"/>
        <v>[vA4NcHxfMBq]|01-09|Female|TX_CURR_SUBNAT.T_1|CY2024Q3</v>
      </c>
    </row>
    <row r="2020" spans="4:18" x14ac:dyDescent="0.2">
      <c r="D2020" t="s">
        <v>66</v>
      </c>
      <c r="E2020" t="s">
        <v>67</v>
      </c>
      <c r="F2020" t="s">
        <v>68</v>
      </c>
      <c r="G2020" t="s">
        <v>146</v>
      </c>
      <c r="H2020" t="s">
        <v>147</v>
      </c>
      <c r="I2020" t="s">
        <v>36</v>
      </c>
      <c r="J2020" t="s">
        <v>37</v>
      </c>
      <c r="K2020" t="s">
        <v>30</v>
      </c>
      <c r="L2020" t="s">
        <v>31</v>
      </c>
      <c r="M2020" t="s">
        <v>140</v>
      </c>
      <c r="N2020">
        <v>418</v>
      </c>
      <c r="O2020">
        <v>2.6523832000000001E-2</v>
      </c>
      <c r="P2020">
        <v>8.8046029999999994E-3</v>
      </c>
      <c r="Q2020" t="str">
        <f t="shared" si="62"/>
        <v>10-14</v>
      </c>
      <c r="R2020" t="str">
        <f t="shared" si="63"/>
        <v>[vA4NcHxfMBq]|10-14|Female|TX_CURR_SUBNAT.T_1|CY2024Q3</v>
      </c>
    </row>
    <row r="2021" spans="4:18" x14ac:dyDescent="0.2">
      <c r="D2021" t="s">
        <v>66</v>
      </c>
      <c r="E2021" t="s">
        <v>67</v>
      </c>
      <c r="F2021" t="s">
        <v>68</v>
      </c>
      <c r="G2021" t="s">
        <v>146</v>
      </c>
      <c r="H2021" t="s">
        <v>147</v>
      </c>
      <c r="I2021" t="s">
        <v>38</v>
      </c>
      <c r="J2021" t="s">
        <v>39</v>
      </c>
      <c r="K2021" t="s">
        <v>30</v>
      </c>
      <c r="L2021" t="s">
        <v>31</v>
      </c>
      <c r="M2021" t="s">
        <v>140</v>
      </c>
      <c r="N2021">
        <v>2175</v>
      </c>
      <c r="O2021">
        <v>5.8525722000000002E-2</v>
      </c>
      <c r="P2021">
        <v>8.8046029999999994E-3</v>
      </c>
      <c r="Q2021" t="str">
        <f t="shared" si="62"/>
        <v>15-24</v>
      </c>
      <c r="R2021" t="str">
        <f t="shared" si="63"/>
        <v>[vA4NcHxfMBq]|15-24|Female|TX_CURR_SUBNAT.T_1|CY2024Q3</v>
      </c>
    </row>
    <row r="2022" spans="4:18" x14ac:dyDescent="0.2">
      <c r="D2022" t="s">
        <v>66</v>
      </c>
      <c r="E2022" t="s">
        <v>67</v>
      </c>
      <c r="F2022" t="s">
        <v>68</v>
      </c>
      <c r="G2022" t="s">
        <v>146</v>
      </c>
      <c r="H2022" t="s">
        <v>147</v>
      </c>
      <c r="I2022" t="s">
        <v>41</v>
      </c>
      <c r="J2022" t="s">
        <v>42</v>
      </c>
      <c r="K2022" t="s">
        <v>30</v>
      </c>
      <c r="L2022" t="s">
        <v>31</v>
      </c>
      <c r="M2022" t="s">
        <v>140</v>
      </c>
      <c r="N2022">
        <v>5982</v>
      </c>
      <c r="O2022">
        <v>3.6062243000000001E-2</v>
      </c>
      <c r="P2022">
        <v>8.8046029999999994E-3</v>
      </c>
      <c r="Q2022" t="str">
        <f t="shared" si="62"/>
        <v>25-34</v>
      </c>
      <c r="R2022" t="str">
        <f t="shared" si="63"/>
        <v>[vA4NcHxfMBq]|25-34|Female|TX_CURR_SUBNAT.T_1|CY2024Q3</v>
      </c>
    </row>
    <row r="2023" spans="4:18" x14ac:dyDescent="0.2">
      <c r="D2023" t="s">
        <v>66</v>
      </c>
      <c r="E2023" t="s">
        <v>67</v>
      </c>
      <c r="F2023" t="s">
        <v>68</v>
      </c>
      <c r="G2023" t="s">
        <v>146</v>
      </c>
      <c r="H2023" t="s">
        <v>147</v>
      </c>
      <c r="I2023" t="s">
        <v>43</v>
      </c>
      <c r="J2023" t="s">
        <v>44</v>
      </c>
      <c r="K2023" t="s">
        <v>30</v>
      </c>
      <c r="L2023" t="s">
        <v>31</v>
      </c>
      <c r="M2023" t="s">
        <v>140</v>
      </c>
      <c r="N2023">
        <v>14784</v>
      </c>
      <c r="O2023">
        <v>2.0380626999999998E-2</v>
      </c>
      <c r="P2023">
        <v>8.8046029999999994E-3</v>
      </c>
      <c r="Q2023" t="str">
        <f t="shared" si="62"/>
        <v>35-49</v>
      </c>
      <c r="R2023" t="str">
        <f t="shared" si="63"/>
        <v>[vA4NcHxfMBq]|35-49|Female|TX_CURR_SUBNAT.T_1|CY2024Q3</v>
      </c>
    </row>
    <row r="2024" spans="4:18" x14ac:dyDescent="0.2">
      <c r="D2024" t="s">
        <v>66</v>
      </c>
      <c r="E2024" t="s">
        <v>67</v>
      </c>
      <c r="F2024" t="s">
        <v>68</v>
      </c>
      <c r="G2024" t="s">
        <v>146</v>
      </c>
      <c r="H2024" t="s">
        <v>147</v>
      </c>
      <c r="I2024" t="s">
        <v>45</v>
      </c>
      <c r="J2024" t="s">
        <v>46</v>
      </c>
      <c r="K2024" t="s">
        <v>30</v>
      </c>
      <c r="L2024" t="s">
        <v>31</v>
      </c>
      <c r="M2024" t="s">
        <v>140</v>
      </c>
      <c r="N2024">
        <v>6549</v>
      </c>
      <c r="O2024">
        <v>4.0307497999999997E-2</v>
      </c>
      <c r="P2024">
        <v>8.8046029999999994E-3</v>
      </c>
      <c r="Q2024" t="str">
        <f t="shared" si="62"/>
        <v>50+</v>
      </c>
      <c r="R2024" t="str">
        <f t="shared" si="63"/>
        <v>[vA4NcHxfMBq]|50+|Female|TX_CURR_SUBNAT.T_1|CY2024Q3</v>
      </c>
    </row>
    <row r="2025" spans="4:18" x14ac:dyDescent="0.2">
      <c r="D2025" t="s">
        <v>66</v>
      </c>
      <c r="E2025" t="s">
        <v>67</v>
      </c>
      <c r="F2025" t="s">
        <v>68</v>
      </c>
      <c r="G2025" t="s">
        <v>146</v>
      </c>
      <c r="H2025" t="s">
        <v>147</v>
      </c>
      <c r="I2025" t="s">
        <v>28</v>
      </c>
      <c r="J2025" t="s">
        <v>29</v>
      </c>
      <c r="K2025" t="s">
        <v>48</v>
      </c>
      <c r="L2025" t="s">
        <v>49</v>
      </c>
      <c r="M2025" t="s">
        <v>140</v>
      </c>
      <c r="N2025">
        <v>17</v>
      </c>
      <c r="O2025">
        <v>2.6132867000000001E-2</v>
      </c>
      <c r="P2025">
        <v>8.8046029999999994E-3</v>
      </c>
      <c r="Q2025" t="str">
        <f t="shared" si="62"/>
        <v>&lt;01</v>
      </c>
      <c r="R2025" t="str">
        <f t="shared" si="63"/>
        <v>[vA4NcHxfMBq]|&lt;01|Male|TX_CURR_SUBNAT.T_1|CY2024Q3</v>
      </c>
    </row>
    <row r="2026" spans="4:18" x14ac:dyDescent="0.2">
      <c r="D2026" t="s">
        <v>66</v>
      </c>
      <c r="E2026" t="s">
        <v>67</v>
      </c>
      <c r="F2026" t="s">
        <v>68</v>
      </c>
      <c r="G2026" t="s">
        <v>146</v>
      </c>
      <c r="H2026" t="s">
        <v>147</v>
      </c>
      <c r="I2026" t="s">
        <v>33</v>
      </c>
      <c r="J2026" t="s">
        <v>34</v>
      </c>
      <c r="K2026" t="s">
        <v>48</v>
      </c>
      <c r="L2026" t="s">
        <v>49</v>
      </c>
      <c r="M2026" t="s">
        <v>140</v>
      </c>
      <c r="N2026">
        <v>328</v>
      </c>
      <c r="O2026">
        <v>2.3965573E-2</v>
      </c>
      <c r="P2026">
        <v>8.8046029999999994E-3</v>
      </c>
      <c r="Q2026" t="str">
        <f t="shared" si="62"/>
        <v>01-09</v>
      </c>
      <c r="R2026" t="str">
        <f t="shared" si="63"/>
        <v>[vA4NcHxfMBq]|01-09|Male|TX_CURR_SUBNAT.T_1|CY2024Q3</v>
      </c>
    </row>
    <row r="2027" spans="4:18" x14ac:dyDescent="0.2">
      <c r="D2027" t="s">
        <v>66</v>
      </c>
      <c r="E2027" t="s">
        <v>67</v>
      </c>
      <c r="F2027" t="s">
        <v>68</v>
      </c>
      <c r="G2027" t="s">
        <v>146</v>
      </c>
      <c r="H2027" t="s">
        <v>147</v>
      </c>
      <c r="I2027" t="s">
        <v>36</v>
      </c>
      <c r="J2027" t="s">
        <v>37</v>
      </c>
      <c r="K2027" t="s">
        <v>48</v>
      </c>
      <c r="L2027" t="s">
        <v>49</v>
      </c>
      <c r="M2027" t="s">
        <v>140</v>
      </c>
      <c r="N2027">
        <v>420</v>
      </c>
      <c r="O2027">
        <v>2.3189929000000001E-2</v>
      </c>
      <c r="P2027">
        <v>8.8046029999999994E-3</v>
      </c>
      <c r="Q2027" t="str">
        <f t="shared" si="62"/>
        <v>10-14</v>
      </c>
      <c r="R2027" t="str">
        <f t="shared" si="63"/>
        <v>[vA4NcHxfMBq]|10-14|Male|TX_CURR_SUBNAT.T_1|CY2024Q3</v>
      </c>
    </row>
    <row r="2028" spans="4:18" x14ac:dyDescent="0.2">
      <c r="D2028" t="s">
        <v>66</v>
      </c>
      <c r="E2028" t="s">
        <v>67</v>
      </c>
      <c r="F2028" t="s">
        <v>68</v>
      </c>
      <c r="G2028" t="s">
        <v>146</v>
      </c>
      <c r="H2028" t="s">
        <v>147</v>
      </c>
      <c r="I2028" t="s">
        <v>38</v>
      </c>
      <c r="J2028" t="s">
        <v>39</v>
      </c>
      <c r="K2028" t="s">
        <v>48</v>
      </c>
      <c r="L2028" t="s">
        <v>49</v>
      </c>
      <c r="M2028" t="s">
        <v>140</v>
      </c>
      <c r="N2028">
        <v>1478</v>
      </c>
      <c r="O2028">
        <v>7.0343309000000007E-2</v>
      </c>
      <c r="P2028">
        <v>8.8046029999999994E-3</v>
      </c>
      <c r="Q2028" t="str">
        <f t="shared" si="62"/>
        <v>15-24</v>
      </c>
      <c r="R2028" t="str">
        <f t="shared" si="63"/>
        <v>[vA4NcHxfMBq]|15-24|Male|TX_CURR_SUBNAT.T_1|CY2024Q3</v>
      </c>
    </row>
    <row r="2029" spans="4:18" x14ac:dyDescent="0.2">
      <c r="D2029" t="s">
        <v>66</v>
      </c>
      <c r="E2029" t="s">
        <v>67</v>
      </c>
      <c r="F2029" t="s">
        <v>68</v>
      </c>
      <c r="G2029" t="s">
        <v>146</v>
      </c>
      <c r="H2029" t="s">
        <v>147</v>
      </c>
      <c r="I2029" t="s">
        <v>41</v>
      </c>
      <c r="J2029" t="s">
        <v>42</v>
      </c>
      <c r="K2029" t="s">
        <v>48</v>
      </c>
      <c r="L2029" t="s">
        <v>49</v>
      </c>
      <c r="M2029" t="s">
        <v>140</v>
      </c>
      <c r="N2029">
        <v>2156</v>
      </c>
      <c r="O2029">
        <v>6.4106046E-2</v>
      </c>
      <c r="P2029">
        <v>8.8046029999999994E-3</v>
      </c>
      <c r="Q2029" t="str">
        <f t="shared" si="62"/>
        <v>25-34</v>
      </c>
      <c r="R2029" t="str">
        <f t="shared" si="63"/>
        <v>[vA4NcHxfMBq]|25-34|Male|TX_CURR_SUBNAT.T_1|CY2024Q3</v>
      </c>
    </row>
    <row r="2030" spans="4:18" x14ac:dyDescent="0.2">
      <c r="D2030" t="s">
        <v>66</v>
      </c>
      <c r="E2030" t="s">
        <v>67</v>
      </c>
      <c r="F2030" t="s">
        <v>68</v>
      </c>
      <c r="G2030" t="s">
        <v>146</v>
      </c>
      <c r="H2030" t="s">
        <v>147</v>
      </c>
      <c r="I2030" t="s">
        <v>43</v>
      </c>
      <c r="J2030" t="s">
        <v>44</v>
      </c>
      <c r="K2030" t="s">
        <v>48</v>
      </c>
      <c r="L2030" t="s">
        <v>49</v>
      </c>
      <c r="M2030" t="s">
        <v>140</v>
      </c>
      <c r="N2030">
        <v>8451</v>
      </c>
      <c r="O2030">
        <v>2.9789178999999999E-2</v>
      </c>
      <c r="P2030">
        <v>8.8046029999999994E-3</v>
      </c>
      <c r="Q2030" t="str">
        <f t="shared" si="62"/>
        <v>35-49</v>
      </c>
      <c r="R2030" t="str">
        <f t="shared" si="63"/>
        <v>[vA4NcHxfMBq]|35-49|Male|TX_CURR_SUBNAT.T_1|CY2024Q3</v>
      </c>
    </row>
    <row r="2031" spans="4:18" x14ac:dyDescent="0.2">
      <c r="D2031" t="s">
        <v>66</v>
      </c>
      <c r="E2031" t="s">
        <v>67</v>
      </c>
      <c r="F2031" t="s">
        <v>68</v>
      </c>
      <c r="G2031" t="s">
        <v>146</v>
      </c>
      <c r="H2031" t="s">
        <v>147</v>
      </c>
      <c r="I2031" t="s">
        <v>45</v>
      </c>
      <c r="J2031" t="s">
        <v>46</v>
      </c>
      <c r="K2031" t="s">
        <v>48</v>
      </c>
      <c r="L2031" t="s">
        <v>49</v>
      </c>
      <c r="M2031" t="s">
        <v>140</v>
      </c>
      <c r="N2031">
        <v>6076</v>
      </c>
      <c r="O2031">
        <v>3.7042378000000001E-2</v>
      </c>
      <c r="P2031">
        <v>8.8046029999999994E-3</v>
      </c>
      <c r="Q2031" t="str">
        <f t="shared" si="62"/>
        <v>50+</v>
      </c>
      <c r="R2031" t="str">
        <f t="shared" si="63"/>
        <v>[vA4NcHxfMBq]|50+|Male|TX_CURR_SUBNAT.T_1|CY2024Q3</v>
      </c>
    </row>
    <row r="2032" spans="4:18" x14ac:dyDescent="0.2">
      <c r="D2032" t="s">
        <v>69</v>
      </c>
      <c r="E2032" t="s">
        <v>70</v>
      </c>
      <c r="F2032" t="s">
        <v>71</v>
      </c>
      <c r="G2032" t="s">
        <v>146</v>
      </c>
      <c r="H2032" t="s">
        <v>147</v>
      </c>
      <c r="I2032" t="s">
        <v>28</v>
      </c>
      <c r="J2032" t="s">
        <v>29</v>
      </c>
      <c r="K2032" t="s">
        <v>30</v>
      </c>
      <c r="L2032" t="s">
        <v>31</v>
      </c>
      <c r="M2032" t="s">
        <v>140</v>
      </c>
      <c r="N2032">
        <v>0</v>
      </c>
      <c r="O2032">
        <v>7.5454792000000007E-2</v>
      </c>
      <c r="P2032">
        <v>2.5120417999999999E-2</v>
      </c>
      <c r="Q2032" t="str">
        <f t="shared" si="62"/>
        <v>&lt;01</v>
      </c>
      <c r="R2032" t="str">
        <f t="shared" si="63"/>
        <v>[ZCjuwgaMB9u]|&lt;01|Female|TX_CURR_SUBNAT.T_1|CY2024Q3</v>
      </c>
    </row>
    <row r="2033" spans="4:18" x14ac:dyDescent="0.2">
      <c r="D2033" t="s">
        <v>69</v>
      </c>
      <c r="E2033" t="s">
        <v>70</v>
      </c>
      <c r="F2033" t="s">
        <v>71</v>
      </c>
      <c r="G2033" t="s">
        <v>146</v>
      </c>
      <c r="H2033" t="s">
        <v>147</v>
      </c>
      <c r="I2033" t="s">
        <v>33</v>
      </c>
      <c r="J2033" t="s">
        <v>34</v>
      </c>
      <c r="K2033" t="s">
        <v>30</v>
      </c>
      <c r="L2033" t="s">
        <v>31</v>
      </c>
      <c r="M2033" t="s">
        <v>140</v>
      </c>
      <c r="N2033">
        <v>7</v>
      </c>
      <c r="O2033">
        <v>7.4337501E-2</v>
      </c>
      <c r="P2033">
        <v>2.5120417999999999E-2</v>
      </c>
      <c r="Q2033" t="str">
        <f t="shared" si="62"/>
        <v>01-09</v>
      </c>
      <c r="R2033" t="str">
        <f t="shared" si="63"/>
        <v>[ZCjuwgaMB9u]|01-09|Female|TX_CURR_SUBNAT.T_1|CY2024Q3</v>
      </c>
    </row>
    <row r="2034" spans="4:18" x14ac:dyDescent="0.2">
      <c r="D2034" t="s">
        <v>69</v>
      </c>
      <c r="E2034" t="s">
        <v>70</v>
      </c>
      <c r="F2034" t="s">
        <v>71</v>
      </c>
      <c r="G2034" t="s">
        <v>146</v>
      </c>
      <c r="H2034" t="s">
        <v>147</v>
      </c>
      <c r="I2034" t="s">
        <v>36</v>
      </c>
      <c r="J2034" t="s">
        <v>37</v>
      </c>
      <c r="K2034" t="s">
        <v>30</v>
      </c>
      <c r="L2034" t="s">
        <v>31</v>
      </c>
      <c r="M2034" t="s">
        <v>140</v>
      </c>
      <c r="N2034">
        <v>9</v>
      </c>
      <c r="O2034">
        <v>7.4401702E-2</v>
      </c>
      <c r="P2034">
        <v>2.5120417999999999E-2</v>
      </c>
      <c r="Q2034" t="str">
        <f t="shared" si="62"/>
        <v>10-14</v>
      </c>
      <c r="R2034" t="str">
        <f t="shared" si="63"/>
        <v>[ZCjuwgaMB9u]|10-14|Female|TX_CURR_SUBNAT.T_1|CY2024Q3</v>
      </c>
    </row>
    <row r="2035" spans="4:18" x14ac:dyDescent="0.2">
      <c r="D2035" t="s">
        <v>69</v>
      </c>
      <c r="E2035" t="s">
        <v>70</v>
      </c>
      <c r="F2035" t="s">
        <v>71</v>
      </c>
      <c r="G2035" t="s">
        <v>146</v>
      </c>
      <c r="H2035" t="s">
        <v>147</v>
      </c>
      <c r="I2035" t="s">
        <v>38</v>
      </c>
      <c r="J2035" t="s">
        <v>39</v>
      </c>
      <c r="K2035" t="s">
        <v>30</v>
      </c>
      <c r="L2035" t="s">
        <v>31</v>
      </c>
      <c r="M2035" t="s">
        <v>140</v>
      </c>
      <c r="N2035">
        <v>37</v>
      </c>
      <c r="O2035">
        <v>6.4862808999999993E-2</v>
      </c>
      <c r="P2035">
        <v>2.5120417999999999E-2</v>
      </c>
      <c r="Q2035" t="str">
        <f t="shared" si="62"/>
        <v>15-24</v>
      </c>
      <c r="R2035" t="str">
        <f t="shared" si="63"/>
        <v>[ZCjuwgaMB9u]|15-24|Female|TX_CURR_SUBNAT.T_1|CY2024Q3</v>
      </c>
    </row>
    <row r="2036" spans="4:18" x14ac:dyDescent="0.2">
      <c r="D2036" t="s">
        <v>69</v>
      </c>
      <c r="E2036" t="s">
        <v>70</v>
      </c>
      <c r="F2036" t="s">
        <v>71</v>
      </c>
      <c r="G2036" t="s">
        <v>146</v>
      </c>
      <c r="H2036" t="s">
        <v>147</v>
      </c>
      <c r="I2036" t="s">
        <v>41</v>
      </c>
      <c r="J2036" t="s">
        <v>42</v>
      </c>
      <c r="K2036" t="s">
        <v>30</v>
      </c>
      <c r="L2036" t="s">
        <v>31</v>
      </c>
      <c r="M2036" t="s">
        <v>140</v>
      </c>
      <c r="N2036">
        <v>105</v>
      </c>
      <c r="O2036">
        <v>4.6380512999999998E-2</v>
      </c>
      <c r="P2036">
        <v>2.5120417999999999E-2</v>
      </c>
      <c r="Q2036" t="str">
        <f t="shared" si="62"/>
        <v>25-34</v>
      </c>
      <c r="R2036" t="str">
        <f t="shared" si="63"/>
        <v>[ZCjuwgaMB9u]|25-34|Female|TX_CURR_SUBNAT.T_1|CY2024Q3</v>
      </c>
    </row>
    <row r="2037" spans="4:18" x14ac:dyDescent="0.2">
      <c r="D2037" t="s">
        <v>69</v>
      </c>
      <c r="E2037" t="s">
        <v>70</v>
      </c>
      <c r="F2037" t="s">
        <v>71</v>
      </c>
      <c r="G2037" t="s">
        <v>146</v>
      </c>
      <c r="H2037" t="s">
        <v>147</v>
      </c>
      <c r="I2037" t="s">
        <v>43</v>
      </c>
      <c r="J2037" t="s">
        <v>44</v>
      </c>
      <c r="K2037" t="s">
        <v>30</v>
      </c>
      <c r="L2037" t="s">
        <v>31</v>
      </c>
      <c r="M2037" t="s">
        <v>140</v>
      </c>
      <c r="N2037">
        <v>276</v>
      </c>
      <c r="O2037">
        <v>3.2510387000000002E-2</v>
      </c>
      <c r="P2037">
        <v>2.5120417999999999E-2</v>
      </c>
      <c r="Q2037" t="str">
        <f t="shared" si="62"/>
        <v>35-49</v>
      </c>
      <c r="R2037" t="str">
        <f t="shared" si="63"/>
        <v>[ZCjuwgaMB9u]|35-49|Female|TX_CURR_SUBNAT.T_1|CY2024Q3</v>
      </c>
    </row>
    <row r="2038" spans="4:18" x14ac:dyDescent="0.2">
      <c r="D2038" t="s">
        <v>69</v>
      </c>
      <c r="E2038" t="s">
        <v>70</v>
      </c>
      <c r="F2038" t="s">
        <v>71</v>
      </c>
      <c r="G2038" t="s">
        <v>146</v>
      </c>
      <c r="H2038" t="s">
        <v>147</v>
      </c>
      <c r="I2038" t="s">
        <v>45</v>
      </c>
      <c r="J2038" t="s">
        <v>46</v>
      </c>
      <c r="K2038" t="s">
        <v>30</v>
      </c>
      <c r="L2038" t="s">
        <v>31</v>
      </c>
      <c r="M2038" t="s">
        <v>140</v>
      </c>
      <c r="N2038">
        <v>125</v>
      </c>
      <c r="O2038">
        <v>4.6477132999999997E-2</v>
      </c>
      <c r="P2038">
        <v>2.5120417999999999E-2</v>
      </c>
      <c r="Q2038" t="str">
        <f t="shared" si="62"/>
        <v>50+</v>
      </c>
      <c r="R2038" t="str">
        <f t="shared" si="63"/>
        <v>[ZCjuwgaMB9u]|50+|Female|TX_CURR_SUBNAT.T_1|CY2024Q3</v>
      </c>
    </row>
    <row r="2039" spans="4:18" x14ac:dyDescent="0.2">
      <c r="D2039" t="s">
        <v>69</v>
      </c>
      <c r="E2039" t="s">
        <v>70</v>
      </c>
      <c r="F2039" t="s">
        <v>71</v>
      </c>
      <c r="G2039" t="s">
        <v>146</v>
      </c>
      <c r="H2039" t="s">
        <v>147</v>
      </c>
      <c r="I2039" t="s">
        <v>28</v>
      </c>
      <c r="J2039" t="s">
        <v>29</v>
      </c>
      <c r="K2039" t="s">
        <v>48</v>
      </c>
      <c r="L2039" t="s">
        <v>49</v>
      </c>
      <c r="M2039" t="s">
        <v>140</v>
      </c>
      <c r="N2039">
        <v>0</v>
      </c>
      <c r="O2039">
        <v>5.2850848999999998E-2</v>
      </c>
      <c r="P2039">
        <v>2.5120417999999999E-2</v>
      </c>
      <c r="Q2039" t="str">
        <f t="shared" si="62"/>
        <v>&lt;01</v>
      </c>
      <c r="R2039" t="str">
        <f t="shared" si="63"/>
        <v>[ZCjuwgaMB9u]|&lt;01|Male|TX_CURR_SUBNAT.T_1|CY2024Q3</v>
      </c>
    </row>
    <row r="2040" spans="4:18" x14ac:dyDescent="0.2">
      <c r="D2040" t="s">
        <v>69</v>
      </c>
      <c r="E2040" t="s">
        <v>70</v>
      </c>
      <c r="F2040" t="s">
        <v>71</v>
      </c>
      <c r="G2040" t="s">
        <v>146</v>
      </c>
      <c r="H2040" t="s">
        <v>147</v>
      </c>
      <c r="I2040" t="s">
        <v>33</v>
      </c>
      <c r="J2040" t="s">
        <v>34</v>
      </c>
      <c r="K2040" t="s">
        <v>48</v>
      </c>
      <c r="L2040" t="s">
        <v>49</v>
      </c>
      <c r="M2040" t="s">
        <v>140</v>
      </c>
      <c r="N2040">
        <v>7</v>
      </c>
      <c r="O2040">
        <v>5.5506390000000003E-2</v>
      </c>
      <c r="P2040">
        <v>2.5120417999999999E-2</v>
      </c>
      <c r="Q2040" t="str">
        <f t="shared" si="62"/>
        <v>01-09</v>
      </c>
      <c r="R2040" t="str">
        <f t="shared" si="63"/>
        <v>[ZCjuwgaMB9u]|01-09|Male|TX_CURR_SUBNAT.T_1|CY2024Q3</v>
      </c>
    </row>
    <row r="2041" spans="4:18" x14ac:dyDescent="0.2">
      <c r="D2041" t="s">
        <v>69</v>
      </c>
      <c r="E2041" t="s">
        <v>70</v>
      </c>
      <c r="F2041" t="s">
        <v>71</v>
      </c>
      <c r="G2041" t="s">
        <v>146</v>
      </c>
      <c r="H2041" t="s">
        <v>147</v>
      </c>
      <c r="I2041" t="s">
        <v>36</v>
      </c>
      <c r="J2041" t="s">
        <v>37</v>
      </c>
      <c r="K2041" t="s">
        <v>48</v>
      </c>
      <c r="L2041" t="s">
        <v>49</v>
      </c>
      <c r="M2041" t="s">
        <v>140</v>
      </c>
      <c r="N2041">
        <v>8</v>
      </c>
      <c r="O2041">
        <v>6.0216833999999997E-2</v>
      </c>
      <c r="P2041">
        <v>2.5120417999999999E-2</v>
      </c>
      <c r="Q2041" t="str">
        <f t="shared" si="62"/>
        <v>10-14</v>
      </c>
      <c r="R2041" t="str">
        <f t="shared" si="63"/>
        <v>[ZCjuwgaMB9u]|10-14|Male|TX_CURR_SUBNAT.T_1|CY2024Q3</v>
      </c>
    </row>
    <row r="2042" spans="4:18" x14ac:dyDescent="0.2">
      <c r="D2042" t="s">
        <v>69</v>
      </c>
      <c r="E2042" t="s">
        <v>70</v>
      </c>
      <c r="F2042" t="s">
        <v>71</v>
      </c>
      <c r="G2042" t="s">
        <v>146</v>
      </c>
      <c r="H2042" t="s">
        <v>147</v>
      </c>
      <c r="I2042" t="s">
        <v>38</v>
      </c>
      <c r="J2042" t="s">
        <v>39</v>
      </c>
      <c r="K2042" t="s">
        <v>48</v>
      </c>
      <c r="L2042" t="s">
        <v>49</v>
      </c>
      <c r="M2042" t="s">
        <v>140</v>
      </c>
      <c r="N2042">
        <v>28</v>
      </c>
      <c r="O2042">
        <v>8.1999441000000006E-2</v>
      </c>
      <c r="P2042">
        <v>2.5120417999999999E-2</v>
      </c>
      <c r="Q2042" t="str">
        <f t="shared" si="62"/>
        <v>15-24</v>
      </c>
      <c r="R2042" t="str">
        <f t="shared" si="63"/>
        <v>[ZCjuwgaMB9u]|15-24|Male|TX_CURR_SUBNAT.T_1|CY2024Q3</v>
      </c>
    </row>
    <row r="2043" spans="4:18" x14ac:dyDescent="0.2">
      <c r="D2043" t="s">
        <v>69</v>
      </c>
      <c r="E2043" t="s">
        <v>70</v>
      </c>
      <c r="F2043" t="s">
        <v>71</v>
      </c>
      <c r="G2043" t="s">
        <v>146</v>
      </c>
      <c r="H2043" t="s">
        <v>147</v>
      </c>
      <c r="I2043" t="s">
        <v>41</v>
      </c>
      <c r="J2043" t="s">
        <v>42</v>
      </c>
      <c r="K2043" t="s">
        <v>48</v>
      </c>
      <c r="L2043" t="s">
        <v>49</v>
      </c>
      <c r="M2043" t="s">
        <v>140</v>
      </c>
      <c r="N2043">
        <v>46</v>
      </c>
      <c r="O2043">
        <v>7.2937035999999997E-2</v>
      </c>
      <c r="P2043">
        <v>2.5120417999999999E-2</v>
      </c>
      <c r="Q2043" t="str">
        <f t="shared" si="62"/>
        <v>25-34</v>
      </c>
      <c r="R2043" t="str">
        <f t="shared" si="63"/>
        <v>[ZCjuwgaMB9u]|25-34|Male|TX_CURR_SUBNAT.T_1|CY2024Q3</v>
      </c>
    </row>
    <row r="2044" spans="4:18" x14ac:dyDescent="0.2">
      <c r="D2044" t="s">
        <v>69</v>
      </c>
      <c r="E2044" t="s">
        <v>70</v>
      </c>
      <c r="F2044" t="s">
        <v>71</v>
      </c>
      <c r="G2044" t="s">
        <v>146</v>
      </c>
      <c r="H2044" t="s">
        <v>147</v>
      </c>
      <c r="I2044" t="s">
        <v>43</v>
      </c>
      <c r="J2044" t="s">
        <v>44</v>
      </c>
      <c r="K2044" t="s">
        <v>48</v>
      </c>
      <c r="L2044" t="s">
        <v>49</v>
      </c>
      <c r="M2044" t="s">
        <v>140</v>
      </c>
      <c r="N2044">
        <v>165</v>
      </c>
      <c r="O2044">
        <v>4.6255826E-2</v>
      </c>
      <c r="P2044">
        <v>2.5120417999999999E-2</v>
      </c>
      <c r="Q2044" t="str">
        <f t="shared" si="62"/>
        <v>35-49</v>
      </c>
      <c r="R2044" t="str">
        <f t="shared" si="63"/>
        <v>[ZCjuwgaMB9u]|35-49|Male|TX_CURR_SUBNAT.T_1|CY2024Q3</v>
      </c>
    </row>
    <row r="2045" spans="4:18" x14ac:dyDescent="0.2">
      <c r="D2045" t="s">
        <v>69</v>
      </c>
      <c r="E2045" t="s">
        <v>70</v>
      </c>
      <c r="F2045" t="s">
        <v>71</v>
      </c>
      <c r="G2045" t="s">
        <v>146</v>
      </c>
      <c r="H2045" t="s">
        <v>147</v>
      </c>
      <c r="I2045" t="s">
        <v>45</v>
      </c>
      <c r="J2045" t="s">
        <v>46</v>
      </c>
      <c r="K2045" t="s">
        <v>48</v>
      </c>
      <c r="L2045" t="s">
        <v>49</v>
      </c>
      <c r="M2045" t="s">
        <v>140</v>
      </c>
      <c r="N2045">
        <v>105</v>
      </c>
      <c r="O2045">
        <v>4.7163440000000001E-2</v>
      </c>
      <c r="P2045">
        <v>2.5120417999999999E-2</v>
      </c>
      <c r="Q2045" t="str">
        <f t="shared" si="62"/>
        <v>50+</v>
      </c>
      <c r="R2045" t="str">
        <f t="shared" si="63"/>
        <v>[ZCjuwgaMB9u]|50+|Male|TX_CURR_SUBNAT.T_1|CY2024Q3</v>
      </c>
    </row>
    <row r="2046" spans="4:18" x14ac:dyDescent="0.2">
      <c r="D2046" t="s">
        <v>72</v>
      </c>
      <c r="E2046" t="s">
        <v>73</v>
      </c>
      <c r="F2046" t="s">
        <v>74</v>
      </c>
      <c r="G2046" t="s">
        <v>146</v>
      </c>
      <c r="H2046" t="s">
        <v>147</v>
      </c>
      <c r="I2046" t="s">
        <v>28</v>
      </c>
      <c r="J2046" t="s">
        <v>29</v>
      </c>
      <c r="K2046" t="s">
        <v>30</v>
      </c>
      <c r="L2046" t="s">
        <v>31</v>
      </c>
      <c r="M2046" t="s">
        <v>140</v>
      </c>
      <c r="N2046">
        <v>8</v>
      </c>
      <c r="O2046">
        <v>4.6680802E-2</v>
      </c>
      <c r="P2046">
        <v>1.3194668E-2</v>
      </c>
      <c r="Q2046" t="str">
        <f t="shared" si="62"/>
        <v>&lt;01</v>
      </c>
      <c r="R2046" t="str">
        <f t="shared" si="63"/>
        <v>[JQKLKuVuY61]|&lt;01|Female|TX_CURR_SUBNAT.T_1|CY2024Q3</v>
      </c>
    </row>
    <row r="2047" spans="4:18" x14ac:dyDescent="0.2">
      <c r="D2047" t="s">
        <v>72</v>
      </c>
      <c r="E2047" t="s">
        <v>73</v>
      </c>
      <c r="F2047" t="s">
        <v>74</v>
      </c>
      <c r="G2047" t="s">
        <v>146</v>
      </c>
      <c r="H2047" t="s">
        <v>147</v>
      </c>
      <c r="I2047" t="s">
        <v>33</v>
      </c>
      <c r="J2047" t="s">
        <v>34</v>
      </c>
      <c r="K2047" t="s">
        <v>30</v>
      </c>
      <c r="L2047" t="s">
        <v>31</v>
      </c>
      <c r="M2047" t="s">
        <v>140</v>
      </c>
      <c r="N2047">
        <v>160</v>
      </c>
      <c r="O2047">
        <v>4.1238509999999999E-2</v>
      </c>
      <c r="P2047">
        <v>1.3194668E-2</v>
      </c>
      <c r="Q2047" t="str">
        <f t="shared" si="62"/>
        <v>01-09</v>
      </c>
      <c r="R2047" t="str">
        <f t="shared" si="63"/>
        <v>[JQKLKuVuY61]|01-09|Female|TX_CURR_SUBNAT.T_1|CY2024Q3</v>
      </c>
    </row>
    <row r="2048" spans="4:18" x14ac:dyDescent="0.2">
      <c r="D2048" t="s">
        <v>72</v>
      </c>
      <c r="E2048" t="s">
        <v>73</v>
      </c>
      <c r="F2048" t="s">
        <v>74</v>
      </c>
      <c r="G2048" t="s">
        <v>146</v>
      </c>
      <c r="H2048" t="s">
        <v>147</v>
      </c>
      <c r="I2048" t="s">
        <v>36</v>
      </c>
      <c r="J2048" t="s">
        <v>37</v>
      </c>
      <c r="K2048" t="s">
        <v>30</v>
      </c>
      <c r="L2048" t="s">
        <v>31</v>
      </c>
      <c r="M2048" t="s">
        <v>140</v>
      </c>
      <c r="N2048">
        <v>220</v>
      </c>
      <c r="O2048">
        <v>3.5652196999999997E-2</v>
      </c>
      <c r="P2048">
        <v>1.3194668E-2</v>
      </c>
      <c r="Q2048" t="str">
        <f t="shared" si="62"/>
        <v>10-14</v>
      </c>
      <c r="R2048" t="str">
        <f t="shared" si="63"/>
        <v>[JQKLKuVuY61]|10-14|Female|TX_CURR_SUBNAT.T_1|CY2024Q3</v>
      </c>
    </row>
    <row r="2049" spans="4:18" x14ac:dyDescent="0.2">
      <c r="D2049" t="s">
        <v>72</v>
      </c>
      <c r="E2049" t="s">
        <v>73</v>
      </c>
      <c r="F2049" t="s">
        <v>74</v>
      </c>
      <c r="G2049" t="s">
        <v>146</v>
      </c>
      <c r="H2049" t="s">
        <v>147</v>
      </c>
      <c r="I2049" t="s">
        <v>38</v>
      </c>
      <c r="J2049" t="s">
        <v>39</v>
      </c>
      <c r="K2049" t="s">
        <v>30</v>
      </c>
      <c r="L2049" t="s">
        <v>31</v>
      </c>
      <c r="M2049" t="s">
        <v>140</v>
      </c>
      <c r="N2049">
        <v>880</v>
      </c>
      <c r="O2049">
        <v>5.9181767000000003E-2</v>
      </c>
      <c r="P2049">
        <v>1.3194668E-2</v>
      </c>
      <c r="Q2049" t="str">
        <f t="shared" si="62"/>
        <v>15-24</v>
      </c>
      <c r="R2049" t="str">
        <f t="shared" si="63"/>
        <v>[JQKLKuVuY61]|15-24|Female|TX_CURR_SUBNAT.T_1|CY2024Q3</v>
      </c>
    </row>
    <row r="2050" spans="4:18" x14ac:dyDescent="0.2">
      <c r="D2050" t="s">
        <v>72</v>
      </c>
      <c r="E2050" t="s">
        <v>73</v>
      </c>
      <c r="F2050" t="s">
        <v>74</v>
      </c>
      <c r="G2050" t="s">
        <v>146</v>
      </c>
      <c r="H2050" t="s">
        <v>147</v>
      </c>
      <c r="I2050" t="s">
        <v>41</v>
      </c>
      <c r="J2050" t="s">
        <v>42</v>
      </c>
      <c r="K2050" t="s">
        <v>30</v>
      </c>
      <c r="L2050" t="s">
        <v>31</v>
      </c>
      <c r="M2050" t="s">
        <v>140</v>
      </c>
      <c r="N2050">
        <v>2203</v>
      </c>
      <c r="O2050">
        <v>4.0055710000000001E-2</v>
      </c>
      <c r="P2050">
        <v>1.3194668E-2</v>
      </c>
      <c r="Q2050" t="str">
        <f t="shared" si="62"/>
        <v>25-34</v>
      </c>
      <c r="R2050" t="str">
        <f t="shared" si="63"/>
        <v>[JQKLKuVuY61]|25-34|Female|TX_CURR_SUBNAT.T_1|CY2024Q3</v>
      </c>
    </row>
    <row r="2051" spans="4:18" x14ac:dyDescent="0.2">
      <c r="D2051" t="s">
        <v>72</v>
      </c>
      <c r="E2051" t="s">
        <v>73</v>
      </c>
      <c r="F2051" t="s">
        <v>74</v>
      </c>
      <c r="G2051" t="s">
        <v>146</v>
      </c>
      <c r="H2051" t="s">
        <v>147</v>
      </c>
      <c r="I2051" t="s">
        <v>43</v>
      </c>
      <c r="J2051" t="s">
        <v>44</v>
      </c>
      <c r="K2051" t="s">
        <v>30</v>
      </c>
      <c r="L2051" t="s">
        <v>31</v>
      </c>
      <c r="M2051" t="s">
        <v>140</v>
      </c>
      <c r="N2051">
        <v>6213</v>
      </c>
      <c r="O2051">
        <v>2.3368047999999999E-2</v>
      </c>
      <c r="P2051">
        <v>1.3194668E-2</v>
      </c>
      <c r="Q2051" t="str">
        <f t="shared" ref="Q2051:Q2114" si="64">SUBSTITUTE(SUBSTITUTE($I2051,CHAR(61),""),CHAR(34),"")</f>
        <v>35-49</v>
      </c>
      <c r="R2051" t="str">
        <f t="shared" ref="R2051:R2114" si="65">IF($D2051&lt;&gt;"","["&amp;$E2051&amp;"]"&amp;"|"&amp;$Q2051&amp;"|"&amp;$K2051&amp;"|"&amp;$G2051&amp;"|"&amp;IF($G2051="TX_CURR_SUBNAT.R","CY2023Q4",$M2051),"")</f>
        <v>[JQKLKuVuY61]|35-49|Female|TX_CURR_SUBNAT.T_1|CY2024Q3</v>
      </c>
    </row>
    <row r="2052" spans="4:18" x14ac:dyDescent="0.2">
      <c r="D2052" t="s">
        <v>72</v>
      </c>
      <c r="E2052" t="s">
        <v>73</v>
      </c>
      <c r="F2052" t="s">
        <v>74</v>
      </c>
      <c r="G2052" t="s">
        <v>146</v>
      </c>
      <c r="H2052" t="s">
        <v>147</v>
      </c>
      <c r="I2052" t="s">
        <v>45</v>
      </c>
      <c r="J2052" t="s">
        <v>46</v>
      </c>
      <c r="K2052" t="s">
        <v>30</v>
      </c>
      <c r="L2052" t="s">
        <v>31</v>
      </c>
      <c r="M2052" t="s">
        <v>140</v>
      </c>
      <c r="N2052">
        <v>2870</v>
      </c>
      <c r="O2052">
        <v>4.2781486000000001E-2</v>
      </c>
      <c r="P2052">
        <v>1.3194668E-2</v>
      </c>
      <c r="Q2052" t="str">
        <f t="shared" si="64"/>
        <v>50+</v>
      </c>
      <c r="R2052" t="str">
        <f t="shared" si="65"/>
        <v>[JQKLKuVuY61]|50+|Female|TX_CURR_SUBNAT.T_1|CY2024Q3</v>
      </c>
    </row>
    <row r="2053" spans="4:18" x14ac:dyDescent="0.2">
      <c r="D2053" t="s">
        <v>72</v>
      </c>
      <c r="E2053" t="s">
        <v>73</v>
      </c>
      <c r="F2053" t="s">
        <v>74</v>
      </c>
      <c r="G2053" t="s">
        <v>146</v>
      </c>
      <c r="H2053" t="s">
        <v>147</v>
      </c>
      <c r="I2053" t="s">
        <v>28</v>
      </c>
      <c r="J2053" t="s">
        <v>29</v>
      </c>
      <c r="K2053" t="s">
        <v>48</v>
      </c>
      <c r="L2053" t="s">
        <v>49</v>
      </c>
      <c r="M2053" t="s">
        <v>140</v>
      </c>
      <c r="N2053">
        <v>8</v>
      </c>
      <c r="O2053">
        <v>3.1092761E-2</v>
      </c>
      <c r="P2053">
        <v>1.3194668E-2</v>
      </c>
      <c r="Q2053" t="str">
        <f t="shared" si="64"/>
        <v>&lt;01</v>
      </c>
      <c r="R2053" t="str">
        <f t="shared" si="65"/>
        <v>[JQKLKuVuY61]|&lt;01|Male|TX_CURR_SUBNAT.T_1|CY2024Q3</v>
      </c>
    </row>
    <row r="2054" spans="4:18" x14ac:dyDescent="0.2">
      <c r="D2054" t="s">
        <v>72</v>
      </c>
      <c r="E2054" t="s">
        <v>73</v>
      </c>
      <c r="F2054" t="s">
        <v>74</v>
      </c>
      <c r="G2054" t="s">
        <v>146</v>
      </c>
      <c r="H2054" t="s">
        <v>147</v>
      </c>
      <c r="I2054" t="s">
        <v>33</v>
      </c>
      <c r="J2054" t="s">
        <v>34</v>
      </c>
      <c r="K2054" t="s">
        <v>48</v>
      </c>
      <c r="L2054" t="s">
        <v>49</v>
      </c>
      <c r="M2054" t="s">
        <v>140</v>
      </c>
      <c r="N2054">
        <v>160</v>
      </c>
      <c r="O2054">
        <v>2.9578132E-2</v>
      </c>
      <c r="P2054">
        <v>1.3194668E-2</v>
      </c>
      <c r="Q2054" t="str">
        <f t="shared" si="64"/>
        <v>01-09</v>
      </c>
      <c r="R2054" t="str">
        <f t="shared" si="65"/>
        <v>[JQKLKuVuY61]|01-09|Male|TX_CURR_SUBNAT.T_1|CY2024Q3</v>
      </c>
    </row>
    <row r="2055" spans="4:18" x14ac:dyDescent="0.2">
      <c r="D2055" t="s">
        <v>72</v>
      </c>
      <c r="E2055" t="s">
        <v>73</v>
      </c>
      <c r="F2055" t="s">
        <v>74</v>
      </c>
      <c r="G2055" t="s">
        <v>146</v>
      </c>
      <c r="H2055" t="s">
        <v>147</v>
      </c>
      <c r="I2055" t="s">
        <v>36</v>
      </c>
      <c r="J2055" t="s">
        <v>37</v>
      </c>
      <c r="K2055" t="s">
        <v>48</v>
      </c>
      <c r="L2055" t="s">
        <v>49</v>
      </c>
      <c r="M2055" t="s">
        <v>140</v>
      </c>
      <c r="N2055">
        <v>217</v>
      </c>
      <c r="O2055">
        <v>2.9031706000000001E-2</v>
      </c>
      <c r="P2055">
        <v>1.3194668E-2</v>
      </c>
      <c r="Q2055" t="str">
        <f t="shared" si="64"/>
        <v>10-14</v>
      </c>
      <c r="R2055" t="str">
        <f t="shared" si="65"/>
        <v>[JQKLKuVuY61]|10-14|Male|TX_CURR_SUBNAT.T_1|CY2024Q3</v>
      </c>
    </row>
    <row r="2056" spans="4:18" x14ac:dyDescent="0.2">
      <c r="D2056" t="s">
        <v>72</v>
      </c>
      <c r="E2056" t="s">
        <v>73</v>
      </c>
      <c r="F2056" t="s">
        <v>74</v>
      </c>
      <c r="G2056" t="s">
        <v>146</v>
      </c>
      <c r="H2056" t="s">
        <v>147</v>
      </c>
      <c r="I2056" t="s">
        <v>38</v>
      </c>
      <c r="J2056" t="s">
        <v>39</v>
      </c>
      <c r="K2056" t="s">
        <v>48</v>
      </c>
      <c r="L2056" t="s">
        <v>49</v>
      </c>
      <c r="M2056" t="s">
        <v>140</v>
      </c>
      <c r="N2056">
        <v>623</v>
      </c>
      <c r="O2056">
        <v>6.6534339999999997E-2</v>
      </c>
      <c r="P2056">
        <v>1.3194668E-2</v>
      </c>
      <c r="Q2056" t="str">
        <f t="shared" si="64"/>
        <v>15-24</v>
      </c>
      <c r="R2056" t="str">
        <f t="shared" si="65"/>
        <v>[JQKLKuVuY61]|15-24|Male|TX_CURR_SUBNAT.T_1|CY2024Q3</v>
      </c>
    </row>
    <row r="2057" spans="4:18" x14ac:dyDescent="0.2">
      <c r="D2057" t="s">
        <v>72</v>
      </c>
      <c r="E2057" t="s">
        <v>73</v>
      </c>
      <c r="F2057" t="s">
        <v>74</v>
      </c>
      <c r="G2057" t="s">
        <v>146</v>
      </c>
      <c r="H2057" t="s">
        <v>147</v>
      </c>
      <c r="I2057" t="s">
        <v>41</v>
      </c>
      <c r="J2057" t="s">
        <v>42</v>
      </c>
      <c r="K2057" t="s">
        <v>48</v>
      </c>
      <c r="L2057" t="s">
        <v>49</v>
      </c>
      <c r="M2057" t="s">
        <v>140</v>
      </c>
      <c r="N2057">
        <v>773</v>
      </c>
      <c r="O2057">
        <v>6.7341040000000005E-2</v>
      </c>
      <c r="P2057">
        <v>1.3194668E-2</v>
      </c>
      <c r="Q2057" t="str">
        <f t="shared" si="64"/>
        <v>25-34</v>
      </c>
      <c r="R2057" t="str">
        <f t="shared" si="65"/>
        <v>[JQKLKuVuY61]|25-34|Male|TX_CURR_SUBNAT.T_1|CY2024Q3</v>
      </c>
    </row>
    <row r="2058" spans="4:18" x14ac:dyDescent="0.2">
      <c r="D2058" t="s">
        <v>72</v>
      </c>
      <c r="E2058" t="s">
        <v>73</v>
      </c>
      <c r="F2058" t="s">
        <v>74</v>
      </c>
      <c r="G2058" t="s">
        <v>146</v>
      </c>
      <c r="H2058" t="s">
        <v>147</v>
      </c>
      <c r="I2058" t="s">
        <v>43</v>
      </c>
      <c r="J2058" t="s">
        <v>44</v>
      </c>
      <c r="K2058" t="s">
        <v>48</v>
      </c>
      <c r="L2058" t="s">
        <v>49</v>
      </c>
      <c r="M2058" t="s">
        <v>140</v>
      </c>
      <c r="N2058">
        <v>3269</v>
      </c>
      <c r="O2058">
        <v>3.4587748000000001E-2</v>
      </c>
      <c r="P2058">
        <v>1.3194668E-2</v>
      </c>
      <c r="Q2058" t="str">
        <f t="shared" si="64"/>
        <v>35-49</v>
      </c>
      <c r="R2058" t="str">
        <f t="shared" si="65"/>
        <v>[JQKLKuVuY61]|35-49|Male|TX_CURR_SUBNAT.T_1|CY2024Q3</v>
      </c>
    </row>
    <row r="2059" spans="4:18" x14ac:dyDescent="0.2">
      <c r="D2059" t="s">
        <v>72</v>
      </c>
      <c r="E2059" t="s">
        <v>73</v>
      </c>
      <c r="F2059" t="s">
        <v>74</v>
      </c>
      <c r="G2059" t="s">
        <v>146</v>
      </c>
      <c r="H2059" t="s">
        <v>147</v>
      </c>
      <c r="I2059" t="s">
        <v>45</v>
      </c>
      <c r="J2059" t="s">
        <v>46</v>
      </c>
      <c r="K2059" t="s">
        <v>48</v>
      </c>
      <c r="L2059" t="s">
        <v>49</v>
      </c>
      <c r="M2059" t="s">
        <v>140</v>
      </c>
      <c r="N2059">
        <v>2617</v>
      </c>
      <c r="O2059">
        <v>3.8434956999999999E-2</v>
      </c>
      <c r="P2059">
        <v>1.3194668E-2</v>
      </c>
      <c r="Q2059" t="str">
        <f t="shared" si="64"/>
        <v>50+</v>
      </c>
      <c r="R2059" t="str">
        <f t="shared" si="65"/>
        <v>[JQKLKuVuY61]|50+|Male|TX_CURR_SUBNAT.T_1|CY2024Q3</v>
      </c>
    </row>
    <row r="2060" spans="4:18" x14ac:dyDescent="0.2">
      <c r="D2060" t="s">
        <v>75</v>
      </c>
      <c r="E2060" t="s">
        <v>76</v>
      </c>
      <c r="F2060" t="s">
        <v>77</v>
      </c>
      <c r="G2060" t="s">
        <v>146</v>
      </c>
      <c r="H2060" t="s">
        <v>147</v>
      </c>
      <c r="I2060" t="s">
        <v>28</v>
      </c>
      <c r="J2060" t="s">
        <v>29</v>
      </c>
      <c r="K2060" t="s">
        <v>30</v>
      </c>
      <c r="L2060" t="s">
        <v>31</v>
      </c>
      <c r="M2060" t="s">
        <v>140</v>
      </c>
      <c r="N2060">
        <v>5</v>
      </c>
      <c r="O2060">
        <v>5.4802008999999999E-2</v>
      </c>
      <c r="P2060">
        <v>1.7983745999999998E-2</v>
      </c>
      <c r="Q2060" t="str">
        <f t="shared" si="64"/>
        <v>&lt;01</v>
      </c>
      <c r="R2060" t="str">
        <f t="shared" si="65"/>
        <v>[YCKiBAp8QAg]|&lt;01|Female|TX_CURR_SUBNAT.T_1|CY2024Q3</v>
      </c>
    </row>
    <row r="2061" spans="4:18" x14ac:dyDescent="0.2">
      <c r="D2061" t="s">
        <v>75</v>
      </c>
      <c r="E2061" t="s">
        <v>76</v>
      </c>
      <c r="F2061" t="s">
        <v>77</v>
      </c>
      <c r="G2061" t="s">
        <v>146</v>
      </c>
      <c r="H2061" t="s">
        <v>147</v>
      </c>
      <c r="I2061" t="s">
        <v>33</v>
      </c>
      <c r="J2061" t="s">
        <v>34</v>
      </c>
      <c r="K2061" t="s">
        <v>30</v>
      </c>
      <c r="L2061" t="s">
        <v>31</v>
      </c>
      <c r="M2061" t="s">
        <v>140</v>
      </c>
      <c r="N2061">
        <v>114</v>
      </c>
      <c r="O2061">
        <v>4.9242755999999999E-2</v>
      </c>
      <c r="P2061">
        <v>1.7983745999999998E-2</v>
      </c>
      <c r="Q2061" t="str">
        <f t="shared" si="64"/>
        <v>01-09</v>
      </c>
      <c r="R2061" t="str">
        <f t="shared" si="65"/>
        <v>[YCKiBAp8QAg]|01-09|Female|TX_CURR_SUBNAT.T_1|CY2024Q3</v>
      </c>
    </row>
    <row r="2062" spans="4:18" x14ac:dyDescent="0.2">
      <c r="D2062" t="s">
        <v>75</v>
      </c>
      <c r="E2062" t="s">
        <v>76</v>
      </c>
      <c r="F2062" t="s">
        <v>77</v>
      </c>
      <c r="G2062" t="s">
        <v>146</v>
      </c>
      <c r="H2062" t="s">
        <v>147</v>
      </c>
      <c r="I2062" t="s">
        <v>36</v>
      </c>
      <c r="J2062" t="s">
        <v>37</v>
      </c>
      <c r="K2062" t="s">
        <v>30</v>
      </c>
      <c r="L2062" t="s">
        <v>31</v>
      </c>
      <c r="M2062" t="s">
        <v>140</v>
      </c>
      <c r="N2062">
        <v>152</v>
      </c>
      <c r="O2062">
        <v>4.3621334999999997E-2</v>
      </c>
      <c r="P2062">
        <v>1.7983745999999998E-2</v>
      </c>
      <c r="Q2062" t="str">
        <f t="shared" si="64"/>
        <v>10-14</v>
      </c>
      <c r="R2062" t="str">
        <f t="shared" si="65"/>
        <v>[YCKiBAp8QAg]|10-14|Female|TX_CURR_SUBNAT.T_1|CY2024Q3</v>
      </c>
    </row>
    <row r="2063" spans="4:18" x14ac:dyDescent="0.2">
      <c r="D2063" t="s">
        <v>75</v>
      </c>
      <c r="E2063" t="s">
        <v>76</v>
      </c>
      <c r="F2063" t="s">
        <v>77</v>
      </c>
      <c r="G2063" t="s">
        <v>146</v>
      </c>
      <c r="H2063" t="s">
        <v>147</v>
      </c>
      <c r="I2063" t="s">
        <v>38</v>
      </c>
      <c r="J2063" t="s">
        <v>39</v>
      </c>
      <c r="K2063" t="s">
        <v>30</v>
      </c>
      <c r="L2063" t="s">
        <v>31</v>
      </c>
      <c r="M2063" t="s">
        <v>140</v>
      </c>
      <c r="N2063">
        <v>682</v>
      </c>
      <c r="O2063">
        <v>6.0883579E-2</v>
      </c>
      <c r="P2063">
        <v>1.7983745999999998E-2</v>
      </c>
      <c r="Q2063" t="str">
        <f t="shared" si="64"/>
        <v>15-24</v>
      </c>
      <c r="R2063" t="str">
        <f t="shared" si="65"/>
        <v>[YCKiBAp8QAg]|15-24|Female|TX_CURR_SUBNAT.T_1|CY2024Q3</v>
      </c>
    </row>
    <row r="2064" spans="4:18" x14ac:dyDescent="0.2">
      <c r="D2064" t="s">
        <v>75</v>
      </c>
      <c r="E2064" t="s">
        <v>76</v>
      </c>
      <c r="F2064" t="s">
        <v>77</v>
      </c>
      <c r="G2064" t="s">
        <v>146</v>
      </c>
      <c r="H2064" t="s">
        <v>147</v>
      </c>
      <c r="I2064" t="s">
        <v>41</v>
      </c>
      <c r="J2064" t="s">
        <v>42</v>
      </c>
      <c r="K2064" t="s">
        <v>30</v>
      </c>
      <c r="L2064" t="s">
        <v>31</v>
      </c>
      <c r="M2064" t="s">
        <v>140</v>
      </c>
      <c r="N2064">
        <v>1696</v>
      </c>
      <c r="O2064">
        <v>4.0353443000000003E-2</v>
      </c>
      <c r="P2064">
        <v>1.7983745999999998E-2</v>
      </c>
      <c r="Q2064" t="str">
        <f t="shared" si="64"/>
        <v>25-34</v>
      </c>
      <c r="R2064" t="str">
        <f t="shared" si="65"/>
        <v>[YCKiBAp8QAg]|25-34|Female|TX_CURR_SUBNAT.T_1|CY2024Q3</v>
      </c>
    </row>
    <row r="2065" spans="4:18" x14ac:dyDescent="0.2">
      <c r="D2065" t="s">
        <v>75</v>
      </c>
      <c r="E2065" t="s">
        <v>76</v>
      </c>
      <c r="F2065" t="s">
        <v>77</v>
      </c>
      <c r="G2065" t="s">
        <v>146</v>
      </c>
      <c r="H2065" t="s">
        <v>147</v>
      </c>
      <c r="I2065" t="s">
        <v>43</v>
      </c>
      <c r="J2065" t="s">
        <v>44</v>
      </c>
      <c r="K2065" t="s">
        <v>30</v>
      </c>
      <c r="L2065" t="s">
        <v>31</v>
      </c>
      <c r="M2065" t="s">
        <v>140</v>
      </c>
      <c r="N2065">
        <v>4499</v>
      </c>
      <c r="O2065">
        <v>2.5651606E-2</v>
      </c>
      <c r="P2065">
        <v>1.7983745999999998E-2</v>
      </c>
      <c r="Q2065" t="str">
        <f t="shared" si="64"/>
        <v>35-49</v>
      </c>
      <c r="R2065" t="str">
        <f t="shared" si="65"/>
        <v>[YCKiBAp8QAg]|35-49|Female|TX_CURR_SUBNAT.T_1|CY2024Q3</v>
      </c>
    </row>
    <row r="2066" spans="4:18" x14ac:dyDescent="0.2">
      <c r="D2066" t="s">
        <v>75</v>
      </c>
      <c r="E2066" t="s">
        <v>76</v>
      </c>
      <c r="F2066" t="s">
        <v>77</v>
      </c>
      <c r="G2066" t="s">
        <v>146</v>
      </c>
      <c r="H2066" t="s">
        <v>147</v>
      </c>
      <c r="I2066" t="s">
        <v>45</v>
      </c>
      <c r="J2066" t="s">
        <v>46</v>
      </c>
      <c r="K2066" t="s">
        <v>30</v>
      </c>
      <c r="L2066" t="s">
        <v>31</v>
      </c>
      <c r="M2066" t="s">
        <v>140</v>
      </c>
      <c r="N2066">
        <v>2013</v>
      </c>
      <c r="O2066">
        <v>4.5785726999999998E-2</v>
      </c>
      <c r="P2066">
        <v>1.7983745999999998E-2</v>
      </c>
      <c r="Q2066" t="str">
        <f t="shared" si="64"/>
        <v>50+</v>
      </c>
      <c r="R2066" t="str">
        <f t="shared" si="65"/>
        <v>[YCKiBAp8QAg]|50+|Female|TX_CURR_SUBNAT.T_1|CY2024Q3</v>
      </c>
    </row>
    <row r="2067" spans="4:18" x14ac:dyDescent="0.2">
      <c r="D2067" t="s">
        <v>75</v>
      </c>
      <c r="E2067" t="s">
        <v>76</v>
      </c>
      <c r="F2067" t="s">
        <v>77</v>
      </c>
      <c r="G2067" t="s">
        <v>146</v>
      </c>
      <c r="H2067" t="s">
        <v>147</v>
      </c>
      <c r="I2067" t="s">
        <v>28</v>
      </c>
      <c r="J2067" t="s">
        <v>29</v>
      </c>
      <c r="K2067" t="s">
        <v>48</v>
      </c>
      <c r="L2067" t="s">
        <v>49</v>
      </c>
      <c r="M2067" t="s">
        <v>140</v>
      </c>
      <c r="N2067">
        <v>6</v>
      </c>
      <c r="O2067">
        <v>3.8191522999999998E-2</v>
      </c>
      <c r="P2067">
        <v>1.7983745999999998E-2</v>
      </c>
      <c r="Q2067" t="str">
        <f t="shared" si="64"/>
        <v>&lt;01</v>
      </c>
      <c r="R2067" t="str">
        <f t="shared" si="65"/>
        <v>[YCKiBAp8QAg]|&lt;01|Male|TX_CURR_SUBNAT.T_1|CY2024Q3</v>
      </c>
    </row>
    <row r="2068" spans="4:18" x14ac:dyDescent="0.2">
      <c r="D2068" t="s">
        <v>75</v>
      </c>
      <c r="E2068" t="s">
        <v>76</v>
      </c>
      <c r="F2068" t="s">
        <v>77</v>
      </c>
      <c r="G2068" t="s">
        <v>146</v>
      </c>
      <c r="H2068" t="s">
        <v>147</v>
      </c>
      <c r="I2068" t="s">
        <v>33</v>
      </c>
      <c r="J2068" t="s">
        <v>34</v>
      </c>
      <c r="K2068" t="s">
        <v>48</v>
      </c>
      <c r="L2068" t="s">
        <v>49</v>
      </c>
      <c r="M2068" t="s">
        <v>140</v>
      </c>
      <c r="N2068">
        <v>117</v>
      </c>
      <c r="O2068">
        <v>3.6194151000000001E-2</v>
      </c>
      <c r="P2068">
        <v>1.7983745999999998E-2</v>
      </c>
      <c r="Q2068" t="str">
        <f t="shared" si="64"/>
        <v>01-09</v>
      </c>
      <c r="R2068" t="str">
        <f t="shared" si="65"/>
        <v>[YCKiBAp8QAg]|01-09|Male|TX_CURR_SUBNAT.T_1|CY2024Q3</v>
      </c>
    </row>
    <row r="2069" spans="4:18" x14ac:dyDescent="0.2">
      <c r="D2069" t="s">
        <v>75</v>
      </c>
      <c r="E2069" t="s">
        <v>76</v>
      </c>
      <c r="F2069" t="s">
        <v>77</v>
      </c>
      <c r="G2069" t="s">
        <v>146</v>
      </c>
      <c r="H2069" t="s">
        <v>147</v>
      </c>
      <c r="I2069" t="s">
        <v>36</v>
      </c>
      <c r="J2069" t="s">
        <v>37</v>
      </c>
      <c r="K2069" t="s">
        <v>48</v>
      </c>
      <c r="L2069" t="s">
        <v>49</v>
      </c>
      <c r="M2069" t="s">
        <v>140</v>
      </c>
      <c r="N2069">
        <v>155</v>
      </c>
      <c r="O2069">
        <v>3.5232507000000003E-2</v>
      </c>
      <c r="P2069">
        <v>1.7983745999999998E-2</v>
      </c>
      <c r="Q2069" t="str">
        <f t="shared" si="64"/>
        <v>10-14</v>
      </c>
      <c r="R2069" t="str">
        <f t="shared" si="65"/>
        <v>[YCKiBAp8QAg]|10-14|Male|TX_CURR_SUBNAT.T_1|CY2024Q3</v>
      </c>
    </row>
    <row r="2070" spans="4:18" x14ac:dyDescent="0.2">
      <c r="D2070" t="s">
        <v>75</v>
      </c>
      <c r="E2070" t="s">
        <v>76</v>
      </c>
      <c r="F2070" t="s">
        <v>77</v>
      </c>
      <c r="G2070" t="s">
        <v>146</v>
      </c>
      <c r="H2070" t="s">
        <v>147</v>
      </c>
      <c r="I2070" t="s">
        <v>38</v>
      </c>
      <c r="J2070" t="s">
        <v>39</v>
      </c>
      <c r="K2070" t="s">
        <v>48</v>
      </c>
      <c r="L2070" t="s">
        <v>49</v>
      </c>
      <c r="M2070" t="s">
        <v>140</v>
      </c>
      <c r="N2070">
        <v>487</v>
      </c>
      <c r="O2070">
        <v>7.1190660000000003E-2</v>
      </c>
      <c r="P2070">
        <v>1.7983745999999998E-2</v>
      </c>
      <c r="Q2070" t="str">
        <f t="shared" si="64"/>
        <v>15-24</v>
      </c>
      <c r="R2070" t="str">
        <f t="shared" si="65"/>
        <v>[YCKiBAp8QAg]|15-24|Male|TX_CURR_SUBNAT.T_1|CY2024Q3</v>
      </c>
    </row>
    <row r="2071" spans="4:18" x14ac:dyDescent="0.2">
      <c r="D2071" t="s">
        <v>75</v>
      </c>
      <c r="E2071" t="s">
        <v>76</v>
      </c>
      <c r="F2071" t="s">
        <v>77</v>
      </c>
      <c r="G2071" t="s">
        <v>146</v>
      </c>
      <c r="H2071" t="s">
        <v>147</v>
      </c>
      <c r="I2071" t="s">
        <v>41</v>
      </c>
      <c r="J2071" t="s">
        <v>42</v>
      </c>
      <c r="K2071" t="s">
        <v>48</v>
      </c>
      <c r="L2071" t="s">
        <v>49</v>
      </c>
      <c r="M2071" t="s">
        <v>140</v>
      </c>
      <c r="N2071">
        <v>596</v>
      </c>
      <c r="O2071">
        <v>6.8046832000000002E-2</v>
      </c>
      <c r="P2071">
        <v>1.7983745999999998E-2</v>
      </c>
      <c r="Q2071" t="str">
        <f t="shared" si="64"/>
        <v>25-34</v>
      </c>
      <c r="R2071" t="str">
        <f t="shared" si="65"/>
        <v>[YCKiBAp8QAg]|25-34|Male|TX_CURR_SUBNAT.T_1|CY2024Q3</v>
      </c>
    </row>
    <row r="2072" spans="4:18" x14ac:dyDescent="0.2">
      <c r="D2072" t="s">
        <v>75</v>
      </c>
      <c r="E2072" t="s">
        <v>76</v>
      </c>
      <c r="F2072" t="s">
        <v>77</v>
      </c>
      <c r="G2072" t="s">
        <v>146</v>
      </c>
      <c r="H2072" t="s">
        <v>147</v>
      </c>
      <c r="I2072" t="s">
        <v>43</v>
      </c>
      <c r="J2072" t="s">
        <v>44</v>
      </c>
      <c r="K2072" t="s">
        <v>48</v>
      </c>
      <c r="L2072" t="s">
        <v>49</v>
      </c>
      <c r="M2072" t="s">
        <v>140</v>
      </c>
      <c r="N2072">
        <v>2415</v>
      </c>
      <c r="O2072">
        <v>3.4620616E-2</v>
      </c>
      <c r="P2072">
        <v>1.7983745999999998E-2</v>
      </c>
      <c r="Q2072" t="str">
        <f t="shared" si="64"/>
        <v>35-49</v>
      </c>
      <c r="R2072" t="str">
        <f t="shared" si="65"/>
        <v>[YCKiBAp8QAg]|35-49|Male|TX_CURR_SUBNAT.T_1|CY2024Q3</v>
      </c>
    </row>
    <row r="2073" spans="4:18" x14ac:dyDescent="0.2">
      <c r="D2073" t="s">
        <v>75</v>
      </c>
      <c r="E2073" t="s">
        <v>76</v>
      </c>
      <c r="F2073" t="s">
        <v>77</v>
      </c>
      <c r="G2073" t="s">
        <v>146</v>
      </c>
      <c r="H2073" t="s">
        <v>147</v>
      </c>
      <c r="I2073" t="s">
        <v>45</v>
      </c>
      <c r="J2073" t="s">
        <v>46</v>
      </c>
      <c r="K2073" t="s">
        <v>48</v>
      </c>
      <c r="L2073" t="s">
        <v>49</v>
      </c>
      <c r="M2073" t="s">
        <v>140</v>
      </c>
      <c r="N2073">
        <v>1918</v>
      </c>
      <c r="O2073">
        <v>4.1023558000000002E-2</v>
      </c>
      <c r="P2073">
        <v>1.7983745999999998E-2</v>
      </c>
      <c r="Q2073" t="str">
        <f t="shared" si="64"/>
        <v>50+</v>
      </c>
      <c r="R2073" t="str">
        <f t="shared" si="65"/>
        <v>[YCKiBAp8QAg]|50+|Male|TX_CURR_SUBNAT.T_1|CY2024Q3</v>
      </c>
    </row>
    <row r="2074" spans="4:18" x14ac:dyDescent="0.2">
      <c r="D2074" t="s">
        <v>78</v>
      </c>
      <c r="E2074" t="s">
        <v>79</v>
      </c>
      <c r="F2074" t="s">
        <v>80</v>
      </c>
      <c r="G2074" t="s">
        <v>146</v>
      </c>
      <c r="H2074" t="s">
        <v>147</v>
      </c>
      <c r="I2074" t="s">
        <v>28</v>
      </c>
      <c r="J2074" t="s">
        <v>29</v>
      </c>
      <c r="K2074" t="s">
        <v>30</v>
      </c>
      <c r="L2074" t="s">
        <v>31</v>
      </c>
      <c r="M2074" t="s">
        <v>140</v>
      </c>
      <c r="N2074">
        <v>2</v>
      </c>
      <c r="O2074">
        <v>7.2545351999999994E-2</v>
      </c>
      <c r="P2074">
        <v>2.2193556E-2</v>
      </c>
      <c r="Q2074" t="str">
        <f t="shared" si="64"/>
        <v>&lt;01</v>
      </c>
      <c r="R2074" t="str">
        <f t="shared" si="65"/>
        <v>[fiRkU6gEjLz]|&lt;01|Female|TX_CURR_SUBNAT.T_1|CY2024Q3</v>
      </c>
    </row>
    <row r="2075" spans="4:18" x14ac:dyDescent="0.2">
      <c r="D2075" t="s">
        <v>78</v>
      </c>
      <c r="E2075" t="s">
        <v>79</v>
      </c>
      <c r="F2075" t="s">
        <v>80</v>
      </c>
      <c r="G2075" t="s">
        <v>146</v>
      </c>
      <c r="H2075" t="s">
        <v>147</v>
      </c>
      <c r="I2075" t="s">
        <v>33</v>
      </c>
      <c r="J2075" t="s">
        <v>34</v>
      </c>
      <c r="K2075" t="s">
        <v>30</v>
      </c>
      <c r="L2075" t="s">
        <v>31</v>
      </c>
      <c r="M2075" t="s">
        <v>140</v>
      </c>
      <c r="N2075">
        <v>38</v>
      </c>
      <c r="O2075">
        <v>6.7789555000000001E-2</v>
      </c>
      <c r="P2075">
        <v>2.2193556E-2</v>
      </c>
      <c r="Q2075" t="str">
        <f t="shared" si="64"/>
        <v>01-09</v>
      </c>
      <c r="R2075" t="str">
        <f t="shared" si="65"/>
        <v>[fiRkU6gEjLz]|01-09|Female|TX_CURR_SUBNAT.T_1|CY2024Q3</v>
      </c>
    </row>
    <row r="2076" spans="4:18" x14ac:dyDescent="0.2">
      <c r="D2076" t="s">
        <v>78</v>
      </c>
      <c r="E2076" t="s">
        <v>79</v>
      </c>
      <c r="F2076" t="s">
        <v>80</v>
      </c>
      <c r="G2076" t="s">
        <v>146</v>
      </c>
      <c r="H2076" t="s">
        <v>147</v>
      </c>
      <c r="I2076" t="s">
        <v>36</v>
      </c>
      <c r="J2076" t="s">
        <v>37</v>
      </c>
      <c r="K2076" t="s">
        <v>30</v>
      </c>
      <c r="L2076" t="s">
        <v>31</v>
      </c>
      <c r="M2076" t="s">
        <v>140</v>
      </c>
      <c r="N2076">
        <v>50</v>
      </c>
      <c r="O2076">
        <v>6.3008746000000004E-2</v>
      </c>
      <c r="P2076">
        <v>2.2193556E-2</v>
      </c>
      <c r="Q2076" t="str">
        <f t="shared" si="64"/>
        <v>10-14</v>
      </c>
      <c r="R2076" t="str">
        <f t="shared" si="65"/>
        <v>[fiRkU6gEjLz]|10-14|Female|TX_CURR_SUBNAT.T_1|CY2024Q3</v>
      </c>
    </row>
    <row r="2077" spans="4:18" x14ac:dyDescent="0.2">
      <c r="D2077" t="s">
        <v>78</v>
      </c>
      <c r="E2077" t="s">
        <v>79</v>
      </c>
      <c r="F2077" t="s">
        <v>80</v>
      </c>
      <c r="G2077" t="s">
        <v>146</v>
      </c>
      <c r="H2077" t="s">
        <v>147</v>
      </c>
      <c r="I2077" t="s">
        <v>38</v>
      </c>
      <c r="J2077" t="s">
        <v>39</v>
      </c>
      <c r="K2077" t="s">
        <v>30</v>
      </c>
      <c r="L2077" t="s">
        <v>31</v>
      </c>
      <c r="M2077" t="s">
        <v>140</v>
      </c>
      <c r="N2077">
        <v>218</v>
      </c>
      <c r="O2077">
        <v>6.2897106999999994E-2</v>
      </c>
      <c r="P2077">
        <v>2.2193556E-2</v>
      </c>
      <c r="Q2077" t="str">
        <f t="shared" si="64"/>
        <v>15-24</v>
      </c>
      <c r="R2077" t="str">
        <f t="shared" si="65"/>
        <v>[fiRkU6gEjLz]|15-24|Female|TX_CURR_SUBNAT.T_1|CY2024Q3</v>
      </c>
    </row>
    <row r="2078" spans="4:18" x14ac:dyDescent="0.2">
      <c r="D2078" t="s">
        <v>78</v>
      </c>
      <c r="E2078" t="s">
        <v>79</v>
      </c>
      <c r="F2078" t="s">
        <v>80</v>
      </c>
      <c r="G2078" t="s">
        <v>146</v>
      </c>
      <c r="H2078" t="s">
        <v>147</v>
      </c>
      <c r="I2078" t="s">
        <v>41</v>
      </c>
      <c r="J2078" t="s">
        <v>42</v>
      </c>
      <c r="K2078" t="s">
        <v>30</v>
      </c>
      <c r="L2078" t="s">
        <v>31</v>
      </c>
      <c r="M2078" t="s">
        <v>140</v>
      </c>
      <c r="N2078">
        <v>555</v>
      </c>
      <c r="O2078">
        <v>4.5351730999999999E-2</v>
      </c>
      <c r="P2078">
        <v>2.2193556E-2</v>
      </c>
      <c r="Q2078" t="str">
        <f t="shared" si="64"/>
        <v>25-34</v>
      </c>
      <c r="R2078" t="str">
        <f t="shared" si="65"/>
        <v>[fiRkU6gEjLz]|25-34|Female|TX_CURR_SUBNAT.T_1|CY2024Q3</v>
      </c>
    </row>
    <row r="2079" spans="4:18" x14ac:dyDescent="0.2">
      <c r="D2079" t="s">
        <v>78</v>
      </c>
      <c r="E2079" t="s">
        <v>79</v>
      </c>
      <c r="F2079" t="s">
        <v>80</v>
      </c>
      <c r="G2079" t="s">
        <v>146</v>
      </c>
      <c r="H2079" t="s">
        <v>147</v>
      </c>
      <c r="I2079" t="s">
        <v>43</v>
      </c>
      <c r="J2079" t="s">
        <v>44</v>
      </c>
      <c r="K2079" t="s">
        <v>30</v>
      </c>
      <c r="L2079" t="s">
        <v>31</v>
      </c>
      <c r="M2079" t="s">
        <v>140</v>
      </c>
      <c r="N2079">
        <v>1568</v>
      </c>
      <c r="O2079">
        <v>3.1112738000000001E-2</v>
      </c>
      <c r="P2079">
        <v>2.2193556E-2</v>
      </c>
      <c r="Q2079" t="str">
        <f t="shared" si="64"/>
        <v>35-49</v>
      </c>
      <c r="R2079" t="str">
        <f t="shared" si="65"/>
        <v>[fiRkU6gEjLz]|35-49|Female|TX_CURR_SUBNAT.T_1|CY2024Q3</v>
      </c>
    </row>
    <row r="2080" spans="4:18" x14ac:dyDescent="0.2">
      <c r="D2080" t="s">
        <v>78</v>
      </c>
      <c r="E2080" t="s">
        <v>79</v>
      </c>
      <c r="F2080" t="s">
        <v>80</v>
      </c>
      <c r="G2080" t="s">
        <v>146</v>
      </c>
      <c r="H2080" t="s">
        <v>147</v>
      </c>
      <c r="I2080" t="s">
        <v>45</v>
      </c>
      <c r="J2080" t="s">
        <v>46</v>
      </c>
      <c r="K2080" t="s">
        <v>30</v>
      </c>
      <c r="L2080" t="s">
        <v>31</v>
      </c>
      <c r="M2080" t="s">
        <v>140</v>
      </c>
      <c r="N2080">
        <v>749</v>
      </c>
      <c r="O2080">
        <v>4.5731762000000002E-2</v>
      </c>
      <c r="P2080">
        <v>2.2193556E-2</v>
      </c>
      <c r="Q2080" t="str">
        <f t="shared" si="64"/>
        <v>50+</v>
      </c>
      <c r="R2080" t="str">
        <f t="shared" si="65"/>
        <v>[fiRkU6gEjLz]|50+|Female|TX_CURR_SUBNAT.T_1|CY2024Q3</v>
      </c>
    </row>
    <row r="2081" spans="4:18" x14ac:dyDescent="0.2">
      <c r="D2081" t="s">
        <v>78</v>
      </c>
      <c r="E2081" t="s">
        <v>79</v>
      </c>
      <c r="F2081" t="s">
        <v>80</v>
      </c>
      <c r="G2081" t="s">
        <v>146</v>
      </c>
      <c r="H2081" t="s">
        <v>147</v>
      </c>
      <c r="I2081" t="s">
        <v>28</v>
      </c>
      <c r="J2081" t="s">
        <v>29</v>
      </c>
      <c r="K2081" t="s">
        <v>48</v>
      </c>
      <c r="L2081" t="s">
        <v>49</v>
      </c>
      <c r="M2081" t="s">
        <v>140</v>
      </c>
      <c r="N2081">
        <v>2</v>
      </c>
      <c r="O2081">
        <v>5.2255599E-2</v>
      </c>
      <c r="P2081">
        <v>2.2193556E-2</v>
      </c>
      <c r="Q2081" t="str">
        <f t="shared" si="64"/>
        <v>&lt;01</v>
      </c>
      <c r="R2081" t="str">
        <f t="shared" si="65"/>
        <v>[fiRkU6gEjLz]|&lt;01|Male|TX_CURR_SUBNAT.T_1|CY2024Q3</v>
      </c>
    </row>
    <row r="2082" spans="4:18" x14ac:dyDescent="0.2">
      <c r="D2082" t="s">
        <v>78</v>
      </c>
      <c r="E2082" t="s">
        <v>79</v>
      </c>
      <c r="F2082" t="s">
        <v>80</v>
      </c>
      <c r="G2082" t="s">
        <v>146</v>
      </c>
      <c r="H2082" t="s">
        <v>147</v>
      </c>
      <c r="I2082" t="s">
        <v>33</v>
      </c>
      <c r="J2082" t="s">
        <v>34</v>
      </c>
      <c r="K2082" t="s">
        <v>48</v>
      </c>
      <c r="L2082" t="s">
        <v>49</v>
      </c>
      <c r="M2082" t="s">
        <v>140</v>
      </c>
      <c r="N2082">
        <v>38</v>
      </c>
      <c r="O2082">
        <v>5.1017446000000001E-2</v>
      </c>
      <c r="P2082">
        <v>2.2193556E-2</v>
      </c>
      <c r="Q2082" t="str">
        <f t="shared" si="64"/>
        <v>01-09</v>
      </c>
      <c r="R2082" t="str">
        <f t="shared" si="65"/>
        <v>[fiRkU6gEjLz]|01-09|Male|TX_CURR_SUBNAT.T_1|CY2024Q3</v>
      </c>
    </row>
    <row r="2083" spans="4:18" x14ac:dyDescent="0.2">
      <c r="D2083" t="s">
        <v>78</v>
      </c>
      <c r="E2083" t="s">
        <v>79</v>
      </c>
      <c r="F2083" t="s">
        <v>80</v>
      </c>
      <c r="G2083" t="s">
        <v>146</v>
      </c>
      <c r="H2083" t="s">
        <v>147</v>
      </c>
      <c r="I2083" t="s">
        <v>36</v>
      </c>
      <c r="J2083" t="s">
        <v>37</v>
      </c>
      <c r="K2083" t="s">
        <v>48</v>
      </c>
      <c r="L2083" t="s">
        <v>49</v>
      </c>
      <c r="M2083" t="s">
        <v>140</v>
      </c>
      <c r="N2083">
        <v>51</v>
      </c>
      <c r="O2083">
        <v>5.0637203999999998E-2</v>
      </c>
      <c r="P2083">
        <v>2.2193556E-2</v>
      </c>
      <c r="Q2083" t="str">
        <f t="shared" si="64"/>
        <v>10-14</v>
      </c>
      <c r="R2083" t="str">
        <f t="shared" si="65"/>
        <v>[fiRkU6gEjLz]|10-14|Male|TX_CURR_SUBNAT.T_1|CY2024Q3</v>
      </c>
    </row>
    <row r="2084" spans="4:18" x14ac:dyDescent="0.2">
      <c r="D2084" t="s">
        <v>78</v>
      </c>
      <c r="E2084" t="s">
        <v>79</v>
      </c>
      <c r="F2084" t="s">
        <v>80</v>
      </c>
      <c r="G2084" t="s">
        <v>146</v>
      </c>
      <c r="H2084" t="s">
        <v>147</v>
      </c>
      <c r="I2084" t="s">
        <v>38</v>
      </c>
      <c r="J2084" t="s">
        <v>39</v>
      </c>
      <c r="K2084" t="s">
        <v>48</v>
      </c>
      <c r="L2084" t="s">
        <v>49</v>
      </c>
      <c r="M2084" t="s">
        <v>140</v>
      </c>
      <c r="N2084">
        <v>158</v>
      </c>
      <c r="O2084">
        <v>7.2111672000000002E-2</v>
      </c>
      <c r="P2084">
        <v>2.2193556E-2</v>
      </c>
      <c r="Q2084" t="str">
        <f t="shared" si="64"/>
        <v>15-24</v>
      </c>
      <c r="R2084" t="str">
        <f t="shared" si="65"/>
        <v>[fiRkU6gEjLz]|15-24|Male|TX_CURR_SUBNAT.T_1|CY2024Q3</v>
      </c>
    </row>
    <row r="2085" spans="4:18" x14ac:dyDescent="0.2">
      <c r="D2085" t="s">
        <v>78</v>
      </c>
      <c r="E2085" t="s">
        <v>79</v>
      </c>
      <c r="F2085" t="s">
        <v>80</v>
      </c>
      <c r="G2085" t="s">
        <v>146</v>
      </c>
      <c r="H2085" t="s">
        <v>147</v>
      </c>
      <c r="I2085" t="s">
        <v>41</v>
      </c>
      <c r="J2085" t="s">
        <v>42</v>
      </c>
      <c r="K2085" t="s">
        <v>48</v>
      </c>
      <c r="L2085" t="s">
        <v>49</v>
      </c>
      <c r="M2085" t="s">
        <v>140</v>
      </c>
      <c r="N2085">
        <v>206</v>
      </c>
      <c r="O2085">
        <v>7.1819407000000002E-2</v>
      </c>
      <c r="P2085">
        <v>2.2193556E-2</v>
      </c>
      <c r="Q2085" t="str">
        <f t="shared" si="64"/>
        <v>25-34</v>
      </c>
      <c r="R2085" t="str">
        <f t="shared" si="65"/>
        <v>[fiRkU6gEjLz]|25-34|Male|TX_CURR_SUBNAT.T_1|CY2024Q3</v>
      </c>
    </row>
    <row r="2086" spans="4:18" x14ac:dyDescent="0.2">
      <c r="D2086" t="s">
        <v>78</v>
      </c>
      <c r="E2086" t="s">
        <v>79</v>
      </c>
      <c r="F2086" t="s">
        <v>80</v>
      </c>
      <c r="G2086" t="s">
        <v>146</v>
      </c>
      <c r="H2086" t="s">
        <v>147</v>
      </c>
      <c r="I2086" t="s">
        <v>43</v>
      </c>
      <c r="J2086" t="s">
        <v>44</v>
      </c>
      <c r="K2086" t="s">
        <v>48</v>
      </c>
      <c r="L2086" t="s">
        <v>49</v>
      </c>
      <c r="M2086" t="s">
        <v>140</v>
      </c>
      <c r="N2086">
        <v>856</v>
      </c>
      <c r="O2086">
        <v>3.9356965000000001E-2</v>
      </c>
      <c r="P2086">
        <v>2.2193556E-2</v>
      </c>
      <c r="Q2086" t="str">
        <f t="shared" si="64"/>
        <v>35-49</v>
      </c>
      <c r="R2086" t="str">
        <f t="shared" si="65"/>
        <v>[fiRkU6gEjLz]|35-49|Male|TX_CURR_SUBNAT.T_1|CY2024Q3</v>
      </c>
    </row>
    <row r="2087" spans="4:18" x14ac:dyDescent="0.2">
      <c r="D2087" t="s">
        <v>78</v>
      </c>
      <c r="E2087" t="s">
        <v>79</v>
      </c>
      <c r="F2087" t="s">
        <v>80</v>
      </c>
      <c r="G2087" t="s">
        <v>146</v>
      </c>
      <c r="H2087" t="s">
        <v>147</v>
      </c>
      <c r="I2087" t="s">
        <v>45</v>
      </c>
      <c r="J2087" t="s">
        <v>46</v>
      </c>
      <c r="K2087" t="s">
        <v>48</v>
      </c>
      <c r="L2087" t="s">
        <v>49</v>
      </c>
      <c r="M2087" t="s">
        <v>140</v>
      </c>
      <c r="N2087">
        <v>673</v>
      </c>
      <c r="O2087">
        <v>4.4527206E-2</v>
      </c>
      <c r="P2087">
        <v>2.2193556E-2</v>
      </c>
      <c r="Q2087" t="str">
        <f t="shared" si="64"/>
        <v>50+</v>
      </c>
      <c r="R2087" t="str">
        <f t="shared" si="65"/>
        <v>[fiRkU6gEjLz]|50+|Male|TX_CURR_SUBNAT.T_1|CY2024Q3</v>
      </c>
    </row>
    <row r="2088" spans="4:18" x14ac:dyDescent="0.2">
      <c r="D2088" t="s">
        <v>81</v>
      </c>
      <c r="E2088" t="s">
        <v>82</v>
      </c>
      <c r="F2088" t="s">
        <v>83</v>
      </c>
      <c r="G2088" t="s">
        <v>146</v>
      </c>
      <c r="H2088" t="s">
        <v>147</v>
      </c>
      <c r="I2088" t="s">
        <v>28</v>
      </c>
      <c r="J2088" t="s">
        <v>29</v>
      </c>
      <c r="K2088" t="s">
        <v>30</v>
      </c>
      <c r="L2088" t="s">
        <v>31</v>
      </c>
      <c r="M2088" t="s">
        <v>140</v>
      </c>
      <c r="N2088">
        <v>4</v>
      </c>
      <c r="O2088">
        <v>6.1300278999999999E-2</v>
      </c>
      <c r="P2088">
        <v>1.5008736E-2</v>
      </c>
      <c r="Q2088" t="str">
        <f t="shared" si="64"/>
        <v>&lt;01</v>
      </c>
      <c r="R2088" t="str">
        <f t="shared" si="65"/>
        <v>[zphK9WV8JB4]|&lt;01|Female|TX_CURR_SUBNAT.T_1|CY2024Q3</v>
      </c>
    </row>
    <row r="2089" spans="4:18" x14ac:dyDescent="0.2">
      <c r="D2089" t="s">
        <v>81</v>
      </c>
      <c r="E2089" t="s">
        <v>82</v>
      </c>
      <c r="F2089" t="s">
        <v>83</v>
      </c>
      <c r="G2089" t="s">
        <v>146</v>
      </c>
      <c r="H2089" t="s">
        <v>147</v>
      </c>
      <c r="I2089" t="s">
        <v>33</v>
      </c>
      <c r="J2089" t="s">
        <v>34</v>
      </c>
      <c r="K2089" t="s">
        <v>30</v>
      </c>
      <c r="L2089" t="s">
        <v>31</v>
      </c>
      <c r="M2089" t="s">
        <v>140</v>
      </c>
      <c r="N2089">
        <v>84</v>
      </c>
      <c r="O2089">
        <v>5.5017064999999997E-2</v>
      </c>
      <c r="P2089">
        <v>1.5008736E-2</v>
      </c>
      <c r="Q2089" t="str">
        <f t="shared" si="64"/>
        <v>01-09</v>
      </c>
      <c r="R2089" t="str">
        <f t="shared" si="65"/>
        <v>[zphK9WV8JB4]|01-09|Female|TX_CURR_SUBNAT.T_1|CY2024Q3</v>
      </c>
    </row>
    <row r="2090" spans="4:18" x14ac:dyDescent="0.2">
      <c r="D2090" t="s">
        <v>81</v>
      </c>
      <c r="E2090" t="s">
        <v>82</v>
      </c>
      <c r="F2090" t="s">
        <v>83</v>
      </c>
      <c r="G2090" t="s">
        <v>146</v>
      </c>
      <c r="H2090" t="s">
        <v>147</v>
      </c>
      <c r="I2090" t="s">
        <v>36</v>
      </c>
      <c r="J2090" t="s">
        <v>37</v>
      </c>
      <c r="K2090" t="s">
        <v>30</v>
      </c>
      <c r="L2090" t="s">
        <v>31</v>
      </c>
      <c r="M2090" t="s">
        <v>140</v>
      </c>
      <c r="N2090">
        <v>114</v>
      </c>
      <c r="O2090">
        <v>4.8262325000000002E-2</v>
      </c>
      <c r="P2090">
        <v>1.5008736E-2</v>
      </c>
      <c r="Q2090" t="str">
        <f t="shared" si="64"/>
        <v>10-14</v>
      </c>
      <c r="R2090" t="str">
        <f t="shared" si="65"/>
        <v>[zphK9WV8JB4]|10-14|Female|TX_CURR_SUBNAT.T_1|CY2024Q3</v>
      </c>
    </row>
    <row r="2091" spans="4:18" x14ac:dyDescent="0.2">
      <c r="D2091" t="s">
        <v>81</v>
      </c>
      <c r="E2091" t="s">
        <v>82</v>
      </c>
      <c r="F2091" t="s">
        <v>83</v>
      </c>
      <c r="G2091" t="s">
        <v>146</v>
      </c>
      <c r="H2091" t="s">
        <v>147</v>
      </c>
      <c r="I2091" t="s">
        <v>38</v>
      </c>
      <c r="J2091" t="s">
        <v>39</v>
      </c>
      <c r="K2091" t="s">
        <v>30</v>
      </c>
      <c r="L2091" t="s">
        <v>31</v>
      </c>
      <c r="M2091" t="s">
        <v>140</v>
      </c>
      <c r="N2091">
        <v>565</v>
      </c>
      <c r="O2091">
        <v>6.1672494000000001E-2</v>
      </c>
      <c r="P2091">
        <v>1.5008736E-2</v>
      </c>
      <c r="Q2091" t="str">
        <f t="shared" si="64"/>
        <v>15-24</v>
      </c>
      <c r="R2091" t="str">
        <f t="shared" si="65"/>
        <v>[zphK9WV8JB4]|15-24|Female|TX_CURR_SUBNAT.T_1|CY2024Q3</v>
      </c>
    </row>
    <row r="2092" spans="4:18" x14ac:dyDescent="0.2">
      <c r="D2092" t="s">
        <v>81</v>
      </c>
      <c r="E2092" t="s">
        <v>82</v>
      </c>
      <c r="F2092" t="s">
        <v>83</v>
      </c>
      <c r="G2092" t="s">
        <v>146</v>
      </c>
      <c r="H2092" t="s">
        <v>147</v>
      </c>
      <c r="I2092" t="s">
        <v>41</v>
      </c>
      <c r="J2092" t="s">
        <v>42</v>
      </c>
      <c r="K2092" t="s">
        <v>30</v>
      </c>
      <c r="L2092" t="s">
        <v>31</v>
      </c>
      <c r="M2092" t="s">
        <v>140</v>
      </c>
      <c r="N2092">
        <v>1492</v>
      </c>
      <c r="O2092">
        <v>4.4360668999999998E-2</v>
      </c>
      <c r="P2092">
        <v>1.5008736E-2</v>
      </c>
      <c r="Q2092" t="str">
        <f t="shared" si="64"/>
        <v>25-34</v>
      </c>
      <c r="R2092" t="str">
        <f t="shared" si="65"/>
        <v>[zphK9WV8JB4]|25-34|Female|TX_CURR_SUBNAT.T_1|CY2024Q3</v>
      </c>
    </row>
    <row r="2093" spans="4:18" x14ac:dyDescent="0.2">
      <c r="D2093" t="s">
        <v>81</v>
      </c>
      <c r="E2093" t="s">
        <v>82</v>
      </c>
      <c r="F2093" t="s">
        <v>83</v>
      </c>
      <c r="G2093" t="s">
        <v>146</v>
      </c>
      <c r="H2093" t="s">
        <v>147</v>
      </c>
      <c r="I2093" t="s">
        <v>43</v>
      </c>
      <c r="J2093" t="s">
        <v>44</v>
      </c>
      <c r="K2093" t="s">
        <v>30</v>
      </c>
      <c r="L2093" t="s">
        <v>31</v>
      </c>
      <c r="M2093" t="s">
        <v>140</v>
      </c>
      <c r="N2093">
        <v>4219</v>
      </c>
      <c r="O2093">
        <v>2.5807842000000001E-2</v>
      </c>
      <c r="P2093">
        <v>1.5008736E-2</v>
      </c>
      <c r="Q2093" t="str">
        <f t="shared" si="64"/>
        <v>35-49</v>
      </c>
      <c r="R2093" t="str">
        <f t="shared" si="65"/>
        <v>[zphK9WV8JB4]|35-49|Female|TX_CURR_SUBNAT.T_1|CY2024Q3</v>
      </c>
    </row>
    <row r="2094" spans="4:18" x14ac:dyDescent="0.2">
      <c r="D2094" t="s">
        <v>81</v>
      </c>
      <c r="E2094" t="s">
        <v>82</v>
      </c>
      <c r="F2094" t="s">
        <v>83</v>
      </c>
      <c r="G2094" t="s">
        <v>146</v>
      </c>
      <c r="H2094" t="s">
        <v>147</v>
      </c>
      <c r="I2094" t="s">
        <v>45</v>
      </c>
      <c r="J2094" t="s">
        <v>46</v>
      </c>
      <c r="K2094" t="s">
        <v>30</v>
      </c>
      <c r="L2094" t="s">
        <v>31</v>
      </c>
      <c r="M2094" t="s">
        <v>140</v>
      </c>
      <c r="N2094">
        <v>2052</v>
      </c>
      <c r="O2094">
        <v>4.2148091999999998E-2</v>
      </c>
      <c r="P2094">
        <v>1.5008736E-2</v>
      </c>
      <c r="Q2094" t="str">
        <f t="shared" si="64"/>
        <v>50+</v>
      </c>
      <c r="R2094" t="str">
        <f t="shared" si="65"/>
        <v>[zphK9WV8JB4]|50+|Female|TX_CURR_SUBNAT.T_1|CY2024Q3</v>
      </c>
    </row>
    <row r="2095" spans="4:18" x14ac:dyDescent="0.2">
      <c r="D2095" t="s">
        <v>81</v>
      </c>
      <c r="E2095" t="s">
        <v>82</v>
      </c>
      <c r="F2095" t="s">
        <v>83</v>
      </c>
      <c r="G2095" t="s">
        <v>146</v>
      </c>
      <c r="H2095" t="s">
        <v>147</v>
      </c>
      <c r="I2095" t="s">
        <v>28</v>
      </c>
      <c r="J2095" t="s">
        <v>29</v>
      </c>
      <c r="K2095" t="s">
        <v>48</v>
      </c>
      <c r="L2095" t="s">
        <v>49</v>
      </c>
      <c r="M2095" t="s">
        <v>140</v>
      </c>
      <c r="N2095">
        <v>4</v>
      </c>
      <c r="O2095">
        <v>4.4137823999999999E-2</v>
      </c>
      <c r="P2095">
        <v>1.5008736E-2</v>
      </c>
      <c r="Q2095" t="str">
        <f t="shared" si="64"/>
        <v>&lt;01</v>
      </c>
      <c r="R2095" t="str">
        <f t="shared" si="65"/>
        <v>[zphK9WV8JB4]|&lt;01|Male|TX_CURR_SUBNAT.T_1|CY2024Q3</v>
      </c>
    </row>
    <row r="2096" spans="4:18" x14ac:dyDescent="0.2">
      <c r="D2096" t="s">
        <v>81</v>
      </c>
      <c r="E2096" t="s">
        <v>82</v>
      </c>
      <c r="F2096" t="s">
        <v>83</v>
      </c>
      <c r="G2096" t="s">
        <v>146</v>
      </c>
      <c r="H2096" t="s">
        <v>147</v>
      </c>
      <c r="I2096" t="s">
        <v>33</v>
      </c>
      <c r="J2096" t="s">
        <v>34</v>
      </c>
      <c r="K2096" t="s">
        <v>48</v>
      </c>
      <c r="L2096" t="s">
        <v>49</v>
      </c>
      <c r="M2096" t="s">
        <v>140</v>
      </c>
      <c r="N2096">
        <v>89</v>
      </c>
      <c r="O2096">
        <v>4.0801876000000001E-2</v>
      </c>
      <c r="P2096">
        <v>1.5008736E-2</v>
      </c>
      <c r="Q2096" t="str">
        <f t="shared" si="64"/>
        <v>01-09</v>
      </c>
      <c r="R2096" t="str">
        <f t="shared" si="65"/>
        <v>[zphK9WV8JB4]|01-09|Male|TX_CURR_SUBNAT.T_1|CY2024Q3</v>
      </c>
    </row>
    <row r="2097" spans="4:18" x14ac:dyDescent="0.2">
      <c r="D2097" t="s">
        <v>81</v>
      </c>
      <c r="E2097" t="s">
        <v>82</v>
      </c>
      <c r="F2097" t="s">
        <v>83</v>
      </c>
      <c r="G2097" t="s">
        <v>146</v>
      </c>
      <c r="H2097" t="s">
        <v>147</v>
      </c>
      <c r="I2097" t="s">
        <v>36</v>
      </c>
      <c r="J2097" t="s">
        <v>37</v>
      </c>
      <c r="K2097" t="s">
        <v>48</v>
      </c>
      <c r="L2097" t="s">
        <v>49</v>
      </c>
      <c r="M2097" t="s">
        <v>140</v>
      </c>
      <c r="N2097">
        <v>119</v>
      </c>
      <c r="O2097">
        <v>3.7954675E-2</v>
      </c>
      <c r="P2097">
        <v>1.5008736E-2</v>
      </c>
      <c r="Q2097" t="str">
        <f t="shared" si="64"/>
        <v>10-14</v>
      </c>
      <c r="R2097" t="str">
        <f t="shared" si="65"/>
        <v>[zphK9WV8JB4]|10-14|Male|TX_CURR_SUBNAT.T_1|CY2024Q3</v>
      </c>
    </row>
    <row r="2098" spans="4:18" x14ac:dyDescent="0.2">
      <c r="D2098" t="s">
        <v>81</v>
      </c>
      <c r="E2098" t="s">
        <v>82</v>
      </c>
      <c r="F2098" t="s">
        <v>83</v>
      </c>
      <c r="G2098" t="s">
        <v>146</v>
      </c>
      <c r="H2098" t="s">
        <v>147</v>
      </c>
      <c r="I2098" t="s">
        <v>38</v>
      </c>
      <c r="J2098" t="s">
        <v>39</v>
      </c>
      <c r="K2098" t="s">
        <v>48</v>
      </c>
      <c r="L2098" t="s">
        <v>49</v>
      </c>
      <c r="M2098" t="s">
        <v>140</v>
      </c>
      <c r="N2098">
        <v>414</v>
      </c>
      <c r="O2098">
        <v>7.2547742999999998E-2</v>
      </c>
      <c r="P2098">
        <v>1.5008736E-2</v>
      </c>
      <c r="Q2098" t="str">
        <f t="shared" si="64"/>
        <v>15-24</v>
      </c>
      <c r="R2098" t="str">
        <f t="shared" si="65"/>
        <v>[zphK9WV8JB4]|15-24|Male|TX_CURR_SUBNAT.T_1|CY2024Q3</v>
      </c>
    </row>
    <row r="2099" spans="4:18" x14ac:dyDescent="0.2">
      <c r="D2099" t="s">
        <v>81</v>
      </c>
      <c r="E2099" t="s">
        <v>82</v>
      </c>
      <c r="F2099" t="s">
        <v>83</v>
      </c>
      <c r="G2099" t="s">
        <v>146</v>
      </c>
      <c r="H2099" t="s">
        <v>147</v>
      </c>
      <c r="I2099" t="s">
        <v>41</v>
      </c>
      <c r="J2099" t="s">
        <v>42</v>
      </c>
      <c r="K2099" t="s">
        <v>48</v>
      </c>
      <c r="L2099" t="s">
        <v>49</v>
      </c>
      <c r="M2099" t="s">
        <v>140</v>
      </c>
      <c r="N2099">
        <v>568</v>
      </c>
      <c r="O2099">
        <v>6.9604101000000002E-2</v>
      </c>
      <c r="P2099">
        <v>1.5008736E-2</v>
      </c>
      <c r="Q2099" t="str">
        <f t="shared" si="64"/>
        <v>25-34</v>
      </c>
      <c r="R2099" t="str">
        <f t="shared" si="65"/>
        <v>[zphK9WV8JB4]|25-34|Male|TX_CURR_SUBNAT.T_1|CY2024Q3</v>
      </c>
    </row>
    <row r="2100" spans="4:18" x14ac:dyDescent="0.2">
      <c r="D2100" t="s">
        <v>81</v>
      </c>
      <c r="E2100" t="s">
        <v>82</v>
      </c>
      <c r="F2100" t="s">
        <v>83</v>
      </c>
      <c r="G2100" t="s">
        <v>146</v>
      </c>
      <c r="H2100" t="s">
        <v>147</v>
      </c>
      <c r="I2100" t="s">
        <v>43</v>
      </c>
      <c r="J2100" t="s">
        <v>44</v>
      </c>
      <c r="K2100" t="s">
        <v>48</v>
      </c>
      <c r="L2100" t="s">
        <v>49</v>
      </c>
      <c r="M2100" t="s">
        <v>140</v>
      </c>
      <c r="N2100">
        <v>2357</v>
      </c>
      <c r="O2100">
        <v>3.5226915999999997E-2</v>
      </c>
      <c r="P2100">
        <v>1.5008736E-2</v>
      </c>
      <c r="Q2100" t="str">
        <f t="shared" si="64"/>
        <v>35-49</v>
      </c>
      <c r="R2100" t="str">
        <f t="shared" si="65"/>
        <v>[zphK9WV8JB4]|35-49|Male|TX_CURR_SUBNAT.T_1|CY2024Q3</v>
      </c>
    </row>
    <row r="2101" spans="4:18" x14ac:dyDescent="0.2">
      <c r="D2101" t="s">
        <v>81</v>
      </c>
      <c r="E2101" t="s">
        <v>82</v>
      </c>
      <c r="F2101" t="s">
        <v>83</v>
      </c>
      <c r="G2101" t="s">
        <v>146</v>
      </c>
      <c r="H2101" t="s">
        <v>147</v>
      </c>
      <c r="I2101" t="s">
        <v>45</v>
      </c>
      <c r="J2101" t="s">
        <v>46</v>
      </c>
      <c r="K2101" t="s">
        <v>48</v>
      </c>
      <c r="L2101" t="s">
        <v>49</v>
      </c>
      <c r="M2101" t="s">
        <v>140</v>
      </c>
      <c r="N2101">
        <v>1882</v>
      </c>
      <c r="O2101">
        <v>3.8738950000000001E-2</v>
      </c>
      <c r="P2101">
        <v>1.5008736E-2</v>
      </c>
      <c r="Q2101" t="str">
        <f t="shared" si="64"/>
        <v>50+</v>
      </c>
      <c r="R2101" t="str">
        <f t="shared" si="65"/>
        <v>[zphK9WV8JB4]|50+|Male|TX_CURR_SUBNAT.T_1|CY2024Q3</v>
      </c>
    </row>
    <row r="2102" spans="4:18" x14ac:dyDescent="0.2">
      <c r="D2102" t="s">
        <v>84</v>
      </c>
      <c r="E2102" t="s">
        <v>85</v>
      </c>
      <c r="F2102" t="s">
        <v>86</v>
      </c>
      <c r="G2102" t="s">
        <v>146</v>
      </c>
      <c r="H2102" t="s">
        <v>147</v>
      </c>
      <c r="I2102" t="s">
        <v>28</v>
      </c>
      <c r="J2102" t="s">
        <v>29</v>
      </c>
      <c r="K2102" t="s">
        <v>30</v>
      </c>
      <c r="L2102" t="s">
        <v>31</v>
      </c>
      <c r="M2102" t="s">
        <v>140</v>
      </c>
      <c r="N2102">
        <v>8</v>
      </c>
      <c r="O2102">
        <v>4.4779280999999997E-2</v>
      </c>
      <c r="P2102">
        <v>1.2724447999999999E-2</v>
      </c>
      <c r="Q2102" t="str">
        <f t="shared" si="64"/>
        <v>&lt;01</v>
      </c>
      <c r="R2102" t="str">
        <f t="shared" si="65"/>
        <v>[msW2zpIN7up]|&lt;01|Female|TX_CURR_SUBNAT.T_1|CY2024Q3</v>
      </c>
    </row>
    <row r="2103" spans="4:18" x14ac:dyDescent="0.2">
      <c r="D2103" t="s">
        <v>84</v>
      </c>
      <c r="E2103" t="s">
        <v>85</v>
      </c>
      <c r="F2103" t="s">
        <v>86</v>
      </c>
      <c r="G2103" t="s">
        <v>146</v>
      </c>
      <c r="H2103" t="s">
        <v>147</v>
      </c>
      <c r="I2103" t="s">
        <v>33</v>
      </c>
      <c r="J2103" t="s">
        <v>34</v>
      </c>
      <c r="K2103" t="s">
        <v>30</v>
      </c>
      <c r="L2103" t="s">
        <v>31</v>
      </c>
      <c r="M2103" t="s">
        <v>140</v>
      </c>
      <c r="N2103">
        <v>169</v>
      </c>
      <c r="O2103">
        <v>3.9387824000000002E-2</v>
      </c>
      <c r="P2103">
        <v>1.2724447999999999E-2</v>
      </c>
      <c r="Q2103" t="str">
        <f t="shared" si="64"/>
        <v>01-09</v>
      </c>
      <c r="R2103" t="str">
        <f t="shared" si="65"/>
        <v>[msW2zpIN7up]|01-09|Female|TX_CURR_SUBNAT.T_1|CY2024Q3</v>
      </c>
    </row>
    <row r="2104" spans="4:18" x14ac:dyDescent="0.2">
      <c r="D2104" t="s">
        <v>84</v>
      </c>
      <c r="E2104" t="s">
        <v>85</v>
      </c>
      <c r="F2104" t="s">
        <v>86</v>
      </c>
      <c r="G2104" t="s">
        <v>146</v>
      </c>
      <c r="H2104" t="s">
        <v>147</v>
      </c>
      <c r="I2104" t="s">
        <v>36</v>
      </c>
      <c r="J2104" t="s">
        <v>37</v>
      </c>
      <c r="K2104" t="s">
        <v>30</v>
      </c>
      <c r="L2104" t="s">
        <v>31</v>
      </c>
      <c r="M2104" t="s">
        <v>140</v>
      </c>
      <c r="N2104">
        <v>221</v>
      </c>
      <c r="O2104">
        <v>3.4160507999999999E-2</v>
      </c>
      <c r="P2104">
        <v>1.2724447999999999E-2</v>
      </c>
      <c r="Q2104" t="str">
        <f t="shared" si="64"/>
        <v>10-14</v>
      </c>
      <c r="R2104" t="str">
        <f t="shared" si="65"/>
        <v>[msW2zpIN7up]|10-14|Female|TX_CURR_SUBNAT.T_1|CY2024Q3</v>
      </c>
    </row>
    <row r="2105" spans="4:18" x14ac:dyDescent="0.2">
      <c r="D2105" t="s">
        <v>84</v>
      </c>
      <c r="E2105" t="s">
        <v>85</v>
      </c>
      <c r="F2105" t="s">
        <v>86</v>
      </c>
      <c r="G2105" t="s">
        <v>146</v>
      </c>
      <c r="H2105" t="s">
        <v>147</v>
      </c>
      <c r="I2105" t="s">
        <v>38</v>
      </c>
      <c r="J2105" t="s">
        <v>39</v>
      </c>
      <c r="K2105" t="s">
        <v>30</v>
      </c>
      <c r="L2105" t="s">
        <v>31</v>
      </c>
      <c r="M2105" t="s">
        <v>140</v>
      </c>
      <c r="N2105">
        <v>863</v>
      </c>
      <c r="O2105">
        <v>6.0572496000000003E-2</v>
      </c>
      <c r="P2105">
        <v>1.2724447999999999E-2</v>
      </c>
      <c r="Q2105" t="str">
        <f t="shared" si="64"/>
        <v>15-24</v>
      </c>
      <c r="R2105" t="str">
        <f t="shared" si="65"/>
        <v>[msW2zpIN7up]|15-24|Female|TX_CURR_SUBNAT.T_1|CY2024Q3</v>
      </c>
    </row>
    <row r="2106" spans="4:18" x14ac:dyDescent="0.2">
      <c r="D2106" t="s">
        <v>84</v>
      </c>
      <c r="E2106" t="s">
        <v>85</v>
      </c>
      <c r="F2106" t="s">
        <v>86</v>
      </c>
      <c r="G2106" t="s">
        <v>146</v>
      </c>
      <c r="H2106" t="s">
        <v>147</v>
      </c>
      <c r="I2106" t="s">
        <v>41</v>
      </c>
      <c r="J2106" t="s">
        <v>42</v>
      </c>
      <c r="K2106" t="s">
        <v>30</v>
      </c>
      <c r="L2106" t="s">
        <v>31</v>
      </c>
      <c r="M2106" t="s">
        <v>140</v>
      </c>
      <c r="N2106">
        <v>2225</v>
      </c>
      <c r="O2106">
        <v>3.7985504000000003E-2</v>
      </c>
      <c r="P2106">
        <v>1.2724447999999999E-2</v>
      </c>
      <c r="Q2106" t="str">
        <f t="shared" si="64"/>
        <v>25-34</v>
      </c>
      <c r="R2106" t="str">
        <f t="shared" si="65"/>
        <v>[msW2zpIN7up]|25-34|Female|TX_CURR_SUBNAT.T_1|CY2024Q3</v>
      </c>
    </row>
    <row r="2107" spans="4:18" x14ac:dyDescent="0.2">
      <c r="D2107" t="s">
        <v>84</v>
      </c>
      <c r="E2107" t="s">
        <v>85</v>
      </c>
      <c r="F2107" t="s">
        <v>86</v>
      </c>
      <c r="G2107" t="s">
        <v>146</v>
      </c>
      <c r="H2107" t="s">
        <v>147</v>
      </c>
      <c r="I2107" t="s">
        <v>43</v>
      </c>
      <c r="J2107" t="s">
        <v>44</v>
      </c>
      <c r="K2107" t="s">
        <v>30</v>
      </c>
      <c r="L2107" t="s">
        <v>31</v>
      </c>
      <c r="M2107" t="s">
        <v>140</v>
      </c>
      <c r="N2107">
        <v>5833</v>
      </c>
      <c r="O2107">
        <v>2.2702421E-2</v>
      </c>
      <c r="P2107">
        <v>1.2724447999999999E-2</v>
      </c>
      <c r="Q2107" t="str">
        <f t="shared" si="64"/>
        <v>35-49</v>
      </c>
      <c r="R2107" t="str">
        <f t="shared" si="65"/>
        <v>[msW2zpIN7up]|35-49|Female|TX_CURR_SUBNAT.T_1|CY2024Q3</v>
      </c>
    </row>
    <row r="2108" spans="4:18" x14ac:dyDescent="0.2">
      <c r="D2108" t="s">
        <v>84</v>
      </c>
      <c r="E2108" t="s">
        <v>85</v>
      </c>
      <c r="F2108" t="s">
        <v>86</v>
      </c>
      <c r="G2108" t="s">
        <v>146</v>
      </c>
      <c r="H2108" t="s">
        <v>147</v>
      </c>
      <c r="I2108" t="s">
        <v>45</v>
      </c>
      <c r="J2108" t="s">
        <v>46</v>
      </c>
      <c r="K2108" t="s">
        <v>30</v>
      </c>
      <c r="L2108" t="s">
        <v>31</v>
      </c>
      <c r="M2108" t="s">
        <v>140</v>
      </c>
      <c r="N2108">
        <v>2636</v>
      </c>
      <c r="O2108">
        <v>4.1614569999999997E-2</v>
      </c>
      <c r="P2108">
        <v>1.2724447999999999E-2</v>
      </c>
      <c r="Q2108" t="str">
        <f t="shared" si="64"/>
        <v>50+</v>
      </c>
      <c r="R2108" t="str">
        <f t="shared" si="65"/>
        <v>[msW2zpIN7up]|50+|Female|TX_CURR_SUBNAT.T_1|CY2024Q3</v>
      </c>
    </row>
    <row r="2109" spans="4:18" x14ac:dyDescent="0.2">
      <c r="D2109" t="s">
        <v>84</v>
      </c>
      <c r="E2109" t="s">
        <v>85</v>
      </c>
      <c r="F2109" t="s">
        <v>86</v>
      </c>
      <c r="G2109" t="s">
        <v>146</v>
      </c>
      <c r="H2109" t="s">
        <v>147</v>
      </c>
      <c r="I2109" t="s">
        <v>28</v>
      </c>
      <c r="J2109" t="s">
        <v>29</v>
      </c>
      <c r="K2109" t="s">
        <v>48</v>
      </c>
      <c r="L2109" t="s">
        <v>49</v>
      </c>
      <c r="M2109" t="s">
        <v>140</v>
      </c>
      <c r="N2109">
        <v>8</v>
      </c>
      <c r="O2109">
        <v>2.8868608E-2</v>
      </c>
      <c r="P2109">
        <v>1.2724447999999999E-2</v>
      </c>
      <c r="Q2109" t="str">
        <f t="shared" si="64"/>
        <v>&lt;01</v>
      </c>
      <c r="R2109" t="str">
        <f t="shared" si="65"/>
        <v>[msW2zpIN7up]|&lt;01|Male|TX_CURR_SUBNAT.T_1|CY2024Q3</v>
      </c>
    </row>
    <row r="2110" spans="4:18" x14ac:dyDescent="0.2">
      <c r="D2110" t="s">
        <v>84</v>
      </c>
      <c r="E2110" t="s">
        <v>85</v>
      </c>
      <c r="F2110" t="s">
        <v>86</v>
      </c>
      <c r="G2110" t="s">
        <v>146</v>
      </c>
      <c r="H2110" t="s">
        <v>147</v>
      </c>
      <c r="I2110" t="s">
        <v>33</v>
      </c>
      <c r="J2110" t="s">
        <v>34</v>
      </c>
      <c r="K2110" t="s">
        <v>48</v>
      </c>
      <c r="L2110" t="s">
        <v>49</v>
      </c>
      <c r="M2110" t="s">
        <v>140</v>
      </c>
      <c r="N2110">
        <v>167</v>
      </c>
      <c r="O2110">
        <v>2.8527510999999998E-2</v>
      </c>
      <c r="P2110">
        <v>1.2724447999999999E-2</v>
      </c>
      <c r="Q2110" t="str">
        <f t="shared" si="64"/>
        <v>01-09</v>
      </c>
      <c r="R2110" t="str">
        <f t="shared" si="65"/>
        <v>[msW2zpIN7up]|01-09|Male|TX_CURR_SUBNAT.T_1|CY2024Q3</v>
      </c>
    </row>
    <row r="2111" spans="4:18" x14ac:dyDescent="0.2">
      <c r="D2111" t="s">
        <v>84</v>
      </c>
      <c r="E2111" t="s">
        <v>85</v>
      </c>
      <c r="F2111" t="s">
        <v>86</v>
      </c>
      <c r="G2111" t="s">
        <v>146</v>
      </c>
      <c r="H2111" t="s">
        <v>147</v>
      </c>
      <c r="I2111" t="s">
        <v>36</v>
      </c>
      <c r="J2111" t="s">
        <v>37</v>
      </c>
      <c r="K2111" t="s">
        <v>48</v>
      </c>
      <c r="L2111" t="s">
        <v>49</v>
      </c>
      <c r="M2111" t="s">
        <v>140</v>
      </c>
      <c r="N2111">
        <v>217</v>
      </c>
      <c r="O2111">
        <v>2.9634773999999999E-2</v>
      </c>
      <c r="P2111">
        <v>1.2724447999999999E-2</v>
      </c>
      <c r="Q2111" t="str">
        <f t="shared" si="64"/>
        <v>10-14</v>
      </c>
      <c r="R2111" t="str">
        <f t="shared" si="65"/>
        <v>[msW2zpIN7up]|10-14|Male|TX_CURR_SUBNAT.T_1|CY2024Q3</v>
      </c>
    </row>
    <row r="2112" spans="4:18" x14ac:dyDescent="0.2">
      <c r="D2112" t="s">
        <v>84</v>
      </c>
      <c r="E2112" t="s">
        <v>85</v>
      </c>
      <c r="F2112" t="s">
        <v>86</v>
      </c>
      <c r="G2112" t="s">
        <v>146</v>
      </c>
      <c r="H2112" t="s">
        <v>147</v>
      </c>
      <c r="I2112" t="s">
        <v>38</v>
      </c>
      <c r="J2112" t="s">
        <v>39</v>
      </c>
      <c r="K2112" t="s">
        <v>48</v>
      </c>
      <c r="L2112" t="s">
        <v>49</v>
      </c>
      <c r="M2112" t="s">
        <v>140</v>
      </c>
      <c r="N2112">
        <v>583</v>
      </c>
      <c r="O2112">
        <v>6.5588747000000003E-2</v>
      </c>
      <c r="P2112">
        <v>1.2724447999999999E-2</v>
      </c>
      <c r="Q2112" t="str">
        <f t="shared" si="64"/>
        <v>15-24</v>
      </c>
      <c r="R2112" t="str">
        <f t="shared" si="65"/>
        <v>[msW2zpIN7up]|15-24|Male|TX_CURR_SUBNAT.T_1|CY2024Q3</v>
      </c>
    </row>
    <row r="2113" spans="4:18" x14ac:dyDescent="0.2">
      <c r="D2113" t="s">
        <v>84</v>
      </c>
      <c r="E2113" t="s">
        <v>85</v>
      </c>
      <c r="F2113" t="s">
        <v>86</v>
      </c>
      <c r="G2113" t="s">
        <v>146</v>
      </c>
      <c r="H2113" t="s">
        <v>147</v>
      </c>
      <c r="I2113" t="s">
        <v>41</v>
      </c>
      <c r="J2113" t="s">
        <v>42</v>
      </c>
      <c r="K2113" t="s">
        <v>48</v>
      </c>
      <c r="L2113" t="s">
        <v>49</v>
      </c>
      <c r="M2113" t="s">
        <v>140</v>
      </c>
      <c r="N2113">
        <v>684</v>
      </c>
      <c r="O2113">
        <v>6.5465719000000006E-2</v>
      </c>
      <c r="P2113">
        <v>1.2724447999999999E-2</v>
      </c>
      <c r="Q2113" t="str">
        <f t="shared" si="64"/>
        <v>25-34</v>
      </c>
      <c r="R2113" t="str">
        <f t="shared" si="65"/>
        <v>[msW2zpIN7up]|25-34|Male|TX_CURR_SUBNAT.T_1|CY2024Q3</v>
      </c>
    </row>
    <row r="2114" spans="4:18" x14ac:dyDescent="0.2">
      <c r="D2114" t="s">
        <v>84</v>
      </c>
      <c r="E2114" t="s">
        <v>85</v>
      </c>
      <c r="F2114" t="s">
        <v>86</v>
      </c>
      <c r="G2114" t="s">
        <v>146</v>
      </c>
      <c r="H2114" t="s">
        <v>147</v>
      </c>
      <c r="I2114" t="s">
        <v>43</v>
      </c>
      <c r="J2114" t="s">
        <v>44</v>
      </c>
      <c r="K2114" t="s">
        <v>48</v>
      </c>
      <c r="L2114" t="s">
        <v>49</v>
      </c>
      <c r="M2114" t="s">
        <v>140</v>
      </c>
      <c r="N2114">
        <v>2821</v>
      </c>
      <c r="O2114">
        <v>3.1782734E-2</v>
      </c>
      <c r="P2114">
        <v>1.2724447999999999E-2</v>
      </c>
      <c r="Q2114" t="str">
        <f t="shared" si="64"/>
        <v>35-49</v>
      </c>
      <c r="R2114" t="str">
        <f t="shared" si="65"/>
        <v>[msW2zpIN7up]|35-49|Male|TX_CURR_SUBNAT.T_1|CY2024Q3</v>
      </c>
    </row>
    <row r="2115" spans="4:18" x14ac:dyDescent="0.2">
      <c r="D2115" t="s">
        <v>84</v>
      </c>
      <c r="E2115" t="s">
        <v>85</v>
      </c>
      <c r="F2115" t="s">
        <v>86</v>
      </c>
      <c r="G2115" t="s">
        <v>146</v>
      </c>
      <c r="H2115" t="s">
        <v>147</v>
      </c>
      <c r="I2115" t="s">
        <v>45</v>
      </c>
      <c r="J2115" t="s">
        <v>46</v>
      </c>
      <c r="K2115" t="s">
        <v>48</v>
      </c>
      <c r="L2115" t="s">
        <v>49</v>
      </c>
      <c r="M2115" t="s">
        <v>140</v>
      </c>
      <c r="N2115">
        <v>2116</v>
      </c>
      <c r="O2115">
        <v>3.9314543E-2</v>
      </c>
      <c r="P2115">
        <v>1.2724447999999999E-2</v>
      </c>
      <c r="Q2115" t="str">
        <f t="shared" ref="Q2115:Q2178" si="66">SUBSTITUTE(SUBSTITUTE($I2115,CHAR(61),""),CHAR(34),"")</f>
        <v>50+</v>
      </c>
      <c r="R2115" t="str">
        <f t="shared" ref="R2115:R2178" si="67">IF($D2115&lt;&gt;"","["&amp;$E2115&amp;"]"&amp;"|"&amp;$Q2115&amp;"|"&amp;$K2115&amp;"|"&amp;$G2115&amp;"|"&amp;IF($G2115="TX_CURR_SUBNAT.R","CY2023Q4",$M2115),"")</f>
        <v>[msW2zpIN7up]|50+|Male|TX_CURR_SUBNAT.T_1|CY2024Q3</v>
      </c>
    </row>
    <row r="2116" spans="4:18" x14ac:dyDescent="0.2">
      <c r="D2116" t="s">
        <v>87</v>
      </c>
      <c r="E2116" t="s">
        <v>88</v>
      </c>
      <c r="F2116" t="s">
        <v>89</v>
      </c>
      <c r="G2116" t="s">
        <v>146</v>
      </c>
      <c r="H2116" t="s">
        <v>147</v>
      </c>
      <c r="I2116" t="s">
        <v>28</v>
      </c>
      <c r="J2116" t="s">
        <v>29</v>
      </c>
      <c r="K2116" t="s">
        <v>30</v>
      </c>
      <c r="L2116" t="s">
        <v>31</v>
      </c>
      <c r="M2116" t="s">
        <v>140</v>
      </c>
      <c r="N2116">
        <v>44</v>
      </c>
      <c r="O2116">
        <v>2.7695332E-2</v>
      </c>
      <c r="P2116">
        <v>4.618352E-3</v>
      </c>
      <c r="Q2116" t="str">
        <f t="shared" si="66"/>
        <v>&lt;01</v>
      </c>
      <c r="R2116" t="str">
        <f t="shared" si="67"/>
        <v>[ScR9iFKAasW]|&lt;01|Female|TX_CURR_SUBNAT.T_1|CY2024Q3</v>
      </c>
    </row>
    <row r="2117" spans="4:18" x14ac:dyDescent="0.2">
      <c r="D2117" t="s">
        <v>87</v>
      </c>
      <c r="E2117" t="s">
        <v>88</v>
      </c>
      <c r="F2117" t="s">
        <v>89</v>
      </c>
      <c r="G2117" t="s">
        <v>146</v>
      </c>
      <c r="H2117" t="s">
        <v>147</v>
      </c>
      <c r="I2117" t="s">
        <v>33</v>
      </c>
      <c r="J2117" t="s">
        <v>34</v>
      </c>
      <c r="K2117" t="s">
        <v>30</v>
      </c>
      <c r="L2117" t="s">
        <v>31</v>
      </c>
      <c r="M2117" t="s">
        <v>140</v>
      </c>
      <c r="N2117">
        <v>826</v>
      </c>
      <c r="O2117">
        <v>2.1956986000000001E-2</v>
      </c>
      <c r="P2117">
        <v>4.618352E-3</v>
      </c>
      <c r="Q2117" t="str">
        <f t="shared" si="66"/>
        <v>01-09</v>
      </c>
      <c r="R2117" t="str">
        <f t="shared" si="67"/>
        <v>[ScR9iFKAasW]|01-09|Female|TX_CURR_SUBNAT.T_1|CY2024Q3</v>
      </c>
    </row>
    <row r="2118" spans="4:18" x14ac:dyDescent="0.2">
      <c r="D2118" t="s">
        <v>87</v>
      </c>
      <c r="E2118" t="s">
        <v>88</v>
      </c>
      <c r="F2118" t="s">
        <v>89</v>
      </c>
      <c r="G2118" t="s">
        <v>146</v>
      </c>
      <c r="H2118" t="s">
        <v>147</v>
      </c>
      <c r="I2118" t="s">
        <v>36</v>
      </c>
      <c r="J2118" t="s">
        <v>37</v>
      </c>
      <c r="K2118" t="s">
        <v>30</v>
      </c>
      <c r="L2118" t="s">
        <v>31</v>
      </c>
      <c r="M2118" t="s">
        <v>140</v>
      </c>
      <c r="N2118">
        <v>1026</v>
      </c>
      <c r="O2118">
        <v>1.6329928E-2</v>
      </c>
      <c r="P2118">
        <v>4.618352E-3</v>
      </c>
      <c r="Q2118" t="str">
        <f t="shared" si="66"/>
        <v>10-14</v>
      </c>
      <c r="R2118" t="str">
        <f t="shared" si="67"/>
        <v>[ScR9iFKAasW]|10-14|Female|TX_CURR_SUBNAT.T_1|CY2024Q3</v>
      </c>
    </row>
    <row r="2119" spans="4:18" x14ac:dyDescent="0.2">
      <c r="D2119" t="s">
        <v>87</v>
      </c>
      <c r="E2119" t="s">
        <v>88</v>
      </c>
      <c r="F2119" t="s">
        <v>89</v>
      </c>
      <c r="G2119" t="s">
        <v>146</v>
      </c>
      <c r="H2119" t="s">
        <v>147</v>
      </c>
      <c r="I2119" t="s">
        <v>38</v>
      </c>
      <c r="J2119" t="s">
        <v>39</v>
      </c>
      <c r="K2119" t="s">
        <v>30</v>
      </c>
      <c r="L2119" t="s">
        <v>31</v>
      </c>
      <c r="M2119" t="s">
        <v>140</v>
      </c>
      <c r="N2119">
        <v>5158</v>
      </c>
      <c r="O2119">
        <v>5.7815721E-2</v>
      </c>
      <c r="P2119">
        <v>4.618352E-3</v>
      </c>
      <c r="Q2119" t="str">
        <f t="shared" si="66"/>
        <v>15-24</v>
      </c>
      <c r="R2119" t="str">
        <f t="shared" si="67"/>
        <v>[ScR9iFKAasW]|15-24|Female|TX_CURR_SUBNAT.T_1|CY2024Q3</v>
      </c>
    </row>
    <row r="2120" spans="4:18" x14ac:dyDescent="0.2">
      <c r="D2120" t="s">
        <v>87</v>
      </c>
      <c r="E2120" t="s">
        <v>88</v>
      </c>
      <c r="F2120" t="s">
        <v>89</v>
      </c>
      <c r="G2120" t="s">
        <v>146</v>
      </c>
      <c r="H2120" t="s">
        <v>147</v>
      </c>
      <c r="I2120" t="s">
        <v>41</v>
      </c>
      <c r="J2120" t="s">
        <v>42</v>
      </c>
      <c r="K2120" t="s">
        <v>30</v>
      </c>
      <c r="L2120" t="s">
        <v>31</v>
      </c>
      <c r="M2120" t="s">
        <v>140</v>
      </c>
      <c r="N2120">
        <v>15911</v>
      </c>
      <c r="O2120">
        <v>3.3632299999999997E-2</v>
      </c>
      <c r="P2120">
        <v>4.618352E-3</v>
      </c>
      <c r="Q2120" t="str">
        <f t="shared" si="66"/>
        <v>25-34</v>
      </c>
      <c r="R2120" t="str">
        <f t="shared" si="67"/>
        <v>[ScR9iFKAasW]|25-34|Female|TX_CURR_SUBNAT.T_1|CY2024Q3</v>
      </c>
    </row>
    <row r="2121" spans="4:18" x14ac:dyDescent="0.2">
      <c r="D2121" t="s">
        <v>87</v>
      </c>
      <c r="E2121" t="s">
        <v>88</v>
      </c>
      <c r="F2121" t="s">
        <v>89</v>
      </c>
      <c r="G2121" t="s">
        <v>146</v>
      </c>
      <c r="H2121" t="s">
        <v>147</v>
      </c>
      <c r="I2121" t="s">
        <v>43</v>
      </c>
      <c r="J2121" t="s">
        <v>44</v>
      </c>
      <c r="K2121" t="s">
        <v>30</v>
      </c>
      <c r="L2121" t="s">
        <v>31</v>
      </c>
      <c r="M2121" t="s">
        <v>140</v>
      </c>
      <c r="N2121">
        <v>37627</v>
      </c>
      <c r="O2121">
        <v>1.7521761E-2</v>
      </c>
      <c r="P2121">
        <v>4.618352E-3</v>
      </c>
      <c r="Q2121" t="str">
        <f t="shared" si="66"/>
        <v>35-49</v>
      </c>
      <c r="R2121" t="str">
        <f t="shared" si="67"/>
        <v>[ScR9iFKAasW]|35-49|Female|TX_CURR_SUBNAT.T_1|CY2024Q3</v>
      </c>
    </row>
    <row r="2122" spans="4:18" x14ac:dyDescent="0.2">
      <c r="D2122" t="s">
        <v>87</v>
      </c>
      <c r="E2122" t="s">
        <v>88</v>
      </c>
      <c r="F2122" t="s">
        <v>89</v>
      </c>
      <c r="G2122" t="s">
        <v>146</v>
      </c>
      <c r="H2122" t="s">
        <v>147</v>
      </c>
      <c r="I2122" t="s">
        <v>45</v>
      </c>
      <c r="J2122" t="s">
        <v>46</v>
      </c>
      <c r="K2122" t="s">
        <v>30</v>
      </c>
      <c r="L2122" t="s">
        <v>31</v>
      </c>
      <c r="M2122" t="s">
        <v>140</v>
      </c>
      <c r="N2122">
        <v>12885</v>
      </c>
      <c r="O2122">
        <v>3.9191759E-2</v>
      </c>
      <c r="P2122">
        <v>4.618352E-3</v>
      </c>
      <c r="Q2122" t="str">
        <f t="shared" si="66"/>
        <v>50+</v>
      </c>
      <c r="R2122" t="str">
        <f t="shared" si="67"/>
        <v>[ScR9iFKAasW]|50+|Female|TX_CURR_SUBNAT.T_1|CY2024Q3</v>
      </c>
    </row>
    <row r="2123" spans="4:18" x14ac:dyDescent="0.2">
      <c r="D2123" t="s">
        <v>87</v>
      </c>
      <c r="E2123" t="s">
        <v>88</v>
      </c>
      <c r="F2123" t="s">
        <v>89</v>
      </c>
      <c r="G2123" t="s">
        <v>146</v>
      </c>
      <c r="H2123" t="s">
        <v>147</v>
      </c>
      <c r="I2123" t="s">
        <v>28</v>
      </c>
      <c r="J2123" t="s">
        <v>29</v>
      </c>
      <c r="K2123" t="s">
        <v>48</v>
      </c>
      <c r="L2123" t="s">
        <v>49</v>
      </c>
      <c r="M2123" t="s">
        <v>140</v>
      </c>
      <c r="N2123">
        <v>45</v>
      </c>
      <c r="O2123">
        <v>1.7800541999999999E-2</v>
      </c>
      <c r="P2123">
        <v>4.618352E-3</v>
      </c>
      <c r="Q2123" t="str">
        <f t="shared" si="66"/>
        <v>&lt;01</v>
      </c>
      <c r="R2123" t="str">
        <f t="shared" si="67"/>
        <v>[ScR9iFKAasW]|&lt;01|Male|TX_CURR_SUBNAT.T_1|CY2024Q3</v>
      </c>
    </row>
    <row r="2124" spans="4:18" x14ac:dyDescent="0.2">
      <c r="D2124" t="s">
        <v>87</v>
      </c>
      <c r="E2124" t="s">
        <v>88</v>
      </c>
      <c r="F2124" t="s">
        <v>89</v>
      </c>
      <c r="G2124" t="s">
        <v>146</v>
      </c>
      <c r="H2124" t="s">
        <v>147</v>
      </c>
      <c r="I2124" t="s">
        <v>33</v>
      </c>
      <c r="J2124" t="s">
        <v>34</v>
      </c>
      <c r="K2124" t="s">
        <v>48</v>
      </c>
      <c r="L2124" t="s">
        <v>49</v>
      </c>
      <c r="M2124" t="s">
        <v>140</v>
      </c>
      <c r="N2124">
        <v>836</v>
      </c>
      <c r="O2124">
        <v>1.6046828999999999E-2</v>
      </c>
      <c r="P2124">
        <v>4.618352E-3</v>
      </c>
      <c r="Q2124" t="str">
        <f t="shared" si="66"/>
        <v>01-09</v>
      </c>
      <c r="R2124" t="str">
        <f t="shared" si="67"/>
        <v>[ScR9iFKAasW]|01-09|Male|TX_CURR_SUBNAT.T_1|CY2024Q3</v>
      </c>
    </row>
    <row r="2125" spans="4:18" x14ac:dyDescent="0.2">
      <c r="D2125" t="s">
        <v>87</v>
      </c>
      <c r="E2125" t="s">
        <v>88</v>
      </c>
      <c r="F2125" t="s">
        <v>89</v>
      </c>
      <c r="G2125" t="s">
        <v>146</v>
      </c>
      <c r="H2125" t="s">
        <v>147</v>
      </c>
      <c r="I2125" t="s">
        <v>36</v>
      </c>
      <c r="J2125" t="s">
        <v>37</v>
      </c>
      <c r="K2125" t="s">
        <v>48</v>
      </c>
      <c r="L2125" t="s">
        <v>49</v>
      </c>
      <c r="M2125" t="s">
        <v>140</v>
      </c>
      <c r="N2125">
        <v>1004</v>
      </c>
      <c r="O2125">
        <v>1.5838960999999999E-2</v>
      </c>
      <c r="P2125">
        <v>4.618352E-3</v>
      </c>
      <c r="Q2125" t="str">
        <f t="shared" si="66"/>
        <v>10-14</v>
      </c>
      <c r="R2125" t="str">
        <f t="shared" si="67"/>
        <v>[ScR9iFKAasW]|10-14|Male|TX_CURR_SUBNAT.T_1|CY2024Q3</v>
      </c>
    </row>
    <row r="2126" spans="4:18" x14ac:dyDescent="0.2">
      <c r="D2126" t="s">
        <v>87</v>
      </c>
      <c r="E2126" t="s">
        <v>88</v>
      </c>
      <c r="F2126" t="s">
        <v>89</v>
      </c>
      <c r="G2126" t="s">
        <v>146</v>
      </c>
      <c r="H2126" t="s">
        <v>147</v>
      </c>
      <c r="I2126" t="s">
        <v>38</v>
      </c>
      <c r="J2126" t="s">
        <v>39</v>
      </c>
      <c r="K2126" t="s">
        <v>48</v>
      </c>
      <c r="L2126" t="s">
        <v>49</v>
      </c>
      <c r="M2126" t="s">
        <v>140</v>
      </c>
      <c r="N2126">
        <v>3446</v>
      </c>
      <c r="O2126">
        <v>6.9233142999999997E-2</v>
      </c>
      <c r="P2126">
        <v>4.618352E-3</v>
      </c>
      <c r="Q2126" t="str">
        <f t="shared" si="66"/>
        <v>15-24</v>
      </c>
      <c r="R2126" t="str">
        <f t="shared" si="67"/>
        <v>[ScR9iFKAasW]|15-24|Male|TX_CURR_SUBNAT.T_1|CY2024Q3</v>
      </c>
    </row>
    <row r="2127" spans="4:18" x14ac:dyDescent="0.2">
      <c r="D2127" t="s">
        <v>87</v>
      </c>
      <c r="E2127" t="s">
        <v>88</v>
      </c>
      <c r="F2127" t="s">
        <v>89</v>
      </c>
      <c r="G2127" t="s">
        <v>146</v>
      </c>
      <c r="H2127" t="s">
        <v>147</v>
      </c>
      <c r="I2127" t="s">
        <v>41</v>
      </c>
      <c r="J2127" t="s">
        <v>42</v>
      </c>
      <c r="K2127" t="s">
        <v>48</v>
      </c>
      <c r="L2127" t="s">
        <v>49</v>
      </c>
      <c r="M2127" t="s">
        <v>140</v>
      </c>
      <c r="N2127">
        <v>5832</v>
      </c>
      <c r="O2127">
        <v>6.2390396000000001E-2</v>
      </c>
      <c r="P2127">
        <v>4.618352E-3</v>
      </c>
      <c r="Q2127" t="str">
        <f t="shared" si="66"/>
        <v>25-34</v>
      </c>
      <c r="R2127" t="str">
        <f t="shared" si="67"/>
        <v>[ScR9iFKAasW]|25-34|Male|TX_CURR_SUBNAT.T_1|CY2024Q3</v>
      </c>
    </row>
    <row r="2128" spans="4:18" x14ac:dyDescent="0.2">
      <c r="D2128" t="s">
        <v>87</v>
      </c>
      <c r="E2128" t="s">
        <v>88</v>
      </c>
      <c r="F2128" t="s">
        <v>89</v>
      </c>
      <c r="G2128" t="s">
        <v>146</v>
      </c>
      <c r="H2128" t="s">
        <v>147</v>
      </c>
      <c r="I2128" t="s">
        <v>43</v>
      </c>
      <c r="J2128" t="s">
        <v>44</v>
      </c>
      <c r="K2128" t="s">
        <v>48</v>
      </c>
      <c r="L2128" t="s">
        <v>49</v>
      </c>
      <c r="M2128" t="s">
        <v>140</v>
      </c>
      <c r="N2128">
        <v>22977</v>
      </c>
      <c r="O2128">
        <v>2.5451629E-2</v>
      </c>
      <c r="P2128">
        <v>4.618352E-3</v>
      </c>
      <c r="Q2128" t="str">
        <f t="shared" si="66"/>
        <v>35-49</v>
      </c>
      <c r="R2128" t="str">
        <f t="shared" si="67"/>
        <v>[ScR9iFKAasW]|35-49|Male|TX_CURR_SUBNAT.T_1|CY2024Q3</v>
      </c>
    </row>
    <row r="2129" spans="4:18" x14ac:dyDescent="0.2">
      <c r="D2129" t="s">
        <v>87</v>
      </c>
      <c r="E2129" t="s">
        <v>88</v>
      </c>
      <c r="F2129" t="s">
        <v>89</v>
      </c>
      <c r="G2129" t="s">
        <v>146</v>
      </c>
      <c r="H2129" t="s">
        <v>147</v>
      </c>
      <c r="I2129" t="s">
        <v>45</v>
      </c>
      <c r="J2129" t="s">
        <v>46</v>
      </c>
      <c r="K2129" t="s">
        <v>48</v>
      </c>
      <c r="L2129" t="s">
        <v>49</v>
      </c>
      <c r="M2129" t="s">
        <v>140</v>
      </c>
      <c r="N2129">
        <v>12920</v>
      </c>
      <c r="O2129">
        <v>3.6301847999999998E-2</v>
      </c>
      <c r="P2129">
        <v>4.618352E-3</v>
      </c>
      <c r="Q2129" t="str">
        <f t="shared" si="66"/>
        <v>50+</v>
      </c>
      <c r="R2129" t="str">
        <f t="shared" si="67"/>
        <v>[ScR9iFKAasW]|50+|Male|TX_CURR_SUBNAT.T_1|CY2024Q3</v>
      </c>
    </row>
    <row r="2130" spans="4:18" x14ac:dyDescent="0.2">
      <c r="D2130" t="s">
        <v>90</v>
      </c>
      <c r="E2130" t="s">
        <v>91</v>
      </c>
      <c r="F2130" t="s">
        <v>92</v>
      </c>
      <c r="G2130" t="s">
        <v>146</v>
      </c>
      <c r="H2130" t="s">
        <v>147</v>
      </c>
      <c r="I2130" t="s">
        <v>28</v>
      </c>
      <c r="J2130" t="s">
        <v>29</v>
      </c>
      <c r="K2130" t="s">
        <v>30</v>
      </c>
      <c r="L2130" t="s">
        <v>31</v>
      </c>
      <c r="M2130" t="s">
        <v>140</v>
      </c>
      <c r="N2130">
        <v>7</v>
      </c>
      <c r="O2130">
        <v>5.9330731999999997E-2</v>
      </c>
      <c r="P2130">
        <v>1.6857308000000001E-2</v>
      </c>
      <c r="Q2130" t="str">
        <f t="shared" si="66"/>
        <v>&lt;01</v>
      </c>
      <c r="R2130" t="str">
        <f t="shared" si="67"/>
        <v>[kxuuIFpOXyO]|&lt;01|Female|TX_CURR_SUBNAT.T_1|CY2024Q3</v>
      </c>
    </row>
    <row r="2131" spans="4:18" x14ac:dyDescent="0.2">
      <c r="D2131" t="s">
        <v>90</v>
      </c>
      <c r="E2131" t="s">
        <v>91</v>
      </c>
      <c r="F2131" t="s">
        <v>92</v>
      </c>
      <c r="G2131" t="s">
        <v>146</v>
      </c>
      <c r="H2131" t="s">
        <v>147</v>
      </c>
      <c r="I2131" t="s">
        <v>33</v>
      </c>
      <c r="J2131" t="s">
        <v>34</v>
      </c>
      <c r="K2131" t="s">
        <v>30</v>
      </c>
      <c r="L2131" t="s">
        <v>31</v>
      </c>
      <c r="M2131" t="s">
        <v>140</v>
      </c>
      <c r="N2131">
        <v>141</v>
      </c>
      <c r="O2131">
        <v>5.0732145999999999E-2</v>
      </c>
      <c r="P2131">
        <v>1.6857308000000001E-2</v>
      </c>
      <c r="Q2131" t="str">
        <f t="shared" si="66"/>
        <v>01-09</v>
      </c>
      <c r="R2131" t="str">
        <f t="shared" si="67"/>
        <v>[kxuuIFpOXyO]|01-09|Female|TX_CURR_SUBNAT.T_1|CY2024Q3</v>
      </c>
    </row>
    <row r="2132" spans="4:18" x14ac:dyDescent="0.2">
      <c r="D2132" t="s">
        <v>90</v>
      </c>
      <c r="E2132" t="s">
        <v>91</v>
      </c>
      <c r="F2132" t="s">
        <v>92</v>
      </c>
      <c r="G2132" t="s">
        <v>146</v>
      </c>
      <c r="H2132" t="s">
        <v>147</v>
      </c>
      <c r="I2132" t="s">
        <v>36</v>
      </c>
      <c r="J2132" t="s">
        <v>37</v>
      </c>
      <c r="K2132" t="s">
        <v>30</v>
      </c>
      <c r="L2132" t="s">
        <v>31</v>
      </c>
      <c r="M2132" t="s">
        <v>140</v>
      </c>
      <c r="N2132">
        <v>189</v>
      </c>
      <c r="O2132">
        <v>4.2047001000000001E-2</v>
      </c>
      <c r="P2132">
        <v>1.6857308000000001E-2</v>
      </c>
      <c r="Q2132" t="str">
        <f t="shared" si="66"/>
        <v>10-14</v>
      </c>
      <c r="R2132" t="str">
        <f t="shared" si="67"/>
        <v>[kxuuIFpOXyO]|10-14|Female|TX_CURR_SUBNAT.T_1|CY2024Q3</v>
      </c>
    </row>
    <row r="2133" spans="4:18" x14ac:dyDescent="0.2">
      <c r="D2133" t="s">
        <v>90</v>
      </c>
      <c r="E2133" t="s">
        <v>91</v>
      </c>
      <c r="F2133" t="s">
        <v>92</v>
      </c>
      <c r="G2133" t="s">
        <v>146</v>
      </c>
      <c r="H2133" t="s">
        <v>147</v>
      </c>
      <c r="I2133" t="s">
        <v>38</v>
      </c>
      <c r="J2133" t="s">
        <v>39</v>
      </c>
      <c r="K2133" t="s">
        <v>30</v>
      </c>
      <c r="L2133" t="s">
        <v>31</v>
      </c>
      <c r="M2133" t="s">
        <v>140</v>
      </c>
      <c r="N2133">
        <v>879</v>
      </c>
      <c r="O2133">
        <v>6.3253190000000001E-2</v>
      </c>
      <c r="P2133">
        <v>1.6857308000000001E-2</v>
      </c>
      <c r="Q2133" t="str">
        <f t="shared" si="66"/>
        <v>15-24</v>
      </c>
      <c r="R2133" t="str">
        <f t="shared" si="67"/>
        <v>[kxuuIFpOXyO]|15-24|Female|TX_CURR_SUBNAT.T_1|CY2024Q3</v>
      </c>
    </row>
    <row r="2134" spans="4:18" x14ac:dyDescent="0.2">
      <c r="D2134" t="s">
        <v>90</v>
      </c>
      <c r="E2134" t="s">
        <v>91</v>
      </c>
      <c r="F2134" t="s">
        <v>92</v>
      </c>
      <c r="G2134" t="s">
        <v>146</v>
      </c>
      <c r="H2134" t="s">
        <v>147</v>
      </c>
      <c r="I2134" t="s">
        <v>41</v>
      </c>
      <c r="J2134" t="s">
        <v>42</v>
      </c>
      <c r="K2134" t="s">
        <v>30</v>
      </c>
      <c r="L2134" t="s">
        <v>31</v>
      </c>
      <c r="M2134" t="s">
        <v>140</v>
      </c>
      <c r="N2134">
        <v>2317</v>
      </c>
      <c r="O2134">
        <v>4.1200911999999999E-2</v>
      </c>
      <c r="P2134">
        <v>1.6857308000000001E-2</v>
      </c>
      <c r="Q2134" t="str">
        <f t="shared" si="66"/>
        <v>25-34</v>
      </c>
      <c r="R2134" t="str">
        <f t="shared" si="67"/>
        <v>[kxuuIFpOXyO]|25-34|Female|TX_CURR_SUBNAT.T_1|CY2024Q3</v>
      </c>
    </row>
    <row r="2135" spans="4:18" x14ac:dyDescent="0.2">
      <c r="D2135" t="s">
        <v>90</v>
      </c>
      <c r="E2135" t="s">
        <v>91</v>
      </c>
      <c r="F2135" t="s">
        <v>92</v>
      </c>
      <c r="G2135" t="s">
        <v>146</v>
      </c>
      <c r="H2135" t="s">
        <v>147</v>
      </c>
      <c r="I2135" t="s">
        <v>43</v>
      </c>
      <c r="J2135" t="s">
        <v>44</v>
      </c>
      <c r="K2135" t="s">
        <v>30</v>
      </c>
      <c r="L2135" t="s">
        <v>31</v>
      </c>
      <c r="M2135" t="s">
        <v>140</v>
      </c>
      <c r="N2135">
        <v>6292</v>
      </c>
      <c r="O2135">
        <v>2.5969749E-2</v>
      </c>
      <c r="P2135">
        <v>1.6857308000000001E-2</v>
      </c>
      <c r="Q2135" t="str">
        <f t="shared" si="66"/>
        <v>35-49</v>
      </c>
      <c r="R2135" t="str">
        <f t="shared" si="67"/>
        <v>[kxuuIFpOXyO]|35-49|Female|TX_CURR_SUBNAT.T_1|CY2024Q3</v>
      </c>
    </row>
    <row r="2136" spans="4:18" x14ac:dyDescent="0.2">
      <c r="D2136" t="s">
        <v>90</v>
      </c>
      <c r="E2136" t="s">
        <v>91</v>
      </c>
      <c r="F2136" t="s">
        <v>92</v>
      </c>
      <c r="G2136" t="s">
        <v>146</v>
      </c>
      <c r="H2136" t="s">
        <v>147</v>
      </c>
      <c r="I2136" t="s">
        <v>45</v>
      </c>
      <c r="J2136" t="s">
        <v>46</v>
      </c>
      <c r="K2136" t="s">
        <v>30</v>
      </c>
      <c r="L2136" t="s">
        <v>31</v>
      </c>
      <c r="M2136" t="s">
        <v>140</v>
      </c>
      <c r="N2136">
        <v>2917</v>
      </c>
      <c r="O2136">
        <v>4.3005223000000002E-2</v>
      </c>
      <c r="P2136">
        <v>1.6857308000000001E-2</v>
      </c>
      <c r="Q2136" t="str">
        <f t="shared" si="66"/>
        <v>50+</v>
      </c>
      <c r="R2136" t="str">
        <f t="shared" si="67"/>
        <v>[kxuuIFpOXyO]|50+|Female|TX_CURR_SUBNAT.T_1|CY2024Q3</v>
      </c>
    </row>
    <row r="2137" spans="4:18" x14ac:dyDescent="0.2">
      <c r="D2137" t="s">
        <v>90</v>
      </c>
      <c r="E2137" t="s">
        <v>91</v>
      </c>
      <c r="F2137" t="s">
        <v>92</v>
      </c>
      <c r="G2137" t="s">
        <v>146</v>
      </c>
      <c r="H2137" t="s">
        <v>147</v>
      </c>
      <c r="I2137" t="s">
        <v>28</v>
      </c>
      <c r="J2137" t="s">
        <v>29</v>
      </c>
      <c r="K2137" t="s">
        <v>48</v>
      </c>
      <c r="L2137" t="s">
        <v>49</v>
      </c>
      <c r="M2137" t="s">
        <v>140</v>
      </c>
      <c r="N2137">
        <v>7</v>
      </c>
      <c r="O2137">
        <v>4.1039283000000003E-2</v>
      </c>
      <c r="P2137">
        <v>1.6857308000000001E-2</v>
      </c>
      <c r="Q2137" t="str">
        <f t="shared" si="66"/>
        <v>&lt;01</v>
      </c>
      <c r="R2137" t="str">
        <f t="shared" si="67"/>
        <v>[kxuuIFpOXyO]|&lt;01|Male|TX_CURR_SUBNAT.T_1|CY2024Q3</v>
      </c>
    </row>
    <row r="2138" spans="4:18" x14ac:dyDescent="0.2">
      <c r="D2138" t="s">
        <v>90</v>
      </c>
      <c r="E2138" t="s">
        <v>91</v>
      </c>
      <c r="F2138" t="s">
        <v>92</v>
      </c>
      <c r="G2138" t="s">
        <v>146</v>
      </c>
      <c r="H2138" t="s">
        <v>147</v>
      </c>
      <c r="I2138" t="s">
        <v>33</v>
      </c>
      <c r="J2138" t="s">
        <v>34</v>
      </c>
      <c r="K2138" t="s">
        <v>48</v>
      </c>
      <c r="L2138" t="s">
        <v>49</v>
      </c>
      <c r="M2138" t="s">
        <v>140</v>
      </c>
      <c r="N2138">
        <v>146</v>
      </c>
      <c r="O2138">
        <v>3.8389341E-2</v>
      </c>
      <c r="P2138">
        <v>1.6857308000000001E-2</v>
      </c>
      <c r="Q2138" t="str">
        <f t="shared" si="66"/>
        <v>01-09</v>
      </c>
      <c r="R2138" t="str">
        <f t="shared" si="67"/>
        <v>[kxuuIFpOXyO]|01-09|Male|TX_CURR_SUBNAT.T_1|CY2024Q3</v>
      </c>
    </row>
    <row r="2139" spans="4:18" x14ac:dyDescent="0.2">
      <c r="D2139" t="s">
        <v>90</v>
      </c>
      <c r="E2139" t="s">
        <v>91</v>
      </c>
      <c r="F2139" t="s">
        <v>92</v>
      </c>
      <c r="G2139" t="s">
        <v>146</v>
      </c>
      <c r="H2139" t="s">
        <v>147</v>
      </c>
      <c r="I2139" t="s">
        <v>36</v>
      </c>
      <c r="J2139" t="s">
        <v>37</v>
      </c>
      <c r="K2139" t="s">
        <v>48</v>
      </c>
      <c r="L2139" t="s">
        <v>49</v>
      </c>
      <c r="M2139" t="s">
        <v>140</v>
      </c>
      <c r="N2139">
        <v>194</v>
      </c>
      <c r="O2139">
        <v>3.7531720999999997E-2</v>
      </c>
      <c r="P2139">
        <v>1.6857308000000001E-2</v>
      </c>
      <c r="Q2139" t="str">
        <f t="shared" si="66"/>
        <v>10-14</v>
      </c>
      <c r="R2139" t="str">
        <f t="shared" si="67"/>
        <v>[kxuuIFpOXyO]|10-14|Male|TX_CURR_SUBNAT.T_1|CY2024Q3</v>
      </c>
    </row>
    <row r="2140" spans="4:18" x14ac:dyDescent="0.2">
      <c r="D2140" t="s">
        <v>90</v>
      </c>
      <c r="E2140" t="s">
        <v>91</v>
      </c>
      <c r="F2140" t="s">
        <v>92</v>
      </c>
      <c r="G2140" t="s">
        <v>146</v>
      </c>
      <c r="H2140" t="s">
        <v>147</v>
      </c>
      <c r="I2140" t="s">
        <v>38</v>
      </c>
      <c r="J2140" t="s">
        <v>39</v>
      </c>
      <c r="K2140" t="s">
        <v>48</v>
      </c>
      <c r="L2140" t="s">
        <v>49</v>
      </c>
      <c r="M2140" t="s">
        <v>140</v>
      </c>
      <c r="N2140">
        <v>641</v>
      </c>
      <c r="O2140">
        <v>7.5028822999999994E-2</v>
      </c>
      <c r="P2140">
        <v>1.6857308000000001E-2</v>
      </c>
      <c r="Q2140" t="str">
        <f t="shared" si="66"/>
        <v>15-24</v>
      </c>
      <c r="R2140" t="str">
        <f t="shared" si="67"/>
        <v>[kxuuIFpOXyO]|15-24|Male|TX_CURR_SUBNAT.T_1|CY2024Q3</v>
      </c>
    </row>
    <row r="2141" spans="4:18" x14ac:dyDescent="0.2">
      <c r="D2141" t="s">
        <v>90</v>
      </c>
      <c r="E2141" t="s">
        <v>91</v>
      </c>
      <c r="F2141" t="s">
        <v>92</v>
      </c>
      <c r="G2141" t="s">
        <v>146</v>
      </c>
      <c r="H2141" t="s">
        <v>147</v>
      </c>
      <c r="I2141" t="s">
        <v>41</v>
      </c>
      <c r="J2141" t="s">
        <v>42</v>
      </c>
      <c r="K2141" t="s">
        <v>48</v>
      </c>
      <c r="L2141" t="s">
        <v>49</v>
      </c>
      <c r="M2141" t="s">
        <v>140</v>
      </c>
      <c r="N2141">
        <v>859</v>
      </c>
      <c r="O2141">
        <v>6.7263109000000001E-2</v>
      </c>
      <c r="P2141">
        <v>1.6857308000000001E-2</v>
      </c>
      <c r="Q2141" t="str">
        <f t="shared" si="66"/>
        <v>25-34</v>
      </c>
      <c r="R2141" t="str">
        <f t="shared" si="67"/>
        <v>[kxuuIFpOXyO]|25-34|Male|TX_CURR_SUBNAT.T_1|CY2024Q3</v>
      </c>
    </row>
    <row r="2142" spans="4:18" x14ac:dyDescent="0.2">
      <c r="D2142" t="s">
        <v>90</v>
      </c>
      <c r="E2142" t="s">
        <v>91</v>
      </c>
      <c r="F2142" t="s">
        <v>92</v>
      </c>
      <c r="G2142" t="s">
        <v>146</v>
      </c>
      <c r="H2142" t="s">
        <v>147</v>
      </c>
      <c r="I2142" t="s">
        <v>43</v>
      </c>
      <c r="J2142" t="s">
        <v>44</v>
      </c>
      <c r="K2142" t="s">
        <v>48</v>
      </c>
      <c r="L2142" t="s">
        <v>49</v>
      </c>
      <c r="M2142" t="s">
        <v>140</v>
      </c>
      <c r="N2142">
        <v>3493</v>
      </c>
      <c r="O2142">
        <v>3.3639395000000002E-2</v>
      </c>
      <c r="P2142">
        <v>1.6857308000000001E-2</v>
      </c>
      <c r="Q2142" t="str">
        <f t="shared" si="66"/>
        <v>35-49</v>
      </c>
      <c r="R2142" t="str">
        <f t="shared" si="67"/>
        <v>[kxuuIFpOXyO]|35-49|Male|TX_CURR_SUBNAT.T_1|CY2024Q3</v>
      </c>
    </row>
    <row r="2143" spans="4:18" x14ac:dyDescent="0.2">
      <c r="D2143" t="s">
        <v>90</v>
      </c>
      <c r="E2143" t="s">
        <v>91</v>
      </c>
      <c r="F2143" t="s">
        <v>92</v>
      </c>
      <c r="G2143" t="s">
        <v>146</v>
      </c>
      <c r="H2143" t="s">
        <v>147</v>
      </c>
      <c r="I2143" t="s">
        <v>45</v>
      </c>
      <c r="J2143" t="s">
        <v>46</v>
      </c>
      <c r="K2143" t="s">
        <v>48</v>
      </c>
      <c r="L2143" t="s">
        <v>49</v>
      </c>
      <c r="M2143" t="s">
        <v>140</v>
      </c>
      <c r="N2143">
        <v>2711</v>
      </c>
      <c r="O2143">
        <v>4.0155283E-2</v>
      </c>
      <c r="P2143">
        <v>1.6857308000000001E-2</v>
      </c>
      <c r="Q2143" t="str">
        <f t="shared" si="66"/>
        <v>50+</v>
      </c>
      <c r="R2143" t="str">
        <f t="shared" si="67"/>
        <v>[kxuuIFpOXyO]|50+|Male|TX_CURR_SUBNAT.T_1|CY2024Q3</v>
      </c>
    </row>
    <row r="2144" spans="4:18" x14ac:dyDescent="0.2">
      <c r="D2144" t="s">
        <v>93</v>
      </c>
      <c r="E2144" t="s">
        <v>94</v>
      </c>
      <c r="F2144" t="s">
        <v>95</v>
      </c>
      <c r="G2144" t="s">
        <v>146</v>
      </c>
      <c r="H2144" t="s">
        <v>147</v>
      </c>
      <c r="I2144" t="s">
        <v>28</v>
      </c>
      <c r="J2144" t="s">
        <v>29</v>
      </c>
      <c r="K2144" t="s">
        <v>30</v>
      </c>
      <c r="L2144" t="s">
        <v>31</v>
      </c>
      <c r="M2144" t="s">
        <v>140</v>
      </c>
      <c r="N2144">
        <v>8</v>
      </c>
      <c r="O2144">
        <v>5.374437E-2</v>
      </c>
      <c r="P2144">
        <v>1.9908563000000001E-2</v>
      </c>
      <c r="Q2144" t="str">
        <f t="shared" si="66"/>
        <v>&lt;01</v>
      </c>
      <c r="R2144" t="str">
        <f t="shared" si="67"/>
        <v>[PekKUkKHAzY]|&lt;01|Female|TX_CURR_SUBNAT.T_1|CY2024Q3</v>
      </c>
    </row>
    <row r="2145" spans="4:18" x14ac:dyDescent="0.2">
      <c r="D2145" t="s">
        <v>93</v>
      </c>
      <c r="E2145" t="s">
        <v>94</v>
      </c>
      <c r="F2145" t="s">
        <v>95</v>
      </c>
      <c r="G2145" t="s">
        <v>146</v>
      </c>
      <c r="H2145" t="s">
        <v>147</v>
      </c>
      <c r="I2145" t="s">
        <v>33</v>
      </c>
      <c r="J2145" t="s">
        <v>34</v>
      </c>
      <c r="K2145" t="s">
        <v>30</v>
      </c>
      <c r="L2145" t="s">
        <v>31</v>
      </c>
      <c r="M2145" t="s">
        <v>140</v>
      </c>
      <c r="N2145">
        <v>169</v>
      </c>
      <c r="O2145">
        <v>4.7909971000000003E-2</v>
      </c>
      <c r="P2145">
        <v>1.9908563000000001E-2</v>
      </c>
      <c r="Q2145" t="str">
        <f t="shared" si="66"/>
        <v>01-09</v>
      </c>
      <c r="R2145" t="str">
        <f t="shared" si="67"/>
        <v>[PekKUkKHAzY]|01-09|Female|TX_CURR_SUBNAT.T_1|CY2024Q3</v>
      </c>
    </row>
    <row r="2146" spans="4:18" x14ac:dyDescent="0.2">
      <c r="D2146" t="s">
        <v>93</v>
      </c>
      <c r="E2146" t="s">
        <v>94</v>
      </c>
      <c r="F2146" t="s">
        <v>95</v>
      </c>
      <c r="G2146" t="s">
        <v>146</v>
      </c>
      <c r="H2146" t="s">
        <v>147</v>
      </c>
      <c r="I2146" t="s">
        <v>36</v>
      </c>
      <c r="J2146" t="s">
        <v>37</v>
      </c>
      <c r="K2146" t="s">
        <v>30</v>
      </c>
      <c r="L2146" t="s">
        <v>31</v>
      </c>
      <c r="M2146" t="s">
        <v>140</v>
      </c>
      <c r="N2146">
        <v>223</v>
      </c>
      <c r="O2146">
        <v>4.0775042999999997E-2</v>
      </c>
      <c r="P2146">
        <v>1.9908563000000001E-2</v>
      </c>
      <c r="Q2146" t="str">
        <f t="shared" si="66"/>
        <v>10-14</v>
      </c>
      <c r="R2146" t="str">
        <f t="shared" si="67"/>
        <v>[PekKUkKHAzY]|10-14|Female|TX_CURR_SUBNAT.T_1|CY2024Q3</v>
      </c>
    </row>
    <row r="2147" spans="4:18" x14ac:dyDescent="0.2">
      <c r="D2147" t="s">
        <v>93</v>
      </c>
      <c r="E2147" t="s">
        <v>94</v>
      </c>
      <c r="F2147" t="s">
        <v>95</v>
      </c>
      <c r="G2147" t="s">
        <v>146</v>
      </c>
      <c r="H2147" t="s">
        <v>147</v>
      </c>
      <c r="I2147" t="s">
        <v>38</v>
      </c>
      <c r="J2147" t="s">
        <v>39</v>
      </c>
      <c r="K2147" t="s">
        <v>30</v>
      </c>
      <c r="L2147" t="s">
        <v>31</v>
      </c>
      <c r="M2147" t="s">
        <v>140</v>
      </c>
      <c r="N2147">
        <v>981</v>
      </c>
      <c r="O2147">
        <v>6.2694202000000004E-2</v>
      </c>
      <c r="P2147">
        <v>1.9908563000000001E-2</v>
      </c>
      <c r="Q2147" t="str">
        <f t="shared" si="66"/>
        <v>15-24</v>
      </c>
      <c r="R2147" t="str">
        <f t="shared" si="67"/>
        <v>[PekKUkKHAzY]|15-24|Female|TX_CURR_SUBNAT.T_1|CY2024Q3</v>
      </c>
    </row>
    <row r="2148" spans="4:18" x14ac:dyDescent="0.2">
      <c r="D2148" t="s">
        <v>93</v>
      </c>
      <c r="E2148" t="s">
        <v>94</v>
      </c>
      <c r="F2148" t="s">
        <v>95</v>
      </c>
      <c r="G2148" t="s">
        <v>146</v>
      </c>
      <c r="H2148" t="s">
        <v>147</v>
      </c>
      <c r="I2148" t="s">
        <v>41</v>
      </c>
      <c r="J2148" t="s">
        <v>42</v>
      </c>
      <c r="K2148" t="s">
        <v>30</v>
      </c>
      <c r="L2148" t="s">
        <v>31</v>
      </c>
      <c r="M2148" t="s">
        <v>140</v>
      </c>
      <c r="N2148">
        <v>2578</v>
      </c>
      <c r="O2148">
        <v>4.2959008E-2</v>
      </c>
      <c r="P2148">
        <v>1.9908563000000001E-2</v>
      </c>
      <c r="Q2148" t="str">
        <f t="shared" si="66"/>
        <v>25-34</v>
      </c>
      <c r="R2148" t="str">
        <f t="shared" si="67"/>
        <v>[PekKUkKHAzY]|25-34|Female|TX_CURR_SUBNAT.T_1|CY2024Q3</v>
      </c>
    </row>
    <row r="2149" spans="4:18" x14ac:dyDescent="0.2">
      <c r="D2149" t="s">
        <v>93</v>
      </c>
      <c r="E2149" t="s">
        <v>94</v>
      </c>
      <c r="F2149" t="s">
        <v>95</v>
      </c>
      <c r="G2149" t="s">
        <v>146</v>
      </c>
      <c r="H2149" t="s">
        <v>147</v>
      </c>
      <c r="I2149" t="s">
        <v>43</v>
      </c>
      <c r="J2149" t="s">
        <v>44</v>
      </c>
      <c r="K2149" t="s">
        <v>30</v>
      </c>
      <c r="L2149" t="s">
        <v>31</v>
      </c>
      <c r="M2149" t="s">
        <v>140</v>
      </c>
      <c r="N2149">
        <v>7166</v>
      </c>
      <c r="O2149">
        <v>2.7459039000000001E-2</v>
      </c>
      <c r="P2149">
        <v>1.9908563000000001E-2</v>
      </c>
      <c r="Q2149" t="str">
        <f t="shared" si="66"/>
        <v>35-49</v>
      </c>
      <c r="R2149" t="str">
        <f t="shared" si="67"/>
        <v>[PekKUkKHAzY]|35-49|Female|TX_CURR_SUBNAT.T_1|CY2024Q3</v>
      </c>
    </row>
    <row r="2150" spans="4:18" x14ac:dyDescent="0.2">
      <c r="D2150" t="s">
        <v>93</v>
      </c>
      <c r="E2150" t="s">
        <v>94</v>
      </c>
      <c r="F2150" t="s">
        <v>95</v>
      </c>
      <c r="G2150" t="s">
        <v>146</v>
      </c>
      <c r="H2150" t="s">
        <v>147</v>
      </c>
      <c r="I2150" t="s">
        <v>45</v>
      </c>
      <c r="J2150" t="s">
        <v>46</v>
      </c>
      <c r="K2150" t="s">
        <v>30</v>
      </c>
      <c r="L2150" t="s">
        <v>31</v>
      </c>
      <c r="M2150" t="s">
        <v>140</v>
      </c>
      <c r="N2150">
        <v>3565</v>
      </c>
      <c r="O2150">
        <v>4.4808750000000001E-2</v>
      </c>
      <c r="P2150">
        <v>1.9908563000000001E-2</v>
      </c>
      <c r="Q2150" t="str">
        <f t="shared" si="66"/>
        <v>50+</v>
      </c>
      <c r="R2150" t="str">
        <f t="shared" si="67"/>
        <v>[PekKUkKHAzY]|50+|Female|TX_CURR_SUBNAT.T_1|CY2024Q3</v>
      </c>
    </row>
    <row r="2151" spans="4:18" x14ac:dyDescent="0.2">
      <c r="D2151" t="s">
        <v>93</v>
      </c>
      <c r="E2151" t="s">
        <v>94</v>
      </c>
      <c r="F2151" t="s">
        <v>95</v>
      </c>
      <c r="G2151" t="s">
        <v>146</v>
      </c>
      <c r="H2151" t="s">
        <v>147</v>
      </c>
      <c r="I2151" t="s">
        <v>28</v>
      </c>
      <c r="J2151" t="s">
        <v>29</v>
      </c>
      <c r="K2151" t="s">
        <v>48</v>
      </c>
      <c r="L2151" t="s">
        <v>49</v>
      </c>
      <c r="M2151" t="s">
        <v>140</v>
      </c>
      <c r="N2151">
        <v>8</v>
      </c>
      <c r="O2151">
        <v>3.9201759000000003E-2</v>
      </c>
      <c r="P2151">
        <v>1.9908563000000001E-2</v>
      </c>
      <c r="Q2151" t="str">
        <f t="shared" si="66"/>
        <v>&lt;01</v>
      </c>
      <c r="R2151" t="str">
        <f t="shared" si="67"/>
        <v>[PekKUkKHAzY]|&lt;01|Male|TX_CURR_SUBNAT.T_1|CY2024Q3</v>
      </c>
    </row>
    <row r="2152" spans="4:18" x14ac:dyDescent="0.2">
      <c r="D2152" t="s">
        <v>93</v>
      </c>
      <c r="E2152" t="s">
        <v>94</v>
      </c>
      <c r="F2152" t="s">
        <v>95</v>
      </c>
      <c r="G2152" t="s">
        <v>146</v>
      </c>
      <c r="H2152" t="s">
        <v>147</v>
      </c>
      <c r="I2152" t="s">
        <v>33</v>
      </c>
      <c r="J2152" t="s">
        <v>34</v>
      </c>
      <c r="K2152" t="s">
        <v>48</v>
      </c>
      <c r="L2152" t="s">
        <v>49</v>
      </c>
      <c r="M2152" t="s">
        <v>140</v>
      </c>
      <c r="N2152">
        <v>173</v>
      </c>
      <c r="O2152">
        <v>3.8340647999999998E-2</v>
      </c>
      <c r="P2152">
        <v>1.9908563000000001E-2</v>
      </c>
      <c r="Q2152" t="str">
        <f t="shared" si="66"/>
        <v>01-09</v>
      </c>
      <c r="R2152" t="str">
        <f t="shared" si="67"/>
        <v>[PekKUkKHAzY]|01-09|Male|TX_CURR_SUBNAT.T_1|CY2024Q3</v>
      </c>
    </row>
    <row r="2153" spans="4:18" x14ac:dyDescent="0.2">
      <c r="D2153" t="s">
        <v>93</v>
      </c>
      <c r="E2153" t="s">
        <v>94</v>
      </c>
      <c r="F2153" t="s">
        <v>95</v>
      </c>
      <c r="G2153" t="s">
        <v>146</v>
      </c>
      <c r="H2153" t="s">
        <v>147</v>
      </c>
      <c r="I2153" t="s">
        <v>36</v>
      </c>
      <c r="J2153" t="s">
        <v>37</v>
      </c>
      <c r="K2153" t="s">
        <v>48</v>
      </c>
      <c r="L2153" t="s">
        <v>49</v>
      </c>
      <c r="M2153" t="s">
        <v>140</v>
      </c>
      <c r="N2153">
        <v>226</v>
      </c>
      <c r="O2153">
        <v>3.7309874E-2</v>
      </c>
      <c r="P2153">
        <v>1.9908563000000001E-2</v>
      </c>
      <c r="Q2153" t="str">
        <f t="shared" si="66"/>
        <v>10-14</v>
      </c>
      <c r="R2153" t="str">
        <f t="shared" si="67"/>
        <v>[PekKUkKHAzY]|10-14|Male|TX_CURR_SUBNAT.T_1|CY2024Q3</v>
      </c>
    </row>
    <row r="2154" spans="4:18" x14ac:dyDescent="0.2">
      <c r="D2154" t="s">
        <v>93</v>
      </c>
      <c r="E2154" t="s">
        <v>94</v>
      </c>
      <c r="F2154" t="s">
        <v>95</v>
      </c>
      <c r="G2154" t="s">
        <v>146</v>
      </c>
      <c r="H2154" t="s">
        <v>147</v>
      </c>
      <c r="I2154" t="s">
        <v>38</v>
      </c>
      <c r="J2154" t="s">
        <v>39</v>
      </c>
      <c r="K2154" t="s">
        <v>48</v>
      </c>
      <c r="L2154" t="s">
        <v>49</v>
      </c>
      <c r="M2154" t="s">
        <v>140</v>
      </c>
      <c r="N2154">
        <v>680</v>
      </c>
      <c r="O2154">
        <v>7.0694271000000003E-2</v>
      </c>
      <c r="P2154">
        <v>1.9908563000000001E-2</v>
      </c>
      <c r="Q2154" t="str">
        <f t="shared" si="66"/>
        <v>15-24</v>
      </c>
      <c r="R2154" t="str">
        <f t="shared" si="67"/>
        <v>[PekKUkKHAzY]|15-24|Male|TX_CURR_SUBNAT.T_1|CY2024Q3</v>
      </c>
    </row>
    <row r="2155" spans="4:18" x14ac:dyDescent="0.2">
      <c r="D2155" t="s">
        <v>93</v>
      </c>
      <c r="E2155" t="s">
        <v>94</v>
      </c>
      <c r="F2155" t="s">
        <v>95</v>
      </c>
      <c r="G2155" t="s">
        <v>146</v>
      </c>
      <c r="H2155" t="s">
        <v>147</v>
      </c>
      <c r="I2155" t="s">
        <v>41</v>
      </c>
      <c r="J2155" t="s">
        <v>42</v>
      </c>
      <c r="K2155" t="s">
        <v>48</v>
      </c>
      <c r="L2155" t="s">
        <v>49</v>
      </c>
      <c r="M2155" t="s">
        <v>140</v>
      </c>
      <c r="N2155">
        <v>846</v>
      </c>
      <c r="O2155">
        <v>6.8869839000000002E-2</v>
      </c>
      <c r="P2155">
        <v>1.9908563000000001E-2</v>
      </c>
      <c r="Q2155" t="str">
        <f t="shared" si="66"/>
        <v>25-34</v>
      </c>
      <c r="R2155" t="str">
        <f t="shared" si="67"/>
        <v>[PekKUkKHAzY]|25-34|Male|TX_CURR_SUBNAT.T_1|CY2024Q3</v>
      </c>
    </row>
    <row r="2156" spans="4:18" x14ac:dyDescent="0.2">
      <c r="D2156" t="s">
        <v>93</v>
      </c>
      <c r="E2156" t="s">
        <v>94</v>
      </c>
      <c r="F2156" t="s">
        <v>95</v>
      </c>
      <c r="G2156" t="s">
        <v>146</v>
      </c>
      <c r="H2156" t="s">
        <v>147</v>
      </c>
      <c r="I2156" t="s">
        <v>43</v>
      </c>
      <c r="J2156" t="s">
        <v>44</v>
      </c>
      <c r="K2156" t="s">
        <v>48</v>
      </c>
      <c r="L2156" t="s">
        <v>49</v>
      </c>
      <c r="M2156" t="s">
        <v>140</v>
      </c>
      <c r="N2156">
        <v>3508</v>
      </c>
      <c r="O2156">
        <v>3.6644543000000002E-2</v>
      </c>
      <c r="P2156">
        <v>1.9908563000000001E-2</v>
      </c>
      <c r="Q2156" t="str">
        <f t="shared" si="66"/>
        <v>35-49</v>
      </c>
      <c r="R2156" t="str">
        <f t="shared" si="67"/>
        <v>[PekKUkKHAzY]|35-49|Male|TX_CURR_SUBNAT.T_1|CY2024Q3</v>
      </c>
    </row>
    <row r="2157" spans="4:18" x14ac:dyDescent="0.2">
      <c r="D2157" t="s">
        <v>93</v>
      </c>
      <c r="E2157" t="s">
        <v>94</v>
      </c>
      <c r="F2157" t="s">
        <v>95</v>
      </c>
      <c r="G2157" t="s">
        <v>146</v>
      </c>
      <c r="H2157" t="s">
        <v>147</v>
      </c>
      <c r="I2157" t="s">
        <v>45</v>
      </c>
      <c r="J2157" t="s">
        <v>46</v>
      </c>
      <c r="K2157" t="s">
        <v>48</v>
      </c>
      <c r="L2157" t="s">
        <v>49</v>
      </c>
      <c r="M2157" t="s">
        <v>140</v>
      </c>
      <c r="N2157">
        <v>2744</v>
      </c>
      <c r="O2157">
        <v>4.0703024999999997E-2</v>
      </c>
      <c r="P2157">
        <v>1.9908563000000001E-2</v>
      </c>
      <c r="Q2157" t="str">
        <f t="shared" si="66"/>
        <v>50+</v>
      </c>
      <c r="R2157" t="str">
        <f t="shared" si="67"/>
        <v>[PekKUkKHAzY]|50+|Male|TX_CURR_SUBNAT.T_1|CY2024Q3</v>
      </c>
    </row>
    <row r="2158" spans="4:18" x14ac:dyDescent="0.2">
      <c r="D2158" t="s">
        <v>96</v>
      </c>
      <c r="E2158" t="s">
        <v>97</v>
      </c>
      <c r="F2158" t="s">
        <v>98</v>
      </c>
      <c r="G2158" t="s">
        <v>146</v>
      </c>
      <c r="H2158" t="s">
        <v>147</v>
      </c>
      <c r="I2158" t="s">
        <v>28</v>
      </c>
      <c r="J2158" t="s">
        <v>29</v>
      </c>
      <c r="K2158" t="s">
        <v>30</v>
      </c>
      <c r="L2158" t="s">
        <v>31</v>
      </c>
      <c r="M2158" t="s">
        <v>140</v>
      </c>
      <c r="N2158">
        <v>12</v>
      </c>
      <c r="O2158">
        <v>4.4214346000000002E-2</v>
      </c>
      <c r="P2158">
        <v>1.5414598999999999E-2</v>
      </c>
      <c r="Q2158" t="str">
        <f t="shared" si="66"/>
        <v>&lt;01</v>
      </c>
      <c r="R2158" t="str">
        <f t="shared" si="67"/>
        <v>[am530wpaGvr]|&lt;01|Female|TX_CURR_SUBNAT.T_1|CY2024Q3</v>
      </c>
    </row>
    <row r="2159" spans="4:18" x14ac:dyDescent="0.2">
      <c r="D2159" t="s">
        <v>96</v>
      </c>
      <c r="E2159" t="s">
        <v>97</v>
      </c>
      <c r="F2159" t="s">
        <v>98</v>
      </c>
      <c r="G2159" t="s">
        <v>146</v>
      </c>
      <c r="H2159" t="s">
        <v>147</v>
      </c>
      <c r="I2159" t="s">
        <v>33</v>
      </c>
      <c r="J2159" t="s">
        <v>34</v>
      </c>
      <c r="K2159" t="s">
        <v>30</v>
      </c>
      <c r="L2159" t="s">
        <v>31</v>
      </c>
      <c r="M2159" t="s">
        <v>140</v>
      </c>
      <c r="N2159">
        <v>259</v>
      </c>
      <c r="O2159">
        <v>3.9323704000000001E-2</v>
      </c>
      <c r="P2159">
        <v>1.5414598999999999E-2</v>
      </c>
      <c r="Q2159" t="str">
        <f t="shared" si="66"/>
        <v>01-09</v>
      </c>
      <c r="R2159" t="str">
        <f t="shared" si="67"/>
        <v>[am530wpaGvr]|01-09|Female|TX_CURR_SUBNAT.T_1|CY2024Q3</v>
      </c>
    </row>
    <row r="2160" spans="4:18" x14ac:dyDescent="0.2">
      <c r="D2160" t="s">
        <v>96</v>
      </c>
      <c r="E2160" t="s">
        <v>97</v>
      </c>
      <c r="F2160" t="s">
        <v>98</v>
      </c>
      <c r="G2160" t="s">
        <v>146</v>
      </c>
      <c r="H2160" t="s">
        <v>147</v>
      </c>
      <c r="I2160" t="s">
        <v>36</v>
      </c>
      <c r="J2160" t="s">
        <v>37</v>
      </c>
      <c r="K2160" t="s">
        <v>30</v>
      </c>
      <c r="L2160" t="s">
        <v>31</v>
      </c>
      <c r="M2160" t="s">
        <v>140</v>
      </c>
      <c r="N2160">
        <v>343</v>
      </c>
      <c r="O2160">
        <v>3.2438808E-2</v>
      </c>
      <c r="P2160">
        <v>1.5414598999999999E-2</v>
      </c>
      <c r="Q2160" t="str">
        <f t="shared" si="66"/>
        <v>10-14</v>
      </c>
      <c r="R2160" t="str">
        <f t="shared" si="67"/>
        <v>[am530wpaGvr]|10-14|Female|TX_CURR_SUBNAT.T_1|CY2024Q3</v>
      </c>
    </row>
    <row r="2161" spans="4:18" x14ac:dyDescent="0.2">
      <c r="D2161" t="s">
        <v>96</v>
      </c>
      <c r="E2161" t="s">
        <v>97</v>
      </c>
      <c r="F2161" t="s">
        <v>98</v>
      </c>
      <c r="G2161" t="s">
        <v>146</v>
      </c>
      <c r="H2161" t="s">
        <v>147</v>
      </c>
      <c r="I2161" t="s">
        <v>38</v>
      </c>
      <c r="J2161" t="s">
        <v>39</v>
      </c>
      <c r="K2161" t="s">
        <v>30</v>
      </c>
      <c r="L2161" t="s">
        <v>31</v>
      </c>
      <c r="M2161" t="s">
        <v>140</v>
      </c>
      <c r="N2161">
        <v>1470</v>
      </c>
      <c r="O2161">
        <v>6.2962040999999996E-2</v>
      </c>
      <c r="P2161">
        <v>1.5414598999999999E-2</v>
      </c>
      <c r="Q2161" t="str">
        <f t="shared" si="66"/>
        <v>15-24</v>
      </c>
      <c r="R2161" t="str">
        <f t="shared" si="67"/>
        <v>[am530wpaGvr]|15-24|Female|TX_CURR_SUBNAT.T_1|CY2024Q3</v>
      </c>
    </row>
    <row r="2162" spans="4:18" x14ac:dyDescent="0.2">
      <c r="D2162" t="s">
        <v>96</v>
      </c>
      <c r="E2162" t="s">
        <v>97</v>
      </c>
      <c r="F2162" t="s">
        <v>98</v>
      </c>
      <c r="G2162" t="s">
        <v>146</v>
      </c>
      <c r="H2162" t="s">
        <v>147</v>
      </c>
      <c r="I2162" t="s">
        <v>41</v>
      </c>
      <c r="J2162" t="s">
        <v>42</v>
      </c>
      <c r="K2162" t="s">
        <v>30</v>
      </c>
      <c r="L2162" t="s">
        <v>31</v>
      </c>
      <c r="M2162" t="s">
        <v>140</v>
      </c>
      <c r="N2162">
        <v>3706</v>
      </c>
      <c r="O2162">
        <v>4.1322880999999999E-2</v>
      </c>
      <c r="P2162">
        <v>1.5414598999999999E-2</v>
      </c>
      <c r="Q2162" t="str">
        <f t="shared" si="66"/>
        <v>25-34</v>
      </c>
      <c r="R2162" t="str">
        <f t="shared" si="67"/>
        <v>[am530wpaGvr]|25-34|Female|TX_CURR_SUBNAT.T_1|CY2024Q3</v>
      </c>
    </row>
    <row r="2163" spans="4:18" x14ac:dyDescent="0.2">
      <c r="D2163" t="s">
        <v>96</v>
      </c>
      <c r="E2163" t="s">
        <v>97</v>
      </c>
      <c r="F2163" t="s">
        <v>98</v>
      </c>
      <c r="G2163" t="s">
        <v>146</v>
      </c>
      <c r="H2163" t="s">
        <v>147</v>
      </c>
      <c r="I2163" t="s">
        <v>43</v>
      </c>
      <c r="J2163" t="s">
        <v>44</v>
      </c>
      <c r="K2163" t="s">
        <v>30</v>
      </c>
      <c r="L2163" t="s">
        <v>31</v>
      </c>
      <c r="M2163" t="s">
        <v>140</v>
      </c>
      <c r="N2163">
        <v>10172</v>
      </c>
      <c r="O2163">
        <v>2.4061091999999999E-2</v>
      </c>
      <c r="P2163">
        <v>1.5414598999999999E-2</v>
      </c>
      <c r="Q2163" t="str">
        <f t="shared" si="66"/>
        <v>35-49</v>
      </c>
      <c r="R2163" t="str">
        <f t="shared" si="67"/>
        <v>[am530wpaGvr]|35-49|Female|TX_CURR_SUBNAT.T_1|CY2024Q3</v>
      </c>
    </row>
    <row r="2164" spans="4:18" x14ac:dyDescent="0.2">
      <c r="D2164" t="s">
        <v>96</v>
      </c>
      <c r="E2164" t="s">
        <v>97</v>
      </c>
      <c r="F2164" t="s">
        <v>98</v>
      </c>
      <c r="G2164" t="s">
        <v>146</v>
      </c>
      <c r="H2164" t="s">
        <v>147</v>
      </c>
      <c r="I2164" t="s">
        <v>45</v>
      </c>
      <c r="J2164" t="s">
        <v>46</v>
      </c>
      <c r="K2164" t="s">
        <v>30</v>
      </c>
      <c r="L2164" t="s">
        <v>31</v>
      </c>
      <c r="M2164" t="s">
        <v>140</v>
      </c>
      <c r="N2164">
        <v>5114</v>
      </c>
      <c r="O2164">
        <v>3.9818950999999998E-2</v>
      </c>
      <c r="P2164">
        <v>1.5414598999999999E-2</v>
      </c>
      <c r="Q2164" t="str">
        <f t="shared" si="66"/>
        <v>50+</v>
      </c>
      <c r="R2164" t="str">
        <f t="shared" si="67"/>
        <v>[am530wpaGvr]|50+|Female|TX_CURR_SUBNAT.T_1|CY2024Q3</v>
      </c>
    </row>
    <row r="2165" spans="4:18" x14ac:dyDescent="0.2">
      <c r="D2165" t="s">
        <v>96</v>
      </c>
      <c r="E2165" t="s">
        <v>97</v>
      </c>
      <c r="F2165" t="s">
        <v>98</v>
      </c>
      <c r="G2165" t="s">
        <v>146</v>
      </c>
      <c r="H2165" t="s">
        <v>147</v>
      </c>
      <c r="I2165" t="s">
        <v>28</v>
      </c>
      <c r="J2165" t="s">
        <v>29</v>
      </c>
      <c r="K2165" t="s">
        <v>48</v>
      </c>
      <c r="L2165" t="s">
        <v>49</v>
      </c>
      <c r="M2165" t="s">
        <v>140</v>
      </c>
      <c r="N2165">
        <v>13</v>
      </c>
      <c r="O2165">
        <v>3.1171836000000001E-2</v>
      </c>
      <c r="P2165">
        <v>1.5414598999999999E-2</v>
      </c>
      <c r="Q2165" t="str">
        <f t="shared" si="66"/>
        <v>&lt;01</v>
      </c>
      <c r="R2165" t="str">
        <f t="shared" si="67"/>
        <v>[am530wpaGvr]|&lt;01|Male|TX_CURR_SUBNAT.T_1|CY2024Q3</v>
      </c>
    </row>
    <row r="2166" spans="4:18" x14ac:dyDescent="0.2">
      <c r="D2166" t="s">
        <v>96</v>
      </c>
      <c r="E2166" t="s">
        <v>97</v>
      </c>
      <c r="F2166" t="s">
        <v>98</v>
      </c>
      <c r="G2166" t="s">
        <v>146</v>
      </c>
      <c r="H2166" t="s">
        <v>147</v>
      </c>
      <c r="I2166" t="s">
        <v>33</v>
      </c>
      <c r="J2166" t="s">
        <v>34</v>
      </c>
      <c r="K2166" t="s">
        <v>48</v>
      </c>
      <c r="L2166" t="s">
        <v>49</v>
      </c>
      <c r="M2166" t="s">
        <v>140</v>
      </c>
      <c r="N2166">
        <v>267</v>
      </c>
      <c r="O2166">
        <v>3.0528352000000002E-2</v>
      </c>
      <c r="P2166">
        <v>1.5414598999999999E-2</v>
      </c>
      <c r="Q2166" t="str">
        <f t="shared" si="66"/>
        <v>01-09</v>
      </c>
      <c r="R2166" t="str">
        <f t="shared" si="67"/>
        <v>[am530wpaGvr]|01-09|Male|TX_CURR_SUBNAT.T_1|CY2024Q3</v>
      </c>
    </row>
    <row r="2167" spans="4:18" x14ac:dyDescent="0.2">
      <c r="D2167" t="s">
        <v>96</v>
      </c>
      <c r="E2167" t="s">
        <v>97</v>
      </c>
      <c r="F2167" t="s">
        <v>98</v>
      </c>
      <c r="G2167" t="s">
        <v>146</v>
      </c>
      <c r="H2167" t="s">
        <v>147</v>
      </c>
      <c r="I2167" t="s">
        <v>36</v>
      </c>
      <c r="J2167" t="s">
        <v>37</v>
      </c>
      <c r="K2167" t="s">
        <v>48</v>
      </c>
      <c r="L2167" t="s">
        <v>49</v>
      </c>
      <c r="M2167" t="s">
        <v>140</v>
      </c>
      <c r="N2167">
        <v>352</v>
      </c>
      <c r="O2167">
        <v>2.8718896000000001E-2</v>
      </c>
      <c r="P2167">
        <v>1.5414598999999999E-2</v>
      </c>
      <c r="Q2167" t="str">
        <f t="shared" si="66"/>
        <v>10-14</v>
      </c>
      <c r="R2167" t="str">
        <f t="shared" si="67"/>
        <v>[am530wpaGvr]|10-14|Male|TX_CURR_SUBNAT.T_1|CY2024Q3</v>
      </c>
    </row>
    <row r="2168" spans="4:18" x14ac:dyDescent="0.2">
      <c r="D2168" t="s">
        <v>96</v>
      </c>
      <c r="E2168" t="s">
        <v>97</v>
      </c>
      <c r="F2168" t="s">
        <v>98</v>
      </c>
      <c r="G2168" t="s">
        <v>146</v>
      </c>
      <c r="H2168" t="s">
        <v>147</v>
      </c>
      <c r="I2168" t="s">
        <v>38</v>
      </c>
      <c r="J2168" t="s">
        <v>39</v>
      </c>
      <c r="K2168" t="s">
        <v>48</v>
      </c>
      <c r="L2168" t="s">
        <v>49</v>
      </c>
      <c r="M2168" t="s">
        <v>140</v>
      </c>
      <c r="N2168">
        <v>1015</v>
      </c>
      <c r="O2168">
        <v>6.8837398999999994E-2</v>
      </c>
      <c r="P2168">
        <v>1.5414598999999999E-2</v>
      </c>
      <c r="Q2168" t="str">
        <f t="shared" si="66"/>
        <v>15-24</v>
      </c>
      <c r="R2168" t="str">
        <f t="shared" si="67"/>
        <v>[am530wpaGvr]|15-24|Male|TX_CURR_SUBNAT.T_1|CY2024Q3</v>
      </c>
    </row>
    <row r="2169" spans="4:18" x14ac:dyDescent="0.2">
      <c r="D2169" t="s">
        <v>96</v>
      </c>
      <c r="E2169" t="s">
        <v>97</v>
      </c>
      <c r="F2169" t="s">
        <v>98</v>
      </c>
      <c r="G2169" t="s">
        <v>146</v>
      </c>
      <c r="H2169" t="s">
        <v>147</v>
      </c>
      <c r="I2169" t="s">
        <v>41</v>
      </c>
      <c r="J2169" t="s">
        <v>42</v>
      </c>
      <c r="K2169" t="s">
        <v>48</v>
      </c>
      <c r="L2169" t="s">
        <v>49</v>
      </c>
      <c r="M2169" t="s">
        <v>140</v>
      </c>
      <c r="N2169">
        <v>1196</v>
      </c>
      <c r="O2169">
        <v>6.7064939000000004E-2</v>
      </c>
      <c r="P2169">
        <v>1.5414598999999999E-2</v>
      </c>
      <c r="Q2169" t="str">
        <f t="shared" si="66"/>
        <v>25-34</v>
      </c>
      <c r="R2169" t="str">
        <f t="shared" si="67"/>
        <v>[am530wpaGvr]|25-34|Male|TX_CURR_SUBNAT.T_1|CY2024Q3</v>
      </c>
    </row>
    <row r="2170" spans="4:18" x14ac:dyDescent="0.2">
      <c r="D2170" t="s">
        <v>96</v>
      </c>
      <c r="E2170" t="s">
        <v>97</v>
      </c>
      <c r="F2170" t="s">
        <v>98</v>
      </c>
      <c r="G2170" t="s">
        <v>146</v>
      </c>
      <c r="H2170" t="s">
        <v>147</v>
      </c>
      <c r="I2170" t="s">
        <v>43</v>
      </c>
      <c r="J2170" t="s">
        <v>44</v>
      </c>
      <c r="K2170" t="s">
        <v>48</v>
      </c>
      <c r="L2170" t="s">
        <v>49</v>
      </c>
      <c r="M2170" t="s">
        <v>140</v>
      </c>
      <c r="N2170">
        <v>4775</v>
      </c>
      <c r="O2170">
        <v>3.2483914000000003E-2</v>
      </c>
      <c r="P2170">
        <v>1.5414598999999999E-2</v>
      </c>
      <c r="Q2170" t="str">
        <f t="shared" si="66"/>
        <v>35-49</v>
      </c>
      <c r="R2170" t="str">
        <f t="shared" si="67"/>
        <v>[am530wpaGvr]|35-49|Male|TX_CURR_SUBNAT.T_1|CY2024Q3</v>
      </c>
    </row>
    <row r="2171" spans="4:18" x14ac:dyDescent="0.2">
      <c r="D2171" t="s">
        <v>96</v>
      </c>
      <c r="E2171" t="s">
        <v>97</v>
      </c>
      <c r="F2171" t="s">
        <v>98</v>
      </c>
      <c r="G2171" t="s">
        <v>146</v>
      </c>
      <c r="H2171" t="s">
        <v>147</v>
      </c>
      <c r="I2171" t="s">
        <v>45</v>
      </c>
      <c r="J2171" t="s">
        <v>46</v>
      </c>
      <c r="K2171" t="s">
        <v>48</v>
      </c>
      <c r="L2171" t="s">
        <v>49</v>
      </c>
      <c r="M2171" t="s">
        <v>140</v>
      </c>
      <c r="N2171">
        <v>3698</v>
      </c>
      <c r="O2171">
        <v>3.8718349999999999E-2</v>
      </c>
      <c r="P2171">
        <v>1.5414598999999999E-2</v>
      </c>
      <c r="Q2171" t="str">
        <f t="shared" si="66"/>
        <v>50+</v>
      </c>
      <c r="R2171" t="str">
        <f t="shared" si="67"/>
        <v>[am530wpaGvr]|50+|Male|TX_CURR_SUBNAT.T_1|CY2024Q3</v>
      </c>
    </row>
    <row r="2172" spans="4:18" x14ac:dyDescent="0.2">
      <c r="D2172" t="s">
        <v>99</v>
      </c>
      <c r="E2172" t="s">
        <v>100</v>
      </c>
      <c r="F2172" t="s">
        <v>101</v>
      </c>
      <c r="G2172" t="s">
        <v>146</v>
      </c>
      <c r="H2172" t="s">
        <v>147</v>
      </c>
      <c r="I2172" t="s">
        <v>28</v>
      </c>
      <c r="J2172" t="s">
        <v>29</v>
      </c>
      <c r="K2172" t="s">
        <v>30</v>
      </c>
      <c r="L2172" t="s">
        <v>31</v>
      </c>
      <c r="M2172" t="s">
        <v>140</v>
      </c>
      <c r="N2172">
        <v>33</v>
      </c>
      <c r="O2172">
        <v>3.3605838999999998E-2</v>
      </c>
      <c r="P2172">
        <v>7.9430409999999996E-3</v>
      </c>
      <c r="Q2172" t="str">
        <f t="shared" si="66"/>
        <v>&lt;01</v>
      </c>
      <c r="R2172" t="str">
        <f t="shared" si="67"/>
        <v>[lLDyBx5XyUi]|&lt;01|Female|TX_CURR_SUBNAT.T_1|CY2024Q3</v>
      </c>
    </row>
    <row r="2173" spans="4:18" x14ac:dyDescent="0.2">
      <c r="D2173" t="s">
        <v>99</v>
      </c>
      <c r="E2173" t="s">
        <v>100</v>
      </c>
      <c r="F2173" t="s">
        <v>101</v>
      </c>
      <c r="G2173" t="s">
        <v>146</v>
      </c>
      <c r="H2173" t="s">
        <v>147</v>
      </c>
      <c r="I2173" t="s">
        <v>33</v>
      </c>
      <c r="J2173" t="s">
        <v>34</v>
      </c>
      <c r="K2173" t="s">
        <v>30</v>
      </c>
      <c r="L2173" t="s">
        <v>31</v>
      </c>
      <c r="M2173" t="s">
        <v>140</v>
      </c>
      <c r="N2173">
        <v>720</v>
      </c>
      <c r="O2173">
        <v>2.6693264000000001E-2</v>
      </c>
      <c r="P2173">
        <v>7.9430409999999996E-3</v>
      </c>
      <c r="Q2173" t="str">
        <f t="shared" si="66"/>
        <v>01-09</v>
      </c>
      <c r="R2173" t="str">
        <f t="shared" si="67"/>
        <v>[lLDyBx5XyUi]|01-09|Female|TX_CURR_SUBNAT.T_1|CY2024Q3</v>
      </c>
    </row>
    <row r="2174" spans="4:18" x14ac:dyDescent="0.2">
      <c r="D2174" t="s">
        <v>99</v>
      </c>
      <c r="E2174" t="s">
        <v>100</v>
      </c>
      <c r="F2174" t="s">
        <v>101</v>
      </c>
      <c r="G2174" t="s">
        <v>146</v>
      </c>
      <c r="H2174" t="s">
        <v>147</v>
      </c>
      <c r="I2174" t="s">
        <v>36</v>
      </c>
      <c r="J2174" t="s">
        <v>37</v>
      </c>
      <c r="K2174" t="s">
        <v>30</v>
      </c>
      <c r="L2174" t="s">
        <v>31</v>
      </c>
      <c r="M2174" t="s">
        <v>140</v>
      </c>
      <c r="N2174">
        <v>874</v>
      </c>
      <c r="O2174">
        <v>1.9941144000000001E-2</v>
      </c>
      <c r="P2174">
        <v>7.9430409999999996E-3</v>
      </c>
      <c r="Q2174" t="str">
        <f t="shared" si="66"/>
        <v>10-14</v>
      </c>
      <c r="R2174" t="str">
        <f t="shared" si="67"/>
        <v>[lLDyBx5XyUi]|10-14|Female|TX_CURR_SUBNAT.T_1|CY2024Q3</v>
      </c>
    </row>
    <row r="2175" spans="4:18" x14ac:dyDescent="0.2">
      <c r="D2175" t="s">
        <v>99</v>
      </c>
      <c r="E2175" t="s">
        <v>100</v>
      </c>
      <c r="F2175" t="s">
        <v>101</v>
      </c>
      <c r="G2175" t="s">
        <v>146</v>
      </c>
      <c r="H2175" t="s">
        <v>147</v>
      </c>
      <c r="I2175" t="s">
        <v>38</v>
      </c>
      <c r="J2175" t="s">
        <v>39</v>
      </c>
      <c r="K2175" t="s">
        <v>30</v>
      </c>
      <c r="L2175" t="s">
        <v>31</v>
      </c>
      <c r="M2175" t="s">
        <v>140</v>
      </c>
      <c r="N2175">
        <v>3175</v>
      </c>
      <c r="O2175">
        <v>6.0498838999999999E-2</v>
      </c>
      <c r="P2175">
        <v>7.9430409999999996E-3</v>
      </c>
      <c r="Q2175" t="str">
        <f t="shared" si="66"/>
        <v>15-24</v>
      </c>
      <c r="R2175" t="str">
        <f t="shared" si="67"/>
        <v>[lLDyBx5XyUi]|15-24|Female|TX_CURR_SUBNAT.T_1|CY2024Q3</v>
      </c>
    </row>
    <row r="2176" spans="4:18" x14ac:dyDescent="0.2">
      <c r="D2176" t="s">
        <v>99</v>
      </c>
      <c r="E2176" t="s">
        <v>100</v>
      </c>
      <c r="F2176" t="s">
        <v>101</v>
      </c>
      <c r="G2176" t="s">
        <v>146</v>
      </c>
      <c r="H2176" t="s">
        <v>147</v>
      </c>
      <c r="I2176" t="s">
        <v>41</v>
      </c>
      <c r="J2176" t="s">
        <v>42</v>
      </c>
      <c r="K2176" t="s">
        <v>30</v>
      </c>
      <c r="L2176" t="s">
        <v>31</v>
      </c>
      <c r="M2176" t="s">
        <v>140</v>
      </c>
      <c r="N2176">
        <v>8146</v>
      </c>
      <c r="O2176">
        <v>3.5553305E-2</v>
      </c>
      <c r="P2176">
        <v>7.9430409999999996E-3</v>
      </c>
      <c r="Q2176" t="str">
        <f t="shared" si="66"/>
        <v>25-34</v>
      </c>
      <c r="R2176" t="str">
        <f t="shared" si="67"/>
        <v>[lLDyBx5XyUi]|25-34|Female|TX_CURR_SUBNAT.T_1|CY2024Q3</v>
      </c>
    </row>
    <row r="2177" spans="4:18" x14ac:dyDescent="0.2">
      <c r="D2177" t="s">
        <v>99</v>
      </c>
      <c r="E2177" t="s">
        <v>100</v>
      </c>
      <c r="F2177" t="s">
        <v>101</v>
      </c>
      <c r="G2177" t="s">
        <v>146</v>
      </c>
      <c r="H2177" t="s">
        <v>147</v>
      </c>
      <c r="I2177" t="s">
        <v>43</v>
      </c>
      <c r="J2177" t="s">
        <v>44</v>
      </c>
      <c r="K2177" t="s">
        <v>30</v>
      </c>
      <c r="L2177" t="s">
        <v>31</v>
      </c>
      <c r="M2177" t="s">
        <v>140</v>
      </c>
      <c r="N2177">
        <v>19326</v>
      </c>
      <c r="O2177">
        <v>2.0218348000000001E-2</v>
      </c>
      <c r="P2177">
        <v>7.9430409999999996E-3</v>
      </c>
      <c r="Q2177" t="str">
        <f t="shared" si="66"/>
        <v>35-49</v>
      </c>
      <c r="R2177" t="str">
        <f t="shared" si="67"/>
        <v>[lLDyBx5XyUi]|35-49|Female|TX_CURR_SUBNAT.T_1|CY2024Q3</v>
      </c>
    </row>
    <row r="2178" spans="4:18" x14ac:dyDescent="0.2">
      <c r="D2178" t="s">
        <v>99</v>
      </c>
      <c r="E2178" t="s">
        <v>100</v>
      </c>
      <c r="F2178" t="s">
        <v>101</v>
      </c>
      <c r="G2178" t="s">
        <v>146</v>
      </c>
      <c r="H2178" t="s">
        <v>147</v>
      </c>
      <c r="I2178" t="s">
        <v>45</v>
      </c>
      <c r="J2178" t="s">
        <v>46</v>
      </c>
      <c r="K2178" t="s">
        <v>30</v>
      </c>
      <c r="L2178" t="s">
        <v>31</v>
      </c>
      <c r="M2178" t="s">
        <v>140</v>
      </c>
      <c r="N2178">
        <v>9262</v>
      </c>
      <c r="O2178">
        <v>3.6357621999999999E-2</v>
      </c>
      <c r="P2178">
        <v>7.9430409999999996E-3</v>
      </c>
      <c r="Q2178" t="str">
        <f t="shared" si="66"/>
        <v>50+</v>
      </c>
      <c r="R2178" t="str">
        <f t="shared" si="67"/>
        <v>[lLDyBx5XyUi]|50+|Female|TX_CURR_SUBNAT.T_1|CY2024Q3</v>
      </c>
    </row>
    <row r="2179" spans="4:18" x14ac:dyDescent="0.2">
      <c r="D2179" t="s">
        <v>99</v>
      </c>
      <c r="E2179" t="s">
        <v>100</v>
      </c>
      <c r="F2179" t="s">
        <v>101</v>
      </c>
      <c r="G2179" t="s">
        <v>146</v>
      </c>
      <c r="H2179" t="s">
        <v>147</v>
      </c>
      <c r="I2179" t="s">
        <v>28</v>
      </c>
      <c r="J2179" t="s">
        <v>29</v>
      </c>
      <c r="K2179" t="s">
        <v>48</v>
      </c>
      <c r="L2179" t="s">
        <v>49</v>
      </c>
      <c r="M2179" t="s">
        <v>140</v>
      </c>
      <c r="N2179">
        <v>32</v>
      </c>
      <c r="O2179">
        <v>1.8952481E-2</v>
      </c>
      <c r="P2179">
        <v>7.9430409999999996E-3</v>
      </c>
      <c r="Q2179" t="str">
        <f t="shared" ref="Q2179:Q2242" si="68">SUBSTITUTE(SUBSTITUTE($I2179,CHAR(61),""),CHAR(34),"")</f>
        <v>&lt;01</v>
      </c>
      <c r="R2179" t="str">
        <f t="shared" ref="R2179:R2242" si="69">IF($D2179&lt;&gt;"","["&amp;$E2179&amp;"]"&amp;"|"&amp;$Q2179&amp;"|"&amp;$K2179&amp;"|"&amp;$G2179&amp;"|"&amp;IF($G2179="TX_CURR_SUBNAT.R","CY2023Q4",$M2179),"")</f>
        <v>[lLDyBx5XyUi]|&lt;01|Male|TX_CURR_SUBNAT.T_1|CY2024Q3</v>
      </c>
    </row>
    <row r="2180" spans="4:18" x14ac:dyDescent="0.2">
      <c r="D2180" t="s">
        <v>99</v>
      </c>
      <c r="E2180" t="s">
        <v>100</v>
      </c>
      <c r="F2180" t="s">
        <v>101</v>
      </c>
      <c r="G2180" t="s">
        <v>146</v>
      </c>
      <c r="H2180" t="s">
        <v>147</v>
      </c>
      <c r="I2180" t="s">
        <v>33</v>
      </c>
      <c r="J2180" t="s">
        <v>34</v>
      </c>
      <c r="K2180" t="s">
        <v>48</v>
      </c>
      <c r="L2180" t="s">
        <v>49</v>
      </c>
      <c r="M2180" t="s">
        <v>140</v>
      </c>
      <c r="N2180">
        <v>698</v>
      </c>
      <c r="O2180">
        <v>1.9662849999999999E-2</v>
      </c>
      <c r="P2180">
        <v>7.9430409999999996E-3</v>
      </c>
      <c r="Q2180" t="str">
        <f t="shared" si="68"/>
        <v>01-09</v>
      </c>
      <c r="R2180" t="str">
        <f t="shared" si="69"/>
        <v>[lLDyBx5XyUi]|01-09|Male|TX_CURR_SUBNAT.T_1|CY2024Q3</v>
      </c>
    </row>
    <row r="2181" spans="4:18" x14ac:dyDescent="0.2">
      <c r="D2181" t="s">
        <v>99</v>
      </c>
      <c r="E2181" t="s">
        <v>100</v>
      </c>
      <c r="F2181" t="s">
        <v>101</v>
      </c>
      <c r="G2181" t="s">
        <v>146</v>
      </c>
      <c r="H2181" t="s">
        <v>147</v>
      </c>
      <c r="I2181" t="s">
        <v>36</v>
      </c>
      <c r="J2181" t="s">
        <v>37</v>
      </c>
      <c r="K2181" t="s">
        <v>48</v>
      </c>
      <c r="L2181" t="s">
        <v>49</v>
      </c>
      <c r="M2181" t="s">
        <v>140</v>
      </c>
      <c r="N2181">
        <v>849</v>
      </c>
      <c r="O2181">
        <v>2.2019402E-2</v>
      </c>
      <c r="P2181">
        <v>7.9430409999999996E-3</v>
      </c>
      <c r="Q2181" t="str">
        <f t="shared" si="68"/>
        <v>10-14</v>
      </c>
      <c r="R2181" t="str">
        <f t="shared" si="69"/>
        <v>[lLDyBx5XyUi]|10-14|Male|TX_CURR_SUBNAT.T_1|CY2024Q3</v>
      </c>
    </row>
    <row r="2182" spans="4:18" x14ac:dyDescent="0.2">
      <c r="D2182" t="s">
        <v>99</v>
      </c>
      <c r="E2182" t="s">
        <v>100</v>
      </c>
      <c r="F2182" t="s">
        <v>101</v>
      </c>
      <c r="G2182" t="s">
        <v>146</v>
      </c>
      <c r="H2182" t="s">
        <v>147</v>
      </c>
      <c r="I2182" t="s">
        <v>38</v>
      </c>
      <c r="J2182" t="s">
        <v>39</v>
      </c>
      <c r="K2182" t="s">
        <v>48</v>
      </c>
      <c r="L2182" t="s">
        <v>49</v>
      </c>
      <c r="M2182" t="s">
        <v>140</v>
      </c>
      <c r="N2182">
        <v>1964</v>
      </c>
      <c r="O2182">
        <v>6.3496180999999999E-2</v>
      </c>
      <c r="P2182">
        <v>7.9430409999999996E-3</v>
      </c>
      <c r="Q2182" t="str">
        <f t="shared" si="68"/>
        <v>15-24</v>
      </c>
      <c r="R2182" t="str">
        <f t="shared" si="69"/>
        <v>[lLDyBx5XyUi]|15-24|Male|TX_CURR_SUBNAT.T_1|CY2024Q3</v>
      </c>
    </row>
    <row r="2183" spans="4:18" x14ac:dyDescent="0.2">
      <c r="D2183" t="s">
        <v>99</v>
      </c>
      <c r="E2183" t="s">
        <v>100</v>
      </c>
      <c r="F2183" t="s">
        <v>101</v>
      </c>
      <c r="G2183" t="s">
        <v>146</v>
      </c>
      <c r="H2183" t="s">
        <v>147</v>
      </c>
      <c r="I2183" t="s">
        <v>41</v>
      </c>
      <c r="J2183" t="s">
        <v>42</v>
      </c>
      <c r="K2183" t="s">
        <v>48</v>
      </c>
      <c r="L2183" t="s">
        <v>49</v>
      </c>
      <c r="M2183" t="s">
        <v>140</v>
      </c>
      <c r="N2183">
        <v>2099</v>
      </c>
      <c r="O2183">
        <v>6.3283751999999999E-2</v>
      </c>
      <c r="P2183">
        <v>7.9430409999999996E-3</v>
      </c>
      <c r="Q2183" t="str">
        <f t="shared" si="68"/>
        <v>25-34</v>
      </c>
      <c r="R2183" t="str">
        <f t="shared" si="69"/>
        <v>[lLDyBx5XyUi]|25-34|Male|TX_CURR_SUBNAT.T_1|CY2024Q3</v>
      </c>
    </row>
    <row r="2184" spans="4:18" x14ac:dyDescent="0.2">
      <c r="D2184" t="s">
        <v>99</v>
      </c>
      <c r="E2184" t="s">
        <v>100</v>
      </c>
      <c r="F2184" t="s">
        <v>101</v>
      </c>
      <c r="G2184" t="s">
        <v>146</v>
      </c>
      <c r="H2184" t="s">
        <v>147</v>
      </c>
      <c r="I2184" t="s">
        <v>43</v>
      </c>
      <c r="J2184" t="s">
        <v>44</v>
      </c>
      <c r="K2184" t="s">
        <v>48</v>
      </c>
      <c r="L2184" t="s">
        <v>49</v>
      </c>
      <c r="M2184" t="s">
        <v>140</v>
      </c>
      <c r="N2184">
        <v>7934</v>
      </c>
      <c r="O2184">
        <v>3.0758002E-2</v>
      </c>
      <c r="P2184">
        <v>7.9430409999999996E-3</v>
      </c>
      <c r="Q2184" t="str">
        <f t="shared" si="68"/>
        <v>35-49</v>
      </c>
      <c r="R2184" t="str">
        <f t="shared" si="69"/>
        <v>[lLDyBx5XyUi]|35-49|Male|TX_CURR_SUBNAT.T_1|CY2024Q3</v>
      </c>
    </row>
    <row r="2185" spans="4:18" x14ac:dyDescent="0.2">
      <c r="D2185" t="s">
        <v>99</v>
      </c>
      <c r="E2185" t="s">
        <v>100</v>
      </c>
      <c r="F2185" t="s">
        <v>101</v>
      </c>
      <c r="G2185" t="s">
        <v>146</v>
      </c>
      <c r="H2185" t="s">
        <v>147</v>
      </c>
      <c r="I2185" t="s">
        <v>45</v>
      </c>
      <c r="J2185" t="s">
        <v>46</v>
      </c>
      <c r="K2185" t="s">
        <v>48</v>
      </c>
      <c r="L2185" t="s">
        <v>49</v>
      </c>
      <c r="M2185" t="s">
        <v>140</v>
      </c>
      <c r="N2185">
        <v>6412</v>
      </c>
      <c r="O2185">
        <v>3.44017E-2</v>
      </c>
      <c r="P2185">
        <v>7.9430409999999996E-3</v>
      </c>
      <c r="Q2185" t="str">
        <f t="shared" si="68"/>
        <v>50+</v>
      </c>
      <c r="R2185" t="str">
        <f t="shared" si="69"/>
        <v>[lLDyBx5XyUi]|50+|Male|TX_CURR_SUBNAT.T_1|CY2024Q3</v>
      </c>
    </row>
    <row r="2186" spans="4:18" x14ac:dyDescent="0.2">
      <c r="D2186" t="s">
        <v>102</v>
      </c>
      <c r="E2186" t="s">
        <v>103</v>
      </c>
      <c r="F2186" t="s">
        <v>104</v>
      </c>
      <c r="G2186" t="s">
        <v>146</v>
      </c>
      <c r="H2186" t="s">
        <v>147</v>
      </c>
      <c r="I2186" t="s">
        <v>28</v>
      </c>
      <c r="J2186" t="s">
        <v>29</v>
      </c>
      <c r="K2186" t="s">
        <v>30</v>
      </c>
      <c r="L2186" t="s">
        <v>31</v>
      </c>
      <c r="M2186" t="s">
        <v>140</v>
      </c>
      <c r="N2186">
        <v>15</v>
      </c>
      <c r="O2186">
        <v>4.2178704999999997E-2</v>
      </c>
      <c r="P2186">
        <v>1.4127531E-2</v>
      </c>
      <c r="Q2186" t="str">
        <f t="shared" si="68"/>
        <v>&lt;01</v>
      </c>
      <c r="R2186" t="str">
        <f t="shared" si="69"/>
        <v>[TYnMSwzko3z]|&lt;01|Female|TX_CURR_SUBNAT.T_1|CY2024Q3</v>
      </c>
    </row>
    <row r="2187" spans="4:18" x14ac:dyDescent="0.2">
      <c r="D2187" t="s">
        <v>102</v>
      </c>
      <c r="E2187" t="s">
        <v>103</v>
      </c>
      <c r="F2187" t="s">
        <v>104</v>
      </c>
      <c r="G2187" t="s">
        <v>146</v>
      </c>
      <c r="H2187" t="s">
        <v>147</v>
      </c>
      <c r="I2187" t="s">
        <v>33</v>
      </c>
      <c r="J2187" t="s">
        <v>34</v>
      </c>
      <c r="K2187" t="s">
        <v>30</v>
      </c>
      <c r="L2187" t="s">
        <v>31</v>
      </c>
      <c r="M2187" t="s">
        <v>140</v>
      </c>
      <c r="N2187">
        <v>336</v>
      </c>
      <c r="O2187">
        <v>3.4785323999999999E-2</v>
      </c>
      <c r="P2187">
        <v>1.4127531E-2</v>
      </c>
      <c r="Q2187" t="str">
        <f t="shared" si="68"/>
        <v>01-09</v>
      </c>
      <c r="R2187" t="str">
        <f t="shared" si="69"/>
        <v>[TYnMSwzko3z]|01-09|Female|TX_CURR_SUBNAT.T_1|CY2024Q3</v>
      </c>
    </row>
    <row r="2188" spans="4:18" x14ac:dyDescent="0.2">
      <c r="D2188" t="s">
        <v>102</v>
      </c>
      <c r="E2188" t="s">
        <v>103</v>
      </c>
      <c r="F2188" t="s">
        <v>104</v>
      </c>
      <c r="G2188" t="s">
        <v>146</v>
      </c>
      <c r="H2188" t="s">
        <v>147</v>
      </c>
      <c r="I2188" t="s">
        <v>36</v>
      </c>
      <c r="J2188" t="s">
        <v>37</v>
      </c>
      <c r="K2188" t="s">
        <v>30</v>
      </c>
      <c r="L2188" t="s">
        <v>31</v>
      </c>
      <c r="M2188" t="s">
        <v>140</v>
      </c>
      <c r="N2188">
        <v>427</v>
      </c>
      <c r="O2188">
        <v>2.7326131E-2</v>
      </c>
      <c r="P2188">
        <v>1.4127531E-2</v>
      </c>
      <c r="Q2188" t="str">
        <f t="shared" si="68"/>
        <v>10-14</v>
      </c>
      <c r="R2188" t="str">
        <f t="shared" si="69"/>
        <v>[TYnMSwzko3z]|10-14|Female|TX_CURR_SUBNAT.T_1|CY2024Q3</v>
      </c>
    </row>
    <row r="2189" spans="4:18" x14ac:dyDescent="0.2">
      <c r="D2189" t="s">
        <v>102</v>
      </c>
      <c r="E2189" t="s">
        <v>103</v>
      </c>
      <c r="F2189" t="s">
        <v>104</v>
      </c>
      <c r="G2189" t="s">
        <v>146</v>
      </c>
      <c r="H2189" t="s">
        <v>147</v>
      </c>
      <c r="I2189" t="s">
        <v>38</v>
      </c>
      <c r="J2189" t="s">
        <v>39</v>
      </c>
      <c r="K2189" t="s">
        <v>30</v>
      </c>
      <c r="L2189" t="s">
        <v>31</v>
      </c>
      <c r="M2189" t="s">
        <v>140</v>
      </c>
      <c r="N2189">
        <v>1717</v>
      </c>
      <c r="O2189">
        <v>6.1693935999999998E-2</v>
      </c>
      <c r="P2189">
        <v>1.4127531E-2</v>
      </c>
      <c r="Q2189" t="str">
        <f t="shared" si="68"/>
        <v>15-24</v>
      </c>
      <c r="R2189" t="str">
        <f t="shared" si="69"/>
        <v>[TYnMSwzko3z]|15-24|Female|TX_CURR_SUBNAT.T_1|CY2024Q3</v>
      </c>
    </row>
    <row r="2190" spans="4:18" x14ac:dyDescent="0.2">
      <c r="D2190" t="s">
        <v>102</v>
      </c>
      <c r="E2190" t="s">
        <v>103</v>
      </c>
      <c r="F2190" t="s">
        <v>104</v>
      </c>
      <c r="G2190" t="s">
        <v>146</v>
      </c>
      <c r="H2190" t="s">
        <v>147</v>
      </c>
      <c r="I2190" t="s">
        <v>41</v>
      </c>
      <c r="J2190" t="s">
        <v>42</v>
      </c>
      <c r="K2190" t="s">
        <v>30</v>
      </c>
      <c r="L2190" t="s">
        <v>31</v>
      </c>
      <c r="M2190" t="s">
        <v>140</v>
      </c>
      <c r="N2190">
        <v>4397</v>
      </c>
      <c r="O2190">
        <v>3.8091280999999998E-2</v>
      </c>
      <c r="P2190">
        <v>1.4127531E-2</v>
      </c>
      <c r="Q2190" t="str">
        <f t="shared" si="68"/>
        <v>25-34</v>
      </c>
      <c r="R2190" t="str">
        <f t="shared" si="69"/>
        <v>[TYnMSwzko3z]|25-34|Female|TX_CURR_SUBNAT.T_1|CY2024Q3</v>
      </c>
    </row>
    <row r="2191" spans="4:18" x14ac:dyDescent="0.2">
      <c r="D2191" t="s">
        <v>102</v>
      </c>
      <c r="E2191" t="s">
        <v>103</v>
      </c>
      <c r="F2191" t="s">
        <v>104</v>
      </c>
      <c r="G2191" t="s">
        <v>146</v>
      </c>
      <c r="H2191" t="s">
        <v>147</v>
      </c>
      <c r="I2191" t="s">
        <v>43</v>
      </c>
      <c r="J2191" t="s">
        <v>44</v>
      </c>
      <c r="K2191" t="s">
        <v>30</v>
      </c>
      <c r="L2191" t="s">
        <v>31</v>
      </c>
      <c r="M2191" t="s">
        <v>140</v>
      </c>
      <c r="N2191">
        <v>10946</v>
      </c>
      <c r="O2191">
        <v>2.2961127000000001E-2</v>
      </c>
      <c r="P2191">
        <v>1.4127531E-2</v>
      </c>
      <c r="Q2191" t="str">
        <f t="shared" si="68"/>
        <v>35-49</v>
      </c>
      <c r="R2191" t="str">
        <f t="shared" si="69"/>
        <v>[TYnMSwzko3z]|35-49|Female|TX_CURR_SUBNAT.T_1|CY2024Q3</v>
      </c>
    </row>
    <row r="2192" spans="4:18" x14ac:dyDescent="0.2">
      <c r="D2192" t="s">
        <v>102</v>
      </c>
      <c r="E2192" t="s">
        <v>103</v>
      </c>
      <c r="F2192" t="s">
        <v>104</v>
      </c>
      <c r="G2192" t="s">
        <v>146</v>
      </c>
      <c r="H2192" t="s">
        <v>147</v>
      </c>
      <c r="I2192" t="s">
        <v>45</v>
      </c>
      <c r="J2192" t="s">
        <v>46</v>
      </c>
      <c r="K2192" t="s">
        <v>30</v>
      </c>
      <c r="L2192" t="s">
        <v>31</v>
      </c>
      <c r="M2192" t="s">
        <v>140</v>
      </c>
      <c r="N2192">
        <v>5130</v>
      </c>
      <c r="O2192">
        <v>4.0836119999999997E-2</v>
      </c>
      <c r="P2192">
        <v>1.4127531E-2</v>
      </c>
      <c r="Q2192" t="str">
        <f t="shared" si="68"/>
        <v>50+</v>
      </c>
      <c r="R2192" t="str">
        <f t="shared" si="69"/>
        <v>[TYnMSwzko3z]|50+|Female|TX_CURR_SUBNAT.T_1|CY2024Q3</v>
      </c>
    </row>
    <row r="2193" spans="4:18" x14ac:dyDescent="0.2">
      <c r="D2193" t="s">
        <v>102</v>
      </c>
      <c r="E2193" t="s">
        <v>103</v>
      </c>
      <c r="F2193" t="s">
        <v>104</v>
      </c>
      <c r="G2193" t="s">
        <v>146</v>
      </c>
      <c r="H2193" t="s">
        <v>147</v>
      </c>
      <c r="I2193" t="s">
        <v>28</v>
      </c>
      <c r="J2193" t="s">
        <v>29</v>
      </c>
      <c r="K2193" t="s">
        <v>48</v>
      </c>
      <c r="L2193" t="s">
        <v>49</v>
      </c>
      <c r="M2193" t="s">
        <v>140</v>
      </c>
      <c r="N2193">
        <v>15</v>
      </c>
      <c r="O2193">
        <v>2.6742017999999999E-2</v>
      </c>
      <c r="P2193">
        <v>1.4127531E-2</v>
      </c>
      <c r="Q2193" t="str">
        <f t="shared" si="68"/>
        <v>&lt;01</v>
      </c>
      <c r="R2193" t="str">
        <f t="shared" si="69"/>
        <v>[TYnMSwzko3z]|&lt;01|Male|TX_CURR_SUBNAT.T_1|CY2024Q3</v>
      </c>
    </row>
    <row r="2194" spans="4:18" x14ac:dyDescent="0.2">
      <c r="D2194" t="s">
        <v>102</v>
      </c>
      <c r="E2194" t="s">
        <v>103</v>
      </c>
      <c r="F2194" t="s">
        <v>104</v>
      </c>
      <c r="G2194" t="s">
        <v>146</v>
      </c>
      <c r="H2194" t="s">
        <v>147</v>
      </c>
      <c r="I2194" t="s">
        <v>33</v>
      </c>
      <c r="J2194" t="s">
        <v>34</v>
      </c>
      <c r="K2194" t="s">
        <v>48</v>
      </c>
      <c r="L2194" t="s">
        <v>49</v>
      </c>
      <c r="M2194" t="s">
        <v>140</v>
      </c>
      <c r="N2194">
        <v>339</v>
      </c>
      <c r="O2194">
        <v>2.6333243999999999E-2</v>
      </c>
      <c r="P2194">
        <v>1.4127531E-2</v>
      </c>
      <c r="Q2194" t="str">
        <f t="shared" si="68"/>
        <v>01-09</v>
      </c>
      <c r="R2194" t="str">
        <f t="shared" si="69"/>
        <v>[TYnMSwzko3z]|01-09|Male|TX_CURR_SUBNAT.T_1|CY2024Q3</v>
      </c>
    </row>
    <row r="2195" spans="4:18" x14ac:dyDescent="0.2">
      <c r="D2195" t="s">
        <v>102</v>
      </c>
      <c r="E2195" t="s">
        <v>103</v>
      </c>
      <c r="F2195" t="s">
        <v>104</v>
      </c>
      <c r="G2195" t="s">
        <v>146</v>
      </c>
      <c r="H2195" t="s">
        <v>147</v>
      </c>
      <c r="I2195" t="s">
        <v>36</v>
      </c>
      <c r="J2195" t="s">
        <v>37</v>
      </c>
      <c r="K2195" t="s">
        <v>48</v>
      </c>
      <c r="L2195" t="s">
        <v>49</v>
      </c>
      <c r="M2195" t="s">
        <v>140</v>
      </c>
      <c r="N2195">
        <v>427</v>
      </c>
      <c r="O2195">
        <v>2.7495888999999999E-2</v>
      </c>
      <c r="P2195">
        <v>1.4127531E-2</v>
      </c>
      <c r="Q2195" t="str">
        <f t="shared" si="68"/>
        <v>10-14</v>
      </c>
      <c r="R2195" t="str">
        <f t="shared" si="69"/>
        <v>[TYnMSwzko3z]|10-14|Male|TX_CURR_SUBNAT.T_1|CY2024Q3</v>
      </c>
    </row>
    <row r="2196" spans="4:18" x14ac:dyDescent="0.2">
      <c r="D2196" t="s">
        <v>102</v>
      </c>
      <c r="E2196" t="s">
        <v>103</v>
      </c>
      <c r="F2196" t="s">
        <v>104</v>
      </c>
      <c r="G2196" t="s">
        <v>146</v>
      </c>
      <c r="H2196" t="s">
        <v>147</v>
      </c>
      <c r="I2196" t="s">
        <v>38</v>
      </c>
      <c r="J2196" t="s">
        <v>39</v>
      </c>
      <c r="K2196" t="s">
        <v>48</v>
      </c>
      <c r="L2196" t="s">
        <v>49</v>
      </c>
      <c r="M2196" t="s">
        <v>140</v>
      </c>
      <c r="N2196">
        <v>1078</v>
      </c>
      <c r="O2196">
        <v>6.5510970000000002E-2</v>
      </c>
      <c r="P2196">
        <v>1.4127531E-2</v>
      </c>
      <c r="Q2196" t="str">
        <f t="shared" si="68"/>
        <v>15-24</v>
      </c>
      <c r="R2196" t="str">
        <f t="shared" si="69"/>
        <v>[TYnMSwzko3z]|15-24|Male|TX_CURR_SUBNAT.T_1|CY2024Q3</v>
      </c>
    </row>
    <row r="2197" spans="4:18" x14ac:dyDescent="0.2">
      <c r="D2197" t="s">
        <v>102</v>
      </c>
      <c r="E2197" t="s">
        <v>103</v>
      </c>
      <c r="F2197" t="s">
        <v>104</v>
      </c>
      <c r="G2197" t="s">
        <v>146</v>
      </c>
      <c r="H2197" t="s">
        <v>147</v>
      </c>
      <c r="I2197" t="s">
        <v>41</v>
      </c>
      <c r="J2197" t="s">
        <v>42</v>
      </c>
      <c r="K2197" t="s">
        <v>48</v>
      </c>
      <c r="L2197" t="s">
        <v>49</v>
      </c>
      <c r="M2197" t="s">
        <v>140</v>
      </c>
      <c r="N2197">
        <v>1146</v>
      </c>
      <c r="O2197">
        <v>6.4354945999999996E-2</v>
      </c>
      <c r="P2197">
        <v>1.4127531E-2</v>
      </c>
      <c r="Q2197" t="str">
        <f t="shared" si="68"/>
        <v>25-34</v>
      </c>
      <c r="R2197" t="str">
        <f t="shared" si="69"/>
        <v>[TYnMSwzko3z]|25-34|Male|TX_CURR_SUBNAT.T_1|CY2024Q3</v>
      </c>
    </row>
    <row r="2198" spans="4:18" x14ac:dyDescent="0.2">
      <c r="D2198" t="s">
        <v>102</v>
      </c>
      <c r="E2198" t="s">
        <v>103</v>
      </c>
      <c r="F2198" t="s">
        <v>104</v>
      </c>
      <c r="G2198" t="s">
        <v>146</v>
      </c>
      <c r="H2198" t="s">
        <v>147</v>
      </c>
      <c r="I2198" t="s">
        <v>43</v>
      </c>
      <c r="J2198" t="s">
        <v>44</v>
      </c>
      <c r="K2198" t="s">
        <v>48</v>
      </c>
      <c r="L2198" t="s">
        <v>49</v>
      </c>
      <c r="M2198" t="s">
        <v>140</v>
      </c>
      <c r="N2198">
        <v>4371</v>
      </c>
      <c r="O2198">
        <v>3.3692253999999998E-2</v>
      </c>
      <c r="P2198">
        <v>1.4127531E-2</v>
      </c>
      <c r="Q2198" t="str">
        <f t="shared" si="68"/>
        <v>35-49</v>
      </c>
      <c r="R2198" t="str">
        <f t="shared" si="69"/>
        <v>[TYnMSwzko3z]|35-49|Male|TX_CURR_SUBNAT.T_1|CY2024Q3</v>
      </c>
    </row>
    <row r="2199" spans="4:18" x14ac:dyDescent="0.2">
      <c r="D2199" t="s">
        <v>102</v>
      </c>
      <c r="E2199" t="s">
        <v>103</v>
      </c>
      <c r="F2199" t="s">
        <v>104</v>
      </c>
      <c r="G2199" t="s">
        <v>146</v>
      </c>
      <c r="H2199" t="s">
        <v>147</v>
      </c>
      <c r="I2199" t="s">
        <v>45</v>
      </c>
      <c r="J2199" t="s">
        <v>46</v>
      </c>
      <c r="K2199" t="s">
        <v>48</v>
      </c>
      <c r="L2199" t="s">
        <v>49</v>
      </c>
      <c r="M2199" t="s">
        <v>140</v>
      </c>
      <c r="N2199">
        <v>3589</v>
      </c>
      <c r="O2199">
        <v>3.7355148999999997E-2</v>
      </c>
      <c r="P2199">
        <v>1.4127531E-2</v>
      </c>
      <c r="Q2199" t="str">
        <f t="shared" si="68"/>
        <v>50+</v>
      </c>
      <c r="R2199" t="str">
        <f t="shared" si="69"/>
        <v>[TYnMSwzko3z]|50+|Male|TX_CURR_SUBNAT.T_1|CY2024Q3</v>
      </c>
    </row>
    <row r="2200" spans="4:18" x14ac:dyDescent="0.2">
      <c r="D2200" t="s">
        <v>105</v>
      </c>
      <c r="E2200" t="s">
        <v>106</v>
      </c>
      <c r="F2200" t="s">
        <v>107</v>
      </c>
      <c r="G2200" t="s">
        <v>146</v>
      </c>
      <c r="H2200" t="s">
        <v>147</v>
      </c>
      <c r="I2200" t="s">
        <v>28</v>
      </c>
      <c r="J2200" t="s">
        <v>29</v>
      </c>
      <c r="K2200" t="s">
        <v>30</v>
      </c>
      <c r="L2200" t="s">
        <v>31</v>
      </c>
      <c r="M2200" t="s">
        <v>140</v>
      </c>
      <c r="N2200">
        <v>26</v>
      </c>
      <c r="O2200">
        <v>3.1087666E-2</v>
      </c>
      <c r="P2200">
        <v>5.9095909999999996E-3</v>
      </c>
      <c r="Q2200" t="str">
        <f t="shared" si="68"/>
        <v>&lt;01</v>
      </c>
      <c r="R2200" t="str">
        <f t="shared" si="69"/>
        <v>[fyEoGEPERdI]|&lt;01|Female|TX_CURR_SUBNAT.T_1|CY2024Q3</v>
      </c>
    </row>
    <row r="2201" spans="4:18" x14ac:dyDescent="0.2">
      <c r="D2201" t="s">
        <v>105</v>
      </c>
      <c r="E2201" t="s">
        <v>106</v>
      </c>
      <c r="F2201" t="s">
        <v>107</v>
      </c>
      <c r="G2201" t="s">
        <v>146</v>
      </c>
      <c r="H2201" t="s">
        <v>147</v>
      </c>
      <c r="I2201" t="s">
        <v>33</v>
      </c>
      <c r="J2201" t="s">
        <v>34</v>
      </c>
      <c r="K2201" t="s">
        <v>30</v>
      </c>
      <c r="L2201" t="s">
        <v>31</v>
      </c>
      <c r="M2201" t="s">
        <v>140</v>
      </c>
      <c r="N2201">
        <v>526</v>
      </c>
      <c r="O2201">
        <v>2.5734954000000001E-2</v>
      </c>
      <c r="P2201">
        <v>5.9095909999999996E-3</v>
      </c>
      <c r="Q2201" t="str">
        <f t="shared" si="68"/>
        <v>01-09</v>
      </c>
      <c r="R2201" t="str">
        <f t="shared" si="69"/>
        <v>[fyEoGEPERdI]|01-09|Female|TX_CURR_SUBNAT.T_1|CY2024Q3</v>
      </c>
    </row>
    <row r="2202" spans="4:18" x14ac:dyDescent="0.2">
      <c r="D2202" t="s">
        <v>105</v>
      </c>
      <c r="E2202" t="s">
        <v>106</v>
      </c>
      <c r="F2202" t="s">
        <v>107</v>
      </c>
      <c r="G2202" t="s">
        <v>146</v>
      </c>
      <c r="H2202" t="s">
        <v>147</v>
      </c>
      <c r="I2202" t="s">
        <v>36</v>
      </c>
      <c r="J2202" t="s">
        <v>37</v>
      </c>
      <c r="K2202" t="s">
        <v>30</v>
      </c>
      <c r="L2202" t="s">
        <v>31</v>
      </c>
      <c r="M2202" t="s">
        <v>140</v>
      </c>
      <c r="N2202">
        <v>673</v>
      </c>
      <c r="O2202">
        <v>2.0185497E-2</v>
      </c>
      <c r="P2202">
        <v>5.9095909999999996E-3</v>
      </c>
      <c r="Q2202" t="str">
        <f t="shared" si="68"/>
        <v>10-14</v>
      </c>
      <c r="R2202" t="str">
        <f t="shared" si="69"/>
        <v>[fyEoGEPERdI]|10-14|Female|TX_CURR_SUBNAT.T_1|CY2024Q3</v>
      </c>
    </row>
    <row r="2203" spans="4:18" x14ac:dyDescent="0.2">
      <c r="D2203" t="s">
        <v>105</v>
      </c>
      <c r="E2203" t="s">
        <v>106</v>
      </c>
      <c r="F2203" t="s">
        <v>107</v>
      </c>
      <c r="G2203" t="s">
        <v>146</v>
      </c>
      <c r="H2203" t="s">
        <v>147</v>
      </c>
      <c r="I2203" t="s">
        <v>38</v>
      </c>
      <c r="J2203" t="s">
        <v>39</v>
      </c>
      <c r="K2203" t="s">
        <v>30</v>
      </c>
      <c r="L2203" t="s">
        <v>31</v>
      </c>
      <c r="M2203" t="s">
        <v>140</v>
      </c>
      <c r="N2203">
        <v>3253</v>
      </c>
      <c r="O2203">
        <v>5.9858704999999998E-2</v>
      </c>
      <c r="P2203">
        <v>5.9095909999999996E-3</v>
      </c>
      <c r="Q2203" t="str">
        <f t="shared" si="68"/>
        <v>15-24</v>
      </c>
      <c r="R2203" t="str">
        <f t="shared" si="69"/>
        <v>[fyEoGEPERdI]|15-24|Female|TX_CURR_SUBNAT.T_1|CY2024Q3</v>
      </c>
    </row>
    <row r="2204" spans="4:18" x14ac:dyDescent="0.2">
      <c r="D2204" t="s">
        <v>105</v>
      </c>
      <c r="E2204" t="s">
        <v>106</v>
      </c>
      <c r="F2204" t="s">
        <v>107</v>
      </c>
      <c r="G2204" t="s">
        <v>146</v>
      </c>
      <c r="H2204" t="s">
        <v>147</v>
      </c>
      <c r="I2204" t="s">
        <v>41</v>
      </c>
      <c r="J2204" t="s">
        <v>42</v>
      </c>
      <c r="K2204" t="s">
        <v>30</v>
      </c>
      <c r="L2204" t="s">
        <v>31</v>
      </c>
      <c r="M2204" t="s">
        <v>140</v>
      </c>
      <c r="N2204">
        <v>8559</v>
      </c>
      <c r="O2204">
        <v>3.2831953999999997E-2</v>
      </c>
      <c r="P2204">
        <v>5.9095909999999996E-3</v>
      </c>
      <c r="Q2204" t="str">
        <f t="shared" si="68"/>
        <v>25-34</v>
      </c>
      <c r="R2204" t="str">
        <f t="shared" si="69"/>
        <v>[fyEoGEPERdI]|25-34|Female|TX_CURR_SUBNAT.T_1|CY2024Q3</v>
      </c>
    </row>
    <row r="2205" spans="4:18" x14ac:dyDescent="0.2">
      <c r="D2205" t="s">
        <v>105</v>
      </c>
      <c r="E2205" t="s">
        <v>106</v>
      </c>
      <c r="F2205" t="s">
        <v>107</v>
      </c>
      <c r="G2205" t="s">
        <v>146</v>
      </c>
      <c r="H2205" t="s">
        <v>147</v>
      </c>
      <c r="I2205" t="s">
        <v>43</v>
      </c>
      <c r="J2205" t="s">
        <v>44</v>
      </c>
      <c r="K2205" t="s">
        <v>30</v>
      </c>
      <c r="L2205" t="s">
        <v>31</v>
      </c>
      <c r="M2205" t="s">
        <v>140</v>
      </c>
      <c r="N2205">
        <v>20723</v>
      </c>
      <c r="O2205">
        <v>1.7877475E-2</v>
      </c>
      <c r="P2205">
        <v>5.9095909999999996E-3</v>
      </c>
      <c r="Q2205" t="str">
        <f t="shared" si="68"/>
        <v>35-49</v>
      </c>
      <c r="R2205" t="str">
        <f t="shared" si="69"/>
        <v>[fyEoGEPERdI]|35-49|Female|TX_CURR_SUBNAT.T_1|CY2024Q3</v>
      </c>
    </row>
    <row r="2206" spans="4:18" x14ac:dyDescent="0.2">
      <c r="D2206" t="s">
        <v>105</v>
      </c>
      <c r="E2206" t="s">
        <v>106</v>
      </c>
      <c r="F2206" t="s">
        <v>107</v>
      </c>
      <c r="G2206" t="s">
        <v>146</v>
      </c>
      <c r="H2206" t="s">
        <v>147</v>
      </c>
      <c r="I2206" t="s">
        <v>45</v>
      </c>
      <c r="J2206" t="s">
        <v>46</v>
      </c>
      <c r="K2206" t="s">
        <v>30</v>
      </c>
      <c r="L2206" t="s">
        <v>31</v>
      </c>
      <c r="M2206" t="s">
        <v>140</v>
      </c>
      <c r="N2206">
        <v>9439</v>
      </c>
      <c r="O2206">
        <v>3.4791614999999998E-2</v>
      </c>
      <c r="P2206">
        <v>5.9095909999999996E-3</v>
      </c>
      <c r="Q2206" t="str">
        <f t="shared" si="68"/>
        <v>50+</v>
      </c>
      <c r="R2206" t="str">
        <f t="shared" si="69"/>
        <v>[fyEoGEPERdI]|50+|Female|TX_CURR_SUBNAT.T_1|CY2024Q3</v>
      </c>
    </row>
    <row r="2207" spans="4:18" x14ac:dyDescent="0.2">
      <c r="D2207" t="s">
        <v>105</v>
      </c>
      <c r="E2207" t="s">
        <v>106</v>
      </c>
      <c r="F2207" t="s">
        <v>107</v>
      </c>
      <c r="G2207" t="s">
        <v>146</v>
      </c>
      <c r="H2207" t="s">
        <v>147</v>
      </c>
      <c r="I2207" t="s">
        <v>28</v>
      </c>
      <c r="J2207" t="s">
        <v>29</v>
      </c>
      <c r="K2207" t="s">
        <v>48</v>
      </c>
      <c r="L2207" t="s">
        <v>49</v>
      </c>
      <c r="M2207" t="s">
        <v>140</v>
      </c>
      <c r="N2207">
        <v>27</v>
      </c>
      <c r="O2207">
        <v>2.0172974999999999E-2</v>
      </c>
      <c r="P2207">
        <v>5.9095909999999996E-3</v>
      </c>
      <c r="Q2207" t="str">
        <f t="shared" si="68"/>
        <v>&lt;01</v>
      </c>
      <c r="R2207" t="str">
        <f t="shared" si="69"/>
        <v>[fyEoGEPERdI]|&lt;01|Male|TX_CURR_SUBNAT.T_1|CY2024Q3</v>
      </c>
    </row>
    <row r="2208" spans="4:18" x14ac:dyDescent="0.2">
      <c r="D2208" t="s">
        <v>105</v>
      </c>
      <c r="E2208" t="s">
        <v>106</v>
      </c>
      <c r="F2208" t="s">
        <v>107</v>
      </c>
      <c r="G2208" t="s">
        <v>146</v>
      </c>
      <c r="H2208" t="s">
        <v>147</v>
      </c>
      <c r="I2208" t="s">
        <v>33</v>
      </c>
      <c r="J2208" t="s">
        <v>34</v>
      </c>
      <c r="K2208" t="s">
        <v>48</v>
      </c>
      <c r="L2208" t="s">
        <v>49</v>
      </c>
      <c r="M2208" t="s">
        <v>140</v>
      </c>
      <c r="N2208">
        <v>537</v>
      </c>
      <c r="O2208">
        <v>1.8280879E-2</v>
      </c>
      <c r="P2208">
        <v>5.9095909999999996E-3</v>
      </c>
      <c r="Q2208" t="str">
        <f t="shared" si="68"/>
        <v>01-09</v>
      </c>
      <c r="R2208" t="str">
        <f t="shared" si="69"/>
        <v>[fyEoGEPERdI]|01-09|Male|TX_CURR_SUBNAT.T_1|CY2024Q3</v>
      </c>
    </row>
    <row r="2209" spans="4:18" x14ac:dyDescent="0.2">
      <c r="D2209" t="s">
        <v>105</v>
      </c>
      <c r="E2209" t="s">
        <v>106</v>
      </c>
      <c r="F2209" t="s">
        <v>107</v>
      </c>
      <c r="G2209" t="s">
        <v>146</v>
      </c>
      <c r="H2209" t="s">
        <v>147</v>
      </c>
      <c r="I2209" t="s">
        <v>36</v>
      </c>
      <c r="J2209" t="s">
        <v>37</v>
      </c>
      <c r="K2209" t="s">
        <v>48</v>
      </c>
      <c r="L2209" t="s">
        <v>49</v>
      </c>
      <c r="M2209" t="s">
        <v>140</v>
      </c>
      <c r="N2209">
        <v>678</v>
      </c>
      <c r="O2209">
        <v>1.7405398999999998E-2</v>
      </c>
      <c r="P2209">
        <v>5.9095909999999996E-3</v>
      </c>
      <c r="Q2209" t="str">
        <f t="shared" si="68"/>
        <v>10-14</v>
      </c>
      <c r="R2209" t="str">
        <f t="shared" si="69"/>
        <v>[fyEoGEPERdI]|10-14|Male|TX_CURR_SUBNAT.T_1|CY2024Q3</v>
      </c>
    </row>
    <row r="2210" spans="4:18" x14ac:dyDescent="0.2">
      <c r="D2210" t="s">
        <v>105</v>
      </c>
      <c r="E2210" t="s">
        <v>106</v>
      </c>
      <c r="F2210" t="s">
        <v>107</v>
      </c>
      <c r="G2210" t="s">
        <v>146</v>
      </c>
      <c r="H2210" t="s">
        <v>147</v>
      </c>
      <c r="I2210" t="s">
        <v>38</v>
      </c>
      <c r="J2210" t="s">
        <v>39</v>
      </c>
      <c r="K2210" t="s">
        <v>48</v>
      </c>
      <c r="L2210" t="s">
        <v>49</v>
      </c>
      <c r="M2210" t="s">
        <v>140</v>
      </c>
      <c r="N2210">
        <v>2167</v>
      </c>
      <c r="O2210">
        <v>6.7575333000000001E-2</v>
      </c>
      <c r="P2210">
        <v>5.9095909999999996E-3</v>
      </c>
      <c r="Q2210" t="str">
        <f t="shared" si="68"/>
        <v>15-24</v>
      </c>
      <c r="R2210" t="str">
        <f t="shared" si="69"/>
        <v>[fyEoGEPERdI]|15-24|Male|TX_CURR_SUBNAT.T_1|CY2024Q3</v>
      </c>
    </row>
    <row r="2211" spans="4:18" x14ac:dyDescent="0.2">
      <c r="D2211" t="s">
        <v>105</v>
      </c>
      <c r="E2211" t="s">
        <v>106</v>
      </c>
      <c r="F2211" t="s">
        <v>107</v>
      </c>
      <c r="G2211" t="s">
        <v>146</v>
      </c>
      <c r="H2211" t="s">
        <v>147</v>
      </c>
      <c r="I2211" t="s">
        <v>41</v>
      </c>
      <c r="J2211" t="s">
        <v>42</v>
      </c>
      <c r="K2211" t="s">
        <v>48</v>
      </c>
      <c r="L2211" t="s">
        <v>49</v>
      </c>
      <c r="M2211" t="s">
        <v>140</v>
      </c>
      <c r="N2211">
        <v>2849</v>
      </c>
      <c r="O2211">
        <v>6.0756399000000003E-2</v>
      </c>
      <c r="P2211">
        <v>5.9095909999999996E-3</v>
      </c>
      <c r="Q2211" t="str">
        <f t="shared" si="68"/>
        <v>25-34</v>
      </c>
      <c r="R2211" t="str">
        <f t="shared" si="69"/>
        <v>[fyEoGEPERdI]|25-34|Male|TX_CURR_SUBNAT.T_1|CY2024Q3</v>
      </c>
    </row>
    <row r="2212" spans="4:18" x14ac:dyDescent="0.2">
      <c r="D2212" t="s">
        <v>105</v>
      </c>
      <c r="E2212" t="s">
        <v>106</v>
      </c>
      <c r="F2212" t="s">
        <v>107</v>
      </c>
      <c r="G2212" t="s">
        <v>146</v>
      </c>
      <c r="H2212" t="s">
        <v>147</v>
      </c>
      <c r="I2212" t="s">
        <v>43</v>
      </c>
      <c r="J2212" t="s">
        <v>44</v>
      </c>
      <c r="K2212" t="s">
        <v>48</v>
      </c>
      <c r="L2212" t="s">
        <v>49</v>
      </c>
      <c r="M2212" t="s">
        <v>140</v>
      </c>
      <c r="N2212">
        <v>10226</v>
      </c>
      <c r="O2212">
        <v>2.6714299E-2</v>
      </c>
      <c r="P2212">
        <v>5.9095909999999996E-3</v>
      </c>
      <c r="Q2212" t="str">
        <f t="shared" si="68"/>
        <v>35-49</v>
      </c>
      <c r="R2212" t="str">
        <f t="shared" si="69"/>
        <v>[fyEoGEPERdI]|35-49|Male|TX_CURR_SUBNAT.T_1|CY2024Q3</v>
      </c>
    </row>
    <row r="2213" spans="4:18" x14ac:dyDescent="0.2">
      <c r="D2213" t="s">
        <v>105</v>
      </c>
      <c r="E2213" t="s">
        <v>106</v>
      </c>
      <c r="F2213" t="s">
        <v>107</v>
      </c>
      <c r="G2213" t="s">
        <v>146</v>
      </c>
      <c r="H2213" t="s">
        <v>147</v>
      </c>
      <c r="I2213" t="s">
        <v>45</v>
      </c>
      <c r="J2213" t="s">
        <v>46</v>
      </c>
      <c r="K2213" t="s">
        <v>48</v>
      </c>
      <c r="L2213" t="s">
        <v>49</v>
      </c>
      <c r="M2213" t="s">
        <v>140</v>
      </c>
      <c r="N2213">
        <v>7148</v>
      </c>
      <c r="O2213">
        <v>3.3012106999999999E-2</v>
      </c>
      <c r="P2213">
        <v>5.9095909999999996E-3</v>
      </c>
      <c r="Q2213" t="str">
        <f t="shared" si="68"/>
        <v>50+</v>
      </c>
      <c r="R2213" t="str">
        <f t="shared" si="69"/>
        <v>[fyEoGEPERdI]|50+|Male|TX_CURR_SUBNAT.T_1|CY2024Q3</v>
      </c>
    </row>
    <row r="2214" spans="4:18" x14ac:dyDescent="0.2">
      <c r="D2214" t="s">
        <v>108</v>
      </c>
      <c r="E2214" t="s">
        <v>109</v>
      </c>
      <c r="F2214" t="s">
        <v>110</v>
      </c>
      <c r="G2214" t="s">
        <v>146</v>
      </c>
      <c r="H2214" t="s">
        <v>147</v>
      </c>
      <c r="I2214" t="s">
        <v>28</v>
      </c>
      <c r="J2214" t="s">
        <v>29</v>
      </c>
      <c r="K2214" t="s">
        <v>30</v>
      </c>
      <c r="L2214" t="s">
        <v>31</v>
      </c>
      <c r="M2214" t="s">
        <v>140</v>
      </c>
      <c r="N2214">
        <v>27</v>
      </c>
      <c r="O2214">
        <v>4.1322769000000002E-2</v>
      </c>
      <c r="P2214">
        <v>6.1028230000000003E-3</v>
      </c>
      <c r="Q2214" t="str">
        <f t="shared" si="68"/>
        <v>&lt;01</v>
      </c>
      <c r="R2214" t="str">
        <f t="shared" si="69"/>
        <v>[umc2n1Z4wNv]|&lt;01|Female|TX_CURR_SUBNAT.T_1|CY2024Q3</v>
      </c>
    </row>
    <row r="2215" spans="4:18" x14ac:dyDescent="0.2">
      <c r="D2215" t="s">
        <v>108</v>
      </c>
      <c r="E2215" t="s">
        <v>109</v>
      </c>
      <c r="F2215" t="s">
        <v>110</v>
      </c>
      <c r="G2215" t="s">
        <v>146</v>
      </c>
      <c r="H2215" t="s">
        <v>147</v>
      </c>
      <c r="I2215" t="s">
        <v>33</v>
      </c>
      <c r="J2215" t="s">
        <v>34</v>
      </c>
      <c r="K2215" t="s">
        <v>30</v>
      </c>
      <c r="L2215" t="s">
        <v>31</v>
      </c>
      <c r="M2215" t="s">
        <v>140</v>
      </c>
      <c r="N2215">
        <v>508</v>
      </c>
      <c r="O2215">
        <v>3.1179734000000001E-2</v>
      </c>
      <c r="P2215">
        <v>6.1028230000000003E-3</v>
      </c>
      <c r="Q2215" t="str">
        <f t="shared" si="68"/>
        <v>01-09</v>
      </c>
      <c r="R2215" t="str">
        <f t="shared" si="69"/>
        <v>[umc2n1Z4wNv]|01-09|Female|TX_CURR_SUBNAT.T_1|CY2024Q3</v>
      </c>
    </row>
    <row r="2216" spans="4:18" x14ac:dyDescent="0.2">
      <c r="D2216" t="s">
        <v>108</v>
      </c>
      <c r="E2216" t="s">
        <v>109</v>
      </c>
      <c r="F2216" t="s">
        <v>110</v>
      </c>
      <c r="G2216" t="s">
        <v>146</v>
      </c>
      <c r="H2216" t="s">
        <v>147</v>
      </c>
      <c r="I2216" t="s">
        <v>36</v>
      </c>
      <c r="J2216" t="s">
        <v>37</v>
      </c>
      <c r="K2216" t="s">
        <v>30</v>
      </c>
      <c r="L2216" t="s">
        <v>31</v>
      </c>
      <c r="M2216" t="s">
        <v>140</v>
      </c>
      <c r="N2216">
        <v>636</v>
      </c>
      <c r="O2216">
        <v>2.1694148E-2</v>
      </c>
      <c r="P2216">
        <v>6.1028230000000003E-3</v>
      </c>
      <c r="Q2216" t="str">
        <f t="shared" si="68"/>
        <v>10-14</v>
      </c>
      <c r="R2216" t="str">
        <f t="shared" si="69"/>
        <v>[umc2n1Z4wNv]|10-14|Female|TX_CURR_SUBNAT.T_1|CY2024Q3</v>
      </c>
    </row>
    <row r="2217" spans="4:18" x14ac:dyDescent="0.2">
      <c r="D2217" t="s">
        <v>108</v>
      </c>
      <c r="E2217" t="s">
        <v>109</v>
      </c>
      <c r="F2217" t="s">
        <v>110</v>
      </c>
      <c r="G2217" t="s">
        <v>146</v>
      </c>
      <c r="H2217" t="s">
        <v>147</v>
      </c>
      <c r="I2217" t="s">
        <v>38</v>
      </c>
      <c r="J2217" t="s">
        <v>39</v>
      </c>
      <c r="K2217" t="s">
        <v>30</v>
      </c>
      <c r="L2217" t="s">
        <v>31</v>
      </c>
      <c r="M2217" t="s">
        <v>140</v>
      </c>
      <c r="N2217">
        <v>2890</v>
      </c>
      <c r="O2217">
        <v>6.3096395999999999E-2</v>
      </c>
      <c r="P2217">
        <v>6.1028230000000003E-3</v>
      </c>
      <c r="Q2217" t="str">
        <f t="shared" si="68"/>
        <v>15-24</v>
      </c>
      <c r="R2217" t="str">
        <f t="shared" si="69"/>
        <v>[umc2n1Z4wNv]|15-24|Female|TX_CURR_SUBNAT.T_1|CY2024Q3</v>
      </c>
    </row>
    <row r="2218" spans="4:18" x14ac:dyDescent="0.2">
      <c r="D2218" t="s">
        <v>108</v>
      </c>
      <c r="E2218" t="s">
        <v>109</v>
      </c>
      <c r="F2218" t="s">
        <v>110</v>
      </c>
      <c r="G2218" t="s">
        <v>146</v>
      </c>
      <c r="H2218" t="s">
        <v>147</v>
      </c>
      <c r="I2218" t="s">
        <v>41</v>
      </c>
      <c r="J2218" t="s">
        <v>42</v>
      </c>
      <c r="K2218" t="s">
        <v>30</v>
      </c>
      <c r="L2218" t="s">
        <v>31</v>
      </c>
      <c r="M2218" t="s">
        <v>140</v>
      </c>
      <c r="N2218">
        <v>7387</v>
      </c>
      <c r="O2218">
        <v>3.3171948E-2</v>
      </c>
      <c r="P2218">
        <v>6.1028230000000003E-3</v>
      </c>
      <c r="Q2218" t="str">
        <f t="shared" si="68"/>
        <v>25-34</v>
      </c>
      <c r="R2218" t="str">
        <f t="shared" si="69"/>
        <v>[umc2n1Z4wNv]|25-34|Female|TX_CURR_SUBNAT.T_1|CY2024Q3</v>
      </c>
    </row>
    <row r="2219" spans="4:18" x14ac:dyDescent="0.2">
      <c r="D2219" t="s">
        <v>108</v>
      </c>
      <c r="E2219" t="s">
        <v>109</v>
      </c>
      <c r="F2219" t="s">
        <v>110</v>
      </c>
      <c r="G2219" t="s">
        <v>146</v>
      </c>
      <c r="H2219" t="s">
        <v>147</v>
      </c>
      <c r="I2219" t="s">
        <v>43</v>
      </c>
      <c r="J2219" t="s">
        <v>44</v>
      </c>
      <c r="K2219" t="s">
        <v>30</v>
      </c>
      <c r="L2219" t="s">
        <v>31</v>
      </c>
      <c r="M2219" t="s">
        <v>140</v>
      </c>
      <c r="N2219">
        <v>18765</v>
      </c>
      <c r="O2219">
        <v>1.8157570000000001E-2</v>
      </c>
      <c r="P2219">
        <v>6.1028230000000003E-3</v>
      </c>
      <c r="Q2219" t="str">
        <f t="shared" si="68"/>
        <v>35-49</v>
      </c>
      <c r="R2219" t="str">
        <f t="shared" si="69"/>
        <v>[umc2n1Z4wNv]|35-49|Female|TX_CURR_SUBNAT.T_1|CY2024Q3</v>
      </c>
    </row>
    <row r="2220" spans="4:18" x14ac:dyDescent="0.2">
      <c r="D2220" t="s">
        <v>108</v>
      </c>
      <c r="E2220" t="s">
        <v>109</v>
      </c>
      <c r="F2220" t="s">
        <v>110</v>
      </c>
      <c r="G2220" t="s">
        <v>146</v>
      </c>
      <c r="H2220" t="s">
        <v>147</v>
      </c>
      <c r="I2220" t="s">
        <v>45</v>
      </c>
      <c r="J2220" t="s">
        <v>46</v>
      </c>
      <c r="K2220" t="s">
        <v>30</v>
      </c>
      <c r="L2220" t="s">
        <v>31</v>
      </c>
      <c r="M2220" t="s">
        <v>140</v>
      </c>
      <c r="N2220">
        <v>9356</v>
      </c>
      <c r="O2220">
        <v>3.2879443000000001E-2</v>
      </c>
      <c r="P2220">
        <v>6.1028230000000003E-3</v>
      </c>
      <c r="Q2220" t="str">
        <f t="shared" si="68"/>
        <v>50+</v>
      </c>
      <c r="R2220" t="str">
        <f t="shared" si="69"/>
        <v>[umc2n1Z4wNv]|50+|Female|TX_CURR_SUBNAT.T_1|CY2024Q3</v>
      </c>
    </row>
    <row r="2221" spans="4:18" x14ac:dyDescent="0.2">
      <c r="D2221" t="s">
        <v>108</v>
      </c>
      <c r="E2221" t="s">
        <v>109</v>
      </c>
      <c r="F2221" t="s">
        <v>110</v>
      </c>
      <c r="G2221" t="s">
        <v>146</v>
      </c>
      <c r="H2221" t="s">
        <v>147</v>
      </c>
      <c r="I2221" t="s">
        <v>28</v>
      </c>
      <c r="J2221" t="s">
        <v>29</v>
      </c>
      <c r="K2221" t="s">
        <v>48</v>
      </c>
      <c r="L2221" t="s">
        <v>49</v>
      </c>
      <c r="M2221" t="s">
        <v>140</v>
      </c>
      <c r="N2221">
        <v>26</v>
      </c>
      <c r="O2221">
        <v>2.3002201999999999E-2</v>
      </c>
      <c r="P2221">
        <v>6.1028230000000003E-3</v>
      </c>
      <c r="Q2221" t="str">
        <f t="shared" si="68"/>
        <v>&lt;01</v>
      </c>
      <c r="R2221" t="str">
        <f t="shared" si="69"/>
        <v>[umc2n1Z4wNv]|&lt;01|Male|TX_CURR_SUBNAT.T_1|CY2024Q3</v>
      </c>
    </row>
    <row r="2222" spans="4:18" x14ac:dyDescent="0.2">
      <c r="D2222" t="s">
        <v>108</v>
      </c>
      <c r="E2222" t="s">
        <v>109</v>
      </c>
      <c r="F2222" t="s">
        <v>110</v>
      </c>
      <c r="G2222" t="s">
        <v>146</v>
      </c>
      <c r="H2222" t="s">
        <v>147</v>
      </c>
      <c r="I2222" t="s">
        <v>33</v>
      </c>
      <c r="J2222" t="s">
        <v>34</v>
      </c>
      <c r="K2222" t="s">
        <v>48</v>
      </c>
      <c r="L2222" t="s">
        <v>49</v>
      </c>
      <c r="M2222" t="s">
        <v>140</v>
      </c>
      <c r="N2222">
        <v>495</v>
      </c>
      <c r="O2222">
        <v>2.2929095E-2</v>
      </c>
      <c r="P2222">
        <v>6.1028230000000003E-3</v>
      </c>
      <c r="Q2222" t="str">
        <f t="shared" si="68"/>
        <v>01-09</v>
      </c>
      <c r="R2222" t="str">
        <f t="shared" si="69"/>
        <v>[umc2n1Z4wNv]|01-09|Male|TX_CURR_SUBNAT.T_1|CY2024Q3</v>
      </c>
    </row>
    <row r="2223" spans="4:18" x14ac:dyDescent="0.2">
      <c r="D2223" t="s">
        <v>108</v>
      </c>
      <c r="E2223" t="s">
        <v>109</v>
      </c>
      <c r="F2223" t="s">
        <v>110</v>
      </c>
      <c r="G2223" t="s">
        <v>146</v>
      </c>
      <c r="H2223" t="s">
        <v>147</v>
      </c>
      <c r="I2223" t="s">
        <v>36</v>
      </c>
      <c r="J2223" t="s">
        <v>37</v>
      </c>
      <c r="K2223" t="s">
        <v>48</v>
      </c>
      <c r="L2223" t="s">
        <v>49</v>
      </c>
      <c r="M2223" t="s">
        <v>140</v>
      </c>
      <c r="N2223">
        <v>619</v>
      </c>
      <c r="O2223">
        <v>2.598497E-2</v>
      </c>
      <c r="P2223">
        <v>6.1028230000000003E-3</v>
      </c>
      <c r="Q2223" t="str">
        <f t="shared" si="68"/>
        <v>10-14</v>
      </c>
      <c r="R2223" t="str">
        <f t="shared" si="69"/>
        <v>[umc2n1Z4wNv]|10-14|Male|TX_CURR_SUBNAT.T_1|CY2024Q3</v>
      </c>
    </row>
    <row r="2224" spans="4:18" x14ac:dyDescent="0.2">
      <c r="D2224" t="s">
        <v>108</v>
      </c>
      <c r="E2224" t="s">
        <v>109</v>
      </c>
      <c r="F2224" t="s">
        <v>110</v>
      </c>
      <c r="G2224" t="s">
        <v>146</v>
      </c>
      <c r="H2224" t="s">
        <v>147</v>
      </c>
      <c r="I2224" t="s">
        <v>38</v>
      </c>
      <c r="J2224" t="s">
        <v>39</v>
      </c>
      <c r="K2224" t="s">
        <v>48</v>
      </c>
      <c r="L2224" t="s">
        <v>49</v>
      </c>
      <c r="M2224" t="s">
        <v>140</v>
      </c>
      <c r="N2224">
        <v>1929</v>
      </c>
      <c r="O2224">
        <v>7.1422115999999994E-2</v>
      </c>
      <c r="P2224">
        <v>6.1028230000000003E-3</v>
      </c>
      <c r="Q2224" t="str">
        <f t="shared" si="68"/>
        <v>15-24</v>
      </c>
      <c r="R2224" t="str">
        <f t="shared" si="69"/>
        <v>[umc2n1Z4wNv]|15-24|Male|TX_CURR_SUBNAT.T_1|CY2024Q3</v>
      </c>
    </row>
    <row r="2225" spans="4:18" x14ac:dyDescent="0.2">
      <c r="D2225" t="s">
        <v>108</v>
      </c>
      <c r="E2225" t="s">
        <v>109</v>
      </c>
      <c r="F2225" t="s">
        <v>110</v>
      </c>
      <c r="G2225" t="s">
        <v>146</v>
      </c>
      <c r="H2225" t="s">
        <v>147</v>
      </c>
      <c r="I2225" t="s">
        <v>41</v>
      </c>
      <c r="J2225" t="s">
        <v>42</v>
      </c>
      <c r="K2225" t="s">
        <v>48</v>
      </c>
      <c r="L2225" t="s">
        <v>49</v>
      </c>
      <c r="M2225" t="s">
        <v>140</v>
      </c>
      <c r="N2225">
        <v>2342</v>
      </c>
      <c r="O2225">
        <v>6.1305193000000001E-2</v>
      </c>
      <c r="P2225">
        <v>6.1028230000000003E-3</v>
      </c>
      <c r="Q2225" t="str">
        <f t="shared" si="68"/>
        <v>25-34</v>
      </c>
      <c r="R2225" t="str">
        <f t="shared" si="69"/>
        <v>[umc2n1Z4wNv]|25-34|Male|TX_CURR_SUBNAT.T_1|CY2024Q3</v>
      </c>
    </row>
    <row r="2226" spans="4:18" x14ac:dyDescent="0.2">
      <c r="D2226" t="s">
        <v>108</v>
      </c>
      <c r="E2226" t="s">
        <v>109</v>
      </c>
      <c r="F2226" t="s">
        <v>110</v>
      </c>
      <c r="G2226" t="s">
        <v>146</v>
      </c>
      <c r="H2226" t="s">
        <v>147</v>
      </c>
      <c r="I2226" t="s">
        <v>43</v>
      </c>
      <c r="J2226" t="s">
        <v>44</v>
      </c>
      <c r="K2226" t="s">
        <v>48</v>
      </c>
      <c r="L2226" t="s">
        <v>49</v>
      </c>
      <c r="M2226" t="s">
        <v>140</v>
      </c>
      <c r="N2226">
        <v>8606</v>
      </c>
      <c r="O2226">
        <v>2.7069912000000002E-2</v>
      </c>
      <c r="P2226">
        <v>6.1028230000000003E-3</v>
      </c>
      <c r="Q2226" t="str">
        <f t="shared" si="68"/>
        <v>35-49</v>
      </c>
      <c r="R2226" t="str">
        <f t="shared" si="69"/>
        <v>[umc2n1Z4wNv]|35-49|Male|TX_CURR_SUBNAT.T_1|CY2024Q3</v>
      </c>
    </row>
    <row r="2227" spans="4:18" x14ac:dyDescent="0.2">
      <c r="D2227" t="s">
        <v>108</v>
      </c>
      <c r="E2227" t="s">
        <v>109</v>
      </c>
      <c r="F2227" t="s">
        <v>110</v>
      </c>
      <c r="G2227" t="s">
        <v>146</v>
      </c>
      <c r="H2227" t="s">
        <v>147</v>
      </c>
      <c r="I2227" t="s">
        <v>45</v>
      </c>
      <c r="J2227" t="s">
        <v>46</v>
      </c>
      <c r="K2227" t="s">
        <v>48</v>
      </c>
      <c r="L2227" t="s">
        <v>49</v>
      </c>
      <c r="M2227" t="s">
        <v>140</v>
      </c>
      <c r="N2227">
        <v>6141</v>
      </c>
      <c r="O2227">
        <v>3.2923647E-2</v>
      </c>
      <c r="P2227">
        <v>6.1028230000000003E-3</v>
      </c>
      <c r="Q2227" t="str">
        <f t="shared" si="68"/>
        <v>50+</v>
      </c>
      <c r="R2227" t="str">
        <f t="shared" si="69"/>
        <v>[umc2n1Z4wNv]|50+|Male|TX_CURR_SUBNAT.T_1|CY2024Q3</v>
      </c>
    </row>
    <row r="2228" spans="4:18" x14ac:dyDescent="0.2">
      <c r="D2228" t="s">
        <v>111</v>
      </c>
      <c r="E2228" t="s">
        <v>112</v>
      </c>
      <c r="F2228" t="s">
        <v>113</v>
      </c>
      <c r="G2228" t="s">
        <v>146</v>
      </c>
      <c r="H2228" t="s">
        <v>147</v>
      </c>
      <c r="I2228" t="s">
        <v>28</v>
      </c>
      <c r="J2228" t="s">
        <v>29</v>
      </c>
      <c r="K2228" t="s">
        <v>30</v>
      </c>
      <c r="L2228" t="s">
        <v>31</v>
      </c>
      <c r="M2228" t="s">
        <v>140</v>
      </c>
      <c r="N2228">
        <v>16</v>
      </c>
      <c r="O2228">
        <v>3.7429747999999999E-2</v>
      </c>
      <c r="P2228">
        <v>8.3187810000000008E-3</v>
      </c>
      <c r="Q2228" t="str">
        <f t="shared" si="68"/>
        <v>&lt;01</v>
      </c>
      <c r="R2228" t="str">
        <f t="shared" si="69"/>
        <v>[AZyWpGzhcaA]|&lt;01|Female|TX_CURR_SUBNAT.T_1|CY2024Q3</v>
      </c>
    </row>
    <row r="2229" spans="4:18" x14ac:dyDescent="0.2">
      <c r="D2229" t="s">
        <v>111</v>
      </c>
      <c r="E2229" t="s">
        <v>112</v>
      </c>
      <c r="F2229" t="s">
        <v>113</v>
      </c>
      <c r="G2229" t="s">
        <v>146</v>
      </c>
      <c r="H2229" t="s">
        <v>147</v>
      </c>
      <c r="I2229" t="s">
        <v>33</v>
      </c>
      <c r="J2229" t="s">
        <v>34</v>
      </c>
      <c r="K2229" t="s">
        <v>30</v>
      </c>
      <c r="L2229" t="s">
        <v>31</v>
      </c>
      <c r="M2229" t="s">
        <v>140</v>
      </c>
      <c r="N2229">
        <v>336</v>
      </c>
      <c r="O2229">
        <v>3.1712125000000001E-2</v>
      </c>
      <c r="P2229">
        <v>8.3187810000000008E-3</v>
      </c>
      <c r="Q2229" t="str">
        <f t="shared" si="68"/>
        <v>01-09</v>
      </c>
      <c r="R2229" t="str">
        <f t="shared" si="69"/>
        <v>[AZyWpGzhcaA]|01-09|Female|TX_CURR_SUBNAT.T_1|CY2024Q3</v>
      </c>
    </row>
    <row r="2230" spans="4:18" x14ac:dyDescent="0.2">
      <c r="D2230" t="s">
        <v>111</v>
      </c>
      <c r="E2230" t="s">
        <v>112</v>
      </c>
      <c r="F2230" t="s">
        <v>113</v>
      </c>
      <c r="G2230" t="s">
        <v>146</v>
      </c>
      <c r="H2230" t="s">
        <v>147</v>
      </c>
      <c r="I2230" t="s">
        <v>36</v>
      </c>
      <c r="J2230" t="s">
        <v>37</v>
      </c>
      <c r="K2230" t="s">
        <v>30</v>
      </c>
      <c r="L2230" t="s">
        <v>31</v>
      </c>
      <c r="M2230" t="s">
        <v>140</v>
      </c>
      <c r="N2230">
        <v>439</v>
      </c>
      <c r="O2230">
        <v>2.6389404000000002E-2</v>
      </c>
      <c r="P2230">
        <v>8.3187810000000008E-3</v>
      </c>
      <c r="Q2230" t="str">
        <f t="shared" si="68"/>
        <v>10-14</v>
      </c>
      <c r="R2230" t="str">
        <f t="shared" si="69"/>
        <v>[AZyWpGzhcaA]|10-14|Female|TX_CURR_SUBNAT.T_1|CY2024Q3</v>
      </c>
    </row>
    <row r="2231" spans="4:18" x14ac:dyDescent="0.2">
      <c r="D2231" t="s">
        <v>111</v>
      </c>
      <c r="E2231" t="s">
        <v>112</v>
      </c>
      <c r="F2231" t="s">
        <v>113</v>
      </c>
      <c r="G2231" t="s">
        <v>146</v>
      </c>
      <c r="H2231" t="s">
        <v>147</v>
      </c>
      <c r="I2231" t="s">
        <v>38</v>
      </c>
      <c r="J2231" t="s">
        <v>39</v>
      </c>
      <c r="K2231" t="s">
        <v>30</v>
      </c>
      <c r="L2231" t="s">
        <v>31</v>
      </c>
      <c r="M2231" t="s">
        <v>140</v>
      </c>
      <c r="N2231">
        <v>1653</v>
      </c>
      <c r="O2231">
        <v>6.1609206999999999E-2</v>
      </c>
      <c r="P2231">
        <v>8.3187810000000008E-3</v>
      </c>
      <c r="Q2231" t="str">
        <f t="shared" si="68"/>
        <v>15-24</v>
      </c>
      <c r="R2231" t="str">
        <f t="shared" si="69"/>
        <v>[AZyWpGzhcaA]|15-24|Female|TX_CURR_SUBNAT.T_1|CY2024Q3</v>
      </c>
    </row>
    <row r="2232" spans="4:18" x14ac:dyDescent="0.2">
      <c r="D2232" t="s">
        <v>111</v>
      </c>
      <c r="E2232" t="s">
        <v>112</v>
      </c>
      <c r="F2232" t="s">
        <v>113</v>
      </c>
      <c r="G2232" t="s">
        <v>146</v>
      </c>
      <c r="H2232" t="s">
        <v>147</v>
      </c>
      <c r="I2232" t="s">
        <v>41</v>
      </c>
      <c r="J2232" t="s">
        <v>42</v>
      </c>
      <c r="K2232" t="s">
        <v>30</v>
      </c>
      <c r="L2232" t="s">
        <v>31</v>
      </c>
      <c r="M2232" t="s">
        <v>140</v>
      </c>
      <c r="N2232">
        <v>4081</v>
      </c>
      <c r="O2232">
        <v>3.3334425000000001E-2</v>
      </c>
      <c r="P2232">
        <v>8.3187810000000008E-3</v>
      </c>
      <c r="Q2232" t="str">
        <f t="shared" si="68"/>
        <v>25-34</v>
      </c>
      <c r="R2232" t="str">
        <f t="shared" si="69"/>
        <v>[AZyWpGzhcaA]|25-34|Female|TX_CURR_SUBNAT.T_1|CY2024Q3</v>
      </c>
    </row>
    <row r="2233" spans="4:18" x14ac:dyDescent="0.2">
      <c r="D2233" t="s">
        <v>111</v>
      </c>
      <c r="E2233" t="s">
        <v>112</v>
      </c>
      <c r="F2233" t="s">
        <v>113</v>
      </c>
      <c r="G2233" t="s">
        <v>146</v>
      </c>
      <c r="H2233" t="s">
        <v>147</v>
      </c>
      <c r="I2233" t="s">
        <v>43</v>
      </c>
      <c r="J2233" t="s">
        <v>44</v>
      </c>
      <c r="K2233" t="s">
        <v>30</v>
      </c>
      <c r="L2233" t="s">
        <v>31</v>
      </c>
      <c r="M2233" t="s">
        <v>140</v>
      </c>
      <c r="N2233">
        <v>9705</v>
      </c>
      <c r="O2233">
        <v>1.9282957999999999E-2</v>
      </c>
      <c r="P2233">
        <v>8.3187810000000008E-3</v>
      </c>
      <c r="Q2233" t="str">
        <f t="shared" si="68"/>
        <v>35-49</v>
      </c>
      <c r="R2233" t="str">
        <f t="shared" si="69"/>
        <v>[AZyWpGzhcaA]|35-49|Female|TX_CURR_SUBNAT.T_1|CY2024Q3</v>
      </c>
    </row>
    <row r="2234" spans="4:18" x14ac:dyDescent="0.2">
      <c r="D2234" t="s">
        <v>111</v>
      </c>
      <c r="E2234" t="s">
        <v>112</v>
      </c>
      <c r="F2234" t="s">
        <v>113</v>
      </c>
      <c r="G2234" t="s">
        <v>146</v>
      </c>
      <c r="H2234" t="s">
        <v>147</v>
      </c>
      <c r="I2234" t="s">
        <v>45</v>
      </c>
      <c r="J2234" t="s">
        <v>46</v>
      </c>
      <c r="K2234" t="s">
        <v>30</v>
      </c>
      <c r="L2234" t="s">
        <v>31</v>
      </c>
      <c r="M2234" t="s">
        <v>140</v>
      </c>
      <c r="N2234">
        <v>4664</v>
      </c>
      <c r="O2234">
        <v>3.3845647999999999E-2</v>
      </c>
      <c r="P2234">
        <v>8.3187810000000008E-3</v>
      </c>
      <c r="Q2234" t="str">
        <f t="shared" si="68"/>
        <v>50+</v>
      </c>
      <c r="R2234" t="str">
        <f t="shared" si="69"/>
        <v>[AZyWpGzhcaA]|50+|Female|TX_CURR_SUBNAT.T_1|CY2024Q3</v>
      </c>
    </row>
    <row r="2235" spans="4:18" x14ac:dyDescent="0.2">
      <c r="D2235" t="s">
        <v>111</v>
      </c>
      <c r="E2235" t="s">
        <v>112</v>
      </c>
      <c r="F2235" t="s">
        <v>113</v>
      </c>
      <c r="G2235" t="s">
        <v>146</v>
      </c>
      <c r="H2235" t="s">
        <v>147</v>
      </c>
      <c r="I2235" t="s">
        <v>28</v>
      </c>
      <c r="J2235" t="s">
        <v>29</v>
      </c>
      <c r="K2235" t="s">
        <v>48</v>
      </c>
      <c r="L2235" t="s">
        <v>49</v>
      </c>
      <c r="M2235" t="s">
        <v>140</v>
      </c>
      <c r="N2235">
        <v>15</v>
      </c>
      <c r="O2235">
        <v>2.2026255000000002E-2</v>
      </c>
      <c r="P2235">
        <v>8.3187810000000008E-3</v>
      </c>
      <c r="Q2235" t="str">
        <f t="shared" si="68"/>
        <v>&lt;01</v>
      </c>
      <c r="R2235" t="str">
        <f t="shared" si="69"/>
        <v>[AZyWpGzhcaA]|&lt;01|Male|TX_CURR_SUBNAT.T_1|CY2024Q3</v>
      </c>
    </row>
    <row r="2236" spans="4:18" x14ac:dyDescent="0.2">
      <c r="D2236" t="s">
        <v>111</v>
      </c>
      <c r="E2236" t="s">
        <v>112</v>
      </c>
      <c r="F2236" t="s">
        <v>113</v>
      </c>
      <c r="G2236" t="s">
        <v>146</v>
      </c>
      <c r="H2236" t="s">
        <v>147</v>
      </c>
      <c r="I2236" t="s">
        <v>33</v>
      </c>
      <c r="J2236" t="s">
        <v>34</v>
      </c>
      <c r="K2236" t="s">
        <v>48</v>
      </c>
      <c r="L2236" t="s">
        <v>49</v>
      </c>
      <c r="M2236" t="s">
        <v>140</v>
      </c>
      <c r="N2236">
        <v>319</v>
      </c>
      <c r="O2236">
        <v>2.3247316000000001E-2</v>
      </c>
      <c r="P2236">
        <v>8.3187810000000008E-3</v>
      </c>
      <c r="Q2236" t="str">
        <f t="shared" si="68"/>
        <v>01-09</v>
      </c>
      <c r="R2236" t="str">
        <f t="shared" si="69"/>
        <v>[AZyWpGzhcaA]|01-09|Male|TX_CURR_SUBNAT.T_1|CY2024Q3</v>
      </c>
    </row>
    <row r="2237" spans="4:18" x14ac:dyDescent="0.2">
      <c r="D2237" t="s">
        <v>111</v>
      </c>
      <c r="E2237" t="s">
        <v>112</v>
      </c>
      <c r="F2237" t="s">
        <v>113</v>
      </c>
      <c r="G2237" t="s">
        <v>146</v>
      </c>
      <c r="H2237" t="s">
        <v>147</v>
      </c>
      <c r="I2237" t="s">
        <v>36</v>
      </c>
      <c r="J2237" t="s">
        <v>37</v>
      </c>
      <c r="K2237" t="s">
        <v>48</v>
      </c>
      <c r="L2237" t="s">
        <v>49</v>
      </c>
      <c r="M2237" t="s">
        <v>140</v>
      </c>
      <c r="N2237">
        <v>416</v>
      </c>
      <c r="O2237">
        <v>2.6280201999999999E-2</v>
      </c>
      <c r="P2237">
        <v>8.3187810000000008E-3</v>
      </c>
      <c r="Q2237" t="str">
        <f t="shared" si="68"/>
        <v>10-14</v>
      </c>
      <c r="R2237" t="str">
        <f t="shared" si="69"/>
        <v>[AZyWpGzhcaA]|10-14|Male|TX_CURR_SUBNAT.T_1|CY2024Q3</v>
      </c>
    </row>
    <row r="2238" spans="4:18" x14ac:dyDescent="0.2">
      <c r="D2238" t="s">
        <v>111</v>
      </c>
      <c r="E2238" t="s">
        <v>112</v>
      </c>
      <c r="F2238" t="s">
        <v>113</v>
      </c>
      <c r="G2238" t="s">
        <v>146</v>
      </c>
      <c r="H2238" t="s">
        <v>147</v>
      </c>
      <c r="I2238" t="s">
        <v>38</v>
      </c>
      <c r="J2238" t="s">
        <v>39</v>
      </c>
      <c r="K2238" t="s">
        <v>48</v>
      </c>
      <c r="L2238" t="s">
        <v>49</v>
      </c>
      <c r="M2238" t="s">
        <v>140</v>
      </c>
      <c r="N2238">
        <v>1142</v>
      </c>
      <c r="O2238">
        <v>6.7615636000000007E-2</v>
      </c>
      <c r="P2238">
        <v>8.3187810000000008E-3</v>
      </c>
      <c r="Q2238" t="str">
        <f t="shared" si="68"/>
        <v>15-24</v>
      </c>
      <c r="R2238" t="str">
        <f t="shared" si="69"/>
        <v>[AZyWpGzhcaA]|15-24|Male|TX_CURR_SUBNAT.T_1|CY2024Q3</v>
      </c>
    </row>
    <row r="2239" spans="4:18" x14ac:dyDescent="0.2">
      <c r="D2239" t="s">
        <v>111</v>
      </c>
      <c r="E2239" t="s">
        <v>112</v>
      </c>
      <c r="F2239" t="s">
        <v>113</v>
      </c>
      <c r="G2239" t="s">
        <v>146</v>
      </c>
      <c r="H2239" t="s">
        <v>147</v>
      </c>
      <c r="I2239" t="s">
        <v>41</v>
      </c>
      <c r="J2239" t="s">
        <v>42</v>
      </c>
      <c r="K2239" t="s">
        <v>48</v>
      </c>
      <c r="L2239" t="s">
        <v>49</v>
      </c>
      <c r="M2239" t="s">
        <v>140</v>
      </c>
      <c r="N2239">
        <v>1343</v>
      </c>
      <c r="O2239">
        <v>6.1237398999999998E-2</v>
      </c>
      <c r="P2239">
        <v>8.3187810000000008E-3</v>
      </c>
      <c r="Q2239" t="str">
        <f t="shared" si="68"/>
        <v>25-34</v>
      </c>
      <c r="R2239" t="str">
        <f t="shared" si="69"/>
        <v>[AZyWpGzhcaA]|25-34|Male|TX_CURR_SUBNAT.T_1|CY2024Q3</v>
      </c>
    </row>
    <row r="2240" spans="4:18" x14ac:dyDescent="0.2">
      <c r="D2240" t="s">
        <v>111</v>
      </c>
      <c r="E2240" t="s">
        <v>112</v>
      </c>
      <c r="F2240" t="s">
        <v>113</v>
      </c>
      <c r="G2240" t="s">
        <v>146</v>
      </c>
      <c r="H2240" t="s">
        <v>147</v>
      </c>
      <c r="I2240" t="s">
        <v>43</v>
      </c>
      <c r="J2240" t="s">
        <v>44</v>
      </c>
      <c r="K2240" t="s">
        <v>48</v>
      </c>
      <c r="L2240" t="s">
        <v>49</v>
      </c>
      <c r="M2240" t="s">
        <v>140</v>
      </c>
      <c r="N2240">
        <v>4720</v>
      </c>
      <c r="O2240">
        <v>2.8314045999999999E-2</v>
      </c>
      <c r="P2240">
        <v>8.3187810000000008E-3</v>
      </c>
      <c r="Q2240" t="str">
        <f t="shared" si="68"/>
        <v>35-49</v>
      </c>
      <c r="R2240" t="str">
        <f t="shared" si="69"/>
        <v>[AZyWpGzhcaA]|35-49|Male|TX_CURR_SUBNAT.T_1|CY2024Q3</v>
      </c>
    </row>
    <row r="2241" spans="4:18" x14ac:dyDescent="0.2">
      <c r="D2241" t="s">
        <v>111</v>
      </c>
      <c r="E2241" t="s">
        <v>112</v>
      </c>
      <c r="F2241" t="s">
        <v>113</v>
      </c>
      <c r="G2241" t="s">
        <v>146</v>
      </c>
      <c r="H2241" t="s">
        <v>147</v>
      </c>
      <c r="I2241" t="s">
        <v>45</v>
      </c>
      <c r="J2241" t="s">
        <v>46</v>
      </c>
      <c r="K2241" t="s">
        <v>48</v>
      </c>
      <c r="L2241" t="s">
        <v>49</v>
      </c>
      <c r="M2241" t="s">
        <v>140</v>
      </c>
      <c r="N2241">
        <v>3269</v>
      </c>
      <c r="O2241">
        <v>3.4524658999999999E-2</v>
      </c>
      <c r="P2241">
        <v>8.3187810000000008E-3</v>
      </c>
      <c r="Q2241" t="str">
        <f t="shared" si="68"/>
        <v>50+</v>
      </c>
      <c r="R2241" t="str">
        <f t="shared" si="69"/>
        <v>[AZyWpGzhcaA]|50+|Male|TX_CURR_SUBNAT.T_1|CY2024Q3</v>
      </c>
    </row>
    <row r="2242" spans="4:18" x14ac:dyDescent="0.2">
      <c r="D2242" t="s">
        <v>114</v>
      </c>
      <c r="E2242" t="s">
        <v>115</v>
      </c>
      <c r="F2242" t="s">
        <v>116</v>
      </c>
      <c r="G2242" t="s">
        <v>146</v>
      </c>
      <c r="H2242" t="s">
        <v>147</v>
      </c>
      <c r="I2242" t="s">
        <v>28</v>
      </c>
      <c r="J2242" t="s">
        <v>29</v>
      </c>
      <c r="K2242" t="s">
        <v>30</v>
      </c>
      <c r="L2242" t="s">
        <v>31</v>
      </c>
      <c r="M2242" t="s">
        <v>140</v>
      </c>
      <c r="N2242">
        <v>10</v>
      </c>
      <c r="O2242">
        <v>4.8239314999999998E-2</v>
      </c>
      <c r="P2242">
        <v>1.181743E-2</v>
      </c>
      <c r="Q2242" t="str">
        <f t="shared" si="68"/>
        <v>&lt;01</v>
      </c>
      <c r="R2242" t="str">
        <f t="shared" si="69"/>
        <v>[ir8wuHHzoSs]|&lt;01|Female|TX_CURR_SUBNAT.T_1|CY2024Q3</v>
      </c>
    </row>
    <row r="2243" spans="4:18" x14ac:dyDescent="0.2">
      <c r="D2243" t="s">
        <v>114</v>
      </c>
      <c r="E2243" t="s">
        <v>115</v>
      </c>
      <c r="F2243" t="s">
        <v>116</v>
      </c>
      <c r="G2243" t="s">
        <v>146</v>
      </c>
      <c r="H2243" t="s">
        <v>147</v>
      </c>
      <c r="I2243" t="s">
        <v>33</v>
      </c>
      <c r="J2243" t="s">
        <v>34</v>
      </c>
      <c r="K2243" t="s">
        <v>30</v>
      </c>
      <c r="L2243" t="s">
        <v>31</v>
      </c>
      <c r="M2243" t="s">
        <v>140</v>
      </c>
      <c r="N2243">
        <v>215</v>
      </c>
      <c r="O2243">
        <v>4.0256140000000003E-2</v>
      </c>
      <c r="P2243">
        <v>1.181743E-2</v>
      </c>
      <c r="Q2243" t="str">
        <f t="shared" ref="Q2243:Q2306" si="70">SUBSTITUTE(SUBSTITUTE($I2243,CHAR(61),""),CHAR(34),"")</f>
        <v>01-09</v>
      </c>
      <c r="R2243" t="str">
        <f t="shared" ref="R2243:R2306" si="71">IF($D2243&lt;&gt;"","["&amp;$E2243&amp;"]"&amp;"|"&amp;$Q2243&amp;"|"&amp;$K2243&amp;"|"&amp;$G2243&amp;"|"&amp;IF($G2243="TX_CURR_SUBNAT.R","CY2023Q4",$M2243),"")</f>
        <v>[ir8wuHHzoSs]|01-09|Female|TX_CURR_SUBNAT.T_1|CY2024Q3</v>
      </c>
    </row>
    <row r="2244" spans="4:18" x14ac:dyDescent="0.2">
      <c r="D2244" t="s">
        <v>114</v>
      </c>
      <c r="E2244" t="s">
        <v>115</v>
      </c>
      <c r="F2244" t="s">
        <v>116</v>
      </c>
      <c r="G2244" t="s">
        <v>146</v>
      </c>
      <c r="H2244" t="s">
        <v>147</v>
      </c>
      <c r="I2244" t="s">
        <v>36</v>
      </c>
      <c r="J2244" t="s">
        <v>37</v>
      </c>
      <c r="K2244" t="s">
        <v>30</v>
      </c>
      <c r="L2244" t="s">
        <v>31</v>
      </c>
      <c r="M2244" t="s">
        <v>140</v>
      </c>
      <c r="N2244">
        <v>279</v>
      </c>
      <c r="O2244">
        <v>3.2069041E-2</v>
      </c>
      <c r="P2244">
        <v>1.181743E-2</v>
      </c>
      <c r="Q2244" t="str">
        <f t="shared" si="70"/>
        <v>10-14</v>
      </c>
      <c r="R2244" t="str">
        <f t="shared" si="71"/>
        <v>[ir8wuHHzoSs]|10-14|Female|TX_CURR_SUBNAT.T_1|CY2024Q3</v>
      </c>
    </row>
    <row r="2245" spans="4:18" x14ac:dyDescent="0.2">
      <c r="D2245" t="s">
        <v>114</v>
      </c>
      <c r="E2245" t="s">
        <v>115</v>
      </c>
      <c r="F2245" t="s">
        <v>116</v>
      </c>
      <c r="G2245" t="s">
        <v>146</v>
      </c>
      <c r="H2245" t="s">
        <v>147</v>
      </c>
      <c r="I2245" t="s">
        <v>38</v>
      </c>
      <c r="J2245" t="s">
        <v>39</v>
      </c>
      <c r="K2245" t="s">
        <v>30</v>
      </c>
      <c r="L2245" t="s">
        <v>31</v>
      </c>
      <c r="M2245" t="s">
        <v>140</v>
      </c>
      <c r="N2245">
        <v>1207</v>
      </c>
      <c r="O2245">
        <v>6.1347089E-2</v>
      </c>
      <c r="P2245">
        <v>1.181743E-2</v>
      </c>
      <c r="Q2245" t="str">
        <f t="shared" si="70"/>
        <v>15-24</v>
      </c>
      <c r="R2245" t="str">
        <f t="shared" si="71"/>
        <v>[ir8wuHHzoSs]|15-24|Female|TX_CURR_SUBNAT.T_1|CY2024Q3</v>
      </c>
    </row>
    <row r="2246" spans="4:18" x14ac:dyDescent="0.2">
      <c r="D2246" t="s">
        <v>114</v>
      </c>
      <c r="E2246" t="s">
        <v>115</v>
      </c>
      <c r="F2246" t="s">
        <v>116</v>
      </c>
      <c r="G2246" t="s">
        <v>146</v>
      </c>
      <c r="H2246" t="s">
        <v>147</v>
      </c>
      <c r="I2246" t="s">
        <v>41</v>
      </c>
      <c r="J2246" t="s">
        <v>42</v>
      </c>
      <c r="K2246" t="s">
        <v>30</v>
      </c>
      <c r="L2246" t="s">
        <v>31</v>
      </c>
      <c r="M2246" t="s">
        <v>140</v>
      </c>
      <c r="N2246">
        <v>2934</v>
      </c>
      <c r="O2246">
        <v>3.6295497000000003E-2</v>
      </c>
      <c r="P2246">
        <v>1.181743E-2</v>
      </c>
      <c r="Q2246" t="str">
        <f t="shared" si="70"/>
        <v>25-34</v>
      </c>
      <c r="R2246" t="str">
        <f t="shared" si="71"/>
        <v>[ir8wuHHzoSs]|25-34|Female|TX_CURR_SUBNAT.T_1|CY2024Q3</v>
      </c>
    </row>
    <row r="2247" spans="4:18" x14ac:dyDescent="0.2">
      <c r="D2247" t="s">
        <v>114</v>
      </c>
      <c r="E2247" t="s">
        <v>115</v>
      </c>
      <c r="F2247" t="s">
        <v>116</v>
      </c>
      <c r="G2247" t="s">
        <v>146</v>
      </c>
      <c r="H2247" t="s">
        <v>147</v>
      </c>
      <c r="I2247" t="s">
        <v>43</v>
      </c>
      <c r="J2247" t="s">
        <v>44</v>
      </c>
      <c r="K2247" t="s">
        <v>30</v>
      </c>
      <c r="L2247" t="s">
        <v>31</v>
      </c>
      <c r="M2247" t="s">
        <v>140</v>
      </c>
      <c r="N2247">
        <v>7429</v>
      </c>
      <c r="O2247">
        <v>2.2798958000000001E-2</v>
      </c>
      <c r="P2247">
        <v>1.181743E-2</v>
      </c>
      <c r="Q2247" t="str">
        <f t="shared" si="70"/>
        <v>35-49</v>
      </c>
      <c r="R2247" t="str">
        <f t="shared" si="71"/>
        <v>[ir8wuHHzoSs]|35-49|Female|TX_CURR_SUBNAT.T_1|CY2024Q3</v>
      </c>
    </row>
    <row r="2248" spans="4:18" x14ac:dyDescent="0.2">
      <c r="D2248" t="s">
        <v>114</v>
      </c>
      <c r="E2248" t="s">
        <v>115</v>
      </c>
      <c r="F2248" t="s">
        <v>116</v>
      </c>
      <c r="G2248" t="s">
        <v>146</v>
      </c>
      <c r="H2248" t="s">
        <v>147</v>
      </c>
      <c r="I2248" t="s">
        <v>45</v>
      </c>
      <c r="J2248" t="s">
        <v>46</v>
      </c>
      <c r="K2248" t="s">
        <v>30</v>
      </c>
      <c r="L2248" t="s">
        <v>31</v>
      </c>
      <c r="M2248" t="s">
        <v>140</v>
      </c>
      <c r="N2248">
        <v>3756</v>
      </c>
      <c r="O2248">
        <v>3.6088800999999997E-2</v>
      </c>
      <c r="P2248">
        <v>1.181743E-2</v>
      </c>
      <c r="Q2248" t="str">
        <f t="shared" si="70"/>
        <v>50+</v>
      </c>
      <c r="R2248" t="str">
        <f t="shared" si="71"/>
        <v>[ir8wuHHzoSs]|50+|Female|TX_CURR_SUBNAT.T_1|CY2024Q3</v>
      </c>
    </row>
    <row r="2249" spans="4:18" x14ac:dyDescent="0.2">
      <c r="D2249" t="s">
        <v>114</v>
      </c>
      <c r="E2249" t="s">
        <v>115</v>
      </c>
      <c r="F2249" t="s">
        <v>116</v>
      </c>
      <c r="G2249" t="s">
        <v>146</v>
      </c>
      <c r="H2249" t="s">
        <v>147</v>
      </c>
      <c r="I2249" t="s">
        <v>28</v>
      </c>
      <c r="J2249" t="s">
        <v>29</v>
      </c>
      <c r="K2249" t="s">
        <v>48</v>
      </c>
      <c r="L2249" t="s">
        <v>49</v>
      </c>
      <c r="M2249" t="s">
        <v>140</v>
      </c>
      <c r="N2249">
        <v>10</v>
      </c>
      <c r="O2249">
        <v>3.0554069999999999E-2</v>
      </c>
      <c r="P2249">
        <v>1.181743E-2</v>
      </c>
      <c r="Q2249" t="str">
        <f t="shared" si="70"/>
        <v>&lt;01</v>
      </c>
      <c r="R2249" t="str">
        <f t="shared" si="71"/>
        <v>[ir8wuHHzoSs]|&lt;01|Male|TX_CURR_SUBNAT.T_1|CY2024Q3</v>
      </c>
    </row>
    <row r="2250" spans="4:18" x14ac:dyDescent="0.2">
      <c r="D2250" t="s">
        <v>114</v>
      </c>
      <c r="E2250" t="s">
        <v>115</v>
      </c>
      <c r="F2250" t="s">
        <v>116</v>
      </c>
      <c r="G2250" t="s">
        <v>146</v>
      </c>
      <c r="H2250" t="s">
        <v>147</v>
      </c>
      <c r="I2250" t="s">
        <v>33</v>
      </c>
      <c r="J2250" t="s">
        <v>34</v>
      </c>
      <c r="K2250" t="s">
        <v>48</v>
      </c>
      <c r="L2250" t="s">
        <v>49</v>
      </c>
      <c r="M2250" t="s">
        <v>140</v>
      </c>
      <c r="N2250">
        <v>222</v>
      </c>
      <c r="O2250">
        <v>2.8781508000000001E-2</v>
      </c>
      <c r="P2250">
        <v>1.181743E-2</v>
      </c>
      <c r="Q2250" t="str">
        <f t="shared" si="70"/>
        <v>01-09</v>
      </c>
      <c r="R2250" t="str">
        <f t="shared" si="71"/>
        <v>[ir8wuHHzoSs]|01-09|Male|TX_CURR_SUBNAT.T_1|CY2024Q3</v>
      </c>
    </row>
    <row r="2251" spans="4:18" x14ac:dyDescent="0.2">
      <c r="D2251" t="s">
        <v>114</v>
      </c>
      <c r="E2251" t="s">
        <v>115</v>
      </c>
      <c r="F2251" t="s">
        <v>116</v>
      </c>
      <c r="G2251" t="s">
        <v>146</v>
      </c>
      <c r="H2251" t="s">
        <v>147</v>
      </c>
      <c r="I2251" t="s">
        <v>36</v>
      </c>
      <c r="J2251" t="s">
        <v>37</v>
      </c>
      <c r="K2251" t="s">
        <v>48</v>
      </c>
      <c r="L2251" t="s">
        <v>49</v>
      </c>
      <c r="M2251" t="s">
        <v>140</v>
      </c>
      <c r="N2251">
        <v>290</v>
      </c>
      <c r="O2251">
        <v>2.8429842E-2</v>
      </c>
      <c r="P2251">
        <v>1.181743E-2</v>
      </c>
      <c r="Q2251" t="str">
        <f t="shared" si="70"/>
        <v>10-14</v>
      </c>
      <c r="R2251" t="str">
        <f t="shared" si="71"/>
        <v>[ir8wuHHzoSs]|10-14|Male|TX_CURR_SUBNAT.T_1|CY2024Q3</v>
      </c>
    </row>
    <row r="2252" spans="4:18" x14ac:dyDescent="0.2">
      <c r="D2252" t="s">
        <v>114</v>
      </c>
      <c r="E2252" t="s">
        <v>115</v>
      </c>
      <c r="F2252" t="s">
        <v>116</v>
      </c>
      <c r="G2252" t="s">
        <v>146</v>
      </c>
      <c r="H2252" t="s">
        <v>147</v>
      </c>
      <c r="I2252" t="s">
        <v>38</v>
      </c>
      <c r="J2252" t="s">
        <v>39</v>
      </c>
      <c r="K2252" t="s">
        <v>48</v>
      </c>
      <c r="L2252" t="s">
        <v>49</v>
      </c>
      <c r="M2252" t="s">
        <v>140</v>
      </c>
      <c r="N2252">
        <v>786</v>
      </c>
      <c r="O2252">
        <v>6.4053592000000006E-2</v>
      </c>
      <c r="P2252">
        <v>1.181743E-2</v>
      </c>
      <c r="Q2252" t="str">
        <f t="shared" si="70"/>
        <v>15-24</v>
      </c>
      <c r="R2252" t="str">
        <f t="shared" si="71"/>
        <v>[ir8wuHHzoSs]|15-24|Male|TX_CURR_SUBNAT.T_1|CY2024Q3</v>
      </c>
    </row>
    <row r="2253" spans="4:18" x14ac:dyDescent="0.2">
      <c r="D2253" t="s">
        <v>114</v>
      </c>
      <c r="E2253" t="s">
        <v>115</v>
      </c>
      <c r="F2253" t="s">
        <v>116</v>
      </c>
      <c r="G2253" t="s">
        <v>146</v>
      </c>
      <c r="H2253" t="s">
        <v>147</v>
      </c>
      <c r="I2253" t="s">
        <v>41</v>
      </c>
      <c r="J2253" t="s">
        <v>42</v>
      </c>
      <c r="K2253" t="s">
        <v>48</v>
      </c>
      <c r="L2253" t="s">
        <v>49</v>
      </c>
      <c r="M2253" t="s">
        <v>140</v>
      </c>
      <c r="N2253">
        <v>813</v>
      </c>
      <c r="O2253">
        <v>6.3627223999999996E-2</v>
      </c>
      <c r="P2253">
        <v>1.181743E-2</v>
      </c>
      <c r="Q2253" t="str">
        <f t="shared" si="70"/>
        <v>25-34</v>
      </c>
      <c r="R2253" t="str">
        <f t="shared" si="71"/>
        <v>[ir8wuHHzoSs]|25-34|Male|TX_CURR_SUBNAT.T_1|CY2024Q3</v>
      </c>
    </row>
    <row r="2254" spans="4:18" x14ac:dyDescent="0.2">
      <c r="D2254" t="s">
        <v>114</v>
      </c>
      <c r="E2254" t="s">
        <v>115</v>
      </c>
      <c r="F2254" t="s">
        <v>116</v>
      </c>
      <c r="G2254" t="s">
        <v>146</v>
      </c>
      <c r="H2254" t="s">
        <v>147</v>
      </c>
      <c r="I2254" t="s">
        <v>43</v>
      </c>
      <c r="J2254" t="s">
        <v>44</v>
      </c>
      <c r="K2254" t="s">
        <v>48</v>
      </c>
      <c r="L2254" t="s">
        <v>49</v>
      </c>
      <c r="M2254" t="s">
        <v>140</v>
      </c>
      <c r="N2254">
        <v>3088</v>
      </c>
      <c r="O2254">
        <v>3.1814563999999997E-2</v>
      </c>
      <c r="P2254">
        <v>1.181743E-2</v>
      </c>
      <c r="Q2254" t="str">
        <f t="shared" si="70"/>
        <v>35-49</v>
      </c>
      <c r="R2254" t="str">
        <f t="shared" si="71"/>
        <v>[ir8wuHHzoSs]|35-49|Male|TX_CURR_SUBNAT.T_1|CY2024Q3</v>
      </c>
    </row>
    <row r="2255" spans="4:18" x14ac:dyDescent="0.2">
      <c r="D2255" t="s">
        <v>114</v>
      </c>
      <c r="E2255" t="s">
        <v>115</v>
      </c>
      <c r="F2255" t="s">
        <v>116</v>
      </c>
      <c r="G2255" t="s">
        <v>146</v>
      </c>
      <c r="H2255" t="s">
        <v>147</v>
      </c>
      <c r="I2255" t="s">
        <v>45</v>
      </c>
      <c r="J2255" t="s">
        <v>46</v>
      </c>
      <c r="K2255" t="s">
        <v>48</v>
      </c>
      <c r="L2255" t="s">
        <v>49</v>
      </c>
      <c r="M2255" t="s">
        <v>140</v>
      </c>
      <c r="N2255">
        <v>2444</v>
      </c>
      <c r="O2255">
        <v>3.5749230999999999E-2</v>
      </c>
      <c r="P2255">
        <v>1.181743E-2</v>
      </c>
      <c r="Q2255" t="str">
        <f t="shared" si="70"/>
        <v>50+</v>
      </c>
      <c r="R2255" t="str">
        <f t="shared" si="71"/>
        <v>[ir8wuHHzoSs]|50+|Male|TX_CURR_SUBNAT.T_1|CY2024Q3</v>
      </c>
    </row>
    <row r="2256" spans="4:18" x14ac:dyDescent="0.2">
      <c r="D2256" t="s">
        <v>117</v>
      </c>
      <c r="E2256" t="s">
        <v>118</v>
      </c>
      <c r="F2256" t="s">
        <v>119</v>
      </c>
      <c r="G2256" t="s">
        <v>146</v>
      </c>
      <c r="H2256" t="s">
        <v>147</v>
      </c>
      <c r="I2256" t="s">
        <v>28</v>
      </c>
      <c r="J2256" t="s">
        <v>29</v>
      </c>
      <c r="K2256" t="s">
        <v>30</v>
      </c>
      <c r="L2256" t="s">
        <v>31</v>
      </c>
      <c r="M2256" t="s">
        <v>140</v>
      </c>
      <c r="N2256">
        <v>12</v>
      </c>
      <c r="O2256">
        <v>4.0403480999999998E-2</v>
      </c>
      <c r="P2256">
        <v>7.8117220000000001E-3</v>
      </c>
      <c r="Q2256" t="str">
        <f t="shared" si="70"/>
        <v>&lt;01</v>
      </c>
      <c r="R2256" t="str">
        <f t="shared" si="71"/>
        <v>[oiPR2CiVJbf]|&lt;01|Female|TX_CURR_SUBNAT.T_1|CY2024Q3</v>
      </c>
    </row>
    <row r="2257" spans="4:18" x14ac:dyDescent="0.2">
      <c r="D2257" t="s">
        <v>117</v>
      </c>
      <c r="E2257" t="s">
        <v>118</v>
      </c>
      <c r="F2257" t="s">
        <v>119</v>
      </c>
      <c r="G2257" t="s">
        <v>146</v>
      </c>
      <c r="H2257" t="s">
        <v>147</v>
      </c>
      <c r="I2257" t="s">
        <v>33</v>
      </c>
      <c r="J2257" t="s">
        <v>34</v>
      </c>
      <c r="K2257" t="s">
        <v>30</v>
      </c>
      <c r="L2257" t="s">
        <v>31</v>
      </c>
      <c r="M2257" t="s">
        <v>140</v>
      </c>
      <c r="N2257">
        <v>238</v>
      </c>
      <c r="O2257">
        <v>3.5796659000000002E-2</v>
      </c>
      <c r="P2257">
        <v>7.8117220000000001E-3</v>
      </c>
      <c r="Q2257" t="str">
        <f t="shared" si="70"/>
        <v>01-09</v>
      </c>
      <c r="R2257" t="str">
        <f t="shared" si="71"/>
        <v>[oiPR2CiVJbf]|01-09|Female|TX_CURR_SUBNAT.T_1|CY2024Q3</v>
      </c>
    </row>
    <row r="2258" spans="4:18" x14ac:dyDescent="0.2">
      <c r="D2258" t="s">
        <v>117</v>
      </c>
      <c r="E2258" t="s">
        <v>118</v>
      </c>
      <c r="F2258" t="s">
        <v>119</v>
      </c>
      <c r="G2258" t="s">
        <v>146</v>
      </c>
      <c r="H2258" t="s">
        <v>147</v>
      </c>
      <c r="I2258" t="s">
        <v>36</v>
      </c>
      <c r="J2258" t="s">
        <v>37</v>
      </c>
      <c r="K2258" t="s">
        <v>30</v>
      </c>
      <c r="L2258" t="s">
        <v>31</v>
      </c>
      <c r="M2258" t="s">
        <v>140</v>
      </c>
      <c r="N2258">
        <v>305</v>
      </c>
      <c r="O2258">
        <v>3.1068376000000002E-2</v>
      </c>
      <c r="P2258">
        <v>7.8117220000000001E-3</v>
      </c>
      <c r="Q2258" t="str">
        <f t="shared" si="70"/>
        <v>10-14</v>
      </c>
      <c r="R2258" t="str">
        <f t="shared" si="71"/>
        <v>[oiPR2CiVJbf]|10-14|Female|TX_CURR_SUBNAT.T_1|CY2024Q3</v>
      </c>
    </row>
    <row r="2259" spans="4:18" x14ac:dyDescent="0.2">
      <c r="D2259" t="s">
        <v>117</v>
      </c>
      <c r="E2259" t="s">
        <v>118</v>
      </c>
      <c r="F2259" t="s">
        <v>119</v>
      </c>
      <c r="G2259" t="s">
        <v>146</v>
      </c>
      <c r="H2259" t="s">
        <v>147</v>
      </c>
      <c r="I2259" t="s">
        <v>38</v>
      </c>
      <c r="J2259" t="s">
        <v>39</v>
      </c>
      <c r="K2259" t="s">
        <v>30</v>
      </c>
      <c r="L2259" t="s">
        <v>31</v>
      </c>
      <c r="M2259" t="s">
        <v>140</v>
      </c>
      <c r="N2259">
        <v>2119</v>
      </c>
      <c r="O2259">
        <v>6.2298509000000002E-2</v>
      </c>
      <c r="P2259">
        <v>7.8117220000000001E-3</v>
      </c>
      <c r="Q2259" t="str">
        <f t="shared" si="70"/>
        <v>15-24</v>
      </c>
      <c r="R2259" t="str">
        <f t="shared" si="71"/>
        <v>[oiPR2CiVJbf]|15-24|Female|TX_CURR_SUBNAT.T_1|CY2024Q3</v>
      </c>
    </row>
    <row r="2260" spans="4:18" x14ac:dyDescent="0.2">
      <c r="D2260" t="s">
        <v>117</v>
      </c>
      <c r="E2260" t="s">
        <v>118</v>
      </c>
      <c r="F2260" t="s">
        <v>119</v>
      </c>
      <c r="G2260" t="s">
        <v>146</v>
      </c>
      <c r="H2260" t="s">
        <v>147</v>
      </c>
      <c r="I2260" t="s">
        <v>41</v>
      </c>
      <c r="J2260" t="s">
        <v>42</v>
      </c>
      <c r="K2260" t="s">
        <v>30</v>
      </c>
      <c r="L2260" t="s">
        <v>31</v>
      </c>
      <c r="M2260" t="s">
        <v>140</v>
      </c>
      <c r="N2260">
        <v>5509</v>
      </c>
      <c r="O2260">
        <v>3.3128813999999999E-2</v>
      </c>
      <c r="P2260">
        <v>7.8117220000000001E-3</v>
      </c>
      <c r="Q2260" t="str">
        <f t="shared" si="70"/>
        <v>25-34</v>
      </c>
      <c r="R2260" t="str">
        <f t="shared" si="71"/>
        <v>[oiPR2CiVJbf]|25-34|Female|TX_CURR_SUBNAT.T_1|CY2024Q3</v>
      </c>
    </row>
    <row r="2261" spans="4:18" x14ac:dyDescent="0.2">
      <c r="D2261" t="s">
        <v>117</v>
      </c>
      <c r="E2261" t="s">
        <v>118</v>
      </c>
      <c r="F2261" t="s">
        <v>119</v>
      </c>
      <c r="G2261" t="s">
        <v>146</v>
      </c>
      <c r="H2261" t="s">
        <v>147</v>
      </c>
      <c r="I2261" t="s">
        <v>43</v>
      </c>
      <c r="J2261" t="s">
        <v>44</v>
      </c>
      <c r="K2261" t="s">
        <v>30</v>
      </c>
      <c r="L2261" t="s">
        <v>31</v>
      </c>
      <c r="M2261" t="s">
        <v>140</v>
      </c>
      <c r="N2261">
        <v>13976</v>
      </c>
      <c r="O2261">
        <v>1.9576718999999999E-2</v>
      </c>
      <c r="P2261">
        <v>7.8117220000000001E-3</v>
      </c>
      <c r="Q2261" t="str">
        <f t="shared" si="70"/>
        <v>35-49</v>
      </c>
      <c r="R2261" t="str">
        <f t="shared" si="71"/>
        <v>[oiPR2CiVJbf]|35-49|Female|TX_CURR_SUBNAT.T_1|CY2024Q3</v>
      </c>
    </row>
    <row r="2262" spans="4:18" x14ac:dyDescent="0.2">
      <c r="D2262" t="s">
        <v>117</v>
      </c>
      <c r="E2262" t="s">
        <v>118</v>
      </c>
      <c r="F2262" t="s">
        <v>119</v>
      </c>
      <c r="G2262" t="s">
        <v>146</v>
      </c>
      <c r="H2262" t="s">
        <v>147</v>
      </c>
      <c r="I2262" t="s">
        <v>45</v>
      </c>
      <c r="J2262" t="s">
        <v>46</v>
      </c>
      <c r="K2262" t="s">
        <v>30</v>
      </c>
      <c r="L2262" t="s">
        <v>31</v>
      </c>
      <c r="M2262" t="s">
        <v>140</v>
      </c>
      <c r="N2262">
        <v>7401</v>
      </c>
      <c r="O2262">
        <v>3.1412432999999997E-2</v>
      </c>
      <c r="P2262">
        <v>7.8117220000000001E-3</v>
      </c>
      <c r="Q2262" t="str">
        <f t="shared" si="70"/>
        <v>50+</v>
      </c>
      <c r="R2262" t="str">
        <f t="shared" si="71"/>
        <v>[oiPR2CiVJbf]|50+|Female|TX_CURR_SUBNAT.T_1|CY2024Q3</v>
      </c>
    </row>
    <row r="2263" spans="4:18" x14ac:dyDescent="0.2">
      <c r="D2263" t="s">
        <v>117</v>
      </c>
      <c r="E2263" t="s">
        <v>118</v>
      </c>
      <c r="F2263" t="s">
        <v>119</v>
      </c>
      <c r="G2263" t="s">
        <v>146</v>
      </c>
      <c r="H2263" t="s">
        <v>147</v>
      </c>
      <c r="I2263" t="s">
        <v>28</v>
      </c>
      <c r="J2263" t="s">
        <v>29</v>
      </c>
      <c r="K2263" t="s">
        <v>48</v>
      </c>
      <c r="L2263" t="s">
        <v>49</v>
      </c>
      <c r="M2263" t="s">
        <v>140</v>
      </c>
      <c r="N2263">
        <v>13</v>
      </c>
      <c r="O2263">
        <v>3.1151644999999999E-2</v>
      </c>
      <c r="P2263">
        <v>7.8117220000000001E-3</v>
      </c>
      <c r="Q2263" t="str">
        <f t="shared" si="70"/>
        <v>&lt;01</v>
      </c>
      <c r="R2263" t="str">
        <f t="shared" si="71"/>
        <v>[oiPR2CiVJbf]|&lt;01|Male|TX_CURR_SUBNAT.T_1|CY2024Q3</v>
      </c>
    </row>
    <row r="2264" spans="4:18" x14ac:dyDescent="0.2">
      <c r="D2264" t="s">
        <v>117</v>
      </c>
      <c r="E2264" t="s">
        <v>118</v>
      </c>
      <c r="F2264" t="s">
        <v>119</v>
      </c>
      <c r="G2264" t="s">
        <v>146</v>
      </c>
      <c r="H2264" t="s">
        <v>147</v>
      </c>
      <c r="I2264" t="s">
        <v>33</v>
      </c>
      <c r="J2264" t="s">
        <v>34</v>
      </c>
      <c r="K2264" t="s">
        <v>48</v>
      </c>
      <c r="L2264" t="s">
        <v>49</v>
      </c>
      <c r="M2264" t="s">
        <v>140</v>
      </c>
      <c r="N2264">
        <v>267</v>
      </c>
      <c r="O2264">
        <v>2.8591403000000001E-2</v>
      </c>
      <c r="P2264">
        <v>7.8117220000000001E-3</v>
      </c>
      <c r="Q2264" t="str">
        <f t="shared" si="70"/>
        <v>01-09</v>
      </c>
      <c r="R2264" t="str">
        <f t="shared" si="71"/>
        <v>[oiPR2CiVJbf]|01-09|Male|TX_CURR_SUBNAT.T_1|CY2024Q3</v>
      </c>
    </row>
    <row r="2265" spans="4:18" x14ac:dyDescent="0.2">
      <c r="D2265" t="s">
        <v>117</v>
      </c>
      <c r="E2265" t="s">
        <v>118</v>
      </c>
      <c r="F2265" t="s">
        <v>119</v>
      </c>
      <c r="G2265" t="s">
        <v>146</v>
      </c>
      <c r="H2265" t="s">
        <v>147</v>
      </c>
      <c r="I2265" t="s">
        <v>36</v>
      </c>
      <c r="J2265" t="s">
        <v>37</v>
      </c>
      <c r="K2265" t="s">
        <v>48</v>
      </c>
      <c r="L2265" t="s">
        <v>49</v>
      </c>
      <c r="M2265" t="s">
        <v>140</v>
      </c>
      <c r="N2265">
        <v>341</v>
      </c>
      <c r="O2265">
        <v>2.6729820000000001E-2</v>
      </c>
      <c r="P2265">
        <v>7.8117220000000001E-3</v>
      </c>
      <c r="Q2265" t="str">
        <f t="shared" si="70"/>
        <v>10-14</v>
      </c>
      <c r="R2265" t="str">
        <f t="shared" si="71"/>
        <v>[oiPR2CiVJbf]|10-14|Male|TX_CURR_SUBNAT.T_1|CY2024Q3</v>
      </c>
    </row>
    <row r="2266" spans="4:18" x14ac:dyDescent="0.2">
      <c r="D2266" t="s">
        <v>117</v>
      </c>
      <c r="E2266" t="s">
        <v>118</v>
      </c>
      <c r="F2266" t="s">
        <v>119</v>
      </c>
      <c r="G2266" t="s">
        <v>146</v>
      </c>
      <c r="H2266" t="s">
        <v>147</v>
      </c>
      <c r="I2266" t="s">
        <v>38</v>
      </c>
      <c r="J2266" t="s">
        <v>39</v>
      </c>
      <c r="K2266" t="s">
        <v>48</v>
      </c>
      <c r="L2266" t="s">
        <v>49</v>
      </c>
      <c r="M2266" t="s">
        <v>140</v>
      </c>
      <c r="N2266">
        <v>1479</v>
      </c>
      <c r="O2266">
        <v>7.1669125E-2</v>
      </c>
      <c r="P2266">
        <v>7.8117220000000001E-3</v>
      </c>
      <c r="Q2266" t="str">
        <f t="shared" si="70"/>
        <v>15-24</v>
      </c>
      <c r="R2266" t="str">
        <f t="shared" si="71"/>
        <v>[oiPR2CiVJbf]|15-24|Male|TX_CURR_SUBNAT.T_1|CY2024Q3</v>
      </c>
    </row>
    <row r="2267" spans="4:18" x14ac:dyDescent="0.2">
      <c r="D2267" t="s">
        <v>117</v>
      </c>
      <c r="E2267" t="s">
        <v>118</v>
      </c>
      <c r="F2267" t="s">
        <v>119</v>
      </c>
      <c r="G2267" t="s">
        <v>146</v>
      </c>
      <c r="H2267" t="s">
        <v>147</v>
      </c>
      <c r="I2267" t="s">
        <v>41</v>
      </c>
      <c r="J2267" t="s">
        <v>42</v>
      </c>
      <c r="K2267" t="s">
        <v>48</v>
      </c>
      <c r="L2267" t="s">
        <v>49</v>
      </c>
      <c r="M2267" t="s">
        <v>140</v>
      </c>
      <c r="N2267">
        <v>1913</v>
      </c>
      <c r="O2267">
        <v>6.1225795999999999E-2</v>
      </c>
      <c r="P2267">
        <v>7.8117220000000001E-3</v>
      </c>
      <c r="Q2267" t="str">
        <f t="shared" si="70"/>
        <v>25-34</v>
      </c>
      <c r="R2267" t="str">
        <f t="shared" si="71"/>
        <v>[oiPR2CiVJbf]|25-34|Male|TX_CURR_SUBNAT.T_1|CY2024Q3</v>
      </c>
    </row>
    <row r="2268" spans="4:18" x14ac:dyDescent="0.2">
      <c r="D2268" t="s">
        <v>117</v>
      </c>
      <c r="E2268" t="s">
        <v>118</v>
      </c>
      <c r="F2268" t="s">
        <v>119</v>
      </c>
      <c r="G2268" t="s">
        <v>146</v>
      </c>
      <c r="H2268" t="s">
        <v>147</v>
      </c>
      <c r="I2268" t="s">
        <v>43</v>
      </c>
      <c r="J2268" t="s">
        <v>44</v>
      </c>
      <c r="K2268" t="s">
        <v>48</v>
      </c>
      <c r="L2268" t="s">
        <v>49</v>
      </c>
      <c r="M2268" t="s">
        <v>140</v>
      </c>
      <c r="N2268">
        <v>6856</v>
      </c>
      <c r="O2268">
        <v>2.8176599E-2</v>
      </c>
      <c r="P2268">
        <v>7.8117220000000001E-3</v>
      </c>
      <c r="Q2268" t="str">
        <f t="shared" si="70"/>
        <v>35-49</v>
      </c>
      <c r="R2268" t="str">
        <f t="shared" si="71"/>
        <v>[oiPR2CiVJbf]|35-49|Male|TX_CURR_SUBNAT.T_1|CY2024Q3</v>
      </c>
    </row>
    <row r="2269" spans="4:18" x14ac:dyDescent="0.2">
      <c r="D2269" t="s">
        <v>117</v>
      </c>
      <c r="E2269" t="s">
        <v>118</v>
      </c>
      <c r="F2269" t="s">
        <v>119</v>
      </c>
      <c r="G2269" t="s">
        <v>146</v>
      </c>
      <c r="H2269" t="s">
        <v>147</v>
      </c>
      <c r="I2269" t="s">
        <v>45</v>
      </c>
      <c r="J2269" t="s">
        <v>46</v>
      </c>
      <c r="K2269" t="s">
        <v>48</v>
      </c>
      <c r="L2269" t="s">
        <v>49</v>
      </c>
      <c r="M2269" t="s">
        <v>140</v>
      </c>
      <c r="N2269">
        <v>5096</v>
      </c>
      <c r="O2269">
        <v>3.1638074000000002E-2</v>
      </c>
      <c r="P2269">
        <v>7.8117220000000001E-3</v>
      </c>
      <c r="Q2269" t="str">
        <f t="shared" si="70"/>
        <v>50+</v>
      </c>
      <c r="R2269" t="str">
        <f t="shared" si="71"/>
        <v>[oiPR2CiVJbf]|50+|Male|TX_CURR_SUBNAT.T_1|CY2024Q3</v>
      </c>
    </row>
    <row r="2270" spans="4:18" x14ac:dyDescent="0.2">
      <c r="D2270" t="s">
        <v>120</v>
      </c>
      <c r="E2270" t="s">
        <v>121</v>
      </c>
      <c r="F2270" t="s">
        <v>122</v>
      </c>
      <c r="G2270" t="s">
        <v>146</v>
      </c>
      <c r="H2270" t="s">
        <v>147</v>
      </c>
      <c r="I2270" t="s">
        <v>28</v>
      </c>
      <c r="J2270" t="s">
        <v>29</v>
      </c>
      <c r="K2270" t="s">
        <v>30</v>
      </c>
      <c r="L2270" t="s">
        <v>31</v>
      </c>
      <c r="M2270" t="s">
        <v>140</v>
      </c>
      <c r="N2270">
        <v>43</v>
      </c>
      <c r="O2270">
        <v>3.0425219999999999E-2</v>
      </c>
      <c r="P2270">
        <v>5.2777229999999998E-3</v>
      </c>
      <c r="Q2270" t="str">
        <f t="shared" si="70"/>
        <v>&lt;01</v>
      </c>
      <c r="R2270" t="str">
        <f t="shared" si="71"/>
        <v>[mxqa3CDFmIT]|&lt;01|Female|TX_CURR_SUBNAT.T_1|CY2024Q3</v>
      </c>
    </row>
    <row r="2271" spans="4:18" x14ac:dyDescent="0.2">
      <c r="D2271" t="s">
        <v>120</v>
      </c>
      <c r="E2271" t="s">
        <v>121</v>
      </c>
      <c r="F2271" t="s">
        <v>122</v>
      </c>
      <c r="G2271" t="s">
        <v>146</v>
      </c>
      <c r="H2271" t="s">
        <v>147</v>
      </c>
      <c r="I2271" t="s">
        <v>33</v>
      </c>
      <c r="J2271" t="s">
        <v>34</v>
      </c>
      <c r="K2271" t="s">
        <v>30</v>
      </c>
      <c r="L2271" t="s">
        <v>31</v>
      </c>
      <c r="M2271" t="s">
        <v>140</v>
      </c>
      <c r="N2271">
        <v>797</v>
      </c>
      <c r="O2271">
        <v>2.3949977000000001E-2</v>
      </c>
      <c r="P2271">
        <v>5.2777229999999998E-3</v>
      </c>
      <c r="Q2271" t="str">
        <f t="shared" si="70"/>
        <v>01-09</v>
      </c>
      <c r="R2271" t="str">
        <f t="shared" si="71"/>
        <v>[mxqa3CDFmIT]|01-09|Female|TX_CURR_SUBNAT.T_1|CY2024Q3</v>
      </c>
    </row>
    <row r="2272" spans="4:18" x14ac:dyDescent="0.2">
      <c r="D2272" t="s">
        <v>120</v>
      </c>
      <c r="E2272" t="s">
        <v>121</v>
      </c>
      <c r="F2272" t="s">
        <v>122</v>
      </c>
      <c r="G2272" t="s">
        <v>146</v>
      </c>
      <c r="H2272" t="s">
        <v>147</v>
      </c>
      <c r="I2272" t="s">
        <v>36</v>
      </c>
      <c r="J2272" t="s">
        <v>37</v>
      </c>
      <c r="K2272" t="s">
        <v>30</v>
      </c>
      <c r="L2272" t="s">
        <v>31</v>
      </c>
      <c r="M2272" t="s">
        <v>140</v>
      </c>
      <c r="N2272">
        <v>948</v>
      </c>
      <c r="O2272">
        <v>1.7709999000000001E-2</v>
      </c>
      <c r="P2272">
        <v>5.2777229999999998E-3</v>
      </c>
      <c r="Q2272" t="str">
        <f t="shared" si="70"/>
        <v>10-14</v>
      </c>
      <c r="R2272" t="str">
        <f t="shared" si="71"/>
        <v>[mxqa3CDFmIT]|10-14|Female|TX_CURR_SUBNAT.T_1|CY2024Q3</v>
      </c>
    </row>
    <row r="2273" spans="4:18" x14ac:dyDescent="0.2">
      <c r="D2273" t="s">
        <v>120</v>
      </c>
      <c r="E2273" t="s">
        <v>121</v>
      </c>
      <c r="F2273" t="s">
        <v>122</v>
      </c>
      <c r="G2273" t="s">
        <v>146</v>
      </c>
      <c r="H2273" t="s">
        <v>147</v>
      </c>
      <c r="I2273" t="s">
        <v>38</v>
      </c>
      <c r="J2273" t="s">
        <v>39</v>
      </c>
      <c r="K2273" t="s">
        <v>30</v>
      </c>
      <c r="L2273" t="s">
        <v>31</v>
      </c>
      <c r="M2273" t="s">
        <v>140</v>
      </c>
      <c r="N2273">
        <v>5607</v>
      </c>
      <c r="O2273">
        <v>5.9128616000000002E-2</v>
      </c>
      <c r="P2273">
        <v>5.2777229999999998E-3</v>
      </c>
      <c r="Q2273" t="str">
        <f t="shared" si="70"/>
        <v>15-24</v>
      </c>
      <c r="R2273" t="str">
        <f t="shared" si="71"/>
        <v>[mxqa3CDFmIT]|15-24|Female|TX_CURR_SUBNAT.T_1|CY2024Q3</v>
      </c>
    </row>
    <row r="2274" spans="4:18" x14ac:dyDescent="0.2">
      <c r="D2274" t="s">
        <v>120</v>
      </c>
      <c r="E2274" t="s">
        <v>121</v>
      </c>
      <c r="F2274" t="s">
        <v>122</v>
      </c>
      <c r="G2274" t="s">
        <v>146</v>
      </c>
      <c r="H2274" t="s">
        <v>147</v>
      </c>
      <c r="I2274" t="s">
        <v>41</v>
      </c>
      <c r="J2274" t="s">
        <v>42</v>
      </c>
      <c r="K2274" t="s">
        <v>30</v>
      </c>
      <c r="L2274" t="s">
        <v>31</v>
      </c>
      <c r="M2274" t="s">
        <v>140</v>
      </c>
      <c r="N2274">
        <v>16750</v>
      </c>
      <c r="O2274">
        <v>3.1935734E-2</v>
      </c>
      <c r="P2274">
        <v>5.2777229999999998E-3</v>
      </c>
      <c r="Q2274" t="str">
        <f t="shared" si="70"/>
        <v>25-34</v>
      </c>
      <c r="R2274" t="str">
        <f t="shared" si="71"/>
        <v>[mxqa3CDFmIT]|25-34|Female|TX_CURR_SUBNAT.T_1|CY2024Q3</v>
      </c>
    </row>
    <row r="2275" spans="4:18" x14ac:dyDescent="0.2">
      <c r="D2275" t="s">
        <v>120</v>
      </c>
      <c r="E2275" t="s">
        <v>121</v>
      </c>
      <c r="F2275" t="s">
        <v>122</v>
      </c>
      <c r="G2275" t="s">
        <v>146</v>
      </c>
      <c r="H2275" t="s">
        <v>147</v>
      </c>
      <c r="I2275" t="s">
        <v>43</v>
      </c>
      <c r="J2275" t="s">
        <v>44</v>
      </c>
      <c r="K2275" t="s">
        <v>30</v>
      </c>
      <c r="L2275" t="s">
        <v>31</v>
      </c>
      <c r="M2275" t="s">
        <v>140</v>
      </c>
      <c r="N2275">
        <v>37538</v>
      </c>
      <c r="O2275">
        <v>1.6550479999999999E-2</v>
      </c>
      <c r="P2275">
        <v>5.2777229999999998E-3</v>
      </c>
      <c r="Q2275" t="str">
        <f t="shared" si="70"/>
        <v>35-49</v>
      </c>
      <c r="R2275" t="str">
        <f t="shared" si="71"/>
        <v>[mxqa3CDFmIT]|35-49|Female|TX_CURR_SUBNAT.T_1|CY2024Q3</v>
      </c>
    </row>
    <row r="2276" spans="4:18" x14ac:dyDescent="0.2">
      <c r="D2276" t="s">
        <v>120</v>
      </c>
      <c r="E2276" t="s">
        <v>121</v>
      </c>
      <c r="F2276" t="s">
        <v>122</v>
      </c>
      <c r="G2276" t="s">
        <v>146</v>
      </c>
      <c r="H2276" t="s">
        <v>147</v>
      </c>
      <c r="I2276" t="s">
        <v>45</v>
      </c>
      <c r="J2276" t="s">
        <v>46</v>
      </c>
      <c r="K2276" t="s">
        <v>30</v>
      </c>
      <c r="L2276" t="s">
        <v>31</v>
      </c>
      <c r="M2276" t="s">
        <v>140</v>
      </c>
      <c r="N2276">
        <v>13790</v>
      </c>
      <c r="O2276">
        <v>3.6714851E-2</v>
      </c>
      <c r="P2276">
        <v>5.2777229999999998E-3</v>
      </c>
      <c r="Q2276" t="str">
        <f t="shared" si="70"/>
        <v>50+</v>
      </c>
      <c r="R2276" t="str">
        <f t="shared" si="71"/>
        <v>[mxqa3CDFmIT]|50+|Female|TX_CURR_SUBNAT.T_1|CY2024Q3</v>
      </c>
    </row>
    <row r="2277" spans="4:18" x14ac:dyDescent="0.2">
      <c r="D2277" t="s">
        <v>120</v>
      </c>
      <c r="E2277" t="s">
        <v>121</v>
      </c>
      <c r="F2277" t="s">
        <v>122</v>
      </c>
      <c r="G2277" t="s">
        <v>146</v>
      </c>
      <c r="H2277" t="s">
        <v>147</v>
      </c>
      <c r="I2277" t="s">
        <v>28</v>
      </c>
      <c r="J2277" t="s">
        <v>29</v>
      </c>
      <c r="K2277" t="s">
        <v>48</v>
      </c>
      <c r="L2277" t="s">
        <v>49</v>
      </c>
      <c r="M2277" t="s">
        <v>140</v>
      </c>
      <c r="N2277">
        <v>44</v>
      </c>
      <c r="O2277">
        <v>1.9476802000000001E-2</v>
      </c>
      <c r="P2277">
        <v>5.2777229999999998E-3</v>
      </c>
      <c r="Q2277" t="str">
        <f t="shared" si="70"/>
        <v>&lt;01</v>
      </c>
      <c r="R2277" t="str">
        <f t="shared" si="71"/>
        <v>[mxqa3CDFmIT]|&lt;01|Male|TX_CURR_SUBNAT.T_1|CY2024Q3</v>
      </c>
    </row>
    <row r="2278" spans="4:18" x14ac:dyDescent="0.2">
      <c r="D2278" t="s">
        <v>120</v>
      </c>
      <c r="E2278" t="s">
        <v>121</v>
      </c>
      <c r="F2278" t="s">
        <v>122</v>
      </c>
      <c r="G2278" t="s">
        <v>146</v>
      </c>
      <c r="H2278" t="s">
        <v>147</v>
      </c>
      <c r="I2278" t="s">
        <v>33</v>
      </c>
      <c r="J2278" t="s">
        <v>34</v>
      </c>
      <c r="K2278" t="s">
        <v>48</v>
      </c>
      <c r="L2278" t="s">
        <v>49</v>
      </c>
      <c r="M2278" t="s">
        <v>140</v>
      </c>
      <c r="N2278">
        <v>829</v>
      </c>
      <c r="O2278">
        <v>1.7613869000000001E-2</v>
      </c>
      <c r="P2278">
        <v>5.2777229999999998E-3</v>
      </c>
      <c r="Q2278" t="str">
        <f t="shared" si="70"/>
        <v>01-09</v>
      </c>
      <c r="R2278" t="str">
        <f t="shared" si="71"/>
        <v>[mxqa3CDFmIT]|01-09|Male|TX_CURR_SUBNAT.T_1|CY2024Q3</v>
      </c>
    </row>
    <row r="2279" spans="4:18" x14ac:dyDescent="0.2">
      <c r="D2279" t="s">
        <v>120</v>
      </c>
      <c r="E2279" t="s">
        <v>121</v>
      </c>
      <c r="F2279" t="s">
        <v>122</v>
      </c>
      <c r="G2279" t="s">
        <v>146</v>
      </c>
      <c r="H2279" t="s">
        <v>147</v>
      </c>
      <c r="I2279" t="s">
        <v>36</v>
      </c>
      <c r="J2279" t="s">
        <v>37</v>
      </c>
      <c r="K2279" t="s">
        <v>48</v>
      </c>
      <c r="L2279" t="s">
        <v>49</v>
      </c>
      <c r="M2279" t="s">
        <v>140</v>
      </c>
      <c r="N2279">
        <v>971</v>
      </c>
      <c r="O2279">
        <v>1.7761007999999998E-2</v>
      </c>
      <c r="P2279">
        <v>5.2777229999999998E-3</v>
      </c>
      <c r="Q2279" t="str">
        <f t="shared" si="70"/>
        <v>10-14</v>
      </c>
      <c r="R2279" t="str">
        <f t="shared" si="71"/>
        <v>[mxqa3CDFmIT]|10-14|Male|TX_CURR_SUBNAT.T_1|CY2024Q3</v>
      </c>
    </row>
    <row r="2280" spans="4:18" x14ac:dyDescent="0.2">
      <c r="D2280" t="s">
        <v>120</v>
      </c>
      <c r="E2280" t="s">
        <v>121</v>
      </c>
      <c r="F2280" t="s">
        <v>122</v>
      </c>
      <c r="G2280" t="s">
        <v>146</v>
      </c>
      <c r="H2280" t="s">
        <v>147</v>
      </c>
      <c r="I2280" t="s">
        <v>38</v>
      </c>
      <c r="J2280" t="s">
        <v>39</v>
      </c>
      <c r="K2280" t="s">
        <v>48</v>
      </c>
      <c r="L2280" t="s">
        <v>49</v>
      </c>
      <c r="M2280" t="s">
        <v>140</v>
      </c>
      <c r="N2280">
        <v>3767</v>
      </c>
      <c r="O2280">
        <v>7.2568603999999995E-2</v>
      </c>
      <c r="P2280">
        <v>5.2777229999999998E-3</v>
      </c>
      <c r="Q2280" t="str">
        <f t="shared" si="70"/>
        <v>15-24</v>
      </c>
      <c r="R2280" t="str">
        <f t="shared" si="71"/>
        <v>[mxqa3CDFmIT]|15-24|Male|TX_CURR_SUBNAT.T_1|CY2024Q3</v>
      </c>
    </row>
    <row r="2281" spans="4:18" x14ac:dyDescent="0.2">
      <c r="D2281" t="s">
        <v>120</v>
      </c>
      <c r="E2281" t="s">
        <v>121</v>
      </c>
      <c r="F2281" t="s">
        <v>122</v>
      </c>
      <c r="G2281" t="s">
        <v>146</v>
      </c>
      <c r="H2281" t="s">
        <v>147</v>
      </c>
      <c r="I2281" t="s">
        <v>41</v>
      </c>
      <c r="J2281" t="s">
        <v>42</v>
      </c>
      <c r="K2281" t="s">
        <v>48</v>
      </c>
      <c r="L2281" t="s">
        <v>49</v>
      </c>
      <c r="M2281" t="s">
        <v>140</v>
      </c>
      <c r="N2281">
        <v>6407</v>
      </c>
      <c r="O2281">
        <v>5.9903702000000003E-2</v>
      </c>
      <c r="P2281">
        <v>5.2777229999999998E-3</v>
      </c>
      <c r="Q2281" t="str">
        <f t="shared" si="70"/>
        <v>25-34</v>
      </c>
      <c r="R2281" t="str">
        <f t="shared" si="71"/>
        <v>[mxqa3CDFmIT]|25-34|Male|TX_CURR_SUBNAT.T_1|CY2024Q3</v>
      </c>
    </row>
    <row r="2282" spans="4:18" x14ac:dyDescent="0.2">
      <c r="D2282" t="s">
        <v>120</v>
      </c>
      <c r="E2282" t="s">
        <v>121</v>
      </c>
      <c r="F2282" t="s">
        <v>122</v>
      </c>
      <c r="G2282" t="s">
        <v>146</v>
      </c>
      <c r="H2282" t="s">
        <v>147</v>
      </c>
      <c r="I2282" t="s">
        <v>43</v>
      </c>
      <c r="J2282" t="s">
        <v>44</v>
      </c>
      <c r="K2282" t="s">
        <v>48</v>
      </c>
      <c r="L2282" t="s">
        <v>49</v>
      </c>
      <c r="M2282" t="s">
        <v>140</v>
      </c>
      <c r="N2282">
        <v>23159</v>
      </c>
      <c r="O2282">
        <v>2.5017141E-2</v>
      </c>
      <c r="P2282">
        <v>5.2777229999999998E-3</v>
      </c>
      <c r="Q2282" t="str">
        <f t="shared" si="70"/>
        <v>35-49</v>
      </c>
      <c r="R2282" t="str">
        <f t="shared" si="71"/>
        <v>[mxqa3CDFmIT]|35-49|Male|TX_CURR_SUBNAT.T_1|CY2024Q3</v>
      </c>
    </row>
    <row r="2283" spans="4:18" x14ac:dyDescent="0.2">
      <c r="D2283" t="s">
        <v>120</v>
      </c>
      <c r="E2283" t="s">
        <v>121</v>
      </c>
      <c r="F2283" t="s">
        <v>122</v>
      </c>
      <c r="G2283" t="s">
        <v>146</v>
      </c>
      <c r="H2283" t="s">
        <v>147</v>
      </c>
      <c r="I2283" t="s">
        <v>45</v>
      </c>
      <c r="J2283" t="s">
        <v>46</v>
      </c>
      <c r="K2283" t="s">
        <v>48</v>
      </c>
      <c r="L2283" t="s">
        <v>49</v>
      </c>
      <c r="M2283" t="s">
        <v>140</v>
      </c>
      <c r="N2283">
        <v>13388</v>
      </c>
      <c r="O2283">
        <v>3.3775700999999998E-2</v>
      </c>
      <c r="P2283">
        <v>5.2777229999999998E-3</v>
      </c>
      <c r="Q2283" t="str">
        <f t="shared" si="70"/>
        <v>50+</v>
      </c>
      <c r="R2283" t="str">
        <f t="shared" si="71"/>
        <v>[mxqa3CDFmIT]|50+|Male|TX_CURR_SUBNAT.T_1|CY2024Q3</v>
      </c>
    </row>
    <row r="2284" spans="4:18" x14ac:dyDescent="0.2">
      <c r="D2284" t="s">
        <v>123</v>
      </c>
      <c r="E2284" t="s">
        <v>124</v>
      </c>
      <c r="F2284" t="s">
        <v>125</v>
      </c>
      <c r="G2284" t="s">
        <v>146</v>
      </c>
      <c r="H2284" t="s">
        <v>147</v>
      </c>
      <c r="I2284" t="s">
        <v>28</v>
      </c>
      <c r="J2284" t="s">
        <v>29</v>
      </c>
      <c r="K2284" t="s">
        <v>30</v>
      </c>
      <c r="L2284" t="s">
        <v>31</v>
      </c>
      <c r="M2284" t="s">
        <v>140</v>
      </c>
      <c r="N2284">
        <v>3</v>
      </c>
      <c r="O2284">
        <v>7.2938010999999997E-2</v>
      </c>
      <c r="P2284">
        <v>1.6265096E-2</v>
      </c>
      <c r="Q2284" t="str">
        <f t="shared" si="70"/>
        <v>&lt;01</v>
      </c>
      <c r="R2284" t="str">
        <f t="shared" si="71"/>
        <v>[wNqJp8oRIcF]|&lt;01|Female|TX_CURR_SUBNAT.T_1|CY2024Q3</v>
      </c>
    </row>
    <row r="2285" spans="4:18" x14ac:dyDescent="0.2">
      <c r="D2285" t="s">
        <v>123</v>
      </c>
      <c r="E2285" t="s">
        <v>124</v>
      </c>
      <c r="F2285" t="s">
        <v>125</v>
      </c>
      <c r="G2285" t="s">
        <v>146</v>
      </c>
      <c r="H2285" t="s">
        <v>147</v>
      </c>
      <c r="I2285" t="s">
        <v>33</v>
      </c>
      <c r="J2285" t="s">
        <v>34</v>
      </c>
      <c r="K2285" t="s">
        <v>30</v>
      </c>
      <c r="L2285" t="s">
        <v>31</v>
      </c>
      <c r="M2285" t="s">
        <v>140</v>
      </c>
      <c r="N2285">
        <v>55</v>
      </c>
      <c r="O2285">
        <v>6.7750709000000006E-2</v>
      </c>
      <c r="P2285">
        <v>1.6265096E-2</v>
      </c>
      <c r="Q2285" t="str">
        <f t="shared" si="70"/>
        <v>01-09</v>
      </c>
      <c r="R2285" t="str">
        <f t="shared" si="71"/>
        <v>[wNqJp8oRIcF]|01-09|Female|TX_CURR_SUBNAT.T_1|CY2024Q3</v>
      </c>
    </row>
    <row r="2286" spans="4:18" x14ac:dyDescent="0.2">
      <c r="D2286" t="s">
        <v>123</v>
      </c>
      <c r="E2286" t="s">
        <v>124</v>
      </c>
      <c r="F2286" t="s">
        <v>125</v>
      </c>
      <c r="G2286" t="s">
        <v>146</v>
      </c>
      <c r="H2286" t="s">
        <v>147</v>
      </c>
      <c r="I2286" t="s">
        <v>36</v>
      </c>
      <c r="J2286" t="s">
        <v>37</v>
      </c>
      <c r="K2286" t="s">
        <v>30</v>
      </c>
      <c r="L2286" t="s">
        <v>31</v>
      </c>
      <c r="M2286" t="s">
        <v>140</v>
      </c>
      <c r="N2286">
        <v>70</v>
      </c>
      <c r="O2286">
        <v>6.2184917999999999E-2</v>
      </c>
      <c r="P2286">
        <v>1.6265096E-2</v>
      </c>
      <c r="Q2286" t="str">
        <f t="shared" si="70"/>
        <v>10-14</v>
      </c>
      <c r="R2286" t="str">
        <f t="shared" si="71"/>
        <v>[wNqJp8oRIcF]|10-14|Female|TX_CURR_SUBNAT.T_1|CY2024Q3</v>
      </c>
    </row>
    <row r="2287" spans="4:18" x14ac:dyDescent="0.2">
      <c r="D2287" t="s">
        <v>123</v>
      </c>
      <c r="E2287" t="s">
        <v>124</v>
      </c>
      <c r="F2287" t="s">
        <v>125</v>
      </c>
      <c r="G2287" t="s">
        <v>146</v>
      </c>
      <c r="H2287" t="s">
        <v>147</v>
      </c>
      <c r="I2287" t="s">
        <v>38</v>
      </c>
      <c r="J2287" t="s">
        <v>39</v>
      </c>
      <c r="K2287" t="s">
        <v>30</v>
      </c>
      <c r="L2287" t="s">
        <v>31</v>
      </c>
      <c r="M2287" t="s">
        <v>140</v>
      </c>
      <c r="N2287">
        <v>396</v>
      </c>
      <c r="O2287">
        <v>6.1036352000000002E-2</v>
      </c>
      <c r="P2287">
        <v>1.6265096E-2</v>
      </c>
      <c r="Q2287" t="str">
        <f t="shared" si="70"/>
        <v>15-24</v>
      </c>
      <c r="R2287" t="str">
        <f t="shared" si="71"/>
        <v>[wNqJp8oRIcF]|15-24|Female|TX_CURR_SUBNAT.T_1|CY2024Q3</v>
      </c>
    </row>
    <row r="2288" spans="4:18" x14ac:dyDescent="0.2">
      <c r="D2288" t="s">
        <v>123</v>
      </c>
      <c r="E2288" t="s">
        <v>124</v>
      </c>
      <c r="F2288" t="s">
        <v>125</v>
      </c>
      <c r="G2288" t="s">
        <v>146</v>
      </c>
      <c r="H2288" t="s">
        <v>147</v>
      </c>
      <c r="I2288" t="s">
        <v>41</v>
      </c>
      <c r="J2288" t="s">
        <v>42</v>
      </c>
      <c r="K2288" t="s">
        <v>30</v>
      </c>
      <c r="L2288" t="s">
        <v>31</v>
      </c>
      <c r="M2288" t="s">
        <v>140</v>
      </c>
      <c r="N2288">
        <v>1045</v>
      </c>
      <c r="O2288">
        <v>4.0018197999999998E-2</v>
      </c>
      <c r="P2288">
        <v>1.6265096E-2</v>
      </c>
      <c r="Q2288" t="str">
        <f t="shared" si="70"/>
        <v>25-34</v>
      </c>
      <c r="R2288" t="str">
        <f t="shared" si="71"/>
        <v>[wNqJp8oRIcF]|25-34|Female|TX_CURR_SUBNAT.T_1|CY2024Q3</v>
      </c>
    </row>
    <row r="2289" spans="4:18" x14ac:dyDescent="0.2">
      <c r="D2289" t="s">
        <v>123</v>
      </c>
      <c r="E2289" t="s">
        <v>124</v>
      </c>
      <c r="F2289" t="s">
        <v>125</v>
      </c>
      <c r="G2289" t="s">
        <v>146</v>
      </c>
      <c r="H2289" t="s">
        <v>147</v>
      </c>
      <c r="I2289" t="s">
        <v>43</v>
      </c>
      <c r="J2289" t="s">
        <v>44</v>
      </c>
      <c r="K2289" t="s">
        <v>30</v>
      </c>
      <c r="L2289" t="s">
        <v>31</v>
      </c>
      <c r="M2289" t="s">
        <v>140</v>
      </c>
      <c r="N2289">
        <v>2584</v>
      </c>
      <c r="O2289">
        <v>2.4192050999999999E-2</v>
      </c>
      <c r="P2289">
        <v>1.6265096E-2</v>
      </c>
      <c r="Q2289" t="str">
        <f t="shared" si="70"/>
        <v>35-49</v>
      </c>
      <c r="R2289" t="str">
        <f t="shared" si="71"/>
        <v>[wNqJp8oRIcF]|35-49|Female|TX_CURR_SUBNAT.T_1|CY2024Q3</v>
      </c>
    </row>
    <row r="2290" spans="4:18" x14ac:dyDescent="0.2">
      <c r="D2290" t="s">
        <v>123</v>
      </c>
      <c r="E2290" t="s">
        <v>124</v>
      </c>
      <c r="F2290" t="s">
        <v>125</v>
      </c>
      <c r="G2290" t="s">
        <v>146</v>
      </c>
      <c r="H2290" t="s">
        <v>147</v>
      </c>
      <c r="I2290" t="s">
        <v>45</v>
      </c>
      <c r="J2290" t="s">
        <v>46</v>
      </c>
      <c r="K2290" t="s">
        <v>30</v>
      </c>
      <c r="L2290" t="s">
        <v>31</v>
      </c>
      <c r="M2290" t="s">
        <v>140</v>
      </c>
      <c r="N2290">
        <v>1191</v>
      </c>
      <c r="O2290">
        <v>4.0255560000000003E-2</v>
      </c>
      <c r="P2290">
        <v>1.6265096E-2</v>
      </c>
      <c r="Q2290" t="str">
        <f t="shared" si="70"/>
        <v>50+</v>
      </c>
      <c r="R2290" t="str">
        <f t="shared" si="71"/>
        <v>[wNqJp8oRIcF]|50+|Female|TX_CURR_SUBNAT.T_1|CY2024Q3</v>
      </c>
    </row>
    <row r="2291" spans="4:18" x14ac:dyDescent="0.2">
      <c r="D2291" t="s">
        <v>123</v>
      </c>
      <c r="E2291" t="s">
        <v>124</v>
      </c>
      <c r="F2291" t="s">
        <v>125</v>
      </c>
      <c r="G2291" t="s">
        <v>146</v>
      </c>
      <c r="H2291" t="s">
        <v>147</v>
      </c>
      <c r="I2291" t="s">
        <v>28</v>
      </c>
      <c r="J2291" t="s">
        <v>29</v>
      </c>
      <c r="K2291" t="s">
        <v>48</v>
      </c>
      <c r="L2291" t="s">
        <v>49</v>
      </c>
      <c r="M2291" t="s">
        <v>140</v>
      </c>
      <c r="N2291">
        <v>3</v>
      </c>
      <c r="O2291">
        <v>5.6161194999999997E-2</v>
      </c>
      <c r="P2291">
        <v>1.6265096E-2</v>
      </c>
      <c r="Q2291" t="str">
        <f t="shared" si="70"/>
        <v>&lt;01</v>
      </c>
      <c r="R2291" t="str">
        <f t="shared" si="71"/>
        <v>[wNqJp8oRIcF]|&lt;01|Male|TX_CURR_SUBNAT.T_1|CY2024Q3</v>
      </c>
    </row>
    <row r="2292" spans="4:18" x14ac:dyDescent="0.2">
      <c r="D2292" t="s">
        <v>123</v>
      </c>
      <c r="E2292" t="s">
        <v>124</v>
      </c>
      <c r="F2292" t="s">
        <v>125</v>
      </c>
      <c r="G2292" t="s">
        <v>146</v>
      </c>
      <c r="H2292" t="s">
        <v>147</v>
      </c>
      <c r="I2292" t="s">
        <v>33</v>
      </c>
      <c r="J2292" t="s">
        <v>34</v>
      </c>
      <c r="K2292" t="s">
        <v>48</v>
      </c>
      <c r="L2292" t="s">
        <v>49</v>
      </c>
      <c r="M2292" t="s">
        <v>140</v>
      </c>
      <c r="N2292">
        <v>59</v>
      </c>
      <c r="O2292">
        <v>5.2865649000000001E-2</v>
      </c>
      <c r="P2292">
        <v>1.6265096E-2</v>
      </c>
      <c r="Q2292" t="str">
        <f t="shared" si="70"/>
        <v>01-09</v>
      </c>
      <c r="R2292" t="str">
        <f t="shared" si="71"/>
        <v>[wNqJp8oRIcF]|01-09|Male|TX_CURR_SUBNAT.T_1|CY2024Q3</v>
      </c>
    </row>
    <row r="2293" spans="4:18" x14ac:dyDescent="0.2">
      <c r="D2293" t="s">
        <v>123</v>
      </c>
      <c r="E2293" t="s">
        <v>124</v>
      </c>
      <c r="F2293" t="s">
        <v>125</v>
      </c>
      <c r="G2293" t="s">
        <v>146</v>
      </c>
      <c r="H2293" t="s">
        <v>147</v>
      </c>
      <c r="I2293" t="s">
        <v>36</v>
      </c>
      <c r="J2293" t="s">
        <v>37</v>
      </c>
      <c r="K2293" t="s">
        <v>48</v>
      </c>
      <c r="L2293" t="s">
        <v>49</v>
      </c>
      <c r="M2293" t="s">
        <v>140</v>
      </c>
      <c r="N2293">
        <v>74</v>
      </c>
      <c r="O2293">
        <v>4.9838049000000002E-2</v>
      </c>
      <c r="P2293">
        <v>1.6265096E-2</v>
      </c>
      <c r="Q2293" t="str">
        <f t="shared" si="70"/>
        <v>10-14</v>
      </c>
      <c r="R2293" t="str">
        <f t="shared" si="71"/>
        <v>[wNqJp8oRIcF]|10-14|Male|TX_CURR_SUBNAT.T_1|CY2024Q3</v>
      </c>
    </row>
    <row r="2294" spans="4:18" x14ac:dyDescent="0.2">
      <c r="D2294" t="s">
        <v>123</v>
      </c>
      <c r="E2294" t="s">
        <v>124</v>
      </c>
      <c r="F2294" t="s">
        <v>125</v>
      </c>
      <c r="G2294" t="s">
        <v>146</v>
      </c>
      <c r="H2294" t="s">
        <v>147</v>
      </c>
      <c r="I2294" t="s">
        <v>38</v>
      </c>
      <c r="J2294" t="s">
        <v>39</v>
      </c>
      <c r="K2294" t="s">
        <v>48</v>
      </c>
      <c r="L2294" t="s">
        <v>49</v>
      </c>
      <c r="M2294" t="s">
        <v>140</v>
      </c>
      <c r="N2294">
        <v>263</v>
      </c>
      <c r="O2294">
        <v>7.0009559999999998E-2</v>
      </c>
      <c r="P2294">
        <v>1.6265096E-2</v>
      </c>
      <c r="Q2294" t="str">
        <f t="shared" si="70"/>
        <v>15-24</v>
      </c>
      <c r="R2294" t="str">
        <f t="shared" si="71"/>
        <v>[wNqJp8oRIcF]|15-24|Male|TX_CURR_SUBNAT.T_1|CY2024Q3</v>
      </c>
    </row>
    <row r="2295" spans="4:18" x14ac:dyDescent="0.2">
      <c r="D2295" t="s">
        <v>123</v>
      </c>
      <c r="E2295" t="s">
        <v>124</v>
      </c>
      <c r="F2295" t="s">
        <v>125</v>
      </c>
      <c r="G2295" t="s">
        <v>146</v>
      </c>
      <c r="H2295" t="s">
        <v>147</v>
      </c>
      <c r="I2295" t="s">
        <v>41</v>
      </c>
      <c r="J2295" t="s">
        <v>42</v>
      </c>
      <c r="K2295" t="s">
        <v>48</v>
      </c>
      <c r="L2295" t="s">
        <v>49</v>
      </c>
      <c r="M2295" t="s">
        <v>140</v>
      </c>
      <c r="N2295">
        <v>350</v>
      </c>
      <c r="O2295">
        <v>6.6242035000000005E-2</v>
      </c>
      <c r="P2295">
        <v>1.6265096E-2</v>
      </c>
      <c r="Q2295" t="str">
        <f t="shared" si="70"/>
        <v>25-34</v>
      </c>
      <c r="R2295" t="str">
        <f t="shared" si="71"/>
        <v>[wNqJp8oRIcF]|25-34|Male|TX_CURR_SUBNAT.T_1|CY2024Q3</v>
      </c>
    </row>
    <row r="2296" spans="4:18" x14ac:dyDescent="0.2">
      <c r="D2296" t="s">
        <v>123</v>
      </c>
      <c r="E2296" t="s">
        <v>124</v>
      </c>
      <c r="F2296" t="s">
        <v>125</v>
      </c>
      <c r="G2296" t="s">
        <v>146</v>
      </c>
      <c r="H2296" t="s">
        <v>147</v>
      </c>
      <c r="I2296" t="s">
        <v>43</v>
      </c>
      <c r="J2296" t="s">
        <v>44</v>
      </c>
      <c r="K2296" t="s">
        <v>48</v>
      </c>
      <c r="L2296" t="s">
        <v>49</v>
      </c>
      <c r="M2296" t="s">
        <v>140</v>
      </c>
      <c r="N2296">
        <v>1307</v>
      </c>
      <c r="O2296">
        <v>3.3252445999999998E-2</v>
      </c>
      <c r="P2296">
        <v>1.6265096E-2</v>
      </c>
      <c r="Q2296" t="str">
        <f t="shared" si="70"/>
        <v>35-49</v>
      </c>
      <c r="R2296" t="str">
        <f t="shared" si="71"/>
        <v>[wNqJp8oRIcF]|35-49|Male|TX_CURR_SUBNAT.T_1|CY2024Q3</v>
      </c>
    </row>
    <row r="2297" spans="4:18" x14ac:dyDescent="0.2">
      <c r="D2297" t="s">
        <v>123</v>
      </c>
      <c r="E2297" t="s">
        <v>124</v>
      </c>
      <c r="F2297" t="s">
        <v>125</v>
      </c>
      <c r="G2297" t="s">
        <v>146</v>
      </c>
      <c r="H2297" t="s">
        <v>147</v>
      </c>
      <c r="I2297" t="s">
        <v>45</v>
      </c>
      <c r="J2297" t="s">
        <v>46</v>
      </c>
      <c r="K2297" t="s">
        <v>48</v>
      </c>
      <c r="L2297" t="s">
        <v>49</v>
      </c>
      <c r="M2297" t="s">
        <v>140</v>
      </c>
      <c r="N2297">
        <v>918</v>
      </c>
      <c r="O2297">
        <v>4.0921630000000001E-2</v>
      </c>
      <c r="P2297">
        <v>1.6265096E-2</v>
      </c>
      <c r="Q2297" t="str">
        <f t="shared" si="70"/>
        <v>50+</v>
      </c>
      <c r="R2297" t="str">
        <f t="shared" si="71"/>
        <v>[wNqJp8oRIcF]|50+|Male|TX_CURR_SUBNAT.T_1|CY2024Q3</v>
      </c>
    </row>
    <row r="2298" spans="4:18" x14ac:dyDescent="0.2">
      <c r="D2298" t="s">
        <v>126</v>
      </c>
      <c r="E2298" t="s">
        <v>127</v>
      </c>
      <c r="F2298" t="s">
        <v>128</v>
      </c>
      <c r="G2298" t="s">
        <v>146</v>
      </c>
      <c r="H2298" t="s">
        <v>147</v>
      </c>
      <c r="I2298" t="s">
        <v>28</v>
      </c>
      <c r="J2298" t="s">
        <v>29</v>
      </c>
      <c r="K2298" t="s">
        <v>30</v>
      </c>
      <c r="L2298" t="s">
        <v>31</v>
      </c>
      <c r="M2298" t="s">
        <v>140</v>
      </c>
      <c r="N2298">
        <v>20</v>
      </c>
      <c r="O2298">
        <v>4.3580898999999999E-2</v>
      </c>
      <c r="P2298">
        <v>7.7331989999999996E-3</v>
      </c>
      <c r="Q2298" t="str">
        <f t="shared" si="70"/>
        <v>&lt;01</v>
      </c>
      <c r="R2298" t="str">
        <f t="shared" si="71"/>
        <v>[ul0y9diGujK]|&lt;01|Female|TX_CURR_SUBNAT.T_1|CY2024Q3</v>
      </c>
    </row>
    <row r="2299" spans="4:18" x14ac:dyDescent="0.2">
      <c r="D2299" t="s">
        <v>126</v>
      </c>
      <c r="E2299" t="s">
        <v>127</v>
      </c>
      <c r="F2299" t="s">
        <v>128</v>
      </c>
      <c r="G2299" t="s">
        <v>146</v>
      </c>
      <c r="H2299" t="s">
        <v>147</v>
      </c>
      <c r="I2299" t="s">
        <v>33</v>
      </c>
      <c r="J2299" t="s">
        <v>34</v>
      </c>
      <c r="K2299" t="s">
        <v>30</v>
      </c>
      <c r="L2299" t="s">
        <v>31</v>
      </c>
      <c r="M2299" t="s">
        <v>140</v>
      </c>
      <c r="N2299">
        <v>390</v>
      </c>
      <c r="O2299">
        <v>3.4334275999999997E-2</v>
      </c>
      <c r="P2299">
        <v>7.7331989999999996E-3</v>
      </c>
      <c r="Q2299" t="str">
        <f t="shared" si="70"/>
        <v>01-09</v>
      </c>
      <c r="R2299" t="str">
        <f t="shared" si="71"/>
        <v>[ul0y9diGujK]|01-09|Female|TX_CURR_SUBNAT.T_1|CY2024Q3</v>
      </c>
    </row>
    <row r="2300" spans="4:18" x14ac:dyDescent="0.2">
      <c r="D2300" t="s">
        <v>126</v>
      </c>
      <c r="E2300" t="s">
        <v>127</v>
      </c>
      <c r="F2300" t="s">
        <v>128</v>
      </c>
      <c r="G2300" t="s">
        <v>146</v>
      </c>
      <c r="H2300" t="s">
        <v>147</v>
      </c>
      <c r="I2300" t="s">
        <v>36</v>
      </c>
      <c r="J2300" t="s">
        <v>37</v>
      </c>
      <c r="K2300" t="s">
        <v>30</v>
      </c>
      <c r="L2300" t="s">
        <v>31</v>
      </c>
      <c r="M2300" t="s">
        <v>140</v>
      </c>
      <c r="N2300">
        <v>512</v>
      </c>
      <c r="O2300">
        <v>2.5145382000000001E-2</v>
      </c>
      <c r="P2300">
        <v>7.7331989999999996E-3</v>
      </c>
      <c r="Q2300" t="str">
        <f t="shared" si="70"/>
        <v>10-14</v>
      </c>
      <c r="R2300" t="str">
        <f t="shared" si="71"/>
        <v>[ul0y9diGujK]|10-14|Female|TX_CURR_SUBNAT.T_1|CY2024Q3</v>
      </c>
    </row>
    <row r="2301" spans="4:18" x14ac:dyDescent="0.2">
      <c r="D2301" t="s">
        <v>126</v>
      </c>
      <c r="E2301" t="s">
        <v>127</v>
      </c>
      <c r="F2301" t="s">
        <v>128</v>
      </c>
      <c r="G2301" t="s">
        <v>146</v>
      </c>
      <c r="H2301" t="s">
        <v>147</v>
      </c>
      <c r="I2301" t="s">
        <v>38</v>
      </c>
      <c r="J2301" t="s">
        <v>39</v>
      </c>
      <c r="K2301" t="s">
        <v>30</v>
      </c>
      <c r="L2301" t="s">
        <v>31</v>
      </c>
      <c r="M2301" t="s">
        <v>140</v>
      </c>
      <c r="N2301">
        <v>2866</v>
      </c>
      <c r="O2301">
        <v>6.2330473999999997E-2</v>
      </c>
      <c r="P2301">
        <v>7.7331989999999996E-3</v>
      </c>
      <c r="Q2301" t="str">
        <f t="shared" si="70"/>
        <v>15-24</v>
      </c>
      <c r="R2301" t="str">
        <f t="shared" si="71"/>
        <v>[ul0y9diGujK]|15-24|Female|TX_CURR_SUBNAT.T_1|CY2024Q3</v>
      </c>
    </row>
    <row r="2302" spans="4:18" x14ac:dyDescent="0.2">
      <c r="D2302" t="s">
        <v>126</v>
      </c>
      <c r="E2302" t="s">
        <v>127</v>
      </c>
      <c r="F2302" t="s">
        <v>128</v>
      </c>
      <c r="G2302" t="s">
        <v>146</v>
      </c>
      <c r="H2302" t="s">
        <v>147</v>
      </c>
      <c r="I2302" t="s">
        <v>41</v>
      </c>
      <c r="J2302" t="s">
        <v>42</v>
      </c>
      <c r="K2302" t="s">
        <v>30</v>
      </c>
      <c r="L2302" t="s">
        <v>31</v>
      </c>
      <c r="M2302" t="s">
        <v>140</v>
      </c>
      <c r="N2302">
        <v>7156</v>
      </c>
      <c r="O2302">
        <v>3.3868928999999999E-2</v>
      </c>
      <c r="P2302">
        <v>7.7331989999999996E-3</v>
      </c>
      <c r="Q2302" t="str">
        <f t="shared" si="70"/>
        <v>25-34</v>
      </c>
      <c r="R2302" t="str">
        <f t="shared" si="71"/>
        <v>[ul0y9diGujK]|25-34|Female|TX_CURR_SUBNAT.T_1|CY2024Q3</v>
      </c>
    </row>
    <row r="2303" spans="4:18" x14ac:dyDescent="0.2">
      <c r="D2303" t="s">
        <v>126</v>
      </c>
      <c r="E2303" t="s">
        <v>127</v>
      </c>
      <c r="F2303" t="s">
        <v>128</v>
      </c>
      <c r="G2303" t="s">
        <v>146</v>
      </c>
      <c r="H2303" t="s">
        <v>147</v>
      </c>
      <c r="I2303" t="s">
        <v>43</v>
      </c>
      <c r="J2303" t="s">
        <v>44</v>
      </c>
      <c r="K2303" t="s">
        <v>30</v>
      </c>
      <c r="L2303" t="s">
        <v>31</v>
      </c>
      <c r="M2303" t="s">
        <v>140</v>
      </c>
      <c r="N2303">
        <v>18807</v>
      </c>
      <c r="O2303">
        <v>1.8984454000000001E-2</v>
      </c>
      <c r="P2303">
        <v>7.7331989999999996E-3</v>
      </c>
      <c r="Q2303" t="str">
        <f t="shared" si="70"/>
        <v>35-49</v>
      </c>
      <c r="R2303" t="str">
        <f t="shared" si="71"/>
        <v>[ul0y9diGujK]|35-49|Female|TX_CURR_SUBNAT.T_1|CY2024Q3</v>
      </c>
    </row>
    <row r="2304" spans="4:18" x14ac:dyDescent="0.2">
      <c r="D2304" t="s">
        <v>126</v>
      </c>
      <c r="E2304" t="s">
        <v>127</v>
      </c>
      <c r="F2304" t="s">
        <v>128</v>
      </c>
      <c r="G2304" t="s">
        <v>146</v>
      </c>
      <c r="H2304" t="s">
        <v>147</v>
      </c>
      <c r="I2304" t="s">
        <v>45</v>
      </c>
      <c r="J2304" t="s">
        <v>46</v>
      </c>
      <c r="K2304" t="s">
        <v>30</v>
      </c>
      <c r="L2304" t="s">
        <v>31</v>
      </c>
      <c r="M2304" t="s">
        <v>140</v>
      </c>
      <c r="N2304">
        <v>9541</v>
      </c>
      <c r="O2304">
        <v>3.2443634999999998E-2</v>
      </c>
      <c r="P2304">
        <v>7.7331989999999996E-3</v>
      </c>
      <c r="Q2304" t="str">
        <f t="shared" si="70"/>
        <v>50+</v>
      </c>
      <c r="R2304" t="str">
        <f t="shared" si="71"/>
        <v>[ul0y9diGujK]|50+|Female|TX_CURR_SUBNAT.T_1|CY2024Q3</v>
      </c>
    </row>
    <row r="2305" spans="4:18" x14ac:dyDescent="0.2">
      <c r="D2305" t="s">
        <v>126</v>
      </c>
      <c r="E2305" t="s">
        <v>127</v>
      </c>
      <c r="F2305" t="s">
        <v>128</v>
      </c>
      <c r="G2305" t="s">
        <v>146</v>
      </c>
      <c r="H2305" t="s">
        <v>147</v>
      </c>
      <c r="I2305" t="s">
        <v>28</v>
      </c>
      <c r="J2305" t="s">
        <v>29</v>
      </c>
      <c r="K2305" t="s">
        <v>48</v>
      </c>
      <c r="L2305" t="s">
        <v>49</v>
      </c>
      <c r="M2305" t="s">
        <v>140</v>
      </c>
      <c r="N2305">
        <v>21</v>
      </c>
      <c r="O2305">
        <v>2.8534833999999999E-2</v>
      </c>
      <c r="P2305">
        <v>7.7331989999999996E-3</v>
      </c>
      <c r="Q2305" t="str">
        <f t="shared" si="70"/>
        <v>&lt;01</v>
      </c>
      <c r="R2305" t="str">
        <f t="shared" si="71"/>
        <v>[ul0y9diGujK]|&lt;01|Male|TX_CURR_SUBNAT.T_1|CY2024Q3</v>
      </c>
    </row>
    <row r="2306" spans="4:18" x14ac:dyDescent="0.2">
      <c r="D2306" t="s">
        <v>126</v>
      </c>
      <c r="E2306" t="s">
        <v>127</v>
      </c>
      <c r="F2306" t="s">
        <v>128</v>
      </c>
      <c r="G2306" t="s">
        <v>146</v>
      </c>
      <c r="H2306" t="s">
        <v>147</v>
      </c>
      <c r="I2306" t="s">
        <v>33</v>
      </c>
      <c r="J2306" t="s">
        <v>34</v>
      </c>
      <c r="K2306" t="s">
        <v>48</v>
      </c>
      <c r="L2306" t="s">
        <v>49</v>
      </c>
      <c r="M2306" t="s">
        <v>140</v>
      </c>
      <c r="N2306">
        <v>413</v>
      </c>
      <c r="O2306">
        <v>2.5953205999999999E-2</v>
      </c>
      <c r="P2306">
        <v>7.7331989999999996E-3</v>
      </c>
      <c r="Q2306" t="str">
        <f t="shared" si="70"/>
        <v>01-09</v>
      </c>
      <c r="R2306" t="str">
        <f t="shared" si="71"/>
        <v>[ul0y9diGujK]|01-09|Male|TX_CURR_SUBNAT.T_1|CY2024Q3</v>
      </c>
    </row>
    <row r="2307" spans="4:18" x14ac:dyDescent="0.2">
      <c r="D2307" t="s">
        <v>126</v>
      </c>
      <c r="E2307" t="s">
        <v>127</v>
      </c>
      <c r="F2307" t="s">
        <v>128</v>
      </c>
      <c r="G2307" t="s">
        <v>146</v>
      </c>
      <c r="H2307" t="s">
        <v>147</v>
      </c>
      <c r="I2307" t="s">
        <v>36</v>
      </c>
      <c r="J2307" t="s">
        <v>37</v>
      </c>
      <c r="K2307" t="s">
        <v>48</v>
      </c>
      <c r="L2307" t="s">
        <v>49</v>
      </c>
      <c r="M2307" t="s">
        <v>140</v>
      </c>
      <c r="N2307">
        <v>538</v>
      </c>
      <c r="O2307">
        <v>2.5627054E-2</v>
      </c>
      <c r="P2307">
        <v>7.7331989999999996E-3</v>
      </c>
      <c r="Q2307" t="str">
        <f t="shared" ref="Q2307:Q2370" si="72">SUBSTITUTE(SUBSTITUTE($I2307,CHAR(61),""),CHAR(34),"")</f>
        <v>10-14</v>
      </c>
      <c r="R2307" t="str">
        <f t="shared" ref="R2307:R2370" si="73">IF($D2307&lt;&gt;"","["&amp;$E2307&amp;"]"&amp;"|"&amp;$Q2307&amp;"|"&amp;$K2307&amp;"|"&amp;$G2307&amp;"|"&amp;IF($G2307="TX_CURR_SUBNAT.R","CY2023Q4",$M2307),"")</f>
        <v>[ul0y9diGujK]|10-14|Male|TX_CURR_SUBNAT.T_1|CY2024Q3</v>
      </c>
    </row>
    <row r="2308" spans="4:18" x14ac:dyDescent="0.2">
      <c r="D2308" t="s">
        <v>126</v>
      </c>
      <c r="E2308" t="s">
        <v>127</v>
      </c>
      <c r="F2308" t="s">
        <v>128</v>
      </c>
      <c r="G2308" t="s">
        <v>146</v>
      </c>
      <c r="H2308" t="s">
        <v>147</v>
      </c>
      <c r="I2308" t="s">
        <v>38</v>
      </c>
      <c r="J2308" t="s">
        <v>39</v>
      </c>
      <c r="K2308" t="s">
        <v>48</v>
      </c>
      <c r="L2308" t="s">
        <v>49</v>
      </c>
      <c r="M2308" t="s">
        <v>140</v>
      </c>
      <c r="N2308">
        <v>1942</v>
      </c>
      <c r="O2308">
        <v>7.1797552000000001E-2</v>
      </c>
      <c r="P2308">
        <v>7.7331989999999996E-3</v>
      </c>
      <c r="Q2308" t="str">
        <f t="shared" si="72"/>
        <v>15-24</v>
      </c>
      <c r="R2308" t="str">
        <f t="shared" si="73"/>
        <v>[ul0y9diGujK]|15-24|Male|TX_CURR_SUBNAT.T_1|CY2024Q3</v>
      </c>
    </row>
    <row r="2309" spans="4:18" x14ac:dyDescent="0.2">
      <c r="D2309" t="s">
        <v>126</v>
      </c>
      <c r="E2309" t="s">
        <v>127</v>
      </c>
      <c r="F2309" t="s">
        <v>128</v>
      </c>
      <c r="G2309" t="s">
        <v>146</v>
      </c>
      <c r="H2309" t="s">
        <v>147</v>
      </c>
      <c r="I2309" t="s">
        <v>41</v>
      </c>
      <c r="J2309" t="s">
        <v>42</v>
      </c>
      <c r="K2309" t="s">
        <v>48</v>
      </c>
      <c r="L2309" t="s">
        <v>49</v>
      </c>
      <c r="M2309" t="s">
        <v>140</v>
      </c>
      <c r="N2309">
        <v>2277</v>
      </c>
      <c r="O2309">
        <v>6.2709384000000007E-2</v>
      </c>
      <c r="P2309">
        <v>7.7331989999999996E-3</v>
      </c>
      <c r="Q2309" t="str">
        <f t="shared" si="72"/>
        <v>25-34</v>
      </c>
      <c r="R2309" t="str">
        <f t="shared" si="73"/>
        <v>[ul0y9diGujK]|25-34|Male|TX_CURR_SUBNAT.T_1|CY2024Q3</v>
      </c>
    </row>
    <row r="2310" spans="4:18" x14ac:dyDescent="0.2">
      <c r="D2310" t="s">
        <v>126</v>
      </c>
      <c r="E2310" t="s">
        <v>127</v>
      </c>
      <c r="F2310" t="s">
        <v>128</v>
      </c>
      <c r="G2310" t="s">
        <v>146</v>
      </c>
      <c r="H2310" t="s">
        <v>147</v>
      </c>
      <c r="I2310" t="s">
        <v>43</v>
      </c>
      <c r="J2310" t="s">
        <v>44</v>
      </c>
      <c r="K2310" t="s">
        <v>48</v>
      </c>
      <c r="L2310" t="s">
        <v>49</v>
      </c>
      <c r="M2310" t="s">
        <v>140</v>
      </c>
      <c r="N2310">
        <v>8665</v>
      </c>
      <c r="O2310">
        <v>2.7863058999999999E-2</v>
      </c>
      <c r="P2310">
        <v>7.7331989999999996E-3</v>
      </c>
      <c r="Q2310" t="str">
        <f t="shared" si="72"/>
        <v>35-49</v>
      </c>
      <c r="R2310" t="str">
        <f t="shared" si="73"/>
        <v>[ul0y9diGujK]|35-49|Male|TX_CURR_SUBNAT.T_1|CY2024Q3</v>
      </c>
    </row>
    <row r="2311" spans="4:18" x14ac:dyDescent="0.2">
      <c r="D2311" t="s">
        <v>126</v>
      </c>
      <c r="E2311" t="s">
        <v>127</v>
      </c>
      <c r="F2311" t="s">
        <v>128</v>
      </c>
      <c r="G2311" t="s">
        <v>146</v>
      </c>
      <c r="H2311" t="s">
        <v>147</v>
      </c>
      <c r="I2311" t="s">
        <v>45</v>
      </c>
      <c r="J2311" t="s">
        <v>46</v>
      </c>
      <c r="K2311" t="s">
        <v>48</v>
      </c>
      <c r="L2311" t="s">
        <v>49</v>
      </c>
      <c r="M2311" t="s">
        <v>140</v>
      </c>
      <c r="N2311">
        <v>6769</v>
      </c>
      <c r="O2311">
        <v>3.2007824999999997E-2</v>
      </c>
      <c r="P2311">
        <v>7.7331989999999996E-3</v>
      </c>
      <c r="Q2311" t="str">
        <f t="shared" si="72"/>
        <v>50+</v>
      </c>
      <c r="R2311" t="str">
        <f t="shared" si="73"/>
        <v>[ul0y9diGujK]|50+|Male|TX_CURR_SUBNAT.T_1|CY2024Q3</v>
      </c>
    </row>
    <row r="2312" spans="4:18" x14ac:dyDescent="0.2">
      <c r="D2312" t="s">
        <v>129</v>
      </c>
      <c r="E2312" t="s">
        <v>130</v>
      </c>
      <c r="F2312" t="s">
        <v>131</v>
      </c>
      <c r="G2312" t="s">
        <v>146</v>
      </c>
      <c r="H2312" t="s">
        <v>147</v>
      </c>
      <c r="I2312" t="s">
        <v>28</v>
      </c>
      <c r="J2312" t="s">
        <v>29</v>
      </c>
      <c r="K2312" t="s">
        <v>30</v>
      </c>
      <c r="L2312" t="s">
        <v>31</v>
      </c>
      <c r="M2312" t="s">
        <v>140</v>
      </c>
      <c r="N2312">
        <v>16</v>
      </c>
      <c r="O2312">
        <v>3.5628527E-2</v>
      </c>
      <c r="P2312">
        <v>9.0181570000000006E-3</v>
      </c>
      <c r="Q2312" t="str">
        <f t="shared" si="72"/>
        <v>&lt;01</v>
      </c>
      <c r="R2312" t="str">
        <f t="shared" si="73"/>
        <v>[U8c0so51kT6]|&lt;01|Female|TX_CURR_SUBNAT.T_1|CY2024Q3</v>
      </c>
    </row>
    <row r="2313" spans="4:18" x14ac:dyDescent="0.2">
      <c r="D2313" t="s">
        <v>129</v>
      </c>
      <c r="E2313" t="s">
        <v>130</v>
      </c>
      <c r="F2313" t="s">
        <v>131</v>
      </c>
      <c r="G2313" t="s">
        <v>146</v>
      </c>
      <c r="H2313" t="s">
        <v>147</v>
      </c>
      <c r="I2313" t="s">
        <v>33</v>
      </c>
      <c r="J2313" t="s">
        <v>34</v>
      </c>
      <c r="K2313" t="s">
        <v>30</v>
      </c>
      <c r="L2313" t="s">
        <v>31</v>
      </c>
      <c r="M2313" t="s">
        <v>140</v>
      </c>
      <c r="N2313">
        <v>340</v>
      </c>
      <c r="O2313">
        <v>3.0598829000000001E-2</v>
      </c>
      <c r="P2313">
        <v>9.0181570000000006E-3</v>
      </c>
      <c r="Q2313" t="str">
        <f t="shared" si="72"/>
        <v>01-09</v>
      </c>
      <c r="R2313" t="str">
        <f t="shared" si="73"/>
        <v>[U8c0so51kT6]|01-09|Female|TX_CURR_SUBNAT.T_1|CY2024Q3</v>
      </c>
    </row>
    <row r="2314" spans="4:18" x14ac:dyDescent="0.2">
      <c r="D2314" t="s">
        <v>129</v>
      </c>
      <c r="E2314" t="s">
        <v>130</v>
      </c>
      <c r="F2314" t="s">
        <v>131</v>
      </c>
      <c r="G2314" t="s">
        <v>146</v>
      </c>
      <c r="H2314" t="s">
        <v>147</v>
      </c>
      <c r="I2314" t="s">
        <v>36</v>
      </c>
      <c r="J2314" t="s">
        <v>37</v>
      </c>
      <c r="K2314" t="s">
        <v>30</v>
      </c>
      <c r="L2314" t="s">
        <v>31</v>
      </c>
      <c r="M2314" t="s">
        <v>140</v>
      </c>
      <c r="N2314">
        <v>420</v>
      </c>
      <c r="O2314">
        <v>2.5610244000000001E-2</v>
      </c>
      <c r="P2314">
        <v>9.0181570000000006E-3</v>
      </c>
      <c r="Q2314" t="str">
        <f t="shared" si="72"/>
        <v>10-14</v>
      </c>
      <c r="R2314" t="str">
        <f t="shared" si="73"/>
        <v>[U8c0so51kT6]|10-14|Female|TX_CURR_SUBNAT.T_1|CY2024Q3</v>
      </c>
    </row>
    <row r="2315" spans="4:18" x14ac:dyDescent="0.2">
      <c r="D2315" t="s">
        <v>129</v>
      </c>
      <c r="E2315" t="s">
        <v>130</v>
      </c>
      <c r="F2315" t="s">
        <v>131</v>
      </c>
      <c r="G2315" t="s">
        <v>146</v>
      </c>
      <c r="H2315" t="s">
        <v>147</v>
      </c>
      <c r="I2315" t="s">
        <v>38</v>
      </c>
      <c r="J2315" t="s">
        <v>39</v>
      </c>
      <c r="K2315" t="s">
        <v>30</v>
      </c>
      <c r="L2315" t="s">
        <v>31</v>
      </c>
      <c r="M2315" t="s">
        <v>140</v>
      </c>
      <c r="N2315">
        <v>1572</v>
      </c>
      <c r="O2315">
        <v>6.0164175E-2</v>
      </c>
      <c r="P2315">
        <v>9.0181570000000006E-3</v>
      </c>
      <c r="Q2315" t="str">
        <f t="shared" si="72"/>
        <v>15-24</v>
      </c>
      <c r="R2315" t="str">
        <f t="shared" si="73"/>
        <v>[U8c0so51kT6]|15-24|Female|TX_CURR_SUBNAT.T_1|CY2024Q3</v>
      </c>
    </row>
    <row r="2316" spans="4:18" x14ac:dyDescent="0.2">
      <c r="D2316" t="s">
        <v>129</v>
      </c>
      <c r="E2316" t="s">
        <v>130</v>
      </c>
      <c r="F2316" t="s">
        <v>131</v>
      </c>
      <c r="G2316" t="s">
        <v>146</v>
      </c>
      <c r="H2316" t="s">
        <v>147</v>
      </c>
      <c r="I2316" t="s">
        <v>41</v>
      </c>
      <c r="J2316" t="s">
        <v>42</v>
      </c>
      <c r="K2316" t="s">
        <v>30</v>
      </c>
      <c r="L2316" t="s">
        <v>31</v>
      </c>
      <c r="M2316" t="s">
        <v>140</v>
      </c>
      <c r="N2316">
        <v>4053</v>
      </c>
      <c r="O2316">
        <v>3.5258314999999998E-2</v>
      </c>
      <c r="P2316">
        <v>9.0181570000000006E-3</v>
      </c>
      <c r="Q2316" t="str">
        <f t="shared" si="72"/>
        <v>25-34</v>
      </c>
      <c r="R2316" t="str">
        <f t="shared" si="73"/>
        <v>[U8c0so51kT6]|25-34|Female|TX_CURR_SUBNAT.T_1|CY2024Q3</v>
      </c>
    </row>
    <row r="2317" spans="4:18" x14ac:dyDescent="0.2">
      <c r="D2317" t="s">
        <v>129</v>
      </c>
      <c r="E2317" t="s">
        <v>130</v>
      </c>
      <c r="F2317" t="s">
        <v>131</v>
      </c>
      <c r="G2317" t="s">
        <v>146</v>
      </c>
      <c r="H2317" t="s">
        <v>147</v>
      </c>
      <c r="I2317" t="s">
        <v>43</v>
      </c>
      <c r="J2317" t="s">
        <v>44</v>
      </c>
      <c r="K2317" t="s">
        <v>30</v>
      </c>
      <c r="L2317" t="s">
        <v>31</v>
      </c>
      <c r="M2317" t="s">
        <v>140</v>
      </c>
      <c r="N2317">
        <v>9965</v>
      </c>
      <c r="O2317">
        <v>2.0166013999999999E-2</v>
      </c>
      <c r="P2317">
        <v>9.0181570000000006E-3</v>
      </c>
      <c r="Q2317" t="str">
        <f t="shared" si="72"/>
        <v>35-49</v>
      </c>
      <c r="R2317" t="str">
        <f t="shared" si="73"/>
        <v>[U8c0so51kT6]|35-49|Female|TX_CURR_SUBNAT.T_1|CY2024Q3</v>
      </c>
    </row>
    <row r="2318" spans="4:18" x14ac:dyDescent="0.2">
      <c r="D2318" t="s">
        <v>129</v>
      </c>
      <c r="E2318" t="s">
        <v>130</v>
      </c>
      <c r="F2318" t="s">
        <v>131</v>
      </c>
      <c r="G2318" t="s">
        <v>146</v>
      </c>
      <c r="H2318" t="s">
        <v>147</v>
      </c>
      <c r="I2318" t="s">
        <v>45</v>
      </c>
      <c r="J2318" t="s">
        <v>46</v>
      </c>
      <c r="K2318" t="s">
        <v>30</v>
      </c>
      <c r="L2318" t="s">
        <v>31</v>
      </c>
      <c r="M2318" t="s">
        <v>140</v>
      </c>
      <c r="N2318">
        <v>4711</v>
      </c>
      <c r="O2318">
        <v>3.6082247999999997E-2</v>
      </c>
      <c r="P2318">
        <v>9.0181570000000006E-3</v>
      </c>
      <c r="Q2318" t="str">
        <f t="shared" si="72"/>
        <v>50+</v>
      </c>
      <c r="R2318" t="str">
        <f t="shared" si="73"/>
        <v>[U8c0so51kT6]|50+|Female|TX_CURR_SUBNAT.T_1|CY2024Q3</v>
      </c>
    </row>
    <row r="2319" spans="4:18" x14ac:dyDescent="0.2">
      <c r="D2319" t="s">
        <v>129</v>
      </c>
      <c r="E2319" t="s">
        <v>130</v>
      </c>
      <c r="F2319" t="s">
        <v>131</v>
      </c>
      <c r="G2319" t="s">
        <v>146</v>
      </c>
      <c r="H2319" t="s">
        <v>147</v>
      </c>
      <c r="I2319" t="s">
        <v>28</v>
      </c>
      <c r="J2319" t="s">
        <v>29</v>
      </c>
      <c r="K2319" t="s">
        <v>48</v>
      </c>
      <c r="L2319" t="s">
        <v>49</v>
      </c>
      <c r="M2319" t="s">
        <v>140</v>
      </c>
      <c r="N2319">
        <v>15</v>
      </c>
      <c r="O2319">
        <v>2.1691225000000001E-2</v>
      </c>
      <c r="P2319">
        <v>9.0181570000000006E-3</v>
      </c>
      <c r="Q2319" t="str">
        <f t="shared" si="72"/>
        <v>&lt;01</v>
      </c>
      <c r="R2319" t="str">
        <f t="shared" si="73"/>
        <v>[U8c0so51kT6]|&lt;01|Male|TX_CURR_SUBNAT.T_1|CY2024Q3</v>
      </c>
    </row>
    <row r="2320" spans="4:18" x14ac:dyDescent="0.2">
      <c r="D2320" t="s">
        <v>129</v>
      </c>
      <c r="E2320" t="s">
        <v>130</v>
      </c>
      <c r="F2320" t="s">
        <v>131</v>
      </c>
      <c r="G2320" t="s">
        <v>146</v>
      </c>
      <c r="H2320" t="s">
        <v>147</v>
      </c>
      <c r="I2320" t="s">
        <v>33</v>
      </c>
      <c r="J2320" t="s">
        <v>34</v>
      </c>
      <c r="K2320" t="s">
        <v>48</v>
      </c>
      <c r="L2320" t="s">
        <v>49</v>
      </c>
      <c r="M2320" t="s">
        <v>140</v>
      </c>
      <c r="N2320">
        <v>325</v>
      </c>
      <c r="O2320">
        <v>2.2007458000000001E-2</v>
      </c>
      <c r="P2320">
        <v>9.0181570000000006E-3</v>
      </c>
      <c r="Q2320" t="str">
        <f t="shared" si="72"/>
        <v>01-09</v>
      </c>
      <c r="R2320" t="str">
        <f t="shared" si="73"/>
        <v>[U8c0so51kT6]|01-09|Male|TX_CURR_SUBNAT.T_1|CY2024Q3</v>
      </c>
    </row>
    <row r="2321" spans="4:18" x14ac:dyDescent="0.2">
      <c r="D2321" t="s">
        <v>129</v>
      </c>
      <c r="E2321" t="s">
        <v>130</v>
      </c>
      <c r="F2321" t="s">
        <v>131</v>
      </c>
      <c r="G2321" t="s">
        <v>146</v>
      </c>
      <c r="H2321" t="s">
        <v>147</v>
      </c>
      <c r="I2321" t="s">
        <v>36</v>
      </c>
      <c r="J2321" t="s">
        <v>37</v>
      </c>
      <c r="K2321" t="s">
        <v>48</v>
      </c>
      <c r="L2321" t="s">
        <v>49</v>
      </c>
      <c r="M2321" t="s">
        <v>140</v>
      </c>
      <c r="N2321">
        <v>403</v>
      </c>
      <c r="O2321">
        <v>2.3552309E-2</v>
      </c>
      <c r="P2321">
        <v>9.0181570000000006E-3</v>
      </c>
      <c r="Q2321" t="str">
        <f t="shared" si="72"/>
        <v>10-14</v>
      </c>
      <c r="R2321" t="str">
        <f t="shared" si="73"/>
        <v>[U8c0so51kT6]|10-14|Male|TX_CURR_SUBNAT.T_1|CY2024Q3</v>
      </c>
    </row>
    <row r="2322" spans="4:18" x14ac:dyDescent="0.2">
      <c r="D2322" t="s">
        <v>129</v>
      </c>
      <c r="E2322" t="s">
        <v>130</v>
      </c>
      <c r="F2322" t="s">
        <v>131</v>
      </c>
      <c r="G2322" t="s">
        <v>146</v>
      </c>
      <c r="H2322" t="s">
        <v>147</v>
      </c>
      <c r="I2322" t="s">
        <v>38</v>
      </c>
      <c r="J2322" t="s">
        <v>39</v>
      </c>
      <c r="K2322" t="s">
        <v>48</v>
      </c>
      <c r="L2322" t="s">
        <v>49</v>
      </c>
      <c r="M2322" t="s">
        <v>140</v>
      </c>
      <c r="N2322">
        <v>1059</v>
      </c>
      <c r="O2322">
        <v>6.8231350999999996E-2</v>
      </c>
      <c r="P2322">
        <v>9.0181570000000006E-3</v>
      </c>
      <c r="Q2322" t="str">
        <f t="shared" si="72"/>
        <v>15-24</v>
      </c>
      <c r="R2322" t="str">
        <f t="shared" si="73"/>
        <v>[U8c0so51kT6]|15-24|Male|TX_CURR_SUBNAT.T_1|CY2024Q3</v>
      </c>
    </row>
    <row r="2323" spans="4:18" x14ac:dyDescent="0.2">
      <c r="D2323" t="s">
        <v>129</v>
      </c>
      <c r="E2323" t="s">
        <v>130</v>
      </c>
      <c r="F2323" t="s">
        <v>131</v>
      </c>
      <c r="G2323" t="s">
        <v>146</v>
      </c>
      <c r="H2323" t="s">
        <v>147</v>
      </c>
      <c r="I2323" t="s">
        <v>41</v>
      </c>
      <c r="J2323" t="s">
        <v>42</v>
      </c>
      <c r="K2323" t="s">
        <v>48</v>
      </c>
      <c r="L2323" t="s">
        <v>49</v>
      </c>
      <c r="M2323" t="s">
        <v>140</v>
      </c>
      <c r="N2323">
        <v>1340</v>
      </c>
      <c r="O2323">
        <v>6.4779302999999996E-2</v>
      </c>
      <c r="P2323">
        <v>9.0181570000000006E-3</v>
      </c>
      <c r="Q2323" t="str">
        <f t="shared" si="72"/>
        <v>25-34</v>
      </c>
      <c r="R2323" t="str">
        <f t="shared" si="73"/>
        <v>[U8c0so51kT6]|25-34|Male|TX_CURR_SUBNAT.T_1|CY2024Q3</v>
      </c>
    </row>
    <row r="2324" spans="4:18" x14ac:dyDescent="0.2">
      <c r="D2324" t="s">
        <v>129</v>
      </c>
      <c r="E2324" t="s">
        <v>130</v>
      </c>
      <c r="F2324" t="s">
        <v>131</v>
      </c>
      <c r="G2324" t="s">
        <v>146</v>
      </c>
      <c r="H2324" t="s">
        <v>147</v>
      </c>
      <c r="I2324" t="s">
        <v>43</v>
      </c>
      <c r="J2324" t="s">
        <v>44</v>
      </c>
      <c r="K2324" t="s">
        <v>48</v>
      </c>
      <c r="L2324" t="s">
        <v>49</v>
      </c>
      <c r="M2324" t="s">
        <v>140</v>
      </c>
      <c r="N2324">
        <v>5182</v>
      </c>
      <c r="O2324">
        <v>2.9229068E-2</v>
      </c>
      <c r="P2324">
        <v>9.0181570000000006E-3</v>
      </c>
      <c r="Q2324" t="str">
        <f t="shared" si="72"/>
        <v>35-49</v>
      </c>
      <c r="R2324" t="str">
        <f t="shared" si="73"/>
        <v>[U8c0so51kT6]|35-49|Male|TX_CURR_SUBNAT.T_1|CY2024Q3</v>
      </c>
    </row>
    <row r="2325" spans="4:18" x14ac:dyDescent="0.2">
      <c r="D2325" t="s">
        <v>129</v>
      </c>
      <c r="E2325" t="s">
        <v>130</v>
      </c>
      <c r="F2325" t="s">
        <v>131</v>
      </c>
      <c r="G2325" t="s">
        <v>146</v>
      </c>
      <c r="H2325" t="s">
        <v>147</v>
      </c>
      <c r="I2325" t="s">
        <v>45</v>
      </c>
      <c r="J2325" t="s">
        <v>46</v>
      </c>
      <c r="K2325" t="s">
        <v>48</v>
      </c>
      <c r="L2325" t="s">
        <v>49</v>
      </c>
      <c r="M2325" t="s">
        <v>140</v>
      </c>
      <c r="N2325">
        <v>3918</v>
      </c>
      <c r="O2325">
        <v>3.4752248999999999E-2</v>
      </c>
      <c r="P2325">
        <v>9.0181570000000006E-3</v>
      </c>
      <c r="Q2325" t="str">
        <f t="shared" si="72"/>
        <v>50+</v>
      </c>
      <c r="R2325" t="str">
        <f t="shared" si="73"/>
        <v>[U8c0so51kT6]|50+|Male|TX_CURR_SUBNAT.T_1|CY2024Q3</v>
      </c>
    </row>
    <row r="2326" spans="4:18" x14ac:dyDescent="0.2">
      <c r="D2326" t="s">
        <v>132</v>
      </c>
      <c r="E2326" t="s">
        <v>133</v>
      </c>
      <c r="F2326" t="s">
        <v>134</v>
      </c>
      <c r="G2326" t="s">
        <v>146</v>
      </c>
      <c r="H2326" t="s">
        <v>147</v>
      </c>
      <c r="I2326" t="s">
        <v>28</v>
      </c>
      <c r="J2326" t="s">
        <v>29</v>
      </c>
      <c r="K2326" t="s">
        <v>30</v>
      </c>
      <c r="L2326" t="s">
        <v>31</v>
      </c>
      <c r="M2326" t="s">
        <v>140</v>
      </c>
      <c r="N2326">
        <v>12</v>
      </c>
      <c r="O2326">
        <v>3.9295140999999999E-2</v>
      </c>
      <c r="P2326">
        <v>1.707461E-2</v>
      </c>
      <c r="Q2326" t="str">
        <f t="shared" si="72"/>
        <v>&lt;01</v>
      </c>
      <c r="R2326" t="str">
        <f t="shared" si="73"/>
        <v>[rpw540fmNUz]|&lt;01|Female|TX_CURR_SUBNAT.T_1|CY2024Q3</v>
      </c>
    </row>
    <row r="2327" spans="4:18" x14ac:dyDescent="0.2">
      <c r="D2327" t="s">
        <v>132</v>
      </c>
      <c r="E2327" t="s">
        <v>133</v>
      </c>
      <c r="F2327" t="s">
        <v>134</v>
      </c>
      <c r="G2327" t="s">
        <v>146</v>
      </c>
      <c r="H2327" t="s">
        <v>147</v>
      </c>
      <c r="I2327" t="s">
        <v>33</v>
      </c>
      <c r="J2327" t="s">
        <v>34</v>
      </c>
      <c r="K2327" t="s">
        <v>30</v>
      </c>
      <c r="L2327" t="s">
        <v>31</v>
      </c>
      <c r="M2327" t="s">
        <v>140</v>
      </c>
      <c r="N2327">
        <v>252</v>
      </c>
      <c r="O2327">
        <v>3.4505755999999999E-2</v>
      </c>
      <c r="P2327">
        <v>1.707461E-2</v>
      </c>
      <c r="Q2327" t="str">
        <f t="shared" si="72"/>
        <v>01-09</v>
      </c>
      <c r="R2327" t="str">
        <f t="shared" si="73"/>
        <v>[rpw540fmNUz]|01-09|Female|TX_CURR_SUBNAT.T_1|CY2024Q3</v>
      </c>
    </row>
    <row r="2328" spans="4:18" x14ac:dyDescent="0.2">
      <c r="D2328" t="s">
        <v>132</v>
      </c>
      <c r="E2328" t="s">
        <v>133</v>
      </c>
      <c r="F2328" t="s">
        <v>134</v>
      </c>
      <c r="G2328" t="s">
        <v>146</v>
      </c>
      <c r="H2328" t="s">
        <v>147</v>
      </c>
      <c r="I2328" t="s">
        <v>36</v>
      </c>
      <c r="J2328" t="s">
        <v>37</v>
      </c>
      <c r="K2328" t="s">
        <v>30</v>
      </c>
      <c r="L2328" t="s">
        <v>31</v>
      </c>
      <c r="M2328" t="s">
        <v>140</v>
      </c>
      <c r="N2328">
        <v>318</v>
      </c>
      <c r="O2328">
        <v>2.9876276E-2</v>
      </c>
      <c r="P2328">
        <v>1.707461E-2</v>
      </c>
      <c r="Q2328" t="str">
        <f t="shared" si="72"/>
        <v>10-14</v>
      </c>
      <c r="R2328" t="str">
        <f t="shared" si="73"/>
        <v>[rpw540fmNUz]|10-14|Female|TX_CURR_SUBNAT.T_1|CY2024Q3</v>
      </c>
    </row>
    <row r="2329" spans="4:18" x14ac:dyDescent="0.2">
      <c r="D2329" t="s">
        <v>132</v>
      </c>
      <c r="E2329" t="s">
        <v>133</v>
      </c>
      <c r="F2329" t="s">
        <v>134</v>
      </c>
      <c r="G2329" t="s">
        <v>146</v>
      </c>
      <c r="H2329" t="s">
        <v>147</v>
      </c>
      <c r="I2329" t="s">
        <v>38</v>
      </c>
      <c r="J2329" t="s">
        <v>39</v>
      </c>
      <c r="K2329" t="s">
        <v>30</v>
      </c>
      <c r="L2329" t="s">
        <v>31</v>
      </c>
      <c r="M2329" t="s">
        <v>140</v>
      </c>
      <c r="N2329">
        <v>1204</v>
      </c>
      <c r="O2329">
        <v>6.1818781000000003E-2</v>
      </c>
      <c r="P2329">
        <v>1.707461E-2</v>
      </c>
      <c r="Q2329" t="str">
        <f t="shared" si="72"/>
        <v>15-24</v>
      </c>
      <c r="R2329" t="str">
        <f t="shared" si="73"/>
        <v>[rpw540fmNUz]|15-24|Female|TX_CURR_SUBNAT.T_1|CY2024Q3</v>
      </c>
    </row>
    <row r="2330" spans="4:18" x14ac:dyDescent="0.2">
      <c r="D2330" t="s">
        <v>132</v>
      </c>
      <c r="E2330" t="s">
        <v>133</v>
      </c>
      <c r="F2330" t="s">
        <v>134</v>
      </c>
      <c r="G2330" t="s">
        <v>146</v>
      </c>
      <c r="H2330" t="s">
        <v>147</v>
      </c>
      <c r="I2330" t="s">
        <v>41</v>
      </c>
      <c r="J2330" t="s">
        <v>42</v>
      </c>
      <c r="K2330" t="s">
        <v>30</v>
      </c>
      <c r="L2330" t="s">
        <v>31</v>
      </c>
      <c r="M2330" t="s">
        <v>140</v>
      </c>
      <c r="N2330">
        <v>3004</v>
      </c>
      <c r="O2330">
        <v>3.8044119000000001E-2</v>
      </c>
      <c r="P2330">
        <v>1.707461E-2</v>
      </c>
      <c r="Q2330" t="str">
        <f t="shared" si="72"/>
        <v>25-34</v>
      </c>
      <c r="R2330" t="str">
        <f t="shared" si="73"/>
        <v>[rpw540fmNUz]|25-34|Female|TX_CURR_SUBNAT.T_1|CY2024Q3</v>
      </c>
    </row>
    <row r="2331" spans="4:18" x14ac:dyDescent="0.2">
      <c r="D2331" t="s">
        <v>132</v>
      </c>
      <c r="E2331" t="s">
        <v>133</v>
      </c>
      <c r="F2331" t="s">
        <v>134</v>
      </c>
      <c r="G2331" t="s">
        <v>146</v>
      </c>
      <c r="H2331" t="s">
        <v>147</v>
      </c>
      <c r="I2331" t="s">
        <v>43</v>
      </c>
      <c r="J2331" t="s">
        <v>44</v>
      </c>
      <c r="K2331" t="s">
        <v>30</v>
      </c>
      <c r="L2331" t="s">
        <v>31</v>
      </c>
      <c r="M2331" t="s">
        <v>140</v>
      </c>
      <c r="N2331">
        <v>7212</v>
      </c>
      <c r="O2331">
        <v>2.6533345E-2</v>
      </c>
      <c r="P2331">
        <v>1.707461E-2</v>
      </c>
      <c r="Q2331" t="str">
        <f t="shared" si="72"/>
        <v>35-49</v>
      </c>
      <c r="R2331" t="str">
        <f t="shared" si="73"/>
        <v>[rpw540fmNUz]|35-49|Female|TX_CURR_SUBNAT.T_1|CY2024Q3</v>
      </c>
    </row>
    <row r="2332" spans="4:18" x14ac:dyDescent="0.2">
      <c r="D2332" t="s">
        <v>132</v>
      </c>
      <c r="E2332" t="s">
        <v>133</v>
      </c>
      <c r="F2332" t="s">
        <v>134</v>
      </c>
      <c r="G2332" t="s">
        <v>146</v>
      </c>
      <c r="H2332" t="s">
        <v>147</v>
      </c>
      <c r="I2332" t="s">
        <v>45</v>
      </c>
      <c r="J2332" t="s">
        <v>46</v>
      </c>
      <c r="K2332" t="s">
        <v>30</v>
      </c>
      <c r="L2332" t="s">
        <v>31</v>
      </c>
      <c r="M2332" t="s">
        <v>140</v>
      </c>
      <c r="N2332">
        <v>3736</v>
      </c>
      <c r="O2332">
        <v>3.7725195000000003E-2</v>
      </c>
      <c r="P2332">
        <v>1.707461E-2</v>
      </c>
      <c r="Q2332" t="str">
        <f t="shared" si="72"/>
        <v>50+</v>
      </c>
      <c r="R2332" t="str">
        <f t="shared" si="73"/>
        <v>[rpw540fmNUz]|50+|Female|TX_CURR_SUBNAT.T_1|CY2024Q3</v>
      </c>
    </row>
    <row r="2333" spans="4:18" x14ac:dyDescent="0.2">
      <c r="D2333" t="s">
        <v>132</v>
      </c>
      <c r="E2333" t="s">
        <v>133</v>
      </c>
      <c r="F2333" t="s">
        <v>134</v>
      </c>
      <c r="G2333" t="s">
        <v>146</v>
      </c>
      <c r="H2333" t="s">
        <v>147</v>
      </c>
      <c r="I2333" t="s">
        <v>28</v>
      </c>
      <c r="J2333" t="s">
        <v>29</v>
      </c>
      <c r="K2333" t="s">
        <v>48</v>
      </c>
      <c r="L2333" t="s">
        <v>49</v>
      </c>
      <c r="M2333" t="s">
        <v>140</v>
      </c>
      <c r="N2333">
        <v>11</v>
      </c>
      <c r="O2333">
        <v>2.5614426999999999E-2</v>
      </c>
      <c r="P2333">
        <v>1.707461E-2</v>
      </c>
      <c r="Q2333" t="str">
        <f t="shared" si="72"/>
        <v>&lt;01</v>
      </c>
      <c r="R2333" t="str">
        <f t="shared" si="73"/>
        <v>[rpw540fmNUz]|&lt;01|Male|TX_CURR_SUBNAT.T_1|CY2024Q3</v>
      </c>
    </row>
    <row r="2334" spans="4:18" x14ac:dyDescent="0.2">
      <c r="D2334" t="s">
        <v>132</v>
      </c>
      <c r="E2334" t="s">
        <v>133</v>
      </c>
      <c r="F2334" t="s">
        <v>134</v>
      </c>
      <c r="G2334" t="s">
        <v>146</v>
      </c>
      <c r="H2334" t="s">
        <v>147</v>
      </c>
      <c r="I2334" t="s">
        <v>33</v>
      </c>
      <c r="J2334" t="s">
        <v>34</v>
      </c>
      <c r="K2334" t="s">
        <v>48</v>
      </c>
      <c r="L2334" t="s">
        <v>49</v>
      </c>
      <c r="M2334" t="s">
        <v>140</v>
      </c>
      <c r="N2334">
        <v>241</v>
      </c>
      <c r="O2334">
        <v>2.6320537000000001E-2</v>
      </c>
      <c r="P2334">
        <v>1.707461E-2</v>
      </c>
      <c r="Q2334" t="str">
        <f t="shared" si="72"/>
        <v>01-09</v>
      </c>
      <c r="R2334" t="str">
        <f t="shared" si="73"/>
        <v>[rpw540fmNUz]|01-09|Male|TX_CURR_SUBNAT.T_1|CY2024Q3</v>
      </c>
    </row>
    <row r="2335" spans="4:18" x14ac:dyDescent="0.2">
      <c r="D2335" t="s">
        <v>132</v>
      </c>
      <c r="E2335" t="s">
        <v>133</v>
      </c>
      <c r="F2335" t="s">
        <v>134</v>
      </c>
      <c r="G2335" t="s">
        <v>146</v>
      </c>
      <c r="H2335" t="s">
        <v>147</v>
      </c>
      <c r="I2335" t="s">
        <v>36</v>
      </c>
      <c r="J2335" t="s">
        <v>37</v>
      </c>
      <c r="K2335" t="s">
        <v>48</v>
      </c>
      <c r="L2335" t="s">
        <v>49</v>
      </c>
      <c r="M2335" t="s">
        <v>140</v>
      </c>
      <c r="N2335">
        <v>305</v>
      </c>
      <c r="O2335">
        <v>2.8311012E-2</v>
      </c>
      <c r="P2335">
        <v>1.707461E-2</v>
      </c>
      <c r="Q2335" t="str">
        <f t="shared" si="72"/>
        <v>10-14</v>
      </c>
      <c r="R2335" t="str">
        <f t="shared" si="73"/>
        <v>[rpw540fmNUz]|10-14|Male|TX_CURR_SUBNAT.T_1|CY2024Q3</v>
      </c>
    </row>
    <row r="2336" spans="4:18" x14ac:dyDescent="0.2">
      <c r="D2336" t="s">
        <v>132</v>
      </c>
      <c r="E2336" t="s">
        <v>133</v>
      </c>
      <c r="F2336" t="s">
        <v>134</v>
      </c>
      <c r="G2336" t="s">
        <v>146</v>
      </c>
      <c r="H2336" t="s">
        <v>147</v>
      </c>
      <c r="I2336" t="s">
        <v>38</v>
      </c>
      <c r="J2336" t="s">
        <v>39</v>
      </c>
      <c r="K2336" t="s">
        <v>48</v>
      </c>
      <c r="L2336" t="s">
        <v>49</v>
      </c>
      <c r="M2336" t="s">
        <v>140</v>
      </c>
      <c r="N2336">
        <v>778</v>
      </c>
      <c r="O2336">
        <v>6.6529421000000005E-2</v>
      </c>
      <c r="P2336">
        <v>1.707461E-2</v>
      </c>
      <c r="Q2336" t="str">
        <f t="shared" si="72"/>
        <v>15-24</v>
      </c>
      <c r="R2336" t="str">
        <f t="shared" si="73"/>
        <v>[rpw540fmNUz]|15-24|Male|TX_CURR_SUBNAT.T_1|CY2024Q3</v>
      </c>
    </row>
    <row r="2337" spans="4:18" x14ac:dyDescent="0.2">
      <c r="D2337" t="s">
        <v>132</v>
      </c>
      <c r="E2337" t="s">
        <v>133</v>
      </c>
      <c r="F2337" t="s">
        <v>134</v>
      </c>
      <c r="G2337" t="s">
        <v>146</v>
      </c>
      <c r="H2337" t="s">
        <v>147</v>
      </c>
      <c r="I2337" t="s">
        <v>41</v>
      </c>
      <c r="J2337" t="s">
        <v>42</v>
      </c>
      <c r="K2337" t="s">
        <v>48</v>
      </c>
      <c r="L2337" t="s">
        <v>49</v>
      </c>
      <c r="M2337" t="s">
        <v>140</v>
      </c>
      <c r="N2337">
        <v>879</v>
      </c>
      <c r="O2337">
        <v>6.6208864000000006E-2</v>
      </c>
      <c r="P2337">
        <v>1.707461E-2</v>
      </c>
      <c r="Q2337" t="str">
        <f t="shared" si="72"/>
        <v>25-34</v>
      </c>
      <c r="R2337" t="str">
        <f t="shared" si="73"/>
        <v>[rpw540fmNUz]|25-34|Male|TX_CURR_SUBNAT.T_1|CY2024Q3</v>
      </c>
    </row>
    <row r="2338" spans="4:18" x14ac:dyDescent="0.2">
      <c r="D2338" t="s">
        <v>132</v>
      </c>
      <c r="E2338" t="s">
        <v>133</v>
      </c>
      <c r="F2338" t="s">
        <v>134</v>
      </c>
      <c r="G2338" t="s">
        <v>146</v>
      </c>
      <c r="H2338" t="s">
        <v>147</v>
      </c>
      <c r="I2338" t="s">
        <v>43</v>
      </c>
      <c r="J2338" t="s">
        <v>44</v>
      </c>
      <c r="K2338" t="s">
        <v>48</v>
      </c>
      <c r="L2338" t="s">
        <v>49</v>
      </c>
      <c r="M2338" t="s">
        <v>140</v>
      </c>
      <c r="N2338">
        <v>3317</v>
      </c>
      <c r="O2338">
        <v>3.4890206999999999E-2</v>
      </c>
      <c r="P2338">
        <v>1.707461E-2</v>
      </c>
      <c r="Q2338" t="str">
        <f t="shared" si="72"/>
        <v>35-49</v>
      </c>
      <c r="R2338" t="str">
        <f t="shared" si="73"/>
        <v>[rpw540fmNUz]|35-49|Male|TX_CURR_SUBNAT.T_1|CY2024Q3</v>
      </c>
    </row>
    <row r="2339" spans="4:18" x14ac:dyDescent="0.2">
      <c r="D2339" t="s">
        <v>132</v>
      </c>
      <c r="E2339" t="s">
        <v>133</v>
      </c>
      <c r="F2339" t="s">
        <v>134</v>
      </c>
      <c r="G2339" t="s">
        <v>146</v>
      </c>
      <c r="H2339" t="s">
        <v>147</v>
      </c>
      <c r="I2339" t="s">
        <v>45</v>
      </c>
      <c r="J2339" t="s">
        <v>46</v>
      </c>
      <c r="K2339" t="s">
        <v>48</v>
      </c>
      <c r="L2339" t="s">
        <v>49</v>
      </c>
      <c r="M2339" t="s">
        <v>140</v>
      </c>
      <c r="N2339">
        <v>2636</v>
      </c>
      <c r="O2339">
        <v>3.7417231000000002E-2</v>
      </c>
      <c r="P2339">
        <v>1.707461E-2</v>
      </c>
      <c r="Q2339" t="str">
        <f t="shared" si="72"/>
        <v>50+</v>
      </c>
      <c r="R2339" t="str">
        <f t="shared" si="73"/>
        <v>[rpw540fmNUz]|50+|Male|TX_CURR_SUBNAT.T_1|CY2024Q3</v>
      </c>
    </row>
    <row r="2340" spans="4:18" x14ac:dyDescent="0.2">
      <c r="D2340" t="s">
        <v>135</v>
      </c>
      <c r="E2340" t="s">
        <v>136</v>
      </c>
      <c r="F2340" t="s">
        <v>137</v>
      </c>
      <c r="G2340" t="s">
        <v>146</v>
      </c>
      <c r="H2340" t="s">
        <v>147</v>
      </c>
      <c r="I2340" t="s">
        <v>28</v>
      </c>
      <c r="J2340" t="s">
        <v>29</v>
      </c>
      <c r="K2340" t="s">
        <v>30</v>
      </c>
      <c r="L2340" t="s">
        <v>31</v>
      </c>
      <c r="M2340" t="s">
        <v>140</v>
      </c>
      <c r="N2340">
        <v>3</v>
      </c>
      <c r="O2340">
        <v>6.6544222E-2</v>
      </c>
      <c r="P2340">
        <v>1.5327745E-2</v>
      </c>
      <c r="Q2340" t="str">
        <f t="shared" si="72"/>
        <v>&lt;01</v>
      </c>
      <c r="R2340" t="str">
        <f t="shared" si="73"/>
        <v>[gwVYinjBAe9]|&lt;01|Female|TX_CURR_SUBNAT.T_1|CY2024Q3</v>
      </c>
    </row>
    <row r="2341" spans="4:18" x14ac:dyDescent="0.2">
      <c r="D2341" t="s">
        <v>135</v>
      </c>
      <c r="E2341" t="s">
        <v>136</v>
      </c>
      <c r="F2341" t="s">
        <v>137</v>
      </c>
      <c r="G2341" t="s">
        <v>146</v>
      </c>
      <c r="H2341" t="s">
        <v>147</v>
      </c>
      <c r="I2341" t="s">
        <v>33</v>
      </c>
      <c r="J2341" t="s">
        <v>34</v>
      </c>
      <c r="K2341" t="s">
        <v>30</v>
      </c>
      <c r="L2341" t="s">
        <v>31</v>
      </c>
      <c r="M2341" t="s">
        <v>140</v>
      </c>
      <c r="N2341">
        <v>72</v>
      </c>
      <c r="O2341">
        <v>6.0716297000000002E-2</v>
      </c>
      <c r="P2341">
        <v>1.5327745E-2</v>
      </c>
      <c r="Q2341" t="str">
        <f t="shared" si="72"/>
        <v>01-09</v>
      </c>
      <c r="R2341" t="str">
        <f t="shared" si="73"/>
        <v>[gwVYinjBAe9]|01-09|Female|TX_CURR_SUBNAT.T_1|CY2024Q3</v>
      </c>
    </row>
    <row r="2342" spans="4:18" x14ac:dyDescent="0.2">
      <c r="D2342" t="s">
        <v>135</v>
      </c>
      <c r="E2342" t="s">
        <v>136</v>
      </c>
      <c r="F2342" t="s">
        <v>137</v>
      </c>
      <c r="G2342" t="s">
        <v>146</v>
      </c>
      <c r="H2342" t="s">
        <v>147</v>
      </c>
      <c r="I2342" t="s">
        <v>36</v>
      </c>
      <c r="J2342" t="s">
        <v>37</v>
      </c>
      <c r="K2342" t="s">
        <v>30</v>
      </c>
      <c r="L2342" t="s">
        <v>31</v>
      </c>
      <c r="M2342" t="s">
        <v>140</v>
      </c>
      <c r="N2342">
        <v>92</v>
      </c>
      <c r="O2342">
        <v>5.4213549E-2</v>
      </c>
      <c r="P2342">
        <v>1.5327745E-2</v>
      </c>
      <c r="Q2342" t="str">
        <f t="shared" si="72"/>
        <v>10-14</v>
      </c>
      <c r="R2342" t="str">
        <f t="shared" si="73"/>
        <v>[gwVYinjBAe9]|10-14|Female|TX_CURR_SUBNAT.T_1|CY2024Q3</v>
      </c>
    </row>
    <row r="2343" spans="4:18" x14ac:dyDescent="0.2">
      <c r="D2343" t="s">
        <v>135</v>
      </c>
      <c r="E2343" t="s">
        <v>136</v>
      </c>
      <c r="F2343" t="s">
        <v>137</v>
      </c>
      <c r="G2343" t="s">
        <v>146</v>
      </c>
      <c r="H2343" t="s">
        <v>147</v>
      </c>
      <c r="I2343" t="s">
        <v>38</v>
      </c>
      <c r="J2343" t="s">
        <v>39</v>
      </c>
      <c r="K2343" t="s">
        <v>30</v>
      </c>
      <c r="L2343" t="s">
        <v>31</v>
      </c>
      <c r="M2343" t="s">
        <v>140</v>
      </c>
      <c r="N2343">
        <v>441</v>
      </c>
      <c r="O2343">
        <v>6.1092175999999998E-2</v>
      </c>
      <c r="P2343">
        <v>1.5327745E-2</v>
      </c>
      <c r="Q2343" t="str">
        <f t="shared" si="72"/>
        <v>15-24</v>
      </c>
      <c r="R2343" t="str">
        <f t="shared" si="73"/>
        <v>[gwVYinjBAe9]|15-24|Female|TX_CURR_SUBNAT.T_1|CY2024Q3</v>
      </c>
    </row>
    <row r="2344" spans="4:18" x14ac:dyDescent="0.2">
      <c r="D2344" t="s">
        <v>135</v>
      </c>
      <c r="E2344" t="s">
        <v>136</v>
      </c>
      <c r="F2344" t="s">
        <v>137</v>
      </c>
      <c r="G2344" t="s">
        <v>146</v>
      </c>
      <c r="H2344" t="s">
        <v>147</v>
      </c>
      <c r="I2344" t="s">
        <v>41</v>
      </c>
      <c r="J2344" t="s">
        <v>42</v>
      </c>
      <c r="K2344" t="s">
        <v>30</v>
      </c>
      <c r="L2344" t="s">
        <v>31</v>
      </c>
      <c r="M2344" t="s">
        <v>140</v>
      </c>
      <c r="N2344">
        <v>1102</v>
      </c>
      <c r="O2344">
        <v>3.8082339999999999E-2</v>
      </c>
      <c r="P2344">
        <v>1.5327745E-2</v>
      </c>
      <c r="Q2344" t="str">
        <f t="shared" si="72"/>
        <v>25-34</v>
      </c>
      <c r="R2344" t="str">
        <f t="shared" si="73"/>
        <v>[gwVYinjBAe9]|25-34|Female|TX_CURR_SUBNAT.T_1|CY2024Q3</v>
      </c>
    </row>
    <row r="2345" spans="4:18" x14ac:dyDescent="0.2">
      <c r="D2345" t="s">
        <v>135</v>
      </c>
      <c r="E2345" t="s">
        <v>136</v>
      </c>
      <c r="F2345" t="s">
        <v>137</v>
      </c>
      <c r="G2345" t="s">
        <v>146</v>
      </c>
      <c r="H2345" t="s">
        <v>147</v>
      </c>
      <c r="I2345" t="s">
        <v>43</v>
      </c>
      <c r="J2345" t="s">
        <v>44</v>
      </c>
      <c r="K2345" t="s">
        <v>30</v>
      </c>
      <c r="L2345" t="s">
        <v>31</v>
      </c>
      <c r="M2345" t="s">
        <v>140</v>
      </c>
      <c r="N2345">
        <v>2841</v>
      </c>
      <c r="O2345">
        <v>2.4381765E-2</v>
      </c>
      <c r="P2345">
        <v>1.5327745E-2</v>
      </c>
      <c r="Q2345" t="str">
        <f t="shared" si="72"/>
        <v>35-49</v>
      </c>
      <c r="R2345" t="str">
        <f t="shared" si="73"/>
        <v>[gwVYinjBAe9]|35-49|Female|TX_CURR_SUBNAT.T_1|CY2024Q3</v>
      </c>
    </row>
    <row r="2346" spans="4:18" x14ac:dyDescent="0.2">
      <c r="D2346" t="s">
        <v>135</v>
      </c>
      <c r="E2346" t="s">
        <v>136</v>
      </c>
      <c r="F2346" t="s">
        <v>137</v>
      </c>
      <c r="G2346" t="s">
        <v>146</v>
      </c>
      <c r="H2346" t="s">
        <v>147</v>
      </c>
      <c r="I2346" t="s">
        <v>45</v>
      </c>
      <c r="J2346" t="s">
        <v>46</v>
      </c>
      <c r="K2346" t="s">
        <v>30</v>
      </c>
      <c r="L2346" t="s">
        <v>31</v>
      </c>
      <c r="M2346" t="s">
        <v>140</v>
      </c>
      <c r="N2346">
        <v>1364</v>
      </c>
      <c r="O2346">
        <v>4.0053871999999997E-2</v>
      </c>
      <c r="P2346">
        <v>1.5327745E-2</v>
      </c>
      <c r="Q2346" t="str">
        <f t="shared" si="72"/>
        <v>50+</v>
      </c>
      <c r="R2346" t="str">
        <f t="shared" si="73"/>
        <v>[gwVYinjBAe9]|50+|Female|TX_CURR_SUBNAT.T_1|CY2024Q3</v>
      </c>
    </row>
    <row r="2347" spans="4:18" x14ac:dyDescent="0.2">
      <c r="D2347" t="s">
        <v>135</v>
      </c>
      <c r="E2347" t="s">
        <v>136</v>
      </c>
      <c r="F2347" t="s">
        <v>137</v>
      </c>
      <c r="G2347" t="s">
        <v>146</v>
      </c>
      <c r="H2347" t="s">
        <v>147</v>
      </c>
      <c r="I2347" t="s">
        <v>28</v>
      </c>
      <c r="J2347" t="s">
        <v>29</v>
      </c>
      <c r="K2347" t="s">
        <v>48</v>
      </c>
      <c r="L2347" t="s">
        <v>49</v>
      </c>
      <c r="M2347" t="s">
        <v>140</v>
      </c>
      <c r="N2347">
        <v>4</v>
      </c>
      <c r="O2347">
        <v>4.6666172999999998E-2</v>
      </c>
      <c r="P2347">
        <v>1.5327745E-2</v>
      </c>
      <c r="Q2347" t="str">
        <f t="shared" si="72"/>
        <v>&lt;01</v>
      </c>
      <c r="R2347" t="str">
        <f t="shared" si="73"/>
        <v>[gwVYinjBAe9]|&lt;01|Male|TX_CURR_SUBNAT.T_1|CY2024Q3</v>
      </c>
    </row>
    <row r="2348" spans="4:18" x14ac:dyDescent="0.2">
      <c r="D2348" t="s">
        <v>135</v>
      </c>
      <c r="E2348" t="s">
        <v>136</v>
      </c>
      <c r="F2348" t="s">
        <v>137</v>
      </c>
      <c r="G2348" t="s">
        <v>146</v>
      </c>
      <c r="H2348" t="s">
        <v>147</v>
      </c>
      <c r="I2348" t="s">
        <v>33</v>
      </c>
      <c r="J2348" t="s">
        <v>34</v>
      </c>
      <c r="K2348" t="s">
        <v>48</v>
      </c>
      <c r="L2348" t="s">
        <v>49</v>
      </c>
      <c r="M2348" t="s">
        <v>140</v>
      </c>
      <c r="N2348">
        <v>76</v>
      </c>
      <c r="O2348">
        <v>4.3805588999999999E-2</v>
      </c>
      <c r="P2348">
        <v>1.5327745E-2</v>
      </c>
      <c r="Q2348" t="str">
        <f t="shared" si="72"/>
        <v>01-09</v>
      </c>
      <c r="R2348" t="str">
        <f t="shared" si="73"/>
        <v>[gwVYinjBAe9]|01-09|Male|TX_CURR_SUBNAT.T_1|CY2024Q3</v>
      </c>
    </row>
    <row r="2349" spans="4:18" x14ac:dyDescent="0.2">
      <c r="D2349" t="s">
        <v>135</v>
      </c>
      <c r="E2349" t="s">
        <v>136</v>
      </c>
      <c r="F2349" t="s">
        <v>137</v>
      </c>
      <c r="G2349" t="s">
        <v>146</v>
      </c>
      <c r="H2349" t="s">
        <v>147</v>
      </c>
      <c r="I2349" t="s">
        <v>36</v>
      </c>
      <c r="J2349" t="s">
        <v>37</v>
      </c>
      <c r="K2349" t="s">
        <v>48</v>
      </c>
      <c r="L2349" t="s">
        <v>49</v>
      </c>
      <c r="M2349" t="s">
        <v>140</v>
      </c>
      <c r="N2349">
        <v>97</v>
      </c>
      <c r="O2349">
        <v>4.1331510000000002E-2</v>
      </c>
      <c r="P2349">
        <v>1.5327745E-2</v>
      </c>
      <c r="Q2349" t="str">
        <f t="shared" si="72"/>
        <v>10-14</v>
      </c>
      <c r="R2349" t="str">
        <f t="shared" si="73"/>
        <v>[gwVYinjBAe9]|10-14|Male|TX_CURR_SUBNAT.T_1|CY2024Q3</v>
      </c>
    </row>
    <row r="2350" spans="4:18" x14ac:dyDescent="0.2">
      <c r="D2350" t="s">
        <v>135</v>
      </c>
      <c r="E2350" t="s">
        <v>136</v>
      </c>
      <c r="F2350" t="s">
        <v>137</v>
      </c>
      <c r="G2350" t="s">
        <v>146</v>
      </c>
      <c r="H2350" t="s">
        <v>147</v>
      </c>
      <c r="I2350" t="s">
        <v>38</v>
      </c>
      <c r="J2350" t="s">
        <v>39</v>
      </c>
      <c r="K2350" t="s">
        <v>48</v>
      </c>
      <c r="L2350" t="s">
        <v>49</v>
      </c>
      <c r="M2350" t="s">
        <v>140</v>
      </c>
      <c r="N2350">
        <v>300</v>
      </c>
      <c r="O2350">
        <v>6.7207515999999995E-2</v>
      </c>
      <c r="P2350">
        <v>1.5327745E-2</v>
      </c>
      <c r="Q2350" t="str">
        <f t="shared" si="72"/>
        <v>15-24</v>
      </c>
      <c r="R2350" t="str">
        <f t="shared" si="73"/>
        <v>[gwVYinjBAe9]|15-24|Male|TX_CURR_SUBNAT.T_1|CY2024Q3</v>
      </c>
    </row>
    <row r="2351" spans="4:18" x14ac:dyDescent="0.2">
      <c r="D2351" t="s">
        <v>135</v>
      </c>
      <c r="E2351" t="s">
        <v>136</v>
      </c>
      <c r="F2351" t="s">
        <v>137</v>
      </c>
      <c r="G2351" t="s">
        <v>146</v>
      </c>
      <c r="H2351" t="s">
        <v>147</v>
      </c>
      <c r="I2351" t="s">
        <v>41</v>
      </c>
      <c r="J2351" t="s">
        <v>42</v>
      </c>
      <c r="K2351" t="s">
        <v>48</v>
      </c>
      <c r="L2351" t="s">
        <v>49</v>
      </c>
      <c r="M2351" t="s">
        <v>140</v>
      </c>
      <c r="N2351">
        <v>360</v>
      </c>
      <c r="O2351">
        <v>6.5683299000000001E-2</v>
      </c>
      <c r="P2351">
        <v>1.5327745E-2</v>
      </c>
      <c r="Q2351" t="str">
        <f t="shared" si="72"/>
        <v>25-34</v>
      </c>
      <c r="R2351" t="str">
        <f t="shared" si="73"/>
        <v>[gwVYinjBAe9]|25-34|Male|TX_CURR_SUBNAT.T_1|CY2024Q3</v>
      </c>
    </row>
    <row r="2352" spans="4:18" x14ac:dyDescent="0.2">
      <c r="D2352" t="s">
        <v>135</v>
      </c>
      <c r="E2352" t="s">
        <v>136</v>
      </c>
      <c r="F2352" t="s">
        <v>137</v>
      </c>
      <c r="G2352" t="s">
        <v>146</v>
      </c>
      <c r="H2352" t="s">
        <v>147</v>
      </c>
      <c r="I2352" t="s">
        <v>43</v>
      </c>
      <c r="J2352" t="s">
        <v>44</v>
      </c>
      <c r="K2352" t="s">
        <v>48</v>
      </c>
      <c r="L2352" t="s">
        <v>49</v>
      </c>
      <c r="M2352" t="s">
        <v>140</v>
      </c>
      <c r="N2352">
        <v>1351</v>
      </c>
      <c r="O2352">
        <v>3.3483667000000002E-2</v>
      </c>
      <c r="P2352">
        <v>1.5327745E-2</v>
      </c>
      <c r="Q2352" t="str">
        <f t="shared" si="72"/>
        <v>35-49</v>
      </c>
      <c r="R2352" t="str">
        <f t="shared" si="73"/>
        <v>[gwVYinjBAe9]|35-49|Male|TX_CURR_SUBNAT.T_1|CY2024Q3</v>
      </c>
    </row>
    <row r="2353" spans="4:18" x14ac:dyDescent="0.2">
      <c r="D2353" t="s">
        <v>135</v>
      </c>
      <c r="E2353" t="s">
        <v>136</v>
      </c>
      <c r="F2353" t="s">
        <v>137</v>
      </c>
      <c r="G2353" t="s">
        <v>146</v>
      </c>
      <c r="H2353" t="s">
        <v>147</v>
      </c>
      <c r="I2353" t="s">
        <v>45</v>
      </c>
      <c r="J2353" t="s">
        <v>46</v>
      </c>
      <c r="K2353" t="s">
        <v>48</v>
      </c>
      <c r="L2353" t="s">
        <v>49</v>
      </c>
      <c r="M2353" t="s">
        <v>140</v>
      </c>
      <c r="N2353">
        <v>1046</v>
      </c>
      <c r="O2353">
        <v>3.9284201999999997E-2</v>
      </c>
      <c r="P2353">
        <v>1.5327745E-2</v>
      </c>
      <c r="Q2353" t="str">
        <f t="shared" si="72"/>
        <v>50+</v>
      </c>
      <c r="R2353" t="str">
        <f t="shared" si="73"/>
        <v>[gwVYinjBAe9]|50+|Male|TX_CURR_SUBNAT.T_1|CY2024Q3</v>
      </c>
    </row>
    <row r="2354" spans="4:18" x14ac:dyDescent="0.2">
      <c r="D2354" t="s">
        <v>23</v>
      </c>
      <c r="E2354" t="s">
        <v>24</v>
      </c>
      <c r="F2354" t="s">
        <v>25</v>
      </c>
      <c r="G2354" t="s">
        <v>148</v>
      </c>
      <c r="H2354" t="s">
        <v>149</v>
      </c>
      <c r="I2354" t="s">
        <v>28</v>
      </c>
      <c r="J2354" t="s">
        <v>29</v>
      </c>
      <c r="K2354" t="s">
        <v>30</v>
      </c>
      <c r="L2354" t="s">
        <v>31</v>
      </c>
      <c r="M2354" t="s">
        <v>140</v>
      </c>
      <c r="N2354">
        <v>2</v>
      </c>
      <c r="O2354">
        <v>9.4656121999999995E-2</v>
      </c>
      <c r="P2354">
        <v>6.8677282000000006E-2</v>
      </c>
      <c r="Q2354" t="str">
        <f t="shared" si="72"/>
        <v>&lt;01</v>
      </c>
      <c r="R2354" t="str">
        <f t="shared" si="73"/>
        <v>[GkIwZrXy1h2]|&lt;01|Female|DIAGNOSED_SUBNAT.T_1|CY2024Q3</v>
      </c>
    </row>
    <row r="2355" spans="4:18" x14ac:dyDescent="0.2">
      <c r="D2355" t="s">
        <v>23</v>
      </c>
      <c r="E2355" t="s">
        <v>24</v>
      </c>
      <c r="F2355" t="s">
        <v>25</v>
      </c>
      <c r="G2355" t="s">
        <v>148</v>
      </c>
      <c r="H2355" t="s">
        <v>149</v>
      </c>
      <c r="I2355" t="s">
        <v>33</v>
      </c>
      <c r="J2355" t="s">
        <v>34</v>
      </c>
      <c r="K2355" t="s">
        <v>30</v>
      </c>
      <c r="L2355" t="s">
        <v>31</v>
      </c>
      <c r="M2355" t="s">
        <v>140</v>
      </c>
      <c r="N2355">
        <v>42</v>
      </c>
      <c r="O2355">
        <v>9.2990094999999995E-2</v>
      </c>
      <c r="P2355">
        <v>6.8677282000000006E-2</v>
      </c>
      <c r="Q2355" t="str">
        <f t="shared" si="72"/>
        <v>01-09</v>
      </c>
      <c r="R2355" t="str">
        <f t="shared" si="73"/>
        <v>[GkIwZrXy1h2]|01-09|Female|DIAGNOSED_SUBNAT.T_1|CY2024Q3</v>
      </c>
    </row>
    <row r="2356" spans="4:18" x14ac:dyDescent="0.2">
      <c r="D2356" t="s">
        <v>23</v>
      </c>
      <c r="E2356" t="s">
        <v>24</v>
      </c>
      <c r="F2356" t="s">
        <v>25</v>
      </c>
      <c r="G2356" t="s">
        <v>148</v>
      </c>
      <c r="H2356" t="s">
        <v>149</v>
      </c>
      <c r="I2356" t="s">
        <v>36</v>
      </c>
      <c r="J2356" t="s">
        <v>37</v>
      </c>
      <c r="K2356" t="s">
        <v>30</v>
      </c>
      <c r="L2356" t="s">
        <v>31</v>
      </c>
      <c r="M2356" t="s">
        <v>140</v>
      </c>
      <c r="N2356">
        <v>59</v>
      </c>
      <c r="O2356">
        <v>9.2025698000000003E-2</v>
      </c>
      <c r="P2356">
        <v>6.8677282000000006E-2</v>
      </c>
      <c r="Q2356" t="str">
        <f t="shared" si="72"/>
        <v>10-14</v>
      </c>
      <c r="R2356" t="str">
        <f t="shared" si="73"/>
        <v>[GkIwZrXy1h2]|10-14|Female|DIAGNOSED_SUBNAT.T_1|CY2024Q3</v>
      </c>
    </row>
    <row r="2357" spans="4:18" x14ac:dyDescent="0.2">
      <c r="D2357" t="s">
        <v>23</v>
      </c>
      <c r="E2357" t="s">
        <v>24</v>
      </c>
      <c r="F2357" t="s">
        <v>25</v>
      </c>
      <c r="G2357" t="s">
        <v>148</v>
      </c>
      <c r="H2357" t="s">
        <v>149</v>
      </c>
      <c r="I2357" t="s">
        <v>38</v>
      </c>
      <c r="J2357" t="s">
        <v>39</v>
      </c>
      <c r="K2357" t="s">
        <v>30</v>
      </c>
      <c r="L2357" t="s">
        <v>31</v>
      </c>
      <c r="M2357" t="s">
        <v>140</v>
      </c>
      <c r="N2357">
        <v>239</v>
      </c>
      <c r="O2357">
        <v>9.6268382999999999E-2</v>
      </c>
      <c r="P2357">
        <v>6.8677282000000006E-2</v>
      </c>
      <c r="Q2357" t="str">
        <f t="shared" si="72"/>
        <v>15-24</v>
      </c>
      <c r="R2357" t="str">
        <f t="shared" si="73"/>
        <v>[GkIwZrXy1h2]|15-24|Female|DIAGNOSED_SUBNAT.T_1|CY2024Q3</v>
      </c>
    </row>
    <row r="2358" spans="4:18" x14ac:dyDescent="0.2">
      <c r="D2358" t="s">
        <v>23</v>
      </c>
      <c r="E2358" t="s">
        <v>24</v>
      </c>
      <c r="F2358" t="s">
        <v>25</v>
      </c>
      <c r="G2358" t="s">
        <v>148</v>
      </c>
      <c r="H2358" t="s">
        <v>149</v>
      </c>
      <c r="I2358" t="s">
        <v>41</v>
      </c>
      <c r="J2358" t="s">
        <v>42</v>
      </c>
      <c r="K2358" t="s">
        <v>30</v>
      </c>
      <c r="L2358" t="s">
        <v>31</v>
      </c>
      <c r="M2358" t="s">
        <v>140</v>
      </c>
      <c r="N2358">
        <v>605</v>
      </c>
      <c r="O2358">
        <v>8.2287366000000001E-2</v>
      </c>
      <c r="P2358">
        <v>6.8677282000000006E-2</v>
      </c>
      <c r="Q2358" t="str">
        <f t="shared" si="72"/>
        <v>25-34</v>
      </c>
      <c r="R2358" t="str">
        <f t="shared" si="73"/>
        <v>[GkIwZrXy1h2]|25-34|Female|DIAGNOSED_SUBNAT.T_1|CY2024Q3</v>
      </c>
    </row>
    <row r="2359" spans="4:18" x14ac:dyDescent="0.2">
      <c r="D2359" t="s">
        <v>23</v>
      </c>
      <c r="E2359" t="s">
        <v>24</v>
      </c>
      <c r="F2359" t="s">
        <v>25</v>
      </c>
      <c r="G2359" t="s">
        <v>148</v>
      </c>
      <c r="H2359" t="s">
        <v>149</v>
      </c>
      <c r="I2359" t="s">
        <v>43</v>
      </c>
      <c r="J2359" t="s">
        <v>44</v>
      </c>
      <c r="K2359" t="s">
        <v>30</v>
      </c>
      <c r="L2359" t="s">
        <v>31</v>
      </c>
      <c r="M2359" t="s">
        <v>140</v>
      </c>
      <c r="N2359">
        <v>1645</v>
      </c>
      <c r="O2359">
        <v>7.1799093999999994E-2</v>
      </c>
      <c r="P2359">
        <v>6.8677282000000006E-2</v>
      </c>
      <c r="Q2359" t="str">
        <f t="shared" si="72"/>
        <v>35-49</v>
      </c>
      <c r="R2359" t="str">
        <f t="shared" si="73"/>
        <v>[GkIwZrXy1h2]|35-49|Female|DIAGNOSED_SUBNAT.T_1|CY2024Q3</v>
      </c>
    </row>
    <row r="2360" spans="4:18" x14ac:dyDescent="0.2">
      <c r="D2360" t="s">
        <v>23</v>
      </c>
      <c r="E2360" t="s">
        <v>24</v>
      </c>
      <c r="F2360" t="s">
        <v>25</v>
      </c>
      <c r="G2360" t="s">
        <v>148</v>
      </c>
      <c r="H2360" t="s">
        <v>149</v>
      </c>
      <c r="I2360" t="s">
        <v>45</v>
      </c>
      <c r="J2360" t="s">
        <v>46</v>
      </c>
      <c r="K2360" t="s">
        <v>30</v>
      </c>
      <c r="L2360" t="s">
        <v>31</v>
      </c>
      <c r="M2360" t="s">
        <v>140</v>
      </c>
      <c r="N2360">
        <v>834</v>
      </c>
      <c r="O2360">
        <v>7.7529234000000002E-2</v>
      </c>
      <c r="P2360">
        <v>6.8677282000000006E-2</v>
      </c>
      <c r="Q2360" t="str">
        <f t="shared" si="72"/>
        <v>50+</v>
      </c>
      <c r="R2360" t="str">
        <f t="shared" si="73"/>
        <v>[GkIwZrXy1h2]|50+|Female|DIAGNOSED_SUBNAT.T_1|CY2024Q3</v>
      </c>
    </row>
    <row r="2361" spans="4:18" x14ac:dyDescent="0.2">
      <c r="D2361" t="s">
        <v>23</v>
      </c>
      <c r="E2361" t="s">
        <v>24</v>
      </c>
      <c r="F2361" t="s">
        <v>25</v>
      </c>
      <c r="G2361" t="s">
        <v>148</v>
      </c>
      <c r="H2361" t="s">
        <v>149</v>
      </c>
      <c r="I2361" t="s">
        <v>28</v>
      </c>
      <c r="J2361" t="s">
        <v>29</v>
      </c>
      <c r="K2361" t="s">
        <v>48</v>
      </c>
      <c r="L2361" t="s">
        <v>49</v>
      </c>
      <c r="M2361" t="s">
        <v>140</v>
      </c>
      <c r="N2361">
        <v>2</v>
      </c>
      <c r="O2361">
        <v>8.2546830000000002E-2</v>
      </c>
      <c r="P2361">
        <v>6.8677282000000006E-2</v>
      </c>
      <c r="Q2361" t="str">
        <f t="shared" si="72"/>
        <v>&lt;01</v>
      </c>
      <c r="R2361" t="str">
        <f t="shared" si="73"/>
        <v>[GkIwZrXy1h2]|&lt;01|Male|DIAGNOSED_SUBNAT.T_1|CY2024Q3</v>
      </c>
    </row>
    <row r="2362" spans="4:18" x14ac:dyDescent="0.2">
      <c r="D2362" t="s">
        <v>23</v>
      </c>
      <c r="E2362" t="s">
        <v>24</v>
      </c>
      <c r="F2362" t="s">
        <v>25</v>
      </c>
      <c r="G2362" t="s">
        <v>148</v>
      </c>
      <c r="H2362" t="s">
        <v>149</v>
      </c>
      <c r="I2362" t="s">
        <v>33</v>
      </c>
      <c r="J2362" t="s">
        <v>34</v>
      </c>
      <c r="K2362" t="s">
        <v>48</v>
      </c>
      <c r="L2362" t="s">
        <v>49</v>
      </c>
      <c r="M2362" t="s">
        <v>140</v>
      </c>
      <c r="N2362">
        <v>42</v>
      </c>
      <c r="O2362">
        <v>8.5196209999999994E-2</v>
      </c>
      <c r="P2362">
        <v>6.8677282000000006E-2</v>
      </c>
      <c r="Q2362" t="str">
        <f t="shared" si="72"/>
        <v>01-09</v>
      </c>
      <c r="R2362" t="str">
        <f t="shared" si="73"/>
        <v>[GkIwZrXy1h2]|01-09|Male|DIAGNOSED_SUBNAT.T_1|CY2024Q3</v>
      </c>
    </row>
    <row r="2363" spans="4:18" x14ac:dyDescent="0.2">
      <c r="D2363" t="s">
        <v>23</v>
      </c>
      <c r="E2363" t="s">
        <v>24</v>
      </c>
      <c r="F2363" t="s">
        <v>25</v>
      </c>
      <c r="G2363" t="s">
        <v>148</v>
      </c>
      <c r="H2363" t="s">
        <v>149</v>
      </c>
      <c r="I2363" t="s">
        <v>36</v>
      </c>
      <c r="J2363" t="s">
        <v>37</v>
      </c>
      <c r="K2363" t="s">
        <v>48</v>
      </c>
      <c r="L2363" t="s">
        <v>49</v>
      </c>
      <c r="M2363" t="s">
        <v>140</v>
      </c>
      <c r="N2363">
        <v>58</v>
      </c>
      <c r="O2363">
        <v>8.9831744000000005E-2</v>
      </c>
      <c r="P2363">
        <v>6.8677282000000006E-2</v>
      </c>
      <c r="Q2363" t="str">
        <f t="shared" si="72"/>
        <v>10-14</v>
      </c>
      <c r="R2363" t="str">
        <f t="shared" si="73"/>
        <v>[GkIwZrXy1h2]|10-14|Male|DIAGNOSED_SUBNAT.T_1|CY2024Q3</v>
      </c>
    </row>
    <row r="2364" spans="4:18" x14ac:dyDescent="0.2">
      <c r="D2364" t="s">
        <v>23</v>
      </c>
      <c r="E2364" t="s">
        <v>24</v>
      </c>
      <c r="F2364" t="s">
        <v>25</v>
      </c>
      <c r="G2364" t="s">
        <v>148</v>
      </c>
      <c r="H2364" t="s">
        <v>149</v>
      </c>
      <c r="I2364" t="s">
        <v>38</v>
      </c>
      <c r="J2364" t="s">
        <v>39</v>
      </c>
      <c r="K2364" t="s">
        <v>48</v>
      </c>
      <c r="L2364" t="s">
        <v>49</v>
      </c>
      <c r="M2364" t="s">
        <v>140</v>
      </c>
      <c r="N2364">
        <v>176</v>
      </c>
      <c r="O2364">
        <v>0.102828278</v>
      </c>
      <c r="P2364">
        <v>6.8677282000000006E-2</v>
      </c>
      <c r="Q2364" t="str">
        <f t="shared" si="72"/>
        <v>15-24</v>
      </c>
      <c r="R2364" t="str">
        <f t="shared" si="73"/>
        <v>[GkIwZrXy1h2]|15-24|Male|DIAGNOSED_SUBNAT.T_1|CY2024Q3</v>
      </c>
    </row>
    <row r="2365" spans="4:18" x14ac:dyDescent="0.2">
      <c r="D2365" t="s">
        <v>23</v>
      </c>
      <c r="E2365" t="s">
        <v>24</v>
      </c>
      <c r="F2365" t="s">
        <v>25</v>
      </c>
      <c r="G2365" t="s">
        <v>148</v>
      </c>
      <c r="H2365" t="s">
        <v>149</v>
      </c>
      <c r="I2365" t="s">
        <v>41</v>
      </c>
      <c r="J2365" t="s">
        <v>42</v>
      </c>
      <c r="K2365" t="s">
        <v>48</v>
      </c>
      <c r="L2365" t="s">
        <v>49</v>
      </c>
      <c r="M2365" t="s">
        <v>140</v>
      </c>
      <c r="N2365">
        <v>228</v>
      </c>
      <c r="O2365">
        <v>9.5635207E-2</v>
      </c>
      <c r="P2365">
        <v>6.8677282000000006E-2</v>
      </c>
      <c r="Q2365" t="str">
        <f t="shared" si="72"/>
        <v>25-34</v>
      </c>
      <c r="R2365" t="str">
        <f t="shared" si="73"/>
        <v>[GkIwZrXy1h2]|25-34|Male|DIAGNOSED_SUBNAT.T_1|CY2024Q3</v>
      </c>
    </row>
    <row r="2366" spans="4:18" x14ac:dyDescent="0.2">
      <c r="D2366" t="s">
        <v>23</v>
      </c>
      <c r="E2366" t="s">
        <v>24</v>
      </c>
      <c r="F2366" t="s">
        <v>25</v>
      </c>
      <c r="G2366" t="s">
        <v>148</v>
      </c>
      <c r="H2366" t="s">
        <v>149</v>
      </c>
      <c r="I2366" t="s">
        <v>43</v>
      </c>
      <c r="J2366" t="s">
        <v>44</v>
      </c>
      <c r="K2366" t="s">
        <v>48</v>
      </c>
      <c r="L2366" t="s">
        <v>49</v>
      </c>
      <c r="M2366" t="s">
        <v>140</v>
      </c>
      <c r="N2366">
        <v>915</v>
      </c>
      <c r="O2366">
        <v>7.5127893000000001E-2</v>
      </c>
      <c r="P2366">
        <v>6.8677282000000006E-2</v>
      </c>
      <c r="Q2366" t="str">
        <f t="shared" si="72"/>
        <v>35-49</v>
      </c>
      <c r="R2366" t="str">
        <f t="shared" si="73"/>
        <v>[GkIwZrXy1h2]|35-49|Male|DIAGNOSED_SUBNAT.T_1|CY2024Q3</v>
      </c>
    </row>
    <row r="2367" spans="4:18" x14ac:dyDescent="0.2">
      <c r="D2367" t="s">
        <v>23</v>
      </c>
      <c r="E2367" t="s">
        <v>24</v>
      </c>
      <c r="F2367" t="s">
        <v>25</v>
      </c>
      <c r="G2367" t="s">
        <v>148</v>
      </c>
      <c r="H2367" t="s">
        <v>149</v>
      </c>
      <c r="I2367" t="s">
        <v>45</v>
      </c>
      <c r="J2367" t="s">
        <v>46</v>
      </c>
      <c r="K2367" t="s">
        <v>48</v>
      </c>
      <c r="L2367" t="s">
        <v>49</v>
      </c>
      <c r="M2367" t="s">
        <v>140</v>
      </c>
      <c r="N2367">
        <v>791</v>
      </c>
      <c r="O2367">
        <v>7.6111152000000001E-2</v>
      </c>
      <c r="P2367">
        <v>6.8677282000000006E-2</v>
      </c>
      <c r="Q2367" t="str">
        <f t="shared" si="72"/>
        <v>50+</v>
      </c>
      <c r="R2367" t="str">
        <f t="shared" si="73"/>
        <v>[GkIwZrXy1h2]|50+|Male|DIAGNOSED_SUBNAT.T_1|CY2024Q3</v>
      </c>
    </row>
    <row r="2368" spans="4:18" x14ac:dyDescent="0.2">
      <c r="D2368" t="s">
        <v>53</v>
      </c>
      <c r="E2368" t="s">
        <v>54</v>
      </c>
      <c r="F2368" t="s">
        <v>55</v>
      </c>
      <c r="G2368" t="s">
        <v>148</v>
      </c>
      <c r="H2368" t="s">
        <v>149</v>
      </c>
      <c r="I2368" t="s">
        <v>28</v>
      </c>
      <c r="J2368" t="s">
        <v>29</v>
      </c>
      <c r="K2368" t="s">
        <v>30</v>
      </c>
      <c r="L2368" t="s">
        <v>31</v>
      </c>
      <c r="M2368" t="s">
        <v>140</v>
      </c>
      <c r="N2368">
        <v>7</v>
      </c>
      <c r="O2368">
        <v>5.6343206999999999E-2</v>
      </c>
      <c r="P2368">
        <v>3.0067203000000001E-2</v>
      </c>
      <c r="Q2368" t="str">
        <f t="shared" si="72"/>
        <v>&lt;01</v>
      </c>
      <c r="R2368" t="str">
        <f t="shared" si="73"/>
        <v>[cPtvxaZqXIH]|&lt;01|Female|DIAGNOSED_SUBNAT.T_1|CY2024Q3</v>
      </c>
    </row>
    <row r="2369" spans="4:18" x14ac:dyDescent="0.2">
      <c r="D2369" t="s">
        <v>53</v>
      </c>
      <c r="E2369" t="s">
        <v>54</v>
      </c>
      <c r="F2369" t="s">
        <v>55</v>
      </c>
      <c r="G2369" t="s">
        <v>148</v>
      </c>
      <c r="H2369" t="s">
        <v>149</v>
      </c>
      <c r="I2369" t="s">
        <v>33</v>
      </c>
      <c r="J2369" t="s">
        <v>34</v>
      </c>
      <c r="K2369" t="s">
        <v>30</v>
      </c>
      <c r="L2369" t="s">
        <v>31</v>
      </c>
      <c r="M2369" t="s">
        <v>140</v>
      </c>
      <c r="N2369">
        <v>134</v>
      </c>
      <c r="O2369">
        <v>5.0409729E-2</v>
      </c>
      <c r="P2369">
        <v>3.0067203000000001E-2</v>
      </c>
      <c r="Q2369" t="str">
        <f t="shared" si="72"/>
        <v>01-09</v>
      </c>
      <c r="R2369" t="str">
        <f t="shared" si="73"/>
        <v>[cPtvxaZqXIH]|01-09|Female|DIAGNOSED_SUBNAT.T_1|CY2024Q3</v>
      </c>
    </row>
    <row r="2370" spans="4:18" x14ac:dyDescent="0.2">
      <c r="D2370" t="s">
        <v>53</v>
      </c>
      <c r="E2370" t="s">
        <v>54</v>
      </c>
      <c r="F2370" t="s">
        <v>55</v>
      </c>
      <c r="G2370" t="s">
        <v>148</v>
      </c>
      <c r="H2370" t="s">
        <v>149</v>
      </c>
      <c r="I2370" t="s">
        <v>36</v>
      </c>
      <c r="J2370" t="s">
        <v>37</v>
      </c>
      <c r="K2370" t="s">
        <v>30</v>
      </c>
      <c r="L2370" t="s">
        <v>31</v>
      </c>
      <c r="M2370" t="s">
        <v>140</v>
      </c>
      <c r="N2370">
        <v>186</v>
      </c>
      <c r="O2370">
        <v>4.5361940000000003E-2</v>
      </c>
      <c r="P2370">
        <v>3.0067203000000001E-2</v>
      </c>
      <c r="Q2370" t="str">
        <f t="shared" si="72"/>
        <v>10-14</v>
      </c>
      <c r="R2370" t="str">
        <f t="shared" si="73"/>
        <v>[cPtvxaZqXIH]|10-14|Female|DIAGNOSED_SUBNAT.T_1|CY2024Q3</v>
      </c>
    </row>
    <row r="2371" spans="4:18" x14ac:dyDescent="0.2">
      <c r="D2371" t="s">
        <v>53</v>
      </c>
      <c r="E2371" t="s">
        <v>54</v>
      </c>
      <c r="F2371" t="s">
        <v>55</v>
      </c>
      <c r="G2371" t="s">
        <v>148</v>
      </c>
      <c r="H2371" t="s">
        <v>149</v>
      </c>
      <c r="I2371" t="s">
        <v>38</v>
      </c>
      <c r="J2371" t="s">
        <v>39</v>
      </c>
      <c r="K2371" t="s">
        <v>30</v>
      </c>
      <c r="L2371" t="s">
        <v>31</v>
      </c>
      <c r="M2371" t="s">
        <v>140</v>
      </c>
      <c r="N2371">
        <v>778</v>
      </c>
      <c r="O2371">
        <v>6.7920133999999993E-2</v>
      </c>
      <c r="P2371">
        <v>3.0067203000000001E-2</v>
      </c>
      <c r="Q2371" t="str">
        <f t="shared" ref="Q2371:Q2434" si="74">SUBSTITUTE(SUBSTITUTE($I2371,CHAR(61),""),CHAR(34),"")</f>
        <v>15-24</v>
      </c>
      <c r="R2371" t="str">
        <f t="shared" ref="R2371:R2434" si="75">IF($D2371&lt;&gt;"","["&amp;$E2371&amp;"]"&amp;"|"&amp;$Q2371&amp;"|"&amp;$K2371&amp;"|"&amp;$G2371&amp;"|"&amp;IF($G2371="TX_CURR_SUBNAT.R","CY2023Q4",$M2371),"")</f>
        <v>[cPtvxaZqXIH]|15-24|Female|DIAGNOSED_SUBNAT.T_1|CY2024Q3</v>
      </c>
    </row>
    <row r="2372" spans="4:18" x14ac:dyDescent="0.2">
      <c r="D2372" t="s">
        <v>53</v>
      </c>
      <c r="E2372" t="s">
        <v>54</v>
      </c>
      <c r="F2372" t="s">
        <v>55</v>
      </c>
      <c r="G2372" t="s">
        <v>148</v>
      </c>
      <c r="H2372" t="s">
        <v>149</v>
      </c>
      <c r="I2372" t="s">
        <v>41</v>
      </c>
      <c r="J2372" t="s">
        <v>42</v>
      </c>
      <c r="K2372" t="s">
        <v>30</v>
      </c>
      <c r="L2372" t="s">
        <v>31</v>
      </c>
      <c r="M2372" t="s">
        <v>140</v>
      </c>
      <c r="N2372">
        <v>1954</v>
      </c>
      <c r="O2372">
        <v>4.6701455000000003E-2</v>
      </c>
      <c r="P2372">
        <v>3.0067203000000001E-2</v>
      </c>
      <c r="Q2372" t="str">
        <f t="shared" si="74"/>
        <v>25-34</v>
      </c>
      <c r="R2372" t="str">
        <f t="shared" si="75"/>
        <v>[cPtvxaZqXIH]|25-34|Female|DIAGNOSED_SUBNAT.T_1|CY2024Q3</v>
      </c>
    </row>
    <row r="2373" spans="4:18" x14ac:dyDescent="0.2">
      <c r="D2373" t="s">
        <v>53</v>
      </c>
      <c r="E2373" t="s">
        <v>54</v>
      </c>
      <c r="F2373" t="s">
        <v>55</v>
      </c>
      <c r="G2373" t="s">
        <v>148</v>
      </c>
      <c r="H2373" t="s">
        <v>149</v>
      </c>
      <c r="I2373" t="s">
        <v>43</v>
      </c>
      <c r="J2373" t="s">
        <v>44</v>
      </c>
      <c r="K2373" t="s">
        <v>30</v>
      </c>
      <c r="L2373" t="s">
        <v>31</v>
      </c>
      <c r="M2373" t="s">
        <v>140</v>
      </c>
      <c r="N2373">
        <v>5039</v>
      </c>
      <c r="O2373">
        <v>3.3929217999999997E-2</v>
      </c>
      <c r="P2373">
        <v>3.0067203000000001E-2</v>
      </c>
      <c r="Q2373" t="str">
        <f t="shared" si="74"/>
        <v>35-49</v>
      </c>
      <c r="R2373" t="str">
        <f t="shared" si="75"/>
        <v>[cPtvxaZqXIH]|35-49|Female|DIAGNOSED_SUBNAT.T_1|CY2024Q3</v>
      </c>
    </row>
    <row r="2374" spans="4:18" x14ac:dyDescent="0.2">
      <c r="D2374" t="s">
        <v>53</v>
      </c>
      <c r="E2374" t="s">
        <v>54</v>
      </c>
      <c r="F2374" t="s">
        <v>55</v>
      </c>
      <c r="G2374" t="s">
        <v>148</v>
      </c>
      <c r="H2374" t="s">
        <v>149</v>
      </c>
      <c r="I2374" t="s">
        <v>45</v>
      </c>
      <c r="J2374" t="s">
        <v>46</v>
      </c>
      <c r="K2374" t="s">
        <v>30</v>
      </c>
      <c r="L2374" t="s">
        <v>31</v>
      </c>
      <c r="M2374" t="s">
        <v>140</v>
      </c>
      <c r="N2374">
        <v>2342</v>
      </c>
      <c r="O2374">
        <v>4.8584631000000003E-2</v>
      </c>
      <c r="P2374">
        <v>3.0067203000000001E-2</v>
      </c>
      <c r="Q2374" t="str">
        <f t="shared" si="74"/>
        <v>50+</v>
      </c>
      <c r="R2374" t="str">
        <f t="shared" si="75"/>
        <v>[cPtvxaZqXIH]|50+|Female|DIAGNOSED_SUBNAT.T_1|CY2024Q3</v>
      </c>
    </row>
    <row r="2375" spans="4:18" x14ac:dyDescent="0.2">
      <c r="D2375" t="s">
        <v>53</v>
      </c>
      <c r="E2375" t="s">
        <v>54</v>
      </c>
      <c r="F2375" t="s">
        <v>55</v>
      </c>
      <c r="G2375" t="s">
        <v>148</v>
      </c>
      <c r="H2375" t="s">
        <v>149</v>
      </c>
      <c r="I2375" t="s">
        <v>28</v>
      </c>
      <c r="J2375" t="s">
        <v>29</v>
      </c>
      <c r="K2375" t="s">
        <v>48</v>
      </c>
      <c r="L2375" t="s">
        <v>49</v>
      </c>
      <c r="M2375" t="s">
        <v>140</v>
      </c>
      <c r="N2375">
        <v>7</v>
      </c>
      <c r="O2375">
        <v>4.1917891999999998E-2</v>
      </c>
      <c r="P2375">
        <v>3.0067203000000001E-2</v>
      </c>
      <c r="Q2375" t="str">
        <f t="shared" si="74"/>
        <v>&lt;01</v>
      </c>
      <c r="R2375" t="str">
        <f t="shared" si="75"/>
        <v>[cPtvxaZqXIH]|&lt;01|Male|DIAGNOSED_SUBNAT.T_1|CY2024Q3</v>
      </c>
    </row>
    <row r="2376" spans="4:18" x14ac:dyDescent="0.2">
      <c r="D2376" t="s">
        <v>53</v>
      </c>
      <c r="E2376" t="s">
        <v>54</v>
      </c>
      <c r="F2376" t="s">
        <v>55</v>
      </c>
      <c r="G2376" t="s">
        <v>148</v>
      </c>
      <c r="H2376" t="s">
        <v>149</v>
      </c>
      <c r="I2376" t="s">
        <v>33</v>
      </c>
      <c r="J2376" t="s">
        <v>34</v>
      </c>
      <c r="K2376" t="s">
        <v>48</v>
      </c>
      <c r="L2376" t="s">
        <v>49</v>
      </c>
      <c r="M2376" t="s">
        <v>140</v>
      </c>
      <c r="N2376">
        <v>133</v>
      </c>
      <c r="O2376">
        <v>4.3055353999999997E-2</v>
      </c>
      <c r="P2376">
        <v>3.0067203000000001E-2</v>
      </c>
      <c r="Q2376" t="str">
        <f t="shared" si="74"/>
        <v>01-09</v>
      </c>
      <c r="R2376" t="str">
        <f t="shared" si="75"/>
        <v>[cPtvxaZqXIH]|01-09|Male|DIAGNOSED_SUBNAT.T_1|CY2024Q3</v>
      </c>
    </row>
    <row r="2377" spans="4:18" x14ac:dyDescent="0.2">
      <c r="D2377" t="s">
        <v>53</v>
      </c>
      <c r="E2377" t="s">
        <v>54</v>
      </c>
      <c r="F2377" t="s">
        <v>55</v>
      </c>
      <c r="G2377" t="s">
        <v>148</v>
      </c>
      <c r="H2377" t="s">
        <v>149</v>
      </c>
      <c r="I2377" t="s">
        <v>36</v>
      </c>
      <c r="J2377" t="s">
        <v>37</v>
      </c>
      <c r="K2377" t="s">
        <v>48</v>
      </c>
      <c r="L2377" t="s">
        <v>49</v>
      </c>
      <c r="M2377" t="s">
        <v>140</v>
      </c>
      <c r="N2377">
        <v>180</v>
      </c>
      <c r="O2377">
        <v>4.7047759000000001E-2</v>
      </c>
      <c r="P2377">
        <v>3.0067203000000001E-2</v>
      </c>
      <c r="Q2377" t="str">
        <f t="shared" si="74"/>
        <v>10-14</v>
      </c>
      <c r="R2377" t="str">
        <f t="shared" si="75"/>
        <v>[cPtvxaZqXIH]|10-14|Male|DIAGNOSED_SUBNAT.T_1|CY2024Q3</v>
      </c>
    </row>
    <row r="2378" spans="4:18" x14ac:dyDescent="0.2">
      <c r="D2378" t="s">
        <v>53</v>
      </c>
      <c r="E2378" t="s">
        <v>54</v>
      </c>
      <c r="F2378" t="s">
        <v>55</v>
      </c>
      <c r="G2378" t="s">
        <v>148</v>
      </c>
      <c r="H2378" t="s">
        <v>149</v>
      </c>
      <c r="I2378" t="s">
        <v>38</v>
      </c>
      <c r="J2378" t="s">
        <v>39</v>
      </c>
      <c r="K2378" t="s">
        <v>48</v>
      </c>
      <c r="L2378" t="s">
        <v>49</v>
      </c>
      <c r="M2378" t="s">
        <v>140</v>
      </c>
      <c r="N2378">
        <v>541</v>
      </c>
      <c r="O2378">
        <v>7.9368042999999999E-2</v>
      </c>
      <c r="P2378">
        <v>3.0067203000000001E-2</v>
      </c>
      <c r="Q2378" t="str">
        <f t="shared" si="74"/>
        <v>15-24</v>
      </c>
      <c r="R2378" t="str">
        <f t="shared" si="75"/>
        <v>[cPtvxaZqXIH]|15-24|Male|DIAGNOSED_SUBNAT.T_1|CY2024Q3</v>
      </c>
    </row>
    <row r="2379" spans="4:18" x14ac:dyDescent="0.2">
      <c r="D2379" t="s">
        <v>53</v>
      </c>
      <c r="E2379" t="s">
        <v>54</v>
      </c>
      <c r="F2379" t="s">
        <v>55</v>
      </c>
      <c r="G2379" t="s">
        <v>148</v>
      </c>
      <c r="H2379" t="s">
        <v>149</v>
      </c>
      <c r="I2379" t="s">
        <v>41</v>
      </c>
      <c r="J2379" t="s">
        <v>42</v>
      </c>
      <c r="K2379" t="s">
        <v>48</v>
      </c>
      <c r="L2379" t="s">
        <v>49</v>
      </c>
      <c r="M2379" t="s">
        <v>140</v>
      </c>
      <c r="N2379">
        <v>675</v>
      </c>
      <c r="O2379">
        <v>7.3210313999999999E-2</v>
      </c>
      <c r="P2379">
        <v>3.0067203000000001E-2</v>
      </c>
      <c r="Q2379" t="str">
        <f t="shared" si="74"/>
        <v>25-34</v>
      </c>
      <c r="R2379" t="str">
        <f t="shared" si="75"/>
        <v>[cPtvxaZqXIH]|25-34|Male|DIAGNOSED_SUBNAT.T_1|CY2024Q3</v>
      </c>
    </row>
    <row r="2380" spans="4:18" x14ac:dyDescent="0.2">
      <c r="D2380" t="s">
        <v>53</v>
      </c>
      <c r="E2380" t="s">
        <v>54</v>
      </c>
      <c r="F2380" t="s">
        <v>55</v>
      </c>
      <c r="G2380" t="s">
        <v>148</v>
      </c>
      <c r="H2380" t="s">
        <v>149</v>
      </c>
      <c r="I2380" t="s">
        <v>43</v>
      </c>
      <c r="J2380" t="s">
        <v>44</v>
      </c>
      <c r="K2380" t="s">
        <v>48</v>
      </c>
      <c r="L2380" t="s">
        <v>49</v>
      </c>
      <c r="M2380" t="s">
        <v>140</v>
      </c>
      <c r="N2380">
        <v>2708</v>
      </c>
      <c r="O2380">
        <v>4.2666194999999997E-2</v>
      </c>
      <c r="P2380">
        <v>3.0067203000000001E-2</v>
      </c>
      <c r="Q2380" t="str">
        <f t="shared" si="74"/>
        <v>35-49</v>
      </c>
      <c r="R2380" t="str">
        <f t="shared" si="75"/>
        <v>[cPtvxaZqXIH]|35-49|Male|DIAGNOSED_SUBNAT.T_1|CY2024Q3</v>
      </c>
    </row>
    <row r="2381" spans="4:18" x14ac:dyDescent="0.2">
      <c r="D2381" t="s">
        <v>53</v>
      </c>
      <c r="E2381" t="s">
        <v>54</v>
      </c>
      <c r="F2381" t="s">
        <v>55</v>
      </c>
      <c r="G2381" t="s">
        <v>148</v>
      </c>
      <c r="H2381" t="s">
        <v>149</v>
      </c>
      <c r="I2381" t="s">
        <v>45</v>
      </c>
      <c r="J2381" t="s">
        <v>46</v>
      </c>
      <c r="K2381" t="s">
        <v>48</v>
      </c>
      <c r="L2381" t="s">
        <v>49</v>
      </c>
      <c r="M2381" t="s">
        <v>140</v>
      </c>
      <c r="N2381">
        <v>1961</v>
      </c>
      <c r="O2381">
        <v>4.6867416000000002E-2</v>
      </c>
      <c r="P2381">
        <v>3.0067203000000001E-2</v>
      </c>
      <c r="Q2381" t="str">
        <f t="shared" si="74"/>
        <v>50+</v>
      </c>
      <c r="R2381" t="str">
        <f t="shared" si="75"/>
        <v>[cPtvxaZqXIH]|50+|Male|DIAGNOSED_SUBNAT.T_1|CY2024Q3</v>
      </c>
    </row>
    <row r="2382" spans="4:18" x14ac:dyDescent="0.2">
      <c r="D2382" t="s">
        <v>60</v>
      </c>
      <c r="E2382" t="s">
        <v>61</v>
      </c>
      <c r="F2382" t="s">
        <v>62</v>
      </c>
      <c r="G2382" t="s">
        <v>148</v>
      </c>
      <c r="H2382" t="s">
        <v>149</v>
      </c>
      <c r="I2382" t="s">
        <v>28</v>
      </c>
      <c r="J2382" t="s">
        <v>29</v>
      </c>
      <c r="K2382" t="s">
        <v>30</v>
      </c>
      <c r="L2382" t="s">
        <v>31</v>
      </c>
      <c r="M2382" t="s">
        <v>140</v>
      </c>
      <c r="N2382">
        <v>5</v>
      </c>
      <c r="O2382">
        <v>9.4650164999999994E-2</v>
      </c>
      <c r="P2382">
        <v>8.0707367000000002E-2</v>
      </c>
      <c r="Q2382" t="str">
        <f t="shared" si="74"/>
        <v>&lt;01</v>
      </c>
      <c r="R2382" t="str">
        <f t="shared" si="75"/>
        <v>[E7zpfyBt7Tw]|&lt;01|Female|DIAGNOSED_SUBNAT.T_1|CY2024Q3</v>
      </c>
    </row>
    <row r="2383" spans="4:18" x14ac:dyDescent="0.2">
      <c r="D2383" t="s">
        <v>60</v>
      </c>
      <c r="E2383" t="s">
        <v>61</v>
      </c>
      <c r="F2383" t="s">
        <v>62</v>
      </c>
      <c r="G2383" t="s">
        <v>148</v>
      </c>
      <c r="H2383" t="s">
        <v>149</v>
      </c>
      <c r="I2383" t="s">
        <v>33</v>
      </c>
      <c r="J2383" t="s">
        <v>34</v>
      </c>
      <c r="K2383" t="s">
        <v>30</v>
      </c>
      <c r="L2383" t="s">
        <v>31</v>
      </c>
      <c r="M2383" t="s">
        <v>140</v>
      </c>
      <c r="N2383">
        <v>100</v>
      </c>
      <c r="O2383">
        <v>9.2419561999999997E-2</v>
      </c>
      <c r="P2383">
        <v>8.0707367000000002E-2</v>
      </c>
      <c r="Q2383" t="str">
        <f t="shared" si="74"/>
        <v>01-09</v>
      </c>
      <c r="R2383" t="str">
        <f t="shared" si="75"/>
        <v>[E7zpfyBt7Tw]|01-09|Female|DIAGNOSED_SUBNAT.T_1|CY2024Q3</v>
      </c>
    </row>
    <row r="2384" spans="4:18" x14ac:dyDescent="0.2">
      <c r="D2384" t="s">
        <v>60</v>
      </c>
      <c r="E2384" t="s">
        <v>61</v>
      </c>
      <c r="F2384" t="s">
        <v>62</v>
      </c>
      <c r="G2384" t="s">
        <v>148</v>
      </c>
      <c r="H2384" t="s">
        <v>149</v>
      </c>
      <c r="I2384" t="s">
        <v>36</v>
      </c>
      <c r="J2384" t="s">
        <v>37</v>
      </c>
      <c r="K2384" t="s">
        <v>30</v>
      </c>
      <c r="L2384" t="s">
        <v>31</v>
      </c>
      <c r="M2384" t="s">
        <v>140</v>
      </c>
      <c r="N2384">
        <v>141</v>
      </c>
      <c r="O2384">
        <v>8.9944890999999999E-2</v>
      </c>
      <c r="P2384">
        <v>8.0707367000000002E-2</v>
      </c>
      <c r="Q2384" t="str">
        <f t="shared" si="74"/>
        <v>10-14</v>
      </c>
      <c r="R2384" t="str">
        <f t="shared" si="75"/>
        <v>[E7zpfyBt7Tw]|10-14|Female|DIAGNOSED_SUBNAT.T_1|CY2024Q3</v>
      </c>
    </row>
    <row r="2385" spans="4:18" x14ac:dyDescent="0.2">
      <c r="D2385" t="s">
        <v>60</v>
      </c>
      <c r="E2385" t="s">
        <v>61</v>
      </c>
      <c r="F2385" t="s">
        <v>62</v>
      </c>
      <c r="G2385" t="s">
        <v>148</v>
      </c>
      <c r="H2385" t="s">
        <v>149</v>
      </c>
      <c r="I2385" t="s">
        <v>38</v>
      </c>
      <c r="J2385" t="s">
        <v>39</v>
      </c>
      <c r="K2385" t="s">
        <v>30</v>
      </c>
      <c r="L2385" t="s">
        <v>31</v>
      </c>
      <c r="M2385" t="s">
        <v>140</v>
      </c>
      <c r="N2385">
        <v>657</v>
      </c>
      <c r="O2385">
        <v>0.10554032300000001</v>
      </c>
      <c r="P2385">
        <v>8.0707367000000002E-2</v>
      </c>
      <c r="Q2385" t="str">
        <f t="shared" si="74"/>
        <v>15-24</v>
      </c>
      <c r="R2385" t="str">
        <f t="shared" si="75"/>
        <v>[E7zpfyBt7Tw]|15-24|Female|DIAGNOSED_SUBNAT.T_1|CY2024Q3</v>
      </c>
    </row>
    <row r="2386" spans="4:18" x14ac:dyDescent="0.2">
      <c r="D2386" t="s">
        <v>60</v>
      </c>
      <c r="E2386" t="s">
        <v>61</v>
      </c>
      <c r="F2386" t="s">
        <v>62</v>
      </c>
      <c r="G2386" t="s">
        <v>148</v>
      </c>
      <c r="H2386" t="s">
        <v>149</v>
      </c>
      <c r="I2386" t="s">
        <v>41</v>
      </c>
      <c r="J2386" t="s">
        <v>42</v>
      </c>
      <c r="K2386" t="s">
        <v>30</v>
      </c>
      <c r="L2386" t="s">
        <v>31</v>
      </c>
      <c r="M2386" t="s">
        <v>140</v>
      </c>
      <c r="N2386">
        <v>1538</v>
      </c>
      <c r="O2386">
        <v>9.5738737000000004E-2</v>
      </c>
      <c r="P2386">
        <v>8.0707367000000002E-2</v>
      </c>
      <c r="Q2386" t="str">
        <f t="shared" si="74"/>
        <v>25-34</v>
      </c>
      <c r="R2386" t="str">
        <f t="shared" si="75"/>
        <v>[E7zpfyBt7Tw]|25-34|Female|DIAGNOSED_SUBNAT.T_1|CY2024Q3</v>
      </c>
    </row>
    <row r="2387" spans="4:18" x14ac:dyDescent="0.2">
      <c r="D2387" t="s">
        <v>60</v>
      </c>
      <c r="E2387" t="s">
        <v>61</v>
      </c>
      <c r="F2387" t="s">
        <v>62</v>
      </c>
      <c r="G2387" t="s">
        <v>148</v>
      </c>
      <c r="H2387" t="s">
        <v>149</v>
      </c>
      <c r="I2387" t="s">
        <v>43</v>
      </c>
      <c r="J2387" t="s">
        <v>44</v>
      </c>
      <c r="K2387" t="s">
        <v>30</v>
      </c>
      <c r="L2387" t="s">
        <v>31</v>
      </c>
      <c r="M2387" t="s">
        <v>140</v>
      </c>
      <c r="N2387">
        <v>3954</v>
      </c>
      <c r="O2387">
        <v>7.9459315000000003E-2</v>
      </c>
      <c r="P2387">
        <v>8.0707367000000002E-2</v>
      </c>
      <c r="Q2387" t="str">
        <f t="shared" si="74"/>
        <v>35-49</v>
      </c>
      <c r="R2387" t="str">
        <f t="shared" si="75"/>
        <v>[E7zpfyBt7Tw]|35-49|Female|DIAGNOSED_SUBNAT.T_1|CY2024Q3</v>
      </c>
    </row>
    <row r="2388" spans="4:18" x14ac:dyDescent="0.2">
      <c r="D2388" t="s">
        <v>60</v>
      </c>
      <c r="E2388" t="s">
        <v>61</v>
      </c>
      <c r="F2388" t="s">
        <v>62</v>
      </c>
      <c r="G2388" t="s">
        <v>148</v>
      </c>
      <c r="H2388" t="s">
        <v>149</v>
      </c>
      <c r="I2388" t="s">
        <v>45</v>
      </c>
      <c r="J2388" t="s">
        <v>46</v>
      </c>
      <c r="K2388" t="s">
        <v>30</v>
      </c>
      <c r="L2388" t="s">
        <v>31</v>
      </c>
      <c r="M2388" t="s">
        <v>140</v>
      </c>
      <c r="N2388">
        <v>2134</v>
      </c>
      <c r="O2388">
        <v>8.7854156000000003E-2</v>
      </c>
      <c r="P2388">
        <v>8.0707367000000002E-2</v>
      </c>
      <c r="Q2388" t="str">
        <f t="shared" si="74"/>
        <v>50+</v>
      </c>
      <c r="R2388" t="str">
        <f t="shared" si="75"/>
        <v>[E7zpfyBt7Tw]|50+|Female|DIAGNOSED_SUBNAT.T_1|CY2024Q3</v>
      </c>
    </row>
    <row r="2389" spans="4:18" x14ac:dyDescent="0.2">
      <c r="D2389" t="s">
        <v>60</v>
      </c>
      <c r="E2389" t="s">
        <v>61</v>
      </c>
      <c r="F2389" t="s">
        <v>62</v>
      </c>
      <c r="G2389" t="s">
        <v>148</v>
      </c>
      <c r="H2389" t="s">
        <v>149</v>
      </c>
      <c r="I2389" t="s">
        <v>28</v>
      </c>
      <c r="J2389" t="s">
        <v>29</v>
      </c>
      <c r="K2389" t="s">
        <v>48</v>
      </c>
      <c r="L2389" t="s">
        <v>49</v>
      </c>
      <c r="M2389" t="s">
        <v>140</v>
      </c>
      <c r="N2389">
        <v>5</v>
      </c>
      <c r="O2389">
        <v>8.7961770999999994E-2</v>
      </c>
      <c r="P2389">
        <v>8.0707367000000002E-2</v>
      </c>
      <c r="Q2389" t="str">
        <f t="shared" si="74"/>
        <v>&lt;01</v>
      </c>
      <c r="R2389" t="str">
        <f t="shared" si="75"/>
        <v>[E7zpfyBt7Tw]|&lt;01|Male|DIAGNOSED_SUBNAT.T_1|CY2024Q3</v>
      </c>
    </row>
    <row r="2390" spans="4:18" x14ac:dyDescent="0.2">
      <c r="D2390" t="s">
        <v>60</v>
      </c>
      <c r="E2390" t="s">
        <v>61</v>
      </c>
      <c r="F2390" t="s">
        <v>62</v>
      </c>
      <c r="G2390" t="s">
        <v>148</v>
      </c>
      <c r="H2390" t="s">
        <v>149</v>
      </c>
      <c r="I2390" t="s">
        <v>33</v>
      </c>
      <c r="J2390" t="s">
        <v>34</v>
      </c>
      <c r="K2390" t="s">
        <v>48</v>
      </c>
      <c r="L2390" t="s">
        <v>49</v>
      </c>
      <c r="M2390" t="s">
        <v>140</v>
      </c>
      <c r="N2390">
        <v>102</v>
      </c>
      <c r="O2390">
        <v>8.7646408999999995E-2</v>
      </c>
      <c r="P2390">
        <v>8.0707367000000002E-2</v>
      </c>
      <c r="Q2390" t="str">
        <f t="shared" si="74"/>
        <v>01-09</v>
      </c>
      <c r="R2390" t="str">
        <f t="shared" si="75"/>
        <v>[E7zpfyBt7Tw]|01-09|Male|DIAGNOSED_SUBNAT.T_1|CY2024Q3</v>
      </c>
    </row>
    <row r="2391" spans="4:18" x14ac:dyDescent="0.2">
      <c r="D2391" t="s">
        <v>60</v>
      </c>
      <c r="E2391" t="s">
        <v>61</v>
      </c>
      <c r="F2391" t="s">
        <v>62</v>
      </c>
      <c r="G2391" t="s">
        <v>148</v>
      </c>
      <c r="H2391" t="s">
        <v>149</v>
      </c>
      <c r="I2391" t="s">
        <v>36</v>
      </c>
      <c r="J2391" t="s">
        <v>37</v>
      </c>
      <c r="K2391" t="s">
        <v>48</v>
      </c>
      <c r="L2391" t="s">
        <v>49</v>
      </c>
      <c r="M2391" t="s">
        <v>140</v>
      </c>
      <c r="N2391">
        <v>141</v>
      </c>
      <c r="O2391">
        <v>8.7773982E-2</v>
      </c>
      <c r="P2391">
        <v>8.0707367000000002E-2</v>
      </c>
      <c r="Q2391" t="str">
        <f t="shared" si="74"/>
        <v>10-14</v>
      </c>
      <c r="R2391" t="str">
        <f t="shared" si="75"/>
        <v>[E7zpfyBt7Tw]|10-14|Male|DIAGNOSED_SUBNAT.T_1|CY2024Q3</v>
      </c>
    </row>
    <row r="2392" spans="4:18" x14ac:dyDescent="0.2">
      <c r="D2392" t="s">
        <v>60</v>
      </c>
      <c r="E2392" t="s">
        <v>61</v>
      </c>
      <c r="F2392" t="s">
        <v>62</v>
      </c>
      <c r="G2392" t="s">
        <v>148</v>
      </c>
      <c r="H2392" t="s">
        <v>149</v>
      </c>
      <c r="I2392" t="s">
        <v>38</v>
      </c>
      <c r="J2392" t="s">
        <v>39</v>
      </c>
      <c r="K2392" t="s">
        <v>48</v>
      </c>
      <c r="L2392" t="s">
        <v>49</v>
      </c>
      <c r="M2392" t="s">
        <v>140</v>
      </c>
      <c r="N2392">
        <v>505</v>
      </c>
      <c r="O2392">
        <v>0.11262843</v>
      </c>
      <c r="P2392">
        <v>8.0707367000000002E-2</v>
      </c>
      <c r="Q2392" t="str">
        <f t="shared" si="74"/>
        <v>15-24</v>
      </c>
      <c r="R2392" t="str">
        <f t="shared" si="75"/>
        <v>[E7zpfyBt7Tw]|15-24|Male|DIAGNOSED_SUBNAT.T_1|CY2024Q3</v>
      </c>
    </row>
    <row r="2393" spans="4:18" x14ac:dyDescent="0.2">
      <c r="D2393" t="s">
        <v>60</v>
      </c>
      <c r="E2393" t="s">
        <v>61</v>
      </c>
      <c r="F2393" t="s">
        <v>62</v>
      </c>
      <c r="G2393" t="s">
        <v>148</v>
      </c>
      <c r="H2393" t="s">
        <v>149</v>
      </c>
      <c r="I2393" t="s">
        <v>41</v>
      </c>
      <c r="J2393" t="s">
        <v>42</v>
      </c>
      <c r="K2393" t="s">
        <v>48</v>
      </c>
      <c r="L2393" t="s">
        <v>49</v>
      </c>
      <c r="M2393" t="s">
        <v>140</v>
      </c>
      <c r="N2393">
        <v>615</v>
      </c>
      <c r="O2393">
        <v>0.109639841</v>
      </c>
      <c r="P2393">
        <v>8.0707367000000002E-2</v>
      </c>
      <c r="Q2393" t="str">
        <f t="shared" si="74"/>
        <v>25-34</v>
      </c>
      <c r="R2393" t="str">
        <f t="shared" si="75"/>
        <v>[E7zpfyBt7Tw]|25-34|Male|DIAGNOSED_SUBNAT.T_1|CY2024Q3</v>
      </c>
    </row>
    <row r="2394" spans="4:18" x14ac:dyDescent="0.2">
      <c r="D2394" t="s">
        <v>60</v>
      </c>
      <c r="E2394" t="s">
        <v>61</v>
      </c>
      <c r="F2394" t="s">
        <v>62</v>
      </c>
      <c r="G2394" t="s">
        <v>148</v>
      </c>
      <c r="H2394" t="s">
        <v>149</v>
      </c>
      <c r="I2394" t="s">
        <v>43</v>
      </c>
      <c r="J2394" t="s">
        <v>44</v>
      </c>
      <c r="K2394" t="s">
        <v>48</v>
      </c>
      <c r="L2394" t="s">
        <v>49</v>
      </c>
      <c r="M2394" t="s">
        <v>140</v>
      </c>
      <c r="N2394">
        <v>2368</v>
      </c>
      <c r="O2394">
        <v>8.7716438999999993E-2</v>
      </c>
      <c r="P2394">
        <v>8.0707367000000002E-2</v>
      </c>
      <c r="Q2394" t="str">
        <f t="shared" si="74"/>
        <v>35-49</v>
      </c>
      <c r="R2394" t="str">
        <f t="shared" si="75"/>
        <v>[E7zpfyBt7Tw]|35-49|Male|DIAGNOSED_SUBNAT.T_1|CY2024Q3</v>
      </c>
    </row>
    <row r="2395" spans="4:18" x14ac:dyDescent="0.2">
      <c r="D2395" t="s">
        <v>60</v>
      </c>
      <c r="E2395" t="s">
        <v>61</v>
      </c>
      <c r="F2395" t="s">
        <v>62</v>
      </c>
      <c r="G2395" t="s">
        <v>148</v>
      </c>
      <c r="H2395" t="s">
        <v>149</v>
      </c>
      <c r="I2395" t="s">
        <v>45</v>
      </c>
      <c r="J2395" t="s">
        <v>46</v>
      </c>
      <c r="K2395" t="s">
        <v>48</v>
      </c>
      <c r="L2395" t="s">
        <v>49</v>
      </c>
      <c r="M2395" t="s">
        <v>140</v>
      </c>
      <c r="N2395">
        <v>1949</v>
      </c>
      <c r="O2395">
        <v>8.3094603000000003E-2</v>
      </c>
      <c r="P2395">
        <v>8.0707367000000002E-2</v>
      </c>
      <c r="Q2395" t="str">
        <f t="shared" si="74"/>
        <v>50+</v>
      </c>
      <c r="R2395" t="str">
        <f t="shared" si="75"/>
        <v>[E7zpfyBt7Tw]|50+|Male|DIAGNOSED_SUBNAT.T_1|CY2024Q3</v>
      </c>
    </row>
    <row r="2396" spans="4:18" x14ac:dyDescent="0.2">
      <c r="D2396" t="s">
        <v>63</v>
      </c>
      <c r="E2396" t="s">
        <v>64</v>
      </c>
      <c r="F2396" t="s">
        <v>65</v>
      </c>
      <c r="G2396" t="s">
        <v>148</v>
      </c>
      <c r="H2396" t="s">
        <v>149</v>
      </c>
      <c r="I2396" t="s">
        <v>28</v>
      </c>
      <c r="J2396" t="s">
        <v>29</v>
      </c>
      <c r="K2396" t="s">
        <v>30</v>
      </c>
      <c r="L2396" t="s">
        <v>31</v>
      </c>
      <c r="M2396" t="s">
        <v>140</v>
      </c>
      <c r="N2396">
        <v>3</v>
      </c>
      <c r="O2396">
        <v>9.7701415E-2</v>
      </c>
      <c r="P2396">
        <v>7.4965249999999997E-2</v>
      </c>
      <c r="Q2396" t="str">
        <f t="shared" si="74"/>
        <v>&lt;01</v>
      </c>
      <c r="R2396" t="str">
        <f t="shared" si="75"/>
        <v>[lPTyjLi4w3d]|&lt;01|Female|DIAGNOSED_SUBNAT.T_1|CY2024Q3</v>
      </c>
    </row>
    <row r="2397" spans="4:18" x14ac:dyDescent="0.2">
      <c r="D2397" t="s">
        <v>63</v>
      </c>
      <c r="E2397" t="s">
        <v>64</v>
      </c>
      <c r="F2397" t="s">
        <v>65</v>
      </c>
      <c r="G2397" t="s">
        <v>148</v>
      </c>
      <c r="H2397" t="s">
        <v>149</v>
      </c>
      <c r="I2397" t="s">
        <v>33</v>
      </c>
      <c r="J2397" t="s">
        <v>34</v>
      </c>
      <c r="K2397" t="s">
        <v>30</v>
      </c>
      <c r="L2397" t="s">
        <v>31</v>
      </c>
      <c r="M2397" t="s">
        <v>140</v>
      </c>
      <c r="N2397">
        <v>67</v>
      </c>
      <c r="O2397">
        <v>9.4098078000000002E-2</v>
      </c>
      <c r="P2397">
        <v>7.4965249999999997E-2</v>
      </c>
      <c r="Q2397" t="str">
        <f t="shared" si="74"/>
        <v>01-09</v>
      </c>
      <c r="R2397" t="str">
        <f t="shared" si="75"/>
        <v>[lPTyjLi4w3d]|01-09|Female|DIAGNOSED_SUBNAT.T_1|CY2024Q3</v>
      </c>
    </row>
    <row r="2398" spans="4:18" x14ac:dyDescent="0.2">
      <c r="D2398" t="s">
        <v>63</v>
      </c>
      <c r="E2398" t="s">
        <v>64</v>
      </c>
      <c r="F2398" t="s">
        <v>65</v>
      </c>
      <c r="G2398" t="s">
        <v>148</v>
      </c>
      <c r="H2398" t="s">
        <v>149</v>
      </c>
      <c r="I2398" t="s">
        <v>36</v>
      </c>
      <c r="J2398" t="s">
        <v>37</v>
      </c>
      <c r="K2398" t="s">
        <v>30</v>
      </c>
      <c r="L2398" t="s">
        <v>31</v>
      </c>
      <c r="M2398" t="s">
        <v>140</v>
      </c>
      <c r="N2398">
        <v>91</v>
      </c>
      <c r="O2398">
        <v>8.9955943999999996E-2</v>
      </c>
      <c r="P2398">
        <v>7.4965249999999997E-2</v>
      </c>
      <c r="Q2398" t="str">
        <f t="shared" si="74"/>
        <v>10-14</v>
      </c>
      <c r="R2398" t="str">
        <f t="shared" si="75"/>
        <v>[lPTyjLi4w3d]|10-14|Female|DIAGNOSED_SUBNAT.T_1|CY2024Q3</v>
      </c>
    </row>
    <row r="2399" spans="4:18" x14ac:dyDescent="0.2">
      <c r="D2399" t="s">
        <v>63</v>
      </c>
      <c r="E2399" t="s">
        <v>64</v>
      </c>
      <c r="F2399" t="s">
        <v>65</v>
      </c>
      <c r="G2399" t="s">
        <v>148</v>
      </c>
      <c r="H2399" t="s">
        <v>149</v>
      </c>
      <c r="I2399" t="s">
        <v>38</v>
      </c>
      <c r="J2399" t="s">
        <v>39</v>
      </c>
      <c r="K2399" t="s">
        <v>30</v>
      </c>
      <c r="L2399" t="s">
        <v>31</v>
      </c>
      <c r="M2399" t="s">
        <v>140</v>
      </c>
      <c r="N2399">
        <v>375</v>
      </c>
      <c r="O2399">
        <v>9.9814691999999997E-2</v>
      </c>
      <c r="P2399">
        <v>7.4965249999999997E-2</v>
      </c>
      <c r="Q2399" t="str">
        <f t="shared" si="74"/>
        <v>15-24</v>
      </c>
      <c r="R2399" t="str">
        <f t="shared" si="75"/>
        <v>[lPTyjLi4w3d]|15-24|Female|DIAGNOSED_SUBNAT.T_1|CY2024Q3</v>
      </c>
    </row>
    <row r="2400" spans="4:18" x14ac:dyDescent="0.2">
      <c r="D2400" t="s">
        <v>63</v>
      </c>
      <c r="E2400" t="s">
        <v>64</v>
      </c>
      <c r="F2400" t="s">
        <v>65</v>
      </c>
      <c r="G2400" t="s">
        <v>148</v>
      </c>
      <c r="H2400" t="s">
        <v>149</v>
      </c>
      <c r="I2400" t="s">
        <v>41</v>
      </c>
      <c r="J2400" t="s">
        <v>42</v>
      </c>
      <c r="K2400" t="s">
        <v>30</v>
      </c>
      <c r="L2400" t="s">
        <v>31</v>
      </c>
      <c r="M2400" t="s">
        <v>140</v>
      </c>
      <c r="N2400">
        <v>949</v>
      </c>
      <c r="O2400">
        <v>8.8648841000000006E-2</v>
      </c>
      <c r="P2400">
        <v>7.4965249999999997E-2</v>
      </c>
      <c r="Q2400" t="str">
        <f t="shared" si="74"/>
        <v>25-34</v>
      </c>
      <c r="R2400" t="str">
        <f t="shared" si="75"/>
        <v>[lPTyjLi4w3d]|25-34|Female|DIAGNOSED_SUBNAT.T_1|CY2024Q3</v>
      </c>
    </row>
    <row r="2401" spans="4:18" x14ac:dyDescent="0.2">
      <c r="D2401" t="s">
        <v>63</v>
      </c>
      <c r="E2401" t="s">
        <v>64</v>
      </c>
      <c r="F2401" t="s">
        <v>65</v>
      </c>
      <c r="G2401" t="s">
        <v>148</v>
      </c>
      <c r="H2401" t="s">
        <v>149</v>
      </c>
      <c r="I2401" t="s">
        <v>43</v>
      </c>
      <c r="J2401" t="s">
        <v>44</v>
      </c>
      <c r="K2401" t="s">
        <v>30</v>
      </c>
      <c r="L2401" t="s">
        <v>31</v>
      </c>
      <c r="M2401" t="s">
        <v>140</v>
      </c>
      <c r="N2401">
        <v>2538</v>
      </c>
      <c r="O2401">
        <v>7.6867027000000004E-2</v>
      </c>
      <c r="P2401">
        <v>7.4965249999999997E-2</v>
      </c>
      <c r="Q2401" t="str">
        <f t="shared" si="74"/>
        <v>35-49</v>
      </c>
      <c r="R2401" t="str">
        <f t="shared" si="75"/>
        <v>[lPTyjLi4w3d]|35-49|Female|DIAGNOSED_SUBNAT.T_1|CY2024Q3</v>
      </c>
    </row>
    <row r="2402" spans="4:18" x14ac:dyDescent="0.2">
      <c r="D2402" t="s">
        <v>63</v>
      </c>
      <c r="E2402" t="s">
        <v>64</v>
      </c>
      <c r="F2402" t="s">
        <v>65</v>
      </c>
      <c r="G2402" t="s">
        <v>148</v>
      </c>
      <c r="H2402" t="s">
        <v>149</v>
      </c>
      <c r="I2402" t="s">
        <v>45</v>
      </c>
      <c r="J2402" t="s">
        <v>46</v>
      </c>
      <c r="K2402" t="s">
        <v>30</v>
      </c>
      <c r="L2402" t="s">
        <v>31</v>
      </c>
      <c r="M2402" t="s">
        <v>140</v>
      </c>
      <c r="N2402">
        <v>1230</v>
      </c>
      <c r="O2402">
        <v>8.3929101000000006E-2</v>
      </c>
      <c r="P2402">
        <v>7.4965249999999997E-2</v>
      </c>
      <c r="Q2402" t="str">
        <f t="shared" si="74"/>
        <v>50+</v>
      </c>
      <c r="R2402" t="str">
        <f t="shared" si="75"/>
        <v>[lPTyjLi4w3d]|50+|Female|DIAGNOSED_SUBNAT.T_1|CY2024Q3</v>
      </c>
    </row>
    <row r="2403" spans="4:18" x14ac:dyDescent="0.2">
      <c r="D2403" t="s">
        <v>63</v>
      </c>
      <c r="E2403" t="s">
        <v>64</v>
      </c>
      <c r="F2403" t="s">
        <v>65</v>
      </c>
      <c r="G2403" t="s">
        <v>148</v>
      </c>
      <c r="H2403" t="s">
        <v>149</v>
      </c>
      <c r="I2403" t="s">
        <v>28</v>
      </c>
      <c r="J2403" t="s">
        <v>29</v>
      </c>
      <c r="K2403" t="s">
        <v>48</v>
      </c>
      <c r="L2403" t="s">
        <v>49</v>
      </c>
      <c r="M2403" t="s">
        <v>140</v>
      </c>
      <c r="N2403">
        <v>3</v>
      </c>
      <c r="O2403">
        <v>8.7337026999999998E-2</v>
      </c>
      <c r="P2403">
        <v>7.4965249999999997E-2</v>
      </c>
      <c r="Q2403" t="str">
        <f t="shared" si="74"/>
        <v>&lt;01</v>
      </c>
      <c r="R2403" t="str">
        <f t="shared" si="75"/>
        <v>[lPTyjLi4w3d]|&lt;01|Male|DIAGNOSED_SUBNAT.T_1|CY2024Q3</v>
      </c>
    </row>
    <row r="2404" spans="4:18" x14ac:dyDescent="0.2">
      <c r="D2404" t="s">
        <v>63</v>
      </c>
      <c r="E2404" t="s">
        <v>64</v>
      </c>
      <c r="F2404" t="s">
        <v>65</v>
      </c>
      <c r="G2404" t="s">
        <v>148</v>
      </c>
      <c r="H2404" t="s">
        <v>149</v>
      </c>
      <c r="I2404" t="s">
        <v>33</v>
      </c>
      <c r="J2404" t="s">
        <v>34</v>
      </c>
      <c r="K2404" t="s">
        <v>48</v>
      </c>
      <c r="L2404" t="s">
        <v>49</v>
      </c>
      <c r="M2404" t="s">
        <v>140</v>
      </c>
      <c r="N2404">
        <v>66</v>
      </c>
      <c r="O2404">
        <v>8.6328674999999994E-2</v>
      </c>
      <c r="P2404">
        <v>7.4965249999999997E-2</v>
      </c>
      <c r="Q2404" t="str">
        <f t="shared" si="74"/>
        <v>01-09</v>
      </c>
      <c r="R2404" t="str">
        <f t="shared" si="75"/>
        <v>[lPTyjLi4w3d]|01-09|Male|DIAGNOSED_SUBNAT.T_1|CY2024Q3</v>
      </c>
    </row>
    <row r="2405" spans="4:18" x14ac:dyDescent="0.2">
      <c r="D2405" t="s">
        <v>63</v>
      </c>
      <c r="E2405" t="s">
        <v>64</v>
      </c>
      <c r="F2405" t="s">
        <v>65</v>
      </c>
      <c r="G2405" t="s">
        <v>148</v>
      </c>
      <c r="H2405" t="s">
        <v>149</v>
      </c>
      <c r="I2405" t="s">
        <v>36</v>
      </c>
      <c r="J2405" t="s">
        <v>37</v>
      </c>
      <c r="K2405" t="s">
        <v>48</v>
      </c>
      <c r="L2405" t="s">
        <v>49</v>
      </c>
      <c r="M2405" t="s">
        <v>140</v>
      </c>
      <c r="N2405">
        <v>89</v>
      </c>
      <c r="O2405">
        <v>8.5753210999999996E-2</v>
      </c>
      <c r="P2405">
        <v>7.4965249999999997E-2</v>
      </c>
      <c r="Q2405" t="str">
        <f t="shared" si="74"/>
        <v>10-14</v>
      </c>
      <c r="R2405" t="str">
        <f t="shared" si="75"/>
        <v>[lPTyjLi4w3d]|10-14|Male|DIAGNOSED_SUBNAT.T_1|CY2024Q3</v>
      </c>
    </row>
    <row r="2406" spans="4:18" x14ac:dyDescent="0.2">
      <c r="D2406" t="s">
        <v>63</v>
      </c>
      <c r="E2406" t="s">
        <v>64</v>
      </c>
      <c r="F2406" t="s">
        <v>65</v>
      </c>
      <c r="G2406" t="s">
        <v>148</v>
      </c>
      <c r="H2406" t="s">
        <v>149</v>
      </c>
      <c r="I2406" t="s">
        <v>38</v>
      </c>
      <c r="J2406" t="s">
        <v>39</v>
      </c>
      <c r="K2406" t="s">
        <v>48</v>
      </c>
      <c r="L2406" t="s">
        <v>49</v>
      </c>
      <c r="M2406" t="s">
        <v>140</v>
      </c>
      <c r="N2406">
        <v>281</v>
      </c>
      <c r="O2406">
        <v>0.104191703</v>
      </c>
      <c r="P2406">
        <v>7.4965249999999997E-2</v>
      </c>
      <c r="Q2406" t="str">
        <f t="shared" si="74"/>
        <v>15-24</v>
      </c>
      <c r="R2406" t="str">
        <f t="shared" si="75"/>
        <v>[lPTyjLi4w3d]|15-24|Male|DIAGNOSED_SUBNAT.T_1|CY2024Q3</v>
      </c>
    </row>
    <row r="2407" spans="4:18" x14ac:dyDescent="0.2">
      <c r="D2407" t="s">
        <v>63</v>
      </c>
      <c r="E2407" t="s">
        <v>64</v>
      </c>
      <c r="F2407" t="s">
        <v>65</v>
      </c>
      <c r="G2407" t="s">
        <v>148</v>
      </c>
      <c r="H2407" t="s">
        <v>149</v>
      </c>
      <c r="I2407" t="s">
        <v>41</v>
      </c>
      <c r="J2407" t="s">
        <v>42</v>
      </c>
      <c r="K2407" t="s">
        <v>48</v>
      </c>
      <c r="L2407" t="s">
        <v>49</v>
      </c>
      <c r="M2407" t="s">
        <v>140</v>
      </c>
      <c r="N2407">
        <v>369</v>
      </c>
      <c r="O2407">
        <v>0.10355861399999999</v>
      </c>
      <c r="P2407">
        <v>7.4965249999999997E-2</v>
      </c>
      <c r="Q2407" t="str">
        <f t="shared" si="74"/>
        <v>25-34</v>
      </c>
      <c r="R2407" t="str">
        <f t="shared" si="75"/>
        <v>[lPTyjLi4w3d]|25-34|Male|DIAGNOSED_SUBNAT.T_1|CY2024Q3</v>
      </c>
    </row>
    <row r="2408" spans="4:18" x14ac:dyDescent="0.2">
      <c r="D2408" t="s">
        <v>63</v>
      </c>
      <c r="E2408" t="s">
        <v>64</v>
      </c>
      <c r="F2408" t="s">
        <v>65</v>
      </c>
      <c r="G2408" t="s">
        <v>148</v>
      </c>
      <c r="H2408" t="s">
        <v>149</v>
      </c>
      <c r="I2408" t="s">
        <v>43</v>
      </c>
      <c r="J2408" t="s">
        <v>44</v>
      </c>
      <c r="K2408" t="s">
        <v>48</v>
      </c>
      <c r="L2408" t="s">
        <v>49</v>
      </c>
      <c r="M2408" t="s">
        <v>140</v>
      </c>
      <c r="N2408">
        <v>1548</v>
      </c>
      <c r="O2408">
        <v>8.0898715999999996E-2</v>
      </c>
      <c r="P2408">
        <v>7.4965249999999997E-2</v>
      </c>
      <c r="Q2408" t="str">
        <f t="shared" si="74"/>
        <v>35-49</v>
      </c>
      <c r="R2408" t="str">
        <f t="shared" si="75"/>
        <v>[lPTyjLi4w3d]|35-49|Male|DIAGNOSED_SUBNAT.T_1|CY2024Q3</v>
      </c>
    </row>
    <row r="2409" spans="4:18" x14ac:dyDescent="0.2">
      <c r="D2409" t="s">
        <v>63</v>
      </c>
      <c r="E2409" t="s">
        <v>64</v>
      </c>
      <c r="F2409" t="s">
        <v>65</v>
      </c>
      <c r="G2409" t="s">
        <v>148</v>
      </c>
      <c r="H2409" t="s">
        <v>149</v>
      </c>
      <c r="I2409" t="s">
        <v>45</v>
      </c>
      <c r="J2409" t="s">
        <v>46</v>
      </c>
      <c r="K2409" t="s">
        <v>48</v>
      </c>
      <c r="L2409" t="s">
        <v>49</v>
      </c>
      <c r="M2409" t="s">
        <v>140</v>
      </c>
      <c r="N2409">
        <v>1205</v>
      </c>
      <c r="O2409">
        <v>7.8175458000000003E-2</v>
      </c>
      <c r="P2409">
        <v>7.4965249999999997E-2</v>
      </c>
      <c r="Q2409" t="str">
        <f t="shared" si="74"/>
        <v>50+</v>
      </c>
      <c r="R2409" t="str">
        <f t="shared" si="75"/>
        <v>[lPTyjLi4w3d]|50+|Male|DIAGNOSED_SUBNAT.T_1|CY2024Q3</v>
      </c>
    </row>
    <row r="2410" spans="4:18" x14ac:dyDescent="0.2">
      <c r="D2410" t="s">
        <v>66</v>
      </c>
      <c r="E2410" t="s">
        <v>67</v>
      </c>
      <c r="F2410" t="s">
        <v>68</v>
      </c>
      <c r="G2410" t="s">
        <v>148</v>
      </c>
      <c r="H2410" t="s">
        <v>149</v>
      </c>
      <c r="I2410" t="s">
        <v>28</v>
      </c>
      <c r="J2410" t="s">
        <v>29</v>
      </c>
      <c r="K2410" t="s">
        <v>30</v>
      </c>
      <c r="L2410" t="s">
        <v>31</v>
      </c>
      <c r="M2410" t="s">
        <v>140</v>
      </c>
      <c r="N2410">
        <v>17</v>
      </c>
      <c r="O2410">
        <v>4.0755496000000002E-2</v>
      </c>
      <c r="P2410">
        <v>2.5451799000000001E-2</v>
      </c>
      <c r="Q2410" t="str">
        <f t="shared" si="74"/>
        <v>&lt;01</v>
      </c>
      <c r="R2410" t="str">
        <f t="shared" si="75"/>
        <v>[vA4NcHxfMBq]|&lt;01|Female|DIAGNOSED_SUBNAT.T_1|CY2024Q3</v>
      </c>
    </row>
    <row r="2411" spans="4:18" x14ac:dyDescent="0.2">
      <c r="D2411" t="s">
        <v>66</v>
      </c>
      <c r="E2411" t="s">
        <v>67</v>
      </c>
      <c r="F2411" t="s">
        <v>68</v>
      </c>
      <c r="G2411" t="s">
        <v>148</v>
      </c>
      <c r="H2411" t="s">
        <v>149</v>
      </c>
      <c r="I2411" t="s">
        <v>33</v>
      </c>
      <c r="J2411" t="s">
        <v>34</v>
      </c>
      <c r="K2411" t="s">
        <v>30</v>
      </c>
      <c r="L2411" t="s">
        <v>31</v>
      </c>
      <c r="M2411" t="s">
        <v>140</v>
      </c>
      <c r="N2411">
        <v>329</v>
      </c>
      <c r="O2411">
        <v>3.7878631000000003E-2</v>
      </c>
      <c r="P2411">
        <v>2.5451799000000001E-2</v>
      </c>
      <c r="Q2411" t="str">
        <f t="shared" si="74"/>
        <v>01-09</v>
      </c>
      <c r="R2411" t="str">
        <f t="shared" si="75"/>
        <v>[vA4NcHxfMBq]|01-09|Female|DIAGNOSED_SUBNAT.T_1|CY2024Q3</v>
      </c>
    </row>
    <row r="2412" spans="4:18" x14ac:dyDescent="0.2">
      <c r="D2412" t="s">
        <v>66</v>
      </c>
      <c r="E2412" t="s">
        <v>67</v>
      </c>
      <c r="F2412" t="s">
        <v>68</v>
      </c>
      <c r="G2412" t="s">
        <v>148</v>
      </c>
      <c r="H2412" t="s">
        <v>149</v>
      </c>
      <c r="I2412" t="s">
        <v>36</v>
      </c>
      <c r="J2412" t="s">
        <v>37</v>
      </c>
      <c r="K2412" t="s">
        <v>30</v>
      </c>
      <c r="L2412" t="s">
        <v>31</v>
      </c>
      <c r="M2412" t="s">
        <v>140</v>
      </c>
      <c r="N2412">
        <v>438</v>
      </c>
      <c r="O2412">
        <v>3.5434363000000003E-2</v>
      </c>
      <c r="P2412">
        <v>2.5451799000000001E-2</v>
      </c>
      <c r="Q2412" t="str">
        <f t="shared" si="74"/>
        <v>10-14</v>
      </c>
      <c r="R2412" t="str">
        <f t="shared" si="75"/>
        <v>[vA4NcHxfMBq]|10-14|Female|DIAGNOSED_SUBNAT.T_1|CY2024Q3</v>
      </c>
    </row>
    <row r="2413" spans="4:18" x14ac:dyDescent="0.2">
      <c r="D2413" t="s">
        <v>66</v>
      </c>
      <c r="E2413" t="s">
        <v>67</v>
      </c>
      <c r="F2413" t="s">
        <v>68</v>
      </c>
      <c r="G2413" t="s">
        <v>148</v>
      </c>
      <c r="H2413" t="s">
        <v>149</v>
      </c>
      <c r="I2413" t="s">
        <v>38</v>
      </c>
      <c r="J2413" t="s">
        <v>39</v>
      </c>
      <c r="K2413" t="s">
        <v>30</v>
      </c>
      <c r="L2413" t="s">
        <v>31</v>
      </c>
      <c r="M2413" t="s">
        <v>140</v>
      </c>
      <c r="N2413">
        <v>2098</v>
      </c>
      <c r="O2413">
        <v>6.4492144000000001E-2</v>
      </c>
      <c r="P2413">
        <v>2.5451799000000001E-2</v>
      </c>
      <c r="Q2413" t="str">
        <f t="shared" si="74"/>
        <v>15-24</v>
      </c>
      <c r="R2413" t="str">
        <f t="shared" si="75"/>
        <v>[vA4NcHxfMBq]|15-24|Female|DIAGNOSED_SUBNAT.T_1|CY2024Q3</v>
      </c>
    </row>
    <row r="2414" spans="4:18" x14ac:dyDescent="0.2">
      <c r="D2414" t="s">
        <v>66</v>
      </c>
      <c r="E2414" t="s">
        <v>67</v>
      </c>
      <c r="F2414" t="s">
        <v>68</v>
      </c>
      <c r="G2414" t="s">
        <v>148</v>
      </c>
      <c r="H2414" t="s">
        <v>149</v>
      </c>
      <c r="I2414" t="s">
        <v>41</v>
      </c>
      <c r="J2414" t="s">
        <v>42</v>
      </c>
      <c r="K2414" t="s">
        <v>30</v>
      </c>
      <c r="L2414" t="s">
        <v>31</v>
      </c>
      <c r="M2414" t="s">
        <v>140</v>
      </c>
      <c r="N2414">
        <v>5821</v>
      </c>
      <c r="O2414">
        <v>4.3950105000000003E-2</v>
      </c>
      <c r="P2414">
        <v>2.5451799000000001E-2</v>
      </c>
      <c r="Q2414" t="str">
        <f t="shared" si="74"/>
        <v>25-34</v>
      </c>
      <c r="R2414" t="str">
        <f t="shared" si="75"/>
        <v>[vA4NcHxfMBq]|25-34|Female|DIAGNOSED_SUBNAT.T_1|CY2024Q3</v>
      </c>
    </row>
    <row r="2415" spans="4:18" x14ac:dyDescent="0.2">
      <c r="D2415" t="s">
        <v>66</v>
      </c>
      <c r="E2415" t="s">
        <v>67</v>
      </c>
      <c r="F2415" t="s">
        <v>68</v>
      </c>
      <c r="G2415" t="s">
        <v>148</v>
      </c>
      <c r="H2415" t="s">
        <v>149</v>
      </c>
      <c r="I2415" t="s">
        <v>43</v>
      </c>
      <c r="J2415" t="s">
        <v>44</v>
      </c>
      <c r="K2415" t="s">
        <v>30</v>
      </c>
      <c r="L2415" t="s">
        <v>31</v>
      </c>
      <c r="M2415" t="s">
        <v>140</v>
      </c>
      <c r="N2415">
        <v>14303</v>
      </c>
      <c r="O2415">
        <v>3.0025006999999999E-2</v>
      </c>
      <c r="P2415">
        <v>2.5451799000000001E-2</v>
      </c>
      <c r="Q2415" t="str">
        <f t="shared" si="74"/>
        <v>35-49</v>
      </c>
      <c r="R2415" t="str">
        <f t="shared" si="75"/>
        <v>[vA4NcHxfMBq]|35-49|Female|DIAGNOSED_SUBNAT.T_1|CY2024Q3</v>
      </c>
    </row>
    <row r="2416" spans="4:18" x14ac:dyDescent="0.2">
      <c r="D2416" t="s">
        <v>66</v>
      </c>
      <c r="E2416" t="s">
        <v>67</v>
      </c>
      <c r="F2416" t="s">
        <v>68</v>
      </c>
      <c r="G2416" t="s">
        <v>148</v>
      </c>
      <c r="H2416" t="s">
        <v>149</v>
      </c>
      <c r="I2416" t="s">
        <v>45</v>
      </c>
      <c r="J2416" t="s">
        <v>46</v>
      </c>
      <c r="K2416" t="s">
        <v>30</v>
      </c>
      <c r="L2416" t="s">
        <v>31</v>
      </c>
      <c r="M2416" t="s">
        <v>140</v>
      </c>
      <c r="N2416">
        <v>6369</v>
      </c>
      <c r="O2416">
        <v>4.7633982999999998E-2</v>
      </c>
      <c r="P2416">
        <v>2.5451799000000001E-2</v>
      </c>
      <c r="Q2416" t="str">
        <f t="shared" si="74"/>
        <v>50+</v>
      </c>
      <c r="R2416" t="str">
        <f t="shared" si="75"/>
        <v>[vA4NcHxfMBq]|50+|Female|DIAGNOSED_SUBNAT.T_1|CY2024Q3</v>
      </c>
    </row>
    <row r="2417" spans="4:18" x14ac:dyDescent="0.2">
      <c r="D2417" t="s">
        <v>66</v>
      </c>
      <c r="E2417" t="s">
        <v>67</v>
      </c>
      <c r="F2417" t="s">
        <v>68</v>
      </c>
      <c r="G2417" t="s">
        <v>148</v>
      </c>
      <c r="H2417" t="s">
        <v>149</v>
      </c>
      <c r="I2417" t="s">
        <v>28</v>
      </c>
      <c r="J2417" t="s">
        <v>29</v>
      </c>
      <c r="K2417" t="s">
        <v>48</v>
      </c>
      <c r="L2417" t="s">
        <v>49</v>
      </c>
      <c r="M2417" t="s">
        <v>140</v>
      </c>
      <c r="N2417">
        <v>17</v>
      </c>
      <c r="O2417">
        <v>3.3687684000000002E-2</v>
      </c>
      <c r="P2417">
        <v>2.5451799000000001E-2</v>
      </c>
      <c r="Q2417" t="str">
        <f t="shared" si="74"/>
        <v>&lt;01</v>
      </c>
      <c r="R2417" t="str">
        <f t="shared" si="75"/>
        <v>[vA4NcHxfMBq]|&lt;01|Male|DIAGNOSED_SUBNAT.T_1|CY2024Q3</v>
      </c>
    </row>
    <row r="2418" spans="4:18" x14ac:dyDescent="0.2">
      <c r="D2418" t="s">
        <v>66</v>
      </c>
      <c r="E2418" t="s">
        <v>67</v>
      </c>
      <c r="F2418" t="s">
        <v>68</v>
      </c>
      <c r="G2418" t="s">
        <v>148</v>
      </c>
      <c r="H2418" t="s">
        <v>149</v>
      </c>
      <c r="I2418" t="s">
        <v>33</v>
      </c>
      <c r="J2418" t="s">
        <v>34</v>
      </c>
      <c r="K2418" t="s">
        <v>48</v>
      </c>
      <c r="L2418" t="s">
        <v>49</v>
      </c>
      <c r="M2418" t="s">
        <v>140</v>
      </c>
      <c r="N2418">
        <v>330</v>
      </c>
      <c r="O2418">
        <v>3.3902074999999997E-2</v>
      </c>
      <c r="P2418">
        <v>2.5451799000000001E-2</v>
      </c>
      <c r="Q2418" t="str">
        <f t="shared" si="74"/>
        <v>01-09</v>
      </c>
      <c r="R2418" t="str">
        <f t="shared" si="75"/>
        <v>[vA4NcHxfMBq]|01-09|Male|DIAGNOSED_SUBNAT.T_1|CY2024Q3</v>
      </c>
    </row>
    <row r="2419" spans="4:18" x14ac:dyDescent="0.2">
      <c r="D2419" t="s">
        <v>66</v>
      </c>
      <c r="E2419" t="s">
        <v>67</v>
      </c>
      <c r="F2419" t="s">
        <v>68</v>
      </c>
      <c r="G2419" t="s">
        <v>148</v>
      </c>
      <c r="H2419" t="s">
        <v>149</v>
      </c>
      <c r="I2419" t="s">
        <v>36</v>
      </c>
      <c r="J2419" t="s">
        <v>37</v>
      </c>
      <c r="K2419" t="s">
        <v>48</v>
      </c>
      <c r="L2419" t="s">
        <v>49</v>
      </c>
      <c r="M2419" t="s">
        <v>140</v>
      </c>
      <c r="N2419">
        <v>424</v>
      </c>
      <c r="O2419">
        <v>3.5566724000000001E-2</v>
      </c>
      <c r="P2419">
        <v>2.5451799000000001E-2</v>
      </c>
      <c r="Q2419" t="str">
        <f t="shared" si="74"/>
        <v>10-14</v>
      </c>
      <c r="R2419" t="str">
        <f t="shared" si="75"/>
        <v>[vA4NcHxfMBq]|10-14|Male|DIAGNOSED_SUBNAT.T_1|CY2024Q3</v>
      </c>
    </row>
    <row r="2420" spans="4:18" x14ac:dyDescent="0.2">
      <c r="D2420" t="s">
        <v>66</v>
      </c>
      <c r="E2420" t="s">
        <v>67</v>
      </c>
      <c r="F2420" t="s">
        <v>68</v>
      </c>
      <c r="G2420" t="s">
        <v>148</v>
      </c>
      <c r="H2420" t="s">
        <v>149</v>
      </c>
      <c r="I2420" t="s">
        <v>38</v>
      </c>
      <c r="J2420" t="s">
        <v>39</v>
      </c>
      <c r="K2420" t="s">
        <v>48</v>
      </c>
      <c r="L2420" t="s">
        <v>49</v>
      </c>
      <c r="M2420" t="s">
        <v>140</v>
      </c>
      <c r="N2420">
        <v>1418</v>
      </c>
      <c r="O2420">
        <v>7.4954028000000006E-2</v>
      </c>
      <c r="P2420">
        <v>2.5451799000000001E-2</v>
      </c>
      <c r="Q2420" t="str">
        <f t="shared" si="74"/>
        <v>15-24</v>
      </c>
      <c r="R2420" t="str">
        <f t="shared" si="75"/>
        <v>[vA4NcHxfMBq]|15-24|Male|DIAGNOSED_SUBNAT.T_1|CY2024Q3</v>
      </c>
    </row>
    <row r="2421" spans="4:18" x14ac:dyDescent="0.2">
      <c r="D2421" t="s">
        <v>66</v>
      </c>
      <c r="E2421" t="s">
        <v>67</v>
      </c>
      <c r="F2421" t="s">
        <v>68</v>
      </c>
      <c r="G2421" t="s">
        <v>148</v>
      </c>
      <c r="H2421" t="s">
        <v>149</v>
      </c>
      <c r="I2421" t="s">
        <v>41</v>
      </c>
      <c r="J2421" t="s">
        <v>42</v>
      </c>
      <c r="K2421" t="s">
        <v>48</v>
      </c>
      <c r="L2421" t="s">
        <v>49</v>
      </c>
      <c r="M2421" t="s">
        <v>140</v>
      </c>
      <c r="N2421">
        <v>2093</v>
      </c>
      <c r="O2421">
        <v>6.9621406999999996E-2</v>
      </c>
      <c r="P2421">
        <v>2.5451799000000001E-2</v>
      </c>
      <c r="Q2421" t="str">
        <f t="shared" si="74"/>
        <v>25-34</v>
      </c>
      <c r="R2421" t="str">
        <f t="shared" si="75"/>
        <v>[vA4NcHxfMBq]|25-34|Male|DIAGNOSED_SUBNAT.T_1|CY2024Q3</v>
      </c>
    </row>
    <row r="2422" spans="4:18" x14ac:dyDescent="0.2">
      <c r="D2422" t="s">
        <v>66</v>
      </c>
      <c r="E2422" t="s">
        <v>67</v>
      </c>
      <c r="F2422" t="s">
        <v>68</v>
      </c>
      <c r="G2422" t="s">
        <v>148</v>
      </c>
      <c r="H2422" t="s">
        <v>149</v>
      </c>
      <c r="I2422" t="s">
        <v>43</v>
      </c>
      <c r="J2422" t="s">
        <v>44</v>
      </c>
      <c r="K2422" t="s">
        <v>48</v>
      </c>
      <c r="L2422" t="s">
        <v>49</v>
      </c>
      <c r="M2422" t="s">
        <v>140</v>
      </c>
      <c r="N2422">
        <v>8212</v>
      </c>
      <c r="O2422">
        <v>3.7550462E-2</v>
      </c>
      <c r="P2422">
        <v>2.5451799000000001E-2</v>
      </c>
      <c r="Q2422" t="str">
        <f t="shared" si="74"/>
        <v>35-49</v>
      </c>
      <c r="R2422" t="str">
        <f t="shared" si="75"/>
        <v>[vA4NcHxfMBq]|35-49|Male|DIAGNOSED_SUBNAT.T_1|CY2024Q3</v>
      </c>
    </row>
    <row r="2423" spans="4:18" x14ac:dyDescent="0.2">
      <c r="D2423" t="s">
        <v>66</v>
      </c>
      <c r="E2423" t="s">
        <v>67</v>
      </c>
      <c r="F2423" t="s">
        <v>68</v>
      </c>
      <c r="G2423" t="s">
        <v>148</v>
      </c>
      <c r="H2423" t="s">
        <v>149</v>
      </c>
      <c r="I2423" t="s">
        <v>45</v>
      </c>
      <c r="J2423" t="s">
        <v>46</v>
      </c>
      <c r="K2423" t="s">
        <v>48</v>
      </c>
      <c r="L2423" t="s">
        <v>49</v>
      </c>
      <c r="M2423" t="s">
        <v>140</v>
      </c>
      <c r="N2423">
        <v>5881</v>
      </c>
      <c r="O2423">
        <v>4.4399477E-2</v>
      </c>
      <c r="P2423">
        <v>2.5451799000000001E-2</v>
      </c>
      <c r="Q2423" t="str">
        <f t="shared" si="74"/>
        <v>50+</v>
      </c>
      <c r="R2423" t="str">
        <f t="shared" si="75"/>
        <v>[vA4NcHxfMBq]|50+|Male|DIAGNOSED_SUBNAT.T_1|CY2024Q3</v>
      </c>
    </row>
    <row r="2424" spans="4:18" x14ac:dyDescent="0.2">
      <c r="D2424" t="s">
        <v>69</v>
      </c>
      <c r="E2424" t="s">
        <v>70</v>
      </c>
      <c r="F2424" t="s">
        <v>71</v>
      </c>
      <c r="G2424" t="s">
        <v>148</v>
      </c>
      <c r="H2424" t="s">
        <v>149</v>
      </c>
      <c r="I2424" t="s">
        <v>28</v>
      </c>
      <c r="J2424" t="s">
        <v>29</v>
      </c>
      <c r="K2424" t="s">
        <v>30</v>
      </c>
      <c r="L2424" t="s">
        <v>31</v>
      </c>
      <c r="M2424" t="s">
        <v>140</v>
      </c>
      <c r="N2424">
        <v>0</v>
      </c>
      <c r="O2424">
        <v>6.6083910999999995E-2</v>
      </c>
      <c r="P2424">
        <v>2.5257598999999999E-2</v>
      </c>
      <c r="Q2424" t="str">
        <f t="shared" si="74"/>
        <v>&lt;01</v>
      </c>
      <c r="R2424" t="str">
        <f t="shared" si="75"/>
        <v>[ZCjuwgaMB9u]|&lt;01|Female|DIAGNOSED_SUBNAT.T_1|CY2024Q3</v>
      </c>
    </row>
    <row r="2425" spans="4:18" x14ac:dyDescent="0.2">
      <c r="D2425" t="s">
        <v>69</v>
      </c>
      <c r="E2425" t="s">
        <v>70</v>
      </c>
      <c r="F2425" t="s">
        <v>71</v>
      </c>
      <c r="G2425" t="s">
        <v>148</v>
      </c>
      <c r="H2425" t="s">
        <v>149</v>
      </c>
      <c r="I2425" t="s">
        <v>33</v>
      </c>
      <c r="J2425" t="s">
        <v>34</v>
      </c>
      <c r="K2425" t="s">
        <v>30</v>
      </c>
      <c r="L2425" t="s">
        <v>31</v>
      </c>
      <c r="M2425" t="s">
        <v>140</v>
      </c>
      <c r="N2425">
        <v>7</v>
      </c>
      <c r="O2425">
        <v>6.6069088999999998E-2</v>
      </c>
      <c r="P2425">
        <v>2.5257598999999999E-2</v>
      </c>
      <c r="Q2425" t="str">
        <f t="shared" si="74"/>
        <v>01-09</v>
      </c>
      <c r="R2425" t="str">
        <f t="shared" si="75"/>
        <v>[ZCjuwgaMB9u]|01-09|Female|DIAGNOSED_SUBNAT.T_1|CY2024Q3</v>
      </c>
    </row>
    <row r="2426" spans="4:18" x14ac:dyDescent="0.2">
      <c r="D2426" t="s">
        <v>69</v>
      </c>
      <c r="E2426" t="s">
        <v>70</v>
      </c>
      <c r="F2426" t="s">
        <v>71</v>
      </c>
      <c r="G2426" t="s">
        <v>148</v>
      </c>
      <c r="H2426" t="s">
        <v>149</v>
      </c>
      <c r="I2426" t="s">
        <v>36</v>
      </c>
      <c r="J2426" t="s">
        <v>37</v>
      </c>
      <c r="K2426" t="s">
        <v>30</v>
      </c>
      <c r="L2426" t="s">
        <v>31</v>
      </c>
      <c r="M2426" t="s">
        <v>140</v>
      </c>
      <c r="N2426">
        <v>9</v>
      </c>
      <c r="O2426">
        <v>6.6772076999999999E-2</v>
      </c>
      <c r="P2426">
        <v>2.5257598999999999E-2</v>
      </c>
      <c r="Q2426" t="str">
        <f t="shared" si="74"/>
        <v>10-14</v>
      </c>
      <c r="R2426" t="str">
        <f t="shared" si="75"/>
        <v>[ZCjuwgaMB9u]|10-14|Female|DIAGNOSED_SUBNAT.T_1|CY2024Q3</v>
      </c>
    </row>
    <row r="2427" spans="4:18" x14ac:dyDescent="0.2">
      <c r="D2427" t="s">
        <v>69</v>
      </c>
      <c r="E2427" t="s">
        <v>70</v>
      </c>
      <c r="F2427" t="s">
        <v>71</v>
      </c>
      <c r="G2427" t="s">
        <v>148</v>
      </c>
      <c r="H2427" t="s">
        <v>149</v>
      </c>
      <c r="I2427" t="s">
        <v>38</v>
      </c>
      <c r="J2427" t="s">
        <v>39</v>
      </c>
      <c r="K2427" t="s">
        <v>30</v>
      </c>
      <c r="L2427" t="s">
        <v>31</v>
      </c>
      <c r="M2427" t="s">
        <v>140</v>
      </c>
      <c r="N2427">
        <v>37</v>
      </c>
      <c r="O2427">
        <v>6.4862808999999993E-2</v>
      </c>
      <c r="P2427">
        <v>2.5257598999999999E-2</v>
      </c>
      <c r="Q2427" t="str">
        <f t="shared" si="74"/>
        <v>15-24</v>
      </c>
      <c r="R2427" t="str">
        <f t="shared" si="75"/>
        <v>[ZCjuwgaMB9u]|15-24|Female|DIAGNOSED_SUBNAT.T_1|CY2024Q3</v>
      </c>
    </row>
    <row r="2428" spans="4:18" x14ac:dyDescent="0.2">
      <c r="D2428" t="s">
        <v>69</v>
      </c>
      <c r="E2428" t="s">
        <v>70</v>
      </c>
      <c r="F2428" t="s">
        <v>71</v>
      </c>
      <c r="G2428" t="s">
        <v>148</v>
      </c>
      <c r="H2428" t="s">
        <v>149</v>
      </c>
      <c r="I2428" t="s">
        <v>41</v>
      </c>
      <c r="J2428" t="s">
        <v>42</v>
      </c>
      <c r="K2428" t="s">
        <v>30</v>
      </c>
      <c r="L2428" t="s">
        <v>31</v>
      </c>
      <c r="M2428" t="s">
        <v>140</v>
      </c>
      <c r="N2428">
        <v>105</v>
      </c>
      <c r="O2428">
        <v>4.6380512999999998E-2</v>
      </c>
      <c r="P2428">
        <v>2.5257598999999999E-2</v>
      </c>
      <c r="Q2428" t="str">
        <f t="shared" si="74"/>
        <v>25-34</v>
      </c>
      <c r="R2428" t="str">
        <f t="shared" si="75"/>
        <v>[ZCjuwgaMB9u]|25-34|Female|DIAGNOSED_SUBNAT.T_1|CY2024Q3</v>
      </c>
    </row>
    <row r="2429" spans="4:18" x14ac:dyDescent="0.2">
      <c r="D2429" t="s">
        <v>69</v>
      </c>
      <c r="E2429" t="s">
        <v>70</v>
      </c>
      <c r="F2429" t="s">
        <v>71</v>
      </c>
      <c r="G2429" t="s">
        <v>148</v>
      </c>
      <c r="H2429" t="s">
        <v>149</v>
      </c>
      <c r="I2429" t="s">
        <v>43</v>
      </c>
      <c r="J2429" t="s">
        <v>44</v>
      </c>
      <c r="K2429" t="s">
        <v>30</v>
      </c>
      <c r="L2429" t="s">
        <v>31</v>
      </c>
      <c r="M2429" t="s">
        <v>140</v>
      </c>
      <c r="N2429">
        <v>276</v>
      </c>
      <c r="O2429">
        <v>3.2532924999999997E-2</v>
      </c>
      <c r="P2429">
        <v>2.5257598999999999E-2</v>
      </c>
      <c r="Q2429" t="str">
        <f t="shared" si="74"/>
        <v>35-49</v>
      </c>
      <c r="R2429" t="str">
        <f t="shared" si="75"/>
        <v>[ZCjuwgaMB9u]|35-49|Female|DIAGNOSED_SUBNAT.T_1|CY2024Q3</v>
      </c>
    </row>
    <row r="2430" spans="4:18" x14ac:dyDescent="0.2">
      <c r="D2430" t="s">
        <v>69</v>
      </c>
      <c r="E2430" t="s">
        <v>70</v>
      </c>
      <c r="F2430" t="s">
        <v>71</v>
      </c>
      <c r="G2430" t="s">
        <v>148</v>
      </c>
      <c r="H2430" t="s">
        <v>149</v>
      </c>
      <c r="I2430" t="s">
        <v>45</v>
      </c>
      <c r="J2430" t="s">
        <v>46</v>
      </c>
      <c r="K2430" t="s">
        <v>30</v>
      </c>
      <c r="L2430" t="s">
        <v>31</v>
      </c>
      <c r="M2430" t="s">
        <v>140</v>
      </c>
      <c r="N2430">
        <v>126</v>
      </c>
      <c r="O2430">
        <v>4.6495913E-2</v>
      </c>
      <c r="P2430">
        <v>2.5257598999999999E-2</v>
      </c>
      <c r="Q2430" t="str">
        <f t="shared" si="74"/>
        <v>50+</v>
      </c>
      <c r="R2430" t="str">
        <f t="shared" si="75"/>
        <v>[ZCjuwgaMB9u]|50+|Female|DIAGNOSED_SUBNAT.T_1|CY2024Q3</v>
      </c>
    </row>
    <row r="2431" spans="4:18" x14ac:dyDescent="0.2">
      <c r="D2431" t="s">
        <v>69</v>
      </c>
      <c r="E2431" t="s">
        <v>70</v>
      </c>
      <c r="F2431" t="s">
        <v>71</v>
      </c>
      <c r="G2431" t="s">
        <v>148</v>
      </c>
      <c r="H2431" t="s">
        <v>149</v>
      </c>
      <c r="I2431" t="s">
        <v>28</v>
      </c>
      <c r="J2431" t="s">
        <v>29</v>
      </c>
      <c r="K2431" t="s">
        <v>48</v>
      </c>
      <c r="L2431" t="s">
        <v>49</v>
      </c>
      <c r="M2431" t="s">
        <v>140</v>
      </c>
      <c r="N2431">
        <v>0</v>
      </c>
      <c r="O2431">
        <v>4.8125686000000001E-2</v>
      </c>
      <c r="P2431">
        <v>2.5257598999999999E-2</v>
      </c>
      <c r="Q2431" t="str">
        <f t="shared" si="74"/>
        <v>&lt;01</v>
      </c>
      <c r="R2431" t="str">
        <f t="shared" si="75"/>
        <v>[ZCjuwgaMB9u]|&lt;01|Male|DIAGNOSED_SUBNAT.T_1|CY2024Q3</v>
      </c>
    </row>
    <row r="2432" spans="4:18" x14ac:dyDescent="0.2">
      <c r="D2432" t="s">
        <v>69</v>
      </c>
      <c r="E2432" t="s">
        <v>70</v>
      </c>
      <c r="F2432" t="s">
        <v>71</v>
      </c>
      <c r="G2432" t="s">
        <v>148</v>
      </c>
      <c r="H2432" t="s">
        <v>149</v>
      </c>
      <c r="I2432" t="s">
        <v>33</v>
      </c>
      <c r="J2432" t="s">
        <v>34</v>
      </c>
      <c r="K2432" t="s">
        <v>48</v>
      </c>
      <c r="L2432" t="s">
        <v>49</v>
      </c>
      <c r="M2432" t="s">
        <v>140</v>
      </c>
      <c r="N2432">
        <v>7</v>
      </c>
      <c r="O2432">
        <v>5.1717192000000002E-2</v>
      </c>
      <c r="P2432">
        <v>2.5257598999999999E-2</v>
      </c>
      <c r="Q2432" t="str">
        <f t="shared" si="74"/>
        <v>01-09</v>
      </c>
      <c r="R2432" t="str">
        <f t="shared" si="75"/>
        <v>[ZCjuwgaMB9u]|01-09|Male|DIAGNOSED_SUBNAT.T_1|CY2024Q3</v>
      </c>
    </row>
    <row r="2433" spans="4:18" x14ac:dyDescent="0.2">
      <c r="D2433" t="s">
        <v>69</v>
      </c>
      <c r="E2433" t="s">
        <v>70</v>
      </c>
      <c r="F2433" t="s">
        <v>71</v>
      </c>
      <c r="G2433" t="s">
        <v>148</v>
      </c>
      <c r="H2433" t="s">
        <v>149</v>
      </c>
      <c r="I2433" t="s">
        <v>36</v>
      </c>
      <c r="J2433" t="s">
        <v>37</v>
      </c>
      <c r="K2433" t="s">
        <v>48</v>
      </c>
      <c r="L2433" t="s">
        <v>49</v>
      </c>
      <c r="M2433" t="s">
        <v>140</v>
      </c>
      <c r="N2433">
        <v>9</v>
      </c>
      <c r="O2433">
        <v>5.7294578999999998E-2</v>
      </c>
      <c r="P2433">
        <v>2.5257598999999999E-2</v>
      </c>
      <c r="Q2433" t="str">
        <f t="shared" si="74"/>
        <v>10-14</v>
      </c>
      <c r="R2433" t="str">
        <f t="shared" si="75"/>
        <v>[ZCjuwgaMB9u]|10-14|Male|DIAGNOSED_SUBNAT.T_1|CY2024Q3</v>
      </c>
    </row>
    <row r="2434" spans="4:18" x14ac:dyDescent="0.2">
      <c r="D2434" t="s">
        <v>69</v>
      </c>
      <c r="E2434" t="s">
        <v>70</v>
      </c>
      <c r="F2434" t="s">
        <v>71</v>
      </c>
      <c r="G2434" t="s">
        <v>148</v>
      </c>
      <c r="H2434" t="s">
        <v>149</v>
      </c>
      <c r="I2434" t="s">
        <v>38</v>
      </c>
      <c r="J2434" t="s">
        <v>39</v>
      </c>
      <c r="K2434" t="s">
        <v>48</v>
      </c>
      <c r="L2434" t="s">
        <v>49</v>
      </c>
      <c r="M2434" t="s">
        <v>140</v>
      </c>
      <c r="N2434">
        <v>28</v>
      </c>
      <c r="O2434">
        <v>8.2008116000000006E-2</v>
      </c>
      <c r="P2434">
        <v>2.5257598999999999E-2</v>
      </c>
      <c r="Q2434" t="str">
        <f t="shared" si="74"/>
        <v>15-24</v>
      </c>
      <c r="R2434" t="str">
        <f t="shared" si="75"/>
        <v>[ZCjuwgaMB9u]|15-24|Male|DIAGNOSED_SUBNAT.T_1|CY2024Q3</v>
      </c>
    </row>
    <row r="2435" spans="4:18" x14ac:dyDescent="0.2">
      <c r="D2435" t="s">
        <v>69</v>
      </c>
      <c r="E2435" t="s">
        <v>70</v>
      </c>
      <c r="F2435" t="s">
        <v>71</v>
      </c>
      <c r="G2435" t="s">
        <v>148</v>
      </c>
      <c r="H2435" t="s">
        <v>149</v>
      </c>
      <c r="I2435" t="s">
        <v>41</v>
      </c>
      <c r="J2435" t="s">
        <v>42</v>
      </c>
      <c r="K2435" t="s">
        <v>48</v>
      </c>
      <c r="L2435" t="s">
        <v>49</v>
      </c>
      <c r="M2435" t="s">
        <v>140</v>
      </c>
      <c r="N2435">
        <v>47</v>
      </c>
      <c r="O2435">
        <v>7.3087626000000003E-2</v>
      </c>
      <c r="P2435">
        <v>2.5257598999999999E-2</v>
      </c>
      <c r="Q2435" t="str">
        <f t="shared" ref="Q2435:Q2498" si="76">SUBSTITUTE(SUBSTITUTE($I2435,CHAR(61),""),CHAR(34),"")</f>
        <v>25-34</v>
      </c>
      <c r="R2435" t="str">
        <f t="shared" ref="R2435:R2498" si="77">IF($D2435&lt;&gt;"","["&amp;$E2435&amp;"]"&amp;"|"&amp;$Q2435&amp;"|"&amp;$K2435&amp;"|"&amp;$G2435&amp;"|"&amp;IF($G2435="TX_CURR_SUBNAT.R","CY2023Q4",$M2435),"")</f>
        <v>[ZCjuwgaMB9u]|25-34|Male|DIAGNOSED_SUBNAT.T_1|CY2024Q3</v>
      </c>
    </row>
    <row r="2436" spans="4:18" x14ac:dyDescent="0.2">
      <c r="D2436" t="s">
        <v>69</v>
      </c>
      <c r="E2436" t="s">
        <v>70</v>
      </c>
      <c r="F2436" t="s">
        <v>71</v>
      </c>
      <c r="G2436" t="s">
        <v>148</v>
      </c>
      <c r="H2436" t="s">
        <v>149</v>
      </c>
      <c r="I2436" t="s">
        <v>43</v>
      </c>
      <c r="J2436" t="s">
        <v>44</v>
      </c>
      <c r="K2436" t="s">
        <v>48</v>
      </c>
      <c r="L2436" t="s">
        <v>49</v>
      </c>
      <c r="M2436" t="s">
        <v>140</v>
      </c>
      <c r="N2436">
        <v>166</v>
      </c>
      <c r="O2436">
        <v>4.6414298E-2</v>
      </c>
      <c r="P2436">
        <v>2.5257598999999999E-2</v>
      </c>
      <c r="Q2436" t="str">
        <f t="shared" si="76"/>
        <v>35-49</v>
      </c>
      <c r="R2436" t="str">
        <f t="shared" si="77"/>
        <v>[ZCjuwgaMB9u]|35-49|Male|DIAGNOSED_SUBNAT.T_1|CY2024Q3</v>
      </c>
    </row>
    <row r="2437" spans="4:18" x14ac:dyDescent="0.2">
      <c r="D2437" t="s">
        <v>69</v>
      </c>
      <c r="E2437" t="s">
        <v>70</v>
      </c>
      <c r="F2437" t="s">
        <v>71</v>
      </c>
      <c r="G2437" t="s">
        <v>148</v>
      </c>
      <c r="H2437" t="s">
        <v>149</v>
      </c>
      <c r="I2437" t="s">
        <v>45</v>
      </c>
      <c r="J2437" t="s">
        <v>46</v>
      </c>
      <c r="K2437" t="s">
        <v>48</v>
      </c>
      <c r="L2437" t="s">
        <v>49</v>
      </c>
      <c r="M2437" t="s">
        <v>140</v>
      </c>
      <c r="N2437">
        <v>106</v>
      </c>
      <c r="O2437">
        <v>4.7184340999999998E-2</v>
      </c>
      <c r="P2437">
        <v>2.5257598999999999E-2</v>
      </c>
      <c r="Q2437" t="str">
        <f t="shared" si="76"/>
        <v>50+</v>
      </c>
      <c r="R2437" t="str">
        <f t="shared" si="77"/>
        <v>[ZCjuwgaMB9u]|50+|Male|DIAGNOSED_SUBNAT.T_1|CY2024Q3</v>
      </c>
    </row>
    <row r="2438" spans="4:18" x14ac:dyDescent="0.2">
      <c r="D2438" t="s">
        <v>72</v>
      </c>
      <c r="E2438" t="s">
        <v>73</v>
      </c>
      <c r="F2438" t="s">
        <v>74</v>
      </c>
      <c r="G2438" t="s">
        <v>148</v>
      </c>
      <c r="H2438" t="s">
        <v>149</v>
      </c>
      <c r="I2438" t="s">
        <v>28</v>
      </c>
      <c r="J2438" t="s">
        <v>29</v>
      </c>
      <c r="K2438" t="s">
        <v>30</v>
      </c>
      <c r="L2438" t="s">
        <v>31</v>
      </c>
      <c r="M2438" t="s">
        <v>140</v>
      </c>
      <c r="N2438">
        <v>8</v>
      </c>
      <c r="O2438">
        <v>8.2147592000000005E-2</v>
      </c>
      <c r="P2438">
        <v>7.4378474E-2</v>
      </c>
      <c r="Q2438" t="str">
        <f t="shared" si="76"/>
        <v>&lt;01</v>
      </c>
      <c r="R2438" t="str">
        <f t="shared" si="77"/>
        <v>[JQKLKuVuY61]|&lt;01|Female|DIAGNOSED_SUBNAT.T_1|CY2024Q3</v>
      </c>
    </row>
    <row r="2439" spans="4:18" x14ac:dyDescent="0.2">
      <c r="D2439" t="s">
        <v>72</v>
      </c>
      <c r="E2439" t="s">
        <v>73</v>
      </c>
      <c r="F2439" t="s">
        <v>74</v>
      </c>
      <c r="G2439" t="s">
        <v>148</v>
      </c>
      <c r="H2439" t="s">
        <v>149</v>
      </c>
      <c r="I2439" t="s">
        <v>33</v>
      </c>
      <c r="J2439" t="s">
        <v>34</v>
      </c>
      <c r="K2439" t="s">
        <v>30</v>
      </c>
      <c r="L2439" t="s">
        <v>31</v>
      </c>
      <c r="M2439" t="s">
        <v>140</v>
      </c>
      <c r="N2439">
        <v>164</v>
      </c>
      <c r="O2439">
        <v>7.9528588999999997E-2</v>
      </c>
      <c r="P2439">
        <v>7.4378474E-2</v>
      </c>
      <c r="Q2439" t="str">
        <f t="shared" si="76"/>
        <v>01-09</v>
      </c>
      <c r="R2439" t="str">
        <f t="shared" si="77"/>
        <v>[JQKLKuVuY61]|01-09|Female|DIAGNOSED_SUBNAT.T_1|CY2024Q3</v>
      </c>
    </row>
    <row r="2440" spans="4:18" x14ac:dyDescent="0.2">
      <c r="D2440" t="s">
        <v>72</v>
      </c>
      <c r="E2440" t="s">
        <v>73</v>
      </c>
      <c r="F2440" t="s">
        <v>74</v>
      </c>
      <c r="G2440" t="s">
        <v>148</v>
      </c>
      <c r="H2440" t="s">
        <v>149</v>
      </c>
      <c r="I2440" t="s">
        <v>36</v>
      </c>
      <c r="J2440" t="s">
        <v>37</v>
      </c>
      <c r="K2440" t="s">
        <v>30</v>
      </c>
      <c r="L2440" t="s">
        <v>31</v>
      </c>
      <c r="M2440" t="s">
        <v>140</v>
      </c>
      <c r="N2440">
        <v>227</v>
      </c>
      <c r="O2440">
        <v>7.6840100999999994E-2</v>
      </c>
      <c r="P2440">
        <v>7.4378474E-2</v>
      </c>
      <c r="Q2440" t="str">
        <f t="shared" si="76"/>
        <v>10-14</v>
      </c>
      <c r="R2440" t="str">
        <f t="shared" si="77"/>
        <v>[JQKLKuVuY61]|10-14|Female|DIAGNOSED_SUBNAT.T_1|CY2024Q3</v>
      </c>
    </row>
    <row r="2441" spans="4:18" x14ac:dyDescent="0.2">
      <c r="D2441" t="s">
        <v>72</v>
      </c>
      <c r="E2441" t="s">
        <v>73</v>
      </c>
      <c r="F2441" t="s">
        <v>74</v>
      </c>
      <c r="G2441" t="s">
        <v>148</v>
      </c>
      <c r="H2441" t="s">
        <v>149</v>
      </c>
      <c r="I2441" t="s">
        <v>38</v>
      </c>
      <c r="J2441" t="s">
        <v>39</v>
      </c>
      <c r="K2441" t="s">
        <v>30</v>
      </c>
      <c r="L2441" t="s">
        <v>31</v>
      </c>
      <c r="M2441" t="s">
        <v>140</v>
      </c>
      <c r="N2441">
        <v>861</v>
      </c>
      <c r="O2441">
        <v>9.5360071000000005E-2</v>
      </c>
      <c r="P2441">
        <v>7.4378474E-2</v>
      </c>
      <c r="Q2441" t="str">
        <f t="shared" si="76"/>
        <v>15-24</v>
      </c>
      <c r="R2441" t="str">
        <f t="shared" si="77"/>
        <v>[JQKLKuVuY61]|15-24|Female|DIAGNOSED_SUBNAT.T_1|CY2024Q3</v>
      </c>
    </row>
    <row r="2442" spans="4:18" x14ac:dyDescent="0.2">
      <c r="D2442" t="s">
        <v>72</v>
      </c>
      <c r="E2442" t="s">
        <v>73</v>
      </c>
      <c r="F2442" t="s">
        <v>74</v>
      </c>
      <c r="G2442" t="s">
        <v>148</v>
      </c>
      <c r="H2442" t="s">
        <v>149</v>
      </c>
      <c r="I2442" t="s">
        <v>41</v>
      </c>
      <c r="J2442" t="s">
        <v>42</v>
      </c>
      <c r="K2442" t="s">
        <v>30</v>
      </c>
      <c r="L2442" t="s">
        <v>31</v>
      </c>
      <c r="M2442" t="s">
        <v>140</v>
      </c>
      <c r="N2442">
        <v>2151</v>
      </c>
      <c r="O2442">
        <v>8.4677897000000002E-2</v>
      </c>
      <c r="P2442">
        <v>7.4378474E-2</v>
      </c>
      <c r="Q2442" t="str">
        <f t="shared" si="76"/>
        <v>25-34</v>
      </c>
      <c r="R2442" t="str">
        <f t="shared" si="77"/>
        <v>[JQKLKuVuY61]|25-34|Female|DIAGNOSED_SUBNAT.T_1|CY2024Q3</v>
      </c>
    </row>
    <row r="2443" spans="4:18" x14ac:dyDescent="0.2">
      <c r="D2443" t="s">
        <v>72</v>
      </c>
      <c r="E2443" t="s">
        <v>73</v>
      </c>
      <c r="F2443" t="s">
        <v>74</v>
      </c>
      <c r="G2443" t="s">
        <v>148</v>
      </c>
      <c r="H2443" t="s">
        <v>149</v>
      </c>
      <c r="I2443" t="s">
        <v>43</v>
      </c>
      <c r="J2443" t="s">
        <v>44</v>
      </c>
      <c r="K2443" t="s">
        <v>30</v>
      </c>
      <c r="L2443" t="s">
        <v>31</v>
      </c>
      <c r="M2443" t="s">
        <v>140</v>
      </c>
      <c r="N2443">
        <v>6019</v>
      </c>
      <c r="O2443">
        <v>7.6648769000000005E-2</v>
      </c>
      <c r="P2443">
        <v>7.4378474E-2</v>
      </c>
      <c r="Q2443" t="str">
        <f t="shared" si="76"/>
        <v>35-49</v>
      </c>
      <c r="R2443" t="str">
        <f t="shared" si="77"/>
        <v>[JQKLKuVuY61]|35-49|Female|DIAGNOSED_SUBNAT.T_1|CY2024Q3</v>
      </c>
    </row>
    <row r="2444" spans="4:18" x14ac:dyDescent="0.2">
      <c r="D2444" t="s">
        <v>72</v>
      </c>
      <c r="E2444" t="s">
        <v>73</v>
      </c>
      <c r="F2444" t="s">
        <v>74</v>
      </c>
      <c r="G2444" t="s">
        <v>148</v>
      </c>
      <c r="H2444" t="s">
        <v>149</v>
      </c>
      <c r="I2444" t="s">
        <v>45</v>
      </c>
      <c r="J2444" t="s">
        <v>46</v>
      </c>
      <c r="K2444" t="s">
        <v>30</v>
      </c>
      <c r="L2444" t="s">
        <v>31</v>
      </c>
      <c r="M2444" t="s">
        <v>140</v>
      </c>
      <c r="N2444">
        <v>2802</v>
      </c>
      <c r="O2444">
        <v>8.5154365999999995E-2</v>
      </c>
      <c r="P2444">
        <v>7.4378474E-2</v>
      </c>
      <c r="Q2444" t="str">
        <f t="shared" si="76"/>
        <v>50+</v>
      </c>
      <c r="R2444" t="str">
        <f t="shared" si="77"/>
        <v>[JQKLKuVuY61]|50+|Female|DIAGNOSED_SUBNAT.T_1|CY2024Q3</v>
      </c>
    </row>
    <row r="2445" spans="4:18" x14ac:dyDescent="0.2">
      <c r="D2445" t="s">
        <v>72</v>
      </c>
      <c r="E2445" t="s">
        <v>73</v>
      </c>
      <c r="F2445" t="s">
        <v>74</v>
      </c>
      <c r="G2445" t="s">
        <v>148</v>
      </c>
      <c r="H2445" t="s">
        <v>149</v>
      </c>
      <c r="I2445" t="s">
        <v>28</v>
      </c>
      <c r="J2445" t="s">
        <v>29</v>
      </c>
      <c r="K2445" t="s">
        <v>48</v>
      </c>
      <c r="L2445" t="s">
        <v>49</v>
      </c>
      <c r="M2445" t="s">
        <v>140</v>
      </c>
      <c r="N2445">
        <v>8</v>
      </c>
      <c r="O2445">
        <v>7.6815201999999999E-2</v>
      </c>
      <c r="P2445">
        <v>7.4378474E-2</v>
      </c>
      <c r="Q2445" t="str">
        <f t="shared" si="76"/>
        <v>&lt;01</v>
      </c>
      <c r="R2445" t="str">
        <f t="shared" si="77"/>
        <v>[JQKLKuVuY61]|&lt;01|Male|DIAGNOSED_SUBNAT.T_1|CY2024Q3</v>
      </c>
    </row>
    <row r="2446" spans="4:18" x14ac:dyDescent="0.2">
      <c r="D2446" t="s">
        <v>72</v>
      </c>
      <c r="E2446" t="s">
        <v>73</v>
      </c>
      <c r="F2446" t="s">
        <v>74</v>
      </c>
      <c r="G2446" t="s">
        <v>148</v>
      </c>
      <c r="H2446" t="s">
        <v>149</v>
      </c>
      <c r="I2446" t="s">
        <v>33</v>
      </c>
      <c r="J2446" t="s">
        <v>34</v>
      </c>
      <c r="K2446" t="s">
        <v>48</v>
      </c>
      <c r="L2446" t="s">
        <v>49</v>
      </c>
      <c r="M2446" t="s">
        <v>140</v>
      </c>
      <c r="N2446">
        <v>165</v>
      </c>
      <c r="O2446">
        <v>7.6285576999999993E-2</v>
      </c>
      <c r="P2446">
        <v>7.4378474E-2</v>
      </c>
      <c r="Q2446" t="str">
        <f t="shared" si="76"/>
        <v>01-09</v>
      </c>
      <c r="R2446" t="str">
        <f t="shared" si="77"/>
        <v>[JQKLKuVuY61]|01-09|Male|DIAGNOSED_SUBNAT.T_1|CY2024Q3</v>
      </c>
    </row>
    <row r="2447" spans="4:18" x14ac:dyDescent="0.2">
      <c r="D2447" t="s">
        <v>72</v>
      </c>
      <c r="E2447" t="s">
        <v>73</v>
      </c>
      <c r="F2447" t="s">
        <v>74</v>
      </c>
      <c r="G2447" t="s">
        <v>148</v>
      </c>
      <c r="H2447" t="s">
        <v>149</v>
      </c>
      <c r="I2447" t="s">
        <v>36</v>
      </c>
      <c r="J2447" t="s">
        <v>37</v>
      </c>
      <c r="K2447" t="s">
        <v>48</v>
      </c>
      <c r="L2447" t="s">
        <v>49</v>
      </c>
      <c r="M2447" t="s">
        <v>140</v>
      </c>
      <c r="N2447">
        <v>224</v>
      </c>
      <c r="O2447">
        <v>7.6296252999999994E-2</v>
      </c>
      <c r="P2447">
        <v>7.4378474E-2</v>
      </c>
      <c r="Q2447" t="str">
        <f t="shared" si="76"/>
        <v>10-14</v>
      </c>
      <c r="R2447" t="str">
        <f t="shared" si="77"/>
        <v>[JQKLKuVuY61]|10-14|Male|DIAGNOSED_SUBNAT.T_1|CY2024Q3</v>
      </c>
    </row>
    <row r="2448" spans="4:18" x14ac:dyDescent="0.2">
      <c r="D2448" t="s">
        <v>72</v>
      </c>
      <c r="E2448" t="s">
        <v>73</v>
      </c>
      <c r="F2448" t="s">
        <v>74</v>
      </c>
      <c r="G2448" t="s">
        <v>148</v>
      </c>
      <c r="H2448" t="s">
        <v>149</v>
      </c>
      <c r="I2448" t="s">
        <v>38</v>
      </c>
      <c r="J2448" t="s">
        <v>39</v>
      </c>
      <c r="K2448" t="s">
        <v>48</v>
      </c>
      <c r="L2448" t="s">
        <v>49</v>
      </c>
      <c r="M2448" t="s">
        <v>140</v>
      </c>
      <c r="N2448">
        <v>613</v>
      </c>
      <c r="O2448">
        <v>9.9811349999999993E-2</v>
      </c>
      <c r="P2448">
        <v>7.4378474E-2</v>
      </c>
      <c r="Q2448" t="str">
        <f t="shared" si="76"/>
        <v>15-24</v>
      </c>
      <c r="R2448" t="str">
        <f t="shared" si="77"/>
        <v>[JQKLKuVuY61]|15-24|Male|DIAGNOSED_SUBNAT.T_1|CY2024Q3</v>
      </c>
    </row>
    <row r="2449" spans="4:18" x14ac:dyDescent="0.2">
      <c r="D2449" t="s">
        <v>72</v>
      </c>
      <c r="E2449" t="s">
        <v>73</v>
      </c>
      <c r="F2449" t="s">
        <v>74</v>
      </c>
      <c r="G2449" t="s">
        <v>148</v>
      </c>
      <c r="H2449" t="s">
        <v>149</v>
      </c>
      <c r="I2449" t="s">
        <v>41</v>
      </c>
      <c r="J2449" t="s">
        <v>42</v>
      </c>
      <c r="K2449" t="s">
        <v>48</v>
      </c>
      <c r="L2449" t="s">
        <v>49</v>
      </c>
      <c r="M2449" t="s">
        <v>140</v>
      </c>
      <c r="N2449">
        <v>761</v>
      </c>
      <c r="O2449">
        <v>0.102898057</v>
      </c>
      <c r="P2449">
        <v>7.4378474E-2</v>
      </c>
      <c r="Q2449" t="str">
        <f t="shared" si="76"/>
        <v>25-34</v>
      </c>
      <c r="R2449" t="str">
        <f t="shared" si="77"/>
        <v>[JQKLKuVuY61]|25-34|Male|DIAGNOSED_SUBNAT.T_1|CY2024Q3</v>
      </c>
    </row>
    <row r="2450" spans="4:18" x14ac:dyDescent="0.2">
      <c r="D2450" t="s">
        <v>72</v>
      </c>
      <c r="E2450" t="s">
        <v>73</v>
      </c>
      <c r="F2450" t="s">
        <v>74</v>
      </c>
      <c r="G2450" t="s">
        <v>148</v>
      </c>
      <c r="H2450" t="s">
        <v>149</v>
      </c>
      <c r="I2450" t="s">
        <v>43</v>
      </c>
      <c r="J2450" t="s">
        <v>44</v>
      </c>
      <c r="K2450" t="s">
        <v>48</v>
      </c>
      <c r="L2450" t="s">
        <v>49</v>
      </c>
      <c r="M2450" t="s">
        <v>140</v>
      </c>
      <c r="N2450">
        <v>3248</v>
      </c>
      <c r="O2450">
        <v>7.9863824E-2</v>
      </c>
      <c r="P2450">
        <v>7.4378474E-2</v>
      </c>
      <c r="Q2450" t="str">
        <f t="shared" si="76"/>
        <v>35-49</v>
      </c>
      <c r="R2450" t="str">
        <f t="shared" si="77"/>
        <v>[JQKLKuVuY61]|35-49|Male|DIAGNOSED_SUBNAT.T_1|CY2024Q3</v>
      </c>
    </row>
    <row r="2451" spans="4:18" x14ac:dyDescent="0.2">
      <c r="D2451" t="s">
        <v>72</v>
      </c>
      <c r="E2451" t="s">
        <v>73</v>
      </c>
      <c r="F2451" t="s">
        <v>74</v>
      </c>
      <c r="G2451" t="s">
        <v>148</v>
      </c>
      <c r="H2451" t="s">
        <v>149</v>
      </c>
      <c r="I2451" t="s">
        <v>45</v>
      </c>
      <c r="J2451" t="s">
        <v>46</v>
      </c>
      <c r="K2451" t="s">
        <v>48</v>
      </c>
      <c r="L2451" t="s">
        <v>49</v>
      </c>
      <c r="M2451" t="s">
        <v>140</v>
      </c>
      <c r="N2451">
        <v>2584</v>
      </c>
      <c r="O2451">
        <v>8.2941766E-2</v>
      </c>
      <c r="P2451">
        <v>7.4378474E-2</v>
      </c>
      <c r="Q2451" t="str">
        <f t="shared" si="76"/>
        <v>50+</v>
      </c>
      <c r="R2451" t="str">
        <f t="shared" si="77"/>
        <v>[JQKLKuVuY61]|50+|Male|DIAGNOSED_SUBNAT.T_1|CY2024Q3</v>
      </c>
    </row>
    <row r="2452" spans="4:18" x14ac:dyDescent="0.2">
      <c r="D2452" t="s">
        <v>75</v>
      </c>
      <c r="E2452" t="s">
        <v>76</v>
      </c>
      <c r="F2452" t="s">
        <v>77</v>
      </c>
      <c r="G2452" t="s">
        <v>148</v>
      </c>
      <c r="H2452" t="s">
        <v>149</v>
      </c>
      <c r="I2452" t="s">
        <v>28</v>
      </c>
      <c r="J2452" t="s">
        <v>29</v>
      </c>
      <c r="K2452" t="s">
        <v>30</v>
      </c>
      <c r="L2452" t="s">
        <v>31</v>
      </c>
      <c r="M2452" t="s">
        <v>140</v>
      </c>
      <c r="N2452">
        <v>5</v>
      </c>
      <c r="O2452">
        <v>9.2691959000000004E-2</v>
      </c>
      <c r="P2452">
        <v>8.0857076999999999E-2</v>
      </c>
      <c r="Q2452" t="str">
        <f t="shared" si="76"/>
        <v>&lt;01</v>
      </c>
      <c r="R2452" t="str">
        <f t="shared" si="77"/>
        <v>[YCKiBAp8QAg]|&lt;01|Female|DIAGNOSED_SUBNAT.T_1|CY2024Q3</v>
      </c>
    </row>
    <row r="2453" spans="4:18" x14ac:dyDescent="0.2">
      <c r="D2453" t="s">
        <v>75</v>
      </c>
      <c r="E2453" t="s">
        <v>76</v>
      </c>
      <c r="F2453" t="s">
        <v>77</v>
      </c>
      <c r="G2453" t="s">
        <v>148</v>
      </c>
      <c r="H2453" t="s">
        <v>149</v>
      </c>
      <c r="I2453" t="s">
        <v>33</v>
      </c>
      <c r="J2453" t="s">
        <v>34</v>
      </c>
      <c r="K2453" t="s">
        <v>30</v>
      </c>
      <c r="L2453" t="s">
        <v>31</v>
      </c>
      <c r="M2453" t="s">
        <v>140</v>
      </c>
      <c r="N2453">
        <v>108</v>
      </c>
      <c r="O2453">
        <v>9.0093752999999999E-2</v>
      </c>
      <c r="P2453">
        <v>8.0857076999999999E-2</v>
      </c>
      <c r="Q2453" t="str">
        <f t="shared" si="76"/>
        <v>01-09</v>
      </c>
      <c r="R2453" t="str">
        <f t="shared" si="77"/>
        <v>[YCKiBAp8QAg]|01-09|Female|DIAGNOSED_SUBNAT.T_1|CY2024Q3</v>
      </c>
    </row>
    <row r="2454" spans="4:18" x14ac:dyDescent="0.2">
      <c r="D2454" t="s">
        <v>75</v>
      </c>
      <c r="E2454" t="s">
        <v>76</v>
      </c>
      <c r="F2454" t="s">
        <v>77</v>
      </c>
      <c r="G2454" t="s">
        <v>148</v>
      </c>
      <c r="H2454" t="s">
        <v>149</v>
      </c>
      <c r="I2454" t="s">
        <v>36</v>
      </c>
      <c r="J2454" t="s">
        <v>37</v>
      </c>
      <c r="K2454" t="s">
        <v>30</v>
      </c>
      <c r="L2454" t="s">
        <v>31</v>
      </c>
      <c r="M2454" t="s">
        <v>140</v>
      </c>
      <c r="N2454">
        <v>146</v>
      </c>
      <c r="O2454">
        <v>8.7353630000000002E-2</v>
      </c>
      <c r="P2454">
        <v>8.0857076999999999E-2</v>
      </c>
      <c r="Q2454" t="str">
        <f t="shared" si="76"/>
        <v>10-14</v>
      </c>
      <c r="R2454" t="str">
        <f t="shared" si="77"/>
        <v>[YCKiBAp8QAg]|10-14|Female|DIAGNOSED_SUBNAT.T_1|CY2024Q3</v>
      </c>
    </row>
    <row r="2455" spans="4:18" x14ac:dyDescent="0.2">
      <c r="D2455" t="s">
        <v>75</v>
      </c>
      <c r="E2455" t="s">
        <v>76</v>
      </c>
      <c r="F2455" t="s">
        <v>77</v>
      </c>
      <c r="G2455" t="s">
        <v>148</v>
      </c>
      <c r="H2455" t="s">
        <v>149</v>
      </c>
      <c r="I2455" t="s">
        <v>38</v>
      </c>
      <c r="J2455" t="s">
        <v>39</v>
      </c>
      <c r="K2455" t="s">
        <v>30</v>
      </c>
      <c r="L2455" t="s">
        <v>31</v>
      </c>
      <c r="M2455" t="s">
        <v>140</v>
      </c>
      <c r="N2455">
        <v>609</v>
      </c>
      <c r="O2455">
        <v>0.105551019</v>
      </c>
      <c r="P2455">
        <v>8.0857076999999999E-2</v>
      </c>
      <c r="Q2455" t="str">
        <f t="shared" si="76"/>
        <v>15-24</v>
      </c>
      <c r="R2455" t="str">
        <f t="shared" si="77"/>
        <v>[YCKiBAp8QAg]|15-24|Female|DIAGNOSED_SUBNAT.T_1|CY2024Q3</v>
      </c>
    </row>
    <row r="2456" spans="4:18" x14ac:dyDescent="0.2">
      <c r="D2456" t="s">
        <v>75</v>
      </c>
      <c r="E2456" t="s">
        <v>76</v>
      </c>
      <c r="F2456" t="s">
        <v>77</v>
      </c>
      <c r="G2456" t="s">
        <v>148</v>
      </c>
      <c r="H2456" t="s">
        <v>149</v>
      </c>
      <c r="I2456" t="s">
        <v>41</v>
      </c>
      <c r="J2456" t="s">
        <v>42</v>
      </c>
      <c r="K2456" t="s">
        <v>30</v>
      </c>
      <c r="L2456" t="s">
        <v>31</v>
      </c>
      <c r="M2456" t="s">
        <v>140</v>
      </c>
      <c r="N2456">
        <v>1520</v>
      </c>
      <c r="O2456">
        <v>9.2490357999999995E-2</v>
      </c>
      <c r="P2456">
        <v>8.0857076999999999E-2</v>
      </c>
      <c r="Q2456" t="str">
        <f t="shared" si="76"/>
        <v>25-34</v>
      </c>
      <c r="R2456" t="str">
        <f t="shared" si="77"/>
        <v>[YCKiBAp8QAg]|25-34|Female|DIAGNOSED_SUBNAT.T_1|CY2024Q3</v>
      </c>
    </row>
    <row r="2457" spans="4:18" x14ac:dyDescent="0.2">
      <c r="D2457" t="s">
        <v>75</v>
      </c>
      <c r="E2457" t="s">
        <v>76</v>
      </c>
      <c r="F2457" t="s">
        <v>77</v>
      </c>
      <c r="G2457" t="s">
        <v>148</v>
      </c>
      <c r="H2457" t="s">
        <v>149</v>
      </c>
      <c r="I2457" t="s">
        <v>43</v>
      </c>
      <c r="J2457" t="s">
        <v>44</v>
      </c>
      <c r="K2457" t="s">
        <v>30</v>
      </c>
      <c r="L2457" t="s">
        <v>31</v>
      </c>
      <c r="M2457" t="s">
        <v>140</v>
      </c>
      <c r="N2457">
        <v>4000</v>
      </c>
      <c r="O2457">
        <v>8.2510186999999999E-2</v>
      </c>
      <c r="P2457">
        <v>8.0857076999999999E-2</v>
      </c>
      <c r="Q2457" t="str">
        <f t="shared" si="76"/>
        <v>35-49</v>
      </c>
      <c r="R2457" t="str">
        <f t="shared" si="77"/>
        <v>[YCKiBAp8QAg]|35-49|Female|DIAGNOSED_SUBNAT.T_1|CY2024Q3</v>
      </c>
    </row>
    <row r="2458" spans="4:18" x14ac:dyDescent="0.2">
      <c r="D2458" t="s">
        <v>75</v>
      </c>
      <c r="E2458" t="s">
        <v>76</v>
      </c>
      <c r="F2458" t="s">
        <v>77</v>
      </c>
      <c r="G2458" t="s">
        <v>148</v>
      </c>
      <c r="H2458" t="s">
        <v>149</v>
      </c>
      <c r="I2458" t="s">
        <v>45</v>
      </c>
      <c r="J2458" t="s">
        <v>46</v>
      </c>
      <c r="K2458" t="s">
        <v>30</v>
      </c>
      <c r="L2458" t="s">
        <v>31</v>
      </c>
      <c r="M2458" t="s">
        <v>140</v>
      </c>
      <c r="N2458">
        <v>1780</v>
      </c>
      <c r="O2458">
        <v>8.7667797000000006E-2</v>
      </c>
      <c r="P2458">
        <v>8.0857076999999999E-2</v>
      </c>
      <c r="Q2458" t="str">
        <f t="shared" si="76"/>
        <v>50+</v>
      </c>
      <c r="R2458" t="str">
        <f t="shared" si="77"/>
        <v>[YCKiBAp8QAg]|50+|Female|DIAGNOSED_SUBNAT.T_1|CY2024Q3</v>
      </c>
    </row>
    <row r="2459" spans="4:18" x14ac:dyDescent="0.2">
      <c r="D2459" t="s">
        <v>75</v>
      </c>
      <c r="E2459" t="s">
        <v>76</v>
      </c>
      <c r="F2459" t="s">
        <v>77</v>
      </c>
      <c r="G2459" t="s">
        <v>148</v>
      </c>
      <c r="H2459" t="s">
        <v>149</v>
      </c>
      <c r="I2459" t="s">
        <v>28</v>
      </c>
      <c r="J2459" t="s">
        <v>29</v>
      </c>
      <c r="K2459" t="s">
        <v>48</v>
      </c>
      <c r="L2459" t="s">
        <v>49</v>
      </c>
      <c r="M2459" t="s">
        <v>140</v>
      </c>
      <c r="N2459">
        <v>5</v>
      </c>
      <c r="O2459">
        <v>8.6271008999999996E-2</v>
      </c>
      <c r="P2459">
        <v>8.0857076999999999E-2</v>
      </c>
      <c r="Q2459" t="str">
        <f t="shared" si="76"/>
        <v>&lt;01</v>
      </c>
      <c r="R2459" t="str">
        <f t="shared" si="77"/>
        <v>[YCKiBAp8QAg]|&lt;01|Male|DIAGNOSED_SUBNAT.T_1|CY2024Q3</v>
      </c>
    </row>
    <row r="2460" spans="4:18" x14ac:dyDescent="0.2">
      <c r="D2460" t="s">
        <v>75</v>
      </c>
      <c r="E2460" t="s">
        <v>76</v>
      </c>
      <c r="F2460" t="s">
        <v>77</v>
      </c>
      <c r="G2460" t="s">
        <v>148</v>
      </c>
      <c r="H2460" t="s">
        <v>149</v>
      </c>
      <c r="I2460" t="s">
        <v>33</v>
      </c>
      <c r="J2460" t="s">
        <v>34</v>
      </c>
      <c r="K2460" t="s">
        <v>48</v>
      </c>
      <c r="L2460" t="s">
        <v>49</v>
      </c>
      <c r="M2460" t="s">
        <v>140</v>
      </c>
      <c r="N2460">
        <v>109</v>
      </c>
      <c r="O2460">
        <v>8.5942233000000007E-2</v>
      </c>
      <c r="P2460">
        <v>8.0857076999999999E-2</v>
      </c>
      <c r="Q2460" t="str">
        <f t="shared" si="76"/>
        <v>01-09</v>
      </c>
      <c r="R2460" t="str">
        <f t="shared" si="77"/>
        <v>[YCKiBAp8QAg]|01-09|Male|DIAGNOSED_SUBNAT.T_1|CY2024Q3</v>
      </c>
    </row>
    <row r="2461" spans="4:18" x14ac:dyDescent="0.2">
      <c r="D2461" t="s">
        <v>75</v>
      </c>
      <c r="E2461" t="s">
        <v>76</v>
      </c>
      <c r="F2461" t="s">
        <v>77</v>
      </c>
      <c r="G2461" t="s">
        <v>148</v>
      </c>
      <c r="H2461" t="s">
        <v>149</v>
      </c>
      <c r="I2461" t="s">
        <v>36</v>
      </c>
      <c r="J2461" t="s">
        <v>37</v>
      </c>
      <c r="K2461" t="s">
        <v>48</v>
      </c>
      <c r="L2461" t="s">
        <v>49</v>
      </c>
      <c r="M2461" t="s">
        <v>140</v>
      </c>
      <c r="N2461">
        <v>145</v>
      </c>
      <c r="O2461">
        <v>8.6187575000000002E-2</v>
      </c>
      <c r="P2461">
        <v>8.0857076999999999E-2</v>
      </c>
      <c r="Q2461" t="str">
        <f t="shared" si="76"/>
        <v>10-14</v>
      </c>
      <c r="R2461" t="str">
        <f t="shared" si="77"/>
        <v>[YCKiBAp8QAg]|10-14|Male|DIAGNOSED_SUBNAT.T_1|CY2024Q3</v>
      </c>
    </row>
    <row r="2462" spans="4:18" x14ac:dyDescent="0.2">
      <c r="D2462" t="s">
        <v>75</v>
      </c>
      <c r="E2462" t="s">
        <v>76</v>
      </c>
      <c r="F2462" t="s">
        <v>77</v>
      </c>
      <c r="G2462" t="s">
        <v>148</v>
      </c>
      <c r="H2462" t="s">
        <v>149</v>
      </c>
      <c r="I2462" t="s">
        <v>38</v>
      </c>
      <c r="J2462" t="s">
        <v>39</v>
      </c>
      <c r="K2462" t="s">
        <v>48</v>
      </c>
      <c r="L2462" t="s">
        <v>49</v>
      </c>
      <c r="M2462" t="s">
        <v>140</v>
      </c>
      <c r="N2462">
        <v>437</v>
      </c>
      <c r="O2462">
        <v>0.11008429</v>
      </c>
      <c r="P2462">
        <v>8.0857076999999999E-2</v>
      </c>
      <c r="Q2462" t="str">
        <f t="shared" si="76"/>
        <v>15-24</v>
      </c>
      <c r="R2462" t="str">
        <f t="shared" si="77"/>
        <v>[YCKiBAp8QAg]|15-24|Male|DIAGNOSED_SUBNAT.T_1|CY2024Q3</v>
      </c>
    </row>
    <row r="2463" spans="4:18" x14ac:dyDescent="0.2">
      <c r="D2463" t="s">
        <v>75</v>
      </c>
      <c r="E2463" t="s">
        <v>76</v>
      </c>
      <c r="F2463" t="s">
        <v>77</v>
      </c>
      <c r="G2463" t="s">
        <v>148</v>
      </c>
      <c r="H2463" t="s">
        <v>149</v>
      </c>
      <c r="I2463" t="s">
        <v>41</v>
      </c>
      <c r="J2463" t="s">
        <v>42</v>
      </c>
      <c r="K2463" t="s">
        <v>48</v>
      </c>
      <c r="L2463" t="s">
        <v>49</v>
      </c>
      <c r="M2463" t="s">
        <v>140</v>
      </c>
      <c r="N2463">
        <v>537</v>
      </c>
      <c r="O2463">
        <v>0.106305766</v>
      </c>
      <c r="P2463">
        <v>8.0857076999999999E-2</v>
      </c>
      <c r="Q2463" t="str">
        <f t="shared" si="76"/>
        <v>25-34</v>
      </c>
      <c r="R2463" t="str">
        <f t="shared" si="77"/>
        <v>[YCKiBAp8QAg]|25-34|Male|DIAGNOSED_SUBNAT.T_1|CY2024Q3</v>
      </c>
    </row>
    <row r="2464" spans="4:18" x14ac:dyDescent="0.2">
      <c r="D2464" t="s">
        <v>75</v>
      </c>
      <c r="E2464" t="s">
        <v>76</v>
      </c>
      <c r="F2464" t="s">
        <v>77</v>
      </c>
      <c r="G2464" t="s">
        <v>148</v>
      </c>
      <c r="H2464" t="s">
        <v>149</v>
      </c>
      <c r="I2464" t="s">
        <v>43</v>
      </c>
      <c r="J2464" t="s">
        <v>44</v>
      </c>
      <c r="K2464" t="s">
        <v>48</v>
      </c>
      <c r="L2464" t="s">
        <v>49</v>
      </c>
      <c r="M2464" t="s">
        <v>140</v>
      </c>
      <c r="N2464">
        <v>2189</v>
      </c>
      <c r="O2464">
        <v>8.7128921999999998E-2</v>
      </c>
      <c r="P2464">
        <v>8.0857076999999999E-2</v>
      </c>
      <c r="Q2464" t="str">
        <f t="shared" si="76"/>
        <v>35-49</v>
      </c>
      <c r="R2464" t="str">
        <f t="shared" si="77"/>
        <v>[YCKiBAp8QAg]|35-49|Male|DIAGNOSED_SUBNAT.T_1|CY2024Q3</v>
      </c>
    </row>
    <row r="2465" spans="4:18" x14ac:dyDescent="0.2">
      <c r="D2465" t="s">
        <v>75</v>
      </c>
      <c r="E2465" t="s">
        <v>76</v>
      </c>
      <c r="F2465" t="s">
        <v>77</v>
      </c>
      <c r="G2465" t="s">
        <v>148</v>
      </c>
      <c r="H2465" t="s">
        <v>149</v>
      </c>
      <c r="I2465" t="s">
        <v>45</v>
      </c>
      <c r="J2465" t="s">
        <v>46</v>
      </c>
      <c r="K2465" t="s">
        <v>48</v>
      </c>
      <c r="L2465" t="s">
        <v>49</v>
      </c>
      <c r="M2465" t="s">
        <v>140</v>
      </c>
      <c r="N2465">
        <v>1727</v>
      </c>
      <c r="O2465">
        <v>8.5373785999999993E-2</v>
      </c>
      <c r="P2465">
        <v>8.0857076999999999E-2</v>
      </c>
      <c r="Q2465" t="str">
        <f t="shared" si="76"/>
        <v>50+</v>
      </c>
      <c r="R2465" t="str">
        <f t="shared" si="77"/>
        <v>[YCKiBAp8QAg]|50+|Male|DIAGNOSED_SUBNAT.T_1|CY2024Q3</v>
      </c>
    </row>
    <row r="2466" spans="4:18" x14ac:dyDescent="0.2">
      <c r="D2466" t="s">
        <v>78</v>
      </c>
      <c r="E2466" t="s">
        <v>79</v>
      </c>
      <c r="F2466" t="s">
        <v>80</v>
      </c>
      <c r="G2466" t="s">
        <v>148</v>
      </c>
      <c r="H2466" t="s">
        <v>149</v>
      </c>
      <c r="I2466" t="s">
        <v>28</v>
      </c>
      <c r="J2466" t="s">
        <v>29</v>
      </c>
      <c r="K2466" t="s">
        <v>30</v>
      </c>
      <c r="L2466" t="s">
        <v>31</v>
      </c>
      <c r="M2466" t="s">
        <v>140</v>
      </c>
      <c r="N2466">
        <v>2</v>
      </c>
      <c r="O2466">
        <v>0.11925477399999999</v>
      </c>
      <c r="P2466">
        <v>9.7380993999999999E-2</v>
      </c>
      <c r="Q2466" t="str">
        <f t="shared" si="76"/>
        <v>&lt;01</v>
      </c>
      <c r="R2466" t="str">
        <f t="shared" si="77"/>
        <v>[fiRkU6gEjLz]|&lt;01|Female|DIAGNOSED_SUBNAT.T_1|CY2024Q3</v>
      </c>
    </row>
    <row r="2467" spans="4:18" x14ac:dyDescent="0.2">
      <c r="D2467" t="s">
        <v>78</v>
      </c>
      <c r="E2467" t="s">
        <v>79</v>
      </c>
      <c r="F2467" t="s">
        <v>80</v>
      </c>
      <c r="G2467" t="s">
        <v>148</v>
      </c>
      <c r="H2467" t="s">
        <v>149</v>
      </c>
      <c r="I2467" t="s">
        <v>33</v>
      </c>
      <c r="J2467" t="s">
        <v>34</v>
      </c>
      <c r="K2467" t="s">
        <v>30</v>
      </c>
      <c r="L2467" t="s">
        <v>31</v>
      </c>
      <c r="M2467" t="s">
        <v>140</v>
      </c>
      <c r="N2467">
        <v>38</v>
      </c>
      <c r="O2467">
        <v>0.117237338</v>
      </c>
      <c r="P2467">
        <v>9.7380993999999999E-2</v>
      </c>
      <c r="Q2467" t="str">
        <f t="shared" si="76"/>
        <v>01-09</v>
      </c>
      <c r="R2467" t="str">
        <f t="shared" si="77"/>
        <v>[fiRkU6gEjLz]|01-09|Female|DIAGNOSED_SUBNAT.T_1|CY2024Q3</v>
      </c>
    </row>
    <row r="2468" spans="4:18" x14ac:dyDescent="0.2">
      <c r="D2468" t="s">
        <v>78</v>
      </c>
      <c r="E2468" t="s">
        <v>79</v>
      </c>
      <c r="F2468" t="s">
        <v>80</v>
      </c>
      <c r="G2468" t="s">
        <v>148</v>
      </c>
      <c r="H2468" t="s">
        <v>149</v>
      </c>
      <c r="I2468" t="s">
        <v>36</v>
      </c>
      <c r="J2468" t="s">
        <v>37</v>
      </c>
      <c r="K2468" t="s">
        <v>30</v>
      </c>
      <c r="L2468" t="s">
        <v>31</v>
      </c>
      <c r="M2468" t="s">
        <v>140</v>
      </c>
      <c r="N2468">
        <v>52</v>
      </c>
      <c r="O2468">
        <v>0.114976571</v>
      </c>
      <c r="P2468">
        <v>9.7380993999999999E-2</v>
      </c>
      <c r="Q2468" t="str">
        <f t="shared" si="76"/>
        <v>10-14</v>
      </c>
      <c r="R2468" t="str">
        <f t="shared" si="77"/>
        <v>[fiRkU6gEjLz]|10-14|Female|DIAGNOSED_SUBNAT.T_1|CY2024Q3</v>
      </c>
    </row>
    <row r="2469" spans="4:18" x14ac:dyDescent="0.2">
      <c r="D2469" t="s">
        <v>78</v>
      </c>
      <c r="E2469" t="s">
        <v>79</v>
      </c>
      <c r="F2469" t="s">
        <v>80</v>
      </c>
      <c r="G2469" t="s">
        <v>148</v>
      </c>
      <c r="H2469" t="s">
        <v>149</v>
      </c>
      <c r="I2469" t="s">
        <v>38</v>
      </c>
      <c r="J2469" t="s">
        <v>39</v>
      </c>
      <c r="K2469" t="s">
        <v>30</v>
      </c>
      <c r="L2469" t="s">
        <v>31</v>
      </c>
      <c r="M2469" t="s">
        <v>140</v>
      </c>
      <c r="N2469">
        <v>209</v>
      </c>
      <c r="O2469">
        <v>0.115156364</v>
      </c>
      <c r="P2469">
        <v>9.7380993999999999E-2</v>
      </c>
      <c r="Q2469" t="str">
        <f t="shared" si="76"/>
        <v>15-24</v>
      </c>
      <c r="R2469" t="str">
        <f t="shared" si="77"/>
        <v>[fiRkU6gEjLz]|15-24|Female|DIAGNOSED_SUBNAT.T_1|CY2024Q3</v>
      </c>
    </row>
    <row r="2470" spans="4:18" x14ac:dyDescent="0.2">
      <c r="D2470" t="s">
        <v>78</v>
      </c>
      <c r="E2470" t="s">
        <v>79</v>
      </c>
      <c r="F2470" t="s">
        <v>80</v>
      </c>
      <c r="G2470" t="s">
        <v>148</v>
      </c>
      <c r="H2470" t="s">
        <v>149</v>
      </c>
      <c r="I2470" t="s">
        <v>41</v>
      </c>
      <c r="J2470" t="s">
        <v>42</v>
      </c>
      <c r="K2470" t="s">
        <v>30</v>
      </c>
      <c r="L2470" t="s">
        <v>31</v>
      </c>
      <c r="M2470" t="s">
        <v>140</v>
      </c>
      <c r="N2470">
        <v>535</v>
      </c>
      <c r="O2470">
        <v>0.108298719</v>
      </c>
      <c r="P2470">
        <v>9.7380993999999999E-2</v>
      </c>
      <c r="Q2470" t="str">
        <f t="shared" si="76"/>
        <v>25-34</v>
      </c>
      <c r="R2470" t="str">
        <f t="shared" si="77"/>
        <v>[fiRkU6gEjLz]|25-34|Female|DIAGNOSED_SUBNAT.T_1|CY2024Q3</v>
      </c>
    </row>
    <row r="2471" spans="4:18" x14ac:dyDescent="0.2">
      <c r="D2471" t="s">
        <v>78</v>
      </c>
      <c r="E2471" t="s">
        <v>79</v>
      </c>
      <c r="F2471" t="s">
        <v>80</v>
      </c>
      <c r="G2471" t="s">
        <v>148</v>
      </c>
      <c r="H2471" t="s">
        <v>149</v>
      </c>
      <c r="I2471" t="s">
        <v>43</v>
      </c>
      <c r="J2471" t="s">
        <v>44</v>
      </c>
      <c r="K2471" t="s">
        <v>30</v>
      </c>
      <c r="L2471" t="s">
        <v>31</v>
      </c>
      <c r="M2471" t="s">
        <v>140</v>
      </c>
      <c r="N2471">
        <v>1505</v>
      </c>
      <c r="O2471">
        <v>9.9085654999999995E-2</v>
      </c>
      <c r="P2471">
        <v>9.7380993999999999E-2</v>
      </c>
      <c r="Q2471" t="str">
        <f t="shared" si="76"/>
        <v>35-49</v>
      </c>
      <c r="R2471" t="str">
        <f t="shared" si="77"/>
        <v>[fiRkU6gEjLz]|35-49|Female|DIAGNOSED_SUBNAT.T_1|CY2024Q3</v>
      </c>
    </row>
    <row r="2472" spans="4:18" x14ac:dyDescent="0.2">
      <c r="D2472" t="s">
        <v>78</v>
      </c>
      <c r="E2472" t="s">
        <v>79</v>
      </c>
      <c r="F2472" t="s">
        <v>80</v>
      </c>
      <c r="G2472" t="s">
        <v>148</v>
      </c>
      <c r="H2472" t="s">
        <v>149</v>
      </c>
      <c r="I2472" t="s">
        <v>45</v>
      </c>
      <c r="J2472" t="s">
        <v>46</v>
      </c>
      <c r="K2472" t="s">
        <v>30</v>
      </c>
      <c r="L2472" t="s">
        <v>31</v>
      </c>
      <c r="M2472" t="s">
        <v>140</v>
      </c>
      <c r="N2472">
        <v>736</v>
      </c>
      <c r="O2472">
        <v>0.106241048</v>
      </c>
      <c r="P2472">
        <v>9.7380993999999999E-2</v>
      </c>
      <c r="Q2472" t="str">
        <f t="shared" si="76"/>
        <v>50+</v>
      </c>
      <c r="R2472" t="str">
        <f t="shared" si="77"/>
        <v>[fiRkU6gEjLz]|50+|Female|DIAGNOSED_SUBNAT.T_1|CY2024Q3</v>
      </c>
    </row>
    <row r="2473" spans="4:18" x14ac:dyDescent="0.2">
      <c r="D2473" t="s">
        <v>78</v>
      </c>
      <c r="E2473" t="s">
        <v>79</v>
      </c>
      <c r="F2473" t="s">
        <v>80</v>
      </c>
      <c r="G2473" t="s">
        <v>148</v>
      </c>
      <c r="H2473" t="s">
        <v>149</v>
      </c>
      <c r="I2473" t="s">
        <v>28</v>
      </c>
      <c r="J2473" t="s">
        <v>29</v>
      </c>
      <c r="K2473" t="s">
        <v>48</v>
      </c>
      <c r="L2473" t="s">
        <v>49</v>
      </c>
      <c r="M2473" t="s">
        <v>140</v>
      </c>
      <c r="N2473">
        <v>2</v>
      </c>
      <c r="O2473">
        <v>0.109247207</v>
      </c>
      <c r="P2473">
        <v>9.7380993999999999E-2</v>
      </c>
      <c r="Q2473" t="str">
        <f t="shared" si="76"/>
        <v>&lt;01</v>
      </c>
      <c r="R2473" t="str">
        <f t="shared" si="77"/>
        <v>[fiRkU6gEjLz]|&lt;01|Male|DIAGNOSED_SUBNAT.T_1|CY2024Q3</v>
      </c>
    </row>
    <row r="2474" spans="4:18" x14ac:dyDescent="0.2">
      <c r="D2474" t="s">
        <v>78</v>
      </c>
      <c r="E2474" t="s">
        <v>79</v>
      </c>
      <c r="F2474" t="s">
        <v>80</v>
      </c>
      <c r="G2474" t="s">
        <v>148</v>
      </c>
      <c r="H2474" t="s">
        <v>149</v>
      </c>
      <c r="I2474" t="s">
        <v>33</v>
      </c>
      <c r="J2474" t="s">
        <v>34</v>
      </c>
      <c r="K2474" t="s">
        <v>48</v>
      </c>
      <c r="L2474" t="s">
        <v>49</v>
      </c>
      <c r="M2474" t="s">
        <v>140</v>
      </c>
      <c r="N2474">
        <v>39</v>
      </c>
      <c r="O2474">
        <v>0.109496339</v>
      </c>
      <c r="P2474">
        <v>9.7380993999999999E-2</v>
      </c>
      <c r="Q2474" t="str">
        <f t="shared" si="76"/>
        <v>01-09</v>
      </c>
      <c r="R2474" t="str">
        <f t="shared" si="77"/>
        <v>[fiRkU6gEjLz]|01-09|Male|DIAGNOSED_SUBNAT.T_1|CY2024Q3</v>
      </c>
    </row>
    <row r="2475" spans="4:18" x14ac:dyDescent="0.2">
      <c r="D2475" t="s">
        <v>78</v>
      </c>
      <c r="E2475" t="s">
        <v>79</v>
      </c>
      <c r="F2475" t="s">
        <v>80</v>
      </c>
      <c r="G2475" t="s">
        <v>148</v>
      </c>
      <c r="H2475" t="s">
        <v>149</v>
      </c>
      <c r="I2475" t="s">
        <v>36</v>
      </c>
      <c r="J2475" t="s">
        <v>37</v>
      </c>
      <c r="K2475" t="s">
        <v>48</v>
      </c>
      <c r="L2475" t="s">
        <v>49</v>
      </c>
      <c r="M2475" t="s">
        <v>140</v>
      </c>
      <c r="N2475">
        <v>51</v>
      </c>
      <c r="O2475">
        <v>0.110369774</v>
      </c>
      <c r="P2475">
        <v>9.7380993999999999E-2</v>
      </c>
      <c r="Q2475" t="str">
        <f t="shared" si="76"/>
        <v>10-14</v>
      </c>
      <c r="R2475" t="str">
        <f t="shared" si="77"/>
        <v>[fiRkU6gEjLz]|10-14|Male|DIAGNOSED_SUBNAT.T_1|CY2024Q3</v>
      </c>
    </row>
    <row r="2476" spans="4:18" x14ac:dyDescent="0.2">
      <c r="D2476" t="s">
        <v>78</v>
      </c>
      <c r="E2476" t="s">
        <v>79</v>
      </c>
      <c r="F2476" t="s">
        <v>80</v>
      </c>
      <c r="G2476" t="s">
        <v>148</v>
      </c>
      <c r="H2476" t="s">
        <v>149</v>
      </c>
      <c r="I2476" t="s">
        <v>38</v>
      </c>
      <c r="J2476" t="s">
        <v>39</v>
      </c>
      <c r="K2476" t="s">
        <v>48</v>
      </c>
      <c r="L2476" t="s">
        <v>49</v>
      </c>
      <c r="M2476" t="s">
        <v>140</v>
      </c>
      <c r="N2476">
        <v>154</v>
      </c>
      <c r="O2476">
        <v>0.120453457</v>
      </c>
      <c r="P2476">
        <v>9.7380993999999999E-2</v>
      </c>
      <c r="Q2476" t="str">
        <f t="shared" si="76"/>
        <v>15-24</v>
      </c>
      <c r="R2476" t="str">
        <f t="shared" si="77"/>
        <v>[fiRkU6gEjLz]|15-24|Male|DIAGNOSED_SUBNAT.T_1|CY2024Q3</v>
      </c>
    </row>
    <row r="2477" spans="4:18" x14ac:dyDescent="0.2">
      <c r="D2477" t="s">
        <v>78</v>
      </c>
      <c r="E2477" t="s">
        <v>79</v>
      </c>
      <c r="F2477" t="s">
        <v>80</v>
      </c>
      <c r="G2477" t="s">
        <v>148</v>
      </c>
      <c r="H2477" t="s">
        <v>149</v>
      </c>
      <c r="I2477" t="s">
        <v>41</v>
      </c>
      <c r="J2477" t="s">
        <v>42</v>
      </c>
      <c r="K2477" t="s">
        <v>48</v>
      </c>
      <c r="L2477" t="s">
        <v>49</v>
      </c>
      <c r="M2477" t="s">
        <v>140</v>
      </c>
      <c r="N2477">
        <v>202</v>
      </c>
      <c r="O2477">
        <v>0.120765835</v>
      </c>
      <c r="P2477">
        <v>9.7380993999999999E-2</v>
      </c>
      <c r="Q2477" t="str">
        <f t="shared" si="76"/>
        <v>25-34</v>
      </c>
      <c r="R2477" t="str">
        <f t="shared" si="77"/>
        <v>[fiRkU6gEjLz]|25-34|Male|DIAGNOSED_SUBNAT.T_1|CY2024Q3</v>
      </c>
    </row>
    <row r="2478" spans="4:18" x14ac:dyDescent="0.2">
      <c r="D2478" t="s">
        <v>78</v>
      </c>
      <c r="E2478" t="s">
        <v>79</v>
      </c>
      <c r="F2478" t="s">
        <v>80</v>
      </c>
      <c r="G2478" t="s">
        <v>148</v>
      </c>
      <c r="H2478" t="s">
        <v>149</v>
      </c>
      <c r="I2478" t="s">
        <v>43</v>
      </c>
      <c r="J2478" t="s">
        <v>44</v>
      </c>
      <c r="K2478" t="s">
        <v>48</v>
      </c>
      <c r="L2478" t="s">
        <v>49</v>
      </c>
      <c r="M2478" t="s">
        <v>140</v>
      </c>
      <c r="N2478">
        <v>847</v>
      </c>
      <c r="O2478">
        <v>0.102989256</v>
      </c>
      <c r="P2478">
        <v>9.7380993999999999E-2</v>
      </c>
      <c r="Q2478" t="str">
        <f t="shared" si="76"/>
        <v>35-49</v>
      </c>
      <c r="R2478" t="str">
        <f t="shared" si="77"/>
        <v>[fiRkU6gEjLz]|35-49|Male|DIAGNOSED_SUBNAT.T_1|CY2024Q3</v>
      </c>
    </row>
    <row r="2479" spans="4:18" x14ac:dyDescent="0.2">
      <c r="D2479" t="s">
        <v>78</v>
      </c>
      <c r="E2479" t="s">
        <v>79</v>
      </c>
      <c r="F2479" t="s">
        <v>80</v>
      </c>
      <c r="G2479" t="s">
        <v>148</v>
      </c>
      <c r="H2479" t="s">
        <v>149</v>
      </c>
      <c r="I2479" t="s">
        <v>45</v>
      </c>
      <c r="J2479" t="s">
        <v>46</v>
      </c>
      <c r="K2479" t="s">
        <v>48</v>
      </c>
      <c r="L2479" t="s">
        <v>49</v>
      </c>
      <c r="M2479" t="s">
        <v>140</v>
      </c>
      <c r="N2479">
        <v>664</v>
      </c>
      <c r="O2479">
        <v>0.10245027499999999</v>
      </c>
      <c r="P2479">
        <v>9.7380993999999999E-2</v>
      </c>
      <c r="Q2479" t="str">
        <f t="shared" si="76"/>
        <v>50+</v>
      </c>
      <c r="R2479" t="str">
        <f t="shared" si="77"/>
        <v>[fiRkU6gEjLz]|50+|Male|DIAGNOSED_SUBNAT.T_1|CY2024Q3</v>
      </c>
    </row>
    <row r="2480" spans="4:18" x14ac:dyDescent="0.2">
      <c r="D2480" t="s">
        <v>81</v>
      </c>
      <c r="E2480" t="s">
        <v>82</v>
      </c>
      <c r="F2480" t="s">
        <v>83</v>
      </c>
      <c r="G2480" t="s">
        <v>148</v>
      </c>
      <c r="H2480" t="s">
        <v>149</v>
      </c>
      <c r="I2480" t="s">
        <v>28</v>
      </c>
      <c r="J2480" t="s">
        <v>29</v>
      </c>
      <c r="K2480" t="s">
        <v>30</v>
      </c>
      <c r="L2480" t="s">
        <v>31</v>
      </c>
      <c r="M2480" t="s">
        <v>140</v>
      </c>
      <c r="N2480">
        <v>5</v>
      </c>
      <c r="O2480">
        <v>0.105209155</v>
      </c>
      <c r="P2480">
        <v>8.4587411000000001E-2</v>
      </c>
      <c r="Q2480" t="str">
        <f t="shared" si="76"/>
        <v>&lt;01</v>
      </c>
      <c r="R2480" t="str">
        <f t="shared" si="77"/>
        <v>[zphK9WV8JB4]|&lt;01|Female|DIAGNOSED_SUBNAT.T_1|CY2024Q3</v>
      </c>
    </row>
    <row r="2481" spans="4:18" x14ac:dyDescent="0.2">
      <c r="D2481" t="s">
        <v>81</v>
      </c>
      <c r="E2481" t="s">
        <v>82</v>
      </c>
      <c r="F2481" t="s">
        <v>83</v>
      </c>
      <c r="G2481" t="s">
        <v>148</v>
      </c>
      <c r="H2481" t="s">
        <v>149</v>
      </c>
      <c r="I2481" t="s">
        <v>33</v>
      </c>
      <c r="J2481" t="s">
        <v>34</v>
      </c>
      <c r="K2481" t="s">
        <v>30</v>
      </c>
      <c r="L2481" t="s">
        <v>31</v>
      </c>
      <c r="M2481" t="s">
        <v>140</v>
      </c>
      <c r="N2481">
        <v>96</v>
      </c>
      <c r="O2481">
        <v>0.103505051</v>
      </c>
      <c r="P2481">
        <v>8.4587411000000001E-2</v>
      </c>
      <c r="Q2481" t="str">
        <f t="shared" si="76"/>
        <v>01-09</v>
      </c>
      <c r="R2481" t="str">
        <f t="shared" si="77"/>
        <v>[zphK9WV8JB4]|01-09|Female|DIAGNOSED_SUBNAT.T_1|CY2024Q3</v>
      </c>
    </row>
    <row r="2482" spans="4:18" x14ac:dyDescent="0.2">
      <c r="D2482" t="s">
        <v>81</v>
      </c>
      <c r="E2482" t="s">
        <v>82</v>
      </c>
      <c r="F2482" t="s">
        <v>83</v>
      </c>
      <c r="G2482" t="s">
        <v>148</v>
      </c>
      <c r="H2482" t="s">
        <v>149</v>
      </c>
      <c r="I2482" t="s">
        <v>36</v>
      </c>
      <c r="J2482" t="s">
        <v>37</v>
      </c>
      <c r="K2482" t="s">
        <v>30</v>
      </c>
      <c r="L2482" t="s">
        <v>31</v>
      </c>
      <c r="M2482" t="s">
        <v>140</v>
      </c>
      <c r="N2482">
        <v>133</v>
      </c>
      <c r="O2482">
        <v>0.101715439</v>
      </c>
      <c r="P2482">
        <v>8.4587411000000001E-2</v>
      </c>
      <c r="Q2482" t="str">
        <f t="shared" si="76"/>
        <v>10-14</v>
      </c>
      <c r="R2482" t="str">
        <f t="shared" si="77"/>
        <v>[zphK9WV8JB4]|10-14|Female|DIAGNOSED_SUBNAT.T_1|CY2024Q3</v>
      </c>
    </row>
    <row r="2483" spans="4:18" x14ac:dyDescent="0.2">
      <c r="D2483" t="s">
        <v>81</v>
      </c>
      <c r="E2483" t="s">
        <v>82</v>
      </c>
      <c r="F2483" t="s">
        <v>83</v>
      </c>
      <c r="G2483" t="s">
        <v>148</v>
      </c>
      <c r="H2483" t="s">
        <v>149</v>
      </c>
      <c r="I2483" t="s">
        <v>38</v>
      </c>
      <c r="J2483" t="s">
        <v>39</v>
      </c>
      <c r="K2483" t="s">
        <v>30</v>
      </c>
      <c r="L2483" t="s">
        <v>31</v>
      </c>
      <c r="M2483" t="s">
        <v>140</v>
      </c>
      <c r="N2483">
        <v>595</v>
      </c>
      <c r="O2483">
        <v>0.105675457</v>
      </c>
      <c r="P2483">
        <v>8.4587411000000001E-2</v>
      </c>
      <c r="Q2483" t="str">
        <f t="shared" si="76"/>
        <v>15-24</v>
      </c>
      <c r="R2483" t="str">
        <f t="shared" si="77"/>
        <v>[zphK9WV8JB4]|15-24|Female|DIAGNOSED_SUBNAT.T_1|CY2024Q3</v>
      </c>
    </row>
    <row r="2484" spans="4:18" x14ac:dyDescent="0.2">
      <c r="D2484" t="s">
        <v>81</v>
      </c>
      <c r="E2484" t="s">
        <v>82</v>
      </c>
      <c r="F2484" t="s">
        <v>83</v>
      </c>
      <c r="G2484" t="s">
        <v>148</v>
      </c>
      <c r="H2484" t="s">
        <v>149</v>
      </c>
      <c r="I2484" t="s">
        <v>41</v>
      </c>
      <c r="J2484" t="s">
        <v>42</v>
      </c>
      <c r="K2484" t="s">
        <v>30</v>
      </c>
      <c r="L2484" t="s">
        <v>31</v>
      </c>
      <c r="M2484" t="s">
        <v>140</v>
      </c>
      <c r="N2484">
        <v>1567</v>
      </c>
      <c r="O2484">
        <v>9.4988987999999996E-2</v>
      </c>
      <c r="P2484">
        <v>8.4587411000000001E-2</v>
      </c>
      <c r="Q2484" t="str">
        <f t="shared" si="76"/>
        <v>25-34</v>
      </c>
      <c r="R2484" t="str">
        <f t="shared" si="77"/>
        <v>[zphK9WV8JB4]|25-34|Female|DIAGNOSED_SUBNAT.T_1|CY2024Q3</v>
      </c>
    </row>
    <row r="2485" spans="4:18" x14ac:dyDescent="0.2">
      <c r="D2485" t="s">
        <v>81</v>
      </c>
      <c r="E2485" t="s">
        <v>82</v>
      </c>
      <c r="F2485" t="s">
        <v>83</v>
      </c>
      <c r="G2485" t="s">
        <v>148</v>
      </c>
      <c r="H2485" t="s">
        <v>149</v>
      </c>
      <c r="I2485" t="s">
        <v>43</v>
      </c>
      <c r="J2485" t="s">
        <v>44</v>
      </c>
      <c r="K2485" t="s">
        <v>30</v>
      </c>
      <c r="L2485" t="s">
        <v>31</v>
      </c>
      <c r="M2485" t="s">
        <v>140</v>
      </c>
      <c r="N2485">
        <v>4447</v>
      </c>
      <c r="O2485">
        <v>8.6024676999999994E-2</v>
      </c>
      <c r="P2485">
        <v>8.4587411000000001E-2</v>
      </c>
      <c r="Q2485" t="str">
        <f t="shared" si="76"/>
        <v>35-49</v>
      </c>
      <c r="R2485" t="str">
        <f t="shared" si="77"/>
        <v>[zphK9WV8JB4]|35-49|Female|DIAGNOSED_SUBNAT.T_1|CY2024Q3</v>
      </c>
    </row>
    <row r="2486" spans="4:18" x14ac:dyDescent="0.2">
      <c r="D2486" t="s">
        <v>81</v>
      </c>
      <c r="E2486" t="s">
        <v>82</v>
      </c>
      <c r="F2486" t="s">
        <v>83</v>
      </c>
      <c r="G2486" t="s">
        <v>148</v>
      </c>
      <c r="H2486" t="s">
        <v>149</v>
      </c>
      <c r="I2486" t="s">
        <v>45</v>
      </c>
      <c r="J2486" t="s">
        <v>46</v>
      </c>
      <c r="K2486" t="s">
        <v>30</v>
      </c>
      <c r="L2486" t="s">
        <v>31</v>
      </c>
      <c r="M2486" t="s">
        <v>140</v>
      </c>
      <c r="N2486">
        <v>2258</v>
      </c>
      <c r="O2486">
        <v>9.5008073999999998E-2</v>
      </c>
      <c r="P2486">
        <v>8.4587411000000001E-2</v>
      </c>
      <c r="Q2486" t="str">
        <f t="shared" si="76"/>
        <v>50+</v>
      </c>
      <c r="R2486" t="str">
        <f t="shared" si="77"/>
        <v>[zphK9WV8JB4]|50+|Female|DIAGNOSED_SUBNAT.T_1|CY2024Q3</v>
      </c>
    </row>
    <row r="2487" spans="4:18" x14ac:dyDescent="0.2">
      <c r="D2487" t="s">
        <v>81</v>
      </c>
      <c r="E2487" t="s">
        <v>82</v>
      </c>
      <c r="F2487" t="s">
        <v>83</v>
      </c>
      <c r="G2487" t="s">
        <v>148</v>
      </c>
      <c r="H2487" t="s">
        <v>149</v>
      </c>
      <c r="I2487" t="s">
        <v>28</v>
      </c>
      <c r="J2487" t="s">
        <v>29</v>
      </c>
      <c r="K2487" t="s">
        <v>48</v>
      </c>
      <c r="L2487" t="s">
        <v>49</v>
      </c>
      <c r="M2487" t="s">
        <v>140</v>
      </c>
      <c r="N2487">
        <v>5</v>
      </c>
      <c r="O2487">
        <v>9.7140389999999993E-2</v>
      </c>
      <c r="P2487">
        <v>8.4587411000000001E-2</v>
      </c>
      <c r="Q2487" t="str">
        <f t="shared" si="76"/>
        <v>&lt;01</v>
      </c>
      <c r="R2487" t="str">
        <f t="shared" si="77"/>
        <v>[zphK9WV8JB4]|&lt;01|Male|DIAGNOSED_SUBNAT.T_1|CY2024Q3</v>
      </c>
    </row>
    <row r="2488" spans="4:18" x14ac:dyDescent="0.2">
      <c r="D2488" t="s">
        <v>81</v>
      </c>
      <c r="E2488" t="s">
        <v>82</v>
      </c>
      <c r="F2488" t="s">
        <v>83</v>
      </c>
      <c r="G2488" t="s">
        <v>148</v>
      </c>
      <c r="H2488" t="s">
        <v>149</v>
      </c>
      <c r="I2488" t="s">
        <v>33</v>
      </c>
      <c r="J2488" t="s">
        <v>34</v>
      </c>
      <c r="K2488" t="s">
        <v>48</v>
      </c>
      <c r="L2488" t="s">
        <v>49</v>
      </c>
      <c r="M2488" t="s">
        <v>140</v>
      </c>
      <c r="N2488">
        <v>97</v>
      </c>
      <c r="O2488">
        <v>9.7411523E-2</v>
      </c>
      <c r="P2488">
        <v>8.4587411000000001E-2</v>
      </c>
      <c r="Q2488" t="str">
        <f t="shared" si="76"/>
        <v>01-09</v>
      </c>
      <c r="R2488" t="str">
        <f t="shared" si="77"/>
        <v>[zphK9WV8JB4]|01-09|Male|DIAGNOSED_SUBNAT.T_1|CY2024Q3</v>
      </c>
    </row>
    <row r="2489" spans="4:18" x14ac:dyDescent="0.2">
      <c r="D2489" t="s">
        <v>81</v>
      </c>
      <c r="E2489" t="s">
        <v>82</v>
      </c>
      <c r="F2489" t="s">
        <v>83</v>
      </c>
      <c r="G2489" t="s">
        <v>148</v>
      </c>
      <c r="H2489" t="s">
        <v>149</v>
      </c>
      <c r="I2489" t="s">
        <v>36</v>
      </c>
      <c r="J2489" t="s">
        <v>37</v>
      </c>
      <c r="K2489" t="s">
        <v>48</v>
      </c>
      <c r="L2489" t="s">
        <v>49</v>
      </c>
      <c r="M2489" t="s">
        <v>140</v>
      </c>
      <c r="N2489">
        <v>132</v>
      </c>
      <c r="O2489">
        <v>9.8384825999999995E-2</v>
      </c>
      <c r="P2489">
        <v>8.4587411000000001E-2</v>
      </c>
      <c r="Q2489" t="str">
        <f t="shared" si="76"/>
        <v>10-14</v>
      </c>
      <c r="R2489" t="str">
        <f t="shared" si="77"/>
        <v>[zphK9WV8JB4]|10-14|Male|DIAGNOSED_SUBNAT.T_1|CY2024Q3</v>
      </c>
    </row>
    <row r="2490" spans="4:18" x14ac:dyDescent="0.2">
      <c r="D2490" t="s">
        <v>81</v>
      </c>
      <c r="E2490" t="s">
        <v>82</v>
      </c>
      <c r="F2490" t="s">
        <v>83</v>
      </c>
      <c r="G2490" t="s">
        <v>148</v>
      </c>
      <c r="H2490" t="s">
        <v>149</v>
      </c>
      <c r="I2490" t="s">
        <v>38</v>
      </c>
      <c r="J2490" t="s">
        <v>39</v>
      </c>
      <c r="K2490" t="s">
        <v>48</v>
      </c>
      <c r="L2490" t="s">
        <v>49</v>
      </c>
      <c r="M2490" t="s">
        <v>140</v>
      </c>
      <c r="N2490">
        <v>439</v>
      </c>
      <c r="O2490">
        <v>0.113246792</v>
      </c>
      <c r="P2490">
        <v>8.4587411000000001E-2</v>
      </c>
      <c r="Q2490" t="str">
        <f t="shared" si="76"/>
        <v>15-24</v>
      </c>
      <c r="R2490" t="str">
        <f t="shared" si="77"/>
        <v>[zphK9WV8JB4]|15-24|Male|DIAGNOSED_SUBNAT.T_1|CY2024Q3</v>
      </c>
    </row>
    <row r="2491" spans="4:18" x14ac:dyDescent="0.2">
      <c r="D2491" t="s">
        <v>81</v>
      </c>
      <c r="E2491" t="s">
        <v>82</v>
      </c>
      <c r="F2491" t="s">
        <v>83</v>
      </c>
      <c r="G2491" t="s">
        <v>148</v>
      </c>
      <c r="H2491" t="s">
        <v>149</v>
      </c>
      <c r="I2491" t="s">
        <v>41</v>
      </c>
      <c r="J2491" t="s">
        <v>42</v>
      </c>
      <c r="K2491" t="s">
        <v>48</v>
      </c>
      <c r="L2491" t="s">
        <v>49</v>
      </c>
      <c r="M2491" t="s">
        <v>140</v>
      </c>
      <c r="N2491">
        <v>595</v>
      </c>
      <c r="O2491">
        <v>0.11023334</v>
      </c>
      <c r="P2491">
        <v>8.4587411000000001E-2</v>
      </c>
      <c r="Q2491" t="str">
        <f t="shared" si="76"/>
        <v>25-34</v>
      </c>
      <c r="R2491" t="str">
        <f t="shared" si="77"/>
        <v>[zphK9WV8JB4]|25-34|Male|DIAGNOSED_SUBNAT.T_1|CY2024Q3</v>
      </c>
    </row>
    <row r="2492" spans="4:18" x14ac:dyDescent="0.2">
      <c r="D2492" t="s">
        <v>81</v>
      </c>
      <c r="E2492" t="s">
        <v>82</v>
      </c>
      <c r="F2492" t="s">
        <v>83</v>
      </c>
      <c r="G2492" t="s">
        <v>148</v>
      </c>
      <c r="H2492" t="s">
        <v>149</v>
      </c>
      <c r="I2492" t="s">
        <v>43</v>
      </c>
      <c r="J2492" t="s">
        <v>44</v>
      </c>
      <c r="K2492" t="s">
        <v>48</v>
      </c>
      <c r="L2492" t="s">
        <v>49</v>
      </c>
      <c r="M2492" t="s">
        <v>140</v>
      </c>
      <c r="N2492">
        <v>2509</v>
      </c>
      <c r="O2492">
        <v>9.1174511999999999E-2</v>
      </c>
      <c r="P2492">
        <v>8.4587411000000001E-2</v>
      </c>
      <c r="Q2492" t="str">
        <f t="shared" si="76"/>
        <v>35-49</v>
      </c>
      <c r="R2492" t="str">
        <f t="shared" si="77"/>
        <v>[zphK9WV8JB4]|35-49|Male|DIAGNOSED_SUBNAT.T_1|CY2024Q3</v>
      </c>
    </row>
    <row r="2493" spans="4:18" x14ac:dyDescent="0.2">
      <c r="D2493" t="s">
        <v>81</v>
      </c>
      <c r="E2493" t="s">
        <v>82</v>
      </c>
      <c r="F2493" t="s">
        <v>83</v>
      </c>
      <c r="G2493" t="s">
        <v>148</v>
      </c>
      <c r="H2493" t="s">
        <v>149</v>
      </c>
      <c r="I2493" t="s">
        <v>45</v>
      </c>
      <c r="J2493" t="s">
        <v>46</v>
      </c>
      <c r="K2493" t="s">
        <v>48</v>
      </c>
      <c r="L2493" t="s">
        <v>49</v>
      </c>
      <c r="M2493" t="s">
        <v>140</v>
      </c>
      <c r="N2493">
        <v>2052</v>
      </c>
      <c r="O2493">
        <v>8.7394778000000006E-2</v>
      </c>
      <c r="P2493">
        <v>8.4587411000000001E-2</v>
      </c>
      <c r="Q2493" t="str">
        <f t="shared" si="76"/>
        <v>50+</v>
      </c>
      <c r="R2493" t="str">
        <f t="shared" si="77"/>
        <v>[zphK9WV8JB4]|50+|Male|DIAGNOSED_SUBNAT.T_1|CY2024Q3</v>
      </c>
    </row>
    <row r="2494" spans="4:18" x14ac:dyDescent="0.2">
      <c r="D2494" t="s">
        <v>84</v>
      </c>
      <c r="E2494" t="s">
        <v>85</v>
      </c>
      <c r="F2494" t="s">
        <v>86</v>
      </c>
      <c r="G2494" t="s">
        <v>148</v>
      </c>
      <c r="H2494" t="s">
        <v>149</v>
      </c>
      <c r="I2494" t="s">
        <v>28</v>
      </c>
      <c r="J2494" t="s">
        <v>29</v>
      </c>
      <c r="K2494" t="s">
        <v>30</v>
      </c>
      <c r="L2494" t="s">
        <v>31</v>
      </c>
      <c r="M2494" t="s">
        <v>140</v>
      </c>
      <c r="N2494">
        <v>9</v>
      </c>
      <c r="O2494">
        <v>7.2985826000000004E-2</v>
      </c>
      <c r="P2494">
        <v>6.6804671999999996E-2</v>
      </c>
      <c r="Q2494" t="str">
        <f t="shared" si="76"/>
        <v>&lt;01</v>
      </c>
      <c r="R2494" t="str">
        <f t="shared" si="77"/>
        <v>[msW2zpIN7up]|&lt;01|Female|DIAGNOSED_SUBNAT.T_1|CY2024Q3</v>
      </c>
    </row>
    <row r="2495" spans="4:18" x14ac:dyDescent="0.2">
      <c r="D2495" t="s">
        <v>84</v>
      </c>
      <c r="E2495" t="s">
        <v>85</v>
      </c>
      <c r="F2495" t="s">
        <v>86</v>
      </c>
      <c r="G2495" t="s">
        <v>148</v>
      </c>
      <c r="H2495" t="s">
        <v>149</v>
      </c>
      <c r="I2495" t="s">
        <v>33</v>
      </c>
      <c r="J2495" t="s">
        <v>34</v>
      </c>
      <c r="K2495" t="s">
        <v>30</v>
      </c>
      <c r="L2495" t="s">
        <v>31</v>
      </c>
      <c r="M2495" t="s">
        <v>140</v>
      </c>
      <c r="N2495">
        <v>186</v>
      </c>
      <c r="O2495">
        <v>7.1034236000000001E-2</v>
      </c>
      <c r="P2495">
        <v>6.6804671999999996E-2</v>
      </c>
      <c r="Q2495" t="str">
        <f t="shared" si="76"/>
        <v>01-09</v>
      </c>
      <c r="R2495" t="str">
        <f t="shared" si="77"/>
        <v>[msW2zpIN7up]|01-09|Female|DIAGNOSED_SUBNAT.T_1|CY2024Q3</v>
      </c>
    </row>
    <row r="2496" spans="4:18" x14ac:dyDescent="0.2">
      <c r="D2496" t="s">
        <v>84</v>
      </c>
      <c r="E2496" t="s">
        <v>85</v>
      </c>
      <c r="F2496" t="s">
        <v>86</v>
      </c>
      <c r="G2496" t="s">
        <v>148</v>
      </c>
      <c r="H2496" t="s">
        <v>149</v>
      </c>
      <c r="I2496" t="s">
        <v>36</v>
      </c>
      <c r="J2496" t="s">
        <v>37</v>
      </c>
      <c r="K2496" t="s">
        <v>30</v>
      </c>
      <c r="L2496" t="s">
        <v>31</v>
      </c>
      <c r="M2496" t="s">
        <v>140</v>
      </c>
      <c r="N2496">
        <v>241</v>
      </c>
      <c r="O2496">
        <v>6.9325460000000005E-2</v>
      </c>
      <c r="P2496">
        <v>6.6804671999999996E-2</v>
      </c>
      <c r="Q2496" t="str">
        <f t="shared" si="76"/>
        <v>10-14</v>
      </c>
      <c r="R2496" t="str">
        <f t="shared" si="77"/>
        <v>[msW2zpIN7up]|10-14|Female|DIAGNOSED_SUBNAT.T_1|CY2024Q3</v>
      </c>
    </row>
    <row r="2497" spans="4:18" x14ac:dyDescent="0.2">
      <c r="D2497" t="s">
        <v>84</v>
      </c>
      <c r="E2497" t="s">
        <v>85</v>
      </c>
      <c r="F2497" t="s">
        <v>86</v>
      </c>
      <c r="G2497" t="s">
        <v>148</v>
      </c>
      <c r="H2497" t="s">
        <v>149</v>
      </c>
      <c r="I2497" t="s">
        <v>38</v>
      </c>
      <c r="J2497" t="s">
        <v>39</v>
      </c>
      <c r="K2497" t="s">
        <v>30</v>
      </c>
      <c r="L2497" t="s">
        <v>31</v>
      </c>
      <c r="M2497" t="s">
        <v>140</v>
      </c>
      <c r="N2497">
        <v>918</v>
      </c>
      <c r="O2497">
        <v>9.3297315000000006E-2</v>
      </c>
      <c r="P2497">
        <v>6.6804671999999996E-2</v>
      </c>
      <c r="Q2497" t="str">
        <f t="shared" si="76"/>
        <v>15-24</v>
      </c>
      <c r="R2497" t="str">
        <f t="shared" si="77"/>
        <v>[msW2zpIN7up]|15-24|Female|DIAGNOSED_SUBNAT.T_1|CY2024Q3</v>
      </c>
    </row>
    <row r="2498" spans="4:18" x14ac:dyDescent="0.2">
      <c r="D2498" t="s">
        <v>84</v>
      </c>
      <c r="E2498" t="s">
        <v>85</v>
      </c>
      <c r="F2498" t="s">
        <v>86</v>
      </c>
      <c r="G2498" t="s">
        <v>148</v>
      </c>
      <c r="H2498" t="s">
        <v>149</v>
      </c>
      <c r="I2498" t="s">
        <v>41</v>
      </c>
      <c r="J2498" t="s">
        <v>42</v>
      </c>
      <c r="K2498" t="s">
        <v>30</v>
      </c>
      <c r="L2498" t="s">
        <v>31</v>
      </c>
      <c r="M2498" t="s">
        <v>140</v>
      </c>
      <c r="N2498">
        <v>2362</v>
      </c>
      <c r="O2498">
        <v>7.9198221999999999E-2</v>
      </c>
      <c r="P2498">
        <v>6.6804671999999996E-2</v>
      </c>
      <c r="Q2498" t="str">
        <f t="shared" si="76"/>
        <v>25-34</v>
      </c>
      <c r="R2498" t="str">
        <f t="shared" si="77"/>
        <v>[msW2zpIN7up]|25-34|Female|DIAGNOSED_SUBNAT.T_1|CY2024Q3</v>
      </c>
    </row>
    <row r="2499" spans="4:18" x14ac:dyDescent="0.2">
      <c r="D2499" t="s">
        <v>84</v>
      </c>
      <c r="E2499" t="s">
        <v>85</v>
      </c>
      <c r="F2499" t="s">
        <v>86</v>
      </c>
      <c r="G2499" t="s">
        <v>148</v>
      </c>
      <c r="H2499" t="s">
        <v>149</v>
      </c>
      <c r="I2499" t="s">
        <v>43</v>
      </c>
      <c r="J2499" t="s">
        <v>44</v>
      </c>
      <c r="K2499" t="s">
        <v>30</v>
      </c>
      <c r="L2499" t="s">
        <v>31</v>
      </c>
      <c r="M2499" t="s">
        <v>140</v>
      </c>
      <c r="N2499">
        <v>6137</v>
      </c>
      <c r="O2499">
        <v>6.6832876999999999E-2</v>
      </c>
      <c r="P2499">
        <v>6.6804671999999996E-2</v>
      </c>
      <c r="Q2499" t="str">
        <f t="shared" ref="Q2499:Q2562" si="78">SUBSTITUTE(SUBSTITUTE($I2499,CHAR(61),""),CHAR(34),"")</f>
        <v>35-49</v>
      </c>
      <c r="R2499" t="str">
        <f t="shared" ref="R2499:R2562" si="79">IF($D2499&lt;&gt;"","["&amp;$E2499&amp;"]"&amp;"|"&amp;$Q2499&amp;"|"&amp;$K2499&amp;"|"&amp;$G2499&amp;"|"&amp;IF($G2499="TX_CURR_SUBNAT.R","CY2023Q4",$M2499),"")</f>
        <v>[msW2zpIN7up]|35-49|Female|DIAGNOSED_SUBNAT.T_1|CY2024Q3</v>
      </c>
    </row>
    <row r="2500" spans="4:18" x14ac:dyDescent="0.2">
      <c r="D2500" t="s">
        <v>84</v>
      </c>
      <c r="E2500" t="s">
        <v>85</v>
      </c>
      <c r="F2500" t="s">
        <v>86</v>
      </c>
      <c r="G2500" t="s">
        <v>148</v>
      </c>
      <c r="H2500" t="s">
        <v>149</v>
      </c>
      <c r="I2500" t="s">
        <v>45</v>
      </c>
      <c r="J2500" t="s">
        <v>46</v>
      </c>
      <c r="K2500" t="s">
        <v>30</v>
      </c>
      <c r="L2500" t="s">
        <v>31</v>
      </c>
      <c r="M2500" t="s">
        <v>140</v>
      </c>
      <c r="N2500">
        <v>2777</v>
      </c>
      <c r="O2500">
        <v>7.4772006000000002E-2</v>
      </c>
      <c r="P2500">
        <v>6.6804671999999996E-2</v>
      </c>
      <c r="Q2500" t="str">
        <f t="shared" si="78"/>
        <v>50+</v>
      </c>
      <c r="R2500" t="str">
        <f t="shared" si="79"/>
        <v>[msW2zpIN7up]|50+|Female|DIAGNOSED_SUBNAT.T_1|CY2024Q3</v>
      </c>
    </row>
    <row r="2501" spans="4:18" x14ac:dyDescent="0.2">
      <c r="D2501" t="s">
        <v>84</v>
      </c>
      <c r="E2501" t="s">
        <v>85</v>
      </c>
      <c r="F2501" t="s">
        <v>86</v>
      </c>
      <c r="G2501" t="s">
        <v>148</v>
      </c>
      <c r="H2501" t="s">
        <v>149</v>
      </c>
      <c r="I2501" t="s">
        <v>28</v>
      </c>
      <c r="J2501" t="s">
        <v>29</v>
      </c>
      <c r="K2501" t="s">
        <v>48</v>
      </c>
      <c r="L2501" t="s">
        <v>49</v>
      </c>
      <c r="M2501" t="s">
        <v>140</v>
      </c>
      <c r="N2501">
        <v>9</v>
      </c>
      <c r="O2501">
        <v>6.8170301000000003E-2</v>
      </c>
      <c r="P2501">
        <v>6.6804671999999996E-2</v>
      </c>
      <c r="Q2501" t="str">
        <f t="shared" si="78"/>
        <v>&lt;01</v>
      </c>
      <c r="R2501" t="str">
        <f t="shared" si="79"/>
        <v>[msW2zpIN7up]|&lt;01|Male|DIAGNOSED_SUBNAT.T_1|CY2024Q3</v>
      </c>
    </row>
    <row r="2502" spans="4:18" x14ac:dyDescent="0.2">
      <c r="D2502" t="s">
        <v>84</v>
      </c>
      <c r="E2502" t="s">
        <v>85</v>
      </c>
      <c r="F2502" t="s">
        <v>86</v>
      </c>
      <c r="G2502" t="s">
        <v>148</v>
      </c>
      <c r="H2502" t="s">
        <v>149</v>
      </c>
      <c r="I2502" t="s">
        <v>33</v>
      </c>
      <c r="J2502" t="s">
        <v>34</v>
      </c>
      <c r="K2502" t="s">
        <v>48</v>
      </c>
      <c r="L2502" t="s">
        <v>49</v>
      </c>
      <c r="M2502" t="s">
        <v>140</v>
      </c>
      <c r="N2502">
        <v>188</v>
      </c>
      <c r="O2502">
        <v>6.8706588999999998E-2</v>
      </c>
      <c r="P2502">
        <v>6.6804671999999996E-2</v>
      </c>
      <c r="Q2502" t="str">
        <f t="shared" si="78"/>
        <v>01-09</v>
      </c>
      <c r="R2502" t="str">
        <f t="shared" si="79"/>
        <v>[msW2zpIN7up]|01-09|Male|DIAGNOSED_SUBNAT.T_1|CY2024Q3</v>
      </c>
    </row>
    <row r="2503" spans="4:18" x14ac:dyDescent="0.2">
      <c r="D2503" t="s">
        <v>84</v>
      </c>
      <c r="E2503" t="s">
        <v>85</v>
      </c>
      <c r="F2503" t="s">
        <v>86</v>
      </c>
      <c r="G2503" t="s">
        <v>148</v>
      </c>
      <c r="H2503" t="s">
        <v>149</v>
      </c>
      <c r="I2503" t="s">
        <v>36</v>
      </c>
      <c r="J2503" t="s">
        <v>37</v>
      </c>
      <c r="K2503" t="s">
        <v>48</v>
      </c>
      <c r="L2503" t="s">
        <v>49</v>
      </c>
      <c r="M2503" t="s">
        <v>140</v>
      </c>
      <c r="N2503">
        <v>241</v>
      </c>
      <c r="O2503">
        <v>7.0088583999999995E-2</v>
      </c>
      <c r="P2503">
        <v>6.6804671999999996E-2</v>
      </c>
      <c r="Q2503" t="str">
        <f t="shared" si="78"/>
        <v>10-14</v>
      </c>
      <c r="R2503" t="str">
        <f t="shared" si="79"/>
        <v>[msW2zpIN7up]|10-14|Male|DIAGNOSED_SUBNAT.T_1|CY2024Q3</v>
      </c>
    </row>
    <row r="2504" spans="4:18" x14ac:dyDescent="0.2">
      <c r="D2504" t="s">
        <v>84</v>
      </c>
      <c r="E2504" t="s">
        <v>85</v>
      </c>
      <c r="F2504" t="s">
        <v>86</v>
      </c>
      <c r="G2504" t="s">
        <v>148</v>
      </c>
      <c r="H2504" t="s">
        <v>149</v>
      </c>
      <c r="I2504" t="s">
        <v>38</v>
      </c>
      <c r="J2504" t="s">
        <v>39</v>
      </c>
      <c r="K2504" t="s">
        <v>48</v>
      </c>
      <c r="L2504" t="s">
        <v>49</v>
      </c>
      <c r="M2504" t="s">
        <v>140</v>
      </c>
      <c r="N2504">
        <v>625</v>
      </c>
      <c r="O2504">
        <v>9.6805554000000002E-2</v>
      </c>
      <c r="P2504">
        <v>6.6804671999999996E-2</v>
      </c>
      <c r="Q2504" t="str">
        <f t="shared" si="78"/>
        <v>15-24</v>
      </c>
      <c r="R2504" t="str">
        <f t="shared" si="79"/>
        <v>[msW2zpIN7up]|15-24|Male|DIAGNOSED_SUBNAT.T_1|CY2024Q3</v>
      </c>
    </row>
    <row r="2505" spans="4:18" x14ac:dyDescent="0.2">
      <c r="D2505" t="s">
        <v>84</v>
      </c>
      <c r="E2505" t="s">
        <v>85</v>
      </c>
      <c r="F2505" t="s">
        <v>86</v>
      </c>
      <c r="G2505" t="s">
        <v>148</v>
      </c>
      <c r="H2505" t="s">
        <v>149</v>
      </c>
      <c r="I2505" t="s">
        <v>41</v>
      </c>
      <c r="J2505" t="s">
        <v>42</v>
      </c>
      <c r="K2505" t="s">
        <v>48</v>
      </c>
      <c r="L2505" t="s">
        <v>49</v>
      </c>
      <c r="M2505" t="s">
        <v>140</v>
      </c>
      <c r="N2505">
        <v>734</v>
      </c>
      <c r="O2505">
        <v>0.100612496</v>
      </c>
      <c r="P2505">
        <v>6.6804671999999996E-2</v>
      </c>
      <c r="Q2505" t="str">
        <f t="shared" si="78"/>
        <v>25-34</v>
      </c>
      <c r="R2505" t="str">
        <f t="shared" si="79"/>
        <v>[msW2zpIN7up]|25-34|Male|DIAGNOSED_SUBNAT.T_1|CY2024Q3</v>
      </c>
    </row>
    <row r="2506" spans="4:18" x14ac:dyDescent="0.2">
      <c r="D2506" t="s">
        <v>84</v>
      </c>
      <c r="E2506" t="s">
        <v>85</v>
      </c>
      <c r="F2506" t="s">
        <v>86</v>
      </c>
      <c r="G2506" t="s">
        <v>148</v>
      </c>
      <c r="H2506" t="s">
        <v>149</v>
      </c>
      <c r="I2506" t="s">
        <v>43</v>
      </c>
      <c r="J2506" t="s">
        <v>44</v>
      </c>
      <c r="K2506" t="s">
        <v>48</v>
      </c>
      <c r="L2506" t="s">
        <v>49</v>
      </c>
      <c r="M2506" t="s">
        <v>140</v>
      </c>
      <c r="N2506">
        <v>3029</v>
      </c>
      <c r="O2506">
        <v>7.5550408999999999E-2</v>
      </c>
      <c r="P2506">
        <v>6.6804671999999996E-2</v>
      </c>
      <c r="Q2506" t="str">
        <f t="shared" si="78"/>
        <v>35-49</v>
      </c>
      <c r="R2506" t="str">
        <f t="shared" si="79"/>
        <v>[msW2zpIN7up]|35-49|Male|DIAGNOSED_SUBNAT.T_1|CY2024Q3</v>
      </c>
    </row>
    <row r="2507" spans="4:18" x14ac:dyDescent="0.2">
      <c r="D2507" t="s">
        <v>84</v>
      </c>
      <c r="E2507" t="s">
        <v>85</v>
      </c>
      <c r="F2507" t="s">
        <v>86</v>
      </c>
      <c r="G2507" t="s">
        <v>148</v>
      </c>
      <c r="H2507" t="s">
        <v>149</v>
      </c>
      <c r="I2507" t="s">
        <v>45</v>
      </c>
      <c r="J2507" t="s">
        <v>46</v>
      </c>
      <c r="K2507" t="s">
        <v>48</v>
      </c>
      <c r="L2507" t="s">
        <v>49</v>
      </c>
      <c r="M2507" t="s">
        <v>140</v>
      </c>
      <c r="N2507">
        <v>2240</v>
      </c>
      <c r="O2507">
        <v>7.3956337999999996E-2</v>
      </c>
      <c r="P2507">
        <v>6.6804671999999996E-2</v>
      </c>
      <c r="Q2507" t="str">
        <f t="shared" si="78"/>
        <v>50+</v>
      </c>
      <c r="R2507" t="str">
        <f t="shared" si="79"/>
        <v>[msW2zpIN7up]|50+|Male|DIAGNOSED_SUBNAT.T_1|CY2024Q3</v>
      </c>
    </row>
    <row r="2508" spans="4:18" x14ac:dyDescent="0.2">
      <c r="D2508" t="s">
        <v>87</v>
      </c>
      <c r="E2508" t="s">
        <v>88</v>
      </c>
      <c r="F2508" t="s">
        <v>89</v>
      </c>
      <c r="G2508" t="s">
        <v>148</v>
      </c>
      <c r="H2508" t="s">
        <v>149</v>
      </c>
      <c r="I2508" t="s">
        <v>28</v>
      </c>
      <c r="J2508" t="s">
        <v>29</v>
      </c>
      <c r="K2508" t="s">
        <v>30</v>
      </c>
      <c r="L2508" t="s">
        <v>31</v>
      </c>
      <c r="M2508" t="s">
        <v>140</v>
      </c>
      <c r="N2508">
        <v>48</v>
      </c>
      <c r="O2508">
        <v>2.9217507E-2</v>
      </c>
      <c r="P2508">
        <v>1.8289906000000002E-2</v>
      </c>
      <c r="Q2508" t="str">
        <f t="shared" si="78"/>
        <v>&lt;01</v>
      </c>
      <c r="R2508" t="str">
        <f t="shared" si="79"/>
        <v>[ScR9iFKAasW]|&lt;01|Female|DIAGNOSED_SUBNAT.T_1|CY2024Q3</v>
      </c>
    </row>
    <row r="2509" spans="4:18" x14ac:dyDescent="0.2">
      <c r="D2509" t="s">
        <v>87</v>
      </c>
      <c r="E2509" t="s">
        <v>88</v>
      </c>
      <c r="F2509" t="s">
        <v>89</v>
      </c>
      <c r="G2509" t="s">
        <v>148</v>
      </c>
      <c r="H2509" t="s">
        <v>149</v>
      </c>
      <c r="I2509" t="s">
        <v>33</v>
      </c>
      <c r="J2509" t="s">
        <v>34</v>
      </c>
      <c r="K2509" t="s">
        <v>30</v>
      </c>
      <c r="L2509" t="s">
        <v>31</v>
      </c>
      <c r="M2509" t="s">
        <v>140</v>
      </c>
      <c r="N2509">
        <v>900</v>
      </c>
      <c r="O2509">
        <v>2.7372200999999999E-2</v>
      </c>
      <c r="P2509">
        <v>1.8289906000000002E-2</v>
      </c>
      <c r="Q2509" t="str">
        <f t="shared" si="78"/>
        <v>01-09</v>
      </c>
      <c r="R2509" t="str">
        <f t="shared" si="79"/>
        <v>[ScR9iFKAasW]|01-09|Female|DIAGNOSED_SUBNAT.T_1|CY2024Q3</v>
      </c>
    </row>
    <row r="2510" spans="4:18" x14ac:dyDescent="0.2">
      <c r="D2510" t="s">
        <v>87</v>
      </c>
      <c r="E2510" t="s">
        <v>88</v>
      </c>
      <c r="F2510" t="s">
        <v>89</v>
      </c>
      <c r="G2510" t="s">
        <v>148</v>
      </c>
      <c r="H2510" t="s">
        <v>149</v>
      </c>
      <c r="I2510" t="s">
        <v>36</v>
      </c>
      <c r="J2510" t="s">
        <v>37</v>
      </c>
      <c r="K2510" t="s">
        <v>30</v>
      </c>
      <c r="L2510" t="s">
        <v>31</v>
      </c>
      <c r="M2510" t="s">
        <v>140</v>
      </c>
      <c r="N2510">
        <v>1119</v>
      </c>
      <c r="O2510">
        <v>2.6331067E-2</v>
      </c>
      <c r="P2510">
        <v>1.8289906000000002E-2</v>
      </c>
      <c r="Q2510" t="str">
        <f t="shared" si="78"/>
        <v>10-14</v>
      </c>
      <c r="R2510" t="str">
        <f t="shared" si="79"/>
        <v>[ScR9iFKAasW]|10-14|Female|DIAGNOSED_SUBNAT.T_1|CY2024Q3</v>
      </c>
    </row>
    <row r="2511" spans="4:18" x14ac:dyDescent="0.2">
      <c r="D2511" t="s">
        <v>87</v>
      </c>
      <c r="E2511" t="s">
        <v>88</v>
      </c>
      <c r="F2511" t="s">
        <v>89</v>
      </c>
      <c r="G2511" t="s">
        <v>148</v>
      </c>
      <c r="H2511" t="s">
        <v>149</v>
      </c>
      <c r="I2511" t="s">
        <v>38</v>
      </c>
      <c r="J2511" t="s">
        <v>39</v>
      </c>
      <c r="K2511" t="s">
        <v>30</v>
      </c>
      <c r="L2511" t="s">
        <v>31</v>
      </c>
      <c r="M2511" t="s">
        <v>140</v>
      </c>
      <c r="N2511">
        <v>5313</v>
      </c>
      <c r="O2511">
        <v>6.0362367E-2</v>
      </c>
      <c r="P2511">
        <v>1.8289906000000002E-2</v>
      </c>
      <c r="Q2511" t="str">
        <f t="shared" si="78"/>
        <v>15-24</v>
      </c>
      <c r="R2511" t="str">
        <f t="shared" si="79"/>
        <v>[ScR9iFKAasW]|15-24|Female|DIAGNOSED_SUBNAT.T_1|CY2024Q3</v>
      </c>
    </row>
    <row r="2512" spans="4:18" x14ac:dyDescent="0.2">
      <c r="D2512" t="s">
        <v>87</v>
      </c>
      <c r="E2512" t="s">
        <v>88</v>
      </c>
      <c r="F2512" t="s">
        <v>89</v>
      </c>
      <c r="G2512" t="s">
        <v>148</v>
      </c>
      <c r="H2512" t="s">
        <v>149</v>
      </c>
      <c r="I2512" t="s">
        <v>41</v>
      </c>
      <c r="J2512" t="s">
        <v>42</v>
      </c>
      <c r="K2512" t="s">
        <v>30</v>
      </c>
      <c r="L2512" t="s">
        <v>31</v>
      </c>
      <c r="M2512" t="s">
        <v>140</v>
      </c>
      <c r="N2512">
        <v>16312</v>
      </c>
      <c r="O2512">
        <v>3.7395609000000003E-2</v>
      </c>
      <c r="P2512">
        <v>1.8289906000000002E-2</v>
      </c>
      <c r="Q2512" t="str">
        <f t="shared" si="78"/>
        <v>25-34</v>
      </c>
      <c r="R2512" t="str">
        <f t="shared" si="79"/>
        <v>[ScR9iFKAasW]|25-34|Female|DIAGNOSED_SUBNAT.T_1|CY2024Q3</v>
      </c>
    </row>
    <row r="2513" spans="4:18" x14ac:dyDescent="0.2">
      <c r="D2513" t="s">
        <v>87</v>
      </c>
      <c r="E2513" t="s">
        <v>88</v>
      </c>
      <c r="F2513" t="s">
        <v>89</v>
      </c>
      <c r="G2513" t="s">
        <v>148</v>
      </c>
      <c r="H2513" t="s">
        <v>149</v>
      </c>
      <c r="I2513" t="s">
        <v>43</v>
      </c>
      <c r="J2513" t="s">
        <v>44</v>
      </c>
      <c r="K2513" t="s">
        <v>30</v>
      </c>
      <c r="L2513" t="s">
        <v>31</v>
      </c>
      <c r="M2513" t="s">
        <v>140</v>
      </c>
      <c r="N2513">
        <v>38765</v>
      </c>
      <c r="O2513">
        <v>2.470257E-2</v>
      </c>
      <c r="P2513">
        <v>1.8289906000000002E-2</v>
      </c>
      <c r="Q2513" t="str">
        <f t="shared" si="78"/>
        <v>35-49</v>
      </c>
      <c r="R2513" t="str">
        <f t="shared" si="79"/>
        <v>[ScR9iFKAasW]|35-49|Female|DIAGNOSED_SUBNAT.T_1|CY2024Q3</v>
      </c>
    </row>
    <row r="2514" spans="4:18" x14ac:dyDescent="0.2">
      <c r="D2514" t="s">
        <v>87</v>
      </c>
      <c r="E2514" t="s">
        <v>88</v>
      </c>
      <c r="F2514" t="s">
        <v>89</v>
      </c>
      <c r="G2514" t="s">
        <v>148</v>
      </c>
      <c r="H2514" t="s">
        <v>149</v>
      </c>
      <c r="I2514" t="s">
        <v>45</v>
      </c>
      <c r="J2514" t="s">
        <v>46</v>
      </c>
      <c r="K2514" t="s">
        <v>30</v>
      </c>
      <c r="L2514" t="s">
        <v>31</v>
      </c>
      <c r="M2514" t="s">
        <v>140</v>
      </c>
      <c r="N2514">
        <v>13440</v>
      </c>
      <c r="O2514">
        <v>4.5484981000000001E-2</v>
      </c>
      <c r="P2514">
        <v>1.8289906000000002E-2</v>
      </c>
      <c r="Q2514" t="str">
        <f t="shared" si="78"/>
        <v>50+</v>
      </c>
      <c r="R2514" t="str">
        <f t="shared" si="79"/>
        <v>[ScR9iFKAasW]|50+|Female|DIAGNOSED_SUBNAT.T_1|CY2024Q3</v>
      </c>
    </row>
    <row r="2515" spans="4:18" x14ac:dyDescent="0.2">
      <c r="D2515" t="s">
        <v>87</v>
      </c>
      <c r="E2515" t="s">
        <v>88</v>
      </c>
      <c r="F2515" t="s">
        <v>89</v>
      </c>
      <c r="G2515" t="s">
        <v>148</v>
      </c>
      <c r="H2515" t="s">
        <v>149</v>
      </c>
      <c r="I2515" t="s">
        <v>28</v>
      </c>
      <c r="J2515" t="s">
        <v>29</v>
      </c>
      <c r="K2515" t="s">
        <v>48</v>
      </c>
      <c r="L2515" t="s">
        <v>49</v>
      </c>
      <c r="M2515" t="s">
        <v>140</v>
      </c>
      <c r="N2515">
        <v>49</v>
      </c>
      <c r="O2515">
        <v>2.379676E-2</v>
      </c>
      <c r="P2515">
        <v>1.8289906000000002E-2</v>
      </c>
      <c r="Q2515" t="str">
        <f t="shared" si="78"/>
        <v>&lt;01</v>
      </c>
      <c r="R2515" t="str">
        <f t="shared" si="79"/>
        <v>[ScR9iFKAasW]|&lt;01|Male|DIAGNOSED_SUBNAT.T_1|CY2024Q3</v>
      </c>
    </row>
    <row r="2516" spans="4:18" x14ac:dyDescent="0.2">
      <c r="D2516" t="s">
        <v>87</v>
      </c>
      <c r="E2516" t="s">
        <v>88</v>
      </c>
      <c r="F2516" t="s">
        <v>89</v>
      </c>
      <c r="G2516" t="s">
        <v>148</v>
      </c>
      <c r="H2516" t="s">
        <v>149</v>
      </c>
      <c r="I2516" t="s">
        <v>33</v>
      </c>
      <c r="J2516" t="s">
        <v>34</v>
      </c>
      <c r="K2516" t="s">
        <v>48</v>
      </c>
      <c r="L2516" t="s">
        <v>49</v>
      </c>
      <c r="M2516" t="s">
        <v>140</v>
      </c>
      <c r="N2516">
        <v>902</v>
      </c>
      <c r="O2516">
        <v>2.4763866999999998E-2</v>
      </c>
      <c r="P2516">
        <v>1.8289906000000002E-2</v>
      </c>
      <c r="Q2516" t="str">
        <f t="shared" si="78"/>
        <v>01-09</v>
      </c>
      <c r="R2516" t="str">
        <f t="shared" si="79"/>
        <v>[ScR9iFKAasW]|01-09|Male|DIAGNOSED_SUBNAT.T_1|CY2024Q3</v>
      </c>
    </row>
    <row r="2517" spans="4:18" x14ac:dyDescent="0.2">
      <c r="D2517" t="s">
        <v>87</v>
      </c>
      <c r="E2517" t="s">
        <v>88</v>
      </c>
      <c r="F2517" t="s">
        <v>89</v>
      </c>
      <c r="G2517" t="s">
        <v>148</v>
      </c>
      <c r="H2517" t="s">
        <v>149</v>
      </c>
      <c r="I2517" t="s">
        <v>36</v>
      </c>
      <c r="J2517" t="s">
        <v>37</v>
      </c>
      <c r="K2517" t="s">
        <v>48</v>
      </c>
      <c r="L2517" t="s">
        <v>49</v>
      </c>
      <c r="M2517" t="s">
        <v>140</v>
      </c>
      <c r="N2517">
        <v>1088</v>
      </c>
      <c r="O2517">
        <v>2.7579703000000001E-2</v>
      </c>
      <c r="P2517">
        <v>1.8289906000000002E-2</v>
      </c>
      <c r="Q2517" t="str">
        <f t="shared" si="78"/>
        <v>10-14</v>
      </c>
      <c r="R2517" t="str">
        <f t="shared" si="79"/>
        <v>[ScR9iFKAasW]|10-14|Male|DIAGNOSED_SUBNAT.T_1|CY2024Q3</v>
      </c>
    </row>
    <row r="2518" spans="4:18" x14ac:dyDescent="0.2">
      <c r="D2518" t="s">
        <v>87</v>
      </c>
      <c r="E2518" t="s">
        <v>88</v>
      </c>
      <c r="F2518" t="s">
        <v>89</v>
      </c>
      <c r="G2518" t="s">
        <v>148</v>
      </c>
      <c r="H2518" t="s">
        <v>149</v>
      </c>
      <c r="I2518" t="s">
        <v>38</v>
      </c>
      <c r="J2518" t="s">
        <v>39</v>
      </c>
      <c r="K2518" t="s">
        <v>48</v>
      </c>
      <c r="L2518" t="s">
        <v>49</v>
      </c>
      <c r="M2518" t="s">
        <v>140</v>
      </c>
      <c r="N2518">
        <v>3574</v>
      </c>
      <c r="O2518">
        <v>7.1942701999999997E-2</v>
      </c>
      <c r="P2518">
        <v>1.8289906000000002E-2</v>
      </c>
      <c r="Q2518" t="str">
        <f t="shared" si="78"/>
        <v>15-24</v>
      </c>
      <c r="R2518" t="str">
        <f t="shared" si="79"/>
        <v>[ScR9iFKAasW]|15-24|Male|DIAGNOSED_SUBNAT.T_1|CY2024Q3</v>
      </c>
    </row>
    <row r="2519" spans="4:18" x14ac:dyDescent="0.2">
      <c r="D2519" t="s">
        <v>87</v>
      </c>
      <c r="E2519" t="s">
        <v>88</v>
      </c>
      <c r="F2519" t="s">
        <v>89</v>
      </c>
      <c r="G2519" t="s">
        <v>148</v>
      </c>
      <c r="H2519" t="s">
        <v>149</v>
      </c>
      <c r="I2519" t="s">
        <v>41</v>
      </c>
      <c r="J2519" t="s">
        <v>42</v>
      </c>
      <c r="K2519" t="s">
        <v>48</v>
      </c>
      <c r="L2519" t="s">
        <v>49</v>
      </c>
      <c r="M2519" t="s">
        <v>140</v>
      </c>
      <c r="N2519">
        <v>6066</v>
      </c>
      <c r="O2519">
        <v>6.3970590999999993E-2</v>
      </c>
      <c r="P2519">
        <v>1.8289906000000002E-2</v>
      </c>
      <c r="Q2519" t="str">
        <f t="shared" si="78"/>
        <v>25-34</v>
      </c>
      <c r="R2519" t="str">
        <f t="shared" si="79"/>
        <v>[ScR9iFKAasW]|25-34|Male|DIAGNOSED_SUBNAT.T_1|CY2024Q3</v>
      </c>
    </row>
    <row r="2520" spans="4:18" x14ac:dyDescent="0.2">
      <c r="D2520" t="s">
        <v>87</v>
      </c>
      <c r="E2520" t="s">
        <v>88</v>
      </c>
      <c r="F2520" t="s">
        <v>89</v>
      </c>
      <c r="G2520" t="s">
        <v>148</v>
      </c>
      <c r="H2520" t="s">
        <v>149</v>
      </c>
      <c r="I2520" t="s">
        <v>43</v>
      </c>
      <c r="J2520" t="s">
        <v>44</v>
      </c>
      <c r="K2520" t="s">
        <v>48</v>
      </c>
      <c r="L2520" t="s">
        <v>49</v>
      </c>
      <c r="M2520" t="s">
        <v>140</v>
      </c>
      <c r="N2520">
        <v>23827</v>
      </c>
      <c r="O2520">
        <v>2.9432972000000002E-2</v>
      </c>
      <c r="P2520">
        <v>1.8289906000000002E-2</v>
      </c>
      <c r="Q2520" t="str">
        <f t="shared" si="78"/>
        <v>35-49</v>
      </c>
      <c r="R2520" t="str">
        <f t="shared" si="79"/>
        <v>[ScR9iFKAasW]|35-49|Male|DIAGNOSED_SUBNAT.T_1|CY2024Q3</v>
      </c>
    </row>
    <row r="2521" spans="4:18" x14ac:dyDescent="0.2">
      <c r="D2521" t="s">
        <v>87</v>
      </c>
      <c r="E2521" t="s">
        <v>88</v>
      </c>
      <c r="F2521" t="s">
        <v>89</v>
      </c>
      <c r="G2521" t="s">
        <v>148</v>
      </c>
      <c r="H2521" t="s">
        <v>149</v>
      </c>
      <c r="I2521" t="s">
        <v>45</v>
      </c>
      <c r="J2521" t="s">
        <v>46</v>
      </c>
      <c r="K2521" t="s">
        <v>48</v>
      </c>
      <c r="L2521" t="s">
        <v>49</v>
      </c>
      <c r="M2521" t="s">
        <v>140</v>
      </c>
      <c r="N2521">
        <v>13417</v>
      </c>
      <c r="O2521">
        <v>4.2405247E-2</v>
      </c>
      <c r="P2521">
        <v>1.8289906000000002E-2</v>
      </c>
      <c r="Q2521" t="str">
        <f t="shared" si="78"/>
        <v>50+</v>
      </c>
      <c r="R2521" t="str">
        <f t="shared" si="79"/>
        <v>[ScR9iFKAasW]|50+|Male|DIAGNOSED_SUBNAT.T_1|CY2024Q3</v>
      </c>
    </row>
    <row r="2522" spans="4:18" x14ac:dyDescent="0.2">
      <c r="D2522" t="s">
        <v>90</v>
      </c>
      <c r="E2522" t="s">
        <v>91</v>
      </c>
      <c r="F2522" t="s">
        <v>92</v>
      </c>
      <c r="G2522" t="s">
        <v>148</v>
      </c>
      <c r="H2522" t="s">
        <v>149</v>
      </c>
      <c r="I2522" t="s">
        <v>28</v>
      </c>
      <c r="J2522" t="s">
        <v>29</v>
      </c>
      <c r="K2522" t="s">
        <v>30</v>
      </c>
      <c r="L2522" t="s">
        <v>31</v>
      </c>
      <c r="M2522" t="s">
        <v>140</v>
      </c>
      <c r="N2522">
        <v>7</v>
      </c>
      <c r="O2522">
        <v>7.9337777999999998E-2</v>
      </c>
      <c r="P2522">
        <v>5.6400119999999998E-2</v>
      </c>
      <c r="Q2522" t="str">
        <f t="shared" si="78"/>
        <v>&lt;01</v>
      </c>
      <c r="R2522" t="str">
        <f t="shared" si="79"/>
        <v>[kxuuIFpOXyO]|&lt;01|Female|DIAGNOSED_SUBNAT.T_1|CY2024Q3</v>
      </c>
    </row>
    <row r="2523" spans="4:18" x14ac:dyDescent="0.2">
      <c r="D2523" t="s">
        <v>90</v>
      </c>
      <c r="E2523" t="s">
        <v>91</v>
      </c>
      <c r="F2523" t="s">
        <v>92</v>
      </c>
      <c r="G2523" t="s">
        <v>148</v>
      </c>
      <c r="H2523" t="s">
        <v>149</v>
      </c>
      <c r="I2523" t="s">
        <v>33</v>
      </c>
      <c r="J2523" t="s">
        <v>34</v>
      </c>
      <c r="K2523" t="s">
        <v>30</v>
      </c>
      <c r="L2523" t="s">
        <v>31</v>
      </c>
      <c r="M2523" t="s">
        <v>140</v>
      </c>
      <c r="N2523">
        <v>136</v>
      </c>
      <c r="O2523">
        <v>7.7286272000000003E-2</v>
      </c>
      <c r="P2523">
        <v>5.6400119999999998E-2</v>
      </c>
      <c r="Q2523" t="str">
        <f t="shared" si="78"/>
        <v>01-09</v>
      </c>
      <c r="R2523" t="str">
        <f t="shared" si="79"/>
        <v>[kxuuIFpOXyO]|01-09|Female|DIAGNOSED_SUBNAT.T_1|CY2024Q3</v>
      </c>
    </row>
    <row r="2524" spans="4:18" x14ac:dyDescent="0.2">
      <c r="D2524" t="s">
        <v>90</v>
      </c>
      <c r="E2524" t="s">
        <v>91</v>
      </c>
      <c r="F2524" t="s">
        <v>92</v>
      </c>
      <c r="G2524" t="s">
        <v>148</v>
      </c>
      <c r="H2524" t="s">
        <v>149</v>
      </c>
      <c r="I2524" t="s">
        <v>36</v>
      </c>
      <c r="J2524" t="s">
        <v>37</v>
      </c>
      <c r="K2524" t="s">
        <v>30</v>
      </c>
      <c r="L2524" t="s">
        <v>31</v>
      </c>
      <c r="M2524" t="s">
        <v>140</v>
      </c>
      <c r="N2524">
        <v>184</v>
      </c>
      <c r="O2524">
        <v>7.6168427999999996E-2</v>
      </c>
      <c r="P2524">
        <v>5.6400119999999998E-2</v>
      </c>
      <c r="Q2524" t="str">
        <f t="shared" si="78"/>
        <v>10-14</v>
      </c>
      <c r="R2524" t="str">
        <f t="shared" si="79"/>
        <v>[kxuuIFpOXyO]|10-14|Female|DIAGNOSED_SUBNAT.T_1|CY2024Q3</v>
      </c>
    </row>
    <row r="2525" spans="4:18" x14ac:dyDescent="0.2">
      <c r="D2525" t="s">
        <v>90</v>
      </c>
      <c r="E2525" t="s">
        <v>91</v>
      </c>
      <c r="F2525" t="s">
        <v>92</v>
      </c>
      <c r="G2525" t="s">
        <v>148</v>
      </c>
      <c r="H2525" t="s">
        <v>149</v>
      </c>
      <c r="I2525" t="s">
        <v>38</v>
      </c>
      <c r="J2525" t="s">
        <v>39</v>
      </c>
      <c r="K2525" t="s">
        <v>30</v>
      </c>
      <c r="L2525" t="s">
        <v>31</v>
      </c>
      <c r="M2525" t="s">
        <v>140</v>
      </c>
      <c r="N2525">
        <v>797</v>
      </c>
      <c r="O2525">
        <v>8.8204177999999994E-2</v>
      </c>
      <c r="P2525">
        <v>5.6400119999999998E-2</v>
      </c>
      <c r="Q2525" t="str">
        <f t="shared" si="78"/>
        <v>15-24</v>
      </c>
      <c r="R2525" t="str">
        <f t="shared" si="79"/>
        <v>[kxuuIFpOXyO]|15-24|Female|DIAGNOSED_SUBNAT.T_1|CY2024Q3</v>
      </c>
    </row>
    <row r="2526" spans="4:18" x14ac:dyDescent="0.2">
      <c r="D2526" t="s">
        <v>90</v>
      </c>
      <c r="E2526" t="s">
        <v>91</v>
      </c>
      <c r="F2526" t="s">
        <v>92</v>
      </c>
      <c r="G2526" t="s">
        <v>148</v>
      </c>
      <c r="H2526" t="s">
        <v>149</v>
      </c>
      <c r="I2526" t="s">
        <v>41</v>
      </c>
      <c r="J2526" t="s">
        <v>42</v>
      </c>
      <c r="K2526" t="s">
        <v>30</v>
      </c>
      <c r="L2526" t="s">
        <v>31</v>
      </c>
      <c r="M2526" t="s">
        <v>140</v>
      </c>
      <c r="N2526">
        <v>2118</v>
      </c>
      <c r="O2526">
        <v>7.1182495999999998E-2</v>
      </c>
      <c r="P2526">
        <v>5.6400119999999998E-2</v>
      </c>
      <c r="Q2526" t="str">
        <f t="shared" si="78"/>
        <v>25-34</v>
      </c>
      <c r="R2526" t="str">
        <f t="shared" si="79"/>
        <v>[kxuuIFpOXyO]|25-34|Female|DIAGNOSED_SUBNAT.T_1|CY2024Q3</v>
      </c>
    </row>
    <row r="2527" spans="4:18" x14ac:dyDescent="0.2">
      <c r="D2527" t="s">
        <v>90</v>
      </c>
      <c r="E2527" t="s">
        <v>91</v>
      </c>
      <c r="F2527" t="s">
        <v>92</v>
      </c>
      <c r="G2527" t="s">
        <v>148</v>
      </c>
      <c r="H2527" t="s">
        <v>149</v>
      </c>
      <c r="I2527" t="s">
        <v>43</v>
      </c>
      <c r="J2527" t="s">
        <v>44</v>
      </c>
      <c r="K2527" t="s">
        <v>30</v>
      </c>
      <c r="L2527" t="s">
        <v>31</v>
      </c>
      <c r="M2527" t="s">
        <v>140</v>
      </c>
      <c r="N2527">
        <v>5665</v>
      </c>
      <c r="O2527">
        <v>5.8513410000000002E-2</v>
      </c>
      <c r="P2527">
        <v>5.6400119999999998E-2</v>
      </c>
      <c r="Q2527" t="str">
        <f t="shared" si="78"/>
        <v>35-49</v>
      </c>
      <c r="R2527" t="str">
        <f t="shared" si="79"/>
        <v>[kxuuIFpOXyO]|35-49|Female|DIAGNOSED_SUBNAT.T_1|CY2024Q3</v>
      </c>
    </row>
    <row r="2528" spans="4:18" x14ac:dyDescent="0.2">
      <c r="D2528" t="s">
        <v>90</v>
      </c>
      <c r="E2528" t="s">
        <v>91</v>
      </c>
      <c r="F2528" t="s">
        <v>92</v>
      </c>
      <c r="G2528" t="s">
        <v>148</v>
      </c>
      <c r="H2528" t="s">
        <v>149</v>
      </c>
      <c r="I2528" t="s">
        <v>45</v>
      </c>
      <c r="J2528" t="s">
        <v>46</v>
      </c>
      <c r="K2528" t="s">
        <v>30</v>
      </c>
      <c r="L2528" t="s">
        <v>31</v>
      </c>
      <c r="M2528" t="s">
        <v>140</v>
      </c>
      <c r="N2528">
        <v>2656</v>
      </c>
      <c r="O2528">
        <v>6.9560809000000001E-2</v>
      </c>
      <c r="P2528">
        <v>5.6400119999999998E-2</v>
      </c>
      <c r="Q2528" t="str">
        <f t="shared" si="78"/>
        <v>50+</v>
      </c>
      <c r="R2528" t="str">
        <f t="shared" si="79"/>
        <v>[kxuuIFpOXyO]|50+|Female|DIAGNOSED_SUBNAT.T_1|CY2024Q3</v>
      </c>
    </row>
    <row r="2529" spans="4:18" x14ac:dyDescent="0.2">
      <c r="D2529" t="s">
        <v>90</v>
      </c>
      <c r="E2529" t="s">
        <v>91</v>
      </c>
      <c r="F2529" t="s">
        <v>92</v>
      </c>
      <c r="G2529" t="s">
        <v>148</v>
      </c>
      <c r="H2529" t="s">
        <v>149</v>
      </c>
      <c r="I2529" t="s">
        <v>28</v>
      </c>
      <c r="J2529" t="s">
        <v>29</v>
      </c>
      <c r="K2529" t="s">
        <v>48</v>
      </c>
      <c r="L2529" t="s">
        <v>49</v>
      </c>
      <c r="M2529" t="s">
        <v>140</v>
      </c>
      <c r="N2529">
        <v>7</v>
      </c>
      <c r="O2529">
        <v>7.0183181999999997E-2</v>
      </c>
      <c r="P2529">
        <v>5.6400119999999998E-2</v>
      </c>
      <c r="Q2529" t="str">
        <f t="shared" si="78"/>
        <v>&lt;01</v>
      </c>
      <c r="R2529" t="str">
        <f t="shared" si="79"/>
        <v>[kxuuIFpOXyO]|&lt;01|Male|DIAGNOSED_SUBNAT.T_1|CY2024Q3</v>
      </c>
    </row>
    <row r="2530" spans="4:18" x14ac:dyDescent="0.2">
      <c r="D2530" t="s">
        <v>90</v>
      </c>
      <c r="E2530" t="s">
        <v>91</v>
      </c>
      <c r="F2530" t="s">
        <v>92</v>
      </c>
      <c r="G2530" t="s">
        <v>148</v>
      </c>
      <c r="H2530" t="s">
        <v>149</v>
      </c>
      <c r="I2530" t="s">
        <v>33</v>
      </c>
      <c r="J2530" t="s">
        <v>34</v>
      </c>
      <c r="K2530" t="s">
        <v>48</v>
      </c>
      <c r="L2530" t="s">
        <v>49</v>
      </c>
      <c r="M2530" t="s">
        <v>140</v>
      </c>
      <c r="N2530">
        <v>136</v>
      </c>
      <c r="O2530">
        <v>7.2282280000000004E-2</v>
      </c>
      <c r="P2530">
        <v>5.6400119999999998E-2</v>
      </c>
      <c r="Q2530" t="str">
        <f t="shared" si="78"/>
        <v>01-09</v>
      </c>
      <c r="R2530" t="str">
        <f t="shared" si="79"/>
        <v>[kxuuIFpOXyO]|01-09|Male|DIAGNOSED_SUBNAT.T_1|CY2024Q3</v>
      </c>
    </row>
    <row r="2531" spans="4:18" x14ac:dyDescent="0.2">
      <c r="D2531" t="s">
        <v>90</v>
      </c>
      <c r="E2531" t="s">
        <v>91</v>
      </c>
      <c r="F2531" t="s">
        <v>92</v>
      </c>
      <c r="G2531" t="s">
        <v>148</v>
      </c>
      <c r="H2531" t="s">
        <v>149</v>
      </c>
      <c r="I2531" t="s">
        <v>36</v>
      </c>
      <c r="J2531" t="s">
        <v>37</v>
      </c>
      <c r="K2531" t="s">
        <v>48</v>
      </c>
      <c r="L2531" t="s">
        <v>49</v>
      </c>
      <c r="M2531" t="s">
        <v>140</v>
      </c>
      <c r="N2531">
        <v>183</v>
      </c>
      <c r="O2531">
        <v>7.6483727000000001E-2</v>
      </c>
      <c r="P2531">
        <v>5.6400119999999998E-2</v>
      </c>
      <c r="Q2531" t="str">
        <f t="shared" si="78"/>
        <v>10-14</v>
      </c>
      <c r="R2531" t="str">
        <f t="shared" si="79"/>
        <v>[kxuuIFpOXyO]|10-14|Male|DIAGNOSED_SUBNAT.T_1|CY2024Q3</v>
      </c>
    </row>
    <row r="2532" spans="4:18" x14ac:dyDescent="0.2">
      <c r="D2532" t="s">
        <v>90</v>
      </c>
      <c r="E2532" t="s">
        <v>91</v>
      </c>
      <c r="F2532" t="s">
        <v>92</v>
      </c>
      <c r="G2532" t="s">
        <v>148</v>
      </c>
      <c r="H2532" t="s">
        <v>149</v>
      </c>
      <c r="I2532" t="s">
        <v>38</v>
      </c>
      <c r="J2532" t="s">
        <v>39</v>
      </c>
      <c r="K2532" t="s">
        <v>48</v>
      </c>
      <c r="L2532" t="s">
        <v>49</v>
      </c>
      <c r="M2532" t="s">
        <v>140</v>
      </c>
      <c r="N2532">
        <v>584</v>
      </c>
      <c r="O2532">
        <v>9.5170969999999994E-2</v>
      </c>
      <c r="P2532">
        <v>5.6400119999999998E-2</v>
      </c>
      <c r="Q2532" t="str">
        <f t="shared" si="78"/>
        <v>15-24</v>
      </c>
      <c r="R2532" t="str">
        <f t="shared" si="79"/>
        <v>[kxuuIFpOXyO]|15-24|Male|DIAGNOSED_SUBNAT.T_1|CY2024Q3</v>
      </c>
    </row>
    <row r="2533" spans="4:18" x14ac:dyDescent="0.2">
      <c r="D2533" t="s">
        <v>90</v>
      </c>
      <c r="E2533" t="s">
        <v>91</v>
      </c>
      <c r="F2533" t="s">
        <v>92</v>
      </c>
      <c r="G2533" t="s">
        <v>148</v>
      </c>
      <c r="H2533" t="s">
        <v>149</v>
      </c>
      <c r="I2533" t="s">
        <v>41</v>
      </c>
      <c r="J2533" t="s">
        <v>42</v>
      </c>
      <c r="K2533" t="s">
        <v>48</v>
      </c>
      <c r="L2533" t="s">
        <v>49</v>
      </c>
      <c r="M2533" t="s">
        <v>140</v>
      </c>
      <c r="N2533">
        <v>790</v>
      </c>
      <c r="O2533">
        <v>8.5897122000000006E-2</v>
      </c>
      <c r="P2533">
        <v>5.6400119999999998E-2</v>
      </c>
      <c r="Q2533" t="str">
        <f t="shared" si="78"/>
        <v>25-34</v>
      </c>
      <c r="R2533" t="str">
        <f t="shared" si="79"/>
        <v>[kxuuIFpOXyO]|25-34|Male|DIAGNOSED_SUBNAT.T_1|CY2024Q3</v>
      </c>
    </row>
    <row r="2534" spans="4:18" x14ac:dyDescent="0.2">
      <c r="D2534" t="s">
        <v>90</v>
      </c>
      <c r="E2534" t="s">
        <v>91</v>
      </c>
      <c r="F2534" t="s">
        <v>92</v>
      </c>
      <c r="G2534" t="s">
        <v>148</v>
      </c>
      <c r="H2534" t="s">
        <v>149</v>
      </c>
      <c r="I2534" t="s">
        <v>43</v>
      </c>
      <c r="J2534" t="s">
        <v>44</v>
      </c>
      <c r="K2534" t="s">
        <v>48</v>
      </c>
      <c r="L2534" t="s">
        <v>49</v>
      </c>
      <c r="M2534" t="s">
        <v>140</v>
      </c>
      <c r="N2534">
        <v>3222</v>
      </c>
      <c r="O2534">
        <v>6.3557675999999994E-2</v>
      </c>
      <c r="P2534">
        <v>5.6400119999999998E-2</v>
      </c>
      <c r="Q2534" t="str">
        <f t="shared" si="78"/>
        <v>35-49</v>
      </c>
      <c r="R2534" t="str">
        <f t="shared" si="79"/>
        <v>[kxuuIFpOXyO]|35-49|Male|DIAGNOSED_SUBNAT.T_1|CY2024Q3</v>
      </c>
    </row>
    <row r="2535" spans="4:18" x14ac:dyDescent="0.2">
      <c r="D2535" t="s">
        <v>90</v>
      </c>
      <c r="E2535" t="s">
        <v>91</v>
      </c>
      <c r="F2535" t="s">
        <v>92</v>
      </c>
      <c r="G2535" t="s">
        <v>148</v>
      </c>
      <c r="H2535" t="s">
        <v>149</v>
      </c>
      <c r="I2535" t="s">
        <v>45</v>
      </c>
      <c r="J2535" t="s">
        <v>46</v>
      </c>
      <c r="K2535" t="s">
        <v>48</v>
      </c>
      <c r="L2535" t="s">
        <v>49</v>
      </c>
      <c r="M2535" t="s">
        <v>140</v>
      </c>
      <c r="N2535">
        <v>2493</v>
      </c>
      <c r="O2535">
        <v>6.1444673999999998E-2</v>
      </c>
      <c r="P2535">
        <v>5.6400119999999998E-2</v>
      </c>
      <c r="Q2535" t="str">
        <f t="shared" si="78"/>
        <v>50+</v>
      </c>
      <c r="R2535" t="str">
        <f t="shared" si="79"/>
        <v>[kxuuIFpOXyO]|50+|Male|DIAGNOSED_SUBNAT.T_1|CY2024Q3</v>
      </c>
    </row>
    <row r="2536" spans="4:18" x14ac:dyDescent="0.2">
      <c r="D2536" t="s">
        <v>93</v>
      </c>
      <c r="E2536" t="s">
        <v>94</v>
      </c>
      <c r="F2536" t="s">
        <v>95</v>
      </c>
      <c r="G2536" t="s">
        <v>148</v>
      </c>
      <c r="H2536" t="s">
        <v>149</v>
      </c>
      <c r="I2536" t="s">
        <v>28</v>
      </c>
      <c r="J2536" t="s">
        <v>29</v>
      </c>
      <c r="K2536" t="s">
        <v>30</v>
      </c>
      <c r="L2536" t="s">
        <v>31</v>
      </c>
      <c r="M2536" t="s">
        <v>140</v>
      </c>
      <c r="N2536">
        <v>7</v>
      </c>
      <c r="O2536">
        <v>0.116146474</v>
      </c>
      <c r="P2536">
        <v>8.6933778000000003E-2</v>
      </c>
      <c r="Q2536" t="str">
        <f t="shared" si="78"/>
        <v>&lt;01</v>
      </c>
      <c r="R2536" t="str">
        <f t="shared" si="79"/>
        <v>[PekKUkKHAzY]|&lt;01|Female|DIAGNOSED_SUBNAT.T_1|CY2024Q3</v>
      </c>
    </row>
    <row r="2537" spans="4:18" x14ac:dyDescent="0.2">
      <c r="D2537" t="s">
        <v>93</v>
      </c>
      <c r="E2537" t="s">
        <v>94</v>
      </c>
      <c r="F2537" t="s">
        <v>95</v>
      </c>
      <c r="G2537" t="s">
        <v>148</v>
      </c>
      <c r="H2537" t="s">
        <v>149</v>
      </c>
      <c r="I2537" t="s">
        <v>33</v>
      </c>
      <c r="J2537" t="s">
        <v>34</v>
      </c>
      <c r="K2537" t="s">
        <v>30</v>
      </c>
      <c r="L2537" t="s">
        <v>31</v>
      </c>
      <c r="M2537" t="s">
        <v>140</v>
      </c>
      <c r="N2537">
        <v>152</v>
      </c>
      <c r="O2537">
        <v>0.114857765</v>
      </c>
      <c r="P2537">
        <v>8.6933778000000003E-2</v>
      </c>
      <c r="Q2537" t="str">
        <f t="shared" si="78"/>
        <v>01-09</v>
      </c>
      <c r="R2537" t="str">
        <f t="shared" si="79"/>
        <v>[PekKUkKHAzY]|01-09|Female|DIAGNOSED_SUBNAT.T_1|CY2024Q3</v>
      </c>
    </row>
    <row r="2538" spans="4:18" x14ac:dyDescent="0.2">
      <c r="D2538" t="s">
        <v>93</v>
      </c>
      <c r="E2538" t="s">
        <v>94</v>
      </c>
      <c r="F2538" t="s">
        <v>95</v>
      </c>
      <c r="G2538" t="s">
        <v>148</v>
      </c>
      <c r="H2538" t="s">
        <v>149</v>
      </c>
      <c r="I2538" t="s">
        <v>36</v>
      </c>
      <c r="J2538" t="s">
        <v>37</v>
      </c>
      <c r="K2538" t="s">
        <v>30</v>
      </c>
      <c r="L2538" t="s">
        <v>31</v>
      </c>
      <c r="M2538" t="s">
        <v>140</v>
      </c>
      <c r="N2538">
        <v>204</v>
      </c>
      <c r="O2538">
        <v>0.11386461</v>
      </c>
      <c r="P2538">
        <v>8.6933778000000003E-2</v>
      </c>
      <c r="Q2538" t="str">
        <f t="shared" si="78"/>
        <v>10-14</v>
      </c>
      <c r="R2538" t="str">
        <f t="shared" si="79"/>
        <v>[PekKUkKHAzY]|10-14|Female|DIAGNOSED_SUBNAT.T_1|CY2024Q3</v>
      </c>
    </row>
    <row r="2539" spans="4:18" x14ac:dyDescent="0.2">
      <c r="D2539" t="s">
        <v>93</v>
      </c>
      <c r="E2539" t="s">
        <v>94</v>
      </c>
      <c r="F2539" t="s">
        <v>95</v>
      </c>
      <c r="G2539" t="s">
        <v>148</v>
      </c>
      <c r="H2539" t="s">
        <v>149</v>
      </c>
      <c r="I2539" t="s">
        <v>38</v>
      </c>
      <c r="J2539" t="s">
        <v>39</v>
      </c>
      <c r="K2539" t="s">
        <v>30</v>
      </c>
      <c r="L2539" t="s">
        <v>31</v>
      </c>
      <c r="M2539" t="s">
        <v>140</v>
      </c>
      <c r="N2539">
        <v>852</v>
      </c>
      <c r="O2539">
        <v>0.108659588</v>
      </c>
      <c r="P2539">
        <v>8.6933778000000003E-2</v>
      </c>
      <c r="Q2539" t="str">
        <f t="shared" si="78"/>
        <v>15-24</v>
      </c>
      <c r="R2539" t="str">
        <f t="shared" si="79"/>
        <v>[PekKUkKHAzY]|15-24|Female|DIAGNOSED_SUBNAT.T_1|CY2024Q3</v>
      </c>
    </row>
    <row r="2540" spans="4:18" x14ac:dyDescent="0.2">
      <c r="D2540" t="s">
        <v>93</v>
      </c>
      <c r="E2540" t="s">
        <v>94</v>
      </c>
      <c r="F2540" t="s">
        <v>95</v>
      </c>
      <c r="G2540" t="s">
        <v>148</v>
      </c>
      <c r="H2540" t="s">
        <v>149</v>
      </c>
      <c r="I2540" t="s">
        <v>41</v>
      </c>
      <c r="J2540" t="s">
        <v>42</v>
      </c>
      <c r="K2540" t="s">
        <v>30</v>
      </c>
      <c r="L2540" t="s">
        <v>31</v>
      </c>
      <c r="M2540" t="s">
        <v>140</v>
      </c>
      <c r="N2540">
        <v>2262</v>
      </c>
      <c r="O2540">
        <v>9.9521078999999998E-2</v>
      </c>
      <c r="P2540">
        <v>8.6933778000000003E-2</v>
      </c>
      <c r="Q2540" t="str">
        <f t="shared" si="78"/>
        <v>25-34</v>
      </c>
      <c r="R2540" t="str">
        <f t="shared" si="79"/>
        <v>[PekKUkKHAzY]|25-34|Female|DIAGNOSED_SUBNAT.T_1|CY2024Q3</v>
      </c>
    </row>
    <row r="2541" spans="4:18" x14ac:dyDescent="0.2">
      <c r="D2541" t="s">
        <v>93</v>
      </c>
      <c r="E2541" t="s">
        <v>94</v>
      </c>
      <c r="F2541" t="s">
        <v>95</v>
      </c>
      <c r="G2541" t="s">
        <v>148</v>
      </c>
      <c r="H2541" t="s">
        <v>149</v>
      </c>
      <c r="I2541" t="s">
        <v>43</v>
      </c>
      <c r="J2541" t="s">
        <v>44</v>
      </c>
      <c r="K2541" t="s">
        <v>30</v>
      </c>
      <c r="L2541" t="s">
        <v>31</v>
      </c>
      <c r="M2541" t="s">
        <v>140</v>
      </c>
      <c r="N2541">
        <v>6306</v>
      </c>
      <c r="O2541">
        <v>8.8110333999999998E-2</v>
      </c>
      <c r="P2541">
        <v>8.6933778000000003E-2</v>
      </c>
      <c r="Q2541" t="str">
        <f t="shared" si="78"/>
        <v>35-49</v>
      </c>
      <c r="R2541" t="str">
        <f t="shared" si="79"/>
        <v>[PekKUkKHAzY]|35-49|Female|DIAGNOSED_SUBNAT.T_1|CY2024Q3</v>
      </c>
    </row>
    <row r="2542" spans="4:18" x14ac:dyDescent="0.2">
      <c r="D2542" t="s">
        <v>93</v>
      </c>
      <c r="E2542" t="s">
        <v>94</v>
      </c>
      <c r="F2542" t="s">
        <v>95</v>
      </c>
      <c r="G2542" t="s">
        <v>148</v>
      </c>
      <c r="H2542" t="s">
        <v>149</v>
      </c>
      <c r="I2542" t="s">
        <v>45</v>
      </c>
      <c r="J2542" t="s">
        <v>46</v>
      </c>
      <c r="K2542" t="s">
        <v>30</v>
      </c>
      <c r="L2542" t="s">
        <v>31</v>
      </c>
      <c r="M2542" t="s">
        <v>140</v>
      </c>
      <c r="N2542">
        <v>3219</v>
      </c>
      <c r="O2542">
        <v>9.6256434000000002E-2</v>
      </c>
      <c r="P2542">
        <v>8.6933778000000003E-2</v>
      </c>
      <c r="Q2542" t="str">
        <f t="shared" si="78"/>
        <v>50+</v>
      </c>
      <c r="R2542" t="str">
        <f t="shared" si="79"/>
        <v>[PekKUkKHAzY]|50+|Female|DIAGNOSED_SUBNAT.T_1|CY2024Q3</v>
      </c>
    </row>
    <row r="2543" spans="4:18" x14ac:dyDescent="0.2">
      <c r="D2543" t="s">
        <v>93</v>
      </c>
      <c r="E2543" t="s">
        <v>94</v>
      </c>
      <c r="F2543" t="s">
        <v>95</v>
      </c>
      <c r="G2543" t="s">
        <v>148</v>
      </c>
      <c r="H2543" t="s">
        <v>149</v>
      </c>
      <c r="I2543" t="s">
        <v>28</v>
      </c>
      <c r="J2543" t="s">
        <v>29</v>
      </c>
      <c r="K2543" t="s">
        <v>48</v>
      </c>
      <c r="L2543" t="s">
        <v>49</v>
      </c>
      <c r="M2543" t="s">
        <v>140</v>
      </c>
      <c r="N2543">
        <v>8</v>
      </c>
      <c r="O2543">
        <v>0.106669099</v>
      </c>
      <c r="P2543">
        <v>8.6933778000000003E-2</v>
      </c>
      <c r="Q2543" t="str">
        <f t="shared" si="78"/>
        <v>&lt;01</v>
      </c>
      <c r="R2543" t="str">
        <f t="shared" si="79"/>
        <v>[PekKUkKHAzY]|&lt;01|Male|DIAGNOSED_SUBNAT.T_1|CY2024Q3</v>
      </c>
    </row>
    <row r="2544" spans="4:18" x14ac:dyDescent="0.2">
      <c r="D2544" t="s">
        <v>93</v>
      </c>
      <c r="E2544" t="s">
        <v>94</v>
      </c>
      <c r="F2544" t="s">
        <v>95</v>
      </c>
      <c r="G2544" t="s">
        <v>148</v>
      </c>
      <c r="H2544" t="s">
        <v>149</v>
      </c>
      <c r="I2544" t="s">
        <v>33</v>
      </c>
      <c r="J2544" t="s">
        <v>34</v>
      </c>
      <c r="K2544" t="s">
        <v>48</v>
      </c>
      <c r="L2544" t="s">
        <v>49</v>
      </c>
      <c r="M2544" t="s">
        <v>140</v>
      </c>
      <c r="N2544">
        <v>152</v>
      </c>
      <c r="O2544">
        <v>0.108063857</v>
      </c>
      <c r="P2544">
        <v>8.6933778000000003E-2</v>
      </c>
      <c r="Q2544" t="str">
        <f t="shared" si="78"/>
        <v>01-09</v>
      </c>
      <c r="R2544" t="str">
        <f t="shared" si="79"/>
        <v>[PekKUkKHAzY]|01-09|Male|DIAGNOSED_SUBNAT.T_1|CY2024Q3</v>
      </c>
    </row>
    <row r="2545" spans="4:18" x14ac:dyDescent="0.2">
      <c r="D2545" t="s">
        <v>93</v>
      </c>
      <c r="E2545" t="s">
        <v>94</v>
      </c>
      <c r="F2545" t="s">
        <v>95</v>
      </c>
      <c r="G2545" t="s">
        <v>148</v>
      </c>
      <c r="H2545" t="s">
        <v>149</v>
      </c>
      <c r="I2545" t="s">
        <v>36</v>
      </c>
      <c r="J2545" t="s">
        <v>37</v>
      </c>
      <c r="K2545" t="s">
        <v>48</v>
      </c>
      <c r="L2545" t="s">
        <v>49</v>
      </c>
      <c r="M2545" t="s">
        <v>140</v>
      </c>
      <c r="N2545">
        <v>202</v>
      </c>
      <c r="O2545">
        <v>0.110653897</v>
      </c>
      <c r="P2545">
        <v>8.6933778000000003E-2</v>
      </c>
      <c r="Q2545" t="str">
        <f t="shared" si="78"/>
        <v>10-14</v>
      </c>
      <c r="R2545" t="str">
        <f t="shared" si="79"/>
        <v>[PekKUkKHAzY]|10-14|Male|DIAGNOSED_SUBNAT.T_1|CY2024Q3</v>
      </c>
    </row>
    <row r="2546" spans="4:18" x14ac:dyDescent="0.2">
      <c r="D2546" t="s">
        <v>93</v>
      </c>
      <c r="E2546" t="s">
        <v>94</v>
      </c>
      <c r="F2546" t="s">
        <v>95</v>
      </c>
      <c r="G2546" t="s">
        <v>148</v>
      </c>
      <c r="H2546" t="s">
        <v>149</v>
      </c>
      <c r="I2546" t="s">
        <v>38</v>
      </c>
      <c r="J2546" t="s">
        <v>39</v>
      </c>
      <c r="K2546" t="s">
        <v>48</v>
      </c>
      <c r="L2546" t="s">
        <v>49</v>
      </c>
      <c r="M2546" t="s">
        <v>140</v>
      </c>
      <c r="N2546">
        <v>598</v>
      </c>
      <c r="O2546">
        <v>0.112975439</v>
      </c>
      <c r="P2546">
        <v>8.6933778000000003E-2</v>
      </c>
      <c r="Q2546" t="str">
        <f t="shared" si="78"/>
        <v>15-24</v>
      </c>
      <c r="R2546" t="str">
        <f t="shared" si="79"/>
        <v>[PekKUkKHAzY]|15-24|Male|DIAGNOSED_SUBNAT.T_1|CY2024Q3</v>
      </c>
    </row>
    <row r="2547" spans="4:18" x14ac:dyDescent="0.2">
      <c r="D2547" t="s">
        <v>93</v>
      </c>
      <c r="E2547" t="s">
        <v>94</v>
      </c>
      <c r="F2547" t="s">
        <v>95</v>
      </c>
      <c r="G2547" t="s">
        <v>148</v>
      </c>
      <c r="H2547" t="s">
        <v>149</v>
      </c>
      <c r="I2547" t="s">
        <v>41</v>
      </c>
      <c r="J2547" t="s">
        <v>42</v>
      </c>
      <c r="K2547" t="s">
        <v>48</v>
      </c>
      <c r="L2547" t="s">
        <v>49</v>
      </c>
      <c r="M2547" t="s">
        <v>140</v>
      </c>
      <c r="N2547">
        <v>754</v>
      </c>
      <c r="O2547">
        <v>0.108505173</v>
      </c>
      <c r="P2547">
        <v>8.6933778000000003E-2</v>
      </c>
      <c r="Q2547" t="str">
        <f t="shared" si="78"/>
        <v>25-34</v>
      </c>
      <c r="R2547" t="str">
        <f t="shared" si="79"/>
        <v>[PekKUkKHAzY]|25-34|Male|DIAGNOSED_SUBNAT.T_1|CY2024Q3</v>
      </c>
    </row>
    <row r="2548" spans="4:18" x14ac:dyDescent="0.2">
      <c r="D2548" t="s">
        <v>93</v>
      </c>
      <c r="E2548" t="s">
        <v>94</v>
      </c>
      <c r="F2548" t="s">
        <v>95</v>
      </c>
      <c r="G2548" t="s">
        <v>148</v>
      </c>
      <c r="H2548" t="s">
        <v>149</v>
      </c>
      <c r="I2548" t="s">
        <v>43</v>
      </c>
      <c r="J2548" t="s">
        <v>44</v>
      </c>
      <c r="K2548" t="s">
        <v>48</v>
      </c>
      <c r="L2548" t="s">
        <v>49</v>
      </c>
      <c r="M2548" t="s">
        <v>140</v>
      </c>
      <c r="N2548">
        <v>3173</v>
      </c>
      <c r="O2548">
        <v>8.9404988000000005E-2</v>
      </c>
      <c r="P2548">
        <v>8.6933778000000003E-2</v>
      </c>
      <c r="Q2548" t="str">
        <f t="shared" si="78"/>
        <v>35-49</v>
      </c>
      <c r="R2548" t="str">
        <f t="shared" si="79"/>
        <v>[PekKUkKHAzY]|35-49|Male|DIAGNOSED_SUBNAT.T_1|CY2024Q3</v>
      </c>
    </row>
    <row r="2549" spans="4:18" x14ac:dyDescent="0.2">
      <c r="D2549" t="s">
        <v>93</v>
      </c>
      <c r="E2549" t="s">
        <v>94</v>
      </c>
      <c r="F2549" t="s">
        <v>95</v>
      </c>
      <c r="G2549" t="s">
        <v>148</v>
      </c>
      <c r="H2549" t="s">
        <v>149</v>
      </c>
      <c r="I2549" t="s">
        <v>45</v>
      </c>
      <c r="J2549" t="s">
        <v>46</v>
      </c>
      <c r="K2549" t="s">
        <v>48</v>
      </c>
      <c r="L2549" t="s">
        <v>49</v>
      </c>
      <c r="M2549" t="s">
        <v>140</v>
      </c>
      <c r="N2549">
        <v>2477</v>
      </c>
      <c r="O2549">
        <v>8.9668013000000005E-2</v>
      </c>
      <c r="P2549">
        <v>8.6933778000000003E-2</v>
      </c>
      <c r="Q2549" t="str">
        <f t="shared" si="78"/>
        <v>50+</v>
      </c>
      <c r="R2549" t="str">
        <f t="shared" si="79"/>
        <v>[PekKUkKHAzY]|50+|Male|DIAGNOSED_SUBNAT.T_1|CY2024Q3</v>
      </c>
    </row>
    <row r="2550" spans="4:18" x14ac:dyDescent="0.2">
      <c r="D2550" t="s">
        <v>96</v>
      </c>
      <c r="E2550" t="s">
        <v>97</v>
      </c>
      <c r="F2550" t="s">
        <v>98</v>
      </c>
      <c r="G2550" t="s">
        <v>148</v>
      </c>
      <c r="H2550" t="s">
        <v>149</v>
      </c>
      <c r="I2550" t="s">
        <v>28</v>
      </c>
      <c r="J2550" t="s">
        <v>29</v>
      </c>
      <c r="K2550" t="s">
        <v>30</v>
      </c>
      <c r="L2550" t="s">
        <v>31</v>
      </c>
      <c r="M2550" t="s">
        <v>140</v>
      </c>
      <c r="N2550">
        <v>11</v>
      </c>
      <c r="O2550">
        <v>9.8627377000000002E-2</v>
      </c>
      <c r="P2550">
        <v>7.5720651999999999E-2</v>
      </c>
      <c r="Q2550" t="str">
        <f t="shared" si="78"/>
        <v>&lt;01</v>
      </c>
      <c r="R2550" t="str">
        <f t="shared" si="79"/>
        <v>[am530wpaGvr]|&lt;01|Female|DIAGNOSED_SUBNAT.T_1|CY2024Q3</v>
      </c>
    </row>
    <row r="2551" spans="4:18" x14ac:dyDescent="0.2">
      <c r="D2551" t="s">
        <v>96</v>
      </c>
      <c r="E2551" t="s">
        <v>97</v>
      </c>
      <c r="F2551" t="s">
        <v>98</v>
      </c>
      <c r="G2551" t="s">
        <v>148</v>
      </c>
      <c r="H2551" t="s">
        <v>149</v>
      </c>
      <c r="I2551" t="s">
        <v>33</v>
      </c>
      <c r="J2551" t="s">
        <v>34</v>
      </c>
      <c r="K2551" t="s">
        <v>30</v>
      </c>
      <c r="L2551" t="s">
        <v>31</v>
      </c>
      <c r="M2551" t="s">
        <v>140</v>
      </c>
      <c r="N2551">
        <v>222</v>
      </c>
      <c r="O2551">
        <v>9.6997599000000004E-2</v>
      </c>
      <c r="P2551">
        <v>7.5720651999999999E-2</v>
      </c>
      <c r="Q2551" t="str">
        <f t="shared" si="78"/>
        <v>01-09</v>
      </c>
      <c r="R2551" t="str">
        <f t="shared" si="79"/>
        <v>[am530wpaGvr]|01-09|Female|DIAGNOSED_SUBNAT.T_1|CY2024Q3</v>
      </c>
    </row>
    <row r="2552" spans="4:18" x14ac:dyDescent="0.2">
      <c r="D2552" t="s">
        <v>96</v>
      </c>
      <c r="E2552" t="s">
        <v>97</v>
      </c>
      <c r="F2552" t="s">
        <v>98</v>
      </c>
      <c r="G2552" t="s">
        <v>148</v>
      </c>
      <c r="H2552" t="s">
        <v>149</v>
      </c>
      <c r="I2552" t="s">
        <v>36</v>
      </c>
      <c r="J2552" t="s">
        <v>37</v>
      </c>
      <c r="K2552" t="s">
        <v>30</v>
      </c>
      <c r="L2552" t="s">
        <v>31</v>
      </c>
      <c r="M2552" t="s">
        <v>140</v>
      </c>
      <c r="N2552">
        <v>299</v>
      </c>
      <c r="O2552">
        <v>9.5377150999999993E-2</v>
      </c>
      <c r="P2552">
        <v>7.5720651999999999E-2</v>
      </c>
      <c r="Q2552" t="str">
        <f t="shared" si="78"/>
        <v>10-14</v>
      </c>
      <c r="R2552" t="str">
        <f t="shared" si="79"/>
        <v>[am530wpaGvr]|10-14|Female|DIAGNOSED_SUBNAT.T_1|CY2024Q3</v>
      </c>
    </row>
    <row r="2553" spans="4:18" x14ac:dyDescent="0.2">
      <c r="D2553" t="s">
        <v>96</v>
      </c>
      <c r="E2553" t="s">
        <v>97</v>
      </c>
      <c r="F2553" t="s">
        <v>98</v>
      </c>
      <c r="G2553" t="s">
        <v>148</v>
      </c>
      <c r="H2553" t="s">
        <v>149</v>
      </c>
      <c r="I2553" t="s">
        <v>38</v>
      </c>
      <c r="J2553" t="s">
        <v>39</v>
      </c>
      <c r="K2553" t="s">
        <v>30</v>
      </c>
      <c r="L2553" t="s">
        <v>31</v>
      </c>
      <c r="M2553" t="s">
        <v>140</v>
      </c>
      <c r="N2553">
        <v>1222</v>
      </c>
      <c r="O2553">
        <v>0.100677692</v>
      </c>
      <c r="P2553">
        <v>7.5720651999999999E-2</v>
      </c>
      <c r="Q2553" t="str">
        <f t="shared" si="78"/>
        <v>15-24</v>
      </c>
      <c r="R2553" t="str">
        <f t="shared" si="79"/>
        <v>[am530wpaGvr]|15-24|Female|DIAGNOSED_SUBNAT.T_1|CY2024Q3</v>
      </c>
    </row>
    <row r="2554" spans="4:18" x14ac:dyDescent="0.2">
      <c r="D2554" t="s">
        <v>96</v>
      </c>
      <c r="E2554" t="s">
        <v>97</v>
      </c>
      <c r="F2554" t="s">
        <v>98</v>
      </c>
      <c r="G2554" t="s">
        <v>148</v>
      </c>
      <c r="H2554" t="s">
        <v>149</v>
      </c>
      <c r="I2554" t="s">
        <v>41</v>
      </c>
      <c r="J2554" t="s">
        <v>42</v>
      </c>
      <c r="K2554" t="s">
        <v>30</v>
      </c>
      <c r="L2554" t="s">
        <v>31</v>
      </c>
      <c r="M2554" t="s">
        <v>140</v>
      </c>
      <c r="N2554">
        <v>3103</v>
      </c>
      <c r="O2554">
        <v>9.0963773999999997E-2</v>
      </c>
      <c r="P2554">
        <v>7.5720651999999999E-2</v>
      </c>
      <c r="Q2554" t="str">
        <f t="shared" si="78"/>
        <v>25-34</v>
      </c>
      <c r="R2554" t="str">
        <f t="shared" si="79"/>
        <v>[am530wpaGvr]|25-34|Female|DIAGNOSED_SUBNAT.T_1|CY2024Q3</v>
      </c>
    </row>
    <row r="2555" spans="4:18" x14ac:dyDescent="0.2">
      <c r="D2555" t="s">
        <v>96</v>
      </c>
      <c r="E2555" t="s">
        <v>97</v>
      </c>
      <c r="F2555" t="s">
        <v>98</v>
      </c>
      <c r="G2555" t="s">
        <v>148</v>
      </c>
      <c r="H2555" t="s">
        <v>149</v>
      </c>
      <c r="I2555" t="s">
        <v>43</v>
      </c>
      <c r="J2555" t="s">
        <v>44</v>
      </c>
      <c r="K2555" t="s">
        <v>30</v>
      </c>
      <c r="L2555" t="s">
        <v>31</v>
      </c>
      <c r="M2555" t="s">
        <v>140</v>
      </c>
      <c r="N2555">
        <v>8637</v>
      </c>
      <c r="O2555">
        <v>7.6874423999999997E-2</v>
      </c>
      <c r="P2555">
        <v>7.5720651999999999E-2</v>
      </c>
      <c r="Q2555" t="str">
        <f t="shared" si="78"/>
        <v>35-49</v>
      </c>
      <c r="R2555" t="str">
        <f t="shared" si="79"/>
        <v>[am530wpaGvr]|35-49|Female|DIAGNOSED_SUBNAT.T_1|CY2024Q3</v>
      </c>
    </row>
    <row r="2556" spans="4:18" x14ac:dyDescent="0.2">
      <c r="D2556" t="s">
        <v>96</v>
      </c>
      <c r="E2556" t="s">
        <v>97</v>
      </c>
      <c r="F2556" t="s">
        <v>98</v>
      </c>
      <c r="G2556" t="s">
        <v>148</v>
      </c>
      <c r="H2556" t="s">
        <v>149</v>
      </c>
      <c r="I2556" t="s">
        <v>45</v>
      </c>
      <c r="J2556" t="s">
        <v>46</v>
      </c>
      <c r="K2556" t="s">
        <v>30</v>
      </c>
      <c r="L2556" t="s">
        <v>31</v>
      </c>
      <c r="M2556" t="s">
        <v>140</v>
      </c>
      <c r="N2556">
        <v>4418</v>
      </c>
      <c r="O2556">
        <v>8.6077883999999993E-2</v>
      </c>
      <c r="P2556">
        <v>7.5720651999999999E-2</v>
      </c>
      <c r="Q2556" t="str">
        <f t="shared" si="78"/>
        <v>50+</v>
      </c>
      <c r="R2556" t="str">
        <f t="shared" si="79"/>
        <v>[am530wpaGvr]|50+|Female|DIAGNOSED_SUBNAT.T_1|CY2024Q3</v>
      </c>
    </row>
    <row r="2557" spans="4:18" x14ac:dyDescent="0.2">
      <c r="D2557" t="s">
        <v>96</v>
      </c>
      <c r="E2557" t="s">
        <v>97</v>
      </c>
      <c r="F2557" t="s">
        <v>98</v>
      </c>
      <c r="G2557" t="s">
        <v>148</v>
      </c>
      <c r="H2557" t="s">
        <v>149</v>
      </c>
      <c r="I2557" t="s">
        <v>28</v>
      </c>
      <c r="J2557" t="s">
        <v>29</v>
      </c>
      <c r="K2557" t="s">
        <v>48</v>
      </c>
      <c r="L2557" t="s">
        <v>49</v>
      </c>
      <c r="M2557" t="s">
        <v>140</v>
      </c>
      <c r="N2557">
        <v>11</v>
      </c>
      <c r="O2557">
        <v>9.0680088000000006E-2</v>
      </c>
      <c r="P2557">
        <v>7.5720651999999999E-2</v>
      </c>
      <c r="Q2557" t="str">
        <f t="shared" si="78"/>
        <v>&lt;01</v>
      </c>
      <c r="R2557" t="str">
        <f t="shared" si="79"/>
        <v>[am530wpaGvr]|&lt;01|Male|DIAGNOSED_SUBNAT.T_1|CY2024Q3</v>
      </c>
    </row>
    <row r="2558" spans="4:18" x14ac:dyDescent="0.2">
      <c r="D2558" t="s">
        <v>96</v>
      </c>
      <c r="E2558" t="s">
        <v>97</v>
      </c>
      <c r="F2558" t="s">
        <v>98</v>
      </c>
      <c r="G2558" t="s">
        <v>148</v>
      </c>
      <c r="H2558" t="s">
        <v>149</v>
      </c>
      <c r="I2558" t="s">
        <v>33</v>
      </c>
      <c r="J2558" t="s">
        <v>34</v>
      </c>
      <c r="K2558" t="s">
        <v>48</v>
      </c>
      <c r="L2558" t="s">
        <v>49</v>
      </c>
      <c r="M2558" t="s">
        <v>140</v>
      </c>
      <c r="N2558">
        <v>228</v>
      </c>
      <c r="O2558">
        <v>9.1272045999999996E-2</v>
      </c>
      <c r="P2558">
        <v>7.5720651999999999E-2</v>
      </c>
      <c r="Q2558" t="str">
        <f t="shared" si="78"/>
        <v>01-09</v>
      </c>
      <c r="R2558" t="str">
        <f t="shared" si="79"/>
        <v>[am530wpaGvr]|01-09|Male|DIAGNOSED_SUBNAT.T_1|CY2024Q3</v>
      </c>
    </row>
    <row r="2559" spans="4:18" x14ac:dyDescent="0.2">
      <c r="D2559" t="s">
        <v>96</v>
      </c>
      <c r="E2559" t="s">
        <v>97</v>
      </c>
      <c r="F2559" t="s">
        <v>98</v>
      </c>
      <c r="G2559" t="s">
        <v>148</v>
      </c>
      <c r="H2559" t="s">
        <v>149</v>
      </c>
      <c r="I2559" t="s">
        <v>36</v>
      </c>
      <c r="J2559" t="s">
        <v>37</v>
      </c>
      <c r="K2559" t="s">
        <v>48</v>
      </c>
      <c r="L2559" t="s">
        <v>49</v>
      </c>
      <c r="M2559" t="s">
        <v>140</v>
      </c>
      <c r="N2559">
        <v>305</v>
      </c>
      <c r="O2559">
        <v>9.2565509000000004E-2</v>
      </c>
      <c r="P2559">
        <v>7.5720651999999999E-2</v>
      </c>
      <c r="Q2559" t="str">
        <f t="shared" si="78"/>
        <v>10-14</v>
      </c>
      <c r="R2559" t="str">
        <f t="shared" si="79"/>
        <v>[am530wpaGvr]|10-14|Male|DIAGNOSED_SUBNAT.T_1|CY2024Q3</v>
      </c>
    </row>
    <row r="2560" spans="4:18" x14ac:dyDescent="0.2">
      <c r="D2560" t="s">
        <v>96</v>
      </c>
      <c r="E2560" t="s">
        <v>97</v>
      </c>
      <c r="F2560" t="s">
        <v>98</v>
      </c>
      <c r="G2560" t="s">
        <v>148</v>
      </c>
      <c r="H2560" t="s">
        <v>149</v>
      </c>
      <c r="I2560" t="s">
        <v>38</v>
      </c>
      <c r="J2560" t="s">
        <v>39</v>
      </c>
      <c r="K2560" t="s">
        <v>48</v>
      </c>
      <c r="L2560" t="s">
        <v>49</v>
      </c>
      <c r="M2560" t="s">
        <v>140</v>
      </c>
      <c r="N2560">
        <v>852</v>
      </c>
      <c r="O2560">
        <v>0.104309929</v>
      </c>
      <c r="P2560">
        <v>7.5720651999999999E-2</v>
      </c>
      <c r="Q2560" t="str">
        <f t="shared" si="78"/>
        <v>15-24</v>
      </c>
      <c r="R2560" t="str">
        <f t="shared" si="79"/>
        <v>[am530wpaGvr]|15-24|Male|DIAGNOSED_SUBNAT.T_1|CY2024Q3</v>
      </c>
    </row>
    <row r="2561" spans="4:18" x14ac:dyDescent="0.2">
      <c r="D2561" t="s">
        <v>96</v>
      </c>
      <c r="E2561" t="s">
        <v>97</v>
      </c>
      <c r="F2561" t="s">
        <v>98</v>
      </c>
      <c r="G2561" t="s">
        <v>148</v>
      </c>
      <c r="H2561" t="s">
        <v>149</v>
      </c>
      <c r="I2561" t="s">
        <v>41</v>
      </c>
      <c r="J2561" t="s">
        <v>42</v>
      </c>
      <c r="K2561" t="s">
        <v>48</v>
      </c>
      <c r="L2561" t="s">
        <v>49</v>
      </c>
      <c r="M2561" t="s">
        <v>140</v>
      </c>
      <c r="N2561">
        <v>1019</v>
      </c>
      <c r="O2561">
        <v>0.101791833</v>
      </c>
      <c r="P2561">
        <v>7.5720651999999999E-2</v>
      </c>
      <c r="Q2561" t="str">
        <f t="shared" si="78"/>
        <v>25-34</v>
      </c>
      <c r="R2561" t="str">
        <f t="shared" si="79"/>
        <v>[am530wpaGvr]|25-34|Male|DIAGNOSED_SUBNAT.T_1|CY2024Q3</v>
      </c>
    </row>
    <row r="2562" spans="4:18" x14ac:dyDescent="0.2">
      <c r="D2562" t="s">
        <v>96</v>
      </c>
      <c r="E2562" t="s">
        <v>97</v>
      </c>
      <c r="F2562" t="s">
        <v>98</v>
      </c>
      <c r="G2562" t="s">
        <v>148</v>
      </c>
      <c r="H2562" t="s">
        <v>149</v>
      </c>
      <c r="I2562" t="s">
        <v>43</v>
      </c>
      <c r="J2562" t="s">
        <v>44</v>
      </c>
      <c r="K2562" t="s">
        <v>48</v>
      </c>
      <c r="L2562" t="s">
        <v>49</v>
      </c>
      <c r="M2562" t="s">
        <v>140</v>
      </c>
      <c r="N2562">
        <v>4127</v>
      </c>
      <c r="O2562">
        <v>7.7744064000000002E-2</v>
      </c>
      <c r="P2562">
        <v>7.5720651999999999E-2</v>
      </c>
      <c r="Q2562" t="str">
        <f t="shared" si="78"/>
        <v>35-49</v>
      </c>
      <c r="R2562" t="str">
        <f t="shared" si="79"/>
        <v>[am530wpaGvr]|35-49|Male|DIAGNOSED_SUBNAT.T_1|CY2024Q3</v>
      </c>
    </row>
    <row r="2563" spans="4:18" x14ac:dyDescent="0.2">
      <c r="D2563" t="s">
        <v>96</v>
      </c>
      <c r="E2563" t="s">
        <v>97</v>
      </c>
      <c r="F2563" t="s">
        <v>98</v>
      </c>
      <c r="G2563" t="s">
        <v>148</v>
      </c>
      <c r="H2563" t="s">
        <v>149</v>
      </c>
      <c r="I2563" t="s">
        <v>45</v>
      </c>
      <c r="J2563" t="s">
        <v>46</v>
      </c>
      <c r="K2563" t="s">
        <v>48</v>
      </c>
      <c r="L2563" t="s">
        <v>49</v>
      </c>
      <c r="M2563" t="s">
        <v>140</v>
      </c>
      <c r="N2563">
        <v>3193</v>
      </c>
      <c r="O2563">
        <v>7.6824861999999994E-2</v>
      </c>
      <c r="P2563">
        <v>7.5720651999999999E-2</v>
      </c>
      <c r="Q2563" t="str">
        <f t="shared" ref="Q2563:Q2626" si="80">SUBSTITUTE(SUBSTITUTE($I2563,CHAR(61),""),CHAR(34),"")</f>
        <v>50+</v>
      </c>
      <c r="R2563" t="str">
        <f t="shared" ref="R2563:R2626" si="81">IF($D2563&lt;&gt;"","["&amp;$E2563&amp;"]"&amp;"|"&amp;$Q2563&amp;"|"&amp;$K2563&amp;"|"&amp;$G2563&amp;"|"&amp;IF($G2563="TX_CURR_SUBNAT.R","CY2023Q4",$M2563),"")</f>
        <v>[am530wpaGvr]|50+|Male|DIAGNOSED_SUBNAT.T_1|CY2024Q3</v>
      </c>
    </row>
    <row r="2564" spans="4:18" x14ac:dyDescent="0.2">
      <c r="D2564" t="s">
        <v>99</v>
      </c>
      <c r="E2564" t="s">
        <v>100</v>
      </c>
      <c r="F2564" t="s">
        <v>101</v>
      </c>
      <c r="G2564" t="s">
        <v>148</v>
      </c>
      <c r="H2564" t="s">
        <v>149</v>
      </c>
      <c r="I2564" t="s">
        <v>28</v>
      </c>
      <c r="J2564" t="s">
        <v>29</v>
      </c>
      <c r="K2564" t="s">
        <v>30</v>
      </c>
      <c r="L2564" t="s">
        <v>31</v>
      </c>
      <c r="M2564" t="s">
        <v>140</v>
      </c>
      <c r="N2564">
        <v>35</v>
      </c>
      <c r="O2564">
        <v>4.7386348000000002E-2</v>
      </c>
      <c r="P2564">
        <v>4.2830963E-2</v>
      </c>
      <c r="Q2564" t="str">
        <f t="shared" si="80"/>
        <v>&lt;01</v>
      </c>
      <c r="R2564" t="str">
        <f t="shared" si="81"/>
        <v>[lLDyBx5XyUi]|&lt;01|Female|DIAGNOSED_SUBNAT.T_1|CY2024Q3</v>
      </c>
    </row>
    <row r="2565" spans="4:18" x14ac:dyDescent="0.2">
      <c r="D2565" t="s">
        <v>99</v>
      </c>
      <c r="E2565" t="s">
        <v>100</v>
      </c>
      <c r="F2565" t="s">
        <v>101</v>
      </c>
      <c r="G2565" t="s">
        <v>148</v>
      </c>
      <c r="H2565" t="s">
        <v>149</v>
      </c>
      <c r="I2565" t="s">
        <v>33</v>
      </c>
      <c r="J2565" t="s">
        <v>34</v>
      </c>
      <c r="K2565" t="s">
        <v>30</v>
      </c>
      <c r="L2565" t="s">
        <v>31</v>
      </c>
      <c r="M2565" t="s">
        <v>140</v>
      </c>
      <c r="N2565">
        <v>768</v>
      </c>
      <c r="O2565">
        <v>4.5901548E-2</v>
      </c>
      <c r="P2565">
        <v>4.2830963E-2</v>
      </c>
      <c r="Q2565" t="str">
        <f t="shared" si="80"/>
        <v>01-09</v>
      </c>
      <c r="R2565" t="str">
        <f t="shared" si="81"/>
        <v>[lLDyBx5XyUi]|01-09|Female|DIAGNOSED_SUBNAT.T_1|CY2024Q3</v>
      </c>
    </row>
    <row r="2566" spans="4:18" x14ac:dyDescent="0.2">
      <c r="D2566" t="s">
        <v>99</v>
      </c>
      <c r="E2566" t="s">
        <v>100</v>
      </c>
      <c r="F2566" t="s">
        <v>101</v>
      </c>
      <c r="G2566" t="s">
        <v>148</v>
      </c>
      <c r="H2566" t="s">
        <v>149</v>
      </c>
      <c r="I2566" t="s">
        <v>36</v>
      </c>
      <c r="J2566" t="s">
        <v>37</v>
      </c>
      <c r="K2566" t="s">
        <v>30</v>
      </c>
      <c r="L2566" t="s">
        <v>31</v>
      </c>
      <c r="M2566" t="s">
        <v>140</v>
      </c>
      <c r="N2566">
        <v>920</v>
      </c>
      <c r="O2566">
        <v>4.5107899999999999E-2</v>
      </c>
      <c r="P2566">
        <v>4.2830963E-2</v>
      </c>
      <c r="Q2566" t="str">
        <f t="shared" si="80"/>
        <v>10-14</v>
      </c>
      <c r="R2566" t="str">
        <f t="shared" si="81"/>
        <v>[lLDyBx5XyUi]|10-14|Female|DIAGNOSED_SUBNAT.T_1|CY2024Q3</v>
      </c>
    </row>
    <row r="2567" spans="4:18" x14ac:dyDescent="0.2">
      <c r="D2567" t="s">
        <v>99</v>
      </c>
      <c r="E2567" t="s">
        <v>100</v>
      </c>
      <c r="F2567" t="s">
        <v>101</v>
      </c>
      <c r="G2567" t="s">
        <v>148</v>
      </c>
      <c r="H2567" t="s">
        <v>149</v>
      </c>
      <c r="I2567" t="s">
        <v>38</v>
      </c>
      <c r="J2567" t="s">
        <v>39</v>
      </c>
      <c r="K2567" t="s">
        <v>30</v>
      </c>
      <c r="L2567" t="s">
        <v>31</v>
      </c>
      <c r="M2567" t="s">
        <v>140</v>
      </c>
      <c r="N2567">
        <v>3336</v>
      </c>
      <c r="O2567">
        <v>7.9266488999999996E-2</v>
      </c>
      <c r="P2567">
        <v>4.2830963E-2</v>
      </c>
      <c r="Q2567" t="str">
        <f t="shared" si="80"/>
        <v>15-24</v>
      </c>
      <c r="R2567" t="str">
        <f t="shared" si="81"/>
        <v>[lLDyBx5XyUi]|15-24|Female|DIAGNOSED_SUBNAT.T_1|CY2024Q3</v>
      </c>
    </row>
    <row r="2568" spans="4:18" x14ac:dyDescent="0.2">
      <c r="D2568" t="s">
        <v>99</v>
      </c>
      <c r="E2568" t="s">
        <v>100</v>
      </c>
      <c r="F2568" t="s">
        <v>101</v>
      </c>
      <c r="G2568" t="s">
        <v>148</v>
      </c>
      <c r="H2568" t="s">
        <v>149</v>
      </c>
      <c r="I2568" t="s">
        <v>41</v>
      </c>
      <c r="J2568" t="s">
        <v>42</v>
      </c>
      <c r="K2568" t="s">
        <v>30</v>
      </c>
      <c r="L2568" t="s">
        <v>31</v>
      </c>
      <c r="M2568" t="s">
        <v>140</v>
      </c>
      <c r="N2568">
        <v>8562</v>
      </c>
      <c r="O2568">
        <v>5.6898593999999997E-2</v>
      </c>
      <c r="P2568">
        <v>4.2830963E-2</v>
      </c>
      <c r="Q2568" t="str">
        <f t="shared" si="80"/>
        <v>25-34</v>
      </c>
      <c r="R2568" t="str">
        <f t="shared" si="81"/>
        <v>[lLDyBx5XyUi]|25-34|Female|DIAGNOSED_SUBNAT.T_1|CY2024Q3</v>
      </c>
    </row>
    <row r="2569" spans="4:18" x14ac:dyDescent="0.2">
      <c r="D2569" t="s">
        <v>99</v>
      </c>
      <c r="E2569" t="s">
        <v>100</v>
      </c>
      <c r="F2569" t="s">
        <v>101</v>
      </c>
      <c r="G2569" t="s">
        <v>148</v>
      </c>
      <c r="H2569" t="s">
        <v>149</v>
      </c>
      <c r="I2569" t="s">
        <v>43</v>
      </c>
      <c r="J2569" t="s">
        <v>44</v>
      </c>
      <c r="K2569" t="s">
        <v>30</v>
      </c>
      <c r="L2569" t="s">
        <v>31</v>
      </c>
      <c r="M2569" t="s">
        <v>140</v>
      </c>
      <c r="N2569">
        <v>20239</v>
      </c>
      <c r="O2569">
        <v>4.4578369E-2</v>
      </c>
      <c r="P2569">
        <v>4.2830963E-2</v>
      </c>
      <c r="Q2569" t="str">
        <f t="shared" si="80"/>
        <v>35-49</v>
      </c>
      <c r="R2569" t="str">
        <f t="shared" si="81"/>
        <v>[lLDyBx5XyUi]|35-49|Female|DIAGNOSED_SUBNAT.T_1|CY2024Q3</v>
      </c>
    </row>
    <row r="2570" spans="4:18" x14ac:dyDescent="0.2">
      <c r="D2570" t="s">
        <v>99</v>
      </c>
      <c r="E2570" t="s">
        <v>100</v>
      </c>
      <c r="F2570" t="s">
        <v>101</v>
      </c>
      <c r="G2570" t="s">
        <v>148</v>
      </c>
      <c r="H2570" t="s">
        <v>149</v>
      </c>
      <c r="I2570" t="s">
        <v>45</v>
      </c>
      <c r="J2570" t="s">
        <v>46</v>
      </c>
      <c r="K2570" t="s">
        <v>30</v>
      </c>
      <c r="L2570" t="s">
        <v>31</v>
      </c>
      <c r="M2570" t="s">
        <v>140</v>
      </c>
      <c r="N2570">
        <v>9705</v>
      </c>
      <c r="O2570">
        <v>5.4211567000000002E-2</v>
      </c>
      <c r="P2570">
        <v>4.2830963E-2</v>
      </c>
      <c r="Q2570" t="str">
        <f t="shared" si="80"/>
        <v>50+</v>
      </c>
      <c r="R2570" t="str">
        <f t="shared" si="81"/>
        <v>[lLDyBx5XyUi]|50+|Female|DIAGNOSED_SUBNAT.T_1|CY2024Q3</v>
      </c>
    </row>
    <row r="2571" spans="4:18" x14ac:dyDescent="0.2">
      <c r="D2571" t="s">
        <v>99</v>
      </c>
      <c r="E2571" t="s">
        <v>100</v>
      </c>
      <c r="F2571" t="s">
        <v>101</v>
      </c>
      <c r="G2571" t="s">
        <v>148</v>
      </c>
      <c r="H2571" t="s">
        <v>149</v>
      </c>
      <c r="I2571" t="s">
        <v>28</v>
      </c>
      <c r="J2571" t="s">
        <v>29</v>
      </c>
      <c r="K2571" t="s">
        <v>48</v>
      </c>
      <c r="L2571" t="s">
        <v>49</v>
      </c>
      <c r="M2571" t="s">
        <v>140</v>
      </c>
      <c r="N2571">
        <v>36</v>
      </c>
      <c r="O2571">
        <v>4.3615071999999998E-2</v>
      </c>
      <c r="P2571">
        <v>4.2830963E-2</v>
      </c>
      <c r="Q2571" t="str">
        <f t="shared" si="80"/>
        <v>&lt;01</v>
      </c>
      <c r="R2571" t="str">
        <f t="shared" si="81"/>
        <v>[lLDyBx5XyUi]|&lt;01|Male|DIAGNOSED_SUBNAT.T_1|CY2024Q3</v>
      </c>
    </row>
    <row r="2572" spans="4:18" x14ac:dyDescent="0.2">
      <c r="D2572" t="s">
        <v>99</v>
      </c>
      <c r="E2572" t="s">
        <v>100</v>
      </c>
      <c r="F2572" t="s">
        <v>101</v>
      </c>
      <c r="G2572" t="s">
        <v>148</v>
      </c>
      <c r="H2572" t="s">
        <v>149</v>
      </c>
      <c r="I2572" t="s">
        <v>33</v>
      </c>
      <c r="J2572" t="s">
        <v>34</v>
      </c>
      <c r="K2572" t="s">
        <v>48</v>
      </c>
      <c r="L2572" t="s">
        <v>49</v>
      </c>
      <c r="M2572" t="s">
        <v>140</v>
      </c>
      <c r="N2572">
        <v>776</v>
      </c>
      <c r="O2572">
        <v>4.5773255999999998E-2</v>
      </c>
      <c r="P2572">
        <v>4.2830963E-2</v>
      </c>
      <c r="Q2572" t="str">
        <f t="shared" si="80"/>
        <v>01-09</v>
      </c>
      <c r="R2572" t="str">
        <f t="shared" si="81"/>
        <v>[lLDyBx5XyUi]|01-09|Male|DIAGNOSED_SUBNAT.T_1|CY2024Q3</v>
      </c>
    </row>
    <row r="2573" spans="4:18" x14ac:dyDescent="0.2">
      <c r="D2573" t="s">
        <v>99</v>
      </c>
      <c r="E2573" t="s">
        <v>100</v>
      </c>
      <c r="F2573" t="s">
        <v>101</v>
      </c>
      <c r="G2573" t="s">
        <v>148</v>
      </c>
      <c r="H2573" t="s">
        <v>149</v>
      </c>
      <c r="I2573" t="s">
        <v>36</v>
      </c>
      <c r="J2573" t="s">
        <v>37</v>
      </c>
      <c r="K2573" t="s">
        <v>48</v>
      </c>
      <c r="L2573" t="s">
        <v>49</v>
      </c>
      <c r="M2573" t="s">
        <v>140</v>
      </c>
      <c r="N2573">
        <v>931</v>
      </c>
      <c r="O2573">
        <v>4.9230079000000003E-2</v>
      </c>
      <c r="P2573">
        <v>4.2830963E-2</v>
      </c>
      <c r="Q2573" t="str">
        <f t="shared" si="80"/>
        <v>10-14</v>
      </c>
      <c r="R2573" t="str">
        <f t="shared" si="81"/>
        <v>[lLDyBx5XyUi]|10-14|Male|DIAGNOSED_SUBNAT.T_1|CY2024Q3</v>
      </c>
    </row>
    <row r="2574" spans="4:18" x14ac:dyDescent="0.2">
      <c r="D2574" t="s">
        <v>99</v>
      </c>
      <c r="E2574" t="s">
        <v>100</v>
      </c>
      <c r="F2574" t="s">
        <v>101</v>
      </c>
      <c r="G2574" t="s">
        <v>148</v>
      </c>
      <c r="H2574" t="s">
        <v>149</v>
      </c>
      <c r="I2574" t="s">
        <v>38</v>
      </c>
      <c r="J2574" t="s">
        <v>39</v>
      </c>
      <c r="K2574" t="s">
        <v>48</v>
      </c>
      <c r="L2574" t="s">
        <v>49</v>
      </c>
      <c r="M2574" t="s">
        <v>140</v>
      </c>
      <c r="N2574">
        <v>2070</v>
      </c>
      <c r="O2574">
        <v>8.0071067999999995E-2</v>
      </c>
      <c r="P2574">
        <v>4.2830963E-2</v>
      </c>
      <c r="Q2574" t="str">
        <f t="shared" si="80"/>
        <v>15-24</v>
      </c>
      <c r="R2574" t="str">
        <f t="shared" si="81"/>
        <v>[lLDyBx5XyUi]|15-24|Male|DIAGNOSED_SUBNAT.T_1|CY2024Q3</v>
      </c>
    </row>
    <row r="2575" spans="4:18" x14ac:dyDescent="0.2">
      <c r="D2575" t="s">
        <v>99</v>
      </c>
      <c r="E2575" t="s">
        <v>100</v>
      </c>
      <c r="F2575" t="s">
        <v>101</v>
      </c>
      <c r="G2575" t="s">
        <v>148</v>
      </c>
      <c r="H2575" t="s">
        <v>149</v>
      </c>
      <c r="I2575" t="s">
        <v>41</v>
      </c>
      <c r="J2575" t="s">
        <v>42</v>
      </c>
      <c r="K2575" t="s">
        <v>48</v>
      </c>
      <c r="L2575" t="s">
        <v>49</v>
      </c>
      <c r="M2575" t="s">
        <v>140</v>
      </c>
      <c r="N2575">
        <v>2228</v>
      </c>
      <c r="O2575">
        <v>8.0267282999999995E-2</v>
      </c>
      <c r="P2575">
        <v>4.2830963E-2</v>
      </c>
      <c r="Q2575" t="str">
        <f t="shared" si="80"/>
        <v>25-34</v>
      </c>
      <c r="R2575" t="str">
        <f t="shared" si="81"/>
        <v>[lLDyBx5XyUi]|25-34|Male|DIAGNOSED_SUBNAT.T_1|CY2024Q3</v>
      </c>
    </row>
    <row r="2576" spans="4:18" x14ac:dyDescent="0.2">
      <c r="D2576" t="s">
        <v>99</v>
      </c>
      <c r="E2576" t="s">
        <v>100</v>
      </c>
      <c r="F2576" t="s">
        <v>101</v>
      </c>
      <c r="G2576" t="s">
        <v>148</v>
      </c>
      <c r="H2576" t="s">
        <v>149</v>
      </c>
      <c r="I2576" t="s">
        <v>43</v>
      </c>
      <c r="J2576" t="s">
        <v>44</v>
      </c>
      <c r="K2576" t="s">
        <v>48</v>
      </c>
      <c r="L2576" t="s">
        <v>49</v>
      </c>
      <c r="M2576" t="s">
        <v>140</v>
      </c>
      <c r="N2576">
        <v>8406</v>
      </c>
      <c r="O2576">
        <v>5.1739801000000002E-2</v>
      </c>
      <c r="P2576">
        <v>4.2830963E-2</v>
      </c>
      <c r="Q2576" t="str">
        <f t="shared" si="80"/>
        <v>35-49</v>
      </c>
      <c r="R2576" t="str">
        <f t="shared" si="81"/>
        <v>[lLDyBx5XyUi]|35-49|Male|DIAGNOSED_SUBNAT.T_1|CY2024Q3</v>
      </c>
    </row>
    <row r="2577" spans="4:18" x14ac:dyDescent="0.2">
      <c r="D2577" t="s">
        <v>99</v>
      </c>
      <c r="E2577" t="s">
        <v>100</v>
      </c>
      <c r="F2577" t="s">
        <v>101</v>
      </c>
      <c r="G2577" t="s">
        <v>148</v>
      </c>
      <c r="H2577" t="s">
        <v>149</v>
      </c>
      <c r="I2577" t="s">
        <v>45</v>
      </c>
      <c r="J2577" t="s">
        <v>46</v>
      </c>
      <c r="K2577" t="s">
        <v>48</v>
      </c>
      <c r="L2577" t="s">
        <v>49</v>
      </c>
      <c r="M2577" t="s">
        <v>140</v>
      </c>
      <c r="N2577">
        <v>6763</v>
      </c>
      <c r="O2577">
        <v>5.2617179E-2</v>
      </c>
      <c r="P2577">
        <v>4.2830963E-2</v>
      </c>
      <c r="Q2577" t="str">
        <f t="shared" si="80"/>
        <v>50+</v>
      </c>
      <c r="R2577" t="str">
        <f t="shared" si="81"/>
        <v>[lLDyBx5XyUi]|50+|Male|DIAGNOSED_SUBNAT.T_1|CY2024Q3</v>
      </c>
    </row>
    <row r="2578" spans="4:18" x14ac:dyDescent="0.2">
      <c r="D2578" t="s">
        <v>102</v>
      </c>
      <c r="E2578" t="s">
        <v>103</v>
      </c>
      <c r="F2578" t="s">
        <v>104</v>
      </c>
      <c r="G2578" t="s">
        <v>148</v>
      </c>
      <c r="H2578" t="s">
        <v>149</v>
      </c>
      <c r="I2578" t="s">
        <v>28</v>
      </c>
      <c r="J2578" t="s">
        <v>29</v>
      </c>
      <c r="K2578" t="s">
        <v>30</v>
      </c>
      <c r="L2578" t="s">
        <v>31</v>
      </c>
      <c r="M2578" t="s">
        <v>140</v>
      </c>
      <c r="N2578">
        <v>14</v>
      </c>
      <c r="O2578">
        <v>7.2931939000000001E-2</v>
      </c>
      <c r="P2578">
        <v>6.4442438000000005E-2</v>
      </c>
      <c r="Q2578" t="str">
        <f t="shared" si="80"/>
        <v>&lt;01</v>
      </c>
      <c r="R2578" t="str">
        <f t="shared" si="81"/>
        <v>[TYnMSwzko3z]|&lt;01|Female|DIAGNOSED_SUBNAT.T_1|CY2024Q3</v>
      </c>
    </row>
    <row r="2579" spans="4:18" x14ac:dyDescent="0.2">
      <c r="D2579" t="s">
        <v>102</v>
      </c>
      <c r="E2579" t="s">
        <v>103</v>
      </c>
      <c r="F2579" t="s">
        <v>104</v>
      </c>
      <c r="G2579" t="s">
        <v>148</v>
      </c>
      <c r="H2579" t="s">
        <v>149</v>
      </c>
      <c r="I2579" t="s">
        <v>33</v>
      </c>
      <c r="J2579" t="s">
        <v>34</v>
      </c>
      <c r="K2579" t="s">
        <v>30</v>
      </c>
      <c r="L2579" t="s">
        <v>31</v>
      </c>
      <c r="M2579" t="s">
        <v>140</v>
      </c>
      <c r="N2579">
        <v>310</v>
      </c>
      <c r="O2579">
        <v>7.1567902000000003E-2</v>
      </c>
      <c r="P2579">
        <v>6.4442438000000005E-2</v>
      </c>
      <c r="Q2579" t="str">
        <f t="shared" si="80"/>
        <v>01-09</v>
      </c>
      <c r="R2579" t="str">
        <f t="shared" si="81"/>
        <v>[TYnMSwzko3z]|01-09|Female|DIAGNOSED_SUBNAT.T_1|CY2024Q3</v>
      </c>
    </row>
    <row r="2580" spans="4:18" x14ac:dyDescent="0.2">
      <c r="D2580" t="s">
        <v>102</v>
      </c>
      <c r="E2580" t="s">
        <v>103</v>
      </c>
      <c r="F2580" t="s">
        <v>104</v>
      </c>
      <c r="G2580" t="s">
        <v>148</v>
      </c>
      <c r="H2580" t="s">
        <v>149</v>
      </c>
      <c r="I2580" t="s">
        <v>36</v>
      </c>
      <c r="J2580" t="s">
        <v>37</v>
      </c>
      <c r="K2580" t="s">
        <v>30</v>
      </c>
      <c r="L2580" t="s">
        <v>31</v>
      </c>
      <c r="M2580" t="s">
        <v>140</v>
      </c>
      <c r="N2580">
        <v>395</v>
      </c>
      <c r="O2580">
        <v>7.0933166000000006E-2</v>
      </c>
      <c r="P2580">
        <v>6.4442438000000005E-2</v>
      </c>
      <c r="Q2580" t="str">
        <f t="shared" si="80"/>
        <v>10-14</v>
      </c>
      <c r="R2580" t="str">
        <f t="shared" si="81"/>
        <v>[TYnMSwzko3z]|10-14|Female|DIAGNOSED_SUBNAT.T_1|CY2024Q3</v>
      </c>
    </row>
    <row r="2581" spans="4:18" x14ac:dyDescent="0.2">
      <c r="D2581" t="s">
        <v>102</v>
      </c>
      <c r="E2581" t="s">
        <v>103</v>
      </c>
      <c r="F2581" t="s">
        <v>104</v>
      </c>
      <c r="G2581" t="s">
        <v>148</v>
      </c>
      <c r="H2581" t="s">
        <v>149</v>
      </c>
      <c r="I2581" t="s">
        <v>38</v>
      </c>
      <c r="J2581" t="s">
        <v>39</v>
      </c>
      <c r="K2581" t="s">
        <v>30</v>
      </c>
      <c r="L2581" t="s">
        <v>31</v>
      </c>
      <c r="M2581" t="s">
        <v>140</v>
      </c>
      <c r="N2581">
        <v>1505</v>
      </c>
      <c r="O2581">
        <v>9.0758251999999998E-2</v>
      </c>
      <c r="P2581">
        <v>6.4442438000000005E-2</v>
      </c>
      <c r="Q2581" t="str">
        <f t="shared" si="80"/>
        <v>15-24</v>
      </c>
      <c r="R2581" t="str">
        <f t="shared" si="81"/>
        <v>[TYnMSwzko3z]|15-24|Female|DIAGNOSED_SUBNAT.T_1|CY2024Q3</v>
      </c>
    </row>
    <row r="2582" spans="4:18" x14ac:dyDescent="0.2">
      <c r="D2582" t="s">
        <v>102</v>
      </c>
      <c r="E2582" t="s">
        <v>103</v>
      </c>
      <c r="F2582" t="s">
        <v>104</v>
      </c>
      <c r="G2582" t="s">
        <v>148</v>
      </c>
      <c r="H2582" t="s">
        <v>149</v>
      </c>
      <c r="I2582" t="s">
        <v>41</v>
      </c>
      <c r="J2582" t="s">
        <v>42</v>
      </c>
      <c r="K2582" t="s">
        <v>30</v>
      </c>
      <c r="L2582" t="s">
        <v>31</v>
      </c>
      <c r="M2582" t="s">
        <v>140</v>
      </c>
      <c r="N2582">
        <v>3875</v>
      </c>
      <c r="O2582">
        <v>7.6603633000000004E-2</v>
      </c>
      <c r="P2582">
        <v>6.4442438000000005E-2</v>
      </c>
      <c r="Q2582" t="str">
        <f t="shared" si="80"/>
        <v>25-34</v>
      </c>
      <c r="R2582" t="str">
        <f t="shared" si="81"/>
        <v>[TYnMSwzko3z]|25-34|Female|DIAGNOSED_SUBNAT.T_1|CY2024Q3</v>
      </c>
    </row>
    <row r="2583" spans="4:18" x14ac:dyDescent="0.2">
      <c r="D2583" t="s">
        <v>102</v>
      </c>
      <c r="E2583" t="s">
        <v>103</v>
      </c>
      <c r="F2583" t="s">
        <v>104</v>
      </c>
      <c r="G2583" t="s">
        <v>148</v>
      </c>
      <c r="H2583" t="s">
        <v>149</v>
      </c>
      <c r="I2583" t="s">
        <v>43</v>
      </c>
      <c r="J2583" t="s">
        <v>44</v>
      </c>
      <c r="K2583" t="s">
        <v>30</v>
      </c>
      <c r="L2583" t="s">
        <v>31</v>
      </c>
      <c r="M2583" t="s">
        <v>140</v>
      </c>
      <c r="N2583">
        <v>9604</v>
      </c>
      <c r="O2583">
        <v>6.4464740000000006E-2</v>
      </c>
      <c r="P2583">
        <v>6.4442438000000005E-2</v>
      </c>
      <c r="Q2583" t="str">
        <f t="shared" si="80"/>
        <v>35-49</v>
      </c>
      <c r="R2583" t="str">
        <f t="shared" si="81"/>
        <v>[TYnMSwzko3z]|35-49|Female|DIAGNOSED_SUBNAT.T_1|CY2024Q3</v>
      </c>
    </row>
    <row r="2584" spans="4:18" x14ac:dyDescent="0.2">
      <c r="D2584" t="s">
        <v>102</v>
      </c>
      <c r="E2584" t="s">
        <v>103</v>
      </c>
      <c r="F2584" t="s">
        <v>104</v>
      </c>
      <c r="G2584" t="s">
        <v>148</v>
      </c>
      <c r="H2584" t="s">
        <v>149</v>
      </c>
      <c r="I2584" t="s">
        <v>45</v>
      </c>
      <c r="J2584" t="s">
        <v>46</v>
      </c>
      <c r="K2584" t="s">
        <v>30</v>
      </c>
      <c r="L2584" t="s">
        <v>31</v>
      </c>
      <c r="M2584" t="s">
        <v>140</v>
      </c>
      <c r="N2584">
        <v>4495</v>
      </c>
      <c r="O2584">
        <v>7.3846670000000003E-2</v>
      </c>
      <c r="P2584">
        <v>6.4442438000000005E-2</v>
      </c>
      <c r="Q2584" t="str">
        <f t="shared" si="80"/>
        <v>50+</v>
      </c>
      <c r="R2584" t="str">
        <f t="shared" si="81"/>
        <v>[TYnMSwzko3z]|50+|Female|DIAGNOSED_SUBNAT.T_1|CY2024Q3</v>
      </c>
    </row>
    <row r="2585" spans="4:18" x14ac:dyDescent="0.2">
      <c r="D2585" t="s">
        <v>102</v>
      </c>
      <c r="E2585" t="s">
        <v>103</v>
      </c>
      <c r="F2585" t="s">
        <v>104</v>
      </c>
      <c r="G2585" t="s">
        <v>148</v>
      </c>
      <c r="H2585" t="s">
        <v>149</v>
      </c>
      <c r="I2585" t="s">
        <v>28</v>
      </c>
      <c r="J2585" t="s">
        <v>29</v>
      </c>
      <c r="K2585" t="s">
        <v>48</v>
      </c>
      <c r="L2585" t="s">
        <v>49</v>
      </c>
      <c r="M2585" t="s">
        <v>140</v>
      </c>
      <c r="N2585">
        <v>14</v>
      </c>
      <c r="O2585">
        <v>6.7630970999999998E-2</v>
      </c>
      <c r="P2585">
        <v>6.4442438000000005E-2</v>
      </c>
      <c r="Q2585" t="str">
        <f t="shared" si="80"/>
        <v>&lt;01</v>
      </c>
      <c r="R2585" t="str">
        <f t="shared" si="81"/>
        <v>[TYnMSwzko3z]|&lt;01|Male|DIAGNOSED_SUBNAT.T_1|CY2024Q3</v>
      </c>
    </row>
    <row r="2586" spans="4:18" x14ac:dyDescent="0.2">
      <c r="D2586" t="s">
        <v>102</v>
      </c>
      <c r="E2586" t="s">
        <v>103</v>
      </c>
      <c r="F2586" t="s">
        <v>104</v>
      </c>
      <c r="G2586" t="s">
        <v>148</v>
      </c>
      <c r="H2586" t="s">
        <v>149</v>
      </c>
      <c r="I2586" t="s">
        <v>33</v>
      </c>
      <c r="J2586" t="s">
        <v>34</v>
      </c>
      <c r="K2586" t="s">
        <v>48</v>
      </c>
      <c r="L2586" t="s">
        <v>49</v>
      </c>
      <c r="M2586" t="s">
        <v>140</v>
      </c>
      <c r="N2586">
        <v>312</v>
      </c>
      <c r="O2586">
        <v>6.9767026999999995E-2</v>
      </c>
      <c r="P2586">
        <v>6.4442438000000005E-2</v>
      </c>
      <c r="Q2586" t="str">
        <f t="shared" si="80"/>
        <v>01-09</v>
      </c>
      <c r="R2586" t="str">
        <f t="shared" si="81"/>
        <v>[TYnMSwzko3z]|01-09|Male|DIAGNOSED_SUBNAT.T_1|CY2024Q3</v>
      </c>
    </row>
    <row r="2587" spans="4:18" x14ac:dyDescent="0.2">
      <c r="D2587" t="s">
        <v>102</v>
      </c>
      <c r="E2587" t="s">
        <v>103</v>
      </c>
      <c r="F2587" t="s">
        <v>104</v>
      </c>
      <c r="G2587" t="s">
        <v>148</v>
      </c>
      <c r="H2587" t="s">
        <v>149</v>
      </c>
      <c r="I2587" t="s">
        <v>36</v>
      </c>
      <c r="J2587" t="s">
        <v>37</v>
      </c>
      <c r="K2587" t="s">
        <v>48</v>
      </c>
      <c r="L2587" t="s">
        <v>49</v>
      </c>
      <c r="M2587" t="s">
        <v>140</v>
      </c>
      <c r="N2587">
        <v>393</v>
      </c>
      <c r="O2587">
        <v>7.3361368999999996E-2</v>
      </c>
      <c r="P2587">
        <v>6.4442438000000005E-2</v>
      </c>
      <c r="Q2587" t="str">
        <f t="shared" si="80"/>
        <v>10-14</v>
      </c>
      <c r="R2587" t="str">
        <f t="shared" si="81"/>
        <v>[TYnMSwzko3z]|10-14|Male|DIAGNOSED_SUBNAT.T_1|CY2024Q3</v>
      </c>
    </row>
    <row r="2588" spans="4:18" x14ac:dyDescent="0.2">
      <c r="D2588" t="s">
        <v>102</v>
      </c>
      <c r="E2588" t="s">
        <v>103</v>
      </c>
      <c r="F2588" t="s">
        <v>104</v>
      </c>
      <c r="G2588" t="s">
        <v>148</v>
      </c>
      <c r="H2588" t="s">
        <v>149</v>
      </c>
      <c r="I2588" t="s">
        <v>38</v>
      </c>
      <c r="J2588" t="s">
        <v>39</v>
      </c>
      <c r="K2588" t="s">
        <v>48</v>
      </c>
      <c r="L2588" t="s">
        <v>49</v>
      </c>
      <c r="M2588" t="s">
        <v>140</v>
      </c>
      <c r="N2588">
        <v>944</v>
      </c>
      <c r="O2588">
        <v>9.3420498000000005E-2</v>
      </c>
      <c r="P2588">
        <v>6.4442438000000005E-2</v>
      </c>
      <c r="Q2588" t="str">
        <f t="shared" si="80"/>
        <v>15-24</v>
      </c>
      <c r="R2588" t="str">
        <f t="shared" si="81"/>
        <v>[TYnMSwzko3z]|15-24|Male|DIAGNOSED_SUBNAT.T_1|CY2024Q3</v>
      </c>
    </row>
    <row r="2589" spans="4:18" x14ac:dyDescent="0.2">
      <c r="D2589" t="s">
        <v>102</v>
      </c>
      <c r="E2589" t="s">
        <v>103</v>
      </c>
      <c r="F2589" t="s">
        <v>104</v>
      </c>
      <c r="G2589" t="s">
        <v>148</v>
      </c>
      <c r="H2589" t="s">
        <v>149</v>
      </c>
      <c r="I2589" t="s">
        <v>41</v>
      </c>
      <c r="J2589" t="s">
        <v>42</v>
      </c>
      <c r="K2589" t="s">
        <v>48</v>
      </c>
      <c r="L2589" t="s">
        <v>49</v>
      </c>
      <c r="M2589" t="s">
        <v>140</v>
      </c>
      <c r="N2589">
        <v>1006</v>
      </c>
      <c r="O2589">
        <v>9.2715262000000007E-2</v>
      </c>
      <c r="P2589">
        <v>6.4442438000000005E-2</v>
      </c>
      <c r="Q2589" t="str">
        <f t="shared" si="80"/>
        <v>25-34</v>
      </c>
      <c r="R2589" t="str">
        <f t="shared" si="81"/>
        <v>[TYnMSwzko3z]|25-34|Male|DIAGNOSED_SUBNAT.T_1|CY2024Q3</v>
      </c>
    </row>
    <row r="2590" spans="4:18" x14ac:dyDescent="0.2">
      <c r="D2590" t="s">
        <v>102</v>
      </c>
      <c r="E2590" t="s">
        <v>103</v>
      </c>
      <c r="F2590" t="s">
        <v>104</v>
      </c>
      <c r="G2590" t="s">
        <v>148</v>
      </c>
      <c r="H2590" t="s">
        <v>149</v>
      </c>
      <c r="I2590" t="s">
        <v>43</v>
      </c>
      <c r="J2590" t="s">
        <v>44</v>
      </c>
      <c r="K2590" t="s">
        <v>48</v>
      </c>
      <c r="L2590" t="s">
        <v>49</v>
      </c>
      <c r="M2590" t="s">
        <v>140</v>
      </c>
      <c r="N2590">
        <v>3860</v>
      </c>
      <c r="O2590">
        <v>7.3562522000000005E-2</v>
      </c>
      <c r="P2590">
        <v>6.4442438000000005E-2</v>
      </c>
      <c r="Q2590" t="str">
        <f t="shared" si="80"/>
        <v>35-49</v>
      </c>
      <c r="R2590" t="str">
        <f t="shared" si="81"/>
        <v>[TYnMSwzko3z]|35-49|Male|DIAGNOSED_SUBNAT.T_1|CY2024Q3</v>
      </c>
    </row>
    <row r="2591" spans="4:18" x14ac:dyDescent="0.2">
      <c r="D2591" t="s">
        <v>102</v>
      </c>
      <c r="E2591" t="s">
        <v>103</v>
      </c>
      <c r="F2591" t="s">
        <v>104</v>
      </c>
      <c r="G2591" t="s">
        <v>148</v>
      </c>
      <c r="H2591" t="s">
        <v>149</v>
      </c>
      <c r="I2591" t="s">
        <v>45</v>
      </c>
      <c r="J2591" t="s">
        <v>46</v>
      </c>
      <c r="K2591" t="s">
        <v>48</v>
      </c>
      <c r="L2591" t="s">
        <v>49</v>
      </c>
      <c r="M2591" t="s">
        <v>140</v>
      </c>
      <c r="N2591">
        <v>3176</v>
      </c>
      <c r="O2591">
        <v>7.3246332999999997E-2</v>
      </c>
      <c r="P2591">
        <v>6.4442438000000005E-2</v>
      </c>
      <c r="Q2591" t="str">
        <f t="shared" si="80"/>
        <v>50+</v>
      </c>
      <c r="R2591" t="str">
        <f t="shared" si="81"/>
        <v>[TYnMSwzko3z]|50+|Male|DIAGNOSED_SUBNAT.T_1|CY2024Q3</v>
      </c>
    </row>
    <row r="2592" spans="4:18" x14ac:dyDescent="0.2">
      <c r="D2592" t="s">
        <v>105</v>
      </c>
      <c r="E2592" t="s">
        <v>106</v>
      </c>
      <c r="F2592" t="s">
        <v>107</v>
      </c>
      <c r="G2592" t="s">
        <v>148</v>
      </c>
      <c r="H2592" t="s">
        <v>149</v>
      </c>
      <c r="I2592" t="s">
        <v>28</v>
      </c>
      <c r="J2592" t="s">
        <v>29</v>
      </c>
      <c r="K2592" t="s">
        <v>30</v>
      </c>
      <c r="L2592" t="s">
        <v>31</v>
      </c>
      <c r="M2592" t="s">
        <v>140</v>
      </c>
      <c r="N2592">
        <v>28</v>
      </c>
      <c r="O2592">
        <v>4.5876367000000001E-2</v>
      </c>
      <c r="P2592">
        <v>3.4560394000000001E-2</v>
      </c>
      <c r="Q2592" t="str">
        <f t="shared" si="80"/>
        <v>&lt;01</v>
      </c>
      <c r="R2592" t="str">
        <f t="shared" si="81"/>
        <v>[fyEoGEPERdI]|&lt;01|Female|DIAGNOSED_SUBNAT.T_1|CY2024Q3</v>
      </c>
    </row>
    <row r="2593" spans="4:18" x14ac:dyDescent="0.2">
      <c r="D2593" t="s">
        <v>105</v>
      </c>
      <c r="E2593" t="s">
        <v>106</v>
      </c>
      <c r="F2593" t="s">
        <v>107</v>
      </c>
      <c r="G2593" t="s">
        <v>148</v>
      </c>
      <c r="H2593" t="s">
        <v>149</v>
      </c>
      <c r="I2593" t="s">
        <v>33</v>
      </c>
      <c r="J2593" t="s">
        <v>34</v>
      </c>
      <c r="K2593" t="s">
        <v>30</v>
      </c>
      <c r="L2593" t="s">
        <v>31</v>
      </c>
      <c r="M2593" t="s">
        <v>140</v>
      </c>
      <c r="N2593">
        <v>550</v>
      </c>
      <c r="O2593">
        <v>4.5025993E-2</v>
      </c>
      <c r="P2593">
        <v>3.4560394000000001E-2</v>
      </c>
      <c r="Q2593" t="str">
        <f t="shared" si="80"/>
        <v>01-09</v>
      </c>
      <c r="R2593" t="str">
        <f t="shared" si="81"/>
        <v>[fyEoGEPERdI]|01-09|Female|DIAGNOSED_SUBNAT.T_1|CY2024Q3</v>
      </c>
    </row>
    <row r="2594" spans="4:18" x14ac:dyDescent="0.2">
      <c r="D2594" t="s">
        <v>105</v>
      </c>
      <c r="E2594" t="s">
        <v>106</v>
      </c>
      <c r="F2594" t="s">
        <v>107</v>
      </c>
      <c r="G2594" t="s">
        <v>148</v>
      </c>
      <c r="H2594" t="s">
        <v>149</v>
      </c>
      <c r="I2594" t="s">
        <v>36</v>
      </c>
      <c r="J2594" t="s">
        <v>37</v>
      </c>
      <c r="K2594" t="s">
        <v>30</v>
      </c>
      <c r="L2594" t="s">
        <v>31</v>
      </c>
      <c r="M2594" t="s">
        <v>140</v>
      </c>
      <c r="N2594">
        <v>705</v>
      </c>
      <c r="O2594">
        <v>4.4489964E-2</v>
      </c>
      <c r="P2594">
        <v>3.4560394000000001E-2</v>
      </c>
      <c r="Q2594" t="str">
        <f t="shared" si="80"/>
        <v>10-14</v>
      </c>
      <c r="R2594" t="str">
        <f t="shared" si="81"/>
        <v>[fyEoGEPERdI]|10-14|Female|DIAGNOSED_SUBNAT.T_1|CY2024Q3</v>
      </c>
    </row>
    <row r="2595" spans="4:18" x14ac:dyDescent="0.2">
      <c r="D2595" t="s">
        <v>105</v>
      </c>
      <c r="E2595" t="s">
        <v>106</v>
      </c>
      <c r="F2595" t="s">
        <v>107</v>
      </c>
      <c r="G2595" t="s">
        <v>148</v>
      </c>
      <c r="H2595" t="s">
        <v>149</v>
      </c>
      <c r="I2595" t="s">
        <v>38</v>
      </c>
      <c r="J2595" t="s">
        <v>39</v>
      </c>
      <c r="K2595" t="s">
        <v>30</v>
      </c>
      <c r="L2595" t="s">
        <v>31</v>
      </c>
      <c r="M2595" t="s">
        <v>140</v>
      </c>
      <c r="N2595">
        <v>3276</v>
      </c>
      <c r="O2595">
        <v>7.1301779999999995E-2</v>
      </c>
      <c r="P2595">
        <v>3.4560394000000001E-2</v>
      </c>
      <c r="Q2595" t="str">
        <f t="shared" si="80"/>
        <v>15-24</v>
      </c>
      <c r="R2595" t="str">
        <f t="shared" si="81"/>
        <v>[fyEoGEPERdI]|15-24|Female|DIAGNOSED_SUBNAT.T_1|CY2024Q3</v>
      </c>
    </row>
    <row r="2596" spans="4:18" x14ac:dyDescent="0.2">
      <c r="D2596" t="s">
        <v>105</v>
      </c>
      <c r="E2596" t="s">
        <v>106</v>
      </c>
      <c r="F2596" t="s">
        <v>107</v>
      </c>
      <c r="G2596" t="s">
        <v>148</v>
      </c>
      <c r="H2596" t="s">
        <v>149</v>
      </c>
      <c r="I2596" t="s">
        <v>41</v>
      </c>
      <c r="J2596" t="s">
        <v>42</v>
      </c>
      <c r="K2596" t="s">
        <v>30</v>
      </c>
      <c r="L2596" t="s">
        <v>31</v>
      </c>
      <c r="M2596" t="s">
        <v>140</v>
      </c>
      <c r="N2596">
        <v>8606</v>
      </c>
      <c r="O2596">
        <v>4.8320250000000002E-2</v>
      </c>
      <c r="P2596">
        <v>3.4560394000000001E-2</v>
      </c>
      <c r="Q2596" t="str">
        <f t="shared" si="80"/>
        <v>25-34</v>
      </c>
      <c r="R2596" t="str">
        <f t="shared" si="81"/>
        <v>[fyEoGEPERdI]|25-34|Female|DIAGNOSED_SUBNAT.T_1|CY2024Q3</v>
      </c>
    </row>
    <row r="2597" spans="4:18" x14ac:dyDescent="0.2">
      <c r="D2597" t="s">
        <v>105</v>
      </c>
      <c r="E2597" t="s">
        <v>106</v>
      </c>
      <c r="F2597" t="s">
        <v>107</v>
      </c>
      <c r="G2597" t="s">
        <v>148</v>
      </c>
      <c r="H2597" t="s">
        <v>149</v>
      </c>
      <c r="I2597" t="s">
        <v>43</v>
      </c>
      <c r="J2597" t="s">
        <v>44</v>
      </c>
      <c r="K2597" t="s">
        <v>30</v>
      </c>
      <c r="L2597" t="s">
        <v>31</v>
      </c>
      <c r="M2597" t="s">
        <v>140</v>
      </c>
      <c r="N2597">
        <v>21053</v>
      </c>
      <c r="O2597">
        <v>3.7371226E-2</v>
      </c>
      <c r="P2597">
        <v>3.4560394000000001E-2</v>
      </c>
      <c r="Q2597" t="str">
        <f t="shared" si="80"/>
        <v>35-49</v>
      </c>
      <c r="R2597" t="str">
        <f t="shared" si="81"/>
        <v>[fyEoGEPERdI]|35-49|Female|DIAGNOSED_SUBNAT.T_1|CY2024Q3</v>
      </c>
    </row>
    <row r="2598" spans="4:18" x14ac:dyDescent="0.2">
      <c r="D2598" t="s">
        <v>105</v>
      </c>
      <c r="E2598" t="s">
        <v>106</v>
      </c>
      <c r="F2598" t="s">
        <v>107</v>
      </c>
      <c r="G2598" t="s">
        <v>148</v>
      </c>
      <c r="H2598" t="s">
        <v>149</v>
      </c>
      <c r="I2598" t="s">
        <v>45</v>
      </c>
      <c r="J2598" t="s">
        <v>46</v>
      </c>
      <c r="K2598" t="s">
        <v>30</v>
      </c>
      <c r="L2598" t="s">
        <v>31</v>
      </c>
      <c r="M2598" t="s">
        <v>140</v>
      </c>
      <c r="N2598">
        <v>9566</v>
      </c>
      <c r="O2598">
        <v>5.0279322000000001E-2</v>
      </c>
      <c r="P2598">
        <v>3.4560394000000001E-2</v>
      </c>
      <c r="Q2598" t="str">
        <f t="shared" si="80"/>
        <v>50+</v>
      </c>
      <c r="R2598" t="str">
        <f t="shared" si="81"/>
        <v>[fyEoGEPERdI]|50+|Female|DIAGNOSED_SUBNAT.T_1|CY2024Q3</v>
      </c>
    </row>
    <row r="2599" spans="4:18" x14ac:dyDescent="0.2">
      <c r="D2599" t="s">
        <v>105</v>
      </c>
      <c r="E2599" t="s">
        <v>106</v>
      </c>
      <c r="F2599" t="s">
        <v>107</v>
      </c>
      <c r="G2599" t="s">
        <v>148</v>
      </c>
      <c r="H2599" t="s">
        <v>149</v>
      </c>
      <c r="I2599" t="s">
        <v>28</v>
      </c>
      <c r="J2599" t="s">
        <v>29</v>
      </c>
      <c r="K2599" t="s">
        <v>48</v>
      </c>
      <c r="L2599" t="s">
        <v>49</v>
      </c>
      <c r="M2599" t="s">
        <v>140</v>
      </c>
      <c r="N2599">
        <v>28</v>
      </c>
      <c r="O2599">
        <v>4.0984315E-2</v>
      </c>
      <c r="P2599">
        <v>3.4560394000000001E-2</v>
      </c>
      <c r="Q2599" t="str">
        <f t="shared" si="80"/>
        <v>&lt;01</v>
      </c>
      <c r="R2599" t="str">
        <f t="shared" si="81"/>
        <v>[fyEoGEPERdI]|&lt;01|Male|DIAGNOSED_SUBNAT.T_1|CY2024Q3</v>
      </c>
    </row>
    <row r="2600" spans="4:18" x14ac:dyDescent="0.2">
      <c r="D2600" t="s">
        <v>105</v>
      </c>
      <c r="E2600" t="s">
        <v>106</v>
      </c>
      <c r="F2600" t="s">
        <v>107</v>
      </c>
      <c r="G2600" t="s">
        <v>148</v>
      </c>
      <c r="H2600" t="s">
        <v>149</v>
      </c>
      <c r="I2600" t="s">
        <v>33</v>
      </c>
      <c r="J2600" t="s">
        <v>34</v>
      </c>
      <c r="K2600" t="s">
        <v>48</v>
      </c>
      <c r="L2600" t="s">
        <v>49</v>
      </c>
      <c r="M2600" t="s">
        <v>140</v>
      </c>
      <c r="N2600">
        <v>561</v>
      </c>
      <c r="O2600">
        <v>4.2368469999999998E-2</v>
      </c>
      <c r="P2600">
        <v>3.4560394000000001E-2</v>
      </c>
      <c r="Q2600" t="str">
        <f t="shared" si="80"/>
        <v>01-09</v>
      </c>
      <c r="R2600" t="str">
        <f t="shared" si="81"/>
        <v>[fyEoGEPERdI]|01-09|Male|DIAGNOSED_SUBNAT.T_1|CY2024Q3</v>
      </c>
    </row>
    <row r="2601" spans="4:18" x14ac:dyDescent="0.2">
      <c r="D2601" t="s">
        <v>105</v>
      </c>
      <c r="E2601" t="s">
        <v>106</v>
      </c>
      <c r="F2601" t="s">
        <v>107</v>
      </c>
      <c r="G2601" t="s">
        <v>148</v>
      </c>
      <c r="H2601" t="s">
        <v>149</v>
      </c>
      <c r="I2601" t="s">
        <v>36</v>
      </c>
      <c r="J2601" t="s">
        <v>37</v>
      </c>
      <c r="K2601" t="s">
        <v>48</v>
      </c>
      <c r="L2601" t="s">
        <v>49</v>
      </c>
      <c r="M2601" t="s">
        <v>140</v>
      </c>
      <c r="N2601">
        <v>710</v>
      </c>
      <c r="O2601">
        <v>4.4993498999999999E-2</v>
      </c>
      <c r="P2601">
        <v>3.4560394000000001E-2</v>
      </c>
      <c r="Q2601" t="str">
        <f t="shared" si="80"/>
        <v>10-14</v>
      </c>
      <c r="R2601" t="str">
        <f t="shared" si="81"/>
        <v>[fyEoGEPERdI]|10-14|Male|DIAGNOSED_SUBNAT.T_1|CY2024Q3</v>
      </c>
    </row>
    <row r="2602" spans="4:18" x14ac:dyDescent="0.2">
      <c r="D2602" t="s">
        <v>105</v>
      </c>
      <c r="E2602" t="s">
        <v>106</v>
      </c>
      <c r="F2602" t="s">
        <v>107</v>
      </c>
      <c r="G2602" t="s">
        <v>148</v>
      </c>
      <c r="H2602" t="s">
        <v>149</v>
      </c>
      <c r="I2602" t="s">
        <v>38</v>
      </c>
      <c r="J2602" t="s">
        <v>39</v>
      </c>
      <c r="K2602" t="s">
        <v>48</v>
      </c>
      <c r="L2602" t="s">
        <v>49</v>
      </c>
      <c r="M2602" t="s">
        <v>140</v>
      </c>
      <c r="N2602">
        <v>2181</v>
      </c>
      <c r="O2602">
        <v>7.9834372000000001E-2</v>
      </c>
      <c r="P2602">
        <v>3.4560394000000001E-2</v>
      </c>
      <c r="Q2602" t="str">
        <f t="shared" si="80"/>
        <v>15-24</v>
      </c>
      <c r="R2602" t="str">
        <f t="shared" si="81"/>
        <v>[fyEoGEPERdI]|15-24|Male|DIAGNOSED_SUBNAT.T_1|CY2024Q3</v>
      </c>
    </row>
    <row r="2603" spans="4:18" x14ac:dyDescent="0.2">
      <c r="D2603" t="s">
        <v>105</v>
      </c>
      <c r="E2603" t="s">
        <v>106</v>
      </c>
      <c r="F2603" t="s">
        <v>107</v>
      </c>
      <c r="G2603" t="s">
        <v>148</v>
      </c>
      <c r="H2603" t="s">
        <v>149</v>
      </c>
      <c r="I2603" t="s">
        <v>41</v>
      </c>
      <c r="J2603" t="s">
        <v>42</v>
      </c>
      <c r="K2603" t="s">
        <v>48</v>
      </c>
      <c r="L2603" t="s">
        <v>49</v>
      </c>
      <c r="M2603" t="s">
        <v>140</v>
      </c>
      <c r="N2603">
        <v>2884</v>
      </c>
      <c r="O2603">
        <v>6.9479975999999999E-2</v>
      </c>
      <c r="P2603">
        <v>3.4560394000000001E-2</v>
      </c>
      <c r="Q2603" t="str">
        <f t="shared" si="80"/>
        <v>25-34</v>
      </c>
      <c r="R2603" t="str">
        <f t="shared" si="81"/>
        <v>[fyEoGEPERdI]|25-34|Male|DIAGNOSED_SUBNAT.T_1|CY2024Q3</v>
      </c>
    </row>
    <row r="2604" spans="4:18" x14ac:dyDescent="0.2">
      <c r="D2604" t="s">
        <v>105</v>
      </c>
      <c r="E2604" t="s">
        <v>106</v>
      </c>
      <c r="F2604" t="s">
        <v>107</v>
      </c>
      <c r="G2604" t="s">
        <v>148</v>
      </c>
      <c r="H2604" t="s">
        <v>149</v>
      </c>
      <c r="I2604" t="s">
        <v>43</v>
      </c>
      <c r="J2604" t="s">
        <v>44</v>
      </c>
      <c r="K2604" t="s">
        <v>48</v>
      </c>
      <c r="L2604" t="s">
        <v>49</v>
      </c>
      <c r="M2604" t="s">
        <v>140</v>
      </c>
      <c r="N2604">
        <v>10292</v>
      </c>
      <c r="O2604">
        <v>4.2112557000000002E-2</v>
      </c>
      <c r="P2604">
        <v>3.4560394000000001E-2</v>
      </c>
      <c r="Q2604" t="str">
        <f t="shared" si="80"/>
        <v>35-49</v>
      </c>
      <c r="R2604" t="str">
        <f t="shared" si="81"/>
        <v>[fyEoGEPERdI]|35-49|Male|DIAGNOSED_SUBNAT.T_1|CY2024Q3</v>
      </c>
    </row>
    <row r="2605" spans="4:18" x14ac:dyDescent="0.2">
      <c r="D2605" t="s">
        <v>105</v>
      </c>
      <c r="E2605" t="s">
        <v>106</v>
      </c>
      <c r="F2605" t="s">
        <v>107</v>
      </c>
      <c r="G2605" t="s">
        <v>148</v>
      </c>
      <c r="H2605" t="s">
        <v>149</v>
      </c>
      <c r="I2605" t="s">
        <v>45</v>
      </c>
      <c r="J2605" t="s">
        <v>46</v>
      </c>
      <c r="K2605" t="s">
        <v>48</v>
      </c>
      <c r="L2605" t="s">
        <v>49</v>
      </c>
      <c r="M2605" t="s">
        <v>140</v>
      </c>
      <c r="N2605">
        <v>7252</v>
      </c>
      <c r="O2605">
        <v>4.4023919000000002E-2</v>
      </c>
      <c r="P2605">
        <v>3.4560394000000001E-2</v>
      </c>
      <c r="Q2605" t="str">
        <f t="shared" si="80"/>
        <v>50+</v>
      </c>
      <c r="R2605" t="str">
        <f t="shared" si="81"/>
        <v>[fyEoGEPERdI]|50+|Male|DIAGNOSED_SUBNAT.T_1|CY2024Q3</v>
      </c>
    </row>
    <row r="2606" spans="4:18" x14ac:dyDescent="0.2">
      <c r="D2606" t="s">
        <v>108</v>
      </c>
      <c r="E2606" t="s">
        <v>109</v>
      </c>
      <c r="F2606" t="s">
        <v>110</v>
      </c>
      <c r="G2606" t="s">
        <v>148</v>
      </c>
      <c r="H2606" t="s">
        <v>149</v>
      </c>
      <c r="I2606" t="s">
        <v>28</v>
      </c>
      <c r="J2606" t="s">
        <v>29</v>
      </c>
      <c r="K2606" t="s">
        <v>30</v>
      </c>
      <c r="L2606" t="s">
        <v>31</v>
      </c>
      <c r="M2606" t="s">
        <v>140</v>
      </c>
      <c r="N2606">
        <v>28</v>
      </c>
      <c r="O2606">
        <v>5.6140532E-2</v>
      </c>
      <c r="P2606">
        <v>4.3553775000000003E-2</v>
      </c>
      <c r="Q2606" t="str">
        <f t="shared" si="80"/>
        <v>&lt;01</v>
      </c>
      <c r="R2606" t="str">
        <f t="shared" si="81"/>
        <v>[umc2n1Z4wNv]|&lt;01|Female|DIAGNOSED_SUBNAT.T_1|CY2024Q3</v>
      </c>
    </row>
    <row r="2607" spans="4:18" x14ac:dyDescent="0.2">
      <c r="D2607" t="s">
        <v>108</v>
      </c>
      <c r="E2607" t="s">
        <v>109</v>
      </c>
      <c r="F2607" t="s">
        <v>110</v>
      </c>
      <c r="G2607" t="s">
        <v>148</v>
      </c>
      <c r="H2607" t="s">
        <v>149</v>
      </c>
      <c r="I2607" t="s">
        <v>33</v>
      </c>
      <c r="J2607" t="s">
        <v>34</v>
      </c>
      <c r="K2607" t="s">
        <v>30</v>
      </c>
      <c r="L2607" t="s">
        <v>31</v>
      </c>
      <c r="M2607" t="s">
        <v>140</v>
      </c>
      <c r="N2607">
        <v>528</v>
      </c>
      <c r="O2607">
        <v>5.3029747000000002E-2</v>
      </c>
      <c r="P2607">
        <v>4.3553775000000003E-2</v>
      </c>
      <c r="Q2607" t="str">
        <f t="shared" si="80"/>
        <v>01-09</v>
      </c>
      <c r="R2607" t="str">
        <f t="shared" si="81"/>
        <v>[umc2n1Z4wNv]|01-09|Female|DIAGNOSED_SUBNAT.T_1|CY2024Q3</v>
      </c>
    </row>
    <row r="2608" spans="4:18" x14ac:dyDescent="0.2">
      <c r="D2608" t="s">
        <v>108</v>
      </c>
      <c r="E2608" t="s">
        <v>109</v>
      </c>
      <c r="F2608" t="s">
        <v>110</v>
      </c>
      <c r="G2608" t="s">
        <v>148</v>
      </c>
      <c r="H2608" t="s">
        <v>149</v>
      </c>
      <c r="I2608" t="s">
        <v>36</v>
      </c>
      <c r="J2608" t="s">
        <v>37</v>
      </c>
      <c r="K2608" t="s">
        <v>30</v>
      </c>
      <c r="L2608" t="s">
        <v>31</v>
      </c>
      <c r="M2608" t="s">
        <v>140</v>
      </c>
      <c r="N2608">
        <v>653</v>
      </c>
      <c r="O2608">
        <v>5.1325661000000002E-2</v>
      </c>
      <c r="P2608">
        <v>4.3553775000000003E-2</v>
      </c>
      <c r="Q2608" t="str">
        <f t="shared" si="80"/>
        <v>10-14</v>
      </c>
      <c r="R2608" t="str">
        <f t="shared" si="81"/>
        <v>[umc2n1Z4wNv]|10-14|Female|DIAGNOSED_SUBNAT.T_1|CY2024Q3</v>
      </c>
    </row>
    <row r="2609" spans="4:18" x14ac:dyDescent="0.2">
      <c r="D2609" t="s">
        <v>108</v>
      </c>
      <c r="E2609" t="s">
        <v>109</v>
      </c>
      <c r="F2609" t="s">
        <v>110</v>
      </c>
      <c r="G2609" t="s">
        <v>148</v>
      </c>
      <c r="H2609" t="s">
        <v>149</v>
      </c>
      <c r="I2609" t="s">
        <v>38</v>
      </c>
      <c r="J2609" t="s">
        <v>39</v>
      </c>
      <c r="K2609" t="s">
        <v>30</v>
      </c>
      <c r="L2609" t="s">
        <v>31</v>
      </c>
      <c r="M2609" t="s">
        <v>140</v>
      </c>
      <c r="N2609">
        <v>3023</v>
      </c>
      <c r="O2609">
        <v>8.3735781999999995E-2</v>
      </c>
      <c r="P2609">
        <v>4.3553775000000003E-2</v>
      </c>
      <c r="Q2609" t="str">
        <f t="shared" si="80"/>
        <v>15-24</v>
      </c>
      <c r="R2609" t="str">
        <f t="shared" si="81"/>
        <v>[umc2n1Z4wNv]|15-24|Female|DIAGNOSED_SUBNAT.T_1|CY2024Q3</v>
      </c>
    </row>
    <row r="2610" spans="4:18" x14ac:dyDescent="0.2">
      <c r="D2610" t="s">
        <v>108</v>
      </c>
      <c r="E2610" t="s">
        <v>109</v>
      </c>
      <c r="F2610" t="s">
        <v>110</v>
      </c>
      <c r="G2610" t="s">
        <v>148</v>
      </c>
      <c r="H2610" t="s">
        <v>149</v>
      </c>
      <c r="I2610" t="s">
        <v>41</v>
      </c>
      <c r="J2610" t="s">
        <v>42</v>
      </c>
      <c r="K2610" t="s">
        <v>30</v>
      </c>
      <c r="L2610" t="s">
        <v>31</v>
      </c>
      <c r="M2610" t="s">
        <v>140</v>
      </c>
      <c r="N2610">
        <v>7701</v>
      </c>
      <c r="O2610">
        <v>5.7739036000000001E-2</v>
      </c>
      <c r="P2610">
        <v>4.3553775000000003E-2</v>
      </c>
      <c r="Q2610" t="str">
        <f t="shared" si="80"/>
        <v>25-34</v>
      </c>
      <c r="R2610" t="str">
        <f t="shared" si="81"/>
        <v>[umc2n1Z4wNv]|25-34|Female|DIAGNOSED_SUBNAT.T_1|CY2024Q3</v>
      </c>
    </row>
    <row r="2611" spans="4:18" x14ac:dyDescent="0.2">
      <c r="D2611" t="s">
        <v>108</v>
      </c>
      <c r="E2611" t="s">
        <v>109</v>
      </c>
      <c r="F2611" t="s">
        <v>110</v>
      </c>
      <c r="G2611" t="s">
        <v>148</v>
      </c>
      <c r="H2611" t="s">
        <v>149</v>
      </c>
      <c r="I2611" t="s">
        <v>43</v>
      </c>
      <c r="J2611" t="s">
        <v>44</v>
      </c>
      <c r="K2611" t="s">
        <v>30</v>
      </c>
      <c r="L2611" t="s">
        <v>31</v>
      </c>
      <c r="M2611" t="s">
        <v>140</v>
      </c>
      <c r="N2611">
        <v>19752</v>
      </c>
      <c r="O2611">
        <v>4.3719586999999997E-2</v>
      </c>
      <c r="P2611">
        <v>4.3553775000000003E-2</v>
      </c>
      <c r="Q2611" t="str">
        <f t="shared" si="80"/>
        <v>35-49</v>
      </c>
      <c r="R2611" t="str">
        <f t="shared" si="81"/>
        <v>[umc2n1Z4wNv]|35-49|Female|DIAGNOSED_SUBNAT.T_1|CY2024Q3</v>
      </c>
    </row>
    <row r="2612" spans="4:18" x14ac:dyDescent="0.2">
      <c r="D2612" t="s">
        <v>108</v>
      </c>
      <c r="E2612" t="s">
        <v>109</v>
      </c>
      <c r="F2612" t="s">
        <v>110</v>
      </c>
      <c r="G2612" t="s">
        <v>148</v>
      </c>
      <c r="H2612" t="s">
        <v>149</v>
      </c>
      <c r="I2612" t="s">
        <v>45</v>
      </c>
      <c r="J2612" t="s">
        <v>46</v>
      </c>
      <c r="K2612" t="s">
        <v>30</v>
      </c>
      <c r="L2612" t="s">
        <v>31</v>
      </c>
      <c r="M2612" t="s">
        <v>140</v>
      </c>
      <c r="N2612">
        <v>9781</v>
      </c>
      <c r="O2612">
        <v>5.2124128999999998E-2</v>
      </c>
      <c r="P2612">
        <v>4.3553775000000003E-2</v>
      </c>
      <c r="Q2612" t="str">
        <f t="shared" si="80"/>
        <v>50+</v>
      </c>
      <c r="R2612" t="str">
        <f t="shared" si="81"/>
        <v>[umc2n1Z4wNv]|50+|Female|DIAGNOSED_SUBNAT.T_1|CY2024Q3</v>
      </c>
    </row>
    <row r="2613" spans="4:18" x14ac:dyDescent="0.2">
      <c r="D2613" t="s">
        <v>108</v>
      </c>
      <c r="E2613" t="s">
        <v>109</v>
      </c>
      <c r="F2613" t="s">
        <v>110</v>
      </c>
      <c r="G2613" t="s">
        <v>148</v>
      </c>
      <c r="H2613" t="s">
        <v>149</v>
      </c>
      <c r="I2613" t="s">
        <v>28</v>
      </c>
      <c r="J2613" t="s">
        <v>29</v>
      </c>
      <c r="K2613" t="s">
        <v>48</v>
      </c>
      <c r="L2613" t="s">
        <v>49</v>
      </c>
      <c r="M2613" t="s">
        <v>140</v>
      </c>
      <c r="N2613">
        <v>29</v>
      </c>
      <c r="O2613">
        <v>4.8104802000000002E-2</v>
      </c>
      <c r="P2613">
        <v>4.3553775000000003E-2</v>
      </c>
      <c r="Q2613" t="str">
        <f t="shared" si="80"/>
        <v>&lt;01</v>
      </c>
      <c r="R2613" t="str">
        <f t="shared" si="81"/>
        <v>[umc2n1Z4wNv]|&lt;01|Male|DIAGNOSED_SUBNAT.T_1|CY2024Q3</v>
      </c>
    </row>
    <row r="2614" spans="4:18" x14ac:dyDescent="0.2">
      <c r="D2614" t="s">
        <v>108</v>
      </c>
      <c r="E2614" t="s">
        <v>109</v>
      </c>
      <c r="F2614" t="s">
        <v>110</v>
      </c>
      <c r="G2614" t="s">
        <v>148</v>
      </c>
      <c r="H2614" t="s">
        <v>149</v>
      </c>
      <c r="I2614" t="s">
        <v>33</v>
      </c>
      <c r="J2614" t="s">
        <v>34</v>
      </c>
      <c r="K2614" t="s">
        <v>48</v>
      </c>
      <c r="L2614" t="s">
        <v>49</v>
      </c>
      <c r="M2614" t="s">
        <v>140</v>
      </c>
      <c r="N2614">
        <v>541</v>
      </c>
      <c r="O2614">
        <v>5.0748908000000002E-2</v>
      </c>
      <c r="P2614">
        <v>4.3553775000000003E-2</v>
      </c>
      <c r="Q2614" t="str">
        <f t="shared" si="80"/>
        <v>01-09</v>
      </c>
      <c r="R2614" t="str">
        <f t="shared" si="81"/>
        <v>[umc2n1Z4wNv]|01-09|Male|DIAGNOSED_SUBNAT.T_1|CY2024Q3</v>
      </c>
    </row>
    <row r="2615" spans="4:18" x14ac:dyDescent="0.2">
      <c r="D2615" t="s">
        <v>108</v>
      </c>
      <c r="E2615" t="s">
        <v>109</v>
      </c>
      <c r="F2615" t="s">
        <v>110</v>
      </c>
      <c r="G2615" t="s">
        <v>148</v>
      </c>
      <c r="H2615" t="s">
        <v>149</v>
      </c>
      <c r="I2615" t="s">
        <v>36</v>
      </c>
      <c r="J2615" t="s">
        <v>37</v>
      </c>
      <c r="K2615" t="s">
        <v>48</v>
      </c>
      <c r="L2615" t="s">
        <v>49</v>
      </c>
      <c r="M2615" t="s">
        <v>140</v>
      </c>
      <c r="N2615">
        <v>667</v>
      </c>
      <c r="O2615">
        <v>5.5915172999999999E-2</v>
      </c>
      <c r="P2615">
        <v>4.3553775000000003E-2</v>
      </c>
      <c r="Q2615" t="str">
        <f t="shared" si="80"/>
        <v>10-14</v>
      </c>
      <c r="R2615" t="str">
        <f t="shared" si="81"/>
        <v>[umc2n1Z4wNv]|10-14|Male|DIAGNOSED_SUBNAT.T_1|CY2024Q3</v>
      </c>
    </row>
    <row r="2616" spans="4:18" x14ac:dyDescent="0.2">
      <c r="D2616" t="s">
        <v>108</v>
      </c>
      <c r="E2616" t="s">
        <v>109</v>
      </c>
      <c r="F2616" t="s">
        <v>110</v>
      </c>
      <c r="G2616" t="s">
        <v>148</v>
      </c>
      <c r="H2616" t="s">
        <v>149</v>
      </c>
      <c r="I2616" t="s">
        <v>38</v>
      </c>
      <c r="J2616" t="s">
        <v>39</v>
      </c>
      <c r="K2616" t="s">
        <v>48</v>
      </c>
      <c r="L2616" t="s">
        <v>49</v>
      </c>
      <c r="M2616" t="s">
        <v>140</v>
      </c>
      <c r="N2616">
        <v>2039</v>
      </c>
      <c r="O2616">
        <v>8.7371666000000001E-2</v>
      </c>
      <c r="P2616">
        <v>4.3553775000000003E-2</v>
      </c>
      <c r="Q2616" t="str">
        <f t="shared" si="80"/>
        <v>15-24</v>
      </c>
      <c r="R2616" t="str">
        <f t="shared" si="81"/>
        <v>[umc2n1Z4wNv]|15-24|Male|DIAGNOSED_SUBNAT.T_1|CY2024Q3</v>
      </c>
    </row>
    <row r="2617" spans="4:18" x14ac:dyDescent="0.2">
      <c r="D2617" t="s">
        <v>108</v>
      </c>
      <c r="E2617" t="s">
        <v>109</v>
      </c>
      <c r="F2617" t="s">
        <v>110</v>
      </c>
      <c r="G2617" t="s">
        <v>148</v>
      </c>
      <c r="H2617" t="s">
        <v>149</v>
      </c>
      <c r="I2617" t="s">
        <v>41</v>
      </c>
      <c r="J2617" t="s">
        <v>42</v>
      </c>
      <c r="K2617" t="s">
        <v>48</v>
      </c>
      <c r="L2617" t="s">
        <v>49</v>
      </c>
      <c r="M2617" t="s">
        <v>140</v>
      </c>
      <c r="N2617">
        <v>2519</v>
      </c>
      <c r="O2617">
        <v>7.8200080000000005E-2</v>
      </c>
      <c r="P2617">
        <v>4.3553775000000003E-2</v>
      </c>
      <c r="Q2617" t="str">
        <f t="shared" si="80"/>
        <v>25-34</v>
      </c>
      <c r="R2617" t="str">
        <f t="shared" si="81"/>
        <v>[umc2n1Z4wNv]|25-34|Male|DIAGNOSED_SUBNAT.T_1|CY2024Q3</v>
      </c>
    </row>
    <row r="2618" spans="4:18" x14ac:dyDescent="0.2">
      <c r="D2618" t="s">
        <v>108</v>
      </c>
      <c r="E2618" t="s">
        <v>109</v>
      </c>
      <c r="F2618" t="s">
        <v>110</v>
      </c>
      <c r="G2618" t="s">
        <v>148</v>
      </c>
      <c r="H2618" t="s">
        <v>149</v>
      </c>
      <c r="I2618" t="s">
        <v>43</v>
      </c>
      <c r="J2618" t="s">
        <v>44</v>
      </c>
      <c r="K2618" t="s">
        <v>48</v>
      </c>
      <c r="L2618" t="s">
        <v>49</v>
      </c>
      <c r="M2618" t="s">
        <v>140</v>
      </c>
      <c r="N2618">
        <v>9165</v>
      </c>
      <c r="O2618">
        <v>5.0429580000000002E-2</v>
      </c>
      <c r="P2618">
        <v>4.3553775000000003E-2</v>
      </c>
      <c r="Q2618" t="str">
        <f t="shared" si="80"/>
        <v>35-49</v>
      </c>
      <c r="R2618" t="str">
        <f t="shared" si="81"/>
        <v>[umc2n1Z4wNv]|35-49|Male|DIAGNOSED_SUBNAT.T_1|CY2024Q3</v>
      </c>
    </row>
    <row r="2619" spans="4:18" x14ac:dyDescent="0.2">
      <c r="D2619" t="s">
        <v>108</v>
      </c>
      <c r="E2619" t="s">
        <v>109</v>
      </c>
      <c r="F2619" t="s">
        <v>110</v>
      </c>
      <c r="G2619" t="s">
        <v>148</v>
      </c>
      <c r="H2619" t="s">
        <v>149</v>
      </c>
      <c r="I2619" t="s">
        <v>45</v>
      </c>
      <c r="J2619" t="s">
        <v>46</v>
      </c>
      <c r="K2619" t="s">
        <v>48</v>
      </c>
      <c r="L2619" t="s">
        <v>49</v>
      </c>
      <c r="M2619" t="s">
        <v>140</v>
      </c>
      <c r="N2619">
        <v>6478</v>
      </c>
      <c r="O2619">
        <v>5.3623681999999999E-2</v>
      </c>
      <c r="P2619">
        <v>4.3553775000000003E-2</v>
      </c>
      <c r="Q2619" t="str">
        <f t="shared" si="80"/>
        <v>50+</v>
      </c>
      <c r="R2619" t="str">
        <f t="shared" si="81"/>
        <v>[umc2n1Z4wNv]|50+|Male|DIAGNOSED_SUBNAT.T_1|CY2024Q3</v>
      </c>
    </row>
    <row r="2620" spans="4:18" x14ac:dyDescent="0.2">
      <c r="D2620" t="s">
        <v>111</v>
      </c>
      <c r="E2620" t="s">
        <v>112</v>
      </c>
      <c r="F2620" t="s">
        <v>113</v>
      </c>
      <c r="G2620" t="s">
        <v>148</v>
      </c>
      <c r="H2620" t="s">
        <v>149</v>
      </c>
      <c r="I2620" t="s">
        <v>28</v>
      </c>
      <c r="J2620" t="s">
        <v>29</v>
      </c>
      <c r="K2620" t="s">
        <v>30</v>
      </c>
      <c r="L2620" t="s">
        <v>31</v>
      </c>
      <c r="M2620" t="s">
        <v>140</v>
      </c>
      <c r="N2620">
        <v>19</v>
      </c>
      <c r="O2620">
        <v>5.1305227000000002E-2</v>
      </c>
      <c r="P2620">
        <v>4.1130922E-2</v>
      </c>
      <c r="Q2620" t="str">
        <f t="shared" si="80"/>
        <v>&lt;01</v>
      </c>
      <c r="R2620" t="str">
        <f t="shared" si="81"/>
        <v>[AZyWpGzhcaA]|&lt;01|Female|DIAGNOSED_SUBNAT.T_1|CY2024Q3</v>
      </c>
    </row>
    <row r="2621" spans="4:18" x14ac:dyDescent="0.2">
      <c r="D2621" t="s">
        <v>111</v>
      </c>
      <c r="E2621" t="s">
        <v>112</v>
      </c>
      <c r="F2621" t="s">
        <v>113</v>
      </c>
      <c r="G2621" t="s">
        <v>148</v>
      </c>
      <c r="H2621" t="s">
        <v>149</v>
      </c>
      <c r="I2621" t="s">
        <v>33</v>
      </c>
      <c r="J2621" t="s">
        <v>34</v>
      </c>
      <c r="K2621" t="s">
        <v>30</v>
      </c>
      <c r="L2621" t="s">
        <v>31</v>
      </c>
      <c r="M2621" t="s">
        <v>140</v>
      </c>
      <c r="N2621">
        <v>389</v>
      </c>
      <c r="O2621">
        <v>4.9550116999999998E-2</v>
      </c>
      <c r="P2621">
        <v>4.1130922E-2</v>
      </c>
      <c r="Q2621" t="str">
        <f t="shared" si="80"/>
        <v>01-09</v>
      </c>
      <c r="R2621" t="str">
        <f t="shared" si="81"/>
        <v>[AZyWpGzhcaA]|01-09|Female|DIAGNOSED_SUBNAT.T_1|CY2024Q3</v>
      </c>
    </row>
    <row r="2622" spans="4:18" x14ac:dyDescent="0.2">
      <c r="D2622" t="s">
        <v>111</v>
      </c>
      <c r="E2622" t="s">
        <v>112</v>
      </c>
      <c r="F2622" t="s">
        <v>113</v>
      </c>
      <c r="G2622" t="s">
        <v>148</v>
      </c>
      <c r="H2622" t="s">
        <v>149</v>
      </c>
      <c r="I2622" t="s">
        <v>36</v>
      </c>
      <c r="J2622" t="s">
        <v>37</v>
      </c>
      <c r="K2622" t="s">
        <v>30</v>
      </c>
      <c r="L2622" t="s">
        <v>31</v>
      </c>
      <c r="M2622" t="s">
        <v>140</v>
      </c>
      <c r="N2622">
        <v>501</v>
      </c>
      <c r="O2622">
        <v>4.8404192999999998E-2</v>
      </c>
      <c r="P2622">
        <v>4.1130922E-2</v>
      </c>
      <c r="Q2622" t="str">
        <f t="shared" si="80"/>
        <v>10-14</v>
      </c>
      <c r="R2622" t="str">
        <f t="shared" si="81"/>
        <v>[AZyWpGzhcaA]|10-14|Female|DIAGNOSED_SUBNAT.T_1|CY2024Q3</v>
      </c>
    </row>
    <row r="2623" spans="4:18" x14ac:dyDescent="0.2">
      <c r="D2623" t="s">
        <v>111</v>
      </c>
      <c r="E2623" t="s">
        <v>112</v>
      </c>
      <c r="F2623" t="s">
        <v>113</v>
      </c>
      <c r="G2623" t="s">
        <v>148</v>
      </c>
      <c r="H2623" t="s">
        <v>149</v>
      </c>
      <c r="I2623" t="s">
        <v>38</v>
      </c>
      <c r="J2623" t="s">
        <v>39</v>
      </c>
      <c r="K2623" t="s">
        <v>30</v>
      </c>
      <c r="L2623" t="s">
        <v>31</v>
      </c>
      <c r="M2623" t="s">
        <v>140</v>
      </c>
      <c r="N2623">
        <v>1945</v>
      </c>
      <c r="O2623">
        <v>7.5934074000000004E-2</v>
      </c>
      <c r="P2623">
        <v>4.1130922E-2</v>
      </c>
      <c r="Q2623" t="str">
        <f t="shared" si="80"/>
        <v>15-24</v>
      </c>
      <c r="R2623" t="str">
        <f t="shared" si="81"/>
        <v>[AZyWpGzhcaA]|15-24|Female|DIAGNOSED_SUBNAT.T_1|CY2024Q3</v>
      </c>
    </row>
    <row r="2624" spans="4:18" x14ac:dyDescent="0.2">
      <c r="D2624" t="s">
        <v>111</v>
      </c>
      <c r="E2624" t="s">
        <v>112</v>
      </c>
      <c r="F2624" t="s">
        <v>113</v>
      </c>
      <c r="G2624" t="s">
        <v>148</v>
      </c>
      <c r="H2624" t="s">
        <v>149</v>
      </c>
      <c r="I2624" t="s">
        <v>41</v>
      </c>
      <c r="J2624" t="s">
        <v>42</v>
      </c>
      <c r="K2624" t="s">
        <v>30</v>
      </c>
      <c r="L2624" t="s">
        <v>31</v>
      </c>
      <c r="M2624" t="s">
        <v>140</v>
      </c>
      <c r="N2624">
        <v>4766</v>
      </c>
      <c r="O2624">
        <v>5.7964288000000003E-2</v>
      </c>
      <c r="P2624">
        <v>4.1130922E-2</v>
      </c>
      <c r="Q2624" t="str">
        <f t="shared" si="80"/>
        <v>25-34</v>
      </c>
      <c r="R2624" t="str">
        <f t="shared" si="81"/>
        <v>[AZyWpGzhcaA]|25-34|Female|DIAGNOSED_SUBNAT.T_1|CY2024Q3</v>
      </c>
    </row>
    <row r="2625" spans="4:18" x14ac:dyDescent="0.2">
      <c r="D2625" t="s">
        <v>111</v>
      </c>
      <c r="E2625" t="s">
        <v>112</v>
      </c>
      <c r="F2625" t="s">
        <v>113</v>
      </c>
      <c r="G2625" t="s">
        <v>148</v>
      </c>
      <c r="H2625" t="s">
        <v>149</v>
      </c>
      <c r="I2625" t="s">
        <v>43</v>
      </c>
      <c r="J2625" t="s">
        <v>44</v>
      </c>
      <c r="K2625" t="s">
        <v>30</v>
      </c>
      <c r="L2625" t="s">
        <v>31</v>
      </c>
      <c r="M2625" t="s">
        <v>140</v>
      </c>
      <c r="N2625">
        <v>11421</v>
      </c>
      <c r="O2625">
        <v>4.1271967E-2</v>
      </c>
      <c r="P2625">
        <v>4.1130922E-2</v>
      </c>
      <c r="Q2625" t="str">
        <f t="shared" si="80"/>
        <v>35-49</v>
      </c>
      <c r="R2625" t="str">
        <f t="shared" si="81"/>
        <v>[AZyWpGzhcaA]|35-49|Female|DIAGNOSED_SUBNAT.T_1|CY2024Q3</v>
      </c>
    </row>
    <row r="2626" spans="4:18" x14ac:dyDescent="0.2">
      <c r="D2626" t="s">
        <v>111</v>
      </c>
      <c r="E2626" t="s">
        <v>112</v>
      </c>
      <c r="F2626" t="s">
        <v>113</v>
      </c>
      <c r="G2626" t="s">
        <v>148</v>
      </c>
      <c r="H2626" t="s">
        <v>149</v>
      </c>
      <c r="I2626" t="s">
        <v>45</v>
      </c>
      <c r="J2626" t="s">
        <v>46</v>
      </c>
      <c r="K2626" t="s">
        <v>30</v>
      </c>
      <c r="L2626" t="s">
        <v>31</v>
      </c>
      <c r="M2626" t="s">
        <v>140</v>
      </c>
      <c r="N2626">
        <v>5432</v>
      </c>
      <c r="O2626">
        <v>5.2035856999999998E-2</v>
      </c>
      <c r="P2626">
        <v>4.1130922E-2</v>
      </c>
      <c r="Q2626" t="str">
        <f t="shared" si="80"/>
        <v>50+</v>
      </c>
      <c r="R2626" t="str">
        <f t="shared" si="81"/>
        <v>[AZyWpGzhcaA]|50+|Female|DIAGNOSED_SUBNAT.T_1|CY2024Q3</v>
      </c>
    </row>
    <row r="2627" spans="4:18" x14ac:dyDescent="0.2">
      <c r="D2627" t="s">
        <v>111</v>
      </c>
      <c r="E2627" t="s">
        <v>112</v>
      </c>
      <c r="F2627" t="s">
        <v>113</v>
      </c>
      <c r="G2627" t="s">
        <v>148</v>
      </c>
      <c r="H2627" t="s">
        <v>149</v>
      </c>
      <c r="I2627" t="s">
        <v>28</v>
      </c>
      <c r="J2627" t="s">
        <v>29</v>
      </c>
      <c r="K2627" t="s">
        <v>48</v>
      </c>
      <c r="L2627" t="s">
        <v>49</v>
      </c>
      <c r="M2627" t="s">
        <v>140</v>
      </c>
      <c r="N2627">
        <v>19</v>
      </c>
      <c r="O2627">
        <v>4.5237487E-2</v>
      </c>
      <c r="P2627">
        <v>4.1130922E-2</v>
      </c>
      <c r="Q2627" t="str">
        <f t="shared" ref="Q2627:Q2690" si="82">SUBSTITUTE(SUBSTITUTE($I2627,CHAR(61),""),CHAR(34),"")</f>
        <v>&lt;01</v>
      </c>
      <c r="R2627" t="str">
        <f t="shared" ref="R2627:R2690" si="83">IF($D2627&lt;&gt;"","["&amp;$E2627&amp;"]"&amp;"|"&amp;$Q2627&amp;"|"&amp;$K2627&amp;"|"&amp;$G2627&amp;"|"&amp;IF($G2627="TX_CURR_SUBNAT.R","CY2023Q4",$M2627),"")</f>
        <v>[AZyWpGzhcaA]|&lt;01|Male|DIAGNOSED_SUBNAT.T_1|CY2024Q3</v>
      </c>
    </row>
    <row r="2628" spans="4:18" x14ac:dyDescent="0.2">
      <c r="D2628" t="s">
        <v>111</v>
      </c>
      <c r="E2628" t="s">
        <v>112</v>
      </c>
      <c r="F2628" t="s">
        <v>113</v>
      </c>
      <c r="G2628" t="s">
        <v>148</v>
      </c>
      <c r="H2628" t="s">
        <v>149</v>
      </c>
      <c r="I2628" t="s">
        <v>33</v>
      </c>
      <c r="J2628" t="s">
        <v>34</v>
      </c>
      <c r="K2628" t="s">
        <v>48</v>
      </c>
      <c r="L2628" t="s">
        <v>49</v>
      </c>
      <c r="M2628" t="s">
        <v>140</v>
      </c>
      <c r="N2628">
        <v>395</v>
      </c>
      <c r="O2628">
        <v>4.7132172999999999E-2</v>
      </c>
      <c r="P2628">
        <v>4.1130922E-2</v>
      </c>
      <c r="Q2628" t="str">
        <f t="shared" si="82"/>
        <v>01-09</v>
      </c>
      <c r="R2628" t="str">
        <f t="shared" si="83"/>
        <v>[AZyWpGzhcaA]|01-09|Male|DIAGNOSED_SUBNAT.T_1|CY2024Q3</v>
      </c>
    </row>
    <row r="2629" spans="4:18" x14ac:dyDescent="0.2">
      <c r="D2629" t="s">
        <v>111</v>
      </c>
      <c r="E2629" t="s">
        <v>112</v>
      </c>
      <c r="F2629" t="s">
        <v>113</v>
      </c>
      <c r="G2629" t="s">
        <v>148</v>
      </c>
      <c r="H2629" t="s">
        <v>149</v>
      </c>
      <c r="I2629" t="s">
        <v>36</v>
      </c>
      <c r="J2629" t="s">
        <v>37</v>
      </c>
      <c r="K2629" t="s">
        <v>48</v>
      </c>
      <c r="L2629" t="s">
        <v>49</v>
      </c>
      <c r="M2629" t="s">
        <v>140</v>
      </c>
      <c r="N2629">
        <v>507</v>
      </c>
      <c r="O2629">
        <v>5.0343309000000003E-2</v>
      </c>
      <c r="P2629">
        <v>4.1130922E-2</v>
      </c>
      <c r="Q2629" t="str">
        <f t="shared" si="82"/>
        <v>10-14</v>
      </c>
      <c r="R2629" t="str">
        <f t="shared" si="83"/>
        <v>[AZyWpGzhcaA]|10-14|Male|DIAGNOSED_SUBNAT.T_1|CY2024Q3</v>
      </c>
    </row>
    <row r="2630" spans="4:18" x14ac:dyDescent="0.2">
      <c r="D2630" t="s">
        <v>111</v>
      </c>
      <c r="E2630" t="s">
        <v>112</v>
      </c>
      <c r="F2630" t="s">
        <v>113</v>
      </c>
      <c r="G2630" t="s">
        <v>148</v>
      </c>
      <c r="H2630" t="s">
        <v>149</v>
      </c>
      <c r="I2630" t="s">
        <v>38</v>
      </c>
      <c r="J2630" t="s">
        <v>39</v>
      </c>
      <c r="K2630" t="s">
        <v>48</v>
      </c>
      <c r="L2630" t="s">
        <v>49</v>
      </c>
      <c r="M2630" t="s">
        <v>140</v>
      </c>
      <c r="N2630">
        <v>1366</v>
      </c>
      <c r="O2630">
        <v>8.1382721000000005E-2</v>
      </c>
      <c r="P2630">
        <v>4.1130922E-2</v>
      </c>
      <c r="Q2630" t="str">
        <f t="shared" si="82"/>
        <v>15-24</v>
      </c>
      <c r="R2630" t="str">
        <f t="shared" si="83"/>
        <v>[AZyWpGzhcaA]|15-24|Male|DIAGNOSED_SUBNAT.T_1|CY2024Q3</v>
      </c>
    </row>
    <row r="2631" spans="4:18" x14ac:dyDescent="0.2">
      <c r="D2631" t="s">
        <v>111</v>
      </c>
      <c r="E2631" t="s">
        <v>112</v>
      </c>
      <c r="F2631" t="s">
        <v>113</v>
      </c>
      <c r="G2631" t="s">
        <v>148</v>
      </c>
      <c r="H2631" t="s">
        <v>149</v>
      </c>
      <c r="I2631" t="s">
        <v>41</v>
      </c>
      <c r="J2631" t="s">
        <v>42</v>
      </c>
      <c r="K2631" t="s">
        <v>48</v>
      </c>
      <c r="L2631" t="s">
        <v>49</v>
      </c>
      <c r="M2631" t="s">
        <v>140</v>
      </c>
      <c r="N2631">
        <v>1635</v>
      </c>
      <c r="O2631">
        <v>7.7180736999999999E-2</v>
      </c>
      <c r="P2631">
        <v>4.1130922E-2</v>
      </c>
      <c r="Q2631" t="str">
        <f t="shared" si="82"/>
        <v>25-34</v>
      </c>
      <c r="R2631" t="str">
        <f t="shared" si="83"/>
        <v>[AZyWpGzhcaA]|25-34|Male|DIAGNOSED_SUBNAT.T_1|CY2024Q3</v>
      </c>
    </row>
    <row r="2632" spans="4:18" x14ac:dyDescent="0.2">
      <c r="D2632" t="s">
        <v>111</v>
      </c>
      <c r="E2632" t="s">
        <v>112</v>
      </c>
      <c r="F2632" t="s">
        <v>113</v>
      </c>
      <c r="G2632" t="s">
        <v>148</v>
      </c>
      <c r="H2632" t="s">
        <v>149</v>
      </c>
      <c r="I2632" t="s">
        <v>43</v>
      </c>
      <c r="J2632" t="s">
        <v>44</v>
      </c>
      <c r="K2632" t="s">
        <v>48</v>
      </c>
      <c r="L2632" t="s">
        <v>49</v>
      </c>
      <c r="M2632" t="s">
        <v>140</v>
      </c>
      <c r="N2632">
        <v>5670</v>
      </c>
      <c r="O2632">
        <v>4.9797418000000003E-2</v>
      </c>
      <c r="P2632">
        <v>4.1130922E-2</v>
      </c>
      <c r="Q2632" t="str">
        <f t="shared" si="82"/>
        <v>35-49</v>
      </c>
      <c r="R2632" t="str">
        <f t="shared" si="83"/>
        <v>[AZyWpGzhcaA]|35-49|Male|DIAGNOSED_SUBNAT.T_1|CY2024Q3</v>
      </c>
    </row>
    <row r="2633" spans="4:18" x14ac:dyDescent="0.2">
      <c r="D2633" t="s">
        <v>111</v>
      </c>
      <c r="E2633" t="s">
        <v>112</v>
      </c>
      <c r="F2633" t="s">
        <v>113</v>
      </c>
      <c r="G2633" t="s">
        <v>148</v>
      </c>
      <c r="H2633" t="s">
        <v>149</v>
      </c>
      <c r="I2633" t="s">
        <v>45</v>
      </c>
      <c r="J2633" t="s">
        <v>46</v>
      </c>
      <c r="K2633" t="s">
        <v>48</v>
      </c>
      <c r="L2633" t="s">
        <v>49</v>
      </c>
      <c r="M2633" t="s">
        <v>140</v>
      </c>
      <c r="N2633">
        <v>3878</v>
      </c>
      <c r="O2633">
        <v>4.8080114E-2</v>
      </c>
      <c r="P2633">
        <v>4.1130922E-2</v>
      </c>
      <c r="Q2633" t="str">
        <f t="shared" si="82"/>
        <v>50+</v>
      </c>
      <c r="R2633" t="str">
        <f t="shared" si="83"/>
        <v>[AZyWpGzhcaA]|50+|Male|DIAGNOSED_SUBNAT.T_1|CY2024Q3</v>
      </c>
    </row>
    <row r="2634" spans="4:18" x14ac:dyDescent="0.2">
      <c r="D2634" t="s">
        <v>114</v>
      </c>
      <c r="E2634" t="s">
        <v>115</v>
      </c>
      <c r="F2634" t="s">
        <v>116</v>
      </c>
      <c r="G2634" t="s">
        <v>148</v>
      </c>
      <c r="H2634" t="s">
        <v>149</v>
      </c>
      <c r="I2634" t="s">
        <v>28</v>
      </c>
      <c r="J2634" t="s">
        <v>29</v>
      </c>
      <c r="K2634" t="s">
        <v>30</v>
      </c>
      <c r="L2634" t="s">
        <v>31</v>
      </c>
      <c r="M2634" t="s">
        <v>140</v>
      </c>
      <c r="N2634">
        <v>13</v>
      </c>
      <c r="O2634">
        <v>7.9990011999999999E-2</v>
      </c>
      <c r="P2634">
        <v>6.7212762999999995E-2</v>
      </c>
      <c r="Q2634" t="str">
        <f t="shared" si="82"/>
        <v>&lt;01</v>
      </c>
      <c r="R2634" t="str">
        <f t="shared" si="83"/>
        <v>[ir8wuHHzoSs]|&lt;01|Female|DIAGNOSED_SUBNAT.T_1|CY2024Q3</v>
      </c>
    </row>
    <row r="2635" spans="4:18" x14ac:dyDescent="0.2">
      <c r="D2635" t="s">
        <v>114</v>
      </c>
      <c r="E2635" t="s">
        <v>115</v>
      </c>
      <c r="F2635" t="s">
        <v>116</v>
      </c>
      <c r="G2635" t="s">
        <v>148</v>
      </c>
      <c r="H2635" t="s">
        <v>149</v>
      </c>
      <c r="I2635" t="s">
        <v>33</v>
      </c>
      <c r="J2635" t="s">
        <v>34</v>
      </c>
      <c r="K2635" t="s">
        <v>30</v>
      </c>
      <c r="L2635" t="s">
        <v>31</v>
      </c>
      <c r="M2635" t="s">
        <v>140</v>
      </c>
      <c r="N2635">
        <v>282</v>
      </c>
      <c r="O2635">
        <v>7.6779686E-2</v>
      </c>
      <c r="P2635">
        <v>6.7212762999999995E-2</v>
      </c>
      <c r="Q2635" t="str">
        <f t="shared" si="82"/>
        <v>01-09</v>
      </c>
      <c r="R2635" t="str">
        <f t="shared" si="83"/>
        <v>[ir8wuHHzoSs]|01-09|Female|DIAGNOSED_SUBNAT.T_1|CY2024Q3</v>
      </c>
    </row>
    <row r="2636" spans="4:18" x14ac:dyDescent="0.2">
      <c r="D2636" t="s">
        <v>114</v>
      </c>
      <c r="E2636" t="s">
        <v>115</v>
      </c>
      <c r="F2636" t="s">
        <v>116</v>
      </c>
      <c r="G2636" t="s">
        <v>148</v>
      </c>
      <c r="H2636" t="s">
        <v>149</v>
      </c>
      <c r="I2636" t="s">
        <v>36</v>
      </c>
      <c r="J2636" t="s">
        <v>37</v>
      </c>
      <c r="K2636" t="s">
        <v>30</v>
      </c>
      <c r="L2636" t="s">
        <v>31</v>
      </c>
      <c r="M2636" t="s">
        <v>140</v>
      </c>
      <c r="N2636">
        <v>369</v>
      </c>
      <c r="O2636">
        <v>7.3560450999999999E-2</v>
      </c>
      <c r="P2636">
        <v>6.7212762999999995E-2</v>
      </c>
      <c r="Q2636" t="str">
        <f t="shared" si="82"/>
        <v>10-14</v>
      </c>
      <c r="R2636" t="str">
        <f t="shared" si="83"/>
        <v>[ir8wuHHzoSs]|10-14|Female|DIAGNOSED_SUBNAT.T_1|CY2024Q3</v>
      </c>
    </row>
    <row r="2637" spans="4:18" x14ac:dyDescent="0.2">
      <c r="D2637" t="s">
        <v>114</v>
      </c>
      <c r="E2637" t="s">
        <v>115</v>
      </c>
      <c r="F2637" t="s">
        <v>116</v>
      </c>
      <c r="G2637" t="s">
        <v>148</v>
      </c>
      <c r="H2637" t="s">
        <v>149</v>
      </c>
      <c r="I2637" t="s">
        <v>38</v>
      </c>
      <c r="J2637" t="s">
        <v>39</v>
      </c>
      <c r="K2637" t="s">
        <v>30</v>
      </c>
      <c r="L2637" t="s">
        <v>31</v>
      </c>
      <c r="M2637" t="s">
        <v>140</v>
      </c>
      <c r="N2637">
        <v>1516</v>
      </c>
      <c r="O2637">
        <v>9.6118598999999999E-2</v>
      </c>
      <c r="P2637">
        <v>6.7212762999999995E-2</v>
      </c>
      <c r="Q2637" t="str">
        <f t="shared" si="82"/>
        <v>15-24</v>
      </c>
      <c r="R2637" t="str">
        <f t="shared" si="83"/>
        <v>[ir8wuHHzoSs]|15-24|Female|DIAGNOSED_SUBNAT.T_1|CY2024Q3</v>
      </c>
    </row>
    <row r="2638" spans="4:18" x14ac:dyDescent="0.2">
      <c r="D2638" t="s">
        <v>114</v>
      </c>
      <c r="E2638" t="s">
        <v>115</v>
      </c>
      <c r="F2638" t="s">
        <v>116</v>
      </c>
      <c r="G2638" t="s">
        <v>148</v>
      </c>
      <c r="H2638" t="s">
        <v>149</v>
      </c>
      <c r="I2638" t="s">
        <v>41</v>
      </c>
      <c r="J2638" t="s">
        <v>42</v>
      </c>
      <c r="K2638" t="s">
        <v>30</v>
      </c>
      <c r="L2638" t="s">
        <v>31</v>
      </c>
      <c r="M2638" t="s">
        <v>140</v>
      </c>
      <c r="N2638">
        <v>3680</v>
      </c>
      <c r="O2638">
        <v>8.2648879999999994E-2</v>
      </c>
      <c r="P2638">
        <v>6.7212762999999995E-2</v>
      </c>
      <c r="Q2638" t="str">
        <f t="shared" si="82"/>
        <v>25-34</v>
      </c>
      <c r="R2638" t="str">
        <f t="shared" si="83"/>
        <v>[ir8wuHHzoSs]|25-34|Female|DIAGNOSED_SUBNAT.T_1|CY2024Q3</v>
      </c>
    </row>
    <row r="2639" spans="4:18" x14ac:dyDescent="0.2">
      <c r="D2639" t="s">
        <v>114</v>
      </c>
      <c r="E2639" t="s">
        <v>115</v>
      </c>
      <c r="F2639" t="s">
        <v>116</v>
      </c>
      <c r="G2639" t="s">
        <v>148</v>
      </c>
      <c r="H2639" t="s">
        <v>149</v>
      </c>
      <c r="I2639" t="s">
        <v>43</v>
      </c>
      <c r="J2639" t="s">
        <v>44</v>
      </c>
      <c r="K2639" t="s">
        <v>30</v>
      </c>
      <c r="L2639" t="s">
        <v>31</v>
      </c>
      <c r="M2639" t="s">
        <v>140</v>
      </c>
      <c r="N2639">
        <v>9317</v>
      </c>
      <c r="O2639">
        <v>6.5233693999999995E-2</v>
      </c>
      <c r="P2639">
        <v>6.7212762999999995E-2</v>
      </c>
      <c r="Q2639" t="str">
        <f t="shared" si="82"/>
        <v>35-49</v>
      </c>
      <c r="R2639" t="str">
        <f t="shared" si="83"/>
        <v>[ir8wuHHzoSs]|35-49|Female|DIAGNOSED_SUBNAT.T_1|CY2024Q3</v>
      </c>
    </row>
    <row r="2640" spans="4:18" x14ac:dyDescent="0.2">
      <c r="D2640" t="s">
        <v>114</v>
      </c>
      <c r="E2640" t="s">
        <v>115</v>
      </c>
      <c r="F2640" t="s">
        <v>116</v>
      </c>
      <c r="G2640" t="s">
        <v>148</v>
      </c>
      <c r="H2640" t="s">
        <v>149</v>
      </c>
      <c r="I2640" t="s">
        <v>45</v>
      </c>
      <c r="J2640" t="s">
        <v>46</v>
      </c>
      <c r="K2640" t="s">
        <v>30</v>
      </c>
      <c r="L2640" t="s">
        <v>31</v>
      </c>
      <c r="M2640" t="s">
        <v>140</v>
      </c>
      <c r="N2640">
        <v>4729</v>
      </c>
      <c r="O2640">
        <v>7.4154734E-2</v>
      </c>
      <c r="P2640">
        <v>6.7212762999999995E-2</v>
      </c>
      <c r="Q2640" t="str">
        <f t="shared" si="82"/>
        <v>50+</v>
      </c>
      <c r="R2640" t="str">
        <f t="shared" si="83"/>
        <v>[ir8wuHHzoSs]|50+|Female|DIAGNOSED_SUBNAT.T_1|CY2024Q3</v>
      </c>
    </row>
    <row r="2641" spans="4:18" x14ac:dyDescent="0.2">
      <c r="D2641" t="s">
        <v>114</v>
      </c>
      <c r="E2641" t="s">
        <v>115</v>
      </c>
      <c r="F2641" t="s">
        <v>116</v>
      </c>
      <c r="G2641" t="s">
        <v>148</v>
      </c>
      <c r="H2641" t="s">
        <v>149</v>
      </c>
      <c r="I2641" t="s">
        <v>28</v>
      </c>
      <c r="J2641" t="s">
        <v>29</v>
      </c>
      <c r="K2641" t="s">
        <v>48</v>
      </c>
      <c r="L2641" t="s">
        <v>49</v>
      </c>
      <c r="M2641" t="s">
        <v>140</v>
      </c>
      <c r="N2641">
        <v>13</v>
      </c>
      <c r="O2641">
        <v>7.3084816999999996E-2</v>
      </c>
      <c r="P2641">
        <v>6.7212762999999995E-2</v>
      </c>
      <c r="Q2641" t="str">
        <f t="shared" si="82"/>
        <v>&lt;01</v>
      </c>
      <c r="R2641" t="str">
        <f t="shared" si="83"/>
        <v>[ir8wuHHzoSs]|&lt;01|Male|DIAGNOSED_SUBNAT.T_1|CY2024Q3</v>
      </c>
    </row>
    <row r="2642" spans="4:18" x14ac:dyDescent="0.2">
      <c r="D2642" t="s">
        <v>114</v>
      </c>
      <c r="E2642" t="s">
        <v>115</v>
      </c>
      <c r="F2642" t="s">
        <v>116</v>
      </c>
      <c r="G2642" t="s">
        <v>148</v>
      </c>
      <c r="H2642" t="s">
        <v>149</v>
      </c>
      <c r="I2642" t="s">
        <v>33</v>
      </c>
      <c r="J2642" t="s">
        <v>34</v>
      </c>
      <c r="K2642" t="s">
        <v>48</v>
      </c>
      <c r="L2642" t="s">
        <v>49</v>
      </c>
      <c r="M2642" t="s">
        <v>140</v>
      </c>
      <c r="N2642">
        <v>289</v>
      </c>
      <c r="O2642">
        <v>7.2914978000000005E-2</v>
      </c>
      <c r="P2642">
        <v>6.7212762999999995E-2</v>
      </c>
      <c r="Q2642" t="str">
        <f t="shared" si="82"/>
        <v>01-09</v>
      </c>
      <c r="R2642" t="str">
        <f t="shared" si="83"/>
        <v>[ir8wuHHzoSs]|01-09|Male|DIAGNOSED_SUBNAT.T_1|CY2024Q3</v>
      </c>
    </row>
    <row r="2643" spans="4:18" x14ac:dyDescent="0.2">
      <c r="D2643" t="s">
        <v>114</v>
      </c>
      <c r="E2643" t="s">
        <v>115</v>
      </c>
      <c r="F2643" t="s">
        <v>116</v>
      </c>
      <c r="G2643" t="s">
        <v>148</v>
      </c>
      <c r="H2643" t="s">
        <v>149</v>
      </c>
      <c r="I2643" t="s">
        <v>36</v>
      </c>
      <c r="J2643" t="s">
        <v>37</v>
      </c>
      <c r="K2643" t="s">
        <v>48</v>
      </c>
      <c r="L2643" t="s">
        <v>49</v>
      </c>
      <c r="M2643" t="s">
        <v>140</v>
      </c>
      <c r="N2643">
        <v>380</v>
      </c>
      <c r="O2643">
        <v>7.3504444000000002E-2</v>
      </c>
      <c r="P2643">
        <v>6.7212762999999995E-2</v>
      </c>
      <c r="Q2643" t="str">
        <f t="shared" si="82"/>
        <v>10-14</v>
      </c>
      <c r="R2643" t="str">
        <f t="shared" si="83"/>
        <v>[ir8wuHHzoSs]|10-14|Male|DIAGNOSED_SUBNAT.T_1|CY2024Q3</v>
      </c>
    </row>
    <row r="2644" spans="4:18" x14ac:dyDescent="0.2">
      <c r="D2644" t="s">
        <v>114</v>
      </c>
      <c r="E2644" t="s">
        <v>115</v>
      </c>
      <c r="F2644" t="s">
        <v>116</v>
      </c>
      <c r="G2644" t="s">
        <v>148</v>
      </c>
      <c r="H2644" t="s">
        <v>149</v>
      </c>
      <c r="I2644" t="s">
        <v>38</v>
      </c>
      <c r="J2644" t="s">
        <v>39</v>
      </c>
      <c r="K2644" t="s">
        <v>48</v>
      </c>
      <c r="L2644" t="s">
        <v>49</v>
      </c>
      <c r="M2644" t="s">
        <v>140</v>
      </c>
      <c r="N2644">
        <v>989</v>
      </c>
      <c r="O2644">
        <v>9.6171108000000005E-2</v>
      </c>
      <c r="P2644">
        <v>6.7212762999999995E-2</v>
      </c>
      <c r="Q2644" t="str">
        <f t="shared" si="82"/>
        <v>15-24</v>
      </c>
      <c r="R2644" t="str">
        <f t="shared" si="83"/>
        <v>[ir8wuHHzoSs]|15-24|Male|DIAGNOSED_SUBNAT.T_1|CY2024Q3</v>
      </c>
    </row>
    <row r="2645" spans="4:18" x14ac:dyDescent="0.2">
      <c r="D2645" t="s">
        <v>114</v>
      </c>
      <c r="E2645" t="s">
        <v>115</v>
      </c>
      <c r="F2645" t="s">
        <v>116</v>
      </c>
      <c r="G2645" t="s">
        <v>148</v>
      </c>
      <c r="H2645" t="s">
        <v>149</v>
      </c>
      <c r="I2645" t="s">
        <v>41</v>
      </c>
      <c r="J2645" t="s">
        <v>42</v>
      </c>
      <c r="K2645" t="s">
        <v>48</v>
      </c>
      <c r="L2645" t="s">
        <v>49</v>
      </c>
      <c r="M2645" t="s">
        <v>140</v>
      </c>
      <c r="N2645">
        <v>1024</v>
      </c>
      <c r="O2645">
        <v>9.5946918000000006E-2</v>
      </c>
      <c r="P2645">
        <v>6.7212762999999995E-2</v>
      </c>
      <c r="Q2645" t="str">
        <f t="shared" si="82"/>
        <v>25-34</v>
      </c>
      <c r="R2645" t="str">
        <f t="shared" si="83"/>
        <v>[ir8wuHHzoSs]|25-34|Male|DIAGNOSED_SUBNAT.T_1|CY2024Q3</v>
      </c>
    </row>
    <row r="2646" spans="4:18" x14ac:dyDescent="0.2">
      <c r="D2646" t="s">
        <v>114</v>
      </c>
      <c r="E2646" t="s">
        <v>115</v>
      </c>
      <c r="F2646" t="s">
        <v>116</v>
      </c>
      <c r="G2646" t="s">
        <v>148</v>
      </c>
      <c r="H2646" t="s">
        <v>149</v>
      </c>
      <c r="I2646" t="s">
        <v>43</v>
      </c>
      <c r="J2646" t="s">
        <v>44</v>
      </c>
      <c r="K2646" t="s">
        <v>48</v>
      </c>
      <c r="L2646" t="s">
        <v>49</v>
      </c>
      <c r="M2646" t="s">
        <v>140</v>
      </c>
      <c r="N2646">
        <v>3883</v>
      </c>
      <c r="O2646">
        <v>7.5181120000000004E-2</v>
      </c>
      <c r="P2646">
        <v>6.7212762999999995E-2</v>
      </c>
      <c r="Q2646" t="str">
        <f t="shared" si="82"/>
        <v>35-49</v>
      </c>
      <c r="R2646" t="str">
        <f t="shared" si="83"/>
        <v>[ir8wuHHzoSs]|35-49|Male|DIAGNOSED_SUBNAT.T_1|CY2024Q3</v>
      </c>
    </row>
    <row r="2647" spans="4:18" x14ac:dyDescent="0.2">
      <c r="D2647" t="s">
        <v>114</v>
      </c>
      <c r="E2647" t="s">
        <v>115</v>
      </c>
      <c r="F2647" t="s">
        <v>116</v>
      </c>
      <c r="G2647" t="s">
        <v>148</v>
      </c>
      <c r="H2647" t="s">
        <v>149</v>
      </c>
      <c r="I2647" t="s">
        <v>45</v>
      </c>
      <c r="J2647" t="s">
        <v>46</v>
      </c>
      <c r="K2647" t="s">
        <v>48</v>
      </c>
      <c r="L2647" t="s">
        <v>49</v>
      </c>
      <c r="M2647" t="s">
        <v>140</v>
      </c>
      <c r="N2647">
        <v>3068</v>
      </c>
      <c r="O2647">
        <v>7.2576291000000001E-2</v>
      </c>
      <c r="P2647">
        <v>6.7212762999999995E-2</v>
      </c>
      <c r="Q2647" t="str">
        <f t="shared" si="82"/>
        <v>50+</v>
      </c>
      <c r="R2647" t="str">
        <f t="shared" si="83"/>
        <v>[ir8wuHHzoSs]|50+|Male|DIAGNOSED_SUBNAT.T_1|CY2024Q3</v>
      </c>
    </row>
    <row r="2648" spans="4:18" x14ac:dyDescent="0.2">
      <c r="D2648" t="s">
        <v>117</v>
      </c>
      <c r="E2648" t="s">
        <v>118</v>
      </c>
      <c r="F2648" t="s">
        <v>119</v>
      </c>
      <c r="G2648" t="s">
        <v>148</v>
      </c>
      <c r="H2648" t="s">
        <v>149</v>
      </c>
      <c r="I2648" t="s">
        <v>28</v>
      </c>
      <c r="J2648" t="s">
        <v>29</v>
      </c>
      <c r="K2648" t="s">
        <v>30</v>
      </c>
      <c r="L2648" t="s">
        <v>31</v>
      </c>
      <c r="M2648" t="s">
        <v>140</v>
      </c>
      <c r="N2648">
        <v>11</v>
      </c>
      <c r="O2648">
        <v>8.6072714999999994E-2</v>
      </c>
      <c r="P2648">
        <v>5.5125138999999997E-2</v>
      </c>
      <c r="Q2648" t="str">
        <f t="shared" si="82"/>
        <v>&lt;01</v>
      </c>
      <c r="R2648" t="str">
        <f t="shared" si="83"/>
        <v>[oiPR2CiVJbf]|&lt;01|Female|DIAGNOSED_SUBNAT.T_1|CY2024Q3</v>
      </c>
    </row>
    <row r="2649" spans="4:18" x14ac:dyDescent="0.2">
      <c r="D2649" t="s">
        <v>117</v>
      </c>
      <c r="E2649" t="s">
        <v>118</v>
      </c>
      <c r="F2649" t="s">
        <v>119</v>
      </c>
      <c r="G2649" t="s">
        <v>148</v>
      </c>
      <c r="H2649" t="s">
        <v>149</v>
      </c>
      <c r="I2649" t="s">
        <v>33</v>
      </c>
      <c r="J2649" t="s">
        <v>34</v>
      </c>
      <c r="K2649" t="s">
        <v>30</v>
      </c>
      <c r="L2649" t="s">
        <v>31</v>
      </c>
      <c r="M2649" t="s">
        <v>140</v>
      </c>
      <c r="N2649">
        <v>205</v>
      </c>
      <c r="O2649">
        <v>8.3429136000000001E-2</v>
      </c>
      <c r="P2649">
        <v>5.5125138999999997E-2</v>
      </c>
      <c r="Q2649" t="str">
        <f t="shared" si="82"/>
        <v>01-09</v>
      </c>
      <c r="R2649" t="str">
        <f t="shared" si="83"/>
        <v>[oiPR2CiVJbf]|01-09|Female|DIAGNOSED_SUBNAT.T_1|CY2024Q3</v>
      </c>
    </row>
    <row r="2650" spans="4:18" x14ac:dyDescent="0.2">
      <c r="D2650" t="s">
        <v>117</v>
      </c>
      <c r="E2650" t="s">
        <v>118</v>
      </c>
      <c r="F2650" t="s">
        <v>119</v>
      </c>
      <c r="G2650" t="s">
        <v>148</v>
      </c>
      <c r="H2650" t="s">
        <v>149</v>
      </c>
      <c r="I2650" t="s">
        <v>36</v>
      </c>
      <c r="J2650" t="s">
        <v>37</v>
      </c>
      <c r="K2650" t="s">
        <v>30</v>
      </c>
      <c r="L2650" t="s">
        <v>31</v>
      </c>
      <c r="M2650" t="s">
        <v>140</v>
      </c>
      <c r="N2650">
        <v>271</v>
      </c>
      <c r="O2650">
        <v>8.0170670999999999E-2</v>
      </c>
      <c r="P2650">
        <v>5.5125138999999997E-2</v>
      </c>
      <c r="Q2650" t="str">
        <f t="shared" si="82"/>
        <v>10-14</v>
      </c>
      <c r="R2650" t="str">
        <f t="shared" si="83"/>
        <v>[oiPR2CiVJbf]|10-14|Female|DIAGNOSED_SUBNAT.T_1|CY2024Q3</v>
      </c>
    </row>
    <row r="2651" spans="4:18" x14ac:dyDescent="0.2">
      <c r="D2651" t="s">
        <v>117</v>
      </c>
      <c r="E2651" t="s">
        <v>118</v>
      </c>
      <c r="F2651" t="s">
        <v>119</v>
      </c>
      <c r="G2651" t="s">
        <v>148</v>
      </c>
      <c r="H2651" t="s">
        <v>149</v>
      </c>
      <c r="I2651" t="s">
        <v>38</v>
      </c>
      <c r="J2651" t="s">
        <v>39</v>
      </c>
      <c r="K2651" t="s">
        <v>30</v>
      </c>
      <c r="L2651" t="s">
        <v>31</v>
      </c>
      <c r="M2651" t="s">
        <v>140</v>
      </c>
      <c r="N2651">
        <v>1747</v>
      </c>
      <c r="O2651">
        <v>9.0698713E-2</v>
      </c>
      <c r="P2651">
        <v>5.5125138999999997E-2</v>
      </c>
      <c r="Q2651" t="str">
        <f t="shared" si="82"/>
        <v>15-24</v>
      </c>
      <c r="R2651" t="str">
        <f t="shared" si="83"/>
        <v>[oiPR2CiVJbf]|15-24|Female|DIAGNOSED_SUBNAT.T_1|CY2024Q3</v>
      </c>
    </row>
    <row r="2652" spans="4:18" x14ac:dyDescent="0.2">
      <c r="D2652" t="s">
        <v>117</v>
      </c>
      <c r="E2652" t="s">
        <v>118</v>
      </c>
      <c r="F2652" t="s">
        <v>119</v>
      </c>
      <c r="G2652" t="s">
        <v>148</v>
      </c>
      <c r="H2652" t="s">
        <v>149</v>
      </c>
      <c r="I2652" t="s">
        <v>41</v>
      </c>
      <c r="J2652" t="s">
        <v>42</v>
      </c>
      <c r="K2652" t="s">
        <v>30</v>
      </c>
      <c r="L2652" t="s">
        <v>31</v>
      </c>
      <c r="M2652" t="s">
        <v>140</v>
      </c>
      <c r="N2652">
        <v>4554</v>
      </c>
      <c r="O2652">
        <v>6.9966700000000007E-2</v>
      </c>
      <c r="P2652">
        <v>5.5125138999999997E-2</v>
      </c>
      <c r="Q2652" t="str">
        <f t="shared" si="82"/>
        <v>25-34</v>
      </c>
      <c r="R2652" t="str">
        <f t="shared" si="83"/>
        <v>[oiPR2CiVJbf]|25-34|Female|DIAGNOSED_SUBNAT.T_1|CY2024Q3</v>
      </c>
    </row>
    <row r="2653" spans="4:18" x14ac:dyDescent="0.2">
      <c r="D2653" t="s">
        <v>117</v>
      </c>
      <c r="E2653" t="s">
        <v>118</v>
      </c>
      <c r="F2653" t="s">
        <v>119</v>
      </c>
      <c r="G2653" t="s">
        <v>148</v>
      </c>
      <c r="H2653" t="s">
        <v>149</v>
      </c>
      <c r="I2653" t="s">
        <v>43</v>
      </c>
      <c r="J2653" t="s">
        <v>44</v>
      </c>
      <c r="K2653" t="s">
        <v>30</v>
      </c>
      <c r="L2653" t="s">
        <v>31</v>
      </c>
      <c r="M2653" t="s">
        <v>140</v>
      </c>
      <c r="N2653">
        <v>11612</v>
      </c>
      <c r="O2653">
        <v>5.2250176000000002E-2</v>
      </c>
      <c r="P2653">
        <v>5.5125138999999997E-2</v>
      </c>
      <c r="Q2653" t="str">
        <f t="shared" si="82"/>
        <v>35-49</v>
      </c>
      <c r="R2653" t="str">
        <f t="shared" si="83"/>
        <v>[oiPR2CiVJbf]|35-49|Female|DIAGNOSED_SUBNAT.T_1|CY2024Q3</v>
      </c>
    </row>
    <row r="2654" spans="4:18" x14ac:dyDescent="0.2">
      <c r="D2654" t="s">
        <v>117</v>
      </c>
      <c r="E2654" t="s">
        <v>118</v>
      </c>
      <c r="F2654" t="s">
        <v>119</v>
      </c>
      <c r="G2654" t="s">
        <v>148</v>
      </c>
      <c r="H2654" t="s">
        <v>149</v>
      </c>
      <c r="I2654" t="s">
        <v>45</v>
      </c>
      <c r="J2654" t="s">
        <v>46</v>
      </c>
      <c r="K2654" t="s">
        <v>30</v>
      </c>
      <c r="L2654" t="s">
        <v>31</v>
      </c>
      <c r="M2654" t="s">
        <v>140</v>
      </c>
      <c r="N2654">
        <v>6283</v>
      </c>
      <c r="O2654">
        <v>6.3546801999999999E-2</v>
      </c>
      <c r="P2654">
        <v>5.5125138999999997E-2</v>
      </c>
      <c r="Q2654" t="str">
        <f t="shared" si="82"/>
        <v>50+</v>
      </c>
      <c r="R2654" t="str">
        <f t="shared" si="83"/>
        <v>[oiPR2CiVJbf]|50+|Female|DIAGNOSED_SUBNAT.T_1|CY2024Q3</v>
      </c>
    </row>
    <row r="2655" spans="4:18" x14ac:dyDescent="0.2">
      <c r="D2655" t="s">
        <v>117</v>
      </c>
      <c r="E2655" t="s">
        <v>118</v>
      </c>
      <c r="F2655" t="s">
        <v>119</v>
      </c>
      <c r="G2655" t="s">
        <v>148</v>
      </c>
      <c r="H2655" t="s">
        <v>149</v>
      </c>
      <c r="I2655" t="s">
        <v>28</v>
      </c>
      <c r="J2655" t="s">
        <v>29</v>
      </c>
      <c r="K2655" t="s">
        <v>48</v>
      </c>
      <c r="L2655" t="s">
        <v>49</v>
      </c>
      <c r="M2655" t="s">
        <v>140</v>
      </c>
      <c r="N2655">
        <v>11</v>
      </c>
      <c r="O2655">
        <v>7.8756593999999999E-2</v>
      </c>
      <c r="P2655">
        <v>5.5125138999999997E-2</v>
      </c>
      <c r="Q2655" t="str">
        <f t="shared" si="82"/>
        <v>&lt;01</v>
      </c>
      <c r="R2655" t="str">
        <f t="shared" si="83"/>
        <v>[oiPR2CiVJbf]|&lt;01|Male|DIAGNOSED_SUBNAT.T_1|CY2024Q3</v>
      </c>
    </row>
    <row r="2656" spans="4:18" x14ac:dyDescent="0.2">
      <c r="D2656" t="s">
        <v>117</v>
      </c>
      <c r="E2656" t="s">
        <v>118</v>
      </c>
      <c r="F2656" t="s">
        <v>119</v>
      </c>
      <c r="G2656" t="s">
        <v>148</v>
      </c>
      <c r="H2656" t="s">
        <v>149</v>
      </c>
      <c r="I2656" t="s">
        <v>33</v>
      </c>
      <c r="J2656" t="s">
        <v>34</v>
      </c>
      <c r="K2656" t="s">
        <v>48</v>
      </c>
      <c r="L2656" t="s">
        <v>49</v>
      </c>
      <c r="M2656" t="s">
        <v>140</v>
      </c>
      <c r="N2656">
        <v>212</v>
      </c>
      <c r="O2656">
        <v>7.7354125999999995E-2</v>
      </c>
      <c r="P2656">
        <v>5.5125138999999997E-2</v>
      </c>
      <c r="Q2656" t="str">
        <f t="shared" si="82"/>
        <v>01-09</v>
      </c>
      <c r="R2656" t="str">
        <f t="shared" si="83"/>
        <v>[oiPR2CiVJbf]|01-09|Male|DIAGNOSED_SUBNAT.T_1|CY2024Q3</v>
      </c>
    </row>
    <row r="2657" spans="4:18" x14ac:dyDescent="0.2">
      <c r="D2657" t="s">
        <v>117</v>
      </c>
      <c r="E2657" t="s">
        <v>118</v>
      </c>
      <c r="F2657" t="s">
        <v>119</v>
      </c>
      <c r="G2657" t="s">
        <v>148</v>
      </c>
      <c r="H2657" t="s">
        <v>149</v>
      </c>
      <c r="I2657" t="s">
        <v>36</v>
      </c>
      <c r="J2657" t="s">
        <v>37</v>
      </c>
      <c r="K2657" t="s">
        <v>48</v>
      </c>
      <c r="L2657" t="s">
        <v>49</v>
      </c>
      <c r="M2657" t="s">
        <v>140</v>
      </c>
      <c r="N2657">
        <v>280</v>
      </c>
      <c r="O2657">
        <v>7.6091233999999994E-2</v>
      </c>
      <c r="P2657">
        <v>5.5125138999999997E-2</v>
      </c>
      <c r="Q2657" t="str">
        <f t="shared" si="82"/>
        <v>10-14</v>
      </c>
      <c r="R2657" t="str">
        <f t="shared" si="83"/>
        <v>[oiPR2CiVJbf]|10-14|Male|DIAGNOSED_SUBNAT.T_1|CY2024Q3</v>
      </c>
    </row>
    <row r="2658" spans="4:18" x14ac:dyDescent="0.2">
      <c r="D2658" t="s">
        <v>117</v>
      </c>
      <c r="E2658" t="s">
        <v>118</v>
      </c>
      <c r="F2658" t="s">
        <v>119</v>
      </c>
      <c r="G2658" t="s">
        <v>148</v>
      </c>
      <c r="H2658" t="s">
        <v>149</v>
      </c>
      <c r="I2658" t="s">
        <v>38</v>
      </c>
      <c r="J2658" t="s">
        <v>39</v>
      </c>
      <c r="K2658" t="s">
        <v>48</v>
      </c>
      <c r="L2658" t="s">
        <v>49</v>
      </c>
      <c r="M2658" t="s">
        <v>140</v>
      </c>
      <c r="N2658">
        <v>1227</v>
      </c>
      <c r="O2658">
        <v>9.3818444000000001E-2</v>
      </c>
      <c r="P2658">
        <v>5.5125138999999997E-2</v>
      </c>
      <c r="Q2658" t="str">
        <f t="shared" si="82"/>
        <v>15-24</v>
      </c>
      <c r="R2658" t="str">
        <f t="shared" si="83"/>
        <v>[oiPR2CiVJbf]|15-24|Male|DIAGNOSED_SUBNAT.T_1|CY2024Q3</v>
      </c>
    </row>
    <row r="2659" spans="4:18" x14ac:dyDescent="0.2">
      <c r="D2659" t="s">
        <v>117</v>
      </c>
      <c r="E2659" t="s">
        <v>118</v>
      </c>
      <c r="F2659" t="s">
        <v>119</v>
      </c>
      <c r="G2659" t="s">
        <v>148</v>
      </c>
      <c r="H2659" t="s">
        <v>149</v>
      </c>
      <c r="I2659" t="s">
        <v>41</v>
      </c>
      <c r="J2659" t="s">
        <v>42</v>
      </c>
      <c r="K2659" t="s">
        <v>48</v>
      </c>
      <c r="L2659" t="s">
        <v>49</v>
      </c>
      <c r="M2659" t="s">
        <v>140</v>
      </c>
      <c r="N2659">
        <v>1601</v>
      </c>
      <c r="O2659">
        <v>8.7770208000000002E-2</v>
      </c>
      <c r="P2659">
        <v>5.5125138999999997E-2</v>
      </c>
      <c r="Q2659" t="str">
        <f t="shared" si="82"/>
        <v>25-34</v>
      </c>
      <c r="R2659" t="str">
        <f t="shared" si="83"/>
        <v>[oiPR2CiVJbf]|25-34|Male|DIAGNOSED_SUBNAT.T_1|CY2024Q3</v>
      </c>
    </row>
    <row r="2660" spans="4:18" x14ac:dyDescent="0.2">
      <c r="D2660" t="s">
        <v>117</v>
      </c>
      <c r="E2660" t="s">
        <v>118</v>
      </c>
      <c r="F2660" t="s">
        <v>119</v>
      </c>
      <c r="G2660" t="s">
        <v>148</v>
      </c>
      <c r="H2660" t="s">
        <v>149</v>
      </c>
      <c r="I2660" t="s">
        <v>43</v>
      </c>
      <c r="J2660" t="s">
        <v>44</v>
      </c>
      <c r="K2660" t="s">
        <v>48</v>
      </c>
      <c r="L2660" t="s">
        <v>49</v>
      </c>
      <c r="M2660" t="s">
        <v>140</v>
      </c>
      <c r="N2660">
        <v>5627</v>
      </c>
      <c r="O2660">
        <v>6.1837074999999998E-2</v>
      </c>
      <c r="P2660">
        <v>5.5125138999999997E-2</v>
      </c>
      <c r="Q2660" t="str">
        <f t="shared" si="82"/>
        <v>35-49</v>
      </c>
      <c r="R2660" t="str">
        <f t="shared" si="83"/>
        <v>[oiPR2CiVJbf]|35-49|Male|DIAGNOSED_SUBNAT.T_1|CY2024Q3</v>
      </c>
    </row>
    <row r="2661" spans="4:18" x14ac:dyDescent="0.2">
      <c r="D2661" t="s">
        <v>117</v>
      </c>
      <c r="E2661" t="s">
        <v>118</v>
      </c>
      <c r="F2661" t="s">
        <v>119</v>
      </c>
      <c r="G2661" t="s">
        <v>148</v>
      </c>
      <c r="H2661" t="s">
        <v>149</v>
      </c>
      <c r="I2661" t="s">
        <v>45</v>
      </c>
      <c r="J2661" t="s">
        <v>46</v>
      </c>
      <c r="K2661" t="s">
        <v>48</v>
      </c>
      <c r="L2661" t="s">
        <v>49</v>
      </c>
      <c r="M2661" t="s">
        <v>140</v>
      </c>
      <c r="N2661">
        <v>4254</v>
      </c>
      <c r="O2661">
        <v>5.8282146999999999E-2</v>
      </c>
      <c r="P2661">
        <v>5.5125138999999997E-2</v>
      </c>
      <c r="Q2661" t="str">
        <f t="shared" si="82"/>
        <v>50+</v>
      </c>
      <c r="R2661" t="str">
        <f t="shared" si="83"/>
        <v>[oiPR2CiVJbf]|50+|Male|DIAGNOSED_SUBNAT.T_1|CY2024Q3</v>
      </c>
    </row>
    <row r="2662" spans="4:18" x14ac:dyDescent="0.2">
      <c r="D2662" t="s">
        <v>120</v>
      </c>
      <c r="E2662" t="s">
        <v>121</v>
      </c>
      <c r="F2662" t="s">
        <v>122</v>
      </c>
      <c r="G2662" t="s">
        <v>148</v>
      </c>
      <c r="H2662" t="s">
        <v>149</v>
      </c>
      <c r="I2662" t="s">
        <v>28</v>
      </c>
      <c r="J2662" t="s">
        <v>29</v>
      </c>
      <c r="K2662" t="s">
        <v>30</v>
      </c>
      <c r="L2662" t="s">
        <v>31</v>
      </c>
      <c r="M2662" t="s">
        <v>140</v>
      </c>
      <c r="N2662">
        <v>45</v>
      </c>
      <c r="O2662">
        <v>3.9882942999999997E-2</v>
      </c>
      <c r="P2662">
        <v>2.7073508E-2</v>
      </c>
      <c r="Q2662" t="str">
        <f t="shared" si="82"/>
        <v>&lt;01</v>
      </c>
      <c r="R2662" t="str">
        <f t="shared" si="83"/>
        <v>[mxqa3CDFmIT]|&lt;01|Female|DIAGNOSED_SUBNAT.T_1|CY2024Q3</v>
      </c>
    </row>
    <row r="2663" spans="4:18" x14ac:dyDescent="0.2">
      <c r="D2663" t="s">
        <v>120</v>
      </c>
      <c r="E2663" t="s">
        <v>121</v>
      </c>
      <c r="F2663" t="s">
        <v>122</v>
      </c>
      <c r="G2663" t="s">
        <v>148</v>
      </c>
      <c r="H2663" t="s">
        <v>149</v>
      </c>
      <c r="I2663" t="s">
        <v>33</v>
      </c>
      <c r="J2663" t="s">
        <v>34</v>
      </c>
      <c r="K2663" t="s">
        <v>30</v>
      </c>
      <c r="L2663" t="s">
        <v>31</v>
      </c>
      <c r="M2663" t="s">
        <v>140</v>
      </c>
      <c r="N2663">
        <v>822</v>
      </c>
      <c r="O2663">
        <v>3.6473602000000001E-2</v>
      </c>
      <c r="P2663">
        <v>2.7073508E-2</v>
      </c>
      <c r="Q2663" t="str">
        <f t="shared" si="82"/>
        <v>01-09</v>
      </c>
      <c r="R2663" t="str">
        <f t="shared" si="83"/>
        <v>[mxqa3CDFmIT]|01-09|Female|DIAGNOSED_SUBNAT.T_1|CY2024Q3</v>
      </c>
    </row>
    <row r="2664" spans="4:18" x14ac:dyDescent="0.2">
      <c r="D2664" t="s">
        <v>120</v>
      </c>
      <c r="E2664" t="s">
        <v>121</v>
      </c>
      <c r="F2664" t="s">
        <v>122</v>
      </c>
      <c r="G2664" t="s">
        <v>148</v>
      </c>
      <c r="H2664" t="s">
        <v>149</v>
      </c>
      <c r="I2664" t="s">
        <v>36</v>
      </c>
      <c r="J2664" t="s">
        <v>37</v>
      </c>
      <c r="K2664" t="s">
        <v>30</v>
      </c>
      <c r="L2664" t="s">
        <v>31</v>
      </c>
      <c r="M2664" t="s">
        <v>140</v>
      </c>
      <c r="N2664">
        <v>979</v>
      </c>
      <c r="O2664">
        <v>3.3350944E-2</v>
      </c>
      <c r="P2664">
        <v>2.7073508E-2</v>
      </c>
      <c r="Q2664" t="str">
        <f t="shared" si="82"/>
        <v>10-14</v>
      </c>
      <c r="R2664" t="str">
        <f t="shared" si="83"/>
        <v>[mxqa3CDFmIT]|10-14|Female|DIAGNOSED_SUBNAT.T_1|CY2024Q3</v>
      </c>
    </row>
    <row r="2665" spans="4:18" x14ac:dyDescent="0.2">
      <c r="D2665" t="s">
        <v>120</v>
      </c>
      <c r="E2665" t="s">
        <v>121</v>
      </c>
      <c r="F2665" t="s">
        <v>122</v>
      </c>
      <c r="G2665" t="s">
        <v>148</v>
      </c>
      <c r="H2665" t="s">
        <v>149</v>
      </c>
      <c r="I2665" t="s">
        <v>38</v>
      </c>
      <c r="J2665" t="s">
        <v>39</v>
      </c>
      <c r="K2665" t="s">
        <v>30</v>
      </c>
      <c r="L2665" t="s">
        <v>31</v>
      </c>
      <c r="M2665" t="s">
        <v>140</v>
      </c>
      <c r="N2665">
        <v>5397</v>
      </c>
      <c r="O2665">
        <v>6.6630445999999996E-2</v>
      </c>
      <c r="P2665">
        <v>2.7073508E-2</v>
      </c>
      <c r="Q2665" t="str">
        <f t="shared" si="82"/>
        <v>15-24</v>
      </c>
      <c r="R2665" t="str">
        <f t="shared" si="83"/>
        <v>[mxqa3CDFmIT]|15-24|Female|DIAGNOSED_SUBNAT.T_1|CY2024Q3</v>
      </c>
    </row>
    <row r="2666" spans="4:18" x14ac:dyDescent="0.2">
      <c r="D2666" t="s">
        <v>120</v>
      </c>
      <c r="E2666" t="s">
        <v>121</v>
      </c>
      <c r="F2666" t="s">
        <v>122</v>
      </c>
      <c r="G2666" t="s">
        <v>148</v>
      </c>
      <c r="H2666" t="s">
        <v>149</v>
      </c>
      <c r="I2666" t="s">
        <v>41</v>
      </c>
      <c r="J2666" t="s">
        <v>42</v>
      </c>
      <c r="K2666" t="s">
        <v>30</v>
      </c>
      <c r="L2666" t="s">
        <v>31</v>
      </c>
      <c r="M2666" t="s">
        <v>140</v>
      </c>
      <c r="N2666">
        <v>16328</v>
      </c>
      <c r="O2666">
        <v>4.5261455999999999E-2</v>
      </c>
      <c r="P2666">
        <v>2.7073508E-2</v>
      </c>
      <c r="Q2666" t="str">
        <f t="shared" si="82"/>
        <v>25-34</v>
      </c>
      <c r="R2666" t="str">
        <f t="shared" si="83"/>
        <v>[mxqa3CDFmIT]|25-34|Female|DIAGNOSED_SUBNAT.T_1|CY2024Q3</v>
      </c>
    </row>
    <row r="2667" spans="4:18" x14ac:dyDescent="0.2">
      <c r="D2667" t="s">
        <v>120</v>
      </c>
      <c r="E2667" t="s">
        <v>121</v>
      </c>
      <c r="F2667" t="s">
        <v>122</v>
      </c>
      <c r="G2667" t="s">
        <v>148</v>
      </c>
      <c r="H2667" t="s">
        <v>149</v>
      </c>
      <c r="I2667" t="s">
        <v>43</v>
      </c>
      <c r="J2667" t="s">
        <v>44</v>
      </c>
      <c r="K2667" t="s">
        <v>30</v>
      </c>
      <c r="L2667" t="s">
        <v>31</v>
      </c>
      <c r="M2667" t="s">
        <v>140</v>
      </c>
      <c r="N2667">
        <v>36414</v>
      </c>
      <c r="O2667">
        <v>3.0973031000000002E-2</v>
      </c>
      <c r="P2667">
        <v>2.7073508E-2</v>
      </c>
      <c r="Q2667" t="str">
        <f t="shared" si="82"/>
        <v>35-49</v>
      </c>
      <c r="R2667" t="str">
        <f t="shared" si="83"/>
        <v>[mxqa3CDFmIT]|35-49|Female|DIAGNOSED_SUBNAT.T_1|CY2024Q3</v>
      </c>
    </row>
    <row r="2668" spans="4:18" x14ac:dyDescent="0.2">
      <c r="D2668" t="s">
        <v>120</v>
      </c>
      <c r="E2668" t="s">
        <v>121</v>
      </c>
      <c r="F2668" t="s">
        <v>122</v>
      </c>
      <c r="G2668" t="s">
        <v>148</v>
      </c>
      <c r="H2668" t="s">
        <v>149</v>
      </c>
      <c r="I2668" t="s">
        <v>45</v>
      </c>
      <c r="J2668" t="s">
        <v>46</v>
      </c>
      <c r="K2668" t="s">
        <v>30</v>
      </c>
      <c r="L2668" t="s">
        <v>31</v>
      </c>
      <c r="M2668" t="s">
        <v>140</v>
      </c>
      <c r="N2668">
        <v>13023</v>
      </c>
      <c r="O2668">
        <v>4.2454155E-2</v>
      </c>
      <c r="P2668">
        <v>2.7073508E-2</v>
      </c>
      <c r="Q2668" t="str">
        <f t="shared" si="82"/>
        <v>50+</v>
      </c>
      <c r="R2668" t="str">
        <f t="shared" si="83"/>
        <v>[mxqa3CDFmIT]|50+|Female|DIAGNOSED_SUBNAT.T_1|CY2024Q3</v>
      </c>
    </row>
    <row r="2669" spans="4:18" x14ac:dyDescent="0.2">
      <c r="D2669" t="s">
        <v>120</v>
      </c>
      <c r="E2669" t="s">
        <v>121</v>
      </c>
      <c r="F2669" t="s">
        <v>122</v>
      </c>
      <c r="G2669" t="s">
        <v>148</v>
      </c>
      <c r="H2669" t="s">
        <v>149</v>
      </c>
      <c r="I2669" t="s">
        <v>28</v>
      </c>
      <c r="J2669" t="s">
        <v>29</v>
      </c>
      <c r="K2669" t="s">
        <v>48</v>
      </c>
      <c r="L2669" t="s">
        <v>49</v>
      </c>
      <c r="M2669" t="s">
        <v>140</v>
      </c>
      <c r="N2669">
        <v>45</v>
      </c>
      <c r="O2669">
        <v>3.4664396E-2</v>
      </c>
      <c r="P2669">
        <v>2.7073508E-2</v>
      </c>
      <c r="Q2669" t="str">
        <f t="shared" si="82"/>
        <v>&lt;01</v>
      </c>
      <c r="R2669" t="str">
        <f t="shared" si="83"/>
        <v>[mxqa3CDFmIT]|&lt;01|Male|DIAGNOSED_SUBNAT.T_1|CY2024Q3</v>
      </c>
    </row>
    <row r="2670" spans="4:18" x14ac:dyDescent="0.2">
      <c r="D2670" t="s">
        <v>120</v>
      </c>
      <c r="E2670" t="s">
        <v>121</v>
      </c>
      <c r="F2670" t="s">
        <v>122</v>
      </c>
      <c r="G2670" t="s">
        <v>148</v>
      </c>
      <c r="H2670" t="s">
        <v>149</v>
      </c>
      <c r="I2670" t="s">
        <v>33</v>
      </c>
      <c r="J2670" t="s">
        <v>34</v>
      </c>
      <c r="K2670" t="s">
        <v>48</v>
      </c>
      <c r="L2670" t="s">
        <v>49</v>
      </c>
      <c r="M2670" t="s">
        <v>140</v>
      </c>
      <c r="N2670">
        <v>831</v>
      </c>
      <c r="O2670">
        <v>3.386198E-2</v>
      </c>
      <c r="P2670">
        <v>2.7073508E-2</v>
      </c>
      <c r="Q2670" t="str">
        <f t="shared" si="82"/>
        <v>01-09</v>
      </c>
      <c r="R2670" t="str">
        <f t="shared" si="83"/>
        <v>[mxqa3CDFmIT]|01-09|Male|DIAGNOSED_SUBNAT.T_1|CY2024Q3</v>
      </c>
    </row>
    <row r="2671" spans="4:18" x14ac:dyDescent="0.2">
      <c r="D2671" t="s">
        <v>120</v>
      </c>
      <c r="E2671" t="s">
        <v>121</v>
      </c>
      <c r="F2671" t="s">
        <v>122</v>
      </c>
      <c r="G2671" t="s">
        <v>148</v>
      </c>
      <c r="H2671" t="s">
        <v>149</v>
      </c>
      <c r="I2671" t="s">
        <v>36</v>
      </c>
      <c r="J2671" t="s">
        <v>37</v>
      </c>
      <c r="K2671" t="s">
        <v>48</v>
      </c>
      <c r="L2671" t="s">
        <v>49</v>
      </c>
      <c r="M2671" t="s">
        <v>140</v>
      </c>
      <c r="N2671">
        <v>974</v>
      </c>
      <c r="O2671">
        <v>3.4157905000000002E-2</v>
      </c>
      <c r="P2671">
        <v>2.7073508E-2</v>
      </c>
      <c r="Q2671" t="str">
        <f t="shared" si="82"/>
        <v>10-14</v>
      </c>
      <c r="R2671" t="str">
        <f t="shared" si="83"/>
        <v>[mxqa3CDFmIT]|10-14|Male|DIAGNOSED_SUBNAT.T_1|CY2024Q3</v>
      </c>
    </row>
    <row r="2672" spans="4:18" x14ac:dyDescent="0.2">
      <c r="D2672" t="s">
        <v>120</v>
      </c>
      <c r="E2672" t="s">
        <v>121</v>
      </c>
      <c r="F2672" t="s">
        <v>122</v>
      </c>
      <c r="G2672" t="s">
        <v>148</v>
      </c>
      <c r="H2672" t="s">
        <v>149</v>
      </c>
      <c r="I2672" t="s">
        <v>38</v>
      </c>
      <c r="J2672" t="s">
        <v>39</v>
      </c>
      <c r="K2672" t="s">
        <v>48</v>
      </c>
      <c r="L2672" t="s">
        <v>49</v>
      </c>
      <c r="M2672" t="s">
        <v>140</v>
      </c>
      <c r="N2672">
        <v>3590</v>
      </c>
      <c r="O2672">
        <v>7.6736355000000006E-2</v>
      </c>
      <c r="P2672">
        <v>2.7073508E-2</v>
      </c>
      <c r="Q2672" t="str">
        <f t="shared" si="82"/>
        <v>15-24</v>
      </c>
      <c r="R2672" t="str">
        <f t="shared" si="83"/>
        <v>[mxqa3CDFmIT]|15-24|Male|DIAGNOSED_SUBNAT.T_1|CY2024Q3</v>
      </c>
    </row>
    <row r="2673" spans="4:18" x14ac:dyDescent="0.2">
      <c r="D2673" t="s">
        <v>120</v>
      </c>
      <c r="E2673" t="s">
        <v>121</v>
      </c>
      <c r="F2673" t="s">
        <v>122</v>
      </c>
      <c r="G2673" t="s">
        <v>148</v>
      </c>
      <c r="H2673" t="s">
        <v>149</v>
      </c>
      <c r="I2673" t="s">
        <v>41</v>
      </c>
      <c r="J2673" t="s">
        <v>42</v>
      </c>
      <c r="K2673" t="s">
        <v>48</v>
      </c>
      <c r="L2673" t="s">
        <v>49</v>
      </c>
      <c r="M2673" t="s">
        <v>140</v>
      </c>
      <c r="N2673">
        <v>6207</v>
      </c>
      <c r="O2673">
        <v>6.5534784999999998E-2</v>
      </c>
      <c r="P2673">
        <v>2.7073508E-2</v>
      </c>
      <c r="Q2673" t="str">
        <f t="shared" si="82"/>
        <v>25-34</v>
      </c>
      <c r="R2673" t="str">
        <f t="shared" si="83"/>
        <v>[mxqa3CDFmIT]|25-34|Male|DIAGNOSED_SUBNAT.T_1|CY2024Q3</v>
      </c>
    </row>
    <row r="2674" spans="4:18" x14ac:dyDescent="0.2">
      <c r="D2674" t="s">
        <v>120</v>
      </c>
      <c r="E2674" t="s">
        <v>121</v>
      </c>
      <c r="F2674" t="s">
        <v>122</v>
      </c>
      <c r="G2674" t="s">
        <v>148</v>
      </c>
      <c r="H2674" t="s">
        <v>149</v>
      </c>
      <c r="I2674" t="s">
        <v>43</v>
      </c>
      <c r="J2674" t="s">
        <v>44</v>
      </c>
      <c r="K2674" t="s">
        <v>48</v>
      </c>
      <c r="L2674" t="s">
        <v>49</v>
      </c>
      <c r="M2674" t="s">
        <v>140</v>
      </c>
      <c r="N2674">
        <v>22223</v>
      </c>
      <c r="O2674">
        <v>3.5415453999999999E-2</v>
      </c>
      <c r="P2674">
        <v>2.7073508E-2</v>
      </c>
      <c r="Q2674" t="str">
        <f t="shared" si="82"/>
        <v>35-49</v>
      </c>
      <c r="R2674" t="str">
        <f t="shared" si="83"/>
        <v>[mxqa3CDFmIT]|35-49|Male|DIAGNOSED_SUBNAT.T_1|CY2024Q3</v>
      </c>
    </row>
    <row r="2675" spans="4:18" x14ac:dyDescent="0.2">
      <c r="D2675" t="s">
        <v>120</v>
      </c>
      <c r="E2675" t="s">
        <v>121</v>
      </c>
      <c r="F2675" t="s">
        <v>122</v>
      </c>
      <c r="G2675" t="s">
        <v>148</v>
      </c>
      <c r="H2675" t="s">
        <v>149</v>
      </c>
      <c r="I2675" t="s">
        <v>45</v>
      </c>
      <c r="J2675" t="s">
        <v>46</v>
      </c>
      <c r="K2675" t="s">
        <v>48</v>
      </c>
      <c r="L2675" t="s">
        <v>49</v>
      </c>
      <c r="M2675" t="s">
        <v>140</v>
      </c>
      <c r="N2675">
        <v>12747</v>
      </c>
      <c r="O2675">
        <v>3.9882081999999999E-2</v>
      </c>
      <c r="P2675">
        <v>2.7073508E-2</v>
      </c>
      <c r="Q2675" t="str">
        <f t="shared" si="82"/>
        <v>50+</v>
      </c>
      <c r="R2675" t="str">
        <f t="shared" si="83"/>
        <v>[mxqa3CDFmIT]|50+|Male|DIAGNOSED_SUBNAT.T_1|CY2024Q3</v>
      </c>
    </row>
    <row r="2676" spans="4:18" x14ac:dyDescent="0.2">
      <c r="D2676" t="s">
        <v>123</v>
      </c>
      <c r="E2676" t="s">
        <v>124</v>
      </c>
      <c r="F2676" t="s">
        <v>125</v>
      </c>
      <c r="G2676" t="s">
        <v>148</v>
      </c>
      <c r="H2676" t="s">
        <v>149</v>
      </c>
      <c r="I2676" t="s">
        <v>28</v>
      </c>
      <c r="J2676" t="s">
        <v>29</v>
      </c>
      <c r="K2676" t="s">
        <v>30</v>
      </c>
      <c r="L2676" t="s">
        <v>31</v>
      </c>
      <c r="M2676" t="s">
        <v>140</v>
      </c>
      <c r="N2676">
        <v>2</v>
      </c>
      <c r="O2676">
        <v>0.13556394399999999</v>
      </c>
      <c r="P2676">
        <v>8.5392469999999998E-2</v>
      </c>
      <c r="Q2676" t="str">
        <f t="shared" si="82"/>
        <v>&lt;01</v>
      </c>
      <c r="R2676" t="str">
        <f t="shared" si="83"/>
        <v>[wNqJp8oRIcF]|&lt;01|Female|DIAGNOSED_SUBNAT.T_1|CY2024Q3</v>
      </c>
    </row>
    <row r="2677" spans="4:18" x14ac:dyDescent="0.2">
      <c r="D2677" t="s">
        <v>123</v>
      </c>
      <c r="E2677" t="s">
        <v>124</v>
      </c>
      <c r="F2677" t="s">
        <v>125</v>
      </c>
      <c r="G2677" t="s">
        <v>148</v>
      </c>
      <c r="H2677" t="s">
        <v>149</v>
      </c>
      <c r="I2677" t="s">
        <v>33</v>
      </c>
      <c r="J2677" t="s">
        <v>34</v>
      </c>
      <c r="K2677" t="s">
        <v>30</v>
      </c>
      <c r="L2677" t="s">
        <v>31</v>
      </c>
      <c r="M2677" t="s">
        <v>140</v>
      </c>
      <c r="N2677">
        <v>45</v>
      </c>
      <c r="O2677">
        <v>0.13271981999999999</v>
      </c>
      <c r="P2677">
        <v>8.5392469999999998E-2</v>
      </c>
      <c r="Q2677" t="str">
        <f t="shared" si="82"/>
        <v>01-09</v>
      </c>
      <c r="R2677" t="str">
        <f t="shared" si="83"/>
        <v>[wNqJp8oRIcF]|01-09|Female|DIAGNOSED_SUBNAT.T_1|CY2024Q3</v>
      </c>
    </row>
    <row r="2678" spans="4:18" x14ac:dyDescent="0.2">
      <c r="D2678" t="s">
        <v>123</v>
      </c>
      <c r="E2678" t="s">
        <v>124</v>
      </c>
      <c r="F2678" t="s">
        <v>125</v>
      </c>
      <c r="G2678" t="s">
        <v>148</v>
      </c>
      <c r="H2678" t="s">
        <v>149</v>
      </c>
      <c r="I2678" t="s">
        <v>36</v>
      </c>
      <c r="J2678" t="s">
        <v>37</v>
      </c>
      <c r="K2678" t="s">
        <v>30</v>
      </c>
      <c r="L2678" t="s">
        <v>31</v>
      </c>
      <c r="M2678" t="s">
        <v>140</v>
      </c>
      <c r="N2678">
        <v>58</v>
      </c>
      <c r="O2678">
        <v>0.12841059299999999</v>
      </c>
      <c r="P2678">
        <v>8.5392469999999998E-2</v>
      </c>
      <c r="Q2678" t="str">
        <f t="shared" si="82"/>
        <v>10-14</v>
      </c>
      <c r="R2678" t="str">
        <f t="shared" si="83"/>
        <v>[wNqJp8oRIcF]|10-14|Female|DIAGNOSED_SUBNAT.T_1|CY2024Q3</v>
      </c>
    </row>
    <row r="2679" spans="4:18" x14ac:dyDescent="0.2">
      <c r="D2679" t="s">
        <v>123</v>
      </c>
      <c r="E2679" t="s">
        <v>124</v>
      </c>
      <c r="F2679" t="s">
        <v>125</v>
      </c>
      <c r="G2679" t="s">
        <v>148</v>
      </c>
      <c r="H2679" t="s">
        <v>149</v>
      </c>
      <c r="I2679" t="s">
        <v>38</v>
      </c>
      <c r="J2679" t="s">
        <v>39</v>
      </c>
      <c r="K2679" t="s">
        <v>30</v>
      </c>
      <c r="L2679" t="s">
        <v>31</v>
      </c>
      <c r="M2679" t="s">
        <v>140</v>
      </c>
      <c r="N2679">
        <v>311</v>
      </c>
      <c r="O2679">
        <v>0.109637789</v>
      </c>
      <c r="P2679">
        <v>8.5392469999999998E-2</v>
      </c>
      <c r="Q2679" t="str">
        <f t="shared" si="82"/>
        <v>15-24</v>
      </c>
      <c r="R2679" t="str">
        <f t="shared" si="83"/>
        <v>[wNqJp8oRIcF]|15-24|Female|DIAGNOSED_SUBNAT.T_1|CY2024Q3</v>
      </c>
    </row>
    <row r="2680" spans="4:18" x14ac:dyDescent="0.2">
      <c r="D2680" t="s">
        <v>123</v>
      </c>
      <c r="E2680" t="s">
        <v>124</v>
      </c>
      <c r="F2680" t="s">
        <v>125</v>
      </c>
      <c r="G2680" t="s">
        <v>148</v>
      </c>
      <c r="H2680" t="s">
        <v>149</v>
      </c>
      <c r="I2680" t="s">
        <v>41</v>
      </c>
      <c r="J2680" t="s">
        <v>42</v>
      </c>
      <c r="K2680" t="s">
        <v>30</v>
      </c>
      <c r="L2680" t="s">
        <v>31</v>
      </c>
      <c r="M2680" t="s">
        <v>140</v>
      </c>
      <c r="N2680">
        <v>832</v>
      </c>
      <c r="O2680">
        <v>9.7316501E-2</v>
      </c>
      <c r="P2680">
        <v>8.5392469999999998E-2</v>
      </c>
      <c r="Q2680" t="str">
        <f t="shared" si="82"/>
        <v>25-34</v>
      </c>
      <c r="R2680" t="str">
        <f t="shared" si="83"/>
        <v>[wNqJp8oRIcF]|25-34|Female|DIAGNOSED_SUBNAT.T_1|CY2024Q3</v>
      </c>
    </row>
    <row r="2681" spans="4:18" x14ac:dyDescent="0.2">
      <c r="D2681" t="s">
        <v>123</v>
      </c>
      <c r="E2681" t="s">
        <v>124</v>
      </c>
      <c r="F2681" t="s">
        <v>125</v>
      </c>
      <c r="G2681" t="s">
        <v>148</v>
      </c>
      <c r="H2681" t="s">
        <v>149</v>
      </c>
      <c r="I2681" t="s">
        <v>43</v>
      </c>
      <c r="J2681" t="s">
        <v>44</v>
      </c>
      <c r="K2681" t="s">
        <v>30</v>
      </c>
      <c r="L2681" t="s">
        <v>31</v>
      </c>
      <c r="M2681" t="s">
        <v>140</v>
      </c>
      <c r="N2681">
        <v>2040</v>
      </c>
      <c r="O2681">
        <v>8.2704864000000003E-2</v>
      </c>
      <c r="P2681">
        <v>8.5392469999999998E-2</v>
      </c>
      <c r="Q2681" t="str">
        <f t="shared" si="82"/>
        <v>35-49</v>
      </c>
      <c r="R2681" t="str">
        <f t="shared" si="83"/>
        <v>[wNqJp8oRIcF]|35-49|Female|DIAGNOSED_SUBNAT.T_1|CY2024Q3</v>
      </c>
    </row>
    <row r="2682" spans="4:18" x14ac:dyDescent="0.2">
      <c r="D2682" t="s">
        <v>123</v>
      </c>
      <c r="E2682" t="s">
        <v>124</v>
      </c>
      <c r="F2682" t="s">
        <v>125</v>
      </c>
      <c r="G2682" t="s">
        <v>148</v>
      </c>
      <c r="H2682" t="s">
        <v>149</v>
      </c>
      <c r="I2682" t="s">
        <v>45</v>
      </c>
      <c r="J2682" t="s">
        <v>46</v>
      </c>
      <c r="K2682" t="s">
        <v>30</v>
      </c>
      <c r="L2682" t="s">
        <v>31</v>
      </c>
      <c r="M2682" t="s">
        <v>140</v>
      </c>
      <c r="N2682">
        <v>940</v>
      </c>
      <c r="O2682">
        <v>9.1330146000000001E-2</v>
      </c>
      <c r="P2682">
        <v>8.5392469999999998E-2</v>
      </c>
      <c r="Q2682" t="str">
        <f t="shared" si="82"/>
        <v>50+</v>
      </c>
      <c r="R2682" t="str">
        <f t="shared" si="83"/>
        <v>[wNqJp8oRIcF]|50+|Female|DIAGNOSED_SUBNAT.T_1|CY2024Q3</v>
      </c>
    </row>
    <row r="2683" spans="4:18" x14ac:dyDescent="0.2">
      <c r="D2683" t="s">
        <v>123</v>
      </c>
      <c r="E2683" t="s">
        <v>124</v>
      </c>
      <c r="F2683" t="s">
        <v>125</v>
      </c>
      <c r="G2683" t="s">
        <v>148</v>
      </c>
      <c r="H2683" t="s">
        <v>149</v>
      </c>
      <c r="I2683" t="s">
        <v>28</v>
      </c>
      <c r="J2683" t="s">
        <v>29</v>
      </c>
      <c r="K2683" t="s">
        <v>48</v>
      </c>
      <c r="L2683" t="s">
        <v>49</v>
      </c>
      <c r="M2683" t="s">
        <v>140</v>
      </c>
      <c r="N2683">
        <v>2</v>
      </c>
      <c r="O2683">
        <v>0.12185873699999999</v>
      </c>
      <c r="P2683">
        <v>8.5392469999999998E-2</v>
      </c>
      <c r="Q2683" t="str">
        <f t="shared" si="82"/>
        <v>&lt;01</v>
      </c>
      <c r="R2683" t="str">
        <f t="shared" si="83"/>
        <v>[wNqJp8oRIcF]|&lt;01|Male|DIAGNOSED_SUBNAT.T_1|CY2024Q3</v>
      </c>
    </row>
    <row r="2684" spans="4:18" x14ac:dyDescent="0.2">
      <c r="D2684" t="s">
        <v>123</v>
      </c>
      <c r="E2684" t="s">
        <v>124</v>
      </c>
      <c r="F2684" t="s">
        <v>125</v>
      </c>
      <c r="G2684" t="s">
        <v>148</v>
      </c>
      <c r="H2684" t="s">
        <v>149</v>
      </c>
      <c r="I2684" t="s">
        <v>33</v>
      </c>
      <c r="J2684" t="s">
        <v>34</v>
      </c>
      <c r="K2684" t="s">
        <v>48</v>
      </c>
      <c r="L2684" t="s">
        <v>49</v>
      </c>
      <c r="M2684" t="s">
        <v>140</v>
      </c>
      <c r="N2684">
        <v>45</v>
      </c>
      <c r="O2684">
        <v>0.120604191</v>
      </c>
      <c r="P2684">
        <v>8.5392469999999998E-2</v>
      </c>
      <c r="Q2684" t="str">
        <f t="shared" si="82"/>
        <v>01-09</v>
      </c>
      <c r="R2684" t="str">
        <f t="shared" si="83"/>
        <v>[wNqJp8oRIcF]|01-09|Male|DIAGNOSED_SUBNAT.T_1|CY2024Q3</v>
      </c>
    </row>
    <row r="2685" spans="4:18" x14ac:dyDescent="0.2">
      <c r="D2685" t="s">
        <v>123</v>
      </c>
      <c r="E2685" t="s">
        <v>124</v>
      </c>
      <c r="F2685" t="s">
        <v>125</v>
      </c>
      <c r="G2685" t="s">
        <v>148</v>
      </c>
      <c r="H2685" t="s">
        <v>149</v>
      </c>
      <c r="I2685" t="s">
        <v>36</v>
      </c>
      <c r="J2685" t="s">
        <v>37</v>
      </c>
      <c r="K2685" t="s">
        <v>48</v>
      </c>
      <c r="L2685" t="s">
        <v>49</v>
      </c>
      <c r="M2685" t="s">
        <v>140</v>
      </c>
      <c r="N2685">
        <v>57</v>
      </c>
      <c r="O2685">
        <v>0.11905587400000001</v>
      </c>
      <c r="P2685">
        <v>8.5392469999999998E-2</v>
      </c>
      <c r="Q2685" t="str">
        <f t="shared" si="82"/>
        <v>10-14</v>
      </c>
      <c r="R2685" t="str">
        <f t="shared" si="83"/>
        <v>[wNqJp8oRIcF]|10-14|Male|DIAGNOSED_SUBNAT.T_1|CY2024Q3</v>
      </c>
    </row>
    <row r="2686" spans="4:18" x14ac:dyDescent="0.2">
      <c r="D2686" t="s">
        <v>123</v>
      </c>
      <c r="E2686" t="s">
        <v>124</v>
      </c>
      <c r="F2686" t="s">
        <v>125</v>
      </c>
      <c r="G2686" t="s">
        <v>148</v>
      </c>
      <c r="H2686" t="s">
        <v>149</v>
      </c>
      <c r="I2686" t="s">
        <v>38</v>
      </c>
      <c r="J2686" t="s">
        <v>39</v>
      </c>
      <c r="K2686" t="s">
        <v>48</v>
      </c>
      <c r="L2686" t="s">
        <v>49</v>
      </c>
      <c r="M2686" t="s">
        <v>140</v>
      </c>
      <c r="N2686">
        <v>206</v>
      </c>
      <c r="O2686">
        <v>0.11610005</v>
      </c>
      <c r="P2686">
        <v>8.5392469999999998E-2</v>
      </c>
      <c r="Q2686" t="str">
        <f t="shared" si="82"/>
        <v>15-24</v>
      </c>
      <c r="R2686" t="str">
        <f t="shared" si="83"/>
        <v>[wNqJp8oRIcF]|15-24|Male|DIAGNOSED_SUBNAT.T_1|CY2024Q3</v>
      </c>
    </row>
    <row r="2687" spans="4:18" x14ac:dyDescent="0.2">
      <c r="D2687" t="s">
        <v>123</v>
      </c>
      <c r="E2687" t="s">
        <v>124</v>
      </c>
      <c r="F2687" t="s">
        <v>125</v>
      </c>
      <c r="G2687" t="s">
        <v>148</v>
      </c>
      <c r="H2687" t="s">
        <v>149</v>
      </c>
      <c r="I2687" t="s">
        <v>41</v>
      </c>
      <c r="J2687" t="s">
        <v>42</v>
      </c>
      <c r="K2687" t="s">
        <v>48</v>
      </c>
      <c r="L2687" t="s">
        <v>49</v>
      </c>
      <c r="M2687" t="s">
        <v>140</v>
      </c>
      <c r="N2687">
        <v>278</v>
      </c>
      <c r="O2687">
        <v>0.107883192</v>
      </c>
      <c r="P2687">
        <v>8.5392469999999998E-2</v>
      </c>
      <c r="Q2687" t="str">
        <f t="shared" si="82"/>
        <v>25-34</v>
      </c>
      <c r="R2687" t="str">
        <f t="shared" si="83"/>
        <v>[wNqJp8oRIcF]|25-34|Male|DIAGNOSED_SUBNAT.T_1|CY2024Q3</v>
      </c>
    </row>
    <row r="2688" spans="4:18" x14ac:dyDescent="0.2">
      <c r="D2688" t="s">
        <v>123</v>
      </c>
      <c r="E2688" t="s">
        <v>124</v>
      </c>
      <c r="F2688" t="s">
        <v>125</v>
      </c>
      <c r="G2688" t="s">
        <v>148</v>
      </c>
      <c r="H2688" t="s">
        <v>149</v>
      </c>
      <c r="I2688" t="s">
        <v>43</v>
      </c>
      <c r="J2688" t="s">
        <v>44</v>
      </c>
      <c r="K2688" t="s">
        <v>48</v>
      </c>
      <c r="L2688" t="s">
        <v>49</v>
      </c>
      <c r="M2688" t="s">
        <v>140</v>
      </c>
      <c r="N2688">
        <v>1032</v>
      </c>
      <c r="O2688">
        <v>9.1949246999999998E-2</v>
      </c>
      <c r="P2688">
        <v>8.5392469999999998E-2</v>
      </c>
      <c r="Q2688" t="str">
        <f t="shared" si="82"/>
        <v>35-49</v>
      </c>
      <c r="R2688" t="str">
        <f t="shared" si="83"/>
        <v>[wNqJp8oRIcF]|35-49|Male|DIAGNOSED_SUBNAT.T_1|CY2024Q3</v>
      </c>
    </row>
    <row r="2689" spans="4:18" x14ac:dyDescent="0.2">
      <c r="D2689" t="s">
        <v>123</v>
      </c>
      <c r="E2689" t="s">
        <v>124</v>
      </c>
      <c r="F2689" t="s">
        <v>125</v>
      </c>
      <c r="G2689" t="s">
        <v>148</v>
      </c>
      <c r="H2689" t="s">
        <v>149</v>
      </c>
      <c r="I2689" t="s">
        <v>45</v>
      </c>
      <c r="J2689" t="s">
        <v>46</v>
      </c>
      <c r="K2689" t="s">
        <v>48</v>
      </c>
      <c r="L2689" t="s">
        <v>49</v>
      </c>
      <c r="M2689" t="s">
        <v>140</v>
      </c>
      <c r="N2689">
        <v>713</v>
      </c>
      <c r="O2689">
        <v>9.2665766999999996E-2</v>
      </c>
      <c r="P2689">
        <v>8.5392469999999998E-2</v>
      </c>
      <c r="Q2689" t="str">
        <f t="shared" si="82"/>
        <v>50+</v>
      </c>
      <c r="R2689" t="str">
        <f t="shared" si="83"/>
        <v>[wNqJp8oRIcF]|50+|Male|DIAGNOSED_SUBNAT.T_1|CY2024Q3</v>
      </c>
    </row>
    <row r="2690" spans="4:18" x14ac:dyDescent="0.2">
      <c r="D2690" t="s">
        <v>126</v>
      </c>
      <c r="E2690" t="s">
        <v>127</v>
      </c>
      <c r="F2690" t="s">
        <v>128</v>
      </c>
      <c r="G2690" t="s">
        <v>148</v>
      </c>
      <c r="H2690" t="s">
        <v>149</v>
      </c>
      <c r="I2690" t="s">
        <v>28</v>
      </c>
      <c r="J2690" t="s">
        <v>29</v>
      </c>
      <c r="K2690" t="s">
        <v>30</v>
      </c>
      <c r="L2690" t="s">
        <v>31</v>
      </c>
      <c r="M2690" t="s">
        <v>140</v>
      </c>
      <c r="N2690">
        <v>24</v>
      </c>
      <c r="O2690">
        <v>6.3211931999999998E-2</v>
      </c>
      <c r="P2690">
        <v>4.7926235999999997E-2</v>
      </c>
      <c r="Q2690" t="str">
        <f t="shared" si="82"/>
        <v>&lt;01</v>
      </c>
      <c r="R2690" t="str">
        <f t="shared" si="83"/>
        <v>[ul0y9diGujK]|&lt;01|Female|DIAGNOSED_SUBNAT.T_1|CY2024Q3</v>
      </c>
    </row>
    <row r="2691" spans="4:18" x14ac:dyDescent="0.2">
      <c r="D2691" t="s">
        <v>126</v>
      </c>
      <c r="E2691" t="s">
        <v>127</v>
      </c>
      <c r="F2691" t="s">
        <v>128</v>
      </c>
      <c r="G2691" t="s">
        <v>148</v>
      </c>
      <c r="H2691" t="s">
        <v>149</v>
      </c>
      <c r="I2691" t="s">
        <v>33</v>
      </c>
      <c r="J2691" t="s">
        <v>34</v>
      </c>
      <c r="K2691" t="s">
        <v>30</v>
      </c>
      <c r="L2691" t="s">
        <v>31</v>
      </c>
      <c r="M2691" t="s">
        <v>140</v>
      </c>
      <c r="N2691">
        <v>464</v>
      </c>
      <c r="O2691">
        <v>5.9802711000000001E-2</v>
      </c>
      <c r="P2691">
        <v>4.7926235999999997E-2</v>
      </c>
      <c r="Q2691" t="str">
        <f t="shared" ref="Q2691:Q2754" si="84">SUBSTITUTE(SUBSTITUTE($I2691,CHAR(61),""),CHAR(34),"")</f>
        <v>01-09</v>
      </c>
      <c r="R2691" t="str">
        <f t="shared" ref="R2691:R2754" si="85">IF($D2691&lt;&gt;"","["&amp;$E2691&amp;"]"&amp;"|"&amp;$Q2691&amp;"|"&amp;$K2691&amp;"|"&amp;$G2691&amp;"|"&amp;IF($G2691="TX_CURR_SUBNAT.R","CY2023Q4",$M2691),"")</f>
        <v>[ul0y9diGujK]|01-09|Female|DIAGNOSED_SUBNAT.T_1|CY2024Q3</v>
      </c>
    </row>
    <row r="2692" spans="4:18" x14ac:dyDescent="0.2">
      <c r="D2692" t="s">
        <v>126</v>
      </c>
      <c r="E2692" t="s">
        <v>127</v>
      </c>
      <c r="F2692" t="s">
        <v>128</v>
      </c>
      <c r="G2692" t="s">
        <v>148</v>
      </c>
      <c r="H2692" t="s">
        <v>149</v>
      </c>
      <c r="I2692" t="s">
        <v>36</v>
      </c>
      <c r="J2692" t="s">
        <v>37</v>
      </c>
      <c r="K2692" t="s">
        <v>30</v>
      </c>
      <c r="L2692" t="s">
        <v>31</v>
      </c>
      <c r="M2692" t="s">
        <v>140</v>
      </c>
      <c r="N2692">
        <v>618</v>
      </c>
      <c r="O2692">
        <v>5.7147992000000002E-2</v>
      </c>
      <c r="P2692">
        <v>4.7926235999999997E-2</v>
      </c>
      <c r="Q2692" t="str">
        <f t="shared" si="84"/>
        <v>10-14</v>
      </c>
      <c r="R2692" t="str">
        <f t="shared" si="85"/>
        <v>[ul0y9diGujK]|10-14|Female|DIAGNOSED_SUBNAT.T_1|CY2024Q3</v>
      </c>
    </row>
    <row r="2693" spans="4:18" x14ac:dyDescent="0.2">
      <c r="D2693" t="s">
        <v>126</v>
      </c>
      <c r="E2693" t="s">
        <v>127</v>
      </c>
      <c r="F2693" t="s">
        <v>128</v>
      </c>
      <c r="G2693" t="s">
        <v>148</v>
      </c>
      <c r="H2693" t="s">
        <v>149</v>
      </c>
      <c r="I2693" t="s">
        <v>38</v>
      </c>
      <c r="J2693" t="s">
        <v>39</v>
      </c>
      <c r="K2693" t="s">
        <v>30</v>
      </c>
      <c r="L2693" t="s">
        <v>31</v>
      </c>
      <c r="M2693" t="s">
        <v>140</v>
      </c>
      <c r="N2693">
        <v>3208</v>
      </c>
      <c r="O2693">
        <v>8.4009985999999995E-2</v>
      </c>
      <c r="P2693">
        <v>4.7926235999999997E-2</v>
      </c>
      <c r="Q2693" t="str">
        <f t="shared" si="84"/>
        <v>15-24</v>
      </c>
      <c r="R2693" t="str">
        <f t="shared" si="85"/>
        <v>[ul0y9diGujK]|15-24|Female|DIAGNOSED_SUBNAT.T_1|CY2024Q3</v>
      </c>
    </row>
    <row r="2694" spans="4:18" x14ac:dyDescent="0.2">
      <c r="D2694" t="s">
        <v>126</v>
      </c>
      <c r="E2694" t="s">
        <v>127</v>
      </c>
      <c r="F2694" t="s">
        <v>128</v>
      </c>
      <c r="G2694" t="s">
        <v>148</v>
      </c>
      <c r="H2694" t="s">
        <v>149</v>
      </c>
      <c r="I2694" t="s">
        <v>41</v>
      </c>
      <c r="J2694" t="s">
        <v>42</v>
      </c>
      <c r="K2694" t="s">
        <v>30</v>
      </c>
      <c r="L2694" t="s">
        <v>31</v>
      </c>
      <c r="M2694" t="s">
        <v>140</v>
      </c>
      <c r="N2694">
        <v>7967</v>
      </c>
      <c r="O2694">
        <v>6.4240269000000003E-2</v>
      </c>
      <c r="P2694">
        <v>4.7926235999999997E-2</v>
      </c>
      <c r="Q2694" t="str">
        <f t="shared" si="84"/>
        <v>25-34</v>
      </c>
      <c r="R2694" t="str">
        <f t="shared" si="85"/>
        <v>[ul0y9diGujK]|25-34|Female|DIAGNOSED_SUBNAT.T_1|CY2024Q3</v>
      </c>
    </row>
    <row r="2695" spans="4:18" x14ac:dyDescent="0.2">
      <c r="D2695" t="s">
        <v>126</v>
      </c>
      <c r="E2695" t="s">
        <v>127</v>
      </c>
      <c r="F2695" t="s">
        <v>128</v>
      </c>
      <c r="G2695" t="s">
        <v>148</v>
      </c>
      <c r="H2695" t="s">
        <v>149</v>
      </c>
      <c r="I2695" t="s">
        <v>43</v>
      </c>
      <c r="J2695" t="s">
        <v>44</v>
      </c>
      <c r="K2695" t="s">
        <v>30</v>
      </c>
      <c r="L2695" t="s">
        <v>31</v>
      </c>
      <c r="M2695" t="s">
        <v>140</v>
      </c>
      <c r="N2695">
        <v>21121</v>
      </c>
      <c r="O2695">
        <v>4.7048075000000002E-2</v>
      </c>
      <c r="P2695">
        <v>4.7926235999999997E-2</v>
      </c>
      <c r="Q2695" t="str">
        <f t="shared" si="84"/>
        <v>35-49</v>
      </c>
      <c r="R2695" t="str">
        <f t="shared" si="85"/>
        <v>[ul0y9diGujK]|35-49|Female|DIAGNOSED_SUBNAT.T_1|CY2024Q3</v>
      </c>
    </row>
    <row r="2696" spans="4:18" x14ac:dyDescent="0.2">
      <c r="D2696" t="s">
        <v>126</v>
      </c>
      <c r="E2696" t="s">
        <v>127</v>
      </c>
      <c r="F2696" t="s">
        <v>128</v>
      </c>
      <c r="G2696" t="s">
        <v>148</v>
      </c>
      <c r="H2696" t="s">
        <v>149</v>
      </c>
      <c r="I2696" t="s">
        <v>45</v>
      </c>
      <c r="J2696" t="s">
        <v>46</v>
      </c>
      <c r="K2696" t="s">
        <v>30</v>
      </c>
      <c r="L2696" t="s">
        <v>31</v>
      </c>
      <c r="M2696" t="s">
        <v>140</v>
      </c>
      <c r="N2696">
        <v>10709</v>
      </c>
      <c r="O2696">
        <v>5.5432712000000002E-2</v>
      </c>
      <c r="P2696">
        <v>4.7926235999999997E-2</v>
      </c>
      <c r="Q2696" t="str">
        <f t="shared" si="84"/>
        <v>50+</v>
      </c>
      <c r="R2696" t="str">
        <f t="shared" si="85"/>
        <v>[ul0y9diGujK]|50+|Female|DIAGNOSED_SUBNAT.T_1|CY2024Q3</v>
      </c>
    </row>
    <row r="2697" spans="4:18" x14ac:dyDescent="0.2">
      <c r="D2697" t="s">
        <v>126</v>
      </c>
      <c r="E2697" t="s">
        <v>127</v>
      </c>
      <c r="F2697" t="s">
        <v>128</v>
      </c>
      <c r="G2697" t="s">
        <v>148</v>
      </c>
      <c r="H2697" t="s">
        <v>149</v>
      </c>
      <c r="I2697" t="s">
        <v>28</v>
      </c>
      <c r="J2697" t="s">
        <v>29</v>
      </c>
      <c r="K2697" t="s">
        <v>48</v>
      </c>
      <c r="L2697" t="s">
        <v>49</v>
      </c>
      <c r="M2697" t="s">
        <v>140</v>
      </c>
      <c r="N2697">
        <v>24</v>
      </c>
      <c r="O2697">
        <v>5.6336905999999999E-2</v>
      </c>
      <c r="P2697">
        <v>4.7926235999999997E-2</v>
      </c>
      <c r="Q2697" t="str">
        <f t="shared" si="84"/>
        <v>&lt;01</v>
      </c>
      <c r="R2697" t="str">
        <f t="shared" si="85"/>
        <v>[ul0y9diGujK]|&lt;01|Male|DIAGNOSED_SUBNAT.T_1|CY2024Q3</v>
      </c>
    </row>
    <row r="2698" spans="4:18" x14ac:dyDescent="0.2">
      <c r="D2698" t="s">
        <v>126</v>
      </c>
      <c r="E2698" t="s">
        <v>127</v>
      </c>
      <c r="F2698" t="s">
        <v>128</v>
      </c>
      <c r="G2698" t="s">
        <v>148</v>
      </c>
      <c r="H2698" t="s">
        <v>149</v>
      </c>
      <c r="I2698" t="s">
        <v>33</v>
      </c>
      <c r="J2698" t="s">
        <v>34</v>
      </c>
      <c r="K2698" t="s">
        <v>48</v>
      </c>
      <c r="L2698" t="s">
        <v>49</v>
      </c>
      <c r="M2698" t="s">
        <v>140</v>
      </c>
      <c r="N2698">
        <v>473</v>
      </c>
      <c r="O2698">
        <v>5.6685779999999998E-2</v>
      </c>
      <c r="P2698">
        <v>4.7926235999999997E-2</v>
      </c>
      <c r="Q2698" t="str">
        <f t="shared" si="84"/>
        <v>01-09</v>
      </c>
      <c r="R2698" t="str">
        <f t="shared" si="85"/>
        <v>[ul0y9diGujK]|01-09|Male|DIAGNOSED_SUBNAT.T_1|CY2024Q3</v>
      </c>
    </row>
    <row r="2699" spans="4:18" x14ac:dyDescent="0.2">
      <c r="D2699" t="s">
        <v>126</v>
      </c>
      <c r="E2699" t="s">
        <v>127</v>
      </c>
      <c r="F2699" t="s">
        <v>128</v>
      </c>
      <c r="G2699" t="s">
        <v>148</v>
      </c>
      <c r="H2699" t="s">
        <v>149</v>
      </c>
      <c r="I2699" t="s">
        <v>36</v>
      </c>
      <c r="J2699" t="s">
        <v>37</v>
      </c>
      <c r="K2699" t="s">
        <v>48</v>
      </c>
      <c r="L2699" t="s">
        <v>49</v>
      </c>
      <c r="M2699" t="s">
        <v>140</v>
      </c>
      <c r="N2699">
        <v>626</v>
      </c>
      <c r="O2699">
        <v>5.8760580999999999E-2</v>
      </c>
      <c r="P2699">
        <v>4.7926235999999997E-2</v>
      </c>
      <c r="Q2699" t="str">
        <f t="shared" si="84"/>
        <v>10-14</v>
      </c>
      <c r="R2699" t="str">
        <f t="shared" si="85"/>
        <v>[ul0y9diGujK]|10-14|Male|DIAGNOSED_SUBNAT.T_1|CY2024Q3</v>
      </c>
    </row>
    <row r="2700" spans="4:18" x14ac:dyDescent="0.2">
      <c r="D2700" t="s">
        <v>126</v>
      </c>
      <c r="E2700" t="s">
        <v>127</v>
      </c>
      <c r="F2700" t="s">
        <v>128</v>
      </c>
      <c r="G2700" t="s">
        <v>148</v>
      </c>
      <c r="H2700" t="s">
        <v>149</v>
      </c>
      <c r="I2700" t="s">
        <v>38</v>
      </c>
      <c r="J2700" t="s">
        <v>39</v>
      </c>
      <c r="K2700" t="s">
        <v>48</v>
      </c>
      <c r="L2700" t="s">
        <v>49</v>
      </c>
      <c r="M2700" t="s">
        <v>140</v>
      </c>
      <c r="N2700">
        <v>2180</v>
      </c>
      <c r="O2700">
        <v>9.2379246999999998E-2</v>
      </c>
      <c r="P2700">
        <v>4.7926235999999997E-2</v>
      </c>
      <c r="Q2700" t="str">
        <f t="shared" si="84"/>
        <v>15-24</v>
      </c>
      <c r="R2700" t="str">
        <f t="shared" si="85"/>
        <v>[ul0y9diGujK]|15-24|Male|DIAGNOSED_SUBNAT.T_1|CY2024Q3</v>
      </c>
    </row>
    <row r="2701" spans="4:18" x14ac:dyDescent="0.2">
      <c r="D2701" t="s">
        <v>126</v>
      </c>
      <c r="E2701" t="s">
        <v>127</v>
      </c>
      <c r="F2701" t="s">
        <v>128</v>
      </c>
      <c r="G2701" t="s">
        <v>148</v>
      </c>
      <c r="H2701" t="s">
        <v>149</v>
      </c>
      <c r="I2701" t="s">
        <v>41</v>
      </c>
      <c r="J2701" t="s">
        <v>42</v>
      </c>
      <c r="K2701" t="s">
        <v>48</v>
      </c>
      <c r="L2701" t="s">
        <v>49</v>
      </c>
      <c r="M2701" t="s">
        <v>140</v>
      </c>
      <c r="N2701">
        <v>2553</v>
      </c>
      <c r="O2701">
        <v>8.4740422999999995E-2</v>
      </c>
      <c r="P2701">
        <v>4.7926235999999997E-2</v>
      </c>
      <c r="Q2701" t="str">
        <f t="shared" si="84"/>
        <v>25-34</v>
      </c>
      <c r="R2701" t="str">
        <f t="shared" si="85"/>
        <v>[ul0y9diGujK]|25-34|Male|DIAGNOSED_SUBNAT.T_1|CY2024Q3</v>
      </c>
    </row>
    <row r="2702" spans="4:18" x14ac:dyDescent="0.2">
      <c r="D2702" t="s">
        <v>126</v>
      </c>
      <c r="E2702" t="s">
        <v>127</v>
      </c>
      <c r="F2702" t="s">
        <v>128</v>
      </c>
      <c r="G2702" t="s">
        <v>148</v>
      </c>
      <c r="H2702" t="s">
        <v>149</v>
      </c>
      <c r="I2702" t="s">
        <v>43</v>
      </c>
      <c r="J2702" t="s">
        <v>44</v>
      </c>
      <c r="K2702" t="s">
        <v>48</v>
      </c>
      <c r="L2702" t="s">
        <v>49</v>
      </c>
      <c r="M2702" t="s">
        <v>140</v>
      </c>
      <c r="N2702">
        <v>9651</v>
      </c>
      <c r="O2702">
        <v>5.4343395000000003E-2</v>
      </c>
      <c r="P2702">
        <v>4.7926235999999997E-2</v>
      </c>
      <c r="Q2702" t="str">
        <f t="shared" si="84"/>
        <v>35-49</v>
      </c>
      <c r="R2702" t="str">
        <f t="shared" si="85"/>
        <v>[ul0y9diGujK]|35-49|Male|DIAGNOSED_SUBNAT.T_1|CY2024Q3</v>
      </c>
    </row>
    <row r="2703" spans="4:18" x14ac:dyDescent="0.2">
      <c r="D2703" t="s">
        <v>126</v>
      </c>
      <c r="E2703" t="s">
        <v>127</v>
      </c>
      <c r="F2703" t="s">
        <v>128</v>
      </c>
      <c r="G2703" t="s">
        <v>148</v>
      </c>
      <c r="H2703" t="s">
        <v>149</v>
      </c>
      <c r="I2703" t="s">
        <v>45</v>
      </c>
      <c r="J2703" t="s">
        <v>46</v>
      </c>
      <c r="K2703" t="s">
        <v>48</v>
      </c>
      <c r="L2703" t="s">
        <v>49</v>
      </c>
      <c r="M2703" t="s">
        <v>140</v>
      </c>
      <c r="N2703">
        <v>7588</v>
      </c>
      <c r="O2703">
        <v>5.3681148999999997E-2</v>
      </c>
      <c r="P2703">
        <v>4.7926235999999997E-2</v>
      </c>
      <c r="Q2703" t="str">
        <f t="shared" si="84"/>
        <v>50+</v>
      </c>
      <c r="R2703" t="str">
        <f t="shared" si="85"/>
        <v>[ul0y9diGujK]|50+|Male|DIAGNOSED_SUBNAT.T_1|CY2024Q3</v>
      </c>
    </row>
    <row r="2704" spans="4:18" x14ac:dyDescent="0.2">
      <c r="D2704" t="s">
        <v>129</v>
      </c>
      <c r="E2704" t="s">
        <v>130</v>
      </c>
      <c r="F2704" t="s">
        <v>131</v>
      </c>
      <c r="G2704" t="s">
        <v>148</v>
      </c>
      <c r="H2704" t="s">
        <v>149</v>
      </c>
      <c r="I2704" t="s">
        <v>28</v>
      </c>
      <c r="J2704" t="s">
        <v>29</v>
      </c>
      <c r="K2704" t="s">
        <v>30</v>
      </c>
      <c r="L2704" t="s">
        <v>31</v>
      </c>
      <c r="M2704" t="s">
        <v>140</v>
      </c>
      <c r="N2704">
        <v>18</v>
      </c>
      <c r="O2704">
        <v>6.0100716999999998E-2</v>
      </c>
      <c r="P2704">
        <v>5.3244428000000003E-2</v>
      </c>
      <c r="Q2704" t="str">
        <f t="shared" si="84"/>
        <v>&lt;01</v>
      </c>
      <c r="R2704" t="str">
        <f t="shared" si="85"/>
        <v>[U8c0so51kT6]|&lt;01|Female|DIAGNOSED_SUBNAT.T_1|CY2024Q3</v>
      </c>
    </row>
    <row r="2705" spans="4:18" x14ac:dyDescent="0.2">
      <c r="D2705" t="s">
        <v>129</v>
      </c>
      <c r="E2705" t="s">
        <v>130</v>
      </c>
      <c r="F2705" t="s">
        <v>131</v>
      </c>
      <c r="G2705" t="s">
        <v>148</v>
      </c>
      <c r="H2705" t="s">
        <v>149</v>
      </c>
      <c r="I2705" t="s">
        <v>33</v>
      </c>
      <c r="J2705" t="s">
        <v>34</v>
      </c>
      <c r="K2705" t="s">
        <v>30</v>
      </c>
      <c r="L2705" t="s">
        <v>31</v>
      </c>
      <c r="M2705" t="s">
        <v>140</v>
      </c>
      <c r="N2705">
        <v>385</v>
      </c>
      <c r="O2705">
        <v>5.8329736E-2</v>
      </c>
      <c r="P2705">
        <v>5.3244428000000003E-2</v>
      </c>
      <c r="Q2705" t="str">
        <f t="shared" si="84"/>
        <v>01-09</v>
      </c>
      <c r="R2705" t="str">
        <f t="shared" si="85"/>
        <v>[U8c0so51kT6]|01-09|Female|DIAGNOSED_SUBNAT.T_1|CY2024Q3</v>
      </c>
    </row>
    <row r="2706" spans="4:18" x14ac:dyDescent="0.2">
      <c r="D2706" t="s">
        <v>129</v>
      </c>
      <c r="E2706" t="s">
        <v>130</v>
      </c>
      <c r="F2706" t="s">
        <v>131</v>
      </c>
      <c r="G2706" t="s">
        <v>148</v>
      </c>
      <c r="H2706" t="s">
        <v>149</v>
      </c>
      <c r="I2706" t="s">
        <v>36</v>
      </c>
      <c r="J2706" t="s">
        <v>37</v>
      </c>
      <c r="K2706" t="s">
        <v>30</v>
      </c>
      <c r="L2706" t="s">
        <v>31</v>
      </c>
      <c r="M2706" t="s">
        <v>140</v>
      </c>
      <c r="N2706">
        <v>471</v>
      </c>
      <c r="O2706">
        <v>5.6748595999999998E-2</v>
      </c>
      <c r="P2706">
        <v>5.3244428000000003E-2</v>
      </c>
      <c r="Q2706" t="str">
        <f t="shared" si="84"/>
        <v>10-14</v>
      </c>
      <c r="R2706" t="str">
        <f t="shared" si="85"/>
        <v>[U8c0so51kT6]|10-14|Female|DIAGNOSED_SUBNAT.T_1|CY2024Q3</v>
      </c>
    </row>
    <row r="2707" spans="4:18" x14ac:dyDescent="0.2">
      <c r="D2707" t="s">
        <v>129</v>
      </c>
      <c r="E2707" t="s">
        <v>130</v>
      </c>
      <c r="F2707" t="s">
        <v>131</v>
      </c>
      <c r="G2707" t="s">
        <v>148</v>
      </c>
      <c r="H2707" t="s">
        <v>149</v>
      </c>
      <c r="I2707" t="s">
        <v>38</v>
      </c>
      <c r="J2707" t="s">
        <v>39</v>
      </c>
      <c r="K2707" t="s">
        <v>30</v>
      </c>
      <c r="L2707" t="s">
        <v>31</v>
      </c>
      <c r="M2707" t="s">
        <v>140</v>
      </c>
      <c r="N2707">
        <v>1768</v>
      </c>
      <c r="O2707">
        <v>8.3467283000000003E-2</v>
      </c>
      <c r="P2707">
        <v>5.3244428000000003E-2</v>
      </c>
      <c r="Q2707" t="str">
        <f t="shared" si="84"/>
        <v>15-24</v>
      </c>
      <c r="R2707" t="str">
        <f t="shared" si="85"/>
        <v>[U8c0so51kT6]|15-24|Female|DIAGNOSED_SUBNAT.T_1|CY2024Q3</v>
      </c>
    </row>
    <row r="2708" spans="4:18" x14ac:dyDescent="0.2">
      <c r="D2708" t="s">
        <v>129</v>
      </c>
      <c r="E2708" t="s">
        <v>130</v>
      </c>
      <c r="F2708" t="s">
        <v>131</v>
      </c>
      <c r="G2708" t="s">
        <v>148</v>
      </c>
      <c r="H2708" t="s">
        <v>149</v>
      </c>
      <c r="I2708" t="s">
        <v>41</v>
      </c>
      <c r="J2708" t="s">
        <v>42</v>
      </c>
      <c r="K2708" t="s">
        <v>30</v>
      </c>
      <c r="L2708" t="s">
        <v>31</v>
      </c>
      <c r="M2708" t="s">
        <v>140</v>
      </c>
      <c r="N2708">
        <v>4552</v>
      </c>
      <c r="O2708">
        <v>6.8610748999999999E-2</v>
      </c>
      <c r="P2708">
        <v>5.3244428000000003E-2</v>
      </c>
      <c r="Q2708" t="str">
        <f t="shared" si="84"/>
        <v>25-34</v>
      </c>
      <c r="R2708" t="str">
        <f t="shared" si="85"/>
        <v>[U8c0so51kT6]|25-34|Female|DIAGNOSED_SUBNAT.T_1|CY2024Q3</v>
      </c>
    </row>
    <row r="2709" spans="4:18" x14ac:dyDescent="0.2">
      <c r="D2709" t="s">
        <v>129</v>
      </c>
      <c r="E2709" t="s">
        <v>130</v>
      </c>
      <c r="F2709" t="s">
        <v>131</v>
      </c>
      <c r="G2709" t="s">
        <v>148</v>
      </c>
      <c r="H2709" t="s">
        <v>149</v>
      </c>
      <c r="I2709" t="s">
        <v>43</v>
      </c>
      <c r="J2709" t="s">
        <v>44</v>
      </c>
      <c r="K2709" t="s">
        <v>30</v>
      </c>
      <c r="L2709" t="s">
        <v>31</v>
      </c>
      <c r="M2709" t="s">
        <v>140</v>
      </c>
      <c r="N2709">
        <v>11189</v>
      </c>
      <c r="O2709">
        <v>5.4569914999999997E-2</v>
      </c>
      <c r="P2709">
        <v>5.3244428000000003E-2</v>
      </c>
      <c r="Q2709" t="str">
        <f t="shared" si="84"/>
        <v>35-49</v>
      </c>
      <c r="R2709" t="str">
        <f t="shared" si="85"/>
        <v>[U8c0so51kT6]|35-49|Female|DIAGNOSED_SUBNAT.T_1|CY2024Q3</v>
      </c>
    </row>
    <row r="2710" spans="4:18" x14ac:dyDescent="0.2">
      <c r="D2710" t="s">
        <v>129</v>
      </c>
      <c r="E2710" t="s">
        <v>130</v>
      </c>
      <c r="F2710" t="s">
        <v>131</v>
      </c>
      <c r="G2710" t="s">
        <v>148</v>
      </c>
      <c r="H2710" t="s">
        <v>149</v>
      </c>
      <c r="I2710" t="s">
        <v>45</v>
      </c>
      <c r="J2710" t="s">
        <v>46</v>
      </c>
      <c r="K2710" t="s">
        <v>30</v>
      </c>
      <c r="L2710" t="s">
        <v>31</v>
      </c>
      <c r="M2710" t="s">
        <v>140</v>
      </c>
      <c r="N2710">
        <v>5272</v>
      </c>
      <c r="O2710">
        <v>6.1760840999999997E-2</v>
      </c>
      <c r="P2710">
        <v>5.3244428000000003E-2</v>
      </c>
      <c r="Q2710" t="str">
        <f t="shared" si="84"/>
        <v>50+</v>
      </c>
      <c r="R2710" t="str">
        <f t="shared" si="85"/>
        <v>[U8c0so51kT6]|50+|Female|DIAGNOSED_SUBNAT.T_1|CY2024Q3</v>
      </c>
    </row>
    <row r="2711" spans="4:18" x14ac:dyDescent="0.2">
      <c r="D2711" t="s">
        <v>129</v>
      </c>
      <c r="E2711" t="s">
        <v>130</v>
      </c>
      <c r="F2711" t="s">
        <v>131</v>
      </c>
      <c r="G2711" t="s">
        <v>148</v>
      </c>
      <c r="H2711" t="s">
        <v>149</v>
      </c>
      <c r="I2711" t="s">
        <v>28</v>
      </c>
      <c r="J2711" t="s">
        <v>29</v>
      </c>
      <c r="K2711" t="s">
        <v>48</v>
      </c>
      <c r="L2711" t="s">
        <v>49</v>
      </c>
      <c r="M2711" t="s">
        <v>140</v>
      </c>
      <c r="N2711">
        <v>19</v>
      </c>
      <c r="O2711">
        <v>5.6110558999999997E-2</v>
      </c>
      <c r="P2711">
        <v>5.3244428000000003E-2</v>
      </c>
      <c r="Q2711" t="str">
        <f t="shared" si="84"/>
        <v>&lt;01</v>
      </c>
      <c r="R2711" t="str">
        <f t="shared" si="85"/>
        <v>[U8c0so51kT6]|&lt;01|Male|DIAGNOSED_SUBNAT.T_1|CY2024Q3</v>
      </c>
    </row>
    <row r="2712" spans="4:18" x14ac:dyDescent="0.2">
      <c r="D2712" t="s">
        <v>129</v>
      </c>
      <c r="E2712" t="s">
        <v>130</v>
      </c>
      <c r="F2712" t="s">
        <v>131</v>
      </c>
      <c r="G2712" t="s">
        <v>148</v>
      </c>
      <c r="H2712" t="s">
        <v>149</v>
      </c>
      <c r="I2712" t="s">
        <v>33</v>
      </c>
      <c r="J2712" t="s">
        <v>34</v>
      </c>
      <c r="K2712" t="s">
        <v>48</v>
      </c>
      <c r="L2712" t="s">
        <v>49</v>
      </c>
      <c r="M2712" t="s">
        <v>140</v>
      </c>
      <c r="N2712">
        <v>389</v>
      </c>
      <c r="O2712">
        <v>5.6684401000000002E-2</v>
      </c>
      <c r="P2712">
        <v>5.3244428000000003E-2</v>
      </c>
      <c r="Q2712" t="str">
        <f t="shared" si="84"/>
        <v>01-09</v>
      </c>
      <c r="R2712" t="str">
        <f t="shared" si="85"/>
        <v>[U8c0so51kT6]|01-09|Male|DIAGNOSED_SUBNAT.T_1|CY2024Q3</v>
      </c>
    </row>
    <row r="2713" spans="4:18" x14ac:dyDescent="0.2">
      <c r="D2713" t="s">
        <v>129</v>
      </c>
      <c r="E2713" t="s">
        <v>130</v>
      </c>
      <c r="F2713" t="s">
        <v>131</v>
      </c>
      <c r="G2713" t="s">
        <v>148</v>
      </c>
      <c r="H2713" t="s">
        <v>149</v>
      </c>
      <c r="I2713" t="s">
        <v>36</v>
      </c>
      <c r="J2713" t="s">
        <v>37</v>
      </c>
      <c r="K2713" t="s">
        <v>48</v>
      </c>
      <c r="L2713" t="s">
        <v>49</v>
      </c>
      <c r="M2713" t="s">
        <v>140</v>
      </c>
      <c r="N2713">
        <v>475</v>
      </c>
      <c r="O2713">
        <v>5.7957215999999999E-2</v>
      </c>
      <c r="P2713">
        <v>5.3244428000000003E-2</v>
      </c>
      <c r="Q2713" t="str">
        <f t="shared" si="84"/>
        <v>10-14</v>
      </c>
      <c r="R2713" t="str">
        <f t="shared" si="85"/>
        <v>[U8c0so51kT6]|10-14|Male|DIAGNOSED_SUBNAT.T_1|CY2024Q3</v>
      </c>
    </row>
    <row r="2714" spans="4:18" x14ac:dyDescent="0.2">
      <c r="D2714" t="s">
        <v>129</v>
      </c>
      <c r="E2714" t="s">
        <v>130</v>
      </c>
      <c r="F2714" t="s">
        <v>131</v>
      </c>
      <c r="G2714" t="s">
        <v>148</v>
      </c>
      <c r="H2714" t="s">
        <v>149</v>
      </c>
      <c r="I2714" t="s">
        <v>38</v>
      </c>
      <c r="J2714" t="s">
        <v>39</v>
      </c>
      <c r="K2714" t="s">
        <v>48</v>
      </c>
      <c r="L2714" t="s">
        <v>49</v>
      </c>
      <c r="M2714" t="s">
        <v>140</v>
      </c>
      <c r="N2714">
        <v>1199</v>
      </c>
      <c r="O2714">
        <v>8.7153525999999995E-2</v>
      </c>
      <c r="P2714">
        <v>5.3244428000000003E-2</v>
      </c>
      <c r="Q2714" t="str">
        <f t="shared" si="84"/>
        <v>15-24</v>
      </c>
      <c r="R2714" t="str">
        <f t="shared" si="85"/>
        <v>[U8c0so51kT6]|15-24|Male|DIAGNOSED_SUBNAT.T_1|CY2024Q3</v>
      </c>
    </row>
    <row r="2715" spans="4:18" x14ac:dyDescent="0.2">
      <c r="D2715" t="s">
        <v>129</v>
      </c>
      <c r="E2715" t="s">
        <v>130</v>
      </c>
      <c r="F2715" t="s">
        <v>131</v>
      </c>
      <c r="G2715" t="s">
        <v>148</v>
      </c>
      <c r="H2715" t="s">
        <v>149</v>
      </c>
      <c r="I2715" t="s">
        <v>41</v>
      </c>
      <c r="J2715" t="s">
        <v>42</v>
      </c>
      <c r="K2715" t="s">
        <v>48</v>
      </c>
      <c r="L2715" t="s">
        <v>49</v>
      </c>
      <c r="M2715" t="s">
        <v>140</v>
      </c>
      <c r="N2715">
        <v>1535</v>
      </c>
      <c r="O2715">
        <v>8.8489794999999996E-2</v>
      </c>
      <c r="P2715">
        <v>5.3244428000000003E-2</v>
      </c>
      <c r="Q2715" t="str">
        <f t="shared" si="84"/>
        <v>25-34</v>
      </c>
      <c r="R2715" t="str">
        <f t="shared" si="85"/>
        <v>[U8c0so51kT6]|25-34|Male|DIAGNOSED_SUBNAT.T_1|CY2024Q3</v>
      </c>
    </row>
    <row r="2716" spans="4:18" x14ac:dyDescent="0.2">
      <c r="D2716" t="s">
        <v>129</v>
      </c>
      <c r="E2716" t="s">
        <v>130</v>
      </c>
      <c r="F2716" t="s">
        <v>131</v>
      </c>
      <c r="G2716" t="s">
        <v>148</v>
      </c>
      <c r="H2716" t="s">
        <v>149</v>
      </c>
      <c r="I2716" t="s">
        <v>43</v>
      </c>
      <c r="J2716" t="s">
        <v>44</v>
      </c>
      <c r="K2716" t="s">
        <v>48</v>
      </c>
      <c r="L2716" t="s">
        <v>49</v>
      </c>
      <c r="M2716" t="s">
        <v>140</v>
      </c>
      <c r="N2716">
        <v>5919</v>
      </c>
      <c r="O2716">
        <v>6.0679454000000001E-2</v>
      </c>
      <c r="P2716">
        <v>5.3244428000000003E-2</v>
      </c>
      <c r="Q2716" t="str">
        <f t="shared" si="84"/>
        <v>35-49</v>
      </c>
      <c r="R2716" t="str">
        <f t="shared" si="85"/>
        <v>[U8c0so51kT6]|35-49|Male|DIAGNOSED_SUBNAT.T_1|CY2024Q3</v>
      </c>
    </row>
    <row r="2717" spans="4:18" x14ac:dyDescent="0.2">
      <c r="D2717" t="s">
        <v>129</v>
      </c>
      <c r="E2717" t="s">
        <v>130</v>
      </c>
      <c r="F2717" t="s">
        <v>131</v>
      </c>
      <c r="G2717" t="s">
        <v>148</v>
      </c>
      <c r="H2717" t="s">
        <v>149</v>
      </c>
      <c r="I2717" t="s">
        <v>45</v>
      </c>
      <c r="J2717" t="s">
        <v>46</v>
      </c>
      <c r="K2717" t="s">
        <v>48</v>
      </c>
      <c r="L2717" t="s">
        <v>49</v>
      </c>
      <c r="M2717" t="s">
        <v>140</v>
      </c>
      <c r="N2717">
        <v>4445</v>
      </c>
      <c r="O2717">
        <v>5.8111112999999999E-2</v>
      </c>
      <c r="P2717">
        <v>5.3244428000000003E-2</v>
      </c>
      <c r="Q2717" t="str">
        <f t="shared" si="84"/>
        <v>50+</v>
      </c>
      <c r="R2717" t="str">
        <f t="shared" si="85"/>
        <v>[U8c0so51kT6]|50+|Male|DIAGNOSED_SUBNAT.T_1|CY2024Q3</v>
      </c>
    </row>
    <row r="2718" spans="4:18" x14ac:dyDescent="0.2">
      <c r="D2718" t="s">
        <v>132</v>
      </c>
      <c r="E2718" t="s">
        <v>133</v>
      </c>
      <c r="F2718" t="s">
        <v>134</v>
      </c>
      <c r="G2718" t="s">
        <v>148</v>
      </c>
      <c r="H2718" t="s">
        <v>149</v>
      </c>
      <c r="I2718" t="s">
        <v>28</v>
      </c>
      <c r="J2718" t="s">
        <v>29</v>
      </c>
      <c r="K2718" t="s">
        <v>30</v>
      </c>
      <c r="L2718" t="s">
        <v>31</v>
      </c>
      <c r="M2718" t="s">
        <v>140</v>
      </c>
      <c r="N2718">
        <v>10</v>
      </c>
      <c r="O2718">
        <v>7.1924977000000001E-2</v>
      </c>
      <c r="P2718">
        <v>7.3297206000000004E-2</v>
      </c>
      <c r="Q2718" t="str">
        <f t="shared" si="84"/>
        <v>&lt;01</v>
      </c>
      <c r="R2718" t="str">
        <f t="shared" si="85"/>
        <v>[rpw540fmNUz]|&lt;01|Female|DIAGNOSED_SUBNAT.T_1|CY2024Q3</v>
      </c>
    </row>
    <row r="2719" spans="4:18" x14ac:dyDescent="0.2">
      <c r="D2719" t="s">
        <v>132</v>
      </c>
      <c r="E2719" t="s">
        <v>133</v>
      </c>
      <c r="F2719" t="s">
        <v>134</v>
      </c>
      <c r="G2719" t="s">
        <v>148</v>
      </c>
      <c r="H2719" t="s">
        <v>149</v>
      </c>
      <c r="I2719" t="s">
        <v>33</v>
      </c>
      <c r="J2719" t="s">
        <v>34</v>
      </c>
      <c r="K2719" t="s">
        <v>30</v>
      </c>
      <c r="L2719" t="s">
        <v>31</v>
      </c>
      <c r="M2719" t="s">
        <v>140</v>
      </c>
      <c r="N2719">
        <v>221</v>
      </c>
      <c r="O2719">
        <v>6.9450528999999997E-2</v>
      </c>
      <c r="P2719">
        <v>7.3297206000000004E-2</v>
      </c>
      <c r="Q2719" t="str">
        <f t="shared" si="84"/>
        <v>01-09</v>
      </c>
      <c r="R2719" t="str">
        <f t="shared" si="85"/>
        <v>[rpw540fmNUz]|01-09|Female|DIAGNOSED_SUBNAT.T_1|CY2024Q3</v>
      </c>
    </row>
    <row r="2720" spans="4:18" x14ac:dyDescent="0.2">
      <c r="D2720" t="s">
        <v>132</v>
      </c>
      <c r="E2720" t="s">
        <v>133</v>
      </c>
      <c r="F2720" t="s">
        <v>134</v>
      </c>
      <c r="G2720" t="s">
        <v>148</v>
      </c>
      <c r="H2720" t="s">
        <v>149</v>
      </c>
      <c r="I2720" t="s">
        <v>36</v>
      </c>
      <c r="J2720" t="s">
        <v>37</v>
      </c>
      <c r="K2720" t="s">
        <v>30</v>
      </c>
      <c r="L2720" t="s">
        <v>31</v>
      </c>
      <c r="M2720" t="s">
        <v>140</v>
      </c>
      <c r="N2720">
        <v>276</v>
      </c>
      <c r="O2720">
        <v>6.7152572999999993E-2</v>
      </c>
      <c r="P2720">
        <v>7.3297206000000004E-2</v>
      </c>
      <c r="Q2720" t="str">
        <f t="shared" si="84"/>
        <v>10-14</v>
      </c>
      <c r="R2720" t="str">
        <f t="shared" si="85"/>
        <v>[rpw540fmNUz]|10-14|Female|DIAGNOSED_SUBNAT.T_1|CY2024Q3</v>
      </c>
    </row>
    <row r="2721" spans="4:18" x14ac:dyDescent="0.2">
      <c r="D2721" t="s">
        <v>132</v>
      </c>
      <c r="E2721" t="s">
        <v>133</v>
      </c>
      <c r="F2721" t="s">
        <v>134</v>
      </c>
      <c r="G2721" t="s">
        <v>148</v>
      </c>
      <c r="H2721" t="s">
        <v>149</v>
      </c>
      <c r="I2721" t="s">
        <v>38</v>
      </c>
      <c r="J2721" t="s">
        <v>39</v>
      </c>
      <c r="K2721" t="s">
        <v>30</v>
      </c>
      <c r="L2721" t="s">
        <v>31</v>
      </c>
      <c r="M2721" t="s">
        <v>140</v>
      </c>
      <c r="N2721">
        <v>1026</v>
      </c>
      <c r="O2721">
        <v>9.9753118000000002E-2</v>
      </c>
      <c r="P2721">
        <v>7.3297206000000004E-2</v>
      </c>
      <c r="Q2721" t="str">
        <f t="shared" si="84"/>
        <v>15-24</v>
      </c>
      <c r="R2721" t="str">
        <f t="shared" si="85"/>
        <v>[rpw540fmNUz]|15-24|Female|DIAGNOSED_SUBNAT.T_1|CY2024Q3</v>
      </c>
    </row>
    <row r="2722" spans="4:18" x14ac:dyDescent="0.2">
      <c r="D2722" t="s">
        <v>132</v>
      </c>
      <c r="E2722" t="s">
        <v>133</v>
      </c>
      <c r="F2722" t="s">
        <v>134</v>
      </c>
      <c r="G2722" t="s">
        <v>148</v>
      </c>
      <c r="H2722" t="s">
        <v>149</v>
      </c>
      <c r="I2722" t="s">
        <v>41</v>
      </c>
      <c r="J2722" t="s">
        <v>42</v>
      </c>
      <c r="K2722" t="s">
        <v>30</v>
      </c>
      <c r="L2722" t="s">
        <v>31</v>
      </c>
      <c r="M2722" t="s">
        <v>140</v>
      </c>
      <c r="N2722">
        <v>2546</v>
      </c>
      <c r="O2722">
        <v>8.6574997000000001E-2</v>
      </c>
      <c r="P2722">
        <v>7.3297206000000004E-2</v>
      </c>
      <c r="Q2722" t="str">
        <f t="shared" si="84"/>
        <v>25-34</v>
      </c>
      <c r="R2722" t="str">
        <f t="shared" si="85"/>
        <v>[rpw540fmNUz]|25-34|Female|DIAGNOSED_SUBNAT.T_1|CY2024Q3</v>
      </c>
    </row>
    <row r="2723" spans="4:18" x14ac:dyDescent="0.2">
      <c r="D2723" t="s">
        <v>132</v>
      </c>
      <c r="E2723" t="s">
        <v>133</v>
      </c>
      <c r="F2723" t="s">
        <v>134</v>
      </c>
      <c r="G2723" t="s">
        <v>148</v>
      </c>
      <c r="H2723" t="s">
        <v>149</v>
      </c>
      <c r="I2723" t="s">
        <v>43</v>
      </c>
      <c r="J2723" t="s">
        <v>44</v>
      </c>
      <c r="K2723" t="s">
        <v>30</v>
      </c>
      <c r="L2723" t="s">
        <v>31</v>
      </c>
      <c r="M2723" t="s">
        <v>140</v>
      </c>
      <c r="N2723">
        <v>6055</v>
      </c>
      <c r="O2723">
        <v>6.9138868000000006E-2</v>
      </c>
      <c r="P2723">
        <v>7.3297206000000004E-2</v>
      </c>
      <c r="Q2723" t="str">
        <f t="shared" si="84"/>
        <v>35-49</v>
      </c>
      <c r="R2723" t="str">
        <f t="shared" si="85"/>
        <v>[rpw540fmNUz]|35-49|Female|DIAGNOSED_SUBNAT.T_1|CY2024Q3</v>
      </c>
    </row>
    <row r="2724" spans="4:18" x14ac:dyDescent="0.2">
      <c r="D2724" t="s">
        <v>132</v>
      </c>
      <c r="E2724" t="s">
        <v>133</v>
      </c>
      <c r="F2724" t="s">
        <v>134</v>
      </c>
      <c r="G2724" t="s">
        <v>148</v>
      </c>
      <c r="H2724" t="s">
        <v>149</v>
      </c>
      <c r="I2724" t="s">
        <v>45</v>
      </c>
      <c r="J2724" t="s">
        <v>46</v>
      </c>
      <c r="K2724" t="s">
        <v>30</v>
      </c>
      <c r="L2724" t="s">
        <v>31</v>
      </c>
      <c r="M2724" t="s">
        <v>140</v>
      </c>
      <c r="N2724">
        <v>3164</v>
      </c>
      <c r="O2724">
        <v>8.1172273000000003E-2</v>
      </c>
      <c r="P2724">
        <v>7.3297206000000004E-2</v>
      </c>
      <c r="Q2724" t="str">
        <f t="shared" si="84"/>
        <v>50+</v>
      </c>
      <c r="R2724" t="str">
        <f t="shared" si="85"/>
        <v>[rpw540fmNUz]|50+|Female|DIAGNOSED_SUBNAT.T_1|CY2024Q3</v>
      </c>
    </row>
    <row r="2725" spans="4:18" x14ac:dyDescent="0.2">
      <c r="D2725" t="s">
        <v>132</v>
      </c>
      <c r="E2725" t="s">
        <v>133</v>
      </c>
      <c r="F2725" t="s">
        <v>134</v>
      </c>
      <c r="G2725" t="s">
        <v>148</v>
      </c>
      <c r="H2725" t="s">
        <v>149</v>
      </c>
      <c r="I2725" t="s">
        <v>28</v>
      </c>
      <c r="J2725" t="s">
        <v>29</v>
      </c>
      <c r="K2725" t="s">
        <v>48</v>
      </c>
      <c r="L2725" t="s">
        <v>49</v>
      </c>
      <c r="M2725" t="s">
        <v>140</v>
      </c>
      <c r="N2725">
        <v>10</v>
      </c>
      <c r="O2725">
        <v>6.8625489999999997E-2</v>
      </c>
      <c r="P2725">
        <v>7.3297206000000004E-2</v>
      </c>
      <c r="Q2725" t="str">
        <f t="shared" si="84"/>
        <v>&lt;01</v>
      </c>
      <c r="R2725" t="str">
        <f t="shared" si="85"/>
        <v>[rpw540fmNUz]|&lt;01|Male|DIAGNOSED_SUBNAT.T_1|CY2024Q3</v>
      </c>
    </row>
    <row r="2726" spans="4:18" x14ac:dyDescent="0.2">
      <c r="D2726" t="s">
        <v>132</v>
      </c>
      <c r="E2726" t="s">
        <v>133</v>
      </c>
      <c r="F2726" t="s">
        <v>134</v>
      </c>
      <c r="G2726" t="s">
        <v>148</v>
      </c>
      <c r="H2726" t="s">
        <v>149</v>
      </c>
      <c r="I2726" t="s">
        <v>33</v>
      </c>
      <c r="J2726" t="s">
        <v>34</v>
      </c>
      <c r="K2726" t="s">
        <v>48</v>
      </c>
      <c r="L2726" t="s">
        <v>49</v>
      </c>
      <c r="M2726" t="s">
        <v>140</v>
      </c>
      <c r="N2726">
        <v>221</v>
      </c>
      <c r="O2726">
        <v>6.8751239000000006E-2</v>
      </c>
      <c r="P2726">
        <v>7.3297206000000004E-2</v>
      </c>
      <c r="Q2726" t="str">
        <f t="shared" si="84"/>
        <v>01-09</v>
      </c>
      <c r="R2726" t="str">
        <f t="shared" si="85"/>
        <v>[rpw540fmNUz]|01-09|Male|DIAGNOSED_SUBNAT.T_1|CY2024Q3</v>
      </c>
    </row>
    <row r="2727" spans="4:18" x14ac:dyDescent="0.2">
      <c r="D2727" t="s">
        <v>132</v>
      </c>
      <c r="E2727" t="s">
        <v>133</v>
      </c>
      <c r="F2727" t="s">
        <v>134</v>
      </c>
      <c r="G2727" t="s">
        <v>148</v>
      </c>
      <c r="H2727" t="s">
        <v>149</v>
      </c>
      <c r="I2727" t="s">
        <v>36</v>
      </c>
      <c r="J2727" t="s">
        <v>37</v>
      </c>
      <c r="K2727" t="s">
        <v>48</v>
      </c>
      <c r="L2727" t="s">
        <v>49</v>
      </c>
      <c r="M2727" t="s">
        <v>140</v>
      </c>
      <c r="N2727">
        <v>277</v>
      </c>
      <c r="O2727">
        <v>6.9597014999999998E-2</v>
      </c>
      <c r="P2727">
        <v>7.3297206000000004E-2</v>
      </c>
      <c r="Q2727" t="str">
        <f t="shared" si="84"/>
        <v>10-14</v>
      </c>
      <c r="R2727" t="str">
        <f t="shared" si="85"/>
        <v>[rpw540fmNUz]|10-14|Male|DIAGNOSED_SUBNAT.T_1|CY2024Q3</v>
      </c>
    </row>
    <row r="2728" spans="4:18" x14ac:dyDescent="0.2">
      <c r="D2728" t="s">
        <v>132</v>
      </c>
      <c r="E2728" t="s">
        <v>133</v>
      </c>
      <c r="F2728" t="s">
        <v>134</v>
      </c>
      <c r="G2728" t="s">
        <v>148</v>
      </c>
      <c r="H2728" t="s">
        <v>149</v>
      </c>
      <c r="I2728" t="s">
        <v>38</v>
      </c>
      <c r="J2728" t="s">
        <v>39</v>
      </c>
      <c r="K2728" t="s">
        <v>48</v>
      </c>
      <c r="L2728" t="s">
        <v>49</v>
      </c>
      <c r="M2728" t="s">
        <v>140</v>
      </c>
      <c r="N2728">
        <v>662</v>
      </c>
      <c r="O2728">
        <v>0.101499029</v>
      </c>
      <c r="P2728">
        <v>7.3297206000000004E-2</v>
      </c>
      <c r="Q2728" t="str">
        <f t="shared" si="84"/>
        <v>15-24</v>
      </c>
      <c r="R2728" t="str">
        <f t="shared" si="85"/>
        <v>[rpw540fmNUz]|15-24|Male|DIAGNOSED_SUBNAT.T_1|CY2024Q3</v>
      </c>
    </row>
    <row r="2729" spans="4:18" x14ac:dyDescent="0.2">
      <c r="D2729" t="s">
        <v>132</v>
      </c>
      <c r="E2729" t="s">
        <v>133</v>
      </c>
      <c r="F2729" t="s">
        <v>134</v>
      </c>
      <c r="G2729" t="s">
        <v>148</v>
      </c>
      <c r="H2729" t="s">
        <v>149</v>
      </c>
      <c r="I2729" t="s">
        <v>41</v>
      </c>
      <c r="J2729" t="s">
        <v>42</v>
      </c>
      <c r="K2729" t="s">
        <v>48</v>
      </c>
      <c r="L2729" t="s">
        <v>49</v>
      </c>
      <c r="M2729" t="s">
        <v>140</v>
      </c>
      <c r="N2729">
        <v>743</v>
      </c>
      <c r="O2729">
        <v>0.10723348100000001</v>
      </c>
      <c r="P2729">
        <v>7.3297206000000004E-2</v>
      </c>
      <c r="Q2729" t="str">
        <f t="shared" si="84"/>
        <v>25-34</v>
      </c>
      <c r="R2729" t="str">
        <f t="shared" si="85"/>
        <v>[rpw540fmNUz]|25-34|Male|DIAGNOSED_SUBNAT.T_1|CY2024Q3</v>
      </c>
    </row>
    <row r="2730" spans="4:18" x14ac:dyDescent="0.2">
      <c r="D2730" t="s">
        <v>132</v>
      </c>
      <c r="E2730" t="s">
        <v>133</v>
      </c>
      <c r="F2730" t="s">
        <v>134</v>
      </c>
      <c r="G2730" t="s">
        <v>148</v>
      </c>
      <c r="H2730" t="s">
        <v>149</v>
      </c>
      <c r="I2730" t="s">
        <v>43</v>
      </c>
      <c r="J2730" t="s">
        <v>44</v>
      </c>
      <c r="K2730" t="s">
        <v>48</v>
      </c>
      <c r="L2730" t="s">
        <v>49</v>
      </c>
      <c r="M2730" t="s">
        <v>140</v>
      </c>
      <c r="N2730">
        <v>2784</v>
      </c>
      <c r="O2730">
        <v>8.4920826000000005E-2</v>
      </c>
      <c r="P2730">
        <v>7.3297206000000004E-2</v>
      </c>
      <c r="Q2730" t="str">
        <f t="shared" si="84"/>
        <v>35-49</v>
      </c>
      <c r="R2730" t="str">
        <f t="shared" si="85"/>
        <v>[rpw540fmNUz]|35-49|Male|DIAGNOSED_SUBNAT.T_1|CY2024Q3</v>
      </c>
    </row>
    <row r="2731" spans="4:18" x14ac:dyDescent="0.2">
      <c r="D2731" t="s">
        <v>132</v>
      </c>
      <c r="E2731" t="s">
        <v>133</v>
      </c>
      <c r="F2731" t="s">
        <v>134</v>
      </c>
      <c r="G2731" t="s">
        <v>148</v>
      </c>
      <c r="H2731" t="s">
        <v>149</v>
      </c>
      <c r="I2731" t="s">
        <v>45</v>
      </c>
      <c r="J2731" t="s">
        <v>46</v>
      </c>
      <c r="K2731" t="s">
        <v>48</v>
      </c>
      <c r="L2731" t="s">
        <v>49</v>
      </c>
      <c r="M2731" t="s">
        <v>140</v>
      </c>
      <c r="N2731">
        <v>2213</v>
      </c>
      <c r="O2731">
        <v>8.0742948999999994E-2</v>
      </c>
      <c r="P2731">
        <v>7.3297206000000004E-2</v>
      </c>
      <c r="Q2731" t="str">
        <f t="shared" si="84"/>
        <v>50+</v>
      </c>
      <c r="R2731" t="str">
        <f t="shared" si="85"/>
        <v>[rpw540fmNUz]|50+|Male|DIAGNOSED_SUBNAT.T_1|CY2024Q3</v>
      </c>
    </row>
    <row r="2732" spans="4:18" x14ac:dyDescent="0.2">
      <c r="D2732" t="s">
        <v>135</v>
      </c>
      <c r="E2732" t="s">
        <v>136</v>
      </c>
      <c r="F2732" t="s">
        <v>137</v>
      </c>
      <c r="G2732" t="s">
        <v>148</v>
      </c>
      <c r="H2732" t="s">
        <v>149</v>
      </c>
      <c r="I2732" t="s">
        <v>28</v>
      </c>
      <c r="J2732" t="s">
        <v>29</v>
      </c>
      <c r="K2732" t="s">
        <v>30</v>
      </c>
      <c r="L2732" t="s">
        <v>31</v>
      </c>
      <c r="M2732" t="s">
        <v>140</v>
      </c>
      <c r="N2732">
        <v>3</v>
      </c>
      <c r="O2732">
        <v>0.12255549</v>
      </c>
      <c r="P2732">
        <v>9.5272630999999997E-2</v>
      </c>
      <c r="Q2732" t="str">
        <f t="shared" si="84"/>
        <v>&lt;01</v>
      </c>
      <c r="R2732" t="str">
        <f t="shared" si="85"/>
        <v>[gwVYinjBAe9]|&lt;01|Female|DIAGNOSED_SUBNAT.T_1|CY2024Q3</v>
      </c>
    </row>
    <row r="2733" spans="4:18" x14ac:dyDescent="0.2">
      <c r="D2733" t="s">
        <v>135</v>
      </c>
      <c r="E2733" t="s">
        <v>136</v>
      </c>
      <c r="F2733" t="s">
        <v>137</v>
      </c>
      <c r="G2733" t="s">
        <v>148</v>
      </c>
      <c r="H2733" t="s">
        <v>149</v>
      </c>
      <c r="I2733" t="s">
        <v>33</v>
      </c>
      <c r="J2733" t="s">
        <v>34</v>
      </c>
      <c r="K2733" t="s">
        <v>30</v>
      </c>
      <c r="L2733" t="s">
        <v>31</v>
      </c>
      <c r="M2733" t="s">
        <v>140</v>
      </c>
      <c r="N2733">
        <v>61</v>
      </c>
      <c r="O2733">
        <v>0.118708179</v>
      </c>
      <c r="P2733">
        <v>9.5272630999999997E-2</v>
      </c>
      <c r="Q2733" t="str">
        <f t="shared" si="84"/>
        <v>01-09</v>
      </c>
      <c r="R2733" t="str">
        <f t="shared" si="85"/>
        <v>[gwVYinjBAe9]|01-09|Female|DIAGNOSED_SUBNAT.T_1|CY2024Q3</v>
      </c>
    </row>
    <row r="2734" spans="4:18" x14ac:dyDescent="0.2">
      <c r="D2734" t="s">
        <v>135</v>
      </c>
      <c r="E2734" t="s">
        <v>136</v>
      </c>
      <c r="F2734" t="s">
        <v>137</v>
      </c>
      <c r="G2734" t="s">
        <v>148</v>
      </c>
      <c r="H2734" t="s">
        <v>149</v>
      </c>
      <c r="I2734" t="s">
        <v>36</v>
      </c>
      <c r="J2734" t="s">
        <v>37</v>
      </c>
      <c r="K2734" t="s">
        <v>30</v>
      </c>
      <c r="L2734" t="s">
        <v>31</v>
      </c>
      <c r="M2734" t="s">
        <v>140</v>
      </c>
      <c r="N2734">
        <v>77</v>
      </c>
      <c r="O2734">
        <v>0.114118678</v>
      </c>
      <c r="P2734">
        <v>9.5272630999999997E-2</v>
      </c>
      <c r="Q2734" t="str">
        <f t="shared" si="84"/>
        <v>10-14</v>
      </c>
      <c r="R2734" t="str">
        <f t="shared" si="85"/>
        <v>[gwVYinjBAe9]|10-14|Female|DIAGNOSED_SUBNAT.T_1|CY2024Q3</v>
      </c>
    </row>
    <row r="2735" spans="4:18" x14ac:dyDescent="0.2">
      <c r="D2735" t="s">
        <v>135</v>
      </c>
      <c r="E2735" t="s">
        <v>136</v>
      </c>
      <c r="F2735" t="s">
        <v>137</v>
      </c>
      <c r="G2735" t="s">
        <v>148</v>
      </c>
      <c r="H2735" t="s">
        <v>149</v>
      </c>
      <c r="I2735" t="s">
        <v>38</v>
      </c>
      <c r="J2735" t="s">
        <v>39</v>
      </c>
      <c r="K2735" t="s">
        <v>30</v>
      </c>
      <c r="L2735" t="s">
        <v>31</v>
      </c>
      <c r="M2735" t="s">
        <v>140</v>
      </c>
      <c r="N2735">
        <v>345</v>
      </c>
      <c r="O2735">
        <v>0.121914992</v>
      </c>
      <c r="P2735">
        <v>9.5272630999999997E-2</v>
      </c>
      <c r="Q2735" t="str">
        <f t="shared" si="84"/>
        <v>15-24</v>
      </c>
      <c r="R2735" t="str">
        <f t="shared" si="85"/>
        <v>[gwVYinjBAe9]|15-24|Female|DIAGNOSED_SUBNAT.T_1|CY2024Q3</v>
      </c>
    </row>
    <row r="2736" spans="4:18" x14ac:dyDescent="0.2">
      <c r="D2736" t="s">
        <v>135</v>
      </c>
      <c r="E2736" t="s">
        <v>136</v>
      </c>
      <c r="F2736" t="s">
        <v>137</v>
      </c>
      <c r="G2736" t="s">
        <v>148</v>
      </c>
      <c r="H2736" t="s">
        <v>149</v>
      </c>
      <c r="I2736" t="s">
        <v>41</v>
      </c>
      <c r="J2736" t="s">
        <v>42</v>
      </c>
      <c r="K2736" t="s">
        <v>30</v>
      </c>
      <c r="L2736" t="s">
        <v>31</v>
      </c>
      <c r="M2736" t="s">
        <v>140</v>
      </c>
      <c r="N2736">
        <v>862</v>
      </c>
      <c r="O2736">
        <v>0.109882037</v>
      </c>
      <c r="P2736">
        <v>9.5272630999999997E-2</v>
      </c>
      <c r="Q2736" t="str">
        <f t="shared" si="84"/>
        <v>25-34</v>
      </c>
      <c r="R2736" t="str">
        <f t="shared" si="85"/>
        <v>[gwVYinjBAe9]|25-34|Female|DIAGNOSED_SUBNAT.T_1|CY2024Q3</v>
      </c>
    </row>
    <row r="2737" spans="4:18" x14ac:dyDescent="0.2">
      <c r="D2737" t="s">
        <v>135</v>
      </c>
      <c r="E2737" t="s">
        <v>136</v>
      </c>
      <c r="F2737" t="s">
        <v>137</v>
      </c>
      <c r="G2737" t="s">
        <v>148</v>
      </c>
      <c r="H2737" t="s">
        <v>149</v>
      </c>
      <c r="I2737" t="s">
        <v>43</v>
      </c>
      <c r="J2737" t="s">
        <v>44</v>
      </c>
      <c r="K2737" t="s">
        <v>30</v>
      </c>
      <c r="L2737" t="s">
        <v>31</v>
      </c>
      <c r="M2737" t="s">
        <v>140</v>
      </c>
      <c r="N2737">
        <v>2222</v>
      </c>
      <c r="O2737">
        <v>9.6585657000000005E-2</v>
      </c>
      <c r="P2737">
        <v>9.5272630999999997E-2</v>
      </c>
      <c r="Q2737" t="str">
        <f t="shared" si="84"/>
        <v>35-49</v>
      </c>
      <c r="R2737" t="str">
        <f t="shared" si="85"/>
        <v>[gwVYinjBAe9]|35-49|Female|DIAGNOSED_SUBNAT.T_1|CY2024Q3</v>
      </c>
    </row>
    <row r="2738" spans="4:18" x14ac:dyDescent="0.2">
      <c r="D2738" t="s">
        <v>135</v>
      </c>
      <c r="E2738" t="s">
        <v>136</v>
      </c>
      <c r="F2738" t="s">
        <v>137</v>
      </c>
      <c r="G2738" t="s">
        <v>148</v>
      </c>
      <c r="H2738" t="s">
        <v>149</v>
      </c>
      <c r="I2738" t="s">
        <v>45</v>
      </c>
      <c r="J2738" t="s">
        <v>46</v>
      </c>
      <c r="K2738" t="s">
        <v>30</v>
      </c>
      <c r="L2738" t="s">
        <v>31</v>
      </c>
      <c r="M2738" t="s">
        <v>140</v>
      </c>
      <c r="N2738">
        <v>1056</v>
      </c>
      <c r="O2738">
        <v>0.10189192599999999</v>
      </c>
      <c r="P2738">
        <v>9.5272630999999997E-2</v>
      </c>
      <c r="Q2738" t="str">
        <f t="shared" si="84"/>
        <v>50+</v>
      </c>
      <c r="R2738" t="str">
        <f t="shared" si="85"/>
        <v>[gwVYinjBAe9]|50+|Female|DIAGNOSED_SUBNAT.T_1|CY2024Q3</v>
      </c>
    </row>
    <row r="2739" spans="4:18" x14ac:dyDescent="0.2">
      <c r="D2739" t="s">
        <v>135</v>
      </c>
      <c r="E2739" t="s">
        <v>136</v>
      </c>
      <c r="F2739" t="s">
        <v>137</v>
      </c>
      <c r="G2739" t="s">
        <v>148</v>
      </c>
      <c r="H2739" t="s">
        <v>149</v>
      </c>
      <c r="I2739" t="s">
        <v>28</v>
      </c>
      <c r="J2739" t="s">
        <v>29</v>
      </c>
      <c r="K2739" t="s">
        <v>48</v>
      </c>
      <c r="L2739" t="s">
        <v>49</v>
      </c>
      <c r="M2739" t="s">
        <v>140</v>
      </c>
      <c r="N2739">
        <v>3</v>
      </c>
      <c r="O2739">
        <v>0.11081244</v>
      </c>
      <c r="P2739">
        <v>9.5272630999999997E-2</v>
      </c>
      <c r="Q2739" t="str">
        <f t="shared" si="84"/>
        <v>&lt;01</v>
      </c>
      <c r="R2739" t="str">
        <f t="shared" si="85"/>
        <v>[gwVYinjBAe9]|&lt;01|Male|DIAGNOSED_SUBNAT.T_1|CY2024Q3</v>
      </c>
    </row>
    <row r="2740" spans="4:18" x14ac:dyDescent="0.2">
      <c r="D2740" t="s">
        <v>135</v>
      </c>
      <c r="E2740" t="s">
        <v>136</v>
      </c>
      <c r="F2740" t="s">
        <v>137</v>
      </c>
      <c r="G2740" t="s">
        <v>148</v>
      </c>
      <c r="H2740" t="s">
        <v>149</v>
      </c>
      <c r="I2740" t="s">
        <v>33</v>
      </c>
      <c r="J2740" t="s">
        <v>34</v>
      </c>
      <c r="K2740" t="s">
        <v>48</v>
      </c>
      <c r="L2740" t="s">
        <v>49</v>
      </c>
      <c r="M2740" t="s">
        <v>140</v>
      </c>
      <c r="N2740">
        <v>62</v>
      </c>
      <c r="O2740">
        <v>0.10983425300000001</v>
      </c>
      <c r="P2740">
        <v>9.5272630999999997E-2</v>
      </c>
      <c r="Q2740" t="str">
        <f t="shared" si="84"/>
        <v>01-09</v>
      </c>
      <c r="R2740" t="str">
        <f t="shared" si="85"/>
        <v>[gwVYinjBAe9]|01-09|Male|DIAGNOSED_SUBNAT.T_1|CY2024Q3</v>
      </c>
    </row>
    <row r="2741" spans="4:18" x14ac:dyDescent="0.2">
      <c r="D2741" t="s">
        <v>135</v>
      </c>
      <c r="E2741" t="s">
        <v>136</v>
      </c>
      <c r="F2741" t="s">
        <v>137</v>
      </c>
      <c r="G2741" t="s">
        <v>148</v>
      </c>
      <c r="H2741" t="s">
        <v>149</v>
      </c>
      <c r="I2741" t="s">
        <v>36</v>
      </c>
      <c r="J2741" t="s">
        <v>37</v>
      </c>
      <c r="K2741" t="s">
        <v>48</v>
      </c>
      <c r="L2741" t="s">
        <v>49</v>
      </c>
      <c r="M2741" t="s">
        <v>140</v>
      </c>
      <c r="N2741">
        <v>79</v>
      </c>
      <c r="O2741">
        <v>0.10920827600000001</v>
      </c>
      <c r="P2741">
        <v>9.5272630999999997E-2</v>
      </c>
      <c r="Q2741" t="str">
        <f t="shared" si="84"/>
        <v>10-14</v>
      </c>
      <c r="R2741" t="str">
        <f t="shared" si="85"/>
        <v>[gwVYinjBAe9]|10-14|Male|DIAGNOSED_SUBNAT.T_1|CY2024Q3</v>
      </c>
    </row>
    <row r="2742" spans="4:18" x14ac:dyDescent="0.2">
      <c r="D2742" t="s">
        <v>135</v>
      </c>
      <c r="E2742" t="s">
        <v>136</v>
      </c>
      <c r="F2742" t="s">
        <v>137</v>
      </c>
      <c r="G2742" t="s">
        <v>148</v>
      </c>
      <c r="H2742" t="s">
        <v>149</v>
      </c>
      <c r="I2742" t="s">
        <v>38</v>
      </c>
      <c r="J2742" t="s">
        <v>39</v>
      </c>
      <c r="K2742" t="s">
        <v>48</v>
      </c>
      <c r="L2742" t="s">
        <v>49</v>
      </c>
      <c r="M2742" t="s">
        <v>140</v>
      </c>
      <c r="N2742">
        <v>241</v>
      </c>
      <c r="O2742">
        <v>0.12202030899999999</v>
      </c>
      <c r="P2742">
        <v>9.5272630999999997E-2</v>
      </c>
      <c r="Q2742" t="str">
        <f t="shared" si="84"/>
        <v>15-24</v>
      </c>
      <c r="R2742" t="str">
        <f t="shared" si="85"/>
        <v>[gwVYinjBAe9]|15-24|Male|DIAGNOSED_SUBNAT.T_1|CY2024Q3</v>
      </c>
    </row>
    <row r="2743" spans="4:18" x14ac:dyDescent="0.2">
      <c r="D2743" t="s">
        <v>135</v>
      </c>
      <c r="E2743" t="s">
        <v>136</v>
      </c>
      <c r="F2743" t="s">
        <v>137</v>
      </c>
      <c r="G2743" t="s">
        <v>148</v>
      </c>
      <c r="H2743" t="s">
        <v>149</v>
      </c>
      <c r="I2743" t="s">
        <v>41</v>
      </c>
      <c r="J2743" t="s">
        <v>42</v>
      </c>
      <c r="K2743" t="s">
        <v>48</v>
      </c>
      <c r="L2743" t="s">
        <v>49</v>
      </c>
      <c r="M2743" t="s">
        <v>140</v>
      </c>
      <c r="N2743">
        <v>298</v>
      </c>
      <c r="O2743">
        <v>0.12197327400000001</v>
      </c>
      <c r="P2743">
        <v>9.5272630999999997E-2</v>
      </c>
      <c r="Q2743" t="str">
        <f t="shared" si="84"/>
        <v>25-34</v>
      </c>
      <c r="R2743" t="str">
        <f t="shared" si="85"/>
        <v>[gwVYinjBAe9]|25-34|Male|DIAGNOSED_SUBNAT.T_1|CY2024Q3</v>
      </c>
    </row>
    <row r="2744" spans="4:18" x14ac:dyDescent="0.2">
      <c r="D2744" t="s">
        <v>135</v>
      </c>
      <c r="E2744" t="s">
        <v>136</v>
      </c>
      <c r="F2744" t="s">
        <v>137</v>
      </c>
      <c r="G2744" t="s">
        <v>148</v>
      </c>
      <c r="H2744" t="s">
        <v>149</v>
      </c>
      <c r="I2744" t="s">
        <v>43</v>
      </c>
      <c r="J2744" t="s">
        <v>44</v>
      </c>
      <c r="K2744" t="s">
        <v>48</v>
      </c>
      <c r="L2744" t="s">
        <v>49</v>
      </c>
      <c r="M2744" t="s">
        <v>140</v>
      </c>
      <c r="N2744">
        <v>1111</v>
      </c>
      <c r="O2744">
        <v>9.6466632999999996E-2</v>
      </c>
      <c r="P2744">
        <v>9.5272630999999997E-2</v>
      </c>
      <c r="Q2744" t="str">
        <f t="shared" si="84"/>
        <v>35-49</v>
      </c>
      <c r="R2744" t="str">
        <f t="shared" si="85"/>
        <v>[gwVYinjBAe9]|35-49|Male|DIAGNOSED_SUBNAT.T_1|CY2024Q3</v>
      </c>
    </row>
    <row r="2745" spans="4:18" x14ac:dyDescent="0.2">
      <c r="D2745" t="s">
        <v>135</v>
      </c>
      <c r="E2745" t="s">
        <v>136</v>
      </c>
      <c r="F2745" t="s">
        <v>137</v>
      </c>
      <c r="G2745" t="s">
        <v>148</v>
      </c>
      <c r="H2745" t="s">
        <v>149</v>
      </c>
      <c r="I2745" t="s">
        <v>45</v>
      </c>
      <c r="J2745" t="s">
        <v>46</v>
      </c>
      <c r="K2745" t="s">
        <v>48</v>
      </c>
      <c r="L2745" t="s">
        <v>49</v>
      </c>
      <c r="M2745" t="s">
        <v>140</v>
      </c>
      <c r="N2745">
        <v>858</v>
      </c>
      <c r="O2745">
        <v>9.2356215000000005E-2</v>
      </c>
      <c r="P2745">
        <v>9.5272630999999997E-2</v>
      </c>
      <c r="Q2745" t="str">
        <f t="shared" si="84"/>
        <v>50+</v>
      </c>
      <c r="R2745" t="str">
        <f t="shared" si="85"/>
        <v>[gwVYinjBAe9]|50+|Male|DIAGNOSED_SUBNAT.T_1|CY2024Q3</v>
      </c>
    </row>
    <row r="2746" spans="4:18" x14ac:dyDescent="0.2">
      <c r="D2746" t="s">
        <v>23</v>
      </c>
      <c r="E2746" t="s">
        <v>24</v>
      </c>
      <c r="F2746" t="s">
        <v>25</v>
      </c>
      <c r="G2746" t="s">
        <v>150</v>
      </c>
      <c r="H2746" t="s">
        <v>150</v>
      </c>
      <c r="I2746" t="s">
        <v>28</v>
      </c>
      <c r="J2746" t="s">
        <v>29</v>
      </c>
      <c r="K2746" t="s">
        <v>30</v>
      </c>
      <c r="L2746" t="s">
        <v>31</v>
      </c>
      <c r="M2746" t="s">
        <v>140</v>
      </c>
      <c r="N2746">
        <v>3</v>
      </c>
      <c r="O2746">
        <v>3.9322360000000001E-2</v>
      </c>
      <c r="P2746">
        <v>2.9634286999999999E-2</v>
      </c>
      <c r="Q2746" t="str">
        <f t="shared" si="84"/>
        <v>&lt;01</v>
      </c>
      <c r="R2746" t="str">
        <f t="shared" si="85"/>
        <v>[GkIwZrXy1h2]|&lt;01|Female|PLHIV_Attend.T_1|CY2024Q3</v>
      </c>
    </row>
    <row r="2747" spans="4:18" x14ac:dyDescent="0.2">
      <c r="D2747" t="s">
        <v>23</v>
      </c>
      <c r="E2747" t="s">
        <v>24</v>
      </c>
      <c r="F2747" t="s">
        <v>25</v>
      </c>
      <c r="G2747" t="s">
        <v>150</v>
      </c>
      <c r="H2747" t="s">
        <v>150</v>
      </c>
      <c r="I2747" t="s">
        <v>33</v>
      </c>
      <c r="J2747" t="s">
        <v>34</v>
      </c>
      <c r="K2747" t="s">
        <v>30</v>
      </c>
      <c r="L2747" t="s">
        <v>31</v>
      </c>
      <c r="M2747" t="s">
        <v>140</v>
      </c>
      <c r="N2747">
        <v>61</v>
      </c>
      <c r="O2747">
        <v>5.1335846999999997E-2</v>
      </c>
      <c r="P2747">
        <v>2.9634286999999999E-2</v>
      </c>
      <c r="Q2747" t="str">
        <f t="shared" si="84"/>
        <v>01-09</v>
      </c>
      <c r="R2747" t="str">
        <f t="shared" si="85"/>
        <v>[GkIwZrXy1h2]|01-09|Female|PLHIV_Attend.T_1|CY2024Q3</v>
      </c>
    </row>
    <row r="2748" spans="4:18" x14ac:dyDescent="0.2">
      <c r="D2748" t="s">
        <v>23</v>
      </c>
      <c r="E2748" t="s">
        <v>24</v>
      </c>
      <c r="F2748" t="s">
        <v>25</v>
      </c>
      <c r="G2748" t="s">
        <v>150</v>
      </c>
      <c r="H2748" t="s">
        <v>150</v>
      </c>
      <c r="I2748" t="s">
        <v>36</v>
      </c>
      <c r="J2748" t="s">
        <v>37</v>
      </c>
      <c r="K2748" t="s">
        <v>30</v>
      </c>
      <c r="L2748" t="s">
        <v>31</v>
      </c>
      <c r="M2748" t="s">
        <v>140</v>
      </c>
      <c r="N2748">
        <v>82</v>
      </c>
      <c r="O2748">
        <v>6.6708364000000006E-2</v>
      </c>
      <c r="P2748">
        <v>2.9634286999999999E-2</v>
      </c>
      <c r="Q2748" t="str">
        <f t="shared" si="84"/>
        <v>10-14</v>
      </c>
      <c r="R2748" t="str">
        <f t="shared" si="85"/>
        <v>[GkIwZrXy1h2]|10-14|Female|PLHIV_Attend.T_1|CY2024Q3</v>
      </c>
    </row>
    <row r="2749" spans="4:18" x14ac:dyDescent="0.2">
      <c r="D2749" t="s">
        <v>23</v>
      </c>
      <c r="E2749" t="s">
        <v>24</v>
      </c>
      <c r="F2749" t="s">
        <v>25</v>
      </c>
      <c r="G2749" t="s">
        <v>150</v>
      </c>
      <c r="H2749" t="s">
        <v>150</v>
      </c>
      <c r="I2749" t="s">
        <v>38</v>
      </c>
      <c r="J2749" t="s">
        <v>39</v>
      </c>
      <c r="K2749" t="s">
        <v>30</v>
      </c>
      <c r="L2749" t="s">
        <v>31</v>
      </c>
      <c r="M2749" t="s">
        <v>140</v>
      </c>
      <c r="N2749">
        <v>280</v>
      </c>
      <c r="O2749">
        <v>6.8179871000000003E-2</v>
      </c>
      <c r="P2749">
        <v>2.9634286999999999E-2</v>
      </c>
      <c r="Q2749" t="str">
        <f t="shared" si="84"/>
        <v>15-24</v>
      </c>
      <c r="R2749" t="str">
        <f t="shared" si="85"/>
        <v>[GkIwZrXy1h2]|15-24|Female|PLHIV_Attend.T_1|CY2024Q3</v>
      </c>
    </row>
    <row r="2750" spans="4:18" x14ac:dyDescent="0.2">
      <c r="D2750" t="s">
        <v>23</v>
      </c>
      <c r="E2750" t="s">
        <v>24</v>
      </c>
      <c r="F2750" t="s">
        <v>25</v>
      </c>
      <c r="G2750" t="s">
        <v>150</v>
      </c>
      <c r="H2750" t="s">
        <v>150</v>
      </c>
      <c r="I2750" t="s">
        <v>41</v>
      </c>
      <c r="J2750" t="s">
        <v>42</v>
      </c>
      <c r="K2750" t="s">
        <v>30</v>
      </c>
      <c r="L2750" t="s">
        <v>31</v>
      </c>
      <c r="M2750" t="s">
        <v>140</v>
      </c>
      <c r="N2750">
        <v>686</v>
      </c>
      <c r="O2750">
        <v>5.1162065E-2</v>
      </c>
      <c r="P2750">
        <v>2.9634286999999999E-2</v>
      </c>
      <c r="Q2750" t="str">
        <f t="shared" si="84"/>
        <v>25-34</v>
      </c>
      <c r="R2750" t="str">
        <f t="shared" si="85"/>
        <v>[GkIwZrXy1h2]|25-34|Female|PLHIV_Attend.T_1|CY2024Q3</v>
      </c>
    </row>
    <row r="2751" spans="4:18" x14ac:dyDescent="0.2">
      <c r="D2751" t="s">
        <v>23</v>
      </c>
      <c r="E2751" t="s">
        <v>24</v>
      </c>
      <c r="F2751" t="s">
        <v>25</v>
      </c>
      <c r="G2751" t="s">
        <v>150</v>
      </c>
      <c r="H2751" t="s">
        <v>150</v>
      </c>
      <c r="I2751" t="s">
        <v>43</v>
      </c>
      <c r="J2751" t="s">
        <v>44</v>
      </c>
      <c r="K2751" t="s">
        <v>30</v>
      </c>
      <c r="L2751" t="s">
        <v>31</v>
      </c>
      <c r="M2751" t="s">
        <v>140</v>
      </c>
      <c r="N2751">
        <v>1834</v>
      </c>
      <c r="O2751">
        <v>3.5287627000000002E-2</v>
      </c>
      <c r="P2751">
        <v>2.9634286999999999E-2</v>
      </c>
      <c r="Q2751" t="str">
        <f t="shared" si="84"/>
        <v>35-49</v>
      </c>
      <c r="R2751" t="str">
        <f t="shared" si="85"/>
        <v>[GkIwZrXy1h2]|35-49|Female|PLHIV_Attend.T_1|CY2024Q3</v>
      </c>
    </row>
    <row r="2752" spans="4:18" x14ac:dyDescent="0.2">
      <c r="D2752" t="s">
        <v>23</v>
      </c>
      <c r="E2752" t="s">
        <v>24</v>
      </c>
      <c r="F2752" t="s">
        <v>25</v>
      </c>
      <c r="G2752" t="s">
        <v>150</v>
      </c>
      <c r="H2752" t="s">
        <v>150</v>
      </c>
      <c r="I2752" t="s">
        <v>45</v>
      </c>
      <c r="J2752" t="s">
        <v>46</v>
      </c>
      <c r="K2752" t="s">
        <v>30</v>
      </c>
      <c r="L2752" t="s">
        <v>31</v>
      </c>
      <c r="M2752" t="s">
        <v>140</v>
      </c>
      <c r="N2752">
        <v>904</v>
      </c>
      <c r="O2752">
        <v>4.6823849000000001E-2</v>
      </c>
      <c r="P2752">
        <v>2.9634286999999999E-2</v>
      </c>
      <c r="Q2752" t="str">
        <f t="shared" si="84"/>
        <v>50+</v>
      </c>
      <c r="R2752" t="str">
        <f t="shared" si="85"/>
        <v>[GkIwZrXy1h2]|50+|Female|PLHIV_Attend.T_1|CY2024Q3</v>
      </c>
    </row>
    <row r="2753" spans="4:18" x14ac:dyDescent="0.2">
      <c r="D2753" t="s">
        <v>23</v>
      </c>
      <c r="E2753" t="s">
        <v>24</v>
      </c>
      <c r="F2753" t="s">
        <v>25</v>
      </c>
      <c r="G2753" t="s">
        <v>150</v>
      </c>
      <c r="H2753" t="s">
        <v>150</v>
      </c>
      <c r="I2753" t="s">
        <v>28</v>
      </c>
      <c r="J2753" t="s">
        <v>29</v>
      </c>
      <c r="K2753" t="s">
        <v>48</v>
      </c>
      <c r="L2753" t="s">
        <v>49</v>
      </c>
      <c r="M2753" t="s">
        <v>140</v>
      </c>
      <c r="N2753">
        <v>3</v>
      </c>
      <c r="O2753">
        <v>3.9156978000000002E-2</v>
      </c>
      <c r="P2753">
        <v>2.9634286999999999E-2</v>
      </c>
      <c r="Q2753" t="str">
        <f t="shared" si="84"/>
        <v>&lt;01</v>
      </c>
      <c r="R2753" t="str">
        <f t="shared" si="85"/>
        <v>[GkIwZrXy1h2]|&lt;01|Male|PLHIV_Attend.T_1|CY2024Q3</v>
      </c>
    </row>
    <row r="2754" spans="4:18" x14ac:dyDescent="0.2">
      <c r="D2754" t="s">
        <v>23</v>
      </c>
      <c r="E2754" t="s">
        <v>24</v>
      </c>
      <c r="F2754" t="s">
        <v>25</v>
      </c>
      <c r="G2754" t="s">
        <v>150</v>
      </c>
      <c r="H2754" t="s">
        <v>150</v>
      </c>
      <c r="I2754" t="s">
        <v>33</v>
      </c>
      <c r="J2754" t="s">
        <v>34</v>
      </c>
      <c r="K2754" t="s">
        <v>48</v>
      </c>
      <c r="L2754" t="s">
        <v>49</v>
      </c>
      <c r="M2754" t="s">
        <v>140</v>
      </c>
      <c r="N2754">
        <v>61</v>
      </c>
      <c r="O2754">
        <v>5.1155191000000003E-2</v>
      </c>
      <c r="P2754">
        <v>2.9634286999999999E-2</v>
      </c>
      <c r="Q2754" t="str">
        <f t="shared" si="84"/>
        <v>01-09</v>
      </c>
      <c r="R2754" t="str">
        <f t="shared" si="85"/>
        <v>[GkIwZrXy1h2]|01-09|Male|PLHIV_Attend.T_1|CY2024Q3</v>
      </c>
    </row>
    <row r="2755" spans="4:18" x14ac:dyDescent="0.2">
      <c r="D2755" t="s">
        <v>23</v>
      </c>
      <c r="E2755" t="s">
        <v>24</v>
      </c>
      <c r="F2755" t="s">
        <v>25</v>
      </c>
      <c r="G2755" t="s">
        <v>150</v>
      </c>
      <c r="H2755" t="s">
        <v>150</v>
      </c>
      <c r="I2755" t="s">
        <v>36</v>
      </c>
      <c r="J2755" t="s">
        <v>37</v>
      </c>
      <c r="K2755" t="s">
        <v>48</v>
      </c>
      <c r="L2755" t="s">
        <v>49</v>
      </c>
      <c r="M2755" t="s">
        <v>140</v>
      </c>
      <c r="N2755">
        <v>80</v>
      </c>
      <c r="O2755">
        <v>6.6545978000000006E-2</v>
      </c>
      <c r="P2755">
        <v>2.9634286999999999E-2</v>
      </c>
      <c r="Q2755" t="str">
        <f t="shared" ref="Q2755:Q2818" si="86">SUBSTITUTE(SUBSTITUTE($I2755,CHAR(61),""),CHAR(34),"")</f>
        <v>10-14</v>
      </c>
      <c r="R2755" t="str">
        <f t="shared" ref="R2755:R2818" si="87">IF($D2755&lt;&gt;"","["&amp;$E2755&amp;"]"&amp;"|"&amp;$Q2755&amp;"|"&amp;$K2755&amp;"|"&amp;$G2755&amp;"|"&amp;IF($G2755="TX_CURR_SUBNAT.R","CY2023Q4",$M2755),"")</f>
        <v>[GkIwZrXy1h2]|10-14|Male|PLHIV_Attend.T_1|CY2024Q3</v>
      </c>
    </row>
    <row r="2756" spans="4:18" x14ac:dyDescent="0.2">
      <c r="D2756" t="s">
        <v>23</v>
      </c>
      <c r="E2756" t="s">
        <v>24</v>
      </c>
      <c r="F2756" t="s">
        <v>25</v>
      </c>
      <c r="G2756" t="s">
        <v>150</v>
      </c>
      <c r="H2756" t="s">
        <v>150</v>
      </c>
      <c r="I2756" t="s">
        <v>38</v>
      </c>
      <c r="J2756" t="s">
        <v>39</v>
      </c>
      <c r="K2756" t="s">
        <v>48</v>
      </c>
      <c r="L2756" t="s">
        <v>49</v>
      </c>
      <c r="M2756" t="s">
        <v>140</v>
      </c>
      <c r="N2756">
        <v>212</v>
      </c>
      <c r="O2756">
        <v>8.0011642999999993E-2</v>
      </c>
      <c r="P2756">
        <v>2.9634286999999999E-2</v>
      </c>
      <c r="Q2756" t="str">
        <f t="shared" si="86"/>
        <v>15-24</v>
      </c>
      <c r="R2756" t="str">
        <f t="shared" si="87"/>
        <v>[GkIwZrXy1h2]|15-24|Male|PLHIV_Attend.T_1|CY2024Q3</v>
      </c>
    </row>
    <row r="2757" spans="4:18" x14ac:dyDescent="0.2">
      <c r="D2757" t="s">
        <v>23</v>
      </c>
      <c r="E2757" t="s">
        <v>24</v>
      </c>
      <c r="F2757" t="s">
        <v>25</v>
      </c>
      <c r="G2757" t="s">
        <v>150</v>
      </c>
      <c r="H2757" t="s">
        <v>150</v>
      </c>
      <c r="I2757" t="s">
        <v>41</v>
      </c>
      <c r="J2757" t="s">
        <v>42</v>
      </c>
      <c r="K2757" t="s">
        <v>48</v>
      </c>
      <c r="L2757" t="s">
        <v>49</v>
      </c>
      <c r="M2757" t="s">
        <v>140</v>
      </c>
      <c r="N2757">
        <v>282</v>
      </c>
      <c r="O2757">
        <v>7.6481755999999998E-2</v>
      </c>
      <c r="P2757">
        <v>2.9634286999999999E-2</v>
      </c>
      <c r="Q2757" t="str">
        <f t="shared" si="86"/>
        <v>25-34</v>
      </c>
      <c r="R2757" t="str">
        <f t="shared" si="87"/>
        <v>[GkIwZrXy1h2]|25-34|Male|PLHIV_Attend.T_1|CY2024Q3</v>
      </c>
    </row>
    <row r="2758" spans="4:18" x14ac:dyDescent="0.2">
      <c r="D2758" t="s">
        <v>23</v>
      </c>
      <c r="E2758" t="s">
        <v>24</v>
      </c>
      <c r="F2758" t="s">
        <v>25</v>
      </c>
      <c r="G2758" t="s">
        <v>150</v>
      </c>
      <c r="H2758" t="s">
        <v>150</v>
      </c>
      <c r="I2758" t="s">
        <v>43</v>
      </c>
      <c r="J2758" t="s">
        <v>44</v>
      </c>
      <c r="K2758" t="s">
        <v>48</v>
      </c>
      <c r="L2758" t="s">
        <v>49</v>
      </c>
      <c r="M2758" t="s">
        <v>140</v>
      </c>
      <c r="N2758">
        <v>1062</v>
      </c>
      <c r="O2758">
        <v>4.6469524999999998E-2</v>
      </c>
      <c r="P2758">
        <v>2.9634286999999999E-2</v>
      </c>
      <c r="Q2758" t="str">
        <f t="shared" si="86"/>
        <v>35-49</v>
      </c>
      <c r="R2758" t="str">
        <f t="shared" si="87"/>
        <v>[GkIwZrXy1h2]|35-49|Male|PLHIV_Attend.T_1|CY2024Q3</v>
      </c>
    </row>
    <row r="2759" spans="4:18" x14ac:dyDescent="0.2">
      <c r="D2759" t="s">
        <v>23</v>
      </c>
      <c r="E2759" t="s">
        <v>24</v>
      </c>
      <c r="F2759" t="s">
        <v>25</v>
      </c>
      <c r="G2759" t="s">
        <v>150</v>
      </c>
      <c r="H2759" t="s">
        <v>150</v>
      </c>
      <c r="I2759" t="s">
        <v>45</v>
      </c>
      <c r="J2759" t="s">
        <v>46</v>
      </c>
      <c r="K2759" t="s">
        <v>48</v>
      </c>
      <c r="L2759" t="s">
        <v>49</v>
      </c>
      <c r="M2759" t="s">
        <v>140</v>
      </c>
      <c r="N2759">
        <v>886</v>
      </c>
      <c r="O2759">
        <v>4.4331286999999997E-2</v>
      </c>
      <c r="P2759">
        <v>2.9634286999999999E-2</v>
      </c>
      <c r="Q2759" t="str">
        <f t="shared" si="86"/>
        <v>50+</v>
      </c>
      <c r="R2759" t="str">
        <f t="shared" si="87"/>
        <v>[GkIwZrXy1h2]|50+|Male|PLHIV_Attend.T_1|CY2024Q3</v>
      </c>
    </row>
    <row r="2760" spans="4:18" x14ac:dyDescent="0.2">
      <c r="D2760" t="s">
        <v>53</v>
      </c>
      <c r="E2760" t="s">
        <v>54</v>
      </c>
      <c r="F2760" t="s">
        <v>55</v>
      </c>
      <c r="G2760" t="s">
        <v>150</v>
      </c>
      <c r="H2760" t="s">
        <v>150</v>
      </c>
      <c r="I2760" t="s">
        <v>28</v>
      </c>
      <c r="J2760" t="s">
        <v>29</v>
      </c>
      <c r="K2760" t="s">
        <v>30</v>
      </c>
      <c r="L2760" t="s">
        <v>31</v>
      </c>
      <c r="M2760" t="s">
        <v>140</v>
      </c>
      <c r="N2760">
        <v>9</v>
      </c>
      <c r="O2760">
        <v>2.8187552000000001E-2</v>
      </c>
      <c r="P2760">
        <v>1.6088163999999999E-2</v>
      </c>
      <c r="Q2760" t="str">
        <f t="shared" si="86"/>
        <v>&lt;01</v>
      </c>
      <c r="R2760" t="str">
        <f t="shared" si="87"/>
        <v>[cPtvxaZqXIH]|&lt;01|Female|PLHIV_Attend.T_1|CY2024Q3</v>
      </c>
    </row>
    <row r="2761" spans="4:18" x14ac:dyDescent="0.2">
      <c r="D2761" t="s">
        <v>53</v>
      </c>
      <c r="E2761" t="s">
        <v>54</v>
      </c>
      <c r="F2761" t="s">
        <v>55</v>
      </c>
      <c r="G2761" t="s">
        <v>150</v>
      </c>
      <c r="H2761" t="s">
        <v>150</v>
      </c>
      <c r="I2761" t="s">
        <v>33</v>
      </c>
      <c r="J2761" t="s">
        <v>34</v>
      </c>
      <c r="K2761" t="s">
        <v>30</v>
      </c>
      <c r="L2761" t="s">
        <v>31</v>
      </c>
      <c r="M2761" t="s">
        <v>140</v>
      </c>
      <c r="N2761">
        <v>169</v>
      </c>
      <c r="O2761">
        <v>4.3289415999999997E-2</v>
      </c>
      <c r="P2761">
        <v>1.6088163999999999E-2</v>
      </c>
      <c r="Q2761" t="str">
        <f t="shared" si="86"/>
        <v>01-09</v>
      </c>
      <c r="R2761" t="str">
        <f t="shared" si="87"/>
        <v>[cPtvxaZqXIH]|01-09|Female|PLHIV_Attend.T_1|CY2024Q3</v>
      </c>
    </row>
    <row r="2762" spans="4:18" x14ac:dyDescent="0.2">
      <c r="D2762" t="s">
        <v>53</v>
      </c>
      <c r="E2762" t="s">
        <v>54</v>
      </c>
      <c r="F2762" t="s">
        <v>55</v>
      </c>
      <c r="G2762" t="s">
        <v>150</v>
      </c>
      <c r="H2762" t="s">
        <v>150</v>
      </c>
      <c r="I2762" t="s">
        <v>36</v>
      </c>
      <c r="J2762" t="s">
        <v>37</v>
      </c>
      <c r="K2762" t="s">
        <v>30</v>
      </c>
      <c r="L2762" t="s">
        <v>31</v>
      </c>
      <c r="M2762" t="s">
        <v>140</v>
      </c>
      <c r="N2762">
        <v>225</v>
      </c>
      <c r="O2762">
        <v>6.2263789999999999E-2</v>
      </c>
      <c r="P2762">
        <v>1.6088163999999999E-2</v>
      </c>
      <c r="Q2762" t="str">
        <f t="shared" si="86"/>
        <v>10-14</v>
      </c>
      <c r="R2762" t="str">
        <f t="shared" si="87"/>
        <v>[cPtvxaZqXIH]|10-14|Female|PLHIV_Attend.T_1|CY2024Q3</v>
      </c>
    </row>
    <row r="2763" spans="4:18" x14ac:dyDescent="0.2">
      <c r="D2763" t="s">
        <v>53</v>
      </c>
      <c r="E2763" t="s">
        <v>54</v>
      </c>
      <c r="F2763" t="s">
        <v>55</v>
      </c>
      <c r="G2763" t="s">
        <v>150</v>
      </c>
      <c r="H2763" t="s">
        <v>150</v>
      </c>
      <c r="I2763" t="s">
        <v>38</v>
      </c>
      <c r="J2763" t="s">
        <v>39</v>
      </c>
      <c r="K2763" t="s">
        <v>30</v>
      </c>
      <c r="L2763" t="s">
        <v>31</v>
      </c>
      <c r="M2763" t="s">
        <v>140</v>
      </c>
      <c r="N2763">
        <v>804</v>
      </c>
      <c r="O2763">
        <v>6.2241089999999999E-2</v>
      </c>
      <c r="P2763">
        <v>1.6088163999999999E-2</v>
      </c>
      <c r="Q2763" t="str">
        <f t="shared" si="86"/>
        <v>15-24</v>
      </c>
      <c r="R2763" t="str">
        <f t="shared" si="87"/>
        <v>[cPtvxaZqXIH]|15-24|Female|PLHIV_Attend.T_1|CY2024Q3</v>
      </c>
    </row>
    <row r="2764" spans="4:18" x14ac:dyDescent="0.2">
      <c r="D2764" t="s">
        <v>53</v>
      </c>
      <c r="E2764" t="s">
        <v>54</v>
      </c>
      <c r="F2764" t="s">
        <v>55</v>
      </c>
      <c r="G2764" t="s">
        <v>150</v>
      </c>
      <c r="H2764" t="s">
        <v>150</v>
      </c>
      <c r="I2764" t="s">
        <v>41</v>
      </c>
      <c r="J2764" t="s">
        <v>42</v>
      </c>
      <c r="K2764" t="s">
        <v>30</v>
      </c>
      <c r="L2764" t="s">
        <v>31</v>
      </c>
      <c r="M2764" t="s">
        <v>140</v>
      </c>
      <c r="N2764">
        <v>1962</v>
      </c>
      <c r="O2764">
        <v>4.0093893999999998E-2</v>
      </c>
      <c r="P2764">
        <v>1.6088163999999999E-2</v>
      </c>
      <c r="Q2764" t="str">
        <f t="shared" si="86"/>
        <v>25-34</v>
      </c>
      <c r="R2764" t="str">
        <f t="shared" si="87"/>
        <v>[cPtvxaZqXIH]|25-34|Female|PLHIV_Attend.T_1|CY2024Q3</v>
      </c>
    </row>
    <row r="2765" spans="4:18" x14ac:dyDescent="0.2">
      <c r="D2765" t="s">
        <v>53</v>
      </c>
      <c r="E2765" t="s">
        <v>54</v>
      </c>
      <c r="F2765" t="s">
        <v>55</v>
      </c>
      <c r="G2765" t="s">
        <v>150</v>
      </c>
      <c r="H2765" t="s">
        <v>150</v>
      </c>
      <c r="I2765" t="s">
        <v>43</v>
      </c>
      <c r="J2765" t="s">
        <v>44</v>
      </c>
      <c r="K2765" t="s">
        <v>30</v>
      </c>
      <c r="L2765" t="s">
        <v>31</v>
      </c>
      <c r="M2765" t="s">
        <v>140</v>
      </c>
      <c r="N2765">
        <v>5000</v>
      </c>
      <c r="O2765">
        <v>2.3452500000000001E-2</v>
      </c>
      <c r="P2765">
        <v>1.6088163999999999E-2</v>
      </c>
      <c r="Q2765" t="str">
        <f t="shared" si="86"/>
        <v>35-49</v>
      </c>
      <c r="R2765" t="str">
        <f t="shared" si="87"/>
        <v>[cPtvxaZqXIH]|35-49|Female|PLHIV_Attend.T_1|CY2024Q3</v>
      </c>
    </row>
    <row r="2766" spans="4:18" x14ac:dyDescent="0.2">
      <c r="D2766" t="s">
        <v>53</v>
      </c>
      <c r="E2766" t="s">
        <v>54</v>
      </c>
      <c r="F2766" t="s">
        <v>55</v>
      </c>
      <c r="G2766" t="s">
        <v>150</v>
      </c>
      <c r="H2766" t="s">
        <v>150</v>
      </c>
      <c r="I2766" t="s">
        <v>45</v>
      </c>
      <c r="J2766" t="s">
        <v>46</v>
      </c>
      <c r="K2766" t="s">
        <v>30</v>
      </c>
      <c r="L2766" t="s">
        <v>31</v>
      </c>
      <c r="M2766" t="s">
        <v>140</v>
      </c>
      <c r="N2766">
        <v>2296</v>
      </c>
      <c r="O2766">
        <v>4.0062437999999999E-2</v>
      </c>
      <c r="P2766">
        <v>1.6088163999999999E-2</v>
      </c>
      <c r="Q2766" t="str">
        <f t="shared" si="86"/>
        <v>50+</v>
      </c>
      <c r="R2766" t="str">
        <f t="shared" si="87"/>
        <v>[cPtvxaZqXIH]|50+|Female|PLHIV_Attend.T_1|CY2024Q3</v>
      </c>
    </row>
    <row r="2767" spans="4:18" x14ac:dyDescent="0.2">
      <c r="D2767" t="s">
        <v>53</v>
      </c>
      <c r="E2767" t="s">
        <v>54</v>
      </c>
      <c r="F2767" t="s">
        <v>55</v>
      </c>
      <c r="G2767" t="s">
        <v>150</v>
      </c>
      <c r="H2767" t="s">
        <v>150</v>
      </c>
      <c r="I2767" t="s">
        <v>28</v>
      </c>
      <c r="J2767" t="s">
        <v>29</v>
      </c>
      <c r="K2767" t="s">
        <v>48</v>
      </c>
      <c r="L2767" t="s">
        <v>49</v>
      </c>
      <c r="M2767" t="s">
        <v>140</v>
      </c>
      <c r="N2767">
        <v>9</v>
      </c>
      <c r="O2767">
        <v>2.8077879E-2</v>
      </c>
      <c r="P2767">
        <v>1.6088163999999999E-2</v>
      </c>
      <c r="Q2767" t="str">
        <f t="shared" si="86"/>
        <v>&lt;01</v>
      </c>
      <c r="R2767" t="str">
        <f t="shared" si="87"/>
        <v>[cPtvxaZqXIH]|&lt;01|Male|PLHIV_Attend.T_1|CY2024Q3</v>
      </c>
    </row>
    <row r="2768" spans="4:18" x14ac:dyDescent="0.2">
      <c r="D2768" t="s">
        <v>53</v>
      </c>
      <c r="E2768" t="s">
        <v>54</v>
      </c>
      <c r="F2768" t="s">
        <v>55</v>
      </c>
      <c r="G2768" t="s">
        <v>150</v>
      </c>
      <c r="H2768" t="s">
        <v>150</v>
      </c>
      <c r="I2768" t="s">
        <v>33</v>
      </c>
      <c r="J2768" t="s">
        <v>34</v>
      </c>
      <c r="K2768" t="s">
        <v>48</v>
      </c>
      <c r="L2768" t="s">
        <v>49</v>
      </c>
      <c r="M2768" t="s">
        <v>140</v>
      </c>
      <c r="N2768">
        <v>168</v>
      </c>
      <c r="O2768">
        <v>4.3191239999999999E-2</v>
      </c>
      <c r="P2768">
        <v>1.6088163999999999E-2</v>
      </c>
      <c r="Q2768" t="str">
        <f t="shared" si="86"/>
        <v>01-09</v>
      </c>
      <c r="R2768" t="str">
        <f t="shared" si="87"/>
        <v>[cPtvxaZqXIH]|01-09|Male|PLHIV_Attend.T_1|CY2024Q3</v>
      </c>
    </row>
    <row r="2769" spans="4:18" x14ac:dyDescent="0.2">
      <c r="D2769" t="s">
        <v>53</v>
      </c>
      <c r="E2769" t="s">
        <v>54</v>
      </c>
      <c r="F2769" t="s">
        <v>55</v>
      </c>
      <c r="G2769" t="s">
        <v>150</v>
      </c>
      <c r="H2769" t="s">
        <v>150</v>
      </c>
      <c r="I2769" t="s">
        <v>36</v>
      </c>
      <c r="J2769" t="s">
        <v>37</v>
      </c>
      <c r="K2769" t="s">
        <v>48</v>
      </c>
      <c r="L2769" t="s">
        <v>49</v>
      </c>
      <c r="M2769" t="s">
        <v>140</v>
      </c>
      <c r="N2769">
        <v>218</v>
      </c>
      <c r="O2769">
        <v>6.2260871000000002E-2</v>
      </c>
      <c r="P2769">
        <v>1.6088163999999999E-2</v>
      </c>
      <c r="Q2769" t="str">
        <f t="shared" si="86"/>
        <v>10-14</v>
      </c>
      <c r="R2769" t="str">
        <f t="shared" si="87"/>
        <v>[cPtvxaZqXIH]|10-14|Male|PLHIV_Attend.T_1|CY2024Q3</v>
      </c>
    </row>
    <row r="2770" spans="4:18" x14ac:dyDescent="0.2">
      <c r="D2770" t="s">
        <v>53</v>
      </c>
      <c r="E2770" t="s">
        <v>54</v>
      </c>
      <c r="F2770" t="s">
        <v>55</v>
      </c>
      <c r="G2770" t="s">
        <v>150</v>
      </c>
      <c r="H2770" t="s">
        <v>150</v>
      </c>
      <c r="I2770" t="s">
        <v>38</v>
      </c>
      <c r="J2770" t="s">
        <v>39</v>
      </c>
      <c r="K2770" t="s">
        <v>48</v>
      </c>
      <c r="L2770" t="s">
        <v>49</v>
      </c>
      <c r="M2770" t="s">
        <v>140</v>
      </c>
      <c r="N2770">
        <v>573</v>
      </c>
      <c r="O2770">
        <v>7.3807095000000003E-2</v>
      </c>
      <c r="P2770">
        <v>1.6088163999999999E-2</v>
      </c>
      <c r="Q2770" t="str">
        <f t="shared" si="86"/>
        <v>15-24</v>
      </c>
      <c r="R2770" t="str">
        <f t="shared" si="87"/>
        <v>[cPtvxaZqXIH]|15-24|Male|PLHIV_Attend.T_1|CY2024Q3</v>
      </c>
    </row>
    <row r="2771" spans="4:18" x14ac:dyDescent="0.2">
      <c r="D2771" t="s">
        <v>53</v>
      </c>
      <c r="E2771" t="s">
        <v>54</v>
      </c>
      <c r="F2771" t="s">
        <v>55</v>
      </c>
      <c r="G2771" t="s">
        <v>150</v>
      </c>
      <c r="H2771" t="s">
        <v>150</v>
      </c>
      <c r="I2771" t="s">
        <v>41</v>
      </c>
      <c r="J2771" t="s">
        <v>42</v>
      </c>
      <c r="K2771" t="s">
        <v>48</v>
      </c>
      <c r="L2771" t="s">
        <v>49</v>
      </c>
      <c r="M2771" t="s">
        <v>140</v>
      </c>
      <c r="N2771">
        <v>733</v>
      </c>
      <c r="O2771">
        <v>6.9800025000000002E-2</v>
      </c>
      <c r="P2771">
        <v>1.6088163999999999E-2</v>
      </c>
      <c r="Q2771" t="str">
        <f t="shared" si="86"/>
        <v>25-34</v>
      </c>
      <c r="R2771" t="str">
        <f t="shared" si="87"/>
        <v>[cPtvxaZqXIH]|25-34|Male|PLHIV_Attend.T_1|CY2024Q3</v>
      </c>
    </row>
    <row r="2772" spans="4:18" x14ac:dyDescent="0.2">
      <c r="D2772" t="s">
        <v>53</v>
      </c>
      <c r="E2772" t="s">
        <v>54</v>
      </c>
      <c r="F2772" t="s">
        <v>55</v>
      </c>
      <c r="G2772" t="s">
        <v>150</v>
      </c>
      <c r="H2772" t="s">
        <v>150</v>
      </c>
      <c r="I2772" t="s">
        <v>43</v>
      </c>
      <c r="J2772" t="s">
        <v>44</v>
      </c>
      <c r="K2772" t="s">
        <v>48</v>
      </c>
      <c r="L2772" t="s">
        <v>49</v>
      </c>
      <c r="M2772" t="s">
        <v>140</v>
      </c>
      <c r="N2772">
        <v>2801</v>
      </c>
      <c r="O2772">
        <v>3.5014786999999999E-2</v>
      </c>
      <c r="P2772">
        <v>1.6088163999999999E-2</v>
      </c>
      <c r="Q2772" t="str">
        <f t="shared" si="86"/>
        <v>35-49</v>
      </c>
      <c r="R2772" t="str">
        <f t="shared" si="87"/>
        <v>[cPtvxaZqXIH]|35-49|Male|PLHIV_Attend.T_1|CY2024Q3</v>
      </c>
    </row>
    <row r="2773" spans="4:18" x14ac:dyDescent="0.2">
      <c r="D2773" t="s">
        <v>53</v>
      </c>
      <c r="E2773" t="s">
        <v>54</v>
      </c>
      <c r="F2773" t="s">
        <v>55</v>
      </c>
      <c r="G2773" t="s">
        <v>150</v>
      </c>
      <c r="H2773" t="s">
        <v>150</v>
      </c>
      <c r="I2773" t="s">
        <v>45</v>
      </c>
      <c r="J2773" t="s">
        <v>46</v>
      </c>
      <c r="K2773" t="s">
        <v>48</v>
      </c>
      <c r="L2773" t="s">
        <v>49</v>
      </c>
      <c r="M2773" t="s">
        <v>140</v>
      </c>
      <c r="N2773">
        <v>1996</v>
      </c>
      <c r="O2773">
        <v>3.7941170000000003E-2</v>
      </c>
      <c r="P2773">
        <v>1.6088163999999999E-2</v>
      </c>
      <c r="Q2773" t="str">
        <f t="shared" si="86"/>
        <v>50+</v>
      </c>
      <c r="R2773" t="str">
        <f t="shared" si="87"/>
        <v>[cPtvxaZqXIH]|50+|Male|PLHIV_Attend.T_1|CY2024Q3</v>
      </c>
    </row>
    <row r="2774" spans="4:18" x14ac:dyDescent="0.2">
      <c r="D2774" t="s">
        <v>60</v>
      </c>
      <c r="E2774" t="s">
        <v>61</v>
      </c>
      <c r="F2774" t="s">
        <v>62</v>
      </c>
      <c r="G2774" t="s">
        <v>150</v>
      </c>
      <c r="H2774" t="s">
        <v>150</v>
      </c>
      <c r="I2774" t="s">
        <v>28</v>
      </c>
      <c r="J2774" t="s">
        <v>29</v>
      </c>
      <c r="K2774" t="s">
        <v>30</v>
      </c>
      <c r="L2774" t="s">
        <v>31</v>
      </c>
      <c r="M2774" t="s">
        <v>140</v>
      </c>
      <c r="N2774">
        <v>6</v>
      </c>
      <c r="O2774">
        <v>3.1034094000000002E-2</v>
      </c>
      <c r="P2774">
        <v>2.4150653000000001E-2</v>
      </c>
      <c r="Q2774" t="str">
        <f t="shared" si="86"/>
        <v>&lt;01</v>
      </c>
      <c r="R2774" t="str">
        <f t="shared" si="87"/>
        <v>[E7zpfyBt7Tw]|&lt;01|Female|PLHIV_Attend.T_1|CY2024Q3</v>
      </c>
    </row>
    <row r="2775" spans="4:18" x14ac:dyDescent="0.2">
      <c r="D2775" t="s">
        <v>60</v>
      </c>
      <c r="E2775" t="s">
        <v>61</v>
      </c>
      <c r="F2775" t="s">
        <v>62</v>
      </c>
      <c r="G2775" t="s">
        <v>150</v>
      </c>
      <c r="H2775" t="s">
        <v>150</v>
      </c>
      <c r="I2775" t="s">
        <v>33</v>
      </c>
      <c r="J2775" t="s">
        <v>34</v>
      </c>
      <c r="K2775" t="s">
        <v>30</v>
      </c>
      <c r="L2775" t="s">
        <v>31</v>
      </c>
      <c r="M2775" t="s">
        <v>140</v>
      </c>
      <c r="N2775">
        <v>121</v>
      </c>
      <c r="O2775">
        <v>3.9132304E-2</v>
      </c>
      <c r="P2775">
        <v>2.4150653000000001E-2</v>
      </c>
      <c r="Q2775" t="str">
        <f t="shared" si="86"/>
        <v>01-09</v>
      </c>
      <c r="R2775" t="str">
        <f t="shared" si="87"/>
        <v>[E7zpfyBt7Tw]|01-09|Female|PLHIV_Attend.T_1|CY2024Q3</v>
      </c>
    </row>
    <row r="2776" spans="4:18" x14ac:dyDescent="0.2">
      <c r="D2776" t="s">
        <v>60</v>
      </c>
      <c r="E2776" t="s">
        <v>61</v>
      </c>
      <c r="F2776" t="s">
        <v>62</v>
      </c>
      <c r="G2776" t="s">
        <v>150</v>
      </c>
      <c r="H2776" t="s">
        <v>150</v>
      </c>
      <c r="I2776" t="s">
        <v>36</v>
      </c>
      <c r="J2776" t="s">
        <v>37</v>
      </c>
      <c r="K2776" t="s">
        <v>30</v>
      </c>
      <c r="L2776" t="s">
        <v>31</v>
      </c>
      <c r="M2776" t="s">
        <v>140</v>
      </c>
      <c r="N2776">
        <v>161</v>
      </c>
      <c r="O2776">
        <v>4.9463761000000002E-2</v>
      </c>
      <c r="P2776">
        <v>2.4150653000000001E-2</v>
      </c>
      <c r="Q2776" t="str">
        <f t="shared" si="86"/>
        <v>10-14</v>
      </c>
      <c r="R2776" t="str">
        <f t="shared" si="87"/>
        <v>[E7zpfyBt7Tw]|10-14|Female|PLHIV_Attend.T_1|CY2024Q3</v>
      </c>
    </row>
    <row r="2777" spans="4:18" x14ac:dyDescent="0.2">
      <c r="D2777" t="s">
        <v>60</v>
      </c>
      <c r="E2777" t="s">
        <v>61</v>
      </c>
      <c r="F2777" t="s">
        <v>62</v>
      </c>
      <c r="G2777" t="s">
        <v>150</v>
      </c>
      <c r="H2777" t="s">
        <v>150</v>
      </c>
      <c r="I2777" t="s">
        <v>38</v>
      </c>
      <c r="J2777" t="s">
        <v>39</v>
      </c>
      <c r="K2777" t="s">
        <v>30</v>
      </c>
      <c r="L2777" t="s">
        <v>31</v>
      </c>
      <c r="M2777" t="s">
        <v>140</v>
      </c>
      <c r="N2777">
        <v>590</v>
      </c>
      <c r="O2777">
        <v>6.2603469999999994E-2</v>
      </c>
      <c r="P2777">
        <v>2.4150653000000001E-2</v>
      </c>
      <c r="Q2777" t="str">
        <f t="shared" si="86"/>
        <v>15-24</v>
      </c>
      <c r="R2777" t="str">
        <f t="shared" si="87"/>
        <v>[E7zpfyBt7Tw]|15-24|Female|PLHIV_Attend.T_1|CY2024Q3</v>
      </c>
    </row>
    <row r="2778" spans="4:18" x14ac:dyDescent="0.2">
      <c r="D2778" t="s">
        <v>60</v>
      </c>
      <c r="E2778" t="s">
        <v>61</v>
      </c>
      <c r="F2778" t="s">
        <v>62</v>
      </c>
      <c r="G2778" t="s">
        <v>150</v>
      </c>
      <c r="H2778" t="s">
        <v>150</v>
      </c>
      <c r="I2778" t="s">
        <v>41</v>
      </c>
      <c r="J2778" t="s">
        <v>42</v>
      </c>
      <c r="K2778" t="s">
        <v>30</v>
      </c>
      <c r="L2778" t="s">
        <v>31</v>
      </c>
      <c r="M2778" t="s">
        <v>140</v>
      </c>
      <c r="N2778">
        <v>1341</v>
      </c>
      <c r="O2778">
        <v>4.4210366000000001E-2</v>
      </c>
      <c r="P2778">
        <v>2.4150653000000001E-2</v>
      </c>
      <c r="Q2778" t="str">
        <f t="shared" si="86"/>
        <v>25-34</v>
      </c>
      <c r="R2778" t="str">
        <f t="shared" si="87"/>
        <v>[E7zpfyBt7Tw]|25-34|Female|PLHIV_Attend.T_1|CY2024Q3</v>
      </c>
    </row>
    <row r="2779" spans="4:18" x14ac:dyDescent="0.2">
      <c r="D2779" t="s">
        <v>60</v>
      </c>
      <c r="E2779" t="s">
        <v>61</v>
      </c>
      <c r="F2779" t="s">
        <v>62</v>
      </c>
      <c r="G2779" t="s">
        <v>150</v>
      </c>
      <c r="H2779" t="s">
        <v>150</v>
      </c>
      <c r="I2779" t="s">
        <v>43</v>
      </c>
      <c r="J2779" t="s">
        <v>44</v>
      </c>
      <c r="K2779" t="s">
        <v>30</v>
      </c>
      <c r="L2779" t="s">
        <v>31</v>
      </c>
      <c r="M2779" t="s">
        <v>140</v>
      </c>
      <c r="N2779">
        <v>3395</v>
      </c>
      <c r="O2779">
        <v>3.1671386000000003E-2</v>
      </c>
      <c r="P2779">
        <v>2.4150653000000001E-2</v>
      </c>
      <c r="Q2779" t="str">
        <f t="shared" si="86"/>
        <v>35-49</v>
      </c>
      <c r="R2779" t="str">
        <f t="shared" si="87"/>
        <v>[E7zpfyBt7Tw]|35-49|Female|PLHIV_Attend.T_1|CY2024Q3</v>
      </c>
    </row>
    <row r="2780" spans="4:18" x14ac:dyDescent="0.2">
      <c r="D2780" t="s">
        <v>60</v>
      </c>
      <c r="E2780" t="s">
        <v>61</v>
      </c>
      <c r="F2780" t="s">
        <v>62</v>
      </c>
      <c r="G2780" t="s">
        <v>150</v>
      </c>
      <c r="H2780" t="s">
        <v>150</v>
      </c>
      <c r="I2780" t="s">
        <v>45</v>
      </c>
      <c r="J2780" t="s">
        <v>46</v>
      </c>
      <c r="K2780" t="s">
        <v>30</v>
      </c>
      <c r="L2780" t="s">
        <v>31</v>
      </c>
      <c r="M2780" t="s">
        <v>140</v>
      </c>
      <c r="N2780">
        <v>1794</v>
      </c>
      <c r="O2780">
        <v>4.2027681999999997E-2</v>
      </c>
      <c r="P2780">
        <v>2.4150653000000001E-2</v>
      </c>
      <c r="Q2780" t="str">
        <f t="shared" si="86"/>
        <v>50+</v>
      </c>
      <c r="R2780" t="str">
        <f t="shared" si="87"/>
        <v>[E7zpfyBt7Tw]|50+|Female|PLHIV_Attend.T_1|CY2024Q3</v>
      </c>
    </row>
    <row r="2781" spans="4:18" x14ac:dyDescent="0.2">
      <c r="D2781" t="s">
        <v>60</v>
      </c>
      <c r="E2781" t="s">
        <v>61</v>
      </c>
      <c r="F2781" t="s">
        <v>62</v>
      </c>
      <c r="G2781" t="s">
        <v>150</v>
      </c>
      <c r="H2781" t="s">
        <v>150</v>
      </c>
      <c r="I2781" t="s">
        <v>28</v>
      </c>
      <c r="J2781" t="s">
        <v>29</v>
      </c>
      <c r="K2781" t="s">
        <v>48</v>
      </c>
      <c r="L2781" t="s">
        <v>49</v>
      </c>
      <c r="M2781" t="s">
        <v>140</v>
      </c>
      <c r="N2781">
        <v>6</v>
      </c>
      <c r="O2781">
        <v>3.1119879E-2</v>
      </c>
      <c r="P2781">
        <v>2.4150653000000001E-2</v>
      </c>
      <c r="Q2781" t="str">
        <f t="shared" si="86"/>
        <v>&lt;01</v>
      </c>
      <c r="R2781" t="str">
        <f t="shared" si="87"/>
        <v>[E7zpfyBt7Tw]|&lt;01|Male|PLHIV_Attend.T_1|CY2024Q3</v>
      </c>
    </row>
    <row r="2782" spans="4:18" x14ac:dyDescent="0.2">
      <c r="D2782" t="s">
        <v>60</v>
      </c>
      <c r="E2782" t="s">
        <v>61</v>
      </c>
      <c r="F2782" t="s">
        <v>62</v>
      </c>
      <c r="G2782" t="s">
        <v>150</v>
      </c>
      <c r="H2782" t="s">
        <v>150</v>
      </c>
      <c r="I2782" t="s">
        <v>33</v>
      </c>
      <c r="J2782" t="s">
        <v>34</v>
      </c>
      <c r="K2782" t="s">
        <v>48</v>
      </c>
      <c r="L2782" t="s">
        <v>49</v>
      </c>
      <c r="M2782" t="s">
        <v>140</v>
      </c>
      <c r="N2782">
        <v>123</v>
      </c>
      <c r="O2782">
        <v>3.9183398000000001E-2</v>
      </c>
      <c r="P2782">
        <v>2.4150653000000001E-2</v>
      </c>
      <c r="Q2782" t="str">
        <f t="shared" si="86"/>
        <v>01-09</v>
      </c>
      <c r="R2782" t="str">
        <f t="shared" si="87"/>
        <v>[E7zpfyBt7Tw]|01-09|Male|PLHIV_Attend.T_1|CY2024Q3</v>
      </c>
    </row>
    <row r="2783" spans="4:18" x14ac:dyDescent="0.2">
      <c r="D2783" t="s">
        <v>60</v>
      </c>
      <c r="E2783" t="s">
        <v>61</v>
      </c>
      <c r="F2783" t="s">
        <v>62</v>
      </c>
      <c r="G2783" t="s">
        <v>150</v>
      </c>
      <c r="H2783" t="s">
        <v>150</v>
      </c>
      <c r="I2783" t="s">
        <v>36</v>
      </c>
      <c r="J2783" t="s">
        <v>37</v>
      </c>
      <c r="K2783" t="s">
        <v>48</v>
      </c>
      <c r="L2783" t="s">
        <v>49</v>
      </c>
      <c r="M2783" t="s">
        <v>140</v>
      </c>
      <c r="N2783">
        <v>160</v>
      </c>
      <c r="O2783">
        <v>4.9481420999999998E-2</v>
      </c>
      <c r="P2783">
        <v>2.4150653000000001E-2</v>
      </c>
      <c r="Q2783" t="str">
        <f t="shared" si="86"/>
        <v>10-14</v>
      </c>
      <c r="R2783" t="str">
        <f t="shared" si="87"/>
        <v>[E7zpfyBt7Tw]|10-14|Male|PLHIV_Attend.T_1|CY2024Q3</v>
      </c>
    </row>
    <row r="2784" spans="4:18" x14ac:dyDescent="0.2">
      <c r="D2784" t="s">
        <v>60</v>
      </c>
      <c r="E2784" t="s">
        <v>61</v>
      </c>
      <c r="F2784" t="s">
        <v>62</v>
      </c>
      <c r="G2784" t="s">
        <v>150</v>
      </c>
      <c r="H2784" t="s">
        <v>150</v>
      </c>
      <c r="I2784" t="s">
        <v>38</v>
      </c>
      <c r="J2784" t="s">
        <v>39</v>
      </c>
      <c r="K2784" t="s">
        <v>48</v>
      </c>
      <c r="L2784" t="s">
        <v>49</v>
      </c>
      <c r="M2784" t="s">
        <v>140</v>
      </c>
      <c r="N2784">
        <v>465</v>
      </c>
      <c r="O2784">
        <v>7.7174142000000001E-2</v>
      </c>
      <c r="P2784">
        <v>2.4150653000000001E-2</v>
      </c>
      <c r="Q2784" t="str">
        <f t="shared" si="86"/>
        <v>15-24</v>
      </c>
      <c r="R2784" t="str">
        <f t="shared" si="87"/>
        <v>[E7zpfyBt7Tw]|15-24|Male|PLHIV_Attend.T_1|CY2024Q3</v>
      </c>
    </row>
    <row r="2785" spans="4:18" x14ac:dyDescent="0.2">
      <c r="D2785" t="s">
        <v>60</v>
      </c>
      <c r="E2785" t="s">
        <v>61</v>
      </c>
      <c r="F2785" t="s">
        <v>62</v>
      </c>
      <c r="G2785" t="s">
        <v>150</v>
      </c>
      <c r="H2785" t="s">
        <v>150</v>
      </c>
      <c r="I2785" t="s">
        <v>41</v>
      </c>
      <c r="J2785" t="s">
        <v>42</v>
      </c>
      <c r="K2785" t="s">
        <v>48</v>
      </c>
      <c r="L2785" t="s">
        <v>49</v>
      </c>
      <c r="M2785" t="s">
        <v>140</v>
      </c>
      <c r="N2785">
        <v>585</v>
      </c>
      <c r="O2785">
        <v>7.2922094000000007E-2</v>
      </c>
      <c r="P2785">
        <v>2.4150653000000001E-2</v>
      </c>
      <c r="Q2785" t="str">
        <f t="shared" si="86"/>
        <v>25-34</v>
      </c>
      <c r="R2785" t="str">
        <f t="shared" si="87"/>
        <v>[E7zpfyBt7Tw]|25-34|Male|PLHIV_Attend.T_1|CY2024Q3</v>
      </c>
    </row>
    <row r="2786" spans="4:18" x14ac:dyDescent="0.2">
      <c r="D2786" t="s">
        <v>60</v>
      </c>
      <c r="E2786" t="s">
        <v>61</v>
      </c>
      <c r="F2786" t="s">
        <v>62</v>
      </c>
      <c r="G2786" t="s">
        <v>150</v>
      </c>
      <c r="H2786" t="s">
        <v>150</v>
      </c>
      <c r="I2786" t="s">
        <v>43</v>
      </c>
      <c r="J2786" t="s">
        <v>44</v>
      </c>
      <c r="K2786" t="s">
        <v>48</v>
      </c>
      <c r="L2786" t="s">
        <v>49</v>
      </c>
      <c r="M2786" t="s">
        <v>140</v>
      </c>
      <c r="N2786">
        <v>2136</v>
      </c>
      <c r="O2786">
        <v>4.0986749000000003E-2</v>
      </c>
      <c r="P2786">
        <v>2.4150653000000001E-2</v>
      </c>
      <c r="Q2786" t="str">
        <f t="shared" si="86"/>
        <v>35-49</v>
      </c>
      <c r="R2786" t="str">
        <f t="shared" si="87"/>
        <v>[E7zpfyBt7Tw]|35-49|Male|PLHIV_Attend.T_1|CY2024Q3</v>
      </c>
    </row>
    <row r="2787" spans="4:18" x14ac:dyDescent="0.2">
      <c r="D2787" t="s">
        <v>60</v>
      </c>
      <c r="E2787" t="s">
        <v>61</v>
      </c>
      <c r="F2787" t="s">
        <v>62</v>
      </c>
      <c r="G2787" t="s">
        <v>150</v>
      </c>
      <c r="H2787" t="s">
        <v>150</v>
      </c>
      <c r="I2787" t="s">
        <v>45</v>
      </c>
      <c r="J2787" t="s">
        <v>46</v>
      </c>
      <c r="K2787" t="s">
        <v>48</v>
      </c>
      <c r="L2787" t="s">
        <v>49</v>
      </c>
      <c r="M2787" t="s">
        <v>140</v>
      </c>
      <c r="N2787">
        <v>1712</v>
      </c>
      <c r="O2787">
        <v>4.1299355000000003E-2</v>
      </c>
      <c r="P2787">
        <v>2.4150653000000001E-2</v>
      </c>
      <c r="Q2787" t="str">
        <f t="shared" si="86"/>
        <v>50+</v>
      </c>
      <c r="R2787" t="str">
        <f t="shared" si="87"/>
        <v>[E7zpfyBt7Tw]|50+|Male|PLHIV_Attend.T_1|CY2024Q3</v>
      </c>
    </row>
    <row r="2788" spans="4:18" x14ac:dyDescent="0.2">
      <c r="D2788" t="s">
        <v>63</v>
      </c>
      <c r="E2788" t="s">
        <v>64</v>
      </c>
      <c r="F2788" t="s">
        <v>65</v>
      </c>
      <c r="G2788" t="s">
        <v>150</v>
      </c>
      <c r="H2788" t="s">
        <v>150</v>
      </c>
      <c r="I2788" t="s">
        <v>28</v>
      </c>
      <c r="J2788" t="s">
        <v>29</v>
      </c>
      <c r="K2788" t="s">
        <v>30</v>
      </c>
      <c r="L2788" t="s">
        <v>31</v>
      </c>
      <c r="M2788" t="s">
        <v>140</v>
      </c>
      <c r="N2788">
        <v>5</v>
      </c>
      <c r="O2788">
        <v>3.0315807E-2</v>
      </c>
      <c r="P2788">
        <v>2.2258251E-2</v>
      </c>
      <c r="Q2788" t="str">
        <f t="shared" si="86"/>
        <v>&lt;01</v>
      </c>
      <c r="R2788" t="str">
        <f t="shared" si="87"/>
        <v>[lPTyjLi4w3d]|&lt;01|Female|PLHIV_Attend.T_1|CY2024Q3</v>
      </c>
    </row>
    <row r="2789" spans="4:18" x14ac:dyDescent="0.2">
      <c r="D2789" t="s">
        <v>63</v>
      </c>
      <c r="E2789" t="s">
        <v>64</v>
      </c>
      <c r="F2789" t="s">
        <v>65</v>
      </c>
      <c r="G2789" t="s">
        <v>150</v>
      </c>
      <c r="H2789" t="s">
        <v>150</v>
      </c>
      <c r="I2789" t="s">
        <v>33</v>
      </c>
      <c r="J2789" t="s">
        <v>34</v>
      </c>
      <c r="K2789" t="s">
        <v>30</v>
      </c>
      <c r="L2789" t="s">
        <v>31</v>
      </c>
      <c r="M2789" t="s">
        <v>140</v>
      </c>
      <c r="N2789">
        <v>93</v>
      </c>
      <c r="O2789">
        <v>3.9253352999999998E-2</v>
      </c>
      <c r="P2789">
        <v>2.2258251E-2</v>
      </c>
      <c r="Q2789" t="str">
        <f t="shared" si="86"/>
        <v>01-09</v>
      </c>
      <c r="R2789" t="str">
        <f t="shared" si="87"/>
        <v>[lPTyjLi4w3d]|01-09|Female|PLHIV_Attend.T_1|CY2024Q3</v>
      </c>
    </row>
    <row r="2790" spans="4:18" x14ac:dyDescent="0.2">
      <c r="D2790" t="s">
        <v>63</v>
      </c>
      <c r="E2790" t="s">
        <v>64</v>
      </c>
      <c r="F2790" t="s">
        <v>65</v>
      </c>
      <c r="G2790" t="s">
        <v>150</v>
      </c>
      <c r="H2790" t="s">
        <v>150</v>
      </c>
      <c r="I2790" t="s">
        <v>36</v>
      </c>
      <c r="J2790" t="s">
        <v>37</v>
      </c>
      <c r="K2790" t="s">
        <v>30</v>
      </c>
      <c r="L2790" t="s">
        <v>31</v>
      </c>
      <c r="M2790" t="s">
        <v>140</v>
      </c>
      <c r="N2790">
        <v>121</v>
      </c>
      <c r="O2790">
        <v>5.0946931000000001E-2</v>
      </c>
      <c r="P2790">
        <v>2.2258251E-2</v>
      </c>
      <c r="Q2790" t="str">
        <f t="shared" si="86"/>
        <v>10-14</v>
      </c>
      <c r="R2790" t="str">
        <f t="shared" si="87"/>
        <v>[lPTyjLi4w3d]|10-14|Female|PLHIV_Attend.T_1|CY2024Q3</v>
      </c>
    </row>
    <row r="2791" spans="4:18" x14ac:dyDescent="0.2">
      <c r="D2791" t="s">
        <v>63</v>
      </c>
      <c r="E2791" t="s">
        <v>64</v>
      </c>
      <c r="F2791" t="s">
        <v>65</v>
      </c>
      <c r="G2791" t="s">
        <v>150</v>
      </c>
      <c r="H2791" t="s">
        <v>150</v>
      </c>
      <c r="I2791" t="s">
        <v>38</v>
      </c>
      <c r="J2791" t="s">
        <v>39</v>
      </c>
      <c r="K2791" t="s">
        <v>30</v>
      </c>
      <c r="L2791" t="s">
        <v>31</v>
      </c>
      <c r="M2791" t="s">
        <v>140</v>
      </c>
      <c r="N2791">
        <v>420</v>
      </c>
      <c r="O2791">
        <v>6.3706958999999994E-2</v>
      </c>
      <c r="P2791">
        <v>2.2258251E-2</v>
      </c>
      <c r="Q2791" t="str">
        <f t="shared" si="86"/>
        <v>15-24</v>
      </c>
      <c r="R2791" t="str">
        <f t="shared" si="87"/>
        <v>[lPTyjLi4w3d]|15-24|Female|PLHIV_Attend.T_1|CY2024Q3</v>
      </c>
    </row>
    <row r="2792" spans="4:18" x14ac:dyDescent="0.2">
      <c r="D2792" t="s">
        <v>63</v>
      </c>
      <c r="E2792" t="s">
        <v>64</v>
      </c>
      <c r="F2792" t="s">
        <v>65</v>
      </c>
      <c r="G2792" t="s">
        <v>150</v>
      </c>
      <c r="H2792" t="s">
        <v>150</v>
      </c>
      <c r="I2792" t="s">
        <v>41</v>
      </c>
      <c r="J2792" t="s">
        <v>42</v>
      </c>
      <c r="K2792" t="s">
        <v>30</v>
      </c>
      <c r="L2792" t="s">
        <v>31</v>
      </c>
      <c r="M2792" t="s">
        <v>140</v>
      </c>
      <c r="N2792">
        <v>1024</v>
      </c>
      <c r="O2792">
        <v>4.4065752E-2</v>
      </c>
      <c r="P2792">
        <v>2.2258251E-2</v>
      </c>
      <c r="Q2792" t="str">
        <f t="shared" si="86"/>
        <v>25-34</v>
      </c>
      <c r="R2792" t="str">
        <f t="shared" si="87"/>
        <v>[lPTyjLi4w3d]|25-34|Female|PLHIV_Attend.T_1|CY2024Q3</v>
      </c>
    </row>
    <row r="2793" spans="4:18" x14ac:dyDescent="0.2">
      <c r="D2793" t="s">
        <v>63</v>
      </c>
      <c r="E2793" t="s">
        <v>64</v>
      </c>
      <c r="F2793" t="s">
        <v>65</v>
      </c>
      <c r="G2793" t="s">
        <v>150</v>
      </c>
      <c r="H2793" t="s">
        <v>150</v>
      </c>
      <c r="I2793" t="s">
        <v>43</v>
      </c>
      <c r="J2793" t="s">
        <v>44</v>
      </c>
      <c r="K2793" t="s">
        <v>30</v>
      </c>
      <c r="L2793" t="s">
        <v>31</v>
      </c>
      <c r="M2793" t="s">
        <v>140</v>
      </c>
      <c r="N2793">
        <v>2695</v>
      </c>
      <c r="O2793">
        <v>2.8998309E-2</v>
      </c>
      <c r="P2793">
        <v>2.2258251E-2</v>
      </c>
      <c r="Q2793" t="str">
        <f t="shared" si="86"/>
        <v>35-49</v>
      </c>
      <c r="R2793" t="str">
        <f t="shared" si="87"/>
        <v>[lPTyjLi4w3d]|35-49|Female|PLHIV_Attend.T_1|CY2024Q3</v>
      </c>
    </row>
    <row r="2794" spans="4:18" x14ac:dyDescent="0.2">
      <c r="D2794" t="s">
        <v>63</v>
      </c>
      <c r="E2794" t="s">
        <v>64</v>
      </c>
      <c r="F2794" t="s">
        <v>65</v>
      </c>
      <c r="G2794" t="s">
        <v>150</v>
      </c>
      <c r="H2794" t="s">
        <v>150</v>
      </c>
      <c r="I2794" t="s">
        <v>45</v>
      </c>
      <c r="J2794" t="s">
        <v>46</v>
      </c>
      <c r="K2794" t="s">
        <v>30</v>
      </c>
      <c r="L2794" t="s">
        <v>31</v>
      </c>
      <c r="M2794" t="s">
        <v>140</v>
      </c>
      <c r="N2794">
        <v>1292</v>
      </c>
      <c r="O2794">
        <v>4.3187985999999998E-2</v>
      </c>
      <c r="P2794">
        <v>2.2258251E-2</v>
      </c>
      <c r="Q2794" t="str">
        <f t="shared" si="86"/>
        <v>50+</v>
      </c>
      <c r="R2794" t="str">
        <f t="shared" si="87"/>
        <v>[lPTyjLi4w3d]|50+|Female|PLHIV_Attend.T_1|CY2024Q3</v>
      </c>
    </row>
    <row r="2795" spans="4:18" x14ac:dyDescent="0.2">
      <c r="D2795" t="s">
        <v>63</v>
      </c>
      <c r="E2795" t="s">
        <v>64</v>
      </c>
      <c r="F2795" t="s">
        <v>65</v>
      </c>
      <c r="G2795" t="s">
        <v>150</v>
      </c>
      <c r="H2795" t="s">
        <v>150</v>
      </c>
      <c r="I2795" t="s">
        <v>28</v>
      </c>
      <c r="J2795" t="s">
        <v>29</v>
      </c>
      <c r="K2795" t="s">
        <v>48</v>
      </c>
      <c r="L2795" t="s">
        <v>49</v>
      </c>
      <c r="M2795" t="s">
        <v>140</v>
      </c>
      <c r="N2795">
        <v>5</v>
      </c>
      <c r="O2795">
        <v>3.0392300000000001E-2</v>
      </c>
      <c r="P2795">
        <v>2.2258251E-2</v>
      </c>
      <c r="Q2795" t="str">
        <f t="shared" si="86"/>
        <v>&lt;01</v>
      </c>
      <c r="R2795" t="str">
        <f t="shared" si="87"/>
        <v>[lPTyjLi4w3d]|&lt;01|Male|PLHIV_Attend.T_1|CY2024Q3</v>
      </c>
    </row>
    <row r="2796" spans="4:18" x14ac:dyDescent="0.2">
      <c r="D2796" t="s">
        <v>63</v>
      </c>
      <c r="E2796" t="s">
        <v>64</v>
      </c>
      <c r="F2796" t="s">
        <v>65</v>
      </c>
      <c r="G2796" t="s">
        <v>150</v>
      </c>
      <c r="H2796" t="s">
        <v>150</v>
      </c>
      <c r="I2796" t="s">
        <v>33</v>
      </c>
      <c r="J2796" t="s">
        <v>34</v>
      </c>
      <c r="K2796" t="s">
        <v>48</v>
      </c>
      <c r="L2796" t="s">
        <v>49</v>
      </c>
      <c r="M2796" t="s">
        <v>140</v>
      </c>
      <c r="N2796">
        <v>93</v>
      </c>
      <c r="O2796">
        <v>3.9342987000000003E-2</v>
      </c>
      <c r="P2796">
        <v>2.2258251E-2</v>
      </c>
      <c r="Q2796" t="str">
        <f t="shared" si="86"/>
        <v>01-09</v>
      </c>
      <c r="R2796" t="str">
        <f t="shared" si="87"/>
        <v>[lPTyjLi4w3d]|01-09|Male|PLHIV_Attend.T_1|CY2024Q3</v>
      </c>
    </row>
    <row r="2797" spans="4:18" x14ac:dyDescent="0.2">
      <c r="D2797" t="s">
        <v>63</v>
      </c>
      <c r="E2797" t="s">
        <v>64</v>
      </c>
      <c r="F2797" t="s">
        <v>65</v>
      </c>
      <c r="G2797" t="s">
        <v>150</v>
      </c>
      <c r="H2797" t="s">
        <v>150</v>
      </c>
      <c r="I2797" t="s">
        <v>36</v>
      </c>
      <c r="J2797" t="s">
        <v>37</v>
      </c>
      <c r="K2797" t="s">
        <v>48</v>
      </c>
      <c r="L2797" t="s">
        <v>49</v>
      </c>
      <c r="M2797" t="s">
        <v>140</v>
      </c>
      <c r="N2797">
        <v>119</v>
      </c>
      <c r="O2797">
        <v>5.0916163E-2</v>
      </c>
      <c r="P2797">
        <v>2.2258251E-2</v>
      </c>
      <c r="Q2797" t="str">
        <f t="shared" si="86"/>
        <v>10-14</v>
      </c>
      <c r="R2797" t="str">
        <f t="shared" si="87"/>
        <v>[lPTyjLi4w3d]|10-14|Male|PLHIV_Attend.T_1|CY2024Q3</v>
      </c>
    </row>
    <row r="2798" spans="4:18" x14ac:dyDescent="0.2">
      <c r="D2798" t="s">
        <v>63</v>
      </c>
      <c r="E2798" t="s">
        <v>64</v>
      </c>
      <c r="F2798" t="s">
        <v>65</v>
      </c>
      <c r="G2798" t="s">
        <v>150</v>
      </c>
      <c r="H2798" t="s">
        <v>150</v>
      </c>
      <c r="I2798" t="s">
        <v>38</v>
      </c>
      <c r="J2798" t="s">
        <v>39</v>
      </c>
      <c r="K2798" t="s">
        <v>48</v>
      </c>
      <c r="L2798" t="s">
        <v>49</v>
      </c>
      <c r="M2798" t="s">
        <v>140</v>
      </c>
      <c r="N2798">
        <v>323</v>
      </c>
      <c r="O2798">
        <v>7.5927640000000005E-2</v>
      </c>
      <c r="P2798">
        <v>2.2258251E-2</v>
      </c>
      <c r="Q2798" t="str">
        <f t="shared" si="86"/>
        <v>15-24</v>
      </c>
      <c r="R2798" t="str">
        <f t="shared" si="87"/>
        <v>[lPTyjLi4w3d]|15-24|Male|PLHIV_Attend.T_1|CY2024Q3</v>
      </c>
    </row>
    <row r="2799" spans="4:18" x14ac:dyDescent="0.2">
      <c r="D2799" t="s">
        <v>63</v>
      </c>
      <c r="E2799" t="s">
        <v>64</v>
      </c>
      <c r="F2799" t="s">
        <v>65</v>
      </c>
      <c r="G2799" t="s">
        <v>150</v>
      </c>
      <c r="H2799" t="s">
        <v>150</v>
      </c>
      <c r="I2799" t="s">
        <v>41</v>
      </c>
      <c r="J2799" t="s">
        <v>42</v>
      </c>
      <c r="K2799" t="s">
        <v>48</v>
      </c>
      <c r="L2799" t="s">
        <v>49</v>
      </c>
      <c r="M2799" t="s">
        <v>140</v>
      </c>
      <c r="N2799">
        <v>433</v>
      </c>
      <c r="O2799">
        <v>7.3021174999999994E-2</v>
      </c>
      <c r="P2799">
        <v>2.2258251E-2</v>
      </c>
      <c r="Q2799" t="str">
        <f t="shared" si="86"/>
        <v>25-34</v>
      </c>
      <c r="R2799" t="str">
        <f t="shared" si="87"/>
        <v>[lPTyjLi4w3d]|25-34|Male|PLHIV_Attend.T_1|CY2024Q3</v>
      </c>
    </row>
    <row r="2800" spans="4:18" x14ac:dyDescent="0.2">
      <c r="D2800" t="s">
        <v>63</v>
      </c>
      <c r="E2800" t="s">
        <v>64</v>
      </c>
      <c r="F2800" t="s">
        <v>65</v>
      </c>
      <c r="G2800" t="s">
        <v>150</v>
      </c>
      <c r="H2800" t="s">
        <v>150</v>
      </c>
      <c r="I2800" t="s">
        <v>43</v>
      </c>
      <c r="J2800" t="s">
        <v>44</v>
      </c>
      <c r="K2800" t="s">
        <v>48</v>
      </c>
      <c r="L2800" t="s">
        <v>49</v>
      </c>
      <c r="M2800" t="s">
        <v>140</v>
      </c>
      <c r="N2800">
        <v>1705</v>
      </c>
      <c r="O2800">
        <v>3.8287376999999997E-2</v>
      </c>
      <c r="P2800">
        <v>2.2258251E-2</v>
      </c>
      <c r="Q2800" t="str">
        <f t="shared" si="86"/>
        <v>35-49</v>
      </c>
      <c r="R2800" t="str">
        <f t="shared" si="87"/>
        <v>[lPTyjLi4w3d]|35-49|Male|PLHIV_Attend.T_1|CY2024Q3</v>
      </c>
    </row>
    <row r="2801" spans="4:18" x14ac:dyDescent="0.2">
      <c r="D2801" t="s">
        <v>63</v>
      </c>
      <c r="E2801" t="s">
        <v>64</v>
      </c>
      <c r="F2801" t="s">
        <v>65</v>
      </c>
      <c r="G2801" t="s">
        <v>150</v>
      </c>
      <c r="H2801" t="s">
        <v>150</v>
      </c>
      <c r="I2801" t="s">
        <v>45</v>
      </c>
      <c r="J2801" t="s">
        <v>46</v>
      </c>
      <c r="K2801" t="s">
        <v>48</v>
      </c>
      <c r="L2801" t="s">
        <v>49</v>
      </c>
      <c r="M2801" t="s">
        <v>140</v>
      </c>
      <c r="N2801">
        <v>1302</v>
      </c>
      <c r="O2801">
        <v>4.1457802000000002E-2</v>
      </c>
      <c r="P2801">
        <v>2.2258251E-2</v>
      </c>
      <c r="Q2801" t="str">
        <f t="shared" si="86"/>
        <v>50+</v>
      </c>
      <c r="R2801" t="str">
        <f t="shared" si="87"/>
        <v>[lPTyjLi4w3d]|50+|Male|PLHIV_Attend.T_1|CY2024Q3</v>
      </c>
    </row>
    <row r="2802" spans="4:18" x14ac:dyDescent="0.2">
      <c r="D2802" t="s">
        <v>66</v>
      </c>
      <c r="E2802" t="s">
        <v>67</v>
      </c>
      <c r="F2802" t="s">
        <v>68</v>
      </c>
      <c r="G2802" t="s">
        <v>150</v>
      </c>
      <c r="H2802" t="s">
        <v>150</v>
      </c>
      <c r="I2802" t="s">
        <v>28</v>
      </c>
      <c r="J2802" t="s">
        <v>29</v>
      </c>
      <c r="K2802" t="s">
        <v>30</v>
      </c>
      <c r="L2802" t="s">
        <v>31</v>
      </c>
      <c r="M2802" t="s">
        <v>140</v>
      </c>
      <c r="N2802">
        <v>26</v>
      </c>
      <c r="O2802">
        <v>2.0793903999999998E-2</v>
      </c>
      <c r="P2802">
        <v>1.4233795E-2</v>
      </c>
      <c r="Q2802" t="str">
        <f t="shared" si="86"/>
        <v>&lt;01</v>
      </c>
      <c r="R2802" t="str">
        <f t="shared" si="87"/>
        <v>[vA4NcHxfMBq]|&lt;01|Female|PLHIV_Attend.T_1|CY2024Q3</v>
      </c>
    </row>
    <row r="2803" spans="4:18" x14ac:dyDescent="0.2">
      <c r="D2803" t="s">
        <v>66</v>
      </c>
      <c r="E2803" t="s">
        <v>67</v>
      </c>
      <c r="F2803" t="s">
        <v>68</v>
      </c>
      <c r="G2803" t="s">
        <v>150</v>
      </c>
      <c r="H2803" t="s">
        <v>150</v>
      </c>
      <c r="I2803" t="s">
        <v>33</v>
      </c>
      <c r="J2803" t="s">
        <v>34</v>
      </c>
      <c r="K2803" t="s">
        <v>30</v>
      </c>
      <c r="L2803" t="s">
        <v>31</v>
      </c>
      <c r="M2803" t="s">
        <v>140</v>
      </c>
      <c r="N2803">
        <v>486</v>
      </c>
      <c r="O2803">
        <v>2.8308509999999999E-2</v>
      </c>
      <c r="P2803">
        <v>1.4233795E-2</v>
      </c>
      <c r="Q2803" t="str">
        <f t="shared" si="86"/>
        <v>01-09</v>
      </c>
      <c r="R2803" t="str">
        <f t="shared" si="87"/>
        <v>[vA4NcHxfMBq]|01-09|Female|PLHIV_Attend.T_1|CY2024Q3</v>
      </c>
    </row>
    <row r="2804" spans="4:18" x14ac:dyDescent="0.2">
      <c r="D2804" t="s">
        <v>66</v>
      </c>
      <c r="E2804" t="s">
        <v>67</v>
      </c>
      <c r="F2804" t="s">
        <v>68</v>
      </c>
      <c r="G2804" t="s">
        <v>150</v>
      </c>
      <c r="H2804" t="s">
        <v>150</v>
      </c>
      <c r="I2804" t="s">
        <v>36</v>
      </c>
      <c r="J2804" t="s">
        <v>37</v>
      </c>
      <c r="K2804" t="s">
        <v>30</v>
      </c>
      <c r="L2804" t="s">
        <v>31</v>
      </c>
      <c r="M2804" t="s">
        <v>140</v>
      </c>
      <c r="N2804">
        <v>614</v>
      </c>
      <c r="O2804">
        <v>3.8052264000000002E-2</v>
      </c>
      <c r="P2804">
        <v>1.4233795E-2</v>
      </c>
      <c r="Q2804" t="str">
        <f t="shared" si="86"/>
        <v>10-14</v>
      </c>
      <c r="R2804" t="str">
        <f t="shared" si="87"/>
        <v>[vA4NcHxfMBq]|10-14|Female|PLHIV_Attend.T_1|CY2024Q3</v>
      </c>
    </row>
    <row r="2805" spans="4:18" x14ac:dyDescent="0.2">
      <c r="D2805" t="s">
        <v>66</v>
      </c>
      <c r="E2805" t="s">
        <v>67</v>
      </c>
      <c r="F2805" t="s">
        <v>68</v>
      </c>
      <c r="G2805" t="s">
        <v>150</v>
      </c>
      <c r="H2805" t="s">
        <v>150</v>
      </c>
      <c r="I2805" t="s">
        <v>38</v>
      </c>
      <c r="J2805" t="s">
        <v>39</v>
      </c>
      <c r="K2805" t="s">
        <v>30</v>
      </c>
      <c r="L2805" t="s">
        <v>31</v>
      </c>
      <c r="M2805" t="s">
        <v>140</v>
      </c>
      <c r="N2805">
        <v>2337</v>
      </c>
      <c r="O2805">
        <v>5.9850146999999999E-2</v>
      </c>
      <c r="P2805">
        <v>1.4233795E-2</v>
      </c>
      <c r="Q2805" t="str">
        <f t="shared" si="86"/>
        <v>15-24</v>
      </c>
      <c r="R2805" t="str">
        <f t="shared" si="87"/>
        <v>[vA4NcHxfMBq]|15-24|Female|PLHIV_Attend.T_1|CY2024Q3</v>
      </c>
    </row>
    <row r="2806" spans="4:18" x14ac:dyDescent="0.2">
      <c r="D2806" t="s">
        <v>66</v>
      </c>
      <c r="E2806" t="s">
        <v>67</v>
      </c>
      <c r="F2806" t="s">
        <v>68</v>
      </c>
      <c r="G2806" t="s">
        <v>150</v>
      </c>
      <c r="H2806" t="s">
        <v>150</v>
      </c>
      <c r="I2806" t="s">
        <v>41</v>
      </c>
      <c r="J2806" t="s">
        <v>42</v>
      </c>
      <c r="K2806" t="s">
        <v>30</v>
      </c>
      <c r="L2806" t="s">
        <v>31</v>
      </c>
      <c r="M2806" t="s">
        <v>140</v>
      </c>
      <c r="N2806">
        <v>6217</v>
      </c>
      <c r="O2806">
        <v>3.8752391999999997E-2</v>
      </c>
      <c r="P2806">
        <v>1.4233795E-2</v>
      </c>
      <c r="Q2806" t="str">
        <f t="shared" si="86"/>
        <v>25-34</v>
      </c>
      <c r="R2806" t="str">
        <f t="shared" si="87"/>
        <v>[vA4NcHxfMBq]|25-34|Female|PLHIV_Attend.T_1|CY2024Q3</v>
      </c>
    </row>
    <row r="2807" spans="4:18" x14ac:dyDescent="0.2">
      <c r="D2807" t="s">
        <v>66</v>
      </c>
      <c r="E2807" t="s">
        <v>67</v>
      </c>
      <c r="F2807" t="s">
        <v>68</v>
      </c>
      <c r="G2807" t="s">
        <v>150</v>
      </c>
      <c r="H2807" t="s">
        <v>150</v>
      </c>
      <c r="I2807" t="s">
        <v>43</v>
      </c>
      <c r="J2807" t="s">
        <v>44</v>
      </c>
      <c r="K2807" t="s">
        <v>30</v>
      </c>
      <c r="L2807" t="s">
        <v>31</v>
      </c>
      <c r="M2807" t="s">
        <v>140</v>
      </c>
      <c r="N2807">
        <v>15058</v>
      </c>
      <c r="O2807">
        <v>2.1882439E-2</v>
      </c>
      <c r="P2807">
        <v>1.4233795E-2</v>
      </c>
      <c r="Q2807" t="str">
        <f t="shared" si="86"/>
        <v>35-49</v>
      </c>
      <c r="R2807" t="str">
        <f t="shared" si="87"/>
        <v>[vA4NcHxfMBq]|35-49|Female|PLHIV_Attend.T_1|CY2024Q3</v>
      </c>
    </row>
    <row r="2808" spans="4:18" x14ac:dyDescent="0.2">
      <c r="D2808" t="s">
        <v>66</v>
      </c>
      <c r="E2808" t="s">
        <v>67</v>
      </c>
      <c r="F2808" t="s">
        <v>68</v>
      </c>
      <c r="G2808" t="s">
        <v>150</v>
      </c>
      <c r="H2808" t="s">
        <v>150</v>
      </c>
      <c r="I2808" t="s">
        <v>45</v>
      </c>
      <c r="J2808" t="s">
        <v>46</v>
      </c>
      <c r="K2808" t="s">
        <v>30</v>
      </c>
      <c r="L2808" t="s">
        <v>31</v>
      </c>
      <c r="M2808" t="s">
        <v>140</v>
      </c>
      <c r="N2808">
        <v>6642</v>
      </c>
      <c r="O2808">
        <v>4.0327414999999998E-2</v>
      </c>
      <c r="P2808">
        <v>1.4233795E-2</v>
      </c>
      <c r="Q2808" t="str">
        <f t="shared" si="86"/>
        <v>50+</v>
      </c>
      <c r="R2808" t="str">
        <f t="shared" si="87"/>
        <v>[vA4NcHxfMBq]|50+|Female|PLHIV_Attend.T_1|CY2024Q3</v>
      </c>
    </row>
    <row r="2809" spans="4:18" x14ac:dyDescent="0.2">
      <c r="D2809" t="s">
        <v>66</v>
      </c>
      <c r="E2809" t="s">
        <v>67</v>
      </c>
      <c r="F2809" t="s">
        <v>68</v>
      </c>
      <c r="G2809" t="s">
        <v>150</v>
      </c>
      <c r="H2809" t="s">
        <v>150</v>
      </c>
      <c r="I2809" t="s">
        <v>28</v>
      </c>
      <c r="J2809" t="s">
        <v>29</v>
      </c>
      <c r="K2809" t="s">
        <v>48</v>
      </c>
      <c r="L2809" t="s">
        <v>49</v>
      </c>
      <c r="M2809" t="s">
        <v>140</v>
      </c>
      <c r="N2809">
        <v>27</v>
      </c>
      <c r="O2809">
        <v>2.0817021000000002E-2</v>
      </c>
      <c r="P2809">
        <v>1.4233795E-2</v>
      </c>
      <c r="Q2809" t="str">
        <f t="shared" si="86"/>
        <v>&lt;01</v>
      </c>
      <c r="R2809" t="str">
        <f t="shared" si="87"/>
        <v>[vA4NcHxfMBq]|&lt;01|Male|PLHIV_Attend.T_1|CY2024Q3</v>
      </c>
    </row>
    <row r="2810" spans="4:18" x14ac:dyDescent="0.2">
      <c r="D2810" t="s">
        <v>66</v>
      </c>
      <c r="E2810" t="s">
        <v>67</v>
      </c>
      <c r="F2810" t="s">
        <v>68</v>
      </c>
      <c r="G2810" t="s">
        <v>150</v>
      </c>
      <c r="H2810" t="s">
        <v>150</v>
      </c>
      <c r="I2810" t="s">
        <v>33</v>
      </c>
      <c r="J2810" t="s">
        <v>34</v>
      </c>
      <c r="K2810" t="s">
        <v>48</v>
      </c>
      <c r="L2810" t="s">
        <v>49</v>
      </c>
      <c r="M2810" t="s">
        <v>140</v>
      </c>
      <c r="N2810">
        <v>487</v>
      </c>
      <c r="O2810">
        <v>2.8342802E-2</v>
      </c>
      <c r="P2810">
        <v>1.4233795E-2</v>
      </c>
      <c r="Q2810" t="str">
        <f t="shared" si="86"/>
        <v>01-09</v>
      </c>
      <c r="R2810" t="str">
        <f t="shared" si="87"/>
        <v>[vA4NcHxfMBq]|01-09|Male|PLHIV_Attend.T_1|CY2024Q3</v>
      </c>
    </row>
    <row r="2811" spans="4:18" x14ac:dyDescent="0.2">
      <c r="D2811" t="s">
        <v>66</v>
      </c>
      <c r="E2811" t="s">
        <v>67</v>
      </c>
      <c r="F2811" t="s">
        <v>68</v>
      </c>
      <c r="G2811" t="s">
        <v>150</v>
      </c>
      <c r="H2811" t="s">
        <v>150</v>
      </c>
      <c r="I2811" t="s">
        <v>36</v>
      </c>
      <c r="J2811" t="s">
        <v>37</v>
      </c>
      <c r="K2811" t="s">
        <v>48</v>
      </c>
      <c r="L2811" t="s">
        <v>49</v>
      </c>
      <c r="M2811" t="s">
        <v>140</v>
      </c>
      <c r="N2811">
        <v>596</v>
      </c>
      <c r="O2811">
        <v>3.8247305000000002E-2</v>
      </c>
      <c r="P2811">
        <v>1.4233795E-2</v>
      </c>
      <c r="Q2811" t="str">
        <f t="shared" si="86"/>
        <v>10-14</v>
      </c>
      <c r="R2811" t="str">
        <f t="shared" si="87"/>
        <v>[vA4NcHxfMBq]|10-14|Male|PLHIV_Attend.T_1|CY2024Q3</v>
      </c>
    </row>
    <row r="2812" spans="4:18" x14ac:dyDescent="0.2">
      <c r="D2812" t="s">
        <v>66</v>
      </c>
      <c r="E2812" t="s">
        <v>67</v>
      </c>
      <c r="F2812" t="s">
        <v>68</v>
      </c>
      <c r="G2812" t="s">
        <v>150</v>
      </c>
      <c r="H2812" t="s">
        <v>150</v>
      </c>
      <c r="I2812" t="s">
        <v>38</v>
      </c>
      <c r="J2812" t="s">
        <v>39</v>
      </c>
      <c r="K2812" t="s">
        <v>48</v>
      </c>
      <c r="L2812" t="s">
        <v>49</v>
      </c>
      <c r="M2812" t="s">
        <v>140</v>
      </c>
      <c r="N2812">
        <v>1640</v>
      </c>
      <c r="O2812">
        <v>7.2608234999999993E-2</v>
      </c>
      <c r="P2812">
        <v>1.4233795E-2</v>
      </c>
      <c r="Q2812" t="str">
        <f t="shared" si="86"/>
        <v>15-24</v>
      </c>
      <c r="R2812" t="str">
        <f t="shared" si="87"/>
        <v>[vA4NcHxfMBq]|15-24|Male|PLHIV_Attend.T_1|CY2024Q3</v>
      </c>
    </row>
    <row r="2813" spans="4:18" x14ac:dyDescent="0.2">
      <c r="D2813" t="s">
        <v>66</v>
      </c>
      <c r="E2813" t="s">
        <v>67</v>
      </c>
      <c r="F2813" t="s">
        <v>68</v>
      </c>
      <c r="G2813" t="s">
        <v>150</v>
      </c>
      <c r="H2813" t="s">
        <v>150</v>
      </c>
      <c r="I2813" t="s">
        <v>41</v>
      </c>
      <c r="J2813" t="s">
        <v>42</v>
      </c>
      <c r="K2813" t="s">
        <v>48</v>
      </c>
      <c r="L2813" t="s">
        <v>49</v>
      </c>
      <c r="M2813" t="s">
        <v>140</v>
      </c>
      <c r="N2813">
        <v>2463</v>
      </c>
      <c r="O2813">
        <v>6.8397975999999999E-2</v>
      </c>
      <c r="P2813">
        <v>1.4233795E-2</v>
      </c>
      <c r="Q2813" t="str">
        <f t="shared" si="86"/>
        <v>25-34</v>
      </c>
      <c r="R2813" t="str">
        <f t="shared" si="87"/>
        <v>[vA4NcHxfMBq]|25-34|Male|PLHIV_Attend.T_1|CY2024Q3</v>
      </c>
    </row>
    <row r="2814" spans="4:18" x14ac:dyDescent="0.2">
      <c r="D2814" t="s">
        <v>66</v>
      </c>
      <c r="E2814" t="s">
        <v>67</v>
      </c>
      <c r="F2814" t="s">
        <v>68</v>
      </c>
      <c r="G2814" t="s">
        <v>150</v>
      </c>
      <c r="H2814" t="s">
        <v>150</v>
      </c>
      <c r="I2814" t="s">
        <v>43</v>
      </c>
      <c r="J2814" t="s">
        <v>44</v>
      </c>
      <c r="K2814" t="s">
        <v>48</v>
      </c>
      <c r="L2814" t="s">
        <v>49</v>
      </c>
      <c r="M2814" t="s">
        <v>140</v>
      </c>
      <c r="N2814">
        <v>9141</v>
      </c>
      <c r="O2814">
        <v>3.3436155000000002E-2</v>
      </c>
      <c r="P2814">
        <v>1.4233795E-2</v>
      </c>
      <c r="Q2814" t="str">
        <f t="shared" si="86"/>
        <v>35-49</v>
      </c>
      <c r="R2814" t="str">
        <f t="shared" si="87"/>
        <v>[vA4NcHxfMBq]|35-49|Male|PLHIV_Attend.T_1|CY2024Q3</v>
      </c>
    </row>
    <row r="2815" spans="4:18" x14ac:dyDescent="0.2">
      <c r="D2815" t="s">
        <v>66</v>
      </c>
      <c r="E2815" t="s">
        <v>67</v>
      </c>
      <c r="F2815" t="s">
        <v>68</v>
      </c>
      <c r="G2815" t="s">
        <v>150</v>
      </c>
      <c r="H2815" t="s">
        <v>150</v>
      </c>
      <c r="I2815" t="s">
        <v>45</v>
      </c>
      <c r="J2815" t="s">
        <v>46</v>
      </c>
      <c r="K2815" t="s">
        <v>48</v>
      </c>
      <c r="L2815" t="s">
        <v>49</v>
      </c>
      <c r="M2815" t="s">
        <v>140</v>
      </c>
      <c r="N2815">
        <v>6418</v>
      </c>
      <c r="O2815">
        <v>3.7337886000000001E-2</v>
      </c>
      <c r="P2815">
        <v>1.4233795E-2</v>
      </c>
      <c r="Q2815" t="str">
        <f t="shared" si="86"/>
        <v>50+</v>
      </c>
      <c r="R2815" t="str">
        <f t="shared" si="87"/>
        <v>[vA4NcHxfMBq]|50+|Male|PLHIV_Attend.T_1|CY2024Q3</v>
      </c>
    </row>
    <row r="2816" spans="4:18" x14ac:dyDescent="0.2">
      <c r="D2816" t="s">
        <v>69</v>
      </c>
      <c r="E2816" t="s">
        <v>70</v>
      </c>
      <c r="F2816" t="s">
        <v>71</v>
      </c>
      <c r="G2816" t="s">
        <v>150</v>
      </c>
      <c r="H2816" t="s">
        <v>150</v>
      </c>
      <c r="I2816" t="s">
        <v>28</v>
      </c>
      <c r="J2816" t="s">
        <v>29</v>
      </c>
      <c r="K2816" t="s">
        <v>30</v>
      </c>
      <c r="L2816" t="s">
        <v>31</v>
      </c>
      <c r="M2816" t="s">
        <v>140</v>
      </c>
      <c r="N2816">
        <v>0</v>
      </c>
      <c r="O2816">
        <v>3.5701811999999999E-2</v>
      </c>
      <c r="P2816">
        <v>2.9678327000000001E-2</v>
      </c>
      <c r="Q2816" t="str">
        <f t="shared" si="86"/>
        <v>&lt;01</v>
      </c>
      <c r="R2816" t="str">
        <f t="shared" si="87"/>
        <v>[ZCjuwgaMB9u]|&lt;01|Female|PLHIV_Attend.T_1|CY2024Q3</v>
      </c>
    </row>
    <row r="2817" spans="4:18" x14ac:dyDescent="0.2">
      <c r="D2817" t="s">
        <v>69</v>
      </c>
      <c r="E2817" t="s">
        <v>70</v>
      </c>
      <c r="F2817" t="s">
        <v>71</v>
      </c>
      <c r="G2817" t="s">
        <v>150</v>
      </c>
      <c r="H2817" t="s">
        <v>150</v>
      </c>
      <c r="I2817" t="s">
        <v>33</v>
      </c>
      <c r="J2817" t="s">
        <v>34</v>
      </c>
      <c r="K2817" t="s">
        <v>30</v>
      </c>
      <c r="L2817" t="s">
        <v>31</v>
      </c>
      <c r="M2817" t="s">
        <v>140</v>
      </c>
      <c r="N2817">
        <v>8</v>
      </c>
      <c r="O2817">
        <v>4.4164309999999998E-2</v>
      </c>
      <c r="P2817">
        <v>2.9678327000000001E-2</v>
      </c>
      <c r="Q2817" t="str">
        <f t="shared" si="86"/>
        <v>01-09</v>
      </c>
      <c r="R2817" t="str">
        <f t="shared" si="87"/>
        <v>[ZCjuwgaMB9u]|01-09|Female|PLHIV_Attend.T_1|CY2024Q3</v>
      </c>
    </row>
    <row r="2818" spans="4:18" x14ac:dyDescent="0.2">
      <c r="D2818" t="s">
        <v>69</v>
      </c>
      <c r="E2818" t="s">
        <v>70</v>
      </c>
      <c r="F2818" t="s">
        <v>71</v>
      </c>
      <c r="G2818" t="s">
        <v>150</v>
      </c>
      <c r="H2818" t="s">
        <v>150</v>
      </c>
      <c r="I2818" t="s">
        <v>36</v>
      </c>
      <c r="J2818" t="s">
        <v>37</v>
      </c>
      <c r="K2818" t="s">
        <v>30</v>
      </c>
      <c r="L2818" t="s">
        <v>31</v>
      </c>
      <c r="M2818" t="s">
        <v>140</v>
      </c>
      <c r="N2818">
        <v>10</v>
      </c>
      <c r="O2818">
        <v>5.5695384000000001E-2</v>
      </c>
      <c r="P2818">
        <v>2.9678327000000001E-2</v>
      </c>
      <c r="Q2818" t="str">
        <f t="shared" si="86"/>
        <v>10-14</v>
      </c>
      <c r="R2818" t="str">
        <f t="shared" si="87"/>
        <v>[ZCjuwgaMB9u]|10-14|Female|PLHIV_Attend.T_1|CY2024Q3</v>
      </c>
    </row>
    <row r="2819" spans="4:18" x14ac:dyDescent="0.2">
      <c r="D2819" t="s">
        <v>69</v>
      </c>
      <c r="E2819" t="s">
        <v>70</v>
      </c>
      <c r="F2819" t="s">
        <v>71</v>
      </c>
      <c r="G2819" t="s">
        <v>150</v>
      </c>
      <c r="H2819" t="s">
        <v>150</v>
      </c>
      <c r="I2819" t="s">
        <v>38</v>
      </c>
      <c r="J2819" t="s">
        <v>39</v>
      </c>
      <c r="K2819" t="s">
        <v>30</v>
      </c>
      <c r="L2819" t="s">
        <v>31</v>
      </c>
      <c r="M2819" t="s">
        <v>140</v>
      </c>
      <c r="N2819">
        <v>40</v>
      </c>
      <c r="O2819">
        <v>6.7464141000000005E-2</v>
      </c>
      <c r="P2819">
        <v>2.9678327000000001E-2</v>
      </c>
      <c r="Q2819" t="str">
        <f t="shared" ref="Q2819:Q2882" si="88">SUBSTITUTE(SUBSTITUTE($I2819,CHAR(61),""),CHAR(34),"")</f>
        <v>15-24</v>
      </c>
      <c r="R2819" t="str">
        <f t="shared" ref="R2819:R2882" si="89">IF($D2819&lt;&gt;"","["&amp;$E2819&amp;"]"&amp;"|"&amp;$Q2819&amp;"|"&amp;$K2819&amp;"|"&amp;$G2819&amp;"|"&amp;IF($G2819="TX_CURR_SUBNAT.R","CY2023Q4",$M2819),"")</f>
        <v>[ZCjuwgaMB9u]|15-24|Female|PLHIV_Attend.T_1|CY2024Q3</v>
      </c>
    </row>
    <row r="2820" spans="4:18" x14ac:dyDescent="0.2">
      <c r="D2820" t="s">
        <v>69</v>
      </c>
      <c r="E2820" t="s">
        <v>70</v>
      </c>
      <c r="F2820" t="s">
        <v>71</v>
      </c>
      <c r="G2820" t="s">
        <v>150</v>
      </c>
      <c r="H2820" t="s">
        <v>150</v>
      </c>
      <c r="I2820" t="s">
        <v>41</v>
      </c>
      <c r="J2820" t="s">
        <v>42</v>
      </c>
      <c r="K2820" t="s">
        <v>30</v>
      </c>
      <c r="L2820" t="s">
        <v>31</v>
      </c>
      <c r="M2820" t="s">
        <v>140</v>
      </c>
      <c r="N2820">
        <v>109</v>
      </c>
      <c r="O2820">
        <v>5.0263347E-2</v>
      </c>
      <c r="P2820">
        <v>2.9678327000000001E-2</v>
      </c>
      <c r="Q2820" t="str">
        <f t="shared" si="88"/>
        <v>25-34</v>
      </c>
      <c r="R2820" t="str">
        <f t="shared" si="89"/>
        <v>[ZCjuwgaMB9u]|25-34|Female|PLHIV_Attend.T_1|CY2024Q3</v>
      </c>
    </row>
    <row r="2821" spans="4:18" x14ac:dyDescent="0.2">
      <c r="D2821" t="s">
        <v>69</v>
      </c>
      <c r="E2821" t="s">
        <v>70</v>
      </c>
      <c r="F2821" t="s">
        <v>71</v>
      </c>
      <c r="G2821" t="s">
        <v>150</v>
      </c>
      <c r="H2821" t="s">
        <v>150</v>
      </c>
      <c r="I2821" t="s">
        <v>43</v>
      </c>
      <c r="J2821" t="s">
        <v>44</v>
      </c>
      <c r="K2821" t="s">
        <v>30</v>
      </c>
      <c r="L2821" t="s">
        <v>31</v>
      </c>
      <c r="M2821" t="s">
        <v>140</v>
      </c>
      <c r="N2821">
        <v>281</v>
      </c>
      <c r="O2821">
        <v>3.4205711E-2</v>
      </c>
      <c r="P2821">
        <v>2.9678327000000001E-2</v>
      </c>
      <c r="Q2821" t="str">
        <f t="shared" si="88"/>
        <v>35-49</v>
      </c>
      <c r="R2821" t="str">
        <f t="shared" si="89"/>
        <v>[ZCjuwgaMB9u]|35-49|Female|PLHIV_Attend.T_1|CY2024Q3</v>
      </c>
    </row>
    <row r="2822" spans="4:18" x14ac:dyDescent="0.2">
      <c r="D2822" t="s">
        <v>69</v>
      </c>
      <c r="E2822" t="s">
        <v>70</v>
      </c>
      <c r="F2822" t="s">
        <v>71</v>
      </c>
      <c r="G2822" t="s">
        <v>150</v>
      </c>
      <c r="H2822" t="s">
        <v>150</v>
      </c>
      <c r="I2822" t="s">
        <v>45</v>
      </c>
      <c r="J2822" t="s">
        <v>46</v>
      </c>
      <c r="K2822" t="s">
        <v>30</v>
      </c>
      <c r="L2822" t="s">
        <v>31</v>
      </c>
      <c r="M2822" t="s">
        <v>140</v>
      </c>
      <c r="N2822">
        <v>127</v>
      </c>
      <c r="O2822">
        <v>4.7084073999999997E-2</v>
      </c>
      <c r="P2822">
        <v>2.9678327000000001E-2</v>
      </c>
      <c r="Q2822" t="str">
        <f t="shared" si="88"/>
        <v>50+</v>
      </c>
      <c r="R2822" t="str">
        <f t="shared" si="89"/>
        <v>[ZCjuwgaMB9u]|50+|Female|PLHIV_Attend.T_1|CY2024Q3</v>
      </c>
    </row>
    <row r="2823" spans="4:18" x14ac:dyDescent="0.2">
      <c r="D2823" t="s">
        <v>69</v>
      </c>
      <c r="E2823" t="s">
        <v>70</v>
      </c>
      <c r="F2823" t="s">
        <v>71</v>
      </c>
      <c r="G2823" t="s">
        <v>150</v>
      </c>
      <c r="H2823" t="s">
        <v>150</v>
      </c>
      <c r="I2823" t="s">
        <v>28</v>
      </c>
      <c r="J2823" t="s">
        <v>29</v>
      </c>
      <c r="K2823" t="s">
        <v>48</v>
      </c>
      <c r="L2823" t="s">
        <v>49</v>
      </c>
      <c r="M2823" t="s">
        <v>140</v>
      </c>
      <c r="N2823">
        <v>0</v>
      </c>
      <c r="O2823">
        <v>3.5833345000000003E-2</v>
      </c>
      <c r="P2823">
        <v>2.9678327000000001E-2</v>
      </c>
      <c r="Q2823" t="str">
        <f t="shared" si="88"/>
        <v>&lt;01</v>
      </c>
      <c r="R2823" t="str">
        <f t="shared" si="89"/>
        <v>[ZCjuwgaMB9u]|&lt;01|Male|PLHIV_Attend.T_1|CY2024Q3</v>
      </c>
    </row>
    <row r="2824" spans="4:18" x14ac:dyDescent="0.2">
      <c r="D2824" t="s">
        <v>69</v>
      </c>
      <c r="E2824" t="s">
        <v>70</v>
      </c>
      <c r="F2824" t="s">
        <v>71</v>
      </c>
      <c r="G2824" t="s">
        <v>150</v>
      </c>
      <c r="H2824" t="s">
        <v>150</v>
      </c>
      <c r="I2824" t="s">
        <v>33</v>
      </c>
      <c r="J2824" t="s">
        <v>34</v>
      </c>
      <c r="K2824" t="s">
        <v>48</v>
      </c>
      <c r="L2824" t="s">
        <v>49</v>
      </c>
      <c r="M2824" t="s">
        <v>140</v>
      </c>
      <c r="N2824">
        <v>8</v>
      </c>
      <c r="O2824">
        <v>4.4264550999999999E-2</v>
      </c>
      <c r="P2824">
        <v>2.9678327000000001E-2</v>
      </c>
      <c r="Q2824" t="str">
        <f t="shared" si="88"/>
        <v>01-09</v>
      </c>
      <c r="R2824" t="str">
        <f t="shared" si="89"/>
        <v>[ZCjuwgaMB9u]|01-09|Male|PLHIV_Attend.T_1|CY2024Q3</v>
      </c>
    </row>
    <row r="2825" spans="4:18" x14ac:dyDescent="0.2">
      <c r="D2825" t="s">
        <v>69</v>
      </c>
      <c r="E2825" t="s">
        <v>70</v>
      </c>
      <c r="F2825" t="s">
        <v>71</v>
      </c>
      <c r="G2825" t="s">
        <v>150</v>
      </c>
      <c r="H2825" t="s">
        <v>150</v>
      </c>
      <c r="I2825" t="s">
        <v>36</v>
      </c>
      <c r="J2825" t="s">
        <v>37</v>
      </c>
      <c r="K2825" t="s">
        <v>48</v>
      </c>
      <c r="L2825" t="s">
        <v>49</v>
      </c>
      <c r="M2825" t="s">
        <v>140</v>
      </c>
      <c r="N2825">
        <v>10</v>
      </c>
      <c r="O2825">
        <v>5.5701571999999998E-2</v>
      </c>
      <c r="P2825">
        <v>2.9678327000000001E-2</v>
      </c>
      <c r="Q2825" t="str">
        <f t="shared" si="88"/>
        <v>10-14</v>
      </c>
      <c r="R2825" t="str">
        <f t="shared" si="89"/>
        <v>[ZCjuwgaMB9u]|10-14|Male|PLHIV_Attend.T_1|CY2024Q3</v>
      </c>
    </row>
    <row r="2826" spans="4:18" x14ac:dyDescent="0.2">
      <c r="D2826" t="s">
        <v>69</v>
      </c>
      <c r="E2826" t="s">
        <v>70</v>
      </c>
      <c r="F2826" t="s">
        <v>71</v>
      </c>
      <c r="G2826" t="s">
        <v>150</v>
      </c>
      <c r="H2826" t="s">
        <v>150</v>
      </c>
      <c r="I2826" t="s">
        <v>38</v>
      </c>
      <c r="J2826" t="s">
        <v>39</v>
      </c>
      <c r="K2826" t="s">
        <v>48</v>
      </c>
      <c r="L2826" t="s">
        <v>49</v>
      </c>
      <c r="M2826" t="s">
        <v>140</v>
      </c>
      <c r="N2826">
        <v>31</v>
      </c>
      <c r="O2826">
        <v>8.5962497999999998E-2</v>
      </c>
      <c r="P2826">
        <v>2.9678327000000001E-2</v>
      </c>
      <c r="Q2826" t="str">
        <f t="shared" si="88"/>
        <v>15-24</v>
      </c>
      <c r="R2826" t="str">
        <f t="shared" si="89"/>
        <v>[ZCjuwgaMB9u]|15-24|Male|PLHIV_Attend.T_1|CY2024Q3</v>
      </c>
    </row>
    <row r="2827" spans="4:18" x14ac:dyDescent="0.2">
      <c r="D2827" t="s">
        <v>69</v>
      </c>
      <c r="E2827" t="s">
        <v>70</v>
      </c>
      <c r="F2827" t="s">
        <v>71</v>
      </c>
      <c r="G2827" t="s">
        <v>150</v>
      </c>
      <c r="H2827" t="s">
        <v>150</v>
      </c>
      <c r="I2827" t="s">
        <v>41</v>
      </c>
      <c r="J2827" t="s">
        <v>42</v>
      </c>
      <c r="K2827" t="s">
        <v>48</v>
      </c>
      <c r="L2827" t="s">
        <v>49</v>
      </c>
      <c r="M2827" t="s">
        <v>140</v>
      </c>
      <c r="N2827">
        <v>53</v>
      </c>
      <c r="O2827">
        <v>7.9677094000000004E-2</v>
      </c>
      <c r="P2827">
        <v>2.9678327000000001E-2</v>
      </c>
      <c r="Q2827" t="str">
        <f t="shared" si="88"/>
        <v>25-34</v>
      </c>
      <c r="R2827" t="str">
        <f t="shared" si="89"/>
        <v>[ZCjuwgaMB9u]|25-34|Male|PLHIV_Attend.T_1|CY2024Q3</v>
      </c>
    </row>
    <row r="2828" spans="4:18" x14ac:dyDescent="0.2">
      <c r="D2828" t="s">
        <v>69</v>
      </c>
      <c r="E2828" t="s">
        <v>70</v>
      </c>
      <c r="F2828" t="s">
        <v>71</v>
      </c>
      <c r="G2828" t="s">
        <v>150</v>
      </c>
      <c r="H2828" t="s">
        <v>150</v>
      </c>
      <c r="I2828" t="s">
        <v>43</v>
      </c>
      <c r="J2828" t="s">
        <v>44</v>
      </c>
      <c r="K2828" t="s">
        <v>48</v>
      </c>
      <c r="L2828" t="s">
        <v>49</v>
      </c>
      <c r="M2828" t="s">
        <v>140</v>
      </c>
      <c r="N2828">
        <v>178</v>
      </c>
      <c r="O2828">
        <v>4.992692E-2</v>
      </c>
      <c r="P2828">
        <v>2.9678327000000001E-2</v>
      </c>
      <c r="Q2828" t="str">
        <f t="shared" si="88"/>
        <v>35-49</v>
      </c>
      <c r="R2828" t="str">
        <f t="shared" si="89"/>
        <v>[ZCjuwgaMB9u]|35-49|Male|PLHIV_Attend.T_1|CY2024Q3</v>
      </c>
    </row>
    <row r="2829" spans="4:18" x14ac:dyDescent="0.2">
      <c r="D2829" t="s">
        <v>69</v>
      </c>
      <c r="E2829" t="s">
        <v>70</v>
      </c>
      <c r="F2829" t="s">
        <v>71</v>
      </c>
      <c r="G2829" t="s">
        <v>150</v>
      </c>
      <c r="H2829" t="s">
        <v>150</v>
      </c>
      <c r="I2829" t="s">
        <v>45</v>
      </c>
      <c r="J2829" t="s">
        <v>46</v>
      </c>
      <c r="K2829" t="s">
        <v>48</v>
      </c>
      <c r="L2829" t="s">
        <v>49</v>
      </c>
      <c r="M2829" t="s">
        <v>140</v>
      </c>
      <c r="N2829">
        <v>111</v>
      </c>
      <c r="O2829">
        <v>4.8382858000000001E-2</v>
      </c>
      <c r="P2829">
        <v>2.9678327000000001E-2</v>
      </c>
      <c r="Q2829" t="str">
        <f t="shared" si="88"/>
        <v>50+</v>
      </c>
      <c r="R2829" t="str">
        <f t="shared" si="89"/>
        <v>[ZCjuwgaMB9u]|50+|Male|PLHIV_Attend.T_1|CY2024Q3</v>
      </c>
    </row>
    <row r="2830" spans="4:18" x14ac:dyDescent="0.2">
      <c r="D2830" t="s">
        <v>72</v>
      </c>
      <c r="E2830" t="s">
        <v>73</v>
      </c>
      <c r="F2830" t="s">
        <v>74</v>
      </c>
      <c r="G2830" t="s">
        <v>150</v>
      </c>
      <c r="H2830" t="s">
        <v>150</v>
      </c>
      <c r="I2830" t="s">
        <v>28</v>
      </c>
      <c r="J2830" t="s">
        <v>29</v>
      </c>
      <c r="K2830" t="s">
        <v>30</v>
      </c>
      <c r="L2830" t="s">
        <v>31</v>
      </c>
      <c r="M2830" t="s">
        <v>140</v>
      </c>
      <c r="N2830">
        <v>11</v>
      </c>
      <c r="O2830">
        <v>2.3846615000000002E-2</v>
      </c>
      <c r="P2830">
        <v>1.6423587E-2</v>
      </c>
      <c r="Q2830" t="str">
        <f t="shared" si="88"/>
        <v>&lt;01</v>
      </c>
      <c r="R2830" t="str">
        <f t="shared" si="89"/>
        <v>[JQKLKuVuY61]|&lt;01|Female|PLHIV_Attend.T_1|CY2024Q3</v>
      </c>
    </row>
    <row r="2831" spans="4:18" x14ac:dyDescent="0.2">
      <c r="D2831" t="s">
        <v>72</v>
      </c>
      <c r="E2831" t="s">
        <v>73</v>
      </c>
      <c r="F2831" t="s">
        <v>74</v>
      </c>
      <c r="G2831" t="s">
        <v>150</v>
      </c>
      <c r="H2831" t="s">
        <v>150</v>
      </c>
      <c r="I2831" t="s">
        <v>33</v>
      </c>
      <c r="J2831" t="s">
        <v>34</v>
      </c>
      <c r="K2831" t="s">
        <v>30</v>
      </c>
      <c r="L2831" t="s">
        <v>31</v>
      </c>
      <c r="M2831" t="s">
        <v>140</v>
      </c>
      <c r="N2831">
        <v>217</v>
      </c>
      <c r="O2831">
        <v>3.1195918999999999E-2</v>
      </c>
      <c r="P2831">
        <v>1.6423587E-2</v>
      </c>
      <c r="Q2831" t="str">
        <f t="shared" si="88"/>
        <v>01-09</v>
      </c>
      <c r="R2831" t="str">
        <f t="shared" si="89"/>
        <v>[JQKLKuVuY61]|01-09|Female|PLHIV_Attend.T_1|CY2024Q3</v>
      </c>
    </row>
    <row r="2832" spans="4:18" x14ac:dyDescent="0.2">
      <c r="D2832" t="s">
        <v>72</v>
      </c>
      <c r="E2832" t="s">
        <v>73</v>
      </c>
      <c r="F2832" t="s">
        <v>74</v>
      </c>
      <c r="G2832" t="s">
        <v>150</v>
      </c>
      <c r="H2832" t="s">
        <v>150</v>
      </c>
      <c r="I2832" t="s">
        <v>36</v>
      </c>
      <c r="J2832" t="s">
        <v>37</v>
      </c>
      <c r="K2832" t="s">
        <v>30</v>
      </c>
      <c r="L2832" t="s">
        <v>31</v>
      </c>
      <c r="M2832" t="s">
        <v>140</v>
      </c>
      <c r="N2832">
        <v>285</v>
      </c>
      <c r="O2832">
        <v>4.0565661000000003E-2</v>
      </c>
      <c r="P2832">
        <v>1.6423587E-2</v>
      </c>
      <c r="Q2832" t="str">
        <f t="shared" si="88"/>
        <v>10-14</v>
      </c>
      <c r="R2832" t="str">
        <f t="shared" si="89"/>
        <v>[JQKLKuVuY61]|10-14|Female|PLHIV_Attend.T_1|CY2024Q3</v>
      </c>
    </row>
    <row r="2833" spans="4:18" x14ac:dyDescent="0.2">
      <c r="D2833" t="s">
        <v>72</v>
      </c>
      <c r="E2833" t="s">
        <v>73</v>
      </c>
      <c r="F2833" t="s">
        <v>74</v>
      </c>
      <c r="G2833" t="s">
        <v>150</v>
      </c>
      <c r="H2833" t="s">
        <v>150</v>
      </c>
      <c r="I2833" t="s">
        <v>38</v>
      </c>
      <c r="J2833" t="s">
        <v>39</v>
      </c>
      <c r="K2833" t="s">
        <v>30</v>
      </c>
      <c r="L2833" t="s">
        <v>31</v>
      </c>
      <c r="M2833" t="s">
        <v>140</v>
      </c>
      <c r="N2833">
        <v>939</v>
      </c>
      <c r="O2833">
        <v>6.0985609000000003E-2</v>
      </c>
      <c r="P2833">
        <v>1.6423587E-2</v>
      </c>
      <c r="Q2833" t="str">
        <f t="shared" si="88"/>
        <v>15-24</v>
      </c>
      <c r="R2833" t="str">
        <f t="shared" si="89"/>
        <v>[JQKLKuVuY61]|15-24|Female|PLHIV_Attend.T_1|CY2024Q3</v>
      </c>
    </row>
    <row r="2834" spans="4:18" x14ac:dyDescent="0.2">
      <c r="D2834" t="s">
        <v>72</v>
      </c>
      <c r="E2834" t="s">
        <v>73</v>
      </c>
      <c r="F2834" t="s">
        <v>74</v>
      </c>
      <c r="G2834" t="s">
        <v>150</v>
      </c>
      <c r="H2834" t="s">
        <v>150</v>
      </c>
      <c r="I2834" t="s">
        <v>41</v>
      </c>
      <c r="J2834" t="s">
        <v>42</v>
      </c>
      <c r="K2834" t="s">
        <v>30</v>
      </c>
      <c r="L2834" t="s">
        <v>31</v>
      </c>
      <c r="M2834" t="s">
        <v>140</v>
      </c>
      <c r="N2834">
        <v>2281</v>
      </c>
      <c r="O2834">
        <v>4.2300582000000003E-2</v>
      </c>
      <c r="P2834">
        <v>1.6423587E-2</v>
      </c>
      <c r="Q2834" t="str">
        <f t="shared" si="88"/>
        <v>25-34</v>
      </c>
      <c r="R2834" t="str">
        <f t="shared" si="89"/>
        <v>[JQKLKuVuY61]|25-34|Female|PLHIV_Attend.T_1|CY2024Q3</v>
      </c>
    </row>
    <row r="2835" spans="4:18" x14ac:dyDescent="0.2">
      <c r="D2835" t="s">
        <v>72</v>
      </c>
      <c r="E2835" t="s">
        <v>73</v>
      </c>
      <c r="F2835" t="s">
        <v>74</v>
      </c>
      <c r="G2835" t="s">
        <v>150</v>
      </c>
      <c r="H2835" t="s">
        <v>150</v>
      </c>
      <c r="I2835" t="s">
        <v>43</v>
      </c>
      <c r="J2835" t="s">
        <v>44</v>
      </c>
      <c r="K2835" t="s">
        <v>30</v>
      </c>
      <c r="L2835" t="s">
        <v>31</v>
      </c>
      <c r="M2835" t="s">
        <v>140</v>
      </c>
      <c r="N2835">
        <v>6318</v>
      </c>
      <c r="O2835">
        <v>2.4220412E-2</v>
      </c>
      <c r="P2835">
        <v>1.6423587E-2</v>
      </c>
      <c r="Q2835" t="str">
        <f t="shared" si="88"/>
        <v>35-49</v>
      </c>
      <c r="R2835" t="str">
        <f t="shared" si="89"/>
        <v>[JQKLKuVuY61]|35-49|Female|PLHIV_Attend.T_1|CY2024Q3</v>
      </c>
    </row>
    <row r="2836" spans="4:18" x14ac:dyDescent="0.2">
      <c r="D2836" t="s">
        <v>72</v>
      </c>
      <c r="E2836" t="s">
        <v>73</v>
      </c>
      <c r="F2836" t="s">
        <v>74</v>
      </c>
      <c r="G2836" t="s">
        <v>150</v>
      </c>
      <c r="H2836" t="s">
        <v>150</v>
      </c>
      <c r="I2836" t="s">
        <v>45</v>
      </c>
      <c r="J2836" t="s">
        <v>46</v>
      </c>
      <c r="K2836" t="s">
        <v>30</v>
      </c>
      <c r="L2836" t="s">
        <v>31</v>
      </c>
      <c r="M2836" t="s">
        <v>140</v>
      </c>
      <c r="N2836">
        <v>2904</v>
      </c>
      <c r="O2836">
        <v>4.2543102999999999E-2</v>
      </c>
      <c r="P2836">
        <v>1.6423587E-2</v>
      </c>
      <c r="Q2836" t="str">
        <f t="shared" si="88"/>
        <v>50+</v>
      </c>
      <c r="R2836" t="str">
        <f t="shared" si="89"/>
        <v>[JQKLKuVuY61]|50+|Female|PLHIV_Attend.T_1|CY2024Q3</v>
      </c>
    </row>
    <row r="2837" spans="4:18" x14ac:dyDescent="0.2">
      <c r="D2837" t="s">
        <v>72</v>
      </c>
      <c r="E2837" t="s">
        <v>73</v>
      </c>
      <c r="F2837" t="s">
        <v>74</v>
      </c>
      <c r="G2837" t="s">
        <v>150</v>
      </c>
      <c r="H2837" t="s">
        <v>150</v>
      </c>
      <c r="I2837" t="s">
        <v>28</v>
      </c>
      <c r="J2837" t="s">
        <v>29</v>
      </c>
      <c r="K2837" t="s">
        <v>48</v>
      </c>
      <c r="L2837" t="s">
        <v>49</v>
      </c>
      <c r="M2837" t="s">
        <v>140</v>
      </c>
      <c r="N2837">
        <v>11</v>
      </c>
      <c r="O2837">
        <v>2.3820793999999999E-2</v>
      </c>
      <c r="P2837">
        <v>1.6423587E-2</v>
      </c>
      <c r="Q2837" t="str">
        <f t="shared" si="88"/>
        <v>&lt;01</v>
      </c>
      <c r="R2837" t="str">
        <f t="shared" si="89"/>
        <v>[JQKLKuVuY61]|&lt;01|Male|PLHIV_Attend.T_1|CY2024Q3</v>
      </c>
    </row>
    <row r="2838" spans="4:18" x14ac:dyDescent="0.2">
      <c r="D2838" t="s">
        <v>72</v>
      </c>
      <c r="E2838" t="s">
        <v>73</v>
      </c>
      <c r="F2838" t="s">
        <v>74</v>
      </c>
      <c r="G2838" t="s">
        <v>150</v>
      </c>
      <c r="H2838" t="s">
        <v>150</v>
      </c>
      <c r="I2838" t="s">
        <v>33</v>
      </c>
      <c r="J2838" t="s">
        <v>34</v>
      </c>
      <c r="K2838" t="s">
        <v>48</v>
      </c>
      <c r="L2838" t="s">
        <v>49</v>
      </c>
      <c r="M2838" t="s">
        <v>140</v>
      </c>
      <c r="N2838">
        <v>217</v>
      </c>
      <c r="O2838">
        <v>3.1177209000000001E-2</v>
      </c>
      <c r="P2838">
        <v>1.6423587E-2</v>
      </c>
      <c r="Q2838" t="str">
        <f t="shared" si="88"/>
        <v>01-09</v>
      </c>
      <c r="R2838" t="str">
        <f t="shared" si="89"/>
        <v>[JQKLKuVuY61]|01-09|Male|PLHIV_Attend.T_1|CY2024Q3</v>
      </c>
    </row>
    <row r="2839" spans="4:18" x14ac:dyDescent="0.2">
      <c r="D2839" t="s">
        <v>72</v>
      </c>
      <c r="E2839" t="s">
        <v>73</v>
      </c>
      <c r="F2839" t="s">
        <v>74</v>
      </c>
      <c r="G2839" t="s">
        <v>150</v>
      </c>
      <c r="H2839" t="s">
        <v>150</v>
      </c>
      <c r="I2839" t="s">
        <v>36</v>
      </c>
      <c r="J2839" t="s">
        <v>37</v>
      </c>
      <c r="K2839" t="s">
        <v>48</v>
      </c>
      <c r="L2839" t="s">
        <v>49</v>
      </c>
      <c r="M2839" t="s">
        <v>140</v>
      </c>
      <c r="N2839">
        <v>282</v>
      </c>
      <c r="O2839">
        <v>4.0582545999999997E-2</v>
      </c>
      <c r="P2839">
        <v>1.6423587E-2</v>
      </c>
      <c r="Q2839" t="str">
        <f t="shared" si="88"/>
        <v>10-14</v>
      </c>
      <c r="R2839" t="str">
        <f t="shared" si="89"/>
        <v>[JQKLKuVuY61]|10-14|Male|PLHIV_Attend.T_1|CY2024Q3</v>
      </c>
    </row>
    <row r="2840" spans="4:18" x14ac:dyDescent="0.2">
      <c r="D2840" t="s">
        <v>72</v>
      </c>
      <c r="E2840" t="s">
        <v>73</v>
      </c>
      <c r="F2840" t="s">
        <v>74</v>
      </c>
      <c r="G2840" t="s">
        <v>150</v>
      </c>
      <c r="H2840" t="s">
        <v>150</v>
      </c>
      <c r="I2840" t="s">
        <v>38</v>
      </c>
      <c r="J2840" t="s">
        <v>39</v>
      </c>
      <c r="K2840" t="s">
        <v>48</v>
      </c>
      <c r="L2840" t="s">
        <v>49</v>
      </c>
      <c r="M2840" t="s">
        <v>140</v>
      </c>
      <c r="N2840">
        <v>687</v>
      </c>
      <c r="O2840">
        <v>6.9086141000000004E-2</v>
      </c>
      <c r="P2840">
        <v>1.6423587E-2</v>
      </c>
      <c r="Q2840" t="str">
        <f t="shared" si="88"/>
        <v>15-24</v>
      </c>
      <c r="R2840" t="str">
        <f t="shared" si="89"/>
        <v>[JQKLKuVuY61]|15-24|Male|PLHIV_Attend.T_1|CY2024Q3</v>
      </c>
    </row>
    <row r="2841" spans="4:18" x14ac:dyDescent="0.2">
      <c r="D2841" t="s">
        <v>72</v>
      </c>
      <c r="E2841" t="s">
        <v>73</v>
      </c>
      <c r="F2841" t="s">
        <v>74</v>
      </c>
      <c r="G2841" t="s">
        <v>150</v>
      </c>
      <c r="H2841" t="s">
        <v>150</v>
      </c>
      <c r="I2841" t="s">
        <v>41</v>
      </c>
      <c r="J2841" t="s">
        <v>42</v>
      </c>
      <c r="K2841" t="s">
        <v>48</v>
      </c>
      <c r="L2841" t="s">
        <v>49</v>
      </c>
      <c r="M2841" t="s">
        <v>140</v>
      </c>
      <c r="N2841">
        <v>879</v>
      </c>
      <c r="O2841">
        <v>7.1311790999999999E-2</v>
      </c>
      <c r="P2841">
        <v>1.6423587E-2</v>
      </c>
      <c r="Q2841" t="str">
        <f t="shared" si="88"/>
        <v>25-34</v>
      </c>
      <c r="R2841" t="str">
        <f t="shared" si="89"/>
        <v>[JQKLKuVuY61]|25-34|Male|PLHIV_Attend.T_1|CY2024Q3</v>
      </c>
    </row>
    <row r="2842" spans="4:18" x14ac:dyDescent="0.2">
      <c r="D2842" t="s">
        <v>72</v>
      </c>
      <c r="E2842" t="s">
        <v>73</v>
      </c>
      <c r="F2842" t="s">
        <v>74</v>
      </c>
      <c r="G2842" t="s">
        <v>150</v>
      </c>
      <c r="H2842" t="s">
        <v>150</v>
      </c>
      <c r="I2842" t="s">
        <v>43</v>
      </c>
      <c r="J2842" t="s">
        <v>44</v>
      </c>
      <c r="K2842" t="s">
        <v>48</v>
      </c>
      <c r="L2842" t="s">
        <v>49</v>
      </c>
      <c r="M2842" t="s">
        <v>140</v>
      </c>
      <c r="N2842">
        <v>3527</v>
      </c>
      <c r="O2842">
        <v>3.7560116999999997E-2</v>
      </c>
      <c r="P2842">
        <v>1.6423587E-2</v>
      </c>
      <c r="Q2842" t="str">
        <f t="shared" si="88"/>
        <v>35-49</v>
      </c>
      <c r="R2842" t="str">
        <f t="shared" si="89"/>
        <v>[JQKLKuVuY61]|35-49|Male|PLHIV_Attend.T_1|CY2024Q3</v>
      </c>
    </row>
    <row r="2843" spans="4:18" x14ac:dyDescent="0.2">
      <c r="D2843" t="s">
        <v>72</v>
      </c>
      <c r="E2843" t="s">
        <v>73</v>
      </c>
      <c r="F2843" t="s">
        <v>74</v>
      </c>
      <c r="G2843" t="s">
        <v>150</v>
      </c>
      <c r="H2843" t="s">
        <v>150</v>
      </c>
      <c r="I2843" t="s">
        <v>45</v>
      </c>
      <c r="J2843" t="s">
        <v>46</v>
      </c>
      <c r="K2843" t="s">
        <v>48</v>
      </c>
      <c r="L2843" t="s">
        <v>49</v>
      </c>
      <c r="M2843" t="s">
        <v>140</v>
      </c>
      <c r="N2843">
        <v>2756</v>
      </c>
      <c r="O2843">
        <v>3.8520390000000002E-2</v>
      </c>
      <c r="P2843">
        <v>1.6423587E-2</v>
      </c>
      <c r="Q2843" t="str">
        <f t="shared" si="88"/>
        <v>50+</v>
      </c>
      <c r="R2843" t="str">
        <f t="shared" si="89"/>
        <v>[JQKLKuVuY61]|50+|Male|PLHIV_Attend.T_1|CY2024Q3</v>
      </c>
    </row>
    <row r="2844" spans="4:18" x14ac:dyDescent="0.2">
      <c r="D2844" t="s">
        <v>75</v>
      </c>
      <c r="E2844" t="s">
        <v>76</v>
      </c>
      <c r="F2844" t="s">
        <v>77</v>
      </c>
      <c r="G2844" t="s">
        <v>150</v>
      </c>
      <c r="H2844" t="s">
        <v>150</v>
      </c>
      <c r="I2844" t="s">
        <v>28</v>
      </c>
      <c r="J2844" t="s">
        <v>29</v>
      </c>
      <c r="K2844" t="s">
        <v>30</v>
      </c>
      <c r="L2844" t="s">
        <v>31</v>
      </c>
      <c r="M2844" t="s">
        <v>140</v>
      </c>
      <c r="N2844">
        <v>8</v>
      </c>
      <c r="O2844">
        <v>2.7350296E-2</v>
      </c>
      <c r="P2844">
        <v>2.0795816000000002E-2</v>
      </c>
      <c r="Q2844" t="str">
        <f t="shared" si="88"/>
        <v>&lt;01</v>
      </c>
      <c r="R2844" t="str">
        <f t="shared" si="89"/>
        <v>[YCKiBAp8QAg]|&lt;01|Female|PLHIV_Attend.T_1|CY2024Q3</v>
      </c>
    </row>
    <row r="2845" spans="4:18" x14ac:dyDescent="0.2">
      <c r="D2845" t="s">
        <v>75</v>
      </c>
      <c r="E2845" t="s">
        <v>76</v>
      </c>
      <c r="F2845" t="s">
        <v>77</v>
      </c>
      <c r="G2845" t="s">
        <v>150</v>
      </c>
      <c r="H2845" t="s">
        <v>150</v>
      </c>
      <c r="I2845" t="s">
        <v>33</v>
      </c>
      <c r="J2845" t="s">
        <v>34</v>
      </c>
      <c r="K2845" t="s">
        <v>30</v>
      </c>
      <c r="L2845" t="s">
        <v>31</v>
      </c>
      <c r="M2845" t="s">
        <v>140</v>
      </c>
      <c r="N2845">
        <v>167</v>
      </c>
      <c r="O2845">
        <v>3.5327457E-2</v>
      </c>
      <c r="P2845">
        <v>2.0795816000000002E-2</v>
      </c>
      <c r="Q2845" t="str">
        <f t="shared" si="88"/>
        <v>01-09</v>
      </c>
      <c r="R2845" t="str">
        <f t="shared" si="89"/>
        <v>[YCKiBAp8QAg]|01-09|Female|PLHIV_Attend.T_1|CY2024Q3</v>
      </c>
    </row>
    <row r="2846" spans="4:18" x14ac:dyDescent="0.2">
      <c r="D2846" t="s">
        <v>75</v>
      </c>
      <c r="E2846" t="s">
        <v>76</v>
      </c>
      <c r="F2846" t="s">
        <v>77</v>
      </c>
      <c r="G2846" t="s">
        <v>150</v>
      </c>
      <c r="H2846" t="s">
        <v>150</v>
      </c>
      <c r="I2846" t="s">
        <v>36</v>
      </c>
      <c r="J2846" t="s">
        <v>37</v>
      </c>
      <c r="K2846" t="s">
        <v>30</v>
      </c>
      <c r="L2846" t="s">
        <v>31</v>
      </c>
      <c r="M2846" t="s">
        <v>140</v>
      </c>
      <c r="N2846">
        <v>213</v>
      </c>
      <c r="O2846">
        <v>4.5514710999999999E-2</v>
      </c>
      <c r="P2846">
        <v>2.0795816000000002E-2</v>
      </c>
      <c r="Q2846" t="str">
        <f t="shared" si="88"/>
        <v>10-14</v>
      </c>
      <c r="R2846" t="str">
        <f t="shared" si="89"/>
        <v>[YCKiBAp8QAg]|10-14|Female|PLHIV_Attend.T_1|CY2024Q3</v>
      </c>
    </row>
    <row r="2847" spans="4:18" x14ac:dyDescent="0.2">
      <c r="D2847" t="s">
        <v>75</v>
      </c>
      <c r="E2847" t="s">
        <v>76</v>
      </c>
      <c r="F2847" t="s">
        <v>77</v>
      </c>
      <c r="G2847" t="s">
        <v>150</v>
      </c>
      <c r="H2847" t="s">
        <v>150</v>
      </c>
      <c r="I2847" t="s">
        <v>38</v>
      </c>
      <c r="J2847" t="s">
        <v>39</v>
      </c>
      <c r="K2847" t="s">
        <v>30</v>
      </c>
      <c r="L2847" t="s">
        <v>31</v>
      </c>
      <c r="M2847" t="s">
        <v>140</v>
      </c>
      <c r="N2847">
        <v>729</v>
      </c>
      <c r="O2847">
        <v>6.3116968999999995E-2</v>
      </c>
      <c r="P2847">
        <v>2.0795816000000002E-2</v>
      </c>
      <c r="Q2847" t="str">
        <f t="shared" si="88"/>
        <v>15-24</v>
      </c>
      <c r="R2847" t="str">
        <f t="shared" si="89"/>
        <v>[YCKiBAp8QAg]|15-24|Female|PLHIV_Attend.T_1|CY2024Q3</v>
      </c>
    </row>
    <row r="2848" spans="4:18" x14ac:dyDescent="0.2">
      <c r="D2848" t="s">
        <v>75</v>
      </c>
      <c r="E2848" t="s">
        <v>76</v>
      </c>
      <c r="F2848" t="s">
        <v>77</v>
      </c>
      <c r="G2848" t="s">
        <v>150</v>
      </c>
      <c r="H2848" t="s">
        <v>150</v>
      </c>
      <c r="I2848" t="s">
        <v>41</v>
      </c>
      <c r="J2848" t="s">
        <v>42</v>
      </c>
      <c r="K2848" t="s">
        <v>30</v>
      </c>
      <c r="L2848" t="s">
        <v>31</v>
      </c>
      <c r="M2848" t="s">
        <v>140</v>
      </c>
      <c r="N2848">
        <v>1758</v>
      </c>
      <c r="O2848">
        <v>4.2318146000000001E-2</v>
      </c>
      <c r="P2848">
        <v>2.0795816000000002E-2</v>
      </c>
      <c r="Q2848" t="str">
        <f t="shared" si="88"/>
        <v>25-34</v>
      </c>
      <c r="R2848" t="str">
        <f t="shared" si="89"/>
        <v>[YCKiBAp8QAg]|25-34|Female|PLHIV_Attend.T_1|CY2024Q3</v>
      </c>
    </row>
    <row r="2849" spans="4:18" x14ac:dyDescent="0.2">
      <c r="D2849" t="s">
        <v>75</v>
      </c>
      <c r="E2849" t="s">
        <v>76</v>
      </c>
      <c r="F2849" t="s">
        <v>77</v>
      </c>
      <c r="G2849" t="s">
        <v>150</v>
      </c>
      <c r="H2849" t="s">
        <v>150</v>
      </c>
      <c r="I2849" t="s">
        <v>43</v>
      </c>
      <c r="J2849" t="s">
        <v>44</v>
      </c>
      <c r="K2849" t="s">
        <v>30</v>
      </c>
      <c r="L2849" t="s">
        <v>31</v>
      </c>
      <c r="M2849" t="s">
        <v>140</v>
      </c>
      <c r="N2849">
        <v>4577</v>
      </c>
      <c r="O2849">
        <v>2.6586334999999999E-2</v>
      </c>
      <c r="P2849">
        <v>2.0795816000000002E-2</v>
      </c>
      <c r="Q2849" t="str">
        <f t="shared" si="88"/>
        <v>35-49</v>
      </c>
      <c r="R2849" t="str">
        <f t="shared" si="89"/>
        <v>[YCKiBAp8QAg]|35-49|Female|PLHIV_Attend.T_1|CY2024Q3</v>
      </c>
    </row>
    <row r="2850" spans="4:18" x14ac:dyDescent="0.2">
      <c r="D2850" t="s">
        <v>75</v>
      </c>
      <c r="E2850" t="s">
        <v>76</v>
      </c>
      <c r="F2850" t="s">
        <v>77</v>
      </c>
      <c r="G2850" t="s">
        <v>150</v>
      </c>
      <c r="H2850" t="s">
        <v>150</v>
      </c>
      <c r="I2850" t="s">
        <v>45</v>
      </c>
      <c r="J2850" t="s">
        <v>46</v>
      </c>
      <c r="K2850" t="s">
        <v>30</v>
      </c>
      <c r="L2850" t="s">
        <v>31</v>
      </c>
      <c r="M2850" t="s">
        <v>140</v>
      </c>
      <c r="N2850">
        <v>2038</v>
      </c>
      <c r="O2850">
        <v>4.5576284000000002E-2</v>
      </c>
      <c r="P2850">
        <v>2.0795816000000002E-2</v>
      </c>
      <c r="Q2850" t="str">
        <f t="shared" si="88"/>
        <v>50+</v>
      </c>
      <c r="R2850" t="str">
        <f t="shared" si="89"/>
        <v>[YCKiBAp8QAg]|50+|Female|PLHIV_Attend.T_1|CY2024Q3</v>
      </c>
    </row>
    <row r="2851" spans="4:18" x14ac:dyDescent="0.2">
      <c r="D2851" t="s">
        <v>75</v>
      </c>
      <c r="E2851" t="s">
        <v>76</v>
      </c>
      <c r="F2851" t="s">
        <v>77</v>
      </c>
      <c r="G2851" t="s">
        <v>150</v>
      </c>
      <c r="H2851" t="s">
        <v>150</v>
      </c>
      <c r="I2851" t="s">
        <v>28</v>
      </c>
      <c r="J2851" t="s">
        <v>29</v>
      </c>
      <c r="K2851" t="s">
        <v>48</v>
      </c>
      <c r="L2851" t="s">
        <v>49</v>
      </c>
      <c r="M2851" t="s">
        <v>140</v>
      </c>
      <c r="N2851">
        <v>9</v>
      </c>
      <c r="O2851">
        <v>2.7386831E-2</v>
      </c>
      <c r="P2851">
        <v>2.0795816000000002E-2</v>
      </c>
      <c r="Q2851" t="str">
        <f t="shared" si="88"/>
        <v>&lt;01</v>
      </c>
      <c r="R2851" t="str">
        <f t="shared" si="89"/>
        <v>[YCKiBAp8QAg]|&lt;01|Male|PLHIV_Attend.T_1|CY2024Q3</v>
      </c>
    </row>
    <row r="2852" spans="4:18" x14ac:dyDescent="0.2">
      <c r="D2852" t="s">
        <v>75</v>
      </c>
      <c r="E2852" t="s">
        <v>76</v>
      </c>
      <c r="F2852" t="s">
        <v>77</v>
      </c>
      <c r="G2852" t="s">
        <v>150</v>
      </c>
      <c r="H2852" t="s">
        <v>150</v>
      </c>
      <c r="I2852" t="s">
        <v>33</v>
      </c>
      <c r="J2852" t="s">
        <v>34</v>
      </c>
      <c r="K2852" t="s">
        <v>48</v>
      </c>
      <c r="L2852" t="s">
        <v>49</v>
      </c>
      <c r="M2852" t="s">
        <v>140</v>
      </c>
      <c r="N2852">
        <v>169</v>
      </c>
      <c r="O2852">
        <v>3.5342446999999999E-2</v>
      </c>
      <c r="P2852">
        <v>2.0795816000000002E-2</v>
      </c>
      <c r="Q2852" t="str">
        <f t="shared" si="88"/>
        <v>01-09</v>
      </c>
      <c r="R2852" t="str">
        <f t="shared" si="89"/>
        <v>[YCKiBAp8QAg]|01-09|Male|PLHIV_Attend.T_1|CY2024Q3</v>
      </c>
    </row>
    <row r="2853" spans="4:18" x14ac:dyDescent="0.2">
      <c r="D2853" t="s">
        <v>75</v>
      </c>
      <c r="E2853" t="s">
        <v>76</v>
      </c>
      <c r="F2853" t="s">
        <v>77</v>
      </c>
      <c r="G2853" t="s">
        <v>150</v>
      </c>
      <c r="H2853" t="s">
        <v>150</v>
      </c>
      <c r="I2853" t="s">
        <v>36</v>
      </c>
      <c r="J2853" t="s">
        <v>37</v>
      </c>
      <c r="K2853" t="s">
        <v>48</v>
      </c>
      <c r="L2853" t="s">
        <v>49</v>
      </c>
      <c r="M2853" t="s">
        <v>140</v>
      </c>
      <c r="N2853">
        <v>212</v>
      </c>
      <c r="O2853">
        <v>4.5520155E-2</v>
      </c>
      <c r="P2853">
        <v>2.0795816000000002E-2</v>
      </c>
      <c r="Q2853" t="str">
        <f t="shared" si="88"/>
        <v>10-14</v>
      </c>
      <c r="R2853" t="str">
        <f t="shared" si="89"/>
        <v>[YCKiBAp8QAg]|10-14|Male|PLHIV_Attend.T_1|CY2024Q3</v>
      </c>
    </row>
    <row r="2854" spans="4:18" x14ac:dyDescent="0.2">
      <c r="D2854" t="s">
        <v>75</v>
      </c>
      <c r="E2854" t="s">
        <v>76</v>
      </c>
      <c r="F2854" t="s">
        <v>77</v>
      </c>
      <c r="G2854" t="s">
        <v>150</v>
      </c>
      <c r="H2854" t="s">
        <v>150</v>
      </c>
      <c r="I2854" t="s">
        <v>38</v>
      </c>
      <c r="J2854" t="s">
        <v>39</v>
      </c>
      <c r="K2854" t="s">
        <v>48</v>
      </c>
      <c r="L2854" t="s">
        <v>49</v>
      </c>
      <c r="M2854" t="s">
        <v>140</v>
      </c>
      <c r="N2854">
        <v>538</v>
      </c>
      <c r="O2854">
        <v>7.3515513000000005E-2</v>
      </c>
      <c r="P2854">
        <v>2.0795816000000002E-2</v>
      </c>
      <c r="Q2854" t="str">
        <f t="shared" si="88"/>
        <v>15-24</v>
      </c>
      <c r="R2854" t="str">
        <f t="shared" si="89"/>
        <v>[YCKiBAp8QAg]|15-24|Male|PLHIV_Attend.T_1|CY2024Q3</v>
      </c>
    </row>
    <row r="2855" spans="4:18" x14ac:dyDescent="0.2">
      <c r="D2855" t="s">
        <v>75</v>
      </c>
      <c r="E2855" t="s">
        <v>76</v>
      </c>
      <c r="F2855" t="s">
        <v>77</v>
      </c>
      <c r="G2855" t="s">
        <v>150</v>
      </c>
      <c r="H2855" t="s">
        <v>150</v>
      </c>
      <c r="I2855" t="s">
        <v>41</v>
      </c>
      <c r="J2855" t="s">
        <v>42</v>
      </c>
      <c r="K2855" t="s">
        <v>48</v>
      </c>
      <c r="L2855" t="s">
        <v>49</v>
      </c>
      <c r="M2855" t="s">
        <v>140</v>
      </c>
      <c r="N2855">
        <v>679</v>
      </c>
      <c r="O2855">
        <v>7.1902068999999999E-2</v>
      </c>
      <c r="P2855">
        <v>2.0795816000000002E-2</v>
      </c>
      <c r="Q2855" t="str">
        <f t="shared" si="88"/>
        <v>25-34</v>
      </c>
      <c r="R2855" t="str">
        <f t="shared" si="89"/>
        <v>[YCKiBAp8QAg]|25-34|Male|PLHIV_Attend.T_1|CY2024Q3</v>
      </c>
    </row>
    <row r="2856" spans="4:18" x14ac:dyDescent="0.2">
      <c r="D2856" t="s">
        <v>75</v>
      </c>
      <c r="E2856" t="s">
        <v>76</v>
      </c>
      <c r="F2856" t="s">
        <v>77</v>
      </c>
      <c r="G2856" t="s">
        <v>150</v>
      </c>
      <c r="H2856" t="s">
        <v>150</v>
      </c>
      <c r="I2856" t="s">
        <v>43</v>
      </c>
      <c r="J2856" t="s">
        <v>44</v>
      </c>
      <c r="K2856" t="s">
        <v>48</v>
      </c>
      <c r="L2856" t="s">
        <v>49</v>
      </c>
      <c r="M2856" t="s">
        <v>140</v>
      </c>
      <c r="N2856">
        <v>2608</v>
      </c>
      <c r="O2856">
        <v>3.7686393999999998E-2</v>
      </c>
      <c r="P2856">
        <v>2.0795816000000002E-2</v>
      </c>
      <c r="Q2856" t="str">
        <f t="shared" si="88"/>
        <v>35-49</v>
      </c>
      <c r="R2856" t="str">
        <f t="shared" si="89"/>
        <v>[YCKiBAp8QAg]|35-49|Male|PLHIV_Attend.T_1|CY2024Q3</v>
      </c>
    </row>
    <row r="2857" spans="4:18" x14ac:dyDescent="0.2">
      <c r="D2857" t="s">
        <v>75</v>
      </c>
      <c r="E2857" t="s">
        <v>76</v>
      </c>
      <c r="F2857" t="s">
        <v>77</v>
      </c>
      <c r="G2857" t="s">
        <v>150</v>
      </c>
      <c r="H2857" t="s">
        <v>150</v>
      </c>
      <c r="I2857" t="s">
        <v>45</v>
      </c>
      <c r="J2857" t="s">
        <v>46</v>
      </c>
      <c r="K2857" t="s">
        <v>48</v>
      </c>
      <c r="L2857" t="s">
        <v>49</v>
      </c>
      <c r="M2857" t="s">
        <v>140</v>
      </c>
      <c r="N2857">
        <v>2021</v>
      </c>
      <c r="O2857">
        <v>4.1190791999999997E-2</v>
      </c>
      <c r="P2857">
        <v>2.0795816000000002E-2</v>
      </c>
      <c r="Q2857" t="str">
        <f t="shared" si="88"/>
        <v>50+</v>
      </c>
      <c r="R2857" t="str">
        <f t="shared" si="89"/>
        <v>[YCKiBAp8QAg]|50+|Male|PLHIV_Attend.T_1|CY2024Q3</v>
      </c>
    </row>
    <row r="2858" spans="4:18" x14ac:dyDescent="0.2">
      <c r="D2858" t="s">
        <v>78</v>
      </c>
      <c r="E2858" t="s">
        <v>79</v>
      </c>
      <c r="F2858" t="s">
        <v>80</v>
      </c>
      <c r="G2858" t="s">
        <v>150</v>
      </c>
      <c r="H2858" t="s">
        <v>150</v>
      </c>
      <c r="I2858" t="s">
        <v>28</v>
      </c>
      <c r="J2858" t="s">
        <v>29</v>
      </c>
      <c r="K2858" t="s">
        <v>30</v>
      </c>
      <c r="L2858" t="s">
        <v>31</v>
      </c>
      <c r="M2858" t="s">
        <v>140</v>
      </c>
      <c r="N2858">
        <v>3</v>
      </c>
      <c r="O2858">
        <v>3.4111193999999997E-2</v>
      </c>
      <c r="P2858">
        <v>2.5196492000000001E-2</v>
      </c>
      <c r="Q2858" t="str">
        <f t="shared" si="88"/>
        <v>&lt;01</v>
      </c>
      <c r="R2858" t="str">
        <f t="shared" si="89"/>
        <v>[fiRkU6gEjLz]|&lt;01|Female|PLHIV_Attend.T_1|CY2024Q3</v>
      </c>
    </row>
    <row r="2859" spans="4:18" x14ac:dyDescent="0.2">
      <c r="D2859" t="s">
        <v>78</v>
      </c>
      <c r="E2859" t="s">
        <v>79</v>
      </c>
      <c r="F2859" t="s">
        <v>80</v>
      </c>
      <c r="G2859" t="s">
        <v>150</v>
      </c>
      <c r="H2859" t="s">
        <v>150</v>
      </c>
      <c r="I2859" t="s">
        <v>33</v>
      </c>
      <c r="J2859" t="s">
        <v>34</v>
      </c>
      <c r="K2859" t="s">
        <v>30</v>
      </c>
      <c r="L2859" t="s">
        <v>31</v>
      </c>
      <c r="M2859" t="s">
        <v>140</v>
      </c>
      <c r="N2859">
        <v>54</v>
      </c>
      <c r="O2859">
        <v>4.2745908999999999E-2</v>
      </c>
      <c r="P2859">
        <v>2.5196492000000001E-2</v>
      </c>
      <c r="Q2859" t="str">
        <f t="shared" si="88"/>
        <v>01-09</v>
      </c>
      <c r="R2859" t="str">
        <f t="shared" si="89"/>
        <v>[fiRkU6gEjLz]|01-09|Female|PLHIV_Attend.T_1|CY2024Q3</v>
      </c>
    </row>
    <row r="2860" spans="4:18" x14ac:dyDescent="0.2">
      <c r="D2860" t="s">
        <v>78</v>
      </c>
      <c r="E2860" t="s">
        <v>79</v>
      </c>
      <c r="F2860" t="s">
        <v>80</v>
      </c>
      <c r="G2860" t="s">
        <v>150</v>
      </c>
      <c r="H2860" t="s">
        <v>150</v>
      </c>
      <c r="I2860" t="s">
        <v>36</v>
      </c>
      <c r="J2860" t="s">
        <v>37</v>
      </c>
      <c r="K2860" t="s">
        <v>30</v>
      </c>
      <c r="L2860" t="s">
        <v>31</v>
      </c>
      <c r="M2860" t="s">
        <v>140</v>
      </c>
      <c r="N2860">
        <v>69</v>
      </c>
      <c r="O2860">
        <v>5.3825158999999997E-2</v>
      </c>
      <c r="P2860">
        <v>2.5196492000000001E-2</v>
      </c>
      <c r="Q2860" t="str">
        <f t="shared" si="88"/>
        <v>10-14</v>
      </c>
      <c r="R2860" t="str">
        <f t="shared" si="89"/>
        <v>[fiRkU6gEjLz]|10-14|Female|PLHIV_Attend.T_1|CY2024Q3</v>
      </c>
    </row>
    <row r="2861" spans="4:18" x14ac:dyDescent="0.2">
      <c r="D2861" t="s">
        <v>78</v>
      </c>
      <c r="E2861" t="s">
        <v>79</v>
      </c>
      <c r="F2861" t="s">
        <v>80</v>
      </c>
      <c r="G2861" t="s">
        <v>150</v>
      </c>
      <c r="H2861" t="s">
        <v>150</v>
      </c>
      <c r="I2861" t="s">
        <v>38</v>
      </c>
      <c r="J2861" t="s">
        <v>39</v>
      </c>
      <c r="K2861" t="s">
        <v>30</v>
      </c>
      <c r="L2861" t="s">
        <v>31</v>
      </c>
      <c r="M2861" t="s">
        <v>140</v>
      </c>
      <c r="N2861">
        <v>233</v>
      </c>
      <c r="O2861">
        <v>6.5105986000000005E-2</v>
      </c>
      <c r="P2861">
        <v>2.5196492000000001E-2</v>
      </c>
      <c r="Q2861" t="str">
        <f t="shared" si="88"/>
        <v>15-24</v>
      </c>
      <c r="R2861" t="str">
        <f t="shared" si="89"/>
        <v>[fiRkU6gEjLz]|15-24|Female|PLHIV_Attend.T_1|CY2024Q3</v>
      </c>
    </row>
    <row r="2862" spans="4:18" x14ac:dyDescent="0.2">
      <c r="D2862" t="s">
        <v>78</v>
      </c>
      <c r="E2862" t="s">
        <v>79</v>
      </c>
      <c r="F2862" t="s">
        <v>80</v>
      </c>
      <c r="G2862" t="s">
        <v>150</v>
      </c>
      <c r="H2862" t="s">
        <v>150</v>
      </c>
      <c r="I2862" t="s">
        <v>41</v>
      </c>
      <c r="J2862" t="s">
        <v>42</v>
      </c>
      <c r="K2862" t="s">
        <v>30</v>
      </c>
      <c r="L2862" t="s">
        <v>31</v>
      </c>
      <c r="M2862" t="s">
        <v>140</v>
      </c>
      <c r="N2862">
        <v>576</v>
      </c>
      <c r="O2862">
        <v>4.8188336999999998E-2</v>
      </c>
      <c r="P2862">
        <v>2.5196492000000001E-2</v>
      </c>
      <c r="Q2862" t="str">
        <f t="shared" si="88"/>
        <v>25-34</v>
      </c>
      <c r="R2862" t="str">
        <f t="shared" si="89"/>
        <v>[fiRkU6gEjLz]|25-34|Female|PLHIV_Attend.T_1|CY2024Q3</v>
      </c>
    </row>
    <row r="2863" spans="4:18" x14ac:dyDescent="0.2">
      <c r="D2863" t="s">
        <v>78</v>
      </c>
      <c r="E2863" t="s">
        <v>79</v>
      </c>
      <c r="F2863" t="s">
        <v>80</v>
      </c>
      <c r="G2863" t="s">
        <v>150</v>
      </c>
      <c r="H2863" t="s">
        <v>150</v>
      </c>
      <c r="I2863" t="s">
        <v>43</v>
      </c>
      <c r="J2863" t="s">
        <v>44</v>
      </c>
      <c r="K2863" t="s">
        <v>30</v>
      </c>
      <c r="L2863" t="s">
        <v>31</v>
      </c>
      <c r="M2863" t="s">
        <v>140</v>
      </c>
      <c r="N2863">
        <v>1596</v>
      </c>
      <c r="O2863">
        <v>3.2172510000000001E-2</v>
      </c>
      <c r="P2863">
        <v>2.5196492000000001E-2</v>
      </c>
      <c r="Q2863" t="str">
        <f t="shared" si="88"/>
        <v>35-49</v>
      </c>
      <c r="R2863" t="str">
        <f t="shared" si="89"/>
        <v>[fiRkU6gEjLz]|35-49|Female|PLHIV_Attend.T_1|CY2024Q3</v>
      </c>
    </row>
    <row r="2864" spans="4:18" x14ac:dyDescent="0.2">
      <c r="D2864" t="s">
        <v>78</v>
      </c>
      <c r="E2864" t="s">
        <v>79</v>
      </c>
      <c r="F2864" t="s">
        <v>80</v>
      </c>
      <c r="G2864" t="s">
        <v>150</v>
      </c>
      <c r="H2864" t="s">
        <v>150</v>
      </c>
      <c r="I2864" t="s">
        <v>45</v>
      </c>
      <c r="J2864" t="s">
        <v>46</v>
      </c>
      <c r="K2864" t="s">
        <v>30</v>
      </c>
      <c r="L2864" t="s">
        <v>31</v>
      </c>
      <c r="M2864" t="s">
        <v>140</v>
      </c>
      <c r="N2864">
        <v>759</v>
      </c>
      <c r="O2864">
        <v>4.5616479000000001E-2</v>
      </c>
      <c r="P2864">
        <v>2.5196492000000001E-2</v>
      </c>
      <c r="Q2864" t="str">
        <f t="shared" si="88"/>
        <v>50+</v>
      </c>
      <c r="R2864" t="str">
        <f t="shared" si="89"/>
        <v>[fiRkU6gEjLz]|50+|Female|PLHIV_Attend.T_1|CY2024Q3</v>
      </c>
    </row>
    <row r="2865" spans="4:18" x14ac:dyDescent="0.2">
      <c r="D2865" t="s">
        <v>78</v>
      </c>
      <c r="E2865" t="s">
        <v>79</v>
      </c>
      <c r="F2865" t="s">
        <v>80</v>
      </c>
      <c r="G2865" t="s">
        <v>150</v>
      </c>
      <c r="H2865" t="s">
        <v>150</v>
      </c>
      <c r="I2865" t="s">
        <v>28</v>
      </c>
      <c r="J2865" t="s">
        <v>29</v>
      </c>
      <c r="K2865" t="s">
        <v>48</v>
      </c>
      <c r="L2865" t="s">
        <v>49</v>
      </c>
      <c r="M2865" t="s">
        <v>140</v>
      </c>
      <c r="N2865">
        <v>3</v>
      </c>
      <c r="O2865">
        <v>3.4168523999999999E-2</v>
      </c>
      <c r="P2865">
        <v>2.5196492000000001E-2</v>
      </c>
      <c r="Q2865" t="str">
        <f t="shared" si="88"/>
        <v>&lt;01</v>
      </c>
      <c r="R2865" t="str">
        <f t="shared" si="89"/>
        <v>[fiRkU6gEjLz]|&lt;01|Male|PLHIV_Attend.T_1|CY2024Q3</v>
      </c>
    </row>
    <row r="2866" spans="4:18" x14ac:dyDescent="0.2">
      <c r="D2866" t="s">
        <v>78</v>
      </c>
      <c r="E2866" t="s">
        <v>79</v>
      </c>
      <c r="F2866" t="s">
        <v>80</v>
      </c>
      <c r="G2866" t="s">
        <v>150</v>
      </c>
      <c r="H2866" t="s">
        <v>150</v>
      </c>
      <c r="I2866" t="s">
        <v>33</v>
      </c>
      <c r="J2866" t="s">
        <v>34</v>
      </c>
      <c r="K2866" t="s">
        <v>48</v>
      </c>
      <c r="L2866" t="s">
        <v>49</v>
      </c>
      <c r="M2866" t="s">
        <v>140</v>
      </c>
      <c r="N2866">
        <v>54</v>
      </c>
      <c r="O2866">
        <v>4.2781473E-2</v>
      </c>
      <c r="P2866">
        <v>2.5196492000000001E-2</v>
      </c>
      <c r="Q2866" t="str">
        <f t="shared" si="88"/>
        <v>01-09</v>
      </c>
      <c r="R2866" t="str">
        <f t="shared" si="89"/>
        <v>[fiRkU6gEjLz]|01-09|Male|PLHIV_Attend.T_1|CY2024Q3</v>
      </c>
    </row>
    <row r="2867" spans="4:18" x14ac:dyDescent="0.2">
      <c r="D2867" t="s">
        <v>78</v>
      </c>
      <c r="E2867" t="s">
        <v>79</v>
      </c>
      <c r="F2867" t="s">
        <v>80</v>
      </c>
      <c r="G2867" t="s">
        <v>150</v>
      </c>
      <c r="H2867" t="s">
        <v>150</v>
      </c>
      <c r="I2867" t="s">
        <v>36</v>
      </c>
      <c r="J2867" t="s">
        <v>37</v>
      </c>
      <c r="K2867" t="s">
        <v>48</v>
      </c>
      <c r="L2867" t="s">
        <v>49</v>
      </c>
      <c r="M2867" t="s">
        <v>140</v>
      </c>
      <c r="N2867">
        <v>69</v>
      </c>
      <c r="O2867">
        <v>5.3797572000000002E-2</v>
      </c>
      <c r="P2867">
        <v>2.5196492000000001E-2</v>
      </c>
      <c r="Q2867" t="str">
        <f t="shared" si="88"/>
        <v>10-14</v>
      </c>
      <c r="R2867" t="str">
        <f t="shared" si="89"/>
        <v>[fiRkU6gEjLz]|10-14|Male|PLHIV_Attend.T_1|CY2024Q3</v>
      </c>
    </row>
    <row r="2868" spans="4:18" x14ac:dyDescent="0.2">
      <c r="D2868" t="s">
        <v>78</v>
      </c>
      <c r="E2868" t="s">
        <v>79</v>
      </c>
      <c r="F2868" t="s">
        <v>80</v>
      </c>
      <c r="G2868" t="s">
        <v>150</v>
      </c>
      <c r="H2868" t="s">
        <v>150</v>
      </c>
      <c r="I2868" t="s">
        <v>38</v>
      </c>
      <c r="J2868" t="s">
        <v>39</v>
      </c>
      <c r="K2868" t="s">
        <v>48</v>
      </c>
      <c r="L2868" t="s">
        <v>49</v>
      </c>
      <c r="M2868" t="s">
        <v>140</v>
      </c>
      <c r="N2868">
        <v>175</v>
      </c>
      <c r="O2868">
        <v>7.4171145999999993E-2</v>
      </c>
      <c r="P2868">
        <v>2.5196492000000001E-2</v>
      </c>
      <c r="Q2868" t="str">
        <f t="shared" si="88"/>
        <v>15-24</v>
      </c>
      <c r="R2868" t="str">
        <f t="shared" si="89"/>
        <v>[fiRkU6gEjLz]|15-24|Male|PLHIV_Attend.T_1|CY2024Q3</v>
      </c>
    </row>
    <row r="2869" spans="4:18" x14ac:dyDescent="0.2">
      <c r="D2869" t="s">
        <v>78</v>
      </c>
      <c r="E2869" t="s">
        <v>79</v>
      </c>
      <c r="F2869" t="s">
        <v>80</v>
      </c>
      <c r="G2869" t="s">
        <v>150</v>
      </c>
      <c r="H2869" t="s">
        <v>150</v>
      </c>
      <c r="I2869" t="s">
        <v>41</v>
      </c>
      <c r="J2869" t="s">
        <v>42</v>
      </c>
      <c r="K2869" t="s">
        <v>48</v>
      </c>
      <c r="L2869" t="s">
        <v>49</v>
      </c>
      <c r="M2869" t="s">
        <v>140</v>
      </c>
      <c r="N2869">
        <v>235</v>
      </c>
      <c r="O2869">
        <v>7.6048981000000002E-2</v>
      </c>
      <c r="P2869">
        <v>2.5196492000000001E-2</v>
      </c>
      <c r="Q2869" t="str">
        <f t="shared" si="88"/>
        <v>25-34</v>
      </c>
      <c r="R2869" t="str">
        <f t="shared" si="89"/>
        <v>[fiRkU6gEjLz]|25-34|Male|PLHIV_Attend.T_1|CY2024Q3</v>
      </c>
    </row>
    <row r="2870" spans="4:18" x14ac:dyDescent="0.2">
      <c r="D2870" t="s">
        <v>78</v>
      </c>
      <c r="E2870" t="s">
        <v>79</v>
      </c>
      <c r="F2870" t="s">
        <v>80</v>
      </c>
      <c r="G2870" t="s">
        <v>150</v>
      </c>
      <c r="H2870" t="s">
        <v>150</v>
      </c>
      <c r="I2870" t="s">
        <v>43</v>
      </c>
      <c r="J2870" t="s">
        <v>44</v>
      </c>
      <c r="K2870" t="s">
        <v>48</v>
      </c>
      <c r="L2870" t="s">
        <v>49</v>
      </c>
      <c r="M2870" t="s">
        <v>140</v>
      </c>
      <c r="N2870">
        <v>925</v>
      </c>
      <c r="O2870">
        <v>4.2619773999999999E-2</v>
      </c>
      <c r="P2870">
        <v>2.5196492000000001E-2</v>
      </c>
      <c r="Q2870" t="str">
        <f t="shared" si="88"/>
        <v>35-49</v>
      </c>
      <c r="R2870" t="str">
        <f t="shared" si="89"/>
        <v>[fiRkU6gEjLz]|35-49|Male|PLHIV_Attend.T_1|CY2024Q3</v>
      </c>
    </row>
    <row r="2871" spans="4:18" x14ac:dyDescent="0.2">
      <c r="D2871" t="s">
        <v>78</v>
      </c>
      <c r="E2871" t="s">
        <v>79</v>
      </c>
      <c r="F2871" t="s">
        <v>80</v>
      </c>
      <c r="G2871" t="s">
        <v>150</v>
      </c>
      <c r="H2871" t="s">
        <v>150</v>
      </c>
      <c r="I2871" t="s">
        <v>45</v>
      </c>
      <c r="J2871" t="s">
        <v>46</v>
      </c>
      <c r="K2871" t="s">
        <v>48</v>
      </c>
      <c r="L2871" t="s">
        <v>49</v>
      </c>
      <c r="M2871" t="s">
        <v>140</v>
      </c>
      <c r="N2871">
        <v>710</v>
      </c>
      <c r="O2871">
        <v>4.4929533000000001E-2</v>
      </c>
      <c r="P2871">
        <v>2.5196492000000001E-2</v>
      </c>
      <c r="Q2871" t="str">
        <f t="shared" si="88"/>
        <v>50+</v>
      </c>
      <c r="R2871" t="str">
        <f t="shared" si="89"/>
        <v>[fiRkU6gEjLz]|50+|Male|PLHIV_Attend.T_1|CY2024Q3</v>
      </c>
    </row>
    <row r="2872" spans="4:18" x14ac:dyDescent="0.2">
      <c r="D2872" t="s">
        <v>81</v>
      </c>
      <c r="E2872" t="s">
        <v>82</v>
      </c>
      <c r="F2872" t="s">
        <v>83</v>
      </c>
      <c r="G2872" t="s">
        <v>150</v>
      </c>
      <c r="H2872" t="s">
        <v>150</v>
      </c>
      <c r="I2872" t="s">
        <v>28</v>
      </c>
      <c r="J2872" t="s">
        <v>29</v>
      </c>
      <c r="K2872" t="s">
        <v>30</v>
      </c>
      <c r="L2872" t="s">
        <v>31</v>
      </c>
      <c r="M2872" t="s">
        <v>140</v>
      </c>
      <c r="N2872">
        <v>7</v>
      </c>
      <c r="O2872">
        <v>2.8729576999999999E-2</v>
      </c>
      <c r="P2872">
        <v>1.954036E-2</v>
      </c>
      <c r="Q2872" t="str">
        <f t="shared" si="88"/>
        <v>&lt;01</v>
      </c>
      <c r="R2872" t="str">
        <f t="shared" si="89"/>
        <v>[zphK9WV8JB4]|&lt;01|Female|PLHIV_Attend.T_1|CY2024Q3</v>
      </c>
    </row>
    <row r="2873" spans="4:18" x14ac:dyDescent="0.2">
      <c r="D2873" t="s">
        <v>81</v>
      </c>
      <c r="E2873" t="s">
        <v>82</v>
      </c>
      <c r="F2873" t="s">
        <v>83</v>
      </c>
      <c r="G2873" t="s">
        <v>150</v>
      </c>
      <c r="H2873" t="s">
        <v>150</v>
      </c>
      <c r="I2873" t="s">
        <v>33</v>
      </c>
      <c r="J2873" t="s">
        <v>34</v>
      </c>
      <c r="K2873" t="s">
        <v>30</v>
      </c>
      <c r="L2873" t="s">
        <v>31</v>
      </c>
      <c r="M2873" t="s">
        <v>140</v>
      </c>
      <c r="N2873">
        <v>134</v>
      </c>
      <c r="O2873">
        <v>3.6763467000000001E-2</v>
      </c>
      <c r="P2873">
        <v>1.954036E-2</v>
      </c>
      <c r="Q2873" t="str">
        <f t="shared" si="88"/>
        <v>01-09</v>
      </c>
      <c r="R2873" t="str">
        <f t="shared" si="89"/>
        <v>[zphK9WV8JB4]|01-09|Female|PLHIV_Attend.T_1|CY2024Q3</v>
      </c>
    </row>
    <row r="2874" spans="4:18" x14ac:dyDescent="0.2">
      <c r="D2874" t="s">
        <v>81</v>
      </c>
      <c r="E2874" t="s">
        <v>82</v>
      </c>
      <c r="F2874" t="s">
        <v>83</v>
      </c>
      <c r="G2874" t="s">
        <v>150</v>
      </c>
      <c r="H2874" t="s">
        <v>150</v>
      </c>
      <c r="I2874" t="s">
        <v>36</v>
      </c>
      <c r="J2874" t="s">
        <v>37</v>
      </c>
      <c r="K2874" t="s">
        <v>30</v>
      </c>
      <c r="L2874" t="s">
        <v>31</v>
      </c>
      <c r="M2874" t="s">
        <v>140</v>
      </c>
      <c r="N2874">
        <v>173</v>
      </c>
      <c r="O2874">
        <v>4.7317869999999998E-2</v>
      </c>
      <c r="P2874">
        <v>1.954036E-2</v>
      </c>
      <c r="Q2874" t="str">
        <f t="shared" si="88"/>
        <v>10-14</v>
      </c>
      <c r="R2874" t="str">
        <f t="shared" si="89"/>
        <v>[zphK9WV8JB4]|10-14|Female|PLHIV_Attend.T_1|CY2024Q3</v>
      </c>
    </row>
    <row r="2875" spans="4:18" x14ac:dyDescent="0.2">
      <c r="D2875" t="s">
        <v>81</v>
      </c>
      <c r="E2875" t="s">
        <v>82</v>
      </c>
      <c r="F2875" t="s">
        <v>83</v>
      </c>
      <c r="G2875" t="s">
        <v>150</v>
      </c>
      <c r="H2875" t="s">
        <v>150</v>
      </c>
      <c r="I2875" t="s">
        <v>38</v>
      </c>
      <c r="J2875" t="s">
        <v>39</v>
      </c>
      <c r="K2875" t="s">
        <v>30</v>
      </c>
      <c r="L2875" t="s">
        <v>31</v>
      </c>
      <c r="M2875" t="s">
        <v>140</v>
      </c>
      <c r="N2875">
        <v>612</v>
      </c>
      <c r="O2875">
        <v>6.2648623000000001E-2</v>
      </c>
      <c r="P2875">
        <v>1.954036E-2</v>
      </c>
      <c r="Q2875" t="str">
        <f t="shared" si="88"/>
        <v>15-24</v>
      </c>
      <c r="R2875" t="str">
        <f t="shared" si="89"/>
        <v>[zphK9WV8JB4]|15-24|Female|PLHIV_Attend.T_1|CY2024Q3</v>
      </c>
    </row>
    <row r="2876" spans="4:18" x14ac:dyDescent="0.2">
      <c r="D2876" t="s">
        <v>81</v>
      </c>
      <c r="E2876" t="s">
        <v>82</v>
      </c>
      <c r="F2876" t="s">
        <v>83</v>
      </c>
      <c r="G2876" t="s">
        <v>150</v>
      </c>
      <c r="H2876" t="s">
        <v>150</v>
      </c>
      <c r="I2876" t="s">
        <v>41</v>
      </c>
      <c r="J2876" t="s">
        <v>42</v>
      </c>
      <c r="K2876" t="s">
        <v>30</v>
      </c>
      <c r="L2876" t="s">
        <v>31</v>
      </c>
      <c r="M2876" t="s">
        <v>140</v>
      </c>
      <c r="N2876">
        <v>1562</v>
      </c>
      <c r="O2876">
        <v>4.6680890000000003E-2</v>
      </c>
      <c r="P2876">
        <v>1.954036E-2</v>
      </c>
      <c r="Q2876" t="str">
        <f t="shared" si="88"/>
        <v>25-34</v>
      </c>
      <c r="R2876" t="str">
        <f t="shared" si="89"/>
        <v>[zphK9WV8JB4]|25-34|Female|PLHIV_Attend.T_1|CY2024Q3</v>
      </c>
    </row>
    <row r="2877" spans="4:18" x14ac:dyDescent="0.2">
      <c r="D2877" t="s">
        <v>81</v>
      </c>
      <c r="E2877" t="s">
        <v>82</v>
      </c>
      <c r="F2877" t="s">
        <v>83</v>
      </c>
      <c r="G2877" t="s">
        <v>150</v>
      </c>
      <c r="H2877" t="s">
        <v>150</v>
      </c>
      <c r="I2877" t="s">
        <v>43</v>
      </c>
      <c r="J2877" t="s">
        <v>44</v>
      </c>
      <c r="K2877" t="s">
        <v>30</v>
      </c>
      <c r="L2877" t="s">
        <v>31</v>
      </c>
      <c r="M2877" t="s">
        <v>140</v>
      </c>
      <c r="N2877">
        <v>4306</v>
      </c>
      <c r="O2877">
        <v>2.7408819000000001E-2</v>
      </c>
      <c r="P2877">
        <v>1.954036E-2</v>
      </c>
      <c r="Q2877" t="str">
        <f t="shared" si="88"/>
        <v>35-49</v>
      </c>
      <c r="R2877" t="str">
        <f t="shared" si="89"/>
        <v>[zphK9WV8JB4]|35-49|Female|PLHIV_Attend.T_1|CY2024Q3</v>
      </c>
    </row>
    <row r="2878" spans="4:18" x14ac:dyDescent="0.2">
      <c r="D2878" t="s">
        <v>81</v>
      </c>
      <c r="E2878" t="s">
        <v>82</v>
      </c>
      <c r="F2878" t="s">
        <v>83</v>
      </c>
      <c r="G2878" t="s">
        <v>150</v>
      </c>
      <c r="H2878" t="s">
        <v>150</v>
      </c>
      <c r="I2878" t="s">
        <v>45</v>
      </c>
      <c r="J2878" t="s">
        <v>46</v>
      </c>
      <c r="K2878" t="s">
        <v>30</v>
      </c>
      <c r="L2878" t="s">
        <v>31</v>
      </c>
      <c r="M2878" t="s">
        <v>140</v>
      </c>
      <c r="N2878">
        <v>2086</v>
      </c>
      <c r="O2878">
        <v>4.2101303999999999E-2</v>
      </c>
      <c r="P2878">
        <v>1.954036E-2</v>
      </c>
      <c r="Q2878" t="str">
        <f t="shared" si="88"/>
        <v>50+</v>
      </c>
      <c r="R2878" t="str">
        <f t="shared" si="89"/>
        <v>[zphK9WV8JB4]|50+|Female|PLHIV_Attend.T_1|CY2024Q3</v>
      </c>
    </row>
    <row r="2879" spans="4:18" x14ac:dyDescent="0.2">
      <c r="D2879" t="s">
        <v>81</v>
      </c>
      <c r="E2879" t="s">
        <v>82</v>
      </c>
      <c r="F2879" t="s">
        <v>83</v>
      </c>
      <c r="G2879" t="s">
        <v>150</v>
      </c>
      <c r="H2879" t="s">
        <v>150</v>
      </c>
      <c r="I2879" t="s">
        <v>28</v>
      </c>
      <c r="J2879" t="s">
        <v>29</v>
      </c>
      <c r="K2879" t="s">
        <v>48</v>
      </c>
      <c r="L2879" t="s">
        <v>49</v>
      </c>
      <c r="M2879" t="s">
        <v>140</v>
      </c>
      <c r="N2879">
        <v>7</v>
      </c>
      <c r="O2879">
        <v>2.8709024E-2</v>
      </c>
      <c r="P2879">
        <v>1.954036E-2</v>
      </c>
      <c r="Q2879" t="str">
        <f t="shared" si="88"/>
        <v>&lt;01</v>
      </c>
      <c r="R2879" t="str">
        <f t="shared" si="89"/>
        <v>[zphK9WV8JB4]|&lt;01|Male|PLHIV_Attend.T_1|CY2024Q3</v>
      </c>
    </row>
    <row r="2880" spans="4:18" x14ac:dyDescent="0.2">
      <c r="D2880" t="s">
        <v>81</v>
      </c>
      <c r="E2880" t="s">
        <v>82</v>
      </c>
      <c r="F2880" t="s">
        <v>83</v>
      </c>
      <c r="G2880" t="s">
        <v>150</v>
      </c>
      <c r="H2880" t="s">
        <v>150</v>
      </c>
      <c r="I2880" t="s">
        <v>33</v>
      </c>
      <c r="J2880" t="s">
        <v>34</v>
      </c>
      <c r="K2880" t="s">
        <v>48</v>
      </c>
      <c r="L2880" t="s">
        <v>49</v>
      </c>
      <c r="M2880" t="s">
        <v>140</v>
      </c>
      <c r="N2880">
        <v>135</v>
      </c>
      <c r="O2880">
        <v>3.6737147999999997E-2</v>
      </c>
      <c r="P2880">
        <v>1.954036E-2</v>
      </c>
      <c r="Q2880" t="str">
        <f t="shared" si="88"/>
        <v>01-09</v>
      </c>
      <c r="R2880" t="str">
        <f t="shared" si="89"/>
        <v>[zphK9WV8JB4]|01-09|Male|PLHIV_Attend.T_1|CY2024Q3</v>
      </c>
    </row>
    <row r="2881" spans="4:18" x14ac:dyDescent="0.2">
      <c r="D2881" t="s">
        <v>81</v>
      </c>
      <c r="E2881" t="s">
        <v>82</v>
      </c>
      <c r="F2881" t="s">
        <v>83</v>
      </c>
      <c r="G2881" t="s">
        <v>150</v>
      </c>
      <c r="H2881" t="s">
        <v>150</v>
      </c>
      <c r="I2881" t="s">
        <v>36</v>
      </c>
      <c r="J2881" t="s">
        <v>37</v>
      </c>
      <c r="K2881" t="s">
        <v>48</v>
      </c>
      <c r="L2881" t="s">
        <v>49</v>
      </c>
      <c r="M2881" t="s">
        <v>140</v>
      </c>
      <c r="N2881">
        <v>172</v>
      </c>
      <c r="O2881">
        <v>4.7319714999999998E-2</v>
      </c>
      <c r="P2881">
        <v>1.954036E-2</v>
      </c>
      <c r="Q2881" t="str">
        <f t="shared" si="88"/>
        <v>10-14</v>
      </c>
      <c r="R2881" t="str">
        <f t="shared" si="89"/>
        <v>[zphK9WV8JB4]|10-14|Male|PLHIV_Attend.T_1|CY2024Q3</v>
      </c>
    </row>
    <row r="2882" spans="4:18" x14ac:dyDescent="0.2">
      <c r="D2882" t="s">
        <v>81</v>
      </c>
      <c r="E2882" t="s">
        <v>82</v>
      </c>
      <c r="F2882" t="s">
        <v>83</v>
      </c>
      <c r="G2882" t="s">
        <v>150</v>
      </c>
      <c r="H2882" t="s">
        <v>150</v>
      </c>
      <c r="I2882" t="s">
        <v>38</v>
      </c>
      <c r="J2882" t="s">
        <v>39</v>
      </c>
      <c r="K2882" t="s">
        <v>48</v>
      </c>
      <c r="L2882" t="s">
        <v>49</v>
      </c>
      <c r="M2882" t="s">
        <v>140</v>
      </c>
      <c r="N2882">
        <v>463</v>
      </c>
      <c r="O2882">
        <v>7.4628169999999994E-2</v>
      </c>
      <c r="P2882">
        <v>1.954036E-2</v>
      </c>
      <c r="Q2882" t="str">
        <f t="shared" si="88"/>
        <v>15-24</v>
      </c>
      <c r="R2882" t="str">
        <f t="shared" si="89"/>
        <v>[zphK9WV8JB4]|15-24|Male|PLHIV_Attend.T_1|CY2024Q3</v>
      </c>
    </row>
    <row r="2883" spans="4:18" x14ac:dyDescent="0.2">
      <c r="D2883" t="s">
        <v>81</v>
      </c>
      <c r="E2883" t="s">
        <v>82</v>
      </c>
      <c r="F2883" t="s">
        <v>83</v>
      </c>
      <c r="G2883" t="s">
        <v>150</v>
      </c>
      <c r="H2883" t="s">
        <v>150</v>
      </c>
      <c r="I2883" t="s">
        <v>41</v>
      </c>
      <c r="J2883" t="s">
        <v>42</v>
      </c>
      <c r="K2883" t="s">
        <v>48</v>
      </c>
      <c r="L2883" t="s">
        <v>49</v>
      </c>
      <c r="M2883" t="s">
        <v>140</v>
      </c>
      <c r="N2883">
        <v>655</v>
      </c>
      <c r="O2883">
        <v>7.4836622000000005E-2</v>
      </c>
      <c r="P2883">
        <v>1.954036E-2</v>
      </c>
      <c r="Q2883" t="str">
        <f t="shared" ref="Q2883:Q2946" si="90">SUBSTITUTE(SUBSTITUTE($I2883,CHAR(61),""),CHAR(34),"")</f>
        <v>25-34</v>
      </c>
      <c r="R2883" t="str">
        <f t="shared" ref="R2883:R2946" si="91">IF($D2883&lt;&gt;"","["&amp;$E2883&amp;"]"&amp;"|"&amp;$Q2883&amp;"|"&amp;$K2883&amp;"|"&amp;$G2883&amp;"|"&amp;IF($G2883="TX_CURR_SUBNAT.R","CY2023Q4",$M2883),"")</f>
        <v>[zphK9WV8JB4]|25-34|Male|PLHIV_Attend.T_1|CY2024Q3</v>
      </c>
    </row>
    <row r="2884" spans="4:18" x14ac:dyDescent="0.2">
      <c r="D2884" t="s">
        <v>81</v>
      </c>
      <c r="E2884" t="s">
        <v>82</v>
      </c>
      <c r="F2884" t="s">
        <v>83</v>
      </c>
      <c r="G2884" t="s">
        <v>150</v>
      </c>
      <c r="H2884" t="s">
        <v>150</v>
      </c>
      <c r="I2884" t="s">
        <v>43</v>
      </c>
      <c r="J2884" t="s">
        <v>44</v>
      </c>
      <c r="K2884" t="s">
        <v>48</v>
      </c>
      <c r="L2884" t="s">
        <v>49</v>
      </c>
      <c r="M2884" t="s">
        <v>140</v>
      </c>
      <c r="N2884">
        <v>2558</v>
      </c>
      <c r="O2884">
        <v>3.9533550000000001E-2</v>
      </c>
      <c r="P2884">
        <v>1.954036E-2</v>
      </c>
      <c r="Q2884" t="str">
        <f t="shared" si="90"/>
        <v>35-49</v>
      </c>
      <c r="R2884" t="str">
        <f t="shared" si="91"/>
        <v>[zphK9WV8JB4]|35-49|Male|PLHIV_Attend.T_1|CY2024Q3</v>
      </c>
    </row>
    <row r="2885" spans="4:18" x14ac:dyDescent="0.2">
      <c r="D2885" t="s">
        <v>81</v>
      </c>
      <c r="E2885" t="s">
        <v>82</v>
      </c>
      <c r="F2885" t="s">
        <v>83</v>
      </c>
      <c r="G2885" t="s">
        <v>150</v>
      </c>
      <c r="H2885" t="s">
        <v>150</v>
      </c>
      <c r="I2885" t="s">
        <v>45</v>
      </c>
      <c r="J2885" t="s">
        <v>46</v>
      </c>
      <c r="K2885" t="s">
        <v>48</v>
      </c>
      <c r="L2885" t="s">
        <v>49</v>
      </c>
      <c r="M2885" t="s">
        <v>140</v>
      </c>
      <c r="N2885">
        <v>1994</v>
      </c>
      <c r="O2885">
        <v>3.9572594000000003E-2</v>
      </c>
      <c r="P2885">
        <v>1.954036E-2</v>
      </c>
      <c r="Q2885" t="str">
        <f t="shared" si="90"/>
        <v>50+</v>
      </c>
      <c r="R2885" t="str">
        <f t="shared" si="91"/>
        <v>[zphK9WV8JB4]|50+|Male|PLHIV_Attend.T_1|CY2024Q3</v>
      </c>
    </row>
    <row r="2886" spans="4:18" x14ac:dyDescent="0.2">
      <c r="D2886" t="s">
        <v>84</v>
      </c>
      <c r="E2886" t="s">
        <v>85</v>
      </c>
      <c r="F2886" t="s">
        <v>86</v>
      </c>
      <c r="G2886" t="s">
        <v>150</v>
      </c>
      <c r="H2886" t="s">
        <v>150</v>
      </c>
      <c r="I2886" t="s">
        <v>28</v>
      </c>
      <c r="J2886" t="s">
        <v>29</v>
      </c>
      <c r="K2886" t="s">
        <v>30</v>
      </c>
      <c r="L2886" t="s">
        <v>31</v>
      </c>
      <c r="M2886" t="s">
        <v>140</v>
      </c>
      <c r="N2886">
        <v>11</v>
      </c>
      <c r="O2886">
        <v>2.3789491999999999E-2</v>
      </c>
      <c r="P2886">
        <v>1.4951951999999999E-2</v>
      </c>
      <c r="Q2886" t="str">
        <f t="shared" si="90"/>
        <v>&lt;01</v>
      </c>
      <c r="R2886" t="str">
        <f t="shared" si="91"/>
        <v>[msW2zpIN7up]|&lt;01|Female|PLHIV_Attend.T_1|CY2024Q3</v>
      </c>
    </row>
    <row r="2887" spans="4:18" x14ac:dyDescent="0.2">
      <c r="D2887" t="s">
        <v>84</v>
      </c>
      <c r="E2887" t="s">
        <v>85</v>
      </c>
      <c r="F2887" t="s">
        <v>86</v>
      </c>
      <c r="G2887" t="s">
        <v>150</v>
      </c>
      <c r="H2887" t="s">
        <v>150</v>
      </c>
      <c r="I2887" t="s">
        <v>33</v>
      </c>
      <c r="J2887" t="s">
        <v>34</v>
      </c>
      <c r="K2887" t="s">
        <v>30</v>
      </c>
      <c r="L2887" t="s">
        <v>31</v>
      </c>
      <c r="M2887" t="s">
        <v>140</v>
      </c>
      <c r="N2887">
        <v>217</v>
      </c>
      <c r="O2887">
        <v>3.2468704000000001E-2</v>
      </c>
      <c r="P2887">
        <v>1.4951951999999999E-2</v>
      </c>
      <c r="Q2887" t="str">
        <f t="shared" si="90"/>
        <v>01-09</v>
      </c>
      <c r="R2887" t="str">
        <f t="shared" si="91"/>
        <v>[msW2zpIN7up]|01-09|Female|PLHIV_Attend.T_1|CY2024Q3</v>
      </c>
    </row>
    <row r="2888" spans="4:18" x14ac:dyDescent="0.2">
      <c r="D2888" t="s">
        <v>84</v>
      </c>
      <c r="E2888" t="s">
        <v>85</v>
      </c>
      <c r="F2888" t="s">
        <v>86</v>
      </c>
      <c r="G2888" t="s">
        <v>150</v>
      </c>
      <c r="H2888" t="s">
        <v>150</v>
      </c>
      <c r="I2888" t="s">
        <v>36</v>
      </c>
      <c r="J2888" t="s">
        <v>37</v>
      </c>
      <c r="K2888" t="s">
        <v>30</v>
      </c>
      <c r="L2888" t="s">
        <v>31</v>
      </c>
      <c r="M2888" t="s">
        <v>140</v>
      </c>
      <c r="N2888">
        <v>271</v>
      </c>
      <c r="O2888">
        <v>4.3360950000000002E-2</v>
      </c>
      <c r="P2888">
        <v>1.4951951999999999E-2</v>
      </c>
      <c r="Q2888" t="str">
        <f t="shared" si="90"/>
        <v>10-14</v>
      </c>
      <c r="R2888" t="str">
        <f t="shared" si="91"/>
        <v>[msW2zpIN7up]|10-14|Female|PLHIV_Attend.T_1|CY2024Q3</v>
      </c>
    </row>
    <row r="2889" spans="4:18" x14ac:dyDescent="0.2">
      <c r="D2889" t="s">
        <v>84</v>
      </c>
      <c r="E2889" t="s">
        <v>85</v>
      </c>
      <c r="F2889" t="s">
        <v>86</v>
      </c>
      <c r="G2889" t="s">
        <v>150</v>
      </c>
      <c r="H2889" t="s">
        <v>150</v>
      </c>
      <c r="I2889" t="s">
        <v>38</v>
      </c>
      <c r="J2889" t="s">
        <v>39</v>
      </c>
      <c r="K2889" t="s">
        <v>30</v>
      </c>
      <c r="L2889" t="s">
        <v>31</v>
      </c>
      <c r="M2889" t="s">
        <v>140</v>
      </c>
      <c r="N2889">
        <v>912</v>
      </c>
      <c r="O2889">
        <v>6.1890806E-2</v>
      </c>
      <c r="P2889">
        <v>1.4951951999999999E-2</v>
      </c>
      <c r="Q2889" t="str">
        <f t="shared" si="90"/>
        <v>15-24</v>
      </c>
      <c r="R2889" t="str">
        <f t="shared" si="91"/>
        <v>[msW2zpIN7up]|15-24|Female|PLHIV_Attend.T_1|CY2024Q3</v>
      </c>
    </row>
    <row r="2890" spans="4:18" x14ac:dyDescent="0.2">
      <c r="D2890" t="s">
        <v>84</v>
      </c>
      <c r="E2890" t="s">
        <v>85</v>
      </c>
      <c r="F2890" t="s">
        <v>86</v>
      </c>
      <c r="G2890" t="s">
        <v>150</v>
      </c>
      <c r="H2890" t="s">
        <v>150</v>
      </c>
      <c r="I2890" t="s">
        <v>41</v>
      </c>
      <c r="J2890" t="s">
        <v>42</v>
      </c>
      <c r="K2890" t="s">
        <v>30</v>
      </c>
      <c r="L2890" t="s">
        <v>31</v>
      </c>
      <c r="M2890" t="s">
        <v>140</v>
      </c>
      <c r="N2890">
        <v>2287</v>
      </c>
      <c r="O2890">
        <v>3.9486907000000002E-2</v>
      </c>
      <c r="P2890">
        <v>1.4951951999999999E-2</v>
      </c>
      <c r="Q2890" t="str">
        <f t="shared" si="90"/>
        <v>25-34</v>
      </c>
      <c r="R2890" t="str">
        <f t="shared" si="91"/>
        <v>[msW2zpIN7up]|25-34|Female|PLHIV_Attend.T_1|CY2024Q3</v>
      </c>
    </row>
    <row r="2891" spans="4:18" x14ac:dyDescent="0.2">
      <c r="D2891" t="s">
        <v>84</v>
      </c>
      <c r="E2891" t="s">
        <v>85</v>
      </c>
      <c r="F2891" t="s">
        <v>86</v>
      </c>
      <c r="G2891" t="s">
        <v>150</v>
      </c>
      <c r="H2891" t="s">
        <v>150</v>
      </c>
      <c r="I2891" t="s">
        <v>43</v>
      </c>
      <c r="J2891" t="s">
        <v>44</v>
      </c>
      <c r="K2891" t="s">
        <v>30</v>
      </c>
      <c r="L2891" t="s">
        <v>31</v>
      </c>
      <c r="M2891" t="s">
        <v>140</v>
      </c>
      <c r="N2891">
        <v>5918</v>
      </c>
      <c r="O2891">
        <v>2.3172113000000001E-2</v>
      </c>
      <c r="P2891">
        <v>1.4951951999999999E-2</v>
      </c>
      <c r="Q2891" t="str">
        <f t="shared" si="90"/>
        <v>35-49</v>
      </c>
      <c r="R2891" t="str">
        <f t="shared" si="91"/>
        <v>[msW2zpIN7up]|35-49|Female|PLHIV_Attend.T_1|CY2024Q3</v>
      </c>
    </row>
    <row r="2892" spans="4:18" x14ac:dyDescent="0.2">
      <c r="D2892" t="s">
        <v>84</v>
      </c>
      <c r="E2892" t="s">
        <v>85</v>
      </c>
      <c r="F2892" t="s">
        <v>86</v>
      </c>
      <c r="G2892" t="s">
        <v>150</v>
      </c>
      <c r="H2892" t="s">
        <v>150</v>
      </c>
      <c r="I2892" t="s">
        <v>45</v>
      </c>
      <c r="J2892" t="s">
        <v>46</v>
      </c>
      <c r="K2892" t="s">
        <v>30</v>
      </c>
      <c r="L2892" t="s">
        <v>31</v>
      </c>
      <c r="M2892" t="s">
        <v>140</v>
      </c>
      <c r="N2892">
        <v>2660</v>
      </c>
      <c r="O2892">
        <v>4.1415908000000001E-2</v>
      </c>
      <c r="P2892">
        <v>1.4951951999999999E-2</v>
      </c>
      <c r="Q2892" t="str">
        <f t="shared" si="90"/>
        <v>50+</v>
      </c>
      <c r="R2892" t="str">
        <f t="shared" si="91"/>
        <v>[msW2zpIN7up]|50+|Female|PLHIV_Attend.T_1|CY2024Q3</v>
      </c>
    </row>
    <row r="2893" spans="4:18" x14ac:dyDescent="0.2">
      <c r="D2893" t="s">
        <v>84</v>
      </c>
      <c r="E2893" t="s">
        <v>85</v>
      </c>
      <c r="F2893" t="s">
        <v>86</v>
      </c>
      <c r="G2893" t="s">
        <v>150</v>
      </c>
      <c r="H2893" t="s">
        <v>150</v>
      </c>
      <c r="I2893" t="s">
        <v>28</v>
      </c>
      <c r="J2893" t="s">
        <v>29</v>
      </c>
      <c r="K2893" t="s">
        <v>48</v>
      </c>
      <c r="L2893" t="s">
        <v>49</v>
      </c>
      <c r="M2893" t="s">
        <v>140</v>
      </c>
      <c r="N2893">
        <v>11</v>
      </c>
      <c r="O2893">
        <v>2.3809350999999999E-2</v>
      </c>
      <c r="P2893">
        <v>1.4951951999999999E-2</v>
      </c>
      <c r="Q2893" t="str">
        <f t="shared" si="90"/>
        <v>&lt;01</v>
      </c>
      <c r="R2893" t="str">
        <f t="shared" si="91"/>
        <v>[msW2zpIN7up]|&lt;01|Male|PLHIV_Attend.T_1|CY2024Q3</v>
      </c>
    </row>
    <row r="2894" spans="4:18" x14ac:dyDescent="0.2">
      <c r="D2894" t="s">
        <v>84</v>
      </c>
      <c r="E2894" t="s">
        <v>85</v>
      </c>
      <c r="F2894" t="s">
        <v>86</v>
      </c>
      <c r="G2894" t="s">
        <v>150</v>
      </c>
      <c r="H2894" t="s">
        <v>150</v>
      </c>
      <c r="I2894" t="s">
        <v>33</v>
      </c>
      <c r="J2894" t="s">
        <v>34</v>
      </c>
      <c r="K2894" t="s">
        <v>48</v>
      </c>
      <c r="L2894" t="s">
        <v>49</v>
      </c>
      <c r="M2894" t="s">
        <v>140</v>
      </c>
      <c r="N2894">
        <v>219</v>
      </c>
      <c r="O2894">
        <v>3.2478453999999997E-2</v>
      </c>
      <c r="P2894">
        <v>1.4951951999999999E-2</v>
      </c>
      <c r="Q2894" t="str">
        <f t="shared" si="90"/>
        <v>01-09</v>
      </c>
      <c r="R2894" t="str">
        <f t="shared" si="91"/>
        <v>[msW2zpIN7up]|01-09|Male|PLHIV_Attend.T_1|CY2024Q3</v>
      </c>
    </row>
    <row r="2895" spans="4:18" x14ac:dyDescent="0.2">
      <c r="D2895" t="s">
        <v>84</v>
      </c>
      <c r="E2895" t="s">
        <v>85</v>
      </c>
      <c r="F2895" t="s">
        <v>86</v>
      </c>
      <c r="G2895" t="s">
        <v>150</v>
      </c>
      <c r="H2895" t="s">
        <v>150</v>
      </c>
      <c r="I2895" t="s">
        <v>36</v>
      </c>
      <c r="J2895" t="s">
        <v>37</v>
      </c>
      <c r="K2895" t="s">
        <v>48</v>
      </c>
      <c r="L2895" t="s">
        <v>49</v>
      </c>
      <c r="M2895" t="s">
        <v>140</v>
      </c>
      <c r="N2895">
        <v>271</v>
      </c>
      <c r="O2895">
        <v>4.3360611E-2</v>
      </c>
      <c r="P2895">
        <v>1.4951951999999999E-2</v>
      </c>
      <c r="Q2895" t="str">
        <f t="shared" si="90"/>
        <v>10-14</v>
      </c>
      <c r="R2895" t="str">
        <f t="shared" si="91"/>
        <v>[msW2zpIN7up]|10-14|Male|PLHIV_Attend.T_1|CY2024Q3</v>
      </c>
    </row>
    <row r="2896" spans="4:18" x14ac:dyDescent="0.2">
      <c r="D2896" t="s">
        <v>84</v>
      </c>
      <c r="E2896" t="s">
        <v>85</v>
      </c>
      <c r="F2896" t="s">
        <v>86</v>
      </c>
      <c r="G2896" t="s">
        <v>150</v>
      </c>
      <c r="H2896" t="s">
        <v>150</v>
      </c>
      <c r="I2896" t="s">
        <v>38</v>
      </c>
      <c r="J2896" t="s">
        <v>39</v>
      </c>
      <c r="K2896" t="s">
        <v>48</v>
      </c>
      <c r="L2896" t="s">
        <v>49</v>
      </c>
      <c r="M2896" t="s">
        <v>140</v>
      </c>
      <c r="N2896">
        <v>637</v>
      </c>
      <c r="O2896">
        <v>6.7257848999999995E-2</v>
      </c>
      <c r="P2896">
        <v>1.4951951999999999E-2</v>
      </c>
      <c r="Q2896" t="str">
        <f t="shared" si="90"/>
        <v>15-24</v>
      </c>
      <c r="R2896" t="str">
        <f t="shared" si="91"/>
        <v>[msW2zpIN7up]|15-24|Male|PLHIV_Attend.T_1|CY2024Q3</v>
      </c>
    </row>
    <row r="2897" spans="4:18" x14ac:dyDescent="0.2">
      <c r="D2897" t="s">
        <v>84</v>
      </c>
      <c r="E2897" t="s">
        <v>85</v>
      </c>
      <c r="F2897" t="s">
        <v>86</v>
      </c>
      <c r="G2897" t="s">
        <v>150</v>
      </c>
      <c r="H2897" t="s">
        <v>150</v>
      </c>
      <c r="I2897" t="s">
        <v>41</v>
      </c>
      <c r="J2897" t="s">
        <v>42</v>
      </c>
      <c r="K2897" t="s">
        <v>48</v>
      </c>
      <c r="L2897" t="s">
        <v>49</v>
      </c>
      <c r="M2897" t="s">
        <v>140</v>
      </c>
      <c r="N2897">
        <v>770</v>
      </c>
      <c r="O2897">
        <v>6.8663476000000001E-2</v>
      </c>
      <c r="P2897">
        <v>1.4951951999999999E-2</v>
      </c>
      <c r="Q2897" t="str">
        <f t="shared" si="90"/>
        <v>25-34</v>
      </c>
      <c r="R2897" t="str">
        <f t="shared" si="91"/>
        <v>[msW2zpIN7up]|25-34|Male|PLHIV_Attend.T_1|CY2024Q3</v>
      </c>
    </row>
    <row r="2898" spans="4:18" x14ac:dyDescent="0.2">
      <c r="D2898" t="s">
        <v>84</v>
      </c>
      <c r="E2898" t="s">
        <v>85</v>
      </c>
      <c r="F2898" t="s">
        <v>86</v>
      </c>
      <c r="G2898" t="s">
        <v>150</v>
      </c>
      <c r="H2898" t="s">
        <v>150</v>
      </c>
      <c r="I2898" t="s">
        <v>43</v>
      </c>
      <c r="J2898" t="s">
        <v>44</v>
      </c>
      <c r="K2898" t="s">
        <v>48</v>
      </c>
      <c r="L2898" t="s">
        <v>49</v>
      </c>
      <c r="M2898" t="s">
        <v>140</v>
      </c>
      <c r="N2898">
        <v>3033</v>
      </c>
      <c r="O2898">
        <v>3.3960994000000001E-2</v>
      </c>
      <c r="P2898">
        <v>1.4951951999999999E-2</v>
      </c>
      <c r="Q2898" t="str">
        <f t="shared" si="90"/>
        <v>35-49</v>
      </c>
      <c r="R2898" t="str">
        <f t="shared" si="91"/>
        <v>[msW2zpIN7up]|35-49|Male|PLHIV_Attend.T_1|CY2024Q3</v>
      </c>
    </row>
    <row r="2899" spans="4:18" x14ac:dyDescent="0.2">
      <c r="D2899" t="s">
        <v>84</v>
      </c>
      <c r="E2899" t="s">
        <v>85</v>
      </c>
      <c r="F2899" t="s">
        <v>86</v>
      </c>
      <c r="G2899" t="s">
        <v>150</v>
      </c>
      <c r="H2899" t="s">
        <v>150</v>
      </c>
      <c r="I2899" t="s">
        <v>45</v>
      </c>
      <c r="J2899" t="s">
        <v>46</v>
      </c>
      <c r="K2899" t="s">
        <v>48</v>
      </c>
      <c r="L2899" t="s">
        <v>49</v>
      </c>
      <c r="M2899" t="s">
        <v>140</v>
      </c>
      <c r="N2899">
        <v>2221</v>
      </c>
      <c r="O2899">
        <v>3.9182759999999997E-2</v>
      </c>
      <c r="P2899">
        <v>1.4951951999999999E-2</v>
      </c>
      <c r="Q2899" t="str">
        <f t="shared" si="90"/>
        <v>50+</v>
      </c>
      <c r="R2899" t="str">
        <f t="shared" si="91"/>
        <v>[msW2zpIN7up]|50+|Male|PLHIV_Attend.T_1|CY2024Q3</v>
      </c>
    </row>
    <row r="2900" spans="4:18" x14ac:dyDescent="0.2">
      <c r="D2900" t="s">
        <v>87</v>
      </c>
      <c r="E2900" t="s">
        <v>88</v>
      </c>
      <c r="F2900" t="s">
        <v>89</v>
      </c>
      <c r="G2900" t="s">
        <v>150</v>
      </c>
      <c r="H2900" t="s">
        <v>150</v>
      </c>
      <c r="I2900" t="s">
        <v>28</v>
      </c>
      <c r="J2900" t="s">
        <v>29</v>
      </c>
      <c r="K2900" t="s">
        <v>30</v>
      </c>
      <c r="L2900" t="s">
        <v>31</v>
      </c>
      <c r="M2900" t="s">
        <v>140</v>
      </c>
      <c r="N2900">
        <v>66</v>
      </c>
      <c r="O2900">
        <v>1.5747048E-2</v>
      </c>
      <c r="P2900">
        <v>9.7365620000000007E-3</v>
      </c>
      <c r="Q2900" t="str">
        <f t="shared" si="90"/>
        <v>&lt;01</v>
      </c>
      <c r="R2900" t="str">
        <f t="shared" si="91"/>
        <v>[ScR9iFKAasW]|&lt;01|Female|PLHIV_Attend.T_1|CY2024Q3</v>
      </c>
    </row>
    <row r="2901" spans="4:18" x14ac:dyDescent="0.2">
      <c r="D2901" t="s">
        <v>87</v>
      </c>
      <c r="E2901" t="s">
        <v>88</v>
      </c>
      <c r="F2901" t="s">
        <v>89</v>
      </c>
      <c r="G2901" t="s">
        <v>150</v>
      </c>
      <c r="H2901" t="s">
        <v>150</v>
      </c>
      <c r="I2901" t="s">
        <v>33</v>
      </c>
      <c r="J2901" t="s">
        <v>34</v>
      </c>
      <c r="K2901" t="s">
        <v>30</v>
      </c>
      <c r="L2901" t="s">
        <v>31</v>
      </c>
      <c r="M2901" t="s">
        <v>140</v>
      </c>
      <c r="N2901">
        <v>1160</v>
      </c>
      <c r="O2901">
        <v>2.2224548E-2</v>
      </c>
      <c r="P2901">
        <v>9.7365620000000007E-3</v>
      </c>
      <c r="Q2901" t="str">
        <f t="shared" si="90"/>
        <v>01-09</v>
      </c>
      <c r="R2901" t="str">
        <f t="shared" si="91"/>
        <v>[ScR9iFKAasW]|01-09|Female|PLHIV_Attend.T_1|CY2024Q3</v>
      </c>
    </row>
    <row r="2902" spans="4:18" x14ac:dyDescent="0.2">
      <c r="D2902" t="s">
        <v>87</v>
      </c>
      <c r="E2902" t="s">
        <v>88</v>
      </c>
      <c r="F2902" t="s">
        <v>89</v>
      </c>
      <c r="G2902" t="s">
        <v>150</v>
      </c>
      <c r="H2902" t="s">
        <v>150</v>
      </c>
      <c r="I2902" t="s">
        <v>36</v>
      </c>
      <c r="J2902" t="s">
        <v>37</v>
      </c>
      <c r="K2902" t="s">
        <v>30</v>
      </c>
      <c r="L2902" t="s">
        <v>31</v>
      </c>
      <c r="M2902" t="s">
        <v>140</v>
      </c>
      <c r="N2902">
        <v>1370</v>
      </c>
      <c r="O2902">
        <v>3.0750698E-2</v>
      </c>
      <c r="P2902">
        <v>9.7365620000000007E-3</v>
      </c>
      <c r="Q2902" t="str">
        <f t="shared" si="90"/>
        <v>10-14</v>
      </c>
      <c r="R2902" t="str">
        <f t="shared" si="91"/>
        <v>[ScR9iFKAasW]|10-14|Female|PLHIV_Attend.T_1|CY2024Q3</v>
      </c>
    </row>
    <row r="2903" spans="4:18" x14ac:dyDescent="0.2">
      <c r="D2903" t="s">
        <v>87</v>
      </c>
      <c r="E2903" t="s">
        <v>88</v>
      </c>
      <c r="F2903" t="s">
        <v>89</v>
      </c>
      <c r="G2903" t="s">
        <v>150</v>
      </c>
      <c r="H2903" t="s">
        <v>150</v>
      </c>
      <c r="I2903" t="s">
        <v>38</v>
      </c>
      <c r="J2903" t="s">
        <v>39</v>
      </c>
      <c r="K2903" t="s">
        <v>30</v>
      </c>
      <c r="L2903" t="s">
        <v>31</v>
      </c>
      <c r="M2903" t="s">
        <v>140</v>
      </c>
      <c r="N2903">
        <v>5461</v>
      </c>
      <c r="O2903">
        <v>5.8737612000000002E-2</v>
      </c>
      <c r="P2903">
        <v>9.7365620000000007E-3</v>
      </c>
      <c r="Q2903" t="str">
        <f t="shared" si="90"/>
        <v>15-24</v>
      </c>
      <c r="R2903" t="str">
        <f t="shared" si="91"/>
        <v>[ScR9iFKAasW]|15-24|Female|PLHIV_Attend.T_1|CY2024Q3</v>
      </c>
    </row>
    <row r="2904" spans="4:18" x14ac:dyDescent="0.2">
      <c r="D2904" t="s">
        <v>87</v>
      </c>
      <c r="E2904" t="s">
        <v>88</v>
      </c>
      <c r="F2904" t="s">
        <v>89</v>
      </c>
      <c r="G2904" t="s">
        <v>150</v>
      </c>
      <c r="H2904" t="s">
        <v>150</v>
      </c>
      <c r="I2904" t="s">
        <v>41</v>
      </c>
      <c r="J2904" t="s">
        <v>42</v>
      </c>
      <c r="K2904" t="s">
        <v>30</v>
      </c>
      <c r="L2904" t="s">
        <v>31</v>
      </c>
      <c r="M2904" t="s">
        <v>140</v>
      </c>
      <c r="N2904">
        <v>16364</v>
      </c>
      <c r="O2904">
        <v>3.5598036E-2</v>
      </c>
      <c r="P2904">
        <v>9.7365620000000007E-3</v>
      </c>
      <c r="Q2904" t="str">
        <f t="shared" si="90"/>
        <v>25-34</v>
      </c>
      <c r="R2904" t="str">
        <f t="shared" si="91"/>
        <v>[ScR9iFKAasW]|25-34|Female|PLHIV_Attend.T_1|CY2024Q3</v>
      </c>
    </row>
    <row r="2905" spans="4:18" x14ac:dyDescent="0.2">
      <c r="D2905" t="s">
        <v>87</v>
      </c>
      <c r="E2905" t="s">
        <v>88</v>
      </c>
      <c r="F2905" t="s">
        <v>89</v>
      </c>
      <c r="G2905" t="s">
        <v>150</v>
      </c>
      <c r="H2905" t="s">
        <v>150</v>
      </c>
      <c r="I2905" t="s">
        <v>43</v>
      </c>
      <c r="J2905" t="s">
        <v>44</v>
      </c>
      <c r="K2905" t="s">
        <v>30</v>
      </c>
      <c r="L2905" t="s">
        <v>31</v>
      </c>
      <c r="M2905" t="s">
        <v>140</v>
      </c>
      <c r="N2905">
        <v>38193</v>
      </c>
      <c r="O2905">
        <v>1.8510544E-2</v>
      </c>
      <c r="P2905">
        <v>9.7365620000000007E-3</v>
      </c>
      <c r="Q2905" t="str">
        <f t="shared" si="90"/>
        <v>35-49</v>
      </c>
      <c r="R2905" t="str">
        <f t="shared" si="91"/>
        <v>[ScR9iFKAasW]|35-49|Female|PLHIV_Attend.T_1|CY2024Q3</v>
      </c>
    </row>
    <row r="2906" spans="4:18" x14ac:dyDescent="0.2">
      <c r="D2906" t="s">
        <v>87</v>
      </c>
      <c r="E2906" t="s">
        <v>88</v>
      </c>
      <c r="F2906" t="s">
        <v>89</v>
      </c>
      <c r="G2906" t="s">
        <v>150</v>
      </c>
      <c r="H2906" t="s">
        <v>150</v>
      </c>
      <c r="I2906" t="s">
        <v>45</v>
      </c>
      <c r="J2906" t="s">
        <v>46</v>
      </c>
      <c r="K2906" t="s">
        <v>30</v>
      </c>
      <c r="L2906" t="s">
        <v>31</v>
      </c>
      <c r="M2906" t="s">
        <v>140</v>
      </c>
      <c r="N2906">
        <v>13016</v>
      </c>
      <c r="O2906">
        <v>3.8929801E-2</v>
      </c>
      <c r="P2906">
        <v>9.7365620000000007E-3</v>
      </c>
      <c r="Q2906" t="str">
        <f t="shared" si="90"/>
        <v>50+</v>
      </c>
      <c r="R2906" t="str">
        <f t="shared" si="91"/>
        <v>[ScR9iFKAasW]|50+|Female|PLHIV_Attend.T_1|CY2024Q3</v>
      </c>
    </row>
    <row r="2907" spans="4:18" x14ac:dyDescent="0.2">
      <c r="D2907" t="s">
        <v>87</v>
      </c>
      <c r="E2907" t="s">
        <v>88</v>
      </c>
      <c r="F2907" t="s">
        <v>89</v>
      </c>
      <c r="G2907" t="s">
        <v>150</v>
      </c>
      <c r="H2907" t="s">
        <v>150</v>
      </c>
      <c r="I2907" t="s">
        <v>28</v>
      </c>
      <c r="J2907" t="s">
        <v>29</v>
      </c>
      <c r="K2907" t="s">
        <v>48</v>
      </c>
      <c r="L2907" t="s">
        <v>49</v>
      </c>
      <c r="M2907" t="s">
        <v>140</v>
      </c>
      <c r="N2907">
        <v>67</v>
      </c>
      <c r="O2907">
        <v>1.5742417000000002E-2</v>
      </c>
      <c r="P2907">
        <v>9.7365620000000007E-3</v>
      </c>
      <c r="Q2907" t="str">
        <f t="shared" si="90"/>
        <v>&lt;01</v>
      </c>
      <c r="R2907" t="str">
        <f t="shared" si="91"/>
        <v>[ScR9iFKAasW]|&lt;01|Male|PLHIV_Attend.T_1|CY2024Q3</v>
      </c>
    </row>
    <row r="2908" spans="4:18" x14ac:dyDescent="0.2">
      <c r="D2908" t="s">
        <v>87</v>
      </c>
      <c r="E2908" t="s">
        <v>88</v>
      </c>
      <c r="F2908" t="s">
        <v>89</v>
      </c>
      <c r="G2908" t="s">
        <v>150</v>
      </c>
      <c r="H2908" t="s">
        <v>150</v>
      </c>
      <c r="I2908" t="s">
        <v>33</v>
      </c>
      <c r="J2908" t="s">
        <v>34</v>
      </c>
      <c r="K2908" t="s">
        <v>48</v>
      </c>
      <c r="L2908" t="s">
        <v>49</v>
      </c>
      <c r="M2908" t="s">
        <v>140</v>
      </c>
      <c r="N2908">
        <v>1163</v>
      </c>
      <c r="O2908">
        <v>2.2208779000000001E-2</v>
      </c>
      <c r="P2908">
        <v>9.7365620000000007E-3</v>
      </c>
      <c r="Q2908" t="str">
        <f t="shared" si="90"/>
        <v>01-09</v>
      </c>
      <c r="R2908" t="str">
        <f t="shared" si="91"/>
        <v>[ScR9iFKAasW]|01-09|Male|PLHIV_Attend.T_1|CY2024Q3</v>
      </c>
    </row>
    <row r="2909" spans="4:18" x14ac:dyDescent="0.2">
      <c r="D2909" t="s">
        <v>87</v>
      </c>
      <c r="E2909" t="s">
        <v>88</v>
      </c>
      <c r="F2909" t="s">
        <v>89</v>
      </c>
      <c r="G2909" t="s">
        <v>150</v>
      </c>
      <c r="H2909" t="s">
        <v>150</v>
      </c>
      <c r="I2909" t="s">
        <v>36</v>
      </c>
      <c r="J2909" t="s">
        <v>37</v>
      </c>
      <c r="K2909" t="s">
        <v>48</v>
      </c>
      <c r="L2909" t="s">
        <v>49</v>
      </c>
      <c r="M2909" t="s">
        <v>140</v>
      </c>
      <c r="N2909">
        <v>1330</v>
      </c>
      <c r="O2909">
        <v>3.063128E-2</v>
      </c>
      <c r="P2909">
        <v>9.7365620000000007E-3</v>
      </c>
      <c r="Q2909" t="str">
        <f t="shared" si="90"/>
        <v>10-14</v>
      </c>
      <c r="R2909" t="str">
        <f t="shared" si="91"/>
        <v>[ScR9iFKAasW]|10-14|Male|PLHIV_Attend.T_1|CY2024Q3</v>
      </c>
    </row>
    <row r="2910" spans="4:18" x14ac:dyDescent="0.2">
      <c r="D2910" t="s">
        <v>87</v>
      </c>
      <c r="E2910" t="s">
        <v>88</v>
      </c>
      <c r="F2910" t="s">
        <v>89</v>
      </c>
      <c r="G2910" t="s">
        <v>150</v>
      </c>
      <c r="H2910" t="s">
        <v>150</v>
      </c>
      <c r="I2910" t="s">
        <v>38</v>
      </c>
      <c r="J2910" t="s">
        <v>39</v>
      </c>
      <c r="K2910" t="s">
        <v>48</v>
      </c>
      <c r="L2910" t="s">
        <v>49</v>
      </c>
      <c r="M2910" t="s">
        <v>140</v>
      </c>
      <c r="N2910">
        <v>3771</v>
      </c>
      <c r="O2910">
        <v>7.1078586999999999E-2</v>
      </c>
      <c r="P2910">
        <v>9.7365620000000007E-3</v>
      </c>
      <c r="Q2910" t="str">
        <f t="shared" si="90"/>
        <v>15-24</v>
      </c>
      <c r="R2910" t="str">
        <f t="shared" si="91"/>
        <v>[ScR9iFKAasW]|15-24|Male|PLHIV_Attend.T_1|CY2024Q3</v>
      </c>
    </row>
    <row r="2911" spans="4:18" x14ac:dyDescent="0.2">
      <c r="D2911" t="s">
        <v>87</v>
      </c>
      <c r="E2911" t="s">
        <v>88</v>
      </c>
      <c r="F2911" t="s">
        <v>89</v>
      </c>
      <c r="G2911" t="s">
        <v>150</v>
      </c>
      <c r="H2911" t="s">
        <v>150</v>
      </c>
      <c r="I2911" t="s">
        <v>41</v>
      </c>
      <c r="J2911" t="s">
        <v>42</v>
      </c>
      <c r="K2911" t="s">
        <v>48</v>
      </c>
      <c r="L2911" t="s">
        <v>49</v>
      </c>
      <c r="M2911" t="s">
        <v>140</v>
      </c>
      <c r="N2911">
        <v>6572</v>
      </c>
      <c r="O2911">
        <v>6.5787195000000007E-2</v>
      </c>
      <c r="P2911">
        <v>9.7365620000000007E-3</v>
      </c>
      <c r="Q2911" t="str">
        <f t="shared" si="90"/>
        <v>25-34</v>
      </c>
      <c r="R2911" t="str">
        <f t="shared" si="91"/>
        <v>[ScR9iFKAasW]|25-34|Male|PLHIV_Attend.T_1|CY2024Q3</v>
      </c>
    </row>
    <row r="2912" spans="4:18" x14ac:dyDescent="0.2">
      <c r="D2912" t="s">
        <v>87</v>
      </c>
      <c r="E2912" t="s">
        <v>88</v>
      </c>
      <c r="F2912" t="s">
        <v>89</v>
      </c>
      <c r="G2912" t="s">
        <v>150</v>
      </c>
      <c r="H2912" t="s">
        <v>150</v>
      </c>
      <c r="I2912" t="s">
        <v>43</v>
      </c>
      <c r="J2912" t="s">
        <v>44</v>
      </c>
      <c r="K2912" t="s">
        <v>48</v>
      </c>
      <c r="L2912" t="s">
        <v>49</v>
      </c>
      <c r="M2912" t="s">
        <v>140</v>
      </c>
      <c r="N2912">
        <v>24733</v>
      </c>
      <c r="O2912">
        <v>2.8120760000000002E-2</v>
      </c>
      <c r="P2912">
        <v>9.7365620000000007E-3</v>
      </c>
      <c r="Q2912" t="str">
        <f t="shared" si="90"/>
        <v>35-49</v>
      </c>
      <c r="R2912" t="str">
        <f t="shared" si="91"/>
        <v>[ScR9iFKAasW]|35-49|Male|PLHIV_Attend.T_1|CY2024Q3</v>
      </c>
    </row>
    <row r="2913" spans="4:18" x14ac:dyDescent="0.2">
      <c r="D2913" t="s">
        <v>87</v>
      </c>
      <c r="E2913" t="s">
        <v>88</v>
      </c>
      <c r="F2913" t="s">
        <v>89</v>
      </c>
      <c r="G2913" t="s">
        <v>150</v>
      </c>
      <c r="H2913" t="s">
        <v>150</v>
      </c>
      <c r="I2913" t="s">
        <v>45</v>
      </c>
      <c r="J2913" t="s">
        <v>46</v>
      </c>
      <c r="K2913" t="s">
        <v>48</v>
      </c>
      <c r="L2913" t="s">
        <v>49</v>
      </c>
      <c r="M2913" t="s">
        <v>140</v>
      </c>
      <c r="N2913">
        <v>13577</v>
      </c>
      <c r="O2913">
        <v>3.5908912000000001E-2</v>
      </c>
      <c r="P2913">
        <v>9.7365620000000007E-3</v>
      </c>
      <c r="Q2913" t="str">
        <f t="shared" si="90"/>
        <v>50+</v>
      </c>
      <c r="R2913" t="str">
        <f t="shared" si="91"/>
        <v>[ScR9iFKAasW]|50+|Male|PLHIV_Attend.T_1|CY2024Q3</v>
      </c>
    </row>
    <row r="2914" spans="4:18" x14ac:dyDescent="0.2">
      <c r="D2914" t="s">
        <v>90</v>
      </c>
      <c r="E2914" t="s">
        <v>91</v>
      </c>
      <c r="F2914" t="s">
        <v>92</v>
      </c>
      <c r="G2914" t="s">
        <v>150</v>
      </c>
      <c r="H2914" t="s">
        <v>150</v>
      </c>
      <c r="I2914" t="s">
        <v>28</v>
      </c>
      <c r="J2914" t="s">
        <v>29</v>
      </c>
      <c r="K2914" t="s">
        <v>30</v>
      </c>
      <c r="L2914" t="s">
        <v>31</v>
      </c>
      <c r="M2914" t="s">
        <v>140</v>
      </c>
      <c r="N2914">
        <v>11</v>
      </c>
      <c r="O2914">
        <v>3.1289905E-2</v>
      </c>
      <c r="P2914">
        <v>2.0077922000000002E-2</v>
      </c>
      <c r="Q2914" t="str">
        <f t="shared" si="90"/>
        <v>&lt;01</v>
      </c>
      <c r="R2914" t="str">
        <f t="shared" si="91"/>
        <v>[kxuuIFpOXyO]|&lt;01|Female|PLHIV_Attend.T_1|CY2024Q3</v>
      </c>
    </row>
    <row r="2915" spans="4:18" x14ac:dyDescent="0.2">
      <c r="D2915" t="s">
        <v>90</v>
      </c>
      <c r="E2915" t="s">
        <v>91</v>
      </c>
      <c r="F2915" t="s">
        <v>92</v>
      </c>
      <c r="G2915" t="s">
        <v>150</v>
      </c>
      <c r="H2915" t="s">
        <v>150</v>
      </c>
      <c r="I2915" t="s">
        <v>33</v>
      </c>
      <c r="J2915" t="s">
        <v>34</v>
      </c>
      <c r="K2915" t="s">
        <v>30</v>
      </c>
      <c r="L2915" t="s">
        <v>31</v>
      </c>
      <c r="M2915" t="s">
        <v>140</v>
      </c>
      <c r="N2915">
        <v>214</v>
      </c>
      <c r="O2915">
        <v>4.4384792999999999E-2</v>
      </c>
      <c r="P2915">
        <v>2.0077922000000002E-2</v>
      </c>
      <c r="Q2915" t="str">
        <f t="shared" si="90"/>
        <v>01-09</v>
      </c>
      <c r="R2915" t="str">
        <f t="shared" si="91"/>
        <v>[kxuuIFpOXyO]|01-09|Female|PLHIV_Attend.T_1|CY2024Q3</v>
      </c>
    </row>
    <row r="2916" spans="4:18" x14ac:dyDescent="0.2">
      <c r="D2916" t="s">
        <v>90</v>
      </c>
      <c r="E2916" t="s">
        <v>91</v>
      </c>
      <c r="F2916" t="s">
        <v>92</v>
      </c>
      <c r="G2916" t="s">
        <v>150</v>
      </c>
      <c r="H2916" t="s">
        <v>150</v>
      </c>
      <c r="I2916" t="s">
        <v>36</v>
      </c>
      <c r="J2916" t="s">
        <v>37</v>
      </c>
      <c r="K2916" t="s">
        <v>30</v>
      </c>
      <c r="L2916" t="s">
        <v>31</v>
      </c>
      <c r="M2916" t="s">
        <v>140</v>
      </c>
      <c r="N2916">
        <v>273</v>
      </c>
      <c r="O2916">
        <v>6.1015669000000002E-2</v>
      </c>
      <c r="P2916">
        <v>2.0077922000000002E-2</v>
      </c>
      <c r="Q2916" t="str">
        <f t="shared" si="90"/>
        <v>10-14</v>
      </c>
      <c r="R2916" t="str">
        <f t="shared" si="91"/>
        <v>[kxuuIFpOXyO]|10-14|Female|PLHIV_Attend.T_1|CY2024Q3</v>
      </c>
    </row>
    <row r="2917" spans="4:18" x14ac:dyDescent="0.2">
      <c r="D2917" t="s">
        <v>90</v>
      </c>
      <c r="E2917" t="s">
        <v>91</v>
      </c>
      <c r="F2917" t="s">
        <v>92</v>
      </c>
      <c r="G2917" t="s">
        <v>150</v>
      </c>
      <c r="H2917" t="s">
        <v>150</v>
      </c>
      <c r="I2917" t="s">
        <v>38</v>
      </c>
      <c r="J2917" t="s">
        <v>39</v>
      </c>
      <c r="K2917" t="s">
        <v>30</v>
      </c>
      <c r="L2917" t="s">
        <v>31</v>
      </c>
      <c r="M2917" t="s">
        <v>140</v>
      </c>
      <c r="N2917">
        <v>947</v>
      </c>
      <c r="O2917">
        <v>6.4292435999999994E-2</v>
      </c>
      <c r="P2917">
        <v>2.0077922000000002E-2</v>
      </c>
      <c r="Q2917" t="str">
        <f t="shared" si="90"/>
        <v>15-24</v>
      </c>
      <c r="R2917" t="str">
        <f t="shared" si="91"/>
        <v>[kxuuIFpOXyO]|15-24|Female|PLHIV_Attend.T_1|CY2024Q3</v>
      </c>
    </row>
    <row r="2918" spans="4:18" x14ac:dyDescent="0.2">
      <c r="D2918" t="s">
        <v>90</v>
      </c>
      <c r="E2918" t="s">
        <v>91</v>
      </c>
      <c r="F2918" t="s">
        <v>92</v>
      </c>
      <c r="G2918" t="s">
        <v>150</v>
      </c>
      <c r="H2918" t="s">
        <v>150</v>
      </c>
      <c r="I2918" t="s">
        <v>41</v>
      </c>
      <c r="J2918" t="s">
        <v>42</v>
      </c>
      <c r="K2918" t="s">
        <v>30</v>
      </c>
      <c r="L2918" t="s">
        <v>31</v>
      </c>
      <c r="M2918" t="s">
        <v>140</v>
      </c>
      <c r="N2918">
        <v>2415</v>
      </c>
      <c r="O2918">
        <v>4.3698554000000001E-2</v>
      </c>
      <c r="P2918">
        <v>2.0077922000000002E-2</v>
      </c>
      <c r="Q2918" t="str">
        <f t="shared" si="90"/>
        <v>25-34</v>
      </c>
      <c r="R2918" t="str">
        <f t="shared" si="91"/>
        <v>[kxuuIFpOXyO]|25-34|Female|PLHIV_Attend.T_1|CY2024Q3</v>
      </c>
    </row>
    <row r="2919" spans="4:18" x14ac:dyDescent="0.2">
      <c r="D2919" t="s">
        <v>90</v>
      </c>
      <c r="E2919" t="s">
        <v>91</v>
      </c>
      <c r="F2919" t="s">
        <v>92</v>
      </c>
      <c r="G2919" t="s">
        <v>150</v>
      </c>
      <c r="H2919" t="s">
        <v>150</v>
      </c>
      <c r="I2919" t="s">
        <v>43</v>
      </c>
      <c r="J2919" t="s">
        <v>44</v>
      </c>
      <c r="K2919" t="s">
        <v>30</v>
      </c>
      <c r="L2919" t="s">
        <v>31</v>
      </c>
      <c r="M2919" t="s">
        <v>140</v>
      </c>
      <c r="N2919">
        <v>6412</v>
      </c>
      <c r="O2919">
        <v>2.6863667000000001E-2</v>
      </c>
      <c r="P2919">
        <v>2.0077922000000002E-2</v>
      </c>
      <c r="Q2919" t="str">
        <f t="shared" si="90"/>
        <v>35-49</v>
      </c>
      <c r="R2919" t="str">
        <f t="shared" si="91"/>
        <v>[kxuuIFpOXyO]|35-49|Female|PLHIV_Attend.T_1|CY2024Q3</v>
      </c>
    </row>
    <row r="2920" spans="4:18" x14ac:dyDescent="0.2">
      <c r="D2920" t="s">
        <v>90</v>
      </c>
      <c r="E2920" t="s">
        <v>91</v>
      </c>
      <c r="F2920" t="s">
        <v>92</v>
      </c>
      <c r="G2920" t="s">
        <v>150</v>
      </c>
      <c r="H2920" t="s">
        <v>150</v>
      </c>
      <c r="I2920" t="s">
        <v>45</v>
      </c>
      <c r="J2920" t="s">
        <v>46</v>
      </c>
      <c r="K2920" t="s">
        <v>30</v>
      </c>
      <c r="L2920" t="s">
        <v>31</v>
      </c>
      <c r="M2920" t="s">
        <v>140</v>
      </c>
      <c r="N2920">
        <v>2958</v>
      </c>
      <c r="O2920">
        <v>4.2815681000000001E-2</v>
      </c>
      <c r="P2920">
        <v>2.0077922000000002E-2</v>
      </c>
      <c r="Q2920" t="str">
        <f t="shared" si="90"/>
        <v>50+</v>
      </c>
      <c r="R2920" t="str">
        <f t="shared" si="91"/>
        <v>[kxuuIFpOXyO]|50+|Female|PLHIV_Attend.T_1|CY2024Q3</v>
      </c>
    </row>
    <row r="2921" spans="4:18" x14ac:dyDescent="0.2">
      <c r="D2921" t="s">
        <v>90</v>
      </c>
      <c r="E2921" t="s">
        <v>91</v>
      </c>
      <c r="F2921" t="s">
        <v>92</v>
      </c>
      <c r="G2921" t="s">
        <v>150</v>
      </c>
      <c r="H2921" t="s">
        <v>150</v>
      </c>
      <c r="I2921" t="s">
        <v>28</v>
      </c>
      <c r="J2921" t="s">
        <v>29</v>
      </c>
      <c r="K2921" t="s">
        <v>48</v>
      </c>
      <c r="L2921" t="s">
        <v>49</v>
      </c>
      <c r="M2921" t="s">
        <v>140</v>
      </c>
      <c r="N2921">
        <v>11</v>
      </c>
      <c r="O2921">
        <v>3.1194738E-2</v>
      </c>
      <c r="P2921">
        <v>2.0077922000000002E-2</v>
      </c>
      <c r="Q2921" t="str">
        <f t="shared" si="90"/>
        <v>&lt;01</v>
      </c>
      <c r="R2921" t="str">
        <f t="shared" si="91"/>
        <v>[kxuuIFpOXyO]|&lt;01|Male|PLHIV_Attend.T_1|CY2024Q3</v>
      </c>
    </row>
    <row r="2922" spans="4:18" x14ac:dyDescent="0.2">
      <c r="D2922" t="s">
        <v>90</v>
      </c>
      <c r="E2922" t="s">
        <v>91</v>
      </c>
      <c r="F2922" t="s">
        <v>92</v>
      </c>
      <c r="G2922" t="s">
        <v>150</v>
      </c>
      <c r="H2922" t="s">
        <v>150</v>
      </c>
      <c r="I2922" t="s">
        <v>33</v>
      </c>
      <c r="J2922" t="s">
        <v>34</v>
      </c>
      <c r="K2922" t="s">
        <v>48</v>
      </c>
      <c r="L2922" t="s">
        <v>49</v>
      </c>
      <c r="M2922" t="s">
        <v>140</v>
      </c>
      <c r="N2922">
        <v>214</v>
      </c>
      <c r="O2922">
        <v>4.4312712999999997E-2</v>
      </c>
      <c r="P2922">
        <v>2.0077922000000002E-2</v>
      </c>
      <c r="Q2922" t="str">
        <f t="shared" si="90"/>
        <v>01-09</v>
      </c>
      <c r="R2922" t="str">
        <f t="shared" si="91"/>
        <v>[kxuuIFpOXyO]|01-09|Male|PLHIV_Attend.T_1|CY2024Q3</v>
      </c>
    </row>
    <row r="2923" spans="4:18" x14ac:dyDescent="0.2">
      <c r="D2923" t="s">
        <v>90</v>
      </c>
      <c r="E2923" t="s">
        <v>91</v>
      </c>
      <c r="F2923" t="s">
        <v>92</v>
      </c>
      <c r="G2923" t="s">
        <v>150</v>
      </c>
      <c r="H2923" t="s">
        <v>150</v>
      </c>
      <c r="I2923" t="s">
        <v>36</v>
      </c>
      <c r="J2923" t="s">
        <v>37</v>
      </c>
      <c r="K2923" t="s">
        <v>48</v>
      </c>
      <c r="L2923" t="s">
        <v>49</v>
      </c>
      <c r="M2923" t="s">
        <v>140</v>
      </c>
      <c r="N2923">
        <v>272</v>
      </c>
      <c r="O2923">
        <v>6.1025660000000002E-2</v>
      </c>
      <c r="P2923">
        <v>2.0077922000000002E-2</v>
      </c>
      <c r="Q2923" t="str">
        <f t="shared" si="90"/>
        <v>10-14</v>
      </c>
      <c r="R2923" t="str">
        <f t="shared" si="91"/>
        <v>[kxuuIFpOXyO]|10-14|Male|PLHIV_Attend.T_1|CY2024Q3</v>
      </c>
    </row>
    <row r="2924" spans="4:18" x14ac:dyDescent="0.2">
      <c r="D2924" t="s">
        <v>90</v>
      </c>
      <c r="E2924" t="s">
        <v>91</v>
      </c>
      <c r="F2924" t="s">
        <v>92</v>
      </c>
      <c r="G2924" t="s">
        <v>150</v>
      </c>
      <c r="H2924" t="s">
        <v>150</v>
      </c>
      <c r="I2924" t="s">
        <v>38</v>
      </c>
      <c r="J2924" t="s">
        <v>39</v>
      </c>
      <c r="K2924" t="s">
        <v>48</v>
      </c>
      <c r="L2924" t="s">
        <v>49</v>
      </c>
      <c r="M2924" t="s">
        <v>140</v>
      </c>
      <c r="N2924">
        <v>713</v>
      </c>
      <c r="O2924">
        <v>7.7543162999999998E-2</v>
      </c>
      <c r="P2924">
        <v>2.0077922000000002E-2</v>
      </c>
      <c r="Q2924" t="str">
        <f t="shared" si="90"/>
        <v>15-24</v>
      </c>
      <c r="R2924" t="str">
        <f t="shared" si="91"/>
        <v>[kxuuIFpOXyO]|15-24|Male|PLHIV_Attend.T_1|CY2024Q3</v>
      </c>
    </row>
    <row r="2925" spans="4:18" x14ac:dyDescent="0.2">
      <c r="D2925" t="s">
        <v>90</v>
      </c>
      <c r="E2925" t="s">
        <v>91</v>
      </c>
      <c r="F2925" t="s">
        <v>92</v>
      </c>
      <c r="G2925" t="s">
        <v>150</v>
      </c>
      <c r="H2925" t="s">
        <v>150</v>
      </c>
      <c r="I2925" t="s">
        <v>41</v>
      </c>
      <c r="J2925" t="s">
        <v>42</v>
      </c>
      <c r="K2925" t="s">
        <v>48</v>
      </c>
      <c r="L2925" t="s">
        <v>49</v>
      </c>
      <c r="M2925" t="s">
        <v>140</v>
      </c>
      <c r="N2925">
        <v>985</v>
      </c>
      <c r="O2925">
        <v>7.1999650999999998E-2</v>
      </c>
      <c r="P2925">
        <v>2.0077922000000002E-2</v>
      </c>
      <c r="Q2925" t="str">
        <f t="shared" si="90"/>
        <v>25-34</v>
      </c>
      <c r="R2925" t="str">
        <f t="shared" si="91"/>
        <v>[kxuuIFpOXyO]|25-34|Male|PLHIV_Attend.T_1|CY2024Q3</v>
      </c>
    </row>
    <row r="2926" spans="4:18" x14ac:dyDescent="0.2">
      <c r="D2926" t="s">
        <v>90</v>
      </c>
      <c r="E2926" t="s">
        <v>91</v>
      </c>
      <c r="F2926" t="s">
        <v>92</v>
      </c>
      <c r="G2926" t="s">
        <v>150</v>
      </c>
      <c r="H2926" t="s">
        <v>150</v>
      </c>
      <c r="I2926" t="s">
        <v>43</v>
      </c>
      <c r="J2926" t="s">
        <v>44</v>
      </c>
      <c r="K2926" t="s">
        <v>48</v>
      </c>
      <c r="L2926" t="s">
        <v>49</v>
      </c>
      <c r="M2926" t="s">
        <v>140</v>
      </c>
      <c r="N2926">
        <v>3783</v>
      </c>
      <c r="O2926">
        <v>3.7191690999999999E-2</v>
      </c>
      <c r="P2926">
        <v>2.0077922000000002E-2</v>
      </c>
      <c r="Q2926" t="str">
        <f t="shared" si="90"/>
        <v>35-49</v>
      </c>
      <c r="R2926" t="str">
        <f t="shared" si="91"/>
        <v>[kxuuIFpOXyO]|35-49|Male|PLHIV_Attend.T_1|CY2024Q3</v>
      </c>
    </row>
    <row r="2927" spans="4:18" x14ac:dyDescent="0.2">
      <c r="D2927" t="s">
        <v>90</v>
      </c>
      <c r="E2927" t="s">
        <v>91</v>
      </c>
      <c r="F2927" t="s">
        <v>92</v>
      </c>
      <c r="G2927" t="s">
        <v>150</v>
      </c>
      <c r="H2927" t="s">
        <v>150</v>
      </c>
      <c r="I2927" t="s">
        <v>45</v>
      </c>
      <c r="J2927" t="s">
        <v>46</v>
      </c>
      <c r="K2927" t="s">
        <v>48</v>
      </c>
      <c r="L2927" t="s">
        <v>49</v>
      </c>
      <c r="M2927" t="s">
        <v>140</v>
      </c>
      <c r="N2927">
        <v>2864</v>
      </c>
      <c r="O2927">
        <v>4.0333578000000002E-2</v>
      </c>
      <c r="P2927">
        <v>2.0077922000000002E-2</v>
      </c>
      <c r="Q2927" t="str">
        <f t="shared" si="90"/>
        <v>50+</v>
      </c>
      <c r="R2927" t="str">
        <f t="shared" si="91"/>
        <v>[kxuuIFpOXyO]|50+|Male|PLHIV_Attend.T_1|CY2024Q3</v>
      </c>
    </row>
    <row r="2928" spans="4:18" x14ac:dyDescent="0.2">
      <c r="D2928" t="s">
        <v>93</v>
      </c>
      <c r="E2928" t="s">
        <v>94</v>
      </c>
      <c r="F2928" t="s">
        <v>95</v>
      </c>
      <c r="G2928" t="s">
        <v>150</v>
      </c>
      <c r="H2928" t="s">
        <v>150</v>
      </c>
      <c r="I2928" t="s">
        <v>28</v>
      </c>
      <c r="J2928" t="s">
        <v>29</v>
      </c>
      <c r="K2928" t="s">
        <v>30</v>
      </c>
      <c r="L2928" t="s">
        <v>31</v>
      </c>
      <c r="M2928" t="s">
        <v>140</v>
      </c>
      <c r="N2928">
        <v>13</v>
      </c>
      <c r="O2928">
        <v>3.2797711E-2</v>
      </c>
      <c r="P2928">
        <v>2.2981049999999999E-2</v>
      </c>
      <c r="Q2928" t="str">
        <f t="shared" si="90"/>
        <v>&lt;01</v>
      </c>
      <c r="R2928" t="str">
        <f t="shared" si="91"/>
        <v>[PekKUkKHAzY]|&lt;01|Female|PLHIV_Attend.T_1|CY2024Q3</v>
      </c>
    </row>
    <row r="2929" spans="4:18" x14ac:dyDescent="0.2">
      <c r="D2929" t="s">
        <v>93</v>
      </c>
      <c r="E2929" t="s">
        <v>94</v>
      </c>
      <c r="F2929" t="s">
        <v>95</v>
      </c>
      <c r="G2929" t="s">
        <v>150</v>
      </c>
      <c r="H2929" t="s">
        <v>150</v>
      </c>
      <c r="I2929" t="s">
        <v>33</v>
      </c>
      <c r="J2929" t="s">
        <v>34</v>
      </c>
      <c r="K2929" t="s">
        <v>30</v>
      </c>
      <c r="L2929" t="s">
        <v>31</v>
      </c>
      <c r="M2929" t="s">
        <v>140</v>
      </c>
      <c r="N2929">
        <v>246</v>
      </c>
      <c r="O2929">
        <v>4.3180030000000001E-2</v>
      </c>
      <c r="P2929">
        <v>2.2981049999999999E-2</v>
      </c>
      <c r="Q2929" t="str">
        <f t="shared" si="90"/>
        <v>01-09</v>
      </c>
      <c r="R2929" t="str">
        <f t="shared" si="91"/>
        <v>[PekKUkKHAzY]|01-09|Female|PLHIV_Attend.T_1|CY2024Q3</v>
      </c>
    </row>
    <row r="2930" spans="4:18" x14ac:dyDescent="0.2">
      <c r="D2930" t="s">
        <v>93</v>
      </c>
      <c r="E2930" t="s">
        <v>94</v>
      </c>
      <c r="F2930" t="s">
        <v>95</v>
      </c>
      <c r="G2930" t="s">
        <v>150</v>
      </c>
      <c r="H2930" t="s">
        <v>150</v>
      </c>
      <c r="I2930" t="s">
        <v>36</v>
      </c>
      <c r="J2930" t="s">
        <v>37</v>
      </c>
      <c r="K2930" t="s">
        <v>30</v>
      </c>
      <c r="L2930" t="s">
        <v>31</v>
      </c>
      <c r="M2930" t="s">
        <v>140</v>
      </c>
      <c r="N2930">
        <v>310</v>
      </c>
      <c r="O2930">
        <v>5.5542493999999998E-2</v>
      </c>
      <c r="P2930">
        <v>2.2981049999999999E-2</v>
      </c>
      <c r="Q2930" t="str">
        <f t="shared" si="90"/>
        <v>10-14</v>
      </c>
      <c r="R2930" t="str">
        <f t="shared" si="91"/>
        <v>[PekKUkKHAzY]|10-14|Female|PLHIV_Attend.T_1|CY2024Q3</v>
      </c>
    </row>
    <row r="2931" spans="4:18" x14ac:dyDescent="0.2">
      <c r="D2931" t="s">
        <v>93</v>
      </c>
      <c r="E2931" t="s">
        <v>94</v>
      </c>
      <c r="F2931" t="s">
        <v>95</v>
      </c>
      <c r="G2931" t="s">
        <v>150</v>
      </c>
      <c r="H2931" t="s">
        <v>150</v>
      </c>
      <c r="I2931" t="s">
        <v>38</v>
      </c>
      <c r="J2931" t="s">
        <v>39</v>
      </c>
      <c r="K2931" t="s">
        <v>30</v>
      </c>
      <c r="L2931" t="s">
        <v>31</v>
      </c>
      <c r="M2931" t="s">
        <v>140</v>
      </c>
      <c r="N2931">
        <v>1056</v>
      </c>
      <c r="O2931">
        <v>6.3828605999999996E-2</v>
      </c>
      <c r="P2931">
        <v>2.2981049999999999E-2</v>
      </c>
      <c r="Q2931" t="str">
        <f t="shared" si="90"/>
        <v>15-24</v>
      </c>
      <c r="R2931" t="str">
        <f t="shared" si="91"/>
        <v>[PekKUkKHAzY]|15-24|Female|PLHIV_Attend.T_1|CY2024Q3</v>
      </c>
    </row>
    <row r="2932" spans="4:18" x14ac:dyDescent="0.2">
      <c r="D2932" t="s">
        <v>93</v>
      </c>
      <c r="E2932" t="s">
        <v>94</v>
      </c>
      <c r="F2932" t="s">
        <v>95</v>
      </c>
      <c r="G2932" t="s">
        <v>150</v>
      </c>
      <c r="H2932" t="s">
        <v>150</v>
      </c>
      <c r="I2932" t="s">
        <v>41</v>
      </c>
      <c r="J2932" t="s">
        <v>42</v>
      </c>
      <c r="K2932" t="s">
        <v>30</v>
      </c>
      <c r="L2932" t="s">
        <v>31</v>
      </c>
      <c r="M2932" t="s">
        <v>140</v>
      </c>
      <c r="N2932">
        <v>2686</v>
      </c>
      <c r="O2932">
        <v>4.5413724000000003E-2</v>
      </c>
      <c r="P2932">
        <v>2.2981049999999999E-2</v>
      </c>
      <c r="Q2932" t="str">
        <f t="shared" si="90"/>
        <v>25-34</v>
      </c>
      <c r="R2932" t="str">
        <f t="shared" si="91"/>
        <v>[PekKUkKHAzY]|25-34|Female|PLHIV_Attend.T_1|CY2024Q3</v>
      </c>
    </row>
    <row r="2933" spans="4:18" x14ac:dyDescent="0.2">
      <c r="D2933" t="s">
        <v>93</v>
      </c>
      <c r="E2933" t="s">
        <v>94</v>
      </c>
      <c r="F2933" t="s">
        <v>95</v>
      </c>
      <c r="G2933" t="s">
        <v>150</v>
      </c>
      <c r="H2933" t="s">
        <v>150</v>
      </c>
      <c r="I2933" t="s">
        <v>43</v>
      </c>
      <c r="J2933" t="s">
        <v>44</v>
      </c>
      <c r="K2933" t="s">
        <v>30</v>
      </c>
      <c r="L2933" t="s">
        <v>31</v>
      </c>
      <c r="M2933" t="s">
        <v>140</v>
      </c>
      <c r="N2933">
        <v>7302</v>
      </c>
      <c r="O2933">
        <v>2.8715443E-2</v>
      </c>
      <c r="P2933">
        <v>2.2981049999999999E-2</v>
      </c>
      <c r="Q2933" t="str">
        <f t="shared" si="90"/>
        <v>35-49</v>
      </c>
      <c r="R2933" t="str">
        <f t="shared" si="91"/>
        <v>[PekKUkKHAzY]|35-49|Female|PLHIV_Attend.T_1|CY2024Q3</v>
      </c>
    </row>
    <row r="2934" spans="4:18" x14ac:dyDescent="0.2">
      <c r="D2934" t="s">
        <v>93</v>
      </c>
      <c r="E2934" t="s">
        <v>94</v>
      </c>
      <c r="F2934" t="s">
        <v>95</v>
      </c>
      <c r="G2934" t="s">
        <v>150</v>
      </c>
      <c r="H2934" t="s">
        <v>150</v>
      </c>
      <c r="I2934" t="s">
        <v>45</v>
      </c>
      <c r="J2934" t="s">
        <v>46</v>
      </c>
      <c r="K2934" t="s">
        <v>30</v>
      </c>
      <c r="L2934" t="s">
        <v>31</v>
      </c>
      <c r="M2934" t="s">
        <v>140</v>
      </c>
      <c r="N2934">
        <v>3617</v>
      </c>
      <c r="O2934">
        <v>4.4852653999999999E-2</v>
      </c>
      <c r="P2934">
        <v>2.2981049999999999E-2</v>
      </c>
      <c r="Q2934" t="str">
        <f t="shared" si="90"/>
        <v>50+</v>
      </c>
      <c r="R2934" t="str">
        <f t="shared" si="91"/>
        <v>[PekKUkKHAzY]|50+|Female|PLHIV_Attend.T_1|CY2024Q3</v>
      </c>
    </row>
    <row r="2935" spans="4:18" x14ac:dyDescent="0.2">
      <c r="D2935" t="s">
        <v>93</v>
      </c>
      <c r="E2935" t="s">
        <v>94</v>
      </c>
      <c r="F2935" t="s">
        <v>95</v>
      </c>
      <c r="G2935" t="s">
        <v>150</v>
      </c>
      <c r="H2935" t="s">
        <v>150</v>
      </c>
      <c r="I2935" t="s">
        <v>28</v>
      </c>
      <c r="J2935" t="s">
        <v>29</v>
      </c>
      <c r="K2935" t="s">
        <v>48</v>
      </c>
      <c r="L2935" t="s">
        <v>49</v>
      </c>
      <c r="M2935" t="s">
        <v>140</v>
      </c>
      <c r="N2935">
        <v>13</v>
      </c>
      <c r="O2935">
        <v>3.2787043000000002E-2</v>
      </c>
      <c r="P2935">
        <v>2.2981049999999999E-2</v>
      </c>
      <c r="Q2935" t="str">
        <f t="shared" si="90"/>
        <v>&lt;01</v>
      </c>
      <c r="R2935" t="str">
        <f t="shared" si="91"/>
        <v>[PekKUkKHAzY]|&lt;01|Male|PLHIV_Attend.T_1|CY2024Q3</v>
      </c>
    </row>
    <row r="2936" spans="4:18" x14ac:dyDescent="0.2">
      <c r="D2936" t="s">
        <v>93</v>
      </c>
      <c r="E2936" t="s">
        <v>94</v>
      </c>
      <c r="F2936" t="s">
        <v>95</v>
      </c>
      <c r="G2936" t="s">
        <v>150</v>
      </c>
      <c r="H2936" t="s">
        <v>150</v>
      </c>
      <c r="I2936" t="s">
        <v>33</v>
      </c>
      <c r="J2936" t="s">
        <v>34</v>
      </c>
      <c r="K2936" t="s">
        <v>48</v>
      </c>
      <c r="L2936" t="s">
        <v>49</v>
      </c>
      <c r="M2936" t="s">
        <v>140</v>
      </c>
      <c r="N2936">
        <v>247</v>
      </c>
      <c r="O2936">
        <v>4.3231740999999997E-2</v>
      </c>
      <c r="P2936">
        <v>2.2981049999999999E-2</v>
      </c>
      <c r="Q2936" t="str">
        <f t="shared" si="90"/>
        <v>01-09</v>
      </c>
      <c r="R2936" t="str">
        <f t="shared" si="91"/>
        <v>[PekKUkKHAzY]|01-09|Male|PLHIV_Attend.T_1|CY2024Q3</v>
      </c>
    </row>
    <row r="2937" spans="4:18" x14ac:dyDescent="0.2">
      <c r="D2937" t="s">
        <v>93</v>
      </c>
      <c r="E2937" t="s">
        <v>94</v>
      </c>
      <c r="F2937" t="s">
        <v>95</v>
      </c>
      <c r="G2937" t="s">
        <v>150</v>
      </c>
      <c r="H2937" t="s">
        <v>150</v>
      </c>
      <c r="I2937" t="s">
        <v>36</v>
      </c>
      <c r="J2937" t="s">
        <v>37</v>
      </c>
      <c r="K2937" t="s">
        <v>48</v>
      </c>
      <c r="L2937" t="s">
        <v>49</v>
      </c>
      <c r="M2937" t="s">
        <v>140</v>
      </c>
      <c r="N2937">
        <v>308</v>
      </c>
      <c r="O2937">
        <v>5.5656629999999999E-2</v>
      </c>
      <c r="P2937">
        <v>2.2981049999999999E-2</v>
      </c>
      <c r="Q2937" t="str">
        <f t="shared" si="90"/>
        <v>10-14</v>
      </c>
      <c r="R2937" t="str">
        <f t="shared" si="91"/>
        <v>[PekKUkKHAzY]|10-14|Male|PLHIV_Attend.T_1|CY2024Q3</v>
      </c>
    </row>
    <row r="2938" spans="4:18" x14ac:dyDescent="0.2">
      <c r="D2938" t="s">
        <v>93</v>
      </c>
      <c r="E2938" t="s">
        <v>94</v>
      </c>
      <c r="F2938" t="s">
        <v>95</v>
      </c>
      <c r="G2938" t="s">
        <v>150</v>
      </c>
      <c r="H2938" t="s">
        <v>150</v>
      </c>
      <c r="I2938" t="s">
        <v>38</v>
      </c>
      <c r="J2938" t="s">
        <v>39</v>
      </c>
      <c r="K2938" t="s">
        <v>48</v>
      </c>
      <c r="L2938" t="s">
        <v>49</v>
      </c>
      <c r="M2938" t="s">
        <v>140</v>
      </c>
      <c r="N2938">
        <v>756</v>
      </c>
      <c r="O2938">
        <v>7.2873507000000004E-2</v>
      </c>
      <c r="P2938">
        <v>2.2981049999999999E-2</v>
      </c>
      <c r="Q2938" t="str">
        <f t="shared" si="90"/>
        <v>15-24</v>
      </c>
      <c r="R2938" t="str">
        <f t="shared" si="91"/>
        <v>[PekKUkKHAzY]|15-24|Male|PLHIV_Attend.T_1|CY2024Q3</v>
      </c>
    </row>
    <row r="2939" spans="4:18" x14ac:dyDescent="0.2">
      <c r="D2939" t="s">
        <v>93</v>
      </c>
      <c r="E2939" t="s">
        <v>94</v>
      </c>
      <c r="F2939" t="s">
        <v>95</v>
      </c>
      <c r="G2939" t="s">
        <v>150</v>
      </c>
      <c r="H2939" t="s">
        <v>150</v>
      </c>
      <c r="I2939" t="s">
        <v>41</v>
      </c>
      <c r="J2939" t="s">
        <v>42</v>
      </c>
      <c r="K2939" t="s">
        <v>48</v>
      </c>
      <c r="L2939" t="s">
        <v>49</v>
      </c>
      <c r="M2939" t="s">
        <v>140</v>
      </c>
      <c r="N2939">
        <v>970</v>
      </c>
      <c r="O2939">
        <v>7.3561422000000001E-2</v>
      </c>
      <c r="P2939">
        <v>2.2981049999999999E-2</v>
      </c>
      <c r="Q2939" t="str">
        <f t="shared" si="90"/>
        <v>25-34</v>
      </c>
      <c r="R2939" t="str">
        <f t="shared" si="91"/>
        <v>[PekKUkKHAzY]|25-34|Male|PLHIV_Attend.T_1|CY2024Q3</v>
      </c>
    </row>
    <row r="2940" spans="4:18" x14ac:dyDescent="0.2">
      <c r="D2940" t="s">
        <v>93</v>
      </c>
      <c r="E2940" t="s">
        <v>94</v>
      </c>
      <c r="F2940" t="s">
        <v>95</v>
      </c>
      <c r="G2940" t="s">
        <v>150</v>
      </c>
      <c r="H2940" t="s">
        <v>150</v>
      </c>
      <c r="I2940" t="s">
        <v>43</v>
      </c>
      <c r="J2940" t="s">
        <v>44</v>
      </c>
      <c r="K2940" t="s">
        <v>48</v>
      </c>
      <c r="L2940" t="s">
        <v>49</v>
      </c>
      <c r="M2940" t="s">
        <v>140</v>
      </c>
      <c r="N2940">
        <v>3797</v>
      </c>
      <c r="O2940">
        <v>4.0279774999999997E-2</v>
      </c>
      <c r="P2940">
        <v>2.2981049999999999E-2</v>
      </c>
      <c r="Q2940" t="str">
        <f t="shared" si="90"/>
        <v>35-49</v>
      </c>
      <c r="R2940" t="str">
        <f t="shared" si="91"/>
        <v>[PekKUkKHAzY]|35-49|Male|PLHIV_Attend.T_1|CY2024Q3</v>
      </c>
    </row>
    <row r="2941" spans="4:18" x14ac:dyDescent="0.2">
      <c r="D2941" t="s">
        <v>93</v>
      </c>
      <c r="E2941" t="s">
        <v>94</v>
      </c>
      <c r="F2941" t="s">
        <v>95</v>
      </c>
      <c r="G2941" t="s">
        <v>150</v>
      </c>
      <c r="H2941" t="s">
        <v>150</v>
      </c>
      <c r="I2941" t="s">
        <v>45</v>
      </c>
      <c r="J2941" t="s">
        <v>46</v>
      </c>
      <c r="K2941" t="s">
        <v>48</v>
      </c>
      <c r="L2941" t="s">
        <v>49</v>
      </c>
      <c r="M2941" t="s">
        <v>140</v>
      </c>
      <c r="N2941">
        <v>2899</v>
      </c>
      <c r="O2941">
        <v>4.1144868000000001E-2</v>
      </c>
      <c r="P2941">
        <v>2.2981049999999999E-2</v>
      </c>
      <c r="Q2941" t="str">
        <f t="shared" si="90"/>
        <v>50+</v>
      </c>
      <c r="R2941" t="str">
        <f t="shared" si="91"/>
        <v>[PekKUkKHAzY]|50+|Male|PLHIV_Attend.T_1|CY2024Q3</v>
      </c>
    </row>
    <row r="2942" spans="4:18" x14ac:dyDescent="0.2">
      <c r="D2942" t="s">
        <v>96</v>
      </c>
      <c r="E2942" t="s">
        <v>97</v>
      </c>
      <c r="F2942" t="s">
        <v>98</v>
      </c>
      <c r="G2942" t="s">
        <v>150</v>
      </c>
      <c r="H2942" t="s">
        <v>150</v>
      </c>
      <c r="I2942" t="s">
        <v>28</v>
      </c>
      <c r="J2942" t="s">
        <v>29</v>
      </c>
      <c r="K2942" t="s">
        <v>30</v>
      </c>
      <c r="L2942" t="s">
        <v>31</v>
      </c>
      <c r="M2942" t="s">
        <v>140</v>
      </c>
      <c r="N2942">
        <v>19</v>
      </c>
      <c r="O2942">
        <v>2.8992501E-2</v>
      </c>
      <c r="P2942">
        <v>1.9422736999999999E-2</v>
      </c>
      <c r="Q2942" t="str">
        <f t="shared" si="90"/>
        <v>&lt;01</v>
      </c>
      <c r="R2942" t="str">
        <f t="shared" si="91"/>
        <v>[am530wpaGvr]|&lt;01|Female|PLHIV_Attend.T_1|CY2024Q3</v>
      </c>
    </row>
    <row r="2943" spans="4:18" x14ac:dyDescent="0.2">
      <c r="D2943" t="s">
        <v>96</v>
      </c>
      <c r="E2943" t="s">
        <v>97</v>
      </c>
      <c r="F2943" t="s">
        <v>98</v>
      </c>
      <c r="G2943" t="s">
        <v>150</v>
      </c>
      <c r="H2943" t="s">
        <v>150</v>
      </c>
      <c r="I2943" t="s">
        <v>33</v>
      </c>
      <c r="J2943" t="s">
        <v>34</v>
      </c>
      <c r="K2943" t="s">
        <v>30</v>
      </c>
      <c r="L2943" t="s">
        <v>31</v>
      </c>
      <c r="M2943" t="s">
        <v>140</v>
      </c>
      <c r="N2943">
        <v>363</v>
      </c>
      <c r="O2943">
        <v>3.6612037E-2</v>
      </c>
      <c r="P2943">
        <v>1.9422736999999999E-2</v>
      </c>
      <c r="Q2943" t="str">
        <f t="shared" si="90"/>
        <v>01-09</v>
      </c>
      <c r="R2943" t="str">
        <f t="shared" si="91"/>
        <v>[am530wpaGvr]|01-09|Female|PLHIV_Attend.T_1|CY2024Q3</v>
      </c>
    </row>
    <row r="2944" spans="4:18" x14ac:dyDescent="0.2">
      <c r="D2944" t="s">
        <v>96</v>
      </c>
      <c r="E2944" t="s">
        <v>97</v>
      </c>
      <c r="F2944" t="s">
        <v>98</v>
      </c>
      <c r="G2944" t="s">
        <v>150</v>
      </c>
      <c r="H2944" t="s">
        <v>150</v>
      </c>
      <c r="I2944" t="s">
        <v>36</v>
      </c>
      <c r="J2944" t="s">
        <v>37</v>
      </c>
      <c r="K2944" t="s">
        <v>30</v>
      </c>
      <c r="L2944" t="s">
        <v>31</v>
      </c>
      <c r="M2944" t="s">
        <v>140</v>
      </c>
      <c r="N2944">
        <v>460</v>
      </c>
      <c r="O2944">
        <v>4.4576805999999997E-2</v>
      </c>
      <c r="P2944">
        <v>1.9422736999999999E-2</v>
      </c>
      <c r="Q2944" t="str">
        <f t="shared" si="90"/>
        <v>10-14</v>
      </c>
      <c r="R2944" t="str">
        <f t="shared" si="91"/>
        <v>[am530wpaGvr]|10-14|Female|PLHIV_Attend.T_1|CY2024Q3</v>
      </c>
    </row>
    <row r="2945" spans="4:18" x14ac:dyDescent="0.2">
      <c r="D2945" t="s">
        <v>96</v>
      </c>
      <c r="E2945" t="s">
        <v>97</v>
      </c>
      <c r="F2945" t="s">
        <v>98</v>
      </c>
      <c r="G2945" t="s">
        <v>150</v>
      </c>
      <c r="H2945" t="s">
        <v>150</v>
      </c>
      <c r="I2945" t="s">
        <v>38</v>
      </c>
      <c r="J2945" t="s">
        <v>39</v>
      </c>
      <c r="K2945" t="s">
        <v>30</v>
      </c>
      <c r="L2945" t="s">
        <v>31</v>
      </c>
      <c r="M2945" t="s">
        <v>140</v>
      </c>
      <c r="N2945">
        <v>1594</v>
      </c>
      <c r="O2945">
        <v>6.3271148999999999E-2</v>
      </c>
      <c r="P2945">
        <v>1.9422736999999999E-2</v>
      </c>
      <c r="Q2945" t="str">
        <f t="shared" si="90"/>
        <v>15-24</v>
      </c>
      <c r="R2945" t="str">
        <f t="shared" si="91"/>
        <v>[am530wpaGvr]|15-24|Female|PLHIV_Attend.T_1|CY2024Q3</v>
      </c>
    </row>
    <row r="2946" spans="4:18" x14ac:dyDescent="0.2">
      <c r="D2946" t="s">
        <v>96</v>
      </c>
      <c r="E2946" t="s">
        <v>97</v>
      </c>
      <c r="F2946" t="s">
        <v>98</v>
      </c>
      <c r="G2946" t="s">
        <v>150</v>
      </c>
      <c r="H2946" t="s">
        <v>150</v>
      </c>
      <c r="I2946" t="s">
        <v>41</v>
      </c>
      <c r="J2946" t="s">
        <v>42</v>
      </c>
      <c r="K2946" t="s">
        <v>30</v>
      </c>
      <c r="L2946" t="s">
        <v>31</v>
      </c>
      <c r="M2946" t="s">
        <v>140</v>
      </c>
      <c r="N2946">
        <v>3879</v>
      </c>
      <c r="O2946">
        <v>4.3864185999999999E-2</v>
      </c>
      <c r="P2946">
        <v>1.9422736999999999E-2</v>
      </c>
      <c r="Q2946" t="str">
        <f t="shared" si="90"/>
        <v>25-34</v>
      </c>
      <c r="R2946" t="str">
        <f t="shared" si="91"/>
        <v>[am530wpaGvr]|25-34|Female|PLHIV_Attend.T_1|CY2024Q3</v>
      </c>
    </row>
    <row r="2947" spans="4:18" x14ac:dyDescent="0.2">
      <c r="D2947" t="s">
        <v>96</v>
      </c>
      <c r="E2947" t="s">
        <v>97</v>
      </c>
      <c r="F2947" t="s">
        <v>98</v>
      </c>
      <c r="G2947" t="s">
        <v>150</v>
      </c>
      <c r="H2947" t="s">
        <v>150</v>
      </c>
      <c r="I2947" t="s">
        <v>43</v>
      </c>
      <c r="J2947" t="s">
        <v>44</v>
      </c>
      <c r="K2947" t="s">
        <v>30</v>
      </c>
      <c r="L2947" t="s">
        <v>31</v>
      </c>
      <c r="M2947" t="s">
        <v>140</v>
      </c>
      <c r="N2947">
        <v>10382</v>
      </c>
      <c r="O2947">
        <v>2.5324016000000001E-2</v>
      </c>
      <c r="P2947">
        <v>1.9422736999999999E-2</v>
      </c>
      <c r="Q2947" t="str">
        <f t="shared" ref="Q2947:Q3010" si="92">SUBSTITUTE(SUBSTITUTE($I2947,CHAR(61),""),CHAR(34),"")</f>
        <v>35-49</v>
      </c>
      <c r="R2947" t="str">
        <f t="shared" ref="R2947:R3010" si="93">IF($D2947&lt;&gt;"","["&amp;$E2947&amp;"]"&amp;"|"&amp;$Q2947&amp;"|"&amp;$K2947&amp;"|"&amp;$G2947&amp;"|"&amp;IF($G2947="TX_CURR_SUBNAT.R","CY2023Q4",$M2947),"")</f>
        <v>[am530wpaGvr]|35-49|Female|PLHIV_Attend.T_1|CY2024Q3</v>
      </c>
    </row>
    <row r="2948" spans="4:18" x14ac:dyDescent="0.2">
      <c r="D2948" t="s">
        <v>96</v>
      </c>
      <c r="E2948" t="s">
        <v>97</v>
      </c>
      <c r="F2948" t="s">
        <v>98</v>
      </c>
      <c r="G2948" t="s">
        <v>150</v>
      </c>
      <c r="H2948" t="s">
        <v>150</v>
      </c>
      <c r="I2948" t="s">
        <v>45</v>
      </c>
      <c r="J2948" t="s">
        <v>46</v>
      </c>
      <c r="K2948" t="s">
        <v>30</v>
      </c>
      <c r="L2948" t="s">
        <v>31</v>
      </c>
      <c r="M2948" t="s">
        <v>140</v>
      </c>
      <c r="N2948">
        <v>5197</v>
      </c>
      <c r="O2948">
        <v>3.9687884999999999E-2</v>
      </c>
      <c r="P2948">
        <v>1.9422736999999999E-2</v>
      </c>
      <c r="Q2948" t="str">
        <f t="shared" si="92"/>
        <v>50+</v>
      </c>
      <c r="R2948" t="str">
        <f t="shared" si="93"/>
        <v>[am530wpaGvr]|50+|Female|PLHIV_Attend.T_1|CY2024Q3</v>
      </c>
    </row>
    <row r="2949" spans="4:18" x14ac:dyDescent="0.2">
      <c r="D2949" t="s">
        <v>96</v>
      </c>
      <c r="E2949" t="s">
        <v>97</v>
      </c>
      <c r="F2949" t="s">
        <v>98</v>
      </c>
      <c r="G2949" t="s">
        <v>150</v>
      </c>
      <c r="H2949" t="s">
        <v>150</v>
      </c>
      <c r="I2949" t="s">
        <v>28</v>
      </c>
      <c r="J2949" t="s">
        <v>29</v>
      </c>
      <c r="K2949" t="s">
        <v>48</v>
      </c>
      <c r="L2949" t="s">
        <v>49</v>
      </c>
      <c r="M2949" t="s">
        <v>140</v>
      </c>
      <c r="N2949">
        <v>19</v>
      </c>
      <c r="O2949">
        <v>2.8830743999999998E-2</v>
      </c>
      <c r="P2949">
        <v>1.9422736999999999E-2</v>
      </c>
      <c r="Q2949" t="str">
        <f t="shared" si="92"/>
        <v>&lt;01</v>
      </c>
      <c r="R2949" t="str">
        <f t="shared" si="93"/>
        <v>[am530wpaGvr]|&lt;01|Male|PLHIV_Attend.T_1|CY2024Q3</v>
      </c>
    </row>
    <row r="2950" spans="4:18" x14ac:dyDescent="0.2">
      <c r="D2950" t="s">
        <v>96</v>
      </c>
      <c r="E2950" t="s">
        <v>97</v>
      </c>
      <c r="F2950" t="s">
        <v>98</v>
      </c>
      <c r="G2950" t="s">
        <v>150</v>
      </c>
      <c r="H2950" t="s">
        <v>150</v>
      </c>
      <c r="I2950" t="s">
        <v>33</v>
      </c>
      <c r="J2950" t="s">
        <v>34</v>
      </c>
      <c r="K2950" t="s">
        <v>48</v>
      </c>
      <c r="L2950" t="s">
        <v>49</v>
      </c>
      <c r="M2950" t="s">
        <v>140</v>
      </c>
      <c r="N2950">
        <v>372</v>
      </c>
      <c r="O2950">
        <v>3.6428479999999999E-2</v>
      </c>
      <c r="P2950">
        <v>1.9422736999999999E-2</v>
      </c>
      <c r="Q2950" t="str">
        <f t="shared" si="92"/>
        <v>01-09</v>
      </c>
      <c r="R2950" t="str">
        <f t="shared" si="93"/>
        <v>[am530wpaGvr]|01-09|Male|PLHIV_Attend.T_1|CY2024Q3</v>
      </c>
    </row>
    <row r="2951" spans="4:18" x14ac:dyDescent="0.2">
      <c r="D2951" t="s">
        <v>96</v>
      </c>
      <c r="E2951" t="s">
        <v>97</v>
      </c>
      <c r="F2951" t="s">
        <v>98</v>
      </c>
      <c r="G2951" t="s">
        <v>150</v>
      </c>
      <c r="H2951" t="s">
        <v>150</v>
      </c>
      <c r="I2951" t="s">
        <v>36</v>
      </c>
      <c r="J2951" t="s">
        <v>37</v>
      </c>
      <c r="K2951" t="s">
        <v>48</v>
      </c>
      <c r="L2951" t="s">
        <v>49</v>
      </c>
      <c r="M2951" t="s">
        <v>140</v>
      </c>
      <c r="N2951">
        <v>469</v>
      </c>
      <c r="O2951">
        <v>4.4544155000000002E-2</v>
      </c>
      <c r="P2951">
        <v>1.9422736999999999E-2</v>
      </c>
      <c r="Q2951" t="str">
        <f t="shared" si="92"/>
        <v>10-14</v>
      </c>
      <c r="R2951" t="str">
        <f t="shared" si="93"/>
        <v>[am530wpaGvr]|10-14|Male|PLHIV_Attend.T_1|CY2024Q3</v>
      </c>
    </row>
    <row r="2952" spans="4:18" x14ac:dyDescent="0.2">
      <c r="D2952" t="s">
        <v>96</v>
      </c>
      <c r="E2952" t="s">
        <v>97</v>
      </c>
      <c r="F2952" t="s">
        <v>98</v>
      </c>
      <c r="G2952" t="s">
        <v>150</v>
      </c>
      <c r="H2952" t="s">
        <v>150</v>
      </c>
      <c r="I2952" t="s">
        <v>38</v>
      </c>
      <c r="J2952" t="s">
        <v>39</v>
      </c>
      <c r="K2952" t="s">
        <v>48</v>
      </c>
      <c r="L2952" t="s">
        <v>49</v>
      </c>
      <c r="M2952" t="s">
        <v>140</v>
      </c>
      <c r="N2952">
        <v>1137</v>
      </c>
      <c r="O2952">
        <v>7.1205454000000001E-2</v>
      </c>
      <c r="P2952">
        <v>1.9422736999999999E-2</v>
      </c>
      <c r="Q2952" t="str">
        <f t="shared" si="92"/>
        <v>15-24</v>
      </c>
      <c r="R2952" t="str">
        <f t="shared" si="93"/>
        <v>[am530wpaGvr]|15-24|Male|PLHIV_Attend.T_1|CY2024Q3</v>
      </c>
    </row>
    <row r="2953" spans="4:18" x14ac:dyDescent="0.2">
      <c r="D2953" t="s">
        <v>96</v>
      </c>
      <c r="E2953" t="s">
        <v>97</v>
      </c>
      <c r="F2953" t="s">
        <v>98</v>
      </c>
      <c r="G2953" t="s">
        <v>150</v>
      </c>
      <c r="H2953" t="s">
        <v>150</v>
      </c>
      <c r="I2953" t="s">
        <v>41</v>
      </c>
      <c r="J2953" t="s">
        <v>42</v>
      </c>
      <c r="K2953" t="s">
        <v>48</v>
      </c>
      <c r="L2953" t="s">
        <v>49</v>
      </c>
      <c r="M2953" t="s">
        <v>140</v>
      </c>
      <c r="N2953">
        <v>1383</v>
      </c>
      <c r="O2953">
        <v>7.2984443999999996E-2</v>
      </c>
      <c r="P2953">
        <v>1.9422736999999999E-2</v>
      </c>
      <c r="Q2953" t="str">
        <f t="shared" si="92"/>
        <v>25-34</v>
      </c>
      <c r="R2953" t="str">
        <f t="shared" si="93"/>
        <v>[am530wpaGvr]|25-34|Male|PLHIV_Attend.T_1|CY2024Q3</v>
      </c>
    </row>
    <row r="2954" spans="4:18" x14ac:dyDescent="0.2">
      <c r="D2954" t="s">
        <v>96</v>
      </c>
      <c r="E2954" t="s">
        <v>97</v>
      </c>
      <c r="F2954" t="s">
        <v>98</v>
      </c>
      <c r="G2954" t="s">
        <v>150</v>
      </c>
      <c r="H2954" t="s">
        <v>150</v>
      </c>
      <c r="I2954" t="s">
        <v>43</v>
      </c>
      <c r="J2954" t="s">
        <v>44</v>
      </c>
      <c r="K2954" t="s">
        <v>48</v>
      </c>
      <c r="L2954" t="s">
        <v>49</v>
      </c>
      <c r="M2954" t="s">
        <v>140</v>
      </c>
      <c r="N2954">
        <v>5187</v>
      </c>
      <c r="O2954">
        <v>3.7293268999999997E-2</v>
      </c>
      <c r="P2954">
        <v>1.9422736999999999E-2</v>
      </c>
      <c r="Q2954" t="str">
        <f t="shared" si="92"/>
        <v>35-49</v>
      </c>
      <c r="R2954" t="str">
        <f t="shared" si="93"/>
        <v>[am530wpaGvr]|35-49|Male|PLHIV_Attend.T_1|CY2024Q3</v>
      </c>
    </row>
    <row r="2955" spans="4:18" x14ac:dyDescent="0.2">
      <c r="D2955" t="s">
        <v>96</v>
      </c>
      <c r="E2955" t="s">
        <v>97</v>
      </c>
      <c r="F2955" t="s">
        <v>98</v>
      </c>
      <c r="G2955" t="s">
        <v>150</v>
      </c>
      <c r="H2955" t="s">
        <v>150</v>
      </c>
      <c r="I2955" t="s">
        <v>45</v>
      </c>
      <c r="J2955" t="s">
        <v>46</v>
      </c>
      <c r="K2955" t="s">
        <v>48</v>
      </c>
      <c r="L2955" t="s">
        <v>49</v>
      </c>
      <c r="M2955" t="s">
        <v>140</v>
      </c>
      <c r="N2955">
        <v>3919</v>
      </c>
      <c r="O2955">
        <v>3.9291677999999997E-2</v>
      </c>
      <c r="P2955">
        <v>1.9422736999999999E-2</v>
      </c>
      <c r="Q2955" t="str">
        <f t="shared" si="92"/>
        <v>50+</v>
      </c>
      <c r="R2955" t="str">
        <f t="shared" si="93"/>
        <v>[am530wpaGvr]|50+|Male|PLHIV_Attend.T_1|CY2024Q3</v>
      </c>
    </row>
    <row r="2956" spans="4:18" x14ac:dyDescent="0.2">
      <c r="D2956" t="s">
        <v>99</v>
      </c>
      <c r="E2956" t="s">
        <v>100</v>
      </c>
      <c r="F2956" t="s">
        <v>101</v>
      </c>
      <c r="G2956" t="s">
        <v>150</v>
      </c>
      <c r="H2956" t="s">
        <v>150</v>
      </c>
      <c r="I2956" t="s">
        <v>28</v>
      </c>
      <c r="J2956" t="s">
        <v>29</v>
      </c>
      <c r="K2956" t="s">
        <v>30</v>
      </c>
      <c r="L2956" t="s">
        <v>31</v>
      </c>
      <c r="M2956" t="s">
        <v>140</v>
      </c>
      <c r="N2956">
        <v>42</v>
      </c>
      <c r="O2956">
        <v>2.4311500999999999E-2</v>
      </c>
      <c r="P2956">
        <v>1.2169296E-2</v>
      </c>
      <c r="Q2956" t="str">
        <f t="shared" si="92"/>
        <v>&lt;01</v>
      </c>
      <c r="R2956" t="str">
        <f t="shared" si="93"/>
        <v>[lLDyBx5XyUi]|&lt;01|Female|PLHIV_Attend.T_1|CY2024Q3</v>
      </c>
    </row>
    <row r="2957" spans="4:18" x14ac:dyDescent="0.2">
      <c r="D2957" t="s">
        <v>99</v>
      </c>
      <c r="E2957" t="s">
        <v>100</v>
      </c>
      <c r="F2957" t="s">
        <v>101</v>
      </c>
      <c r="G2957" t="s">
        <v>150</v>
      </c>
      <c r="H2957" t="s">
        <v>150</v>
      </c>
      <c r="I2957" t="s">
        <v>33</v>
      </c>
      <c r="J2957" t="s">
        <v>34</v>
      </c>
      <c r="K2957" t="s">
        <v>30</v>
      </c>
      <c r="L2957" t="s">
        <v>31</v>
      </c>
      <c r="M2957" t="s">
        <v>140</v>
      </c>
      <c r="N2957">
        <v>870</v>
      </c>
      <c r="O2957">
        <v>3.3070061999999997E-2</v>
      </c>
      <c r="P2957">
        <v>1.2169296E-2</v>
      </c>
      <c r="Q2957" t="str">
        <f t="shared" si="92"/>
        <v>01-09</v>
      </c>
      <c r="R2957" t="str">
        <f t="shared" si="93"/>
        <v>[lLDyBx5XyUi]|01-09|Female|PLHIV_Attend.T_1|CY2024Q3</v>
      </c>
    </row>
    <row r="2958" spans="4:18" x14ac:dyDescent="0.2">
      <c r="D2958" t="s">
        <v>99</v>
      </c>
      <c r="E2958" t="s">
        <v>100</v>
      </c>
      <c r="F2958" t="s">
        <v>101</v>
      </c>
      <c r="G2958" t="s">
        <v>150</v>
      </c>
      <c r="H2958" t="s">
        <v>150</v>
      </c>
      <c r="I2958" t="s">
        <v>36</v>
      </c>
      <c r="J2958" t="s">
        <v>37</v>
      </c>
      <c r="K2958" t="s">
        <v>30</v>
      </c>
      <c r="L2958" t="s">
        <v>31</v>
      </c>
      <c r="M2958" t="s">
        <v>140</v>
      </c>
      <c r="N2958">
        <v>1014</v>
      </c>
      <c r="O2958">
        <v>4.3580804000000001E-2</v>
      </c>
      <c r="P2958">
        <v>1.2169296E-2</v>
      </c>
      <c r="Q2958" t="str">
        <f t="shared" si="92"/>
        <v>10-14</v>
      </c>
      <c r="R2958" t="str">
        <f t="shared" si="93"/>
        <v>[lLDyBx5XyUi]|10-14|Female|PLHIV_Attend.T_1|CY2024Q3</v>
      </c>
    </row>
    <row r="2959" spans="4:18" x14ac:dyDescent="0.2">
      <c r="D2959" t="s">
        <v>99</v>
      </c>
      <c r="E2959" t="s">
        <v>100</v>
      </c>
      <c r="F2959" t="s">
        <v>101</v>
      </c>
      <c r="G2959" t="s">
        <v>150</v>
      </c>
      <c r="H2959" t="s">
        <v>150</v>
      </c>
      <c r="I2959" t="s">
        <v>38</v>
      </c>
      <c r="J2959" t="s">
        <v>39</v>
      </c>
      <c r="K2959" t="s">
        <v>30</v>
      </c>
      <c r="L2959" t="s">
        <v>31</v>
      </c>
      <c r="M2959" t="s">
        <v>140</v>
      </c>
      <c r="N2959">
        <v>3367</v>
      </c>
      <c r="O2959">
        <v>6.1725789000000003E-2</v>
      </c>
      <c r="P2959">
        <v>1.2169296E-2</v>
      </c>
      <c r="Q2959" t="str">
        <f t="shared" si="92"/>
        <v>15-24</v>
      </c>
      <c r="R2959" t="str">
        <f t="shared" si="93"/>
        <v>[lLDyBx5XyUi]|15-24|Female|PLHIV_Attend.T_1|CY2024Q3</v>
      </c>
    </row>
    <row r="2960" spans="4:18" x14ac:dyDescent="0.2">
      <c r="D2960" t="s">
        <v>99</v>
      </c>
      <c r="E2960" t="s">
        <v>100</v>
      </c>
      <c r="F2960" t="s">
        <v>101</v>
      </c>
      <c r="G2960" t="s">
        <v>150</v>
      </c>
      <c r="H2960" t="s">
        <v>150</v>
      </c>
      <c r="I2960" t="s">
        <v>41</v>
      </c>
      <c r="J2960" t="s">
        <v>42</v>
      </c>
      <c r="K2960" t="s">
        <v>30</v>
      </c>
      <c r="L2960" t="s">
        <v>31</v>
      </c>
      <c r="M2960" t="s">
        <v>140</v>
      </c>
      <c r="N2960">
        <v>8397</v>
      </c>
      <c r="O2960">
        <v>3.7932177999999997E-2</v>
      </c>
      <c r="P2960">
        <v>1.2169296E-2</v>
      </c>
      <c r="Q2960" t="str">
        <f t="shared" si="92"/>
        <v>25-34</v>
      </c>
      <c r="R2960" t="str">
        <f t="shared" si="93"/>
        <v>[lLDyBx5XyUi]|25-34|Female|PLHIV_Attend.T_1|CY2024Q3</v>
      </c>
    </row>
    <row r="2961" spans="4:18" x14ac:dyDescent="0.2">
      <c r="D2961" t="s">
        <v>99</v>
      </c>
      <c r="E2961" t="s">
        <v>100</v>
      </c>
      <c r="F2961" t="s">
        <v>101</v>
      </c>
      <c r="G2961" t="s">
        <v>150</v>
      </c>
      <c r="H2961" t="s">
        <v>150</v>
      </c>
      <c r="I2961" t="s">
        <v>43</v>
      </c>
      <c r="J2961" t="s">
        <v>44</v>
      </c>
      <c r="K2961" t="s">
        <v>30</v>
      </c>
      <c r="L2961" t="s">
        <v>31</v>
      </c>
      <c r="M2961" t="s">
        <v>140</v>
      </c>
      <c r="N2961">
        <v>19625</v>
      </c>
      <c r="O2961">
        <v>2.1089822000000001E-2</v>
      </c>
      <c r="P2961">
        <v>1.2169296E-2</v>
      </c>
      <c r="Q2961" t="str">
        <f t="shared" si="92"/>
        <v>35-49</v>
      </c>
      <c r="R2961" t="str">
        <f t="shared" si="93"/>
        <v>[lLDyBx5XyUi]|35-49|Female|PLHIV_Attend.T_1|CY2024Q3</v>
      </c>
    </row>
    <row r="2962" spans="4:18" x14ac:dyDescent="0.2">
      <c r="D2962" t="s">
        <v>99</v>
      </c>
      <c r="E2962" t="s">
        <v>100</v>
      </c>
      <c r="F2962" t="s">
        <v>101</v>
      </c>
      <c r="G2962" t="s">
        <v>150</v>
      </c>
      <c r="H2962" t="s">
        <v>150</v>
      </c>
      <c r="I2962" t="s">
        <v>45</v>
      </c>
      <c r="J2962" t="s">
        <v>46</v>
      </c>
      <c r="K2962" t="s">
        <v>30</v>
      </c>
      <c r="L2962" t="s">
        <v>31</v>
      </c>
      <c r="M2962" t="s">
        <v>140</v>
      </c>
      <c r="N2962">
        <v>9356</v>
      </c>
      <c r="O2962">
        <v>3.6236570000000003E-2</v>
      </c>
      <c r="P2962">
        <v>1.2169296E-2</v>
      </c>
      <c r="Q2962" t="str">
        <f t="shared" si="92"/>
        <v>50+</v>
      </c>
      <c r="R2962" t="str">
        <f t="shared" si="93"/>
        <v>[lLDyBx5XyUi]|50+|Female|PLHIV_Attend.T_1|CY2024Q3</v>
      </c>
    </row>
    <row r="2963" spans="4:18" x14ac:dyDescent="0.2">
      <c r="D2963" t="s">
        <v>99</v>
      </c>
      <c r="E2963" t="s">
        <v>100</v>
      </c>
      <c r="F2963" t="s">
        <v>101</v>
      </c>
      <c r="G2963" t="s">
        <v>150</v>
      </c>
      <c r="H2963" t="s">
        <v>150</v>
      </c>
      <c r="I2963" t="s">
        <v>28</v>
      </c>
      <c r="J2963" t="s">
        <v>29</v>
      </c>
      <c r="K2963" t="s">
        <v>48</v>
      </c>
      <c r="L2963" t="s">
        <v>49</v>
      </c>
      <c r="M2963" t="s">
        <v>140</v>
      </c>
      <c r="N2963">
        <v>42</v>
      </c>
      <c r="O2963">
        <v>2.4273195000000001E-2</v>
      </c>
      <c r="P2963">
        <v>1.2169296E-2</v>
      </c>
      <c r="Q2963" t="str">
        <f t="shared" si="92"/>
        <v>&lt;01</v>
      </c>
      <c r="R2963" t="str">
        <f t="shared" si="93"/>
        <v>[lLDyBx5XyUi]|&lt;01|Male|PLHIV_Attend.T_1|CY2024Q3</v>
      </c>
    </row>
    <row r="2964" spans="4:18" x14ac:dyDescent="0.2">
      <c r="D2964" t="s">
        <v>99</v>
      </c>
      <c r="E2964" t="s">
        <v>100</v>
      </c>
      <c r="F2964" t="s">
        <v>101</v>
      </c>
      <c r="G2964" t="s">
        <v>150</v>
      </c>
      <c r="H2964" t="s">
        <v>150</v>
      </c>
      <c r="I2964" t="s">
        <v>33</v>
      </c>
      <c r="J2964" t="s">
        <v>34</v>
      </c>
      <c r="K2964" t="s">
        <v>48</v>
      </c>
      <c r="L2964" t="s">
        <v>49</v>
      </c>
      <c r="M2964" t="s">
        <v>140</v>
      </c>
      <c r="N2964">
        <v>880</v>
      </c>
      <c r="O2964">
        <v>3.3044668999999999E-2</v>
      </c>
      <c r="P2964">
        <v>1.2169296E-2</v>
      </c>
      <c r="Q2964" t="str">
        <f t="shared" si="92"/>
        <v>01-09</v>
      </c>
      <c r="R2964" t="str">
        <f t="shared" si="93"/>
        <v>[lLDyBx5XyUi]|01-09|Male|PLHIV_Attend.T_1|CY2024Q3</v>
      </c>
    </row>
    <row r="2965" spans="4:18" x14ac:dyDescent="0.2">
      <c r="D2965" t="s">
        <v>99</v>
      </c>
      <c r="E2965" t="s">
        <v>100</v>
      </c>
      <c r="F2965" t="s">
        <v>101</v>
      </c>
      <c r="G2965" t="s">
        <v>150</v>
      </c>
      <c r="H2965" t="s">
        <v>150</v>
      </c>
      <c r="I2965" t="s">
        <v>36</v>
      </c>
      <c r="J2965" t="s">
        <v>37</v>
      </c>
      <c r="K2965" t="s">
        <v>48</v>
      </c>
      <c r="L2965" t="s">
        <v>49</v>
      </c>
      <c r="M2965" t="s">
        <v>140</v>
      </c>
      <c r="N2965">
        <v>1027</v>
      </c>
      <c r="O2965">
        <v>4.3575137E-2</v>
      </c>
      <c r="P2965">
        <v>1.2169296E-2</v>
      </c>
      <c r="Q2965" t="str">
        <f t="shared" si="92"/>
        <v>10-14</v>
      </c>
      <c r="R2965" t="str">
        <f t="shared" si="93"/>
        <v>[lLDyBx5XyUi]|10-14|Male|PLHIV_Attend.T_1|CY2024Q3</v>
      </c>
    </row>
    <row r="2966" spans="4:18" x14ac:dyDescent="0.2">
      <c r="D2966" t="s">
        <v>99</v>
      </c>
      <c r="E2966" t="s">
        <v>100</v>
      </c>
      <c r="F2966" t="s">
        <v>101</v>
      </c>
      <c r="G2966" t="s">
        <v>150</v>
      </c>
      <c r="H2966" t="s">
        <v>150</v>
      </c>
      <c r="I2966" t="s">
        <v>38</v>
      </c>
      <c r="J2966" t="s">
        <v>39</v>
      </c>
      <c r="K2966" t="s">
        <v>48</v>
      </c>
      <c r="L2966" t="s">
        <v>49</v>
      </c>
      <c r="M2966" t="s">
        <v>140</v>
      </c>
      <c r="N2966">
        <v>2153</v>
      </c>
      <c r="O2966">
        <v>6.5478193000000004E-2</v>
      </c>
      <c r="P2966">
        <v>1.2169296E-2</v>
      </c>
      <c r="Q2966" t="str">
        <f t="shared" si="92"/>
        <v>15-24</v>
      </c>
      <c r="R2966" t="str">
        <f t="shared" si="93"/>
        <v>[lLDyBx5XyUi]|15-24|Male|PLHIV_Attend.T_1|CY2024Q3</v>
      </c>
    </row>
    <row r="2967" spans="4:18" x14ac:dyDescent="0.2">
      <c r="D2967" t="s">
        <v>99</v>
      </c>
      <c r="E2967" t="s">
        <v>100</v>
      </c>
      <c r="F2967" t="s">
        <v>101</v>
      </c>
      <c r="G2967" t="s">
        <v>150</v>
      </c>
      <c r="H2967" t="s">
        <v>150</v>
      </c>
      <c r="I2967" t="s">
        <v>41</v>
      </c>
      <c r="J2967" t="s">
        <v>42</v>
      </c>
      <c r="K2967" t="s">
        <v>48</v>
      </c>
      <c r="L2967" t="s">
        <v>49</v>
      </c>
      <c r="M2967" t="s">
        <v>140</v>
      </c>
      <c r="N2967">
        <v>2374</v>
      </c>
      <c r="O2967">
        <v>6.7500160000000003E-2</v>
      </c>
      <c r="P2967">
        <v>1.2169296E-2</v>
      </c>
      <c r="Q2967" t="str">
        <f t="shared" si="92"/>
        <v>25-34</v>
      </c>
      <c r="R2967" t="str">
        <f t="shared" si="93"/>
        <v>[lLDyBx5XyUi]|25-34|Male|PLHIV_Attend.T_1|CY2024Q3</v>
      </c>
    </row>
    <row r="2968" spans="4:18" x14ac:dyDescent="0.2">
      <c r="D2968" t="s">
        <v>99</v>
      </c>
      <c r="E2968" t="s">
        <v>100</v>
      </c>
      <c r="F2968" t="s">
        <v>101</v>
      </c>
      <c r="G2968" t="s">
        <v>150</v>
      </c>
      <c r="H2968" t="s">
        <v>150</v>
      </c>
      <c r="I2968" t="s">
        <v>43</v>
      </c>
      <c r="J2968" t="s">
        <v>44</v>
      </c>
      <c r="K2968" t="s">
        <v>48</v>
      </c>
      <c r="L2968" t="s">
        <v>49</v>
      </c>
      <c r="M2968" t="s">
        <v>140</v>
      </c>
      <c r="N2968">
        <v>8548</v>
      </c>
      <c r="O2968">
        <v>3.3691545000000003E-2</v>
      </c>
      <c r="P2968">
        <v>1.2169296E-2</v>
      </c>
      <c r="Q2968" t="str">
        <f t="shared" si="92"/>
        <v>35-49</v>
      </c>
      <c r="R2968" t="str">
        <f t="shared" si="93"/>
        <v>[lLDyBx5XyUi]|35-49|Male|PLHIV_Attend.T_1|CY2024Q3</v>
      </c>
    </row>
    <row r="2969" spans="4:18" x14ac:dyDescent="0.2">
      <c r="D2969" t="s">
        <v>99</v>
      </c>
      <c r="E2969" t="s">
        <v>100</v>
      </c>
      <c r="F2969" t="s">
        <v>101</v>
      </c>
      <c r="G2969" t="s">
        <v>150</v>
      </c>
      <c r="H2969" t="s">
        <v>150</v>
      </c>
      <c r="I2969" t="s">
        <v>45</v>
      </c>
      <c r="J2969" t="s">
        <v>46</v>
      </c>
      <c r="K2969" t="s">
        <v>48</v>
      </c>
      <c r="L2969" t="s">
        <v>49</v>
      </c>
      <c r="M2969" t="s">
        <v>140</v>
      </c>
      <c r="N2969">
        <v>6740</v>
      </c>
      <c r="O2969">
        <v>3.4497646999999999E-2</v>
      </c>
      <c r="P2969">
        <v>1.2169296E-2</v>
      </c>
      <c r="Q2969" t="str">
        <f t="shared" si="92"/>
        <v>50+</v>
      </c>
      <c r="R2969" t="str">
        <f t="shared" si="93"/>
        <v>[lLDyBx5XyUi]|50+|Male|PLHIV_Attend.T_1|CY2024Q3</v>
      </c>
    </row>
    <row r="2970" spans="4:18" x14ac:dyDescent="0.2">
      <c r="D2970" t="s">
        <v>102</v>
      </c>
      <c r="E2970" t="s">
        <v>103</v>
      </c>
      <c r="F2970" t="s">
        <v>104</v>
      </c>
      <c r="G2970" t="s">
        <v>150</v>
      </c>
      <c r="H2970" t="s">
        <v>150</v>
      </c>
      <c r="I2970" t="s">
        <v>28</v>
      </c>
      <c r="J2970" t="s">
        <v>29</v>
      </c>
      <c r="K2970" t="s">
        <v>30</v>
      </c>
      <c r="L2970" t="s">
        <v>31</v>
      </c>
      <c r="M2970" t="s">
        <v>140</v>
      </c>
      <c r="N2970">
        <v>23</v>
      </c>
      <c r="O2970">
        <v>2.8282623E-2</v>
      </c>
      <c r="P2970">
        <v>1.6552687999999999E-2</v>
      </c>
      <c r="Q2970" t="str">
        <f t="shared" si="92"/>
        <v>&lt;01</v>
      </c>
      <c r="R2970" t="str">
        <f t="shared" si="93"/>
        <v>[TYnMSwzko3z]|&lt;01|Female|PLHIV_Attend.T_1|CY2024Q3</v>
      </c>
    </row>
    <row r="2971" spans="4:18" x14ac:dyDescent="0.2">
      <c r="D2971" t="s">
        <v>102</v>
      </c>
      <c r="E2971" t="s">
        <v>103</v>
      </c>
      <c r="F2971" t="s">
        <v>104</v>
      </c>
      <c r="G2971" t="s">
        <v>150</v>
      </c>
      <c r="H2971" t="s">
        <v>150</v>
      </c>
      <c r="I2971" t="s">
        <v>33</v>
      </c>
      <c r="J2971" t="s">
        <v>34</v>
      </c>
      <c r="K2971" t="s">
        <v>30</v>
      </c>
      <c r="L2971" t="s">
        <v>31</v>
      </c>
      <c r="M2971" t="s">
        <v>140</v>
      </c>
      <c r="N2971">
        <v>463</v>
      </c>
      <c r="O2971">
        <v>3.8750831999999999E-2</v>
      </c>
      <c r="P2971">
        <v>1.6552687999999999E-2</v>
      </c>
      <c r="Q2971" t="str">
        <f t="shared" si="92"/>
        <v>01-09</v>
      </c>
      <c r="R2971" t="str">
        <f t="shared" si="93"/>
        <v>[TYnMSwzko3z]|01-09|Female|PLHIV_Attend.T_1|CY2024Q3</v>
      </c>
    </row>
    <row r="2972" spans="4:18" x14ac:dyDescent="0.2">
      <c r="D2972" t="s">
        <v>102</v>
      </c>
      <c r="E2972" t="s">
        <v>103</v>
      </c>
      <c r="F2972" t="s">
        <v>104</v>
      </c>
      <c r="G2972" t="s">
        <v>150</v>
      </c>
      <c r="H2972" t="s">
        <v>150</v>
      </c>
      <c r="I2972" t="s">
        <v>36</v>
      </c>
      <c r="J2972" t="s">
        <v>37</v>
      </c>
      <c r="K2972" t="s">
        <v>30</v>
      </c>
      <c r="L2972" t="s">
        <v>31</v>
      </c>
      <c r="M2972" t="s">
        <v>140</v>
      </c>
      <c r="N2972">
        <v>562</v>
      </c>
      <c r="O2972">
        <v>5.1309832999999999E-2</v>
      </c>
      <c r="P2972">
        <v>1.6552687999999999E-2</v>
      </c>
      <c r="Q2972" t="str">
        <f t="shared" si="92"/>
        <v>10-14</v>
      </c>
      <c r="R2972" t="str">
        <f t="shared" si="93"/>
        <v>[TYnMSwzko3z]|10-14|Female|PLHIV_Attend.T_1|CY2024Q3</v>
      </c>
    </row>
    <row r="2973" spans="4:18" x14ac:dyDescent="0.2">
      <c r="D2973" t="s">
        <v>102</v>
      </c>
      <c r="E2973" t="s">
        <v>103</v>
      </c>
      <c r="F2973" t="s">
        <v>104</v>
      </c>
      <c r="G2973" t="s">
        <v>150</v>
      </c>
      <c r="H2973" t="s">
        <v>150</v>
      </c>
      <c r="I2973" t="s">
        <v>38</v>
      </c>
      <c r="J2973" t="s">
        <v>39</v>
      </c>
      <c r="K2973" t="s">
        <v>30</v>
      </c>
      <c r="L2973" t="s">
        <v>31</v>
      </c>
      <c r="M2973" t="s">
        <v>140</v>
      </c>
      <c r="N2973">
        <v>1828</v>
      </c>
      <c r="O2973">
        <v>6.2519140000000001E-2</v>
      </c>
      <c r="P2973">
        <v>1.6552687999999999E-2</v>
      </c>
      <c r="Q2973" t="str">
        <f t="shared" si="92"/>
        <v>15-24</v>
      </c>
      <c r="R2973" t="str">
        <f t="shared" si="93"/>
        <v>[TYnMSwzko3z]|15-24|Female|PLHIV_Attend.T_1|CY2024Q3</v>
      </c>
    </row>
    <row r="2974" spans="4:18" x14ac:dyDescent="0.2">
      <c r="D2974" t="s">
        <v>102</v>
      </c>
      <c r="E2974" t="s">
        <v>103</v>
      </c>
      <c r="F2974" t="s">
        <v>104</v>
      </c>
      <c r="G2974" t="s">
        <v>150</v>
      </c>
      <c r="H2974" t="s">
        <v>150</v>
      </c>
      <c r="I2974" t="s">
        <v>41</v>
      </c>
      <c r="J2974" t="s">
        <v>42</v>
      </c>
      <c r="K2974" t="s">
        <v>30</v>
      </c>
      <c r="L2974" t="s">
        <v>31</v>
      </c>
      <c r="M2974" t="s">
        <v>140</v>
      </c>
      <c r="N2974">
        <v>4544</v>
      </c>
      <c r="O2974">
        <v>3.9894720000000002E-2</v>
      </c>
      <c r="P2974">
        <v>1.6552687999999999E-2</v>
      </c>
      <c r="Q2974" t="str">
        <f t="shared" si="92"/>
        <v>25-34</v>
      </c>
      <c r="R2974" t="str">
        <f t="shared" si="93"/>
        <v>[TYnMSwzko3z]|25-34|Female|PLHIV_Attend.T_1|CY2024Q3</v>
      </c>
    </row>
    <row r="2975" spans="4:18" x14ac:dyDescent="0.2">
      <c r="D2975" t="s">
        <v>102</v>
      </c>
      <c r="E2975" t="s">
        <v>103</v>
      </c>
      <c r="F2975" t="s">
        <v>104</v>
      </c>
      <c r="G2975" t="s">
        <v>150</v>
      </c>
      <c r="H2975" t="s">
        <v>150</v>
      </c>
      <c r="I2975" t="s">
        <v>43</v>
      </c>
      <c r="J2975" t="s">
        <v>44</v>
      </c>
      <c r="K2975" t="s">
        <v>30</v>
      </c>
      <c r="L2975" t="s">
        <v>31</v>
      </c>
      <c r="M2975" t="s">
        <v>140</v>
      </c>
      <c r="N2975">
        <v>11125</v>
      </c>
      <c r="O2975">
        <v>2.3757876000000001E-2</v>
      </c>
      <c r="P2975">
        <v>1.6552687999999999E-2</v>
      </c>
      <c r="Q2975" t="str">
        <f t="shared" si="92"/>
        <v>35-49</v>
      </c>
      <c r="R2975" t="str">
        <f t="shared" si="93"/>
        <v>[TYnMSwzko3z]|35-49|Female|PLHIV_Attend.T_1|CY2024Q3</v>
      </c>
    </row>
    <row r="2976" spans="4:18" x14ac:dyDescent="0.2">
      <c r="D2976" t="s">
        <v>102</v>
      </c>
      <c r="E2976" t="s">
        <v>103</v>
      </c>
      <c r="F2976" t="s">
        <v>104</v>
      </c>
      <c r="G2976" t="s">
        <v>150</v>
      </c>
      <c r="H2976" t="s">
        <v>150</v>
      </c>
      <c r="I2976" t="s">
        <v>45</v>
      </c>
      <c r="J2976" t="s">
        <v>46</v>
      </c>
      <c r="K2976" t="s">
        <v>30</v>
      </c>
      <c r="L2976" t="s">
        <v>31</v>
      </c>
      <c r="M2976" t="s">
        <v>140</v>
      </c>
      <c r="N2976">
        <v>5187</v>
      </c>
      <c r="O2976">
        <v>4.0428560000000002E-2</v>
      </c>
      <c r="P2976">
        <v>1.6552687999999999E-2</v>
      </c>
      <c r="Q2976" t="str">
        <f t="shared" si="92"/>
        <v>50+</v>
      </c>
      <c r="R2976" t="str">
        <f t="shared" si="93"/>
        <v>[TYnMSwzko3z]|50+|Female|PLHIV_Attend.T_1|CY2024Q3</v>
      </c>
    </row>
    <row r="2977" spans="4:18" x14ac:dyDescent="0.2">
      <c r="D2977" t="s">
        <v>102</v>
      </c>
      <c r="E2977" t="s">
        <v>103</v>
      </c>
      <c r="F2977" t="s">
        <v>104</v>
      </c>
      <c r="G2977" t="s">
        <v>150</v>
      </c>
      <c r="H2977" t="s">
        <v>150</v>
      </c>
      <c r="I2977" t="s">
        <v>28</v>
      </c>
      <c r="J2977" t="s">
        <v>29</v>
      </c>
      <c r="K2977" t="s">
        <v>48</v>
      </c>
      <c r="L2977" t="s">
        <v>49</v>
      </c>
      <c r="M2977" t="s">
        <v>140</v>
      </c>
      <c r="N2977">
        <v>23</v>
      </c>
      <c r="O2977">
        <v>2.8223529000000001E-2</v>
      </c>
      <c r="P2977">
        <v>1.6552687999999999E-2</v>
      </c>
      <c r="Q2977" t="str">
        <f t="shared" si="92"/>
        <v>&lt;01</v>
      </c>
      <c r="R2977" t="str">
        <f t="shared" si="93"/>
        <v>[TYnMSwzko3z]|&lt;01|Male|PLHIV_Attend.T_1|CY2024Q3</v>
      </c>
    </row>
    <row r="2978" spans="4:18" x14ac:dyDescent="0.2">
      <c r="D2978" t="s">
        <v>102</v>
      </c>
      <c r="E2978" t="s">
        <v>103</v>
      </c>
      <c r="F2978" t="s">
        <v>104</v>
      </c>
      <c r="G2978" t="s">
        <v>150</v>
      </c>
      <c r="H2978" t="s">
        <v>150</v>
      </c>
      <c r="I2978" t="s">
        <v>33</v>
      </c>
      <c r="J2978" t="s">
        <v>34</v>
      </c>
      <c r="K2978" t="s">
        <v>48</v>
      </c>
      <c r="L2978" t="s">
        <v>49</v>
      </c>
      <c r="M2978" t="s">
        <v>140</v>
      </c>
      <c r="N2978">
        <v>466</v>
      </c>
      <c r="O2978">
        <v>3.8658802999999999E-2</v>
      </c>
      <c r="P2978">
        <v>1.6552687999999999E-2</v>
      </c>
      <c r="Q2978" t="str">
        <f t="shared" si="92"/>
        <v>01-09</v>
      </c>
      <c r="R2978" t="str">
        <f t="shared" si="93"/>
        <v>[TYnMSwzko3z]|01-09|Male|PLHIV_Attend.T_1|CY2024Q3</v>
      </c>
    </row>
    <row r="2979" spans="4:18" x14ac:dyDescent="0.2">
      <c r="D2979" t="s">
        <v>102</v>
      </c>
      <c r="E2979" t="s">
        <v>103</v>
      </c>
      <c r="F2979" t="s">
        <v>104</v>
      </c>
      <c r="G2979" t="s">
        <v>150</v>
      </c>
      <c r="H2979" t="s">
        <v>150</v>
      </c>
      <c r="I2979" t="s">
        <v>36</v>
      </c>
      <c r="J2979" t="s">
        <v>37</v>
      </c>
      <c r="K2979" t="s">
        <v>48</v>
      </c>
      <c r="L2979" t="s">
        <v>49</v>
      </c>
      <c r="M2979" t="s">
        <v>140</v>
      </c>
      <c r="N2979">
        <v>561</v>
      </c>
      <c r="O2979">
        <v>5.1187928000000001E-2</v>
      </c>
      <c r="P2979">
        <v>1.6552687999999999E-2</v>
      </c>
      <c r="Q2979" t="str">
        <f t="shared" si="92"/>
        <v>10-14</v>
      </c>
      <c r="R2979" t="str">
        <f t="shared" si="93"/>
        <v>[TYnMSwzko3z]|10-14|Male|PLHIV_Attend.T_1|CY2024Q3</v>
      </c>
    </row>
    <row r="2980" spans="4:18" x14ac:dyDescent="0.2">
      <c r="D2980" t="s">
        <v>102</v>
      </c>
      <c r="E2980" t="s">
        <v>103</v>
      </c>
      <c r="F2980" t="s">
        <v>104</v>
      </c>
      <c r="G2980" t="s">
        <v>150</v>
      </c>
      <c r="H2980" t="s">
        <v>150</v>
      </c>
      <c r="I2980" t="s">
        <v>38</v>
      </c>
      <c r="J2980" t="s">
        <v>39</v>
      </c>
      <c r="K2980" t="s">
        <v>48</v>
      </c>
      <c r="L2980" t="s">
        <v>49</v>
      </c>
      <c r="M2980" t="s">
        <v>140</v>
      </c>
      <c r="N2980">
        <v>1187</v>
      </c>
      <c r="O2980">
        <v>6.7147946999999999E-2</v>
      </c>
      <c r="P2980">
        <v>1.6552687999999999E-2</v>
      </c>
      <c r="Q2980" t="str">
        <f t="shared" si="92"/>
        <v>15-24</v>
      </c>
      <c r="R2980" t="str">
        <f t="shared" si="93"/>
        <v>[TYnMSwzko3z]|15-24|Male|PLHIV_Attend.T_1|CY2024Q3</v>
      </c>
    </row>
    <row r="2981" spans="4:18" x14ac:dyDescent="0.2">
      <c r="D2981" t="s">
        <v>102</v>
      </c>
      <c r="E2981" t="s">
        <v>103</v>
      </c>
      <c r="F2981" t="s">
        <v>104</v>
      </c>
      <c r="G2981" t="s">
        <v>150</v>
      </c>
      <c r="H2981" t="s">
        <v>150</v>
      </c>
      <c r="I2981" t="s">
        <v>41</v>
      </c>
      <c r="J2981" t="s">
        <v>42</v>
      </c>
      <c r="K2981" t="s">
        <v>48</v>
      </c>
      <c r="L2981" t="s">
        <v>49</v>
      </c>
      <c r="M2981" t="s">
        <v>140</v>
      </c>
      <c r="N2981">
        <v>1302</v>
      </c>
      <c r="O2981">
        <v>6.8104436000000004E-2</v>
      </c>
      <c r="P2981">
        <v>1.6552687999999999E-2</v>
      </c>
      <c r="Q2981" t="str">
        <f t="shared" si="92"/>
        <v>25-34</v>
      </c>
      <c r="R2981" t="str">
        <f t="shared" si="93"/>
        <v>[TYnMSwzko3z]|25-34|Male|PLHIV_Attend.T_1|CY2024Q3</v>
      </c>
    </row>
    <row r="2982" spans="4:18" x14ac:dyDescent="0.2">
      <c r="D2982" t="s">
        <v>102</v>
      </c>
      <c r="E2982" t="s">
        <v>103</v>
      </c>
      <c r="F2982" t="s">
        <v>104</v>
      </c>
      <c r="G2982" t="s">
        <v>150</v>
      </c>
      <c r="H2982" t="s">
        <v>150</v>
      </c>
      <c r="I2982" t="s">
        <v>43</v>
      </c>
      <c r="J2982" t="s">
        <v>44</v>
      </c>
      <c r="K2982" t="s">
        <v>48</v>
      </c>
      <c r="L2982" t="s">
        <v>49</v>
      </c>
      <c r="M2982" t="s">
        <v>140</v>
      </c>
      <c r="N2982">
        <v>4716</v>
      </c>
      <c r="O2982">
        <v>3.6304284999999999E-2</v>
      </c>
      <c r="P2982">
        <v>1.6552687999999999E-2</v>
      </c>
      <c r="Q2982" t="str">
        <f t="shared" si="92"/>
        <v>35-49</v>
      </c>
      <c r="R2982" t="str">
        <f t="shared" si="93"/>
        <v>[TYnMSwzko3z]|35-49|Male|PLHIV_Attend.T_1|CY2024Q3</v>
      </c>
    </row>
    <row r="2983" spans="4:18" x14ac:dyDescent="0.2">
      <c r="D2983" t="s">
        <v>102</v>
      </c>
      <c r="E2983" t="s">
        <v>103</v>
      </c>
      <c r="F2983" t="s">
        <v>104</v>
      </c>
      <c r="G2983" t="s">
        <v>150</v>
      </c>
      <c r="H2983" t="s">
        <v>150</v>
      </c>
      <c r="I2983" t="s">
        <v>45</v>
      </c>
      <c r="J2983" t="s">
        <v>46</v>
      </c>
      <c r="K2983" t="s">
        <v>48</v>
      </c>
      <c r="L2983" t="s">
        <v>49</v>
      </c>
      <c r="M2983" t="s">
        <v>140</v>
      </c>
      <c r="N2983">
        <v>3779</v>
      </c>
      <c r="O2983">
        <v>3.7199285999999998E-2</v>
      </c>
      <c r="P2983">
        <v>1.6552687999999999E-2</v>
      </c>
      <c r="Q2983" t="str">
        <f t="shared" si="92"/>
        <v>50+</v>
      </c>
      <c r="R2983" t="str">
        <f t="shared" si="93"/>
        <v>[TYnMSwzko3z]|50+|Male|PLHIV_Attend.T_1|CY2024Q3</v>
      </c>
    </row>
    <row r="2984" spans="4:18" x14ac:dyDescent="0.2">
      <c r="D2984" t="s">
        <v>105</v>
      </c>
      <c r="E2984" t="s">
        <v>106</v>
      </c>
      <c r="F2984" t="s">
        <v>107</v>
      </c>
      <c r="G2984" t="s">
        <v>150</v>
      </c>
      <c r="H2984" t="s">
        <v>150</v>
      </c>
      <c r="I2984" t="s">
        <v>28</v>
      </c>
      <c r="J2984" t="s">
        <v>29</v>
      </c>
      <c r="K2984" t="s">
        <v>30</v>
      </c>
      <c r="L2984" t="s">
        <v>31</v>
      </c>
      <c r="M2984" t="s">
        <v>140</v>
      </c>
      <c r="N2984">
        <v>39</v>
      </c>
      <c r="O2984">
        <v>1.685555E-2</v>
      </c>
      <c r="P2984">
        <v>1.0327251000000001E-2</v>
      </c>
      <c r="Q2984" t="str">
        <f t="shared" si="92"/>
        <v>&lt;01</v>
      </c>
      <c r="R2984" t="str">
        <f t="shared" si="93"/>
        <v>[fyEoGEPERdI]|&lt;01|Female|PLHIV_Attend.T_1|CY2024Q3</v>
      </c>
    </row>
    <row r="2985" spans="4:18" x14ac:dyDescent="0.2">
      <c r="D2985" t="s">
        <v>105</v>
      </c>
      <c r="E2985" t="s">
        <v>106</v>
      </c>
      <c r="F2985" t="s">
        <v>107</v>
      </c>
      <c r="G2985" t="s">
        <v>150</v>
      </c>
      <c r="H2985" t="s">
        <v>150</v>
      </c>
      <c r="I2985" t="s">
        <v>33</v>
      </c>
      <c r="J2985" t="s">
        <v>34</v>
      </c>
      <c r="K2985" t="s">
        <v>30</v>
      </c>
      <c r="L2985" t="s">
        <v>31</v>
      </c>
      <c r="M2985" t="s">
        <v>140</v>
      </c>
      <c r="N2985">
        <v>722</v>
      </c>
      <c r="O2985">
        <v>2.2950854999999999E-2</v>
      </c>
      <c r="P2985">
        <v>1.0327251000000001E-2</v>
      </c>
      <c r="Q2985" t="str">
        <f t="shared" si="92"/>
        <v>01-09</v>
      </c>
      <c r="R2985" t="str">
        <f t="shared" si="93"/>
        <v>[fyEoGEPERdI]|01-09|Female|PLHIV_Attend.T_1|CY2024Q3</v>
      </c>
    </row>
    <row r="2986" spans="4:18" x14ac:dyDescent="0.2">
      <c r="D2986" t="s">
        <v>105</v>
      </c>
      <c r="E2986" t="s">
        <v>106</v>
      </c>
      <c r="F2986" t="s">
        <v>107</v>
      </c>
      <c r="G2986" t="s">
        <v>150</v>
      </c>
      <c r="H2986" t="s">
        <v>150</v>
      </c>
      <c r="I2986" t="s">
        <v>36</v>
      </c>
      <c r="J2986" t="s">
        <v>37</v>
      </c>
      <c r="K2986" t="s">
        <v>30</v>
      </c>
      <c r="L2986" t="s">
        <v>31</v>
      </c>
      <c r="M2986" t="s">
        <v>140</v>
      </c>
      <c r="N2986">
        <v>881</v>
      </c>
      <c r="O2986">
        <v>3.0738505999999999E-2</v>
      </c>
      <c r="P2986">
        <v>1.0327251000000001E-2</v>
      </c>
      <c r="Q2986" t="str">
        <f t="shared" si="92"/>
        <v>10-14</v>
      </c>
      <c r="R2986" t="str">
        <f t="shared" si="93"/>
        <v>[fyEoGEPERdI]|10-14|Female|PLHIV_Attend.T_1|CY2024Q3</v>
      </c>
    </row>
    <row r="2987" spans="4:18" x14ac:dyDescent="0.2">
      <c r="D2987" t="s">
        <v>105</v>
      </c>
      <c r="E2987" t="s">
        <v>106</v>
      </c>
      <c r="F2987" t="s">
        <v>107</v>
      </c>
      <c r="G2987" t="s">
        <v>150</v>
      </c>
      <c r="H2987" t="s">
        <v>150</v>
      </c>
      <c r="I2987" t="s">
        <v>38</v>
      </c>
      <c r="J2987" t="s">
        <v>39</v>
      </c>
      <c r="K2987" t="s">
        <v>30</v>
      </c>
      <c r="L2987" t="s">
        <v>31</v>
      </c>
      <c r="M2987" t="s">
        <v>140</v>
      </c>
      <c r="N2987">
        <v>3443</v>
      </c>
      <c r="O2987">
        <v>6.1065442999999997E-2</v>
      </c>
      <c r="P2987">
        <v>1.0327251000000001E-2</v>
      </c>
      <c r="Q2987" t="str">
        <f t="shared" si="92"/>
        <v>15-24</v>
      </c>
      <c r="R2987" t="str">
        <f t="shared" si="93"/>
        <v>[fyEoGEPERdI]|15-24|Female|PLHIV_Attend.T_1|CY2024Q3</v>
      </c>
    </row>
    <row r="2988" spans="4:18" x14ac:dyDescent="0.2">
      <c r="D2988" t="s">
        <v>105</v>
      </c>
      <c r="E2988" t="s">
        <v>106</v>
      </c>
      <c r="F2988" t="s">
        <v>107</v>
      </c>
      <c r="G2988" t="s">
        <v>150</v>
      </c>
      <c r="H2988" t="s">
        <v>150</v>
      </c>
      <c r="I2988" t="s">
        <v>41</v>
      </c>
      <c r="J2988" t="s">
        <v>42</v>
      </c>
      <c r="K2988" t="s">
        <v>30</v>
      </c>
      <c r="L2988" t="s">
        <v>31</v>
      </c>
      <c r="M2988" t="s">
        <v>140</v>
      </c>
      <c r="N2988">
        <v>8807</v>
      </c>
      <c r="O2988">
        <v>3.5049230000000001E-2</v>
      </c>
      <c r="P2988">
        <v>1.0327251000000001E-2</v>
      </c>
      <c r="Q2988" t="str">
        <f t="shared" si="92"/>
        <v>25-34</v>
      </c>
      <c r="R2988" t="str">
        <f t="shared" si="93"/>
        <v>[fyEoGEPERdI]|25-34|Female|PLHIV_Attend.T_1|CY2024Q3</v>
      </c>
    </row>
    <row r="2989" spans="4:18" x14ac:dyDescent="0.2">
      <c r="D2989" t="s">
        <v>105</v>
      </c>
      <c r="E2989" t="s">
        <v>106</v>
      </c>
      <c r="F2989" t="s">
        <v>107</v>
      </c>
      <c r="G2989" t="s">
        <v>150</v>
      </c>
      <c r="H2989" t="s">
        <v>150</v>
      </c>
      <c r="I2989" t="s">
        <v>43</v>
      </c>
      <c r="J2989" t="s">
        <v>44</v>
      </c>
      <c r="K2989" t="s">
        <v>30</v>
      </c>
      <c r="L2989" t="s">
        <v>31</v>
      </c>
      <c r="M2989" t="s">
        <v>140</v>
      </c>
      <c r="N2989">
        <v>21033</v>
      </c>
      <c r="O2989">
        <v>1.8756614000000001E-2</v>
      </c>
      <c r="P2989">
        <v>1.0327251000000001E-2</v>
      </c>
      <c r="Q2989" t="str">
        <f t="shared" si="92"/>
        <v>35-49</v>
      </c>
      <c r="R2989" t="str">
        <f t="shared" si="93"/>
        <v>[fyEoGEPERdI]|35-49|Female|PLHIV_Attend.T_1|CY2024Q3</v>
      </c>
    </row>
    <row r="2990" spans="4:18" x14ac:dyDescent="0.2">
      <c r="D2990" t="s">
        <v>105</v>
      </c>
      <c r="E2990" t="s">
        <v>106</v>
      </c>
      <c r="F2990" t="s">
        <v>107</v>
      </c>
      <c r="G2990" t="s">
        <v>150</v>
      </c>
      <c r="H2990" t="s">
        <v>150</v>
      </c>
      <c r="I2990" t="s">
        <v>45</v>
      </c>
      <c r="J2990" t="s">
        <v>46</v>
      </c>
      <c r="K2990" t="s">
        <v>30</v>
      </c>
      <c r="L2990" t="s">
        <v>31</v>
      </c>
      <c r="M2990" t="s">
        <v>140</v>
      </c>
      <c r="N2990">
        <v>9530</v>
      </c>
      <c r="O2990">
        <v>3.4572536000000001E-2</v>
      </c>
      <c r="P2990">
        <v>1.0327251000000001E-2</v>
      </c>
      <c r="Q2990" t="str">
        <f t="shared" si="92"/>
        <v>50+</v>
      </c>
      <c r="R2990" t="str">
        <f t="shared" si="93"/>
        <v>[fyEoGEPERdI]|50+|Female|PLHIV_Attend.T_1|CY2024Q3</v>
      </c>
    </row>
    <row r="2991" spans="4:18" x14ac:dyDescent="0.2">
      <c r="D2991" t="s">
        <v>105</v>
      </c>
      <c r="E2991" t="s">
        <v>106</v>
      </c>
      <c r="F2991" t="s">
        <v>107</v>
      </c>
      <c r="G2991" t="s">
        <v>150</v>
      </c>
      <c r="H2991" t="s">
        <v>150</v>
      </c>
      <c r="I2991" t="s">
        <v>28</v>
      </c>
      <c r="J2991" t="s">
        <v>29</v>
      </c>
      <c r="K2991" t="s">
        <v>48</v>
      </c>
      <c r="L2991" t="s">
        <v>49</v>
      </c>
      <c r="M2991" t="s">
        <v>140</v>
      </c>
      <c r="N2991">
        <v>39</v>
      </c>
      <c r="O2991">
        <v>1.6879983000000001E-2</v>
      </c>
      <c r="P2991">
        <v>1.0327251000000001E-2</v>
      </c>
      <c r="Q2991" t="str">
        <f t="shared" si="92"/>
        <v>&lt;01</v>
      </c>
      <c r="R2991" t="str">
        <f t="shared" si="93"/>
        <v>[fyEoGEPERdI]|&lt;01|Male|PLHIV_Attend.T_1|CY2024Q3</v>
      </c>
    </row>
    <row r="2992" spans="4:18" x14ac:dyDescent="0.2">
      <c r="D2992" t="s">
        <v>105</v>
      </c>
      <c r="E2992" t="s">
        <v>106</v>
      </c>
      <c r="F2992" t="s">
        <v>107</v>
      </c>
      <c r="G2992" t="s">
        <v>150</v>
      </c>
      <c r="H2992" t="s">
        <v>150</v>
      </c>
      <c r="I2992" t="s">
        <v>33</v>
      </c>
      <c r="J2992" t="s">
        <v>34</v>
      </c>
      <c r="K2992" t="s">
        <v>48</v>
      </c>
      <c r="L2992" t="s">
        <v>49</v>
      </c>
      <c r="M2992" t="s">
        <v>140</v>
      </c>
      <c r="N2992">
        <v>736</v>
      </c>
      <c r="O2992">
        <v>2.2969539000000001E-2</v>
      </c>
      <c r="P2992">
        <v>1.0327251000000001E-2</v>
      </c>
      <c r="Q2992" t="str">
        <f t="shared" si="92"/>
        <v>01-09</v>
      </c>
      <c r="R2992" t="str">
        <f t="shared" si="93"/>
        <v>[fyEoGEPERdI]|01-09|Male|PLHIV_Attend.T_1|CY2024Q3</v>
      </c>
    </row>
    <row r="2993" spans="4:18" x14ac:dyDescent="0.2">
      <c r="D2993" t="s">
        <v>105</v>
      </c>
      <c r="E2993" t="s">
        <v>106</v>
      </c>
      <c r="F2993" t="s">
        <v>107</v>
      </c>
      <c r="G2993" t="s">
        <v>150</v>
      </c>
      <c r="H2993" t="s">
        <v>150</v>
      </c>
      <c r="I2993" t="s">
        <v>36</v>
      </c>
      <c r="J2993" t="s">
        <v>37</v>
      </c>
      <c r="K2993" t="s">
        <v>48</v>
      </c>
      <c r="L2993" t="s">
        <v>49</v>
      </c>
      <c r="M2993" t="s">
        <v>140</v>
      </c>
      <c r="N2993">
        <v>887</v>
      </c>
      <c r="O2993">
        <v>3.0847354E-2</v>
      </c>
      <c r="P2993">
        <v>1.0327251000000001E-2</v>
      </c>
      <c r="Q2993" t="str">
        <f t="shared" si="92"/>
        <v>10-14</v>
      </c>
      <c r="R2993" t="str">
        <f t="shared" si="93"/>
        <v>[fyEoGEPERdI]|10-14|Male|PLHIV_Attend.T_1|CY2024Q3</v>
      </c>
    </row>
    <row r="2994" spans="4:18" x14ac:dyDescent="0.2">
      <c r="D2994" t="s">
        <v>105</v>
      </c>
      <c r="E2994" t="s">
        <v>106</v>
      </c>
      <c r="F2994" t="s">
        <v>107</v>
      </c>
      <c r="G2994" t="s">
        <v>150</v>
      </c>
      <c r="H2994" t="s">
        <v>150</v>
      </c>
      <c r="I2994" t="s">
        <v>38</v>
      </c>
      <c r="J2994" t="s">
        <v>39</v>
      </c>
      <c r="K2994" t="s">
        <v>48</v>
      </c>
      <c r="L2994" t="s">
        <v>49</v>
      </c>
      <c r="M2994" t="s">
        <v>140</v>
      </c>
      <c r="N2994">
        <v>2375</v>
      </c>
      <c r="O2994">
        <v>6.9424020000000003E-2</v>
      </c>
      <c r="P2994">
        <v>1.0327251000000001E-2</v>
      </c>
      <c r="Q2994" t="str">
        <f t="shared" si="92"/>
        <v>15-24</v>
      </c>
      <c r="R2994" t="str">
        <f t="shared" si="93"/>
        <v>[fyEoGEPERdI]|15-24|Male|PLHIV_Attend.T_1|CY2024Q3</v>
      </c>
    </row>
    <row r="2995" spans="4:18" x14ac:dyDescent="0.2">
      <c r="D2995" t="s">
        <v>105</v>
      </c>
      <c r="E2995" t="s">
        <v>106</v>
      </c>
      <c r="F2995" t="s">
        <v>107</v>
      </c>
      <c r="G2995" t="s">
        <v>150</v>
      </c>
      <c r="H2995" t="s">
        <v>150</v>
      </c>
      <c r="I2995" t="s">
        <v>41</v>
      </c>
      <c r="J2995" t="s">
        <v>42</v>
      </c>
      <c r="K2995" t="s">
        <v>48</v>
      </c>
      <c r="L2995" t="s">
        <v>49</v>
      </c>
      <c r="M2995" t="s">
        <v>140</v>
      </c>
      <c r="N2995">
        <v>3218</v>
      </c>
      <c r="O2995">
        <v>6.4426347999999994E-2</v>
      </c>
      <c r="P2995">
        <v>1.0327251000000001E-2</v>
      </c>
      <c r="Q2995" t="str">
        <f t="shared" si="92"/>
        <v>25-34</v>
      </c>
      <c r="R2995" t="str">
        <f t="shared" si="93"/>
        <v>[fyEoGEPERdI]|25-34|Male|PLHIV_Attend.T_1|CY2024Q3</v>
      </c>
    </row>
    <row r="2996" spans="4:18" x14ac:dyDescent="0.2">
      <c r="D2996" t="s">
        <v>105</v>
      </c>
      <c r="E2996" t="s">
        <v>106</v>
      </c>
      <c r="F2996" t="s">
        <v>107</v>
      </c>
      <c r="G2996" t="s">
        <v>150</v>
      </c>
      <c r="H2996" t="s">
        <v>150</v>
      </c>
      <c r="I2996" t="s">
        <v>43</v>
      </c>
      <c r="J2996" t="s">
        <v>44</v>
      </c>
      <c r="K2996" t="s">
        <v>48</v>
      </c>
      <c r="L2996" t="s">
        <v>49</v>
      </c>
      <c r="M2996" t="s">
        <v>140</v>
      </c>
      <c r="N2996">
        <v>11019</v>
      </c>
      <c r="O2996">
        <v>2.9382135E-2</v>
      </c>
      <c r="P2996">
        <v>1.0327251000000001E-2</v>
      </c>
      <c r="Q2996" t="str">
        <f t="shared" si="92"/>
        <v>35-49</v>
      </c>
      <c r="R2996" t="str">
        <f t="shared" si="93"/>
        <v>[fyEoGEPERdI]|35-49|Male|PLHIV_Attend.T_1|CY2024Q3</v>
      </c>
    </row>
    <row r="2997" spans="4:18" x14ac:dyDescent="0.2">
      <c r="D2997" t="s">
        <v>105</v>
      </c>
      <c r="E2997" t="s">
        <v>106</v>
      </c>
      <c r="F2997" t="s">
        <v>107</v>
      </c>
      <c r="G2997" t="s">
        <v>150</v>
      </c>
      <c r="H2997" t="s">
        <v>150</v>
      </c>
      <c r="I2997" t="s">
        <v>45</v>
      </c>
      <c r="J2997" t="s">
        <v>46</v>
      </c>
      <c r="K2997" t="s">
        <v>48</v>
      </c>
      <c r="L2997" t="s">
        <v>49</v>
      </c>
      <c r="M2997" t="s">
        <v>140</v>
      </c>
      <c r="N2997">
        <v>7513</v>
      </c>
      <c r="O2997">
        <v>3.2926601999999999E-2</v>
      </c>
      <c r="P2997">
        <v>1.0327251000000001E-2</v>
      </c>
      <c r="Q2997" t="str">
        <f t="shared" si="92"/>
        <v>50+</v>
      </c>
      <c r="R2997" t="str">
        <f t="shared" si="93"/>
        <v>[fyEoGEPERdI]|50+|Male|PLHIV_Attend.T_1|CY2024Q3</v>
      </c>
    </row>
    <row r="2998" spans="4:18" x14ac:dyDescent="0.2">
      <c r="D2998" t="s">
        <v>108</v>
      </c>
      <c r="E2998" t="s">
        <v>109</v>
      </c>
      <c r="F2998" t="s">
        <v>110</v>
      </c>
      <c r="G2998" t="s">
        <v>150</v>
      </c>
      <c r="H2998" t="s">
        <v>150</v>
      </c>
      <c r="I2998" t="s">
        <v>28</v>
      </c>
      <c r="J2998" t="s">
        <v>29</v>
      </c>
      <c r="K2998" t="s">
        <v>30</v>
      </c>
      <c r="L2998" t="s">
        <v>31</v>
      </c>
      <c r="M2998" t="s">
        <v>140</v>
      </c>
      <c r="N2998">
        <v>33</v>
      </c>
      <c r="O2998">
        <v>2.0990773000000001E-2</v>
      </c>
      <c r="P2998">
        <v>8.6674409999999997E-3</v>
      </c>
      <c r="Q2998" t="str">
        <f t="shared" si="92"/>
        <v>&lt;01</v>
      </c>
      <c r="R2998" t="str">
        <f t="shared" si="93"/>
        <v>[umc2n1Z4wNv]|&lt;01|Female|PLHIV_Attend.T_1|CY2024Q3</v>
      </c>
    </row>
    <row r="2999" spans="4:18" x14ac:dyDescent="0.2">
      <c r="D2999" t="s">
        <v>108</v>
      </c>
      <c r="E2999" t="s">
        <v>109</v>
      </c>
      <c r="F2999" t="s">
        <v>110</v>
      </c>
      <c r="G2999" t="s">
        <v>150</v>
      </c>
      <c r="H2999" t="s">
        <v>150</v>
      </c>
      <c r="I2999" t="s">
        <v>33</v>
      </c>
      <c r="J2999" t="s">
        <v>34</v>
      </c>
      <c r="K2999" t="s">
        <v>30</v>
      </c>
      <c r="L2999" t="s">
        <v>31</v>
      </c>
      <c r="M2999" t="s">
        <v>140</v>
      </c>
      <c r="N2999">
        <v>603</v>
      </c>
      <c r="O2999">
        <v>3.4111572999999999E-2</v>
      </c>
      <c r="P2999">
        <v>8.6674409999999997E-3</v>
      </c>
      <c r="Q2999" t="str">
        <f t="shared" si="92"/>
        <v>01-09</v>
      </c>
      <c r="R2999" t="str">
        <f t="shared" si="93"/>
        <v>[umc2n1Z4wNv]|01-09|Female|PLHIV_Attend.T_1|CY2024Q3</v>
      </c>
    </row>
    <row r="3000" spans="4:18" x14ac:dyDescent="0.2">
      <c r="D3000" t="s">
        <v>108</v>
      </c>
      <c r="E3000" t="s">
        <v>109</v>
      </c>
      <c r="F3000" t="s">
        <v>110</v>
      </c>
      <c r="G3000" t="s">
        <v>150</v>
      </c>
      <c r="H3000" t="s">
        <v>150</v>
      </c>
      <c r="I3000" t="s">
        <v>36</v>
      </c>
      <c r="J3000" t="s">
        <v>37</v>
      </c>
      <c r="K3000" t="s">
        <v>30</v>
      </c>
      <c r="L3000" t="s">
        <v>31</v>
      </c>
      <c r="M3000" t="s">
        <v>140</v>
      </c>
      <c r="N3000">
        <v>726</v>
      </c>
      <c r="O3000">
        <v>5.0780365000000001E-2</v>
      </c>
      <c r="P3000">
        <v>8.6674409999999997E-3</v>
      </c>
      <c r="Q3000" t="str">
        <f t="shared" si="92"/>
        <v>10-14</v>
      </c>
      <c r="R3000" t="str">
        <f t="shared" si="93"/>
        <v>[umc2n1Z4wNv]|10-14|Female|PLHIV_Attend.T_1|CY2024Q3</v>
      </c>
    </row>
    <row r="3001" spans="4:18" x14ac:dyDescent="0.2">
      <c r="D3001" t="s">
        <v>108</v>
      </c>
      <c r="E3001" t="s">
        <v>109</v>
      </c>
      <c r="F3001" t="s">
        <v>110</v>
      </c>
      <c r="G3001" t="s">
        <v>150</v>
      </c>
      <c r="H3001" t="s">
        <v>150</v>
      </c>
      <c r="I3001" t="s">
        <v>38</v>
      </c>
      <c r="J3001" t="s">
        <v>39</v>
      </c>
      <c r="K3001" t="s">
        <v>30</v>
      </c>
      <c r="L3001" t="s">
        <v>31</v>
      </c>
      <c r="M3001" t="s">
        <v>140</v>
      </c>
      <c r="N3001">
        <v>3015</v>
      </c>
      <c r="O3001">
        <v>6.3824458000000001E-2</v>
      </c>
      <c r="P3001">
        <v>8.6674409999999997E-3</v>
      </c>
      <c r="Q3001" t="str">
        <f t="shared" si="92"/>
        <v>15-24</v>
      </c>
      <c r="R3001" t="str">
        <f t="shared" si="93"/>
        <v>[umc2n1Z4wNv]|15-24|Female|PLHIV_Attend.T_1|CY2024Q3</v>
      </c>
    </row>
    <row r="3002" spans="4:18" x14ac:dyDescent="0.2">
      <c r="D3002" t="s">
        <v>108</v>
      </c>
      <c r="E3002" t="s">
        <v>109</v>
      </c>
      <c r="F3002" t="s">
        <v>110</v>
      </c>
      <c r="G3002" t="s">
        <v>150</v>
      </c>
      <c r="H3002" t="s">
        <v>150</v>
      </c>
      <c r="I3002" t="s">
        <v>41</v>
      </c>
      <c r="J3002" t="s">
        <v>42</v>
      </c>
      <c r="K3002" t="s">
        <v>30</v>
      </c>
      <c r="L3002" t="s">
        <v>31</v>
      </c>
      <c r="M3002" t="s">
        <v>140</v>
      </c>
      <c r="N3002">
        <v>7525</v>
      </c>
      <c r="O3002">
        <v>3.4359658000000001E-2</v>
      </c>
      <c r="P3002">
        <v>8.6674409999999997E-3</v>
      </c>
      <c r="Q3002" t="str">
        <f t="shared" si="92"/>
        <v>25-34</v>
      </c>
      <c r="R3002" t="str">
        <f t="shared" si="93"/>
        <v>[umc2n1Z4wNv]|25-34|Female|PLHIV_Attend.T_1|CY2024Q3</v>
      </c>
    </row>
    <row r="3003" spans="4:18" x14ac:dyDescent="0.2">
      <c r="D3003" t="s">
        <v>108</v>
      </c>
      <c r="E3003" t="s">
        <v>109</v>
      </c>
      <c r="F3003" t="s">
        <v>110</v>
      </c>
      <c r="G3003" t="s">
        <v>150</v>
      </c>
      <c r="H3003" t="s">
        <v>150</v>
      </c>
      <c r="I3003" t="s">
        <v>43</v>
      </c>
      <c r="J3003" t="s">
        <v>44</v>
      </c>
      <c r="K3003" t="s">
        <v>30</v>
      </c>
      <c r="L3003" t="s">
        <v>31</v>
      </c>
      <c r="M3003" t="s">
        <v>140</v>
      </c>
      <c r="N3003">
        <v>18982</v>
      </c>
      <c r="O3003">
        <v>1.8604527999999999E-2</v>
      </c>
      <c r="P3003">
        <v>8.6674409999999997E-3</v>
      </c>
      <c r="Q3003" t="str">
        <f t="shared" si="92"/>
        <v>35-49</v>
      </c>
      <c r="R3003" t="str">
        <f t="shared" si="93"/>
        <v>[umc2n1Z4wNv]|35-49|Female|PLHIV_Attend.T_1|CY2024Q3</v>
      </c>
    </row>
    <row r="3004" spans="4:18" x14ac:dyDescent="0.2">
      <c r="D3004" t="s">
        <v>108</v>
      </c>
      <c r="E3004" t="s">
        <v>109</v>
      </c>
      <c r="F3004" t="s">
        <v>110</v>
      </c>
      <c r="G3004" t="s">
        <v>150</v>
      </c>
      <c r="H3004" t="s">
        <v>150</v>
      </c>
      <c r="I3004" t="s">
        <v>45</v>
      </c>
      <c r="J3004" t="s">
        <v>46</v>
      </c>
      <c r="K3004" t="s">
        <v>30</v>
      </c>
      <c r="L3004" t="s">
        <v>31</v>
      </c>
      <c r="M3004" t="s">
        <v>140</v>
      </c>
      <c r="N3004">
        <v>9408</v>
      </c>
      <c r="O3004">
        <v>3.2767601E-2</v>
      </c>
      <c r="P3004">
        <v>8.6674409999999997E-3</v>
      </c>
      <c r="Q3004" t="str">
        <f t="shared" si="92"/>
        <v>50+</v>
      </c>
      <c r="R3004" t="str">
        <f t="shared" si="93"/>
        <v>[umc2n1Z4wNv]|50+|Female|PLHIV_Attend.T_1|CY2024Q3</v>
      </c>
    </row>
    <row r="3005" spans="4:18" x14ac:dyDescent="0.2">
      <c r="D3005" t="s">
        <v>108</v>
      </c>
      <c r="E3005" t="s">
        <v>109</v>
      </c>
      <c r="F3005" t="s">
        <v>110</v>
      </c>
      <c r="G3005" t="s">
        <v>150</v>
      </c>
      <c r="H3005" t="s">
        <v>150</v>
      </c>
      <c r="I3005" t="s">
        <v>28</v>
      </c>
      <c r="J3005" t="s">
        <v>29</v>
      </c>
      <c r="K3005" t="s">
        <v>48</v>
      </c>
      <c r="L3005" t="s">
        <v>49</v>
      </c>
      <c r="M3005" t="s">
        <v>140</v>
      </c>
      <c r="N3005">
        <v>34</v>
      </c>
      <c r="O3005">
        <v>2.1137136000000001E-2</v>
      </c>
      <c r="P3005">
        <v>8.6674409999999997E-3</v>
      </c>
      <c r="Q3005" t="str">
        <f t="shared" si="92"/>
        <v>&lt;01</v>
      </c>
      <c r="R3005" t="str">
        <f t="shared" si="93"/>
        <v>[umc2n1Z4wNv]|&lt;01|Male|PLHIV_Attend.T_1|CY2024Q3</v>
      </c>
    </row>
    <row r="3006" spans="4:18" x14ac:dyDescent="0.2">
      <c r="D3006" t="s">
        <v>108</v>
      </c>
      <c r="E3006" t="s">
        <v>109</v>
      </c>
      <c r="F3006" t="s">
        <v>110</v>
      </c>
      <c r="G3006" t="s">
        <v>150</v>
      </c>
      <c r="H3006" t="s">
        <v>150</v>
      </c>
      <c r="I3006" t="s">
        <v>33</v>
      </c>
      <c r="J3006" t="s">
        <v>34</v>
      </c>
      <c r="K3006" t="s">
        <v>48</v>
      </c>
      <c r="L3006" t="s">
        <v>49</v>
      </c>
      <c r="M3006" t="s">
        <v>140</v>
      </c>
      <c r="N3006">
        <v>617</v>
      </c>
      <c r="O3006">
        <v>3.4220095999999998E-2</v>
      </c>
      <c r="P3006">
        <v>8.6674409999999997E-3</v>
      </c>
      <c r="Q3006" t="str">
        <f t="shared" si="92"/>
        <v>01-09</v>
      </c>
      <c r="R3006" t="str">
        <f t="shared" si="93"/>
        <v>[umc2n1Z4wNv]|01-09|Male|PLHIV_Attend.T_1|CY2024Q3</v>
      </c>
    </row>
    <row r="3007" spans="4:18" x14ac:dyDescent="0.2">
      <c r="D3007" t="s">
        <v>108</v>
      </c>
      <c r="E3007" t="s">
        <v>109</v>
      </c>
      <c r="F3007" t="s">
        <v>110</v>
      </c>
      <c r="G3007" t="s">
        <v>150</v>
      </c>
      <c r="H3007" t="s">
        <v>150</v>
      </c>
      <c r="I3007" t="s">
        <v>36</v>
      </c>
      <c r="J3007" t="s">
        <v>37</v>
      </c>
      <c r="K3007" t="s">
        <v>48</v>
      </c>
      <c r="L3007" t="s">
        <v>49</v>
      </c>
      <c r="M3007" t="s">
        <v>140</v>
      </c>
      <c r="N3007">
        <v>741</v>
      </c>
      <c r="O3007">
        <v>5.0792098000000001E-2</v>
      </c>
      <c r="P3007">
        <v>8.6674409999999997E-3</v>
      </c>
      <c r="Q3007" t="str">
        <f t="shared" si="92"/>
        <v>10-14</v>
      </c>
      <c r="R3007" t="str">
        <f t="shared" si="93"/>
        <v>[umc2n1Z4wNv]|10-14|Male|PLHIV_Attend.T_1|CY2024Q3</v>
      </c>
    </row>
    <row r="3008" spans="4:18" x14ac:dyDescent="0.2">
      <c r="D3008" t="s">
        <v>108</v>
      </c>
      <c r="E3008" t="s">
        <v>109</v>
      </c>
      <c r="F3008" t="s">
        <v>110</v>
      </c>
      <c r="G3008" t="s">
        <v>150</v>
      </c>
      <c r="H3008" t="s">
        <v>150</v>
      </c>
      <c r="I3008" t="s">
        <v>38</v>
      </c>
      <c r="J3008" t="s">
        <v>39</v>
      </c>
      <c r="K3008" t="s">
        <v>48</v>
      </c>
      <c r="L3008" t="s">
        <v>49</v>
      </c>
      <c r="M3008" t="s">
        <v>140</v>
      </c>
      <c r="N3008">
        <v>2080</v>
      </c>
      <c r="O3008">
        <v>7.2865397999999998E-2</v>
      </c>
      <c r="P3008">
        <v>8.6674409999999997E-3</v>
      </c>
      <c r="Q3008" t="str">
        <f t="shared" si="92"/>
        <v>15-24</v>
      </c>
      <c r="R3008" t="str">
        <f t="shared" si="93"/>
        <v>[umc2n1Z4wNv]|15-24|Male|PLHIV_Attend.T_1|CY2024Q3</v>
      </c>
    </row>
    <row r="3009" spans="4:18" x14ac:dyDescent="0.2">
      <c r="D3009" t="s">
        <v>108</v>
      </c>
      <c r="E3009" t="s">
        <v>109</v>
      </c>
      <c r="F3009" t="s">
        <v>110</v>
      </c>
      <c r="G3009" t="s">
        <v>150</v>
      </c>
      <c r="H3009" t="s">
        <v>150</v>
      </c>
      <c r="I3009" t="s">
        <v>41</v>
      </c>
      <c r="J3009" t="s">
        <v>42</v>
      </c>
      <c r="K3009" t="s">
        <v>48</v>
      </c>
      <c r="L3009" t="s">
        <v>49</v>
      </c>
      <c r="M3009" t="s">
        <v>140</v>
      </c>
      <c r="N3009">
        <v>2603</v>
      </c>
      <c r="O3009">
        <v>6.3903696999999995E-2</v>
      </c>
      <c r="P3009">
        <v>8.6674409999999997E-3</v>
      </c>
      <c r="Q3009" t="str">
        <f t="shared" si="92"/>
        <v>25-34</v>
      </c>
      <c r="R3009" t="str">
        <f t="shared" si="93"/>
        <v>[umc2n1Z4wNv]|25-34|Male|PLHIV_Attend.T_1|CY2024Q3</v>
      </c>
    </row>
    <row r="3010" spans="4:18" x14ac:dyDescent="0.2">
      <c r="D3010" t="s">
        <v>108</v>
      </c>
      <c r="E3010" t="s">
        <v>109</v>
      </c>
      <c r="F3010" t="s">
        <v>110</v>
      </c>
      <c r="G3010" t="s">
        <v>150</v>
      </c>
      <c r="H3010" t="s">
        <v>150</v>
      </c>
      <c r="I3010" t="s">
        <v>43</v>
      </c>
      <c r="J3010" t="s">
        <v>44</v>
      </c>
      <c r="K3010" t="s">
        <v>48</v>
      </c>
      <c r="L3010" t="s">
        <v>49</v>
      </c>
      <c r="M3010" t="s">
        <v>140</v>
      </c>
      <c r="N3010">
        <v>9215</v>
      </c>
      <c r="O3010">
        <v>2.8523785999999999E-2</v>
      </c>
      <c r="P3010">
        <v>8.6674409999999997E-3</v>
      </c>
      <c r="Q3010" t="str">
        <f t="shared" si="92"/>
        <v>35-49</v>
      </c>
      <c r="R3010" t="str">
        <f t="shared" si="93"/>
        <v>[umc2n1Z4wNv]|35-49|Male|PLHIV_Attend.T_1|CY2024Q3</v>
      </c>
    </row>
    <row r="3011" spans="4:18" x14ac:dyDescent="0.2">
      <c r="D3011" t="s">
        <v>108</v>
      </c>
      <c r="E3011" t="s">
        <v>109</v>
      </c>
      <c r="F3011" t="s">
        <v>110</v>
      </c>
      <c r="G3011" t="s">
        <v>150</v>
      </c>
      <c r="H3011" t="s">
        <v>150</v>
      </c>
      <c r="I3011" t="s">
        <v>45</v>
      </c>
      <c r="J3011" t="s">
        <v>46</v>
      </c>
      <c r="K3011" t="s">
        <v>48</v>
      </c>
      <c r="L3011" t="s">
        <v>49</v>
      </c>
      <c r="M3011" t="s">
        <v>140</v>
      </c>
      <c r="N3011">
        <v>6415</v>
      </c>
      <c r="O3011">
        <v>3.2469039999999998E-2</v>
      </c>
      <c r="P3011">
        <v>8.6674409999999997E-3</v>
      </c>
      <c r="Q3011" t="str">
        <f t="shared" ref="Q3011:Q3074" si="94">SUBSTITUTE(SUBSTITUTE($I3011,CHAR(61),""),CHAR(34),"")</f>
        <v>50+</v>
      </c>
      <c r="R3011" t="str">
        <f t="shared" ref="R3011:R3074" si="95">IF($D3011&lt;&gt;"","["&amp;$E3011&amp;"]"&amp;"|"&amp;$Q3011&amp;"|"&amp;$K3011&amp;"|"&amp;$G3011&amp;"|"&amp;IF($G3011="TX_CURR_SUBNAT.R","CY2023Q4",$M3011),"")</f>
        <v>[umc2n1Z4wNv]|50+|Male|PLHIV_Attend.T_1|CY2024Q3</v>
      </c>
    </row>
    <row r="3012" spans="4:18" x14ac:dyDescent="0.2">
      <c r="D3012" t="s">
        <v>111</v>
      </c>
      <c r="E3012" t="s">
        <v>112</v>
      </c>
      <c r="F3012" t="s">
        <v>113</v>
      </c>
      <c r="G3012" t="s">
        <v>150</v>
      </c>
      <c r="H3012" t="s">
        <v>150</v>
      </c>
      <c r="I3012" t="s">
        <v>28</v>
      </c>
      <c r="J3012" t="s">
        <v>29</v>
      </c>
      <c r="K3012" t="s">
        <v>30</v>
      </c>
      <c r="L3012" t="s">
        <v>31</v>
      </c>
      <c r="M3012" t="s">
        <v>140</v>
      </c>
      <c r="N3012">
        <v>19</v>
      </c>
      <c r="O3012">
        <v>2.0886391000000001E-2</v>
      </c>
      <c r="P3012">
        <v>9.9222379999999999E-3</v>
      </c>
      <c r="Q3012" t="str">
        <f t="shared" si="94"/>
        <v>&lt;01</v>
      </c>
      <c r="R3012" t="str">
        <f t="shared" si="95"/>
        <v>[AZyWpGzhcaA]|&lt;01|Female|PLHIV_Attend.T_1|CY2024Q3</v>
      </c>
    </row>
    <row r="3013" spans="4:18" x14ac:dyDescent="0.2">
      <c r="D3013" t="s">
        <v>111</v>
      </c>
      <c r="E3013" t="s">
        <v>112</v>
      </c>
      <c r="F3013" t="s">
        <v>113</v>
      </c>
      <c r="G3013" t="s">
        <v>150</v>
      </c>
      <c r="H3013" t="s">
        <v>150</v>
      </c>
      <c r="I3013" t="s">
        <v>33</v>
      </c>
      <c r="J3013" t="s">
        <v>34</v>
      </c>
      <c r="K3013" t="s">
        <v>30</v>
      </c>
      <c r="L3013" t="s">
        <v>31</v>
      </c>
      <c r="M3013" t="s">
        <v>140</v>
      </c>
      <c r="N3013">
        <v>378</v>
      </c>
      <c r="O3013">
        <v>3.0811727000000001E-2</v>
      </c>
      <c r="P3013">
        <v>9.9222379999999999E-3</v>
      </c>
      <c r="Q3013" t="str">
        <f t="shared" si="94"/>
        <v>01-09</v>
      </c>
      <c r="R3013" t="str">
        <f t="shared" si="95"/>
        <v>[AZyWpGzhcaA]|01-09|Female|PLHIV_Attend.T_1|CY2024Q3</v>
      </c>
    </row>
    <row r="3014" spans="4:18" x14ac:dyDescent="0.2">
      <c r="D3014" t="s">
        <v>111</v>
      </c>
      <c r="E3014" t="s">
        <v>112</v>
      </c>
      <c r="F3014" t="s">
        <v>113</v>
      </c>
      <c r="G3014" t="s">
        <v>150</v>
      </c>
      <c r="H3014" t="s">
        <v>150</v>
      </c>
      <c r="I3014" t="s">
        <v>36</v>
      </c>
      <c r="J3014" t="s">
        <v>37</v>
      </c>
      <c r="K3014" t="s">
        <v>30</v>
      </c>
      <c r="L3014" t="s">
        <v>31</v>
      </c>
      <c r="M3014" t="s">
        <v>140</v>
      </c>
      <c r="N3014">
        <v>475</v>
      </c>
      <c r="O3014">
        <v>4.3016593999999998E-2</v>
      </c>
      <c r="P3014">
        <v>9.9222379999999999E-3</v>
      </c>
      <c r="Q3014" t="str">
        <f t="shared" si="94"/>
        <v>10-14</v>
      </c>
      <c r="R3014" t="str">
        <f t="shared" si="95"/>
        <v>[AZyWpGzhcaA]|10-14|Female|PLHIV_Attend.T_1|CY2024Q3</v>
      </c>
    </row>
    <row r="3015" spans="4:18" x14ac:dyDescent="0.2">
      <c r="D3015" t="s">
        <v>111</v>
      </c>
      <c r="E3015" t="s">
        <v>112</v>
      </c>
      <c r="F3015" t="s">
        <v>113</v>
      </c>
      <c r="G3015" t="s">
        <v>150</v>
      </c>
      <c r="H3015" t="s">
        <v>150</v>
      </c>
      <c r="I3015" t="s">
        <v>38</v>
      </c>
      <c r="J3015" t="s">
        <v>39</v>
      </c>
      <c r="K3015" t="s">
        <v>30</v>
      </c>
      <c r="L3015" t="s">
        <v>31</v>
      </c>
      <c r="M3015" t="s">
        <v>140</v>
      </c>
      <c r="N3015">
        <v>1712</v>
      </c>
      <c r="O3015">
        <v>6.2227431E-2</v>
      </c>
      <c r="P3015">
        <v>9.9222379999999999E-3</v>
      </c>
      <c r="Q3015" t="str">
        <f t="shared" si="94"/>
        <v>15-24</v>
      </c>
      <c r="R3015" t="str">
        <f t="shared" si="95"/>
        <v>[AZyWpGzhcaA]|15-24|Female|PLHIV_Attend.T_1|CY2024Q3</v>
      </c>
    </row>
    <row r="3016" spans="4:18" x14ac:dyDescent="0.2">
      <c r="D3016" t="s">
        <v>111</v>
      </c>
      <c r="E3016" t="s">
        <v>112</v>
      </c>
      <c r="F3016" t="s">
        <v>113</v>
      </c>
      <c r="G3016" t="s">
        <v>150</v>
      </c>
      <c r="H3016" t="s">
        <v>150</v>
      </c>
      <c r="I3016" t="s">
        <v>41</v>
      </c>
      <c r="J3016" t="s">
        <v>42</v>
      </c>
      <c r="K3016" t="s">
        <v>30</v>
      </c>
      <c r="L3016" t="s">
        <v>31</v>
      </c>
      <c r="M3016" t="s">
        <v>140</v>
      </c>
      <c r="N3016">
        <v>4136</v>
      </c>
      <c r="O3016">
        <v>3.4454881999999999E-2</v>
      </c>
      <c r="P3016">
        <v>9.9222379999999999E-3</v>
      </c>
      <c r="Q3016" t="str">
        <f t="shared" si="94"/>
        <v>25-34</v>
      </c>
      <c r="R3016" t="str">
        <f t="shared" si="95"/>
        <v>[AZyWpGzhcaA]|25-34|Female|PLHIV_Attend.T_1|CY2024Q3</v>
      </c>
    </row>
    <row r="3017" spans="4:18" x14ac:dyDescent="0.2">
      <c r="D3017" t="s">
        <v>111</v>
      </c>
      <c r="E3017" t="s">
        <v>112</v>
      </c>
      <c r="F3017" t="s">
        <v>113</v>
      </c>
      <c r="G3017" t="s">
        <v>150</v>
      </c>
      <c r="H3017" t="s">
        <v>150</v>
      </c>
      <c r="I3017" t="s">
        <v>43</v>
      </c>
      <c r="J3017" t="s">
        <v>44</v>
      </c>
      <c r="K3017" t="s">
        <v>30</v>
      </c>
      <c r="L3017" t="s">
        <v>31</v>
      </c>
      <c r="M3017" t="s">
        <v>140</v>
      </c>
      <c r="N3017">
        <v>9800</v>
      </c>
      <c r="O3017">
        <v>1.9504512000000002E-2</v>
      </c>
      <c r="P3017">
        <v>9.9222379999999999E-3</v>
      </c>
      <c r="Q3017" t="str">
        <f t="shared" si="94"/>
        <v>35-49</v>
      </c>
      <c r="R3017" t="str">
        <f t="shared" si="95"/>
        <v>[AZyWpGzhcaA]|35-49|Female|PLHIV_Attend.T_1|CY2024Q3</v>
      </c>
    </row>
    <row r="3018" spans="4:18" x14ac:dyDescent="0.2">
      <c r="D3018" t="s">
        <v>111</v>
      </c>
      <c r="E3018" t="s">
        <v>112</v>
      </c>
      <c r="F3018" t="s">
        <v>113</v>
      </c>
      <c r="G3018" t="s">
        <v>150</v>
      </c>
      <c r="H3018" t="s">
        <v>150</v>
      </c>
      <c r="I3018" t="s">
        <v>45</v>
      </c>
      <c r="J3018" t="s">
        <v>46</v>
      </c>
      <c r="K3018" t="s">
        <v>30</v>
      </c>
      <c r="L3018" t="s">
        <v>31</v>
      </c>
      <c r="M3018" t="s">
        <v>140</v>
      </c>
      <c r="N3018">
        <v>4680</v>
      </c>
      <c r="O3018">
        <v>3.3630689999999998E-2</v>
      </c>
      <c r="P3018">
        <v>9.9222379999999999E-3</v>
      </c>
      <c r="Q3018" t="str">
        <f t="shared" si="94"/>
        <v>50+</v>
      </c>
      <c r="R3018" t="str">
        <f t="shared" si="95"/>
        <v>[AZyWpGzhcaA]|50+|Female|PLHIV_Attend.T_1|CY2024Q3</v>
      </c>
    </row>
    <row r="3019" spans="4:18" x14ac:dyDescent="0.2">
      <c r="D3019" t="s">
        <v>111</v>
      </c>
      <c r="E3019" t="s">
        <v>112</v>
      </c>
      <c r="F3019" t="s">
        <v>113</v>
      </c>
      <c r="G3019" t="s">
        <v>150</v>
      </c>
      <c r="H3019" t="s">
        <v>150</v>
      </c>
      <c r="I3019" t="s">
        <v>28</v>
      </c>
      <c r="J3019" t="s">
        <v>29</v>
      </c>
      <c r="K3019" t="s">
        <v>48</v>
      </c>
      <c r="L3019" t="s">
        <v>49</v>
      </c>
      <c r="M3019" t="s">
        <v>140</v>
      </c>
      <c r="N3019">
        <v>19</v>
      </c>
      <c r="O3019">
        <v>2.0920042999999999E-2</v>
      </c>
      <c r="P3019">
        <v>9.9222379999999999E-3</v>
      </c>
      <c r="Q3019" t="str">
        <f t="shared" si="94"/>
        <v>&lt;01</v>
      </c>
      <c r="R3019" t="str">
        <f t="shared" si="95"/>
        <v>[AZyWpGzhcaA]|&lt;01|Male|PLHIV_Attend.T_1|CY2024Q3</v>
      </c>
    </row>
    <row r="3020" spans="4:18" x14ac:dyDescent="0.2">
      <c r="D3020" t="s">
        <v>111</v>
      </c>
      <c r="E3020" t="s">
        <v>112</v>
      </c>
      <c r="F3020" t="s">
        <v>113</v>
      </c>
      <c r="G3020" t="s">
        <v>150</v>
      </c>
      <c r="H3020" t="s">
        <v>150</v>
      </c>
      <c r="I3020" t="s">
        <v>33</v>
      </c>
      <c r="J3020" t="s">
        <v>34</v>
      </c>
      <c r="K3020" t="s">
        <v>48</v>
      </c>
      <c r="L3020" t="s">
        <v>49</v>
      </c>
      <c r="M3020" t="s">
        <v>140</v>
      </c>
      <c r="N3020">
        <v>384</v>
      </c>
      <c r="O3020">
        <v>3.0832827E-2</v>
      </c>
      <c r="P3020">
        <v>9.9222379999999999E-3</v>
      </c>
      <c r="Q3020" t="str">
        <f t="shared" si="94"/>
        <v>01-09</v>
      </c>
      <c r="R3020" t="str">
        <f t="shared" si="95"/>
        <v>[AZyWpGzhcaA]|01-09|Male|PLHIV_Attend.T_1|CY2024Q3</v>
      </c>
    </row>
    <row r="3021" spans="4:18" x14ac:dyDescent="0.2">
      <c r="D3021" t="s">
        <v>111</v>
      </c>
      <c r="E3021" t="s">
        <v>112</v>
      </c>
      <c r="F3021" t="s">
        <v>113</v>
      </c>
      <c r="G3021" t="s">
        <v>150</v>
      </c>
      <c r="H3021" t="s">
        <v>150</v>
      </c>
      <c r="I3021" t="s">
        <v>36</v>
      </c>
      <c r="J3021" t="s">
        <v>37</v>
      </c>
      <c r="K3021" t="s">
        <v>48</v>
      </c>
      <c r="L3021" t="s">
        <v>49</v>
      </c>
      <c r="M3021" t="s">
        <v>140</v>
      </c>
      <c r="N3021">
        <v>481</v>
      </c>
      <c r="O3021">
        <v>4.3008785000000001E-2</v>
      </c>
      <c r="P3021">
        <v>9.9222379999999999E-3</v>
      </c>
      <c r="Q3021" t="str">
        <f t="shared" si="94"/>
        <v>10-14</v>
      </c>
      <c r="R3021" t="str">
        <f t="shared" si="95"/>
        <v>[AZyWpGzhcaA]|10-14|Male|PLHIV_Attend.T_1|CY2024Q3</v>
      </c>
    </row>
    <row r="3022" spans="4:18" x14ac:dyDescent="0.2">
      <c r="D3022" t="s">
        <v>111</v>
      </c>
      <c r="E3022" t="s">
        <v>112</v>
      </c>
      <c r="F3022" t="s">
        <v>113</v>
      </c>
      <c r="G3022" t="s">
        <v>150</v>
      </c>
      <c r="H3022" t="s">
        <v>150</v>
      </c>
      <c r="I3022" t="s">
        <v>38</v>
      </c>
      <c r="J3022" t="s">
        <v>39</v>
      </c>
      <c r="K3022" t="s">
        <v>48</v>
      </c>
      <c r="L3022" t="s">
        <v>49</v>
      </c>
      <c r="M3022" t="s">
        <v>140</v>
      </c>
      <c r="N3022">
        <v>1223</v>
      </c>
      <c r="O3022">
        <v>6.8682066E-2</v>
      </c>
      <c r="P3022">
        <v>9.9222379999999999E-3</v>
      </c>
      <c r="Q3022" t="str">
        <f t="shared" si="94"/>
        <v>15-24</v>
      </c>
      <c r="R3022" t="str">
        <f t="shared" si="95"/>
        <v>[AZyWpGzhcaA]|15-24|Male|PLHIV_Attend.T_1|CY2024Q3</v>
      </c>
    </row>
    <row r="3023" spans="4:18" x14ac:dyDescent="0.2">
      <c r="D3023" t="s">
        <v>111</v>
      </c>
      <c r="E3023" t="s">
        <v>112</v>
      </c>
      <c r="F3023" t="s">
        <v>113</v>
      </c>
      <c r="G3023" t="s">
        <v>150</v>
      </c>
      <c r="H3023" t="s">
        <v>150</v>
      </c>
      <c r="I3023" t="s">
        <v>41</v>
      </c>
      <c r="J3023" t="s">
        <v>42</v>
      </c>
      <c r="K3023" t="s">
        <v>48</v>
      </c>
      <c r="L3023" t="s">
        <v>49</v>
      </c>
      <c r="M3023" t="s">
        <v>140</v>
      </c>
      <c r="N3023">
        <v>1482</v>
      </c>
      <c r="O3023">
        <v>6.3079858000000003E-2</v>
      </c>
      <c r="P3023">
        <v>9.9222379999999999E-3</v>
      </c>
      <c r="Q3023" t="str">
        <f t="shared" si="94"/>
        <v>25-34</v>
      </c>
      <c r="R3023" t="str">
        <f t="shared" si="95"/>
        <v>[AZyWpGzhcaA]|25-34|Male|PLHIV_Attend.T_1|CY2024Q3</v>
      </c>
    </row>
    <row r="3024" spans="4:18" x14ac:dyDescent="0.2">
      <c r="D3024" t="s">
        <v>111</v>
      </c>
      <c r="E3024" t="s">
        <v>112</v>
      </c>
      <c r="F3024" t="s">
        <v>113</v>
      </c>
      <c r="G3024" t="s">
        <v>150</v>
      </c>
      <c r="H3024" t="s">
        <v>150</v>
      </c>
      <c r="I3024" t="s">
        <v>43</v>
      </c>
      <c r="J3024" t="s">
        <v>44</v>
      </c>
      <c r="K3024" t="s">
        <v>48</v>
      </c>
      <c r="L3024" t="s">
        <v>49</v>
      </c>
      <c r="M3024" t="s">
        <v>140</v>
      </c>
      <c r="N3024">
        <v>5042</v>
      </c>
      <c r="O3024">
        <v>2.9433747E-2</v>
      </c>
      <c r="P3024">
        <v>9.9222379999999999E-3</v>
      </c>
      <c r="Q3024" t="str">
        <f t="shared" si="94"/>
        <v>35-49</v>
      </c>
      <c r="R3024" t="str">
        <f t="shared" si="95"/>
        <v>[AZyWpGzhcaA]|35-49|Male|PLHIV_Attend.T_1|CY2024Q3</v>
      </c>
    </row>
    <row r="3025" spans="4:18" x14ac:dyDescent="0.2">
      <c r="D3025" t="s">
        <v>111</v>
      </c>
      <c r="E3025" t="s">
        <v>112</v>
      </c>
      <c r="F3025" t="s">
        <v>113</v>
      </c>
      <c r="G3025" t="s">
        <v>150</v>
      </c>
      <c r="H3025" t="s">
        <v>150</v>
      </c>
      <c r="I3025" t="s">
        <v>45</v>
      </c>
      <c r="J3025" t="s">
        <v>46</v>
      </c>
      <c r="K3025" t="s">
        <v>48</v>
      </c>
      <c r="L3025" t="s">
        <v>49</v>
      </c>
      <c r="M3025" t="s">
        <v>140</v>
      </c>
      <c r="N3025">
        <v>3406</v>
      </c>
      <c r="O3025">
        <v>3.4083351999999997E-2</v>
      </c>
      <c r="P3025">
        <v>9.9222379999999999E-3</v>
      </c>
      <c r="Q3025" t="str">
        <f t="shared" si="94"/>
        <v>50+</v>
      </c>
      <c r="R3025" t="str">
        <f t="shared" si="95"/>
        <v>[AZyWpGzhcaA]|50+|Male|PLHIV_Attend.T_1|CY2024Q3</v>
      </c>
    </row>
    <row r="3026" spans="4:18" x14ac:dyDescent="0.2">
      <c r="D3026" t="s">
        <v>114</v>
      </c>
      <c r="E3026" t="s">
        <v>115</v>
      </c>
      <c r="F3026" t="s">
        <v>116</v>
      </c>
      <c r="G3026" t="s">
        <v>150</v>
      </c>
      <c r="H3026" t="s">
        <v>150</v>
      </c>
      <c r="I3026" t="s">
        <v>28</v>
      </c>
      <c r="J3026" t="s">
        <v>29</v>
      </c>
      <c r="K3026" t="s">
        <v>30</v>
      </c>
      <c r="L3026" t="s">
        <v>31</v>
      </c>
      <c r="M3026" t="s">
        <v>140</v>
      </c>
      <c r="N3026">
        <v>15</v>
      </c>
      <c r="O3026">
        <v>2.7206227999999999E-2</v>
      </c>
      <c r="P3026">
        <v>1.6113669000000001E-2</v>
      </c>
      <c r="Q3026" t="str">
        <f t="shared" si="94"/>
        <v>&lt;01</v>
      </c>
      <c r="R3026" t="str">
        <f t="shared" si="95"/>
        <v>[ir8wuHHzoSs]|&lt;01|Female|PLHIV_Attend.T_1|CY2024Q3</v>
      </c>
    </row>
    <row r="3027" spans="4:18" x14ac:dyDescent="0.2">
      <c r="D3027" t="s">
        <v>114</v>
      </c>
      <c r="E3027" t="s">
        <v>115</v>
      </c>
      <c r="F3027" t="s">
        <v>116</v>
      </c>
      <c r="G3027" t="s">
        <v>150</v>
      </c>
      <c r="H3027" t="s">
        <v>150</v>
      </c>
      <c r="I3027" t="s">
        <v>33</v>
      </c>
      <c r="J3027" t="s">
        <v>34</v>
      </c>
      <c r="K3027" t="s">
        <v>30</v>
      </c>
      <c r="L3027" t="s">
        <v>31</v>
      </c>
      <c r="M3027" t="s">
        <v>140</v>
      </c>
      <c r="N3027">
        <v>301</v>
      </c>
      <c r="O3027">
        <v>3.7838503000000002E-2</v>
      </c>
      <c r="P3027">
        <v>1.6113669000000001E-2</v>
      </c>
      <c r="Q3027" t="str">
        <f t="shared" si="94"/>
        <v>01-09</v>
      </c>
      <c r="R3027" t="str">
        <f t="shared" si="95"/>
        <v>[ir8wuHHzoSs]|01-09|Female|PLHIV_Attend.T_1|CY2024Q3</v>
      </c>
    </row>
    <row r="3028" spans="4:18" x14ac:dyDescent="0.2">
      <c r="D3028" t="s">
        <v>114</v>
      </c>
      <c r="E3028" t="s">
        <v>115</v>
      </c>
      <c r="F3028" t="s">
        <v>116</v>
      </c>
      <c r="G3028" t="s">
        <v>150</v>
      </c>
      <c r="H3028" t="s">
        <v>150</v>
      </c>
      <c r="I3028" t="s">
        <v>36</v>
      </c>
      <c r="J3028" t="s">
        <v>37</v>
      </c>
      <c r="K3028" t="s">
        <v>30</v>
      </c>
      <c r="L3028" t="s">
        <v>31</v>
      </c>
      <c r="M3028" t="s">
        <v>140</v>
      </c>
      <c r="N3028">
        <v>374</v>
      </c>
      <c r="O3028">
        <v>5.0899686E-2</v>
      </c>
      <c r="P3028">
        <v>1.6113669000000001E-2</v>
      </c>
      <c r="Q3028" t="str">
        <f t="shared" si="94"/>
        <v>10-14</v>
      </c>
      <c r="R3028" t="str">
        <f t="shared" si="95"/>
        <v>[ir8wuHHzoSs]|10-14|Female|PLHIV_Attend.T_1|CY2024Q3</v>
      </c>
    </row>
    <row r="3029" spans="4:18" x14ac:dyDescent="0.2">
      <c r="D3029" t="s">
        <v>114</v>
      </c>
      <c r="E3029" t="s">
        <v>115</v>
      </c>
      <c r="F3029" t="s">
        <v>116</v>
      </c>
      <c r="G3029" t="s">
        <v>150</v>
      </c>
      <c r="H3029" t="s">
        <v>150</v>
      </c>
      <c r="I3029" t="s">
        <v>38</v>
      </c>
      <c r="J3029" t="s">
        <v>39</v>
      </c>
      <c r="K3029" t="s">
        <v>30</v>
      </c>
      <c r="L3029" t="s">
        <v>31</v>
      </c>
      <c r="M3029" t="s">
        <v>140</v>
      </c>
      <c r="N3029">
        <v>1287</v>
      </c>
      <c r="O3029">
        <v>6.2997975999999997E-2</v>
      </c>
      <c r="P3029">
        <v>1.6113669000000001E-2</v>
      </c>
      <c r="Q3029" t="str">
        <f t="shared" si="94"/>
        <v>15-24</v>
      </c>
      <c r="R3029" t="str">
        <f t="shared" si="95"/>
        <v>[ir8wuHHzoSs]|15-24|Female|PLHIV_Attend.T_1|CY2024Q3</v>
      </c>
    </row>
    <row r="3030" spans="4:18" x14ac:dyDescent="0.2">
      <c r="D3030" t="s">
        <v>114</v>
      </c>
      <c r="E3030" t="s">
        <v>115</v>
      </c>
      <c r="F3030" t="s">
        <v>116</v>
      </c>
      <c r="G3030" t="s">
        <v>150</v>
      </c>
      <c r="H3030" t="s">
        <v>150</v>
      </c>
      <c r="I3030" t="s">
        <v>41</v>
      </c>
      <c r="J3030" t="s">
        <v>42</v>
      </c>
      <c r="K3030" t="s">
        <v>30</v>
      </c>
      <c r="L3030" t="s">
        <v>31</v>
      </c>
      <c r="M3030" t="s">
        <v>140</v>
      </c>
      <c r="N3030">
        <v>3037</v>
      </c>
      <c r="O3030">
        <v>3.9156411000000002E-2</v>
      </c>
      <c r="P3030">
        <v>1.6113669000000001E-2</v>
      </c>
      <c r="Q3030" t="str">
        <f t="shared" si="94"/>
        <v>25-34</v>
      </c>
      <c r="R3030" t="str">
        <f t="shared" si="95"/>
        <v>[ir8wuHHzoSs]|25-34|Female|PLHIV_Attend.T_1|CY2024Q3</v>
      </c>
    </row>
    <row r="3031" spans="4:18" x14ac:dyDescent="0.2">
      <c r="D3031" t="s">
        <v>114</v>
      </c>
      <c r="E3031" t="s">
        <v>115</v>
      </c>
      <c r="F3031" t="s">
        <v>116</v>
      </c>
      <c r="G3031" t="s">
        <v>150</v>
      </c>
      <c r="H3031" t="s">
        <v>150</v>
      </c>
      <c r="I3031" t="s">
        <v>43</v>
      </c>
      <c r="J3031" t="s">
        <v>44</v>
      </c>
      <c r="K3031" t="s">
        <v>30</v>
      </c>
      <c r="L3031" t="s">
        <v>31</v>
      </c>
      <c r="M3031" t="s">
        <v>140</v>
      </c>
      <c r="N3031">
        <v>7554</v>
      </c>
      <c r="O3031">
        <v>2.3910278E-2</v>
      </c>
      <c r="P3031">
        <v>1.6113669000000001E-2</v>
      </c>
      <c r="Q3031" t="str">
        <f t="shared" si="94"/>
        <v>35-49</v>
      </c>
      <c r="R3031" t="str">
        <f t="shared" si="95"/>
        <v>[ir8wuHHzoSs]|35-49|Female|PLHIV_Attend.T_1|CY2024Q3</v>
      </c>
    </row>
    <row r="3032" spans="4:18" x14ac:dyDescent="0.2">
      <c r="D3032" t="s">
        <v>114</v>
      </c>
      <c r="E3032" t="s">
        <v>115</v>
      </c>
      <c r="F3032" t="s">
        <v>116</v>
      </c>
      <c r="G3032" t="s">
        <v>150</v>
      </c>
      <c r="H3032" t="s">
        <v>150</v>
      </c>
      <c r="I3032" t="s">
        <v>45</v>
      </c>
      <c r="J3032" t="s">
        <v>46</v>
      </c>
      <c r="K3032" t="s">
        <v>30</v>
      </c>
      <c r="L3032" t="s">
        <v>31</v>
      </c>
      <c r="M3032" t="s">
        <v>140</v>
      </c>
      <c r="N3032">
        <v>3800</v>
      </c>
      <c r="O3032">
        <v>3.6134715999999997E-2</v>
      </c>
      <c r="P3032">
        <v>1.6113669000000001E-2</v>
      </c>
      <c r="Q3032" t="str">
        <f t="shared" si="94"/>
        <v>50+</v>
      </c>
      <c r="R3032" t="str">
        <f t="shared" si="95"/>
        <v>[ir8wuHHzoSs]|50+|Female|PLHIV_Attend.T_1|CY2024Q3</v>
      </c>
    </row>
    <row r="3033" spans="4:18" x14ac:dyDescent="0.2">
      <c r="D3033" t="s">
        <v>114</v>
      </c>
      <c r="E3033" t="s">
        <v>115</v>
      </c>
      <c r="F3033" t="s">
        <v>116</v>
      </c>
      <c r="G3033" t="s">
        <v>150</v>
      </c>
      <c r="H3033" t="s">
        <v>150</v>
      </c>
      <c r="I3033" t="s">
        <v>28</v>
      </c>
      <c r="J3033" t="s">
        <v>29</v>
      </c>
      <c r="K3033" t="s">
        <v>48</v>
      </c>
      <c r="L3033" t="s">
        <v>49</v>
      </c>
      <c r="M3033" t="s">
        <v>140</v>
      </c>
      <c r="N3033">
        <v>15</v>
      </c>
      <c r="O3033">
        <v>2.728038E-2</v>
      </c>
      <c r="P3033">
        <v>1.6113669000000001E-2</v>
      </c>
      <c r="Q3033" t="str">
        <f t="shared" si="94"/>
        <v>&lt;01</v>
      </c>
      <c r="R3033" t="str">
        <f t="shared" si="95"/>
        <v>[ir8wuHHzoSs]|&lt;01|Male|PLHIV_Attend.T_1|CY2024Q3</v>
      </c>
    </row>
    <row r="3034" spans="4:18" x14ac:dyDescent="0.2">
      <c r="D3034" t="s">
        <v>114</v>
      </c>
      <c r="E3034" t="s">
        <v>115</v>
      </c>
      <c r="F3034" t="s">
        <v>116</v>
      </c>
      <c r="G3034" t="s">
        <v>150</v>
      </c>
      <c r="H3034" t="s">
        <v>150</v>
      </c>
      <c r="I3034" t="s">
        <v>33</v>
      </c>
      <c r="J3034" t="s">
        <v>34</v>
      </c>
      <c r="K3034" t="s">
        <v>48</v>
      </c>
      <c r="L3034" t="s">
        <v>49</v>
      </c>
      <c r="M3034" t="s">
        <v>140</v>
      </c>
      <c r="N3034">
        <v>308</v>
      </c>
      <c r="O3034">
        <v>3.7902433999999999E-2</v>
      </c>
      <c r="P3034">
        <v>1.6113669000000001E-2</v>
      </c>
      <c r="Q3034" t="str">
        <f t="shared" si="94"/>
        <v>01-09</v>
      </c>
      <c r="R3034" t="str">
        <f t="shared" si="95"/>
        <v>[ir8wuHHzoSs]|01-09|Male|PLHIV_Attend.T_1|CY2024Q3</v>
      </c>
    </row>
    <row r="3035" spans="4:18" x14ac:dyDescent="0.2">
      <c r="D3035" t="s">
        <v>114</v>
      </c>
      <c r="E3035" t="s">
        <v>115</v>
      </c>
      <c r="F3035" t="s">
        <v>116</v>
      </c>
      <c r="G3035" t="s">
        <v>150</v>
      </c>
      <c r="H3035" t="s">
        <v>150</v>
      </c>
      <c r="I3035" t="s">
        <v>36</v>
      </c>
      <c r="J3035" t="s">
        <v>37</v>
      </c>
      <c r="K3035" t="s">
        <v>48</v>
      </c>
      <c r="L3035" t="s">
        <v>49</v>
      </c>
      <c r="M3035" t="s">
        <v>140</v>
      </c>
      <c r="N3035">
        <v>384</v>
      </c>
      <c r="O3035">
        <v>5.0915992E-2</v>
      </c>
      <c r="P3035">
        <v>1.6113669000000001E-2</v>
      </c>
      <c r="Q3035" t="str">
        <f t="shared" si="94"/>
        <v>10-14</v>
      </c>
      <c r="R3035" t="str">
        <f t="shared" si="95"/>
        <v>[ir8wuHHzoSs]|10-14|Male|PLHIV_Attend.T_1|CY2024Q3</v>
      </c>
    </row>
    <row r="3036" spans="4:18" x14ac:dyDescent="0.2">
      <c r="D3036" t="s">
        <v>114</v>
      </c>
      <c r="E3036" t="s">
        <v>115</v>
      </c>
      <c r="F3036" t="s">
        <v>116</v>
      </c>
      <c r="G3036" t="s">
        <v>150</v>
      </c>
      <c r="H3036" t="s">
        <v>150</v>
      </c>
      <c r="I3036" t="s">
        <v>38</v>
      </c>
      <c r="J3036" t="s">
        <v>39</v>
      </c>
      <c r="K3036" t="s">
        <v>48</v>
      </c>
      <c r="L3036" t="s">
        <v>49</v>
      </c>
      <c r="M3036" t="s">
        <v>140</v>
      </c>
      <c r="N3036">
        <v>867</v>
      </c>
      <c r="O3036">
        <v>6.7311731E-2</v>
      </c>
      <c r="P3036">
        <v>1.6113669000000001E-2</v>
      </c>
      <c r="Q3036" t="str">
        <f t="shared" si="94"/>
        <v>15-24</v>
      </c>
      <c r="R3036" t="str">
        <f t="shared" si="95"/>
        <v>[ir8wuHHzoSs]|15-24|Male|PLHIV_Attend.T_1|CY2024Q3</v>
      </c>
    </row>
    <row r="3037" spans="4:18" x14ac:dyDescent="0.2">
      <c r="D3037" t="s">
        <v>114</v>
      </c>
      <c r="E3037" t="s">
        <v>115</v>
      </c>
      <c r="F3037" t="s">
        <v>116</v>
      </c>
      <c r="G3037" t="s">
        <v>150</v>
      </c>
      <c r="H3037" t="s">
        <v>150</v>
      </c>
      <c r="I3037" t="s">
        <v>41</v>
      </c>
      <c r="J3037" t="s">
        <v>42</v>
      </c>
      <c r="K3037" t="s">
        <v>48</v>
      </c>
      <c r="L3037" t="s">
        <v>49</v>
      </c>
      <c r="M3037" t="s">
        <v>140</v>
      </c>
      <c r="N3037">
        <v>926</v>
      </c>
      <c r="O3037">
        <v>6.8539056000000001E-2</v>
      </c>
      <c r="P3037">
        <v>1.6113669000000001E-2</v>
      </c>
      <c r="Q3037" t="str">
        <f t="shared" si="94"/>
        <v>25-34</v>
      </c>
      <c r="R3037" t="str">
        <f t="shared" si="95"/>
        <v>[ir8wuHHzoSs]|25-34|Male|PLHIV_Attend.T_1|CY2024Q3</v>
      </c>
    </row>
    <row r="3038" spans="4:18" x14ac:dyDescent="0.2">
      <c r="D3038" t="s">
        <v>114</v>
      </c>
      <c r="E3038" t="s">
        <v>115</v>
      </c>
      <c r="F3038" t="s">
        <v>116</v>
      </c>
      <c r="G3038" t="s">
        <v>150</v>
      </c>
      <c r="H3038" t="s">
        <v>150</v>
      </c>
      <c r="I3038" t="s">
        <v>43</v>
      </c>
      <c r="J3038" t="s">
        <v>44</v>
      </c>
      <c r="K3038" t="s">
        <v>48</v>
      </c>
      <c r="L3038" t="s">
        <v>49</v>
      </c>
      <c r="M3038" t="s">
        <v>140</v>
      </c>
      <c r="N3038">
        <v>3335</v>
      </c>
      <c r="O3038">
        <v>3.5242681999999997E-2</v>
      </c>
      <c r="P3038">
        <v>1.6113669000000001E-2</v>
      </c>
      <c r="Q3038" t="str">
        <f t="shared" si="94"/>
        <v>35-49</v>
      </c>
      <c r="R3038" t="str">
        <f t="shared" si="95"/>
        <v>[ir8wuHHzoSs]|35-49|Male|PLHIV_Attend.T_1|CY2024Q3</v>
      </c>
    </row>
    <row r="3039" spans="4:18" x14ac:dyDescent="0.2">
      <c r="D3039" t="s">
        <v>114</v>
      </c>
      <c r="E3039" t="s">
        <v>115</v>
      </c>
      <c r="F3039" t="s">
        <v>116</v>
      </c>
      <c r="G3039" t="s">
        <v>150</v>
      </c>
      <c r="H3039" t="s">
        <v>150</v>
      </c>
      <c r="I3039" t="s">
        <v>45</v>
      </c>
      <c r="J3039" t="s">
        <v>46</v>
      </c>
      <c r="K3039" t="s">
        <v>48</v>
      </c>
      <c r="L3039" t="s">
        <v>49</v>
      </c>
      <c r="M3039" t="s">
        <v>140</v>
      </c>
      <c r="N3039">
        <v>2575</v>
      </c>
      <c r="O3039">
        <v>3.6008000999999998E-2</v>
      </c>
      <c r="P3039">
        <v>1.6113669000000001E-2</v>
      </c>
      <c r="Q3039" t="str">
        <f t="shared" si="94"/>
        <v>50+</v>
      </c>
      <c r="R3039" t="str">
        <f t="shared" si="95"/>
        <v>[ir8wuHHzoSs]|50+|Male|PLHIV_Attend.T_1|CY2024Q3</v>
      </c>
    </row>
    <row r="3040" spans="4:18" x14ac:dyDescent="0.2">
      <c r="D3040" t="s">
        <v>117</v>
      </c>
      <c r="E3040" t="s">
        <v>118</v>
      </c>
      <c r="F3040" t="s">
        <v>119</v>
      </c>
      <c r="G3040" t="s">
        <v>150</v>
      </c>
      <c r="H3040" t="s">
        <v>150</v>
      </c>
      <c r="I3040" t="s">
        <v>28</v>
      </c>
      <c r="J3040" t="s">
        <v>29</v>
      </c>
      <c r="K3040" t="s">
        <v>30</v>
      </c>
      <c r="L3040" t="s">
        <v>31</v>
      </c>
      <c r="M3040" t="s">
        <v>140</v>
      </c>
      <c r="N3040">
        <v>25</v>
      </c>
      <c r="O3040">
        <v>2.0697376E-2</v>
      </c>
      <c r="P3040">
        <v>1.2538904999999999E-2</v>
      </c>
      <c r="Q3040" t="str">
        <f t="shared" si="94"/>
        <v>&lt;01</v>
      </c>
      <c r="R3040" t="str">
        <f t="shared" si="95"/>
        <v>[oiPR2CiVJbf]|&lt;01|Female|PLHIV_Attend.T_1|CY2024Q3</v>
      </c>
    </row>
    <row r="3041" spans="4:18" x14ac:dyDescent="0.2">
      <c r="D3041" t="s">
        <v>117</v>
      </c>
      <c r="E3041" t="s">
        <v>118</v>
      </c>
      <c r="F3041" t="s">
        <v>119</v>
      </c>
      <c r="G3041" t="s">
        <v>150</v>
      </c>
      <c r="H3041" t="s">
        <v>150</v>
      </c>
      <c r="I3041" t="s">
        <v>33</v>
      </c>
      <c r="J3041" t="s">
        <v>34</v>
      </c>
      <c r="K3041" t="s">
        <v>30</v>
      </c>
      <c r="L3041" t="s">
        <v>31</v>
      </c>
      <c r="M3041" t="s">
        <v>140</v>
      </c>
      <c r="N3041">
        <v>448</v>
      </c>
      <c r="O3041">
        <v>2.907935E-2</v>
      </c>
      <c r="P3041">
        <v>1.2538904999999999E-2</v>
      </c>
      <c r="Q3041" t="str">
        <f t="shared" si="94"/>
        <v>01-09</v>
      </c>
      <c r="R3041" t="str">
        <f t="shared" si="95"/>
        <v>[oiPR2CiVJbf]|01-09|Female|PLHIV_Attend.T_1|CY2024Q3</v>
      </c>
    </row>
    <row r="3042" spans="4:18" x14ac:dyDescent="0.2">
      <c r="D3042" t="s">
        <v>117</v>
      </c>
      <c r="E3042" t="s">
        <v>118</v>
      </c>
      <c r="F3042" t="s">
        <v>119</v>
      </c>
      <c r="G3042" t="s">
        <v>150</v>
      </c>
      <c r="H3042" t="s">
        <v>150</v>
      </c>
      <c r="I3042" t="s">
        <v>36</v>
      </c>
      <c r="J3042" t="s">
        <v>37</v>
      </c>
      <c r="K3042" t="s">
        <v>30</v>
      </c>
      <c r="L3042" t="s">
        <v>31</v>
      </c>
      <c r="M3042" t="s">
        <v>140</v>
      </c>
      <c r="N3042">
        <v>542</v>
      </c>
      <c r="O3042">
        <v>3.9826875999999997E-2</v>
      </c>
      <c r="P3042">
        <v>1.2538904999999999E-2</v>
      </c>
      <c r="Q3042" t="str">
        <f t="shared" si="94"/>
        <v>10-14</v>
      </c>
      <c r="R3042" t="str">
        <f t="shared" si="95"/>
        <v>[oiPR2CiVJbf]|10-14|Female|PLHIV_Attend.T_1|CY2024Q3</v>
      </c>
    </row>
    <row r="3043" spans="4:18" x14ac:dyDescent="0.2">
      <c r="D3043" t="s">
        <v>117</v>
      </c>
      <c r="E3043" t="s">
        <v>118</v>
      </c>
      <c r="F3043" t="s">
        <v>119</v>
      </c>
      <c r="G3043" t="s">
        <v>150</v>
      </c>
      <c r="H3043" t="s">
        <v>150</v>
      </c>
      <c r="I3043" t="s">
        <v>38</v>
      </c>
      <c r="J3043" t="s">
        <v>39</v>
      </c>
      <c r="K3043" t="s">
        <v>30</v>
      </c>
      <c r="L3043" t="s">
        <v>31</v>
      </c>
      <c r="M3043" t="s">
        <v>140</v>
      </c>
      <c r="N3043">
        <v>2272</v>
      </c>
      <c r="O3043">
        <v>6.3435190000000002E-2</v>
      </c>
      <c r="P3043">
        <v>1.2538904999999999E-2</v>
      </c>
      <c r="Q3043" t="str">
        <f t="shared" si="94"/>
        <v>15-24</v>
      </c>
      <c r="R3043" t="str">
        <f t="shared" si="95"/>
        <v>[oiPR2CiVJbf]|15-24|Female|PLHIV_Attend.T_1|CY2024Q3</v>
      </c>
    </row>
    <row r="3044" spans="4:18" x14ac:dyDescent="0.2">
      <c r="D3044" t="s">
        <v>117</v>
      </c>
      <c r="E3044" t="s">
        <v>118</v>
      </c>
      <c r="F3044" t="s">
        <v>119</v>
      </c>
      <c r="G3044" t="s">
        <v>150</v>
      </c>
      <c r="H3044" t="s">
        <v>150</v>
      </c>
      <c r="I3044" t="s">
        <v>41</v>
      </c>
      <c r="J3044" t="s">
        <v>42</v>
      </c>
      <c r="K3044" t="s">
        <v>30</v>
      </c>
      <c r="L3044" t="s">
        <v>31</v>
      </c>
      <c r="M3044" t="s">
        <v>140</v>
      </c>
      <c r="N3044">
        <v>5720</v>
      </c>
      <c r="O3044">
        <v>3.5362931E-2</v>
      </c>
      <c r="P3044">
        <v>1.2538904999999999E-2</v>
      </c>
      <c r="Q3044" t="str">
        <f t="shared" si="94"/>
        <v>25-34</v>
      </c>
      <c r="R3044" t="str">
        <f t="shared" si="95"/>
        <v>[oiPR2CiVJbf]|25-34|Female|PLHIV_Attend.T_1|CY2024Q3</v>
      </c>
    </row>
    <row r="3045" spans="4:18" x14ac:dyDescent="0.2">
      <c r="D3045" t="s">
        <v>117</v>
      </c>
      <c r="E3045" t="s">
        <v>118</v>
      </c>
      <c r="F3045" t="s">
        <v>119</v>
      </c>
      <c r="G3045" t="s">
        <v>150</v>
      </c>
      <c r="H3045" t="s">
        <v>150</v>
      </c>
      <c r="I3045" t="s">
        <v>43</v>
      </c>
      <c r="J3045" t="s">
        <v>44</v>
      </c>
      <c r="K3045" t="s">
        <v>30</v>
      </c>
      <c r="L3045" t="s">
        <v>31</v>
      </c>
      <c r="M3045" t="s">
        <v>140</v>
      </c>
      <c r="N3045">
        <v>14225</v>
      </c>
      <c r="O3045">
        <v>2.0695478E-2</v>
      </c>
      <c r="P3045">
        <v>1.2538904999999999E-2</v>
      </c>
      <c r="Q3045" t="str">
        <f t="shared" si="94"/>
        <v>35-49</v>
      </c>
      <c r="R3045" t="str">
        <f t="shared" si="95"/>
        <v>[oiPR2CiVJbf]|35-49|Female|PLHIV_Attend.T_1|CY2024Q3</v>
      </c>
    </row>
    <row r="3046" spans="4:18" x14ac:dyDescent="0.2">
      <c r="D3046" t="s">
        <v>117</v>
      </c>
      <c r="E3046" t="s">
        <v>118</v>
      </c>
      <c r="F3046" t="s">
        <v>119</v>
      </c>
      <c r="G3046" t="s">
        <v>150</v>
      </c>
      <c r="H3046" t="s">
        <v>150</v>
      </c>
      <c r="I3046" t="s">
        <v>45</v>
      </c>
      <c r="J3046" t="s">
        <v>46</v>
      </c>
      <c r="K3046" t="s">
        <v>30</v>
      </c>
      <c r="L3046" t="s">
        <v>31</v>
      </c>
      <c r="M3046" t="s">
        <v>140</v>
      </c>
      <c r="N3046">
        <v>7497</v>
      </c>
      <c r="O3046">
        <v>3.1322268E-2</v>
      </c>
      <c r="P3046">
        <v>1.2538904999999999E-2</v>
      </c>
      <c r="Q3046" t="str">
        <f t="shared" si="94"/>
        <v>50+</v>
      </c>
      <c r="R3046" t="str">
        <f t="shared" si="95"/>
        <v>[oiPR2CiVJbf]|50+|Female|PLHIV_Attend.T_1|CY2024Q3</v>
      </c>
    </row>
    <row r="3047" spans="4:18" x14ac:dyDescent="0.2">
      <c r="D3047" t="s">
        <v>117</v>
      </c>
      <c r="E3047" t="s">
        <v>118</v>
      </c>
      <c r="F3047" t="s">
        <v>119</v>
      </c>
      <c r="G3047" t="s">
        <v>150</v>
      </c>
      <c r="H3047" t="s">
        <v>150</v>
      </c>
      <c r="I3047" t="s">
        <v>28</v>
      </c>
      <c r="J3047" t="s">
        <v>29</v>
      </c>
      <c r="K3047" t="s">
        <v>48</v>
      </c>
      <c r="L3047" t="s">
        <v>49</v>
      </c>
      <c r="M3047" t="s">
        <v>140</v>
      </c>
      <c r="N3047">
        <v>25</v>
      </c>
      <c r="O3047">
        <v>2.0749686E-2</v>
      </c>
      <c r="P3047">
        <v>1.2538904999999999E-2</v>
      </c>
      <c r="Q3047" t="str">
        <f t="shared" si="94"/>
        <v>&lt;01</v>
      </c>
      <c r="R3047" t="str">
        <f t="shared" si="95"/>
        <v>[oiPR2CiVJbf]|&lt;01|Male|PLHIV_Attend.T_1|CY2024Q3</v>
      </c>
    </row>
    <row r="3048" spans="4:18" x14ac:dyDescent="0.2">
      <c r="D3048" t="s">
        <v>117</v>
      </c>
      <c r="E3048" t="s">
        <v>118</v>
      </c>
      <c r="F3048" t="s">
        <v>119</v>
      </c>
      <c r="G3048" t="s">
        <v>150</v>
      </c>
      <c r="H3048" t="s">
        <v>150</v>
      </c>
      <c r="I3048" t="s">
        <v>33</v>
      </c>
      <c r="J3048" t="s">
        <v>34</v>
      </c>
      <c r="K3048" t="s">
        <v>48</v>
      </c>
      <c r="L3048" t="s">
        <v>49</v>
      </c>
      <c r="M3048" t="s">
        <v>140</v>
      </c>
      <c r="N3048">
        <v>461</v>
      </c>
      <c r="O3048">
        <v>2.9130462999999999E-2</v>
      </c>
      <c r="P3048">
        <v>1.2538904999999999E-2</v>
      </c>
      <c r="Q3048" t="str">
        <f t="shared" si="94"/>
        <v>01-09</v>
      </c>
      <c r="R3048" t="str">
        <f t="shared" si="95"/>
        <v>[oiPR2CiVJbf]|01-09|Male|PLHIV_Attend.T_1|CY2024Q3</v>
      </c>
    </row>
    <row r="3049" spans="4:18" x14ac:dyDescent="0.2">
      <c r="D3049" t="s">
        <v>117</v>
      </c>
      <c r="E3049" t="s">
        <v>118</v>
      </c>
      <c r="F3049" t="s">
        <v>119</v>
      </c>
      <c r="G3049" t="s">
        <v>150</v>
      </c>
      <c r="H3049" t="s">
        <v>150</v>
      </c>
      <c r="I3049" t="s">
        <v>36</v>
      </c>
      <c r="J3049" t="s">
        <v>37</v>
      </c>
      <c r="K3049" t="s">
        <v>48</v>
      </c>
      <c r="L3049" t="s">
        <v>49</v>
      </c>
      <c r="M3049" t="s">
        <v>140</v>
      </c>
      <c r="N3049">
        <v>557</v>
      </c>
      <c r="O3049">
        <v>3.9833901999999997E-2</v>
      </c>
      <c r="P3049">
        <v>1.2538904999999999E-2</v>
      </c>
      <c r="Q3049" t="str">
        <f t="shared" si="94"/>
        <v>10-14</v>
      </c>
      <c r="R3049" t="str">
        <f t="shared" si="95"/>
        <v>[oiPR2CiVJbf]|10-14|Male|PLHIV_Attend.T_1|CY2024Q3</v>
      </c>
    </row>
    <row r="3050" spans="4:18" x14ac:dyDescent="0.2">
      <c r="D3050" t="s">
        <v>117</v>
      </c>
      <c r="E3050" t="s">
        <v>118</v>
      </c>
      <c r="F3050" t="s">
        <v>119</v>
      </c>
      <c r="G3050" t="s">
        <v>150</v>
      </c>
      <c r="H3050" t="s">
        <v>150</v>
      </c>
      <c r="I3050" t="s">
        <v>38</v>
      </c>
      <c r="J3050" t="s">
        <v>39</v>
      </c>
      <c r="K3050" t="s">
        <v>48</v>
      </c>
      <c r="L3050" t="s">
        <v>49</v>
      </c>
      <c r="M3050" t="s">
        <v>140</v>
      </c>
      <c r="N3050">
        <v>1642</v>
      </c>
      <c r="O3050">
        <v>7.3362186999999995E-2</v>
      </c>
      <c r="P3050">
        <v>1.2538904999999999E-2</v>
      </c>
      <c r="Q3050" t="str">
        <f t="shared" si="94"/>
        <v>15-24</v>
      </c>
      <c r="R3050" t="str">
        <f t="shared" si="95"/>
        <v>[oiPR2CiVJbf]|15-24|Male|PLHIV_Attend.T_1|CY2024Q3</v>
      </c>
    </row>
    <row r="3051" spans="4:18" x14ac:dyDescent="0.2">
      <c r="D3051" t="s">
        <v>117</v>
      </c>
      <c r="E3051" t="s">
        <v>118</v>
      </c>
      <c r="F3051" t="s">
        <v>119</v>
      </c>
      <c r="G3051" t="s">
        <v>150</v>
      </c>
      <c r="H3051" t="s">
        <v>150</v>
      </c>
      <c r="I3051" t="s">
        <v>41</v>
      </c>
      <c r="J3051" t="s">
        <v>42</v>
      </c>
      <c r="K3051" t="s">
        <v>48</v>
      </c>
      <c r="L3051" t="s">
        <v>49</v>
      </c>
      <c r="M3051" t="s">
        <v>140</v>
      </c>
      <c r="N3051">
        <v>2192</v>
      </c>
      <c r="O3051">
        <v>6.5336434999999998E-2</v>
      </c>
      <c r="P3051">
        <v>1.2538904999999999E-2</v>
      </c>
      <c r="Q3051" t="str">
        <f t="shared" si="94"/>
        <v>25-34</v>
      </c>
      <c r="R3051" t="str">
        <f t="shared" si="95"/>
        <v>[oiPR2CiVJbf]|25-34|Male|PLHIV_Attend.T_1|CY2024Q3</v>
      </c>
    </row>
    <row r="3052" spans="4:18" x14ac:dyDescent="0.2">
      <c r="D3052" t="s">
        <v>117</v>
      </c>
      <c r="E3052" t="s">
        <v>118</v>
      </c>
      <c r="F3052" t="s">
        <v>119</v>
      </c>
      <c r="G3052" t="s">
        <v>150</v>
      </c>
      <c r="H3052" t="s">
        <v>150</v>
      </c>
      <c r="I3052" t="s">
        <v>43</v>
      </c>
      <c r="J3052" t="s">
        <v>44</v>
      </c>
      <c r="K3052" t="s">
        <v>48</v>
      </c>
      <c r="L3052" t="s">
        <v>49</v>
      </c>
      <c r="M3052" t="s">
        <v>140</v>
      </c>
      <c r="N3052">
        <v>7425</v>
      </c>
      <c r="O3052">
        <v>3.2009744E-2</v>
      </c>
      <c r="P3052">
        <v>1.2538904999999999E-2</v>
      </c>
      <c r="Q3052" t="str">
        <f t="shared" si="94"/>
        <v>35-49</v>
      </c>
      <c r="R3052" t="str">
        <f t="shared" si="95"/>
        <v>[oiPR2CiVJbf]|35-49|Male|PLHIV_Attend.T_1|CY2024Q3</v>
      </c>
    </row>
    <row r="3053" spans="4:18" x14ac:dyDescent="0.2">
      <c r="D3053" t="s">
        <v>117</v>
      </c>
      <c r="E3053" t="s">
        <v>118</v>
      </c>
      <c r="F3053" t="s">
        <v>119</v>
      </c>
      <c r="G3053" t="s">
        <v>150</v>
      </c>
      <c r="H3053" t="s">
        <v>150</v>
      </c>
      <c r="I3053" t="s">
        <v>45</v>
      </c>
      <c r="J3053" t="s">
        <v>46</v>
      </c>
      <c r="K3053" t="s">
        <v>48</v>
      </c>
      <c r="L3053" t="s">
        <v>49</v>
      </c>
      <c r="M3053" t="s">
        <v>140</v>
      </c>
      <c r="N3053">
        <v>5382</v>
      </c>
      <c r="O3053">
        <v>3.181519E-2</v>
      </c>
      <c r="P3053">
        <v>1.2538904999999999E-2</v>
      </c>
      <c r="Q3053" t="str">
        <f t="shared" si="94"/>
        <v>50+</v>
      </c>
      <c r="R3053" t="str">
        <f t="shared" si="95"/>
        <v>[oiPR2CiVJbf]|50+|Male|PLHIV_Attend.T_1|CY2024Q3</v>
      </c>
    </row>
    <row r="3054" spans="4:18" x14ac:dyDescent="0.2">
      <c r="D3054" t="s">
        <v>120</v>
      </c>
      <c r="E3054" t="s">
        <v>121</v>
      </c>
      <c r="F3054" t="s">
        <v>122</v>
      </c>
      <c r="G3054" t="s">
        <v>150</v>
      </c>
      <c r="H3054" t="s">
        <v>150</v>
      </c>
      <c r="I3054" t="s">
        <v>28</v>
      </c>
      <c r="J3054" t="s">
        <v>29</v>
      </c>
      <c r="K3054" t="s">
        <v>30</v>
      </c>
      <c r="L3054" t="s">
        <v>31</v>
      </c>
      <c r="M3054" t="s">
        <v>140</v>
      </c>
      <c r="N3054">
        <v>69</v>
      </c>
      <c r="O3054">
        <v>1.7269376999999999E-2</v>
      </c>
      <c r="P3054">
        <v>1.2684159E-2</v>
      </c>
      <c r="Q3054" t="str">
        <f t="shared" si="94"/>
        <v>&lt;01</v>
      </c>
      <c r="R3054" t="str">
        <f t="shared" si="95"/>
        <v>[mxqa3CDFmIT]|&lt;01|Female|PLHIV_Attend.T_1|CY2024Q3</v>
      </c>
    </row>
    <row r="3055" spans="4:18" x14ac:dyDescent="0.2">
      <c r="D3055" t="s">
        <v>120</v>
      </c>
      <c r="E3055" t="s">
        <v>121</v>
      </c>
      <c r="F3055" t="s">
        <v>122</v>
      </c>
      <c r="G3055" t="s">
        <v>150</v>
      </c>
      <c r="H3055" t="s">
        <v>150</v>
      </c>
      <c r="I3055" t="s">
        <v>33</v>
      </c>
      <c r="J3055" t="s">
        <v>34</v>
      </c>
      <c r="K3055" t="s">
        <v>30</v>
      </c>
      <c r="L3055" t="s">
        <v>31</v>
      </c>
      <c r="M3055" t="s">
        <v>140</v>
      </c>
      <c r="N3055">
        <v>1195</v>
      </c>
      <c r="O3055">
        <v>2.4722671000000002E-2</v>
      </c>
      <c r="P3055">
        <v>1.2684159E-2</v>
      </c>
      <c r="Q3055" t="str">
        <f t="shared" si="94"/>
        <v>01-09</v>
      </c>
      <c r="R3055" t="str">
        <f t="shared" si="95"/>
        <v>[mxqa3CDFmIT]|01-09|Female|PLHIV_Attend.T_1|CY2024Q3</v>
      </c>
    </row>
    <row r="3056" spans="4:18" x14ac:dyDescent="0.2">
      <c r="D3056" t="s">
        <v>120</v>
      </c>
      <c r="E3056" t="s">
        <v>121</v>
      </c>
      <c r="F3056" t="s">
        <v>122</v>
      </c>
      <c r="G3056" t="s">
        <v>150</v>
      </c>
      <c r="H3056" t="s">
        <v>150</v>
      </c>
      <c r="I3056" t="s">
        <v>36</v>
      </c>
      <c r="J3056" t="s">
        <v>37</v>
      </c>
      <c r="K3056" t="s">
        <v>30</v>
      </c>
      <c r="L3056" t="s">
        <v>31</v>
      </c>
      <c r="M3056" t="s">
        <v>140</v>
      </c>
      <c r="N3056">
        <v>1353</v>
      </c>
      <c r="O3056">
        <v>3.4595780999999999E-2</v>
      </c>
      <c r="P3056">
        <v>1.2684159E-2</v>
      </c>
      <c r="Q3056" t="str">
        <f t="shared" si="94"/>
        <v>10-14</v>
      </c>
      <c r="R3056" t="str">
        <f t="shared" si="95"/>
        <v>[mxqa3CDFmIT]|10-14|Female|PLHIV_Attend.T_1|CY2024Q3</v>
      </c>
    </row>
    <row r="3057" spans="4:18" x14ac:dyDescent="0.2">
      <c r="D3057" t="s">
        <v>120</v>
      </c>
      <c r="E3057" t="s">
        <v>121</v>
      </c>
      <c r="F3057" t="s">
        <v>122</v>
      </c>
      <c r="G3057" t="s">
        <v>150</v>
      </c>
      <c r="H3057" t="s">
        <v>150</v>
      </c>
      <c r="I3057" t="s">
        <v>38</v>
      </c>
      <c r="J3057" t="s">
        <v>39</v>
      </c>
      <c r="K3057" t="s">
        <v>30</v>
      </c>
      <c r="L3057" t="s">
        <v>31</v>
      </c>
      <c r="M3057" t="s">
        <v>140</v>
      </c>
      <c r="N3057">
        <v>6058</v>
      </c>
      <c r="O3057">
        <v>6.0067901E-2</v>
      </c>
      <c r="P3057">
        <v>1.2684159E-2</v>
      </c>
      <c r="Q3057" t="str">
        <f t="shared" si="94"/>
        <v>15-24</v>
      </c>
      <c r="R3057" t="str">
        <f t="shared" si="95"/>
        <v>[mxqa3CDFmIT]|15-24|Female|PLHIV_Attend.T_1|CY2024Q3</v>
      </c>
    </row>
    <row r="3058" spans="4:18" x14ac:dyDescent="0.2">
      <c r="D3058" t="s">
        <v>120</v>
      </c>
      <c r="E3058" t="s">
        <v>121</v>
      </c>
      <c r="F3058" t="s">
        <v>122</v>
      </c>
      <c r="G3058" t="s">
        <v>150</v>
      </c>
      <c r="H3058" t="s">
        <v>150</v>
      </c>
      <c r="I3058" t="s">
        <v>41</v>
      </c>
      <c r="J3058" t="s">
        <v>42</v>
      </c>
      <c r="K3058" t="s">
        <v>30</v>
      </c>
      <c r="L3058" t="s">
        <v>31</v>
      </c>
      <c r="M3058" t="s">
        <v>140</v>
      </c>
      <c r="N3058">
        <v>17485</v>
      </c>
      <c r="O3058">
        <v>3.5394393000000003E-2</v>
      </c>
      <c r="P3058">
        <v>1.2684159E-2</v>
      </c>
      <c r="Q3058" t="str">
        <f t="shared" si="94"/>
        <v>25-34</v>
      </c>
      <c r="R3058" t="str">
        <f t="shared" si="95"/>
        <v>[mxqa3CDFmIT]|25-34|Female|PLHIV_Attend.T_1|CY2024Q3</v>
      </c>
    </row>
    <row r="3059" spans="4:18" x14ac:dyDescent="0.2">
      <c r="D3059" t="s">
        <v>120</v>
      </c>
      <c r="E3059" t="s">
        <v>121</v>
      </c>
      <c r="F3059" t="s">
        <v>122</v>
      </c>
      <c r="G3059" t="s">
        <v>150</v>
      </c>
      <c r="H3059" t="s">
        <v>150</v>
      </c>
      <c r="I3059" t="s">
        <v>43</v>
      </c>
      <c r="J3059" t="s">
        <v>44</v>
      </c>
      <c r="K3059" t="s">
        <v>30</v>
      </c>
      <c r="L3059" t="s">
        <v>31</v>
      </c>
      <c r="M3059" t="s">
        <v>140</v>
      </c>
      <c r="N3059">
        <v>38282</v>
      </c>
      <c r="O3059">
        <v>1.8027881999999999E-2</v>
      </c>
      <c r="P3059">
        <v>1.2684159E-2</v>
      </c>
      <c r="Q3059" t="str">
        <f t="shared" si="94"/>
        <v>35-49</v>
      </c>
      <c r="R3059" t="str">
        <f t="shared" si="95"/>
        <v>[mxqa3CDFmIT]|35-49|Female|PLHIV_Attend.T_1|CY2024Q3</v>
      </c>
    </row>
    <row r="3060" spans="4:18" x14ac:dyDescent="0.2">
      <c r="D3060" t="s">
        <v>120</v>
      </c>
      <c r="E3060" t="s">
        <v>121</v>
      </c>
      <c r="F3060" t="s">
        <v>122</v>
      </c>
      <c r="G3060" t="s">
        <v>150</v>
      </c>
      <c r="H3060" t="s">
        <v>150</v>
      </c>
      <c r="I3060" t="s">
        <v>45</v>
      </c>
      <c r="J3060" t="s">
        <v>46</v>
      </c>
      <c r="K3060" t="s">
        <v>30</v>
      </c>
      <c r="L3060" t="s">
        <v>31</v>
      </c>
      <c r="M3060" t="s">
        <v>140</v>
      </c>
      <c r="N3060">
        <v>13993</v>
      </c>
      <c r="O3060">
        <v>3.6488777999999999E-2</v>
      </c>
      <c r="P3060">
        <v>1.2684159E-2</v>
      </c>
      <c r="Q3060" t="str">
        <f t="shared" si="94"/>
        <v>50+</v>
      </c>
      <c r="R3060" t="str">
        <f t="shared" si="95"/>
        <v>[mxqa3CDFmIT]|50+|Female|PLHIV_Attend.T_1|CY2024Q3</v>
      </c>
    </row>
    <row r="3061" spans="4:18" x14ac:dyDescent="0.2">
      <c r="D3061" t="s">
        <v>120</v>
      </c>
      <c r="E3061" t="s">
        <v>121</v>
      </c>
      <c r="F3061" t="s">
        <v>122</v>
      </c>
      <c r="G3061" t="s">
        <v>150</v>
      </c>
      <c r="H3061" t="s">
        <v>150</v>
      </c>
      <c r="I3061" t="s">
        <v>28</v>
      </c>
      <c r="J3061" t="s">
        <v>29</v>
      </c>
      <c r="K3061" t="s">
        <v>48</v>
      </c>
      <c r="L3061" t="s">
        <v>49</v>
      </c>
      <c r="M3061" t="s">
        <v>140</v>
      </c>
      <c r="N3061">
        <v>69</v>
      </c>
      <c r="O3061">
        <v>1.7247864000000002E-2</v>
      </c>
      <c r="P3061">
        <v>1.2684159E-2</v>
      </c>
      <c r="Q3061" t="str">
        <f t="shared" si="94"/>
        <v>&lt;01</v>
      </c>
      <c r="R3061" t="str">
        <f t="shared" si="95"/>
        <v>[mxqa3CDFmIT]|&lt;01|Male|PLHIV_Attend.T_1|CY2024Q3</v>
      </c>
    </row>
    <row r="3062" spans="4:18" x14ac:dyDescent="0.2">
      <c r="D3062" t="s">
        <v>120</v>
      </c>
      <c r="E3062" t="s">
        <v>121</v>
      </c>
      <c r="F3062" t="s">
        <v>122</v>
      </c>
      <c r="G3062" t="s">
        <v>150</v>
      </c>
      <c r="H3062" t="s">
        <v>150</v>
      </c>
      <c r="I3062" t="s">
        <v>33</v>
      </c>
      <c r="J3062" t="s">
        <v>34</v>
      </c>
      <c r="K3062" t="s">
        <v>48</v>
      </c>
      <c r="L3062" t="s">
        <v>49</v>
      </c>
      <c r="M3062" t="s">
        <v>140</v>
      </c>
      <c r="N3062">
        <v>1207</v>
      </c>
      <c r="O3062">
        <v>2.4714080999999999E-2</v>
      </c>
      <c r="P3062">
        <v>1.2684159E-2</v>
      </c>
      <c r="Q3062" t="str">
        <f t="shared" si="94"/>
        <v>01-09</v>
      </c>
      <c r="R3062" t="str">
        <f t="shared" si="95"/>
        <v>[mxqa3CDFmIT]|01-09|Male|PLHIV_Attend.T_1|CY2024Q3</v>
      </c>
    </row>
    <row r="3063" spans="4:18" x14ac:dyDescent="0.2">
      <c r="D3063" t="s">
        <v>120</v>
      </c>
      <c r="E3063" t="s">
        <v>121</v>
      </c>
      <c r="F3063" t="s">
        <v>122</v>
      </c>
      <c r="G3063" t="s">
        <v>150</v>
      </c>
      <c r="H3063" t="s">
        <v>150</v>
      </c>
      <c r="I3063" t="s">
        <v>36</v>
      </c>
      <c r="J3063" t="s">
        <v>37</v>
      </c>
      <c r="K3063" t="s">
        <v>48</v>
      </c>
      <c r="L3063" t="s">
        <v>49</v>
      </c>
      <c r="M3063" t="s">
        <v>140</v>
      </c>
      <c r="N3063">
        <v>1348</v>
      </c>
      <c r="O3063">
        <v>3.4613670999999999E-2</v>
      </c>
      <c r="P3063">
        <v>1.2684159E-2</v>
      </c>
      <c r="Q3063" t="str">
        <f t="shared" si="94"/>
        <v>10-14</v>
      </c>
      <c r="R3063" t="str">
        <f t="shared" si="95"/>
        <v>[mxqa3CDFmIT]|10-14|Male|PLHIV_Attend.T_1|CY2024Q3</v>
      </c>
    </row>
    <row r="3064" spans="4:18" x14ac:dyDescent="0.2">
      <c r="D3064" t="s">
        <v>120</v>
      </c>
      <c r="E3064" t="s">
        <v>121</v>
      </c>
      <c r="F3064" t="s">
        <v>122</v>
      </c>
      <c r="G3064" t="s">
        <v>150</v>
      </c>
      <c r="H3064" t="s">
        <v>150</v>
      </c>
      <c r="I3064" t="s">
        <v>38</v>
      </c>
      <c r="J3064" t="s">
        <v>39</v>
      </c>
      <c r="K3064" t="s">
        <v>48</v>
      </c>
      <c r="L3064" t="s">
        <v>49</v>
      </c>
      <c r="M3064" t="s">
        <v>140</v>
      </c>
      <c r="N3064">
        <v>4219</v>
      </c>
      <c r="O3064">
        <v>7.4576147999999995E-2</v>
      </c>
      <c r="P3064">
        <v>1.2684159E-2</v>
      </c>
      <c r="Q3064" t="str">
        <f t="shared" si="94"/>
        <v>15-24</v>
      </c>
      <c r="R3064" t="str">
        <f t="shared" si="95"/>
        <v>[mxqa3CDFmIT]|15-24|Male|PLHIV_Attend.T_1|CY2024Q3</v>
      </c>
    </row>
    <row r="3065" spans="4:18" x14ac:dyDescent="0.2">
      <c r="D3065" t="s">
        <v>120</v>
      </c>
      <c r="E3065" t="s">
        <v>121</v>
      </c>
      <c r="F3065" t="s">
        <v>122</v>
      </c>
      <c r="G3065" t="s">
        <v>150</v>
      </c>
      <c r="H3065" t="s">
        <v>150</v>
      </c>
      <c r="I3065" t="s">
        <v>41</v>
      </c>
      <c r="J3065" t="s">
        <v>42</v>
      </c>
      <c r="K3065" t="s">
        <v>48</v>
      </c>
      <c r="L3065" t="s">
        <v>49</v>
      </c>
      <c r="M3065" t="s">
        <v>140</v>
      </c>
      <c r="N3065">
        <v>7399</v>
      </c>
      <c r="O3065">
        <v>6.4923966E-2</v>
      </c>
      <c r="P3065">
        <v>1.2684159E-2</v>
      </c>
      <c r="Q3065" t="str">
        <f t="shared" si="94"/>
        <v>25-34</v>
      </c>
      <c r="R3065" t="str">
        <f t="shared" si="95"/>
        <v>[mxqa3CDFmIT]|25-34|Male|PLHIV_Attend.T_1|CY2024Q3</v>
      </c>
    </row>
    <row r="3066" spans="4:18" x14ac:dyDescent="0.2">
      <c r="D3066" t="s">
        <v>120</v>
      </c>
      <c r="E3066" t="s">
        <v>121</v>
      </c>
      <c r="F3066" t="s">
        <v>122</v>
      </c>
      <c r="G3066" t="s">
        <v>150</v>
      </c>
      <c r="H3066" t="s">
        <v>150</v>
      </c>
      <c r="I3066" t="s">
        <v>43</v>
      </c>
      <c r="J3066" t="s">
        <v>44</v>
      </c>
      <c r="K3066" t="s">
        <v>48</v>
      </c>
      <c r="L3066" t="s">
        <v>49</v>
      </c>
      <c r="M3066" t="s">
        <v>140</v>
      </c>
      <c r="N3066">
        <v>25163</v>
      </c>
      <c r="O3066">
        <v>2.9831729000000001E-2</v>
      </c>
      <c r="P3066">
        <v>1.2684159E-2</v>
      </c>
      <c r="Q3066" t="str">
        <f t="shared" si="94"/>
        <v>35-49</v>
      </c>
      <c r="R3066" t="str">
        <f t="shared" si="95"/>
        <v>[mxqa3CDFmIT]|35-49|Male|PLHIV_Attend.T_1|CY2024Q3</v>
      </c>
    </row>
    <row r="3067" spans="4:18" x14ac:dyDescent="0.2">
      <c r="D3067" t="s">
        <v>120</v>
      </c>
      <c r="E3067" t="s">
        <v>121</v>
      </c>
      <c r="F3067" t="s">
        <v>122</v>
      </c>
      <c r="G3067" t="s">
        <v>150</v>
      </c>
      <c r="H3067" t="s">
        <v>150</v>
      </c>
      <c r="I3067" t="s">
        <v>45</v>
      </c>
      <c r="J3067" t="s">
        <v>46</v>
      </c>
      <c r="K3067" t="s">
        <v>48</v>
      </c>
      <c r="L3067" t="s">
        <v>49</v>
      </c>
      <c r="M3067" t="s">
        <v>140</v>
      </c>
      <c r="N3067">
        <v>14178</v>
      </c>
      <c r="O3067">
        <v>3.3769358999999999E-2</v>
      </c>
      <c r="P3067">
        <v>1.2684159E-2</v>
      </c>
      <c r="Q3067" t="str">
        <f t="shared" si="94"/>
        <v>50+</v>
      </c>
      <c r="R3067" t="str">
        <f t="shared" si="95"/>
        <v>[mxqa3CDFmIT]|50+|Male|PLHIV_Attend.T_1|CY2024Q3</v>
      </c>
    </row>
    <row r="3068" spans="4:18" x14ac:dyDescent="0.2">
      <c r="D3068" t="s">
        <v>123</v>
      </c>
      <c r="E3068" t="s">
        <v>124</v>
      </c>
      <c r="F3068" t="s">
        <v>125</v>
      </c>
      <c r="G3068" t="s">
        <v>150</v>
      </c>
      <c r="H3068" t="s">
        <v>150</v>
      </c>
      <c r="I3068" t="s">
        <v>28</v>
      </c>
      <c r="J3068" t="s">
        <v>29</v>
      </c>
      <c r="K3068" t="s">
        <v>30</v>
      </c>
      <c r="L3068" t="s">
        <v>31</v>
      </c>
      <c r="M3068" t="s">
        <v>140</v>
      </c>
      <c r="N3068">
        <v>5</v>
      </c>
      <c r="O3068">
        <v>2.8328138999999999E-2</v>
      </c>
      <c r="P3068">
        <v>1.9696727000000001E-2</v>
      </c>
      <c r="Q3068" t="str">
        <f t="shared" si="94"/>
        <v>&lt;01</v>
      </c>
      <c r="R3068" t="str">
        <f t="shared" si="95"/>
        <v>[wNqJp8oRIcF]|&lt;01|Female|PLHIV_Attend.T_1|CY2024Q3</v>
      </c>
    </row>
    <row r="3069" spans="4:18" x14ac:dyDescent="0.2">
      <c r="D3069" t="s">
        <v>123</v>
      </c>
      <c r="E3069" t="s">
        <v>124</v>
      </c>
      <c r="F3069" t="s">
        <v>125</v>
      </c>
      <c r="G3069" t="s">
        <v>150</v>
      </c>
      <c r="H3069" t="s">
        <v>150</v>
      </c>
      <c r="I3069" t="s">
        <v>33</v>
      </c>
      <c r="J3069" t="s">
        <v>34</v>
      </c>
      <c r="K3069" t="s">
        <v>30</v>
      </c>
      <c r="L3069" t="s">
        <v>31</v>
      </c>
      <c r="M3069" t="s">
        <v>140</v>
      </c>
      <c r="N3069">
        <v>96</v>
      </c>
      <c r="O3069">
        <v>3.8026922999999997E-2</v>
      </c>
      <c r="P3069">
        <v>1.9696727000000001E-2</v>
      </c>
      <c r="Q3069" t="str">
        <f t="shared" si="94"/>
        <v>01-09</v>
      </c>
      <c r="R3069" t="str">
        <f t="shared" si="95"/>
        <v>[wNqJp8oRIcF]|01-09|Female|PLHIV_Attend.T_1|CY2024Q3</v>
      </c>
    </row>
    <row r="3070" spans="4:18" x14ac:dyDescent="0.2">
      <c r="D3070" t="s">
        <v>123</v>
      </c>
      <c r="E3070" t="s">
        <v>124</v>
      </c>
      <c r="F3070" t="s">
        <v>125</v>
      </c>
      <c r="G3070" t="s">
        <v>150</v>
      </c>
      <c r="H3070" t="s">
        <v>150</v>
      </c>
      <c r="I3070" t="s">
        <v>36</v>
      </c>
      <c r="J3070" t="s">
        <v>37</v>
      </c>
      <c r="K3070" t="s">
        <v>30</v>
      </c>
      <c r="L3070" t="s">
        <v>31</v>
      </c>
      <c r="M3070" t="s">
        <v>140</v>
      </c>
      <c r="N3070">
        <v>114</v>
      </c>
      <c r="O3070">
        <v>5.0201638999999999E-2</v>
      </c>
      <c r="P3070">
        <v>1.9696727000000001E-2</v>
      </c>
      <c r="Q3070" t="str">
        <f t="shared" si="94"/>
        <v>10-14</v>
      </c>
      <c r="R3070" t="str">
        <f t="shared" si="95"/>
        <v>[wNqJp8oRIcF]|10-14|Female|PLHIV_Attend.T_1|CY2024Q3</v>
      </c>
    </row>
    <row r="3071" spans="4:18" x14ac:dyDescent="0.2">
      <c r="D3071" t="s">
        <v>123</v>
      </c>
      <c r="E3071" t="s">
        <v>124</v>
      </c>
      <c r="F3071" t="s">
        <v>125</v>
      </c>
      <c r="G3071" t="s">
        <v>150</v>
      </c>
      <c r="H3071" t="s">
        <v>150</v>
      </c>
      <c r="I3071" t="s">
        <v>38</v>
      </c>
      <c r="J3071" t="s">
        <v>39</v>
      </c>
      <c r="K3071" t="s">
        <v>30</v>
      </c>
      <c r="L3071" t="s">
        <v>31</v>
      </c>
      <c r="M3071" t="s">
        <v>140</v>
      </c>
      <c r="N3071">
        <v>426</v>
      </c>
      <c r="O3071">
        <v>6.2789192999999993E-2</v>
      </c>
      <c r="P3071">
        <v>1.9696727000000001E-2</v>
      </c>
      <c r="Q3071" t="str">
        <f t="shared" si="94"/>
        <v>15-24</v>
      </c>
      <c r="R3071" t="str">
        <f t="shared" si="95"/>
        <v>[wNqJp8oRIcF]|15-24|Female|PLHIV_Attend.T_1|CY2024Q3</v>
      </c>
    </row>
    <row r="3072" spans="4:18" x14ac:dyDescent="0.2">
      <c r="D3072" t="s">
        <v>123</v>
      </c>
      <c r="E3072" t="s">
        <v>124</v>
      </c>
      <c r="F3072" t="s">
        <v>125</v>
      </c>
      <c r="G3072" t="s">
        <v>150</v>
      </c>
      <c r="H3072" t="s">
        <v>150</v>
      </c>
      <c r="I3072" t="s">
        <v>41</v>
      </c>
      <c r="J3072" t="s">
        <v>42</v>
      </c>
      <c r="K3072" t="s">
        <v>30</v>
      </c>
      <c r="L3072" t="s">
        <v>31</v>
      </c>
      <c r="M3072" t="s">
        <v>140</v>
      </c>
      <c r="N3072">
        <v>1088</v>
      </c>
      <c r="O3072">
        <v>4.2457762000000003E-2</v>
      </c>
      <c r="P3072">
        <v>1.9696727000000001E-2</v>
      </c>
      <c r="Q3072" t="str">
        <f t="shared" si="94"/>
        <v>25-34</v>
      </c>
      <c r="R3072" t="str">
        <f t="shared" si="95"/>
        <v>[wNqJp8oRIcF]|25-34|Female|PLHIV_Attend.T_1|CY2024Q3</v>
      </c>
    </row>
    <row r="3073" spans="4:18" x14ac:dyDescent="0.2">
      <c r="D3073" t="s">
        <v>123</v>
      </c>
      <c r="E3073" t="s">
        <v>124</v>
      </c>
      <c r="F3073" t="s">
        <v>125</v>
      </c>
      <c r="G3073" t="s">
        <v>150</v>
      </c>
      <c r="H3073" t="s">
        <v>150</v>
      </c>
      <c r="I3073" t="s">
        <v>43</v>
      </c>
      <c r="J3073" t="s">
        <v>44</v>
      </c>
      <c r="K3073" t="s">
        <v>30</v>
      </c>
      <c r="L3073" t="s">
        <v>31</v>
      </c>
      <c r="M3073" t="s">
        <v>140</v>
      </c>
      <c r="N3073">
        <v>2632</v>
      </c>
      <c r="O3073">
        <v>2.5263042999999999E-2</v>
      </c>
      <c r="P3073">
        <v>1.9696727000000001E-2</v>
      </c>
      <c r="Q3073" t="str">
        <f t="shared" si="94"/>
        <v>35-49</v>
      </c>
      <c r="R3073" t="str">
        <f t="shared" si="95"/>
        <v>[wNqJp8oRIcF]|35-49|Female|PLHIV_Attend.T_1|CY2024Q3</v>
      </c>
    </row>
    <row r="3074" spans="4:18" x14ac:dyDescent="0.2">
      <c r="D3074" t="s">
        <v>123</v>
      </c>
      <c r="E3074" t="s">
        <v>124</v>
      </c>
      <c r="F3074" t="s">
        <v>125</v>
      </c>
      <c r="G3074" t="s">
        <v>150</v>
      </c>
      <c r="H3074" t="s">
        <v>150</v>
      </c>
      <c r="I3074" t="s">
        <v>45</v>
      </c>
      <c r="J3074" t="s">
        <v>46</v>
      </c>
      <c r="K3074" t="s">
        <v>30</v>
      </c>
      <c r="L3074" t="s">
        <v>31</v>
      </c>
      <c r="M3074" t="s">
        <v>140</v>
      </c>
      <c r="N3074">
        <v>1208</v>
      </c>
      <c r="O3074">
        <v>4.0013306999999998E-2</v>
      </c>
      <c r="P3074">
        <v>1.9696727000000001E-2</v>
      </c>
      <c r="Q3074" t="str">
        <f t="shared" si="94"/>
        <v>50+</v>
      </c>
      <c r="R3074" t="str">
        <f t="shared" si="95"/>
        <v>[wNqJp8oRIcF]|50+|Female|PLHIV_Attend.T_1|CY2024Q3</v>
      </c>
    </row>
    <row r="3075" spans="4:18" x14ac:dyDescent="0.2">
      <c r="D3075" t="s">
        <v>123</v>
      </c>
      <c r="E3075" t="s">
        <v>124</v>
      </c>
      <c r="F3075" t="s">
        <v>125</v>
      </c>
      <c r="G3075" t="s">
        <v>150</v>
      </c>
      <c r="H3075" t="s">
        <v>150</v>
      </c>
      <c r="I3075" t="s">
        <v>28</v>
      </c>
      <c r="J3075" t="s">
        <v>29</v>
      </c>
      <c r="K3075" t="s">
        <v>48</v>
      </c>
      <c r="L3075" t="s">
        <v>49</v>
      </c>
      <c r="M3075" t="s">
        <v>140</v>
      </c>
      <c r="N3075">
        <v>5</v>
      </c>
      <c r="O3075">
        <v>2.8292564999999999E-2</v>
      </c>
      <c r="P3075">
        <v>1.9696727000000001E-2</v>
      </c>
      <c r="Q3075" t="str">
        <f t="shared" ref="Q3075:Q3138" si="96">SUBSTITUTE(SUBSTITUTE($I3075,CHAR(61),""),CHAR(34),"")</f>
        <v>&lt;01</v>
      </c>
      <c r="R3075" t="str">
        <f t="shared" ref="R3075:R3138" si="97">IF($D3075&lt;&gt;"","["&amp;$E3075&amp;"]"&amp;"|"&amp;$Q3075&amp;"|"&amp;$K3075&amp;"|"&amp;$G3075&amp;"|"&amp;IF($G3075="TX_CURR_SUBNAT.R","CY2023Q4",$M3075),"")</f>
        <v>[wNqJp8oRIcF]|&lt;01|Male|PLHIV_Attend.T_1|CY2024Q3</v>
      </c>
    </row>
    <row r="3076" spans="4:18" x14ac:dyDescent="0.2">
      <c r="D3076" t="s">
        <v>123</v>
      </c>
      <c r="E3076" t="s">
        <v>124</v>
      </c>
      <c r="F3076" t="s">
        <v>125</v>
      </c>
      <c r="G3076" t="s">
        <v>150</v>
      </c>
      <c r="H3076" t="s">
        <v>150</v>
      </c>
      <c r="I3076" t="s">
        <v>33</v>
      </c>
      <c r="J3076" t="s">
        <v>34</v>
      </c>
      <c r="K3076" t="s">
        <v>48</v>
      </c>
      <c r="L3076" t="s">
        <v>49</v>
      </c>
      <c r="M3076" t="s">
        <v>140</v>
      </c>
      <c r="N3076">
        <v>97</v>
      </c>
      <c r="O3076">
        <v>3.7982999000000003E-2</v>
      </c>
      <c r="P3076">
        <v>1.9696727000000001E-2</v>
      </c>
      <c r="Q3076" t="str">
        <f t="shared" si="96"/>
        <v>01-09</v>
      </c>
      <c r="R3076" t="str">
        <f t="shared" si="97"/>
        <v>[wNqJp8oRIcF]|01-09|Male|PLHIV_Attend.T_1|CY2024Q3</v>
      </c>
    </row>
    <row r="3077" spans="4:18" x14ac:dyDescent="0.2">
      <c r="D3077" t="s">
        <v>123</v>
      </c>
      <c r="E3077" t="s">
        <v>124</v>
      </c>
      <c r="F3077" t="s">
        <v>125</v>
      </c>
      <c r="G3077" t="s">
        <v>150</v>
      </c>
      <c r="H3077" t="s">
        <v>150</v>
      </c>
      <c r="I3077" t="s">
        <v>36</v>
      </c>
      <c r="J3077" t="s">
        <v>37</v>
      </c>
      <c r="K3077" t="s">
        <v>48</v>
      </c>
      <c r="L3077" t="s">
        <v>49</v>
      </c>
      <c r="M3077" t="s">
        <v>140</v>
      </c>
      <c r="N3077">
        <v>114</v>
      </c>
      <c r="O3077">
        <v>5.0131401999999999E-2</v>
      </c>
      <c r="P3077">
        <v>1.9696727000000001E-2</v>
      </c>
      <c r="Q3077" t="str">
        <f t="shared" si="96"/>
        <v>10-14</v>
      </c>
      <c r="R3077" t="str">
        <f t="shared" si="97"/>
        <v>[wNqJp8oRIcF]|10-14|Male|PLHIV_Attend.T_1|CY2024Q3</v>
      </c>
    </row>
    <row r="3078" spans="4:18" x14ac:dyDescent="0.2">
      <c r="D3078" t="s">
        <v>123</v>
      </c>
      <c r="E3078" t="s">
        <v>124</v>
      </c>
      <c r="F3078" t="s">
        <v>125</v>
      </c>
      <c r="G3078" t="s">
        <v>150</v>
      </c>
      <c r="H3078" t="s">
        <v>150</v>
      </c>
      <c r="I3078" t="s">
        <v>38</v>
      </c>
      <c r="J3078" t="s">
        <v>39</v>
      </c>
      <c r="K3078" t="s">
        <v>48</v>
      </c>
      <c r="L3078" t="s">
        <v>49</v>
      </c>
      <c r="M3078" t="s">
        <v>140</v>
      </c>
      <c r="N3078">
        <v>293</v>
      </c>
      <c r="O3078">
        <v>7.2368435999999994E-2</v>
      </c>
      <c r="P3078">
        <v>1.9696727000000001E-2</v>
      </c>
      <c r="Q3078" t="str">
        <f t="shared" si="96"/>
        <v>15-24</v>
      </c>
      <c r="R3078" t="str">
        <f t="shared" si="97"/>
        <v>[wNqJp8oRIcF]|15-24|Male|PLHIV_Attend.T_1|CY2024Q3</v>
      </c>
    </row>
    <row r="3079" spans="4:18" x14ac:dyDescent="0.2">
      <c r="D3079" t="s">
        <v>123</v>
      </c>
      <c r="E3079" t="s">
        <v>124</v>
      </c>
      <c r="F3079" t="s">
        <v>125</v>
      </c>
      <c r="G3079" t="s">
        <v>150</v>
      </c>
      <c r="H3079" t="s">
        <v>150</v>
      </c>
      <c r="I3079" t="s">
        <v>41</v>
      </c>
      <c r="J3079" t="s">
        <v>42</v>
      </c>
      <c r="K3079" t="s">
        <v>48</v>
      </c>
      <c r="L3079" t="s">
        <v>49</v>
      </c>
      <c r="M3079" t="s">
        <v>140</v>
      </c>
      <c r="N3079">
        <v>402</v>
      </c>
      <c r="O3079">
        <v>7.0759245999999998E-2</v>
      </c>
      <c r="P3079">
        <v>1.9696727000000001E-2</v>
      </c>
      <c r="Q3079" t="str">
        <f t="shared" si="96"/>
        <v>25-34</v>
      </c>
      <c r="R3079" t="str">
        <f t="shared" si="97"/>
        <v>[wNqJp8oRIcF]|25-34|Male|PLHIV_Attend.T_1|CY2024Q3</v>
      </c>
    </row>
    <row r="3080" spans="4:18" x14ac:dyDescent="0.2">
      <c r="D3080" t="s">
        <v>123</v>
      </c>
      <c r="E3080" t="s">
        <v>124</v>
      </c>
      <c r="F3080" t="s">
        <v>125</v>
      </c>
      <c r="G3080" t="s">
        <v>150</v>
      </c>
      <c r="H3080" t="s">
        <v>150</v>
      </c>
      <c r="I3080" t="s">
        <v>43</v>
      </c>
      <c r="J3080" t="s">
        <v>44</v>
      </c>
      <c r="K3080" t="s">
        <v>48</v>
      </c>
      <c r="L3080" t="s">
        <v>49</v>
      </c>
      <c r="M3080" t="s">
        <v>140</v>
      </c>
      <c r="N3080">
        <v>1416</v>
      </c>
      <c r="O3080">
        <v>3.7195409999999998E-2</v>
      </c>
      <c r="P3080">
        <v>1.9696727000000001E-2</v>
      </c>
      <c r="Q3080" t="str">
        <f t="shared" si="96"/>
        <v>35-49</v>
      </c>
      <c r="R3080" t="str">
        <f t="shared" si="97"/>
        <v>[wNqJp8oRIcF]|35-49|Male|PLHIV_Attend.T_1|CY2024Q3</v>
      </c>
    </row>
    <row r="3081" spans="4:18" x14ac:dyDescent="0.2">
      <c r="D3081" t="s">
        <v>123</v>
      </c>
      <c r="E3081" t="s">
        <v>124</v>
      </c>
      <c r="F3081" t="s">
        <v>125</v>
      </c>
      <c r="G3081" t="s">
        <v>150</v>
      </c>
      <c r="H3081" t="s">
        <v>150</v>
      </c>
      <c r="I3081" t="s">
        <v>45</v>
      </c>
      <c r="J3081" t="s">
        <v>46</v>
      </c>
      <c r="K3081" t="s">
        <v>48</v>
      </c>
      <c r="L3081" t="s">
        <v>49</v>
      </c>
      <c r="M3081" t="s">
        <v>140</v>
      </c>
      <c r="N3081">
        <v>971</v>
      </c>
      <c r="O3081">
        <v>4.1285223000000003E-2</v>
      </c>
      <c r="P3081">
        <v>1.9696727000000001E-2</v>
      </c>
      <c r="Q3081" t="str">
        <f t="shared" si="96"/>
        <v>50+</v>
      </c>
      <c r="R3081" t="str">
        <f t="shared" si="97"/>
        <v>[wNqJp8oRIcF]|50+|Male|PLHIV_Attend.T_1|CY2024Q3</v>
      </c>
    </row>
    <row r="3082" spans="4:18" x14ac:dyDescent="0.2">
      <c r="D3082" t="s">
        <v>126</v>
      </c>
      <c r="E3082" t="s">
        <v>127</v>
      </c>
      <c r="F3082" t="s">
        <v>128</v>
      </c>
      <c r="G3082" t="s">
        <v>150</v>
      </c>
      <c r="H3082" t="s">
        <v>150</v>
      </c>
      <c r="I3082" t="s">
        <v>28</v>
      </c>
      <c r="J3082" t="s">
        <v>29</v>
      </c>
      <c r="K3082" t="s">
        <v>30</v>
      </c>
      <c r="L3082" t="s">
        <v>31</v>
      </c>
      <c r="M3082" t="s">
        <v>140</v>
      </c>
      <c r="N3082">
        <v>33</v>
      </c>
      <c r="O3082">
        <v>2.3355299E-2</v>
      </c>
      <c r="P3082">
        <v>1.1895553999999999E-2</v>
      </c>
      <c r="Q3082" t="str">
        <f t="shared" si="96"/>
        <v>&lt;01</v>
      </c>
      <c r="R3082" t="str">
        <f t="shared" si="97"/>
        <v>[ul0y9diGujK]|&lt;01|Female|PLHIV_Attend.T_1|CY2024Q3</v>
      </c>
    </row>
    <row r="3083" spans="4:18" x14ac:dyDescent="0.2">
      <c r="D3083" t="s">
        <v>126</v>
      </c>
      <c r="E3083" t="s">
        <v>127</v>
      </c>
      <c r="F3083" t="s">
        <v>128</v>
      </c>
      <c r="G3083" t="s">
        <v>150</v>
      </c>
      <c r="H3083" t="s">
        <v>150</v>
      </c>
      <c r="I3083" t="s">
        <v>33</v>
      </c>
      <c r="J3083" t="s">
        <v>34</v>
      </c>
      <c r="K3083" t="s">
        <v>30</v>
      </c>
      <c r="L3083" t="s">
        <v>31</v>
      </c>
      <c r="M3083" t="s">
        <v>140</v>
      </c>
      <c r="N3083">
        <v>606</v>
      </c>
      <c r="O3083">
        <v>3.5965489000000003E-2</v>
      </c>
      <c r="P3083">
        <v>1.1895553999999999E-2</v>
      </c>
      <c r="Q3083" t="str">
        <f t="shared" si="96"/>
        <v>01-09</v>
      </c>
      <c r="R3083" t="str">
        <f t="shared" si="97"/>
        <v>[ul0y9diGujK]|01-09|Female|PLHIV_Attend.T_1|CY2024Q3</v>
      </c>
    </row>
    <row r="3084" spans="4:18" x14ac:dyDescent="0.2">
      <c r="D3084" t="s">
        <v>126</v>
      </c>
      <c r="E3084" t="s">
        <v>127</v>
      </c>
      <c r="F3084" t="s">
        <v>128</v>
      </c>
      <c r="G3084" t="s">
        <v>150</v>
      </c>
      <c r="H3084" t="s">
        <v>150</v>
      </c>
      <c r="I3084" t="s">
        <v>36</v>
      </c>
      <c r="J3084" t="s">
        <v>37</v>
      </c>
      <c r="K3084" t="s">
        <v>30</v>
      </c>
      <c r="L3084" t="s">
        <v>31</v>
      </c>
      <c r="M3084" t="s">
        <v>140</v>
      </c>
      <c r="N3084">
        <v>755</v>
      </c>
      <c r="O3084">
        <v>5.2042311000000001E-2</v>
      </c>
      <c r="P3084">
        <v>1.1895553999999999E-2</v>
      </c>
      <c r="Q3084" t="str">
        <f t="shared" si="96"/>
        <v>10-14</v>
      </c>
      <c r="R3084" t="str">
        <f t="shared" si="97"/>
        <v>[ul0y9diGujK]|10-14|Female|PLHIV_Attend.T_1|CY2024Q3</v>
      </c>
    </row>
    <row r="3085" spans="4:18" x14ac:dyDescent="0.2">
      <c r="D3085" t="s">
        <v>126</v>
      </c>
      <c r="E3085" t="s">
        <v>127</v>
      </c>
      <c r="F3085" t="s">
        <v>128</v>
      </c>
      <c r="G3085" t="s">
        <v>150</v>
      </c>
      <c r="H3085" t="s">
        <v>150</v>
      </c>
      <c r="I3085" t="s">
        <v>38</v>
      </c>
      <c r="J3085" t="s">
        <v>39</v>
      </c>
      <c r="K3085" t="s">
        <v>30</v>
      </c>
      <c r="L3085" t="s">
        <v>31</v>
      </c>
      <c r="M3085" t="s">
        <v>140</v>
      </c>
      <c r="N3085">
        <v>3041</v>
      </c>
      <c r="O3085">
        <v>6.3616210000000006E-2</v>
      </c>
      <c r="P3085">
        <v>1.1895553999999999E-2</v>
      </c>
      <c r="Q3085" t="str">
        <f t="shared" si="96"/>
        <v>15-24</v>
      </c>
      <c r="R3085" t="str">
        <f t="shared" si="97"/>
        <v>[ul0y9diGujK]|15-24|Female|PLHIV_Attend.T_1|CY2024Q3</v>
      </c>
    </row>
    <row r="3086" spans="4:18" x14ac:dyDescent="0.2">
      <c r="D3086" t="s">
        <v>126</v>
      </c>
      <c r="E3086" t="s">
        <v>127</v>
      </c>
      <c r="F3086" t="s">
        <v>128</v>
      </c>
      <c r="G3086" t="s">
        <v>150</v>
      </c>
      <c r="H3086" t="s">
        <v>150</v>
      </c>
      <c r="I3086" t="s">
        <v>41</v>
      </c>
      <c r="J3086" t="s">
        <v>42</v>
      </c>
      <c r="K3086" t="s">
        <v>30</v>
      </c>
      <c r="L3086" t="s">
        <v>31</v>
      </c>
      <c r="M3086" t="s">
        <v>140</v>
      </c>
      <c r="N3086">
        <v>7376</v>
      </c>
      <c r="O3086">
        <v>3.6205849999999998E-2</v>
      </c>
      <c r="P3086">
        <v>1.1895553999999999E-2</v>
      </c>
      <c r="Q3086" t="str">
        <f t="shared" si="96"/>
        <v>25-34</v>
      </c>
      <c r="R3086" t="str">
        <f t="shared" si="97"/>
        <v>[ul0y9diGujK]|25-34|Female|PLHIV_Attend.T_1|CY2024Q3</v>
      </c>
    </row>
    <row r="3087" spans="4:18" x14ac:dyDescent="0.2">
      <c r="D3087" t="s">
        <v>126</v>
      </c>
      <c r="E3087" t="s">
        <v>127</v>
      </c>
      <c r="F3087" t="s">
        <v>128</v>
      </c>
      <c r="G3087" t="s">
        <v>150</v>
      </c>
      <c r="H3087" t="s">
        <v>150</v>
      </c>
      <c r="I3087" t="s">
        <v>43</v>
      </c>
      <c r="J3087" t="s">
        <v>44</v>
      </c>
      <c r="K3087" t="s">
        <v>30</v>
      </c>
      <c r="L3087" t="s">
        <v>31</v>
      </c>
      <c r="M3087" t="s">
        <v>140</v>
      </c>
      <c r="N3087">
        <v>19096</v>
      </c>
      <c r="O3087">
        <v>1.9902761000000001E-2</v>
      </c>
      <c r="P3087">
        <v>1.1895553999999999E-2</v>
      </c>
      <c r="Q3087" t="str">
        <f t="shared" si="96"/>
        <v>35-49</v>
      </c>
      <c r="R3087" t="str">
        <f t="shared" si="97"/>
        <v>[ul0y9diGujK]|35-49|Female|PLHIV_Attend.T_1|CY2024Q3</v>
      </c>
    </row>
    <row r="3088" spans="4:18" x14ac:dyDescent="0.2">
      <c r="D3088" t="s">
        <v>126</v>
      </c>
      <c r="E3088" t="s">
        <v>127</v>
      </c>
      <c r="F3088" t="s">
        <v>128</v>
      </c>
      <c r="G3088" t="s">
        <v>150</v>
      </c>
      <c r="H3088" t="s">
        <v>150</v>
      </c>
      <c r="I3088" t="s">
        <v>45</v>
      </c>
      <c r="J3088" t="s">
        <v>46</v>
      </c>
      <c r="K3088" t="s">
        <v>30</v>
      </c>
      <c r="L3088" t="s">
        <v>31</v>
      </c>
      <c r="M3088" t="s">
        <v>140</v>
      </c>
      <c r="N3088">
        <v>9638</v>
      </c>
      <c r="O3088">
        <v>3.2266100999999998E-2</v>
      </c>
      <c r="P3088">
        <v>1.1895553999999999E-2</v>
      </c>
      <c r="Q3088" t="str">
        <f t="shared" si="96"/>
        <v>50+</v>
      </c>
      <c r="R3088" t="str">
        <f t="shared" si="97"/>
        <v>[ul0y9diGujK]|50+|Female|PLHIV_Attend.T_1|CY2024Q3</v>
      </c>
    </row>
    <row r="3089" spans="4:18" x14ac:dyDescent="0.2">
      <c r="D3089" t="s">
        <v>126</v>
      </c>
      <c r="E3089" t="s">
        <v>127</v>
      </c>
      <c r="F3089" t="s">
        <v>128</v>
      </c>
      <c r="G3089" t="s">
        <v>150</v>
      </c>
      <c r="H3089" t="s">
        <v>150</v>
      </c>
      <c r="I3089" t="s">
        <v>28</v>
      </c>
      <c r="J3089" t="s">
        <v>29</v>
      </c>
      <c r="K3089" t="s">
        <v>48</v>
      </c>
      <c r="L3089" t="s">
        <v>49</v>
      </c>
      <c r="M3089" t="s">
        <v>140</v>
      </c>
      <c r="N3089">
        <v>34</v>
      </c>
      <c r="O3089">
        <v>2.3420486000000001E-2</v>
      </c>
      <c r="P3089">
        <v>1.1895553999999999E-2</v>
      </c>
      <c r="Q3089" t="str">
        <f t="shared" si="96"/>
        <v>&lt;01</v>
      </c>
      <c r="R3089" t="str">
        <f t="shared" si="97"/>
        <v>[ul0y9diGujK]|&lt;01|Male|PLHIV_Attend.T_1|CY2024Q3</v>
      </c>
    </row>
    <row r="3090" spans="4:18" x14ac:dyDescent="0.2">
      <c r="D3090" t="s">
        <v>126</v>
      </c>
      <c r="E3090" t="s">
        <v>127</v>
      </c>
      <c r="F3090" t="s">
        <v>128</v>
      </c>
      <c r="G3090" t="s">
        <v>150</v>
      </c>
      <c r="H3090" t="s">
        <v>150</v>
      </c>
      <c r="I3090" t="s">
        <v>33</v>
      </c>
      <c r="J3090" t="s">
        <v>34</v>
      </c>
      <c r="K3090" t="s">
        <v>48</v>
      </c>
      <c r="L3090" t="s">
        <v>49</v>
      </c>
      <c r="M3090" t="s">
        <v>140</v>
      </c>
      <c r="N3090">
        <v>616</v>
      </c>
      <c r="O3090">
        <v>3.6012355000000003E-2</v>
      </c>
      <c r="P3090">
        <v>1.1895553999999999E-2</v>
      </c>
      <c r="Q3090" t="str">
        <f t="shared" si="96"/>
        <v>01-09</v>
      </c>
      <c r="R3090" t="str">
        <f t="shared" si="97"/>
        <v>[ul0y9diGujK]|01-09|Male|PLHIV_Attend.T_1|CY2024Q3</v>
      </c>
    </row>
    <row r="3091" spans="4:18" x14ac:dyDescent="0.2">
      <c r="D3091" t="s">
        <v>126</v>
      </c>
      <c r="E3091" t="s">
        <v>127</v>
      </c>
      <c r="F3091" t="s">
        <v>128</v>
      </c>
      <c r="G3091" t="s">
        <v>150</v>
      </c>
      <c r="H3091" t="s">
        <v>150</v>
      </c>
      <c r="I3091" t="s">
        <v>36</v>
      </c>
      <c r="J3091" t="s">
        <v>37</v>
      </c>
      <c r="K3091" t="s">
        <v>48</v>
      </c>
      <c r="L3091" t="s">
        <v>49</v>
      </c>
      <c r="M3091" t="s">
        <v>140</v>
      </c>
      <c r="N3091">
        <v>764</v>
      </c>
      <c r="O3091">
        <v>5.2032753000000001E-2</v>
      </c>
      <c r="P3091">
        <v>1.1895553999999999E-2</v>
      </c>
      <c r="Q3091" t="str">
        <f t="shared" si="96"/>
        <v>10-14</v>
      </c>
      <c r="R3091" t="str">
        <f t="shared" si="97"/>
        <v>[ul0y9diGujK]|10-14|Male|PLHIV_Attend.T_1|CY2024Q3</v>
      </c>
    </row>
    <row r="3092" spans="4:18" x14ac:dyDescent="0.2">
      <c r="D3092" t="s">
        <v>126</v>
      </c>
      <c r="E3092" t="s">
        <v>127</v>
      </c>
      <c r="F3092" t="s">
        <v>128</v>
      </c>
      <c r="G3092" t="s">
        <v>150</v>
      </c>
      <c r="H3092" t="s">
        <v>150</v>
      </c>
      <c r="I3092" t="s">
        <v>38</v>
      </c>
      <c r="J3092" t="s">
        <v>39</v>
      </c>
      <c r="K3092" t="s">
        <v>48</v>
      </c>
      <c r="L3092" t="s">
        <v>49</v>
      </c>
      <c r="M3092" t="s">
        <v>140</v>
      </c>
      <c r="N3092">
        <v>2132</v>
      </c>
      <c r="O3092">
        <v>7.3776972999999996E-2</v>
      </c>
      <c r="P3092">
        <v>1.1895553999999999E-2</v>
      </c>
      <c r="Q3092" t="str">
        <f t="shared" si="96"/>
        <v>15-24</v>
      </c>
      <c r="R3092" t="str">
        <f t="shared" si="97"/>
        <v>[ul0y9diGujK]|15-24|Male|PLHIV_Attend.T_1|CY2024Q3</v>
      </c>
    </row>
    <row r="3093" spans="4:18" x14ac:dyDescent="0.2">
      <c r="D3093" t="s">
        <v>126</v>
      </c>
      <c r="E3093" t="s">
        <v>127</v>
      </c>
      <c r="F3093" t="s">
        <v>128</v>
      </c>
      <c r="G3093" t="s">
        <v>150</v>
      </c>
      <c r="H3093" t="s">
        <v>150</v>
      </c>
      <c r="I3093" t="s">
        <v>41</v>
      </c>
      <c r="J3093" t="s">
        <v>42</v>
      </c>
      <c r="K3093" t="s">
        <v>48</v>
      </c>
      <c r="L3093" t="s">
        <v>49</v>
      </c>
      <c r="M3093" t="s">
        <v>140</v>
      </c>
      <c r="N3093">
        <v>2579</v>
      </c>
      <c r="O3093">
        <v>6.6786542000000004E-2</v>
      </c>
      <c r="P3093">
        <v>1.1895553999999999E-2</v>
      </c>
      <c r="Q3093" t="str">
        <f t="shared" si="96"/>
        <v>25-34</v>
      </c>
      <c r="R3093" t="str">
        <f t="shared" si="97"/>
        <v>[ul0y9diGujK]|25-34|Male|PLHIV_Attend.T_1|CY2024Q3</v>
      </c>
    </row>
    <row r="3094" spans="4:18" x14ac:dyDescent="0.2">
      <c r="D3094" t="s">
        <v>126</v>
      </c>
      <c r="E3094" t="s">
        <v>127</v>
      </c>
      <c r="F3094" t="s">
        <v>128</v>
      </c>
      <c r="G3094" t="s">
        <v>150</v>
      </c>
      <c r="H3094" t="s">
        <v>150</v>
      </c>
      <c r="I3094" t="s">
        <v>43</v>
      </c>
      <c r="J3094" t="s">
        <v>44</v>
      </c>
      <c r="K3094" t="s">
        <v>48</v>
      </c>
      <c r="L3094" t="s">
        <v>49</v>
      </c>
      <c r="M3094" t="s">
        <v>140</v>
      </c>
      <c r="N3094">
        <v>9339</v>
      </c>
      <c r="O3094">
        <v>3.0628405000000001E-2</v>
      </c>
      <c r="P3094">
        <v>1.1895553999999999E-2</v>
      </c>
      <c r="Q3094" t="str">
        <f t="shared" si="96"/>
        <v>35-49</v>
      </c>
      <c r="R3094" t="str">
        <f t="shared" si="97"/>
        <v>[ul0y9diGujK]|35-49|Male|PLHIV_Attend.T_1|CY2024Q3</v>
      </c>
    </row>
    <row r="3095" spans="4:18" x14ac:dyDescent="0.2">
      <c r="D3095" t="s">
        <v>126</v>
      </c>
      <c r="E3095" t="s">
        <v>127</v>
      </c>
      <c r="F3095" t="s">
        <v>128</v>
      </c>
      <c r="G3095" t="s">
        <v>150</v>
      </c>
      <c r="H3095" t="s">
        <v>150</v>
      </c>
      <c r="I3095" t="s">
        <v>45</v>
      </c>
      <c r="J3095" t="s">
        <v>46</v>
      </c>
      <c r="K3095" t="s">
        <v>48</v>
      </c>
      <c r="L3095" t="s">
        <v>49</v>
      </c>
      <c r="M3095" t="s">
        <v>140</v>
      </c>
      <c r="N3095">
        <v>7119</v>
      </c>
      <c r="O3095">
        <v>3.2190231999999999E-2</v>
      </c>
      <c r="P3095">
        <v>1.1895553999999999E-2</v>
      </c>
      <c r="Q3095" t="str">
        <f t="shared" si="96"/>
        <v>50+</v>
      </c>
      <c r="R3095" t="str">
        <f t="shared" si="97"/>
        <v>[ul0y9diGujK]|50+|Male|PLHIV_Attend.T_1|CY2024Q3</v>
      </c>
    </row>
    <row r="3096" spans="4:18" x14ac:dyDescent="0.2">
      <c r="D3096" t="s">
        <v>129</v>
      </c>
      <c r="E3096" t="s">
        <v>130</v>
      </c>
      <c r="F3096" t="s">
        <v>131</v>
      </c>
      <c r="G3096" t="s">
        <v>150</v>
      </c>
      <c r="H3096" t="s">
        <v>150</v>
      </c>
      <c r="I3096" t="s">
        <v>28</v>
      </c>
      <c r="J3096" t="s">
        <v>29</v>
      </c>
      <c r="K3096" t="s">
        <v>30</v>
      </c>
      <c r="L3096" t="s">
        <v>31</v>
      </c>
      <c r="M3096" t="s">
        <v>140</v>
      </c>
      <c r="N3096">
        <v>20</v>
      </c>
      <c r="O3096">
        <v>2.1241922999999999E-2</v>
      </c>
      <c r="P3096">
        <v>1.2050315000000001E-2</v>
      </c>
      <c r="Q3096" t="str">
        <f t="shared" si="96"/>
        <v>&lt;01</v>
      </c>
      <c r="R3096" t="str">
        <f t="shared" si="97"/>
        <v>[U8c0so51kT6]|&lt;01|Female|PLHIV_Attend.T_1|CY2024Q3</v>
      </c>
    </row>
    <row r="3097" spans="4:18" x14ac:dyDescent="0.2">
      <c r="D3097" t="s">
        <v>129</v>
      </c>
      <c r="E3097" t="s">
        <v>130</v>
      </c>
      <c r="F3097" t="s">
        <v>131</v>
      </c>
      <c r="G3097" t="s">
        <v>150</v>
      </c>
      <c r="H3097" t="s">
        <v>150</v>
      </c>
      <c r="I3097" t="s">
        <v>33</v>
      </c>
      <c r="J3097" t="s">
        <v>34</v>
      </c>
      <c r="K3097" t="s">
        <v>30</v>
      </c>
      <c r="L3097" t="s">
        <v>31</v>
      </c>
      <c r="M3097" t="s">
        <v>140</v>
      </c>
      <c r="N3097">
        <v>399</v>
      </c>
      <c r="O3097">
        <v>2.8710409999999999E-2</v>
      </c>
      <c r="P3097">
        <v>1.2050315000000001E-2</v>
      </c>
      <c r="Q3097" t="str">
        <f t="shared" si="96"/>
        <v>01-09</v>
      </c>
      <c r="R3097" t="str">
        <f t="shared" si="97"/>
        <v>[U8c0so51kT6]|01-09|Female|PLHIV_Attend.T_1|CY2024Q3</v>
      </c>
    </row>
    <row r="3098" spans="4:18" x14ac:dyDescent="0.2">
      <c r="D3098" t="s">
        <v>129</v>
      </c>
      <c r="E3098" t="s">
        <v>130</v>
      </c>
      <c r="F3098" t="s">
        <v>131</v>
      </c>
      <c r="G3098" t="s">
        <v>150</v>
      </c>
      <c r="H3098" t="s">
        <v>150</v>
      </c>
      <c r="I3098" t="s">
        <v>36</v>
      </c>
      <c r="J3098" t="s">
        <v>37</v>
      </c>
      <c r="K3098" t="s">
        <v>30</v>
      </c>
      <c r="L3098" t="s">
        <v>31</v>
      </c>
      <c r="M3098" t="s">
        <v>140</v>
      </c>
      <c r="N3098">
        <v>475</v>
      </c>
      <c r="O3098">
        <v>3.7856801000000002E-2</v>
      </c>
      <c r="P3098">
        <v>1.2050315000000001E-2</v>
      </c>
      <c r="Q3098" t="str">
        <f t="shared" si="96"/>
        <v>10-14</v>
      </c>
      <c r="R3098" t="str">
        <f t="shared" si="97"/>
        <v>[U8c0so51kT6]|10-14|Female|PLHIV_Attend.T_1|CY2024Q3</v>
      </c>
    </row>
    <row r="3099" spans="4:18" x14ac:dyDescent="0.2">
      <c r="D3099" t="s">
        <v>129</v>
      </c>
      <c r="E3099" t="s">
        <v>130</v>
      </c>
      <c r="F3099" t="s">
        <v>131</v>
      </c>
      <c r="G3099" t="s">
        <v>150</v>
      </c>
      <c r="H3099" t="s">
        <v>150</v>
      </c>
      <c r="I3099" t="s">
        <v>38</v>
      </c>
      <c r="J3099" t="s">
        <v>39</v>
      </c>
      <c r="K3099" t="s">
        <v>30</v>
      </c>
      <c r="L3099" t="s">
        <v>31</v>
      </c>
      <c r="M3099" t="s">
        <v>140</v>
      </c>
      <c r="N3099">
        <v>1658</v>
      </c>
      <c r="O3099">
        <v>6.0791229000000002E-2</v>
      </c>
      <c r="P3099">
        <v>1.2050315000000001E-2</v>
      </c>
      <c r="Q3099" t="str">
        <f t="shared" si="96"/>
        <v>15-24</v>
      </c>
      <c r="R3099" t="str">
        <f t="shared" si="97"/>
        <v>[U8c0so51kT6]|15-24|Female|PLHIV_Attend.T_1|CY2024Q3</v>
      </c>
    </row>
    <row r="3100" spans="4:18" x14ac:dyDescent="0.2">
      <c r="D3100" t="s">
        <v>129</v>
      </c>
      <c r="E3100" t="s">
        <v>130</v>
      </c>
      <c r="F3100" t="s">
        <v>131</v>
      </c>
      <c r="G3100" t="s">
        <v>150</v>
      </c>
      <c r="H3100" t="s">
        <v>150</v>
      </c>
      <c r="I3100" t="s">
        <v>41</v>
      </c>
      <c r="J3100" t="s">
        <v>42</v>
      </c>
      <c r="K3100" t="s">
        <v>30</v>
      </c>
      <c r="L3100" t="s">
        <v>31</v>
      </c>
      <c r="M3100" t="s">
        <v>140</v>
      </c>
      <c r="N3100">
        <v>4161</v>
      </c>
      <c r="O3100">
        <v>3.7334483000000002E-2</v>
      </c>
      <c r="P3100">
        <v>1.2050315000000001E-2</v>
      </c>
      <c r="Q3100" t="str">
        <f t="shared" si="96"/>
        <v>25-34</v>
      </c>
      <c r="R3100" t="str">
        <f t="shared" si="97"/>
        <v>[U8c0so51kT6]|25-34|Female|PLHIV_Attend.T_1|CY2024Q3</v>
      </c>
    </row>
    <row r="3101" spans="4:18" x14ac:dyDescent="0.2">
      <c r="D3101" t="s">
        <v>129</v>
      </c>
      <c r="E3101" t="s">
        <v>130</v>
      </c>
      <c r="F3101" t="s">
        <v>131</v>
      </c>
      <c r="G3101" t="s">
        <v>150</v>
      </c>
      <c r="H3101" t="s">
        <v>150</v>
      </c>
      <c r="I3101" t="s">
        <v>43</v>
      </c>
      <c r="J3101" t="s">
        <v>44</v>
      </c>
      <c r="K3101" t="s">
        <v>30</v>
      </c>
      <c r="L3101" t="s">
        <v>31</v>
      </c>
      <c r="M3101" t="s">
        <v>140</v>
      </c>
      <c r="N3101">
        <v>10105</v>
      </c>
      <c r="O3101">
        <v>2.0716912000000001E-2</v>
      </c>
      <c r="P3101">
        <v>1.2050315000000001E-2</v>
      </c>
      <c r="Q3101" t="str">
        <f t="shared" si="96"/>
        <v>35-49</v>
      </c>
      <c r="R3101" t="str">
        <f t="shared" si="97"/>
        <v>[U8c0so51kT6]|35-49|Female|PLHIV_Attend.T_1|CY2024Q3</v>
      </c>
    </row>
    <row r="3102" spans="4:18" x14ac:dyDescent="0.2">
      <c r="D3102" t="s">
        <v>129</v>
      </c>
      <c r="E3102" t="s">
        <v>130</v>
      </c>
      <c r="F3102" t="s">
        <v>131</v>
      </c>
      <c r="G3102" t="s">
        <v>150</v>
      </c>
      <c r="H3102" t="s">
        <v>150</v>
      </c>
      <c r="I3102" t="s">
        <v>45</v>
      </c>
      <c r="J3102" t="s">
        <v>46</v>
      </c>
      <c r="K3102" t="s">
        <v>30</v>
      </c>
      <c r="L3102" t="s">
        <v>31</v>
      </c>
      <c r="M3102" t="s">
        <v>140</v>
      </c>
      <c r="N3102">
        <v>4751</v>
      </c>
      <c r="O3102">
        <v>3.5801655000000002E-2</v>
      </c>
      <c r="P3102">
        <v>1.2050315000000001E-2</v>
      </c>
      <c r="Q3102" t="str">
        <f t="shared" si="96"/>
        <v>50+</v>
      </c>
      <c r="R3102" t="str">
        <f t="shared" si="97"/>
        <v>[U8c0so51kT6]|50+|Female|PLHIV_Attend.T_1|CY2024Q3</v>
      </c>
    </row>
    <row r="3103" spans="4:18" x14ac:dyDescent="0.2">
      <c r="D3103" t="s">
        <v>129</v>
      </c>
      <c r="E3103" t="s">
        <v>130</v>
      </c>
      <c r="F3103" t="s">
        <v>131</v>
      </c>
      <c r="G3103" t="s">
        <v>150</v>
      </c>
      <c r="H3103" t="s">
        <v>150</v>
      </c>
      <c r="I3103" t="s">
        <v>28</v>
      </c>
      <c r="J3103" t="s">
        <v>29</v>
      </c>
      <c r="K3103" t="s">
        <v>48</v>
      </c>
      <c r="L3103" t="s">
        <v>49</v>
      </c>
      <c r="M3103" t="s">
        <v>140</v>
      </c>
      <c r="N3103">
        <v>20</v>
      </c>
      <c r="O3103">
        <v>2.1194530999999999E-2</v>
      </c>
      <c r="P3103">
        <v>1.2050315000000001E-2</v>
      </c>
      <c r="Q3103" t="str">
        <f t="shared" si="96"/>
        <v>&lt;01</v>
      </c>
      <c r="R3103" t="str">
        <f t="shared" si="97"/>
        <v>[U8c0so51kT6]|&lt;01|Male|PLHIV_Attend.T_1|CY2024Q3</v>
      </c>
    </row>
    <row r="3104" spans="4:18" x14ac:dyDescent="0.2">
      <c r="D3104" t="s">
        <v>129</v>
      </c>
      <c r="E3104" t="s">
        <v>130</v>
      </c>
      <c r="F3104" t="s">
        <v>131</v>
      </c>
      <c r="G3104" t="s">
        <v>150</v>
      </c>
      <c r="H3104" t="s">
        <v>150</v>
      </c>
      <c r="I3104" t="s">
        <v>33</v>
      </c>
      <c r="J3104" t="s">
        <v>34</v>
      </c>
      <c r="K3104" t="s">
        <v>48</v>
      </c>
      <c r="L3104" t="s">
        <v>49</v>
      </c>
      <c r="M3104" t="s">
        <v>140</v>
      </c>
      <c r="N3104">
        <v>402</v>
      </c>
      <c r="O3104">
        <v>2.8680602999999999E-2</v>
      </c>
      <c r="P3104">
        <v>1.2050315000000001E-2</v>
      </c>
      <c r="Q3104" t="str">
        <f t="shared" si="96"/>
        <v>01-09</v>
      </c>
      <c r="R3104" t="str">
        <f t="shared" si="97"/>
        <v>[U8c0so51kT6]|01-09|Male|PLHIV_Attend.T_1|CY2024Q3</v>
      </c>
    </row>
    <row r="3105" spans="4:18" x14ac:dyDescent="0.2">
      <c r="D3105" t="s">
        <v>129</v>
      </c>
      <c r="E3105" t="s">
        <v>130</v>
      </c>
      <c r="F3105" t="s">
        <v>131</v>
      </c>
      <c r="G3105" t="s">
        <v>150</v>
      </c>
      <c r="H3105" t="s">
        <v>150</v>
      </c>
      <c r="I3105" t="s">
        <v>36</v>
      </c>
      <c r="J3105" t="s">
        <v>37</v>
      </c>
      <c r="K3105" t="s">
        <v>48</v>
      </c>
      <c r="L3105" t="s">
        <v>49</v>
      </c>
      <c r="M3105" t="s">
        <v>140</v>
      </c>
      <c r="N3105">
        <v>479</v>
      </c>
      <c r="O3105">
        <v>3.7851677E-2</v>
      </c>
      <c r="P3105">
        <v>1.2050315000000001E-2</v>
      </c>
      <c r="Q3105" t="str">
        <f t="shared" si="96"/>
        <v>10-14</v>
      </c>
      <c r="R3105" t="str">
        <f t="shared" si="97"/>
        <v>[U8c0so51kT6]|10-14|Male|PLHIV_Attend.T_1|CY2024Q3</v>
      </c>
    </row>
    <row r="3106" spans="4:18" x14ac:dyDescent="0.2">
      <c r="D3106" t="s">
        <v>129</v>
      </c>
      <c r="E3106" t="s">
        <v>130</v>
      </c>
      <c r="F3106" t="s">
        <v>131</v>
      </c>
      <c r="G3106" t="s">
        <v>150</v>
      </c>
      <c r="H3106" t="s">
        <v>150</v>
      </c>
      <c r="I3106" t="s">
        <v>38</v>
      </c>
      <c r="J3106" t="s">
        <v>39</v>
      </c>
      <c r="K3106" t="s">
        <v>48</v>
      </c>
      <c r="L3106" t="s">
        <v>49</v>
      </c>
      <c r="M3106" t="s">
        <v>140</v>
      </c>
      <c r="N3106">
        <v>1156</v>
      </c>
      <c r="O3106">
        <v>6.9594884999999995E-2</v>
      </c>
      <c r="P3106">
        <v>1.2050315000000001E-2</v>
      </c>
      <c r="Q3106" t="str">
        <f t="shared" si="96"/>
        <v>15-24</v>
      </c>
      <c r="R3106" t="str">
        <f t="shared" si="97"/>
        <v>[U8c0so51kT6]|15-24|Male|PLHIV_Attend.T_1|CY2024Q3</v>
      </c>
    </row>
    <row r="3107" spans="4:18" x14ac:dyDescent="0.2">
      <c r="D3107" t="s">
        <v>129</v>
      </c>
      <c r="E3107" t="s">
        <v>130</v>
      </c>
      <c r="F3107" t="s">
        <v>131</v>
      </c>
      <c r="G3107" t="s">
        <v>150</v>
      </c>
      <c r="H3107" t="s">
        <v>150</v>
      </c>
      <c r="I3107" t="s">
        <v>41</v>
      </c>
      <c r="J3107" t="s">
        <v>42</v>
      </c>
      <c r="K3107" t="s">
        <v>48</v>
      </c>
      <c r="L3107" t="s">
        <v>49</v>
      </c>
      <c r="M3107" t="s">
        <v>140</v>
      </c>
      <c r="N3107">
        <v>1509</v>
      </c>
      <c r="O3107">
        <v>6.8632894999999999E-2</v>
      </c>
      <c r="P3107">
        <v>1.2050315000000001E-2</v>
      </c>
      <c r="Q3107" t="str">
        <f t="shared" si="96"/>
        <v>25-34</v>
      </c>
      <c r="R3107" t="str">
        <f t="shared" si="97"/>
        <v>[U8c0so51kT6]|25-34|Male|PLHIV_Attend.T_1|CY2024Q3</v>
      </c>
    </row>
    <row r="3108" spans="4:18" x14ac:dyDescent="0.2">
      <c r="D3108" t="s">
        <v>129</v>
      </c>
      <c r="E3108" t="s">
        <v>130</v>
      </c>
      <c r="F3108" t="s">
        <v>131</v>
      </c>
      <c r="G3108" t="s">
        <v>150</v>
      </c>
      <c r="H3108" t="s">
        <v>150</v>
      </c>
      <c r="I3108" t="s">
        <v>43</v>
      </c>
      <c r="J3108" t="s">
        <v>44</v>
      </c>
      <c r="K3108" t="s">
        <v>48</v>
      </c>
      <c r="L3108" t="s">
        <v>49</v>
      </c>
      <c r="M3108" t="s">
        <v>140</v>
      </c>
      <c r="N3108">
        <v>5573</v>
      </c>
      <c r="O3108">
        <v>3.1905574999999999E-2</v>
      </c>
      <c r="P3108">
        <v>1.2050315000000001E-2</v>
      </c>
      <c r="Q3108" t="str">
        <f t="shared" si="96"/>
        <v>35-49</v>
      </c>
      <c r="R3108" t="str">
        <f t="shared" si="97"/>
        <v>[U8c0so51kT6]|35-49|Male|PLHIV_Attend.T_1|CY2024Q3</v>
      </c>
    </row>
    <row r="3109" spans="4:18" x14ac:dyDescent="0.2">
      <c r="D3109" t="s">
        <v>129</v>
      </c>
      <c r="E3109" t="s">
        <v>130</v>
      </c>
      <c r="F3109" t="s">
        <v>131</v>
      </c>
      <c r="G3109" t="s">
        <v>150</v>
      </c>
      <c r="H3109" t="s">
        <v>150</v>
      </c>
      <c r="I3109" t="s">
        <v>45</v>
      </c>
      <c r="J3109" t="s">
        <v>46</v>
      </c>
      <c r="K3109" t="s">
        <v>48</v>
      </c>
      <c r="L3109" t="s">
        <v>49</v>
      </c>
      <c r="M3109" t="s">
        <v>140</v>
      </c>
      <c r="N3109">
        <v>4113</v>
      </c>
      <c r="O3109">
        <v>3.4471793000000001E-2</v>
      </c>
      <c r="P3109">
        <v>1.2050315000000001E-2</v>
      </c>
      <c r="Q3109" t="str">
        <f t="shared" si="96"/>
        <v>50+</v>
      </c>
      <c r="R3109" t="str">
        <f t="shared" si="97"/>
        <v>[U8c0so51kT6]|50+|Male|PLHIV_Attend.T_1|CY2024Q3</v>
      </c>
    </row>
    <row r="3110" spans="4:18" x14ac:dyDescent="0.2">
      <c r="D3110" t="s">
        <v>132</v>
      </c>
      <c r="E3110" t="s">
        <v>133</v>
      </c>
      <c r="F3110" t="s">
        <v>134</v>
      </c>
      <c r="G3110" t="s">
        <v>150</v>
      </c>
      <c r="H3110" t="s">
        <v>150</v>
      </c>
      <c r="I3110" t="s">
        <v>28</v>
      </c>
      <c r="J3110" t="s">
        <v>29</v>
      </c>
      <c r="K3110" t="s">
        <v>30</v>
      </c>
      <c r="L3110" t="s">
        <v>31</v>
      </c>
      <c r="M3110" t="s">
        <v>140</v>
      </c>
      <c r="N3110">
        <v>15</v>
      </c>
      <c r="O3110">
        <v>2.6748332E-2</v>
      </c>
      <c r="P3110">
        <v>1.8880185000000001E-2</v>
      </c>
      <c r="Q3110" t="str">
        <f t="shared" si="96"/>
        <v>&lt;01</v>
      </c>
      <c r="R3110" t="str">
        <f t="shared" si="97"/>
        <v>[rpw540fmNUz]|&lt;01|Female|PLHIV_Attend.T_1|CY2024Q3</v>
      </c>
    </row>
    <row r="3111" spans="4:18" x14ac:dyDescent="0.2">
      <c r="D3111" t="s">
        <v>132</v>
      </c>
      <c r="E3111" t="s">
        <v>133</v>
      </c>
      <c r="F3111" t="s">
        <v>134</v>
      </c>
      <c r="G3111" t="s">
        <v>150</v>
      </c>
      <c r="H3111" t="s">
        <v>150</v>
      </c>
      <c r="I3111" t="s">
        <v>33</v>
      </c>
      <c r="J3111" t="s">
        <v>34</v>
      </c>
      <c r="K3111" t="s">
        <v>30</v>
      </c>
      <c r="L3111" t="s">
        <v>31</v>
      </c>
      <c r="M3111" t="s">
        <v>140</v>
      </c>
      <c r="N3111">
        <v>302</v>
      </c>
      <c r="O3111">
        <v>3.4607609999999997E-2</v>
      </c>
      <c r="P3111">
        <v>1.8880185000000001E-2</v>
      </c>
      <c r="Q3111" t="str">
        <f t="shared" si="96"/>
        <v>01-09</v>
      </c>
      <c r="R3111" t="str">
        <f t="shared" si="97"/>
        <v>[rpw540fmNUz]|01-09|Female|PLHIV_Attend.T_1|CY2024Q3</v>
      </c>
    </row>
    <row r="3112" spans="4:18" x14ac:dyDescent="0.2">
      <c r="D3112" t="s">
        <v>132</v>
      </c>
      <c r="E3112" t="s">
        <v>133</v>
      </c>
      <c r="F3112" t="s">
        <v>134</v>
      </c>
      <c r="G3112" t="s">
        <v>150</v>
      </c>
      <c r="H3112" t="s">
        <v>150</v>
      </c>
      <c r="I3112" t="s">
        <v>36</v>
      </c>
      <c r="J3112" t="s">
        <v>37</v>
      </c>
      <c r="K3112" t="s">
        <v>30</v>
      </c>
      <c r="L3112" t="s">
        <v>31</v>
      </c>
      <c r="M3112" t="s">
        <v>140</v>
      </c>
      <c r="N3112">
        <v>367</v>
      </c>
      <c r="O3112">
        <v>4.4180786E-2</v>
      </c>
      <c r="P3112">
        <v>1.8880185000000001E-2</v>
      </c>
      <c r="Q3112" t="str">
        <f t="shared" si="96"/>
        <v>10-14</v>
      </c>
      <c r="R3112" t="str">
        <f t="shared" si="97"/>
        <v>[rpw540fmNUz]|10-14|Female|PLHIV_Attend.T_1|CY2024Q3</v>
      </c>
    </row>
    <row r="3113" spans="4:18" x14ac:dyDescent="0.2">
      <c r="D3113" t="s">
        <v>132</v>
      </c>
      <c r="E3113" t="s">
        <v>133</v>
      </c>
      <c r="F3113" t="s">
        <v>134</v>
      </c>
      <c r="G3113" t="s">
        <v>150</v>
      </c>
      <c r="H3113" t="s">
        <v>150</v>
      </c>
      <c r="I3113" t="s">
        <v>38</v>
      </c>
      <c r="J3113" t="s">
        <v>39</v>
      </c>
      <c r="K3113" t="s">
        <v>30</v>
      </c>
      <c r="L3113" t="s">
        <v>31</v>
      </c>
      <c r="M3113" t="s">
        <v>140</v>
      </c>
      <c r="N3113">
        <v>1269</v>
      </c>
      <c r="O3113">
        <v>6.3052867999999998E-2</v>
      </c>
      <c r="P3113">
        <v>1.8880185000000001E-2</v>
      </c>
      <c r="Q3113" t="str">
        <f t="shared" si="96"/>
        <v>15-24</v>
      </c>
      <c r="R3113" t="str">
        <f t="shared" si="97"/>
        <v>[rpw540fmNUz]|15-24|Female|PLHIV_Attend.T_1|CY2024Q3</v>
      </c>
    </row>
    <row r="3114" spans="4:18" x14ac:dyDescent="0.2">
      <c r="D3114" t="s">
        <v>132</v>
      </c>
      <c r="E3114" t="s">
        <v>133</v>
      </c>
      <c r="F3114" t="s">
        <v>134</v>
      </c>
      <c r="G3114" t="s">
        <v>150</v>
      </c>
      <c r="H3114" t="s">
        <v>150</v>
      </c>
      <c r="I3114" t="s">
        <v>41</v>
      </c>
      <c r="J3114" t="s">
        <v>42</v>
      </c>
      <c r="K3114" t="s">
        <v>30</v>
      </c>
      <c r="L3114" t="s">
        <v>31</v>
      </c>
      <c r="M3114" t="s">
        <v>140</v>
      </c>
      <c r="N3114">
        <v>3083</v>
      </c>
      <c r="O3114">
        <v>3.9990087000000001E-2</v>
      </c>
      <c r="P3114">
        <v>1.8880185000000001E-2</v>
      </c>
      <c r="Q3114" t="str">
        <f t="shared" si="96"/>
        <v>25-34</v>
      </c>
      <c r="R3114" t="str">
        <f t="shared" si="97"/>
        <v>[rpw540fmNUz]|25-34|Female|PLHIV_Attend.T_1|CY2024Q3</v>
      </c>
    </row>
    <row r="3115" spans="4:18" x14ac:dyDescent="0.2">
      <c r="D3115" t="s">
        <v>132</v>
      </c>
      <c r="E3115" t="s">
        <v>133</v>
      </c>
      <c r="F3115" t="s">
        <v>134</v>
      </c>
      <c r="G3115" t="s">
        <v>150</v>
      </c>
      <c r="H3115" t="s">
        <v>150</v>
      </c>
      <c r="I3115" t="s">
        <v>43</v>
      </c>
      <c r="J3115" t="s">
        <v>44</v>
      </c>
      <c r="K3115" t="s">
        <v>30</v>
      </c>
      <c r="L3115" t="s">
        <v>31</v>
      </c>
      <c r="M3115" t="s">
        <v>140</v>
      </c>
      <c r="N3115">
        <v>7312</v>
      </c>
      <c r="O3115">
        <v>2.6940621000000001E-2</v>
      </c>
      <c r="P3115">
        <v>1.8880185000000001E-2</v>
      </c>
      <c r="Q3115" t="str">
        <f t="shared" si="96"/>
        <v>35-49</v>
      </c>
      <c r="R3115" t="str">
        <f t="shared" si="97"/>
        <v>[rpw540fmNUz]|35-49|Female|PLHIV_Attend.T_1|CY2024Q3</v>
      </c>
    </row>
    <row r="3116" spans="4:18" x14ac:dyDescent="0.2">
      <c r="D3116" t="s">
        <v>132</v>
      </c>
      <c r="E3116" t="s">
        <v>133</v>
      </c>
      <c r="F3116" t="s">
        <v>134</v>
      </c>
      <c r="G3116" t="s">
        <v>150</v>
      </c>
      <c r="H3116" t="s">
        <v>150</v>
      </c>
      <c r="I3116" t="s">
        <v>45</v>
      </c>
      <c r="J3116" t="s">
        <v>46</v>
      </c>
      <c r="K3116" t="s">
        <v>30</v>
      </c>
      <c r="L3116" t="s">
        <v>31</v>
      </c>
      <c r="M3116" t="s">
        <v>140</v>
      </c>
      <c r="N3116">
        <v>3768</v>
      </c>
      <c r="O3116">
        <v>3.750701E-2</v>
      </c>
      <c r="P3116">
        <v>1.8880185000000001E-2</v>
      </c>
      <c r="Q3116" t="str">
        <f t="shared" si="96"/>
        <v>50+</v>
      </c>
      <c r="R3116" t="str">
        <f t="shared" si="97"/>
        <v>[rpw540fmNUz]|50+|Female|PLHIV_Attend.T_1|CY2024Q3</v>
      </c>
    </row>
    <row r="3117" spans="4:18" x14ac:dyDescent="0.2">
      <c r="D3117" t="s">
        <v>132</v>
      </c>
      <c r="E3117" t="s">
        <v>133</v>
      </c>
      <c r="F3117" t="s">
        <v>134</v>
      </c>
      <c r="G3117" t="s">
        <v>150</v>
      </c>
      <c r="H3117" t="s">
        <v>150</v>
      </c>
      <c r="I3117" t="s">
        <v>28</v>
      </c>
      <c r="J3117" t="s">
        <v>29</v>
      </c>
      <c r="K3117" t="s">
        <v>48</v>
      </c>
      <c r="L3117" t="s">
        <v>49</v>
      </c>
      <c r="M3117" t="s">
        <v>140</v>
      </c>
      <c r="N3117">
        <v>15</v>
      </c>
      <c r="O3117">
        <v>2.6714643999999999E-2</v>
      </c>
      <c r="P3117">
        <v>1.8880185000000001E-2</v>
      </c>
      <c r="Q3117" t="str">
        <f t="shared" si="96"/>
        <v>&lt;01</v>
      </c>
      <c r="R3117" t="str">
        <f t="shared" si="97"/>
        <v>[rpw540fmNUz]|&lt;01|Male|PLHIV_Attend.T_1|CY2024Q3</v>
      </c>
    </row>
    <row r="3118" spans="4:18" x14ac:dyDescent="0.2">
      <c r="D3118" t="s">
        <v>132</v>
      </c>
      <c r="E3118" t="s">
        <v>133</v>
      </c>
      <c r="F3118" t="s">
        <v>134</v>
      </c>
      <c r="G3118" t="s">
        <v>150</v>
      </c>
      <c r="H3118" t="s">
        <v>150</v>
      </c>
      <c r="I3118" t="s">
        <v>33</v>
      </c>
      <c r="J3118" t="s">
        <v>34</v>
      </c>
      <c r="K3118" t="s">
        <v>48</v>
      </c>
      <c r="L3118" t="s">
        <v>49</v>
      </c>
      <c r="M3118" t="s">
        <v>140</v>
      </c>
      <c r="N3118">
        <v>302</v>
      </c>
      <c r="O3118">
        <v>3.4574808999999998E-2</v>
      </c>
      <c r="P3118">
        <v>1.8880185000000001E-2</v>
      </c>
      <c r="Q3118" t="str">
        <f t="shared" si="96"/>
        <v>01-09</v>
      </c>
      <c r="R3118" t="str">
        <f t="shared" si="97"/>
        <v>[rpw540fmNUz]|01-09|Male|PLHIV_Attend.T_1|CY2024Q3</v>
      </c>
    </row>
    <row r="3119" spans="4:18" x14ac:dyDescent="0.2">
      <c r="D3119" t="s">
        <v>132</v>
      </c>
      <c r="E3119" t="s">
        <v>133</v>
      </c>
      <c r="F3119" t="s">
        <v>134</v>
      </c>
      <c r="G3119" t="s">
        <v>150</v>
      </c>
      <c r="H3119" t="s">
        <v>150</v>
      </c>
      <c r="I3119" t="s">
        <v>36</v>
      </c>
      <c r="J3119" t="s">
        <v>37</v>
      </c>
      <c r="K3119" t="s">
        <v>48</v>
      </c>
      <c r="L3119" t="s">
        <v>49</v>
      </c>
      <c r="M3119" t="s">
        <v>140</v>
      </c>
      <c r="N3119">
        <v>368</v>
      </c>
      <c r="O3119">
        <v>4.4200378999999998E-2</v>
      </c>
      <c r="P3119">
        <v>1.8880185000000001E-2</v>
      </c>
      <c r="Q3119" t="str">
        <f t="shared" si="96"/>
        <v>10-14</v>
      </c>
      <c r="R3119" t="str">
        <f t="shared" si="97"/>
        <v>[rpw540fmNUz]|10-14|Male|PLHIV_Attend.T_1|CY2024Q3</v>
      </c>
    </row>
    <row r="3120" spans="4:18" x14ac:dyDescent="0.2">
      <c r="D3120" t="s">
        <v>132</v>
      </c>
      <c r="E3120" t="s">
        <v>133</v>
      </c>
      <c r="F3120" t="s">
        <v>134</v>
      </c>
      <c r="G3120" t="s">
        <v>150</v>
      </c>
      <c r="H3120" t="s">
        <v>150</v>
      </c>
      <c r="I3120" t="s">
        <v>38</v>
      </c>
      <c r="J3120" t="s">
        <v>39</v>
      </c>
      <c r="K3120" t="s">
        <v>48</v>
      </c>
      <c r="L3120" t="s">
        <v>49</v>
      </c>
      <c r="M3120" t="s">
        <v>140</v>
      </c>
      <c r="N3120">
        <v>850</v>
      </c>
      <c r="O3120">
        <v>6.8443629000000006E-2</v>
      </c>
      <c r="P3120">
        <v>1.8880185000000001E-2</v>
      </c>
      <c r="Q3120" t="str">
        <f t="shared" si="96"/>
        <v>15-24</v>
      </c>
      <c r="R3120" t="str">
        <f t="shared" si="97"/>
        <v>[rpw540fmNUz]|15-24|Male|PLHIV_Attend.T_1|CY2024Q3</v>
      </c>
    </row>
    <row r="3121" spans="4:18" x14ac:dyDescent="0.2">
      <c r="D3121" t="s">
        <v>132</v>
      </c>
      <c r="E3121" t="s">
        <v>133</v>
      </c>
      <c r="F3121" t="s">
        <v>134</v>
      </c>
      <c r="G3121" t="s">
        <v>150</v>
      </c>
      <c r="H3121" t="s">
        <v>150</v>
      </c>
      <c r="I3121" t="s">
        <v>41</v>
      </c>
      <c r="J3121" t="s">
        <v>42</v>
      </c>
      <c r="K3121" t="s">
        <v>48</v>
      </c>
      <c r="L3121" t="s">
        <v>49</v>
      </c>
      <c r="M3121" t="s">
        <v>140</v>
      </c>
      <c r="N3121">
        <v>990</v>
      </c>
      <c r="O3121">
        <v>6.9594528000000003E-2</v>
      </c>
      <c r="P3121">
        <v>1.8880185000000001E-2</v>
      </c>
      <c r="Q3121" t="str">
        <f t="shared" si="96"/>
        <v>25-34</v>
      </c>
      <c r="R3121" t="str">
        <f t="shared" si="97"/>
        <v>[rpw540fmNUz]|25-34|Male|PLHIV_Attend.T_1|CY2024Q3</v>
      </c>
    </row>
    <row r="3122" spans="4:18" x14ac:dyDescent="0.2">
      <c r="D3122" t="s">
        <v>132</v>
      </c>
      <c r="E3122" t="s">
        <v>133</v>
      </c>
      <c r="F3122" t="s">
        <v>134</v>
      </c>
      <c r="G3122" t="s">
        <v>150</v>
      </c>
      <c r="H3122" t="s">
        <v>150</v>
      </c>
      <c r="I3122" t="s">
        <v>43</v>
      </c>
      <c r="J3122" t="s">
        <v>44</v>
      </c>
      <c r="K3122" t="s">
        <v>48</v>
      </c>
      <c r="L3122" t="s">
        <v>49</v>
      </c>
      <c r="M3122" t="s">
        <v>140</v>
      </c>
      <c r="N3122">
        <v>3567</v>
      </c>
      <c r="O3122">
        <v>3.6963292000000002E-2</v>
      </c>
      <c r="P3122">
        <v>1.8880185000000001E-2</v>
      </c>
      <c r="Q3122" t="str">
        <f t="shared" si="96"/>
        <v>35-49</v>
      </c>
      <c r="R3122" t="str">
        <f t="shared" si="97"/>
        <v>[rpw540fmNUz]|35-49|Male|PLHIV_Attend.T_1|CY2024Q3</v>
      </c>
    </row>
    <row r="3123" spans="4:18" x14ac:dyDescent="0.2">
      <c r="D3123" t="s">
        <v>132</v>
      </c>
      <c r="E3123" t="s">
        <v>133</v>
      </c>
      <c r="F3123" t="s">
        <v>134</v>
      </c>
      <c r="G3123" t="s">
        <v>150</v>
      </c>
      <c r="H3123" t="s">
        <v>150</v>
      </c>
      <c r="I3123" t="s">
        <v>45</v>
      </c>
      <c r="J3123" t="s">
        <v>46</v>
      </c>
      <c r="K3123" t="s">
        <v>48</v>
      </c>
      <c r="L3123" t="s">
        <v>49</v>
      </c>
      <c r="M3123" t="s">
        <v>140</v>
      </c>
      <c r="N3123">
        <v>2767</v>
      </c>
      <c r="O3123">
        <v>3.7238262000000001E-2</v>
      </c>
      <c r="P3123">
        <v>1.8880185000000001E-2</v>
      </c>
      <c r="Q3123" t="str">
        <f t="shared" si="96"/>
        <v>50+</v>
      </c>
      <c r="R3123" t="str">
        <f t="shared" si="97"/>
        <v>[rpw540fmNUz]|50+|Male|PLHIV_Attend.T_1|CY2024Q3</v>
      </c>
    </row>
    <row r="3124" spans="4:18" x14ac:dyDescent="0.2">
      <c r="D3124" t="s">
        <v>135</v>
      </c>
      <c r="E3124" t="s">
        <v>136</v>
      </c>
      <c r="F3124" t="s">
        <v>137</v>
      </c>
      <c r="G3124" t="s">
        <v>150</v>
      </c>
      <c r="H3124" t="s">
        <v>150</v>
      </c>
      <c r="I3124" t="s">
        <v>28</v>
      </c>
      <c r="J3124" t="s">
        <v>29</v>
      </c>
      <c r="K3124" t="s">
        <v>30</v>
      </c>
      <c r="L3124" t="s">
        <v>31</v>
      </c>
      <c r="M3124" t="s">
        <v>140</v>
      </c>
      <c r="N3124">
        <v>6</v>
      </c>
      <c r="O3124">
        <v>2.6965948E-2</v>
      </c>
      <c r="P3124">
        <v>1.7647792999999998E-2</v>
      </c>
      <c r="Q3124" t="str">
        <f t="shared" si="96"/>
        <v>&lt;01</v>
      </c>
      <c r="R3124" t="str">
        <f t="shared" si="97"/>
        <v>[gwVYinjBAe9]|&lt;01|Female|PLHIV_Attend.T_1|CY2024Q3</v>
      </c>
    </row>
    <row r="3125" spans="4:18" x14ac:dyDescent="0.2">
      <c r="D3125" t="s">
        <v>135</v>
      </c>
      <c r="E3125" t="s">
        <v>136</v>
      </c>
      <c r="F3125" t="s">
        <v>137</v>
      </c>
      <c r="G3125" t="s">
        <v>150</v>
      </c>
      <c r="H3125" t="s">
        <v>150</v>
      </c>
      <c r="I3125" t="s">
        <v>33</v>
      </c>
      <c r="J3125" t="s">
        <v>34</v>
      </c>
      <c r="K3125" t="s">
        <v>30</v>
      </c>
      <c r="L3125" t="s">
        <v>31</v>
      </c>
      <c r="M3125" t="s">
        <v>140</v>
      </c>
      <c r="N3125">
        <v>109</v>
      </c>
      <c r="O3125">
        <v>3.5907280999999999E-2</v>
      </c>
      <c r="P3125">
        <v>1.7647792999999998E-2</v>
      </c>
      <c r="Q3125" t="str">
        <f t="shared" si="96"/>
        <v>01-09</v>
      </c>
      <c r="R3125" t="str">
        <f t="shared" si="97"/>
        <v>[gwVYinjBAe9]|01-09|Female|PLHIV_Attend.T_1|CY2024Q3</v>
      </c>
    </row>
    <row r="3126" spans="4:18" x14ac:dyDescent="0.2">
      <c r="D3126" t="s">
        <v>135</v>
      </c>
      <c r="E3126" t="s">
        <v>136</v>
      </c>
      <c r="F3126" t="s">
        <v>137</v>
      </c>
      <c r="G3126" t="s">
        <v>150</v>
      </c>
      <c r="H3126" t="s">
        <v>150</v>
      </c>
      <c r="I3126" t="s">
        <v>36</v>
      </c>
      <c r="J3126" t="s">
        <v>37</v>
      </c>
      <c r="K3126" t="s">
        <v>30</v>
      </c>
      <c r="L3126" t="s">
        <v>31</v>
      </c>
      <c r="M3126" t="s">
        <v>140</v>
      </c>
      <c r="N3126">
        <v>132</v>
      </c>
      <c r="O3126">
        <v>4.6738255999999999E-2</v>
      </c>
      <c r="P3126">
        <v>1.7647792999999998E-2</v>
      </c>
      <c r="Q3126" t="str">
        <f t="shared" si="96"/>
        <v>10-14</v>
      </c>
      <c r="R3126" t="str">
        <f t="shared" si="97"/>
        <v>[gwVYinjBAe9]|10-14|Female|PLHIV_Attend.T_1|CY2024Q3</v>
      </c>
    </row>
    <row r="3127" spans="4:18" x14ac:dyDescent="0.2">
      <c r="D3127" t="s">
        <v>135</v>
      </c>
      <c r="E3127" t="s">
        <v>136</v>
      </c>
      <c r="F3127" t="s">
        <v>137</v>
      </c>
      <c r="G3127" t="s">
        <v>150</v>
      </c>
      <c r="H3127" t="s">
        <v>150</v>
      </c>
      <c r="I3127" t="s">
        <v>38</v>
      </c>
      <c r="J3127" t="s">
        <v>39</v>
      </c>
      <c r="K3127" t="s">
        <v>30</v>
      </c>
      <c r="L3127" t="s">
        <v>31</v>
      </c>
      <c r="M3127" t="s">
        <v>140</v>
      </c>
      <c r="N3127">
        <v>465</v>
      </c>
      <c r="O3127">
        <v>6.2460132000000002E-2</v>
      </c>
      <c r="P3127">
        <v>1.7647792999999998E-2</v>
      </c>
      <c r="Q3127" t="str">
        <f t="shared" si="96"/>
        <v>15-24</v>
      </c>
      <c r="R3127" t="str">
        <f t="shared" si="97"/>
        <v>[gwVYinjBAe9]|15-24|Female|PLHIV_Attend.T_1|CY2024Q3</v>
      </c>
    </row>
    <row r="3128" spans="4:18" x14ac:dyDescent="0.2">
      <c r="D3128" t="s">
        <v>135</v>
      </c>
      <c r="E3128" t="s">
        <v>136</v>
      </c>
      <c r="F3128" t="s">
        <v>137</v>
      </c>
      <c r="G3128" t="s">
        <v>150</v>
      </c>
      <c r="H3128" t="s">
        <v>150</v>
      </c>
      <c r="I3128" t="s">
        <v>41</v>
      </c>
      <c r="J3128" t="s">
        <v>42</v>
      </c>
      <c r="K3128" t="s">
        <v>30</v>
      </c>
      <c r="L3128" t="s">
        <v>31</v>
      </c>
      <c r="M3128" t="s">
        <v>140</v>
      </c>
      <c r="N3128">
        <v>1133</v>
      </c>
      <c r="O3128">
        <v>3.9890191999999998E-2</v>
      </c>
      <c r="P3128">
        <v>1.7647792999999998E-2</v>
      </c>
      <c r="Q3128" t="str">
        <f t="shared" si="96"/>
        <v>25-34</v>
      </c>
      <c r="R3128" t="str">
        <f t="shared" si="97"/>
        <v>[gwVYinjBAe9]|25-34|Female|PLHIV_Attend.T_1|CY2024Q3</v>
      </c>
    </row>
    <row r="3129" spans="4:18" x14ac:dyDescent="0.2">
      <c r="D3129" t="s">
        <v>135</v>
      </c>
      <c r="E3129" t="s">
        <v>136</v>
      </c>
      <c r="F3129" t="s">
        <v>137</v>
      </c>
      <c r="G3129" t="s">
        <v>150</v>
      </c>
      <c r="H3129" t="s">
        <v>150</v>
      </c>
      <c r="I3129" t="s">
        <v>43</v>
      </c>
      <c r="J3129" t="s">
        <v>44</v>
      </c>
      <c r="K3129" t="s">
        <v>30</v>
      </c>
      <c r="L3129" t="s">
        <v>31</v>
      </c>
      <c r="M3129" t="s">
        <v>140</v>
      </c>
      <c r="N3129">
        <v>2882</v>
      </c>
      <c r="O3129">
        <v>2.5019219999999998E-2</v>
      </c>
      <c r="P3129">
        <v>1.7647792999999998E-2</v>
      </c>
      <c r="Q3129" t="str">
        <f t="shared" si="96"/>
        <v>35-49</v>
      </c>
      <c r="R3129" t="str">
        <f t="shared" si="97"/>
        <v>[gwVYinjBAe9]|35-49|Female|PLHIV_Attend.T_1|CY2024Q3</v>
      </c>
    </row>
    <row r="3130" spans="4:18" x14ac:dyDescent="0.2">
      <c r="D3130" t="s">
        <v>135</v>
      </c>
      <c r="E3130" t="s">
        <v>136</v>
      </c>
      <c r="F3130" t="s">
        <v>137</v>
      </c>
      <c r="G3130" t="s">
        <v>150</v>
      </c>
      <c r="H3130" t="s">
        <v>150</v>
      </c>
      <c r="I3130" t="s">
        <v>45</v>
      </c>
      <c r="J3130" t="s">
        <v>46</v>
      </c>
      <c r="K3130" t="s">
        <v>30</v>
      </c>
      <c r="L3130" t="s">
        <v>31</v>
      </c>
      <c r="M3130" t="s">
        <v>140</v>
      </c>
      <c r="N3130">
        <v>1376</v>
      </c>
      <c r="O3130">
        <v>3.9842816000000003E-2</v>
      </c>
      <c r="P3130">
        <v>1.7647792999999998E-2</v>
      </c>
      <c r="Q3130" t="str">
        <f t="shared" si="96"/>
        <v>50+</v>
      </c>
      <c r="R3130" t="str">
        <f t="shared" si="97"/>
        <v>[gwVYinjBAe9]|50+|Female|PLHIV_Attend.T_1|CY2024Q3</v>
      </c>
    </row>
    <row r="3131" spans="4:18" x14ac:dyDescent="0.2">
      <c r="D3131" t="s">
        <v>135</v>
      </c>
      <c r="E3131" t="s">
        <v>136</v>
      </c>
      <c r="F3131" t="s">
        <v>137</v>
      </c>
      <c r="G3131" t="s">
        <v>150</v>
      </c>
      <c r="H3131" t="s">
        <v>150</v>
      </c>
      <c r="I3131" t="s">
        <v>28</v>
      </c>
      <c r="J3131" t="s">
        <v>29</v>
      </c>
      <c r="K3131" t="s">
        <v>48</v>
      </c>
      <c r="L3131" t="s">
        <v>49</v>
      </c>
      <c r="M3131" t="s">
        <v>140</v>
      </c>
      <c r="N3131">
        <v>6</v>
      </c>
      <c r="O3131">
        <v>2.6998731000000002E-2</v>
      </c>
      <c r="P3131">
        <v>1.7647792999999998E-2</v>
      </c>
      <c r="Q3131" t="str">
        <f t="shared" si="96"/>
        <v>&lt;01</v>
      </c>
      <c r="R3131" t="str">
        <f t="shared" si="97"/>
        <v>[gwVYinjBAe9]|&lt;01|Male|PLHIV_Attend.T_1|CY2024Q3</v>
      </c>
    </row>
    <row r="3132" spans="4:18" x14ac:dyDescent="0.2">
      <c r="D3132" t="s">
        <v>135</v>
      </c>
      <c r="E3132" t="s">
        <v>136</v>
      </c>
      <c r="F3132" t="s">
        <v>137</v>
      </c>
      <c r="G3132" t="s">
        <v>150</v>
      </c>
      <c r="H3132" t="s">
        <v>150</v>
      </c>
      <c r="I3132" t="s">
        <v>33</v>
      </c>
      <c r="J3132" t="s">
        <v>34</v>
      </c>
      <c r="K3132" t="s">
        <v>48</v>
      </c>
      <c r="L3132" t="s">
        <v>49</v>
      </c>
      <c r="M3132" t="s">
        <v>140</v>
      </c>
      <c r="N3132">
        <v>112</v>
      </c>
      <c r="O3132">
        <v>3.5953499E-2</v>
      </c>
      <c r="P3132">
        <v>1.7647792999999998E-2</v>
      </c>
      <c r="Q3132" t="str">
        <f t="shared" si="96"/>
        <v>01-09</v>
      </c>
      <c r="R3132" t="str">
        <f t="shared" si="97"/>
        <v>[gwVYinjBAe9]|01-09|Male|PLHIV_Attend.T_1|CY2024Q3</v>
      </c>
    </row>
    <row r="3133" spans="4:18" x14ac:dyDescent="0.2">
      <c r="D3133" t="s">
        <v>135</v>
      </c>
      <c r="E3133" t="s">
        <v>136</v>
      </c>
      <c r="F3133" t="s">
        <v>137</v>
      </c>
      <c r="G3133" t="s">
        <v>150</v>
      </c>
      <c r="H3133" t="s">
        <v>150</v>
      </c>
      <c r="I3133" t="s">
        <v>36</v>
      </c>
      <c r="J3133" t="s">
        <v>37</v>
      </c>
      <c r="K3133" t="s">
        <v>48</v>
      </c>
      <c r="L3133" t="s">
        <v>49</v>
      </c>
      <c r="M3133" t="s">
        <v>140</v>
      </c>
      <c r="N3133">
        <v>136</v>
      </c>
      <c r="O3133">
        <v>4.6802563999999998E-2</v>
      </c>
      <c r="P3133">
        <v>1.7647792999999998E-2</v>
      </c>
      <c r="Q3133" t="str">
        <f t="shared" si="96"/>
        <v>10-14</v>
      </c>
      <c r="R3133" t="str">
        <f t="shared" si="97"/>
        <v>[gwVYinjBAe9]|10-14|Male|PLHIV_Attend.T_1|CY2024Q3</v>
      </c>
    </row>
    <row r="3134" spans="4:18" x14ac:dyDescent="0.2">
      <c r="D3134" t="s">
        <v>135</v>
      </c>
      <c r="E3134" t="s">
        <v>136</v>
      </c>
      <c r="F3134" t="s">
        <v>137</v>
      </c>
      <c r="G3134" t="s">
        <v>150</v>
      </c>
      <c r="H3134" t="s">
        <v>150</v>
      </c>
      <c r="I3134" t="s">
        <v>38</v>
      </c>
      <c r="J3134" t="s">
        <v>39</v>
      </c>
      <c r="K3134" t="s">
        <v>48</v>
      </c>
      <c r="L3134" t="s">
        <v>49</v>
      </c>
      <c r="M3134" t="s">
        <v>140</v>
      </c>
      <c r="N3134">
        <v>328</v>
      </c>
      <c r="O3134">
        <v>6.9009539999999994E-2</v>
      </c>
      <c r="P3134">
        <v>1.7647792999999998E-2</v>
      </c>
      <c r="Q3134" t="str">
        <f t="shared" si="96"/>
        <v>15-24</v>
      </c>
      <c r="R3134" t="str">
        <f t="shared" si="97"/>
        <v>[gwVYinjBAe9]|15-24|Male|PLHIV_Attend.T_1|CY2024Q3</v>
      </c>
    </row>
    <row r="3135" spans="4:18" x14ac:dyDescent="0.2">
      <c r="D3135" t="s">
        <v>135</v>
      </c>
      <c r="E3135" t="s">
        <v>136</v>
      </c>
      <c r="F3135" t="s">
        <v>137</v>
      </c>
      <c r="G3135" t="s">
        <v>150</v>
      </c>
      <c r="H3135" t="s">
        <v>150</v>
      </c>
      <c r="I3135" t="s">
        <v>41</v>
      </c>
      <c r="J3135" t="s">
        <v>42</v>
      </c>
      <c r="K3135" t="s">
        <v>48</v>
      </c>
      <c r="L3135" t="s">
        <v>49</v>
      </c>
      <c r="M3135" t="s">
        <v>140</v>
      </c>
      <c r="N3135">
        <v>405</v>
      </c>
      <c r="O3135">
        <v>6.8699921999999997E-2</v>
      </c>
      <c r="P3135">
        <v>1.7647792999999998E-2</v>
      </c>
      <c r="Q3135" t="str">
        <f t="shared" si="96"/>
        <v>25-34</v>
      </c>
      <c r="R3135" t="str">
        <f t="shared" si="97"/>
        <v>[gwVYinjBAe9]|25-34|Male|PLHIV_Attend.T_1|CY2024Q3</v>
      </c>
    </row>
    <row r="3136" spans="4:18" x14ac:dyDescent="0.2">
      <c r="D3136" t="s">
        <v>135</v>
      </c>
      <c r="E3136" t="s">
        <v>136</v>
      </c>
      <c r="F3136" t="s">
        <v>137</v>
      </c>
      <c r="G3136" t="s">
        <v>150</v>
      </c>
      <c r="H3136" t="s">
        <v>150</v>
      </c>
      <c r="I3136" t="s">
        <v>43</v>
      </c>
      <c r="J3136" t="s">
        <v>44</v>
      </c>
      <c r="K3136" t="s">
        <v>48</v>
      </c>
      <c r="L3136" t="s">
        <v>49</v>
      </c>
      <c r="M3136" t="s">
        <v>140</v>
      </c>
      <c r="N3136">
        <v>1454</v>
      </c>
      <c r="O3136">
        <v>3.6118958999999999E-2</v>
      </c>
      <c r="P3136">
        <v>1.7647792999999998E-2</v>
      </c>
      <c r="Q3136" t="str">
        <f t="shared" si="96"/>
        <v>35-49</v>
      </c>
      <c r="R3136" t="str">
        <f t="shared" si="97"/>
        <v>[gwVYinjBAe9]|35-49|Male|PLHIV_Attend.T_1|CY2024Q3</v>
      </c>
    </row>
    <row r="3137" spans="4:18" x14ac:dyDescent="0.2">
      <c r="D3137" t="s">
        <v>135</v>
      </c>
      <c r="E3137" t="s">
        <v>136</v>
      </c>
      <c r="F3137" t="s">
        <v>137</v>
      </c>
      <c r="G3137" t="s">
        <v>150</v>
      </c>
      <c r="H3137" t="s">
        <v>150</v>
      </c>
      <c r="I3137" t="s">
        <v>45</v>
      </c>
      <c r="J3137" t="s">
        <v>46</v>
      </c>
      <c r="K3137" t="s">
        <v>48</v>
      </c>
      <c r="L3137" t="s">
        <v>49</v>
      </c>
      <c r="M3137" t="s">
        <v>140</v>
      </c>
      <c r="N3137">
        <v>1099</v>
      </c>
      <c r="O3137">
        <v>3.9325135999999997E-2</v>
      </c>
      <c r="P3137">
        <v>1.7647792999999998E-2</v>
      </c>
      <c r="Q3137" t="str">
        <f t="shared" si="96"/>
        <v>50+</v>
      </c>
      <c r="R3137" t="str">
        <f t="shared" si="97"/>
        <v>[gwVYinjBAe9]|50+|Male|PLHIV_Attend.T_1|CY2024Q3</v>
      </c>
    </row>
    <row r="3138" spans="4:18" x14ac:dyDescent="0.2">
      <c r="D3138" t="s">
        <v>23</v>
      </c>
      <c r="E3138" t="s">
        <v>24</v>
      </c>
      <c r="F3138" t="s">
        <v>25</v>
      </c>
      <c r="G3138" t="s">
        <v>151</v>
      </c>
      <c r="H3138" t="s">
        <v>151</v>
      </c>
      <c r="I3138" t="s">
        <v>28</v>
      </c>
      <c r="J3138" t="s">
        <v>29</v>
      </c>
      <c r="K3138" t="s">
        <v>30</v>
      </c>
      <c r="L3138" t="s">
        <v>31</v>
      </c>
      <c r="M3138" t="s">
        <v>140</v>
      </c>
      <c r="N3138">
        <v>1</v>
      </c>
      <c r="O3138">
        <v>0.17009717599999999</v>
      </c>
      <c r="P3138">
        <v>0.30901449600000003</v>
      </c>
      <c r="Q3138" t="str">
        <f t="shared" si="96"/>
        <v>&lt;01</v>
      </c>
      <c r="R3138" t="str">
        <f t="shared" si="97"/>
        <v>[GkIwZrXy1h2]|&lt;01|Female|Untreated_PLHIV_Attend.T_1|CY2024Q3</v>
      </c>
    </row>
    <row r="3139" spans="4:18" x14ac:dyDescent="0.2">
      <c r="D3139" t="s">
        <v>23</v>
      </c>
      <c r="E3139" t="s">
        <v>24</v>
      </c>
      <c r="F3139" t="s">
        <v>25</v>
      </c>
      <c r="G3139" t="s">
        <v>151</v>
      </c>
      <c r="H3139" t="s">
        <v>151</v>
      </c>
      <c r="I3139" t="s">
        <v>33</v>
      </c>
      <c r="J3139" t="s">
        <v>34</v>
      </c>
      <c r="K3139" t="s">
        <v>30</v>
      </c>
      <c r="L3139" t="s">
        <v>31</v>
      </c>
      <c r="M3139" t="s">
        <v>140</v>
      </c>
      <c r="N3139">
        <v>17</v>
      </c>
      <c r="O3139">
        <v>0.18692714099999999</v>
      </c>
      <c r="P3139">
        <v>0.30901449600000003</v>
      </c>
      <c r="Q3139" t="str">
        <f t="shared" ref="Q3139:Q3202" si="98">SUBSTITUTE(SUBSTITUTE($I3139,CHAR(61),""),CHAR(34),"")</f>
        <v>01-09</v>
      </c>
      <c r="R3139" t="str">
        <f t="shared" ref="R3139:R3202" si="99">IF($D3139&lt;&gt;"","["&amp;$E3139&amp;"]"&amp;"|"&amp;$Q3139&amp;"|"&amp;$K3139&amp;"|"&amp;$G3139&amp;"|"&amp;IF($G3139="TX_CURR_SUBNAT.R","CY2023Q4",$M3139),"")</f>
        <v>[GkIwZrXy1h2]|01-09|Female|Untreated_PLHIV_Attend.T_1|CY2024Q3</v>
      </c>
    </row>
    <row r="3140" spans="4:18" x14ac:dyDescent="0.2">
      <c r="D3140" t="s">
        <v>23</v>
      </c>
      <c r="E3140" t="s">
        <v>24</v>
      </c>
      <c r="F3140" t="s">
        <v>25</v>
      </c>
      <c r="G3140" t="s">
        <v>151</v>
      </c>
      <c r="H3140" t="s">
        <v>151</v>
      </c>
      <c r="I3140" t="s">
        <v>36</v>
      </c>
      <c r="J3140" t="s">
        <v>37</v>
      </c>
      <c r="K3140" t="s">
        <v>30</v>
      </c>
      <c r="L3140" t="s">
        <v>31</v>
      </c>
      <c r="M3140" t="s">
        <v>140</v>
      </c>
      <c r="N3140">
        <v>21</v>
      </c>
      <c r="O3140">
        <v>0.20782688099999999</v>
      </c>
      <c r="P3140">
        <v>0.30901449600000003</v>
      </c>
      <c r="Q3140" t="str">
        <f t="shared" si="98"/>
        <v>10-14</v>
      </c>
      <c r="R3140" t="str">
        <f t="shared" si="99"/>
        <v>[GkIwZrXy1h2]|10-14|Female|Untreated_PLHIV_Attend.T_1|CY2024Q3</v>
      </c>
    </row>
    <row r="3141" spans="4:18" x14ac:dyDescent="0.2">
      <c r="D3141" t="s">
        <v>23</v>
      </c>
      <c r="E3141" t="s">
        <v>24</v>
      </c>
      <c r="F3141" t="s">
        <v>25</v>
      </c>
      <c r="G3141" t="s">
        <v>151</v>
      </c>
      <c r="H3141" t="s">
        <v>151</v>
      </c>
      <c r="I3141" t="s">
        <v>38</v>
      </c>
      <c r="J3141" t="s">
        <v>39</v>
      </c>
      <c r="K3141" t="s">
        <v>30</v>
      </c>
      <c r="L3141" t="s">
        <v>31</v>
      </c>
      <c r="M3141" t="s">
        <v>140</v>
      </c>
      <c r="N3141">
        <v>19</v>
      </c>
      <c r="O3141">
        <v>0.45770983500000001</v>
      </c>
      <c r="P3141">
        <v>0.30901449600000003</v>
      </c>
      <c r="Q3141" t="str">
        <f t="shared" si="98"/>
        <v>15-24</v>
      </c>
      <c r="R3141" t="str">
        <f t="shared" si="99"/>
        <v>[GkIwZrXy1h2]|15-24|Female|Untreated_PLHIV_Attend.T_1|CY2024Q3</v>
      </c>
    </row>
    <row r="3142" spans="4:18" x14ac:dyDescent="0.2">
      <c r="D3142" t="s">
        <v>23</v>
      </c>
      <c r="E3142" t="s">
        <v>24</v>
      </c>
      <c r="F3142" t="s">
        <v>25</v>
      </c>
      <c r="G3142" t="s">
        <v>151</v>
      </c>
      <c r="H3142" t="s">
        <v>151</v>
      </c>
      <c r="I3142" t="s">
        <v>41</v>
      </c>
      <c r="J3142" t="s">
        <v>42</v>
      </c>
      <c r="K3142" t="s">
        <v>30</v>
      </c>
      <c r="L3142" t="s">
        <v>31</v>
      </c>
      <c r="M3142" t="s">
        <v>140</v>
      </c>
      <c r="N3142">
        <v>26</v>
      </c>
      <c r="O3142">
        <v>0.44944346699999999</v>
      </c>
      <c r="P3142">
        <v>0.30901449600000003</v>
      </c>
      <c r="Q3142" t="str">
        <f t="shared" si="98"/>
        <v>25-34</v>
      </c>
      <c r="R3142" t="str">
        <f t="shared" si="99"/>
        <v>[GkIwZrXy1h2]|25-34|Female|Untreated_PLHIV_Attend.T_1|CY2024Q3</v>
      </c>
    </row>
    <row r="3143" spans="4:18" x14ac:dyDescent="0.2">
      <c r="D3143" t="s">
        <v>23</v>
      </c>
      <c r="E3143" t="s">
        <v>24</v>
      </c>
      <c r="F3143" t="s">
        <v>25</v>
      </c>
      <c r="G3143" t="s">
        <v>151</v>
      </c>
      <c r="H3143" t="s">
        <v>151</v>
      </c>
      <c r="I3143" t="s">
        <v>43</v>
      </c>
      <c r="J3143" t="s">
        <v>44</v>
      </c>
      <c r="K3143" t="s">
        <v>30</v>
      </c>
      <c r="L3143" t="s">
        <v>31</v>
      </c>
      <c r="M3143" t="s">
        <v>140</v>
      </c>
      <c r="N3143">
        <v>32</v>
      </c>
      <c r="O3143">
        <v>0.46132598200000002</v>
      </c>
      <c r="P3143">
        <v>0.30901449600000003</v>
      </c>
      <c r="Q3143" t="str">
        <f t="shared" si="98"/>
        <v>35-49</v>
      </c>
      <c r="R3143" t="str">
        <f t="shared" si="99"/>
        <v>[GkIwZrXy1h2]|35-49|Female|Untreated_PLHIV_Attend.T_1|CY2024Q3</v>
      </c>
    </row>
    <row r="3144" spans="4:18" x14ac:dyDescent="0.2">
      <c r="D3144" t="s">
        <v>23</v>
      </c>
      <c r="E3144" t="s">
        <v>24</v>
      </c>
      <c r="F3144" t="s">
        <v>25</v>
      </c>
      <c r="G3144" t="s">
        <v>151</v>
      </c>
      <c r="H3144" t="s">
        <v>151</v>
      </c>
      <c r="I3144" t="s">
        <v>45</v>
      </c>
      <c r="J3144" t="s">
        <v>46</v>
      </c>
      <c r="K3144" t="s">
        <v>30</v>
      </c>
      <c r="L3144" t="s">
        <v>31</v>
      </c>
      <c r="M3144" t="s">
        <v>140</v>
      </c>
      <c r="N3144">
        <v>12</v>
      </c>
      <c r="O3144">
        <v>0.45914120400000002</v>
      </c>
      <c r="P3144">
        <v>0.30901449600000003</v>
      </c>
      <c r="Q3144" t="str">
        <f t="shared" si="98"/>
        <v>50+</v>
      </c>
      <c r="R3144" t="str">
        <f t="shared" si="99"/>
        <v>[GkIwZrXy1h2]|50+|Female|Untreated_PLHIV_Attend.T_1|CY2024Q3</v>
      </c>
    </row>
    <row r="3145" spans="4:18" x14ac:dyDescent="0.2">
      <c r="D3145" t="s">
        <v>23</v>
      </c>
      <c r="E3145" t="s">
        <v>24</v>
      </c>
      <c r="F3145" t="s">
        <v>25</v>
      </c>
      <c r="G3145" t="s">
        <v>151</v>
      </c>
      <c r="H3145" t="s">
        <v>151</v>
      </c>
      <c r="I3145" t="s">
        <v>28</v>
      </c>
      <c r="J3145" t="s">
        <v>29</v>
      </c>
      <c r="K3145" t="s">
        <v>48</v>
      </c>
      <c r="L3145" t="s">
        <v>49</v>
      </c>
      <c r="M3145" t="s">
        <v>140</v>
      </c>
      <c r="N3145">
        <v>1</v>
      </c>
      <c r="O3145">
        <v>0.197012347</v>
      </c>
      <c r="P3145">
        <v>0.30901449600000003</v>
      </c>
      <c r="Q3145" t="str">
        <f t="shared" si="98"/>
        <v>&lt;01</v>
      </c>
      <c r="R3145" t="str">
        <f t="shared" si="99"/>
        <v>[GkIwZrXy1h2]|&lt;01|Male|Untreated_PLHIV_Attend.T_1|CY2024Q3</v>
      </c>
    </row>
    <row r="3146" spans="4:18" x14ac:dyDescent="0.2">
      <c r="D3146" t="s">
        <v>23</v>
      </c>
      <c r="E3146" t="s">
        <v>24</v>
      </c>
      <c r="F3146" t="s">
        <v>25</v>
      </c>
      <c r="G3146" t="s">
        <v>151</v>
      </c>
      <c r="H3146" t="s">
        <v>151</v>
      </c>
      <c r="I3146" t="s">
        <v>33</v>
      </c>
      <c r="J3146" t="s">
        <v>34</v>
      </c>
      <c r="K3146" t="s">
        <v>48</v>
      </c>
      <c r="L3146" t="s">
        <v>49</v>
      </c>
      <c r="M3146" t="s">
        <v>140</v>
      </c>
      <c r="N3146">
        <v>17</v>
      </c>
      <c r="O3146">
        <v>0.213093745</v>
      </c>
      <c r="P3146">
        <v>0.30901449600000003</v>
      </c>
      <c r="Q3146" t="str">
        <f t="shared" si="98"/>
        <v>01-09</v>
      </c>
      <c r="R3146" t="str">
        <f t="shared" si="99"/>
        <v>[GkIwZrXy1h2]|01-09|Male|Untreated_PLHIV_Attend.T_1|CY2024Q3</v>
      </c>
    </row>
    <row r="3147" spans="4:18" x14ac:dyDescent="0.2">
      <c r="D3147" t="s">
        <v>23</v>
      </c>
      <c r="E3147" t="s">
        <v>24</v>
      </c>
      <c r="F3147" t="s">
        <v>25</v>
      </c>
      <c r="G3147" t="s">
        <v>151</v>
      </c>
      <c r="H3147" t="s">
        <v>151</v>
      </c>
      <c r="I3147" t="s">
        <v>36</v>
      </c>
      <c r="J3147" t="s">
        <v>37</v>
      </c>
      <c r="K3147" t="s">
        <v>48</v>
      </c>
      <c r="L3147" t="s">
        <v>49</v>
      </c>
      <c r="M3147" t="s">
        <v>140</v>
      </c>
      <c r="N3147">
        <v>20</v>
      </c>
      <c r="O3147">
        <v>0.23318102600000001</v>
      </c>
      <c r="P3147">
        <v>0.30901449600000003</v>
      </c>
      <c r="Q3147" t="str">
        <f t="shared" si="98"/>
        <v>10-14</v>
      </c>
      <c r="R3147" t="str">
        <f t="shared" si="99"/>
        <v>[GkIwZrXy1h2]|10-14|Male|Untreated_PLHIV_Attend.T_1|CY2024Q3</v>
      </c>
    </row>
    <row r="3148" spans="4:18" x14ac:dyDescent="0.2">
      <c r="D3148" t="s">
        <v>23</v>
      </c>
      <c r="E3148" t="s">
        <v>24</v>
      </c>
      <c r="F3148" t="s">
        <v>25</v>
      </c>
      <c r="G3148" t="s">
        <v>151</v>
      </c>
      <c r="H3148" t="s">
        <v>151</v>
      </c>
      <c r="I3148" t="s">
        <v>38</v>
      </c>
      <c r="J3148" t="s">
        <v>39</v>
      </c>
      <c r="K3148" t="s">
        <v>48</v>
      </c>
      <c r="L3148" t="s">
        <v>49</v>
      </c>
      <c r="M3148" t="s">
        <v>140</v>
      </c>
      <c r="N3148">
        <v>20</v>
      </c>
      <c r="O3148">
        <v>0.44066935699999998</v>
      </c>
      <c r="P3148">
        <v>0.30901449600000003</v>
      </c>
      <c r="Q3148" t="str">
        <f t="shared" si="98"/>
        <v>15-24</v>
      </c>
      <c r="R3148" t="str">
        <f t="shared" si="99"/>
        <v>[GkIwZrXy1h2]|15-24|Male|Untreated_PLHIV_Attend.T_1|CY2024Q3</v>
      </c>
    </row>
    <row r="3149" spans="4:18" x14ac:dyDescent="0.2">
      <c r="D3149" t="s">
        <v>23</v>
      </c>
      <c r="E3149" t="s">
        <v>24</v>
      </c>
      <c r="F3149" t="s">
        <v>25</v>
      </c>
      <c r="G3149" t="s">
        <v>151</v>
      </c>
      <c r="H3149" t="s">
        <v>151</v>
      </c>
      <c r="I3149" t="s">
        <v>41</v>
      </c>
      <c r="J3149" t="s">
        <v>42</v>
      </c>
      <c r="K3149" t="s">
        <v>48</v>
      </c>
      <c r="L3149" t="s">
        <v>49</v>
      </c>
      <c r="M3149" t="s">
        <v>140</v>
      </c>
      <c r="N3149">
        <v>35</v>
      </c>
      <c r="O3149">
        <v>0.46928938799999997</v>
      </c>
      <c r="P3149">
        <v>0.30901449600000003</v>
      </c>
      <c r="Q3149" t="str">
        <f t="shared" si="98"/>
        <v>25-34</v>
      </c>
      <c r="R3149" t="str">
        <f t="shared" si="99"/>
        <v>[GkIwZrXy1h2]|25-34|Male|Untreated_PLHIV_Attend.T_1|CY2024Q3</v>
      </c>
    </row>
    <row r="3150" spans="4:18" x14ac:dyDescent="0.2">
      <c r="D3150" t="s">
        <v>23</v>
      </c>
      <c r="E3150" t="s">
        <v>24</v>
      </c>
      <c r="F3150" t="s">
        <v>25</v>
      </c>
      <c r="G3150" t="s">
        <v>151</v>
      </c>
      <c r="H3150" t="s">
        <v>151</v>
      </c>
      <c r="I3150" t="s">
        <v>43</v>
      </c>
      <c r="J3150" t="s">
        <v>44</v>
      </c>
      <c r="K3150" t="s">
        <v>48</v>
      </c>
      <c r="L3150" t="s">
        <v>49</v>
      </c>
      <c r="M3150" t="s">
        <v>140</v>
      </c>
      <c r="N3150">
        <v>79</v>
      </c>
      <c r="O3150">
        <v>0.48830483499999999</v>
      </c>
      <c r="P3150">
        <v>0.30901449600000003</v>
      </c>
      <c r="Q3150" t="str">
        <f t="shared" si="98"/>
        <v>35-49</v>
      </c>
      <c r="R3150" t="str">
        <f t="shared" si="99"/>
        <v>[GkIwZrXy1h2]|35-49|Male|Untreated_PLHIV_Attend.T_1|CY2024Q3</v>
      </c>
    </row>
    <row r="3151" spans="4:18" x14ac:dyDescent="0.2">
      <c r="D3151" t="s">
        <v>23</v>
      </c>
      <c r="E3151" t="s">
        <v>24</v>
      </c>
      <c r="F3151" t="s">
        <v>25</v>
      </c>
      <c r="G3151" t="s">
        <v>151</v>
      </c>
      <c r="H3151" t="s">
        <v>151</v>
      </c>
      <c r="I3151" t="s">
        <v>45</v>
      </c>
      <c r="J3151" t="s">
        <v>46</v>
      </c>
      <c r="K3151" t="s">
        <v>48</v>
      </c>
      <c r="L3151" t="s">
        <v>49</v>
      </c>
      <c r="M3151" t="s">
        <v>140</v>
      </c>
      <c r="N3151">
        <v>46</v>
      </c>
      <c r="O3151">
        <v>0.45165967099999998</v>
      </c>
      <c r="P3151">
        <v>0.30901449600000003</v>
      </c>
      <c r="Q3151" t="str">
        <f t="shared" si="98"/>
        <v>50+</v>
      </c>
      <c r="R3151" t="str">
        <f t="shared" si="99"/>
        <v>[GkIwZrXy1h2]|50+|Male|Untreated_PLHIV_Attend.T_1|CY2024Q3</v>
      </c>
    </row>
    <row r="3152" spans="4:18" x14ac:dyDescent="0.2">
      <c r="D3152" t="s">
        <v>53</v>
      </c>
      <c r="E3152" t="s">
        <v>54</v>
      </c>
      <c r="F3152" t="s">
        <v>55</v>
      </c>
      <c r="G3152" t="s">
        <v>151</v>
      </c>
      <c r="H3152" t="s">
        <v>151</v>
      </c>
      <c r="I3152" t="s">
        <v>28</v>
      </c>
      <c r="J3152" t="s">
        <v>29</v>
      </c>
      <c r="K3152" t="s">
        <v>30</v>
      </c>
      <c r="L3152" t="s">
        <v>31</v>
      </c>
      <c r="M3152" t="s">
        <v>140</v>
      </c>
      <c r="N3152">
        <v>3</v>
      </c>
      <c r="O3152">
        <v>0.17596962599999999</v>
      </c>
      <c r="P3152">
        <v>0.29455463100000001</v>
      </c>
      <c r="Q3152" t="str">
        <f t="shared" si="98"/>
        <v>&lt;01</v>
      </c>
      <c r="R3152" t="str">
        <f t="shared" si="99"/>
        <v>[cPtvxaZqXIH]|&lt;01|Female|Untreated_PLHIV_Attend.T_1|CY2024Q3</v>
      </c>
    </row>
    <row r="3153" spans="4:18" x14ac:dyDescent="0.2">
      <c r="D3153" t="s">
        <v>53</v>
      </c>
      <c r="E3153" t="s">
        <v>54</v>
      </c>
      <c r="F3153" t="s">
        <v>55</v>
      </c>
      <c r="G3153" t="s">
        <v>151</v>
      </c>
      <c r="H3153" t="s">
        <v>151</v>
      </c>
      <c r="I3153" t="s">
        <v>33</v>
      </c>
      <c r="J3153" t="s">
        <v>34</v>
      </c>
      <c r="K3153" t="s">
        <v>30</v>
      </c>
      <c r="L3153" t="s">
        <v>31</v>
      </c>
      <c r="M3153" t="s">
        <v>140</v>
      </c>
      <c r="N3153">
        <v>44</v>
      </c>
      <c r="O3153">
        <v>0.19502883700000001</v>
      </c>
      <c r="P3153">
        <v>0.29455463100000001</v>
      </c>
      <c r="Q3153" t="str">
        <f t="shared" si="98"/>
        <v>01-09</v>
      </c>
      <c r="R3153" t="str">
        <f t="shared" si="99"/>
        <v>[cPtvxaZqXIH]|01-09|Female|Untreated_PLHIV_Attend.T_1|CY2024Q3</v>
      </c>
    </row>
    <row r="3154" spans="4:18" x14ac:dyDescent="0.2">
      <c r="D3154" t="s">
        <v>53</v>
      </c>
      <c r="E3154" t="s">
        <v>54</v>
      </c>
      <c r="F3154" t="s">
        <v>55</v>
      </c>
      <c r="G3154" t="s">
        <v>151</v>
      </c>
      <c r="H3154" t="s">
        <v>151</v>
      </c>
      <c r="I3154" t="s">
        <v>36</v>
      </c>
      <c r="J3154" t="s">
        <v>37</v>
      </c>
      <c r="K3154" t="s">
        <v>30</v>
      </c>
      <c r="L3154" t="s">
        <v>31</v>
      </c>
      <c r="M3154" t="s">
        <v>140</v>
      </c>
      <c r="N3154">
        <v>51</v>
      </c>
      <c r="O3154">
        <v>0.21834414399999999</v>
      </c>
      <c r="P3154">
        <v>0.29455463100000001</v>
      </c>
      <c r="Q3154" t="str">
        <f t="shared" si="98"/>
        <v>10-14</v>
      </c>
      <c r="R3154" t="str">
        <f t="shared" si="99"/>
        <v>[cPtvxaZqXIH]|10-14|Female|Untreated_PLHIV_Attend.T_1|CY2024Q3</v>
      </c>
    </row>
    <row r="3155" spans="4:18" x14ac:dyDescent="0.2">
      <c r="D3155" t="s">
        <v>53</v>
      </c>
      <c r="E3155" t="s">
        <v>54</v>
      </c>
      <c r="F3155" t="s">
        <v>55</v>
      </c>
      <c r="G3155" t="s">
        <v>151</v>
      </c>
      <c r="H3155" t="s">
        <v>151</v>
      </c>
      <c r="I3155" t="s">
        <v>38</v>
      </c>
      <c r="J3155" t="s">
        <v>39</v>
      </c>
      <c r="K3155" t="s">
        <v>30</v>
      </c>
      <c r="L3155" t="s">
        <v>31</v>
      </c>
      <c r="M3155" t="s">
        <v>140</v>
      </c>
      <c r="N3155">
        <v>47</v>
      </c>
      <c r="O3155">
        <v>0.44564674199999998</v>
      </c>
      <c r="P3155">
        <v>0.29455463100000001</v>
      </c>
      <c r="Q3155" t="str">
        <f t="shared" si="98"/>
        <v>15-24</v>
      </c>
      <c r="R3155" t="str">
        <f t="shared" si="99"/>
        <v>[cPtvxaZqXIH]|15-24|Female|Untreated_PLHIV_Attend.T_1|CY2024Q3</v>
      </c>
    </row>
    <row r="3156" spans="4:18" x14ac:dyDescent="0.2">
      <c r="D3156" t="s">
        <v>53</v>
      </c>
      <c r="E3156" t="s">
        <v>54</v>
      </c>
      <c r="F3156" t="s">
        <v>55</v>
      </c>
      <c r="G3156" t="s">
        <v>151</v>
      </c>
      <c r="H3156" t="s">
        <v>151</v>
      </c>
      <c r="I3156" t="s">
        <v>41</v>
      </c>
      <c r="J3156" t="s">
        <v>42</v>
      </c>
      <c r="K3156" t="s">
        <v>30</v>
      </c>
      <c r="L3156" t="s">
        <v>31</v>
      </c>
      <c r="M3156" t="s">
        <v>140</v>
      </c>
      <c r="N3156">
        <v>60</v>
      </c>
      <c r="O3156">
        <v>0.43854001999999997</v>
      </c>
      <c r="P3156">
        <v>0.29455463100000001</v>
      </c>
      <c r="Q3156" t="str">
        <f t="shared" si="98"/>
        <v>25-34</v>
      </c>
      <c r="R3156" t="str">
        <f t="shared" si="99"/>
        <v>[cPtvxaZqXIH]|25-34|Female|Untreated_PLHIV_Attend.T_1|CY2024Q3</v>
      </c>
    </row>
    <row r="3157" spans="4:18" x14ac:dyDescent="0.2">
      <c r="D3157" t="s">
        <v>53</v>
      </c>
      <c r="E3157" t="s">
        <v>54</v>
      </c>
      <c r="F3157" t="s">
        <v>55</v>
      </c>
      <c r="G3157" t="s">
        <v>151</v>
      </c>
      <c r="H3157" t="s">
        <v>151</v>
      </c>
      <c r="I3157" t="s">
        <v>43</v>
      </c>
      <c r="J3157" t="s">
        <v>44</v>
      </c>
      <c r="K3157" t="s">
        <v>30</v>
      </c>
      <c r="L3157" t="s">
        <v>31</v>
      </c>
      <c r="M3157" t="s">
        <v>140</v>
      </c>
      <c r="N3157">
        <v>78</v>
      </c>
      <c r="O3157">
        <v>0.45273903199999999</v>
      </c>
      <c r="P3157">
        <v>0.29455463100000001</v>
      </c>
      <c r="Q3157" t="str">
        <f t="shared" si="98"/>
        <v>35-49</v>
      </c>
      <c r="R3157" t="str">
        <f t="shared" si="99"/>
        <v>[cPtvxaZqXIH]|35-49|Female|Untreated_PLHIV_Attend.T_1|CY2024Q3</v>
      </c>
    </row>
    <row r="3158" spans="4:18" x14ac:dyDescent="0.2">
      <c r="D3158" t="s">
        <v>53</v>
      </c>
      <c r="E3158" t="s">
        <v>54</v>
      </c>
      <c r="F3158" t="s">
        <v>55</v>
      </c>
      <c r="G3158" t="s">
        <v>151</v>
      </c>
      <c r="H3158" t="s">
        <v>151</v>
      </c>
      <c r="I3158" t="s">
        <v>45</v>
      </c>
      <c r="J3158" t="s">
        <v>46</v>
      </c>
      <c r="K3158" t="s">
        <v>30</v>
      </c>
      <c r="L3158" t="s">
        <v>31</v>
      </c>
      <c r="M3158" t="s">
        <v>140</v>
      </c>
      <c r="N3158">
        <v>24</v>
      </c>
      <c r="O3158">
        <v>0.45148417099999999</v>
      </c>
      <c r="P3158">
        <v>0.29455463100000001</v>
      </c>
      <c r="Q3158" t="str">
        <f t="shared" si="98"/>
        <v>50+</v>
      </c>
      <c r="R3158" t="str">
        <f t="shared" si="99"/>
        <v>[cPtvxaZqXIH]|50+|Female|Untreated_PLHIV_Attend.T_1|CY2024Q3</v>
      </c>
    </row>
    <row r="3159" spans="4:18" x14ac:dyDescent="0.2">
      <c r="D3159" t="s">
        <v>53</v>
      </c>
      <c r="E3159" t="s">
        <v>54</v>
      </c>
      <c r="F3159" t="s">
        <v>55</v>
      </c>
      <c r="G3159" t="s">
        <v>151</v>
      </c>
      <c r="H3159" t="s">
        <v>151</v>
      </c>
      <c r="I3159" t="s">
        <v>28</v>
      </c>
      <c r="J3159" t="s">
        <v>29</v>
      </c>
      <c r="K3159" t="s">
        <v>48</v>
      </c>
      <c r="L3159" t="s">
        <v>49</v>
      </c>
      <c r="M3159" t="s">
        <v>140</v>
      </c>
      <c r="N3159">
        <v>3</v>
      </c>
      <c r="O3159">
        <v>0.201624474</v>
      </c>
      <c r="P3159">
        <v>0.29455463100000001</v>
      </c>
      <c r="Q3159" t="str">
        <f t="shared" si="98"/>
        <v>&lt;01</v>
      </c>
      <c r="R3159" t="str">
        <f t="shared" si="99"/>
        <v>[cPtvxaZqXIH]|&lt;01|Male|Untreated_PLHIV_Attend.T_1|CY2024Q3</v>
      </c>
    </row>
    <row r="3160" spans="4:18" x14ac:dyDescent="0.2">
      <c r="D3160" t="s">
        <v>53</v>
      </c>
      <c r="E3160" t="s">
        <v>54</v>
      </c>
      <c r="F3160" t="s">
        <v>55</v>
      </c>
      <c r="G3160" t="s">
        <v>151</v>
      </c>
      <c r="H3160" t="s">
        <v>151</v>
      </c>
      <c r="I3160" t="s">
        <v>33</v>
      </c>
      <c r="J3160" t="s">
        <v>34</v>
      </c>
      <c r="K3160" t="s">
        <v>48</v>
      </c>
      <c r="L3160" t="s">
        <v>49</v>
      </c>
      <c r="M3160" t="s">
        <v>140</v>
      </c>
      <c r="N3160">
        <v>44</v>
      </c>
      <c r="O3160">
        <v>0.21988268</v>
      </c>
      <c r="P3160">
        <v>0.29455463100000001</v>
      </c>
      <c r="Q3160" t="str">
        <f t="shared" si="98"/>
        <v>01-09</v>
      </c>
      <c r="R3160" t="str">
        <f t="shared" si="99"/>
        <v>[cPtvxaZqXIH]|01-09|Male|Untreated_PLHIV_Attend.T_1|CY2024Q3</v>
      </c>
    </row>
    <row r="3161" spans="4:18" x14ac:dyDescent="0.2">
      <c r="D3161" t="s">
        <v>53</v>
      </c>
      <c r="E3161" t="s">
        <v>54</v>
      </c>
      <c r="F3161" t="s">
        <v>55</v>
      </c>
      <c r="G3161" t="s">
        <v>151</v>
      </c>
      <c r="H3161" t="s">
        <v>151</v>
      </c>
      <c r="I3161" t="s">
        <v>36</v>
      </c>
      <c r="J3161" t="s">
        <v>37</v>
      </c>
      <c r="K3161" t="s">
        <v>48</v>
      </c>
      <c r="L3161" t="s">
        <v>49</v>
      </c>
      <c r="M3161" t="s">
        <v>140</v>
      </c>
      <c r="N3161">
        <v>50</v>
      </c>
      <c r="O3161">
        <v>0.242324228</v>
      </c>
      <c r="P3161">
        <v>0.29455463100000001</v>
      </c>
      <c r="Q3161" t="str">
        <f t="shared" si="98"/>
        <v>10-14</v>
      </c>
      <c r="R3161" t="str">
        <f t="shared" si="99"/>
        <v>[cPtvxaZqXIH]|10-14|Male|Untreated_PLHIV_Attend.T_1|CY2024Q3</v>
      </c>
    </row>
    <row r="3162" spans="4:18" x14ac:dyDescent="0.2">
      <c r="D3162" t="s">
        <v>53</v>
      </c>
      <c r="E3162" t="s">
        <v>54</v>
      </c>
      <c r="F3162" t="s">
        <v>55</v>
      </c>
      <c r="G3162" t="s">
        <v>151</v>
      </c>
      <c r="H3162" t="s">
        <v>151</v>
      </c>
      <c r="I3162" t="s">
        <v>38</v>
      </c>
      <c r="J3162" t="s">
        <v>39</v>
      </c>
      <c r="K3162" t="s">
        <v>48</v>
      </c>
      <c r="L3162" t="s">
        <v>49</v>
      </c>
      <c r="M3162" t="s">
        <v>140</v>
      </c>
      <c r="N3162">
        <v>50</v>
      </c>
      <c r="O3162">
        <v>0.42807897099999997</v>
      </c>
      <c r="P3162">
        <v>0.29455463100000001</v>
      </c>
      <c r="Q3162" t="str">
        <f t="shared" si="98"/>
        <v>15-24</v>
      </c>
      <c r="R3162" t="str">
        <f t="shared" si="99"/>
        <v>[cPtvxaZqXIH]|15-24|Male|Untreated_PLHIV_Attend.T_1|CY2024Q3</v>
      </c>
    </row>
    <row r="3163" spans="4:18" x14ac:dyDescent="0.2">
      <c r="D3163" t="s">
        <v>53</v>
      </c>
      <c r="E3163" t="s">
        <v>54</v>
      </c>
      <c r="F3163" t="s">
        <v>55</v>
      </c>
      <c r="G3163" t="s">
        <v>151</v>
      </c>
      <c r="H3163" t="s">
        <v>151</v>
      </c>
      <c r="I3163" t="s">
        <v>41</v>
      </c>
      <c r="J3163" t="s">
        <v>42</v>
      </c>
      <c r="K3163" t="s">
        <v>48</v>
      </c>
      <c r="L3163" t="s">
        <v>49</v>
      </c>
      <c r="M3163" t="s">
        <v>140</v>
      </c>
      <c r="N3163">
        <v>84</v>
      </c>
      <c r="O3163">
        <v>0.45577533199999998</v>
      </c>
      <c r="P3163">
        <v>0.29455463100000001</v>
      </c>
      <c r="Q3163" t="str">
        <f t="shared" si="98"/>
        <v>25-34</v>
      </c>
      <c r="R3163" t="str">
        <f t="shared" si="99"/>
        <v>[cPtvxaZqXIH]|25-34|Male|Untreated_PLHIV_Attend.T_1|CY2024Q3</v>
      </c>
    </row>
    <row r="3164" spans="4:18" x14ac:dyDescent="0.2">
      <c r="D3164" t="s">
        <v>53</v>
      </c>
      <c r="E3164" t="s">
        <v>54</v>
      </c>
      <c r="F3164" t="s">
        <v>55</v>
      </c>
      <c r="G3164" t="s">
        <v>151</v>
      </c>
      <c r="H3164" t="s">
        <v>151</v>
      </c>
      <c r="I3164" t="s">
        <v>43</v>
      </c>
      <c r="J3164" t="s">
        <v>44</v>
      </c>
      <c r="K3164" t="s">
        <v>48</v>
      </c>
      <c r="L3164" t="s">
        <v>49</v>
      </c>
      <c r="M3164" t="s">
        <v>140</v>
      </c>
      <c r="N3164">
        <v>200</v>
      </c>
      <c r="O3164">
        <v>0.46566444899999998</v>
      </c>
      <c r="P3164">
        <v>0.29455463100000001</v>
      </c>
      <c r="Q3164" t="str">
        <f t="shared" si="98"/>
        <v>35-49</v>
      </c>
      <c r="R3164" t="str">
        <f t="shared" si="99"/>
        <v>[cPtvxaZqXIH]|35-49|Male|Untreated_PLHIV_Attend.T_1|CY2024Q3</v>
      </c>
    </row>
    <row r="3165" spans="4:18" x14ac:dyDescent="0.2">
      <c r="D3165" t="s">
        <v>53</v>
      </c>
      <c r="E3165" t="s">
        <v>54</v>
      </c>
      <c r="F3165" t="s">
        <v>55</v>
      </c>
      <c r="G3165" t="s">
        <v>151</v>
      </c>
      <c r="H3165" t="s">
        <v>151</v>
      </c>
      <c r="I3165" t="s">
        <v>45</v>
      </c>
      <c r="J3165" t="s">
        <v>46</v>
      </c>
      <c r="K3165" t="s">
        <v>48</v>
      </c>
      <c r="L3165" t="s">
        <v>49</v>
      </c>
      <c r="M3165" t="s">
        <v>140</v>
      </c>
      <c r="N3165">
        <v>97</v>
      </c>
      <c r="O3165">
        <v>0.44667059999999997</v>
      </c>
      <c r="P3165">
        <v>0.29455463100000001</v>
      </c>
      <c r="Q3165" t="str">
        <f t="shared" si="98"/>
        <v>50+</v>
      </c>
      <c r="R3165" t="str">
        <f t="shared" si="99"/>
        <v>[cPtvxaZqXIH]|50+|Male|Untreated_PLHIV_Attend.T_1|CY2024Q3</v>
      </c>
    </row>
    <row r="3166" spans="4:18" x14ac:dyDescent="0.2">
      <c r="D3166" t="s">
        <v>60</v>
      </c>
      <c r="E3166" t="s">
        <v>61</v>
      </c>
      <c r="F3166" t="s">
        <v>62</v>
      </c>
      <c r="G3166" t="s">
        <v>151</v>
      </c>
      <c r="H3166" t="s">
        <v>151</v>
      </c>
      <c r="I3166" t="s">
        <v>28</v>
      </c>
      <c r="J3166" t="s">
        <v>29</v>
      </c>
      <c r="K3166" t="s">
        <v>30</v>
      </c>
      <c r="L3166" t="s">
        <v>31</v>
      </c>
      <c r="M3166" t="s">
        <v>140</v>
      </c>
      <c r="N3166">
        <v>3</v>
      </c>
      <c r="O3166">
        <v>0.115071903</v>
      </c>
      <c r="P3166">
        <v>0.27159539999999999</v>
      </c>
      <c r="Q3166" t="str">
        <f t="shared" si="98"/>
        <v>&lt;01</v>
      </c>
      <c r="R3166" t="str">
        <f t="shared" si="99"/>
        <v>[E7zpfyBt7Tw]|&lt;01|Female|Untreated_PLHIV_Attend.T_1|CY2024Q3</v>
      </c>
    </row>
    <row r="3167" spans="4:18" x14ac:dyDescent="0.2">
      <c r="D3167" t="s">
        <v>60</v>
      </c>
      <c r="E3167" t="s">
        <v>61</v>
      </c>
      <c r="F3167" t="s">
        <v>62</v>
      </c>
      <c r="G3167" t="s">
        <v>151</v>
      </c>
      <c r="H3167" t="s">
        <v>151</v>
      </c>
      <c r="I3167" t="s">
        <v>33</v>
      </c>
      <c r="J3167" t="s">
        <v>34</v>
      </c>
      <c r="K3167" t="s">
        <v>30</v>
      </c>
      <c r="L3167" t="s">
        <v>31</v>
      </c>
      <c r="M3167" t="s">
        <v>140</v>
      </c>
      <c r="N3167">
        <v>44</v>
      </c>
      <c r="O3167">
        <v>0.126930182</v>
      </c>
      <c r="P3167">
        <v>0.27159539999999999</v>
      </c>
      <c r="Q3167" t="str">
        <f t="shared" si="98"/>
        <v>01-09</v>
      </c>
      <c r="R3167" t="str">
        <f t="shared" si="99"/>
        <v>[E7zpfyBt7Tw]|01-09|Female|Untreated_PLHIV_Attend.T_1|CY2024Q3</v>
      </c>
    </row>
    <row r="3168" spans="4:18" x14ac:dyDescent="0.2">
      <c r="D3168" t="s">
        <v>60</v>
      </c>
      <c r="E3168" t="s">
        <v>61</v>
      </c>
      <c r="F3168" t="s">
        <v>62</v>
      </c>
      <c r="G3168" t="s">
        <v>151</v>
      </c>
      <c r="H3168" t="s">
        <v>151</v>
      </c>
      <c r="I3168" t="s">
        <v>36</v>
      </c>
      <c r="J3168" t="s">
        <v>37</v>
      </c>
      <c r="K3168" t="s">
        <v>30</v>
      </c>
      <c r="L3168" t="s">
        <v>31</v>
      </c>
      <c r="M3168" t="s">
        <v>140</v>
      </c>
      <c r="N3168">
        <v>53</v>
      </c>
      <c r="O3168">
        <v>0.14142490099999999</v>
      </c>
      <c r="P3168">
        <v>0.27159539999999999</v>
      </c>
      <c r="Q3168" t="str">
        <f t="shared" si="98"/>
        <v>10-14</v>
      </c>
      <c r="R3168" t="str">
        <f t="shared" si="99"/>
        <v>[E7zpfyBt7Tw]|10-14|Female|Untreated_PLHIV_Attend.T_1|CY2024Q3</v>
      </c>
    </row>
    <row r="3169" spans="4:18" x14ac:dyDescent="0.2">
      <c r="D3169" t="s">
        <v>60</v>
      </c>
      <c r="E3169" t="s">
        <v>61</v>
      </c>
      <c r="F3169" t="s">
        <v>62</v>
      </c>
      <c r="G3169" t="s">
        <v>151</v>
      </c>
      <c r="H3169" t="s">
        <v>151</v>
      </c>
      <c r="I3169" t="s">
        <v>38</v>
      </c>
      <c r="J3169" t="s">
        <v>39</v>
      </c>
      <c r="K3169" t="s">
        <v>30</v>
      </c>
      <c r="L3169" t="s">
        <v>31</v>
      </c>
      <c r="M3169" t="s">
        <v>140</v>
      </c>
      <c r="N3169">
        <v>40</v>
      </c>
      <c r="O3169">
        <v>0.423164922</v>
      </c>
      <c r="P3169">
        <v>0.27159539999999999</v>
      </c>
      <c r="Q3169" t="str">
        <f t="shared" si="98"/>
        <v>15-24</v>
      </c>
      <c r="R3169" t="str">
        <f t="shared" si="99"/>
        <v>[E7zpfyBt7Tw]|15-24|Female|Untreated_PLHIV_Attend.T_1|CY2024Q3</v>
      </c>
    </row>
    <row r="3170" spans="4:18" x14ac:dyDescent="0.2">
      <c r="D3170" t="s">
        <v>60</v>
      </c>
      <c r="E3170" t="s">
        <v>61</v>
      </c>
      <c r="F3170" t="s">
        <v>62</v>
      </c>
      <c r="G3170" t="s">
        <v>151</v>
      </c>
      <c r="H3170" t="s">
        <v>151</v>
      </c>
      <c r="I3170" t="s">
        <v>41</v>
      </c>
      <c r="J3170" t="s">
        <v>42</v>
      </c>
      <c r="K3170" t="s">
        <v>30</v>
      </c>
      <c r="L3170" t="s">
        <v>31</v>
      </c>
      <c r="M3170" t="s">
        <v>140</v>
      </c>
      <c r="N3170">
        <v>51</v>
      </c>
      <c r="O3170">
        <v>0.42506950100000002</v>
      </c>
      <c r="P3170">
        <v>0.27159539999999999</v>
      </c>
      <c r="Q3170" t="str">
        <f t="shared" si="98"/>
        <v>25-34</v>
      </c>
      <c r="R3170" t="str">
        <f t="shared" si="99"/>
        <v>[E7zpfyBt7Tw]|25-34|Female|Untreated_PLHIV_Attend.T_1|CY2024Q3</v>
      </c>
    </row>
    <row r="3171" spans="4:18" x14ac:dyDescent="0.2">
      <c r="D3171" t="s">
        <v>60</v>
      </c>
      <c r="E3171" t="s">
        <v>61</v>
      </c>
      <c r="F3171" t="s">
        <v>62</v>
      </c>
      <c r="G3171" t="s">
        <v>151</v>
      </c>
      <c r="H3171" t="s">
        <v>151</v>
      </c>
      <c r="I3171" t="s">
        <v>43</v>
      </c>
      <c r="J3171" t="s">
        <v>44</v>
      </c>
      <c r="K3171" t="s">
        <v>30</v>
      </c>
      <c r="L3171" t="s">
        <v>31</v>
      </c>
      <c r="M3171" t="s">
        <v>140</v>
      </c>
      <c r="N3171">
        <v>60</v>
      </c>
      <c r="O3171">
        <v>0.43967963700000001</v>
      </c>
      <c r="P3171">
        <v>0.27159539999999999</v>
      </c>
      <c r="Q3171" t="str">
        <f t="shared" si="98"/>
        <v>35-49</v>
      </c>
      <c r="R3171" t="str">
        <f t="shared" si="99"/>
        <v>[E7zpfyBt7Tw]|35-49|Female|Untreated_PLHIV_Attend.T_1|CY2024Q3</v>
      </c>
    </row>
    <row r="3172" spans="4:18" x14ac:dyDescent="0.2">
      <c r="D3172" t="s">
        <v>60</v>
      </c>
      <c r="E3172" t="s">
        <v>61</v>
      </c>
      <c r="F3172" t="s">
        <v>62</v>
      </c>
      <c r="G3172" t="s">
        <v>151</v>
      </c>
      <c r="H3172" t="s">
        <v>151</v>
      </c>
      <c r="I3172" t="s">
        <v>45</v>
      </c>
      <c r="J3172" t="s">
        <v>46</v>
      </c>
      <c r="K3172" t="s">
        <v>30</v>
      </c>
      <c r="L3172" t="s">
        <v>31</v>
      </c>
      <c r="M3172" t="s">
        <v>140</v>
      </c>
      <c r="N3172">
        <v>23</v>
      </c>
      <c r="O3172">
        <v>0.43408967199999998</v>
      </c>
      <c r="P3172">
        <v>0.27159539999999999</v>
      </c>
      <c r="Q3172" t="str">
        <f t="shared" si="98"/>
        <v>50+</v>
      </c>
      <c r="R3172" t="str">
        <f t="shared" si="99"/>
        <v>[E7zpfyBt7Tw]|50+|Female|Untreated_PLHIV_Attend.T_1|CY2024Q3</v>
      </c>
    </row>
    <row r="3173" spans="4:18" x14ac:dyDescent="0.2">
      <c r="D3173" t="s">
        <v>60</v>
      </c>
      <c r="E3173" t="s">
        <v>61</v>
      </c>
      <c r="F3173" t="s">
        <v>62</v>
      </c>
      <c r="G3173" t="s">
        <v>151</v>
      </c>
      <c r="H3173" t="s">
        <v>151</v>
      </c>
      <c r="I3173" t="s">
        <v>28</v>
      </c>
      <c r="J3173" t="s">
        <v>29</v>
      </c>
      <c r="K3173" t="s">
        <v>48</v>
      </c>
      <c r="L3173" t="s">
        <v>49</v>
      </c>
      <c r="M3173" t="s">
        <v>140</v>
      </c>
      <c r="N3173">
        <v>2</v>
      </c>
      <c r="O3173">
        <v>0.13647962</v>
      </c>
      <c r="P3173">
        <v>0.27159539999999999</v>
      </c>
      <c r="Q3173" t="str">
        <f t="shared" si="98"/>
        <v>&lt;01</v>
      </c>
      <c r="R3173" t="str">
        <f t="shared" si="99"/>
        <v>[E7zpfyBt7Tw]|&lt;01|Male|Untreated_PLHIV_Attend.T_1|CY2024Q3</v>
      </c>
    </row>
    <row r="3174" spans="4:18" x14ac:dyDescent="0.2">
      <c r="D3174" t="s">
        <v>60</v>
      </c>
      <c r="E3174" t="s">
        <v>61</v>
      </c>
      <c r="F3174" t="s">
        <v>62</v>
      </c>
      <c r="G3174" t="s">
        <v>151</v>
      </c>
      <c r="H3174" t="s">
        <v>151</v>
      </c>
      <c r="I3174" t="s">
        <v>33</v>
      </c>
      <c r="J3174" t="s">
        <v>34</v>
      </c>
      <c r="K3174" t="s">
        <v>48</v>
      </c>
      <c r="L3174" t="s">
        <v>49</v>
      </c>
      <c r="M3174" t="s">
        <v>140</v>
      </c>
      <c r="N3174">
        <v>41</v>
      </c>
      <c r="O3174">
        <v>0.14779339799999999</v>
      </c>
      <c r="P3174">
        <v>0.27159539999999999</v>
      </c>
      <c r="Q3174" t="str">
        <f t="shared" si="98"/>
        <v>01-09</v>
      </c>
      <c r="R3174" t="str">
        <f t="shared" si="99"/>
        <v>[E7zpfyBt7Tw]|01-09|Male|Untreated_PLHIV_Attend.T_1|CY2024Q3</v>
      </c>
    </row>
    <row r="3175" spans="4:18" x14ac:dyDescent="0.2">
      <c r="D3175" t="s">
        <v>60</v>
      </c>
      <c r="E3175" t="s">
        <v>61</v>
      </c>
      <c r="F3175" t="s">
        <v>62</v>
      </c>
      <c r="G3175" t="s">
        <v>151</v>
      </c>
      <c r="H3175" t="s">
        <v>151</v>
      </c>
      <c r="I3175" t="s">
        <v>36</v>
      </c>
      <c r="J3175" t="s">
        <v>37</v>
      </c>
      <c r="K3175" t="s">
        <v>48</v>
      </c>
      <c r="L3175" t="s">
        <v>49</v>
      </c>
      <c r="M3175" t="s">
        <v>140</v>
      </c>
      <c r="N3175">
        <v>48</v>
      </c>
      <c r="O3175">
        <v>0.16167682999999999</v>
      </c>
      <c r="P3175">
        <v>0.27159539999999999</v>
      </c>
      <c r="Q3175" t="str">
        <f t="shared" si="98"/>
        <v>10-14</v>
      </c>
      <c r="R3175" t="str">
        <f t="shared" si="99"/>
        <v>[E7zpfyBt7Tw]|10-14|Male|Untreated_PLHIV_Attend.T_1|CY2024Q3</v>
      </c>
    </row>
    <row r="3176" spans="4:18" x14ac:dyDescent="0.2">
      <c r="D3176" t="s">
        <v>60</v>
      </c>
      <c r="E3176" t="s">
        <v>61</v>
      </c>
      <c r="F3176" t="s">
        <v>62</v>
      </c>
      <c r="G3176" t="s">
        <v>151</v>
      </c>
      <c r="H3176" t="s">
        <v>151</v>
      </c>
      <c r="I3176" t="s">
        <v>38</v>
      </c>
      <c r="J3176" t="s">
        <v>39</v>
      </c>
      <c r="K3176" t="s">
        <v>48</v>
      </c>
      <c r="L3176" t="s">
        <v>49</v>
      </c>
      <c r="M3176" t="s">
        <v>140</v>
      </c>
      <c r="N3176">
        <v>45</v>
      </c>
      <c r="O3176">
        <v>0.40769962999999998</v>
      </c>
      <c r="P3176">
        <v>0.27159539999999999</v>
      </c>
      <c r="Q3176" t="str">
        <f t="shared" si="98"/>
        <v>15-24</v>
      </c>
      <c r="R3176" t="str">
        <f t="shared" si="99"/>
        <v>[E7zpfyBt7Tw]|15-24|Male|Untreated_PLHIV_Attend.T_1|CY2024Q3</v>
      </c>
    </row>
    <row r="3177" spans="4:18" x14ac:dyDescent="0.2">
      <c r="D3177" t="s">
        <v>60</v>
      </c>
      <c r="E3177" t="s">
        <v>61</v>
      </c>
      <c r="F3177" t="s">
        <v>62</v>
      </c>
      <c r="G3177" t="s">
        <v>151</v>
      </c>
      <c r="H3177" t="s">
        <v>151</v>
      </c>
      <c r="I3177" t="s">
        <v>41</v>
      </c>
      <c r="J3177" t="s">
        <v>42</v>
      </c>
      <c r="K3177" t="s">
        <v>48</v>
      </c>
      <c r="L3177" t="s">
        <v>49</v>
      </c>
      <c r="M3177" t="s">
        <v>140</v>
      </c>
      <c r="N3177">
        <v>72</v>
      </c>
      <c r="O3177">
        <v>0.43923746699999999</v>
      </c>
      <c r="P3177">
        <v>0.27159539999999999</v>
      </c>
      <c r="Q3177" t="str">
        <f t="shared" si="98"/>
        <v>25-34</v>
      </c>
      <c r="R3177" t="str">
        <f t="shared" si="99"/>
        <v>[E7zpfyBt7Tw]|25-34|Male|Untreated_PLHIV_Attend.T_1|CY2024Q3</v>
      </c>
    </row>
    <row r="3178" spans="4:18" x14ac:dyDescent="0.2">
      <c r="D3178" t="s">
        <v>60</v>
      </c>
      <c r="E3178" t="s">
        <v>61</v>
      </c>
      <c r="F3178" t="s">
        <v>62</v>
      </c>
      <c r="G3178" t="s">
        <v>151</v>
      </c>
      <c r="H3178" t="s">
        <v>151</v>
      </c>
      <c r="I3178" t="s">
        <v>43</v>
      </c>
      <c r="J3178" t="s">
        <v>44</v>
      </c>
      <c r="K3178" t="s">
        <v>48</v>
      </c>
      <c r="L3178" t="s">
        <v>49</v>
      </c>
      <c r="M3178" t="s">
        <v>140</v>
      </c>
      <c r="N3178">
        <v>160</v>
      </c>
      <c r="O3178">
        <v>0.44891396500000003</v>
      </c>
      <c r="P3178">
        <v>0.27159539999999999</v>
      </c>
      <c r="Q3178" t="str">
        <f t="shared" si="98"/>
        <v>35-49</v>
      </c>
      <c r="R3178" t="str">
        <f t="shared" si="99"/>
        <v>[E7zpfyBt7Tw]|35-49|Male|Untreated_PLHIV_Attend.T_1|CY2024Q3</v>
      </c>
    </row>
    <row r="3179" spans="4:18" x14ac:dyDescent="0.2">
      <c r="D3179" t="s">
        <v>60</v>
      </c>
      <c r="E3179" t="s">
        <v>61</v>
      </c>
      <c r="F3179" t="s">
        <v>62</v>
      </c>
      <c r="G3179" t="s">
        <v>151</v>
      </c>
      <c r="H3179" t="s">
        <v>151</v>
      </c>
      <c r="I3179" t="s">
        <v>45</v>
      </c>
      <c r="J3179" t="s">
        <v>46</v>
      </c>
      <c r="K3179" t="s">
        <v>48</v>
      </c>
      <c r="L3179" t="s">
        <v>49</v>
      </c>
      <c r="M3179" t="s">
        <v>140</v>
      </c>
      <c r="N3179">
        <v>89</v>
      </c>
      <c r="O3179">
        <v>0.43470994099999999</v>
      </c>
      <c r="P3179">
        <v>0.27159539999999999</v>
      </c>
      <c r="Q3179" t="str">
        <f t="shared" si="98"/>
        <v>50+</v>
      </c>
      <c r="R3179" t="str">
        <f t="shared" si="99"/>
        <v>[E7zpfyBt7Tw]|50+|Male|Untreated_PLHIV_Attend.T_1|CY2024Q3</v>
      </c>
    </row>
    <row r="3180" spans="4:18" x14ac:dyDescent="0.2">
      <c r="D3180" t="s">
        <v>63</v>
      </c>
      <c r="E3180" t="s">
        <v>64</v>
      </c>
      <c r="F3180" t="s">
        <v>65</v>
      </c>
      <c r="G3180" t="s">
        <v>151</v>
      </c>
      <c r="H3180" t="s">
        <v>151</v>
      </c>
      <c r="I3180" t="s">
        <v>28</v>
      </c>
      <c r="J3180" t="s">
        <v>29</v>
      </c>
      <c r="K3180" t="s">
        <v>30</v>
      </c>
      <c r="L3180" t="s">
        <v>31</v>
      </c>
      <c r="M3180" t="s">
        <v>140</v>
      </c>
      <c r="N3180">
        <v>2</v>
      </c>
      <c r="O3180">
        <v>0.14893790800000001</v>
      </c>
      <c r="P3180">
        <v>0.30389298799999998</v>
      </c>
      <c r="Q3180" t="str">
        <f t="shared" si="98"/>
        <v>&lt;01</v>
      </c>
      <c r="R3180" t="str">
        <f t="shared" si="99"/>
        <v>[lPTyjLi4w3d]|&lt;01|Female|Untreated_PLHIV_Attend.T_1|CY2024Q3</v>
      </c>
    </row>
    <row r="3181" spans="4:18" x14ac:dyDescent="0.2">
      <c r="D3181" t="s">
        <v>63</v>
      </c>
      <c r="E3181" t="s">
        <v>64</v>
      </c>
      <c r="F3181" t="s">
        <v>65</v>
      </c>
      <c r="G3181" t="s">
        <v>151</v>
      </c>
      <c r="H3181" t="s">
        <v>151</v>
      </c>
      <c r="I3181" t="s">
        <v>33</v>
      </c>
      <c r="J3181" t="s">
        <v>34</v>
      </c>
      <c r="K3181" t="s">
        <v>30</v>
      </c>
      <c r="L3181" t="s">
        <v>31</v>
      </c>
      <c r="M3181" t="s">
        <v>140</v>
      </c>
      <c r="N3181">
        <v>28</v>
      </c>
      <c r="O3181">
        <v>0.16135227999999999</v>
      </c>
      <c r="P3181">
        <v>0.30389298799999998</v>
      </c>
      <c r="Q3181" t="str">
        <f t="shared" si="98"/>
        <v>01-09</v>
      </c>
      <c r="R3181" t="str">
        <f t="shared" si="99"/>
        <v>[lPTyjLi4w3d]|01-09|Female|Untreated_PLHIV_Attend.T_1|CY2024Q3</v>
      </c>
    </row>
    <row r="3182" spans="4:18" x14ac:dyDescent="0.2">
      <c r="D3182" t="s">
        <v>63</v>
      </c>
      <c r="E3182" t="s">
        <v>64</v>
      </c>
      <c r="F3182" t="s">
        <v>65</v>
      </c>
      <c r="G3182" t="s">
        <v>151</v>
      </c>
      <c r="H3182" t="s">
        <v>151</v>
      </c>
      <c r="I3182" t="s">
        <v>36</v>
      </c>
      <c r="J3182" t="s">
        <v>37</v>
      </c>
      <c r="K3182" t="s">
        <v>30</v>
      </c>
      <c r="L3182" t="s">
        <v>31</v>
      </c>
      <c r="M3182" t="s">
        <v>140</v>
      </c>
      <c r="N3182">
        <v>32</v>
      </c>
      <c r="O3182">
        <v>0.17619957999999999</v>
      </c>
      <c r="P3182">
        <v>0.30389298799999998</v>
      </c>
      <c r="Q3182" t="str">
        <f t="shared" si="98"/>
        <v>10-14</v>
      </c>
      <c r="R3182" t="str">
        <f t="shared" si="99"/>
        <v>[lPTyjLi4w3d]|10-14|Female|Untreated_PLHIV_Attend.T_1|CY2024Q3</v>
      </c>
    </row>
    <row r="3183" spans="4:18" x14ac:dyDescent="0.2">
      <c r="D3183" t="s">
        <v>63</v>
      </c>
      <c r="E3183" t="s">
        <v>64</v>
      </c>
      <c r="F3183" t="s">
        <v>65</v>
      </c>
      <c r="G3183" t="s">
        <v>151</v>
      </c>
      <c r="H3183" t="s">
        <v>151</v>
      </c>
      <c r="I3183" t="s">
        <v>38</v>
      </c>
      <c r="J3183" t="s">
        <v>39</v>
      </c>
      <c r="K3183" t="s">
        <v>30</v>
      </c>
      <c r="L3183" t="s">
        <v>31</v>
      </c>
      <c r="M3183" t="s">
        <v>140</v>
      </c>
      <c r="N3183">
        <v>28</v>
      </c>
      <c r="O3183">
        <v>0.45712489699999997</v>
      </c>
      <c r="P3183">
        <v>0.30389298799999998</v>
      </c>
      <c r="Q3183" t="str">
        <f t="shared" si="98"/>
        <v>15-24</v>
      </c>
      <c r="R3183" t="str">
        <f t="shared" si="99"/>
        <v>[lPTyjLi4w3d]|15-24|Female|Untreated_PLHIV_Attend.T_1|CY2024Q3</v>
      </c>
    </row>
    <row r="3184" spans="4:18" x14ac:dyDescent="0.2">
      <c r="D3184" t="s">
        <v>63</v>
      </c>
      <c r="E3184" t="s">
        <v>64</v>
      </c>
      <c r="F3184" t="s">
        <v>65</v>
      </c>
      <c r="G3184" t="s">
        <v>151</v>
      </c>
      <c r="H3184" t="s">
        <v>151</v>
      </c>
      <c r="I3184" t="s">
        <v>41</v>
      </c>
      <c r="J3184" t="s">
        <v>42</v>
      </c>
      <c r="K3184" t="s">
        <v>30</v>
      </c>
      <c r="L3184" t="s">
        <v>31</v>
      </c>
      <c r="M3184" t="s">
        <v>140</v>
      </c>
      <c r="N3184">
        <v>37</v>
      </c>
      <c r="O3184">
        <v>0.452121683</v>
      </c>
      <c r="P3184">
        <v>0.30389298799999998</v>
      </c>
      <c r="Q3184" t="str">
        <f t="shared" si="98"/>
        <v>25-34</v>
      </c>
      <c r="R3184" t="str">
        <f t="shared" si="99"/>
        <v>[lPTyjLi4w3d]|25-34|Female|Untreated_PLHIV_Attend.T_1|CY2024Q3</v>
      </c>
    </row>
    <row r="3185" spans="4:18" x14ac:dyDescent="0.2">
      <c r="D3185" t="s">
        <v>63</v>
      </c>
      <c r="E3185" t="s">
        <v>64</v>
      </c>
      <c r="F3185" t="s">
        <v>65</v>
      </c>
      <c r="G3185" t="s">
        <v>151</v>
      </c>
      <c r="H3185" t="s">
        <v>151</v>
      </c>
      <c r="I3185" t="s">
        <v>43</v>
      </c>
      <c r="J3185" t="s">
        <v>44</v>
      </c>
      <c r="K3185" t="s">
        <v>30</v>
      </c>
      <c r="L3185" t="s">
        <v>31</v>
      </c>
      <c r="M3185" t="s">
        <v>140</v>
      </c>
      <c r="N3185">
        <v>47</v>
      </c>
      <c r="O3185">
        <v>0.46819328700000001</v>
      </c>
      <c r="P3185">
        <v>0.30389298799999998</v>
      </c>
      <c r="Q3185" t="str">
        <f t="shared" si="98"/>
        <v>35-49</v>
      </c>
      <c r="R3185" t="str">
        <f t="shared" si="99"/>
        <v>[lPTyjLi4w3d]|35-49|Female|Untreated_PLHIV_Attend.T_1|CY2024Q3</v>
      </c>
    </row>
    <row r="3186" spans="4:18" x14ac:dyDescent="0.2">
      <c r="D3186" t="s">
        <v>63</v>
      </c>
      <c r="E3186" t="s">
        <v>64</v>
      </c>
      <c r="F3186" t="s">
        <v>65</v>
      </c>
      <c r="G3186" t="s">
        <v>151</v>
      </c>
      <c r="H3186" t="s">
        <v>151</v>
      </c>
      <c r="I3186" t="s">
        <v>45</v>
      </c>
      <c r="J3186" t="s">
        <v>46</v>
      </c>
      <c r="K3186" t="s">
        <v>30</v>
      </c>
      <c r="L3186" t="s">
        <v>31</v>
      </c>
      <c r="M3186" t="s">
        <v>140</v>
      </c>
      <c r="N3186">
        <v>16</v>
      </c>
      <c r="O3186">
        <v>0.46630571199999998</v>
      </c>
      <c r="P3186">
        <v>0.30389298799999998</v>
      </c>
      <c r="Q3186" t="str">
        <f t="shared" si="98"/>
        <v>50+</v>
      </c>
      <c r="R3186" t="str">
        <f t="shared" si="99"/>
        <v>[lPTyjLi4w3d]|50+|Female|Untreated_PLHIV_Attend.T_1|CY2024Q3</v>
      </c>
    </row>
    <row r="3187" spans="4:18" x14ac:dyDescent="0.2">
      <c r="D3187" t="s">
        <v>63</v>
      </c>
      <c r="E3187" t="s">
        <v>64</v>
      </c>
      <c r="F3187" t="s">
        <v>65</v>
      </c>
      <c r="G3187" t="s">
        <v>151</v>
      </c>
      <c r="H3187" t="s">
        <v>151</v>
      </c>
      <c r="I3187" t="s">
        <v>28</v>
      </c>
      <c r="J3187" t="s">
        <v>29</v>
      </c>
      <c r="K3187" t="s">
        <v>48</v>
      </c>
      <c r="L3187" t="s">
        <v>49</v>
      </c>
      <c r="M3187" t="s">
        <v>140</v>
      </c>
      <c r="N3187">
        <v>2</v>
      </c>
      <c r="O3187">
        <v>0.17265635200000001</v>
      </c>
      <c r="P3187">
        <v>0.30389298799999998</v>
      </c>
      <c r="Q3187" t="str">
        <f t="shared" si="98"/>
        <v>&lt;01</v>
      </c>
      <c r="R3187" t="str">
        <f t="shared" si="99"/>
        <v>[lPTyjLi4w3d]|&lt;01|Male|Untreated_PLHIV_Attend.T_1|CY2024Q3</v>
      </c>
    </row>
    <row r="3188" spans="4:18" x14ac:dyDescent="0.2">
      <c r="D3188" t="s">
        <v>63</v>
      </c>
      <c r="E3188" t="s">
        <v>64</v>
      </c>
      <c r="F3188" t="s">
        <v>65</v>
      </c>
      <c r="G3188" t="s">
        <v>151</v>
      </c>
      <c r="H3188" t="s">
        <v>151</v>
      </c>
      <c r="I3188" t="s">
        <v>33</v>
      </c>
      <c r="J3188" t="s">
        <v>34</v>
      </c>
      <c r="K3188" t="s">
        <v>48</v>
      </c>
      <c r="L3188" t="s">
        <v>49</v>
      </c>
      <c r="M3188" t="s">
        <v>140</v>
      </c>
      <c r="N3188">
        <v>27</v>
      </c>
      <c r="O3188">
        <v>0.18433276100000001</v>
      </c>
      <c r="P3188">
        <v>0.30389298799999998</v>
      </c>
      <c r="Q3188" t="str">
        <f t="shared" si="98"/>
        <v>01-09</v>
      </c>
      <c r="R3188" t="str">
        <f t="shared" si="99"/>
        <v>[lPTyjLi4w3d]|01-09|Male|Untreated_PLHIV_Attend.T_1|CY2024Q3</v>
      </c>
    </row>
    <row r="3189" spans="4:18" x14ac:dyDescent="0.2">
      <c r="D3189" t="s">
        <v>63</v>
      </c>
      <c r="E3189" t="s">
        <v>64</v>
      </c>
      <c r="F3189" t="s">
        <v>65</v>
      </c>
      <c r="G3189" t="s">
        <v>151</v>
      </c>
      <c r="H3189" t="s">
        <v>151</v>
      </c>
      <c r="I3189" t="s">
        <v>36</v>
      </c>
      <c r="J3189" t="s">
        <v>37</v>
      </c>
      <c r="K3189" t="s">
        <v>48</v>
      </c>
      <c r="L3189" t="s">
        <v>49</v>
      </c>
      <c r="M3189" t="s">
        <v>140</v>
      </c>
      <c r="N3189">
        <v>30</v>
      </c>
      <c r="O3189">
        <v>0.19850258500000001</v>
      </c>
      <c r="P3189">
        <v>0.30389298799999998</v>
      </c>
      <c r="Q3189" t="str">
        <f t="shared" si="98"/>
        <v>10-14</v>
      </c>
      <c r="R3189" t="str">
        <f t="shared" si="99"/>
        <v>[lPTyjLi4w3d]|10-14|Male|Untreated_PLHIV_Attend.T_1|CY2024Q3</v>
      </c>
    </row>
    <row r="3190" spans="4:18" x14ac:dyDescent="0.2">
      <c r="D3190" t="s">
        <v>63</v>
      </c>
      <c r="E3190" t="s">
        <v>64</v>
      </c>
      <c r="F3190" t="s">
        <v>65</v>
      </c>
      <c r="G3190" t="s">
        <v>151</v>
      </c>
      <c r="H3190" t="s">
        <v>151</v>
      </c>
      <c r="I3190" t="s">
        <v>38</v>
      </c>
      <c r="J3190" t="s">
        <v>39</v>
      </c>
      <c r="K3190" t="s">
        <v>48</v>
      </c>
      <c r="L3190" t="s">
        <v>49</v>
      </c>
      <c r="M3190" t="s">
        <v>140</v>
      </c>
      <c r="N3190">
        <v>31</v>
      </c>
      <c r="O3190">
        <v>0.44081406299999998</v>
      </c>
      <c r="P3190">
        <v>0.30389298799999998</v>
      </c>
      <c r="Q3190" t="str">
        <f t="shared" si="98"/>
        <v>15-24</v>
      </c>
      <c r="R3190" t="str">
        <f t="shared" si="99"/>
        <v>[lPTyjLi4w3d]|15-24|Male|Untreated_PLHIV_Attend.T_1|CY2024Q3</v>
      </c>
    </row>
    <row r="3191" spans="4:18" x14ac:dyDescent="0.2">
      <c r="D3191" t="s">
        <v>63</v>
      </c>
      <c r="E3191" t="s">
        <v>64</v>
      </c>
      <c r="F3191" t="s">
        <v>65</v>
      </c>
      <c r="G3191" t="s">
        <v>151</v>
      </c>
      <c r="H3191" t="s">
        <v>151</v>
      </c>
      <c r="I3191" t="s">
        <v>41</v>
      </c>
      <c r="J3191" t="s">
        <v>42</v>
      </c>
      <c r="K3191" t="s">
        <v>48</v>
      </c>
      <c r="L3191" t="s">
        <v>49</v>
      </c>
      <c r="M3191" t="s">
        <v>140</v>
      </c>
      <c r="N3191">
        <v>53</v>
      </c>
      <c r="O3191">
        <v>0.47549585300000002</v>
      </c>
      <c r="P3191">
        <v>0.30389298799999998</v>
      </c>
      <c r="Q3191" t="str">
        <f t="shared" si="98"/>
        <v>25-34</v>
      </c>
      <c r="R3191" t="str">
        <f t="shared" si="99"/>
        <v>[lPTyjLi4w3d]|25-34|Male|Untreated_PLHIV_Attend.T_1|CY2024Q3</v>
      </c>
    </row>
    <row r="3192" spans="4:18" x14ac:dyDescent="0.2">
      <c r="D3192" t="s">
        <v>63</v>
      </c>
      <c r="E3192" t="s">
        <v>64</v>
      </c>
      <c r="F3192" t="s">
        <v>65</v>
      </c>
      <c r="G3192" t="s">
        <v>151</v>
      </c>
      <c r="H3192" t="s">
        <v>151</v>
      </c>
      <c r="I3192" t="s">
        <v>43</v>
      </c>
      <c r="J3192" t="s">
        <v>44</v>
      </c>
      <c r="K3192" t="s">
        <v>48</v>
      </c>
      <c r="L3192" t="s">
        <v>49</v>
      </c>
      <c r="M3192" t="s">
        <v>140</v>
      </c>
      <c r="N3192">
        <v>126</v>
      </c>
      <c r="O3192">
        <v>0.48811479699999999</v>
      </c>
      <c r="P3192">
        <v>0.30389298799999998</v>
      </c>
      <c r="Q3192" t="str">
        <f t="shared" si="98"/>
        <v>35-49</v>
      </c>
      <c r="R3192" t="str">
        <f t="shared" si="99"/>
        <v>[lPTyjLi4w3d]|35-49|Male|Untreated_PLHIV_Attend.T_1|CY2024Q3</v>
      </c>
    </row>
    <row r="3193" spans="4:18" x14ac:dyDescent="0.2">
      <c r="D3193" t="s">
        <v>63</v>
      </c>
      <c r="E3193" t="s">
        <v>64</v>
      </c>
      <c r="F3193" t="s">
        <v>65</v>
      </c>
      <c r="G3193" t="s">
        <v>151</v>
      </c>
      <c r="H3193" t="s">
        <v>151</v>
      </c>
      <c r="I3193" t="s">
        <v>45</v>
      </c>
      <c r="J3193" t="s">
        <v>46</v>
      </c>
      <c r="K3193" t="s">
        <v>48</v>
      </c>
      <c r="L3193" t="s">
        <v>49</v>
      </c>
      <c r="M3193" t="s">
        <v>140</v>
      </c>
      <c r="N3193">
        <v>67</v>
      </c>
      <c r="O3193">
        <v>0.46159414100000001</v>
      </c>
      <c r="P3193">
        <v>0.30389298799999998</v>
      </c>
      <c r="Q3193" t="str">
        <f t="shared" si="98"/>
        <v>50+</v>
      </c>
      <c r="R3193" t="str">
        <f t="shared" si="99"/>
        <v>[lPTyjLi4w3d]|50+|Male|Untreated_PLHIV_Attend.T_1|CY2024Q3</v>
      </c>
    </row>
    <row r="3194" spans="4:18" x14ac:dyDescent="0.2">
      <c r="D3194" t="s">
        <v>66</v>
      </c>
      <c r="E3194" t="s">
        <v>67</v>
      </c>
      <c r="F3194" t="s">
        <v>68</v>
      </c>
      <c r="G3194" t="s">
        <v>151</v>
      </c>
      <c r="H3194" t="s">
        <v>151</v>
      </c>
      <c r="I3194" t="s">
        <v>28</v>
      </c>
      <c r="J3194" t="s">
        <v>29</v>
      </c>
      <c r="K3194" t="s">
        <v>30</v>
      </c>
      <c r="L3194" t="s">
        <v>31</v>
      </c>
      <c r="M3194" t="s">
        <v>140</v>
      </c>
      <c r="N3194">
        <v>11</v>
      </c>
      <c r="O3194">
        <v>8.3237745000000002E-2</v>
      </c>
      <c r="P3194">
        <v>0.272822281</v>
      </c>
      <c r="Q3194" t="str">
        <f t="shared" si="98"/>
        <v>&lt;01</v>
      </c>
      <c r="R3194" t="str">
        <f t="shared" si="99"/>
        <v>[vA4NcHxfMBq]|&lt;01|Female|Untreated_PLHIV_Attend.T_1|CY2024Q3</v>
      </c>
    </row>
    <row r="3195" spans="4:18" x14ac:dyDescent="0.2">
      <c r="D3195" t="s">
        <v>66</v>
      </c>
      <c r="E3195" t="s">
        <v>67</v>
      </c>
      <c r="F3195" t="s">
        <v>68</v>
      </c>
      <c r="G3195" t="s">
        <v>151</v>
      </c>
      <c r="H3195" t="s">
        <v>151</v>
      </c>
      <c r="I3195" t="s">
        <v>33</v>
      </c>
      <c r="J3195" t="s">
        <v>34</v>
      </c>
      <c r="K3195" t="s">
        <v>30</v>
      </c>
      <c r="L3195" t="s">
        <v>31</v>
      </c>
      <c r="M3195" t="s">
        <v>140</v>
      </c>
      <c r="N3195">
        <v>170</v>
      </c>
      <c r="O3195">
        <v>9.2651318999999996E-2</v>
      </c>
      <c r="P3195">
        <v>0.272822281</v>
      </c>
      <c r="Q3195" t="str">
        <f t="shared" si="98"/>
        <v>01-09</v>
      </c>
      <c r="R3195" t="str">
        <f t="shared" si="99"/>
        <v>[vA4NcHxfMBq]|01-09|Female|Untreated_PLHIV_Attend.T_1|CY2024Q3</v>
      </c>
    </row>
    <row r="3196" spans="4:18" x14ac:dyDescent="0.2">
      <c r="D3196" t="s">
        <v>66</v>
      </c>
      <c r="E3196" t="s">
        <v>67</v>
      </c>
      <c r="F3196" t="s">
        <v>68</v>
      </c>
      <c r="G3196" t="s">
        <v>151</v>
      </c>
      <c r="H3196" t="s">
        <v>151</v>
      </c>
      <c r="I3196" t="s">
        <v>36</v>
      </c>
      <c r="J3196" t="s">
        <v>37</v>
      </c>
      <c r="K3196" t="s">
        <v>30</v>
      </c>
      <c r="L3196" t="s">
        <v>31</v>
      </c>
      <c r="M3196" t="s">
        <v>140</v>
      </c>
      <c r="N3196">
        <v>196</v>
      </c>
      <c r="O3196">
        <v>0.104415594</v>
      </c>
      <c r="P3196">
        <v>0.272822281</v>
      </c>
      <c r="Q3196" t="str">
        <f t="shared" si="98"/>
        <v>10-14</v>
      </c>
      <c r="R3196" t="str">
        <f t="shared" si="99"/>
        <v>[vA4NcHxfMBq]|10-14|Female|Untreated_PLHIV_Attend.T_1|CY2024Q3</v>
      </c>
    </row>
    <row r="3197" spans="4:18" x14ac:dyDescent="0.2">
      <c r="D3197" t="s">
        <v>66</v>
      </c>
      <c r="E3197" t="s">
        <v>67</v>
      </c>
      <c r="F3197" t="s">
        <v>68</v>
      </c>
      <c r="G3197" t="s">
        <v>151</v>
      </c>
      <c r="H3197" t="s">
        <v>151</v>
      </c>
      <c r="I3197" t="s">
        <v>38</v>
      </c>
      <c r="J3197" t="s">
        <v>39</v>
      </c>
      <c r="K3197" t="s">
        <v>30</v>
      </c>
      <c r="L3197" t="s">
        <v>31</v>
      </c>
      <c r="M3197" t="s">
        <v>140</v>
      </c>
      <c r="N3197">
        <v>162</v>
      </c>
      <c r="O3197">
        <v>0.41492765300000001</v>
      </c>
      <c r="P3197">
        <v>0.272822281</v>
      </c>
      <c r="Q3197" t="str">
        <f t="shared" si="98"/>
        <v>15-24</v>
      </c>
      <c r="R3197" t="str">
        <f t="shared" si="99"/>
        <v>[vA4NcHxfMBq]|15-24|Female|Untreated_PLHIV_Attend.T_1|CY2024Q3</v>
      </c>
    </row>
    <row r="3198" spans="4:18" x14ac:dyDescent="0.2">
      <c r="D3198" t="s">
        <v>66</v>
      </c>
      <c r="E3198" t="s">
        <v>67</v>
      </c>
      <c r="F3198" t="s">
        <v>68</v>
      </c>
      <c r="G3198" t="s">
        <v>151</v>
      </c>
      <c r="H3198" t="s">
        <v>151</v>
      </c>
      <c r="I3198" t="s">
        <v>41</v>
      </c>
      <c r="J3198" t="s">
        <v>42</v>
      </c>
      <c r="K3198" t="s">
        <v>30</v>
      </c>
      <c r="L3198" t="s">
        <v>31</v>
      </c>
      <c r="M3198" t="s">
        <v>140</v>
      </c>
      <c r="N3198">
        <v>235</v>
      </c>
      <c r="O3198">
        <v>0.412830892</v>
      </c>
      <c r="P3198">
        <v>0.272822281</v>
      </c>
      <c r="Q3198" t="str">
        <f t="shared" si="98"/>
        <v>25-34</v>
      </c>
      <c r="R3198" t="str">
        <f t="shared" si="99"/>
        <v>[vA4NcHxfMBq]|25-34|Female|Untreated_PLHIV_Attend.T_1|CY2024Q3</v>
      </c>
    </row>
    <row r="3199" spans="4:18" x14ac:dyDescent="0.2">
      <c r="D3199" t="s">
        <v>66</v>
      </c>
      <c r="E3199" t="s">
        <v>67</v>
      </c>
      <c r="F3199" t="s">
        <v>68</v>
      </c>
      <c r="G3199" t="s">
        <v>151</v>
      </c>
      <c r="H3199" t="s">
        <v>151</v>
      </c>
      <c r="I3199" t="s">
        <v>43</v>
      </c>
      <c r="J3199" t="s">
        <v>44</v>
      </c>
      <c r="K3199" t="s">
        <v>30</v>
      </c>
      <c r="L3199" t="s">
        <v>31</v>
      </c>
      <c r="M3199" t="s">
        <v>140</v>
      </c>
      <c r="N3199">
        <v>273</v>
      </c>
      <c r="O3199">
        <v>0.43320883100000002</v>
      </c>
      <c r="P3199">
        <v>0.272822281</v>
      </c>
      <c r="Q3199" t="str">
        <f t="shared" si="98"/>
        <v>35-49</v>
      </c>
      <c r="R3199" t="str">
        <f t="shared" si="99"/>
        <v>[vA4NcHxfMBq]|35-49|Female|Untreated_PLHIV_Attend.T_1|CY2024Q3</v>
      </c>
    </row>
    <row r="3200" spans="4:18" x14ac:dyDescent="0.2">
      <c r="D3200" t="s">
        <v>66</v>
      </c>
      <c r="E3200" t="s">
        <v>67</v>
      </c>
      <c r="F3200" t="s">
        <v>68</v>
      </c>
      <c r="G3200" t="s">
        <v>151</v>
      </c>
      <c r="H3200" t="s">
        <v>151</v>
      </c>
      <c r="I3200" t="s">
        <v>45</v>
      </c>
      <c r="J3200" t="s">
        <v>46</v>
      </c>
      <c r="K3200" t="s">
        <v>30</v>
      </c>
      <c r="L3200" t="s">
        <v>31</v>
      </c>
      <c r="M3200" t="s">
        <v>140</v>
      </c>
      <c r="N3200">
        <v>93</v>
      </c>
      <c r="O3200">
        <v>0.43432136900000001</v>
      </c>
      <c r="P3200">
        <v>0.272822281</v>
      </c>
      <c r="Q3200" t="str">
        <f t="shared" si="98"/>
        <v>50+</v>
      </c>
      <c r="R3200" t="str">
        <f t="shared" si="99"/>
        <v>[vA4NcHxfMBq]|50+|Female|Untreated_PLHIV_Attend.T_1|CY2024Q3</v>
      </c>
    </row>
    <row r="3201" spans="4:18" x14ac:dyDescent="0.2">
      <c r="D3201" t="s">
        <v>66</v>
      </c>
      <c r="E3201" t="s">
        <v>67</v>
      </c>
      <c r="F3201" t="s">
        <v>68</v>
      </c>
      <c r="G3201" t="s">
        <v>151</v>
      </c>
      <c r="H3201" t="s">
        <v>151</v>
      </c>
      <c r="I3201" t="s">
        <v>28</v>
      </c>
      <c r="J3201" t="s">
        <v>29</v>
      </c>
      <c r="K3201" t="s">
        <v>48</v>
      </c>
      <c r="L3201" t="s">
        <v>49</v>
      </c>
      <c r="M3201" t="s">
        <v>140</v>
      </c>
      <c r="N3201">
        <v>10</v>
      </c>
      <c r="O3201">
        <v>9.7081924E-2</v>
      </c>
      <c r="P3201">
        <v>0.272822281</v>
      </c>
      <c r="Q3201" t="str">
        <f t="shared" si="98"/>
        <v>&lt;01</v>
      </c>
      <c r="R3201" t="str">
        <f t="shared" si="99"/>
        <v>[vA4NcHxfMBq]|&lt;01|Male|Untreated_PLHIV_Attend.T_1|CY2024Q3</v>
      </c>
    </row>
    <row r="3202" spans="4:18" x14ac:dyDescent="0.2">
      <c r="D3202" t="s">
        <v>66</v>
      </c>
      <c r="E3202" t="s">
        <v>67</v>
      </c>
      <c r="F3202" t="s">
        <v>68</v>
      </c>
      <c r="G3202" t="s">
        <v>151</v>
      </c>
      <c r="H3202" t="s">
        <v>151</v>
      </c>
      <c r="I3202" t="s">
        <v>33</v>
      </c>
      <c r="J3202" t="s">
        <v>34</v>
      </c>
      <c r="K3202" t="s">
        <v>48</v>
      </c>
      <c r="L3202" t="s">
        <v>49</v>
      </c>
      <c r="M3202" t="s">
        <v>140</v>
      </c>
      <c r="N3202">
        <v>159</v>
      </c>
      <c r="O3202">
        <v>0.106520288</v>
      </c>
      <c r="P3202">
        <v>0.272822281</v>
      </c>
      <c r="Q3202" t="str">
        <f t="shared" si="98"/>
        <v>01-09</v>
      </c>
      <c r="R3202" t="str">
        <f t="shared" si="99"/>
        <v>[vA4NcHxfMBq]|01-09|Male|Untreated_PLHIV_Attend.T_1|CY2024Q3</v>
      </c>
    </row>
    <row r="3203" spans="4:18" x14ac:dyDescent="0.2">
      <c r="D3203" t="s">
        <v>66</v>
      </c>
      <c r="E3203" t="s">
        <v>67</v>
      </c>
      <c r="F3203" t="s">
        <v>68</v>
      </c>
      <c r="G3203" t="s">
        <v>151</v>
      </c>
      <c r="H3203" t="s">
        <v>151</v>
      </c>
      <c r="I3203" t="s">
        <v>36</v>
      </c>
      <c r="J3203" t="s">
        <v>37</v>
      </c>
      <c r="K3203" t="s">
        <v>48</v>
      </c>
      <c r="L3203" t="s">
        <v>49</v>
      </c>
      <c r="M3203" t="s">
        <v>140</v>
      </c>
      <c r="N3203">
        <v>176</v>
      </c>
      <c r="O3203">
        <v>0.118361718</v>
      </c>
      <c r="P3203">
        <v>0.272822281</v>
      </c>
      <c r="Q3203" t="str">
        <f t="shared" ref="Q3203:Q3266" si="100">SUBSTITUTE(SUBSTITUTE($I3203,CHAR(61),""),CHAR(34),"")</f>
        <v>10-14</v>
      </c>
      <c r="R3203" t="str">
        <f t="shared" ref="R3203:R3266" si="101">IF($D3203&lt;&gt;"","["&amp;$E3203&amp;"]"&amp;"|"&amp;$Q3203&amp;"|"&amp;$K3203&amp;"|"&amp;$G3203&amp;"|"&amp;IF($G3203="TX_CURR_SUBNAT.R","CY2023Q4",$M3203),"")</f>
        <v>[vA4NcHxfMBq]|10-14|Male|Untreated_PLHIV_Attend.T_1|CY2024Q3</v>
      </c>
    </row>
    <row r="3204" spans="4:18" x14ac:dyDescent="0.2">
      <c r="D3204" t="s">
        <v>66</v>
      </c>
      <c r="E3204" t="s">
        <v>67</v>
      </c>
      <c r="F3204" t="s">
        <v>68</v>
      </c>
      <c r="G3204" t="s">
        <v>151</v>
      </c>
      <c r="H3204" t="s">
        <v>151</v>
      </c>
      <c r="I3204" t="s">
        <v>38</v>
      </c>
      <c r="J3204" t="s">
        <v>39</v>
      </c>
      <c r="K3204" t="s">
        <v>48</v>
      </c>
      <c r="L3204" t="s">
        <v>49</v>
      </c>
      <c r="M3204" t="s">
        <v>140</v>
      </c>
      <c r="N3204">
        <v>162</v>
      </c>
      <c r="O3204">
        <v>0.401431331</v>
      </c>
      <c r="P3204">
        <v>0.272822281</v>
      </c>
      <c r="Q3204" t="str">
        <f t="shared" si="100"/>
        <v>15-24</v>
      </c>
      <c r="R3204" t="str">
        <f t="shared" si="101"/>
        <v>[vA4NcHxfMBq]|15-24|Male|Untreated_PLHIV_Attend.T_1|CY2024Q3</v>
      </c>
    </row>
    <row r="3205" spans="4:18" x14ac:dyDescent="0.2">
      <c r="D3205" t="s">
        <v>66</v>
      </c>
      <c r="E3205" t="s">
        <v>67</v>
      </c>
      <c r="F3205" t="s">
        <v>68</v>
      </c>
      <c r="G3205" t="s">
        <v>151</v>
      </c>
      <c r="H3205" t="s">
        <v>151</v>
      </c>
      <c r="I3205" t="s">
        <v>41</v>
      </c>
      <c r="J3205" t="s">
        <v>42</v>
      </c>
      <c r="K3205" t="s">
        <v>48</v>
      </c>
      <c r="L3205" t="s">
        <v>49</v>
      </c>
      <c r="M3205" t="s">
        <v>140</v>
      </c>
      <c r="N3205">
        <v>307</v>
      </c>
      <c r="O3205">
        <v>0.43340494200000002</v>
      </c>
      <c r="P3205">
        <v>0.272822281</v>
      </c>
      <c r="Q3205" t="str">
        <f t="shared" si="100"/>
        <v>25-34</v>
      </c>
      <c r="R3205" t="str">
        <f t="shared" si="101"/>
        <v>[vA4NcHxfMBq]|25-34|Male|Untreated_PLHIV_Attend.T_1|CY2024Q3</v>
      </c>
    </row>
    <row r="3206" spans="4:18" x14ac:dyDescent="0.2">
      <c r="D3206" t="s">
        <v>66</v>
      </c>
      <c r="E3206" t="s">
        <v>67</v>
      </c>
      <c r="F3206" t="s">
        <v>68</v>
      </c>
      <c r="G3206" t="s">
        <v>151</v>
      </c>
      <c r="H3206" t="s">
        <v>151</v>
      </c>
      <c r="I3206" t="s">
        <v>43</v>
      </c>
      <c r="J3206" t="s">
        <v>44</v>
      </c>
      <c r="K3206" t="s">
        <v>48</v>
      </c>
      <c r="L3206" t="s">
        <v>49</v>
      </c>
      <c r="M3206" t="s">
        <v>140</v>
      </c>
      <c r="N3206">
        <v>691</v>
      </c>
      <c r="O3206">
        <v>0.444971954</v>
      </c>
      <c r="P3206">
        <v>0.272822281</v>
      </c>
      <c r="Q3206" t="str">
        <f t="shared" si="100"/>
        <v>35-49</v>
      </c>
      <c r="R3206" t="str">
        <f t="shared" si="101"/>
        <v>[vA4NcHxfMBq]|35-49|Male|Untreated_PLHIV_Attend.T_1|CY2024Q3</v>
      </c>
    </row>
    <row r="3207" spans="4:18" x14ac:dyDescent="0.2">
      <c r="D3207" t="s">
        <v>66</v>
      </c>
      <c r="E3207" t="s">
        <v>67</v>
      </c>
      <c r="F3207" t="s">
        <v>68</v>
      </c>
      <c r="G3207" t="s">
        <v>151</v>
      </c>
      <c r="H3207" t="s">
        <v>151</v>
      </c>
      <c r="I3207" t="s">
        <v>45</v>
      </c>
      <c r="J3207" t="s">
        <v>46</v>
      </c>
      <c r="K3207" t="s">
        <v>48</v>
      </c>
      <c r="L3207" t="s">
        <v>49</v>
      </c>
      <c r="M3207" t="s">
        <v>140</v>
      </c>
      <c r="N3207">
        <v>341</v>
      </c>
      <c r="O3207">
        <v>0.43132285799999998</v>
      </c>
      <c r="P3207">
        <v>0.272822281</v>
      </c>
      <c r="Q3207" t="str">
        <f t="shared" si="100"/>
        <v>50+</v>
      </c>
      <c r="R3207" t="str">
        <f t="shared" si="101"/>
        <v>[vA4NcHxfMBq]|50+|Male|Untreated_PLHIV_Attend.T_1|CY2024Q3</v>
      </c>
    </row>
    <row r="3208" spans="4:18" x14ac:dyDescent="0.2">
      <c r="D3208" t="s">
        <v>69</v>
      </c>
      <c r="E3208" t="s">
        <v>70</v>
      </c>
      <c r="F3208" t="s">
        <v>71</v>
      </c>
      <c r="G3208" t="s">
        <v>151</v>
      </c>
      <c r="H3208" t="s">
        <v>151</v>
      </c>
      <c r="I3208" t="s">
        <v>28</v>
      </c>
      <c r="J3208" t="s">
        <v>29</v>
      </c>
      <c r="K3208" t="s">
        <v>30</v>
      </c>
      <c r="L3208" t="s">
        <v>31</v>
      </c>
      <c r="M3208" t="s">
        <v>140</v>
      </c>
      <c r="N3208">
        <v>0</v>
      </c>
      <c r="O3208">
        <v>0.27198562799999998</v>
      </c>
      <c r="P3208">
        <v>0.39124917199999998</v>
      </c>
      <c r="Q3208" t="str">
        <f t="shared" si="100"/>
        <v>&lt;01</v>
      </c>
      <c r="R3208" t="str">
        <f t="shared" si="101"/>
        <v>[ZCjuwgaMB9u]|&lt;01|Female|Untreated_PLHIV_Attend.T_1|CY2024Q3</v>
      </c>
    </row>
    <row r="3209" spans="4:18" x14ac:dyDescent="0.2">
      <c r="D3209" t="s">
        <v>69</v>
      </c>
      <c r="E3209" t="s">
        <v>70</v>
      </c>
      <c r="F3209" t="s">
        <v>71</v>
      </c>
      <c r="G3209" t="s">
        <v>151</v>
      </c>
      <c r="H3209" t="s">
        <v>151</v>
      </c>
      <c r="I3209" t="s">
        <v>33</v>
      </c>
      <c r="J3209" t="s">
        <v>34</v>
      </c>
      <c r="K3209" t="s">
        <v>30</v>
      </c>
      <c r="L3209" t="s">
        <v>31</v>
      </c>
      <c r="M3209" t="s">
        <v>140</v>
      </c>
      <c r="N3209">
        <v>1</v>
      </c>
      <c r="O3209">
        <v>0.28034566300000002</v>
      </c>
      <c r="P3209">
        <v>0.39124917199999998</v>
      </c>
      <c r="Q3209" t="str">
        <f t="shared" si="100"/>
        <v>01-09</v>
      </c>
      <c r="R3209" t="str">
        <f t="shared" si="101"/>
        <v>[ZCjuwgaMB9u]|01-09|Female|Untreated_PLHIV_Attend.T_1|CY2024Q3</v>
      </c>
    </row>
    <row r="3210" spans="4:18" x14ac:dyDescent="0.2">
      <c r="D3210" t="s">
        <v>69</v>
      </c>
      <c r="E3210" t="s">
        <v>70</v>
      </c>
      <c r="F3210" t="s">
        <v>71</v>
      </c>
      <c r="G3210" t="s">
        <v>151</v>
      </c>
      <c r="H3210" t="s">
        <v>151</v>
      </c>
      <c r="I3210" t="s">
        <v>36</v>
      </c>
      <c r="J3210" t="s">
        <v>37</v>
      </c>
      <c r="K3210" t="s">
        <v>30</v>
      </c>
      <c r="L3210" t="s">
        <v>31</v>
      </c>
      <c r="M3210" t="s">
        <v>140</v>
      </c>
      <c r="N3210">
        <v>1</v>
      </c>
      <c r="O3210">
        <v>0.290547481</v>
      </c>
      <c r="P3210">
        <v>0.39124917199999998</v>
      </c>
      <c r="Q3210" t="str">
        <f t="shared" si="100"/>
        <v>10-14</v>
      </c>
      <c r="R3210" t="str">
        <f t="shared" si="101"/>
        <v>[ZCjuwgaMB9u]|10-14|Female|Untreated_PLHIV_Attend.T_1|CY2024Q3</v>
      </c>
    </row>
    <row r="3211" spans="4:18" x14ac:dyDescent="0.2">
      <c r="D3211" t="s">
        <v>69</v>
      </c>
      <c r="E3211" t="s">
        <v>70</v>
      </c>
      <c r="F3211" t="s">
        <v>71</v>
      </c>
      <c r="G3211" t="s">
        <v>151</v>
      </c>
      <c r="H3211" t="s">
        <v>151</v>
      </c>
      <c r="I3211" t="s">
        <v>38</v>
      </c>
      <c r="J3211" t="s">
        <v>39</v>
      </c>
      <c r="K3211" t="s">
        <v>30</v>
      </c>
      <c r="L3211" t="s">
        <v>31</v>
      </c>
      <c r="M3211" t="s">
        <v>140</v>
      </c>
      <c r="N3211">
        <v>3</v>
      </c>
      <c r="O3211">
        <v>0.47582055699999998</v>
      </c>
      <c r="P3211">
        <v>0.39124917199999998</v>
      </c>
      <c r="Q3211" t="str">
        <f t="shared" si="100"/>
        <v>15-24</v>
      </c>
      <c r="R3211" t="str">
        <f t="shared" si="101"/>
        <v>[ZCjuwgaMB9u]|15-24|Female|Untreated_PLHIV_Attend.T_1|CY2024Q3</v>
      </c>
    </row>
    <row r="3212" spans="4:18" x14ac:dyDescent="0.2">
      <c r="D3212" t="s">
        <v>69</v>
      </c>
      <c r="E3212" t="s">
        <v>70</v>
      </c>
      <c r="F3212" t="s">
        <v>71</v>
      </c>
      <c r="G3212" t="s">
        <v>151</v>
      </c>
      <c r="H3212" t="s">
        <v>151</v>
      </c>
      <c r="I3212" t="s">
        <v>41</v>
      </c>
      <c r="J3212" t="s">
        <v>42</v>
      </c>
      <c r="K3212" t="s">
        <v>30</v>
      </c>
      <c r="L3212" t="s">
        <v>31</v>
      </c>
      <c r="M3212" t="s">
        <v>140</v>
      </c>
      <c r="N3212">
        <v>4</v>
      </c>
      <c r="O3212">
        <v>0.47635281400000001</v>
      </c>
      <c r="P3212">
        <v>0.39124917199999998</v>
      </c>
      <c r="Q3212" t="str">
        <f t="shared" si="100"/>
        <v>25-34</v>
      </c>
      <c r="R3212" t="str">
        <f t="shared" si="101"/>
        <v>[ZCjuwgaMB9u]|25-34|Female|Untreated_PLHIV_Attend.T_1|CY2024Q3</v>
      </c>
    </row>
    <row r="3213" spans="4:18" x14ac:dyDescent="0.2">
      <c r="D3213" t="s">
        <v>69</v>
      </c>
      <c r="E3213" t="s">
        <v>70</v>
      </c>
      <c r="F3213" t="s">
        <v>71</v>
      </c>
      <c r="G3213" t="s">
        <v>151</v>
      </c>
      <c r="H3213" t="s">
        <v>151</v>
      </c>
      <c r="I3213" t="s">
        <v>43</v>
      </c>
      <c r="J3213" t="s">
        <v>44</v>
      </c>
      <c r="K3213" t="s">
        <v>30</v>
      </c>
      <c r="L3213" t="s">
        <v>31</v>
      </c>
      <c r="M3213" t="s">
        <v>140</v>
      </c>
      <c r="N3213">
        <v>5</v>
      </c>
      <c r="O3213">
        <v>0.50629369700000004</v>
      </c>
      <c r="P3213">
        <v>0.39124917199999998</v>
      </c>
      <c r="Q3213" t="str">
        <f t="shared" si="100"/>
        <v>35-49</v>
      </c>
      <c r="R3213" t="str">
        <f t="shared" si="101"/>
        <v>[ZCjuwgaMB9u]|35-49|Female|Untreated_PLHIV_Attend.T_1|CY2024Q3</v>
      </c>
    </row>
    <row r="3214" spans="4:18" x14ac:dyDescent="0.2">
      <c r="D3214" t="s">
        <v>69</v>
      </c>
      <c r="E3214" t="s">
        <v>70</v>
      </c>
      <c r="F3214" t="s">
        <v>71</v>
      </c>
      <c r="G3214" t="s">
        <v>151</v>
      </c>
      <c r="H3214" t="s">
        <v>151</v>
      </c>
      <c r="I3214" t="s">
        <v>45</v>
      </c>
      <c r="J3214" t="s">
        <v>46</v>
      </c>
      <c r="K3214" t="s">
        <v>30</v>
      </c>
      <c r="L3214" t="s">
        <v>31</v>
      </c>
      <c r="M3214" t="s">
        <v>140</v>
      </c>
      <c r="N3214">
        <v>1</v>
      </c>
      <c r="O3214">
        <v>0.490471979</v>
      </c>
      <c r="P3214">
        <v>0.39124917199999998</v>
      </c>
      <c r="Q3214" t="str">
        <f t="shared" si="100"/>
        <v>50+</v>
      </c>
      <c r="R3214" t="str">
        <f t="shared" si="101"/>
        <v>[ZCjuwgaMB9u]|50+|Female|Untreated_PLHIV_Attend.T_1|CY2024Q3</v>
      </c>
    </row>
    <row r="3215" spans="4:18" x14ac:dyDescent="0.2">
      <c r="D3215" t="s">
        <v>69</v>
      </c>
      <c r="E3215" t="s">
        <v>70</v>
      </c>
      <c r="F3215" t="s">
        <v>71</v>
      </c>
      <c r="G3215" t="s">
        <v>151</v>
      </c>
      <c r="H3215" t="s">
        <v>151</v>
      </c>
      <c r="I3215" t="s">
        <v>28</v>
      </c>
      <c r="J3215" t="s">
        <v>29</v>
      </c>
      <c r="K3215" t="s">
        <v>48</v>
      </c>
      <c r="L3215" t="s">
        <v>49</v>
      </c>
      <c r="M3215" t="s">
        <v>140</v>
      </c>
      <c r="N3215">
        <v>0</v>
      </c>
      <c r="O3215">
        <v>0.30170459500000002</v>
      </c>
      <c r="P3215">
        <v>0.39124917199999998</v>
      </c>
      <c r="Q3215" t="str">
        <f t="shared" si="100"/>
        <v>&lt;01</v>
      </c>
      <c r="R3215" t="str">
        <f t="shared" si="101"/>
        <v>[ZCjuwgaMB9u]|&lt;01|Male|Untreated_PLHIV_Attend.T_1|CY2024Q3</v>
      </c>
    </row>
    <row r="3216" spans="4:18" x14ac:dyDescent="0.2">
      <c r="D3216" t="s">
        <v>69</v>
      </c>
      <c r="E3216" t="s">
        <v>70</v>
      </c>
      <c r="F3216" t="s">
        <v>71</v>
      </c>
      <c r="G3216" t="s">
        <v>151</v>
      </c>
      <c r="H3216" t="s">
        <v>151</v>
      </c>
      <c r="I3216" t="s">
        <v>33</v>
      </c>
      <c r="J3216" t="s">
        <v>34</v>
      </c>
      <c r="K3216" t="s">
        <v>48</v>
      </c>
      <c r="L3216" t="s">
        <v>49</v>
      </c>
      <c r="M3216" t="s">
        <v>140</v>
      </c>
      <c r="N3216">
        <v>2</v>
      </c>
      <c r="O3216">
        <v>0.30860141400000002</v>
      </c>
      <c r="P3216">
        <v>0.39124917199999998</v>
      </c>
      <c r="Q3216" t="str">
        <f t="shared" si="100"/>
        <v>01-09</v>
      </c>
      <c r="R3216" t="str">
        <f t="shared" si="101"/>
        <v>[ZCjuwgaMB9u]|01-09|Male|Untreated_PLHIV_Attend.T_1|CY2024Q3</v>
      </c>
    </row>
    <row r="3217" spans="4:18" x14ac:dyDescent="0.2">
      <c r="D3217" t="s">
        <v>69</v>
      </c>
      <c r="E3217" t="s">
        <v>70</v>
      </c>
      <c r="F3217" t="s">
        <v>71</v>
      </c>
      <c r="G3217" t="s">
        <v>151</v>
      </c>
      <c r="H3217" t="s">
        <v>151</v>
      </c>
      <c r="I3217" t="s">
        <v>36</v>
      </c>
      <c r="J3217" t="s">
        <v>37</v>
      </c>
      <c r="K3217" t="s">
        <v>48</v>
      </c>
      <c r="L3217" t="s">
        <v>49</v>
      </c>
      <c r="M3217" t="s">
        <v>140</v>
      </c>
      <c r="N3217">
        <v>2</v>
      </c>
      <c r="O3217">
        <v>0.31709932400000002</v>
      </c>
      <c r="P3217">
        <v>0.39124917199999998</v>
      </c>
      <c r="Q3217" t="str">
        <f t="shared" si="100"/>
        <v>10-14</v>
      </c>
      <c r="R3217" t="str">
        <f t="shared" si="101"/>
        <v>[ZCjuwgaMB9u]|10-14|Male|Untreated_PLHIV_Attend.T_1|CY2024Q3</v>
      </c>
    </row>
    <row r="3218" spans="4:18" x14ac:dyDescent="0.2">
      <c r="D3218" t="s">
        <v>69</v>
      </c>
      <c r="E3218" t="s">
        <v>70</v>
      </c>
      <c r="F3218" t="s">
        <v>71</v>
      </c>
      <c r="G3218" t="s">
        <v>151</v>
      </c>
      <c r="H3218" t="s">
        <v>151</v>
      </c>
      <c r="I3218" t="s">
        <v>38</v>
      </c>
      <c r="J3218" t="s">
        <v>39</v>
      </c>
      <c r="K3218" t="s">
        <v>48</v>
      </c>
      <c r="L3218" t="s">
        <v>49</v>
      </c>
      <c r="M3218" t="s">
        <v>140</v>
      </c>
      <c r="N3218">
        <v>3</v>
      </c>
      <c r="O3218">
        <v>0.47367708200000003</v>
      </c>
      <c r="P3218">
        <v>0.39124917199999998</v>
      </c>
      <c r="Q3218" t="str">
        <f t="shared" si="100"/>
        <v>15-24</v>
      </c>
      <c r="R3218" t="str">
        <f t="shared" si="101"/>
        <v>[ZCjuwgaMB9u]|15-24|Male|Untreated_PLHIV_Attend.T_1|CY2024Q3</v>
      </c>
    </row>
    <row r="3219" spans="4:18" x14ac:dyDescent="0.2">
      <c r="D3219" t="s">
        <v>69</v>
      </c>
      <c r="E3219" t="s">
        <v>70</v>
      </c>
      <c r="F3219" t="s">
        <v>71</v>
      </c>
      <c r="G3219" t="s">
        <v>151</v>
      </c>
      <c r="H3219" t="s">
        <v>151</v>
      </c>
      <c r="I3219" t="s">
        <v>41</v>
      </c>
      <c r="J3219" t="s">
        <v>42</v>
      </c>
      <c r="K3219" t="s">
        <v>48</v>
      </c>
      <c r="L3219" t="s">
        <v>49</v>
      </c>
      <c r="M3219" t="s">
        <v>140</v>
      </c>
      <c r="N3219">
        <v>6</v>
      </c>
      <c r="O3219">
        <v>0.49596877499999997</v>
      </c>
      <c r="P3219">
        <v>0.39124917199999998</v>
      </c>
      <c r="Q3219" t="str">
        <f t="shared" si="100"/>
        <v>25-34</v>
      </c>
      <c r="R3219" t="str">
        <f t="shared" si="101"/>
        <v>[ZCjuwgaMB9u]|25-34|Male|Untreated_PLHIV_Attend.T_1|CY2024Q3</v>
      </c>
    </row>
    <row r="3220" spans="4:18" x14ac:dyDescent="0.2">
      <c r="D3220" t="s">
        <v>69</v>
      </c>
      <c r="E3220" t="s">
        <v>70</v>
      </c>
      <c r="F3220" t="s">
        <v>71</v>
      </c>
      <c r="G3220" t="s">
        <v>151</v>
      </c>
      <c r="H3220" t="s">
        <v>151</v>
      </c>
      <c r="I3220" t="s">
        <v>43</v>
      </c>
      <c r="J3220" t="s">
        <v>44</v>
      </c>
      <c r="K3220" t="s">
        <v>48</v>
      </c>
      <c r="L3220" t="s">
        <v>49</v>
      </c>
      <c r="M3220" t="s">
        <v>140</v>
      </c>
      <c r="N3220">
        <v>13</v>
      </c>
      <c r="O3220">
        <v>0.52168975299999998</v>
      </c>
      <c r="P3220">
        <v>0.39124917199999998</v>
      </c>
      <c r="Q3220" t="str">
        <f t="shared" si="100"/>
        <v>35-49</v>
      </c>
      <c r="R3220" t="str">
        <f t="shared" si="101"/>
        <v>[ZCjuwgaMB9u]|35-49|Male|Untreated_PLHIV_Attend.T_1|CY2024Q3</v>
      </c>
    </row>
    <row r="3221" spans="4:18" x14ac:dyDescent="0.2">
      <c r="D3221" t="s">
        <v>69</v>
      </c>
      <c r="E3221" t="s">
        <v>70</v>
      </c>
      <c r="F3221" t="s">
        <v>71</v>
      </c>
      <c r="G3221" t="s">
        <v>151</v>
      </c>
      <c r="H3221" t="s">
        <v>151</v>
      </c>
      <c r="I3221" t="s">
        <v>45</v>
      </c>
      <c r="J3221" t="s">
        <v>46</v>
      </c>
      <c r="K3221" t="s">
        <v>48</v>
      </c>
      <c r="L3221" t="s">
        <v>49</v>
      </c>
      <c r="M3221" t="s">
        <v>140</v>
      </c>
      <c r="N3221">
        <v>6</v>
      </c>
      <c r="O3221">
        <v>0.49750861200000002</v>
      </c>
      <c r="P3221">
        <v>0.39124917199999998</v>
      </c>
      <c r="Q3221" t="str">
        <f t="shared" si="100"/>
        <v>50+</v>
      </c>
      <c r="R3221" t="str">
        <f t="shared" si="101"/>
        <v>[ZCjuwgaMB9u]|50+|Male|Untreated_PLHIV_Attend.T_1|CY2024Q3</v>
      </c>
    </row>
    <row r="3222" spans="4:18" x14ac:dyDescent="0.2">
      <c r="D3222" t="s">
        <v>72</v>
      </c>
      <c r="E3222" t="s">
        <v>73</v>
      </c>
      <c r="F3222" t="s">
        <v>74</v>
      </c>
      <c r="G3222" t="s">
        <v>151</v>
      </c>
      <c r="H3222" t="s">
        <v>151</v>
      </c>
      <c r="I3222" t="s">
        <v>28</v>
      </c>
      <c r="J3222" t="s">
        <v>29</v>
      </c>
      <c r="K3222" t="s">
        <v>30</v>
      </c>
      <c r="L3222" t="s">
        <v>31</v>
      </c>
      <c r="M3222" t="s">
        <v>140</v>
      </c>
      <c r="N3222">
        <v>3</v>
      </c>
      <c r="O3222">
        <v>0.12625061900000001</v>
      </c>
      <c r="P3222">
        <v>0.29201397000000001</v>
      </c>
      <c r="Q3222" t="str">
        <f t="shared" si="100"/>
        <v>&lt;01</v>
      </c>
      <c r="R3222" t="str">
        <f t="shared" si="101"/>
        <v>[JQKLKuVuY61]|&lt;01|Female|Untreated_PLHIV_Attend.T_1|CY2024Q3</v>
      </c>
    </row>
    <row r="3223" spans="4:18" x14ac:dyDescent="0.2">
      <c r="D3223" t="s">
        <v>72</v>
      </c>
      <c r="E3223" t="s">
        <v>73</v>
      </c>
      <c r="F3223" t="s">
        <v>74</v>
      </c>
      <c r="G3223" t="s">
        <v>151</v>
      </c>
      <c r="H3223" t="s">
        <v>151</v>
      </c>
      <c r="I3223" t="s">
        <v>33</v>
      </c>
      <c r="J3223" t="s">
        <v>34</v>
      </c>
      <c r="K3223" t="s">
        <v>30</v>
      </c>
      <c r="L3223" t="s">
        <v>31</v>
      </c>
      <c r="M3223" t="s">
        <v>140</v>
      </c>
      <c r="N3223">
        <v>57</v>
      </c>
      <c r="O3223">
        <v>0.13649925900000001</v>
      </c>
      <c r="P3223">
        <v>0.29201397000000001</v>
      </c>
      <c r="Q3223" t="str">
        <f t="shared" si="100"/>
        <v>01-09</v>
      </c>
      <c r="R3223" t="str">
        <f t="shared" si="101"/>
        <v>[JQKLKuVuY61]|01-09|Female|Untreated_PLHIV_Attend.T_1|CY2024Q3</v>
      </c>
    </row>
    <row r="3224" spans="4:18" x14ac:dyDescent="0.2">
      <c r="D3224" t="s">
        <v>72</v>
      </c>
      <c r="E3224" t="s">
        <v>73</v>
      </c>
      <c r="F3224" t="s">
        <v>74</v>
      </c>
      <c r="G3224" t="s">
        <v>151</v>
      </c>
      <c r="H3224" t="s">
        <v>151</v>
      </c>
      <c r="I3224" t="s">
        <v>36</v>
      </c>
      <c r="J3224" t="s">
        <v>37</v>
      </c>
      <c r="K3224" t="s">
        <v>30</v>
      </c>
      <c r="L3224" t="s">
        <v>31</v>
      </c>
      <c r="M3224" t="s">
        <v>140</v>
      </c>
      <c r="N3224">
        <v>65</v>
      </c>
      <c r="O3224">
        <v>0.14913357599999999</v>
      </c>
      <c r="P3224">
        <v>0.29201397000000001</v>
      </c>
      <c r="Q3224" t="str">
        <f t="shared" si="100"/>
        <v>10-14</v>
      </c>
      <c r="R3224" t="str">
        <f t="shared" si="101"/>
        <v>[JQKLKuVuY61]|10-14|Female|Untreated_PLHIV_Attend.T_1|CY2024Q3</v>
      </c>
    </row>
    <row r="3225" spans="4:18" x14ac:dyDescent="0.2">
      <c r="D3225" t="s">
        <v>72</v>
      </c>
      <c r="E3225" t="s">
        <v>73</v>
      </c>
      <c r="F3225" t="s">
        <v>74</v>
      </c>
      <c r="G3225" t="s">
        <v>151</v>
      </c>
      <c r="H3225" t="s">
        <v>151</v>
      </c>
      <c r="I3225" t="s">
        <v>38</v>
      </c>
      <c r="J3225" t="s">
        <v>39</v>
      </c>
      <c r="K3225" t="s">
        <v>30</v>
      </c>
      <c r="L3225" t="s">
        <v>31</v>
      </c>
      <c r="M3225" t="s">
        <v>140</v>
      </c>
      <c r="N3225">
        <v>59</v>
      </c>
      <c r="O3225">
        <v>0.43925643599999997</v>
      </c>
      <c r="P3225">
        <v>0.29201397000000001</v>
      </c>
      <c r="Q3225" t="str">
        <f t="shared" si="100"/>
        <v>15-24</v>
      </c>
      <c r="R3225" t="str">
        <f t="shared" si="101"/>
        <v>[JQKLKuVuY61]|15-24|Female|Untreated_PLHIV_Attend.T_1|CY2024Q3</v>
      </c>
    </row>
    <row r="3226" spans="4:18" x14ac:dyDescent="0.2">
      <c r="D3226" t="s">
        <v>72</v>
      </c>
      <c r="E3226" t="s">
        <v>73</v>
      </c>
      <c r="F3226" t="s">
        <v>74</v>
      </c>
      <c r="G3226" t="s">
        <v>151</v>
      </c>
      <c r="H3226" t="s">
        <v>151</v>
      </c>
      <c r="I3226" t="s">
        <v>41</v>
      </c>
      <c r="J3226" t="s">
        <v>42</v>
      </c>
      <c r="K3226" t="s">
        <v>30</v>
      </c>
      <c r="L3226" t="s">
        <v>31</v>
      </c>
      <c r="M3226" t="s">
        <v>140</v>
      </c>
      <c r="N3226">
        <v>78</v>
      </c>
      <c r="O3226">
        <v>0.43136487200000001</v>
      </c>
      <c r="P3226">
        <v>0.29201397000000001</v>
      </c>
      <c r="Q3226" t="str">
        <f t="shared" si="100"/>
        <v>25-34</v>
      </c>
      <c r="R3226" t="str">
        <f t="shared" si="101"/>
        <v>[JQKLKuVuY61]|25-34|Female|Untreated_PLHIV_Attend.T_1|CY2024Q3</v>
      </c>
    </row>
    <row r="3227" spans="4:18" x14ac:dyDescent="0.2">
      <c r="D3227" t="s">
        <v>72</v>
      </c>
      <c r="E3227" t="s">
        <v>73</v>
      </c>
      <c r="F3227" t="s">
        <v>74</v>
      </c>
      <c r="G3227" t="s">
        <v>151</v>
      </c>
      <c r="H3227" t="s">
        <v>151</v>
      </c>
      <c r="I3227" t="s">
        <v>43</v>
      </c>
      <c r="J3227" t="s">
        <v>44</v>
      </c>
      <c r="K3227" t="s">
        <v>30</v>
      </c>
      <c r="L3227" t="s">
        <v>31</v>
      </c>
      <c r="M3227" t="s">
        <v>140</v>
      </c>
      <c r="N3227">
        <v>104</v>
      </c>
      <c r="O3227">
        <v>0.44762807799999998</v>
      </c>
      <c r="P3227">
        <v>0.29201397000000001</v>
      </c>
      <c r="Q3227" t="str">
        <f t="shared" si="100"/>
        <v>35-49</v>
      </c>
      <c r="R3227" t="str">
        <f t="shared" si="101"/>
        <v>[JQKLKuVuY61]|35-49|Female|Untreated_PLHIV_Attend.T_1|CY2024Q3</v>
      </c>
    </row>
    <row r="3228" spans="4:18" x14ac:dyDescent="0.2">
      <c r="D3228" t="s">
        <v>72</v>
      </c>
      <c r="E3228" t="s">
        <v>73</v>
      </c>
      <c r="F3228" t="s">
        <v>74</v>
      </c>
      <c r="G3228" t="s">
        <v>151</v>
      </c>
      <c r="H3228" t="s">
        <v>151</v>
      </c>
      <c r="I3228" t="s">
        <v>45</v>
      </c>
      <c r="J3228" t="s">
        <v>46</v>
      </c>
      <c r="K3228" t="s">
        <v>30</v>
      </c>
      <c r="L3228" t="s">
        <v>31</v>
      </c>
      <c r="M3228" t="s">
        <v>140</v>
      </c>
      <c r="N3228">
        <v>34</v>
      </c>
      <c r="O3228">
        <v>0.44902254600000002</v>
      </c>
      <c r="P3228">
        <v>0.29201397000000001</v>
      </c>
      <c r="Q3228" t="str">
        <f t="shared" si="100"/>
        <v>50+</v>
      </c>
      <c r="R3228" t="str">
        <f t="shared" si="101"/>
        <v>[JQKLKuVuY61]|50+|Female|Untreated_PLHIV_Attend.T_1|CY2024Q3</v>
      </c>
    </row>
    <row r="3229" spans="4:18" x14ac:dyDescent="0.2">
      <c r="D3229" t="s">
        <v>72</v>
      </c>
      <c r="E3229" t="s">
        <v>73</v>
      </c>
      <c r="F3229" t="s">
        <v>74</v>
      </c>
      <c r="G3229" t="s">
        <v>151</v>
      </c>
      <c r="H3229" t="s">
        <v>151</v>
      </c>
      <c r="I3229" t="s">
        <v>28</v>
      </c>
      <c r="J3229" t="s">
        <v>29</v>
      </c>
      <c r="K3229" t="s">
        <v>48</v>
      </c>
      <c r="L3229" t="s">
        <v>49</v>
      </c>
      <c r="M3229" t="s">
        <v>140</v>
      </c>
      <c r="N3229">
        <v>3</v>
      </c>
      <c r="O3229">
        <v>0.143604276</v>
      </c>
      <c r="P3229">
        <v>0.29201397000000001</v>
      </c>
      <c r="Q3229" t="str">
        <f t="shared" si="100"/>
        <v>&lt;01</v>
      </c>
      <c r="R3229" t="str">
        <f t="shared" si="101"/>
        <v>[JQKLKuVuY61]|&lt;01|Male|Untreated_PLHIV_Attend.T_1|CY2024Q3</v>
      </c>
    </row>
    <row r="3230" spans="4:18" x14ac:dyDescent="0.2">
      <c r="D3230" t="s">
        <v>72</v>
      </c>
      <c r="E3230" t="s">
        <v>73</v>
      </c>
      <c r="F3230" t="s">
        <v>74</v>
      </c>
      <c r="G3230" t="s">
        <v>151</v>
      </c>
      <c r="H3230" t="s">
        <v>151</v>
      </c>
      <c r="I3230" t="s">
        <v>33</v>
      </c>
      <c r="J3230" t="s">
        <v>34</v>
      </c>
      <c r="K3230" t="s">
        <v>48</v>
      </c>
      <c r="L3230" t="s">
        <v>49</v>
      </c>
      <c r="M3230" t="s">
        <v>140</v>
      </c>
      <c r="N3230">
        <v>57</v>
      </c>
      <c r="O3230">
        <v>0.15316983300000001</v>
      </c>
      <c r="P3230">
        <v>0.29201397000000001</v>
      </c>
      <c r="Q3230" t="str">
        <f t="shared" si="100"/>
        <v>01-09</v>
      </c>
      <c r="R3230" t="str">
        <f t="shared" si="101"/>
        <v>[JQKLKuVuY61]|01-09|Male|Untreated_PLHIV_Attend.T_1|CY2024Q3</v>
      </c>
    </row>
    <row r="3231" spans="4:18" x14ac:dyDescent="0.2">
      <c r="D3231" t="s">
        <v>72</v>
      </c>
      <c r="E3231" t="s">
        <v>73</v>
      </c>
      <c r="F3231" t="s">
        <v>74</v>
      </c>
      <c r="G3231" t="s">
        <v>151</v>
      </c>
      <c r="H3231" t="s">
        <v>151</v>
      </c>
      <c r="I3231" t="s">
        <v>36</v>
      </c>
      <c r="J3231" t="s">
        <v>37</v>
      </c>
      <c r="K3231" t="s">
        <v>48</v>
      </c>
      <c r="L3231" t="s">
        <v>49</v>
      </c>
      <c r="M3231" t="s">
        <v>140</v>
      </c>
      <c r="N3231">
        <v>65</v>
      </c>
      <c r="O3231">
        <v>0.165061136</v>
      </c>
      <c r="P3231">
        <v>0.29201397000000001</v>
      </c>
      <c r="Q3231" t="str">
        <f t="shared" si="100"/>
        <v>10-14</v>
      </c>
      <c r="R3231" t="str">
        <f t="shared" si="101"/>
        <v>[JQKLKuVuY61]|10-14|Male|Untreated_PLHIV_Attend.T_1|CY2024Q3</v>
      </c>
    </row>
    <row r="3232" spans="4:18" x14ac:dyDescent="0.2">
      <c r="D3232" t="s">
        <v>72</v>
      </c>
      <c r="E3232" t="s">
        <v>73</v>
      </c>
      <c r="F3232" t="s">
        <v>74</v>
      </c>
      <c r="G3232" t="s">
        <v>151</v>
      </c>
      <c r="H3232" t="s">
        <v>151</v>
      </c>
      <c r="I3232" t="s">
        <v>38</v>
      </c>
      <c r="J3232" t="s">
        <v>39</v>
      </c>
      <c r="K3232" t="s">
        <v>48</v>
      </c>
      <c r="L3232" t="s">
        <v>49</v>
      </c>
      <c r="M3232" t="s">
        <v>140</v>
      </c>
      <c r="N3232">
        <v>64</v>
      </c>
      <c r="O3232">
        <v>0.42048560600000001</v>
      </c>
      <c r="P3232">
        <v>0.29201397000000001</v>
      </c>
      <c r="Q3232" t="str">
        <f t="shared" si="100"/>
        <v>15-24</v>
      </c>
      <c r="R3232" t="str">
        <f t="shared" si="101"/>
        <v>[JQKLKuVuY61]|15-24|Male|Untreated_PLHIV_Attend.T_1|CY2024Q3</v>
      </c>
    </row>
    <row r="3233" spans="4:18" x14ac:dyDescent="0.2">
      <c r="D3233" t="s">
        <v>72</v>
      </c>
      <c r="E3233" t="s">
        <v>73</v>
      </c>
      <c r="F3233" t="s">
        <v>74</v>
      </c>
      <c r="G3233" t="s">
        <v>151</v>
      </c>
      <c r="H3233" t="s">
        <v>151</v>
      </c>
      <c r="I3233" t="s">
        <v>41</v>
      </c>
      <c r="J3233" t="s">
        <v>42</v>
      </c>
      <c r="K3233" t="s">
        <v>48</v>
      </c>
      <c r="L3233" t="s">
        <v>49</v>
      </c>
      <c r="M3233" t="s">
        <v>140</v>
      </c>
      <c r="N3233">
        <v>106</v>
      </c>
      <c r="O3233">
        <v>0.45062114800000003</v>
      </c>
      <c r="P3233">
        <v>0.29201397000000001</v>
      </c>
      <c r="Q3233" t="str">
        <f t="shared" si="100"/>
        <v>25-34</v>
      </c>
      <c r="R3233" t="str">
        <f t="shared" si="101"/>
        <v>[JQKLKuVuY61]|25-34|Male|Untreated_PLHIV_Attend.T_1|CY2024Q3</v>
      </c>
    </row>
    <row r="3234" spans="4:18" x14ac:dyDescent="0.2">
      <c r="D3234" t="s">
        <v>72</v>
      </c>
      <c r="E3234" t="s">
        <v>73</v>
      </c>
      <c r="F3234" t="s">
        <v>74</v>
      </c>
      <c r="G3234" t="s">
        <v>151</v>
      </c>
      <c r="H3234" t="s">
        <v>151</v>
      </c>
      <c r="I3234" t="s">
        <v>43</v>
      </c>
      <c r="J3234" t="s">
        <v>44</v>
      </c>
      <c r="K3234" t="s">
        <v>48</v>
      </c>
      <c r="L3234" t="s">
        <v>49</v>
      </c>
      <c r="M3234" t="s">
        <v>140</v>
      </c>
      <c r="N3234">
        <v>258</v>
      </c>
      <c r="O3234">
        <v>0.461625962</v>
      </c>
      <c r="P3234">
        <v>0.29201397000000001</v>
      </c>
      <c r="Q3234" t="str">
        <f t="shared" si="100"/>
        <v>35-49</v>
      </c>
      <c r="R3234" t="str">
        <f t="shared" si="101"/>
        <v>[JQKLKuVuY61]|35-49|Male|Untreated_PLHIV_Attend.T_1|CY2024Q3</v>
      </c>
    </row>
    <row r="3235" spans="4:18" x14ac:dyDescent="0.2">
      <c r="D3235" t="s">
        <v>72</v>
      </c>
      <c r="E3235" t="s">
        <v>73</v>
      </c>
      <c r="F3235" t="s">
        <v>74</v>
      </c>
      <c r="G3235" t="s">
        <v>151</v>
      </c>
      <c r="H3235" t="s">
        <v>151</v>
      </c>
      <c r="I3235" t="s">
        <v>45</v>
      </c>
      <c r="J3235" t="s">
        <v>46</v>
      </c>
      <c r="K3235" t="s">
        <v>48</v>
      </c>
      <c r="L3235" t="s">
        <v>49</v>
      </c>
      <c r="M3235" t="s">
        <v>140</v>
      </c>
      <c r="N3235">
        <v>139</v>
      </c>
      <c r="O3235">
        <v>0.44971612799999999</v>
      </c>
      <c r="P3235">
        <v>0.29201397000000001</v>
      </c>
      <c r="Q3235" t="str">
        <f t="shared" si="100"/>
        <v>50+</v>
      </c>
      <c r="R3235" t="str">
        <f t="shared" si="101"/>
        <v>[JQKLKuVuY61]|50+|Male|Untreated_PLHIV_Attend.T_1|CY2024Q3</v>
      </c>
    </row>
    <row r="3236" spans="4:18" x14ac:dyDescent="0.2">
      <c r="D3236" t="s">
        <v>75</v>
      </c>
      <c r="E3236" t="s">
        <v>76</v>
      </c>
      <c r="F3236" t="s">
        <v>77</v>
      </c>
      <c r="G3236" t="s">
        <v>151</v>
      </c>
      <c r="H3236" t="s">
        <v>151</v>
      </c>
      <c r="I3236" t="s">
        <v>28</v>
      </c>
      <c r="J3236" t="s">
        <v>29</v>
      </c>
      <c r="K3236" t="s">
        <v>30</v>
      </c>
      <c r="L3236" t="s">
        <v>31</v>
      </c>
      <c r="M3236" t="s">
        <v>140</v>
      </c>
      <c r="N3236">
        <v>3</v>
      </c>
      <c r="O3236">
        <v>0.11737879</v>
      </c>
      <c r="P3236">
        <v>0.28519197099999999</v>
      </c>
      <c r="Q3236" t="str">
        <f t="shared" si="100"/>
        <v>&lt;01</v>
      </c>
      <c r="R3236" t="str">
        <f t="shared" si="101"/>
        <v>[YCKiBAp8QAg]|&lt;01|Female|Untreated_PLHIV_Attend.T_1|CY2024Q3</v>
      </c>
    </row>
    <row r="3237" spans="4:18" x14ac:dyDescent="0.2">
      <c r="D3237" t="s">
        <v>75</v>
      </c>
      <c r="E3237" t="s">
        <v>76</v>
      </c>
      <c r="F3237" t="s">
        <v>77</v>
      </c>
      <c r="G3237" t="s">
        <v>151</v>
      </c>
      <c r="H3237" t="s">
        <v>151</v>
      </c>
      <c r="I3237" t="s">
        <v>33</v>
      </c>
      <c r="J3237" t="s">
        <v>34</v>
      </c>
      <c r="K3237" t="s">
        <v>30</v>
      </c>
      <c r="L3237" t="s">
        <v>31</v>
      </c>
      <c r="M3237" t="s">
        <v>140</v>
      </c>
      <c r="N3237">
        <v>53</v>
      </c>
      <c r="O3237">
        <v>0.12849378</v>
      </c>
      <c r="P3237">
        <v>0.28519197099999999</v>
      </c>
      <c r="Q3237" t="str">
        <f t="shared" si="100"/>
        <v>01-09</v>
      </c>
      <c r="R3237" t="str">
        <f t="shared" si="101"/>
        <v>[YCKiBAp8QAg]|01-09|Female|Untreated_PLHIV_Attend.T_1|CY2024Q3</v>
      </c>
    </row>
    <row r="3238" spans="4:18" x14ac:dyDescent="0.2">
      <c r="D3238" t="s">
        <v>75</v>
      </c>
      <c r="E3238" t="s">
        <v>76</v>
      </c>
      <c r="F3238" t="s">
        <v>77</v>
      </c>
      <c r="G3238" t="s">
        <v>151</v>
      </c>
      <c r="H3238" t="s">
        <v>151</v>
      </c>
      <c r="I3238" t="s">
        <v>36</v>
      </c>
      <c r="J3238" t="s">
        <v>37</v>
      </c>
      <c r="K3238" t="s">
        <v>30</v>
      </c>
      <c r="L3238" t="s">
        <v>31</v>
      </c>
      <c r="M3238" t="s">
        <v>140</v>
      </c>
      <c r="N3238">
        <v>61</v>
      </c>
      <c r="O3238">
        <v>0.14153352199999999</v>
      </c>
      <c r="P3238">
        <v>0.28519197099999999</v>
      </c>
      <c r="Q3238" t="str">
        <f t="shared" si="100"/>
        <v>10-14</v>
      </c>
      <c r="R3238" t="str">
        <f t="shared" si="101"/>
        <v>[YCKiBAp8QAg]|10-14|Female|Untreated_PLHIV_Attend.T_1|CY2024Q3</v>
      </c>
    </row>
    <row r="3239" spans="4:18" x14ac:dyDescent="0.2">
      <c r="D3239" t="s">
        <v>75</v>
      </c>
      <c r="E3239" t="s">
        <v>76</v>
      </c>
      <c r="F3239" t="s">
        <v>77</v>
      </c>
      <c r="G3239" t="s">
        <v>151</v>
      </c>
      <c r="H3239" t="s">
        <v>151</v>
      </c>
      <c r="I3239" t="s">
        <v>38</v>
      </c>
      <c r="J3239" t="s">
        <v>39</v>
      </c>
      <c r="K3239" t="s">
        <v>30</v>
      </c>
      <c r="L3239" t="s">
        <v>31</v>
      </c>
      <c r="M3239" t="s">
        <v>140</v>
      </c>
      <c r="N3239">
        <v>47</v>
      </c>
      <c r="O3239">
        <v>0.44675208199999999</v>
      </c>
      <c r="P3239">
        <v>0.28519197099999999</v>
      </c>
      <c r="Q3239" t="str">
        <f t="shared" si="100"/>
        <v>15-24</v>
      </c>
      <c r="R3239" t="str">
        <f t="shared" si="101"/>
        <v>[YCKiBAp8QAg]|15-24|Female|Untreated_PLHIV_Attend.T_1|CY2024Q3</v>
      </c>
    </row>
    <row r="3240" spans="4:18" x14ac:dyDescent="0.2">
      <c r="D3240" t="s">
        <v>75</v>
      </c>
      <c r="E3240" t="s">
        <v>76</v>
      </c>
      <c r="F3240" t="s">
        <v>77</v>
      </c>
      <c r="G3240" t="s">
        <v>151</v>
      </c>
      <c r="H3240" t="s">
        <v>151</v>
      </c>
      <c r="I3240" t="s">
        <v>41</v>
      </c>
      <c r="J3240" t="s">
        <v>42</v>
      </c>
      <c r="K3240" t="s">
        <v>30</v>
      </c>
      <c r="L3240" t="s">
        <v>31</v>
      </c>
      <c r="M3240" t="s">
        <v>140</v>
      </c>
      <c r="N3240">
        <v>62</v>
      </c>
      <c r="O3240">
        <v>0.43957138600000001</v>
      </c>
      <c r="P3240">
        <v>0.28519197099999999</v>
      </c>
      <c r="Q3240" t="str">
        <f t="shared" si="100"/>
        <v>25-34</v>
      </c>
      <c r="R3240" t="str">
        <f t="shared" si="101"/>
        <v>[YCKiBAp8QAg]|25-34|Female|Untreated_PLHIV_Attend.T_1|CY2024Q3</v>
      </c>
    </row>
    <row r="3241" spans="4:18" x14ac:dyDescent="0.2">
      <c r="D3241" t="s">
        <v>75</v>
      </c>
      <c r="E3241" t="s">
        <v>76</v>
      </c>
      <c r="F3241" t="s">
        <v>77</v>
      </c>
      <c r="G3241" t="s">
        <v>151</v>
      </c>
      <c r="H3241" t="s">
        <v>151</v>
      </c>
      <c r="I3241" t="s">
        <v>43</v>
      </c>
      <c r="J3241" t="s">
        <v>44</v>
      </c>
      <c r="K3241" t="s">
        <v>30</v>
      </c>
      <c r="L3241" t="s">
        <v>31</v>
      </c>
      <c r="M3241" t="s">
        <v>140</v>
      </c>
      <c r="N3241">
        <v>78</v>
      </c>
      <c r="O3241">
        <v>0.45219416899999998</v>
      </c>
      <c r="P3241">
        <v>0.28519197099999999</v>
      </c>
      <c r="Q3241" t="str">
        <f t="shared" si="100"/>
        <v>35-49</v>
      </c>
      <c r="R3241" t="str">
        <f t="shared" si="101"/>
        <v>[YCKiBAp8QAg]|35-49|Female|Untreated_PLHIV_Attend.T_1|CY2024Q3</v>
      </c>
    </row>
    <row r="3242" spans="4:18" x14ac:dyDescent="0.2">
      <c r="D3242" t="s">
        <v>75</v>
      </c>
      <c r="E3242" t="s">
        <v>76</v>
      </c>
      <c r="F3242" t="s">
        <v>77</v>
      </c>
      <c r="G3242" t="s">
        <v>151</v>
      </c>
      <c r="H3242" t="s">
        <v>151</v>
      </c>
      <c r="I3242" t="s">
        <v>45</v>
      </c>
      <c r="J3242" t="s">
        <v>46</v>
      </c>
      <c r="K3242" t="s">
        <v>30</v>
      </c>
      <c r="L3242" t="s">
        <v>31</v>
      </c>
      <c r="M3242" t="s">
        <v>140</v>
      </c>
      <c r="N3242">
        <v>25</v>
      </c>
      <c r="O3242">
        <v>0.45344253499999998</v>
      </c>
      <c r="P3242">
        <v>0.28519197099999999</v>
      </c>
      <c r="Q3242" t="str">
        <f t="shared" si="100"/>
        <v>50+</v>
      </c>
      <c r="R3242" t="str">
        <f t="shared" si="101"/>
        <v>[YCKiBAp8QAg]|50+|Female|Untreated_PLHIV_Attend.T_1|CY2024Q3</v>
      </c>
    </row>
    <row r="3243" spans="4:18" x14ac:dyDescent="0.2">
      <c r="D3243" t="s">
        <v>75</v>
      </c>
      <c r="E3243" t="s">
        <v>76</v>
      </c>
      <c r="F3243" t="s">
        <v>77</v>
      </c>
      <c r="G3243" t="s">
        <v>151</v>
      </c>
      <c r="H3243" t="s">
        <v>151</v>
      </c>
      <c r="I3243" t="s">
        <v>28</v>
      </c>
      <c r="J3243" t="s">
        <v>29</v>
      </c>
      <c r="K3243" t="s">
        <v>48</v>
      </c>
      <c r="L3243" t="s">
        <v>49</v>
      </c>
      <c r="M3243" t="s">
        <v>140</v>
      </c>
      <c r="N3243">
        <v>3</v>
      </c>
      <c r="O3243">
        <v>0.13691700600000001</v>
      </c>
      <c r="P3243">
        <v>0.28519197099999999</v>
      </c>
      <c r="Q3243" t="str">
        <f t="shared" si="100"/>
        <v>&lt;01</v>
      </c>
      <c r="R3243" t="str">
        <f t="shared" si="101"/>
        <v>[YCKiBAp8QAg]|&lt;01|Male|Untreated_PLHIV_Attend.T_1|CY2024Q3</v>
      </c>
    </row>
    <row r="3244" spans="4:18" x14ac:dyDescent="0.2">
      <c r="D3244" t="s">
        <v>75</v>
      </c>
      <c r="E3244" t="s">
        <v>76</v>
      </c>
      <c r="F3244" t="s">
        <v>77</v>
      </c>
      <c r="G3244" t="s">
        <v>151</v>
      </c>
      <c r="H3244" t="s">
        <v>151</v>
      </c>
      <c r="I3244" t="s">
        <v>33</v>
      </c>
      <c r="J3244" t="s">
        <v>34</v>
      </c>
      <c r="K3244" t="s">
        <v>48</v>
      </c>
      <c r="L3244" t="s">
        <v>49</v>
      </c>
      <c r="M3244" t="s">
        <v>140</v>
      </c>
      <c r="N3244">
        <v>51</v>
      </c>
      <c r="O3244">
        <v>0.14748634699999999</v>
      </c>
      <c r="P3244">
        <v>0.28519197099999999</v>
      </c>
      <c r="Q3244" t="str">
        <f t="shared" si="100"/>
        <v>01-09</v>
      </c>
      <c r="R3244" t="str">
        <f t="shared" si="101"/>
        <v>[YCKiBAp8QAg]|01-09|Male|Untreated_PLHIV_Attend.T_1|CY2024Q3</v>
      </c>
    </row>
    <row r="3245" spans="4:18" x14ac:dyDescent="0.2">
      <c r="D3245" t="s">
        <v>75</v>
      </c>
      <c r="E3245" t="s">
        <v>76</v>
      </c>
      <c r="F3245" t="s">
        <v>77</v>
      </c>
      <c r="G3245" t="s">
        <v>151</v>
      </c>
      <c r="H3245" t="s">
        <v>151</v>
      </c>
      <c r="I3245" t="s">
        <v>36</v>
      </c>
      <c r="J3245" t="s">
        <v>37</v>
      </c>
      <c r="K3245" t="s">
        <v>48</v>
      </c>
      <c r="L3245" t="s">
        <v>49</v>
      </c>
      <c r="M3245" t="s">
        <v>140</v>
      </c>
      <c r="N3245">
        <v>57</v>
      </c>
      <c r="O3245">
        <v>0.15986783700000001</v>
      </c>
      <c r="P3245">
        <v>0.28519197099999999</v>
      </c>
      <c r="Q3245" t="str">
        <f t="shared" si="100"/>
        <v>10-14</v>
      </c>
      <c r="R3245" t="str">
        <f t="shared" si="101"/>
        <v>[YCKiBAp8QAg]|10-14|Male|Untreated_PLHIV_Attend.T_1|CY2024Q3</v>
      </c>
    </row>
    <row r="3246" spans="4:18" x14ac:dyDescent="0.2">
      <c r="D3246" t="s">
        <v>75</v>
      </c>
      <c r="E3246" t="s">
        <v>76</v>
      </c>
      <c r="F3246" t="s">
        <v>77</v>
      </c>
      <c r="G3246" t="s">
        <v>151</v>
      </c>
      <c r="H3246" t="s">
        <v>151</v>
      </c>
      <c r="I3246" t="s">
        <v>38</v>
      </c>
      <c r="J3246" t="s">
        <v>39</v>
      </c>
      <c r="K3246" t="s">
        <v>48</v>
      </c>
      <c r="L3246" t="s">
        <v>49</v>
      </c>
      <c r="M3246" t="s">
        <v>140</v>
      </c>
      <c r="N3246">
        <v>51</v>
      </c>
      <c r="O3246">
        <v>0.43203128299999999</v>
      </c>
      <c r="P3246">
        <v>0.28519197099999999</v>
      </c>
      <c r="Q3246" t="str">
        <f t="shared" si="100"/>
        <v>15-24</v>
      </c>
      <c r="R3246" t="str">
        <f t="shared" si="101"/>
        <v>[YCKiBAp8QAg]|15-24|Male|Untreated_PLHIV_Attend.T_1|CY2024Q3</v>
      </c>
    </row>
    <row r="3247" spans="4:18" x14ac:dyDescent="0.2">
      <c r="D3247" t="s">
        <v>75</v>
      </c>
      <c r="E3247" t="s">
        <v>76</v>
      </c>
      <c r="F3247" t="s">
        <v>77</v>
      </c>
      <c r="G3247" t="s">
        <v>151</v>
      </c>
      <c r="H3247" t="s">
        <v>151</v>
      </c>
      <c r="I3247" t="s">
        <v>41</v>
      </c>
      <c r="J3247" t="s">
        <v>42</v>
      </c>
      <c r="K3247" t="s">
        <v>48</v>
      </c>
      <c r="L3247" t="s">
        <v>49</v>
      </c>
      <c r="M3247" t="s">
        <v>140</v>
      </c>
      <c r="N3247">
        <v>83</v>
      </c>
      <c r="O3247">
        <v>0.46347324299999998</v>
      </c>
      <c r="P3247">
        <v>0.28519197099999999</v>
      </c>
      <c r="Q3247" t="str">
        <f t="shared" si="100"/>
        <v>25-34</v>
      </c>
      <c r="R3247" t="str">
        <f t="shared" si="101"/>
        <v>[YCKiBAp8QAg]|25-34|Male|Untreated_PLHIV_Attend.T_1|CY2024Q3</v>
      </c>
    </row>
    <row r="3248" spans="4:18" x14ac:dyDescent="0.2">
      <c r="D3248" t="s">
        <v>75</v>
      </c>
      <c r="E3248" t="s">
        <v>76</v>
      </c>
      <c r="F3248" t="s">
        <v>77</v>
      </c>
      <c r="G3248" t="s">
        <v>151</v>
      </c>
      <c r="H3248" t="s">
        <v>151</v>
      </c>
      <c r="I3248" t="s">
        <v>43</v>
      </c>
      <c r="J3248" t="s">
        <v>44</v>
      </c>
      <c r="K3248" t="s">
        <v>48</v>
      </c>
      <c r="L3248" t="s">
        <v>49</v>
      </c>
      <c r="M3248" t="s">
        <v>140</v>
      </c>
      <c r="N3248">
        <v>193</v>
      </c>
      <c r="O3248">
        <v>0.46604337000000001</v>
      </c>
      <c r="P3248">
        <v>0.28519197099999999</v>
      </c>
      <c r="Q3248" t="str">
        <f t="shared" si="100"/>
        <v>35-49</v>
      </c>
      <c r="R3248" t="str">
        <f t="shared" si="101"/>
        <v>[YCKiBAp8QAg]|35-49|Male|Untreated_PLHIV_Attend.T_1|CY2024Q3</v>
      </c>
    </row>
    <row r="3249" spans="4:18" x14ac:dyDescent="0.2">
      <c r="D3249" t="s">
        <v>75</v>
      </c>
      <c r="E3249" t="s">
        <v>76</v>
      </c>
      <c r="F3249" t="s">
        <v>77</v>
      </c>
      <c r="G3249" t="s">
        <v>151</v>
      </c>
      <c r="H3249" t="s">
        <v>151</v>
      </c>
      <c r="I3249" t="s">
        <v>45</v>
      </c>
      <c r="J3249" t="s">
        <v>46</v>
      </c>
      <c r="K3249" t="s">
        <v>48</v>
      </c>
      <c r="L3249" t="s">
        <v>49</v>
      </c>
      <c r="M3249" t="s">
        <v>140</v>
      </c>
      <c r="N3249">
        <v>103</v>
      </c>
      <c r="O3249">
        <v>0.459153272</v>
      </c>
      <c r="P3249">
        <v>0.28519197099999999</v>
      </c>
      <c r="Q3249" t="str">
        <f t="shared" si="100"/>
        <v>50+</v>
      </c>
      <c r="R3249" t="str">
        <f t="shared" si="101"/>
        <v>[YCKiBAp8QAg]|50+|Male|Untreated_PLHIV_Attend.T_1|CY2024Q3</v>
      </c>
    </row>
    <row r="3250" spans="4:18" x14ac:dyDescent="0.2">
      <c r="D3250" t="s">
        <v>78</v>
      </c>
      <c r="E3250" t="s">
        <v>79</v>
      </c>
      <c r="F3250" t="s">
        <v>80</v>
      </c>
      <c r="G3250" t="s">
        <v>151</v>
      </c>
      <c r="H3250" t="s">
        <v>151</v>
      </c>
      <c r="I3250" t="s">
        <v>28</v>
      </c>
      <c r="J3250" t="s">
        <v>29</v>
      </c>
      <c r="K3250" t="s">
        <v>30</v>
      </c>
      <c r="L3250" t="s">
        <v>31</v>
      </c>
      <c r="M3250" t="s">
        <v>140</v>
      </c>
      <c r="N3250">
        <v>1</v>
      </c>
      <c r="O3250">
        <v>0.14840642000000001</v>
      </c>
      <c r="P3250">
        <v>0.306709281</v>
      </c>
      <c r="Q3250" t="str">
        <f t="shared" si="100"/>
        <v>&lt;01</v>
      </c>
      <c r="R3250" t="str">
        <f t="shared" si="101"/>
        <v>[fiRkU6gEjLz]|&lt;01|Female|Untreated_PLHIV_Attend.T_1|CY2024Q3</v>
      </c>
    </row>
    <row r="3251" spans="4:18" x14ac:dyDescent="0.2">
      <c r="D3251" t="s">
        <v>78</v>
      </c>
      <c r="E3251" t="s">
        <v>79</v>
      </c>
      <c r="F3251" t="s">
        <v>80</v>
      </c>
      <c r="G3251" t="s">
        <v>151</v>
      </c>
      <c r="H3251" t="s">
        <v>151</v>
      </c>
      <c r="I3251" t="s">
        <v>33</v>
      </c>
      <c r="J3251" t="s">
        <v>34</v>
      </c>
      <c r="K3251" t="s">
        <v>30</v>
      </c>
      <c r="L3251" t="s">
        <v>31</v>
      </c>
      <c r="M3251" t="s">
        <v>140</v>
      </c>
      <c r="N3251">
        <v>16</v>
      </c>
      <c r="O3251">
        <v>0.160339753</v>
      </c>
      <c r="P3251">
        <v>0.306709281</v>
      </c>
      <c r="Q3251" t="str">
        <f t="shared" si="100"/>
        <v>01-09</v>
      </c>
      <c r="R3251" t="str">
        <f t="shared" si="101"/>
        <v>[fiRkU6gEjLz]|01-09|Female|Untreated_PLHIV_Attend.T_1|CY2024Q3</v>
      </c>
    </row>
    <row r="3252" spans="4:18" x14ac:dyDescent="0.2">
      <c r="D3252" t="s">
        <v>78</v>
      </c>
      <c r="E3252" t="s">
        <v>79</v>
      </c>
      <c r="F3252" t="s">
        <v>80</v>
      </c>
      <c r="G3252" t="s">
        <v>151</v>
      </c>
      <c r="H3252" t="s">
        <v>151</v>
      </c>
      <c r="I3252" t="s">
        <v>36</v>
      </c>
      <c r="J3252" t="s">
        <v>37</v>
      </c>
      <c r="K3252" t="s">
        <v>30</v>
      </c>
      <c r="L3252" t="s">
        <v>31</v>
      </c>
      <c r="M3252" t="s">
        <v>140</v>
      </c>
      <c r="N3252">
        <v>18</v>
      </c>
      <c r="O3252">
        <v>0.17478273599999999</v>
      </c>
      <c r="P3252">
        <v>0.306709281</v>
      </c>
      <c r="Q3252" t="str">
        <f t="shared" si="100"/>
        <v>10-14</v>
      </c>
      <c r="R3252" t="str">
        <f t="shared" si="101"/>
        <v>[fiRkU6gEjLz]|10-14|Female|Untreated_PLHIV_Attend.T_1|CY2024Q3</v>
      </c>
    </row>
    <row r="3253" spans="4:18" x14ac:dyDescent="0.2">
      <c r="D3253" t="s">
        <v>78</v>
      </c>
      <c r="E3253" t="s">
        <v>79</v>
      </c>
      <c r="F3253" t="s">
        <v>80</v>
      </c>
      <c r="G3253" t="s">
        <v>151</v>
      </c>
      <c r="H3253" t="s">
        <v>151</v>
      </c>
      <c r="I3253" t="s">
        <v>38</v>
      </c>
      <c r="J3253" t="s">
        <v>39</v>
      </c>
      <c r="K3253" t="s">
        <v>30</v>
      </c>
      <c r="L3253" t="s">
        <v>31</v>
      </c>
      <c r="M3253" t="s">
        <v>140</v>
      </c>
      <c r="N3253">
        <v>16</v>
      </c>
      <c r="O3253">
        <v>0.45693478700000001</v>
      </c>
      <c r="P3253">
        <v>0.306709281</v>
      </c>
      <c r="Q3253" t="str">
        <f t="shared" si="100"/>
        <v>15-24</v>
      </c>
      <c r="R3253" t="str">
        <f t="shared" si="101"/>
        <v>[fiRkU6gEjLz]|15-24|Female|Untreated_PLHIV_Attend.T_1|CY2024Q3</v>
      </c>
    </row>
    <row r="3254" spans="4:18" x14ac:dyDescent="0.2">
      <c r="D3254" t="s">
        <v>78</v>
      </c>
      <c r="E3254" t="s">
        <v>79</v>
      </c>
      <c r="F3254" t="s">
        <v>80</v>
      </c>
      <c r="G3254" t="s">
        <v>151</v>
      </c>
      <c r="H3254" t="s">
        <v>151</v>
      </c>
      <c r="I3254" t="s">
        <v>41</v>
      </c>
      <c r="J3254" t="s">
        <v>42</v>
      </c>
      <c r="K3254" t="s">
        <v>30</v>
      </c>
      <c r="L3254" t="s">
        <v>31</v>
      </c>
      <c r="M3254" t="s">
        <v>140</v>
      </c>
      <c r="N3254">
        <v>21</v>
      </c>
      <c r="O3254">
        <v>0.45615631000000001</v>
      </c>
      <c r="P3254">
        <v>0.306709281</v>
      </c>
      <c r="Q3254" t="str">
        <f t="shared" si="100"/>
        <v>25-34</v>
      </c>
      <c r="R3254" t="str">
        <f t="shared" si="101"/>
        <v>[fiRkU6gEjLz]|25-34|Female|Untreated_PLHIV_Attend.T_1|CY2024Q3</v>
      </c>
    </row>
    <row r="3255" spans="4:18" x14ac:dyDescent="0.2">
      <c r="D3255" t="s">
        <v>78</v>
      </c>
      <c r="E3255" t="s">
        <v>79</v>
      </c>
      <c r="F3255" t="s">
        <v>80</v>
      </c>
      <c r="G3255" t="s">
        <v>151</v>
      </c>
      <c r="H3255" t="s">
        <v>151</v>
      </c>
      <c r="I3255" t="s">
        <v>43</v>
      </c>
      <c r="J3255" t="s">
        <v>44</v>
      </c>
      <c r="K3255" t="s">
        <v>30</v>
      </c>
      <c r="L3255" t="s">
        <v>31</v>
      </c>
      <c r="M3255" t="s">
        <v>140</v>
      </c>
      <c r="N3255">
        <v>28</v>
      </c>
      <c r="O3255">
        <v>0.46875019000000001</v>
      </c>
      <c r="P3255">
        <v>0.306709281</v>
      </c>
      <c r="Q3255" t="str">
        <f t="shared" si="100"/>
        <v>35-49</v>
      </c>
      <c r="R3255" t="str">
        <f t="shared" si="101"/>
        <v>[fiRkU6gEjLz]|35-49|Female|Untreated_PLHIV_Attend.T_1|CY2024Q3</v>
      </c>
    </row>
    <row r="3256" spans="4:18" x14ac:dyDescent="0.2">
      <c r="D3256" t="s">
        <v>78</v>
      </c>
      <c r="E3256" t="s">
        <v>79</v>
      </c>
      <c r="F3256" t="s">
        <v>80</v>
      </c>
      <c r="G3256" t="s">
        <v>151</v>
      </c>
      <c r="H3256" t="s">
        <v>151</v>
      </c>
      <c r="I3256" t="s">
        <v>45</v>
      </c>
      <c r="J3256" t="s">
        <v>46</v>
      </c>
      <c r="K3256" t="s">
        <v>30</v>
      </c>
      <c r="L3256" t="s">
        <v>31</v>
      </c>
      <c r="M3256" t="s">
        <v>140</v>
      </c>
      <c r="N3256">
        <v>10</v>
      </c>
      <c r="O3256">
        <v>0.458444189</v>
      </c>
      <c r="P3256">
        <v>0.306709281</v>
      </c>
      <c r="Q3256" t="str">
        <f t="shared" si="100"/>
        <v>50+</v>
      </c>
      <c r="R3256" t="str">
        <f t="shared" si="101"/>
        <v>[fiRkU6gEjLz]|50+|Female|Untreated_PLHIV_Attend.T_1|CY2024Q3</v>
      </c>
    </row>
    <row r="3257" spans="4:18" x14ac:dyDescent="0.2">
      <c r="D3257" t="s">
        <v>78</v>
      </c>
      <c r="E3257" t="s">
        <v>79</v>
      </c>
      <c r="F3257" t="s">
        <v>80</v>
      </c>
      <c r="G3257" t="s">
        <v>151</v>
      </c>
      <c r="H3257" t="s">
        <v>151</v>
      </c>
      <c r="I3257" t="s">
        <v>28</v>
      </c>
      <c r="J3257" t="s">
        <v>29</v>
      </c>
      <c r="K3257" t="s">
        <v>48</v>
      </c>
      <c r="L3257" t="s">
        <v>49</v>
      </c>
      <c r="M3257" t="s">
        <v>140</v>
      </c>
      <c r="N3257">
        <v>1</v>
      </c>
      <c r="O3257">
        <v>0.17278961400000001</v>
      </c>
      <c r="P3257">
        <v>0.306709281</v>
      </c>
      <c r="Q3257" t="str">
        <f t="shared" si="100"/>
        <v>&lt;01</v>
      </c>
      <c r="R3257" t="str">
        <f t="shared" si="101"/>
        <v>[fiRkU6gEjLz]|&lt;01|Male|Untreated_PLHIV_Attend.T_1|CY2024Q3</v>
      </c>
    </row>
    <row r="3258" spans="4:18" x14ac:dyDescent="0.2">
      <c r="D3258" t="s">
        <v>78</v>
      </c>
      <c r="E3258" t="s">
        <v>79</v>
      </c>
      <c r="F3258" t="s">
        <v>80</v>
      </c>
      <c r="G3258" t="s">
        <v>151</v>
      </c>
      <c r="H3258" t="s">
        <v>151</v>
      </c>
      <c r="I3258" t="s">
        <v>33</v>
      </c>
      <c r="J3258" t="s">
        <v>34</v>
      </c>
      <c r="K3258" t="s">
        <v>48</v>
      </c>
      <c r="L3258" t="s">
        <v>49</v>
      </c>
      <c r="M3258" t="s">
        <v>140</v>
      </c>
      <c r="N3258">
        <v>16</v>
      </c>
      <c r="O3258">
        <v>0.18401515800000001</v>
      </c>
      <c r="P3258">
        <v>0.306709281</v>
      </c>
      <c r="Q3258" t="str">
        <f t="shared" si="100"/>
        <v>01-09</v>
      </c>
      <c r="R3258" t="str">
        <f t="shared" si="101"/>
        <v>[fiRkU6gEjLz]|01-09|Male|Untreated_PLHIV_Attend.T_1|CY2024Q3</v>
      </c>
    </row>
    <row r="3259" spans="4:18" x14ac:dyDescent="0.2">
      <c r="D3259" t="s">
        <v>78</v>
      </c>
      <c r="E3259" t="s">
        <v>79</v>
      </c>
      <c r="F3259" t="s">
        <v>80</v>
      </c>
      <c r="G3259" t="s">
        <v>151</v>
      </c>
      <c r="H3259" t="s">
        <v>151</v>
      </c>
      <c r="I3259" t="s">
        <v>36</v>
      </c>
      <c r="J3259" t="s">
        <v>37</v>
      </c>
      <c r="K3259" t="s">
        <v>48</v>
      </c>
      <c r="L3259" t="s">
        <v>49</v>
      </c>
      <c r="M3259" t="s">
        <v>140</v>
      </c>
      <c r="N3259">
        <v>18</v>
      </c>
      <c r="O3259">
        <v>0.19772461699999999</v>
      </c>
      <c r="P3259">
        <v>0.306709281</v>
      </c>
      <c r="Q3259" t="str">
        <f t="shared" si="100"/>
        <v>10-14</v>
      </c>
      <c r="R3259" t="str">
        <f t="shared" si="101"/>
        <v>[fiRkU6gEjLz]|10-14|Male|Untreated_PLHIV_Attend.T_1|CY2024Q3</v>
      </c>
    </row>
    <row r="3260" spans="4:18" x14ac:dyDescent="0.2">
      <c r="D3260" t="s">
        <v>78</v>
      </c>
      <c r="E3260" t="s">
        <v>79</v>
      </c>
      <c r="F3260" t="s">
        <v>80</v>
      </c>
      <c r="G3260" t="s">
        <v>151</v>
      </c>
      <c r="H3260" t="s">
        <v>151</v>
      </c>
      <c r="I3260" t="s">
        <v>38</v>
      </c>
      <c r="J3260" t="s">
        <v>39</v>
      </c>
      <c r="K3260" t="s">
        <v>48</v>
      </c>
      <c r="L3260" t="s">
        <v>49</v>
      </c>
      <c r="M3260" t="s">
        <v>140</v>
      </c>
      <c r="N3260">
        <v>17</v>
      </c>
      <c r="O3260">
        <v>0.442854364</v>
      </c>
      <c r="P3260">
        <v>0.306709281</v>
      </c>
      <c r="Q3260" t="str">
        <f t="shared" si="100"/>
        <v>15-24</v>
      </c>
      <c r="R3260" t="str">
        <f t="shared" si="101"/>
        <v>[fiRkU6gEjLz]|15-24|Male|Untreated_PLHIV_Attend.T_1|CY2024Q3</v>
      </c>
    </row>
    <row r="3261" spans="4:18" x14ac:dyDescent="0.2">
      <c r="D3261" t="s">
        <v>78</v>
      </c>
      <c r="E3261" t="s">
        <v>79</v>
      </c>
      <c r="F3261" t="s">
        <v>80</v>
      </c>
      <c r="G3261" t="s">
        <v>151</v>
      </c>
      <c r="H3261" t="s">
        <v>151</v>
      </c>
      <c r="I3261" t="s">
        <v>41</v>
      </c>
      <c r="J3261" t="s">
        <v>42</v>
      </c>
      <c r="K3261" t="s">
        <v>48</v>
      </c>
      <c r="L3261" t="s">
        <v>49</v>
      </c>
      <c r="M3261" t="s">
        <v>140</v>
      </c>
      <c r="N3261">
        <v>29</v>
      </c>
      <c r="O3261">
        <v>0.477357278</v>
      </c>
      <c r="P3261">
        <v>0.306709281</v>
      </c>
      <c r="Q3261" t="str">
        <f t="shared" si="100"/>
        <v>25-34</v>
      </c>
      <c r="R3261" t="str">
        <f t="shared" si="101"/>
        <v>[fiRkU6gEjLz]|25-34|Male|Untreated_PLHIV_Attend.T_1|CY2024Q3</v>
      </c>
    </row>
    <row r="3262" spans="4:18" x14ac:dyDescent="0.2">
      <c r="D3262" t="s">
        <v>78</v>
      </c>
      <c r="E3262" t="s">
        <v>79</v>
      </c>
      <c r="F3262" t="s">
        <v>80</v>
      </c>
      <c r="G3262" t="s">
        <v>151</v>
      </c>
      <c r="H3262" t="s">
        <v>151</v>
      </c>
      <c r="I3262" t="s">
        <v>43</v>
      </c>
      <c r="J3262" t="s">
        <v>44</v>
      </c>
      <c r="K3262" t="s">
        <v>48</v>
      </c>
      <c r="L3262" t="s">
        <v>49</v>
      </c>
      <c r="M3262" t="s">
        <v>140</v>
      </c>
      <c r="N3262">
        <v>69</v>
      </c>
      <c r="O3262">
        <v>0.48474584399999998</v>
      </c>
      <c r="P3262">
        <v>0.306709281</v>
      </c>
      <c r="Q3262" t="str">
        <f t="shared" si="100"/>
        <v>35-49</v>
      </c>
      <c r="R3262" t="str">
        <f t="shared" si="101"/>
        <v>[fiRkU6gEjLz]|35-49|Male|Untreated_PLHIV_Attend.T_1|CY2024Q3</v>
      </c>
    </row>
    <row r="3263" spans="4:18" x14ac:dyDescent="0.2">
      <c r="D3263" t="s">
        <v>78</v>
      </c>
      <c r="E3263" t="s">
        <v>79</v>
      </c>
      <c r="F3263" t="s">
        <v>80</v>
      </c>
      <c r="G3263" t="s">
        <v>151</v>
      </c>
      <c r="H3263" t="s">
        <v>151</v>
      </c>
      <c r="I3263" t="s">
        <v>45</v>
      </c>
      <c r="J3263" t="s">
        <v>46</v>
      </c>
      <c r="K3263" t="s">
        <v>48</v>
      </c>
      <c r="L3263" t="s">
        <v>49</v>
      </c>
      <c r="M3263" t="s">
        <v>140</v>
      </c>
      <c r="N3263">
        <v>37</v>
      </c>
      <c r="O3263">
        <v>0.46170060899999998</v>
      </c>
      <c r="P3263">
        <v>0.306709281</v>
      </c>
      <c r="Q3263" t="str">
        <f t="shared" si="100"/>
        <v>50+</v>
      </c>
      <c r="R3263" t="str">
        <f t="shared" si="101"/>
        <v>[fiRkU6gEjLz]|50+|Male|Untreated_PLHIV_Attend.T_1|CY2024Q3</v>
      </c>
    </row>
    <row r="3264" spans="4:18" x14ac:dyDescent="0.2">
      <c r="D3264" t="s">
        <v>81</v>
      </c>
      <c r="E3264" t="s">
        <v>82</v>
      </c>
      <c r="F3264" t="s">
        <v>83</v>
      </c>
      <c r="G3264" t="s">
        <v>151</v>
      </c>
      <c r="H3264" t="s">
        <v>151</v>
      </c>
      <c r="I3264" t="s">
        <v>28</v>
      </c>
      <c r="J3264" t="s">
        <v>29</v>
      </c>
      <c r="K3264" t="s">
        <v>30</v>
      </c>
      <c r="L3264" t="s">
        <v>31</v>
      </c>
      <c r="M3264" t="s">
        <v>140</v>
      </c>
      <c r="N3264">
        <v>3</v>
      </c>
      <c r="O3264">
        <v>0.10700425700000001</v>
      </c>
      <c r="P3264">
        <v>0.30128578900000003</v>
      </c>
      <c r="Q3264" t="str">
        <f t="shared" si="100"/>
        <v>&lt;01</v>
      </c>
      <c r="R3264" t="str">
        <f t="shared" si="101"/>
        <v>[zphK9WV8JB4]|&lt;01|Female|Untreated_PLHIV_Attend.T_1|CY2024Q3</v>
      </c>
    </row>
    <row r="3265" spans="4:18" x14ac:dyDescent="0.2">
      <c r="D3265" t="s">
        <v>81</v>
      </c>
      <c r="E3265" t="s">
        <v>82</v>
      </c>
      <c r="F3265" t="s">
        <v>83</v>
      </c>
      <c r="G3265" t="s">
        <v>151</v>
      </c>
      <c r="H3265" t="s">
        <v>151</v>
      </c>
      <c r="I3265" t="s">
        <v>33</v>
      </c>
      <c r="J3265" t="s">
        <v>34</v>
      </c>
      <c r="K3265" t="s">
        <v>30</v>
      </c>
      <c r="L3265" t="s">
        <v>31</v>
      </c>
      <c r="M3265" t="s">
        <v>140</v>
      </c>
      <c r="N3265">
        <v>50</v>
      </c>
      <c r="O3265">
        <v>0.118973619</v>
      </c>
      <c r="P3265">
        <v>0.30128578900000003</v>
      </c>
      <c r="Q3265" t="str">
        <f t="shared" si="100"/>
        <v>01-09</v>
      </c>
      <c r="R3265" t="str">
        <f t="shared" si="101"/>
        <v>[zphK9WV8JB4]|01-09|Female|Untreated_PLHIV_Attend.T_1|CY2024Q3</v>
      </c>
    </row>
    <row r="3266" spans="4:18" x14ac:dyDescent="0.2">
      <c r="D3266" t="s">
        <v>81</v>
      </c>
      <c r="E3266" t="s">
        <v>82</v>
      </c>
      <c r="F3266" t="s">
        <v>83</v>
      </c>
      <c r="G3266" t="s">
        <v>151</v>
      </c>
      <c r="H3266" t="s">
        <v>151</v>
      </c>
      <c r="I3266" t="s">
        <v>36</v>
      </c>
      <c r="J3266" t="s">
        <v>37</v>
      </c>
      <c r="K3266" t="s">
        <v>30</v>
      </c>
      <c r="L3266" t="s">
        <v>31</v>
      </c>
      <c r="M3266" t="s">
        <v>140</v>
      </c>
      <c r="N3266">
        <v>58</v>
      </c>
      <c r="O3266">
        <v>0.134189262</v>
      </c>
      <c r="P3266">
        <v>0.30128578900000003</v>
      </c>
      <c r="Q3266" t="str">
        <f t="shared" si="100"/>
        <v>10-14</v>
      </c>
      <c r="R3266" t="str">
        <f t="shared" si="101"/>
        <v>[zphK9WV8JB4]|10-14|Female|Untreated_PLHIV_Attend.T_1|CY2024Q3</v>
      </c>
    </row>
    <row r="3267" spans="4:18" x14ac:dyDescent="0.2">
      <c r="D3267" t="s">
        <v>81</v>
      </c>
      <c r="E3267" t="s">
        <v>82</v>
      </c>
      <c r="F3267" t="s">
        <v>83</v>
      </c>
      <c r="G3267" t="s">
        <v>151</v>
      </c>
      <c r="H3267" t="s">
        <v>151</v>
      </c>
      <c r="I3267" t="s">
        <v>38</v>
      </c>
      <c r="J3267" t="s">
        <v>39</v>
      </c>
      <c r="K3267" t="s">
        <v>30</v>
      </c>
      <c r="L3267" t="s">
        <v>31</v>
      </c>
      <c r="M3267" t="s">
        <v>140</v>
      </c>
      <c r="N3267">
        <v>48</v>
      </c>
      <c r="O3267">
        <v>0.44248883500000002</v>
      </c>
      <c r="P3267">
        <v>0.30128578900000003</v>
      </c>
      <c r="Q3267" t="str">
        <f t="shared" ref="Q3267:Q3330" si="102">SUBSTITUTE(SUBSTITUTE($I3267,CHAR(61),""),CHAR(34),"")</f>
        <v>15-24</v>
      </c>
      <c r="R3267" t="str">
        <f t="shared" ref="R3267:R3330" si="103">IF($D3267&lt;&gt;"","["&amp;$E3267&amp;"]"&amp;"|"&amp;$Q3267&amp;"|"&amp;$K3267&amp;"|"&amp;$G3267&amp;"|"&amp;IF($G3267="TX_CURR_SUBNAT.R","CY2023Q4",$M3267),"")</f>
        <v>[zphK9WV8JB4]|15-24|Female|Untreated_PLHIV_Attend.T_1|CY2024Q3</v>
      </c>
    </row>
    <row r="3268" spans="4:18" x14ac:dyDescent="0.2">
      <c r="D3268" t="s">
        <v>81</v>
      </c>
      <c r="E3268" t="s">
        <v>82</v>
      </c>
      <c r="F3268" t="s">
        <v>83</v>
      </c>
      <c r="G3268" t="s">
        <v>151</v>
      </c>
      <c r="H3268" t="s">
        <v>151</v>
      </c>
      <c r="I3268" t="s">
        <v>41</v>
      </c>
      <c r="J3268" t="s">
        <v>42</v>
      </c>
      <c r="K3268" t="s">
        <v>30</v>
      </c>
      <c r="L3268" t="s">
        <v>31</v>
      </c>
      <c r="M3268" t="s">
        <v>140</v>
      </c>
      <c r="N3268">
        <v>70</v>
      </c>
      <c r="O3268">
        <v>0.43979098500000002</v>
      </c>
      <c r="P3268">
        <v>0.30128578900000003</v>
      </c>
      <c r="Q3268" t="str">
        <f t="shared" si="102"/>
        <v>25-34</v>
      </c>
      <c r="R3268" t="str">
        <f t="shared" si="103"/>
        <v>[zphK9WV8JB4]|25-34|Female|Untreated_PLHIV_Attend.T_1|CY2024Q3</v>
      </c>
    </row>
    <row r="3269" spans="4:18" x14ac:dyDescent="0.2">
      <c r="D3269" t="s">
        <v>81</v>
      </c>
      <c r="E3269" t="s">
        <v>82</v>
      </c>
      <c r="F3269" t="s">
        <v>83</v>
      </c>
      <c r="G3269" t="s">
        <v>151</v>
      </c>
      <c r="H3269" t="s">
        <v>151</v>
      </c>
      <c r="I3269" t="s">
        <v>43</v>
      </c>
      <c r="J3269" t="s">
        <v>44</v>
      </c>
      <c r="K3269" t="s">
        <v>30</v>
      </c>
      <c r="L3269" t="s">
        <v>31</v>
      </c>
      <c r="M3269" t="s">
        <v>140</v>
      </c>
      <c r="N3269">
        <v>87</v>
      </c>
      <c r="O3269">
        <v>0.45957514599999999</v>
      </c>
      <c r="P3269">
        <v>0.30128578900000003</v>
      </c>
      <c r="Q3269" t="str">
        <f t="shared" si="102"/>
        <v>35-49</v>
      </c>
      <c r="R3269" t="str">
        <f t="shared" si="103"/>
        <v>[zphK9WV8JB4]|35-49|Female|Untreated_PLHIV_Attend.T_1|CY2024Q3</v>
      </c>
    </row>
    <row r="3270" spans="4:18" x14ac:dyDescent="0.2">
      <c r="D3270" t="s">
        <v>81</v>
      </c>
      <c r="E3270" t="s">
        <v>82</v>
      </c>
      <c r="F3270" t="s">
        <v>83</v>
      </c>
      <c r="G3270" t="s">
        <v>151</v>
      </c>
      <c r="H3270" t="s">
        <v>151</v>
      </c>
      <c r="I3270" t="s">
        <v>45</v>
      </c>
      <c r="J3270" t="s">
        <v>46</v>
      </c>
      <c r="K3270" t="s">
        <v>30</v>
      </c>
      <c r="L3270" t="s">
        <v>31</v>
      </c>
      <c r="M3270" t="s">
        <v>140</v>
      </c>
      <c r="N3270">
        <v>34</v>
      </c>
      <c r="O3270">
        <v>0.46580117100000001</v>
      </c>
      <c r="P3270">
        <v>0.30128578900000003</v>
      </c>
      <c r="Q3270" t="str">
        <f t="shared" si="102"/>
        <v>50+</v>
      </c>
      <c r="R3270" t="str">
        <f t="shared" si="103"/>
        <v>[zphK9WV8JB4]|50+|Female|Untreated_PLHIV_Attend.T_1|CY2024Q3</v>
      </c>
    </row>
    <row r="3271" spans="4:18" x14ac:dyDescent="0.2">
      <c r="D3271" t="s">
        <v>81</v>
      </c>
      <c r="E3271" t="s">
        <v>82</v>
      </c>
      <c r="F3271" t="s">
        <v>83</v>
      </c>
      <c r="G3271" t="s">
        <v>151</v>
      </c>
      <c r="H3271" t="s">
        <v>151</v>
      </c>
      <c r="I3271" t="s">
        <v>28</v>
      </c>
      <c r="J3271" t="s">
        <v>29</v>
      </c>
      <c r="K3271" t="s">
        <v>48</v>
      </c>
      <c r="L3271" t="s">
        <v>49</v>
      </c>
      <c r="M3271" t="s">
        <v>140</v>
      </c>
      <c r="N3271">
        <v>3</v>
      </c>
      <c r="O3271">
        <v>0.12770116500000001</v>
      </c>
      <c r="P3271">
        <v>0.30128578900000003</v>
      </c>
      <c r="Q3271" t="str">
        <f t="shared" si="102"/>
        <v>&lt;01</v>
      </c>
      <c r="R3271" t="str">
        <f t="shared" si="103"/>
        <v>[zphK9WV8JB4]|&lt;01|Male|Untreated_PLHIV_Attend.T_1|CY2024Q3</v>
      </c>
    </row>
    <row r="3272" spans="4:18" x14ac:dyDescent="0.2">
      <c r="D3272" t="s">
        <v>81</v>
      </c>
      <c r="E3272" t="s">
        <v>82</v>
      </c>
      <c r="F3272" t="s">
        <v>83</v>
      </c>
      <c r="G3272" t="s">
        <v>151</v>
      </c>
      <c r="H3272" t="s">
        <v>151</v>
      </c>
      <c r="I3272" t="s">
        <v>33</v>
      </c>
      <c r="J3272" t="s">
        <v>34</v>
      </c>
      <c r="K3272" t="s">
        <v>48</v>
      </c>
      <c r="L3272" t="s">
        <v>49</v>
      </c>
      <c r="M3272" t="s">
        <v>140</v>
      </c>
      <c r="N3272">
        <v>46</v>
      </c>
      <c r="O3272">
        <v>0.13929007500000001</v>
      </c>
      <c r="P3272">
        <v>0.30128578900000003</v>
      </c>
      <c r="Q3272" t="str">
        <f t="shared" si="102"/>
        <v>01-09</v>
      </c>
      <c r="R3272" t="str">
        <f t="shared" si="103"/>
        <v>[zphK9WV8JB4]|01-09|Male|Untreated_PLHIV_Attend.T_1|CY2024Q3</v>
      </c>
    </row>
    <row r="3273" spans="4:18" x14ac:dyDescent="0.2">
      <c r="D3273" t="s">
        <v>81</v>
      </c>
      <c r="E3273" t="s">
        <v>82</v>
      </c>
      <c r="F3273" t="s">
        <v>83</v>
      </c>
      <c r="G3273" t="s">
        <v>151</v>
      </c>
      <c r="H3273" t="s">
        <v>151</v>
      </c>
      <c r="I3273" t="s">
        <v>36</v>
      </c>
      <c r="J3273" t="s">
        <v>37</v>
      </c>
      <c r="K3273" t="s">
        <v>48</v>
      </c>
      <c r="L3273" t="s">
        <v>49</v>
      </c>
      <c r="M3273" t="s">
        <v>140</v>
      </c>
      <c r="N3273">
        <v>53</v>
      </c>
      <c r="O3273">
        <v>0.15420618</v>
      </c>
      <c r="P3273">
        <v>0.30128578900000003</v>
      </c>
      <c r="Q3273" t="str">
        <f t="shared" si="102"/>
        <v>10-14</v>
      </c>
      <c r="R3273" t="str">
        <f t="shared" si="103"/>
        <v>[zphK9WV8JB4]|10-14|Male|Untreated_PLHIV_Attend.T_1|CY2024Q3</v>
      </c>
    </row>
    <row r="3274" spans="4:18" x14ac:dyDescent="0.2">
      <c r="D3274" t="s">
        <v>81</v>
      </c>
      <c r="E3274" t="s">
        <v>82</v>
      </c>
      <c r="F3274" t="s">
        <v>83</v>
      </c>
      <c r="G3274" t="s">
        <v>151</v>
      </c>
      <c r="H3274" t="s">
        <v>151</v>
      </c>
      <c r="I3274" t="s">
        <v>38</v>
      </c>
      <c r="J3274" t="s">
        <v>39</v>
      </c>
      <c r="K3274" t="s">
        <v>48</v>
      </c>
      <c r="L3274" t="s">
        <v>49</v>
      </c>
      <c r="M3274" t="s">
        <v>140</v>
      </c>
      <c r="N3274">
        <v>49</v>
      </c>
      <c r="O3274">
        <v>0.421001711</v>
      </c>
      <c r="P3274">
        <v>0.30128578900000003</v>
      </c>
      <c r="Q3274" t="str">
        <f t="shared" si="102"/>
        <v>15-24</v>
      </c>
      <c r="R3274" t="str">
        <f t="shared" si="103"/>
        <v>[zphK9WV8JB4]|15-24|Male|Untreated_PLHIV_Attend.T_1|CY2024Q3</v>
      </c>
    </row>
    <row r="3275" spans="4:18" x14ac:dyDescent="0.2">
      <c r="D3275" t="s">
        <v>81</v>
      </c>
      <c r="E3275" t="s">
        <v>82</v>
      </c>
      <c r="F3275" t="s">
        <v>83</v>
      </c>
      <c r="G3275" t="s">
        <v>151</v>
      </c>
      <c r="H3275" t="s">
        <v>151</v>
      </c>
      <c r="I3275" t="s">
        <v>41</v>
      </c>
      <c r="J3275" t="s">
        <v>42</v>
      </c>
      <c r="K3275" t="s">
        <v>48</v>
      </c>
      <c r="L3275" t="s">
        <v>49</v>
      </c>
      <c r="M3275" t="s">
        <v>140</v>
      </c>
      <c r="N3275">
        <v>88</v>
      </c>
      <c r="O3275">
        <v>0.45606286200000001</v>
      </c>
      <c r="P3275">
        <v>0.30128578900000003</v>
      </c>
      <c r="Q3275" t="str">
        <f t="shared" si="102"/>
        <v>25-34</v>
      </c>
      <c r="R3275" t="str">
        <f t="shared" si="103"/>
        <v>[zphK9WV8JB4]|25-34|Male|Untreated_PLHIV_Attend.T_1|CY2024Q3</v>
      </c>
    </row>
    <row r="3276" spans="4:18" x14ac:dyDescent="0.2">
      <c r="D3276" t="s">
        <v>81</v>
      </c>
      <c r="E3276" t="s">
        <v>82</v>
      </c>
      <c r="F3276" t="s">
        <v>83</v>
      </c>
      <c r="G3276" t="s">
        <v>151</v>
      </c>
      <c r="H3276" t="s">
        <v>151</v>
      </c>
      <c r="I3276" t="s">
        <v>43</v>
      </c>
      <c r="J3276" t="s">
        <v>44</v>
      </c>
      <c r="K3276" t="s">
        <v>48</v>
      </c>
      <c r="L3276" t="s">
        <v>49</v>
      </c>
      <c r="M3276" t="s">
        <v>140</v>
      </c>
      <c r="N3276">
        <v>201</v>
      </c>
      <c r="O3276">
        <v>0.47410614200000001</v>
      </c>
      <c r="P3276">
        <v>0.30128578900000003</v>
      </c>
      <c r="Q3276" t="str">
        <f t="shared" si="102"/>
        <v>35-49</v>
      </c>
      <c r="R3276" t="str">
        <f t="shared" si="103"/>
        <v>[zphK9WV8JB4]|35-49|Male|Untreated_PLHIV_Attend.T_1|CY2024Q3</v>
      </c>
    </row>
    <row r="3277" spans="4:18" x14ac:dyDescent="0.2">
      <c r="D3277" t="s">
        <v>81</v>
      </c>
      <c r="E3277" t="s">
        <v>82</v>
      </c>
      <c r="F3277" t="s">
        <v>83</v>
      </c>
      <c r="G3277" t="s">
        <v>151</v>
      </c>
      <c r="H3277" t="s">
        <v>151</v>
      </c>
      <c r="I3277" t="s">
        <v>45</v>
      </c>
      <c r="J3277" t="s">
        <v>46</v>
      </c>
      <c r="K3277" t="s">
        <v>48</v>
      </c>
      <c r="L3277" t="s">
        <v>49</v>
      </c>
      <c r="M3277" t="s">
        <v>140</v>
      </c>
      <c r="N3277">
        <v>112</v>
      </c>
      <c r="O3277">
        <v>0.46687563799999998</v>
      </c>
      <c r="P3277">
        <v>0.30128578900000003</v>
      </c>
      <c r="Q3277" t="str">
        <f t="shared" si="102"/>
        <v>50+</v>
      </c>
      <c r="R3277" t="str">
        <f t="shared" si="103"/>
        <v>[zphK9WV8JB4]|50+|Male|Untreated_PLHIV_Attend.T_1|CY2024Q3</v>
      </c>
    </row>
    <row r="3278" spans="4:18" x14ac:dyDescent="0.2">
      <c r="D3278" t="s">
        <v>84</v>
      </c>
      <c r="E3278" t="s">
        <v>85</v>
      </c>
      <c r="F3278" t="s">
        <v>86</v>
      </c>
      <c r="G3278" t="s">
        <v>151</v>
      </c>
      <c r="H3278" t="s">
        <v>151</v>
      </c>
      <c r="I3278" t="s">
        <v>28</v>
      </c>
      <c r="J3278" t="s">
        <v>29</v>
      </c>
      <c r="K3278" t="s">
        <v>30</v>
      </c>
      <c r="L3278" t="s">
        <v>31</v>
      </c>
      <c r="M3278" t="s">
        <v>140</v>
      </c>
      <c r="N3278">
        <v>3</v>
      </c>
      <c r="O3278">
        <v>0.14864000599999999</v>
      </c>
      <c r="P3278">
        <v>0.280599074</v>
      </c>
      <c r="Q3278" t="str">
        <f t="shared" si="102"/>
        <v>&lt;01</v>
      </c>
      <c r="R3278" t="str">
        <f t="shared" si="103"/>
        <v>[msW2zpIN7up]|&lt;01|Female|Untreated_PLHIV_Attend.T_1|CY2024Q3</v>
      </c>
    </row>
    <row r="3279" spans="4:18" x14ac:dyDescent="0.2">
      <c r="D3279" t="s">
        <v>84</v>
      </c>
      <c r="E3279" t="s">
        <v>85</v>
      </c>
      <c r="F3279" t="s">
        <v>86</v>
      </c>
      <c r="G3279" t="s">
        <v>151</v>
      </c>
      <c r="H3279" t="s">
        <v>151</v>
      </c>
      <c r="I3279" t="s">
        <v>33</v>
      </c>
      <c r="J3279" t="s">
        <v>34</v>
      </c>
      <c r="K3279" t="s">
        <v>30</v>
      </c>
      <c r="L3279" t="s">
        <v>31</v>
      </c>
      <c r="M3279" t="s">
        <v>140</v>
      </c>
      <c r="N3279">
        <v>48</v>
      </c>
      <c r="O3279">
        <v>0.160088069</v>
      </c>
      <c r="P3279">
        <v>0.280599074</v>
      </c>
      <c r="Q3279" t="str">
        <f t="shared" si="102"/>
        <v>01-09</v>
      </c>
      <c r="R3279" t="str">
        <f t="shared" si="103"/>
        <v>[msW2zpIN7up]|01-09|Female|Untreated_PLHIV_Attend.T_1|CY2024Q3</v>
      </c>
    </row>
    <row r="3280" spans="4:18" x14ac:dyDescent="0.2">
      <c r="D3280" t="s">
        <v>84</v>
      </c>
      <c r="E3280" t="s">
        <v>85</v>
      </c>
      <c r="F3280" t="s">
        <v>86</v>
      </c>
      <c r="G3280" t="s">
        <v>151</v>
      </c>
      <c r="H3280" t="s">
        <v>151</v>
      </c>
      <c r="I3280" t="s">
        <v>36</v>
      </c>
      <c r="J3280" t="s">
        <v>37</v>
      </c>
      <c r="K3280" t="s">
        <v>30</v>
      </c>
      <c r="L3280" t="s">
        <v>31</v>
      </c>
      <c r="M3280" t="s">
        <v>140</v>
      </c>
      <c r="N3280">
        <v>50</v>
      </c>
      <c r="O3280">
        <v>0.17337497099999999</v>
      </c>
      <c r="P3280">
        <v>0.280599074</v>
      </c>
      <c r="Q3280" t="str">
        <f t="shared" si="102"/>
        <v>10-14</v>
      </c>
      <c r="R3280" t="str">
        <f t="shared" si="103"/>
        <v>[msW2zpIN7up]|10-14|Female|Untreated_PLHIV_Attend.T_1|CY2024Q3</v>
      </c>
    </row>
    <row r="3281" spans="4:18" x14ac:dyDescent="0.2">
      <c r="D3281" t="s">
        <v>84</v>
      </c>
      <c r="E3281" t="s">
        <v>85</v>
      </c>
      <c r="F3281" t="s">
        <v>86</v>
      </c>
      <c r="G3281" t="s">
        <v>151</v>
      </c>
      <c r="H3281" t="s">
        <v>151</v>
      </c>
      <c r="I3281" t="s">
        <v>38</v>
      </c>
      <c r="J3281" t="s">
        <v>39</v>
      </c>
      <c r="K3281" t="s">
        <v>30</v>
      </c>
      <c r="L3281" t="s">
        <v>31</v>
      </c>
      <c r="M3281" t="s">
        <v>140</v>
      </c>
      <c r="N3281">
        <v>49</v>
      </c>
      <c r="O3281">
        <v>0.44116555899999998</v>
      </c>
      <c r="P3281">
        <v>0.280599074</v>
      </c>
      <c r="Q3281" t="str">
        <f t="shared" si="102"/>
        <v>15-24</v>
      </c>
      <c r="R3281" t="str">
        <f t="shared" si="103"/>
        <v>[msW2zpIN7up]|15-24|Female|Untreated_PLHIV_Attend.T_1|CY2024Q3</v>
      </c>
    </row>
    <row r="3282" spans="4:18" x14ac:dyDescent="0.2">
      <c r="D3282" t="s">
        <v>84</v>
      </c>
      <c r="E3282" t="s">
        <v>85</v>
      </c>
      <c r="F3282" t="s">
        <v>86</v>
      </c>
      <c r="G3282" t="s">
        <v>151</v>
      </c>
      <c r="H3282" t="s">
        <v>151</v>
      </c>
      <c r="I3282" t="s">
        <v>41</v>
      </c>
      <c r="J3282" t="s">
        <v>42</v>
      </c>
      <c r="K3282" t="s">
        <v>30</v>
      </c>
      <c r="L3282" t="s">
        <v>31</v>
      </c>
      <c r="M3282" t="s">
        <v>140</v>
      </c>
      <c r="N3282">
        <v>62</v>
      </c>
      <c r="O3282">
        <v>0.43471090499999998</v>
      </c>
      <c r="P3282">
        <v>0.280599074</v>
      </c>
      <c r="Q3282" t="str">
        <f t="shared" si="102"/>
        <v>25-34</v>
      </c>
      <c r="R3282" t="str">
        <f t="shared" si="103"/>
        <v>[msW2zpIN7up]|25-34|Female|Untreated_PLHIV_Attend.T_1|CY2024Q3</v>
      </c>
    </row>
    <row r="3283" spans="4:18" x14ac:dyDescent="0.2">
      <c r="D3283" t="s">
        <v>84</v>
      </c>
      <c r="E3283" t="s">
        <v>85</v>
      </c>
      <c r="F3283" t="s">
        <v>86</v>
      </c>
      <c r="G3283" t="s">
        <v>151</v>
      </c>
      <c r="H3283" t="s">
        <v>151</v>
      </c>
      <c r="I3283" t="s">
        <v>43</v>
      </c>
      <c r="J3283" t="s">
        <v>44</v>
      </c>
      <c r="K3283" t="s">
        <v>30</v>
      </c>
      <c r="L3283" t="s">
        <v>31</v>
      </c>
      <c r="M3283" t="s">
        <v>140</v>
      </c>
      <c r="N3283">
        <v>85</v>
      </c>
      <c r="O3283">
        <v>0.44090985100000002</v>
      </c>
      <c r="P3283">
        <v>0.280599074</v>
      </c>
      <c r="Q3283" t="str">
        <f t="shared" si="102"/>
        <v>35-49</v>
      </c>
      <c r="R3283" t="str">
        <f t="shared" si="103"/>
        <v>[msW2zpIN7up]|35-49|Female|Untreated_PLHIV_Attend.T_1|CY2024Q3</v>
      </c>
    </row>
    <row r="3284" spans="4:18" x14ac:dyDescent="0.2">
      <c r="D3284" t="s">
        <v>84</v>
      </c>
      <c r="E3284" t="s">
        <v>85</v>
      </c>
      <c r="F3284" t="s">
        <v>86</v>
      </c>
      <c r="G3284" t="s">
        <v>151</v>
      </c>
      <c r="H3284" t="s">
        <v>151</v>
      </c>
      <c r="I3284" t="s">
        <v>45</v>
      </c>
      <c r="J3284" t="s">
        <v>46</v>
      </c>
      <c r="K3284" t="s">
        <v>30</v>
      </c>
      <c r="L3284" t="s">
        <v>31</v>
      </c>
      <c r="M3284" t="s">
        <v>140</v>
      </c>
      <c r="N3284">
        <v>24</v>
      </c>
      <c r="O3284">
        <v>0.443992316</v>
      </c>
      <c r="P3284">
        <v>0.280599074</v>
      </c>
      <c r="Q3284" t="str">
        <f t="shared" si="102"/>
        <v>50+</v>
      </c>
      <c r="R3284" t="str">
        <f t="shared" si="103"/>
        <v>[msW2zpIN7up]|50+|Female|Untreated_PLHIV_Attend.T_1|CY2024Q3</v>
      </c>
    </row>
    <row r="3285" spans="4:18" x14ac:dyDescent="0.2">
      <c r="D3285" t="s">
        <v>84</v>
      </c>
      <c r="E3285" t="s">
        <v>85</v>
      </c>
      <c r="F3285" t="s">
        <v>86</v>
      </c>
      <c r="G3285" t="s">
        <v>151</v>
      </c>
      <c r="H3285" t="s">
        <v>151</v>
      </c>
      <c r="I3285" t="s">
        <v>28</v>
      </c>
      <c r="J3285" t="s">
        <v>29</v>
      </c>
      <c r="K3285" t="s">
        <v>48</v>
      </c>
      <c r="L3285" t="s">
        <v>49</v>
      </c>
      <c r="M3285" t="s">
        <v>140</v>
      </c>
      <c r="N3285">
        <v>3</v>
      </c>
      <c r="O3285">
        <v>0.166563076</v>
      </c>
      <c r="P3285">
        <v>0.280599074</v>
      </c>
      <c r="Q3285" t="str">
        <f t="shared" si="102"/>
        <v>&lt;01</v>
      </c>
      <c r="R3285" t="str">
        <f t="shared" si="103"/>
        <v>[msW2zpIN7up]|&lt;01|Male|Untreated_PLHIV_Attend.T_1|CY2024Q3</v>
      </c>
    </row>
    <row r="3286" spans="4:18" x14ac:dyDescent="0.2">
      <c r="D3286" t="s">
        <v>84</v>
      </c>
      <c r="E3286" t="s">
        <v>85</v>
      </c>
      <c r="F3286" t="s">
        <v>86</v>
      </c>
      <c r="G3286" t="s">
        <v>151</v>
      </c>
      <c r="H3286" t="s">
        <v>151</v>
      </c>
      <c r="I3286" t="s">
        <v>33</v>
      </c>
      <c r="J3286" t="s">
        <v>34</v>
      </c>
      <c r="K3286" t="s">
        <v>48</v>
      </c>
      <c r="L3286" t="s">
        <v>49</v>
      </c>
      <c r="M3286" t="s">
        <v>140</v>
      </c>
      <c r="N3286">
        <v>52</v>
      </c>
      <c r="O3286">
        <v>0.17723246100000001</v>
      </c>
      <c r="P3286">
        <v>0.280599074</v>
      </c>
      <c r="Q3286" t="str">
        <f t="shared" si="102"/>
        <v>01-09</v>
      </c>
      <c r="R3286" t="str">
        <f t="shared" si="103"/>
        <v>[msW2zpIN7up]|01-09|Male|Untreated_PLHIV_Attend.T_1|CY2024Q3</v>
      </c>
    </row>
    <row r="3287" spans="4:18" x14ac:dyDescent="0.2">
      <c r="D3287" t="s">
        <v>84</v>
      </c>
      <c r="E3287" t="s">
        <v>85</v>
      </c>
      <c r="F3287" t="s">
        <v>86</v>
      </c>
      <c r="G3287" t="s">
        <v>151</v>
      </c>
      <c r="H3287" t="s">
        <v>151</v>
      </c>
      <c r="I3287" t="s">
        <v>36</v>
      </c>
      <c r="J3287" t="s">
        <v>37</v>
      </c>
      <c r="K3287" t="s">
        <v>48</v>
      </c>
      <c r="L3287" t="s">
        <v>49</v>
      </c>
      <c r="M3287" t="s">
        <v>140</v>
      </c>
      <c r="N3287">
        <v>55</v>
      </c>
      <c r="O3287">
        <v>0.18958635400000001</v>
      </c>
      <c r="P3287">
        <v>0.280599074</v>
      </c>
      <c r="Q3287" t="str">
        <f t="shared" si="102"/>
        <v>10-14</v>
      </c>
      <c r="R3287" t="str">
        <f t="shared" si="103"/>
        <v>[msW2zpIN7up]|10-14|Male|Untreated_PLHIV_Attend.T_1|CY2024Q3</v>
      </c>
    </row>
    <row r="3288" spans="4:18" x14ac:dyDescent="0.2">
      <c r="D3288" t="s">
        <v>84</v>
      </c>
      <c r="E3288" t="s">
        <v>85</v>
      </c>
      <c r="F3288" t="s">
        <v>86</v>
      </c>
      <c r="G3288" t="s">
        <v>151</v>
      </c>
      <c r="H3288" t="s">
        <v>151</v>
      </c>
      <c r="I3288" t="s">
        <v>38</v>
      </c>
      <c r="J3288" t="s">
        <v>39</v>
      </c>
      <c r="K3288" t="s">
        <v>48</v>
      </c>
      <c r="L3288" t="s">
        <v>49</v>
      </c>
      <c r="M3288" t="s">
        <v>140</v>
      </c>
      <c r="N3288">
        <v>53</v>
      </c>
      <c r="O3288">
        <v>0.420855178</v>
      </c>
      <c r="P3288">
        <v>0.280599074</v>
      </c>
      <c r="Q3288" t="str">
        <f t="shared" si="102"/>
        <v>15-24</v>
      </c>
      <c r="R3288" t="str">
        <f t="shared" si="103"/>
        <v>[msW2zpIN7up]|15-24|Male|Untreated_PLHIV_Attend.T_1|CY2024Q3</v>
      </c>
    </row>
    <row r="3289" spans="4:18" x14ac:dyDescent="0.2">
      <c r="D3289" t="s">
        <v>84</v>
      </c>
      <c r="E3289" t="s">
        <v>85</v>
      </c>
      <c r="F3289" t="s">
        <v>86</v>
      </c>
      <c r="G3289" t="s">
        <v>151</v>
      </c>
      <c r="H3289" t="s">
        <v>151</v>
      </c>
      <c r="I3289" t="s">
        <v>41</v>
      </c>
      <c r="J3289" t="s">
        <v>42</v>
      </c>
      <c r="K3289" t="s">
        <v>48</v>
      </c>
      <c r="L3289" t="s">
        <v>49</v>
      </c>
      <c r="M3289" t="s">
        <v>140</v>
      </c>
      <c r="N3289">
        <v>86</v>
      </c>
      <c r="O3289">
        <v>0.46020395800000002</v>
      </c>
      <c r="P3289">
        <v>0.280599074</v>
      </c>
      <c r="Q3289" t="str">
        <f t="shared" si="102"/>
        <v>25-34</v>
      </c>
      <c r="R3289" t="str">
        <f t="shared" si="103"/>
        <v>[msW2zpIN7up]|25-34|Male|Untreated_PLHIV_Attend.T_1|CY2024Q3</v>
      </c>
    </row>
    <row r="3290" spans="4:18" x14ac:dyDescent="0.2">
      <c r="D3290" t="s">
        <v>84</v>
      </c>
      <c r="E3290" t="s">
        <v>85</v>
      </c>
      <c r="F3290" t="s">
        <v>86</v>
      </c>
      <c r="G3290" t="s">
        <v>151</v>
      </c>
      <c r="H3290" t="s">
        <v>151</v>
      </c>
      <c r="I3290" t="s">
        <v>43</v>
      </c>
      <c r="J3290" t="s">
        <v>44</v>
      </c>
      <c r="K3290" t="s">
        <v>48</v>
      </c>
      <c r="L3290" t="s">
        <v>49</v>
      </c>
      <c r="M3290" t="s">
        <v>140</v>
      </c>
      <c r="N3290">
        <v>212</v>
      </c>
      <c r="O3290">
        <v>0.46220830899999998</v>
      </c>
      <c r="P3290">
        <v>0.280599074</v>
      </c>
      <c r="Q3290" t="str">
        <f t="shared" si="102"/>
        <v>35-49</v>
      </c>
      <c r="R3290" t="str">
        <f t="shared" si="103"/>
        <v>[msW2zpIN7up]|35-49|Male|Untreated_PLHIV_Attend.T_1|CY2024Q3</v>
      </c>
    </row>
    <row r="3291" spans="4:18" x14ac:dyDescent="0.2">
      <c r="D3291" t="s">
        <v>84</v>
      </c>
      <c r="E3291" t="s">
        <v>85</v>
      </c>
      <c r="F3291" t="s">
        <v>86</v>
      </c>
      <c r="G3291" t="s">
        <v>151</v>
      </c>
      <c r="H3291" t="s">
        <v>151</v>
      </c>
      <c r="I3291" t="s">
        <v>45</v>
      </c>
      <c r="J3291" t="s">
        <v>46</v>
      </c>
      <c r="K3291" t="s">
        <v>48</v>
      </c>
      <c r="L3291" t="s">
        <v>49</v>
      </c>
      <c r="M3291" t="s">
        <v>140</v>
      </c>
      <c r="N3291">
        <v>105</v>
      </c>
      <c r="O3291">
        <v>0.44387504100000003</v>
      </c>
      <c r="P3291">
        <v>0.280599074</v>
      </c>
      <c r="Q3291" t="str">
        <f t="shared" si="102"/>
        <v>50+</v>
      </c>
      <c r="R3291" t="str">
        <f t="shared" si="103"/>
        <v>[msW2zpIN7up]|50+|Male|Untreated_PLHIV_Attend.T_1|CY2024Q3</v>
      </c>
    </row>
    <row r="3292" spans="4:18" x14ac:dyDescent="0.2">
      <c r="D3292" t="s">
        <v>87</v>
      </c>
      <c r="E3292" t="s">
        <v>88</v>
      </c>
      <c r="F3292" t="s">
        <v>89</v>
      </c>
      <c r="G3292" t="s">
        <v>151</v>
      </c>
      <c r="H3292" t="s">
        <v>151</v>
      </c>
      <c r="I3292" t="s">
        <v>28</v>
      </c>
      <c r="J3292" t="s">
        <v>29</v>
      </c>
      <c r="K3292" t="s">
        <v>30</v>
      </c>
      <c r="L3292" t="s">
        <v>31</v>
      </c>
      <c r="M3292" t="s">
        <v>140</v>
      </c>
      <c r="N3292">
        <v>22</v>
      </c>
      <c r="O3292">
        <v>7.7543585999999998E-2</v>
      </c>
      <c r="P3292">
        <v>0.27075844300000002</v>
      </c>
      <c r="Q3292" t="str">
        <f t="shared" si="102"/>
        <v>&lt;01</v>
      </c>
      <c r="R3292" t="str">
        <f t="shared" si="103"/>
        <v>[ScR9iFKAasW]|&lt;01|Female|Untreated_PLHIV_Attend.T_1|CY2024Q3</v>
      </c>
    </row>
    <row r="3293" spans="4:18" x14ac:dyDescent="0.2">
      <c r="D3293" t="s">
        <v>87</v>
      </c>
      <c r="E3293" t="s">
        <v>88</v>
      </c>
      <c r="F3293" t="s">
        <v>89</v>
      </c>
      <c r="G3293" t="s">
        <v>151</v>
      </c>
      <c r="H3293" t="s">
        <v>151</v>
      </c>
      <c r="I3293" t="s">
        <v>33</v>
      </c>
      <c r="J3293" t="s">
        <v>34</v>
      </c>
      <c r="K3293" t="s">
        <v>30</v>
      </c>
      <c r="L3293" t="s">
        <v>31</v>
      </c>
      <c r="M3293" t="s">
        <v>140</v>
      </c>
      <c r="N3293">
        <v>334</v>
      </c>
      <c r="O3293">
        <v>8.6436138999999995E-2</v>
      </c>
      <c r="P3293">
        <v>0.27075844300000002</v>
      </c>
      <c r="Q3293" t="str">
        <f t="shared" si="102"/>
        <v>01-09</v>
      </c>
      <c r="R3293" t="str">
        <f t="shared" si="103"/>
        <v>[ScR9iFKAasW]|01-09|Female|Untreated_PLHIV_Attend.T_1|CY2024Q3</v>
      </c>
    </row>
    <row r="3294" spans="4:18" x14ac:dyDescent="0.2">
      <c r="D3294" t="s">
        <v>87</v>
      </c>
      <c r="E3294" t="s">
        <v>88</v>
      </c>
      <c r="F3294" t="s">
        <v>89</v>
      </c>
      <c r="G3294" t="s">
        <v>151</v>
      </c>
      <c r="H3294" t="s">
        <v>151</v>
      </c>
      <c r="I3294" t="s">
        <v>36</v>
      </c>
      <c r="J3294" t="s">
        <v>37</v>
      </c>
      <c r="K3294" t="s">
        <v>30</v>
      </c>
      <c r="L3294" t="s">
        <v>31</v>
      </c>
      <c r="M3294" t="s">
        <v>140</v>
      </c>
      <c r="N3294">
        <v>344</v>
      </c>
      <c r="O3294">
        <v>9.747981E-2</v>
      </c>
      <c r="P3294">
        <v>0.27075844300000002</v>
      </c>
      <c r="Q3294" t="str">
        <f t="shared" si="102"/>
        <v>10-14</v>
      </c>
      <c r="R3294" t="str">
        <f t="shared" si="103"/>
        <v>[ScR9iFKAasW]|10-14|Female|Untreated_PLHIV_Attend.T_1|CY2024Q3</v>
      </c>
    </row>
    <row r="3295" spans="4:18" x14ac:dyDescent="0.2">
      <c r="D3295" t="s">
        <v>87</v>
      </c>
      <c r="E3295" t="s">
        <v>88</v>
      </c>
      <c r="F3295" t="s">
        <v>89</v>
      </c>
      <c r="G3295" t="s">
        <v>151</v>
      </c>
      <c r="H3295" t="s">
        <v>151</v>
      </c>
      <c r="I3295" t="s">
        <v>38</v>
      </c>
      <c r="J3295" t="s">
        <v>39</v>
      </c>
      <c r="K3295" t="s">
        <v>30</v>
      </c>
      <c r="L3295" t="s">
        <v>31</v>
      </c>
      <c r="M3295" t="s">
        <v>140</v>
      </c>
      <c r="N3295">
        <v>303</v>
      </c>
      <c r="O3295">
        <v>0.42359502199999999</v>
      </c>
      <c r="P3295">
        <v>0.27075844300000002</v>
      </c>
      <c r="Q3295" t="str">
        <f t="shared" si="102"/>
        <v>15-24</v>
      </c>
      <c r="R3295" t="str">
        <f t="shared" si="103"/>
        <v>[ScR9iFKAasW]|15-24|Female|Untreated_PLHIV_Attend.T_1|CY2024Q3</v>
      </c>
    </row>
    <row r="3296" spans="4:18" x14ac:dyDescent="0.2">
      <c r="D3296" t="s">
        <v>87</v>
      </c>
      <c r="E3296" t="s">
        <v>88</v>
      </c>
      <c r="F3296" t="s">
        <v>89</v>
      </c>
      <c r="G3296" t="s">
        <v>151</v>
      </c>
      <c r="H3296" t="s">
        <v>151</v>
      </c>
      <c r="I3296" t="s">
        <v>41</v>
      </c>
      <c r="J3296" t="s">
        <v>42</v>
      </c>
      <c r="K3296" t="s">
        <v>30</v>
      </c>
      <c r="L3296" t="s">
        <v>31</v>
      </c>
      <c r="M3296" t="s">
        <v>140</v>
      </c>
      <c r="N3296">
        <v>453</v>
      </c>
      <c r="O3296">
        <v>0.41803396900000001</v>
      </c>
      <c r="P3296">
        <v>0.27075844300000002</v>
      </c>
      <c r="Q3296" t="str">
        <f t="shared" si="102"/>
        <v>25-34</v>
      </c>
      <c r="R3296" t="str">
        <f t="shared" si="103"/>
        <v>[ScR9iFKAasW]|25-34|Female|Untreated_PLHIV_Attend.T_1|CY2024Q3</v>
      </c>
    </row>
    <row r="3297" spans="4:18" x14ac:dyDescent="0.2">
      <c r="D3297" t="s">
        <v>87</v>
      </c>
      <c r="E3297" t="s">
        <v>88</v>
      </c>
      <c r="F3297" t="s">
        <v>89</v>
      </c>
      <c r="G3297" t="s">
        <v>151</v>
      </c>
      <c r="H3297" t="s">
        <v>151</v>
      </c>
      <c r="I3297" t="s">
        <v>43</v>
      </c>
      <c r="J3297" t="s">
        <v>44</v>
      </c>
      <c r="K3297" t="s">
        <v>30</v>
      </c>
      <c r="L3297" t="s">
        <v>31</v>
      </c>
      <c r="M3297" t="s">
        <v>140</v>
      </c>
      <c r="N3297">
        <v>566</v>
      </c>
      <c r="O3297">
        <v>0.433854395</v>
      </c>
      <c r="P3297">
        <v>0.27075844300000002</v>
      </c>
      <c r="Q3297" t="str">
        <f t="shared" si="102"/>
        <v>35-49</v>
      </c>
      <c r="R3297" t="str">
        <f t="shared" si="103"/>
        <v>[ScR9iFKAasW]|35-49|Female|Untreated_PLHIV_Attend.T_1|CY2024Q3</v>
      </c>
    </row>
    <row r="3298" spans="4:18" x14ac:dyDescent="0.2">
      <c r="D3298" t="s">
        <v>87</v>
      </c>
      <c r="E3298" t="s">
        <v>88</v>
      </c>
      <c r="F3298" t="s">
        <v>89</v>
      </c>
      <c r="G3298" t="s">
        <v>151</v>
      </c>
      <c r="H3298" t="s">
        <v>151</v>
      </c>
      <c r="I3298" t="s">
        <v>45</v>
      </c>
      <c r="J3298" t="s">
        <v>46</v>
      </c>
      <c r="K3298" t="s">
        <v>30</v>
      </c>
      <c r="L3298" t="s">
        <v>31</v>
      </c>
      <c r="M3298" t="s">
        <v>140</v>
      </c>
      <c r="N3298">
        <v>132</v>
      </c>
      <c r="O3298">
        <v>0.43245019899999998</v>
      </c>
      <c r="P3298">
        <v>0.27075844300000002</v>
      </c>
      <c r="Q3298" t="str">
        <f t="shared" si="102"/>
        <v>50+</v>
      </c>
      <c r="R3298" t="str">
        <f t="shared" si="103"/>
        <v>[ScR9iFKAasW]|50+|Female|Untreated_PLHIV_Attend.T_1|CY2024Q3</v>
      </c>
    </row>
    <row r="3299" spans="4:18" x14ac:dyDescent="0.2">
      <c r="D3299" t="s">
        <v>87</v>
      </c>
      <c r="E3299" t="s">
        <v>88</v>
      </c>
      <c r="F3299" t="s">
        <v>89</v>
      </c>
      <c r="G3299" t="s">
        <v>151</v>
      </c>
      <c r="H3299" t="s">
        <v>151</v>
      </c>
      <c r="I3299" t="s">
        <v>28</v>
      </c>
      <c r="J3299" t="s">
        <v>29</v>
      </c>
      <c r="K3299" t="s">
        <v>48</v>
      </c>
      <c r="L3299" t="s">
        <v>49</v>
      </c>
      <c r="M3299" t="s">
        <v>140</v>
      </c>
      <c r="N3299">
        <v>22</v>
      </c>
      <c r="O3299">
        <v>8.9504463000000006E-2</v>
      </c>
      <c r="P3299">
        <v>0.27075844300000002</v>
      </c>
      <c r="Q3299" t="str">
        <f t="shared" si="102"/>
        <v>&lt;01</v>
      </c>
      <c r="R3299" t="str">
        <f t="shared" si="103"/>
        <v>[ScR9iFKAasW]|&lt;01|Male|Untreated_PLHIV_Attend.T_1|CY2024Q3</v>
      </c>
    </row>
    <row r="3300" spans="4:18" x14ac:dyDescent="0.2">
      <c r="D3300" t="s">
        <v>87</v>
      </c>
      <c r="E3300" t="s">
        <v>88</v>
      </c>
      <c r="F3300" t="s">
        <v>89</v>
      </c>
      <c r="G3300" t="s">
        <v>151</v>
      </c>
      <c r="H3300" t="s">
        <v>151</v>
      </c>
      <c r="I3300" t="s">
        <v>33</v>
      </c>
      <c r="J3300" t="s">
        <v>34</v>
      </c>
      <c r="K3300" t="s">
        <v>48</v>
      </c>
      <c r="L3300" t="s">
        <v>49</v>
      </c>
      <c r="M3300" t="s">
        <v>140</v>
      </c>
      <c r="N3300">
        <v>328</v>
      </c>
      <c r="O3300">
        <v>9.7942284000000004E-2</v>
      </c>
      <c r="P3300">
        <v>0.27075844300000002</v>
      </c>
      <c r="Q3300" t="str">
        <f t="shared" si="102"/>
        <v>01-09</v>
      </c>
      <c r="R3300" t="str">
        <f t="shared" si="103"/>
        <v>[ScR9iFKAasW]|01-09|Male|Untreated_PLHIV_Attend.T_1|CY2024Q3</v>
      </c>
    </row>
    <row r="3301" spans="4:18" x14ac:dyDescent="0.2">
      <c r="D3301" t="s">
        <v>87</v>
      </c>
      <c r="E3301" t="s">
        <v>88</v>
      </c>
      <c r="F3301" t="s">
        <v>89</v>
      </c>
      <c r="G3301" t="s">
        <v>151</v>
      </c>
      <c r="H3301" t="s">
        <v>151</v>
      </c>
      <c r="I3301" t="s">
        <v>36</v>
      </c>
      <c r="J3301" t="s">
        <v>37</v>
      </c>
      <c r="K3301" t="s">
        <v>48</v>
      </c>
      <c r="L3301" t="s">
        <v>49</v>
      </c>
      <c r="M3301" t="s">
        <v>140</v>
      </c>
      <c r="N3301">
        <v>327</v>
      </c>
      <c r="O3301">
        <v>0.10823068299999999</v>
      </c>
      <c r="P3301">
        <v>0.27075844300000002</v>
      </c>
      <c r="Q3301" t="str">
        <f t="shared" si="102"/>
        <v>10-14</v>
      </c>
      <c r="R3301" t="str">
        <f t="shared" si="103"/>
        <v>[ScR9iFKAasW]|10-14|Male|Untreated_PLHIV_Attend.T_1|CY2024Q3</v>
      </c>
    </row>
    <row r="3302" spans="4:18" x14ac:dyDescent="0.2">
      <c r="D3302" t="s">
        <v>87</v>
      </c>
      <c r="E3302" t="s">
        <v>88</v>
      </c>
      <c r="F3302" t="s">
        <v>89</v>
      </c>
      <c r="G3302" t="s">
        <v>151</v>
      </c>
      <c r="H3302" t="s">
        <v>151</v>
      </c>
      <c r="I3302" t="s">
        <v>38</v>
      </c>
      <c r="J3302" t="s">
        <v>39</v>
      </c>
      <c r="K3302" t="s">
        <v>48</v>
      </c>
      <c r="L3302" t="s">
        <v>49</v>
      </c>
      <c r="M3302" t="s">
        <v>140</v>
      </c>
      <c r="N3302">
        <v>325</v>
      </c>
      <c r="O3302">
        <v>0.40901961199999998</v>
      </c>
      <c r="P3302">
        <v>0.27075844300000002</v>
      </c>
      <c r="Q3302" t="str">
        <f t="shared" si="102"/>
        <v>15-24</v>
      </c>
      <c r="R3302" t="str">
        <f t="shared" si="103"/>
        <v>[ScR9iFKAasW]|15-24|Male|Untreated_PLHIV_Attend.T_1|CY2024Q3</v>
      </c>
    </row>
    <row r="3303" spans="4:18" x14ac:dyDescent="0.2">
      <c r="D3303" t="s">
        <v>87</v>
      </c>
      <c r="E3303" t="s">
        <v>88</v>
      </c>
      <c r="F3303" t="s">
        <v>89</v>
      </c>
      <c r="G3303" t="s">
        <v>151</v>
      </c>
      <c r="H3303" t="s">
        <v>151</v>
      </c>
      <c r="I3303" t="s">
        <v>41</v>
      </c>
      <c r="J3303" t="s">
        <v>42</v>
      </c>
      <c r="K3303" t="s">
        <v>48</v>
      </c>
      <c r="L3303" t="s">
        <v>49</v>
      </c>
      <c r="M3303" t="s">
        <v>140</v>
      </c>
      <c r="N3303">
        <v>740</v>
      </c>
      <c r="O3303">
        <v>0.438474957</v>
      </c>
      <c r="P3303">
        <v>0.27075844300000002</v>
      </c>
      <c r="Q3303" t="str">
        <f t="shared" si="102"/>
        <v>25-34</v>
      </c>
      <c r="R3303" t="str">
        <f t="shared" si="103"/>
        <v>[ScR9iFKAasW]|25-34|Male|Untreated_PLHIV_Attend.T_1|CY2024Q3</v>
      </c>
    </row>
    <row r="3304" spans="4:18" x14ac:dyDescent="0.2">
      <c r="D3304" t="s">
        <v>87</v>
      </c>
      <c r="E3304" t="s">
        <v>88</v>
      </c>
      <c r="F3304" t="s">
        <v>89</v>
      </c>
      <c r="G3304" t="s">
        <v>151</v>
      </c>
      <c r="H3304" t="s">
        <v>151</v>
      </c>
      <c r="I3304" t="s">
        <v>43</v>
      </c>
      <c r="J3304" t="s">
        <v>44</v>
      </c>
      <c r="K3304" t="s">
        <v>48</v>
      </c>
      <c r="L3304" t="s">
        <v>49</v>
      </c>
      <c r="M3304" t="s">
        <v>140</v>
      </c>
      <c r="N3304">
        <v>1756</v>
      </c>
      <c r="O3304">
        <v>0.44726575800000001</v>
      </c>
      <c r="P3304">
        <v>0.27075844300000002</v>
      </c>
      <c r="Q3304" t="str">
        <f t="shared" si="102"/>
        <v>35-49</v>
      </c>
      <c r="R3304" t="str">
        <f t="shared" si="103"/>
        <v>[ScR9iFKAasW]|35-49|Male|Untreated_PLHIV_Attend.T_1|CY2024Q3</v>
      </c>
    </row>
    <row r="3305" spans="4:18" x14ac:dyDescent="0.2">
      <c r="D3305" t="s">
        <v>87</v>
      </c>
      <c r="E3305" t="s">
        <v>88</v>
      </c>
      <c r="F3305" t="s">
        <v>89</v>
      </c>
      <c r="G3305" t="s">
        <v>151</v>
      </c>
      <c r="H3305" t="s">
        <v>151</v>
      </c>
      <c r="I3305" t="s">
        <v>45</v>
      </c>
      <c r="J3305" t="s">
        <v>46</v>
      </c>
      <c r="K3305" t="s">
        <v>48</v>
      </c>
      <c r="L3305" t="s">
        <v>49</v>
      </c>
      <c r="M3305" t="s">
        <v>140</v>
      </c>
      <c r="N3305">
        <v>657</v>
      </c>
      <c r="O3305">
        <v>0.43144490299999999</v>
      </c>
      <c r="P3305">
        <v>0.27075844300000002</v>
      </c>
      <c r="Q3305" t="str">
        <f t="shared" si="102"/>
        <v>50+</v>
      </c>
      <c r="R3305" t="str">
        <f t="shared" si="103"/>
        <v>[ScR9iFKAasW]|50+|Male|Untreated_PLHIV_Attend.T_1|CY2024Q3</v>
      </c>
    </row>
    <row r="3306" spans="4:18" x14ac:dyDescent="0.2">
      <c r="D3306" t="s">
        <v>90</v>
      </c>
      <c r="E3306" t="s">
        <v>91</v>
      </c>
      <c r="F3306" t="s">
        <v>92</v>
      </c>
      <c r="G3306" t="s">
        <v>151</v>
      </c>
      <c r="H3306" t="s">
        <v>151</v>
      </c>
      <c r="I3306" t="s">
        <v>28</v>
      </c>
      <c r="J3306" t="s">
        <v>29</v>
      </c>
      <c r="K3306" t="s">
        <v>30</v>
      </c>
      <c r="L3306" t="s">
        <v>31</v>
      </c>
      <c r="M3306" t="s">
        <v>140</v>
      </c>
      <c r="N3306">
        <v>4</v>
      </c>
      <c r="O3306">
        <v>0.12763564699999999</v>
      </c>
      <c r="P3306">
        <v>0.29719946800000002</v>
      </c>
      <c r="Q3306" t="str">
        <f t="shared" si="102"/>
        <v>&lt;01</v>
      </c>
      <c r="R3306" t="str">
        <f t="shared" si="103"/>
        <v>[kxuuIFpOXyO]|&lt;01|Female|Untreated_PLHIV_Attend.T_1|CY2024Q3</v>
      </c>
    </row>
    <row r="3307" spans="4:18" x14ac:dyDescent="0.2">
      <c r="D3307" t="s">
        <v>90</v>
      </c>
      <c r="E3307" t="s">
        <v>91</v>
      </c>
      <c r="F3307" t="s">
        <v>92</v>
      </c>
      <c r="G3307" t="s">
        <v>151</v>
      </c>
      <c r="H3307" t="s">
        <v>151</v>
      </c>
      <c r="I3307" t="s">
        <v>33</v>
      </c>
      <c r="J3307" t="s">
        <v>34</v>
      </c>
      <c r="K3307" t="s">
        <v>30</v>
      </c>
      <c r="L3307" t="s">
        <v>31</v>
      </c>
      <c r="M3307" t="s">
        <v>140</v>
      </c>
      <c r="N3307">
        <v>73</v>
      </c>
      <c r="O3307">
        <v>0.145234591</v>
      </c>
      <c r="P3307">
        <v>0.29719946800000002</v>
      </c>
      <c r="Q3307" t="str">
        <f t="shared" si="102"/>
        <v>01-09</v>
      </c>
      <c r="R3307" t="str">
        <f t="shared" si="103"/>
        <v>[kxuuIFpOXyO]|01-09|Female|Untreated_PLHIV_Attend.T_1|CY2024Q3</v>
      </c>
    </row>
    <row r="3308" spans="4:18" x14ac:dyDescent="0.2">
      <c r="D3308" t="s">
        <v>90</v>
      </c>
      <c r="E3308" t="s">
        <v>91</v>
      </c>
      <c r="F3308" t="s">
        <v>92</v>
      </c>
      <c r="G3308" t="s">
        <v>151</v>
      </c>
      <c r="H3308" t="s">
        <v>151</v>
      </c>
      <c r="I3308" t="s">
        <v>36</v>
      </c>
      <c r="J3308" t="s">
        <v>37</v>
      </c>
      <c r="K3308" t="s">
        <v>30</v>
      </c>
      <c r="L3308" t="s">
        <v>31</v>
      </c>
      <c r="M3308" t="s">
        <v>140</v>
      </c>
      <c r="N3308">
        <v>84</v>
      </c>
      <c r="O3308">
        <v>0.16684299299999999</v>
      </c>
      <c r="P3308">
        <v>0.29719946800000002</v>
      </c>
      <c r="Q3308" t="str">
        <f t="shared" si="102"/>
        <v>10-14</v>
      </c>
      <c r="R3308" t="str">
        <f t="shared" si="103"/>
        <v>[kxuuIFpOXyO]|10-14|Female|Untreated_PLHIV_Attend.T_1|CY2024Q3</v>
      </c>
    </row>
    <row r="3309" spans="4:18" x14ac:dyDescent="0.2">
      <c r="D3309" t="s">
        <v>90</v>
      </c>
      <c r="E3309" t="s">
        <v>91</v>
      </c>
      <c r="F3309" t="s">
        <v>92</v>
      </c>
      <c r="G3309" t="s">
        <v>151</v>
      </c>
      <c r="H3309" t="s">
        <v>151</v>
      </c>
      <c r="I3309" t="s">
        <v>38</v>
      </c>
      <c r="J3309" t="s">
        <v>39</v>
      </c>
      <c r="K3309" t="s">
        <v>30</v>
      </c>
      <c r="L3309" t="s">
        <v>31</v>
      </c>
      <c r="M3309" t="s">
        <v>140</v>
      </c>
      <c r="N3309">
        <v>68</v>
      </c>
      <c r="O3309">
        <v>0.44914306100000001</v>
      </c>
      <c r="P3309">
        <v>0.29719946800000002</v>
      </c>
      <c r="Q3309" t="str">
        <f t="shared" si="102"/>
        <v>15-24</v>
      </c>
      <c r="R3309" t="str">
        <f t="shared" si="103"/>
        <v>[kxuuIFpOXyO]|15-24|Female|Untreated_PLHIV_Attend.T_1|CY2024Q3</v>
      </c>
    </row>
    <row r="3310" spans="4:18" x14ac:dyDescent="0.2">
      <c r="D3310" t="s">
        <v>90</v>
      </c>
      <c r="E3310" t="s">
        <v>91</v>
      </c>
      <c r="F3310" t="s">
        <v>92</v>
      </c>
      <c r="G3310" t="s">
        <v>151</v>
      </c>
      <c r="H3310" t="s">
        <v>151</v>
      </c>
      <c r="I3310" t="s">
        <v>41</v>
      </c>
      <c r="J3310" t="s">
        <v>42</v>
      </c>
      <c r="K3310" t="s">
        <v>30</v>
      </c>
      <c r="L3310" t="s">
        <v>31</v>
      </c>
      <c r="M3310" t="s">
        <v>140</v>
      </c>
      <c r="N3310">
        <v>97</v>
      </c>
      <c r="O3310">
        <v>0.44172993100000002</v>
      </c>
      <c r="P3310">
        <v>0.29719946800000002</v>
      </c>
      <c r="Q3310" t="str">
        <f t="shared" si="102"/>
        <v>25-34</v>
      </c>
      <c r="R3310" t="str">
        <f t="shared" si="103"/>
        <v>[kxuuIFpOXyO]|25-34|Female|Untreated_PLHIV_Attend.T_1|CY2024Q3</v>
      </c>
    </row>
    <row r="3311" spans="4:18" x14ac:dyDescent="0.2">
      <c r="D3311" t="s">
        <v>90</v>
      </c>
      <c r="E3311" t="s">
        <v>91</v>
      </c>
      <c r="F3311" t="s">
        <v>92</v>
      </c>
      <c r="G3311" t="s">
        <v>151</v>
      </c>
      <c r="H3311" t="s">
        <v>151</v>
      </c>
      <c r="I3311" t="s">
        <v>43</v>
      </c>
      <c r="J3311" t="s">
        <v>44</v>
      </c>
      <c r="K3311" t="s">
        <v>30</v>
      </c>
      <c r="L3311" t="s">
        <v>31</v>
      </c>
      <c r="M3311" t="s">
        <v>140</v>
      </c>
      <c r="N3311">
        <v>120</v>
      </c>
      <c r="O3311">
        <v>0.45884083799999997</v>
      </c>
      <c r="P3311">
        <v>0.29719946800000002</v>
      </c>
      <c r="Q3311" t="str">
        <f t="shared" si="102"/>
        <v>35-49</v>
      </c>
      <c r="R3311" t="str">
        <f t="shared" si="103"/>
        <v>[kxuuIFpOXyO]|35-49|Female|Untreated_PLHIV_Attend.T_1|CY2024Q3</v>
      </c>
    </row>
    <row r="3312" spans="4:18" x14ac:dyDescent="0.2">
      <c r="D3312" t="s">
        <v>90</v>
      </c>
      <c r="E3312" t="s">
        <v>91</v>
      </c>
      <c r="F3312" t="s">
        <v>92</v>
      </c>
      <c r="G3312" t="s">
        <v>151</v>
      </c>
      <c r="H3312" t="s">
        <v>151</v>
      </c>
      <c r="I3312" t="s">
        <v>45</v>
      </c>
      <c r="J3312" t="s">
        <v>46</v>
      </c>
      <c r="K3312" t="s">
        <v>30</v>
      </c>
      <c r="L3312" t="s">
        <v>31</v>
      </c>
      <c r="M3312" t="s">
        <v>140</v>
      </c>
      <c r="N3312">
        <v>42</v>
      </c>
      <c r="O3312">
        <v>0.45434487499999998</v>
      </c>
      <c r="P3312">
        <v>0.29719946800000002</v>
      </c>
      <c r="Q3312" t="str">
        <f t="shared" si="102"/>
        <v>50+</v>
      </c>
      <c r="R3312" t="str">
        <f t="shared" si="103"/>
        <v>[kxuuIFpOXyO]|50+|Female|Untreated_PLHIV_Attend.T_1|CY2024Q3</v>
      </c>
    </row>
    <row r="3313" spans="4:18" x14ac:dyDescent="0.2">
      <c r="D3313" t="s">
        <v>90</v>
      </c>
      <c r="E3313" t="s">
        <v>91</v>
      </c>
      <c r="F3313" t="s">
        <v>92</v>
      </c>
      <c r="G3313" t="s">
        <v>151</v>
      </c>
      <c r="H3313" t="s">
        <v>151</v>
      </c>
      <c r="I3313" t="s">
        <v>28</v>
      </c>
      <c r="J3313" t="s">
        <v>29</v>
      </c>
      <c r="K3313" t="s">
        <v>48</v>
      </c>
      <c r="L3313" t="s">
        <v>49</v>
      </c>
      <c r="M3313" t="s">
        <v>140</v>
      </c>
      <c r="N3313">
        <v>4</v>
      </c>
      <c r="O3313">
        <v>0.15020575799999999</v>
      </c>
      <c r="P3313">
        <v>0.29719946800000002</v>
      </c>
      <c r="Q3313" t="str">
        <f t="shared" si="102"/>
        <v>&lt;01</v>
      </c>
      <c r="R3313" t="str">
        <f t="shared" si="103"/>
        <v>[kxuuIFpOXyO]|&lt;01|Male|Untreated_PLHIV_Attend.T_1|CY2024Q3</v>
      </c>
    </row>
    <row r="3314" spans="4:18" x14ac:dyDescent="0.2">
      <c r="D3314" t="s">
        <v>90</v>
      </c>
      <c r="E3314" t="s">
        <v>91</v>
      </c>
      <c r="F3314" t="s">
        <v>92</v>
      </c>
      <c r="G3314" t="s">
        <v>151</v>
      </c>
      <c r="H3314" t="s">
        <v>151</v>
      </c>
      <c r="I3314" t="s">
        <v>33</v>
      </c>
      <c r="J3314" t="s">
        <v>34</v>
      </c>
      <c r="K3314" t="s">
        <v>48</v>
      </c>
      <c r="L3314" t="s">
        <v>49</v>
      </c>
      <c r="M3314" t="s">
        <v>140</v>
      </c>
      <c r="N3314">
        <v>68</v>
      </c>
      <c r="O3314">
        <v>0.167395351</v>
      </c>
      <c r="P3314">
        <v>0.29719946800000002</v>
      </c>
      <c r="Q3314" t="str">
        <f t="shared" si="102"/>
        <v>01-09</v>
      </c>
      <c r="R3314" t="str">
        <f t="shared" si="103"/>
        <v>[kxuuIFpOXyO]|01-09|Male|Untreated_PLHIV_Attend.T_1|CY2024Q3</v>
      </c>
    </row>
    <row r="3315" spans="4:18" x14ac:dyDescent="0.2">
      <c r="D3315" t="s">
        <v>90</v>
      </c>
      <c r="E3315" t="s">
        <v>91</v>
      </c>
      <c r="F3315" t="s">
        <v>92</v>
      </c>
      <c r="G3315" t="s">
        <v>151</v>
      </c>
      <c r="H3315" t="s">
        <v>151</v>
      </c>
      <c r="I3315" t="s">
        <v>36</v>
      </c>
      <c r="J3315" t="s">
        <v>37</v>
      </c>
      <c r="K3315" t="s">
        <v>48</v>
      </c>
      <c r="L3315" t="s">
        <v>49</v>
      </c>
      <c r="M3315" t="s">
        <v>140</v>
      </c>
      <c r="N3315">
        <v>78</v>
      </c>
      <c r="O3315">
        <v>0.188652131</v>
      </c>
      <c r="P3315">
        <v>0.29719946800000002</v>
      </c>
      <c r="Q3315" t="str">
        <f t="shared" si="102"/>
        <v>10-14</v>
      </c>
      <c r="R3315" t="str">
        <f t="shared" si="103"/>
        <v>[kxuuIFpOXyO]|10-14|Male|Untreated_PLHIV_Attend.T_1|CY2024Q3</v>
      </c>
    </row>
    <row r="3316" spans="4:18" x14ac:dyDescent="0.2">
      <c r="D3316" t="s">
        <v>90</v>
      </c>
      <c r="E3316" t="s">
        <v>91</v>
      </c>
      <c r="F3316" t="s">
        <v>92</v>
      </c>
      <c r="G3316" t="s">
        <v>151</v>
      </c>
      <c r="H3316" t="s">
        <v>151</v>
      </c>
      <c r="I3316" t="s">
        <v>38</v>
      </c>
      <c r="J3316" t="s">
        <v>39</v>
      </c>
      <c r="K3316" t="s">
        <v>48</v>
      </c>
      <c r="L3316" t="s">
        <v>49</v>
      </c>
      <c r="M3316" t="s">
        <v>140</v>
      </c>
      <c r="N3316">
        <v>72</v>
      </c>
      <c r="O3316">
        <v>0.43344163299999999</v>
      </c>
      <c r="P3316">
        <v>0.29719946800000002</v>
      </c>
      <c r="Q3316" t="str">
        <f t="shared" si="102"/>
        <v>15-24</v>
      </c>
      <c r="R3316" t="str">
        <f t="shared" si="103"/>
        <v>[kxuuIFpOXyO]|15-24|Male|Untreated_PLHIV_Attend.T_1|CY2024Q3</v>
      </c>
    </row>
    <row r="3317" spans="4:18" x14ac:dyDescent="0.2">
      <c r="D3317" t="s">
        <v>90</v>
      </c>
      <c r="E3317" t="s">
        <v>91</v>
      </c>
      <c r="F3317" t="s">
        <v>92</v>
      </c>
      <c r="G3317" t="s">
        <v>151</v>
      </c>
      <c r="H3317" t="s">
        <v>151</v>
      </c>
      <c r="I3317" t="s">
        <v>41</v>
      </c>
      <c r="J3317" t="s">
        <v>42</v>
      </c>
      <c r="K3317" t="s">
        <v>48</v>
      </c>
      <c r="L3317" t="s">
        <v>49</v>
      </c>
      <c r="M3317" t="s">
        <v>140</v>
      </c>
      <c r="N3317">
        <v>127</v>
      </c>
      <c r="O3317">
        <v>0.46291430500000003</v>
      </c>
      <c r="P3317">
        <v>0.29719946800000002</v>
      </c>
      <c r="Q3317" t="str">
        <f t="shared" si="102"/>
        <v>25-34</v>
      </c>
      <c r="R3317" t="str">
        <f t="shared" si="103"/>
        <v>[kxuuIFpOXyO]|25-34|Male|Untreated_PLHIV_Attend.T_1|CY2024Q3</v>
      </c>
    </row>
    <row r="3318" spans="4:18" x14ac:dyDescent="0.2">
      <c r="D3318" t="s">
        <v>90</v>
      </c>
      <c r="E3318" t="s">
        <v>91</v>
      </c>
      <c r="F3318" t="s">
        <v>92</v>
      </c>
      <c r="G3318" t="s">
        <v>151</v>
      </c>
      <c r="H3318" t="s">
        <v>151</v>
      </c>
      <c r="I3318" t="s">
        <v>43</v>
      </c>
      <c r="J3318" t="s">
        <v>44</v>
      </c>
      <c r="K3318" t="s">
        <v>48</v>
      </c>
      <c r="L3318" t="s">
        <v>49</v>
      </c>
      <c r="M3318" t="s">
        <v>140</v>
      </c>
      <c r="N3318">
        <v>290</v>
      </c>
      <c r="O3318">
        <v>0.47488883999999998</v>
      </c>
      <c r="P3318">
        <v>0.29719946800000002</v>
      </c>
      <c r="Q3318" t="str">
        <f t="shared" si="102"/>
        <v>35-49</v>
      </c>
      <c r="R3318" t="str">
        <f t="shared" si="103"/>
        <v>[kxuuIFpOXyO]|35-49|Male|Untreated_PLHIV_Attend.T_1|CY2024Q3</v>
      </c>
    </row>
    <row r="3319" spans="4:18" x14ac:dyDescent="0.2">
      <c r="D3319" t="s">
        <v>90</v>
      </c>
      <c r="E3319" t="s">
        <v>91</v>
      </c>
      <c r="F3319" t="s">
        <v>92</v>
      </c>
      <c r="G3319" t="s">
        <v>151</v>
      </c>
      <c r="H3319" t="s">
        <v>151</v>
      </c>
      <c r="I3319" t="s">
        <v>45</v>
      </c>
      <c r="J3319" t="s">
        <v>46</v>
      </c>
      <c r="K3319" t="s">
        <v>48</v>
      </c>
      <c r="L3319" t="s">
        <v>49</v>
      </c>
      <c r="M3319" t="s">
        <v>140</v>
      </c>
      <c r="N3319">
        <v>154</v>
      </c>
      <c r="O3319">
        <v>0.45196372499999998</v>
      </c>
      <c r="P3319">
        <v>0.29719946800000002</v>
      </c>
      <c r="Q3319" t="str">
        <f t="shared" si="102"/>
        <v>50+</v>
      </c>
      <c r="R3319" t="str">
        <f t="shared" si="103"/>
        <v>[kxuuIFpOXyO]|50+|Male|Untreated_PLHIV_Attend.T_1|CY2024Q3</v>
      </c>
    </row>
    <row r="3320" spans="4:18" x14ac:dyDescent="0.2">
      <c r="D3320" t="s">
        <v>93</v>
      </c>
      <c r="E3320" t="s">
        <v>94</v>
      </c>
      <c r="F3320" t="s">
        <v>95</v>
      </c>
      <c r="G3320" t="s">
        <v>151</v>
      </c>
      <c r="H3320" t="s">
        <v>151</v>
      </c>
      <c r="I3320" t="s">
        <v>28</v>
      </c>
      <c r="J3320" t="s">
        <v>29</v>
      </c>
      <c r="K3320" t="s">
        <v>30</v>
      </c>
      <c r="L3320" t="s">
        <v>31</v>
      </c>
      <c r="M3320" t="s">
        <v>140</v>
      </c>
      <c r="N3320">
        <v>5</v>
      </c>
      <c r="O3320">
        <v>0.120899019</v>
      </c>
      <c r="P3320">
        <v>0.28643234200000001</v>
      </c>
      <c r="Q3320" t="str">
        <f t="shared" si="102"/>
        <v>&lt;01</v>
      </c>
      <c r="R3320" t="str">
        <f t="shared" si="103"/>
        <v>[PekKUkKHAzY]|&lt;01|Female|Untreated_PLHIV_Attend.T_1|CY2024Q3</v>
      </c>
    </row>
    <row r="3321" spans="4:18" x14ac:dyDescent="0.2">
      <c r="D3321" t="s">
        <v>93</v>
      </c>
      <c r="E3321" t="s">
        <v>94</v>
      </c>
      <c r="F3321" t="s">
        <v>95</v>
      </c>
      <c r="G3321" t="s">
        <v>151</v>
      </c>
      <c r="H3321" t="s">
        <v>151</v>
      </c>
      <c r="I3321" t="s">
        <v>33</v>
      </c>
      <c r="J3321" t="s">
        <v>34</v>
      </c>
      <c r="K3321" t="s">
        <v>30</v>
      </c>
      <c r="L3321" t="s">
        <v>31</v>
      </c>
      <c r="M3321" t="s">
        <v>140</v>
      </c>
      <c r="N3321">
        <v>77</v>
      </c>
      <c r="O3321">
        <v>0.13612332199999999</v>
      </c>
      <c r="P3321">
        <v>0.28643234200000001</v>
      </c>
      <c r="Q3321" t="str">
        <f t="shared" si="102"/>
        <v>01-09</v>
      </c>
      <c r="R3321" t="str">
        <f t="shared" si="103"/>
        <v>[PekKUkKHAzY]|01-09|Female|Untreated_PLHIV_Attend.T_1|CY2024Q3</v>
      </c>
    </row>
    <row r="3322" spans="4:18" x14ac:dyDescent="0.2">
      <c r="D3322" t="s">
        <v>93</v>
      </c>
      <c r="E3322" t="s">
        <v>94</v>
      </c>
      <c r="F3322" t="s">
        <v>95</v>
      </c>
      <c r="G3322" t="s">
        <v>151</v>
      </c>
      <c r="H3322" t="s">
        <v>151</v>
      </c>
      <c r="I3322" t="s">
        <v>36</v>
      </c>
      <c r="J3322" t="s">
        <v>37</v>
      </c>
      <c r="K3322" t="s">
        <v>30</v>
      </c>
      <c r="L3322" t="s">
        <v>31</v>
      </c>
      <c r="M3322" t="s">
        <v>140</v>
      </c>
      <c r="N3322">
        <v>87</v>
      </c>
      <c r="O3322">
        <v>0.155391099</v>
      </c>
      <c r="P3322">
        <v>0.28643234200000001</v>
      </c>
      <c r="Q3322" t="str">
        <f t="shared" si="102"/>
        <v>10-14</v>
      </c>
      <c r="R3322" t="str">
        <f t="shared" si="103"/>
        <v>[PekKUkKHAzY]|10-14|Female|Untreated_PLHIV_Attend.T_1|CY2024Q3</v>
      </c>
    </row>
    <row r="3323" spans="4:18" x14ac:dyDescent="0.2">
      <c r="D3323" t="s">
        <v>93</v>
      </c>
      <c r="E3323" t="s">
        <v>94</v>
      </c>
      <c r="F3323" t="s">
        <v>95</v>
      </c>
      <c r="G3323" t="s">
        <v>151</v>
      </c>
      <c r="H3323" t="s">
        <v>151</v>
      </c>
      <c r="I3323" t="s">
        <v>38</v>
      </c>
      <c r="J3323" t="s">
        <v>39</v>
      </c>
      <c r="K3323" t="s">
        <v>30</v>
      </c>
      <c r="L3323" t="s">
        <v>31</v>
      </c>
      <c r="M3323" t="s">
        <v>140</v>
      </c>
      <c r="N3323">
        <v>75</v>
      </c>
      <c r="O3323">
        <v>0.43833856599999999</v>
      </c>
      <c r="P3323">
        <v>0.28643234200000001</v>
      </c>
      <c r="Q3323" t="str">
        <f t="shared" si="102"/>
        <v>15-24</v>
      </c>
      <c r="R3323" t="str">
        <f t="shared" si="103"/>
        <v>[PekKUkKHAzY]|15-24|Female|Untreated_PLHIV_Attend.T_1|CY2024Q3</v>
      </c>
    </row>
    <row r="3324" spans="4:18" x14ac:dyDescent="0.2">
      <c r="D3324" t="s">
        <v>93</v>
      </c>
      <c r="E3324" t="s">
        <v>94</v>
      </c>
      <c r="F3324" t="s">
        <v>95</v>
      </c>
      <c r="G3324" t="s">
        <v>151</v>
      </c>
      <c r="H3324" t="s">
        <v>151</v>
      </c>
      <c r="I3324" t="s">
        <v>41</v>
      </c>
      <c r="J3324" t="s">
        <v>42</v>
      </c>
      <c r="K3324" t="s">
        <v>30</v>
      </c>
      <c r="L3324" t="s">
        <v>31</v>
      </c>
      <c r="M3324" t="s">
        <v>140</v>
      </c>
      <c r="N3324">
        <v>107</v>
      </c>
      <c r="O3324">
        <v>0.430846962</v>
      </c>
      <c r="P3324">
        <v>0.28643234200000001</v>
      </c>
      <c r="Q3324" t="str">
        <f t="shared" si="102"/>
        <v>25-34</v>
      </c>
      <c r="R3324" t="str">
        <f t="shared" si="103"/>
        <v>[PekKUkKHAzY]|25-34|Female|Untreated_PLHIV_Attend.T_1|CY2024Q3</v>
      </c>
    </row>
    <row r="3325" spans="4:18" x14ac:dyDescent="0.2">
      <c r="D3325" t="s">
        <v>93</v>
      </c>
      <c r="E3325" t="s">
        <v>94</v>
      </c>
      <c r="F3325" t="s">
        <v>95</v>
      </c>
      <c r="G3325" t="s">
        <v>151</v>
      </c>
      <c r="H3325" t="s">
        <v>151</v>
      </c>
      <c r="I3325" t="s">
        <v>43</v>
      </c>
      <c r="J3325" t="s">
        <v>44</v>
      </c>
      <c r="K3325" t="s">
        <v>30</v>
      </c>
      <c r="L3325" t="s">
        <v>31</v>
      </c>
      <c r="M3325" t="s">
        <v>140</v>
      </c>
      <c r="N3325">
        <v>136</v>
      </c>
      <c r="O3325">
        <v>0.44570500400000002</v>
      </c>
      <c r="P3325">
        <v>0.28643234200000001</v>
      </c>
      <c r="Q3325" t="str">
        <f t="shared" si="102"/>
        <v>35-49</v>
      </c>
      <c r="R3325" t="str">
        <f t="shared" si="103"/>
        <v>[PekKUkKHAzY]|35-49|Female|Untreated_PLHIV_Attend.T_1|CY2024Q3</v>
      </c>
    </row>
    <row r="3326" spans="4:18" x14ac:dyDescent="0.2">
      <c r="D3326" t="s">
        <v>93</v>
      </c>
      <c r="E3326" t="s">
        <v>94</v>
      </c>
      <c r="F3326" t="s">
        <v>95</v>
      </c>
      <c r="G3326" t="s">
        <v>151</v>
      </c>
      <c r="H3326" t="s">
        <v>151</v>
      </c>
      <c r="I3326" t="s">
        <v>45</v>
      </c>
      <c r="J3326" t="s">
        <v>46</v>
      </c>
      <c r="K3326" t="s">
        <v>30</v>
      </c>
      <c r="L3326" t="s">
        <v>31</v>
      </c>
      <c r="M3326" t="s">
        <v>140</v>
      </c>
      <c r="N3326">
        <v>51</v>
      </c>
      <c r="O3326">
        <v>0.443934787</v>
      </c>
      <c r="P3326">
        <v>0.28643234200000001</v>
      </c>
      <c r="Q3326" t="str">
        <f t="shared" si="102"/>
        <v>50+</v>
      </c>
      <c r="R3326" t="str">
        <f t="shared" si="103"/>
        <v>[PekKUkKHAzY]|50+|Female|Untreated_PLHIV_Attend.T_1|CY2024Q3</v>
      </c>
    </row>
    <row r="3327" spans="4:18" x14ac:dyDescent="0.2">
      <c r="D3327" t="s">
        <v>93</v>
      </c>
      <c r="E3327" t="s">
        <v>94</v>
      </c>
      <c r="F3327" t="s">
        <v>95</v>
      </c>
      <c r="G3327" t="s">
        <v>151</v>
      </c>
      <c r="H3327" t="s">
        <v>151</v>
      </c>
      <c r="I3327" t="s">
        <v>28</v>
      </c>
      <c r="J3327" t="s">
        <v>29</v>
      </c>
      <c r="K3327" t="s">
        <v>48</v>
      </c>
      <c r="L3327" t="s">
        <v>49</v>
      </c>
      <c r="M3327" t="s">
        <v>140</v>
      </c>
      <c r="N3327">
        <v>5</v>
      </c>
      <c r="O3327">
        <v>0.142142304</v>
      </c>
      <c r="P3327">
        <v>0.28643234200000001</v>
      </c>
      <c r="Q3327" t="str">
        <f t="shared" si="102"/>
        <v>&lt;01</v>
      </c>
      <c r="R3327" t="str">
        <f t="shared" si="103"/>
        <v>[PekKUkKHAzY]|&lt;01|Male|Untreated_PLHIV_Attend.T_1|CY2024Q3</v>
      </c>
    </row>
    <row r="3328" spans="4:18" x14ac:dyDescent="0.2">
      <c r="D3328" t="s">
        <v>93</v>
      </c>
      <c r="E3328" t="s">
        <v>94</v>
      </c>
      <c r="F3328" t="s">
        <v>95</v>
      </c>
      <c r="G3328" t="s">
        <v>151</v>
      </c>
      <c r="H3328" t="s">
        <v>151</v>
      </c>
      <c r="I3328" t="s">
        <v>33</v>
      </c>
      <c r="J3328" t="s">
        <v>34</v>
      </c>
      <c r="K3328" t="s">
        <v>48</v>
      </c>
      <c r="L3328" t="s">
        <v>49</v>
      </c>
      <c r="M3328" t="s">
        <v>140</v>
      </c>
      <c r="N3328">
        <v>74</v>
      </c>
      <c r="O3328">
        <v>0.15685437699999999</v>
      </c>
      <c r="P3328">
        <v>0.28643234200000001</v>
      </c>
      <c r="Q3328" t="str">
        <f t="shared" si="102"/>
        <v>01-09</v>
      </c>
      <c r="R3328" t="str">
        <f t="shared" si="103"/>
        <v>[PekKUkKHAzY]|01-09|Male|Untreated_PLHIV_Attend.T_1|CY2024Q3</v>
      </c>
    </row>
    <row r="3329" spans="4:18" x14ac:dyDescent="0.2">
      <c r="D3329" t="s">
        <v>93</v>
      </c>
      <c r="E3329" t="s">
        <v>94</v>
      </c>
      <c r="F3329" t="s">
        <v>95</v>
      </c>
      <c r="G3329" t="s">
        <v>151</v>
      </c>
      <c r="H3329" t="s">
        <v>151</v>
      </c>
      <c r="I3329" t="s">
        <v>36</v>
      </c>
      <c r="J3329" t="s">
        <v>37</v>
      </c>
      <c r="K3329" t="s">
        <v>48</v>
      </c>
      <c r="L3329" t="s">
        <v>49</v>
      </c>
      <c r="M3329" t="s">
        <v>140</v>
      </c>
      <c r="N3329">
        <v>82</v>
      </c>
      <c r="O3329">
        <v>0.175634652</v>
      </c>
      <c r="P3329">
        <v>0.28643234200000001</v>
      </c>
      <c r="Q3329" t="str">
        <f t="shared" si="102"/>
        <v>10-14</v>
      </c>
      <c r="R3329" t="str">
        <f t="shared" si="103"/>
        <v>[PekKUkKHAzY]|10-14|Male|Untreated_PLHIV_Attend.T_1|CY2024Q3</v>
      </c>
    </row>
    <row r="3330" spans="4:18" x14ac:dyDescent="0.2">
      <c r="D3330" t="s">
        <v>93</v>
      </c>
      <c r="E3330" t="s">
        <v>94</v>
      </c>
      <c r="F3330" t="s">
        <v>95</v>
      </c>
      <c r="G3330" t="s">
        <v>151</v>
      </c>
      <c r="H3330" t="s">
        <v>151</v>
      </c>
      <c r="I3330" t="s">
        <v>38</v>
      </c>
      <c r="J3330" t="s">
        <v>39</v>
      </c>
      <c r="K3330" t="s">
        <v>48</v>
      </c>
      <c r="L3330" t="s">
        <v>49</v>
      </c>
      <c r="M3330" t="s">
        <v>140</v>
      </c>
      <c r="N3330">
        <v>76</v>
      </c>
      <c r="O3330">
        <v>0.41246332800000002</v>
      </c>
      <c r="P3330">
        <v>0.28643234200000001</v>
      </c>
      <c r="Q3330" t="str">
        <f t="shared" si="102"/>
        <v>15-24</v>
      </c>
      <c r="R3330" t="str">
        <f t="shared" si="103"/>
        <v>[PekKUkKHAzY]|15-24|Male|Untreated_PLHIV_Attend.T_1|CY2024Q3</v>
      </c>
    </row>
    <row r="3331" spans="4:18" x14ac:dyDescent="0.2">
      <c r="D3331" t="s">
        <v>93</v>
      </c>
      <c r="E3331" t="s">
        <v>94</v>
      </c>
      <c r="F3331" t="s">
        <v>95</v>
      </c>
      <c r="G3331" t="s">
        <v>151</v>
      </c>
      <c r="H3331" t="s">
        <v>151</v>
      </c>
      <c r="I3331" t="s">
        <v>41</v>
      </c>
      <c r="J3331" t="s">
        <v>42</v>
      </c>
      <c r="K3331" t="s">
        <v>48</v>
      </c>
      <c r="L3331" t="s">
        <v>49</v>
      </c>
      <c r="M3331" t="s">
        <v>140</v>
      </c>
      <c r="N3331">
        <v>124</v>
      </c>
      <c r="O3331">
        <v>0.444988306</v>
      </c>
      <c r="P3331">
        <v>0.28643234200000001</v>
      </c>
      <c r="Q3331" t="str">
        <f t="shared" ref="Q3331:Q3394" si="104">SUBSTITUTE(SUBSTITUTE($I3331,CHAR(61),""),CHAR(34),"")</f>
        <v>25-34</v>
      </c>
      <c r="R3331" t="str">
        <f t="shared" ref="R3331:R3394" si="105">IF($D3331&lt;&gt;"","["&amp;$E3331&amp;"]"&amp;"|"&amp;$Q3331&amp;"|"&amp;$K3331&amp;"|"&amp;$G3331&amp;"|"&amp;IF($G3331="TX_CURR_SUBNAT.R","CY2023Q4",$M3331),"")</f>
        <v>[PekKUkKHAzY]|25-34|Male|Untreated_PLHIV_Attend.T_1|CY2024Q3</v>
      </c>
    </row>
    <row r="3332" spans="4:18" x14ac:dyDescent="0.2">
      <c r="D3332" t="s">
        <v>93</v>
      </c>
      <c r="E3332" t="s">
        <v>94</v>
      </c>
      <c r="F3332" t="s">
        <v>95</v>
      </c>
      <c r="G3332" t="s">
        <v>151</v>
      </c>
      <c r="H3332" t="s">
        <v>151</v>
      </c>
      <c r="I3332" t="s">
        <v>43</v>
      </c>
      <c r="J3332" t="s">
        <v>44</v>
      </c>
      <c r="K3332" t="s">
        <v>48</v>
      </c>
      <c r="L3332" t="s">
        <v>49</v>
      </c>
      <c r="M3332" t="s">
        <v>140</v>
      </c>
      <c r="N3332">
        <v>289</v>
      </c>
      <c r="O3332">
        <v>0.459865207</v>
      </c>
      <c r="P3332">
        <v>0.28643234200000001</v>
      </c>
      <c r="Q3332" t="str">
        <f t="shared" si="104"/>
        <v>35-49</v>
      </c>
      <c r="R3332" t="str">
        <f t="shared" si="105"/>
        <v>[PekKUkKHAzY]|35-49|Male|Untreated_PLHIV_Attend.T_1|CY2024Q3</v>
      </c>
    </row>
    <row r="3333" spans="4:18" x14ac:dyDescent="0.2">
      <c r="D3333" t="s">
        <v>93</v>
      </c>
      <c r="E3333" t="s">
        <v>94</v>
      </c>
      <c r="F3333" t="s">
        <v>95</v>
      </c>
      <c r="G3333" t="s">
        <v>151</v>
      </c>
      <c r="H3333" t="s">
        <v>151</v>
      </c>
      <c r="I3333" t="s">
        <v>45</v>
      </c>
      <c r="J3333" t="s">
        <v>46</v>
      </c>
      <c r="K3333" t="s">
        <v>48</v>
      </c>
      <c r="L3333" t="s">
        <v>49</v>
      </c>
      <c r="M3333" t="s">
        <v>140</v>
      </c>
      <c r="N3333">
        <v>155</v>
      </c>
      <c r="O3333">
        <v>0.44039023599999999</v>
      </c>
      <c r="P3333">
        <v>0.28643234200000001</v>
      </c>
      <c r="Q3333" t="str">
        <f t="shared" si="104"/>
        <v>50+</v>
      </c>
      <c r="R3333" t="str">
        <f t="shared" si="105"/>
        <v>[PekKUkKHAzY]|50+|Male|Untreated_PLHIV_Attend.T_1|CY2024Q3</v>
      </c>
    </row>
    <row r="3334" spans="4:18" x14ac:dyDescent="0.2">
      <c r="D3334" t="s">
        <v>96</v>
      </c>
      <c r="E3334" t="s">
        <v>97</v>
      </c>
      <c r="F3334" t="s">
        <v>98</v>
      </c>
      <c r="G3334" t="s">
        <v>151</v>
      </c>
      <c r="H3334" t="s">
        <v>151</v>
      </c>
      <c r="I3334" t="s">
        <v>28</v>
      </c>
      <c r="J3334" t="s">
        <v>29</v>
      </c>
      <c r="K3334" t="s">
        <v>30</v>
      </c>
      <c r="L3334" t="s">
        <v>31</v>
      </c>
      <c r="M3334" t="s">
        <v>140</v>
      </c>
      <c r="N3334">
        <v>6</v>
      </c>
      <c r="O3334">
        <v>0.11450439</v>
      </c>
      <c r="P3334">
        <v>0.29327065000000002</v>
      </c>
      <c r="Q3334" t="str">
        <f t="shared" si="104"/>
        <v>&lt;01</v>
      </c>
      <c r="R3334" t="str">
        <f t="shared" si="105"/>
        <v>[am530wpaGvr]|&lt;01|Female|Untreated_PLHIV_Attend.T_1|CY2024Q3</v>
      </c>
    </row>
    <row r="3335" spans="4:18" x14ac:dyDescent="0.2">
      <c r="D3335" t="s">
        <v>96</v>
      </c>
      <c r="E3335" t="s">
        <v>97</v>
      </c>
      <c r="F3335" t="s">
        <v>98</v>
      </c>
      <c r="G3335" t="s">
        <v>151</v>
      </c>
      <c r="H3335" t="s">
        <v>151</v>
      </c>
      <c r="I3335" t="s">
        <v>33</v>
      </c>
      <c r="J3335" t="s">
        <v>34</v>
      </c>
      <c r="K3335" t="s">
        <v>30</v>
      </c>
      <c r="L3335" t="s">
        <v>31</v>
      </c>
      <c r="M3335" t="s">
        <v>140</v>
      </c>
      <c r="N3335">
        <v>105</v>
      </c>
      <c r="O3335">
        <v>0.12556859400000001</v>
      </c>
      <c r="P3335">
        <v>0.29327065000000002</v>
      </c>
      <c r="Q3335" t="str">
        <f t="shared" si="104"/>
        <v>01-09</v>
      </c>
      <c r="R3335" t="str">
        <f t="shared" si="105"/>
        <v>[am530wpaGvr]|01-09|Female|Untreated_PLHIV_Attend.T_1|CY2024Q3</v>
      </c>
    </row>
    <row r="3336" spans="4:18" x14ac:dyDescent="0.2">
      <c r="D3336" t="s">
        <v>96</v>
      </c>
      <c r="E3336" t="s">
        <v>97</v>
      </c>
      <c r="F3336" t="s">
        <v>98</v>
      </c>
      <c r="G3336" t="s">
        <v>151</v>
      </c>
      <c r="H3336" t="s">
        <v>151</v>
      </c>
      <c r="I3336" t="s">
        <v>36</v>
      </c>
      <c r="J3336" t="s">
        <v>37</v>
      </c>
      <c r="K3336" t="s">
        <v>30</v>
      </c>
      <c r="L3336" t="s">
        <v>31</v>
      </c>
      <c r="M3336" t="s">
        <v>140</v>
      </c>
      <c r="N3336">
        <v>117</v>
      </c>
      <c r="O3336">
        <v>0.13944067700000001</v>
      </c>
      <c r="P3336">
        <v>0.29327065000000002</v>
      </c>
      <c r="Q3336" t="str">
        <f t="shared" si="104"/>
        <v>10-14</v>
      </c>
      <c r="R3336" t="str">
        <f t="shared" si="105"/>
        <v>[am530wpaGvr]|10-14|Female|Untreated_PLHIV_Attend.T_1|CY2024Q3</v>
      </c>
    </row>
    <row r="3337" spans="4:18" x14ac:dyDescent="0.2">
      <c r="D3337" t="s">
        <v>96</v>
      </c>
      <c r="E3337" t="s">
        <v>97</v>
      </c>
      <c r="F3337" t="s">
        <v>98</v>
      </c>
      <c r="G3337" t="s">
        <v>151</v>
      </c>
      <c r="H3337" t="s">
        <v>151</v>
      </c>
      <c r="I3337" t="s">
        <v>38</v>
      </c>
      <c r="J3337" t="s">
        <v>39</v>
      </c>
      <c r="K3337" t="s">
        <v>30</v>
      </c>
      <c r="L3337" t="s">
        <v>31</v>
      </c>
      <c r="M3337" t="s">
        <v>140</v>
      </c>
      <c r="N3337">
        <v>123</v>
      </c>
      <c r="O3337">
        <v>0.42277122499999997</v>
      </c>
      <c r="P3337">
        <v>0.29327065000000002</v>
      </c>
      <c r="Q3337" t="str">
        <f t="shared" si="104"/>
        <v>15-24</v>
      </c>
      <c r="R3337" t="str">
        <f t="shared" si="105"/>
        <v>[am530wpaGvr]|15-24|Female|Untreated_PLHIV_Attend.T_1|CY2024Q3</v>
      </c>
    </row>
    <row r="3338" spans="4:18" x14ac:dyDescent="0.2">
      <c r="D3338" t="s">
        <v>96</v>
      </c>
      <c r="E3338" t="s">
        <v>97</v>
      </c>
      <c r="F3338" t="s">
        <v>98</v>
      </c>
      <c r="G3338" t="s">
        <v>151</v>
      </c>
      <c r="H3338" t="s">
        <v>151</v>
      </c>
      <c r="I3338" t="s">
        <v>41</v>
      </c>
      <c r="J3338" t="s">
        <v>42</v>
      </c>
      <c r="K3338" t="s">
        <v>30</v>
      </c>
      <c r="L3338" t="s">
        <v>31</v>
      </c>
      <c r="M3338" t="s">
        <v>140</v>
      </c>
      <c r="N3338">
        <v>173</v>
      </c>
      <c r="O3338">
        <v>0.41718491800000002</v>
      </c>
      <c r="P3338">
        <v>0.29327065000000002</v>
      </c>
      <c r="Q3338" t="str">
        <f t="shared" si="104"/>
        <v>25-34</v>
      </c>
      <c r="R3338" t="str">
        <f t="shared" si="105"/>
        <v>[am530wpaGvr]|25-34|Female|Untreated_PLHIV_Attend.T_1|CY2024Q3</v>
      </c>
    </row>
    <row r="3339" spans="4:18" x14ac:dyDescent="0.2">
      <c r="D3339" t="s">
        <v>96</v>
      </c>
      <c r="E3339" t="s">
        <v>97</v>
      </c>
      <c r="F3339" t="s">
        <v>98</v>
      </c>
      <c r="G3339" t="s">
        <v>151</v>
      </c>
      <c r="H3339" t="s">
        <v>151</v>
      </c>
      <c r="I3339" t="s">
        <v>43</v>
      </c>
      <c r="J3339" t="s">
        <v>44</v>
      </c>
      <c r="K3339" t="s">
        <v>30</v>
      </c>
      <c r="L3339" t="s">
        <v>31</v>
      </c>
      <c r="M3339" t="s">
        <v>140</v>
      </c>
      <c r="N3339">
        <v>211</v>
      </c>
      <c r="O3339">
        <v>0.43981935</v>
      </c>
      <c r="P3339">
        <v>0.29327065000000002</v>
      </c>
      <c r="Q3339" t="str">
        <f t="shared" si="104"/>
        <v>35-49</v>
      </c>
      <c r="R3339" t="str">
        <f t="shared" si="105"/>
        <v>[am530wpaGvr]|35-49|Female|Untreated_PLHIV_Attend.T_1|CY2024Q3</v>
      </c>
    </row>
    <row r="3340" spans="4:18" x14ac:dyDescent="0.2">
      <c r="D3340" t="s">
        <v>96</v>
      </c>
      <c r="E3340" t="s">
        <v>97</v>
      </c>
      <c r="F3340" t="s">
        <v>98</v>
      </c>
      <c r="G3340" t="s">
        <v>151</v>
      </c>
      <c r="H3340" t="s">
        <v>151</v>
      </c>
      <c r="I3340" t="s">
        <v>45</v>
      </c>
      <c r="J3340" t="s">
        <v>46</v>
      </c>
      <c r="K3340" t="s">
        <v>30</v>
      </c>
      <c r="L3340" t="s">
        <v>31</v>
      </c>
      <c r="M3340" t="s">
        <v>140</v>
      </c>
      <c r="N3340">
        <v>83</v>
      </c>
      <c r="O3340">
        <v>0.43801590699999998</v>
      </c>
      <c r="P3340">
        <v>0.29327065000000002</v>
      </c>
      <c r="Q3340" t="str">
        <f t="shared" si="104"/>
        <v>50+</v>
      </c>
      <c r="R3340" t="str">
        <f t="shared" si="105"/>
        <v>[am530wpaGvr]|50+|Female|Untreated_PLHIV_Attend.T_1|CY2024Q3</v>
      </c>
    </row>
    <row r="3341" spans="4:18" x14ac:dyDescent="0.2">
      <c r="D3341" t="s">
        <v>96</v>
      </c>
      <c r="E3341" t="s">
        <v>97</v>
      </c>
      <c r="F3341" t="s">
        <v>98</v>
      </c>
      <c r="G3341" t="s">
        <v>151</v>
      </c>
      <c r="H3341" t="s">
        <v>151</v>
      </c>
      <c r="I3341" t="s">
        <v>28</v>
      </c>
      <c r="J3341" t="s">
        <v>29</v>
      </c>
      <c r="K3341" t="s">
        <v>48</v>
      </c>
      <c r="L3341" t="s">
        <v>49</v>
      </c>
      <c r="M3341" t="s">
        <v>140</v>
      </c>
      <c r="N3341">
        <v>6</v>
      </c>
      <c r="O3341">
        <v>0.132154098</v>
      </c>
      <c r="P3341">
        <v>0.29327065000000002</v>
      </c>
      <c r="Q3341" t="str">
        <f t="shared" si="104"/>
        <v>&lt;01</v>
      </c>
      <c r="R3341" t="str">
        <f t="shared" si="105"/>
        <v>[am530wpaGvr]|&lt;01|Male|Untreated_PLHIV_Attend.T_1|CY2024Q3</v>
      </c>
    </row>
    <row r="3342" spans="4:18" x14ac:dyDescent="0.2">
      <c r="D3342" t="s">
        <v>96</v>
      </c>
      <c r="E3342" t="s">
        <v>97</v>
      </c>
      <c r="F3342" t="s">
        <v>98</v>
      </c>
      <c r="G3342" t="s">
        <v>151</v>
      </c>
      <c r="H3342" t="s">
        <v>151</v>
      </c>
      <c r="I3342" t="s">
        <v>33</v>
      </c>
      <c r="J3342" t="s">
        <v>34</v>
      </c>
      <c r="K3342" t="s">
        <v>48</v>
      </c>
      <c r="L3342" t="s">
        <v>49</v>
      </c>
      <c r="M3342" t="s">
        <v>140</v>
      </c>
      <c r="N3342">
        <v>105</v>
      </c>
      <c r="O3342">
        <v>0.142650005</v>
      </c>
      <c r="P3342">
        <v>0.29327065000000002</v>
      </c>
      <c r="Q3342" t="str">
        <f t="shared" si="104"/>
        <v>01-09</v>
      </c>
      <c r="R3342" t="str">
        <f t="shared" si="105"/>
        <v>[am530wpaGvr]|01-09|Male|Untreated_PLHIV_Attend.T_1|CY2024Q3</v>
      </c>
    </row>
    <row r="3343" spans="4:18" x14ac:dyDescent="0.2">
      <c r="D3343" t="s">
        <v>96</v>
      </c>
      <c r="E3343" t="s">
        <v>97</v>
      </c>
      <c r="F3343" t="s">
        <v>98</v>
      </c>
      <c r="G3343" t="s">
        <v>151</v>
      </c>
      <c r="H3343" t="s">
        <v>151</v>
      </c>
      <c r="I3343" t="s">
        <v>36</v>
      </c>
      <c r="J3343" t="s">
        <v>37</v>
      </c>
      <c r="K3343" t="s">
        <v>48</v>
      </c>
      <c r="L3343" t="s">
        <v>49</v>
      </c>
      <c r="M3343" t="s">
        <v>140</v>
      </c>
      <c r="N3343">
        <v>117</v>
      </c>
      <c r="O3343">
        <v>0.15600135800000001</v>
      </c>
      <c r="P3343">
        <v>0.29327065000000002</v>
      </c>
      <c r="Q3343" t="str">
        <f t="shared" si="104"/>
        <v>10-14</v>
      </c>
      <c r="R3343" t="str">
        <f t="shared" si="105"/>
        <v>[am530wpaGvr]|10-14|Male|Untreated_PLHIV_Attend.T_1|CY2024Q3</v>
      </c>
    </row>
    <row r="3344" spans="4:18" x14ac:dyDescent="0.2">
      <c r="D3344" t="s">
        <v>96</v>
      </c>
      <c r="E3344" t="s">
        <v>97</v>
      </c>
      <c r="F3344" t="s">
        <v>98</v>
      </c>
      <c r="G3344" t="s">
        <v>151</v>
      </c>
      <c r="H3344" t="s">
        <v>151</v>
      </c>
      <c r="I3344" t="s">
        <v>38</v>
      </c>
      <c r="J3344" t="s">
        <v>39</v>
      </c>
      <c r="K3344" t="s">
        <v>48</v>
      </c>
      <c r="L3344" t="s">
        <v>49</v>
      </c>
      <c r="M3344" t="s">
        <v>140</v>
      </c>
      <c r="N3344">
        <v>122</v>
      </c>
      <c r="O3344">
        <v>0.410270307</v>
      </c>
      <c r="P3344">
        <v>0.29327065000000002</v>
      </c>
      <c r="Q3344" t="str">
        <f t="shared" si="104"/>
        <v>15-24</v>
      </c>
      <c r="R3344" t="str">
        <f t="shared" si="105"/>
        <v>[am530wpaGvr]|15-24|Male|Untreated_PLHIV_Attend.T_1|CY2024Q3</v>
      </c>
    </row>
    <row r="3345" spans="4:18" x14ac:dyDescent="0.2">
      <c r="D3345" t="s">
        <v>96</v>
      </c>
      <c r="E3345" t="s">
        <v>97</v>
      </c>
      <c r="F3345" t="s">
        <v>98</v>
      </c>
      <c r="G3345" t="s">
        <v>151</v>
      </c>
      <c r="H3345" t="s">
        <v>151</v>
      </c>
      <c r="I3345" t="s">
        <v>41</v>
      </c>
      <c r="J3345" t="s">
        <v>42</v>
      </c>
      <c r="K3345" t="s">
        <v>48</v>
      </c>
      <c r="L3345" t="s">
        <v>49</v>
      </c>
      <c r="M3345" t="s">
        <v>140</v>
      </c>
      <c r="N3345">
        <v>187</v>
      </c>
      <c r="O3345">
        <v>0.44494911199999998</v>
      </c>
      <c r="P3345">
        <v>0.29327065000000002</v>
      </c>
      <c r="Q3345" t="str">
        <f t="shared" si="104"/>
        <v>25-34</v>
      </c>
      <c r="R3345" t="str">
        <f t="shared" si="105"/>
        <v>[am530wpaGvr]|25-34|Male|Untreated_PLHIV_Attend.T_1|CY2024Q3</v>
      </c>
    </row>
    <row r="3346" spans="4:18" x14ac:dyDescent="0.2">
      <c r="D3346" t="s">
        <v>96</v>
      </c>
      <c r="E3346" t="s">
        <v>97</v>
      </c>
      <c r="F3346" t="s">
        <v>98</v>
      </c>
      <c r="G3346" t="s">
        <v>151</v>
      </c>
      <c r="H3346" t="s">
        <v>151</v>
      </c>
      <c r="I3346" t="s">
        <v>43</v>
      </c>
      <c r="J3346" t="s">
        <v>44</v>
      </c>
      <c r="K3346" t="s">
        <v>48</v>
      </c>
      <c r="L3346" t="s">
        <v>49</v>
      </c>
      <c r="M3346" t="s">
        <v>140</v>
      </c>
      <c r="N3346">
        <v>412</v>
      </c>
      <c r="O3346">
        <v>0.45581413199999998</v>
      </c>
      <c r="P3346">
        <v>0.29327065000000002</v>
      </c>
      <c r="Q3346" t="str">
        <f t="shared" si="104"/>
        <v>35-49</v>
      </c>
      <c r="R3346" t="str">
        <f t="shared" si="105"/>
        <v>[am530wpaGvr]|35-49|Male|Untreated_PLHIV_Attend.T_1|CY2024Q3</v>
      </c>
    </row>
    <row r="3347" spans="4:18" x14ac:dyDescent="0.2">
      <c r="D3347" t="s">
        <v>96</v>
      </c>
      <c r="E3347" t="s">
        <v>97</v>
      </c>
      <c r="F3347" t="s">
        <v>98</v>
      </c>
      <c r="G3347" t="s">
        <v>151</v>
      </c>
      <c r="H3347" t="s">
        <v>151</v>
      </c>
      <c r="I3347" t="s">
        <v>45</v>
      </c>
      <c r="J3347" t="s">
        <v>46</v>
      </c>
      <c r="K3347" t="s">
        <v>48</v>
      </c>
      <c r="L3347" t="s">
        <v>49</v>
      </c>
      <c r="M3347" t="s">
        <v>140</v>
      </c>
      <c r="N3347">
        <v>221</v>
      </c>
      <c r="O3347">
        <v>0.44528129500000002</v>
      </c>
      <c r="P3347">
        <v>0.29327065000000002</v>
      </c>
      <c r="Q3347" t="str">
        <f t="shared" si="104"/>
        <v>50+</v>
      </c>
      <c r="R3347" t="str">
        <f t="shared" si="105"/>
        <v>[am530wpaGvr]|50+|Male|Untreated_PLHIV_Attend.T_1|CY2024Q3</v>
      </c>
    </row>
    <row r="3348" spans="4:18" x14ac:dyDescent="0.2">
      <c r="D3348" t="s">
        <v>99</v>
      </c>
      <c r="E3348" t="s">
        <v>100</v>
      </c>
      <c r="F3348" t="s">
        <v>101</v>
      </c>
      <c r="G3348" t="s">
        <v>151</v>
      </c>
      <c r="H3348" t="s">
        <v>151</v>
      </c>
      <c r="I3348" t="s">
        <v>28</v>
      </c>
      <c r="J3348" t="s">
        <v>29</v>
      </c>
      <c r="K3348" t="s">
        <v>30</v>
      </c>
      <c r="L3348" t="s">
        <v>31</v>
      </c>
      <c r="M3348" t="s">
        <v>140</v>
      </c>
      <c r="N3348">
        <v>8</v>
      </c>
      <c r="O3348">
        <v>0.173920308</v>
      </c>
      <c r="P3348">
        <v>0.296739539</v>
      </c>
      <c r="Q3348" t="str">
        <f t="shared" si="104"/>
        <v>&lt;01</v>
      </c>
      <c r="R3348" t="str">
        <f t="shared" si="105"/>
        <v>[lLDyBx5XyUi]|&lt;01|Female|Untreated_PLHIV_Attend.T_1|CY2024Q3</v>
      </c>
    </row>
    <row r="3349" spans="4:18" x14ac:dyDescent="0.2">
      <c r="D3349" t="s">
        <v>99</v>
      </c>
      <c r="E3349" t="s">
        <v>100</v>
      </c>
      <c r="F3349" t="s">
        <v>101</v>
      </c>
      <c r="G3349" t="s">
        <v>151</v>
      </c>
      <c r="H3349" t="s">
        <v>151</v>
      </c>
      <c r="I3349" t="s">
        <v>33</v>
      </c>
      <c r="J3349" t="s">
        <v>34</v>
      </c>
      <c r="K3349" t="s">
        <v>30</v>
      </c>
      <c r="L3349" t="s">
        <v>31</v>
      </c>
      <c r="M3349" t="s">
        <v>140</v>
      </c>
      <c r="N3349">
        <v>151</v>
      </c>
      <c r="O3349">
        <v>0.18615848900000001</v>
      </c>
      <c r="P3349">
        <v>0.296739539</v>
      </c>
      <c r="Q3349" t="str">
        <f t="shared" si="104"/>
        <v>01-09</v>
      </c>
      <c r="R3349" t="str">
        <f t="shared" si="105"/>
        <v>[lLDyBx5XyUi]|01-09|Female|Untreated_PLHIV_Attend.T_1|CY2024Q3</v>
      </c>
    </row>
    <row r="3350" spans="4:18" x14ac:dyDescent="0.2">
      <c r="D3350" t="s">
        <v>99</v>
      </c>
      <c r="E3350" t="s">
        <v>100</v>
      </c>
      <c r="F3350" t="s">
        <v>101</v>
      </c>
      <c r="G3350" t="s">
        <v>151</v>
      </c>
      <c r="H3350" t="s">
        <v>151</v>
      </c>
      <c r="I3350" t="s">
        <v>36</v>
      </c>
      <c r="J3350" t="s">
        <v>37</v>
      </c>
      <c r="K3350" t="s">
        <v>30</v>
      </c>
      <c r="L3350" t="s">
        <v>31</v>
      </c>
      <c r="M3350" t="s">
        <v>140</v>
      </c>
      <c r="N3350">
        <v>141</v>
      </c>
      <c r="O3350">
        <v>0.19965701</v>
      </c>
      <c r="P3350">
        <v>0.296739539</v>
      </c>
      <c r="Q3350" t="str">
        <f t="shared" si="104"/>
        <v>10-14</v>
      </c>
      <c r="R3350" t="str">
        <f t="shared" si="105"/>
        <v>[lLDyBx5XyUi]|10-14|Female|Untreated_PLHIV_Attend.T_1|CY2024Q3</v>
      </c>
    </row>
    <row r="3351" spans="4:18" x14ac:dyDescent="0.2">
      <c r="D3351" t="s">
        <v>99</v>
      </c>
      <c r="E3351" t="s">
        <v>100</v>
      </c>
      <c r="F3351" t="s">
        <v>101</v>
      </c>
      <c r="G3351" t="s">
        <v>151</v>
      </c>
      <c r="H3351" t="s">
        <v>151</v>
      </c>
      <c r="I3351" t="s">
        <v>38</v>
      </c>
      <c r="J3351" t="s">
        <v>39</v>
      </c>
      <c r="K3351" t="s">
        <v>30</v>
      </c>
      <c r="L3351" t="s">
        <v>31</v>
      </c>
      <c r="M3351" t="s">
        <v>140</v>
      </c>
      <c r="N3351">
        <v>193</v>
      </c>
      <c r="O3351">
        <v>0.43992168199999998</v>
      </c>
      <c r="P3351">
        <v>0.296739539</v>
      </c>
      <c r="Q3351" t="str">
        <f t="shared" si="104"/>
        <v>15-24</v>
      </c>
      <c r="R3351" t="str">
        <f t="shared" si="105"/>
        <v>[lLDyBx5XyUi]|15-24|Female|Untreated_PLHIV_Attend.T_1|CY2024Q3</v>
      </c>
    </row>
    <row r="3352" spans="4:18" x14ac:dyDescent="0.2">
      <c r="D3352" t="s">
        <v>99</v>
      </c>
      <c r="E3352" t="s">
        <v>100</v>
      </c>
      <c r="F3352" t="s">
        <v>101</v>
      </c>
      <c r="G3352" t="s">
        <v>151</v>
      </c>
      <c r="H3352" t="s">
        <v>151</v>
      </c>
      <c r="I3352" t="s">
        <v>41</v>
      </c>
      <c r="J3352" t="s">
        <v>42</v>
      </c>
      <c r="K3352" t="s">
        <v>30</v>
      </c>
      <c r="L3352" t="s">
        <v>31</v>
      </c>
      <c r="M3352" t="s">
        <v>140</v>
      </c>
      <c r="N3352">
        <v>250</v>
      </c>
      <c r="O3352">
        <v>0.43178928300000002</v>
      </c>
      <c r="P3352">
        <v>0.296739539</v>
      </c>
      <c r="Q3352" t="str">
        <f t="shared" si="104"/>
        <v>25-34</v>
      </c>
      <c r="R3352" t="str">
        <f t="shared" si="105"/>
        <v>[lLDyBx5XyUi]|25-34|Female|Untreated_PLHIV_Attend.T_1|CY2024Q3</v>
      </c>
    </row>
    <row r="3353" spans="4:18" x14ac:dyDescent="0.2">
      <c r="D3353" t="s">
        <v>99</v>
      </c>
      <c r="E3353" t="s">
        <v>100</v>
      </c>
      <c r="F3353" t="s">
        <v>101</v>
      </c>
      <c r="G3353" t="s">
        <v>151</v>
      </c>
      <c r="H3353" t="s">
        <v>151</v>
      </c>
      <c r="I3353" t="s">
        <v>43</v>
      </c>
      <c r="J3353" t="s">
        <v>44</v>
      </c>
      <c r="K3353" t="s">
        <v>30</v>
      </c>
      <c r="L3353" t="s">
        <v>31</v>
      </c>
      <c r="M3353" t="s">
        <v>140</v>
      </c>
      <c r="N3353">
        <v>299</v>
      </c>
      <c r="O3353">
        <v>0.447595674</v>
      </c>
      <c r="P3353">
        <v>0.296739539</v>
      </c>
      <c r="Q3353" t="str">
        <f t="shared" si="104"/>
        <v>35-49</v>
      </c>
      <c r="R3353" t="str">
        <f t="shared" si="105"/>
        <v>[lLDyBx5XyUi]|35-49|Female|Untreated_PLHIV_Attend.T_1|CY2024Q3</v>
      </c>
    </row>
    <row r="3354" spans="4:18" x14ac:dyDescent="0.2">
      <c r="D3354" t="s">
        <v>99</v>
      </c>
      <c r="E3354" t="s">
        <v>100</v>
      </c>
      <c r="F3354" t="s">
        <v>101</v>
      </c>
      <c r="G3354" t="s">
        <v>151</v>
      </c>
      <c r="H3354" t="s">
        <v>151</v>
      </c>
      <c r="I3354" t="s">
        <v>45</v>
      </c>
      <c r="J3354" t="s">
        <v>46</v>
      </c>
      <c r="K3354" t="s">
        <v>30</v>
      </c>
      <c r="L3354" t="s">
        <v>31</v>
      </c>
      <c r="M3354" t="s">
        <v>140</v>
      </c>
      <c r="N3354">
        <v>94</v>
      </c>
      <c r="O3354">
        <v>0.449082904</v>
      </c>
      <c r="P3354">
        <v>0.296739539</v>
      </c>
      <c r="Q3354" t="str">
        <f t="shared" si="104"/>
        <v>50+</v>
      </c>
      <c r="R3354" t="str">
        <f t="shared" si="105"/>
        <v>[lLDyBx5XyUi]|50+|Female|Untreated_PLHIV_Attend.T_1|CY2024Q3</v>
      </c>
    </row>
    <row r="3355" spans="4:18" x14ac:dyDescent="0.2">
      <c r="D3355" t="s">
        <v>99</v>
      </c>
      <c r="E3355" t="s">
        <v>100</v>
      </c>
      <c r="F3355" t="s">
        <v>101</v>
      </c>
      <c r="G3355" t="s">
        <v>151</v>
      </c>
      <c r="H3355" t="s">
        <v>151</v>
      </c>
      <c r="I3355" t="s">
        <v>28</v>
      </c>
      <c r="J3355" t="s">
        <v>29</v>
      </c>
      <c r="K3355" t="s">
        <v>48</v>
      </c>
      <c r="L3355" t="s">
        <v>49</v>
      </c>
      <c r="M3355" t="s">
        <v>140</v>
      </c>
      <c r="N3355">
        <v>10</v>
      </c>
      <c r="O3355">
        <v>0.19154697300000001</v>
      </c>
      <c r="P3355">
        <v>0.296739539</v>
      </c>
      <c r="Q3355" t="str">
        <f t="shared" si="104"/>
        <v>&lt;01</v>
      </c>
      <c r="R3355" t="str">
        <f t="shared" si="105"/>
        <v>[lLDyBx5XyUi]|&lt;01|Male|Untreated_PLHIV_Attend.T_1|CY2024Q3</v>
      </c>
    </row>
    <row r="3356" spans="4:18" x14ac:dyDescent="0.2">
      <c r="D3356" t="s">
        <v>99</v>
      </c>
      <c r="E3356" t="s">
        <v>100</v>
      </c>
      <c r="F3356" t="s">
        <v>101</v>
      </c>
      <c r="G3356" t="s">
        <v>151</v>
      </c>
      <c r="H3356" t="s">
        <v>151</v>
      </c>
      <c r="I3356" t="s">
        <v>33</v>
      </c>
      <c r="J3356" t="s">
        <v>34</v>
      </c>
      <c r="K3356" t="s">
        <v>48</v>
      </c>
      <c r="L3356" t="s">
        <v>49</v>
      </c>
      <c r="M3356" t="s">
        <v>140</v>
      </c>
      <c r="N3356">
        <v>182</v>
      </c>
      <c r="O3356">
        <v>0.203010371</v>
      </c>
      <c r="P3356">
        <v>0.296739539</v>
      </c>
      <c r="Q3356" t="str">
        <f t="shared" si="104"/>
        <v>01-09</v>
      </c>
      <c r="R3356" t="str">
        <f t="shared" si="105"/>
        <v>[lLDyBx5XyUi]|01-09|Male|Untreated_PLHIV_Attend.T_1|CY2024Q3</v>
      </c>
    </row>
    <row r="3357" spans="4:18" x14ac:dyDescent="0.2">
      <c r="D3357" t="s">
        <v>99</v>
      </c>
      <c r="E3357" t="s">
        <v>100</v>
      </c>
      <c r="F3357" t="s">
        <v>101</v>
      </c>
      <c r="G3357" t="s">
        <v>151</v>
      </c>
      <c r="H3357" t="s">
        <v>151</v>
      </c>
      <c r="I3357" t="s">
        <v>36</v>
      </c>
      <c r="J3357" t="s">
        <v>37</v>
      </c>
      <c r="K3357" t="s">
        <v>48</v>
      </c>
      <c r="L3357" t="s">
        <v>49</v>
      </c>
      <c r="M3357" t="s">
        <v>140</v>
      </c>
      <c r="N3357">
        <v>178</v>
      </c>
      <c r="O3357">
        <v>0.21555117900000001</v>
      </c>
      <c r="P3357">
        <v>0.296739539</v>
      </c>
      <c r="Q3357" t="str">
        <f t="shared" si="104"/>
        <v>10-14</v>
      </c>
      <c r="R3357" t="str">
        <f t="shared" si="105"/>
        <v>[lLDyBx5XyUi]|10-14|Male|Untreated_PLHIV_Attend.T_1|CY2024Q3</v>
      </c>
    </row>
    <row r="3358" spans="4:18" x14ac:dyDescent="0.2">
      <c r="D3358" t="s">
        <v>99</v>
      </c>
      <c r="E3358" t="s">
        <v>100</v>
      </c>
      <c r="F3358" t="s">
        <v>101</v>
      </c>
      <c r="G3358" t="s">
        <v>151</v>
      </c>
      <c r="H3358" t="s">
        <v>151</v>
      </c>
      <c r="I3358" t="s">
        <v>38</v>
      </c>
      <c r="J3358" t="s">
        <v>39</v>
      </c>
      <c r="K3358" t="s">
        <v>48</v>
      </c>
      <c r="L3358" t="s">
        <v>49</v>
      </c>
      <c r="M3358" t="s">
        <v>140</v>
      </c>
      <c r="N3358">
        <v>189</v>
      </c>
      <c r="O3358">
        <v>0.42387330099999998</v>
      </c>
      <c r="P3358">
        <v>0.296739539</v>
      </c>
      <c r="Q3358" t="str">
        <f t="shared" si="104"/>
        <v>15-24</v>
      </c>
      <c r="R3358" t="str">
        <f t="shared" si="105"/>
        <v>[lLDyBx5XyUi]|15-24|Male|Untreated_PLHIV_Attend.T_1|CY2024Q3</v>
      </c>
    </row>
    <row r="3359" spans="4:18" x14ac:dyDescent="0.2">
      <c r="D3359" t="s">
        <v>99</v>
      </c>
      <c r="E3359" t="s">
        <v>100</v>
      </c>
      <c r="F3359" t="s">
        <v>101</v>
      </c>
      <c r="G3359" t="s">
        <v>151</v>
      </c>
      <c r="H3359" t="s">
        <v>151</v>
      </c>
      <c r="I3359" t="s">
        <v>41</v>
      </c>
      <c r="J3359" t="s">
        <v>42</v>
      </c>
      <c r="K3359" t="s">
        <v>48</v>
      </c>
      <c r="L3359" t="s">
        <v>49</v>
      </c>
      <c r="M3359" t="s">
        <v>140</v>
      </c>
      <c r="N3359">
        <v>275</v>
      </c>
      <c r="O3359">
        <v>0.46053296799999999</v>
      </c>
      <c r="P3359">
        <v>0.296739539</v>
      </c>
      <c r="Q3359" t="str">
        <f t="shared" si="104"/>
        <v>25-34</v>
      </c>
      <c r="R3359" t="str">
        <f t="shared" si="105"/>
        <v>[lLDyBx5XyUi]|25-34|Male|Untreated_PLHIV_Attend.T_1|CY2024Q3</v>
      </c>
    </row>
    <row r="3360" spans="4:18" x14ac:dyDescent="0.2">
      <c r="D3360" t="s">
        <v>99</v>
      </c>
      <c r="E3360" t="s">
        <v>100</v>
      </c>
      <c r="F3360" t="s">
        <v>101</v>
      </c>
      <c r="G3360" t="s">
        <v>151</v>
      </c>
      <c r="H3360" t="s">
        <v>151</v>
      </c>
      <c r="I3360" t="s">
        <v>43</v>
      </c>
      <c r="J3360" t="s">
        <v>44</v>
      </c>
      <c r="K3360" t="s">
        <v>48</v>
      </c>
      <c r="L3360" t="s">
        <v>49</v>
      </c>
      <c r="M3360" t="s">
        <v>140</v>
      </c>
      <c r="N3360">
        <v>614</v>
      </c>
      <c r="O3360">
        <v>0.463517601</v>
      </c>
      <c r="P3360">
        <v>0.296739539</v>
      </c>
      <c r="Q3360" t="str">
        <f t="shared" si="104"/>
        <v>35-49</v>
      </c>
      <c r="R3360" t="str">
        <f t="shared" si="105"/>
        <v>[lLDyBx5XyUi]|35-49|Male|Untreated_PLHIV_Attend.T_1|CY2024Q3</v>
      </c>
    </row>
    <row r="3361" spans="4:18" x14ac:dyDescent="0.2">
      <c r="D3361" t="s">
        <v>99</v>
      </c>
      <c r="E3361" t="s">
        <v>100</v>
      </c>
      <c r="F3361" t="s">
        <v>101</v>
      </c>
      <c r="G3361" t="s">
        <v>151</v>
      </c>
      <c r="H3361" t="s">
        <v>151</v>
      </c>
      <c r="I3361" t="s">
        <v>45</v>
      </c>
      <c r="J3361" t="s">
        <v>46</v>
      </c>
      <c r="K3361" t="s">
        <v>48</v>
      </c>
      <c r="L3361" t="s">
        <v>49</v>
      </c>
      <c r="M3361" t="s">
        <v>140</v>
      </c>
      <c r="N3361">
        <v>329</v>
      </c>
      <c r="O3361">
        <v>0.45132887999999999</v>
      </c>
      <c r="P3361">
        <v>0.296739539</v>
      </c>
      <c r="Q3361" t="str">
        <f t="shared" si="104"/>
        <v>50+</v>
      </c>
      <c r="R3361" t="str">
        <f t="shared" si="105"/>
        <v>[lLDyBx5XyUi]|50+|Male|Untreated_PLHIV_Attend.T_1|CY2024Q3</v>
      </c>
    </row>
    <row r="3362" spans="4:18" x14ac:dyDescent="0.2">
      <c r="D3362" t="s">
        <v>102</v>
      </c>
      <c r="E3362" t="s">
        <v>103</v>
      </c>
      <c r="F3362" t="s">
        <v>104</v>
      </c>
      <c r="G3362" t="s">
        <v>151</v>
      </c>
      <c r="H3362" t="s">
        <v>151</v>
      </c>
      <c r="I3362" t="s">
        <v>28</v>
      </c>
      <c r="J3362" t="s">
        <v>29</v>
      </c>
      <c r="K3362" t="s">
        <v>30</v>
      </c>
      <c r="L3362" t="s">
        <v>31</v>
      </c>
      <c r="M3362" t="s">
        <v>140</v>
      </c>
      <c r="N3362">
        <v>7</v>
      </c>
      <c r="O3362">
        <v>0.13363578700000001</v>
      </c>
      <c r="P3362">
        <v>0.26051410200000003</v>
      </c>
      <c r="Q3362" t="str">
        <f t="shared" si="104"/>
        <v>&lt;01</v>
      </c>
      <c r="R3362" t="str">
        <f t="shared" si="105"/>
        <v>[TYnMSwzko3z]|&lt;01|Female|Untreated_PLHIV_Attend.T_1|CY2024Q3</v>
      </c>
    </row>
    <row r="3363" spans="4:18" x14ac:dyDescent="0.2">
      <c r="D3363" t="s">
        <v>102</v>
      </c>
      <c r="E3363" t="s">
        <v>103</v>
      </c>
      <c r="F3363" t="s">
        <v>104</v>
      </c>
      <c r="G3363" t="s">
        <v>151</v>
      </c>
      <c r="H3363" t="s">
        <v>151</v>
      </c>
      <c r="I3363" t="s">
        <v>33</v>
      </c>
      <c r="J3363" t="s">
        <v>34</v>
      </c>
      <c r="K3363" t="s">
        <v>30</v>
      </c>
      <c r="L3363" t="s">
        <v>31</v>
      </c>
      <c r="M3363" t="s">
        <v>140</v>
      </c>
      <c r="N3363">
        <v>127</v>
      </c>
      <c r="O3363">
        <v>0.14782884700000001</v>
      </c>
      <c r="P3363">
        <v>0.26051410200000003</v>
      </c>
      <c r="Q3363" t="str">
        <f t="shared" si="104"/>
        <v>01-09</v>
      </c>
      <c r="R3363" t="str">
        <f t="shared" si="105"/>
        <v>[TYnMSwzko3z]|01-09|Female|Untreated_PLHIV_Attend.T_1|CY2024Q3</v>
      </c>
    </row>
    <row r="3364" spans="4:18" x14ac:dyDescent="0.2">
      <c r="D3364" t="s">
        <v>102</v>
      </c>
      <c r="E3364" t="s">
        <v>103</v>
      </c>
      <c r="F3364" t="s">
        <v>104</v>
      </c>
      <c r="G3364" t="s">
        <v>151</v>
      </c>
      <c r="H3364" t="s">
        <v>151</v>
      </c>
      <c r="I3364" t="s">
        <v>36</v>
      </c>
      <c r="J3364" t="s">
        <v>37</v>
      </c>
      <c r="K3364" t="s">
        <v>30</v>
      </c>
      <c r="L3364" t="s">
        <v>31</v>
      </c>
      <c r="M3364" t="s">
        <v>140</v>
      </c>
      <c r="N3364">
        <v>135</v>
      </c>
      <c r="O3364">
        <v>0.16410882600000001</v>
      </c>
      <c r="P3364">
        <v>0.26051410200000003</v>
      </c>
      <c r="Q3364" t="str">
        <f t="shared" si="104"/>
        <v>10-14</v>
      </c>
      <c r="R3364" t="str">
        <f t="shared" si="105"/>
        <v>[TYnMSwzko3z]|10-14|Female|Untreated_PLHIV_Attend.T_1|CY2024Q3</v>
      </c>
    </row>
    <row r="3365" spans="4:18" x14ac:dyDescent="0.2">
      <c r="D3365" t="s">
        <v>102</v>
      </c>
      <c r="E3365" t="s">
        <v>103</v>
      </c>
      <c r="F3365" t="s">
        <v>104</v>
      </c>
      <c r="G3365" t="s">
        <v>151</v>
      </c>
      <c r="H3365" t="s">
        <v>151</v>
      </c>
      <c r="I3365" t="s">
        <v>38</v>
      </c>
      <c r="J3365" t="s">
        <v>39</v>
      </c>
      <c r="K3365" t="s">
        <v>30</v>
      </c>
      <c r="L3365" t="s">
        <v>31</v>
      </c>
      <c r="M3365" t="s">
        <v>140</v>
      </c>
      <c r="N3365">
        <v>111</v>
      </c>
      <c r="O3365">
        <v>0.41972597900000003</v>
      </c>
      <c r="P3365">
        <v>0.26051410200000003</v>
      </c>
      <c r="Q3365" t="str">
        <f t="shared" si="104"/>
        <v>15-24</v>
      </c>
      <c r="R3365" t="str">
        <f t="shared" si="105"/>
        <v>[TYnMSwzko3z]|15-24|Female|Untreated_PLHIV_Attend.T_1|CY2024Q3</v>
      </c>
    </row>
    <row r="3366" spans="4:18" x14ac:dyDescent="0.2">
      <c r="D3366" t="s">
        <v>102</v>
      </c>
      <c r="E3366" t="s">
        <v>103</v>
      </c>
      <c r="F3366" t="s">
        <v>104</v>
      </c>
      <c r="G3366" t="s">
        <v>151</v>
      </c>
      <c r="H3366" t="s">
        <v>151</v>
      </c>
      <c r="I3366" t="s">
        <v>41</v>
      </c>
      <c r="J3366" t="s">
        <v>42</v>
      </c>
      <c r="K3366" t="s">
        <v>30</v>
      </c>
      <c r="L3366" t="s">
        <v>31</v>
      </c>
      <c r="M3366" t="s">
        <v>140</v>
      </c>
      <c r="N3366">
        <v>147</v>
      </c>
      <c r="O3366">
        <v>0.41480600000000001</v>
      </c>
      <c r="P3366">
        <v>0.26051410200000003</v>
      </c>
      <c r="Q3366" t="str">
        <f t="shared" si="104"/>
        <v>25-34</v>
      </c>
      <c r="R3366" t="str">
        <f t="shared" si="105"/>
        <v>[TYnMSwzko3z]|25-34|Female|Untreated_PLHIV_Attend.T_1|CY2024Q3</v>
      </c>
    </row>
    <row r="3367" spans="4:18" x14ac:dyDescent="0.2">
      <c r="D3367" t="s">
        <v>102</v>
      </c>
      <c r="E3367" t="s">
        <v>103</v>
      </c>
      <c r="F3367" t="s">
        <v>104</v>
      </c>
      <c r="G3367" t="s">
        <v>151</v>
      </c>
      <c r="H3367" t="s">
        <v>151</v>
      </c>
      <c r="I3367" t="s">
        <v>43</v>
      </c>
      <c r="J3367" t="s">
        <v>44</v>
      </c>
      <c r="K3367" t="s">
        <v>30</v>
      </c>
      <c r="L3367" t="s">
        <v>31</v>
      </c>
      <c r="M3367" t="s">
        <v>140</v>
      </c>
      <c r="N3367">
        <v>179</v>
      </c>
      <c r="O3367">
        <v>0.43582821399999999</v>
      </c>
      <c r="P3367">
        <v>0.26051410200000003</v>
      </c>
      <c r="Q3367" t="str">
        <f t="shared" si="104"/>
        <v>35-49</v>
      </c>
      <c r="R3367" t="str">
        <f t="shared" si="105"/>
        <v>[TYnMSwzko3z]|35-49|Female|Untreated_PLHIV_Attend.T_1|CY2024Q3</v>
      </c>
    </row>
    <row r="3368" spans="4:18" x14ac:dyDescent="0.2">
      <c r="D3368" t="s">
        <v>102</v>
      </c>
      <c r="E3368" t="s">
        <v>103</v>
      </c>
      <c r="F3368" t="s">
        <v>104</v>
      </c>
      <c r="G3368" t="s">
        <v>151</v>
      </c>
      <c r="H3368" t="s">
        <v>151</v>
      </c>
      <c r="I3368" t="s">
        <v>45</v>
      </c>
      <c r="J3368" t="s">
        <v>46</v>
      </c>
      <c r="K3368" t="s">
        <v>30</v>
      </c>
      <c r="L3368" t="s">
        <v>31</v>
      </c>
      <c r="M3368" t="s">
        <v>140</v>
      </c>
      <c r="N3368">
        <v>57</v>
      </c>
      <c r="O3368">
        <v>0.43028798499999998</v>
      </c>
      <c r="P3368">
        <v>0.26051410200000003</v>
      </c>
      <c r="Q3368" t="str">
        <f t="shared" si="104"/>
        <v>50+</v>
      </c>
      <c r="R3368" t="str">
        <f t="shared" si="105"/>
        <v>[TYnMSwzko3z]|50+|Female|Untreated_PLHIV_Attend.T_1|CY2024Q3</v>
      </c>
    </row>
    <row r="3369" spans="4:18" x14ac:dyDescent="0.2">
      <c r="D3369" t="s">
        <v>102</v>
      </c>
      <c r="E3369" t="s">
        <v>103</v>
      </c>
      <c r="F3369" t="s">
        <v>104</v>
      </c>
      <c r="G3369" t="s">
        <v>151</v>
      </c>
      <c r="H3369" t="s">
        <v>151</v>
      </c>
      <c r="I3369" t="s">
        <v>28</v>
      </c>
      <c r="J3369" t="s">
        <v>29</v>
      </c>
      <c r="K3369" t="s">
        <v>48</v>
      </c>
      <c r="L3369" t="s">
        <v>49</v>
      </c>
      <c r="M3369" t="s">
        <v>140</v>
      </c>
      <c r="N3369">
        <v>7</v>
      </c>
      <c r="O3369">
        <v>0.152427641</v>
      </c>
      <c r="P3369">
        <v>0.26051410200000003</v>
      </c>
      <c r="Q3369" t="str">
        <f t="shared" si="104"/>
        <v>&lt;01</v>
      </c>
      <c r="R3369" t="str">
        <f t="shared" si="105"/>
        <v>[TYnMSwzko3z]|&lt;01|Male|Untreated_PLHIV_Attend.T_1|CY2024Q3</v>
      </c>
    </row>
    <row r="3370" spans="4:18" x14ac:dyDescent="0.2">
      <c r="D3370" t="s">
        <v>102</v>
      </c>
      <c r="E3370" t="s">
        <v>103</v>
      </c>
      <c r="F3370" t="s">
        <v>104</v>
      </c>
      <c r="G3370" t="s">
        <v>151</v>
      </c>
      <c r="H3370" t="s">
        <v>151</v>
      </c>
      <c r="I3370" t="s">
        <v>33</v>
      </c>
      <c r="J3370" t="s">
        <v>34</v>
      </c>
      <c r="K3370" t="s">
        <v>48</v>
      </c>
      <c r="L3370" t="s">
        <v>49</v>
      </c>
      <c r="M3370" t="s">
        <v>140</v>
      </c>
      <c r="N3370">
        <v>127</v>
      </c>
      <c r="O3370">
        <v>0.16588477600000001</v>
      </c>
      <c r="P3370">
        <v>0.26051410200000003</v>
      </c>
      <c r="Q3370" t="str">
        <f t="shared" si="104"/>
        <v>01-09</v>
      </c>
      <c r="R3370" t="str">
        <f t="shared" si="105"/>
        <v>[TYnMSwzko3z]|01-09|Male|Untreated_PLHIV_Attend.T_1|CY2024Q3</v>
      </c>
    </row>
    <row r="3371" spans="4:18" x14ac:dyDescent="0.2">
      <c r="D3371" t="s">
        <v>102</v>
      </c>
      <c r="E3371" t="s">
        <v>103</v>
      </c>
      <c r="F3371" t="s">
        <v>104</v>
      </c>
      <c r="G3371" t="s">
        <v>151</v>
      </c>
      <c r="H3371" t="s">
        <v>151</v>
      </c>
      <c r="I3371" t="s">
        <v>36</v>
      </c>
      <c r="J3371" t="s">
        <v>37</v>
      </c>
      <c r="K3371" t="s">
        <v>48</v>
      </c>
      <c r="L3371" t="s">
        <v>49</v>
      </c>
      <c r="M3371" t="s">
        <v>140</v>
      </c>
      <c r="N3371">
        <v>134</v>
      </c>
      <c r="O3371">
        <v>0.181187823</v>
      </c>
      <c r="P3371">
        <v>0.26051410200000003</v>
      </c>
      <c r="Q3371" t="str">
        <f t="shared" si="104"/>
        <v>10-14</v>
      </c>
      <c r="R3371" t="str">
        <f t="shared" si="105"/>
        <v>[TYnMSwzko3z]|10-14|Male|Untreated_PLHIV_Attend.T_1|CY2024Q3</v>
      </c>
    </row>
    <row r="3372" spans="4:18" x14ac:dyDescent="0.2">
      <c r="D3372" t="s">
        <v>102</v>
      </c>
      <c r="E3372" t="s">
        <v>103</v>
      </c>
      <c r="F3372" t="s">
        <v>104</v>
      </c>
      <c r="G3372" t="s">
        <v>151</v>
      </c>
      <c r="H3372" t="s">
        <v>151</v>
      </c>
      <c r="I3372" t="s">
        <v>38</v>
      </c>
      <c r="J3372" t="s">
        <v>39</v>
      </c>
      <c r="K3372" t="s">
        <v>48</v>
      </c>
      <c r="L3372" t="s">
        <v>49</v>
      </c>
      <c r="M3372" t="s">
        <v>140</v>
      </c>
      <c r="N3372">
        <v>109</v>
      </c>
      <c r="O3372">
        <v>0.40262972000000002</v>
      </c>
      <c r="P3372">
        <v>0.26051410200000003</v>
      </c>
      <c r="Q3372" t="str">
        <f t="shared" si="104"/>
        <v>15-24</v>
      </c>
      <c r="R3372" t="str">
        <f t="shared" si="105"/>
        <v>[TYnMSwzko3z]|15-24|Male|Untreated_PLHIV_Attend.T_1|CY2024Q3</v>
      </c>
    </row>
    <row r="3373" spans="4:18" x14ac:dyDescent="0.2">
      <c r="D3373" t="s">
        <v>102</v>
      </c>
      <c r="E3373" t="s">
        <v>103</v>
      </c>
      <c r="F3373" t="s">
        <v>104</v>
      </c>
      <c r="G3373" t="s">
        <v>151</v>
      </c>
      <c r="H3373" t="s">
        <v>151</v>
      </c>
      <c r="I3373" t="s">
        <v>41</v>
      </c>
      <c r="J3373" t="s">
        <v>42</v>
      </c>
      <c r="K3373" t="s">
        <v>48</v>
      </c>
      <c r="L3373" t="s">
        <v>49</v>
      </c>
      <c r="M3373" t="s">
        <v>140</v>
      </c>
      <c r="N3373">
        <v>156</v>
      </c>
      <c r="O3373">
        <v>0.43737795800000001</v>
      </c>
      <c r="P3373">
        <v>0.26051410200000003</v>
      </c>
      <c r="Q3373" t="str">
        <f t="shared" si="104"/>
        <v>25-34</v>
      </c>
      <c r="R3373" t="str">
        <f t="shared" si="105"/>
        <v>[TYnMSwzko3z]|25-34|Male|Untreated_PLHIV_Attend.T_1|CY2024Q3</v>
      </c>
    </row>
    <row r="3374" spans="4:18" x14ac:dyDescent="0.2">
      <c r="D3374" t="s">
        <v>102</v>
      </c>
      <c r="E3374" t="s">
        <v>103</v>
      </c>
      <c r="F3374" t="s">
        <v>104</v>
      </c>
      <c r="G3374" t="s">
        <v>151</v>
      </c>
      <c r="H3374" t="s">
        <v>151</v>
      </c>
      <c r="I3374" t="s">
        <v>43</v>
      </c>
      <c r="J3374" t="s">
        <v>44</v>
      </c>
      <c r="K3374" t="s">
        <v>48</v>
      </c>
      <c r="L3374" t="s">
        <v>49</v>
      </c>
      <c r="M3374" t="s">
        <v>140</v>
      </c>
      <c r="N3374">
        <v>346</v>
      </c>
      <c r="O3374">
        <v>0.45139220499999999</v>
      </c>
      <c r="P3374">
        <v>0.26051410200000003</v>
      </c>
      <c r="Q3374" t="str">
        <f t="shared" si="104"/>
        <v>35-49</v>
      </c>
      <c r="R3374" t="str">
        <f t="shared" si="105"/>
        <v>[TYnMSwzko3z]|35-49|Male|Untreated_PLHIV_Attend.T_1|CY2024Q3</v>
      </c>
    </row>
    <row r="3375" spans="4:18" x14ac:dyDescent="0.2">
      <c r="D3375" t="s">
        <v>102</v>
      </c>
      <c r="E3375" t="s">
        <v>103</v>
      </c>
      <c r="F3375" t="s">
        <v>104</v>
      </c>
      <c r="G3375" t="s">
        <v>151</v>
      </c>
      <c r="H3375" t="s">
        <v>151</v>
      </c>
      <c r="I3375" t="s">
        <v>45</v>
      </c>
      <c r="J3375" t="s">
        <v>46</v>
      </c>
      <c r="K3375" t="s">
        <v>48</v>
      </c>
      <c r="L3375" t="s">
        <v>49</v>
      </c>
      <c r="M3375" t="s">
        <v>140</v>
      </c>
      <c r="N3375">
        <v>191</v>
      </c>
      <c r="O3375">
        <v>0.43340610299999999</v>
      </c>
      <c r="P3375">
        <v>0.26051410200000003</v>
      </c>
      <c r="Q3375" t="str">
        <f t="shared" si="104"/>
        <v>50+</v>
      </c>
      <c r="R3375" t="str">
        <f t="shared" si="105"/>
        <v>[TYnMSwzko3z]|50+|Male|Untreated_PLHIV_Attend.T_1|CY2024Q3</v>
      </c>
    </row>
    <row r="3376" spans="4:18" x14ac:dyDescent="0.2">
      <c r="D3376" t="s">
        <v>105</v>
      </c>
      <c r="E3376" t="s">
        <v>106</v>
      </c>
      <c r="F3376" t="s">
        <v>107</v>
      </c>
      <c r="G3376" t="s">
        <v>151</v>
      </c>
      <c r="H3376" t="s">
        <v>151</v>
      </c>
      <c r="I3376" t="s">
        <v>28</v>
      </c>
      <c r="J3376" t="s">
        <v>29</v>
      </c>
      <c r="K3376" t="s">
        <v>30</v>
      </c>
      <c r="L3376" t="s">
        <v>31</v>
      </c>
      <c r="M3376" t="s">
        <v>140</v>
      </c>
      <c r="N3376">
        <v>12</v>
      </c>
      <c r="O3376">
        <v>8.7537042999999995E-2</v>
      </c>
      <c r="P3376">
        <v>0.26216381</v>
      </c>
      <c r="Q3376" t="str">
        <f t="shared" si="104"/>
        <v>&lt;01</v>
      </c>
      <c r="R3376" t="str">
        <f t="shared" si="105"/>
        <v>[fyEoGEPERdI]|&lt;01|Female|Untreated_PLHIV_Attend.T_1|CY2024Q3</v>
      </c>
    </row>
    <row r="3377" spans="4:18" x14ac:dyDescent="0.2">
      <c r="D3377" t="s">
        <v>105</v>
      </c>
      <c r="E3377" t="s">
        <v>106</v>
      </c>
      <c r="F3377" t="s">
        <v>107</v>
      </c>
      <c r="G3377" t="s">
        <v>151</v>
      </c>
      <c r="H3377" t="s">
        <v>151</v>
      </c>
      <c r="I3377" t="s">
        <v>33</v>
      </c>
      <c r="J3377" t="s">
        <v>34</v>
      </c>
      <c r="K3377" t="s">
        <v>30</v>
      </c>
      <c r="L3377" t="s">
        <v>31</v>
      </c>
      <c r="M3377" t="s">
        <v>140</v>
      </c>
      <c r="N3377">
        <v>197</v>
      </c>
      <c r="O3377">
        <v>9.6918310999999993E-2</v>
      </c>
      <c r="P3377">
        <v>0.26216381</v>
      </c>
      <c r="Q3377" t="str">
        <f t="shared" si="104"/>
        <v>01-09</v>
      </c>
      <c r="R3377" t="str">
        <f t="shared" si="105"/>
        <v>[fyEoGEPERdI]|01-09|Female|Untreated_PLHIV_Attend.T_1|CY2024Q3</v>
      </c>
    </row>
    <row r="3378" spans="4:18" x14ac:dyDescent="0.2">
      <c r="D3378" t="s">
        <v>105</v>
      </c>
      <c r="E3378" t="s">
        <v>106</v>
      </c>
      <c r="F3378" t="s">
        <v>107</v>
      </c>
      <c r="G3378" t="s">
        <v>151</v>
      </c>
      <c r="H3378" t="s">
        <v>151</v>
      </c>
      <c r="I3378" t="s">
        <v>36</v>
      </c>
      <c r="J3378" t="s">
        <v>37</v>
      </c>
      <c r="K3378" t="s">
        <v>30</v>
      </c>
      <c r="L3378" t="s">
        <v>31</v>
      </c>
      <c r="M3378" t="s">
        <v>140</v>
      </c>
      <c r="N3378">
        <v>208</v>
      </c>
      <c r="O3378">
        <v>0.10832344100000001</v>
      </c>
      <c r="P3378">
        <v>0.26216381</v>
      </c>
      <c r="Q3378" t="str">
        <f t="shared" si="104"/>
        <v>10-14</v>
      </c>
      <c r="R3378" t="str">
        <f t="shared" si="105"/>
        <v>[fyEoGEPERdI]|10-14|Female|Untreated_PLHIV_Attend.T_1|CY2024Q3</v>
      </c>
    </row>
    <row r="3379" spans="4:18" x14ac:dyDescent="0.2">
      <c r="D3379" t="s">
        <v>105</v>
      </c>
      <c r="E3379" t="s">
        <v>106</v>
      </c>
      <c r="F3379" t="s">
        <v>107</v>
      </c>
      <c r="G3379" t="s">
        <v>151</v>
      </c>
      <c r="H3379" t="s">
        <v>151</v>
      </c>
      <c r="I3379" t="s">
        <v>38</v>
      </c>
      <c r="J3379" t="s">
        <v>39</v>
      </c>
      <c r="K3379" t="s">
        <v>30</v>
      </c>
      <c r="L3379" t="s">
        <v>31</v>
      </c>
      <c r="M3379" t="s">
        <v>140</v>
      </c>
      <c r="N3379">
        <v>190</v>
      </c>
      <c r="O3379">
        <v>0.42180234</v>
      </c>
      <c r="P3379">
        <v>0.26216381</v>
      </c>
      <c r="Q3379" t="str">
        <f t="shared" si="104"/>
        <v>15-24</v>
      </c>
      <c r="R3379" t="str">
        <f t="shared" si="105"/>
        <v>[fyEoGEPERdI]|15-24|Female|Untreated_PLHIV_Attend.T_1|CY2024Q3</v>
      </c>
    </row>
    <row r="3380" spans="4:18" x14ac:dyDescent="0.2">
      <c r="D3380" t="s">
        <v>105</v>
      </c>
      <c r="E3380" t="s">
        <v>106</v>
      </c>
      <c r="F3380" t="s">
        <v>107</v>
      </c>
      <c r="G3380" t="s">
        <v>151</v>
      </c>
      <c r="H3380" t="s">
        <v>151</v>
      </c>
      <c r="I3380" t="s">
        <v>41</v>
      </c>
      <c r="J3380" t="s">
        <v>42</v>
      </c>
      <c r="K3380" t="s">
        <v>30</v>
      </c>
      <c r="L3380" t="s">
        <v>31</v>
      </c>
      <c r="M3380" t="s">
        <v>140</v>
      </c>
      <c r="N3380">
        <v>248</v>
      </c>
      <c r="O3380">
        <v>0.41304671199999998</v>
      </c>
      <c r="P3380">
        <v>0.26216381</v>
      </c>
      <c r="Q3380" t="str">
        <f t="shared" si="104"/>
        <v>25-34</v>
      </c>
      <c r="R3380" t="str">
        <f t="shared" si="105"/>
        <v>[fyEoGEPERdI]|25-34|Female|Untreated_PLHIV_Attend.T_1|CY2024Q3</v>
      </c>
    </row>
    <row r="3381" spans="4:18" x14ac:dyDescent="0.2">
      <c r="D3381" t="s">
        <v>105</v>
      </c>
      <c r="E3381" t="s">
        <v>106</v>
      </c>
      <c r="F3381" t="s">
        <v>107</v>
      </c>
      <c r="G3381" t="s">
        <v>151</v>
      </c>
      <c r="H3381" t="s">
        <v>151</v>
      </c>
      <c r="I3381" t="s">
        <v>43</v>
      </c>
      <c r="J3381" t="s">
        <v>44</v>
      </c>
      <c r="K3381" t="s">
        <v>30</v>
      </c>
      <c r="L3381" t="s">
        <v>31</v>
      </c>
      <c r="M3381" t="s">
        <v>140</v>
      </c>
      <c r="N3381">
        <v>310</v>
      </c>
      <c r="O3381">
        <v>0.42595643799999999</v>
      </c>
      <c r="P3381">
        <v>0.26216381</v>
      </c>
      <c r="Q3381" t="str">
        <f t="shared" si="104"/>
        <v>35-49</v>
      </c>
      <c r="R3381" t="str">
        <f t="shared" si="105"/>
        <v>[fyEoGEPERdI]|35-49|Female|Untreated_PLHIV_Attend.T_1|CY2024Q3</v>
      </c>
    </row>
    <row r="3382" spans="4:18" x14ac:dyDescent="0.2">
      <c r="D3382" t="s">
        <v>105</v>
      </c>
      <c r="E3382" t="s">
        <v>106</v>
      </c>
      <c r="F3382" t="s">
        <v>107</v>
      </c>
      <c r="G3382" t="s">
        <v>151</v>
      </c>
      <c r="H3382" t="s">
        <v>151</v>
      </c>
      <c r="I3382" t="s">
        <v>45</v>
      </c>
      <c r="J3382" t="s">
        <v>46</v>
      </c>
      <c r="K3382" t="s">
        <v>30</v>
      </c>
      <c r="L3382" t="s">
        <v>31</v>
      </c>
      <c r="M3382" t="s">
        <v>140</v>
      </c>
      <c r="N3382">
        <v>91</v>
      </c>
      <c r="O3382">
        <v>0.43013386199999998</v>
      </c>
      <c r="P3382">
        <v>0.26216381</v>
      </c>
      <c r="Q3382" t="str">
        <f t="shared" si="104"/>
        <v>50+</v>
      </c>
      <c r="R3382" t="str">
        <f t="shared" si="105"/>
        <v>[fyEoGEPERdI]|50+|Female|Untreated_PLHIV_Attend.T_1|CY2024Q3</v>
      </c>
    </row>
    <row r="3383" spans="4:18" x14ac:dyDescent="0.2">
      <c r="D3383" t="s">
        <v>105</v>
      </c>
      <c r="E3383" t="s">
        <v>106</v>
      </c>
      <c r="F3383" t="s">
        <v>107</v>
      </c>
      <c r="G3383" t="s">
        <v>151</v>
      </c>
      <c r="H3383" t="s">
        <v>151</v>
      </c>
      <c r="I3383" t="s">
        <v>28</v>
      </c>
      <c r="J3383" t="s">
        <v>29</v>
      </c>
      <c r="K3383" t="s">
        <v>48</v>
      </c>
      <c r="L3383" t="s">
        <v>49</v>
      </c>
      <c r="M3383" t="s">
        <v>140</v>
      </c>
      <c r="N3383">
        <v>13</v>
      </c>
      <c r="O3383">
        <v>0.100192405</v>
      </c>
      <c r="P3383">
        <v>0.26216381</v>
      </c>
      <c r="Q3383" t="str">
        <f t="shared" si="104"/>
        <v>&lt;01</v>
      </c>
      <c r="R3383" t="str">
        <f t="shared" si="105"/>
        <v>[fyEoGEPERdI]|&lt;01|Male|Untreated_PLHIV_Attend.T_1|CY2024Q3</v>
      </c>
    </row>
    <row r="3384" spans="4:18" x14ac:dyDescent="0.2">
      <c r="D3384" t="s">
        <v>105</v>
      </c>
      <c r="E3384" t="s">
        <v>106</v>
      </c>
      <c r="F3384" t="s">
        <v>107</v>
      </c>
      <c r="G3384" t="s">
        <v>151</v>
      </c>
      <c r="H3384" t="s">
        <v>151</v>
      </c>
      <c r="I3384" t="s">
        <v>33</v>
      </c>
      <c r="J3384" t="s">
        <v>34</v>
      </c>
      <c r="K3384" t="s">
        <v>48</v>
      </c>
      <c r="L3384" t="s">
        <v>49</v>
      </c>
      <c r="M3384" t="s">
        <v>140</v>
      </c>
      <c r="N3384">
        <v>200</v>
      </c>
      <c r="O3384">
        <v>0.10914317599999999</v>
      </c>
      <c r="P3384">
        <v>0.26216381</v>
      </c>
      <c r="Q3384" t="str">
        <f t="shared" si="104"/>
        <v>01-09</v>
      </c>
      <c r="R3384" t="str">
        <f t="shared" si="105"/>
        <v>[fyEoGEPERdI]|01-09|Male|Untreated_PLHIV_Attend.T_1|CY2024Q3</v>
      </c>
    </row>
    <row r="3385" spans="4:18" x14ac:dyDescent="0.2">
      <c r="D3385" t="s">
        <v>105</v>
      </c>
      <c r="E3385" t="s">
        <v>106</v>
      </c>
      <c r="F3385" t="s">
        <v>107</v>
      </c>
      <c r="G3385" t="s">
        <v>151</v>
      </c>
      <c r="H3385" t="s">
        <v>151</v>
      </c>
      <c r="I3385" t="s">
        <v>36</v>
      </c>
      <c r="J3385" t="s">
        <v>37</v>
      </c>
      <c r="K3385" t="s">
        <v>48</v>
      </c>
      <c r="L3385" t="s">
        <v>49</v>
      </c>
      <c r="M3385" t="s">
        <v>140</v>
      </c>
      <c r="N3385">
        <v>210</v>
      </c>
      <c r="O3385">
        <v>0.120454299</v>
      </c>
      <c r="P3385">
        <v>0.26216381</v>
      </c>
      <c r="Q3385" t="str">
        <f t="shared" si="104"/>
        <v>10-14</v>
      </c>
      <c r="R3385" t="str">
        <f t="shared" si="105"/>
        <v>[fyEoGEPERdI]|10-14|Male|Untreated_PLHIV_Attend.T_1|CY2024Q3</v>
      </c>
    </row>
    <row r="3386" spans="4:18" x14ac:dyDescent="0.2">
      <c r="D3386" t="s">
        <v>105</v>
      </c>
      <c r="E3386" t="s">
        <v>106</v>
      </c>
      <c r="F3386" t="s">
        <v>107</v>
      </c>
      <c r="G3386" t="s">
        <v>151</v>
      </c>
      <c r="H3386" t="s">
        <v>151</v>
      </c>
      <c r="I3386" t="s">
        <v>38</v>
      </c>
      <c r="J3386" t="s">
        <v>39</v>
      </c>
      <c r="K3386" t="s">
        <v>48</v>
      </c>
      <c r="L3386" t="s">
        <v>49</v>
      </c>
      <c r="M3386" t="s">
        <v>140</v>
      </c>
      <c r="N3386">
        <v>208</v>
      </c>
      <c r="O3386">
        <v>0.40604914199999997</v>
      </c>
      <c r="P3386">
        <v>0.26216381</v>
      </c>
      <c r="Q3386" t="str">
        <f t="shared" si="104"/>
        <v>15-24</v>
      </c>
      <c r="R3386" t="str">
        <f t="shared" si="105"/>
        <v>[fyEoGEPERdI]|15-24|Male|Untreated_PLHIV_Attend.T_1|CY2024Q3</v>
      </c>
    </row>
    <row r="3387" spans="4:18" x14ac:dyDescent="0.2">
      <c r="D3387" t="s">
        <v>105</v>
      </c>
      <c r="E3387" t="s">
        <v>106</v>
      </c>
      <c r="F3387" t="s">
        <v>107</v>
      </c>
      <c r="G3387" t="s">
        <v>151</v>
      </c>
      <c r="H3387" t="s">
        <v>151</v>
      </c>
      <c r="I3387" t="s">
        <v>41</v>
      </c>
      <c r="J3387" t="s">
        <v>42</v>
      </c>
      <c r="K3387" t="s">
        <v>48</v>
      </c>
      <c r="L3387" t="s">
        <v>49</v>
      </c>
      <c r="M3387" t="s">
        <v>140</v>
      </c>
      <c r="N3387">
        <v>369</v>
      </c>
      <c r="O3387">
        <v>0.43370942699999998</v>
      </c>
      <c r="P3387">
        <v>0.26216381</v>
      </c>
      <c r="Q3387" t="str">
        <f t="shared" si="104"/>
        <v>25-34</v>
      </c>
      <c r="R3387" t="str">
        <f t="shared" si="105"/>
        <v>[fyEoGEPERdI]|25-34|Male|Untreated_PLHIV_Attend.T_1|CY2024Q3</v>
      </c>
    </row>
    <row r="3388" spans="4:18" x14ac:dyDescent="0.2">
      <c r="D3388" t="s">
        <v>105</v>
      </c>
      <c r="E3388" t="s">
        <v>106</v>
      </c>
      <c r="F3388" t="s">
        <v>107</v>
      </c>
      <c r="G3388" t="s">
        <v>151</v>
      </c>
      <c r="H3388" t="s">
        <v>151</v>
      </c>
      <c r="I3388" t="s">
        <v>43</v>
      </c>
      <c r="J3388" t="s">
        <v>44</v>
      </c>
      <c r="K3388" t="s">
        <v>48</v>
      </c>
      <c r="L3388" t="s">
        <v>49</v>
      </c>
      <c r="M3388" t="s">
        <v>140</v>
      </c>
      <c r="N3388">
        <v>793</v>
      </c>
      <c r="O3388">
        <v>0.44064568999999998</v>
      </c>
      <c r="P3388">
        <v>0.26216381</v>
      </c>
      <c r="Q3388" t="str">
        <f t="shared" si="104"/>
        <v>35-49</v>
      </c>
      <c r="R3388" t="str">
        <f t="shared" si="105"/>
        <v>[fyEoGEPERdI]|35-49|Male|Untreated_PLHIV_Attend.T_1|CY2024Q3</v>
      </c>
    </row>
    <row r="3389" spans="4:18" x14ac:dyDescent="0.2">
      <c r="D3389" t="s">
        <v>105</v>
      </c>
      <c r="E3389" t="s">
        <v>106</v>
      </c>
      <c r="F3389" t="s">
        <v>107</v>
      </c>
      <c r="G3389" t="s">
        <v>151</v>
      </c>
      <c r="H3389" t="s">
        <v>151</v>
      </c>
      <c r="I3389" t="s">
        <v>45</v>
      </c>
      <c r="J3389" t="s">
        <v>46</v>
      </c>
      <c r="K3389" t="s">
        <v>48</v>
      </c>
      <c r="L3389" t="s">
        <v>49</v>
      </c>
      <c r="M3389" t="s">
        <v>140</v>
      </c>
      <c r="N3389">
        <v>365</v>
      </c>
      <c r="O3389">
        <v>0.42604518600000002</v>
      </c>
      <c r="P3389">
        <v>0.26216381</v>
      </c>
      <c r="Q3389" t="str">
        <f t="shared" si="104"/>
        <v>50+</v>
      </c>
      <c r="R3389" t="str">
        <f t="shared" si="105"/>
        <v>[fyEoGEPERdI]|50+|Male|Untreated_PLHIV_Attend.T_1|CY2024Q3</v>
      </c>
    </row>
    <row r="3390" spans="4:18" x14ac:dyDescent="0.2">
      <c r="D3390" t="s">
        <v>108</v>
      </c>
      <c r="E3390" t="s">
        <v>109</v>
      </c>
      <c r="F3390" t="s">
        <v>110</v>
      </c>
      <c r="G3390" t="s">
        <v>151</v>
      </c>
      <c r="H3390" t="s">
        <v>151</v>
      </c>
      <c r="I3390" t="s">
        <v>28</v>
      </c>
      <c r="J3390" t="s">
        <v>29</v>
      </c>
      <c r="K3390" t="s">
        <v>30</v>
      </c>
      <c r="L3390" t="s">
        <v>31</v>
      </c>
      <c r="M3390" t="s">
        <v>140</v>
      </c>
      <c r="N3390">
        <v>6</v>
      </c>
      <c r="O3390">
        <v>0.20330131700000001</v>
      </c>
      <c r="P3390">
        <v>0.29303557800000002</v>
      </c>
      <c r="Q3390" t="str">
        <f t="shared" si="104"/>
        <v>&lt;01</v>
      </c>
      <c r="R3390" t="str">
        <f t="shared" si="105"/>
        <v>[umc2n1Z4wNv]|&lt;01|Female|Untreated_PLHIV_Attend.T_1|CY2024Q3</v>
      </c>
    </row>
    <row r="3391" spans="4:18" x14ac:dyDescent="0.2">
      <c r="D3391" t="s">
        <v>108</v>
      </c>
      <c r="E3391" t="s">
        <v>109</v>
      </c>
      <c r="F3391" t="s">
        <v>110</v>
      </c>
      <c r="G3391" t="s">
        <v>151</v>
      </c>
      <c r="H3391" t="s">
        <v>151</v>
      </c>
      <c r="I3391" t="s">
        <v>33</v>
      </c>
      <c r="J3391" t="s">
        <v>34</v>
      </c>
      <c r="K3391" t="s">
        <v>30</v>
      </c>
      <c r="L3391" t="s">
        <v>31</v>
      </c>
      <c r="M3391" t="s">
        <v>140</v>
      </c>
      <c r="N3391">
        <v>96</v>
      </c>
      <c r="O3391">
        <v>0.219257221</v>
      </c>
      <c r="P3391">
        <v>0.29303557800000002</v>
      </c>
      <c r="Q3391" t="str">
        <f t="shared" si="104"/>
        <v>01-09</v>
      </c>
      <c r="R3391" t="str">
        <f t="shared" si="105"/>
        <v>[umc2n1Z4wNv]|01-09|Female|Untreated_PLHIV_Attend.T_1|CY2024Q3</v>
      </c>
    </row>
    <row r="3392" spans="4:18" x14ac:dyDescent="0.2">
      <c r="D3392" t="s">
        <v>108</v>
      </c>
      <c r="E3392" t="s">
        <v>109</v>
      </c>
      <c r="F3392" t="s">
        <v>110</v>
      </c>
      <c r="G3392" t="s">
        <v>151</v>
      </c>
      <c r="H3392" t="s">
        <v>151</v>
      </c>
      <c r="I3392" t="s">
        <v>36</v>
      </c>
      <c r="J3392" t="s">
        <v>37</v>
      </c>
      <c r="K3392" t="s">
        <v>30</v>
      </c>
      <c r="L3392" t="s">
        <v>31</v>
      </c>
      <c r="M3392" t="s">
        <v>140</v>
      </c>
      <c r="N3392">
        <v>90</v>
      </c>
      <c r="O3392">
        <v>0.238865141</v>
      </c>
      <c r="P3392">
        <v>0.29303557800000002</v>
      </c>
      <c r="Q3392" t="str">
        <f t="shared" si="104"/>
        <v>10-14</v>
      </c>
      <c r="R3392" t="str">
        <f t="shared" si="105"/>
        <v>[umc2n1Z4wNv]|10-14|Female|Untreated_PLHIV_Attend.T_1|CY2024Q3</v>
      </c>
    </row>
    <row r="3393" spans="4:18" x14ac:dyDescent="0.2">
      <c r="D3393" t="s">
        <v>108</v>
      </c>
      <c r="E3393" t="s">
        <v>109</v>
      </c>
      <c r="F3393" t="s">
        <v>110</v>
      </c>
      <c r="G3393" t="s">
        <v>151</v>
      </c>
      <c r="H3393" t="s">
        <v>151</v>
      </c>
      <c r="I3393" t="s">
        <v>38</v>
      </c>
      <c r="J3393" t="s">
        <v>39</v>
      </c>
      <c r="K3393" t="s">
        <v>30</v>
      </c>
      <c r="L3393" t="s">
        <v>31</v>
      </c>
      <c r="M3393" t="s">
        <v>140</v>
      </c>
      <c r="N3393">
        <v>125</v>
      </c>
      <c r="O3393">
        <v>0.43636769399999997</v>
      </c>
      <c r="P3393">
        <v>0.29303557800000002</v>
      </c>
      <c r="Q3393" t="str">
        <f t="shared" si="104"/>
        <v>15-24</v>
      </c>
      <c r="R3393" t="str">
        <f t="shared" si="105"/>
        <v>[umc2n1Z4wNv]|15-24|Female|Untreated_PLHIV_Attend.T_1|CY2024Q3</v>
      </c>
    </row>
    <row r="3394" spans="4:18" x14ac:dyDescent="0.2">
      <c r="D3394" t="s">
        <v>108</v>
      </c>
      <c r="E3394" t="s">
        <v>109</v>
      </c>
      <c r="F3394" t="s">
        <v>110</v>
      </c>
      <c r="G3394" t="s">
        <v>151</v>
      </c>
      <c r="H3394" t="s">
        <v>151</v>
      </c>
      <c r="I3394" t="s">
        <v>41</v>
      </c>
      <c r="J3394" t="s">
        <v>42</v>
      </c>
      <c r="K3394" t="s">
        <v>30</v>
      </c>
      <c r="L3394" t="s">
        <v>31</v>
      </c>
      <c r="M3394" t="s">
        <v>140</v>
      </c>
      <c r="N3394">
        <v>138</v>
      </c>
      <c r="O3394">
        <v>0.42744042900000001</v>
      </c>
      <c r="P3394">
        <v>0.29303557800000002</v>
      </c>
      <c r="Q3394" t="str">
        <f t="shared" si="104"/>
        <v>25-34</v>
      </c>
      <c r="R3394" t="str">
        <f t="shared" si="105"/>
        <v>[umc2n1Z4wNv]|25-34|Female|Untreated_PLHIV_Attend.T_1|CY2024Q3</v>
      </c>
    </row>
    <row r="3395" spans="4:18" x14ac:dyDescent="0.2">
      <c r="D3395" t="s">
        <v>108</v>
      </c>
      <c r="E3395" t="s">
        <v>109</v>
      </c>
      <c r="F3395" t="s">
        <v>110</v>
      </c>
      <c r="G3395" t="s">
        <v>151</v>
      </c>
      <c r="H3395" t="s">
        <v>151</v>
      </c>
      <c r="I3395" t="s">
        <v>43</v>
      </c>
      <c r="J3395" t="s">
        <v>44</v>
      </c>
      <c r="K3395" t="s">
        <v>30</v>
      </c>
      <c r="L3395" t="s">
        <v>31</v>
      </c>
      <c r="M3395" t="s">
        <v>140</v>
      </c>
      <c r="N3395">
        <v>217</v>
      </c>
      <c r="O3395">
        <v>0.440406558</v>
      </c>
      <c r="P3395">
        <v>0.29303557800000002</v>
      </c>
      <c r="Q3395" t="str">
        <f t="shared" ref="Q3395:Q3458" si="106">SUBSTITUTE(SUBSTITUTE($I3395,CHAR(61),""),CHAR(34),"")</f>
        <v>35-49</v>
      </c>
      <c r="R3395" t="str">
        <f t="shared" ref="R3395:R3458" si="107">IF($D3395&lt;&gt;"","["&amp;$E3395&amp;"]"&amp;"|"&amp;$Q3395&amp;"|"&amp;$K3395&amp;"|"&amp;$G3395&amp;"|"&amp;IF($G3395="TX_CURR_SUBNAT.R","CY2023Q4",$M3395),"")</f>
        <v>[umc2n1Z4wNv]|35-49|Female|Untreated_PLHIV_Attend.T_1|CY2024Q3</v>
      </c>
    </row>
    <row r="3396" spans="4:18" x14ac:dyDescent="0.2">
      <c r="D3396" t="s">
        <v>108</v>
      </c>
      <c r="E3396" t="s">
        <v>109</v>
      </c>
      <c r="F3396" t="s">
        <v>110</v>
      </c>
      <c r="G3396" t="s">
        <v>151</v>
      </c>
      <c r="H3396" t="s">
        <v>151</v>
      </c>
      <c r="I3396" t="s">
        <v>45</v>
      </c>
      <c r="J3396" t="s">
        <v>46</v>
      </c>
      <c r="K3396" t="s">
        <v>30</v>
      </c>
      <c r="L3396" t="s">
        <v>31</v>
      </c>
      <c r="M3396" t="s">
        <v>140</v>
      </c>
      <c r="N3396">
        <v>52</v>
      </c>
      <c r="O3396">
        <v>0.44849878799999998</v>
      </c>
      <c r="P3396">
        <v>0.29303557800000002</v>
      </c>
      <c r="Q3396" t="str">
        <f t="shared" si="106"/>
        <v>50+</v>
      </c>
      <c r="R3396" t="str">
        <f t="shared" si="107"/>
        <v>[umc2n1Z4wNv]|50+|Female|Untreated_PLHIV_Attend.T_1|CY2024Q3</v>
      </c>
    </row>
    <row r="3397" spans="4:18" x14ac:dyDescent="0.2">
      <c r="D3397" t="s">
        <v>108</v>
      </c>
      <c r="E3397" t="s">
        <v>109</v>
      </c>
      <c r="F3397" t="s">
        <v>110</v>
      </c>
      <c r="G3397" t="s">
        <v>151</v>
      </c>
      <c r="H3397" t="s">
        <v>151</v>
      </c>
      <c r="I3397" t="s">
        <v>28</v>
      </c>
      <c r="J3397" t="s">
        <v>29</v>
      </c>
      <c r="K3397" t="s">
        <v>48</v>
      </c>
      <c r="L3397" t="s">
        <v>49</v>
      </c>
      <c r="M3397" t="s">
        <v>140</v>
      </c>
      <c r="N3397">
        <v>8</v>
      </c>
      <c r="O3397">
        <v>0.223594656</v>
      </c>
      <c r="P3397">
        <v>0.29303557800000002</v>
      </c>
      <c r="Q3397" t="str">
        <f t="shared" si="106"/>
        <v>&lt;01</v>
      </c>
      <c r="R3397" t="str">
        <f t="shared" si="107"/>
        <v>[umc2n1Z4wNv]|&lt;01|Male|Untreated_PLHIV_Attend.T_1|CY2024Q3</v>
      </c>
    </row>
    <row r="3398" spans="4:18" x14ac:dyDescent="0.2">
      <c r="D3398" t="s">
        <v>108</v>
      </c>
      <c r="E3398" t="s">
        <v>109</v>
      </c>
      <c r="F3398" t="s">
        <v>110</v>
      </c>
      <c r="G3398" t="s">
        <v>151</v>
      </c>
      <c r="H3398" t="s">
        <v>151</v>
      </c>
      <c r="I3398" t="s">
        <v>33</v>
      </c>
      <c r="J3398" t="s">
        <v>34</v>
      </c>
      <c r="K3398" t="s">
        <v>48</v>
      </c>
      <c r="L3398" t="s">
        <v>49</v>
      </c>
      <c r="M3398" t="s">
        <v>140</v>
      </c>
      <c r="N3398">
        <v>122</v>
      </c>
      <c r="O3398">
        <v>0.23852275100000001</v>
      </c>
      <c r="P3398">
        <v>0.29303557800000002</v>
      </c>
      <c r="Q3398" t="str">
        <f t="shared" si="106"/>
        <v>01-09</v>
      </c>
      <c r="R3398" t="str">
        <f t="shared" si="107"/>
        <v>[umc2n1Z4wNv]|01-09|Male|Untreated_PLHIV_Attend.T_1|CY2024Q3</v>
      </c>
    </row>
    <row r="3399" spans="4:18" x14ac:dyDescent="0.2">
      <c r="D3399" t="s">
        <v>108</v>
      </c>
      <c r="E3399" t="s">
        <v>109</v>
      </c>
      <c r="F3399" t="s">
        <v>110</v>
      </c>
      <c r="G3399" t="s">
        <v>151</v>
      </c>
      <c r="H3399" t="s">
        <v>151</v>
      </c>
      <c r="I3399" t="s">
        <v>36</v>
      </c>
      <c r="J3399" t="s">
        <v>37</v>
      </c>
      <c r="K3399" t="s">
        <v>48</v>
      </c>
      <c r="L3399" t="s">
        <v>49</v>
      </c>
      <c r="M3399" t="s">
        <v>140</v>
      </c>
      <c r="N3399">
        <v>122</v>
      </c>
      <c r="O3399">
        <v>0.25690860700000001</v>
      </c>
      <c r="P3399">
        <v>0.29303557800000002</v>
      </c>
      <c r="Q3399" t="str">
        <f t="shared" si="106"/>
        <v>10-14</v>
      </c>
      <c r="R3399" t="str">
        <f t="shared" si="107"/>
        <v>[umc2n1Z4wNv]|10-14|Male|Untreated_PLHIV_Attend.T_1|CY2024Q3</v>
      </c>
    </row>
    <row r="3400" spans="4:18" x14ac:dyDescent="0.2">
      <c r="D3400" t="s">
        <v>108</v>
      </c>
      <c r="E3400" t="s">
        <v>109</v>
      </c>
      <c r="F3400" t="s">
        <v>110</v>
      </c>
      <c r="G3400" t="s">
        <v>151</v>
      </c>
      <c r="H3400" t="s">
        <v>151</v>
      </c>
      <c r="I3400" t="s">
        <v>38</v>
      </c>
      <c r="J3400" t="s">
        <v>39</v>
      </c>
      <c r="K3400" t="s">
        <v>48</v>
      </c>
      <c r="L3400" t="s">
        <v>49</v>
      </c>
      <c r="M3400" t="s">
        <v>140</v>
      </c>
      <c r="N3400">
        <v>151</v>
      </c>
      <c r="O3400">
        <v>0.41623359799999998</v>
      </c>
      <c r="P3400">
        <v>0.29303557800000002</v>
      </c>
      <c r="Q3400" t="str">
        <f t="shared" si="106"/>
        <v>15-24</v>
      </c>
      <c r="R3400" t="str">
        <f t="shared" si="107"/>
        <v>[umc2n1Z4wNv]|15-24|Male|Untreated_PLHIV_Attend.T_1|CY2024Q3</v>
      </c>
    </row>
    <row r="3401" spans="4:18" x14ac:dyDescent="0.2">
      <c r="D3401" t="s">
        <v>108</v>
      </c>
      <c r="E3401" t="s">
        <v>109</v>
      </c>
      <c r="F3401" t="s">
        <v>110</v>
      </c>
      <c r="G3401" t="s">
        <v>151</v>
      </c>
      <c r="H3401" t="s">
        <v>151</v>
      </c>
      <c r="I3401" t="s">
        <v>41</v>
      </c>
      <c r="J3401" t="s">
        <v>42</v>
      </c>
      <c r="K3401" t="s">
        <v>48</v>
      </c>
      <c r="L3401" t="s">
        <v>49</v>
      </c>
      <c r="M3401" t="s">
        <v>140</v>
      </c>
      <c r="N3401">
        <v>261</v>
      </c>
      <c r="O3401">
        <v>0.44514722299999998</v>
      </c>
      <c r="P3401">
        <v>0.29303557800000002</v>
      </c>
      <c r="Q3401" t="str">
        <f t="shared" si="106"/>
        <v>25-34</v>
      </c>
      <c r="R3401" t="str">
        <f t="shared" si="107"/>
        <v>[umc2n1Z4wNv]|25-34|Male|Untreated_PLHIV_Attend.T_1|CY2024Q3</v>
      </c>
    </row>
    <row r="3402" spans="4:18" x14ac:dyDescent="0.2">
      <c r="D3402" t="s">
        <v>108</v>
      </c>
      <c r="E3402" t="s">
        <v>109</v>
      </c>
      <c r="F3402" t="s">
        <v>110</v>
      </c>
      <c r="G3402" t="s">
        <v>151</v>
      </c>
      <c r="H3402" t="s">
        <v>151</v>
      </c>
      <c r="I3402" t="s">
        <v>43</v>
      </c>
      <c r="J3402" t="s">
        <v>44</v>
      </c>
      <c r="K3402" t="s">
        <v>48</v>
      </c>
      <c r="L3402" t="s">
        <v>49</v>
      </c>
      <c r="M3402" t="s">
        <v>140</v>
      </c>
      <c r="N3402">
        <v>609</v>
      </c>
      <c r="O3402">
        <v>0.45036273100000002</v>
      </c>
      <c r="P3402">
        <v>0.29303557800000002</v>
      </c>
      <c r="Q3402" t="str">
        <f t="shared" si="106"/>
        <v>35-49</v>
      </c>
      <c r="R3402" t="str">
        <f t="shared" si="107"/>
        <v>[umc2n1Z4wNv]|35-49|Male|Untreated_PLHIV_Attend.T_1|CY2024Q3</v>
      </c>
    </row>
    <row r="3403" spans="4:18" x14ac:dyDescent="0.2">
      <c r="D3403" t="s">
        <v>108</v>
      </c>
      <c r="E3403" t="s">
        <v>109</v>
      </c>
      <c r="F3403" t="s">
        <v>110</v>
      </c>
      <c r="G3403" t="s">
        <v>151</v>
      </c>
      <c r="H3403" t="s">
        <v>151</v>
      </c>
      <c r="I3403" t="s">
        <v>45</v>
      </c>
      <c r="J3403" t="s">
        <v>46</v>
      </c>
      <c r="K3403" t="s">
        <v>48</v>
      </c>
      <c r="L3403" t="s">
        <v>49</v>
      </c>
      <c r="M3403" t="s">
        <v>140</v>
      </c>
      <c r="N3403">
        <v>274</v>
      </c>
      <c r="O3403">
        <v>0.43456483099999998</v>
      </c>
      <c r="P3403">
        <v>0.29303557800000002</v>
      </c>
      <c r="Q3403" t="str">
        <f t="shared" si="106"/>
        <v>50+</v>
      </c>
      <c r="R3403" t="str">
        <f t="shared" si="107"/>
        <v>[umc2n1Z4wNv]|50+|Male|Untreated_PLHIV_Attend.T_1|CY2024Q3</v>
      </c>
    </row>
    <row r="3404" spans="4:18" x14ac:dyDescent="0.2">
      <c r="D3404" t="s">
        <v>111</v>
      </c>
      <c r="E3404" t="s">
        <v>112</v>
      </c>
      <c r="F3404" t="s">
        <v>113</v>
      </c>
      <c r="G3404" t="s">
        <v>151</v>
      </c>
      <c r="H3404" t="s">
        <v>151</v>
      </c>
      <c r="I3404" t="s">
        <v>28</v>
      </c>
      <c r="J3404" t="s">
        <v>29</v>
      </c>
      <c r="K3404" t="s">
        <v>30</v>
      </c>
      <c r="L3404" t="s">
        <v>31</v>
      </c>
      <c r="M3404" t="s">
        <v>140</v>
      </c>
      <c r="N3404">
        <v>2</v>
      </c>
      <c r="O3404">
        <v>0.231710162</v>
      </c>
      <c r="P3404">
        <v>0.29917747300000003</v>
      </c>
      <c r="Q3404" t="str">
        <f t="shared" si="106"/>
        <v>&lt;01</v>
      </c>
      <c r="R3404" t="str">
        <f t="shared" si="107"/>
        <v>[AZyWpGzhcaA]|&lt;01|Female|Untreated_PLHIV_Attend.T_1|CY2024Q3</v>
      </c>
    </row>
    <row r="3405" spans="4:18" x14ac:dyDescent="0.2">
      <c r="D3405" t="s">
        <v>111</v>
      </c>
      <c r="E3405" t="s">
        <v>112</v>
      </c>
      <c r="F3405" t="s">
        <v>113</v>
      </c>
      <c r="G3405" t="s">
        <v>151</v>
      </c>
      <c r="H3405" t="s">
        <v>151</v>
      </c>
      <c r="I3405" t="s">
        <v>33</v>
      </c>
      <c r="J3405" t="s">
        <v>34</v>
      </c>
      <c r="K3405" t="s">
        <v>30</v>
      </c>
      <c r="L3405" t="s">
        <v>31</v>
      </c>
      <c r="M3405" t="s">
        <v>140</v>
      </c>
      <c r="N3405">
        <v>42</v>
      </c>
      <c r="O3405">
        <v>0.24509528999999999</v>
      </c>
      <c r="P3405">
        <v>0.29917747300000003</v>
      </c>
      <c r="Q3405" t="str">
        <f t="shared" si="106"/>
        <v>01-09</v>
      </c>
      <c r="R3405" t="str">
        <f t="shared" si="107"/>
        <v>[AZyWpGzhcaA]|01-09|Female|Untreated_PLHIV_Attend.T_1|CY2024Q3</v>
      </c>
    </row>
    <row r="3406" spans="4:18" x14ac:dyDescent="0.2">
      <c r="D3406" t="s">
        <v>111</v>
      </c>
      <c r="E3406" t="s">
        <v>112</v>
      </c>
      <c r="F3406" t="s">
        <v>113</v>
      </c>
      <c r="G3406" t="s">
        <v>151</v>
      </c>
      <c r="H3406" t="s">
        <v>151</v>
      </c>
      <c r="I3406" t="s">
        <v>36</v>
      </c>
      <c r="J3406" t="s">
        <v>37</v>
      </c>
      <c r="K3406" t="s">
        <v>30</v>
      </c>
      <c r="L3406" t="s">
        <v>31</v>
      </c>
      <c r="M3406" t="s">
        <v>140</v>
      </c>
      <c r="N3406">
        <v>37</v>
      </c>
      <c r="O3406">
        <v>0.26104278400000003</v>
      </c>
      <c r="P3406">
        <v>0.29917747300000003</v>
      </c>
      <c r="Q3406" t="str">
        <f t="shared" si="106"/>
        <v>10-14</v>
      </c>
      <c r="R3406" t="str">
        <f t="shared" si="107"/>
        <v>[AZyWpGzhcaA]|10-14|Female|Untreated_PLHIV_Attend.T_1|CY2024Q3</v>
      </c>
    </row>
    <row r="3407" spans="4:18" x14ac:dyDescent="0.2">
      <c r="D3407" t="s">
        <v>111</v>
      </c>
      <c r="E3407" t="s">
        <v>112</v>
      </c>
      <c r="F3407" t="s">
        <v>113</v>
      </c>
      <c r="G3407" t="s">
        <v>151</v>
      </c>
      <c r="H3407" t="s">
        <v>151</v>
      </c>
      <c r="I3407" t="s">
        <v>38</v>
      </c>
      <c r="J3407" t="s">
        <v>39</v>
      </c>
      <c r="K3407" t="s">
        <v>30</v>
      </c>
      <c r="L3407" t="s">
        <v>31</v>
      </c>
      <c r="M3407" t="s">
        <v>140</v>
      </c>
      <c r="N3407">
        <v>59</v>
      </c>
      <c r="O3407">
        <v>0.44877639699999999</v>
      </c>
      <c r="P3407">
        <v>0.29917747300000003</v>
      </c>
      <c r="Q3407" t="str">
        <f t="shared" si="106"/>
        <v>15-24</v>
      </c>
      <c r="R3407" t="str">
        <f t="shared" si="107"/>
        <v>[AZyWpGzhcaA]|15-24|Female|Untreated_PLHIV_Attend.T_1|CY2024Q3</v>
      </c>
    </row>
    <row r="3408" spans="4:18" x14ac:dyDescent="0.2">
      <c r="D3408" t="s">
        <v>111</v>
      </c>
      <c r="E3408" t="s">
        <v>112</v>
      </c>
      <c r="F3408" t="s">
        <v>113</v>
      </c>
      <c r="G3408" t="s">
        <v>151</v>
      </c>
      <c r="H3408" t="s">
        <v>151</v>
      </c>
      <c r="I3408" t="s">
        <v>41</v>
      </c>
      <c r="J3408" t="s">
        <v>42</v>
      </c>
      <c r="K3408" t="s">
        <v>30</v>
      </c>
      <c r="L3408" t="s">
        <v>31</v>
      </c>
      <c r="M3408" t="s">
        <v>140</v>
      </c>
      <c r="N3408">
        <v>55</v>
      </c>
      <c r="O3408">
        <v>0.444133004</v>
      </c>
      <c r="P3408">
        <v>0.29917747300000003</v>
      </c>
      <c r="Q3408" t="str">
        <f t="shared" si="106"/>
        <v>25-34</v>
      </c>
      <c r="R3408" t="str">
        <f t="shared" si="107"/>
        <v>[AZyWpGzhcaA]|25-34|Female|Untreated_PLHIV_Attend.T_1|CY2024Q3</v>
      </c>
    </row>
    <row r="3409" spans="4:18" x14ac:dyDescent="0.2">
      <c r="D3409" t="s">
        <v>111</v>
      </c>
      <c r="E3409" t="s">
        <v>112</v>
      </c>
      <c r="F3409" t="s">
        <v>113</v>
      </c>
      <c r="G3409" t="s">
        <v>151</v>
      </c>
      <c r="H3409" t="s">
        <v>151</v>
      </c>
      <c r="I3409" t="s">
        <v>43</v>
      </c>
      <c r="J3409" t="s">
        <v>44</v>
      </c>
      <c r="K3409" t="s">
        <v>30</v>
      </c>
      <c r="L3409" t="s">
        <v>31</v>
      </c>
      <c r="M3409" t="s">
        <v>140</v>
      </c>
      <c r="N3409">
        <v>95</v>
      </c>
      <c r="O3409">
        <v>0.44518243000000002</v>
      </c>
      <c r="P3409">
        <v>0.29917747300000003</v>
      </c>
      <c r="Q3409" t="str">
        <f t="shared" si="106"/>
        <v>35-49</v>
      </c>
      <c r="R3409" t="str">
        <f t="shared" si="107"/>
        <v>[AZyWpGzhcaA]|35-49|Female|Untreated_PLHIV_Attend.T_1|CY2024Q3</v>
      </c>
    </row>
    <row r="3410" spans="4:18" x14ac:dyDescent="0.2">
      <c r="D3410" t="s">
        <v>111</v>
      </c>
      <c r="E3410" t="s">
        <v>112</v>
      </c>
      <c r="F3410" t="s">
        <v>113</v>
      </c>
      <c r="G3410" t="s">
        <v>151</v>
      </c>
      <c r="H3410" t="s">
        <v>151</v>
      </c>
      <c r="I3410" t="s">
        <v>45</v>
      </c>
      <c r="J3410" t="s">
        <v>46</v>
      </c>
      <c r="K3410" t="s">
        <v>30</v>
      </c>
      <c r="L3410" t="s">
        <v>31</v>
      </c>
      <c r="M3410" t="s">
        <v>140</v>
      </c>
      <c r="N3410">
        <v>16</v>
      </c>
      <c r="O3410">
        <v>0.44877888399999999</v>
      </c>
      <c r="P3410">
        <v>0.29917747300000003</v>
      </c>
      <c r="Q3410" t="str">
        <f t="shared" si="106"/>
        <v>50+</v>
      </c>
      <c r="R3410" t="str">
        <f t="shared" si="107"/>
        <v>[AZyWpGzhcaA]|50+|Female|Untreated_PLHIV_Attend.T_1|CY2024Q3</v>
      </c>
    </row>
    <row r="3411" spans="4:18" x14ac:dyDescent="0.2">
      <c r="D3411" t="s">
        <v>111</v>
      </c>
      <c r="E3411" t="s">
        <v>112</v>
      </c>
      <c r="F3411" t="s">
        <v>113</v>
      </c>
      <c r="G3411" t="s">
        <v>151</v>
      </c>
      <c r="H3411" t="s">
        <v>151</v>
      </c>
      <c r="I3411" t="s">
        <v>28</v>
      </c>
      <c r="J3411" t="s">
        <v>29</v>
      </c>
      <c r="K3411" t="s">
        <v>48</v>
      </c>
      <c r="L3411" t="s">
        <v>49</v>
      </c>
      <c r="M3411" t="s">
        <v>140</v>
      </c>
      <c r="N3411">
        <v>4</v>
      </c>
      <c r="O3411">
        <v>0.25179593</v>
      </c>
      <c r="P3411">
        <v>0.29917747300000003</v>
      </c>
      <c r="Q3411" t="str">
        <f t="shared" si="106"/>
        <v>&lt;01</v>
      </c>
      <c r="R3411" t="str">
        <f t="shared" si="107"/>
        <v>[AZyWpGzhcaA]|&lt;01|Male|Untreated_PLHIV_Attend.T_1|CY2024Q3</v>
      </c>
    </row>
    <row r="3412" spans="4:18" x14ac:dyDescent="0.2">
      <c r="D3412" t="s">
        <v>111</v>
      </c>
      <c r="E3412" t="s">
        <v>112</v>
      </c>
      <c r="F3412" t="s">
        <v>113</v>
      </c>
      <c r="G3412" t="s">
        <v>151</v>
      </c>
      <c r="H3412" t="s">
        <v>151</v>
      </c>
      <c r="I3412" t="s">
        <v>33</v>
      </c>
      <c r="J3412" t="s">
        <v>34</v>
      </c>
      <c r="K3412" t="s">
        <v>48</v>
      </c>
      <c r="L3412" t="s">
        <v>49</v>
      </c>
      <c r="M3412" t="s">
        <v>140</v>
      </c>
      <c r="N3412">
        <v>65</v>
      </c>
      <c r="O3412">
        <v>0.26418812800000002</v>
      </c>
      <c r="P3412">
        <v>0.29917747300000003</v>
      </c>
      <c r="Q3412" t="str">
        <f t="shared" si="106"/>
        <v>01-09</v>
      </c>
      <c r="R3412" t="str">
        <f t="shared" si="107"/>
        <v>[AZyWpGzhcaA]|01-09|Male|Untreated_PLHIV_Attend.T_1|CY2024Q3</v>
      </c>
    </row>
    <row r="3413" spans="4:18" x14ac:dyDescent="0.2">
      <c r="D3413" t="s">
        <v>111</v>
      </c>
      <c r="E3413" t="s">
        <v>112</v>
      </c>
      <c r="F3413" t="s">
        <v>113</v>
      </c>
      <c r="G3413" t="s">
        <v>151</v>
      </c>
      <c r="H3413" t="s">
        <v>151</v>
      </c>
      <c r="I3413" t="s">
        <v>36</v>
      </c>
      <c r="J3413" t="s">
        <v>37</v>
      </c>
      <c r="K3413" t="s">
        <v>48</v>
      </c>
      <c r="L3413" t="s">
        <v>49</v>
      </c>
      <c r="M3413" t="s">
        <v>140</v>
      </c>
      <c r="N3413">
        <v>65</v>
      </c>
      <c r="O3413">
        <v>0.27900464699999999</v>
      </c>
      <c r="P3413">
        <v>0.29917747300000003</v>
      </c>
      <c r="Q3413" t="str">
        <f t="shared" si="106"/>
        <v>10-14</v>
      </c>
      <c r="R3413" t="str">
        <f t="shared" si="107"/>
        <v>[AZyWpGzhcaA]|10-14|Male|Untreated_PLHIV_Attend.T_1|CY2024Q3</v>
      </c>
    </row>
    <row r="3414" spans="4:18" x14ac:dyDescent="0.2">
      <c r="D3414" t="s">
        <v>111</v>
      </c>
      <c r="E3414" t="s">
        <v>112</v>
      </c>
      <c r="F3414" t="s">
        <v>113</v>
      </c>
      <c r="G3414" t="s">
        <v>151</v>
      </c>
      <c r="H3414" t="s">
        <v>151</v>
      </c>
      <c r="I3414" t="s">
        <v>38</v>
      </c>
      <c r="J3414" t="s">
        <v>39</v>
      </c>
      <c r="K3414" t="s">
        <v>48</v>
      </c>
      <c r="L3414" t="s">
        <v>49</v>
      </c>
      <c r="M3414" t="s">
        <v>140</v>
      </c>
      <c r="N3414">
        <v>81</v>
      </c>
      <c r="O3414">
        <v>0.43489381300000002</v>
      </c>
      <c r="P3414">
        <v>0.29917747300000003</v>
      </c>
      <c r="Q3414" t="str">
        <f t="shared" si="106"/>
        <v>15-24</v>
      </c>
      <c r="R3414" t="str">
        <f t="shared" si="107"/>
        <v>[AZyWpGzhcaA]|15-24|Male|Untreated_PLHIV_Attend.T_1|CY2024Q3</v>
      </c>
    </row>
    <row r="3415" spans="4:18" x14ac:dyDescent="0.2">
      <c r="D3415" t="s">
        <v>111</v>
      </c>
      <c r="E3415" t="s">
        <v>112</v>
      </c>
      <c r="F3415" t="s">
        <v>113</v>
      </c>
      <c r="G3415" t="s">
        <v>151</v>
      </c>
      <c r="H3415" t="s">
        <v>151</v>
      </c>
      <c r="I3415" t="s">
        <v>41</v>
      </c>
      <c r="J3415" t="s">
        <v>42</v>
      </c>
      <c r="K3415" t="s">
        <v>48</v>
      </c>
      <c r="L3415" t="s">
        <v>49</v>
      </c>
      <c r="M3415" t="s">
        <v>140</v>
      </c>
      <c r="N3415">
        <v>139</v>
      </c>
      <c r="O3415">
        <v>0.46705016799999999</v>
      </c>
      <c r="P3415">
        <v>0.29917747300000003</v>
      </c>
      <c r="Q3415" t="str">
        <f t="shared" si="106"/>
        <v>25-34</v>
      </c>
      <c r="R3415" t="str">
        <f t="shared" si="107"/>
        <v>[AZyWpGzhcaA]|25-34|Male|Untreated_PLHIV_Attend.T_1|CY2024Q3</v>
      </c>
    </row>
    <row r="3416" spans="4:18" x14ac:dyDescent="0.2">
      <c r="D3416" t="s">
        <v>111</v>
      </c>
      <c r="E3416" t="s">
        <v>112</v>
      </c>
      <c r="F3416" t="s">
        <v>113</v>
      </c>
      <c r="G3416" t="s">
        <v>151</v>
      </c>
      <c r="H3416" t="s">
        <v>151</v>
      </c>
      <c r="I3416" t="s">
        <v>43</v>
      </c>
      <c r="J3416" t="s">
        <v>44</v>
      </c>
      <c r="K3416" t="s">
        <v>48</v>
      </c>
      <c r="L3416" t="s">
        <v>49</v>
      </c>
      <c r="M3416" t="s">
        <v>140</v>
      </c>
      <c r="N3416">
        <v>322</v>
      </c>
      <c r="O3416">
        <v>0.46354449399999997</v>
      </c>
      <c r="P3416">
        <v>0.29917747300000003</v>
      </c>
      <c r="Q3416" t="str">
        <f t="shared" si="106"/>
        <v>35-49</v>
      </c>
      <c r="R3416" t="str">
        <f t="shared" si="107"/>
        <v>[AZyWpGzhcaA]|35-49|Male|Untreated_PLHIV_Attend.T_1|CY2024Q3</v>
      </c>
    </row>
    <row r="3417" spans="4:18" x14ac:dyDescent="0.2">
      <c r="D3417" t="s">
        <v>111</v>
      </c>
      <c r="E3417" t="s">
        <v>112</v>
      </c>
      <c r="F3417" t="s">
        <v>113</v>
      </c>
      <c r="G3417" t="s">
        <v>151</v>
      </c>
      <c r="H3417" t="s">
        <v>151</v>
      </c>
      <c r="I3417" t="s">
        <v>45</v>
      </c>
      <c r="J3417" t="s">
        <v>46</v>
      </c>
      <c r="K3417" t="s">
        <v>48</v>
      </c>
      <c r="L3417" t="s">
        <v>49</v>
      </c>
      <c r="M3417" t="s">
        <v>140</v>
      </c>
      <c r="N3417">
        <v>138</v>
      </c>
      <c r="O3417">
        <v>0.45587000900000002</v>
      </c>
      <c r="P3417">
        <v>0.29917747300000003</v>
      </c>
      <c r="Q3417" t="str">
        <f t="shared" si="106"/>
        <v>50+</v>
      </c>
      <c r="R3417" t="str">
        <f t="shared" si="107"/>
        <v>[AZyWpGzhcaA]|50+|Male|Untreated_PLHIV_Attend.T_1|CY2024Q3</v>
      </c>
    </row>
    <row r="3418" spans="4:18" x14ac:dyDescent="0.2">
      <c r="D3418" t="s">
        <v>114</v>
      </c>
      <c r="E3418" t="s">
        <v>115</v>
      </c>
      <c r="F3418" t="s">
        <v>116</v>
      </c>
      <c r="G3418" t="s">
        <v>151</v>
      </c>
      <c r="H3418" t="s">
        <v>151</v>
      </c>
      <c r="I3418" t="s">
        <v>28</v>
      </c>
      <c r="J3418" t="s">
        <v>29</v>
      </c>
      <c r="K3418" t="s">
        <v>30</v>
      </c>
      <c r="L3418" t="s">
        <v>31</v>
      </c>
      <c r="M3418" t="s">
        <v>140</v>
      </c>
      <c r="N3418">
        <v>5</v>
      </c>
      <c r="O3418">
        <v>0.13657951099999999</v>
      </c>
      <c r="P3418">
        <v>0.27240608399999999</v>
      </c>
      <c r="Q3418" t="str">
        <f t="shared" si="106"/>
        <v>&lt;01</v>
      </c>
      <c r="R3418" t="str">
        <f t="shared" si="107"/>
        <v>[ir8wuHHzoSs]|&lt;01|Female|Untreated_PLHIV_Attend.T_1|CY2024Q3</v>
      </c>
    </row>
    <row r="3419" spans="4:18" x14ac:dyDescent="0.2">
      <c r="D3419" t="s">
        <v>114</v>
      </c>
      <c r="E3419" t="s">
        <v>115</v>
      </c>
      <c r="F3419" t="s">
        <v>116</v>
      </c>
      <c r="G3419" t="s">
        <v>151</v>
      </c>
      <c r="H3419" t="s">
        <v>151</v>
      </c>
      <c r="I3419" t="s">
        <v>33</v>
      </c>
      <c r="J3419" t="s">
        <v>34</v>
      </c>
      <c r="K3419" t="s">
        <v>30</v>
      </c>
      <c r="L3419" t="s">
        <v>31</v>
      </c>
      <c r="M3419" t="s">
        <v>140</v>
      </c>
      <c r="N3419">
        <v>86</v>
      </c>
      <c r="O3419">
        <v>0.15060599499999999</v>
      </c>
      <c r="P3419">
        <v>0.27240608399999999</v>
      </c>
      <c r="Q3419" t="str">
        <f t="shared" si="106"/>
        <v>01-09</v>
      </c>
      <c r="R3419" t="str">
        <f t="shared" si="107"/>
        <v>[ir8wuHHzoSs]|01-09|Female|Untreated_PLHIV_Attend.T_1|CY2024Q3</v>
      </c>
    </row>
    <row r="3420" spans="4:18" x14ac:dyDescent="0.2">
      <c r="D3420" t="s">
        <v>114</v>
      </c>
      <c r="E3420" t="s">
        <v>115</v>
      </c>
      <c r="F3420" t="s">
        <v>116</v>
      </c>
      <c r="G3420" t="s">
        <v>151</v>
      </c>
      <c r="H3420" t="s">
        <v>151</v>
      </c>
      <c r="I3420" t="s">
        <v>36</v>
      </c>
      <c r="J3420" t="s">
        <v>37</v>
      </c>
      <c r="K3420" t="s">
        <v>30</v>
      </c>
      <c r="L3420" t="s">
        <v>31</v>
      </c>
      <c r="M3420" t="s">
        <v>140</v>
      </c>
      <c r="N3420">
        <v>94</v>
      </c>
      <c r="O3420">
        <v>0.167474664</v>
      </c>
      <c r="P3420">
        <v>0.27240608399999999</v>
      </c>
      <c r="Q3420" t="str">
        <f t="shared" si="106"/>
        <v>10-14</v>
      </c>
      <c r="R3420" t="str">
        <f t="shared" si="107"/>
        <v>[ir8wuHHzoSs]|10-14|Female|Untreated_PLHIV_Attend.T_1|CY2024Q3</v>
      </c>
    </row>
    <row r="3421" spans="4:18" x14ac:dyDescent="0.2">
      <c r="D3421" t="s">
        <v>114</v>
      </c>
      <c r="E3421" t="s">
        <v>115</v>
      </c>
      <c r="F3421" t="s">
        <v>116</v>
      </c>
      <c r="G3421" t="s">
        <v>151</v>
      </c>
      <c r="H3421" t="s">
        <v>151</v>
      </c>
      <c r="I3421" t="s">
        <v>38</v>
      </c>
      <c r="J3421" t="s">
        <v>39</v>
      </c>
      <c r="K3421" t="s">
        <v>30</v>
      </c>
      <c r="L3421" t="s">
        <v>31</v>
      </c>
      <c r="M3421" t="s">
        <v>140</v>
      </c>
      <c r="N3421">
        <v>81</v>
      </c>
      <c r="O3421">
        <v>0.42763889500000002</v>
      </c>
      <c r="P3421">
        <v>0.27240608399999999</v>
      </c>
      <c r="Q3421" t="str">
        <f t="shared" si="106"/>
        <v>15-24</v>
      </c>
      <c r="R3421" t="str">
        <f t="shared" si="107"/>
        <v>[ir8wuHHzoSs]|15-24|Female|Untreated_PLHIV_Attend.T_1|CY2024Q3</v>
      </c>
    </row>
    <row r="3422" spans="4:18" x14ac:dyDescent="0.2">
      <c r="D3422" t="s">
        <v>114</v>
      </c>
      <c r="E3422" t="s">
        <v>115</v>
      </c>
      <c r="F3422" t="s">
        <v>116</v>
      </c>
      <c r="G3422" t="s">
        <v>151</v>
      </c>
      <c r="H3422" t="s">
        <v>151</v>
      </c>
      <c r="I3422" t="s">
        <v>41</v>
      </c>
      <c r="J3422" t="s">
        <v>42</v>
      </c>
      <c r="K3422" t="s">
        <v>30</v>
      </c>
      <c r="L3422" t="s">
        <v>31</v>
      </c>
      <c r="M3422" t="s">
        <v>140</v>
      </c>
      <c r="N3422">
        <v>103</v>
      </c>
      <c r="O3422">
        <v>0.42464341799999999</v>
      </c>
      <c r="P3422">
        <v>0.27240608399999999</v>
      </c>
      <c r="Q3422" t="str">
        <f t="shared" si="106"/>
        <v>25-34</v>
      </c>
      <c r="R3422" t="str">
        <f t="shared" si="107"/>
        <v>[ir8wuHHzoSs]|25-34|Female|Untreated_PLHIV_Attend.T_1|CY2024Q3</v>
      </c>
    </row>
    <row r="3423" spans="4:18" x14ac:dyDescent="0.2">
      <c r="D3423" t="s">
        <v>114</v>
      </c>
      <c r="E3423" t="s">
        <v>115</v>
      </c>
      <c r="F3423" t="s">
        <v>116</v>
      </c>
      <c r="G3423" t="s">
        <v>151</v>
      </c>
      <c r="H3423" t="s">
        <v>151</v>
      </c>
      <c r="I3423" t="s">
        <v>43</v>
      </c>
      <c r="J3423" t="s">
        <v>44</v>
      </c>
      <c r="K3423" t="s">
        <v>30</v>
      </c>
      <c r="L3423" t="s">
        <v>31</v>
      </c>
      <c r="M3423" t="s">
        <v>140</v>
      </c>
      <c r="N3423">
        <v>125</v>
      </c>
      <c r="O3423">
        <v>0.44086748799999997</v>
      </c>
      <c r="P3423">
        <v>0.27240608399999999</v>
      </c>
      <c r="Q3423" t="str">
        <f t="shared" si="106"/>
        <v>35-49</v>
      </c>
      <c r="R3423" t="str">
        <f t="shared" si="107"/>
        <v>[ir8wuHHzoSs]|35-49|Female|Untreated_PLHIV_Attend.T_1|CY2024Q3</v>
      </c>
    </row>
    <row r="3424" spans="4:18" x14ac:dyDescent="0.2">
      <c r="D3424" t="s">
        <v>114</v>
      </c>
      <c r="E3424" t="s">
        <v>115</v>
      </c>
      <c r="F3424" t="s">
        <v>116</v>
      </c>
      <c r="G3424" t="s">
        <v>151</v>
      </c>
      <c r="H3424" t="s">
        <v>151</v>
      </c>
      <c r="I3424" t="s">
        <v>45</v>
      </c>
      <c r="J3424" t="s">
        <v>46</v>
      </c>
      <c r="K3424" t="s">
        <v>30</v>
      </c>
      <c r="L3424" t="s">
        <v>31</v>
      </c>
      <c r="M3424" t="s">
        <v>140</v>
      </c>
      <c r="N3424">
        <v>44</v>
      </c>
      <c r="O3424">
        <v>0.43877202300000001</v>
      </c>
      <c r="P3424">
        <v>0.27240608399999999</v>
      </c>
      <c r="Q3424" t="str">
        <f t="shared" si="106"/>
        <v>50+</v>
      </c>
      <c r="R3424" t="str">
        <f t="shared" si="107"/>
        <v>[ir8wuHHzoSs]|50+|Female|Untreated_PLHIV_Attend.T_1|CY2024Q3</v>
      </c>
    </row>
    <row r="3425" spans="4:18" x14ac:dyDescent="0.2">
      <c r="D3425" t="s">
        <v>114</v>
      </c>
      <c r="E3425" t="s">
        <v>115</v>
      </c>
      <c r="F3425" t="s">
        <v>116</v>
      </c>
      <c r="G3425" t="s">
        <v>151</v>
      </c>
      <c r="H3425" t="s">
        <v>151</v>
      </c>
      <c r="I3425" t="s">
        <v>28</v>
      </c>
      <c r="J3425" t="s">
        <v>29</v>
      </c>
      <c r="K3425" t="s">
        <v>48</v>
      </c>
      <c r="L3425" t="s">
        <v>49</v>
      </c>
      <c r="M3425" t="s">
        <v>140</v>
      </c>
      <c r="N3425">
        <v>5</v>
      </c>
      <c r="O3425">
        <v>0.15730464599999999</v>
      </c>
      <c r="P3425">
        <v>0.27240608399999999</v>
      </c>
      <c r="Q3425" t="str">
        <f t="shared" si="106"/>
        <v>&lt;01</v>
      </c>
      <c r="R3425" t="str">
        <f t="shared" si="107"/>
        <v>[ir8wuHHzoSs]|&lt;01|Male|Untreated_PLHIV_Attend.T_1|CY2024Q3</v>
      </c>
    </row>
    <row r="3426" spans="4:18" x14ac:dyDescent="0.2">
      <c r="D3426" t="s">
        <v>114</v>
      </c>
      <c r="E3426" t="s">
        <v>115</v>
      </c>
      <c r="F3426" t="s">
        <v>116</v>
      </c>
      <c r="G3426" t="s">
        <v>151</v>
      </c>
      <c r="H3426" t="s">
        <v>151</v>
      </c>
      <c r="I3426" t="s">
        <v>33</v>
      </c>
      <c r="J3426" t="s">
        <v>34</v>
      </c>
      <c r="K3426" t="s">
        <v>48</v>
      </c>
      <c r="L3426" t="s">
        <v>49</v>
      </c>
      <c r="M3426" t="s">
        <v>140</v>
      </c>
      <c r="N3426">
        <v>86</v>
      </c>
      <c r="O3426">
        <v>0.170678581</v>
      </c>
      <c r="P3426">
        <v>0.27240608399999999</v>
      </c>
      <c r="Q3426" t="str">
        <f t="shared" si="106"/>
        <v>01-09</v>
      </c>
      <c r="R3426" t="str">
        <f t="shared" si="107"/>
        <v>[ir8wuHHzoSs]|01-09|Male|Untreated_PLHIV_Attend.T_1|CY2024Q3</v>
      </c>
    </row>
    <row r="3427" spans="4:18" x14ac:dyDescent="0.2">
      <c r="D3427" t="s">
        <v>114</v>
      </c>
      <c r="E3427" t="s">
        <v>115</v>
      </c>
      <c r="F3427" t="s">
        <v>116</v>
      </c>
      <c r="G3427" t="s">
        <v>151</v>
      </c>
      <c r="H3427" t="s">
        <v>151</v>
      </c>
      <c r="I3427" t="s">
        <v>36</v>
      </c>
      <c r="J3427" t="s">
        <v>37</v>
      </c>
      <c r="K3427" t="s">
        <v>48</v>
      </c>
      <c r="L3427" t="s">
        <v>49</v>
      </c>
      <c r="M3427" t="s">
        <v>140</v>
      </c>
      <c r="N3427">
        <v>95</v>
      </c>
      <c r="O3427">
        <v>0.186795973</v>
      </c>
      <c r="P3427">
        <v>0.27240608399999999</v>
      </c>
      <c r="Q3427" t="str">
        <f t="shared" si="106"/>
        <v>10-14</v>
      </c>
      <c r="R3427" t="str">
        <f t="shared" si="107"/>
        <v>[ir8wuHHzoSs]|10-14|Male|Untreated_PLHIV_Attend.T_1|CY2024Q3</v>
      </c>
    </row>
    <row r="3428" spans="4:18" x14ac:dyDescent="0.2">
      <c r="D3428" t="s">
        <v>114</v>
      </c>
      <c r="E3428" t="s">
        <v>115</v>
      </c>
      <c r="F3428" t="s">
        <v>116</v>
      </c>
      <c r="G3428" t="s">
        <v>151</v>
      </c>
      <c r="H3428" t="s">
        <v>151</v>
      </c>
      <c r="I3428" t="s">
        <v>38</v>
      </c>
      <c r="J3428" t="s">
        <v>39</v>
      </c>
      <c r="K3428" t="s">
        <v>48</v>
      </c>
      <c r="L3428" t="s">
        <v>49</v>
      </c>
      <c r="M3428" t="s">
        <v>140</v>
      </c>
      <c r="N3428">
        <v>81</v>
      </c>
      <c r="O3428">
        <v>0.41596809699999998</v>
      </c>
      <c r="P3428">
        <v>0.27240608399999999</v>
      </c>
      <c r="Q3428" t="str">
        <f t="shared" si="106"/>
        <v>15-24</v>
      </c>
      <c r="R3428" t="str">
        <f t="shared" si="107"/>
        <v>[ir8wuHHzoSs]|15-24|Male|Untreated_PLHIV_Attend.T_1|CY2024Q3</v>
      </c>
    </row>
    <row r="3429" spans="4:18" x14ac:dyDescent="0.2">
      <c r="D3429" t="s">
        <v>114</v>
      </c>
      <c r="E3429" t="s">
        <v>115</v>
      </c>
      <c r="F3429" t="s">
        <v>116</v>
      </c>
      <c r="G3429" t="s">
        <v>151</v>
      </c>
      <c r="H3429" t="s">
        <v>151</v>
      </c>
      <c r="I3429" t="s">
        <v>41</v>
      </c>
      <c r="J3429" t="s">
        <v>42</v>
      </c>
      <c r="K3429" t="s">
        <v>48</v>
      </c>
      <c r="L3429" t="s">
        <v>49</v>
      </c>
      <c r="M3429" t="s">
        <v>140</v>
      </c>
      <c r="N3429">
        <v>113</v>
      </c>
      <c r="O3429">
        <v>0.453223708</v>
      </c>
      <c r="P3429">
        <v>0.27240608399999999</v>
      </c>
      <c r="Q3429" t="str">
        <f t="shared" si="106"/>
        <v>25-34</v>
      </c>
      <c r="R3429" t="str">
        <f t="shared" si="107"/>
        <v>[ir8wuHHzoSs]|25-34|Male|Untreated_PLHIV_Attend.T_1|CY2024Q3</v>
      </c>
    </row>
    <row r="3430" spans="4:18" x14ac:dyDescent="0.2">
      <c r="D3430" t="s">
        <v>114</v>
      </c>
      <c r="E3430" t="s">
        <v>115</v>
      </c>
      <c r="F3430" t="s">
        <v>116</v>
      </c>
      <c r="G3430" t="s">
        <v>151</v>
      </c>
      <c r="H3430" t="s">
        <v>151</v>
      </c>
      <c r="I3430" t="s">
        <v>43</v>
      </c>
      <c r="J3430" t="s">
        <v>44</v>
      </c>
      <c r="K3430" t="s">
        <v>48</v>
      </c>
      <c r="L3430" t="s">
        <v>49</v>
      </c>
      <c r="M3430" t="s">
        <v>140</v>
      </c>
      <c r="N3430">
        <v>247</v>
      </c>
      <c r="O3430">
        <v>0.45271639499999999</v>
      </c>
      <c r="P3430">
        <v>0.27240608399999999</v>
      </c>
      <c r="Q3430" t="str">
        <f t="shared" si="106"/>
        <v>35-49</v>
      </c>
      <c r="R3430" t="str">
        <f t="shared" si="107"/>
        <v>[ir8wuHHzoSs]|35-49|Male|Untreated_PLHIV_Attend.T_1|CY2024Q3</v>
      </c>
    </row>
    <row r="3431" spans="4:18" x14ac:dyDescent="0.2">
      <c r="D3431" t="s">
        <v>114</v>
      </c>
      <c r="E3431" t="s">
        <v>115</v>
      </c>
      <c r="F3431" t="s">
        <v>116</v>
      </c>
      <c r="G3431" t="s">
        <v>151</v>
      </c>
      <c r="H3431" t="s">
        <v>151</v>
      </c>
      <c r="I3431" t="s">
        <v>45</v>
      </c>
      <c r="J3431" t="s">
        <v>46</v>
      </c>
      <c r="K3431" t="s">
        <v>48</v>
      </c>
      <c r="L3431" t="s">
        <v>49</v>
      </c>
      <c r="M3431" t="s">
        <v>140</v>
      </c>
      <c r="N3431">
        <v>131</v>
      </c>
      <c r="O3431">
        <v>0.44167965100000001</v>
      </c>
      <c r="P3431">
        <v>0.27240608399999999</v>
      </c>
      <c r="Q3431" t="str">
        <f t="shared" si="106"/>
        <v>50+</v>
      </c>
      <c r="R3431" t="str">
        <f t="shared" si="107"/>
        <v>[ir8wuHHzoSs]|50+|Male|Untreated_PLHIV_Attend.T_1|CY2024Q3</v>
      </c>
    </row>
    <row r="3432" spans="4:18" x14ac:dyDescent="0.2">
      <c r="D3432" t="s">
        <v>117</v>
      </c>
      <c r="E3432" t="s">
        <v>118</v>
      </c>
      <c r="F3432" t="s">
        <v>119</v>
      </c>
      <c r="G3432" t="s">
        <v>151</v>
      </c>
      <c r="H3432" t="s">
        <v>151</v>
      </c>
      <c r="I3432" t="s">
        <v>28</v>
      </c>
      <c r="J3432" t="s">
        <v>29</v>
      </c>
      <c r="K3432" t="s">
        <v>30</v>
      </c>
      <c r="L3432" t="s">
        <v>31</v>
      </c>
      <c r="M3432" t="s">
        <v>140</v>
      </c>
      <c r="N3432">
        <v>13</v>
      </c>
      <c r="O3432">
        <v>5.8432515999999997E-2</v>
      </c>
      <c r="P3432">
        <v>0.23502868099999999</v>
      </c>
      <c r="Q3432" t="str">
        <f t="shared" si="106"/>
        <v>&lt;01</v>
      </c>
      <c r="R3432" t="str">
        <f t="shared" si="107"/>
        <v>[oiPR2CiVJbf]|&lt;01|Female|Untreated_PLHIV_Attend.T_1|CY2024Q3</v>
      </c>
    </row>
    <row r="3433" spans="4:18" x14ac:dyDescent="0.2">
      <c r="D3433" t="s">
        <v>117</v>
      </c>
      <c r="E3433" t="s">
        <v>118</v>
      </c>
      <c r="F3433" t="s">
        <v>119</v>
      </c>
      <c r="G3433" t="s">
        <v>151</v>
      </c>
      <c r="H3433" t="s">
        <v>151</v>
      </c>
      <c r="I3433" t="s">
        <v>33</v>
      </c>
      <c r="J3433" t="s">
        <v>34</v>
      </c>
      <c r="K3433" t="s">
        <v>30</v>
      </c>
      <c r="L3433" t="s">
        <v>31</v>
      </c>
      <c r="M3433" t="s">
        <v>140</v>
      </c>
      <c r="N3433">
        <v>210</v>
      </c>
      <c r="O3433">
        <v>6.9839015000000004E-2</v>
      </c>
      <c r="P3433">
        <v>0.23502868099999999</v>
      </c>
      <c r="Q3433" t="str">
        <f t="shared" si="106"/>
        <v>01-09</v>
      </c>
      <c r="R3433" t="str">
        <f t="shared" si="107"/>
        <v>[oiPR2CiVJbf]|01-09|Female|Untreated_PLHIV_Attend.T_1|CY2024Q3</v>
      </c>
    </row>
    <row r="3434" spans="4:18" x14ac:dyDescent="0.2">
      <c r="D3434" t="s">
        <v>117</v>
      </c>
      <c r="E3434" t="s">
        <v>118</v>
      </c>
      <c r="F3434" t="s">
        <v>119</v>
      </c>
      <c r="G3434" t="s">
        <v>151</v>
      </c>
      <c r="H3434" t="s">
        <v>151</v>
      </c>
      <c r="I3434" t="s">
        <v>36</v>
      </c>
      <c r="J3434" t="s">
        <v>37</v>
      </c>
      <c r="K3434" t="s">
        <v>30</v>
      </c>
      <c r="L3434" t="s">
        <v>31</v>
      </c>
      <c r="M3434" t="s">
        <v>140</v>
      </c>
      <c r="N3434">
        <v>237</v>
      </c>
      <c r="O3434">
        <v>8.4054092999999996E-2</v>
      </c>
      <c r="P3434">
        <v>0.23502868099999999</v>
      </c>
      <c r="Q3434" t="str">
        <f t="shared" si="106"/>
        <v>10-14</v>
      </c>
      <c r="R3434" t="str">
        <f t="shared" si="107"/>
        <v>[oiPR2CiVJbf]|10-14|Female|Untreated_PLHIV_Attend.T_1|CY2024Q3</v>
      </c>
    </row>
    <row r="3435" spans="4:18" x14ac:dyDescent="0.2">
      <c r="D3435" t="s">
        <v>117</v>
      </c>
      <c r="E3435" t="s">
        <v>118</v>
      </c>
      <c r="F3435" t="s">
        <v>119</v>
      </c>
      <c r="G3435" t="s">
        <v>151</v>
      </c>
      <c r="H3435" t="s">
        <v>151</v>
      </c>
      <c r="I3435" t="s">
        <v>38</v>
      </c>
      <c r="J3435" t="s">
        <v>39</v>
      </c>
      <c r="K3435" t="s">
        <v>30</v>
      </c>
      <c r="L3435" t="s">
        <v>31</v>
      </c>
      <c r="M3435" t="s">
        <v>140</v>
      </c>
      <c r="N3435">
        <v>152</v>
      </c>
      <c r="O3435">
        <v>0.404655292</v>
      </c>
      <c r="P3435">
        <v>0.23502868099999999</v>
      </c>
      <c r="Q3435" t="str">
        <f t="shared" si="106"/>
        <v>15-24</v>
      </c>
      <c r="R3435" t="str">
        <f t="shared" si="107"/>
        <v>[oiPR2CiVJbf]|15-24|Female|Untreated_PLHIV_Attend.T_1|CY2024Q3</v>
      </c>
    </row>
    <row r="3436" spans="4:18" x14ac:dyDescent="0.2">
      <c r="D3436" t="s">
        <v>117</v>
      </c>
      <c r="E3436" t="s">
        <v>118</v>
      </c>
      <c r="F3436" t="s">
        <v>119</v>
      </c>
      <c r="G3436" t="s">
        <v>151</v>
      </c>
      <c r="H3436" t="s">
        <v>151</v>
      </c>
      <c r="I3436" t="s">
        <v>41</v>
      </c>
      <c r="J3436" t="s">
        <v>42</v>
      </c>
      <c r="K3436" t="s">
        <v>30</v>
      </c>
      <c r="L3436" t="s">
        <v>31</v>
      </c>
      <c r="M3436" t="s">
        <v>140</v>
      </c>
      <c r="N3436">
        <v>211</v>
      </c>
      <c r="O3436">
        <v>0.40043431299999999</v>
      </c>
      <c r="P3436">
        <v>0.23502868099999999</v>
      </c>
      <c r="Q3436" t="str">
        <f t="shared" si="106"/>
        <v>25-34</v>
      </c>
      <c r="R3436" t="str">
        <f t="shared" si="107"/>
        <v>[oiPR2CiVJbf]|25-34|Female|Untreated_PLHIV_Attend.T_1|CY2024Q3</v>
      </c>
    </row>
    <row r="3437" spans="4:18" x14ac:dyDescent="0.2">
      <c r="D3437" t="s">
        <v>117</v>
      </c>
      <c r="E3437" t="s">
        <v>118</v>
      </c>
      <c r="F3437" t="s">
        <v>119</v>
      </c>
      <c r="G3437" t="s">
        <v>151</v>
      </c>
      <c r="H3437" t="s">
        <v>151</v>
      </c>
      <c r="I3437" t="s">
        <v>43</v>
      </c>
      <c r="J3437" t="s">
        <v>44</v>
      </c>
      <c r="K3437" t="s">
        <v>30</v>
      </c>
      <c r="L3437" t="s">
        <v>31</v>
      </c>
      <c r="M3437" t="s">
        <v>140</v>
      </c>
      <c r="N3437">
        <v>249</v>
      </c>
      <c r="O3437">
        <v>0.41841268799999998</v>
      </c>
      <c r="P3437">
        <v>0.23502868099999999</v>
      </c>
      <c r="Q3437" t="str">
        <f t="shared" si="106"/>
        <v>35-49</v>
      </c>
      <c r="R3437" t="str">
        <f t="shared" si="107"/>
        <v>[oiPR2CiVJbf]|35-49|Female|Untreated_PLHIV_Attend.T_1|CY2024Q3</v>
      </c>
    </row>
    <row r="3438" spans="4:18" x14ac:dyDescent="0.2">
      <c r="D3438" t="s">
        <v>117</v>
      </c>
      <c r="E3438" t="s">
        <v>118</v>
      </c>
      <c r="F3438" t="s">
        <v>119</v>
      </c>
      <c r="G3438" t="s">
        <v>151</v>
      </c>
      <c r="H3438" t="s">
        <v>151</v>
      </c>
      <c r="I3438" t="s">
        <v>45</v>
      </c>
      <c r="J3438" t="s">
        <v>46</v>
      </c>
      <c r="K3438" t="s">
        <v>30</v>
      </c>
      <c r="L3438" t="s">
        <v>31</v>
      </c>
      <c r="M3438" t="s">
        <v>140</v>
      </c>
      <c r="N3438">
        <v>96</v>
      </c>
      <c r="O3438">
        <v>0.41981884800000002</v>
      </c>
      <c r="P3438">
        <v>0.23502868099999999</v>
      </c>
      <c r="Q3438" t="str">
        <f t="shared" si="106"/>
        <v>50+</v>
      </c>
      <c r="R3438" t="str">
        <f t="shared" si="107"/>
        <v>[oiPR2CiVJbf]|50+|Female|Untreated_PLHIV_Attend.T_1|CY2024Q3</v>
      </c>
    </row>
    <row r="3439" spans="4:18" x14ac:dyDescent="0.2">
      <c r="D3439" t="s">
        <v>117</v>
      </c>
      <c r="E3439" t="s">
        <v>118</v>
      </c>
      <c r="F3439" t="s">
        <v>119</v>
      </c>
      <c r="G3439" t="s">
        <v>151</v>
      </c>
      <c r="H3439" t="s">
        <v>151</v>
      </c>
      <c r="I3439" t="s">
        <v>28</v>
      </c>
      <c r="J3439" t="s">
        <v>29</v>
      </c>
      <c r="K3439" t="s">
        <v>48</v>
      </c>
      <c r="L3439" t="s">
        <v>49</v>
      </c>
      <c r="M3439" t="s">
        <v>140</v>
      </c>
      <c r="N3439">
        <v>12</v>
      </c>
      <c r="O3439">
        <v>7.2308015000000003E-2</v>
      </c>
      <c r="P3439">
        <v>0.23502868099999999</v>
      </c>
      <c r="Q3439" t="str">
        <f t="shared" si="106"/>
        <v>&lt;01</v>
      </c>
      <c r="R3439" t="str">
        <f t="shared" si="107"/>
        <v>[oiPR2CiVJbf]|&lt;01|Male|Untreated_PLHIV_Attend.T_1|CY2024Q3</v>
      </c>
    </row>
    <row r="3440" spans="4:18" x14ac:dyDescent="0.2">
      <c r="D3440" t="s">
        <v>117</v>
      </c>
      <c r="E3440" t="s">
        <v>118</v>
      </c>
      <c r="F3440" t="s">
        <v>119</v>
      </c>
      <c r="G3440" t="s">
        <v>151</v>
      </c>
      <c r="H3440" t="s">
        <v>151</v>
      </c>
      <c r="I3440" t="s">
        <v>33</v>
      </c>
      <c r="J3440" t="s">
        <v>34</v>
      </c>
      <c r="K3440" t="s">
        <v>48</v>
      </c>
      <c r="L3440" t="s">
        <v>49</v>
      </c>
      <c r="M3440" t="s">
        <v>140</v>
      </c>
      <c r="N3440">
        <v>194</v>
      </c>
      <c r="O3440">
        <v>8.3823151999999998E-2</v>
      </c>
      <c r="P3440">
        <v>0.23502868099999999</v>
      </c>
      <c r="Q3440" t="str">
        <f t="shared" si="106"/>
        <v>01-09</v>
      </c>
      <c r="R3440" t="str">
        <f t="shared" si="107"/>
        <v>[oiPR2CiVJbf]|01-09|Male|Untreated_PLHIV_Attend.T_1|CY2024Q3</v>
      </c>
    </row>
    <row r="3441" spans="4:18" x14ac:dyDescent="0.2">
      <c r="D3441" t="s">
        <v>117</v>
      </c>
      <c r="E3441" t="s">
        <v>118</v>
      </c>
      <c r="F3441" t="s">
        <v>119</v>
      </c>
      <c r="G3441" t="s">
        <v>151</v>
      </c>
      <c r="H3441" t="s">
        <v>151</v>
      </c>
      <c r="I3441" t="s">
        <v>36</v>
      </c>
      <c r="J3441" t="s">
        <v>37</v>
      </c>
      <c r="K3441" t="s">
        <v>48</v>
      </c>
      <c r="L3441" t="s">
        <v>49</v>
      </c>
      <c r="M3441" t="s">
        <v>140</v>
      </c>
      <c r="N3441">
        <v>216</v>
      </c>
      <c r="O3441">
        <v>9.8113951000000005E-2</v>
      </c>
      <c r="P3441">
        <v>0.23502868099999999</v>
      </c>
      <c r="Q3441" t="str">
        <f t="shared" si="106"/>
        <v>10-14</v>
      </c>
      <c r="R3441" t="str">
        <f t="shared" si="107"/>
        <v>[oiPR2CiVJbf]|10-14|Male|Untreated_PLHIV_Attend.T_1|CY2024Q3</v>
      </c>
    </row>
    <row r="3442" spans="4:18" x14ac:dyDescent="0.2">
      <c r="D3442" t="s">
        <v>117</v>
      </c>
      <c r="E3442" t="s">
        <v>118</v>
      </c>
      <c r="F3442" t="s">
        <v>119</v>
      </c>
      <c r="G3442" t="s">
        <v>151</v>
      </c>
      <c r="H3442" t="s">
        <v>151</v>
      </c>
      <c r="I3442" t="s">
        <v>38</v>
      </c>
      <c r="J3442" t="s">
        <v>39</v>
      </c>
      <c r="K3442" t="s">
        <v>48</v>
      </c>
      <c r="L3442" t="s">
        <v>49</v>
      </c>
      <c r="M3442" t="s">
        <v>140</v>
      </c>
      <c r="N3442">
        <v>164</v>
      </c>
      <c r="O3442">
        <v>0.39119597299999997</v>
      </c>
      <c r="P3442">
        <v>0.23502868099999999</v>
      </c>
      <c r="Q3442" t="str">
        <f t="shared" si="106"/>
        <v>15-24</v>
      </c>
      <c r="R3442" t="str">
        <f t="shared" si="107"/>
        <v>[oiPR2CiVJbf]|15-24|Male|Untreated_PLHIV_Attend.T_1|CY2024Q3</v>
      </c>
    </row>
    <row r="3443" spans="4:18" x14ac:dyDescent="0.2">
      <c r="D3443" t="s">
        <v>117</v>
      </c>
      <c r="E3443" t="s">
        <v>118</v>
      </c>
      <c r="F3443" t="s">
        <v>119</v>
      </c>
      <c r="G3443" t="s">
        <v>151</v>
      </c>
      <c r="H3443" t="s">
        <v>151</v>
      </c>
      <c r="I3443" t="s">
        <v>41</v>
      </c>
      <c r="J3443" t="s">
        <v>42</v>
      </c>
      <c r="K3443" t="s">
        <v>48</v>
      </c>
      <c r="L3443" t="s">
        <v>49</v>
      </c>
      <c r="M3443" t="s">
        <v>140</v>
      </c>
      <c r="N3443">
        <v>279</v>
      </c>
      <c r="O3443">
        <v>0.423792481</v>
      </c>
      <c r="P3443">
        <v>0.23502868099999999</v>
      </c>
      <c r="Q3443" t="str">
        <f t="shared" si="106"/>
        <v>25-34</v>
      </c>
      <c r="R3443" t="str">
        <f t="shared" si="107"/>
        <v>[oiPR2CiVJbf]|25-34|Male|Untreated_PLHIV_Attend.T_1|CY2024Q3</v>
      </c>
    </row>
    <row r="3444" spans="4:18" x14ac:dyDescent="0.2">
      <c r="D3444" t="s">
        <v>117</v>
      </c>
      <c r="E3444" t="s">
        <v>118</v>
      </c>
      <c r="F3444" t="s">
        <v>119</v>
      </c>
      <c r="G3444" t="s">
        <v>151</v>
      </c>
      <c r="H3444" t="s">
        <v>151</v>
      </c>
      <c r="I3444" t="s">
        <v>43</v>
      </c>
      <c r="J3444" t="s">
        <v>44</v>
      </c>
      <c r="K3444" t="s">
        <v>48</v>
      </c>
      <c r="L3444" t="s">
        <v>49</v>
      </c>
      <c r="M3444" t="s">
        <v>140</v>
      </c>
      <c r="N3444">
        <v>569</v>
      </c>
      <c r="O3444">
        <v>0.43535533900000001</v>
      </c>
      <c r="P3444">
        <v>0.23502868099999999</v>
      </c>
      <c r="Q3444" t="str">
        <f t="shared" si="106"/>
        <v>35-49</v>
      </c>
      <c r="R3444" t="str">
        <f t="shared" si="107"/>
        <v>[oiPR2CiVJbf]|35-49|Male|Untreated_PLHIV_Attend.T_1|CY2024Q3</v>
      </c>
    </row>
    <row r="3445" spans="4:18" x14ac:dyDescent="0.2">
      <c r="D3445" t="s">
        <v>117</v>
      </c>
      <c r="E3445" t="s">
        <v>118</v>
      </c>
      <c r="F3445" t="s">
        <v>119</v>
      </c>
      <c r="G3445" t="s">
        <v>151</v>
      </c>
      <c r="H3445" t="s">
        <v>151</v>
      </c>
      <c r="I3445" t="s">
        <v>45</v>
      </c>
      <c r="J3445" t="s">
        <v>46</v>
      </c>
      <c r="K3445" t="s">
        <v>48</v>
      </c>
      <c r="L3445" t="s">
        <v>49</v>
      </c>
      <c r="M3445" t="s">
        <v>140</v>
      </c>
      <c r="N3445">
        <v>286</v>
      </c>
      <c r="O3445">
        <v>0.42089612999999998</v>
      </c>
      <c r="P3445">
        <v>0.23502868099999999</v>
      </c>
      <c r="Q3445" t="str">
        <f t="shared" si="106"/>
        <v>50+</v>
      </c>
      <c r="R3445" t="str">
        <f t="shared" si="107"/>
        <v>[oiPR2CiVJbf]|50+|Male|Untreated_PLHIV_Attend.T_1|CY2024Q3</v>
      </c>
    </row>
    <row r="3446" spans="4:18" x14ac:dyDescent="0.2">
      <c r="D3446" t="s">
        <v>120</v>
      </c>
      <c r="E3446" t="s">
        <v>121</v>
      </c>
      <c r="F3446" t="s">
        <v>122</v>
      </c>
      <c r="G3446" t="s">
        <v>151</v>
      </c>
      <c r="H3446" t="s">
        <v>151</v>
      </c>
      <c r="I3446" t="s">
        <v>28</v>
      </c>
      <c r="J3446" t="s">
        <v>29</v>
      </c>
      <c r="K3446" t="s">
        <v>30</v>
      </c>
      <c r="L3446" t="s">
        <v>31</v>
      </c>
      <c r="M3446" t="s">
        <v>140</v>
      </c>
      <c r="N3446">
        <v>27</v>
      </c>
      <c r="O3446">
        <v>7.4867617999999997E-2</v>
      </c>
      <c r="P3446">
        <v>0.27935285999999998</v>
      </c>
      <c r="Q3446" t="str">
        <f t="shared" si="106"/>
        <v>&lt;01</v>
      </c>
      <c r="R3446" t="str">
        <f t="shared" si="107"/>
        <v>[mxqa3CDFmIT]|&lt;01|Female|Untreated_PLHIV_Attend.T_1|CY2024Q3</v>
      </c>
    </row>
    <row r="3447" spans="4:18" x14ac:dyDescent="0.2">
      <c r="D3447" t="s">
        <v>120</v>
      </c>
      <c r="E3447" t="s">
        <v>121</v>
      </c>
      <c r="F3447" t="s">
        <v>122</v>
      </c>
      <c r="G3447" t="s">
        <v>151</v>
      </c>
      <c r="H3447" t="s">
        <v>151</v>
      </c>
      <c r="I3447" t="s">
        <v>33</v>
      </c>
      <c r="J3447" t="s">
        <v>34</v>
      </c>
      <c r="K3447" t="s">
        <v>30</v>
      </c>
      <c r="L3447" t="s">
        <v>31</v>
      </c>
      <c r="M3447" t="s">
        <v>140</v>
      </c>
      <c r="N3447">
        <v>398</v>
      </c>
      <c r="O3447">
        <v>8.3976292999999994E-2</v>
      </c>
      <c r="P3447">
        <v>0.27935285999999998</v>
      </c>
      <c r="Q3447" t="str">
        <f t="shared" si="106"/>
        <v>01-09</v>
      </c>
      <c r="R3447" t="str">
        <f t="shared" si="107"/>
        <v>[mxqa3CDFmIT]|01-09|Female|Untreated_PLHIV_Attend.T_1|CY2024Q3</v>
      </c>
    </row>
    <row r="3448" spans="4:18" x14ac:dyDescent="0.2">
      <c r="D3448" t="s">
        <v>120</v>
      </c>
      <c r="E3448" t="s">
        <v>121</v>
      </c>
      <c r="F3448" t="s">
        <v>122</v>
      </c>
      <c r="G3448" t="s">
        <v>151</v>
      </c>
      <c r="H3448" t="s">
        <v>151</v>
      </c>
      <c r="I3448" t="s">
        <v>36</v>
      </c>
      <c r="J3448" t="s">
        <v>37</v>
      </c>
      <c r="K3448" t="s">
        <v>30</v>
      </c>
      <c r="L3448" t="s">
        <v>31</v>
      </c>
      <c r="M3448" t="s">
        <v>140</v>
      </c>
      <c r="N3448">
        <v>404</v>
      </c>
      <c r="O3448">
        <v>9.5131804E-2</v>
      </c>
      <c r="P3448">
        <v>0.27935285999999998</v>
      </c>
      <c r="Q3448" t="str">
        <f t="shared" si="106"/>
        <v>10-14</v>
      </c>
      <c r="R3448" t="str">
        <f t="shared" si="107"/>
        <v>[mxqa3CDFmIT]|10-14|Female|Untreated_PLHIV_Attend.T_1|CY2024Q3</v>
      </c>
    </row>
    <row r="3449" spans="4:18" x14ac:dyDescent="0.2">
      <c r="D3449" t="s">
        <v>120</v>
      </c>
      <c r="E3449" t="s">
        <v>121</v>
      </c>
      <c r="F3449" t="s">
        <v>122</v>
      </c>
      <c r="G3449" t="s">
        <v>151</v>
      </c>
      <c r="H3449" t="s">
        <v>151</v>
      </c>
      <c r="I3449" t="s">
        <v>38</v>
      </c>
      <c r="J3449" t="s">
        <v>39</v>
      </c>
      <c r="K3449" t="s">
        <v>30</v>
      </c>
      <c r="L3449" t="s">
        <v>31</v>
      </c>
      <c r="M3449" t="s">
        <v>140</v>
      </c>
      <c r="N3449">
        <v>450</v>
      </c>
      <c r="O3449">
        <v>0.39946577</v>
      </c>
      <c r="P3449">
        <v>0.27935285999999998</v>
      </c>
      <c r="Q3449" t="str">
        <f t="shared" si="106"/>
        <v>15-24</v>
      </c>
      <c r="R3449" t="str">
        <f t="shared" si="107"/>
        <v>[mxqa3CDFmIT]|15-24|Female|Untreated_PLHIV_Attend.T_1|CY2024Q3</v>
      </c>
    </row>
    <row r="3450" spans="4:18" x14ac:dyDescent="0.2">
      <c r="D3450" t="s">
        <v>120</v>
      </c>
      <c r="E3450" t="s">
        <v>121</v>
      </c>
      <c r="F3450" t="s">
        <v>122</v>
      </c>
      <c r="G3450" t="s">
        <v>151</v>
      </c>
      <c r="H3450" t="s">
        <v>151</v>
      </c>
      <c r="I3450" t="s">
        <v>41</v>
      </c>
      <c r="J3450" t="s">
        <v>42</v>
      </c>
      <c r="K3450" t="s">
        <v>30</v>
      </c>
      <c r="L3450" t="s">
        <v>31</v>
      </c>
      <c r="M3450" t="s">
        <v>140</v>
      </c>
      <c r="N3450">
        <v>734</v>
      </c>
      <c r="O3450">
        <v>0.39582295499999998</v>
      </c>
      <c r="P3450">
        <v>0.27935285999999998</v>
      </c>
      <c r="Q3450" t="str">
        <f t="shared" si="106"/>
        <v>25-34</v>
      </c>
      <c r="R3450" t="str">
        <f t="shared" si="107"/>
        <v>[mxqa3CDFmIT]|25-34|Female|Untreated_PLHIV_Attend.T_1|CY2024Q3</v>
      </c>
    </row>
    <row r="3451" spans="4:18" x14ac:dyDescent="0.2">
      <c r="D3451" t="s">
        <v>120</v>
      </c>
      <c r="E3451" t="s">
        <v>121</v>
      </c>
      <c r="F3451" t="s">
        <v>122</v>
      </c>
      <c r="G3451" t="s">
        <v>151</v>
      </c>
      <c r="H3451" t="s">
        <v>151</v>
      </c>
      <c r="I3451" t="s">
        <v>43</v>
      </c>
      <c r="J3451" t="s">
        <v>44</v>
      </c>
      <c r="K3451" t="s">
        <v>30</v>
      </c>
      <c r="L3451" t="s">
        <v>31</v>
      </c>
      <c r="M3451" t="s">
        <v>140</v>
      </c>
      <c r="N3451">
        <v>744</v>
      </c>
      <c r="O3451">
        <v>0.41036392700000002</v>
      </c>
      <c r="P3451">
        <v>0.27935285999999998</v>
      </c>
      <c r="Q3451" t="str">
        <f t="shared" si="106"/>
        <v>35-49</v>
      </c>
      <c r="R3451" t="str">
        <f t="shared" si="107"/>
        <v>[mxqa3CDFmIT]|35-49|Female|Untreated_PLHIV_Attend.T_1|CY2024Q3</v>
      </c>
    </row>
    <row r="3452" spans="4:18" x14ac:dyDescent="0.2">
      <c r="D3452" t="s">
        <v>120</v>
      </c>
      <c r="E3452" t="s">
        <v>121</v>
      </c>
      <c r="F3452" t="s">
        <v>122</v>
      </c>
      <c r="G3452" t="s">
        <v>151</v>
      </c>
      <c r="H3452" t="s">
        <v>151</v>
      </c>
      <c r="I3452" t="s">
        <v>45</v>
      </c>
      <c r="J3452" t="s">
        <v>46</v>
      </c>
      <c r="K3452" t="s">
        <v>30</v>
      </c>
      <c r="L3452" t="s">
        <v>31</v>
      </c>
      <c r="M3452" t="s">
        <v>140</v>
      </c>
      <c r="N3452">
        <v>203</v>
      </c>
      <c r="O3452">
        <v>0.40819660600000002</v>
      </c>
      <c r="P3452">
        <v>0.27935285999999998</v>
      </c>
      <c r="Q3452" t="str">
        <f t="shared" si="106"/>
        <v>50+</v>
      </c>
      <c r="R3452" t="str">
        <f t="shared" si="107"/>
        <v>[mxqa3CDFmIT]|50+|Female|Untreated_PLHIV_Attend.T_1|CY2024Q3</v>
      </c>
    </row>
    <row r="3453" spans="4:18" x14ac:dyDescent="0.2">
      <c r="D3453" t="s">
        <v>120</v>
      </c>
      <c r="E3453" t="s">
        <v>121</v>
      </c>
      <c r="F3453" t="s">
        <v>122</v>
      </c>
      <c r="G3453" t="s">
        <v>151</v>
      </c>
      <c r="H3453" t="s">
        <v>151</v>
      </c>
      <c r="I3453" t="s">
        <v>28</v>
      </c>
      <c r="J3453" t="s">
        <v>29</v>
      </c>
      <c r="K3453" t="s">
        <v>48</v>
      </c>
      <c r="L3453" t="s">
        <v>49</v>
      </c>
      <c r="M3453" t="s">
        <v>140</v>
      </c>
      <c r="N3453">
        <v>25</v>
      </c>
      <c r="O3453">
        <v>8.6678950000000005E-2</v>
      </c>
      <c r="P3453">
        <v>0.27935285999999998</v>
      </c>
      <c r="Q3453" t="str">
        <f t="shared" si="106"/>
        <v>&lt;01</v>
      </c>
      <c r="R3453" t="str">
        <f t="shared" si="107"/>
        <v>[mxqa3CDFmIT]|&lt;01|Male|Untreated_PLHIV_Attend.T_1|CY2024Q3</v>
      </c>
    </row>
    <row r="3454" spans="4:18" x14ac:dyDescent="0.2">
      <c r="D3454" t="s">
        <v>120</v>
      </c>
      <c r="E3454" t="s">
        <v>121</v>
      </c>
      <c r="F3454" t="s">
        <v>122</v>
      </c>
      <c r="G3454" t="s">
        <v>151</v>
      </c>
      <c r="H3454" t="s">
        <v>151</v>
      </c>
      <c r="I3454" t="s">
        <v>33</v>
      </c>
      <c r="J3454" t="s">
        <v>34</v>
      </c>
      <c r="K3454" t="s">
        <v>48</v>
      </c>
      <c r="L3454" t="s">
        <v>49</v>
      </c>
      <c r="M3454" t="s">
        <v>140</v>
      </c>
      <c r="N3454">
        <v>378</v>
      </c>
      <c r="O3454">
        <v>9.5318814000000002E-2</v>
      </c>
      <c r="P3454">
        <v>0.27935285999999998</v>
      </c>
      <c r="Q3454" t="str">
        <f t="shared" si="106"/>
        <v>01-09</v>
      </c>
      <c r="R3454" t="str">
        <f t="shared" si="107"/>
        <v>[mxqa3CDFmIT]|01-09|Male|Untreated_PLHIV_Attend.T_1|CY2024Q3</v>
      </c>
    </row>
    <row r="3455" spans="4:18" x14ac:dyDescent="0.2">
      <c r="D3455" t="s">
        <v>120</v>
      </c>
      <c r="E3455" t="s">
        <v>121</v>
      </c>
      <c r="F3455" t="s">
        <v>122</v>
      </c>
      <c r="G3455" t="s">
        <v>151</v>
      </c>
      <c r="H3455" t="s">
        <v>151</v>
      </c>
      <c r="I3455" t="s">
        <v>36</v>
      </c>
      <c r="J3455" t="s">
        <v>37</v>
      </c>
      <c r="K3455" t="s">
        <v>48</v>
      </c>
      <c r="L3455" t="s">
        <v>49</v>
      </c>
      <c r="M3455" t="s">
        <v>140</v>
      </c>
      <c r="N3455">
        <v>377</v>
      </c>
      <c r="O3455">
        <v>0.105701988</v>
      </c>
      <c r="P3455">
        <v>0.27935285999999998</v>
      </c>
      <c r="Q3455" t="str">
        <f t="shared" si="106"/>
        <v>10-14</v>
      </c>
      <c r="R3455" t="str">
        <f t="shared" si="107"/>
        <v>[mxqa3CDFmIT]|10-14|Male|Untreated_PLHIV_Attend.T_1|CY2024Q3</v>
      </c>
    </row>
    <row r="3456" spans="4:18" x14ac:dyDescent="0.2">
      <c r="D3456" t="s">
        <v>120</v>
      </c>
      <c r="E3456" t="s">
        <v>121</v>
      </c>
      <c r="F3456" t="s">
        <v>122</v>
      </c>
      <c r="G3456" t="s">
        <v>151</v>
      </c>
      <c r="H3456" t="s">
        <v>151</v>
      </c>
      <c r="I3456" t="s">
        <v>38</v>
      </c>
      <c r="J3456" t="s">
        <v>39</v>
      </c>
      <c r="K3456" t="s">
        <v>48</v>
      </c>
      <c r="L3456" t="s">
        <v>49</v>
      </c>
      <c r="M3456" t="s">
        <v>140</v>
      </c>
      <c r="N3456">
        <v>452</v>
      </c>
      <c r="O3456">
        <v>0.38457037399999999</v>
      </c>
      <c r="P3456">
        <v>0.27935285999999998</v>
      </c>
      <c r="Q3456" t="str">
        <f t="shared" si="106"/>
        <v>15-24</v>
      </c>
      <c r="R3456" t="str">
        <f t="shared" si="107"/>
        <v>[mxqa3CDFmIT]|15-24|Male|Untreated_PLHIV_Attend.T_1|CY2024Q3</v>
      </c>
    </row>
    <row r="3457" spans="4:18" x14ac:dyDescent="0.2">
      <c r="D3457" t="s">
        <v>120</v>
      </c>
      <c r="E3457" t="s">
        <v>121</v>
      </c>
      <c r="F3457" t="s">
        <v>122</v>
      </c>
      <c r="G3457" t="s">
        <v>151</v>
      </c>
      <c r="H3457" t="s">
        <v>151</v>
      </c>
      <c r="I3457" t="s">
        <v>41</v>
      </c>
      <c r="J3457" t="s">
        <v>42</v>
      </c>
      <c r="K3457" t="s">
        <v>48</v>
      </c>
      <c r="L3457" t="s">
        <v>49</v>
      </c>
      <c r="M3457" t="s">
        <v>140</v>
      </c>
      <c r="N3457">
        <v>992</v>
      </c>
      <c r="O3457">
        <v>0.41357872600000001</v>
      </c>
      <c r="P3457">
        <v>0.27935285999999998</v>
      </c>
      <c r="Q3457" t="str">
        <f t="shared" si="106"/>
        <v>25-34</v>
      </c>
      <c r="R3457" t="str">
        <f t="shared" si="107"/>
        <v>[mxqa3CDFmIT]|25-34|Male|Untreated_PLHIV_Attend.T_1|CY2024Q3</v>
      </c>
    </row>
    <row r="3458" spans="4:18" x14ac:dyDescent="0.2">
      <c r="D3458" t="s">
        <v>120</v>
      </c>
      <c r="E3458" t="s">
        <v>121</v>
      </c>
      <c r="F3458" t="s">
        <v>122</v>
      </c>
      <c r="G3458" t="s">
        <v>151</v>
      </c>
      <c r="H3458" t="s">
        <v>151</v>
      </c>
      <c r="I3458" t="s">
        <v>43</v>
      </c>
      <c r="J3458" t="s">
        <v>44</v>
      </c>
      <c r="K3458" t="s">
        <v>48</v>
      </c>
      <c r="L3458" t="s">
        <v>49</v>
      </c>
      <c r="M3458" t="s">
        <v>140</v>
      </c>
      <c r="N3458">
        <v>2003</v>
      </c>
      <c r="O3458">
        <v>0.42631437300000002</v>
      </c>
      <c r="P3458">
        <v>0.27935285999999998</v>
      </c>
      <c r="Q3458" t="str">
        <f t="shared" si="106"/>
        <v>35-49</v>
      </c>
      <c r="R3458" t="str">
        <f t="shared" si="107"/>
        <v>[mxqa3CDFmIT]|35-49|Male|Untreated_PLHIV_Attend.T_1|CY2024Q3</v>
      </c>
    </row>
    <row r="3459" spans="4:18" x14ac:dyDescent="0.2">
      <c r="D3459" t="s">
        <v>120</v>
      </c>
      <c r="E3459" t="s">
        <v>121</v>
      </c>
      <c r="F3459" t="s">
        <v>122</v>
      </c>
      <c r="G3459" t="s">
        <v>151</v>
      </c>
      <c r="H3459" t="s">
        <v>151</v>
      </c>
      <c r="I3459" t="s">
        <v>45</v>
      </c>
      <c r="J3459" t="s">
        <v>46</v>
      </c>
      <c r="K3459" t="s">
        <v>48</v>
      </c>
      <c r="L3459" t="s">
        <v>49</v>
      </c>
      <c r="M3459" t="s">
        <v>140</v>
      </c>
      <c r="N3459">
        <v>790</v>
      </c>
      <c r="O3459">
        <v>0.40852980799999999</v>
      </c>
      <c r="P3459">
        <v>0.27935285999999998</v>
      </c>
      <c r="Q3459" t="str">
        <f t="shared" ref="Q3459:Q3522" si="108">SUBSTITUTE(SUBSTITUTE($I3459,CHAR(61),""),CHAR(34),"")</f>
        <v>50+</v>
      </c>
      <c r="R3459" t="str">
        <f t="shared" ref="R3459:R3522" si="109">IF($D3459&lt;&gt;"","["&amp;$E3459&amp;"]"&amp;"|"&amp;$Q3459&amp;"|"&amp;$K3459&amp;"|"&amp;$G3459&amp;"|"&amp;IF($G3459="TX_CURR_SUBNAT.R","CY2023Q4",$M3459),"")</f>
        <v>[mxqa3CDFmIT]|50+|Male|Untreated_PLHIV_Attend.T_1|CY2024Q3</v>
      </c>
    </row>
    <row r="3460" spans="4:18" x14ac:dyDescent="0.2">
      <c r="D3460" t="s">
        <v>123</v>
      </c>
      <c r="E3460" t="s">
        <v>124</v>
      </c>
      <c r="F3460" t="s">
        <v>125</v>
      </c>
      <c r="G3460" t="s">
        <v>151</v>
      </c>
      <c r="H3460" t="s">
        <v>151</v>
      </c>
      <c r="I3460" t="s">
        <v>28</v>
      </c>
      <c r="J3460" t="s">
        <v>29</v>
      </c>
      <c r="K3460" t="s">
        <v>30</v>
      </c>
      <c r="L3460" t="s">
        <v>31</v>
      </c>
      <c r="M3460" t="s">
        <v>140</v>
      </c>
      <c r="N3460">
        <v>2</v>
      </c>
      <c r="O3460">
        <v>0.102067045</v>
      </c>
      <c r="P3460">
        <v>0.26209594000000003</v>
      </c>
      <c r="Q3460" t="str">
        <f t="shared" si="108"/>
        <v>&lt;01</v>
      </c>
      <c r="R3460" t="str">
        <f t="shared" si="109"/>
        <v>[wNqJp8oRIcF]|&lt;01|Female|Untreated_PLHIV_Attend.T_1|CY2024Q3</v>
      </c>
    </row>
    <row r="3461" spans="4:18" x14ac:dyDescent="0.2">
      <c r="D3461" t="s">
        <v>123</v>
      </c>
      <c r="E3461" t="s">
        <v>124</v>
      </c>
      <c r="F3461" t="s">
        <v>125</v>
      </c>
      <c r="G3461" t="s">
        <v>151</v>
      </c>
      <c r="H3461" t="s">
        <v>151</v>
      </c>
      <c r="I3461" t="s">
        <v>33</v>
      </c>
      <c r="J3461" t="s">
        <v>34</v>
      </c>
      <c r="K3461" t="s">
        <v>30</v>
      </c>
      <c r="L3461" t="s">
        <v>31</v>
      </c>
      <c r="M3461" t="s">
        <v>140</v>
      </c>
      <c r="N3461">
        <v>40</v>
      </c>
      <c r="O3461">
        <v>0.115471513</v>
      </c>
      <c r="P3461">
        <v>0.26209594000000003</v>
      </c>
      <c r="Q3461" t="str">
        <f t="shared" si="108"/>
        <v>01-09</v>
      </c>
      <c r="R3461" t="str">
        <f t="shared" si="109"/>
        <v>[wNqJp8oRIcF]|01-09|Female|Untreated_PLHIV_Attend.T_1|CY2024Q3</v>
      </c>
    </row>
    <row r="3462" spans="4:18" x14ac:dyDescent="0.2">
      <c r="D3462" t="s">
        <v>123</v>
      </c>
      <c r="E3462" t="s">
        <v>124</v>
      </c>
      <c r="F3462" t="s">
        <v>125</v>
      </c>
      <c r="G3462" t="s">
        <v>151</v>
      </c>
      <c r="H3462" t="s">
        <v>151</v>
      </c>
      <c r="I3462" t="s">
        <v>36</v>
      </c>
      <c r="J3462" t="s">
        <v>37</v>
      </c>
      <c r="K3462" t="s">
        <v>30</v>
      </c>
      <c r="L3462" t="s">
        <v>31</v>
      </c>
      <c r="M3462" t="s">
        <v>140</v>
      </c>
      <c r="N3462">
        <v>44</v>
      </c>
      <c r="O3462">
        <v>0.13170235799999999</v>
      </c>
      <c r="P3462">
        <v>0.26209594000000003</v>
      </c>
      <c r="Q3462" t="str">
        <f t="shared" si="108"/>
        <v>10-14</v>
      </c>
      <c r="R3462" t="str">
        <f t="shared" si="109"/>
        <v>[wNqJp8oRIcF]|10-14|Female|Untreated_PLHIV_Attend.T_1|CY2024Q3</v>
      </c>
    </row>
    <row r="3463" spans="4:18" x14ac:dyDescent="0.2">
      <c r="D3463" t="s">
        <v>123</v>
      </c>
      <c r="E3463" t="s">
        <v>124</v>
      </c>
      <c r="F3463" t="s">
        <v>125</v>
      </c>
      <c r="G3463" t="s">
        <v>151</v>
      </c>
      <c r="H3463" t="s">
        <v>151</v>
      </c>
      <c r="I3463" t="s">
        <v>38</v>
      </c>
      <c r="J3463" t="s">
        <v>39</v>
      </c>
      <c r="K3463" t="s">
        <v>30</v>
      </c>
      <c r="L3463" t="s">
        <v>31</v>
      </c>
      <c r="M3463" t="s">
        <v>140</v>
      </c>
      <c r="N3463">
        <v>30</v>
      </c>
      <c r="O3463">
        <v>0.43102607799999998</v>
      </c>
      <c r="P3463">
        <v>0.26209594000000003</v>
      </c>
      <c r="Q3463" t="str">
        <f t="shared" si="108"/>
        <v>15-24</v>
      </c>
      <c r="R3463" t="str">
        <f t="shared" si="109"/>
        <v>[wNqJp8oRIcF]|15-24|Female|Untreated_PLHIV_Attend.T_1|CY2024Q3</v>
      </c>
    </row>
    <row r="3464" spans="4:18" x14ac:dyDescent="0.2">
      <c r="D3464" t="s">
        <v>123</v>
      </c>
      <c r="E3464" t="s">
        <v>124</v>
      </c>
      <c r="F3464" t="s">
        <v>125</v>
      </c>
      <c r="G3464" t="s">
        <v>151</v>
      </c>
      <c r="H3464" t="s">
        <v>151</v>
      </c>
      <c r="I3464" t="s">
        <v>41</v>
      </c>
      <c r="J3464" t="s">
        <v>42</v>
      </c>
      <c r="K3464" t="s">
        <v>30</v>
      </c>
      <c r="L3464" t="s">
        <v>31</v>
      </c>
      <c r="M3464" t="s">
        <v>140</v>
      </c>
      <c r="N3464">
        <v>43</v>
      </c>
      <c r="O3464">
        <v>0.42322900699999999</v>
      </c>
      <c r="P3464">
        <v>0.26209594000000003</v>
      </c>
      <c r="Q3464" t="str">
        <f t="shared" si="108"/>
        <v>25-34</v>
      </c>
      <c r="R3464" t="str">
        <f t="shared" si="109"/>
        <v>[wNqJp8oRIcF]|25-34|Female|Untreated_PLHIV_Attend.T_1|CY2024Q3</v>
      </c>
    </row>
    <row r="3465" spans="4:18" x14ac:dyDescent="0.2">
      <c r="D3465" t="s">
        <v>123</v>
      </c>
      <c r="E3465" t="s">
        <v>124</v>
      </c>
      <c r="F3465" t="s">
        <v>125</v>
      </c>
      <c r="G3465" t="s">
        <v>151</v>
      </c>
      <c r="H3465" t="s">
        <v>151</v>
      </c>
      <c r="I3465" t="s">
        <v>43</v>
      </c>
      <c r="J3465" t="s">
        <v>44</v>
      </c>
      <c r="K3465" t="s">
        <v>30</v>
      </c>
      <c r="L3465" t="s">
        <v>31</v>
      </c>
      <c r="M3465" t="s">
        <v>140</v>
      </c>
      <c r="N3465">
        <v>48</v>
      </c>
      <c r="O3465">
        <v>0.44384316899999998</v>
      </c>
      <c r="P3465">
        <v>0.26209594000000003</v>
      </c>
      <c r="Q3465" t="str">
        <f t="shared" si="108"/>
        <v>35-49</v>
      </c>
      <c r="R3465" t="str">
        <f t="shared" si="109"/>
        <v>[wNqJp8oRIcF]|35-49|Female|Untreated_PLHIV_Attend.T_1|CY2024Q3</v>
      </c>
    </row>
    <row r="3466" spans="4:18" x14ac:dyDescent="0.2">
      <c r="D3466" t="s">
        <v>123</v>
      </c>
      <c r="E3466" t="s">
        <v>124</v>
      </c>
      <c r="F3466" t="s">
        <v>125</v>
      </c>
      <c r="G3466" t="s">
        <v>151</v>
      </c>
      <c r="H3466" t="s">
        <v>151</v>
      </c>
      <c r="I3466" t="s">
        <v>45</v>
      </c>
      <c r="J3466" t="s">
        <v>46</v>
      </c>
      <c r="K3466" t="s">
        <v>30</v>
      </c>
      <c r="L3466" t="s">
        <v>31</v>
      </c>
      <c r="M3466" t="s">
        <v>140</v>
      </c>
      <c r="N3466">
        <v>16</v>
      </c>
      <c r="O3466">
        <v>0.43873521399999998</v>
      </c>
      <c r="P3466">
        <v>0.26209594000000003</v>
      </c>
      <c r="Q3466" t="str">
        <f t="shared" si="108"/>
        <v>50+</v>
      </c>
      <c r="R3466" t="str">
        <f t="shared" si="109"/>
        <v>[wNqJp8oRIcF]|50+|Female|Untreated_PLHIV_Attend.T_1|CY2024Q3</v>
      </c>
    </row>
    <row r="3467" spans="4:18" x14ac:dyDescent="0.2">
      <c r="D3467" t="s">
        <v>123</v>
      </c>
      <c r="E3467" t="s">
        <v>124</v>
      </c>
      <c r="F3467" t="s">
        <v>125</v>
      </c>
      <c r="G3467" t="s">
        <v>151</v>
      </c>
      <c r="H3467" t="s">
        <v>151</v>
      </c>
      <c r="I3467" t="s">
        <v>28</v>
      </c>
      <c r="J3467" t="s">
        <v>29</v>
      </c>
      <c r="K3467" t="s">
        <v>48</v>
      </c>
      <c r="L3467" t="s">
        <v>49</v>
      </c>
      <c r="M3467" t="s">
        <v>140</v>
      </c>
      <c r="N3467">
        <v>2</v>
      </c>
      <c r="O3467">
        <v>0.126664586</v>
      </c>
      <c r="P3467">
        <v>0.26209594000000003</v>
      </c>
      <c r="Q3467" t="str">
        <f t="shared" si="108"/>
        <v>&lt;01</v>
      </c>
      <c r="R3467" t="str">
        <f t="shared" si="109"/>
        <v>[wNqJp8oRIcF]|&lt;01|Male|Untreated_PLHIV_Attend.T_1|CY2024Q3</v>
      </c>
    </row>
    <row r="3468" spans="4:18" x14ac:dyDescent="0.2">
      <c r="D3468" t="s">
        <v>123</v>
      </c>
      <c r="E3468" t="s">
        <v>124</v>
      </c>
      <c r="F3468" t="s">
        <v>125</v>
      </c>
      <c r="G3468" t="s">
        <v>151</v>
      </c>
      <c r="H3468" t="s">
        <v>151</v>
      </c>
      <c r="I3468" t="s">
        <v>33</v>
      </c>
      <c r="J3468" t="s">
        <v>34</v>
      </c>
      <c r="K3468" t="s">
        <v>48</v>
      </c>
      <c r="L3468" t="s">
        <v>49</v>
      </c>
      <c r="M3468" t="s">
        <v>140</v>
      </c>
      <c r="N3468">
        <v>37</v>
      </c>
      <c r="O3468">
        <v>0.13985354799999999</v>
      </c>
      <c r="P3468">
        <v>0.26209594000000003</v>
      </c>
      <c r="Q3468" t="str">
        <f t="shared" si="108"/>
        <v>01-09</v>
      </c>
      <c r="R3468" t="str">
        <f t="shared" si="109"/>
        <v>[wNqJp8oRIcF]|01-09|Male|Untreated_PLHIV_Attend.T_1|CY2024Q3</v>
      </c>
    </row>
    <row r="3469" spans="4:18" x14ac:dyDescent="0.2">
      <c r="D3469" t="s">
        <v>123</v>
      </c>
      <c r="E3469" t="s">
        <v>124</v>
      </c>
      <c r="F3469" t="s">
        <v>125</v>
      </c>
      <c r="G3469" t="s">
        <v>151</v>
      </c>
      <c r="H3469" t="s">
        <v>151</v>
      </c>
      <c r="I3469" t="s">
        <v>36</v>
      </c>
      <c r="J3469" t="s">
        <v>37</v>
      </c>
      <c r="K3469" t="s">
        <v>48</v>
      </c>
      <c r="L3469" t="s">
        <v>49</v>
      </c>
      <c r="M3469" t="s">
        <v>140</v>
      </c>
      <c r="N3469">
        <v>40</v>
      </c>
      <c r="O3469">
        <v>0.15571174300000001</v>
      </c>
      <c r="P3469">
        <v>0.26209594000000003</v>
      </c>
      <c r="Q3469" t="str">
        <f t="shared" si="108"/>
        <v>10-14</v>
      </c>
      <c r="R3469" t="str">
        <f t="shared" si="109"/>
        <v>[wNqJp8oRIcF]|10-14|Male|Untreated_PLHIV_Attend.T_1|CY2024Q3</v>
      </c>
    </row>
    <row r="3470" spans="4:18" x14ac:dyDescent="0.2">
      <c r="D3470" t="s">
        <v>123</v>
      </c>
      <c r="E3470" t="s">
        <v>124</v>
      </c>
      <c r="F3470" t="s">
        <v>125</v>
      </c>
      <c r="G3470" t="s">
        <v>151</v>
      </c>
      <c r="H3470" t="s">
        <v>151</v>
      </c>
      <c r="I3470" t="s">
        <v>38</v>
      </c>
      <c r="J3470" t="s">
        <v>39</v>
      </c>
      <c r="K3470" t="s">
        <v>48</v>
      </c>
      <c r="L3470" t="s">
        <v>49</v>
      </c>
      <c r="M3470" t="s">
        <v>140</v>
      </c>
      <c r="N3470">
        <v>30</v>
      </c>
      <c r="O3470">
        <v>0.41598700500000002</v>
      </c>
      <c r="P3470">
        <v>0.26209594000000003</v>
      </c>
      <c r="Q3470" t="str">
        <f t="shared" si="108"/>
        <v>15-24</v>
      </c>
      <c r="R3470" t="str">
        <f t="shared" si="109"/>
        <v>[wNqJp8oRIcF]|15-24|Male|Untreated_PLHIV_Attend.T_1|CY2024Q3</v>
      </c>
    </row>
    <row r="3471" spans="4:18" x14ac:dyDescent="0.2">
      <c r="D3471" t="s">
        <v>123</v>
      </c>
      <c r="E3471" t="s">
        <v>124</v>
      </c>
      <c r="F3471" t="s">
        <v>125</v>
      </c>
      <c r="G3471" t="s">
        <v>151</v>
      </c>
      <c r="H3471" t="s">
        <v>151</v>
      </c>
      <c r="I3471" t="s">
        <v>41</v>
      </c>
      <c r="J3471" t="s">
        <v>42</v>
      </c>
      <c r="K3471" t="s">
        <v>48</v>
      </c>
      <c r="L3471" t="s">
        <v>49</v>
      </c>
      <c r="M3471" t="s">
        <v>140</v>
      </c>
      <c r="N3471">
        <v>52</v>
      </c>
      <c r="O3471">
        <v>0.44531222100000001</v>
      </c>
      <c r="P3471">
        <v>0.26209594000000003</v>
      </c>
      <c r="Q3471" t="str">
        <f t="shared" si="108"/>
        <v>25-34</v>
      </c>
      <c r="R3471" t="str">
        <f t="shared" si="109"/>
        <v>[wNqJp8oRIcF]|25-34|Male|Untreated_PLHIV_Attend.T_1|CY2024Q3</v>
      </c>
    </row>
    <row r="3472" spans="4:18" x14ac:dyDescent="0.2">
      <c r="D3472" t="s">
        <v>123</v>
      </c>
      <c r="E3472" t="s">
        <v>124</v>
      </c>
      <c r="F3472" t="s">
        <v>125</v>
      </c>
      <c r="G3472" t="s">
        <v>151</v>
      </c>
      <c r="H3472" t="s">
        <v>151</v>
      </c>
      <c r="I3472" t="s">
        <v>43</v>
      </c>
      <c r="J3472" t="s">
        <v>44</v>
      </c>
      <c r="K3472" t="s">
        <v>48</v>
      </c>
      <c r="L3472" t="s">
        <v>49</v>
      </c>
      <c r="M3472" t="s">
        <v>140</v>
      </c>
      <c r="N3472">
        <v>109</v>
      </c>
      <c r="O3472">
        <v>0.46573597700000002</v>
      </c>
      <c r="P3472">
        <v>0.26209594000000003</v>
      </c>
      <c r="Q3472" t="str">
        <f t="shared" si="108"/>
        <v>35-49</v>
      </c>
      <c r="R3472" t="str">
        <f t="shared" si="109"/>
        <v>[wNqJp8oRIcF]|35-49|Male|Untreated_PLHIV_Attend.T_1|CY2024Q3</v>
      </c>
    </row>
    <row r="3473" spans="4:18" x14ac:dyDescent="0.2">
      <c r="D3473" t="s">
        <v>123</v>
      </c>
      <c r="E3473" t="s">
        <v>124</v>
      </c>
      <c r="F3473" t="s">
        <v>125</v>
      </c>
      <c r="G3473" t="s">
        <v>151</v>
      </c>
      <c r="H3473" t="s">
        <v>151</v>
      </c>
      <c r="I3473" t="s">
        <v>45</v>
      </c>
      <c r="J3473" t="s">
        <v>46</v>
      </c>
      <c r="K3473" t="s">
        <v>48</v>
      </c>
      <c r="L3473" t="s">
        <v>49</v>
      </c>
      <c r="M3473" t="s">
        <v>140</v>
      </c>
      <c r="N3473">
        <v>52</v>
      </c>
      <c r="O3473">
        <v>0.44679216999999999</v>
      </c>
      <c r="P3473">
        <v>0.26209594000000003</v>
      </c>
      <c r="Q3473" t="str">
        <f t="shared" si="108"/>
        <v>50+</v>
      </c>
      <c r="R3473" t="str">
        <f t="shared" si="109"/>
        <v>[wNqJp8oRIcF]|50+|Male|Untreated_PLHIV_Attend.T_1|CY2024Q3</v>
      </c>
    </row>
    <row r="3474" spans="4:18" x14ac:dyDescent="0.2">
      <c r="D3474" t="s">
        <v>126</v>
      </c>
      <c r="E3474" t="s">
        <v>127</v>
      </c>
      <c r="F3474" t="s">
        <v>128</v>
      </c>
      <c r="G3474" t="s">
        <v>151</v>
      </c>
      <c r="H3474" t="s">
        <v>151</v>
      </c>
      <c r="I3474" t="s">
        <v>28</v>
      </c>
      <c r="J3474" t="s">
        <v>29</v>
      </c>
      <c r="K3474" t="s">
        <v>30</v>
      </c>
      <c r="L3474" t="s">
        <v>31</v>
      </c>
      <c r="M3474" t="s">
        <v>140</v>
      </c>
      <c r="N3474">
        <v>14</v>
      </c>
      <c r="O3474">
        <v>9.8176084999999996E-2</v>
      </c>
      <c r="P3474">
        <v>0.25481260900000002</v>
      </c>
      <c r="Q3474" t="str">
        <f t="shared" si="108"/>
        <v>&lt;01</v>
      </c>
      <c r="R3474" t="str">
        <f t="shared" si="109"/>
        <v>[ul0y9diGujK]|&lt;01|Female|Untreated_PLHIV_Attend.T_1|CY2024Q3</v>
      </c>
    </row>
    <row r="3475" spans="4:18" x14ac:dyDescent="0.2">
      <c r="D3475" t="s">
        <v>126</v>
      </c>
      <c r="E3475" t="s">
        <v>127</v>
      </c>
      <c r="F3475" t="s">
        <v>128</v>
      </c>
      <c r="G3475" t="s">
        <v>151</v>
      </c>
      <c r="H3475" t="s">
        <v>151</v>
      </c>
      <c r="I3475" t="s">
        <v>33</v>
      </c>
      <c r="J3475" t="s">
        <v>34</v>
      </c>
      <c r="K3475" t="s">
        <v>30</v>
      </c>
      <c r="L3475" t="s">
        <v>31</v>
      </c>
      <c r="M3475" t="s">
        <v>140</v>
      </c>
      <c r="N3475">
        <v>215</v>
      </c>
      <c r="O3475">
        <v>0.11427568</v>
      </c>
      <c r="P3475">
        <v>0.25481260900000002</v>
      </c>
      <c r="Q3475" t="str">
        <f t="shared" si="108"/>
        <v>01-09</v>
      </c>
      <c r="R3475" t="str">
        <f t="shared" si="109"/>
        <v>[ul0y9diGujK]|01-09|Female|Untreated_PLHIV_Attend.T_1|CY2024Q3</v>
      </c>
    </row>
    <row r="3476" spans="4:18" x14ac:dyDescent="0.2">
      <c r="D3476" t="s">
        <v>126</v>
      </c>
      <c r="E3476" t="s">
        <v>127</v>
      </c>
      <c r="F3476" t="s">
        <v>128</v>
      </c>
      <c r="G3476" t="s">
        <v>151</v>
      </c>
      <c r="H3476" t="s">
        <v>151</v>
      </c>
      <c r="I3476" t="s">
        <v>36</v>
      </c>
      <c r="J3476" t="s">
        <v>37</v>
      </c>
      <c r="K3476" t="s">
        <v>30</v>
      </c>
      <c r="L3476" t="s">
        <v>31</v>
      </c>
      <c r="M3476" t="s">
        <v>140</v>
      </c>
      <c r="N3476">
        <v>243</v>
      </c>
      <c r="O3476">
        <v>0.134391234</v>
      </c>
      <c r="P3476">
        <v>0.25481260900000002</v>
      </c>
      <c r="Q3476" t="str">
        <f t="shared" si="108"/>
        <v>10-14</v>
      </c>
      <c r="R3476" t="str">
        <f t="shared" si="109"/>
        <v>[ul0y9diGujK]|10-14|Female|Untreated_PLHIV_Attend.T_1|CY2024Q3</v>
      </c>
    </row>
    <row r="3477" spans="4:18" x14ac:dyDescent="0.2">
      <c r="D3477" t="s">
        <v>126</v>
      </c>
      <c r="E3477" t="s">
        <v>127</v>
      </c>
      <c r="F3477" t="s">
        <v>128</v>
      </c>
      <c r="G3477" t="s">
        <v>151</v>
      </c>
      <c r="H3477" t="s">
        <v>151</v>
      </c>
      <c r="I3477" t="s">
        <v>38</v>
      </c>
      <c r="J3477" t="s">
        <v>39</v>
      </c>
      <c r="K3477" t="s">
        <v>30</v>
      </c>
      <c r="L3477" t="s">
        <v>31</v>
      </c>
      <c r="M3477" t="s">
        <v>140</v>
      </c>
      <c r="N3477">
        <v>175</v>
      </c>
      <c r="O3477">
        <v>0.42807171999999999</v>
      </c>
      <c r="P3477">
        <v>0.25481260900000002</v>
      </c>
      <c r="Q3477" t="str">
        <f t="shared" si="108"/>
        <v>15-24</v>
      </c>
      <c r="R3477" t="str">
        <f t="shared" si="109"/>
        <v>[ul0y9diGujK]|15-24|Female|Untreated_PLHIV_Attend.T_1|CY2024Q3</v>
      </c>
    </row>
    <row r="3478" spans="4:18" x14ac:dyDescent="0.2">
      <c r="D3478" t="s">
        <v>126</v>
      </c>
      <c r="E3478" t="s">
        <v>127</v>
      </c>
      <c r="F3478" t="s">
        <v>128</v>
      </c>
      <c r="G3478" t="s">
        <v>151</v>
      </c>
      <c r="H3478" t="s">
        <v>151</v>
      </c>
      <c r="I3478" t="s">
        <v>41</v>
      </c>
      <c r="J3478" t="s">
        <v>42</v>
      </c>
      <c r="K3478" t="s">
        <v>30</v>
      </c>
      <c r="L3478" t="s">
        <v>31</v>
      </c>
      <c r="M3478" t="s">
        <v>140</v>
      </c>
      <c r="N3478">
        <v>221</v>
      </c>
      <c r="O3478">
        <v>0.42154080500000002</v>
      </c>
      <c r="P3478">
        <v>0.25481260900000002</v>
      </c>
      <c r="Q3478" t="str">
        <f t="shared" si="108"/>
        <v>25-34</v>
      </c>
      <c r="R3478" t="str">
        <f t="shared" si="109"/>
        <v>[ul0y9diGujK]|25-34|Female|Untreated_PLHIV_Attend.T_1|CY2024Q3</v>
      </c>
    </row>
    <row r="3479" spans="4:18" x14ac:dyDescent="0.2">
      <c r="D3479" t="s">
        <v>126</v>
      </c>
      <c r="E3479" t="s">
        <v>127</v>
      </c>
      <c r="F3479" t="s">
        <v>128</v>
      </c>
      <c r="G3479" t="s">
        <v>151</v>
      </c>
      <c r="H3479" t="s">
        <v>151</v>
      </c>
      <c r="I3479" t="s">
        <v>43</v>
      </c>
      <c r="J3479" t="s">
        <v>44</v>
      </c>
      <c r="K3479" t="s">
        <v>30</v>
      </c>
      <c r="L3479" t="s">
        <v>31</v>
      </c>
      <c r="M3479" t="s">
        <v>140</v>
      </c>
      <c r="N3479">
        <v>289</v>
      </c>
      <c r="O3479">
        <v>0.43555881299999999</v>
      </c>
      <c r="P3479">
        <v>0.25481260900000002</v>
      </c>
      <c r="Q3479" t="str">
        <f t="shared" si="108"/>
        <v>35-49</v>
      </c>
      <c r="R3479" t="str">
        <f t="shared" si="109"/>
        <v>[ul0y9diGujK]|35-49|Female|Untreated_PLHIV_Attend.T_1|CY2024Q3</v>
      </c>
    </row>
    <row r="3480" spans="4:18" x14ac:dyDescent="0.2">
      <c r="D3480" t="s">
        <v>126</v>
      </c>
      <c r="E3480" t="s">
        <v>127</v>
      </c>
      <c r="F3480" t="s">
        <v>128</v>
      </c>
      <c r="G3480" t="s">
        <v>151</v>
      </c>
      <c r="H3480" t="s">
        <v>151</v>
      </c>
      <c r="I3480" t="s">
        <v>45</v>
      </c>
      <c r="J3480" t="s">
        <v>46</v>
      </c>
      <c r="K3480" t="s">
        <v>30</v>
      </c>
      <c r="L3480" t="s">
        <v>31</v>
      </c>
      <c r="M3480" t="s">
        <v>140</v>
      </c>
      <c r="N3480">
        <v>97</v>
      </c>
      <c r="O3480">
        <v>0.439232821</v>
      </c>
      <c r="P3480">
        <v>0.25481260900000002</v>
      </c>
      <c r="Q3480" t="str">
        <f t="shared" si="108"/>
        <v>50+</v>
      </c>
      <c r="R3480" t="str">
        <f t="shared" si="109"/>
        <v>[ul0y9diGujK]|50+|Female|Untreated_PLHIV_Attend.T_1|CY2024Q3</v>
      </c>
    </row>
    <row r="3481" spans="4:18" x14ac:dyDescent="0.2">
      <c r="D3481" t="s">
        <v>126</v>
      </c>
      <c r="E3481" t="s">
        <v>127</v>
      </c>
      <c r="F3481" t="s">
        <v>128</v>
      </c>
      <c r="G3481" t="s">
        <v>151</v>
      </c>
      <c r="H3481" t="s">
        <v>151</v>
      </c>
      <c r="I3481" t="s">
        <v>28</v>
      </c>
      <c r="J3481" t="s">
        <v>29</v>
      </c>
      <c r="K3481" t="s">
        <v>48</v>
      </c>
      <c r="L3481" t="s">
        <v>49</v>
      </c>
      <c r="M3481" t="s">
        <v>140</v>
      </c>
      <c r="N3481">
        <v>13</v>
      </c>
      <c r="O3481">
        <v>0.115795933</v>
      </c>
      <c r="P3481">
        <v>0.25481260900000002</v>
      </c>
      <c r="Q3481" t="str">
        <f t="shared" si="108"/>
        <v>&lt;01</v>
      </c>
      <c r="R3481" t="str">
        <f t="shared" si="109"/>
        <v>[ul0y9diGujK]|&lt;01|Male|Untreated_PLHIV_Attend.T_1|CY2024Q3</v>
      </c>
    </row>
    <row r="3482" spans="4:18" x14ac:dyDescent="0.2">
      <c r="D3482" t="s">
        <v>126</v>
      </c>
      <c r="E3482" t="s">
        <v>127</v>
      </c>
      <c r="F3482" t="s">
        <v>128</v>
      </c>
      <c r="G3482" t="s">
        <v>151</v>
      </c>
      <c r="H3482" t="s">
        <v>151</v>
      </c>
      <c r="I3482" t="s">
        <v>33</v>
      </c>
      <c r="J3482" t="s">
        <v>34</v>
      </c>
      <c r="K3482" t="s">
        <v>48</v>
      </c>
      <c r="L3482" t="s">
        <v>49</v>
      </c>
      <c r="M3482" t="s">
        <v>140</v>
      </c>
      <c r="N3482">
        <v>203</v>
      </c>
      <c r="O3482">
        <v>0.13147651699999999</v>
      </c>
      <c r="P3482">
        <v>0.25481260900000002</v>
      </c>
      <c r="Q3482" t="str">
        <f t="shared" si="108"/>
        <v>01-09</v>
      </c>
      <c r="R3482" t="str">
        <f t="shared" si="109"/>
        <v>[ul0y9diGujK]|01-09|Male|Untreated_PLHIV_Attend.T_1|CY2024Q3</v>
      </c>
    </row>
    <row r="3483" spans="4:18" x14ac:dyDescent="0.2">
      <c r="D3483" t="s">
        <v>126</v>
      </c>
      <c r="E3483" t="s">
        <v>127</v>
      </c>
      <c r="F3483" t="s">
        <v>128</v>
      </c>
      <c r="G3483" t="s">
        <v>151</v>
      </c>
      <c r="H3483" t="s">
        <v>151</v>
      </c>
      <c r="I3483" t="s">
        <v>36</v>
      </c>
      <c r="J3483" t="s">
        <v>37</v>
      </c>
      <c r="K3483" t="s">
        <v>48</v>
      </c>
      <c r="L3483" t="s">
        <v>49</v>
      </c>
      <c r="M3483" t="s">
        <v>140</v>
      </c>
      <c r="N3483">
        <v>226</v>
      </c>
      <c r="O3483">
        <v>0.151090751</v>
      </c>
      <c r="P3483">
        <v>0.25481260900000002</v>
      </c>
      <c r="Q3483" t="str">
        <f t="shared" si="108"/>
        <v>10-14</v>
      </c>
      <c r="R3483" t="str">
        <f t="shared" si="109"/>
        <v>[ul0y9diGujK]|10-14|Male|Untreated_PLHIV_Attend.T_1|CY2024Q3</v>
      </c>
    </row>
    <row r="3484" spans="4:18" x14ac:dyDescent="0.2">
      <c r="D3484" t="s">
        <v>126</v>
      </c>
      <c r="E3484" t="s">
        <v>127</v>
      </c>
      <c r="F3484" t="s">
        <v>128</v>
      </c>
      <c r="G3484" t="s">
        <v>151</v>
      </c>
      <c r="H3484" t="s">
        <v>151</v>
      </c>
      <c r="I3484" t="s">
        <v>38</v>
      </c>
      <c r="J3484" t="s">
        <v>39</v>
      </c>
      <c r="K3484" t="s">
        <v>48</v>
      </c>
      <c r="L3484" t="s">
        <v>49</v>
      </c>
      <c r="M3484" t="s">
        <v>140</v>
      </c>
      <c r="N3484">
        <v>190</v>
      </c>
      <c r="O3484">
        <v>0.41765105000000002</v>
      </c>
      <c r="P3484">
        <v>0.25481260900000002</v>
      </c>
      <c r="Q3484" t="str">
        <f t="shared" si="108"/>
        <v>15-24</v>
      </c>
      <c r="R3484" t="str">
        <f t="shared" si="109"/>
        <v>[ul0y9diGujK]|15-24|Male|Untreated_PLHIV_Attend.T_1|CY2024Q3</v>
      </c>
    </row>
    <row r="3485" spans="4:18" x14ac:dyDescent="0.2">
      <c r="D3485" t="s">
        <v>126</v>
      </c>
      <c r="E3485" t="s">
        <v>127</v>
      </c>
      <c r="F3485" t="s">
        <v>128</v>
      </c>
      <c r="G3485" t="s">
        <v>151</v>
      </c>
      <c r="H3485" t="s">
        <v>151</v>
      </c>
      <c r="I3485" t="s">
        <v>41</v>
      </c>
      <c r="J3485" t="s">
        <v>42</v>
      </c>
      <c r="K3485" t="s">
        <v>48</v>
      </c>
      <c r="L3485" t="s">
        <v>49</v>
      </c>
      <c r="M3485" t="s">
        <v>140</v>
      </c>
      <c r="N3485">
        <v>302</v>
      </c>
      <c r="O3485">
        <v>0.443329957</v>
      </c>
      <c r="P3485">
        <v>0.25481260900000002</v>
      </c>
      <c r="Q3485" t="str">
        <f t="shared" si="108"/>
        <v>25-34</v>
      </c>
      <c r="R3485" t="str">
        <f t="shared" si="109"/>
        <v>[ul0y9diGujK]|25-34|Male|Untreated_PLHIV_Attend.T_1|CY2024Q3</v>
      </c>
    </row>
    <row r="3486" spans="4:18" x14ac:dyDescent="0.2">
      <c r="D3486" t="s">
        <v>126</v>
      </c>
      <c r="E3486" t="s">
        <v>127</v>
      </c>
      <c r="F3486" t="s">
        <v>128</v>
      </c>
      <c r="G3486" t="s">
        <v>151</v>
      </c>
      <c r="H3486" t="s">
        <v>151</v>
      </c>
      <c r="I3486" t="s">
        <v>43</v>
      </c>
      <c r="J3486" t="s">
        <v>44</v>
      </c>
      <c r="K3486" t="s">
        <v>48</v>
      </c>
      <c r="L3486" t="s">
        <v>49</v>
      </c>
      <c r="M3486" t="s">
        <v>140</v>
      </c>
      <c r="N3486">
        <v>674</v>
      </c>
      <c r="O3486">
        <v>0.44663584499999998</v>
      </c>
      <c r="P3486">
        <v>0.25481260900000002</v>
      </c>
      <c r="Q3486" t="str">
        <f t="shared" si="108"/>
        <v>35-49</v>
      </c>
      <c r="R3486" t="str">
        <f t="shared" si="109"/>
        <v>[ul0y9diGujK]|35-49|Male|Untreated_PLHIV_Attend.T_1|CY2024Q3</v>
      </c>
    </row>
    <row r="3487" spans="4:18" x14ac:dyDescent="0.2">
      <c r="D3487" t="s">
        <v>126</v>
      </c>
      <c r="E3487" t="s">
        <v>127</v>
      </c>
      <c r="F3487" t="s">
        <v>128</v>
      </c>
      <c r="G3487" t="s">
        <v>151</v>
      </c>
      <c r="H3487" t="s">
        <v>151</v>
      </c>
      <c r="I3487" t="s">
        <v>45</v>
      </c>
      <c r="J3487" t="s">
        <v>46</v>
      </c>
      <c r="K3487" t="s">
        <v>48</v>
      </c>
      <c r="L3487" t="s">
        <v>49</v>
      </c>
      <c r="M3487" t="s">
        <v>140</v>
      </c>
      <c r="N3487">
        <v>350</v>
      </c>
      <c r="O3487">
        <v>0.43517831499999998</v>
      </c>
      <c r="P3487">
        <v>0.25481260900000002</v>
      </c>
      <c r="Q3487" t="str">
        <f t="shared" si="108"/>
        <v>50+</v>
      </c>
      <c r="R3487" t="str">
        <f t="shared" si="109"/>
        <v>[ul0y9diGujK]|50+|Male|Untreated_PLHIV_Attend.T_1|CY2024Q3</v>
      </c>
    </row>
    <row r="3488" spans="4:18" x14ac:dyDescent="0.2">
      <c r="D3488" t="s">
        <v>129</v>
      </c>
      <c r="E3488" t="s">
        <v>130</v>
      </c>
      <c r="F3488" t="s">
        <v>131</v>
      </c>
      <c r="G3488" t="s">
        <v>151</v>
      </c>
      <c r="H3488" t="s">
        <v>151</v>
      </c>
      <c r="I3488" t="s">
        <v>28</v>
      </c>
      <c r="J3488" t="s">
        <v>29</v>
      </c>
      <c r="K3488" t="s">
        <v>30</v>
      </c>
      <c r="L3488" t="s">
        <v>31</v>
      </c>
      <c r="M3488" t="s">
        <v>140</v>
      </c>
      <c r="N3488">
        <v>3</v>
      </c>
      <c r="O3488">
        <v>0.17746020700000001</v>
      </c>
      <c r="P3488">
        <v>0.31160311600000001</v>
      </c>
      <c r="Q3488" t="str">
        <f t="shared" si="108"/>
        <v>&lt;01</v>
      </c>
      <c r="R3488" t="str">
        <f t="shared" si="109"/>
        <v>[U8c0so51kT6]|&lt;01|Female|Untreated_PLHIV_Attend.T_1|CY2024Q3</v>
      </c>
    </row>
    <row r="3489" spans="4:18" x14ac:dyDescent="0.2">
      <c r="D3489" t="s">
        <v>129</v>
      </c>
      <c r="E3489" t="s">
        <v>130</v>
      </c>
      <c r="F3489" t="s">
        <v>131</v>
      </c>
      <c r="G3489" t="s">
        <v>151</v>
      </c>
      <c r="H3489" t="s">
        <v>151</v>
      </c>
      <c r="I3489" t="s">
        <v>33</v>
      </c>
      <c r="J3489" t="s">
        <v>34</v>
      </c>
      <c r="K3489" t="s">
        <v>30</v>
      </c>
      <c r="L3489" t="s">
        <v>31</v>
      </c>
      <c r="M3489" t="s">
        <v>140</v>
      </c>
      <c r="N3489">
        <v>60</v>
      </c>
      <c r="O3489">
        <v>0.18782391500000001</v>
      </c>
      <c r="P3489">
        <v>0.31160311600000001</v>
      </c>
      <c r="Q3489" t="str">
        <f t="shared" si="108"/>
        <v>01-09</v>
      </c>
      <c r="R3489" t="str">
        <f t="shared" si="109"/>
        <v>[U8c0so51kT6]|01-09|Female|Untreated_PLHIV_Attend.T_1|CY2024Q3</v>
      </c>
    </row>
    <row r="3490" spans="4:18" x14ac:dyDescent="0.2">
      <c r="D3490" t="s">
        <v>129</v>
      </c>
      <c r="E3490" t="s">
        <v>130</v>
      </c>
      <c r="F3490" t="s">
        <v>131</v>
      </c>
      <c r="G3490" t="s">
        <v>151</v>
      </c>
      <c r="H3490" t="s">
        <v>151</v>
      </c>
      <c r="I3490" t="s">
        <v>36</v>
      </c>
      <c r="J3490" t="s">
        <v>37</v>
      </c>
      <c r="K3490" t="s">
        <v>30</v>
      </c>
      <c r="L3490" t="s">
        <v>31</v>
      </c>
      <c r="M3490" t="s">
        <v>140</v>
      </c>
      <c r="N3490">
        <v>54</v>
      </c>
      <c r="O3490">
        <v>0.19923896199999999</v>
      </c>
      <c r="P3490">
        <v>0.31160311600000001</v>
      </c>
      <c r="Q3490" t="str">
        <f t="shared" si="108"/>
        <v>10-14</v>
      </c>
      <c r="R3490" t="str">
        <f t="shared" si="109"/>
        <v>[U8c0so51kT6]|10-14|Female|Untreated_PLHIV_Attend.T_1|CY2024Q3</v>
      </c>
    </row>
    <row r="3491" spans="4:18" x14ac:dyDescent="0.2">
      <c r="D3491" t="s">
        <v>129</v>
      </c>
      <c r="E3491" t="s">
        <v>130</v>
      </c>
      <c r="F3491" t="s">
        <v>131</v>
      </c>
      <c r="G3491" t="s">
        <v>151</v>
      </c>
      <c r="H3491" t="s">
        <v>151</v>
      </c>
      <c r="I3491" t="s">
        <v>38</v>
      </c>
      <c r="J3491" t="s">
        <v>39</v>
      </c>
      <c r="K3491" t="s">
        <v>30</v>
      </c>
      <c r="L3491" t="s">
        <v>31</v>
      </c>
      <c r="M3491" t="s">
        <v>140</v>
      </c>
      <c r="N3491">
        <v>86</v>
      </c>
      <c r="O3491">
        <v>0.442914158</v>
      </c>
      <c r="P3491">
        <v>0.31160311600000001</v>
      </c>
      <c r="Q3491" t="str">
        <f t="shared" si="108"/>
        <v>15-24</v>
      </c>
      <c r="R3491" t="str">
        <f t="shared" si="109"/>
        <v>[U8c0so51kT6]|15-24|Female|Untreated_PLHIV_Attend.T_1|CY2024Q3</v>
      </c>
    </row>
    <row r="3492" spans="4:18" x14ac:dyDescent="0.2">
      <c r="D3492" t="s">
        <v>129</v>
      </c>
      <c r="E3492" t="s">
        <v>130</v>
      </c>
      <c r="F3492" t="s">
        <v>131</v>
      </c>
      <c r="G3492" t="s">
        <v>151</v>
      </c>
      <c r="H3492" t="s">
        <v>151</v>
      </c>
      <c r="I3492" t="s">
        <v>41</v>
      </c>
      <c r="J3492" t="s">
        <v>42</v>
      </c>
      <c r="K3492" t="s">
        <v>30</v>
      </c>
      <c r="L3492" t="s">
        <v>31</v>
      </c>
      <c r="M3492" t="s">
        <v>140</v>
      </c>
      <c r="N3492">
        <v>107</v>
      </c>
      <c r="O3492">
        <v>0.43931247099999998</v>
      </c>
      <c r="P3492">
        <v>0.31160311600000001</v>
      </c>
      <c r="Q3492" t="str">
        <f t="shared" si="108"/>
        <v>25-34</v>
      </c>
      <c r="R3492" t="str">
        <f t="shared" si="109"/>
        <v>[U8c0so51kT6]|25-34|Female|Untreated_PLHIV_Attend.T_1|CY2024Q3</v>
      </c>
    </row>
    <row r="3493" spans="4:18" x14ac:dyDescent="0.2">
      <c r="D3493" t="s">
        <v>129</v>
      </c>
      <c r="E3493" t="s">
        <v>130</v>
      </c>
      <c r="F3493" t="s">
        <v>131</v>
      </c>
      <c r="G3493" t="s">
        <v>151</v>
      </c>
      <c r="H3493" t="s">
        <v>151</v>
      </c>
      <c r="I3493" t="s">
        <v>43</v>
      </c>
      <c r="J3493" t="s">
        <v>44</v>
      </c>
      <c r="K3493" t="s">
        <v>30</v>
      </c>
      <c r="L3493" t="s">
        <v>31</v>
      </c>
      <c r="M3493" t="s">
        <v>140</v>
      </c>
      <c r="N3493">
        <v>140</v>
      </c>
      <c r="O3493">
        <v>0.45183541199999999</v>
      </c>
      <c r="P3493">
        <v>0.31160311600000001</v>
      </c>
      <c r="Q3493" t="str">
        <f t="shared" si="108"/>
        <v>35-49</v>
      </c>
      <c r="R3493" t="str">
        <f t="shared" si="109"/>
        <v>[U8c0so51kT6]|35-49|Female|Untreated_PLHIV_Attend.T_1|CY2024Q3</v>
      </c>
    </row>
    <row r="3494" spans="4:18" x14ac:dyDescent="0.2">
      <c r="D3494" t="s">
        <v>129</v>
      </c>
      <c r="E3494" t="s">
        <v>130</v>
      </c>
      <c r="F3494" t="s">
        <v>131</v>
      </c>
      <c r="G3494" t="s">
        <v>151</v>
      </c>
      <c r="H3494" t="s">
        <v>151</v>
      </c>
      <c r="I3494" t="s">
        <v>45</v>
      </c>
      <c r="J3494" t="s">
        <v>46</v>
      </c>
      <c r="K3494" t="s">
        <v>30</v>
      </c>
      <c r="L3494" t="s">
        <v>31</v>
      </c>
      <c r="M3494" t="s">
        <v>140</v>
      </c>
      <c r="N3494">
        <v>40</v>
      </c>
      <c r="O3494">
        <v>0.44186925300000002</v>
      </c>
      <c r="P3494">
        <v>0.31160311600000001</v>
      </c>
      <c r="Q3494" t="str">
        <f t="shared" si="108"/>
        <v>50+</v>
      </c>
      <c r="R3494" t="str">
        <f t="shared" si="109"/>
        <v>[U8c0so51kT6]|50+|Female|Untreated_PLHIV_Attend.T_1|CY2024Q3</v>
      </c>
    </row>
    <row r="3495" spans="4:18" x14ac:dyDescent="0.2">
      <c r="D3495" t="s">
        <v>129</v>
      </c>
      <c r="E3495" t="s">
        <v>130</v>
      </c>
      <c r="F3495" t="s">
        <v>131</v>
      </c>
      <c r="G3495" t="s">
        <v>151</v>
      </c>
      <c r="H3495" t="s">
        <v>151</v>
      </c>
      <c r="I3495" t="s">
        <v>28</v>
      </c>
      <c r="J3495" t="s">
        <v>29</v>
      </c>
      <c r="K3495" t="s">
        <v>48</v>
      </c>
      <c r="L3495" t="s">
        <v>49</v>
      </c>
      <c r="M3495" t="s">
        <v>140</v>
      </c>
      <c r="N3495">
        <v>5</v>
      </c>
      <c r="O3495">
        <v>0.19301259800000001</v>
      </c>
      <c r="P3495">
        <v>0.31160311600000001</v>
      </c>
      <c r="Q3495" t="str">
        <f t="shared" si="108"/>
        <v>&lt;01</v>
      </c>
      <c r="R3495" t="str">
        <f t="shared" si="109"/>
        <v>[U8c0so51kT6]|&lt;01|Male|Untreated_PLHIV_Attend.T_1|CY2024Q3</v>
      </c>
    </row>
    <row r="3496" spans="4:18" x14ac:dyDescent="0.2">
      <c r="D3496" t="s">
        <v>129</v>
      </c>
      <c r="E3496" t="s">
        <v>130</v>
      </c>
      <c r="F3496" t="s">
        <v>131</v>
      </c>
      <c r="G3496" t="s">
        <v>151</v>
      </c>
      <c r="H3496" t="s">
        <v>151</v>
      </c>
      <c r="I3496" t="s">
        <v>33</v>
      </c>
      <c r="J3496" t="s">
        <v>34</v>
      </c>
      <c r="K3496" t="s">
        <v>48</v>
      </c>
      <c r="L3496" t="s">
        <v>49</v>
      </c>
      <c r="M3496" t="s">
        <v>140</v>
      </c>
      <c r="N3496">
        <v>77</v>
      </c>
      <c r="O3496">
        <v>0.20261135899999999</v>
      </c>
      <c r="P3496">
        <v>0.31160311600000001</v>
      </c>
      <c r="Q3496" t="str">
        <f t="shared" si="108"/>
        <v>01-09</v>
      </c>
      <c r="R3496" t="str">
        <f t="shared" si="109"/>
        <v>[U8c0so51kT6]|01-09|Male|Untreated_PLHIV_Attend.T_1|CY2024Q3</v>
      </c>
    </row>
    <row r="3497" spans="4:18" x14ac:dyDescent="0.2">
      <c r="D3497" t="s">
        <v>129</v>
      </c>
      <c r="E3497" t="s">
        <v>130</v>
      </c>
      <c r="F3497" t="s">
        <v>131</v>
      </c>
      <c r="G3497" t="s">
        <v>151</v>
      </c>
      <c r="H3497" t="s">
        <v>151</v>
      </c>
      <c r="I3497" t="s">
        <v>36</v>
      </c>
      <c r="J3497" t="s">
        <v>37</v>
      </c>
      <c r="K3497" t="s">
        <v>48</v>
      </c>
      <c r="L3497" t="s">
        <v>49</v>
      </c>
      <c r="M3497" t="s">
        <v>140</v>
      </c>
      <c r="N3497">
        <v>76</v>
      </c>
      <c r="O3497">
        <v>0.213066687</v>
      </c>
      <c r="P3497">
        <v>0.31160311600000001</v>
      </c>
      <c r="Q3497" t="str">
        <f t="shared" si="108"/>
        <v>10-14</v>
      </c>
      <c r="R3497" t="str">
        <f t="shared" si="109"/>
        <v>[U8c0so51kT6]|10-14|Male|Untreated_PLHIV_Attend.T_1|CY2024Q3</v>
      </c>
    </row>
    <row r="3498" spans="4:18" x14ac:dyDescent="0.2">
      <c r="D3498" t="s">
        <v>129</v>
      </c>
      <c r="E3498" t="s">
        <v>130</v>
      </c>
      <c r="F3498" t="s">
        <v>131</v>
      </c>
      <c r="G3498" t="s">
        <v>151</v>
      </c>
      <c r="H3498" t="s">
        <v>151</v>
      </c>
      <c r="I3498" t="s">
        <v>38</v>
      </c>
      <c r="J3498" t="s">
        <v>39</v>
      </c>
      <c r="K3498" t="s">
        <v>48</v>
      </c>
      <c r="L3498" t="s">
        <v>49</v>
      </c>
      <c r="M3498" t="s">
        <v>140</v>
      </c>
      <c r="N3498">
        <v>98</v>
      </c>
      <c r="O3498">
        <v>0.43087213899999999</v>
      </c>
      <c r="P3498">
        <v>0.31160311600000001</v>
      </c>
      <c r="Q3498" t="str">
        <f t="shared" si="108"/>
        <v>15-24</v>
      </c>
      <c r="R3498" t="str">
        <f t="shared" si="109"/>
        <v>[U8c0so51kT6]|15-24|Male|Untreated_PLHIV_Attend.T_1|CY2024Q3</v>
      </c>
    </row>
    <row r="3499" spans="4:18" x14ac:dyDescent="0.2">
      <c r="D3499" t="s">
        <v>129</v>
      </c>
      <c r="E3499" t="s">
        <v>130</v>
      </c>
      <c r="F3499" t="s">
        <v>131</v>
      </c>
      <c r="G3499" t="s">
        <v>151</v>
      </c>
      <c r="H3499" t="s">
        <v>151</v>
      </c>
      <c r="I3499" t="s">
        <v>41</v>
      </c>
      <c r="J3499" t="s">
        <v>42</v>
      </c>
      <c r="K3499" t="s">
        <v>48</v>
      </c>
      <c r="L3499" t="s">
        <v>49</v>
      </c>
      <c r="M3499" t="s">
        <v>140</v>
      </c>
      <c r="N3499">
        <v>169</v>
      </c>
      <c r="O3499">
        <v>0.46575586099999999</v>
      </c>
      <c r="P3499">
        <v>0.31160311600000001</v>
      </c>
      <c r="Q3499" t="str">
        <f t="shared" si="108"/>
        <v>25-34</v>
      </c>
      <c r="R3499" t="str">
        <f t="shared" si="109"/>
        <v>[U8c0so51kT6]|25-34|Male|Untreated_PLHIV_Attend.T_1|CY2024Q3</v>
      </c>
    </row>
    <row r="3500" spans="4:18" x14ac:dyDescent="0.2">
      <c r="D3500" t="s">
        <v>129</v>
      </c>
      <c r="E3500" t="s">
        <v>130</v>
      </c>
      <c r="F3500" t="s">
        <v>131</v>
      </c>
      <c r="G3500" t="s">
        <v>151</v>
      </c>
      <c r="H3500" t="s">
        <v>151</v>
      </c>
      <c r="I3500" t="s">
        <v>43</v>
      </c>
      <c r="J3500" t="s">
        <v>44</v>
      </c>
      <c r="K3500" t="s">
        <v>48</v>
      </c>
      <c r="L3500" t="s">
        <v>49</v>
      </c>
      <c r="M3500" t="s">
        <v>140</v>
      </c>
      <c r="N3500">
        <v>391</v>
      </c>
      <c r="O3500">
        <v>0.466457556</v>
      </c>
      <c r="P3500">
        <v>0.31160311600000001</v>
      </c>
      <c r="Q3500" t="str">
        <f t="shared" si="108"/>
        <v>35-49</v>
      </c>
      <c r="R3500" t="str">
        <f t="shared" si="109"/>
        <v>[U8c0so51kT6]|35-49|Male|Untreated_PLHIV_Attend.T_1|CY2024Q3</v>
      </c>
    </row>
    <row r="3501" spans="4:18" x14ac:dyDescent="0.2">
      <c r="D3501" t="s">
        <v>129</v>
      </c>
      <c r="E3501" t="s">
        <v>130</v>
      </c>
      <c r="F3501" t="s">
        <v>131</v>
      </c>
      <c r="G3501" t="s">
        <v>151</v>
      </c>
      <c r="H3501" t="s">
        <v>151</v>
      </c>
      <c r="I3501" t="s">
        <v>45</v>
      </c>
      <c r="J3501" t="s">
        <v>46</v>
      </c>
      <c r="K3501" t="s">
        <v>48</v>
      </c>
      <c r="L3501" t="s">
        <v>49</v>
      </c>
      <c r="M3501" t="s">
        <v>140</v>
      </c>
      <c r="N3501">
        <v>195</v>
      </c>
      <c r="O3501">
        <v>0.45160508599999999</v>
      </c>
      <c r="P3501">
        <v>0.31160311600000001</v>
      </c>
      <c r="Q3501" t="str">
        <f t="shared" si="108"/>
        <v>50+</v>
      </c>
      <c r="R3501" t="str">
        <f t="shared" si="109"/>
        <v>[U8c0so51kT6]|50+|Male|Untreated_PLHIV_Attend.T_1|CY2024Q3</v>
      </c>
    </row>
    <row r="3502" spans="4:18" x14ac:dyDescent="0.2">
      <c r="D3502" t="s">
        <v>132</v>
      </c>
      <c r="E3502" t="s">
        <v>133</v>
      </c>
      <c r="F3502" t="s">
        <v>134</v>
      </c>
      <c r="G3502" t="s">
        <v>151</v>
      </c>
      <c r="H3502" t="s">
        <v>151</v>
      </c>
      <c r="I3502" t="s">
        <v>28</v>
      </c>
      <c r="J3502" t="s">
        <v>29</v>
      </c>
      <c r="K3502" t="s">
        <v>30</v>
      </c>
      <c r="L3502" t="s">
        <v>31</v>
      </c>
      <c r="M3502" t="s">
        <v>140</v>
      </c>
      <c r="N3502">
        <v>3</v>
      </c>
      <c r="O3502">
        <v>0.178271018</v>
      </c>
      <c r="P3502">
        <v>0.29292600699999999</v>
      </c>
      <c r="Q3502" t="str">
        <f t="shared" si="108"/>
        <v>&lt;01</v>
      </c>
      <c r="R3502" t="str">
        <f t="shared" si="109"/>
        <v>[rpw540fmNUz]|&lt;01|Female|Untreated_PLHIV_Attend.T_1|CY2024Q3</v>
      </c>
    </row>
    <row r="3503" spans="4:18" x14ac:dyDescent="0.2">
      <c r="D3503" t="s">
        <v>132</v>
      </c>
      <c r="E3503" t="s">
        <v>133</v>
      </c>
      <c r="F3503" t="s">
        <v>134</v>
      </c>
      <c r="G3503" t="s">
        <v>151</v>
      </c>
      <c r="H3503" t="s">
        <v>151</v>
      </c>
      <c r="I3503" t="s">
        <v>33</v>
      </c>
      <c r="J3503" t="s">
        <v>34</v>
      </c>
      <c r="K3503" t="s">
        <v>30</v>
      </c>
      <c r="L3503" t="s">
        <v>31</v>
      </c>
      <c r="M3503" t="s">
        <v>140</v>
      </c>
      <c r="N3503">
        <v>50</v>
      </c>
      <c r="O3503">
        <v>0.19116270599999999</v>
      </c>
      <c r="P3503">
        <v>0.29292600699999999</v>
      </c>
      <c r="Q3503" t="str">
        <f t="shared" si="108"/>
        <v>01-09</v>
      </c>
      <c r="R3503" t="str">
        <f t="shared" si="109"/>
        <v>[rpw540fmNUz]|01-09|Female|Untreated_PLHIV_Attend.T_1|CY2024Q3</v>
      </c>
    </row>
    <row r="3504" spans="4:18" x14ac:dyDescent="0.2">
      <c r="D3504" t="s">
        <v>132</v>
      </c>
      <c r="E3504" t="s">
        <v>133</v>
      </c>
      <c r="F3504" t="s">
        <v>134</v>
      </c>
      <c r="G3504" t="s">
        <v>151</v>
      </c>
      <c r="H3504" t="s">
        <v>151</v>
      </c>
      <c r="I3504" t="s">
        <v>36</v>
      </c>
      <c r="J3504" t="s">
        <v>37</v>
      </c>
      <c r="K3504" t="s">
        <v>30</v>
      </c>
      <c r="L3504" t="s">
        <v>31</v>
      </c>
      <c r="M3504" t="s">
        <v>140</v>
      </c>
      <c r="N3504">
        <v>49</v>
      </c>
      <c r="O3504">
        <v>0.20436122100000001</v>
      </c>
      <c r="P3504">
        <v>0.29292600699999999</v>
      </c>
      <c r="Q3504" t="str">
        <f t="shared" si="108"/>
        <v>10-14</v>
      </c>
      <c r="R3504" t="str">
        <f t="shared" si="109"/>
        <v>[rpw540fmNUz]|10-14|Female|Untreated_PLHIV_Attend.T_1|CY2024Q3</v>
      </c>
    </row>
    <row r="3505" spans="4:18" x14ac:dyDescent="0.2">
      <c r="D3505" t="s">
        <v>132</v>
      </c>
      <c r="E3505" t="s">
        <v>133</v>
      </c>
      <c r="F3505" t="s">
        <v>134</v>
      </c>
      <c r="G3505" t="s">
        <v>151</v>
      </c>
      <c r="H3505" t="s">
        <v>151</v>
      </c>
      <c r="I3505" t="s">
        <v>38</v>
      </c>
      <c r="J3505" t="s">
        <v>39</v>
      </c>
      <c r="K3505" t="s">
        <v>30</v>
      </c>
      <c r="L3505" t="s">
        <v>31</v>
      </c>
      <c r="M3505" t="s">
        <v>140</v>
      </c>
      <c r="N3505">
        <v>65</v>
      </c>
      <c r="O3505">
        <v>0.42640514499999999</v>
      </c>
      <c r="P3505">
        <v>0.29292600699999999</v>
      </c>
      <c r="Q3505" t="str">
        <f t="shared" si="108"/>
        <v>15-24</v>
      </c>
      <c r="R3505" t="str">
        <f t="shared" si="109"/>
        <v>[rpw540fmNUz]|15-24|Female|Untreated_PLHIV_Attend.T_1|CY2024Q3</v>
      </c>
    </row>
    <row r="3506" spans="4:18" x14ac:dyDescent="0.2">
      <c r="D3506" t="s">
        <v>132</v>
      </c>
      <c r="E3506" t="s">
        <v>133</v>
      </c>
      <c r="F3506" t="s">
        <v>134</v>
      </c>
      <c r="G3506" t="s">
        <v>151</v>
      </c>
      <c r="H3506" t="s">
        <v>151</v>
      </c>
      <c r="I3506" t="s">
        <v>41</v>
      </c>
      <c r="J3506" t="s">
        <v>42</v>
      </c>
      <c r="K3506" t="s">
        <v>30</v>
      </c>
      <c r="L3506" t="s">
        <v>31</v>
      </c>
      <c r="M3506" t="s">
        <v>140</v>
      </c>
      <c r="N3506">
        <v>79</v>
      </c>
      <c r="O3506">
        <v>0.424142835</v>
      </c>
      <c r="P3506">
        <v>0.29292600699999999</v>
      </c>
      <c r="Q3506" t="str">
        <f t="shared" si="108"/>
        <v>25-34</v>
      </c>
      <c r="R3506" t="str">
        <f t="shared" si="109"/>
        <v>[rpw540fmNUz]|25-34|Female|Untreated_PLHIV_Attend.T_1|CY2024Q3</v>
      </c>
    </row>
    <row r="3507" spans="4:18" x14ac:dyDescent="0.2">
      <c r="D3507" t="s">
        <v>132</v>
      </c>
      <c r="E3507" t="s">
        <v>133</v>
      </c>
      <c r="F3507" t="s">
        <v>134</v>
      </c>
      <c r="G3507" t="s">
        <v>151</v>
      </c>
      <c r="H3507" t="s">
        <v>151</v>
      </c>
      <c r="I3507" t="s">
        <v>43</v>
      </c>
      <c r="J3507" t="s">
        <v>44</v>
      </c>
      <c r="K3507" t="s">
        <v>30</v>
      </c>
      <c r="L3507" t="s">
        <v>31</v>
      </c>
      <c r="M3507" t="s">
        <v>140</v>
      </c>
      <c r="N3507">
        <v>100</v>
      </c>
      <c r="O3507">
        <v>0.43751171100000003</v>
      </c>
      <c r="P3507">
        <v>0.29292600699999999</v>
      </c>
      <c r="Q3507" t="str">
        <f t="shared" si="108"/>
        <v>35-49</v>
      </c>
      <c r="R3507" t="str">
        <f t="shared" si="109"/>
        <v>[rpw540fmNUz]|35-49|Female|Untreated_PLHIV_Attend.T_1|CY2024Q3</v>
      </c>
    </row>
    <row r="3508" spans="4:18" x14ac:dyDescent="0.2">
      <c r="D3508" t="s">
        <v>132</v>
      </c>
      <c r="E3508" t="s">
        <v>133</v>
      </c>
      <c r="F3508" t="s">
        <v>134</v>
      </c>
      <c r="G3508" t="s">
        <v>151</v>
      </c>
      <c r="H3508" t="s">
        <v>151</v>
      </c>
      <c r="I3508" t="s">
        <v>45</v>
      </c>
      <c r="J3508" t="s">
        <v>46</v>
      </c>
      <c r="K3508" t="s">
        <v>30</v>
      </c>
      <c r="L3508" t="s">
        <v>31</v>
      </c>
      <c r="M3508" t="s">
        <v>140</v>
      </c>
      <c r="N3508">
        <v>31</v>
      </c>
      <c r="O3508">
        <v>0.44034009299999999</v>
      </c>
      <c r="P3508">
        <v>0.29292600699999999</v>
      </c>
      <c r="Q3508" t="str">
        <f t="shared" si="108"/>
        <v>50+</v>
      </c>
      <c r="R3508" t="str">
        <f t="shared" si="109"/>
        <v>[rpw540fmNUz]|50+|Female|Untreated_PLHIV_Attend.T_1|CY2024Q3</v>
      </c>
    </row>
    <row r="3509" spans="4:18" x14ac:dyDescent="0.2">
      <c r="D3509" t="s">
        <v>132</v>
      </c>
      <c r="E3509" t="s">
        <v>133</v>
      </c>
      <c r="F3509" t="s">
        <v>134</v>
      </c>
      <c r="G3509" t="s">
        <v>151</v>
      </c>
      <c r="H3509" t="s">
        <v>151</v>
      </c>
      <c r="I3509" t="s">
        <v>28</v>
      </c>
      <c r="J3509" t="s">
        <v>29</v>
      </c>
      <c r="K3509" t="s">
        <v>48</v>
      </c>
      <c r="L3509" t="s">
        <v>49</v>
      </c>
      <c r="M3509" t="s">
        <v>140</v>
      </c>
      <c r="N3509">
        <v>4</v>
      </c>
      <c r="O3509">
        <v>0.19426312900000001</v>
      </c>
      <c r="P3509">
        <v>0.29292600699999999</v>
      </c>
      <c r="Q3509" t="str">
        <f t="shared" si="108"/>
        <v>&lt;01</v>
      </c>
      <c r="R3509" t="str">
        <f t="shared" si="109"/>
        <v>[rpw540fmNUz]|&lt;01|Male|Untreated_PLHIV_Attend.T_1|CY2024Q3</v>
      </c>
    </row>
    <row r="3510" spans="4:18" x14ac:dyDescent="0.2">
      <c r="D3510" t="s">
        <v>132</v>
      </c>
      <c r="E3510" t="s">
        <v>133</v>
      </c>
      <c r="F3510" t="s">
        <v>134</v>
      </c>
      <c r="G3510" t="s">
        <v>151</v>
      </c>
      <c r="H3510" t="s">
        <v>151</v>
      </c>
      <c r="I3510" t="s">
        <v>33</v>
      </c>
      <c r="J3510" t="s">
        <v>34</v>
      </c>
      <c r="K3510" t="s">
        <v>48</v>
      </c>
      <c r="L3510" t="s">
        <v>49</v>
      </c>
      <c r="M3510" t="s">
        <v>140</v>
      </c>
      <c r="N3510">
        <v>61</v>
      </c>
      <c r="O3510">
        <v>0.20648736200000001</v>
      </c>
      <c r="P3510">
        <v>0.29292600699999999</v>
      </c>
      <c r="Q3510" t="str">
        <f t="shared" si="108"/>
        <v>01-09</v>
      </c>
      <c r="R3510" t="str">
        <f t="shared" si="109"/>
        <v>[rpw540fmNUz]|01-09|Male|Untreated_PLHIV_Attend.T_1|CY2024Q3</v>
      </c>
    </row>
    <row r="3511" spans="4:18" x14ac:dyDescent="0.2">
      <c r="D3511" t="s">
        <v>132</v>
      </c>
      <c r="E3511" t="s">
        <v>133</v>
      </c>
      <c r="F3511" t="s">
        <v>134</v>
      </c>
      <c r="G3511" t="s">
        <v>151</v>
      </c>
      <c r="H3511" t="s">
        <v>151</v>
      </c>
      <c r="I3511" t="s">
        <v>36</v>
      </c>
      <c r="J3511" t="s">
        <v>37</v>
      </c>
      <c r="K3511" t="s">
        <v>48</v>
      </c>
      <c r="L3511" t="s">
        <v>49</v>
      </c>
      <c r="M3511" t="s">
        <v>140</v>
      </c>
      <c r="N3511">
        <v>63</v>
      </c>
      <c r="O3511">
        <v>0.219074454</v>
      </c>
      <c r="P3511">
        <v>0.29292600699999999</v>
      </c>
      <c r="Q3511" t="str">
        <f t="shared" si="108"/>
        <v>10-14</v>
      </c>
      <c r="R3511" t="str">
        <f t="shared" si="109"/>
        <v>[rpw540fmNUz]|10-14|Male|Untreated_PLHIV_Attend.T_1|CY2024Q3</v>
      </c>
    </row>
    <row r="3512" spans="4:18" x14ac:dyDescent="0.2">
      <c r="D3512" t="s">
        <v>132</v>
      </c>
      <c r="E3512" t="s">
        <v>133</v>
      </c>
      <c r="F3512" t="s">
        <v>134</v>
      </c>
      <c r="G3512" t="s">
        <v>151</v>
      </c>
      <c r="H3512" t="s">
        <v>151</v>
      </c>
      <c r="I3512" t="s">
        <v>38</v>
      </c>
      <c r="J3512" t="s">
        <v>39</v>
      </c>
      <c r="K3512" t="s">
        <v>48</v>
      </c>
      <c r="L3512" t="s">
        <v>49</v>
      </c>
      <c r="M3512" t="s">
        <v>140</v>
      </c>
      <c r="N3512">
        <v>71</v>
      </c>
      <c r="O3512">
        <v>0.413382794</v>
      </c>
      <c r="P3512">
        <v>0.29292600699999999</v>
      </c>
      <c r="Q3512" t="str">
        <f t="shared" si="108"/>
        <v>15-24</v>
      </c>
      <c r="R3512" t="str">
        <f t="shared" si="109"/>
        <v>[rpw540fmNUz]|15-24|Male|Untreated_PLHIV_Attend.T_1|CY2024Q3</v>
      </c>
    </row>
    <row r="3513" spans="4:18" x14ac:dyDescent="0.2">
      <c r="D3513" t="s">
        <v>132</v>
      </c>
      <c r="E3513" t="s">
        <v>133</v>
      </c>
      <c r="F3513" t="s">
        <v>134</v>
      </c>
      <c r="G3513" t="s">
        <v>151</v>
      </c>
      <c r="H3513" t="s">
        <v>151</v>
      </c>
      <c r="I3513" t="s">
        <v>41</v>
      </c>
      <c r="J3513" t="s">
        <v>42</v>
      </c>
      <c r="K3513" t="s">
        <v>48</v>
      </c>
      <c r="L3513" t="s">
        <v>49</v>
      </c>
      <c r="M3513" t="s">
        <v>140</v>
      </c>
      <c r="N3513">
        <v>111</v>
      </c>
      <c r="O3513">
        <v>0.441605203</v>
      </c>
      <c r="P3513">
        <v>0.29292600699999999</v>
      </c>
      <c r="Q3513" t="str">
        <f t="shared" si="108"/>
        <v>25-34</v>
      </c>
      <c r="R3513" t="str">
        <f t="shared" si="109"/>
        <v>[rpw540fmNUz]|25-34|Male|Untreated_PLHIV_Attend.T_1|CY2024Q3</v>
      </c>
    </row>
    <row r="3514" spans="4:18" x14ac:dyDescent="0.2">
      <c r="D3514" t="s">
        <v>132</v>
      </c>
      <c r="E3514" t="s">
        <v>133</v>
      </c>
      <c r="F3514" t="s">
        <v>134</v>
      </c>
      <c r="G3514" t="s">
        <v>151</v>
      </c>
      <c r="H3514" t="s">
        <v>151</v>
      </c>
      <c r="I3514" t="s">
        <v>43</v>
      </c>
      <c r="J3514" t="s">
        <v>44</v>
      </c>
      <c r="K3514" t="s">
        <v>48</v>
      </c>
      <c r="L3514" t="s">
        <v>49</v>
      </c>
      <c r="M3514" t="s">
        <v>140</v>
      </c>
      <c r="N3514">
        <v>249</v>
      </c>
      <c r="O3514">
        <v>0.44948986800000001</v>
      </c>
      <c r="P3514">
        <v>0.29292600699999999</v>
      </c>
      <c r="Q3514" t="str">
        <f t="shared" si="108"/>
        <v>35-49</v>
      </c>
      <c r="R3514" t="str">
        <f t="shared" si="109"/>
        <v>[rpw540fmNUz]|35-49|Male|Untreated_PLHIV_Attend.T_1|CY2024Q3</v>
      </c>
    </row>
    <row r="3515" spans="4:18" x14ac:dyDescent="0.2">
      <c r="D3515" t="s">
        <v>132</v>
      </c>
      <c r="E3515" t="s">
        <v>133</v>
      </c>
      <c r="F3515" t="s">
        <v>134</v>
      </c>
      <c r="G3515" t="s">
        <v>151</v>
      </c>
      <c r="H3515" t="s">
        <v>151</v>
      </c>
      <c r="I3515" t="s">
        <v>45</v>
      </c>
      <c r="J3515" t="s">
        <v>46</v>
      </c>
      <c r="K3515" t="s">
        <v>48</v>
      </c>
      <c r="L3515" t="s">
        <v>49</v>
      </c>
      <c r="M3515" t="s">
        <v>140</v>
      </c>
      <c r="N3515">
        <v>131</v>
      </c>
      <c r="O3515">
        <v>0.43616915299999998</v>
      </c>
      <c r="P3515">
        <v>0.29292600699999999</v>
      </c>
      <c r="Q3515" t="str">
        <f t="shared" si="108"/>
        <v>50+</v>
      </c>
      <c r="R3515" t="str">
        <f t="shared" si="109"/>
        <v>[rpw540fmNUz]|50+|Male|Untreated_PLHIV_Attend.T_1|CY2024Q3</v>
      </c>
    </row>
    <row r="3516" spans="4:18" x14ac:dyDescent="0.2">
      <c r="D3516" t="s">
        <v>135</v>
      </c>
      <c r="E3516" t="s">
        <v>136</v>
      </c>
      <c r="F3516" t="s">
        <v>137</v>
      </c>
      <c r="G3516" t="s">
        <v>151</v>
      </c>
      <c r="H3516" t="s">
        <v>151</v>
      </c>
      <c r="I3516" t="s">
        <v>28</v>
      </c>
      <c r="J3516" t="s">
        <v>29</v>
      </c>
      <c r="K3516" t="s">
        <v>30</v>
      </c>
      <c r="L3516" t="s">
        <v>31</v>
      </c>
      <c r="M3516" t="s">
        <v>140</v>
      </c>
      <c r="N3516">
        <v>2</v>
      </c>
      <c r="O3516">
        <v>0.12768397400000001</v>
      </c>
      <c r="P3516">
        <v>0.24773484400000001</v>
      </c>
      <c r="Q3516" t="str">
        <f t="shared" si="108"/>
        <v>&lt;01</v>
      </c>
      <c r="R3516" t="str">
        <f t="shared" si="109"/>
        <v>[gwVYinjBAe9]|&lt;01|Female|Untreated_PLHIV_Attend.T_1|CY2024Q3</v>
      </c>
    </row>
    <row r="3517" spans="4:18" x14ac:dyDescent="0.2">
      <c r="D3517" t="s">
        <v>135</v>
      </c>
      <c r="E3517" t="s">
        <v>136</v>
      </c>
      <c r="F3517" t="s">
        <v>137</v>
      </c>
      <c r="G3517" t="s">
        <v>151</v>
      </c>
      <c r="H3517" t="s">
        <v>151</v>
      </c>
      <c r="I3517" t="s">
        <v>33</v>
      </c>
      <c r="J3517" t="s">
        <v>34</v>
      </c>
      <c r="K3517" t="s">
        <v>30</v>
      </c>
      <c r="L3517" t="s">
        <v>31</v>
      </c>
      <c r="M3517" t="s">
        <v>140</v>
      </c>
      <c r="N3517">
        <v>37</v>
      </c>
      <c r="O3517">
        <v>0.14021003400000001</v>
      </c>
      <c r="P3517">
        <v>0.24773484400000001</v>
      </c>
      <c r="Q3517" t="str">
        <f t="shared" si="108"/>
        <v>01-09</v>
      </c>
      <c r="R3517" t="str">
        <f t="shared" si="109"/>
        <v>[gwVYinjBAe9]|01-09|Female|Untreated_PLHIV_Attend.T_1|CY2024Q3</v>
      </c>
    </row>
    <row r="3518" spans="4:18" x14ac:dyDescent="0.2">
      <c r="D3518" t="s">
        <v>135</v>
      </c>
      <c r="E3518" t="s">
        <v>136</v>
      </c>
      <c r="F3518" t="s">
        <v>137</v>
      </c>
      <c r="G3518" t="s">
        <v>151</v>
      </c>
      <c r="H3518" t="s">
        <v>151</v>
      </c>
      <c r="I3518" t="s">
        <v>36</v>
      </c>
      <c r="J3518" t="s">
        <v>37</v>
      </c>
      <c r="K3518" t="s">
        <v>30</v>
      </c>
      <c r="L3518" t="s">
        <v>31</v>
      </c>
      <c r="M3518" t="s">
        <v>140</v>
      </c>
      <c r="N3518">
        <v>40</v>
      </c>
      <c r="O3518">
        <v>0.153733062</v>
      </c>
      <c r="P3518">
        <v>0.24773484400000001</v>
      </c>
      <c r="Q3518" t="str">
        <f t="shared" si="108"/>
        <v>10-14</v>
      </c>
      <c r="R3518" t="str">
        <f t="shared" si="109"/>
        <v>[gwVYinjBAe9]|10-14|Female|Untreated_PLHIV_Attend.T_1|CY2024Q3</v>
      </c>
    </row>
    <row r="3519" spans="4:18" x14ac:dyDescent="0.2">
      <c r="D3519" t="s">
        <v>135</v>
      </c>
      <c r="E3519" t="s">
        <v>136</v>
      </c>
      <c r="F3519" t="s">
        <v>137</v>
      </c>
      <c r="G3519" t="s">
        <v>151</v>
      </c>
      <c r="H3519" t="s">
        <v>151</v>
      </c>
      <c r="I3519" t="s">
        <v>38</v>
      </c>
      <c r="J3519" t="s">
        <v>39</v>
      </c>
      <c r="K3519" t="s">
        <v>30</v>
      </c>
      <c r="L3519" t="s">
        <v>31</v>
      </c>
      <c r="M3519" t="s">
        <v>140</v>
      </c>
      <c r="N3519">
        <v>25</v>
      </c>
      <c r="O3519">
        <v>0.42611354400000001</v>
      </c>
      <c r="P3519">
        <v>0.24773484400000001</v>
      </c>
      <c r="Q3519" t="str">
        <f t="shared" si="108"/>
        <v>15-24</v>
      </c>
      <c r="R3519" t="str">
        <f t="shared" si="109"/>
        <v>[gwVYinjBAe9]|15-24|Female|Untreated_PLHIV_Attend.T_1|CY2024Q3</v>
      </c>
    </row>
    <row r="3520" spans="4:18" x14ac:dyDescent="0.2">
      <c r="D3520" t="s">
        <v>135</v>
      </c>
      <c r="E3520" t="s">
        <v>136</v>
      </c>
      <c r="F3520" t="s">
        <v>137</v>
      </c>
      <c r="G3520" t="s">
        <v>151</v>
      </c>
      <c r="H3520" t="s">
        <v>151</v>
      </c>
      <c r="I3520" t="s">
        <v>41</v>
      </c>
      <c r="J3520" t="s">
        <v>42</v>
      </c>
      <c r="K3520" t="s">
        <v>30</v>
      </c>
      <c r="L3520" t="s">
        <v>31</v>
      </c>
      <c r="M3520" t="s">
        <v>140</v>
      </c>
      <c r="N3520">
        <v>31</v>
      </c>
      <c r="O3520">
        <v>0.42686534799999998</v>
      </c>
      <c r="P3520">
        <v>0.24773484400000001</v>
      </c>
      <c r="Q3520" t="str">
        <f t="shared" si="108"/>
        <v>25-34</v>
      </c>
      <c r="R3520" t="str">
        <f t="shared" si="109"/>
        <v>[gwVYinjBAe9]|25-34|Female|Untreated_PLHIV_Attend.T_1|CY2024Q3</v>
      </c>
    </row>
    <row r="3521" spans="4:18" x14ac:dyDescent="0.2">
      <c r="D3521" t="s">
        <v>135</v>
      </c>
      <c r="E3521" t="s">
        <v>136</v>
      </c>
      <c r="F3521" t="s">
        <v>137</v>
      </c>
      <c r="G3521" t="s">
        <v>151</v>
      </c>
      <c r="H3521" t="s">
        <v>151</v>
      </c>
      <c r="I3521" t="s">
        <v>43</v>
      </c>
      <c r="J3521" t="s">
        <v>44</v>
      </c>
      <c r="K3521" t="s">
        <v>30</v>
      </c>
      <c r="L3521" t="s">
        <v>31</v>
      </c>
      <c r="M3521" t="s">
        <v>140</v>
      </c>
      <c r="N3521">
        <v>41</v>
      </c>
      <c r="O3521">
        <v>0.43877734099999999</v>
      </c>
      <c r="P3521">
        <v>0.24773484400000001</v>
      </c>
      <c r="Q3521" t="str">
        <f t="shared" si="108"/>
        <v>35-49</v>
      </c>
      <c r="R3521" t="str">
        <f t="shared" si="109"/>
        <v>[gwVYinjBAe9]|35-49|Female|Untreated_PLHIV_Attend.T_1|CY2024Q3</v>
      </c>
    </row>
    <row r="3522" spans="4:18" x14ac:dyDescent="0.2">
      <c r="D3522" t="s">
        <v>135</v>
      </c>
      <c r="E3522" t="s">
        <v>136</v>
      </c>
      <c r="F3522" t="s">
        <v>137</v>
      </c>
      <c r="G3522" t="s">
        <v>151</v>
      </c>
      <c r="H3522" t="s">
        <v>151</v>
      </c>
      <c r="I3522" t="s">
        <v>45</v>
      </c>
      <c r="J3522" t="s">
        <v>46</v>
      </c>
      <c r="K3522" t="s">
        <v>30</v>
      </c>
      <c r="L3522" t="s">
        <v>31</v>
      </c>
      <c r="M3522" t="s">
        <v>140</v>
      </c>
      <c r="N3522">
        <v>12</v>
      </c>
      <c r="O3522">
        <v>0.43296085000000001</v>
      </c>
      <c r="P3522">
        <v>0.24773484400000001</v>
      </c>
      <c r="Q3522" t="str">
        <f t="shared" si="108"/>
        <v>50+</v>
      </c>
      <c r="R3522" t="str">
        <f t="shared" si="109"/>
        <v>[gwVYinjBAe9]|50+|Female|Untreated_PLHIV_Attend.T_1|CY2024Q3</v>
      </c>
    </row>
    <row r="3523" spans="4:18" x14ac:dyDescent="0.2">
      <c r="D3523" t="s">
        <v>135</v>
      </c>
      <c r="E3523" t="s">
        <v>136</v>
      </c>
      <c r="F3523" t="s">
        <v>137</v>
      </c>
      <c r="G3523" t="s">
        <v>151</v>
      </c>
      <c r="H3523" t="s">
        <v>151</v>
      </c>
      <c r="I3523" t="s">
        <v>28</v>
      </c>
      <c r="J3523" t="s">
        <v>29</v>
      </c>
      <c r="K3523" t="s">
        <v>48</v>
      </c>
      <c r="L3523" t="s">
        <v>49</v>
      </c>
      <c r="M3523" t="s">
        <v>140</v>
      </c>
      <c r="N3523">
        <v>2</v>
      </c>
      <c r="O3523">
        <v>0.152190201</v>
      </c>
      <c r="P3523">
        <v>0.24773484400000001</v>
      </c>
      <c r="Q3523" t="str">
        <f t="shared" ref="Q3523:Q3586" si="110">SUBSTITUTE(SUBSTITUTE($I3523,CHAR(61),""),CHAR(34),"")</f>
        <v>&lt;01</v>
      </c>
      <c r="R3523" t="str">
        <f t="shared" ref="R3523:R3586" si="111">IF($D3523&lt;&gt;"","["&amp;$E3523&amp;"]"&amp;"|"&amp;$Q3523&amp;"|"&amp;$K3523&amp;"|"&amp;$G3523&amp;"|"&amp;IF($G3523="TX_CURR_SUBNAT.R","CY2023Q4",$M3523),"")</f>
        <v>[gwVYinjBAe9]|&lt;01|Male|Untreated_PLHIV_Attend.T_1|CY2024Q3</v>
      </c>
    </row>
    <row r="3524" spans="4:18" x14ac:dyDescent="0.2">
      <c r="D3524" t="s">
        <v>135</v>
      </c>
      <c r="E3524" t="s">
        <v>136</v>
      </c>
      <c r="F3524" t="s">
        <v>137</v>
      </c>
      <c r="G3524" t="s">
        <v>151</v>
      </c>
      <c r="H3524" t="s">
        <v>151</v>
      </c>
      <c r="I3524" t="s">
        <v>33</v>
      </c>
      <c r="J3524" t="s">
        <v>34</v>
      </c>
      <c r="K3524" t="s">
        <v>48</v>
      </c>
      <c r="L3524" t="s">
        <v>49</v>
      </c>
      <c r="M3524" t="s">
        <v>140</v>
      </c>
      <c r="N3524">
        <v>36</v>
      </c>
      <c r="O3524">
        <v>0.16435579</v>
      </c>
      <c r="P3524">
        <v>0.24773484400000001</v>
      </c>
      <c r="Q3524" t="str">
        <f t="shared" si="110"/>
        <v>01-09</v>
      </c>
      <c r="R3524" t="str">
        <f t="shared" si="111"/>
        <v>[gwVYinjBAe9]|01-09|Male|Untreated_PLHIV_Attend.T_1|CY2024Q3</v>
      </c>
    </row>
    <row r="3525" spans="4:18" x14ac:dyDescent="0.2">
      <c r="D3525" t="s">
        <v>135</v>
      </c>
      <c r="E3525" t="s">
        <v>136</v>
      </c>
      <c r="F3525" t="s">
        <v>137</v>
      </c>
      <c r="G3525" t="s">
        <v>151</v>
      </c>
      <c r="H3525" t="s">
        <v>151</v>
      </c>
      <c r="I3525" t="s">
        <v>36</v>
      </c>
      <c r="J3525" t="s">
        <v>37</v>
      </c>
      <c r="K3525" t="s">
        <v>48</v>
      </c>
      <c r="L3525" t="s">
        <v>49</v>
      </c>
      <c r="M3525" t="s">
        <v>140</v>
      </c>
      <c r="N3525">
        <v>39</v>
      </c>
      <c r="O3525">
        <v>0.17746082899999999</v>
      </c>
      <c r="P3525">
        <v>0.24773484400000001</v>
      </c>
      <c r="Q3525" t="str">
        <f t="shared" si="110"/>
        <v>10-14</v>
      </c>
      <c r="R3525" t="str">
        <f t="shared" si="111"/>
        <v>[gwVYinjBAe9]|10-14|Male|Untreated_PLHIV_Attend.T_1|CY2024Q3</v>
      </c>
    </row>
    <row r="3526" spans="4:18" x14ac:dyDescent="0.2">
      <c r="D3526" t="s">
        <v>135</v>
      </c>
      <c r="E3526" t="s">
        <v>136</v>
      </c>
      <c r="F3526" t="s">
        <v>137</v>
      </c>
      <c r="G3526" t="s">
        <v>151</v>
      </c>
      <c r="H3526" t="s">
        <v>151</v>
      </c>
      <c r="I3526" t="s">
        <v>38</v>
      </c>
      <c r="J3526" t="s">
        <v>39</v>
      </c>
      <c r="K3526" t="s">
        <v>48</v>
      </c>
      <c r="L3526" t="s">
        <v>49</v>
      </c>
      <c r="M3526" t="s">
        <v>140</v>
      </c>
      <c r="N3526">
        <v>28</v>
      </c>
      <c r="O3526">
        <v>0.41720095800000001</v>
      </c>
      <c r="P3526">
        <v>0.24773484400000001</v>
      </c>
      <c r="Q3526" t="str">
        <f t="shared" si="110"/>
        <v>15-24</v>
      </c>
      <c r="R3526" t="str">
        <f t="shared" si="111"/>
        <v>[gwVYinjBAe9]|15-24|Male|Untreated_PLHIV_Attend.T_1|CY2024Q3</v>
      </c>
    </row>
    <row r="3527" spans="4:18" x14ac:dyDescent="0.2">
      <c r="D3527" t="s">
        <v>135</v>
      </c>
      <c r="E3527" t="s">
        <v>136</v>
      </c>
      <c r="F3527" t="s">
        <v>137</v>
      </c>
      <c r="G3527" t="s">
        <v>151</v>
      </c>
      <c r="H3527" t="s">
        <v>151</v>
      </c>
      <c r="I3527" t="s">
        <v>41</v>
      </c>
      <c r="J3527" t="s">
        <v>42</v>
      </c>
      <c r="K3527" t="s">
        <v>48</v>
      </c>
      <c r="L3527" t="s">
        <v>49</v>
      </c>
      <c r="M3527" t="s">
        <v>140</v>
      </c>
      <c r="N3527">
        <v>46</v>
      </c>
      <c r="O3527">
        <v>0.45060851000000002</v>
      </c>
      <c r="P3527">
        <v>0.24773484400000001</v>
      </c>
      <c r="Q3527" t="str">
        <f t="shared" si="110"/>
        <v>25-34</v>
      </c>
      <c r="R3527" t="str">
        <f t="shared" si="111"/>
        <v>[gwVYinjBAe9]|25-34|Male|Untreated_PLHIV_Attend.T_1|CY2024Q3</v>
      </c>
    </row>
    <row r="3528" spans="4:18" x14ac:dyDescent="0.2">
      <c r="D3528" t="s">
        <v>135</v>
      </c>
      <c r="E3528" t="s">
        <v>136</v>
      </c>
      <c r="F3528" t="s">
        <v>137</v>
      </c>
      <c r="G3528" t="s">
        <v>151</v>
      </c>
      <c r="H3528" t="s">
        <v>151</v>
      </c>
      <c r="I3528" t="s">
        <v>43</v>
      </c>
      <c r="J3528" t="s">
        <v>44</v>
      </c>
      <c r="K3528" t="s">
        <v>48</v>
      </c>
      <c r="L3528" t="s">
        <v>49</v>
      </c>
      <c r="M3528" t="s">
        <v>140</v>
      </c>
      <c r="N3528">
        <v>103</v>
      </c>
      <c r="O3528">
        <v>0.45820324499999998</v>
      </c>
      <c r="P3528">
        <v>0.24773484400000001</v>
      </c>
      <c r="Q3528" t="str">
        <f t="shared" si="110"/>
        <v>35-49</v>
      </c>
      <c r="R3528" t="str">
        <f t="shared" si="111"/>
        <v>[gwVYinjBAe9]|35-49|Male|Untreated_PLHIV_Attend.T_1|CY2024Q3</v>
      </c>
    </row>
    <row r="3529" spans="4:18" x14ac:dyDescent="0.2">
      <c r="D3529" t="s">
        <v>135</v>
      </c>
      <c r="E3529" t="s">
        <v>136</v>
      </c>
      <c r="F3529" t="s">
        <v>137</v>
      </c>
      <c r="G3529" t="s">
        <v>151</v>
      </c>
      <c r="H3529" t="s">
        <v>151</v>
      </c>
      <c r="I3529" t="s">
        <v>45</v>
      </c>
      <c r="J3529" t="s">
        <v>46</v>
      </c>
      <c r="K3529" t="s">
        <v>48</v>
      </c>
      <c r="L3529" t="s">
        <v>49</v>
      </c>
      <c r="M3529" t="s">
        <v>140</v>
      </c>
      <c r="N3529">
        <v>52</v>
      </c>
      <c r="O3529">
        <v>0.4395289</v>
      </c>
      <c r="P3529">
        <v>0.24773484400000001</v>
      </c>
      <c r="Q3529" t="str">
        <f t="shared" si="110"/>
        <v>50+</v>
      </c>
      <c r="R3529" t="str">
        <f t="shared" si="111"/>
        <v>[gwVYinjBAe9]|50+|Male|Untreated_PLHIV_Attend.T_1|CY2024Q3</v>
      </c>
    </row>
    <row r="3530" spans="4:18" x14ac:dyDescent="0.2">
      <c r="D3530" t="s">
        <v>23</v>
      </c>
      <c r="E3530" t="s">
        <v>24</v>
      </c>
      <c r="F3530" t="s">
        <v>25</v>
      </c>
      <c r="G3530" t="s">
        <v>152</v>
      </c>
      <c r="H3530" t="s">
        <v>152</v>
      </c>
      <c r="I3530" t="s">
        <v>28</v>
      </c>
      <c r="J3530" t="s">
        <v>29</v>
      </c>
      <c r="K3530" t="s">
        <v>30</v>
      </c>
      <c r="L3530" t="s">
        <v>31</v>
      </c>
      <c r="M3530" t="s">
        <v>140</v>
      </c>
      <c r="N3530">
        <v>2</v>
      </c>
      <c r="O3530">
        <v>6.7995027999999999E-2</v>
      </c>
      <c r="P3530">
        <v>2.7648240000000001E-2</v>
      </c>
      <c r="Q3530" t="str">
        <f t="shared" si="110"/>
        <v>&lt;01</v>
      </c>
      <c r="R3530" t="str">
        <f t="shared" si="111"/>
        <v>[GkIwZrXy1h2]|&lt;01|Female|DIAGNOSED_SUBNAT_Attend.T_1|CY2024Q3</v>
      </c>
    </row>
    <row r="3531" spans="4:18" x14ac:dyDescent="0.2">
      <c r="D3531" t="s">
        <v>23</v>
      </c>
      <c r="E3531" t="s">
        <v>24</v>
      </c>
      <c r="F3531" t="s">
        <v>25</v>
      </c>
      <c r="G3531" t="s">
        <v>152</v>
      </c>
      <c r="H3531" t="s">
        <v>152</v>
      </c>
      <c r="I3531" t="s">
        <v>36</v>
      </c>
      <c r="J3531" t="s">
        <v>37</v>
      </c>
      <c r="K3531" t="s">
        <v>30</v>
      </c>
      <c r="L3531" t="s">
        <v>31</v>
      </c>
      <c r="M3531" t="s">
        <v>140</v>
      </c>
      <c r="N3531">
        <v>64</v>
      </c>
      <c r="O3531">
        <v>5.8785395999999997E-2</v>
      </c>
      <c r="P3531">
        <v>2.7648240000000001E-2</v>
      </c>
      <c r="Q3531" t="str">
        <f t="shared" si="110"/>
        <v>10-14</v>
      </c>
      <c r="R3531" t="str">
        <f t="shared" si="111"/>
        <v>[GkIwZrXy1h2]|10-14|Female|DIAGNOSED_SUBNAT_Attend.T_1|CY2024Q3</v>
      </c>
    </row>
    <row r="3532" spans="4:18" x14ac:dyDescent="0.2">
      <c r="D3532" t="s">
        <v>23</v>
      </c>
      <c r="E3532" t="s">
        <v>24</v>
      </c>
      <c r="F3532" t="s">
        <v>25</v>
      </c>
      <c r="G3532" t="s">
        <v>152</v>
      </c>
      <c r="H3532" t="s">
        <v>152</v>
      </c>
      <c r="I3532" t="s">
        <v>38</v>
      </c>
      <c r="J3532" t="s">
        <v>39</v>
      </c>
      <c r="K3532" t="s">
        <v>30</v>
      </c>
      <c r="L3532" t="s">
        <v>31</v>
      </c>
      <c r="M3532" t="s">
        <v>140</v>
      </c>
      <c r="N3532">
        <v>261</v>
      </c>
      <c r="O3532">
        <v>6.6756456000000006E-2</v>
      </c>
      <c r="P3532">
        <v>2.7648240000000001E-2</v>
      </c>
      <c r="Q3532" t="str">
        <f t="shared" si="110"/>
        <v>15-24</v>
      </c>
      <c r="R3532" t="str">
        <f t="shared" si="111"/>
        <v>[GkIwZrXy1h2]|15-24|Female|DIAGNOSED_SUBNAT_Attend.T_1|CY2024Q3</v>
      </c>
    </row>
    <row r="3533" spans="4:18" x14ac:dyDescent="0.2">
      <c r="D3533" t="s">
        <v>23</v>
      </c>
      <c r="E3533" t="s">
        <v>24</v>
      </c>
      <c r="F3533" t="s">
        <v>25</v>
      </c>
      <c r="G3533" t="s">
        <v>152</v>
      </c>
      <c r="H3533" t="s">
        <v>152</v>
      </c>
      <c r="I3533" t="s">
        <v>41</v>
      </c>
      <c r="J3533" t="s">
        <v>42</v>
      </c>
      <c r="K3533" t="s">
        <v>30</v>
      </c>
      <c r="L3533" t="s">
        <v>31</v>
      </c>
      <c r="M3533" t="s">
        <v>140</v>
      </c>
      <c r="N3533">
        <v>660</v>
      </c>
      <c r="O3533">
        <v>4.9125416999999998E-2</v>
      </c>
      <c r="P3533">
        <v>2.7648240000000001E-2</v>
      </c>
      <c r="Q3533" t="str">
        <f t="shared" si="110"/>
        <v>25-34</v>
      </c>
      <c r="R3533" t="str">
        <f t="shared" si="111"/>
        <v>[GkIwZrXy1h2]|25-34|Female|DIAGNOSED_SUBNAT_Attend.T_1|CY2024Q3</v>
      </c>
    </row>
    <row r="3534" spans="4:18" x14ac:dyDescent="0.2">
      <c r="D3534" t="s">
        <v>23</v>
      </c>
      <c r="E3534" t="s">
        <v>24</v>
      </c>
      <c r="F3534" t="s">
        <v>25</v>
      </c>
      <c r="G3534" t="s">
        <v>152</v>
      </c>
      <c r="H3534" t="s">
        <v>152</v>
      </c>
      <c r="I3534" t="s">
        <v>43</v>
      </c>
      <c r="J3534" t="s">
        <v>44</v>
      </c>
      <c r="K3534" t="s">
        <v>30</v>
      </c>
      <c r="L3534" t="s">
        <v>31</v>
      </c>
      <c r="M3534" t="s">
        <v>140</v>
      </c>
      <c r="N3534">
        <v>1802</v>
      </c>
      <c r="O3534">
        <v>3.4413877000000002E-2</v>
      </c>
      <c r="P3534">
        <v>2.7648240000000001E-2</v>
      </c>
      <c r="Q3534" t="str">
        <f t="shared" si="110"/>
        <v>35-49</v>
      </c>
      <c r="R3534" t="str">
        <f t="shared" si="111"/>
        <v>[GkIwZrXy1h2]|35-49|Female|DIAGNOSED_SUBNAT_Attend.T_1|CY2024Q3</v>
      </c>
    </row>
    <row r="3535" spans="4:18" x14ac:dyDescent="0.2">
      <c r="D3535" t="s">
        <v>23</v>
      </c>
      <c r="E3535" t="s">
        <v>24</v>
      </c>
      <c r="F3535" t="s">
        <v>25</v>
      </c>
      <c r="G3535" t="s">
        <v>152</v>
      </c>
      <c r="H3535" t="s">
        <v>152</v>
      </c>
      <c r="I3535" t="s">
        <v>45</v>
      </c>
      <c r="J3535" t="s">
        <v>46</v>
      </c>
      <c r="K3535" t="s">
        <v>30</v>
      </c>
      <c r="L3535" t="s">
        <v>31</v>
      </c>
      <c r="M3535" t="s">
        <v>140</v>
      </c>
      <c r="N3535">
        <v>895</v>
      </c>
      <c r="O3535">
        <v>4.7013248000000001E-2</v>
      </c>
      <c r="P3535">
        <v>2.7648240000000001E-2</v>
      </c>
      <c r="Q3535" t="str">
        <f t="shared" si="110"/>
        <v>50+</v>
      </c>
      <c r="R3535" t="str">
        <f t="shared" si="111"/>
        <v>[GkIwZrXy1h2]|50+|Female|DIAGNOSED_SUBNAT_Attend.T_1|CY2024Q3</v>
      </c>
    </row>
    <row r="3536" spans="4:18" x14ac:dyDescent="0.2">
      <c r="D3536" t="s">
        <v>23</v>
      </c>
      <c r="E3536" t="s">
        <v>24</v>
      </c>
      <c r="F3536" t="s">
        <v>25</v>
      </c>
      <c r="G3536" t="s">
        <v>152</v>
      </c>
      <c r="H3536" t="s">
        <v>152</v>
      </c>
      <c r="I3536" t="s">
        <v>28</v>
      </c>
      <c r="J3536" t="s">
        <v>29</v>
      </c>
      <c r="K3536" t="s">
        <v>48</v>
      </c>
      <c r="L3536" t="s">
        <v>49</v>
      </c>
      <c r="M3536" t="s">
        <v>140</v>
      </c>
      <c r="N3536">
        <v>2</v>
      </c>
      <c r="O3536">
        <v>5.1453203000000003E-2</v>
      </c>
      <c r="P3536">
        <v>2.7648240000000001E-2</v>
      </c>
      <c r="Q3536" t="str">
        <f t="shared" si="110"/>
        <v>&lt;01</v>
      </c>
      <c r="R3536" t="str">
        <f t="shared" si="111"/>
        <v>[GkIwZrXy1h2]|&lt;01|Male|DIAGNOSED_SUBNAT_Attend.T_1|CY2024Q3</v>
      </c>
    </row>
    <row r="3537" spans="4:18" x14ac:dyDescent="0.2">
      <c r="D3537" t="s">
        <v>23</v>
      </c>
      <c r="E3537" t="s">
        <v>24</v>
      </c>
      <c r="F3537" t="s">
        <v>25</v>
      </c>
      <c r="G3537" t="s">
        <v>152</v>
      </c>
      <c r="H3537" t="s">
        <v>152</v>
      </c>
      <c r="I3537" t="s">
        <v>36</v>
      </c>
      <c r="J3537" t="s">
        <v>37</v>
      </c>
      <c r="K3537" t="s">
        <v>48</v>
      </c>
      <c r="L3537" t="s">
        <v>49</v>
      </c>
      <c r="M3537" t="s">
        <v>140</v>
      </c>
      <c r="N3537">
        <v>63</v>
      </c>
      <c r="O3537">
        <v>5.4167769999999997E-2</v>
      </c>
      <c r="P3537">
        <v>2.7648240000000001E-2</v>
      </c>
      <c r="Q3537" t="str">
        <f t="shared" si="110"/>
        <v>10-14</v>
      </c>
      <c r="R3537" t="str">
        <f t="shared" si="111"/>
        <v>[GkIwZrXy1h2]|10-14|Male|DIAGNOSED_SUBNAT_Attend.T_1|CY2024Q3</v>
      </c>
    </row>
    <row r="3538" spans="4:18" x14ac:dyDescent="0.2">
      <c r="D3538" t="s">
        <v>23</v>
      </c>
      <c r="E3538" t="s">
        <v>24</v>
      </c>
      <c r="F3538" t="s">
        <v>25</v>
      </c>
      <c r="G3538" t="s">
        <v>152</v>
      </c>
      <c r="H3538" t="s">
        <v>152</v>
      </c>
      <c r="I3538" t="s">
        <v>38</v>
      </c>
      <c r="J3538" t="s">
        <v>39</v>
      </c>
      <c r="K3538" t="s">
        <v>48</v>
      </c>
      <c r="L3538" t="s">
        <v>49</v>
      </c>
      <c r="M3538" t="s">
        <v>140</v>
      </c>
      <c r="N3538">
        <v>192</v>
      </c>
      <c r="O3538">
        <v>7.7912931000000005E-2</v>
      </c>
      <c r="P3538">
        <v>2.7648240000000001E-2</v>
      </c>
      <c r="Q3538" t="str">
        <f t="shared" si="110"/>
        <v>15-24</v>
      </c>
      <c r="R3538" t="str">
        <f t="shared" si="111"/>
        <v>[GkIwZrXy1h2]|15-24|Male|DIAGNOSED_SUBNAT_Attend.T_1|CY2024Q3</v>
      </c>
    </row>
    <row r="3539" spans="4:18" x14ac:dyDescent="0.2">
      <c r="D3539" t="s">
        <v>23</v>
      </c>
      <c r="E3539" t="s">
        <v>24</v>
      </c>
      <c r="F3539" t="s">
        <v>25</v>
      </c>
      <c r="G3539" t="s">
        <v>152</v>
      </c>
      <c r="H3539" t="s">
        <v>152</v>
      </c>
      <c r="I3539" t="s">
        <v>41</v>
      </c>
      <c r="J3539" t="s">
        <v>42</v>
      </c>
      <c r="K3539" t="s">
        <v>48</v>
      </c>
      <c r="L3539" t="s">
        <v>49</v>
      </c>
      <c r="M3539" t="s">
        <v>140</v>
      </c>
      <c r="N3539">
        <v>249</v>
      </c>
      <c r="O3539">
        <v>7.2305376000000005E-2</v>
      </c>
      <c r="P3539">
        <v>2.7648240000000001E-2</v>
      </c>
      <c r="Q3539" t="str">
        <f t="shared" si="110"/>
        <v>25-34</v>
      </c>
      <c r="R3539" t="str">
        <f t="shared" si="111"/>
        <v>[GkIwZrXy1h2]|25-34|Male|DIAGNOSED_SUBNAT_Attend.T_1|CY2024Q3</v>
      </c>
    </row>
    <row r="3540" spans="4:18" x14ac:dyDescent="0.2">
      <c r="D3540" t="s">
        <v>23</v>
      </c>
      <c r="E3540" t="s">
        <v>24</v>
      </c>
      <c r="F3540" t="s">
        <v>25</v>
      </c>
      <c r="G3540" t="s">
        <v>152</v>
      </c>
      <c r="H3540" t="s">
        <v>152</v>
      </c>
      <c r="I3540" t="s">
        <v>43</v>
      </c>
      <c r="J3540" t="s">
        <v>44</v>
      </c>
      <c r="K3540" t="s">
        <v>48</v>
      </c>
      <c r="L3540" t="s">
        <v>49</v>
      </c>
      <c r="M3540" t="s">
        <v>140</v>
      </c>
      <c r="N3540">
        <v>988</v>
      </c>
      <c r="O3540">
        <v>4.3900244999999997E-2</v>
      </c>
      <c r="P3540">
        <v>2.7648240000000001E-2</v>
      </c>
      <c r="Q3540" t="str">
        <f t="shared" si="110"/>
        <v>35-49</v>
      </c>
      <c r="R3540" t="str">
        <f t="shared" si="111"/>
        <v>[GkIwZrXy1h2]|35-49|Male|DIAGNOSED_SUBNAT_Attend.T_1|CY2024Q3</v>
      </c>
    </row>
    <row r="3541" spans="4:18" x14ac:dyDescent="0.2">
      <c r="D3541" t="s">
        <v>23</v>
      </c>
      <c r="E3541" t="s">
        <v>24</v>
      </c>
      <c r="F3541" t="s">
        <v>25</v>
      </c>
      <c r="G3541" t="s">
        <v>152</v>
      </c>
      <c r="H3541" t="s">
        <v>152</v>
      </c>
      <c r="I3541" t="s">
        <v>45</v>
      </c>
      <c r="J3541" t="s">
        <v>46</v>
      </c>
      <c r="K3541" t="s">
        <v>48</v>
      </c>
      <c r="L3541" t="s">
        <v>49</v>
      </c>
      <c r="M3541" t="s">
        <v>140</v>
      </c>
      <c r="N3541">
        <v>843</v>
      </c>
      <c r="O3541">
        <v>4.4194163000000002E-2</v>
      </c>
      <c r="P3541">
        <v>2.7648240000000001E-2</v>
      </c>
      <c r="Q3541" t="str">
        <f t="shared" si="110"/>
        <v>50+</v>
      </c>
      <c r="R3541" t="str">
        <f t="shared" si="111"/>
        <v>[GkIwZrXy1h2]|50+|Male|DIAGNOSED_SUBNAT_Attend.T_1|CY2024Q3</v>
      </c>
    </row>
    <row r="3542" spans="4:18" x14ac:dyDescent="0.2">
      <c r="D3542" t="s">
        <v>53</v>
      </c>
      <c r="E3542" t="s">
        <v>54</v>
      </c>
      <c r="F3542" t="s">
        <v>55</v>
      </c>
      <c r="G3542" t="s">
        <v>152</v>
      </c>
      <c r="H3542" t="s">
        <v>152</v>
      </c>
      <c r="I3542" t="s">
        <v>28</v>
      </c>
      <c r="J3542" t="s">
        <v>29</v>
      </c>
      <c r="K3542" t="s">
        <v>30</v>
      </c>
      <c r="L3542" t="s">
        <v>31</v>
      </c>
      <c r="M3542" t="s">
        <v>140</v>
      </c>
      <c r="N3542">
        <v>6</v>
      </c>
      <c r="O3542">
        <v>4.9266925000000003E-2</v>
      </c>
      <c r="P3542">
        <v>1.2732238E-2</v>
      </c>
      <c r="Q3542" t="str">
        <f t="shared" si="110"/>
        <v>&lt;01</v>
      </c>
      <c r="R3542" t="str">
        <f t="shared" si="111"/>
        <v>[cPtvxaZqXIH]|&lt;01|Female|DIAGNOSED_SUBNAT_Attend.T_1|CY2024Q3</v>
      </c>
    </row>
    <row r="3543" spans="4:18" x14ac:dyDescent="0.2">
      <c r="D3543" t="s">
        <v>53</v>
      </c>
      <c r="E3543" t="s">
        <v>54</v>
      </c>
      <c r="F3543" t="s">
        <v>55</v>
      </c>
      <c r="G3543" t="s">
        <v>152</v>
      </c>
      <c r="H3543" t="s">
        <v>152</v>
      </c>
      <c r="I3543" t="s">
        <v>36</v>
      </c>
      <c r="J3543" t="s">
        <v>37</v>
      </c>
      <c r="K3543" t="s">
        <v>30</v>
      </c>
      <c r="L3543" t="s">
        <v>31</v>
      </c>
      <c r="M3543" t="s">
        <v>140</v>
      </c>
      <c r="N3543">
        <v>181</v>
      </c>
      <c r="O3543">
        <v>3.5664499000000002E-2</v>
      </c>
      <c r="P3543">
        <v>1.2732238E-2</v>
      </c>
      <c r="Q3543" t="str">
        <f t="shared" si="110"/>
        <v>10-14</v>
      </c>
      <c r="R3543" t="str">
        <f t="shared" si="111"/>
        <v>[cPtvxaZqXIH]|10-14|Female|DIAGNOSED_SUBNAT_Attend.T_1|CY2024Q3</v>
      </c>
    </row>
    <row r="3544" spans="4:18" x14ac:dyDescent="0.2">
      <c r="D3544" t="s">
        <v>53</v>
      </c>
      <c r="E3544" t="s">
        <v>54</v>
      </c>
      <c r="F3544" t="s">
        <v>55</v>
      </c>
      <c r="G3544" t="s">
        <v>152</v>
      </c>
      <c r="H3544" t="s">
        <v>152</v>
      </c>
      <c r="I3544" t="s">
        <v>38</v>
      </c>
      <c r="J3544" t="s">
        <v>39</v>
      </c>
      <c r="K3544" t="s">
        <v>30</v>
      </c>
      <c r="L3544" t="s">
        <v>31</v>
      </c>
      <c r="M3544" t="s">
        <v>140</v>
      </c>
      <c r="N3544">
        <v>757</v>
      </c>
      <c r="O3544">
        <v>6.1564386999999998E-2</v>
      </c>
      <c r="P3544">
        <v>1.2732238E-2</v>
      </c>
      <c r="Q3544" t="str">
        <f t="shared" si="110"/>
        <v>15-24</v>
      </c>
      <c r="R3544" t="str">
        <f t="shared" si="111"/>
        <v>[cPtvxaZqXIH]|15-24|Female|DIAGNOSED_SUBNAT_Attend.T_1|CY2024Q3</v>
      </c>
    </row>
    <row r="3545" spans="4:18" x14ac:dyDescent="0.2">
      <c r="D3545" t="s">
        <v>53</v>
      </c>
      <c r="E3545" t="s">
        <v>54</v>
      </c>
      <c r="F3545" t="s">
        <v>55</v>
      </c>
      <c r="G3545" t="s">
        <v>152</v>
      </c>
      <c r="H3545" t="s">
        <v>152</v>
      </c>
      <c r="I3545" t="s">
        <v>41</v>
      </c>
      <c r="J3545" t="s">
        <v>42</v>
      </c>
      <c r="K3545" t="s">
        <v>30</v>
      </c>
      <c r="L3545" t="s">
        <v>31</v>
      </c>
      <c r="M3545" t="s">
        <v>140</v>
      </c>
      <c r="N3545">
        <v>1901</v>
      </c>
      <c r="O3545">
        <v>3.7979225999999998E-2</v>
      </c>
      <c r="P3545">
        <v>1.2732238E-2</v>
      </c>
      <c r="Q3545" t="str">
        <f t="shared" si="110"/>
        <v>25-34</v>
      </c>
      <c r="R3545" t="str">
        <f t="shared" si="111"/>
        <v>[cPtvxaZqXIH]|25-34|Female|DIAGNOSED_SUBNAT_Attend.T_1|CY2024Q3</v>
      </c>
    </row>
    <row r="3546" spans="4:18" x14ac:dyDescent="0.2">
      <c r="D3546" t="s">
        <v>53</v>
      </c>
      <c r="E3546" t="s">
        <v>54</v>
      </c>
      <c r="F3546" t="s">
        <v>55</v>
      </c>
      <c r="G3546" t="s">
        <v>152</v>
      </c>
      <c r="H3546" t="s">
        <v>152</v>
      </c>
      <c r="I3546" t="s">
        <v>43</v>
      </c>
      <c r="J3546" t="s">
        <v>44</v>
      </c>
      <c r="K3546" t="s">
        <v>30</v>
      </c>
      <c r="L3546" t="s">
        <v>31</v>
      </c>
      <c r="M3546" t="s">
        <v>140</v>
      </c>
      <c r="N3546">
        <v>4924</v>
      </c>
      <c r="O3546">
        <v>2.2449355000000001E-2</v>
      </c>
      <c r="P3546">
        <v>1.2732238E-2</v>
      </c>
      <c r="Q3546" t="str">
        <f t="shared" si="110"/>
        <v>35-49</v>
      </c>
      <c r="R3546" t="str">
        <f t="shared" si="111"/>
        <v>[cPtvxaZqXIH]|35-49|Female|DIAGNOSED_SUBNAT_Attend.T_1|CY2024Q3</v>
      </c>
    </row>
    <row r="3547" spans="4:18" x14ac:dyDescent="0.2">
      <c r="D3547" t="s">
        <v>53</v>
      </c>
      <c r="E3547" t="s">
        <v>54</v>
      </c>
      <c r="F3547" t="s">
        <v>55</v>
      </c>
      <c r="G3547" t="s">
        <v>152</v>
      </c>
      <c r="H3547" t="s">
        <v>152</v>
      </c>
      <c r="I3547" t="s">
        <v>45</v>
      </c>
      <c r="J3547" t="s">
        <v>46</v>
      </c>
      <c r="K3547" t="s">
        <v>30</v>
      </c>
      <c r="L3547" t="s">
        <v>31</v>
      </c>
      <c r="M3547" t="s">
        <v>140</v>
      </c>
      <c r="N3547">
        <v>2276</v>
      </c>
      <c r="O3547">
        <v>4.0012091E-2</v>
      </c>
      <c r="P3547">
        <v>1.2732238E-2</v>
      </c>
      <c r="Q3547" t="str">
        <f t="shared" si="110"/>
        <v>50+</v>
      </c>
      <c r="R3547" t="str">
        <f t="shared" si="111"/>
        <v>[cPtvxaZqXIH]|50+|Female|DIAGNOSED_SUBNAT_Attend.T_1|CY2024Q3</v>
      </c>
    </row>
    <row r="3548" spans="4:18" x14ac:dyDescent="0.2">
      <c r="D3548" t="s">
        <v>53</v>
      </c>
      <c r="E3548" t="s">
        <v>54</v>
      </c>
      <c r="F3548" t="s">
        <v>55</v>
      </c>
      <c r="G3548" t="s">
        <v>152</v>
      </c>
      <c r="H3548" t="s">
        <v>152</v>
      </c>
      <c r="I3548" t="s">
        <v>28</v>
      </c>
      <c r="J3548" t="s">
        <v>29</v>
      </c>
      <c r="K3548" t="s">
        <v>48</v>
      </c>
      <c r="L3548" t="s">
        <v>49</v>
      </c>
      <c r="M3548" t="s">
        <v>140</v>
      </c>
      <c r="N3548">
        <v>6</v>
      </c>
      <c r="O3548">
        <v>3.2102357999999998E-2</v>
      </c>
      <c r="P3548">
        <v>1.2732238E-2</v>
      </c>
      <c r="Q3548" t="str">
        <f t="shared" si="110"/>
        <v>&lt;01</v>
      </c>
      <c r="R3548" t="str">
        <f t="shared" si="111"/>
        <v>[cPtvxaZqXIH]|&lt;01|Male|DIAGNOSED_SUBNAT_Attend.T_1|CY2024Q3</v>
      </c>
    </row>
    <row r="3549" spans="4:18" x14ac:dyDescent="0.2">
      <c r="D3549" t="s">
        <v>53</v>
      </c>
      <c r="E3549" t="s">
        <v>54</v>
      </c>
      <c r="F3549" t="s">
        <v>55</v>
      </c>
      <c r="G3549" t="s">
        <v>152</v>
      </c>
      <c r="H3549" t="s">
        <v>152</v>
      </c>
      <c r="I3549" t="s">
        <v>36</v>
      </c>
      <c r="J3549" t="s">
        <v>37</v>
      </c>
      <c r="K3549" t="s">
        <v>48</v>
      </c>
      <c r="L3549" t="s">
        <v>49</v>
      </c>
      <c r="M3549" t="s">
        <v>140</v>
      </c>
      <c r="N3549">
        <v>175</v>
      </c>
      <c r="O3549">
        <v>3.7619290999999999E-2</v>
      </c>
      <c r="P3549">
        <v>1.2732238E-2</v>
      </c>
      <c r="Q3549" t="str">
        <f t="shared" si="110"/>
        <v>10-14</v>
      </c>
      <c r="R3549" t="str">
        <f t="shared" si="111"/>
        <v>[cPtvxaZqXIH]|10-14|Male|DIAGNOSED_SUBNAT_Attend.T_1|CY2024Q3</v>
      </c>
    </row>
    <row r="3550" spans="4:18" x14ac:dyDescent="0.2">
      <c r="D3550" t="s">
        <v>53</v>
      </c>
      <c r="E3550" t="s">
        <v>54</v>
      </c>
      <c r="F3550" t="s">
        <v>55</v>
      </c>
      <c r="G3550" t="s">
        <v>152</v>
      </c>
      <c r="H3550" t="s">
        <v>152</v>
      </c>
      <c r="I3550" t="s">
        <v>38</v>
      </c>
      <c r="J3550" t="s">
        <v>39</v>
      </c>
      <c r="K3550" t="s">
        <v>48</v>
      </c>
      <c r="L3550" t="s">
        <v>49</v>
      </c>
      <c r="M3550" t="s">
        <v>140</v>
      </c>
      <c r="N3550">
        <v>524</v>
      </c>
      <c r="O3550">
        <v>7.1884921000000004E-2</v>
      </c>
      <c r="P3550">
        <v>1.2732238E-2</v>
      </c>
      <c r="Q3550" t="str">
        <f t="shared" si="110"/>
        <v>15-24</v>
      </c>
      <c r="R3550" t="str">
        <f t="shared" si="111"/>
        <v>[cPtvxaZqXIH]|15-24|Male|DIAGNOSED_SUBNAT_Attend.T_1|CY2024Q3</v>
      </c>
    </row>
    <row r="3551" spans="4:18" x14ac:dyDescent="0.2">
      <c r="D3551" t="s">
        <v>53</v>
      </c>
      <c r="E3551" t="s">
        <v>54</v>
      </c>
      <c r="F3551" t="s">
        <v>55</v>
      </c>
      <c r="G3551" t="s">
        <v>152</v>
      </c>
      <c r="H3551" t="s">
        <v>152</v>
      </c>
      <c r="I3551" t="s">
        <v>41</v>
      </c>
      <c r="J3551" t="s">
        <v>42</v>
      </c>
      <c r="K3551" t="s">
        <v>48</v>
      </c>
      <c r="L3551" t="s">
        <v>49</v>
      </c>
      <c r="M3551" t="s">
        <v>140</v>
      </c>
      <c r="N3551">
        <v>654</v>
      </c>
      <c r="O3551">
        <v>6.6410712999999996E-2</v>
      </c>
      <c r="P3551">
        <v>1.2732238E-2</v>
      </c>
      <c r="Q3551" t="str">
        <f t="shared" si="110"/>
        <v>25-34</v>
      </c>
      <c r="R3551" t="str">
        <f t="shared" si="111"/>
        <v>[cPtvxaZqXIH]|25-34|Male|DIAGNOSED_SUBNAT_Attend.T_1|CY2024Q3</v>
      </c>
    </row>
    <row r="3552" spans="4:18" x14ac:dyDescent="0.2">
      <c r="D3552" t="s">
        <v>53</v>
      </c>
      <c r="E3552" t="s">
        <v>54</v>
      </c>
      <c r="F3552" t="s">
        <v>55</v>
      </c>
      <c r="G3552" t="s">
        <v>152</v>
      </c>
      <c r="H3552" t="s">
        <v>152</v>
      </c>
      <c r="I3552" t="s">
        <v>43</v>
      </c>
      <c r="J3552" t="s">
        <v>44</v>
      </c>
      <c r="K3552" t="s">
        <v>48</v>
      </c>
      <c r="L3552" t="s">
        <v>49</v>
      </c>
      <c r="M3552" t="s">
        <v>140</v>
      </c>
      <c r="N3552">
        <v>2613</v>
      </c>
      <c r="O3552">
        <v>3.2587482000000001E-2</v>
      </c>
      <c r="P3552">
        <v>1.2732238E-2</v>
      </c>
      <c r="Q3552" t="str">
        <f t="shared" si="110"/>
        <v>35-49</v>
      </c>
      <c r="R3552" t="str">
        <f t="shared" si="111"/>
        <v>[cPtvxaZqXIH]|35-49|Male|DIAGNOSED_SUBNAT_Attend.T_1|CY2024Q3</v>
      </c>
    </row>
    <row r="3553" spans="4:18" x14ac:dyDescent="0.2">
      <c r="D3553" t="s">
        <v>53</v>
      </c>
      <c r="E3553" t="s">
        <v>54</v>
      </c>
      <c r="F3553" t="s">
        <v>55</v>
      </c>
      <c r="G3553" t="s">
        <v>152</v>
      </c>
      <c r="H3553" t="s">
        <v>152</v>
      </c>
      <c r="I3553" t="s">
        <v>45</v>
      </c>
      <c r="J3553" t="s">
        <v>46</v>
      </c>
      <c r="K3553" t="s">
        <v>48</v>
      </c>
      <c r="L3553" t="s">
        <v>49</v>
      </c>
      <c r="M3553" t="s">
        <v>140</v>
      </c>
      <c r="N3553">
        <v>1905</v>
      </c>
      <c r="O3553">
        <v>3.7936138000000001E-2</v>
      </c>
      <c r="P3553">
        <v>1.2732238E-2</v>
      </c>
      <c r="Q3553" t="str">
        <f t="shared" si="110"/>
        <v>50+</v>
      </c>
      <c r="R3553" t="str">
        <f t="shared" si="111"/>
        <v>[cPtvxaZqXIH]|50+|Male|DIAGNOSED_SUBNAT_Attend.T_1|CY2024Q3</v>
      </c>
    </row>
    <row r="3554" spans="4:18" x14ac:dyDescent="0.2">
      <c r="D3554" t="s">
        <v>60</v>
      </c>
      <c r="E3554" t="s">
        <v>61</v>
      </c>
      <c r="F3554" t="s">
        <v>62</v>
      </c>
      <c r="G3554" t="s">
        <v>152</v>
      </c>
      <c r="H3554" t="s">
        <v>152</v>
      </c>
      <c r="I3554" t="s">
        <v>28</v>
      </c>
      <c r="J3554" t="s">
        <v>29</v>
      </c>
      <c r="K3554" t="s">
        <v>30</v>
      </c>
      <c r="L3554" t="s">
        <v>31</v>
      </c>
      <c r="M3554" t="s">
        <v>140</v>
      </c>
      <c r="N3554">
        <v>4</v>
      </c>
      <c r="O3554">
        <v>5.3474844000000001E-2</v>
      </c>
      <c r="P3554">
        <v>2.1353838E-2</v>
      </c>
      <c r="Q3554" t="str">
        <f t="shared" si="110"/>
        <v>&lt;01</v>
      </c>
      <c r="R3554" t="str">
        <f t="shared" si="111"/>
        <v>[E7zpfyBt7Tw]|&lt;01|Female|DIAGNOSED_SUBNAT_Attend.T_1|CY2024Q3</v>
      </c>
    </row>
    <row r="3555" spans="4:18" x14ac:dyDescent="0.2">
      <c r="D3555" t="s">
        <v>60</v>
      </c>
      <c r="E3555" t="s">
        <v>61</v>
      </c>
      <c r="F3555" t="s">
        <v>62</v>
      </c>
      <c r="G3555" t="s">
        <v>152</v>
      </c>
      <c r="H3555" t="s">
        <v>152</v>
      </c>
      <c r="I3555" t="s">
        <v>36</v>
      </c>
      <c r="J3555" t="s">
        <v>37</v>
      </c>
      <c r="K3555" t="s">
        <v>30</v>
      </c>
      <c r="L3555" t="s">
        <v>31</v>
      </c>
      <c r="M3555" t="s">
        <v>140</v>
      </c>
      <c r="N3555">
        <v>115</v>
      </c>
      <c r="O3555">
        <v>4.4251493000000003E-2</v>
      </c>
      <c r="P3555">
        <v>2.1353838E-2</v>
      </c>
      <c r="Q3555" t="str">
        <f t="shared" si="110"/>
        <v>10-14</v>
      </c>
      <c r="R3555" t="str">
        <f t="shared" si="111"/>
        <v>[E7zpfyBt7Tw]|10-14|Female|DIAGNOSED_SUBNAT_Attend.T_1|CY2024Q3</v>
      </c>
    </row>
    <row r="3556" spans="4:18" x14ac:dyDescent="0.2">
      <c r="D3556" t="s">
        <v>60</v>
      </c>
      <c r="E3556" t="s">
        <v>61</v>
      </c>
      <c r="F3556" t="s">
        <v>62</v>
      </c>
      <c r="G3556" t="s">
        <v>152</v>
      </c>
      <c r="H3556" t="s">
        <v>152</v>
      </c>
      <c r="I3556" t="s">
        <v>38</v>
      </c>
      <c r="J3556" t="s">
        <v>39</v>
      </c>
      <c r="K3556" t="s">
        <v>30</v>
      </c>
      <c r="L3556" t="s">
        <v>31</v>
      </c>
      <c r="M3556" t="s">
        <v>140</v>
      </c>
      <c r="N3556">
        <v>550</v>
      </c>
      <c r="O3556">
        <v>6.0840432999999999E-2</v>
      </c>
      <c r="P3556">
        <v>2.1353838E-2</v>
      </c>
      <c r="Q3556" t="str">
        <f t="shared" si="110"/>
        <v>15-24</v>
      </c>
      <c r="R3556" t="str">
        <f t="shared" si="111"/>
        <v>[E7zpfyBt7Tw]|15-24|Female|DIAGNOSED_SUBNAT_Attend.T_1|CY2024Q3</v>
      </c>
    </row>
    <row r="3557" spans="4:18" x14ac:dyDescent="0.2">
      <c r="D3557" t="s">
        <v>60</v>
      </c>
      <c r="E3557" t="s">
        <v>61</v>
      </c>
      <c r="F3557" t="s">
        <v>62</v>
      </c>
      <c r="G3557" t="s">
        <v>152</v>
      </c>
      <c r="H3557" t="s">
        <v>152</v>
      </c>
      <c r="I3557" t="s">
        <v>41</v>
      </c>
      <c r="J3557" t="s">
        <v>42</v>
      </c>
      <c r="K3557" t="s">
        <v>30</v>
      </c>
      <c r="L3557" t="s">
        <v>31</v>
      </c>
      <c r="M3557" t="s">
        <v>140</v>
      </c>
      <c r="N3557">
        <v>1291</v>
      </c>
      <c r="O3557">
        <v>4.1597375999999998E-2</v>
      </c>
      <c r="P3557">
        <v>2.1353838E-2</v>
      </c>
      <c r="Q3557" t="str">
        <f t="shared" si="110"/>
        <v>25-34</v>
      </c>
      <c r="R3557" t="str">
        <f t="shared" si="111"/>
        <v>[E7zpfyBt7Tw]|25-34|Female|DIAGNOSED_SUBNAT_Attend.T_1|CY2024Q3</v>
      </c>
    </row>
    <row r="3558" spans="4:18" x14ac:dyDescent="0.2">
      <c r="D3558" t="s">
        <v>60</v>
      </c>
      <c r="E3558" t="s">
        <v>61</v>
      </c>
      <c r="F3558" t="s">
        <v>62</v>
      </c>
      <c r="G3558" t="s">
        <v>152</v>
      </c>
      <c r="H3558" t="s">
        <v>152</v>
      </c>
      <c r="I3558" t="s">
        <v>43</v>
      </c>
      <c r="J3558" t="s">
        <v>44</v>
      </c>
      <c r="K3558" t="s">
        <v>30</v>
      </c>
      <c r="L3558" t="s">
        <v>31</v>
      </c>
      <c r="M3558" t="s">
        <v>140</v>
      </c>
      <c r="N3558">
        <v>3337</v>
      </c>
      <c r="O3558">
        <v>3.0586888999999999E-2</v>
      </c>
      <c r="P3558">
        <v>2.1353838E-2</v>
      </c>
      <c r="Q3558" t="str">
        <f t="shared" si="110"/>
        <v>35-49</v>
      </c>
      <c r="R3558" t="str">
        <f t="shared" si="111"/>
        <v>[E7zpfyBt7Tw]|35-49|Female|DIAGNOSED_SUBNAT_Attend.T_1|CY2024Q3</v>
      </c>
    </row>
    <row r="3559" spans="4:18" x14ac:dyDescent="0.2">
      <c r="D3559" t="s">
        <v>60</v>
      </c>
      <c r="E3559" t="s">
        <v>61</v>
      </c>
      <c r="F3559" t="s">
        <v>62</v>
      </c>
      <c r="G3559" t="s">
        <v>152</v>
      </c>
      <c r="H3559" t="s">
        <v>152</v>
      </c>
      <c r="I3559" t="s">
        <v>45</v>
      </c>
      <c r="J3559" t="s">
        <v>46</v>
      </c>
      <c r="K3559" t="s">
        <v>30</v>
      </c>
      <c r="L3559" t="s">
        <v>31</v>
      </c>
      <c r="M3559" t="s">
        <v>140</v>
      </c>
      <c r="N3559">
        <v>1774</v>
      </c>
      <c r="O3559">
        <v>4.2085785000000001E-2</v>
      </c>
      <c r="P3559">
        <v>2.1353838E-2</v>
      </c>
      <c r="Q3559" t="str">
        <f t="shared" si="110"/>
        <v>50+</v>
      </c>
      <c r="R3559" t="str">
        <f t="shared" si="111"/>
        <v>[E7zpfyBt7Tw]|50+|Female|DIAGNOSED_SUBNAT_Attend.T_1|CY2024Q3</v>
      </c>
    </row>
    <row r="3560" spans="4:18" x14ac:dyDescent="0.2">
      <c r="D3560" t="s">
        <v>60</v>
      </c>
      <c r="E3560" t="s">
        <v>61</v>
      </c>
      <c r="F3560" t="s">
        <v>62</v>
      </c>
      <c r="G3560" t="s">
        <v>152</v>
      </c>
      <c r="H3560" t="s">
        <v>152</v>
      </c>
      <c r="I3560" t="s">
        <v>28</v>
      </c>
      <c r="J3560" t="s">
        <v>29</v>
      </c>
      <c r="K3560" t="s">
        <v>48</v>
      </c>
      <c r="L3560" t="s">
        <v>49</v>
      </c>
      <c r="M3560" t="s">
        <v>140</v>
      </c>
      <c r="N3560">
        <v>4</v>
      </c>
      <c r="O3560">
        <v>4.0474435000000003E-2</v>
      </c>
      <c r="P3560">
        <v>2.1353838E-2</v>
      </c>
      <c r="Q3560" t="str">
        <f t="shared" si="110"/>
        <v>&lt;01</v>
      </c>
      <c r="R3560" t="str">
        <f t="shared" si="111"/>
        <v>[E7zpfyBt7Tw]|&lt;01|Male|DIAGNOSED_SUBNAT_Attend.T_1|CY2024Q3</v>
      </c>
    </row>
    <row r="3561" spans="4:18" x14ac:dyDescent="0.2">
      <c r="D3561" t="s">
        <v>60</v>
      </c>
      <c r="E3561" t="s">
        <v>61</v>
      </c>
      <c r="F3561" t="s">
        <v>62</v>
      </c>
      <c r="G3561" t="s">
        <v>152</v>
      </c>
      <c r="H3561" t="s">
        <v>152</v>
      </c>
      <c r="I3561" t="s">
        <v>36</v>
      </c>
      <c r="J3561" t="s">
        <v>37</v>
      </c>
      <c r="K3561" t="s">
        <v>48</v>
      </c>
      <c r="L3561" t="s">
        <v>49</v>
      </c>
      <c r="M3561" t="s">
        <v>140</v>
      </c>
      <c r="N3561">
        <v>119</v>
      </c>
      <c r="O3561">
        <v>3.9198469E-2</v>
      </c>
      <c r="P3561">
        <v>2.1353838E-2</v>
      </c>
      <c r="Q3561" t="str">
        <f t="shared" si="110"/>
        <v>10-14</v>
      </c>
      <c r="R3561" t="str">
        <f t="shared" si="111"/>
        <v>[E7zpfyBt7Tw]|10-14|Male|DIAGNOSED_SUBNAT_Attend.T_1|CY2024Q3</v>
      </c>
    </row>
    <row r="3562" spans="4:18" x14ac:dyDescent="0.2">
      <c r="D3562" t="s">
        <v>60</v>
      </c>
      <c r="E3562" t="s">
        <v>61</v>
      </c>
      <c r="F3562" t="s">
        <v>62</v>
      </c>
      <c r="G3562" t="s">
        <v>152</v>
      </c>
      <c r="H3562" t="s">
        <v>152</v>
      </c>
      <c r="I3562" t="s">
        <v>38</v>
      </c>
      <c r="J3562" t="s">
        <v>39</v>
      </c>
      <c r="K3562" t="s">
        <v>48</v>
      </c>
      <c r="L3562" t="s">
        <v>49</v>
      </c>
      <c r="M3562" t="s">
        <v>140</v>
      </c>
      <c r="N3562">
        <v>421</v>
      </c>
      <c r="O3562">
        <v>7.4489909000000007E-2</v>
      </c>
      <c r="P3562">
        <v>2.1353838E-2</v>
      </c>
      <c r="Q3562" t="str">
        <f t="shared" si="110"/>
        <v>15-24</v>
      </c>
      <c r="R3562" t="str">
        <f t="shared" si="111"/>
        <v>[E7zpfyBt7Tw]|15-24|Male|DIAGNOSED_SUBNAT_Attend.T_1|CY2024Q3</v>
      </c>
    </row>
    <row r="3563" spans="4:18" x14ac:dyDescent="0.2">
      <c r="D3563" t="s">
        <v>60</v>
      </c>
      <c r="E3563" t="s">
        <v>61</v>
      </c>
      <c r="F3563" t="s">
        <v>62</v>
      </c>
      <c r="G3563" t="s">
        <v>152</v>
      </c>
      <c r="H3563" t="s">
        <v>152</v>
      </c>
      <c r="I3563" t="s">
        <v>41</v>
      </c>
      <c r="J3563" t="s">
        <v>42</v>
      </c>
      <c r="K3563" t="s">
        <v>48</v>
      </c>
      <c r="L3563" t="s">
        <v>49</v>
      </c>
      <c r="M3563" t="s">
        <v>140</v>
      </c>
      <c r="N3563">
        <v>517</v>
      </c>
      <c r="O3563">
        <v>6.8506321999999994E-2</v>
      </c>
      <c r="P3563">
        <v>2.1353838E-2</v>
      </c>
      <c r="Q3563" t="str">
        <f t="shared" si="110"/>
        <v>25-34</v>
      </c>
      <c r="R3563" t="str">
        <f t="shared" si="111"/>
        <v>[E7zpfyBt7Tw]|25-34|Male|DIAGNOSED_SUBNAT_Attend.T_1|CY2024Q3</v>
      </c>
    </row>
    <row r="3564" spans="4:18" x14ac:dyDescent="0.2">
      <c r="D3564" t="s">
        <v>60</v>
      </c>
      <c r="E3564" t="s">
        <v>61</v>
      </c>
      <c r="F3564" t="s">
        <v>62</v>
      </c>
      <c r="G3564" t="s">
        <v>152</v>
      </c>
      <c r="H3564" t="s">
        <v>152</v>
      </c>
      <c r="I3564" t="s">
        <v>43</v>
      </c>
      <c r="J3564" t="s">
        <v>44</v>
      </c>
      <c r="K3564" t="s">
        <v>48</v>
      </c>
      <c r="L3564" t="s">
        <v>49</v>
      </c>
      <c r="M3564" t="s">
        <v>140</v>
      </c>
      <c r="N3564">
        <v>1986</v>
      </c>
      <c r="O3564">
        <v>3.8119508000000003E-2</v>
      </c>
      <c r="P3564">
        <v>2.1353838E-2</v>
      </c>
      <c r="Q3564" t="str">
        <f t="shared" si="110"/>
        <v>35-49</v>
      </c>
      <c r="R3564" t="str">
        <f t="shared" si="111"/>
        <v>[E7zpfyBt7Tw]|35-49|Male|DIAGNOSED_SUBNAT_Attend.T_1|CY2024Q3</v>
      </c>
    </row>
    <row r="3565" spans="4:18" x14ac:dyDescent="0.2">
      <c r="D3565" t="s">
        <v>60</v>
      </c>
      <c r="E3565" t="s">
        <v>61</v>
      </c>
      <c r="F3565" t="s">
        <v>62</v>
      </c>
      <c r="G3565" t="s">
        <v>152</v>
      </c>
      <c r="H3565" t="s">
        <v>152</v>
      </c>
      <c r="I3565" t="s">
        <v>45</v>
      </c>
      <c r="J3565" t="s">
        <v>46</v>
      </c>
      <c r="K3565" t="s">
        <v>48</v>
      </c>
      <c r="L3565" t="s">
        <v>49</v>
      </c>
      <c r="M3565" t="s">
        <v>140</v>
      </c>
      <c r="N3565">
        <v>1629</v>
      </c>
      <c r="O3565">
        <v>4.0824577000000001E-2</v>
      </c>
      <c r="P3565">
        <v>2.1353838E-2</v>
      </c>
      <c r="Q3565" t="str">
        <f t="shared" si="110"/>
        <v>50+</v>
      </c>
      <c r="R3565" t="str">
        <f t="shared" si="111"/>
        <v>[E7zpfyBt7Tw]|50+|Male|DIAGNOSED_SUBNAT_Attend.T_1|CY2024Q3</v>
      </c>
    </row>
    <row r="3566" spans="4:18" x14ac:dyDescent="0.2">
      <c r="D3566" t="s">
        <v>63</v>
      </c>
      <c r="E3566" t="s">
        <v>64</v>
      </c>
      <c r="F3566" t="s">
        <v>65</v>
      </c>
      <c r="G3566" t="s">
        <v>152</v>
      </c>
      <c r="H3566" t="s">
        <v>152</v>
      </c>
      <c r="I3566" t="s">
        <v>28</v>
      </c>
      <c r="J3566" t="s">
        <v>29</v>
      </c>
      <c r="K3566" t="s">
        <v>30</v>
      </c>
      <c r="L3566" t="s">
        <v>31</v>
      </c>
      <c r="M3566" t="s">
        <v>140</v>
      </c>
      <c r="N3566">
        <v>3</v>
      </c>
      <c r="O3566">
        <v>5.5312357999999999E-2</v>
      </c>
      <c r="P3566">
        <v>1.9511223000000001E-2</v>
      </c>
      <c r="Q3566" t="str">
        <f t="shared" si="110"/>
        <v>&lt;01</v>
      </c>
      <c r="R3566" t="str">
        <f t="shared" si="111"/>
        <v>[lPTyjLi4w3d]|&lt;01|Female|DIAGNOSED_SUBNAT_Attend.T_1|CY2024Q3</v>
      </c>
    </row>
    <row r="3567" spans="4:18" x14ac:dyDescent="0.2">
      <c r="D3567" t="s">
        <v>63</v>
      </c>
      <c r="E3567" t="s">
        <v>64</v>
      </c>
      <c r="F3567" t="s">
        <v>65</v>
      </c>
      <c r="G3567" t="s">
        <v>152</v>
      </c>
      <c r="H3567" t="s">
        <v>152</v>
      </c>
      <c r="I3567" t="s">
        <v>36</v>
      </c>
      <c r="J3567" t="s">
        <v>37</v>
      </c>
      <c r="K3567" t="s">
        <v>30</v>
      </c>
      <c r="L3567" t="s">
        <v>31</v>
      </c>
      <c r="M3567" t="s">
        <v>140</v>
      </c>
      <c r="N3567">
        <v>93</v>
      </c>
      <c r="O3567">
        <v>4.5639894E-2</v>
      </c>
      <c r="P3567">
        <v>1.9511223000000001E-2</v>
      </c>
      <c r="Q3567" t="str">
        <f t="shared" si="110"/>
        <v>10-14</v>
      </c>
      <c r="R3567" t="str">
        <f t="shared" si="111"/>
        <v>[lPTyjLi4w3d]|10-14|Female|DIAGNOSED_SUBNAT_Attend.T_1|CY2024Q3</v>
      </c>
    </row>
    <row r="3568" spans="4:18" x14ac:dyDescent="0.2">
      <c r="D3568" t="s">
        <v>63</v>
      </c>
      <c r="E3568" t="s">
        <v>64</v>
      </c>
      <c r="F3568" t="s">
        <v>65</v>
      </c>
      <c r="G3568" t="s">
        <v>152</v>
      </c>
      <c r="H3568" t="s">
        <v>152</v>
      </c>
      <c r="I3568" t="s">
        <v>38</v>
      </c>
      <c r="J3568" t="s">
        <v>39</v>
      </c>
      <c r="K3568" t="s">
        <v>30</v>
      </c>
      <c r="L3568" t="s">
        <v>31</v>
      </c>
      <c r="M3568" t="s">
        <v>140</v>
      </c>
      <c r="N3568">
        <v>392</v>
      </c>
      <c r="O3568">
        <v>6.2638384000000005E-2</v>
      </c>
      <c r="P3568">
        <v>1.9511223000000001E-2</v>
      </c>
      <c r="Q3568" t="str">
        <f t="shared" si="110"/>
        <v>15-24</v>
      </c>
      <c r="R3568" t="str">
        <f t="shared" si="111"/>
        <v>[lPTyjLi4w3d]|15-24|Female|DIAGNOSED_SUBNAT_Attend.T_1|CY2024Q3</v>
      </c>
    </row>
    <row r="3569" spans="4:18" x14ac:dyDescent="0.2">
      <c r="D3569" t="s">
        <v>63</v>
      </c>
      <c r="E3569" t="s">
        <v>64</v>
      </c>
      <c r="F3569" t="s">
        <v>65</v>
      </c>
      <c r="G3569" t="s">
        <v>152</v>
      </c>
      <c r="H3569" t="s">
        <v>152</v>
      </c>
      <c r="I3569" t="s">
        <v>41</v>
      </c>
      <c r="J3569" t="s">
        <v>42</v>
      </c>
      <c r="K3569" t="s">
        <v>30</v>
      </c>
      <c r="L3569" t="s">
        <v>31</v>
      </c>
      <c r="M3569" t="s">
        <v>140</v>
      </c>
      <c r="N3569">
        <v>987</v>
      </c>
      <c r="O3569">
        <v>4.1422319999999999E-2</v>
      </c>
      <c r="P3569">
        <v>1.9511223000000001E-2</v>
      </c>
      <c r="Q3569" t="str">
        <f t="shared" si="110"/>
        <v>25-34</v>
      </c>
      <c r="R3569" t="str">
        <f t="shared" si="111"/>
        <v>[lPTyjLi4w3d]|25-34|Female|DIAGNOSED_SUBNAT_Attend.T_1|CY2024Q3</v>
      </c>
    </row>
    <row r="3570" spans="4:18" x14ac:dyDescent="0.2">
      <c r="D3570" t="s">
        <v>63</v>
      </c>
      <c r="E3570" t="s">
        <v>64</v>
      </c>
      <c r="F3570" t="s">
        <v>65</v>
      </c>
      <c r="G3570" t="s">
        <v>152</v>
      </c>
      <c r="H3570" t="s">
        <v>152</v>
      </c>
      <c r="I3570" t="s">
        <v>43</v>
      </c>
      <c r="J3570" t="s">
        <v>44</v>
      </c>
      <c r="K3570" t="s">
        <v>30</v>
      </c>
      <c r="L3570" t="s">
        <v>31</v>
      </c>
      <c r="M3570" t="s">
        <v>140</v>
      </c>
      <c r="N3570">
        <v>2649</v>
      </c>
      <c r="O3570">
        <v>2.8134109000000001E-2</v>
      </c>
      <c r="P3570">
        <v>1.9511223000000001E-2</v>
      </c>
      <c r="Q3570" t="str">
        <f t="shared" si="110"/>
        <v>35-49</v>
      </c>
      <c r="R3570" t="str">
        <f t="shared" si="111"/>
        <v>[lPTyjLi4w3d]|35-49|Female|DIAGNOSED_SUBNAT_Attend.T_1|CY2024Q3</v>
      </c>
    </row>
    <row r="3571" spans="4:18" x14ac:dyDescent="0.2">
      <c r="D3571" t="s">
        <v>63</v>
      </c>
      <c r="E3571" t="s">
        <v>64</v>
      </c>
      <c r="F3571" t="s">
        <v>65</v>
      </c>
      <c r="G3571" t="s">
        <v>152</v>
      </c>
      <c r="H3571" t="s">
        <v>152</v>
      </c>
      <c r="I3571" t="s">
        <v>45</v>
      </c>
      <c r="J3571" t="s">
        <v>46</v>
      </c>
      <c r="K3571" t="s">
        <v>30</v>
      </c>
      <c r="L3571" t="s">
        <v>31</v>
      </c>
      <c r="M3571" t="s">
        <v>140</v>
      </c>
      <c r="N3571">
        <v>1278</v>
      </c>
      <c r="O3571">
        <v>4.3324056E-2</v>
      </c>
      <c r="P3571">
        <v>1.9511223000000001E-2</v>
      </c>
      <c r="Q3571" t="str">
        <f t="shared" si="110"/>
        <v>50+</v>
      </c>
      <c r="R3571" t="str">
        <f t="shared" si="111"/>
        <v>[lPTyjLi4w3d]|50+|Female|DIAGNOSED_SUBNAT_Attend.T_1|CY2024Q3</v>
      </c>
    </row>
    <row r="3572" spans="4:18" x14ac:dyDescent="0.2">
      <c r="D3572" t="s">
        <v>63</v>
      </c>
      <c r="E3572" t="s">
        <v>64</v>
      </c>
      <c r="F3572" t="s">
        <v>65</v>
      </c>
      <c r="G3572" t="s">
        <v>152</v>
      </c>
      <c r="H3572" t="s">
        <v>152</v>
      </c>
      <c r="I3572" t="s">
        <v>28</v>
      </c>
      <c r="J3572" t="s">
        <v>29</v>
      </c>
      <c r="K3572" t="s">
        <v>48</v>
      </c>
      <c r="L3572" t="s">
        <v>49</v>
      </c>
      <c r="M3572" t="s">
        <v>140</v>
      </c>
      <c r="N3572">
        <v>3</v>
      </c>
      <c r="O3572">
        <v>3.9885667999999999E-2</v>
      </c>
      <c r="P3572">
        <v>1.9511223000000001E-2</v>
      </c>
      <c r="Q3572" t="str">
        <f t="shared" si="110"/>
        <v>&lt;01</v>
      </c>
      <c r="R3572" t="str">
        <f t="shared" si="111"/>
        <v>[lPTyjLi4w3d]|&lt;01|Male|DIAGNOSED_SUBNAT_Attend.T_1|CY2024Q3</v>
      </c>
    </row>
    <row r="3573" spans="4:18" x14ac:dyDescent="0.2">
      <c r="D3573" t="s">
        <v>63</v>
      </c>
      <c r="E3573" t="s">
        <v>64</v>
      </c>
      <c r="F3573" t="s">
        <v>65</v>
      </c>
      <c r="G3573" t="s">
        <v>152</v>
      </c>
      <c r="H3573" t="s">
        <v>152</v>
      </c>
      <c r="I3573" t="s">
        <v>36</v>
      </c>
      <c r="J3573" t="s">
        <v>37</v>
      </c>
      <c r="K3573" t="s">
        <v>48</v>
      </c>
      <c r="L3573" t="s">
        <v>49</v>
      </c>
      <c r="M3573" t="s">
        <v>140</v>
      </c>
      <c r="N3573">
        <v>93</v>
      </c>
      <c r="O3573">
        <v>3.9866244000000002E-2</v>
      </c>
      <c r="P3573">
        <v>1.9511223000000001E-2</v>
      </c>
      <c r="Q3573" t="str">
        <f t="shared" si="110"/>
        <v>10-14</v>
      </c>
      <c r="R3573" t="str">
        <f t="shared" si="111"/>
        <v>[lPTyjLi4w3d]|10-14|Male|DIAGNOSED_SUBNAT_Attend.T_1|CY2024Q3</v>
      </c>
    </row>
    <row r="3574" spans="4:18" x14ac:dyDescent="0.2">
      <c r="D3574" t="s">
        <v>63</v>
      </c>
      <c r="E3574" t="s">
        <v>64</v>
      </c>
      <c r="F3574" t="s">
        <v>65</v>
      </c>
      <c r="G3574" t="s">
        <v>152</v>
      </c>
      <c r="H3574" t="s">
        <v>152</v>
      </c>
      <c r="I3574" t="s">
        <v>38</v>
      </c>
      <c r="J3574" t="s">
        <v>39</v>
      </c>
      <c r="K3574" t="s">
        <v>48</v>
      </c>
      <c r="L3574" t="s">
        <v>49</v>
      </c>
      <c r="M3574" t="s">
        <v>140</v>
      </c>
      <c r="N3574">
        <v>293</v>
      </c>
      <c r="O3574">
        <v>7.4266298999999994E-2</v>
      </c>
      <c r="P3574">
        <v>1.9511223000000001E-2</v>
      </c>
      <c r="Q3574" t="str">
        <f t="shared" si="110"/>
        <v>15-24</v>
      </c>
      <c r="R3574" t="str">
        <f t="shared" si="111"/>
        <v>[lPTyjLi4w3d]|15-24|Male|DIAGNOSED_SUBNAT_Attend.T_1|CY2024Q3</v>
      </c>
    </row>
    <row r="3575" spans="4:18" x14ac:dyDescent="0.2">
      <c r="D3575" t="s">
        <v>63</v>
      </c>
      <c r="E3575" t="s">
        <v>64</v>
      </c>
      <c r="F3575" t="s">
        <v>65</v>
      </c>
      <c r="G3575" t="s">
        <v>152</v>
      </c>
      <c r="H3575" t="s">
        <v>152</v>
      </c>
      <c r="I3575" t="s">
        <v>41</v>
      </c>
      <c r="J3575" t="s">
        <v>42</v>
      </c>
      <c r="K3575" t="s">
        <v>48</v>
      </c>
      <c r="L3575" t="s">
        <v>49</v>
      </c>
      <c r="M3575" t="s">
        <v>140</v>
      </c>
      <c r="N3575">
        <v>383</v>
      </c>
      <c r="O3575">
        <v>6.8340227000000003E-2</v>
      </c>
      <c r="P3575">
        <v>1.9511223000000001E-2</v>
      </c>
      <c r="Q3575" t="str">
        <f t="shared" si="110"/>
        <v>25-34</v>
      </c>
      <c r="R3575" t="str">
        <f t="shared" si="111"/>
        <v>[lPTyjLi4w3d]|25-34|Male|DIAGNOSED_SUBNAT_Attend.T_1|CY2024Q3</v>
      </c>
    </row>
    <row r="3576" spans="4:18" x14ac:dyDescent="0.2">
      <c r="D3576" t="s">
        <v>63</v>
      </c>
      <c r="E3576" t="s">
        <v>64</v>
      </c>
      <c r="F3576" t="s">
        <v>65</v>
      </c>
      <c r="G3576" t="s">
        <v>152</v>
      </c>
      <c r="H3576" t="s">
        <v>152</v>
      </c>
      <c r="I3576" t="s">
        <v>43</v>
      </c>
      <c r="J3576" t="s">
        <v>44</v>
      </c>
      <c r="K3576" t="s">
        <v>48</v>
      </c>
      <c r="L3576" t="s">
        <v>49</v>
      </c>
      <c r="M3576" t="s">
        <v>140</v>
      </c>
      <c r="N3576">
        <v>1586</v>
      </c>
      <c r="O3576">
        <v>3.5110714000000001E-2</v>
      </c>
      <c r="P3576">
        <v>1.9511223000000001E-2</v>
      </c>
      <c r="Q3576" t="str">
        <f t="shared" si="110"/>
        <v>35-49</v>
      </c>
      <c r="R3576" t="str">
        <f t="shared" si="111"/>
        <v>[lPTyjLi4w3d]|35-49|Male|DIAGNOSED_SUBNAT_Attend.T_1|CY2024Q3</v>
      </c>
    </row>
    <row r="3577" spans="4:18" x14ac:dyDescent="0.2">
      <c r="D3577" t="s">
        <v>63</v>
      </c>
      <c r="E3577" t="s">
        <v>64</v>
      </c>
      <c r="F3577" t="s">
        <v>65</v>
      </c>
      <c r="G3577" t="s">
        <v>152</v>
      </c>
      <c r="H3577" t="s">
        <v>152</v>
      </c>
      <c r="I3577" t="s">
        <v>45</v>
      </c>
      <c r="J3577" t="s">
        <v>46</v>
      </c>
      <c r="K3577" t="s">
        <v>48</v>
      </c>
      <c r="L3577" t="s">
        <v>49</v>
      </c>
      <c r="M3577" t="s">
        <v>140</v>
      </c>
      <c r="N3577">
        <v>1240</v>
      </c>
      <c r="O3577">
        <v>4.1304377000000003E-2</v>
      </c>
      <c r="P3577">
        <v>1.9511223000000001E-2</v>
      </c>
      <c r="Q3577" t="str">
        <f t="shared" si="110"/>
        <v>50+</v>
      </c>
      <c r="R3577" t="str">
        <f t="shared" si="111"/>
        <v>[lPTyjLi4w3d]|50+|Male|DIAGNOSED_SUBNAT_Attend.T_1|CY2024Q3</v>
      </c>
    </row>
    <row r="3578" spans="4:18" x14ac:dyDescent="0.2">
      <c r="D3578" t="s">
        <v>66</v>
      </c>
      <c r="E3578" t="s">
        <v>67</v>
      </c>
      <c r="F3578" t="s">
        <v>68</v>
      </c>
      <c r="G3578" t="s">
        <v>152</v>
      </c>
      <c r="H3578" t="s">
        <v>152</v>
      </c>
      <c r="I3578" t="s">
        <v>28</v>
      </c>
      <c r="J3578" t="s">
        <v>29</v>
      </c>
      <c r="K3578" t="s">
        <v>30</v>
      </c>
      <c r="L3578" t="s">
        <v>31</v>
      </c>
      <c r="M3578" t="s">
        <v>140</v>
      </c>
      <c r="N3578">
        <v>17</v>
      </c>
      <c r="O3578">
        <v>3.1015972999999999E-2</v>
      </c>
      <c r="P3578">
        <v>8.8394140000000003E-3</v>
      </c>
      <c r="Q3578" t="str">
        <f t="shared" si="110"/>
        <v>&lt;01</v>
      </c>
      <c r="R3578" t="str">
        <f t="shared" si="111"/>
        <v>[vA4NcHxfMBq]|&lt;01|Female|DIAGNOSED_SUBNAT_Attend.T_1|CY2024Q3</v>
      </c>
    </row>
    <row r="3579" spans="4:18" x14ac:dyDescent="0.2">
      <c r="D3579" t="s">
        <v>66</v>
      </c>
      <c r="E3579" t="s">
        <v>67</v>
      </c>
      <c r="F3579" t="s">
        <v>68</v>
      </c>
      <c r="G3579" t="s">
        <v>152</v>
      </c>
      <c r="H3579" t="s">
        <v>152</v>
      </c>
      <c r="I3579" t="s">
        <v>36</v>
      </c>
      <c r="J3579" t="s">
        <v>37</v>
      </c>
      <c r="K3579" t="s">
        <v>30</v>
      </c>
      <c r="L3579" t="s">
        <v>31</v>
      </c>
      <c r="M3579" t="s">
        <v>140</v>
      </c>
      <c r="N3579">
        <v>446</v>
      </c>
      <c r="O3579">
        <v>2.3181622999999998E-2</v>
      </c>
      <c r="P3579">
        <v>8.8394140000000003E-3</v>
      </c>
      <c r="Q3579" t="str">
        <f t="shared" si="110"/>
        <v>10-14</v>
      </c>
      <c r="R3579" t="str">
        <f t="shared" si="111"/>
        <v>[vA4NcHxfMBq]|10-14|Female|DIAGNOSED_SUBNAT_Attend.T_1|CY2024Q3</v>
      </c>
    </row>
    <row r="3580" spans="4:18" x14ac:dyDescent="0.2">
      <c r="D3580" t="s">
        <v>66</v>
      </c>
      <c r="E3580" t="s">
        <v>67</v>
      </c>
      <c r="F3580" t="s">
        <v>68</v>
      </c>
      <c r="G3580" t="s">
        <v>152</v>
      </c>
      <c r="H3580" t="s">
        <v>152</v>
      </c>
      <c r="I3580" t="s">
        <v>38</v>
      </c>
      <c r="J3580" t="s">
        <v>39</v>
      </c>
      <c r="K3580" t="s">
        <v>30</v>
      </c>
      <c r="L3580" t="s">
        <v>31</v>
      </c>
      <c r="M3580" t="s">
        <v>140</v>
      </c>
      <c r="N3580">
        <v>2175</v>
      </c>
      <c r="O3580">
        <v>5.8525722000000002E-2</v>
      </c>
      <c r="P3580">
        <v>8.8394140000000003E-3</v>
      </c>
      <c r="Q3580" t="str">
        <f t="shared" si="110"/>
        <v>15-24</v>
      </c>
      <c r="R3580" t="str">
        <f t="shared" si="111"/>
        <v>[vA4NcHxfMBq]|15-24|Female|DIAGNOSED_SUBNAT_Attend.T_1|CY2024Q3</v>
      </c>
    </row>
    <row r="3581" spans="4:18" x14ac:dyDescent="0.2">
      <c r="D3581" t="s">
        <v>66</v>
      </c>
      <c r="E3581" t="s">
        <v>67</v>
      </c>
      <c r="F3581" t="s">
        <v>68</v>
      </c>
      <c r="G3581" t="s">
        <v>152</v>
      </c>
      <c r="H3581" t="s">
        <v>152</v>
      </c>
      <c r="I3581" t="s">
        <v>41</v>
      </c>
      <c r="J3581" t="s">
        <v>42</v>
      </c>
      <c r="K3581" t="s">
        <v>30</v>
      </c>
      <c r="L3581" t="s">
        <v>31</v>
      </c>
      <c r="M3581" t="s">
        <v>140</v>
      </c>
      <c r="N3581">
        <v>5982</v>
      </c>
      <c r="O3581">
        <v>3.6062243000000001E-2</v>
      </c>
      <c r="P3581">
        <v>8.8394140000000003E-3</v>
      </c>
      <c r="Q3581" t="str">
        <f t="shared" si="110"/>
        <v>25-34</v>
      </c>
      <c r="R3581" t="str">
        <f t="shared" si="111"/>
        <v>[vA4NcHxfMBq]|25-34|Female|DIAGNOSED_SUBNAT_Attend.T_1|CY2024Q3</v>
      </c>
    </row>
    <row r="3582" spans="4:18" x14ac:dyDescent="0.2">
      <c r="D3582" t="s">
        <v>66</v>
      </c>
      <c r="E3582" t="s">
        <v>67</v>
      </c>
      <c r="F3582" t="s">
        <v>68</v>
      </c>
      <c r="G3582" t="s">
        <v>152</v>
      </c>
      <c r="H3582" t="s">
        <v>152</v>
      </c>
      <c r="I3582" t="s">
        <v>43</v>
      </c>
      <c r="J3582" t="s">
        <v>44</v>
      </c>
      <c r="K3582" t="s">
        <v>30</v>
      </c>
      <c r="L3582" t="s">
        <v>31</v>
      </c>
      <c r="M3582" t="s">
        <v>140</v>
      </c>
      <c r="N3582">
        <v>14790</v>
      </c>
      <c r="O3582">
        <v>2.0393951E-2</v>
      </c>
      <c r="P3582">
        <v>8.8394140000000003E-3</v>
      </c>
      <c r="Q3582" t="str">
        <f t="shared" si="110"/>
        <v>35-49</v>
      </c>
      <c r="R3582" t="str">
        <f t="shared" si="111"/>
        <v>[vA4NcHxfMBq]|35-49|Female|DIAGNOSED_SUBNAT_Attend.T_1|CY2024Q3</v>
      </c>
    </row>
    <row r="3583" spans="4:18" x14ac:dyDescent="0.2">
      <c r="D3583" t="s">
        <v>66</v>
      </c>
      <c r="E3583" t="s">
        <v>67</v>
      </c>
      <c r="F3583" t="s">
        <v>68</v>
      </c>
      <c r="G3583" t="s">
        <v>152</v>
      </c>
      <c r="H3583" t="s">
        <v>152</v>
      </c>
      <c r="I3583" t="s">
        <v>45</v>
      </c>
      <c r="J3583" t="s">
        <v>46</v>
      </c>
      <c r="K3583" t="s">
        <v>30</v>
      </c>
      <c r="L3583" t="s">
        <v>31</v>
      </c>
      <c r="M3583" t="s">
        <v>140</v>
      </c>
      <c r="N3583">
        <v>6565</v>
      </c>
      <c r="O3583">
        <v>4.0208371E-2</v>
      </c>
      <c r="P3583">
        <v>8.8394140000000003E-3</v>
      </c>
      <c r="Q3583" t="str">
        <f t="shared" si="110"/>
        <v>50+</v>
      </c>
      <c r="R3583" t="str">
        <f t="shared" si="111"/>
        <v>[vA4NcHxfMBq]|50+|Female|DIAGNOSED_SUBNAT_Attend.T_1|CY2024Q3</v>
      </c>
    </row>
    <row r="3584" spans="4:18" x14ac:dyDescent="0.2">
      <c r="D3584" t="s">
        <v>66</v>
      </c>
      <c r="E3584" t="s">
        <v>67</v>
      </c>
      <c r="F3584" t="s">
        <v>68</v>
      </c>
      <c r="G3584" t="s">
        <v>152</v>
      </c>
      <c r="H3584" t="s">
        <v>152</v>
      </c>
      <c r="I3584" t="s">
        <v>28</v>
      </c>
      <c r="J3584" t="s">
        <v>29</v>
      </c>
      <c r="K3584" t="s">
        <v>48</v>
      </c>
      <c r="L3584" t="s">
        <v>49</v>
      </c>
      <c r="M3584" t="s">
        <v>140</v>
      </c>
      <c r="N3584">
        <v>18</v>
      </c>
      <c r="O3584">
        <v>2.2293294000000002E-2</v>
      </c>
      <c r="P3584">
        <v>8.8394140000000003E-3</v>
      </c>
      <c r="Q3584" t="str">
        <f t="shared" si="110"/>
        <v>&lt;01</v>
      </c>
      <c r="R3584" t="str">
        <f t="shared" si="111"/>
        <v>[vA4NcHxfMBq]|&lt;01|Male|DIAGNOSED_SUBNAT_Attend.T_1|CY2024Q3</v>
      </c>
    </row>
    <row r="3585" spans="4:18" x14ac:dyDescent="0.2">
      <c r="D3585" t="s">
        <v>66</v>
      </c>
      <c r="E3585" t="s">
        <v>67</v>
      </c>
      <c r="F3585" t="s">
        <v>68</v>
      </c>
      <c r="G3585" t="s">
        <v>152</v>
      </c>
      <c r="H3585" t="s">
        <v>152</v>
      </c>
      <c r="I3585" t="s">
        <v>36</v>
      </c>
      <c r="J3585" t="s">
        <v>37</v>
      </c>
      <c r="K3585" t="s">
        <v>48</v>
      </c>
      <c r="L3585" t="s">
        <v>49</v>
      </c>
      <c r="M3585" t="s">
        <v>140</v>
      </c>
      <c r="N3585">
        <v>445</v>
      </c>
      <c r="O3585">
        <v>2.3697546999999999E-2</v>
      </c>
      <c r="P3585">
        <v>8.8394140000000003E-3</v>
      </c>
      <c r="Q3585" t="str">
        <f t="shared" si="110"/>
        <v>10-14</v>
      </c>
      <c r="R3585" t="str">
        <f t="shared" si="111"/>
        <v>[vA4NcHxfMBq]|10-14|Male|DIAGNOSED_SUBNAT_Attend.T_1|CY2024Q3</v>
      </c>
    </row>
    <row r="3586" spans="4:18" x14ac:dyDescent="0.2">
      <c r="D3586" t="s">
        <v>66</v>
      </c>
      <c r="E3586" t="s">
        <v>67</v>
      </c>
      <c r="F3586" t="s">
        <v>68</v>
      </c>
      <c r="G3586" t="s">
        <v>152</v>
      </c>
      <c r="H3586" t="s">
        <v>152</v>
      </c>
      <c r="I3586" t="s">
        <v>38</v>
      </c>
      <c r="J3586" t="s">
        <v>39</v>
      </c>
      <c r="K3586" t="s">
        <v>48</v>
      </c>
      <c r="L3586" t="s">
        <v>49</v>
      </c>
      <c r="M3586" t="s">
        <v>140</v>
      </c>
      <c r="N3586">
        <v>1482</v>
      </c>
      <c r="O3586">
        <v>7.0291935E-2</v>
      </c>
      <c r="P3586">
        <v>8.8394140000000003E-3</v>
      </c>
      <c r="Q3586" t="str">
        <f t="shared" si="110"/>
        <v>15-24</v>
      </c>
      <c r="R3586" t="str">
        <f t="shared" si="111"/>
        <v>[vA4NcHxfMBq]|15-24|Male|DIAGNOSED_SUBNAT_Attend.T_1|CY2024Q3</v>
      </c>
    </row>
    <row r="3587" spans="4:18" x14ac:dyDescent="0.2">
      <c r="D3587" t="s">
        <v>66</v>
      </c>
      <c r="E3587" t="s">
        <v>67</v>
      </c>
      <c r="F3587" t="s">
        <v>68</v>
      </c>
      <c r="G3587" t="s">
        <v>152</v>
      </c>
      <c r="H3587" t="s">
        <v>152</v>
      </c>
      <c r="I3587" t="s">
        <v>41</v>
      </c>
      <c r="J3587" t="s">
        <v>42</v>
      </c>
      <c r="K3587" t="s">
        <v>48</v>
      </c>
      <c r="L3587" t="s">
        <v>49</v>
      </c>
      <c r="M3587" t="s">
        <v>140</v>
      </c>
      <c r="N3587">
        <v>2174</v>
      </c>
      <c r="O3587">
        <v>6.4063972999999996E-2</v>
      </c>
      <c r="P3587">
        <v>8.8394140000000003E-3</v>
      </c>
      <c r="Q3587" t="str">
        <f t="shared" ref="Q3587:Q3650" si="112">SUBSTITUTE(SUBSTITUTE($I3587,CHAR(61),""),CHAR(34),"")</f>
        <v>25-34</v>
      </c>
      <c r="R3587" t="str">
        <f t="shared" ref="R3587:R3650" si="113">IF($D3587&lt;&gt;"","["&amp;$E3587&amp;"]"&amp;"|"&amp;$Q3587&amp;"|"&amp;$K3587&amp;"|"&amp;$G3587&amp;"|"&amp;IF($G3587="TX_CURR_SUBNAT.R","CY2023Q4",$M3587),"")</f>
        <v>[vA4NcHxfMBq]|25-34|Male|DIAGNOSED_SUBNAT_Attend.T_1|CY2024Q3</v>
      </c>
    </row>
    <row r="3588" spans="4:18" x14ac:dyDescent="0.2">
      <c r="D3588" t="s">
        <v>66</v>
      </c>
      <c r="E3588" t="s">
        <v>67</v>
      </c>
      <c r="F3588" t="s">
        <v>68</v>
      </c>
      <c r="G3588" t="s">
        <v>152</v>
      </c>
      <c r="H3588" t="s">
        <v>152</v>
      </c>
      <c r="I3588" t="s">
        <v>43</v>
      </c>
      <c r="J3588" t="s">
        <v>44</v>
      </c>
      <c r="K3588" t="s">
        <v>48</v>
      </c>
      <c r="L3588" t="s">
        <v>49</v>
      </c>
      <c r="M3588" t="s">
        <v>140</v>
      </c>
      <c r="N3588">
        <v>8491</v>
      </c>
      <c r="O3588">
        <v>2.9926761999999999E-2</v>
      </c>
      <c r="P3588">
        <v>8.8394140000000003E-3</v>
      </c>
      <c r="Q3588" t="str">
        <f t="shared" si="112"/>
        <v>35-49</v>
      </c>
      <c r="R3588" t="str">
        <f t="shared" si="113"/>
        <v>[vA4NcHxfMBq]|35-49|Male|DIAGNOSED_SUBNAT_Attend.T_1|CY2024Q3</v>
      </c>
    </row>
    <row r="3589" spans="4:18" x14ac:dyDescent="0.2">
      <c r="D3589" t="s">
        <v>66</v>
      </c>
      <c r="E3589" t="s">
        <v>67</v>
      </c>
      <c r="F3589" t="s">
        <v>68</v>
      </c>
      <c r="G3589" t="s">
        <v>152</v>
      </c>
      <c r="H3589" t="s">
        <v>152</v>
      </c>
      <c r="I3589" t="s">
        <v>45</v>
      </c>
      <c r="J3589" t="s">
        <v>46</v>
      </c>
      <c r="K3589" t="s">
        <v>48</v>
      </c>
      <c r="L3589" t="s">
        <v>49</v>
      </c>
      <c r="M3589" t="s">
        <v>140</v>
      </c>
      <c r="N3589">
        <v>6097</v>
      </c>
      <c r="O3589">
        <v>3.6987378000000001E-2</v>
      </c>
      <c r="P3589">
        <v>8.8394140000000003E-3</v>
      </c>
      <c r="Q3589" t="str">
        <f t="shared" si="112"/>
        <v>50+</v>
      </c>
      <c r="R3589" t="str">
        <f t="shared" si="113"/>
        <v>[vA4NcHxfMBq]|50+|Male|DIAGNOSED_SUBNAT_Attend.T_1|CY2024Q3</v>
      </c>
    </row>
    <row r="3590" spans="4:18" x14ac:dyDescent="0.2">
      <c r="D3590" t="s">
        <v>69</v>
      </c>
      <c r="E3590" t="s">
        <v>70</v>
      </c>
      <c r="F3590" t="s">
        <v>71</v>
      </c>
      <c r="G3590" t="s">
        <v>152</v>
      </c>
      <c r="H3590" t="s">
        <v>152</v>
      </c>
      <c r="I3590" t="s">
        <v>28</v>
      </c>
      <c r="J3590" t="s">
        <v>29</v>
      </c>
      <c r="K3590" t="s">
        <v>30</v>
      </c>
      <c r="L3590" t="s">
        <v>31</v>
      </c>
      <c r="M3590" t="s">
        <v>140</v>
      </c>
      <c r="N3590">
        <v>0</v>
      </c>
      <c r="O3590">
        <v>6.6083910999999995E-2</v>
      </c>
      <c r="P3590">
        <v>2.5257598999999999E-2</v>
      </c>
      <c r="Q3590" t="str">
        <f t="shared" si="112"/>
        <v>&lt;01</v>
      </c>
      <c r="R3590" t="str">
        <f t="shared" si="113"/>
        <v>[ZCjuwgaMB9u]|&lt;01|Female|DIAGNOSED_SUBNAT_Attend.T_1|CY2024Q3</v>
      </c>
    </row>
    <row r="3591" spans="4:18" x14ac:dyDescent="0.2">
      <c r="D3591" t="s">
        <v>69</v>
      </c>
      <c r="E3591" t="s">
        <v>70</v>
      </c>
      <c r="F3591" t="s">
        <v>71</v>
      </c>
      <c r="G3591" t="s">
        <v>152</v>
      </c>
      <c r="H3591" t="s">
        <v>152</v>
      </c>
      <c r="I3591" t="s">
        <v>36</v>
      </c>
      <c r="J3591" t="s">
        <v>37</v>
      </c>
      <c r="K3591" t="s">
        <v>30</v>
      </c>
      <c r="L3591" t="s">
        <v>31</v>
      </c>
      <c r="M3591" t="s">
        <v>140</v>
      </c>
      <c r="N3591">
        <v>9</v>
      </c>
      <c r="O3591">
        <v>6.6772076999999999E-2</v>
      </c>
      <c r="P3591">
        <v>2.5257598999999999E-2</v>
      </c>
      <c r="Q3591" t="str">
        <f t="shared" si="112"/>
        <v>10-14</v>
      </c>
      <c r="R3591" t="str">
        <f t="shared" si="113"/>
        <v>[ZCjuwgaMB9u]|10-14|Female|DIAGNOSED_SUBNAT_Attend.T_1|CY2024Q3</v>
      </c>
    </row>
    <row r="3592" spans="4:18" x14ac:dyDescent="0.2">
      <c r="D3592" t="s">
        <v>69</v>
      </c>
      <c r="E3592" t="s">
        <v>70</v>
      </c>
      <c r="F3592" t="s">
        <v>71</v>
      </c>
      <c r="G3592" t="s">
        <v>152</v>
      </c>
      <c r="H3592" t="s">
        <v>152</v>
      </c>
      <c r="I3592" t="s">
        <v>38</v>
      </c>
      <c r="J3592" t="s">
        <v>39</v>
      </c>
      <c r="K3592" t="s">
        <v>30</v>
      </c>
      <c r="L3592" t="s">
        <v>31</v>
      </c>
      <c r="M3592" t="s">
        <v>140</v>
      </c>
      <c r="N3592">
        <v>37</v>
      </c>
      <c r="O3592">
        <v>6.4862808999999993E-2</v>
      </c>
      <c r="P3592">
        <v>2.5257598999999999E-2</v>
      </c>
      <c r="Q3592" t="str">
        <f t="shared" si="112"/>
        <v>15-24</v>
      </c>
      <c r="R3592" t="str">
        <f t="shared" si="113"/>
        <v>[ZCjuwgaMB9u]|15-24|Female|DIAGNOSED_SUBNAT_Attend.T_1|CY2024Q3</v>
      </c>
    </row>
    <row r="3593" spans="4:18" x14ac:dyDescent="0.2">
      <c r="D3593" t="s">
        <v>69</v>
      </c>
      <c r="E3593" t="s">
        <v>70</v>
      </c>
      <c r="F3593" t="s">
        <v>71</v>
      </c>
      <c r="G3593" t="s">
        <v>152</v>
      </c>
      <c r="H3593" t="s">
        <v>152</v>
      </c>
      <c r="I3593" t="s">
        <v>41</v>
      </c>
      <c r="J3593" t="s">
        <v>42</v>
      </c>
      <c r="K3593" t="s">
        <v>30</v>
      </c>
      <c r="L3593" t="s">
        <v>31</v>
      </c>
      <c r="M3593" t="s">
        <v>140</v>
      </c>
      <c r="N3593">
        <v>105</v>
      </c>
      <c r="O3593">
        <v>4.6380512999999998E-2</v>
      </c>
      <c r="P3593">
        <v>2.5257598999999999E-2</v>
      </c>
      <c r="Q3593" t="str">
        <f t="shared" si="112"/>
        <v>25-34</v>
      </c>
      <c r="R3593" t="str">
        <f t="shared" si="113"/>
        <v>[ZCjuwgaMB9u]|25-34|Female|DIAGNOSED_SUBNAT_Attend.T_1|CY2024Q3</v>
      </c>
    </row>
    <row r="3594" spans="4:18" x14ac:dyDescent="0.2">
      <c r="D3594" t="s">
        <v>69</v>
      </c>
      <c r="E3594" t="s">
        <v>70</v>
      </c>
      <c r="F3594" t="s">
        <v>71</v>
      </c>
      <c r="G3594" t="s">
        <v>152</v>
      </c>
      <c r="H3594" t="s">
        <v>152</v>
      </c>
      <c r="I3594" t="s">
        <v>43</v>
      </c>
      <c r="J3594" t="s">
        <v>44</v>
      </c>
      <c r="K3594" t="s">
        <v>30</v>
      </c>
      <c r="L3594" t="s">
        <v>31</v>
      </c>
      <c r="M3594" t="s">
        <v>140</v>
      </c>
      <c r="N3594">
        <v>276</v>
      </c>
      <c r="O3594">
        <v>3.2532924999999997E-2</v>
      </c>
      <c r="P3594">
        <v>2.5257598999999999E-2</v>
      </c>
      <c r="Q3594" t="str">
        <f t="shared" si="112"/>
        <v>35-49</v>
      </c>
      <c r="R3594" t="str">
        <f t="shared" si="113"/>
        <v>[ZCjuwgaMB9u]|35-49|Female|DIAGNOSED_SUBNAT_Attend.T_1|CY2024Q3</v>
      </c>
    </row>
    <row r="3595" spans="4:18" x14ac:dyDescent="0.2">
      <c r="D3595" t="s">
        <v>69</v>
      </c>
      <c r="E3595" t="s">
        <v>70</v>
      </c>
      <c r="F3595" t="s">
        <v>71</v>
      </c>
      <c r="G3595" t="s">
        <v>152</v>
      </c>
      <c r="H3595" t="s">
        <v>152</v>
      </c>
      <c r="I3595" t="s">
        <v>45</v>
      </c>
      <c r="J3595" t="s">
        <v>46</v>
      </c>
      <c r="K3595" t="s">
        <v>30</v>
      </c>
      <c r="L3595" t="s">
        <v>31</v>
      </c>
      <c r="M3595" t="s">
        <v>140</v>
      </c>
      <c r="N3595">
        <v>126</v>
      </c>
      <c r="O3595">
        <v>4.6495913E-2</v>
      </c>
      <c r="P3595">
        <v>2.5257598999999999E-2</v>
      </c>
      <c r="Q3595" t="str">
        <f t="shared" si="112"/>
        <v>50+</v>
      </c>
      <c r="R3595" t="str">
        <f t="shared" si="113"/>
        <v>[ZCjuwgaMB9u]|50+|Female|DIAGNOSED_SUBNAT_Attend.T_1|CY2024Q3</v>
      </c>
    </row>
    <row r="3596" spans="4:18" x14ac:dyDescent="0.2">
      <c r="D3596" t="s">
        <v>69</v>
      </c>
      <c r="E3596" t="s">
        <v>70</v>
      </c>
      <c r="F3596" t="s">
        <v>71</v>
      </c>
      <c r="G3596" t="s">
        <v>152</v>
      </c>
      <c r="H3596" t="s">
        <v>152</v>
      </c>
      <c r="I3596" t="s">
        <v>28</v>
      </c>
      <c r="J3596" t="s">
        <v>29</v>
      </c>
      <c r="K3596" t="s">
        <v>48</v>
      </c>
      <c r="L3596" t="s">
        <v>49</v>
      </c>
      <c r="M3596" t="s">
        <v>140</v>
      </c>
      <c r="N3596">
        <v>0</v>
      </c>
      <c r="O3596">
        <v>4.8125686000000001E-2</v>
      </c>
      <c r="P3596">
        <v>2.5257598999999999E-2</v>
      </c>
      <c r="Q3596" t="str">
        <f t="shared" si="112"/>
        <v>&lt;01</v>
      </c>
      <c r="R3596" t="str">
        <f t="shared" si="113"/>
        <v>[ZCjuwgaMB9u]|&lt;01|Male|DIAGNOSED_SUBNAT_Attend.T_1|CY2024Q3</v>
      </c>
    </row>
    <row r="3597" spans="4:18" x14ac:dyDescent="0.2">
      <c r="D3597" t="s">
        <v>69</v>
      </c>
      <c r="E3597" t="s">
        <v>70</v>
      </c>
      <c r="F3597" t="s">
        <v>71</v>
      </c>
      <c r="G3597" t="s">
        <v>152</v>
      </c>
      <c r="H3597" t="s">
        <v>152</v>
      </c>
      <c r="I3597" t="s">
        <v>36</v>
      </c>
      <c r="J3597" t="s">
        <v>37</v>
      </c>
      <c r="K3597" t="s">
        <v>48</v>
      </c>
      <c r="L3597" t="s">
        <v>49</v>
      </c>
      <c r="M3597" t="s">
        <v>140</v>
      </c>
      <c r="N3597">
        <v>8</v>
      </c>
      <c r="O3597">
        <v>5.7294578999999998E-2</v>
      </c>
      <c r="P3597">
        <v>2.5257598999999999E-2</v>
      </c>
      <c r="Q3597" t="str">
        <f t="shared" si="112"/>
        <v>10-14</v>
      </c>
      <c r="R3597" t="str">
        <f t="shared" si="113"/>
        <v>[ZCjuwgaMB9u]|10-14|Male|DIAGNOSED_SUBNAT_Attend.T_1|CY2024Q3</v>
      </c>
    </row>
    <row r="3598" spans="4:18" x14ac:dyDescent="0.2">
      <c r="D3598" t="s">
        <v>69</v>
      </c>
      <c r="E3598" t="s">
        <v>70</v>
      </c>
      <c r="F3598" t="s">
        <v>71</v>
      </c>
      <c r="G3598" t="s">
        <v>152</v>
      </c>
      <c r="H3598" t="s">
        <v>152</v>
      </c>
      <c r="I3598" t="s">
        <v>38</v>
      </c>
      <c r="J3598" t="s">
        <v>39</v>
      </c>
      <c r="K3598" t="s">
        <v>48</v>
      </c>
      <c r="L3598" t="s">
        <v>49</v>
      </c>
      <c r="M3598" t="s">
        <v>140</v>
      </c>
      <c r="N3598">
        <v>28</v>
      </c>
      <c r="O3598">
        <v>8.2008116000000006E-2</v>
      </c>
      <c r="P3598">
        <v>2.5257598999999999E-2</v>
      </c>
      <c r="Q3598" t="str">
        <f t="shared" si="112"/>
        <v>15-24</v>
      </c>
      <c r="R3598" t="str">
        <f t="shared" si="113"/>
        <v>[ZCjuwgaMB9u]|15-24|Male|DIAGNOSED_SUBNAT_Attend.T_1|CY2024Q3</v>
      </c>
    </row>
    <row r="3599" spans="4:18" x14ac:dyDescent="0.2">
      <c r="D3599" t="s">
        <v>69</v>
      </c>
      <c r="E3599" t="s">
        <v>70</v>
      </c>
      <c r="F3599" t="s">
        <v>71</v>
      </c>
      <c r="G3599" t="s">
        <v>152</v>
      </c>
      <c r="H3599" t="s">
        <v>152</v>
      </c>
      <c r="I3599" t="s">
        <v>41</v>
      </c>
      <c r="J3599" t="s">
        <v>42</v>
      </c>
      <c r="K3599" t="s">
        <v>48</v>
      </c>
      <c r="L3599" t="s">
        <v>49</v>
      </c>
      <c r="M3599" t="s">
        <v>140</v>
      </c>
      <c r="N3599">
        <v>47</v>
      </c>
      <c r="O3599">
        <v>7.3087626000000003E-2</v>
      </c>
      <c r="P3599">
        <v>2.5257598999999999E-2</v>
      </c>
      <c r="Q3599" t="str">
        <f t="shared" si="112"/>
        <v>25-34</v>
      </c>
      <c r="R3599" t="str">
        <f t="shared" si="113"/>
        <v>[ZCjuwgaMB9u]|25-34|Male|DIAGNOSED_SUBNAT_Attend.T_1|CY2024Q3</v>
      </c>
    </row>
    <row r="3600" spans="4:18" x14ac:dyDescent="0.2">
      <c r="D3600" t="s">
        <v>69</v>
      </c>
      <c r="E3600" t="s">
        <v>70</v>
      </c>
      <c r="F3600" t="s">
        <v>71</v>
      </c>
      <c r="G3600" t="s">
        <v>152</v>
      </c>
      <c r="H3600" t="s">
        <v>152</v>
      </c>
      <c r="I3600" t="s">
        <v>43</v>
      </c>
      <c r="J3600" t="s">
        <v>44</v>
      </c>
      <c r="K3600" t="s">
        <v>48</v>
      </c>
      <c r="L3600" t="s">
        <v>49</v>
      </c>
      <c r="M3600" t="s">
        <v>140</v>
      </c>
      <c r="N3600">
        <v>166</v>
      </c>
      <c r="O3600">
        <v>4.6414298E-2</v>
      </c>
      <c r="P3600">
        <v>2.5257598999999999E-2</v>
      </c>
      <c r="Q3600" t="str">
        <f t="shared" si="112"/>
        <v>35-49</v>
      </c>
      <c r="R3600" t="str">
        <f t="shared" si="113"/>
        <v>[ZCjuwgaMB9u]|35-49|Male|DIAGNOSED_SUBNAT_Attend.T_1|CY2024Q3</v>
      </c>
    </row>
    <row r="3601" spans="4:18" x14ac:dyDescent="0.2">
      <c r="D3601" t="s">
        <v>69</v>
      </c>
      <c r="E3601" t="s">
        <v>70</v>
      </c>
      <c r="F3601" t="s">
        <v>71</v>
      </c>
      <c r="G3601" t="s">
        <v>152</v>
      </c>
      <c r="H3601" t="s">
        <v>152</v>
      </c>
      <c r="I3601" t="s">
        <v>45</v>
      </c>
      <c r="J3601" t="s">
        <v>46</v>
      </c>
      <c r="K3601" t="s">
        <v>48</v>
      </c>
      <c r="L3601" t="s">
        <v>49</v>
      </c>
      <c r="M3601" t="s">
        <v>140</v>
      </c>
      <c r="N3601">
        <v>105</v>
      </c>
      <c r="O3601">
        <v>4.7184340999999998E-2</v>
      </c>
      <c r="P3601">
        <v>2.5257598999999999E-2</v>
      </c>
      <c r="Q3601" t="str">
        <f t="shared" si="112"/>
        <v>50+</v>
      </c>
      <c r="R3601" t="str">
        <f t="shared" si="113"/>
        <v>[ZCjuwgaMB9u]|50+|Male|DIAGNOSED_SUBNAT_Attend.T_1|CY2024Q3</v>
      </c>
    </row>
    <row r="3602" spans="4:18" x14ac:dyDescent="0.2">
      <c r="D3602" t="s">
        <v>72</v>
      </c>
      <c r="E3602" t="s">
        <v>73</v>
      </c>
      <c r="F3602" t="s">
        <v>74</v>
      </c>
      <c r="G3602" t="s">
        <v>152</v>
      </c>
      <c r="H3602" t="s">
        <v>152</v>
      </c>
      <c r="I3602" t="s">
        <v>28</v>
      </c>
      <c r="J3602" t="s">
        <v>29</v>
      </c>
      <c r="K3602" t="s">
        <v>30</v>
      </c>
      <c r="L3602" t="s">
        <v>31</v>
      </c>
      <c r="M3602" t="s">
        <v>140</v>
      </c>
      <c r="N3602">
        <v>8</v>
      </c>
      <c r="O3602">
        <v>3.8895001999999998E-2</v>
      </c>
      <c r="P3602">
        <v>1.3200105E-2</v>
      </c>
      <c r="Q3602" t="str">
        <f t="shared" si="112"/>
        <v>&lt;01</v>
      </c>
      <c r="R3602" t="str">
        <f t="shared" si="113"/>
        <v>[JQKLKuVuY61]|&lt;01|Female|DIAGNOSED_SUBNAT_Attend.T_1|CY2024Q3</v>
      </c>
    </row>
    <row r="3603" spans="4:18" x14ac:dyDescent="0.2">
      <c r="D3603" t="s">
        <v>72</v>
      </c>
      <c r="E3603" t="s">
        <v>73</v>
      </c>
      <c r="F3603" t="s">
        <v>74</v>
      </c>
      <c r="G3603" t="s">
        <v>152</v>
      </c>
      <c r="H3603" t="s">
        <v>152</v>
      </c>
      <c r="I3603" t="s">
        <v>36</v>
      </c>
      <c r="J3603" t="s">
        <v>37</v>
      </c>
      <c r="K3603" t="s">
        <v>30</v>
      </c>
      <c r="L3603" t="s">
        <v>31</v>
      </c>
      <c r="M3603" t="s">
        <v>140</v>
      </c>
      <c r="N3603">
        <v>229</v>
      </c>
      <c r="O3603">
        <v>3.0910719999999999E-2</v>
      </c>
      <c r="P3603">
        <v>1.3200105E-2</v>
      </c>
      <c r="Q3603" t="str">
        <f t="shared" si="112"/>
        <v>10-14</v>
      </c>
      <c r="R3603" t="str">
        <f t="shared" si="113"/>
        <v>[JQKLKuVuY61]|10-14|Female|DIAGNOSED_SUBNAT_Attend.T_1|CY2024Q3</v>
      </c>
    </row>
    <row r="3604" spans="4:18" x14ac:dyDescent="0.2">
      <c r="D3604" t="s">
        <v>72</v>
      </c>
      <c r="E3604" t="s">
        <v>73</v>
      </c>
      <c r="F3604" t="s">
        <v>74</v>
      </c>
      <c r="G3604" t="s">
        <v>152</v>
      </c>
      <c r="H3604" t="s">
        <v>152</v>
      </c>
      <c r="I3604" t="s">
        <v>38</v>
      </c>
      <c r="J3604" t="s">
        <v>39</v>
      </c>
      <c r="K3604" t="s">
        <v>30</v>
      </c>
      <c r="L3604" t="s">
        <v>31</v>
      </c>
      <c r="M3604" t="s">
        <v>140</v>
      </c>
      <c r="N3604">
        <v>880</v>
      </c>
      <c r="O3604">
        <v>5.9181767000000003E-2</v>
      </c>
      <c r="P3604">
        <v>1.3200105E-2</v>
      </c>
      <c r="Q3604" t="str">
        <f t="shared" si="112"/>
        <v>15-24</v>
      </c>
      <c r="R3604" t="str">
        <f t="shared" si="113"/>
        <v>[JQKLKuVuY61]|15-24|Female|DIAGNOSED_SUBNAT_Attend.T_1|CY2024Q3</v>
      </c>
    </row>
    <row r="3605" spans="4:18" x14ac:dyDescent="0.2">
      <c r="D3605" t="s">
        <v>72</v>
      </c>
      <c r="E3605" t="s">
        <v>73</v>
      </c>
      <c r="F3605" t="s">
        <v>74</v>
      </c>
      <c r="G3605" t="s">
        <v>152</v>
      </c>
      <c r="H3605" t="s">
        <v>152</v>
      </c>
      <c r="I3605" t="s">
        <v>41</v>
      </c>
      <c r="J3605" t="s">
        <v>42</v>
      </c>
      <c r="K3605" t="s">
        <v>30</v>
      </c>
      <c r="L3605" t="s">
        <v>31</v>
      </c>
      <c r="M3605" t="s">
        <v>140</v>
      </c>
      <c r="N3605">
        <v>2203</v>
      </c>
      <c r="O3605">
        <v>4.0055710000000001E-2</v>
      </c>
      <c r="P3605">
        <v>1.3200105E-2</v>
      </c>
      <c r="Q3605" t="str">
        <f t="shared" si="112"/>
        <v>25-34</v>
      </c>
      <c r="R3605" t="str">
        <f t="shared" si="113"/>
        <v>[JQKLKuVuY61]|25-34|Female|DIAGNOSED_SUBNAT_Attend.T_1|CY2024Q3</v>
      </c>
    </row>
    <row r="3606" spans="4:18" x14ac:dyDescent="0.2">
      <c r="D3606" t="s">
        <v>72</v>
      </c>
      <c r="E3606" t="s">
        <v>73</v>
      </c>
      <c r="F3606" t="s">
        <v>74</v>
      </c>
      <c r="G3606" t="s">
        <v>152</v>
      </c>
      <c r="H3606" t="s">
        <v>152</v>
      </c>
      <c r="I3606" t="s">
        <v>43</v>
      </c>
      <c r="J3606" t="s">
        <v>44</v>
      </c>
      <c r="K3606" t="s">
        <v>30</v>
      </c>
      <c r="L3606" t="s">
        <v>31</v>
      </c>
      <c r="M3606" t="s">
        <v>140</v>
      </c>
      <c r="N3606">
        <v>6216</v>
      </c>
      <c r="O3606">
        <v>2.3370416000000001E-2</v>
      </c>
      <c r="P3606">
        <v>1.3200105E-2</v>
      </c>
      <c r="Q3606" t="str">
        <f t="shared" si="112"/>
        <v>35-49</v>
      </c>
      <c r="R3606" t="str">
        <f t="shared" si="113"/>
        <v>[JQKLKuVuY61]|35-49|Female|DIAGNOSED_SUBNAT_Attend.T_1|CY2024Q3</v>
      </c>
    </row>
    <row r="3607" spans="4:18" x14ac:dyDescent="0.2">
      <c r="D3607" t="s">
        <v>72</v>
      </c>
      <c r="E3607" t="s">
        <v>73</v>
      </c>
      <c r="F3607" t="s">
        <v>74</v>
      </c>
      <c r="G3607" t="s">
        <v>152</v>
      </c>
      <c r="H3607" t="s">
        <v>152</v>
      </c>
      <c r="I3607" t="s">
        <v>45</v>
      </c>
      <c r="J3607" t="s">
        <v>46</v>
      </c>
      <c r="K3607" t="s">
        <v>30</v>
      </c>
      <c r="L3607" t="s">
        <v>31</v>
      </c>
      <c r="M3607" t="s">
        <v>140</v>
      </c>
      <c r="N3607">
        <v>2876</v>
      </c>
      <c r="O3607">
        <v>4.2664278E-2</v>
      </c>
      <c r="P3607">
        <v>1.3200105E-2</v>
      </c>
      <c r="Q3607" t="str">
        <f t="shared" si="112"/>
        <v>50+</v>
      </c>
      <c r="R3607" t="str">
        <f t="shared" si="113"/>
        <v>[JQKLKuVuY61]|50+|Female|DIAGNOSED_SUBNAT_Attend.T_1|CY2024Q3</v>
      </c>
    </row>
    <row r="3608" spans="4:18" x14ac:dyDescent="0.2">
      <c r="D3608" t="s">
        <v>72</v>
      </c>
      <c r="E3608" t="s">
        <v>73</v>
      </c>
      <c r="F3608" t="s">
        <v>74</v>
      </c>
      <c r="G3608" t="s">
        <v>152</v>
      </c>
      <c r="H3608" t="s">
        <v>152</v>
      </c>
      <c r="I3608" t="s">
        <v>28</v>
      </c>
      <c r="J3608" t="s">
        <v>29</v>
      </c>
      <c r="K3608" t="s">
        <v>48</v>
      </c>
      <c r="L3608" t="s">
        <v>49</v>
      </c>
      <c r="M3608" t="s">
        <v>140</v>
      </c>
      <c r="N3608">
        <v>8</v>
      </c>
      <c r="O3608">
        <v>2.7204289999999999E-2</v>
      </c>
      <c r="P3608">
        <v>1.3200105E-2</v>
      </c>
      <c r="Q3608" t="str">
        <f t="shared" si="112"/>
        <v>&lt;01</v>
      </c>
      <c r="R3608" t="str">
        <f t="shared" si="113"/>
        <v>[JQKLKuVuY61]|&lt;01|Male|DIAGNOSED_SUBNAT_Attend.T_1|CY2024Q3</v>
      </c>
    </row>
    <row r="3609" spans="4:18" x14ac:dyDescent="0.2">
      <c r="D3609" t="s">
        <v>72</v>
      </c>
      <c r="E3609" t="s">
        <v>73</v>
      </c>
      <c r="F3609" t="s">
        <v>74</v>
      </c>
      <c r="G3609" t="s">
        <v>152</v>
      </c>
      <c r="H3609" t="s">
        <v>152</v>
      </c>
      <c r="I3609" t="s">
        <v>36</v>
      </c>
      <c r="J3609" t="s">
        <v>37</v>
      </c>
      <c r="K3609" t="s">
        <v>48</v>
      </c>
      <c r="L3609" t="s">
        <v>49</v>
      </c>
      <c r="M3609" t="s">
        <v>140</v>
      </c>
      <c r="N3609">
        <v>226</v>
      </c>
      <c r="O3609">
        <v>2.8677472999999998E-2</v>
      </c>
      <c r="P3609">
        <v>1.3200105E-2</v>
      </c>
      <c r="Q3609" t="str">
        <f t="shared" si="112"/>
        <v>10-14</v>
      </c>
      <c r="R3609" t="str">
        <f t="shared" si="113"/>
        <v>[JQKLKuVuY61]|10-14|Male|DIAGNOSED_SUBNAT_Attend.T_1|CY2024Q3</v>
      </c>
    </row>
    <row r="3610" spans="4:18" x14ac:dyDescent="0.2">
      <c r="D3610" t="s">
        <v>72</v>
      </c>
      <c r="E3610" t="s">
        <v>73</v>
      </c>
      <c r="F3610" t="s">
        <v>74</v>
      </c>
      <c r="G3610" t="s">
        <v>152</v>
      </c>
      <c r="H3610" t="s">
        <v>152</v>
      </c>
      <c r="I3610" t="s">
        <v>38</v>
      </c>
      <c r="J3610" t="s">
        <v>39</v>
      </c>
      <c r="K3610" t="s">
        <v>48</v>
      </c>
      <c r="L3610" t="s">
        <v>49</v>
      </c>
      <c r="M3610" t="s">
        <v>140</v>
      </c>
      <c r="N3610">
        <v>625</v>
      </c>
      <c r="O3610">
        <v>6.6505150999999998E-2</v>
      </c>
      <c r="P3610">
        <v>1.3200105E-2</v>
      </c>
      <c r="Q3610" t="str">
        <f t="shared" si="112"/>
        <v>15-24</v>
      </c>
      <c r="R3610" t="str">
        <f t="shared" si="113"/>
        <v>[JQKLKuVuY61]|15-24|Male|DIAGNOSED_SUBNAT_Attend.T_1|CY2024Q3</v>
      </c>
    </row>
    <row r="3611" spans="4:18" x14ac:dyDescent="0.2">
      <c r="D3611" t="s">
        <v>72</v>
      </c>
      <c r="E3611" t="s">
        <v>73</v>
      </c>
      <c r="F3611" t="s">
        <v>74</v>
      </c>
      <c r="G3611" t="s">
        <v>152</v>
      </c>
      <c r="H3611" t="s">
        <v>152</v>
      </c>
      <c r="I3611" t="s">
        <v>41</v>
      </c>
      <c r="J3611" t="s">
        <v>42</v>
      </c>
      <c r="K3611" t="s">
        <v>48</v>
      </c>
      <c r="L3611" t="s">
        <v>49</v>
      </c>
      <c r="M3611" t="s">
        <v>140</v>
      </c>
      <c r="N3611">
        <v>780</v>
      </c>
      <c r="O3611">
        <v>6.7315123000000004E-2</v>
      </c>
      <c r="P3611">
        <v>1.3200105E-2</v>
      </c>
      <c r="Q3611" t="str">
        <f t="shared" si="112"/>
        <v>25-34</v>
      </c>
      <c r="R3611" t="str">
        <f t="shared" si="113"/>
        <v>[JQKLKuVuY61]|25-34|Male|DIAGNOSED_SUBNAT_Attend.T_1|CY2024Q3</v>
      </c>
    </row>
    <row r="3612" spans="4:18" x14ac:dyDescent="0.2">
      <c r="D3612" t="s">
        <v>72</v>
      </c>
      <c r="E3612" t="s">
        <v>73</v>
      </c>
      <c r="F3612" t="s">
        <v>74</v>
      </c>
      <c r="G3612" t="s">
        <v>152</v>
      </c>
      <c r="H3612" t="s">
        <v>152</v>
      </c>
      <c r="I3612" t="s">
        <v>43</v>
      </c>
      <c r="J3612" t="s">
        <v>44</v>
      </c>
      <c r="K3612" t="s">
        <v>48</v>
      </c>
      <c r="L3612" t="s">
        <v>49</v>
      </c>
      <c r="M3612" t="s">
        <v>140</v>
      </c>
      <c r="N3612">
        <v>3284</v>
      </c>
      <c r="O3612">
        <v>3.4702462000000003E-2</v>
      </c>
      <c r="P3612">
        <v>1.3200105E-2</v>
      </c>
      <c r="Q3612" t="str">
        <f t="shared" si="112"/>
        <v>35-49</v>
      </c>
      <c r="R3612" t="str">
        <f t="shared" si="113"/>
        <v>[JQKLKuVuY61]|35-49|Male|DIAGNOSED_SUBNAT_Attend.T_1|CY2024Q3</v>
      </c>
    </row>
    <row r="3613" spans="4:18" x14ac:dyDescent="0.2">
      <c r="D3613" t="s">
        <v>72</v>
      </c>
      <c r="E3613" t="s">
        <v>73</v>
      </c>
      <c r="F3613" t="s">
        <v>74</v>
      </c>
      <c r="G3613" t="s">
        <v>152</v>
      </c>
      <c r="H3613" t="s">
        <v>152</v>
      </c>
      <c r="I3613" t="s">
        <v>45</v>
      </c>
      <c r="J3613" t="s">
        <v>46</v>
      </c>
      <c r="K3613" t="s">
        <v>48</v>
      </c>
      <c r="L3613" t="s">
        <v>49</v>
      </c>
      <c r="M3613" t="s">
        <v>140</v>
      </c>
      <c r="N3613">
        <v>2626</v>
      </c>
      <c r="O3613">
        <v>3.8381376000000002E-2</v>
      </c>
      <c r="P3613">
        <v>1.3200105E-2</v>
      </c>
      <c r="Q3613" t="str">
        <f t="shared" si="112"/>
        <v>50+</v>
      </c>
      <c r="R3613" t="str">
        <f t="shared" si="113"/>
        <v>[JQKLKuVuY61]|50+|Male|DIAGNOSED_SUBNAT_Attend.T_1|CY2024Q3</v>
      </c>
    </row>
    <row r="3614" spans="4:18" x14ac:dyDescent="0.2">
      <c r="D3614" t="s">
        <v>75</v>
      </c>
      <c r="E3614" t="s">
        <v>76</v>
      </c>
      <c r="F3614" t="s">
        <v>77</v>
      </c>
      <c r="G3614" t="s">
        <v>152</v>
      </c>
      <c r="H3614" t="s">
        <v>152</v>
      </c>
      <c r="I3614" t="s">
        <v>28</v>
      </c>
      <c r="J3614" t="s">
        <v>29</v>
      </c>
      <c r="K3614" t="s">
        <v>30</v>
      </c>
      <c r="L3614" t="s">
        <v>31</v>
      </c>
      <c r="M3614" t="s">
        <v>140</v>
      </c>
      <c r="N3614">
        <v>6</v>
      </c>
      <c r="O3614">
        <v>4.5243764999999998E-2</v>
      </c>
      <c r="P3614">
        <v>1.7981343E-2</v>
      </c>
      <c r="Q3614" t="str">
        <f t="shared" si="112"/>
        <v>&lt;01</v>
      </c>
      <c r="R3614" t="str">
        <f t="shared" si="113"/>
        <v>[YCKiBAp8QAg]|&lt;01|Female|DIAGNOSED_SUBNAT_Attend.T_1|CY2024Q3</v>
      </c>
    </row>
    <row r="3615" spans="4:18" x14ac:dyDescent="0.2">
      <c r="D3615" t="s">
        <v>75</v>
      </c>
      <c r="E3615" t="s">
        <v>76</v>
      </c>
      <c r="F3615" t="s">
        <v>77</v>
      </c>
      <c r="G3615" t="s">
        <v>152</v>
      </c>
      <c r="H3615" t="s">
        <v>152</v>
      </c>
      <c r="I3615" t="s">
        <v>36</v>
      </c>
      <c r="J3615" t="s">
        <v>37</v>
      </c>
      <c r="K3615" t="s">
        <v>30</v>
      </c>
      <c r="L3615" t="s">
        <v>31</v>
      </c>
      <c r="M3615" t="s">
        <v>140</v>
      </c>
      <c r="N3615">
        <v>161</v>
      </c>
      <c r="O3615">
        <v>3.7354498E-2</v>
      </c>
      <c r="P3615">
        <v>1.7981343E-2</v>
      </c>
      <c r="Q3615" t="str">
        <f t="shared" si="112"/>
        <v>10-14</v>
      </c>
      <c r="R3615" t="str">
        <f t="shared" si="113"/>
        <v>[YCKiBAp8QAg]|10-14|Female|DIAGNOSED_SUBNAT_Attend.T_1|CY2024Q3</v>
      </c>
    </row>
    <row r="3616" spans="4:18" x14ac:dyDescent="0.2">
      <c r="D3616" t="s">
        <v>75</v>
      </c>
      <c r="E3616" t="s">
        <v>76</v>
      </c>
      <c r="F3616" t="s">
        <v>77</v>
      </c>
      <c r="G3616" t="s">
        <v>152</v>
      </c>
      <c r="H3616" t="s">
        <v>152</v>
      </c>
      <c r="I3616" t="s">
        <v>38</v>
      </c>
      <c r="J3616" t="s">
        <v>39</v>
      </c>
      <c r="K3616" t="s">
        <v>30</v>
      </c>
      <c r="L3616" t="s">
        <v>31</v>
      </c>
      <c r="M3616" t="s">
        <v>140</v>
      </c>
      <c r="N3616">
        <v>682</v>
      </c>
      <c r="O3616">
        <v>6.0883579E-2</v>
      </c>
      <c r="P3616">
        <v>1.7981343E-2</v>
      </c>
      <c r="Q3616" t="str">
        <f t="shared" si="112"/>
        <v>15-24</v>
      </c>
      <c r="R3616" t="str">
        <f t="shared" si="113"/>
        <v>[YCKiBAp8QAg]|15-24|Female|DIAGNOSED_SUBNAT_Attend.T_1|CY2024Q3</v>
      </c>
    </row>
    <row r="3617" spans="4:18" x14ac:dyDescent="0.2">
      <c r="D3617" t="s">
        <v>75</v>
      </c>
      <c r="E3617" t="s">
        <v>76</v>
      </c>
      <c r="F3617" t="s">
        <v>77</v>
      </c>
      <c r="G3617" t="s">
        <v>152</v>
      </c>
      <c r="H3617" t="s">
        <v>152</v>
      </c>
      <c r="I3617" t="s">
        <v>41</v>
      </c>
      <c r="J3617" t="s">
        <v>42</v>
      </c>
      <c r="K3617" t="s">
        <v>30</v>
      </c>
      <c r="L3617" t="s">
        <v>31</v>
      </c>
      <c r="M3617" t="s">
        <v>140</v>
      </c>
      <c r="N3617">
        <v>1696</v>
      </c>
      <c r="O3617">
        <v>4.0353443000000003E-2</v>
      </c>
      <c r="P3617">
        <v>1.7981343E-2</v>
      </c>
      <c r="Q3617" t="str">
        <f t="shared" si="112"/>
        <v>25-34</v>
      </c>
      <c r="R3617" t="str">
        <f t="shared" si="113"/>
        <v>[YCKiBAp8QAg]|25-34|Female|DIAGNOSED_SUBNAT_Attend.T_1|CY2024Q3</v>
      </c>
    </row>
    <row r="3618" spans="4:18" x14ac:dyDescent="0.2">
      <c r="D3618" t="s">
        <v>75</v>
      </c>
      <c r="E3618" t="s">
        <v>76</v>
      </c>
      <c r="F3618" t="s">
        <v>77</v>
      </c>
      <c r="G3618" t="s">
        <v>152</v>
      </c>
      <c r="H3618" t="s">
        <v>152</v>
      </c>
      <c r="I3618" t="s">
        <v>43</v>
      </c>
      <c r="J3618" t="s">
        <v>44</v>
      </c>
      <c r="K3618" t="s">
        <v>30</v>
      </c>
      <c r="L3618" t="s">
        <v>31</v>
      </c>
      <c r="M3618" t="s">
        <v>140</v>
      </c>
      <c r="N3618">
        <v>4501</v>
      </c>
      <c r="O3618">
        <v>2.56568E-2</v>
      </c>
      <c r="P3618">
        <v>1.7981343E-2</v>
      </c>
      <c r="Q3618" t="str">
        <f t="shared" si="112"/>
        <v>35-49</v>
      </c>
      <c r="R3618" t="str">
        <f t="shared" si="113"/>
        <v>[YCKiBAp8QAg]|35-49|Female|DIAGNOSED_SUBNAT_Attend.T_1|CY2024Q3</v>
      </c>
    </row>
    <row r="3619" spans="4:18" x14ac:dyDescent="0.2">
      <c r="D3619" t="s">
        <v>75</v>
      </c>
      <c r="E3619" t="s">
        <v>76</v>
      </c>
      <c r="F3619" t="s">
        <v>77</v>
      </c>
      <c r="G3619" t="s">
        <v>152</v>
      </c>
      <c r="H3619" t="s">
        <v>152</v>
      </c>
      <c r="I3619" t="s">
        <v>45</v>
      </c>
      <c r="J3619" t="s">
        <v>46</v>
      </c>
      <c r="K3619" t="s">
        <v>30</v>
      </c>
      <c r="L3619" t="s">
        <v>31</v>
      </c>
      <c r="M3619" t="s">
        <v>140</v>
      </c>
      <c r="N3619">
        <v>2018</v>
      </c>
      <c r="O3619">
        <v>4.5670738000000002E-2</v>
      </c>
      <c r="P3619">
        <v>1.7981343E-2</v>
      </c>
      <c r="Q3619" t="str">
        <f t="shared" si="112"/>
        <v>50+</v>
      </c>
      <c r="R3619" t="str">
        <f t="shared" si="113"/>
        <v>[YCKiBAp8QAg]|50+|Female|DIAGNOSED_SUBNAT_Attend.T_1|CY2024Q3</v>
      </c>
    </row>
    <row r="3620" spans="4:18" x14ac:dyDescent="0.2">
      <c r="D3620" t="s">
        <v>75</v>
      </c>
      <c r="E3620" t="s">
        <v>76</v>
      </c>
      <c r="F3620" t="s">
        <v>77</v>
      </c>
      <c r="G3620" t="s">
        <v>152</v>
      </c>
      <c r="H3620" t="s">
        <v>152</v>
      </c>
      <c r="I3620" t="s">
        <v>28</v>
      </c>
      <c r="J3620" t="s">
        <v>29</v>
      </c>
      <c r="K3620" t="s">
        <v>48</v>
      </c>
      <c r="L3620" t="s">
        <v>49</v>
      </c>
      <c r="M3620" t="s">
        <v>140</v>
      </c>
      <c r="N3620">
        <v>6</v>
      </c>
      <c r="O3620">
        <v>3.3227307999999997E-2</v>
      </c>
      <c r="P3620">
        <v>1.7981343E-2</v>
      </c>
      <c r="Q3620" t="str">
        <f t="shared" si="112"/>
        <v>&lt;01</v>
      </c>
      <c r="R3620" t="str">
        <f t="shared" si="113"/>
        <v>[YCKiBAp8QAg]|&lt;01|Male|DIAGNOSED_SUBNAT_Attend.T_1|CY2024Q3</v>
      </c>
    </row>
    <row r="3621" spans="4:18" x14ac:dyDescent="0.2">
      <c r="D3621" t="s">
        <v>75</v>
      </c>
      <c r="E3621" t="s">
        <v>76</v>
      </c>
      <c r="F3621" t="s">
        <v>77</v>
      </c>
      <c r="G3621" t="s">
        <v>152</v>
      </c>
      <c r="H3621" t="s">
        <v>152</v>
      </c>
      <c r="I3621" t="s">
        <v>36</v>
      </c>
      <c r="J3621" t="s">
        <v>37</v>
      </c>
      <c r="K3621" t="s">
        <v>48</v>
      </c>
      <c r="L3621" t="s">
        <v>49</v>
      </c>
      <c r="M3621" t="s">
        <v>140</v>
      </c>
      <c r="N3621">
        <v>163</v>
      </c>
      <c r="O3621">
        <v>3.4008505000000001E-2</v>
      </c>
      <c r="P3621">
        <v>1.7981343E-2</v>
      </c>
      <c r="Q3621" t="str">
        <f t="shared" si="112"/>
        <v>10-14</v>
      </c>
      <c r="R3621" t="str">
        <f t="shared" si="113"/>
        <v>[YCKiBAp8QAg]|10-14|Male|DIAGNOSED_SUBNAT_Attend.T_1|CY2024Q3</v>
      </c>
    </row>
    <row r="3622" spans="4:18" x14ac:dyDescent="0.2">
      <c r="D3622" t="s">
        <v>75</v>
      </c>
      <c r="E3622" t="s">
        <v>76</v>
      </c>
      <c r="F3622" t="s">
        <v>77</v>
      </c>
      <c r="G3622" t="s">
        <v>152</v>
      </c>
      <c r="H3622" t="s">
        <v>152</v>
      </c>
      <c r="I3622" t="s">
        <v>38</v>
      </c>
      <c r="J3622" t="s">
        <v>39</v>
      </c>
      <c r="K3622" t="s">
        <v>48</v>
      </c>
      <c r="L3622" t="s">
        <v>49</v>
      </c>
      <c r="M3622" t="s">
        <v>140</v>
      </c>
      <c r="N3622">
        <v>489</v>
      </c>
      <c r="O3622">
        <v>7.1147537999999996E-2</v>
      </c>
      <c r="P3622">
        <v>1.7981343E-2</v>
      </c>
      <c r="Q3622" t="str">
        <f t="shared" si="112"/>
        <v>15-24</v>
      </c>
      <c r="R3622" t="str">
        <f t="shared" si="113"/>
        <v>[YCKiBAp8QAg]|15-24|Male|DIAGNOSED_SUBNAT_Attend.T_1|CY2024Q3</v>
      </c>
    </row>
    <row r="3623" spans="4:18" x14ac:dyDescent="0.2">
      <c r="D3623" t="s">
        <v>75</v>
      </c>
      <c r="E3623" t="s">
        <v>76</v>
      </c>
      <c r="F3623" t="s">
        <v>77</v>
      </c>
      <c r="G3623" t="s">
        <v>152</v>
      </c>
      <c r="H3623" t="s">
        <v>152</v>
      </c>
      <c r="I3623" t="s">
        <v>41</v>
      </c>
      <c r="J3623" t="s">
        <v>42</v>
      </c>
      <c r="K3623" t="s">
        <v>48</v>
      </c>
      <c r="L3623" t="s">
        <v>49</v>
      </c>
      <c r="M3623" t="s">
        <v>140</v>
      </c>
      <c r="N3623">
        <v>601</v>
      </c>
      <c r="O3623">
        <v>6.7984887999999993E-2</v>
      </c>
      <c r="P3623">
        <v>1.7981343E-2</v>
      </c>
      <c r="Q3623" t="str">
        <f t="shared" si="112"/>
        <v>25-34</v>
      </c>
      <c r="R3623" t="str">
        <f t="shared" si="113"/>
        <v>[YCKiBAp8QAg]|25-34|Male|DIAGNOSED_SUBNAT_Attend.T_1|CY2024Q3</v>
      </c>
    </row>
    <row r="3624" spans="4:18" x14ac:dyDescent="0.2">
      <c r="D3624" t="s">
        <v>75</v>
      </c>
      <c r="E3624" t="s">
        <v>76</v>
      </c>
      <c r="F3624" t="s">
        <v>77</v>
      </c>
      <c r="G3624" t="s">
        <v>152</v>
      </c>
      <c r="H3624" t="s">
        <v>152</v>
      </c>
      <c r="I3624" t="s">
        <v>43</v>
      </c>
      <c r="J3624" t="s">
        <v>44</v>
      </c>
      <c r="K3624" t="s">
        <v>48</v>
      </c>
      <c r="L3624" t="s">
        <v>49</v>
      </c>
      <c r="M3624" t="s">
        <v>140</v>
      </c>
      <c r="N3624">
        <v>2426</v>
      </c>
      <c r="O3624">
        <v>3.4735164999999998E-2</v>
      </c>
      <c r="P3624">
        <v>1.7981343E-2</v>
      </c>
      <c r="Q3624" t="str">
        <f t="shared" si="112"/>
        <v>35-49</v>
      </c>
      <c r="R3624" t="str">
        <f t="shared" si="113"/>
        <v>[YCKiBAp8QAg]|35-49|Male|DIAGNOSED_SUBNAT_Attend.T_1|CY2024Q3</v>
      </c>
    </row>
    <row r="3625" spans="4:18" x14ac:dyDescent="0.2">
      <c r="D3625" t="s">
        <v>75</v>
      </c>
      <c r="E3625" t="s">
        <v>76</v>
      </c>
      <c r="F3625" t="s">
        <v>77</v>
      </c>
      <c r="G3625" t="s">
        <v>152</v>
      </c>
      <c r="H3625" t="s">
        <v>152</v>
      </c>
      <c r="I3625" t="s">
        <v>45</v>
      </c>
      <c r="J3625" t="s">
        <v>46</v>
      </c>
      <c r="K3625" t="s">
        <v>48</v>
      </c>
      <c r="L3625" t="s">
        <v>49</v>
      </c>
      <c r="M3625" t="s">
        <v>140</v>
      </c>
      <c r="N3625">
        <v>1924</v>
      </c>
      <c r="O3625">
        <v>4.0972724000000002E-2</v>
      </c>
      <c r="P3625">
        <v>1.7981343E-2</v>
      </c>
      <c r="Q3625" t="str">
        <f t="shared" si="112"/>
        <v>50+</v>
      </c>
      <c r="R3625" t="str">
        <f t="shared" si="113"/>
        <v>[YCKiBAp8QAg]|50+|Male|DIAGNOSED_SUBNAT_Attend.T_1|CY2024Q3</v>
      </c>
    </row>
    <row r="3626" spans="4:18" x14ac:dyDescent="0.2">
      <c r="D3626" t="s">
        <v>78</v>
      </c>
      <c r="E3626" t="s">
        <v>79</v>
      </c>
      <c r="F3626" t="s">
        <v>80</v>
      </c>
      <c r="G3626" t="s">
        <v>152</v>
      </c>
      <c r="H3626" t="s">
        <v>152</v>
      </c>
      <c r="I3626" t="s">
        <v>28</v>
      </c>
      <c r="J3626" t="s">
        <v>29</v>
      </c>
      <c r="K3626" t="s">
        <v>30</v>
      </c>
      <c r="L3626" t="s">
        <v>31</v>
      </c>
      <c r="M3626" t="s">
        <v>140</v>
      </c>
      <c r="N3626">
        <v>2</v>
      </c>
      <c r="O3626">
        <v>6.1297244000000001E-2</v>
      </c>
      <c r="P3626">
        <v>2.2221562E-2</v>
      </c>
      <c r="Q3626" t="str">
        <f t="shared" si="112"/>
        <v>&lt;01</v>
      </c>
      <c r="R3626" t="str">
        <f t="shared" si="113"/>
        <v>[fiRkU6gEjLz]|&lt;01|Female|DIAGNOSED_SUBNAT_Attend.T_1|CY2024Q3</v>
      </c>
    </row>
    <row r="3627" spans="4:18" x14ac:dyDescent="0.2">
      <c r="D3627" t="s">
        <v>78</v>
      </c>
      <c r="E3627" t="s">
        <v>79</v>
      </c>
      <c r="F3627" t="s">
        <v>80</v>
      </c>
      <c r="G3627" t="s">
        <v>152</v>
      </c>
      <c r="H3627" t="s">
        <v>152</v>
      </c>
      <c r="I3627" t="s">
        <v>36</v>
      </c>
      <c r="J3627" t="s">
        <v>37</v>
      </c>
      <c r="K3627" t="s">
        <v>30</v>
      </c>
      <c r="L3627" t="s">
        <v>31</v>
      </c>
      <c r="M3627" t="s">
        <v>140</v>
      </c>
      <c r="N3627">
        <v>53</v>
      </c>
      <c r="O3627">
        <v>5.4489494999999999E-2</v>
      </c>
      <c r="P3627">
        <v>2.2221562E-2</v>
      </c>
      <c r="Q3627" t="str">
        <f t="shared" si="112"/>
        <v>10-14</v>
      </c>
      <c r="R3627" t="str">
        <f t="shared" si="113"/>
        <v>[fiRkU6gEjLz]|10-14|Female|DIAGNOSED_SUBNAT_Attend.T_1|CY2024Q3</v>
      </c>
    </row>
    <row r="3628" spans="4:18" x14ac:dyDescent="0.2">
      <c r="D3628" t="s">
        <v>78</v>
      </c>
      <c r="E3628" t="s">
        <v>79</v>
      </c>
      <c r="F3628" t="s">
        <v>80</v>
      </c>
      <c r="G3628" t="s">
        <v>152</v>
      </c>
      <c r="H3628" t="s">
        <v>152</v>
      </c>
      <c r="I3628" t="s">
        <v>38</v>
      </c>
      <c r="J3628" t="s">
        <v>39</v>
      </c>
      <c r="K3628" t="s">
        <v>30</v>
      </c>
      <c r="L3628" t="s">
        <v>31</v>
      </c>
      <c r="M3628" t="s">
        <v>140</v>
      </c>
      <c r="N3628">
        <v>218</v>
      </c>
      <c r="O3628">
        <v>6.2897106999999994E-2</v>
      </c>
      <c r="P3628">
        <v>2.2221562E-2</v>
      </c>
      <c r="Q3628" t="str">
        <f t="shared" si="112"/>
        <v>15-24</v>
      </c>
      <c r="R3628" t="str">
        <f t="shared" si="113"/>
        <v>[fiRkU6gEjLz]|15-24|Female|DIAGNOSED_SUBNAT_Attend.T_1|CY2024Q3</v>
      </c>
    </row>
    <row r="3629" spans="4:18" x14ac:dyDescent="0.2">
      <c r="D3629" t="s">
        <v>78</v>
      </c>
      <c r="E3629" t="s">
        <v>79</v>
      </c>
      <c r="F3629" t="s">
        <v>80</v>
      </c>
      <c r="G3629" t="s">
        <v>152</v>
      </c>
      <c r="H3629" t="s">
        <v>152</v>
      </c>
      <c r="I3629" t="s">
        <v>41</v>
      </c>
      <c r="J3629" t="s">
        <v>42</v>
      </c>
      <c r="K3629" t="s">
        <v>30</v>
      </c>
      <c r="L3629" t="s">
        <v>31</v>
      </c>
      <c r="M3629" t="s">
        <v>140</v>
      </c>
      <c r="N3629">
        <v>555</v>
      </c>
      <c r="O3629">
        <v>4.5351730999999999E-2</v>
      </c>
      <c r="P3629">
        <v>2.2221562E-2</v>
      </c>
      <c r="Q3629" t="str">
        <f t="shared" si="112"/>
        <v>25-34</v>
      </c>
      <c r="R3629" t="str">
        <f t="shared" si="113"/>
        <v>[fiRkU6gEjLz]|25-34|Female|DIAGNOSED_SUBNAT_Attend.T_1|CY2024Q3</v>
      </c>
    </row>
    <row r="3630" spans="4:18" x14ac:dyDescent="0.2">
      <c r="D3630" t="s">
        <v>78</v>
      </c>
      <c r="E3630" t="s">
        <v>79</v>
      </c>
      <c r="F3630" t="s">
        <v>80</v>
      </c>
      <c r="G3630" t="s">
        <v>152</v>
      </c>
      <c r="H3630" t="s">
        <v>152</v>
      </c>
      <c r="I3630" t="s">
        <v>43</v>
      </c>
      <c r="J3630" t="s">
        <v>44</v>
      </c>
      <c r="K3630" t="s">
        <v>30</v>
      </c>
      <c r="L3630" t="s">
        <v>31</v>
      </c>
      <c r="M3630" t="s">
        <v>140</v>
      </c>
      <c r="N3630">
        <v>1569</v>
      </c>
      <c r="O3630">
        <v>3.1121164E-2</v>
      </c>
      <c r="P3630">
        <v>2.2221562E-2</v>
      </c>
      <c r="Q3630" t="str">
        <f t="shared" si="112"/>
        <v>35-49</v>
      </c>
      <c r="R3630" t="str">
        <f t="shared" si="113"/>
        <v>[fiRkU6gEjLz]|35-49|Female|DIAGNOSED_SUBNAT_Attend.T_1|CY2024Q3</v>
      </c>
    </row>
    <row r="3631" spans="4:18" x14ac:dyDescent="0.2">
      <c r="D3631" t="s">
        <v>78</v>
      </c>
      <c r="E3631" t="s">
        <v>79</v>
      </c>
      <c r="F3631" t="s">
        <v>80</v>
      </c>
      <c r="G3631" t="s">
        <v>152</v>
      </c>
      <c r="H3631" t="s">
        <v>152</v>
      </c>
      <c r="I3631" t="s">
        <v>45</v>
      </c>
      <c r="J3631" t="s">
        <v>46</v>
      </c>
      <c r="K3631" t="s">
        <v>30</v>
      </c>
      <c r="L3631" t="s">
        <v>31</v>
      </c>
      <c r="M3631" t="s">
        <v>140</v>
      </c>
      <c r="N3631">
        <v>751</v>
      </c>
      <c r="O3631">
        <v>4.5624601000000001E-2</v>
      </c>
      <c r="P3631">
        <v>2.2221562E-2</v>
      </c>
      <c r="Q3631" t="str">
        <f t="shared" si="112"/>
        <v>50+</v>
      </c>
      <c r="R3631" t="str">
        <f t="shared" si="113"/>
        <v>[fiRkU6gEjLz]|50+|Female|DIAGNOSED_SUBNAT_Attend.T_1|CY2024Q3</v>
      </c>
    </row>
    <row r="3632" spans="4:18" x14ac:dyDescent="0.2">
      <c r="D3632" t="s">
        <v>78</v>
      </c>
      <c r="E3632" t="s">
        <v>79</v>
      </c>
      <c r="F3632" t="s">
        <v>80</v>
      </c>
      <c r="G3632" t="s">
        <v>152</v>
      </c>
      <c r="H3632" t="s">
        <v>152</v>
      </c>
      <c r="I3632" t="s">
        <v>28</v>
      </c>
      <c r="J3632" t="s">
        <v>29</v>
      </c>
      <c r="K3632" t="s">
        <v>48</v>
      </c>
      <c r="L3632" t="s">
        <v>49</v>
      </c>
      <c r="M3632" t="s">
        <v>140</v>
      </c>
      <c r="N3632">
        <v>2</v>
      </c>
      <c r="O3632">
        <v>4.6333749E-2</v>
      </c>
      <c r="P3632">
        <v>2.2221562E-2</v>
      </c>
      <c r="Q3632" t="str">
        <f t="shared" si="112"/>
        <v>&lt;01</v>
      </c>
      <c r="R3632" t="str">
        <f t="shared" si="113"/>
        <v>[fiRkU6gEjLz]|&lt;01|Male|DIAGNOSED_SUBNAT_Attend.T_1|CY2024Q3</v>
      </c>
    </row>
    <row r="3633" spans="4:18" x14ac:dyDescent="0.2">
      <c r="D3633" t="s">
        <v>78</v>
      </c>
      <c r="E3633" t="s">
        <v>79</v>
      </c>
      <c r="F3633" t="s">
        <v>80</v>
      </c>
      <c r="G3633" t="s">
        <v>152</v>
      </c>
      <c r="H3633" t="s">
        <v>152</v>
      </c>
      <c r="I3633" t="s">
        <v>36</v>
      </c>
      <c r="J3633" t="s">
        <v>37</v>
      </c>
      <c r="K3633" t="s">
        <v>48</v>
      </c>
      <c r="L3633" t="s">
        <v>49</v>
      </c>
      <c r="M3633" t="s">
        <v>140</v>
      </c>
      <c r="N3633">
        <v>54</v>
      </c>
      <c r="O3633">
        <v>4.7799598999999998E-2</v>
      </c>
      <c r="P3633">
        <v>2.2221562E-2</v>
      </c>
      <c r="Q3633" t="str">
        <f t="shared" si="112"/>
        <v>10-14</v>
      </c>
      <c r="R3633" t="str">
        <f t="shared" si="113"/>
        <v>[fiRkU6gEjLz]|10-14|Male|DIAGNOSED_SUBNAT_Attend.T_1|CY2024Q3</v>
      </c>
    </row>
    <row r="3634" spans="4:18" x14ac:dyDescent="0.2">
      <c r="D3634" t="s">
        <v>78</v>
      </c>
      <c r="E3634" t="s">
        <v>79</v>
      </c>
      <c r="F3634" t="s">
        <v>80</v>
      </c>
      <c r="G3634" t="s">
        <v>152</v>
      </c>
      <c r="H3634" t="s">
        <v>152</v>
      </c>
      <c r="I3634" t="s">
        <v>38</v>
      </c>
      <c r="J3634" t="s">
        <v>39</v>
      </c>
      <c r="K3634" t="s">
        <v>48</v>
      </c>
      <c r="L3634" t="s">
        <v>49</v>
      </c>
      <c r="M3634" t="s">
        <v>140</v>
      </c>
      <c r="N3634">
        <v>159</v>
      </c>
      <c r="O3634">
        <v>7.2044998999999998E-2</v>
      </c>
      <c r="P3634">
        <v>2.2221562E-2</v>
      </c>
      <c r="Q3634" t="str">
        <f t="shared" si="112"/>
        <v>15-24</v>
      </c>
      <c r="R3634" t="str">
        <f t="shared" si="113"/>
        <v>[fiRkU6gEjLz]|15-24|Male|DIAGNOSED_SUBNAT_Attend.T_1|CY2024Q3</v>
      </c>
    </row>
    <row r="3635" spans="4:18" x14ac:dyDescent="0.2">
      <c r="D3635" t="s">
        <v>78</v>
      </c>
      <c r="E3635" t="s">
        <v>79</v>
      </c>
      <c r="F3635" t="s">
        <v>80</v>
      </c>
      <c r="G3635" t="s">
        <v>152</v>
      </c>
      <c r="H3635" t="s">
        <v>152</v>
      </c>
      <c r="I3635" t="s">
        <v>41</v>
      </c>
      <c r="J3635" t="s">
        <v>42</v>
      </c>
      <c r="K3635" t="s">
        <v>48</v>
      </c>
      <c r="L3635" t="s">
        <v>49</v>
      </c>
      <c r="M3635" t="s">
        <v>140</v>
      </c>
      <c r="N3635">
        <v>208</v>
      </c>
      <c r="O3635">
        <v>7.1755631E-2</v>
      </c>
      <c r="P3635">
        <v>2.2221562E-2</v>
      </c>
      <c r="Q3635" t="str">
        <f t="shared" si="112"/>
        <v>25-34</v>
      </c>
      <c r="R3635" t="str">
        <f t="shared" si="113"/>
        <v>[fiRkU6gEjLz]|25-34|Male|DIAGNOSED_SUBNAT_Attend.T_1|CY2024Q3</v>
      </c>
    </row>
    <row r="3636" spans="4:18" x14ac:dyDescent="0.2">
      <c r="D3636" t="s">
        <v>78</v>
      </c>
      <c r="E3636" t="s">
        <v>79</v>
      </c>
      <c r="F3636" t="s">
        <v>80</v>
      </c>
      <c r="G3636" t="s">
        <v>152</v>
      </c>
      <c r="H3636" t="s">
        <v>152</v>
      </c>
      <c r="I3636" t="s">
        <v>43</v>
      </c>
      <c r="J3636" t="s">
        <v>44</v>
      </c>
      <c r="K3636" t="s">
        <v>48</v>
      </c>
      <c r="L3636" t="s">
        <v>49</v>
      </c>
      <c r="M3636" t="s">
        <v>140</v>
      </c>
      <c r="N3636">
        <v>860</v>
      </c>
      <c r="O3636">
        <v>3.9480527000000001E-2</v>
      </c>
      <c r="P3636">
        <v>2.2221562E-2</v>
      </c>
      <c r="Q3636" t="str">
        <f t="shared" si="112"/>
        <v>35-49</v>
      </c>
      <c r="R3636" t="str">
        <f t="shared" si="113"/>
        <v>[fiRkU6gEjLz]|35-49|Male|DIAGNOSED_SUBNAT_Attend.T_1|CY2024Q3</v>
      </c>
    </row>
    <row r="3637" spans="4:18" x14ac:dyDescent="0.2">
      <c r="D3637" t="s">
        <v>78</v>
      </c>
      <c r="E3637" t="s">
        <v>79</v>
      </c>
      <c r="F3637" t="s">
        <v>80</v>
      </c>
      <c r="G3637" t="s">
        <v>152</v>
      </c>
      <c r="H3637" t="s">
        <v>152</v>
      </c>
      <c r="I3637" t="s">
        <v>45</v>
      </c>
      <c r="J3637" t="s">
        <v>46</v>
      </c>
      <c r="K3637" t="s">
        <v>48</v>
      </c>
      <c r="L3637" t="s">
        <v>49</v>
      </c>
      <c r="M3637" t="s">
        <v>140</v>
      </c>
      <c r="N3637">
        <v>676</v>
      </c>
      <c r="O3637">
        <v>4.4490760999999997E-2</v>
      </c>
      <c r="P3637">
        <v>2.2221562E-2</v>
      </c>
      <c r="Q3637" t="str">
        <f t="shared" si="112"/>
        <v>50+</v>
      </c>
      <c r="R3637" t="str">
        <f t="shared" si="113"/>
        <v>[fiRkU6gEjLz]|50+|Male|DIAGNOSED_SUBNAT_Attend.T_1|CY2024Q3</v>
      </c>
    </row>
    <row r="3638" spans="4:18" x14ac:dyDescent="0.2">
      <c r="D3638" t="s">
        <v>81</v>
      </c>
      <c r="E3638" t="s">
        <v>82</v>
      </c>
      <c r="F3638" t="s">
        <v>83</v>
      </c>
      <c r="G3638" t="s">
        <v>152</v>
      </c>
      <c r="H3638" t="s">
        <v>152</v>
      </c>
      <c r="I3638" t="s">
        <v>28</v>
      </c>
      <c r="J3638" t="s">
        <v>29</v>
      </c>
      <c r="K3638" t="s">
        <v>30</v>
      </c>
      <c r="L3638" t="s">
        <v>31</v>
      </c>
      <c r="M3638" t="s">
        <v>140</v>
      </c>
      <c r="N3638">
        <v>5</v>
      </c>
      <c r="O3638">
        <v>5.0042603999999997E-2</v>
      </c>
      <c r="P3638">
        <v>1.4998694999999999E-2</v>
      </c>
      <c r="Q3638" t="str">
        <f t="shared" si="112"/>
        <v>&lt;01</v>
      </c>
      <c r="R3638" t="str">
        <f t="shared" si="113"/>
        <v>[zphK9WV8JB4]|&lt;01|Female|DIAGNOSED_SUBNAT_Attend.T_1|CY2024Q3</v>
      </c>
    </row>
    <row r="3639" spans="4:18" x14ac:dyDescent="0.2">
      <c r="D3639" t="s">
        <v>81</v>
      </c>
      <c r="E3639" t="s">
        <v>82</v>
      </c>
      <c r="F3639" t="s">
        <v>83</v>
      </c>
      <c r="G3639" t="s">
        <v>152</v>
      </c>
      <c r="H3639" t="s">
        <v>152</v>
      </c>
      <c r="I3639" t="s">
        <v>36</v>
      </c>
      <c r="J3639" t="s">
        <v>37</v>
      </c>
      <c r="K3639" t="s">
        <v>30</v>
      </c>
      <c r="L3639" t="s">
        <v>31</v>
      </c>
      <c r="M3639" t="s">
        <v>140</v>
      </c>
      <c r="N3639">
        <v>123</v>
      </c>
      <c r="O3639">
        <v>4.0042013000000001E-2</v>
      </c>
      <c r="P3639">
        <v>1.4998694999999999E-2</v>
      </c>
      <c r="Q3639" t="str">
        <f t="shared" si="112"/>
        <v>10-14</v>
      </c>
      <c r="R3639" t="str">
        <f t="shared" si="113"/>
        <v>[zphK9WV8JB4]|10-14|Female|DIAGNOSED_SUBNAT_Attend.T_1|CY2024Q3</v>
      </c>
    </row>
    <row r="3640" spans="4:18" x14ac:dyDescent="0.2">
      <c r="D3640" t="s">
        <v>81</v>
      </c>
      <c r="E3640" t="s">
        <v>82</v>
      </c>
      <c r="F3640" t="s">
        <v>83</v>
      </c>
      <c r="G3640" t="s">
        <v>152</v>
      </c>
      <c r="H3640" t="s">
        <v>152</v>
      </c>
      <c r="I3640" t="s">
        <v>38</v>
      </c>
      <c r="J3640" t="s">
        <v>39</v>
      </c>
      <c r="K3640" t="s">
        <v>30</v>
      </c>
      <c r="L3640" t="s">
        <v>31</v>
      </c>
      <c r="M3640" t="s">
        <v>140</v>
      </c>
      <c r="N3640">
        <v>565</v>
      </c>
      <c r="O3640">
        <v>6.1672494000000001E-2</v>
      </c>
      <c r="P3640">
        <v>1.4998694999999999E-2</v>
      </c>
      <c r="Q3640" t="str">
        <f t="shared" si="112"/>
        <v>15-24</v>
      </c>
      <c r="R3640" t="str">
        <f t="shared" si="113"/>
        <v>[zphK9WV8JB4]|15-24|Female|DIAGNOSED_SUBNAT_Attend.T_1|CY2024Q3</v>
      </c>
    </row>
    <row r="3641" spans="4:18" x14ac:dyDescent="0.2">
      <c r="D3641" t="s">
        <v>81</v>
      </c>
      <c r="E3641" t="s">
        <v>82</v>
      </c>
      <c r="F3641" t="s">
        <v>83</v>
      </c>
      <c r="G3641" t="s">
        <v>152</v>
      </c>
      <c r="H3641" t="s">
        <v>152</v>
      </c>
      <c r="I3641" t="s">
        <v>41</v>
      </c>
      <c r="J3641" t="s">
        <v>42</v>
      </c>
      <c r="K3641" t="s">
        <v>30</v>
      </c>
      <c r="L3641" t="s">
        <v>31</v>
      </c>
      <c r="M3641" t="s">
        <v>140</v>
      </c>
      <c r="N3641">
        <v>1492</v>
      </c>
      <c r="O3641">
        <v>4.4360668999999998E-2</v>
      </c>
      <c r="P3641">
        <v>1.4998694999999999E-2</v>
      </c>
      <c r="Q3641" t="str">
        <f t="shared" si="112"/>
        <v>25-34</v>
      </c>
      <c r="R3641" t="str">
        <f t="shared" si="113"/>
        <v>[zphK9WV8JB4]|25-34|Female|DIAGNOSED_SUBNAT_Attend.T_1|CY2024Q3</v>
      </c>
    </row>
    <row r="3642" spans="4:18" x14ac:dyDescent="0.2">
      <c r="D3642" t="s">
        <v>81</v>
      </c>
      <c r="E3642" t="s">
        <v>82</v>
      </c>
      <c r="F3642" t="s">
        <v>83</v>
      </c>
      <c r="G3642" t="s">
        <v>152</v>
      </c>
      <c r="H3642" t="s">
        <v>152</v>
      </c>
      <c r="I3642" t="s">
        <v>43</v>
      </c>
      <c r="J3642" t="s">
        <v>44</v>
      </c>
      <c r="K3642" t="s">
        <v>30</v>
      </c>
      <c r="L3642" t="s">
        <v>31</v>
      </c>
      <c r="M3642" t="s">
        <v>140</v>
      </c>
      <c r="N3642">
        <v>4221</v>
      </c>
      <c r="O3642">
        <v>2.5819716999999999E-2</v>
      </c>
      <c r="P3642">
        <v>1.4998694999999999E-2</v>
      </c>
      <c r="Q3642" t="str">
        <f t="shared" si="112"/>
        <v>35-49</v>
      </c>
      <c r="R3642" t="str">
        <f t="shared" si="113"/>
        <v>[zphK9WV8JB4]|35-49|Female|DIAGNOSED_SUBNAT_Attend.T_1|CY2024Q3</v>
      </c>
    </row>
    <row r="3643" spans="4:18" x14ac:dyDescent="0.2">
      <c r="D3643" t="s">
        <v>81</v>
      </c>
      <c r="E3643" t="s">
        <v>82</v>
      </c>
      <c r="F3643" t="s">
        <v>83</v>
      </c>
      <c r="G3643" t="s">
        <v>152</v>
      </c>
      <c r="H3643" t="s">
        <v>152</v>
      </c>
      <c r="I3643" t="s">
        <v>45</v>
      </c>
      <c r="J3643" t="s">
        <v>46</v>
      </c>
      <c r="K3643" t="s">
        <v>30</v>
      </c>
      <c r="L3643" t="s">
        <v>31</v>
      </c>
      <c r="M3643" t="s">
        <v>140</v>
      </c>
      <c r="N3643">
        <v>2058</v>
      </c>
      <c r="O3643">
        <v>4.1997110999999997E-2</v>
      </c>
      <c r="P3643">
        <v>1.4998694999999999E-2</v>
      </c>
      <c r="Q3643" t="str">
        <f t="shared" si="112"/>
        <v>50+</v>
      </c>
      <c r="R3643" t="str">
        <f t="shared" si="113"/>
        <v>[zphK9WV8JB4]|50+|Female|DIAGNOSED_SUBNAT_Attend.T_1|CY2024Q3</v>
      </c>
    </row>
    <row r="3644" spans="4:18" x14ac:dyDescent="0.2">
      <c r="D3644" t="s">
        <v>81</v>
      </c>
      <c r="E3644" t="s">
        <v>82</v>
      </c>
      <c r="F3644" t="s">
        <v>83</v>
      </c>
      <c r="G3644" t="s">
        <v>152</v>
      </c>
      <c r="H3644" t="s">
        <v>152</v>
      </c>
      <c r="I3644" t="s">
        <v>28</v>
      </c>
      <c r="J3644" t="s">
        <v>29</v>
      </c>
      <c r="K3644" t="s">
        <v>48</v>
      </c>
      <c r="L3644" t="s">
        <v>49</v>
      </c>
      <c r="M3644" t="s">
        <v>140</v>
      </c>
      <c r="N3644">
        <v>5</v>
      </c>
      <c r="O3644">
        <v>3.7999563E-2</v>
      </c>
      <c r="P3644">
        <v>1.4998694999999999E-2</v>
      </c>
      <c r="Q3644" t="str">
        <f t="shared" si="112"/>
        <v>&lt;01</v>
      </c>
      <c r="R3644" t="str">
        <f t="shared" si="113"/>
        <v>[zphK9WV8JB4]|&lt;01|Male|DIAGNOSED_SUBNAT_Attend.T_1|CY2024Q3</v>
      </c>
    </row>
    <row r="3645" spans="4:18" x14ac:dyDescent="0.2">
      <c r="D3645" t="s">
        <v>81</v>
      </c>
      <c r="E3645" t="s">
        <v>82</v>
      </c>
      <c r="F3645" t="s">
        <v>83</v>
      </c>
      <c r="G3645" t="s">
        <v>152</v>
      </c>
      <c r="H3645" t="s">
        <v>152</v>
      </c>
      <c r="I3645" t="s">
        <v>36</v>
      </c>
      <c r="J3645" t="s">
        <v>37</v>
      </c>
      <c r="K3645" t="s">
        <v>48</v>
      </c>
      <c r="L3645" t="s">
        <v>49</v>
      </c>
      <c r="M3645" t="s">
        <v>140</v>
      </c>
      <c r="N3645">
        <v>126</v>
      </c>
      <c r="O3645">
        <v>3.5634867000000001E-2</v>
      </c>
      <c r="P3645">
        <v>1.4998694999999999E-2</v>
      </c>
      <c r="Q3645" t="str">
        <f t="shared" si="112"/>
        <v>10-14</v>
      </c>
      <c r="R3645" t="str">
        <f t="shared" si="113"/>
        <v>[zphK9WV8JB4]|10-14|Male|DIAGNOSED_SUBNAT_Attend.T_1|CY2024Q3</v>
      </c>
    </row>
    <row r="3646" spans="4:18" x14ac:dyDescent="0.2">
      <c r="D3646" t="s">
        <v>81</v>
      </c>
      <c r="E3646" t="s">
        <v>82</v>
      </c>
      <c r="F3646" t="s">
        <v>83</v>
      </c>
      <c r="G3646" t="s">
        <v>152</v>
      </c>
      <c r="H3646" t="s">
        <v>152</v>
      </c>
      <c r="I3646" t="s">
        <v>38</v>
      </c>
      <c r="J3646" t="s">
        <v>39</v>
      </c>
      <c r="K3646" t="s">
        <v>48</v>
      </c>
      <c r="L3646" t="s">
        <v>49</v>
      </c>
      <c r="M3646" t="s">
        <v>140</v>
      </c>
      <c r="N3646">
        <v>415</v>
      </c>
      <c r="O3646">
        <v>7.2441174999999997E-2</v>
      </c>
      <c r="P3646">
        <v>1.4998694999999999E-2</v>
      </c>
      <c r="Q3646" t="str">
        <f t="shared" si="112"/>
        <v>15-24</v>
      </c>
      <c r="R3646" t="str">
        <f t="shared" si="113"/>
        <v>[zphK9WV8JB4]|15-24|Male|DIAGNOSED_SUBNAT_Attend.T_1|CY2024Q3</v>
      </c>
    </row>
    <row r="3647" spans="4:18" x14ac:dyDescent="0.2">
      <c r="D3647" t="s">
        <v>81</v>
      </c>
      <c r="E3647" t="s">
        <v>82</v>
      </c>
      <c r="F3647" t="s">
        <v>83</v>
      </c>
      <c r="G3647" t="s">
        <v>152</v>
      </c>
      <c r="H3647" t="s">
        <v>152</v>
      </c>
      <c r="I3647" t="s">
        <v>41</v>
      </c>
      <c r="J3647" t="s">
        <v>42</v>
      </c>
      <c r="K3647" t="s">
        <v>48</v>
      </c>
      <c r="L3647" t="s">
        <v>49</v>
      </c>
      <c r="M3647" t="s">
        <v>140</v>
      </c>
      <c r="N3647">
        <v>573</v>
      </c>
      <c r="O3647">
        <v>6.9500703999999996E-2</v>
      </c>
      <c r="P3647">
        <v>1.4998694999999999E-2</v>
      </c>
      <c r="Q3647" t="str">
        <f t="shared" si="112"/>
        <v>25-34</v>
      </c>
      <c r="R3647" t="str">
        <f t="shared" si="113"/>
        <v>[zphK9WV8JB4]|25-34|Male|DIAGNOSED_SUBNAT_Attend.T_1|CY2024Q3</v>
      </c>
    </row>
    <row r="3648" spans="4:18" x14ac:dyDescent="0.2">
      <c r="D3648" t="s">
        <v>81</v>
      </c>
      <c r="E3648" t="s">
        <v>82</v>
      </c>
      <c r="F3648" t="s">
        <v>83</v>
      </c>
      <c r="G3648" t="s">
        <v>152</v>
      </c>
      <c r="H3648" t="s">
        <v>152</v>
      </c>
      <c r="I3648" t="s">
        <v>43</v>
      </c>
      <c r="J3648" t="s">
        <v>44</v>
      </c>
      <c r="K3648" t="s">
        <v>48</v>
      </c>
      <c r="L3648" t="s">
        <v>49</v>
      </c>
      <c r="M3648" t="s">
        <v>140</v>
      </c>
      <c r="N3648">
        <v>2369</v>
      </c>
      <c r="O3648">
        <v>3.538123E-2</v>
      </c>
      <c r="P3648">
        <v>1.4998694999999999E-2</v>
      </c>
      <c r="Q3648" t="str">
        <f t="shared" si="112"/>
        <v>35-49</v>
      </c>
      <c r="R3648" t="str">
        <f t="shared" si="113"/>
        <v>[zphK9WV8JB4]|35-49|Male|DIAGNOSED_SUBNAT_Attend.T_1|CY2024Q3</v>
      </c>
    </row>
    <row r="3649" spans="4:18" x14ac:dyDescent="0.2">
      <c r="D3649" t="s">
        <v>81</v>
      </c>
      <c r="E3649" t="s">
        <v>82</v>
      </c>
      <c r="F3649" t="s">
        <v>83</v>
      </c>
      <c r="G3649" t="s">
        <v>152</v>
      </c>
      <c r="H3649" t="s">
        <v>152</v>
      </c>
      <c r="I3649" t="s">
        <v>45</v>
      </c>
      <c r="J3649" t="s">
        <v>46</v>
      </c>
      <c r="K3649" t="s">
        <v>48</v>
      </c>
      <c r="L3649" t="s">
        <v>49</v>
      </c>
      <c r="M3649" t="s">
        <v>140</v>
      </c>
      <c r="N3649">
        <v>1889</v>
      </c>
      <c r="O3649">
        <v>3.8685591999999998E-2</v>
      </c>
      <c r="P3649">
        <v>1.4998694999999999E-2</v>
      </c>
      <c r="Q3649" t="str">
        <f t="shared" si="112"/>
        <v>50+</v>
      </c>
      <c r="R3649" t="str">
        <f t="shared" si="113"/>
        <v>[zphK9WV8JB4]|50+|Male|DIAGNOSED_SUBNAT_Attend.T_1|CY2024Q3</v>
      </c>
    </row>
    <row r="3650" spans="4:18" x14ac:dyDescent="0.2">
      <c r="D3650" t="s">
        <v>84</v>
      </c>
      <c r="E3650" t="s">
        <v>85</v>
      </c>
      <c r="F3650" t="s">
        <v>86</v>
      </c>
      <c r="G3650" t="s">
        <v>152</v>
      </c>
      <c r="H3650" t="s">
        <v>152</v>
      </c>
      <c r="I3650" t="s">
        <v>28</v>
      </c>
      <c r="J3650" t="s">
        <v>29</v>
      </c>
      <c r="K3650" t="s">
        <v>30</v>
      </c>
      <c r="L3650" t="s">
        <v>31</v>
      </c>
      <c r="M3650" t="s">
        <v>140</v>
      </c>
      <c r="N3650">
        <v>8</v>
      </c>
      <c r="O3650">
        <v>3.7521355999999999E-2</v>
      </c>
      <c r="P3650">
        <v>1.2723808E-2</v>
      </c>
      <c r="Q3650" t="str">
        <f t="shared" si="112"/>
        <v>&lt;01</v>
      </c>
      <c r="R3650" t="str">
        <f t="shared" si="113"/>
        <v>[msW2zpIN7up]|&lt;01|Female|DIAGNOSED_SUBNAT_Attend.T_1|CY2024Q3</v>
      </c>
    </row>
    <row r="3651" spans="4:18" x14ac:dyDescent="0.2">
      <c r="D3651" t="s">
        <v>84</v>
      </c>
      <c r="E3651" t="s">
        <v>85</v>
      </c>
      <c r="F3651" t="s">
        <v>86</v>
      </c>
      <c r="G3651" t="s">
        <v>152</v>
      </c>
      <c r="H3651" t="s">
        <v>152</v>
      </c>
      <c r="I3651" t="s">
        <v>36</v>
      </c>
      <c r="J3651" t="s">
        <v>37</v>
      </c>
      <c r="K3651" t="s">
        <v>30</v>
      </c>
      <c r="L3651" t="s">
        <v>31</v>
      </c>
      <c r="M3651" t="s">
        <v>140</v>
      </c>
      <c r="N3651">
        <v>228</v>
      </c>
      <c r="O3651">
        <v>3.0710878E-2</v>
      </c>
      <c r="P3651">
        <v>1.2723808E-2</v>
      </c>
      <c r="Q3651" t="str">
        <f t="shared" ref="Q3651:Q3714" si="114">SUBSTITUTE(SUBSTITUTE($I3651,CHAR(61),""),CHAR(34),"")</f>
        <v>10-14</v>
      </c>
      <c r="R3651" t="str">
        <f t="shared" ref="R3651:R3714" si="115">IF($D3651&lt;&gt;"","["&amp;$E3651&amp;"]"&amp;"|"&amp;$Q3651&amp;"|"&amp;$K3651&amp;"|"&amp;$G3651&amp;"|"&amp;IF($G3651="TX_CURR_SUBNAT.R","CY2023Q4",$M3651),"")</f>
        <v>[msW2zpIN7up]|10-14|Female|DIAGNOSED_SUBNAT_Attend.T_1|CY2024Q3</v>
      </c>
    </row>
    <row r="3652" spans="4:18" x14ac:dyDescent="0.2">
      <c r="D3652" t="s">
        <v>84</v>
      </c>
      <c r="E3652" t="s">
        <v>85</v>
      </c>
      <c r="F3652" t="s">
        <v>86</v>
      </c>
      <c r="G3652" t="s">
        <v>152</v>
      </c>
      <c r="H3652" t="s">
        <v>152</v>
      </c>
      <c r="I3652" t="s">
        <v>38</v>
      </c>
      <c r="J3652" t="s">
        <v>39</v>
      </c>
      <c r="K3652" t="s">
        <v>30</v>
      </c>
      <c r="L3652" t="s">
        <v>31</v>
      </c>
      <c r="M3652" t="s">
        <v>140</v>
      </c>
      <c r="N3652">
        <v>863</v>
      </c>
      <c r="O3652">
        <v>6.0572496000000003E-2</v>
      </c>
      <c r="P3652">
        <v>1.2723808E-2</v>
      </c>
      <c r="Q3652" t="str">
        <f t="shared" si="114"/>
        <v>15-24</v>
      </c>
      <c r="R3652" t="str">
        <f t="shared" si="115"/>
        <v>[msW2zpIN7up]|15-24|Female|DIAGNOSED_SUBNAT_Attend.T_1|CY2024Q3</v>
      </c>
    </row>
    <row r="3653" spans="4:18" x14ac:dyDescent="0.2">
      <c r="D3653" t="s">
        <v>84</v>
      </c>
      <c r="E3653" t="s">
        <v>85</v>
      </c>
      <c r="F3653" t="s">
        <v>86</v>
      </c>
      <c r="G3653" t="s">
        <v>152</v>
      </c>
      <c r="H3653" t="s">
        <v>152</v>
      </c>
      <c r="I3653" t="s">
        <v>41</v>
      </c>
      <c r="J3653" t="s">
        <v>42</v>
      </c>
      <c r="K3653" t="s">
        <v>30</v>
      </c>
      <c r="L3653" t="s">
        <v>31</v>
      </c>
      <c r="M3653" t="s">
        <v>140</v>
      </c>
      <c r="N3653">
        <v>2225</v>
      </c>
      <c r="O3653">
        <v>3.7985504000000003E-2</v>
      </c>
      <c r="P3653">
        <v>1.2723808E-2</v>
      </c>
      <c r="Q3653" t="str">
        <f t="shared" si="114"/>
        <v>25-34</v>
      </c>
      <c r="R3653" t="str">
        <f t="shared" si="115"/>
        <v>[msW2zpIN7up]|25-34|Female|DIAGNOSED_SUBNAT_Attend.T_1|CY2024Q3</v>
      </c>
    </row>
    <row r="3654" spans="4:18" x14ac:dyDescent="0.2">
      <c r="D3654" t="s">
        <v>84</v>
      </c>
      <c r="E3654" t="s">
        <v>85</v>
      </c>
      <c r="F3654" t="s">
        <v>86</v>
      </c>
      <c r="G3654" t="s">
        <v>152</v>
      </c>
      <c r="H3654" t="s">
        <v>152</v>
      </c>
      <c r="I3654" t="s">
        <v>43</v>
      </c>
      <c r="J3654" t="s">
        <v>44</v>
      </c>
      <c r="K3654" t="s">
        <v>30</v>
      </c>
      <c r="L3654" t="s">
        <v>31</v>
      </c>
      <c r="M3654" t="s">
        <v>140</v>
      </c>
      <c r="N3654">
        <v>5835</v>
      </c>
      <c r="O3654">
        <v>2.2701870999999998E-2</v>
      </c>
      <c r="P3654">
        <v>1.2723808E-2</v>
      </c>
      <c r="Q3654" t="str">
        <f t="shared" si="114"/>
        <v>35-49</v>
      </c>
      <c r="R3654" t="str">
        <f t="shared" si="115"/>
        <v>[msW2zpIN7up]|35-49|Female|DIAGNOSED_SUBNAT_Attend.T_1|CY2024Q3</v>
      </c>
    </row>
    <row r="3655" spans="4:18" x14ac:dyDescent="0.2">
      <c r="D3655" t="s">
        <v>84</v>
      </c>
      <c r="E3655" t="s">
        <v>85</v>
      </c>
      <c r="F3655" t="s">
        <v>86</v>
      </c>
      <c r="G3655" t="s">
        <v>152</v>
      </c>
      <c r="H3655" t="s">
        <v>152</v>
      </c>
      <c r="I3655" t="s">
        <v>45</v>
      </c>
      <c r="J3655" t="s">
        <v>46</v>
      </c>
      <c r="K3655" t="s">
        <v>30</v>
      </c>
      <c r="L3655" t="s">
        <v>31</v>
      </c>
      <c r="M3655" t="s">
        <v>140</v>
      </c>
      <c r="N3655">
        <v>2640</v>
      </c>
      <c r="O3655">
        <v>4.1525757000000003E-2</v>
      </c>
      <c r="P3655">
        <v>1.2723808E-2</v>
      </c>
      <c r="Q3655" t="str">
        <f t="shared" si="114"/>
        <v>50+</v>
      </c>
      <c r="R3655" t="str">
        <f t="shared" si="115"/>
        <v>[msW2zpIN7up]|50+|Female|DIAGNOSED_SUBNAT_Attend.T_1|CY2024Q3</v>
      </c>
    </row>
    <row r="3656" spans="4:18" x14ac:dyDescent="0.2">
      <c r="D3656" t="s">
        <v>84</v>
      </c>
      <c r="E3656" t="s">
        <v>85</v>
      </c>
      <c r="F3656" t="s">
        <v>86</v>
      </c>
      <c r="G3656" t="s">
        <v>152</v>
      </c>
      <c r="H3656" t="s">
        <v>152</v>
      </c>
      <c r="I3656" t="s">
        <v>28</v>
      </c>
      <c r="J3656" t="s">
        <v>29</v>
      </c>
      <c r="K3656" t="s">
        <v>48</v>
      </c>
      <c r="L3656" t="s">
        <v>49</v>
      </c>
      <c r="M3656" t="s">
        <v>140</v>
      </c>
      <c r="N3656">
        <v>8</v>
      </c>
      <c r="O3656">
        <v>2.5363389E-2</v>
      </c>
      <c r="P3656">
        <v>1.2723808E-2</v>
      </c>
      <c r="Q3656" t="str">
        <f t="shared" si="114"/>
        <v>&lt;01</v>
      </c>
      <c r="R3656" t="str">
        <f t="shared" si="115"/>
        <v>[msW2zpIN7up]|&lt;01|Male|DIAGNOSED_SUBNAT_Attend.T_1|CY2024Q3</v>
      </c>
    </row>
    <row r="3657" spans="4:18" x14ac:dyDescent="0.2">
      <c r="D3657" t="s">
        <v>84</v>
      </c>
      <c r="E3657" t="s">
        <v>85</v>
      </c>
      <c r="F3657" t="s">
        <v>86</v>
      </c>
      <c r="G3657" t="s">
        <v>152</v>
      </c>
      <c r="H3657" t="s">
        <v>152</v>
      </c>
      <c r="I3657" t="s">
        <v>36</v>
      </c>
      <c r="J3657" t="s">
        <v>37</v>
      </c>
      <c r="K3657" t="s">
        <v>48</v>
      </c>
      <c r="L3657" t="s">
        <v>49</v>
      </c>
      <c r="M3657" t="s">
        <v>140</v>
      </c>
      <c r="N3657">
        <v>224</v>
      </c>
      <c r="O3657">
        <v>3.0062452E-2</v>
      </c>
      <c r="P3657">
        <v>1.2723808E-2</v>
      </c>
      <c r="Q3657" t="str">
        <f t="shared" si="114"/>
        <v>10-14</v>
      </c>
      <c r="R3657" t="str">
        <f t="shared" si="115"/>
        <v>[msW2zpIN7up]|10-14|Male|DIAGNOSED_SUBNAT_Attend.T_1|CY2024Q3</v>
      </c>
    </row>
    <row r="3658" spans="4:18" x14ac:dyDescent="0.2">
      <c r="D3658" t="s">
        <v>84</v>
      </c>
      <c r="E3658" t="s">
        <v>85</v>
      </c>
      <c r="F3658" t="s">
        <v>86</v>
      </c>
      <c r="G3658" t="s">
        <v>152</v>
      </c>
      <c r="H3658" t="s">
        <v>152</v>
      </c>
      <c r="I3658" t="s">
        <v>38</v>
      </c>
      <c r="J3658" t="s">
        <v>39</v>
      </c>
      <c r="K3658" t="s">
        <v>48</v>
      </c>
      <c r="L3658" t="s">
        <v>49</v>
      </c>
      <c r="M3658" t="s">
        <v>140</v>
      </c>
      <c r="N3658">
        <v>585</v>
      </c>
      <c r="O3658">
        <v>6.5565389000000002E-2</v>
      </c>
      <c r="P3658">
        <v>1.2723808E-2</v>
      </c>
      <c r="Q3658" t="str">
        <f t="shared" si="114"/>
        <v>15-24</v>
      </c>
      <c r="R3658" t="str">
        <f t="shared" si="115"/>
        <v>[msW2zpIN7up]|15-24|Male|DIAGNOSED_SUBNAT_Attend.T_1|CY2024Q3</v>
      </c>
    </row>
    <row r="3659" spans="4:18" x14ac:dyDescent="0.2">
      <c r="D3659" t="s">
        <v>84</v>
      </c>
      <c r="E3659" t="s">
        <v>85</v>
      </c>
      <c r="F3659" t="s">
        <v>86</v>
      </c>
      <c r="G3659" t="s">
        <v>152</v>
      </c>
      <c r="H3659" t="s">
        <v>152</v>
      </c>
      <c r="I3659" t="s">
        <v>41</v>
      </c>
      <c r="J3659" t="s">
        <v>42</v>
      </c>
      <c r="K3659" t="s">
        <v>48</v>
      </c>
      <c r="L3659" t="s">
        <v>49</v>
      </c>
      <c r="M3659" t="s">
        <v>140</v>
      </c>
      <c r="N3659">
        <v>690</v>
      </c>
      <c r="O3659">
        <v>6.5462307999999997E-2</v>
      </c>
      <c r="P3659">
        <v>1.2723808E-2</v>
      </c>
      <c r="Q3659" t="str">
        <f t="shared" si="114"/>
        <v>25-34</v>
      </c>
      <c r="R3659" t="str">
        <f t="shared" si="115"/>
        <v>[msW2zpIN7up]|25-34|Male|DIAGNOSED_SUBNAT_Attend.T_1|CY2024Q3</v>
      </c>
    </row>
    <row r="3660" spans="4:18" x14ac:dyDescent="0.2">
      <c r="D3660" t="s">
        <v>84</v>
      </c>
      <c r="E3660" t="s">
        <v>85</v>
      </c>
      <c r="F3660" t="s">
        <v>86</v>
      </c>
      <c r="G3660" t="s">
        <v>152</v>
      </c>
      <c r="H3660" t="s">
        <v>152</v>
      </c>
      <c r="I3660" t="s">
        <v>43</v>
      </c>
      <c r="J3660" t="s">
        <v>44</v>
      </c>
      <c r="K3660" t="s">
        <v>48</v>
      </c>
      <c r="L3660" t="s">
        <v>49</v>
      </c>
      <c r="M3660" t="s">
        <v>140</v>
      </c>
      <c r="N3660">
        <v>2834</v>
      </c>
      <c r="O3660">
        <v>3.1863700000000002E-2</v>
      </c>
      <c r="P3660">
        <v>1.2723808E-2</v>
      </c>
      <c r="Q3660" t="str">
        <f t="shared" si="114"/>
        <v>35-49</v>
      </c>
      <c r="R3660" t="str">
        <f t="shared" si="115"/>
        <v>[msW2zpIN7up]|35-49|Male|DIAGNOSED_SUBNAT_Attend.T_1|CY2024Q3</v>
      </c>
    </row>
    <row r="3661" spans="4:18" x14ac:dyDescent="0.2">
      <c r="D3661" t="s">
        <v>84</v>
      </c>
      <c r="E3661" t="s">
        <v>85</v>
      </c>
      <c r="F3661" t="s">
        <v>86</v>
      </c>
      <c r="G3661" t="s">
        <v>152</v>
      </c>
      <c r="H3661" t="s">
        <v>152</v>
      </c>
      <c r="I3661" t="s">
        <v>45</v>
      </c>
      <c r="J3661" t="s">
        <v>46</v>
      </c>
      <c r="K3661" t="s">
        <v>48</v>
      </c>
      <c r="L3661" t="s">
        <v>49</v>
      </c>
      <c r="M3661" t="s">
        <v>140</v>
      </c>
      <c r="N3661">
        <v>2123</v>
      </c>
      <c r="O3661">
        <v>3.9267968E-2</v>
      </c>
      <c r="P3661">
        <v>1.2723808E-2</v>
      </c>
      <c r="Q3661" t="str">
        <f t="shared" si="114"/>
        <v>50+</v>
      </c>
      <c r="R3661" t="str">
        <f t="shared" si="115"/>
        <v>[msW2zpIN7up]|50+|Male|DIAGNOSED_SUBNAT_Attend.T_1|CY2024Q3</v>
      </c>
    </row>
    <row r="3662" spans="4:18" x14ac:dyDescent="0.2">
      <c r="D3662" t="s">
        <v>87</v>
      </c>
      <c r="E3662" t="s">
        <v>88</v>
      </c>
      <c r="F3662" t="s">
        <v>89</v>
      </c>
      <c r="G3662" t="s">
        <v>152</v>
      </c>
      <c r="H3662" t="s">
        <v>152</v>
      </c>
      <c r="I3662" t="s">
        <v>28</v>
      </c>
      <c r="J3662" t="s">
        <v>29</v>
      </c>
      <c r="K3662" t="s">
        <v>30</v>
      </c>
      <c r="L3662" t="s">
        <v>31</v>
      </c>
      <c r="M3662" t="s">
        <v>140</v>
      </c>
      <c r="N3662">
        <v>46</v>
      </c>
      <c r="O3662">
        <v>2.2327175000000001E-2</v>
      </c>
      <c r="P3662">
        <v>4.6546549999999997E-3</v>
      </c>
      <c r="Q3662" t="str">
        <f t="shared" si="114"/>
        <v>&lt;01</v>
      </c>
      <c r="R3662" t="str">
        <f t="shared" si="115"/>
        <v>[ScR9iFKAasW]|&lt;01|Female|DIAGNOSED_SUBNAT_Attend.T_1|CY2024Q3</v>
      </c>
    </row>
    <row r="3663" spans="4:18" x14ac:dyDescent="0.2">
      <c r="D3663" t="s">
        <v>87</v>
      </c>
      <c r="E3663" t="s">
        <v>88</v>
      </c>
      <c r="F3663" t="s">
        <v>89</v>
      </c>
      <c r="G3663" t="s">
        <v>152</v>
      </c>
      <c r="H3663" t="s">
        <v>152</v>
      </c>
      <c r="I3663" t="s">
        <v>36</v>
      </c>
      <c r="J3663" t="s">
        <v>37</v>
      </c>
      <c r="K3663" t="s">
        <v>30</v>
      </c>
      <c r="L3663" t="s">
        <v>31</v>
      </c>
      <c r="M3663" t="s">
        <v>140</v>
      </c>
      <c r="N3663">
        <v>1075</v>
      </c>
      <c r="O3663">
        <v>1.5206488000000001E-2</v>
      </c>
      <c r="P3663">
        <v>4.6546549999999997E-3</v>
      </c>
      <c r="Q3663" t="str">
        <f t="shared" si="114"/>
        <v>10-14</v>
      </c>
      <c r="R3663" t="str">
        <f t="shared" si="115"/>
        <v>[ScR9iFKAasW]|10-14|Female|DIAGNOSED_SUBNAT_Attend.T_1|CY2024Q3</v>
      </c>
    </row>
    <row r="3664" spans="4:18" x14ac:dyDescent="0.2">
      <c r="D3664" t="s">
        <v>87</v>
      </c>
      <c r="E3664" t="s">
        <v>88</v>
      </c>
      <c r="F3664" t="s">
        <v>89</v>
      </c>
      <c r="G3664" t="s">
        <v>152</v>
      </c>
      <c r="H3664" t="s">
        <v>152</v>
      </c>
      <c r="I3664" t="s">
        <v>38</v>
      </c>
      <c r="J3664" t="s">
        <v>39</v>
      </c>
      <c r="K3664" t="s">
        <v>30</v>
      </c>
      <c r="L3664" t="s">
        <v>31</v>
      </c>
      <c r="M3664" t="s">
        <v>140</v>
      </c>
      <c r="N3664">
        <v>5158</v>
      </c>
      <c r="O3664">
        <v>5.7815721E-2</v>
      </c>
      <c r="P3664">
        <v>4.6546549999999997E-3</v>
      </c>
      <c r="Q3664" t="str">
        <f t="shared" si="114"/>
        <v>15-24</v>
      </c>
      <c r="R3664" t="str">
        <f t="shared" si="115"/>
        <v>[ScR9iFKAasW]|15-24|Female|DIAGNOSED_SUBNAT_Attend.T_1|CY2024Q3</v>
      </c>
    </row>
    <row r="3665" spans="4:18" x14ac:dyDescent="0.2">
      <c r="D3665" t="s">
        <v>87</v>
      </c>
      <c r="E3665" t="s">
        <v>88</v>
      </c>
      <c r="F3665" t="s">
        <v>89</v>
      </c>
      <c r="G3665" t="s">
        <v>152</v>
      </c>
      <c r="H3665" t="s">
        <v>152</v>
      </c>
      <c r="I3665" t="s">
        <v>41</v>
      </c>
      <c r="J3665" t="s">
        <v>42</v>
      </c>
      <c r="K3665" t="s">
        <v>30</v>
      </c>
      <c r="L3665" t="s">
        <v>31</v>
      </c>
      <c r="M3665" t="s">
        <v>140</v>
      </c>
      <c r="N3665">
        <v>15911</v>
      </c>
      <c r="O3665">
        <v>3.3632299999999997E-2</v>
      </c>
      <c r="P3665">
        <v>4.6546549999999997E-3</v>
      </c>
      <c r="Q3665" t="str">
        <f t="shared" si="114"/>
        <v>25-34</v>
      </c>
      <c r="R3665" t="str">
        <f t="shared" si="115"/>
        <v>[ScR9iFKAasW]|25-34|Female|DIAGNOSED_SUBNAT_Attend.T_1|CY2024Q3</v>
      </c>
    </row>
    <row r="3666" spans="4:18" x14ac:dyDescent="0.2">
      <c r="D3666" t="s">
        <v>87</v>
      </c>
      <c r="E3666" t="s">
        <v>88</v>
      </c>
      <c r="F3666" t="s">
        <v>89</v>
      </c>
      <c r="G3666" t="s">
        <v>152</v>
      </c>
      <c r="H3666" t="s">
        <v>152</v>
      </c>
      <c r="I3666" t="s">
        <v>43</v>
      </c>
      <c r="J3666" t="s">
        <v>44</v>
      </c>
      <c r="K3666" t="s">
        <v>30</v>
      </c>
      <c r="L3666" t="s">
        <v>31</v>
      </c>
      <c r="M3666" t="s">
        <v>140</v>
      </c>
      <c r="N3666">
        <v>37638</v>
      </c>
      <c r="O3666">
        <v>1.752832E-2</v>
      </c>
      <c r="P3666">
        <v>4.6546549999999997E-3</v>
      </c>
      <c r="Q3666" t="str">
        <f t="shared" si="114"/>
        <v>35-49</v>
      </c>
      <c r="R3666" t="str">
        <f t="shared" si="115"/>
        <v>[ScR9iFKAasW]|35-49|Female|DIAGNOSED_SUBNAT_Attend.T_1|CY2024Q3</v>
      </c>
    </row>
    <row r="3667" spans="4:18" x14ac:dyDescent="0.2">
      <c r="D3667" t="s">
        <v>87</v>
      </c>
      <c r="E3667" t="s">
        <v>88</v>
      </c>
      <c r="F3667" t="s">
        <v>89</v>
      </c>
      <c r="G3667" t="s">
        <v>152</v>
      </c>
      <c r="H3667" t="s">
        <v>152</v>
      </c>
      <c r="I3667" t="s">
        <v>45</v>
      </c>
      <c r="J3667" t="s">
        <v>46</v>
      </c>
      <c r="K3667" t="s">
        <v>30</v>
      </c>
      <c r="L3667" t="s">
        <v>31</v>
      </c>
      <c r="M3667" t="s">
        <v>140</v>
      </c>
      <c r="N3667">
        <v>12907</v>
      </c>
      <c r="O3667">
        <v>3.9087201000000002E-2</v>
      </c>
      <c r="P3667">
        <v>4.6546549999999997E-3</v>
      </c>
      <c r="Q3667" t="str">
        <f t="shared" si="114"/>
        <v>50+</v>
      </c>
      <c r="R3667" t="str">
        <f t="shared" si="115"/>
        <v>[ScR9iFKAasW]|50+|Female|DIAGNOSED_SUBNAT_Attend.T_1|CY2024Q3</v>
      </c>
    </row>
    <row r="3668" spans="4:18" x14ac:dyDescent="0.2">
      <c r="D3668" t="s">
        <v>87</v>
      </c>
      <c r="E3668" t="s">
        <v>88</v>
      </c>
      <c r="F3668" t="s">
        <v>89</v>
      </c>
      <c r="G3668" t="s">
        <v>152</v>
      </c>
      <c r="H3668" t="s">
        <v>152</v>
      </c>
      <c r="I3668" t="s">
        <v>28</v>
      </c>
      <c r="J3668" t="s">
        <v>29</v>
      </c>
      <c r="K3668" t="s">
        <v>48</v>
      </c>
      <c r="L3668" t="s">
        <v>49</v>
      </c>
      <c r="M3668" t="s">
        <v>140</v>
      </c>
      <c r="N3668">
        <v>47</v>
      </c>
      <c r="O3668">
        <v>1.5091942000000001E-2</v>
      </c>
      <c r="P3668">
        <v>4.6546549999999997E-3</v>
      </c>
      <c r="Q3668" t="str">
        <f t="shared" si="114"/>
        <v>&lt;01</v>
      </c>
      <c r="R3668" t="str">
        <f t="shared" si="115"/>
        <v>[ScR9iFKAasW]|&lt;01|Male|DIAGNOSED_SUBNAT_Attend.T_1|CY2024Q3</v>
      </c>
    </row>
    <row r="3669" spans="4:18" x14ac:dyDescent="0.2">
      <c r="D3669" t="s">
        <v>87</v>
      </c>
      <c r="E3669" t="s">
        <v>88</v>
      </c>
      <c r="F3669" t="s">
        <v>89</v>
      </c>
      <c r="G3669" t="s">
        <v>152</v>
      </c>
      <c r="H3669" t="s">
        <v>152</v>
      </c>
      <c r="I3669" t="s">
        <v>36</v>
      </c>
      <c r="J3669" t="s">
        <v>37</v>
      </c>
      <c r="K3669" t="s">
        <v>48</v>
      </c>
      <c r="L3669" t="s">
        <v>49</v>
      </c>
      <c r="M3669" t="s">
        <v>140</v>
      </c>
      <c r="N3669">
        <v>1050</v>
      </c>
      <c r="O3669">
        <v>1.7325149000000001E-2</v>
      </c>
      <c r="P3669">
        <v>4.6546549999999997E-3</v>
      </c>
      <c r="Q3669" t="str">
        <f t="shared" si="114"/>
        <v>10-14</v>
      </c>
      <c r="R3669" t="str">
        <f t="shared" si="115"/>
        <v>[ScR9iFKAasW]|10-14|Male|DIAGNOSED_SUBNAT_Attend.T_1|CY2024Q3</v>
      </c>
    </row>
    <row r="3670" spans="4:18" x14ac:dyDescent="0.2">
      <c r="D3670" t="s">
        <v>87</v>
      </c>
      <c r="E3670" t="s">
        <v>88</v>
      </c>
      <c r="F3670" t="s">
        <v>89</v>
      </c>
      <c r="G3670" t="s">
        <v>152</v>
      </c>
      <c r="H3670" t="s">
        <v>152</v>
      </c>
      <c r="I3670" t="s">
        <v>38</v>
      </c>
      <c r="J3670" t="s">
        <v>39</v>
      </c>
      <c r="K3670" t="s">
        <v>48</v>
      </c>
      <c r="L3670" t="s">
        <v>49</v>
      </c>
      <c r="M3670" t="s">
        <v>140</v>
      </c>
      <c r="N3670">
        <v>3456</v>
      </c>
      <c r="O3670">
        <v>6.9211678999999998E-2</v>
      </c>
      <c r="P3670">
        <v>4.6546549999999997E-3</v>
      </c>
      <c r="Q3670" t="str">
        <f t="shared" si="114"/>
        <v>15-24</v>
      </c>
      <c r="R3670" t="str">
        <f t="shared" si="115"/>
        <v>[ScR9iFKAasW]|15-24|Male|DIAGNOSED_SUBNAT_Attend.T_1|CY2024Q3</v>
      </c>
    </row>
    <row r="3671" spans="4:18" x14ac:dyDescent="0.2">
      <c r="D3671" t="s">
        <v>87</v>
      </c>
      <c r="E3671" t="s">
        <v>88</v>
      </c>
      <c r="F3671" t="s">
        <v>89</v>
      </c>
      <c r="G3671" t="s">
        <v>152</v>
      </c>
      <c r="H3671" t="s">
        <v>152</v>
      </c>
      <c r="I3671" t="s">
        <v>41</v>
      </c>
      <c r="J3671" t="s">
        <v>42</v>
      </c>
      <c r="K3671" t="s">
        <v>48</v>
      </c>
      <c r="L3671" t="s">
        <v>49</v>
      </c>
      <c r="M3671" t="s">
        <v>140</v>
      </c>
      <c r="N3671">
        <v>5877</v>
      </c>
      <c r="O3671">
        <v>6.2401067999999997E-2</v>
      </c>
      <c r="P3671">
        <v>4.6546549999999997E-3</v>
      </c>
      <c r="Q3671" t="str">
        <f t="shared" si="114"/>
        <v>25-34</v>
      </c>
      <c r="R3671" t="str">
        <f t="shared" si="115"/>
        <v>[ScR9iFKAasW]|25-34|Male|DIAGNOSED_SUBNAT_Attend.T_1|CY2024Q3</v>
      </c>
    </row>
    <row r="3672" spans="4:18" x14ac:dyDescent="0.2">
      <c r="D3672" t="s">
        <v>87</v>
      </c>
      <c r="E3672" t="s">
        <v>88</v>
      </c>
      <c r="F3672" t="s">
        <v>89</v>
      </c>
      <c r="G3672" t="s">
        <v>152</v>
      </c>
      <c r="H3672" t="s">
        <v>152</v>
      </c>
      <c r="I3672" t="s">
        <v>43</v>
      </c>
      <c r="J3672" t="s">
        <v>44</v>
      </c>
      <c r="K3672" t="s">
        <v>48</v>
      </c>
      <c r="L3672" t="s">
        <v>49</v>
      </c>
      <c r="M3672" t="s">
        <v>140</v>
      </c>
      <c r="N3672">
        <v>23080</v>
      </c>
      <c r="O3672">
        <v>2.5550909E-2</v>
      </c>
      <c r="P3672">
        <v>4.6546549999999997E-3</v>
      </c>
      <c r="Q3672" t="str">
        <f t="shared" si="114"/>
        <v>35-49</v>
      </c>
      <c r="R3672" t="str">
        <f t="shared" si="115"/>
        <v>[ScR9iFKAasW]|35-49|Male|DIAGNOSED_SUBNAT_Attend.T_1|CY2024Q3</v>
      </c>
    </row>
    <row r="3673" spans="4:18" x14ac:dyDescent="0.2">
      <c r="D3673" t="s">
        <v>87</v>
      </c>
      <c r="E3673" t="s">
        <v>88</v>
      </c>
      <c r="F3673" t="s">
        <v>89</v>
      </c>
      <c r="G3673" t="s">
        <v>152</v>
      </c>
      <c r="H3673" t="s">
        <v>152</v>
      </c>
      <c r="I3673" t="s">
        <v>45</v>
      </c>
      <c r="J3673" t="s">
        <v>46</v>
      </c>
      <c r="K3673" t="s">
        <v>48</v>
      </c>
      <c r="L3673" t="s">
        <v>49</v>
      </c>
      <c r="M3673" t="s">
        <v>140</v>
      </c>
      <c r="N3673">
        <v>12960</v>
      </c>
      <c r="O3673">
        <v>3.6235406999999997E-2</v>
      </c>
      <c r="P3673">
        <v>4.6546549999999997E-3</v>
      </c>
      <c r="Q3673" t="str">
        <f t="shared" si="114"/>
        <v>50+</v>
      </c>
      <c r="R3673" t="str">
        <f t="shared" si="115"/>
        <v>[ScR9iFKAasW]|50+|Male|DIAGNOSED_SUBNAT_Attend.T_1|CY2024Q3</v>
      </c>
    </row>
    <row r="3674" spans="4:18" x14ac:dyDescent="0.2">
      <c r="D3674" t="s">
        <v>90</v>
      </c>
      <c r="E3674" t="s">
        <v>91</v>
      </c>
      <c r="F3674" t="s">
        <v>92</v>
      </c>
      <c r="G3674" t="s">
        <v>152</v>
      </c>
      <c r="H3674" t="s">
        <v>152</v>
      </c>
      <c r="I3674" t="s">
        <v>28</v>
      </c>
      <c r="J3674" t="s">
        <v>29</v>
      </c>
      <c r="K3674" t="s">
        <v>30</v>
      </c>
      <c r="L3674" t="s">
        <v>31</v>
      </c>
      <c r="M3674" t="s">
        <v>140</v>
      </c>
      <c r="N3674">
        <v>7</v>
      </c>
      <c r="O3674">
        <v>4.8037312999999998E-2</v>
      </c>
      <c r="P3674">
        <v>1.6827432E-2</v>
      </c>
      <c r="Q3674" t="str">
        <f t="shared" si="114"/>
        <v>&lt;01</v>
      </c>
      <c r="R3674" t="str">
        <f t="shared" si="115"/>
        <v>[kxuuIFpOXyO]|&lt;01|Female|DIAGNOSED_SUBNAT_Attend.T_1|CY2024Q3</v>
      </c>
    </row>
    <row r="3675" spans="4:18" x14ac:dyDescent="0.2">
      <c r="D3675" t="s">
        <v>90</v>
      </c>
      <c r="E3675" t="s">
        <v>91</v>
      </c>
      <c r="F3675" t="s">
        <v>92</v>
      </c>
      <c r="G3675" t="s">
        <v>152</v>
      </c>
      <c r="H3675" t="s">
        <v>152</v>
      </c>
      <c r="I3675" t="s">
        <v>36</v>
      </c>
      <c r="J3675" t="s">
        <v>37</v>
      </c>
      <c r="K3675" t="s">
        <v>30</v>
      </c>
      <c r="L3675" t="s">
        <v>31</v>
      </c>
      <c r="M3675" t="s">
        <v>140</v>
      </c>
      <c r="N3675">
        <v>201</v>
      </c>
      <c r="O3675">
        <v>3.7766383000000001E-2</v>
      </c>
      <c r="P3675">
        <v>1.6827432E-2</v>
      </c>
      <c r="Q3675" t="str">
        <f t="shared" si="114"/>
        <v>10-14</v>
      </c>
      <c r="R3675" t="str">
        <f t="shared" si="115"/>
        <v>[kxuuIFpOXyO]|10-14|Female|DIAGNOSED_SUBNAT_Attend.T_1|CY2024Q3</v>
      </c>
    </row>
    <row r="3676" spans="4:18" x14ac:dyDescent="0.2">
      <c r="D3676" t="s">
        <v>90</v>
      </c>
      <c r="E3676" t="s">
        <v>91</v>
      </c>
      <c r="F3676" t="s">
        <v>92</v>
      </c>
      <c r="G3676" t="s">
        <v>152</v>
      </c>
      <c r="H3676" t="s">
        <v>152</v>
      </c>
      <c r="I3676" t="s">
        <v>38</v>
      </c>
      <c r="J3676" t="s">
        <v>39</v>
      </c>
      <c r="K3676" t="s">
        <v>30</v>
      </c>
      <c r="L3676" t="s">
        <v>31</v>
      </c>
      <c r="M3676" t="s">
        <v>140</v>
      </c>
      <c r="N3676">
        <v>879</v>
      </c>
      <c r="O3676">
        <v>6.3253190000000001E-2</v>
      </c>
      <c r="P3676">
        <v>1.6827432E-2</v>
      </c>
      <c r="Q3676" t="str">
        <f t="shared" si="114"/>
        <v>15-24</v>
      </c>
      <c r="R3676" t="str">
        <f t="shared" si="115"/>
        <v>[kxuuIFpOXyO]|15-24|Female|DIAGNOSED_SUBNAT_Attend.T_1|CY2024Q3</v>
      </c>
    </row>
    <row r="3677" spans="4:18" x14ac:dyDescent="0.2">
      <c r="D3677" t="s">
        <v>90</v>
      </c>
      <c r="E3677" t="s">
        <v>91</v>
      </c>
      <c r="F3677" t="s">
        <v>92</v>
      </c>
      <c r="G3677" t="s">
        <v>152</v>
      </c>
      <c r="H3677" t="s">
        <v>152</v>
      </c>
      <c r="I3677" t="s">
        <v>41</v>
      </c>
      <c r="J3677" t="s">
        <v>42</v>
      </c>
      <c r="K3677" t="s">
        <v>30</v>
      </c>
      <c r="L3677" t="s">
        <v>31</v>
      </c>
      <c r="M3677" t="s">
        <v>140</v>
      </c>
      <c r="N3677">
        <v>2317</v>
      </c>
      <c r="O3677">
        <v>4.1200911999999999E-2</v>
      </c>
      <c r="P3677">
        <v>1.6827432E-2</v>
      </c>
      <c r="Q3677" t="str">
        <f t="shared" si="114"/>
        <v>25-34</v>
      </c>
      <c r="R3677" t="str">
        <f t="shared" si="115"/>
        <v>[kxuuIFpOXyO]|25-34|Female|DIAGNOSED_SUBNAT_Attend.T_1|CY2024Q3</v>
      </c>
    </row>
    <row r="3678" spans="4:18" x14ac:dyDescent="0.2">
      <c r="D3678" t="s">
        <v>90</v>
      </c>
      <c r="E3678" t="s">
        <v>91</v>
      </c>
      <c r="F3678" t="s">
        <v>92</v>
      </c>
      <c r="G3678" t="s">
        <v>152</v>
      </c>
      <c r="H3678" t="s">
        <v>152</v>
      </c>
      <c r="I3678" t="s">
        <v>43</v>
      </c>
      <c r="J3678" t="s">
        <v>44</v>
      </c>
      <c r="K3678" t="s">
        <v>30</v>
      </c>
      <c r="L3678" t="s">
        <v>31</v>
      </c>
      <c r="M3678" t="s">
        <v>140</v>
      </c>
      <c r="N3678">
        <v>6295</v>
      </c>
      <c r="O3678">
        <v>2.5966201000000001E-2</v>
      </c>
      <c r="P3678">
        <v>1.6827432E-2</v>
      </c>
      <c r="Q3678" t="str">
        <f t="shared" si="114"/>
        <v>35-49</v>
      </c>
      <c r="R3678" t="str">
        <f t="shared" si="115"/>
        <v>[kxuuIFpOXyO]|35-49|Female|DIAGNOSED_SUBNAT_Attend.T_1|CY2024Q3</v>
      </c>
    </row>
    <row r="3679" spans="4:18" x14ac:dyDescent="0.2">
      <c r="D3679" t="s">
        <v>90</v>
      </c>
      <c r="E3679" t="s">
        <v>91</v>
      </c>
      <c r="F3679" t="s">
        <v>92</v>
      </c>
      <c r="G3679" t="s">
        <v>152</v>
      </c>
      <c r="H3679" t="s">
        <v>152</v>
      </c>
      <c r="I3679" t="s">
        <v>45</v>
      </c>
      <c r="J3679" t="s">
        <v>46</v>
      </c>
      <c r="K3679" t="s">
        <v>30</v>
      </c>
      <c r="L3679" t="s">
        <v>31</v>
      </c>
      <c r="M3679" t="s">
        <v>140</v>
      </c>
      <c r="N3679">
        <v>2924</v>
      </c>
      <c r="O3679">
        <v>4.2867409000000002E-2</v>
      </c>
      <c r="P3679">
        <v>1.6827432E-2</v>
      </c>
      <c r="Q3679" t="str">
        <f t="shared" si="114"/>
        <v>50+</v>
      </c>
      <c r="R3679" t="str">
        <f t="shared" si="115"/>
        <v>[kxuuIFpOXyO]|50+|Female|DIAGNOSED_SUBNAT_Attend.T_1|CY2024Q3</v>
      </c>
    </row>
    <row r="3680" spans="4:18" x14ac:dyDescent="0.2">
      <c r="D3680" t="s">
        <v>90</v>
      </c>
      <c r="E3680" t="s">
        <v>91</v>
      </c>
      <c r="F3680" t="s">
        <v>92</v>
      </c>
      <c r="G3680" t="s">
        <v>152</v>
      </c>
      <c r="H3680" t="s">
        <v>152</v>
      </c>
      <c r="I3680" t="s">
        <v>28</v>
      </c>
      <c r="J3680" t="s">
        <v>29</v>
      </c>
      <c r="K3680" t="s">
        <v>48</v>
      </c>
      <c r="L3680" t="s">
        <v>49</v>
      </c>
      <c r="M3680" t="s">
        <v>140</v>
      </c>
      <c r="N3680">
        <v>8</v>
      </c>
      <c r="O3680">
        <v>3.5091227000000003E-2</v>
      </c>
      <c r="P3680">
        <v>1.6827432E-2</v>
      </c>
      <c r="Q3680" t="str">
        <f t="shared" si="114"/>
        <v>&lt;01</v>
      </c>
      <c r="R3680" t="str">
        <f t="shared" si="115"/>
        <v>[kxuuIFpOXyO]|&lt;01|Male|DIAGNOSED_SUBNAT_Attend.T_1|CY2024Q3</v>
      </c>
    </row>
    <row r="3681" spans="4:18" x14ac:dyDescent="0.2">
      <c r="D3681" t="s">
        <v>90</v>
      </c>
      <c r="E3681" t="s">
        <v>91</v>
      </c>
      <c r="F3681" t="s">
        <v>92</v>
      </c>
      <c r="G3681" t="s">
        <v>152</v>
      </c>
      <c r="H3681" t="s">
        <v>152</v>
      </c>
      <c r="I3681" t="s">
        <v>36</v>
      </c>
      <c r="J3681" t="s">
        <v>37</v>
      </c>
      <c r="K3681" t="s">
        <v>48</v>
      </c>
      <c r="L3681" t="s">
        <v>49</v>
      </c>
      <c r="M3681" t="s">
        <v>140</v>
      </c>
      <c r="N3681">
        <v>205</v>
      </c>
      <c r="O3681">
        <v>3.8699355999999997E-2</v>
      </c>
      <c r="P3681">
        <v>1.6827432E-2</v>
      </c>
      <c r="Q3681" t="str">
        <f t="shared" si="114"/>
        <v>10-14</v>
      </c>
      <c r="R3681" t="str">
        <f t="shared" si="115"/>
        <v>[kxuuIFpOXyO]|10-14|Male|DIAGNOSED_SUBNAT_Attend.T_1|CY2024Q3</v>
      </c>
    </row>
    <row r="3682" spans="4:18" x14ac:dyDescent="0.2">
      <c r="D3682" t="s">
        <v>90</v>
      </c>
      <c r="E3682" t="s">
        <v>91</v>
      </c>
      <c r="F3682" t="s">
        <v>92</v>
      </c>
      <c r="G3682" t="s">
        <v>152</v>
      </c>
      <c r="H3682" t="s">
        <v>152</v>
      </c>
      <c r="I3682" t="s">
        <v>38</v>
      </c>
      <c r="J3682" t="s">
        <v>39</v>
      </c>
      <c r="K3682" t="s">
        <v>48</v>
      </c>
      <c r="L3682" t="s">
        <v>49</v>
      </c>
      <c r="M3682" t="s">
        <v>140</v>
      </c>
      <c r="N3682">
        <v>643</v>
      </c>
      <c r="O3682">
        <v>7.4964654000000006E-2</v>
      </c>
      <c r="P3682">
        <v>1.6827432E-2</v>
      </c>
      <c r="Q3682" t="str">
        <f t="shared" si="114"/>
        <v>15-24</v>
      </c>
      <c r="R3682" t="str">
        <f t="shared" si="115"/>
        <v>[kxuuIFpOXyO]|15-24|Male|DIAGNOSED_SUBNAT_Attend.T_1|CY2024Q3</v>
      </c>
    </row>
    <row r="3683" spans="4:18" x14ac:dyDescent="0.2">
      <c r="D3683" t="s">
        <v>90</v>
      </c>
      <c r="E3683" t="s">
        <v>91</v>
      </c>
      <c r="F3683" t="s">
        <v>92</v>
      </c>
      <c r="G3683" t="s">
        <v>152</v>
      </c>
      <c r="H3683" t="s">
        <v>152</v>
      </c>
      <c r="I3683" t="s">
        <v>41</v>
      </c>
      <c r="J3683" t="s">
        <v>42</v>
      </c>
      <c r="K3683" t="s">
        <v>48</v>
      </c>
      <c r="L3683" t="s">
        <v>49</v>
      </c>
      <c r="M3683" t="s">
        <v>140</v>
      </c>
      <c r="N3683">
        <v>866</v>
      </c>
      <c r="O3683">
        <v>6.7173657999999997E-2</v>
      </c>
      <c r="P3683">
        <v>1.6827432E-2</v>
      </c>
      <c r="Q3683" t="str">
        <f t="shared" si="114"/>
        <v>25-34</v>
      </c>
      <c r="R3683" t="str">
        <f t="shared" si="115"/>
        <v>[kxuuIFpOXyO]|25-34|Male|DIAGNOSED_SUBNAT_Attend.T_1|CY2024Q3</v>
      </c>
    </row>
    <row r="3684" spans="4:18" x14ac:dyDescent="0.2">
      <c r="D3684" t="s">
        <v>90</v>
      </c>
      <c r="E3684" t="s">
        <v>91</v>
      </c>
      <c r="F3684" t="s">
        <v>92</v>
      </c>
      <c r="G3684" t="s">
        <v>152</v>
      </c>
      <c r="H3684" t="s">
        <v>152</v>
      </c>
      <c r="I3684" t="s">
        <v>43</v>
      </c>
      <c r="J3684" t="s">
        <v>44</v>
      </c>
      <c r="K3684" t="s">
        <v>48</v>
      </c>
      <c r="L3684" t="s">
        <v>49</v>
      </c>
      <c r="M3684" t="s">
        <v>140</v>
      </c>
      <c r="N3684">
        <v>3510</v>
      </c>
      <c r="O3684">
        <v>3.3757477000000001E-2</v>
      </c>
      <c r="P3684">
        <v>1.6827432E-2</v>
      </c>
      <c r="Q3684" t="str">
        <f t="shared" si="114"/>
        <v>35-49</v>
      </c>
      <c r="R3684" t="str">
        <f t="shared" si="115"/>
        <v>[kxuuIFpOXyO]|35-49|Male|DIAGNOSED_SUBNAT_Attend.T_1|CY2024Q3</v>
      </c>
    </row>
    <row r="3685" spans="4:18" x14ac:dyDescent="0.2">
      <c r="D3685" t="s">
        <v>90</v>
      </c>
      <c r="E3685" t="s">
        <v>91</v>
      </c>
      <c r="F3685" t="s">
        <v>92</v>
      </c>
      <c r="G3685" t="s">
        <v>152</v>
      </c>
      <c r="H3685" t="s">
        <v>152</v>
      </c>
      <c r="I3685" t="s">
        <v>45</v>
      </c>
      <c r="J3685" t="s">
        <v>46</v>
      </c>
      <c r="K3685" t="s">
        <v>48</v>
      </c>
      <c r="L3685" t="s">
        <v>49</v>
      </c>
      <c r="M3685" t="s">
        <v>140</v>
      </c>
      <c r="N3685">
        <v>2720</v>
      </c>
      <c r="O3685">
        <v>4.0089677999999997E-2</v>
      </c>
      <c r="P3685">
        <v>1.6827432E-2</v>
      </c>
      <c r="Q3685" t="str">
        <f t="shared" si="114"/>
        <v>50+</v>
      </c>
      <c r="R3685" t="str">
        <f t="shared" si="115"/>
        <v>[kxuuIFpOXyO]|50+|Male|DIAGNOSED_SUBNAT_Attend.T_1|CY2024Q3</v>
      </c>
    </row>
    <row r="3686" spans="4:18" x14ac:dyDescent="0.2">
      <c r="D3686" t="s">
        <v>93</v>
      </c>
      <c r="E3686" t="s">
        <v>94</v>
      </c>
      <c r="F3686" t="s">
        <v>95</v>
      </c>
      <c r="G3686" t="s">
        <v>152</v>
      </c>
      <c r="H3686" t="s">
        <v>152</v>
      </c>
      <c r="I3686" t="s">
        <v>28</v>
      </c>
      <c r="J3686" t="s">
        <v>29</v>
      </c>
      <c r="K3686" t="s">
        <v>30</v>
      </c>
      <c r="L3686" t="s">
        <v>31</v>
      </c>
      <c r="M3686" t="s">
        <v>140</v>
      </c>
      <c r="N3686">
        <v>9</v>
      </c>
      <c r="O3686">
        <v>4.5099197000000001E-2</v>
      </c>
      <c r="P3686">
        <v>1.9923995999999999E-2</v>
      </c>
      <c r="Q3686" t="str">
        <f t="shared" si="114"/>
        <v>&lt;01</v>
      </c>
      <c r="R3686" t="str">
        <f t="shared" si="115"/>
        <v>[PekKUkKHAzY]|&lt;01|Female|DIAGNOSED_SUBNAT_Attend.T_1|CY2024Q3</v>
      </c>
    </row>
    <row r="3687" spans="4:18" x14ac:dyDescent="0.2">
      <c r="D3687" t="s">
        <v>93</v>
      </c>
      <c r="E3687" t="s">
        <v>94</v>
      </c>
      <c r="F3687" t="s">
        <v>95</v>
      </c>
      <c r="G3687" t="s">
        <v>152</v>
      </c>
      <c r="H3687" t="s">
        <v>152</v>
      </c>
      <c r="I3687" t="s">
        <v>36</v>
      </c>
      <c r="J3687" t="s">
        <v>37</v>
      </c>
      <c r="K3687" t="s">
        <v>30</v>
      </c>
      <c r="L3687" t="s">
        <v>31</v>
      </c>
      <c r="M3687" t="s">
        <v>140</v>
      </c>
      <c r="N3687">
        <v>236</v>
      </c>
      <c r="O3687">
        <v>3.7467699E-2</v>
      </c>
      <c r="P3687">
        <v>1.9923995999999999E-2</v>
      </c>
      <c r="Q3687" t="str">
        <f t="shared" si="114"/>
        <v>10-14</v>
      </c>
      <c r="R3687" t="str">
        <f t="shared" si="115"/>
        <v>[PekKUkKHAzY]|10-14|Female|DIAGNOSED_SUBNAT_Attend.T_1|CY2024Q3</v>
      </c>
    </row>
    <row r="3688" spans="4:18" x14ac:dyDescent="0.2">
      <c r="D3688" t="s">
        <v>93</v>
      </c>
      <c r="E3688" t="s">
        <v>94</v>
      </c>
      <c r="F3688" t="s">
        <v>95</v>
      </c>
      <c r="G3688" t="s">
        <v>152</v>
      </c>
      <c r="H3688" t="s">
        <v>152</v>
      </c>
      <c r="I3688" t="s">
        <v>38</v>
      </c>
      <c r="J3688" t="s">
        <v>39</v>
      </c>
      <c r="K3688" t="s">
        <v>30</v>
      </c>
      <c r="L3688" t="s">
        <v>31</v>
      </c>
      <c r="M3688" t="s">
        <v>140</v>
      </c>
      <c r="N3688">
        <v>981</v>
      </c>
      <c r="O3688">
        <v>6.2694202000000004E-2</v>
      </c>
      <c r="P3688">
        <v>1.9923995999999999E-2</v>
      </c>
      <c r="Q3688" t="str">
        <f t="shared" si="114"/>
        <v>15-24</v>
      </c>
      <c r="R3688" t="str">
        <f t="shared" si="115"/>
        <v>[PekKUkKHAzY]|15-24|Female|DIAGNOSED_SUBNAT_Attend.T_1|CY2024Q3</v>
      </c>
    </row>
    <row r="3689" spans="4:18" x14ac:dyDescent="0.2">
      <c r="D3689" t="s">
        <v>93</v>
      </c>
      <c r="E3689" t="s">
        <v>94</v>
      </c>
      <c r="F3689" t="s">
        <v>95</v>
      </c>
      <c r="G3689" t="s">
        <v>152</v>
      </c>
      <c r="H3689" t="s">
        <v>152</v>
      </c>
      <c r="I3689" t="s">
        <v>41</v>
      </c>
      <c r="J3689" t="s">
        <v>42</v>
      </c>
      <c r="K3689" t="s">
        <v>30</v>
      </c>
      <c r="L3689" t="s">
        <v>31</v>
      </c>
      <c r="M3689" t="s">
        <v>140</v>
      </c>
      <c r="N3689">
        <v>2578</v>
      </c>
      <c r="O3689">
        <v>4.2959008E-2</v>
      </c>
      <c r="P3689">
        <v>1.9923995999999999E-2</v>
      </c>
      <c r="Q3689" t="str">
        <f t="shared" si="114"/>
        <v>25-34</v>
      </c>
      <c r="R3689" t="str">
        <f t="shared" si="115"/>
        <v>[PekKUkKHAzY]|25-34|Female|DIAGNOSED_SUBNAT_Attend.T_1|CY2024Q3</v>
      </c>
    </row>
    <row r="3690" spans="4:18" x14ac:dyDescent="0.2">
      <c r="D3690" t="s">
        <v>93</v>
      </c>
      <c r="E3690" t="s">
        <v>94</v>
      </c>
      <c r="F3690" t="s">
        <v>95</v>
      </c>
      <c r="G3690" t="s">
        <v>152</v>
      </c>
      <c r="H3690" t="s">
        <v>152</v>
      </c>
      <c r="I3690" t="s">
        <v>43</v>
      </c>
      <c r="J3690" t="s">
        <v>44</v>
      </c>
      <c r="K3690" t="s">
        <v>30</v>
      </c>
      <c r="L3690" t="s">
        <v>31</v>
      </c>
      <c r="M3690" t="s">
        <v>140</v>
      </c>
      <c r="N3690">
        <v>7169</v>
      </c>
      <c r="O3690">
        <v>2.7468673999999998E-2</v>
      </c>
      <c r="P3690">
        <v>1.9923995999999999E-2</v>
      </c>
      <c r="Q3690" t="str">
        <f t="shared" si="114"/>
        <v>35-49</v>
      </c>
      <c r="R3690" t="str">
        <f t="shared" si="115"/>
        <v>[PekKUkKHAzY]|35-49|Female|DIAGNOSED_SUBNAT_Attend.T_1|CY2024Q3</v>
      </c>
    </row>
    <row r="3691" spans="4:18" x14ac:dyDescent="0.2">
      <c r="D3691" t="s">
        <v>93</v>
      </c>
      <c r="E3691" t="s">
        <v>94</v>
      </c>
      <c r="F3691" t="s">
        <v>95</v>
      </c>
      <c r="G3691" t="s">
        <v>152</v>
      </c>
      <c r="H3691" t="s">
        <v>152</v>
      </c>
      <c r="I3691" t="s">
        <v>45</v>
      </c>
      <c r="J3691" t="s">
        <v>46</v>
      </c>
      <c r="K3691" t="s">
        <v>30</v>
      </c>
      <c r="L3691" t="s">
        <v>31</v>
      </c>
      <c r="M3691" t="s">
        <v>140</v>
      </c>
      <c r="N3691">
        <v>3574</v>
      </c>
      <c r="O3691">
        <v>4.4716064999999999E-2</v>
      </c>
      <c r="P3691">
        <v>1.9923995999999999E-2</v>
      </c>
      <c r="Q3691" t="str">
        <f t="shared" si="114"/>
        <v>50+</v>
      </c>
      <c r="R3691" t="str">
        <f t="shared" si="115"/>
        <v>[PekKUkKHAzY]|50+|Female|DIAGNOSED_SUBNAT_Attend.T_1|CY2024Q3</v>
      </c>
    </row>
    <row r="3692" spans="4:18" x14ac:dyDescent="0.2">
      <c r="D3692" t="s">
        <v>93</v>
      </c>
      <c r="E3692" t="s">
        <v>94</v>
      </c>
      <c r="F3692" t="s">
        <v>95</v>
      </c>
      <c r="G3692" t="s">
        <v>152</v>
      </c>
      <c r="H3692" t="s">
        <v>152</v>
      </c>
      <c r="I3692" t="s">
        <v>28</v>
      </c>
      <c r="J3692" t="s">
        <v>29</v>
      </c>
      <c r="K3692" t="s">
        <v>48</v>
      </c>
      <c r="L3692" t="s">
        <v>49</v>
      </c>
      <c r="M3692" t="s">
        <v>140</v>
      </c>
      <c r="N3692">
        <v>9</v>
      </c>
      <c r="O3692">
        <v>3.4928134999999999E-2</v>
      </c>
      <c r="P3692">
        <v>1.9923995999999999E-2</v>
      </c>
      <c r="Q3692" t="str">
        <f t="shared" si="114"/>
        <v>&lt;01</v>
      </c>
      <c r="R3692" t="str">
        <f t="shared" si="115"/>
        <v>[PekKUkKHAzY]|&lt;01|Male|DIAGNOSED_SUBNAT_Attend.T_1|CY2024Q3</v>
      </c>
    </row>
    <row r="3693" spans="4:18" x14ac:dyDescent="0.2">
      <c r="D3693" t="s">
        <v>93</v>
      </c>
      <c r="E3693" t="s">
        <v>94</v>
      </c>
      <c r="F3693" t="s">
        <v>95</v>
      </c>
      <c r="G3693" t="s">
        <v>152</v>
      </c>
      <c r="H3693" t="s">
        <v>152</v>
      </c>
      <c r="I3693" t="s">
        <v>36</v>
      </c>
      <c r="J3693" t="s">
        <v>37</v>
      </c>
      <c r="K3693" t="s">
        <v>48</v>
      </c>
      <c r="L3693" t="s">
        <v>49</v>
      </c>
      <c r="M3693" t="s">
        <v>140</v>
      </c>
      <c r="N3693">
        <v>238</v>
      </c>
      <c r="O3693">
        <v>3.8131035000000001E-2</v>
      </c>
      <c r="P3693">
        <v>1.9923995999999999E-2</v>
      </c>
      <c r="Q3693" t="str">
        <f t="shared" si="114"/>
        <v>10-14</v>
      </c>
      <c r="R3693" t="str">
        <f t="shared" si="115"/>
        <v>[PekKUkKHAzY]|10-14|Male|DIAGNOSED_SUBNAT_Attend.T_1|CY2024Q3</v>
      </c>
    </row>
    <row r="3694" spans="4:18" x14ac:dyDescent="0.2">
      <c r="D3694" t="s">
        <v>93</v>
      </c>
      <c r="E3694" t="s">
        <v>94</v>
      </c>
      <c r="F3694" t="s">
        <v>95</v>
      </c>
      <c r="G3694" t="s">
        <v>152</v>
      </c>
      <c r="H3694" t="s">
        <v>152</v>
      </c>
      <c r="I3694" t="s">
        <v>38</v>
      </c>
      <c r="J3694" t="s">
        <v>39</v>
      </c>
      <c r="K3694" t="s">
        <v>48</v>
      </c>
      <c r="L3694" t="s">
        <v>49</v>
      </c>
      <c r="M3694" t="s">
        <v>140</v>
      </c>
      <c r="N3694">
        <v>683</v>
      </c>
      <c r="O3694">
        <v>7.0631583999999997E-2</v>
      </c>
      <c r="P3694">
        <v>1.9923995999999999E-2</v>
      </c>
      <c r="Q3694" t="str">
        <f t="shared" si="114"/>
        <v>15-24</v>
      </c>
      <c r="R3694" t="str">
        <f t="shared" si="115"/>
        <v>[PekKUkKHAzY]|15-24|Male|DIAGNOSED_SUBNAT_Attend.T_1|CY2024Q3</v>
      </c>
    </row>
    <row r="3695" spans="4:18" x14ac:dyDescent="0.2">
      <c r="D3695" t="s">
        <v>93</v>
      </c>
      <c r="E3695" t="s">
        <v>94</v>
      </c>
      <c r="F3695" t="s">
        <v>95</v>
      </c>
      <c r="G3695" t="s">
        <v>152</v>
      </c>
      <c r="H3695" t="s">
        <v>152</v>
      </c>
      <c r="I3695" t="s">
        <v>41</v>
      </c>
      <c r="J3695" t="s">
        <v>42</v>
      </c>
      <c r="K3695" t="s">
        <v>48</v>
      </c>
      <c r="L3695" t="s">
        <v>49</v>
      </c>
      <c r="M3695" t="s">
        <v>140</v>
      </c>
      <c r="N3695">
        <v>854</v>
      </c>
      <c r="O3695">
        <v>6.8823335999999999E-2</v>
      </c>
      <c r="P3695">
        <v>1.9923995999999999E-2</v>
      </c>
      <c r="Q3695" t="str">
        <f t="shared" si="114"/>
        <v>25-34</v>
      </c>
      <c r="R3695" t="str">
        <f t="shared" si="115"/>
        <v>[PekKUkKHAzY]|25-34|Male|DIAGNOSED_SUBNAT_Attend.T_1|CY2024Q3</v>
      </c>
    </row>
    <row r="3696" spans="4:18" x14ac:dyDescent="0.2">
      <c r="D3696" t="s">
        <v>93</v>
      </c>
      <c r="E3696" t="s">
        <v>94</v>
      </c>
      <c r="F3696" t="s">
        <v>95</v>
      </c>
      <c r="G3696" t="s">
        <v>152</v>
      </c>
      <c r="H3696" t="s">
        <v>152</v>
      </c>
      <c r="I3696" t="s">
        <v>43</v>
      </c>
      <c r="J3696" t="s">
        <v>44</v>
      </c>
      <c r="K3696" t="s">
        <v>48</v>
      </c>
      <c r="L3696" t="s">
        <v>49</v>
      </c>
      <c r="M3696" t="s">
        <v>140</v>
      </c>
      <c r="N3696">
        <v>3525</v>
      </c>
      <c r="O3696">
        <v>3.6785913000000003E-2</v>
      </c>
      <c r="P3696">
        <v>1.9923995999999999E-2</v>
      </c>
      <c r="Q3696" t="str">
        <f t="shared" si="114"/>
        <v>35-49</v>
      </c>
      <c r="R3696" t="str">
        <f t="shared" si="115"/>
        <v>[PekKUkKHAzY]|35-49|Male|DIAGNOSED_SUBNAT_Attend.T_1|CY2024Q3</v>
      </c>
    </row>
    <row r="3697" spans="4:18" x14ac:dyDescent="0.2">
      <c r="D3697" t="s">
        <v>93</v>
      </c>
      <c r="E3697" t="s">
        <v>94</v>
      </c>
      <c r="F3697" t="s">
        <v>95</v>
      </c>
      <c r="G3697" t="s">
        <v>152</v>
      </c>
      <c r="H3697" t="s">
        <v>152</v>
      </c>
      <c r="I3697" t="s">
        <v>45</v>
      </c>
      <c r="J3697" t="s">
        <v>46</v>
      </c>
      <c r="K3697" t="s">
        <v>48</v>
      </c>
      <c r="L3697" t="s">
        <v>49</v>
      </c>
      <c r="M3697" t="s">
        <v>140</v>
      </c>
      <c r="N3697">
        <v>2753</v>
      </c>
      <c r="O3697">
        <v>4.0659304E-2</v>
      </c>
      <c r="P3697">
        <v>1.9923995999999999E-2</v>
      </c>
      <c r="Q3697" t="str">
        <f t="shared" si="114"/>
        <v>50+</v>
      </c>
      <c r="R3697" t="str">
        <f t="shared" si="115"/>
        <v>[PekKUkKHAzY]|50+|Male|DIAGNOSED_SUBNAT_Attend.T_1|CY2024Q3</v>
      </c>
    </row>
    <row r="3698" spans="4:18" x14ac:dyDescent="0.2">
      <c r="D3698" t="s">
        <v>96</v>
      </c>
      <c r="E3698" t="s">
        <v>97</v>
      </c>
      <c r="F3698" t="s">
        <v>98</v>
      </c>
      <c r="G3698" t="s">
        <v>152</v>
      </c>
      <c r="H3698" t="s">
        <v>152</v>
      </c>
      <c r="I3698" t="s">
        <v>28</v>
      </c>
      <c r="J3698" t="s">
        <v>29</v>
      </c>
      <c r="K3698" t="s">
        <v>30</v>
      </c>
      <c r="L3698" t="s">
        <v>31</v>
      </c>
      <c r="M3698" t="s">
        <v>140</v>
      </c>
      <c r="N3698">
        <v>13</v>
      </c>
      <c r="O3698">
        <v>3.7157876999999999E-2</v>
      </c>
      <c r="P3698">
        <v>1.5404671999999999E-2</v>
      </c>
      <c r="Q3698" t="str">
        <f t="shared" si="114"/>
        <v>&lt;01</v>
      </c>
      <c r="R3698" t="str">
        <f t="shared" si="115"/>
        <v>[am530wpaGvr]|&lt;01|Female|DIAGNOSED_SUBNAT_Attend.T_1|CY2024Q3</v>
      </c>
    </row>
    <row r="3699" spans="4:18" x14ac:dyDescent="0.2">
      <c r="D3699" t="s">
        <v>96</v>
      </c>
      <c r="E3699" t="s">
        <v>97</v>
      </c>
      <c r="F3699" t="s">
        <v>98</v>
      </c>
      <c r="G3699" t="s">
        <v>152</v>
      </c>
      <c r="H3699" t="s">
        <v>152</v>
      </c>
      <c r="I3699" t="s">
        <v>36</v>
      </c>
      <c r="J3699" t="s">
        <v>37</v>
      </c>
      <c r="K3699" t="s">
        <v>30</v>
      </c>
      <c r="L3699" t="s">
        <v>31</v>
      </c>
      <c r="M3699" t="s">
        <v>140</v>
      </c>
      <c r="N3699">
        <v>359</v>
      </c>
      <c r="O3699">
        <v>2.9290545000000001E-2</v>
      </c>
      <c r="P3699">
        <v>1.5404671999999999E-2</v>
      </c>
      <c r="Q3699" t="str">
        <f t="shared" si="114"/>
        <v>10-14</v>
      </c>
      <c r="R3699" t="str">
        <f t="shared" si="115"/>
        <v>[am530wpaGvr]|10-14|Female|DIAGNOSED_SUBNAT_Attend.T_1|CY2024Q3</v>
      </c>
    </row>
    <row r="3700" spans="4:18" x14ac:dyDescent="0.2">
      <c r="D3700" t="s">
        <v>96</v>
      </c>
      <c r="E3700" t="s">
        <v>97</v>
      </c>
      <c r="F3700" t="s">
        <v>98</v>
      </c>
      <c r="G3700" t="s">
        <v>152</v>
      </c>
      <c r="H3700" t="s">
        <v>152</v>
      </c>
      <c r="I3700" t="s">
        <v>38</v>
      </c>
      <c r="J3700" t="s">
        <v>39</v>
      </c>
      <c r="K3700" t="s">
        <v>30</v>
      </c>
      <c r="L3700" t="s">
        <v>31</v>
      </c>
      <c r="M3700" t="s">
        <v>140</v>
      </c>
      <c r="N3700">
        <v>1470</v>
      </c>
      <c r="O3700">
        <v>6.2962040999999996E-2</v>
      </c>
      <c r="P3700">
        <v>1.5404671999999999E-2</v>
      </c>
      <c r="Q3700" t="str">
        <f t="shared" si="114"/>
        <v>15-24</v>
      </c>
      <c r="R3700" t="str">
        <f t="shared" si="115"/>
        <v>[am530wpaGvr]|15-24|Female|DIAGNOSED_SUBNAT_Attend.T_1|CY2024Q3</v>
      </c>
    </row>
    <row r="3701" spans="4:18" x14ac:dyDescent="0.2">
      <c r="D3701" t="s">
        <v>96</v>
      </c>
      <c r="E3701" t="s">
        <v>97</v>
      </c>
      <c r="F3701" t="s">
        <v>98</v>
      </c>
      <c r="G3701" t="s">
        <v>152</v>
      </c>
      <c r="H3701" t="s">
        <v>152</v>
      </c>
      <c r="I3701" t="s">
        <v>41</v>
      </c>
      <c r="J3701" t="s">
        <v>42</v>
      </c>
      <c r="K3701" t="s">
        <v>30</v>
      </c>
      <c r="L3701" t="s">
        <v>31</v>
      </c>
      <c r="M3701" t="s">
        <v>140</v>
      </c>
      <c r="N3701">
        <v>3706</v>
      </c>
      <c r="O3701">
        <v>4.1322880999999999E-2</v>
      </c>
      <c r="P3701">
        <v>1.5404671999999999E-2</v>
      </c>
      <c r="Q3701" t="str">
        <f t="shared" si="114"/>
        <v>25-34</v>
      </c>
      <c r="R3701" t="str">
        <f t="shared" si="115"/>
        <v>[am530wpaGvr]|25-34|Female|DIAGNOSED_SUBNAT_Attend.T_1|CY2024Q3</v>
      </c>
    </row>
    <row r="3702" spans="4:18" x14ac:dyDescent="0.2">
      <c r="D3702" t="s">
        <v>96</v>
      </c>
      <c r="E3702" t="s">
        <v>97</v>
      </c>
      <c r="F3702" t="s">
        <v>98</v>
      </c>
      <c r="G3702" t="s">
        <v>152</v>
      </c>
      <c r="H3702" t="s">
        <v>152</v>
      </c>
      <c r="I3702" t="s">
        <v>43</v>
      </c>
      <c r="J3702" t="s">
        <v>44</v>
      </c>
      <c r="K3702" t="s">
        <v>30</v>
      </c>
      <c r="L3702" t="s">
        <v>31</v>
      </c>
      <c r="M3702" t="s">
        <v>140</v>
      </c>
      <c r="N3702">
        <v>10177</v>
      </c>
      <c r="O3702">
        <v>2.4065038E-2</v>
      </c>
      <c r="P3702">
        <v>1.5404671999999999E-2</v>
      </c>
      <c r="Q3702" t="str">
        <f t="shared" si="114"/>
        <v>35-49</v>
      </c>
      <c r="R3702" t="str">
        <f t="shared" si="115"/>
        <v>[am530wpaGvr]|35-49|Female|DIAGNOSED_SUBNAT_Attend.T_1|CY2024Q3</v>
      </c>
    </row>
    <row r="3703" spans="4:18" x14ac:dyDescent="0.2">
      <c r="D3703" t="s">
        <v>96</v>
      </c>
      <c r="E3703" t="s">
        <v>97</v>
      </c>
      <c r="F3703" t="s">
        <v>98</v>
      </c>
      <c r="G3703" t="s">
        <v>152</v>
      </c>
      <c r="H3703" t="s">
        <v>152</v>
      </c>
      <c r="I3703" t="s">
        <v>45</v>
      </c>
      <c r="J3703" t="s">
        <v>46</v>
      </c>
      <c r="K3703" t="s">
        <v>30</v>
      </c>
      <c r="L3703" t="s">
        <v>31</v>
      </c>
      <c r="M3703" t="s">
        <v>140</v>
      </c>
      <c r="N3703">
        <v>5128</v>
      </c>
      <c r="O3703">
        <v>3.9657853999999999E-2</v>
      </c>
      <c r="P3703">
        <v>1.5404671999999999E-2</v>
      </c>
      <c r="Q3703" t="str">
        <f t="shared" si="114"/>
        <v>50+</v>
      </c>
      <c r="R3703" t="str">
        <f t="shared" si="115"/>
        <v>[am530wpaGvr]|50+|Female|DIAGNOSED_SUBNAT_Attend.T_1|CY2024Q3</v>
      </c>
    </row>
    <row r="3704" spans="4:18" x14ac:dyDescent="0.2">
      <c r="D3704" t="s">
        <v>96</v>
      </c>
      <c r="E3704" t="s">
        <v>97</v>
      </c>
      <c r="F3704" t="s">
        <v>98</v>
      </c>
      <c r="G3704" t="s">
        <v>152</v>
      </c>
      <c r="H3704" t="s">
        <v>152</v>
      </c>
      <c r="I3704" t="s">
        <v>28</v>
      </c>
      <c r="J3704" t="s">
        <v>29</v>
      </c>
      <c r="K3704" t="s">
        <v>48</v>
      </c>
      <c r="L3704" t="s">
        <v>49</v>
      </c>
      <c r="M3704" t="s">
        <v>140</v>
      </c>
      <c r="N3704">
        <v>14</v>
      </c>
      <c r="O3704">
        <v>2.7949096E-2</v>
      </c>
      <c r="P3704">
        <v>1.5404671999999999E-2</v>
      </c>
      <c r="Q3704" t="str">
        <f t="shared" si="114"/>
        <v>&lt;01</v>
      </c>
      <c r="R3704" t="str">
        <f t="shared" si="115"/>
        <v>[am530wpaGvr]|&lt;01|Male|DIAGNOSED_SUBNAT_Attend.T_1|CY2024Q3</v>
      </c>
    </row>
    <row r="3705" spans="4:18" x14ac:dyDescent="0.2">
      <c r="D3705" t="s">
        <v>96</v>
      </c>
      <c r="E3705" t="s">
        <v>97</v>
      </c>
      <c r="F3705" t="s">
        <v>98</v>
      </c>
      <c r="G3705" t="s">
        <v>152</v>
      </c>
      <c r="H3705" t="s">
        <v>152</v>
      </c>
      <c r="I3705" t="s">
        <v>36</v>
      </c>
      <c r="J3705" t="s">
        <v>37</v>
      </c>
      <c r="K3705" t="s">
        <v>48</v>
      </c>
      <c r="L3705" t="s">
        <v>49</v>
      </c>
      <c r="M3705" t="s">
        <v>140</v>
      </c>
      <c r="N3705">
        <v>369</v>
      </c>
      <c r="O3705">
        <v>2.9435000999999999E-2</v>
      </c>
      <c r="P3705">
        <v>1.5404671999999999E-2</v>
      </c>
      <c r="Q3705" t="str">
        <f t="shared" si="114"/>
        <v>10-14</v>
      </c>
      <c r="R3705" t="str">
        <f t="shared" si="115"/>
        <v>[am530wpaGvr]|10-14|Male|DIAGNOSED_SUBNAT_Attend.T_1|CY2024Q3</v>
      </c>
    </row>
    <row r="3706" spans="4:18" x14ac:dyDescent="0.2">
      <c r="D3706" t="s">
        <v>96</v>
      </c>
      <c r="E3706" t="s">
        <v>97</v>
      </c>
      <c r="F3706" t="s">
        <v>98</v>
      </c>
      <c r="G3706" t="s">
        <v>152</v>
      </c>
      <c r="H3706" t="s">
        <v>152</v>
      </c>
      <c r="I3706" t="s">
        <v>38</v>
      </c>
      <c r="J3706" t="s">
        <v>39</v>
      </c>
      <c r="K3706" t="s">
        <v>48</v>
      </c>
      <c r="L3706" t="s">
        <v>49</v>
      </c>
      <c r="M3706" t="s">
        <v>140</v>
      </c>
      <c r="N3706">
        <v>1019</v>
      </c>
      <c r="O3706">
        <v>6.8740916999999999E-2</v>
      </c>
      <c r="P3706">
        <v>1.5404671999999999E-2</v>
      </c>
      <c r="Q3706" t="str">
        <f t="shared" si="114"/>
        <v>15-24</v>
      </c>
      <c r="R3706" t="str">
        <f t="shared" si="115"/>
        <v>[am530wpaGvr]|15-24|Male|DIAGNOSED_SUBNAT_Attend.T_1|CY2024Q3</v>
      </c>
    </row>
    <row r="3707" spans="4:18" x14ac:dyDescent="0.2">
      <c r="D3707" t="s">
        <v>96</v>
      </c>
      <c r="E3707" t="s">
        <v>97</v>
      </c>
      <c r="F3707" t="s">
        <v>98</v>
      </c>
      <c r="G3707" t="s">
        <v>152</v>
      </c>
      <c r="H3707" t="s">
        <v>152</v>
      </c>
      <c r="I3707" t="s">
        <v>41</v>
      </c>
      <c r="J3707" t="s">
        <v>42</v>
      </c>
      <c r="K3707" t="s">
        <v>48</v>
      </c>
      <c r="L3707" t="s">
        <v>49</v>
      </c>
      <c r="M3707" t="s">
        <v>140</v>
      </c>
      <c r="N3707">
        <v>1207</v>
      </c>
      <c r="O3707">
        <v>6.6995524000000001E-2</v>
      </c>
      <c r="P3707">
        <v>1.5404671999999999E-2</v>
      </c>
      <c r="Q3707" t="str">
        <f t="shared" si="114"/>
        <v>25-34</v>
      </c>
      <c r="R3707" t="str">
        <f t="shared" si="115"/>
        <v>[am530wpaGvr]|25-34|Male|DIAGNOSED_SUBNAT_Attend.T_1|CY2024Q3</v>
      </c>
    </row>
    <row r="3708" spans="4:18" x14ac:dyDescent="0.2">
      <c r="D3708" t="s">
        <v>96</v>
      </c>
      <c r="E3708" t="s">
        <v>97</v>
      </c>
      <c r="F3708" t="s">
        <v>98</v>
      </c>
      <c r="G3708" t="s">
        <v>152</v>
      </c>
      <c r="H3708" t="s">
        <v>152</v>
      </c>
      <c r="I3708" t="s">
        <v>43</v>
      </c>
      <c r="J3708" t="s">
        <v>44</v>
      </c>
      <c r="K3708" t="s">
        <v>48</v>
      </c>
      <c r="L3708" t="s">
        <v>49</v>
      </c>
      <c r="M3708" t="s">
        <v>140</v>
      </c>
      <c r="N3708">
        <v>4799</v>
      </c>
      <c r="O3708">
        <v>3.2667156000000003E-2</v>
      </c>
      <c r="P3708">
        <v>1.5404671999999999E-2</v>
      </c>
      <c r="Q3708" t="str">
        <f t="shared" si="114"/>
        <v>35-49</v>
      </c>
      <c r="R3708" t="str">
        <f t="shared" si="115"/>
        <v>[am530wpaGvr]|35-49|Male|DIAGNOSED_SUBNAT_Attend.T_1|CY2024Q3</v>
      </c>
    </row>
    <row r="3709" spans="4:18" x14ac:dyDescent="0.2">
      <c r="D3709" t="s">
        <v>96</v>
      </c>
      <c r="E3709" t="s">
        <v>97</v>
      </c>
      <c r="F3709" t="s">
        <v>98</v>
      </c>
      <c r="G3709" t="s">
        <v>152</v>
      </c>
      <c r="H3709" t="s">
        <v>152</v>
      </c>
      <c r="I3709" t="s">
        <v>45</v>
      </c>
      <c r="J3709" t="s">
        <v>46</v>
      </c>
      <c r="K3709" t="s">
        <v>48</v>
      </c>
      <c r="L3709" t="s">
        <v>49</v>
      </c>
      <c r="M3709" t="s">
        <v>140</v>
      </c>
      <c r="N3709">
        <v>3712</v>
      </c>
      <c r="O3709">
        <v>3.8652578999999999E-2</v>
      </c>
      <c r="P3709">
        <v>1.5404671999999999E-2</v>
      </c>
      <c r="Q3709" t="str">
        <f t="shared" si="114"/>
        <v>50+</v>
      </c>
      <c r="R3709" t="str">
        <f t="shared" si="115"/>
        <v>[am530wpaGvr]|50+|Male|DIAGNOSED_SUBNAT_Attend.T_1|CY2024Q3</v>
      </c>
    </row>
    <row r="3710" spans="4:18" x14ac:dyDescent="0.2">
      <c r="D3710" t="s">
        <v>99</v>
      </c>
      <c r="E3710" t="s">
        <v>100</v>
      </c>
      <c r="F3710" t="s">
        <v>101</v>
      </c>
      <c r="G3710" t="s">
        <v>152</v>
      </c>
      <c r="H3710" t="s">
        <v>152</v>
      </c>
      <c r="I3710" t="s">
        <v>28</v>
      </c>
      <c r="J3710" t="s">
        <v>29</v>
      </c>
      <c r="K3710" t="s">
        <v>30</v>
      </c>
      <c r="L3710" t="s">
        <v>31</v>
      </c>
      <c r="M3710" t="s">
        <v>140</v>
      </c>
      <c r="N3710">
        <v>34</v>
      </c>
      <c r="O3710">
        <v>2.7271001E-2</v>
      </c>
      <c r="P3710">
        <v>7.9606910000000006E-3</v>
      </c>
      <c r="Q3710" t="str">
        <f t="shared" si="114"/>
        <v>&lt;01</v>
      </c>
      <c r="R3710" t="str">
        <f t="shared" si="115"/>
        <v>[lLDyBx5XyUi]|&lt;01|Female|DIAGNOSED_SUBNAT_Attend.T_1|CY2024Q3</v>
      </c>
    </row>
    <row r="3711" spans="4:18" x14ac:dyDescent="0.2">
      <c r="D3711" t="s">
        <v>99</v>
      </c>
      <c r="E3711" t="s">
        <v>100</v>
      </c>
      <c r="F3711" t="s">
        <v>101</v>
      </c>
      <c r="G3711" t="s">
        <v>152</v>
      </c>
      <c r="H3711" t="s">
        <v>152</v>
      </c>
      <c r="I3711" t="s">
        <v>36</v>
      </c>
      <c r="J3711" t="s">
        <v>37</v>
      </c>
      <c r="K3711" t="s">
        <v>30</v>
      </c>
      <c r="L3711" t="s">
        <v>31</v>
      </c>
      <c r="M3711" t="s">
        <v>140</v>
      </c>
      <c r="N3711">
        <v>894</v>
      </c>
      <c r="O3711">
        <v>1.9349855999999999E-2</v>
      </c>
      <c r="P3711">
        <v>7.9606910000000006E-3</v>
      </c>
      <c r="Q3711" t="str">
        <f t="shared" si="114"/>
        <v>10-14</v>
      </c>
      <c r="R3711" t="str">
        <f t="shared" si="115"/>
        <v>[lLDyBx5XyUi]|10-14|Female|DIAGNOSED_SUBNAT_Attend.T_1|CY2024Q3</v>
      </c>
    </row>
    <row r="3712" spans="4:18" x14ac:dyDescent="0.2">
      <c r="D3712" t="s">
        <v>99</v>
      </c>
      <c r="E3712" t="s">
        <v>100</v>
      </c>
      <c r="F3712" t="s">
        <v>101</v>
      </c>
      <c r="G3712" t="s">
        <v>152</v>
      </c>
      <c r="H3712" t="s">
        <v>152</v>
      </c>
      <c r="I3712" t="s">
        <v>38</v>
      </c>
      <c r="J3712" t="s">
        <v>39</v>
      </c>
      <c r="K3712" t="s">
        <v>30</v>
      </c>
      <c r="L3712" t="s">
        <v>31</v>
      </c>
      <c r="M3712" t="s">
        <v>140</v>
      </c>
      <c r="N3712">
        <v>3175</v>
      </c>
      <c r="O3712">
        <v>6.0498838999999999E-2</v>
      </c>
      <c r="P3712">
        <v>7.9606910000000006E-3</v>
      </c>
      <c r="Q3712" t="str">
        <f t="shared" si="114"/>
        <v>15-24</v>
      </c>
      <c r="R3712" t="str">
        <f t="shared" si="115"/>
        <v>[lLDyBx5XyUi]|15-24|Female|DIAGNOSED_SUBNAT_Attend.T_1|CY2024Q3</v>
      </c>
    </row>
    <row r="3713" spans="4:18" x14ac:dyDescent="0.2">
      <c r="D3713" t="s">
        <v>99</v>
      </c>
      <c r="E3713" t="s">
        <v>100</v>
      </c>
      <c r="F3713" t="s">
        <v>101</v>
      </c>
      <c r="G3713" t="s">
        <v>152</v>
      </c>
      <c r="H3713" t="s">
        <v>152</v>
      </c>
      <c r="I3713" t="s">
        <v>41</v>
      </c>
      <c r="J3713" t="s">
        <v>42</v>
      </c>
      <c r="K3713" t="s">
        <v>30</v>
      </c>
      <c r="L3713" t="s">
        <v>31</v>
      </c>
      <c r="M3713" t="s">
        <v>140</v>
      </c>
      <c r="N3713">
        <v>8146</v>
      </c>
      <c r="O3713">
        <v>3.5553305E-2</v>
      </c>
      <c r="P3713">
        <v>7.9606910000000006E-3</v>
      </c>
      <c r="Q3713" t="str">
        <f t="shared" si="114"/>
        <v>25-34</v>
      </c>
      <c r="R3713" t="str">
        <f t="shared" si="115"/>
        <v>[lLDyBx5XyUi]|25-34|Female|DIAGNOSED_SUBNAT_Attend.T_1|CY2024Q3</v>
      </c>
    </row>
    <row r="3714" spans="4:18" x14ac:dyDescent="0.2">
      <c r="D3714" t="s">
        <v>99</v>
      </c>
      <c r="E3714" t="s">
        <v>100</v>
      </c>
      <c r="F3714" t="s">
        <v>101</v>
      </c>
      <c r="G3714" t="s">
        <v>152</v>
      </c>
      <c r="H3714" t="s">
        <v>152</v>
      </c>
      <c r="I3714" t="s">
        <v>43</v>
      </c>
      <c r="J3714" t="s">
        <v>44</v>
      </c>
      <c r="K3714" t="s">
        <v>30</v>
      </c>
      <c r="L3714" t="s">
        <v>31</v>
      </c>
      <c r="M3714" t="s">
        <v>140</v>
      </c>
      <c r="N3714">
        <v>19332</v>
      </c>
      <c r="O3714">
        <v>2.0221868E-2</v>
      </c>
      <c r="P3714">
        <v>7.9606910000000006E-3</v>
      </c>
      <c r="Q3714" t="str">
        <f t="shared" si="114"/>
        <v>35-49</v>
      </c>
      <c r="R3714" t="str">
        <f t="shared" si="115"/>
        <v>[lLDyBx5XyUi]|35-49|Female|DIAGNOSED_SUBNAT_Attend.T_1|CY2024Q3</v>
      </c>
    </row>
    <row r="3715" spans="4:18" x14ac:dyDescent="0.2">
      <c r="D3715" t="s">
        <v>99</v>
      </c>
      <c r="E3715" t="s">
        <v>100</v>
      </c>
      <c r="F3715" t="s">
        <v>101</v>
      </c>
      <c r="G3715" t="s">
        <v>152</v>
      </c>
      <c r="H3715" t="s">
        <v>152</v>
      </c>
      <c r="I3715" t="s">
        <v>45</v>
      </c>
      <c r="J3715" t="s">
        <v>46</v>
      </c>
      <c r="K3715" t="s">
        <v>30</v>
      </c>
      <c r="L3715" t="s">
        <v>31</v>
      </c>
      <c r="M3715" t="s">
        <v>140</v>
      </c>
      <c r="N3715">
        <v>9278</v>
      </c>
      <c r="O3715">
        <v>3.6261710000000003E-2</v>
      </c>
      <c r="P3715">
        <v>7.9606910000000006E-3</v>
      </c>
      <c r="Q3715" t="str">
        <f t="shared" ref="Q3715:Q3778" si="116">SUBSTITUTE(SUBSTITUTE($I3715,CHAR(61),""),CHAR(34),"")</f>
        <v>50+</v>
      </c>
      <c r="R3715" t="str">
        <f t="shared" ref="R3715:R3778" si="117">IF($D3715&lt;&gt;"","["&amp;$E3715&amp;"]"&amp;"|"&amp;$Q3715&amp;"|"&amp;$K3715&amp;"|"&amp;$G3715&amp;"|"&amp;IF($G3715="TX_CURR_SUBNAT.R","CY2023Q4",$M3715),"")</f>
        <v>[lLDyBx5XyUi]|50+|Female|DIAGNOSED_SUBNAT_Attend.T_1|CY2024Q3</v>
      </c>
    </row>
    <row r="3716" spans="4:18" x14ac:dyDescent="0.2">
      <c r="D3716" t="s">
        <v>99</v>
      </c>
      <c r="E3716" t="s">
        <v>100</v>
      </c>
      <c r="F3716" t="s">
        <v>101</v>
      </c>
      <c r="G3716" t="s">
        <v>152</v>
      </c>
      <c r="H3716" t="s">
        <v>152</v>
      </c>
      <c r="I3716" t="s">
        <v>28</v>
      </c>
      <c r="J3716" t="s">
        <v>29</v>
      </c>
      <c r="K3716" t="s">
        <v>48</v>
      </c>
      <c r="L3716" t="s">
        <v>49</v>
      </c>
      <c r="M3716" t="s">
        <v>140</v>
      </c>
      <c r="N3716">
        <v>33</v>
      </c>
      <c r="O3716">
        <v>1.6314359E-2</v>
      </c>
      <c r="P3716">
        <v>7.9606910000000006E-3</v>
      </c>
      <c r="Q3716" t="str">
        <f t="shared" si="116"/>
        <v>&lt;01</v>
      </c>
      <c r="R3716" t="str">
        <f t="shared" si="117"/>
        <v>[lLDyBx5XyUi]|&lt;01|Male|DIAGNOSED_SUBNAT_Attend.T_1|CY2024Q3</v>
      </c>
    </row>
    <row r="3717" spans="4:18" x14ac:dyDescent="0.2">
      <c r="D3717" t="s">
        <v>99</v>
      </c>
      <c r="E3717" t="s">
        <v>100</v>
      </c>
      <c r="F3717" t="s">
        <v>101</v>
      </c>
      <c r="G3717" t="s">
        <v>152</v>
      </c>
      <c r="H3717" t="s">
        <v>152</v>
      </c>
      <c r="I3717" t="s">
        <v>36</v>
      </c>
      <c r="J3717" t="s">
        <v>37</v>
      </c>
      <c r="K3717" t="s">
        <v>48</v>
      </c>
      <c r="L3717" t="s">
        <v>49</v>
      </c>
      <c r="M3717" t="s">
        <v>140</v>
      </c>
      <c r="N3717">
        <v>874</v>
      </c>
      <c r="O3717">
        <v>2.4526385000000001E-2</v>
      </c>
      <c r="P3717">
        <v>7.9606910000000006E-3</v>
      </c>
      <c r="Q3717" t="str">
        <f t="shared" si="116"/>
        <v>10-14</v>
      </c>
      <c r="R3717" t="str">
        <f t="shared" si="117"/>
        <v>[lLDyBx5XyUi]|10-14|Male|DIAGNOSED_SUBNAT_Attend.T_1|CY2024Q3</v>
      </c>
    </row>
    <row r="3718" spans="4:18" x14ac:dyDescent="0.2">
      <c r="D3718" t="s">
        <v>99</v>
      </c>
      <c r="E3718" t="s">
        <v>100</v>
      </c>
      <c r="F3718" t="s">
        <v>101</v>
      </c>
      <c r="G3718" t="s">
        <v>152</v>
      </c>
      <c r="H3718" t="s">
        <v>152</v>
      </c>
      <c r="I3718" t="s">
        <v>38</v>
      </c>
      <c r="J3718" t="s">
        <v>39</v>
      </c>
      <c r="K3718" t="s">
        <v>48</v>
      </c>
      <c r="L3718" t="s">
        <v>49</v>
      </c>
      <c r="M3718" t="s">
        <v>140</v>
      </c>
      <c r="N3718">
        <v>1969</v>
      </c>
      <c r="O3718">
        <v>6.3464224999999999E-2</v>
      </c>
      <c r="P3718">
        <v>7.9606910000000006E-3</v>
      </c>
      <c r="Q3718" t="str">
        <f t="shared" si="116"/>
        <v>15-24</v>
      </c>
      <c r="R3718" t="str">
        <f t="shared" si="117"/>
        <v>[lLDyBx5XyUi]|15-24|Male|DIAGNOSED_SUBNAT_Attend.T_1|CY2024Q3</v>
      </c>
    </row>
    <row r="3719" spans="4:18" x14ac:dyDescent="0.2">
      <c r="D3719" t="s">
        <v>99</v>
      </c>
      <c r="E3719" t="s">
        <v>100</v>
      </c>
      <c r="F3719" t="s">
        <v>101</v>
      </c>
      <c r="G3719" t="s">
        <v>152</v>
      </c>
      <c r="H3719" t="s">
        <v>152</v>
      </c>
      <c r="I3719" t="s">
        <v>41</v>
      </c>
      <c r="J3719" t="s">
        <v>42</v>
      </c>
      <c r="K3719" t="s">
        <v>48</v>
      </c>
      <c r="L3719" t="s">
        <v>49</v>
      </c>
      <c r="M3719" t="s">
        <v>140</v>
      </c>
      <c r="N3719">
        <v>2116</v>
      </c>
      <c r="O3719">
        <v>6.3298671000000001E-2</v>
      </c>
      <c r="P3719">
        <v>7.9606910000000006E-3</v>
      </c>
      <c r="Q3719" t="str">
        <f t="shared" si="116"/>
        <v>25-34</v>
      </c>
      <c r="R3719" t="str">
        <f t="shared" si="117"/>
        <v>[lLDyBx5XyUi]|25-34|Male|DIAGNOSED_SUBNAT_Attend.T_1|CY2024Q3</v>
      </c>
    </row>
    <row r="3720" spans="4:18" x14ac:dyDescent="0.2">
      <c r="D3720" t="s">
        <v>99</v>
      </c>
      <c r="E3720" t="s">
        <v>100</v>
      </c>
      <c r="F3720" t="s">
        <v>101</v>
      </c>
      <c r="G3720" t="s">
        <v>152</v>
      </c>
      <c r="H3720" t="s">
        <v>152</v>
      </c>
      <c r="I3720" t="s">
        <v>43</v>
      </c>
      <c r="J3720" t="s">
        <v>44</v>
      </c>
      <c r="K3720" t="s">
        <v>48</v>
      </c>
      <c r="L3720" t="s">
        <v>49</v>
      </c>
      <c r="M3720" t="s">
        <v>140</v>
      </c>
      <c r="N3720">
        <v>7970</v>
      </c>
      <c r="O3720">
        <v>3.0873655E-2</v>
      </c>
      <c r="P3720">
        <v>7.9606910000000006E-3</v>
      </c>
      <c r="Q3720" t="str">
        <f t="shared" si="116"/>
        <v>35-49</v>
      </c>
      <c r="R3720" t="str">
        <f t="shared" si="117"/>
        <v>[lLDyBx5XyUi]|35-49|Male|DIAGNOSED_SUBNAT_Attend.T_1|CY2024Q3</v>
      </c>
    </row>
    <row r="3721" spans="4:18" x14ac:dyDescent="0.2">
      <c r="D3721" t="s">
        <v>99</v>
      </c>
      <c r="E3721" t="s">
        <v>100</v>
      </c>
      <c r="F3721" t="s">
        <v>101</v>
      </c>
      <c r="G3721" t="s">
        <v>152</v>
      </c>
      <c r="H3721" t="s">
        <v>152</v>
      </c>
      <c r="I3721" t="s">
        <v>45</v>
      </c>
      <c r="J3721" t="s">
        <v>46</v>
      </c>
      <c r="K3721" t="s">
        <v>48</v>
      </c>
      <c r="L3721" t="s">
        <v>49</v>
      </c>
      <c r="M3721" t="s">
        <v>140</v>
      </c>
      <c r="N3721">
        <v>6432</v>
      </c>
      <c r="O3721">
        <v>3.4351754999999998E-2</v>
      </c>
      <c r="P3721">
        <v>7.9606910000000006E-3</v>
      </c>
      <c r="Q3721" t="str">
        <f t="shared" si="116"/>
        <v>50+</v>
      </c>
      <c r="R3721" t="str">
        <f t="shared" si="117"/>
        <v>[lLDyBx5XyUi]|50+|Male|DIAGNOSED_SUBNAT_Attend.T_1|CY2024Q3</v>
      </c>
    </row>
    <row r="3722" spans="4:18" x14ac:dyDescent="0.2">
      <c r="D3722" t="s">
        <v>102</v>
      </c>
      <c r="E3722" t="s">
        <v>103</v>
      </c>
      <c r="F3722" t="s">
        <v>104</v>
      </c>
      <c r="G3722" t="s">
        <v>152</v>
      </c>
      <c r="H3722" t="s">
        <v>152</v>
      </c>
      <c r="I3722" t="s">
        <v>28</v>
      </c>
      <c r="J3722" t="s">
        <v>29</v>
      </c>
      <c r="K3722" t="s">
        <v>30</v>
      </c>
      <c r="L3722" t="s">
        <v>31</v>
      </c>
      <c r="M3722" t="s">
        <v>140</v>
      </c>
      <c r="N3722">
        <v>16</v>
      </c>
      <c r="O3722">
        <v>3.3988686999999997E-2</v>
      </c>
      <c r="P3722">
        <v>1.4101704E-2</v>
      </c>
      <c r="Q3722" t="str">
        <f t="shared" si="116"/>
        <v>&lt;01</v>
      </c>
      <c r="R3722" t="str">
        <f t="shared" si="117"/>
        <v>[TYnMSwzko3z]|&lt;01|Female|DIAGNOSED_SUBNAT_Attend.T_1|CY2024Q3</v>
      </c>
    </row>
    <row r="3723" spans="4:18" x14ac:dyDescent="0.2">
      <c r="D3723" t="s">
        <v>102</v>
      </c>
      <c r="E3723" t="s">
        <v>103</v>
      </c>
      <c r="F3723" t="s">
        <v>104</v>
      </c>
      <c r="G3723" t="s">
        <v>152</v>
      </c>
      <c r="H3723" t="s">
        <v>152</v>
      </c>
      <c r="I3723" t="s">
        <v>36</v>
      </c>
      <c r="J3723" t="s">
        <v>37</v>
      </c>
      <c r="K3723" t="s">
        <v>30</v>
      </c>
      <c r="L3723" t="s">
        <v>31</v>
      </c>
      <c r="M3723" t="s">
        <v>140</v>
      </c>
      <c r="N3723">
        <v>446</v>
      </c>
      <c r="O3723">
        <v>2.5918679E-2</v>
      </c>
      <c r="P3723">
        <v>1.4101704E-2</v>
      </c>
      <c r="Q3723" t="str">
        <f t="shared" si="116"/>
        <v>10-14</v>
      </c>
      <c r="R3723" t="str">
        <f t="shared" si="117"/>
        <v>[TYnMSwzko3z]|10-14|Female|DIAGNOSED_SUBNAT_Attend.T_1|CY2024Q3</v>
      </c>
    </row>
    <row r="3724" spans="4:18" x14ac:dyDescent="0.2">
      <c r="D3724" t="s">
        <v>102</v>
      </c>
      <c r="E3724" t="s">
        <v>103</v>
      </c>
      <c r="F3724" t="s">
        <v>104</v>
      </c>
      <c r="G3724" t="s">
        <v>152</v>
      </c>
      <c r="H3724" t="s">
        <v>152</v>
      </c>
      <c r="I3724" t="s">
        <v>38</v>
      </c>
      <c r="J3724" t="s">
        <v>39</v>
      </c>
      <c r="K3724" t="s">
        <v>30</v>
      </c>
      <c r="L3724" t="s">
        <v>31</v>
      </c>
      <c r="M3724" t="s">
        <v>140</v>
      </c>
      <c r="N3724">
        <v>1717</v>
      </c>
      <c r="O3724">
        <v>6.1693935999999998E-2</v>
      </c>
      <c r="P3724">
        <v>1.4101704E-2</v>
      </c>
      <c r="Q3724" t="str">
        <f t="shared" si="116"/>
        <v>15-24</v>
      </c>
      <c r="R3724" t="str">
        <f t="shared" si="117"/>
        <v>[TYnMSwzko3z]|15-24|Female|DIAGNOSED_SUBNAT_Attend.T_1|CY2024Q3</v>
      </c>
    </row>
    <row r="3725" spans="4:18" x14ac:dyDescent="0.2">
      <c r="D3725" t="s">
        <v>102</v>
      </c>
      <c r="E3725" t="s">
        <v>103</v>
      </c>
      <c r="F3725" t="s">
        <v>104</v>
      </c>
      <c r="G3725" t="s">
        <v>152</v>
      </c>
      <c r="H3725" t="s">
        <v>152</v>
      </c>
      <c r="I3725" t="s">
        <v>41</v>
      </c>
      <c r="J3725" t="s">
        <v>42</v>
      </c>
      <c r="K3725" t="s">
        <v>30</v>
      </c>
      <c r="L3725" t="s">
        <v>31</v>
      </c>
      <c r="M3725" t="s">
        <v>140</v>
      </c>
      <c r="N3725">
        <v>4397</v>
      </c>
      <c r="O3725">
        <v>3.8091280999999998E-2</v>
      </c>
      <c r="P3725">
        <v>1.4101704E-2</v>
      </c>
      <c r="Q3725" t="str">
        <f t="shared" si="116"/>
        <v>25-34</v>
      </c>
      <c r="R3725" t="str">
        <f t="shared" si="117"/>
        <v>[TYnMSwzko3z]|25-34|Female|DIAGNOSED_SUBNAT_Attend.T_1|CY2024Q3</v>
      </c>
    </row>
    <row r="3726" spans="4:18" x14ac:dyDescent="0.2">
      <c r="D3726" t="s">
        <v>102</v>
      </c>
      <c r="E3726" t="s">
        <v>103</v>
      </c>
      <c r="F3726" t="s">
        <v>104</v>
      </c>
      <c r="G3726" t="s">
        <v>152</v>
      </c>
      <c r="H3726" t="s">
        <v>152</v>
      </c>
      <c r="I3726" t="s">
        <v>43</v>
      </c>
      <c r="J3726" t="s">
        <v>44</v>
      </c>
      <c r="K3726" t="s">
        <v>30</v>
      </c>
      <c r="L3726" t="s">
        <v>31</v>
      </c>
      <c r="M3726" t="s">
        <v>140</v>
      </c>
      <c r="N3726">
        <v>10950</v>
      </c>
      <c r="O3726">
        <v>2.2965480999999999E-2</v>
      </c>
      <c r="P3726">
        <v>1.4101704E-2</v>
      </c>
      <c r="Q3726" t="str">
        <f t="shared" si="116"/>
        <v>35-49</v>
      </c>
      <c r="R3726" t="str">
        <f t="shared" si="117"/>
        <v>[TYnMSwzko3z]|35-49|Female|DIAGNOSED_SUBNAT_Attend.T_1|CY2024Q3</v>
      </c>
    </row>
    <row r="3727" spans="4:18" x14ac:dyDescent="0.2">
      <c r="D3727" t="s">
        <v>102</v>
      </c>
      <c r="E3727" t="s">
        <v>103</v>
      </c>
      <c r="F3727" t="s">
        <v>104</v>
      </c>
      <c r="G3727" t="s">
        <v>152</v>
      </c>
      <c r="H3727" t="s">
        <v>152</v>
      </c>
      <c r="I3727" t="s">
        <v>45</v>
      </c>
      <c r="J3727" t="s">
        <v>46</v>
      </c>
      <c r="K3727" t="s">
        <v>30</v>
      </c>
      <c r="L3727" t="s">
        <v>31</v>
      </c>
      <c r="M3727" t="s">
        <v>140</v>
      </c>
      <c r="N3727">
        <v>5140</v>
      </c>
      <c r="O3727">
        <v>4.0694365000000003E-2</v>
      </c>
      <c r="P3727">
        <v>1.4101704E-2</v>
      </c>
      <c r="Q3727" t="str">
        <f t="shared" si="116"/>
        <v>50+</v>
      </c>
      <c r="R3727" t="str">
        <f t="shared" si="117"/>
        <v>[TYnMSwzko3z]|50+|Female|DIAGNOSED_SUBNAT_Attend.T_1|CY2024Q3</v>
      </c>
    </row>
    <row r="3728" spans="4:18" x14ac:dyDescent="0.2">
      <c r="D3728" t="s">
        <v>102</v>
      </c>
      <c r="E3728" t="s">
        <v>103</v>
      </c>
      <c r="F3728" t="s">
        <v>104</v>
      </c>
      <c r="G3728" t="s">
        <v>152</v>
      </c>
      <c r="H3728" t="s">
        <v>152</v>
      </c>
      <c r="I3728" t="s">
        <v>28</v>
      </c>
      <c r="J3728" t="s">
        <v>29</v>
      </c>
      <c r="K3728" t="s">
        <v>48</v>
      </c>
      <c r="L3728" t="s">
        <v>49</v>
      </c>
      <c r="M3728" t="s">
        <v>140</v>
      </c>
      <c r="N3728">
        <v>16</v>
      </c>
      <c r="O3728">
        <v>2.2993696000000001E-2</v>
      </c>
      <c r="P3728">
        <v>1.4101704E-2</v>
      </c>
      <c r="Q3728" t="str">
        <f t="shared" si="116"/>
        <v>&lt;01</v>
      </c>
      <c r="R3728" t="str">
        <f t="shared" si="117"/>
        <v>[TYnMSwzko3z]|&lt;01|Male|DIAGNOSED_SUBNAT_Attend.T_1|CY2024Q3</v>
      </c>
    </row>
    <row r="3729" spans="4:18" x14ac:dyDescent="0.2">
      <c r="D3729" t="s">
        <v>102</v>
      </c>
      <c r="E3729" t="s">
        <v>103</v>
      </c>
      <c r="F3729" t="s">
        <v>104</v>
      </c>
      <c r="G3729" t="s">
        <v>152</v>
      </c>
      <c r="H3729" t="s">
        <v>152</v>
      </c>
      <c r="I3729" t="s">
        <v>36</v>
      </c>
      <c r="J3729" t="s">
        <v>37</v>
      </c>
      <c r="K3729" t="s">
        <v>48</v>
      </c>
      <c r="L3729" t="s">
        <v>49</v>
      </c>
      <c r="M3729" t="s">
        <v>140</v>
      </c>
      <c r="N3729">
        <v>446</v>
      </c>
      <c r="O3729">
        <v>2.9931563000000001E-2</v>
      </c>
      <c r="P3729">
        <v>1.4101704E-2</v>
      </c>
      <c r="Q3729" t="str">
        <f t="shared" si="116"/>
        <v>10-14</v>
      </c>
      <c r="R3729" t="str">
        <f t="shared" si="117"/>
        <v>[TYnMSwzko3z]|10-14|Male|DIAGNOSED_SUBNAT_Attend.T_1|CY2024Q3</v>
      </c>
    </row>
    <row r="3730" spans="4:18" x14ac:dyDescent="0.2">
      <c r="D3730" t="s">
        <v>102</v>
      </c>
      <c r="E3730" t="s">
        <v>103</v>
      </c>
      <c r="F3730" t="s">
        <v>104</v>
      </c>
      <c r="G3730" t="s">
        <v>152</v>
      </c>
      <c r="H3730" t="s">
        <v>152</v>
      </c>
      <c r="I3730" t="s">
        <v>38</v>
      </c>
      <c r="J3730" t="s">
        <v>39</v>
      </c>
      <c r="K3730" t="s">
        <v>48</v>
      </c>
      <c r="L3730" t="s">
        <v>49</v>
      </c>
      <c r="M3730" t="s">
        <v>140</v>
      </c>
      <c r="N3730">
        <v>1081</v>
      </c>
      <c r="O3730">
        <v>6.5463719000000004E-2</v>
      </c>
      <c r="P3730">
        <v>1.4101704E-2</v>
      </c>
      <c r="Q3730" t="str">
        <f t="shared" si="116"/>
        <v>15-24</v>
      </c>
      <c r="R3730" t="str">
        <f t="shared" si="117"/>
        <v>[TYnMSwzko3z]|15-24|Male|DIAGNOSED_SUBNAT_Attend.T_1|CY2024Q3</v>
      </c>
    </row>
    <row r="3731" spans="4:18" x14ac:dyDescent="0.2">
      <c r="D3731" t="s">
        <v>102</v>
      </c>
      <c r="E3731" t="s">
        <v>103</v>
      </c>
      <c r="F3731" t="s">
        <v>104</v>
      </c>
      <c r="G3731" t="s">
        <v>152</v>
      </c>
      <c r="H3731" t="s">
        <v>152</v>
      </c>
      <c r="I3731" t="s">
        <v>41</v>
      </c>
      <c r="J3731" t="s">
        <v>42</v>
      </c>
      <c r="K3731" t="s">
        <v>48</v>
      </c>
      <c r="L3731" t="s">
        <v>49</v>
      </c>
      <c r="M3731" t="s">
        <v>140</v>
      </c>
      <c r="N3731">
        <v>1156</v>
      </c>
      <c r="O3731">
        <v>6.4323442999999994E-2</v>
      </c>
      <c r="P3731">
        <v>1.4101704E-2</v>
      </c>
      <c r="Q3731" t="str">
        <f t="shared" si="116"/>
        <v>25-34</v>
      </c>
      <c r="R3731" t="str">
        <f t="shared" si="117"/>
        <v>[TYnMSwzko3z]|25-34|Male|DIAGNOSED_SUBNAT_Attend.T_1|CY2024Q3</v>
      </c>
    </row>
    <row r="3732" spans="4:18" x14ac:dyDescent="0.2">
      <c r="D3732" t="s">
        <v>102</v>
      </c>
      <c r="E3732" t="s">
        <v>103</v>
      </c>
      <c r="F3732" t="s">
        <v>104</v>
      </c>
      <c r="G3732" t="s">
        <v>152</v>
      </c>
      <c r="H3732" t="s">
        <v>152</v>
      </c>
      <c r="I3732" t="s">
        <v>43</v>
      </c>
      <c r="J3732" t="s">
        <v>44</v>
      </c>
      <c r="K3732" t="s">
        <v>48</v>
      </c>
      <c r="L3732" t="s">
        <v>49</v>
      </c>
      <c r="M3732" t="s">
        <v>140</v>
      </c>
      <c r="N3732">
        <v>4391</v>
      </c>
      <c r="O3732">
        <v>3.3784541000000001E-2</v>
      </c>
      <c r="P3732">
        <v>1.4101704E-2</v>
      </c>
      <c r="Q3732" t="str">
        <f t="shared" si="116"/>
        <v>35-49</v>
      </c>
      <c r="R3732" t="str">
        <f t="shared" si="117"/>
        <v>[TYnMSwzko3z]|35-49|Male|DIAGNOSED_SUBNAT_Attend.T_1|CY2024Q3</v>
      </c>
    </row>
    <row r="3733" spans="4:18" x14ac:dyDescent="0.2">
      <c r="D3733" t="s">
        <v>102</v>
      </c>
      <c r="E3733" t="s">
        <v>103</v>
      </c>
      <c r="F3733" t="s">
        <v>104</v>
      </c>
      <c r="G3733" t="s">
        <v>152</v>
      </c>
      <c r="H3733" t="s">
        <v>152</v>
      </c>
      <c r="I3733" t="s">
        <v>45</v>
      </c>
      <c r="J3733" t="s">
        <v>46</v>
      </c>
      <c r="K3733" t="s">
        <v>48</v>
      </c>
      <c r="L3733" t="s">
        <v>49</v>
      </c>
      <c r="M3733" t="s">
        <v>140</v>
      </c>
      <c r="N3733">
        <v>3600</v>
      </c>
      <c r="O3733">
        <v>3.7288201999999999E-2</v>
      </c>
      <c r="P3733">
        <v>1.4101704E-2</v>
      </c>
      <c r="Q3733" t="str">
        <f t="shared" si="116"/>
        <v>50+</v>
      </c>
      <c r="R3733" t="str">
        <f t="shared" si="117"/>
        <v>[TYnMSwzko3z]|50+|Male|DIAGNOSED_SUBNAT_Attend.T_1|CY2024Q3</v>
      </c>
    </row>
    <row r="3734" spans="4:18" x14ac:dyDescent="0.2">
      <c r="D3734" t="s">
        <v>105</v>
      </c>
      <c r="E3734" t="s">
        <v>106</v>
      </c>
      <c r="F3734" t="s">
        <v>107</v>
      </c>
      <c r="G3734" t="s">
        <v>152</v>
      </c>
      <c r="H3734" t="s">
        <v>152</v>
      </c>
      <c r="I3734" t="s">
        <v>28</v>
      </c>
      <c r="J3734" t="s">
        <v>29</v>
      </c>
      <c r="K3734" t="s">
        <v>30</v>
      </c>
      <c r="L3734" t="s">
        <v>31</v>
      </c>
      <c r="M3734" t="s">
        <v>140</v>
      </c>
      <c r="N3734">
        <v>28</v>
      </c>
      <c r="O3734">
        <v>2.5420544999999999E-2</v>
      </c>
      <c r="P3734">
        <v>5.9229230000000001E-3</v>
      </c>
      <c r="Q3734" t="str">
        <f t="shared" si="116"/>
        <v>&lt;01</v>
      </c>
      <c r="R3734" t="str">
        <f t="shared" si="117"/>
        <v>[fyEoGEPERdI]|&lt;01|Female|DIAGNOSED_SUBNAT_Attend.T_1|CY2024Q3</v>
      </c>
    </row>
    <row r="3735" spans="4:18" x14ac:dyDescent="0.2">
      <c r="D3735" t="s">
        <v>105</v>
      </c>
      <c r="E3735" t="s">
        <v>106</v>
      </c>
      <c r="F3735" t="s">
        <v>107</v>
      </c>
      <c r="G3735" t="s">
        <v>152</v>
      </c>
      <c r="H3735" t="s">
        <v>152</v>
      </c>
      <c r="I3735" t="s">
        <v>36</v>
      </c>
      <c r="J3735" t="s">
        <v>37</v>
      </c>
      <c r="K3735" t="s">
        <v>30</v>
      </c>
      <c r="L3735" t="s">
        <v>31</v>
      </c>
      <c r="M3735" t="s">
        <v>140</v>
      </c>
      <c r="N3735">
        <v>702</v>
      </c>
      <c r="O3735">
        <v>1.7581257999999999E-2</v>
      </c>
      <c r="P3735">
        <v>5.9229230000000001E-3</v>
      </c>
      <c r="Q3735" t="str">
        <f t="shared" si="116"/>
        <v>10-14</v>
      </c>
      <c r="R3735" t="str">
        <f t="shared" si="117"/>
        <v>[fyEoGEPERdI]|10-14|Female|DIAGNOSED_SUBNAT_Attend.T_1|CY2024Q3</v>
      </c>
    </row>
    <row r="3736" spans="4:18" x14ac:dyDescent="0.2">
      <c r="D3736" t="s">
        <v>105</v>
      </c>
      <c r="E3736" t="s">
        <v>106</v>
      </c>
      <c r="F3736" t="s">
        <v>107</v>
      </c>
      <c r="G3736" t="s">
        <v>152</v>
      </c>
      <c r="H3736" t="s">
        <v>152</v>
      </c>
      <c r="I3736" t="s">
        <v>38</v>
      </c>
      <c r="J3736" t="s">
        <v>39</v>
      </c>
      <c r="K3736" t="s">
        <v>30</v>
      </c>
      <c r="L3736" t="s">
        <v>31</v>
      </c>
      <c r="M3736" t="s">
        <v>140</v>
      </c>
      <c r="N3736">
        <v>3253</v>
      </c>
      <c r="O3736">
        <v>5.9858704999999998E-2</v>
      </c>
      <c r="P3736">
        <v>5.9229230000000001E-3</v>
      </c>
      <c r="Q3736" t="str">
        <f t="shared" si="116"/>
        <v>15-24</v>
      </c>
      <c r="R3736" t="str">
        <f t="shared" si="117"/>
        <v>[fyEoGEPERdI]|15-24|Female|DIAGNOSED_SUBNAT_Attend.T_1|CY2024Q3</v>
      </c>
    </row>
    <row r="3737" spans="4:18" x14ac:dyDescent="0.2">
      <c r="D3737" t="s">
        <v>105</v>
      </c>
      <c r="E3737" t="s">
        <v>106</v>
      </c>
      <c r="F3737" t="s">
        <v>107</v>
      </c>
      <c r="G3737" t="s">
        <v>152</v>
      </c>
      <c r="H3737" t="s">
        <v>152</v>
      </c>
      <c r="I3737" t="s">
        <v>41</v>
      </c>
      <c r="J3737" t="s">
        <v>42</v>
      </c>
      <c r="K3737" t="s">
        <v>30</v>
      </c>
      <c r="L3737" t="s">
        <v>31</v>
      </c>
      <c r="M3737" t="s">
        <v>140</v>
      </c>
      <c r="N3737">
        <v>8559</v>
      </c>
      <c r="O3737">
        <v>3.2831953999999997E-2</v>
      </c>
      <c r="P3737">
        <v>5.9229230000000001E-3</v>
      </c>
      <c r="Q3737" t="str">
        <f t="shared" si="116"/>
        <v>25-34</v>
      </c>
      <c r="R3737" t="str">
        <f t="shared" si="117"/>
        <v>[fyEoGEPERdI]|25-34|Female|DIAGNOSED_SUBNAT_Attend.T_1|CY2024Q3</v>
      </c>
    </row>
    <row r="3738" spans="4:18" x14ac:dyDescent="0.2">
      <c r="D3738" t="s">
        <v>105</v>
      </c>
      <c r="E3738" t="s">
        <v>106</v>
      </c>
      <c r="F3738" t="s">
        <v>107</v>
      </c>
      <c r="G3738" t="s">
        <v>152</v>
      </c>
      <c r="H3738" t="s">
        <v>152</v>
      </c>
      <c r="I3738" t="s">
        <v>43</v>
      </c>
      <c r="J3738" t="s">
        <v>44</v>
      </c>
      <c r="K3738" t="s">
        <v>30</v>
      </c>
      <c r="L3738" t="s">
        <v>31</v>
      </c>
      <c r="M3738" t="s">
        <v>140</v>
      </c>
      <c r="N3738">
        <v>20730</v>
      </c>
      <c r="O3738">
        <v>1.7883253000000002E-2</v>
      </c>
      <c r="P3738">
        <v>5.9229230000000001E-3</v>
      </c>
      <c r="Q3738" t="str">
        <f t="shared" si="116"/>
        <v>35-49</v>
      </c>
      <c r="R3738" t="str">
        <f t="shared" si="117"/>
        <v>[fyEoGEPERdI]|35-49|Female|DIAGNOSED_SUBNAT_Attend.T_1|CY2024Q3</v>
      </c>
    </row>
    <row r="3739" spans="4:18" x14ac:dyDescent="0.2">
      <c r="D3739" t="s">
        <v>105</v>
      </c>
      <c r="E3739" t="s">
        <v>106</v>
      </c>
      <c r="F3739" t="s">
        <v>107</v>
      </c>
      <c r="G3739" t="s">
        <v>152</v>
      </c>
      <c r="H3739" t="s">
        <v>152</v>
      </c>
      <c r="I3739" t="s">
        <v>45</v>
      </c>
      <c r="J3739" t="s">
        <v>46</v>
      </c>
      <c r="K3739" t="s">
        <v>30</v>
      </c>
      <c r="L3739" t="s">
        <v>31</v>
      </c>
      <c r="M3739" t="s">
        <v>140</v>
      </c>
      <c r="N3739">
        <v>9455</v>
      </c>
      <c r="O3739">
        <v>3.4687118000000003E-2</v>
      </c>
      <c r="P3739">
        <v>5.9229230000000001E-3</v>
      </c>
      <c r="Q3739" t="str">
        <f t="shared" si="116"/>
        <v>50+</v>
      </c>
      <c r="R3739" t="str">
        <f t="shared" si="117"/>
        <v>[fyEoGEPERdI]|50+|Female|DIAGNOSED_SUBNAT_Attend.T_1|CY2024Q3</v>
      </c>
    </row>
    <row r="3740" spans="4:18" x14ac:dyDescent="0.2">
      <c r="D3740" t="s">
        <v>105</v>
      </c>
      <c r="E3740" t="s">
        <v>106</v>
      </c>
      <c r="F3740" t="s">
        <v>107</v>
      </c>
      <c r="G3740" t="s">
        <v>152</v>
      </c>
      <c r="H3740" t="s">
        <v>152</v>
      </c>
      <c r="I3740" t="s">
        <v>28</v>
      </c>
      <c r="J3740" t="s">
        <v>29</v>
      </c>
      <c r="K3740" t="s">
        <v>48</v>
      </c>
      <c r="L3740" t="s">
        <v>49</v>
      </c>
      <c r="M3740" t="s">
        <v>140</v>
      </c>
      <c r="N3740">
        <v>28</v>
      </c>
      <c r="O3740">
        <v>1.7326801999999999E-2</v>
      </c>
      <c r="P3740">
        <v>5.9229230000000001E-3</v>
      </c>
      <c r="Q3740" t="str">
        <f t="shared" si="116"/>
        <v>&lt;01</v>
      </c>
      <c r="R3740" t="str">
        <f t="shared" si="117"/>
        <v>[fyEoGEPERdI]|&lt;01|Male|DIAGNOSED_SUBNAT_Attend.T_1|CY2024Q3</v>
      </c>
    </row>
    <row r="3741" spans="4:18" x14ac:dyDescent="0.2">
      <c r="D3741" t="s">
        <v>105</v>
      </c>
      <c r="E3741" t="s">
        <v>106</v>
      </c>
      <c r="F3741" t="s">
        <v>107</v>
      </c>
      <c r="G3741" t="s">
        <v>152</v>
      </c>
      <c r="H3741" t="s">
        <v>152</v>
      </c>
      <c r="I3741" t="s">
        <v>36</v>
      </c>
      <c r="J3741" t="s">
        <v>37</v>
      </c>
      <c r="K3741" t="s">
        <v>48</v>
      </c>
      <c r="L3741" t="s">
        <v>49</v>
      </c>
      <c r="M3741" t="s">
        <v>140</v>
      </c>
      <c r="N3741">
        <v>707</v>
      </c>
      <c r="O3741">
        <v>1.8183688E-2</v>
      </c>
      <c r="P3741">
        <v>5.9229230000000001E-3</v>
      </c>
      <c r="Q3741" t="str">
        <f t="shared" si="116"/>
        <v>10-14</v>
      </c>
      <c r="R3741" t="str">
        <f t="shared" si="117"/>
        <v>[fyEoGEPERdI]|10-14|Male|DIAGNOSED_SUBNAT_Attend.T_1|CY2024Q3</v>
      </c>
    </row>
    <row r="3742" spans="4:18" x14ac:dyDescent="0.2">
      <c r="D3742" t="s">
        <v>105</v>
      </c>
      <c r="E3742" t="s">
        <v>106</v>
      </c>
      <c r="F3742" t="s">
        <v>107</v>
      </c>
      <c r="G3742" t="s">
        <v>152</v>
      </c>
      <c r="H3742" t="s">
        <v>152</v>
      </c>
      <c r="I3742" t="s">
        <v>38</v>
      </c>
      <c r="J3742" t="s">
        <v>39</v>
      </c>
      <c r="K3742" t="s">
        <v>48</v>
      </c>
      <c r="L3742" t="s">
        <v>49</v>
      </c>
      <c r="M3742" t="s">
        <v>140</v>
      </c>
      <c r="N3742">
        <v>2173</v>
      </c>
      <c r="O3742">
        <v>6.7549921999999998E-2</v>
      </c>
      <c r="P3742">
        <v>5.9229230000000001E-3</v>
      </c>
      <c r="Q3742" t="str">
        <f t="shared" si="116"/>
        <v>15-24</v>
      </c>
      <c r="R3742" t="str">
        <f t="shared" si="117"/>
        <v>[fyEoGEPERdI]|15-24|Male|DIAGNOSED_SUBNAT_Attend.T_1|CY2024Q3</v>
      </c>
    </row>
    <row r="3743" spans="4:18" x14ac:dyDescent="0.2">
      <c r="D3743" t="s">
        <v>105</v>
      </c>
      <c r="E3743" t="s">
        <v>106</v>
      </c>
      <c r="F3743" t="s">
        <v>107</v>
      </c>
      <c r="G3743" t="s">
        <v>152</v>
      </c>
      <c r="H3743" t="s">
        <v>152</v>
      </c>
      <c r="I3743" t="s">
        <v>41</v>
      </c>
      <c r="J3743" t="s">
        <v>42</v>
      </c>
      <c r="K3743" t="s">
        <v>48</v>
      </c>
      <c r="L3743" t="s">
        <v>49</v>
      </c>
      <c r="M3743" t="s">
        <v>140</v>
      </c>
      <c r="N3743">
        <v>2871</v>
      </c>
      <c r="O3743">
        <v>6.0762432999999998E-2</v>
      </c>
      <c r="P3743">
        <v>5.9229230000000001E-3</v>
      </c>
      <c r="Q3743" t="str">
        <f t="shared" si="116"/>
        <v>25-34</v>
      </c>
      <c r="R3743" t="str">
        <f t="shared" si="117"/>
        <v>[fyEoGEPERdI]|25-34|Male|DIAGNOSED_SUBNAT_Attend.T_1|CY2024Q3</v>
      </c>
    </row>
    <row r="3744" spans="4:18" x14ac:dyDescent="0.2">
      <c r="D3744" t="s">
        <v>105</v>
      </c>
      <c r="E3744" t="s">
        <v>106</v>
      </c>
      <c r="F3744" t="s">
        <v>107</v>
      </c>
      <c r="G3744" t="s">
        <v>152</v>
      </c>
      <c r="H3744" t="s">
        <v>152</v>
      </c>
      <c r="I3744" t="s">
        <v>43</v>
      </c>
      <c r="J3744" t="s">
        <v>44</v>
      </c>
      <c r="K3744" t="s">
        <v>48</v>
      </c>
      <c r="L3744" t="s">
        <v>49</v>
      </c>
      <c r="M3744" t="s">
        <v>140</v>
      </c>
      <c r="N3744">
        <v>10273</v>
      </c>
      <c r="O3744">
        <v>2.6811227999999999E-2</v>
      </c>
      <c r="P3744">
        <v>5.9229230000000001E-3</v>
      </c>
      <c r="Q3744" t="str">
        <f t="shared" si="116"/>
        <v>35-49</v>
      </c>
      <c r="R3744" t="str">
        <f t="shared" si="117"/>
        <v>[fyEoGEPERdI]|35-49|Male|DIAGNOSED_SUBNAT_Attend.T_1|CY2024Q3</v>
      </c>
    </row>
    <row r="3745" spans="4:18" x14ac:dyDescent="0.2">
      <c r="D3745" t="s">
        <v>105</v>
      </c>
      <c r="E3745" t="s">
        <v>106</v>
      </c>
      <c r="F3745" t="s">
        <v>107</v>
      </c>
      <c r="G3745" t="s">
        <v>152</v>
      </c>
      <c r="H3745" t="s">
        <v>152</v>
      </c>
      <c r="I3745" t="s">
        <v>45</v>
      </c>
      <c r="J3745" t="s">
        <v>46</v>
      </c>
      <c r="K3745" t="s">
        <v>48</v>
      </c>
      <c r="L3745" t="s">
        <v>49</v>
      </c>
      <c r="M3745" t="s">
        <v>140</v>
      </c>
      <c r="N3745">
        <v>7170</v>
      </c>
      <c r="O3745">
        <v>3.2955992000000003E-2</v>
      </c>
      <c r="P3745">
        <v>5.9229230000000001E-3</v>
      </c>
      <c r="Q3745" t="str">
        <f t="shared" si="116"/>
        <v>50+</v>
      </c>
      <c r="R3745" t="str">
        <f t="shared" si="117"/>
        <v>[fyEoGEPERdI]|50+|Male|DIAGNOSED_SUBNAT_Attend.T_1|CY2024Q3</v>
      </c>
    </row>
    <row r="3746" spans="4:18" x14ac:dyDescent="0.2">
      <c r="D3746" t="s">
        <v>108</v>
      </c>
      <c r="E3746" t="s">
        <v>109</v>
      </c>
      <c r="F3746" t="s">
        <v>110</v>
      </c>
      <c r="G3746" t="s">
        <v>152</v>
      </c>
      <c r="H3746" t="s">
        <v>152</v>
      </c>
      <c r="I3746" t="s">
        <v>28</v>
      </c>
      <c r="J3746" t="s">
        <v>29</v>
      </c>
      <c r="K3746" t="s">
        <v>30</v>
      </c>
      <c r="L3746" t="s">
        <v>31</v>
      </c>
      <c r="M3746" t="s">
        <v>140</v>
      </c>
      <c r="N3746">
        <v>28</v>
      </c>
      <c r="O3746">
        <v>3.3973136000000001E-2</v>
      </c>
      <c r="P3746">
        <v>6.1148620000000004E-3</v>
      </c>
      <c r="Q3746" t="str">
        <f t="shared" si="116"/>
        <v>&lt;01</v>
      </c>
      <c r="R3746" t="str">
        <f t="shared" si="117"/>
        <v>[umc2n1Z4wNv]|&lt;01|Female|DIAGNOSED_SUBNAT_Attend.T_1|CY2024Q3</v>
      </c>
    </row>
    <row r="3747" spans="4:18" x14ac:dyDescent="0.2">
      <c r="D3747" t="s">
        <v>108</v>
      </c>
      <c r="E3747" t="s">
        <v>109</v>
      </c>
      <c r="F3747" t="s">
        <v>110</v>
      </c>
      <c r="G3747" t="s">
        <v>152</v>
      </c>
      <c r="H3747" t="s">
        <v>152</v>
      </c>
      <c r="I3747" t="s">
        <v>36</v>
      </c>
      <c r="J3747" t="s">
        <v>37</v>
      </c>
      <c r="K3747" t="s">
        <v>30</v>
      </c>
      <c r="L3747" t="s">
        <v>31</v>
      </c>
      <c r="M3747" t="s">
        <v>140</v>
      </c>
      <c r="N3747">
        <v>649</v>
      </c>
      <c r="O3747">
        <v>2.2049288E-2</v>
      </c>
      <c r="P3747">
        <v>6.1148620000000004E-3</v>
      </c>
      <c r="Q3747" t="str">
        <f t="shared" si="116"/>
        <v>10-14</v>
      </c>
      <c r="R3747" t="str">
        <f t="shared" si="117"/>
        <v>[umc2n1Z4wNv]|10-14|Female|DIAGNOSED_SUBNAT_Attend.T_1|CY2024Q3</v>
      </c>
    </row>
    <row r="3748" spans="4:18" x14ac:dyDescent="0.2">
      <c r="D3748" t="s">
        <v>108</v>
      </c>
      <c r="E3748" t="s">
        <v>109</v>
      </c>
      <c r="F3748" t="s">
        <v>110</v>
      </c>
      <c r="G3748" t="s">
        <v>152</v>
      </c>
      <c r="H3748" t="s">
        <v>152</v>
      </c>
      <c r="I3748" t="s">
        <v>38</v>
      </c>
      <c r="J3748" t="s">
        <v>39</v>
      </c>
      <c r="K3748" t="s">
        <v>30</v>
      </c>
      <c r="L3748" t="s">
        <v>31</v>
      </c>
      <c r="M3748" t="s">
        <v>140</v>
      </c>
      <c r="N3748">
        <v>2890</v>
      </c>
      <c r="O3748">
        <v>6.3096395999999999E-2</v>
      </c>
      <c r="P3748">
        <v>6.1148620000000004E-3</v>
      </c>
      <c r="Q3748" t="str">
        <f t="shared" si="116"/>
        <v>15-24</v>
      </c>
      <c r="R3748" t="str">
        <f t="shared" si="117"/>
        <v>[umc2n1Z4wNv]|15-24|Female|DIAGNOSED_SUBNAT_Attend.T_1|CY2024Q3</v>
      </c>
    </row>
    <row r="3749" spans="4:18" x14ac:dyDescent="0.2">
      <c r="D3749" t="s">
        <v>108</v>
      </c>
      <c r="E3749" t="s">
        <v>109</v>
      </c>
      <c r="F3749" t="s">
        <v>110</v>
      </c>
      <c r="G3749" t="s">
        <v>152</v>
      </c>
      <c r="H3749" t="s">
        <v>152</v>
      </c>
      <c r="I3749" t="s">
        <v>41</v>
      </c>
      <c r="J3749" t="s">
        <v>42</v>
      </c>
      <c r="K3749" t="s">
        <v>30</v>
      </c>
      <c r="L3749" t="s">
        <v>31</v>
      </c>
      <c r="M3749" t="s">
        <v>140</v>
      </c>
      <c r="N3749">
        <v>7387</v>
      </c>
      <c r="O3749">
        <v>3.3171948E-2</v>
      </c>
      <c r="P3749">
        <v>6.1148620000000004E-3</v>
      </c>
      <c r="Q3749" t="str">
        <f t="shared" si="116"/>
        <v>25-34</v>
      </c>
      <c r="R3749" t="str">
        <f t="shared" si="117"/>
        <v>[umc2n1Z4wNv]|25-34|Female|DIAGNOSED_SUBNAT_Attend.T_1|CY2024Q3</v>
      </c>
    </row>
    <row r="3750" spans="4:18" x14ac:dyDescent="0.2">
      <c r="D3750" t="s">
        <v>108</v>
      </c>
      <c r="E3750" t="s">
        <v>109</v>
      </c>
      <c r="F3750" t="s">
        <v>110</v>
      </c>
      <c r="G3750" t="s">
        <v>152</v>
      </c>
      <c r="H3750" t="s">
        <v>152</v>
      </c>
      <c r="I3750" t="s">
        <v>43</v>
      </c>
      <c r="J3750" t="s">
        <v>44</v>
      </c>
      <c r="K3750" t="s">
        <v>30</v>
      </c>
      <c r="L3750" t="s">
        <v>31</v>
      </c>
      <c r="M3750" t="s">
        <v>140</v>
      </c>
      <c r="N3750">
        <v>18770</v>
      </c>
      <c r="O3750">
        <v>1.8159917000000001E-2</v>
      </c>
      <c r="P3750">
        <v>6.1148620000000004E-3</v>
      </c>
      <c r="Q3750" t="str">
        <f t="shared" si="116"/>
        <v>35-49</v>
      </c>
      <c r="R3750" t="str">
        <f t="shared" si="117"/>
        <v>[umc2n1Z4wNv]|35-49|Female|DIAGNOSED_SUBNAT_Attend.T_1|CY2024Q3</v>
      </c>
    </row>
    <row r="3751" spans="4:18" x14ac:dyDescent="0.2">
      <c r="D3751" t="s">
        <v>108</v>
      </c>
      <c r="E3751" t="s">
        <v>109</v>
      </c>
      <c r="F3751" t="s">
        <v>110</v>
      </c>
      <c r="G3751" t="s">
        <v>152</v>
      </c>
      <c r="H3751" t="s">
        <v>152</v>
      </c>
      <c r="I3751" t="s">
        <v>45</v>
      </c>
      <c r="J3751" t="s">
        <v>46</v>
      </c>
      <c r="K3751" t="s">
        <v>30</v>
      </c>
      <c r="L3751" t="s">
        <v>31</v>
      </c>
      <c r="M3751" t="s">
        <v>140</v>
      </c>
      <c r="N3751">
        <v>9365</v>
      </c>
      <c r="O3751">
        <v>3.2821179999999998E-2</v>
      </c>
      <c r="P3751">
        <v>6.1148620000000004E-3</v>
      </c>
      <c r="Q3751" t="str">
        <f t="shared" si="116"/>
        <v>50+</v>
      </c>
      <c r="R3751" t="str">
        <f t="shared" si="117"/>
        <v>[umc2n1Z4wNv]|50+|Female|DIAGNOSED_SUBNAT_Attend.T_1|CY2024Q3</v>
      </c>
    </row>
    <row r="3752" spans="4:18" x14ac:dyDescent="0.2">
      <c r="D3752" t="s">
        <v>108</v>
      </c>
      <c r="E3752" t="s">
        <v>109</v>
      </c>
      <c r="F3752" t="s">
        <v>110</v>
      </c>
      <c r="G3752" t="s">
        <v>152</v>
      </c>
      <c r="H3752" t="s">
        <v>152</v>
      </c>
      <c r="I3752" t="s">
        <v>28</v>
      </c>
      <c r="J3752" t="s">
        <v>29</v>
      </c>
      <c r="K3752" t="s">
        <v>48</v>
      </c>
      <c r="L3752" t="s">
        <v>49</v>
      </c>
      <c r="M3752" t="s">
        <v>140</v>
      </c>
      <c r="N3752">
        <v>27</v>
      </c>
      <c r="O3752">
        <v>1.9221081000000001E-2</v>
      </c>
      <c r="P3752">
        <v>6.1148620000000004E-3</v>
      </c>
      <c r="Q3752" t="str">
        <f t="shared" si="116"/>
        <v>&lt;01</v>
      </c>
      <c r="R3752" t="str">
        <f t="shared" si="117"/>
        <v>[umc2n1Z4wNv]|&lt;01|Male|DIAGNOSED_SUBNAT_Attend.T_1|CY2024Q3</v>
      </c>
    </row>
    <row r="3753" spans="4:18" x14ac:dyDescent="0.2">
      <c r="D3753" t="s">
        <v>108</v>
      </c>
      <c r="E3753" t="s">
        <v>109</v>
      </c>
      <c r="F3753" t="s">
        <v>110</v>
      </c>
      <c r="G3753" t="s">
        <v>152</v>
      </c>
      <c r="H3753" t="s">
        <v>152</v>
      </c>
      <c r="I3753" t="s">
        <v>36</v>
      </c>
      <c r="J3753" t="s">
        <v>37</v>
      </c>
      <c r="K3753" t="s">
        <v>48</v>
      </c>
      <c r="L3753" t="s">
        <v>49</v>
      </c>
      <c r="M3753" t="s">
        <v>140</v>
      </c>
      <c r="N3753">
        <v>637</v>
      </c>
      <c r="O3753">
        <v>2.9054099E-2</v>
      </c>
      <c r="P3753">
        <v>6.1148620000000004E-3</v>
      </c>
      <c r="Q3753" t="str">
        <f t="shared" si="116"/>
        <v>10-14</v>
      </c>
      <c r="R3753" t="str">
        <f t="shared" si="117"/>
        <v>[umc2n1Z4wNv]|10-14|Male|DIAGNOSED_SUBNAT_Attend.T_1|CY2024Q3</v>
      </c>
    </row>
    <row r="3754" spans="4:18" x14ac:dyDescent="0.2">
      <c r="D3754" t="s">
        <v>108</v>
      </c>
      <c r="E3754" t="s">
        <v>109</v>
      </c>
      <c r="F3754" t="s">
        <v>110</v>
      </c>
      <c r="G3754" t="s">
        <v>152</v>
      </c>
      <c r="H3754" t="s">
        <v>152</v>
      </c>
      <c r="I3754" t="s">
        <v>38</v>
      </c>
      <c r="J3754" t="s">
        <v>39</v>
      </c>
      <c r="K3754" t="s">
        <v>48</v>
      </c>
      <c r="L3754" t="s">
        <v>49</v>
      </c>
      <c r="M3754" t="s">
        <v>140</v>
      </c>
      <c r="N3754">
        <v>1934</v>
      </c>
      <c r="O3754">
        <v>7.1429339999999994E-2</v>
      </c>
      <c r="P3754">
        <v>6.1148620000000004E-3</v>
      </c>
      <c r="Q3754" t="str">
        <f t="shared" si="116"/>
        <v>15-24</v>
      </c>
      <c r="R3754" t="str">
        <f t="shared" si="117"/>
        <v>[umc2n1Z4wNv]|15-24|Male|DIAGNOSED_SUBNAT_Attend.T_1|CY2024Q3</v>
      </c>
    </row>
    <row r="3755" spans="4:18" x14ac:dyDescent="0.2">
      <c r="D3755" t="s">
        <v>108</v>
      </c>
      <c r="E3755" t="s">
        <v>109</v>
      </c>
      <c r="F3755" t="s">
        <v>110</v>
      </c>
      <c r="G3755" t="s">
        <v>152</v>
      </c>
      <c r="H3755" t="s">
        <v>152</v>
      </c>
      <c r="I3755" t="s">
        <v>41</v>
      </c>
      <c r="J3755" t="s">
        <v>42</v>
      </c>
      <c r="K3755" t="s">
        <v>48</v>
      </c>
      <c r="L3755" t="s">
        <v>49</v>
      </c>
      <c r="M3755" t="s">
        <v>140</v>
      </c>
      <c r="N3755">
        <v>2358</v>
      </c>
      <c r="O3755">
        <v>6.1354006000000003E-2</v>
      </c>
      <c r="P3755">
        <v>6.1148620000000004E-3</v>
      </c>
      <c r="Q3755" t="str">
        <f t="shared" si="116"/>
        <v>25-34</v>
      </c>
      <c r="R3755" t="str">
        <f t="shared" si="117"/>
        <v>[umc2n1Z4wNv]|25-34|Male|DIAGNOSED_SUBNAT_Attend.T_1|CY2024Q3</v>
      </c>
    </row>
    <row r="3756" spans="4:18" x14ac:dyDescent="0.2">
      <c r="D3756" t="s">
        <v>108</v>
      </c>
      <c r="E3756" t="s">
        <v>109</v>
      </c>
      <c r="F3756" t="s">
        <v>110</v>
      </c>
      <c r="G3756" t="s">
        <v>152</v>
      </c>
      <c r="H3756" t="s">
        <v>152</v>
      </c>
      <c r="I3756" t="s">
        <v>43</v>
      </c>
      <c r="J3756" t="s">
        <v>44</v>
      </c>
      <c r="K3756" t="s">
        <v>48</v>
      </c>
      <c r="L3756" t="s">
        <v>49</v>
      </c>
      <c r="M3756" t="s">
        <v>140</v>
      </c>
      <c r="N3756">
        <v>8642</v>
      </c>
      <c r="O3756">
        <v>2.7126041E-2</v>
      </c>
      <c r="P3756">
        <v>6.1148620000000004E-3</v>
      </c>
      <c r="Q3756" t="str">
        <f t="shared" si="116"/>
        <v>35-49</v>
      </c>
      <c r="R3756" t="str">
        <f t="shared" si="117"/>
        <v>[umc2n1Z4wNv]|35-49|Male|DIAGNOSED_SUBNAT_Attend.T_1|CY2024Q3</v>
      </c>
    </row>
    <row r="3757" spans="4:18" x14ac:dyDescent="0.2">
      <c r="D3757" t="s">
        <v>108</v>
      </c>
      <c r="E3757" t="s">
        <v>109</v>
      </c>
      <c r="F3757" t="s">
        <v>110</v>
      </c>
      <c r="G3757" t="s">
        <v>152</v>
      </c>
      <c r="H3757" t="s">
        <v>152</v>
      </c>
      <c r="I3757" t="s">
        <v>45</v>
      </c>
      <c r="J3757" t="s">
        <v>46</v>
      </c>
      <c r="K3757" t="s">
        <v>48</v>
      </c>
      <c r="L3757" t="s">
        <v>49</v>
      </c>
      <c r="M3757" t="s">
        <v>140</v>
      </c>
      <c r="N3757">
        <v>6158</v>
      </c>
      <c r="O3757">
        <v>3.2871425000000003E-2</v>
      </c>
      <c r="P3757">
        <v>6.1148620000000004E-3</v>
      </c>
      <c r="Q3757" t="str">
        <f t="shared" si="116"/>
        <v>50+</v>
      </c>
      <c r="R3757" t="str">
        <f t="shared" si="117"/>
        <v>[umc2n1Z4wNv]|50+|Male|DIAGNOSED_SUBNAT_Attend.T_1|CY2024Q3</v>
      </c>
    </row>
    <row r="3758" spans="4:18" x14ac:dyDescent="0.2">
      <c r="D3758" t="s">
        <v>111</v>
      </c>
      <c r="E3758" t="s">
        <v>112</v>
      </c>
      <c r="F3758" t="s">
        <v>113</v>
      </c>
      <c r="G3758" t="s">
        <v>152</v>
      </c>
      <c r="H3758" t="s">
        <v>152</v>
      </c>
      <c r="I3758" t="s">
        <v>28</v>
      </c>
      <c r="J3758" t="s">
        <v>29</v>
      </c>
      <c r="K3758" t="s">
        <v>30</v>
      </c>
      <c r="L3758" t="s">
        <v>31</v>
      </c>
      <c r="M3758" t="s">
        <v>140</v>
      </c>
      <c r="N3758">
        <v>17</v>
      </c>
      <c r="O3758">
        <v>3.1549596999999999E-2</v>
      </c>
      <c r="P3758">
        <v>8.3384819999999995E-3</v>
      </c>
      <c r="Q3758" t="str">
        <f t="shared" si="116"/>
        <v>&lt;01</v>
      </c>
      <c r="R3758" t="str">
        <f t="shared" si="117"/>
        <v>[AZyWpGzhcaA]|&lt;01|Female|DIAGNOSED_SUBNAT_Attend.T_1|CY2024Q3</v>
      </c>
    </row>
    <row r="3759" spans="4:18" x14ac:dyDescent="0.2">
      <c r="D3759" t="s">
        <v>111</v>
      </c>
      <c r="E3759" t="s">
        <v>112</v>
      </c>
      <c r="F3759" t="s">
        <v>113</v>
      </c>
      <c r="G3759" t="s">
        <v>152</v>
      </c>
      <c r="H3759" t="s">
        <v>152</v>
      </c>
      <c r="I3759" t="s">
        <v>36</v>
      </c>
      <c r="J3759" t="s">
        <v>37</v>
      </c>
      <c r="K3759" t="s">
        <v>30</v>
      </c>
      <c r="L3759" t="s">
        <v>31</v>
      </c>
      <c r="M3759" t="s">
        <v>140</v>
      </c>
      <c r="N3759">
        <v>444</v>
      </c>
      <c r="O3759">
        <v>2.5035009E-2</v>
      </c>
      <c r="P3759">
        <v>8.3384819999999995E-3</v>
      </c>
      <c r="Q3759" t="str">
        <f t="shared" si="116"/>
        <v>10-14</v>
      </c>
      <c r="R3759" t="str">
        <f t="shared" si="117"/>
        <v>[AZyWpGzhcaA]|10-14|Female|DIAGNOSED_SUBNAT_Attend.T_1|CY2024Q3</v>
      </c>
    </row>
    <row r="3760" spans="4:18" x14ac:dyDescent="0.2">
      <c r="D3760" t="s">
        <v>111</v>
      </c>
      <c r="E3760" t="s">
        <v>112</v>
      </c>
      <c r="F3760" t="s">
        <v>113</v>
      </c>
      <c r="G3760" t="s">
        <v>152</v>
      </c>
      <c r="H3760" t="s">
        <v>152</v>
      </c>
      <c r="I3760" t="s">
        <v>38</v>
      </c>
      <c r="J3760" t="s">
        <v>39</v>
      </c>
      <c r="K3760" t="s">
        <v>30</v>
      </c>
      <c r="L3760" t="s">
        <v>31</v>
      </c>
      <c r="M3760" t="s">
        <v>140</v>
      </c>
      <c r="N3760">
        <v>1653</v>
      </c>
      <c r="O3760">
        <v>6.1609206999999999E-2</v>
      </c>
      <c r="P3760">
        <v>8.3384819999999995E-3</v>
      </c>
      <c r="Q3760" t="str">
        <f t="shared" si="116"/>
        <v>15-24</v>
      </c>
      <c r="R3760" t="str">
        <f t="shared" si="117"/>
        <v>[AZyWpGzhcaA]|15-24|Female|DIAGNOSED_SUBNAT_Attend.T_1|CY2024Q3</v>
      </c>
    </row>
    <row r="3761" spans="4:18" x14ac:dyDescent="0.2">
      <c r="D3761" t="s">
        <v>111</v>
      </c>
      <c r="E3761" t="s">
        <v>112</v>
      </c>
      <c r="F3761" t="s">
        <v>113</v>
      </c>
      <c r="G3761" t="s">
        <v>152</v>
      </c>
      <c r="H3761" t="s">
        <v>152</v>
      </c>
      <c r="I3761" t="s">
        <v>41</v>
      </c>
      <c r="J3761" t="s">
        <v>42</v>
      </c>
      <c r="K3761" t="s">
        <v>30</v>
      </c>
      <c r="L3761" t="s">
        <v>31</v>
      </c>
      <c r="M3761" t="s">
        <v>140</v>
      </c>
      <c r="N3761">
        <v>4081</v>
      </c>
      <c r="O3761">
        <v>3.3334425000000001E-2</v>
      </c>
      <c r="P3761">
        <v>8.3384819999999995E-3</v>
      </c>
      <c r="Q3761" t="str">
        <f t="shared" si="116"/>
        <v>25-34</v>
      </c>
      <c r="R3761" t="str">
        <f t="shared" si="117"/>
        <v>[AZyWpGzhcaA]|25-34|Female|DIAGNOSED_SUBNAT_Attend.T_1|CY2024Q3</v>
      </c>
    </row>
    <row r="3762" spans="4:18" x14ac:dyDescent="0.2">
      <c r="D3762" t="s">
        <v>111</v>
      </c>
      <c r="E3762" t="s">
        <v>112</v>
      </c>
      <c r="F3762" t="s">
        <v>113</v>
      </c>
      <c r="G3762" t="s">
        <v>152</v>
      </c>
      <c r="H3762" t="s">
        <v>152</v>
      </c>
      <c r="I3762" t="s">
        <v>43</v>
      </c>
      <c r="J3762" t="s">
        <v>44</v>
      </c>
      <c r="K3762" t="s">
        <v>30</v>
      </c>
      <c r="L3762" t="s">
        <v>31</v>
      </c>
      <c r="M3762" t="s">
        <v>140</v>
      </c>
      <c r="N3762">
        <v>9707</v>
      </c>
      <c r="O3762">
        <v>1.9283280999999999E-2</v>
      </c>
      <c r="P3762">
        <v>8.3384819999999995E-3</v>
      </c>
      <c r="Q3762" t="str">
        <f t="shared" si="116"/>
        <v>35-49</v>
      </c>
      <c r="R3762" t="str">
        <f t="shared" si="117"/>
        <v>[AZyWpGzhcaA]|35-49|Female|DIAGNOSED_SUBNAT_Attend.T_1|CY2024Q3</v>
      </c>
    </row>
    <row r="3763" spans="4:18" x14ac:dyDescent="0.2">
      <c r="D3763" t="s">
        <v>111</v>
      </c>
      <c r="E3763" t="s">
        <v>112</v>
      </c>
      <c r="F3763" t="s">
        <v>113</v>
      </c>
      <c r="G3763" t="s">
        <v>152</v>
      </c>
      <c r="H3763" t="s">
        <v>152</v>
      </c>
      <c r="I3763" t="s">
        <v>45</v>
      </c>
      <c r="J3763" t="s">
        <v>46</v>
      </c>
      <c r="K3763" t="s">
        <v>30</v>
      </c>
      <c r="L3763" t="s">
        <v>31</v>
      </c>
      <c r="M3763" t="s">
        <v>140</v>
      </c>
      <c r="N3763">
        <v>4666</v>
      </c>
      <c r="O3763">
        <v>3.3785784999999999E-2</v>
      </c>
      <c r="P3763">
        <v>8.3384819999999995E-3</v>
      </c>
      <c r="Q3763" t="str">
        <f t="shared" si="116"/>
        <v>50+</v>
      </c>
      <c r="R3763" t="str">
        <f t="shared" si="117"/>
        <v>[AZyWpGzhcaA]|50+|Female|DIAGNOSED_SUBNAT_Attend.T_1|CY2024Q3</v>
      </c>
    </row>
    <row r="3764" spans="4:18" x14ac:dyDescent="0.2">
      <c r="D3764" t="s">
        <v>111</v>
      </c>
      <c r="E3764" t="s">
        <v>112</v>
      </c>
      <c r="F3764" t="s">
        <v>113</v>
      </c>
      <c r="G3764" t="s">
        <v>152</v>
      </c>
      <c r="H3764" t="s">
        <v>152</v>
      </c>
      <c r="I3764" t="s">
        <v>28</v>
      </c>
      <c r="J3764" t="s">
        <v>29</v>
      </c>
      <c r="K3764" t="s">
        <v>48</v>
      </c>
      <c r="L3764" t="s">
        <v>49</v>
      </c>
      <c r="M3764" t="s">
        <v>140</v>
      </c>
      <c r="N3764">
        <v>16</v>
      </c>
      <c r="O3764">
        <v>1.9275074999999999E-2</v>
      </c>
      <c r="P3764">
        <v>8.3384819999999995E-3</v>
      </c>
      <c r="Q3764" t="str">
        <f t="shared" si="116"/>
        <v>&lt;01</v>
      </c>
      <c r="R3764" t="str">
        <f t="shared" si="117"/>
        <v>[AZyWpGzhcaA]|&lt;01|Male|DIAGNOSED_SUBNAT_Attend.T_1|CY2024Q3</v>
      </c>
    </row>
    <row r="3765" spans="4:18" x14ac:dyDescent="0.2">
      <c r="D3765" t="s">
        <v>111</v>
      </c>
      <c r="E3765" t="s">
        <v>112</v>
      </c>
      <c r="F3765" t="s">
        <v>113</v>
      </c>
      <c r="G3765" t="s">
        <v>152</v>
      </c>
      <c r="H3765" t="s">
        <v>152</v>
      </c>
      <c r="I3765" t="s">
        <v>36</v>
      </c>
      <c r="J3765" t="s">
        <v>37</v>
      </c>
      <c r="K3765" t="s">
        <v>48</v>
      </c>
      <c r="L3765" t="s">
        <v>49</v>
      </c>
      <c r="M3765" t="s">
        <v>140</v>
      </c>
      <c r="N3765">
        <v>425</v>
      </c>
      <c r="O3765">
        <v>2.7775881999999998E-2</v>
      </c>
      <c r="P3765">
        <v>8.3384819999999995E-3</v>
      </c>
      <c r="Q3765" t="str">
        <f t="shared" si="116"/>
        <v>10-14</v>
      </c>
      <c r="R3765" t="str">
        <f t="shared" si="117"/>
        <v>[AZyWpGzhcaA]|10-14|Male|DIAGNOSED_SUBNAT_Attend.T_1|CY2024Q3</v>
      </c>
    </row>
    <row r="3766" spans="4:18" x14ac:dyDescent="0.2">
      <c r="D3766" t="s">
        <v>111</v>
      </c>
      <c r="E3766" t="s">
        <v>112</v>
      </c>
      <c r="F3766" t="s">
        <v>113</v>
      </c>
      <c r="G3766" t="s">
        <v>152</v>
      </c>
      <c r="H3766" t="s">
        <v>152</v>
      </c>
      <c r="I3766" t="s">
        <v>38</v>
      </c>
      <c r="J3766" t="s">
        <v>39</v>
      </c>
      <c r="K3766" t="s">
        <v>48</v>
      </c>
      <c r="L3766" t="s">
        <v>49</v>
      </c>
      <c r="M3766" t="s">
        <v>140</v>
      </c>
      <c r="N3766">
        <v>1144</v>
      </c>
      <c r="O3766">
        <v>6.7621263000000001E-2</v>
      </c>
      <c r="P3766">
        <v>8.3384819999999995E-3</v>
      </c>
      <c r="Q3766" t="str">
        <f t="shared" si="116"/>
        <v>15-24</v>
      </c>
      <c r="R3766" t="str">
        <f t="shared" si="117"/>
        <v>[AZyWpGzhcaA]|15-24|Male|DIAGNOSED_SUBNAT_Attend.T_1|CY2024Q3</v>
      </c>
    </row>
    <row r="3767" spans="4:18" x14ac:dyDescent="0.2">
      <c r="D3767" t="s">
        <v>111</v>
      </c>
      <c r="E3767" t="s">
        <v>112</v>
      </c>
      <c r="F3767" t="s">
        <v>113</v>
      </c>
      <c r="G3767" t="s">
        <v>152</v>
      </c>
      <c r="H3767" t="s">
        <v>152</v>
      </c>
      <c r="I3767" t="s">
        <v>41</v>
      </c>
      <c r="J3767" t="s">
        <v>42</v>
      </c>
      <c r="K3767" t="s">
        <v>48</v>
      </c>
      <c r="L3767" t="s">
        <v>49</v>
      </c>
      <c r="M3767" t="s">
        <v>140</v>
      </c>
      <c r="N3767">
        <v>1351</v>
      </c>
      <c r="O3767">
        <v>6.1270817999999998E-2</v>
      </c>
      <c r="P3767">
        <v>8.3384819999999995E-3</v>
      </c>
      <c r="Q3767" t="str">
        <f t="shared" si="116"/>
        <v>25-34</v>
      </c>
      <c r="R3767" t="str">
        <f t="shared" si="117"/>
        <v>[AZyWpGzhcaA]|25-34|Male|DIAGNOSED_SUBNAT_Attend.T_1|CY2024Q3</v>
      </c>
    </row>
    <row r="3768" spans="4:18" x14ac:dyDescent="0.2">
      <c r="D3768" t="s">
        <v>111</v>
      </c>
      <c r="E3768" t="s">
        <v>112</v>
      </c>
      <c r="F3768" t="s">
        <v>113</v>
      </c>
      <c r="G3768" t="s">
        <v>152</v>
      </c>
      <c r="H3768" t="s">
        <v>152</v>
      </c>
      <c r="I3768" t="s">
        <v>43</v>
      </c>
      <c r="J3768" t="s">
        <v>44</v>
      </c>
      <c r="K3768" t="s">
        <v>48</v>
      </c>
      <c r="L3768" t="s">
        <v>49</v>
      </c>
      <c r="M3768" t="s">
        <v>140</v>
      </c>
      <c r="N3768">
        <v>4739</v>
      </c>
      <c r="O3768">
        <v>2.8360452000000001E-2</v>
      </c>
      <c r="P3768">
        <v>8.3384819999999995E-3</v>
      </c>
      <c r="Q3768" t="str">
        <f t="shared" si="116"/>
        <v>35-49</v>
      </c>
      <c r="R3768" t="str">
        <f t="shared" si="117"/>
        <v>[AZyWpGzhcaA]|35-49|Male|DIAGNOSED_SUBNAT_Attend.T_1|CY2024Q3</v>
      </c>
    </row>
    <row r="3769" spans="4:18" x14ac:dyDescent="0.2">
      <c r="D3769" t="s">
        <v>111</v>
      </c>
      <c r="E3769" t="s">
        <v>112</v>
      </c>
      <c r="F3769" t="s">
        <v>113</v>
      </c>
      <c r="G3769" t="s">
        <v>152</v>
      </c>
      <c r="H3769" t="s">
        <v>152</v>
      </c>
      <c r="I3769" t="s">
        <v>45</v>
      </c>
      <c r="J3769" t="s">
        <v>46</v>
      </c>
      <c r="K3769" t="s">
        <v>48</v>
      </c>
      <c r="L3769" t="s">
        <v>49</v>
      </c>
      <c r="M3769" t="s">
        <v>140</v>
      </c>
      <c r="N3769">
        <v>3277</v>
      </c>
      <c r="O3769">
        <v>3.4481520000000002E-2</v>
      </c>
      <c r="P3769">
        <v>8.3384819999999995E-3</v>
      </c>
      <c r="Q3769" t="str">
        <f t="shared" si="116"/>
        <v>50+</v>
      </c>
      <c r="R3769" t="str">
        <f t="shared" si="117"/>
        <v>[AZyWpGzhcaA]|50+|Male|DIAGNOSED_SUBNAT_Attend.T_1|CY2024Q3</v>
      </c>
    </row>
    <row r="3770" spans="4:18" x14ac:dyDescent="0.2">
      <c r="D3770" t="s">
        <v>114</v>
      </c>
      <c r="E3770" t="s">
        <v>115</v>
      </c>
      <c r="F3770" t="s">
        <v>116</v>
      </c>
      <c r="G3770" t="s">
        <v>152</v>
      </c>
      <c r="H3770" t="s">
        <v>152</v>
      </c>
      <c r="I3770" t="s">
        <v>28</v>
      </c>
      <c r="J3770" t="s">
        <v>29</v>
      </c>
      <c r="K3770" t="s">
        <v>30</v>
      </c>
      <c r="L3770" t="s">
        <v>31</v>
      </c>
      <c r="M3770" t="s">
        <v>140</v>
      </c>
      <c r="N3770">
        <v>11</v>
      </c>
      <c r="O3770">
        <v>3.8835225000000001E-2</v>
      </c>
      <c r="P3770">
        <v>1.1870326E-2</v>
      </c>
      <c r="Q3770" t="str">
        <f t="shared" si="116"/>
        <v>&lt;01</v>
      </c>
      <c r="R3770" t="str">
        <f t="shared" si="117"/>
        <v>[ir8wuHHzoSs]|&lt;01|Female|DIAGNOSED_SUBNAT_Attend.T_1|CY2024Q3</v>
      </c>
    </row>
    <row r="3771" spans="4:18" x14ac:dyDescent="0.2">
      <c r="D3771" t="s">
        <v>114</v>
      </c>
      <c r="E3771" t="s">
        <v>115</v>
      </c>
      <c r="F3771" t="s">
        <v>116</v>
      </c>
      <c r="G3771" t="s">
        <v>152</v>
      </c>
      <c r="H3771" t="s">
        <v>152</v>
      </c>
      <c r="I3771" t="s">
        <v>36</v>
      </c>
      <c r="J3771" t="s">
        <v>37</v>
      </c>
      <c r="K3771" t="s">
        <v>30</v>
      </c>
      <c r="L3771" t="s">
        <v>31</v>
      </c>
      <c r="M3771" t="s">
        <v>140</v>
      </c>
      <c r="N3771">
        <v>293</v>
      </c>
      <c r="O3771">
        <v>2.8371021999999999E-2</v>
      </c>
      <c r="P3771">
        <v>1.1870326E-2</v>
      </c>
      <c r="Q3771" t="str">
        <f t="shared" si="116"/>
        <v>10-14</v>
      </c>
      <c r="R3771" t="str">
        <f t="shared" si="117"/>
        <v>[ir8wuHHzoSs]|10-14|Female|DIAGNOSED_SUBNAT_Attend.T_1|CY2024Q3</v>
      </c>
    </row>
    <row r="3772" spans="4:18" x14ac:dyDescent="0.2">
      <c r="D3772" t="s">
        <v>114</v>
      </c>
      <c r="E3772" t="s">
        <v>115</v>
      </c>
      <c r="F3772" t="s">
        <v>116</v>
      </c>
      <c r="G3772" t="s">
        <v>152</v>
      </c>
      <c r="H3772" t="s">
        <v>152</v>
      </c>
      <c r="I3772" t="s">
        <v>38</v>
      </c>
      <c r="J3772" t="s">
        <v>39</v>
      </c>
      <c r="K3772" t="s">
        <v>30</v>
      </c>
      <c r="L3772" t="s">
        <v>31</v>
      </c>
      <c r="M3772" t="s">
        <v>140</v>
      </c>
      <c r="N3772">
        <v>1207</v>
      </c>
      <c r="O3772">
        <v>6.1347089E-2</v>
      </c>
      <c r="P3772">
        <v>1.1870326E-2</v>
      </c>
      <c r="Q3772" t="str">
        <f t="shared" si="116"/>
        <v>15-24</v>
      </c>
      <c r="R3772" t="str">
        <f t="shared" si="117"/>
        <v>[ir8wuHHzoSs]|15-24|Female|DIAGNOSED_SUBNAT_Attend.T_1|CY2024Q3</v>
      </c>
    </row>
    <row r="3773" spans="4:18" x14ac:dyDescent="0.2">
      <c r="D3773" t="s">
        <v>114</v>
      </c>
      <c r="E3773" t="s">
        <v>115</v>
      </c>
      <c r="F3773" t="s">
        <v>116</v>
      </c>
      <c r="G3773" t="s">
        <v>152</v>
      </c>
      <c r="H3773" t="s">
        <v>152</v>
      </c>
      <c r="I3773" t="s">
        <v>41</v>
      </c>
      <c r="J3773" t="s">
        <v>42</v>
      </c>
      <c r="K3773" t="s">
        <v>30</v>
      </c>
      <c r="L3773" t="s">
        <v>31</v>
      </c>
      <c r="M3773" t="s">
        <v>140</v>
      </c>
      <c r="N3773">
        <v>2934</v>
      </c>
      <c r="O3773">
        <v>3.6295497000000003E-2</v>
      </c>
      <c r="P3773">
        <v>1.1870326E-2</v>
      </c>
      <c r="Q3773" t="str">
        <f t="shared" si="116"/>
        <v>25-34</v>
      </c>
      <c r="R3773" t="str">
        <f t="shared" si="117"/>
        <v>[ir8wuHHzoSs]|25-34|Female|DIAGNOSED_SUBNAT_Attend.T_1|CY2024Q3</v>
      </c>
    </row>
    <row r="3774" spans="4:18" x14ac:dyDescent="0.2">
      <c r="D3774" t="s">
        <v>114</v>
      </c>
      <c r="E3774" t="s">
        <v>115</v>
      </c>
      <c r="F3774" t="s">
        <v>116</v>
      </c>
      <c r="G3774" t="s">
        <v>152</v>
      </c>
      <c r="H3774" t="s">
        <v>152</v>
      </c>
      <c r="I3774" t="s">
        <v>43</v>
      </c>
      <c r="J3774" t="s">
        <v>44</v>
      </c>
      <c r="K3774" t="s">
        <v>30</v>
      </c>
      <c r="L3774" t="s">
        <v>31</v>
      </c>
      <c r="M3774" t="s">
        <v>140</v>
      </c>
      <c r="N3774">
        <v>7432</v>
      </c>
      <c r="O3774">
        <v>2.2805431000000001E-2</v>
      </c>
      <c r="P3774">
        <v>1.1870326E-2</v>
      </c>
      <c r="Q3774" t="str">
        <f t="shared" si="116"/>
        <v>35-49</v>
      </c>
      <c r="R3774" t="str">
        <f t="shared" si="117"/>
        <v>[ir8wuHHzoSs]|35-49|Female|DIAGNOSED_SUBNAT_Attend.T_1|CY2024Q3</v>
      </c>
    </row>
    <row r="3775" spans="4:18" x14ac:dyDescent="0.2">
      <c r="D3775" t="s">
        <v>114</v>
      </c>
      <c r="E3775" t="s">
        <v>115</v>
      </c>
      <c r="F3775" t="s">
        <v>116</v>
      </c>
      <c r="G3775" t="s">
        <v>152</v>
      </c>
      <c r="H3775" t="s">
        <v>152</v>
      </c>
      <c r="I3775" t="s">
        <v>45</v>
      </c>
      <c r="J3775" t="s">
        <v>46</v>
      </c>
      <c r="K3775" t="s">
        <v>30</v>
      </c>
      <c r="L3775" t="s">
        <v>31</v>
      </c>
      <c r="M3775" t="s">
        <v>140</v>
      </c>
      <c r="N3775">
        <v>3763</v>
      </c>
      <c r="O3775">
        <v>3.6004557999999999E-2</v>
      </c>
      <c r="P3775">
        <v>1.1870326E-2</v>
      </c>
      <c r="Q3775" t="str">
        <f t="shared" si="116"/>
        <v>50+</v>
      </c>
      <c r="R3775" t="str">
        <f t="shared" si="117"/>
        <v>[ir8wuHHzoSs]|50+|Female|DIAGNOSED_SUBNAT_Attend.T_1|CY2024Q3</v>
      </c>
    </row>
    <row r="3776" spans="4:18" x14ac:dyDescent="0.2">
      <c r="D3776" t="s">
        <v>114</v>
      </c>
      <c r="E3776" t="s">
        <v>115</v>
      </c>
      <c r="F3776" t="s">
        <v>116</v>
      </c>
      <c r="G3776" t="s">
        <v>152</v>
      </c>
      <c r="H3776" t="s">
        <v>152</v>
      </c>
      <c r="I3776" t="s">
        <v>28</v>
      </c>
      <c r="J3776" t="s">
        <v>29</v>
      </c>
      <c r="K3776" t="s">
        <v>48</v>
      </c>
      <c r="L3776" t="s">
        <v>49</v>
      </c>
      <c r="M3776" t="s">
        <v>140</v>
      </c>
      <c r="N3776">
        <v>11</v>
      </c>
      <c r="O3776">
        <v>2.5821166E-2</v>
      </c>
      <c r="P3776">
        <v>1.1870326E-2</v>
      </c>
      <c r="Q3776" t="str">
        <f t="shared" si="116"/>
        <v>&lt;01</v>
      </c>
      <c r="R3776" t="str">
        <f t="shared" si="117"/>
        <v>[ir8wuHHzoSs]|&lt;01|Male|DIAGNOSED_SUBNAT_Attend.T_1|CY2024Q3</v>
      </c>
    </row>
    <row r="3777" spans="4:18" x14ac:dyDescent="0.2">
      <c r="D3777" t="s">
        <v>114</v>
      </c>
      <c r="E3777" t="s">
        <v>115</v>
      </c>
      <c r="F3777" t="s">
        <v>116</v>
      </c>
      <c r="G3777" t="s">
        <v>152</v>
      </c>
      <c r="H3777" t="s">
        <v>152</v>
      </c>
      <c r="I3777" t="s">
        <v>36</v>
      </c>
      <c r="J3777" t="s">
        <v>37</v>
      </c>
      <c r="K3777" t="s">
        <v>48</v>
      </c>
      <c r="L3777" t="s">
        <v>49</v>
      </c>
      <c r="M3777" t="s">
        <v>140</v>
      </c>
      <c r="N3777">
        <v>303</v>
      </c>
      <c r="O3777">
        <v>2.9936252E-2</v>
      </c>
      <c r="P3777">
        <v>1.1870326E-2</v>
      </c>
      <c r="Q3777" t="str">
        <f t="shared" si="116"/>
        <v>10-14</v>
      </c>
      <c r="R3777" t="str">
        <f t="shared" si="117"/>
        <v>[ir8wuHHzoSs]|10-14|Male|DIAGNOSED_SUBNAT_Attend.T_1|CY2024Q3</v>
      </c>
    </row>
    <row r="3778" spans="4:18" x14ac:dyDescent="0.2">
      <c r="D3778" t="s">
        <v>114</v>
      </c>
      <c r="E3778" t="s">
        <v>115</v>
      </c>
      <c r="F3778" t="s">
        <v>116</v>
      </c>
      <c r="G3778" t="s">
        <v>152</v>
      </c>
      <c r="H3778" t="s">
        <v>152</v>
      </c>
      <c r="I3778" t="s">
        <v>38</v>
      </c>
      <c r="J3778" t="s">
        <v>39</v>
      </c>
      <c r="K3778" t="s">
        <v>48</v>
      </c>
      <c r="L3778" t="s">
        <v>49</v>
      </c>
      <c r="M3778" t="s">
        <v>140</v>
      </c>
      <c r="N3778">
        <v>788</v>
      </c>
      <c r="O3778">
        <v>6.4043170999999996E-2</v>
      </c>
      <c r="P3778">
        <v>1.1870326E-2</v>
      </c>
      <c r="Q3778" t="str">
        <f t="shared" si="116"/>
        <v>15-24</v>
      </c>
      <c r="R3778" t="str">
        <f t="shared" si="117"/>
        <v>[ir8wuHHzoSs]|15-24|Male|DIAGNOSED_SUBNAT_Attend.T_1|CY2024Q3</v>
      </c>
    </row>
    <row r="3779" spans="4:18" x14ac:dyDescent="0.2">
      <c r="D3779" t="s">
        <v>114</v>
      </c>
      <c r="E3779" t="s">
        <v>115</v>
      </c>
      <c r="F3779" t="s">
        <v>116</v>
      </c>
      <c r="G3779" t="s">
        <v>152</v>
      </c>
      <c r="H3779" t="s">
        <v>152</v>
      </c>
      <c r="I3779" t="s">
        <v>41</v>
      </c>
      <c r="J3779" t="s">
        <v>42</v>
      </c>
      <c r="K3779" t="s">
        <v>48</v>
      </c>
      <c r="L3779" t="s">
        <v>49</v>
      </c>
      <c r="M3779" t="s">
        <v>140</v>
      </c>
      <c r="N3779">
        <v>820</v>
      </c>
      <c r="O3779">
        <v>6.3630489999999998E-2</v>
      </c>
      <c r="P3779">
        <v>1.1870326E-2</v>
      </c>
      <c r="Q3779" t="str">
        <f t="shared" ref="Q3779:Q3842" si="118">SUBSTITUTE(SUBSTITUTE($I3779,CHAR(61),""),CHAR(34),"")</f>
        <v>25-34</v>
      </c>
      <c r="R3779" t="str">
        <f t="shared" ref="R3779:R3842" si="119">IF($D3779&lt;&gt;"","["&amp;$E3779&amp;"]"&amp;"|"&amp;$Q3779&amp;"|"&amp;$K3779&amp;"|"&amp;$G3779&amp;"|"&amp;IF($G3779="TX_CURR_SUBNAT.R","CY2023Q4",$M3779),"")</f>
        <v>[ir8wuHHzoSs]|25-34|Male|DIAGNOSED_SUBNAT_Attend.T_1|CY2024Q3</v>
      </c>
    </row>
    <row r="3780" spans="4:18" x14ac:dyDescent="0.2">
      <c r="D3780" t="s">
        <v>114</v>
      </c>
      <c r="E3780" t="s">
        <v>115</v>
      </c>
      <c r="F3780" t="s">
        <v>116</v>
      </c>
      <c r="G3780" t="s">
        <v>152</v>
      </c>
      <c r="H3780" t="s">
        <v>152</v>
      </c>
      <c r="I3780" t="s">
        <v>43</v>
      </c>
      <c r="J3780" t="s">
        <v>44</v>
      </c>
      <c r="K3780" t="s">
        <v>48</v>
      </c>
      <c r="L3780" t="s">
        <v>49</v>
      </c>
      <c r="M3780" t="s">
        <v>140</v>
      </c>
      <c r="N3780">
        <v>3103</v>
      </c>
      <c r="O3780">
        <v>3.1951528999999999E-2</v>
      </c>
      <c r="P3780">
        <v>1.1870326E-2</v>
      </c>
      <c r="Q3780" t="str">
        <f t="shared" si="118"/>
        <v>35-49</v>
      </c>
      <c r="R3780" t="str">
        <f t="shared" si="119"/>
        <v>[ir8wuHHzoSs]|35-49|Male|DIAGNOSED_SUBNAT_Attend.T_1|CY2024Q3</v>
      </c>
    </row>
    <row r="3781" spans="4:18" x14ac:dyDescent="0.2">
      <c r="D3781" t="s">
        <v>114</v>
      </c>
      <c r="E3781" t="s">
        <v>115</v>
      </c>
      <c r="F3781" t="s">
        <v>116</v>
      </c>
      <c r="G3781" t="s">
        <v>152</v>
      </c>
      <c r="H3781" t="s">
        <v>152</v>
      </c>
      <c r="I3781" t="s">
        <v>45</v>
      </c>
      <c r="J3781" t="s">
        <v>46</v>
      </c>
      <c r="K3781" t="s">
        <v>48</v>
      </c>
      <c r="L3781" t="s">
        <v>49</v>
      </c>
      <c r="M3781" t="s">
        <v>140</v>
      </c>
      <c r="N3781">
        <v>2452</v>
      </c>
      <c r="O3781">
        <v>3.5698780999999999E-2</v>
      </c>
      <c r="P3781">
        <v>1.1870326E-2</v>
      </c>
      <c r="Q3781" t="str">
        <f t="shared" si="118"/>
        <v>50+</v>
      </c>
      <c r="R3781" t="str">
        <f t="shared" si="119"/>
        <v>[ir8wuHHzoSs]|50+|Male|DIAGNOSED_SUBNAT_Attend.T_1|CY2024Q3</v>
      </c>
    </row>
    <row r="3782" spans="4:18" x14ac:dyDescent="0.2">
      <c r="D3782" t="s">
        <v>117</v>
      </c>
      <c r="E3782" t="s">
        <v>118</v>
      </c>
      <c r="F3782" t="s">
        <v>119</v>
      </c>
      <c r="G3782" t="s">
        <v>152</v>
      </c>
      <c r="H3782" t="s">
        <v>152</v>
      </c>
      <c r="I3782" t="s">
        <v>28</v>
      </c>
      <c r="J3782" t="s">
        <v>29</v>
      </c>
      <c r="K3782" t="s">
        <v>30</v>
      </c>
      <c r="L3782" t="s">
        <v>31</v>
      </c>
      <c r="M3782" t="s">
        <v>140</v>
      </c>
      <c r="N3782">
        <v>14</v>
      </c>
      <c r="O3782">
        <v>3.1381024E-2</v>
      </c>
      <c r="P3782">
        <v>7.7994129999999998E-3</v>
      </c>
      <c r="Q3782" t="str">
        <f t="shared" si="118"/>
        <v>&lt;01</v>
      </c>
      <c r="R3782" t="str">
        <f t="shared" si="119"/>
        <v>[oiPR2CiVJbf]|&lt;01|Female|DIAGNOSED_SUBNAT_Attend.T_1|CY2024Q3</v>
      </c>
    </row>
    <row r="3783" spans="4:18" x14ac:dyDescent="0.2">
      <c r="D3783" t="s">
        <v>117</v>
      </c>
      <c r="E3783" t="s">
        <v>118</v>
      </c>
      <c r="F3783" t="s">
        <v>119</v>
      </c>
      <c r="G3783" t="s">
        <v>152</v>
      </c>
      <c r="H3783" t="s">
        <v>152</v>
      </c>
      <c r="I3783" t="s">
        <v>36</v>
      </c>
      <c r="J3783" t="s">
        <v>37</v>
      </c>
      <c r="K3783" t="s">
        <v>30</v>
      </c>
      <c r="L3783" t="s">
        <v>31</v>
      </c>
      <c r="M3783" t="s">
        <v>140</v>
      </c>
      <c r="N3783">
        <v>339</v>
      </c>
      <c r="O3783">
        <v>2.6478986999999999E-2</v>
      </c>
      <c r="P3783">
        <v>7.7994129999999998E-3</v>
      </c>
      <c r="Q3783" t="str">
        <f t="shared" si="118"/>
        <v>10-14</v>
      </c>
      <c r="R3783" t="str">
        <f t="shared" si="119"/>
        <v>[oiPR2CiVJbf]|10-14|Female|DIAGNOSED_SUBNAT_Attend.T_1|CY2024Q3</v>
      </c>
    </row>
    <row r="3784" spans="4:18" x14ac:dyDescent="0.2">
      <c r="D3784" t="s">
        <v>117</v>
      </c>
      <c r="E3784" t="s">
        <v>118</v>
      </c>
      <c r="F3784" t="s">
        <v>119</v>
      </c>
      <c r="G3784" t="s">
        <v>152</v>
      </c>
      <c r="H3784" t="s">
        <v>152</v>
      </c>
      <c r="I3784" t="s">
        <v>38</v>
      </c>
      <c r="J3784" t="s">
        <v>39</v>
      </c>
      <c r="K3784" t="s">
        <v>30</v>
      </c>
      <c r="L3784" t="s">
        <v>31</v>
      </c>
      <c r="M3784" t="s">
        <v>140</v>
      </c>
      <c r="N3784">
        <v>2119</v>
      </c>
      <c r="O3784">
        <v>6.2298509000000002E-2</v>
      </c>
      <c r="P3784">
        <v>7.7994129999999998E-3</v>
      </c>
      <c r="Q3784" t="str">
        <f t="shared" si="118"/>
        <v>15-24</v>
      </c>
      <c r="R3784" t="str">
        <f t="shared" si="119"/>
        <v>[oiPR2CiVJbf]|15-24|Female|DIAGNOSED_SUBNAT_Attend.T_1|CY2024Q3</v>
      </c>
    </row>
    <row r="3785" spans="4:18" x14ac:dyDescent="0.2">
      <c r="D3785" t="s">
        <v>117</v>
      </c>
      <c r="E3785" t="s">
        <v>118</v>
      </c>
      <c r="F3785" t="s">
        <v>119</v>
      </c>
      <c r="G3785" t="s">
        <v>152</v>
      </c>
      <c r="H3785" t="s">
        <v>152</v>
      </c>
      <c r="I3785" t="s">
        <v>41</v>
      </c>
      <c r="J3785" t="s">
        <v>42</v>
      </c>
      <c r="K3785" t="s">
        <v>30</v>
      </c>
      <c r="L3785" t="s">
        <v>31</v>
      </c>
      <c r="M3785" t="s">
        <v>140</v>
      </c>
      <c r="N3785">
        <v>5509</v>
      </c>
      <c r="O3785">
        <v>3.3128813999999999E-2</v>
      </c>
      <c r="P3785">
        <v>7.7994129999999998E-3</v>
      </c>
      <c r="Q3785" t="str">
        <f t="shared" si="118"/>
        <v>25-34</v>
      </c>
      <c r="R3785" t="str">
        <f t="shared" si="119"/>
        <v>[oiPR2CiVJbf]|25-34|Female|DIAGNOSED_SUBNAT_Attend.T_1|CY2024Q3</v>
      </c>
    </row>
    <row r="3786" spans="4:18" x14ac:dyDescent="0.2">
      <c r="D3786" t="s">
        <v>117</v>
      </c>
      <c r="E3786" t="s">
        <v>118</v>
      </c>
      <c r="F3786" t="s">
        <v>119</v>
      </c>
      <c r="G3786" t="s">
        <v>152</v>
      </c>
      <c r="H3786" t="s">
        <v>152</v>
      </c>
      <c r="I3786" t="s">
        <v>43</v>
      </c>
      <c r="J3786" t="s">
        <v>44</v>
      </c>
      <c r="K3786" t="s">
        <v>30</v>
      </c>
      <c r="L3786" t="s">
        <v>31</v>
      </c>
      <c r="M3786" t="s">
        <v>140</v>
      </c>
      <c r="N3786">
        <v>13981</v>
      </c>
      <c r="O3786">
        <v>1.9582329999999998E-2</v>
      </c>
      <c r="P3786">
        <v>7.7994129999999998E-3</v>
      </c>
      <c r="Q3786" t="str">
        <f t="shared" si="118"/>
        <v>35-49</v>
      </c>
      <c r="R3786" t="str">
        <f t="shared" si="119"/>
        <v>[oiPR2CiVJbf]|35-49|Female|DIAGNOSED_SUBNAT_Attend.T_1|CY2024Q3</v>
      </c>
    </row>
    <row r="3787" spans="4:18" x14ac:dyDescent="0.2">
      <c r="D3787" t="s">
        <v>117</v>
      </c>
      <c r="E3787" t="s">
        <v>118</v>
      </c>
      <c r="F3787" t="s">
        <v>119</v>
      </c>
      <c r="G3787" t="s">
        <v>152</v>
      </c>
      <c r="H3787" t="s">
        <v>152</v>
      </c>
      <c r="I3787" t="s">
        <v>45</v>
      </c>
      <c r="J3787" t="s">
        <v>46</v>
      </c>
      <c r="K3787" t="s">
        <v>30</v>
      </c>
      <c r="L3787" t="s">
        <v>31</v>
      </c>
      <c r="M3787" t="s">
        <v>140</v>
      </c>
      <c r="N3787">
        <v>7418</v>
      </c>
      <c r="O3787">
        <v>3.1281446999999997E-2</v>
      </c>
      <c r="P3787">
        <v>7.7994129999999998E-3</v>
      </c>
      <c r="Q3787" t="str">
        <f t="shared" si="118"/>
        <v>50+</v>
      </c>
      <c r="R3787" t="str">
        <f t="shared" si="119"/>
        <v>[oiPR2CiVJbf]|50+|Female|DIAGNOSED_SUBNAT_Attend.T_1|CY2024Q3</v>
      </c>
    </row>
    <row r="3788" spans="4:18" x14ac:dyDescent="0.2">
      <c r="D3788" t="s">
        <v>117</v>
      </c>
      <c r="E3788" t="s">
        <v>118</v>
      </c>
      <c r="F3788" t="s">
        <v>119</v>
      </c>
      <c r="G3788" t="s">
        <v>152</v>
      </c>
      <c r="H3788" t="s">
        <v>152</v>
      </c>
      <c r="I3788" t="s">
        <v>28</v>
      </c>
      <c r="J3788" t="s">
        <v>29</v>
      </c>
      <c r="K3788" t="s">
        <v>48</v>
      </c>
      <c r="L3788" t="s">
        <v>49</v>
      </c>
      <c r="M3788" t="s">
        <v>140</v>
      </c>
      <c r="N3788">
        <v>15</v>
      </c>
      <c r="O3788">
        <v>2.5747758999999999E-2</v>
      </c>
      <c r="P3788">
        <v>7.7994129999999998E-3</v>
      </c>
      <c r="Q3788" t="str">
        <f t="shared" si="118"/>
        <v>&lt;01</v>
      </c>
      <c r="R3788" t="str">
        <f t="shared" si="119"/>
        <v>[oiPR2CiVJbf]|&lt;01|Male|DIAGNOSED_SUBNAT_Attend.T_1|CY2024Q3</v>
      </c>
    </row>
    <row r="3789" spans="4:18" x14ac:dyDescent="0.2">
      <c r="D3789" t="s">
        <v>117</v>
      </c>
      <c r="E3789" t="s">
        <v>118</v>
      </c>
      <c r="F3789" t="s">
        <v>119</v>
      </c>
      <c r="G3789" t="s">
        <v>152</v>
      </c>
      <c r="H3789" t="s">
        <v>152</v>
      </c>
      <c r="I3789" t="s">
        <v>36</v>
      </c>
      <c r="J3789" t="s">
        <v>37</v>
      </c>
      <c r="K3789" t="s">
        <v>48</v>
      </c>
      <c r="L3789" t="s">
        <v>49</v>
      </c>
      <c r="M3789" t="s">
        <v>140</v>
      </c>
      <c r="N3789">
        <v>371</v>
      </c>
      <c r="O3789">
        <v>2.5944691999999998E-2</v>
      </c>
      <c r="P3789">
        <v>7.7994129999999998E-3</v>
      </c>
      <c r="Q3789" t="str">
        <f t="shared" si="118"/>
        <v>10-14</v>
      </c>
      <c r="R3789" t="str">
        <f t="shared" si="119"/>
        <v>[oiPR2CiVJbf]|10-14|Male|DIAGNOSED_SUBNAT_Attend.T_1|CY2024Q3</v>
      </c>
    </row>
    <row r="3790" spans="4:18" x14ac:dyDescent="0.2">
      <c r="D3790" t="s">
        <v>117</v>
      </c>
      <c r="E3790" t="s">
        <v>118</v>
      </c>
      <c r="F3790" t="s">
        <v>119</v>
      </c>
      <c r="G3790" t="s">
        <v>152</v>
      </c>
      <c r="H3790" t="s">
        <v>152</v>
      </c>
      <c r="I3790" t="s">
        <v>38</v>
      </c>
      <c r="J3790" t="s">
        <v>39</v>
      </c>
      <c r="K3790" t="s">
        <v>48</v>
      </c>
      <c r="L3790" t="s">
        <v>49</v>
      </c>
      <c r="M3790" t="s">
        <v>140</v>
      </c>
      <c r="N3790">
        <v>1483</v>
      </c>
      <c r="O3790">
        <v>7.1603110999999997E-2</v>
      </c>
      <c r="P3790">
        <v>7.7994129999999998E-3</v>
      </c>
      <c r="Q3790" t="str">
        <f t="shared" si="118"/>
        <v>15-24</v>
      </c>
      <c r="R3790" t="str">
        <f t="shared" si="119"/>
        <v>[oiPR2CiVJbf]|15-24|Male|DIAGNOSED_SUBNAT_Attend.T_1|CY2024Q3</v>
      </c>
    </row>
    <row r="3791" spans="4:18" x14ac:dyDescent="0.2">
      <c r="D3791" t="s">
        <v>117</v>
      </c>
      <c r="E3791" t="s">
        <v>118</v>
      </c>
      <c r="F3791" t="s">
        <v>119</v>
      </c>
      <c r="G3791" t="s">
        <v>152</v>
      </c>
      <c r="H3791" t="s">
        <v>152</v>
      </c>
      <c r="I3791" t="s">
        <v>41</v>
      </c>
      <c r="J3791" t="s">
        <v>42</v>
      </c>
      <c r="K3791" t="s">
        <v>48</v>
      </c>
      <c r="L3791" t="s">
        <v>49</v>
      </c>
      <c r="M3791" t="s">
        <v>140</v>
      </c>
      <c r="N3791">
        <v>1930</v>
      </c>
      <c r="O3791">
        <v>6.1134653999999997E-2</v>
      </c>
      <c r="P3791">
        <v>7.7994129999999998E-3</v>
      </c>
      <c r="Q3791" t="str">
        <f t="shared" si="118"/>
        <v>25-34</v>
      </c>
      <c r="R3791" t="str">
        <f t="shared" si="119"/>
        <v>[oiPR2CiVJbf]|25-34|Male|DIAGNOSED_SUBNAT_Attend.T_1|CY2024Q3</v>
      </c>
    </row>
    <row r="3792" spans="4:18" x14ac:dyDescent="0.2">
      <c r="D3792" t="s">
        <v>117</v>
      </c>
      <c r="E3792" t="s">
        <v>118</v>
      </c>
      <c r="F3792" t="s">
        <v>119</v>
      </c>
      <c r="G3792" t="s">
        <v>152</v>
      </c>
      <c r="H3792" t="s">
        <v>152</v>
      </c>
      <c r="I3792" t="s">
        <v>43</v>
      </c>
      <c r="J3792" t="s">
        <v>44</v>
      </c>
      <c r="K3792" t="s">
        <v>48</v>
      </c>
      <c r="L3792" t="s">
        <v>49</v>
      </c>
      <c r="M3792" t="s">
        <v>140</v>
      </c>
      <c r="N3792">
        <v>6890</v>
      </c>
      <c r="O3792">
        <v>2.8317397000000001E-2</v>
      </c>
      <c r="P3792">
        <v>7.7994129999999998E-3</v>
      </c>
      <c r="Q3792" t="str">
        <f t="shared" si="118"/>
        <v>35-49</v>
      </c>
      <c r="R3792" t="str">
        <f t="shared" si="119"/>
        <v>[oiPR2CiVJbf]|35-49|Male|DIAGNOSED_SUBNAT_Attend.T_1|CY2024Q3</v>
      </c>
    </row>
    <row r="3793" spans="4:18" x14ac:dyDescent="0.2">
      <c r="D3793" t="s">
        <v>117</v>
      </c>
      <c r="E3793" t="s">
        <v>118</v>
      </c>
      <c r="F3793" t="s">
        <v>119</v>
      </c>
      <c r="G3793" t="s">
        <v>152</v>
      </c>
      <c r="H3793" t="s">
        <v>152</v>
      </c>
      <c r="I3793" t="s">
        <v>45</v>
      </c>
      <c r="J3793" t="s">
        <v>46</v>
      </c>
      <c r="K3793" t="s">
        <v>48</v>
      </c>
      <c r="L3793" t="s">
        <v>49</v>
      </c>
      <c r="M3793" t="s">
        <v>140</v>
      </c>
      <c r="N3793">
        <v>5114</v>
      </c>
      <c r="O3793">
        <v>3.1563725000000001E-2</v>
      </c>
      <c r="P3793">
        <v>7.7994129999999998E-3</v>
      </c>
      <c r="Q3793" t="str">
        <f t="shared" si="118"/>
        <v>50+</v>
      </c>
      <c r="R3793" t="str">
        <f t="shared" si="119"/>
        <v>[oiPR2CiVJbf]|50+|Male|DIAGNOSED_SUBNAT_Attend.T_1|CY2024Q3</v>
      </c>
    </row>
    <row r="3794" spans="4:18" x14ac:dyDescent="0.2">
      <c r="D3794" t="s">
        <v>120</v>
      </c>
      <c r="E3794" t="s">
        <v>121</v>
      </c>
      <c r="F3794" t="s">
        <v>122</v>
      </c>
      <c r="G3794" t="s">
        <v>152</v>
      </c>
      <c r="H3794" t="s">
        <v>152</v>
      </c>
      <c r="I3794" t="s">
        <v>28</v>
      </c>
      <c r="J3794" t="s">
        <v>29</v>
      </c>
      <c r="K3794" t="s">
        <v>30</v>
      </c>
      <c r="L3794" t="s">
        <v>31</v>
      </c>
      <c r="M3794" t="s">
        <v>140</v>
      </c>
      <c r="N3794">
        <v>46</v>
      </c>
      <c r="O3794">
        <v>2.4081127000000001E-2</v>
      </c>
      <c r="P3794">
        <v>5.2954100000000004E-3</v>
      </c>
      <c r="Q3794" t="str">
        <f t="shared" si="118"/>
        <v>&lt;01</v>
      </c>
      <c r="R3794" t="str">
        <f t="shared" si="119"/>
        <v>[mxqa3CDFmIT]|&lt;01|Female|DIAGNOSED_SUBNAT_Attend.T_1|CY2024Q3</v>
      </c>
    </row>
    <row r="3795" spans="4:18" x14ac:dyDescent="0.2">
      <c r="D3795" t="s">
        <v>120</v>
      </c>
      <c r="E3795" t="s">
        <v>121</v>
      </c>
      <c r="F3795" t="s">
        <v>122</v>
      </c>
      <c r="G3795" t="s">
        <v>152</v>
      </c>
      <c r="H3795" t="s">
        <v>152</v>
      </c>
      <c r="I3795" t="s">
        <v>36</v>
      </c>
      <c r="J3795" t="s">
        <v>37</v>
      </c>
      <c r="K3795" t="s">
        <v>30</v>
      </c>
      <c r="L3795" t="s">
        <v>31</v>
      </c>
      <c r="M3795" t="s">
        <v>140</v>
      </c>
      <c r="N3795">
        <v>1006</v>
      </c>
      <c r="O3795">
        <v>1.6773888000000001E-2</v>
      </c>
      <c r="P3795">
        <v>5.2954100000000004E-3</v>
      </c>
      <c r="Q3795" t="str">
        <f t="shared" si="118"/>
        <v>10-14</v>
      </c>
      <c r="R3795" t="str">
        <f t="shared" si="119"/>
        <v>[mxqa3CDFmIT]|10-14|Female|DIAGNOSED_SUBNAT_Attend.T_1|CY2024Q3</v>
      </c>
    </row>
    <row r="3796" spans="4:18" x14ac:dyDescent="0.2">
      <c r="D3796" t="s">
        <v>120</v>
      </c>
      <c r="E3796" t="s">
        <v>121</v>
      </c>
      <c r="F3796" t="s">
        <v>122</v>
      </c>
      <c r="G3796" t="s">
        <v>152</v>
      </c>
      <c r="H3796" t="s">
        <v>152</v>
      </c>
      <c r="I3796" t="s">
        <v>38</v>
      </c>
      <c r="J3796" t="s">
        <v>39</v>
      </c>
      <c r="K3796" t="s">
        <v>30</v>
      </c>
      <c r="L3796" t="s">
        <v>31</v>
      </c>
      <c r="M3796" t="s">
        <v>140</v>
      </c>
      <c r="N3796">
        <v>5607</v>
      </c>
      <c r="O3796">
        <v>5.9128616000000002E-2</v>
      </c>
      <c r="P3796">
        <v>5.2954100000000004E-3</v>
      </c>
      <c r="Q3796" t="str">
        <f t="shared" si="118"/>
        <v>15-24</v>
      </c>
      <c r="R3796" t="str">
        <f t="shared" si="119"/>
        <v>[mxqa3CDFmIT]|15-24|Female|DIAGNOSED_SUBNAT_Attend.T_1|CY2024Q3</v>
      </c>
    </row>
    <row r="3797" spans="4:18" x14ac:dyDescent="0.2">
      <c r="D3797" t="s">
        <v>120</v>
      </c>
      <c r="E3797" t="s">
        <v>121</v>
      </c>
      <c r="F3797" t="s">
        <v>122</v>
      </c>
      <c r="G3797" t="s">
        <v>152</v>
      </c>
      <c r="H3797" t="s">
        <v>152</v>
      </c>
      <c r="I3797" t="s">
        <v>41</v>
      </c>
      <c r="J3797" t="s">
        <v>42</v>
      </c>
      <c r="K3797" t="s">
        <v>30</v>
      </c>
      <c r="L3797" t="s">
        <v>31</v>
      </c>
      <c r="M3797" t="s">
        <v>140</v>
      </c>
      <c r="N3797">
        <v>16750</v>
      </c>
      <c r="O3797">
        <v>3.1935734E-2</v>
      </c>
      <c r="P3797">
        <v>5.2954100000000004E-3</v>
      </c>
      <c r="Q3797" t="str">
        <f t="shared" si="118"/>
        <v>25-34</v>
      </c>
      <c r="R3797" t="str">
        <f t="shared" si="119"/>
        <v>[mxqa3CDFmIT]|25-34|Female|DIAGNOSED_SUBNAT_Attend.T_1|CY2024Q3</v>
      </c>
    </row>
    <row r="3798" spans="4:18" x14ac:dyDescent="0.2">
      <c r="D3798" t="s">
        <v>120</v>
      </c>
      <c r="E3798" t="s">
        <v>121</v>
      </c>
      <c r="F3798" t="s">
        <v>122</v>
      </c>
      <c r="G3798" t="s">
        <v>152</v>
      </c>
      <c r="H3798" t="s">
        <v>152</v>
      </c>
      <c r="I3798" t="s">
        <v>43</v>
      </c>
      <c r="J3798" t="s">
        <v>44</v>
      </c>
      <c r="K3798" t="s">
        <v>30</v>
      </c>
      <c r="L3798" t="s">
        <v>31</v>
      </c>
      <c r="M3798" t="s">
        <v>140</v>
      </c>
      <c r="N3798">
        <v>37552</v>
      </c>
      <c r="O3798">
        <v>1.6555714999999999E-2</v>
      </c>
      <c r="P3798">
        <v>5.2954100000000004E-3</v>
      </c>
      <c r="Q3798" t="str">
        <f t="shared" si="118"/>
        <v>35-49</v>
      </c>
      <c r="R3798" t="str">
        <f t="shared" si="119"/>
        <v>[mxqa3CDFmIT]|35-49|Female|DIAGNOSED_SUBNAT_Attend.T_1|CY2024Q3</v>
      </c>
    </row>
    <row r="3799" spans="4:18" x14ac:dyDescent="0.2">
      <c r="D3799" t="s">
        <v>120</v>
      </c>
      <c r="E3799" t="s">
        <v>121</v>
      </c>
      <c r="F3799" t="s">
        <v>122</v>
      </c>
      <c r="G3799" t="s">
        <v>152</v>
      </c>
      <c r="H3799" t="s">
        <v>152</v>
      </c>
      <c r="I3799" t="s">
        <v>45</v>
      </c>
      <c r="J3799" t="s">
        <v>46</v>
      </c>
      <c r="K3799" t="s">
        <v>30</v>
      </c>
      <c r="L3799" t="s">
        <v>31</v>
      </c>
      <c r="M3799" t="s">
        <v>140</v>
      </c>
      <c r="N3799">
        <v>13825</v>
      </c>
      <c r="O3799">
        <v>3.6571436999999998E-2</v>
      </c>
      <c r="P3799">
        <v>5.2954100000000004E-3</v>
      </c>
      <c r="Q3799" t="str">
        <f t="shared" si="118"/>
        <v>50+</v>
      </c>
      <c r="R3799" t="str">
        <f t="shared" si="119"/>
        <v>[mxqa3CDFmIT]|50+|Female|DIAGNOSED_SUBNAT_Attend.T_1|CY2024Q3</v>
      </c>
    </row>
    <row r="3800" spans="4:18" x14ac:dyDescent="0.2">
      <c r="D3800" t="s">
        <v>120</v>
      </c>
      <c r="E3800" t="s">
        <v>121</v>
      </c>
      <c r="F3800" t="s">
        <v>122</v>
      </c>
      <c r="G3800" t="s">
        <v>152</v>
      </c>
      <c r="H3800" t="s">
        <v>152</v>
      </c>
      <c r="I3800" t="s">
        <v>28</v>
      </c>
      <c r="J3800" t="s">
        <v>29</v>
      </c>
      <c r="K3800" t="s">
        <v>48</v>
      </c>
      <c r="L3800" t="s">
        <v>49</v>
      </c>
      <c r="M3800" t="s">
        <v>140</v>
      </c>
      <c r="N3800">
        <v>47</v>
      </c>
      <c r="O3800">
        <v>1.6251201E-2</v>
      </c>
      <c r="P3800">
        <v>5.2954100000000004E-3</v>
      </c>
      <c r="Q3800" t="str">
        <f t="shared" si="118"/>
        <v>&lt;01</v>
      </c>
      <c r="R3800" t="str">
        <f t="shared" si="119"/>
        <v>[mxqa3CDFmIT]|&lt;01|Male|DIAGNOSED_SUBNAT_Attend.T_1|CY2024Q3</v>
      </c>
    </row>
    <row r="3801" spans="4:18" x14ac:dyDescent="0.2">
      <c r="D3801" t="s">
        <v>120</v>
      </c>
      <c r="E3801" t="s">
        <v>121</v>
      </c>
      <c r="F3801" t="s">
        <v>122</v>
      </c>
      <c r="G3801" t="s">
        <v>152</v>
      </c>
      <c r="H3801" t="s">
        <v>152</v>
      </c>
      <c r="I3801" t="s">
        <v>36</v>
      </c>
      <c r="J3801" t="s">
        <v>37</v>
      </c>
      <c r="K3801" t="s">
        <v>48</v>
      </c>
      <c r="L3801" t="s">
        <v>49</v>
      </c>
      <c r="M3801" t="s">
        <v>140</v>
      </c>
      <c r="N3801">
        <v>1024</v>
      </c>
      <c r="O3801">
        <v>1.9584302000000001E-2</v>
      </c>
      <c r="P3801">
        <v>5.2954100000000004E-3</v>
      </c>
      <c r="Q3801" t="str">
        <f t="shared" si="118"/>
        <v>10-14</v>
      </c>
      <c r="R3801" t="str">
        <f t="shared" si="119"/>
        <v>[mxqa3CDFmIT]|10-14|Male|DIAGNOSED_SUBNAT_Attend.T_1|CY2024Q3</v>
      </c>
    </row>
    <row r="3802" spans="4:18" x14ac:dyDescent="0.2">
      <c r="D3802" t="s">
        <v>120</v>
      </c>
      <c r="E3802" t="s">
        <v>121</v>
      </c>
      <c r="F3802" t="s">
        <v>122</v>
      </c>
      <c r="G3802" t="s">
        <v>152</v>
      </c>
      <c r="H3802" t="s">
        <v>152</v>
      </c>
      <c r="I3802" t="s">
        <v>38</v>
      </c>
      <c r="J3802" t="s">
        <v>39</v>
      </c>
      <c r="K3802" t="s">
        <v>48</v>
      </c>
      <c r="L3802" t="s">
        <v>49</v>
      </c>
      <c r="M3802" t="s">
        <v>140</v>
      </c>
      <c r="N3802">
        <v>3780</v>
      </c>
      <c r="O3802">
        <v>7.2483516999999997E-2</v>
      </c>
      <c r="P3802">
        <v>5.2954100000000004E-3</v>
      </c>
      <c r="Q3802" t="str">
        <f t="shared" si="118"/>
        <v>15-24</v>
      </c>
      <c r="R3802" t="str">
        <f t="shared" si="119"/>
        <v>[mxqa3CDFmIT]|15-24|Male|DIAGNOSED_SUBNAT_Attend.T_1|CY2024Q3</v>
      </c>
    </row>
    <row r="3803" spans="4:18" x14ac:dyDescent="0.2">
      <c r="D3803" t="s">
        <v>120</v>
      </c>
      <c r="E3803" t="s">
        <v>121</v>
      </c>
      <c r="F3803" t="s">
        <v>122</v>
      </c>
      <c r="G3803" t="s">
        <v>152</v>
      </c>
      <c r="H3803" t="s">
        <v>152</v>
      </c>
      <c r="I3803" t="s">
        <v>41</v>
      </c>
      <c r="J3803" t="s">
        <v>42</v>
      </c>
      <c r="K3803" t="s">
        <v>48</v>
      </c>
      <c r="L3803" t="s">
        <v>49</v>
      </c>
      <c r="M3803" t="s">
        <v>140</v>
      </c>
      <c r="N3803">
        <v>6467</v>
      </c>
      <c r="O3803">
        <v>5.9803211000000002E-2</v>
      </c>
      <c r="P3803">
        <v>5.2954100000000004E-3</v>
      </c>
      <c r="Q3803" t="str">
        <f t="shared" si="118"/>
        <v>25-34</v>
      </c>
      <c r="R3803" t="str">
        <f t="shared" si="119"/>
        <v>[mxqa3CDFmIT]|25-34|Male|DIAGNOSED_SUBNAT_Attend.T_1|CY2024Q3</v>
      </c>
    </row>
    <row r="3804" spans="4:18" x14ac:dyDescent="0.2">
      <c r="D3804" t="s">
        <v>120</v>
      </c>
      <c r="E3804" t="s">
        <v>121</v>
      </c>
      <c r="F3804" t="s">
        <v>122</v>
      </c>
      <c r="G3804" t="s">
        <v>152</v>
      </c>
      <c r="H3804" t="s">
        <v>152</v>
      </c>
      <c r="I3804" t="s">
        <v>43</v>
      </c>
      <c r="J3804" t="s">
        <v>44</v>
      </c>
      <c r="K3804" t="s">
        <v>48</v>
      </c>
      <c r="L3804" t="s">
        <v>49</v>
      </c>
      <c r="M3804" t="s">
        <v>140</v>
      </c>
      <c r="N3804">
        <v>23277</v>
      </c>
      <c r="O3804">
        <v>2.5189513E-2</v>
      </c>
      <c r="P3804">
        <v>5.2954100000000004E-3</v>
      </c>
      <c r="Q3804" t="str">
        <f t="shared" si="118"/>
        <v>35-49</v>
      </c>
      <c r="R3804" t="str">
        <f t="shared" si="119"/>
        <v>[mxqa3CDFmIT]|35-49|Male|DIAGNOSED_SUBNAT_Attend.T_1|CY2024Q3</v>
      </c>
    </row>
    <row r="3805" spans="4:18" x14ac:dyDescent="0.2">
      <c r="D3805" t="s">
        <v>120</v>
      </c>
      <c r="E3805" t="s">
        <v>121</v>
      </c>
      <c r="F3805" t="s">
        <v>122</v>
      </c>
      <c r="G3805" t="s">
        <v>152</v>
      </c>
      <c r="H3805" t="s">
        <v>152</v>
      </c>
      <c r="I3805" t="s">
        <v>45</v>
      </c>
      <c r="J3805" t="s">
        <v>46</v>
      </c>
      <c r="K3805" t="s">
        <v>48</v>
      </c>
      <c r="L3805" t="s">
        <v>49</v>
      </c>
      <c r="M3805" t="s">
        <v>140</v>
      </c>
      <c r="N3805">
        <v>13436</v>
      </c>
      <c r="O3805">
        <v>3.3686876999999997E-2</v>
      </c>
      <c r="P3805">
        <v>5.2954100000000004E-3</v>
      </c>
      <c r="Q3805" t="str">
        <f t="shared" si="118"/>
        <v>50+</v>
      </c>
      <c r="R3805" t="str">
        <f t="shared" si="119"/>
        <v>[mxqa3CDFmIT]|50+|Male|DIAGNOSED_SUBNAT_Attend.T_1|CY2024Q3</v>
      </c>
    </row>
    <row r="3806" spans="4:18" x14ac:dyDescent="0.2">
      <c r="D3806" t="s">
        <v>123</v>
      </c>
      <c r="E3806" t="s">
        <v>124</v>
      </c>
      <c r="F3806" t="s">
        <v>125</v>
      </c>
      <c r="G3806" t="s">
        <v>152</v>
      </c>
      <c r="H3806" t="s">
        <v>152</v>
      </c>
      <c r="I3806" t="s">
        <v>28</v>
      </c>
      <c r="J3806" t="s">
        <v>29</v>
      </c>
      <c r="K3806" t="s">
        <v>30</v>
      </c>
      <c r="L3806" t="s">
        <v>31</v>
      </c>
      <c r="M3806" t="s">
        <v>140</v>
      </c>
      <c r="N3806">
        <v>3</v>
      </c>
      <c r="O3806">
        <v>5.8367912000000001E-2</v>
      </c>
      <c r="P3806">
        <v>1.6236716000000002E-2</v>
      </c>
      <c r="Q3806" t="str">
        <f t="shared" si="118"/>
        <v>&lt;01</v>
      </c>
      <c r="R3806" t="str">
        <f t="shared" si="119"/>
        <v>[wNqJp8oRIcF]|&lt;01|Female|DIAGNOSED_SUBNAT_Attend.T_1|CY2024Q3</v>
      </c>
    </row>
    <row r="3807" spans="4:18" x14ac:dyDescent="0.2">
      <c r="D3807" t="s">
        <v>123</v>
      </c>
      <c r="E3807" t="s">
        <v>124</v>
      </c>
      <c r="F3807" t="s">
        <v>125</v>
      </c>
      <c r="G3807" t="s">
        <v>152</v>
      </c>
      <c r="H3807" t="s">
        <v>152</v>
      </c>
      <c r="I3807" t="s">
        <v>36</v>
      </c>
      <c r="J3807" t="s">
        <v>37</v>
      </c>
      <c r="K3807" t="s">
        <v>30</v>
      </c>
      <c r="L3807" t="s">
        <v>31</v>
      </c>
      <c r="M3807" t="s">
        <v>140</v>
      </c>
      <c r="N3807">
        <v>76</v>
      </c>
      <c r="O3807">
        <v>5.0092222999999998E-2</v>
      </c>
      <c r="P3807">
        <v>1.6236716000000002E-2</v>
      </c>
      <c r="Q3807" t="str">
        <f t="shared" si="118"/>
        <v>10-14</v>
      </c>
      <c r="R3807" t="str">
        <f t="shared" si="119"/>
        <v>[wNqJp8oRIcF]|10-14|Female|DIAGNOSED_SUBNAT_Attend.T_1|CY2024Q3</v>
      </c>
    </row>
    <row r="3808" spans="4:18" x14ac:dyDescent="0.2">
      <c r="D3808" t="s">
        <v>123</v>
      </c>
      <c r="E3808" t="s">
        <v>124</v>
      </c>
      <c r="F3808" t="s">
        <v>125</v>
      </c>
      <c r="G3808" t="s">
        <v>152</v>
      </c>
      <c r="H3808" t="s">
        <v>152</v>
      </c>
      <c r="I3808" t="s">
        <v>38</v>
      </c>
      <c r="J3808" t="s">
        <v>39</v>
      </c>
      <c r="K3808" t="s">
        <v>30</v>
      </c>
      <c r="L3808" t="s">
        <v>31</v>
      </c>
      <c r="M3808" t="s">
        <v>140</v>
      </c>
      <c r="N3808">
        <v>396</v>
      </c>
      <c r="O3808">
        <v>6.1036352000000002E-2</v>
      </c>
      <c r="P3808">
        <v>1.6236716000000002E-2</v>
      </c>
      <c r="Q3808" t="str">
        <f t="shared" si="118"/>
        <v>15-24</v>
      </c>
      <c r="R3808" t="str">
        <f t="shared" si="119"/>
        <v>[wNqJp8oRIcF]|15-24|Female|DIAGNOSED_SUBNAT_Attend.T_1|CY2024Q3</v>
      </c>
    </row>
    <row r="3809" spans="4:18" x14ac:dyDescent="0.2">
      <c r="D3809" t="s">
        <v>123</v>
      </c>
      <c r="E3809" t="s">
        <v>124</v>
      </c>
      <c r="F3809" t="s">
        <v>125</v>
      </c>
      <c r="G3809" t="s">
        <v>152</v>
      </c>
      <c r="H3809" t="s">
        <v>152</v>
      </c>
      <c r="I3809" t="s">
        <v>41</v>
      </c>
      <c r="J3809" t="s">
        <v>42</v>
      </c>
      <c r="K3809" t="s">
        <v>30</v>
      </c>
      <c r="L3809" t="s">
        <v>31</v>
      </c>
      <c r="M3809" t="s">
        <v>140</v>
      </c>
      <c r="N3809">
        <v>1045</v>
      </c>
      <c r="O3809">
        <v>4.0018197999999998E-2</v>
      </c>
      <c r="P3809">
        <v>1.6236716000000002E-2</v>
      </c>
      <c r="Q3809" t="str">
        <f t="shared" si="118"/>
        <v>25-34</v>
      </c>
      <c r="R3809" t="str">
        <f t="shared" si="119"/>
        <v>[wNqJp8oRIcF]|25-34|Female|DIAGNOSED_SUBNAT_Attend.T_1|CY2024Q3</v>
      </c>
    </row>
    <row r="3810" spans="4:18" x14ac:dyDescent="0.2">
      <c r="D3810" t="s">
        <v>123</v>
      </c>
      <c r="E3810" t="s">
        <v>124</v>
      </c>
      <c r="F3810" t="s">
        <v>125</v>
      </c>
      <c r="G3810" t="s">
        <v>152</v>
      </c>
      <c r="H3810" t="s">
        <v>152</v>
      </c>
      <c r="I3810" t="s">
        <v>43</v>
      </c>
      <c r="J3810" t="s">
        <v>44</v>
      </c>
      <c r="K3810" t="s">
        <v>30</v>
      </c>
      <c r="L3810" t="s">
        <v>31</v>
      </c>
      <c r="M3810" t="s">
        <v>140</v>
      </c>
      <c r="N3810">
        <v>2585</v>
      </c>
      <c r="O3810">
        <v>2.4197903E-2</v>
      </c>
      <c r="P3810">
        <v>1.6236716000000002E-2</v>
      </c>
      <c r="Q3810" t="str">
        <f t="shared" si="118"/>
        <v>35-49</v>
      </c>
      <c r="R3810" t="str">
        <f t="shared" si="119"/>
        <v>[wNqJp8oRIcF]|35-49|Female|DIAGNOSED_SUBNAT_Attend.T_1|CY2024Q3</v>
      </c>
    </row>
    <row r="3811" spans="4:18" x14ac:dyDescent="0.2">
      <c r="D3811" t="s">
        <v>123</v>
      </c>
      <c r="E3811" t="s">
        <v>124</v>
      </c>
      <c r="F3811" t="s">
        <v>125</v>
      </c>
      <c r="G3811" t="s">
        <v>152</v>
      </c>
      <c r="H3811" t="s">
        <v>152</v>
      </c>
      <c r="I3811" t="s">
        <v>45</v>
      </c>
      <c r="J3811" t="s">
        <v>46</v>
      </c>
      <c r="K3811" t="s">
        <v>30</v>
      </c>
      <c r="L3811" t="s">
        <v>31</v>
      </c>
      <c r="M3811" t="s">
        <v>140</v>
      </c>
      <c r="N3811">
        <v>1194</v>
      </c>
      <c r="O3811">
        <v>4.0112002000000001E-2</v>
      </c>
      <c r="P3811">
        <v>1.6236716000000002E-2</v>
      </c>
      <c r="Q3811" t="str">
        <f t="shared" si="118"/>
        <v>50+</v>
      </c>
      <c r="R3811" t="str">
        <f t="shared" si="119"/>
        <v>[wNqJp8oRIcF]|50+|Female|DIAGNOSED_SUBNAT_Attend.T_1|CY2024Q3</v>
      </c>
    </row>
    <row r="3812" spans="4:18" x14ac:dyDescent="0.2">
      <c r="D3812" t="s">
        <v>123</v>
      </c>
      <c r="E3812" t="s">
        <v>124</v>
      </c>
      <c r="F3812" t="s">
        <v>125</v>
      </c>
      <c r="G3812" t="s">
        <v>152</v>
      </c>
      <c r="H3812" t="s">
        <v>152</v>
      </c>
      <c r="I3812" t="s">
        <v>28</v>
      </c>
      <c r="J3812" t="s">
        <v>29</v>
      </c>
      <c r="K3812" t="s">
        <v>48</v>
      </c>
      <c r="L3812" t="s">
        <v>49</v>
      </c>
      <c r="M3812" t="s">
        <v>140</v>
      </c>
      <c r="N3812">
        <v>3</v>
      </c>
      <c r="O3812">
        <v>4.7178407999999998E-2</v>
      </c>
      <c r="P3812">
        <v>1.6236716000000002E-2</v>
      </c>
      <c r="Q3812" t="str">
        <f t="shared" si="118"/>
        <v>&lt;01</v>
      </c>
      <c r="R3812" t="str">
        <f t="shared" si="119"/>
        <v>[wNqJp8oRIcF]|&lt;01|Male|DIAGNOSED_SUBNAT_Attend.T_1|CY2024Q3</v>
      </c>
    </row>
    <row r="3813" spans="4:18" x14ac:dyDescent="0.2">
      <c r="D3813" t="s">
        <v>123</v>
      </c>
      <c r="E3813" t="s">
        <v>124</v>
      </c>
      <c r="F3813" t="s">
        <v>125</v>
      </c>
      <c r="G3813" t="s">
        <v>152</v>
      </c>
      <c r="H3813" t="s">
        <v>152</v>
      </c>
      <c r="I3813" t="s">
        <v>36</v>
      </c>
      <c r="J3813" t="s">
        <v>37</v>
      </c>
      <c r="K3813" t="s">
        <v>48</v>
      </c>
      <c r="L3813" t="s">
        <v>49</v>
      </c>
      <c r="M3813" t="s">
        <v>140</v>
      </c>
      <c r="N3813">
        <v>80</v>
      </c>
      <c r="O3813">
        <v>4.4187108000000003E-2</v>
      </c>
      <c r="P3813">
        <v>1.6236716000000002E-2</v>
      </c>
      <c r="Q3813" t="str">
        <f t="shared" si="118"/>
        <v>10-14</v>
      </c>
      <c r="R3813" t="str">
        <f t="shared" si="119"/>
        <v>[wNqJp8oRIcF]|10-14|Male|DIAGNOSED_SUBNAT_Attend.T_1|CY2024Q3</v>
      </c>
    </row>
    <row r="3814" spans="4:18" x14ac:dyDescent="0.2">
      <c r="D3814" t="s">
        <v>123</v>
      </c>
      <c r="E3814" t="s">
        <v>124</v>
      </c>
      <c r="F3814" t="s">
        <v>125</v>
      </c>
      <c r="G3814" t="s">
        <v>152</v>
      </c>
      <c r="H3814" t="s">
        <v>152</v>
      </c>
      <c r="I3814" t="s">
        <v>38</v>
      </c>
      <c r="J3814" t="s">
        <v>39</v>
      </c>
      <c r="K3814" t="s">
        <v>48</v>
      </c>
      <c r="L3814" t="s">
        <v>49</v>
      </c>
      <c r="M3814" t="s">
        <v>140</v>
      </c>
      <c r="N3814">
        <v>264</v>
      </c>
      <c r="O3814">
        <v>6.9937115999999994E-2</v>
      </c>
      <c r="P3814">
        <v>1.6236716000000002E-2</v>
      </c>
      <c r="Q3814" t="str">
        <f t="shared" si="118"/>
        <v>15-24</v>
      </c>
      <c r="R3814" t="str">
        <f t="shared" si="119"/>
        <v>[wNqJp8oRIcF]|15-24|Male|DIAGNOSED_SUBNAT_Attend.T_1|CY2024Q3</v>
      </c>
    </row>
    <row r="3815" spans="4:18" x14ac:dyDescent="0.2">
      <c r="D3815" t="s">
        <v>123</v>
      </c>
      <c r="E3815" t="s">
        <v>124</v>
      </c>
      <c r="F3815" t="s">
        <v>125</v>
      </c>
      <c r="G3815" t="s">
        <v>152</v>
      </c>
      <c r="H3815" t="s">
        <v>152</v>
      </c>
      <c r="I3815" t="s">
        <v>41</v>
      </c>
      <c r="J3815" t="s">
        <v>42</v>
      </c>
      <c r="K3815" t="s">
        <v>48</v>
      </c>
      <c r="L3815" t="s">
        <v>49</v>
      </c>
      <c r="M3815" t="s">
        <v>140</v>
      </c>
      <c r="N3815">
        <v>353</v>
      </c>
      <c r="O3815">
        <v>6.6146643000000005E-2</v>
      </c>
      <c r="P3815">
        <v>1.6236716000000002E-2</v>
      </c>
      <c r="Q3815" t="str">
        <f t="shared" si="118"/>
        <v>25-34</v>
      </c>
      <c r="R3815" t="str">
        <f t="shared" si="119"/>
        <v>[wNqJp8oRIcF]|25-34|Male|DIAGNOSED_SUBNAT_Attend.T_1|CY2024Q3</v>
      </c>
    </row>
    <row r="3816" spans="4:18" x14ac:dyDescent="0.2">
      <c r="D3816" t="s">
        <v>123</v>
      </c>
      <c r="E3816" t="s">
        <v>124</v>
      </c>
      <c r="F3816" t="s">
        <v>125</v>
      </c>
      <c r="G3816" t="s">
        <v>152</v>
      </c>
      <c r="H3816" t="s">
        <v>152</v>
      </c>
      <c r="I3816" t="s">
        <v>43</v>
      </c>
      <c r="J3816" t="s">
        <v>44</v>
      </c>
      <c r="K3816" t="s">
        <v>48</v>
      </c>
      <c r="L3816" t="s">
        <v>49</v>
      </c>
      <c r="M3816" t="s">
        <v>140</v>
      </c>
      <c r="N3816">
        <v>1313</v>
      </c>
      <c r="O3816">
        <v>3.3394395E-2</v>
      </c>
      <c r="P3816">
        <v>1.6236716000000002E-2</v>
      </c>
      <c r="Q3816" t="str">
        <f t="shared" si="118"/>
        <v>35-49</v>
      </c>
      <c r="R3816" t="str">
        <f t="shared" si="119"/>
        <v>[wNqJp8oRIcF]|35-49|Male|DIAGNOSED_SUBNAT_Attend.T_1|CY2024Q3</v>
      </c>
    </row>
    <row r="3817" spans="4:18" x14ac:dyDescent="0.2">
      <c r="D3817" t="s">
        <v>123</v>
      </c>
      <c r="E3817" t="s">
        <v>124</v>
      </c>
      <c r="F3817" t="s">
        <v>125</v>
      </c>
      <c r="G3817" t="s">
        <v>152</v>
      </c>
      <c r="H3817" t="s">
        <v>152</v>
      </c>
      <c r="I3817" t="s">
        <v>45</v>
      </c>
      <c r="J3817" t="s">
        <v>46</v>
      </c>
      <c r="K3817" t="s">
        <v>48</v>
      </c>
      <c r="L3817" t="s">
        <v>49</v>
      </c>
      <c r="M3817" t="s">
        <v>140</v>
      </c>
      <c r="N3817">
        <v>921</v>
      </c>
      <c r="O3817">
        <v>4.0868083999999999E-2</v>
      </c>
      <c r="P3817">
        <v>1.6236716000000002E-2</v>
      </c>
      <c r="Q3817" t="str">
        <f t="shared" si="118"/>
        <v>50+</v>
      </c>
      <c r="R3817" t="str">
        <f t="shared" si="119"/>
        <v>[wNqJp8oRIcF]|50+|Male|DIAGNOSED_SUBNAT_Attend.T_1|CY2024Q3</v>
      </c>
    </row>
    <row r="3818" spans="4:18" x14ac:dyDescent="0.2">
      <c r="D3818" t="s">
        <v>126</v>
      </c>
      <c r="E3818" t="s">
        <v>127</v>
      </c>
      <c r="F3818" t="s">
        <v>128</v>
      </c>
      <c r="G3818" t="s">
        <v>152</v>
      </c>
      <c r="H3818" t="s">
        <v>152</v>
      </c>
      <c r="I3818" t="s">
        <v>28</v>
      </c>
      <c r="J3818" t="s">
        <v>29</v>
      </c>
      <c r="K3818" t="s">
        <v>30</v>
      </c>
      <c r="L3818" t="s">
        <v>31</v>
      </c>
      <c r="M3818" t="s">
        <v>140</v>
      </c>
      <c r="N3818">
        <v>21</v>
      </c>
      <c r="O3818">
        <v>3.4140313999999998E-2</v>
      </c>
      <c r="P3818">
        <v>7.7546990000000003E-3</v>
      </c>
      <c r="Q3818" t="str">
        <f t="shared" si="118"/>
        <v>&lt;01</v>
      </c>
      <c r="R3818" t="str">
        <f t="shared" si="119"/>
        <v>[ul0y9diGujK]|&lt;01|Female|DIAGNOSED_SUBNAT_Attend.T_1|CY2024Q3</v>
      </c>
    </row>
    <row r="3819" spans="4:18" x14ac:dyDescent="0.2">
      <c r="D3819" t="s">
        <v>126</v>
      </c>
      <c r="E3819" t="s">
        <v>127</v>
      </c>
      <c r="F3819" t="s">
        <v>128</v>
      </c>
      <c r="G3819" t="s">
        <v>152</v>
      </c>
      <c r="H3819" t="s">
        <v>152</v>
      </c>
      <c r="I3819" t="s">
        <v>36</v>
      </c>
      <c r="J3819" t="s">
        <v>37</v>
      </c>
      <c r="K3819" t="s">
        <v>30</v>
      </c>
      <c r="L3819" t="s">
        <v>31</v>
      </c>
      <c r="M3819" t="s">
        <v>140</v>
      </c>
      <c r="N3819">
        <v>547</v>
      </c>
      <c r="O3819">
        <v>2.4336492000000001E-2</v>
      </c>
      <c r="P3819">
        <v>7.7546990000000003E-3</v>
      </c>
      <c r="Q3819" t="str">
        <f t="shared" si="118"/>
        <v>10-14</v>
      </c>
      <c r="R3819" t="str">
        <f t="shared" si="119"/>
        <v>[ul0y9diGujK]|10-14|Female|DIAGNOSED_SUBNAT_Attend.T_1|CY2024Q3</v>
      </c>
    </row>
    <row r="3820" spans="4:18" x14ac:dyDescent="0.2">
      <c r="D3820" t="s">
        <v>126</v>
      </c>
      <c r="E3820" t="s">
        <v>127</v>
      </c>
      <c r="F3820" t="s">
        <v>128</v>
      </c>
      <c r="G3820" t="s">
        <v>152</v>
      </c>
      <c r="H3820" t="s">
        <v>152</v>
      </c>
      <c r="I3820" t="s">
        <v>38</v>
      </c>
      <c r="J3820" t="s">
        <v>39</v>
      </c>
      <c r="K3820" t="s">
        <v>30</v>
      </c>
      <c r="L3820" t="s">
        <v>31</v>
      </c>
      <c r="M3820" t="s">
        <v>140</v>
      </c>
      <c r="N3820">
        <v>2866</v>
      </c>
      <c r="O3820">
        <v>6.2330473999999997E-2</v>
      </c>
      <c r="P3820">
        <v>7.7546990000000003E-3</v>
      </c>
      <c r="Q3820" t="str">
        <f t="shared" si="118"/>
        <v>15-24</v>
      </c>
      <c r="R3820" t="str">
        <f t="shared" si="119"/>
        <v>[ul0y9diGujK]|15-24|Female|DIAGNOSED_SUBNAT_Attend.T_1|CY2024Q3</v>
      </c>
    </row>
    <row r="3821" spans="4:18" x14ac:dyDescent="0.2">
      <c r="D3821" t="s">
        <v>126</v>
      </c>
      <c r="E3821" t="s">
        <v>127</v>
      </c>
      <c r="F3821" t="s">
        <v>128</v>
      </c>
      <c r="G3821" t="s">
        <v>152</v>
      </c>
      <c r="H3821" t="s">
        <v>152</v>
      </c>
      <c r="I3821" t="s">
        <v>41</v>
      </c>
      <c r="J3821" t="s">
        <v>42</v>
      </c>
      <c r="K3821" t="s">
        <v>30</v>
      </c>
      <c r="L3821" t="s">
        <v>31</v>
      </c>
      <c r="M3821" t="s">
        <v>140</v>
      </c>
      <c r="N3821">
        <v>7156</v>
      </c>
      <c r="O3821">
        <v>3.3868928999999999E-2</v>
      </c>
      <c r="P3821">
        <v>7.7546990000000003E-3</v>
      </c>
      <c r="Q3821" t="str">
        <f t="shared" si="118"/>
        <v>25-34</v>
      </c>
      <c r="R3821" t="str">
        <f t="shared" si="119"/>
        <v>[ul0y9diGujK]|25-34|Female|DIAGNOSED_SUBNAT_Attend.T_1|CY2024Q3</v>
      </c>
    </row>
    <row r="3822" spans="4:18" x14ac:dyDescent="0.2">
      <c r="D3822" t="s">
        <v>126</v>
      </c>
      <c r="E3822" t="s">
        <v>127</v>
      </c>
      <c r="F3822" t="s">
        <v>128</v>
      </c>
      <c r="G3822" t="s">
        <v>152</v>
      </c>
      <c r="H3822" t="s">
        <v>152</v>
      </c>
      <c r="I3822" t="s">
        <v>43</v>
      </c>
      <c r="J3822" t="s">
        <v>44</v>
      </c>
      <c r="K3822" t="s">
        <v>30</v>
      </c>
      <c r="L3822" t="s">
        <v>31</v>
      </c>
      <c r="M3822" t="s">
        <v>140</v>
      </c>
      <c r="N3822">
        <v>18813</v>
      </c>
      <c r="O3822">
        <v>1.8990507E-2</v>
      </c>
      <c r="P3822">
        <v>7.7546990000000003E-3</v>
      </c>
      <c r="Q3822" t="str">
        <f t="shared" si="118"/>
        <v>35-49</v>
      </c>
      <c r="R3822" t="str">
        <f t="shared" si="119"/>
        <v>[ul0y9diGujK]|35-49|Female|DIAGNOSED_SUBNAT_Attend.T_1|CY2024Q3</v>
      </c>
    </row>
    <row r="3823" spans="4:18" x14ac:dyDescent="0.2">
      <c r="D3823" t="s">
        <v>126</v>
      </c>
      <c r="E3823" t="s">
        <v>127</v>
      </c>
      <c r="F3823" t="s">
        <v>128</v>
      </c>
      <c r="G3823" t="s">
        <v>152</v>
      </c>
      <c r="H3823" t="s">
        <v>152</v>
      </c>
      <c r="I3823" t="s">
        <v>45</v>
      </c>
      <c r="J3823" t="s">
        <v>46</v>
      </c>
      <c r="K3823" t="s">
        <v>30</v>
      </c>
      <c r="L3823" t="s">
        <v>31</v>
      </c>
      <c r="M3823" t="s">
        <v>140</v>
      </c>
      <c r="N3823">
        <v>9558</v>
      </c>
      <c r="O3823">
        <v>3.2331871999999998E-2</v>
      </c>
      <c r="P3823">
        <v>7.7546990000000003E-3</v>
      </c>
      <c r="Q3823" t="str">
        <f t="shared" si="118"/>
        <v>50+</v>
      </c>
      <c r="R3823" t="str">
        <f t="shared" si="119"/>
        <v>[ul0y9diGujK]|50+|Female|DIAGNOSED_SUBNAT_Attend.T_1|CY2024Q3</v>
      </c>
    </row>
    <row r="3824" spans="4:18" x14ac:dyDescent="0.2">
      <c r="D3824" t="s">
        <v>126</v>
      </c>
      <c r="E3824" t="s">
        <v>127</v>
      </c>
      <c r="F3824" t="s">
        <v>128</v>
      </c>
      <c r="G3824" t="s">
        <v>152</v>
      </c>
      <c r="H3824" t="s">
        <v>152</v>
      </c>
      <c r="I3824" t="s">
        <v>28</v>
      </c>
      <c r="J3824" t="s">
        <v>29</v>
      </c>
      <c r="K3824" t="s">
        <v>48</v>
      </c>
      <c r="L3824" t="s">
        <v>49</v>
      </c>
      <c r="M3824" t="s">
        <v>140</v>
      </c>
      <c r="N3824">
        <v>22</v>
      </c>
      <c r="O3824">
        <v>2.3461685999999999E-2</v>
      </c>
      <c r="P3824">
        <v>7.7546990000000003E-3</v>
      </c>
      <c r="Q3824" t="str">
        <f t="shared" si="118"/>
        <v>&lt;01</v>
      </c>
      <c r="R3824" t="str">
        <f t="shared" si="119"/>
        <v>[ul0y9diGujK]|&lt;01|Male|DIAGNOSED_SUBNAT_Attend.T_1|CY2024Q3</v>
      </c>
    </row>
    <row r="3825" spans="4:18" x14ac:dyDescent="0.2">
      <c r="D3825" t="s">
        <v>126</v>
      </c>
      <c r="E3825" t="s">
        <v>127</v>
      </c>
      <c r="F3825" t="s">
        <v>128</v>
      </c>
      <c r="G3825" t="s">
        <v>152</v>
      </c>
      <c r="H3825" t="s">
        <v>152</v>
      </c>
      <c r="I3825" t="s">
        <v>36</v>
      </c>
      <c r="J3825" t="s">
        <v>37</v>
      </c>
      <c r="K3825" t="s">
        <v>48</v>
      </c>
      <c r="L3825" t="s">
        <v>49</v>
      </c>
      <c r="M3825" t="s">
        <v>140</v>
      </c>
      <c r="N3825">
        <v>570</v>
      </c>
      <c r="O3825">
        <v>2.8661223E-2</v>
      </c>
      <c r="P3825">
        <v>7.7546990000000003E-3</v>
      </c>
      <c r="Q3825" t="str">
        <f t="shared" si="118"/>
        <v>10-14</v>
      </c>
      <c r="R3825" t="str">
        <f t="shared" si="119"/>
        <v>[ul0y9diGujK]|10-14|Male|DIAGNOSED_SUBNAT_Attend.T_1|CY2024Q3</v>
      </c>
    </row>
    <row r="3826" spans="4:18" x14ac:dyDescent="0.2">
      <c r="D3826" t="s">
        <v>126</v>
      </c>
      <c r="E3826" t="s">
        <v>127</v>
      </c>
      <c r="F3826" t="s">
        <v>128</v>
      </c>
      <c r="G3826" t="s">
        <v>152</v>
      </c>
      <c r="H3826" t="s">
        <v>152</v>
      </c>
      <c r="I3826" t="s">
        <v>38</v>
      </c>
      <c r="J3826" t="s">
        <v>39</v>
      </c>
      <c r="K3826" t="s">
        <v>48</v>
      </c>
      <c r="L3826" t="s">
        <v>49</v>
      </c>
      <c r="M3826" t="s">
        <v>140</v>
      </c>
      <c r="N3826">
        <v>1948</v>
      </c>
      <c r="O3826">
        <v>7.1770316000000001E-2</v>
      </c>
      <c r="P3826">
        <v>7.7546990000000003E-3</v>
      </c>
      <c r="Q3826" t="str">
        <f t="shared" si="118"/>
        <v>15-24</v>
      </c>
      <c r="R3826" t="str">
        <f t="shared" si="119"/>
        <v>[ul0y9diGujK]|15-24|Male|DIAGNOSED_SUBNAT_Attend.T_1|CY2024Q3</v>
      </c>
    </row>
    <row r="3827" spans="4:18" x14ac:dyDescent="0.2">
      <c r="D3827" t="s">
        <v>126</v>
      </c>
      <c r="E3827" t="s">
        <v>127</v>
      </c>
      <c r="F3827" t="s">
        <v>128</v>
      </c>
      <c r="G3827" t="s">
        <v>152</v>
      </c>
      <c r="H3827" t="s">
        <v>152</v>
      </c>
      <c r="I3827" t="s">
        <v>41</v>
      </c>
      <c r="J3827" t="s">
        <v>42</v>
      </c>
      <c r="K3827" t="s">
        <v>48</v>
      </c>
      <c r="L3827" t="s">
        <v>49</v>
      </c>
      <c r="M3827" t="s">
        <v>140</v>
      </c>
      <c r="N3827">
        <v>2295</v>
      </c>
      <c r="O3827">
        <v>6.2714848000000004E-2</v>
      </c>
      <c r="P3827">
        <v>7.7546990000000003E-3</v>
      </c>
      <c r="Q3827" t="str">
        <f t="shared" si="118"/>
        <v>25-34</v>
      </c>
      <c r="R3827" t="str">
        <f t="shared" si="119"/>
        <v>[ul0y9diGujK]|25-34|Male|DIAGNOSED_SUBNAT_Attend.T_1|CY2024Q3</v>
      </c>
    </row>
    <row r="3828" spans="4:18" x14ac:dyDescent="0.2">
      <c r="D3828" t="s">
        <v>126</v>
      </c>
      <c r="E3828" t="s">
        <v>127</v>
      </c>
      <c r="F3828" t="s">
        <v>128</v>
      </c>
      <c r="G3828" t="s">
        <v>152</v>
      </c>
      <c r="H3828" t="s">
        <v>152</v>
      </c>
      <c r="I3828" t="s">
        <v>43</v>
      </c>
      <c r="J3828" t="s">
        <v>44</v>
      </c>
      <c r="K3828" t="s">
        <v>48</v>
      </c>
      <c r="L3828" t="s">
        <v>49</v>
      </c>
      <c r="M3828" t="s">
        <v>140</v>
      </c>
      <c r="N3828">
        <v>8705</v>
      </c>
      <c r="O3828">
        <v>2.7964036000000001E-2</v>
      </c>
      <c r="P3828">
        <v>7.7546990000000003E-3</v>
      </c>
      <c r="Q3828" t="str">
        <f t="shared" si="118"/>
        <v>35-49</v>
      </c>
      <c r="R3828" t="str">
        <f t="shared" si="119"/>
        <v>[ul0y9diGujK]|35-49|Male|DIAGNOSED_SUBNAT_Attend.T_1|CY2024Q3</v>
      </c>
    </row>
    <row r="3829" spans="4:18" x14ac:dyDescent="0.2">
      <c r="D3829" t="s">
        <v>126</v>
      </c>
      <c r="E3829" t="s">
        <v>127</v>
      </c>
      <c r="F3829" t="s">
        <v>128</v>
      </c>
      <c r="G3829" t="s">
        <v>152</v>
      </c>
      <c r="H3829" t="s">
        <v>152</v>
      </c>
      <c r="I3829" t="s">
        <v>45</v>
      </c>
      <c r="J3829" t="s">
        <v>46</v>
      </c>
      <c r="K3829" t="s">
        <v>48</v>
      </c>
      <c r="L3829" t="s">
        <v>49</v>
      </c>
      <c r="M3829" t="s">
        <v>140</v>
      </c>
      <c r="N3829">
        <v>6790</v>
      </c>
      <c r="O3829">
        <v>3.1959929999999998E-2</v>
      </c>
      <c r="P3829">
        <v>7.7546990000000003E-3</v>
      </c>
      <c r="Q3829" t="str">
        <f t="shared" si="118"/>
        <v>50+</v>
      </c>
      <c r="R3829" t="str">
        <f t="shared" si="119"/>
        <v>[ul0y9diGujK]|50+|Male|DIAGNOSED_SUBNAT_Attend.T_1|CY2024Q3</v>
      </c>
    </row>
    <row r="3830" spans="4:18" x14ac:dyDescent="0.2">
      <c r="D3830" t="s">
        <v>129</v>
      </c>
      <c r="E3830" t="s">
        <v>130</v>
      </c>
      <c r="F3830" t="s">
        <v>131</v>
      </c>
      <c r="G3830" t="s">
        <v>152</v>
      </c>
      <c r="H3830" t="s">
        <v>152</v>
      </c>
      <c r="I3830" t="s">
        <v>28</v>
      </c>
      <c r="J3830" t="s">
        <v>29</v>
      </c>
      <c r="K3830" t="s">
        <v>30</v>
      </c>
      <c r="L3830" t="s">
        <v>31</v>
      </c>
      <c r="M3830" t="s">
        <v>140</v>
      </c>
      <c r="N3830">
        <v>17</v>
      </c>
      <c r="O3830">
        <v>2.9960328000000001E-2</v>
      </c>
      <c r="P3830">
        <v>9.0179189999999992E-3</v>
      </c>
      <c r="Q3830" t="str">
        <f t="shared" si="118"/>
        <v>&lt;01</v>
      </c>
      <c r="R3830" t="str">
        <f t="shared" si="119"/>
        <v>[U8c0so51kT6]|&lt;01|Female|DIAGNOSED_SUBNAT_Attend.T_1|CY2024Q3</v>
      </c>
    </row>
    <row r="3831" spans="4:18" x14ac:dyDescent="0.2">
      <c r="D3831" t="s">
        <v>129</v>
      </c>
      <c r="E3831" t="s">
        <v>130</v>
      </c>
      <c r="F3831" t="s">
        <v>131</v>
      </c>
      <c r="G3831" t="s">
        <v>152</v>
      </c>
      <c r="H3831" t="s">
        <v>152</v>
      </c>
      <c r="I3831" t="s">
        <v>36</v>
      </c>
      <c r="J3831" t="s">
        <v>37</v>
      </c>
      <c r="K3831" t="s">
        <v>30</v>
      </c>
      <c r="L3831" t="s">
        <v>31</v>
      </c>
      <c r="M3831" t="s">
        <v>140</v>
      </c>
      <c r="N3831">
        <v>428</v>
      </c>
      <c r="O3831">
        <v>2.3479719999999999E-2</v>
      </c>
      <c r="P3831">
        <v>9.0179189999999992E-3</v>
      </c>
      <c r="Q3831" t="str">
        <f t="shared" si="118"/>
        <v>10-14</v>
      </c>
      <c r="R3831" t="str">
        <f t="shared" si="119"/>
        <v>[U8c0so51kT6]|10-14|Female|DIAGNOSED_SUBNAT_Attend.T_1|CY2024Q3</v>
      </c>
    </row>
    <row r="3832" spans="4:18" x14ac:dyDescent="0.2">
      <c r="D3832" t="s">
        <v>129</v>
      </c>
      <c r="E3832" t="s">
        <v>130</v>
      </c>
      <c r="F3832" t="s">
        <v>131</v>
      </c>
      <c r="G3832" t="s">
        <v>152</v>
      </c>
      <c r="H3832" t="s">
        <v>152</v>
      </c>
      <c r="I3832" t="s">
        <v>38</v>
      </c>
      <c r="J3832" t="s">
        <v>39</v>
      </c>
      <c r="K3832" t="s">
        <v>30</v>
      </c>
      <c r="L3832" t="s">
        <v>31</v>
      </c>
      <c r="M3832" t="s">
        <v>140</v>
      </c>
      <c r="N3832">
        <v>1572</v>
      </c>
      <c r="O3832">
        <v>6.0164175E-2</v>
      </c>
      <c r="P3832">
        <v>9.0179189999999992E-3</v>
      </c>
      <c r="Q3832" t="str">
        <f t="shared" si="118"/>
        <v>15-24</v>
      </c>
      <c r="R3832" t="str">
        <f t="shared" si="119"/>
        <v>[U8c0so51kT6]|15-24|Female|DIAGNOSED_SUBNAT_Attend.T_1|CY2024Q3</v>
      </c>
    </row>
    <row r="3833" spans="4:18" x14ac:dyDescent="0.2">
      <c r="D3833" t="s">
        <v>129</v>
      </c>
      <c r="E3833" t="s">
        <v>130</v>
      </c>
      <c r="F3833" t="s">
        <v>131</v>
      </c>
      <c r="G3833" t="s">
        <v>152</v>
      </c>
      <c r="H3833" t="s">
        <v>152</v>
      </c>
      <c r="I3833" t="s">
        <v>41</v>
      </c>
      <c r="J3833" t="s">
        <v>42</v>
      </c>
      <c r="K3833" t="s">
        <v>30</v>
      </c>
      <c r="L3833" t="s">
        <v>31</v>
      </c>
      <c r="M3833" t="s">
        <v>140</v>
      </c>
      <c r="N3833">
        <v>4053</v>
      </c>
      <c r="O3833">
        <v>3.5258314999999998E-2</v>
      </c>
      <c r="P3833">
        <v>9.0179189999999992E-3</v>
      </c>
      <c r="Q3833" t="str">
        <f t="shared" si="118"/>
        <v>25-34</v>
      </c>
      <c r="R3833" t="str">
        <f t="shared" si="119"/>
        <v>[U8c0so51kT6]|25-34|Female|DIAGNOSED_SUBNAT_Attend.T_1|CY2024Q3</v>
      </c>
    </row>
    <row r="3834" spans="4:18" x14ac:dyDescent="0.2">
      <c r="D3834" t="s">
        <v>129</v>
      </c>
      <c r="E3834" t="s">
        <v>130</v>
      </c>
      <c r="F3834" t="s">
        <v>131</v>
      </c>
      <c r="G3834" t="s">
        <v>152</v>
      </c>
      <c r="H3834" t="s">
        <v>152</v>
      </c>
      <c r="I3834" t="s">
        <v>43</v>
      </c>
      <c r="J3834" t="s">
        <v>44</v>
      </c>
      <c r="K3834" t="s">
        <v>30</v>
      </c>
      <c r="L3834" t="s">
        <v>31</v>
      </c>
      <c r="M3834" t="s">
        <v>140</v>
      </c>
      <c r="N3834">
        <v>9968</v>
      </c>
      <c r="O3834">
        <v>2.0166046E-2</v>
      </c>
      <c r="P3834">
        <v>9.0179189999999992E-3</v>
      </c>
      <c r="Q3834" t="str">
        <f t="shared" si="118"/>
        <v>35-49</v>
      </c>
      <c r="R3834" t="str">
        <f t="shared" si="119"/>
        <v>[U8c0so51kT6]|35-49|Female|DIAGNOSED_SUBNAT_Attend.T_1|CY2024Q3</v>
      </c>
    </row>
    <row r="3835" spans="4:18" x14ac:dyDescent="0.2">
      <c r="D3835" t="s">
        <v>129</v>
      </c>
      <c r="E3835" t="s">
        <v>130</v>
      </c>
      <c r="F3835" t="s">
        <v>131</v>
      </c>
      <c r="G3835" t="s">
        <v>152</v>
      </c>
      <c r="H3835" t="s">
        <v>152</v>
      </c>
      <c r="I3835" t="s">
        <v>45</v>
      </c>
      <c r="J3835" t="s">
        <v>46</v>
      </c>
      <c r="K3835" t="s">
        <v>30</v>
      </c>
      <c r="L3835" t="s">
        <v>31</v>
      </c>
      <c r="M3835" t="s">
        <v>140</v>
      </c>
      <c r="N3835">
        <v>4718</v>
      </c>
      <c r="O3835">
        <v>3.5977507999999998E-2</v>
      </c>
      <c r="P3835">
        <v>9.0179189999999992E-3</v>
      </c>
      <c r="Q3835" t="str">
        <f t="shared" si="118"/>
        <v>50+</v>
      </c>
      <c r="R3835" t="str">
        <f t="shared" si="119"/>
        <v>[U8c0so51kT6]|50+|Female|DIAGNOSED_SUBNAT_Attend.T_1|CY2024Q3</v>
      </c>
    </row>
    <row r="3836" spans="4:18" x14ac:dyDescent="0.2">
      <c r="D3836" t="s">
        <v>129</v>
      </c>
      <c r="E3836" t="s">
        <v>130</v>
      </c>
      <c r="F3836" t="s">
        <v>131</v>
      </c>
      <c r="G3836" t="s">
        <v>152</v>
      </c>
      <c r="H3836" t="s">
        <v>152</v>
      </c>
      <c r="I3836" t="s">
        <v>28</v>
      </c>
      <c r="J3836" t="s">
        <v>29</v>
      </c>
      <c r="K3836" t="s">
        <v>48</v>
      </c>
      <c r="L3836" t="s">
        <v>49</v>
      </c>
      <c r="M3836" t="s">
        <v>140</v>
      </c>
      <c r="N3836">
        <v>16</v>
      </c>
      <c r="O3836">
        <v>1.9166676000000001E-2</v>
      </c>
      <c r="P3836">
        <v>9.0179189999999992E-3</v>
      </c>
      <c r="Q3836" t="str">
        <f t="shared" si="118"/>
        <v>&lt;01</v>
      </c>
      <c r="R3836" t="str">
        <f t="shared" si="119"/>
        <v>[U8c0so51kT6]|&lt;01|Male|DIAGNOSED_SUBNAT_Attend.T_1|CY2024Q3</v>
      </c>
    </row>
    <row r="3837" spans="4:18" x14ac:dyDescent="0.2">
      <c r="D3837" t="s">
        <v>129</v>
      </c>
      <c r="E3837" t="s">
        <v>130</v>
      </c>
      <c r="F3837" t="s">
        <v>131</v>
      </c>
      <c r="G3837" t="s">
        <v>152</v>
      </c>
      <c r="H3837" t="s">
        <v>152</v>
      </c>
      <c r="I3837" t="s">
        <v>36</v>
      </c>
      <c r="J3837" t="s">
        <v>37</v>
      </c>
      <c r="K3837" t="s">
        <v>48</v>
      </c>
      <c r="L3837" t="s">
        <v>49</v>
      </c>
      <c r="M3837" t="s">
        <v>140</v>
      </c>
      <c r="N3837">
        <v>414</v>
      </c>
      <c r="O3837">
        <v>2.4568454999999999E-2</v>
      </c>
      <c r="P3837">
        <v>9.0179189999999992E-3</v>
      </c>
      <c r="Q3837" t="str">
        <f t="shared" si="118"/>
        <v>10-14</v>
      </c>
      <c r="R3837" t="str">
        <f t="shared" si="119"/>
        <v>[U8c0so51kT6]|10-14|Male|DIAGNOSED_SUBNAT_Attend.T_1|CY2024Q3</v>
      </c>
    </row>
    <row r="3838" spans="4:18" x14ac:dyDescent="0.2">
      <c r="D3838" t="s">
        <v>129</v>
      </c>
      <c r="E3838" t="s">
        <v>130</v>
      </c>
      <c r="F3838" t="s">
        <v>131</v>
      </c>
      <c r="G3838" t="s">
        <v>152</v>
      </c>
      <c r="H3838" t="s">
        <v>152</v>
      </c>
      <c r="I3838" t="s">
        <v>38</v>
      </c>
      <c r="J3838" t="s">
        <v>39</v>
      </c>
      <c r="K3838" t="s">
        <v>48</v>
      </c>
      <c r="L3838" t="s">
        <v>49</v>
      </c>
      <c r="M3838" t="s">
        <v>140</v>
      </c>
      <c r="N3838">
        <v>1062</v>
      </c>
      <c r="O3838">
        <v>6.819364E-2</v>
      </c>
      <c r="P3838">
        <v>9.0179189999999992E-3</v>
      </c>
      <c r="Q3838" t="str">
        <f t="shared" si="118"/>
        <v>15-24</v>
      </c>
      <c r="R3838" t="str">
        <f t="shared" si="119"/>
        <v>[U8c0so51kT6]|15-24|Male|DIAGNOSED_SUBNAT_Attend.T_1|CY2024Q3</v>
      </c>
    </row>
    <row r="3839" spans="4:18" x14ac:dyDescent="0.2">
      <c r="D3839" t="s">
        <v>129</v>
      </c>
      <c r="E3839" t="s">
        <v>130</v>
      </c>
      <c r="F3839" t="s">
        <v>131</v>
      </c>
      <c r="G3839" t="s">
        <v>152</v>
      </c>
      <c r="H3839" t="s">
        <v>152</v>
      </c>
      <c r="I3839" t="s">
        <v>41</v>
      </c>
      <c r="J3839" t="s">
        <v>42</v>
      </c>
      <c r="K3839" t="s">
        <v>48</v>
      </c>
      <c r="L3839" t="s">
        <v>49</v>
      </c>
      <c r="M3839" t="s">
        <v>140</v>
      </c>
      <c r="N3839">
        <v>1350</v>
      </c>
      <c r="O3839">
        <v>6.4805743999999998E-2</v>
      </c>
      <c r="P3839">
        <v>9.0179189999999992E-3</v>
      </c>
      <c r="Q3839" t="str">
        <f t="shared" si="118"/>
        <v>25-34</v>
      </c>
      <c r="R3839" t="str">
        <f t="shared" si="119"/>
        <v>[U8c0so51kT6]|25-34|Male|DIAGNOSED_SUBNAT_Attend.T_1|CY2024Q3</v>
      </c>
    </row>
    <row r="3840" spans="4:18" x14ac:dyDescent="0.2">
      <c r="D3840" t="s">
        <v>129</v>
      </c>
      <c r="E3840" t="s">
        <v>130</v>
      </c>
      <c r="F3840" t="s">
        <v>131</v>
      </c>
      <c r="G3840" t="s">
        <v>152</v>
      </c>
      <c r="H3840" t="s">
        <v>152</v>
      </c>
      <c r="I3840" t="s">
        <v>43</v>
      </c>
      <c r="J3840" t="s">
        <v>44</v>
      </c>
      <c r="K3840" t="s">
        <v>48</v>
      </c>
      <c r="L3840" t="s">
        <v>49</v>
      </c>
      <c r="M3840" t="s">
        <v>140</v>
      </c>
      <c r="N3840">
        <v>5205</v>
      </c>
      <c r="O3840">
        <v>2.9335177E-2</v>
      </c>
      <c r="P3840">
        <v>9.0179189999999992E-3</v>
      </c>
      <c r="Q3840" t="str">
        <f t="shared" si="118"/>
        <v>35-49</v>
      </c>
      <c r="R3840" t="str">
        <f t="shared" si="119"/>
        <v>[U8c0so51kT6]|35-49|Male|DIAGNOSED_SUBNAT_Attend.T_1|CY2024Q3</v>
      </c>
    </row>
    <row r="3841" spans="4:18" x14ac:dyDescent="0.2">
      <c r="D3841" t="s">
        <v>129</v>
      </c>
      <c r="E3841" t="s">
        <v>130</v>
      </c>
      <c r="F3841" t="s">
        <v>131</v>
      </c>
      <c r="G3841" t="s">
        <v>152</v>
      </c>
      <c r="H3841" t="s">
        <v>152</v>
      </c>
      <c r="I3841" t="s">
        <v>45</v>
      </c>
      <c r="J3841" t="s">
        <v>46</v>
      </c>
      <c r="K3841" t="s">
        <v>48</v>
      </c>
      <c r="L3841" t="s">
        <v>49</v>
      </c>
      <c r="M3841" t="s">
        <v>140</v>
      </c>
      <c r="N3841">
        <v>3930</v>
      </c>
      <c r="O3841">
        <v>3.4688796000000001E-2</v>
      </c>
      <c r="P3841">
        <v>9.0179189999999992E-3</v>
      </c>
      <c r="Q3841" t="str">
        <f t="shared" si="118"/>
        <v>50+</v>
      </c>
      <c r="R3841" t="str">
        <f t="shared" si="119"/>
        <v>[U8c0so51kT6]|50+|Male|DIAGNOSED_SUBNAT_Attend.T_1|CY2024Q3</v>
      </c>
    </row>
    <row r="3842" spans="4:18" x14ac:dyDescent="0.2">
      <c r="D3842" t="s">
        <v>132</v>
      </c>
      <c r="E3842" t="s">
        <v>133</v>
      </c>
      <c r="F3842" t="s">
        <v>134</v>
      </c>
      <c r="G3842" t="s">
        <v>152</v>
      </c>
      <c r="H3842" t="s">
        <v>152</v>
      </c>
      <c r="I3842" t="s">
        <v>28</v>
      </c>
      <c r="J3842" t="s">
        <v>29</v>
      </c>
      <c r="K3842" t="s">
        <v>30</v>
      </c>
      <c r="L3842" t="s">
        <v>31</v>
      </c>
      <c r="M3842" t="s">
        <v>140</v>
      </c>
      <c r="N3842">
        <v>12</v>
      </c>
      <c r="O3842">
        <v>3.3372255000000003E-2</v>
      </c>
      <c r="P3842">
        <v>1.7086693E-2</v>
      </c>
      <c r="Q3842" t="str">
        <f t="shared" si="118"/>
        <v>&lt;01</v>
      </c>
      <c r="R3842" t="str">
        <f t="shared" si="119"/>
        <v>[rpw540fmNUz]|&lt;01|Female|DIAGNOSED_SUBNAT_Attend.T_1|CY2024Q3</v>
      </c>
    </row>
    <row r="3843" spans="4:18" x14ac:dyDescent="0.2">
      <c r="D3843" t="s">
        <v>132</v>
      </c>
      <c r="E3843" t="s">
        <v>133</v>
      </c>
      <c r="F3843" t="s">
        <v>134</v>
      </c>
      <c r="G3843" t="s">
        <v>152</v>
      </c>
      <c r="H3843" t="s">
        <v>152</v>
      </c>
      <c r="I3843" t="s">
        <v>36</v>
      </c>
      <c r="J3843" t="s">
        <v>37</v>
      </c>
      <c r="K3843" t="s">
        <v>30</v>
      </c>
      <c r="L3843" t="s">
        <v>31</v>
      </c>
      <c r="M3843" t="s">
        <v>140</v>
      </c>
      <c r="N3843">
        <v>325</v>
      </c>
      <c r="O3843">
        <v>2.7964616000000001E-2</v>
      </c>
      <c r="P3843">
        <v>1.7086693E-2</v>
      </c>
      <c r="Q3843" t="str">
        <f t="shared" ref="Q3843:Q3906" si="120">SUBSTITUTE(SUBSTITUTE($I3843,CHAR(61),""),CHAR(34),"")</f>
        <v>10-14</v>
      </c>
      <c r="R3843" t="str">
        <f t="shared" ref="R3843:R3906" si="121">IF($D3843&lt;&gt;"","["&amp;$E3843&amp;"]"&amp;"|"&amp;$Q3843&amp;"|"&amp;$K3843&amp;"|"&amp;$G3843&amp;"|"&amp;IF($G3843="TX_CURR_SUBNAT.R","CY2023Q4",$M3843),"")</f>
        <v>[rpw540fmNUz]|10-14|Female|DIAGNOSED_SUBNAT_Attend.T_1|CY2024Q3</v>
      </c>
    </row>
    <row r="3844" spans="4:18" x14ac:dyDescent="0.2">
      <c r="D3844" t="s">
        <v>132</v>
      </c>
      <c r="E3844" t="s">
        <v>133</v>
      </c>
      <c r="F3844" t="s">
        <v>134</v>
      </c>
      <c r="G3844" t="s">
        <v>152</v>
      </c>
      <c r="H3844" t="s">
        <v>152</v>
      </c>
      <c r="I3844" t="s">
        <v>38</v>
      </c>
      <c r="J3844" t="s">
        <v>39</v>
      </c>
      <c r="K3844" t="s">
        <v>30</v>
      </c>
      <c r="L3844" t="s">
        <v>31</v>
      </c>
      <c r="M3844" t="s">
        <v>140</v>
      </c>
      <c r="N3844">
        <v>1204</v>
      </c>
      <c r="O3844">
        <v>6.1818781000000003E-2</v>
      </c>
      <c r="P3844">
        <v>1.7086693E-2</v>
      </c>
      <c r="Q3844" t="str">
        <f t="shared" si="120"/>
        <v>15-24</v>
      </c>
      <c r="R3844" t="str">
        <f t="shared" si="121"/>
        <v>[rpw540fmNUz]|15-24|Female|DIAGNOSED_SUBNAT_Attend.T_1|CY2024Q3</v>
      </c>
    </row>
    <row r="3845" spans="4:18" x14ac:dyDescent="0.2">
      <c r="D3845" t="s">
        <v>132</v>
      </c>
      <c r="E3845" t="s">
        <v>133</v>
      </c>
      <c r="F3845" t="s">
        <v>134</v>
      </c>
      <c r="G3845" t="s">
        <v>152</v>
      </c>
      <c r="H3845" t="s">
        <v>152</v>
      </c>
      <c r="I3845" t="s">
        <v>41</v>
      </c>
      <c r="J3845" t="s">
        <v>42</v>
      </c>
      <c r="K3845" t="s">
        <v>30</v>
      </c>
      <c r="L3845" t="s">
        <v>31</v>
      </c>
      <c r="M3845" t="s">
        <v>140</v>
      </c>
      <c r="N3845">
        <v>3004</v>
      </c>
      <c r="O3845">
        <v>3.8044119000000001E-2</v>
      </c>
      <c r="P3845">
        <v>1.7086693E-2</v>
      </c>
      <c r="Q3845" t="str">
        <f t="shared" si="120"/>
        <v>25-34</v>
      </c>
      <c r="R3845" t="str">
        <f t="shared" si="121"/>
        <v>[rpw540fmNUz]|25-34|Female|DIAGNOSED_SUBNAT_Attend.T_1|CY2024Q3</v>
      </c>
    </row>
    <row r="3846" spans="4:18" x14ac:dyDescent="0.2">
      <c r="D3846" t="s">
        <v>132</v>
      </c>
      <c r="E3846" t="s">
        <v>133</v>
      </c>
      <c r="F3846" t="s">
        <v>134</v>
      </c>
      <c r="G3846" t="s">
        <v>152</v>
      </c>
      <c r="H3846" t="s">
        <v>152</v>
      </c>
      <c r="I3846" t="s">
        <v>43</v>
      </c>
      <c r="J3846" t="s">
        <v>44</v>
      </c>
      <c r="K3846" t="s">
        <v>30</v>
      </c>
      <c r="L3846" t="s">
        <v>31</v>
      </c>
      <c r="M3846" t="s">
        <v>140</v>
      </c>
      <c r="N3846">
        <v>7214</v>
      </c>
      <c r="O3846">
        <v>2.6533956000000001E-2</v>
      </c>
      <c r="P3846">
        <v>1.7086693E-2</v>
      </c>
      <c r="Q3846" t="str">
        <f t="shared" si="120"/>
        <v>35-49</v>
      </c>
      <c r="R3846" t="str">
        <f t="shared" si="121"/>
        <v>[rpw540fmNUz]|35-49|Female|DIAGNOSED_SUBNAT_Attend.T_1|CY2024Q3</v>
      </c>
    </row>
    <row r="3847" spans="4:18" x14ac:dyDescent="0.2">
      <c r="D3847" t="s">
        <v>132</v>
      </c>
      <c r="E3847" t="s">
        <v>133</v>
      </c>
      <c r="F3847" t="s">
        <v>134</v>
      </c>
      <c r="G3847" t="s">
        <v>152</v>
      </c>
      <c r="H3847" t="s">
        <v>152</v>
      </c>
      <c r="I3847" t="s">
        <v>45</v>
      </c>
      <c r="J3847" t="s">
        <v>46</v>
      </c>
      <c r="K3847" t="s">
        <v>30</v>
      </c>
      <c r="L3847" t="s">
        <v>31</v>
      </c>
      <c r="M3847" t="s">
        <v>140</v>
      </c>
      <c r="N3847">
        <v>3742</v>
      </c>
      <c r="O3847">
        <v>3.7632856999999999E-2</v>
      </c>
      <c r="P3847">
        <v>1.7086693E-2</v>
      </c>
      <c r="Q3847" t="str">
        <f t="shared" si="120"/>
        <v>50+</v>
      </c>
      <c r="R3847" t="str">
        <f t="shared" si="121"/>
        <v>[rpw540fmNUz]|50+|Female|DIAGNOSED_SUBNAT_Attend.T_1|CY2024Q3</v>
      </c>
    </row>
    <row r="3848" spans="4:18" x14ac:dyDescent="0.2">
      <c r="D3848" t="s">
        <v>132</v>
      </c>
      <c r="E3848" t="s">
        <v>133</v>
      </c>
      <c r="F3848" t="s">
        <v>134</v>
      </c>
      <c r="G3848" t="s">
        <v>152</v>
      </c>
      <c r="H3848" t="s">
        <v>152</v>
      </c>
      <c r="I3848" t="s">
        <v>28</v>
      </c>
      <c r="J3848" t="s">
        <v>29</v>
      </c>
      <c r="K3848" t="s">
        <v>48</v>
      </c>
      <c r="L3848" t="s">
        <v>49</v>
      </c>
      <c r="M3848" t="s">
        <v>140</v>
      </c>
      <c r="N3848">
        <v>12</v>
      </c>
      <c r="O3848">
        <v>2.3233851E-2</v>
      </c>
      <c r="P3848">
        <v>1.7086693E-2</v>
      </c>
      <c r="Q3848" t="str">
        <f t="shared" si="120"/>
        <v>&lt;01</v>
      </c>
      <c r="R3848" t="str">
        <f t="shared" si="121"/>
        <v>[rpw540fmNUz]|&lt;01|Male|DIAGNOSED_SUBNAT_Attend.T_1|CY2024Q3</v>
      </c>
    </row>
    <row r="3849" spans="4:18" x14ac:dyDescent="0.2">
      <c r="D3849" t="s">
        <v>132</v>
      </c>
      <c r="E3849" t="s">
        <v>133</v>
      </c>
      <c r="F3849" t="s">
        <v>134</v>
      </c>
      <c r="G3849" t="s">
        <v>152</v>
      </c>
      <c r="H3849" t="s">
        <v>152</v>
      </c>
      <c r="I3849" t="s">
        <v>36</v>
      </c>
      <c r="J3849" t="s">
        <v>37</v>
      </c>
      <c r="K3849" t="s">
        <v>48</v>
      </c>
      <c r="L3849" t="s">
        <v>49</v>
      </c>
      <c r="M3849" t="s">
        <v>140</v>
      </c>
      <c r="N3849">
        <v>314</v>
      </c>
      <c r="O3849">
        <v>2.9537402000000001E-2</v>
      </c>
      <c r="P3849">
        <v>1.7086693E-2</v>
      </c>
      <c r="Q3849" t="str">
        <f t="shared" si="120"/>
        <v>10-14</v>
      </c>
      <c r="R3849" t="str">
        <f t="shared" si="121"/>
        <v>[rpw540fmNUz]|10-14|Male|DIAGNOSED_SUBNAT_Attend.T_1|CY2024Q3</v>
      </c>
    </row>
    <row r="3850" spans="4:18" x14ac:dyDescent="0.2">
      <c r="D3850" t="s">
        <v>132</v>
      </c>
      <c r="E3850" t="s">
        <v>133</v>
      </c>
      <c r="F3850" t="s">
        <v>134</v>
      </c>
      <c r="G3850" t="s">
        <v>152</v>
      </c>
      <c r="H3850" t="s">
        <v>152</v>
      </c>
      <c r="I3850" t="s">
        <v>38</v>
      </c>
      <c r="J3850" t="s">
        <v>39</v>
      </c>
      <c r="K3850" t="s">
        <v>48</v>
      </c>
      <c r="L3850" t="s">
        <v>49</v>
      </c>
      <c r="M3850" t="s">
        <v>140</v>
      </c>
      <c r="N3850">
        <v>780</v>
      </c>
      <c r="O3850">
        <v>6.6516961999999999E-2</v>
      </c>
      <c r="P3850">
        <v>1.7086693E-2</v>
      </c>
      <c r="Q3850" t="str">
        <f t="shared" si="120"/>
        <v>15-24</v>
      </c>
      <c r="R3850" t="str">
        <f t="shared" si="121"/>
        <v>[rpw540fmNUz]|15-24|Male|DIAGNOSED_SUBNAT_Attend.T_1|CY2024Q3</v>
      </c>
    </row>
    <row r="3851" spans="4:18" x14ac:dyDescent="0.2">
      <c r="D3851" t="s">
        <v>132</v>
      </c>
      <c r="E3851" t="s">
        <v>133</v>
      </c>
      <c r="F3851" t="s">
        <v>134</v>
      </c>
      <c r="G3851" t="s">
        <v>152</v>
      </c>
      <c r="H3851" t="s">
        <v>152</v>
      </c>
      <c r="I3851" t="s">
        <v>41</v>
      </c>
      <c r="J3851" t="s">
        <v>42</v>
      </c>
      <c r="K3851" t="s">
        <v>48</v>
      </c>
      <c r="L3851" t="s">
        <v>49</v>
      </c>
      <c r="M3851" t="s">
        <v>140</v>
      </c>
      <c r="N3851">
        <v>886</v>
      </c>
      <c r="O3851">
        <v>6.6237466999999994E-2</v>
      </c>
      <c r="P3851">
        <v>1.7086693E-2</v>
      </c>
      <c r="Q3851" t="str">
        <f t="shared" si="120"/>
        <v>25-34</v>
      </c>
      <c r="R3851" t="str">
        <f t="shared" si="121"/>
        <v>[rpw540fmNUz]|25-34|Male|DIAGNOSED_SUBNAT_Attend.T_1|CY2024Q3</v>
      </c>
    </row>
    <row r="3852" spans="4:18" x14ac:dyDescent="0.2">
      <c r="D3852" t="s">
        <v>132</v>
      </c>
      <c r="E3852" t="s">
        <v>133</v>
      </c>
      <c r="F3852" t="s">
        <v>134</v>
      </c>
      <c r="G3852" t="s">
        <v>152</v>
      </c>
      <c r="H3852" t="s">
        <v>152</v>
      </c>
      <c r="I3852" t="s">
        <v>43</v>
      </c>
      <c r="J3852" t="s">
        <v>44</v>
      </c>
      <c r="K3852" t="s">
        <v>48</v>
      </c>
      <c r="L3852" t="s">
        <v>49</v>
      </c>
      <c r="M3852" t="s">
        <v>140</v>
      </c>
      <c r="N3852">
        <v>3332</v>
      </c>
      <c r="O3852">
        <v>3.4971879999999997E-2</v>
      </c>
      <c r="P3852">
        <v>1.7086693E-2</v>
      </c>
      <c r="Q3852" t="str">
        <f t="shared" si="120"/>
        <v>35-49</v>
      </c>
      <c r="R3852" t="str">
        <f t="shared" si="121"/>
        <v>[rpw540fmNUz]|35-49|Male|DIAGNOSED_SUBNAT_Attend.T_1|CY2024Q3</v>
      </c>
    </row>
    <row r="3853" spans="4:18" x14ac:dyDescent="0.2">
      <c r="D3853" t="s">
        <v>132</v>
      </c>
      <c r="E3853" t="s">
        <v>133</v>
      </c>
      <c r="F3853" t="s">
        <v>134</v>
      </c>
      <c r="G3853" t="s">
        <v>152</v>
      </c>
      <c r="H3853" t="s">
        <v>152</v>
      </c>
      <c r="I3853" t="s">
        <v>45</v>
      </c>
      <c r="J3853" t="s">
        <v>46</v>
      </c>
      <c r="K3853" t="s">
        <v>48</v>
      </c>
      <c r="L3853" t="s">
        <v>49</v>
      </c>
      <c r="M3853" t="s">
        <v>140</v>
      </c>
      <c r="N3853">
        <v>2644</v>
      </c>
      <c r="O3853">
        <v>3.736623E-2</v>
      </c>
      <c r="P3853">
        <v>1.7086693E-2</v>
      </c>
      <c r="Q3853" t="str">
        <f t="shared" si="120"/>
        <v>50+</v>
      </c>
      <c r="R3853" t="str">
        <f t="shared" si="121"/>
        <v>[rpw540fmNUz]|50+|Male|DIAGNOSED_SUBNAT_Attend.T_1|CY2024Q3</v>
      </c>
    </row>
    <row r="3854" spans="4:18" x14ac:dyDescent="0.2">
      <c r="D3854" t="s">
        <v>135</v>
      </c>
      <c r="E3854" t="s">
        <v>136</v>
      </c>
      <c r="F3854" t="s">
        <v>137</v>
      </c>
      <c r="G3854" t="s">
        <v>152</v>
      </c>
      <c r="H3854" t="s">
        <v>152</v>
      </c>
      <c r="I3854" t="s">
        <v>28</v>
      </c>
      <c r="J3854" t="s">
        <v>29</v>
      </c>
      <c r="K3854" t="s">
        <v>30</v>
      </c>
      <c r="L3854" t="s">
        <v>31</v>
      </c>
      <c r="M3854" t="s">
        <v>140</v>
      </c>
      <c r="N3854">
        <v>4</v>
      </c>
      <c r="O3854">
        <v>5.4208565E-2</v>
      </c>
      <c r="P3854">
        <v>1.5332247E-2</v>
      </c>
      <c r="Q3854" t="str">
        <f t="shared" si="120"/>
        <v>&lt;01</v>
      </c>
      <c r="R3854" t="str">
        <f t="shared" si="121"/>
        <v>[gwVYinjBAe9]|&lt;01|Female|DIAGNOSED_SUBNAT_Attend.T_1|CY2024Q3</v>
      </c>
    </row>
    <row r="3855" spans="4:18" x14ac:dyDescent="0.2">
      <c r="D3855" t="s">
        <v>135</v>
      </c>
      <c r="E3855" t="s">
        <v>136</v>
      </c>
      <c r="F3855" t="s">
        <v>137</v>
      </c>
      <c r="G3855" t="s">
        <v>152</v>
      </c>
      <c r="H3855" t="s">
        <v>152</v>
      </c>
      <c r="I3855" t="s">
        <v>36</v>
      </c>
      <c r="J3855" t="s">
        <v>37</v>
      </c>
      <c r="K3855" t="s">
        <v>30</v>
      </c>
      <c r="L3855" t="s">
        <v>31</v>
      </c>
      <c r="M3855" t="s">
        <v>140</v>
      </c>
      <c r="N3855">
        <v>97</v>
      </c>
      <c r="O3855">
        <v>4.4383921E-2</v>
      </c>
      <c r="P3855">
        <v>1.5332247E-2</v>
      </c>
      <c r="Q3855" t="str">
        <f t="shared" si="120"/>
        <v>10-14</v>
      </c>
      <c r="R3855" t="str">
        <f t="shared" si="121"/>
        <v>[gwVYinjBAe9]|10-14|Female|DIAGNOSED_SUBNAT_Attend.T_1|CY2024Q3</v>
      </c>
    </row>
    <row r="3856" spans="4:18" x14ac:dyDescent="0.2">
      <c r="D3856" t="s">
        <v>135</v>
      </c>
      <c r="E3856" t="s">
        <v>136</v>
      </c>
      <c r="F3856" t="s">
        <v>137</v>
      </c>
      <c r="G3856" t="s">
        <v>152</v>
      </c>
      <c r="H3856" t="s">
        <v>152</v>
      </c>
      <c r="I3856" t="s">
        <v>38</v>
      </c>
      <c r="J3856" t="s">
        <v>39</v>
      </c>
      <c r="K3856" t="s">
        <v>30</v>
      </c>
      <c r="L3856" t="s">
        <v>31</v>
      </c>
      <c r="M3856" t="s">
        <v>140</v>
      </c>
      <c r="N3856">
        <v>441</v>
      </c>
      <c r="O3856">
        <v>6.1092175999999998E-2</v>
      </c>
      <c r="P3856">
        <v>1.5332247E-2</v>
      </c>
      <c r="Q3856" t="str">
        <f t="shared" si="120"/>
        <v>15-24</v>
      </c>
      <c r="R3856" t="str">
        <f t="shared" si="121"/>
        <v>[gwVYinjBAe9]|15-24|Female|DIAGNOSED_SUBNAT_Attend.T_1|CY2024Q3</v>
      </c>
    </row>
    <row r="3857" spans="4:18" x14ac:dyDescent="0.2">
      <c r="D3857" t="s">
        <v>135</v>
      </c>
      <c r="E3857" t="s">
        <v>136</v>
      </c>
      <c r="F3857" t="s">
        <v>137</v>
      </c>
      <c r="G3857" t="s">
        <v>152</v>
      </c>
      <c r="H3857" t="s">
        <v>152</v>
      </c>
      <c r="I3857" t="s">
        <v>41</v>
      </c>
      <c r="J3857" t="s">
        <v>42</v>
      </c>
      <c r="K3857" t="s">
        <v>30</v>
      </c>
      <c r="L3857" t="s">
        <v>31</v>
      </c>
      <c r="M3857" t="s">
        <v>140</v>
      </c>
      <c r="N3857">
        <v>1102</v>
      </c>
      <c r="O3857">
        <v>3.8082339999999999E-2</v>
      </c>
      <c r="P3857">
        <v>1.5332247E-2</v>
      </c>
      <c r="Q3857" t="str">
        <f t="shared" si="120"/>
        <v>25-34</v>
      </c>
      <c r="R3857" t="str">
        <f t="shared" si="121"/>
        <v>[gwVYinjBAe9]|25-34|Female|DIAGNOSED_SUBNAT_Attend.T_1|CY2024Q3</v>
      </c>
    </row>
    <row r="3858" spans="4:18" x14ac:dyDescent="0.2">
      <c r="D3858" t="s">
        <v>135</v>
      </c>
      <c r="E3858" t="s">
        <v>136</v>
      </c>
      <c r="F3858" t="s">
        <v>137</v>
      </c>
      <c r="G3858" t="s">
        <v>152</v>
      </c>
      <c r="H3858" t="s">
        <v>152</v>
      </c>
      <c r="I3858" t="s">
        <v>43</v>
      </c>
      <c r="J3858" t="s">
        <v>44</v>
      </c>
      <c r="K3858" t="s">
        <v>30</v>
      </c>
      <c r="L3858" t="s">
        <v>31</v>
      </c>
      <c r="M3858" t="s">
        <v>140</v>
      </c>
      <c r="N3858">
        <v>2842</v>
      </c>
      <c r="O3858">
        <v>2.4385878E-2</v>
      </c>
      <c r="P3858">
        <v>1.5332247E-2</v>
      </c>
      <c r="Q3858" t="str">
        <f t="shared" si="120"/>
        <v>35-49</v>
      </c>
      <c r="R3858" t="str">
        <f t="shared" si="121"/>
        <v>[gwVYinjBAe9]|35-49|Female|DIAGNOSED_SUBNAT_Attend.T_1|CY2024Q3</v>
      </c>
    </row>
    <row r="3859" spans="4:18" x14ac:dyDescent="0.2">
      <c r="D3859" t="s">
        <v>135</v>
      </c>
      <c r="E3859" t="s">
        <v>136</v>
      </c>
      <c r="F3859" t="s">
        <v>137</v>
      </c>
      <c r="G3859" t="s">
        <v>152</v>
      </c>
      <c r="H3859" t="s">
        <v>152</v>
      </c>
      <c r="I3859" t="s">
        <v>45</v>
      </c>
      <c r="J3859" t="s">
        <v>46</v>
      </c>
      <c r="K3859" t="s">
        <v>30</v>
      </c>
      <c r="L3859" t="s">
        <v>31</v>
      </c>
      <c r="M3859" t="s">
        <v>140</v>
      </c>
      <c r="N3859">
        <v>1366</v>
      </c>
      <c r="O3859">
        <v>3.9964202999999997E-2</v>
      </c>
      <c r="P3859">
        <v>1.5332247E-2</v>
      </c>
      <c r="Q3859" t="str">
        <f t="shared" si="120"/>
        <v>50+</v>
      </c>
      <c r="R3859" t="str">
        <f t="shared" si="121"/>
        <v>[gwVYinjBAe9]|50+|Female|DIAGNOSED_SUBNAT_Attend.T_1|CY2024Q3</v>
      </c>
    </row>
    <row r="3860" spans="4:18" x14ac:dyDescent="0.2">
      <c r="D3860" t="s">
        <v>135</v>
      </c>
      <c r="E3860" t="s">
        <v>136</v>
      </c>
      <c r="F3860" t="s">
        <v>137</v>
      </c>
      <c r="G3860" t="s">
        <v>152</v>
      </c>
      <c r="H3860" t="s">
        <v>152</v>
      </c>
      <c r="I3860" t="s">
        <v>28</v>
      </c>
      <c r="J3860" t="s">
        <v>29</v>
      </c>
      <c r="K3860" t="s">
        <v>48</v>
      </c>
      <c r="L3860" t="s">
        <v>49</v>
      </c>
      <c r="M3860" t="s">
        <v>140</v>
      </c>
      <c r="N3860">
        <v>4</v>
      </c>
      <c r="O3860">
        <v>3.9699064999999999E-2</v>
      </c>
      <c r="P3860">
        <v>1.5332247E-2</v>
      </c>
      <c r="Q3860" t="str">
        <f t="shared" si="120"/>
        <v>&lt;01</v>
      </c>
      <c r="R3860" t="str">
        <f t="shared" si="121"/>
        <v>[gwVYinjBAe9]|&lt;01|Male|DIAGNOSED_SUBNAT_Attend.T_1|CY2024Q3</v>
      </c>
    </row>
    <row r="3861" spans="4:18" x14ac:dyDescent="0.2">
      <c r="D3861" t="s">
        <v>135</v>
      </c>
      <c r="E3861" t="s">
        <v>136</v>
      </c>
      <c r="F3861" t="s">
        <v>137</v>
      </c>
      <c r="G3861" t="s">
        <v>152</v>
      </c>
      <c r="H3861" t="s">
        <v>152</v>
      </c>
      <c r="I3861" t="s">
        <v>36</v>
      </c>
      <c r="J3861" t="s">
        <v>37</v>
      </c>
      <c r="K3861" t="s">
        <v>48</v>
      </c>
      <c r="L3861" t="s">
        <v>49</v>
      </c>
      <c r="M3861" t="s">
        <v>140</v>
      </c>
      <c r="N3861">
        <v>102</v>
      </c>
      <c r="O3861">
        <v>3.7802450000000001E-2</v>
      </c>
      <c r="P3861">
        <v>1.5332247E-2</v>
      </c>
      <c r="Q3861" t="str">
        <f t="shared" si="120"/>
        <v>10-14</v>
      </c>
      <c r="R3861" t="str">
        <f t="shared" si="121"/>
        <v>[gwVYinjBAe9]|10-14|Male|DIAGNOSED_SUBNAT_Attend.T_1|CY2024Q3</v>
      </c>
    </row>
    <row r="3862" spans="4:18" x14ac:dyDescent="0.2">
      <c r="D3862" t="s">
        <v>135</v>
      </c>
      <c r="E3862" t="s">
        <v>136</v>
      </c>
      <c r="F3862" t="s">
        <v>137</v>
      </c>
      <c r="G3862" t="s">
        <v>152</v>
      </c>
      <c r="H3862" t="s">
        <v>152</v>
      </c>
      <c r="I3862" t="s">
        <v>38</v>
      </c>
      <c r="J3862" t="s">
        <v>39</v>
      </c>
      <c r="K3862" t="s">
        <v>48</v>
      </c>
      <c r="L3862" t="s">
        <v>49</v>
      </c>
      <c r="M3862" t="s">
        <v>140</v>
      </c>
      <c r="N3862">
        <v>301</v>
      </c>
      <c r="O3862">
        <v>6.7185131999999995E-2</v>
      </c>
      <c r="P3862">
        <v>1.5332247E-2</v>
      </c>
      <c r="Q3862" t="str">
        <f t="shared" si="120"/>
        <v>15-24</v>
      </c>
      <c r="R3862" t="str">
        <f t="shared" si="121"/>
        <v>[gwVYinjBAe9]|15-24|Male|DIAGNOSED_SUBNAT_Attend.T_1|CY2024Q3</v>
      </c>
    </row>
    <row r="3863" spans="4:18" x14ac:dyDescent="0.2">
      <c r="D3863" t="s">
        <v>135</v>
      </c>
      <c r="E3863" t="s">
        <v>136</v>
      </c>
      <c r="F3863" t="s">
        <v>137</v>
      </c>
      <c r="G3863" t="s">
        <v>152</v>
      </c>
      <c r="H3863" t="s">
        <v>152</v>
      </c>
      <c r="I3863" t="s">
        <v>41</v>
      </c>
      <c r="J3863" t="s">
        <v>42</v>
      </c>
      <c r="K3863" t="s">
        <v>48</v>
      </c>
      <c r="L3863" t="s">
        <v>49</v>
      </c>
      <c r="M3863" t="s">
        <v>140</v>
      </c>
      <c r="N3863">
        <v>362</v>
      </c>
      <c r="O3863">
        <v>6.5662103999999999E-2</v>
      </c>
      <c r="P3863">
        <v>1.5332247E-2</v>
      </c>
      <c r="Q3863" t="str">
        <f t="shared" si="120"/>
        <v>25-34</v>
      </c>
      <c r="R3863" t="str">
        <f t="shared" si="121"/>
        <v>[gwVYinjBAe9]|25-34|Male|DIAGNOSED_SUBNAT_Attend.T_1|CY2024Q3</v>
      </c>
    </row>
    <row r="3864" spans="4:18" x14ac:dyDescent="0.2">
      <c r="D3864" t="s">
        <v>135</v>
      </c>
      <c r="E3864" t="s">
        <v>136</v>
      </c>
      <c r="F3864" t="s">
        <v>137</v>
      </c>
      <c r="G3864" t="s">
        <v>152</v>
      </c>
      <c r="H3864" t="s">
        <v>152</v>
      </c>
      <c r="I3864" t="s">
        <v>43</v>
      </c>
      <c r="J3864" t="s">
        <v>44</v>
      </c>
      <c r="K3864" t="s">
        <v>48</v>
      </c>
      <c r="L3864" t="s">
        <v>49</v>
      </c>
      <c r="M3864" t="s">
        <v>140</v>
      </c>
      <c r="N3864">
        <v>1357</v>
      </c>
      <c r="O3864">
        <v>3.3592818000000003E-2</v>
      </c>
      <c r="P3864">
        <v>1.5332247E-2</v>
      </c>
      <c r="Q3864" t="str">
        <f t="shared" si="120"/>
        <v>35-49</v>
      </c>
      <c r="R3864" t="str">
        <f t="shared" si="121"/>
        <v>[gwVYinjBAe9]|35-49|Male|DIAGNOSED_SUBNAT_Attend.T_1|CY2024Q3</v>
      </c>
    </row>
    <row r="3865" spans="4:18" x14ac:dyDescent="0.2">
      <c r="D3865" t="s">
        <v>135</v>
      </c>
      <c r="E3865" t="s">
        <v>136</v>
      </c>
      <c r="F3865" t="s">
        <v>137</v>
      </c>
      <c r="G3865" t="s">
        <v>152</v>
      </c>
      <c r="H3865" t="s">
        <v>152</v>
      </c>
      <c r="I3865" t="s">
        <v>45</v>
      </c>
      <c r="J3865" t="s">
        <v>46</v>
      </c>
      <c r="K3865" t="s">
        <v>48</v>
      </c>
      <c r="L3865" t="s">
        <v>49</v>
      </c>
      <c r="M3865" t="s">
        <v>140</v>
      </c>
      <c r="N3865">
        <v>1049</v>
      </c>
      <c r="O3865">
        <v>3.9246147000000002E-2</v>
      </c>
      <c r="P3865">
        <v>1.5332247E-2</v>
      </c>
      <c r="Q3865" t="str">
        <f t="shared" si="120"/>
        <v>50+</v>
      </c>
      <c r="R3865" t="str">
        <f t="shared" si="121"/>
        <v>[gwVYinjBAe9]|50+|Male|DIAGNOSED_SUBNAT_Attend.T_1|CY2024Q3</v>
      </c>
    </row>
    <row r="3866" spans="4:18" x14ac:dyDescent="0.2">
      <c r="D3866" t="s">
        <v>23</v>
      </c>
      <c r="E3866" t="s">
        <v>24</v>
      </c>
      <c r="F3866" t="s">
        <v>25</v>
      </c>
      <c r="G3866" t="s">
        <v>153</v>
      </c>
      <c r="H3866" t="s">
        <v>153</v>
      </c>
      <c r="I3866" t="s">
        <v>28</v>
      </c>
      <c r="J3866" t="s">
        <v>29</v>
      </c>
      <c r="K3866" t="s">
        <v>30</v>
      </c>
      <c r="L3866" t="s">
        <v>31</v>
      </c>
      <c r="M3866" t="s">
        <v>140</v>
      </c>
      <c r="N3866">
        <v>9.1201400000000005E-4</v>
      </c>
      <c r="O3866">
        <v>7.1915899000000005E-2</v>
      </c>
      <c r="P3866">
        <v>8.0570163E-2</v>
      </c>
      <c r="Q3866" t="str">
        <f t="shared" si="120"/>
        <v>&lt;01</v>
      </c>
      <c r="R3866" t="str">
        <f t="shared" si="121"/>
        <v>[GkIwZrXy1h2]|&lt;01|Female|Incidence_SUBNAT.Rt.T_1|CY2024Q3</v>
      </c>
    </row>
    <row r="3867" spans="4:18" x14ac:dyDescent="0.2">
      <c r="D3867" t="s">
        <v>23</v>
      </c>
      <c r="E3867" t="s">
        <v>24</v>
      </c>
      <c r="F3867" t="s">
        <v>25</v>
      </c>
      <c r="G3867" t="s">
        <v>153</v>
      </c>
      <c r="H3867" t="s">
        <v>153</v>
      </c>
      <c r="I3867" t="s">
        <v>33</v>
      </c>
      <c r="J3867" t="s">
        <v>34</v>
      </c>
      <c r="K3867" t="s">
        <v>30</v>
      </c>
      <c r="L3867" t="s">
        <v>31</v>
      </c>
      <c r="M3867" t="s">
        <v>140</v>
      </c>
      <c r="N3867" s="235" t="s">
        <v>154</v>
      </c>
      <c r="O3867">
        <v>3.5957949000000003E-2</v>
      </c>
      <c r="P3867">
        <v>8.0570163E-2</v>
      </c>
      <c r="Q3867" t="str">
        <f t="shared" si="120"/>
        <v>01-09</v>
      </c>
      <c r="R3867" t="str">
        <f t="shared" si="121"/>
        <v>[GkIwZrXy1h2]|01-09|Female|Incidence_SUBNAT.Rt.T_1|CY2024Q3</v>
      </c>
    </row>
    <row r="3868" spans="4:18" x14ac:dyDescent="0.2">
      <c r="D3868" t="s">
        <v>23</v>
      </c>
      <c r="E3868" t="s">
        <v>24</v>
      </c>
      <c r="F3868" t="s">
        <v>25</v>
      </c>
      <c r="G3868" t="s">
        <v>153</v>
      </c>
      <c r="H3868" t="s">
        <v>153</v>
      </c>
      <c r="I3868" t="s">
        <v>36</v>
      </c>
      <c r="J3868" t="s">
        <v>37</v>
      </c>
      <c r="K3868" t="s">
        <v>30</v>
      </c>
      <c r="L3868" t="s">
        <v>31</v>
      </c>
      <c r="M3868" t="s">
        <v>140</v>
      </c>
      <c r="N3868">
        <v>0</v>
      </c>
      <c r="O3868">
        <v>0</v>
      </c>
      <c r="P3868">
        <v>8.0570163E-2</v>
      </c>
      <c r="Q3868" t="str">
        <f t="shared" si="120"/>
        <v>10-14</v>
      </c>
      <c r="R3868" t="str">
        <f t="shared" si="121"/>
        <v>[GkIwZrXy1h2]|10-14|Female|Incidence_SUBNAT.Rt.T_1|CY2024Q3</v>
      </c>
    </row>
    <row r="3869" spans="4:18" x14ac:dyDescent="0.2">
      <c r="D3869" t="s">
        <v>23</v>
      </c>
      <c r="E3869" t="s">
        <v>24</v>
      </c>
      <c r="F3869" t="s">
        <v>25</v>
      </c>
      <c r="G3869" t="s">
        <v>153</v>
      </c>
      <c r="H3869" t="s">
        <v>153</v>
      </c>
      <c r="I3869" t="s">
        <v>38</v>
      </c>
      <c r="J3869" t="s">
        <v>39</v>
      </c>
      <c r="K3869" t="s">
        <v>30</v>
      </c>
      <c r="L3869" t="s">
        <v>31</v>
      </c>
      <c r="M3869" t="s">
        <v>140</v>
      </c>
      <c r="N3869">
        <v>5.4803000000000002E-4</v>
      </c>
      <c r="O3869">
        <v>8.3791436999999996E-2</v>
      </c>
      <c r="P3869">
        <v>8.0570163E-2</v>
      </c>
      <c r="Q3869" t="str">
        <f t="shared" si="120"/>
        <v>15-24</v>
      </c>
      <c r="R3869" t="str">
        <f t="shared" si="121"/>
        <v>[GkIwZrXy1h2]|15-24|Female|Incidence_SUBNAT.Rt.T_1|CY2024Q3</v>
      </c>
    </row>
    <row r="3870" spans="4:18" x14ac:dyDescent="0.2">
      <c r="D3870" t="s">
        <v>23</v>
      </c>
      <c r="E3870" t="s">
        <v>24</v>
      </c>
      <c r="F3870" t="s">
        <v>25</v>
      </c>
      <c r="G3870" t="s">
        <v>153</v>
      </c>
      <c r="H3870" t="s">
        <v>153</v>
      </c>
      <c r="I3870" t="s">
        <v>41</v>
      </c>
      <c r="J3870" t="s">
        <v>42</v>
      </c>
      <c r="K3870" t="s">
        <v>30</v>
      </c>
      <c r="L3870" t="s">
        <v>31</v>
      </c>
      <c r="M3870" t="s">
        <v>140</v>
      </c>
      <c r="N3870">
        <v>8.4919399999999995E-4</v>
      </c>
      <c r="O3870">
        <v>8.3974831999999999E-2</v>
      </c>
      <c r="P3870">
        <v>8.0570163E-2</v>
      </c>
      <c r="Q3870" t="str">
        <f t="shared" si="120"/>
        <v>25-34</v>
      </c>
      <c r="R3870" t="str">
        <f t="shared" si="121"/>
        <v>[GkIwZrXy1h2]|25-34|Female|Incidence_SUBNAT.Rt.T_1|CY2024Q3</v>
      </c>
    </row>
    <row r="3871" spans="4:18" x14ac:dyDescent="0.2">
      <c r="D3871" t="s">
        <v>23</v>
      </c>
      <c r="E3871" t="s">
        <v>24</v>
      </c>
      <c r="F3871" t="s">
        <v>25</v>
      </c>
      <c r="G3871" t="s">
        <v>153</v>
      </c>
      <c r="H3871" t="s">
        <v>153</v>
      </c>
      <c r="I3871" t="s">
        <v>43</v>
      </c>
      <c r="J3871" t="s">
        <v>44</v>
      </c>
      <c r="K3871" t="s">
        <v>30</v>
      </c>
      <c r="L3871" t="s">
        <v>31</v>
      </c>
      <c r="M3871" t="s">
        <v>140</v>
      </c>
      <c r="N3871">
        <v>4.6490700000000003E-4</v>
      </c>
      <c r="O3871">
        <v>8.4083454000000002E-2</v>
      </c>
      <c r="P3871">
        <v>8.0570163E-2</v>
      </c>
      <c r="Q3871" t="str">
        <f t="shared" si="120"/>
        <v>35-49</v>
      </c>
      <c r="R3871" t="str">
        <f t="shared" si="121"/>
        <v>[GkIwZrXy1h2]|35-49|Female|Incidence_SUBNAT.Rt.T_1|CY2024Q3</v>
      </c>
    </row>
    <row r="3872" spans="4:18" x14ac:dyDescent="0.2">
      <c r="D3872" t="s">
        <v>23</v>
      </c>
      <c r="E3872" t="s">
        <v>24</v>
      </c>
      <c r="F3872" t="s">
        <v>25</v>
      </c>
      <c r="G3872" t="s">
        <v>153</v>
      </c>
      <c r="H3872" t="s">
        <v>153</v>
      </c>
      <c r="I3872" t="s">
        <v>45</v>
      </c>
      <c r="J3872" t="s">
        <v>46</v>
      </c>
      <c r="K3872" t="s">
        <v>30</v>
      </c>
      <c r="L3872" t="s">
        <v>31</v>
      </c>
      <c r="M3872" t="s">
        <v>140</v>
      </c>
      <c r="N3872">
        <v>1.3471199999999999E-4</v>
      </c>
      <c r="O3872">
        <v>8.2776572000000007E-2</v>
      </c>
      <c r="P3872">
        <v>8.0570163E-2</v>
      </c>
      <c r="Q3872" t="str">
        <f t="shared" si="120"/>
        <v>50+</v>
      </c>
      <c r="R3872" t="str">
        <f t="shared" si="121"/>
        <v>[GkIwZrXy1h2]|50+|Female|Incidence_SUBNAT.Rt.T_1|CY2024Q3</v>
      </c>
    </row>
    <row r="3873" spans="4:18" x14ac:dyDescent="0.2">
      <c r="D3873" t="s">
        <v>23</v>
      </c>
      <c r="E3873" t="s">
        <v>24</v>
      </c>
      <c r="F3873" t="s">
        <v>25</v>
      </c>
      <c r="G3873" t="s">
        <v>153</v>
      </c>
      <c r="H3873" t="s">
        <v>153</v>
      </c>
      <c r="I3873" t="s">
        <v>28</v>
      </c>
      <c r="J3873" t="s">
        <v>29</v>
      </c>
      <c r="K3873" t="s">
        <v>48</v>
      </c>
      <c r="L3873" t="s">
        <v>49</v>
      </c>
      <c r="M3873" t="s">
        <v>140</v>
      </c>
      <c r="N3873">
        <v>9.1499099999999998E-4</v>
      </c>
      <c r="O3873">
        <v>7.1915911999999999E-2</v>
      </c>
      <c r="P3873">
        <v>8.0570163E-2</v>
      </c>
      <c r="Q3873" t="str">
        <f t="shared" si="120"/>
        <v>&lt;01</v>
      </c>
      <c r="R3873" t="str">
        <f t="shared" si="121"/>
        <v>[GkIwZrXy1h2]|&lt;01|Male|Incidence_SUBNAT.Rt.T_1|CY2024Q3</v>
      </c>
    </row>
    <row r="3874" spans="4:18" x14ac:dyDescent="0.2">
      <c r="D3874" t="s">
        <v>23</v>
      </c>
      <c r="E3874" t="s">
        <v>24</v>
      </c>
      <c r="F3874" t="s">
        <v>25</v>
      </c>
      <c r="G3874" t="s">
        <v>153</v>
      </c>
      <c r="H3874" t="s">
        <v>153</v>
      </c>
      <c r="I3874" t="s">
        <v>33</v>
      </c>
      <c r="J3874" t="s">
        <v>34</v>
      </c>
      <c r="K3874" t="s">
        <v>48</v>
      </c>
      <c r="L3874" t="s">
        <v>49</v>
      </c>
      <c r="M3874" t="s">
        <v>140</v>
      </c>
      <c r="N3874" s="235" t="s">
        <v>155</v>
      </c>
      <c r="O3874">
        <v>3.5957955999999999E-2</v>
      </c>
      <c r="P3874">
        <v>8.0570163E-2</v>
      </c>
      <c r="Q3874" t="str">
        <f t="shared" si="120"/>
        <v>01-09</v>
      </c>
      <c r="R3874" t="str">
        <f t="shared" si="121"/>
        <v>[GkIwZrXy1h2]|01-09|Male|Incidence_SUBNAT.Rt.T_1|CY2024Q3</v>
      </c>
    </row>
    <row r="3875" spans="4:18" x14ac:dyDescent="0.2">
      <c r="D3875" t="s">
        <v>23</v>
      </c>
      <c r="E3875" t="s">
        <v>24</v>
      </c>
      <c r="F3875" t="s">
        <v>25</v>
      </c>
      <c r="G3875" t="s">
        <v>153</v>
      </c>
      <c r="H3875" t="s">
        <v>153</v>
      </c>
      <c r="I3875" t="s">
        <v>36</v>
      </c>
      <c r="J3875" t="s">
        <v>37</v>
      </c>
      <c r="K3875" t="s">
        <v>48</v>
      </c>
      <c r="L3875" t="s">
        <v>49</v>
      </c>
      <c r="M3875" t="s">
        <v>140</v>
      </c>
      <c r="N3875">
        <v>0</v>
      </c>
      <c r="O3875">
        <v>0</v>
      </c>
      <c r="P3875">
        <v>8.0570163E-2</v>
      </c>
      <c r="Q3875" t="str">
        <f t="shared" si="120"/>
        <v>10-14</v>
      </c>
      <c r="R3875" t="str">
        <f t="shared" si="121"/>
        <v>[GkIwZrXy1h2]|10-14|Male|Incidence_SUBNAT.Rt.T_1|CY2024Q3</v>
      </c>
    </row>
    <row r="3876" spans="4:18" x14ac:dyDescent="0.2">
      <c r="D3876" t="s">
        <v>23</v>
      </c>
      <c r="E3876" t="s">
        <v>24</v>
      </c>
      <c r="F3876" t="s">
        <v>25</v>
      </c>
      <c r="G3876" t="s">
        <v>153</v>
      </c>
      <c r="H3876" t="s">
        <v>153</v>
      </c>
      <c r="I3876" t="s">
        <v>38</v>
      </c>
      <c r="J3876" t="s">
        <v>39</v>
      </c>
      <c r="K3876" t="s">
        <v>48</v>
      </c>
      <c r="L3876" t="s">
        <v>49</v>
      </c>
      <c r="M3876" t="s">
        <v>140</v>
      </c>
      <c r="N3876" s="235" t="s">
        <v>156</v>
      </c>
      <c r="O3876">
        <v>8.3883760000000002E-2</v>
      </c>
      <c r="P3876">
        <v>8.0570163E-2</v>
      </c>
      <c r="Q3876" t="str">
        <f t="shared" si="120"/>
        <v>15-24</v>
      </c>
      <c r="R3876" t="str">
        <f t="shared" si="121"/>
        <v>[GkIwZrXy1h2]|15-24|Male|Incidence_SUBNAT.Rt.T_1|CY2024Q3</v>
      </c>
    </row>
    <row r="3877" spans="4:18" x14ac:dyDescent="0.2">
      <c r="D3877" t="s">
        <v>23</v>
      </c>
      <c r="E3877" t="s">
        <v>24</v>
      </c>
      <c r="F3877" t="s">
        <v>25</v>
      </c>
      <c r="G3877" t="s">
        <v>153</v>
      </c>
      <c r="H3877" t="s">
        <v>153</v>
      </c>
      <c r="I3877" t="s">
        <v>41</v>
      </c>
      <c r="J3877" t="s">
        <v>42</v>
      </c>
      <c r="K3877" t="s">
        <v>48</v>
      </c>
      <c r="L3877" t="s">
        <v>49</v>
      </c>
      <c r="M3877" t="s">
        <v>140</v>
      </c>
      <c r="N3877">
        <v>5.061E-4</v>
      </c>
      <c r="O3877">
        <v>8.3848829E-2</v>
      </c>
      <c r="P3877">
        <v>8.0570163E-2</v>
      </c>
      <c r="Q3877" t="str">
        <f t="shared" si="120"/>
        <v>25-34</v>
      </c>
      <c r="R3877" t="str">
        <f t="shared" si="121"/>
        <v>[GkIwZrXy1h2]|25-34|Male|Incidence_SUBNAT.Rt.T_1|CY2024Q3</v>
      </c>
    </row>
    <row r="3878" spans="4:18" x14ac:dyDescent="0.2">
      <c r="D3878" t="s">
        <v>23</v>
      </c>
      <c r="E3878" t="s">
        <v>24</v>
      </c>
      <c r="F3878" t="s">
        <v>25</v>
      </c>
      <c r="G3878" t="s">
        <v>153</v>
      </c>
      <c r="H3878" t="s">
        <v>153</v>
      </c>
      <c r="I3878" t="s">
        <v>43</v>
      </c>
      <c r="J3878" t="s">
        <v>44</v>
      </c>
      <c r="K3878" t="s">
        <v>48</v>
      </c>
      <c r="L3878" t="s">
        <v>49</v>
      </c>
      <c r="M3878" t="s">
        <v>140</v>
      </c>
      <c r="N3878">
        <v>5.8545799999999996E-4</v>
      </c>
      <c r="O3878">
        <v>8.3973883999999999E-2</v>
      </c>
      <c r="P3878">
        <v>8.0570163E-2</v>
      </c>
      <c r="Q3878" t="str">
        <f t="shared" si="120"/>
        <v>35-49</v>
      </c>
      <c r="R3878" t="str">
        <f t="shared" si="121"/>
        <v>[GkIwZrXy1h2]|35-49|Male|Incidence_SUBNAT.Rt.T_1|CY2024Q3</v>
      </c>
    </row>
    <row r="3879" spans="4:18" x14ac:dyDescent="0.2">
      <c r="D3879" t="s">
        <v>23</v>
      </c>
      <c r="E3879" t="s">
        <v>24</v>
      </c>
      <c r="F3879" t="s">
        <v>25</v>
      </c>
      <c r="G3879" t="s">
        <v>153</v>
      </c>
      <c r="H3879" t="s">
        <v>153</v>
      </c>
      <c r="I3879" t="s">
        <v>45</v>
      </c>
      <c r="J3879" t="s">
        <v>46</v>
      </c>
      <c r="K3879" t="s">
        <v>48</v>
      </c>
      <c r="L3879" t="s">
        <v>49</v>
      </c>
      <c r="M3879" t="s">
        <v>140</v>
      </c>
      <c r="N3879">
        <v>3.16714E-4</v>
      </c>
      <c r="O3879">
        <v>8.3246470000000003E-2</v>
      </c>
      <c r="P3879">
        <v>8.0570163E-2</v>
      </c>
      <c r="Q3879" t="str">
        <f t="shared" si="120"/>
        <v>50+</v>
      </c>
      <c r="R3879" t="str">
        <f t="shared" si="121"/>
        <v>[GkIwZrXy1h2]|50+|Male|Incidence_SUBNAT.Rt.T_1|CY2024Q3</v>
      </c>
    </row>
    <row r="3880" spans="4:18" x14ac:dyDescent="0.2">
      <c r="D3880" t="s">
        <v>53</v>
      </c>
      <c r="E3880" t="s">
        <v>54</v>
      </c>
      <c r="F3880" t="s">
        <v>55</v>
      </c>
      <c r="G3880" t="s">
        <v>153</v>
      </c>
      <c r="H3880" t="s">
        <v>153</v>
      </c>
      <c r="I3880" t="s">
        <v>28</v>
      </c>
      <c r="J3880" t="s">
        <v>29</v>
      </c>
      <c r="K3880" t="s">
        <v>30</v>
      </c>
      <c r="L3880" t="s">
        <v>31</v>
      </c>
      <c r="M3880" t="s">
        <v>140</v>
      </c>
      <c r="N3880">
        <v>1.7849719999999999E-3</v>
      </c>
      <c r="O3880">
        <v>3.2359080999999998E-2</v>
      </c>
      <c r="P3880">
        <v>4.4128237000000001E-2</v>
      </c>
      <c r="Q3880" t="str">
        <f t="shared" si="120"/>
        <v>&lt;01</v>
      </c>
      <c r="R3880" t="str">
        <f t="shared" si="121"/>
        <v>[cPtvxaZqXIH]|&lt;01|Female|Incidence_SUBNAT.Rt.T_1|CY2024Q3</v>
      </c>
    </row>
    <row r="3881" spans="4:18" x14ac:dyDescent="0.2">
      <c r="D3881" t="s">
        <v>53</v>
      </c>
      <c r="E3881" t="s">
        <v>54</v>
      </c>
      <c r="F3881" t="s">
        <v>55</v>
      </c>
      <c r="G3881" t="s">
        <v>153</v>
      </c>
      <c r="H3881" t="s">
        <v>153</v>
      </c>
      <c r="I3881" t="s">
        <v>33</v>
      </c>
      <c r="J3881" t="s">
        <v>34</v>
      </c>
      <c r="K3881" t="s">
        <v>30</v>
      </c>
      <c r="L3881" t="s">
        <v>31</v>
      </c>
      <c r="M3881" t="s">
        <v>140</v>
      </c>
      <c r="N3881" s="235" t="s">
        <v>157</v>
      </c>
      <c r="O3881">
        <v>1.6179539999999999E-2</v>
      </c>
      <c r="P3881">
        <v>4.4128237000000001E-2</v>
      </c>
      <c r="Q3881" t="str">
        <f t="shared" si="120"/>
        <v>01-09</v>
      </c>
      <c r="R3881" t="str">
        <f t="shared" si="121"/>
        <v>[cPtvxaZqXIH]|01-09|Female|Incidence_SUBNAT.Rt.T_1|CY2024Q3</v>
      </c>
    </row>
    <row r="3882" spans="4:18" x14ac:dyDescent="0.2">
      <c r="D3882" t="s">
        <v>53</v>
      </c>
      <c r="E3882" t="s">
        <v>54</v>
      </c>
      <c r="F3882" t="s">
        <v>55</v>
      </c>
      <c r="G3882" t="s">
        <v>153</v>
      </c>
      <c r="H3882" t="s">
        <v>153</v>
      </c>
      <c r="I3882" t="s">
        <v>36</v>
      </c>
      <c r="J3882" t="s">
        <v>37</v>
      </c>
      <c r="K3882" t="s">
        <v>30</v>
      </c>
      <c r="L3882" t="s">
        <v>31</v>
      </c>
      <c r="M3882" t="s">
        <v>140</v>
      </c>
      <c r="N3882">
        <v>0</v>
      </c>
      <c r="O3882">
        <v>0</v>
      </c>
      <c r="P3882">
        <v>4.4128237000000001E-2</v>
      </c>
      <c r="Q3882" t="str">
        <f t="shared" si="120"/>
        <v>10-14</v>
      </c>
      <c r="R3882" t="str">
        <f t="shared" si="121"/>
        <v>[cPtvxaZqXIH]|10-14|Female|Incidence_SUBNAT.Rt.T_1|CY2024Q3</v>
      </c>
    </row>
    <row r="3883" spans="4:18" x14ac:dyDescent="0.2">
      <c r="D3883" t="s">
        <v>53</v>
      </c>
      <c r="E3883" t="s">
        <v>54</v>
      </c>
      <c r="F3883" t="s">
        <v>55</v>
      </c>
      <c r="G3883" t="s">
        <v>153</v>
      </c>
      <c r="H3883" t="s">
        <v>153</v>
      </c>
      <c r="I3883" t="s">
        <v>38</v>
      </c>
      <c r="J3883" t="s">
        <v>39</v>
      </c>
      <c r="K3883" t="s">
        <v>30</v>
      </c>
      <c r="L3883" t="s">
        <v>31</v>
      </c>
      <c r="M3883" t="s">
        <v>140</v>
      </c>
      <c r="N3883">
        <v>1.050278E-3</v>
      </c>
      <c r="O3883">
        <v>4.7944248000000002E-2</v>
      </c>
      <c r="P3883">
        <v>4.4128237000000001E-2</v>
      </c>
      <c r="Q3883" t="str">
        <f t="shared" si="120"/>
        <v>15-24</v>
      </c>
      <c r="R3883" t="str">
        <f t="shared" si="121"/>
        <v>[cPtvxaZqXIH]|15-24|Female|Incidence_SUBNAT.Rt.T_1|CY2024Q3</v>
      </c>
    </row>
    <row r="3884" spans="4:18" x14ac:dyDescent="0.2">
      <c r="D3884" t="s">
        <v>53</v>
      </c>
      <c r="E3884" t="s">
        <v>54</v>
      </c>
      <c r="F3884" t="s">
        <v>55</v>
      </c>
      <c r="G3884" t="s">
        <v>153</v>
      </c>
      <c r="H3884" t="s">
        <v>153</v>
      </c>
      <c r="I3884" t="s">
        <v>41</v>
      </c>
      <c r="J3884" t="s">
        <v>42</v>
      </c>
      <c r="K3884" t="s">
        <v>30</v>
      </c>
      <c r="L3884" t="s">
        <v>31</v>
      </c>
      <c r="M3884" t="s">
        <v>140</v>
      </c>
      <c r="N3884">
        <v>1.6207909999999999E-3</v>
      </c>
      <c r="O3884">
        <v>4.8112306000000001E-2</v>
      </c>
      <c r="P3884">
        <v>4.4128237000000001E-2</v>
      </c>
      <c r="Q3884" t="str">
        <f t="shared" si="120"/>
        <v>25-34</v>
      </c>
      <c r="R3884" t="str">
        <f t="shared" si="121"/>
        <v>[cPtvxaZqXIH]|25-34|Female|Incidence_SUBNAT.Rt.T_1|CY2024Q3</v>
      </c>
    </row>
    <row r="3885" spans="4:18" x14ac:dyDescent="0.2">
      <c r="D3885" t="s">
        <v>53</v>
      </c>
      <c r="E3885" t="s">
        <v>54</v>
      </c>
      <c r="F3885" t="s">
        <v>55</v>
      </c>
      <c r="G3885" t="s">
        <v>153</v>
      </c>
      <c r="H3885" t="s">
        <v>153</v>
      </c>
      <c r="I3885" t="s">
        <v>43</v>
      </c>
      <c r="J3885" t="s">
        <v>44</v>
      </c>
      <c r="K3885" t="s">
        <v>30</v>
      </c>
      <c r="L3885" t="s">
        <v>31</v>
      </c>
      <c r="M3885" t="s">
        <v>140</v>
      </c>
      <c r="N3885">
        <v>9.0659300000000003E-4</v>
      </c>
      <c r="O3885">
        <v>4.8187078000000001E-2</v>
      </c>
      <c r="P3885">
        <v>4.4128237000000001E-2</v>
      </c>
      <c r="Q3885" t="str">
        <f t="shared" si="120"/>
        <v>35-49</v>
      </c>
      <c r="R3885" t="str">
        <f t="shared" si="121"/>
        <v>[cPtvxaZqXIH]|35-49|Female|Incidence_SUBNAT.Rt.T_1|CY2024Q3</v>
      </c>
    </row>
    <row r="3886" spans="4:18" x14ac:dyDescent="0.2">
      <c r="D3886" t="s">
        <v>53</v>
      </c>
      <c r="E3886" t="s">
        <v>54</v>
      </c>
      <c r="F3886" t="s">
        <v>55</v>
      </c>
      <c r="G3886" t="s">
        <v>153</v>
      </c>
      <c r="H3886" t="s">
        <v>153</v>
      </c>
      <c r="I3886" t="s">
        <v>45</v>
      </c>
      <c r="J3886" t="s">
        <v>46</v>
      </c>
      <c r="K3886" t="s">
        <v>30</v>
      </c>
      <c r="L3886" t="s">
        <v>31</v>
      </c>
      <c r="M3886" t="s">
        <v>140</v>
      </c>
      <c r="N3886">
        <v>2.5381699999999999E-4</v>
      </c>
      <c r="O3886">
        <v>4.7463554999999998E-2</v>
      </c>
      <c r="P3886">
        <v>4.4128237000000001E-2</v>
      </c>
      <c r="Q3886" t="str">
        <f t="shared" si="120"/>
        <v>50+</v>
      </c>
      <c r="R3886" t="str">
        <f t="shared" si="121"/>
        <v>[cPtvxaZqXIH]|50+|Female|Incidence_SUBNAT.Rt.T_1|CY2024Q3</v>
      </c>
    </row>
    <row r="3887" spans="4:18" x14ac:dyDescent="0.2">
      <c r="D3887" t="s">
        <v>53</v>
      </c>
      <c r="E3887" t="s">
        <v>54</v>
      </c>
      <c r="F3887" t="s">
        <v>55</v>
      </c>
      <c r="G3887" t="s">
        <v>153</v>
      </c>
      <c r="H3887" t="s">
        <v>153</v>
      </c>
      <c r="I3887" t="s">
        <v>28</v>
      </c>
      <c r="J3887" t="s">
        <v>29</v>
      </c>
      <c r="K3887" t="s">
        <v>48</v>
      </c>
      <c r="L3887" t="s">
        <v>49</v>
      </c>
      <c r="M3887" t="s">
        <v>140</v>
      </c>
      <c r="N3887">
        <v>1.790792E-3</v>
      </c>
      <c r="O3887">
        <v>3.2359091999999999E-2</v>
      </c>
      <c r="P3887">
        <v>4.4128237000000001E-2</v>
      </c>
      <c r="Q3887" t="str">
        <f t="shared" si="120"/>
        <v>&lt;01</v>
      </c>
      <c r="R3887" t="str">
        <f t="shared" si="121"/>
        <v>[cPtvxaZqXIH]|&lt;01|Male|Incidence_SUBNAT.Rt.T_1|CY2024Q3</v>
      </c>
    </row>
    <row r="3888" spans="4:18" x14ac:dyDescent="0.2">
      <c r="D3888" t="s">
        <v>53</v>
      </c>
      <c r="E3888" t="s">
        <v>54</v>
      </c>
      <c r="F3888" t="s">
        <v>55</v>
      </c>
      <c r="G3888" t="s">
        <v>153</v>
      </c>
      <c r="H3888" t="s">
        <v>153</v>
      </c>
      <c r="I3888" t="s">
        <v>33</v>
      </c>
      <c r="J3888" t="s">
        <v>34</v>
      </c>
      <c r="K3888" t="s">
        <v>48</v>
      </c>
      <c r="L3888" t="s">
        <v>49</v>
      </c>
      <c r="M3888" t="s">
        <v>140</v>
      </c>
      <c r="N3888" s="235" t="s">
        <v>158</v>
      </c>
      <c r="O3888">
        <v>1.6179546E-2</v>
      </c>
      <c r="P3888">
        <v>4.4128237000000001E-2</v>
      </c>
      <c r="Q3888" t="str">
        <f t="shared" si="120"/>
        <v>01-09</v>
      </c>
      <c r="R3888" t="str">
        <f t="shared" si="121"/>
        <v>[cPtvxaZqXIH]|01-09|Male|Incidence_SUBNAT.Rt.T_1|CY2024Q3</v>
      </c>
    </row>
    <row r="3889" spans="4:18" x14ac:dyDescent="0.2">
      <c r="D3889" t="s">
        <v>53</v>
      </c>
      <c r="E3889" t="s">
        <v>54</v>
      </c>
      <c r="F3889" t="s">
        <v>55</v>
      </c>
      <c r="G3889" t="s">
        <v>153</v>
      </c>
      <c r="H3889" t="s">
        <v>153</v>
      </c>
      <c r="I3889" t="s">
        <v>36</v>
      </c>
      <c r="J3889" t="s">
        <v>37</v>
      </c>
      <c r="K3889" t="s">
        <v>48</v>
      </c>
      <c r="L3889" t="s">
        <v>49</v>
      </c>
      <c r="M3889" t="s">
        <v>140</v>
      </c>
      <c r="N3889">
        <v>0</v>
      </c>
      <c r="O3889">
        <v>0</v>
      </c>
      <c r="P3889">
        <v>4.4128237000000001E-2</v>
      </c>
      <c r="Q3889" t="str">
        <f t="shared" si="120"/>
        <v>10-14</v>
      </c>
      <c r="R3889" t="str">
        <f t="shared" si="121"/>
        <v>[cPtvxaZqXIH]|10-14|Male|Incidence_SUBNAT.Rt.T_1|CY2024Q3</v>
      </c>
    </row>
    <row r="3890" spans="4:18" x14ac:dyDescent="0.2">
      <c r="D3890" t="s">
        <v>53</v>
      </c>
      <c r="E3890" t="s">
        <v>54</v>
      </c>
      <c r="F3890" t="s">
        <v>55</v>
      </c>
      <c r="G3890" t="s">
        <v>153</v>
      </c>
      <c r="H3890" t="s">
        <v>153</v>
      </c>
      <c r="I3890" t="s">
        <v>38</v>
      </c>
      <c r="J3890" t="s">
        <v>39</v>
      </c>
      <c r="K3890" t="s">
        <v>48</v>
      </c>
      <c r="L3890" t="s">
        <v>49</v>
      </c>
      <c r="M3890" t="s">
        <v>140</v>
      </c>
      <c r="N3890">
        <v>1.7561399999999999E-4</v>
      </c>
      <c r="O3890">
        <v>4.7981615999999998E-2</v>
      </c>
      <c r="P3890">
        <v>4.4128237000000001E-2</v>
      </c>
      <c r="Q3890" t="str">
        <f t="shared" si="120"/>
        <v>15-24</v>
      </c>
      <c r="R3890" t="str">
        <f t="shared" si="121"/>
        <v>[cPtvxaZqXIH]|15-24|Male|Incidence_SUBNAT.Rt.T_1|CY2024Q3</v>
      </c>
    </row>
    <row r="3891" spans="4:18" x14ac:dyDescent="0.2">
      <c r="D3891" t="s">
        <v>53</v>
      </c>
      <c r="E3891" t="s">
        <v>54</v>
      </c>
      <c r="F3891" t="s">
        <v>55</v>
      </c>
      <c r="G3891" t="s">
        <v>153</v>
      </c>
      <c r="H3891" t="s">
        <v>153</v>
      </c>
      <c r="I3891" t="s">
        <v>41</v>
      </c>
      <c r="J3891" t="s">
        <v>42</v>
      </c>
      <c r="K3891" t="s">
        <v>48</v>
      </c>
      <c r="L3891" t="s">
        <v>49</v>
      </c>
      <c r="M3891" t="s">
        <v>140</v>
      </c>
      <c r="N3891">
        <v>9.7181399999999999E-4</v>
      </c>
      <c r="O3891">
        <v>4.8012460999999999E-2</v>
      </c>
      <c r="P3891">
        <v>4.4128237000000001E-2</v>
      </c>
      <c r="Q3891" t="str">
        <f t="shared" si="120"/>
        <v>25-34</v>
      </c>
      <c r="R3891" t="str">
        <f t="shared" si="121"/>
        <v>[cPtvxaZqXIH]|25-34|Male|Incidence_SUBNAT.Rt.T_1|CY2024Q3</v>
      </c>
    </row>
    <row r="3892" spans="4:18" x14ac:dyDescent="0.2">
      <c r="D3892" t="s">
        <v>53</v>
      </c>
      <c r="E3892" t="s">
        <v>54</v>
      </c>
      <c r="F3892" t="s">
        <v>55</v>
      </c>
      <c r="G3892" t="s">
        <v>153</v>
      </c>
      <c r="H3892" t="s">
        <v>153</v>
      </c>
      <c r="I3892" t="s">
        <v>43</v>
      </c>
      <c r="J3892" t="s">
        <v>44</v>
      </c>
      <c r="K3892" t="s">
        <v>48</v>
      </c>
      <c r="L3892" t="s">
        <v>49</v>
      </c>
      <c r="M3892" t="s">
        <v>140</v>
      </c>
      <c r="N3892">
        <v>1.125622E-3</v>
      </c>
      <c r="O3892">
        <v>4.8114489000000003E-2</v>
      </c>
      <c r="P3892">
        <v>4.4128237000000001E-2</v>
      </c>
      <c r="Q3892" t="str">
        <f t="shared" si="120"/>
        <v>35-49</v>
      </c>
      <c r="R3892" t="str">
        <f t="shared" si="121"/>
        <v>[cPtvxaZqXIH]|35-49|Male|Incidence_SUBNAT.Rt.T_1|CY2024Q3</v>
      </c>
    </row>
    <row r="3893" spans="4:18" x14ac:dyDescent="0.2">
      <c r="D3893" t="s">
        <v>53</v>
      </c>
      <c r="E3893" t="s">
        <v>54</v>
      </c>
      <c r="F3893" t="s">
        <v>55</v>
      </c>
      <c r="G3893" t="s">
        <v>153</v>
      </c>
      <c r="H3893" t="s">
        <v>153</v>
      </c>
      <c r="I3893" t="s">
        <v>45</v>
      </c>
      <c r="J3893" t="s">
        <v>46</v>
      </c>
      <c r="K3893" t="s">
        <v>48</v>
      </c>
      <c r="L3893" t="s">
        <v>49</v>
      </c>
      <c r="M3893" t="s">
        <v>140</v>
      </c>
      <c r="N3893">
        <v>5.95197E-4</v>
      </c>
      <c r="O3893">
        <v>4.7681216999999998E-2</v>
      </c>
      <c r="P3893">
        <v>4.4128237000000001E-2</v>
      </c>
      <c r="Q3893" t="str">
        <f t="shared" si="120"/>
        <v>50+</v>
      </c>
      <c r="R3893" t="str">
        <f t="shared" si="121"/>
        <v>[cPtvxaZqXIH]|50+|Male|Incidence_SUBNAT.Rt.T_1|CY2024Q3</v>
      </c>
    </row>
    <row r="3894" spans="4:18" x14ac:dyDescent="0.2">
      <c r="D3894" t="s">
        <v>60</v>
      </c>
      <c r="E3894" t="s">
        <v>61</v>
      </c>
      <c r="F3894" t="s">
        <v>62</v>
      </c>
      <c r="G3894" t="s">
        <v>153</v>
      </c>
      <c r="H3894" t="s">
        <v>153</v>
      </c>
      <c r="I3894" t="s">
        <v>28</v>
      </c>
      <c r="J3894" t="s">
        <v>29</v>
      </c>
      <c r="K3894" t="s">
        <v>30</v>
      </c>
      <c r="L3894" t="s">
        <v>31</v>
      </c>
      <c r="M3894" t="s">
        <v>140</v>
      </c>
      <c r="N3894">
        <v>1.921589E-3</v>
      </c>
      <c r="O3894">
        <v>8.2366691000000006E-2</v>
      </c>
      <c r="P3894">
        <v>8.8061273999999995E-2</v>
      </c>
      <c r="Q3894" t="str">
        <f t="shared" si="120"/>
        <v>&lt;01</v>
      </c>
      <c r="R3894" t="str">
        <f t="shared" si="121"/>
        <v>[E7zpfyBt7Tw]|&lt;01|Female|Incidence_SUBNAT.Rt.T_1|CY2024Q3</v>
      </c>
    </row>
    <row r="3895" spans="4:18" x14ac:dyDescent="0.2">
      <c r="D3895" t="s">
        <v>60</v>
      </c>
      <c r="E3895" t="s">
        <v>61</v>
      </c>
      <c r="F3895" t="s">
        <v>62</v>
      </c>
      <c r="G3895" t="s">
        <v>153</v>
      </c>
      <c r="H3895" t="s">
        <v>153</v>
      </c>
      <c r="I3895" t="s">
        <v>33</v>
      </c>
      <c r="J3895" t="s">
        <v>34</v>
      </c>
      <c r="K3895" t="s">
        <v>30</v>
      </c>
      <c r="L3895" t="s">
        <v>31</v>
      </c>
      <c r="M3895" t="s">
        <v>140</v>
      </c>
      <c r="N3895" s="235" t="s">
        <v>159</v>
      </c>
      <c r="O3895">
        <v>4.1183345000000003E-2</v>
      </c>
      <c r="P3895">
        <v>8.8061273999999995E-2</v>
      </c>
      <c r="Q3895" t="str">
        <f t="shared" si="120"/>
        <v>01-09</v>
      </c>
      <c r="R3895" t="str">
        <f t="shared" si="121"/>
        <v>[E7zpfyBt7Tw]|01-09|Female|Incidence_SUBNAT.Rt.T_1|CY2024Q3</v>
      </c>
    </row>
    <row r="3896" spans="4:18" x14ac:dyDescent="0.2">
      <c r="D3896" t="s">
        <v>60</v>
      </c>
      <c r="E3896" t="s">
        <v>61</v>
      </c>
      <c r="F3896" t="s">
        <v>62</v>
      </c>
      <c r="G3896" t="s">
        <v>153</v>
      </c>
      <c r="H3896" t="s">
        <v>153</v>
      </c>
      <c r="I3896" t="s">
        <v>36</v>
      </c>
      <c r="J3896" t="s">
        <v>37</v>
      </c>
      <c r="K3896" t="s">
        <v>30</v>
      </c>
      <c r="L3896" t="s">
        <v>31</v>
      </c>
      <c r="M3896" t="s">
        <v>140</v>
      </c>
      <c r="N3896">
        <v>0</v>
      </c>
      <c r="O3896">
        <v>0</v>
      </c>
      <c r="P3896">
        <v>8.8061273999999995E-2</v>
      </c>
      <c r="Q3896" t="str">
        <f t="shared" si="120"/>
        <v>10-14</v>
      </c>
      <c r="R3896" t="str">
        <f t="shared" si="121"/>
        <v>[E7zpfyBt7Tw]|10-14|Female|Incidence_SUBNAT.Rt.T_1|CY2024Q3</v>
      </c>
    </row>
    <row r="3897" spans="4:18" x14ac:dyDescent="0.2">
      <c r="D3897" t="s">
        <v>60</v>
      </c>
      <c r="E3897" t="s">
        <v>61</v>
      </c>
      <c r="F3897" t="s">
        <v>62</v>
      </c>
      <c r="G3897" t="s">
        <v>153</v>
      </c>
      <c r="H3897" t="s">
        <v>153</v>
      </c>
      <c r="I3897" t="s">
        <v>38</v>
      </c>
      <c r="J3897" t="s">
        <v>39</v>
      </c>
      <c r="K3897" t="s">
        <v>30</v>
      </c>
      <c r="L3897" t="s">
        <v>31</v>
      </c>
      <c r="M3897" t="s">
        <v>140</v>
      </c>
      <c r="N3897">
        <v>1.1858870000000001E-3</v>
      </c>
      <c r="O3897">
        <v>9.1895606000000005E-2</v>
      </c>
      <c r="P3897">
        <v>8.8061273999999995E-2</v>
      </c>
      <c r="Q3897" t="str">
        <f t="shared" si="120"/>
        <v>15-24</v>
      </c>
      <c r="R3897" t="str">
        <f t="shared" si="121"/>
        <v>[E7zpfyBt7Tw]|15-24|Female|Incidence_SUBNAT.Rt.T_1|CY2024Q3</v>
      </c>
    </row>
    <row r="3898" spans="4:18" x14ac:dyDescent="0.2">
      <c r="D3898" t="s">
        <v>60</v>
      </c>
      <c r="E3898" t="s">
        <v>61</v>
      </c>
      <c r="F3898" t="s">
        <v>62</v>
      </c>
      <c r="G3898" t="s">
        <v>153</v>
      </c>
      <c r="H3898" t="s">
        <v>153</v>
      </c>
      <c r="I3898" t="s">
        <v>41</v>
      </c>
      <c r="J3898" t="s">
        <v>42</v>
      </c>
      <c r="K3898" t="s">
        <v>30</v>
      </c>
      <c r="L3898" t="s">
        <v>31</v>
      </c>
      <c r="M3898" t="s">
        <v>140</v>
      </c>
      <c r="N3898">
        <v>1.851189E-3</v>
      </c>
      <c r="O3898">
        <v>9.2419503E-2</v>
      </c>
      <c r="P3898">
        <v>8.8061273999999995E-2</v>
      </c>
      <c r="Q3898" t="str">
        <f t="shared" si="120"/>
        <v>25-34</v>
      </c>
      <c r="R3898" t="str">
        <f t="shared" si="121"/>
        <v>[E7zpfyBt7Tw]|25-34|Female|Incidence_SUBNAT.Rt.T_1|CY2024Q3</v>
      </c>
    </row>
    <row r="3899" spans="4:18" x14ac:dyDescent="0.2">
      <c r="D3899" t="s">
        <v>60</v>
      </c>
      <c r="E3899" t="s">
        <v>61</v>
      </c>
      <c r="F3899" t="s">
        <v>62</v>
      </c>
      <c r="G3899" t="s">
        <v>153</v>
      </c>
      <c r="H3899" t="s">
        <v>153</v>
      </c>
      <c r="I3899" t="s">
        <v>43</v>
      </c>
      <c r="J3899" t="s">
        <v>44</v>
      </c>
      <c r="K3899" t="s">
        <v>30</v>
      </c>
      <c r="L3899" t="s">
        <v>31</v>
      </c>
      <c r="M3899" t="s">
        <v>140</v>
      </c>
      <c r="N3899">
        <v>1.02546E-3</v>
      </c>
      <c r="O3899">
        <v>9.2793234000000002E-2</v>
      </c>
      <c r="P3899">
        <v>8.8061273999999995E-2</v>
      </c>
      <c r="Q3899" t="str">
        <f t="shared" si="120"/>
        <v>35-49</v>
      </c>
      <c r="R3899" t="str">
        <f t="shared" si="121"/>
        <v>[E7zpfyBt7Tw]|35-49|Female|Incidence_SUBNAT.Rt.T_1|CY2024Q3</v>
      </c>
    </row>
    <row r="3900" spans="4:18" x14ac:dyDescent="0.2">
      <c r="D3900" t="s">
        <v>60</v>
      </c>
      <c r="E3900" t="s">
        <v>61</v>
      </c>
      <c r="F3900" t="s">
        <v>62</v>
      </c>
      <c r="G3900" t="s">
        <v>153</v>
      </c>
      <c r="H3900" t="s">
        <v>153</v>
      </c>
      <c r="I3900" t="s">
        <v>45</v>
      </c>
      <c r="J3900" t="s">
        <v>46</v>
      </c>
      <c r="K3900" t="s">
        <v>30</v>
      </c>
      <c r="L3900" t="s">
        <v>31</v>
      </c>
      <c r="M3900" t="s">
        <v>140</v>
      </c>
      <c r="N3900">
        <v>2.86533E-4</v>
      </c>
      <c r="O3900">
        <v>8.9799612000000001E-2</v>
      </c>
      <c r="P3900">
        <v>8.8061273999999995E-2</v>
      </c>
      <c r="Q3900" t="str">
        <f t="shared" si="120"/>
        <v>50+</v>
      </c>
      <c r="R3900" t="str">
        <f t="shared" si="121"/>
        <v>[E7zpfyBt7Tw]|50+|Female|Incidence_SUBNAT.Rt.T_1|CY2024Q3</v>
      </c>
    </row>
    <row r="3901" spans="4:18" x14ac:dyDescent="0.2">
      <c r="D3901" t="s">
        <v>60</v>
      </c>
      <c r="E3901" t="s">
        <v>61</v>
      </c>
      <c r="F3901" t="s">
        <v>62</v>
      </c>
      <c r="G3901" t="s">
        <v>153</v>
      </c>
      <c r="H3901" t="s">
        <v>153</v>
      </c>
      <c r="I3901" t="s">
        <v>28</v>
      </c>
      <c r="J3901" t="s">
        <v>29</v>
      </c>
      <c r="K3901" t="s">
        <v>48</v>
      </c>
      <c r="L3901" t="s">
        <v>49</v>
      </c>
      <c r="M3901" t="s">
        <v>140</v>
      </c>
      <c r="N3901">
        <v>1.9278920000000001E-3</v>
      </c>
      <c r="O3901">
        <v>8.2366722000000003E-2</v>
      </c>
      <c r="P3901">
        <v>8.8061273999999995E-2</v>
      </c>
      <c r="Q3901" t="str">
        <f t="shared" si="120"/>
        <v>&lt;01</v>
      </c>
      <c r="R3901" t="str">
        <f t="shared" si="121"/>
        <v>[E7zpfyBt7Tw]|&lt;01|Male|Incidence_SUBNAT.Rt.T_1|CY2024Q3</v>
      </c>
    </row>
    <row r="3902" spans="4:18" x14ac:dyDescent="0.2">
      <c r="D3902" t="s">
        <v>60</v>
      </c>
      <c r="E3902" t="s">
        <v>61</v>
      </c>
      <c r="F3902" t="s">
        <v>62</v>
      </c>
      <c r="G3902" t="s">
        <v>153</v>
      </c>
      <c r="H3902" t="s">
        <v>153</v>
      </c>
      <c r="I3902" t="s">
        <v>33</v>
      </c>
      <c r="J3902" t="s">
        <v>34</v>
      </c>
      <c r="K3902" t="s">
        <v>48</v>
      </c>
      <c r="L3902" t="s">
        <v>49</v>
      </c>
      <c r="M3902" t="s">
        <v>140</v>
      </c>
      <c r="N3902" s="235" t="s">
        <v>160</v>
      </c>
      <c r="O3902">
        <v>4.1183361000000002E-2</v>
      </c>
      <c r="P3902">
        <v>8.8061273999999995E-2</v>
      </c>
      <c r="Q3902" t="str">
        <f t="shared" si="120"/>
        <v>01-09</v>
      </c>
      <c r="R3902" t="str">
        <f t="shared" si="121"/>
        <v>[E7zpfyBt7Tw]|01-09|Male|Incidence_SUBNAT.Rt.T_1|CY2024Q3</v>
      </c>
    </row>
    <row r="3903" spans="4:18" x14ac:dyDescent="0.2">
      <c r="D3903" t="s">
        <v>60</v>
      </c>
      <c r="E3903" t="s">
        <v>61</v>
      </c>
      <c r="F3903" t="s">
        <v>62</v>
      </c>
      <c r="G3903" t="s">
        <v>153</v>
      </c>
      <c r="H3903" t="s">
        <v>153</v>
      </c>
      <c r="I3903" t="s">
        <v>36</v>
      </c>
      <c r="J3903" t="s">
        <v>37</v>
      </c>
      <c r="K3903" t="s">
        <v>48</v>
      </c>
      <c r="L3903" t="s">
        <v>49</v>
      </c>
      <c r="M3903" t="s">
        <v>140</v>
      </c>
      <c r="N3903">
        <v>0</v>
      </c>
      <c r="O3903">
        <v>0</v>
      </c>
      <c r="P3903">
        <v>8.8061273999999995E-2</v>
      </c>
      <c r="Q3903" t="str">
        <f t="shared" si="120"/>
        <v>10-14</v>
      </c>
      <c r="R3903" t="str">
        <f t="shared" si="121"/>
        <v>[E7zpfyBt7Tw]|10-14|Male|Incidence_SUBNAT.Rt.T_1|CY2024Q3</v>
      </c>
    </row>
    <row r="3904" spans="4:18" x14ac:dyDescent="0.2">
      <c r="D3904" t="s">
        <v>60</v>
      </c>
      <c r="E3904" t="s">
        <v>61</v>
      </c>
      <c r="F3904" t="s">
        <v>62</v>
      </c>
      <c r="G3904" t="s">
        <v>153</v>
      </c>
      <c r="H3904" t="s">
        <v>153</v>
      </c>
      <c r="I3904" t="s">
        <v>38</v>
      </c>
      <c r="J3904" t="s">
        <v>39</v>
      </c>
      <c r="K3904" t="s">
        <v>48</v>
      </c>
      <c r="L3904" t="s">
        <v>49</v>
      </c>
      <c r="M3904" t="s">
        <v>140</v>
      </c>
      <c r="N3904">
        <v>1.9997099999999999E-4</v>
      </c>
      <c r="O3904">
        <v>9.2060297999999999E-2</v>
      </c>
      <c r="P3904">
        <v>8.8061273999999995E-2</v>
      </c>
      <c r="Q3904" t="str">
        <f t="shared" si="120"/>
        <v>15-24</v>
      </c>
      <c r="R3904" t="str">
        <f t="shared" si="121"/>
        <v>[E7zpfyBt7Tw]|15-24|Male|Incidence_SUBNAT.Rt.T_1|CY2024Q3</v>
      </c>
    </row>
    <row r="3905" spans="4:18" x14ac:dyDescent="0.2">
      <c r="D3905" t="s">
        <v>60</v>
      </c>
      <c r="E3905" t="s">
        <v>61</v>
      </c>
      <c r="F3905" t="s">
        <v>62</v>
      </c>
      <c r="G3905" t="s">
        <v>153</v>
      </c>
      <c r="H3905" t="s">
        <v>153</v>
      </c>
      <c r="I3905" t="s">
        <v>41</v>
      </c>
      <c r="J3905" t="s">
        <v>42</v>
      </c>
      <c r="K3905" t="s">
        <v>48</v>
      </c>
      <c r="L3905" t="s">
        <v>49</v>
      </c>
      <c r="M3905" t="s">
        <v>140</v>
      </c>
      <c r="N3905">
        <v>1.1058489999999999E-3</v>
      </c>
      <c r="O3905">
        <v>9.2102975000000004E-2</v>
      </c>
      <c r="P3905">
        <v>8.8061273999999995E-2</v>
      </c>
      <c r="Q3905" t="str">
        <f t="shared" si="120"/>
        <v>25-34</v>
      </c>
      <c r="R3905" t="str">
        <f t="shared" si="121"/>
        <v>[E7zpfyBt7Tw]|25-34|Male|Incidence_SUBNAT.Rt.T_1|CY2024Q3</v>
      </c>
    </row>
    <row r="3906" spans="4:18" x14ac:dyDescent="0.2">
      <c r="D3906" t="s">
        <v>60</v>
      </c>
      <c r="E3906" t="s">
        <v>61</v>
      </c>
      <c r="F3906" t="s">
        <v>62</v>
      </c>
      <c r="G3906" t="s">
        <v>153</v>
      </c>
      <c r="H3906" t="s">
        <v>153</v>
      </c>
      <c r="I3906" t="s">
        <v>43</v>
      </c>
      <c r="J3906" t="s">
        <v>44</v>
      </c>
      <c r="K3906" t="s">
        <v>48</v>
      </c>
      <c r="L3906" t="s">
        <v>49</v>
      </c>
      <c r="M3906" t="s">
        <v>140</v>
      </c>
      <c r="N3906">
        <v>1.2797990000000001E-3</v>
      </c>
      <c r="O3906">
        <v>9.2431902999999996E-2</v>
      </c>
      <c r="P3906">
        <v>8.8061273999999995E-2</v>
      </c>
      <c r="Q3906" t="str">
        <f t="shared" si="120"/>
        <v>35-49</v>
      </c>
      <c r="R3906" t="str">
        <f t="shared" si="121"/>
        <v>[E7zpfyBt7Tw]|35-49|Male|Incidence_SUBNAT.Rt.T_1|CY2024Q3</v>
      </c>
    </row>
    <row r="3907" spans="4:18" x14ac:dyDescent="0.2">
      <c r="D3907" t="s">
        <v>60</v>
      </c>
      <c r="E3907" t="s">
        <v>61</v>
      </c>
      <c r="F3907" t="s">
        <v>62</v>
      </c>
      <c r="G3907" t="s">
        <v>153</v>
      </c>
      <c r="H3907" t="s">
        <v>153</v>
      </c>
      <c r="I3907" t="s">
        <v>45</v>
      </c>
      <c r="J3907" t="s">
        <v>46</v>
      </c>
      <c r="K3907" t="s">
        <v>48</v>
      </c>
      <c r="L3907" t="s">
        <v>49</v>
      </c>
      <c r="M3907" t="s">
        <v>140</v>
      </c>
      <c r="N3907">
        <v>6.6774100000000002E-4</v>
      </c>
      <c r="O3907">
        <v>9.0389953999999995E-2</v>
      </c>
      <c r="P3907">
        <v>8.8061273999999995E-2</v>
      </c>
      <c r="Q3907" t="str">
        <f t="shared" ref="Q3907:Q3970" si="122">SUBSTITUTE(SUBSTITUTE($I3907,CHAR(61),""),CHAR(34),"")</f>
        <v>50+</v>
      </c>
      <c r="R3907" t="str">
        <f t="shared" ref="R3907:R3970" si="123">IF($D3907&lt;&gt;"","["&amp;$E3907&amp;"]"&amp;"|"&amp;$Q3907&amp;"|"&amp;$K3907&amp;"|"&amp;$G3907&amp;"|"&amp;IF($G3907="TX_CURR_SUBNAT.R","CY2023Q4",$M3907),"")</f>
        <v>[E7zpfyBt7Tw]|50+|Male|Incidence_SUBNAT.Rt.T_1|CY2024Q3</v>
      </c>
    </row>
    <row r="3908" spans="4:18" x14ac:dyDescent="0.2">
      <c r="D3908" t="s">
        <v>63</v>
      </c>
      <c r="E3908" t="s">
        <v>64</v>
      </c>
      <c r="F3908" t="s">
        <v>65</v>
      </c>
      <c r="G3908" t="s">
        <v>153</v>
      </c>
      <c r="H3908" t="s">
        <v>153</v>
      </c>
      <c r="I3908" t="s">
        <v>28</v>
      </c>
      <c r="J3908" t="s">
        <v>29</v>
      </c>
      <c r="K3908" t="s">
        <v>30</v>
      </c>
      <c r="L3908" t="s">
        <v>31</v>
      </c>
      <c r="M3908" t="s">
        <v>140</v>
      </c>
      <c r="N3908">
        <v>1.4361059999999999E-3</v>
      </c>
      <c r="O3908">
        <v>7.6790842999999998E-2</v>
      </c>
      <c r="P3908">
        <v>8.3434495999999997E-2</v>
      </c>
      <c r="Q3908" t="str">
        <f t="shared" si="122"/>
        <v>&lt;01</v>
      </c>
      <c r="R3908" t="str">
        <f t="shared" si="123"/>
        <v>[lPTyjLi4w3d]|&lt;01|Female|Incidence_SUBNAT.Rt.T_1|CY2024Q3</v>
      </c>
    </row>
    <row r="3909" spans="4:18" x14ac:dyDescent="0.2">
      <c r="D3909" t="s">
        <v>63</v>
      </c>
      <c r="E3909" t="s">
        <v>64</v>
      </c>
      <c r="F3909" t="s">
        <v>65</v>
      </c>
      <c r="G3909" t="s">
        <v>153</v>
      </c>
      <c r="H3909" t="s">
        <v>153</v>
      </c>
      <c r="I3909" t="s">
        <v>33</v>
      </c>
      <c r="J3909" t="s">
        <v>34</v>
      </c>
      <c r="K3909" t="s">
        <v>30</v>
      </c>
      <c r="L3909" t="s">
        <v>31</v>
      </c>
      <c r="M3909" t="s">
        <v>140</v>
      </c>
      <c r="N3909" s="235" t="s">
        <v>161</v>
      </c>
      <c r="O3909">
        <v>3.8395420999999999E-2</v>
      </c>
      <c r="P3909">
        <v>8.3434495999999997E-2</v>
      </c>
      <c r="Q3909" t="str">
        <f t="shared" si="122"/>
        <v>01-09</v>
      </c>
      <c r="R3909" t="str">
        <f t="shared" si="123"/>
        <v>[lPTyjLi4w3d]|01-09|Female|Incidence_SUBNAT.Rt.T_1|CY2024Q3</v>
      </c>
    </row>
    <row r="3910" spans="4:18" x14ac:dyDescent="0.2">
      <c r="D3910" t="s">
        <v>63</v>
      </c>
      <c r="E3910" t="s">
        <v>64</v>
      </c>
      <c r="F3910" t="s">
        <v>65</v>
      </c>
      <c r="G3910" t="s">
        <v>153</v>
      </c>
      <c r="H3910" t="s">
        <v>153</v>
      </c>
      <c r="I3910" t="s">
        <v>36</v>
      </c>
      <c r="J3910" t="s">
        <v>37</v>
      </c>
      <c r="K3910" t="s">
        <v>30</v>
      </c>
      <c r="L3910" t="s">
        <v>31</v>
      </c>
      <c r="M3910" t="s">
        <v>140</v>
      </c>
      <c r="N3910">
        <v>0</v>
      </c>
      <c r="O3910">
        <v>0</v>
      </c>
      <c r="P3910">
        <v>8.3434495999999997E-2</v>
      </c>
      <c r="Q3910" t="str">
        <f t="shared" si="122"/>
        <v>10-14</v>
      </c>
      <c r="R3910" t="str">
        <f t="shared" si="123"/>
        <v>[lPTyjLi4w3d]|10-14|Female|Incidence_SUBNAT.Rt.T_1|CY2024Q3</v>
      </c>
    </row>
    <row r="3911" spans="4:18" x14ac:dyDescent="0.2">
      <c r="D3911" t="s">
        <v>63</v>
      </c>
      <c r="E3911" t="s">
        <v>64</v>
      </c>
      <c r="F3911" t="s">
        <v>65</v>
      </c>
      <c r="G3911" t="s">
        <v>153</v>
      </c>
      <c r="H3911" t="s">
        <v>153</v>
      </c>
      <c r="I3911" t="s">
        <v>38</v>
      </c>
      <c r="J3911" t="s">
        <v>39</v>
      </c>
      <c r="K3911" t="s">
        <v>30</v>
      </c>
      <c r="L3911" t="s">
        <v>31</v>
      </c>
      <c r="M3911" t="s">
        <v>140</v>
      </c>
      <c r="N3911">
        <v>8.6884400000000002E-4</v>
      </c>
      <c r="O3911">
        <v>8.6877061000000005E-2</v>
      </c>
      <c r="P3911">
        <v>8.3434495999999997E-2</v>
      </c>
      <c r="Q3911" t="str">
        <f t="shared" si="122"/>
        <v>15-24</v>
      </c>
      <c r="R3911" t="str">
        <f t="shared" si="123"/>
        <v>[lPTyjLi4w3d]|15-24|Female|Incidence_SUBNAT.Rt.T_1|CY2024Q3</v>
      </c>
    </row>
    <row r="3912" spans="4:18" x14ac:dyDescent="0.2">
      <c r="D3912" t="s">
        <v>63</v>
      </c>
      <c r="E3912" t="s">
        <v>64</v>
      </c>
      <c r="F3912" t="s">
        <v>65</v>
      </c>
      <c r="G3912" t="s">
        <v>153</v>
      </c>
      <c r="H3912" t="s">
        <v>153</v>
      </c>
      <c r="I3912" t="s">
        <v>41</v>
      </c>
      <c r="J3912" t="s">
        <v>42</v>
      </c>
      <c r="K3912" t="s">
        <v>30</v>
      </c>
      <c r="L3912" t="s">
        <v>31</v>
      </c>
      <c r="M3912" t="s">
        <v>140</v>
      </c>
      <c r="N3912">
        <v>1.3409310000000001E-3</v>
      </c>
      <c r="O3912">
        <v>8.7202273999999996E-2</v>
      </c>
      <c r="P3912">
        <v>8.3434495999999997E-2</v>
      </c>
      <c r="Q3912" t="str">
        <f t="shared" si="122"/>
        <v>25-34</v>
      </c>
      <c r="R3912" t="str">
        <f t="shared" si="123"/>
        <v>[lPTyjLi4w3d]|25-34|Female|Incidence_SUBNAT.Rt.T_1|CY2024Q3</v>
      </c>
    </row>
    <row r="3913" spans="4:18" x14ac:dyDescent="0.2">
      <c r="D3913" t="s">
        <v>63</v>
      </c>
      <c r="E3913" t="s">
        <v>64</v>
      </c>
      <c r="F3913" t="s">
        <v>65</v>
      </c>
      <c r="G3913" t="s">
        <v>153</v>
      </c>
      <c r="H3913" t="s">
        <v>153</v>
      </c>
      <c r="I3913" t="s">
        <v>43</v>
      </c>
      <c r="J3913" t="s">
        <v>44</v>
      </c>
      <c r="K3913" t="s">
        <v>30</v>
      </c>
      <c r="L3913" t="s">
        <v>31</v>
      </c>
      <c r="M3913" t="s">
        <v>140</v>
      </c>
      <c r="N3913">
        <v>7.4437500000000003E-4</v>
      </c>
      <c r="O3913">
        <v>8.7409853999999995E-2</v>
      </c>
      <c r="P3913">
        <v>8.3434495999999997E-2</v>
      </c>
      <c r="Q3913" t="str">
        <f t="shared" si="122"/>
        <v>35-49</v>
      </c>
      <c r="R3913" t="str">
        <f t="shared" si="123"/>
        <v>[lPTyjLi4w3d]|35-49|Female|Incidence_SUBNAT.Rt.T_1|CY2024Q3</v>
      </c>
    </row>
    <row r="3914" spans="4:18" x14ac:dyDescent="0.2">
      <c r="D3914" t="s">
        <v>63</v>
      </c>
      <c r="E3914" t="s">
        <v>64</v>
      </c>
      <c r="F3914" t="s">
        <v>65</v>
      </c>
      <c r="G3914" t="s">
        <v>153</v>
      </c>
      <c r="H3914" t="s">
        <v>153</v>
      </c>
      <c r="I3914" t="s">
        <v>45</v>
      </c>
      <c r="J3914" t="s">
        <v>46</v>
      </c>
      <c r="K3914" t="s">
        <v>30</v>
      </c>
      <c r="L3914" t="s">
        <v>31</v>
      </c>
      <c r="M3914" t="s">
        <v>140</v>
      </c>
      <c r="N3914">
        <v>2.12936E-4</v>
      </c>
      <c r="O3914">
        <v>8.5385904999999998E-2</v>
      </c>
      <c r="P3914">
        <v>8.3434495999999997E-2</v>
      </c>
      <c r="Q3914" t="str">
        <f t="shared" si="122"/>
        <v>50+</v>
      </c>
      <c r="R3914" t="str">
        <f t="shared" si="123"/>
        <v>[lPTyjLi4w3d]|50+|Female|Incidence_SUBNAT.Rt.T_1|CY2024Q3</v>
      </c>
    </row>
    <row r="3915" spans="4:18" x14ac:dyDescent="0.2">
      <c r="D3915" t="s">
        <v>63</v>
      </c>
      <c r="E3915" t="s">
        <v>64</v>
      </c>
      <c r="F3915" t="s">
        <v>65</v>
      </c>
      <c r="G3915" t="s">
        <v>153</v>
      </c>
      <c r="H3915" t="s">
        <v>153</v>
      </c>
      <c r="I3915" t="s">
        <v>28</v>
      </c>
      <c r="J3915" t="s">
        <v>29</v>
      </c>
      <c r="K3915" t="s">
        <v>48</v>
      </c>
      <c r="L3915" t="s">
        <v>49</v>
      </c>
      <c r="M3915" t="s">
        <v>140</v>
      </c>
      <c r="N3915">
        <v>1.440783E-3</v>
      </c>
      <c r="O3915">
        <v>7.6790865E-2</v>
      </c>
      <c r="P3915">
        <v>8.3434495999999997E-2</v>
      </c>
      <c r="Q3915" t="str">
        <f t="shared" si="122"/>
        <v>&lt;01</v>
      </c>
      <c r="R3915" t="str">
        <f t="shared" si="123"/>
        <v>[lPTyjLi4w3d]|&lt;01|Male|Incidence_SUBNAT.Rt.T_1|CY2024Q3</v>
      </c>
    </row>
    <row r="3916" spans="4:18" x14ac:dyDescent="0.2">
      <c r="D3916" t="s">
        <v>63</v>
      </c>
      <c r="E3916" t="s">
        <v>64</v>
      </c>
      <c r="F3916" t="s">
        <v>65</v>
      </c>
      <c r="G3916" t="s">
        <v>153</v>
      </c>
      <c r="H3916" t="s">
        <v>153</v>
      </c>
      <c r="I3916" t="s">
        <v>33</v>
      </c>
      <c r="J3916" t="s">
        <v>34</v>
      </c>
      <c r="K3916" t="s">
        <v>48</v>
      </c>
      <c r="L3916" t="s">
        <v>49</v>
      </c>
      <c r="M3916" t="s">
        <v>140</v>
      </c>
      <c r="N3916" s="235" t="s">
        <v>162</v>
      </c>
      <c r="O3916">
        <v>3.8395432E-2</v>
      </c>
      <c r="P3916">
        <v>8.3434495999999997E-2</v>
      </c>
      <c r="Q3916" t="str">
        <f t="shared" si="122"/>
        <v>01-09</v>
      </c>
      <c r="R3916" t="str">
        <f t="shared" si="123"/>
        <v>[lPTyjLi4w3d]|01-09|Male|Incidence_SUBNAT.Rt.T_1|CY2024Q3</v>
      </c>
    </row>
    <row r="3917" spans="4:18" x14ac:dyDescent="0.2">
      <c r="D3917" t="s">
        <v>63</v>
      </c>
      <c r="E3917" t="s">
        <v>64</v>
      </c>
      <c r="F3917" t="s">
        <v>65</v>
      </c>
      <c r="G3917" t="s">
        <v>153</v>
      </c>
      <c r="H3917" t="s">
        <v>153</v>
      </c>
      <c r="I3917" t="s">
        <v>36</v>
      </c>
      <c r="J3917" t="s">
        <v>37</v>
      </c>
      <c r="K3917" t="s">
        <v>48</v>
      </c>
      <c r="L3917" t="s">
        <v>49</v>
      </c>
      <c r="M3917" t="s">
        <v>140</v>
      </c>
      <c r="N3917">
        <v>0</v>
      </c>
      <c r="O3917">
        <v>0</v>
      </c>
      <c r="P3917">
        <v>8.3434495999999997E-2</v>
      </c>
      <c r="Q3917" t="str">
        <f t="shared" si="122"/>
        <v>10-14</v>
      </c>
      <c r="R3917" t="str">
        <f t="shared" si="123"/>
        <v>[lPTyjLi4w3d]|10-14|Male|Incidence_SUBNAT.Rt.T_1|CY2024Q3</v>
      </c>
    </row>
    <row r="3918" spans="4:18" x14ac:dyDescent="0.2">
      <c r="D3918" t="s">
        <v>63</v>
      </c>
      <c r="E3918" t="s">
        <v>64</v>
      </c>
      <c r="F3918" t="s">
        <v>65</v>
      </c>
      <c r="G3918" t="s">
        <v>153</v>
      </c>
      <c r="H3918" t="s">
        <v>153</v>
      </c>
      <c r="I3918" t="s">
        <v>38</v>
      </c>
      <c r="J3918" t="s">
        <v>39</v>
      </c>
      <c r="K3918" t="s">
        <v>48</v>
      </c>
      <c r="L3918" t="s">
        <v>49</v>
      </c>
      <c r="M3918" t="s">
        <v>140</v>
      </c>
      <c r="N3918">
        <v>1.4795800000000001E-4</v>
      </c>
      <c r="O3918">
        <v>8.7003733999999999E-2</v>
      </c>
      <c r="P3918">
        <v>8.3434495999999997E-2</v>
      </c>
      <c r="Q3918" t="str">
        <f t="shared" si="122"/>
        <v>15-24</v>
      </c>
      <c r="R3918" t="str">
        <f t="shared" si="123"/>
        <v>[lPTyjLi4w3d]|15-24|Male|Incidence_SUBNAT.Rt.T_1|CY2024Q3</v>
      </c>
    </row>
    <row r="3919" spans="4:18" x14ac:dyDescent="0.2">
      <c r="D3919" t="s">
        <v>63</v>
      </c>
      <c r="E3919" t="s">
        <v>64</v>
      </c>
      <c r="F3919" t="s">
        <v>65</v>
      </c>
      <c r="G3919" t="s">
        <v>153</v>
      </c>
      <c r="H3919" t="s">
        <v>153</v>
      </c>
      <c r="I3919" t="s">
        <v>41</v>
      </c>
      <c r="J3919" t="s">
        <v>42</v>
      </c>
      <c r="K3919" t="s">
        <v>48</v>
      </c>
      <c r="L3919" t="s">
        <v>49</v>
      </c>
      <c r="M3919" t="s">
        <v>140</v>
      </c>
      <c r="N3919">
        <v>8.03454E-4</v>
      </c>
      <c r="O3919">
        <v>8.6991954999999996E-2</v>
      </c>
      <c r="P3919">
        <v>8.3434495999999997E-2</v>
      </c>
      <c r="Q3919" t="str">
        <f t="shared" si="122"/>
        <v>25-34</v>
      </c>
      <c r="R3919" t="str">
        <f t="shared" si="123"/>
        <v>[lPTyjLi4w3d]|25-34|Male|Incidence_SUBNAT.Rt.T_1|CY2024Q3</v>
      </c>
    </row>
    <row r="3920" spans="4:18" x14ac:dyDescent="0.2">
      <c r="D3920" t="s">
        <v>63</v>
      </c>
      <c r="E3920" t="s">
        <v>64</v>
      </c>
      <c r="F3920" t="s">
        <v>65</v>
      </c>
      <c r="G3920" t="s">
        <v>153</v>
      </c>
      <c r="H3920" t="s">
        <v>153</v>
      </c>
      <c r="I3920" t="s">
        <v>43</v>
      </c>
      <c r="J3920" t="s">
        <v>44</v>
      </c>
      <c r="K3920" t="s">
        <v>48</v>
      </c>
      <c r="L3920" t="s">
        <v>49</v>
      </c>
      <c r="M3920" t="s">
        <v>140</v>
      </c>
      <c r="N3920">
        <v>9.2867399999999999E-4</v>
      </c>
      <c r="O3920">
        <v>8.7227412000000004E-2</v>
      </c>
      <c r="P3920">
        <v>8.3434495999999997E-2</v>
      </c>
      <c r="Q3920" t="str">
        <f t="shared" si="122"/>
        <v>35-49</v>
      </c>
      <c r="R3920" t="str">
        <f t="shared" si="123"/>
        <v>[lPTyjLi4w3d]|35-49|Male|Incidence_SUBNAT.Rt.T_1|CY2024Q3</v>
      </c>
    </row>
    <row r="3921" spans="4:18" x14ac:dyDescent="0.2">
      <c r="D3921" t="s">
        <v>63</v>
      </c>
      <c r="E3921" t="s">
        <v>64</v>
      </c>
      <c r="F3921" t="s">
        <v>65</v>
      </c>
      <c r="G3921" t="s">
        <v>153</v>
      </c>
      <c r="H3921" t="s">
        <v>153</v>
      </c>
      <c r="I3921" t="s">
        <v>45</v>
      </c>
      <c r="J3921" t="s">
        <v>46</v>
      </c>
      <c r="K3921" t="s">
        <v>48</v>
      </c>
      <c r="L3921" t="s">
        <v>49</v>
      </c>
      <c r="M3921" t="s">
        <v>140</v>
      </c>
      <c r="N3921">
        <v>4.9915400000000003E-4</v>
      </c>
      <c r="O3921">
        <v>8.5920426999999994E-2</v>
      </c>
      <c r="P3921">
        <v>8.3434495999999997E-2</v>
      </c>
      <c r="Q3921" t="str">
        <f t="shared" si="122"/>
        <v>50+</v>
      </c>
      <c r="R3921" t="str">
        <f t="shared" si="123"/>
        <v>[lPTyjLi4w3d]|50+|Male|Incidence_SUBNAT.Rt.T_1|CY2024Q3</v>
      </c>
    </row>
    <row r="3922" spans="4:18" x14ac:dyDescent="0.2">
      <c r="D3922" t="s">
        <v>66</v>
      </c>
      <c r="E3922" t="s">
        <v>67</v>
      </c>
      <c r="F3922" t="s">
        <v>68</v>
      </c>
      <c r="G3922" t="s">
        <v>153</v>
      </c>
      <c r="H3922" t="s">
        <v>153</v>
      </c>
      <c r="I3922" t="s">
        <v>28</v>
      </c>
      <c r="J3922" t="s">
        <v>29</v>
      </c>
      <c r="K3922" t="s">
        <v>30</v>
      </c>
      <c r="L3922" t="s">
        <v>31</v>
      </c>
      <c r="M3922" t="s">
        <v>140</v>
      </c>
      <c r="N3922">
        <v>1.5049519999999999E-3</v>
      </c>
      <c r="O3922">
        <v>2.8699867E-2</v>
      </c>
      <c r="P3922">
        <v>4.2646297999999999E-2</v>
      </c>
      <c r="Q3922" t="str">
        <f t="shared" si="122"/>
        <v>&lt;01</v>
      </c>
      <c r="R3922" t="str">
        <f t="shared" si="123"/>
        <v>[vA4NcHxfMBq]|&lt;01|Female|Incidence_SUBNAT.Rt.T_1|CY2024Q3</v>
      </c>
    </row>
    <row r="3923" spans="4:18" x14ac:dyDescent="0.2">
      <c r="D3923" t="s">
        <v>66</v>
      </c>
      <c r="E3923" t="s">
        <v>67</v>
      </c>
      <c r="F3923" t="s">
        <v>68</v>
      </c>
      <c r="G3923" t="s">
        <v>153</v>
      </c>
      <c r="H3923" t="s">
        <v>153</v>
      </c>
      <c r="I3923" t="s">
        <v>33</v>
      </c>
      <c r="J3923" t="s">
        <v>34</v>
      </c>
      <c r="K3923" t="s">
        <v>30</v>
      </c>
      <c r="L3923" t="s">
        <v>31</v>
      </c>
      <c r="M3923" t="s">
        <v>140</v>
      </c>
      <c r="N3923" s="235" t="s">
        <v>163</v>
      </c>
      <c r="O3923">
        <v>1.4349933E-2</v>
      </c>
      <c r="P3923">
        <v>4.2646297999999999E-2</v>
      </c>
      <c r="Q3923" t="str">
        <f t="shared" si="122"/>
        <v>01-09</v>
      </c>
      <c r="R3923" t="str">
        <f t="shared" si="123"/>
        <v>[vA4NcHxfMBq]|01-09|Female|Incidence_SUBNAT.Rt.T_1|CY2024Q3</v>
      </c>
    </row>
    <row r="3924" spans="4:18" x14ac:dyDescent="0.2">
      <c r="D3924" t="s">
        <v>66</v>
      </c>
      <c r="E3924" t="s">
        <v>67</v>
      </c>
      <c r="F3924" t="s">
        <v>68</v>
      </c>
      <c r="G3924" t="s">
        <v>153</v>
      </c>
      <c r="H3924" t="s">
        <v>153</v>
      </c>
      <c r="I3924" t="s">
        <v>36</v>
      </c>
      <c r="J3924" t="s">
        <v>37</v>
      </c>
      <c r="K3924" t="s">
        <v>30</v>
      </c>
      <c r="L3924" t="s">
        <v>31</v>
      </c>
      <c r="M3924" t="s">
        <v>140</v>
      </c>
      <c r="N3924">
        <v>0</v>
      </c>
      <c r="O3924">
        <v>0</v>
      </c>
      <c r="P3924">
        <v>4.2646297999999999E-2</v>
      </c>
      <c r="Q3924" t="str">
        <f t="shared" si="122"/>
        <v>10-14</v>
      </c>
      <c r="R3924" t="str">
        <f t="shared" si="123"/>
        <v>[vA4NcHxfMBq]|10-14|Female|Incidence_SUBNAT.Rt.T_1|CY2024Q3</v>
      </c>
    </row>
    <row r="3925" spans="4:18" x14ac:dyDescent="0.2">
      <c r="D3925" t="s">
        <v>66</v>
      </c>
      <c r="E3925" t="s">
        <v>67</v>
      </c>
      <c r="F3925" t="s">
        <v>68</v>
      </c>
      <c r="G3925" t="s">
        <v>153</v>
      </c>
      <c r="H3925" t="s">
        <v>153</v>
      </c>
      <c r="I3925" t="s">
        <v>38</v>
      </c>
      <c r="J3925" t="s">
        <v>39</v>
      </c>
      <c r="K3925" t="s">
        <v>30</v>
      </c>
      <c r="L3925" t="s">
        <v>31</v>
      </c>
      <c r="M3925" t="s">
        <v>140</v>
      </c>
      <c r="N3925">
        <v>9.7596900000000003E-4</v>
      </c>
      <c r="O3925">
        <v>4.6798350000000002E-2</v>
      </c>
      <c r="P3925">
        <v>4.2646297999999999E-2</v>
      </c>
      <c r="Q3925" t="str">
        <f t="shared" si="122"/>
        <v>15-24</v>
      </c>
      <c r="R3925" t="str">
        <f t="shared" si="123"/>
        <v>[vA4NcHxfMBq]|15-24|Female|Incidence_SUBNAT.Rt.T_1|CY2024Q3</v>
      </c>
    </row>
    <row r="3926" spans="4:18" x14ac:dyDescent="0.2">
      <c r="D3926" t="s">
        <v>66</v>
      </c>
      <c r="E3926" t="s">
        <v>67</v>
      </c>
      <c r="F3926" t="s">
        <v>68</v>
      </c>
      <c r="G3926" t="s">
        <v>153</v>
      </c>
      <c r="H3926" t="s">
        <v>153</v>
      </c>
      <c r="I3926" t="s">
        <v>41</v>
      </c>
      <c r="J3926" t="s">
        <v>42</v>
      </c>
      <c r="K3926" t="s">
        <v>30</v>
      </c>
      <c r="L3926" t="s">
        <v>31</v>
      </c>
      <c r="M3926" t="s">
        <v>140</v>
      </c>
      <c r="N3926">
        <v>1.5185330000000001E-3</v>
      </c>
      <c r="O3926">
        <v>4.6505649000000003E-2</v>
      </c>
      <c r="P3926">
        <v>4.2646297999999999E-2</v>
      </c>
      <c r="Q3926" t="str">
        <f t="shared" si="122"/>
        <v>25-34</v>
      </c>
      <c r="R3926" t="str">
        <f t="shared" si="123"/>
        <v>[vA4NcHxfMBq]|25-34|Female|Incidence_SUBNAT.Rt.T_1|CY2024Q3</v>
      </c>
    </row>
    <row r="3927" spans="4:18" x14ac:dyDescent="0.2">
      <c r="D3927" t="s">
        <v>66</v>
      </c>
      <c r="E3927" t="s">
        <v>67</v>
      </c>
      <c r="F3927" t="s">
        <v>68</v>
      </c>
      <c r="G3927" t="s">
        <v>153</v>
      </c>
      <c r="H3927" t="s">
        <v>153</v>
      </c>
      <c r="I3927" t="s">
        <v>43</v>
      </c>
      <c r="J3927" t="s">
        <v>44</v>
      </c>
      <c r="K3927" t="s">
        <v>30</v>
      </c>
      <c r="L3927" t="s">
        <v>31</v>
      </c>
      <c r="M3927" t="s">
        <v>140</v>
      </c>
      <c r="N3927">
        <v>7.9041699999999996E-4</v>
      </c>
      <c r="O3927">
        <v>4.7595724999999998E-2</v>
      </c>
      <c r="P3927">
        <v>4.2646297999999999E-2</v>
      </c>
      <c r="Q3927" t="str">
        <f t="shared" si="122"/>
        <v>35-49</v>
      </c>
      <c r="R3927" t="str">
        <f t="shared" si="123"/>
        <v>[vA4NcHxfMBq]|35-49|Female|Incidence_SUBNAT.Rt.T_1|CY2024Q3</v>
      </c>
    </row>
    <row r="3928" spans="4:18" x14ac:dyDescent="0.2">
      <c r="D3928" t="s">
        <v>66</v>
      </c>
      <c r="E3928" t="s">
        <v>67</v>
      </c>
      <c r="F3928" t="s">
        <v>68</v>
      </c>
      <c r="G3928" t="s">
        <v>153</v>
      </c>
      <c r="H3928" t="s">
        <v>153</v>
      </c>
      <c r="I3928" t="s">
        <v>45</v>
      </c>
      <c r="J3928" t="s">
        <v>46</v>
      </c>
      <c r="K3928" t="s">
        <v>30</v>
      </c>
      <c r="L3928" t="s">
        <v>31</v>
      </c>
      <c r="M3928" t="s">
        <v>140</v>
      </c>
      <c r="N3928">
        <v>2.05999E-4</v>
      </c>
      <c r="O3928">
        <v>5.2231222000000001E-2</v>
      </c>
      <c r="P3928">
        <v>4.2646297999999999E-2</v>
      </c>
      <c r="Q3928" t="str">
        <f t="shared" si="122"/>
        <v>50+</v>
      </c>
      <c r="R3928" t="str">
        <f t="shared" si="123"/>
        <v>[vA4NcHxfMBq]|50+|Female|Incidence_SUBNAT.Rt.T_1|CY2024Q3</v>
      </c>
    </row>
    <row r="3929" spans="4:18" x14ac:dyDescent="0.2">
      <c r="D3929" t="s">
        <v>66</v>
      </c>
      <c r="E3929" t="s">
        <v>67</v>
      </c>
      <c r="F3929" t="s">
        <v>68</v>
      </c>
      <c r="G3929" t="s">
        <v>153</v>
      </c>
      <c r="H3929" t="s">
        <v>153</v>
      </c>
      <c r="I3929" t="s">
        <v>28</v>
      </c>
      <c r="J3929" t="s">
        <v>29</v>
      </c>
      <c r="K3929" t="s">
        <v>48</v>
      </c>
      <c r="L3929" t="s">
        <v>49</v>
      </c>
      <c r="M3929" t="s">
        <v>140</v>
      </c>
      <c r="N3929">
        <v>1.5079850000000001E-3</v>
      </c>
      <c r="O3929">
        <v>2.8738072999999999E-2</v>
      </c>
      <c r="P3929">
        <v>4.2646297999999999E-2</v>
      </c>
      <c r="Q3929" t="str">
        <f t="shared" si="122"/>
        <v>&lt;01</v>
      </c>
      <c r="R3929" t="str">
        <f t="shared" si="123"/>
        <v>[vA4NcHxfMBq]|&lt;01|Male|Incidence_SUBNAT.Rt.T_1|CY2024Q3</v>
      </c>
    </row>
    <row r="3930" spans="4:18" x14ac:dyDescent="0.2">
      <c r="D3930" t="s">
        <v>66</v>
      </c>
      <c r="E3930" t="s">
        <v>67</v>
      </c>
      <c r="F3930" t="s">
        <v>68</v>
      </c>
      <c r="G3930" t="s">
        <v>153</v>
      </c>
      <c r="H3930" t="s">
        <v>153</v>
      </c>
      <c r="I3930" t="s">
        <v>33</v>
      </c>
      <c r="J3930" t="s">
        <v>34</v>
      </c>
      <c r="K3930" t="s">
        <v>48</v>
      </c>
      <c r="L3930" t="s">
        <v>49</v>
      </c>
      <c r="M3930" t="s">
        <v>140</v>
      </c>
      <c r="N3930" s="235" t="s">
        <v>164</v>
      </c>
      <c r="O3930">
        <v>1.4369036999999999E-2</v>
      </c>
      <c r="P3930">
        <v>4.2646297999999999E-2</v>
      </c>
      <c r="Q3930" t="str">
        <f t="shared" si="122"/>
        <v>01-09</v>
      </c>
      <c r="R3930" t="str">
        <f t="shared" si="123"/>
        <v>[vA4NcHxfMBq]|01-09|Male|Incidence_SUBNAT.Rt.T_1|CY2024Q3</v>
      </c>
    </row>
    <row r="3931" spans="4:18" x14ac:dyDescent="0.2">
      <c r="D3931" t="s">
        <v>66</v>
      </c>
      <c r="E3931" t="s">
        <v>67</v>
      </c>
      <c r="F3931" t="s">
        <v>68</v>
      </c>
      <c r="G3931" t="s">
        <v>153</v>
      </c>
      <c r="H3931" t="s">
        <v>153</v>
      </c>
      <c r="I3931" t="s">
        <v>36</v>
      </c>
      <c r="J3931" t="s">
        <v>37</v>
      </c>
      <c r="K3931" t="s">
        <v>48</v>
      </c>
      <c r="L3931" t="s">
        <v>49</v>
      </c>
      <c r="M3931" t="s">
        <v>140</v>
      </c>
      <c r="N3931">
        <v>0</v>
      </c>
      <c r="O3931">
        <v>0</v>
      </c>
      <c r="P3931">
        <v>4.2646297999999999E-2</v>
      </c>
      <c r="Q3931" t="str">
        <f t="shared" si="122"/>
        <v>10-14</v>
      </c>
      <c r="R3931" t="str">
        <f t="shared" si="123"/>
        <v>[vA4NcHxfMBq]|10-14|Male|Incidence_SUBNAT.Rt.T_1|CY2024Q3</v>
      </c>
    </row>
    <row r="3932" spans="4:18" x14ac:dyDescent="0.2">
      <c r="D3932" t="s">
        <v>66</v>
      </c>
      <c r="E3932" t="s">
        <v>67</v>
      </c>
      <c r="F3932" t="s">
        <v>68</v>
      </c>
      <c r="G3932" t="s">
        <v>153</v>
      </c>
      <c r="H3932" t="s">
        <v>153</v>
      </c>
      <c r="I3932" t="s">
        <v>38</v>
      </c>
      <c r="J3932" t="s">
        <v>39</v>
      </c>
      <c r="K3932" t="s">
        <v>48</v>
      </c>
      <c r="L3932" t="s">
        <v>49</v>
      </c>
      <c r="M3932" t="s">
        <v>140</v>
      </c>
      <c r="N3932">
        <v>1.6630900000000001E-4</v>
      </c>
      <c r="O3932">
        <v>4.6965877000000003E-2</v>
      </c>
      <c r="P3932">
        <v>4.2646297999999999E-2</v>
      </c>
      <c r="Q3932" t="str">
        <f t="shared" si="122"/>
        <v>15-24</v>
      </c>
      <c r="R3932" t="str">
        <f t="shared" si="123"/>
        <v>[vA4NcHxfMBq]|15-24|Male|Incidence_SUBNAT.Rt.T_1|CY2024Q3</v>
      </c>
    </row>
    <row r="3933" spans="4:18" x14ac:dyDescent="0.2">
      <c r="D3933" t="s">
        <v>66</v>
      </c>
      <c r="E3933" t="s">
        <v>67</v>
      </c>
      <c r="F3933" t="s">
        <v>68</v>
      </c>
      <c r="G3933" t="s">
        <v>153</v>
      </c>
      <c r="H3933" t="s">
        <v>153</v>
      </c>
      <c r="I3933" t="s">
        <v>41</v>
      </c>
      <c r="J3933" t="s">
        <v>42</v>
      </c>
      <c r="K3933" t="s">
        <v>48</v>
      </c>
      <c r="L3933" t="s">
        <v>49</v>
      </c>
      <c r="M3933" t="s">
        <v>140</v>
      </c>
      <c r="N3933">
        <v>9.2232200000000005E-4</v>
      </c>
      <c r="O3933">
        <v>4.6562934E-2</v>
      </c>
      <c r="P3933">
        <v>4.2646297999999999E-2</v>
      </c>
      <c r="Q3933" t="str">
        <f t="shared" si="122"/>
        <v>25-34</v>
      </c>
      <c r="R3933" t="str">
        <f t="shared" si="123"/>
        <v>[vA4NcHxfMBq]|25-34|Male|Incidence_SUBNAT.Rt.T_1|CY2024Q3</v>
      </c>
    </row>
    <row r="3934" spans="4:18" x14ac:dyDescent="0.2">
      <c r="D3934" t="s">
        <v>66</v>
      </c>
      <c r="E3934" t="s">
        <v>67</v>
      </c>
      <c r="F3934" t="s">
        <v>68</v>
      </c>
      <c r="G3934" t="s">
        <v>153</v>
      </c>
      <c r="H3934" t="s">
        <v>153</v>
      </c>
      <c r="I3934" t="s">
        <v>43</v>
      </c>
      <c r="J3934" t="s">
        <v>44</v>
      </c>
      <c r="K3934" t="s">
        <v>48</v>
      </c>
      <c r="L3934" t="s">
        <v>49</v>
      </c>
      <c r="M3934" t="s">
        <v>140</v>
      </c>
      <c r="N3934">
        <v>1.03596E-3</v>
      </c>
      <c r="O3934">
        <v>4.6441312999999998E-2</v>
      </c>
      <c r="P3934">
        <v>4.2646297999999999E-2</v>
      </c>
      <c r="Q3934" t="str">
        <f t="shared" si="122"/>
        <v>35-49</v>
      </c>
      <c r="R3934" t="str">
        <f t="shared" si="123"/>
        <v>[vA4NcHxfMBq]|35-49|Male|Incidence_SUBNAT.Rt.T_1|CY2024Q3</v>
      </c>
    </row>
    <row r="3935" spans="4:18" x14ac:dyDescent="0.2">
      <c r="D3935" t="s">
        <v>66</v>
      </c>
      <c r="E3935" t="s">
        <v>67</v>
      </c>
      <c r="F3935" t="s">
        <v>68</v>
      </c>
      <c r="G3935" t="s">
        <v>153</v>
      </c>
      <c r="H3935" t="s">
        <v>153</v>
      </c>
      <c r="I3935" t="s">
        <v>45</v>
      </c>
      <c r="J3935" t="s">
        <v>46</v>
      </c>
      <c r="K3935" t="s">
        <v>48</v>
      </c>
      <c r="L3935" t="s">
        <v>49</v>
      </c>
      <c r="M3935" t="s">
        <v>140</v>
      </c>
      <c r="N3935">
        <v>4.9441100000000005E-4</v>
      </c>
      <c r="O3935">
        <v>5.0873388999999998E-2</v>
      </c>
      <c r="P3935">
        <v>4.2646297999999999E-2</v>
      </c>
      <c r="Q3935" t="str">
        <f t="shared" si="122"/>
        <v>50+</v>
      </c>
      <c r="R3935" t="str">
        <f t="shared" si="123"/>
        <v>[vA4NcHxfMBq]|50+|Male|Incidence_SUBNAT.Rt.T_1|CY2024Q3</v>
      </c>
    </row>
    <row r="3936" spans="4:18" x14ac:dyDescent="0.2">
      <c r="D3936" t="s">
        <v>69</v>
      </c>
      <c r="E3936" t="s">
        <v>70</v>
      </c>
      <c r="F3936" t="s">
        <v>71</v>
      </c>
      <c r="G3936" t="s">
        <v>153</v>
      </c>
      <c r="H3936" t="s">
        <v>153</v>
      </c>
      <c r="I3936" t="s">
        <v>28</v>
      </c>
      <c r="J3936" t="s">
        <v>29</v>
      </c>
      <c r="K3936" t="s">
        <v>30</v>
      </c>
      <c r="L3936" t="s">
        <v>31</v>
      </c>
      <c r="M3936" t="s">
        <v>140</v>
      </c>
      <c r="N3936">
        <v>2.2147719999999998E-3</v>
      </c>
      <c r="O3936">
        <v>3.1643867999999999E-2</v>
      </c>
      <c r="P3936">
        <v>4.8219856999999998E-2</v>
      </c>
      <c r="Q3936" t="str">
        <f t="shared" si="122"/>
        <v>&lt;01</v>
      </c>
      <c r="R3936" t="str">
        <f t="shared" si="123"/>
        <v>[ZCjuwgaMB9u]|&lt;01|Female|Incidence_SUBNAT.Rt.T_1|CY2024Q3</v>
      </c>
    </row>
    <row r="3937" spans="4:18" x14ac:dyDescent="0.2">
      <c r="D3937" t="s">
        <v>69</v>
      </c>
      <c r="E3937" t="s">
        <v>70</v>
      </c>
      <c r="F3937" t="s">
        <v>71</v>
      </c>
      <c r="G3937" t="s">
        <v>153</v>
      </c>
      <c r="H3937" t="s">
        <v>153</v>
      </c>
      <c r="I3937" t="s">
        <v>33</v>
      </c>
      <c r="J3937" t="s">
        <v>34</v>
      </c>
      <c r="K3937" t="s">
        <v>30</v>
      </c>
      <c r="L3937" t="s">
        <v>31</v>
      </c>
      <c r="M3937" t="s">
        <v>140</v>
      </c>
      <c r="N3937" s="235" t="s">
        <v>165</v>
      </c>
      <c r="O3937">
        <v>1.5821933999999999E-2</v>
      </c>
      <c r="P3937">
        <v>4.8219856999999998E-2</v>
      </c>
      <c r="Q3937" t="str">
        <f t="shared" si="122"/>
        <v>01-09</v>
      </c>
      <c r="R3937" t="str">
        <f t="shared" si="123"/>
        <v>[ZCjuwgaMB9u]|01-09|Female|Incidence_SUBNAT.Rt.T_1|CY2024Q3</v>
      </c>
    </row>
    <row r="3938" spans="4:18" x14ac:dyDescent="0.2">
      <c r="D3938" t="s">
        <v>69</v>
      </c>
      <c r="E3938" t="s">
        <v>70</v>
      </c>
      <c r="F3938" t="s">
        <v>71</v>
      </c>
      <c r="G3938" t="s">
        <v>153</v>
      </c>
      <c r="H3938" t="s">
        <v>153</v>
      </c>
      <c r="I3938" t="s">
        <v>36</v>
      </c>
      <c r="J3938" t="s">
        <v>37</v>
      </c>
      <c r="K3938" t="s">
        <v>30</v>
      </c>
      <c r="L3938" t="s">
        <v>31</v>
      </c>
      <c r="M3938" t="s">
        <v>140</v>
      </c>
      <c r="N3938">
        <v>0</v>
      </c>
      <c r="O3938">
        <v>0</v>
      </c>
      <c r="P3938">
        <v>4.8219856999999998E-2</v>
      </c>
      <c r="Q3938" t="str">
        <f t="shared" si="122"/>
        <v>10-14</v>
      </c>
      <c r="R3938" t="str">
        <f t="shared" si="123"/>
        <v>[ZCjuwgaMB9u]|10-14|Female|Incidence_SUBNAT.Rt.T_1|CY2024Q3</v>
      </c>
    </row>
    <row r="3939" spans="4:18" x14ac:dyDescent="0.2">
      <c r="D3939" t="s">
        <v>69</v>
      </c>
      <c r="E3939" t="s">
        <v>70</v>
      </c>
      <c r="F3939" t="s">
        <v>71</v>
      </c>
      <c r="G3939" t="s">
        <v>153</v>
      </c>
      <c r="H3939" t="s">
        <v>153</v>
      </c>
      <c r="I3939" t="s">
        <v>38</v>
      </c>
      <c r="J3939" t="s">
        <v>39</v>
      </c>
      <c r="K3939" t="s">
        <v>30</v>
      </c>
      <c r="L3939" t="s">
        <v>31</v>
      </c>
      <c r="M3939" t="s">
        <v>140</v>
      </c>
      <c r="N3939">
        <v>1.383886E-3</v>
      </c>
      <c r="O3939">
        <v>5.2406675E-2</v>
      </c>
      <c r="P3939">
        <v>4.8219856999999998E-2</v>
      </c>
      <c r="Q3939" t="str">
        <f t="shared" si="122"/>
        <v>15-24</v>
      </c>
      <c r="R3939" t="str">
        <f t="shared" si="123"/>
        <v>[ZCjuwgaMB9u]|15-24|Female|Incidence_SUBNAT.Rt.T_1|CY2024Q3</v>
      </c>
    </row>
    <row r="3940" spans="4:18" x14ac:dyDescent="0.2">
      <c r="D3940" t="s">
        <v>69</v>
      </c>
      <c r="E3940" t="s">
        <v>70</v>
      </c>
      <c r="F3940" t="s">
        <v>71</v>
      </c>
      <c r="G3940" t="s">
        <v>153</v>
      </c>
      <c r="H3940" t="s">
        <v>153</v>
      </c>
      <c r="I3940" t="s">
        <v>41</v>
      </c>
      <c r="J3940" t="s">
        <v>42</v>
      </c>
      <c r="K3940" t="s">
        <v>30</v>
      </c>
      <c r="L3940" t="s">
        <v>31</v>
      </c>
      <c r="M3940" t="s">
        <v>140</v>
      </c>
      <c r="N3940">
        <v>2.0749639999999999E-3</v>
      </c>
      <c r="O3940">
        <v>5.2629373E-2</v>
      </c>
      <c r="P3940">
        <v>4.8219856999999998E-2</v>
      </c>
      <c r="Q3940" t="str">
        <f t="shared" si="122"/>
        <v>25-34</v>
      </c>
      <c r="R3940" t="str">
        <f t="shared" si="123"/>
        <v>[ZCjuwgaMB9u]|25-34|Female|Incidence_SUBNAT.Rt.T_1|CY2024Q3</v>
      </c>
    </row>
    <row r="3941" spans="4:18" x14ac:dyDescent="0.2">
      <c r="D3941" t="s">
        <v>69</v>
      </c>
      <c r="E3941" t="s">
        <v>70</v>
      </c>
      <c r="F3941" t="s">
        <v>71</v>
      </c>
      <c r="G3941" t="s">
        <v>153</v>
      </c>
      <c r="H3941" t="s">
        <v>153</v>
      </c>
      <c r="I3941" t="s">
        <v>43</v>
      </c>
      <c r="J3941" t="s">
        <v>44</v>
      </c>
      <c r="K3941" t="s">
        <v>30</v>
      </c>
      <c r="L3941" t="s">
        <v>31</v>
      </c>
      <c r="M3941" t="s">
        <v>140</v>
      </c>
      <c r="N3941">
        <v>1.1654409999999999E-3</v>
      </c>
      <c r="O3941">
        <v>5.2636810999999999E-2</v>
      </c>
      <c r="P3941">
        <v>4.8219856999999998E-2</v>
      </c>
      <c r="Q3941" t="str">
        <f t="shared" si="122"/>
        <v>35-49</v>
      </c>
      <c r="R3941" t="str">
        <f t="shared" si="123"/>
        <v>[ZCjuwgaMB9u]|35-49|Female|Incidence_SUBNAT.Rt.T_1|CY2024Q3</v>
      </c>
    </row>
    <row r="3942" spans="4:18" x14ac:dyDescent="0.2">
      <c r="D3942" t="s">
        <v>69</v>
      </c>
      <c r="E3942" t="s">
        <v>70</v>
      </c>
      <c r="F3942" t="s">
        <v>71</v>
      </c>
      <c r="G3942" t="s">
        <v>153</v>
      </c>
      <c r="H3942" t="s">
        <v>153</v>
      </c>
      <c r="I3942" t="s">
        <v>45</v>
      </c>
      <c r="J3942" t="s">
        <v>46</v>
      </c>
      <c r="K3942" t="s">
        <v>30</v>
      </c>
      <c r="L3942" t="s">
        <v>31</v>
      </c>
      <c r="M3942" t="s">
        <v>140</v>
      </c>
      <c r="N3942">
        <v>3.0007900000000002E-4</v>
      </c>
      <c r="O3942">
        <v>5.1664037000000003E-2</v>
      </c>
      <c r="P3942">
        <v>4.8219856999999998E-2</v>
      </c>
      <c r="Q3942" t="str">
        <f t="shared" si="122"/>
        <v>50+</v>
      </c>
      <c r="R3942" t="str">
        <f t="shared" si="123"/>
        <v>[ZCjuwgaMB9u]|50+|Female|Incidence_SUBNAT.Rt.T_1|CY2024Q3</v>
      </c>
    </row>
    <row r="3943" spans="4:18" x14ac:dyDescent="0.2">
      <c r="D3943" t="s">
        <v>69</v>
      </c>
      <c r="E3943" t="s">
        <v>70</v>
      </c>
      <c r="F3943" t="s">
        <v>71</v>
      </c>
      <c r="G3943" t="s">
        <v>153</v>
      </c>
      <c r="H3943" t="s">
        <v>153</v>
      </c>
      <c r="I3943" t="s">
        <v>28</v>
      </c>
      <c r="J3943" t="s">
        <v>29</v>
      </c>
      <c r="K3943" t="s">
        <v>48</v>
      </c>
      <c r="L3943" t="s">
        <v>49</v>
      </c>
      <c r="M3943" t="s">
        <v>140</v>
      </c>
      <c r="N3943">
        <v>2.2221419999999999E-3</v>
      </c>
      <c r="O3943">
        <v>3.1643881999999998E-2</v>
      </c>
      <c r="P3943">
        <v>4.8219856999999998E-2</v>
      </c>
      <c r="Q3943" t="str">
        <f t="shared" si="122"/>
        <v>&lt;01</v>
      </c>
      <c r="R3943" t="str">
        <f t="shared" si="123"/>
        <v>[ZCjuwgaMB9u]|&lt;01|Male|Incidence_SUBNAT.Rt.T_1|CY2024Q3</v>
      </c>
    </row>
    <row r="3944" spans="4:18" x14ac:dyDescent="0.2">
      <c r="D3944" t="s">
        <v>69</v>
      </c>
      <c r="E3944" t="s">
        <v>70</v>
      </c>
      <c r="F3944" t="s">
        <v>71</v>
      </c>
      <c r="G3944" t="s">
        <v>153</v>
      </c>
      <c r="H3944" t="s">
        <v>153</v>
      </c>
      <c r="I3944" t="s">
        <v>33</v>
      </c>
      <c r="J3944" t="s">
        <v>34</v>
      </c>
      <c r="K3944" t="s">
        <v>48</v>
      </c>
      <c r="L3944" t="s">
        <v>49</v>
      </c>
      <c r="M3944" t="s">
        <v>140</v>
      </c>
      <c r="N3944" s="235" t="s">
        <v>166</v>
      </c>
      <c r="O3944">
        <v>1.5821940999999999E-2</v>
      </c>
      <c r="P3944">
        <v>4.8219856999999998E-2</v>
      </c>
      <c r="Q3944" t="str">
        <f t="shared" si="122"/>
        <v>01-09</v>
      </c>
      <c r="R3944" t="str">
        <f t="shared" si="123"/>
        <v>[ZCjuwgaMB9u]|01-09|Male|Incidence_SUBNAT.Rt.T_1|CY2024Q3</v>
      </c>
    </row>
    <row r="3945" spans="4:18" x14ac:dyDescent="0.2">
      <c r="D3945" t="s">
        <v>69</v>
      </c>
      <c r="E3945" t="s">
        <v>70</v>
      </c>
      <c r="F3945" t="s">
        <v>71</v>
      </c>
      <c r="G3945" t="s">
        <v>153</v>
      </c>
      <c r="H3945" t="s">
        <v>153</v>
      </c>
      <c r="I3945" t="s">
        <v>36</v>
      </c>
      <c r="J3945" t="s">
        <v>37</v>
      </c>
      <c r="K3945" t="s">
        <v>48</v>
      </c>
      <c r="L3945" t="s">
        <v>49</v>
      </c>
      <c r="M3945" t="s">
        <v>140</v>
      </c>
      <c r="N3945">
        <v>0</v>
      </c>
      <c r="O3945">
        <v>0</v>
      </c>
      <c r="P3945">
        <v>4.8219856999999998E-2</v>
      </c>
      <c r="Q3945" t="str">
        <f t="shared" si="122"/>
        <v>10-14</v>
      </c>
      <c r="R3945" t="str">
        <f t="shared" si="123"/>
        <v>[ZCjuwgaMB9u]|10-14|Male|Incidence_SUBNAT.Rt.T_1|CY2024Q3</v>
      </c>
    </row>
    <row r="3946" spans="4:18" x14ac:dyDescent="0.2">
      <c r="D3946" t="s">
        <v>69</v>
      </c>
      <c r="E3946" t="s">
        <v>70</v>
      </c>
      <c r="F3946" t="s">
        <v>71</v>
      </c>
      <c r="G3946" t="s">
        <v>153</v>
      </c>
      <c r="H3946" t="s">
        <v>153</v>
      </c>
      <c r="I3946" t="s">
        <v>38</v>
      </c>
      <c r="J3946" t="s">
        <v>39</v>
      </c>
      <c r="K3946" t="s">
        <v>48</v>
      </c>
      <c r="L3946" t="s">
        <v>49</v>
      </c>
      <c r="M3946" t="s">
        <v>140</v>
      </c>
      <c r="N3946">
        <v>2.35341E-4</v>
      </c>
      <c r="O3946">
        <v>5.2430683999999998E-2</v>
      </c>
      <c r="P3946">
        <v>4.8219856999999998E-2</v>
      </c>
      <c r="Q3946" t="str">
        <f t="shared" si="122"/>
        <v>15-24</v>
      </c>
      <c r="R3946" t="str">
        <f t="shared" si="123"/>
        <v>[ZCjuwgaMB9u]|15-24|Male|Incidence_SUBNAT.Rt.T_1|CY2024Q3</v>
      </c>
    </row>
    <row r="3947" spans="4:18" x14ac:dyDescent="0.2">
      <c r="D3947" t="s">
        <v>69</v>
      </c>
      <c r="E3947" t="s">
        <v>70</v>
      </c>
      <c r="F3947" t="s">
        <v>71</v>
      </c>
      <c r="G3947" t="s">
        <v>153</v>
      </c>
      <c r="H3947" t="s">
        <v>153</v>
      </c>
      <c r="I3947" t="s">
        <v>41</v>
      </c>
      <c r="J3947" t="s">
        <v>42</v>
      </c>
      <c r="K3947" t="s">
        <v>48</v>
      </c>
      <c r="L3947" t="s">
        <v>49</v>
      </c>
      <c r="M3947" t="s">
        <v>140</v>
      </c>
      <c r="N3947">
        <v>1.239913E-3</v>
      </c>
      <c r="O3947">
        <v>5.2475786000000003E-2</v>
      </c>
      <c r="P3947">
        <v>4.8219856999999998E-2</v>
      </c>
      <c r="Q3947" t="str">
        <f t="shared" si="122"/>
        <v>25-34</v>
      </c>
      <c r="R3947" t="str">
        <f t="shared" si="123"/>
        <v>[ZCjuwgaMB9u]|25-34|Male|Incidence_SUBNAT.Rt.T_1|CY2024Q3</v>
      </c>
    </row>
    <row r="3948" spans="4:18" x14ac:dyDescent="0.2">
      <c r="D3948" t="s">
        <v>69</v>
      </c>
      <c r="E3948" t="s">
        <v>70</v>
      </c>
      <c r="F3948" t="s">
        <v>71</v>
      </c>
      <c r="G3948" t="s">
        <v>153</v>
      </c>
      <c r="H3948" t="s">
        <v>153</v>
      </c>
      <c r="I3948" t="s">
        <v>43</v>
      </c>
      <c r="J3948" t="s">
        <v>44</v>
      </c>
      <c r="K3948" t="s">
        <v>48</v>
      </c>
      <c r="L3948" t="s">
        <v>49</v>
      </c>
      <c r="M3948" t="s">
        <v>140</v>
      </c>
      <c r="N3948">
        <v>1.444068E-3</v>
      </c>
      <c r="O3948">
        <v>5.2624022999999999E-2</v>
      </c>
      <c r="P3948">
        <v>4.8219856999999998E-2</v>
      </c>
      <c r="Q3948" t="str">
        <f t="shared" si="122"/>
        <v>35-49</v>
      </c>
      <c r="R3948" t="str">
        <f t="shared" si="123"/>
        <v>[ZCjuwgaMB9u]|35-49|Male|Incidence_SUBNAT.Rt.T_1|CY2024Q3</v>
      </c>
    </row>
    <row r="3949" spans="4:18" x14ac:dyDescent="0.2">
      <c r="D3949" t="s">
        <v>69</v>
      </c>
      <c r="E3949" t="s">
        <v>70</v>
      </c>
      <c r="F3949" t="s">
        <v>71</v>
      </c>
      <c r="G3949" t="s">
        <v>153</v>
      </c>
      <c r="H3949" t="s">
        <v>153</v>
      </c>
      <c r="I3949" t="s">
        <v>45</v>
      </c>
      <c r="J3949" t="s">
        <v>46</v>
      </c>
      <c r="K3949" t="s">
        <v>48</v>
      </c>
      <c r="L3949" t="s">
        <v>49</v>
      </c>
      <c r="M3949" t="s">
        <v>140</v>
      </c>
      <c r="N3949">
        <v>7.6352400000000002E-4</v>
      </c>
      <c r="O3949">
        <v>5.1934371999999999E-2</v>
      </c>
      <c r="P3949">
        <v>4.8219856999999998E-2</v>
      </c>
      <c r="Q3949" t="str">
        <f t="shared" si="122"/>
        <v>50+</v>
      </c>
      <c r="R3949" t="str">
        <f t="shared" si="123"/>
        <v>[ZCjuwgaMB9u]|50+|Male|Incidence_SUBNAT.Rt.T_1|CY2024Q3</v>
      </c>
    </row>
    <row r="3950" spans="4:18" x14ac:dyDescent="0.2">
      <c r="D3950" t="s">
        <v>72</v>
      </c>
      <c r="E3950" t="s">
        <v>73</v>
      </c>
      <c r="F3950" t="s">
        <v>74</v>
      </c>
      <c r="G3950" t="s">
        <v>153</v>
      </c>
      <c r="H3950" t="s">
        <v>153</v>
      </c>
      <c r="I3950" t="s">
        <v>28</v>
      </c>
      <c r="J3950" t="s">
        <v>29</v>
      </c>
      <c r="K3950" t="s">
        <v>30</v>
      </c>
      <c r="L3950" t="s">
        <v>31</v>
      </c>
      <c r="M3950" t="s">
        <v>140</v>
      </c>
      <c r="N3950">
        <v>9.3025499999999995E-4</v>
      </c>
      <c r="O3950">
        <v>7.6005357999999995E-2</v>
      </c>
      <c r="P3950">
        <v>8.1247829999999993E-2</v>
      </c>
      <c r="Q3950" t="str">
        <f t="shared" si="122"/>
        <v>&lt;01</v>
      </c>
      <c r="R3950" t="str">
        <f t="shared" si="123"/>
        <v>[JQKLKuVuY61]|&lt;01|Female|Incidence_SUBNAT.Rt.T_1|CY2024Q3</v>
      </c>
    </row>
    <row r="3951" spans="4:18" x14ac:dyDescent="0.2">
      <c r="D3951" t="s">
        <v>72</v>
      </c>
      <c r="E3951" t="s">
        <v>73</v>
      </c>
      <c r="F3951" t="s">
        <v>74</v>
      </c>
      <c r="G3951" t="s">
        <v>153</v>
      </c>
      <c r="H3951" t="s">
        <v>153</v>
      </c>
      <c r="I3951" t="s">
        <v>33</v>
      </c>
      <c r="J3951" t="s">
        <v>34</v>
      </c>
      <c r="K3951" t="s">
        <v>30</v>
      </c>
      <c r="L3951" t="s">
        <v>31</v>
      </c>
      <c r="M3951" t="s">
        <v>140</v>
      </c>
      <c r="N3951" s="235" t="s">
        <v>167</v>
      </c>
      <c r="O3951">
        <v>3.8002678999999998E-2</v>
      </c>
      <c r="P3951">
        <v>8.1247829999999993E-2</v>
      </c>
      <c r="Q3951" t="str">
        <f t="shared" si="122"/>
        <v>01-09</v>
      </c>
      <c r="R3951" t="str">
        <f t="shared" si="123"/>
        <v>[JQKLKuVuY61]|01-09|Female|Incidence_SUBNAT.Rt.T_1|CY2024Q3</v>
      </c>
    </row>
    <row r="3952" spans="4:18" x14ac:dyDescent="0.2">
      <c r="D3952" t="s">
        <v>72</v>
      </c>
      <c r="E3952" t="s">
        <v>73</v>
      </c>
      <c r="F3952" t="s">
        <v>74</v>
      </c>
      <c r="G3952" t="s">
        <v>153</v>
      </c>
      <c r="H3952" t="s">
        <v>153</v>
      </c>
      <c r="I3952" t="s">
        <v>36</v>
      </c>
      <c r="J3952" t="s">
        <v>37</v>
      </c>
      <c r="K3952" t="s">
        <v>30</v>
      </c>
      <c r="L3952" t="s">
        <v>31</v>
      </c>
      <c r="M3952" t="s">
        <v>140</v>
      </c>
      <c r="N3952">
        <v>0</v>
      </c>
      <c r="O3952">
        <v>0</v>
      </c>
      <c r="P3952">
        <v>8.1247829999999993E-2</v>
      </c>
      <c r="Q3952" t="str">
        <f t="shared" si="122"/>
        <v>10-14</v>
      </c>
      <c r="R3952" t="str">
        <f t="shared" si="123"/>
        <v>[JQKLKuVuY61]|10-14|Female|Incidence_SUBNAT.Rt.T_1|CY2024Q3</v>
      </c>
    </row>
    <row r="3953" spans="4:18" x14ac:dyDescent="0.2">
      <c r="D3953" t="s">
        <v>72</v>
      </c>
      <c r="E3953" t="s">
        <v>73</v>
      </c>
      <c r="F3953" t="s">
        <v>74</v>
      </c>
      <c r="G3953" t="s">
        <v>153</v>
      </c>
      <c r="H3953" t="s">
        <v>153</v>
      </c>
      <c r="I3953" t="s">
        <v>38</v>
      </c>
      <c r="J3953" t="s">
        <v>39</v>
      </c>
      <c r="K3953" t="s">
        <v>30</v>
      </c>
      <c r="L3953" t="s">
        <v>31</v>
      </c>
      <c r="M3953" t="s">
        <v>140</v>
      </c>
      <c r="N3953">
        <v>5.2683500000000002E-4</v>
      </c>
      <c r="O3953">
        <v>8.3820599999999995E-2</v>
      </c>
      <c r="P3953">
        <v>8.1247829999999993E-2</v>
      </c>
      <c r="Q3953" t="str">
        <f t="shared" si="122"/>
        <v>15-24</v>
      </c>
      <c r="R3953" t="str">
        <f t="shared" si="123"/>
        <v>[JQKLKuVuY61]|15-24|Female|Incidence_SUBNAT.Rt.T_1|CY2024Q3</v>
      </c>
    </row>
    <row r="3954" spans="4:18" x14ac:dyDescent="0.2">
      <c r="D3954" t="s">
        <v>72</v>
      </c>
      <c r="E3954" t="s">
        <v>73</v>
      </c>
      <c r="F3954" t="s">
        <v>74</v>
      </c>
      <c r="G3954" t="s">
        <v>153</v>
      </c>
      <c r="H3954" t="s">
        <v>153</v>
      </c>
      <c r="I3954" t="s">
        <v>41</v>
      </c>
      <c r="J3954" t="s">
        <v>42</v>
      </c>
      <c r="K3954" t="s">
        <v>30</v>
      </c>
      <c r="L3954" t="s">
        <v>31</v>
      </c>
      <c r="M3954" t="s">
        <v>140</v>
      </c>
      <c r="N3954">
        <v>8.1336699999999995E-4</v>
      </c>
      <c r="O3954">
        <v>8.4007218999999994E-2</v>
      </c>
      <c r="P3954">
        <v>8.1247829999999993E-2</v>
      </c>
      <c r="Q3954" t="str">
        <f t="shared" si="122"/>
        <v>25-34</v>
      </c>
      <c r="R3954" t="str">
        <f t="shared" si="123"/>
        <v>[JQKLKuVuY61]|25-34|Female|Incidence_SUBNAT.Rt.T_1|CY2024Q3</v>
      </c>
    </row>
    <row r="3955" spans="4:18" x14ac:dyDescent="0.2">
      <c r="D3955" t="s">
        <v>72</v>
      </c>
      <c r="E3955" t="s">
        <v>73</v>
      </c>
      <c r="F3955" t="s">
        <v>74</v>
      </c>
      <c r="G3955" t="s">
        <v>153</v>
      </c>
      <c r="H3955" t="s">
        <v>153</v>
      </c>
      <c r="I3955" t="s">
        <v>43</v>
      </c>
      <c r="J3955" t="s">
        <v>44</v>
      </c>
      <c r="K3955" t="s">
        <v>30</v>
      </c>
      <c r="L3955" t="s">
        <v>31</v>
      </c>
      <c r="M3955" t="s">
        <v>140</v>
      </c>
      <c r="N3955">
        <v>4.5243600000000002E-4</v>
      </c>
      <c r="O3955">
        <v>8.4210454000000004E-2</v>
      </c>
      <c r="P3955">
        <v>8.1247829999999993E-2</v>
      </c>
      <c r="Q3955" t="str">
        <f t="shared" si="122"/>
        <v>35-49</v>
      </c>
      <c r="R3955" t="str">
        <f t="shared" si="123"/>
        <v>[JQKLKuVuY61]|35-49|Female|Incidence_SUBNAT.Rt.T_1|CY2024Q3</v>
      </c>
    </row>
    <row r="3956" spans="4:18" x14ac:dyDescent="0.2">
      <c r="D3956" t="s">
        <v>72</v>
      </c>
      <c r="E3956" t="s">
        <v>73</v>
      </c>
      <c r="F3956" t="s">
        <v>74</v>
      </c>
      <c r="G3956" t="s">
        <v>153</v>
      </c>
      <c r="H3956" t="s">
        <v>153</v>
      </c>
      <c r="I3956" t="s">
        <v>45</v>
      </c>
      <c r="J3956" t="s">
        <v>46</v>
      </c>
      <c r="K3956" t="s">
        <v>30</v>
      </c>
      <c r="L3956" t="s">
        <v>31</v>
      </c>
      <c r="M3956" t="s">
        <v>140</v>
      </c>
      <c r="N3956">
        <v>1.3669100000000001E-4</v>
      </c>
      <c r="O3956">
        <v>8.2945819000000004E-2</v>
      </c>
      <c r="P3956">
        <v>8.1247829999999993E-2</v>
      </c>
      <c r="Q3956" t="str">
        <f t="shared" si="122"/>
        <v>50+</v>
      </c>
      <c r="R3956" t="str">
        <f t="shared" si="123"/>
        <v>[JQKLKuVuY61]|50+|Female|Incidence_SUBNAT.Rt.T_1|CY2024Q3</v>
      </c>
    </row>
    <row r="3957" spans="4:18" x14ac:dyDescent="0.2">
      <c r="D3957" t="s">
        <v>72</v>
      </c>
      <c r="E3957" t="s">
        <v>73</v>
      </c>
      <c r="F3957" t="s">
        <v>74</v>
      </c>
      <c r="G3957" t="s">
        <v>153</v>
      </c>
      <c r="H3957" t="s">
        <v>153</v>
      </c>
      <c r="I3957" t="s">
        <v>28</v>
      </c>
      <c r="J3957" t="s">
        <v>29</v>
      </c>
      <c r="K3957" t="s">
        <v>48</v>
      </c>
      <c r="L3957" t="s">
        <v>49</v>
      </c>
      <c r="M3957" t="s">
        <v>140</v>
      </c>
      <c r="N3957">
        <v>9.33281E-4</v>
      </c>
      <c r="O3957">
        <v>7.6005372000000002E-2</v>
      </c>
      <c r="P3957">
        <v>8.1247829999999993E-2</v>
      </c>
      <c r="Q3957" t="str">
        <f t="shared" si="122"/>
        <v>&lt;01</v>
      </c>
      <c r="R3957" t="str">
        <f t="shared" si="123"/>
        <v>[JQKLKuVuY61]|&lt;01|Male|Incidence_SUBNAT.Rt.T_1|CY2024Q3</v>
      </c>
    </row>
    <row r="3958" spans="4:18" x14ac:dyDescent="0.2">
      <c r="D3958" t="s">
        <v>72</v>
      </c>
      <c r="E3958" t="s">
        <v>73</v>
      </c>
      <c r="F3958" t="s">
        <v>74</v>
      </c>
      <c r="G3958" t="s">
        <v>153</v>
      </c>
      <c r="H3958" t="s">
        <v>153</v>
      </c>
      <c r="I3958" t="s">
        <v>33</v>
      </c>
      <c r="J3958" t="s">
        <v>34</v>
      </c>
      <c r="K3958" t="s">
        <v>48</v>
      </c>
      <c r="L3958" t="s">
        <v>49</v>
      </c>
      <c r="M3958" t="s">
        <v>140</v>
      </c>
      <c r="N3958" s="235" t="s">
        <v>168</v>
      </c>
      <c r="O3958">
        <v>3.8002686000000001E-2</v>
      </c>
      <c r="P3958">
        <v>8.1247829999999993E-2</v>
      </c>
      <c r="Q3958" t="str">
        <f t="shared" si="122"/>
        <v>01-09</v>
      </c>
      <c r="R3958" t="str">
        <f t="shared" si="123"/>
        <v>[JQKLKuVuY61]|01-09|Male|Incidence_SUBNAT.Rt.T_1|CY2024Q3</v>
      </c>
    </row>
    <row r="3959" spans="4:18" x14ac:dyDescent="0.2">
      <c r="D3959" t="s">
        <v>72</v>
      </c>
      <c r="E3959" t="s">
        <v>73</v>
      </c>
      <c r="F3959" t="s">
        <v>74</v>
      </c>
      <c r="G3959" t="s">
        <v>153</v>
      </c>
      <c r="H3959" t="s">
        <v>153</v>
      </c>
      <c r="I3959" t="s">
        <v>36</v>
      </c>
      <c r="J3959" t="s">
        <v>37</v>
      </c>
      <c r="K3959" t="s">
        <v>48</v>
      </c>
      <c r="L3959" t="s">
        <v>49</v>
      </c>
      <c r="M3959" t="s">
        <v>140</v>
      </c>
      <c r="N3959">
        <v>0</v>
      </c>
      <c r="O3959">
        <v>0</v>
      </c>
      <c r="P3959">
        <v>8.1247829999999993E-2</v>
      </c>
      <c r="Q3959" t="str">
        <f t="shared" si="122"/>
        <v>10-14</v>
      </c>
      <c r="R3959" t="str">
        <f t="shared" si="123"/>
        <v>[JQKLKuVuY61]|10-14|Male|Incidence_SUBNAT.Rt.T_1|CY2024Q3</v>
      </c>
    </row>
    <row r="3960" spans="4:18" x14ac:dyDescent="0.2">
      <c r="D3960" t="s">
        <v>72</v>
      </c>
      <c r="E3960" t="s">
        <v>73</v>
      </c>
      <c r="F3960" t="s">
        <v>74</v>
      </c>
      <c r="G3960" t="s">
        <v>153</v>
      </c>
      <c r="H3960" t="s">
        <v>153</v>
      </c>
      <c r="I3960" t="s">
        <v>38</v>
      </c>
      <c r="J3960" t="s">
        <v>39</v>
      </c>
      <c r="K3960" t="s">
        <v>48</v>
      </c>
      <c r="L3960" t="s">
        <v>49</v>
      </c>
      <c r="M3960" t="s">
        <v>140</v>
      </c>
      <c r="N3960" s="235" t="s">
        <v>169</v>
      </c>
      <c r="O3960">
        <v>8.3913953999999999E-2</v>
      </c>
      <c r="P3960">
        <v>8.1247829999999993E-2</v>
      </c>
      <c r="Q3960" t="str">
        <f t="shared" si="122"/>
        <v>15-24</v>
      </c>
      <c r="R3960" t="str">
        <f t="shared" si="123"/>
        <v>[JQKLKuVuY61]|15-24|Male|Incidence_SUBNAT.Rt.T_1|CY2024Q3</v>
      </c>
    </row>
    <row r="3961" spans="4:18" x14ac:dyDescent="0.2">
      <c r="D3961" t="s">
        <v>72</v>
      </c>
      <c r="E3961" t="s">
        <v>73</v>
      </c>
      <c r="F3961" t="s">
        <v>74</v>
      </c>
      <c r="G3961" t="s">
        <v>153</v>
      </c>
      <c r="H3961" t="s">
        <v>153</v>
      </c>
      <c r="I3961" t="s">
        <v>41</v>
      </c>
      <c r="J3961" t="s">
        <v>42</v>
      </c>
      <c r="K3961" t="s">
        <v>48</v>
      </c>
      <c r="L3961" t="s">
        <v>49</v>
      </c>
      <c r="M3961" t="s">
        <v>140</v>
      </c>
      <c r="N3961">
        <v>4.8859100000000003E-4</v>
      </c>
      <c r="O3961">
        <v>8.3893459000000004E-2</v>
      </c>
      <c r="P3961">
        <v>8.1247829999999993E-2</v>
      </c>
      <c r="Q3961" t="str">
        <f t="shared" si="122"/>
        <v>25-34</v>
      </c>
      <c r="R3961" t="str">
        <f t="shared" si="123"/>
        <v>[JQKLKuVuY61]|25-34|Male|Incidence_SUBNAT.Rt.T_1|CY2024Q3</v>
      </c>
    </row>
    <row r="3962" spans="4:18" x14ac:dyDescent="0.2">
      <c r="D3962" t="s">
        <v>72</v>
      </c>
      <c r="E3962" t="s">
        <v>73</v>
      </c>
      <c r="F3962" t="s">
        <v>74</v>
      </c>
      <c r="G3962" t="s">
        <v>153</v>
      </c>
      <c r="H3962" t="s">
        <v>153</v>
      </c>
      <c r="I3962" t="s">
        <v>43</v>
      </c>
      <c r="J3962" t="s">
        <v>44</v>
      </c>
      <c r="K3962" t="s">
        <v>48</v>
      </c>
      <c r="L3962" t="s">
        <v>49</v>
      </c>
      <c r="M3962" t="s">
        <v>140</v>
      </c>
      <c r="N3962">
        <v>5.6397200000000004E-4</v>
      </c>
      <c r="O3962">
        <v>8.4021947999999999E-2</v>
      </c>
      <c r="P3962">
        <v>8.1247829999999993E-2</v>
      </c>
      <c r="Q3962" t="str">
        <f t="shared" si="122"/>
        <v>35-49</v>
      </c>
      <c r="R3962" t="str">
        <f t="shared" si="123"/>
        <v>[JQKLKuVuY61]|35-49|Male|Incidence_SUBNAT.Rt.T_1|CY2024Q3</v>
      </c>
    </row>
    <row r="3963" spans="4:18" x14ac:dyDescent="0.2">
      <c r="D3963" t="s">
        <v>72</v>
      </c>
      <c r="E3963" t="s">
        <v>73</v>
      </c>
      <c r="F3963" t="s">
        <v>74</v>
      </c>
      <c r="G3963" t="s">
        <v>153</v>
      </c>
      <c r="H3963" t="s">
        <v>153</v>
      </c>
      <c r="I3963" t="s">
        <v>45</v>
      </c>
      <c r="J3963" t="s">
        <v>46</v>
      </c>
      <c r="K3963" t="s">
        <v>48</v>
      </c>
      <c r="L3963" t="s">
        <v>49</v>
      </c>
      <c r="M3963" t="s">
        <v>140</v>
      </c>
      <c r="N3963">
        <v>3.1905900000000001E-4</v>
      </c>
      <c r="O3963">
        <v>8.3491598E-2</v>
      </c>
      <c r="P3963">
        <v>8.1247829999999993E-2</v>
      </c>
      <c r="Q3963" t="str">
        <f t="shared" si="122"/>
        <v>50+</v>
      </c>
      <c r="R3963" t="str">
        <f t="shared" si="123"/>
        <v>[JQKLKuVuY61]|50+|Male|Incidence_SUBNAT.Rt.T_1|CY2024Q3</v>
      </c>
    </row>
    <row r="3964" spans="4:18" x14ac:dyDescent="0.2">
      <c r="D3964" t="s">
        <v>75</v>
      </c>
      <c r="E3964" t="s">
        <v>76</v>
      </c>
      <c r="F3964" t="s">
        <v>77</v>
      </c>
      <c r="G3964" t="s">
        <v>153</v>
      </c>
      <c r="H3964" t="s">
        <v>153</v>
      </c>
      <c r="I3964" t="s">
        <v>28</v>
      </c>
      <c r="J3964" t="s">
        <v>29</v>
      </c>
      <c r="K3964" t="s">
        <v>30</v>
      </c>
      <c r="L3964" t="s">
        <v>31</v>
      </c>
      <c r="M3964" t="s">
        <v>140</v>
      </c>
      <c r="N3964">
        <v>1.375629E-3</v>
      </c>
      <c r="O3964">
        <v>8.3332450000000002E-2</v>
      </c>
      <c r="P3964">
        <v>8.9299593999999996E-2</v>
      </c>
      <c r="Q3964" t="str">
        <f t="shared" si="122"/>
        <v>&lt;01</v>
      </c>
      <c r="R3964" t="str">
        <f t="shared" si="123"/>
        <v>[YCKiBAp8QAg]|&lt;01|Female|Incidence_SUBNAT.Rt.T_1|CY2024Q3</v>
      </c>
    </row>
    <row r="3965" spans="4:18" x14ac:dyDescent="0.2">
      <c r="D3965" t="s">
        <v>75</v>
      </c>
      <c r="E3965" t="s">
        <v>76</v>
      </c>
      <c r="F3965" t="s">
        <v>77</v>
      </c>
      <c r="G3965" t="s">
        <v>153</v>
      </c>
      <c r="H3965" t="s">
        <v>153</v>
      </c>
      <c r="I3965" t="s">
        <v>33</v>
      </c>
      <c r="J3965" t="s">
        <v>34</v>
      </c>
      <c r="K3965" t="s">
        <v>30</v>
      </c>
      <c r="L3965" t="s">
        <v>31</v>
      </c>
      <c r="M3965" t="s">
        <v>140</v>
      </c>
      <c r="N3965" s="235" t="s">
        <v>170</v>
      </c>
      <c r="O3965">
        <v>4.1666225000000001E-2</v>
      </c>
      <c r="P3965">
        <v>8.9299593999999996E-2</v>
      </c>
      <c r="Q3965" t="str">
        <f t="shared" si="122"/>
        <v>01-09</v>
      </c>
      <c r="R3965" t="str">
        <f t="shared" si="123"/>
        <v>[YCKiBAp8QAg]|01-09|Female|Incidence_SUBNAT.Rt.T_1|CY2024Q3</v>
      </c>
    </row>
    <row r="3966" spans="4:18" x14ac:dyDescent="0.2">
      <c r="D3966" t="s">
        <v>75</v>
      </c>
      <c r="E3966" t="s">
        <v>76</v>
      </c>
      <c r="F3966" t="s">
        <v>77</v>
      </c>
      <c r="G3966" t="s">
        <v>153</v>
      </c>
      <c r="H3966" t="s">
        <v>153</v>
      </c>
      <c r="I3966" t="s">
        <v>36</v>
      </c>
      <c r="J3966" t="s">
        <v>37</v>
      </c>
      <c r="K3966" t="s">
        <v>30</v>
      </c>
      <c r="L3966" t="s">
        <v>31</v>
      </c>
      <c r="M3966" t="s">
        <v>140</v>
      </c>
      <c r="N3966">
        <v>0</v>
      </c>
      <c r="O3966">
        <v>0</v>
      </c>
      <c r="P3966">
        <v>8.9299593999999996E-2</v>
      </c>
      <c r="Q3966" t="str">
        <f t="shared" si="122"/>
        <v>10-14</v>
      </c>
      <c r="R3966" t="str">
        <f t="shared" si="123"/>
        <v>[YCKiBAp8QAg]|10-14|Female|Incidence_SUBNAT.Rt.T_1|CY2024Q3</v>
      </c>
    </row>
    <row r="3967" spans="4:18" x14ac:dyDescent="0.2">
      <c r="D3967" t="s">
        <v>75</v>
      </c>
      <c r="E3967" t="s">
        <v>76</v>
      </c>
      <c r="F3967" t="s">
        <v>77</v>
      </c>
      <c r="G3967" t="s">
        <v>153</v>
      </c>
      <c r="H3967" t="s">
        <v>153</v>
      </c>
      <c r="I3967" t="s">
        <v>38</v>
      </c>
      <c r="J3967" t="s">
        <v>39</v>
      </c>
      <c r="K3967" t="s">
        <v>30</v>
      </c>
      <c r="L3967" t="s">
        <v>31</v>
      </c>
      <c r="M3967" t="s">
        <v>140</v>
      </c>
      <c r="N3967">
        <v>8.1028800000000005E-4</v>
      </c>
      <c r="O3967">
        <v>9.2774954000000007E-2</v>
      </c>
      <c r="P3967">
        <v>8.9299593999999996E-2</v>
      </c>
      <c r="Q3967" t="str">
        <f t="shared" si="122"/>
        <v>15-24</v>
      </c>
      <c r="R3967" t="str">
        <f t="shared" si="123"/>
        <v>[YCKiBAp8QAg]|15-24|Female|Incidence_SUBNAT.Rt.T_1|CY2024Q3</v>
      </c>
    </row>
    <row r="3968" spans="4:18" x14ac:dyDescent="0.2">
      <c r="D3968" t="s">
        <v>75</v>
      </c>
      <c r="E3968" t="s">
        <v>76</v>
      </c>
      <c r="F3968" t="s">
        <v>77</v>
      </c>
      <c r="G3968" t="s">
        <v>153</v>
      </c>
      <c r="H3968" t="s">
        <v>153</v>
      </c>
      <c r="I3968" t="s">
        <v>41</v>
      </c>
      <c r="J3968" t="s">
        <v>42</v>
      </c>
      <c r="K3968" t="s">
        <v>30</v>
      </c>
      <c r="L3968" t="s">
        <v>31</v>
      </c>
      <c r="M3968" t="s">
        <v>140</v>
      </c>
      <c r="N3968">
        <v>1.25428E-3</v>
      </c>
      <c r="O3968">
        <v>9.3109307000000002E-2</v>
      </c>
      <c r="P3968">
        <v>8.9299593999999996E-2</v>
      </c>
      <c r="Q3968" t="str">
        <f t="shared" si="122"/>
        <v>25-34</v>
      </c>
      <c r="R3968" t="str">
        <f t="shared" si="123"/>
        <v>[YCKiBAp8QAg]|25-34|Female|Incidence_SUBNAT.Rt.T_1|CY2024Q3</v>
      </c>
    </row>
    <row r="3969" spans="4:18" x14ac:dyDescent="0.2">
      <c r="D3969" t="s">
        <v>75</v>
      </c>
      <c r="E3969" t="s">
        <v>76</v>
      </c>
      <c r="F3969" t="s">
        <v>77</v>
      </c>
      <c r="G3969" t="s">
        <v>153</v>
      </c>
      <c r="H3969" t="s">
        <v>153</v>
      </c>
      <c r="I3969" t="s">
        <v>43</v>
      </c>
      <c r="J3969" t="s">
        <v>44</v>
      </c>
      <c r="K3969" t="s">
        <v>30</v>
      </c>
      <c r="L3969" t="s">
        <v>31</v>
      </c>
      <c r="M3969" t="s">
        <v>140</v>
      </c>
      <c r="N3969">
        <v>7.0090300000000001E-4</v>
      </c>
      <c r="O3969">
        <v>9.3473711000000001E-2</v>
      </c>
      <c r="P3969">
        <v>8.9299593999999996E-2</v>
      </c>
      <c r="Q3969" t="str">
        <f t="shared" si="122"/>
        <v>35-49</v>
      </c>
      <c r="R3969" t="str">
        <f t="shared" si="123"/>
        <v>[YCKiBAp8QAg]|35-49|Female|Incidence_SUBNAT.Rt.T_1|CY2024Q3</v>
      </c>
    </row>
    <row r="3970" spans="4:18" x14ac:dyDescent="0.2">
      <c r="D3970" t="s">
        <v>75</v>
      </c>
      <c r="E3970" t="s">
        <v>76</v>
      </c>
      <c r="F3970" t="s">
        <v>77</v>
      </c>
      <c r="G3970" t="s">
        <v>153</v>
      </c>
      <c r="H3970" t="s">
        <v>153</v>
      </c>
      <c r="I3970" t="s">
        <v>45</v>
      </c>
      <c r="J3970" t="s">
        <v>46</v>
      </c>
      <c r="K3970" t="s">
        <v>30</v>
      </c>
      <c r="L3970" t="s">
        <v>31</v>
      </c>
      <c r="M3970" t="s">
        <v>140</v>
      </c>
      <c r="N3970">
        <v>1.9917599999999999E-4</v>
      </c>
      <c r="O3970">
        <v>9.0944718999999993E-2</v>
      </c>
      <c r="P3970">
        <v>8.9299593999999996E-2</v>
      </c>
      <c r="Q3970" t="str">
        <f t="shared" si="122"/>
        <v>50+</v>
      </c>
      <c r="R3970" t="str">
        <f t="shared" si="123"/>
        <v>[YCKiBAp8QAg]|50+|Female|Incidence_SUBNAT.Rt.T_1|CY2024Q3</v>
      </c>
    </row>
    <row r="3971" spans="4:18" x14ac:dyDescent="0.2">
      <c r="D3971" t="s">
        <v>75</v>
      </c>
      <c r="E3971" t="s">
        <v>76</v>
      </c>
      <c r="F3971" t="s">
        <v>77</v>
      </c>
      <c r="G3971" t="s">
        <v>153</v>
      </c>
      <c r="H3971" t="s">
        <v>153</v>
      </c>
      <c r="I3971" t="s">
        <v>28</v>
      </c>
      <c r="J3971" t="s">
        <v>29</v>
      </c>
      <c r="K3971" t="s">
        <v>48</v>
      </c>
      <c r="L3971" t="s">
        <v>49</v>
      </c>
      <c r="M3971" t="s">
        <v>140</v>
      </c>
      <c r="N3971">
        <v>1.3801029999999999E-3</v>
      </c>
      <c r="O3971">
        <v>8.3332473000000004E-2</v>
      </c>
      <c r="P3971">
        <v>8.9299593999999996E-2</v>
      </c>
      <c r="Q3971" t="str">
        <f t="shared" ref="Q3971:Q4034" si="124">SUBSTITUTE(SUBSTITUTE($I3971,CHAR(61),""),CHAR(34),"")</f>
        <v>&lt;01</v>
      </c>
      <c r="R3971" t="str">
        <f t="shared" ref="R3971:R4034" si="125">IF($D3971&lt;&gt;"","["&amp;$E3971&amp;"]"&amp;"|"&amp;$Q3971&amp;"|"&amp;$K3971&amp;"|"&amp;$G3971&amp;"|"&amp;IF($G3971="TX_CURR_SUBNAT.R","CY2023Q4",$M3971),"")</f>
        <v>[YCKiBAp8QAg]|&lt;01|Male|Incidence_SUBNAT.Rt.T_1|CY2024Q3</v>
      </c>
    </row>
    <row r="3972" spans="4:18" x14ac:dyDescent="0.2">
      <c r="D3972" t="s">
        <v>75</v>
      </c>
      <c r="E3972" t="s">
        <v>76</v>
      </c>
      <c r="F3972" t="s">
        <v>77</v>
      </c>
      <c r="G3972" t="s">
        <v>153</v>
      </c>
      <c r="H3972" t="s">
        <v>153</v>
      </c>
      <c r="I3972" t="s">
        <v>33</v>
      </c>
      <c r="J3972" t="s">
        <v>34</v>
      </c>
      <c r="K3972" t="s">
        <v>48</v>
      </c>
      <c r="L3972" t="s">
        <v>49</v>
      </c>
      <c r="M3972" t="s">
        <v>140</v>
      </c>
      <c r="N3972" s="235" t="s">
        <v>170</v>
      </c>
      <c r="O3972">
        <v>4.1666236000000002E-2</v>
      </c>
      <c r="P3972">
        <v>8.9299593999999996E-2</v>
      </c>
      <c r="Q3972" t="str">
        <f t="shared" si="124"/>
        <v>01-09</v>
      </c>
      <c r="R3972" t="str">
        <f t="shared" si="125"/>
        <v>[YCKiBAp8QAg]|01-09|Male|Incidence_SUBNAT.Rt.T_1|CY2024Q3</v>
      </c>
    </row>
    <row r="3973" spans="4:18" x14ac:dyDescent="0.2">
      <c r="D3973" t="s">
        <v>75</v>
      </c>
      <c r="E3973" t="s">
        <v>76</v>
      </c>
      <c r="F3973" t="s">
        <v>77</v>
      </c>
      <c r="G3973" t="s">
        <v>153</v>
      </c>
      <c r="H3973" t="s">
        <v>153</v>
      </c>
      <c r="I3973" t="s">
        <v>36</v>
      </c>
      <c r="J3973" t="s">
        <v>37</v>
      </c>
      <c r="K3973" t="s">
        <v>48</v>
      </c>
      <c r="L3973" t="s">
        <v>49</v>
      </c>
      <c r="M3973" t="s">
        <v>140</v>
      </c>
      <c r="N3973">
        <v>0</v>
      </c>
      <c r="O3973">
        <v>0</v>
      </c>
      <c r="P3973">
        <v>8.9299593999999996E-2</v>
      </c>
      <c r="Q3973" t="str">
        <f t="shared" si="124"/>
        <v>10-14</v>
      </c>
      <c r="R3973" t="str">
        <f t="shared" si="125"/>
        <v>[YCKiBAp8QAg]|10-14|Male|Incidence_SUBNAT.Rt.T_1|CY2024Q3</v>
      </c>
    </row>
    <row r="3974" spans="4:18" x14ac:dyDescent="0.2">
      <c r="D3974" t="s">
        <v>75</v>
      </c>
      <c r="E3974" t="s">
        <v>76</v>
      </c>
      <c r="F3974" t="s">
        <v>77</v>
      </c>
      <c r="G3974" t="s">
        <v>153</v>
      </c>
      <c r="H3974" t="s">
        <v>153</v>
      </c>
      <c r="I3974" t="s">
        <v>38</v>
      </c>
      <c r="J3974" t="s">
        <v>39</v>
      </c>
      <c r="K3974" t="s">
        <v>48</v>
      </c>
      <c r="L3974" t="s">
        <v>49</v>
      </c>
      <c r="M3974" t="s">
        <v>140</v>
      </c>
      <c r="N3974">
        <v>1.3688700000000001E-4</v>
      </c>
      <c r="O3974">
        <v>9.2928437000000003E-2</v>
      </c>
      <c r="P3974">
        <v>8.9299593999999996E-2</v>
      </c>
      <c r="Q3974" t="str">
        <f t="shared" si="124"/>
        <v>15-24</v>
      </c>
      <c r="R3974" t="str">
        <f t="shared" si="125"/>
        <v>[YCKiBAp8QAg]|15-24|Male|Incidence_SUBNAT.Rt.T_1|CY2024Q3</v>
      </c>
    </row>
    <row r="3975" spans="4:18" x14ac:dyDescent="0.2">
      <c r="D3975" t="s">
        <v>75</v>
      </c>
      <c r="E3975" t="s">
        <v>76</v>
      </c>
      <c r="F3975" t="s">
        <v>77</v>
      </c>
      <c r="G3975" t="s">
        <v>153</v>
      </c>
      <c r="H3975" t="s">
        <v>153</v>
      </c>
      <c r="I3975" t="s">
        <v>41</v>
      </c>
      <c r="J3975" t="s">
        <v>42</v>
      </c>
      <c r="K3975" t="s">
        <v>48</v>
      </c>
      <c r="L3975" t="s">
        <v>49</v>
      </c>
      <c r="M3975" t="s">
        <v>140</v>
      </c>
      <c r="N3975">
        <v>7.5163300000000003E-4</v>
      </c>
      <c r="O3975">
        <v>9.2915374999999994E-2</v>
      </c>
      <c r="P3975">
        <v>8.9299593999999996E-2</v>
      </c>
      <c r="Q3975" t="str">
        <f t="shared" si="124"/>
        <v>25-34</v>
      </c>
      <c r="R3975" t="str">
        <f t="shared" si="125"/>
        <v>[YCKiBAp8QAg]|25-34|Male|Incidence_SUBNAT.Rt.T_1|CY2024Q3</v>
      </c>
    </row>
    <row r="3976" spans="4:18" x14ac:dyDescent="0.2">
      <c r="D3976" t="s">
        <v>75</v>
      </c>
      <c r="E3976" t="s">
        <v>76</v>
      </c>
      <c r="F3976" t="s">
        <v>77</v>
      </c>
      <c r="G3976" t="s">
        <v>153</v>
      </c>
      <c r="H3976" t="s">
        <v>153</v>
      </c>
      <c r="I3976" t="s">
        <v>43</v>
      </c>
      <c r="J3976" t="s">
        <v>44</v>
      </c>
      <c r="K3976" t="s">
        <v>48</v>
      </c>
      <c r="L3976" t="s">
        <v>49</v>
      </c>
      <c r="M3976" t="s">
        <v>140</v>
      </c>
      <c r="N3976">
        <v>8.6892299999999996E-4</v>
      </c>
      <c r="O3976">
        <v>9.3137190999999994E-2</v>
      </c>
      <c r="P3976">
        <v>8.9299593999999996E-2</v>
      </c>
      <c r="Q3976" t="str">
        <f t="shared" si="124"/>
        <v>35-49</v>
      </c>
      <c r="R3976" t="str">
        <f t="shared" si="125"/>
        <v>[YCKiBAp8QAg]|35-49|Male|Incidence_SUBNAT.Rt.T_1|CY2024Q3</v>
      </c>
    </row>
    <row r="3977" spans="4:18" x14ac:dyDescent="0.2">
      <c r="D3977" t="s">
        <v>75</v>
      </c>
      <c r="E3977" t="s">
        <v>76</v>
      </c>
      <c r="F3977" t="s">
        <v>77</v>
      </c>
      <c r="G3977" t="s">
        <v>153</v>
      </c>
      <c r="H3977" t="s">
        <v>153</v>
      </c>
      <c r="I3977" t="s">
        <v>45</v>
      </c>
      <c r="J3977" t="s">
        <v>46</v>
      </c>
      <c r="K3977" t="s">
        <v>48</v>
      </c>
      <c r="L3977" t="s">
        <v>49</v>
      </c>
      <c r="M3977" t="s">
        <v>140</v>
      </c>
      <c r="N3977">
        <v>4.8139599999999998E-4</v>
      </c>
      <c r="O3977">
        <v>9.2026934000000005E-2</v>
      </c>
      <c r="P3977">
        <v>8.9299593999999996E-2</v>
      </c>
      <c r="Q3977" t="str">
        <f t="shared" si="124"/>
        <v>50+</v>
      </c>
      <c r="R3977" t="str">
        <f t="shared" si="125"/>
        <v>[YCKiBAp8QAg]|50+|Male|Incidence_SUBNAT.Rt.T_1|CY2024Q3</v>
      </c>
    </row>
    <row r="3978" spans="4:18" x14ac:dyDescent="0.2">
      <c r="D3978" t="s">
        <v>78</v>
      </c>
      <c r="E3978" t="s">
        <v>79</v>
      </c>
      <c r="F3978" t="s">
        <v>80</v>
      </c>
      <c r="G3978" t="s">
        <v>153</v>
      </c>
      <c r="H3978" t="s">
        <v>153</v>
      </c>
      <c r="I3978" t="s">
        <v>28</v>
      </c>
      <c r="J3978" t="s">
        <v>29</v>
      </c>
      <c r="K3978" t="s">
        <v>30</v>
      </c>
      <c r="L3978" t="s">
        <v>31</v>
      </c>
      <c r="M3978" t="s">
        <v>140</v>
      </c>
      <c r="N3978">
        <v>6.1003000000000001E-4</v>
      </c>
      <c r="O3978">
        <v>9.8998377999999998E-2</v>
      </c>
      <c r="P3978">
        <v>0.103906964</v>
      </c>
      <c r="Q3978" t="str">
        <f t="shared" si="124"/>
        <v>&lt;01</v>
      </c>
      <c r="R3978" t="str">
        <f t="shared" si="125"/>
        <v>[fiRkU6gEjLz]|&lt;01|Female|Incidence_SUBNAT.Rt.T_1|CY2024Q3</v>
      </c>
    </row>
    <row r="3979" spans="4:18" x14ac:dyDescent="0.2">
      <c r="D3979" t="s">
        <v>78</v>
      </c>
      <c r="E3979" t="s">
        <v>79</v>
      </c>
      <c r="F3979" t="s">
        <v>80</v>
      </c>
      <c r="G3979" t="s">
        <v>153</v>
      </c>
      <c r="H3979" t="s">
        <v>153</v>
      </c>
      <c r="I3979" t="s">
        <v>33</v>
      </c>
      <c r="J3979" t="s">
        <v>34</v>
      </c>
      <c r="K3979" t="s">
        <v>30</v>
      </c>
      <c r="L3979" t="s">
        <v>31</v>
      </c>
      <c r="M3979" t="s">
        <v>140</v>
      </c>
      <c r="N3979" s="235" t="s">
        <v>171</v>
      </c>
      <c r="O3979">
        <v>4.9499188999999999E-2</v>
      </c>
      <c r="P3979">
        <v>0.103906964</v>
      </c>
      <c r="Q3979" t="str">
        <f t="shared" si="124"/>
        <v>01-09</v>
      </c>
      <c r="R3979" t="str">
        <f t="shared" si="125"/>
        <v>[fiRkU6gEjLz]|01-09|Female|Incidence_SUBNAT.Rt.T_1|CY2024Q3</v>
      </c>
    </row>
    <row r="3980" spans="4:18" x14ac:dyDescent="0.2">
      <c r="D3980" t="s">
        <v>78</v>
      </c>
      <c r="E3980" t="s">
        <v>79</v>
      </c>
      <c r="F3980" t="s">
        <v>80</v>
      </c>
      <c r="G3980" t="s">
        <v>153</v>
      </c>
      <c r="H3980" t="s">
        <v>153</v>
      </c>
      <c r="I3980" t="s">
        <v>36</v>
      </c>
      <c r="J3980" t="s">
        <v>37</v>
      </c>
      <c r="K3980" t="s">
        <v>30</v>
      </c>
      <c r="L3980" t="s">
        <v>31</v>
      </c>
      <c r="M3980" t="s">
        <v>140</v>
      </c>
      <c r="N3980">
        <v>0</v>
      </c>
      <c r="O3980">
        <v>0</v>
      </c>
      <c r="P3980">
        <v>0.103906964</v>
      </c>
      <c r="Q3980" t="str">
        <f t="shared" si="124"/>
        <v>10-14</v>
      </c>
      <c r="R3980" t="str">
        <f t="shared" si="125"/>
        <v>[fiRkU6gEjLz]|10-14|Female|Incidence_SUBNAT.Rt.T_1|CY2024Q3</v>
      </c>
    </row>
    <row r="3981" spans="4:18" x14ac:dyDescent="0.2">
      <c r="D3981" t="s">
        <v>78</v>
      </c>
      <c r="E3981" t="s">
        <v>79</v>
      </c>
      <c r="F3981" t="s">
        <v>80</v>
      </c>
      <c r="G3981" t="s">
        <v>153</v>
      </c>
      <c r="H3981" t="s">
        <v>153</v>
      </c>
      <c r="I3981" t="s">
        <v>38</v>
      </c>
      <c r="J3981" t="s">
        <v>39</v>
      </c>
      <c r="K3981" t="s">
        <v>30</v>
      </c>
      <c r="L3981" t="s">
        <v>31</v>
      </c>
      <c r="M3981" t="s">
        <v>140</v>
      </c>
      <c r="N3981">
        <v>3.5385899999999999E-4</v>
      </c>
      <c r="O3981">
        <v>0.106397331</v>
      </c>
      <c r="P3981">
        <v>0.103906964</v>
      </c>
      <c r="Q3981" t="str">
        <f t="shared" si="124"/>
        <v>15-24</v>
      </c>
      <c r="R3981" t="str">
        <f t="shared" si="125"/>
        <v>[fiRkU6gEjLz]|15-24|Female|Incidence_SUBNAT.Rt.T_1|CY2024Q3</v>
      </c>
    </row>
    <row r="3982" spans="4:18" x14ac:dyDescent="0.2">
      <c r="D3982" t="s">
        <v>78</v>
      </c>
      <c r="E3982" t="s">
        <v>79</v>
      </c>
      <c r="F3982" t="s">
        <v>80</v>
      </c>
      <c r="G3982" t="s">
        <v>153</v>
      </c>
      <c r="H3982" t="s">
        <v>153</v>
      </c>
      <c r="I3982" t="s">
        <v>41</v>
      </c>
      <c r="J3982" t="s">
        <v>42</v>
      </c>
      <c r="K3982" t="s">
        <v>30</v>
      </c>
      <c r="L3982" t="s">
        <v>31</v>
      </c>
      <c r="M3982" t="s">
        <v>140</v>
      </c>
      <c r="N3982">
        <v>5.4547999999999999E-4</v>
      </c>
      <c r="O3982">
        <v>0.10654568</v>
      </c>
      <c r="P3982">
        <v>0.103906964</v>
      </c>
      <c r="Q3982" t="str">
        <f t="shared" si="124"/>
        <v>25-34</v>
      </c>
      <c r="R3982" t="str">
        <f t="shared" si="125"/>
        <v>[fiRkU6gEjLz]|25-34|Female|Incidence_SUBNAT.Rt.T_1|CY2024Q3</v>
      </c>
    </row>
    <row r="3983" spans="4:18" x14ac:dyDescent="0.2">
      <c r="D3983" t="s">
        <v>78</v>
      </c>
      <c r="E3983" t="s">
        <v>79</v>
      </c>
      <c r="F3983" t="s">
        <v>80</v>
      </c>
      <c r="G3983" t="s">
        <v>153</v>
      </c>
      <c r="H3983" t="s">
        <v>153</v>
      </c>
      <c r="I3983" t="s">
        <v>43</v>
      </c>
      <c r="J3983" t="s">
        <v>44</v>
      </c>
      <c r="K3983" t="s">
        <v>30</v>
      </c>
      <c r="L3983" t="s">
        <v>31</v>
      </c>
      <c r="M3983" t="s">
        <v>140</v>
      </c>
      <c r="N3983">
        <v>3.0203100000000002E-4</v>
      </c>
      <c r="O3983">
        <v>0.106701767</v>
      </c>
      <c r="P3983">
        <v>0.103906964</v>
      </c>
      <c r="Q3983" t="str">
        <f t="shared" si="124"/>
        <v>35-49</v>
      </c>
      <c r="R3983" t="str">
        <f t="shared" si="125"/>
        <v>[fiRkU6gEjLz]|35-49|Female|Incidence_SUBNAT.Rt.T_1|CY2024Q3</v>
      </c>
    </row>
    <row r="3984" spans="4:18" x14ac:dyDescent="0.2">
      <c r="D3984" t="s">
        <v>78</v>
      </c>
      <c r="E3984" t="s">
        <v>79</v>
      </c>
      <c r="F3984" t="s">
        <v>80</v>
      </c>
      <c r="G3984" t="s">
        <v>153</v>
      </c>
      <c r="H3984" t="s">
        <v>153</v>
      </c>
      <c r="I3984" t="s">
        <v>45</v>
      </c>
      <c r="J3984" t="s">
        <v>46</v>
      </c>
      <c r="K3984" t="s">
        <v>30</v>
      </c>
      <c r="L3984" t="s">
        <v>31</v>
      </c>
      <c r="M3984" t="s">
        <v>140</v>
      </c>
      <c r="N3984" s="235" t="s">
        <v>172</v>
      </c>
      <c r="O3984">
        <v>0.10554285400000001</v>
      </c>
      <c r="P3984">
        <v>0.103906964</v>
      </c>
      <c r="Q3984" t="str">
        <f t="shared" si="124"/>
        <v>50+</v>
      </c>
      <c r="R3984" t="str">
        <f t="shared" si="125"/>
        <v>[fiRkU6gEjLz]|50+|Female|Incidence_SUBNAT.Rt.T_1|CY2024Q3</v>
      </c>
    </row>
    <row r="3985" spans="4:18" x14ac:dyDescent="0.2">
      <c r="D3985" t="s">
        <v>78</v>
      </c>
      <c r="E3985" t="s">
        <v>79</v>
      </c>
      <c r="F3985" t="s">
        <v>80</v>
      </c>
      <c r="G3985" t="s">
        <v>153</v>
      </c>
      <c r="H3985" t="s">
        <v>153</v>
      </c>
      <c r="I3985" t="s">
        <v>28</v>
      </c>
      <c r="J3985" t="s">
        <v>29</v>
      </c>
      <c r="K3985" t="s">
        <v>48</v>
      </c>
      <c r="L3985" t="s">
        <v>49</v>
      </c>
      <c r="M3985" t="s">
        <v>140</v>
      </c>
      <c r="N3985">
        <v>6.1201599999999995E-4</v>
      </c>
      <c r="O3985">
        <v>9.8998390000000006E-2</v>
      </c>
      <c r="P3985">
        <v>0.103906964</v>
      </c>
      <c r="Q3985" t="str">
        <f t="shared" si="124"/>
        <v>&lt;01</v>
      </c>
      <c r="R3985" t="str">
        <f t="shared" si="125"/>
        <v>[fiRkU6gEjLz]|&lt;01|Male|Incidence_SUBNAT.Rt.T_1|CY2024Q3</v>
      </c>
    </row>
    <row r="3986" spans="4:18" x14ac:dyDescent="0.2">
      <c r="D3986" t="s">
        <v>78</v>
      </c>
      <c r="E3986" t="s">
        <v>79</v>
      </c>
      <c r="F3986" t="s">
        <v>80</v>
      </c>
      <c r="G3986" t="s">
        <v>153</v>
      </c>
      <c r="H3986" t="s">
        <v>153</v>
      </c>
      <c r="I3986" t="s">
        <v>33</v>
      </c>
      <c r="J3986" t="s">
        <v>34</v>
      </c>
      <c r="K3986" t="s">
        <v>48</v>
      </c>
      <c r="L3986" t="s">
        <v>49</v>
      </c>
      <c r="M3986" t="s">
        <v>140</v>
      </c>
      <c r="N3986" s="235" t="s">
        <v>171</v>
      </c>
      <c r="O3986">
        <v>4.9499195000000003E-2</v>
      </c>
      <c r="P3986">
        <v>0.103906964</v>
      </c>
      <c r="Q3986" t="str">
        <f t="shared" si="124"/>
        <v>01-09</v>
      </c>
      <c r="R3986" t="str">
        <f t="shared" si="125"/>
        <v>[fiRkU6gEjLz]|01-09|Male|Incidence_SUBNAT.Rt.T_1|CY2024Q3</v>
      </c>
    </row>
    <row r="3987" spans="4:18" x14ac:dyDescent="0.2">
      <c r="D3987" t="s">
        <v>78</v>
      </c>
      <c r="E3987" t="s">
        <v>79</v>
      </c>
      <c r="F3987" t="s">
        <v>80</v>
      </c>
      <c r="G3987" t="s">
        <v>153</v>
      </c>
      <c r="H3987" t="s">
        <v>153</v>
      </c>
      <c r="I3987" t="s">
        <v>36</v>
      </c>
      <c r="J3987" t="s">
        <v>37</v>
      </c>
      <c r="K3987" t="s">
        <v>48</v>
      </c>
      <c r="L3987" t="s">
        <v>49</v>
      </c>
      <c r="M3987" t="s">
        <v>140</v>
      </c>
      <c r="N3987">
        <v>0</v>
      </c>
      <c r="O3987">
        <v>0</v>
      </c>
      <c r="P3987">
        <v>0.103906964</v>
      </c>
      <c r="Q3987" t="str">
        <f t="shared" si="124"/>
        <v>10-14</v>
      </c>
      <c r="R3987" t="str">
        <f t="shared" si="125"/>
        <v>[fiRkU6gEjLz]|10-14|Male|Incidence_SUBNAT.Rt.T_1|CY2024Q3</v>
      </c>
    </row>
    <row r="3988" spans="4:18" x14ac:dyDescent="0.2">
      <c r="D3988" t="s">
        <v>78</v>
      </c>
      <c r="E3988" t="s">
        <v>79</v>
      </c>
      <c r="F3988" t="s">
        <v>80</v>
      </c>
      <c r="G3988" t="s">
        <v>153</v>
      </c>
      <c r="H3988" t="s">
        <v>153</v>
      </c>
      <c r="I3988" t="s">
        <v>38</v>
      </c>
      <c r="J3988" t="s">
        <v>39</v>
      </c>
      <c r="K3988" t="s">
        <v>48</v>
      </c>
      <c r="L3988" t="s">
        <v>49</v>
      </c>
      <c r="M3988" t="s">
        <v>140</v>
      </c>
      <c r="N3988" s="235" t="s">
        <v>173</v>
      </c>
      <c r="O3988">
        <v>0.10647599000000001</v>
      </c>
      <c r="P3988">
        <v>0.103906964</v>
      </c>
      <c r="Q3988" t="str">
        <f t="shared" si="124"/>
        <v>15-24</v>
      </c>
      <c r="R3988" t="str">
        <f t="shared" si="125"/>
        <v>[fiRkU6gEjLz]|15-24|Male|Incidence_SUBNAT.Rt.T_1|CY2024Q3</v>
      </c>
    </row>
    <row r="3989" spans="4:18" x14ac:dyDescent="0.2">
      <c r="D3989" t="s">
        <v>78</v>
      </c>
      <c r="E3989" t="s">
        <v>79</v>
      </c>
      <c r="F3989" t="s">
        <v>80</v>
      </c>
      <c r="G3989" t="s">
        <v>153</v>
      </c>
      <c r="H3989" t="s">
        <v>153</v>
      </c>
      <c r="I3989" t="s">
        <v>41</v>
      </c>
      <c r="J3989" t="s">
        <v>42</v>
      </c>
      <c r="K3989" t="s">
        <v>48</v>
      </c>
      <c r="L3989" t="s">
        <v>49</v>
      </c>
      <c r="M3989" t="s">
        <v>140</v>
      </c>
      <c r="N3989">
        <v>3.2704700000000001E-4</v>
      </c>
      <c r="O3989">
        <v>0.106452872</v>
      </c>
      <c r="P3989">
        <v>0.103906964</v>
      </c>
      <c r="Q3989" t="str">
        <f t="shared" si="124"/>
        <v>25-34</v>
      </c>
      <c r="R3989" t="str">
        <f t="shared" si="125"/>
        <v>[fiRkU6gEjLz]|25-34|Male|Incidence_SUBNAT.Rt.T_1|CY2024Q3</v>
      </c>
    </row>
    <row r="3990" spans="4:18" x14ac:dyDescent="0.2">
      <c r="D3990" t="s">
        <v>78</v>
      </c>
      <c r="E3990" t="s">
        <v>79</v>
      </c>
      <c r="F3990" t="s">
        <v>80</v>
      </c>
      <c r="G3990" t="s">
        <v>153</v>
      </c>
      <c r="H3990" t="s">
        <v>153</v>
      </c>
      <c r="I3990" t="s">
        <v>43</v>
      </c>
      <c r="J3990" t="s">
        <v>44</v>
      </c>
      <c r="K3990" t="s">
        <v>48</v>
      </c>
      <c r="L3990" t="s">
        <v>49</v>
      </c>
      <c r="M3990" t="s">
        <v>140</v>
      </c>
      <c r="N3990">
        <v>3.7880800000000001E-4</v>
      </c>
      <c r="O3990">
        <v>0.10657632</v>
      </c>
      <c r="P3990">
        <v>0.103906964</v>
      </c>
      <c r="Q3990" t="str">
        <f t="shared" si="124"/>
        <v>35-49</v>
      </c>
      <c r="R3990" t="str">
        <f t="shared" si="125"/>
        <v>[fiRkU6gEjLz]|35-49|Male|Incidence_SUBNAT.Rt.T_1|CY2024Q3</v>
      </c>
    </row>
    <row r="3991" spans="4:18" x14ac:dyDescent="0.2">
      <c r="D3991" t="s">
        <v>78</v>
      </c>
      <c r="E3991" t="s">
        <v>79</v>
      </c>
      <c r="F3991" t="s">
        <v>80</v>
      </c>
      <c r="G3991" t="s">
        <v>153</v>
      </c>
      <c r="H3991" t="s">
        <v>153</v>
      </c>
      <c r="I3991" t="s">
        <v>45</v>
      </c>
      <c r="J3991" t="s">
        <v>46</v>
      </c>
      <c r="K3991" t="s">
        <v>48</v>
      </c>
      <c r="L3991" t="s">
        <v>49</v>
      </c>
      <c r="M3991" t="s">
        <v>140</v>
      </c>
      <c r="N3991">
        <v>2.0858300000000001E-4</v>
      </c>
      <c r="O3991">
        <v>0.105980267</v>
      </c>
      <c r="P3991">
        <v>0.103906964</v>
      </c>
      <c r="Q3991" t="str">
        <f t="shared" si="124"/>
        <v>50+</v>
      </c>
      <c r="R3991" t="str">
        <f t="shared" si="125"/>
        <v>[fiRkU6gEjLz]|50+|Male|Incidence_SUBNAT.Rt.T_1|CY2024Q3</v>
      </c>
    </row>
    <row r="3992" spans="4:18" x14ac:dyDescent="0.2">
      <c r="D3992" t="s">
        <v>81</v>
      </c>
      <c r="E3992" t="s">
        <v>82</v>
      </c>
      <c r="F3992" t="s">
        <v>83</v>
      </c>
      <c r="G3992" t="s">
        <v>153</v>
      </c>
      <c r="H3992" t="s">
        <v>153</v>
      </c>
      <c r="I3992" t="s">
        <v>28</v>
      </c>
      <c r="J3992" t="s">
        <v>29</v>
      </c>
      <c r="K3992" t="s">
        <v>30</v>
      </c>
      <c r="L3992" t="s">
        <v>31</v>
      </c>
      <c r="M3992" t="s">
        <v>140</v>
      </c>
      <c r="N3992">
        <v>7.1734700000000002E-4</v>
      </c>
      <c r="O3992">
        <v>8.5972165000000003E-2</v>
      </c>
      <c r="P3992">
        <v>9.3811430000000001E-2</v>
      </c>
      <c r="Q3992" t="str">
        <f t="shared" si="124"/>
        <v>&lt;01</v>
      </c>
      <c r="R3992" t="str">
        <f t="shared" si="125"/>
        <v>[zphK9WV8JB4]|&lt;01|Female|Incidence_SUBNAT.Rt.T_1|CY2024Q3</v>
      </c>
    </row>
    <row r="3993" spans="4:18" x14ac:dyDescent="0.2">
      <c r="D3993" t="s">
        <v>81</v>
      </c>
      <c r="E3993" t="s">
        <v>82</v>
      </c>
      <c r="F3993" t="s">
        <v>83</v>
      </c>
      <c r="G3993" t="s">
        <v>153</v>
      </c>
      <c r="H3993" t="s">
        <v>153</v>
      </c>
      <c r="I3993" t="s">
        <v>33</v>
      </c>
      <c r="J3993" t="s">
        <v>34</v>
      </c>
      <c r="K3993" t="s">
        <v>30</v>
      </c>
      <c r="L3993" t="s">
        <v>31</v>
      </c>
      <c r="M3993" t="s">
        <v>140</v>
      </c>
      <c r="N3993" s="235" t="s">
        <v>174</v>
      </c>
      <c r="O3993">
        <v>4.2986083000000001E-2</v>
      </c>
      <c r="P3993">
        <v>9.3811430000000001E-2</v>
      </c>
      <c r="Q3993" t="str">
        <f t="shared" si="124"/>
        <v>01-09</v>
      </c>
      <c r="R3993" t="str">
        <f t="shared" si="125"/>
        <v>[zphK9WV8JB4]|01-09|Female|Incidence_SUBNAT.Rt.T_1|CY2024Q3</v>
      </c>
    </row>
    <row r="3994" spans="4:18" x14ac:dyDescent="0.2">
      <c r="D3994" t="s">
        <v>81</v>
      </c>
      <c r="E3994" t="s">
        <v>82</v>
      </c>
      <c r="F3994" t="s">
        <v>83</v>
      </c>
      <c r="G3994" t="s">
        <v>153</v>
      </c>
      <c r="H3994" t="s">
        <v>153</v>
      </c>
      <c r="I3994" t="s">
        <v>36</v>
      </c>
      <c r="J3994" t="s">
        <v>37</v>
      </c>
      <c r="K3994" t="s">
        <v>30</v>
      </c>
      <c r="L3994" t="s">
        <v>31</v>
      </c>
      <c r="M3994" t="s">
        <v>140</v>
      </c>
      <c r="N3994">
        <v>0</v>
      </c>
      <c r="O3994">
        <v>0</v>
      </c>
      <c r="P3994">
        <v>9.3811430000000001E-2</v>
      </c>
      <c r="Q3994" t="str">
        <f t="shared" si="124"/>
        <v>10-14</v>
      </c>
      <c r="R3994" t="str">
        <f t="shared" si="125"/>
        <v>[zphK9WV8JB4]|10-14|Female|Incidence_SUBNAT.Rt.T_1|CY2024Q3</v>
      </c>
    </row>
    <row r="3995" spans="4:18" x14ac:dyDescent="0.2">
      <c r="D3995" t="s">
        <v>81</v>
      </c>
      <c r="E3995" t="s">
        <v>82</v>
      </c>
      <c r="F3995" t="s">
        <v>83</v>
      </c>
      <c r="G3995" t="s">
        <v>153</v>
      </c>
      <c r="H3995" t="s">
        <v>153</v>
      </c>
      <c r="I3995" t="s">
        <v>38</v>
      </c>
      <c r="J3995" t="s">
        <v>39</v>
      </c>
      <c r="K3995" t="s">
        <v>30</v>
      </c>
      <c r="L3995" t="s">
        <v>31</v>
      </c>
      <c r="M3995" t="s">
        <v>140</v>
      </c>
      <c r="N3995">
        <v>4.2521399999999998E-4</v>
      </c>
      <c r="O3995">
        <v>9.6857323999999995E-2</v>
      </c>
      <c r="P3995">
        <v>9.3811430000000001E-2</v>
      </c>
      <c r="Q3995" t="str">
        <f t="shared" si="124"/>
        <v>15-24</v>
      </c>
      <c r="R3995" t="str">
        <f t="shared" si="125"/>
        <v>[zphK9WV8JB4]|15-24|Female|Incidence_SUBNAT.Rt.T_1|CY2024Q3</v>
      </c>
    </row>
    <row r="3996" spans="4:18" x14ac:dyDescent="0.2">
      <c r="D3996" t="s">
        <v>81</v>
      </c>
      <c r="E3996" t="s">
        <v>82</v>
      </c>
      <c r="F3996" t="s">
        <v>83</v>
      </c>
      <c r="G3996" t="s">
        <v>153</v>
      </c>
      <c r="H3996" t="s">
        <v>153</v>
      </c>
      <c r="I3996" t="s">
        <v>41</v>
      </c>
      <c r="J3996" t="s">
        <v>42</v>
      </c>
      <c r="K3996" t="s">
        <v>30</v>
      </c>
      <c r="L3996" t="s">
        <v>31</v>
      </c>
      <c r="M3996" t="s">
        <v>140</v>
      </c>
      <c r="N3996">
        <v>6.5517699999999995E-4</v>
      </c>
      <c r="O3996">
        <v>9.7017386999999997E-2</v>
      </c>
      <c r="P3996">
        <v>9.3811430000000001E-2</v>
      </c>
      <c r="Q3996" t="str">
        <f t="shared" si="124"/>
        <v>25-34</v>
      </c>
      <c r="R3996" t="str">
        <f t="shared" si="125"/>
        <v>[zphK9WV8JB4]|25-34|Female|Incidence_SUBNAT.Rt.T_1|CY2024Q3</v>
      </c>
    </row>
    <row r="3997" spans="4:18" x14ac:dyDescent="0.2">
      <c r="D3997" t="s">
        <v>81</v>
      </c>
      <c r="E3997" t="s">
        <v>82</v>
      </c>
      <c r="F3997" t="s">
        <v>83</v>
      </c>
      <c r="G3997" t="s">
        <v>153</v>
      </c>
      <c r="H3997" t="s">
        <v>153</v>
      </c>
      <c r="I3997" t="s">
        <v>43</v>
      </c>
      <c r="J3997" t="s">
        <v>44</v>
      </c>
      <c r="K3997" t="s">
        <v>30</v>
      </c>
      <c r="L3997" t="s">
        <v>31</v>
      </c>
      <c r="M3997" t="s">
        <v>140</v>
      </c>
      <c r="N3997">
        <v>3.6052799999999999E-4</v>
      </c>
      <c r="O3997">
        <v>9.7138912999999993E-2</v>
      </c>
      <c r="P3997">
        <v>9.3811430000000001E-2</v>
      </c>
      <c r="Q3997" t="str">
        <f t="shared" si="124"/>
        <v>35-49</v>
      </c>
      <c r="R3997" t="str">
        <f t="shared" si="125"/>
        <v>[zphK9WV8JB4]|35-49|Female|Incidence_SUBNAT.Rt.T_1|CY2024Q3</v>
      </c>
    </row>
    <row r="3998" spans="4:18" x14ac:dyDescent="0.2">
      <c r="D3998" t="s">
        <v>81</v>
      </c>
      <c r="E3998" t="s">
        <v>82</v>
      </c>
      <c r="F3998" t="s">
        <v>83</v>
      </c>
      <c r="G3998" t="s">
        <v>153</v>
      </c>
      <c r="H3998" t="s">
        <v>153</v>
      </c>
      <c r="I3998" t="s">
        <v>45</v>
      </c>
      <c r="J3998" t="s">
        <v>46</v>
      </c>
      <c r="K3998" t="s">
        <v>30</v>
      </c>
      <c r="L3998" t="s">
        <v>31</v>
      </c>
      <c r="M3998" t="s">
        <v>140</v>
      </c>
      <c r="N3998">
        <v>1.05377E-4</v>
      </c>
      <c r="O3998">
        <v>9.6000813000000004E-2</v>
      </c>
      <c r="P3998">
        <v>9.3811430000000001E-2</v>
      </c>
      <c r="Q3998" t="str">
        <f t="shared" si="124"/>
        <v>50+</v>
      </c>
      <c r="R3998" t="str">
        <f t="shared" si="125"/>
        <v>[zphK9WV8JB4]|50+|Female|Incidence_SUBNAT.Rt.T_1|CY2024Q3</v>
      </c>
    </row>
    <row r="3999" spans="4:18" x14ac:dyDescent="0.2">
      <c r="D3999" t="s">
        <v>81</v>
      </c>
      <c r="E3999" t="s">
        <v>82</v>
      </c>
      <c r="F3999" t="s">
        <v>83</v>
      </c>
      <c r="G3999" t="s">
        <v>153</v>
      </c>
      <c r="H3999" t="s">
        <v>153</v>
      </c>
      <c r="I3999" t="s">
        <v>28</v>
      </c>
      <c r="J3999" t="s">
        <v>29</v>
      </c>
      <c r="K3999" t="s">
        <v>48</v>
      </c>
      <c r="L3999" t="s">
        <v>49</v>
      </c>
      <c r="M3999" t="s">
        <v>140</v>
      </c>
      <c r="N3999">
        <v>7.1968200000000003E-4</v>
      </c>
      <c r="O3999">
        <v>8.5972177999999996E-2</v>
      </c>
      <c r="P3999">
        <v>9.3811430000000001E-2</v>
      </c>
      <c r="Q3999" t="str">
        <f t="shared" si="124"/>
        <v>&lt;01</v>
      </c>
      <c r="R3999" t="str">
        <f t="shared" si="125"/>
        <v>[zphK9WV8JB4]|&lt;01|Male|Incidence_SUBNAT.Rt.T_1|CY2024Q3</v>
      </c>
    </row>
    <row r="4000" spans="4:18" x14ac:dyDescent="0.2">
      <c r="D4000" t="s">
        <v>81</v>
      </c>
      <c r="E4000" t="s">
        <v>82</v>
      </c>
      <c r="F4000" t="s">
        <v>83</v>
      </c>
      <c r="G4000" t="s">
        <v>153</v>
      </c>
      <c r="H4000" t="s">
        <v>153</v>
      </c>
      <c r="I4000" t="s">
        <v>33</v>
      </c>
      <c r="J4000" t="s">
        <v>34</v>
      </c>
      <c r="K4000" t="s">
        <v>48</v>
      </c>
      <c r="L4000" t="s">
        <v>49</v>
      </c>
      <c r="M4000" t="s">
        <v>140</v>
      </c>
      <c r="N4000" s="235" t="s">
        <v>175</v>
      </c>
      <c r="O4000">
        <v>4.2986088999999998E-2</v>
      </c>
      <c r="P4000">
        <v>9.3811430000000001E-2</v>
      </c>
      <c r="Q4000" t="str">
        <f t="shared" si="124"/>
        <v>01-09</v>
      </c>
      <c r="R4000" t="str">
        <f t="shared" si="125"/>
        <v>[zphK9WV8JB4]|01-09|Male|Incidence_SUBNAT.Rt.T_1|CY2024Q3</v>
      </c>
    </row>
    <row r="4001" spans="4:18" x14ac:dyDescent="0.2">
      <c r="D4001" t="s">
        <v>81</v>
      </c>
      <c r="E4001" t="s">
        <v>82</v>
      </c>
      <c r="F4001" t="s">
        <v>83</v>
      </c>
      <c r="G4001" t="s">
        <v>153</v>
      </c>
      <c r="H4001" t="s">
        <v>153</v>
      </c>
      <c r="I4001" t="s">
        <v>36</v>
      </c>
      <c r="J4001" t="s">
        <v>37</v>
      </c>
      <c r="K4001" t="s">
        <v>48</v>
      </c>
      <c r="L4001" t="s">
        <v>49</v>
      </c>
      <c r="M4001" t="s">
        <v>140</v>
      </c>
      <c r="N4001">
        <v>0</v>
      </c>
      <c r="O4001">
        <v>0</v>
      </c>
      <c r="P4001">
        <v>9.3811430000000001E-2</v>
      </c>
      <c r="Q4001" t="str">
        <f t="shared" si="124"/>
        <v>10-14</v>
      </c>
      <c r="R4001" t="str">
        <f t="shared" si="125"/>
        <v>[zphK9WV8JB4]|10-14|Male|Incidence_SUBNAT.Rt.T_1|CY2024Q3</v>
      </c>
    </row>
    <row r="4002" spans="4:18" x14ac:dyDescent="0.2">
      <c r="D4002" t="s">
        <v>81</v>
      </c>
      <c r="E4002" t="s">
        <v>82</v>
      </c>
      <c r="F4002" t="s">
        <v>83</v>
      </c>
      <c r="G4002" t="s">
        <v>153</v>
      </c>
      <c r="H4002" t="s">
        <v>153</v>
      </c>
      <c r="I4002" t="s">
        <v>38</v>
      </c>
      <c r="J4002" t="s">
        <v>39</v>
      </c>
      <c r="K4002" t="s">
        <v>48</v>
      </c>
      <c r="L4002" t="s">
        <v>49</v>
      </c>
      <c r="M4002" t="s">
        <v>140</v>
      </c>
      <c r="N4002" s="235" t="s">
        <v>176</v>
      </c>
      <c r="O4002">
        <v>9.6929456999999997E-2</v>
      </c>
      <c r="P4002">
        <v>9.3811430000000001E-2</v>
      </c>
      <c r="Q4002" t="str">
        <f t="shared" si="124"/>
        <v>15-24</v>
      </c>
      <c r="R4002" t="str">
        <f t="shared" si="125"/>
        <v>[zphK9WV8JB4]|15-24|Male|Incidence_SUBNAT.Rt.T_1|CY2024Q3</v>
      </c>
    </row>
    <row r="4003" spans="4:18" x14ac:dyDescent="0.2">
      <c r="D4003" t="s">
        <v>81</v>
      </c>
      <c r="E4003" t="s">
        <v>82</v>
      </c>
      <c r="F4003" t="s">
        <v>83</v>
      </c>
      <c r="G4003" t="s">
        <v>153</v>
      </c>
      <c r="H4003" t="s">
        <v>153</v>
      </c>
      <c r="I4003" t="s">
        <v>41</v>
      </c>
      <c r="J4003" t="s">
        <v>42</v>
      </c>
      <c r="K4003" t="s">
        <v>48</v>
      </c>
      <c r="L4003" t="s">
        <v>49</v>
      </c>
      <c r="M4003" t="s">
        <v>140</v>
      </c>
      <c r="N4003">
        <v>3.9228899999999998E-4</v>
      </c>
      <c r="O4003">
        <v>9.6911704000000001E-2</v>
      </c>
      <c r="P4003">
        <v>9.3811430000000001E-2</v>
      </c>
      <c r="Q4003" t="str">
        <f t="shared" si="124"/>
        <v>25-34</v>
      </c>
      <c r="R4003" t="str">
        <f t="shared" si="125"/>
        <v>[zphK9WV8JB4]|25-34|Male|Incidence_SUBNAT.Rt.T_1|CY2024Q3</v>
      </c>
    </row>
    <row r="4004" spans="4:18" x14ac:dyDescent="0.2">
      <c r="D4004" t="s">
        <v>81</v>
      </c>
      <c r="E4004" t="s">
        <v>82</v>
      </c>
      <c r="F4004" t="s">
        <v>83</v>
      </c>
      <c r="G4004" t="s">
        <v>153</v>
      </c>
      <c r="H4004" t="s">
        <v>153</v>
      </c>
      <c r="I4004" t="s">
        <v>43</v>
      </c>
      <c r="J4004" t="s">
        <v>44</v>
      </c>
      <c r="K4004" t="s">
        <v>48</v>
      </c>
      <c r="L4004" t="s">
        <v>49</v>
      </c>
      <c r="M4004" t="s">
        <v>140</v>
      </c>
      <c r="N4004">
        <v>4.5363700000000001E-4</v>
      </c>
      <c r="O4004">
        <v>9.7033401000000005E-2</v>
      </c>
      <c r="P4004">
        <v>9.3811430000000001E-2</v>
      </c>
      <c r="Q4004" t="str">
        <f t="shared" si="124"/>
        <v>35-49</v>
      </c>
      <c r="R4004" t="str">
        <f t="shared" si="125"/>
        <v>[zphK9WV8JB4]|35-49|Male|Incidence_SUBNAT.Rt.T_1|CY2024Q3</v>
      </c>
    </row>
    <row r="4005" spans="4:18" x14ac:dyDescent="0.2">
      <c r="D4005" t="s">
        <v>81</v>
      </c>
      <c r="E4005" t="s">
        <v>82</v>
      </c>
      <c r="F4005" t="s">
        <v>83</v>
      </c>
      <c r="G4005" t="s">
        <v>153</v>
      </c>
      <c r="H4005" t="s">
        <v>153</v>
      </c>
      <c r="I4005" t="s">
        <v>45</v>
      </c>
      <c r="J4005" t="s">
        <v>46</v>
      </c>
      <c r="K4005" t="s">
        <v>48</v>
      </c>
      <c r="L4005" t="s">
        <v>49</v>
      </c>
      <c r="M4005" t="s">
        <v>140</v>
      </c>
      <c r="N4005">
        <v>2.5100399999999998E-4</v>
      </c>
      <c r="O4005">
        <v>9.6424116000000004E-2</v>
      </c>
      <c r="P4005">
        <v>9.3811430000000001E-2</v>
      </c>
      <c r="Q4005" t="str">
        <f t="shared" si="124"/>
        <v>50+</v>
      </c>
      <c r="R4005" t="str">
        <f t="shared" si="125"/>
        <v>[zphK9WV8JB4]|50+|Male|Incidence_SUBNAT.Rt.T_1|CY2024Q3</v>
      </c>
    </row>
    <row r="4006" spans="4:18" x14ac:dyDescent="0.2">
      <c r="D4006" t="s">
        <v>84</v>
      </c>
      <c r="E4006" t="s">
        <v>85</v>
      </c>
      <c r="F4006" t="s">
        <v>86</v>
      </c>
      <c r="G4006" t="s">
        <v>153</v>
      </c>
      <c r="H4006" t="s">
        <v>153</v>
      </c>
      <c r="I4006" t="s">
        <v>28</v>
      </c>
      <c r="J4006" t="s">
        <v>29</v>
      </c>
      <c r="K4006" t="s">
        <v>30</v>
      </c>
      <c r="L4006" t="s">
        <v>31</v>
      </c>
      <c r="M4006" t="s">
        <v>140</v>
      </c>
      <c r="N4006">
        <v>1.69393E-3</v>
      </c>
      <c r="O4006">
        <v>6.7625887999999995E-2</v>
      </c>
      <c r="P4006">
        <v>7.3284035999999997E-2</v>
      </c>
      <c r="Q4006" t="str">
        <f t="shared" si="124"/>
        <v>&lt;01</v>
      </c>
      <c r="R4006" t="str">
        <f t="shared" si="125"/>
        <v>[msW2zpIN7up]|&lt;01|Female|Incidence_SUBNAT.Rt.T_1|CY2024Q3</v>
      </c>
    </row>
    <row r="4007" spans="4:18" x14ac:dyDescent="0.2">
      <c r="D4007" t="s">
        <v>84</v>
      </c>
      <c r="E4007" t="s">
        <v>85</v>
      </c>
      <c r="F4007" t="s">
        <v>86</v>
      </c>
      <c r="G4007" t="s">
        <v>153</v>
      </c>
      <c r="H4007" t="s">
        <v>153</v>
      </c>
      <c r="I4007" t="s">
        <v>33</v>
      </c>
      <c r="J4007" t="s">
        <v>34</v>
      </c>
      <c r="K4007" t="s">
        <v>30</v>
      </c>
      <c r="L4007" t="s">
        <v>31</v>
      </c>
      <c r="M4007" t="s">
        <v>140</v>
      </c>
      <c r="N4007" s="235" t="s">
        <v>177</v>
      </c>
      <c r="O4007">
        <v>3.3812943999999998E-2</v>
      </c>
      <c r="P4007">
        <v>7.3284035999999997E-2</v>
      </c>
      <c r="Q4007" t="str">
        <f t="shared" si="124"/>
        <v>01-09</v>
      </c>
      <c r="R4007" t="str">
        <f t="shared" si="125"/>
        <v>[msW2zpIN7up]|01-09|Female|Incidence_SUBNAT.Rt.T_1|CY2024Q3</v>
      </c>
    </row>
    <row r="4008" spans="4:18" x14ac:dyDescent="0.2">
      <c r="D4008" t="s">
        <v>84</v>
      </c>
      <c r="E4008" t="s">
        <v>85</v>
      </c>
      <c r="F4008" t="s">
        <v>86</v>
      </c>
      <c r="G4008" t="s">
        <v>153</v>
      </c>
      <c r="H4008" t="s">
        <v>153</v>
      </c>
      <c r="I4008" t="s">
        <v>36</v>
      </c>
      <c r="J4008" t="s">
        <v>37</v>
      </c>
      <c r="K4008" t="s">
        <v>30</v>
      </c>
      <c r="L4008" t="s">
        <v>31</v>
      </c>
      <c r="M4008" t="s">
        <v>140</v>
      </c>
      <c r="N4008">
        <v>0</v>
      </c>
      <c r="O4008">
        <v>0</v>
      </c>
      <c r="P4008">
        <v>7.3284035999999997E-2</v>
      </c>
      <c r="Q4008" t="str">
        <f t="shared" si="124"/>
        <v>10-14</v>
      </c>
      <c r="R4008" t="str">
        <f t="shared" si="125"/>
        <v>[msW2zpIN7up]|10-14|Female|Incidence_SUBNAT.Rt.T_1|CY2024Q3</v>
      </c>
    </row>
    <row r="4009" spans="4:18" x14ac:dyDescent="0.2">
      <c r="D4009" t="s">
        <v>84</v>
      </c>
      <c r="E4009" t="s">
        <v>85</v>
      </c>
      <c r="F4009" t="s">
        <v>86</v>
      </c>
      <c r="G4009" t="s">
        <v>153</v>
      </c>
      <c r="H4009" t="s">
        <v>153</v>
      </c>
      <c r="I4009" t="s">
        <v>38</v>
      </c>
      <c r="J4009" t="s">
        <v>39</v>
      </c>
      <c r="K4009" t="s">
        <v>30</v>
      </c>
      <c r="L4009" t="s">
        <v>31</v>
      </c>
      <c r="M4009" t="s">
        <v>140</v>
      </c>
      <c r="N4009">
        <v>9.2939599999999998E-4</v>
      </c>
      <c r="O4009">
        <v>7.6615474000000003E-2</v>
      </c>
      <c r="P4009">
        <v>7.3284035999999997E-2</v>
      </c>
      <c r="Q4009" t="str">
        <f t="shared" si="124"/>
        <v>15-24</v>
      </c>
      <c r="R4009" t="str">
        <f t="shared" si="125"/>
        <v>[msW2zpIN7up]|15-24|Female|Incidence_SUBNAT.Rt.T_1|CY2024Q3</v>
      </c>
    </row>
    <row r="4010" spans="4:18" x14ac:dyDescent="0.2">
      <c r="D4010" t="s">
        <v>84</v>
      </c>
      <c r="E4010" t="s">
        <v>85</v>
      </c>
      <c r="F4010" t="s">
        <v>86</v>
      </c>
      <c r="G4010" t="s">
        <v>153</v>
      </c>
      <c r="H4010" t="s">
        <v>153</v>
      </c>
      <c r="I4010" t="s">
        <v>41</v>
      </c>
      <c r="J4010" t="s">
        <v>42</v>
      </c>
      <c r="K4010" t="s">
        <v>30</v>
      </c>
      <c r="L4010" t="s">
        <v>31</v>
      </c>
      <c r="M4010" t="s">
        <v>140</v>
      </c>
      <c r="N4010">
        <v>1.441243E-3</v>
      </c>
      <c r="O4010">
        <v>7.6969275000000004E-2</v>
      </c>
      <c r="P4010">
        <v>7.3284035999999997E-2</v>
      </c>
      <c r="Q4010" t="str">
        <f t="shared" si="124"/>
        <v>25-34</v>
      </c>
      <c r="R4010" t="str">
        <f t="shared" si="125"/>
        <v>[msW2zpIN7up]|25-34|Female|Incidence_SUBNAT.Rt.T_1|CY2024Q3</v>
      </c>
    </row>
    <row r="4011" spans="4:18" x14ac:dyDescent="0.2">
      <c r="D4011" t="s">
        <v>84</v>
      </c>
      <c r="E4011" t="s">
        <v>85</v>
      </c>
      <c r="F4011" t="s">
        <v>86</v>
      </c>
      <c r="G4011" t="s">
        <v>153</v>
      </c>
      <c r="H4011" t="s">
        <v>153</v>
      </c>
      <c r="I4011" t="s">
        <v>43</v>
      </c>
      <c r="J4011" t="s">
        <v>44</v>
      </c>
      <c r="K4011" t="s">
        <v>30</v>
      </c>
      <c r="L4011" t="s">
        <v>31</v>
      </c>
      <c r="M4011" t="s">
        <v>140</v>
      </c>
      <c r="N4011">
        <v>8.0455200000000004E-4</v>
      </c>
      <c r="O4011">
        <v>7.7247393999999997E-2</v>
      </c>
      <c r="P4011">
        <v>7.3284035999999997E-2</v>
      </c>
      <c r="Q4011" t="str">
        <f t="shared" si="124"/>
        <v>35-49</v>
      </c>
      <c r="R4011" t="str">
        <f t="shared" si="125"/>
        <v>[msW2zpIN7up]|35-49|Female|Incidence_SUBNAT.Rt.T_1|CY2024Q3</v>
      </c>
    </row>
    <row r="4012" spans="4:18" x14ac:dyDescent="0.2">
      <c r="D4012" t="s">
        <v>84</v>
      </c>
      <c r="E4012" t="s">
        <v>85</v>
      </c>
      <c r="F4012" t="s">
        <v>86</v>
      </c>
      <c r="G4012" t="s">
        <v>153</v>
      </c>
      <c r="H4012" t="s">
        <v>153</v>
      </c>
      <c r="I4012" t="s">
        <v>45</v>
      </c>
      <c r="J4012" t="s">
        <v>46</v>
      </c>
      <c r="K4012" t="s">
        <v>30</v>
      </c>
      <c r="L4012" t="s">
        <v>31</v>
      </c>
      <c r="M4012" t="s">
        <v>140</v>
      </c>
      <c r="N4012">
        <v>2.16116E-4</v>
      </c>
      <c r="O4012">
        <v>7.4498701000000001E-2</v>
      </c>
      <c r="P4012">
        <v>7.3284035999999997E-2</v>
      </c>
      <c r="Q4012" t="str">
        <f t="shared" si="124"/>
        <v>50+</v>
      </c>
      <c r="R4012" t="str">
        <f t="shared" si="125"/>
        <v>[msW2zpIN7up]|50+|Female|Incidence_SUBNAT.Rt.T_1|CY2024Q3</v>
      </c>
    </row>
    <row r="4013" spans="4:18" x14ac:dyDescent="0.2">
      <c r="D4013" t="s">
        <v>84</v>
      </c>
      <c r="E4013" t="s">
        <v>85</v>
      </c>
      <c r="F4013" t="s">
        <v>86</v>
      </c>
      <c r="G4013" t="s">
        <v>153</v>
      </c>
      <c r="H4013" t="s">
        <v>153</v>
      </c>
      <c r="I4013" t="s">
        <v>28</v>
      </c>
      <c r="J4013" t="s">
        <v>29</v>
      </c>
      <c r="K4013" t="s">
        <v>48</v>
      </c>
      <c r="L4013" t="s">
        <v>49</v>
      </c>
      <c r="M4013" t="s">
        <v>140</v>
      </c>
      <c r="N4013">
        <v>1.699447E-3</v>
      </c>
      <c r="O4013">
        <v>6.7625910999999997E-2</v>
      </c>
      <c r="P4013">
        <v>7.3284035999999997E-2</v>
      </c>
      <c r="Q4013" t="str">
        <f t="shared" si="124"/>
        <v>&lt;01</v>
      </c>
      <c r="R4013" t="str">
        <f t="shared" si="125"/>
        <v>[msW2zpIN7up]|&lt;01|Male|Incidence_SUBNAT.Rt.T_1|CY2024Q3</v>
      </c>
    </row>
    <row r="4014" spans="4:18" x14ac:dyDescent="0.2">
      <c r="D4014" t="s">
        <v>84</v>
      </c>
      <c r="E4014" t="s">
        <v>85</v>
      </c>
      <c r="F4014" t="s">
        <v>86</v>
      </c>
      <c r="G4014" t="s">
        <v>153</v>
      </c>
      <c r="H4014" t="s">
        <v>153</v>
      </c>
      <c r="I4014" t="s">
        <v>33</v>
      </c>
      <c r="J4014" t="s">
        <v>34</v>
      </c>
      <c r="K4014" t="s">
        <v>48</v>
      </c>
      <c r="L4014" t="s">
        <v>49</v>
      </c>
      <c r="M4014" t="s">
        <v>140</v>
      </c>
      <c r="N4014" s="235" t="s">
        <v>178</v>
      </c>
      <c r="O4014">
        <v>3.3812954999999999E-2</v>
      </c>
      <c r="P4014">
        <v>7.3284035999999997E-2</v>
      </c>
      <c r="Q4014" t="str">
        <f t="shared" si="124"/>
        <v>01-09</v>
      </c>
      <c r="R4014" t="str">
        <f t="shared" si="125"/>
        <v>[msW2zpIN7up]|01-09|Male|Incidence_SUBNAT.Rt.T_1|CY2024Q3</v>
      </c>
    </row>
    <row r="4015" spans="4:18" x14ac:dyDescent="0.2">
      <c r="D4015" t="s">
        <v>84</v>
      </c>
      <c r="E4015" t="s">
        <v>85</v>
      </c>
      <c r="F4015" t="s">
        <v>86</v>
      </c>
      <c r="G4015" t="s">
        <v>153</v>
      </c>
      <c r="H4015" t="s">
        <v>153</v>
      </c>
      <c r="I4015" t="s">
        <v>36</v>
      </c>
      <c r="J4015" t="s">
        <v>37</v>
      </c>
      <c r="K4015" t="s">
        <v>48</v>
      </c>
      <c r="L4015" t="s">
        <v>49</v>
      </c>
      <c r="M4015" t="s">
        <v>140</v>
      </c>
      <c r="N4015">
        <v>0</v>
      </c>
      <c r="O4015">
        <v>0</v>
      </c>
      <c r="P4015">
        <v>7.3284035999999997E-2</v>
      </c>
      <c r="Q4015" t="str">
        <f t="shared" si="124"/>
        <v>10-14</v>
      </c>
      <c r="R4015" t="str">
        <f t="shared" si="125"/>
        <v>[msW2zpIN7up]|10-14|Male|Incidence_SUBNAT.Rt.T_1|CY2024Q3</v>
      </c>
    </row>
    <row r="4016" spans="4:18" x14ac:dyDescent="0.2">
      <c r="D4016" t="s">
        <v>84</v>
      </c>
      <c r="E4016" t="s">
        <v>85</v>
      </c>
      <c r="F4016" t="s">
        <v>86</v>
      </c>
      <c r="G4016" t="s">
        <v>153</v>
      </c>
      <c r="H4016" t="s">
        <v>153</v>
      </c>
      <c r="I4016" t="s">
        <v>38</v>
      </c>
      <c r="J4016" t="s">
        <v>39</v>
      </c>
      <c r="K4016" t="s">
        <v>48</v>
      </c>
      <c r="L4016" t="s">
        <v>49</v>
      </c>
      <c r="M4016" t="s">
        <v>140</v>
      </c>
      <c r="N4016">
        <v>1.54673E-4</v>
      </c>
      <c r="O4016">
        <v>7.6768744999999999E-2</v>
      </c>
      <c r="P4016">
        <v>7.3284035999999997E-2</v>
      </c>
      <c r="Q4016" t="str">
        <f t="shared" si="124"/>
        <v>15-24</v>
      </c>
      <c r="R4016" t="str">
        <f t="shared" si="125"/>
        <v>[msW2zpIN7up]|15-24|Male|Incidence_SUBNAT.Rt.T_1|CY2024Q3</v>
      </c>
    </row>
    <row r="4017" spans="4:18" x14ac:dyDescent="0.2">
      <c r="D4017" t="s">
        <v>84</v>
      </c>
      <c r="E4017" t="s">
        <v>85</v>
      </c>
      <c r="F4017" t="s">
        <v>86</v>
      </c>
      <c r="G4017" t="s">
        <v>153</v>
      </c>
      <c r="H4017" t="s">
        <v>153</v>
      </c>
      <c r="I4017" t="s">
        <v>41</v>
      </c>
      <c r="J4017" t="s">
        <v>42</v>
      </c>
      <c r="K4017" t="s">
        <v>48</v>
      </c>
      <c r="L4017" t="s">
        <v>49</v>
      </c>
      <c r="M4017" t="s">
        <v>140</v>
      </c>
      <c r="N4017">
        <v>8.6302899999999997E-4</v>
      </c>
      <c r="O4017">
        <v>7.6766771999999997E-2</v>
      </c>
      <c r="P4017">
        <v>7.3284035999999997E-2</v>
      </c>
      <c r="Q4017" t="str">
        <f t="shared" si="124"/>
        <v>25-34</v>
      </c>
      <c r="R4017" t="str">
        <f t="shared" si="125"/>
        <v>[msW2zpIN7up]|25-34|Male|Incidence_SUBNAT.Rt.T_1|CY2024Q3</v>
      </c>
    </row>
    <row r="4018" spans="4:18" x14ac:dyDescent="0.2">
      <c r="D4018" t="s">
        <v>84</v>
      </c>
      <c r="E4018" t="s">
        <v>85</v>
      </c>
      <c r="F4018" t="s">
        <v>86</v>
      </c>
      <c r="G4018" t="s">
        <v>153</v>
      </c>
      <c r="H4018" t="s">
        <v>153</v>
      </c>
      <c r="I4018" t="s">
        <v>43</v>
      </c>
      <c r="J4018" t="s">
        <v>44</v>
      </c>
      <c r="K4018" t="s">
        <v>48</v>
      </c>
      <c r="L4018" t="s">
        <v>49</v>
      </c>
      <c r="M4018" t="s">
        <v>140</v>
      </c>
      <c r="N4018">
        <v>9.9804100000000008E-4</v>
      </c>
      <c r="O4018">
        <v>7.6982594000000001E-2</v>
      </c>
      <c r="P4018">
        <v>7.3284035999999997E-2</v>
      </c>
      <c r="Q4018" t="str">
        <f t="shared" si="124"/>
        <v>35-49</v>
      </c>
      <c r="R4018" t="str">
        <f t="shared" si="125"/>
        <v>[msW2zpIN7up]|35-49|Male|Incidence_SUBNAT.Rt.T_1|CY2024Q3</v>
      </c>
    </row>
    <row r="4019" spans="4:18" x14ac:dyDescent="0.2">
      <c r="D4019" t="s">
        <v>84</v>
      </c>
      <c r="E4019" t="s">
        <v>85</v>
      </c>
      <c r="F4019" t="s">
        <v>86</v>
      </c>
      <c r="G4019" t="s">
        <v>153</v>
      </c>
      <c r="H4019" t="s">
        <v>153</v>
      </c>
      <c r="I4019" t="s">
        <v>45</v>
      </c>
      <c r="J4019" t="s">
        <v>46</v>
      </c>
      <c r="K4019" t="s">
        <v>48</v>
      </c>
      <c r="L4019" t="s">
        <v>49</v>
      </c>
      <c r="M4019" t="s">
        <v>140</v>
      </c>
      <c r="N4019">
        <v>5.3822400000000002E-4</v>
      </c>
      <c r="O4019">
        <v>7.5722285E-2</v>
      </c>
      <c r="P4019">
        <v>7.3284035999999997E-2</v>
      </c>
      <c r="Q4019" t="str">
        <f t="shared" si="124"/>
        <v>50+</v>
      </c>
      <c r="R4019" t="str">
        <f t="shared" si="125"/>
        <v>[msW2zpIN7up]|50+|Male|Incidence_SUBNAT.Rt.T_1|CY2024Q3</v>
      </c>
    </row>
    <row r="4020" spans="4:18" x14ac:dyDescent="0.2">
      <c r="D4020" t="s">
        <v>87</v>
      </c>
      <c r="E4020" t="s">
        <v>88</v>
      </c>
      <c r="F4020" t="s">
        <v>89</v>
      </c>
      <c r="G4020" t="s">
        <v>153</v>
      </c>
      <c r="H4020" t="s">
        <v>153</v>
      </c>
      <c r="I4020" t="s">
        <v>28</v>
      </c>
      <c r="J4020" t="s">
        <v>29</v>
      </c>
      <c r="K4020" t="s">
        <v>30</v>
      </c>
      <c r="L4020" t="s">
        <v>31</v>
      </c>
      <c r="M4020" t="s">
        <v>140</v>
      </c>
      <c r="N4020">
        <v>1.683892E-3</v>
      </c>
      <c r="O4020">
        <v>2.2539353000000002E-2</v>
      </c>
      <c r="P4020">
        <v>3.3026858999999999E-2</v>
      </c>
      <c r="Q4020" t="str">
        <f t="shared" si="124"/>
        <v>&lt;01</v>
      </c>
      <c r="R4020" t="str">
        <f t="shared" si="125"/>
        <v>[ScR9iFKAasW]|&lt;01|Female|Incidence_SUBNAT.Rt.T_1|CY2024Q3</v>
      </c>
    </row>
    <row r="4021" spans="4:18" x14ac:dyDescent="0.2">
      <c r="D4021" t="s">
        <v>87</v>
      </c>
      <c r="E4021" t="s">
        <v>88</v>
      </c>
      <c r="F4021" t="s">
        <v>89</v>
      </c>
      <c r="G4021" t="s">
        <v>153</v>
      </c>
      <c r="H4021" t="s">
        <v>153</v>
      </c>
      <c r="I4021" t="s">
        <v>33</v>
      </c>
      <c r="J4021" t="s">
        <v>34</v>
      </c>
      <c r="K4021" t="s">
        <v>30</v>
      </c>
      <c r="L4021" t="s">
        <v>31</v>
      </c>
      <c r="M4021" t="s">
        <v>140</v>
      </c>
      <c r="N4021" s="235" t="s">
        <v>179</v>
      </c>
      <c r="O4021">
        <v>1.1269677000000001E-2</v>
      </c>
      <c r="P4021">
        <v>3.3026858999999999E-2</v>
      </c>
      <c r="Q4021" t="str">
        <f t="shared" si="124"/>
        <v>01-09</v>
      </c>
      <c r="R4021" t="str">
        <f t="shared" si="125"/>
        <v>[ScR9iFKAasW]|01-09|Female|Incidence_SUBNAT.Rt.T_1|CY2024Q3</v>
      </c>
    </row>
    <row r="4022" spans="4:18" x14ac:dyDescent="0.2">
      <c r="D4022" t="s">
        <v>87</v>
      </c>
      <c r="E4022" t="s">
        <v>88</v>
      </c>
      <c r="F4022" t="s">
        <v>89</v>
      </c>
      <c r="G4022" t="s">
        <v>153</v>
      </c>
      <c r="H4022" t="s">
        <v>153</v>
      </c>
      <c r="I4022" t="s">
        <v>36</v>
      </c>
      <c r="J4022" t="s">
        <v>37</v>
      </c>
      <c r="K4022" t="s">
        <v>30</v>
      </c>
      <c r="L4022" t="s">
        <v>31</v>
      </c>
      <c r="M4022" t="s">
        <v>140</v>
      </c>
      <c r="N4022">
        <v>0</v>
      </c>
      <c r="O4022">
        <v>0</v>
      </c>
      <c r="P4022">
        <v>3.3026858999999999E-2</v>
      </c>
      <c r="Q4022" t="str">
        <f t="shared" si="124"/>
        <v>10-14</v>
      </c>
      <c r="R4022" t="str">
        <f t="shared" si="125"/>
        <v>[ScR9iFKAasW]|10-14|Female|Incidence_SUBNAT.Rt.T_1|CY2024Q3</v>
      </c>
    </row>
    <row r="4023" spans="4:18" x14ac:dyDescent="0.2">
      <c r="D4023" t="s">
        <v>87</v>
      </c>
      <c r="E4023" t="s">
        <v>88</v>
      </c>
      <c r="F4023" t="s">
        <v>89</v>
      </c>
      <c r="G4023" t="s">
        <v>153</v>
      </c>
      <c r="H4023" t="s">
        <v>153</v>
      </c>
      <c r="I4023" t="s">
        <v>38</v>
      </c>
      <c r="J4023" t="s">
        <v>39</v>
      </c>
      <c r="K4023" t="s">
        <v>30</v>
      </c>
      <c r="L4023" t="s">
        <v>31</v>
      </c>
      <c r="M4023" t="s">
        <v>140</v>
      </c>
      <c r="N4023">
        <v>1.0755560000000001E-3</v>
      </c>
      <c r="O4023">
        <v>3.6090753000000003E-2</v>
      </c>
      <c r="P4023">
        <v>3.3026858999999999E-2</v>
      </c>
      <c r="Q4023" t="str">
        <f t="shared" si="124"/>
        <v>15-24</v>
      </c>
      <c r="R4023" t="str">
        <f t="shared" si="125"/>
        <v>[ScR9iFKAasW]|15-24|Female|Incidence_SUBNAT.Rt.T_1|CY2024Q3</v>
      </c>
    </row>
    <row r="4024" spans="4:18" x14ac:dyDescent="0.2">
      <c r="D4024" t="s">
        <v>87</v>
      </c>
      <c r="E4024" t="s">
        <v>88</v>
      </c>
      <c r="F4024" t="s">
        <v>89</v>
      </c>
      <c r="G4024" t="s">
        <v>153</v>
      </c>
      <c r="H4024" t="s">
        <v>153</v>
      </c>
      <c r="I4024" t="s">
        <v>41</v>
      </c>
      <c r="J4024" t="s">
        <v>42</v>
      </c>
      <c r="K4024" t="s">
        <v>30</v>
      </c>
      <c r="L4024" t="s">
        <v>31</v>
      </c>
      <c r="M4024" t="s">
        <v>140</v>
      </c>
      <c r="N4024">
        <v>1.653914E-3</v>
      </c>
      <c r="O4024">
        <v>3.5685935000000002E-2</v>
      </c>
      <c r="P4024">
        <v>3.3026858999999999E-2</v>
      </c>
      <c r="Q4024" t="str">
        <f t="shared" si="124"/>
        <v>25-34</v>
      </c>
      <c r="R4024" t="str">
        <f t="shared" si="125"/>
        <v>[ScR9iFKAasW]|25-34|Female|Incidence_SUBNAT.Rt.T_1|CY2024Q3</v>
      </c>
    </row>
    <row r="4025" spans="4:18" x14ac:dyDescent="0.2">
      <c r="D4025" t="s">
        <v>87</v>
      </c>
      <c r="E4025" t="s">
        <v>88</v>
      </c>
      <c r="F4025" t="s">
        <v>89</v>
      </c>
      <c r="G4025" t="s">
        <v>153</v>
      </c>
      <c r="H4025" t="s">
        <v>153</v>
      </c>
      <c r="I4025" t="s">
        <v>43</v>
      </c>
      <c r="J4025" t="s">
        <v>44</v>
      </c>
      <c r="K4025" t="s">
        <v>30</v>
      </c>
      <c r="L4025" t="s">
        <v>31</v>
      </c>
      <c r="M4025" t="s">
        <v>140</v>
      </c>
      <c r="N4025">
        <v>8.3094500000000003E-4</v>
      </c>
      <c r="O4025">
        <v>3.8735881999999999E-2</v>
      </c>
      <c r="P4025">
        <v>3.3026858999999999E-2</v>
      </c>
      <c r="Q4025" t="str">
        <f t="shared" si="124"/>
        <v>35-49</v>
      </c>
      <c r="R4025" t="str">
        <f t="shared" si="125"/>
        <v>[ScR9iFKAasW]|35-49|Female|Incidence_SUBNAT.Rt.T_1|CY2024Q3</v>
      </c>
    </row>
    <row r="4026" spans="4:18" x14ac:dyDescent="0.2">
      <c r="D4026" t="s">
        <v>87</v>
      </c>
      <c r="E4026" t="s">
        <v>88</v>
      </c>
      <c r="F4026" t="s">
        <v>89</v>
      </c>
      <c r="G4026" t="s">
        <v>153</v>
      </c>
      <c r="H4026" t="s">
        <v>153</v>
      </c>
      <c r="I4026" t="s">
        <v>45</v>
      </c>
      <c r="J4026" t="s">
        <v>46</v>
      </c>
      <c r="K4026" t="s">
        <v>30</v>
      </c>
      <c r="L4026" t="s">
        <v>31</v>
      </c>
      <c r="M4026" t="s">
        <v>140</v>
      </c>
      <c r="N4026">
        <v>1.98729E-4</v>
      </c>
      <c r="O4026">
        <v>4.6782687000000003E-2</v>
      </c>
      <c r="P4026">
        <v>3.3026858999999999E-2</v>
      </c>
      <c r="Q4026" t="str">
        <f t="shared" si="124"/>
        <v>50+</v>
      </c>
      <c r="R4026" t="str">
        <f t="shared" si="125"/>
        <v>[ScR9iFKAasW]|50+|Female|Incidence_SUBNAT.Rt.T_1|CY2024Q3</v>
      </c>
    </row>
    <row r="4027" spans="4:18" x14ac:dyDescent="0.2">
      <c r="D4027" t="s">
        <v>87</v>
      </c>
      <c r="E4027" t="s">
        <v>88</v>
      </c>
      <c r="F4027" t="s">
        <v>89</v>
      </c>
      <c r="G4027" t="s">
        <v>153</v>
      </c>
      <c r="H4027" t="s">
        <v>153</v>
      </c>
      <c r="I4027" t="s">
        <v>28</v>
      </c>
      <c r="J4027" t="s">
        <v>29</v>
      </c>
      <c r="K4027" t="s">
        <v>48</v>
      </c>
      <c r="L4027" t="s">
        <v>49</v>
      </c>
      <c r="M4027" t="s">
        <v>140</v>
      </c>
      <c r="N4027">
        <v>1.689915E-3</v>
      </c>
      <c r="O4027">
        <v>2.2525944999999999E-2</v>
      </c>
      <c r="P4027">
        <v>3.3026858999999999E-2</v>
      </c>
      <c r="Q4027" t="str">
        <f t="shared" si="124"/>
        <v>&lt;01</v>
      </c>
      <c r="R4027" t="str">
        <f t="shared" si="125"/>
        <v>[ScR9iFKAasW]|&lt;01|Male|Incidence_SUBNAT.Rt.T_1|CY2024Q3</v>
      </c>
    </row>
    <row r="4028" spans="4:18" x14ac:dyDescent="0.2">
      <c r="D4028" t="s">
        <v>87</v>
      </c>
      <c r="E4028" t="s">
        <v>88</v>
      </c>
      <c r="F4028" t="s">
        <v>89</v>
      </c>
      <c r="G4028" t="s">
        <v>153</v>
      </c>
      <c r="H4028" t="s">
        <v>153</v>
      </c>
      <c r="I4028" t="s">
        <v>33</v>
      </c>
      <c r="J4028" t="s">
        <v>34</v>
      </c>
      <c r="K4028" t="s">
        <v>48</v>
      </c>
      <c r="L4028" t="s">
        <v>49</v>
      </c>
      <c r="M4028" t="s">
        <v>140</v>
      </c>
      <c r="N4028" s="235" t="s">
        <v>180</v>
      </c>
      <c r="O4028">
        <v>1.1262972E-2</v>
      </c>
      <c r="P4028">
        <v>3.3026858999999999E-2</v>
      </c>
      <c r="Q4028" t="str">
        <f t="shared" si="124"/>
        <v>01-09</v>
      </c>
      <c r="R4028" t="str">
        <f t="shared" si="125"/>
        <v>[ScR9iFKAasW]|01-09|Male|Incidence_SUBNAT.Rt.T_1|CY2024Q3</v>
      </c>
    </row>
    <row r="4029" spans="4:18" x14ac:dyDescent="0.2">
      <c r="D4029" t="s">
        <v>87</v>
      </c>
      <c r="E4029" t="s">
        <v>88</v>
      </c>
      <c r="F4029" t="s">
        <v>89</v>
      </c>
      <c r="G4029" t="s">
        <v>153</v>
      </c>
      <c r="H4029" t="s">
        <v>153</v>
      </c>
      <c r="I4029" t="s">
        <v>36</v>
      </c>
      <c r="J4029" t="s">
        <v>37</v>
      </c>
      <c r="K4029" t="s">
        <v>48</v>
      </c>
      <c r="L4029" t="s">
        <v>49</v>
      </c>
      <c r="M4029" t="s">
        <v>140</v>
      </c>
      <c r="N4029">
        <v>0</v>
      </c>
      <c r="O4029">
        <v>0</v>
      </c>
      <c r="P4029">
        <v>3.3026858999999999E-2</v>
      </c>
      <c r="Q4029" t="str">
        <f t="shared" si="124"/>
        <v>10-14</v>
      </c>
      <c r="R4029" t="str">
        <f t="shared" si="125"/>
        <v>[ScR9iFKAasW]|10-14|Male|Incidence_SUBNAT.Rt.T_1|CY2024Q3</v>
      </c>
    </row>
    <row r="4030" spans="4:18" x14ac:dyDescent="0.2">
      <c r="D4030" t="s">
        <v>87</v>
      </c>
      <c r="E4030" t="s">
        <v>88</v>
      </c>
      <c r="F4030" t="s">
        <v>89</v>
      </c>
      <c r="G4030" t="s">
        <v>153</v>
      </c>
      <c r="H4030" t="s">
        <v>153</v>
      </c>
      <c r="I4030" t="s">
        <v>38</v>
      </c>
      <c r="J4030" t="s">
        <v>39</v>
      </c>
      <c r="K4030" t="s">
        <v>48</v>
      </c>
      <c r="L4030" t="s">
        <v>49</v>
      </c>
      <c r="M4030" t="s">
        <v>140</v>
      </c>
      <c r="N4030">
        <v>1.9118800000000001E-4</v>
      </c>
      <c r="O4030">
        <v>3.5955081999999999E-2</v>
      </c>
      <c r="P4030">
        <v>3.3026858999999999E-2</v>
      </c>
      <c r="Q4030" t="str">
        <f t="shared" si="124"/>
        <v>15-24</v>
      </c>
      <c r="R4030" t="str">
        <f t="shared" si="125"/>
        <v>[ScR9iFKAasW]|15-24|Male|Incidence_SUBNAT.Rt.T_1|CY2024Q3</v>
      </c>
    </row>
    <row r="4031" spans="4:18" x14ac:dyDescent="0.2">
      <c r="D4031" t="s">
        <v>87</v>
      </c>
      <c r="E4031" t="s">
        <v>88</v>
      </c>
      <c r="F4031" t="s">
        <v>89</v>
      </c>
      <c r="G4031" t="s">
        <v>153</v>
      </c>
      <c r="H4031" t="s">
        <v>153</v>
      </c>
      <c r="I4031" t="s">
        <v>41</v>
      </c>
      <c r="J4031" t="s">
        <v>42</v>
      </c>
      <c r="K4031" t="s">
        <v>48</v>
      </c>
      <c r="L4031" t="s">
        <v>49</v>
      </c>
      <c r="M4031" t="s">
        <v>140</v>
      </c>
      <c r="N4031">
        <v>1.013796E-3</v>
      </c>
      <c r="O4031">
        <v>3.5292139E-2</v>
      </c>
      <c r="P4031">
        <v>3.3026858999999999E-2</v>
      </c>
      <c r="Q4031" t="str">
        <f t="shared" si="124"/>
        <v>25-34</v>
      </c>
      <c r="R4031" t="str">
        <f t="shared" si="125"/>
        <v>[ScR9iFKAasW]|25-34|Male|Incidence_SUBNAT.Rt.T_1|CY2024Q3</v>
      </c>
    </row>
    <row r="4032" spans="4:18" x14ac:dyDescent="0.2">
      <c r="D4032" t="s">
        <v>87</v>
      </c>
      <c r="E4032" t="s">
        <v>88</v>
      </c>
      <c r="F4032" t="s">
        <v>89</v>
      </c>
      <c r="G4032" t="s">
        <v>153</v>
      </c>
      <c r="H4032" t="s">
        <v>153</v>
      </c>
      <c r="I4032" t="s">
        <v>43</v>
      </c>
      <c r="J4032" t="s">
        <v>44</v>
      </c>
      <c r="K4032" t="s">
        <v>48</v>
      </c>
      <c r="L4032" t="s">
        <v>49</v>
      </c>
      <c r="M4032" t="s">
        <v>140</v>
      </c>
      <c r="N4032">
        <v>1.123256E-3</v>
      </c>
      <c r="O4032">
        <v>3.5847213000000003E-2</v>
      </c>
      <c r="P4032">
        <v>3.3026858999999999E-2</v>
      </c>
      <c r="Q4032" t="str">
        <f t="shared" si="124"/>
        <v>35-49</v>
      </c>
      <c r="R4032" t="str">
        <f t="shared" si="125"/>
        <v>[ScR9iFKAasW]|35-49|Male|Incidence_SUBNAT.Rt.T_1|CY2024Q3</v>
      </c>
    </row>
    <row r="4033" spans="4:18" x14ac:dyDescent="0.2">
      <c r="D4033" t="s">
        <v>87</v>
      </c>
      <c r="E4033" t="s">
        <v>88</v>
      </c>
      <c r="F4033" t="s">
        <v>89</v>
      </c>
      <c r="G4033" t="s">
        <v>153</v>
      </c>
      <c r="H4033" t="s">
        <v>153</v>
      </c>
      <c r="I4033" t="s">
        <v>45</v>
      </c>
      <c r="J4033" t="s">
        <v>46</v>
      </c>
      <c r="K4033" t="s">
        <v>48</v>
      </c>
      <c r="L4033" t="s">
        <v>49</v>
      </c>
      <c r="M4033" t="s">
        <v>140</v>
      </c>
      <c r="N4033">
        <v>5.2613499999999995E-4</v>
      </c>
      <c r="O4033">
        <v>4.2478565000000003E-2</v>
      </c>
      <c r="P4033">
        <v>3.3026858999999999E-2</v>
      </c>
      <c r="Q4033" t="str">
        <f t="shared" si="124"/>
        <v>50+</v>
      </c>
      <c r="R4033" t="str">
        <f t="shared" si="125"/>
        <v>[ScR9iFKAasW]|50+|Male|Incidence_SUBNAT.Rt.T_1|CY2024Q3</v>
      </c>
    </row>
    <row r="4034" spans="4:18" x14ac:dyDescent="0.2">
      <c r="D4034" t="s">
        <v>90</v>
      </c>
      <c r="E4034" t="s">
        <v>91</v>
      </c>
      <c r="F4034" t="s">
        <v>92</v>
      </c>
      <c r="G4034" t="s">
        <v>153</v>
      </c>
      <c r="H4034" t="s">
        <v>153</v>
      </c>
      <c r="I4034" t="s">
        <v>28</v>
      </c>
      <c r="J4034" t="s">
        <v>29</v>
      </c>
      <c r="K4034" t="s">
        <v>30</v>
      </c>
      <c r="L4034" t="s">
        <v>31</v>
      </c>
      <c r="M4034" t="s">
        <v>140</v>
      </c>
      <c r="N4034">
        <v>1.2354670000000001E-3</v>
      </c>
      <c r="O4034">
        <v>5.9435411E-2</v>
      </c>
      <c r="P4034">
        <v>7.1379634999999997E-2</v>
      </c>
      <c r="Q4034" t="str">
        <f t="shared" si="124"/>
        <v>&lt;01</v>
      </c>
      <c r="R4034" t="str">
        <f t="shared" si="125"/>
        <v>[kxuuIFpOXyO]|&lt;01|Female|Incidence_SUBNAT.Rt.T_1|CY2024Q3</v>
      </c>
    </row>
    <row r="4035" spans="4:18" x14ac:dyDescent="0.2">
      <c r="D4035" t="s">
        <v>90</v>
      </c>
      <c r="E4035" t="s">
        <v>91</v>
      </c>
      <c r="F4035" t="s">
        <v>92</v>
      </c>
      <c r="G4035" t="s">
        <v>153</v>
      </c>
      <c r="H4035" t="s">
        <v>153</v>
      </c>
      <c r="I4035" t="s">
        <v>33</v>
      </c>
      <c r="J4035" t="s">
        <v>34</v>
      </c>
      <c r="K4035" t="s">
        <v>30</v>
      </c>
      <c r="L4035" t="s">
        <v>31</v>
      </c>
      <c r="M4035" t="s">
        <v>140</v>
      </c>
      <c r="N4035" s="235" t="s">
        <v>181</v>
      </c>
      <c r="O4035">
        <v>2.9717705000000001E-2</v>
      </c>
      <c r="P4035">
        <v>7.1379634999999997E-2</v>
      </c>
      <c r="Q4035" t="str">
        <f t="shared" ref="Q4035:Q4098" si="126">SUBSTITUTE(SUBSTITUTE($I4035,CHAR(61),""),CHAR(34),"")</f>
        <v>01-09</v>
      </c>
      <c r="R4035" t="str">
        <f t="shared" ref="R4035:R4098" si="127">IF($D4035&lt;&gt;"","["&amp;$E4035&amp;"]"&amp;"|"&amp;$Q4035&amp;"|"&amp;$K4035&amp;"|"&amp;$G4035&amp;"|"&amp;IF($G4035="TX_CURR_SUBNAT.R","CY2023Q4",$M4035),"")</f>
        <v>[kxuuIFpOXyO]|01-09|Female|Incidence_SUBNAT.Rt.T_1|CY2024Q3</v>
      </c>
    </row>
    <row r="4036" spans="4:18" x14ac:dyDescent="0.2">
      <c r="D4036" t="s">
        <v>90</v>
      </c>
      <c r="E4036" t="s">
        <v>91</v>
      </c>
      <c r="F4036" t="s">
        <v>92</v>
      </c>
      <c r="G4036" t="s">
        <v>153</v>
      </c>
      <c r="H4036" t="s">
        <v>153</v>
      </c>
      <c r="I4036" t="s">
        <v>36</v>
      </c>
      <c r="J4036" t="s">
        <v>37</v>
      </c>
      <c r="K4036" t="s">
        <v>30</v>
      </c>
      <c r="L4036" t="s">
        <v>31</v>
      </c>
      <c r="M4036" t="s">
        <v>140</v>
      </c>
      <c r="N4036">
        <v>0</v>
      </c>
      <c r="O4036">
        <v>0</v>
      </c>
      <c r="P4036">
        <v>7.1379634999999997E-2</v>
      </c>
      <c r="Q4036" t="str">
        <f t="shared" si="126"/>
        <v>10-14</v>
      </c>
      <c r="R4036" t="str">
        <f t="shared" si="127"/>
        <v>[kxuuIFpOXyO]|10-14|Female|Incidence_SUBNAT.Rt.T_1|CY2024Q3</v>
      </c>
    </row>
    <row r="4037" spans="4:18" x14ac:dyDescent="0.2">
      <c r="D4037" t="s">
        <v>90</v>
      </c>
      <c r="E4037" t="s">
        <v>91</v>
      </c>
      <c r="F4037" t="s">
        <v>92</v>
      </c>
      <c r="G4037" t="s">
        <v>153</v>
      </c>
      <c r="H4037" t="s">
        <v>153</v>
      </c>
      <c r="I4037" t="s">
        <v>38</v>
      </c>
      <c r="J4037" t="s">
        <v>39</v>
      </c>
      <c r="K4037" t="s">
        <v>30</v>
      </c>
      <c r="L4037" t="s">
        <v>31</v>
      </c>
      <c r="M4037" t="s">
        <v>140</v>
      </c>
      <c r="N4037">
        <v>7.3754500000000004E-4</v>
      </c>
      <c r="O4037">
        <v>7.5591511E-2</v>
      </c>
      <c r="P4037">
        <v>7.1379634999999997E-2</v>
      </c>
      <c r="Q4037" t="str">
        <f t="shared" si="126"/>
        <v>15-24</v>
      </c>
      <c r="R4037" t="str">
        <f t="shared" si="127"/>
        <v>[kxuuIFpOXyO]|15-24|Female|Incidence_SUBNAT.Rt.T_1|CY2024Q3</v>
      </c>
    </row>
    <row r="4038" spans="4:18" x14ac:dyDescent="0.2">
      <c r="D4038" t="s">
        <v>90</v>
      </c>
      <c r="E4038" t="s">
        <v>91</v>
      </c>
      <c r="F4038" t="s">
        <v>92</v>
      </c>
      <c r="G4038" t="s">
        <v>153</v>
      </c>
      <c r="H4038" t="s">
        <v>153</v>
      </c>
      <c r="I4038" t="s">
        <v>41</v>
      </c>
      <c r="J4038" t="s">
        <v>42</v>
      </c>
      <c r="K4038" t="s">
        <v>30</v>
      </c>
      <c r="L4038" t="s">
        <v>31</v>
      </c>
      <c r="M4038" t="s">
        <v>140</v>
      </c>
      <c r="N4038">
        <v>1.1297919999999999E-3</v>
      </c>
      <c r="O4038">
        <v>7.5797578000000004E-2</v>
      </c>
      <c r="P4038">
        <v>7.1379634999999997E-2</v>
      </c>
      <c r="Q4038" t="str">
        <f t="shared" si="126"/>
        <v>25-34</v>
      </c>
      <c r="R4038" t="str">
        <f t="shared" si="127"/>
        <v>[kxuuIFpOXyO]|25-34|Female|Incidence_SUBNAT.Rt.T_1|CY2024Q3</v>
      </c>
    </row>
    <row r="4039" spans="4:18" x14ac:dyDescent="0.2">
      <c r="D4039" t="s">
        <v>90</v>
      </c>
      <c r="E4039" t="s">
        <v>91</v>
      </c>
      <c r="F4039" t="s">
        <v>92</v>
      </c>
      <c r="G4039" t="s">
        <v>153</v>
      </c>
      <c r="H4039" t="s">
        <v>153</v>
      </c>
      <c r="I4039" t="s">
        <v>43</v>
      </c>
      <c r="J4039" t="s">
        <v>44</v>
      </c>
      <c r="K4039" t="s">
        <v>30</v>
      </c>
      <c r="L4039" t="s">
        <v>31</v>
      </c>
      <c r="M4039" t="s">
        <v>140</v>
      </c>
      <c r="N4039">
        <v>6.2575800000000002E-4</v>
      </c>
      <c r="O4039">
        <v>7.5917045000000002E-2</v>
      </c>
      <c r="P4039">
        <v>7.1379634999999997E-2</v>
      </c>
      <c r="Q4039" t="str">
        <f t="shared" si="126"/>
        <v>35-49</v>
      </c>
      <c r="R4039" t="str">
        <f t="shared" si="127"/>
        <v>[kxuuIFpOXyO]|35-49|Female|Incidence_SUBNAT.Rt.T_1|CY2024Q3</v>
      </c>
    </row>
    <row r="4040" spans="4:18" x14ac:dyDescent="0.2">
      <c r="D4040" t="s">
        <v>90</v>
      </c>
      <c r="E4040" t="s">
        <v>91</v>
      </c>
      <c r="F4040" t="s">
        <v>92</v>
      </c>
      <c r="G4040" t="s">
        <v>153</v>
      </c>
      <c r="H4040" t="s">
        <v>153</v>
      </c>
      <c r="I4040" t="s">
        <v>45</v>
      </c>
      <c r="J4040" t="s">
        <v>46</v>
      </c>
      <c r="K4040" t="s">
        <v>30</v>
      </c>
      <c r="L4040" t="s">
        <v>31</v>
      </c>
      <c r="M4040" t="s">
        <v>140</v>
      </c>
      <c r="N4040">
        <v>1.8321099999999999E-4</v>
      </c>
      <c r="O4040">
        <v>7.4643532999999998E-2</v>
      </c>
      <c r="P4040">
        <v>7.1379634999999997E-2</v>
      </c>
      <c r="Q4040" t="str">
        <f t="shared" si="126"/>
        <v>50+</v>
      </c>
      <c r="R4040" t="str">
        <f t="shared" si="127"/>
        <v>[kxuuIFpOXyO]|50+|Female|Incidence_SUBNAT.Rt.T_1|CY2024Q3</v>
      </c>
    </row>
    <row r="4041" spans="4:18" x14ac:dyDescent="0.2">
      <c r="D4041" t="s">
        <v>90</v>
      </c>
      <c r="E4041" t="s">
        <v>91</v>
      </c>
      <c r="F4041" t="s">
        <v>92</v>
      </c>
      <c r="G4041" t="s">
        <v>153</v>
      </c>
      <c r="H4041" t="s">
        <v>153</v>
      </c>
      <c r="I4041" t="s">
        <v>28</v>
      </c>
      <c r="J4041" t="s">
        <v>29</v>
      </c>
      <c r="K4041" t="s">
        <v>48</v>
      </c>
      <c r="L4041" t="s">
        <v>49</v>
      </c>
      <c r="M4041" t="s">
        <v>140</v>
      </c>
      <c r="N4041">
        <v>1.2394800000000001E-3</v>
      </c>
      <c r="O4041">
        <v>5.9435425E-2</v>
      </c>
      <c r="P4041">
        <v>7.1379634999999997E-2</v>
      </c>
      <c r="Q4041" t="str">
        <f t="shared" si="126"/>
        <v>&lt;01</v>
      </c>
      <c r="R4041" t="str">
        <f t="shared" si="127"/>
        <v>[kxuuIFpOXyO]|&lt;01|Male|Incidence_SUBNAT.Rt.T_1|CY2024Q3</v>
      </c>
    </row>
    <row r="4042" spans="4:18" x14ac:dyDescent="0.2">
      <c r="D4042" t="s">
        <v>90</v>
      </c>
      <c r="E4042" t="s">
        <v>91</v>
      </c>
      <c r="F4042" t="s">
        <v>92</v>
      </c>
      <c r="G4042" t="s">
        <v>153</v>
      </c>
      <c r="H4042" t="s">
        <v>153</v>
      </c>
      <c r="I4042" t="s">
        <v>33</v>
      </c>
      <c r="J4042" t="s">
        <v>34</v>
      </c>
      <c r="K4042" t="s">
        <v>48</v>
      </c>
      <c r="L4042" t="s">
        <v>49</v>
      </c>
      <c r="M4042" t="s">
        <v>140</v>
      </c>
      <c r="N4042" s="235" t="s">
        <v>181</v>
      </c>
      <c r="O4042">
        <v>2.9717713E-2</v>
      </c>
      <c r="P4042">
        <v>7.1379634999999997E-2</v>
      </c>
      <c r="Q4042" t="str">
        <f t="shared" si="126"/>
        <v>01-09</v>
      </c>
      <c r="R4042" t="str">
        <f t="shared" si="127"/>
        <v>[kxuuIFpOXyO]|01-09|Male|Incidence_SUBNAT.Rt.T_1|CY2024Q3</v>
      </c>
    </row>
    <row r="4043" spans="4:18" x14ac:dyDescent="0.2">
      <c r="D4043" t="s">
        <v>90</v>
      </c>
      <c r="E4043" t="s">
        <v>91</v>
      </c>
      <c r="F4043" t="s">
        <v>92</v>
      </c>
      <c r="G4043" t="s">
        <v>153</v>
      </c>
      <c r="H4043" t="s">
        <v>153</v>
      </c>
      <c r="I4043" t="s">
        <v>36</v>
      </c>
      <c r="J4043" t="s">
        <v>37</v>
      </c>
      <c r="K4043" t="s">
        <v>48</v>
      </c>
      <c r="L4043" t="s">
        <v>49</v>
      </c>
      <c r="M4043" t="s">
        <v>140</v>
      </c>
      <c r="N4043">
        <v>0</v>
      </c>
      <c r="O4043">
        <v>0</v>
      </c>
      <c r="P4043">
        <v>7.1379634999999997E-2</v>
      </c>
      <c r="Q4043" t="str">
        <f t="shared" si="126"/>
        <v>10-14</v>
      </c>
      <c r="R4043" t="str">
        <f t="shared" si="127"/>
        <v>[kxuuIFpOXyO]|10-14|Male|Incidence_SUBNAT.Rt.T_1|CY2024Q3</v>
      </c>
    </row>
    <row r="4044" spans="4:18" x14ac:dyDescent="0.2">
      <c r="D4044" t="s">
        <v>90</v>
      </c>
      <c r="E4044" t="s">
        <v>91</v>
      </c>
      <c r="F4044" t="s">
        <v>92</v>
      </c>
      <c r="G4044" t="s">
        <v>153</v>
      </c>
      <c r="H4044" t="s">
        <v>153</v>
      </c>
      <c r="I4044" t="s">
        <v>38</v>
      </c>
      <c r="J4044" t="s">
        <v>39</v>
      </c>
      <c r="K4044" t="s">
        <v>48</v>
      </c>
      <c r="L4044" t="s">
        <v>49</v>
      </c>
      <c r="M4044" t="s">
        <v>140</v>
      </c>
      <c r="N4044">
        <v>1.2637E-4</v>
      </c>
      <c r="O4044">
        <v>7.5689703999999997E-2</v>
      </c>
      <c r="P4044">
        <v>7.1379634999999997E-2</v>
      </c>
      <c r="Q4044" t="str">
        <f t="shared" si="126"/>
        <v>15-24</v>
      </c>
      <c r="R4044" t="str">
        <f t="shared" si="127"/>
        <v>[kxuuIFpOXyO]|15-24|Male|Incidence_SUBNAT.Rt.T_1|CY2024Q3</v>
      </c>
    </row>
    <row r="4045" spans="4:18" x14ac:dyDescent="0.2">
      <c r="D4045" t="s">
        <v>90</v>
      </c>
      <c r="E4045" t="s">
        <v>91</v>
      </c>
      <c r="F4045" t="s">
        <v>92</v>
      </c>
      <c r="G4045" t="s">
        <v>153</v>
      </c>
      <c r="H4045" t="s">
        <v>153</v>
      </c>
      <c r="I4045" t="s">
        <v>41</v>
      </c>
      <c r="J4045" t="s">
        <v>42</v>
      </c>
      <c r="K4045" t="s">
        <v>48</v>
      </c>
      <c r="L4045" t="s">
        <v>49</v>
      </c>
      <c r="M4045" t="s">
        <v>140</v>
      </c>
      <c r="N4045">
        <v>6.77711E-4</v>
      </c>
      <c r="O4045">
        <v>7.5675150999999996E-2</v>
      </c>
      <c r="P4045">
        <v>7.1379634999999997E-2</v>
      </c>
      <c r="Q4045" t="str">
        <f t="shared" si="126"/>
        <v>25-34</v>
      </c>
      <c r="R4045" t="str">
        <f t="shared" si="127"/>
        <v>[kxuuIFpOXyO]|25-34|Male|Incidence_SUBNAT.Rt.T_1|CY2024Q3</v>
      </c>
    </row>
    <row r="4046" spans="4:18" x14ac:dyDescent="0.2">
      <c r="D4046" t="s">
        <v>90</v>
      </c>
      <c r="E4046" t="s">
        <v>91</v>
      </c>
      <c r="F4046" t="s">
        <v>92</v>
      </c>
      <c r="G4046" t="s">
        <v>153</v>
      </c>
      <c r="H4046" t="s">
        <v>153</v>
      </c>
      <c r="I4046" t="s">
        <v>43</v>
      </c>
      <c r="J4046" t="s">
        <v>44</v>
      </c>
      <c r="K4046" t="s">
        <v>48</v>
      </c>
      <c r="L4046" t="s">
        <v>49</v>
      </c>
      <c r="M4046" t="s">
        <v>140</v>
      </c>
      <c r="N4046">
        <v>7.8381200000000005E-4</v>
      </c>
      <c r="O4046">
        <v>7.5813549999999993E-2</v>
      </c>
      <c r="P4046">
        <v>7.1379634999999997E-2</v>
      </c>
      <c r="Q4046" t="str">
        <f t="shared" si="126"/>
        <v>35-49</v>
      </c>
      <c r="R4046" t="str">
        <f t="shared" si="127"/>
        <v>[kxuuIFpOXyO]|35-49|Male|Incidence_SUBNAT.Rt.T_1|CY2024Q3</v>
      </c>
    </row>
    <row r="4047" spans="4:18" x14ac:dyDescent="0.2">
      <c r="D4047" t="s">
        <v>90</v>
      </c>
      <c r="E4047" t="s">
        <v>91</v>
      </c>
      <c r="F4047" t="s">
        <v>92</v>
      </c>
      <c r="G4047" t="s">
        <v>153</v>
      </c>
      <c r="H4047" t="s">
        <v>153</v>
      </c>
      <c r="I4047" t="s">
        <v>45</v>
      </c>
      <c r="J4047" t="s">
        <v>46</v>
      </c>
      <c r="K4047" t="s">
        <v>48</v>
      </c>
      <c r="L4047" t="s">
        <v>49</v>
      </c>
      <c r="M4047" t="s">
        <v>140</v>
      </c>
      <c r="N4047">
        <v>4.4155099999999999E-4</v>
      </c>
      <c r="O4047">
        <v>7.5249473999999997E-2</v>
      </c>
      <c r="P4047">
        <v>7.1379634999999997E-2</v>
      </c>
      <c r="Q4047" t="str">
        <f t="shared" si="126"/>
        <v>50+</v>
      </c>
      <c r="R4047" t="str">
        <f t="shared" si="127"/>
        <v>[kxuuIFpOXyO]|50+|Male|Incidence_SUBNAT.Rt.T_1|CY2024Q3</v>
      </c>
    </row>
    <row r="4048" spans="4:18" x14ac:dyDescent="0.2">
      <c r="D4048" t="s">
        <v>93</v>
      </c>
      <c r="E4048" t="s">
        <v>94</v>
      </c>
      <c r="F4048" t="s">
        <v>95</v>
      </c>
      <c r="G4048" t="s">
        <v>153</v>
      </c>
      <c r="H4048" t="s">
        <v>153</v>
      </c>
      <c r="I4048" t="s">
        <v>28</v>
      </c>
      <c r="J4048" t="s">
        <v>29</v>
      </c>
      <c r="K4048" t="s">
        <v>30</v>
      </c>
      <c r="L4048" t="s">
        <v>31</v>
      </c>
      <c r="M4048" t="s">
        <v>140</v>
      </c>
      <c r="N4048">
        <v>9.5109399999999998E-4</v>
      </c>
      <c r="O4048">
        <v>8.8790709999999995E-2</v>
      </c>
      <c r="P4048">
        <v>9.5228704999999997E-2</v>
      </c>
      <c r="Q4048" t="str">
        <f t="shared" si="126"/>
        <v>&lt;01</v>
      </c>
      <c r="R4048" t="str">
        <f t="shared" si="127"/>
        <v>[PekKUkKHAzY]|&lt;01|Female|Incidence_SUBNAT.Rt.T_1|CY2024Q3</v>
      </c>
    </row>
    <row r="4049" spans="4:18" x14ac:dyDescent="0.2">
      <c r="D4049" t="s">
        <v>93</v>
      </c>
      <c r="E4049" t="s">
        <v>94</v>
      </c>
      <c r="F4049" t="s">
        <v>95</v>
      </c>
      <c r="G4049" t="s">
        <v>153</v>
      </c>
      <c r="H4049" t="s">
        <v>153</v>
      </c>
      <c r="I4049" t="s">
        <v>33</v>
      </c>
      <c r="J4049" t="s">
        <v>34</v>
      </c>
      <c r="K4049" t="s">
        <v>30</v>
      </c>
      <c r="L4049" t="s">
        <v>31</v>
      </c>
      <c r="M4049" t="s">
        <v>140</v>
      </c>
      <c r="N4049" s="235" t="s">
        <v>182</v>
      </c>
      <c r="O4049">
        <v>4.4395354999999997E-2</v>
      </c>
      <c r="P4049">
        <v>9.5228704999999997E-2</v>
      </c>
      <c r="Q4049" t="str">
        <f t="shared" si="126"/>
        <v>01-09</v>
      </c>
      <c r="R4049" t="str">
        <f t="shared" si="127"/>
        <v>[PekKUkKHAzY]|01-09|Female|Incidence_SUBNAT.Rt.T_1|CY2024Q3</v>
      </c>
    </row>
    <row r="4050" spans="4:18" x14ac:dyDescent="0.2">
      <c r="D4050" t="s">
        <v>93</v>
      </c>
      <c r="E4050" t="s">
        <v>94</v>
      </c>
      <c r="F4050" t="s">
        <v>95</v>
      </c>
      <c r="G4050" t="s">
        <v>153</v>
      </c>
      <c r="H4050" t="s">
        <v>153</v>
      </c>
      <c r="I4050" t="s">
        <v>36</v>
      </c>
      <c r="J4050" t="s">
        <v>37</v>
      </c>
      <c r="K4050" t="s">
        <v>30</v>
      </c>
      <c r="L4050" t="s">
        <v>31</v>
      </c>
      <c r="M4050" t="s">
        <v>140</v>
      </c>
      <c r="N4050">
        <v>0</v>
      </c>
      <c r="O4050">
        <v>0</v>
      </c>
      <c r="P4050">
        <v>9.5228704999999997E-2</v>
      </c>
      <c r="Q4050" t="str">
        <f t="shared" si="126"/>
        <v>10-14</v>
      </c>
      <c r="R4050" t="str">
        <f t="shared" si="127"/>
        <v>[PekKUkKHAzY]|10-14|Female|Incidence_SUBNAT.Rt.T_1|CY2024Q3</v>
      </c>
    </row>
    <row r="4051" spans="4:18" x14ac:dyDescent="0.2">
      <c r="D4051" t="s">
        <v>93</v>
      </c>
      <c r="E4051" t="s">
        <v>94</v>
      </c>
      <c r="F4051" t="s">
        <v>95</v>
      </c>
      <c r="G4051" t="s">
        <v>153</v>
      </c>
      <c r="H4051" t="s">
        <v>153</v>
      </c>
      <c r="I4051" t="s">
        <v>38</v>
      </c>
      <c r="J4051" t="s">
        <v>39</v>
      </c>
      <c r="K4051" t="s">
        <v>30</v>
      </c>
      <c r="L4051" t="s">
        <v>31</v>
      </c>
      <c r="M4051" t="s">
        <v>140</v>
      </c>
      <c r="N4051">
        <v>5.6133599999999995E-4</v>
      </c>
      <c r="O4051">
        <v>9.8253665000000004E-2</v>
      </c>
      <c r="P4051">
        <v>9.5228704999999997E-2</v>
      </c>
      <c r="Q4051" t="str">
        <f t="shared" si="126"/>
        <v>15-24</v>
      </c>
      <c r="R4051" t="str">
        <f t="shared" si="127"/>
        <v>[PekKUkKHAzY]|15-24|Female|Incidence_SUBNAT.Rt.T_1|CY2024Q3</v>
      </c>
    </row>
    <row r="4052" spans="4:18" x14ac:dyDescent="0.2">
      <c r="D4052" t="s">
        <v>93</v>
      </c>
      <c r="E4052" t="s">
        <v>94</v>
      </c>
      <c r="F4052" t="s">
        <v>95</v>
      </c>
      <c r="G4052" t="s">
        <v>153</v>
      </c>
      <c r="H4052" t="s">
        <v>153</v>
      </c>
      <c r="I4052" t="s">
        <v>41</v>
      </c>
      <c r="J4052" t="s">
        <v>42</v>
      </c>
      <c r="K4052" t="s">
        <v>30</v>
      </c>
      <c r="L4052" t="s">
        <v>31</v>
      </c>
      <c r="M4052" t="s">
        <v>140</v>
      </c>
      <c r="N4052">
        <v>8.6098000000000001E-4</v>
      </c>
      <c r="O4052">
        <v>9.8480664999999995E-2</v>
      </c>
      <c r="P4052">
        <v>9.5228704999999997E-2</v>
      </c>
      <c r="Q4052" t="str">
        <f t="shared" si="126"/>
        <v>25-34</v>
      </c>
      <c r="R4052" t="str">
        <f t="shared" si="127"/>
        <v>[PekKUkKHAzY]|25-34|Female|Incidence_SUBNAT.Rt.T_1|CY2024Q3</v>
      </c>
    </row>
    <row r="4053" spans="4:18" x14ac:dyDescent="0.2">
      <c r="D4053" t="s">
        <v>93</v>
      </c>
      <c r="E4053" t="s">
        <v>94</v>
      </c>
      <c r="F4053" t="s">
        <v>95</v>
      </c>
      <c r="G4053" t="s">
        <v>153</v>
      </c>
      <c r="H4053" t="s">
        <v>153</v>
      </c>
      <c r="I4053" t="s">
        <v>43</v>
      </c>
      <c r="J4053" t="s">
        <v>44</v>
      </c>
      <c r="K4053" t="s">
        <v>30</v>
      </c>
      <c r="L4053" t="s">
        <v>31</v>
      </c>
      <c r="M4053" t="s">
        <v>140</v>
      </c>
      <c r="N4053">
        <v>4.7544500000000001E-4</v>
      </c>
      <c r="O4053">
        <v>9.8650784000000005E-2</v>
      </c>
      <c r="P4053">
        <v>9.5228704999999997E-2</v>
      </c>
      <c r="Q4053" t="str">
        <f t="shared" si="126"/>
        <v>35-49</v>
      </c>
      <c r="R4053" t="str">
        <f t="shared" si="127"/>
        <v>[PekKUkKHAzY]|35-49|Female|Incidence_SUBNAT.Rt.T_1|CY2024Q3</v>
      </c>
    </row>
    <row r="4054" spans="4:18" x14ac:dyDescent="0.2">
      <c r="D4054" t="s">
        <v>93</v>
      </c>
      <c r="E4054" t="s">
        <v>94</v>
      </c>
      <c r="F4054" t="s">
        <v>95</v>
      </c>
      <c r="G4054" t="s">
        <v>153</v>
      </c>
      <c r="H4054" t="s">
        <v>153</v>
      </c>
      <c r="I4054" t="s">
        <v>45</v>
      </c>
      <c r="J4054" t="s">
        <v>46</v>
      </c>
      <c r="K4054" t="s">
        <v>30</v>
      </c>
      <c r="L4054" t="s">
        <v>31</v>
      </c>
      <c r="M4054" t="s">
        <v>140</v>
      </c>
      <c r="N4054">
        <v>1.3066299999999999E-4</v>
      </c>
      <c r="O4054">
        <v>9.6819158000000002E-2</v>
      </c>
      <c r="P4054">
        <v>9.5228704999999997E-2</v>
      </c>
      <c r="Q4054" t="str">
        <f t="shared" si="126"/>
        <v>50+</v>
      </c>
      <c r="R4054" t="str">
        <f t="shared" si="127"/>
        <v>[PekKUkKHAzY]|50+|Female|Incidence_SUBNAT.Rt.T_1|CY2024Q3</v>
      </c>
    </row>
    <row r="4055" spans="4:18" x14ac:dyDescent="0.2">
      <c r="D4055" t="s">
        <v>93</v>
      </c>
      <c r="E4055" t="s">
        <v>94</v>
      </c>
      <c r="F4055" t="s">
        <v>95</v>
      </c>
      <c r="G4055" t="s">
        <v>153</v>
      </c>
      <c r="H4055" t="s">
        <v>153</v>
      </c>
      <c r="I4055" t="s">
        <v>28</v>
      </c>
      <c r="J4055" t="s">
        <v>29</v>
      </c>
      <c r="K4055" t="s">
        <v>48</v>
      </c>
      <c r="L4055" t="s">
        <v>49</v>
      </c>
      <c r="M4055" t="s">
        <v>140</v>
      </c>
      <c r="N4055">
        <v>9.5418900000000004E-4</v>
      </c>
      <c r="O4055">
        <v>8.8790727E-2</v>
      </c>
      <c r="P4055">
        <v>9.5228704999999997E-2</v>
      </c>
      <c r="Q4055" t="str">
        <f t="shared" si="126"/>
        <v>&lt;01</v>
      </c>
      <c r="R4055" t="str">
        <f t="shared" si="127"/>
        <v>[PekKUkKHAzY]|&lt;01|Male|Incidence_SUBNAT.Rt.T_1|CY2024Q3</v>
      </c>
    </row>
    <row r="4056" spans="4:18" x14ac:dyDescent="0.2">
      <c r="D4056" t="s">
        <v>93</v>
      </c>
      <c r="E4056" t="s">
        <v>94</v>
      </c>
      <c r="F4056" t="s">
        <v>95</v>
      </c>
      <c r="G4056" t="s">
        <v>153</v>
      </c>
      <c r="H4056" t="s">
        <v>153</v>
      </c>
      <c r="I4056" t="s">
        <v>33</v>
      </c>
      <c r="J4056" t="s">
        <v>34</v>
      </c>
      <c r="K4056" t="s">
        <v>48</v>
      </c>
      <c r="L4056" t="s">
        <v>49</v>
      </c>
      <c r="M4056" t="s">
        <v>140</v>
      </c>
      <c r="N4056" s="235" t="s">
        <v>183</v>
      </c>
      <c r="O4056">
        <v>4.4395363E-2</v>
      </c>
      <c r="P4056">
        <v>9.5228704999999997E-2</v>
      </c>
      <c r="Q4056" t="str">
        <f t="shared" si="126"/>
        <v>01-09</v>
      </c>
      <c r="R4056" t="str">
        <f t="shared" si="127"/>
        <v>[PekKUkKHAzY]|01-09|Male|Incidence_SUBNAT.Rt.T_1|CY2024Q3</v>
      </c>
    </row>
    <row r="4057" spans="4:18" x14ac:dyDescent="0.2">
      <c r="D4057" t="s">
        <v>93</v>
      </c>
      <c r="E4057" t="s">
        <v>94</v>
      </c>
      <c r="F4057" t="s">
        <v>95</v>
      </c>
      <c r="G4057" t="s">
        <v>153</v>
      </c>
      <c r="H4057" t="s">
        <v>153</v>
      </c>
      <c r="I4057" t="s">
        <v>36</v>
      </c>
      <c r="J4057" t="s">
        <v>37</v>
      </c>
      <c r="K4057" t="s">
        <v>48</v>
      </c>
      <c r="L4057" t="s">
        <v>49</v>
      </c>
      <c r="M4057" t="s">
        <v>140</v>
      </c>
      <c r="N4057">
        <v>0</v>
      </c>
      <c r="O4057">
        <v>0</v>
      </c>
      <c r="P4057">
        <v>9.5228704999999997E-2</v>
      </c>
      <c r="Q4057" t="str">
        <f t="shared" si="126"/>
        <v>10-14</v>
      </c>
      <c r="R4057" t="str">
        <f t="shared" si="127"/>
        <v>[PekKUkKHAzY]|10-14|Male|Incidence_SUBNAT.Rt.T_1|CY2024Q3</v>
      </c>
    </row>
    <row r="4058" spans="4:18" x14ac:dyDescent="0.2">
      <c r="D4058" t="s">
        <v>93</v>
      </c>
      <c r="E4058" t="s">
        <v>94</v>
      </c>
      <c r="F4058" t="s">
        <v>95</v>
      </c>
      <c r="G4058" t="s">
        <v>153</v>
      </c>
      <c r="H4058" t="s">
        <v>153</v>
      </c>
      <c r="I4058" t="s">
        <v>38</v>
      </c>
      <c r="J4058" t="s">
        <v>39</v>
      </c>
      <c r="K4058" t="s">
        <v>48</v>
      </c>
      <c r="L4058" t="s">
        <v>49</v>
      </c>
      <c r="M4058" t="s">
        <v>140</v>
      </c>
      <c r="N4058" s="235" t="s">
        <v>184</v>
      </c>
      <c r="O4058">
        <v>9.8378227999999998E-2</v>
      </c>
      <c r="P4058">
        <v>9.5228704999999997E-2</v>
      </c>
      <c r="Q4058" t="str">
        <f t="shared" si="126"/>
        <v>15-24</v>
      </c>
      <c r="R4058" t="str">
        <f t="shared" si="127"/>
        <v>[PekKUkKHAzY]|15-24|Male|Incidence_SUBNAT.Rt.T_1|CY2024Q3</v>
      </c>
    </row>
    <row r="4059" spans="4:18" x14ac:dyDescent="0.2">
      <c r="D4059" t="s">
        <v>93</v>
      </c>
      <c r="E4059" t="s">
        <v>94</v>
      </c>
      <c r="F4059" t="s">
        <v>95</v>
      </c>
      <c r="G4059" t="s">
        <v>153</v>
      </c>
      <c r="H4059" t="s">
        <v>153</v>
      </c>
      <c r="I4059" t="s">
        <v>41</v>
      </c>
      <c r="J4059" t="s">
        <v>42</v>
      </c>
      <c r="K4059" t="s">
        <v>48</v>
      </c>
      <c r="L4059" t="s">
        <v>49</v>
      </c>
      <c r="M4059" t="s">
        <v>140</v>
      </c>
      <c r="N4059">
        <v>5.1448100000000001E-4</v>
      </c>
      <c r="O4059">
        <v>9.832486E-2</v>
      </c>
      <c r="P4059">
        <v>9.5228704999999997E-2</v>
      </c>
      <c r="Q4059" t="str">
        <f t="shared" si="126"/>
        <v>25-34</v>
      </c>
      <c r="R4059" t="str">
        <f t="shared" si="127"/>
        <v>[PekKUkKHAzY]|25-34|Male|Incidence_SUBNAT.Rt.T_1|CY2024Q3</v>
      </c>
    </row>
    <row r="4060" spans="4:18" x14ac:dyDescent="0.2">
      <c r="D4060" t="s">
        <v>93</v>
      </c>
      <c r="E4060" t="s">
        <v>94</v>
      </c>
      <c r="F4060" t="s">
        <v>95</v>
      </c>
      <c r="G4060" t="s">
        <v>153</v>
      </c>
      <c r="H4060" t="s">
        <v>153</v>
      </c>
      <c r="I4060" t="s">
        <v>43</v>
      </c>
      <c r="J4060" t="s">
        <v>44</v>
      </c>
      <c r="K4060" t="s">
        <v>48</v>
      </c>
      <c r="L4060" t="s">
        <v>49</v>
      </c>
      <c r="M4060" t="s">
        <v>140</v>
      </c>
      <c r="N4060">
        <v>5.9593999999999999E-4</v>
      </c>
      <c r="O4060">
        <v>9.8487731999999995E-2</v>
      </c>
      <c r="P4060">
        <v>9.5228704999999997E-2</v>
      </c>
      <c r="Q4060" t="str">
        <f t="shared" si="126"/>
        <v>35-49</v>
      </c>
      <c r="R4060" t="str">
        <f t="shared" si="127"/>
        <v>[PekKUkKHAzY]|35-49|Male|Incidence_SUBNAT.Rt.T_1|CY2024Q3</v>
      </c>
    </row>
    <row r="4061" spans="4:18" x14ac:dyDescent="0.2">
      <c r="D4061" t="s">
        <v>93</v>
      </c>
      <c r="E4061" t="s">
        <v>94</v>
      </c>
      <c r="F4061" t="s">
        <v>95</v>
      </c>
      <c r="G4061" t="s">
        <v>153</v>
      </c>
      <c r="H4061" t="s">
        <v>153</v>
      </c>
      <c r="I4061" t="s">
        <v>45</v>
      </c>
      <c r="J4061" t="s">
        <v>46</v>
      </c>
      <c r="K4061" t="s">
        <v>48</v>
      </c>
      <c r="L4061" t="s">
        <v>49</v>
      </c>
      <c r="M4061" t="s">
        <v>140</v>
      </c>
      <c r="N4061">
        <v>3.2073900000000001E-4</v>
      </c>
      <c r="O4061">
        <v>9.7495229000000003E-2</v>
      </c>
      <c r="P4061">
        <v>9.5228704999999997E-2</v>
      </c>
      <c r="Q4061" t="str">
        <f t="shared" si="126"/>
        <v>50+</v>
      </c>
      <c r="R4061" t="str">
        <f t="shared" si="127"/>
        <v>[PekKUkKHAzY]|50+|Male|Incidence_SUBNAT.Rt.T_1|CY2024Q3</v>
      </c>
    </row>
    <row r="4062" spans="4:18" x14ac:dyDescent="0.2">
      <c r="D4062" t="s">
        <v>96</v>
      </c>
      <c r="E4062" t="s">
        <v>97</v>
      </c>
      <c r="F4062" t="s">
        <v>98</v>
      </c>
      <c r="G4062" t="s">
        <v>153</v>
      </c>
      <c r="H4062" t="s">
        <v>153</v>
      </c>
      <c r="I4062" t="s">
        <v>28</v>
      </c>
      <c r="J4062" t="s">
        <v>29</v>
      </c>
      <c r="K4062" t="s">
        <v>30</v>
      </c>
      <c r="L4062" t="s">
        <v>31</v>
      </c>
      <c r="M4062" t="s">
        <v>140</v>
      </c>
      <c r="N4062">
        <v>1.662663E-3</v>
      </c>
      <c r="O4062">
        <v>7.8173724999999999E-2</v>
      </c>
      <c r="P4062">
        <v>8.6257525000000002E-2</v>
      </c>
      <c r="Q4062" t="str">
        <f t="shared" si="126"/>
        <v>&lt;01</v>
      </c>
      <c r="R4062" t="str">
        <f t="shared" si="127"/>
        <v>[am530wpaGvr]|&lt;01|Female|Incidence_SUBNAT.Rt.T_1|CY2024Q3</v>
      </c>
    </row>
    <row r="4063" spans="4:18" x14ac:dyDescent="0.2">
      <c r="D4063" t="s">
        <v>96</v>
      </c>
      <c r="E4063" t="s">
        <v>97</v>
      </c>
      <c r="F4063" t="s">
        <v>98</v>
      </c>
      <c r="G4063" t="s">
        <v>153</v>
      </c>
      <c r="H4063" t="s">
        <v>153</v>
      </c>
      <c r="I4063" t="s">
        <v>33</v>
      </c>
      <c r="J4063" t="s">
        <v>34</v>
      </c>
      <c r="K4063" t="s">
        <v>30</v>
      </c>
      <c r="L4063" t="s">
        <v>31</v>
      </c>
      <c r="M4063" t="s">
        <v>140</v>
      </c>
      <c r="N4063" s="235" t="s">
        <v>185</v>
      </c>
      <c r="O4063">
        <v>3.9086862E-2</v>
      </c>
      <c r="P4063">
        <v>8.6257525000000002E-2</v>
      </c>
      <c r="Q4063" t="str">
        <f t="shared" si="126"/>
        <v>01-09</v>
      </c>
      <c r="R4063" t="str">
        <f t="shared" si="127"/>
        <v>[am530wpaGvr]|01-09|Female|Incidence_SUBNAT.Rt.T_1|CY2024Q3</v>
      </c>
    </row>
    <row r="4064" spans="4:18" x14ac:dyDescent="0.2">
      <c r="D4064" t="s">
        <v>96</v>
      </c>
      <c r="E4064" t="s">
        <v>97</v>
      </c>
      <c r="F4064" t="s">
        <v>98</v>
      </c>
      <c r="G4064" t="s">
        <v>153</v>
      </c>
      <c r="H4064" t="s">
        <v>153</v>
      </c>
      <c r="I4064" t="s">
        <v>36</v>
      </c>
      <c r="J4064" t="s">
        <v>37</v>
      </c>
      <c r="K4064" t="s">
        <v>30</v>
      </c>
      <c r="L4064" t="s">
        <v>31</v>
      </c>
      <c r="M4064" t="s">
        <v>140</v>
      </c>
      <c r="N4064">
        <v>0</v>
      </c>
      <c r="O4064">
        <v>0</v>
      </c>
      <c r="P4064">
        <v>8.6257525000000002E-2</v>
      </c>
      <c r="Q4064" t="str">
        <f t="shared" si="126"/>
        <v>10-14</v>
      </c>
      <c r="R4064" t="str">
        <f t="shared" si="127"/>
        <v>[am530wpaGvr]|10-14|Female|Incidence_SUBNAT.Rt.T_1|CY2024Q3</v>
      </c>
    </row>
    <row r="4065" spans="4:18" x14ac:dyDescent="0.2">
      <c r="D4065" t="s">
        <v>96</v>
      </c>
      <c r="E4065" t="s">
        <v>97</v>
      </c>
      <c r="F4065" t="s">
        <v>98</v>
      </c>
      <c r="G4065" t="s">
        <v>153</v>
      </c>
      <c r="H4065" t="s">
        <v>153</v>
      </c>
      <c r="I4065" t="s">
        <v>38</v>
      </c>
      <c r="J4065" t="s">
        <v>39</v>
      </c>
      <c r="K4065" t="s">
        <v>30</v>
      </c>
      <c r="L4065" t="s">
        <v>31</v>
      </c>
      <c r="M4065" t="s">
        <v>140</v>
      </c>
      <c r="N4065">
        <v>9.7017000000000002E-4</v>
      </c>
      <c r="O4065">
        <v>9.0341223999999998E-2</v>
      </c>
      <c r="P4065">
        <v>8.6257525000000002E-2</v>
      </c>
      <c r="Q4065" t="str">
        <f t="shared" si="126"/>
        <v>15-24</v>
      </c>
      <c r="R4065" t="str">
        <f t="shared" si="127"/>
        <v>[am530wpaGvr]|15-24|Female|Incidence_SUBNAT.Rt.T_1|CY2024Q3</v>
      </c>
    </row>
    <row r="4066" spans="4:18" x14ac:dyDescent="0.2">
      <c r="D4066" t="s">
        <v>96</v>
      </c>
      <c r="E4066" t="s">
        <v>97</v>
      </c>
      <c r="F4066" t="s">
        <v>98</v>
      </c>
      <c r="G4066" t="s">
        <v>153</v>
      </c>
      <c r="H4066" t="s">
        <v>153</v>
      </c>
      <c r="I4066" t="s">
        <v>41</v>
      </c>
      <c r="J4066" t="s">
        <v>42</v>
      </c>
      <c r="K4066" t="s">
        <v>30</v>
      </c>
      <c r="L4066" t="s">
        <v>31</v>
      </c>
      <c r="M4066" t="s">
        <v>140</v>
      </c>
      <c r="N4066">
        <v>1.4929170000000001E-3</v>
      </c>
      <c r="O4066">
        <v>9.0700790000000003E-2</v>
      </c>
      <c r="P4066">
        <v>8.6257525000000002E-2</v>
      </c>
      <c r="Q4066" t="str">
        <f t="shared" si="126"/>
        <v>25-34</v>
      </c>
      <c r="R4066" t="str">
        <f t="shared" si="127"/>
        <v>[am530wpaGvr]|25-34|Female|Incidence_SUBNAT.Rt.T_1|CY2024Q3</v>
      </c>
    </row>
    <row r="4067" spans="4:18" x14ac:dyDescent="0.2">
      <c r="D4067" t="s">
        <v>96</v>
      </c>
      <c r="E4067" t="s">
        <v>97</v>
      </c>
      <c r="F4067" t="s">
        <v>98</v>
      </c>
      <c r="G4067" t="s">
        <v>153</v>
      </c>
      <c r="H4067" t="s">
        <v>153</v>
      </c>
      <c r="I4067" t="s">
        <v>43</v>
      </c>
      <c r="J4067" t="s">
        <v>44</v>
      </c>
      <c r="K4067" t="s">
        <v>30</v>
      </c>
      <c r="L4067" t="s">
        <v>31</v>
      </c>
      <c r="M4067" t="s">
        <v>140</v>
      </c>
      <c r="N4067">
        <v>8.3776E-4</v>
      </c>
      <c r="O4067">
        <v>9.1102552000000003E-2</v>
      </c>
      <c r="P4067">
        <v>8.6257525000000002E-2</v>
      </c>
      <c r="Q4067" t="str">
        <f t="shared" si="126"/>
        <v>35-49</v>
      </c>
      <c r="R4067" t="str">
        <f t="shared" si="127"/>
        <v>[am530wpaGvr]|35-49|Female|Incidence_SUBNAT.Rt.T_1|CY2024Q3</v>
      </c>
    </row>
    <row r="4068" spans="4:18" x14ac:dyDescent="0.2">
      <c r="D4068" t="s">
        <v>96</v>
      </c>
      <c r="E4068" t="s">
        <v>97</v>
      </c>
      <c r="F4068" t="s">
        <v>98</v>
      </c>
      <c r="G4068" t="s">
        <v>153</v>
      </c>
      <c r="H4068" t="s">
        <v>153</v>
      </c>
      <c r="I4068" t="s">
        <v>45</v>
      </c>
      <c r="J4068" t="s">
        <v>46</v>
      </c>
      <c r="K4068" t="s">
        <v>30</v>
      </c>
      <c r="L4068" t="s">
        <v>31</v>
      </c>
      <c r="M4068" t="s">
        <v>140</v>
      </c>
      <c r="N4068">
        <v>2.2821399999999999E-4</v>
      </c>
      <c r="O4068">
        <v>8.8670697000000007E-2</v>
      </c>
      <c r="P4068">
        <v>8.6257525000000002E-2</v>
      </c>
      <c r="Q4068" t="str">
        <f t="shared" si="126"/>
        <v>50+</v>
      </c>
      <c r="R4068" t="str">
        <f t="shared" si="127"/>
        <v>[am530wpaGvr]|50+|Female|Incidence_SUBNAT.Rt.T_1|CY2024Q3</v>
      </c>
    </row>
    <row r="4069" spans="4:18" x14ac:dyDescent="0.2">
      <c r="D4069" t="s">
        <v>96</v>
      </c>
      <c r="E4069" t="s">
        <v>97</v>
      </c>
      <c r="F4069" t="s">
        <v>98</v>
      </c>
      <c r="G4069" t="s">
        <v>153</v>
      </c>
      <c r="H4069" t="s">
        <v>153</v>
      </c>
      <c r="I4069" t="s">
        <v>28</v>
      </c>
      <c r="J4069" t="s">
        <v>29</v>
      </c>
      <c r="K4069" t="s">
        <v>48</v>
      </c>
      <c r="L4069" t="s">
        <v>49</v>
      </c>
      <c r="M4069" t="s">
        <v>140</v>
      </c>
      <c r="N4069">
        <v>1.6681020000000001E-3</v>
      </c>
      <c r="O4069">
        <v>7.8173751E-2</v>
      </c>
      <c r="P4069">
        <v>8.6257525000000002E-2</v>
      </c>
      <c r="Q4069" t="str">
        <f t="shared" si="126"/>
        <v>&lt;01</v>
      </c>
      <c r="R4069" t="str">
        <f t="shared" si="127"/>
        <v>[am530wpaGvr]|&lt;01|Male|Incidence_SUBNAT.Rt.T_1|CY2024Q3</v>
      </c>
    </row>
    <row r="4070" spans="4:18" x14ac:dyDescent="0.2">
      <c r="D4070" t="s">
        <v>96</v>
      </c>
      <c r="E4070" t="s">
        <v>97</v>
      </c>
      <c r="F4070" t="s">
        <v>98</v>
      </c>
      <c r="G4070" t="s">
        <v>153</v>
      </c>
      <c r="H4070" t="s">
        <v>153</v>
      </c>
      <c r="I4070" t="s">
        <v>33</v>
      </c>
      <c r="J4070" t="s">
        <v>34</v>
      </c>
      <c r="K4070" t="s">
        <v>48</v>
      </c>
      <c r="L4070" t="s">
        <v>49</v>
      </c>
      <c r="M4070" t="s">
        <v>140</v>
      </c>
      <c r="N4070" s="235" t="s">
        <v>186</v>
      </c>
      <c r="O4070">
        <v>3.9086876E-2</v>
      </c>
      <c r="P4070">
        <v>8.6257525000000002E-2</v>
      </c>
      <c r="Q4070" t="str">
        <f t="shared" si="126"/>
        <v>01-09</v>
      </c>
      <c r="R4070" t="str">
        <f t="shared" si="127"/>
        <v>[am530wpaGvr]|01-09|Male|Incidence_SUBNAT.Rt.T_1|CY2024Q3</v>
      </c>
    </row>
    <row r="4071" spans="4:18" x14ac:dyDescent="0.2">
      <c r="D4071" t="s">
        <v>96</v>
      </c>
      <c r="E4071" t="s">
        <v>97</v>
      </c>
      <c r="F4071" t="s">
        <v>98</v>
      </c>
      <c r="G4071" t="s">
        <v>153</v>
      </c>
      <c r="H4071" t="s">
        <v>153</v>
      </c>
      <c r="I4071" t="s">
        <v>36</v>
      </c>
      <c r="J4071" t="s">
        <v>37</v>
      </c>
      <c r="K4071" t="s">
        <v>48</v>
      </c>
      <c r="L4071" t="s">
        <v>49</v>
      </c>
      <c r="M4071" t="s">
        <v>140</v>
      </c>
      <c r="N4071">
        <v>0</v>
      </c>
      <c r="O4071">
        <v>0</v>
      </c>
      <c r="P4071">
        <v>8.6257525000000002E-2</v>
      </c>
      <c r="Q4071" t="str">
        <f t="shared" si="126"/>
        <v>10-14</v>
      </c>
      <c r="R4071" t="str">
        <f t="shared" si="127"/>
        <v>[am530wpaGvr]|10-14|Male|Incidence_SUBNAT.Rt.T_1|CY2024Q3</v>
      </c>
    </row>
    <row r="4072" spans="4:18" x14ac:dyDescent="0.2">
      <c r="D4072" t="s">
        <v>96</v>
      </c>
      <c r="E4072" t="s">
        <v>97</v>
      </c>
      <c r="F4072" t="s">
        <v>98</v>
      </c>
      <c r="G4072" t="s">
        <v>153</v>
      </c>
      <c r="H4072" t="s">
        <v>153</v>
      </c>
      <c r="I4072" t="s">
        <v>38</v>
      </c>
      <c r="J4072" t="s">
        <v>39</v>
      </c>
      <c r="K4072" t="s">
        <v>48</v>
      </c>
      <c r="L4072" t="s">
        <v>49</v>
      </c>
      <c r="M4072" t="s">
        <v>140</v>
      </c>
      <c r="N4072">
        <v>1.65363E-4</v>
      </c>
      <c r="O4072">
        <v>9.0529784000000002E-2</v>
      </c>
      <c r="P4072">
        <v>8.6257525000000002E-2</v>
      </c>
      <c r="Q4072" t="str">
        <f t="shared" si="126"/>
        <v>15-24</v>
      </c>
      <c r="R4072" t="str">
        <f t="shared" si="127"/>
        <v>[am530wpaGvr]|15-24|Male|Incidence_SUBNAT.Rt.T_1|CY2024Q3</v>
      </c>
    </row>
    <row r="4073" spans="4:18" x14ac:dyDescent="0.2">
      <c r="D4073" t="s">
        <v>96</v>
      </c>
      <c r="E4073" t="s">
        <v>97</v>
      </c>
      <c r="F4073" t="s">
        <v>98</v>
      </c>
      <c r="G4073" t="s">
        <v>153</v>
      </c>
      <c r="H4073" t="s">
        <v>153</v>
      </c>
      <c r="I4073" t="s">
        <v>41</v>
      </c>
      <c r="J4073" t="s">
        <v>42</v>
      </c>
      <c r="K4073" t="s">
        <v>48</v>
      </c>
      <c r="L4073" t="s">
        <v>49</v>
      </c>
      <c r="M4073" t="s">
        <v>140</v>
      </c>
      <c r="N4073">
        <v>8.93157E-4</v>
      </c>
      <c r="O4073">
        <v>9.0482372000000005E-2</v>
      </c>
      <c r="P4073">
        <v>8.6257525000000002E-2</v>
      </c>
      <c r="Q4073" t="str">
        <f t="shared" si="126"/>
        <v>25-34</v>
      </c>
      <c r="R4073" t="str">
        <f t="shared" si="127"/>
        <v>[am530wpaGvr]|25-34|Male|Incidence_SUBNAT.Rt.T_1|CY2024Q3</v>
      </c>
    </row>
    <row r="4074" spans="4:18" x14ac:dyDescent="0.2">
      <c r="D4074" t="s">
        <v>96</v>
      </c>
      <c r="E4074" t="s">
        <v>97</v>
      </c>
      <c r="F4074" t="s">
        <v>98</v>
      </c>
      <c r="G4074" t="s">
        <v>153</v>
      </c>
      <c r="H4074" t="s">
        <v>153</v>
      </c>
      <c r="I4074" t="s">
        <v>43</v>
      </c>
      <c r="J4074" t="s">
        <v>44</v>
      </c>
      <c r="K4074" t="s">
        <v>48</v>
      </c>
      <c r="L4074" t="s">
        <v>49</v>
      </c>
      <c r="M4074" t="s">
        <v>140</v>
      </c>
      <c r="N4074">
        <v>1.0384490000000001E-3</v>
      </c>
      <c r="O4074">
        <v>9.0718664000000004E-2</v>
      </c>
      <c r="P4074">
        <v>8.6257525000000002E-2</v>
      </c>
      <c r="Q4074" t="str">
        <f t="shared" si="126"/>
        <v>35-49</v>
      </c>
      <c r="R4074" t="str">
        <f t="shared" si="127"/>
        <v>[am530wpaGvr]|35-49|Male|Incidence_SUBNAT.Rt.T_1|CY2024Q3</v>
      </c>
    </row>
    <row r="4075" spans="4:18" x14ac:dyDescent="0.2">
      <c r="D4075" t="s">
        <v>96</v>
      </c>
      <c r="E4075" t="s">
        <v>97</v>
      </c>
      <c r="F4075" t="s">
        <v>98</v>
      </c>
      <c r="G4075" t="s">
        <v>153</v>
      </c>
      <c r="H4075" t="s">
        <v>153</v>
      </c>
      <c r="I4075" t="s">
        <v>45</v>
      </c>
      <c r="J4075" t="s">
        <v>46</v>
      </c>
      <c r="K4075" t="s">
        <v>48</v>
      </c>
      <c r="L4075" t="s">
        <v>49</v>
      </c>
      <c r="M4075" t="s">
        <v>140</v>
      </c>
      <c r="N4075">
        <v>5.5336800000000005E-4</v>
      </c>
      <c r="O4075">
        <v>8.9594698E-2</v>
      </c>
      <c r="P4075">
        <v>8.6257525000000002E-2</v>
      </c>
      <c r="Q4075" t="str">
        <f t="shared" si="126"/>
        <v>50+</v>
      </c>
      <c r="R4075" t="str">
        <f t="shared" si="127"/>
        <v>[am530wpaGvr]|50+|Male|Incidence_SUBNAT.Rt.T_1|CY2024Q3</v>
      </c>
    </row>
    <row r="4076" spans="4:18" x14ac:dyDescent="0.2">
      <c r="D4076" t="s">
        <v>99</v>
      </c>
      <c r="E4076" t="s">
        <v>100</v>
      </c>
      <c r="F4076" t="s">
        <v>101</v>
      </c>
      <c r="G4076" t="s">
        <v>153</v>
      </c>
      <c r="H4076" t="s">
        <v>153</v>
      </c>
      <c r="I4076" t="s">
        <v>28</v>
      </c>
      <c r="J4076" t="s">
        <v>29</v>
      </c>
      <c r="K4076" t="s">
        <v>30</v>
      </c>
      <c r="L4076" t="s">
        <v>31</v>
      </c>
      <c r="M4076" t="s">
        <v>140</v>
      </c>
      <c r="N4076">
        <v>2.4740489999999999E-3</v>
      </c>
      <c r="O4076">
        <v>4.4358781E-2</v>
      </c>
      <c r="P4076">
        <v>5.1934253999999999E-2</v>
      </c>
      <c r="Q4076" t="str">
        <f t="shared" si="126"/>
        <v>&lt;01</v>
      </c>
      <c r="R4076" t="str">
        <f t="shared" si="127"/>
        <v>[lLDyBx5XyUi]|&lt;01|Female|Incidence_SUBNAT.Rt.T_1|CY2024Q3</v>
      </c>
    </row>
    <row r="4077" spans="4:18" x14ac:dyDescent="0.2">
      <c r="D4077" t="s">
        <v>99</v>
      </c>
      <c r="E4077" t="s">
        <v>100</v>
      </c>
      <c r="F4077" t="s">
        <v>101</v>
      </c>
      <c r="G4077" t="s">
        <v>153</v>
      </c>
      <c r="H4077" t="s">
        <v>153</v>
      </c>
      <c r="I4077" t="s">
        <v>33</v>
      </c>
      <c r="J4077" t="s">
        <v>34</v>
      </c>
      <c r="K4077" t="s">
        <v>30</v>
      </c>
      <c r="L4077" t="s">
        <v>31</v>
      </c>
      <c r="M4077" t="s">
        <v>140</v>
      </c>
      <c r="N4077" s="235" t="s">
        <v>187</v>
      </c>
      <c r="O4077">
        <v>2.2179391E-2</v>
      </c>
      <c r="P4077">
        <v>5.1934253999999999E-2</v>
      </c>
      <c r="Q4077" t="str">
        <f t="shared" si="126"/>
        <v>01-09</v>
      </c>
      <c r="R4077" t="str">
        <f t="shared" si="127"/>
        <v>[lLDyBx5XyUi]|01-09|Female|Incidence_SUBNAT.Rt.T_1|CY2024Q3</v>
      </c>
    </row>
    <row r="4078" spans="4:18" x14ac:dyDescent="0.2">
      <c r="D4078" t="s">
        <v>99</v>
      </c>
      <c r="E4078" t="s">
        <v>100</v>
      </c>
      <c r="F4078" t="s">
        <v>101</v>
      </c>
      <c r="G4078" t="s">
        <v>153</v>
      </c>
      <c r="H4078" t="s">
        <v>153</v>
      </c>
      <c r="I4078" t="s">
        <v>36</v>
      </c>
      <c r="J4078" t="s">
        <v>37</v>
      </c>
      <c r="K4078" t="s">
        <v>30</v>
      </c>
      <c r="L4078" t="s">
        <v>31</v>
      </c>
      <c r="M4078" t="s">
        <v>140</v>
      </c>
      <c r="N4078">
        <v>0</v>
      </c>
      <c r="O4078">
        <v>0</v>
      </c>
      <c r="P4078">
        <v>5.1934253999999999E-2</v>
      </c>
      <c r="Q4078" t="str">
        <f t="shared" si="126"/>
        <v>10-14</v>
      </c>
      <c r="R4078" t="str">
        <f t="shared" si="127"/>
        <v>[lLDyBx5XyUi]|10-14|Female|Incidence_SUBNAT.Rt.T_1|CY2024Q3</v>
      </c>
    </row>
    <row r="4079" spans="4:18" x14ac:dyDescent="0.2">
      <c r="D4079" t="s">
        <v>99</v>
      </c>
      <c r="E4079" t="s">
        <v>100</v>
      </c>
      <c r="F4079" t="s">
        <v>101</v>
      </c>
      <c r="G4079" t="s">
        <v>153</v>
      </c>
      <c r="H4079" t="s">
        <v>153</v>
      </c>
      <c r="I4079" t="s">
        <v>38</v>
      </c>
      <c r="J4079" t="s">
        <v>39</v>
      </c>
      <c r="K4079" t="s">
        <v>30</v>
      </c>
      <c r="L4079" t="s">
        <v>31</v>
      </c>
      <c r="M4079" t="s">
        <v>140</v>
      </c>
      <c r="N4079">
        <v>1.376139E-3</v>
      </c>
      <c r="O4079">
        <v>5.6717924000000003E-2</v>
      </c>
      <c r="P4079">
        <v>5.1934253999999999E-2</v>
      </c>
      <c r="Q4079" t="str">
        <f t="shared" si="126"/>
        <v>15-24</v>
      </c>
      <c r="R4079" t="str">
        <f t="shared" si="127"/>
        <v>[lLDyBx5XyUi]|15-24|Female|Incidence_SUBNAT.Rt.T_1|CY2024Q3</v>
      </c>
    </row>
    <row r="4080" spans="4:18" x14ac:dyDescent="0.2">
      <c r="D4080" t="s">
        <v>99</v>
      </c>
      <c r="E4080" t="s">
        <v>100</v>
      </c>
      <c r="F4080" t="s">
        <v>101</v>
      </c>
      <c r="G4080" t="s">
        <v>153</v>
      </c>
      <c r="H4080" t="s">
        <v>153</v>
      </c>
      <c r="I4080" t="s">
        <v>41</v>
      </c>
      <c r="J4080" t="s">
        <v>42</v>
      </c>
      <c r="K4080" t="s">
        <v>30</v>
      </c>
      <c r="L4080" t="s">
        <v>31</v>
      </c>
      <c r="M4080" t="s">
        <v>140</v>
      </c>
      <c r="N4080">
        <v>2.1180909999999999E-3</v>
      </c>
      <c r="O4080">
        <v>5.7084119000000003E-2</v>
      </c>
      <c r="P4080">
        <v>5.1934253999999999E-2</v>
      </c>
      <c r="Q4080" t="str">
        <f t="shared" si="126"/>
        <v>25-34</v>
      </c>
      <c r="R4080" t="str">
        <f t="shared" si="127"/>
        <v>[lLDyBx5XyUi]|25-34|Female|Incidence_SUBNAT.Rt.T_1|CY2024Q3</v>
      </c>
    </row>
    <row r="4081" spans="4:18" x14ac:dyDescent="0.2">
      <c r="D4081" t="s">
        <v>99</v>
      </c>
      <c r="E4081" t="s">
        <v>100</v>
      </c>
      <c r="F4081" t="s">
        <v>101</v>
      </c>
      <c r="G4081" t="s">
        <v>153</v>
      </c>
      <c r="H4081" t="s">
        <v>153</v>
      </c>
      <c r="I4081" t="s">
        <v>43</v>
      </c>
      <c r="J4081" t="s">
        <v>44</v>
      </c>
      <c r="K4081" t="s">
        <v>30</v>
      </c>
      <c r="L4081" t="s">
        <v>31</v>
      </c>
      <c r="M4081" t="s">
        <v>140</v>
      </c>
      <c r="N4081">
        <v>1.175848E-3</v>
      </c>
      <c r="O4081">
        <v>5.7206601000000003E-2</v>
      </c>
      <c r="P4081">
        <v>5.1934253999999999E-2</v>
      </c>
      <c r="Q4081" t="str">
        <f t="shared" si="126"/>
        <v>35-49</v>
      </c>
      <c r="R4081" t="str">
        <f t="shared" si="127"/>
        <v>[lLDyBx5XyUi]|35-49|Female|Incidence_SUBNAT.Rt.T_1|CY2024Q3</v>
      </c>
    </row>
    <row r="4082" spans="4:18" x14ac:dyDescent="0.2">
      <c r="D4082" t="s">
        <v>99</v>
      </c>
      <c r="E4082" t="s">
        <v>100</v>
      </c>
      <c r="F4082" t="s">
        <v>101</v>
      </c>
      <c r="G4082" t="s">
        <v>153</v>
      </c>
      <c r="H4082" t="s">
        <v>153</v>
      </c>
      <c r="I4082" t="s">
        <v>45</v>
      </c>
      <c r="J4082" t="s">
        <v>46</v>
      </c>
      <c r="K4082" t="s">
        <v>30</v>
      </c>
      <c r="L4082" t="s">
        <v>31</v>
      </c>
      <c r="M4082" t="s">
        <v>140</v>
      </c>
      <c r="N4082">
        <v>3.1237300000000001E-4</v>
      </c>
      <c r="O4082">
        <v>5.5284541999999999E-2</v>
      </c>
      <c r="P4082">
        <v>5.1934253999999999E-2</v>
      </c>
      <c r="Q4082" t="str">
        <f t="shared" si="126"/>
        <v>50+</v>
      </c>
      <c r="R4082" t="str">
        <f t="shared" si="127"/>
        <v>[lLDyBx5XyUi]|50+|Female|Incidence_SUBNAT.Rt.T_1|CY2024Q3</v>
      </c>
    </row>
    <row r="4083" spans="4:18" x14ac:dyDescent="0.2">
      <c r="D4083" t="s">
        <v>99</v>
      </c>
      <c r="E4083" t="s">
        <v>100</v>
      </c>
      <c r="F4083" t="s">
        <v>101</v>
      </c>
      <c r="G4083" t="s">
        <v>153</v>
      </c>
      <c r="H4083" t="s">
        <v>153</v>
      </c>
      <c r="I4083" t="s">
        <v>28</v>
      </c>
      <c r="J4083" t="s">
        <v>29</v>
      </c>
      <c r="K4083" t="s">
        <v>48</v>
      </c>
      <c r="L4083" t="s">
        <v>49</v>
      </c>
      <c r="M4083" t="s">
        <v>140</v>
      </c>
      <c r="N4083">
        <v>2.4820879999999999E-3</v>
      </c>
      <c r="O4083">
        <v>4.4358804000000002E-2</v>
      </c>
      <c r="P4083">
        <v>5.1934253999999999E-2</v>
      </c>
      <c r="Q4083" t="str">
        <f t="shared" si="126"/>
        <v>&lt;01</v>
      </c>
      <c r="R4083" t="str">
        <f t="shared" si="127"/>
        <v>[lLDyBx5XyUi]|&lt;01|Male|Incidence_SUBNAT.Rt.T_1|CY2024Q3</v>
      </c>
    </row>
    <row r="4084" spans="4:18" x14ac:dyDescent="0.2">
      <c r="D4084" t="s">
        <v>99</v>
      </c>
      <c r="E4084" t="s">
        <v>100</v>
      </c>
      <c r="F4084" t="s">
        <v>101</v>
      </c>
      <c r="G4084" t="s">
        <v>153</v>
      </c>
      <c r="H4084" t="s">
        <v>153</v>
      </c>
      <c r="I4084" t="s">
        <v>33</v>
      </c>
      <c r="J4084" t="s">
        <v>34</v>
      </c>
      <c r="K4084" t="s">
        <v>48</v>
      </c>
      <c r="L4084" t="s">
        <v>49</v>
      </c>
      <c r="M4084" t="s">
        <v>140</v>
      </c>
      <c r="N4084" s="235" t="s">
        <v>188</v>
      </c>
      <c r="O4084">
        <v>2.2179402000000001E-2</v>
      </c>
      <c r="P4084">
        <v>5.1934253999999999E-2</v>
      </c>
      <c r="Q4084" t="str">
        <f t="shared" si="126"/>
        <v>01-09</v>
      </c>
      <c r="R4084" t="str">
        <f t="shared" si="127"/>
        <v>[lLDyBx5XyUi]|01-09|Male|Incidence_SUBNAT.Rt.T_1|CY2024Q3</v>
      </c>
    </row>
    <row r="4085" spans="4:18" x14ac:dyDescent="0.2">
      <c r="D4085" t="s">
        <v>99</v>
      </c>
      <c r="E4085" t="s">
        <v>100</v>
      </c>
      <c r="F4085" t="s">
        <v>101</v>
      </c>
      <c r="G4085" t="s">
        <v>153</v>
      </c>
      <c r="H4085" t="s">
        <v>153</v>
      </c>
      <c r="I4085" t="s">
        <v>36</v>
      </c>
      <c r="J4085" t="s">
        <v>37</v>
      </c>
      <c r="K4085" t="s">
        <v>48</v>
      </c>
      <c r="L4085" t="s">
        <v>49</v>
      </c>
      <c r="M4085" t="s">
        <v>140</v>
      </c>
      <c r="N4085">
        <v>0</v>
      </c>
      <c r="O4085">
        <v>0</v>
      </c>
      <c r="P4085">
        <v>5.1934253999999999E-2</v>
      </c>
      <c r="Q4085" t="str">
        <f t="shared" si="126"/>
        <v>10-14</v>
      </c>
      <c r="R4085" t="str">
        <f t="shared" si="127"/>
        <v>[lLDyBx5XyUi]|10-14|Male|Incidence_SUBNAT.Rt.T_1|CY2024Q3</v>
      </c>
    </row>
    <row r="4086" spans="4:18" x14ac:dyDescent="0.2">
      <c r="D4086" t="s">
        <v>99</v>
      </c>
      <c r="E4086" t="s">
        <v>100</v>
      </c>
      <c r="F4086" t="s">
        <v>101</v>
      </c>
      <c r="G4086" t="s">
        <v>153</v>
      </c>
      <c r="H4086" t="s">
        <v>153</v>
      </c>
      <c r="I4086" t="s">
        <v>38</v>
      </c>
      <c r="J4086" t="s">
        <v>39</v>
      </c>
      <c r="K4086" t="s">
        <v>48</v>
      </c>
      <c r="L4086" t="s">
        <v>49</v>
      </c>
      <c r="M4086" t="s">
        <v>140</v>
      </c>
      <c r="N4086">
        <v>2.2139699999999999E-4</v>
      </c>
      <c r="O4086">
        <v>5.6884812999999999E-2</v>
      </c>
      <c r="P4086">
        <v>5.1934253999999999E-2</v>
      </c>
      <c r="Q4086" t="str">
        <f t="shared" si="126"/>
        <v>15-24</v>
      </c>
      <c r="R4086" t="str">
        <f t="shared" si="127"/>
        <v>[lLDyBx5XyUi]|15-24|Male|Incidence_SUBNAT.Rt.T_1|CY2024Q3</v>
      </c>
    </row>
    <row r="4087" spans="4:18" x14ac:dyDescent="0.2">
      <c r="D4087" t="s">
        <v>99</v>
      </c>
      <c r="E4087" t="s">
        <v>100</v>
      </c>
      <c r="F4087" t="s">
        <v>101</v>
      </c>
      <c r="G4087" t="s">
        <v>153</v>
      </c>
      <c r="H4087" t="s">
        <v>153</v>
      </c>
      <c r="I4087" t="s">
        <v>41</v>
      </c>
      <c r="J4087" t="s">
        <v>42</v>
      </c>
      <c r="K4087" t="s">
        <v>48</v>
      </c>
      <c r="L4087" t="s">
        <v>49</v>
      </c>
      <c r="M4087" t="s">
        <v>140</v>
      </c>
      <c r="N4087">
        <v>1.2592809999999999E-3</v>
      </c>
      <c r="O4087">
        <v>5.6890485999999997E-2</v>
      </c>
      <c r="P4087">
        <v>5.1934253999999999E-2</v>
      </c>
      <c r="Q4087" t="str">
        <f t="shared" si="126"/>
        <v>25-34</v>
      </c>
      <c r="R4087" t="str">
        <f t="shared" si="127"/>
        <v>[lLDyBx5XyUi]|25-34|Male|Incidence_SUBNAT.Rt.T_1|CY2024Q3</v>
      </c>
    </row>
    <row r="4088" spans="4:18" x14ac:dyDescent="0.2">
      <c r="D4088" t="s">
        <v>99</v>
      </c>
      <c r="E4088" t="s">
        <v>100</v>
      </c>
      <c r="F4088" t="s">
        <v>101</v>
      </c>
      <c r="G4088" t="s">
        <v>153</v>
      </c>
      <c r="H4088" t="s">
        <v>153</v>
      </c>
      <c r="I4088" t="s">
        <v>43</v>
      </c>
      <c r="J4088" t="s">
        <v>44</v>
      </c>
      <c r="K4088" t="s">
        <v>48</v>
      </c>
      <c r="L4088" t="s">
        <v>49</v>
      </c>
      <c r="M4088" t="s">
        <v>140</v>
      </c>
      <c r="N4088">
        <v>1.4612329999999999E-3</v>
      </c>
      <c r="O4088">
        <v>5.7044253000000003E-2</v>
      </c>
      <c r="P4088">
        <v>5.1934253999999999E-2</v>
      </c>
      <c r="Q4088" t="str">
        <f t="shared" si="126"/>
        <v>35-49</v>
      </c>
      <c r="R4088" t="str">
        <f t="shared" si="127"/>
        <v>[lLDyBx5XyUi]|35-49|Male|Incidence_SUBNAT.Rt.T_1|CY2024Q3</v>
      </c>
    </row>
    <row r="4089" spans="4:18" x14ac:dyDescent="0.2">
      <c r="D4089" t="s">
        <v>99</v>
      </c>
      <c r="E4089" t="s">
        <v>100</v>
      </c>
      <c r="F4089" t="s">
        <v>101</v>
      </c>
      <c r="G4089" t="s">
        <v>153</v>
      </c>
      <c r="H4089" t="s">
        <v>153</v>
      </c>
      <c r="I4089" t="s">
        <v>45</v>
      </c>
      <c r="J4089" t="s">
        <v>46</v>
      </c>
      <c r="K4089" t="s">
        <v>48</v>
      </c>
      <c r="L4089" t="s">
        <v>49</v>
      </c>
      <c r="M4089" t="s">
        <v>140</v>
      </c>
      <c r="N4089">
        <v>7.8310499999999998E-4</v>
      </c>
      <c r="O4089">
        <v>5.6224409000000003E-2</v>
      </c>
      <c r="P4089">
        <v>5.1934253999999999E-2</v>
      </c>
      <c r="Q4089" t="str">
        <f t="shared" si="126"/>
        <v>50+</v>
      </c>
      <c r="R4089" t="str">
        <f t="shared" si="127"/>
        <v>[lLDyBx5XyUi]|50+|Male|Incidence_SUBNAT.Rt.T_1|CY2024Q3</v>
      </c>
    </row>
    <row r="4090" spans="4:18" x14ac:dyDescent="0.2">
      <c r="D4090" t="s">
        <v>102</v>
      </c>
      <c r="E4090" t="s">
        <v>103</v>
      </c>
      <c r="F4090" t="s">
        <v>104</v>
      </c>
      <c r="G4090" t="s">
        <v>153</v>
      </c>
      <c r="H4090" t="s">
        <v>153</v>
      </c>
      <c r="I4090" t="s">
        <v>28</v>
      </c>
      <c r="J4090" t="s">
        <v>29</v>
      </c>
      <c r="K4090" t="s">
        <v>30</v>
      </c>
      <c r="L4090" t="s">
        <v>31</v>
      </c>
      <c r="M4090" t="s">
        <v>140</v>
      </c>
      <c r="N4090">
        <v>1.823119E-3</v>
      </c>
      <c r="O4090">
        <v>6.4716071E-2</v>
      </c>
      <c r="P4090">
        <v>7.0204331999999994E-2</v>
      </c>
      <c r="Q4090" t="str">
        <f t="shared" si="126"/>
        <v>&lt;01</v>
      </c>
      <c r="R4090" t="str">
        <f t="shared" si="127"/>
        <v>[TYnMSwzko3z]|&lt;01|Female|Incidence_SUBNAT.Rt.T_1|CY2024Q3</v>
      </c>
    </row>
    <row r="4091" spans="4:18" x14ac:dyDescent="0.2">
      <c r="D4091" t="s">
        <v>102</v>
      </c>
      <c r="E4091" t="s">
        <v>103</v>
      </c>
      <c r="F4091" t="s">
        <v>104</v>
      </c>
      <c r="G4091" t="s">
        <v>153</v>
      </c>
      <c r="H4091" t="s">
        <v>153</v>
      </c>
      <c r="I4091" t="s">
        <v>33</v>
      </c>
      <c r="J4091" t="s">
        <v>34</v>
      </c>
      <c r="K4091" t="s">
        <v>30</v>
      </c>
      <c r="L4091" t="s">
        <v>31</v>
      </c>
      <c r="M4091" t="s">
        <v>140</v>
      </c>
      <c r="N4091" s="235" t="s">
        <v>189</v>
      </c>
      <c r="O4091">
        <v>3.2358036E-2</v>
      </c>
      <c r="P4091">
        <v>7.0204331999999994E-2</v>
      </c>
      <c r="Q4091" t="str">
        <f t="shared" si="126"/>
        <v>01-09</v>
      </c>
      <c r="R4091" t="str">
        <f t="shared" si="127"/>
        <v>[TYnMSwzko3z]|01-09|Female|Incidence_SUBNAT.Rt.T_1|CY2024Q3</v>
      </c>
    </row>
    <row r="4092" spans="4:18" x14ac:dyDescent="0.2">
      <c r="D4092" t="s">
        <v>102</v>
      </c>
      <c r="E4092" t="s">
        <v>103</v>
      </c>
      <c r="F4092" t="s">
        <v>104</v>
      </c>
      <c r="G4092" t="s">
        <v>153</v>
      </c>
      <c r="H4092" t="s">
        <v>153</v>
      </c>
      <c r="I4092" t="s">
        <v>36</v>
      </c>
      <c r="J4092" t="s">
        <v>37</v>
      </c>
      <c r="K4092" t="s">
        <v>30</v>
      </c>
      <c r="L4092" t="s">
        <v>31</v>
      </c>
      <c r="M4092" t="s">
        <v>140</v>
      </c>
      <c r="N4092">
        <v>0</v>
      </c>
      <c r="O4092">
        <v>0</v>
      </c>
      <c r="P4092">
        <v>7.0204331999999994E-2</v>
      </c>
      <c r="Q4092" t="str">
        <f t="shared" si="126"/>
        <v>10-14</v>
      </c>
      <c r="R4092" t="str">
        <f t="shared" si="127"/>
        <v>[TYnMSwzko3z]|10-14|Female|Incidence_SUBNAT.Rt.T_1|CY2024Q3</v>
      </c>
    </row>
    <row r="4093" spans="4:18" x14ac:dyDescent="0.2">
      <c r="D4093" t="s">
        <v>102</v>
      </c>
      <c r="E4093" t="s">
        <v>103</v>
      </c>
      <c r="F4093" t="s">
        <v>104</v>
      </c>
      <c r="G4093" t="s">
        <v>153</v>
      </c>
      <c r="H4093" t="s">
        <v>153</v>
      </c>
      <c r="I4093" t="s">
        <v>38</v>
      </c>
      <c r="J4093" t="s">
        <v>39</v>
      </c>
      <c r="K4093" t="s">
        <v>30</v>
      </c>
      <c r="L4093" t="s">
        <v>31</v>
      </c>
      <c r="M4093" t="s">
        <v>140</v>
      </c>
      <c r="N4093">
        <v>9.9663000000000009E-4</v>
      </c>
      <c r="O4093">
        <v>7.4210775000000007E-2</v>
      </c>
      <c r="P4093">
        <v>7.0204331999999994E-2</v>
      </c>
      <c r="Q4093" t="str">
        <f t="shared" si="126"/>
        <v>15-24</v>
      </c>
      <c r="R4093" t="str">
        <f t="shared" si="127"/>
        <v>[TYnMSwzko3z]|15-24|Female|Incidence_SUBNAT.Rt.T_1|CY2024Q3</v>
      </c>
    </row>
    <row r="4094" spans="4:18" x14ac:dyDescent="0.2">
      <c r="D4094" t="s">
        <v>102</v>
      </c>
      <c r="E4094" t="s">
        <v>103</v>
      </c>
      <c r="F4094" t="s">
        <v>104</v>
      </c>
      <c r="G4094" t="s">
        <v>153</v>
      </c>
      <c r="H4094" t="s">
        <v>153</v>
      </c>
      <c r="I4094" t="s">
        <v>41</v>
      </c>
      <c r="J4094" t="s">
        <v>42</v>
      </c>
      <c r="K4094" t="s">
        <v>30</v>
      </c>
      <c r="L4094" t="s">
        <v>31</v>
      </c>
      <c r="M4094" t="s">
        <v>140</v>
      </c>
      <c r="N4094">
        <v>1.5365019999999999E-3</v>
      </c>
      <c r="O4094">
        <v>7.4541725000000003E-2</v>
      </c>
      <c r="P4094">
        <v>7.0204331999999994E-2</v>
      </c>
      <c r="Q4094" t="str">
        <f t="shared" si="126"/>
        <v>25-34</v>
      </c>
      <c r="R4094" t="str">
        <f t="shared" si="127"/>
        <v>[TYnMSwzko3z]|25-34|Female|Incidence_SUBNAT.Rt.T_1|CY2024Q3</v>
      </c>
    </row>
    <row r="4095" spans="4:18" x14ac:dyDescent="0.2">
      <c r="D4095" t="s">
        <v>102</v>
      </c>
      <c r="E4095" t="s">
        <v>103</v>
      </c>
      <c r="F4095" t="s">
        <v>104</v>
      </c>
      <c r="G4095" t="s">
        <v>153</v>
      </c>
      <c r="H4095" t="s">
        <v>153</v>
      </c>
      <c r="I4095" t="s">
        <v>43</v>
      </c>
      <c r="J4095" t="s">
        <v>44</v>
      </c>
      <c r="K4095" t="s">
        <v>30</v>
      </c>
      <c r="L4095" t="s">
        <v>31</v>
      </c>
      <c r="M4095" t="s">
        <v>140</v>
      </c>
      <c r="N4095">
        <v>8.5455800000000005E-4</v>
      </c>
      <c r="O4095">
        <v>7.4725125000000003E-2</v>
      </c>
      <c r="P4095">
        <v>7.0204331999999994E-2</v>
      </c>
      <c r="Q4095" t="str">
        <f t="shared" si="126"/>
        <v>35-49</v>
      </c>
      <c r="R4095" t="str">
        <f t="shared" si="127"/>
        <v>[TYnMSwzko3z]|35-49|Female|Incidence_SUBNAT.Rt.T_1|CY2024Q3</v>
      </c>
    </row>
    <row r="4096" spans="4:18" x14ac:dyDescent="0.2">
      <c r="D4096" t="s">
        <v>102</v>
      </c>
      <c r="E4096" t="s">
        <v>103</v>
      </c>
      <c r="F4096" t="s">
        <v>104</v>
      </c>
      <c r="G4096" t="s">
        <v>153</v>
      </c>
      <c r="H4096" t="s">
        <v>153</v>
      </c>
      <c r="I4096" t="s">
        <v>45</v>
      </c>
      <c r="J4096" t="s">
        <v>46</v>
      </c>
      <c r="K4096" t="s">
        <v>30</v>
      </c>
      <c r="L4096" t="s">
        <v>31</v>
      </c>
      <c r="M4096" t="s">
        <v>140</v>
      </c>
      <c r="N4096">
        <v>2.2605499999999999E-4</v>
      </c>
      <c r="O4096">
        <v>7.2318436999999999E-2</v>
      </c>
      <c r="P4096">
        <v>7.0204331999999994E-2</v>
      </c>
      <c r="Q4096" t="str">
        <f t="shared" si="126"/>
        <v>50+</v>
      </c>
      <c r="R4096" t="str">
        <f t="shared" si="127"/>
        <v>[TYnMSwzko3z]|50+|Female|Incidence_SUBNAT.Rt.T_1|CY2024Q3</v>
      </c>
    </row>
    <row r="4097" spans="4:18" x14ac:dyDescent="0.2">
      <c r="D4097" t="s">
        <v>102</v>
      </c>
      <c r="E4097" t="s">
        <v>103</v>
      </c>
      <c r="F4097" t="s">
        <v>104</v>
      </c>
      <c r="G4097" t="s">
        <v>153</v>
      </c>
      <c r="H4097" t="s">
        <v>153</v>
      </c>
      <c r="I4097" t="s">
        <v>28</v>
      </c>
      <c r="J4097" t="s">
        <v>29</v>
      </c>
      <c r="K4097" t="s">
        <v>48</v>
      </c>
      <c r="L4097" t="s">
        <v>49</v>
      </c>
      <c r="M4097" t="s">
        <v>140</v>
      </c>
      <c r="N4097">
        <v>1.8290439999999999E-3</v>
      </c>
      <c r="O4097">
        <v>6.4716095000000001E-2</v>
      </c>
      <c r="P4097">
        <v>7.0204331999999994E-2</v>
      </c>
      <c r="Q4097" t="str">
        <f t="shared" si="126"/>
        <v>&lt;01</v>
      </c>
      <c r="R4097" t="str">
        <f t="shared" si="127"/>
        <v>[TYnMSwzko3z]|&lt;01|Male|Incidence_SUBNAT.Rt.T_1|CY2024Q3</v>
      </c>
    </row>
    <row r="4098" spans="4:18" x14ac:dyDescent="0.2">
      <c r="D4098" t="s">
        <v>102</v>
      </c>
      <c r="E4098" t="s">
        <v>103</v>
      </c>
      <c r="F4098" t="s">
        <v>104</v>
      </c>
      <c r="G4098" t="s">
        <v>153</v>
      </c>
      <c r="H4098" t="s">
        <v>153</v>
      </c>
      <c r="I4098" t="s">
        <v>33</v>
      </c>
      <c r="J4098" t="s">
        <v>34</v>
      </c>
      <c r="K4098" t="s">
        <v>48</v>
      </c>
      <c r="L4098" t="s">
        <v>49</v>
      </c>
      <c r="M4098" t="s">
        <v>140</v>
      </c>
      <c r="N4098" s="235" t="s">
        <v>190</v>
      </c>
      <c r="O4098">
        <v>3.2358047000000001E-2</v>
      </c>
      <c r="P4098">
        <v>7.0204331999999994E-2</v>
      </c>
      <c r="Q4098" t="str">
        <f t="shared" si="126"/>
        <v>01-09</v>
      </c>
      <c r="R4098" t="str">
        <f t="shared" si="127"/>
        <v>[TYnMSwzko3z]|01-09|Male|Incidence_SUBNAT.Rt.T_1|CY2024Q3</v>
      </c>
    </row>
    <row r="4099" spans="4:18" x14ac:dyDescent="0.2">
      <c r="D4099" t="s">
        <v>102</v>
      </c>
      <c r="E4099" t="s">
        <v>103</v>
      </c>
      <c r="F4099" t="s">
        <v>104</v>
      </c>
      <c r="G4099" t="s">
        <v>153</v>
      </c>
      <c r="H4099" t="s">
        <v>153</v>
      </c>
      <c r="I4099" t="s">
        <v>36</v>
      </c>
      <c r="J4099" t="s">
        <v>37</v>
      </c>
      <c r="K4099" t="s">
        <v>48</v>
      </c>
      <c r="L4099" t="s">
        <v>49</v>
      </c>
      <c r="M4099" t="s">
        <v>140</v>
      </c>
      <c r="N4099">
        <v>0</v>
      </c>
      <c r="O4099">
        <v>0</v>
      </c>
      <c r="P4099">
        <v>7.0204331999999994E-2</v>
      </c>
      <c r="Q4099" t="str">
        <f t="shared" ref="Q4099:Q4162" si="128">SUBSTITUTE(SUBSTITUTE($I4099,CHAR(61),""),CHAR(34),"")</f>
        <v>10-14</v>
      </c>
      <c r="R4099" t="str">
        <f t="shared" ref="R4099:R4162" si="129">IF($D4099&lt;&gt;"","["&amp;$E4099&amp;"]"&amp;"|"&amp;$Q4099&amp;"|"&amp;$K4099&amp;"|"&amp;$G4099&amp;"|"&amp;IF($G4099="TX_CURR_SUBNAT.R","CY2023Q4",$M4099),"")</f>
        <v>[TYnMSwzko3z]|10-14|Male|Incidence_SUBNAT.Rt.T_1|CY2024Q3</v>
      </c>
    </row>
    <row r="4100" spans="4:18" x14ac:dyDescent="0.2">
      <c r="D4100" t="s">
        <v>102</v>
      </c>
      <c r="E4100" t="s">
        <v>103</v>
      </c>
      <c r="F4100" t="s">
        <v>104</v>
      </c>
      <c r="G4100" t="s">
        <v>153</v>
      </c>
      <c r="H4100" t="s">
        <v>153</v>
      </c>
      <c r="I4100" t="s">
        <v>38</v>
      </c>
      <c r="J4100" t="s">
        <v>39</v>
      </c>
      <c r="K4100" t="s">
        <v>48</v>
      </c>
      <c r="L4100" t="s">
        <v>49</v>
      </c>
      <c r="M4100" t="s">
        <v>140</v>
      </c>
      <c r="N4100">
        <v>1.6161100000000001E-4</v>
      </c>
      <c r="O4100">
        <v>7.4383593999999997E-2</v>
      </c>
      <c r="P4100">
        <v>7.0204331999999994E-2</v>
      </c>
      <c r="Q4100" t="str">
        <f t="shared" si="128"/>
        <v>15-24</v>
      </c>
      <c r="R4100" t="str">
        <f t="shared" si="129"/>
        <v>[TYnMSwzko3z]|15-24|Male|Incidence_SUBNAT.Rt.T_1|CY2024Q3</v>
      </c>
    </row>
    <row r="4101" spans="4:18" x14ac:dyDescent="0.2">
      <c r="D4101" t="s">
        <v>102</v>
      </c>
      <c r="E4101" t="s">
        <v>103</v>
      </c>
      <c r="F4101" t="s">
        <v>104</v>
      </c>
      <c r="G4101" t="s">
        <v>153</v>
      </c>
      <c r="H4101" t="s">
        <v>153</v>
      </c>
      <c r="I4101" t="s">
        <v>41</v>
      </c>
      <c r="J4101" t="s">
        <v>42</v>
      </c>
      <c r="K4101" t="s">
        <v>48</v>
      </c>
      <c r="L4101" t="s">
        <v>49</v>
      </c>
      <c r="M4101" t="s">
        <v>140</v>
      </c>
      <c r="N4101">
        <v>9.1450199999999998E-4</v>
      </c>
      <c r="O4101">
        <v>7.4322986999999993E-2</v>
      </c>
      <c r="P4101">
        <v>7.0204331999999994E-2</v>
      </c>
      <c r="Q4101" t="str">
        <f t="shared" si="128"/>
        <v>25-34</v>
      </c>
      <c r="R4101" t="str">
        <f t="shared" si="129"/>
        <v>[TYnMSwzko3z]|25-34|Male|Incidence_SUBNAT.Rt.T_1|CY2024Q3</v>
      </c>
    </row>
    <row r="4102" spans="4:18" x14ac:dyDescent="0.2">
      <c r="D4102" t="s">
        <v>102</v>
      </c>
      <c r="E4102" t="s">
        <v>103</v>
      </c>
      <c r="F4102" t="s">
        <v>104</v>
      </c>
      <c r="G4102" t="s">
        <v>153</v>
      </c>
      <c r="H4102" t="s">
        <v>153</v>
      </c>
      <c r="I4102" t="s">
        <v>43</v>
      </c>
      <c r="J4102" t="s">
        <v>44</v>
      </c>
      <c r="K4102" t="s">
        <v>48</v>
      </c>
      <c r="L4102" t="s">
        <v>49</v>
      </c>
      <c r="M4102" t="s">
        <v>140</v>
      </c>
      <c r="N4102">
        <v>1.0596239999999999E-3</v>
      </c>
      <c r="O4102">
        <v>7.4508253999999996E-2</v>
      </c>
      <c r="P4102">
        <v>7.0204331999999994E-2</v>
      </c>
      <c r="Q4102" t="str">
        <f t="shared" si="128"/>
        <v>35-49</v>
      </c>
      <c r="R4102" t="str">
        <f t="shared" si="129"/>
        <v>[TYnMSwzko3z]|35-49|Male|Incidence_SUBNAT.Rt.T_1|CY2024Q3</v>
      </c>
    </row>
    <row r="4103" spans="4:18" x14ac:dyDescent="0.2">
      <c r="D4103" t="s">
        <v>102</v>
      </c>
      <c r="E4103" t="s">
        <v>103</v>
      </c>
      <c r="F4103" t="s">
        <v>104</v>
      </c>
      <c r="G4103" t="s">
        <v>153</v>
      </c>
      <c r="H4103" t="s">
        <v>153</v>
      </c>
      <c r="I4103" t="s">
        <v>45</v>
      </c>
      <c r="J4103" t="s">
        <v>46</v>
      </c>
      <c r="K4103" t="s">
        <v>48</v>
      </c>
      <c r="L4103" t="s">
        <v>49</v>
      </c>
      <c r="M4103" t="s">
        <v>140</v>
      </c>
      <c r="N4103">
        <v>5.6605000000000002E-4</v>
      </c>
      <c r="O4103">
        <v>7.3391489000000004E-2</v>
      </c>
      <c r="P4103">
        <v>7.0204331999999994E-2</v>
      </c>
      <c r="Q4103" t="str">
        <f t="shared" si="128"/>
        <v>50+</v>
      </c>
      <c r="R4103" t="str">
        <f t="shared" si="129"/>
        <v>[TYnMSwzko3z]|50+|Male|Incidence_SUBNAT.Rt.T_1|CY2024Q3</v>
      </c>
    </row>
    <row r="4104" spans="4:18" x14ac:dyDescent="0.2">
      <c r="D4104" t="s">
        <v>105</v>
      </c>
      <c r="E4104" t="s">
        <v>106</v>
      </c>
      <c r="F4104" t="s">
        <v>107</v>
      </c>
      <c r="G4104" t="s">
        <v>153</v>
      </c>
      <c r="H4104" t="s">
        <v>153</v>
      </c>
      <c r="I4104" t="s">
        <v>28</v>
      </c>
      <c r="J4104" t="s">
        <v>29</v>
      </c>
      <c r="K4104" t="s">
        <v>30</v>
      </c>
      <c r="L4104" t="s">
        <v>31</v>
      </c>
      <c r="M4104" t="s">
        <v>140</v>
      </c>
      <c r="N4104">
        <v>3.082741E-3</v>
      </c>
      <c r="O4104">
        <v>3.9400609000000003E-2</v>
      </c>
      <c r="P4104">
        <v>4.6319970000000002E-2</v>
      </c>
      <c r="Q4104" t="str">
        <f t="shared" si="128"/>
        <v>&lt;01</v>
      </c>
      <c r="R4104" t="str">
        <f t="shared" si="129"/>
        <v>[fyEoGEPERdI]|&lt;01|Female|Incidence_SUBNAT.Rt.T_1|CY2024Q3</v>
      </c>
    </row>
    <row r="4105" spans="4:18" x14ac:dyDescent="0.2">
      <c r="D4105" t="s">
        <v>105</v>
      </c>
      <c r="E4105" t="s">
        <v>106</v>
      </c>
      <c r="F4105" t="s">
        <v>107</v>
      </c>
      <c r="G4105" t="s">
        <v>153</v>
      </c>
      <c r="H4105" t="s">
        <v>153</v>
      </c>
      <c r="I4105" t="s">
        <v>33</v>
      </c>
      <c r="J4105" t="s">
        <v>34</v>
      </c>
      <c r="K4105" t="s">
        <v>30</v>
      </c>
      <c r="L4105" t="s">
        <v>31</v>
      </c>
      <c r="M4105" t="s">
        <v>140</v>
      </c>
      <c r="N4105" s="235" t="s">
        <v>191</v>
      </c>
      <c r="O4105">
        <v>1.9700303999999998E-2</v>
      </c>
      <c r="P4105">
        <v>4.6319970000000002E-2</v>
      </c>
      <c r="Q4105" t="str">
        <f t="shared" si="128"/>
        <v>01-09</v>
      </c>
      <c r="R4105" t="str">
        <f t="shared" si="129"/>
        <v>[fyEoGEPERdI]|01-09|Female|Incidence_SUBNAT.Rt.T_1|CY2024Q3</v>
      </c>
    </row>
    <row r="4106" spans="4:18" x14ac:dyDescent="0.2">
      <c r="D4106" t="s">
        <v>105</v>
      </c>
      <c r="E4106" t="s">
        <v>106</v>
      </c>
      <c r="F4106" t="s">
        <v>107</v>
      </c>
      <c r="G4106" t="s">
        <v>153</v>
      </c>
      <c r="H4106" t="s">
        <v>153</v>
      </c>
      <c r="I4106" t="s">
        <v>36</v>
      </c>
      <c r="J4106" t="s">
        <v>37</v>
      </c>
      <c r="K4106" t="s">
        <v>30</v>
      </c>
      <c r="L4106" t="s">
        <v>31</v>
      </c>
      <c r="M4106" t="s">
        <v>140</v>
      </c>
      <c r="N4106">
        <v>0</v>
      </c>
      <c r="O4106">
        <v>0</v>
      </c>
      <c r="P4106">
        <v>4.6319970000000002E-2</v>
      </c>
      <c r="Q4106" t="str">
        <f t="shared" si="128"/>
        <v>10-14</v>
      </c>
      <c r="R4106" t="str">
        <f t="shared" si="129"/>
        <v>[fyEoGEPERdI]|10-14|Female|Incidence_SUBNAT.Rt.T_1|CY2024Q3</v>
      </c>
    </row>
    <row r="4107" spans="4:18" x14ac:dyDescent="0.2">
      <c r="D4107" t="s">
        <v>105</v>
      </c>
      <c r="E4107" t="s">
        <v>106</v>
      </c>
      <c r="F4107" t="s">
        <v>107</v>
      </c>
      <c r="G4107" t="s">
        <v>153</v>
      </c>
      <c r="H4107" t="s">
        <v>153</v>
      </c>
      <c r="I4107" t="s">
        <v>38</v>
      </c>
      <c r="J4107" t="s">
        <v>39</v>
      </c>
      <c r="K4107" t="s">
        <v>30</v>
      </c>
      <c r="L4107" t="s">
        <v>31</v>
      </c>
      <c r="M4107" t="s">
        <v>140</v>
      </c>
      <c r="N4107">
        <v>1.8873099999999999E-3</v>
      </c>
      <c r="O4107">
        <v>4.9777720999999997E-2</v>
      </c>
      <c r="P4107">
        <v>4.6319970000000002E-2</v>
      </c>
      <c r="Q4107" t="str">
        <f t="shared" si="128"/>
        <v>15-24</v>
      </c>
      <c r="R4107" t="str">
        <f t="shared" si="129"/>
        <v>[fyEoGEPERdI]|15-24|Female|Incidence_SUBNAT.Rt.T_1|CY2024Q3</v>
      </c>
    </row>
    <row r="4108" spans="4:18" x14ac:dyDescent="0.2">
      <c r="D4108" t="s">
        <v>105</v>
      </c>
      <c r="E4108" t="s">
        <v>106</v>
      </c>
      <c r="F4108" t="s">
        <v>107</v>
      </c>
      <c r="G4108" t="s">
        <v>153</v>
      </c>
      <c r="H4108" t="s">
        <v>153</v>
      </c>
      <c r="I4108" t="s">
        <v>41</v>
      </c>
      <c r="J4108" t="s">
        <v>42</v>
      </c>
      <c r="K4108" t="s">
        <v>30</v>
      </c>
      <c r="L4108" t="s">
        <v>31</v>
      </c>
      <c r="M4108" t="s">
        <v>140</v>
      </c>
      <c r="N4108">
        <v>2.9272E-3</v>
      </c>
      <c r="O4108">
        <v>5.0015785E-2</v>
      </c>
      <c r="P4108">
        <v>4.6319970000000002E-2</v>
      </c>
      <c r="Q4108" t="str">
        <f t="shared" si="128"/>
        <v>25-34</v>
      </c>
      <c r="R4108" t="str">
        <f t="shared" si="129"/>
        <v>[fyEoGEPERdI]|25-34|Female|Incidence_SUBNAT.Rt.T_1|CY2024Q3</v>
      </c>
    </row>
    <row r="4109" spans="4:18" x14ac:dyDescent="0.2">
      <c r="D4109" t="s">
        <v>105</v>
      </c>
      <c r="E4109" t="s">
        <v>106</v>
      </c>
      <c r="F4109" t="s">
        <v>107</v>
      </c>
      <c r="G4109" t="s">
        <v>153</v>
      </c>
      <c r="H4109" t="s">
        <v>153</v>
      </c>
      <c r="I4109" t="s">
        <v>43</v>
      </c>
      <c r="J4109" t="s">
        <v>44</v>
      </c>
      <c r="K4109" t="s">
        <v>30</v>
      </c>
      <c r="L4109" t="s">
        <v>31</v>
      </c>
      <c r="M4109" t="s">
        <v>140</v>
      </c>
      <c r="N4109">
        <v>1.583952E-3</v>
      </c>
      <c r="O4109">
        <v>5.4080406999999997E-2</v>
      </c>
      <c r="P4109">
        <v>4.6319970000000002E-2</v>
      </c>
      <c r="Q4109" t="str">
        <f t="shared" si="128"/>
        <v>35-49</v>
      </c>
      <c r="R4109" t="str">
        <f t="shared" si="129"/>
        <v>[fyEoGEPERdI]|35-49|Female|Incidence_SUBNAT.Rt.T_1|CY2024Q3</v>
      </c>
    </row>
    <row r="4110" spans="4:18" x14ac:dyDescent="0.2">
      <c r="D4110" t="s">
        <v>105</v>
      </c>
      <c r="E4110" t="s">
        <v>106</v>
      </c>
      <c r="F4110" t="s">
        <v>107</v>
      </c>
      <c r="G4110" t="s">
        <v>153</v>
      </c>
      <c r="H4110" t="s">
        <v>153</v>
      </c>
      <c r="I4110" t="s">
        <v>45</v>
      </c>
      <c r="J4110" t="s">
        <v>46</v>
      </c>
      <c r="K4110" t="s">
        <v>30</v>
      </c>
      <c r="L4110" t="s">
        <v>31</v>
      </c>
      <c r="M4110" t="s">
        <v>140</v>
      </c>
      <c r="N4110">
        <v>4.0502700000000002E-4</v>
      </c>
      <c r="O4110">
        <v>5.4950931000000001E-2</v>
      </c>
      <c r="P4110">
        <v>4.6319970000000002E-2</v>
      </c>
      <c r="Q4110" t="str">
        <f t="shared" si="128"/>
        <v>50+</v>
      </c>
      <c r="R4110" t="str">
        <f t="shared" si="129"/>
        <v>[fyEoGEPERdI]|50+|Female|Incidence_SUBNAT.Rt.T_1|CY2024Q3</v>
      </c>
    </row>
    <row r="4111" spans="4:18" x14ac:dyDescent="0.2">
      <c r="D4111" t="s">
        <v>105</v>
      </c>
      <c r="E4111" t="s">
        <v>106</v>
      </c>
      <c r="F4111" t="s">
        <v>107</v>
      </c>
      <c r="G4111" t="s">
        <v>153</v>
      </c>
      <c r="H4111" t="s">
        <v>153</v>
      </c>
      <c r="I4111" t="s">
        <v>28</v>
      </c>
      <c r="J4111" t="s">
        <v>29</v>
      </c>
      <c r="K4111" t="s">
        <v>48</v>
      </c>
      <c r="L4111" t="s">
        <v>49</v>
      </c>
      <c r="M4111" t="s">
        <v>140</v>
      </c>
      <c r="N4111">
        <v>3.0946789999999999E-3</v>
      </c>
      <c r="O4111">
        <v>3.9333099000000003E-2</v>
      </c>
      <c r="P4111">
        <v>4.6319970000000002E-2</v>
      </c>
      <c r="Q4111" t="str">
        <f t="shared" si="128"/>
        <v>&lt;01</v>
      </c>
      <c r="R4111" t="str">
        <f t="shared" si="129"/>
        <v>[fyEoGEPERdI]|&lt;01|Male|Incidence_SUBNAT.Rt.T_1|CY2024Q3</v>
      </c>
    </row>
    <row r="4112" spans="4:18" x14ac:dyDescent="0.2">
      <c r="D4112" t="s">
        <v>105</v>
      </c>
      <c r="E4112" t="s">
        <v>106</v>
      </c>
      <c r="F4112" t="s">
        <v>107</v>
      </c>
      <c r="G4112" t="s">
        <v>153</v>
      </c>
      <c r="H4112" t="s">
        <v>153</v>
      </c>
      <c r="I4112" t="s">
        <v>33</v>
      </c>
      <c r="J4112" t="s">
        <v>34</v>
      </c>
      <c r="K4112" t="s">
        <v>48</v>
      </c>
      <c r="L4112" t="s">
        <v>49</v>
      </c>
      <c r="M4112" t="s">
        <v>140</v>
      </c>
      <c r="N4112" s="235" t="s">
        <v>192</v>
      </c>
      <c r="O4112">
        <v>1.9666548999999998E-2</v>
      </c>
      <c r="P4112">
        <v>4.6319970000000002E-2</v>
      </c>
      <c r="Q4112" t="str">
        <f t="shared" si="128"/>
        <v>01-09</v>
      </c>
      <c r="R4112" t="str">
        <f t="shared" si="129"/>
        <v>[fyEoGEPERdI]|01-09|Male|Incidence_SUBNAT.Rt.T_1|CY2024Q3</v>
      </c>
    </row>
    <row r="4113" spans="4:18" x14ac:dyDescent="0.2">
      <c r="D4113" t="s">
        <v>105</v>
      </c>
      <c r="E4113" t="s">
        <v>106</v>
      </c>
      <c r="F4113" t="s">
        <v>107</v>
      </c>
      <c r="G4113" t="s">
        <v>153</v>
      </c>
      <c r="H4113" t="s">
        <v>153</v>
      </c>
      <c r="I4113" t="s">
        <v>36</v>
      </c>
      <c r="J4113" t="s">
        <v>37</v>
      </c>
      <c r="K4113" t="s">
        <v>48</v>
      </c>
      <c r="L4113" t="s">
        <v>49</v>
      </c>
      <c r="M4113" t="s">
        <v>140</v>
      </c>
      <c r="N4113">
        <v>0</v>
      </c>
      <c r="O4113">
        <v>0</v>
      </c>
      <c r="P4113">
        <v>4.6319970000000002E-2</v>
      </c>
      <c r="Q4113" t="str">
        <f t="shared" si="128"/>
        <v>10-14</v>
      </c>
      <c r="R4113" t="str">
        <f t="shared" si="129"/>
        <v>[fyEoGEPERdI]|10-14|Male|Incidence_SUBNAT.Rt.T_1|CY2024Q3</v>
      </c>
    </row>
    <row r="4114" spans="4:18" x14ac:dyDescent="0.2">
      <c r="D4114" t="s">
        <v>105</v>
      </c>
      <c r="E4114" t="s">
        <v>106</v>
      </c>
      <c r="F4114" t="s">
        <v>107</v>
      </c>
      <c r="G4114" t="s">
        <v>153</v>
      </c>
      <c r="H4114" t="s">
        <v>153</v>
      </c>
      <c r="I4114" t="s">
        <v>38</v>
      </c>
      <c r="J4114" t="s">
        <v>39</v>
      </c>
      <c r="K4114" t="s">
        <v>48</v>
      </c>
      <c r="L4114" t="s">
        <v>49</v>
      </c>
      <c r="M4114" t="s">
        <v>140</v>
      </c>
      <c r="N4114">
        <v>3.2403999999999999E-4</v>
      </c>
      <c r="O4114">
        <v>4.9657363000000003E-2</v>
      </c>
      <c r="P4114">
        <v>4.6319970000000002E-2</v>
      </c>
      <c r="Q4114" t="str">
        <f t="shared" si="128"/>
        <v>15-24</v>
      </c>
      <c r="R4114" t="str">
        <f t="shared" si="129"/>
        <v>[fyEoGEPERdI]|15-24|Male|Incidence_SUBNAT.Rt.T_1|CY2024Q3</v>
      </c>
    </row>
    <row r="4115" spans="4:18" x14ac:dyDescent="0.2">
      <c r="D4115" t="s">
        <v>105</v>
      </c>
      <c r="E4115" t="s">
        <v>106</v>
      </c>
      <c r="F4115" t="s">
        <v>107</v>
      </c>
      <c r="G4115" t="s">
        <v>153</v>
      </c>
      <c r="H4115" t="s">
        <v>153</v>
      </c>
      <c r="I4115" t="s">
        <v>41</v>
      </c>
      <c r="J4115" t="s">
        <v>42</v>
      </c>
      <c r="K4115" t="s">
        <v>48</v>
      </c>
      <c r="L4115" t="s">
        <v>49</v>
      </c>
      <c r="M4115" t="s">
        <v>140</v>
      </c>
      <c r="N4115">
        <v>1.764767E-3</v>
      </c>
      <c r="O4115">
        <v>4.8902395000000001E-2</v>
      </c>
      <c r="P4115">
        <v>4.6319970000000002E-2</v>
      </c>
      <c r="Q4115" t="str">
        <f t="shared" si="128"/>
        <v>25-34</v>
      </c>
      <c r="R4115" t="str">
        <f t="shared" si="129"/>
        <v>[fyEoGEPERdI]|25-34|Male|Incidence_SUBNAT.Rt.T_1|CY2024Q3</v>
      </c>
    </row>
    <row r="4116" spans="4:18" x14ac:dyDescent="0.2">
      <c r="D4116" t="s">
        <v>105</v>
      </c>
      <c r="E4116" t="s">
        <v>106</v>
      </c>
      <c r="F4116" t="s">
        <v>107</v>
      </c>
      <c r="G4116" t="s">
        <v>153</v>
      </c>
      <c r="H4116" t="s">
        <v>153</v>
      </c>
      <c r="I4116" t="s">
        <v>43</v>
      </c>
      <c r="J4116" t="s">
        <v>44</v>
      </c>
      <c r="K4116" t="s">
        <v>48</v>
      </c>
      <c r="L4116" t="s">
        <v>49</v>
      </c>
      <c r="M4116" t="s">
        <v>140</v>
      </c>
      <c r="N4116">
        <v>2.000145E-3</v>
      </c>
      <c r="O4116">
        <v>5.0936747999999997E-2</v>
      </c>
      <c r="P4116">
        <v>4.6319970000000002E-2</v>
      </c>
      <c r="Q4116" t="str">
        <f t="shared" si="128"/>
        <v>35-49</v>
      </c>
      <c r="R4116" t="str">
        <f t="shared" si="129"/>
        <v>[fyEoGEPERdI]|35-49|Male|Incidence_SUBNAT.Rt.T_1|CY2024Q3</v>
      </c>
    </row>
    <row r="4117" spans="4:18" x14ac:dyDescent="0.2">
      <c r="D4117" t="s">
        <v>105</v>
      </c>
      <c r="E4117" t="s">
        <v>106</v>
      </c>
      <c r="F4117" t="s">
        <v>107</v>
      </c>
      <c r="G4117" t="s">
        <v>153</v>
      </c>
      <c r="H4117" t="s">
        <v>153</v>
      </c>
      <c r="I4117" t="s">
        <v>45</v>
      </c>
      <c r="J4117" t="s">
        <v>46</v>
      </c>
      <c r="K4117" t="s">
        <v>48</v>
      </c>
      <c r="L4117" t="s">
        <v>49</v>
      </c>
      <c r="M4117" t="s">
        <v>140</v>
      </c>
      <c r="N4117">
        <v>1.018714E-3</v>
      </c>
      <c r="O4117">
        <v>5.3946894000000002E-2</v>
      </c>
      <c r="P4117">
        <v>4.6319970000000002E-2</v>
      </c>
      <c r="Q4117" t="str">
        <f t="shared" si="128"/>
        <v>50+</v>
      </c>
      <c r="R4117" t="str">
        <f t="shared" si="129"/>
        <v>[fyEoGEPERdI]|50+|Male|Incidence_SUBNAT.Rt.T_1|CY2024Q3</v>
      </c>
    </row>
    <row r="4118" spans="4:18" x14ac:dyDescent="0.2">
      <c r="D4118" t="s">
        <v>108</v>
      </c>
      <c r="E4118" t="s">
        <v>109</v>
      </c>
      <c r="F4118" t="s">
        <v>110</v>
      </c>
      <c r="G4118" t="s">
        <v>153</v>
      </c>
      <c r="H4118" t="s">
        <v>153</v>
      </c>
      <c r="I4118" t="s">
        <v>28</v>
      </c>
      <c r="J4118" t="s">
        <v>29</v>
      </c>
      <c r="K4118" t="s">
        <v>30</v>
      </c>
      <c r="L4118" t="s">
        <v>31</v>
      </c>
      <c r="M4118" t="s">
        <v>140</v>
      </c>
      <c r="N4118">
        <v>3.6056870000000002E-3</v>
      </c>
      <c r="O4118">
        <v>4.4723438999999997E-2</v>
      </c>
      <c r="P4118">
        <v>4.7400639000000001E-2</v>
      </c>
      <c r="Q4118" t="str">
        <f t="shared" si="128"/>
        <v>&lt;01</v>
      </c>
      <c r="R4118" t="str">
        <f t="shared" si="129"/>
        <v>[umc2n1Z4wNv]|&lt;01|Female|Incidence_SUBNAT.Rt.T_1|CY2024Q3</v>
      </c>
    </row>
    <row r="4119" spans="4:18" x14ac:dyDescent="0.2">
      <c r="D4119" t="s">
        <v>108</v>
      </c>
      <c r="E4119" t="s">
        <v>109</v>
      </c>
      <c r="F4119" t="s">
        <v>110</v>
      </c>
      <c r="G4119" t="s">
        <v>153</v>
      </c>
      <c r="H4119" t="s">
        <v>153</v>
      </c>
      <c r="I4119" t="s">
        <v>33</v>
      </c>
      <c r="J4119" t="s">
        <v>34</v>
      </c>
      <c r="K4119" t="s">
        <v>30</v>
      </c>
      <c r="L4119" t="s">
        <v>31</v>
      </c>
      <c r="M4119" t="s">
        <v>140</v>
      </c>
      <c r="N4119">
        <v>1.09881E-4</v>
      </c>
      <c r="O4119">
        <v>2.2361720000000002E-2</v>
      </c>
      <c r="P4119">
        <v>4.7400639000000001E-2</v>
      </c>
      <c r="Q4119" t="str">
        <f t="shared" si="128"/>
        <v>01-09</v>
      </c>
      <c r="R4119" t="str">
        <f t="shared" si="129"/>
        <v>[umc2n1Z4wNv]|01-09|Female|Incidence_SUBNAT.Rt.T_1|CY2024Q3</v>
      </c>
    </row>
    <row r="4120" spans="4:18" x14ac:dyDescent="0.2">
      <c r="D4120" t="s">
        <v>108</v>
      </c>
      <c r="E4120" t="s">
        <v>109</v>
      </c>
      <c r="F4120" t="s">
        <v>110</v>
      </c>
      <c r="G4120" t="s">
        <v>153</v>
      </c>
      <c r="H4120" t="s">
        <v>153</v>
      </c>
      <c r="I4120" t="s">
        <v>36</v>
      </c>
      <c r="J4120" t="s">
        <v>37</v>
      </c>
      <c r="K4120" t="s">
        <v>30</v>
      </c>
      <c r="L4120" t="s">
        <v>31</v>
      </c>
      <c r="M4120" t="s">
        <v>140</v>
      </c>
      <c r="N4120">
        <v>0</v>
      </c>
      <c r="O4120">
        <v>0</v>
      </c>
      <c r="P4120">
        <v>4.7400639000000001E-2</v>
      </c>
      <c r="Q4120" t="str">
        <f t="shared" si="128"/>
        <v>10-14</v>
      </c>
      <c r="R4120" t="str">
        <f t="shared" si="129"/>
        <v>[umc2n1Z4wNv]|10-14|Female|Incidence_SUBNAT.Rt.T_1|CY2024Q3</v>
      </c>
    </row>
    <row r="4121" spans="4:18" x14ac:dyDescent="0.2">
      <c r="D4121" t="s">
        <v>108</v>
      </c>
      <c r="E4121" t="s">
        <v>109</v>
      </c>
      <c r="F4121" t="s">
        <v>110</v>
      </c>
      <c r="G4121" t="s">
        <v>153</v>
      </c>
      <c r="H4121" t="s">
        <v>153</v>
      </c>
      <c r="I4121" t="s">
        <v>38</v>
      </c>
      <c r="J4121" t="s">
        <v>39</v>
      </c>
      <c r="K4121" t="s">
        <v>30</v>
      </c>
      <c r="L4121" t="s">
        <v>31</v>
      </c>
      <c r="M4121" t="s">
        <v>140</v>
      </c>
      <c r="N4121">
        <v>2.0475409999999999E-3</v>
      </c>
      <c r="O4121">
        <v>5.0656308999999997E-2</v>
      </c>
      <c r="P4121">
        <v>4.7400639000000001E-2</v>
      </c>
      <c r="Q4121" t="str">
        <f t="shared" si="128"/>
        <v>15-24</v>
      </c>
      <c r="R4121" t="str">
        <f t="shared" si="129"/>
        <v>[umc2n1Z4wNv]|15-24|Female|Incidence_SUBNAT.Rt.T_1|CY2024Q3</v>
      </c>
    </row>
    <row r="4122" spans="4:18" x14ac:dyDescent="0.2">
      <c r="D4122" t="s">
        <v>108</v>
      </c>
      <c r="E4122" t="s">
        <v>109</v>
      </c>
      <c r="F4122" t="s">
        <v>110</v>
      </c>
      <c r="G4122" t="s">
        <v>153</v>
      </c>
      <c r="H4122" t="s">
        <v>153</v>
      </c>
      <c r="I4122" t="s">
        <v>41</v>
      </c>
      <c r="J4122" t="s">
        <v>42</v>
      </c>
      <c r="K4122" t="s">
        <v>30</v>
      </c>
      <c r="L4122" t="s">
        <v>31</v>
      </c>
      <c r="M4122" t="s">
        <v>140</v>
      </c>
      <c r="N4122">
        <v>3.189744E-3</v>
      </c>
      <c r="O4122">
        <v>5.1291188000000001E-2</v>
      </c>
      <c r="P4122">
        <v>4.7400639000000001E-2</v>
      </c>
      <c r="Q4122" t="str">
        <f t="shared" si="128"/>
        <v>25-34</v>
      </c>
      <c r="R4122" t="str">
        <f t="shared" si="129"/>
        <v>[umc2n1Z4wNv]|25-34|Female|Incidence_SUBNAT.Rt.T_1|CY2024Q3</v>
      </c>
    </row>
    <row r="4123" spans="4:18" x14ac:dyDescent="0.2">
      <c r="D4123" t="s">
        <v>108</v>
      </c>
      <c r="E4123" t="s">
        <v>109</v>
      </c>
      <c r="F4123" t="s">
        <v>110</v>
      </c>
      <c r="G4123" t="s">
        <v>153</v>
      </c>
      <c r="H4123" t="s">
        <v>153</v>
      </c>
      <c r="I4123" t="s">
        <v>43</v>
      </c>
      <c r="J4123" t="s">
        <v>44</v>
      </c>
      <c r="K4123" t="s">
        <v>30</v>
      </c>
      <c r="L4123" t="s">
        <v>31</v>
      </c>
      <c r="M4123" t="s">
        <v>140</v>
      </c>
      <c r="N4123">
        <v>1.8021249999999999E-3</v>
      </c>
      <c r="O4123">
        <v>5.1875653000000001E-2</v>
      </c>
      <c r="P4123">
        <v>4.7400639000000001E-2</v>
      </c>
      <c r="Q4123" t="str">
        <f t="shared" si="128"/>
        <v>35-49</v>
      </c>
      <c r="R4123" t="str">
        <f t="shared" si="129"/>
        <v>[umc2n1Z4wNv]|35-49|Female|Incidence_SUBNAT.Rt.T_1|CY2024Q3</v>
      </c>
    </row>
    <row r="4124" spans="4:18" x14ac:dyDescent="0.2">
      <c r="D4124" t="s">
        <v>108</v>
      </c>
      <c r="E4124" t="s">
        <v>109</v>
      </c>
      <c r="F4124" t="s">
        <v>110</v>
      </c>
      <c r="G4124" t="s">
        <v>153</v>
      </c>
      <c r="H4124" t="s">
        <v>153</v>
      </c>
      <c r="I4124" t="s">
        <v>45</v>
      </c>
      <c r="J4124" t="s">
        <v>46</v>
      </c>
      <c r="K4124" t="s">
        <v>30</v>
      </c>
      <c r="L4124" t="s">
        <v>31</v>
      </c>
      <c r="M4124" t="s">
        <v>140</v>
      </c>
      <c r="N4124">
        <v>4.60512E-4</v>
      </c>
      <c r="O4124">
        <v>4.8488782000000001E-2</v>
      </c>
      <c r="P4124">
        <v>4.7400639000000001E-2</v>
      </c>
      <c r="Q4124" t="str">
        <f t="shared" si="128"/>
        <v>50+</v>
      </c>
      <c r="R4124" t="str">
        <f t="shared" si="129"/>
        <v>[umc2n1Z4wNv]|50+|Female|Incidence_SUBNAT.Rt.T_1|CY2024Q3</v>
      </c>
    </row>
    <row r="4125" spans="4:18" x14ac:dyDescent="0.2">
      <c r="D4125" t="s">
        <v>108</v>
      </c>
      <c r="E4125" t="s">
        <v>109</v>
      </c>
      <c r="F4125" t="s">
        <v>110</v>
      </c>
      <c r="G4125" t="s">
        <v>153</v>
      </c>
      <c r="H4125" t="s">
        <v>153</v>
      </c>
      <c r="I4125" t="s">
        <v>28</v>
      </c>
      <c r="J4125" t="s">
        <v>29</v>
      </c>
      <c r="K4125" t="s">
        <v>48</v>
      </c>
      <c r="L4125" t="s">
        <v>49</v>
      </c>
      <c r="M4125" t="s">
        <v>140</v>
      </c>
      <c r="N4125">
        <v>3.6175019999999999E-3</v>
      </c>
      <c r="O4125">
        <v>4.4723472E-2</v>
      </c>
      <c r="P4125">
        <v>4.7400639000000001E-2</v>
      </c>
      <c r="Q4125" t="str">
        <f t="shared" si="128"/>
        <v>&lt;01</v>
      </c>
      <c r="R4125" t="str">
        <f t="shared" si="129"/>
        <v>[umc2n1Z4wNv]|&lt;01|Male|Incidence_SUBNAT.Rt.T_1|CY2024Q3</v>
      </c>
    </row>
    <row r="4126" spans="4:18" x14ac:dyDescent="0.2">
      <c r="D4126" t="s">
        <v>108</v>
      </c>
      <c r="E4126" t="s">
        <v>109</v>
      </c>
      <c r="F4126" t="s">
        <v>110</v>
      </c>
      <c r="G4126" t="s">
        <v>153</v>
      </c>
      <c r="H4126" t="s">
        <v>153</v>
      </c>
      <c r="I4126" t="s">
        <v>33</v>
      </c>
      <c r="J4126" t="s">
        <v>34</v>
      </c>
      <c r="K4126" t="s">
        <v>48</v>
      </c>
      <c r="L4126" t="s">
        <v>49</v>
      </c>
      <c r="M4126" t="s">
        <v>140</v>
      </c>
      <c r="N4126">
        <v>1.10491E-4</v>
      </c>
      <c r="O4126">
        <v>2.2361736E-2</v>
      </c>
      <c r="P4126">
        <v>4.7400639000000001E-2</v>
      </c>
      <c r="Q4126" t="str">
        <f t="shared" si="128"/>
        <v>01-09</v>
      </c>
      <c r="R4126" t="str">
        <f t="shared" si="129"/>
        <v>[umc2n1Z4wNv]|01-09|Male|Incidence_SUBNAT.Rt.T_1|CY2024Q3</v>
      </c>
    </row>
    <row r="4127" spans="4:18" x14ac:dyDescent="0.2">
      <c r="D4127" t="s">
        <v>108</v>
      </c>
      <c r="E4127" t="s">
        <v>109</v>
      </c>
      <c r="F4127" t="s">
        <v>110</v>
      </c>
      <c r="G4127" t="s">
        <v>153</v>
      </c>
      <c r="H4127" t="s">
        <v>153</v>
      </c>
      <c r="I4127" t="s">
        <v>36</v>
      </c>
      <c r="J4127" t="s">
        <v>37</v>
      </c>
      <c r="K4127" t="s">
        <v>48</v>
      </c>
      <c r="L4127" t="s">
        <v>49</v>
      </c>
      <c r="M4127" t="s">
        <v>140</v>
      </c>
      <c r="N4127">
        <v>0</v>
      </c>
      <c r="O4127">
        <v>0</v>
      </c>
      <c r="P4127">
        <v>4.7400639000000001E-2</v>
      </c>
      <c r="Q4127" t="str">
        <f t="shared" si="128"/>
        <v>10-14</v>
      </c>
      <c r="R4127" t="str">
        <f t="shared" si="129"/>
        <v>[umc2n1Z4wNv]|10-14|Male|Incidence_SUBNAT.Rt.T_1|CY2024Q3</v>
      </c>
    </row>
    <row r="4128" spans="4:18" x14ac:dyDescent="0.2">
      <c r="D4128" t="s">
        <v>108</v>
      </c>
      <c r="E4128" t="s">
        <v>109</v>
      </c>
      <c r="F4128" t="s">
        <v>110</v>
      </c>
      <c r="G4128" t="s">
        <v>153</v>
      </c>
      <c r="H4128" t="s">
        <v>153</v>
      </c>
      <c r="I4128" t="s">
        <v>38</v>
      </c>
      <c r="J4128" t="s">
        <v>39</v>
      </c>
      <c r="K4128" t="s">
        <v>48</v>
      </c>
      <c r="L4128" t="s">
        <v>49</v>
      </c>
      <c r="M4128" t="s">
        <v>140</v>
      </c>
      <c r="N4128">
        <v>3.4685800000000002E-4</v>
      </c>
      <c r="O4128">
        <v>5.0971296999999999E-2</v>
      </c>
      <c r="P4128">
        <v>4.7400639000000001E-2</v>
      </c>
      <c r="Q4128" t="str">
        <f t="shared" si="128"/>
        <v>15-24</v>
      </c>
      <c r="R4128" t="str">
        <f t="shared" si="129"/>
        <v>[umc2n1Z4wNv]|15-24|Male|Incidence_SUBNAT.Rt.T_1|CY2024Q3</v>
      </c>
    </row>
    <row r="4129" spans="4:18" x14ac:dyDescent="0.2">
      <c r="D4129" t="s">
        <v>108</v>
      </c>
      <c r="E4129" t="s">
        <v>109</v>
      </c>
      <c r="F4129" t="s">
        <v>110</v>
      </c>
      <c r="G4129" t="s">
        <v>153</v>
      </c>
      <c r="H4129" t="s">
        <v>153</v>
      </c>
      <c r="I4129" t="s">
        <v>41</v>
      </c>
      <c r="J4129" t="s">
        <v>42</v>
      </c>
      <c r="K4129" t="s">
        <v>48</v>
      </c>
      <c r="L4129" t="s">
        <v>49</v>
      </c>
      <c r="M4129" t="s">
        <v>140</v>
      </c>
      <c r="N4129">
        <v>1.915417E-3</v>
      </c>
      <c r="O4129">
        <v>5.1029769000000003E-2</v>
      </c>
      <c r="P4129">
        <v>4.7400639000000001E-2</v>
      </c>
      <c r="Q4129" t="str">
        <f t="shared" si="128"/>
        <v>25-34</v>
      </c>
      <c r="R4129" t="str">
        <f t="shared" si="129"/>
        <v>[umc2n1Z4wNv]|25-34|Male|Incidence_SUBNAT.Rt.T_1|CY2024Q3</v>
      </c>
    </row>
    <row r="4130" spans="4:18" x14ac:dyDescent="0.2">
      <c r="D4130" t="s">
        <v>108</v>
      </c>
      <c r="E4130" t="s">
        <v>109</v>
      </c>
      <c r="F4130" t="s">
        <v>110</v>
      </c>
      <c r="G4130" t="s">
        <v>153</v>
      </c>
      <c r="H4130" t="s">
        <v>153</v>
      </c>
      <c r="I4130" t="s">
        <v>43</v>
      </c>
      <c r="J4130" t="s">
        <v>44</v>
      </c>
      <c r="K4130" t="s">
        <v>48</v>
      </c>
      <c r="L4130" t="s">
        <v>49</v>
      </c>
      <c r="M4130" t="s">
        <v>140</v>
      </c>
      <c r="N4130">
        <v>2.2270369999999999E-3</v>
      </c>
      <c r="O4130">
        <v>5.1378538000000001E-2</v>
      </c>
      <c r="P4130">
        <v>4.7400639000000001E-2</v>
      </c>
      <c r="Q4130" t="str">
        <f t="shared" si="128"/>
        <v>35-49</v>
      </c>
      <c r="R4130" t="str">
        <f t="shared" si="129"/>
        <v>[umc2n1Z4wNv]|35-49|Male|Incidence_SUBNAT.Rt.T_1|CY2024Q3</v>
      </c>
    </row>
    <row r="4131" spans="4:18" x14ac:dyDescent="0.2">
      <c r="D4131" t="s">
        <v>108</v>
      </c>
      <c r="E4131" t="s">
        <v>109</v>
      </c>
      <c r="F4131" t="s">
        <v>110</v>
      </c>
      <c r="G4131" t="s">
        <v>153</v>
      </c>
      <c r="H4131" t="s">
        <v>153</v>
      </c>
      <c r="I4131" t="s">
        <v>45</v>
      </c>
      <c r="J4131" t="s">
        <v>46</v>
      </c>
      <c r="K4131" t="s">
        <v>48</v>
      </c>
      <c r="L4131" t="s">
        <v>49</v>
      </c>
      <c r="M4131" t="s">
        <v>140</v>
      </c>
      <c r="N4131">
        <v>1.137763E-3</v>
      </c>
      <c r="O4131">
        <v>4.9533256999999997E-2</v>
      </c>
      <c r="P4131">
        <v>4.7400639000000001E-2</v>
      </c>
      <c r="Q4131" t="str">
        <f t="shared" si="128"/>
        <v>50+</v>
      </c>
      <c r="R4131" t="str">
        <f t="shared" si="129"/>
        <v>[umc2n1Z4wNv]|50+|Male|Incidence_SUBNAT.Rt.T_1|CY2024Q3</v>
      </c>
    </row>
    <row r="4132" spans="4:18" x14ac:dyDescent="0.2">
      <c r="D4132" t="s">
        <v>111</v>
      </c>
      <c r="E4132" t="s">
        <v>112</v>
      </c>
      <c r="F4132" t="s">
        <v>113</v>
      </c>
      <c r="G4132" t="s">
        <v>153</v>
      </c>
      <c r="H4132" t="s">
        <v>153</v>
      </c>
      <c r="I4132" t="s">
        <v>28</v>
      </c>
      <c r="J4132" t="s">
        <v>29</v>
      </c>
      <c r="K4132" t="s">
        <v>30</v>
      </c>
      <c r="L4132" t="s">
        <v>31</v>
      </c>
      <c r="M4132" t="s">
        <v>140</v>
      </c>
      <c r="N4132">
        <v>3.6438780000000001E-3</v>
      </c>
      <c r="O4132">
        <v>4.2025779999999999E-2</v>
      </c>
      <c r="P4132">
        <v>4.4678606000000003E-2</v>
      </c>
      <c r="Q4132" t="str">
        <f t="shared" si="128"/>
        <v>&lt;01</v>
      </c>
      <c r="R4132" t="str">
        <f t="shared" si="129"/>
        <v>[AZyWpGzhcaA]|&lt;01|Female|Incidence_SUBNAT.Rt.T_1|CY2024Q3</v>
      </c>
    </row>
    <row r="4133" spans="4:18" x14ac:dyDescent="0.2">
      <c r="D4133" t="s">
        <v>111</v>
      </c>
      <c r="E4133" t="s">
        <v>112</v>
      </c>
      <c r="F4133" t="s">
        <v>113</v>
      </c>
      <c r="G4133" t="s">
        <v>153</v>
      </c>
      <c r="H4133" t="s">
        <v>153</v>
      </c>
      <c r="I4133" t="s">
        <v>33</v>
      </c>
      <c r="J4133" t="s">
        <v>34</v>
      </c>
      <c r="K4133" t="s">
        <v>30</v>
      </c>
      <c r="L4133" t="s">
        <v>31</v>
      </c>
      <c r="M4133" t="s">
        <v>140</v>
      </c>
      <c r="N4133">
        <v>1.10473E-4</v>
      </c>
      <c r="O4133">
        <v>2.1012889999999999E-2</v>
      </c>
      <c r="P4133">
        <v>4.4678606000000003E-2</v>
      </c>
      <c r="Q4133" t="str">
        <f t="shared" si="128"/>
        <v>01-09</v>
      </c>
      <c r="R4133" t="str">
        <f t="shared" si="129"/>
        <v>[AZyWpGzhcaA]|01-09|Female|Incidence_SUBNAT.Rt.T_1|CY2024Q3</v>
      </c>
    </row>
    <row r="4134" spans="4:18" x14ac:dyDescent="0.2">
      <c r="D4134" t="s">
        <v>111</v>
      </c>
      <c r="E4134" t="s">
        <v>112</v>
      </c>
      <c r="F4134" t="s">
        <v>113</v>
      </c>
      <c r="G4134" t="s">
        <v>153</v>
      </c>
      <c r="H4134" t="s">
        <v>153</v>
      </c>
      <c r="I4134" t="s">
        <v>36</v>
      </c>
      <c r="J4134" t="s">
        <v>37</v>
      </c>
      <c r="K4134" t="s">
        <v>30</v>
      </c>
      <c r="L4134" t="s">
        <v>31</v>
      </c>
      <c r="M4134" t="s">
        <v>140</v>
      </c>
      <c r="N4134">
        <v>0</v>
      </c>
      <c r="O4134">
        <v>0</v>
      </c>
      <c r="P4134">
        <v>4.4678606000000003E-2</v>
      </c>
      <c r="Q4134" t="str">
        <f t="shared" si="128"/>
        <v>10-14</v>
      </c>
      <c r="R4134" t="str">
        <f t="shared" si="129"/>
        <v>[AZyWpGzhcaA]|10-14|Female|Incidence_SUBNAT.Rt.T_1|CY2024Q3</v>
      </c>
    </row>
    <row r="4135" spans="4:18" x14ac:dyDescent="0.2">
      <c r="D4135" t="s">
        <v>111</v>
      </c>
      <c r="E4135" t="s">
        <v>112</v>
      </c>
      <c r="F4135" t="s">
        <v>113</v>
      </c>
      <c r="G4135" t="s">
        <v>153</v>
      </c>
      <c r="H4135" t="s">
        <v>153</v>
      </c>
      <c r="I4135" t="s">
        <v>38</v>
      </c>
      <c r="J4135" t="s">
        <v>39</v>
      </c>
      <c r="K4135" t="s">
        <v>30</v>
      </c>
      <c r="L4135" t="s">
        <v>31</v>
      </c>
      <c r="M4135" t="s">
        <v>140</v>
      </c>
      <c r="N4135">
        <v>2.0320749999999999E-3</v>
      </c>
      <c r="O4135">
        <v>4.8021177999999998E-2</v>
      </c>
      <c r="P4135">
        <v>4.4678606000000003E-2</v>
      </c>
      <c r="Q4135" t="str">
        <f t="shared" si="128"/>
        <v>15-24</v>
      </c>
      <c r="R4135" t="str">
        <f t="shared" si="129"/>
        <v>[AZyWpGzhcaA]|15-24|Female|Incidence_SUBNAT.Rt.T_1|CY2024Q3</v>
      </c>
    </row>
    <row r="4136" spans="4:18" x14ac:dyDescent="0.2">
      <c r="D4136" t="s">
        <v>111</v>
      </c>
      <c r="E4136" t="s">
        <v>112</v>
      </c>
      <c r="F4136" t="s">
        <v>113</v>
      </c>
      <c r="G4136" t="s">
        <v>153</v>
      </c>
      <c r="H4136" t="s">
        <v>153</v>
      </c>
      <c r="I4136" t="s">
        <v>41</v>
      </c>
      <c r="J4136" t="s">
        <v>42</v>
      </c>
      <c r="K4136" t="s">
        <v>30</v>
      </c>
      <c r="L4136" t="s">
        <v>31</v>
      </c>
      <c r="M4136" t="s">
        <v>140</v>
      </c>
      <c r="N4136">
        <v>3.1873589999999999E-3</v>
      </c>
      <c r="O4136">
        <v>4.8607973999999998E-2</v>
      </c>
      <c r="P4136">
        <v>4.4678606000000003E-2</v>
      </c>
      <c r="Q4136" t="str">
        <f t="shared" si="128"/>
        <v>25-34</v>
      </c>
      <c r="R4136" t="str">
        <f t="shared" si="129"/>
        <v>[AZyWpGzhcaA]|25-34|Female|Incidence_SUBNAT.Rt.T_1|CY2024Q3</v>
      </c>
    </row>
    <row r="4137" spans="4:18" x14ac:dyDescent="0.2">
      <c r="D4137" t="s">
        <v>111</v>
      </c>
      <c r="E4137" t="s">
        <v>112</v>
      </c>
      <c r="F4137" t="s">
        <v>113</v>
      </c>
      <c r="G4137" t="s">
        <v>153</v>
      </c>
      <c r="H4137" t="s">
        <v>153</v>
      </c>
      <c r="I4137" t="s">
        <v>43</v>
      </c>
      <c r="J4137" t="s">
        <v>44</v>
      </c>
      <c r="K4137" t="s">
        <v>30</v>
      </c>
      <c r="L4137" t="s">
        <v>31</v>
      </c>
      <c r="M4137" t="s">
        <v>140</v>
      </c>
      <c r="N4137">
        <v>1.794346E-3</v>
      </c>
      <c r="O4137">
        <v>4.8794206E-2</v>
      </c>
      <c r="P4137">
        <v>4.4678606000000003E-2</v>
      </c>
      <c r="Q4137" t="str">
        <f t="shared" si="128"/>
        <v>35-49</v>
      </c>
      <c r="R4137" t="str">
        <f t="shared" si="129"/>
        <v>[AZyWpGzhcaA]|35-49|Female|Incidence_SUBNAT.Rt.T_1|CY2024Q3</v>
      </c>
    </row>
    <row r="4138" spans="4:18" x14ac:dyDescent="0.2">
      <c r="D4138" t="s">
        <v>111</v>
      </c>
      <c r="E4138" t="s">
        <v>112</v>
      </c>
      <c r="F4138" t="s">
        <v>113</v>
      </c>
      <c r="G4138" t="s">
        <v>153</v>
      </c>
      <c r="H4138" t="s">
        <v>153</v>
      </c>
      <c r="I4138" t="s">
        <v>45</v>
      </c>
      <c r="J4138" t="s">
        <v>46</v>
      </c>
      <c r="K4138" t="s">
        <v>30</v>
      </c>
      <c r="L4138" t="s">
        <v>31</v>
      </c>
      <c r="M4138" t="s">
        <v>140</v>
      </c>
      <c r="N4138">
        <v>4.54759E-4</v>
      </c>
      <c r="O4138">
        <v>4.5850968999999998E-2</v>
      </c>
      <c r="P4138">
        <v>4.4678606000000003E-2</v>
      </c>
      <c r="Q4138" t="str">
        <f t="shared" si="128"/>
        <v>50+</v>
      </c>
      <c r="R4138" t="str">
        <f t="shared" si="129"/>
        <v>[AZyWpGzhcaA]|50+|Female|Incidence_SUBNAT.Rt.T_1|CY2024Q3</v>
      </c>
    </row>
    <row r="4139" spans="4:18" x14ac:dyDescent="0.2">
      <c r="D4139" t="s">
        <v>111</v>
      </c>
      <c r="E4139" t="s">
        <v>112</v>
      </c>
      <c r="F4139" t="s">
        <v>113</v>
      </c>
      <c r="G4139" t="s">
        <v>153</v>
      </c>
      <c r="H4139" t="s">
        <v>153</v>
      </c>
      <c r="I4139" t="s">
        <v>28</v>
      </c>
      <c r="J4139" t="s">
        <v>29</v>
      </c>
      <c r="K4139" t="s">
        <v>48</v>
      </c>
      <c r="L4139" t="s">
        <v>49</v>
      </c>
      <c r="M4139" t="s">
        <v>140</v>
      </c>
      <c r="N4139">
        <v>3.6557759999999999E-3</v>
      </c>
      <c r="O4139">
        <v>4.2025809999999997E-2</v>
      </c>
      <c r="P4139">
        <v>4.4678606000000003E-2</v>
      </c>
      <c r="Q4139" t="str">
        <f t="shared" si="128"/>
        <v>&lt;01</v>
      </c>
      <c r="R4139" t="str">
        <f t="shared" si="129"/>
        <v>[AZyWpGzhcaA]|&lt;01|Male|Incidence_SUBNAT.Rt.T_1|CY2024Q3</v>
      </c>
    </row>
    <row r="4140" spans="4:18" x14ac:dyDescent="0.2">
      <c r="D4140" t="s">
        <v>111</v>
      </c>
      <c r="E4140" t="s">
        <v>112</v>
      </c>
      <c r="F4140" t="s">
        <v>113</v>
      </c>
      <c r="G4140" t="s">
        <v>153</v>
      </c>
      <c r="H4140" t="s">
        <v>153</v>
      </c>
      <c r="I4140" t="s">
        <v>33</v>
      </c>
      <c r="J4140" t="s">
        <v>34</v>
      </c>
      <c r="K4140" t="s">
        <v>48</v>
      </c>
      <c r="L4140" t="s">
        <v>49</v>
      </c>
      <c r="M4140" t="s">
        <v>140</v>
      </c>
      <c r="N4140">
        <v>1.1082399999999999E-4</v>
      </c>
      <c r="O4140">
        <v>2.1012904999999998E-2</v>
      </c>
      <c r="P4140">
        <v>4.4678606000000003E-2</v>
      </c>
      <c r="Q4140" t="str">
        <f t="shared" si="128"/>
        <v>01-09</v>
      </c>
      <c r="R4140" t="str">
        <f t="shared" si="129"/>
        <v>[AZyWpGzhcaA]|01-09|Male|Incidence_SUBNAT.Rt.T_1|CY2024Q3</v>
      </c>
    </row>
    <row r="4141" spans="4:18" x14ac:dyDescent="0.2">
      <c r="D4141" t="s">
        <v>111</v>
      </c>
      <c r="E4141" t="s">
        <v>112</v>
      </c>
      <c r="F4141" t="s">
        <v>113</v>
      </c>
      <c r="G4141" t="s">
        <v>153</v>
      </c>
      <c r="H4141" t="s">
        <v>153</v>
      </c>
      <c r="I4141" t="s">
        <v>36</v>
      </c>
      <c r="J4141" t="s">
        <v>37</v>
      </c>
      <c r="K4141" t="s">
        <v>48</v>
      </c>
      <c r="L4141" t="s">
        <v>49</v>
      </c>
      <c r="M4141" t="s">
        <v>140</v>
      </c>
      <c r="N4141">
        <v>0</v>
      </c>
      <c r="O4141">
        <v>0</v>
      </c>
      <c r="P4141">
        <v>4.4678606000000003E-2</v>
      </c>
      <c r="Q4141" t="str">
        <f t="shared" si="128"/>
        <v>10-14</v>
      </c>
      <c r="R4141" t="str">
        <f t="shared" si="129"/>
        <v>[AZyWpGzhcaA]|10-14|Male|Incidence_SUBNAT.Rt.T_1|CY2024Q3</v>
      </c>
    </row>
    <row r="4142" spans="4:18" x14ac:dyDescent="0.2">
      <c r="D4142" t="s">
        <v>111</v>
      </c>
      <c r="E4142" t="s">
        <v>112</v>
      </c>
      <c r="F4142" t="s">
        <v>113</v>
      </c>
      <c r="G4142" t="s">
        <v>153</v>
      </c>
      <c r="H4142" t="s">
        <v>153</v>
      </c>
      <c r="I4142" t="s">
        <v>38</v>
      </c>
      <c r="J4142" t="s">
        <v>39</v>
      </c>
      <c r="K4142" t="s">
        <v>48</v>
      </c>
      <c r="L4142" t="s">
        <v>49</v>
      </c>
      <c r="M4142" t="s">
        <v>140</v>
      </c>
      <c r="N4142">
        <v>3.4712399999999998E-4</v>
      </c>
      <c r="O4142">
        <v>4.8279158000000003E-2</v>
      </c>
      <c r="P4142">
        <v>4.4678606000000003E-2</v>
      </c>
      <c r="Q4142" t="str">
        <f t="shared" si="128"/>
        <v>15-24</v>
      </c>
      <c r="R4142" t="str">
        <f t="shared" si="129"/>
        <v>[AZyWpGzhcaA]|15-24|Male|Incidence_SUBNAT.Rt.T_1|CY2024Q3</v>
      </c>
    </row>
    <row r="4143" spans="4:18" x14ac:dyDescent="0.2">
      <c r="D4143" t="s">
        <v>111</v>
      </c>
      <c r="E4143" t="s">
        <v>112</v>
      </c>
      <c r="F4143" t="s">
        <v>113</v>
      </c>
      <c r="G4143" t="s">
        <v>153</v>
      </c>
      <c r="H4143" t="s">
        <v>153</v>
      </c>
      <c r="I4143" t="s">
        <v>41</v>
      </c>
      <c r="J4143" t="s">
        <v>42</v>
      </c>
      <c r="K4143" t="s">
        <v>48</v>
      </c>
      <c r="L4143" t="s">
        <v>49</v>
      </c>
      <c r="M4143" t="s">
        <v>140</v>
      </c>
      <c r="N4143">
        <v>1.911516E-3</v>
      </c>
      <c r="O4143">
        <v>4.8298125999999997E-2</v>
      </c>
      <c r="P4143">
        <v>4.4678606000000003E-2</v>
      </c>
      <c r="Q4143" t="str">
        <f t="shared" si="128"/>
        <v>25-34</v>
      </c>
      <c r="R4143" t="str">
        <f t="shared" si="129"/>
        <v>[AZyWpGzhcaA]|25-34|Male|Incidence_SUBNAT.Rt.T_1|CY2024Q3</v>
      </c>
    </row>
    <row r="4144" spans="4:18" x14ac:dyDescent="0.2">
      <c r="D4144" t="s">
        <v>111</v>
      </c>
      <c r="E4144" t="s">
        <v>112</v>
      </c>
      <c r="F4144" t="s">
        <v>113</v>
      </c>
      <c r="G4144" t="s">
        <v>153</v>
      </c>
      <c r="H4144" t="s">
        <v>153</v>
      </c>
      <c r="I4144" t="s">
        <v>43</v>
      </c>
      <c r="J4144" t="s">
        <v>44</v>
      </c>
      <c r="K4144" t="s">
        <v>48</v>
      </c>
      <c r="L4144" t="s">
        <v>49</v>
      </c>
      <c r="M4144" t="s">
        <v>140</v>
      </c>
      <c r="N4144">
        <v>2.2234160000000002E-3</v>
      </c>
      <c r="O4144">
        <v>4.8583034999999997E-2</v>
      </c>
      <c r="P4144">
        <v>4.4678606000000003E-2</v>
      </c>
      <c r="Q4144" t="str">
        <f t="shared" si="128"/>
        <v>35-49</v>
      </c>
      <c r="R4144" t="str">
        <f t="shared" si="129"/>
        <v>[AZyWpGzhcaA]|35-49|Male|Incidence_SUBNAT.Rt.T_1|CY2024Q3</v>
      </c>
    </row>
    <row r="4145" spans="4:18" x14ac:dyDescent="0.2">
      <c r="D4145" t="s">
        <v>111</v>
      </c>
      <c r="E4145" t="s">
        <v>112</v>
      </c>
      <c r="F4145" t="s">
        <v>113</v>
      </c>
      <c r="G4145" t="s">
        <v>153</v>
      </c>
      <c r="H4145" t="s">
        <v>153</v>
      </c>
      <c r="I4145" t="s">
        <v>45</v>
      </c>
      <c r="J4145" t="s">
        <v>46</v>
      </c>
      <c r="K4145" t="s">
        <v>48</v>
      </c>
      <c r="L4145" t="s">
        <v>49</v>
      </c>
      <c r="M4145" t="s">
        <v>140</v>
      </c>
      <c r="N4145">
        <v>1.142484E-3</v>
      </c>
      <c r="O4145">
        <v>4.7288860000000002E-2</v>
      </c>
      <c r="P4145">
        <v>4.4678606000000003E-2</v>
      </c>
      <c r="Q4145" t="str">
        <f t="shared" si="128"/>
        <v>50+</v>
      </c>
      <c r="R4145" t="str">
        <f t="shared" si="129"/>
        <v>[AZyWpGzhcaA]|50+|Male|Incidence_SUBNAT.Rt.T_1|CY2024Q3</v>
      </c>
    </row>
    <row r="4146" spans="4:18" x14ac:dyDescent="0.2">
      <c r="D4146" t="s">
        <v>114</v>
      </c>
      <c r="E4146" t="s">
        <v>115</v>
      </c>
      <c r="F4146" t="s">
        <v>116</v>
      </c>
      <c r="G4146" t="s">
        <v>153</v>
      </c>
      <c r="H4146" t="s">
        <v>153</v>
      </c>
      <c r="I4146" t="s">
        <v>28</v>
      </c>
      <c r="J4146" t="s">
        <v>29</v>
      </c>
      <c r="K4146" t="s">
        <v>30</v>
      </c>
      <c r="L4146" t="s">
        <v>31</v>
      </c>
      <c r="M4146" t="s">
        <v>140</v>
      </c>
      <c r="N4146">
        <v>2.831264E-3</v>
      </c>
      <c r="O4146">
        <v>6.7991541000000003E-2</v>
      </c>
      <c r="P4146">
        <v>7.3328326999999999E-2</v>
      </c>
      <c r="Q4146" t="str">
        <f t="shared" si="128"/>
        <v>&lt;01</v>
      </c>
      <c r="R4146" t="str">
        <f t="shared" si="129"/>
        <v>[ir8wuHHzoSs]|&lt;01|Female|Incidence_SUBNAT.Rt.T_1|CY2024Q3</v>
      </c>
    </row>
    <row r="4147" spans="4:18" x14ac:dyDescent="0.2">
      <c r="D4147" t="s">
        <v>114</v>
      </c>
      <c r="E4147" t="s">
        <v>115</v>
      </c>
      <c r="F4147" t="s">
        <v>116</v>
      </c>
      <c r="G4147" t="s">
        <v>153</v>
      </c>
      <c r="H4147" t="s">
        <v>153</v>
      </c>
      <c r="I4147" t="s">
        <v>33</v>
      </c>
      <c r="J4147" t="s">
        <v>34</v>
      </c>
      <c r="K4147" t="s">
        <v>30</v>
      </c>
      <c r="L4147" t="s">
        <v>31</v>
      </c>
      <c r="M4147" t="s">
        <v>140</v>
      </c>
      <c r="N4147" s="235" t="s">
        <v>193</v>
      </c>
      <c r="O4147">
        <v>3.3995770000000002E-2</v>
      </c>
      <c r="P4147">
        <v>7.3328326999999999E-2</v>
      </c>
      <c r="Q4147" t="str">
        <f t="shared" si="128"/>
        <v>01-09</v>
      </c>
      <c r="R4147" t="str">
        <f t="shared" si="129"/>
        <v>[ir8wuHHzoSs]|01-09|Female|Incidence_SUBNAT.Rt.T_1|CY2024Q3</v>
      </c>
    </row>
    <row r="4148" spans="4:18" x14ac:dyDescent="0.2">
      <c r="D4148" t="s">
        <v>114</v>
      </c>
      <c r="E4148" t="s">
        <v>115</v>
      </c>
      <c r="F4148" t="s">
        <v>116</v>
      </c>
      <c r="G4148" t="s">
        <v>153</v>
      </c>
      <c r="H4148" t="s">
        <v>153</v>
      </c>
      <c r="I4148" t="s">
        <v>36</v>
      </c>
      <c r="J4148" t="s">
        <v>37</v>
      </c>
      <c r="K4148" t="s">
        <v>30</v>
      </c>
      <c r="L4148" t="s">
        <v>31</v>
      </c>
      <c r="M4148" t="s">
        <v>140</v>
      </c>
      <c r="N4148">
        <v>0</v>
      </c>
      <c r="O4148">
        <v>0</v>
      </c>
      <c r="P4148">
        <v>7.3328326999999999E-2</v>
      </c>
      <c r="Q4148" t="str">
        <f t="shared" si="128"/>
        <v>10-14</v>
      </c>
      <c r="R4148" t="str">
        <f t="shared" si="129"/>
        <v>[ir8wuHHzoSs]|10-14|Female|Incidence_SUBNAT.Rt.T_1|CY2024Q3</v>
      </c>
    </row>
    <row r="4149" spans="4:18" x14ac:dyDescent="0.2">
      <c r="D4149" t="s">
        <v>114</v>
      </c>
      <c r="E4149" t="s">
        <v>115</v>
      </c>
      <c r="F4149" t="s">
        <v>116</v>
      </c>
      <c r="G4149" t="s">
        <v>153</v>
      </c>
      <c r="H4149" t="s">
        <v>153</v>
      </c>
      <c r="I4149" t="s">
        <v>38</v>
      </c>
      <c r="J4149" t="s">
        <v>39</v>
      </c>
      <c r="K4149" t="s">
        <v>30</v>
      </c>
      <c r="L4149" t="s">
        <v>31</v>
      </c>
      <c r="M4149" t="s">
        <v>140</v>
      </c>
      <c r="N4149">
        <v>1.600122E-3</v>
      </c>
      <c r="O4149">
        <v>7.7957887000000003E-2</v>
      </c>
      <c r="P4149">
        <v>7.3328326999999999E-2</v>
      </c>
      <c r="Q4149" t="str">
        <f t="shared" si="128"/>
        <v>15-24</v>
      </c>
      <c r="R4149" t="str">
        <f t="shared" si="129"/>
        <v>[ir8wuHHzoSs]|15-24|Female|Incidence_SUBNAT.Rt.T_1|CY2024Q3</v>
      </c>
    </row>
    <row r="4150" spans="4:18" x14ac:dyDescent="0.2">
      <c r="D4150" t="s">
        <v>114</v>
      </c>
      <c r="E4150" t="s">
        <v>115</v>
      </c>
      <c r="F4150" t="s">
        <v>116</v>
      </c>
      <c r="G4150" t="s">
        <v>153</v>
      </c>
      <c r="H4150" t="s">
        <v>153</v>
      </c>
      <c r="I4150" t="s">
        <v>41</v>
      </c>
      <c r="J4150" t="s">
        <v>42</v>
      </c>
      <c r="K4150" t="s">
        <v>30</v>
      </c>
      <c r="L4150" t="s">
        <v>31</v>
      </c>
      <c r="M4150" t="s">
        <v>140</v>
      </c>
      <c r="N4150">
        <v>2.4918359999999999E-3</v>
      </c>
      <c r="O4150">
        <v>7.8633409000000001E-2</v>
      </c>
      <c r="P4150">
        <v>7.3328326999999999E-2</v>
      </c>
      <c r="Q4150" t="str">
        <f t="shared" si="128"/>
        <v>25-34</v>
      </c>
      <c r="R4150" t="str">
        <f t="shared" si="129"/>
        <v>[ir8wuHHzoSs]|25-34|Female|Incidence_SUBNAT.Rt.T_1|CY2024Q3</v>
      </c>
    </row>
    <row r="4151" spans="4:18" x14ac:dyDescent="0.2">
      <c r="D4151" t="s">
        <v>114</v>
      </c>
      <c r="E4151" t="s">
        <v>115</v>
      </c>
      <c r="F4151" t="s">
        <v>116</v>
      </c>
      <c r="G4151" t="s">
        <v>153</v>
      </c>
      <c r="H4151" t="s">
        <v>153</v>
      </c>
      <c r="I4151" t="s">
        <v>43</v>
      </c>
      <c r="J4151" t="s">
        <v>44</v>
      </c>
      <c r="K4151" t="s">
        <v>30</v>
      </c>
      <c r="L4151" t="s">
        <v>31</v>
      </c>
      <c r="M4151" t="s">
        <v>140</v>
      </c>
      <c r="N4151">
        <v>1.3937439999999999E-3</v>
      </c>
      <c r="O4151">
        <v>7.9097085999999997E-2</v>
      </c>
      <c r="P4151">
        <v>7.3328326999999999E-2</v>
      </c>
      <c r="Q4151" t="str">
        <f t="shared" si="128"/>
        <v>35-49</v>
      </c>
      <c r="R4151" t="str">
        <f t="shared" si="129"/>
        <v>[ir8wuHHzoSs]|35-49|Female|Incidence_SUBNAT.Rt.T_1|CY2024Q3</v>
      </c>
    </row>
    <row r="4152" spans="4:18" x14ac:dyDescent="0.2">
      <c r="D4152" t="s">
        <v>114</v>
      </c>
      <c r="E4152" t="s">
        <v>115</v>
      </c>
      <c r="F4152" t="s">
        <v>116</v>
      </c>
      <c r="G4152" t="s">
        <v>153</v>
      </c>
      <c r="H4152" t="s">
        <v>153</v>
      </c>
      <c r="I4152" t="s">
        <v>45</v>
      </c>
      <c r="J4152" t="s">
        <v>46</v>
      </c>
      <c r="K4152" t="s">
        <v>30</v>
      </c>
      <c r="L4152" t="s">
        <v>31</v>
      </c>
      <c r="M4152" t="s">
        <v>140</v>
      </c>
      <c r="N4152">
        <v>3.6979299999999999E-4</v>
      </c>
      <c r="O4152">
        <v>7.5109139000000005E-2</v>
      </c>
      <c r="P4152">
        <v>7.3328326999999999E-2</v>
      </c>
      <c r="Q4152" t="str">
        <f t="shared" si="128"/>
        <v>50+</v>
      </c>
      <c r="R4152" t="str">
        <f t="shared" si="129"/>
        <v>[ir8wuHHzoSs]|50+|Female|Incidence_SUBNAT.Rt.T_1|CY2024Q3</v>
      </c>
    </row>
    <row r="4153" spans="4:18" x14ac:dyDescent="0.2">
      <c r="D4153" t="s">
        <v>114</v>
      </c>
      <c r="E4153" t="s">
        <v>115</v>
      </c>
      <c r="F4153" t="s">
        <v>116</v>
      </c>
      <c r="G4153" t="s">
        <v>153</v>
      </c>
      <c r="H4153" t="s">
        <v>153</v>
      </c>
      <c r="I4153" t="s">
        <v>28</v>
      </c>
      <c r="J4153" t="s">
        <v>29</v>
      </c>
      <c r="K4153" t="s">
        <v>48</v>
      </c>
      <c r="L4153" t="s">
        <v>49</v>
      </c>
      <c r="M4153" t="s">
        <v>140</v>
      </c>
      <c r="N4153">
        <v>2.8404860000000001E-3</v>
      </c>
      <c r="O4153">
        <v>6.7991579999999996E-2</v>
      </c>
      <c r="P4153">
        <v>7.3328326999999999E-2</v>
      </c>
      <c r="Q4153" t="str">
        <f t="shared" si="128"/>
        <v>&lt;01</v>
      </c>
      <c r="R4153" t="str">
        <f t="shared" si="129"/>
        <v>[ir8wuHHzoSs]|&lt;01|Male|Incidence_SUBNAT.Rt.T_1|CY2024Q3</v>
      </c>
    </row>
    <row r="4154" spans="4:18" x14ac:dyDescent="0.2">
      <c r="D4154" t="s">
        <v>114</v>
      </c>
      <c r="E4154" t="s">
        <v>115</v>
      </c>
      <c r="F4154" t="s">
        <v>116</v>
      </c>
      <c r="G4154" t="s">
        <v>153</v>
      </c>
      <c r="H4154" t="s">
        <v>153</v>
      </c>
      <c r="I4154" t="s">
        <v>33</v>
      </c>
      <c r="J4154" t="s">
        <v>34</v>
      </c>
      <c r="K4154" t="s">
        <v>48</v>
      </c>
      <c r="L4154" t="s">
        <v>49</v>
      </c>
      <c r="M4154" t="s">
        <v>140</v>
      </c>
      <c r="N4154" s="235" t="s">
        <v>194</v>
      </c>
      <c r="O4154">
        <v>3.3995789999999998E-2</v>
      </c>
      <c r="P4154">
        <v>7.3328326999999999E-2</v>
      </c>
      <c r="Q4154" t="str">
        <f t="shared" si="128"/>
        <v>01-09</v>
      </c>
      <c r="R4154" t="str">
        <f t="shared" si="129"/>
        <v>[ir8wuHHzoSs]|01-09|Male|Incidence_SUBNAT.Rt.T_1|CY2024Q3</v>
      </c>
    </row>
    <row r="4155" spans="4:18" x14ac:dyDescent="0.2">
      <c r="D4155" t="s">
        <v>114</v>
      </c>
      <c r="E4155" t="s">
        <v>115</v>
      </c>
      <c r="F4155" t="s">
        <v>116</v>
      </c>
      <c r="G4155" t="s">
        <v>153</v>
      </c>
      <c r="H4155" t="s">
        <v>153</v>
      </c>
      <c r="I4155" t="s">
        <v>36</v>
      </c>
      <c r="J4155" t="s">
        <v>37</v>
      </c>
      <c r="K4155" t="s">
        <v>48</v>
      </c>
      <c r="L4155" t="s">
        <v>49</v>
      </c>
      <c r="M4155" t="s">
        <v>140</v>
      </c>
      <c r="N4155">
        <v>0</v>
      </c>
      <c r="O4155">
        <v>0</v>
      </c>
      <c r="P4155">
        <v>7.3328326999999999E-2</v>
      </c>
      <c r="Q4155" t="str">
        <f t="shared" si="128"/>
        <v>10-14</v>
      </c>
      <c r="R4155" t="str">
        <f t="shared" si="129"/>
        <v>[ir8wuHHzoSs]|10-14|Male|Incidence_SUBNAT.Rt.T_1|CY2024Q3</v>
      </c>
    </row>
    <row r="4156" spans="4:18" x14ac:dyDescent="0.2">
      <c r="D4156" t="s">
        <v>114</v>
      </c>
      <c r="E4156" t="s">
        <v>115</v>
      </c>
      <c r="F4156" t="s">
        <v>116</v>
      </c>
      <c r="G4156" t="s">
        <v>153</v>
      </c>
      <c r="H4156" t="s">
        <v>153</v>
      </c>
      <c r="I4156" t="s">
        <v>38</v>
      </c>
      <c r="J4156" t="s">
        <v>39</v>
      </c>
      <c r="K4156" t="s">
        <v>48</v>
      </c>
      <c r="L4156" t="s">
        <v>49</v>
      </c>
      <c r="M4156" t="s">
        <v>140</v>
      </c>
      <c r="N4156">
        <v>2.6434100000000002E-4</v>
      </c>
      <c r="O4156">
        <v>7.8272812999999997E-2</v>
      </c>
      <c r="P4156">
        <v>7.3328326999999999E-2</v>
      </c>
      <c r="Q4156" t="str">
        <f t="shared" si="128"/>
        <v>15-24</v>
      </c>
      <c r="R4156" t="str">
        <f t="shared" si="129"/>
        <v>[ir8wuHHzoSs]|15-24|Male|Incidence_SUBNAT.Rt.T_1|CY2024Q3</v>
      </c>
    </row>
    <row r="4157" spans="4:18" x14ac:dyDescent="0.2">
      <c r="D4157" t="s">
        <v>114</v>
      </c>
      <c r="E4157" t="s">
        <v>115</v>
      </c>
      <c r="F4157" t="s">
        <v>116</v>
      </c>
      <c r="G4157" t="s">
        <v>153</v>
      </c>
      <c r="H4157" t="s">
        <v>153</v>
      </c>
      <c r="I4157" t="s">
        <v>41</v>
      </c>
      <c r="J4157" t="s">
        <v>42</v>
      </c>
      <c r="K4157" t="s">
        <v>48</v>
      </c>
      <c r="L4157" t="s">
        <v>49</v>
      </c>
      <c r="M4157" t="s">
        <v>140</v>
      </c>
      <c r="N4157">
        <v>1.487979E-3</v>
      </c>
      <c r="O4157">
        <v>7.8278532999999997E-2</v>
      </c>
      <c r="P4157">
        <v>7.3328326999999999E-2</v>
      </c>
      <c r="Q4157" t="str">
        <f t="shared" si="128"/>
        <v>25-34</v>
      </c>
      <c r="R4157" t="str">
        <f t="shared" si="129"/>
        <v>[ir8wuHHzoSs]|25-34|Male|Incidence_SUBNAT.Rt.T_1|CY2024Q3</v>
      </c>
    </row>
    <row r="4158" spans="4:18" x14ac:dyDescent="0.2">
      <c r="D4158" t="s">
        <v>114</v>
      </c>
      <c r="E4158" t="s">
        <v>115</v>
      </c>
      <c r="F4158" t="s">
        <v>116</v>
      </c>
      <c r="G4158" t="s">
        <v>153</v>
      </c>
      <c r="H4158" t="s">
        <v>153</v>
      </c>
      <c r="I4158" t="s">
        <v>43</v>
      </c>
      <c r="J4158" t="s">
        <v>44</v>
      </c>
      <c r="K4158" t="s">
        <v>48</v>
      </c>
      <c r="L4158" t="s">
        <v>49</v>
      </c>
      <c r="M4158" t="s">
        <v>140</v>
      </c>
      <c r="N4158">
        <v>1.726074E-3</v>
      </c>
      <c r="O4158">
        <v>7.8639629000000003E-2</v>
      </c>
      <c r="P4158">
        <v>7.3328326999999999E-2</v>
      </c>
      <c r="Q4158" t="str">
        <f t="shared" si="128"/>
        <v>35-49</v>
      </c>
      <c r="R4158" t="str">
        <f t="shared" si="129"/>
        <v>[ir8wuHHzoSs]|35-49|Male|Incidence_SUBNAT.Rt.T_1|CY2024Q3</v>
      </c>
    </row>
    <row r="4159" spans="4:18" x14ac:dyDescent="0.2">
      <c r="D4159" t="s">
        <v>114</v>
      </c>
      <c r="E4159" t="s">
        <v>115</v>
      </c>
      <c r="F4159" t="s">
        <v>116</v>
      </c>
      <c r="G4159" t="s">
        <v>153</v>
      </c>
      <c r="H4159" t="s">
        <v>153</v>
      </c>
      <c r="I4159" t="s">
        <v>45</v>
      </c>
      <c r="J4159" t="s">
        <v>46</v>
      </c>
      <c r="K4159" t="s">
        <v>48</v>
      </c>
      <c r="L4159" t="s">
        <v>49</v>
      </c>
      <c r="M4159" t="s">
        <v>140</v>
      </c>
      <c r="N4159">
        <v>9.0700000000000004E-4</v>
      </c>
      <c r="O4159">
        <v>7.6721840999999999E-2</v>
      </c>
      <c r="P4159">
        <v>7.3328326999999999E-2</v>
      </c>
      <c r="Q4159" t="str">
        <f t="shared" si="128"/>
        <v>50+</v>
      </c>
      <c r="R4159" t="str">
        <f t="shared" si="129"/>
        <v>[ir8wuHHzoSs]|50+|Male|Incidence_SUBNAT.Rt.T_1|CY2024Q3</v>
      </c>
    </row>
    <row r="4160" spans="4:18" x14ac:dyDescent="0.2">
      <c r="D4160" t="s">
        <v>117</v>
      </c>
      <c r="E4160" t="s">
        <v>118</v>
      </c>
      <c r="F4160" t="s">
        <v>119</v>
      </c>
      <c r="G4160" t="s">
        <v>153</v>
      </c>
      <c r="H4160" t="s">
        <v>153</v>
      </c>
      <c r="I4160" t="s">
        <v>28</v>
      </c>
      <c r="J4160" t="s">
        <v>29</v>
      </c>
      <c r="K4160" t="s">
        <v>30</v>
      </c>
      <c r="L4160" t="s">
        <v>31</v>
      </c>
      <c r="M4160" t="s">
        <v>140</v>
      </c>
      <c r="N4160">
        <v>3.9965440000000003E-3</v>
      </c>
      <c r="O4160">
        <v>5.4561395999999998E-2</v>
      </c>
      <c r="P4160">
        <v>5.9696304999999998E-2</v>
      </c>
      <c r="Q4160" t="str">
        <f t="shared" si="128"/>
        <v>&lt;01</v>
      </c>
      <c r="R4160" t="str">
        <f t="shared" si="129"/>
        <v>[oiPR2CiVJbf]|&lt;01|Female|Incidence_SUBNAT.Rt.T_1|CY2024Q3</v>
      </c>
    </row>
    <row r="4161" spans="4:18" x14ac:dyDescent="0.2">
      <c r="D4161" t="s">
        <v>117</v>
      </c>
      <c r="E4161" t="s">
        <v>118</v>
      </c>
      <c r="F4161" t="s">
        <v>119</v>
      </c>
      <c r="G4161" t="s">
        <v>153</v>
      </c>
      <c r="H4161" t="s">
        <v>153</v>
      </c>
      <c r="I4161" t="s">
        <v>33</v>
      </c>
      <c r="J4161" t="s">
        <v>34</v>
      </c>
      <c r="K4161" t="s">
        <v>30</v>
      </c>
      <c r="L4161" t="s">
        <v>31</v>
      </c>
      <c r="M4161" t="s">
        <v>140</v>
      </c>
      <c r="N4161">
        <v>1.21315E-4</v>
      </c>
      <c r="O4161">
        <v>2.7280697999999999E-2</v>
      </c>
      <c r="P4161">
        <v>5.9696304999999998E-2</v>
      </c>
      <c r="Q4161" t="str">
        <f t="shared" si="128"/>
        <v>01-09</v>
      </c>
      <c r="R4161" t="str">
        <f t="shared" si="129"/>
        <v>[oiPR2CiVJbf]|01-09|Female|Incidence_SUBNAT.Rt.T_1|CY2024Q3</v>
      </c>
    </row>
    <row r="4162" spans="4:18" x14ac:dyDescent="0.2">
      <c r="D4162" t="s">
        <v>117</v>
      </c>
      <c r="E4162" t="s">
        <v>118</v>
      </c>
      <c r="F4162" t="s">
        <v>119</v>
      </c>
      <c r="G4162" t="s">
        <v>153</v>
      </c>
      <c r="H4162" t="s">
        <v>153</v>
      </c>
      <c r="I4162" t="s">
        <v>36</v>
      </c>
      <c r="J4162" t="s">
        <v>37</v>
      </c>
      <c r="K4162" t="s">
        <v>30</v>
      </c>
      <c r="L4162" t="s">
        <v>31</v>
      </c>
      <c r="M4162" t="s">
        <v>140</v>
      </c>
      <c r="N4162">
        <v>0</v>
      </c>
      <c r="O4162">
        <v>0</v>
      </c>
      <c r="P4162">
        <v>5.9696304999999998E-2</v>
      </c>
      <c r="Q4162" t="str">
        <f t="shared" si="128"/>
        <v>10-14</v>
      </c>
      <c r="R4162" t="str">
        <f t="shared" si="129"/>
        <v>[oiPR2CiVJbf]|10-14|Female|Incidence_SUBNAT.Rt.T_1|CY2024Q3</v>
      </c>
    </row>
    <row r="4163" spans="4:18" x14ac:dyDescent="0.2">
      <c r="D4163" t="s">
        <v>117</v>
      </c>
      <c r="E4163" t="s">
        <v>118</v>
      </c>
      <c r="F4163" t="s">
        <v>119</v>
      </c>
      <c r="G4163" t="s">
        <v>153</v>
      </c>
      <c r="H4163" t="s">
        <v>153</v>
      </c>
      <c r="I4163" t="s">
        <v>38</v>
      </c>
      <c r="J4163" t="s">
        <v>39</v>
      </c>
      <c r="K4163" t="s">
        <v>30</v>
      </c>
      <c r="L4163" t="s">
        <v>31</v>
      </c>
      <c r="M4163" t="s">
        <v>140</v>
      </c>
      <c r="N4163">
        <v>2.4676780000000001E-3</v>
      </c>
      <c r="O4163">
        <v>6.4855302000000004E-2</v>
      </c>
      <c r="P4163">
        <v>5.9696304999999998E-2</v>
      </c>
      <c r="Q4163" t="str">
        <f t="shared" ref="Q4163:Q4226" si="130">SUBSTITUTE(SUBSTITUTE($I4163,CHAR(61),""),CHAR(34),"")</f>
        <v>15-24</v>
      </c>
      <c r="R4163" t="str">
        <f t="shared" ref="R4163:R4226" si="131">IF($D4163&lt;&gt;"","["&amp;$E4163&amp;"]"&amp;"|"&amp;$Q4163&amp;"|"&amp;$K4163&amp;"|"&amp;$G4163&amp;"|"&amp;IF($G4163="TX_CURR_SUBNAT.R","CY2023Q4",$M4163),"")</f>
        <v>[oiPR2CiVJbf]|15-24|Female|Incidence_SUBNAT.Rt.T_1|CY2024Q3</v>
      </c>
    </row>
    <row r="4164" spans="4:18" x14ac:dyDescent="0.2">
      <c r="D4164" t="s">
        <v>117</v>
      </c>
      <c r="E4164" t="s">
        <v>118</v>
      </c>
      <c r="F4164" t="s">
        <v>119</v>
      </c>
      <c r="G4164" t="s">
        <v>153</v>
      </c>
      <c r="H4164" t="s">
        <v>153</v>
      </c>
      <c r="I4164" t="s">
        <v>41</v>
      </c>
      <c r="J4164" t="s">
        <v>42</v>
      </c>
      <c r="K4164" t="s">
        <v>30</v>
      </c>
      <c r="L4164" t="s">
        <v>31</v>
      </c>
      <c r="M4164" t="s">
        <v>140</v>
      </c>
      <c r="N4164">
        <v>3.8301160000000002E-3</v>
      </c>
      <c r="O4164">
        <v>6.5789917000000003E-2</v>
      </c>
      <c r="P4164">
        <v>5.9696304999999998E-2</v>
      </c>
      <c r="Q4164" t="str">
        <f t="shared" si="130"/>
        <v>25-34</v>
      </c>
      <c r="R4164" t="str">
        <f t="shared" si="131"/>
        <v>[oiPR2CiVJbf]|25-34|Female|Incidence_SUBNAT.Rt.T_1|CY2024Q3</v>
      </c>
    </row>
    <row r="4165" spans="4:18" x14ac:dyDescent="0.2">
      <c r="D4165" t="s">
        <v>117</v>
      </c>
      <c r="E4165" t="s">
        <v>118</v>
      </c>
      <c r="F4165" t="s">
        <v>119</v>
      </c>
      <c r="G4165" t="s">
        <v>153</v>
      </c>
      <c r="H4165" t="s">
        <v>153</v>
      </c>
      <c r="I4165" t="s">
        <v>43</v>
      </c>
      <c r="J4165" t="s">
        <v>44</v>
      </c>
      <c r="K4165" t="s">
        <v>30</v>
      </c>
      <c r="L4165" t="s">
        <v>31</v>
      </c>
      <c r="M4165" t="s">
        <v>140</v>
      </c>
      <c r="N4165">
        <v>2.1480649999999998E-3</v>
      </c>
      <c r="O4165">
        <v>6.6275533999999997E-2</v>
      </c>
      <c r="P4165">
        <v>5.9696304999999998E-2</v>
      </c>
      <c r="Q4165" t="str">
        <f t="shared" si="130"/>
        <v>35-49</v>
      </c>
      <c r="R4165" t="str">
        <f t="shared" si="131"/>
        <v>[oiPR2CiVJbf]|35-49|Female|Incidence_SUBNAT.Rt.T_1|CY2024Q3</v>
      </c>
    </row>
    <row r="4166" spans="4:18" x14ac:dyDescent="0.2">
      <c r="D4166" t="s">
        <v>117</v>
      </c>
      <c r="E4166" t="s">
        <v>118</v>
      </c>
      <c r="F4166" t="s">
        <v>119</v>
      </c>
      <c r="G4166" t="s">
        <v>153</v>
      </c>
      <c r="H4166" t="s">
        <v>153</v>
      </c>
      <c r="I4166" t="s">
        <v>45</v>
      </c>
      <c r="J4166" t="s">
        <v>46</v>
      </c>
      <c r="K4166" t="s">
        <v>30</v>
      </c>
      <c r="L4166" t="s">
        <v>31</v>
      </c>
      <c r="M4166" t="s">
        <v>140</v>
      </c>
      <c r="N4166">
        <v>5.4667699999999997E-4</v>
      </c>
      <c r="O4166">
        <v>6.1924112000000003E-2</v>
      </c>
      <c r="P4166">
        <v>5.9696304999999998E-2</v>
      </c>
      <c r="Q4166" t="str">
        <f t="shared" si="130"/>
        <v>50+</v>
      </c>
      <c r="R4166" t="str">
        <f t="shared" si="131"/>
        <v>[oiPR2CiVJbf]|50+|Female|Incidence_SUBNAT.Rt.T_1|CY2024Q3</v>
      </c>
    </row>
    <row r="4167" spans="4:18" x14ac:dyDescent="0.2">
      <c r="D4167" t="s">
        <v>117</v>
      </c>
      <c r="E4167" t="s">
        <v>118</v>
      </c>
      <c r="F4167" t="s">
        <v>119</v>
      </c>
      <c r="G4167" t="s">
        <v>153</v>
      </c>
      <c r="H4167" t="s">
        <v>153</v>
      </c>
      <c r="I4167" t="s">
        <v>28</v>
      </c>
      <c r="J4167" t="s">
        <v>29</v>
      </c>
      <c r="K4167" t="s">
        <v>48</v>
      </c>
      <c r="L4167" t="s">
        <v>49</v>
      </c>
      <c r="M4167" t="s">
        <v>140</v>
      </c>
      <c r="N4167">
        <v>4.0096740000000004E-3</v>
      </c>
      <c r="O4167">
        <v>5.4561440000000003E-2</v>
      </c>
      <c r="P4167">
        <v>5.9696304999999998E-2</v>
      </c>
      <c r="Q4167" t="str">
        <f t="shared" si="130"/>
        <v>&lt;01</v>
      </c>
      <c r="R4167" t="str">
        <f t="shared" si="131"/>
        <v>[oiPR2CiVJbf]|&lt;01|Male|Incidence_SUBNAT.Rt.T_1|CY2024Q3</v>
      </c>
    </row>
    <row r="4168" spans="4:18" x14ac:dyDescent="0.2">
      <c r="D4168" t="s">
        <v>117</v>
      </c>
      <c r="E4168" t="s">
        <v>118</v>
      </c>
      <c r="F4168" t="s">
        <v>119</v>
      </c>
      <c r="G4168" t="s">
        <v>153</v>
      </c>
      <c r="H4168" t="s">
        <v>153</v>
      </c>
      <c r="I4168" t="s">
        <v>33</v>
      </c>
      <c r="J4168" t="s">
        <v>34</v>
      </c>
      <c r="K4168" t="s">
        <v>48</v>
      </c>
      <c r="L4168" t="s">
        <v>49</v>
      </c>
      <c r="M4168" t="s">
        <v>140</v>
      </c>
      <c r="N4168">
        <v>1.20957E-4</v>
      </c>
      <c r="O4168">
        <v>2.7280720000000001E-2</v>
      </c>
      <c r="P4168">
        <v>5.9696304999999998E-2</v>
      </c>
      <c r="Q4168" t="str">
        <f t="shared" si="130"/>
        <v>01-09</v>
      </c>
      <c r="R4168" t="str">
        <f t="shared" si="131"/>
        <v>[oiPR2CiVJbf]|01-09|Male|Incidence_SUBNAT.Rt.T_1|CY2024Q3</v>
      </c>
    </row>
    <row r="4169" spans="4:18" x14ac:dyDescent="0.2">
      <c r="D4169" t="s">
        <v>117</v>
      </c>
      <c r="E4169" t="s">
        <v>118</v>
      </c>
      <c r="F4169" t="s">
        <v>119</v>
      </c>
      <c r="G4169" t="s">
        <v>153</v>
      </c>
      <c r="H4169" t="s">
        <v>153</v>
      </c>
      <c r="I4169" t="s">
        <v>36</v>
      </c>
      <c r="J4169" t="s">
        <v>37</v>
      </c>
      <c r="K4169" t="s">
        <v>48</v>
      </c>
      <c r="L4169" t="s">
        <v>49</v>
      </c>
      <c r="M4169" t="s">
        <v>140</v>
      </c>
      <c r="N4169">
        <v>0</v>
      </c>
      <c r="O4169">
        <v>0</v>
      </c>
      <c r="P4169">
        <v>5.9696304999999998E-2</v>
      </c>
      <c r="Q4169" t="str">
        <f t="shared" si="130"/>
        <v>10-14</v>
      </c>
      <c r="R4169" t="str">
        <f t="shared" si="131"/>
        <v>[oiPR2CiVJbf]|10-14|Male|Incidence_SUBNAT.Rt.T_1|CY2024Q3</v>
      </c>
    </row>
    <row r="4170" spans="4:18" x14ac:dyDescent="0.2">
      <c r="D4170" t="s">
        <v>117</v>
      </c>
      <c r="E4170" t="s">
        <v>118</v>
      </c>
      <c r="F4170" t="s">
        <v>119</v>
      </c>
      <c r="G4170" t="s">
        <v>153</v>
      </c>
      <c r="H4170" t="s">
        <v>153</v>
      </c>
      <c r="I4170" t="s">
        <v>38</v>
      </c>
      <c r="J4170" t="s">
        <v>39</v>
      </c>
      <c r="K4170" t="s">
        <v>48</v>
      </c>
      <c r="L4170" t="s">
        <v>49</v>
      </c>
      <c r="M4170" t="s">
        <v>140</v>
      </c>
      <c r="N4170">
        <v>4.2351299999999998E-4</v>
      </c>
      <c r="O4170">
        <v>6.5239540999999998E-2</v>
      </c>
      <c r="P4170">
        <v>5.9696304999999998E-2</v>
      </c>
      <c r="Q4170" t="str">
        <f t="shared" si="130"/>
        <v>15-24</v>
      </c>
      <c r="R4170" t="str">
        <f t="shared" si="131"/>
        <v>[oiPR2CiVJbf]|15-24|Male|Incidence_SUBNAT.Rt.T_1|CY2024Q3</v>
      </c>
    </row>
    <row r="4171" spans="4:18" x14ac:dyDescent="0.2">
      <c r="D4171" t="s">
        <v>117</v>
      </c>
      <c r="E4171" t="s">
        <v>118</v>
      </c>
      <c r="F4171" t="s">
        <v>119</v>
      </c>
      <c r="G4171" t="s">
        <v>153</v>
      </c>
      <c r="H4171" t="s">
        <v>153</v>
      </c>
      <c r="I4171" t="s">
        <v>41</v>
      </c>
      <c r="J4171" t="s">
        <v>42</v>
      </c>
      <c r="K4171" t="s">
        <v>48</v>
      </c>
      <c r="L4171" t="s">
        <v>49</v>
      </c>
      <c r="M4171" t="s">
        <v>140</v>
      </c>
      <c r="N4171">
        <v>2.2802539999999998E-3</v>
      </c>
      <c r="O4171">
        <v>6.5305753999999994E-2</v>
      </c>
      <c r="P4171">
        <v>5.9696304999999998E-2</v>
      </c>
      <c r="Q4171" t="str">
        <f t="shared" si="130"/>
        <v>25-34</v>
      </c>
      <c r="R4171" t="str">
        <f t="shared" si="131"/>
        <v>[oiPR2CiVJbf]|25-34|Male|Incidence_SUBNAT.Rt.T_1|CY2024Q3</v>
      </c>
    </row>
    <row r="4172" spans="4:18" x14ac:dyDescent="0.2">
      <c r="D4172" t="s">
        <v>117</v>
      </c>
      <c r="E4172" t="s">
        <v>118</v>
      </c>
      <c r="F4172" t="s">
        <v>119</v>
      </c>
      <c r="G4172" t="s">
        <v>153</v>
      </c>
      <c r="H4172" t="s">
        <v>153</v>
      </c>
      <c r="I4172" t="s">
        <v>43</v>
      </c>
      <c r="J4172" t="s">
        <v>44</v>
      </c>
      <c r="K4172" t="s">
        <v>48</v>
      </c>
      <c r="L4172" t="s">
        <v>49</v>
      </c>
      <c r="M4172" t="s">
        <v>140</v>
      </c>
      <c r="N4172">
        <v>2.662827E-3</v>
      </c>
      <c r="O4172">
        <v>6.5810069999999998E-2</v>
      </c>
      <c r="P4172">
        <v>5.9696304999999998E-2</v>
      </c>
      <c r="Q4172" t="str">
        <f t="shared" si="130"/>
        <v>35-49</v>
      </c>
      <c r="R4172" t="str">
        <f t="shared" si="131"/>
        <v>[oiPR2CiVJbf]|35-49|Male|Incidence_SUBNAT.Rt.T_1|CY2024Q3</v>
      </c>
    </row>
    <row r="4173" spans="4:18" x14ac:dyDescent="0.2">
      <c r="D4173" t="s">
        <v>117</v>
      </c>
      <c r="E4173" t="s">
        <v>118</v>
      </c>
      <c r="F4173" t="s">
        <v>119</v>
      </c>
      <c r="G4173" t="s">
        <v>153</v>
      </c>
      <c r="H4173" t="s">
        <v>153</v>
      </c>
      <c r="I4173" t="s">
        <v>45</v>
      </c>
      <c r="J4173" t="s">
        <v>46</v>
      </c>
      <c r="K4173" t="s">
        <v>48</v>
      </c>
      <c r="L4173" t="s">
        <v>49</v>
      </c>
      <c r="M4173" t="s">
        <v>140</v>
      </c>
      <c r="N4173">
        <v>1.3639710000000001E-3</v>
      </c>
      <c r="O4173">
        <v>6.3358595000000004E-2</v>
      </c>
      <c r="P4173">
        <v>5.9696304999999998E-2</v>
      </c>
      <c r="Q4173" t="str">
        <f t="shared" si="130"/>
        <v>50+</v>
      </c>
      <c r="R4173" t="str">
        <f t="shared" si="131"/>
        <v>[oiPR2CiVJbf]|50+|Male|Incidence_SUBNAT.Rt.T_1|CY2024Q3</v>
      </c>
    </row>
    <row r="4174" spans="4:18" x14ac:dyDescent="0.2">
      <c r="D4174" t="s">
        <v>120</v>
      </c>
      <c r="E4174" t="s">
        <v>121</v>
      </c>
      <c r="F4174" t="s">
        <v>122</v>
      </c>
      <c r="G4174" t="s">
        <v>153</v>
      </c>
      <c r="H4174" t="s">
        <v>153</v>
      </c>
      <c r="I4174" t="s">
        <v>28</v>
      </c>
      <c r="J4174" t="s">
        <v>29</v>
      </c>
      <c r="K4174" t="s">
        <v>30</v>
      </c>
      <c r="L4174" t="s">
        <v>31</v>
      </c>
      <c r="M4174" t="s">
        <v>140</v>
      </c>
      <c r="N4174">
        <v>3.479705E-3</v>
      </c>
      <c r="O4174">
        <v>3.1323820000000002E-2</v>
      </c>
      <c r="P4174">
        <v>4.6295717E-2</v>
      </c>
      <c r="Q4174" t="str">
        <f t="shared" si="130"/>
        <v>&lt;01</v>
      </c>
      <c r="R4174" t="str">
        <f t="shared" si="131"/>
        <v>[mxqa3CDFmIT]|&lt;01|Female|Incidence_SUBNAT.Rt.T_1|CY2024Q3</v>
      </c>
    </row>
    <row r="4175" spans="4:18" x14ac:dyDescent="0.2">
      <c r="D4175" t="s">
        <v>120</v>
      </c>
      <c r="E4175" t="s">
        <v>121</v>
      </c>
      <c r="F4175" t="s">
        <v>122</v>
      </c>
      <c r="G4175" t="s">
        <v>153</v>
      </c>
      <c r="H4175" t="s">
        <v>153</v>
      </c>
      <c r="I4175" t="s">
        <v>33</v>
      </c>
      <c r="J4175" t="s">
        <v>34</v>
      </c>
      <c r="K4175" t="s">
        <v>30</v>
      </c>
      <c r="L4175" t="s">
        <v>31</v>
      </c>
      <c r="M4175" t="s">
        <v>140</v>
      </c>
      <c r="N4175">
        <v>1.10463E-4</v>
      </c>
      <c r="O4175">
        <v>1.5661910000000001E-2</v>
      </c>
      <c r="P4175">
        <v>4.6295717E-2</v>
      </c>
      <c r="Q4175" t="str">
        <f t="shared" si="130"/>
        <v>01-09</v>
      </c>
      <c r="R4175" t="str">
        <f t="shared" si="131"/>
        <v>[mxqa3CDFmIT]|01-09|Female|Incidence_SUBNAT.Rt.T_1|CY2024Q3</v>
      </c>
    </row>
    <row r="4176" spans="4:18" x14ac:dyDescent="0.2">
      <c r="D4176" t="s">
        <v>120</v>
      </c>
      <c r="E4176" t="s">
        <v>121</v>
      </c>
      <c r="F4176" t="s">
        <v>122</v>
      </c>
      <c r="G4176" t="s">
        <v>153</v>
      </c>
      <c r="H4176" t="s">
        <v>153</v>
      </c>
      <c r="I4176" t="s">
        <v>36</v>
      </c>
      <c r="J4176" t="s">
        <v>37</v>
      </c>
      <c r="K4176" t="s">
        <v>30</v>
      </c>
      <c r="L4176" t="s">
        <v>31</v>
      </c>
      <c r="M4176" t="s">
        <v>140</v>
      </c>
      <c r="N4176">
        <v>0</v>
      </c>
      <c r="O4176">
        <v>0</v>
      </c>
      <c r="P4176">
        <v>4.6295717E-2</v>
      </c>
      <c r="Q4176" t="str">
        <f t="shared" si="130"/>
        <v>10-14</v>
      </c>
      <c r="R4176" t="str">
        <f t="shared" si="131"/>
        <v>[mxqa3CDFmIT]|10-14|Female|Incidence_SUBNAT.Rt.T_1|CY2024Q3</v>
      </c>
    </row>
    <row r="4177" spans="4:18" x14ac:dyDescent="0.2">
      <c r="D4177" t="s">
        <v>120</v>
      </c>
      <c r="E4177" t="s">
        <v>121</v>
      </c>
      <c r="F4177" t="s">
        <v>122</v>
      </c>
      <c r="G4177" t="s">
        <v>153</v>
      </c>
      <c r="H4177" t="s">
        <v>153</v>
      </c>
      <c r="I4177" t="s">
        <v>38</v>
      </c>
      <c r="J4177" t="s">
        <v>39</v>
      </c>
      <c r="K4177" t="s">
        <v>30</v>
      </c>
      <c r="L4177" t="s">
        <v>31</v>
      </c>
      <c r="M4177" t="s">
        <v>140</v>
      </c>
      <c r="N4177">
        <v>2.3095749999999999E-3</v>
      </c>
      <c r="O4177">
        <v>5.1215934999999997E-2</v>
      </c>
      <c r="P4177">
        <v>4.6295717E-2</v>
      </c>
      <c r="Q4177" t="str">
        <f t="shared" si="130"/>
        <v>15-24</v>
      </c>
      <c r="R4177" t="str">
        <f t="shared" si="131"/>
        <v>[mxqa3CDFmIT]|15-24|Female|Incidence_SUBNAT.Rt.T_1|CY2024Q3</v>
      </c>
    </row>
    <row r="4178" spans="4:18" x14ac:dyDescent="0.2">
      <c r="D4178" t="s">
        <v>120</v>
      </c>
      <c r="E4178" t="s">
        <v>121</v>
      </c>
      <c r="F4178" t="s">
        <v>122</v>
      </c>
      <c r="G4178" t="s">
        <v>153</v>
      </c>
      <c r="H4178" t="s">
        <v>153</v>
      </c>
      <c r="I4178" t="s">
        <v>41</v>
      </c>
      <c r="J4178" t="s">
        <v>42</v>
      </c>
      <c r="K4178" t="s">
        <v>30</v>
      </c>
      <c r="L4178" t="s">
        <v>31</v>
      </c>
      <c r="M4178" t="s">
        <v>140</v>
      </c>
      <c r="N4178">
        <v>3.4612639999999999E-3</v>
      </c>
      <c r="O4178">
        <v>5.1722707999999999E-2</v>
      </c>
      <c r="P4178">
        <v>4.6295717E-2</v>
      </c>
      <c r="Q4178" t="str">
        <f t="shared" si="130"/>
        <v>25-34</v>
      </c>
      <c r="R4178" t="str">
        <f t="shared" si="131"/>
        <v>[mxqa3CDFmIT]|25-34|Female|Incidence_SUBNAT.Rt.T_1|CY2024Q3</v>
      </c>
    </row>
    <row r="4179" spans="4:18" x14ac:dyDescent="0.2">
      <c r="D4179" t="s">
        <v>120</v>
      </c>
      <c r="E4179" t="s">
        <v>121</v>
      </c>
      <c r="F4179" t="s">
        <v>122</v>
      </c>
      <c r="G4179" t="s">
        <v>153</v>
      </c>
      <c r="H4179" t="s">
        <v>153</v>
      </c>
      <c r="I4179" t="s">
        <v>43</v>
      </c>
      <c r="J4179" t="s">
        <v>44</v>
      </c>
      <c r="K4179" t="s">
        <v>30</v>
      </c>
      <c r="L4179" t="s">
        <v>31</v>
      </c>
      <c r="M4179" t="s">
        <v>140</v>
      </c>
      <c r="N4179">
        <v>1.9210449999999999E-3</v>
      </c>
      <c r="O4179">
        <v>5.1139210999999997E-2</v>
      </c>
      <c r="P4179">
        <v>4.6295717E-2</v>
      </c>
      <c r="Q4179" t="str">
        <f t="shared" si="130"/>
        <v>35-49</v>
      </c>
      <c r="R4179" t="str">
        <f t="shared" si="131"/>
        <v>[mxqa3CDFmIT]|35-49|Female|Incidence_SUBNAT.Rt.T_1|CY2024Q3</v>
      </c>
    </row>
    <row r="4180" spans="4:18" x14ac:dyDescent="0.2">
      <c r="D4180" t="s">
        <v>120</v>
      </c>
      <c r="E4180" t="s">
        <v>121</v>
      </c>
      <c r="F4180" t="s">
        <v>122</v>
      </c>
      <c r="G4180" t="s">
        <v>153</v>
      </c>
      <c r="H4180" t="s">
        <v>153</v>
      </c>
      <c r="I4180" t="s">
        <v>45</v>
      </c>
      <c r="J4180" t="s">
        <v>46</v>
      </c>
      <c r="K4180" t="s">
        <v>30</v>
      </c>
      <c r="L4180" t="s">
        <v>31</v>
      </c>
      <c r="M4180" t="s">
        <v>140</v>
      </c>
      <c r="N4180">
        <v>5.2322899999999995E-4</v>
      </c>
      <c r="O4180">
        <v>5.0863997000000001E-2</v>
      </c>
      <c r="P4180">
        <v>4.6295717E-2</v>
      </c>
      <c r="Q4180" t="str">
        <f t="shared" si="130"/>
        <v>50+</v>
      </c>
      <c r="R4180" t="str">
        <f t="shared" si="131"/>
        <v>[mxqa3CDFmIT]|50+|Female|Incidence_SUBNAT.Rt.T_1|CY2024Q3</v>
      </c>
    </row>
    <row r="4181" spans="4:18" x14ac:dyDescent="0.2">
      <c r="D4181" t="s">
        <v>120</v>
      </c>
      <c r="E4181" t="s">
        <v>121</v>
      </c>
      <c r="F4181" t="s">
        <v>122</v>
      </c>
      <c r="G4181" t="s">
        <v>153</v>
      </c>
      <c r="H4181" t="s">
        <v>153</v>
      </c>
      <c r="I4181" t="s">
        <v>28</v>
      </c>
      <c r="J4181" t="s">
        <v>29</v>
      </c>
      <c r="K4181" t="s">
        <v>48</v>
      </c>
      <c r="L4181" t="s">
        <v>49</v>
      </c>
      <c r="M4181" t="s">
        <v>140</v>
      </c>
      <c r="N4181">
        <v>3.489621E-3</v>
      </c>
      <c r="O4181">
        <v>3.1325550000000001E-2</v>
      </c>
      <c r="P4181">
        <v>4.6295717E-2</v>
      </c>
      <c r="Q4181" t="str">
        <f t="shared" si="130"/>
        <v>&lt;01</v>
      </c>
      <c r="R4181" t="str">
        <f t="shared" si="131"/>
        <v>[mxqa3CDFmIT]|&lt;01|Male|Incidence_SUBNAT.Rt.T_1|CY2024Q3</v>
      </c>
    </row>
    <row r="4182" spans="4:18" x14ac:dyDescent="0.2">
      <c r="D4182" t="s">
        <v>120</v>
      </c>
      <c r="E4182" t="s">
        <v>121</v>
      </c>
      <c r="F4182" t="s">
        <v>122</v>
      </c>
      <c r="G4182" t="s">
        <v>153</v>
      </c>
      <c r="H4182" t="s">
        <v>153</v>
      </c>
      <c r="I4182" t="s">
        <v>33</v>
      </c>
      <c r="J4182" t="s">
        <v>34</v>
      </c>
      <c r="K4182" t="s">
        <v>48</v>
      </c>
      <c r="L4182" t="s">
        <v>49</v>
      </c>
      <c r="M4182" t="s">
        <v>140</v>
      </c>
      <c r="N4182">
        <v>1.10072E-4</v>
      </c>
      <c r="O4182">
        <v>1.5662775E-2</v>
      </c>
      <c r="P4182">
        <v>4.6295717E-2</v>
      </c>
      <c r="Q4182" t="str">
        <f t="shared" si="130"/>
        <v>01-09</v>
      </c>
      <c r="R4182" t="str">
        <f t="shared" si="131"/>
        <v>[mxqa3CDFmIT]|01-09|Male|Incidence_SUBNAT.Rt.T_1|CY2024Q3</v>
      </c>
    </row>
    <row r="4183" spans="4:18" x14ac:dyDescent="0.2">
      <c r="D4183" t="s">
        <v>120</v>
      </c>
      <c r="E4183" t="s">
        <v>121</v>
      </c>
      <c r="F4183" t="s">
        <v>122</v>
      </c>
      <c r="G4183" t="s">
        <v>153</v>
      </c>
      <c r="H4183" t="s">
        <v>153</v>
      </c>
      <c r="I4183" t="s">
        <v>36</v>
      </c>
      <c r="J4183" t="s">
        <v>37</v>
      </c>
      <c r="K4183" t="s">
        <v>48</v>
      </c>
      <c r="L4183" t="s">
        <v>49</v>
      </c>
      <c r="M4183" t="s">
        <v>140</v>
      </c>
      <c r="N4183">
        <v>0</v>
      </c>
      <c r="O4183">
        <v>0</v>
      </c>
      <c r="P4183">
        <v>4.6295717E-2</v>
      </c>
      <c r="Q4183" t="str">
        <f t="shared" si="130"/>
        <v>10-14</v>
      </c>
      <c r="R4183" t="str">
        <f t="shared" si="131"/>
        <v>[mxqa3CDFmIT]|10-14|Male|Incidence_SUBNAT.Rt.T_1|CY2024Q3</v>
      </c>
    </row>
    <row r="4184" spans="4:18" x14ac:dyDescent="0.2">
      <c r="D4184" t="s">
        <v>120</v>
      </c>
      <c r="E4184" t="s">
        <v>121</v>
      </c>
      <c r="F4184" t="s">
        <v>122</v>
      </c>
      <c r="G4184" t="s">
        <v>153</v>
      </c>
      <c r="H4184" t="s">
        <v>153</v>
      </c>
      <c r="I4184" t="s">
        <v>38</v>
      </c>
      <c r="J4184" t="s">
        <v>39</v>
      </c>
      <c r="K4184" t="s">
        <v>48</v>
      </c>
      <c r="L4184" t="s">
        <v>49</v>
      </c>
      <c r="M4184" t="s">
        <v>140</v>
      </c>
      <c r="N4184">
        <v>4.20732E-4</v>
      </c>
      <c r="O4184">
        <v>5.1493166999999999E-2</v>
      </c>
      <c r="P4184">
        <v>4.6295717E-2</v>
      </c>
      <c r="Q4184" t="str">
        <f t="shared" si="130"/>
        <v>15-24</v>
      </c>
      <c r="R4184" t="str">
        <f t="shared" si="131"/>
        <v>[mxqa3CDFmIT]|15-24|Male|Incidence_SUBNAT.Rt.T_1|CY2024Q3</v>
      </c>
    </row>
    <row r="4185" spans="4:18" x14ac:dyDescent="0.2">
      <c r="D4185" t="s">
        <v>120</v>
      </c>
      <c r="E4185" t="s">
        <v>121</v>
      </c>
      <c r="F4185" t="s">
        <v>122</v>
      </c>
      <c r="G4185" t="s">
        <v>153</v>
      </c>
      <c r="H4185" t="s">
        <v>153</v>
      </c>
      <c r="I4185" t="s">
        <v>41</v>
      </c>
      <c r="J4185" t="s">
        <v>42</v>
      </c>
      <c r="K4185" t="s">
        <v>48</v>
      </c>
      <c r="L4185" t="s">
        <v>49</v>
      </c>
      <c r="M4185" t="s">
        <v>140</v>
      </c>
      <c r="N4185">
        <v>2.0703330000000002E-3</v>
      </c>
      <c r="O4185">
        <v>5.1737261999999999E-2</v>
      </c>
      <c r="P4185">
        <v>4.6295717E-2</v>
      </c>
      <c r="Q4185" t="str">
        <f t="shared" si="130"/>
        <v>25-34</v>
      </c>
      <c r="R4185" t="str">
        <f t="shared" si="131"/>
        <v>[mxqa3CDFmIT]|25-34|Male|Incidence_SUBNAT.Rt.T_1|CY2024Q3</v>
      </c>
    </row>
    <row r="4186" spans="4:18" x14ac:dyDescent="0.2">
      <c r="D4186" t="s">
        <v>120</v>
      </c>
      <c r="E4186" t="s">
        <v>121</v>
      </c>
      <c r="F4186" t="s">
        <v>122</v>
      </c>
      <c r="G4186" t="s">
        <v>153</v>
      </c>
      <c r="H4186" t="s">
        <v>153</v>
      </c>
      <c r="I4186" t="s">
        <v>43</v>
      </c>
      <c r="J4186" t="s">
        <v>44</v>
      </c>
      <c r="K4186" t="s">
        <v>48</v>
      </c>
      <c r="L4186" t="s">
        <v>49</v>
      </c>
      <c r="M4186" t="s">
        <v>140</v>
      </c>
      <c r="N4186">
        <v>2.3833169999999998E-3</v>
      </c>
      <c r="O4186">
        <v>5.1323354000000002E-2</v>
      </c>
      <c r="P4186">
        <v>4.6295717E-2</v>
      </c>
      <c r="Q4186" t="str">
        <f t="shared" si="130"/>
        <v>35-49</v>
      </c>
      <c r="R4186" t="str">
        <f t="shared" si="131"/>
        <v>[mxqa3CDFmIT]|35-49|Male|Incidence_SUBNAT.Rt.T_1|CY2024Q3</v>
      </c>
    </row>
    <row r="4187" spans="4:18" x14ac:dyDescent="0.2">
      <c r="D4187" t="s">
        <v>120</v>
      </c>
      <c r="E4187" t="s">
        <v>121</v>
      </c>
      <c r="F4187" t="s">
        <v>122</v>
      </c>
      <c r="G4187" t="s">
        <v>153</v>
      </c>
      <c r="H4187" t="s">
        <v>153</v>
      </c>
      <c r="I4187" t="s">
        <v>45</v>
      </c>
      <c r="J4187" t="s">
        <v>46</v>
      </c>
      <c r="K4187" t="s">
        <v>48</v>
      </c>
      <c r="L4187" t="s">
        <v>49</v>
      </c>
      <c r="M4187" t="s">
        <v>140</v>
      </c>
      <c r="N4187">
        <v>1.2822319999999999E-3</v>
      </c>
      <c r="O4187">
        <v>5.0312003000000001E-2</v>
      </c>
      <c r="P4187">
        <v>4.6295717E-2</v>
      </c>
      <c r="Q4187" t="str">
        <f t="shared" si="130"/>
        <v>50+</v>
      </c>
      <c r="R4187" t="str">
        <f t="shared" si="131"/>
        <v>[mxqa3CDFmIT]|50+|Male|Incidence_SUBNAT.Rt.T_1|CY2024Q3</v>
      </c>
    </row>
    <row r="4188" spans="4:18" x14ac:dyDescent="0.2">
      <c r="D4188" t="s">
        <v>123</v>
      </c>
      <c r="E4188" t="s">
        <v>124</v>
      </c>
      <c r="F4188" t="s">
        <v>125</v>
      </c>
      <c r="G4188" t="s">
        <v>153</v>
      </c>
      <c r="H4188" t="s">
        <v>153</v>
      </c>
      <c r="I4188" t="s">
        <v>28</v>
      </c>
      <c r="J4188" t="s">
        <v>29</v>
      </c>
      <c r="K4188" t="s">
        <v>30</v>
      </c>
      <c r="L4188" t="s">
        <v>31</v>
      </c>
      <c r="M4188" t="s">
        <v>140</v>
      </c>
      <c r="N4188">
        <v>2.0368589999999998E-3</v>
      </c>
      <c r="O4188">
        <v>8.4917570999999997E-2</v>
      </c>
      <c r="P4188">
        <v>9.2290174000000003E-2</v>
      </c>
      <c r="Q4188" t="str">
        <f t="shared" si="130"/>
        <v>&lt;01</v>
      </c>
      <c r="R4188" t="str">
        <f t="shared" si="131"/>
        <v>[wNqJp8oRIcF]|&lt;01|Female|Incidence_SUBNAT.Rt.T_1|CY2024Q3</v>
      </c>
    </row>
    <row r="4189" spans="4:18" x14ac:dyDescent="0.2">
      <c r="D4189" t="s">
        <v>123</v>
      </c>
      <c r="E4189" t="s">
        <v>124</v>
      </c>
      <c r="F4189" t="s">
        <v>125</v>
      </c>
      <c r="G4189" t="s">
        <v>153</v>
      </c>
      <c r="H4189" t="s">
        <v>153</v>
      </c>
      <c r="I4189" t="s">
        <v>33</v>
      </c>
      <c r="J4189" t="s">
        <v>34</v>
      </c>
      <c r="K4189" t="s">
        <v>30</v>
      </c>
      <c r="L4189" t="s">
        <v>31</v>
      </c>
      <c r="M4189" t="s">
        <v>140</v>
      </c>
      <c r="N4189" s="235" t="s">
        <v>195</v>
      </c>
      <c r="O4189">
        <v>4.2458784999999999E-2</v>
      </c>
      <c r="P4189">
        <v>9.2290174000000003E-2</v>
      </c>
      <c r="Q4189" t="str">
        <f t="shared" si="130"/>
        <v>01-09</v>
      </c>
      <c r="R4189" t="str">
        <f t="shared" si="131"/>
        <v>[wNqJp8oRIcF]|01-09|Female|Incidence_SUBNAT.Rt.T_1|CY2024Q3</v>
      </c>
    </row>
    <row r="4190" spans="4:18" x14ac:dyDescent="0.2">
      <c r="D4190" t="s">
        <v>123</v>
      </c>
      <c r="E4190" t="s">
        <v>124</v>
      </c>
      <c r="F4190" t="s">
        <v>125</v>
      </c>
      <c r="G4190" t="s">
        <v>153</v>
      </c>
      <c r="H4190" t="s">
        <v>153</v>
      </c>
      <c r="I4190" t="s">
        <v>36</v>
      </c>
      <c r="J4190" t="s">
        <v>37</v>
      </c>
      <c r="K4190" t="s">
        <v>30</v>
      </c>
      <c r="L4190" t="s">
        <v>31</v>
      </c>
      <c r="M4190" t="s">
        <v>140</v>
      </c>
      <c r="N4190">
        <v>0</v>
      </c>
      <c r="O4190">
        <v>0</v>
      </c>
      <c r="P4190">
        <v>9.2290174000000003E-2</v>
      </c>
      <c r="Q4190" t="str">
        <f t="shared" si="130"/>
        <v>10-14</v>
      </c>
      <c r="R4190" t="str">
        <f t="shared" si="131"/>
        <v>[wNqJp8oRIcF]|10-14|Female|Incidence_SUBNAT.Rt.T_1|CY2024Q3</v>
      </c>
    </row>
    <row r="4191" spans="4:18" x14ac:dyDescent="0.2">
      <c r="D4191" t="s">
        <v>123</v>
      </c>
      <c r="E4191" t="s">
        <v>124</v>
      </c>
      <c r="F4191" t="s">
        <v>125</v>
      </c>
      <c r="G4191" t="s">
        <v>153</v>
      </c>
      <c r="H4191" t="s">
        <v>153</v>
      </c>
      <c r="I4191" t="s">
        <v>38</v>
      </c>
      <c r="J4191" t="s">
        <v>39</v>
      </c>
      <c r="K4191" t="s">
        <v>30</v>
      </c>
      <c r="L4191" t="s">
        <v>31</v>
      </c>
      <c r="M4191" t="s">
        <v>140</v>
      </c>
      <c r="N4191">
        <v>1.219929E-3</v>
      </c>
      <c r="O4191">
        <v>9.6871405999999993E-2</v>
      </c>
      <c r="P4191">
        <v>9.2290174000000003E-2</v>
      </c>
      <c r="Q4191" t="str">
        <f t="shared" si="130"/>
        <v>15-24</v>
      </c>
      <c r="R4191" t="str">
        <f t="shared" si="131"/>
        <v>[wNqJp8oRIcF]|15-24|Female|Incidence_SUBNAT.Rt.T_1|CY2024Q3</v>
      </c>
    </row>
    <row r="4192" spans="4:18" x14ac:dyDescent="0.2">
      <c r="D4192" t="s">
        <v>123</v>
      </c>
      <c r="E4192" t="s">
        <v>124</v>
      </c>
      <c r="F4192" t="s">
        <v>125</v>
      </c>
      <c r="G4192" t="s">
        <v>153</v>
      </c>
      <c r="H4192" t="s">
        <v>153</v>
      </c>
      <c r="I4192" t="s">
        <v>41</v>
      </c>
      <c r="J4192" t="s">
        <v>42</v>
      </c>
      <c r="K4192" t="s">
        <v>30</v>
      </c>
      <c r="L4192" t="s">
        <v>31</v>
      </c>
      <c r="M4192" t="s">
        <v>140</v>
      </c>
      <c r="N4192">
        <v>1.831891E-3</v>
      </c>
      <c r="O4192">
        <v>9.7371506999999996E-2</v>
      </c>
      <c r="P4192">
        <v>9.2290174000000003E-2</v>
      </c>
      <c r="Q4192" t="str">
        <f t="shared" si="130"/>
        <v>25-34</v>
      </c>
      <c r="R4192" t="str">
        <f t="shared" si="131"/>
        <v>[wNqJp8oRIcF]|25-34|Female|Incidence_SUBNAT.Rt.T_1|CY2024Q3</v>
      </c>
    </row>
    <row r="4193" spans="4:18" x14ac:dyDescent="0.2">
      <c r="D4193" t="s">
        <v>123</v>
      </c>
      <c r="E4193" t="s">
        <v>124</v>
      </c>
      <c r="F4193" t="s">
        <v>125</v>
      </c>
      <c r="G4193" t="s">
        <v>153</v>
      </c>
      <c r="H4193" t="s">
        <v>153</v>
      </c>
      <c r="I4193" t="s">
        <v>43</v>
      </c>
      <c r="J4193" t="s">
        <v>44</v>
      </c>
      <c r="K4193" t="s">
        <v>30</v>
      </c>
      <c r="L4193" t="s">
        <v>31</v>
      </c>
      <c r="M4193" t="s">
        <v>140</v>
      </c>
      <c r="N4193">
        <v>1.022542E-3</v>
      </c>
      <c r="O4193">
        <v>9.7798096000000001E-2</v>
      </c>
      <c r="P4193">
        <v>9.2290174000000003E-2</v>
      </c>
      <c r="Q4193" t="str">
        <f t="shared" si="130"/>
        <v>35-49</v>
      </c>
      <c r="R4193" t="str">
        <f t="shared" si="131"/>
        <v>[wNqJp8oRIcF]|35-49|Female|Incidence_SUBNAT.Rt.T_1|CY2024Q3</v>
      </c>
    </row>
    <row r="4194" spans="4:18" x14ac:dyDescent="0.2">
      <c r="D4194" t="s">
        <v>123</v>
      </c>
      <c r="E4194" t="s">
        <v>124</v>
      </c>
      <c r="F4194" t="s">
        <v>125</v>
      </c>
      <c r="G4194" t="s">
        <v>153</v>
      </c>
      <c r="H4194" t="s">
        <v>153</v>
      </c>
      <c r="I4194" t="s">
        <v>45</v>
      </c>
      <c r="J4194" t="s">
        <v>46</v>
      </c>
      <c r="K4194" t="s">
        <v>30</v>
      </c>
      <c r="L4194" t="s">
        <v>31</v>
      </c>
      <c r="M4194" t="s">
        <v>140</v>
      </c>
      <c r="N4194">
        <v>2.8688500000000002E-4</v>
      </c>
      <c r="O4194">
        <v>9.4319747999999995E-2</v>
      </c>
      <c r="P4194">
        <v>9.2290174000000003E-2</v>
      </c>
      <c r="Q4194" t="str">
        <f t="shared" si="130"/>
        <v>50+</v>
      </c>
      <c r="R4194" t="str">
        <f t="shared" si="131"/>
        <v>[wNqJp8oRIcF]|50+|Female|Incidence_SUBNAT.Rt.T_1|CY2024Q3</v>
      </c>
    </row>
    <row r="4195" spans="4:18" x14ac:dyDescent="0.2">
      <c r="D4195" t="s">
        <v>123</v>
      </c>
      <c r="E4195" t="s">
        <v>124</v>
      </c>
      <c r="F4195" t="s">
        <v>125</v>
      </c>
      <c r="G4195" t="s">
        <v>153</v>
      </c>
      <c r="H4195" t="s">
        <v>153</v>
      </c>
      <c r="I4195" t="s">
        <v>28</v>
      </c>
      <c r="J4195" t="s">
        <v>29</v>
      </c>
      <c r="K4195" t="s">
        <v>48</v>
      </c>
      <c r="L4195" t="s">
        <v>49</v>
      </c>
      <c r="M4195" t="s">
        <v>140</v>
      </c>
      <c r="N4195">
        <v>2.0434889999999999E-3</v>
      </c>
      <c r="O4195">
        <v>8.4917606000000007E-2</v>
      </c>
      <c r="P4195">
        <v>9.2290174000000003E-2</v>
      </c>
      <c r="Q4195" t="str">
        <f t="shared" si="130"/>
        <v>&lt;01</v>
      </c>
      <c r="R4195" t="str">
        <f t="shared" si="131"/>
        <v>[wNqJp8oRIcF]|&lt;01|Male|Incidence_SUBNAT.Rt.T_1|CY2024Q3</v>
      </c>
    </row>
    <row r="4196" spans="4:18" x14ac:dyDescent="0.2">
      <c r="D4196" t="s">
        <v>123</v>
      </c>
      <c r="E4196" t="s">
        <v>124</v>
      </c>
      <c r="F4196" t="s">
        <v>125</v>
      </c>
      <c r="G4196" t="s">
        <v>153</v>
      </c>
      <c r="H4196" t="s">
        <v>153</v>
      </c>
      <c r="I4196" t="s">
        <v>33</v>
      </c>
      <c r="J4196" t="s">
        <v>34</v>
      </c>
      <c r="K4196" t="s">
        <v>48</v>
      </c>
      <c r="L4196" t="s">
        <v>49</v>
      </c>
      <c r="M4196" t="s">
        <v>140</v>
      </c>
      <c r="N4196" s="235" t="s">
        <v>196</v>
      </c>
      <c r="O4196">
        <v>4.2458803000000003E-2</v>
      </c>
      <c r="P4196">
        <v>9.2290174000000003E-2</v>
      </c>
      <c r="Q4196" t="str">
        <f t="shared" si="130"/>
        <v>01-09</v>
      </c>
      <c r="R4196" t="str">
        <f t="shared" si="131"/>
        <v>[wNqJp8oRIcF]|01-09|Male|Incidence_SUBNAT.Rt.T_1|CY2024Q3</v>
      </c>
    </row>
    <row r="4197" spans="4:18" x14ac:dyDescent="0.2">
      <c r="D4197" t="s">
        <v>123</v>
      </c>
      <c r="E4197" t="s">
        <v>124</v>
      </c>
      <c r="F4197" t="s">
        <v>125</v>
      </c>
      <c r="G4197" t="s">
        <v>153</v>
      </c>
      <c r="H4197" t="s">
        <v>153</v>
      </c>
      <c r="I4197" t="s">
        <v>36</v>
      </c>
      <c r="J4197" t="s">
        <v>37</v>
      </c>
      <c r="K4197" t="s">
        <v>48</v>
      </c>
      <c r="L4197" t="s">
        <v>49</v>
      </c>
      <c r="M4197" t="s">
        <v>140</v>
      </c>
      <c r="N4197">
        <v>0</v>
      </c>
      <c r="O4197">
        <v>0</v>
      </c>
      <c r="P4197">
        <v>9.2290174000000003E-2</v>
      </c>
      <c r="Q4197" t="str">
        <f t="shared" si="130"/>
        <v>10-14</v>
      </c>
      <c r="R4197" t="str">
        <f t="shared" si="131"/>
        <v>[wNqJp8oRIcF]|10-14|Male|Incidence_SUBNAT.Rt.T_1|CY2024Q3</v>
      </c>
    </row>
    <row r="4198" spans="4:18" x14ac:dyDescent="0.2">
      <c r="D4198" t="s">
        <v>123</v>
      </c>
      <c r="E4198" t="s">
        <v>124</v>
      </c>
      <c r="F4198" t="s">
        <v>125</v>
      </c>
      <c r="G4198" t="s">
        <v>153</v>
      </c>
      <c r="H4198" t="s">
        <v>153</v>
      </c>
      <c r="I4198" t="s">
        <v>38</v>
      </c>
      <c r="J4198" t="s">
        <v>39</v>
      </c>
      <c r="K4198" t="s">
        <v>48</v>
      </c>
      <c r="L4198" t="s">
        <v>49</v>
      </c>
      <c r="M4198" t="s">
        <v>140</v>
      </c>
      <c r="N4198">
        <v>2.1457900000000001E-4</v>
      </c>
      <c r="O4198">
        <v>9.7130584000000006E-2</v>
      </c>
      <c r="P4198">
        <v>9.2290174000000003E-2</v>
      </c>
      <c r="Q4198" t="str">
        <f t="shared" si="130"/>
        <v>15-24</v>
      </c>
      <c r="R4198" t="str">
        <f t="shared" si="131"/>
        <v>[wNqJp8oRIcF]|15-24|Male|Incidence_SUBNAT.Rt.T_1|CY2024Q3</v>
      </c>
    </row>
    <row r="4199" spans="4:18" x14ac:dyDescent="0.2">
      <c r="D4199" t="s">
        <v>123</v>
      </c>
      <c r="E4199" t="s">
        <v>124</v>
      </c>
      <c r="F4199" t="s">
        <v>125</v>
      </c>
      <c r="G4199" t="s">
        <v>153</v>
      </c>
      <c r="H4199" t="s">
        <v>153</v>
      </c>
      <c r="I4199" t="s">
        <v>41</v>
      </c>
      <c r="J4199" t="s">
        <v>42</v>
      </c>
      <c r="K4199" t="s">
        <v>48</v>
      </c>
      <c r="L4199" t="s">
        <v>49</v>
      </c>
      <c r="M4199" t="s">
        <v>140</v>
      </c>
      <c r="N4199">
        <v>1.087722E-3</v>
      </c>
      <c r="O4199">
        <v>9.7044515999999997E-2</v>
      </c>
      <c r="P4199">
        <v>9.2290174000000003E-2</v>
      </c>
      <c r="Q4199" t="str">
        <f t="shared" si="130"/>
        <v>25-34</v>
      </c>
      <c r="R4199" t="str">
        <f t="shared" si="131"/>
        <v>[wNqJp8oRIcF]|25-34|Male|Incidence_SUBNAT.Rt.T_1|CY2024Q3</v>
      </c>
    </row>
    <row r="4200" spans="4:18" x14ac:dyDescent="0.2">
      <c r="D4200" t="s">
        <v>123</v>
      </c>
      <c r="E4200" t="s">
        <v>124</v>
      </c>
      <c r="F4200" t="s">
        <v>125</v>
      </c>
      <c r="G4200" t="s">
        <v>153</v>
      </c>
      <c r="H4200" t="s">
        <v>153</v>
      </c>
      <c r="I4200" t="s">
        <v>43</v>
      </c>
      <c r="J4200" t="s">
        <v>44</v>
      </c>
      <c r="K4200" t="s">
        <v>48</v>
      </c>
      <c r="L4200" t="s">
        <v>49</v>
      </c>
      <c r="M4200" t="s">
        <v>140</v>
      </c>
      <c r="N4200">
        <v>1.2702379999999999E-3</v>
      </c>
      <c r="O4200">
        <v>9.7434514999999999E-2</v>
      </c>
      <c r="P4200">
        <v>9.2290174000000003E-2</v>
      </c>
      <c r="Q4200" t="str">
        <f t="shared" si="130"/>
        <v>35-49</v>
      </c>
      <c r="R4200" t="str">
        <f t="shared" si="131"/>
        <v>[wNqJp8oRIcF]|35-49|Male|Incidence_SUBNAT.Rt.T_1|CY2024Q3</v>
      </c>
    </row>
    <row r="4201" spans="4:18" x14ac:dyDescent="0.2">
      <c r="D4201" t="s">
        <v>123</v>
      </c>
      <c r="E4201" t="s">
        <v>124</v>
      </c>
      <c r="F4201" t="s">
        <v>125</v>
      </c>
      <c r="G4201" t="s">
        <v>153</v>
      </c>
      <c r="H4201" t="s">
        <v>153</v>
      </c>
      <c r="I4201" t="s">
        <v>45</v>
      </c>
      <c r="J4201" t="s">
        <v>46</v>
      </c>
      <c r="K4201" t="s">
        <v>48</v>
      </c>
      <c r="L4201" t="s">
        <v>49</v>
      </c>
      <c r="M4201" t="s">
        <v>140</v>
      </c>
      <c r="N4201">
        <v>7.0091399999999996E-4</v>
      </c>
      <c r="O4201">
        <v>9.5668075000000005E-2</v>
      </c>
      <c r="P4201">
        <v>9.2290174000000003E-2</v>
      </c>
      <c r="Q4201" t="str">
        <f t="shared" si="130"/>
        <v>50+</v>
      </c>
      <c r="R4201" t="str">
        <f t="shared" si="131"/>
        <v>[wNqJp8oRIcF]|50+|Male|Incidence_SUBNAT.Rt.T_1|CY2024Q3</v>
      </c>
    </row>
    <row r="4202" spans="4:18" x14ac:dyDescent="0.2">
      <c r="D4202" t="s">
        <v>126</v>
      </c>
      <c r="E4202" t="s">
        <v>127</v>
      </c>
      <c r="F4202" t="s">
        <v>128</v>
      </c>
      <c r="G4202" t="s">
        <v>153</v>
      </c>
      <c r="H4202" t="s">
        <v>153</v>
      </c>
      <c r="I4202" t="s">
        <v>28</v>
      </c>
      <c r="J4202" t="s">
        <v>29</v>
      </c>
      <c r="K4202" t="s">
        <v>30</v>
      </c>
      <c r="L4202" t="s">
        <v>31</v>
      </c>
      <c r="M4202" t="s">
        <v>140</v>
      </c>
      <c r="N4202">
        <v>3.5536280000000001E-3</v>
      </c>
      <c r="O4202">
        <v>4.8609702999999997E-2</v>
      </c>
      <c r="P4202">
        <v>5.4297393999999999E-2</v>
      </c>
      <c r="Q4202" t="str">
        <f t="shared" si="130"/>
        <v>&lt;01</v>
      </c>
      <c r="R4202" t="str">
        <f t="shared" si="131"/>
        <v>[ul0y9diGujK]|&lt;01|Female|Incidence_SUBNAT.Rt.T_1|CY2024Q3</v>
      </c>
    </row>
    <row r="4203" spans="4:18" x14ac:dyDescent="0.2">
      <c r="D4203" t="s">
        <v>126</v>
      </c>
      <c r="E4203" t="s">
        <v>127</v>
      </c>
      <c r="F4203" t="s">
        <v>128</v>
      </c>
      <c r="G4203" t="s">
        <v>153</v>
      </c>
      <c r="H4203" t="s">
        <v>153</v>
      </c>
      <c r="I4203" t="s">
        <v>33</v>
      </c>
      <c r="J4203" t="s">
        <v>34</v>
      </c>
      <c r="K4203" t="s">
        <v>30</v>
      </c>
      <c r="L4203" t="s">
        <v>31</v>
      </c>
      <c r="M4203" t="s">
        <v>140</v>
      </c>
      <c r="N4203">
        <v>1.05531E-4</v>
      </c>
      <c r="O4203">
        <v>2.4304851999999998E-2</v>
      </c>
      <c r="P4203">
        <v>5.4297393999999999E-2</v>
      </c>
      <c r="Q4203" t="str">
        <f t="shared" si="130"/>
        <v>01-09</v>
      </c>
      <c r="R4203" t="str">
        <f t="shared" si="131"/>
        <v>[ul0y9diGujK]|01-09|Female|Incidence_SUBNAT.Rt.T_1|CY2024Q3</v>
      </c>
    </row>
    <row r="4204" spans="4:18" x14ac:dyDescent="0.2">
      <c r="D4204" t="s">
        <v>126</v>
      </c>
      <c r="E4204" t="s">
        <v>127</v>
      </c>
      <c r="F4204" t="s">
        <v>128</v>
      </c>
      <c r="G4204" t="s">
        <v>153</v>
      </c>
      <c r="H4204" t="s">
        <v>153</v>
      </c>
      <c r="I4204" t="s">
        <v>36</v>
      </c>
      <c r="J4204" t="s">
        <v>37</v>
      </c>
      <c r="K4204" t="s">
        <v>30</v>
      </c>
      <c r="L4204" t="s">
        <v>31</v>
      </c>
      <c r="M4204" t="s">
        <v>140</v>
      </c>
      <c r="N4204">
        <v>0</v>
      </c>
      <c r="O4204">
        <v>0</v>
      </c>
      <c r="P4204">
        <v>5.4297393999999999E-2</v>
      </c>
      <c r="Q4204" t="str">
        <f t="shared" si="130"/>
        <v>10-14</v>
      </c>
      <c r="R4204" t="str">
        <f t="shared" si="131"/>
        <v>[ul0y9diGujK]|10-14|Female|Incidence_SUBNAT.Rt.T_1|CY2024Q3</v>
      </c>
    </row>
    <row r="4205" spans="4:18" x14ac:dyDescent="0.2">
      <c r="D4205" t="s">
        <v>126</v>
      </c>
      <c r="E4205" t="s">
        <v>127</v>
      </c>
      <c r="F4205" t="s">
        <v>128</v>
      </c>
      <c r="G4205" t="s">
        <v>153</v>
      </c>
      <c r="H4205" t="s">
        <v>153</v>
      </c>
      <c r="I4205" t="s">
        <v>38</v>
      </c>
      <c r="J4205" t="s">
        <v>39</v>
      </c>
      <c r="K4205" t="s">
        <v>30</v>
      </c>
      <c r="L4205" t="s">
        <v>31</v>
      </c>
      <c r="M4205" t="s">
        <v>140</v>
      </c>
      <c r="N4205">
        <v>2.1016749999999999E-3</v>
      </c>
      <c r="O4205">
        <v>5.8690106999999998E-2</v>
      </c>
      <c r="P4205">
        <v>5.4297393999999999E-2</v>
      </c>
      <c r="Q4205" t="str">
        <f t="shared" si="130"/>
        <v>15-24</v>
      </c>
      <c r="R4205" t="str">
        <f t="shared" si="131"/>
        <v>[ul0y9diGujK]|15-24|Female|Incidence_SUBNAT.Rt.T_1|CY2024Q3</v>
      </c>
    </row>
    <row r="4206" spans="4:18" x14ac:dyDescent="0.2">
      <c r="D4206" t="s">
        <v>126</v>
      </c>
      <c r="E4206" t="s">
        <v>127</v>
      </c>
      <c r="F4206" t="s">
        <v>128</v>
      </c>
      <c r="G4206" t="s">
        <v>153</v>
      </c>
      <c r="H4206" t="s">
        <v>153</v>
      </c>
      <c r="I4206" t="s">
        <v>41</v>
      </c>
      <c r="J4206" t="s">
        <v>42</v>
      </c>
      <c r="K4206" t="s">
        <v>30</v>
      </c>
      <c r="L4206" t="s">
        <v>31</v>
      </c>
      <c r="M4206" t="s">
        <v>140</v>
      </c>
      <c r="N4206">
        <v>3.2942280000000002E-3</v>
      </c>
      <c r="O4206">
        <v>5.9398105E-2</v>
      </c>
      <c r="P4206">
        <v>5.4297393999999999E-2</v>
      </c>
      <c r="Q4206" t="str">
        <f t="shared" si="130"/>
        <v>25-34</v>
      </c>
      <c r="R4206" t="str">
        <f t="shared" si="131"/>
        <v>[ul0y9diGujK]|25-34|Female|Incidence_SUBNAT.Rt.T_1|CY2024Q3</v>
      </c>
    </row>
    <row r="4207" spans="4:18" x14ac:dyDescent="0.2">
      <c r="D4207" t="s">
        <v>126</v>
      </c>
      <c r="E4207" t="s">
        <v>127</v>
      </c>
      <c r="F4207" t="s">
        <v>128</v>
      </c>
      <c r="G4207" t="s">
        <v>153</v>
      </c>
      <c r="H4207" t="s">
        <v>153</v>
      </c>
      <c r="I4207" t="s">
        <v>43</v>
      </c>
      <c r="J4207" t="s">
        <v>44</v>
      </c>
      <c r="K4207" t="s">
        <v>30</v>
      </c>
      <c r="L4207" t="s">
        <v>31</v>
      </c>
      <c r="M4207" t="s">
        <v>140</v>
      </c>
      <c r="N4207">
        <v>1.8410760000000001E-3</v>
      </c>
      <c r="O4207">
        <v>5.9767074000000003E-2</v>
      </c>
      <c r="P4207">
        <v>5.4297393999999999E-2</v>
      </c>
      <c r="Q4207" t="str">
        <f t="shared" si="130"/>
        <v>35-49</v>
      </c>
      <c r="R4207" t="str">
        <f t="shared" si="131"/>
        <v>[ul0y9diGujK]|35-49|Female|Incidence_SUBNAT.Rt.T_1|CY2024Q3</v>
      </c>
    </row>
    <row r="4208" spans="4:18" x14ac:dyDescent="0.2">
      <c r="D4208" t="s">
        <v>126</v>
      </c>
      <c r="E4208" t="s">
        <v>127</v>
      </c>
      <c r="F4208" t="s">
        <v>128</v>
      </c>
      <c r="G4208" t="s">
        <v>153</v>
      </c>
      <c r="H4208" t="s">
        <v>153</v>
      </c>
      <c r="I4208" t="s">
        <v>45</v>
      </c>
      <c r="J4208" t="s">
        <v>46</v>
      </c>
      <c r="K4208" t="s">
        <v>30</v>
      </c>
      <c r="L4208" t="s">
        <v>31</v>
      </c>
      <c r="M4208" t="s">
        <v>140</v>
      </c>
      <c r="N4208">
        <v>4.8549200000000002E-4</v>
      </c>
      <c r="O4208">
        <v>5.6217871000000003E-2</v>
      </c>
      <c r="P4208">
        <v>5.4297393999999999E-2</v>
      </c>
      <c r="Q4208" t="str">
        <f t="shared" si="130"/>
        <v>50+</v>
      </c>
      <c r="R4208" t="str">
        <f t="shared" si="131"/>
        <v>[ul0y9diGujK]|50+|Female|Incidence_SUBNAT.Rt.T_1|CY2024Q3</v>
      </c>
    </row>
    <row r="4209" spans="4:18" x14ac:dyDescent="0.2">
      <c r="D4209" t="s">
        <v>126</v>
      </c>
      <c r="E4209" t="s">
        <v>127</v>
      </c>
      <c r="F4209" t="s">
        <v>128</v>
      </c>
      <c r="G4209" t="s">
        <v>153</v>
      </c>
      <c r="H4209" t="s">
        <v>153</v>
      </c>
      <c r="I4209" t="s">
        <v>28</v>
      </c>
      <c r="J4209" t="s">
        <v>29</v>
      </c>
      <c r="K4209" t="s">
        <v>48</v>
      </c>
      <c r="L4209" t="s">
        <v>49</v>
      </c>
      <c r="M4209" t="s">
        <v>140</v>
      </c>
      <c r="N4209">
        <v>3.5652029999999999E-3</v>
      </c>
      <c r="O4209">
        <v>4.8609738E-2</v>
      </c>
      <c r="P4209">
        <v>5.4297393999999999E-2</v>
      </c>
      <c r="Q4209" t="str">
        <f t="shared" si="130"/>
        <v>&lt;01</v>
      </c>
      <c r="R4209" t="str">
        <f t="shared" si="131"/>
        <v>[ul0y9diGujK]|&lt;01|Male|Incidence_SUBNAT.Rt.T_1|CY2024Q3</v>
      </c>
    </row>
    <row r="4210" spans="4:18" x14ac:dyDescent="0.2">
      <c r="D4210" t="s">
        <v>126</v>
      </c>
      <c r="E4210" t="s">
        <v>127</v>
      </c>
      <c r="F4210" t="s">
        <v>128</v>
      </c>
      <c r="G4210" t="s">
        <v>153</v>
      </c>
      <c r="H4210" t="s">
        <v>153</v>
      </c>
      <c r="I4210" t="s">
        <v>33</v>
      </c>
      <c r="J4210" t="s">
        <v>34</v>
      </c>
      <c r="K4210" t="s">
        <v>48</v>
      </c>
      <c r="L4210" t="s">
        <v>49</v>
      </c>
      <c r="M4210" t="s">
        <v>140</v>
      </c>
      <c r="N4210">
        <v>1.06028E-4</v>
      </c>
      <c r="O4210">
        <v>2.4304869E-2</v>
      </c>
      <c r="P4210">
        <v>5.4297393999999999E-2</v>
      </c>
      <c r="Q4210" t="str">
        <f t="shared" si="130"/>
        <v>01-09</v>
      </c>
      <c r="R4210" t="str">
        <f t="shared" si="131"/>
        <v>[ul0y9diGujK]|01-09|Male|Incidence_SUBNAT.Rt.T_1|CY2024Q3</v>
      </c>
    </row>
    <row r="4211" spans="4:18" x14ac:dyDescent="0.2">
      <c r="D4211" t="s">
        <v>126</v>
      </c>
      <c r="E4211" t="s">
        <v>127</v>
      </c>
      <c r="F4211" t="s">
        <v>128</v>
      </c>
      <c r="G4211" t="s">
        <v>153</v>
      </c>
      <c r="H4211" t="s">
        <v>153</v>
      </c>
      <c r="I4211" t="s">
        <v>36</v>
      </c>
      <c r="J4211" t="s">
        <v>37</v>
      </c>
      <c r="K4211" t="s">
        <v>48</v>
      </c>
      <c r="L4211" t="s">
        <v>49</v>
      </c>
      <c r="M4211" t="s">
        <v>140</v>
      </c>
      <c r="N4211">
        <v>0</v>
      </c>
      <c r="O4211">
        <v>0</v>
      </c>
      <c r="P4211">
        <v>5.4297393999999999E-2</v>
      </c>
      <c r="Q4211" t="str">
        <f t="shared" si="130"/>
        <v>10-14</v>
      </c>
      <c r="R4211" t="str">
        <f t="shared" si="131"/>
        <v>[ul0y9diGujK]|10-14|Male|Incidence_SUBNAT.Rt.T_1|CY2024Q3</v>
      </c>
    </row>
    <row r="4212" spans="4:18" x14ac:dyDescent="0.2">
      <c r="D4212" t="s">
        <v>126</v>
      </c>
      <c r="E4212" t="s">
        <v>127</v>
      </c>
      <c r="F4212" t="s">
        <v>128</v>
      </c>
      <c r="G4212" t="s">
        <v>153</v>
      </c>
      <c r="H4212" t="s">
        <v>153</v>
      </c>
      <c r="I4212" t="s">
        <v>38</v>
      </c>
      <c r="J4212" t="s">
        <v>39</v>
      </c>
      <c r="K4212" t="s">
        <v>48</v>
      </c>
      <c r="L4212" t="s">
        <v>49</v>
      </c>
      <c r="M4212" t="s">
        <v>140</v>
      </c>
      <c r="N4212">
        <v>3.55874E-4</v>
      </c>
      <c r="O4212">
        <v>5.8947797000000003E-2</v>
      </c>
      <c r="P4212">
        <v>5.4297393999999999E-2</v>
      </c>
      <c r="Q4212" t="str">
        <f t="shared" si="130"/>
        <v>15-24</v>
      </c>
      <c r="R4212" t="str">
        <f t="shared" si="131"/>
        <v>[ul0y9diGujK]|15-24|Male|Incidence_SUBNAT.Rt.T_1|CY2024Q3</v>
      </c>
    </row>
    <row r="4213" spans="4:18" x14ac:dyDescent="0.2">
      <c r="D4213" t="s">
        <v>126</v>
      </c>
      <c r="E4213" t="s">
        <v>127</v>
      </c>
      <c r="F4213" t="s">
        <v>128</v>
      </c>
      <c r="G4213" t="s">
        <v>153</v>
      </c>
      <c r="H4213" t="s">
        <v>153</v>
      </c>
      <c r="I4213" t="s">
        <v>41</v>
      </c>
      <c r="J4213" t="s">
        <v>42</v>
      </c>
      <c r="K4213" t="s">
        <v>48</v>
      </c>
      <c r="L4213" t="s">
        <v>49</v>
      </c>
      <c r="M4213" t="s">
        <v>140</v>
      </c>
      <c r="N4213">
        <v>1.9742869999999999E-3</v>
      </c>
      <c r="O4213">
        <v>5.9073200999999999E-2</v>
      </c>
      <c r="P4213">
        <v>5.4297393999999999E-2</v>
      </c>
      <c r="Q4213" t="str">
        <f t="shared" si="130"/>
        <v>25-34</v>
      </c>
      <c r="R4213" t="str">
        <f t="shared" si="131"/>
        <v>[ul0y9diGujK]|25-34|Male|Incidence_SUBNAT.Rt.T_1|CY2024Q3</v>
      </c>
    </row>
    <row r="4214" spans="4:18" x14ac:dyDescent="0.2">
      <c r="D4214" t="s">
        <v>126</v>
      </c>
      <c r="E4214" t="s">
        <v>127</v>
      </c>
      <c r="F4214" t="s">
        <v>128</v>
      </c>
      <c r="G4214" t="s">
        <v>153</v>
      </c>
      <c r="H4214" t="s">
        <v>153</v>
      </c>
      <c r="I4214" t="s">
        <v>43</v>
      </c>
      <c r="J4214" t="s">
        <v>44</v>
      </c>
      <c r="K4214" t="s">
        <v>48</v>
      </c>
      <c r="L4214" t="s">
        <v>49</v>
      </c>
      <c r="M4214" t="s">
        <v>140</v>
      </c>
      <c r="N4214">
        <v>2.287744E-3</v>
      </c>
      <c r="O4214">
        <v>5.9394176E-2</v>
      </c>
      <c r="P4214">
        <v>5.4297393999999999E-2</v>
      </c>
      <c r="Q4214" t="str">
        <f t="shared" si="130"/>
        <v>35-49</v>
      </c>
      <c r="R4214" t="str">
        <f t="shared" si="131"/>
        <v>[ul0y9diGujK]|35-49|Male|Incidence_SUBNAT.Rt.T_1|CY2024Q3</v>
      </c>
    </row>
    <row r="4215" spans="4:18" x14ac:dyDescent="0.2">
      <c r="D4215" t="s">
        <v>126</v>
      </c>
      <c r="E4215" t="s">
        <v>127</v>
      </c>
      <c r="F4215" t="s">
        <v>128</v>
      </c>
      <c r="G4215" t="s">
        <v>153</v>
      </c>
      <c r="H4215" t="s">
        <v>153</v>
      </c>
      <c r="I4215" t="s">
        <v>45</v>
      </c>
      <c r="J4215" t="s">
        <v>46</v>
      </c>
      <c r="K4215" t="s">
        <v>48</v>
      </c>
      <c r="L4215" t="s">
        <v>49</v>
      </c>
      <c r="M4215" t="s">
        <v>140</v>
      </c>
      <c r="N4215">
        <v>1.193358E-3</v>
      </c>
      <c r="O4215">
        <v>5.7585886000000003E-2</v>
      </c>
      <c r="P4215">
        <v>5.4297393999999999E-2</v>
      </c>
      <c r="Q4215" t="str">
        <f t="shared" si="130"/>
        <v>50+</v>
      </c>
      <c r="R4215" t="str">
        <f t="shared" si="131"/>
        <v>[ul0y9diGujK]|50+|Male|Incidence_SUBNAT.Rt.T_1|CY2024Q3</v>
      </c>
    </row>
    <row r="4216" spans="4:18" x14ac:dyDescent="0.2">
      <c r="D4216" t="s">
        <v>129</v>
      </c>
      <c r="E4216" t="s">
        <v>130</v>
      </c>
      <c r="F4216" t="s">
        <v>131</v>
      </c>
      <c r="G4216" t="s">
        <v>153</v>
      </c>
      <c r="H4216" t="s">
        <v>153</v>
      </c>
      <c r="I4216" t="s">
        <v>28</v>
      </c>
      <c r="J4216" t="s">
        <v>29</v>
      </c>
      <c r="K4216" t="s">
        <v>30</v>
      </c>
      <c r="L4216" t="s">
        <v>31</v>
      </c>
      <c r="M4216" t="s">
        <v>140</v>
      </c>
      <c r="N4216">
        <v>2.6951169999999999E-3</v>
      </c>
      <c r="O4216">
        <v>5.5722200999999999E-2</v>
      </c>
      <c r="P4216">
        <v>6.1290411000000003E-2</v>
      </c>
      <c r="Q4216" t="str">
        <f t="shared" si="130"/>
        <v>&lt;01</v>
      </c>
      <c r="R4216" t="str">
        <f t="shared" si="131"/>
        <v>[U8c0so51kT6]|&lt;01|Female|Incidence_SUBNAT.Rt.T_1|CY2024Q3</v>
      </c>
    </row>
    <row r="4217" spans="4:18" x14ac:dyDescent="0.2">
      <c r="D4217" t="s">
        <v>129</v>
      </c>
      <c r="E4217" t="s">
        <v>130</v>
      </c>
      <c r="F4217" t="s">
        <v>131</v>
      </c>
      <c r="G4217" t="s">
        <v>153</v>
      </c>
      <c r="H4217" t="s">
        <v>153</v>
      </c>
      <c r="I4217" t="s">
        <v>33</v>
      </c>
      <c r="J4217" t="s">
        <v>34</v>
      </c>
      <c r="K4217" t="s">
        <v>30</v>
      </c>
      <c r="L4217" t="s">
        <v>31</v>
      </c>
      <c r="M4217" t="s">
        <v>140</v>
      </c>
      <c r="N4217" s="235" t="s">
        <v>197</v>
      </c>
      <c r="O4217">
        <v>2.7861100999999999E-2</v>
      </c>
      <c r="P4217">
        <v>6.1290411000000003E-2</v>
      </c>
      <c r="Q4217" t="str">
        <f t="shared" si="130"/>
        <v>01-09</v>
      </c>
      <c r="R4217" t="str">
        <f t="shared" si="131"/>
        <v>[U8c0so51kT6]|01-09|Female|Incidence_SUBNAT.Rt.T_1|CY2024Q3</v>
      </c>
    </row>
    <row r="4218" spans="4:18" x14ac:dyDescent="0.2">
      <c r="D4218" t="s">
        <v>129</v>
      </c>
      <c r="E4218" t="s">
        <v>130</v>
      </c>
      <c r="F4218" t="s">
        <v>131</v>
      </c>
      <c r="G4218" t="s">
        <v>153</v>
      </c>
      <c r="H4218" t="s">
        <v>153</v>
      </c>
      <c r="I4218" t="s">
        <v>36</v>
      </c>
      <c r="J4218" t="s">
        <v>37</v>
      </c>
      <c r="K4218" t="s">
        <v>30</v>
      </c>
      <c r="L4218" t="s">
        <v>31</v>
      </c>
      <c r="M4218" t="s">
        <v>140</v>
      </c>
      <c r="N4218">
        <v>0</v>
      </c>
      <c r="O4218">
        <v>0</v>
      </c>
      <c r="P4218">
        <v>6.1290411000000003E-2</v>
      </c>
      <c r="Q4218" t="str">
        <f t="shared" si="130"/>
        <v>10-14</v>
      </c>
      <c r="R4218" t="str">
        <f t="shared" si="131"/>
        <v>[U8c0so51kT6]|10-14|Female|Incidence_SUBNAT.Rt.T_1|CY2024Q3</v>
      </c>
    </row>
    <row r="4219" spans="4:18" x14ac:dyDescent="0.2">
      <c r="D4219" t="s">
        <v>129</v>
      </c>
      <c r="E4219" t="s">
        <v>130</v>
      </c>
      <c r="F4219" t="s">
        <v>131</v>
      </c>
      <c r="G4219" t="s">
        <v>153</v>
      </c>
      <c r="H4219" t="s">
        <v>153</v>
      </c>
      <c r="I4219" t="s">
        <v>38</v>
      </c>
      <c r="J4219" t="s">
        <v>39</v>
      </c>
      <c r="K4219" t="s">
        <v>30</v>
      </c>
      <c r="L4219" t="s">
        <v>31</v>
      </c>
      <c r="M4219" t="s">
        <v>140</v>
      </c>
      <c r="N4219">
        <v>1.553958E-3</v>
      </c>
      <c r="O4219">
        <v>6.5278112999999999E-2</v>
      </c>
      <c r="P4219">
        <v>6.1290411000000003E-2</v>
      </c>
      <c r="Q4219" t="str">
        <f t="shared" si="130"/>
        <v>15-24</v>
      </c>
      <c r="R4219" t="str">
        <f t="shared" si="131"/>
        <v>[U8c0so51kT6]|15-24|Female|Incidence_SUBNAT.Rt.T_1|CY2024Q3</v>
      </c>
    </row>
    <row r="4220" spans="4:18" x14ac:dyDescent="0.2">
      <c r="D4220" t="s">
        <v>129</v>
      </c>
      <c r="E4220" t="s">
        <v>130</v>
      </c>
      <c r="F4220" t="s">
        <v>131</v>
      </c>
      <c r="G4220" t="s">
        <v>153</v>
      </c>
      <c r="H4220" t="s">
        <v>153</v>
      </c>
      <c r="I4220" t="s">
        <v>41</v>
      </c>
      <c r="J4220" t="s">
        <v>42</v>
      </c>
      <c r="K4220" t="s">
        <v>30</v>
      </c>
      <c r="L4220" t="s">
        <v>31</v>
      </c>
      <c r="M4220" t="s">
        <v>140</v>
      </c>
      <c r="N4220">
        <v>2.3849330000000001E-3</v>
      </c>
      <c r="O4220">
        <v>6.5776082E-2</v>
      </c>
      <c r="P4220">
        <v>6.1290411000000003E-2</v>
      </c>
      <c r="Q4220" t="str">
        <f t="shared" si="130"/>
        <v>25-34</v>
      </c>
      <c r="R4220" t="str">
        <f t="shared" si="131"/>
        <v>[U8c0so51kT6]|25-34|Female|Incidence_SUBNAT.Rt.T_1|CY2024Q3</v>
      </c>
    </row>
    <row r="4221" spans="4:18" x14ac:dyDescent="0.2">
      <c r="D4221" t="s">
        <v>129</v>
      </c>
      <c r="E4221" t="s">
        <v>130</v>
      </c>
      <c r="F4221" t="s">
        <v>131</v>
      </c>
      <c r="G4221" t="s">
        <v>153</v>
      </c>
      <c r="H4221" t="s">
        <v>153</v>
      </c>
      <c r="I4221" t="s">
        <v>43</v>
      </c>
      <c r="J4221" t="s">
        <v>44</v>
      </c>
      <c r="K4221" t="s">
        <v>30</v>
      </c>
      <c r="L4221" t="s">
        <v>31</v>
      </c>
      <c r="M4221" t="s">
        <v>140</v>
      </c>
      <c r="N4221">
        <v>1.327789E-3</v>
      </c>
      <c r="O4221">
        <v>6.6146356000000003E-2</v>
      </c>
      <c r="P4221">
        <v>6.1290411000000003E-2</v>
      </c>
      <c r="Q4221" t="str">
        <f t="shared" si="130"/>
        <v>35-49</v>
      </c>
      <c r="R4221" t="str">
        <f t="shared" si="131"/>
        <v>[U8c0so51kT6]|35-49|Female|Incidence_SUBNAT.Rt.T_1|CY2024Q3</v>
      </c>
    </row>
    <row r="4222" spans="4:18" x14ac:dyDescent="0.2">
      <c r="D4222" t="s">
        <v>129</v>
      </c>
      <c r="E4222" t="s">
        <v>130</v>
      </c>
      <c r="F4222" t="s">
        <v>131</v>
      </c>
      <c r="G4222" t="s">
        <v>153</v>
      </c>
      <c r="H4222" t="s">
        <v>153</v>
      </c>
      <c r="I4222" t="s">
        <v>45</v>
      </c>
      <c r="J4222" t="s">
        <v>46</v>
      </c>
      <c r="K4222" t="s">
        <v>30</v>
      </c>
      <c r="L4222" t="s">
        <v>31</v>
      </c>
      <c r="M4222" t="s">
        <v>140</v>
      </c>
      <c r="N4222">
        <v>3.5347800000000001E-4</v>
      </c>
      <c r="O4222">
        <v>6.2699726999999997E-2</v>
      </c>
      <c r="P4222">
        <v>6.1290411000000003E-2</v>
      </c>
      <c r="Q4222" t="str">
        <f t="shared" si="130"/>
        <v>50+</v>
      </c>
      <c r="R4222" t="str">
        <f t="shared" si="131"/>
        <v>[U8c0so51kT6]|50+|Female|Incidence_SUBNAT.Rt.T_1|CY2024Q3</v>
      </c>
    </row>
    <row r="4223" spans="4:18" x14ac:dyDescent="0.2">
      <c r="D4223" t="s">
        <v>129</v>
      </c>
      <c r="E4223" t="s">
        <v>130</v>
      </c>
      <c r="F4223" t="s">
        <v>131</v>
      </c>
      <c r="G4223" t="s">
        <v>153</v>
      </c>
      <c r="H4223" t="s">
        <v>153</v>
      </c>
      <c r="I4223" t="s">
        <v>28</v>
      </c>
      <c r="J4223" t="s">
        <v>29</v>
      </c>
      <c r="K4223" t="s">
        <v>48</v>
      </c>
      <c r="L4223" t="s">
        <v>49</v>
      </c>
      <c r="M4223" t="s">
        <v>140</v>
      </c>
      <c r="N4223">
        <v>2.7038499999999998E-3</v>
      </c>
      <c r="O4223">
        <v>5.5722230999999997E-2</v>
      </c>
      <c r="P4223">
        <v>6.1290411000000003E-2</v>
      </c>
      <c r="Q4223" t="str">
        <f t="shared" si="130"/>
        <v>&lt;01</v>
      </c>
      <c r="R4223" t="str">
        <f t="shared" si="131"/>
        <v>[U8c0so51kT6]|&lt;01|Male|Incidence_SUBNAT.Rt.T_1|CY2024Q3</v>
      </c>
    </row>
    <row r="4224" spans="4:18" x14ac:dyDescent="0.2">
      <c r="D4224" t="s">
        <v>129</v>
      </c>
      <c r="E4224" t="s">
        <v>130</v>
      </c>
      <c r="F4224" t="s">
        <v>131</v>
      </c>
      <c r="G4224" t="s">
        <v>153</v>
      </c>
      <c r="H4224" t="s">
        <v>153</v>
      </c>
      <c r="I4224" t="s">
        <v>33</v>
      </c>
      <c r="J4224" t="s">
        <v>34</v>
      </c>
      <c r="K4224" t="s">
        <v>48</v>
      </c>
      <c r="L4224" t="s">
        <v>49</v>
      </c>
      <c r="M4224" t="s">
        <v>140</v>
      </c>
      <c r="N4224" s="235" t="s">
        <v>198</v>
      </c>
      <c r="O4224">
        <v>2.7861115999999998E-2</v>
      </c>
      <c r="P4224">
        <v>6.1290411000000003E-2</v>
      </c>
      <c r="Q4224" t="str">
        <f t="shared" si="130"/>
        <v>01-09</v>
      </c>
      <c r="R4224" t="str">
        <f t="shared" si="131"/>
        <v>[U8c0so51kT6]|01-09|Male|Incidence_SUBNAT.Rt.T_1|CY2024Q3</v>
      </c>
    </row>
    <row r="4225" spans="4:18" x14ac:dyDescent="0.2">
      <c r="D4225" t="s">
        <v>129</v>
      </c>
      <c r="E4225" t="s">
        <v>130</v>
      </c>
      <c r="F4225" t="s">
        <v>131</v>
      </c>
      <c r="G4225" t="s">
        <v>153</v>
      </c>
      <c r="H4225" t="s">
        <v>153</v>
      </c>
      <c r="I4225" t="s">
        <v>36</v>
      </c>
      <c r="J4225" t="s">
        <v>37</v>
      </c>
      <c r="K4225" t="s">
        <v>48</v>
      </c>
      <c r="L4225" t="s">
        <v>49</v>
      </c>
      <c r="M4225" t="s">
        <v>140</v>
      </c>
      <c r="N4225">
        <v>0</v>
      </c>
      <c r="O4225">
        <v>0</v>
      </c>
      <c r="P4225">
        <v>6.1290411000000003E-2</v>
      </c>
      <c r="Q4225" t="str">
        <f t="shared" si="130"/>
        <v>10-14</v>
      </c>
      <c r="R4225" t="str">
        <f t="shared" si="131"/>
        <v>[U8c0so51kT6]|10-14|Male|Incidence_SUBNAT.Rt.T_1|CY2024Q3</v>
      </c>
    </row>
    <row r="4226" spans="4:18" x14ac:dyDescent="0.2">
      <c r="D4226" t="s">
        <v>129</v>
      </c>
      <c r="E4226" t="s">
        <v>130</v>
      </c>
      <c r="F4226" t="s">
        <v>131</v>
      </c>
      <c r="G4226" t="s">
        <v>153</v>
      </c>
      <c r="H4226" t="s">
        <v>153</v>
      </c>
      <c r="I4226" t="s">
        <v>38</v>
      </c>
      <c r="J4226" t="s">
        <v>39</v>
      </c>
      <c r="K4226" t="s">
        <v>48</v>
      </c>
      <c r="L4226" t="s">
        <v>49</v>
      </c>
      <c r="M4226" t="s">
        <v>140</v>
      </c>
      <c r="N4226">
        <v>2.6592299999999999E-4</v>
      </c>
      <c r="O4226">
        <v>6.5510783000000003E-2</v>
      </c>
      <c r="P4226">
        <v>6.1290411000000003E-2</v>
      </c>
      <c r="Q4226" t="str">
        <f t="shared" si="130"/>
        <v>15-24</v>
      </c>
      <c r="R4226" t="str">
        <f t="shared" si="131"/>
        <v>[U8c0so51kT6]|15-24|Male|Incidence_SUBNAT.Rt.T_1|CY2024Q3</v>
      </c>
    </row>
    <row r="4227" spans="4:18" x14ac:dyDescent="0.2">
      <c r="D4227" t="s">
        <v>129</v>
      </c>
      <c r="E4227" t="s">
        <v>130</v>
      </c>
      <c r="F4227" t="s">
        <v>131</v>
      </c>
      <c r="G4227" t="s">
        <v>153</v>
      </c>
      <c r="H4227" t="s">
        <v>153</v>
      </c>
      <c r="I4227" t="s">
        <v>41</v>
      </c>
      <c r="J4227" t="s">
        <v>42</v>
      </c>
      <c r="K4227" t="s">
        <v>48</v>
      </c>
      <c r="L4227" t="s">
        <v>49</v>
      </c>
      <c r="M4227" t="s">
        <v>140</v>
      </c>
      <c r="N4227">
        <v>1.415117E-3</v>
      </c>
      <c r="O4227">
        <v>6.5464513000000002E-2</v>
      </c>
      <c r="P4227">
        <v>6.1290411000000003E-2</v>
      </c>
      <c r="Q4227" t="str">
        <f t="shared" ref="Q4227:Q4290" si="132">SUBSTITUTE(SUBSTITUTE($I4227,CHAR(61),""),CHAR(34),"")</f>
        <v>25-34</v>
      </c>
      <c r="R4227" t="str">
        <f t="shared" ref="R4227:R4290" si="133">IF($D4227&lt;&gt;"","["&amp;$E4227&amp;"]"&amp;"|"&amp;$Q4227&amp;"|"&amp;$K4227&amp;"|"&amp;$G4227&amp;"|"&amp;IF($G4227="TX_CURR_SUBNAT.R","CY2023Q4",$M4227),"")</f>
        <v>[U8c0so51kT6]|25-34|Male|Incidence_SUBNAT.Rt.T_1|CY2024Q3</v>
      </c>
    </row>
    <row r="4228" spans="4:18" x14ac:dyDescent="0.2">
      <c r="D4228" t="s">
        <v>129</v>
      </c>
      <c r="E4228" t="s">
        <v>130</v>
      </c>
      <c r="F4228" t="s">
        <v>131</v>
      </c>
      <c r="G4228" t="s">
        <v>153</v>
      </c>
      <c r="H4228" t="s">
        <v>153</v>
      </c>
      <c r="I4228" t="s">
        <v>43</v>
      </c>
      <c r="J4228" t="s">
        <v>44</v>
      </c>
      <c r="K4228" t="s">
        <v>48</v>
      </c>
      <c r="L4228" t="s">
        <v>49</v>
      </c>
      <c r="M4228" t="s">
        <v>140</v>
      </c>
      <c r="N4228">
        <v>1.6467890000000001E-3</v>
      </c>
      <c r="O4228">
        <v>6.5734135999999999E-2</v>
      </c>
      <c r="P4228">
        <v>6.1290411000000003E-2</v>
      </c>
      <c r="Q4228" t="str">
        <f t="shared" si="132"/>
        <v>35-49</v>
      </c>
      <c r="R4228" t="str">
        <f t="shared" si="133"/>
        <v>[U8c0so51kT6]|35-49|Male|Incidence_SUBNAT.Rt.T_1|CY2024Q3</v>
      </c>
    </row>
    <row r="4229" spans="4:18" x14ac:dyDescent="0.2">
      <c r="D4229" t="s">
        <v>129</v>
      </c>
      <c r="E4229" t="s">
        <v>130</v>
      </c>
      <c r="F4229" t="s">
        <v>131</v>
      </c>
      <c r="G4229" t="s">
        <v>153</v>
      </c>
      <c r="H4229" t="s">
        <v>153</v>
      </c>
      <c r="I4229" t="s">
        <v>45</v>
      </c>
      <c r="J4229" t="s">
        <v>46</v>
      </c>
      <c r="K4229" t="s">
        <v>48</v>
      </c>
      <c r="L4229" t="s">
        <v>49</v>
      </c>
      <c r="M4229" t="s">
        <v>140</v>
      </c>
      <c r="N4229">
        <v>8.8761999999999999E-4</v>
      </c>
      <c r="O4229">
        <v>6.4355827000000004E-2</v>
      </c>
      <c r="P4229">
        <v>6.1290411000000003E-2</v>
      </c>
      <c r="Q4229" t="str">
        <f t="shared" si="132"/>
        <v>50+</v>
      </c>
      <c r="R4229" t="str">
        <f t="shared" si="133"/>
        <v>[U8c0so51kT6]|50+|Male|Incidence_SUBNAT.Rt.T_1|CY2024Q3</v>
      </c>
    </row>
    <row r="4230" spans="4:18" x14ac:dyDescent="0.2">
      <c r="D4230" t="s">
        <v>132</v>
      </c>
      <c r="E4230" t="s">
        <v>133</v>
      </c>
      <c r="F4230" t="s">
        <v>134</v>
      </c>
      <c r="G4230" t="s">
        <v>153</v>
      </c>
      <c r="H4230" t="s">
        <v>153</v>
      </c>
      <c r="I4230" t="s">
        <v>28</v>
      </c>
      <c r="J4230" t="s">
        <v>29</v>
      </c>
      <c r="K4230" t="s">
        <v>30</v>
      </c>
      <c r="L4230" t="s">
        <v>31</v>
      </c>
      <c r="M4230" t="s">
        <v>140</v>
      </c>
      <c r="N4230">
        <v>2.898575E-3</v>
      </c>
      <c r="O4230">
        <v>7.2323252000000005E-2</v>
      </c>
      <c r="P4230">
        <v>7.7011039000000003E-2</v>
      </c>
      <c r="Q4230" t="str">
        <f t="shared" si="132"/>
        <v>&lt;01</v>
      </c>
      <c r="R4230" t="str">
        <f t="shared" si="133"/>
        <v>[rpw540fmNUz]|&lt;01|Female|Incidence_SUBNAT.Rt.T_1|CY2024Q3</v>
      </c>
    </row>
    <row r="4231" spans="4:18" x14ac:dyDescent="0.2">
      <c r="D4231" t="s">
        <v>132</v>
      </c>
      <c r="E4231" t="s">
        <v>133</v>
      </c>
      <c r="F4231" t="s">
        <v>134</v>
      </c>
      <c r="G4231" t="s">
        <v>153</v>
      </c>
      <c r="H4231" t="s">
        <v>153</v>
      </c>
      <c r="I4231" t="s">
        <v>33</v>
      </c>
      <c r="J4231" t="s">
        <v>34</v>
      </c>
      <c r="K4231" t="s">
        <v>30</v>
      </c>
      <c r="L4231" t="s">
        <v>31</v>
      </c>
      <c r="M4231" t="s">
        <v>140</v>
      </c>
      <c r="N4231" s="235" t="s">
        <v>199</v>
      </c>
      <c r="O4231">
        <v>3.6161626000000002E-2</v>
      </c>
      <c r="P4231">
        <v>7.7011039000000003E-2</v>
      </c>
      <c r="Q4231" t="str">
        <f t="shared" si="132"/>
        <v>01-09</v>
      </c>
      <c r="R4231" t="str">
        <f t="shared" si="133"/>
        <v>[rpw540fmNUz]|01-09|Female|Incidence_SUBNAT.Rt.T_1|CY2024Q3</v>
      </c>
    </row>
    <row r="4232" spans="4:18" x14ac:dyDescent="0.2">
      <c r="D4232" t="s">
        <v>132</v>
      </c>
      <c r="E4232" t="s">
        <v>133</v>
      </c>
      <c r="F4232" t="s">
        <v>134</v>
      </c>
      <c r="G4232" t="s">
        <v>153</v>
      </c>
      <c r="H4232" t="s">
        <v>153</v>
      </c>
      <c r="I4232" t="s">
        <v>36</v>
      </c>
      <c r="J4232" t="s">
        <v>37</v>
      </c>
      <c r="K4232" t="s">
        <v>30</v>
      </c>
      <c r="L4232" t="s">
        <v>31</v>
      </c>
      <c r="M4232" t="s">
        <v>140</v>
      </c>
      <c r="N4232">
        <v>0</v>
      </c>
      <c r="O4232">
        <v>0</v>
      </c>
      <c r="P4232">
        <v>7.7011039000000003E-2</v>
      </c>
      <c r="Q4232" t="str">
        <f t="shared" si="132"/>
        <v>10-14</v>
      </c>
      <c r="R4232" t="str">
        <f t="shared" si="133"/>
        <v>[rpw540fmNUz]|10-14|Female|Incidence_SUBNAT.Rt.T_1|CY2024Q3</v>
      </c>
    </row>
    <row r="4233" spans="4:18" x14ac:dyDescent="0.2">
      <c r="D4233" t="s">
        <v>132</v>
      </c>
      <c r="E4233" t="s">
        <v>133</v>
      </c>
      <c r="F4233" t="s">
        <v>134</v>
      </c>
      <c r="G4233" t="s">
        <v>153</v>
      </c>
      <c r="H4233" t="s">
        <v>153</v>
      </c>
      <c r="I4233" t="s">
        <v>38</v>
      </c>
      <c r="J4233" t="s">
        <v>39</v>
      </c>
      <c r="K4233" t="s">
        <v>30</v>
      </c>
      <c r="L4233" t="s">
        <v>31</v>
      </c>
      <c r="M4233" t="s">
        <v>140</v>
      </c>
      <c r="N4233">
        <v>1.6338500000000001E-3</v>
      </c>
      <c r="O4233">
        <v>8.1504212000000006E-2</v>
      </c>
      <c r="P4233">
        <v>7.7011039000000003E-2</v>
      </c>
      <c r="Q4233" t="str">
        <f t="shared" si="132"/>
        <v>15-24</v>
      </c>
      <c r="R4233" t="str">
        <f t="shared" si="133"/>
        <v>[rpw540fmNUz]|15-24|Female|Incidence_SUBNAT.Rt.T_1|CY2024Q3</v>
      </c>
    </row>
    <row r="4234" spans="4:18" x14ac:dyDescent="0.2">
      <c r="D4234" t="s">
        <v>132</v>
      </c>
      <c r="E4234" t="s">
        <v>133</v>
      </c>
      <c r="F4234" t="s">
        <v>134</v>
      </c>
      <c r="G4234" t="s">
        <v>153</v>
      </c>
      <c r="H4234" t="s">
        <v>153</v>
      </c>
      <c r="I4234" t="s">
        <v>41</v>
      </c>
      <c r="J4234" t="s">
        <v>42</v>
      </c>
      <c r="K4234" t="s">
        <v>30</v>
      </c>
      <c r="L4234" t="s">
        <v>31</v>
      </c>
      <c r="M4234" t="s">
        <v>140</v>
      </c>
      <c r="N4234">
        <v>2.566151E-3</v>
      </c>
      <c r="O4234">
        <v>8.2355409000000004E-2</v>
      </c>
      <c r="P4234">
        <v>7.7011039000000003E-2</v>
      </c>
      <c r="Q4234" t="str">
        <f t="shared" si="132"/>
        <v>25-34</v>
      </c>
      <c r="R4234" t="str">
        <f t="shared" si="133"/>
        <v>[rpw540fmNUz]|25-34|Female|Incidence_SUBNAT.Rt.T_1|CY2024Q3</v>
      </c>
    </row>
    <row r="4235" spans="4:18" x14ac:dyDescent="0.2">
      <c r="D4235" t="s">
        <v>132</v>
      </c>
      <c r="E4235" t="s">
        <v>133</v>
      </c>
      <c r="F4235" t="s">
        <v>134</v>
      </c>
      <c r="G4235" t="s">
        <v>153</v>
      </c>
      <c r="H4235" t="s">
        <v>153</v>
      </c>
      <c r="I4235" t="s">
        <v>43</v>
      </c>
      <c r="J4235" t="s">
        <v>44</v>
      </c>
      <c r="K4235" t="s">
        <v>30</v>
      </c>
      <c r="L4235" t="s">
        <v>31</v>
      </c>
      <c r="M4235" t="s">
        <v>140</v>
      </c>
      <c r="N4235">
        <v>1.4094400000000001E-3</v>
      </c>
      <c r="O4235">
        <v>8.2712597999999998E-2</v>
      </c>
      <c r="P4235">
        <v>7.7011039000000003E-2</v>
      </c>
      <c r="Q4235" t="str">
        <f t="shared" si="132"/>
        <v>35-49</v>
      </c>
      <c r="R4235" t="str">
        <f t="shared" si="133"/>
        <v>[rpw540fmNUz]|35-49|Female|Incidence_SUBNAT.Rt.T_1|CY2024Q3</v>
      </c>
    </row>
    <row r="4236" spans="4:18" x14ac:dyDescent="0.2">
      <c r="D4236" t="s">
        <v>132</v>
      </c>
      <c r="E4236" t="s">
        <v>133</v>
      </c>
      <c r="F4236" t="s">
        <v>134</v>
      </c>
      <c r="G4236" t="s">
        <v>153</v>
      </c>
      <c r="H4236" t="s">
        <v>153</v>
      </c>
      <c r="I4236" t="s">
        <v>45</v>
      </c>
      <c r="J4236" t="s">
        <v>46</v>
      </c>
      <c r="K4236" t="s">
        <v>30</v>
      </c>
      <c r="L4236" t="s">
        <v>31</v>
      </c>
      <c r="M4236" t="s">
        <v>140</v>
      </c>
      <c r="N4236">
        <v>3.5842099999999999E-4</v>
      </c>
      <c r="O4236">
        <v>7.7059666999999998E-2</v>
      </c>
      <c r="P4236">
        <v>7.7011039000000003E-2</v>
      </c>
      <c r="Q4236" t="str">
        <f t="shared" si="132"/>
        <v>50+</v>
      </c>
      <c r="R4236" t="str">
        <f t="shared" si="133"/>
        <v>[rpw540fmNUz]|50+|Female|Incidence_SUBNAT.Rt.T_1|CY2024Q3</v>
      </c>
    </row>
    <row r="4237" spans="4:18" x14ac:dyDescent="0.2">
      <c r="D4237" t="s">
        <v>132</v>
      </c>
      <c r="E4237" t="s">
        <v>133</v>
      </c>
      <c r="F4237" t="s">
        <v>134</v>
      </c>
      <c r="G4237" t="s">
        <v>153</v>
      </c>
      <c r="H4237" t="s">
        <v>153</v>
      </c>
      <c r="I4237" t="s">
        <v>28</v>
      </c>
      <c r="J4237" t="s">
        <v>29</v>
      </c>
      <c r="K4237" t="s">
        <v>48</v>
      </c>
      <c r="L4237" t="s">
        <v>49</v>
      </c>
      <c r="M4237" t="s">
        <v>140</v>
      </c>
      <c r="N4237">
        <v>2.907925E-3</v>
      </c>
      <c r="O4237">
        <v>7.2323293999999996E-2</v>
      </c>
      <c r="P4237">
        <v>7.7011039000000003E-2</v>
      </c>
      <c r="Q4237" t="str">
        <f t="shared" si="132"/>
        <v>&lt;01</v>
      </c>
      <c r="R4237" t="str">
        <f t="shared" si="133"/>
        <v>[rpw540fmNUz]|&lt;01|Male|Incidence_SUBNAT.Rt.T_1|CY2024Q3</v>
      </c>
    </row>
    <row r="4238" spans="4:18" x14ac:dyDescent="0.2">
      <c r="D4238" t="s">
        <v>132</v>
      </c>
      <c r="E4238" t="s">
        <v>133</v>
      </c>
      <c r="F4238" t="s">
        <v>134</v>
      </c>
      <c r="G4238" t="s">
        <v>153</v>
      </c>
      <c r="H4238" t="s">
        <v>153</v>
      </c>
      <c r="I4238" t="s">
        <v>33</v>
      </c>
      <c r="J4238" t="s">
        <v>34</v>
      </c>
      <c r="K4238" t="s">
        <v>48</v>
      </c>
      <c r="L4238" t="s">
        <v>49</v>
      </c>
      <c r="M4238" t="s">
        <v>140</v>
      </c>
      <c r="N4238" s="235" t="s">
        <v>200</v>
      </c>
      <c r="O4238">
        <v>3.6161646999999998E-2</v>
      </c>
      <c r="P4238">
        <v>7.7011039000000003E-2</v>
      </c>
      <c r="Q4238" t="str">
        <f t="shared" si="132"/>
        <v>01-09</v>
      </c>
      <c r="R4238" t="str">
        <f t="shared" si="133"/>
        <v>[rpw540fmNUz]|01-09|Male|Incidence_SUBNAT.Rt.T_1|CY2024Q3</v>
      </c>
    </row>
    <row r="4239" spans="4:18" x14ac:dyDescent="0.2">
      <c r="D4239" t="s">
        <v>132</v>
      </c>
      <c r="E4239" t="s">
        <v>133</v>
      </c>
      <c r="F4239" t="s">
        <v>134</v>
      </c>
      <c r="G4239" t="s">
        <v>153</v>
      </c>
      <c r="H4239" t="s">
        <v>153</v>
      </c>
      <c r="I4239" t="s">
        <v>36</v>
      </c>
      <c r="J4239" t="s">
        <v>37</v>
      </c>
      <c r="K4239" t="s">
        <v>48</v>
      </c>
      <c r="L4239" t="s">
        <v>49</v>
      </c>
      <c r="M4239" t="s">
        <v>140</v>
      </c>
      <c r="N4239">
        <v>0</v>
      </c>
      <c r="O4239">
        <v>0</v>
      </c>
      <c r="P4239">
        <v>7.7011039000000003E-2</v>
      </c>
      <c r="Q4239" t="str">
        <f t="shared" si="132"/>
        <v>10-14</v>
      </c>
      <c r="R4239" t="str">
        <f t="shared" si="133"/>
        <v>[rpw540fmNUz]|10-14|Male|Incidence_SUBNAT.Rt.T_1|CY2024Q3</v>
      </c>
    </row>
    <row r="4240" spans="4:18" x14ac:dyDescent="0.2">
      <c r="D4240" t="s">
        <v>132</v>
      </c>
      <c r="E4240" t="s">
        <v>133</v>
      </c>
      <c r="F4240" t="s">
        <v>134</v>
      </c>
      <c r="G4240" t="s">
        <v>153</v>
      </c>
      <c r="H4240" t="s">
        <v>153</v>
      </c>
      <c r="I4240" t="s">
        <v>38</v>
      </c>
      <c r="J4240" t="s">
        <v>39</v>
      </c>
      <c r="K4240" t="s">
        <v>48</v>
      </c>
      <c r="L4240" t="s">
        <v>49</v>
      </c>
      <c r="M4240" t="s">
        <v>140</v>
      </c>
      <c r="N4240">
        <v>2.7451899999999998E-4</v>
      </c>
      <c r="O4240">
        <v>8.1852846000000007E-2</v>
      </c>
      <c r="P4240">
        <v>7.7011039000000003E-2</v>
      </c>
      <c r="Q4240" t="str">
        <f t="shared" si="132"/>
        <v>15-24</v>
      </c>
      <c r="R4240" t="str">
        <f t="shared" si="133"/>
        <v>[rpw540fmNUz]|15-24|Male|Incidence_SUBNAT.Rt.T_1|CY2024Q3</v>
      </c>
    </row>
    <row r="4241" spans="4:18" x14ac:dyDescent="0.2">
      <c r="D4241" t="s">
        <v>132</v>
      </c>
      <c r="E4241" t="s">
        <v>133</v>
      </c>
      <c r="F4241" t="s">
        <v>134</v>
      </c>
      <c r="G4241" t="s">
        <v>153</v>
      </c>
      <c r="H4241" t="s">
        <v>153</v>
      </c>
      <c r="I4241" t="s">
        <v>41</v>
      </c>
      <c r="J4241" t="s">
        <v>42</v>
      </c>
      <c r="K4241" t="s">
        <v>48</v>
      </c>
      <c r="L4241" t="s">
        <v>49</v>
      </c>
      <c r="M4241" t="s">
        <v>140</v>
      </c>
      <c r="N4241">
        <v>1.5087569999999999E-3</v>
      </c>
      <c r="O4241">
        <v>8.1826353000000004E-2</v>
      </c>
      <c r="P4241">
        <v>7.7011039000000003E-2</v>
      </c>
      <c r="Q4241" t="str">
        <f t="shared" si="132"/>
        <v>25-34</v>
      </c>
      <c r="R4241" t="str">
        <f t="shared" si="133"/>
        <v>[rpw540fmNUz]|25-34|Male|Incidence_SUBNAT.Rt.T_1|CY2024Q3</v>
      </c>
    </row>
    <row r="4242" spans="4:18" x14ac:dyDescent="0.2">
      <c r="D4242" t="s">
        <v>132</v>
      </c>
      <c r="E4242" t="s">
        <v>133</v>
      </c>
      <c r="F4242" t="s">
        <v>134</v>
      </c>
      <c r="G4242" t="s">
        <v>153</v>
      </c>
      <c r="H4242" t="s">
        <v>153</v>
      </c>
      <c r="I4242" t="s">
        <v>43</v>
      </c>
      <c r="J4242" t="s">
        <v>44</v>
      </c>
      <c r="K4242" t="s">
        <v>48</v>
      </c>
      <c r="L4242" t="s">
        <v>49</v>
      </c>
      <c r="M4242" t="s">
        <v>140</v>
      </c>
      <c r="N4242">
        <v>1.7612120000000001E-3</v>
      </c>
      <c r="O4242">
        <v>8.2274093000000006E-2</v>
      </c>
      <c r="P4242">
        <v>7.7011039000000003E-2</v>
      </c>
      <c r="Q4242" t="str">
        <f t="shared" si="132"/>
        <v>35-49</v>
      </c>
      <c r="R4242" t="str">
        <f t="shared" si="133"/>
        <v>[rpw540fmNUz]|35-49|Male|Incidence_SUBNAT.Rt.T_1|CY2024Q3</v>
      </c>
    </row>
    <row r="4243" spans="4:18" x14ac:dyDescent="0.2">
      <c r="D4243" t="s">
        <v>132</v>
      </c>
      <c r="E4243" t="s">
        <v>133</v>
      </c>
      <c r="F4243" t="s">
        <v>134</v>
      </c>
      <c r="G4243" t="s">
        <v>153</v>
      </c>
      <c r="H4243" t="s">
        <v>153</v>
      </c>
      <c r="I4243" t="s">
        <v>45</v>
      </c>
      <c r="J4243" t="s">
        <v>46</v>
      </c>
      <c r="K4243" t="s">
        <v>48</v>
      </c>
      <c r="L4243" t="s">
        <v>49</v>
      </c>
      <c r="M4243" t="s">
        <v>140</v>
      </c>
      <c r="N4243">
        <v>9.0758799999999997E-4</v>
      </c>
      <c r="O4243">
        <v>7.9479593000000001E-2</v>
      </c>
      <c r="P4243">
        <v>7.7011039000000003E-2</v>
      </c>
      <c r="Q4243" t="str">
        <f t="shared" si="132"/>
        <v>50+</v>
      </c>
      <c r="R4243" t="str">
        <f t="shared" si="133"/>
        <v>[rpw540fmNUz]|50+|Male|Incidence_SUBNAT.Rt.T_1|CY2024Q3</v>
      </c>
    </row>
    <row r="4244" spans="4:18" x14ac:dyDescent="0.2">
      <c r="D4244" t="s">
        <v>135</v>
      </c>
      <c r="E4244" t="s">
        <v>136</v>
      </c>
      <c r="F4244" t="s">
        <v>137</v>
      </c>
      <c r="G4244" t="s">
        <v>153</v>
      </c>
      <c r="H4244" t="s">
        <v>153</v>
      </c>
      <c r="I4244" t="s">
        <v>28</v>
      </c>
      <c r="J4244" t="s">
        <v>29</v>
      </c>
      <c r="K4244" t="s">
        <v>30</v>
      </c>
      <c r="L4244" t="s">
        <v>31</v>
      </c>
      <c r="M4244" t="s">
        <v>140</v>
      </c>
      <c r="N4244">
        <v>2.1384519999999999E-3</v>
      </c>
      <c r="O4244">
        <v>9.8568051000000004E-2</v>
      </c>
      <c r="P4244">
        <v>9.9213090000000004E-2</v>
      </c>
      <c r="Q4244" t="str">
        <f t="shared" si="132"/>
        <v>&lt;01</v>
      </c>
      <c r="R4244" t="str">
        <f t="shared" si="133"/>
        <v>[gwVYinjBAe9]|&lt;01|Female|Incidence_SUBNAT.Rt.T_1|CY2024Q3</v>
      </c>
    </row>
    <row r="4245" spans="4:18" x14ac:dyDescent="0.2">
      <c r="D4245" t="s">
        <v>135</v>
      </c>
      <c r="E4245" t="s">
        <v>136</v>
      </c>
      <c r="F4245" t="s">
        <v>137</v>
      </c>
      <c r="G4245" t="s">
        <v>153</v>
      </c>
      <c r="H4245" t="s">
        <v>153</v>
      </c>
      <c r="I4245" t="s">
        <v>33</v>
      </c>
      <c r="J4245" t="s">
        <v>34</v>
      </c>
      <c r="K4245" t="s">
        <v>30</v>
      </c>
      <c r="L4245" t="s">
        <v>31</v>
      </c>
      <c r="M4245" t="s">
        <v>140</v>
      </c>
      <c r="N4245" s="235" t="s">
        <v>201</v>
      </c>
      <c r="O4245">
        <v>4.9284026000000002E-2</v>
      </c>
      <c r="P4245">
        <v>9.9213090000000004E-2</v>
      </c>
      <c r="Q4245" t="str">
        <f t="shared" si="132"/>
        <v>01-09</v>
      </c>
      <c r="R4245" t="str">
        <f t="shared" si="133"/>
        <v>[gwVYinjBAe9]|01-09|Female|Incidence_SUBNAT.Rt.T_1|CY2024Q3</v>
      </c>
    </row>
    <row r="4246" spans="4:18" x14ac:dyDescent="0.2">
      <c r="D4246" t="s">
        <v>135</v>
      </c>
      <c r="E4246" t="s">
        <v>136</v>
      </c>
      <c r="F4246" t="s">
        <v>137</v>
      </c>
      <c r="G4246" t="s">
        <v>153</v>
      </c>
      <c r="H4246" t="s">
        <v>153</v>
      </c>
      <c r="I4246" t="s">
        <v>36</v>
      </c>
      <c r="J4246" t="s">
        <v>37</v>
      </c>
      <c r="K4246" t="s">
        <v>30</v>
      </c>
      <c r="L4246" t="s">
        <v>31</v>
      </c>
      <c r="M4246" t="s">
        <v>140</v>
      </c>
      <c r="N4246">
        <v>0</v>
      </c>
      <c r="O4246">
        <v>0</v>
      </c>
      <c r="P4246">
        <v>9.9213090000000004E-2</v>
      </c>
      <c r="Q4246" t="str">
        <f t="shared" si="132"/>
        <v>10-14</v>
      </c>
      <c r="R4246" t="str">
        <f t="shared" si="133"/>
        <v>[gwVYinjBAe9]|10-14|Female|Incidence_SUBNAT.Rt.T_1|CY2024Q3</v>
      </c>
    </row>
    <row r="4247" spans="4:18" x14ac:dyDescent="0.2">
      <c r="D4247" t="s">
        <v>135</v>
      </c>
      <c r="E4247" t="s">
        <v>136</v>
      </c>
      <c r="F4247" t="s">
        <v>137</v>
      </c>
      <c r="G4247" t="s">
        <v>153</v>
      </c>
      <c r="H4247" t="s">
        <v>153</v>
      </c>
      <c r="I4247" t="s">
        <v>38</v>
      </c>
      <c r="J4247" t="s">
        <v>39</v>
      </c>
      <c r="K4247" t="s">
        <v>30</v>
      </c>
      <c r="L4247" t="s">
        <v>31</v>
      </c>
      <c r="M4247" t="s">
        <v>140</v>
      </c>
      <c r="N4247">
        <v>1.2691639999999999E-3</v>
      </c>
      <c r="O4247">
        <v>0.102258706</v>
      </c>
      <c r="P4247">
        <v>9.9213090000000004E-2</v>
      </c>
      <c r="Q4247" t="str">
        <f t="shared" si="132"/>
        <v>15-24</v>
      </c>
      <c r="R4247" t="str">
        <f t="shared" si="133"/>
        <v>[gwVYinjBAe9]|15-24|Female|Incidence_SUBNAT.Rt.T_1|CY2024Q3</v>
      </c>
    </row>
    <row r="4248" spans="4:18" x14ac:dyDescent="0.2">
      <c r="D4248" t="s">
        <v>135</v>
      </c>
      <c r="E4248" t="s">
        <v>136</v>
      </c>
      <c r="F4248" t="s">
        <v>137</v>
      </c>
      <c r="G4248" t="s">
        <v>153</v>
      </c>
      <c r="H4248" t="s">
        <v>153</v>
      </c>
      <c r="I4248" t="s">
        <v>41</v>
      </c>
      <c r="J4248" t="s">
        <v>42</v>
      </c>
      <c r="K4248" t="s">
        <v>30</v>
      </c>
      <c r="L4248" t="s">
        <v>31</v>
      </c>
      <c r="M4248" t="s">
        <v>140</v>
      </c>
      <c r="N4248">
        <v>1.910569E-3</v>
      </c>
      <c r="O4248">
        <v>0.102844189</v>
      </c>
      <c r="P4248">
        <v>9.9213090000000004E-2</v>
      </c>
      <c r="Q4248" t="str">
        <f t="shared" si="132"/>
        <v>25-34</v>
      </c>
      <c r="R4248" t="str">
        <f t="shared" si="133"/>
        <v>[gwVYinjBAe9]|25-34|Female|Incidence_SUBNAT.Rt.T_1|CY2024Q3</v>
      </c>
    </row>
    <row r="4249" spans="4:18" x14ac:dyDescent="0.2">
      <c r="D4249" t="s">
        <v>135</v>
      </c>
      <c r="E4249" t="s">
        <v>136</v>
      </c>
      <c r="F4249" t="s">
        <v>137</v>
      </c>
      <c r="G4249" t="s">
        <v>153</v>
      </c>
      <c r="H4249" t="s">
        <v>153</v>
      </c>
      <c r="I4249" t="s">
        <v>43</v>
      </c>
      <c r="J4249" t="s">
        <v>44</v>
      </c>
      <c r="K4249" t="s">
        <v>30</v>
      </c>
      <c r="L4249" t="s">
        <v>31</v>
      </c>
      <c r="M4249" t="s">
        <v>140</v>
      </c>
      <c r="N4249">
        <v>1.063743E-3</v>
      </c>
      <c r="O4249">
        <v>0.103397697</v>
      </c>
      <c r="P4249">
        <v>9.9213090000000004E-2</v>
      </c>
      <c r="Q4249" t="str">
        <f t="shared" si="132"/>
        <v>35-49</v>
      </c>
      <c r="R4249" t="str">
        <f t="shared" si="133"/>
        <v>[gwVYinjBAe9]|35-49|Female|Incidence_SUBNAT.Rt.T_1|CY2024Q3</v>
      </c>
    </row>
    <row r="4250" spans="4:18" x14ac:dyDescent="0.2">
      <c r="D4250" t="s">
        <v>135</v>
      </c>
      <c r="E4250" t="s">
        <v>136</v>
      </c>
      <c r="F4250" t="s">
        <v>137</v>
      </c>
      <c r="G4250" t="s">
        <v>153</v>
      </c>
      <c r="H4250" t="s">
        <v>153</v>
      </c>
      <c r="I4250" t="s">
        <v>45</v>
      </c>
      <c r="J4250" t="s">
        <v>46</v>
      </c>
      <c r="K4250" t="s">
        <v>30</v>
      </c>
      <c r="L4250" t="s">
        <v>31</v>
      </c>
      <c r="M4250" t="s">
        <v>140</v>
      </c>
      <c r="N4250">
        <v>3.0269599999999998E-4</v>
      </c>
      <c r="O4250">
        <v>9.8751736000000007E-2</v>
      </c>
      <c r="P4250">
        <v>9.9213090000000004E-2</v>
      </c>
      <c r="Q4250" t="str">
        <f t="shared" si="132"/>
        <v>50+</v>
      </c>
      <c r="R4250" t="str">
        <f t="shared" si="133"/>
        <v>[gwVYinjBAe9]|50+|Female|Incidence_SUBNAT.Rt.T_1|CY2024Q3</v>
      </c>
    </row>
    <row r="4251" spans="4:18" x14ac:dyDescent="0.2">
      <c r="D4251" t="s">
        <v>135</v>
      </c>
      <c r="E4251" t="s">
        <v>136</v>
      </c>
      <c r="F4251" t="s">
        <v>137</v>
      </c>
      <c r="G4251" t="s">
        <v>153</v>
      </c>
      <c r="H4251" t="s">
        <v>153</v>
      </c>
      <c r="I4251" t="s">
        <v>28</v>
      </c>
      <c r="J4251" t="s">
        <v>29</v>
      </c>
      <c r="K4251" t="s">
        <v>48</v>
      </c>
      <c r="L4251" t="s">
        <v>49</v>
      </c>
      <c r="M4251" t="s">
        <v>140</v>
      </c>
      <c r="N4251">
        <v>2.1454180000000001E-3</v>
      </c>
      <c r="O4251">
        <v>9.8568093999999995E-2</v>
      </c>
      <c r="P4251">
        <v>9.9213090000000004E-2</v>
      </c>
      <c r="Q4251" t="str">
        <f t="shared" si="132"/>
        <v>&lt;01</v>
      </c>
      <c r="R4251" t="str">
        <f t="shared" si="133"/>
        <v>[gwVYinjBAe9]|&lt;01|Male|Incidence_SUBNAT.Rt.T_1|CY2024Q3</v>
      </c>
    </row>
    <row r="4252" spans="4:18" x14ac:dyDescent="0.2">
      <c r="D4252" t="s">
        <v>135</v>
      </c>
      <c r="E4252" t="s">
        <v>136</v>
      </c>
      <c r="F4252" t="s">
        <v>137</v>
      </c>
      <c r="G4252" t="s">
        <v>153</v>
      </c>
      <c r="H4252" t="s">
        <v>153</v>
      </c>
      <c r="I4252" t="s">
        <v>33</v>
      </c>
      <c r="J4252" t="s">
        <v>34</v>
      </c>
      <c r="K4252" t="s">
        <v>48</v>
      </c>
      <c r="L4252" t="s">
        <v>49</v>
      </c>
      <c r="M4252" t="s">
        <v>140</v>
      </c>
      <c r="N4252" s="235" t="s">
        <v>202</v>
      </c>
      <c r="O4252">
        <v>4.9284046999999997E-2</v>
      </c>
      <c r="P4252">
        <v>9.9213090000000004E-2</v>
      </c>
      <c r="Q4252" t="str">
        <f t="shared" si="132"/>
        <v>01-09</v>
      </c>
      <c r="R4252" t="str">
        <f t="shared" si="133"/>
        <v>[gwVYinjBAe9]|01-09|Male|Incidence_SUBNAT.Rt.T_1|CY2024Q3</v>
      </c>
    </row>
    <row r="4253" spans="4:18" x14ac:dyDescent="0.2">
      <c r="D4253" t="s">
        <v>135</v>
      </c>
      <c r="E4253" t="s">
        <v>136</v>
      </c>
      <c r="F4253" t="s">
        <v>137</v>
      </c>
      <c r="G4253" t="s">
        <v>153</v>
      </c>
      <c r="H4253" t="s">
        <v>153</v>
      </c>
      <c r="I4253" t="s">
        <v>36</v>
      </c>
      <c r="J4253" t="s">
        <v>37</v>
      </c>
      <c r="K4253" t="s">
        <v>48</v>
      </c>
      <c r="L4253" t="s">
        <v>49</v>
      </c>
      <c r="M4253" t="s">
        <v>140</v>
      </c>
      <c r="N4253">
        <v>0</v>
      </c>
      <c r="O4253">
        <v>0</v>
      </c>
      <c r="P4253">
        <v>9.9213090000000004E-2</v>
      </c>
      <c r="Q4253" t="str">
        <f t="shared" si="132"/>
        <v>10-14</v>
      </c>
      <c r="R4253" t="str">
        <f t="shared" si="133"/>
        <v>[gwVYinjBAe9]|10-14|Male|Incidence_SUBNAT.Rt.T_1|CY2024Q3</v>
      </c>
    </row>
    <row r="4254" spans="4:18" x14ac:dyDescent="0.2">
      <c r="D4254" t="s">
        <v>135</v>
      </c>
      <c r="E4254" t="s">
        <v>136</v>
      </c>
      <c r="F4254" t="s">
        <v>137</v>
      </c>
      <c r="G4254" t="s">
        <v>153</v>
      </c>
      <c r="H4254" t="s">
        <v>153</v>
      </c>
      <c r="I4254" t="s">
        <v>38</v>
      </c>
      <c r="J4254" t="s">
        <v>39</v>
      </c>
      <c r="K4254" t="s">
        <v>48</v>
      </c>
      <c r="L4254" t="s">
        <v>49</v>
      </c>
      <c r="M4254" t="s">
        <v>140</v>
      </c>
      <c r="N4254">
        <v>2.1883100000000001E-4</v>
      </c>
      <c r="O4254">
        <v>0.102604467</v>
      </c>
      <c r="P4254">
        <v>9.9213090000000004E-2</v>
      </c>
      <c r="Q4254" t="str">
        <f t="shared" si="132"/>
        <v>15-24</v>
      </c>
      <c r="R4254" t="str">
        <f t="shared" si="133"/>
        <v>[gwVYinjBAe9]|15-24|Male|Incidence_SUBNAT.Rt.T_1|CY2024Q3</v>
      </c>
    </row>
    <row r="4255" spans="4:18" x14ac:dyDescent="0.2">
      <c r="D4255" t="s">
        <v>135</v>
      </c>
      <c r="E4255" t="s">
        <v>136</v>
      </c>
      <c r="F4255" t="s">
        <v>137</v>
      </c>
      <c r="G4255" t="s">
        <v>153</v>
      </c>
      <c r="H4255" t="s">
        <v>153</v>
      </c>
      <c r="I4255" t="s">
        <v>41</v>
      </c>
      <c r="J4255" t="s">
        <v>42</v>
      </c>
      <c r="K4255" t="s">
        <v>48</v>
      </c>
      <c r="L4255" t="s">
        <v>49</v>
      </c>
      <c r="M4255" t="s">
        <v>140</v>
      </c>
      <c r="N4255">
        <v>1.1413969999999999E-3</v>
      </c>
      <c r="O4255">
        <v>0.102460752</v>
      </c>
      <c r="P4255">
        <v>9.9213090000000004E-2</v>
      </c>
      <c r="Q4255" t="str">
        <f t="shared" si="132"/>
        <v>25-34</v>
      </c>
      <c r="R4255" t="str">
        <f t="shared" si="133"/>
        <v>[gwVYinjBAe9]|25-34|Male|Incidence_SUBNAT.Rt.T_1|CY2024Q3</v>
      </c>
    </row>
    <row r="4256" spans="4:18" x14ac:dyDescent="0.2">
      <c r="D4256" t="s">
        <v>135</v>
      </c>
      <c r="E4256" t="s">
        <v>136</v>
      </c>
      <c r="F4256" t="s">
        <v>137</v>
      </c>
      <c r="G4256" t="s">
        <v>153</v>
      </c>
      <c r="H4256" t="s">
        <v>153</v>
      </c>
      <c r="I4256" t="s">
        <v>43</v>
      </c>
      <c r="J4256" t="s">
        <v>44</v>
      </c>
      <c r="K4256" t="s">
        <v>48</v>
      </c>
      <c r="L4256" t="s">
        <v>49</v>
      </c>
      <c r="M4256" t="s">
        <v>140</v>
      </c>
      <c r="N4256">
        <v>1.3260889999999999E-3</v>
      </c>
      <c r="O4256">
        <v>0.102855419</v>
      </c>
      <c r="P4256">
        <v>9.9213090000000004E-2</v>
      </c>
      <c r="Q4256" t="str">
        <f t="shared" si="132"/>
        <v>35-49</v>
      </c>
      <c r="R4256" t="str">
        <f t="shared" si="133"/>
        <v>[gwVYinjBAe9]|35-49|Male|Incidence_SUBNAT.Rt.T_1|CY2024Q3</v>
      </c>
    </row>
    <row r="4257" spans="4:18" x14ac:dyDescent="0.2">
      <c r="D4257" t="s">
        <v>135</v>
      </c>
      <c r="E4257" t="s">
        <v>136</v>
      </c>
      <c r="F4257" t="s">
        <v>137</v>
      </c>
      <c r="G4257" t="s">
        <v>153</v>
      </c>
      <c r="H4257" t="s">
        <v>153</v>
      </c>
      <c r="I4257" t="s">
        <v>45</v>
      </c>
      <c r="J4257" t="s">
        <v>46</v>
      </c>
      <c r="K4257" t="s">
        <v>48</v>
      </c>
      <c r="L4257" t="s">
        <v>49</v>
      </c>
      <c r="M4257" t="s">
        <v>140</v>
      </c>
      <c r="N4257">
        <v>7.3231999999999995E-4</v>
      </c>
      <c r="O4257">
        <v>0.101056756</v>
      </c>
      <c r="P4257">
        <v>9.9213090000000004E-2</v>
      </c>
      <c r="Q4257" t="str">
        <f t="shared" si="132"/>
        <v>50+</v>
      </c>
      <c r="R4257" t="str">
        <f t="shared" si="133"/>
        <v>[gwVYinjBAe9]|50+|Male|Incidence_SUBNAT.Rt.T_1|CY2024Q3</v>
      </c>
    </row>
    <row r="4258" spans="4:18" x14ac:dyDescent="0.2">
      <c r="D4258" t="s">
        <v>23</v>
      </c>
      <c r="E4258" t="s">
        <v>24</v>
      </c>
      <c r="F4258" t="s">
        <v>25</v>
      </c>
      <c r="G4258" t="s">
        <v>203</v>
      </c>
      <c r="H4258" t="s">
        <v>203</v>
      </c>
      <c r="I4258" t="s">
        <v>28</v>
      </c>
      <c r="J4258" t="s">
        <v>29</v>
      </c>
      <c r="K4258" t="s">
        <v>30</v>
      </c>
      <c r="L4258" t="s">
        <v>31</v>
      </c>
      <c r="M4258" t="s">
        <v>140</v>
      </c>
      <c r="N4258">
        <v>4</v>
      </c>
      <c r="O4258">
        <v>7.1827819000000001E-2</v>
      </c>
      <c r="P4258">
        <v>7.9120372999999994E-2</v>
      </c>
      <c r="Q4258" t="str">
        <f t="shared" si="132"/>
        <v>&lt;01</v>
      </c>
      <c r="R4258" t="str">
        <f t="shared" si="133"/>
        <v>[GkIwZrXy1h2]|&lt;01|Female|NEW_INFECTIONS_SUBNAT.T_1|CY2024Q3</v>
      </c>
    </row>
    <row r="4259" spans="4:18" x14ac:dyDescent="0.2">
      <c r="D4259" t="s">
        <v>23</v>
      </c>
      <c r="E4259" t="s">
        <v>24</v>
      </c>
      <c r="F4259" t="s">
        <v>25</v>
      </c>
      <c r="G4259" t="s">
        <v>203</v>
      </c>
      <c r="H4259" t="s">
        <v>203</v>
      </c>
      <c r="I4259" t="s">
        <v>33</v>
      </c>
      <c r="J4259" t="s">
        <v>34</v>
      </c>
      <c r="K4259" t="s">
        <v>30</v>
      </c>
      <c r="L4259" t="s">
        <v>31</v>
      </c>
      <c r="M4259" t="s">
        <v>140</v>
      </c>
      <c r="N4259">
        <v>1</v>
      </c>
      <c r="O4259">
        <v>3.591391E-2</v>
      </c>
      <c r="P4259">
        <v>7.9120372999999994E-2</v>
      </c>
      <c r="Q4259" t="str">
        <f t="shared" si="132"/>
        <v>01-09</v>
      </c>
      <c r="R4259" t="str">
        <f t="shared" si="133"/>
        <v>[GkIwZrXy1h2]|01-09|Female|NEW_INFECTIONS_SUBNAT.T_1|CY2024Q3</v>
      </c>
    </row>
    <row r="4260" spans="4:18" x14ac:dyDescent="0.2">
      <c r="D4260" t="s">
        <v>23</v>
      </c>
      <c r="E4260" t="s">
        <v>24</v>
      </c>
      <c r="F4260" t="s">
        <v>25</v>
      </c>
      <c r="G4260" t="s">
        <v>203</v>
      </c>
      <c r="H4260" t="s">
        <v>203</v>
      </c>
      <c r="I4260" t="s">
        <v>36</v>
      </c>
      <c r="J4260" t="s">
        <v>37</v>
      </c>
      <c r="K4260" t="s">
        <v>30</v>
      </c>
      <c r="L4260" t="s">
        <v>31</v>
      </c>
      <c r="M4260" t="s">
        <v>140</v>
      </c>
      <c r="N4260">
        <v>0</v>
      </c>
      <c r="O4260">
        <v>0</v>
      </c>
      <c r="P4260">
        <v>7.9120372999999994E-2</v>
      </c>
      <c r="Q4260" t="str">
        <f t="shared" si="132"/>
        <v>10-14</v>
      </c>
      <c r="R4260" t="str">
        <f t="shared" si="133"/>
        <v>[GkIwZrXy1h2]|10-14|Female|NEW_INFECTIONS_SUBNAT.T_1|CY2024Q3</v>
      </c>
    </row>
    <row r="4261" spans="4:18" x14ac:dyDescent="0.2">
      <c r="D4261" t="s">
        <v>23</v>
      </c>
      <c r="E4261" t="s">
        <v>24</v>
      </c>
      <c r="F4261" t="s">
        <v>25</v>
      </c>
      <c r="G4261" t="s">
        <v>203</v>
      </c>
      <c r="H4261" t="s">
        <v>203</v>
      </c>
      <c r="I4261" t="s">
        <v>38</v>
      </c>
      <c r="J4261" t="s">
        <v>39</v>
      </c>
      <c r="K4261" t="s">
        <v>30</v>
      </c>
      <c r="L4261" t="s">
        <v>31</v>
      </c>
      <c r="M4261" t="s">
        <v>140</v>
      </c>
      <c r="N4261">
        <v>17</v>
      </c>
      <c r="O4261">
        <v>8.3109026000000003E-2</v>
      </c>
      <c r="P4261">
        <v>7.9120372999999994E-2</v>
      </c>
      <c r="Q4261" t="str">
        <f t="shared" si="132"/>
        <v>15-24</v>
      </c>
      <c r="R4261" t="str">
        <f t="shared" si="133"/>
        <v>[GkIwZrXy1h2]|15-24|Female|NEW_INFECTIONS_SUBNAT.T_1|CY2024Q3</v>
      </c>
    </row>
    <row r="4262" spans="4:18" x14ac:dyDescent="0.2">
      <c r="D4262" t="s">
        <v>23</v>
      </c>
      <c r="E4262" t="s">
        <v>24</v>
      </c>
      <c r="F4262" t="s">
        <v>25</v>
      </c>
      <c r="G4262" t="s">
        <v>203</v>
      </c>
      <c r="H4262" t="s">
        <v>203</v>
      </c>
      <c r="I4262" t="s">
        <v>41</v>
      </c>
      <c r="J4262" t="s">
        <v>42</v>
      </c>
      <c r="K4262" t="s">
        <v>30</v>
      </c>
      <c r="L4262" t="s">
        <v>31</v>
      </c>
      <c r="M4262" t="s">
        <v>140</v>
      </c>
      <c r="N4262">
        <v>17</v>
      </c>
      <c r="O4262">
        <v>8.163753E-2</v>
      </c>
      <c r="P4262">
        <v>7.9120372999999994E-2</v>
      </c>
      <c r="Q4262" t="str">
        <f t="shared" si="132"/>
        <v>25-34</v>
      </c>
      <c r="R4262" t="str">
        <f t="shared" si="133"/>
        <v>[GkIwZrXy1h2]|25-34|Female|NEW_INFECTIONS_SUBNAT.T_1|CY2024Q3</v>
      </c>
    </row>
    <row r="4263" spans="4:18" x14ac:dyDescent="0.2">
      <c r="D4263" t="s">
        <v>23</v>
      </c>
      <c r="E4263" t="s">
        <v>24</v>
      </c>
      <c r="F4263" t="s">
        <v>25</v>
      </c>
      <c r="G4263" t="s">
        <v>203</v>
      </c>
      <c r="H4263" t="s">
        <v>203</v>
      </c>
      <c r="I4263" t="s">
        <v>43</v>
      </c>
      <c r="J4263" t="s">
        <v>44</v>
      </c>
      <c r="K4263" t="s">
        <v>30</v>
      </c>
      <c r="L4263" t="s">
        <v>31</v>
      </c>
      <c r="M4263" t="s">
        <v>140</v>
      </c>
      <c r="N4263">
        <v>9</v>
      </c>
      <c r="O4263">
        <v>7.8225259000000005E-2</v>
      </c>
      <c r="P4263">
        <v>7.9120372999999994E-2</v>
      </c>
      <c r="Q4263" t="str">
        <f t="shared" si="132"/>
        <v>35-49</v>
      </c>
      <c r="R4263" t="str">
        <f t="shared" si="133"/>
        <v>[GkIwZrXy1h2]|35-49|Female|NEW_INFECTIONS_SUBNAT.T_1|CY2024Q3</v>
      </c>
    </row>
    <row r="4264" spans="4:18" x14ac:dyDescent="0.2">
      <c r="D4264" t="s">
        <v>23</v>
      </c>
      <c r="E4264" t="s">
        <v>24</v>
      </c>
      <c r="F4264" t="s">
        <v>25</v>
      </c>
      <c r="G4264" t="s">
        <v>203</v>
      </c>
      <c r="H4264" t="s">
        <v>203</v>
      </c>
      <c r="I4264" t="s">
        <v>45</v>
      </c>
      <c r="J4264" t="s">
        <v>46</v>
      </c>
      <c r="K4264" t="s">
        <v>30</v>
      </c>
      <c r="L4264" t="s">
        <v>31</v>
      </c>
      <c r="M4264" t="s">
        <v>140</v>
      </c>
      <c r="N4264">
        <v>2</v>
      </c>
      <c r="O4264">
        <v>7.9067612999999995E-2</v>
      </c>
      <c r="P4264">
        <v>7.9120372999999994E-2</v>
      </c>
      <c r="Q4264" t="str">
        <f t="shared" si="132"/>
        <v>50+</v>
      </c>
      <c r="R4264" t="str">
        <f t="shared" si="133"/>
        <v>[GkIwZrXy1h2]|50+|Female|NEW_INFECTIONS_SUBNAT.T_1|CY2024Q3</v>
      </c>
    </row>
    <row r="4265" spans="4:18" x14ac:dyDescent="0.2">
      <c r="D4265" t="s">
        <v>23</v>
      </c>
      <c r="E4265" t="s">
        <v>24</v>
      </c>
      <c r="F4265" t="s">
        <v>25</v>
      </c>
      <c r="G4265" t="s">
        <v>203</v>
      </c>
      <c r="H4265" t="s">
        <v>203</v>
      </c>
      <c r="I4265" t="s">
        <v>28</v>
      </c>
      <c r="J4265" t="s">
        <v>29</v>
      </c>
      <c r="K4265" t="s">
        <v>48</v>
      </c>
      <c r="L4265" t="s">
        <v>49</v>
      </c>
      <c r="M4265" t="s">
        <v>140</v>
      </c>
      <c r="N4265">
        <v>4</v>
      </c>
      <c r="O4265">
        <v>7.1829342000000004E-2</v>
      </c>
      <c r="P4265">
        <v>7.9120372999999994E-2</v>
      </c>
      <c r="Q4265" t="str">
        <f t="shared" si="132"/>
        <v>&lt;01</v>
      </c>
      <c r="R4265" t="str">
        <f t="shared" si="133"/>
        <v>[GkIwZrXy1h2]|&lt;01|Male|NEW_INFECTIONS_SUBNAT.T_1|CY2024Q3</v>
      </c>
    </row>
    <row r="4266" spans="4:18" x14ac:dyDescent="0.2">
      <c r="D4266" t="s">
        <v>23</v>
      </c>
      <c r="E4266" t="s">
        <v>24</v>
      </c>
      <c r="F4266" t="s">
        <v>25</v>
      </c>
      <c r="G4266" t="s">
        <v>203</v>
      </c>
      <c r="H4266" t="s">
        <v>203</v>
      </c>
      <c r="I4266" t="s">
        <v>33</v>
      </c>
      <c r="J4266" t="s">
        <v>34</v>
      </c>
      <c r="K4266" t="s">
        <v>48</v>
      </c>
      <c r="L4266" t="s">
        <v>49</v>
      </c>
      <c r="M4266" t="s">
        <v>140</v>
      </c>
      <c r="N4266">
        <v>1</v>
      </c>
      <c r="O4266">
        <v>3.5914671000000002E-2</v>
      </c>
      <c r="P4266">
        <v>7.9120372999999994E-2</v>
      </c>
      <c r="Q4266" t="str">
        <f t="shared" si="132"/>
        <v>01-09</v>
      </c>
      <c r="R4266" t="str">
        <f t="shared" si="133"/>
        <v>[GkIwZrXy1h2]|01-09|Male|NEW_INFECTIONS_SUBNAT.T_1|CY2024Q3</v>
      </c>
    </row>
    <row r="4267" spans="4:18" x14ac:dyDescent="0.2">
      <c r="D4267" t="s">
        <v>23</v>
      </c>
      <c r="E4267" t="s">
        <v>24</v>
      </c>
      <c r="F4267" t="s">
        <v>25</v>
      </c>
      <c r="G4267" t="s">
        <v>203</v>
      </c>
      <c r="H4267" t="s">
        <v>203</v>
      </c>
      <c r="I4267" t="s">
        <v>36</v>
      </c>
      <c r="J4267" t="s">
        <v>37</v>
      </c>
      <c r="K4267" t="s">
        <v>48</v>
      </c>
      <c r="L4267" t="s">
        <v>49</v>
      </c>
      <c r="M4267" t="s">
        <v>140</v>
      </c>
      <c r="N4267">
        <v>0</v>
      </c>
      <c r="O4267">
        <v>0</v>
      </c>
      <c r="P4267">
        <v>7.9120372999999994E-2</v>
      </c>
      <c r="Q4267" t="str">
        <f t="shared" si="132"/>
        <v>10-14</v>
      </c>
      <c r="R4267" t="str">
        <f t="shared" si="133"/>
        <v>[GkIwZrXy1h2]|10-14|Male|NEW_INFECTIONS_SUBNAT.T_1|CY2024Q3</v>
      </c>
    </row>
    <row r="4268" spans="4:18" x14ac:dyDescent="0.2">
      <c r="D4268" t="s">
        <v>23</v>
      </c>
      <c r="E4268" t="s">
        <v>24</v>
      </c>
      <c r="F4268" t="s">
        <v>25</v>
      </c>
      <c r="G4268" t="s">
        <v>203</v>
      </c>
      <c r="H4268" t="s">
        <v>203</v>
      </c>
      <c r="I4268" t="s">
        <v>38</v>
      </c>
      <c r="J4268" t="s">
        <v>39</v>
      </c>
      <c r="K4268" t="s">
        <v>48</v>
      </c>
      <c r="L4268" t="s">
        <v>49</v>
      </c>
      <c r="M4268" t="s">
        <v>140</v>
      </c>
      <c r="N4268">
        <v>3</v>
      </c>
      <c r="O4268">
        <v>8.3451150000000002E-2</v>
      </c>
      <c r="P4268">
        <v>7.9120372999999994E-2</v>
      </c>
      <c r="Q4268" t="str">
        <f t="shared" si="132"/>
        <v>15-24</v>
      </c>
      <c r="R4268" t="str">
        <f t="shared" si="133"/>
        <v>[GkIwZrXy1h2]|15-24|Male|NEW_INFECTIONS_SUBNAT.T_1|CY2024Q3</v>
      </c>
    </row>
    <row r="4269" spans="4:18" x14ac:dyDescent="0.2">
      <c r="D4269" t="s">
        <v>23</v>
      </c>
      <c r="E4269" t="s">
        <v>24</v>
      </c>
      <c r="F4269" t="s">
        <v>25</v>
      </c>
      <c r="G4269" t="s">
        <v>203</v>
      </c>
      <c r="H4269" t="s">
        <v>203</v>
      </c>
      <c r="I4269" t="s">
        <v>41</v>
      </c>
      <c r="J4269" t="s">
        <v>42</v>
      </c>
      <c r="K4269" t="s">
        <v>48</v>
      </c>
      <c r="L4269" t="s">
        <v>49</v>
      </c>
      <c r="M4269" t="s">
        <v>140</v>
      </c>
      <c r="N4269">
        <v>10</v>
      </c>
      <c r="O4269">
        <v>8.2830139999999997E-2</v>
      </c>
      <c r="P4269">
        <v>7.9120372999999994E-2</v>
      </c>
      <c r="Q4269" t="str">
        <f t="shared" si="132"/>
        <v>25-34</v>
      </c>
      <c r="R4269" t="str">
        <f t="shared" si="133"/>
        <v>[GkIwZrXy1h2]|25-34|Male|NEW_INFECTIONS_SUBNAT.T_1|CY2024Q3</v>
      </c>
    </row>
    <row r="4270" spans="4:18" x14ac:dyDescent="0.2">
      <c r="D4270" t="s">
        <v>23</v>
      </c>
      <c r="E4270" t="s">
        <v>24</v>
      </c>
      <c r="F4270" t="s">
        <v>25</v>
      </c>
      <c r="G4270" t="s">
        <v>203</v>
      </c>
      <c r="H4270" t="s">
        <v>203</v>
      </c>
      <c r="I4270" t="s">
        <v>43</v>
      </c>
      <c r="J4270" t="s">
        <v>44</v>
      </c>
      <c r="K4270" t="s">
        <v>48</v>
      </c>
      <c r="L4270" t="s">
        <v>49</v>
      </c>
      <c r="M4270" t="s">
        <v>140</v>
      </c>
      <c r="N4270">
        <v>10</v>
      </c>
      <c r="O4270">
        <v>8.0397250000000003E-2</v>
      </c>
      <c r="P4270">
        <v>7.9120372999999994E-2</v>
      </c>
      <c r="Q4270" t="str">
        <f t="shared" si="132"/>
        <v>35-49</v>
      </c>
      <c r="R4270" t="str">
        <f t="shared" si="133"/>
        <v>[GkIwZrXy1h2]|35-49|Male|NEW_INFECTIONS_SUBNAT.T_1|CY2024Q3</v>
      </c>
    </row>
    <row r="4271" spans="4:18" x14ac:dyDescent="0.2">
      <c r="D4271" t="s">
        <v>23</v>
      </c>
      <c r="E4271" t="s">
        <v>24</v>
      </c>
      <c r="F4271" t="s">
        <v>25</v>
      </c>
      <c r="G4271" t="s">
        <v>203</v>
      </c>
      <c r="H4271" t="s">
        <v>203</v>
      </c>
      <c r="I4271" t="s">
        <v>45</v>
      </c>
      <c r="J4271" t="s">
        <v>46</v>
      </c>
      <c r="K4271" t="s">
        <v>48</v>
      </c>
      <c r="L4271" t="s">
        <v>49</v>
      </c>
      <c r="M4271" t="s">
        <v>140</v>
      </c>
      <c r="N4271">
        <v>3</v>
      </c>
      <c r="O4271">
        <v>7.8959430999999997E-2</v>
      </c>
      <c r="P4271">
        <v>7.9120372999999994E-2</v>
      </c>
      <c r="Q4271" t="str">
        <f t="shared" si="132"/>
        <v>50+</v>
      </c>
      <c r="R4271" t="str">
        <f t="shared" si="133"/>
        <v>[GkIwZrXy1h2]|50+|Male|NEW_INFECTIONS_SUBNAT.T_1|CY2024Q3</v>
      </c>
    </row>
    <row r="4272" spans="4:18" x14ac:dyDescent="0.2">
      <c r="D4272" t="s">
        <v>53</v>
      </c>
      <c r="E4272" t="s">
        <v>54</v>
      </c>
      <c r="F4272" t="s">
        <v>55</v>
      </c>
      <c r="G4272" t="s">
        <v>203</v>
      </c>
      <c r="H4272" t="s">
        <v>203</v>
      </c>
      <c r="I4272" t="s">
        <v>28</v>
      </c>
      <c r="J4272" t="s">
        <v>29</v>
      </c>
      <c r="K4272" t="s">
        <v>30</v>
      </c>
      <c r="L4272" t="s">
        <v>31</v>
      </c>
      <c r="M4272" t="s">
        <v>140</v>
      </c>
      <c r="N4272">
        <v>11</v>
      </c>
      <c r="O4272">
        <v>3.2286733999999997E-2</v>
      </c>
      <c r="P4272">
        <v>4.2969345999999999E-2</v>
      </c>
      <c r="Q4272" t="str">
        <f t="shared" si="132"/>
        <v>&lt;01</v>
      </c>
      <c r="R4272" t="str">
        <f t="shared" si="133"/>
        <v>[cPtvxaZqXIH]|&lt;01|Female|NEW_INFECTIONS_SUBNAT.T_1|CY2024Q3</v>
      </c>
    </row>
    <row r="4273" spans="4:18" x14ac:dyDescent="0.2">
      <c r="D4273" t="s">
        <v>53</v>
      </c>
      <c r="E4273" t="s">
        <v>54</v>
      </c>
      <c r="F4273" t="s">
        <v>55</v>
      </c>
      <c r="G4273" t="s">
        <v>203</v>
      </c>
      <c r="H4273" t="s">
        <v>203</v>
      </c>
      <c r="I4273" t="s">
        <v>33</v>
      </c>
      <c r="J4273" t="s">
        <v>34</v>
      </c>
      <c r="K4273" t="s">
        <v>30</v>
      </c>
      <c r="L4273" t="s">
        <v>31</v>
      </c>
      <c r="M4273" t="s">
        <v>140</v>
      </c>
      <c r="N4273">
        <v>3</v>
      </c>
      <c r="O4273">
        <v>1.6143366999999999E-2</v>
      </c>
      <c r="P4273">
        <v>4.2969345999999999E-2</v>
      </c>
      <c r="Q4273" t="str">
        <f t="shared" si="132"/>
        <v>01-09</v>
      </c>
      <c r="R4273" t="str">
        <f t="shared" si="133"/>
        <v>[cPtvxaZqXIH]|01-09|Female|NEW_INFECTIONS_SUBNAT.T_1|CY2024Q3</v>
      </c>
    </row>
    <row r="4274" spans="4:18" x14ac:dyDescent="0.2">
      <c r="D4274" t="s">
        <v>53</v>
      </c>
      <c r="E4274" t="s">
        <v>54</v>
      </c>
      <c r="F4274" t="s">
        <v>55</v>
      </c>
      <c r="G4274" t="s">
        <v>203</v>
      </c>
      <c r="H4274" t="s">
        <v>203</v>
      </c>
      <c r="I4274" t="s">
        <v>36</v>
      </c>
      <c r="J4274" t="s">
        <v>37</v>
      </c>
      <c r="K4274" t="s">
        <v>30</v>
      </c>
      <c r="L4274" t="s">
        <v>31</v>
      </c>
      <c r="M4274" t="s">
        <v>140</v>
      </c>
      <c r="N4274">
        <v>0</v>
      </c>
      <c r="O4274">
        <v>0</v>
      </c>
      <c r="P4274">
        <v>4.2969345999999999E-2</v>
      </c>
      <c r="Q4274" t="str">
        <f t="shared" si="132"/>
        <v>10-14</v>
      </c>
      <c r="R4274" t="str">
        <f t="shared" si="133"/>
        <v>[cPtvxaZqXIH]|10-14|Female|NEW_INFECTIONS_SUBNAT.T_1|CY2024Q3</v>
      </c>
    </row>
    <row r="4275" spans="4:18" x14ac:dyDescent="0.2">
      <c r="D4275" t="s">
        <v>53</v>
      </c>
      <c r="E4275" t="s">
        <v>54</v>
      </c>
      <c r="F4275" t="s">
        <v>55</v>
      </c>
      <c r="G4275" t="s">
        <v>203</v>
      </c>
      <c r="H4275" t="s">
        <v>203</v>
      </c>
      <c r="I4275" t="s">
        <v>38</v>
      </c>
      <c r="J4275" t="s">
        <v>39</v>
      </c>
      <c r="K4275" t="s">
        <v>30</v>
      </c>
      <c r="L4275" t="s">
        <v>31</v>
      </c>
      <c r="M4275" t="s">
        <v>140</v>
      </c>
      <c r="N4275">
        <v>53</v>
      </c>
      <c r="O4275">
        <v>4.7341629000000003E-2</v>
      </c>
      <c r="P4275">
        <v>4.2969345999999999E-2</v>
      </c>
      <c r="Q4275" t="str">
        <f t="shared" si="132"/>
        <v>15-24</v>
      </c>
      <c r="R4275" t="str">
        <f t="shared" si="133"/>
        <v>[cPtvxaZqXIH]|15-24|Female|NEW_INFECTIONS_SUBNAT.T_1|CY2024Q3</v>
      </c>
    </row>
    <row r="4276" spans="4:18" x14ac:dyDescent="0.2">
      <c r="D4276" t="s">
        <v>53</v>
      </c>
      <c r="E4276" t="s">
        <v>54</v>
      </c>
      <c r="F4276" t="s">
        <v>55</v>
      </c>
      <c r="G4276" t="s">
        <v>203</v>
      </c>
      <c r="H4276" t="s">
        <v>203</v>
      </c>
      <c r="I4276" t="s">
        <v>41</v>
      </c>
      <c r="J4276" t="s">
        <v>42</v>
      </c>
      <c r="K4276" t="s">
        <v>30</v>
      </c>
      <c r="L4276" t="s">
        <v>31</v>
      </c>
      <c r="M4276" t="s">
        <v>140</v>
      </c>
      <c r="N4276">
        <v>52</v>
      </c>
      <c r="O4276">
        <v>4.5994306999999998E-2</v>
      </c>
      <c r="P4276">
        <v>4.2969345999999999E-2</v>
      </c>
      <c r="Q4276" t="str">
        <f t="shared" si="132"/>
        <v>25-34</v>
      </c>
      <c r="R4276" t="str">
        <f t="shared" si="133"/>
        <v>[cPtvxaZqXIH]|25-34|Female|NEW_INFECTIONS_SUBNAT.T_1|CY2024Q3</v>
      </c>
    </row>
    <row r="4277" spans="4:18" x14ac:dyDescent="0.2">
      <c r="D4277" t="s">
        <v>53</v>
      </c>
      <c r="E4277" t="s">
        <v>54</v>
      </c>
      <c r="F4277" t="s">
        <v>55</v>
      </c>
      <c r="G4277" t="s">
        <v>203</v>
      </c>
      <c r="H4277" t="s">
        <v>203</v>
      </c>
      <c r="I4277" t="s">
        <v>43</v>
      </c>
      <c r="J4277" t="s">
        <v>44</v>
      </c>
      <c r="K4277" t="s">
        <v>30</v>
      </c>
      <c r="L4277" t="s">
        <v>31</v>
      </c>
      <c r="M4277" t="s">
        <v>140</v>
      </c>
      <c r="N4277">
        <v>25</v>
      </c>
      <c r="O4277">
        <v>4.3361093000000003E-2</v>
      </c>
      <c r="P4277">
        <v>4.2969345999999999E-2</v>
      </c>
      <c r="Q4277" t="str">
        <f t="shared" si="132"/>
        <v>35-49</v>
      </c>
      <c r="R4277" t="str">
        <f t="shared" si="133"/>
        <v>[cPtvxaZqXIH]|35-49|Female|NEW_INFECTIONS_SUBNAT.T_1|CY2024Q3</v>
      </c>
    </row>
    <row r="4278" spans="4:18" x14ac:dyDescent="0.2">
      <c r="D4278" t="s">
        <v>53</v>
      </c>
      <c r="E4278" t="s">
        <v>54</v>
      </c>
      <c r="F4278" t="s">
        <v>55</v>
      </c>
      <c r="G4278" t="s">
        <v>203</v>
      </c>
      <c r="H4278" t="s">
        <v>203</v>
      </c>
      <c r="I4278" t="s">
        <v>45</v>
      </c>
      <c r="J4278" t="s">
        <v>46</v>
      </c>
      <c r="K4278" t="s">
        <v>30</v>
      </c>
      <c r="L4278" t="s">
        <v>31</v>
      </c>
      <c r="M4278" t="s">
        <v>140</v>
      </c>
      <c r="N4278">
        <v>4</v>
      </c>
      <c r="O4278">
        <v>4.5896306999999997E-2</v>
      </c>
      <c r="P4278">
        <v>4.2969345999999999E-2</v>
      </c>
      <c r="Q4278" t="str">
        <f t="shared" si="132"/>
        <v>50+</v>
      </c>
      <c r="R4278" t="str">
        <f t="shared" si="133"/>
        <v>[cPtvxaZqXIH]|50+|Female|NEW_INFECTIONS_SUBNAT.T_1|CY2024Q3</v>
      </c>
    </row>
    <row r="4279" spans="4:18" x14ac:dyDescent="0.2">
      <c r="D4279" t="s">
        <v>53</v>
      </c>
      <c r="E4279" t="s">
        <v>54</v>
      </c>
      <c r="F4279" t="s">
        <v>55</v>
      </c>
      <c r="G4279" t="s">
        <v>203</v>
      </c>
      <c r="H4279" t="s">
        <v>203</v>
      </c>
      <c r="I4279" t="s">
        <v>28</v>
      </c>
      <c r="J4279" t="s">
        <v>29</v>
      </c>
      <c r="K4279" t="s">
        <v>48</v>
      </c>
      <c r="L4279" t="s">
        <v>49</v>
      </c>
      <c r="M4279" t="s">
        <v>140</v>
      </c>
      <c r="N4279">
        <v>11</v>
      </c>
      <c r="O4279">
        <v>3.2287044000000001E-2</v>
      </c>
      <c r="P4279">
        <v>4.2969345999999999E-2</v>
      </c>
      <c r="Q4279" t="str">
        <f t="shared" si="132"/>
        <v>&lt;01</v>
      </c>
      <c r="R4279" t="str">
        <f t="shared" si="133"/>
        <v>[cPtvxaZqXIH]|&lt;01|Male|NEW_INFECTIONS_SUBNAT.T_1|CY2024Q3</v>
      </c>
    </row>
    <row r="4280" spans="4:18" x14ac:dyDescent="0.2">
      <c r="D4280" t="s">
        <v>53</v>
      </c>
      <c r="E4280" t="s">
        <v>54</v>
      </c>
      <c r="F4280" t="s">
        <v>55</v>
      </c>
      <c r="G4280" t="s">
        <v>203</v>
      </c>
      <c r="H4280" t="s">
        <v>203</v>
      </c>
      <c r="I4280" t="s">
        <v>33</v>
      </c>
      <c r="J4280" t="s">
        <v>34</v>
      </c>
      <c r="K4280" t="s">
        <v>48</v>
      </c>
      <c r="L4280" t="s">
        <v>49</v>
      </c>
      <c r="M4280" t="s">
        <v>140</v>
      </c>
      <c r="N4280">
        <v>3</v>
      </c>
      <c r="O4280">
        <v>1.6143522E-2</v>
      </c>
      <c r="P4280">
        <v>4.2969345999999999E-2</v>
      </c>
      <c r="Q4280" t="str">
        <f t="shared" si="132"/>
        <v>01-09</v>
      </c>
      <c r="R4280" t="str">
        <f t="shared" si="133"/>
        <v>[cPtvxaZqXIH]|01-09|Male|NEW_INFECTIONS_SUBNAT.T_1|CY2024Q3</v>
      </c>
    </row>
    <row r="4281" spans="4:18" x14ac:dyDescent="0.2">
      <c r="D4281" t="s">
        <v>53</v>
      </c>
      <c r="E4281" t="s">
        <v>54</v>
      </c>
      <c r="F4281" t="s">
        <v>55</v>
      </c>
      <c r="G4281" t="s">
        <v>203</v>
      </c>
      <c r="H4281" t="s">
        <v>203</v>
      </c>
      <c r="I4281" t="s">
        <v>36</v>
      </c>
      <c r="J4281" t="s">
        <v>37</v>
      </c>
      <c r="K4281" t="s">
        <v>48</v>
      </c>
      <c r="L4281" t="s">
        <v>49</v>
      </c>
      <c r="M4281" t="s">
        <v>140</v>
      </c>
      <c r="N4281">
        <v>0</v>
      </c>
      <c r="O4281">
        <v>0</v>
      </c>
      <c r="P4281">
        <v>4.2969345999999999E-2</v>
      </c>
      <c r="Q4281" t="str">
        <f t="shared" si="132"/>
        <v>10-14</v>
      </c>
      <c r="R4281" t="str">
        <f t="shared" si="133"/>
        <v>[cPtvxaZqXIH]|10-14|Male|NEW_INFECTIONS_SUBNAT.T_1|CY2024Q3</v>
      </c>
    </row>
    <row r="4282" spans="4:18" x14ac:dyDescent="0.2">
      <c r="D4282" t="s">
        <v>53</v>
      </c>
      <c r="E4282" t="s">
        <v>54</v>
      </c>
      <c r="F4282" t="s">
        <v>55</v>
      </c>
      <c r="G4282" t="s">
        <v>203</v>
      </c>
      <c r="H4282" t="s">
        <v>203</v>
      </c>
      <c r="I4282" t="s">
        <v>38</v>
      </c>
      <c r="J4282" t="s">
        <v>39</v>
      </c>
      <c r="K4282" t="s">
        <v>48</v>
      </c>
      <c r="L4282" t="s">
        <v>49</v>
      </c>
      <c r="M4282" t="s">
        <v>140</v>
      </c>
      <c r="N4282">
        <v>8</v>
      </c>
      <c r="O4282">
        <v>4.7548590000000002E-2</v>
      </c>
      <c r="P4282">
        <v>4.2969345999999999E-2</v>
      </c>
      <c r="Q4282" t="str">
        <f t="shared" si="132"/>
        <v>15-24</v>
      </c>
      <c r="R4282" t="str">
        <f t="shared" si="133"/>
        <v>[cPtvxaZqXIH]|15-24|Male|NEW_INFECTIONS_SUBNAT.T_1|CY2024Q3</v>
      </c>
    </row>
    <row r="4283" spans="4:18" x14ac:dyDescent="0.2">
      <c r="D4283" t="s">
        <v>53</v>
      </c>
      <c r="E4283" t="s">
        <v>54</v>
      </c>
      <c r="F4283" t="s">
        <v>55</v>
      </c>
      <c r="G4283" t="s">
        <v>203</v>
      </c>
      <c r="H4283" t="s">
        <v>203</v>
      </c>
      <c r="I4283" t="s">
        <v>41</v>
      </c>
      <c r="J4283" t="s">
        <v>42</v>
      </c>
      <c r="K4283" t="s">
        <v>48</v>
      </c>
      <c r="L4283" t="s">
        <v>49</v>
      </c>
      <c r="M4283" t="s">
        <v>140</v>
      </c>
      <c r="N4283">
        <v>29</v>
      </c>
      <c r="O4283">
        <v>4.6905703E-2</v>
      </c>
      <c r="P4283">
        <v>4.2969345999999999E-2</v>
      </c>
      <c r="Q4283" t="str">
        <f t="shared" si="132"/>
        <v>25-34</v>
      </c>
      <c r="R4283" t="str">
        <f t="shared" si="133"/>
        <v>[cPtvxaZqXIH]|25-34|Male|NEW_INFECTIONS_SUBNAT.T_1|CY2024Q3</v>
      </c>
    </row>
    <row r="4284" spans="4:18" x14ac:dyDescent="0.2">
      <c r="D4284" t="s">
        <v>53</v>
      </c>
      <c r="E4284" t="s">
        <v>54</v>
      </c>
      <c r="F4284" t="s">
        <v>55</v>
      </c>
      <c r="G4284" t="s">
        <v>203</v>
      </c>
      <c r="H4284" t="s">
        <v>203</v>
      </c>
      <c r="I4284" t="s">
        <v>43</v>
      </c>
      <c r="J4284" t="s">
        <v>44</v>
      </c>
      <c r="K4284" t="s">
        <v>48</v>
      </c>
      <c r="L4284" t="s">
        <v>49</v>
      </c>
      <c r="M4284" t="s">
        <v>140</v>
      </c>
      <c r="N4284">
        <v>30</v>
      </c>
      <c r="O4284">
        <v>4.4882149000000003E-2</v>
      </c>
      <c r="P4284">
        <v>4.2969345999999999E-2</v>
      </c>
      <c r="Q4284" t="str">
        <f t="shared" si="132"/>
        <v>35-49</v>
      </c>
      <c r="R4284" t="str">
        <f t="shared" si="133"/>
        <v>[cPtvxaZqXIH]|35-49|Male|NEW_INFECTIONS_SUBNAT.T_1|CY2024Q3</v>
      </c>
    </row>
    <row r="4285" spans="4:18" x14ac:dyDescent="0.2">
      <c r="D4285" t="s">
        <v>53</v>
      </c>
      <c r="E4285" t="s">
        <v>54</v>
      </c>
      <c r="F4285" t="s">
        <v>55</v>
      </c>
      <c r="G4285" t="s">
        <v>203</v>
      </c>
      <c r="H4285" t="s">
        <v>203</v>
      </c>
      <c r="I4285" t="s">
        <v>45</v>
      </c>
      <c r="J4285" t="s">
        <v>46</v>
      </c>
      <c r="K4285" t="s">
        <v>48</v>
      </c>
      <c r="L4285" t="s">
        <v>49</v>
      </c>
      <c r="M4285" t="s">
        <v>140</v>
      </c>
      <c r="N4285">
        <v>8</v>
      </c>
      <c r="O4285">
        <v>4.5614384000000001E-2</v>
      </c>
      <c r="P4285">
        <v>4.2969345999999999E-2</v>
      </c>
      <c r="Q4285" t="str">
        <f t="shared" si="132"/>
        <v>50+</v>
      </c>
      <c r="R4285" t="str">
        <f t="shared" si="133"/>
        <v>[cPtvxaZqXIH]|50+|Male|NEW_INFECTIONS_SUBNAT.T_1|CY2024Q3</v>
      </c>
    </row>
    <row r="4286" spans="4:18" x14ac:dyDescent="0.2">
      <c r="D4286" t="s">
        <v>60</v>
      </c>
      <c r="E4286" t="s">
        <v>61</v>
      </c>
      <c r="F4286" t="s">
        <v>62</v>
      </c>
      <c r="G4286" t="s">
        <v>203</v>
      </c>
      <c r="H4286" t="s">
        <v>203</v>
      </c>
      <c r="I4286" t="s">
        <v>28</v>
      </c>
      <c r="J4286" t="s">
        <v>29</v>
      </c>
      <c r="K4286" t="s">
        <v>30</v>
      </c>
      <c r="L4286" t="s">
        <v>31</v>
      </c>
      <c r="M4286" t="s">
        <v>140</v>
      </c>
      <c r="N4286">
        <v>9</v>
      </c>
      <c r="O4286">
        <v>8.2162634999999998E-2</v>
      </c>
      <c r="P4286">
        <v>8.4408064000000005E-2</v>
      </c>
      <c r="Q4286" t="str">
        <f t="shared" si="132"/>
        <v>&lt;01</v>
      </c>
      <c r="R4286" t="str">
        <f t="shared" si="133"/>
        <v>[E7zpfyBt7Tw]|&lt;01|Female|NEW_INFECTIONS_SUBNAT.T_1|CY2024Q3</v>
      </c>
    </row>
    <row r="4287" spans="4:18" x14ac:dyDescent="0.2">
      <c r="D4287" t="s">
        <v>60</v>
      </c>
      <c r="E4287" t="s">
        <v>61</v>
      </c>
      <c r="F4287" t="s">
        <v>62</v>
      </c>
      <c r="G4287" t="s">
        <v>203</v>
      </c>
      <c r="H4287" t="s">
        <v>203</v>
      </c>
      <c r="I4287" t="s">
        <v>33</v>
      </c>
      <c r="J4287" t="s">
        <v>34</v>
      </c>
      <c r="K4287" t="s">
        <v>30</v>
      </c>
      <c r="L4287" t="s">
        <v>31</v>
      </c>
      <c r="M4287" t="s">
        <v>140</v>
      </c>
      <c r="N4287">
        <v>2</v>
      </c>
      <c r="O4287">
        <v>4.1081316999999999E-2</v>
      </c>
      <c r="P4287">
        <v>8.4408064000000005E-2</v>
      </c>
      <c r="Q4287" t="str">
        <f t="shared" si="132"/>
        <v>01-09</v>
      </c>
      <c r="R4287" t="str">
        <f t="shared" si="133"/>
        <v>[E7zpfyBt7Tw]|01-09|Female|NEW_INFECTIONS_SUBNAT.T_1|CY2024Q3</v>
      </c>
    </row>
    <row r="4288" spans="4:18" x14ac:dyDescent="0.2">
      <c r="D4288" t="s">
        <v>60</v>
      </c>
      <c r="E4288" t="s">
        <v>61</v>
      </c>
      <c r="F4288" t="s">
        <v>62</v>
      </c>
      <c r="G4288" t="s">
        <v>203</v>
      </c>
      <c r="H4288" t="s">
        <v>203</v>
      </c>
      <c r="I4288" t="s">
        <v>36</v>
      </c>
      <c r="J4288" t="s">
        <v>37</v>
      </c>
      <c r="K4288" t="s">
        <v>30</v>
      </c>
      <c r="L4288" t="s">
        <v>31</v>
      </c>
      <c r="M4288" t="s">
        <v>140</v>
      </c>
      <c r="N4288">
        <v>0</v>
      </c>
      <c r="O4288">
        <v>0</v>
      </c>
      <c r="P4288">
        <v>8.4408064000000005E-2</v>
      </c>
      <c r="Q4288" t="str">
        <f t="shared" si="132"/>
        <v>10-14</v>
      </c>
      <c r="R4288" t="str">
        <f t="shared" si="133"/>
        <v>[E7zpfyBt7Tw]|10-14|Female|NEW_INFECTIONS_SUBNAT.T_1|CY2024Q3</v>
      </c>
    </row>
    <row r="4289" spans="4:18" x14ac:dyDescent="0.2">
      <c r="D4289" t="s">
        <v>60</v>
      </c>
      <c r="E4289" t="s">
        <v>61</v>
      </c>
      <c r="F4289" t="s">
        <v>62</v>
      </c>
      <c r="G4289" t="s">
        <v>203</v>
      </c>
      <c r="H4289" t="s">
        <v>203</v>
      </c>
      <c r="I4289" t="s">
        <v>38</v>
      </c>
      <c r="J4289" t="s">
        <v>39</v>
      </c>
      <c r="K4289" t="s">
        <v>30</v>
      </c>
      <c r="L4289" t="s">
        <v>31</v>
      </c>
      <c r="M4289" t="s">
        <v>140</v>
      </c>
      <c r="N4289">
        <v>46</v>
      </c>
      <c r="O4289">
        <v>9.0165099999999998E-2</v>
      </c>
      <c r="P4289">
        <v>8.4408064000000005E-2</v>
      </c>
      <c r="Q4289" t="str">
        <f t="shared" si="132"/>
        <v>15-24</v>
      </c>
      <c r="R4289" t="str">
        <f t="shared" si="133"/>
        <v>[E7zpfyBt7Tw]|15-24|Female|NEW_INFECTIONS_SUBNAT.T_1|CY2024Q3</v>
      </c>
    </row>
    <row r="4290" spans="4:18" x14ac:dyDescent="0.2">
      <c r="D4290" t="s">
        <v>60</v>
      </c>
      <c r="E4290" t="s">
        <v>61</v>
      </c>
      <c r="F4290" t="s">
        <v>62</v>
      </c>
      <c r="G4290" t="s">
        <v>203</v>
      </c>
      <c r="H4290" t="s">
        <v>203</v>
      </c>
      <c r="I4290" t="s">
        <v>41</v>
      </c>
      <c r="J4290" t="s">
        <v>42</v>
      </c>
      <c r="K4290" t="s">
        <v>30</v>
      </c>
      <c r="L4290" t="s">
        <v>31</v>
      </c>
      <c r="M4290" t="s">
        <v>140</v>
      </c>
      <c r="N4290">
        <v>40</v>
      </c>
      <c r="O4290">
        <v>8.5861212000000006E-2</v>
      </c>
      <c r="P4290">
        <v>8.4408064000000005E-2</v>
      </c>
      <c r="Q4290" t="str">
        <f t="shared" si="132"/>
        <v>25-34</v>
      </c>
      <c r="R4290" t="str">
        <f t="shared" si="133"/>
        <v>[E7zpfyBt7Tw]|25-34|Female|NEW_INFECTIONS_SUBNAT.T_1|CY2024Q3</v>
      </c>
    </row>
    <row r="4291" spans="4:18" x14ac:dyDescent="0.2">
      <c r="D4291" t="s">
        <v>60</v>
      </c>
      <c r="E4291" t="s">
        <v>61</v>
      </c>
      <c r="F4291" t="s">
        <v>62</v>
      </c>
      <c r="G4291" t="s">
        <v>203</v>
      </c>
      <c r="H4291" t="s">
        <v>203</v>
      </c>
      <c r="I4291" t="s">
        <v>43</v>
      </c>
      <c r="J4291" t="s">
        <v>44</v>
      </c>
      <c r="K4291" t="s">
        <v>30</v>
      </c>
      <c r="L4291" t="s">
        <v>31</v>
      </c>
      <c r="M4291" t="s">
        <v>140</v>
      </c>
      <c r="N4291">
        <v>21</v>
      </c>
      <c r="O4291">
        <v>7.7539937000000003E-2</v>
      </c>
      <c r="P4291">
        <v>8.4408064000000005E-2</v>
      </c>
      <c r="Q4291" t="str">
        <f t="shared" ref="Q4291:Q4354" si="134">SUBSTITUTE(SUBSTITUTE($I4291,CHAR(61),""),CHAR(34),"")</f>
        <v>35-49</v>
      </c>
      <c r="R4291" t="str">
        <f t="shared" ref="R4291:R4354" si="135">IF($D4291&lt;&gt;"","["&amp;$E4291&amp;"]"&amp;"|"&amp;$Q4291&amp;"|"&amp;$K4291&amp;"|"&amp;$G4291&amp;"|"&amp;IF($G4291="TX_CURR_SUBNAT.R","CY2023Q4",$M4291),"")</f>
        <v>[E7zpfyBt7Tw]|35-49|Female|NEW_INFECTIONS_SUBNAT.T_1|CY2024Q3</v>
      </c>
    </row>
    <row r="4292" spans="4:18" x14ac:dyDescent="0.2">
      <c r="D4292" t="s">
        <v>60</v>
      </c>
      <c r="E4292" t="s">
        <v>61</v>
      </c>
      <c r="F4292" t="s">
        <v>62</v>
      </c>
      <c r="G4292" t="s">
        <v>203</v>
      </c>
      <c r="H4292" t="s">
        <v>203</v>
      </c>
      <c r="I4292" t="s">
        <v>45</v>
      </c>
      <c r="J4292" t="s">
        <v>46</v>
      </c>
      <c r="K4292" t="s">
        <v>30</v>
      </c>
      <c r="L4292" t="s">
        <v>31</v>
      </c>
      <c r="M4292" t="s">
        <v>140</v>
      </c>
      <c r="N4292">
        <v>4</v>
      </c>
      <c r="O4292">
        <v>8.0261039000000006E-2</v>
      </c>
      <c r="P4292">
        <v>8.4408064000000005E-2</v>
      </c>
      <c r="Q4292" t="str">
        <f t="shared" si="134"/>
        <v>50+</v>
      </c>
      <c r="R4292" t="str">
        <f t="shared" si="135"/>
        <v>[E7zpfyBt7Tw]|50+|Female|NEW_INFECTIONS_SUBNAT.T_1|CY2024Q3</v>
      </c>
    </row>
    <row r="4293" spans="4:18" x14ac:dyDescent="0.2">
      <c r="D4293" t="s">
        <v>60</v>
      </c>
      <c r="E4293" t="s">
        <v>61</v>
      </c>
      <c r="F4293" t="s">
        <v>62</v>
      </c>
      <c r="G4293" t="s">
        <v>203</v>
      </c>
      <c r="H4293" t="s">
        <v>203</v>
      </c>
      <c r="I4293" t="s">
        <v>28</v>
      </c>
      <c r="J4293" t="s">
        <v>29</v>
      </c>
      <c r="K4293" t="s">
        <v>48</v>
      </c>
      <c r="L4293" t="s">
        <v>49</v>
      </c>
      <c r="M4293" t="s">
        <v>140</v>
      </c>
      <c r="N4293">
        <v>10</v>
      </c>
      <c r="O4293">
        <v>8.2168282999999995E-2</v>
      </c>
      <c r="P4293">
        <v>8.4408064000000005E-2</v>
      </c>
      <c r="Q4293" t="str">
        <f t="shared" si="134"/>
        <v>&lt;01</v>
      </c>
      <c r="R4293" t="str">
        <f t="shared" si="135"/>
        <v>[E7zpfyBt7Tw]|&lt;01|Male|NEW_INFECTIONS_SUBNAT.T_1|CY2024Q3</v>
      </c>
    </row>
    <row r="4294" spans="4:18" x14ac:dyDescent="0.2">
      <c r="D4294" t="s">
        <v>60</v>
      </c>
      <c r="E4294" t="s">
        <v>61</v>
      </c>
      <c r="F4294" t="s">
        <v>62</v>
      </c>
      <c r="G4294" t="s">
        <v>203</v>
      </c>
      <c r="H4294" t="s">
        <v>203</v>
      </c>
      <c r="I4294" t="s">
        <v>33</v>
      </c>
      <c r="J4294" t="s">
        <v>34</v>
      </c>
      <c r="K4294" t="s">
        <v>48</v>
      </c>
      <c r="L4294" t="s">
        <v>49</v>
      </c>
      <c r="M4294" t="s">
        <v>140</v>
      </c>
      <c r="N4294">
        <v>2</v>
      </c>
      <c r="O4294">
        <v>4.1084141999999997E-2</v>
      </c>
      <c r="P4294">
        <v>8.4408064000000005E-2</v>
      </c>
      <c r="Q4294" t="str">
        <f t="shared" si="134"/>
        <v>01-09</v>
      </c>
      <c r="R4294" t="str">
        <f t="shared" si="135"/>
        <v>[E7zpfyBt7Tw]|01-09|Male|NEW_INFECTIONS_SUBNAT.T_1|CY2024Q3</v>
      </c>
    </row>
    <row r="4295" spans="4:18" x14ac:dyDescent="0.2">
      <c r="D4295" t="s">
        <v>60</v>
      </c>
      <c r="E4295" t="s">
        <v>61</v>
      </c>
      <c r="F4295" t="s">
        <v>62</v>
      </c>
      <c r="G4295" t="s">
        <v>203</v>
      </c>
      <c r="H4295" t="s">
        <v>203</v>
      </c>
      <c r="I4295" t="s">
        <v>36</v>
      </c>
      <c r="J4295" t="s">
        <v>37</v>
      </c>
      <c r="K4295" t="s">
        <v>48</v>
      </c>
      <c r="L4295" t="s">
        <v>49</v>
      </c>
      <c r="M4295" t="s">
        <v>140</v>
      </c>
      <c r="N4295">
        <v>0</v>
      </c>
      <c r="O4295">
        <v>0</v>
      </c>
      <c r="P4295">
        <v>8.4408064000000005E-2</v>
      </c>
      <c r="Q4295" t="str">
        <f t="shared" si="134"/>
        <v>10-14</v>
      </c>
      <c r="R4295" t="str">
        <f t="shared" si="135"/>
        <v>[E7zpfyBt7Tw]|10-14|Male|NEW_INFECTIONS_SUBNAT.T_1|CY2024Q3</v>
      </c>
    </row>
    <row r="4296" spans="4:18" x14ac:dyDescent="0.2">
      <c r="D4296" t="s">
        <v>60</v>
      </c>
      <c r="E4296" t="s">
        <v>61</v>
      </c>
      <c r="F4296" t="s">
        <v>62</v>
      </c>
      <c r="G4296" t="s">
        <v>203</v>
      </c>
      <c r="H4296" t="s">
        <v>203</v>
      </c>
      <c r="I4296" t="s">
        <v>38</v>
      </c>
      <c r="J4296" t="s">
        <v>39</v>
      </c>
      <c r="K4296" t="s">
        <v>48</v>
      </c>
      <c r="L4296" t="s">
        <v>49</v>
      </c>
      <c r="M4296" t="s">
        <v>140</v>
      </c>
      <c r="N4296">
        <v>8</v>
      </c>
      <c r="O4296">
        <v>9.0937605000000005E-2</v>
      </c>
      <c r="P4296">
        <v>8.4408064000000005E-2</v>
      </c>
      <c r="Q4296" t="str">
        <f t="shared" si="134"/>
        <v>15-24</v>
      </c>
      <c r="R4296" t="str">
        <f t="shared" si="135"/>
        <v>[E7zpfyBt7Tw]|15-24|Male|NEW_INFECTIONS_SUBNAT.T_1|CY2024Q3</v>
      </c>
    </row>
    <row r="4297" spans="4:18" x14ac:dyDescent="0.2">
      <c r="D4297" t="s">
        <v>60</v>
      </c>
      <c r="E4297" t="s">
        <v>61</v>
      </c>
      <c r="F4297" t="s">
        <v>62</v>
      </c>
      <c r="G4297" t="s">
        <v>203</v>
      </c>
      <c r="H4297" t="s">
        <v>203</v>
      </c>
      <c r="I4297" t="s">
        <v>41</v>
      </c>
      <c r="J4297" t="s">
        <v>42</v>
      </c>
      <c r="K4297" t="s">
        <v>48</v>
      </c>
      <c r="L4297" t="s">
        <v>49</v>
      </c>
      <c r="M4297" t="s">
        <v>140</v>
      </c>
      <c r="N4297">
        <v>24</v>
      </c>
      <c r="O4297">
        <v>8.9127612999999994E-2</v>
      </c>
      <c r="P4297">
        <v>8.4408064000000005E-2</v>
      </c>
      <c r="Q4297" t="str">
        <f t="shared" si="134"/>
        <v>25-34</v>
      </c>
      <c r="R4297" t="str">
        <f t="shared" si="135"/>
        <v>[E7zpfyBt7Tw]|25-34|Male|NEW_INFECTIONS_SUBNAT.T_1|CY2024Q3</v>
      </c>
    </row>
    <row r="4298" spans="4:18" x14ac:dyDescent="0.2">
      <c r="D4298" t="s">
        <v>60</v>
      </c>
      <c r="E4298" t="s">
        <v>61</v>
      </c>
      <c r="F4298" t="s">
        <v>62</v>
      </c>
      <c r="G4298" t="s">
        <v>203</v>
      </c>
      <c r="H4298" t="s">
        <v>203</v>
      </c>
      <c r="I4298" t="s">
        <v>43</v>
      </c>
      <c r="J4298" t="s">
        <v>44</v>
      </c>
      <c r="K4298" t="s">
        <v>48</v>
      </c>
      <c r="L4298" t="s">
        <v>49</v>
      </c>
      <c r="M4298" t="s">
        <v>140</v>
      </c>
      <c r="N4298">
        <v>24</v>
      </c>
      <c r="O4298">
        <v>8.2391693000000002E-2</v>
      </c>
      <c r="P4298">
        <v>8.4408064000000005E-2</v>
      </c>
      <c r="Q4298" t="str">
        <f t="shared" si="134"/>
        <v>35-49</v>
      </c>
      <c r="R4298" t="str">
        <f t="shared" si="135"/>
        <v>[E7zpfyBt7Tw]|35-49|Male|NEW_INFECTIONS_SUBNAT.T_1|CY2024Q3</v>
      </c>
    </row>
    <row r="4299" spans="4:18" x14ac:dyDescent="0.2">
      <c r="D4299" t="s">
        <v>60</v>
      </c>
      <c r="E4299" t="s">
        <v>61</v>
      </c>
      <c r="F4299" t="s">
        <v>62</v>
      </c>
      <c r="G4299" t="s">
        <v>203</v>
      </c>
      <c r="H4299" t="s">
        <v>203</v>
      </c>
      <c r="I4299" t="s">
        <v>45</v>
      </c>
      <c r="J4299" t="s">
        <v>46</v>
      </c>
      <c r="K4299" t="s">
        <v>48</v>
      </c>
      <c r="L4299" t="s">
        <v>49</v>
      </c>
      <c r="M4299" t="s">
        <v>140</v>
      </c>
      <c r="N4299">
        <v>7</v>
      </c>
      <c r="O4299">
        <v>7.9007857000000001E-2</v>
      </c>
      <c r="P4299">
        <v>8.4408064000000005E-2</v>
      </c>
      <c r="Q4299" t="str">
        <f t="shared" si="134"/>
        <v>50+</v>
      </c>
      <c r="R4299" t="str">
        <f t="shared" si="135"/>
        <v>[E7zpfyBt7Tw]|50+|Male|NEW_INFECTIONS_SUBNAT.T_1|CY2024Q3</v>
      </c>
    </row>
    <row r="4300" spans="4:18" x14ac:dyDescent="0.2">
      <c r="D4300" t="s">
        <v>63</v>
      </c>
      <c r="E4300" t="s">
        <v>64</v>
      </c>
      <c r="F4300" t="s">
        <v>65</v>
      </c>
      <c r="G4300" t="s">
        <v>203</v>
      </c>
      <c r="H4300" t="s">
        <v>203</v>
      </c>
      <c r="I4300" t="s">
        <v>28</v>
      </c>
      <c r="J4300" t="s">
        <v>29</v>
      </c>
      <c r="K4300" t="s">
        <v>30</v>
      </c>
      <c r="L4300" t="s">
        <v>31</v>
      </c>
      <c r="M4300" t="s">
        <v>140</v>
      </c>
      <c r="N4300">
        <v>6</v>
      </c>
      <c r="O4300">
        <v>7.6651226000000003E-2</v>
      </c>
      <c r="P4300">
        <v>8.0961713000000005E-2</v>
      </c>
      <c r="Q4300" t="str">
        <f t="shared" si="134"/>
        <v>&lt;01</v>
      </c>
      <c r="R4300" t="str">
        <f t="shared" si="135"/>
        <v>[lPTyjLi4w3d]|&lt;01|Female|NEW_INFECTIONS_SUBNAT.T_1|CY2024Q3</v>
      </c>
    </row>
    <row r="4301" spans="4:18" x14ac:dyDescent="0.2">
      <c r="D4301" t="s">
        <v>63</v>
      </c>
      <c r="E4301" t="s">
        <v>64</v>
      </c>
      <c r="F4301" t="s">
        <v>65</v>
      </c>
      <c r="G4301" t="s">
        <v>203</v>
      </c>
      <c r="H4301" t="s">
        <v>203</v>
      </c>
      <c r="I4301" t="s">
        <v>33</v>
      </c>
      <c r="J4301" t="s">
        <v>34</v>
      </c>
      <c r="K4301" t="s">
        <v>30</v>
      </c>
      <c r="L4301" t="s">
        <v>31</v>
      </c>
      <c r="M4301" t="s">
        <v>140</v>
      </c>
      <c r="N4301">
        <v>1</v>
      </c>
      <c r="O4301">
        <v>3.8325613000000001E-2</v>
      </c>
      <c r="P4301">
        <v>8.0961713000000005E-2</v>
      </c>
      <c r="Q4301" t="str">
        <f t="shared" si="134"/>
        <v>01-09</v>
      </c>
      <c r="R4301" t="str">
        <f t="shared" si="135"/>
        <v>[lPTyjLi4w3d]|01-09|Female|NEW_INFECTIONS_SUBNAT.T_1|CY2024Q3</v>
      </c>
    </row>
    <row r="4302" spans="4:18" x14ac:dyDescent="0.2">
      <c r="D4302" t="s">
        <v>63</v>
      </c>
      <c r="E4302" t="s">
        <v>64</v>
      </c>
      <c r="F4302" t="s">
        <v>65</v>
      </c>
      <c r="G4302" t="s">
        <v>203</v>
      </c>
      <c r="H4302" t="s">
        <v>203</v>
      </c>
      <c r="I4302" t="s">
        <v>36</v>
      </c>
      <c r="J4302" t="s">
        <v>37</v>
      </c>
      <c r="K4302" t="s">
        <v>30</v>
      </c>
      <c r="L4302" t="s">
        <v>31</v>
      </c>
      <c r="M4302" t="s">
        <v>140</v>
      </c>
      <c r="N4302">
        <v>0</v>
      </c>
      <c r="O4302">
        <v>0</v>
      </c>
      <c r="P4302">
        <v>8.0961713000000005E-2</v>
      </c>
      <c r="Q4302" t="str">
        <f t="shared" si="134"/>
        <v>10-14</v>
      </c>
      <c r="R4302" t="str">
        <f t="shared" si="135"/>
        <v>[lPTyjLi4w3d]|10-14|Female|NEW_INFECTIONS_SUBNAT.T_1|CY2024Q3</v>
      </c>
    </row>
    <row r="4303" spans="4:18" x14ac:dyDescent="0.2">
      <c r="D4303" t="s">
        <v>63</v>
      </c>
      <c r="E4303" t="s">
        <v>64</v>
      </c>
      <c r="F4303" t="s">
        <v>65</v>
      </c>
      <c r="G4303" t="s">
        <v>203</v>
      </c>
      <c r="H4303" t="s">
        <v>203</v>
      </c>
      <c r="I4303" t="s">
        <v>38</v>
      </c>
      <c r="J4303" t="s">
        <v>39</v>
      </c>
      <c r="K4303" t="s">
        <v>30</v>
      </c>
      <c r="L4303" t="s">
        <v>31</v>
      </c>
      <c r="M4303" t="s">
        <v>140</v>
      </c>
      <c r="N4303">
        <v>27</v>
      </c>
      <c r="O4303">
        <v>8.5770244999999995E-2</v>
      </c>
      <c r="P4303">
        <v>8.0961713000000005E-2</v>
      </c>
      <c r="Q4303" t="str">
        <f t="shared" si="134"/>
        <v>15-24</v>
      </c>
      <c r="R4303" t="str">
        <f t="shared" si="135"/>
        <v>[lPTyjLi4w3d]|15-24|Female|NEW_INFECTIONS_SUBNAT.T_1|CY2024Q3</v>
      </c>
    </row>
    <row r="4304" spans="4:18" x14ac:dyDescent="0.2">
      <c r="D4304" t="s">
        <v>63</v>
      </c>
      <c r="E4304" t="s">
        <v>64</v>
      </c>
      <c r="F4304" t="s">
        <v>65</v>
      </c>
      <c r="G4304" t="s">
        <v>203</v>
      </c>
      <c r="H4304" t="s">
        <v>203</v>
      </c>
      <c r="I4304" t="s">
        <v>41</v>
      </c>
      <c r="J4304" t="s">
        <v>42</v>
      </c>
      <c r="K4304" t="s">
        <v>30</v>
      </c>
      <c r="L4304" t="s">
        <v>31</v>
      </c>
      <c r="M4304" t="s">
        <v>140</v>
      </c>
      <c r="N4304">
        <v>26</v>
      </c>
      <c r="O4304">
        <v>8.3186014000000003E-2</v>
      </c>
      <c r="P4304">
        <v>8.0961713000000005E-2</v>
      </c>
      <c r="Q4304" t="str">
        <f t="shared" si="134"/>
        <v>25-34</v>
      </c>
      <c r="R4304" t="str">
        <f t="shared" si="135"/>
        <v>[lPTyjLi4w3d]|25-34|Female|NEW_INFECTIONS_SUBNAT.T_1|CY2024Q3</v>
      </c>
    </row>
    <row r="4305" spans="4:18" x14ac:dyDescent="0.2">
      <c r="D4305" t="s">
        <v>63</v>
      </c>
      <c r="E4305" t="s">
        <v>64</v>
      </c>
      <c r="F4305" t="s">
        <v>65</v>
      </c>
      <c r="G4305" t="s">
        <v>203</v>
      </c>
      <c r="H4305" t="s">
        <v>203</v>
      </c>
      <c r="I4305" t="s">
        <v>43</v>
      </c>
      <c r="J4305" t="s">
        <v>44</v>
      </c>
      <c r="K4305" t="s">
        <v>30</v>
      </c>
      <c r="L4305" t="s">
        <v>31</v>
      </c>
      <c r="M4305" t="s">
        <v>140</v>
      </c>
      <c r="N4305">
        <v>14</v>
      </c>
      <c r="O4305">
        <v>7.7192327000000005E-2</v>
      </c>
      <c r="P4305">
        <v>8.0961713000000005E-2</v>
      </c>
      <c r="Q4305" t="str">
        <f t="shared" si="134"/>
        <v>35-49</v>
      </c>
      <c r="R4305" t="str">
        <f t="shared" si="135"/>
        <v>[lPTyjLi4w3d]|35-49|Female|NEW_INFECTIONS_SUBNAT.T_1|CY2024Q3</v>
      </c>
    </row>
    <row r="4306" spans="4:18" x14ac:dyDescent="0.2">
      <c r="D4306" t="s">
        <v>63</v>
      </c>
      <c r="E4306" t="s">
        <v>64</v>
      </c>
      <c r="F4306" t="s">
        <v>65</v>
      </c>
      <c r="G4306" t="s">
        <v>203</v>
      </c>
      <c r="H4306" t="s">
        <v>203</v>
      </c>
      <c r="I4306" t="s">
        <v>45</v>
      </c>
      <c r="J4306" t="s">
        <v>46</v>
      </c>
      <c r="K4306" t="s">
        <v>30</v>
      </c>
      <c r="L4306" t="s">
        <v>31</v>
      </c>
      <c r="M4306" t="s">
        <v>140</v>
      </c>
      <c r="N4306">
        <v>2</v>
      </c>
      <c r="O4306">
        <v>7.8773780000000002E-2</v>
      </c>
      <c r="P4306">
        <v>8.0961713000000005E-2</v>
      </c>
      <c r="Q4306" t="str">
        <f t="shared" si="134"/>
        <v>50+</v>
      </c>
      <c r="R4306" t="str">
        <f t="shared" si="135"/>
        <v>[lPTyjLi4w3d]|50+|Female|NEW_INFECTIONS_SUBNAT.T_1|CY2024Q3</v>
      </c>
    </row>
    <row r="4307" spans="4:18" x14ac:dyDescent="0.2">
      <c r="D4307" t="s">
        <v>63</v>
      </c>
      <c r="E4307" t="s">
        <v>64</v>
      </c>
      <c r="F4307" t="s">
        <v>65</v>
      </c>
      <c r="G4307" t="s">
        <v>203</v>
      </c>
      <c r="H4307" t="s">
        <v>203</v>
      </c>
      <c r="I4307" t="s">
        <v>28</v>
      </c>
      <c r="J4307" t="s">
        <v>29</v>
      </c>
      <c r="K4307" t="s">
        <v>48</v>
      </c>
      <c r="L4307" t="s">
        <v>49</v>
      </c>
      <c r="M4307" t="s">
        <v>140</v>
      </c>
      <c r="N4307">
        <v>6</v>
      </c>
      <c r="O4307">
        <v>7.6651172000000004E-2</v>
      </c>
      <c r="P4307">
        <v>8.0961713000000005E-2</v>
      </c>
      <c r="Q4307" t="str">
        <f t="shared" si="134"/>
        <v>&lt;01</v>
      </c>
      <c r="R4307" t="str">
        <f t="shared" si="135"/>
        <v>[lPTyjLi4w3d]|&lt;01|Male|NEW_INFECTIONS_SUBNAT.T_1|CY2024Q3</v>
      </c>
    </row>
    <row r="4308" spans="4:18" x14ac:dyDescent="0.2">
      <c r="D4308" t="s">
        <v>63</v>
      </c>
      <c r="E4308" t="s">
        <v>64</v>
      </c>
      <c r="F4308" t="s">
        <v>65</v>
      </c>
      <c r="G4308" t="s">
        <v>203</v>
      </c>
      <c r="H4308" t="s">
        <v>203</v>
      </c>
      <c r="I4308" t="s">
        <v>33</v>
      </c>
      <c r="J4308" t="s">
        <v>34</v>
      </c>
      <c r="K4308" t="s">
        <v>48</v>
      </c>
      <c r="L4308" t="s">
        <v>49</v>
      </c>
      <c r="M4308" t="s">
        <v>140</v>
      </c>
      <c r="N4308">
        <v>1</v>
      </c>
      <c r="O4308">
        <v>3.8325586000000002E-2</v>
      </c>
      <c r="P4308">
        <v>8.0961713000000005E-2</v>
      </c>
      <c r="Q4308" t="str">
        <f t="shared" si="134"/>
        <v>01-09</v>
      </c>
      <c r="R4308" t="str">
        <f t="shared" si="135"/>
        <v>[lPTyjLi4w3d]|01-09|Male|NEW_INFECTIONS_SUBNAT.T_1|CY2024Q3</v>
      </c>
    </row>
    <row r="4309" spans="4:18" x14ac:dyDescent="0.2">
      <c r="D4309" t="s">
        <v>63</v>
      </c>
      <c r="E4309" t="s">
        <v>64</v>
      </c>
      <c r="F4309" t="s">
        <v>65</v>
      </c>
      <c r="G4309" t="s">
        <v>203</v>
      </c>
      <c r="H4309" t="s">
        <v>203</v>
      </c>
      <c r="I4309" t="s">
        <v>36</v>
      </c>
      <c r="J4309" t="s">
        <v>37</v>
      </c>
      <c r="K4309" t="s">
        <v>48</v>
      </c>
      <c r="L4309" t="s">
        <v>49</v>
      </c>
      <c r="M4309" t="s">
        <v>140</v>
      </c>
      <c r="N4309">
        <v>0</v>
      </c>
      <c r="O4309">
        <v>0</v>
      </c>
      <c r="P4309">
        <v>8.0961713000000005E-2</v>
      </c>
      <c r="Q4309" t="str">
        <f t="shared" si="134"/>
        <v>10-14</v>
      </c>
      <c r="R4309" t="str">
        <f t="shared" si="135"/>
        <v>[lPTyjLi4w3d]|10-14|Male|NEW_INFECTIONS_SUBNAT.T_1|CY2024Q3</v>
      </c>
    </row>
    <row r="4310" spans="4:18" x14ac:dyDescent="0.2">
      <c r="D4310" t="s">
        <v>63</v>
      </c>
      <c r="E4310" t="s">
        <v>64</v>
      </c>
      <c r="F4310" t="s">
        <v>65</v>
      </c>
      <c r="G4310" t="s">
        <v>203</v>
      </c>
      <c r="H4310" t="s">
        <v>203</v>
      </c>
      <c r="I4310" t="s">
        <v>38</v>
      </c>
      <c r="J4310" t="s">
        <v>39</v>
      </c>
      <c r="K4310" t="s">
        <v>48</v>
      </c>
      <c r="L4310" t="s">
        <v>49</v>
      </c>
      <c r="M4310" t="s">
        <v>140</v>
      </c>
      <c r="N4310">
        <v>4</v>
      </c>
      <c r="O4310">
        <v>8.6306222000000002E-2</v>
      </c>
      <c r="P4310">
        <v>8.0961713000000005E-2</v>
      </c>
      <c r="Q4310" t="str">
        <f t="shared" si="134"/>
        <v>15-24</v>
      </c>
      <c r="R4310" t="str">
        <f t="shared" si="135"/>
        <v>[lPTyjLi4w3d]|15-24|Male|NEW_INFECTIONS_SUBNAT.T_1|CY2024Q3</v>
      </c>
    </row>
    <row r="4311" spans="4:18" x14ac:dyDescent="0.2">
      <c r="D4311" t="s">
        <v>63</v>
      </c>
      <c r="E4311" t="s">
        <v>64</v>
      </c>
      <c r="F4311" t="s">
        <v>65</v>
      </c>
      <c r="G4311" t="s">
        <v>203</v>
      </c>
      <c r="H4311" t="s">
        <v>203</v>
      </c>
      <c r="I4311" t="s">
        <v>41</v>
      </c>
      <c r="J4311" t="s">
        <v>42</v>
      </c>
      <c r="K4311" t="s">
        <v>48</v>
      </c>
      <c r="L4311" t="s">
        <v>49</v>
      </c>
      <c r="M4311" t="s">
        <v>140</v>
      </c>
      <c r="N4311">
        <v>15</v>
      </c>
      <c r="O4311">
        <v>8.5178553000000004E-2</v>
      </c>
      <c r="P4311">
        <v>8.0961713000000005E-2</v>
      </c>
      <c r="Q4311" t="str">
        <f t="shared" si="134"/>
        <v>25-34</v>
      </c>
      <c r="R4311" t="str">
        <f t="shared" si="135"/>
        <v>[lPTyjLi4w3d]|25-34|Male|NEW_INFECTIONS_SUBNAT.T_1|CY2024Q3</v>
      </c>
    </row>
    <row r="4312" spans="4:18" x14ac:dyDescent="0.2">
      <c r="D4312" t="s">
        <v>63</v>
      </c>
      <c r="E4312" t="s">
        <v>64</v>
      </c>
      <c r="F4312" t="s">
        <v>65</v>
      </c>
      <c r="G4312" t="s">
        <v>203</v>
      </c>
      <c r="H4312" t="s">
        <v>203</v>
      </c>
      <c r="I4312" t="s">
        <v>43</v>
      </c>
      <c r="J4312" t="s">
        <v>44</v>
      </c>
      <c r="K4312" t="s">
        <v>48</v>
      </c>
      <c r="L4312" t="s">
        <v>49</v>
      </c>
      <c r="M4312" t="s">
        <v>140</v>
      </c>
      <c r="N4312">
        <v>16</v>
      </c>
      <c r="O4312">
        <v>8.0822805999999997E-2</v>
      </c>
      <c r="P4312">
        <v>8.0961713000000005E-2</v>
      </c>
      <c r="Q4312" t="str">
        <f t="shared" si="134"/>
        <v>35-49</v>
      </c>
      <c r="R4312" t="str">
        <f t="shared" si="135"/>
        <v>[lPTyjLi4w3d]|35-49|Male|NEW_INFECTIONS_SUBNAT.T_1|CY2024Q3</v>
      </c>
    </row>
    <row r="4313" spans="4:18" x14ac:dyDescent="0.2">
      <c r="D4313" t="s">
        <v>63</v>
      </c>
      <c r="E4313" t="s">
        <v>64</v>
      </c>
      <c r="F4313" t="s">
        <v>65</v>
      </c>
      <c r="G4313" t="s">
        <v>203</v>
      </c>
      <c r="H4313" t="s">
        <v>203</v>
      </c>
      <c r="I4313" t="s">
        <v>45</v>
      </c>
      <c r="J4313" t="s">
        <v>46</v>
      </c>
      <c r="K4313" t="s">
        <v>48</v>
      </c>
      <c r="L4313" t="s">
        <v>49</v>
      </c>
      <c r="M4313" t="s">
        <v>140</v>
      </c>
      <c r="N4313">
        <v>5</v>
      </c>
      <c r="O4313">
        <v>7.8656496000000006E-2</v>
      </c>
      <c r="P4313">
        <v>8.0961713000000005E-2</v>
      </c>
      <c r="Q4313" t="str">
        <f t="shared" si="134"/>
        <v>50+</v>
      </c>
      <c r="R4313" t="str">
        <f t="shared" si="135"/>
        <v>[lPTyjLi4w3d]|50+|Male|NEW_INFECTIONS_SUBNAT.T_1|CY2024Q3</v>
      </c>
    </row>
    <row r="4314" spans="4:18" x14ac:dyDescent="0.2">
      <c r="D4314" t="s">
        <v>66</v>
      </c>
      <c r="E4314" t="s">
        <v>67</v>
      </c>
      <c r="F4314" t="s">
        <v>68</v>
      </c>
      <c r="G4314" t="s">
        <v>203</v>
      </c>
      <c r="H4314" t="s">
        <v>203</v>
      </c>
      <c r="I4314" t="s">
        <v>28</v>
      </c>
      <c r="J4314" t="s">
        <v>29</v>
      </c>
      <c r="K4314" t="s">
        <v>30</v>
      </c>
      <c r="L4314" t="s">
        <v>31</v>
      </c>
      <c r="M4314" t="s">
        <v>140</v>
      </c>
      <c r="N4314">
        <v>30</v>
      </c>
      <c r="O4314">
        <v>2.864363E-2</v>
      </c>
      <c r="P4314">
        <v>4.1791069E-2</v>
      </c>
      <c r="Q4314" t="str">
        <f t="shared" si="134"/>
        <v>&lt;01</v>
      </c>
      <c r="R4314" t="str">
        <f t="shared" si="135"/>
        <v>[vA4NcHxfMBq]|&lt;01|Female|NEW_INFECTIONS_SUBNAT.T_1|CY2024Q3</v>
      </c>
    </row>
    <row r="4315" spans="4:18" x14ac:dyDescent="0.2">
      <c r="D4315" t="s">
        <v>66</v>
      </c>
      <c r="E4315" t="s">
        <v>67</v>
      </c>
      <c r="F4315" t="s">
        <v>68</v>
      </c>
      <c r="G4315" t="s">
        <v>203</v>
      </c>
      <c r="H4315" t="s">
        <v>203</v>
      </c>
      <c r="I4315" t="s">
        <v>33</v>
      </c>
      <c r="J4315" t="s">
        <v>34</v>
      </c>
      <c r="K4315" t="s">
        <v>30</v>
      </c>
      <c r="L4315" t="s">
        <v>31</v>
      </c>
      <c r="M4315" t="s">
        <v>140</v>
      </c>
      <c r="N4315">
        <v>8</v>
      </c>
      <c r="O4315">
        <v>1.4321815E-2</v>
      </c>
      <c r="P4315">
        <v>4.1791069E-2</v>
      </c>
      <c r="Q4315" t="str">
        <f t="shared" si="134"/>
        <v>01-09</v>
      </c>
      <c r="R4315" t="str">
        <f t="shared" si="135"/>
        <v>[vA4NcHxfMBq]|01-09|Female|NEW_INFECTIONS_SUBNAT.T_1|CY2024Q3</v>
      </c>
    </row>
    <row r="4316" spans="4:18" x14ac:dyDescent="0.2">
      <c r="D4316" t="s">
        <v>66</v>
      </c>
      <c r="E4316" t="s">
        <v>67</v>
      </c>
      <c r="F4316" t="s">
        <v>68</v>
      </c>
      <c r="G4316" t="s">
        <v>203</v>
      </c>
      <c r="H4316" t="s">
        <v>203</v>
      </c>
      <c r="I4316" t="s">
        <v>36</v>
      </c>
      <c r="J4316" t="s">
        <v>37</v>
      </c>
      <c r="K4316" t="s">
        <v>30</v>
      </c>
      <c r="L4316" t="s">
        <v>31</v>
      </c>
      <c r="M4316" t="s">
        <v>140</v>
      </c>
      <c r="N4316">
        <v>0</v>
      </c>
      <c r="O4316">
        <v>0</v>
      </c>
      <c r="P4316">
        <v>4.1791069E-2</v>
      </c>
      <c r="Q4316" t="str">
        <f t="shared" si="134"/>
        <v>10-14</v>
      </c>
      <c r="R4316" t="str">
        <f t="shared" si="135"/>
        <v>[vA4NcHxfMBq]|10-14|Female|NEW_INFECTIONS_SUBNAT.T_1|CY2024Q3</v>
      </c>
    </row>
    <row r="4317" spans="4:18" x14ac:dyDescent="0.2">
      <c r="D4317" t="s">
        <v>66</v>
      </c>
      <c r="E4317" t="s">
        <v>67</v>
      </c>
      <c r="F4317" t="s">
        <v>68</v>
      </c>
      <c r="G4317" t="s">
        <v>203</v>
      </c>
      <c r="H4317" t="s">
        <v>203</v>
      </c>
      <c r="I4317" t="s">
        <v>38</v>
      </c>
      <c r="J4317" t="s">
        <v>39</v>
      </c>
      <c r="K4317" t="s">
        <v>30</v>
      </c>
      <c r="L4317" t="s">
        <v>31</v>
      </c>
      <c r="M4317" t="s">
        <v>140</v>
      </c>
      <c r="N4317">
        <v>156</v>
      </c>
      <c r="O4317">
        <v>4.6330401E-2</v>
      </c>
      <c r="P4317">
        <v>4.1791069E-2</v>
      </c>
      <c r="Q4317" t="str">
        <f t="shared" si="134"/>
        <v>15-24</v>
      </c>
      <c r="R4317" t="str">
        <f t="shared" si="135"/>
        <v>[vA4NcHxfMBq]|15-24|Female|NEW_INFECTIONS_SUBNAT.T_1|CY2024Q3</v>
      </c>
    </row>
    <row r="4318" spans="4:18" x14ac:dyDescent="0.2">
      <c r="D4318" t="s">
        <v>66</v>
      </c>
      <c r="E4318" t="s">
        <v>67</v>
      </c>
      <c r="F4318" t="s">
        <v>68</v>
      </c>
      <c r="G4318" t="s">
        <v>203</v>
      </c>
      <c r="H4318" t="s">
        <v>203</v>
      </c>
      <c r="I4318" t="s">
        <v>41</v>
      </c>
      <c r="J4318" t="s">
        <v>42</v>
      </c>
      <c r="K4318" t="s">
        <v>30</v>
      </c>
      <c r="L4318" t="s">
        <v>31</v>
      </c>
      <c r="M4318" t="s">
        <v>140</v>
      </c>
      <c r="N4318">
        <v>157</v>
      </c>
      <c r="O4318">
        <v>4.4867445999999998E-2</v>
      </c>
      <c r="P4318">
        <v>4.1791069E-2</v>
      </c>
      <c r="Q4318" t="str">
        <f t="shared" si="134"/>
        <v>25-34</v>
      </c>
      <c r="R4318" t="str">
        <f t="shared" si="135"/>
        <v>[vA4NcHxfMBq]|25-34|Female|NEW_INFECTIONS_SUBNAT.T_1|CY2024Q3</v>
      </c>
    </row>
    <row r="4319" spans="4:18" x14ac:dyDescent="0.2">
      <c r="D4319" t="s">
        <v>66</v>
      </c>
      <c r="E4319" t="s">
        <v>67</v>
      </c>
      <c r="F4319" t="s">
        <v>68</v>
      </c>
      <c r="G4319" t="s">
        <v>203</v>
      </c>
      <c r="H4319" t="s">
        <v>203</v>
      </c>
      <c r="I4319" t="s">
        <v>43</v>
      </c>
      <c r="J4319" t="s">
        <v>44</v>
      </c>
      <c r="K4319" t="s">
        <v>30</v>
      </c>
      <c r="L4319" t="s">
        <v>31</v>
      </c>
      <c r="M4319" t="s">
        <v>140</v>
      </c>
      <c r="N4319">
        <v>73</v>
      </c>
      <c r="O4319">
        <v>4.4448333999999999E-2</v>
      </c>
      <c r="P4319">
        <v>4.1791069E-2</v>
      </c>
      <c r="Q4319" t="str">
        <f t="shared" si="134"/>
        <v>35-49</v>
      </c>
      <c r="R4319" t="str">
        <f t="shared" si="135"/>
        <v>[vA4NcHxfMBq]|35-49|Female|NEW_INFECTIONS_SUBNAT.T_1|CY2024Q3</v>
      </c>
    </row>
    <row r="4320" spans="4:18" x14ac:dyDescent="0.2">
      <c r="D4320" t="s">
        <v>66</v>
      </c>
      <c r="E4320" t="s">
        <v>67</v>
      </c>
      <c r="F4320" t="s">
        <v>68</v>
      </c>
      <c r="G4320" t="s">
        <v>203</v>
      </c>
      <c r="H4320" t="s">
        <v>203</v>
      </c>
      <c r="I4320" t="s">
        <v>45</v>
      </c>
      <c r="J4320" t="s">
        <v>46</v>
      </c>
      <c r="K4320" t="s">
        <v>30</v>
      </c>
      <c r="L4320" t="s">
        <v>31</v>
      </c>
      <c r="M4320" t="s">
        <v>140</v>
      </c>
      <c r="N4320">
        <v>12</v>
      </c>
      <c r="O4320">
        <v>5.1094869000000001E-2</v>
      </c>
      <c r="P4320">
        <v>4.1791069E-2</v>
      </c>
      <c r="Q4320" t="str">
        <f t="shared" si="134"/>
        <v>50+</v>
      </c>
      <c r="R4320" t="str">
        <f t="shared" si="135"/>
        <v>[vA4NcHxfMBq]|50+|Female|NEW_INFECTIONS_SUBNAT.T_1|CY2024Q3</v>
      </c>
    </row>
    <row r="4321" spans="4:18" x14ac:dyDescent="0.2">
      <c r="D4321" t="s">
        <v>66</v>
      </c>
      <c r="E4321" t="s">
        <v>67</v>
      </c>
      <c r="F4321" t="s">
        <v>68</v>
      </c>
      <c r="G4321" t="s">
        <v>203</v>
      </c>
      <c r="H4321" t="s">
        <v>203</v>
      </c>
      <c r="I4321" t="s">
        <v>28</v>
      </c>
      <c r="J4321" t="s">
        <v>29</v>
      </c>
      <c r="K4321" t="s">
        <v>48</v>
      </c>
      <c r="L4321" t="s">
        <v>49</v>
      </c>
      <c r="M4321" t="s">
        <v>140</v>
      </c>
      <c r="N4321">
        <v>31</v>
      </c>
      <c r="O4321">
        <v>2.8682452000000001E-2</v>
      </c>
      <c r="P4321">
        <v>4.1791069E-2</v>
      </c>
      <c r="Q4321" t="str">
        <f t="shared" si="134"/>
        <v>&lt;01</v>
      </c>
      <c r="R4321" t="str">
        <f t="shared" si="135"/>
        <v>[vA4NcHxfMBq]|&lt;01|Male|NEW_INFECTIONS_SUBNAT.T_1|CY2024Q3</v>
      </c>
    </row>
    <row r="4322" spans="4:18" x14ac:dyDescent="0.2">
      <c r="D4322" t="s">
        <v>66</v>
      </c>
      <c r="E4322" t="s">
        <v>67</v>
      </c>
      <c r="F4322" t="s">
        <v>68</v>
      </c>
      <c r="G4322" t="s">
        <v>203</v>
      </c>
      <c r="H4322" t="s">
        <v>203</v>
      </c>
      <c r="I4322" t="s">
        <v>33</v>
      </c>
      <c r="J4322" t="s">
        <v>34</v>
      </c>
      <c r="K4322" t="s">
        <v>48</v>
      </c>
      <c r="L4322" t="s">
        <v>49</v>
      </c>
      <c r="M4322" t="s">
        <v>140</v>
      </c>
      <c r="N4322">
        <v>8</v>
      </c>
      <c r="O4322">
        <v>1.4341226E-2</v>
      </c>
      <c r="P4322">
        <v>4.1791069E-2</v>
      </c>
      <c r="Q4322" t="str">
        <f t="shared" si="134"/>
        <v>01-09</v>
      </c>
      <c r="R4322" t="str">
        <f t="shared" si="135"/>
        <v>[vA4NcHxfMBq]|01-09|Male|NEW_INFECTIONS_SUBNAT.T_1|CY2024Q3</v>
      </c>
    </row>
    <row r="4323" spans="4:18" x14ac:dyDescent="0.2">
      <c r="D4323" t="s">
        <v>66</v>
      </c>
      <c r="E4323" t="s">
        <v>67</v>
      </c>
      <c r="F4323" t="s">
        <v>68</v>
      </c>
      <c r="G4323" t="s">
        <v>203</v>
      </c>
      <c r="H4323" t="s">
        <v>203</v>
      </c>
      <c r="I4323" t="s">
        <v>36</v>
      </c>
      <c r="J4323" t="s">
        <v>37</v>
      </c>
      <c r="K4323" t="s">
        <v>48</v>
      </c>
      <c r="L4323" t="s">
        <v>49</v>
      </c>
      <c r="M4323" t="s">
        <v>140</v>
      </c>
      <c r="N4323">
        <v>0</v>
      </c>
      <c r="O4323">
        <v>0</v>
      </c>
      <c r="P4323">
        <v>4.1791069E-2</v>
      </c>
      <c r="Q4323" t="str">
        <f t="shared" si="134"/>
        <v>10-14</v>
      </c>
      <c r="R4323" t="str">
        <f t="shared" si="135"/>
        <v>[vA4NcHxfMBq]|10-14|Male|NEW_INFECTIONS_SUBNAT.T_1|CY2024Q3</v>
      </c>
    </row>
    <row r="4324" spans="4:18" x14ac:dyDescent="0.2">
      <c r="D4324" t="s">
        <v>66</v>
      </c>
      <c r="E4324" t="s">
        <v>67</v>
      </c>
      <c r="F4324" t="s">
        <v>68</v>
      </c>
      <c r="G4324" t="s">
        <v>203</v>
      </c>
      <c r="H4324" t="s">
        <v>203</v>
      </c>
      <c r="I4324" t="s">
        <v>38</v>
      </c>
      <c r="J4324" t="s">
        <v>39</v>
      </c>
      <c r="K4324" t="s">
        <v>48</v>
      </c>
      <c r="L4324" t="s">
        <v>49</v>
      </c>
      <c r="M4324" t="s">
        <v>140</v>
      </c>
      <c r="N4324">
        <v>25</v>
      </c>
      <c r="O4324">
        <v>4.6666764999999999E-2</v>
      </c>
      <c r="P4324">
        <v>4.1791069E-2</v>
      </c>
      <c r="Q4324" t="str">
        <f t="shared" si="134"/>
        <v>15-24</v>
      </c>
      <c r="R4324" t="str">
        <f t="shared" si="135"/>
        <v>[vA4NcHxfMBq]|15-24|Male|NEW_INFECTIONS_SUBNAT.T_1|CY2024Q3</v>
      </c>
    </row>
    <row r="4325" spans="4:18" x14ac:dyDescent="0.2">
      <c r="D4325" t="s">
        <v>66</v>
      </c>
      <c r="E4325" t="s">
        <v>67</v>
      </c>
      <c r="F4325" t="s">
        <v>68</v>
      </c>
      <c r="G4325" t="s">
        <v>203</v>
      </c>
      <c r="H4325" t="s">
        <v>203</v>
      </c>
      <c r="I4325" t="s">
        <v>41</v>
      </c>
      <c r="J4325" t="s">
        <v>42</v>
      </c>
      <c r="K4325" t="s">
        <v>48</v>
      </c>
      <c r="L4325" t="s">
        <v>49</v>
      </c>
      <c r="M4325" t="s">
        <v>140</v>
      </c>
      <c r="N4325">
        <v>91</v>
      </c>
      <c r="O4325">
        <v>4.5624957000000001E-2</v>
      </c>
      <c r="P4325">
        <v>4.1791069E-2</v>
      </c>
      <c r="Q4325" t="str">
        <f t="shared" si="134"/>
        <v>25-34</v>
      </c>
      <c r="R4325" t="str">
        <f t="shared" si="135"/>
        <v>[vA4NcHxfMBq]|25-34|Male|NEW_INFECTIONS_SUBNAT.T_1|CY2024Q3</v>
      </c>
    </row>
    <row r="4326" spans="4:18" x14ac:dyDescent="0.2">
      <c r="D4326" t="s">
        <v>66</v>
      </c>
      <c r="E4326" t="s">
        <v>67</v>
      </c>
      <c r="F4326" t="s">
        <v>68</v>
      </c>
      <c r="G4326" t="s">
        <v>203</v>
      </c>
      <c r="H4326" t="s">
        <v>203</v>
      </c>
      <c r="I4326" t="s">
        <v>43</v>
      </c>
      <c r="J4326" t="s">
        <v>44</v>
      </c>
      <c r="K4326" t="s">
        <v>48</v>
      </c>
      <c r="L4326" t="s">
        <v>49</v>
      </c>
      <c r="M4326" t="s">
        <v>140</v>
      </c>
      <c r="N4326">
        <v>89</v>
      </c>
      <c r="O4326">
        <v>4.3845409000000002E-2</v>
      </c>
      <c r="P4326">
        <v>4.1791069E-2</v>
      </c>
      <c r="Q4326" t="str">
        <f t="shared" si="134"/>
        <v>35-49</v>
      </c>
      <c r="R4326" t="str">
        <f t="shared" si="135"/>
        <v>[vA4NcHxfMBq]|35-49|Male|NEW_INFECTIONS_SUBNAT.T_1|CY2024Q3</v>
      </c>
    </row>
    <row r="4327" spans="4:18" x14ac:dyDescent="0.2">
      <c r="D4327" t="s">
        <v>66</v>
      </c>
      <c r="E4327" t="s">
        <v>67</v>
      </c>
      <c r="F4327" t="s">
        <v>68</v>
      </c>
      <c r="G4327" t="s">
        <v>203</v>
      </c>
      <c r="H4327" t="s">
        <v>203</v>
      </c>
      <c r="I4327" t="s">
        <v>45</v>
      </c>
      <c r="J4327" t="s">
        <v>46</v>
      </c>
      <c r="K4327" t="s">
        <v>48</v>
      </c>
      <c r="L4327" t="s">
        <v>49</v>
      </c>
      <c r="M4327" t="s">
        <v>140</v>
      </c>
      <c r="N4327">
        <v>24</v>
      </c>
      <c r="O4327">
        <v>4.9571630999999998E-2</v>
      </c>
      <c r="P4327">
        <v>4.1791069E-2</v>
      </c>
      <c r="Q4327" t="str">
        <f t="shared" si="134"/>
        <v>50+</v>
      </c>
      <c r="R4327" t="str">
        <f t="shared" si="135"/>
        <v>[vA4NcHxfMBq]|50+|Male|NEW_INFECTIONS_SUBNAT.T_1|CY2024Q3</v>
      </c>
    </row>
    <row r="4328" spans="4:18" x14ac:dyDescent="0.2">
      <c r="D4328" t="s">
        <v>69</v>
      </c>
      <c r="E4328" t="s">
        <v>70</v>
      </c>
      <c r="F4328" t="s">
        <v>71</v>
      </c>
      <c r="G4328" t="s">
        <v>203</v>
      </c>
      <c r="H4328" t="s">
        <v>203</v>
      </c>
      <c r="I4328" t="s">
        <v>28</v>
      </c>
      <c r="J4328" t="s">
        <v>29</v>
      </c>
      <c r="K4328" t="s">
        <v>30</v>
      </c>
      <c r="L4328" t="s">
        <v>31</v>
      </c>
      <c r="M4328" t="s">
        <v>140</v>
      </c>
      <c r="N4328">
        <v>0</v>
      </c>
      <c r="O4328">
        <v>3.1530032E-2</v>
      </c>
      <c r="P4328">
        <v>4.6686815999999999E-2</v>
      </c>
      <c r="Q4328" t="str">
        <f t="shared" si="134"/>
        <v>&lt;01</v>
      </c>
      <c r="R4328" t="str">
        <f t="shared" si="135"/>
        <v>[ZCjuwgaMB9u]|&lt;01|Female|NEW_INFECTIONS_SUBNAT.T_1|CY2024Q3</v>
      </c>
    </row>
    <row r="4329" spans="4:18" x14ac:dyDescent="0.2">
      <c r="D4329" t="s">
        <v>69</v>
      </c>
      <c r="E4329" t="s">
        <v>70</v>
      </c>
      <c r="F4329" t="s">
        <v>71</v>
      </c>
      <c r="G4329" t="s">
        <v>203</v>
      </c>
      <c r="H4329" t="s">
        <v>203</v>
      </c>
      <c r="I4329" t="s">
        <v>33</v>
      </c>
      <c r="J4329" t="s">
        <v>34</v>
      </c>
      <c r="K4329" t="s">
        <v>30</v>
      </c>
      <c r="L4329" t="s">
        <v>31</v>
      </c>
      <c r="M4329" t="s">
        <v>140</v>
      </c>
      <c r="N4329">
        <v>0</v>
      </c>
      <c r="O4329">
        <v>1.5765016E-2</v>
      </c>
      <c r="P4329">
        <v>4.6686815999999999E-2</v>
      </c>
      <c r="Q4329" t="str">
        <f t="shared" si="134"/>
        <v>01-09</v>
      </c>
      <c r="R4329" t="str">
        <f t="shared" si="135"/>
        <v>[ZCjuwgaMB9u]|01-09|Female|NEW_INFECTIONS_SUBNAT.T_1|CY2024Q3</v>
      </c>
    </row>
    <row r="4330" spans="4:18" x14ac:dyDescent="0.2">
      <c r="D4330" t="s">
        <v>69</v>
      </c>
      <c r="E4330" t="s">
        <v>70</v>
      </c>
      <c r="F4330" t="s">
        <v>71</v>
      </c>
      <c r="G4330" t="s">
        <v>203</v>
      </c>
      <c r="H4330" t="s">
        <v>203</v>
      </c>
      <c r="I4330" t="s">
        <v>36</v>
      </c>
      <c r="J4330" t="s">
        <v>37</v>
      </c>
      <c r="K4330" t="s">
        <v>30</v>
      </c>
      <c r="L4330" t="s">
        <v>31</v>
      </c>
      <c r="M4330" t="s">
        <v>140</v>
      </c>
      <c r="N4330">
        <v>0</v>
      </c>
      <c r="O4330">
        <v>0</v>
      </c>
      <c r="P4330">
        <v>4.6686815999999999E-2</v>
      </c>
      <c r="Q4330" t="str">
        <f t="shared" si="134"/>
        <v>10-14</v>
      </c>
      <c r="R4330" t="str">
        <f t="shared" si="135"/>
        <v>[ZCjuwgaMB9u]|10-14|Female|NEW_INFECTIONS_SUBNAT.T_1|CY2024Q3</v>
      </c>
    </row>
    <row r="4331" spans="4:18" x14ac:dyDescent="0.2">
      <c r="D4331" t="s">
        <v>69</v>
      </c>
      <c r="E4331" t="s">
        <v>70</v>
      </c>
      <c r="F4331" t="s">
        <v>71</v>
      </c>
      <c r="G4331" t="s">
        <v>203</v>
      </c>
      <c r="H4331" t="s">
        <v>203</v>
      </c>
      <c r="I4331" t="s">
        <v>38</v>
      </c>
      <c r="J4331" t="s">
        <v>39</v>
      </c>
      <c r="K4331" t="s">
        <v>30</v>
      </c>
      <c r="L4331" t="s">
        <v>31</v>
      </c>
      <c r="M4331" t="s">
        <v>140</v>
      </c>
      <c r="N4331">
        <v>3</v>
      </c>
      <c r="O4331">
        <v>5.1660561000000001E-2</v>
      </c>
      <c r="P4331">
        <v>4.6686815999999999E-2</v>
      </c>
      <c r="Q4331" t="str">
        <f t="shared" si="134"/>
        <v>15-24</v>
      </c>
      <c r="R4331" t="str">
        <f t="shared" si="135"/>
        <v>[ZCjuwgaMB9u]|15-24|Female|NEW_INFECTIONS_SUBNAT.T_1|CY2024Q3</v>
      </c>
    </row>
    <row r="4332" spans="4:18" x14ac:dyDescent="0.2">
      <c r="D4332" t="s">
        <v>69</v>
      </c>
      <c r="E4332" t="s">
        <v>70</v>
      </c>
      <c r="F4332" t="s">
        <v>71</v>
      </c>
      <c r="G4332" t="s">
        <v>203</v>
      </c>
      <c r="H4332" t="s">
        <v>203</v>
      </c>
      <c r="I4332" t="s">
        <v>41</v>
      </c>
      <c r="J4332" t="s">
        <v>42</v>
      </c>
      <c r="K4332" t="s">
        <v>30</v>
      </c>
      <c r="L4332" t="s">
        <v>31</v>
      </c>
      <c r="M4332" t="s">
        <v>140</v>
      </c>
      <c r="N4332">
        <v>3</v>
      </c>
      <c r="O4332">
        <v>5.0043156999999998E-2</v>
      </c>
      <c r="P4332">
        <v>4.6686815999999999E-2</v>
      </c>
      <c r="Q4332" t="str">
        <f t="shared" si="134"/>
        <v>25-34</v>
      </c>
      <c r="R4332" t="str">
        <f t="shared" si="135"/>
        <v>[ZCjuwgaMB9u]|25-34|Female|NEW_INFECTIONS_SUBNAT.T_1|CY2024Q3</v>
      </c>
    </row>
    <row r="4333" spans="4:18" x14ac:dyDescent="0.2">
      <c r="D4333" t="s">
        <v>69</v>
      </c>
      <c r="E4333" t="s">
        <v>70</v>
      </c>
      <c r="F4333" t="s">
        <v>71</v>
      </c>
      <c r="G4333" t="s">
        <v>203</v>
      </c>
      <c r="H4333" t="s">
        <v>203</v>
      </c>
      <c r="I4333" t="s">
        <v>43</v>
      </c>
      <c r="J4333" t="s">
        <v>44</v>
      </c>
      <c r="K4333" t="s">
        <v>30</v>
      </c>
      <c r="L4333" t="s">
        <v>31</v>
      </c>
      <c r="M4333" t="s">
        <v>140</v>
      </c>
      <c r="N4333">
        <v>1</v>
      </c>
      <c r="O4333">
        <v>4.7184022999999999E-2</v>
      </c>
      <c r="P4333">
        <v>4.6686815999999999E-2</v>
      </c>
      <c r="Q4333" t="str">
        <f t="shared" si="134"/>
        <v>35-49</v>
      </c>
      <c r="R4333" t="str">
        <f t="shared" si="135"/>
        <v>[ZCjuwgaMB9u]|35-49|Female|NEW_INFECTIONS_SUBNAT.T_1|CY2024Q3</v>
      </c>
    </row>
    <row r="4334" spans="4:18" x14ac:dyDescent="0.2">
      <c r="D4334" t="s">
        <v>69</v>
      </c>
      <c r="E4334" t="s">
        <v>70</v>
      </c>
      <c r="F4334" t="s">
        <v>71</v>
      </c>
      <c r="G4334" t="s">
        <v>203</v>
      </c>
      <c r="H4334" t="s">
        <v>203</v>
      </c>
      <c r="I4334" t="s">
        <v>45</v>
      </c>
      <c r="J4334" t="s">
        <v>46</v>
      </c>
      <c r="K4334" t="s">
        <v>30</v>
      </c>
      <c r="L4334" t="s">
        <v>31</v>
      </c>
      <c r="M4334" t="s">
        <v>140</v>
      </c>
      <c r="N4334">
        <v>0</v>
      </c>
      <c r="O4334">
        <v>5.0349641000000001E-2</v>
      </c>
      <c r="P4334">
        <v>4.6686815999999999E-2</v>
      </c>
      <c r="Q4334" t="str">
        <f t="shared" si="134"/>
        <v>50+</v>
      </c>
      <c r="R4334" t="str">
        <f t="shared" si="135"/>
        <v>[ZCjuwgaMB9u]|50+|Female|NEW_INFECTIONS_SUBNAT.T_1|CY2024Q3</v>
      </c>
    </row>
    <row r="4335" spans="4:18" x14ac:dyDescent="0.2">
      <c r="D4335" t="s">
        <v>69</v>
      </c>
      <c r="E4335" t="s">
        <v>70</v>
      </c>
      <c r="F4335" t="s">
        <v>71</v>
      </c>
      <c r="G4335" t="s">
        <v>203</v>
      </c>
      <c r="H4335" t="s">
        <v>203</v>
      </c>
      <c r="I4335" t="s">
        <v>28</v>
      </c>
      <c r="J4335" t="s">
        <v>29</v>
      </c>
      <c r="K4335" t="s">
        <v>48</v>
      </c>
      <c r="L4335" t="s">
        <v>49</v>
      </c>
      <c r="M4335" t="s">
        <v>140</v>
      </c>
      <c r="N4335">
        <v>0</v>
      </c>
      <c r="O4335">
        <v>3.1536624999999999E-2</v>
      </c>
      <c r="P4335">
        <v>4.6686815999999999E-2</v>
      </c>
      <c r="Q4335" t="str">
        <f t="shared" si="134"/>
        <v>&lt;01</v>
      </c>
      <c r="R4335" t="str">
        <f t="shared" si="135"/>
        <v>[ZCjuwgaMB9u]|&lt;01|Male|NEW_INFECTIONS_SUBNAT.T_1|CY2024Q3</v>
      </c>
    </row>
    <row r="4336" spans="4:18" x14ac:dyDescent="0.2">
      <c r="D4336" t="s">
        <v>69</v>
      </c>
      <c r="E4336" t="s">
        <v>70</v>
      </c>
      <c r="F4336" t="s">
        <v>71</v>
      </c>
      <c r="G4336" t="s">
        <v>203</v>
      </c>
      <c r="H4336" t="s">
        <v>203</v>
      </c>
      <c r="I4336" t="s">
        <v>33</v>
      </c>
      <c r="J4336" t="s">
        <v>34</v>
      </c>
      <c r="K4336" t="s">
        <v>48</v>
      </c>
      <c r="L4336" t="s">
        <v>49</v>
      </c>
      <c r="M4336" t="s">
        <v>140</v>
      </c>
      <c r="N4336">
        <v>0</v>
      </c>
      <c r="O4336">
        <v>1.5768312E-2</v>
      </c>
      <c r="P4336">
        <v>4.6686815999999999E-2</v>
      </c>
      <c r="Q4336" t="str">
        <f t="shared" si="134"/>
        <v>01-09</v>
      </c>
      <c r="R4336" t="str">
        <f t="shared" si="135"/>
        <v>[ZCjuwgaMB9u]|01-09|Male|NEW_INFECTIONS_SUBNAT.T_1|CY2024Q3</v>
      </c>
    </row>
    <row r="4337" spans="4:18" x14ac:dyDescent="0.2">
      <c r="D4337" t="s">
        <v>69</v>
      </c>
      <c r="E4337" t="s">
        <v>70</v>
      </c>
      <c r="F4337" t="s">
        <v>71</v>
      </c>
      <c r="G4337" t="s">
        <v>203</v>
      </c>
      <c r="H4337" t="s">
        <v>203</v>
      </c>
      <c r="I4337" t="s">
        <v>36</v>
      </c>
      <c r="J4337" t="s">
        <v>37</v>
      </c>
      <c r="K4337" t="s">
        <v>48</v>
      </c>
      <c r="L4337" t="s">
        <v>49</v>
      </c>
      <c r="M4337" t="s">
        <v>140</v>
      </c>
      <c r="N4337">
        <v>0</v>
      </c>
      <c r="O4337">
        <v>0</v>
      </c>
      <c r="P4337">
        <v>4.6686815999999999E-2</v>
      </c>
      <c r="Q4337" t="str">
        <f t="shared" si="134"/>
        <v>10-14</v>
      </c>
      <c r="R4337" t="str">
        <f t="shared" si="135"/>
        <v>[ZCjuwgaMB9u]|10-14|Male|NEW_INFECTIONS_SUBNAT.T_1|CY2024Q3</v>
      </c>
    </row>
    <row r="4338" spans="4:18" x14ac:dyDescent="0.2">
      <c r="D4338" t="s">
        <v>69</v>
      </c>
      <c r="E4338" t="s">
        <v>70</v>
      </c>
      <c r="F4338" t="s">
        <v>71</v>
      </c>
      <c r="G4338" t="s">
        <v>203</v>
      </c>
      <c r="H4338" t="s">
        <v>203</v>
      </c>
      <c r="I4338" t="s">
        <v>38</v>
      </c>
      <c r="J4338" t="s">
        <v>39</v>
      </c>
      <c r="K4338" t="s">
        <v>48</v>
      </c>
      <c r="L4338" t="s">
        <v>49</v>
      </c>
      <c r="M4338" t="s">
        <v>140</v>
      </c>
      <c r="N4338">
        <v>1</v>
      </c>
      <c r="O4338">
        <v>5.1984478000000001E-2</v>
      </c>
      <c r="P4338">
        <v>4.6686815999999999E-2</v>
      </c>
      <c r="Q4338" t="str">
        <f t="shared" si="134"/>
        <v>15-24</v>
      </c>
      <c r="R4338" t="str">
        <f t="shared" si="135"/>
        <v>[ZCjuwgaMB9u]|15-24|Male|NEW_INFECTIONS_SUBNAT.T_1|CY2024Q3</v>
      </c>
    </row>
    <row r="4339" spans="4:18" x14ac:dyDescent="0.2">
      <c r="D4339" t="s">
        <v>69</v>
      </c>
      <c r="E4339" t="s">
        <v>70</v>
      </c>
      <c r="F4339" t="s">
        <v>71</v>
      </c>
      <c r="G4339" t="s">
        <v>203</v>
      </c>
      <c r="H4339" t="s">
        <v>203</v>
      </c>
      <c r="I4339" t="s">
        <v>41</v>
      </c>
      <c r="J4339" t="s">
        <v>42</v>
      </c>
      <c r="K4339" t="s">
        <v>48</v>
      </c>
      <c r="L4339" t="s">
        <v>49</v>
      </c>
      <c r="M4339" t="s">
        <v>140</v>
      </c>
      <c r="N4339">
        <v>2</v>
      </c>
      <c r="O4339">
        <v>5.1019020999999998E-2</v>
      </c>
      <c r="P4339">
        <v>4.6686815999999999E-2</v>
      </c>
      <c r="Q4339" t="str">
        <f t="shared" si="134"/>
        <v>25-34</v>
      </c>
      <c r="R4339" t="str">
        <f t="shared" si="135"/>
        <v>[ZCjuwgaMB9u]|25-34|Male|NEW_INFECTIONS_SUBNAT.T_1|CY2024Q3</v>
      </c>
    </row>
    <row r="4340" spans="4:18" x14ac:dyDescent="0.2">
      <c r="D4340" t="s">
        <v>69</v>
      </c>
      <c r="E4340" t="s">
        <v>70</v>
      </c>
      <c r="F4340" t="s">
        <v>71</v>
      </c>
      <c r="G4340" t="s">
        <v>203</v>
      </c>
      <c r="H4340" t="s">
        <v>203</v>
      </c>
      <c r="I4340" t="s">
        <v>43</v>
      </c>
      <c r="J4340" t="s">
        <v>44</v>
      </c>
      <c r="K4340" t="s">
        <v>48</v>
      </c>
      <c r="L4340" t="s">
        <v>49</v>
      </c>
      <c r="M4340" t="s">
        <v>140</v>
      </c>
      <c r="N4340">
        <v>2</v>
      </c>
      <c r="O4340">
        <v>4.8181641999999997E-2</v>
      </c>
      <c r="P4340">
        <v>4.6686815999999999E-2</v>
      </c>
      <c r="Q4340" t="str">
        <f t="shared" si="134"/>
        <v>35-49</v>
      </c>
      <c r="R4340" t="str">
        <f t="shared" si="135"/>
        <v>[ZCjuwgaMB9u]|35-49|Male|NEW_INFECTIONS_SUBNAT.T_1|CY2024Q3</v>
      </c>
    </row>
    <row r="4341" spans="4:18" x14ac:dyDescent="0.2">
      <c r="D4341" t="s">
        <v>69</v>
      </c>
      <c r="E4341" t="s">
        <v>70</v>
      </c>
      <c r="F4341" t="s">
        <v>71</v>
      </c>
      <c r="G4341" t="s">
        <v>203</v>
      </c>
      <c r="H4341" t="s">
        <v>203</v>
      </c>
      <c r="I4341" t="s">
        <v>45</v>
      </c>
      <c r="J4341" t="s">
        <v>46</v>
      </c>
      <c r="K4341" t="s">
        <v>48</v>
      </c>
      <c r="L4341" t="s">
        <v>49</v>
      </c>
      <c r="M4341" t="s">
        <v>140</v>
      </c>
      <c r="N4341">
        <v>0</v>
      </c>
      <c r="O4341">
        <v>4.9826657000000003E-2</v>
      </c>
      <c r="P4341">
        <v>4.6686815999999999E-2</v>
      </c>
      <c r="Q4341" t="str">
        <f t="shared" si="134"/>
        <v>50+</v>
      </c>
      <c r="R4341" t="str">
        <f t="shared" si="135"/>
        <v>[ZCjuwgaMB9u]|50+|Male|NEW_INFECTIONS_SUBNAT.T_1|CY2024Q3</v>
      </c>
    </row>
    <row r="4342" spans="4:18" x14ac:dyDescent="0.2">
      <c r="D4342" t="s">
        <v>72</v>
      </c>
      <c r="E4342" t="s">
        <v>73</v>
      </c>
      <c r="F4342" t="s">
        <v>74</v>
      </c>
      <c r="G4342" t="s">
        <v>203</v>
      </c>
      <c r="H4342" t="s">
        <v>203</v>
      </c>
      <c r="I4342" t="s">
        <v>28</v>
      </c>
      <c r="J4342" t="s">
        <v>29</v>
      </c>
      <c r="K4342" t="s">
        <v>30</v>
      </c>
      <c r="L4342" t="s">
        <v>31</v>
      </c>
      <c r="M4342" t="s">
        <v>140</v>
      </c>
      <c r="N4342">
        <v>14</v>
      </c>
      <c r="O4342">
        <v>7.5920836000000005E-2</v>
      </c>
      <c r="P4342">
        <v>7.9772406000000004E-2</v>
      </c>
      <c r="Q4342" t="str">
        <f t="shared" si="134"/>
        <v>&lt;01</v>
      </c>
      <c r="R4342" t="str">
        <f t="shared" si="135"/>
        <v>[JQKLKuVuY61]|&lt;01|Female|NEW_INFECTIONS_SUBNAT.T_1|CY2024Q3</v>
      </c>
    </row>
    <row r="4343" spans="4:18" x14ac:dyDescent="0.2">
      <c r="D4343" t="s">
        <v>72</v>
      </c>
      <c r="E4343" t="s">
        <v>73</v>
      </c>
      <c r="F4343" t="s">
        <v>74</v>
      </c>
      <c r="G4343" t="s">
        <v>203</v>
      </c>
      <c r="H4343" t="s">
        <v>203</v>
      </c>
      <c r="I4343" t="s">
        <v>33</v>
      </c>
      <c r="J4343" t="s">
        <v>34</v>
      </c>
      <c r="K4343" t="s">
        <v>30</v>
      </c>
      <c r="L4343" t="s">
        <v>31</v>
      </c>
      <c r="M4343" t="s">
        <v>140</v>
      </c>
      <c r="N4343">
        <v>4</v>
      </c>
      <c r="O4343">
        <v>3.7960418000000003E-2</v>
      </c>
      <c r="P4343">
        <v>7.9772406000000004E-2</v>
      </c>
      <c r="Q4343" t="str">
        <f t="shared" si="134"/>
        <v>01-09</v>
      </c>
      <c r="R4343" t="str">
        <f t="shared" si="135"/>
        <v>[JQKLKuVuY61]|01-09|Female|NEW_INFECTIONS_SUBNAT.T_1|CY2024Q3</v>
      </c>
    </row>
    <row r="4344" spans="4:18" x14ac:dyDescent="0.2">
      <c r="D4344" t="s">
        <v>72</v>
      </c>
      <c r="E4344" t="s">
        <v>73</v>
      </c>
      <c r="F4344" t="s">
        <v>74</v>
      </c>
      <c r="G4344" t="s">
        <v>203</v>
      </c>
      <c r="H4344" t="s">
        <v>203</v>
      </c>
      <c r="I4344" t="s">
        <v>36</v>
      </c>
      <c r="J4344" t="s">
        <v>37</v>
      </c>
      <c r="K4344" t="s">
        <v>30</v>
      </c>
      <c r="L4344" t="s">
        <v>31</v>
      </c>
      <c r="M4344" t="s">
        <v>140</v>
      </c>
      <c r="N4344">
        <v>0</v>
      </c>
      <c r="O4344">
        <v>0</v>
      </c>
      <c r="P4344">
        <v>7.9772406000000004E-2</v>
      </c>
      <c r="Q4344" t="str">
        <f t="shared" si="134"/>
        <v>10-14</v>
      </c>
      <c r="R4344" t="str">
        <f t="shared" si="135"/>
        <v>[JQKLKuVuY61]|10-14|Female|NEW_INFECTIONS_SUBNAT.T_1|CY2024Q3</v>
      </c>
    </row>
    <row r="4345" spans="4:18" x14ac:dyDescent="0.2">
      <c r="D4345" t="s">
        <v>72</v>
      </c>
      <c r="E4345" t="s">
        <v>73</v>
      </c>
      <c r="F4345" t="s">
        <v>74</v>
      </c>
      <c r="G4345" t="s">
        <v>203</v>
      </c>
      <c r="H4345" t="s">
        <v>203</v>
      </c>
      <c r="I4345" t="s">
        <v>38</v>
      </c>
      <c r="J4345" t="s">
        <v>39</v>
      </c>
      <c r="K4345" t="s">
        <v>30</v>
      </c>
      <c r="L4345" t="s">
        <v>31</v>
      </c>
      <c r="M4345" t="s">
        <v>140</v>
      </c>
      <c r="N4345">
        <v>59</v>
      </c>
      <c r="O4345">
        <v>8.3141819000000006E-2</v>
      </c>
      <c r="P4345">
        <v>7.9772406000000004E-2</v>
      </c>
      <c r="Q4345" t="str">
        <f t="shared" si="134"/>
        <v>15-24</v>
      </c>
      <c r="R4345" t="str">
        <f t="shared" si="135"/>
        <v>[JQKLKuVuY61]|15-24|Female|NEW_INFECTIONS_SUBNAT.T_1|CY2024Q3</v>
      </c>
    </row>
    <row r="4346" spans="4:18" x14ac:dyDescent="0.2">
      <c r="D4346" t="s">
        <v>72</v>
      </c>
      <c r="E4346" t="s">
        <v>73</v>
      </c>
      <c r="F4346" t="s">
        <v>74</v>
      </c>
      <c r="G4346" t="s">
        <v>203</v>
      </c>
      <c r="H4346" t="s">
        <v>203</v>
      </c>
      <c r="I4346" t="s">
        <v>41</v>
      </c>
      <c r="J4346" t="s">
        <v>42</v>
      </c>
      <c r="K4346" t="s">
        <v>30</v>
      </c>
      <c r="L4346" t="s">
        <v>31</v>
      </c>
      <c r="M4346" t="s">
        <v>140</v>
      </c>
      <c r="N4346">
        <v>59</v>
      </c>
      <c r="O4346">
        <v>8.1643921999999994E-2</v>
      </c>
      <c r="P4346">
        <v>7.9772406000000004E-2</v>
      </c>
      <c r="Q4346" t="str">
        <f t="shared" si="134"/>
        <v>25-34</v>
      </c>
      <c r="R4346" t="str">
        <f t="shared" si="135"/>
        <v>[JQKLKuVuY61]|25-34|Female|NEW_INFECTIONS_SUBNAT.T_1|CY2024Q3</v>
      </c>
    </row>
    <row r="4347" spans="4:18" x14ac:dyDescent="0.2">
      <c r="D4347" t="s">
        <v>72</v>
      </c>
      <c r="E4347" t="s">
        <v>73</v>
      </c>
      <c r="F4347" t="s">
        <v>74</v>
      </c>
      <c r="G4347" t="s">
        <v>203</v>
      </c>
      <c r="H4347" t="s">
        <v>203</v>
      </c>
      <c r="I4347" t="s">
        <v>43</v>
      </c>
      <c r="J4347" t="s">
        <v>44</v>
      </c>
      <c r="K4347" t="s">
        <v>30</v>
      </c>
      <c r="L4347" t="s">
        <v>31</v>
      </c>
      <c r="M4347" t="s">
        <v>140</v>
      </c>
      <c r="N4347">
        <v>32</v>
      </c>
      <c r="O4347">
        <v>7.7791649000000004E-2</v>
      </c>
      <c r="P4347">
        <v>7.9772406000000004E-2</v>
      </c>
      <c r="Q4347" t="str">
        <f t="shared" si="134"/>
        <v>35-49</v>
      </c>
      <c r="R4347" t="str">
        <f t="shared" si="135"/>
        <v>[JQKLKuVuY61]|35-49|Female|NEW_INFECTIONS_SUBNAT.T_1|CY2024Q3</v>
      </c>
    </row>
    <row r="4348" spans="4:18" x14ac:dyDescent="0.2">
      <c r="D4348" t="s">
        <v>72</v>
      </c>
      <c r="E4348" t="s">
        <v>73</v>
      </c>
      <c r="F4348" t="s">
        <v>74</v>
      </c>
      <c r="G4348" t="s">
        <v>203</v>
      </c>
      <c r="H4348" t="s">
        <v>203</v>
      </c>
      <c r="I4348" t="s">
        <v>45</v>
      </c>
      <c r="J4348" t="s">
        <v>46</v>
      </c>
      <c r="K4348" t="s">
        <v>30</v>
      </c>
      <c r="L4348" t="s">
        <v>31</v>
      </c>
      <c r="M4348" t="s">
        <v>140</v>
      </c>
      <c r="N4348">
        <v>5</v>
      </c>
      <c r="O4348">
        <v>7.8446859999999993E-2</v>
      </c>
      <c r="P4348">
        <v>7.9772406000000004E-2</v>
      </c>
      <c r="Q4348" t="str">
        <f t="shared" si="134"/>
        <v>50+</v>
      </c>
      <c r="R4348" t="str">
        <f t="shared" si="135"/>
        <v>[JQKLKuVuY61]|50+|Female|NEW_INFECTIONS_SUBNAT.T_1|CY2024Q3</v>
      </c>
    </row>
    <row r="4349" spans="4:18" x14ac:dyDescent="0.2">
      <c r="D4349" t="s">
        <v>72</v>
      </c>
      <c r="E4349" t="s">
        <v>73</v>
      </c>
      <c r="F4349" t="s">
        <v>74</v>
      </c>
      <c r="G4349" t="s">
        <v>203</v>
      </c>
      <c r="H4349" t="s">
        <v>203</v>
      </c>
      <c r="I4349" t="s">
        <v>28</v>
      </c>
      <c r="J4349" t="s">
        <v>29</v>
      </c>
      <c r="K4349" t="s">
        <v>48</v>
      </c>
      <c r="L4349" t="s">
        <v>49</v>
      </c>
      <c r="M4349" t="s">
        <v>140</v>
      </c>
      <c r="N4349">
        <v>14</v>
      </c>
      <c r="O4349">
        <v>7.5920029E-2</v>
      </c>
      <c r="P4349">
        <v>7.9772406000000004E-2</v>
      </c>
      <c r="Q4349" t="str">
        <f t="shared" si="134"/>
        <v>&lt;01</v>
      </c>
      <c r="R4349" t="str">
        <f t="shared" si="135"/>
        <v>[JQKLKuVuY61]|&lt;01|Male|NEW_INFECTIONS_SUBNAT.T_1|CY2024Q3</v>
      </c>
    </row>
    <row r="4350" spans="4:18" x14ac:dyDescent="0.2">
      <c r="D4350" t="s">
        <v>72</v>
      </c>
      <c r="E4350" t="s">
        <v>73</v>
      </c>
      <c r="F4350" t="s">
        <v>74</v>
      </c>
      <c r="G4350" t="s">
        <v>203</v>
      </c>
      <c r="H4350" t="s">
        <v>203</v>
      </c>
      <c r="I4350" t="s">
        <v>33</v>
      </c>
      <c r="J4350" t="s">
        <v>34</v>
      </c>
      <c r="K4350" t="s">
        <v>48</v>
      </c>
      <c r="L4350" t="s">
        <v>49</v>
      </c>
      <c r="M4350" t="s">
        <v>140</v>
      </c>
      <c r="N4350">
        <v>4</v>
      </c>
      <c r="O4350">
        <v>3.7960015E-2</v>
      </c>
      <c r="P4350">
        <v>7.9772406000000004E-2</v>
      </c>
      <c r="Q4350" t="str">
        <f t="shared" si="134"/>
        <v>01-09</v>
      </c>
      <c r="R4350" t="str">
        <f t="shared" si="135"/>
        <v>[JQKLKuVuY61]|01-09|Male|NEW_INFECTIONS_SUBNAT.T_1|CY2024Q3</v>
      </c>
    </row>
    <row r="4351" spans="4:18" x14ac:dyDescent="0.2">
      <c r="D4351" t="s">
        <v>72</v>
      </c>
      <c r="E4351" t="s">
        <v>73</v>
      </c>
      <c r="F4351" t="s">
        <v>74</v>
      </c>
      <c r="G4351" t="s">
        <v>203</v>
      </c>
      <c r="H4351" t="s">
        <v>203</v>
      </c>
      <c r="I4351" t="s">
        <v>36</v>
      </c>
      <c r="J4351" t="s">
        <v>37</v>
      </c>
      <c r="K4351" t="s">
        <v>48</v>
      </c>
      <c r="L4351" t="s">
        <v>49</v>
      </c>
      <c r="M4351" t="s">
        <v>140</v>
      </c>
      <c r="N4351">
        <v>0</v>
      </c>
      <c r="O4351">
        <v>0</v>
      </c>
      <c r="P4351">
        <v>7.9772406000000004E-2</v>
      </c>
      <c r="Q4351" t="str">
        <f t="shared" si="134"/>
        <v>10-14</v>
      </c>
      <c r="R4351" t="str">
        <f t="shared" si="135"/>
        <v>[JQKLKuVuY61]|10-14|Male|NEW_INFECTIONS_SUBNAT.T_1|CY2024Q3</v>
      </c>
    </row>
    <row r="4352" spans="4:18" x14ac:dyDescent="0.2">
      <c r="D4352" t="s">
        <v>72</v>
      </c>
      <c r="E4352" t="s">
        <v>73</v>
      </c>
      <c r="F4352" t="s">
        <v>74</v>
      </c>
      <c r="G4352" t="s">
        <v>203</v>
      </c>
      <c r="H4352" t="s">
        <v>203</v>
      </c>
      <c r="I4352" t="s">
        <v>38</v>
      </c>
      <c r="J4352" t="s">
        <v>39</v>
      </c>
      <c r="K4352" t="s">
        <v>48</v>
      </c>
      <c r="L4352" t="s">
        <v>49</v>
      </c>
      <c r="M4352" t="s">
        <v>140</v>
      </c>
      <c r="N4352">
        <v>10</v>
      </c>
      <c r="O4352">
        <v>8.3514112000000001E-2</v>
      </c>
      <c r="P4352">
        <v>7.9772406000000004E-2</v>
      </c>
      <c r="Q4352" t="str">
        <f t="shared" si="134"/>
        <v>15-24</v>
      </c>
      <c r="R4352" t="str">
        <f t="shared" si="135"/>
        <v>[JQKLKuVuY61]|15-24|Male|NEW_INFECTIONS_SUBNAT.T_1|CY2024Q3</v>
      </c>
    </row>
    <row r="4353" spans="4:18" x14ac:dyDescent="0.2">
      <c r="D4353" t="s">
        <v>72</v>
      </c>
      <c r="E4353" t="s">
        <v>73</v>
      </c>
      <c r="F4353" t="s">
        <v>74</v>
      </c>
      <c r="G4353" t="s">
        <v>203</v>
      </c>
      <c r="H4353" t="s">
        <v>203</v>
      </c>
      <c r="I4353" t="s">
        <v>41</v>
      </c>
      <c r="J4353" t="s">
        <v>42</v>
      </c>
      <c r="K4353" t="s">
        <v>48</v>
      </c>
      <c r="L4353" t="s">
        <v>49</v>
      </c>
      <c r="M4353" t="s">
        <v>140</v>
      </c>
      <c r="N4353">
        <v>35</v>
      </c>
      <c r="O4353">
        <v>8.2931992999999996E-2</v>
      </c>
      <c r="P4353">
        <v>7.9772406000000004E-2</v>
      </c>
      <c r="Q4353" t="str">
        <f t="shared" si="134"/>
        <v>25-34</v>
      </c>
      <c r="R4353" t="str">
        <f t="shared" si="135"/>
        <v>[JQKLKuVuY61]|25-34|Male|NEW_INFECTIONS_SUBNAT.T_1|CY2024Q3</v>
      </c>
    </row>
    <row r="4354" spans="4:18" x14ac:dyDescent="0.2">
      <c r="D4354" t="s">
        <v>72</v>
      </c>
      <c r="E4354" t="s">
        <v>73</v>
      </c>
      <c r="F4354" t="s">
        <v>74</v>
      </c>
      <c r="G4354" t="s">
        <v>203</v>
      </c>
      <c r="H4354" t="s">
        <v>203</v>
      </c>
      <c r="I4354" t="s">
        <v>43</v>
      </c>
      <c r="J4354" t="s">
        <v>44</v>
      </c>
      <c r="K4354" t="s">
        <v>48</v>
      </c>
      <c r="L4354" t="s">
        <v>49</v>
      </c>
      <c r="M4354" t="s">
        <v>140</v>
      </c>
      <c r="N4354">
        <v>39</v>
      </c>
      <c r="O4354">
        <v>8.0579602E-2</v>
      </c>
      <c r="P4354">
        <v>7.9772406000000004E-2</v>
      </c>
      <c r="Q4354" t="str">
        <f t="shared" si="134"/>
        <v>35-49</v>
      </c>
      <c r="R4354" t="str">
        <f t="shared" si="135"/>
        <v>[JQKLKuVuY61]|35-49|Male|NEW_INFECTIONS_SUBNAT.T_1|CY2024Q3</v>
      </c>
    </row>
    <row r="4355" spans="4:18" x14ac:dyDescent="0.2">
      <c r="D4355" t="s">
        <v>72</v>
      </c>
      <c r="E4355" t="s">
        <v>73</v>
      </c>
      <c r="F4355" t="s">
        <v>74</v>
      </c>
      <c r="G4355" t="s">
        <v>203</v>
      </c>
      <c r="H4355" t="s">
        <v>203</v>
      </c>
      <c r="I4355" t="s">
        <v>45</v>
      </c>
      <c r="J4355" t="s">
        <v>46</v>
      </c>
      <c r="K4355" t="s">
        <v>48</v>
      </c>
      <c r="L4355" t="s">
        <v>49</v>
      </c>
      <c r="M4355" t="s">
        <v>140</v>
      </c>
      <c r="N4355">
        <v>12</v>
      </c>
      <c r="O4355">
        <v>7.8985311000000002E-2</v>
      </c>
      <c r="P4355">
        <v>7.9772406000000004E-2</v>
      </c>
      <c r="Q4355" t="str">
        <f t="shared" ref="Q4355:Q4418" si="136">SUBSTITUTE(SUBSTITUTE($I4355,CHAR(61),""),CHAR(34),"")</f>
        <v>50+</v>
      </c>
      <c r="R4355" t="str">
        <f t="shared" ref="R4355:R4418" si="137">IF($D4355&lt;&gt;"","["&amp;$E4355&amp;"]"&amp;"|"&amp;$Q4355&amp;"|"&amp;$K4355&amp;"|"&amp;$G4355&amp;"|"&amp;IF($G4355="TX_CURR_SUBNAT.R","CY2023Q4",$M4355),"")</f>
        <v>[JQKLKuVuY61]|50+|Male|NEW_INFECTIONS_SUBNAT.T_1|CY2024Q3</v>
      </c>
    </row>
    <row r="4356" spans="4:18" x14ac:dyDescent="0.2">
      <c r="D4356" t="s">
        <v>75</v>
      </c>
      <c r="E4356" t="s">
        <v>76</v>
      </c>
      <c r="F4356" t="s">
        <v>77</v>
      </c>
      <c r="G4356" t="s">
        <v>203</v>
      </c>
      <c r="H4356" t="s">
        <v>203</v>
      </c>
      <c r="I4356" t="s">
        <v>28</v>
      </c>
      <c r="J4356" t="s">
        <v>29</v>
      </c>
      <c r="K4356" t="s">
        <v>30</v>
      </c>
      <c r="L4356" t="s">
        <v>31</v>
      </c>
      <c r="M4356" t="s">
        <v>140</v>
      </c>
      <c r="N4356">
        <v>11</v>
      </c>
      <c r="O4356">
        <v>8.3198512000000002E-2</v>
      </c>
      <c r="P4356">
        <v>8.6876608999999994E-2</v>
      </c>
      <c r="Q4356" t="str">
        <f t="shared" si="136"/>
        <v>&lt;01</v>
      </c>
      <c r="R4356" t="str">
        <f t="shared" si="137"/>
        <v>[YCKiBAp8QAg]|&lt;01|Female|NEW_INFECTIONS_SUBNAT.T_1|CY2024Q3</v>
      </c>
    </row>
    <row r="4357" spans="4:18" x14ac:dyDescent="0.2">
      <c r="D4357" t="s">
        <v>75</v>
      </c>
      <c r="E4357" t="s">
        <v>76</v>
      </c>
      <c r="F4357" t="s">
        <v>77</v>
      </c>
      <c r="G4357" t="s">
        <v>203</v>
      </c>
      <c r="H4357" t="s">
        <v>203</v>
      </c>
      <c r="I4357" t="s">
        <v>33</v>
      </c>
      <c r="J4357" t="s">
        <v>34</v>
      </c>
      <c r="K4357" t="s">
        <v>30</v>
      </c>
      <c r="L4357" t="s">
        <v>31</v>
      </c>
      <c r="M4357" t="s">
        <v>140</v>
      </c>
      <c r="N4357">
        <v>3</v>
      </c>
      <c r="O4357">
        <v>4.1599256000000001E-2</v>
      </c>
      <c r="P4357">
        <v>8.6876608999999994E-2</v>
      </c>
      <c r="Q4357" t="str">
        <f t="shared" si="136"/>
        <v>01-09</v>
      </c>
      <c r="R4357" t="str">
        <f t="shared" si="137"/>
        <v>[YCKiBAp8QAg]|01-09|Female|NEW_INFECTIONS_SUBNAT.T_1|CY2024Q3</v>
      </c>
    </row>
    <row r="4358" spans="4:18" x14ac:dyDescent="0.2">
      <c r="D4358" t="s">
        <v>75</v>
      </c>
      <c r="E4358" t="s">
        <v>76</v>
      </c>
      <c r="F4358" t="s">
        <v>77</v>
      </c>
      <c r="G4358" t="s">
        <v>203</v>
      </c>
      <c r="H4358" t="s">
        <v>203</v>
      </c>
      <c r="I4358" t="s">
        <v>36</v>
      </c>
      <c r="J4358" t="s">
        <v>37</v>
      </c>
      <c r="K4358" t="s">
        <v>30</v>
      </c>
      <c r="L4358" t="s">
        <v>31</v>
      </c>
      <c r="M4358" t="s">
        <v>140</v>
      </c>
      <c r="N4358">
        <v>0</v>
      </c>
      <c r="O4358">
        <v>0</v>
      </c>
      <c r="P4358">
        <v>8.6876608999999994E-2</v>
      </c>
      <c r="Q4358" t="str">
        <f t="shared" si="136"/>
        <v>10-14</v>
      </c>
      <c r="R4358" t="str">
        <f t="shared" si="137"/>
        <v>[YCKiBAp8QAg]|10-14|Female|NEW_INFECTIONS_SUBNAT.T_1|CY2024Q3</v>
      </c>
    </row>
    <row r="4359" spans="4:18" x14ac:dyDescent="0.2">
      <c r="D4359" t="s">
        <v>75</v>
      </c>
      <c r="E4359" t="s">
        <v>76</v>
      </c>
      <c r="F4359" t="s">
        <v>77</v>
      </c>
      <c r="G4359" t="s">
        <v>203</v>
      </c>
      <c r="H4359" t="s">
        <v>203</v>
      </c>
      <c r="I4359" t="s">
        <v>38</v>
      </c>
      <c r="J4359" t="s">
        <v>39</v>
      </c>
      <c r="K4359" t="s">
        <v>30</v>
      </c>
      <c r="L4359" t="s">
        <v>31</v>
      </c>
      <c r="M4359" t="s">
        <v>140</v>
      </c>
      <c r="N4359">
        <v>42</v>
      </c>
      <c r="O4359">
        <v>9.1574848E-2</v>
      </c>
      <c r="P4359">
        <v>8.6876608999999994E-2</v>
      </c>
      <c r="Q4359" t="str">
        <f t="shared" si="136"/>
        <v>15-24</v>
      </c>
      <c r="R4359" t="str">
        <f t="shared" si="137"/>
        <v>[YCKiBAp8QAg]|15-24|Female|NEW_INFECTIONS_SUBNAT.T_1|CY2024Q3</v>
      </c>
    </row>
    <row r="4360" spans="4:18" x14ac:dyDescent="0.2">
      <c r="D4360" t="s">
        <v>75</v>
      </c>
      <c r="E4360" t="s">
        <v>76</v>
      </c>
      <c r="F4360" t="s">
        <v>77</v>
      </c>
      <c r="G4360" t="s">
        <v>203</v>
      </c>
      <c r="H4360" t="s">
        <v>203</v>
      </c>
      <c r="I4360" t="s">
        <v>41</v>
      </c>
      <c r="J4360" t="s">
        <v>42</v>
      </c>
      <c r="K4360" t="s">
        <v>30</v>
      </c>
      <c r="L4360" t="s">
        <v>31</v>
      </c>
      <c r="M4360" t="s">
        <v>140</v>
      </c>
      <c r="N4360">
        <v>41</v>
      </c>
      <c r="O4360">
        <v>8.8973015000000003E-2</v>
      </c>
      <c r="P4360">
        <v>8.6876608999999994E-2</v>
      </c>
      <c r="Q4360" t="str">
        <f t="shared" si="136"/>
        <v>25-34</v>
      </c>
      <c r="R4360" t="str">
        <f t="shared" si="137"/>
        <v>[YCKiBAp8QAg]|25-34|Female|NEW_INFECTIONS_SUBNAT.T_1|CY2024Q3</v>
      </c>
    </row>
    <row r="4361" spans="4:18" x14ac:dyDescent="0.2">
      <c r="D4361" t="s">
        <v>75</v>
      </c>
      <c r="E4361" t="s">
        <v>76</v>
      </c>
      <c r="F4361" t="s">
        <v>77</v>
      </c>
      <c r="G4361" t="s">
        <v>203</v>
      </c>
      <c r="H4361" t="s">
        <v>203</v>
      </c>
      <c r="I4361" t="s">
        <v>43</v>
      </c>
      <c r="J4361" t="s">
        <v>44</v>
      </c>
      <c r="K4361" t="s">
        <v>30</v>
      </c>
      <c r="L4361" t="s">
        <v>31</v>
      </c>
      <c r="M4361" t="s">
        <v>140</v>
      </c>
      <c r="N4361">
        <v>21</v>
      </c>
      <c r="O4361">
        <v>8.2454843E-2</v>
      </c>
      <c r="P4361">
        <v>8.6876608999999994E-2</v>
      </c>
      <c r="Q4361" t="str">
        <f t="shared" si="136"/>
        <v>35-49</v>
      </c>
      <c r="R4361" t="str">
        <f t="shared" si="137"/>
        <v>[YCKiBAp8QAg]|35-49|Female|NEW_INFECTIONS_SUBNAT.T_1|CY2024Q3</v>
      </c>
    </row>
    <row r="4362" spans="4:18" x14ac:dyDescent="0.2">
      <c r="D4362" t="s">
        <v>75</v>
      </c>
      <c r="E4362" t="s">
        <v>76</v>
      </c>
      <c r="F4362" t="s">
        <v>77</v>
      </c>
      <c r="G4362" t="s">
        <v>203</v>
      </c>
      <c r="H4362" t="s">
        <v>203</v>
      </c>
      <c r="I4362" t="s">
        <v>45</v>
      </c>
      <c r="J4362" t="s">
        <v>46</v>
      </c>
      <c r="K4362" t="s">
        <v>30</v>
      </c>
      <c r="L4362" t="s">
        <v>31</v>
      </c>
      <c r="M4362" t="s">
        <v>140</v>
      </c>
      <c r="N4362">
        <v>3</v>
      </c>
      <c r="O4362">
        <v>8.3856833000000006E-2</v>
      </c>
      <c r="P4362">
        <v>8.6876608999999994E-2</v>
      </c>
      <c r="Q4362" t="str">
        <f t="shared" si="136"/>
        <v>50+</v>
      </c>
      <c r="R4362" t="str">
        <f t="shared" si="137"/>
        <v>[YCKiBAp8QAg]|50+|Female|NEW_INFECTIONS_SUBNAT.T_1|CY2024Q3</v>
      </c>
    </row>
    <row r="4363" spans="4:18" x14ac:dyDescent="0.2">
      <c r="D4363" t="s">
        <v>75</v>
      </c>
      <c r="E4363" t="s">
        <v>76</v>
      </c>
      <c r="F4363" t="s">
        <v>77</v>
      </c>
      <c r="G4363" t="s">
        <v>203</v>
      </c>
      <c r="H4363" t="s">
        <v>203</v>
      </c>
      <c r="I4363" t="s">
        <v>28</v>
      </c>
      <c r="J4363" t="s">
        <v>29</v>
      </c>
      <c r="K4363" t="s">
        <v>48</v>
      </c>
      <c r="L4363" t="s">
        <v>49</v>
      </c>
      <c r="M4363" t="s">
        <v>140</v>
      </c>
      <c r="N4363">
        <v>11</v>
      </c>
      <c r="O4363">
        <v>8.3197406000000002E-2</v>
      </c>
      <c r="P4363">
        <v>8.6876608999999994E-2</v>
      </c>
      <c r="Q4363" t="str">
        <f t="shared" si="136"/>
        <v>&lt;01</v>
      </c>
      <c r="R4363" t="str">
        <f t="shared" si="137"/>
        <v>[YCKiBAp8QAg]|&lt;01|Male|NEW_INFECTIONS_SUBNAT.T_1|CY2024Q3</v>
      </c>
    </row>
    <row r="4364" spans="4:18" x14ac:dyDescent="0.2">
      <c r="D4364" t="s">
        <v>75</v>
      </c>
      <c r="E4364" t="s">
        <v>76</v>
      </c>
      <c r="F4364" t="s">
        <v>77</v>
      </c>
      <c r="G4364" t="s">
        <v>203</v>
      </c>
      <c r="H4364" t="s">
        <v>203</v>
      </c>
      <c r="I4364" t="s">
        <v>33</v>
      </c>
      <c r="J4364" t="s">
        <v>34</v>
      </c>
      <c r="K4364" t="s">
        <v>48</v>
      </c>
      <c r="L4364" t="s">
        <v>49</v>
      </c>
      <c r="M4364" t="s">
        <v>140</v>
      </c>
      <c r="N4364">
        <v>3</v>
      </c>
      <c r="O4364">
        <v>4.1598703000000001E-2</v>
      </c>
      <c r="P4364">
        <v>8.6876608999999994E-2</v>
      </c>
      <c r="Q4364" t="str">
        <f t="shared" si="136"/>
        <v>01-09</v>
      </c>
      <c r="R4364" t="str">
        <f t="shared" si="137"/>
        <v>[YCKiBAp8QAg]|01-09|Male|NEW_INFECTIONS_SUBNAT.T_1|CY2024Q3</v>
      </c>
    </row>
    <row r="4365" spans="4:18" x14ac:dyDescent="0.2">
      <c r="D4365" t="s">
        <v>75</v>
      </c>
      <c r="E4365" t="s">
        <v>76</v>
      </c>
      <c r="F4365" t="s">
        <v>77</v>
      </c>
      <c r="G4365" t="s">
        <v>203</v>
      </c>
      <c r="H4365" t="s">
        <v>203</v>
      </c>
      <c r="I4365" t="s">
        <v>36</v>
      </c>
      <c r="J4365" t="s">
        <v>37</v>
      </c>
      <c r="K4365" t="s">
        <v>48</v>
      </c>
      <c r="L4365" t="s">
        <v>49</v>
      </c>
      <c r="M4365" t="s">
        <v>140</v>
      </c>
      <c r="N4365">
        <v>0</v>
      </c>
      <c r="O4365">
        <v>0</v>
      </c>
      <c r="P4365">
        <v>8.6876608999999994E-2</v>
      </c>
      <c r="Q4365" t="str">
        <f t="shared" si="136"/>
        <v>10-14</v>
      </c>
      <c r="R4365" t="str">
        <f t="shared" si="137"/>
        <v>[YCKiBAp8QAg]|10-14|Male|NEW_INFECTIONS_SUBNAT.T_1|CY2024Q3</v>
      </c>
    </row>
    <row r="4366" spans="4:18" x14ac:dyDescent="0.2">
      <c r="D4366" t="s">
        <v>75</v>
      </c>
      <c r="E4366" t="s">
        <v>76</v>
      </c>
      <c r="F4366" t="s">
        <v>77</v>
      </c>
      <c r="G4366" t="s">
        <v>203</v>
      </c>
      <c r="H4366" t="s">
        <v>203</v>
      </c>
      <c r="I4366" t="s">
        <v>38</v>
      </c>
      <c r="J4366" t="s">
        <v>39</v>
      </c>
      <c r="K4366" t="s">
        <v>48</v>
      </c>
      <c r="L4366" t="s">
        <v>49</v>
      </c>
      <c r="M4366" t="s">
        <v>140</v>
      </c>
      <c r="N4366">
        <v>7</v>
      </c>
      <c r="O4366">
        <v>9.2209708000000001E-2</v>
      </c>
      <c r="P4366">
        <v>8.6876608999999994E-2</v>
      </c>
      <c r="Q4366" t="str">
        <f t="shared" si="136"/>
        <v>15-24</v>
      </c>
      <c r="R4366" t="str">
        <f t="shared" si="137"/>
        <v>[YCKiBAp8QAg]|15-24|Male|NEW_INFECTIONS_SUBNAT.T_1|CY2024Q3</v>
      </c>
    </row>
    <row r="4367" spans="4:18" x14ac:dyDescent="0.2">
      <c r="D4367" t="s">
        <v>75</v>
      </c>
      <c r="E4367" t="s">
        <v>76</v>
      </c>
      <c r="F4367" t="s">
        <v>77</v>
      </c>
      <c r="G4367" t="s">
        <v>203</v>
      </c>
      <c r="H4367" t="s">
        <v>203</v>
      </c>
      <c r="I4367" t="s">
        <v>41</v>
      </c>
      <c r="J4367" t="s">
        <v>42</v>
      </c>
      <c r="K4367" t="s">
        <v>48</v>
      </c>
      <c r="L4367" t="s">
        <v>49</v>
      </c>
      <c r="M4367" t="s">
        <v>140</v>
      </c>
      <c r="N4367">
        <v>24</v>
      </c>
      <c r="O4367">
        <v>9.1205125999999997E-2</v>
      </c>
      <c r="P4367">
        <v>8.6876608999999994E-2</v>
      </c>
      <c r="Q4367" t="str">
        <f t="shared" si="136"/>
        <v>25-34</v>
      </c>
      <c r="R4367" t="str">
        <f t="shared" si="137"/>
        <v>[YCKiBAp8QAg]|25-34|Male|NEW_INFECTIONS_SUBNAT.T_1|CY2024Q3</v>
      </c>
    </row>
    <row r="4368" spans="4:18" x14ac:dyDescent="0.2">
      <c r="D4368" t="s">
        <v>75</v>
      </c>
      <c r="E4368" t="s">
        <v>76</v>
      </c>
      <c r="F4368" t="s">
        <v>77</v>
      </c>
      <c r="G4368" t="s">
        <v>203</v>
      </c>
      <c r="H4368" t="s">
        <v>203</v>
      </c>
      <c r="I4368" t="s">
        <v>43</v>
      </c>
      <c r="J4368" t="s">
        <v>44</v>
      </c>
      <c r="K4368" t="s">
        <v>48</v>
      </c>
      <c r="L4368" t="s">
        <v>49</v>
      </c>
      <c r="M4368" t="s">
        <v>140</v>
      </c>
      <c r="N4368">
        <v>25</v>
      </c>
      <c r="O4368">
        <v>8.6917049999999996E-2</v>
      </c>
      <c r="P4368">
        <v>8.6876608999999994E-2</v>
      </c>
      <c r="Q4368" t="str">
        <f t="shared" si="136"/>
        <v>35-49</v>
      </c>
      <c r="R4368" t="str">
        <f t="shared" si="137"/>
        <v>[YCKiBAp8QAg]|35-49|Male|NEW_INFECTIONS_SUBNAT.T_1|CY2024Q3</v>
      </c>
    </row>
    <row r="4369" spans="4:18" x14ac:dyDescent="0.2">
      <c r="D4369" t="s">
        <v>75</v>
      </c>
      <c r="E4369" t="s">
        <v>76</v>
      </c>
      <c r="F4369" t="s">
        <v>77</v>
      </c>
      <c r="G4369" t="s">
        <v>203</v>
      </c>
      <c r="H4369" t="s">
        <v>203</v>
      </c>
      <c r="I4369" t="s">
        <v>45</v>
      </c>
      <c r="J4369" t="s">
        <v>46</v>
      </c>
      <c r="K4369" t="s">
        <v>48</v>
      </c>
      <c r="L4369" t="s">
        <v>49</v>
      </c>
      <c r="M4369" t="s">
        <v>140</v>
      </c>
      <c r="N4369">
        <v>7</v>
      </c>
      <c r="O4369">
        <v>8.4142028999999993E-2</v>
      </c>
      <c r="P4369">
        <v>8.6876608999999994E-2</v>
      </c>
      <c r="Q4369" t="str">
        <f t="shared" si="136"/>
        <v>50+</v>
      </c>
      <c r="R4369" t="str">
        <f t="shared" si="137"/>
        <v>[YCKiBAp8QAg]|50+|Male|NEW_INFECTIONS_SUBNAT.T_1|CY2024Q3</v>
      </c>
    </row>
    <row r="4370" spans="4:18" x14ac:dyDescent="0.2">
      <c r="D4370" t="s">
        <v>78</v>
      </c>
      <c r="E4370" t="s">
        <v>79</v>
      </c>
      <c r="F4370" t="s">
        <v>80</v>
      </c>
      <c r="G4370" t="s">
        <v>203</v>
      </c>
      <c r="H4370" t="s">
        <v>203</v>
      </c>
      <c r="I4370" t="s">
        <v>28</v>
      </c>
      <c r="J4370" t="s">
        <v>29</v>
      </c>
      <c r="K4370" t="s">
        <v>30</v>
      </c>
      <c r="L4370" t="s">
        <v>31</v>
      </c>
      <c r="M4370" t="s">
        <v>140</v>
      </c>
      <c r="N4370">
        <v>4</v>
      </c>
      <c r="O4370">
        <v>9.8928505999999999E-2</v>
      </c>
      <c r="P4370">
        <v>0.102643924</v>
      </c>
      <c r="Q4370" t="str">
        <f t="shared" si="136"/>
        <v>&lt;01</v>
      </c>
      <c r="R4370" t="str">
        <f t="shared" si="137"/>
        <v>[fiRkU6gEjLz]|&lt;01|Female|NEW_INFECTIONS_SUBNAT.T_1|CY2024Q3</v>
      </c>
    </row>
    <row r="4371" spans="4:18" x14ac:dyDescent="0.2">
      <c r="D4371" t="s">
        <v>78</v>
      </c>
      <c r="E4371" t="s">
        <v>79</v>
      </c>
      <c r="F4371" t="s">
        <v>80</v>
      </c>
      <c r="G4371" t="s">
        <v>203</v>
      </c>
      <c r="H4371" t="s">
        <v>203</v>
      </c>
      <c r="I4371" t="s">
        <v>33</v>
      </c>
      <c r="J4371" t="s">
        <v>34</v>
      </c>
      <c r="K4371" t="s">
        <v>30</v>
      </c>
      <c r="L4371" t="s">
        <v>31</v>
      </c>
      <c r="M4371" t="s">
        <v>140</v>
      </c>
      <c r="N4371">
        <v>1</v>
      </c>
      <c r="O4371">
        <v>4.9464253E-2</v>
      </c>
      <c r="P4371">
        <v>0.102643924</v>
      </c>
      <c r="Q4371" t="str">
        <f t="shared" si="136"/>
        <v>01-09</v>
      </c>
      <c r="R4371" t="str">
        <f t="shared" si="137"/>
        <v>[fiRkU6gEjLz]|01-09|Female|NEW_INFECTIONS_SUBNAT.T_1|CY2024Q3</v>
      </c>
    </row>
    <row r="4372" spans="4:18" x14ac:dyDescent="0.2">
      <c r="D4372" t="s">
        <v>78</v>
      </c>
      <c r="E4372" t="s">
        <v>79</v>
      </c>
      <c r="F4372" t="s">
        <v>80</v>
      </c>
      <c r="G4372" t="s">
        <v>203</v>
      </c>
      <c r="H4372" t="s">
        <v>203</v>
      </c>
      <c r="I4372" t="s">
        <v>36</v>
      </c>
      <c r="J4372" t="s">
        <v>37</v>
      </c>
      <c r="K4372" t="s">
        <v>30</v>
      </c>
      <c r="L4372" t="s">
        <v>31</v>
      </c>
      <c r="M4372" t="s">
        <v>140</v>
      </c>
      <c r="N4372">
        <v>0</v>
      </c>
      <c r="O4372">
        <v>0</v>
      </c>
      <c r="P4372">
        <v>0.102643924</v>
      </c>
      <c r="Q4372" t="str">
        <f t="shared" si="136"/>
        <v>10-14</v>
      </c>
      <c r="R4372" t="str">
        <f t="shared" si="137"/>
        <v>[fiRkU6gEjLz]|10-14|Female|NEW_INFECTIONS_SUBNAT.T_1|CY2024Q3</v>
      </c>
    </row>
    <row r="4373" spans="4:18" x14ac:dyDescent="0.2">
      <c r="D4373" t="s">
        <v>78</v>
      </c>
      <c r="E4373" t="s">
        <v>79</v>
      </c>
      <c r="F4373" t="s">
        <v>80</v>
      </c>
      <c r="G4373" t="s">
        <v>203</v>
      </c>
      <c r="H4373" t="s">
        <v>203</v>
      </c>
      <c r="I4373" t="s">
        <v>38</v>
      </c>
      <c r="J4373" t="s">
        <v>39</v>
      </c>
      <c r="K4373" t="s">
        <v>30</v>
      </c>
      <c r="L4373" t="s">
        <v>31</v>
      </c>
      <c r="M4373" t="s">
        <v>140</v>
      </c>
      <c r="N4373">
        <v>15</v>
      </c>
      <c r="O4373">
        <v>0.105842352</v>
      </c>
      <c r="P4373">
        <v>0.102643924</v>
      </c>
      <c r="Q4373" t="str">
        <f t="shared" si="136"/>
        <v>15-24</v>
      </c>
      <c r="R4373" t="str">
        <f t="shared" si="137"/>
        <v>[fiRkU6gEjLz]|15-24|Female|NEW_INFECTIONS_SUBNAT.T_1|CY2024Q3</v>
      </c>
    </row>
    <row r="4374" spans="4:18" x14ac:dyDescent="0.2">
      <c r="D4374" t="s">
        <v>78</v>
      </c>
      <c r="E4374" t="s">
        <v>79</v>
      </c>
      <c r="F4374" t="s">
        <v>80</v>
      </c>
      <c r="G4374" t="s">
        <v>203</v>
      </c>
      <c r="H4374" t="s">
        <v>203</v>
      </c>
      <c r="I4374" t="s">
        <v>41</v>
      </c>
      <c r="J4374" t="s">
        <v>42</v>
      </c>
      <c r="K4374" t="s">
        <v>30</v>
      </c>
      <c r="L4374" t="s">
        <v>31</v>
      </c>
      <c r="M4374" t="s">
        <v>140</v>
      </c>
      <c r="N4374">
        <v>15</v>
      </c>
      <c r="O4374">
        <v>0.10457488</v>
      </c>
      <c r="P4374">
        <v>0.102643924</v>
      </c>
      <c r="Q4374" t="str">
        <f t="shared" si="136"/>
        <v>25-34</v>
      </c>
      <c r="R4374" t="str">
        <f t="shared" si="137"/>
        <v>[fiRkU6gEjLz]|25-34|Female|NEW_INFECTIONS_SUBNAT.T_1|CY2024Q3</v>
      </c>
    </row>
    <row r="4375" spans="4:18" x14ac:dyDescent="0.2">
      <c r="D4375" t="s">
        <v>78</v>
      </c>
      <c r="E4375" t="s">
        <v>79</v>
      </c>
      <c r="F4375" t="s">
        <v>80</v>
      </c>
      <c r="G4375" t="s">
        <v>203</v>
      </c>
      <c r="H4375" t="s">
        <v>203</v>
      </c>
      <c r="I4375" t="s">
        <v>43</v>
      </c>
      <c r="J4375" t="s">
        <v>44</v>
      </c>
      <c r="K4375" t="s">
        <v>30</v>
      </c>
      <c r="L4375" t="s">
        <v>31</v>
      </c>
      <c r="M4375" t="s">
        <v>140</v>
      </c>
      <c r="N4375">
        <v>9</v>
      </c>
      <c r="O4375">
        <v>0.101395306</v>
      </c>
      <c r="P4375">
        <v>0.102643924</v>
      </c>
      <c r="Q4375" t="str">
        <f t="shared" si="136"/>
        <v>35-49</v>
      </c>
      <c r="R4375" t="str">
        <f t="shared" si="137"/>
        <v>[fiRkU6gEjLz]|35-49|Female|NEW_INFECTIONS_SUBNAT.T_1|CY2024Q3</v>
      </c>
    </row>
    <row r="4376" spans="4:18" x14ac:dyDescent="0.2">
      <c r="D4376" t="s">
        <v>78</v>
      </c>
      <c r="E4376" t="s">
        <v>79</v>
      </c>
      <c r="F4376" t="s">
        <v>80</v>
      </c>
      <c r="G4376" t="s">
        <v>203</v>
      </c>
      <c r="H4376" t="s">
        <v>203</v>
      </c>
      <c r="I4376" t="s">
        <v>45</v>
      </c>
      <c r="J4376" t="s">
        <v>46</v>
      </c>
      <c r="K4376" t="s">
        <v>30</v>
      </c>
      <c r="L4376" t="s">
        <v>31</v>
      </c>
      <c r="M4376" t="s">
        <v>140</v>
      </c>
      <c r="N4376">
        <v>1</v>
      </c>
      <c r="O4376">
        <v>0.101903255</v>
      </c>
      <c r="P4376">
        <v>0.102643924</v>
      </c>
      <c r="Q4376" t="str">
        <f t="shared" si="136"/>
        <v>50+</v>
      </c>
      <c r="R4376" t="str">
        <f t="shared" si="137"/>
        <v>[fiRkU6gEjLz]|50+|Female|NEW_INFECTIONS_SUBNAT.T_1|CY2024Q3</v>
      </c>
    </row>
    <row r="4377" spans="4:18" x14ac:dyDescent="0.2">
      <c r="D4377" t="s">
        <v>78</v>
      </c>
      <c r="E4377" t="s">
        <v>79</v>
      </c>
      <c r="F4377" t="s">
        <v>80</v>
      </c>
      <c r="G4377" t="s">
        <v>203</v>
      </c>
      <c r="H4377" t="s">
        <v>203</v>
      </c>
      <c r="I4377" t="s">
        <v>28</v>
      </c>
      <c r="J4377" t="s">
        <v>29</v>
      </c>
      <c r="K4377" t="s">
        <v>48</v>
      </c>
      <c r="L4377" t="s">
        <v>49</v>
      </c>
      <c r="M4377" t="s">
        <v>140</v>
      </c>
      <c r="N4377">
        <v>4</v>
      </c>
      <c r="O4377">
        <v>9.8927978999999999E-2</v>
      </c>
      <c r="P4377">
        <v>0.102643924</v>
      </c>
      <c r="Q4377" t="str">
        <f t="shared" si="136"/>
        <v>&lt;01</v>
      </c>
      <c r="R4377" t="str">
        <f t="shared" si="137"/>
        <v>[fiRkU6gEjLz]|&lt;01|Male|NEW_INFECTIONS_SUBNAT.T_1|CY2024Q3</v>
      </c>
    </row>
    <row r="4378" spans="4:18" x14ac:dyDescent="0.2">
      <c r="D4378" t="s">
        <v>78</v>
      </c>
      <c r="E4378" t="s">
        <v>79</v>
      </c>
      <c r="F4378" t="s">
        <v>80</v>
      </c>
      <c r="G4378" t="s">
        <v>203</v>
      </c>
      <c r="H4378" t="s">
        <v>203</v>
      </c>
      <c r="I4378" t="s">
        <v>33</v>
      </c>
      <c r="J4378" t="s">
        <v>34</v>
      </c>
      <c r="K4378" t="s">
        <v>48</v>
      </c>
      <c r="L4378" t="s">
        <v>49</v>
      </c>
      <c r="M4378" t="s">
        <v>140</v>
      </c>
      <c r="N4378">
        <v>1</v>
      </c>
      <c r="O4378">
        <v>4.9463989E-2</v>
      </c>
      <c r="P4378">
        <v>0.102643924</v>
      </c>
      <c r="Q4378" t="str">
        <f t="shared" si="136"/>
        <v>01-09</v>
      </c>
      <c r="R4378" t="str">
        <f t="shared" si="137"/>
        <v>[fiRkU6gEjLz]|01-09|Male|NEW_INFECTIONS_SUBNAT.T_1|CY2024Q3</v>
      </c>
    </row>
    <row r="4379" spans="4:18" x14ac:dyDescent="0.2">
      <c r="D4379" t="s">
        <v>78</v>
      </c>
      <c r="E4379" t="s">
        <v>79</v>
      </c>
      <c r="F4379" t="s">
        <v>80</v>
      </c>
      <c r="G4379" t="s">
        <v>203</v>
      </c>
      <c r="H4379" t="s">
        <v>203</v>
      </c>
      <c r="I4379" t="s">
        <v>36</v>
      </c>
      <c r="J4379" t="s">
        <v>37</v>
      </c>
      <c r="K4379" t="s">
        <v>48</v>
      </c>
      <c r="L4379" t="s">
        <v>49</v>
      </c>
      <c r="M4379" t="s">
        <v>140</v>
      </c>
      <c r="N4379">
        <v>0</v>
      </c>
      <c r="O4379">
        <v>0</v>
      </c>
      <c r="P4379">
        <v>0.102643924</v>
      </c>
      <c r="Q4379" t="str">
        <f t="shared" si="136"/>
        <v>10-14</v>
      </c>
      <c r="R4379" t="str">
        <f t="shared" si="137"/>
        <v>[fiRkU6gEjLz]|10-14|Male|NEW_INFECTIONS_SUBNAT.T_1|CY2024Q3</v>
      </c>
    </row>
    <row r="4380" spans="4:18" x14ac:dyDescent="0.2">
      <c r="D4380" t="s">
        <v>78</v>
      </c>
      <c r="E4380" t="s">
        <v>79</v>
      </c>
      <c r="F4380" t="s">
        <v>80</v>
      </c>
      <c r="G4380" t="s">
        <v>203</v>
      </c>
      <c r="H4380" t="s">
        <v>203</v>
      </c>
      <c r="I4380" t="s">
        <v>38</v>
      </c>
      <c r="J4380" t="s">
        <v>39</v>
      </c>
      <c r="K4380" t="s">
        <v>48</v>
      </c>
      <c r="L4380" t="s">
        <v>49</v>
      </c>
      <c r="M4380" t="s">
        <v>140</v>
      </c>
      <c r="N4380">
        <v>3</v>
      </c>
      <c r="O4380">
        <v>0.106137274</v>
      </c>
      <c r="P4380">
        <v>0.102643924</v>
      </c>
      <c r="Q4380" t="str">
        <f t="shared" si="136"/>
        <v>15-24</v>
      </c>
      <c r="R4380" t="str">
        <f t="shared" si="137"/>
        <v>[fiRkU6gEjLz]|15-24|Male|NEW_INFECTIONS_SUBNAT.T_1|CY2024Q3</v>
      </c>
    </row>
    <row r="4381" spans="4:18" x14ac:dyDescent="0.2">
      <c r="D4381" t="s">
        <v>78</v>
      </c>
      <c r="E4381" t="s">
        <v>79</v>
      </c>
      <c r="F4381" t="s">
        <v>80</v>
      </c>
      <c r="G4381" t="s">
        <v>203</v>
      </c>
      <c r="H4381" t="s">
        <v>203</v>
      </c>
      <c r="I4381" t="s">
        <v>41</v>
      </c>
      <c r="J4381" t="s">
        <v>42</v>
      </c>
      <c r="K4381" t="s">
        <v>48</v>
      </c>
      <c r="L4381" t="s">
        <v>49</v>
      </c>
      <c r="M4381" t="s">
        <v>140</v>
      </c>
      <c r="N4381">
        <v>9</v>
      </c>
      <c r="O4381">
        <v>0.105630511</v>
      </c>
      <c r="P4381">
        <v>0.102643924</v>
      </c>
      <c r="Q4381" t="str">
        <f t="shared" si="136"/>
        <v>25-34</v>
      </c>
      <c r="R4381" t="str">
        <f t="shared" si="137"/>
        <v>[fiRkU6gEjLz]|25-34|Male|NEW_INFECTIONS_SUBNAT.T_1|CY2024Q3</v>
      </c>
    </row>
    <row r="4382" spans="4:18" x14ac:dyDescent="0.2">
      <c r="D4382" t="s">
        <v>78</v>
      </c>
      <c r="E4382" t="s">
        <v>79</v>
      </c>
      <c r="F4382" t="s">
        <v>80</v>
      </c>
      <c r="G4382" t="s">
        <v>203</v>
      </c>
      <c r="H4382" t="s">
        <v>203</v>
      </c>
      <c r="I4382" t="s">
        <v>43</v>
      </c>
      <c r="J4382" t="s">
        <v>44</v>
      </c>
      <c r="K4382" t="s">
        <v>48</v>
      </c>
      <c r="L4382" t="s">
        <v>49</v>
      </c>
      <c r="M4382" t="s">
        <v>140</v>
      </c>
      <c r="N4382">
        <v>10</v>
      </c>
      <c r="O4382">
        <v>0.10345675999999999</v>
      </c>
      <c r="P4382">
        <v>0.102643924</v>
      </c>
      <c r="Q4382" t="str">
        <f t="shared" si="136"/>
        <v>35-49</v>
      </c>
      <c r="R4382" t="str">
        <f t="shared" si="137"/>
        <v>[fiRkU6gEjLz]|35-49|Male|NEW_INFECTIONS_SUBNAT.T_1|CY2024Q3</v>
      </c>
    </row>
    <row r="4383" spans="4:18" x14ac:dyDescent="0.2">
      <c r="D4383" t="s">
        <v>78</v>
      </c>
      <c r="E4383" t="s">
        <v>79</v>
      </c>
      <c r="F4383" t="s">
        <v>80</v>
      </c>
      <c r="G4383" t="s">
        <v>203</v>
      </c>
      <c r="H4383" t="s">
        <v>203</v>
      </c>
      <c r="I4383" t="s">
        <v>45</v>
      </c>
      <c r="J4383" t="s">
        <v>46</v>
      </c>
      <c r="K4383" t="s">
        <v>48</v>
      </c>
      <c r="L4383" t="s">
        <v>49</v>
      </c>
      <c r="M4383" t="s">
        <v>140</v>
      </c>
      <c r="N4383">
        <v>3</v>
      </c>
      <c r="O4383">
        <v>0.101878013</v>
      </c>
      <c r="P4383">
        <v>0.102643924</v>
      </c>
      <c r="Q4383" t="str">
        <f t="shared" si="136"/>
        <v>50+</v>
      </c>
      <c r="R4383" t="str">
        <f t="shared" si="137"/>
        <v>[fiRkU6gEjLz]|50+|Male|NEW_INFECTIONS_SUBNAT.T_1|CY2024Q3</v>
      </c>
    </row>
    <row r="4384" spans="4:18" x14ac:dyDescent="0.2">
      <c r="D4384" t="s">
        <v>81</v>
      </c>
      <c r="E4384" t="s">
        <v>82</v>
      </c>
      <c r="F4384" t="s">
        <v>83</v>
      </c>
      <c r="G4384" t="s">
        <v>203</v>
      </c>
      <c r="H4384" t="s">
        <v>203</v>
      </c>
      <c r="I4384" t="s">
        <v>28</v>
      </c>
      <c r="J4384" t="s">
        <v>29</v>
      </c>
      <c r="K4384" t="s">
        <v>30</v>
      </c>
      <c r="L4384" t="s">
        <v>31</v>
      </c>
      <c r="M4384" t="s">
        <v>140</v>
      </c>
      <c r="N4384">
        <v>10</v>
      </c>
      <c r="O4384">
        <v>8.5892465000000001E-2</v>
      </c>
      <c r="P4384">
        <v>9.2445443000000002E-2</v>
      </c>
      <c r="Q4384" t="str">
        <f t="shared" si="136"/>
        <v>&lt;01</v>
      </c>
      <c r="R4384" t="str">
        <f t="shared" si="137"/>
        <v>[zphK9WV8JB4]|&lt;01|Female|NEW_INFECTIONS_SUBNAT.T_1|CY2024Q3</v>
      </c>
    </row>
    <row r="4385" spans="4:18" x14ac:dyDescent="0.2">
      <c r="D4385" t="s">
        <v>81</v>
      </c>
      <c r="E4385" t="s">
        <v>82</v>
      </c>
      <c r="F4385" t="s">
        <v>83</v>
      </c>
      <c r="G4385" t="s">
        <v>203</v>
      </c>
      <c r="H4385" t="s">
        <v>203</v>
      </c>
      <c r="I4385" t="s">
        <v>33</v>
      </c>
      <c r="J4385" t="s">
        <v>34</v>
      </c>
      <c r="K4385" t="s">
        <v>30</v>
      </c>
      <c r="L4385" t="s">
        <v>31</v>
      </c>
      <c r="M4385" t="s">
        <v>140</v>
      </c>
      <c r="N4385">
        <v>2</v>
      </c>
      <c r="O4385">
        <v>4.2946233E-2</v>
      </c>
      <c r="P4385">
        <v>9.2445443000000002E-2</v>
      </c>
      <c r="Q4385" t="str">
        <f t="shared" si="136"/>
        <v>01-09</v>
      </c>
      <c r="R4385" t="str">
        <f t="shared" si="137"/>
        <v>[zphK9WV8JB4]|01-09|Female|NEW_INFECTIONS_SUBNAT.T_1|CY2024Q3</v>
      </c>
    </row>
    <row r="4386" spans="4:18" x14ac:dyDescent="0.2">
      <c r="D4386" t="s">
        <v>81</v>
      </c>
      <c r="E4386" t="s">
        <v>82</v>
      </c>
      <c r="F4386" t="s">
        <v>83</v>
      </c>
      <c r="G4386" t="s">
        <v>203</v>
      </c>
      <c r="H4386" t="s">
        <v>203</v>
      </c>
      <c r="I4386" t="s">
        <v>36</v>
      </c>
      <c r="J4386" t="s">
        <v>37</v>
      </c>
      <c r="K4386" t="s">
        <v>30</v>
      </c>
      <c r="L4386" t="s">
        <v>31</v>
      </c>
      <c r="M4386" t="s">
        <v>140</v>
      </c>
      <c r="N4386">
        <v>0</v>
      </c>
      <c r="O4386">
        <v>0</v>
      </c>
      <c r="P4386">
        <v>9.2445443000000002E-2</v>
      </c>
      <c r="Q4386" t="str">
        <f t="shared" si="136"/>
        <v>10-14</v>
      </c>
      <c r="R4386" t="str">
        <f t="shared" si="137"/>
        <v>[zphK9WV8JB4]|10-14|Female|NEW_INFECTIONS_SUBNAT.T_1|CY2024Q3</v>
      </c>
    </row>
    <row r="4387" spans="4:18" x14ac:dyDescent="0.2">
      <c r="D4387" t="s">
        <v>81</v>
      </c>
      <c r="E4387" t="s">
        <v>82</v>
      </c>
      <c r="F4387" t="s">
        <v>83</v>
      </c>
      <c r="G4387" t="s">
        <v>203</v>
      </c>
      <c r="H4387" t="s">
        <v>203</v>
      </c>
      <c r="I4387" t="s">
        <v>38</v>
      </c>
      <c r="J4387" t="s">
        <v>39</v>
      </c>
      <c r="K4387" t="s">
        <v>30</v>
      </c>
      <c r="L4387" t="s">
        <v>31</v>
      </c>
      <c r="M4387" t="s">
        <v>140</v>
      </c>
      <c r="N4387">
        <v>44</v>
      </c>
      <c r="O4387">
        <v>9.6270866999999996E-2</v>
      </c>
      <c r="P4387">
        <v>9.2445443000000002E-2</v>
      </c>
      <c r="Q4387" t="str">
        <f t="shared" si="136"/>
        <v>15-24</v>
      </c>
      <c r="R4387" t="str">
        <f t="shared" si="137"/>
        <v>[zphK9WV8JB4]|15-24|Female|NEW_INFECTIONS_SUBNAT.T_1|CY2024Q3</v>
      </c>
    </row>
    <row r="4388" spans="4:18" x14ac:dyDescent="0.2">
      <c r="D4388" t="s">
        <v>81</v>
      </c>
      <c r="E4388" t="s">
        <v>82</v>
      </c>
      <c r="F4388" t="s">
        <v>83</v>
      </c>
      <c r="G4388" t="s">
        <v>203</v>
      </c>
      <c r="H4388" t="s">
        <v>203</v>
      </c>
      <c r="I4388" t="s">
        <v>41</v>
      </c>
      <c r="J4388" t="s">
        <v>42</v>
      </c>
      <c r="K4388" t="s">
        <v>30</v>
      </c>
      <c r="L4388" t="s">
        <v>31</v>
      </c>
      <c r="M4388" t="s">
        <v>140</v>
      </c>
      <c r="N4388">
        <v>46</v>
      </c>
      <c r="O4388">
        <v>9.4980238999999994E-2</v>
      </c>
      <c r="P4388">
        <v>9.2445443000000002E-2</v>
      </c>
      <c r="Q4388" t="str">
        <f t="shared" si="136"/>
        <v>25-34</v>
      </c>
      <c r="R4388" t="str">
        <f t="shared" si="137"/>
        <v>[zphK9WV8JB4]|25-34|Female|NEW_INFECTIONS_SUBNAT.T_1|CY2024Q3</v>
      </c>
    </row>
    <row r="4389" spans="4:18" x14ac:dyDescent="0.2">
      <c r="D4389" t="s">
        <v>81</v>
      </c>
      <c r="E4389" t="s">
        <v>82</v>
      </c>
      <c r="F4389" t="s">
        <v>83</v>
      </c>
      <c r="G4389" t="s">
        <v>203</v>
      </c>
      <c r="H4389" t="s">
        <v>203</v>
      </c>
      <c r="I4389" t="s">
        <v>43</v>
      </c>
      <c r="J4389" t="s">
        <v>44</v>
      </c>
      <c r="K4389" t="s">
        <v>30</v>
      </c>
      <c r="L4389" t="s">
        <v>31</v>
      </c>
      <c r="M4389" t="s">
        <v>140</v>
      </c>
      <c r="N4389">
        <v>25</v>
      </c>
      <c r="O4389">
        <v>9.1770780999999996E-2</v>
      </c>
      <c r="P4389">
        <v>9.2445443000000002E-2</v>
      </c>
      <c r="Q4389" t="str">
        <f t="shared" si="136"/>
        <v>35-49</v>
      </c>
      <c r="R4389" t="str">
        <f t="shared" si="137"/>
        <v>[zphK9WV8JB4]|35-49|Female|NEW_INFECTIONS_SUBNAT.T_1|CY2024Q3</v>
      </c>
    </row>
    <row r="4390" spans="4:18" x14ac:dyDescent="0.2">
      <c r="D4390" t="s">
        <v>81</v>
      </c>
      <c r="E4390" t="s">
        <v>82</v>
      </c>
      <c r="F4390" t="s">
        <v>83</v>
      </c>
      <c r="G4390" t="s">
        <v>203</v>
      </c>
      <c r="H4390" t="s">
        <v>203</v>
      </c>
      <c r="I4390" t="s">
        <v>45</v>
      </c>
      <c r="J4390" t="s">
        <v>46</v>
      </c>
      <c r="K4390" t="s">
        <v>30</v>
      </c>
      <c r="L4390" t="s">
        <v>31</v>
      </c>
      <c r="M4390" t="s">
        <v>140</v>
      </c>
      <c r="N4390">
        <v>5</v>
      </c>
      <c r="O4390">
        <v>9.2295382999999995E-2</v>
      </c>
      <c r="P4390">
        <v>9.2445443000000002E-2</v>
      </c>
      <c r="Q4390" t="str">
        <f t="shared" si="136"/>
        <v>50+</v>
      </c>
      <c r="R4390" t="str">
        <f t="shared" si="137"/>
        <v>[zphK9WV8JB4]|50+|Female|NEW_INFECTIONS_SUBNAT.T_1|CY2024Q3</v>
      </c>
    </row>
    <row r="4391" spans="4:18" x14ac:dyDescent="0.2">
      <c r="D4391" t="s">
        <v>81</v>
      </c>
      <c r="E4391" t="s">
        <v>82</v>
      </c>
      <c r="F4391" t="s">
        <v>83</v>
      </c>
      <c r="G4391" t="s">
        <v>203</v>
      </c>
      <c r="H4391" t="s">
        <v>203</v>
      </c>
      <c r="I4391" t="s">
        <v>28</v>
      </c>
      <c r="J4391" t="s">
        <v>29</v>
      </c>
      <c r="K4391" t="s">
        <v>48</v>
      </c>
      <c r="L4391" t="s">
        <v>49</v>
      </c>
      <c r="M4391" t="s">
        <v>140</v>
      </c>
      <c r="N4391">
        <v>10</v>
      </c>
      <c r="O4391">
        <v>8.5892320999999994E-2</v>
      </c>
      <c r="P4391">
        <v>9.2445443000000002E-2</v>
      </c>
      <c r="Q4391" t="str">
        <f t="shared" si="136"/>
        <v>&lt;01</v>
      </c>
      <c r="R4391" t="str">
        <f t="shared" si="137"/>
        <v>[zphK9WV8JB4]|&lt;01|Male|NEW_INFECTIONS_SUBNAT.T_1|CY2024Q3</v>
      </c>
    </row>
    <row r="4392" spans="4:18" x14ac:dyDescent="0.2">
      <c r="D4392" t="s">
        <v>81</v>
      </c>
      <c r="E4392" t="s">
        <v>82</v>
      </c>
      <c r="F4392" t="s">
        <v>83</v>
      </c>
      <c r="G4392" t="s">
        <v>203</v>
      </c>
      <c r="H4392" t="s">
        <v>203</v>
      </c>
      <c r="I4392" t="s">
        <v>33</v>
      </c>
      <c r="J4392" t="s">
        <v>34</v>
      </c>
      <c r="K4392" t="s">
        <v>48</v>
      </c>
      <c r="L4392" t="s">
        <v>49</v>
      </c>
      <c r="M4392" t="s">
        <v>140</v>
      </c>
      <c r="N4392">
        <v>2</v>
      </c>
      <c r="O4392">
        <v>4.2946159999999997E-2</v>
      </c>
      <c r="P4392">
        <v>9.2445443000000002E-2</v>
      </c>
      <c r="Q4392" t="str">
        <f t="shared" si="136"/>
        <v>01-09</v>
      </c>
      <c r="R4392" t="str">
        <f t="shared" si="137"/>
        <v>[zphK9WV8JB4]|01-09|Male|NEW_INFECTIONS_SUBNAT.T_1|CY2024Q3</v>
      </c>
    </row>
    <row r="4393" spans="4:18" x14ac:dyDescent="0.2">
      <c r="D4393" t="s">
        <v>81</v>
      </c>
      <c r="E4393" t="s">
        <v>82</v>
      </c>
      <c r="F4393" t="s">
        <v>83</v>
      </c>
      <c r="G4393" t="s">
        <v>203</v>
      </c>
      <c r="H4393" t="s">
        <v>203</v>
      </c>
      <c r="I4393" t="s">
        <v>36</v>
      </c>
      <c r="J4393" t="s">
        <v>37</v>
      </c>
      <c r="K4393" t="s">
        <v>48</v>
      </c>
      <c r="L4393" t="s">
        <v>49</v>
      </c>
      <c r="M4393" t="s">
        <v>140</v>
      </c>
      <c r="N4393">
        <v>0</v>
      </c>
      <c r="O4393">
        <v>0</v>
      </c>
      <c r="P4393">
        <v>9.2445443000000002E-2</v>
      </c>
      <c r="Q4393" t="str">
        <f t="shared" si="136"/>
        <v>10-14</v>
      </c>
      <c r="R4393" t="str">
        <f t="shared" si="137"/>
        <v>[zphK9WV8JB4]|10-14|Male|NEW_INFECTIONS_SUBNAT.T_1|CY2024Q3</v>
      </c>
    </row>
    <row r="4394" spans="4:18" x14ac:dyDescent="0.2">
      <c r="D4394" t="s">
        <v>81</v>
      </c>
      <c r="E4394" t="s">
        <v>82</v>
      </c>
      <c r="F4394" t="s">
        <v>83</v>
      </c>
      <c r="G4394" t="s">
        <v>203</v>
      </c>
      <c r="H4394" t="s">
        <v>203</v>
      </c>
      <c r="I4394" t="s">
        <v>38</v>
      </c>
      <c r="J4394" t="s">
        <v>39</v>
      </c>
      <c r="K4394" t="s">
        <v>48</v>
      </c>
      <c r="L4394" t="s">
        <v>49</v>
      </c>
      <c r="M4394" t="s">
        <v>140</v>
      </c>
      <c r="N4394">
        <v>8</v>
      </c>
      <c r="O4394">
        <v>9.6565087999999993E-2</v>
      </c>
      <c r="P4394">
        <v>9.2445443000000002E-2</v>
      </c>
      <c r="Q4394" t="str">
        <f t="shared" si="136"/>
        <v>15-24</v>
      </c>
      <c r="R4394" t="str">
        <f t="shared" si="137"/>
        <v>[zphK9WV8JB4]|15-24|Male|NEW_INFECTIONS_SUBNAT.T_1|CY2024Q3</v>
      </c>
    </row>
    <row r="4395" spans="4:18" x14ac:dyDescent="0.2">
      <c r="D4395" t="s">
        <v>81</v>
      </c>
      <c r="E4395" t="s">
        <v>82</v>
      </c>
      <c r="F4395" t="s">
        <v>83</v>
      </c>
      <c r="G4395" t="s">
        <v>203</v>
      </c>
      <c r="H4395" t="s">
        <v>203</v>
      </c>
      <c r="I4395" t="s">
        <v>41</v>
      </c>
      <c r="J4395" t="s">
        <v>42</v>
      </c>
      <c r="K4395" t="s">
        <v>48</v>
      </c>
      <c r="L4395" t="s">
        <v>49</v>
      </c>
      <c r="M4395" t="s">
        <v>140</v>
      </c>
      <c r="N4395">
        <v>27</v>
      </c>
      <c r="O4395">
        <v>9.5995300000000006E-2</v>
      </c>
      <c r="P4395">
        <v>9.2445443000000002E-2</v>
      </c>
      <c r="Q4395" t="str">
        <f t="shared" si="136"/>
        <v>25-34</v>
      </c>
      <c r="R4395" t="str">
        <f t="shared" si="137"/>
        <v>[zphK9WV8JB4]|25-34|Male|NEW_INFECTIONS_SUBNAT.T_1|CY2024Q3</v>
      </c>
    </row>
    <row r="4396" spans="4:18" x14ac:dyDescent="0.2">
      <c r="D4396" t="s">
        <v>81</v>
      </c>
      <c r="E4396" t="s">
        <v>82</v>
      </c>
      <c r="F4396" t="s">
        <v>83</v>
      </c>
      <c r="G4396" t="s">
        <v>203</v>
      </c>
      <c r="H4396" t="s">
        <v>203</v>
      </c>
      <c r="I4396" t="s">
        <v>43</v>
      </c>
      <c r="J4396" t="s">
        <v>44</v>
      </c>
      <c r="K4396" t="s">
        <v>48</v>
      </c>
      <c r="L4396" t="s">
        <v>49</v>
      </c>
      <c r="M4396" t="s">
        <v>140</v>
      </c>
      <c r="N4396">
        <v>29</v>
      </c>
      <c r="O4396">
        <v>9.3695633E-2</v>
      </c>
      <c r="P4396">
        <v>9.2445443000000002E-2</v>
      </c>
      <c r="Q4396" t="str">
        <f t="shared" si="136"/>
        <v>35-49</v>
      </c>
      <c r="R4396" t="str">
        <f t="shared" si="137"/>
        <v>[zphK9WV8JB4]|35-49|Male|NEW_INFECTIONS_SUBNAT.T_1|CY2024Q3</v>
      </c>
    </row>
    <row r="4397" spans="4:18" x14ac:dyDescent="0.2">
      <c r="D4397" t="s">
        <v>81</v>
      </c>
      <c r="E4397" t="s">
        <v>82</v>
      </c>
      <c r="F4397" t="s">
        <v>83</v>
      </c>
      <c r="G4397" t="s">
        <v>203</v>
      </c>
      <c r="H4397" t="s">
        <v>203</v>
      </c>
      <c r="I4397" t="s">
        <v>45</v>
      </c>
      <c r="J4397" t="s">
        <v>46</v>
      </c>
      <c r="K4397" t="s">
        <v>48</v>
      </c>
      <c r="L4397" t="s">
        <v>49</v>
      </c>
      <c r="M4397" t="s">
        <v>140</v>
      </c>
      <c r="N4397">
        <v>9</v>
      </c>
      <c r="O4397">
        <v>9.2340668000000001E-2</v>
      </c>
      <c r="P4397">
        <v>9.2445443000000002E-2</v>
      </c>
      <c r="Q4397" t="str">
        <f t="shared" si="136"/>
        <v>50+</v>
      </c>
      <c r="R4397" t="str">
        <f t="shared" si="137"/>
        <v>[zphK9WV8JB4]|50+|Male|NEW_INFECTIONS_SUBNAT.T_1|CY2024Q3</v>
      </c>
    </row>
    <row r="4398" spans="4:18" x14ac:dyDescent="0.2">
      <c r="D4398" t="s">
        <v>84</v>
      </c>
      <c r="E4398" t="s">
        <v>85</v>
      </c>
      <c r="F4398" t="s">
        <v>86</v>
      </c>
      <c r="G4398" t="s">
        <v>203</v>
      </c>
      <c r="H4398" t="s">
        <v>203</v>
      </c>
      <c r="I4398" t="s">
        <v>28</v>
      </c>
      <c r="J4398" t="s">
        <v>29</v>
      </c>
      <c r="K4398" t="s">
        <v>30</v>
      </c>
      <c r="L4398" t="s">
        <v>31</v>
      </c>
      <c r="M4398" t="s">
        <v>140</v>
      </c>
      <c r="N4398">
        <v>17</v>
      </c>
      <c r="O4398">
        <v>6.7497927999999999E-2</v>
      </c>
      <c r="P4398">
        <v>7.0938865000000004E-2</v>
      </c>
      <c r="Q4398" t="str">
        <f t="shared" si="136"/>
        <v>&lt;01</v>
      </c>
      <c r="R4398" t="str">
        <f t="shared" si="137"/>
        <v>[msW2zpIN7up]|&lt;01|Female|NEW_INFECTIONS_SUBNAT.T_1|CY2024Q3</v>
      </c>
    </row>
    <row r="4399" spans="4:18" x14ac:dyDescent="0.2">
      <c r="D4399" t="s">
        <v>84</v>
      </c>
      <c r="E4399" t="s">
        <v>85</v>
      </c>
      <c r="F4399" t="s">
        <v>86</v>
      </c>
      <c r="G4399" t="s">
        <v>203</v>
      </c>
      <c r="H4399" t="s">
        <v>203</v>
      </c>
      <c r="I4399" t="s">
        <v>33</v>
      </c>
      <c r="J4399" t="s">
        <v>34</v>
      </c>
      <c r="K4399" t="s">
        <v>30</v>
      </c>
      <c r="L4399" t="s">
        <v>31</v>
      </c>
      <c r="M4399" t="s">
        <v>140</v>
      </c>
      <c r="N4399">
        <v>4</v>
      </c>
      <c r="O4399">
        <v>3.3748963999999999E-2</v>
      </c>
      <c r="P4399">
        <v>7.0938865000000004E-2</v>
      </c>
      <c r="Q4399" t="str">
        <f t="shared" si="136"/>
        <v>01-09</v>
      </c>
      <c r="R4399" t="str">
        <f t="shared" si="137"/>
        <v>[msW2zpIN7up]|01-09|Female|NEW_INFECTIONS_SUBNAT.T_1|CY2024Q3</v>
      </c>
    </row>
    <row r="4400" spans="4:18" x14ac:dyDescent="0.2">
      <c r="D4400" t="s">
        <v>84</v>
      </c>
      <c r="E4400" t="s">
        <v>85</v>
      </c>
      <c r="F4400" t="s">
        <v>86</v>
      </c>
      <c r="G4400" t="s">
        <v>203</v>
      </c>
      <c r="H4400" t="s">
        <v>203</v>
      </c>
      <c r="I4400" t="s">
        <v>36</v>
      </c>
      <c r="J4400" t="s">
        <v>37</v>
      </c>
      <c r="K4400" t="s">
        <v>30</v>
      </c>
      <c r="L4400" t="s">
        <v>31</v>
      </c>
      <c r="M4400" t="s">
        <v>140</v>
      </c>
      <c r="N4400">
        <v>0</v>
      </c>
      <c r="O4400">
        <v>0</v>
      </c>
      <c r="P4400">
        <v>7.0938865000000004E-2</v>
      </c>
      <c r="Q4400" t="str">
        <f t="shared" si="136"/>
        <v>10-14</v>
      </c>
      <c r="R4400" t="str">
        <f t="shared" si="137"/>
        <v>[msW2zpIN7up]|10-14|Female|NEW_INFECTIONS_SUBNAT.T_1|CY2024Q3</v>
      </c>
    </row>
    <row r="4401" spans="4:18" x14ac:dyDescent="0.2">
      <c r="D4401" t="s">
        <v>84</v>
      </c>
      <c r="E4401" t="s">
        <v>85</v>
      </c>
      <c r="F4401" t="s">
        <v>86</v>
      </c>
      <c r="G4401" t="s">
        <v>203</v>
      </c>
      <c r="H4401" t="s">
        <v>203</v>
      </c>
      <c r="I4401" t="s">
        <v>38</v>
      </c>
      <c r="J4401" t="s">
        <v>39</v>
      </c>
      <c r="K4401" t="s">
        <v>30</v>
      </c>
      <c r="L4401" t="s">
        <v>31</v>
      </c>
      <c r="M4401" t="s">
        <v>140</v>
      </c>
      <c r="N4401">
        <v>60</v>
      </c>
      <c r="O4401">
        <v>7.5415978999999994E-2</v>
      </c>
      <c r="P4401">
        <v>7.0938865000000004E-2</v>
      </c>
      <c r="Q4401" t="str">
        <f t="shared" si="136"/>
        <v>15-24</v>
      </c>
      <c r="R4401" t="str">
        <f t="shared" si="137"/>
        <v>[msW2zpIN7up]|15-24|Female|NEW_INFECTIONS_SUBNAT.T_1|CY2024Q3</v>
      </c>
    </row>
    <row r="4402" spans="4:18" x14ac:dyDescent="0.2">
      <c r="D4402" t="s">
        <v>84</v>
      </c>
      <c r="E4402" t="s">
        <v>85</v>
      </c>
      <c r="F4402" t="s">
        <v>86</v>
      </c>
      <c r="G4402" t="s">
        <v>203</v>
      </c>
      <c r="H4402" t="s">
        <v>203</v>
      </c>
      <c r="I4402" t="s">
        <v>41</v>
      </c>
      <c r="J4402" t="s">
        <v>42</v>
      </c>
      <c r="K4402" t="s">
        <v>30</v>
      </c>
      <c r="L4402" t="s">
        <v>31</v>
      </c>
      <c r="M4402" t="s">
        <v>140</v>
      </c>
      <c r="N4402">
        <v>61</v>
      </c>
      <c r="O4402">
        <v>7.2768050000000001E-2</v>
      </c>
      <c r="P4402">
        <v>7.0938865000000004E-2</v>
      </c>
      <c r="Q4402" t="str">
        <f t="shared" si="136"/>
        <v>25-34</v>
      </c>
      <c r="R4402" t="str">
        <f t="shared" si="137"/>
        <v>[msW2zpIN7up]|25-34|Female|NEW_INFECTIONS_SUBNAT.T_1|CY2024Q3</v>
      </c>
    </row>
    <row r="4403" spans="4:18" x14ac:dyDescent="0.2">
      <c r="D4403" t="s">
        <v>84</v>
      </c>
      <c r="E4403" t="s">
        <v>85</v>
      </c>
      <c r="F4403" t="s">
        <v>86</v>
      </c>
      <c r="G4403" t="s">
        <v>203</v>
      </c>
      <c r="H4403" t="s">
        <v>203</v>
      </c>
      <c r="I4403" t="s">
        <v>43</v>
      </c>
      <c r="J4403" t="s">
        <v>44</v>
      </c>
      <c r="K4403" t="s">
        <v>30</v>
      </c>
      <c r="L4403" t="s">
        <v>31</v>
      </c>
      <c r="M4403" t="s">
        <v>140</v>
      </c>
      <c r="N4403">
        <v>30</v>
      </c>
      <c r="O4403">
        <v>6.6321186000000004E-2</v>
      </c>
      <c r="P4403">
        <v>7.0938865000000004E-2</v>
      </c>
      <c r="Q4403" t="str">
        <f t="shared" si="136"/>
        <v>35-49</v>
      </c>
      <c r="R4403" t="str">
        <f t="shared" si="137"/>
        <v>[msW2zpIN7up]|35-49|Female|NEW_INFECTIONS_SUBNAT.T_1|CY2024Q3</v>
      </c>
    </row>
    <row r="4404" spans="4:18" x14ac:dyDescent="0.2">
      <c r="D4404" t="s">
        <v>84</v>
      </c>
      <c r="E4404" t="s">
        <v>85</v>
      </c>
      <c r="F4404" t="s">
        <v>86</v>
      </c>
      <c r="G4404" t="s">
        <v>203</v>
      </c>
      <c r="H4404" t="s">
        <v>203</v>
      </c>
      <c r="I4404" t="s">
        <v>45</v>
      </c>
      <c r="J4404" t="s">
        <v>46</v>
      </c>
      <c r="K4404" t="s">
        <v>30</v>
      </c>
      <c r="L4404" t="s">
        <v>31</v>
      </c>
      <c r="M4404" t="s">
        <v>140</v>
      </c>
      <c r="N4404">
        <v>5</v>
      </c>
      <c r="O4404">
        <v>6.7875748999999999E-2</v>
      </c>
      <c r="P4404">
        <v>7.0938865000000004E-2</v>
      </c>
      <c r="Q4404" t="str">
        <f t="shared" si="136"/>
        <v>50+</v>
      </c>
      <c r="R4404" t="str">
        <f t="shared" si="137"/>
        <v>[msW2zpIN7up]|50+|Female|NEW_INFECTIONS_SUBNAT.T_1|CY2024Q3</v>
      </c>
    </row>
    <row r="4405" spans="4:18" x14ac:dyDescent="0.2">
      <c r="D4405" t="s">
        <v>84</v>
      </c>
      <c r="E4405" t="s">
        <v>85</v>
      </c>
      <c r="F4405" t="s">
        <v>86</v>
      </c>
      <c r="G4405" t="s">
        <v>203</v>
      </c>
      <c r="H4405" t="s">
        <v>203</v>
      </c>
      <c r="I4405" t="s">
        <v>28</v>
      </c>
      <c r="J4405" t="s">
        <v>29</v>
      </c>
      <c r="K4405" t="s">
        <v>48</v>
      </c>
      <c r="L4405" t="s">
        <v>49</v>
      </c>
      <c r="M4405" t="s">
        <v>140</v>
      </c>
      <c r="N4405">
        <v>17</v>
      </c>
      <c r="O4405">
        <v>6.7497852999999997E-2</v>
      </c>
      <c r="P4405">
        <v>7.0938865000000004E-2</v>
      </c>
      <c r="Q4405" t="str">
        <f t="shared" si="136"/>
        <v>&lt;01</v>
      </c>
      <c r="R4405" t="str">
        <f t="shared" si="137"/>
        <v>[msW2zpIN7up]|&lt;01|Male|NEW_INFECTIONS_SUBNAT.T_1|CY2024Q3</v>
      </c>
    </row>
    <row r="4406" spans="4:18" x14ac:dyDescent="0.2">
      <c r="D4406" t="s">
        <v>84</v>
      </c>
      <c r="E4406" t="s">
        <v>85</v>
      </c>
      <c r="F4406" t="s">
        <v>86</v>
      </c>
      <c r="G4406" t="s">
        <v>203</v>
      </c>
      <c r="H4406" t="s">
        <v>203</v>
      </c>
      <c r="I4406" t="s">
        <v>33</v>
      </c>
      <c r="J4406" t="s">
        <v>34</v>
      </c>
      <c r="K4406" t="s">
        <v>48</v>
      </c>
      <c r="L4406" t="s">
        <v>49</v>
      </c>
      <c r="M4406" t="s">
        <v>140</v>
      </c>
      <c r="N4406">
        <v>4</v>
      </c>
      <c r="O4406">
        <v>3.3748925999999999E-2</v>
      </c>
      <c r="P4406">
        <v>7.0938865000000004E-2</v>
      </c>
      <c r="Q4406" t="str">
        <f t="shared" si="136"/>
        <v>01-09</v>
      </c>
      <c r="R4406" t="str">
        <f t="shared" si="137"/>
        <v>[msW2zpIN7up]|01-09|Male|NEW_INFECTIONS_SUBNAT.T_1|CY2024Q3</v>
      </c>
    </row>
    <row r="4407" spans="4:18" x14ac:dyDescent="0.2">
      <c r="D4407" t="s">
        <v>84</v>
      </c>
      <c r="E4407" t="s">
        <v>85</v>
      </c>
      <c r="F4407" t="s">
        <v>86</v>
      </c>
      <c r="G4407" t="s">
        <v>203</v>
      </c>
      <c r="H4407" t="s">
        <v>203</v>
      </c>
      <c r="I4407" t="s">
        <v>36</v>
      </c>
      <c r="J4407" t="s">
        <v>37</v>
      </c>
      <c r="K4407" t="s">
        <v>48</v>
      </c>
      <c r="L4407" t="s">
        <v>49</v>
      </c>
      <c r="M4407" t="s">
        <v>140</v>
      </c>
      <c r="N4407">
        <v>0</v>
      </c>
      <c r="O4407">
        <v>0</v>
      </c>
      <c r="P4407">
        <v>7.0938865000000004E-2</v>
      </c>
      <c r="Q4407" t="str">
        <f t="shared" si="136"/>
        <v>10-14</v>
      </c>
      <c r="R4407" t="str">
        <f t="shared" si="137"/>
        <v>[msW2zpIN7up]|10-14|Male|NEW_INFECTIONS_SUBNAT.T_1|CY2024Q3</v>
      </c>
    </row>
    <row r="4408" spans="4:18" x14ac:dyDescent="0.2">
      <c r="D4408" t="s">
        <v>84</v>
      </c>
      <c r="E4408" t="s">
        <v>85</v>
      </c>
      <c r="F4408" t="s">
        <v>86</v>
      </c>
      <c r="G4408" t="s">
        <v>203</v>
      </c>
      <c r="H4408" t="s">
        <v>203</v>
      </c>
      <c r="I4408" t="s">
        <v>38</v>
      </c>
      <c r="J4408" t="s">
        <v>39</v>
      </c>
      <c r="K4408" t="s">
        <v>48</v>
      </c>
      <c r="L4408" t="s">
        <v>49</v>
      </c>
      <c r="M4408" t="s">
        <v>140</v>
      </c>
      <c r="N4408">
        <v>10</v>
      </c>
      <c r="O4408">
        <v>7.6051279999999999E-2</v>
      </c>
      <c r="P4408">
        <v>7.0938865000000004E-2</v>
      </c>
      <c r="Q4408" t="str">
        <f t="shared" si="136"/>
        <v>15-24</v>
      </c>
      <c r="R4408" t="str">
        <f t="shared" si="137"/>
        <v>[msW2zpIN7up]|15-24|Male|NEW_INFECTIONS_SUBNAT.T_1|CY2024Q3</v>
      </c>
    </row>
    <row r="4409" spans="4:18" x14ac:dyDescent="0.2">
      <c r="D4409" t="s">
        <v>84</v>
      </c>
      <c r="E4409" t="s">
        <v>85</v>
      </c>
      <c r="F4409" t="s">
        <v>86</v>
      </c>
      <c r="G4409" t="s">
        <v>203</v>
      </c>
      <c r="H4409" t="s">
        <v>203</v>
      </c>
      <c r="I4409" t="s">
        <v>41</v>
      </c>
      <c r="J4409" t="s">
        <v>42</v>
      </c>
      <c r="K4409" t="s">
        <v>48</v>
      </c>
      <c r="L4409" t="s">
        <v>49</v>
      </c>
      <c r="M4409" t="s">
        <v>140</v>
      </c>
      <c r="N4409">
        <v>33</v>
      </c>
      <c r="O4409">
        <v>7.5081645000000002E-2</v>
      </c>
      <c r="P4409">
        <v>7.0938865000000004E-2</v>
      </c>
      <c r="Q4409" t="str">
        <f t="shared" si="136"/>
        <v>25-34</v>
      </c>
      <c r="R4409" t="str">
        <f t="shared" si="137"/>
        <v>[msW2zpIN7up]|25-34|Male|NEW_INFECTIONS_SUBNAT.T_1|CY2024Q3</v>
      </c>
    </row>
    <row r="4410" spans="4:18" x14ac:dyDescent="0.2">
      <c r="D4410" t="s">
        <v>84</v>
      </c>
      <c r="E4410" t="s">
        <v>85</v>
      </c>
      <c r="F4410" t="s">
        <v>86</v>
      </c>
      <c r="G4410" t="s">
        <v>203</v>
      </c>
      <c r="H4410" t="s">
        <v>203</v>
      </c>
      <c r="I4410" t="s">
        <v>43</v>
      </c>
      <c r="J4410" t="s">
        <v>44</v>
      </c>
      <c r="K4410" t="s">
        <v>48</v>
      </c>
      <c r="L4410" t="s">
        <v>49</v>
      </c>
      <c r="M4410" t="s">
        <v>140</v>
      </c>
      <c r="N4410">
        <v>36</v>
      </c>
      <c r="O4410">
        <v>7.1172957999999995E-2</v>
      </c>
      <c r="P4410">
        <v>7.0938865000000004E-2</v>
      </c>
      <c r="Q4410" t="str">
        <f t="shared" si="136"/>
        <v>35-49</v>
      </c>
      <c r="R4410" t="str">
        <f t="shared" si="137"/>
        <v>[msW2zpIN7up]|35-49|Male|NEW_INFECTIONS_SUBNAT.T_1|CY2024Q3</v>
      </c>
    </row>
    <row r="4411" spans="4:18" x14ac:dyDescent="0.2">
      <c r="D4411" t="s">
        <v>84</v>
      </c>
      <c r="E4411" t="s">
        <v>85</v>
      </c>
      <c r="F4411" t="s">
        <v>86</v>
      </c>
      <c r="G4411" t="s">
        <v>203</v>
      </c>
      <c r="H4411" t="s">
        <v>203</v>
      </c>
      <c r="I4411" t="s">
        <v>45</v>
      </c>
      <c r="J4411" t="s">
        <v>46</v>
      </c>
      <c r="K4411" t="s">
        <v>48</v>
      </c>
      <c r="L4411" t="s">
        <v>49</v>
      </c>
      <c r="M4411" t="s">
        <v>140</v>
      </c>
      <c r="N4411">
        <v>9</v>
      </c>
      <c r="O4411">
        <v>6.8720108000000002E-2</v>
      </c>
      <c r="P4411">
        <v>7.0938865000000004E-2</v>
      </c>
      <c r="Q4411" t="str">
        <f t="shared" si="136"/>
        <v>50+</v>
      </c>
      <c r="R4411" t="str">
        <f t="shared" si="137"/>
        <v>[msW2zpIN7up]|50+|Male|NEW_INFECTIONS_SUBNAT.T_1|CY2024Q3</v>
      </c>
    </row>
    <row r="4412" spans="4:18" x14ac:dyDescent="0.2">
      <c r="D4412" t="s">
        <v>87</v>
      </c>
      <c r="E4412" t="s">
        <v>88</v>
      </c>
      <c r="F4412" t="s">
        <v>89</v>
      </c>
      <c r="G4412" t="s">
        <v>203</v>
      </c>
      <c r="H4412" t="s">
        <v>203</v>
      </c>
      <c r="I4412" t="s">
        <v>28</v>
      </c>
      <c r="J4412" t="s">
        <v>29</v>
      </c>
      <c r="K4412" t="s">
        <v>30</v>
      </c>
      <c r="L4412" t="s">
        <v>31</v>
      </c>
      <c r="M4412" t="s">
        <v>140</v>
      </c>
      <c r="N4412">
        <v>79</v>
      </c>
      <c r="O4412">
        <v>2.2492694000000001E-2</v>
      </c>
      <c r="P4412">
        <v>3.2335401999999999E-2</v>
      </c>
      <c r="Q4412" t="str">
        <f t="shared" si="136"/>
        <v>&lt;01</v>
      </c>
      <c r="R4412" t="str">
        <f t="shared" si="137"/>
        <v>[ScR9iFKAasW]|&lt;01|Female|NEW_INFECTIONS_SUBNAT.T_1|CY2024Q3</v>
      </c>
    </row>
    <row r="4413" spans="4:18" x14ac:dyDescent="0.2">
      <c r="D4413" t="s">
        <v>87</v>
      </c>
      <c r="E4413" t="s">
        <v>88</v>
      </c>
      <c r="F4413" t="s">
        <v>89</v>
      </c>
      <c r="G4413" t="s">
        <v>203</v>
      </c>
      <c r="H4413" t="s">
        <v>203</v>
      </c>
      <c r="I4413" t="s">
        <v>33</v>
      </c>
      <c r="J4413" t="s">
        <v>34</v>
      </c>
      <c r="K4413" t="s">
        <v>30</v>
      </c>
      <c r="L4413" t="s">
        <v>31</v>
      </c>
      <c r="M4413" t="s">
        <v>140</v>
      </c>
      <c r="N4413">
        <v>20</v>
      </c>
      <c r="O4413">
        <v>1.1246347E-2</v>
      </c>
      <c r="P4413">
        <v>3.2335401999999999E-2</v>
      </c>
      <c r="Q4413" t="str">
        <f t="shared" si="136"/>
        <v>01-09</v>
      </c>
      <c r="R4413" t="str">
        <f t="shared" si="137"/>
        <v>[ScR9iFKAasW]|01-09|Female|NEW_INFECTIONS_SUBNAT.T_1|CY2024Q3</v>
      </c>
    </row>
    <row r="4414" spans="4:18" x14ac:dyDescent="0.2">
      <c r="D4414" t="s">
        <v>87</v>
      </c>
      <c r="E4414" t="s">
        <v>88</v>
      </c>
      <c r="F4414" t="s">
        <v>89</v>
      </c>
      <c r="G4414" t="s">
        <v>203</v>
      </c>
      <c r="H4414" t="s">
        <v>203</v>
      </c>
      <c r="I4414" t="s">
        <v>36</v>
      </c>
      <c r="J4414" t="s">
        <v>37</v>
      </c>
      <c r="K4414" t="s">
        <v>30</v>
      </c>
      <c r="L4414" t="s">
        <v>31</v>
      </c>
      <c r="M4414" t="s">
        <v>140</v>
      </c>
      <c r="N4414">
        <v>0</v>
      </c>
      <c r="O4414">
        <v>0</v>
      </c>
      <c r="P4414">
        <v>3.2335401999999999E-2</v>
      </c>
      <c r="Q4414" t="str">
        <f t="shared" si="136"/>
        <v>10-14</v>
      </c>
      <c r="R4414" t="str">
        <f t="shared" si="137"/>
        <v>[ScR9iFKAasW]|10-14|Female|NEW_INFECTIONS_SUBNAT.T_1|CY2024Q3</v>
      </c>
    </row>
    <row r="4415" spans="4:18" x14ac:dyDescent="0.2">
      <c r="D4415" t="s">
        <v>87</v>
      </c>
      <c r="E4415" t="s">
        <v>88</v>
      </c>
      <c r="F4415" t="s">
        <v>89</v>
      </c>
      <c r="G4415" t="s">
        <v>203</v>
      </c>
      <c r="H4415" t="s">
        <v>203</v>
      </c>
      <c r="I4415" t="s">
        <v>38</v>
      </c>
      <c r="J4415" t="s">
        <v>39</v>
      </c>
      <c r="K4415" t="s">
        <v>30</v>
      </c>
      <c r="L4415" t="s">
        <v>31</v>
      </c>
      <c r="M4415" t="s">
        <v>140</v>
      </c>
      <c r="N4415">
        <v>391</v>
      </c>
      <c r="O4415">
        <v>3.5737125000000002E-2</v>
      </c>
      <c r="P4415">
        <v>3.2335401999999999E-2</v>
      </c>
      <c r="Q4415" t="str">
        <f t="shared" si="136"/>
        <v>15-24</v>
      </c>
      <c r="R4415" t="str">
        <f t="shared" si="137"/>
        <v>[ScR9iFKAasW]|15-24|Female|NEW_INFECTIONS_SUBNAT.T_1|CY2024Q3</v>
      </c>
    </row>
    <row r="4416" spans="4:18" x14ac:dyDescent="0.2">
      <c r="D4416" t="s">
        <v>87</v>
      </c>
      <c r="E4416" t="s">
        <v>88</v>
      </c>
      <c r="F4416" t="s">
        <v>89</v>
      </c>
      <c r="G4416" t="s">
        <v>203</v>
      </c>
      <c r="H4416" t="s">
        <v>203</v>
      </c>
      <c r="I4416" t="s">
        <v>41</v>
      </c>
      <c r="J4416" t="s">
        <v>42</v>
      </c>
      <c r="K4416" t="s">
        <v>30</v>
      </c>
      <c r="L4416" t="s">
        <v>31</v>
      </c>
      <c r="M4416" t="s">
        <v>140</v>
      </c>
      <c r="N4416">
        <v>424</v>
      </c>
      <c r="O4416">
        <v>3.4405081999999997E-2</v>
      </c>
      <c r="P4416">
        <v>3.2335401999999999E-2</v>
      </c>
      <c r="Q4416" t="str">
        <f t="shared" si="136"/>
        <v>25-34</v>
      </c>
      <c r="R4416" t="str">
        <f t="shared" si="137"/>
        <v>[ScR9iFKAasW]|25-34|Female|NEW_INFECTIONS_SUBNAT.T_1|CY2024Q3</v>
      </c>
    </row>
    <row r="4417" spans="4:18" x14ac:dyDescent="0.2">
      <c r="D4417" t="s">
        <v>87</v>
      </c>
      <c r="E4417" t="s">
        <v>88</v>
      </c>
      <c r="F4417" t="s">
        <v>89</v>
      </c>
      <c r="G4417" t="s">
        <v>203</v>
      </c>
      <c r="H4417" t="s">
        <v>203</v>
      </c>
      <c r="I4417" t="s">
        <v>43</v>
      </c>
      <c r="J4417" t="s">
        <v>44</v>
      </c>
      <c r="K4417" t="s">
        <v>30</v>
      </c>
      <c r="L4417" t="s">
        <v>31</v>
      </c>
      <c r="M4417" t="s">
        <v>140</v>
      </c>
      <c r="N4417">
        <v>181</v>
      </c>
      <c r="O4417">
        <v>3.5977097999999999E-2</v>
      </c>
      <c r="P4417">
        <v>3.2335401999999999E-2</v>
      </c>
      <c r="Q4417" t="str">
        <f t="shared" si="136"/>
        <v>35-49</v>
      </c>
      <c r="R4417" t="str">
        <f t="shared" si="137"/>
        <v>[ScR9iFKAasW]|35-49|Female|NEW_INFECTIONS_SUBNAT.T_1|CY2024Q3</v>
      </c>
    </row>
    <row r="4418" spans="4:18" x14ac:dyDescent="0.2">
      <c r="D4418" t="s">
        <v>87</v>
      </c>
      <c r="E4418" t="s">
        <v>88</v>
      </c>
      <c r="F4418" t="s">
        <v>89</v>
      </c>
      <c r="G4418" t="s">
        <v>203</v>
      </c>
      <c r="H4418" t="s">
        <v>203</v>
      </c>
      <c r="I4418" t="s">
        <v>45</v>
      </c>
      <c r="J4418" t="s">
        <v>46</v>
      </c>
      <c r="K4418" t="s">
        <v>30</v>
      </c>
      <c r="L4418" t="s">
        <v>31</v>
      </c>
      <c r="M4418" t="s">
        <v>140</v>
      </c>
      <c r="N4418">
        <v>22</v>
      </c>
      <c r="O4418">
        <v>4.6000829E-2</v>
      </c>
      <c r="P4418">
        <v>3.2335401999999999E-2</v>
      </c>
      <c r="Q4418" t="str">
        <f t="shared" si="136"/>
        <v>50+</v>
      </c>
      <c r="R4418" t="str">
        <f t="shared" si="137"/>
        <v>[ScR9iFKAasW]|50+|Female|NEW_INFECTIONS_SUBNAT.T_1|CY2024Q3</v>
      </c>
    </row>
    <row r="4419" spans="4:18" x14ac:dyDescent="0.2">
      <c r="D4419" t="s">
        <v>87</v>
      </c>
      <c r="E4419" t="s">
        <v>88</v>
      </c>
      <c r="F4419" t="s">
        <v>89</v>
      </c>
      <c r="G4419" t="s">
        <v>203</v>
      </c>
      <c r="H4419" t="s">
        <v>203</v>
      </c>
      <c r="I4419" t="s">
        <v>28</v>
      </c>
      <c r="J4419" t="s">
        <v>29</v>
      </c>
      <c r="K4419" t="s">
        <v>48</v>
      </c>
      <c r="L4419" t="s">
        <v>49</v>
      </c>
      <c r="M4419" t="s">
        <v>140</v>
      </c>
      <c r="N4419">
        <v>79</v>
      </c>
      <c r="O4419">
        <v>2.2478748E-2</v>
      </c>
      <c r="P4419">
        <v>3.2335401999999999E-2</v>
      </c>
      <c r="Q4419" t="str">
        <f t="shared" ref="Q4419:Q4482" si="138">SUBSTITUTE(SUBSTITUTE($I4419,CHAR(61),""),CHAR(34),"")</f>
        <v>&lt;01</v>
      </c>
      <c r="R4419" t="str">
        <f t="shared" ref="R4419:R4482" si="139">IF($D4419&lt;&gt;"","["&amp;$E4419&amp;"]"&amp;"|"&amp;$Q4419&amp;"|"&amp;$K4419&amp;"|"&amp;$G4419&amp;"|"&amp;IF($G4419="TX_CURR_SUBNAT.R","CY2023Q4",$M4419),"")</f>
        <v>[ScR9iFKAasW]|&lt;01|Male|NEW_INFECTIONS_SUBNAT.T_1|CY2024Q3</v>
      </c>
    </row>
    <row r="4420" spans="4:18" x14ac:dyDescent="0.2">
      <c r="D4420" t="s">
        <v>87</v>
      </c>
      <c r="E4420" t="s">
        <v>88</v>
      </c>
      <c r="F4420" t="s">
        <v>89</v>
      </c>
      <c r="G4420" t="s">
        <v>203</v>
      </c>
      <c r="H4420" t="s">
        <v>203</v>
      </c>
      <c r="I4420" t="s">
        <v>33</v>
      </c>
      <c r="J4420" t="s">
        <v>34</v>
      </c>
      <c r="K4420" t="s">
        <v>48</v>
      </c>
      <c r="L4420" t="s">
        <v>49</v>
      </c>
      <c r="M4420" t="s">
        <v>140</v>
      </c>
      <c r="N4420">
        <v>20</v>
      </c>
      <c r="O4420">
        <v>1.1239374E-2</v>
      </c>
      <c r="P4420">
        <v>3.2335401999999999E-2</v>
      </c>
      <c r="Q4420" t="str">
        <f t="shared" si="138"/>
        <v>01-09</v>
      </c>
      <c r="R4420" t="str">
        <f t="shared" si="139"/>
        <v>[ScR9iFKAasW]|01-09|Male|NEW_INFECTIONS_SUBNAT.T_1|CY2024Q3</v>
      </c>
    </row>
    <row r="4421" spans="4:18" x14ac:dyDescent="0.2">
      <c r="D4421" t="s">
        <v>87</v>
      </c>
      <c r="E4421" t="s">
        <v>88</v>
      </c>
      <c r="F4421" t="s">
        <v>89</v>
      </c>
      <c r="G4421" t="s">
        <v>203</v>
      </c>
      <c r="H4421" t="s">
        <v>203</v>
      </c>
      <c r="I4421" t="s">
        <v>36</v>
      </c>
      <c r="J4421" t="s">
        <v>37</v>
      </c>
      <c r="K4421" t="s">
        <v>48</v>
      </c>
      <c r="L4421" t="s">
        <v>49</v>
      </c>
      <c r="M4421" t="s">
        <v>140</v>
      </c>
      <c r="N4421">
        <v>0</v>
      </c>
      <c r="O4421">
        <v>0</v>
      </c>
      <c r="P4421">
        <v>3.2335401999999999E-2</v>
      </c>
      <c r="Q4421" t="str">
        <f t="shared" si="138"/>
        <v>10-14</v>
      </c>
      <c r="R4421" t="str">
        <f t="shared" si="139"/>
        <v>[ScR9iFKAasW]|10-14|Male|NEW_INFECTIONS_SUBNAT.T_1|CY2024Q3</v>
      </c>
    </row>
    <row r="4422" spans="4:18" x14ac:dyDescent="0.2">
      <c r="D4422" t="s">
        <v>87</v>
      </c>
      <c r="E4422" t="s">
        <v>88</v>
      </c>
      <c r="F4422" t="s">
        <v>89</v>
      </c>
      <c r="G4422" t="s">
        <v>203</v>
      </c>
      <c r="H4422" t="s">
        <v>203</v>
      </c>
      <c r="I4422" t="s">
        <v>38</v>
      </c>
      <c r="J4422" t="s">
        <v>39</v>
      </c>
      <c r="K4422" t="s">
        <v>48</v>
      </c>
      <c r="L4422" t="s">
        <v>49</v>
      </c>
      <c r="M4422" t="s">
        <v>140</v>
      </c>
      <c r="N4422">
        <v>69</v>
      </c>
      <c r="O4422">
        <v>3.5723103999999999E-2</v>
      </c>
      <c r="P4422">
        <v>3.2335401999999999E-2</v>
      </c>
      <c r="Q4422" t="str">
        <f t="shared" si="138"/>
        <v>15-24</v>
      </c>
      <c r="R4422" t="str">
        <f t="shared" si="139"/>
        <v>[ScR9iFKAasW]|15-24|Male|NEW_INFECTIONS_SUBNAT.T_1|CY2024Q3</v>
      </c>
    </row>
    <row r="4423" spans="4:18" x14ac:dyDescent="0.2">
      <c r="D4423" t="s">
        <v>87</v>
      </c>
      <c r="E4423" t="s">
        <v>88</v>
      </c>
      <c r="F4423" t="s">
        <v>89</v>
      </c>
      <c r="G4423" t="s">
        <v>203</v>
      </c>
      <c r="H4423" t="s">
        <v>203</v>
      </c>
      <c r="I4423" t="s">
        <v>41</v>
      </c>
      <c r="J4423" t="s">
        <v>42</v>
      </c>
      <c r="K4423" t="s">
        <v>48</v>
      </c>
      <c r="L4423" t="s">
        <v>49</v>
      </c>
      <c r="M4423" t="s">
        <v>140</v>
      </c>
      <c r="N4423">
        <v>264</v>
      </c>
      <c r="O4423">
        <v>3.4547054000000001E-2</v>
      </c>
      <c r="P4423">
        <v>3.2335401999999999E-2</v>
      </c>
      <c r="Q4423" t="str">
        <f t="shared" si="138"/>
        <v>25-34</v>
      </c>
      <c r="R4423" t="str">
        <f t="shared" si="139"/>
        <v>[ScR9iFKAasW]|25-34|Male|NEW_INFECTIONS_SUBNAT.T_1|CY2024Q3</v>
      </c>
    </row>
    <row r="4424" spans="4:18" x14ac:dyDescent="0.2">
      <c r="D4424" t="s">
        <v>87</v>
      </c>
      <c r="E4424" t="s">
        <v>88</v>
      </c>
      <c r="F4424" t="s">
        <v>89</v>
      </c>
      <c r="G4424" t="s">
        <v>203</v>
      </c>
      <c r="H4424" t="s">
        <v>203</v>
      </c>
      <c r="I4424" t="s">
        <v>43</v>
      </c>
      <c r="J4424" t="s">
        <v>44</v>
      </c>
      <c r="K4424" t="s">
        <v>48</v>
      </c>
      <c r="L4424" t="s">
        <v>49</v>
      </c>
      <c r="M4424" t="s">
        <v>140</v>
      </c>
      <c r="N4424">
        <v>255</v>
      </c>
      <c r="O4424">
        <v>3.3888386999999999E-2</v>
      </c>
      <c r="P4424">
        <v>3.2335401999999999E-2</v>
      </c>
      <c r="Q4424" t="str">
        <f t="shared" si="138"/>
        <v>35-49</v>
      </c>
      <c r="R4424" t="str">
        <f t="shared" si="139"/>
        <v>[ScR9iFKAasW]|35-49|Male|NEW_INFECTIONS_SUBNAT.T_1|CY2024Q3</v>
      </c>
    </row>
    <row r="4425" spans="4:18" x14ac:dyDescent="0.2">
      <c r="D4425" t="s">
        <v>87</v>
      </c>
      <c r="E4425" t="s">
        <v>88</v>
      </c>
      <c r="F4425" t="s">
        <v>89</v>
      </c>
      <c r="G4425" t="s">
        <v>203</v>
      </c>
      <c r="H4425" t="s">
        <v>203</v>
      </c>
      <c r="I4425" t="s">
        <v>45</v>
      </c>
      <c r="J4425" t="s">
        <v>46</v>
      </c>
      <c r="K4425" t="s">
        <v>48</v>
      </c>
      <c r="L4425" t="s">
        <v>49</v>
      </c>
      <c r="M4425" t="s">
        <v>140</v>
      </c>
      <c r="N4425">
        <v>49</v>
      </c>
      <c r="O4425">
        <v>4.1996738999999998E-2</v>
      </c>
      <c r="P4425">
        <v>3.2335401999999999E-2</v>
      </c>
      <c r="Q4425" t="str">
        <f t="shared" si="138"/>
        <v>50+</v>
      </c>
      <c r="R4425" t="str">
        <f t="shared" si="139"/>
        <v>[ScR9iFKAasW]|50+|Male|NEW_INFECTIONS_SUBNAT.T_1|CY2024Q3</v>
      </c>
    </row>
    <row r="4426" spans="4:18" x14ac:dyDescent="0.2">
      <c r="D4426" t="s">
        <v>90</v>
      </c>
      <c r="E4426" t="s">
        <v>91</v>
      </c>
      <c r="F4426" t="s">
        <v>92</v>
      </c>
      <c r="G4426" t="s">
        <v>203</v>
      </c>
      <c r="H4426" t="s">
        <v>203</v>
      </c>
      <c r="I4426" t="s">
        <v>28</v>
      </c>
      <c r="J4426" t="s">
        <v>29</v>
      </c>
      <c r="K4426" t="s">
        <v>30</v>
      </c>
      <c r="L4426" t="s">
        <v>31</v>
      </c>
      <c r="M4426" t="s">
        <v>140</v>
      </c>
      <c r="N4426">
        <v>14</v>
      </c>
      <c r="O4426">
        <v>5.9345006999999998E-2</v>
      </c>
      <c r="P4426">
        <v>6.98352E-2</v>
      </c>
      <c r="Q4426" t="str">
        <f t="shared" si="138"/>
        <v>&lt;01</v>
      </c>
      <c r="R4426" t="str">
        <f t="shared" si="139"/>
        <v>[kxuuIFpOXyO]|&lt;01|Female|NEW_INFECTIONS_SUBNAT.T_1|CY2024Q3</v>
      </c>
    </row>
    <row r="4427" spans="4:18" x14ac:dyDescent="0.2">
      <c r="D4427" t="s">
        <v>90</v>
      </c>
      <c r="E4427" t="s">
        <v>91</v>
      </c>
      <c r="F4427" t="s">
        <v>92</v>
      </c>
      <c r="G4427" t="s">
        <v>203</v>
      </c>
      <c r="H4427" t="s">
        <v>203</v>
      </c>
      <c r="I4427" t="s">
        <v>33</v>
      </c>
      <c r="J4427" t="s">
        <v>34</v>
      </c>
      <c r="K4427" t="s">
        <v>30</v>
      </c>
      <c r="L4427" t="s">
        <v>31</v>
      </c>
      <c r="M4427" t="s">
        <v>140</v>
      </c>
      <c r="N4427">
        <v>3</v>
      </c>
      <c r="O4427">
        <v>2.9672503999999999E-2</v>
      </c>
      <c r="P4427">
        <v>6.98352E-2</v>
      </c>
      <c r="Q4427" t="str">
        <f t="shared" si="138"/>
        <v>01-09</v>
      </c>
      <c r="R4427" t="str">
        <f t="shared" si="139"/>
        <v>[kxuuIFpOXyO]|01-09|Female|NEW_INFECTIONS_SUBNAT.T_1|CY2024Q3</v>
      </c>
    </row>
    <row r="4428" spans="4:18" x14ac:dyDescent="0.2">
      <c r="D4428" t="s">
        <v>90</v>
      </c>
      <c r="E4428" t="s">
        <v>91</v>
      </c>
      <c r="F4428" t="s">
        <v>92</v>
      </c>
      <c r="G4428" t="s">
        <v>203</v>
      </c>
      <c r="H4428" t="s">
        <v>203</v>
      </c>
      <c r="I4428" t="s">
        <v>36</v>
      </c>
      <c r="J4428" t="s">
        <v>37</v>
      </c>
      <c r="K4428" t="s">
        <v>30</v>
      </c>
      <c r="L4428" t="s">
        <v>31</v>
      </c>
      <c r="M4428" t="s">
        <v>140</v>
      </c>
      <c r="N4428">
        <v>0</v>
      </c>
      <c r="O4428">
        <v>0</v>
      </c>
      <c r="P4428">
        <v>6.98352E-2</v>
      </c>
      <c r="Q4428" t="str">
        <f t="shared" si="138"/>
        <v>10-14</v>
      </c>
      <c r="R4428" t="str">
        <f t="shared" si="139"/>
        <v>[kxuuIFpOXyO]|10-14|Female|NEW_INFECTIONS_SUBNAT.T_1|CY2024Q3</v>
      </c>
    </row>
    <row r="4429" spans="4:18" x14ac:dyDescent="0.2">
      <c r="D4429" t="s">
        <v>90</v>
      </c>
      <c r="E4429" t="s">
        <v>91</v>
      </c>
      <c r="F4429" t="s">
        <v>92</v>
      </c>
      <c r="G4429" t="s">
        <v>203</v>
      </c>
      <c r="H4429" t="s">
        <v>203</v>
      </c>
      <c r="I4429" t="s">
        <v>38</v>
      </c>
      <c r="J4429" t="s">
        <v>39</v>
      </c>
      <c r="K4429" t="s">
        <v>30</v>
      </c>
      <c r="L4429" t="s">
        <v>31</v>
      </c>
      <c r="M4429" t="s">
        <v>140</v>
      </c>
      <c r="N4429">
        <v>58</v>
      </c>
      <c r="O4429">
        <v>7.4804109999999993E-2</v>
      </c>
      <c r="P4429">
        <v>6.98352E-2</v>
      </c>
      <c r="Q4429" t="str">
        <f t="shared" si="138"/>
        <v>15-24</v>
      </c>
      <c r="R4429" t="str">
        <f t="shared" si="139"/>
        <v>[kxuuIFpOXyO]|15-24|Female|NEW_INFECTIONS_SUBNAT.T_1|CY2024Q3</v>
      </c>
    </row>
    <row r="4430" spans="4:18" x14ac:dyDescent="0.2">
      <c r="D4430" t="s">
        <v>90</v>
      </c>
      <c r="E4430" t="s">
        <v>91</v>
      </c>
      <c r="F4430" t="s">
        <v>92</v>
      </c>
      <c r="G4430" t="s">
        <v>203</v>
      </c>
      <c r="H4430" t="s">
        <v>203</v>
      </c>
      <c r="I4430" t="s">
        <v>41</v>
      </c>
      <c r="J4430" t="s">
        <v>42</v>
      </c>
      <c r="K4430" t="s">
        <v>30</v>
      </c>
      <c r="L4430" t="s">
        <v>31</v>
      </c>
      <c r="M4430" t="s">
        <v>140</v>
      </c>
      <c r="N4430">
        <v>59</v>
      </c>
      <c r="O4430">
        <v>7.3156615999999994E-2</v>
      </c>
      <c r="P4430">
        <v>6.98352E-2</v>
      </c>
      <c r="Q4430" t="str">
        <f t="shared" si="138"/>
        <v>25-34</v>
      </c>
      <c r="R4430" t="str">
        <f t="shared" si="139"/>
        <v>[kxuuIFpOXyO]|25-34|Female|NEW_INFECTIONS_SUBNAT.T_1|CY2024Q3</v>
      </c>
    </row>
    <row r="4431" spans="4:18" x14ac:dyDescent="0.2">
      <c r="D4431" t="s">
        <v>90</v>
      </c>
      <c r="E4431" t="s">
        <v>91</v>
      </c>
      <c r="F4431" t="s">
        <v>92</v>
      </c>
      <c r="G4431" t="s">
        <v>203</v>
      </c>
      <c r="H4431" t="s">
        <v>203</v>
      </c>
      <c r="I4431" t="s">
        <v>43</v>
      </c>
      <c r="J4431" t="s">
        <v>44</v>
      </c>
      <c r="K4431" t="s">
        <v>30</v>
      </c>
      <c r="L4431" t="s">
        <v>31</v>
      </c>
      <c r="M4431" t="s">
        <v>140</v>
      </c>
      <c r="N4431">
        <v>30</v>
      </c>
      <c r="O4431">
        <v>6.9505176000000002E-2</v>
      </c>
      <c r="P4431">
        <v>6.98352E-2</v>
      </c>
      <c r="Q4431" t="str">
        <f t="shared" si="138"/>
        <v>35-49</v>
      </c>
      <c r="R4431" t="str">
        <f t="shared" si="139"/>
        <v>[kxuuIFpOXyO]|35-49|Female|NEW_INFECTIONS_SUBNAT.T_1|CY2024Q3</v>
      </c>
    </row>
    <row r="4432" spans="4:18" x14ac:dyDescent="0.2">
      <c r="D4432" t="s">
        <v>90</v>
      </c>
      <c r="E4432" t="s">
        <v>91</v>
      </c>
      <c r="F4432" t="s">
        <v>92</v>
      </c>
      <c r="G4432" t="s">
        <v>203</v>
      </c>
      <c r="H4432" t="s">
        <v>203</v>
      </c>
      <c r="I4432" t="s">
        <v>45</v>
      </c>
      <c r="J4432" t="s">
        <v>46</v>
      </c>
      <c r="K4432" t="s">
        <v>30</v>
      </c>
      <c r="L4432" t="s">
        <v>31</v>
      </c>
      <c r="M4432" t="s">
        <v>140</v>
      </c>
      <c r="N4432">
        <v>5</v>
      </c>
      <c r="O4432">
        <v>7.0481678000000006E-2</v>
      </c>
      <c r="P4432">
        <v>6.98352E-2</v>
      </c>
      <c r="Q4432" t="str">
        <f t="shared" si="138"/>
        <v>50+</v>
      </c>
      <c r="R4432" t="str">
        <f t="shared" si="139"/>
        <v>[kxuuIFpOXyO]|50+|Female|NEW_INFECTIONS_SUBNAT.T_1|CY2024Q3</v>
      </c>
    </row>
    <row r="4433" spans="4:18" x14ac:dyDescent="0.2">
      <c r="D4433" t="s">
        <v>90</v>
      </c>
      <c r="E4433" t="s">
        <v>91</v>
      </c>
      <c r="F4433" t="s">
        <v>92</v>
      </c>
      <c r="G4433" t="s">
        <v>203</v>
      </c>
      <c r="H4433" t="s">
        <v>203</v>
      </c>
      <c r="I4433" t="s">
        <v>28</v>
      </c>
      <c r="J4433" t="s">
        <v>29</v>
      </c>
      <c r="K4433" t="s">
        <v>48</v>
      </c>
      <c r="L4433" t="s">
        <v>49</v>
      </c>
      <c r="M4433" t="s">
        <v>140</v>
      </c>
      <c r="N4433">
        <v>14</v>
      </c>
      <c r="O4433">
        <v>5.9343561000000003E-2</v>
      </c>
      <c r="P4433">
        <v>6.98352E-2</v>
      </c>
      <c r="Q4433" t="str">
        <f t="shared" si="138"/>
        <v>&lt;01</v>
      </c>
      <c r="R4433" t="str">
        <f t="shared" si="139"/>
        <v>[kxuuIFpOXyO]|&lt;01|Male|NEW_INFECTIONS_SUBNAT.T_1|CY2024Q3</v>
      </c>
    </row>
    <row r="4434" spans="4:18" x14ac:dyDescent="0.2">
      <c r="D4434" t="s">
        <v>90</v>
      </c>
      <c r="E4434" t="s">
        <v>91</v>
      </c>
      <c r="F4434" t="s">
        <v>92</v>
      </c>
      <c r="G4434" t="s">
        <v>203</v>
      </c>
      <c r="H4434" t="s">
        <v>203</v>
      </c>
      <c r="I4434" t="s">
        <v>33</v>
      </c>
      <c r="J4434" t="s">
        <v>34</v>
      </c>
      <c r="K4434" t="s">
        <v>48</v>
      </c>
      <c r="L4434" t="s">
        <v>49</v>
      </c>
      <c r="M4434" t="s">
        <v>140</v>
      </c>
      <c r="N4434">
        <v>3</v>
      </c>
      <c r="O4434">
        <v>2.9671781000000001E-2</v>
      </c>
      <c r="P4434">
        <v>6.98352E-2</v>
      </c>
      <c r="Q4434" t="str">
        <f t="shared" si="138"/>
        <v>01-09</v>
      </c>
      <c r="R4434" t="str">
        <f t="shared" si="139"/>
        <v>[kxuuIFpOXyO]|01-09|Male|NEW_INFECTIONS_SUBNAT.T_1|CY2024Q3</v>
      </c>
    </row>
    <row r="4435" spans="4:18" x14ac:dyDescent="0.2">
      <c r="D4435" t="s">
        <v>90</v>
      </c>
      <c r="E4435" t="s">
        <v>91</v>
      </c>
      <c r="F4435" t="s">
        <v>92</v>
      </c>
      <c r="G4435" t="s">
        <v>203</v>
      </c>
      <c r="H4435" t="s">
        <v>203</v>
      </c>
      <c r="I4435" t="s">
        <v>36</v>
      </c>
      <c r="J4435" t="s">
        <v>37</v>
      </c>
      <c r="K4435" t="s">
        <v>48</v>
      </c>
      <c r="L4435" t="s">
        <v>49</v>
      </c>
      <c r="M4435" t="s">
        <v>140</v>
      </c>
      <c r="N4435">
        <v>0</v>
      </c>
      <c r="O4435">
        <v>0</v>
      </c>
      <c r="P4435">
        <v>6.98352E-2</v>
      </c>
      <c r="Q4435" t="str">
        <f t="shared" si="138"/>
        <v>10-14</v>
      </c>
      <c r="R4435" t="str">
        <f t="shared" si="139"/>
        <v>[kxuuIFpOXyO]|10-14|Male|NEW_INFECTIONS_SUBNAT.T_1|CY2024Q3</v>
      </c>
    </row>
    <row r="4436" spans="4:18" x14ac:dyDescent="0.2">
      <c r="D4436" t="s">
        <v>90</v>
      </c>
      <c r="E4436" t="s">
        <v>91</v>
      </c>
      <c r="F4436" t="s">
        <v>92</v>
      </c>
      <c r="G4436" t="s">
        <v>203</v>
      </c>
      <c r="H4436" t="s">
        <v>203</v>
      </c>
      <c r="I4436" t="s">
        <v>38</v>
      </c>
      <c r="J4436" t="s">
        <v>39</v>
      </c>
      <c r="K4436" t="s">
        <v>48</v>
      </c>
      <c r="L4436" t="s">
        <v>49</v>
      </c>
      <c r="M4436" t="s">
        <v>140</v>
      </c>
      <c r="N4436">
        <v>10</v>
      </c>
      <c r="O4436">
        <v>7.5214763000000004E-2</v>
      </c>
      <c r="P4436">
        <v>6.98352E-2</v>
      </c>
      <c r="Q4436" t="str">
        <f t="shared" si="138"/>
        <v>15-24</v>
      </c>
      <c r="R4436" t="str">
        <f t="shared" si="139"/>
        <v>[kxuuIFpOXyO]|15-24|Male|NEW_INFECTIONS_SUBNAT.T_1|CY2024Q3</v>
      </c>
    </row>
    <row r="4437" spans="4:18" x14ac:dyDescent="0.2">
      <c r="D4437" t="s">
        <v>90</v>
      </c>
      <c r="E4437" t="s">
        <v>91</v>
      </c>
      <c r="F4437" t="s">
        <v>92</v>
      </c>
      <c r="G4437" t="s">
        <v>203</v>
      </c>
      <c r="H4437" t="s">
        <v>203</v>
      </c>
      <c r="I4437" t="s">
        <v>41</v>
      </c>
      <c r="J4437" t="s">
        <v>42</v>
      </c>
      <c r="K4437" t="s">
        <v>48</v>
      </c>
      <c r="L4437" t="s">
        <v>49</v>
      </c>
      <c r="M4437" t="s">
        <v>140</v>
      </c>
      <c r="N4437">
        <v>35</v>
      </c>
      <c r="O4437">
        <v>7.4544741999999997E-2</v>
      </c>
      <c r="P4437">
        <v>6.98352E-2</v>
      </c>
      <c r="Q4437" t="str">
        <f t="shared" si="138"/>
        <v>25-34</v>
      </c>
      <c r="R4437" t="str">
        <f t="shared" si="139"/>
        <v>[kxuuIFpOXyO]|25-34|Male|NEW_INFECTIONS_SUBNAT.T_1|CY2024Q3</v>
      </c>
    </row>
    <row r="4438" spans="4:18" x14ac:dyDescent="0.2">
      <c r="D4438" t="s">
        <v>90</v>
      </c>
      <c r="E4438" t="s">
        <v>91</v>
      </c>
      <c r="F4438" t="s">
        <v>92</v>
      </c>
      <c r="G4438" t="s">
        <v>203</v>
      </c>
      <c r="H4438" t="s">
        <v>203</v>
      </c>
      <c r="I4438" t="s">
        <v>43</v>
      </c>
      <c r="J4438" t="s">
        <v>44</v>
      </c>
      <c r="K4438" t="s">
        <v>48</v>
      </c>
      <c r="L4438" t="s">
        <v>49</v>
      </c>
      <c r="M4438" t="s">
        <v>140</v>
      </c>
      <c r="N4438">
        <v>36</v>
      </c>
      <c r="O4438">
        <v>7.1835660999999995E-2</v>
      </c>
      <c r="P4438">
        <v>6.98352E-2</v>
      </c>
      <c r="Q4438" t="str">
        <f t="shared" si="138"/>
        <v>35-49</v>
      </c>
      <c r="R4438" t="str">
        <f t="shared" si="139"/>
        <v>[kxuuIFpOXyO]|35-49|Male|NEW_INFECTIONS_SUBNAT.T_1|CY2024Q3</v>
      </c>
    </row>
    <row r="4439" spans="4:18" x14ac:dyDescent="0.2">
      <c r="D4439" t="s">
        <v>90</v>
      </c>
      <c r="E4439" t="s">
        <v>91</v>
      </c>
      <c r="F4439" t="s">
        <v>92</v>
      </c>
      <c r="G4439" t="s">
        <v>203</v>
      </c>
      <c r="H4439" t="s">
        <v>203</v>
      </c>
      <c r="I4439" t="s">
        <v>45</v>
      </c>
      <c r="J4439" t="s">
        <v>46</v>
      </c>
      <c r="K4439" t="s">
        <v>48</v>
      </c>
      <c r="L4439" t="s">
        <v>49</v>
      </c>
      <c r="M4439" t="s">
        <v>140</v>
      </c>
      <c r="N4439">
        <v>10</v>
      </c>
      <c r="O4439">
        <v>7.1070934000000002E-2</v>
      </c>
      <c r="P4439">
        <v>6.98352E-2</v>
      </c>
      <c r="Q4439" t="str">
        <f t="shared" si="138"/>
        <v>50+</v>
      </c>
      <c r="R4439" t="str">
        <f t="shared" si="139"/>
        <v>[kxuuIFpOXyO]|50+|Male|NEW_INFECTIONS_SUBNAT.T_1|CY2024Q3</v>
      </c>
    </row>
    <row r="4440" spans="4:18" x14ac:dyDescent="0.2">
      <c r="D4440" t="s">
        <v>93</v>
      </c>
      <c r="E4440" t="s">
        <v>94</v>
      </c>
      <c r="F4440" t="s">
        <v>95</v>
      </c>
      <c r="G4440" t="s">
        <v>203</v>
      </c>
      <c r="H4440" t="s">
        <v>203</v>
      </c>
      <c r="I4440" t="s">
        <v>28</v>
      </c>
      <c r="J4440" t="s">
        <v>29</v>
      </c>
      <c r="K4440" t="s">
        <v>30</v>
      </c>
      <c r="L4440" t="s">
        <v>31</v>
      </c>
      <c r="M4440" t="s">
        <v>140</v>
      </c>
      <c r="N4440">
        <v>14</v>
      </c>
      <c r="O4440">
        <v>8.8682004999999994E-2</v>
      </c>
      <c r="P4440">
        <v>9.3363706000000005E-2</v>
      </c>
      <c r="Q4440" t="str">
        <f t="shared" si="138"/>
        <v>&lt;01</v>
      </c>
      <c r="R4440" t="str">
        <f t="shared" si="139"/>
        <v>[PekKUkKHAzY]|&lt;01|Female|NEW_INFECTIONS_SUBNAT.T_1|CY2024Q3</v>
      </c>
    </row>
    <row r="4441" spans="4:18" x14ac:dyDescent="0.2">
      <c r="D4441" t="s">
        <v>93</v>
      </c>
      <c r="E4441" t="s">
        <v>94</v>
      </c>
      <c r="F4441" t="s">
        <v>95</v>
      </c>
      <c r="G4441" t="s">
        <v>203</v>
      </c>
      <c r="H4441" t="s">
        <v>203</v>
      </c>
      <c r="I4441" t="s">
        <v>33</v>
      </c>
      <c r="J4441" t="s">
        <v>34</v>
      </c>
      <c r="K4441" t="s">
        <v>30</v>
      </c>
      <c r="L4441" t="s">
        <v>31</v>
      </c>
      <c r="M4441" t="s">
        <v>140</v>
      </c>
      <c r="N4441">
        <v>4</v>
      </c>
      <c r="O4441">
        <v>4.4341002999999997E-2</v>
      </c>
      <c r="P4441">
        <v>9.3363706000000005E-2</v>
      </c>
      <c r="Q4441" t="str">
        <f t="shared" si="138"/>
        <v>01-09</v>
      </c>
      <c r="R4441" t="str">
        <f t="shared" si="139"/>
        <v>[PekKUkKHAzY]|01-09|Female|NEW_INFECTIONS_SUBNAT.T_1|CY2024Q3</v>
      </c>
    </row>
    <row r="4442" spans="4:18" x14ac:dyDescent="0.2">
      <c r="D4442" t="s">
        <v>93</v>
      </c>
      <c r="E4442" t="s">
        <v>94</v>
      </c>
      <c r="F4442" t="s">
        <v>95</v>
      </c>
      <c r="G4442" t="s">
        <v>203</v>
      </c>
      <c r="H4442" t="s">
        <v>203</v>
      </c>
      <c r="I4442" t="s">
        <v>36</v>
      </c>
      <c r="J4442" t="s">
        <v>37</v>
      </c>
      <c r="K4442" t="s">
        <v>30</v>
      </c>
      <c r="L4442" t="s">
        <v>31</v>
      </c>
      <c r="M4442" t="s">
        <v>140</v>
      </c>
      <c r="N4442">
        <v>0</v>
      </c>
      <c r="O4442">
        <v>0</v>
      </c>
      <c r="P4442">
        <v>9.3363706000000005E-2</v>
      </c>
      <c r="Q4442" t="str">
        <f t="shared" si="138"/>
        <v>10-14</v>
      </c>
      <c r="R4442" t="str">
        <f t="shared" si="139"/>
        <v>[PekKUkKHAzY]|10-14|Female|NEW_INFECTIONS_SUBNAT.T_1|CY2024Q3</v>
      </c>
    </row>
    <row r="4443" spans="4:18" x14ac:dyDescent="0.2">
      <c r="D4443" t="s">
        <v>93</v>
      </c>
      <c r="E4443" t="s">
        <v>94</v>
      </c>
      <c r="F4443" t="s">
        <v>95</v>
      </c>
      <c r="G4443" t="s">
        <v>203</v>
      </c>
      <c r="H4443" t="s">
        <v>203</v>
      </c>
      <c r="I4443" t="s">
        <v>38</v>
      </c>
      <c r="J4443" t="s">
        <v>39</v>
      </c>
      <c r="K4443" t="s">
        <v>30</v>
      </c>
      <c r="L4443" t="s">
        <v>31</v>
      </c>
      <c r="M4443" t="s">
        <v>140</v>
      </c>
      <c r="N4443">
        <v>61</v>
      </c>
      <c r="O4443">
        <v>9.7411793999999996E-2</v>
      </c>
      <c r="P4443">
        <v>9.3363706000000005E-2</v>
      </c>
      <c r="Q4443" t="str">
        <f t="shared" si="138"/>
        <v>15-24</v>
      </c>
      <c r="R4443" t="str">
        <f t="shared" si="139"/>
        <v>[PekKUkKHAzY]|15-24|Female|NEW_INFECTIONS_SUBNAT.T_1|CY2024Q3</v>
      </c>
    </row>
    <row r="4444" spans="4:18" x14ac:dyDescent="0.2">
      <c r="D4444" t="s">
        <v>93</v>
      </c>
      <c r="E4444" t="s">
        <v>94</v>
      </c>
      <c r="F4444" t="s">
        <v>95</v>
      </c>
      <c r="G4444" t="s">
        <v>203</v>
      </c>
      <c r="H4444" t="s">
        <v>203</v>
      </c>
      <c r="I4444" t="s">
        <v>41</v>
      </c>
      <c r="J4444" t="s">
        <v>42</v>
      </c>
      <c r="K4444" t="s">
        <v>30</v>
      </c>
      <c r="L4444" t="s">
        <v>31</v>
      </c>
      <c r="M4444" t="s">
        <v>140</v>
      </c>
      <c r="N4444">
        <v>64</v>
      </c>
      <c r="O4444">
        <v>9.5472038999999995E-2</v>
      </c>
      <c r="P4444">
        <v>9.3363706000000005E-2</v>
      </c>
      <c r="Q4444" t="str">
        <f t="shared" si="138"/>
        <v>25-34</v>
      </c>
      <c r="R4444" t="str">
        <f t="shared" si="139"/>
        <v>[PekKUkKHAzY]|25-34|Female|NEW_INFECTIONS_SUBNAT.T_1|CY2024Q3</v>
      </c>
    </row>
    <row r="4445" spans="4:18" x14ac:dyDescent="0.2">
      <c r="D4445" t="s">
        <v>93</v>
      </c>
      <c r="E4445" t="s">
        <v>94</v>
      </c>
      <c r="F4445" t="s">
        <v>95</v>
      </c>
      <c r="G4445" t="s">
        <v>203</v>
      </c>
      <c r="H4445" t="s">
        <v>203</v>
      </c>
      <c r="I4445" t="s">
        <v>43</v>
      </c>
      <c r="J4445" t="s">
        <v>44</v>
      </c>
      <c r="K4445" t="s">
        <v>30</v>
      </c>
      <c r="L4445" t="s">
        <v>31</v>
      </c>
      <c r="M4445" t="s">
        <v>140</v>
      </c>
      <c r="N4445">
        <v>35</v>
      </c>
      <c r="O4445">
        <v>9.0897292000000005E-2</v>
      </c>
      <c r="P4445">
        <v>9.3363706000000005E-2</v>
      </c>
      <c r="Q4445" t="str">
        <f t="shared" si="138"/>
        <v>35-49</v>
      </c>
      <c r="R4445" t="str">
        <f t="shared" si="139"/>
        <v>[PekKUkKHAzY]|35-49|Female|NEW_INFECTIONS_SUBNAT.T_1|CY2024Q3</v>
      </c>
    </row>
    <row r="4446" spans="4:18" x14ac:dyDescent="0.2">
      <c r="D4446" t="s">
        <v>93</v>
      </c>
      <c r="E4446" t="s">
        <v>94</v>
      </c>
      <c r="F4446" t="s">
        <v>95</v>
      </c>
      <c r="G4446" t="s">
        <v>203</v>
      </c>
      <c r="H4446" t="s">
        <v>203</v>
      </c>
      <c r="I4446" t="s">
        <v>45</v>
      </c>
      <c r="J4446" t="s">
        <v>46</v>
      </c>
      <c r="K4446" t="s">
        <v>30</v>
      </c>
      <c r="L4446" t="s">
        <v>31</v>
      </c>
      <c r="M4446" t="s">
        <v>140</v>
      </c>
      <c r="N4446">
        <v>6</v>
      </c>
      <c r="O4446">
        <v>9.1745832999999999E-2</v>
      </c>
      <c r="P4446">
        <v>9.3363706000000005E-2</v>
      </c>
      <c r="Q4446" t="str">
        <f t="shared" si="138"/>
        <v>50+</v>
      </c>
      <c r="R4446" t="str">
        <f t="shared" si="139"/>
        <v>[PekKUkKHAzY]|50+|Female|NEW_INFECTIONS_SUBNAT.T_1|CY2024Q3</v>
      </c>
    </row>
    <row r="4447" spans="4:18" x14ac:dyDescent="0.2">
      <c r="D4447" t="s">
        <v>93</v>
      </c>
      <c r="E4447" t="s">
        <v>94</v>
      </c>
      <c r="F4447" t="s">
        <v>95</v>
      </c>
      <c r="G4447" t="s">
        <v>203</v>
      </c>
      <c r="H4447" t="s">
        <v>203</v>
      </c>
      <c r="I4447" t="s">
        <v>28</v>
      </c>
      <c r="J4447" t="s">
        <v>29</v>
      </c>
      <c r="K4447" t="s">
        <v>48</v>
      </c>
      <c r="L4447" t="s">
        <v>49</v>
      </c>
      <c r="M4447" t="s">
        <v>140</v>
      </c>
      <c r="N4447">
        <v>14</v>
      </c>
      <c r="O4447">
        <v>8.8681546999999999E-2</v>
      </c>
      <c r="P4447">
        <v>9.3363706000000005E-2</v>
      </c>
      <c r="Q4447" t="str">
        <f t="shared" si="138"/>
        <v>&lt;01</v>
      </c>
      <c r="R4447" t="str">
        <f t="shared" si="139"/>
        <v>[PekKUkKHAzY]|&lt;01|Male|NEW_INFECTIONS_SUBNAT.T_1|CY2024Q3</v>
      </c>
    </row>
    <row r="4448" spans="4:18" x14ac:dyDescent="0.2">
      <c r="D4448" t="s">
        <v>93</v>
      </c>
      <c r="E4448" t="s">
        <v>94</v>
      </c>
      <c r="F4448" t="s">
        <v>95</v>
      </c>
      <c r="G4448" t="s">
        <v>203</v>
      </c>
      <c r="H4448" t="s">
        <v>203</v>
      </c>
      <c r="I4448" t="s">
        <v>33</v>
      </c>
      <c r="J4448" t="s">
        <v>34</v>
      </c>
      <c r="K4448" t="s">
        <v>48</v>
      </c>
      <c r="L4448" t="s">
        <v>49</v>
      </c>
      <c r="M4448" t="s">
        <v>140</v>
      </c>
      <c r="N4448">
        <v>4</v>
      </c>
      <c r="O4448">
        <v>4.4340773999999999E-2</v>
      </c>
      <c r="P4448">
        <v>9.3363706000000005E-2</v>
      </c>
      <c r="Q4448" t="str">
        <f t="shared" si="138"/>
        <v>01-09</v>
      </c>
      <c r="R4448" t="str">
        <f t="shared" si="139"/>
        <v>[PekKUkKHAzY]|01-09|Male|NEW_INFECTIONS_SUBNAT.T_1|CY2024Q3</v>
      </c>
    </row>
    <row r="4449" spans="4:18" x14ac:dyDescent="0.2">
      <c r="D4449" t="s">
        <v>93</v>
      </c>
      <c r="E4449" t="s">
        <v>94</v>
      </c>
      <c r="F4449" t="s">
        <v>95</v>
      </c>
      <c r="G4449" t="s">
        <v>203</v>
      </c>
      <c r="H4449" t="s">
        <v>203</v>
      </c>
      <c r="I4449" t="s">
        <v>36</v>
      </c>
      <c r="J4449" t="s">
        <v>37</v>
      </c>
      <c r="K4449" t="s">
        <v>48</v>
      </c>
      <c r="L4449" t="s">
        <v>49</v>
      </c>
      <c r="M4449" t="s">
        <v>140</v>
      </c>
      <c r="N4449">
        <v>0</v>
      </c>
      <c r="O4449">
        <v>0</v>
      </c>
      <c r="P4449">
        <v>9.3363706000000005E-2</v>
      </c>
      <c r="Q4449" t="str">
        <f t="shared" si="138"/>
        <v>10-14</v>
      </c>
      <c r="R4449" t="str">
        <f t="shared" si="139"/>
        <v>[PekKUkKHAzY]|10-14|Male|NEW_INFECTIONS_SUBNAT.T_1|CY2024Q3</v>
      </c>
    </row>
    <row r="4450" spans="4:18" x14ac:dyDescent="0.2">
      <c r="D4450" t="s">
        <v>93</v>
      </c>
      <c r="E4450" t="s">
        <v>94</v>
      </c>
      <c r="F4450" t="s">
        <v>95</v>
      </c>
      <c r="G4450" t="s">
        <v>203</v>
      </c>
      <c r="H4450" t="s">
        <v>203</v>
      </c>
      <c r="I4450" t="s">
        <v>38</v>
      </c>
      <c r="J4450" t="s">
        <v>39</v>
      </c>
      <c r="K4450" t="s">
        <v>48</v>
      </c>
      <c r="L4450" t="s">
        <v>49</v>
      </c>
      <c r="M4450" t="s">
        <v>140</v>
      </c>
      <c r="N4450">
        <v>10</v>
      </c>
      <c r="O4450">
        <v>9.7869737999999998E-2</v>
      </c>
      <c r="P4450">
        <v>9.3363706000000005E-2</v>
      </c>
      <c r="Q4450" t="str">
        <f t="shared" si="138"/>
        <v>15-24</v>
      </c>
      <c r="R4450" t="str">
        <f t="shared" si="139"/>
        <v>[PekKUkKHAzY]|15-24|Male|NEW_INFECTIONS_SUBNAT.T_1|CY2024Q3</v>
      </c>
    </row>
    <row r="4451" spans="4:18" x14ac:dyDescent="0.2">
      <c r="D4451" t="s">
        <v>93</v>
      </c>
      <c r="E4451" t="s">
        <v>94</v>
      </c>
      <c r="F4451" t="s">
        <v>95</v>
      </c>
      <c r="G4451" t="s">
        <v>203</v>
      </c>
      <c r="H4451" t="s">
        <v>203</v>
      </c>
      <c r="I4451" t="s">
        <v>41</v>
      </c>
      <c r="J4451" t="s">
        <v>42</v>
      </c>
      <c r="K4451" t="s">
        <v>48</v>
      </c>
      <c r="L4451" t="s">
        <v>49</v>
      </c>
      <c r="M4451" t="s">
        <v>140</v>
      </c>
      <c r="N4451">
        <v>35</v>
      </c>
      <c r="O4451">
        <v>9.7149685999999999E-2</v>
      </c>
      <c r="P4451">
        <v>9.3363706000000005E-2</v>
      </c>
      <c r="Q4451" t="str">
        <f t="shared" si="138"/>
        <v>25-34</v>
      </c>
      <c r="R4451" t="str">
        <f t="shared" si="139"/>
        <v>[PekKUkKHAzY]|25-34|Male|NEW_INFECTIONS_SUBNAT.T_1|CY2024Q3</v>
      </c>
    </row>
    <row r="4452" spans="4:18" x14ac:dyDescent="0.2">
      <c r="D4452" t="s">
        <v>93</v>
      </c>
      <c r="E4452" t="s">
        <v>94</v>
      </c>
      <c r="F4452" t="s">
        <v>95</v>
      </c>
      <c r="G4452" t="s">
        <v>203</v>
      </c>
      <c r="H4452" t="s">
        <v>203</v>
      </c>
      <c r="I4452" t="s">
        <v>43</v>
      </c>
      <c r="J4452" t="s">
        <v>44</v>
      </c>
      <c r="K4452" t="s">
        <v>48</v>
      </c>
      <c r="L4452" t="s">
        <v>49</v>
      </c>
      <c r="M4452" t="s">
        <v>140</v>
      </c>
      <c r="N4452">
        <v>37</v>
      </c>
      <c r="O4452">
        <v>9.4221845999999998E-2</v>
      </c>
      <c r="P4452">
        <v>9.3363706000000005E-2</v>
      </c>
      <c r="Q4452" t="str">
        <f t="shared" si="138"/>
        <v>35-49</v>
      </c>
      <c r="R4452" t="str">
        <f t="shared" si="139"/>
        <v>[PekKUkKHAzY]|35-49|Male|NEW_INFECTIONS_SUBNAT.T_1|CY2024Q3</v>
      </c>
    </row>
    <row r="4453" spans="4:18" x14ac:dyDescent="0.2">
      <c r="D4453" t="s">
        <v>93</v>
      </c>
      <c r="E4453" t="s">
        <v>94</v>
      </c>
      <c r="F4453" t="s">
        <v>95</v>
      </c>
      <c r="G4453" t="s">
        <v>203</v>
      </c>
      <c r="H4453" t="s">
        <v>203</v>
      </c>
      <c r="I4453" t="s">
        <v>45</v>
      </c>
      <c r="J4453" t="s">
        <v>46</v>
      </c>
      <c r="K4453" t="s">
        <v>48</v>
      </c>
      <c r="L4453" t="s">
        <v>49</v>
      </c>
      <c r="M4453" t="s">
        <v>140</v>
      </c>
      <c r="N4453">
        <v>11</v>
      </c>
      <c r="O4453">
        <v>9.1978861999999995E-2</v>
      </c>
      <c r="P4453">
        <v>9.3363706000000005E-2</v>
      </c>
      <c r="Q4453" t="str">
        <f t="shared" si="138"/>
        <v>50+</v>
      </c>
      <c r="R4453" t="str">
        <f t="shared" si="139"/>
        <v>[PekKUkKHAzY]|50+|Male|NEW_INFECTIONS_SUBNAT.T_1|CY2024Q3</v>
      </c>
    </row>
    <row r="4454" spans="4:18" x14ac:dyDescent="0.2">
      <c r="D4454" t="s">
        <v>96</v>
      </c>
      <c r="E4454" t="s">
        <v>97</v>
      </c>
      <c r="F4454" t="s">
        <v>98</v>
      </c>
      <c r="G4454" t="s">
        <v>203</v>
      </c>
      <c r="H4454" t="s">
        <v>203</v>
      </c>
      <c r="I4454" t="s">
        <v>28</v>
      </c>
      <c r="J4454" t="s">
        <v>29</v>
      </c>
      <c r="K4454" t="s">
        <v>30</v>
      </c>
      <c r="L4454" t="s">
        <v>31</v>
      </c>
      <c r="M4454" t="s">
        <v>140</v>
      </c>
      <c r="N4454">
        <v>20</v>
      </c>
      <c r="O4454">
        <v>7.8005030000000003E-2</v>
      </c>
      <c r="P4454">
        <v>8.3556611000000003E-2</v>
      </c>
      <c r="Q4454" t="str">
        <f t="shared" si="138"/>
        <v>&lt;01</v>
      </c>
      <c r="R4454" t="str">
        <f t="shared" si="139"/>
        <v>[am530wpaGvr]|&lt;01|Female|NEW_INFECTIONS_SUBNAT.T_1|CY2024Q3</v>
      </c>
    </row>
    <row r="4455" spans="4:18" x14ac:dyDescent="0.2">
      <c r="D4455" t="s">
        <v>96</v>
      </c>
      <c r="E4455" t="s">
        <v>97</v>
      </c>
      <c r="F4455" t="s">
        <v>98</v>
      </c>
      <c r="G4455" t="s">
        <v>203</v>
      </c>
      <c r="H4455" t="s">
        <v>203</v>
      </c>
      <c r="I4455" t="s">
        <v>33</v>
      </c>
      <c r="J4455" t="s">
        <v>34</v>
      </c>
      <c r="K4455" t="s">
        <v>30</v>
      </c>
      <c r="L4455" t="s">
        <v>31</v>
      </c>
      <c r="M4455" t="s">
        <v>140</v>
      </c>
      <c r="N4455">
        <v>5</v>
      </c>
      <c r="O4455">
        <v>3.9002515000000001E-2</v>
      </c>
      <c r="P4455">
        <v>8.3556611000000003E-2</v>
      </c>
      <c r="Q4455" t="str">
        <f t="shared" si="138"/>
        <v>01-09</v>
      </c>
      <c r="R4455" t="str">
        <f t="shared" si="139"/>
        <v>[am530wpaGvr]|01-09|Female|NEW_INFECTIONS_SUBNAT.T_1|CY2024Q3</v>
      </c>
    </row>
    <row r="4456" spans="4:18" x14ac:dyDescent="0.2">
      <c r="D4456" t="s">
        <v>96</v>
      </c>
      <c r="E4456" t="s">
        <v>97</v>
      </c>
      <c r="F4456" t="s">
        <v>98</v>
      </c>
      <c r="G4456" t="s">
        <v>203</v>
      </c>
      <c r="H4456" t="s">
        <v>203</v>
      </c>
      <c r="I4456" t="s">
        <v>36</v>
      </c>
      <c r="J4456" t="s">
        <v>37</v>
      </c>
      <c r="K4456" t="s">
        <v>30</v>
      </c>
      <c r="L4456" t="s">
        <v>31</v>
      </c>
      <c r="M4456" t="s">
        <v>140</v>
      </c>
      <c r="N4456">
        <v>0</v>
      </c>
      <c r="O4456">
        <v>0</v>
      </c>
      <c r="P4456">
        <v>8.3556611000000003E-2</v>
      </c>
      <c r="Q4456" t="str">
        <f t="shared" si="138"/>
        <v>10-14</v>
      </c>
      <c r="R4456" t="str">
        <f t="shared" si="139"/>
        <v>[am530wpaGvr]|10-14|Female|NEW_INFECTIONS_SUBNAT.T_1|CY2024Q3</v>
      </c>
    </row>
    <row r="4457" spans="4:18" x14ac:dyDescent="0.2">
      <c r="D4457" t="s">
        <v>96</v>
      </c>
      <c r="E4457" t="s">
        <v>97</v>
      </c>
      <c r="F4457" t="s">
        <v>98</v>
      </c>
      <c r="G4457" t="s">
        <v>203</v>
      </c>
      <c r="H4457" t="s">
        <v>203</v>
      </c>
      <c r="I4457" t="s">
        <v>38</v>
      </c>
      <c r="J4457" t="s">
        <v>39</v>
      </c>
      <c r="K4457" t="s">
        <v>30</v>
      </c>
      <c r="L4457" t="s">
        <v>31</v>
      </c>
      <c r="M4457" t="s">
        <v>140</v>
      </c>
      <c r="N4457">
        <v>85</v>
      </c>
      <c r="O4457">
        <v>8.9036979000000002E-2</v>
      </c>
      <c r="P4457">
        <v>8.3556611000000003E-2</v>
      </c>
      <c r="Q4457" t="str">
        <f t="shared" si="138"/>
        <v>15-24</v>
      </c>
      <c r="R4457" t="str">
        <f t="shared" si="139"/>
        <v>[am530wpaGvr]|15-24|Female|NEW_INFECTIONS_SUBNAT.T_1|CY2024Q3</v>
      </c>
    </row>
    <row r="4458" spans="4:18" x14ac:dyDescent="0.2">
      <c r="D4458" t="s">
        <v>96</v>
      </c>
      <c r="E4458" t="s">
        <v>97</v>
      </c>
      <c r="F4458" t="s">
        <v>98</v>
      </c>
      <c r="G4458" t="s">
        <v>203</v>
      </c>
      <c r="H4458" t="s">
        <v>203</v>
      </c>
      <c r="I4458" t="s">
        <v>41</v>
      </c>
      <c r="J4458" t="s">
        <v>42</v>
      </c>
      <c r="K4458" t="s">
        <v>30</v>
      </c>
      <c r="L4458" t="s">
        <v>31</v>
      </c>
      <c r="M4458" t="s">
        <v>140</v>
      </c>
      <c r="N4458">
        <v>83</v>
      </c>
      <c r="O4458">
        <v>8.5894843999999998E-2</v>
      </c>
      <c r="P4458">
        <v>8.3556611000000003E-2</v>
      </c>
      <c r="Q4458" t="str">
        <f t="shared" si="138"/>
        <v>25-34</v>
      </c>
      <c r="R4458" t="str">
        <f t="shared" si="139"/>
        <v>[am530wpaGvr]|25-34|Female|NEW_INFECTIONS_SUBNAT.T_1|CY2024Q3</v>
      </c>
    </row>
    <row r="4459" spans="4:18" x14ac:dyDescent="0.2">
      <c r="D4459" t="s">
        <v>96</v>
      </c>
      <c r="E4459" t="s">
        <v>97</v>
      </c>
      <c r="F4459" t="s">
        <v>98</v>
      </c>
      <c r="G4459" t="s">
        <v>203</v>
      </c>
      <c r="H4459" t="s">
        <v>203</v>
      </c>
      <c r="I4459" t="s">
        <v>43</v>
      </c>
      <c r="J4459" t="s">
        <v>44</v>
      </c>
      <c r="K4459" t="s">
        <v>30</v>
      </c>
      <c r="L4459" t="s">
        <v>31</v>
      </c>
      <c r="M4459" t="s">
        <v>140</v>
      </c>
      <c r="N4459">
        <v>45</v>
      </c>
      <c r="O4459">
        <v>7.9252161000000002E-2</v>
      </c>
      <c r="P4459">
        <v>8.3556611000000003E-2</v>
      </c>
      <c r="Q4459" t="str">
        <f t="shared" si="138"/>
        <v>35-49</v>
      </c>
      <c r="R4459" t="str">
        <f t="shared" si="139"/>
        <v>[am530wpaGvr]|35-49|Female|NEW_INFECTIONS_SUBNAT.T_1|CY2024Q3</v>
      </c>
    </row>
    <row r="4460" spans="4:18" x14ac:dyDescent="0.2">
      <c r="D4460" t="s">
        <v>96</v>
      </c>
      <c r="E4460" t="s">
        <v>97</v>
      </c>
      <c r="F4460" t="s">
        <v>98</v>
      </c>
      <c r="G4460" t="s">
        <v>203</v>
      </c>
      <c r="H4460" t="s">
        <v>203</v>
      </c>
      <c r="I4460" t="s">
        <v>45</v>
      </c>
      <c r="J4460" t="s">
        <v>46</v>
      </c>
      <c r="K4460" t="s">
        <v>30</v>
      </c>
      <c r="L4460" t="s">
        <v>31</v>
      </c>
      <c r="M4460" t="s">
        <v>140</v>
      </c>
      <c r="N4460">
        <v>9</v>
      </c>
      <c r="O4460">
        <v>8.1476341999999993E-2</v>
      </c>
      <c r="P4460">
        <v>8.3556611000000003E-2</v>
      </c>
      <c r="Q4460" t="str">
        <f t="shared" si="138"/>
        <v>50+</v>
      </c>
      <c r="R4460" t="str">
        <f t="shared" si="139"/>
        <v>[am530wpaGvr]|50+|Female|NEW_INFECTIONS_SUBNAT.T_1|CY2024Q3</v>
      </c>
    </row>
    <row r="4461" spans="4:18" x14ac:dyDescent="0.2">
      <c r="D4461" t="s">
        <v>96</v>
      </c>
      <c r="E4461" t="s">
        <v>97</v>
      </c>
      <c r="F4461" t="s">
        <v>98</v>
      </c>
      <c r="G4461" t="s">
        <v>203</v>
      </c>
      <c r="H4461" t="s">
        <v>203</v>
      </c>
      <c r="I4461" t="s">
        <v>28</v>
      </c>
      <c r="J4461" t="s">
        <v>29</v>
      </c>
      <c r="K4461" t="s">
        <v>48</v>
      </c>
      <c r="L4461" t="s">
        <v>49</v>
      </c>
      <c r="M4461" t="s">
        <v>140</v>
      </c>
      <c r="N4461">
        <v>21</v>
      </c>
      <c r="O4461">
        <v>7.8008273000000003E-2</v>
      </c>
      <c r="P4461">
        <v>8.3556611000000003E-2</v>
      </c>
      <c r="Q4461" t="str">
        <f t="shared" si="138"/>
        <v>&lt;01</v>
      </c>
      <c r="R4461" t="str">
        <f t="shared" si="139"/>
        <v>[am530wpaGvr]|&lt;01|Male|NEW_INFECTIONS_SUBNAT.T_1|CY2024Q3</v>
      </c>
    </row>
    <row r="4462" spans="4:18" x14ac:dyDescent="0.2">
      <c r="D4462" t="s">
        <v>96</v>
      </c>
      <c r="E4462" t="s">
        <v>97</v>
      </c>
      <c r="F4462" t="s">
        <v>98</v>
      </c>
      <c r="G4462" t="s">
        <v>203</v>
      </c>
      <c r="H4462" t="s">
        <v>203</v>
      </c>
      <c r="I4462" t="s">
        <v>33</v>
      </c>
      <c r="J4462" t="s">
        <v>34</v>
      </c>
      <c r="K4462" t="s">
        <v>48</v>
      </c>
      <c r="L4462" t="s">
        <v>49</v>
      </c>
      <c r="M4462" t="s">
        <v>140</v>
      </c>
      <c r="N4462">
        <v>5</v>
      </c>
      <c r="O4462">
        <v>3.9004136000000002E-2</v>
      </c>
      <c r="P4462">
        <v>8.3556611000000003E-2</v>
      </c>
      <c r="Q4462" t="str">
        <f t="shared" si="138"/>
        <v>01-09</v>
      </c>
      <c r="R4462" t="str">
        <f t="shared" si="139"/>
        <v>[am530wpaGvr]|01-09|Male|NEW_INFECTIONS_SUBNAT.T_1|CY2024Q3</v>
      </c>
    </row>
    <row r="4463" spans="4:18" x14ac:dyDescent="0.2">
      <c r="D4463" t="s">
        <v>96</v>
      </c>
      <c r="E4463" t="s">
        <v>97</v>
      </c>
      <c r="F4463" t="s">
        <v>98</v>
      </c>
      <c r="G4463" t="s">
        <v>203</v>
      </c>
      <c r="H4463" t="s">
        <v>203</v>
      </c>
      <c r="I4463" t="s">
        <v>36</v>
      </c>
      <c r="J4463" t="s">
        <v>37</v>
      </c>
      <c r="K4463" t="s">
        <v>48</v>
      </c>
      <c r="L4463" t="s">
        <v>49</v>
      </c>
      <c r="M4463" t="s">
        <v>140</v>
      </c>
      <c r="N4463">
        <v>0</v>
      </c>
      <c r="O4463">
        <v>0</v>
      </c>
      <c r="P4463">
        <v>8.3556611000000003E-2</v>
      </c>
      <c r="Q4463" t="str">
        <f t="shared" si="138"/>
        <v>10-14</v>
      </c>
      <c r="R4463" t="str">
        <f t="shared" si="139"/>
        <v>[am530wpaGvr]|10-14|Male|NEW_INFECTIONS_SUBNAT.T_1|CY2024Q3</v>
      </c>
    </row>
    <row r="4464" spans="4:18" x14ac:dyDescent="0.2">
      <c r="D4464" t="s">
        <v>96</v>
      </c>
      <c r="E4464" t="s">
        <v>97</v>
      </c>
      <c r="F4464" t="s">
        <v>98</v>
      </c>
      <c r="G4464" t="s">
        <v>203</v>
      </c>
      <c r="H4464" t="s">
        <v>203</v>
      </c>
      <c r="I4464" t="s">
        <v>38</v>
      </c>
      <c r="J4464" t="s">
        <v>39</v>
      </c>
      <c r="K4464" t="s">
        <v>48</v>
      </c>
      <c r="L4464" t="s">
        <v>49</v>
      </c>
      <c r="M4464" t="s">
        <v>140</v>
      </c>
      <c r="N4464">
        <v>15</v>
      </c>
      <c r="O4464">
        <v>8.976431E-2</v>
      </c>
      <c r="P4464">
        <v>8.3556611000000003E-2</v>
      </c>
      <c r="Q4464" t="str">
        <f t="shared" si="138"/>
        <v>15-24</v>
      </c>
      <c r="R4464" t="str">
        <f t="shared" si="139"/>
        <v>[am530wpaGvr]|15-24|Male|NEW_INFECTIONS_SUBNAT.T_1|CY2024Q3</v>
      </c>
    </row>
    <row r="4465" spans="4:18" x14ac:dyDescent="0.2">
      <c r="D4465" t="s">
        <v>96</v>
      </c>
      <c r="E4465" t="s">
        <v>97</v>
      </c>
      <c r="F4465" t="s">
        <v>98</v>
      </c>
      <c r="G4465" t="s">
        <v>203</v>
      </c>
      <c r="H4465" t="s">
        <v>203</v>
      </c>
      <c r="I4465" t="s">
        <v>41</v>
      </c>
      <c r="J4465" t="s">
        <v>42</v>
      </c>
      <c r="K4465" t="s">
        <v>48</v>
      </c>
      <c r="L4465" t="s">
        <v>49</v>
      </c>
      <c r="M4465" t="s">
        <v>140</v>
      </c>
      <c r="N4465">
        <v>49</v>
      </c>
      <c r="O4465">
        <v>8.8664842999999993E-2</v>
      </c>
      <c r="P4465">
        <v>8.3556611000000003E-2</v>
      </c>
      <c r="Q4465" t="str">
        <f t="shared" si="138"/>
        <v>25-34</v>
      </c>
      <c r="R4465" t="str">
        <f t="shared" si="139"/>
        <v>[am530wpaGvr]|25-34|Male|NEW_INFECTIONS_SUBNAT.T_1|CY2024Q3</v>
      </c>
    </row>
    <row r="4466" spans="4:18" x14ac:dyDescent="0.2">
      <c r="D4466" t="s">
        <v>96</v>
      </c>
      <c r="E4466" t="s">
        <v>97</v>
      </c>
      <c r="F4466" t="s">
        <v>98</v>
      </c>
      <c r="G4466" t="s">
        <v>203</v>
      </c>
      <c r="H4466" t="s">
        <v>203</v>
      </c>
      <c r="I4466" t="s">
        <v>43</v>
      </c>
      <c r="J4466" t="s">
        <v>44</v>
      </c>
      <c r="K4466" t="s">
        <v>48</v>
      </c>
      <c r="L4466" t="s">
        <v>49</v>
      </c>
      <c r="M4466" t="s">
        <v>140</v>
      </c>
      <c r="N4466">
        <v>52</v>
      </c>
      <c r="O4466">
        <v>8.4655599999999998E-2</v>
      </c>
      <c r="P4466">
        <v>8.3556611000000003E-2</v>
      </c>
      <c r="Q4466" t="str">
        <f t="shared" si="138"/>
        <v>35-49</v>
      </c>
      <c r="R4466" t="str">
        <f t="shared" si="139"/>
        <v>[am530wpaGvr]|35-49|Male|NEW_INFECTIONS_SUBNAT.T_1|CY2024Q3</v>
      </c>
    </row>
    <row r="4467" spans="4:18" x14ac:dyDescent="0.2">
      <c r="D4467" t="s">
        <v>96</v>
      </c>
      <c r="E4467" t="s">
        <v>97</v>
      </c>
      <c r="F4467" t="s">
        <v>98</v>
      </c>
      <c r="G4467" t="s">
        <v>203</v>
      </c>
      <c r="H4467" t="s">
        <v>203</v>
      </c>
      <c r="I4467" t="s">
        <v>45</v>
      </c>
      <c r="J4467" t="s">
        <v>46</v>
      </c>
      <c r="K4467" t="s">
        <v>48</v>
      </c>
      <c r="L4467" t="s">
        <v>49</v>
      </c>
      <c r="M4467" t="s">
        <v>140</v>
      </c>
      <c r="N4467">
        <v>15</v>
      </c>
      <c r="O4467">
        <v>8.2763116999999997E-2</v>
      </c>
      <c r="P4467">
        <v>8.3556611000000003E-2</v>
      </c>
      <c r="Q4467" t="str">
        <f t="shared" si="138"/>
        <v>50+</v>
      </c>
      <c r="R4467" t="str">
        <f t="shared" si="139"/>
        <v>[am530wpaGvr]|50+|Male|NEW_INFECTIONS_SUBNAT.T_1|CY2024Q3</v>
      </c>
    </row>
    <row r="4468" spans="4:18" x14ac:dyDescent="0.2">
      <c r="D4468" t="s">
        <v>99</v>
      </c>
      <c r="E4468" t="s">
        <v>100</v>
      </c>
      <c r="F4468" t="s">
        <v>101</v>
      </c>
      <c r="G4468" t="s">
        <v>203</v>
      </c>
      <c r="H4468" t="s">
        <v>203</v>
      </c>
      <c r="I4468" t="s">
        <v>28</v>
      </c>
      <c r="J4468" t="s">
        <v>29</v>
      </c>
      <c r="K4468" t="s">
        <v>30</v>
      </c>
      <c r="L4468" t="s">
        <v>31</v>
      </c>
      <c r="M4468" t="s">
        <v>140</v>
      </c>
      <c r="N4468">
        <v>71</v>
      </c>
      <c r="O4468">
        <v>4.4245359999999997E-2</v>
      </c>
      <c r="P4468">
        <v>4.9962161999999997E-2</v>
      </c>
      <c r="Q4468" t="str">
        <f t="shared" si="138"/>
        <v>&lt;01</v>
      </c>
      <c r="R4468" t="str">
        <f t="shared" si="139"/>
        <v>[lLDyBx5XyUi]|&lt;01|Female|NEW_INFECTIONS_SUBNAT.T_1|CY2024Q3</v>
      </c>
    </row>
    <row r="4469" spans="4:18" x14ac:dyDescent="0.2">
      <c r="D4469" t="s">
        <v>99</v>
      </c>
      <c r="E4469" t="s">
        <v>100</v>
      </c>
      <c r="F4469" t="s">
        <v>101</v>
      </c>
      <c r="G4469" t="s">
        <v>203</v>
      </c>
      <c r="H4469" t="s">
        <v>203</v>
      </c>
      <c r="I4469" t="s">
        <v>33</v>
      </c>
      <c r="J4469" t="s">
        <v>34</v>
      </c>
      <c r="K4469" t="s">
        <v>30</v>
      </c>
      <c r="L4469" t="s">
        <v>31</v>
      </c>
      <c r="M4469" t="s">
        <v>140</v>
      </c>
      <c r="N4469">
        <v>18</v>
      </c>
      <c r="O4469">
        <v>2.2122679999999999E-2</v>
      </c>
      <c r="P4469">
        <v>4.9962161999999997E-2</v>
      </c>
      <c r="Q4469" t="str">
        <f t="shared" si="138"/>
        <v>01-09</v>
      </c>
      <c r="R4469" t="str">
        <f t="shared" si="139"/>
        <v>[lLDyBx5XyUi]|01-09|Female|NEW_INFECTIONS_SUBNAT.T_1|CY2024Q3</v>
      </c>
    </row>
    <row r="4470" spans="4:18" x14ac:dyDescent="0.2">
      <c r="D4470" t="s">
        <v>99</v>
      </c>
      <c r="E4470" t="s">
        <v>100</v>
      </c>
      <c r="F4470" t="s">
        <v>101</v>
      </c>
      <c r="G4470" t="s">
        <v>203</v>
      </c>
      <c r="H4470" t="s">
        <v>203</v>
      </c>
      <c r="I4470" t="s">
        <v>36</v>
      </c>
      <c r="J4470" t="s">
        <v>37</v>
      </c>
      <c r="K4470" t="s">
        <v>30</v>
      </c>
      <c r="L4470" t="s">
        <v>31</v>
      </c>
      <c r="M4470" t="s">
        <v>140</v>
      </c>
      <c r="N4470">
        <v>0</v>
      </c>
      <c r="O4470">
        <v>0</v>
      </c>
      <c r="P4470">
        <v>4.9962161999999997E-2</v>
      </c>
      <c r="Q4470" t="str">
        <f t="shared" si="138"/>
        <v>10-14</v>
      </c>
      <c r="R4470" t="str">
        <f t="shared" si="139"/>
        <v>[lLDyBx5XyUi]|10-14|Female|NEW_INFECTIONS_SUBNAT.T_1|CY2024Q3</v>
      </c>
    </row>
    <row r="4471" spans="4:18" x14ac:dyDescent="0.2">
      <c r="D4471" t="s">
        <v>99</v>
      </c>
      <c r="E4471" t="s">
        <v>100</v>
      </c>
      <c r="F4471" t="s">
        <v>101</v>
      </c>
      <c r="G4471" t="s">
        <v>203</v>
      </c>
      <c r="H4471" t="s">
        <v>203</v>
      </c>
      <c r="I4471" t="s">
        <v>38</v>
      </c>
      <c r="J4471" t="s">
        <v>39</v>
      </c>
      <c r="K4471" t="s">
        <v>30</v>
      </c>
      <c r="L4471" t="s">
        <v>31</v>
      </c>
      <c r="M4471" t="s">
        <v>140</v>
      </c>
      <c r="N4471">
        <v>215</v>
      </c>
      <c r="O4471">
        <v>5.5449151000000002E-2</v>
      </c>
      <c r="P4471">
        <v>4.9962161999999997E-2</v>
      </c>
      <c r="Q4471" t="str">
        <f t="shared" si="138"/>
        <v>15-24</v>
      </c>
      <c r="R4471" t="str">
        <f t="shared" si="139"/>
        <v>[lLDyBx5XyUi]|15-24|Female|NEW_INFECTIONS_SUBNAT.T_1|CY2024Q3</v>
      </c>
    </row>
    <row r="4472" spans="4:18" x14ac:dyDescent="0.2">
      <c r="D4472" t="s">
        <v>99</v>
      </c>
      <c r="E4472" t="s">
        <v>100</v>
      </c>
      <c r="F4472" t="s">
        <v>101</v>
      </c>
      <c r="G4472" t="s">
        <v>203</v>
      </c>
      <c r="H4472" t="s">
        <v>203</v>
      </c>
      <c r="I4472" t="s">
        <v>41</v>
      </c>
      <c r="J4472" t="s">
        <v>42</v>
      </c>
      <c r="K4472" t="s">
        <v>30</v>
      </c>
      <c r="L4472" t="s">
        <v>31</v>
      </c>
      <c r="M4472" t="s">
        <v>140</v>
      </c>
      <c r="N4472">
        <v>207</v>
      </c>
      <c r="O4472">
        <v>5.2936062999999998E-2</v>
      </c>
      <c r="P4472">
        <v>4.9962161999999997E-2</v>
      </c>
      <c r="Q4472" t="str">
        <f t="shared" si="138"/>
        <v>25-34</v>
      </c>
      <c r="R4472" t="str">
        <f t="shared" si="139"/>
        <v>[lLDyBx5XyUi]|25-34|Female|NEW_INFECTIONS_SUBNAT.T_1|CY2024Q3</v>
      </c>
    </row>
    <row r="4473" spans="4:18" x14ac:dyDescent="0.2">
      <c r="D4473" t="s">
        <v>99</v>
      </c>
      <c r="E4473" t="s">
        <v>100</v>
      </c>
      <c r="F4473" t="s">
        <v>101</v>
      </c>
      <c r="G4473" t="s">
        <v>203</v>
      </c>
      <c r="H4473" t="s">
        <v>203</v>
      </c>
      <c r="I4473" t="s">
        <v>43</v>
      </c>
      <c r="J4473" t="s">
        <v>44</v>
      </c>
      <c r="K4473" t="s">
        <v>30</v>
      </c>
      <c r="L4473" t="s">
        <v>31</v>
      </c>
      <c r="M4473" t="s">
        <v>140</v>
      </c>
      <c r="N4473">
        <v>93</v>
      </c>
      <c r="O4473">
        <v>4.7490519000000002E-2</v>
      </c>
      <c r="P4473">
        <v>4.9962161999999997E-2</v>
      </c>
      <c r="Q4473" t="str">
        <f t="shared" si="138"/>
        <v>35-49</v>
      </c>
      <c r="R4473" t="str">
        <f t="shared" si="139"/>
        <v>[lLDyBx5XyUi]|35-49|Female|NEW_INFECTIONS_SUBNAT.T_1|CY2024Q3</v>
      </c>
    </row>
    <row r="4474" spans="4:18" x14ac:dyDescent="0.2">
      <c r="D4474" t="s">
        <v>99</v>
      </c>
      <c r="E4474" t="s">
        <v>100</v>
      </c>
      <c r="F4474" t="s">
        <v>101</v>
      </c>
      <c r="G4474" t="s">
        <v>203</v>
      </c>
      <c r="H4474" t="s">
        <v>203</v>
      </c>
      <c r="I4474" t="s">
        <v>45</v>
      </c>
      <c r="J4474" t="s">
        <v>46</v>
      </c>
      <c r="K4474" t="s">
        <v>30</v>
      </c>
      <c r="L4474" t="s">
        <v>31</v>
      </c>
      <c r="M4474" t="s">
        <v>140</v>
      </c>
      <c r="N4474">
        <v>16</v>
      </c>
      <c r="O4474">
        <v>5.1159309E-2</v>
      </c>
      <c r="P4474">
        <v>4.9962161999999997E-2</v>
      </c>
      <c r="Q4474" t="str">
        <f t="shared" si="138"/>
        <v>50+</v>
      </c>
      <c r="R4474" t="str">
        <f t="shared" si="139"/>
        <v>[lLDyBx5XyUi]|50+|Female|NEW_INFECTIONS_SUBNAT.T_1|CY2024Q3</v>
      </c>
    </row>
    <row r="4475" spans="4:18" x14ac:dyDescent="0.2">
      <c r="D4475" t="s">
        <v>99</v>
      </c>
      <c r="E4475" t="s">
        <v>100</v>
      </c>
      <c r="F4475" t="s">
        <v>101</v>
      </c>
      <c r="G4475" t="s">
        <v>203</v>
      </c>
      <c r="H4475" t="s">
        <v>203</v>
      </c>
      <c r="I4475" t="s">
        <v>28</v>
      </c>
      <c r="J4475" t="s">
        <v>29</v>
      </c>
      <c r="K4475" t="s">
        <v>48</v>
      </c>
      <c r="L4475" t="s">
        <v>49</v>
      </c>
      <c r="M4475" t="s">
        <v>140</v>
      </c>
      <c r="N4475">
        <v>71</v>
      </c>
      <c r="O4475">
        <v>4.4244242000000003E-2</v>
      </c>
      <c r="P4475">
        <v>4.9962161999999997E-2</v>
      </c>
      <c r="Q4475" t="str">
        <f t="shared" si="138"/>
        <v>&lt;01</v>
      </c>
      <c r="R4475" t="str">
        <f t="shared" si="139"/>
        <v>[lLDyBx5XyUi]|&lt;01|Male|NEW_INFECTIONS_SUBNAT.T_1|CY2024Q3</v>
      </c>
    </row>
    <row r="4476" spans="4:18" x14ac:dyDescent="0.2">
      <c r="D4476" t="s">
        <v>99</v>
      </c>
      <c r="E4476" t="s">
        <v>100</v>
      </c>
      <c r="F4476" t="s">
        <v>101</v>
      </c>
      <c r="G4476" t="s">
        <v>203</v>
      </c>
      <c r="H4476" t="s">
        <v>203</v>
      </c>
      <c r="I4476" t="s">
        <v>33</v>
      </c>
      <c r="J4476" t="s">
        <v>34</v>
      </c>
      <c r="K4476" t="s">
        <v>48</v>
      </c>
      <c r="L4476" t="s">
        <v>49</v>
      </c>
      <c r="M4476" t="s">
        <v>140</v>
      </c>
      <c r="N4476">
        <v>18</v>
      </c>
      <c r="O4476">
        <v>2.2122121000000002E-2</v>
      </c>
      <c r="P4476">
        <v>4.9962161999999997E-2</v>
      </c>
      <c r="Q4476" t="str">
        <f t="shared" si="138"/>
        <v>01-09</v>
      </c>
      <c r="R4476" t="str">
        <f t="shared" si="139"/>
        <v>[lLDyBx5XyUi]|01-09|Male|NEW_INFECTIONS_SUBNAT.T_1|CY2024Q3</v>
      </c>
    </row>
    <row r="4477" spans="4:18" x14ac:dyDescent="0.2">
      <c r="D4477" t="s">
        <v>99</v>
      </c>
      <c r="E4477" t="s">
        <v>100</v>
      </c>
      <c r="F4477" t="s">
        <v>101</v>
      </c>
      <c r="G4477" t="s">
        <v>203</v>
      </c>
      <c r="H4477" t="s">
        <v>203</v>
      </c>
      <c r="I4477" t="s">
        <v>36</v>
      </c>
      <c r="J4477" t="s">
        <v>37</v>
      </c>
      <c r="K4477" t="s">
        <v>48</v>
      </c>
      <c r="L4477" t="s">
        <v>49</v>
      </c>
      <c r="M4477" t="s">
        <v>140</v>
      </c>
      <c r="N4477">
        <v>0</v>
      </c>
      <c r="O4477">
        <v>0</v>
      </c>
      <c r="P4477">
        <v>4.9962161999999997E-2</v>
      </c>
      <c r="Q4477" t="str">
        <f t="shared" si="138"/>
        <v>10-14</v>
      </c>
      <c r="R4477" t="str">
        <f t="shared" si="139"/>
        <v>[lLDyBx5XyUi]|10-14|Male|NEW_INFECTIONS_SUBNAT.T_1|CY2024Q3</v>
      </c>
    </row>
    <row r="4478" spans="4:18" x14ac:dyDescent="0.2">
      <c r="D4478" t="s">
        <v>99</v>
      </c>
      <c r="E4478" t="s">
        <v>100</v>
      </c>
      <c r="F4478" t="s">
        <v>101</v>
      </c>
      <c r="G4478" t="s">
        <v>203</v>
      </c>
      <c r="H4478" t="s">
        <v>203</v>
      </c>
      <c r="I4478" t="s">
        <v>38</v>
      </c>
      <c r="J4478" t="s">
        <v>39</v>
      </c>
      <c r="K4478" t="s">
        <v>48</v>
      </c>
      <c r="L4478" t="s">
        <v>49</v>
      </c>
      <c r="M4478" t="s">
        <v>140</v>
      </c>
      <c r="N4478">
        <v>31</v>
      </c>
      <c r="O4478">
        <v>5.6169594000000003E-2</v>
      </c>
      <c r="P4478">
        <v>4.9962161999999997E-2</v>
      </c>
      <c r="Q4478" t="str">
        <f t="shared" si="138"/>
        <v>15-24</v>
      </c>
      <c r="R4478" t="str">
        <f t="shared" si="139"/>
        <v>[lLDyBx5XyUi]|15-24|Male|NEW_INFECTIONS_SUBNAT.T_1|CY2024Q3</v>
      </c>
    </row>
    <row r="4479" spans="4:18" x14ac:dyDescent="0.2">
      <c r="D4479" t="s">
        <v>99</v>
      </c>
      <c r="E4479" t="s">
        <v>100</v>
      </c>
      <c r="F4479" t="s">
        <v>101</v>
      </c>
      <c r="G4479" t="s">
        <v>203</v>
      </c>
      <c r="H4479" t="s">
        <v>203</v>
      </c>
      <c r="I4479" t="s">
        <v>41</v>
      </c>
      <c r="J4479" t="s">
        <v>42</v>
      </c>
      <c r="K4479" t="s">
        <v>48</v>
      </c>
      <c r="L4479" t="s">
        <v>49</v>
      </c>
      <c r="M4479" t="s">
        <v>140</v>
      </c>
      <c r="N4479">
        <v>105</v>
      </c>
      <c r="O4479">
        <v>5.525306E-2</v>
      </c>
      <c r="P4479">
        <v>4.9962161999999997E-2</v>
      </c>
      <c r="Q4479" t="str">
        <f t="shared" si="138"/>
        <v>25-34</v>
      </c>
      <c r="R4479" t="str">
        <f t="shared" si="139"/>
        <v>[lLDyBx5XyUi]|25-34|Male|NEW_INFECTIONS_SUBNAT.T_1|CY2024Q3</v>
      </c>
    </row>
    <row r="4480" spans="4:18" x14ac:dyDescent="0.2">
      <c r="D4480" t="s">
        <v>99</v>
      </c>
      <c r="E4480" t="s">
        <v>100</v>
      </c>
      <c r="F4480" t="s">
        <v>101</v>
      </c>
      <c r="G4480" t="s">
        <v>203</v>
      </c>
      <c r="H4480" t="s">
        <v>203</v>
      </c>
      <c r="I4480" t="s">
        <v>43</v>
      </c>
      <c r="J4480" t="s">
        <v>44</v>
      </c>
      <c r="K4480" t="s">
        <v>48</v>
      </c>
      <c r="L4480" t="s">
        <v>49</v>
      </c>
      <c r="M4480" t="s">
        <v>140</v>
      </c>
      <c r="N4480">
        <v>103</v>
      </c>
      <c r="O4480">
        <v>5.2005803000000003E-2</v>
      </c>
      <c r="P4480">
        <v>4.9962161999999997E-2</v>
      </c>
      <c r="Q4480" t="str">
        <f t="shared" si="138"/>
        <v>35-49</v>
      </c>
      <c r="R4480" t="str">
        <f t="shared" si="139"/>
        <v>[lLDyBx5XyUi]|35-49|Male|NEW_INFECTIONS_SUBNAT.T_1|CY2024Q3</v>
      </c>
    </row>
    <row r="4481" spans="4:18" x14ac:dyDescent="0.2">
      <c r="D4481" t="s">
        <v>99</v>
      </c>
      <c r="E4481" t="s">
        <v>100</v>
      </c>
      <c r="F4481" t="s">
        <v>101</v>
      </c>
      <c r="G4481" t="s">
        <v>203</v>
      </c>
      <c r="H4481" t="s">
        <v>203</v>
      </c>
      <c r="I4481" t="s">
        <v>45</v>
      </c>
      <c r="J4481" t="s">
        <v>46</v>
      </c>
      <c r="K4481" t="s">
        <v>48</v>
      </c>
      <c r="L4481" t="s">
        <v>49</v>
      </c>
      <c r="M4481" t="s">
        <v>140</v>
      </c>
      <c r="N4481">
        <v>31</v>
      </c>
      <c r="O4481">
        <v>5.1663674999999999E-2</v>
      </c>
      <c r="P4481">
        <v>4.9962161999999997E-2</v>
      </c>
      <c r="Q4481" t="str">
        <f t="shared" si="138"/>
        <v>50+</v>
      </c>
      <c r="R4481" t="str">
        <f t="shared" si="139"/>
        <v>[lLDyBx5XyUi]|50+|Male|NEW_INFECTIONS_SUBNAT.T_1|CY2024Q3</v>
      </c>
    </row>
    <row r="4482" spans="4:18" x14ac:dyDescent="0.2">
      <c r="D4482" t="s">
        <v>102</v>
      </c>
      <c r="E4482" t="s">
        <v>103</v>
      </c>
      <c r="F4482" t="s">
        <v>104</v>
      </c>
      <c r="G4482" t="s">
        <v>203</v>
      </c>
      <c r="H4482" t="s">
        <v>203</v>
      </c>
      <c r="I4482" t="s">
        <v>28</v>
      </c>
      <c r="J4482" t="s">
        <v>29</v>
      </c>
      <c r="K4482" t="s">
        <v>30</v>
      </c>
      <c r="L4482" t="s">
        <v>31</v>
      </c>
      <c r="M4482" t="s">
        <v>140</v>
      </c>
      <c r="N4482">
        <v>33</v>
      </c>
      <c r="O4482">
        <v>6.4598396000000002E-2</v>
      </c>
      <c r="P4482">
        <v>6.8087751000000002E-2</v>
      </c>
      <c r="Q4482" t="str">
        <f t="shared" si="138"/>
        <v>&lt;01</v>
      </c>
      <c r="R4482" t="str">
        <f t="shared" si="139"/>
        <v>[TYnMSwzko3z]|&lt;01|Female|NEW_INFECTIONS_SUBNAT.T_1|CY2024Q3</v>
      </c>
    </row>
    <row r="4483" spans="4:18" x14ac:dyDescent="0.2">
      <c r="D4483" t="s">
        <v>102</v>
      </c>
      <c r="E4483" t="s">
        <v>103</v>
      </c>
      <c r="F4483" t="s">
        <v>104</v>
      </c>
      <c r="G4483" t="s">
        <v>203</v>
      </c>
      <c r="H4483" t="s">
        <v>203</v>
      </c>
      <c r="I4483" t="s">
        <v>33</v>
      </c>
      <c r="J4483" t="s">
        <v>34</v>
      </c>
      <c r="K4483" t="s">
        <v>30</v>
      </c>
      <c r="L4483" t="s">
        <v>31</v>
      </c>
      <c r="M4483" t="s">
        <v>140</v>
      </c>
      <c r="N4483">
        <v>8</v>
      </c>
      <c r="O4483">
        <v>3.2299198000000001E-2</v>
      </c>
      <c r="P4483">
        <v>6.8087751000000002E-2</v>
      </c>
      <c r="Q4483" t="str">
        <f t="shared" ref="Q4483:Q4546" si="140">SUBSTITUTE(SUBSTITUTE($I4483,CHAR(61),""),CHAR(34),"")</f>
        <v>01-09</v>
      </c>
      <c r="R4483" t="str">
        <f t="shared" ref="R4483:R4546" si="141">IF($D4483&lt;&gt;"","["&amp;$E4483&amp;"]"&amp;"|"&amp;$Q4483&amp;"|"&amp;$K4483&amp;"|"&amp;$G4483&amp;"|"&amp;IF($G4483="TX_CURR_SUBNAT.R","CY2023Q4",$M4483),"")</f>
        <v>[TYnMSwzko3z]|01-09|Female|NEW_INFECTIONS_SUBNAT.T_1|CY2024Q3</v>
      </c>
    </row>
    <row r="4484" spans="4:18" x14ac:dyDescent="0.2">
      <c r="D4484" t="s">
        <v>102</v>
      </c>
      <c r="E4484" t="s">
        <v>103</v>
      </c>
      <c r="F4484" t="s">
        <v>104</v>
      </c>
      <c r="G4484" t="s">
        <v>203</v>
      </c>
      <c r="H4484" t="s">
        <v>203</v>
      </c>
      <c r="I4484" t="s">
        <v>36</v>
      </c>
      <c r="J4484" t="s">
        <v>37</v>
      </c>
      <c r="K4484" t="s">
        <v>30</v>
      </c>
      <c r="L4484" t="s">
        <v>31</v>
      </c>
      <c r="M4484" t="s">
        <v>140</v>
      </c>
      <c r="N4484">
        <v>0</v>
      </c>
      <c r="O4484">
        <v>0</v>
      </c>
      <c r="P4484">
        <v>6.8087751000000002E-2</v>
      </c>
      <c r="Q4484" t="str">
        <f t="shared" si="140"/>
        <v>10-14</v>
      </c>
      <c r="R4484" t="str">
        <f t="shared" si="141"/>
        <v>[TYnMSwzko3z]|10-14|Female|NEW_INFECTIONS_SUBNAT.T_1|CY2024Q3</v>
      </c>
    </row>
    <row r="4485" spans="4:18" x14ac:dyDescent="0.2">
      <c r="D4485" t="s">
        <v>102</v>
      </c>
      <c r="E4485" t="s">
        <v>103</v>
      </c>
      <c r="F4485" t="s">
        <v>104</v>
      </c>
      <c r="G4485" t="s">
        <v>203</v>
      </c>
      <c r="H4485" t="s">
        <v>203</v>
      </c>
      <c r="I4485" t="s">
        <v>38</v>
      </c>
      <c r="J4485" t="s">
        <v>39</v>
      </c>
      <c r="K4485" t="s">
        <v>30</v>
      </c>
      <c r="L4485" t="s">
        <v>31</v>
      </c>
      <c r="M4485" t="s">
        <v>140</v>
      </c>
      <c r="N4485">
        <v>99</v>
      </c>
      <c r="O4485">
        <v>7.3050579000000004E-2</v>
      </c>
      <c r="P4485">
        <v>6.8087751000000002E-2</v>
      </c>
      <c r="Q4485" t="str">
        <f t="shared" si="140"/>
        <v>15-24</v>
      </c>
      <c r="R4485" t="str">
        <f t="shared" si="141"/>
        <v>[TYnMSwzko3z]|15-24|Female|NEW_INFECTIONS_SUBNAT.T_1|CY2024Q3</v>
      </c>
    </row>
    <row r="4486" spans="4:18" x14ac:dyDescent="0.2">
      <c r="D4486" t="s">
        <v>102</v>
      </c>
      <c r="E4486" t="s">
        <v>103</v>
      </c>
      <c r="F4486" t="s">
        <v>104</v>
      </c>
      <c r="G4486" t="s">
        <v>203</v>
      </c>
      <c r="H4486" t="s">
        <v>203</v>
      </c>
      <c r="I4486" t="s">
        <v>41</v>
      </c>
      <c r="J4486" t="s">
        <v>42</v>
      </c>
      <c r="K4486" t="s">
        <v>30</v>
      </c>
      <c r="L4486" t="s">
        <v>31</v>
      </c>
      <c r="M4486" t="s">
        <v>140</v>
      </c>
      <c r="N4486">
        <v>99</v>
      </c>
      <c r="O4486">
        <v>7.0360134000000005E-2</v>
      </c>
      <c r="P4486">
        <v>6.8087751000000002E-2</v>
      </c>
      <c r="Q4486" t="str">
        <f t="shared" si="140"/>
        <v>25-34</v>
      </c>
      <c r="R4486" t="str">
        <f t="shared" si="141"/>
        <v>[TYnMSwzko3z]|25-34|Female|NEW_INFECTIONS_SUBNAT.T_1|CY2024Q3</v>
      </c>
    </row>
    <row r="4487" spans="4:18" x14ac:dyDescent="0.2">
      <c r="D4487" t="s">
        <v>102</v>
      </c>
      <c r="E4487" t="s">
        <v>103</v>
      </c>
      <c r="F4487" t="s">
        <v>104</v>
      </c>
      <c r="G4487" t="s">
        <v>203</v>
      </c>
      <c r="H4487" t="s">
        <v>203</v>
      </c>
      <c r="I4487" t="s">
        <v>43</v>
      </c>
      <c r="J4487" t="s">
        <v>44</v>
      </c>
      <c r="K4487" t="s">
        <v>30</v>
      </c>
      <c r="L4487" t="s">
        <v>31</v>
      </c>
      <c r="M4487" t="s">
        <v>140</v>
      </c>
      <c r="N4487">
        <v>47</v>
      </c>
      <c r="O4487">
        <v>6.3911700000000002E-2</v>
      </c>
      <c r="P4487">
        <v>6.8087751000000002E-2</v>
      </c>
      <c r="Q4487" t="str">
        <f t="shared" si="140"/>
        <v>35-49</v>
      </c>
      <c r="R4487" t="str">
        <f t="shared" si="141"/>
        <v>[TYnMSwzko3z]|35-49|Female|NEW_INFECTIONS_SUBNAT.T_1|CY2024Q3</v>
      </c>
    </row>
    <row r="4488" spans="4:18" x14ac:dyDescent="0.2">
      <c r="D4488" t="s">
        <v>102</v>
      </c>
      <c r="E4488" t="s">
        <v>103</v>
      </c>
      <c r="F4488" t="s">
        <v>104</v>
      </c>
      <c r="G4488" t="s">
        <v>203</v>
      </c>
      <c r="H4488" t="s">
        <v>203</v>
      </c>
      <c r="I4488" t="s">
        <v>45</v>
      </c>
      <c r="J4488" t="s">
        <v>46</v>
      </c>
      <c r="K4488" t="s">
        <v>30</v>
      </c>
      <c r="L4488" t="s">
        <v>31</v>
      </c>
      <c r="M4488" t="s">
        <v>140</v>
      </c>
      <c r="N4488">
        <v>8</v>
      </c>
      <c r="O4488">
        <v>6.6097491999999994E-2</v>
      </c>
      <c r="P4488">
        <v>6.8087751000000002E-2</v>
      </c>
      <c r="Q4488" t="str">
        <f t="shared" si="140"/>
        <v>50+</v>
      </c>
      <c r="R4488" t="str">
        <f t="shared" si="141"/>
        <v>[TYnMSwzko3z]|50+|Female|NEW_INFECTIONS_SUBNAT.T_1|CY2024Q3</v>
      </c>
    </row>
    <row r="4489" spans="4:18" x14ac:dyDescent="0.2">
      <c r="D4489" t="s">
        <v>102</v>
      </c>
      <c r="E4489" t="s">
        <v>103</v>
      </c>
      <c r="F4489" t="s">
        <v>104</v>
      </c>
      <c r="G4489" t="s">
        <v>203</v>
      </c>
      <c r="H4489" t="s">
        <v>203</v>
      </c>
      <c r="I4489" t="s">
        <v>28</v>
      </c>
      <c r="J4489" t="s">
        <v>29</v>
      </c>
      <c r="K4489" t="s">
        <v>48</v>
      </c>
      <c r="L4489" t="s">
        <v>49</v>
      </c>
      <c r="M4489" t="s">
        <v>140</v>
      </c>
      <c r="N4489">
        <v>33</v>
      </c>
      <c r="O4489">
        <v>6.4597010999999996E-2</v>
      </c>
      <c r="P4489">
        <v>6.8087751000000002E-2</v>
      </c>
      <c r="Q4489" t="str">
        <f t="shared" si="140"/>
        <v>&lt;01</v>
      </c>
      <c r="R4489" t="str">
        <f t="shared" si="141"/>
        <v>[TYnMSwzko3z]|&lt;01|Male|NEW_INFECTIONS_SUBNAT.T_1|CY2024Q3</v>
      </c>
    </row>
    <row r="4490" spans="4:18" x14ac:dyDescent="0.2">
      <c r="D4490" t="s">
        <v>102</v>
      </c>
      <c r="E4490" t="s">
        <v>103</v>
      </c>
      <c r="F4490" t="s">
        <v>104</v>
      </c>
      <c r="G4490" t="s">
        <v>203</v>
      </c>
      <c r="H4490" t="s">
        <v>203</v>
      </c>
      <c r="I4490" t="s">
        <v>33</v>
      </c>
      <c r="J4490" t="s">
        <v>34</v>
      </c>
      <c r="K4490" t="s">
        <v>48</v>
      </c>
      <c r="L4490" t="s">
        <v>49</v>
      </c>
      <c r="M4490" t="s">
        <v>140</v>
      </c>
      <c r="N4490">
        <v>8</v>
      </c>
      <c r="O4490">
        <v>3.2298505999999998E-2</v>
      </c>
      <c r="P4490">
        <v>6.8087751000000002E-2</v>
      </c>
      <c r="Q4490" t="str">
        <f t="shared" si="140"/>
        <v>01-09</v>
      </c>
      <c r="R4490" t="str">
        <f t="shared" si="141"/>
        <v>[TYnMSwzko3z]|01-09|Male|NEW_INFECTIONS_SUBNAT.T_1|CY2024Q3</v>
      </c>
    </row>
    <row r="4491" spans="4:18" x14ac:dyDescent="0.2">
      <c r="D4491" t="s">
        <v>102</v>
      </c>
      <c r="E4491" t="s">
        <v>103</v>
      </c>
      <c r="F4491" t="s">
        <v>104</v>
      </c>
      <c r="G4491" t="s">
        <v>203</v>
      </c>
      <c r="H4491" t="s">
        <v>203</v>
      </c>
      <c r="I4491" t="s">
        <v>36</v>
      </c>
      <c r="J4491" t="s">
        <v>37</v>
      </c>
      <c r="K4491" t="s">
        <v>48</v>
      </c>
      <c r="L4491" t="s">
        <v>49</v>
      </c>
      <c r="M4491" t="s">
        <v>140</v>
      </c>
      <c r="N4491">
        <v>0</v>
      </c>
      <c r="O4491">
        <v>0</v>
      </c>
      <c r="P4491">
        <v>6.8087751000000002E-2</v>
      </c>
      <c r="Q4491" t="str">
        <f t="shared" si="140"/>
        <v>10-14</v>
      </c>
      <c r="R4491" t="str">
        <f t="shared" si="141"/>
        <v>[TYnMSwzko3z]|10-14|Male|NEW_INFECTIONS_SUBNAT.T_1|CY2024Q3</v>
      </c>
    </row>
    <row r="4492" spans="4:18" x14ac:dyDescent="0.2">
      <c r="D4492" t="s">
        <v>102</v>
      </c>
      <c r="E4492" t="s">
        <v>103</v>
      </c>
      <c r="F4492" t="s">
        <v>104</v>
      </c>
      <c r="G4492" t="s">
        <v>203</v>
      </c>
      <c r="H4492" t="s">
        <v>203</v>
      </c>
      <c r="I4492" t="s">
        <v>38</v>
      </c>
      <c r="J4492" t="s">
        <v>39</v>
      </c>
      <c r="K4492" t="s">
        <v>48</v>
      </c>
      <c r="L4492" t="s">
        <v>49</v>
      </c>
      <c r="M4492" t="s">
        <v>140</v>
      </c>
      <c r="N4492">
        <v>15</v>
      </c>
      <c r="O4492">
        <v>7.3717358999999996E-2</v>
      </c>
      <c r="P4492">
        <v>6.8087751000000002E-2</v>
      </c>
      <c r="Q4492" t="str">
        <f t="shared" si="140"/>
        <v>15-24</v>
      </c>
      <c r="R4492" t="str">
        <f t="shared" si="141"/>
        <v>[TYnMSwzko3z]|15-24|Male|NEW_INFECTIONS_SUBNAT.T_1|CY2024Q3</v>
      </c>
    </row>
    <row r="4493" spans="4:18" x14ac:dyDescent="0.2">
      <c r="D4493" t="s">
        <v>102</v>
      </c>
      <c r="E4493" t="s">
        <v>103</v>
      </c>
      <c r="F4493" t="s">
        <v>104</v>
      </c>
      <c r="G4493" t="s">
        <v>203</v>
      </c>
      <c r="H4493" t="s">
        <v>203</v>
      </c>
      <c r="I4493" t="s">
        <v>41</v>
      </c>
      <c r="J4493" t="s">
        <v>42</v>
      </c>
      <c r="K4493" t="s">
        <v>48</v>
      </c>
      <c r="L4493" t="s">
        <v>49</v>
      </c>
      <c r="M4493" t="s">
        <v>140</v>
      </c>
      <c r="N4493">
        <v>50</v>
      </c>
      <c r="O4493">
        <v>7.2853905999999996E-2</v>
      </c>
      <c r="P4493">
        <v>6.8087751000000002E-2</v>
      </c>
      <c r="Q4493" t="str">
        <f t="shared" si="140"/>
        <v>25-34</v>
      </c>
      <c r="R4493" t="str">
        <f t="shared" si="141"/>
        <v>[TYnMSwzko3z]|25-34|Male|NEW_INFECTIONS_SUBNAT.T_1|CY2024Q3</v>
      </c>
    </row>
    <row r="4494" spans="4:18" x14ac:dyDescent="0.2">
      <c r="D4494" t="s">
        <v>102</v>
      </c>
      <c r="E4494" t="s">
        <v>103</v>
      </c>
      <c r="F4494" t="s">
        <v>104</v>
      </c>
      <c r="G4494" t="s">
        <v>203</v>
      </c>
      <c r="H4494" t="s">
        <v>203</v>
      </c>
      <c r="I4494" t="s">
        <v>43</v>
      </c>
      <c r="J4494" t="s">
        <v>44</v>
      </c>
      <c r="K4494" t="s">
        <v>48</v>
      </c>
      <c r="L4494" t="s">
        <v>49</v>
      </c>
      <c r="M4494" t="s">
        <v>140</v>
      </c>
      <c r="N4494">
        <v>50</v>
      </c>
      <c r="O4494">
        <v>6.9259310000000004E-2</v>
      </c>
      <c r="P4494">
        <v>6.8087751000000002E-2</v>
      </c>
      <c r="Q4494" t="str">
        <f t="shared" si="140"/>
        <v>35-49</v>
      </c>
      <c r="R4494" t="str">
        <f t="shared" si="141"/>
        <v>[TYnMSwzko3z]|35-49|Male|NEW_INFECTIONS_SUBNAT.T_1|CY2024Q3</v>
      </c>
    </row>
    <row r="4495" spans="4:18" x14ac:dyDescent="0.2">
      <c r="D4495" t="s">
        <v>102</v>
      </c>
      <c r="E4495" t="s">
        <v>103</v>
      </c>
      <c r="F4495" t="s">
        <v>104</v>
      </c>
      <c r="G4495" t="s">
        <v>203</v>
      </c>
      <c r="H4495" t="s">
        <v>203</v>
      </c>
      <c r="I4495" t="s">
        <v>45</v>
      </c>
      <c r="J4495" t="s">
        <v>46</v>
      </c>
      <c r="K4495" t="s">
        <v>48</v>
      </c>
      <c r="L4495" t="s">
        <v>49</v>
      </c>
      <c r="M4495" t="s">
        <v>140</v>
      </c>
      <c r="N4495">
        <v>15</v>
      </c>
      <c r="O4495">
        <v>6.7287158E-2</v>
      </c>
      <c r="P4495">
        <v>6.8087751000000002E-2</v>
      </c>
      <c r="Q4495" t="str">
        <f t="shared" si="140"/>
        <v>50+</v>
      </c>
      <c r="R4495" t="str">
        <f t="shared" si="141"/>
        <v>[TYnMSwzko3z]|50+|Male|NEW_INFECTIONS_SUBNAT.T_1|CY2024Q3</v>
      </c>
    </row>
    <row r="4496" spans="4:18" x14ac:dyDescent="0.2">
      <c r="D4496" t="s">
        <v>105</v>
      </c>
      <c r="E4496" t="s">
        <v>106</v>
      </c>
      <c r="F4496" t="s">
        <v>107</v>
      </c>
      <c r="G4496" t="s">
        <v>203</v>
      </c>
      <c r="H4496" t="s">
        <v>203</v>
      </c>
      <c r="I4496" t="s">
        <v>28</v>
      </c>
      <c r="J4496" t="s">
        <v>29</v>
      </c>
      <c r="K4496" t="s">
        <v>30</v>
      </c>
      <c r="L4496" t="s">
        <v>31</v>
      </c>
      <c r="M4496" t="s">
        <v>140</v>
      </c>
      <c r="N4496">
        <v>49</v>
      </c>
      <c r="O4496">
        <v>3.9250288000000001E-2</v>
      </c>
      <c r="P4496">
        <v>4.3877539E-2</v>
      </c>
      <c r="Q4496" t="str">
        <f t="shared" si="140"/>
        <v>&lt;01</v>
      </c>
      <c r="R4496" t="str">
        <f t="shared" si="141"/>
        <v>[fyEoGEPERdI]|&lt;01|Female|NEW_INFECTIONS_SUBNAT.T_1|CY2024Q3</v>
      </c>
    </row>
    <row r="4497" spans="4:18" x14ac:dyDescent="0.2">
      <c r="D4497" t="s">
        <v>105</v>
      </c>
      <c r="E4497" t="s">
        <v>106</v>
      </c>
      <c r="F4497" t="s">
        <v>107</v>
      </c>
      <c r="G4497" t="s">
        <v>203</v>
      </c>
      <c r="H4497" t="s">
        <v>203</v>
      </c>
      <c r="I4497" t="s">
        <v>33</v>
      </c>
      <c r="J4497" t="s">
        <v>34</v>
      </c>
      <c r="K4497" t="s">
        <v>30</v>
      </c>
      <c r="L4497" t="s">
        <v>31</v>
      </c>
      <c r="M4497" t="s">
        <v>140</v>
      </c>
      <c r="N4497">
        <v>12</v>
      </c>
      <c r="O4497">
        <v>1.9625144000000001E-2</v>
      </c>
      <c r="P4497">
        <v>4.3877539E-2</v>
      </c>
      <c r="Q4497" t="str">
        <f t="shared" si="140"/>
        <v>01-09</v>
      </c>
      <c r="R4497" t="str">
        <f t="shared" si="141"/>
        <v>[fyEoGEPERdI]|01-09|Female|NEW_INFECTIONS_SUBNAT.T_1|CY2024Q3</v>
      </c>
    </row>
    <row r="4498" spans="4:18" x14ac:dyDescent="0.2">
      <c r="D4498" t="s">
        <v>105</v>
      </c>
      <c r="E4498" t="s">
        <v>106</v>
      </c>
      <c r="F4498" t="s">
        <v>107</v>
      </c>
      <c r="G4498" t="s">
        <v>203</v>
      </c>
      <c r="H4498" t="s">
        <v>203</v>
      </c>
      <c r="I4498" t="s">
        <v>36</v>
      </c>
      <c r="J4498" t="s">
        <v>37</v>
      </c>
      <c r="K4498" t="s">
        <v>30</v>
      </c>
      <c r="L4498" t="s">
        <v>31</v>
      </c>
      <c r="M4498" t="s">
        <v>140</v>
      </c>
      <c r="N4498">
        <v>0</v>
      </c>
      <c r="O4498">
        <v>0</v>
      </c>
      <c r="P4498">
        <v>4.3877539E-2</v>
      </c>
      <c r="Q4498" t="str">
        <f t="shared" si="140"/>
        <v>10-14</v>
      </c>
      <c r="R4498" t="str">
        <f t="shared" si="141"/>
        <v>[fyEoGEPERdI]|10-14|Female|NEW_INFECTIONS_SUBNAT.T_1|CY2024Q3</v>
      </c>
    </row>
    <row r="4499" spans="4:18" x14ac:dyDescent="0.2">
      <c r="D4499" t="s">
        <v>105</v>
      </c>
      <c r="E4499" t="s">
        <v>106</v>
      </c>
      <c r="F4499" t="s">
        <v>107</v>
      </c>
      <c r="G4499" t="s">
        <v>203</v>
      </c>
      <c r="H4499" t="s">
        <v>203</v>
      </c>
      <c r="I4499" t="s">
        <v>38</v>
      </c>
      <c r="J4499" t="s">
        <v>39</v>
      </c>
      <c r="K4499" t="s">
        <v>30</v>
      </c>
      <c r="L4499" t="s">
        <v>31</v>
      </c>
      <c r="M4499" t="s">
        <v>140</v>
      </c>
      <c r="N4499">
        <v>209</v>
      </c>
      <c r="O4499">
        <v>4.8413686999999997E-2</v>
      </c>
      <c r="P4499">
        <v>4.3877539E-2</v>
      </c>
      <c r="Q4499" t="str">
        <f t="shared" si="140"/>
        <v>15-24</v>
      </c>
      <c r="R4499" t="str">
        <f t="shared" si="141"/>
        <v>[fyEoGEPERdI]|15-24|Female|NEW_INFECTIONS_SUBNAT.T_1|CY2024Q3</v>
      </c>
    </row>
    <row r="4500" spans="4:18" x14ac:dyDescent="0.2">
      <c r="D4500" t="s">
        <v>105</v>
      </c>
      <c r="E4500" t="s">
        <v>106</v>
      </c>
      <c r="F4500" t="s">
        <v>107</v>
      </c>
      <c r="G4500" t="s">
        <v>203</v>
      </c>
      <c r="H4500" t="s">
        <v>203</v>
      </c>
      <c r="I4500" t="s">
        <v>41</v>
      </c>
      <c r="J4500" t="s">
        <v>42</v>
      </c>
      <c r="K4500" t="s">
        <v>30</v>
      </c>
      <c r="L4500" t="s">
        <v>31</v>
      </c>
      <c r="M4500" t="s">
        <v>140</v>
      </c>
      <c r="N4500">
        <v>202</v>
      </c>
      <c r="O4500">
        <v>4.5299827000000001E-2</v>
      </c>
      <c r="P4500">
        <v>4.3877539E-2</v>
      </c>
      <c r="Q4500" t="str">
        <f t="shared" si="140"/>
        <v>25-34</v>
      </c>
      <c r="R4500" t="str">
        <f t="shared" si="141"/>
        <v>[fyEoGEPERdI]|25-34|Female|NEW_INFECTIONS_SUBNAT.T_1|CY2024Q3</v>
      </c>
    </row>
    <row r="4501" spans="4:18" x14ac:dyDescent="0.2">
      <c r="D4501" t="s">
        <v>105</v>
      </c>
      <c r="E4501" t="s">
        <v>106</v>
      </c>
      <c r="F4501" t="s">
        <v>107</v>
      </c>
      <c r="G4501" t="s">
        <v>203</v>
      </c>
      <c r="H4501" t="s">
        <v>203</v>
      </c>
      <c r="I4501" t="s">
        <v>43</v>
      </c>
      <c r="J4501" t="s">
        <v>44</v>
      </c>
      <c r="K4501" t="s">
        <v>30</v>
      </c>
      <c r="L4501" t="s">
        <v>31</v>
      </c>
      <c r="M4501" t="s">
        <v>140</v>
      </c>
      <c r="N4501">
        <v>92</v>
      </c>
      <c r="O4501">
        <v>4.2807584000000003E-2</v>
      </c>
      <c r="P4501">
        <v>4.3877539E-2</v>
      </c>
      <c r="Q4501" t="str">
        <f t="shared" si="140"/>
        <v>35-49</v>
      </c>
      <c r="R4501" t="str">
        <f t="shared" si="141"/>
        <v>[fyEoGEPERdI]|35-49|Female|NEW_INFECTIONS_SUBNAT.T_1|CY2024Q3</v>
      </c>
    </row>
    <row r="4502" spans="4:18" x14ac:dyDescent="0.2">
      <c r="D4502" t="s">
        <v>105</v>
      </c>
      <c r="E4502" t="s">
        <v>106</v>
      </c>
      <c r="F4502" t="s">
        <v>107</v>
      </c>
      <c r="G4502" t="s">
        <v>203</v>
      </c>
      <c r="H4502" t="s">
        <v>203</v>
      </c>
      <c r="I4502" t="s">
        <v>45</v>
      </c>
      <c r="J4502" t="s">
        <v>46</v>
      </c>
      <c r="K4502" t="s">
        <v>30</v>
      </c>
      <c r="L4502" t="s">
        <v>31</v>
      </c>
      <c r="M4502" t="s">
        <v>140</v>
      </c>
      <c r="N4502">
        <v>15</v>
      </c>
      <c r="O4502">
        <v>4.9957943999999997E-2</v>
      </c>
      <c r="P4502">
        <v>4.3877539E-2</v>
      </c>
      <c r="Q4502" t="str">
        <f t="shared" si="140"/>
        <v>50+</v>
      </c>
      <c r="R4502" t="str">
        <f t="shared" si="141"/>
        <v>[fyEoGEPERdI]|50+|Female|NEW_INFECTIONS_SUBNAT.T_1|CY2024Q3</v>
      </c>
    </row>
    <row r="4503" spans="4:18" x14ac:dyDescent="0.2">
      <c r="D4503" t="s">
        <v>105</v>
      </c>
      <c r="E4503" t="s">
        <v>106</v>
      </c>
      <c r="F4503" t="s">
        <v>107</v>
      </c>
      <c r="G4503" t="s">
        <v>203</v>
      </c>
      <c r="H4503" t="s">
        <v>203</v>
      </c>
      <c r="I4503" t="s">
        <v>28</v>
      </c>
      <c r="J4503" t="s">
        <v>29</v>
      </c>
      <c r="K4503" t="s">
        <v>48</v>
      </c>
      <c r="L4503" t="s">
        <v>49</v>
      </c>
      <c r="M4503" t="s">
        <v>140</v>
      </c>
      <c r="N4503">
        <v>50</v>
      </c>
      <c r="O4503">
        <v>3.91829E-2</v>
      </c>
      <c r="P4503">
        <v>4.3877539E-2</v>
      </c>
      <c r="Q4503" t="str">
        <f t="shared" si="140"/>
        <v>&lt;01</v>
      </c>
      <c r="R4503" t="str">
        <f t="shared" si="141"/>
        <v>[fyEoGEPERdI]|&lt;01|Male|NEW_INFECTIONS_SUBNAT.T_1|CY2024Q3</v>
      </c>
    </row>
    <row r="4504" spans="4:18" x14ac:dyDescent="0.2">
      <c r="D4504" t="s">
        <v>105</v>
      </c>
      <c r="E4504" t="s">
        <v>106</v>
      </c>
      <c r="F4504" t="s">
        <v>107</v>
      </c>
      <c r="G4504" t="s">
        <v>203</v>
      </c>
      <c r="H4504" t="s">
        <v>203</v>
      </c>
      <c r="I4504" t="s">
        <v>33</v>
      </c>
      <c r="J4504" t="s">
        <v>34</v>
      </c>
      <c r="K4504" t="s">
        <v>48</v>
      </c>
      <c r="L4504" t="s">
        <v>49</v>
      </c>
      <c r="M4504" t="s">
        <v>140</v>
      </c>
      <c r="N4504">
        <v>13</v>
      </c>
      <c r="O4504">
        <v>1.959145E-2</v>
      </c>
      <c r="P4504">
        <v>4.3877539E-2</v>
      </c>
      <c r="Q4504" t="str">
        <f t="shared" si="140"/>
        <v>01-09</v>
      </c>
      <c r="R4504" t="str">
        <f t="shared" si="141"/>
        <v>[fyEoGEPERdI]|01-09|Male|NEW_INFECTIONS_SUBNAT.T_1|CY2024Q3</v>
      </c>
    </row>
    <row r="4505" spans="4:18" x14ac:dyDescent="0.2">
      <c r="D4505" t="s">
        <v>105</v>
      </c>
      <c r="E4505" t="s">
        <v>106</v>
      </c>
      <c r="F4505" t="s">
        <v>107</v>
      </c>
      <c r="G4505" t="s">
        <v>203</v>
      </c>
      <c r="H4505" t="s">
        <v>203</v>
      </c>
      <c r="I4505" t="s">
        <v>36</v>
      </c>
      <c r="J4505" t="s">
        <v>37</v>
      </c>
      <c r="K4505" t="s">
        <v>48</v>
      </c>
      <c r="L4505" t="s">
        <v>49</v>
      </c>
      <c r="M4505" t="s">
        <v>140</v>
      </c>
      <c r="N4505">
        <v>0</v>
      </c>
      <c r="O4505">
        <v>0</v>
      </c>
      <c r="P4505">
        <v>4.3877539E-2</v>
      </c>
      <c r="Q4505" t="str">
        <f t="shared" si="140"/>
        <v>10-14</v>
      </c>
      <c r="R4505" t="str">
        <f t="shared" si="141"/>
        <v>[fyEoGEPERdI]|10-14|Male|NEW_INFECTIONS_SUBNAT.T_1|CY2024Q3</v>
      </c>
    </row>
    <row r="4506" spans="4:18" x14ac:dyDescent="0.2">
      <c r="D4506" t="s">
        <v>105</v>
      </c>
      <c r="E4506" t="s">
        <v>106</v>
      </c>
      <c r="F4506" t="s">
        <v>107</v>
      </c>
      <c r="G4506" t="s">
        <v>203</v>
      </c>
      <c r="H4506" t="s">
        <v>203</v>
      </c>
      <c r="I4506" t="s">
        <v>38</v>
      </c>
      <c r="J4506" t="s">
        <v>39</v>
      </c>
      <c r="K4506" t="s">
        <v>48</v>
      </c>
      <c r="L4506" t="s">
        <v>49</v>
      </c>
      <c r="M4506" t="s">
        <v>140</v>
      </c>
      <c r="N4506">
        <v>35</v>
      </c>
      <c r="O4506">
        <v>4.8802564999999999E-2</v>
      </c>
      <c r="P4506">
        <v>4.3877539E-2</v>
      </c>
      <c r="Q4506" t="str">
        <f t="shared" si="140"/>
        <v>15-24</v>
      </c>
      <c r="R4506" t="str">
        <f t="shared" si="141"/>
        <v>[fyEoGEPERdI]|15-24|Male|NEW_INFECTIONS_SUBNAT.T_1|CY2024Q3</v>
      </c>
    </row>
    <row r="4507" spans="4:18" x14ac:dyDescent="0.2">
      <c r="D4507" t="s">
        <v>105</v>
      </c>
      <c r="E4507" t="s">
        <v>106</v>
      </c>
      <c r="F4507" t="s">
        <v>107</v>
      </c>
      <c r="G4507" t="s">
        <v>203</v>
      </c>
      <c r="H4507" t="s">
        <v>203</v>
      </c>
      <c r="I4507" t="s">
        <v>41</v>
      </c>
      <c r="J4507" t="s">
        <v>42</v>
      </c>
      <c r="K4507" t="s">
        <v>48</v>
      </c>
      <c r="L4507" t="s">
        <v>49</v>
      </c>
      <c r="M4507" t="s">
        <v>140</v>
      </c>
      <c r="N4507">
        <v>117</v>
      </c>
      <c r="O4507">
        <v>4.6824846000000003E-2</v>
      </c>
      <c r="P4507">
        <v>4.3877539E-2</v>
      </c>
      <c r="Q4507" t="str">
        <f t="shared" si="140"/>
        <v>25-34</v>
      </c>
      <c r="R4507" t="str">
        <f t="shared" si="141"/>
        <v>[fyEoGEPERdI]|25-34|Male|NEW_INFECTIONS_SUBNAT.T_1|CY2024Q3</v>
      </c>
    </row>
    <row r="4508" spans="4:18" x14ac:dyDescent="0.2">
      <c r="D4508" t="s">
        <v>105</v>
      </c>
      <c r="E4508" t="s">
        <v>106</v>
      </c>
      <c r="F4508" t="s">
        <v>107</v>
      </c>
      <c r="G4508" t="s">
        <v>203</v>
      </c>
      <c r="H4508" t="s">
        <v>203</v>
      </c>
      <c r="I4508" t="s">
        <v>43</v>
      </c>
      <c r="J4508" t="s">
        <v>44</v>
      </c>
      <c r="K4508" t="s">
        <v>48</v>
      </c>
      <c r="L4508" t="s">
        <v>49</v>
      </c>
      <c r="M4508" t="s">
        <v>140</v>
      </c>
      <c r="N4508">
        <v>106</v>
      </c>
      <c r="O4508">
        <v>4.4529358999999998E-2</v>
      </c>
      <c r="P4508">
        <v>4.3877539E-2</v>
      </c>
      <c r="Q4508" t="str">
        <f t="shared" si="140"/>
        <v>35-49</v>
      </c>
      <c r="R4508" t="str">
        <f t="shared" si="141"/>
        <v>[fyEoGEPERdI]|35-49|Male|NEW_INFECTIONS_SUBNAT.T_1|CY2024Q3</v>
      </c>
    </row>
    <row r="4509" spans="4:18" x14ac:dyDescent="0.2">
      <c r="D4509" t="s">
        <v>105</v>
      </c>
      <c r="E4509" t="s">
        <v>106</v>
      </c>
      <c r="F4509" t="s">
        <v>107</v>
      </c>
      <c r="G4509" t="s">
        <v>203</v>
      </c>
      <c r="H4509" t="s">
        <v>203</v>
      </c>
      <c r="I4509" t="s">
        <v>45</v>
      </c>
      <c r="J4509" t="s">
        <v>46</v>
      </c>
      <c r="K4509" t="s">
        <v>48</v>
      </c>
      <c r="L4509" t="s">
        <v>49</v>
      </c>
      <c r="M4509" t="s">
        <v>140</v>
      </c>
      <c r="N4509">
        <v>28</v>
      </c>
      <c r="O4509">
        <v>4.9508398000000002E-2</v>
      </c>
      <c r="P4509">
        <v>4.3877539E-2</v>
      </c>
      <c r="Q4509" t="str">
        <f t="shared" si="140"/>
        <v>50+</v>
      </c>
      <c r="R4509" t="str">
        <f t="shared" si="141"/>
        <v>[fyEoGEPERdI]|50+|Male|NEW_INFECTIONS_SUBNAT.T_1|CY2024Q3</v>
      </c>
    </row>
    <row r="4510" spans="4:18" x14ac:dyDescent="0.2">
      <c r="D4510" t="s">
        <v>108</v>
      </c>
      <c r="E4510" t="s">
        <v>109</v>
      </c>
      <c r="F4510" t="s">
        <v>110</v>
      </c>
      <c r="G4510" t="s">
        <v>203</v>
      </c>
      <c r="H4510" t="s">
        <v>203</v>
      </c>
      <c r="I4510" t="s">
        <v>28</v>
      </c>
      <c r="J4510" t="s">
        <v>29</v>
      </c>
      <c r="K4510" t="s">
        <v>30</v>
      </c>
      <c r="L4510" t="s">
        <v>31</v>
      </c>
      <c r="M4510" t="s">
        <v>140</v>
      </c>
      <c r="N4510">
        <v>45</v>
      </c>
      <c r="O4510">
        <v>4.4521968000000002E-2</v>
      </c>
      <c r="P4510">
        <v>4.3916999999999998E-2</v>
      </c>
      <c r="Q4510" t="str">
        <f t="shared" si="140"/>
        <v>&lt;01</v>
      </c>
      <c r="R4510" t="str">
        <f t="shared" si="141"/>
        <v>[umc2n1Z4wNv]|&lt;01|Female|NEW_INFECTIONS_SUBNAT.T_1|CY2024Q3</v>
      </c>
    </row>
    <row r="4511" spans="4:18" x14ac:dyDescent="0.2">
      <c r="D4511" t="s">
        <v>108</v>
      </c>
      <c r="E4511" t="s">
        <v>109</v>
      </c>
      <c r="F4511" t="s">
        <v>110</v>
      </c>
      <c r="G4511" t="s">
        <v>203</v>
      </c>
      <c r="H4511" t="s">
        <v>203</v>
      </c>
      <c r="I4511" t="s">
        <v>33</v>
      </c>
      <c r="J4511" t="s">
        <v>34</v>
      </c>
      <c r="K4511" t="s">
        <v>30</v>
      </c>
      <c r="L4511" t="s">
        <v>31</v>
      </c>
      <c r="M4511" t="s">
        <v>140</v>
      </c>
      <c r="N4511">
        <v>11</v>
      </c>
      <c r="O4511">
        <v>2.2260984000000001E-2</v>
      </c>
      <c r="P4511">
        <v>4.3916999999999998E-2</v>
      </c>
      <c r="Q4511" t="str">
        <f t="shared" si="140"/>
        <v>01-09</v>
      </c>
      <c r="R4511" t="str">
        <f t="shared" si="141"/>
        <v>[umc2n1Z4wNv]|01-09|Female|NEW_INFECTIONS_SUBNAT.T_1|CY2024Q3</v>
      </c>
    </row>
    <row r="4512" spans="4:18" x14ac:dyDescent="0.2">
      <c r="D4512" t="s">
        <v>108</v>
      </c>
      <c r="E4512" t="s">
        <v>109</v>
      </c>
      <c r="F4512" t="s">
        <v>110</v>
      </c>
      <c r="G4512" t="s">
        <v>203</v>
      </c>
      <c r="H4512" t="s">
        <v>203</v>
      </c>
      <c r="I4512" t="s">
        <v>36</v>
      </c>
      <c r="J4512" t="s">
        <v>37</v>
      </c>
      <c r="K4512" t="s">
        <v>30</v>
      </c>
      <c r="L4512" t="s">
        <v>31</v>
      </c>
      <c r="M4512" t="s">
        <v>140</v>
      </c>
      <c r="N4512">
        <v>0</v>
      </c>
      <c r="O4512">
        <v>0</v>
      </c>
      <c r="P4512">
        <v>4.3916999999999998E-2</v>
      </c>
      <c r="Q4512" t="str">
        <f t="shared" si="140"/>
        <v>10-14</v>
      </c>
      <c r="R4512" t="str">
        <f t="shared" si="141"/>
        <v>[umc2n1Z4wNv]|10-14|Female|NEW_INFECTIONS_SUBNAT.T_1|CY2024Q3</v>
      </c>
    </row>
    <row r="4513" spans="4:18" x14ac:dyDescent="0.2">
      <c r="D4513" t="s">
        <v>108</v>
      </c>
      <c r="E4513" t="s">
        <v>109</v>
      </c>
      <c r="F4513" t="s">
        <v>110</v>
      </c>
      <c r="G4513" t="s">
        <v>203</v>
      </c>
      <c r="H4513" t="s">
        <v>203</v>
      </c>
      <c r="I4513" t="s">
        <v>38</v>
      </c>
      <c r="J4513" t="s">
        <v>39</v>
      </c>
      <c r="K4513" t="s">
        <v>30</v>
      </c>
      <c r="L4513" t="s">
        <v>31</v>
      </c>
      <c r="M4513" t="s">
        <v>140</v>
      </c>
      <c r="N4513">
        <v>181</v>
      </c>
      <c r="O4513">
        <v>4.8586606999999997E-2</v>
      </c>
      <c r="P4513">
        <v>4.3916999999999998E-2</v>
      </c>
      <c r="Q4513" t="str">
        <f t="shared" si="140"/>
        <v>15-24</v>
      </c>
      <c r="R4513" t="str">
        <f t="shared" si="141"/>
        <v>[umc2n1Z4wNv]|15-24|Female|NEW_INFECTIONS_SUBNAT.T_1|CY2024Q3</v>
      </c>
    </row>
    <row r="4514" spans="4:18" x14ac:dyDescent="0.2">
      <c r="D4514" t="s">
        <v>108</v>
      </c>
      <c r="E4514" t="s">
        <v>109</v>
      </c>
      <c r="F4514" t="s">
        <v>110</v>
      </c>
      <c r="G4514" t="s">
        <v>203</v>
      </c>
      <c r="H4514" t="s">
        <v>203</v>
      </c>
      <c r="I4514" t="s">
        <v>41</v>
      </c>
      <c r="J4514" t="s">
        <v>42</v>
      </c>
      <c r="K4514" t="s">
        <v>30</v>
      </c>
      <c r="L4514" t="s">
        <v>31</v>
      </c>
      <c r="M4514" t="s">
        <v>140</v>
      </c>
      <c r="N4514">
        <v>172</v>
      </c>
      <c r="O4514">
        <v>4.4429493E-2</v>
      </c>
      <c r="P4514">
        <v>4.3916999999999998E-2</v>
      </c>
      <c r="Q4514" t="str">
        <f t="shared" si="140"/>
        <v>25-34</v>
      </c>
      <c r="R4514" t="str">
        <f t="shared" si="141"/>
        <v>[umc2n1Z4wNv]|25-34|Female|NEW_INFECTIONS_SUBNAT.T_1|CY2024Q3</v>
      </c>
    </row>
    <row r="4515" spans="4:18" x14ac:dyDescent="0.2">
      <c r="D4515" t="s">
        <v>108</v>
      </c>
      <c r="E4515" t="s">
        <v>109</v>
      </c>
      <c r="F4515" t="s">
        <v>110</v>
      </c>
      <c r="G4515" t="s">
        <v>203</v>
      </c>
      <c r="H4515" t="s">
        <v>203</v>
      </c>
      <c r="I4515" t="s">
        <v>43</v>
      </c>
      <c r="J4515" t="s">
        <v>44</v>
      </c>
      <c r="K4515" t="s">
        <v>30</v>
      </c>
      <c r="L4515" t="s">
        <v>31</v>
      </c>
      <c r="M4515" t="s">
        <v>140</v>
      </c>
      <c r="N4515">
        <v>82</v>
      </c>
      <c r="O4515">
        <v>3.5351382000000001E-2</v>
      </c>
      <c r="P4515">
        <v>4.3916999999999998E-2</v>
      </c>
      <c r="Q4515" t="str">
        <f t="shared" si="140"/>
        <v>35-49</v>
      </c>
      <c r="R4515" t="str">
        <f t="shared" si="141"/>
        <v>[umc2n1Z4wNv]|35-49|Female|NEW_INFECTIONS_SUBNAT.T_1|CY2024Q3</v>
      </c>
    </row>
    <row r="4516" spans="4:18" x14ac:dyDescent="0.2">
      <c r="D4516" t="s">
        <v>108</v>
      </c>
      <c r="E4516" t="s">
        <v>109</v>
      </c>
      <c r="F4516" t="s">
        <v>110</v>
      </c>
      <c r="G4516" t="s">
        <v>203</v>
      </c>
      <c r="H4516" t="s">
        <v>203</v>
      </c>
      <c r="I4516" t="s">
        <v>45</v>
      </c>
      <c r="J4516" t="s">
        <v>46</v>
      </c>
      <c r="K4516" t="s">
        <v>30</v>
      </c>
      <c r="L4516" t="s">
        <v>31</v>
      </c>
      <c r="M4516" t="s">
        <v>140</v>
      </c>
      <c r="N4516">
        <v>15</v>
      </c>
      <c r="O4516">
        <v>4.1916119000000002E-2</v>
      </c>
      <c r="P4516">
        <v>4.3916999999999998E-2</v>
      </c>
      <c r="Q4516" t="str">
        <f t="shared" si="140"/>
        <v>50+</v>
      </c>
      <c r="R4516" t="str">
        <f t="shared" si="141"/>
        <v>[umc2n1Z4wNv]|50+|Female|NEW_INFECTIONS_SUBNAT.T_1|CY2024Q3</v>
      </c>
    </row>
    <row r="4517" spans="4:18" x14ac:dyDescent="0.2">
      <c r="D4517" t="s">
        <v>108</v>
      </c>
      <c r="E4517" t="s">
        <v>109</v>
      </c>
      <c r="F4517" t="s">
        <v>110</v>
      </c>
      <c r="G4517" t="s">
        <v>203</v>
      </c>
      <c r="H4517" t="s">
        <v>203</v>
      </c>
      <c r="I4517" t="s">
        <v>28</v>
      </c>
      <c r="J4517" t="s">
        <v>29</v>
      </c>
      <c r="K4517" t="s">
        <v>48</v>
      </c>
      <c r="L4517" t="s">
        <v>49</v>
      </c>
      <c r="M4517" t="s">
        <v>140</v>
      </c>
      <c r="N4517">
        <v>47</v>
      </c>
      <c r="O4517">
        <v>4.4524401999999998E-2</v>
      </c>
      <c r="P4517">
        <v>4.3916999999999998E-2</v>
      </c>
      <c r="Q4517" t="str">
        <f t="shared" si="140"/>
        <v>&lt;01</v>
      </c>
      <c r="R4517" t="str">
        <f t="shared" si="141"/>
        <v>[umc2n1Z4wNv]|&lt;01|Male|NEW_INFECTIONS_SUBNAT.T_1|CY2024Q3</v>
      </c>
    </row>
    <row r="4518" spans="4:18" x14ac:dyDescent="0.2">
      <c r="D4518" t="s">
        <v>108</v>
      </c>
      <c r="E4518" t="s">
        <v>109</v>
      </c>
      <c r="F4518" t="s">
        <v>110</v>
      </c>
      <c r="G4518" t="s">
        <v>203</v>
      </c>
      <c r="H4518" t="s">
        <v>203</v>
      </c>
      <c r="I4518" t="s">
        <v>33</v>
      </c>
      <c r="J4518" t="s">
        <v>34</v>
      </c>
      <c r="K4518" t="s">
        <v>48</v>
      </c>
      <c r="L4518" t="s">
        <v>49</v>
      </c>
      <c r="M4518" t="s">
        <v>140</v>
      </c>
      <c r="N4518">
        <v>12</v>
      </c>
      <c r="O4518">
        <v>2.2262200999999999E-2</v>
      </c>
      <c r="P4518">
        <v>4.3916999999999998E-2</v>
      </c>
      <c r="Q4518" t="str">
        <f t="shared" si="140"/>
        <v>01-09</v>
      </c>
      <c r="R4518" t="str">
        <f t="shared" si="141"/>
        <v>[umc2n1Z4wNv]|01-09|Male|NEW_INFECTIONS_SUBNAT.T_1|CY2024Q3</v>
      </c>
    </row>
    <row r="4519" spans="4:18" x14ac:dyDescent="0.2">
      <c r="D4519" t="s">
        <v>108</v>
      </c>
      <c r="E4519" t="s">
        <v>109</v>
      </c>
      <c r="F4519" t="s">
        <v>110</v>
      </c>
      <c r="G4519" t="s">
        <v>203</v>
      </c>
      <c r="H4519" t="s">
        <v>203</v>
      </c>
      <c r="I4519" t="s">
        <v>36</v>
      </c>
      <c r="J4519" t="s">
        <v>37</v>
      </c>
      <c r="K4519" t="s">
        <v>48</v>
      </c>
      <c r="L4519" t="s">
        <v>49</v>
      </c>
      <c r="M4519" t="s">
        <v>140</v>
      </c>
      <c r="N4519">
        <v>0</v>
      </c>
      <c r="O4519">
        <v>0</v>
      </c>
      <c r="P4519">
        <v>4.3916999999999998E-2</v>
      </c>
      <c r="Q4519" t="str">
        <f t="shared" si="140"/>
        <v>10-14</v>
      </c>
      <c r="R4519" t="str">
        <f t="shared" si="141"/>
        <v>[umc2n1Z4wNv]|10-14|Male|NEW_INFECTIONS_SUBNAT.T_1|CY2024Q3</v>
      </c>
    </row>
    <row r="4520" spans="4:18" x14ac:dyDescent="0.2">
      <c r="D4520" t="s">
        <v>108</v>
      </c>
      <c r="E4520" t="s">
        <v>109</v>
      </c>
      <c r="F4520" t="s">
        <v>110</v>
      </c>
      <c r="G4520" t="s">
        <v>203</v>
      </c>
      <c r="H4520" t="s">
        <v>203</v>
      </c>
      <c r="I4520" t="s">
        <v>38</v>
      </c>
      <c r="J4520" t="s">
        <v>39</v>
      </c>
      <c r="K4520" t="s">
        <v>48</v>
      </c>
      <c r="L4520" t="s">
        <v>49</v>
      </c>
      <c r="M4520" t="s">
        <v>140</v>
      </c>
      <c r="N4520">
        <v>31</v>
      </c>
      <c r="O4520">
        <v>4.9885769000000003E-2</v>
      </c>
      <c r="P4520">
        <v>4.3916999999999998E-2</v>
      </c>
      <c r="Q4520" t="str">
        <f t="shared" si="140"/>
        <v>15-24</v>
      </c>
      <c r="R4520" t="str">
        <f t="shared" si="141"/>
        <v>[umc2n1Z4wNv]|15-24|Male|NEW_INFECTIONS_SUBNAT.T_1|CY2024Q3</v>
      </c>
    </row>
    <row r="4521" spans="4:18" x14ac:dyDescent="0.2">
      <c r="D4521" t="s">
        <v>108</v>
      </c>
      <c r="E4521" t="s">
        <v>109</v>
      </c>
      <c r="F4521" t="s">
        <v>110</v>
      </c>
      <c r="G4521" t="s">
        <v>203</v>
      </c>
      <c r="H4521" t="s">
        <v>203</v>
      </c>
      <c r="I4521" t="s">
        <v>41</v>
      </c>
      <c r="J4521" t="s">
        <v>42</v>
      </c>
      <c r="K4521" t="s">
        <v>48</v>
      </c>
      <c r="L4521" t="s">
        <v>49</v>
      </c>
      <c r="M4521" t="s">
        <v>140</v>
      </c>
      <c r="N4521">
        <v>98</v>
      </c>
      <c r="O4521">
        <v>4.8303284000000002E-2</v>
      </c>
      <c r="P4521">
        <v>4.3916999999999998E-2</v>
      </c>
      <c r="Q4521" t="str">
        <f t="shared" si="140"/>
        <v>25-34</v>
      </c>
      <c r="R4521" t="str">
        <f t="shared" si="141"/>
        <v>[umc2n1Z4wNv]|25-34|Male|NEW_INFECTIONS_SUBNAT.T_1|CY2024Q3</v>
      </c>
    </row>
    <row r="4522" spans="4:18" x14ac:dyDescent="0.2">
      <c r="D4522" t="s">
        <v>108</v>
      </c>
      <c r="E4522" t="s">
        <v>109</v>
      </c>
      <c r="F4522" t="s">
        <v>110</v>
      </c>
      <c r="G4522" t="s">
        <v>203</v>
      </c>
      <c r="H4522" t="s">
        <v>203</v>
      </c>
      <c r="I4522" t="s">
        <v>43</v>
      </c>
      <c r="J4522" t="s">
        <v>44</v>
      </c>
      <c r="K4522" t="s">
        <v>48</v>
      </c>
      <c r="L4522" t="s">
        <v>49</v>
      </c>
      <c r="M4522" t="s">
        <v>140</v>
      </c>
      <c r="N4522">
        <v>92</v>
      </c>
      <c r="O4522">
        <v>4.2631501000000002E-2</v>
      </c>
      <c r="P4522">
        <v>4.3916999999999998E-2</v>
      </c>
      <c r="Q4522" t="str">
        <f t="shared" si="140"/>
        <v>35-49</v>
      </c>
      <c r="R4522" t="str">
        <f t="shared" si="141"/>
        <v>[umc2n1Z4wNv]|35-49|Male|NEW_INFECTIONS_SUBNAT.T_1|CY2024Q3</v>
      </c>
    </row>
    <row r="4523" spans="4:18" x14ac:dyDescent="0.2">
      <c r="D4523" t="s">
        <v>108</v>
      </c>
      <c r="E4523" t="s">
        <v>109</v>
      </c>
      <c r="F4523" t="s">
        <v>110</v>
      </c>
      <c r="G4523" t="s">
        <v>203</v>
      </c>
      <c r="H4523" t="s">
        <v>203</v>
      </c>
      <c r="I4523" t="s">
        <v>45</v>
      </c>
      <c r="J4523" t="s">
        <v>46</v>
      </c>
      <c r="K4523" t="s">
        <v>48</v>
      </c>
      <c r="L4523" t="s">
        <v>49</v>
      </c>
      <c r="M4523" t="s">
        <v>140</v>
      </c>
      <c r="N4523">
        <v>24</v>
      </c>
      <c r="O4523">
        <v>4.2151190999999998E-2</v>
      </c>
      <c r="P4523">
        <v>4.3916999999999998E-2</v>
      </c>
      <c r="Q4523" t="str">
        <f t="shared" si="140"/>
        <v>50+</v>
      </c>
      <c r="R4523" t="str">
        <f t="shared" si="141"/>
        <v>[umc2n1Z4wNv]|50+|Male|NEW_INFECTIONS_SUBNAT.T_1|CY2024Q3</v>
      </c>
    </row>
    <row r="4524" spans="4:18" x14ac:dyDescent="0.2">
      <c r="D4524" t="s">
        <v>111</v>
      </c>
      <c r="E4524" t="s">
        <v>112</v>
      </c>
      <c r="F4524" t="s">
        <v>113</v>
      </c>
      <c r="G4524" t="s">
        <v>203</v>
      </c>
      <c r="H4524" t="s">
        <v>203</v>
      </c>
      <c r="I4524" t="s">
        <v>28</v>
      </c>
      <c r="J4524" t="s">
        <v>29</v>
      </c>
      <c r="K4524" t="s">
        <v>30</v>
      </c>
      <c r="L4524" t="s">
        <v>31</v>
      </c>
      <c r="M4524" t="s">
        <v>140</v>
      </c>
      <c r="N4524">
        <v>32</v>
      </c>
      <c r="O4524">
        <v>4.1849127999999999E-2</v>
      </c>
      <c r="P4524">
        <v>4.1562654999999997E-2</v>
      </c>
      <c r="Q4524" t="str">
        <f t="shared" si="140"/>
        <v>&lt;01</v>
      </c>
      <c r="R4524" t="str">
        <f t="shared" si="141"/>
        <v>[AZyWpGzhcaA]|&lt;01|Female|NEW_INFECTIONS_SUBNAT.T_1|CY2024Q3</v>
      </c>
    </row>
    <row r="4525" spans="4:18" x14ac:dyDescent="0.2">
      <c r="D4525" t="s">
        <v>111</v>
      </c>
      <c r="E4525" t="s">
        <v>112</v>
      </c>
      <c r="F4525" t="s">
        <v>113</v>
      </c>
      <c r="G4525" t="s">
        <v>203</v>
      </c>
      <c r="H4525" t="s">
        <v>203</v>
      </c>
      <c r="I4525" t="s">
        <v>33</v>
      </c>
      <c r="J4525" t="s">
        <v>34</v>
      </c>
      <c r="K4525" t="s">
        <v>30</v>
      </c>
      <c r="L4525" t="s">
        <v>31</v>
      </c>
      <c r="M4525" t="s">
        <v>140</v>
      </c>
      <c r="N4525">
        <v>8</v>
      </c>
      <c r="O4525">
        <v>2.0924564E-2</v>
      </c>
      <c r="P4525">
        <v>4.1562654999999997E-2</v>
      </c>
      <c r="Q4525" t="str">
        <f t="shared" si="140"/>
        <v>01-09</v>
      </c>
      <c r="R4525" t="str">
        <f t="shared" si="141"/>
        <v>[AZyWpGzhcaA]|01-09|Female|NEW_INFECTIONS_SUBNAT.T_1|CY2024Q3</v>
      </c>
    </row>
    <row r="4526" spans="4:18" x14ac:dyDescent="0.2">
      <c r="D4526" t="s">
        <v>111</v>
      </c>
      <c r="E4526" t="s">
        <v>112</v>
      </c>
      <c r="F4526" t="s">
        <v>113</v>
      </c>
      <c r="G4526" t="s">
        <v>203</v>
      </c>
      <c r="H4526" t="s">
        <v>203</v>
      </c>
      <c r="I4526" t="s">
        <v>36</v>
      </c>
      <c r="J4526" t="s">
        <v>37</v>
      </c>
      <c r="K4526" t="s">
        <v>30</v>
      </c>
      <c r="L4526" t="s">
        <v>31</v>
      </c>
      <c r="M4526" t="s">
        <v>140</v>
      </c>
      <c r="N4526">
        <v>0</v>
      </c>
      <c r="O4526">
        <v>0</v>
      </c>
      <c r="P4526">
        <v>4.1562654999999997E-2</v>
      </c>
      <c r="Q4526" t="str">
        <f t="shared" si="140"/>
        <v>10-14</v>
      </c>
      <c r="R4526" t="str">
        <f t="shared" si="141"/>
        <v>[AZyWpGzhcaA]|10-14|Female|NEW_INFECTIONS_SUBNAT.T_1|CY2024Q3</v>
      </c>
    </row>
    <row r="4527" spans="4:18" x14ac:dyDescent="0.2">
      <c r="D4527" t="s">
        <v>111</v>
      </c>
      <c r="E4527" t="s">
        <v>112</v>
      </c>
      <c r="F4527" t="s">
        <v>113</v>
      </c>
      <c r="G4527" t="s">
        <v>203</v>
      </c>
      <c r="H4527" t="s">
        <v>203</v>
      </c>
      <c r="I4527" t="s">
        <v>38</v>
      </c>
      <c r="J4527" t="s">
        <v>39</v>
      </c>
      <c r="K4527" t="s">
        <v>30</v>
      </c>
      <c r="L4527" t="s">
        <v>31</v>
      </c>
      <c r="M4527" t="s">
        <v>140</v>
      </c>
      <c r="N4527">
        <v>110</v>
      </c>
      <c r="O4527">
        <v>4.6223743999999997E-2</v>
      </c>
      <c r="P4527">
        <v>4.1562654999999997E-2</v>
      </c>
      <c r="Q4527" t="str">
        <f t="shared" si="140"/>
        <v>15-24</v>
      </c>
      <c r="R4527" t="str">
        <f t="shared" si="141"/>
        <v>[AZyWpGzhcaA]|15-24|Female|NEW_INFECTIONS_SUBNAT.T_1|CY2024Q3</v>
      </c>
    </row>
    <row r="4528" spans="4:18" x14ac:dyDescent="0.2">
      <c r="D4528" t="s">
        <v>111</v>
      </c>
      <c r="E4528" t="s">
        <v>112</v>
      </c>
      <c r="F4528" t="s">
        <v>113</v>
      </c>
      <c r="G4528" t="s">
        <v>203</v>
      </c>
      <c r="H4528" t="s">
        <v>203</v>
      </c>
      <c r="I4528" t="s">
        <v>41</v>
      </c>
      <c r="J4528" t="s">
        <v>42</v>
      </c>
      <c r="K4528" t="s">
        <v>30</v>
      </c>
      <c r="L4528" t="s">
        <v>31</v>
      </c>
      <c r="M4528" t="s">
        <v>140</v>
      </c>
      <c r="N4528">
        <v>107</v>
      </c>
      <c r="O4528">
        <v>4.1637845E-2</v>
      </c>
      <c r="P4528">
        <v>4.1562654999999997E-2</v>
      </c>
      <c r="Q4528" t="str">
        <f t="shared" si="140"/>
        <v>25-34</v>
      </c>
      <c r="R4528" t="str">
        <f t="shared" si="141"/>
        <v>[AZyWpGzhcaA]|25-34|Female|NEW_INFECTIONS_SUBNAT.T_1|CY2024Q3</v>
      </c>
    </row>
    <row r="4529" spans="4:18" x14ac:dyDescent="0.2">
      <c r="D4529" t="s">
        <v>111</v>
      </c>
      <c r="E4529" t="s">
        <v>112</v>
      </c>
      <c r="F4529" t="s">
        <v>113</v>
      </c>
      <c r="G4529" t="s">
        <v>203</v>
      </c>
      <c r="H4529" t="s">
        <v>203</v>
      </c>
      <c r="I4529" t="s">
        <v>43</v>
      </c>
      <c r="J4529" t="s">
        <v>44</v>
      </c>
      <c r="K4529" t="s">
        <v>30</v>
      </c>
      <c r="L4529" t="s">
        <v>31</v>
      </c>
      <c r="M4529" t="s">
        <v>140</v>
      </c>
      <c r="N4529">
        <v>46</v>
      </c>
      <c r="O4529">
        <v>3.2990087000000001E-2</v>
      </c>
      <c r="P4529">
        <v>4.1562654999999997E-2</v>
      </c>
      <c r="Q4529" t="str">
        <f t="shared" si="140"/>
        <v>35-49</v>
      </c>
      <c r="R4529" t="str">
        <f t="shared" si="141"/>
        <v>[AZyWpGzhcaA]|35-49|Female|NEW_INFECTIONS_SUBNAT.T_1|CY2024Q3</v>
      </c>
    </row>
    <row r="4530" spans="4:18" x14ac:dyDescent="0.2">
      <c r="D4530" t="s">
        <v>111</v>
      </c>
      <c r="E4530" t="s">
        <v>112</v>
      </c>
      <c r="F4530" t="s">
        <v>113</v>
      </c>
      <c r="G4530" t="s">
        <v>203</v>
      </c>
      <c r="H4530" t="s">
        <v>203</v>
      </c>
      <c r="I4530" t="s">
        <v>45</v>
      </c>
      <c r="J4530" t="s">
        <v>46</v>
      </c>
      <c r="K4530" t="s">
        <v>30</v>
      </c>
      <c r="L4530" t="s">
        <v>31</v>
      </c>
      <c r="M4530" t="s">
        <v>140</v>
      </c>
      <c r="N4530">
        <v>8</v>
      </c>
      <c r="O4530">
        <v>3.9454495999999999E-2</v>
      </c>
      <c r="P4530">
        <v>4.1562654999999997E-2</v>
      </c>
      <c r="Q4530" t="str">
        <f t="shared" si="140"/>
        <v>50+</v>
      </c>
      <c r="R4530" t="str">
        <f t="shared" si="141"/>
        <v>[AZyWpGzhcaA]|50+|Female|NEW_INFECTIONS_SUBNAT.T_1|CY2024Q3</v>
      </c>
    </row>
    <row r="4531" spans="4:18" x14ac:dyDescent="0.2">
      <c r="D4531" t="s">
        <v>111</v>
      </c>
      <c r="E4531" t="s">
        <v>112</v>
      </c>
      <c r="F4531" t="s">
        <v>113</v>
      </c>
      <c r="G4531" t="s">
        <v>203</v>
      </c>
      <c r="H4531" t="s">
        <v>203</v>
      </c>
      <c r="I4531" t="s">
        <v>28</v>
      </c>
      <c r="J4531" t="s">
        <v>29</v>
      </c>
      <c r="K4531" t="s">
        <v>48</v>
      </c>
      <c r="L4531" t="s">
        <v>49</v>
      </c>
      <c r="M4531" t="s">
        <v>140</v>
      </c>
      <c r="N4531">
        <v>33</v>
      </c>
      <c r="O4531">
        <v>4.1849955000000001E-2</v>
      </c>
      <c r="P4531">
        <v>4.1562654999999997E-2</v>
      </c>
      <c r="Q4531" t="str">
        <f t="shared" si="140"/>
        <v>&lt;01</v>
      </c>
      <c r="R4531" t="str">
        <f t="shared" si="141"/>
        <v>[AZyWpGzhcaA]|&lt;01|Male|NEW_INFECTIONS_SUBNAT.T_1|CY2024Q3</v>
      </c>
    </row>
    <row r="4532" spans="4:18" x14ac:dyDescent="0.2">
      <c r="D4532" t="s">
        <v>111</v>
      </c>
      <c r="E4532" t="s">
        <v>112</v>
      </c>
      <c r="F4532" t="s">
        <v>113</v>
      </c>
      <c r="G4532" t="s">
        <v>203</v>
      </c>
      <c r="H4532" t="s">
        <v>203</v>
      </c>
      <c r="I4532" t="s">
        <v>33</v>
      </c>
      <c r="J4532" t="s">
        <v>34</v>
      </c>
      <c r="K4532" t="s">
        <v>48</v>
      </c>
      <c r="L4532" t="s">
        <v>49</v>
      </c>
      <c r="M4532" t="s">
        <v>140</v>
      </c>
      <c r="N4532">
        <v>8</v>
      </c>
      <c r="O4532">
        <v>2.0924977000000001E-2</v>
      </c>
      <c r="P4532">
        <v>4.1562654999999997E-2</v>
      </c>
      <c r="Q4532" t="str">
        <f t="shared" si="140"/>
        <v>01-09</v>
      </c>
      <c r="R4532" t="str">
        <f t="shared" si="141"/>
        <v>[AZyWpGzhcaA]|01-09|Male|NEW_INFECTIONS_SUBNAT.T_1|CY2024Q3</v>
      </c>
    </row>
    <row r="4533" spans="4:18" x14ac:dyDescent="0.2">
      <c r="D4533" t="s">
        <v>111</v>
      </c>
      <c r="E4533" t="s">
        <v>112</v>
      </c>
      <c r="F4533" t="s">
        <v>113</v>
      </c>
      <c r="G4533" t="s">
        <v>203</v>
      </c>
      <c r="H4533" t="s">
        <v>203</v>
      </c>
      <c r="I4533" t="s">
        <v>36</v>
      </c>
      <c r="J4533" t="s">
        <v>37</v>
      </c>
      <c r="K4533" t="s">
        <v>48</v>
      </c>
      <c r="L4533" t="s">
        <v>49</v>
      </c>
      <c r="M4533" t="s">
        <v>140</v>
      </c>
      <c r="N4533">
        <v>0</v>
      </c>
      <c r="O4533">
        <v>0</v>
      </c>
      <c r="P4533">
        <v>4.1562654999999997E-2</v>
      </c>
      <c r="Q4533" t="str">
        <f t="shared" si="140"/>
        <v>10-14</v>
      </c>
      <c r="R4533" t="str">
        <f t="shared" si="141"/>
        <v>[AZyWpGzhcaA]|10-14|Male|NEW_INFECTIONS_SUBNAT.T_1|CY2024Q3</v>
      </c>
    </row>
    <row r="4534" spans="4:18" x14ac:dyDescent="0.2">
      <c r="D4534" t="s">
        <v>111</v>
      </c>
      <c r="E4534" t="s">
        <v>112</v>
      </c>
      <c r="F4534" t="s">
        <v>113</v>
      </c>
      <c r="G4534" t="s">
        <v>203</v>
      </c>
      <c r="H4534" t="s">
        <v>203</v>
      </c>
      <c r="I4534" t="s">
        <v>38</v>
      </c>
      <c r="J4534" t="s">
        <v>39</v>
      </c>
      <c r="K4534" t="s">
        <v>48</v>
      </c>
      <c r="L4534" t="s">
        <v>49</v>
      </c>
      <c r="M4534" t="s">
        <v>140</v>
      </c>
      <c r="N4534">
        <v>20</v>
      </c>
      <c r="O4534">
        <v>4.7209451999999999E-2</v>
      </c>
      <c r="P4534">
        <v>4.1562654999999997E-2</v>
      </c>
      <c r="Q4534" t="str">
        <f t="shared" si="140"/>
        <v>15-24</v>
      </c>
      <c r="R4534" t="str">
        <f t="shared" si="141"/>
        <v>[AZyWpGzhcaA]|15-24|Male|NEW_INFECTIONS_SUBNAT.T_1|CY2024Q3</v>
      </c>
    </row>
    <row r="4535" spans="4:18" x14ac:dyDescent="0.2">
      <c r="D4535" t="s">
        <v>111</v>
      </c>
      <c r="E4535" t="s">
        <v>112</v>
      </c>
      <c r="F4535" t="s">
        <v>113</v>
      </c>
      <c r="G4535" t="s">
        <v>203</v>
      </c>
      <c r="H4535" t="s">
        <v>203</v>
      </c>
      <c r="I4535" t="s">
        <v>41</v>
      </c>
      <c r="J4535" t="s">
        <v>42</v>
      </c>
      <c r="K4535" t="s">
        <v>48</v>
      </c>
      <c r="L4535" t="s">
        <v>49</v>
      </c>
      <c r="M4535" t="s">
        <v>140</v>
      </c>
      <c r="N4535">
        <v>64</v>
      </c>
      <c r="O4535">
        <v>4.5697098999999998E-2</v>
      </c>
      <c r="P4535">
        <v>4.1562654999999997E-2</v>
      </c>
      <c r="Q4535" t="str">
        <f t="shared" si="140"/>
        <v>25-34</v>
      </c>
      <c r="R4535" t="str">
        <f t="shared" si="141"/>
        <v>[AZyWpGzhcaA]|25-34|Male|NEW_INFECTIONS_SUBNAT.T_1|CY2024Q3</v>
      </c>
    </row>
    <row r="4536" spans="4:18" x14ac:dyDescent="0.2">
      <c r="D4536" t="s">
        <v>111</v>
      </c>
      <c r="E4536" t="s">
        <v>112</v>
      </c>
      <c r="F4536" t="s">
        <v>113</v>
      </c>
      <c r="G4536" t="s">
        <v>203</v>
      </c>
      <c r="H4536" t="s">
        <v>203</v>
      </c>
      <c r="I4536" t="s">
        <v>43</v>
      </c>
      <c r="J4536" t="s">
        <v>44</v>
      </c>
      <c r="K4536" t="s">
        <v>48</v>
      </c>
      <c r="L4536" t="s">
        <v>49</v>
      </c>
      <c r="M4536" t="s">
        <v>140</v>
      </c>
      <c r="N4536">
        <v>56</v>
      </c>
      <c r="O4536">
        <v>3.9939550999999997E-2</v>
      </c>
      <c r="P4536">
        <v>4.1562654999999997E-2</v>
      </c>
      <c r="Q4536" t="str">
        <f t="shared" si="140"/>
        <v>35-49</v>
      </c>
      <c r="R4536" t="str">
        <f t="shared" si="141"/>
        <v>[AZyWpGzhcaA]|35-49|Male|NEW_INFECTIONS_SUBNAT.T_1|CY2024Q3</v>
      </c>
    </row>
    <row r="4537" spans="4:18" x14ac:dyDescent="0.2">
      <c r="D4537" t="s">
        <v>111</v>
      </c>
      <c r="E4537" t="s">
        <v>112</v>
      </c>
      <c r="F4537" t="s">
        <v>113</v>
      </c>
      <c r="G4537" t="s">
        <v>203</v>
      </c>
      <c r="H4537" t="s">
        <v>203</v>
      </c>
      <c r="I4537" t="s">
        <v>45</v>
      </c>
      <c r="J4537" t="s">
        <v>46</v>
      </c>
      <c r="K4537" t="s">
        <v>48</v>
      </c>
      <c r="L4537" t="s">
        <v>49</v>
      </c>
      <c r="M4537" t="s">
        <v>140</v>
      </c>
      <c r="N4537">
        <v>15</v>
      </c>
      <c r="O4537">
        <v>4.1397888000000001E-2</v>
      </c>
      <c r="P4537">
        <v>4.1562654999999997E-2</v>
      </c>
      <c r="Q4537" t="str">
        <f t="shared" si="140"/>
        <v>50+</v>
      </c>
      <c r="R4537" t="str">
        <f t="shared" si="141"/>
        <v>[AZyWpGzhcaA]|50+|Male|NEW_INFECTIONS_SUBNAT.T_1|CY2024Q3</v>
      </c>
    </row>
    <row r="4538" spans="4:18" x14ac:dyDescent="0.2">
      <c r="D4538" t="s">
        <v>114</v>
      </c>
      <c r="E4538" t="s">
        <v>115</v>
      </c>
      <c r="F4538" t="s">
        <v>116</v>
      </c>
      <c r="G4538" t="s">
        <v>203</v>
      </c>
      <c r="H4538" t="s">
        <v>203</v>
      </c>
      <c r="I4538" t="s">
        <v>28</v>
      </c>
      <c r="J4538" t="s">
        <v>29</v>
      </c>
      <c r="K4538" t="s">
        <v>30</v>
      </c>
      <c r="L4538" t="s">
        <v>31</v>
      </c>
      <c r="M4538" t="s">
        <v>140</v>
      </c>
      <c r="N4538">
        <v>26</v>
      </c>
      <c r="O4538">
        <v>6.7770805000000003E-2</v>
      </c>
      <c r="P4538">
        <v>6.9429941999999994E-2</v>
      </c>
      <c r="Q4538" t="str">
        <f t="shared" si="140"/>
        <v>&lt;01</v>
      </c>
      <c r="R4538" t="str">
        <f t="shared" si="141"/>
        <v>[ir8wuHHzoSs]|&lt;01|Female|NEW_INFECTIONS_SUBNAT.T_1|CY2024Q3</v>
      </c>
    </row>
    <row r="4539" spans="4:18" x14ac:dyDescent="0.2">
      <c r="D4539" t="s">
        <v>114</v>
      </c>
      <c r="E4539" t="s">
        <v>115</v>
      </c>
      <c r="F4539" t="s">
        <v>116</v>
      </c>
      <c r="G4539" t="s">
        <v>203</v>
      </c>
      <c r="H4539" t="s">
        <v>203</v>
      </c>
      <c r="I4539" t="s">
        <v>33</v>
      </c>
      <c r="J4539" t="s">
        <v>34</v>
      </c>
      <c r="K4539" t="s">
        <v>30</v>
      </c>
      <c r="L4539" t="s">
        <v>31</v>
      </c>
      <c r="M4539" t="s">
        <v>140</v>
      </c>
      <c r="N4539">
        <v>7</v>
      </c>
      <c r="O4539">
        <v>3.3885402000000002E-2</v>
      </c>
      <c r="P4539">
        <v>6.9429941999999994E-2</v>
      </c>
      <c r="Q4539" t="str">
        <f t="shared" si="140"/>
        <v>01-09</v>
      </c>
      <c r="R4539" t="str">
        <f t="shared" si="141"/>
        <v>[ir8wuHHzoSs]|01-09|Female|NEW_INFECTIONS_SUBNAT.T_1|CY2024Q3</v>
      </c>
    </row>
    <row r="4540" spans="4:18" x14ac:dyDescent="0.2">
      <c r="D4540" t="s">
        <v>114</v>
      </c>
      <c r="E4540" t="s">
        <v>115</v>
      </c>
      <c r="F4540" t="s">
        <v>116</v>
      </c>
      <c r="G4540" t="s">
        <v>203</v>
      </c>
      <c r="H4540" t="s">
        <v>203</v>
      </c>
      <c r="I4540" t="s">
        <v>36</v>
      </c>
      <c r="J4540" t="s">
        <v>37</v>
      </c>
      <c r="K4540" t="s">
        <v>30</v>
      </c>
      <c r="L4540" t="s">
        <v>31</v>
      </c>
      <c r="M4540" t="s">
        <v>140</v>
      </c>
      <c r="N4540">
        <v>0</v>
      </c>
      <c r="O4540">
        <v>0</v>
      </c>
      <c r="P4540">
        <v>6.9429941999999994E-2</v>
      </c>
      <c r="Q4540" t="str">
        <f t="shared" si="140"/>
        <v>10-14</v>
      </c>
      <c r="R4540" t="str">
        <f t="shared" si="141"/>
        <v>[ir8wuHHzoSs]|10-14|Female|NEW_INFECTIONS_SUBNAT.T_1|CY2024Q3</v>
      </c>
    </row>
    <row r="4541" spans="4:18" x14ac:dyDescent="0.2">
      <c r="D4541" t="s">
        <v>114</v>
      </c>
      <c r="E4541" t="s">
        <v>115</v>
      </c>
      <c r="F4541" t="s">
        <v>116</v>
      </c>
      <c r="G4541" t="s">
        <v>203</v>
      </c>
      <c r="H4541" t="s">
        <v>203</v>
      </c>
      <c r="I4541" t="s">
        <v>38</v>
      </c>
      <c r="J4541" t="s">
        <v>39</v>
      </c>
      <c r="K4541" t="s">
        <v>30</v>
      </c>
      <c r="L4541" t="s">
        <v>31</v>
      </c>
      <c r="M4541" t="s">
        <v>140</v>
      </c>
      <c r="N4541">
        <v>93</v>
      </c>
      <c r="O4541">
        <v>7.5745980000000004E-2</v>
      </c>
      <c r="P4541">
        <v>6.9429941999999994E-2</v>
      </c>
      <c r="Q4541" t="str">
        <f t="shared" si="140"/>
        <v>15-24</v>
      </c>
      <c r="R4541" t="str">
        <f t="shared" si="141"/>
        <v>[ir8wuHHzoSs]|15-24|Female|NEW_INFECTIONS_SUBNAT.T_1|CY2024Q3</v>
      </c>
    </row>
    <row r="4542" spans="4:18" x14ac:dyDescent="0.2">
      <c r="D4542" t="s">
        <v>114</v>
      </c>
      <c r="E4542" t="s">
        <v>115</v>
      </c>
      <c r="F4542" t="s">
        <v>116</v>
      </c>
      <c r="G4542" t="s">
        <v>203</v>
      </c>
      <c r="H4542" t="s">
        <v>203</v>
      </c>
      <c r="I4542" t="s">
        <v>41</v>
      </c>
      <c r="J4542" t="s">
        <v>42</v>
      </c>
      <c r="K4542" t="s">
        <v>30</v>
      </c>
      <c r="L4542" t="s">
        <v>31</v>
      </c>
      <c r="M4542" t="s">
        <v>140</v>
      </c>
      <c r="N4542">
        <v>88</v>
      </c>
      <c r="O4542">
        <v>7.0516973999999996E-2</v>
      </c>
      <c r="P4542">
        <v>6.9429941999999994E-2</v>
      </c>
      <c r="Q4542" t="str">
        <f t="shared" si="140"/>
        <v>25-34</v>
      </c>
      <c r="R4542" t="str">
        <f t="shared" si="141"/>
        <v>[ir8wuHHzoSs]|25-34|Female|NEW_INFECTIONS_SUBNAT.T_1|CY2024Q3</v>
      </c>
    </row>
    <row r="4543" spans="4:18" x14ac:dyDescent="0.2">
      <c r="D4543" t="s">
        <v>114</v>
      </c>
      <c r="E4543" t="s">
        <v>115</v>
      </c>
      <c r="F4543" t="s">
        <v>116</v>
      </c>
      <c r="G4543" t="s">
        <v>203</v>
      </c>
      <c r="H4543" t="s">
        <v>203</v>
      </c>
      <c r="I4543" t="s">
        <v>43</v>
      </c>
      <c r="J4543" t="s">
        <v>44</v>
      </c>
      <c r="K4543" t="s">
        <v>30</v>
      </c>
      <c r="L4543" t="s">
        <v>31</v>
      </c>
      <c r="M4543" t="s">
        <v>140</v>
      </c>
      <c r="N4543">
        <v>43</v>
      </c>
      <c r="O4543">
        <v>6.0469734999999997E-2</v>
      </c>
      <c r="P4543">
        <v>6.9429941999999994E-2</v>
      </c>
      <c r="Q4543" t="str">
        <f t="shared" si="140"/>
        <v>35-49</v>
      </c>
      <c r="R4543" t="str">
        <f t="shared" si="141"/>
        <v>[ir8wuHHzoSs]|35-49|Female|NEW_INFECTIONS_SUBNAT.T_1|CY2024Q3</v>
      </c>
    </row>
    <row r="4544" spans="4:18" x14ac:dyDescent="0.2">
      <c r="D4544" t="s">
        <v>114</v>
      </c>
      <c r="E4544" t="s">
        <v>115</v>
      </c>
      <c r="F4544" t="s">
        <v>116</v>
      </c>
      <c r="G4544" t="s">
        <v>203</v>
      </c>
      <c r="H4544" t="s">
        <v>203</v>
      </c>
      <c r="I4544" t="s">
        <v>45</v>
      </c>
      <c r="J4544" t="s">
        <v>46</v>
      </c>
      <c r="K4544" t="s">
        <v>30</v>
      </c>
      <c r="L4544" t="s">
        <v>31</v>
      </c>
      <c r="M4544" t="s">
        <v>140</v>
      </c>
      <c r="N4544">
        <v>8</v>
      </c>
      <c r="O4544">
        <v>6.4212222999999999E-2</v>
      </c>
      <c r="P4544">
        <v>6.9429941999999994E-2</v>
      </c>
      <c r="Q4544" t="str">
        <f t="shared" si="140"/>
        <v>50+</v>
      </c>
      <c r="R4544" t="str">
        <f t="shared" si="141"/>
        <v>[ir8wuHHzoSs]|50+|Female|NEW_INFECTIONS_SUBNAT.T_1|CY2024Q3</v>
      </c>
    </row>
    <row r="4545" spans="4:18" x14ac:dyDescent="0.2">
      <c r="D4545" t="s">
        <v>114</v>
      </c>
      <c r="E4545" t="s">
        <v>115</v>
      </c>
      <c r="F4545" t="s">
        <v>116</v>
      </c>
      <c r="G4545" t="s">
        <v>203</v>
      </c>
      <c r="H4545" t="s">
        <v>203</v>
      </c>
      <c r="I4545" t="s">
        <v>28</v>
      </c>
      <c r="J4545" t="s">
        <v>29</v>
      </c>
      <c r="K4545" t="s">
        <v>48</v>
      </c>
      <c r="L4545" t="s">
        <v>49</v>
      </c>
      <c r="M4545" t="s">
        <v>140</v>
      </c>
      <c r="N4545">
        <v>27</v>
      </c>
      <c r="O4545">
        <v>6.7770704000000001E-2</v>
      </c>
      <c r="P4545">
        <v>6.9429941999999994E-2</v>
      </c>
      <c r="Q4545" t="str">
        <f t="shared" si="140"/>
        <v>&lt;01</v>
      </c>
      <c r="R4545" t="str">
        <f t="shared" si="141"/>
        <v>[ir8wuHHzoSs]|&lt;01|Male|NEW_INFECTIONS_SUBNAT.T_1|CY2024Q3</v>
      </c>
    </row>
    <row r="4546" spans="4:18" x14ac:dyDescent="0.2">
      <c r="D4546" t="s">
        <v>114</v>
      </c>
      <c r="E4546" t="s">
        <v>115</v>
      </c>
      <c r="F4546" t="s">
        <v>116</v>
      </c>
      <c r="G4546" t="s">
        <v>203</v>
      </c>
      <c r="H4546" t="s">
        <v>203</v>
      </c>
      <c r="I4546" t="s">
        <v>33</v>
      </c>
      <c r="J4546" t="s">
        <v>34</v>
      </c>
      <c r="K4546" t="s">
        <v>48</v>
      </c>
      <c r="L4546" t="s">
        <v>49</v>
      </c>
      <c r="M4546" t="s">
        <v>140</v>
      </c>
      <c r="N4546">
        <v>7</v>
      </c>
      <c r="O4546">
        <v>3.3885352000000001E-2</v>
      </c>
      <c r="P4546">
        <v>6.9429941999999994E-2</v>
      </c>
      <c r="Q4546" t="str">
        <f t="shared" si="140"/>
        <v>01-09</v>
      </c>
      <c r="R4546" t="str">
        <f t="shared" si="141"/>
        <v>[ir8wuHHzoSs]|01-09|Male|NEW_INFECTIONS_SUBNAT.T_1|CY2024Q3</v>
      </c>
    </row>
    <row r="4547" spans="4:18" x14ac:dyDescent="0.2">
      <c r="D4547" t="s">
        <v>114</v>
      </c>
      <c r="E4547" t="s">
        <v>115</v>
      </c>
      <c r="F4547" t="s">
        <v>116</v>
      </c>
      <c r="G4547" t="s">
        <v>203</v>
      </c>
      <c r="H4547" t="s">
        <v>203</v>
      </c>
      <c r="I4547" t="s">
        <v>36</v>
      </c>
      <c r="J4547" t="s">
        <v>37</v>
      </c>
      <c r="K4547" t="s">
        <v>48</v>
      </c>
      <c r="L4547" t="s">
        <v>49</v>
      </c>
      <c r="M4547" t="s">
        <v>140</v>
      </c>
      <c r="N4547">
        <v>0</v>
      </c>
      <c r="O4547">
        <v>0</v>
      </c>
      <c r="P4547">
        <v>6.9429941999999994E-2</v>
      </c>
      <c r="Q4547" t="str">
        <f t="shared" ref="Q4547:Q4610" si="142">SUBSTITUTE(SUBSTITUTE($I4547,CHAR(61),""),CHAR(34),"")</f>
        <v>10-14</v>
      </c>
      <c r="R4547" t="str">
        <f t="shared" ref="R4547:R4610" si="143">IF($D4547&lt;&gt;"","["&amp;$E4547&amp;"]"&amp;"|"&amp;$Q4547&amp;"|"&amp;$K4547&amp;"|"&amp;$G4547&amp;"|"&amp;IF($G4547="TX_CURR_SUBNAT.R","CY2023Q4",$M4547),"")</f>
        <v>[ir8wuHHzoSs]|10-14|Male|NEW_INFECTIONS_SUBNAT.T_1|CY2024Q3</v>
      </c>
    </row>
    <row r="4548" spans="4:18" x14ac:dyDescent="0.2">
      <c r="D4548" t="s">
        <v>114</v>
      </c>
      <c r="E4548" t="s">
        <v>115</v>
      </c>
      <c r="F4548" t="s">
        <v>116</v>
      </c>
      <c r="G4548" t="s">
        <v>203</v>
      </c>
      <c r="H4548" t="s">
        <v>203</v>
      </c>
      <c r="I4548" t="s">
        <v>38</v>
      </c>
      <c r="J4548" t="s">
        <v>39</v>
      </c>
      <c r="K4548" t="s">
        <v>48</v>
      </c>
      <c r="L4548" t="s">
        <v>49</v>
      </c>
      <c r="M4548" t="s">
        <v>140</v>
      </c>
      <c r="N4548">
        <v>15</v>
      </c>
      <c r="O4548">
        <v>7.6997357000000002E-2</v>
      </c>
      <c r="P4548">
        <v>6.9429941999999994E-2</v>
      </c>
      <c r="Q4548" t="str">
        <f t="shared" si="142"/>
        <v>15-24</v>
      </c>
      <c r="R4548" t="str">
        <f t="shared" si="143"/>
        <v>[ir8wuHHzoSs]|15-24|Male|NEW_INFECTIONS_SUBNAT.T_1|CY2024Q3</v>
      </c>
    </row>
    <row r="4549" spans="4:18" x14ac:dyDescent="0.2">
      <c r="D4549" t="s">
        <v>114</v>
      </c>
      <c r="E4549" t="s">
        <v>115</v>
      </c>
      <c r="F4549" t="s">
        <v>116</v>
      </c>
      <c r="G4549" t="s">
        <v>203</v>
      </c>
      <c r="H4549" t="s">
        <v>203</v>
      </c>
      <c r="I4549" t="s">
        <v>41</v>
      </c>
      <c r="J4549" t="s">
        <v>42</v>
      </c>
      <c r="K4549" t="s">
        <v>48</v>
      </c>
      <c r="L4549" t="s">
        <v>49</v>
      </c>
      <c r="M4549" t="s">
        <v>140</v>
      </c>
      <c r="N4549">
        <v>47</v>
      </c>
      <c r="O4549">
        <v>7.5472644000000005E-2</v>
      </c>
      <c r="P4549">
        <v>6.9429941999999994E-2</v>
      </c>
      <c r="Q4549" t="str">
        <f t="shared" si="142"/>
        <v>25-34</v>
      </c>
      <c r="R4549" t="str">
        <f t="shared" si="143"/>
        <v>[ir8wuHHzoSs]|25-34|Male|NEW_INFECTIONS_SUBNAT.T_1|CY2024Q3</v>
      </c>
    </row>
    <row r="4550" spans="4:18" x14ac:dyDescent="0.2">
      <c r="D4550" t="s">
        <v>114</v>
      </c>
      <c r="E4550" t="s">
        <v>115</v>
      </c>
      <c r="F4550" t="s">
        <v>116</v>
      </c>
      <c r="G4550" t="s">
        <v>203</v>
      </c>
      <c r="H4550" t="s">
        <v>203</v>
      </c>
      <c r="I4550" t="s">
        <v>43</v>
      </c>
      <c r="J4550" t="s">
        <v>44</v>
      </c>
      <c r="K4550" t="s">
        <v>48</v>
      </c>
      <c r="L4550" t="s">
        <v>49</v>
      </c>
      <c r="M4550" t="s">
        <v>140</v>
      </c>
      <c r="N4550">
        <v>47</v>
      </c>
      <c r="O4550">
        <v>6.8960885E-2</v>
      </c>
      <c r="P4550">
        <v>6.9429941999999994E-2</v>
      </c>
      <c r="Q4550" t="str">
        <f t="shared" si="142"/>
        <v>35-49</v>
      </c>
      <c r="R4550" t="str">
        <f t="shared" si="143"/>
        <v>[ir8wuHHzoSs]|35-49|Male|NEW_INFECTIONS_SUBNAT.T_1|CY2024Q3</v>
      </c>
    </row>
    <row r="4551" spans="4:18" x14ac:dyDescent="0.2">
      <c r="D4551" t="s">
        <v>114</v>
      </c>
      <c r="E4551" t="s">
        <v>115</v>
      </c>
      <c r="F4551" t="s">
        <v>116</v>
      </c>
      <c r="G4551" t="s">
        <v>203</v>
      </c>
      <c r="H4551" t="s">
        <v>203</v>
      </c>
      <c r="I4551" t="s">
        <v>45</v>
      </c>
      <c r="J4551" t="s">
        <v>46</v>
      </c>
      <c r="K4551" t="s">
        <v>48</v>
      </c>
      <c r="L4551" t="s">
        <v>49</v>
      </c>
      <c r="M4551" t="s">
        <v>140</v>
      </c>
      <c r="N4551">
        <v>14</v>
      </c>
      <c r="O4551">
        <v>6.6369757000000001E-2</v>
      </c>
      <c r="P4551">
        <v>6.9429941999999994E-2</v>
      </c>
      <c r="Q4551" t="str">
        <f t="shared" si="142"/>
        <v>50+</v>
      </c>
      <c r="R4551" t="str">
        <f t="shared" si="143"/>
        <v>[ir8wuHHzoSs]|50+|Male|NEW_INFECTIONS_SUBNAT.T_1|CY2024Q3</v>
      </c>
    </row>
    <row r="4552" spans="4:18" x14ac:dyDescent="0.2">
      <c r="D4552" t="s">
        <v>117</v>
      </c>
      <c r="E4552" t="s">
        <v>118</v>
      </c>
      <c r="F4552" t="s">
        <v>119</v>
      </c>
      <c r="G4552" t="s">
        <v>203</v>
      </c>
      <c r="H4552" t="s">
        <v>203</v>
      </c>
      <c r="I4552" t="s">
        <v>28</v>
      </c>
      <c r="J4552" t="s">
        <v>29</v>
      </c>
      <c r="K4552" t="s">
        <v>30</v>
      </c>
      <c r="L4552" t="s">
        <v>31</v>
      </c>
      <c r="M4552" t="s">
        <v>140</v>
      </c>
      <c r="N4552">
        <v>24</v>
      </c>
      <c r="O4552">
        <v>5.4260365999999997E-2</v>
      </c>
      <c r="P4552">
        <v>5.4493677999999997E-2</v>
      </c>
      <c r="Q4552" t="str">
        <f t="shared" si="142"/>
        <v>&lt;01</v>
      </c>
      <c r="R4552" t="str">
        <f t="shared" si="143"/>
        <v>[oiPR2CiVJbf]|&lt;01|Female|NEW_INFECTIONS_SUBNAT.T_1|CY2024Q3</v>
      </c>
    </row>
    <row r="4553" spans="4:18" x14ac:dyDescent="0.2">
      <c r="D4553" t="s">
        <v>117</v>
      </c>
      <c r="E4553" t="s">
        <v>118</v>
      </c>
      <c r="F4553" t="s">
        <v>119</v>
      </c>
      <c r="G4553" t="s">
        <v>203</v>
      </c>
      <c r="H4553" t="s">
        <v>203</v>
      </c>
      <c r="I4553" t="s">
        <v>33</v>
      </c>
      <c r="J4553" t="s">
        <v>34</v>
      </c>
      <c r="K4553" t="s">
        <v>30</v>
      </c>
      <c r="L4553" t="s">
        <v>31</v>
      </c>
      <c r="M4553" t="s">
        <v>140</v>
      </c>
      <c r="N4553">
        <v>6</v>
      </c>
      <c r="O4553">
        <v>2.7130182999999999E-2</v>
      </c>
      <c r="P4553">
        <v>5.4493677999999997E-2</v>
      </c>
      <c r="Q4553" t="str">
        <f t="shared" si="142"/>
        <v>01-09</v>
      </c>
      <c r="R4553" t="str">
        <f t="shared" si="143"/>
        <v>[oiPR2CiVJbf]|01-09|Female|NEW_INFECTIONS_SUBNAT.T_1|CY2024Q3</v>
      </c>
    </row>
    <row r="4554" spans="4:18" x14ac:dyDescent="0.2">
      <c r="D4554" t="s">
        <v>117</v>
      </c>
      <c r="E4554" t="s">
        <v>118</v>
      </c>
      <c r="F4554" t="s">
        <v>119</v>
      </c>
      <c r="G4554" t="s">
        <v>203</v>
      </c>
      <c r="H4554" t="s">
        <v>203</v>
      </c>
      <c r="I4554" t="s">
        <v>36</v>
      </c>
      <c r="J4554" t="s">
        <v>37</v>
      </c>
      <c r="K4554" t="s">
        <v>30</v>
      </c>
      <c r="L4554" t="s">
        <v>31</v>
      </c>
      <c r="M4554" t="s">
        <v>140</v>
      </c>
      <c r="N4554">
        <v>0</v>
      </c>
      <c r="O4554">
        <v>0</v>
      </c>
      <c r="P4554">
        <v>5.4493677999999997E-2</v>
      </c>
      <c r="Q4554" t="str">
        <f t="shared" si="142"/>
        <v>10-14</v>
      </c>
      <c r="R4554" t="str">
        <f t="shared" si="143"/>
        <v>[oiPR2CiVJbf]|10-14|Female|NEW_INFECTIONS_SUBNAT.T_1|CY2024Q3</v>
      </c>
    </row>
    <row r="4555" spans="4:18" x14ac:dyDescent="0.2">
      <c r="D4555" t="s">
        <v>117</v>
      </c>
      <c r="E4555" t="s">
        <v>118</v>
      </c>
      <c r="F4555" t="s">
        <v>119</v>
      </c>
      <c r="G4555" t="s">
        <v>203</v>
      </c>
      <c r="H4555" t="s">
        <v>203</v>
      </c>
      <c r="I4555" t="s">
        <v>38</v>
      </c>
      <c r="J4555" t="s">
        <v>39</v>
      </c>
      <c r="K4555" t="s">
        <v>30</v>
      </c>
      <c r="L4555" t="s">
        <v>31</v>
      </c>
      <c r="M4555" t="s">
        <v>140</v>
      </c>
      <c r="N4555">
        <v>109</v>
      </c>
      <c r="O4555">
        <v>6.2056064000000001E-2</v>
      </c>
      <c r="P4555">
        <v>5.4493677999999997E-2</v>
      </c>
      <c r="Q4555" t="str">
        <f t="shared" si="142"/>
        <v>15-24</v>
      </c>
      <c r="R4555" t="str">
        <f t="shared" si="143"/>
        <v>[oiPR2CiVJbf]|15-24|Female|NEW_INFECTIONS_SUBNAT.T_1|CY2024Q3</v>
      </c>
    </row>
    <row r="4556" spans="4:18" x14ac:dyDescent="0.2">
      <c r="D4556" t="s">
        <v>117</v>
      </c>
      <c r="E4556" t="s">
        <v>118</v>
      </c>
      <c r="F4556" t="s">
        <v>119</v>
      </c>
      <c r="G4556" t="s">
        <v>203</v>
      </c>
      <c r="H4556" t="s">
        <v>203</v>
      </c>
      <c r="I4556" t="s">
        <v>41</v>
      </c>
      <c r="J4556" t="s">
        <v>42</v>
      </c>
      <c r="K4556" t="s">
        <v>30</v>
      </c>
      <c r="L4556" t="s">
        <v>31</v>
      </c>
      <c r="M4556" t="s">
        <v>140</v>
      </c>
      <c r="N4556">
        <v>103</v>
      </c>
      <c r="O4556">
        <v>5.5821519999999999E-2</v>
      </c>
      <c r="P4556">
        <v>5.4493677999999997E-2</v>
      </c>
      <c r="Q4556" t="str">
        <f t="shared" si="142"/>
        <v>25-34</v>
      </c>
      <c r="R4556" t="str">
        <f t="shared" si="143"/>
        <v>[oiPR2CiVJbf]|25-34|Female|NEW_INFECTIONS_SUBNAT.T_1|CY2024Q3</v>
      </c>
    </row>
    <row r="4557" spans="4:18" x14ac:dyDescent="0.2">
      <c r="D4557" t="s">
        <v>117</v>
      </c>
      <c r="E4557" t="s">
        <v>118</v>
      </c>
      <c r="F4557" t="s">
        <v>119</v>
      </c>
      <c r="G4557" t="s">
        <v>203</v>
      </c>
      <c r="H4557" t="s">
        <v>203</v>
      </c>
      <c r="I4557" t="s">
        <v>43</v>
      </c>
      <c r="J4557" t="s">
        <v>44</v>
      </c>
      <c r="K4557" t="s">
        <v>30</v>
      </c>
      <c r="L4557" t="s">
        <v>31</v>
      </c>
      <c r="M4557" t="s">
        <v>140</v>
      </c>
      <c r="N4557">
        <v>51</v>
      </c>
      <c r="O4557">
        <v>4.5256492000000002E-2</v>
      </c>
      <c r="P4557">
        <v>5.4493677999999997E-2</v>
      </c>
      <c r="Q4557" t="str">
        <f t="shared" si="142"/>
        <v>35-49</v>
      </c>
      <c r="R4557" t="str">
        <f t="shared" si="143"/>
        <v>[oiPR2CiVJbf]|35-49|Female|NEW_INFECTIONS_SUBNAT.T_1|CY2024Q3</v>
      </c>
    </row>
    <row r="4558" spans="4:18" x14ac:dyDescent="0.2">
      <c r="D4558" t="s">
        <v>117</v>
      </c>
      <c r="E4558" t="s">
        <v>118</v>
      </c>
      <c r="F4558" t="s">
        <v>119</v>
      </c>
      <c r="G4558" t="s">
        <v>203</v>
      </c>
      <c r="H4558" t="s">
        <v>203</v>
      </c>
      <c r="I4558" t="s">
        <v>45</v>
      </c>
      <c r="J4558" t="s">
        <v>46</v>
      </c>
      <c r="K4558" t="s">
        <v>30</v>
      </c>
      <c r="L4558" t="s">
        <v>31</v>
      </c>
      <c r="M4558" t="s">
        <v>140</v>
      </c>
      <c r="N4558">
        <v>10</v>
      </c>
      <c r="O4558">
        <v>5.0991195000000003E-2</v>
      </c>
      <c r="P4558">
        <v>5.4493677999999997E-2</v>
      </c>
      <c r="Q4558" t="str">
        <f t="shared" si="142"/>
        <v>50+</v>
      </c>
      <c r="R4558" t="str">
        <f t="shared" si="143"/>
        <v>[oiPR2CiVJbf]|50+|Female|NEW_INFECTIONS_SUBNAT.T_1|CY2024Q3</v>
      </c>
    </row>
    <row r="4559" spans="4:18" x14ac:dyDescent="0.2">
      <c r="D4559" t="s">
        <v>117</v>
      </c>
      <c r="E4559" t="s">
        <v>118</v>
      </c>
      <c r="F4559" t="s">
        <v>119</v>
      </c>
      <c r="G4559" t="s">
        <v>203</v>
      </c>
      <c r="H4559" t="s">
        <v>203</v>
      </c>
      <c r="I4559" t="s">
        <v>28</v>
      </c>
      <c r="J4559" t="s">
        <v>29</v>
      </c>
      <c r="K4559" t="s">
        <v>48</v>
      </c>
      <c r="L4559" t="s">
        <v>49</v>
      </c>
      <c r="M4559" t="s">
        <v>140</v>
      </c>
      <c r="N4559">
        <v>25</v>
      </c>
      <c r="O4559">
        <v>5.4264716999999997E-2</v>
      </c>
      <c r="P4559">
        <v>5.4493677999999997E-2</v>
      </c>
      <c r="Q4559" t="str">
        <f t="shared" si="142"/>
        <v>&lt;01</v>
      </c>
      <c r="R4559" t="str">
        <f t="shared" si="143"/>
        <v>[oiPR2CiVJbf]|&lt;01|Male|NEW_INFECTIONS_SUBNAT.T_1|CY2024Q3</v>
      </c>
    </row>
    <row r="4560" spans="4:18" x14ac:dyDescent="0.2">
      <c r="D4560" t="s">
        <v>117</v>
      </c>
      <c r="E4560" t="s">
        <v>118</v>
      </c>
      <c r="F4560" t="s">
        <v>119</v>
      </c>
      <c r="G4560" t="s">
        <v>203</v>
      </c>
      <c r="H4560" t="s">
        <v>203</v>
      </c>
      <c r="I4560" t="s">
        <v>33</v>
      </c>
      <c r="J4560" t="s">
        <v>34</v>
      </c>
      <c r="K4560" t="s">
        <v>48</v>
      </c>
      <c r="L4560" t="s">
        <v>49</v>
      </c>
      <c r="M4560" t="s">
        <v>140</v>
      </c>
      <c r="N4560">
        <v>6</v>
      </c>
      <c r="O4560">
        <v>2.7132359000000002E-2</v>
      </c>
      <c r="P4560">
        <v>5.4493677999999997E-2</v>
      </c>
      <c r="Q4560" t="str">
        <f t="shared" si="142"/>
        <v>01-09</v>
      </c>
      <c r="R4560" t="str">
        <f t="shared" si="143"/>
        <v>[oiPR2CiVJbf]|01-09|Male|NEW_INFECTIONS_SUBNAT.T_1|CY2024Q3</v>
      </c>
    </row>
    <row r="4561" spans="4:18" x14ac:dyDescent="0.2">
      <c r="D4561" t="s">
        <v>117</v>
      </c>
      <c r="E4561" t="s">
        <v>118</v>
      </c>
      <c r="F4561" t="s">
        <v>119</v>
      </c>
      <c r="G4561" t="s">
        <v>203</v>
      </c>
      <c r="H4561" t="s">
        <v>203</v>
      </c>
      <c r="I4561" t="s">
        <v>36</v>
      </c>
      <c r="J4561" t="s">
        <v>37</v>
      </c>
      <c r="K4561" t="s">
        <v>48</v>
      </c>
      <c r="L4561" t="s">
        <v>49</v>
      </c>
      <c r="M4561" t="s">
        <v>140</v>
      </c>
      <c r="N4561">
        <v>0</v>
      </c>
      <c r="O4561">
        <v>0</v>
      </c>
      <c r="P4561">
        <v>5.4493677999999997E-2</v>
      </c>
      <c r="Q4561" t="str">
        <f t="shared" si="142"/>
        <v>10-14</v>
      </c>
      <c r="R4561" t="str">
        <f t="shared" si="143"/>
        <v>[oiPR2CiVJbf]|10-14|Male|NEW_INFECTIONS_SUBNAT.T_1|CY2024Q3</v>
      </c>
    </row>
    <row r="4562" spans="4:18" x14ac:dyDescent="0.2">
      <c r="D4562" t="s">
        <v>117</v>
      </c>
      <c r="E4562" t="s">
        <v>118</v>
      </c>
      <c r="F4562" t="s">
        <v>119</v>
      </c>
      <c r="G4562" t="s">
        <v>203</v>
      </c>
      <c r="H4562" t="s">
        <v>203</v>
      </c>
      <c r="I4562" t="s">
        <v>38</v>
      </c>
      <c r="J4562" t="s">
        <v>39</v>
      </c>
      <c r="K4562" t="s">
        <v>48</v>
      </c>
      <c r="L4562" t="s">
        <v>49</v>
      </c>
      <c r="M4562" t="s">
        <v>140</v>
      </c>
      <c r="N4562">
        <v>19</v>
      </c>
      <c r="O4562">
        <v>6.3760742999999995E-2</v>
      </c>
      <c r="P4562">
        <v>5.4493677999999997E-2</v>
      </c>
      <c r="Q4562" t="str">
        <f t="shared" si="142"/>
        <v>15-24</v>
      </c>
      <c r="R4562" t="str">
        <f t="shared" si="143"/>
        <v>[oiPR2CiVJbf]|15-24|Male|NEW_INFECTIONS_SUBNAT.T_1|CY2024Q3</v>
      </c>
    </row>
    <row r="4563" spans="4:18" x14ac:dyDescent="0.2">
      <c r="D4563" t="s">
        <v>117</v>
      </c>
      <c r="E4563" t="s">
        <v>118</v>
      </c>
      <c r="F4563" t="s">
        <v>119</v>
      </c>
      <c r="G4563" t="s">
        <v>203</v>
      </c>
      <c r="H4563" t="s">
        <v>203</v>
      </c>
      <c r="I4563" t="s">
        <v>41</v>
      </c>
      <c r="J4563" t="s">
        <v>42</v>
      </c>
      <c r="K4563" t="s">
        <v>48</v>
      </c>
      <c r="L4563" t="s">
        <v>49</v>
      </c>
      <c r="M4563" t="s">
        <v>140</v>
      </c>
      <c r="N4563">
        <v>61</v>
      </c>
      <c r="O4563">
        <v>6.0901108000000002E-2</v>
      </c>
      <c r="P4563">
        <v>5.4493677999999997E-2</v>
      </c>
      <c r="Q4563" t="str">
        <f t="shared" si="142"/>
        <v>25-34</v>
      </c>
      <c r="R4563" t="str">
        <f t="shared" si="143"/>
        <v>[oiPR2CiVJbf]|25-34|Male|NEW_INFECTIONS_SUBNAT.T_1|CY2024Q3</v>
      </c>
    </row>
    <row r="4564" spans="4:18" x14ac:dyDescent="0.2">
      <c r="D4564" t="s">
        <v>117</v>
      </c>
      <c r="E4564" t="s">
        <v>118</v>
      </c>
      <c r="F4564" t="s">
        <v>119</v>
      </c>
      <c r="G4564" t="s">
        <v>203</v>
      </c>
      <c r="H4564" t="s">
        <v>203</v>
      </c>
      <c r="I4564" t="s">
        <v>43</v>
      </c>
      <c r="J4564" t="s">
        <v>44</v>
      </c>
      <c r="K4564" t="s">
        <v>48</v>
      </c>
      <c r="L4564" t="s">
        <v>49</v>
      </c>
      <c r="M4564" t="s">
        <v>140</v>
      </c>
      <c r="N4564">
        <v>55</v>
      </c>
      <c r="O4564">
        <v>5.1670319999999999E-2</v>
      </c>
      <c r="P4564">
        <v>5.4493677999999997E-2</v>
      </c>
      <c r="Q4564" t="str">
        <f t="shared" si="142"/>
        <v>35-49</v>
      </c>
      <c r="R4564" t="str">
        <f t="shared" si="143"/>
        <v>[oiPR2CiVJbf]|35-49|Male|NEW_INFECTIONS_SUBNAT.T_1|CY2024Q3</v>
      </c>
    </row>
    <row r="4565" spans="4:18" x14ac:dyDescent="0.2">
      <c r="D4565" t="s">
        <v>117</v>
      </c>
      <c r="E4565" t="s">
        <v>118</v>
      </c>
      <c r="F4565" t="s">
        <v>119</v>
      </c>
      <c r="G4565" t="s">
        <v>203</v>
      </c>
      <c r="H4565" t="s">
        <v>203</v>
      </c>
      <c r="I4565" t="s">
        <v>45</v>
      </c>
      <c r="J4565" t="s">
        <v>46</v>
      </c>
      <c r="K4565" t="s">
        <v>48</v>
      </c>
      <c r="L4565" t="s">
        <v>49</v>
      </c>
      <c r="M4565" t="s">
        <v>140</v>
      </c>
      <c r="N4565">
        <v>15</v>
      </c>
      <c r="O4565">
        <v>5.2087715E-2</v>
      </c>
      <c r="P4565">
        <v>5.4493677999999997E-2</v>
      </c>
      <c r="Q4565" t="str">
        <f t="shared" si="142"/>
        <v>50+</v>
      </c>
      <c r="R4565" t="str">
        <f t="shared" si="143"/>
        <v>[oiPR2CiVJbf]|50+|Male|NEW_INFECTIONS_SUBNAT.T_1|CY2024Q3</v>
      </c>
    </row>
    <row r="4566" spans="4:18" x14ac:dyDescent="0.2">
      <c r="D4566" t="s">
        <v>120</v>
      </c>
      <c r="E4566" t="s">
        <v>121</v>
      </c>
      <c r="F4566" t="s">
        <v>122</v>
      </c>
      <c r="G4566" t="s">
        <v>203</v>
      </c>
      <c r="H4566" t="s">
        <v>203</v>
      </c>
      <c r="I4566" t="s">
        <v>28</v>
      </c>
      <c r="J4566" t="s">
        <v>29</v>
      </c>
      <c r="K4566" t="s">
        <v>30</v>
      </c>
      <c r="L4566" t="s">
        <v>31</v>
      </c>
      <c r="M4566" t="s">
        <v>140</v>
      </c>
      <c r="N4566">
        <v>74</v>
      </c>
      <c r="O4566">
        <v>3.1171910000000001E-2</v>
      </c>
      <c r="P4566">
        <v>4.3925964999999997E-2</v>
      </c>
      <c r="Q4566" t="str">
        <f t="shared" si="142"/>
        <v>&lt;01</v>
      </c>
      <c r="R4566" t="str">
        <f t="shared" si="143"/>
        <v>[mxqa3CDFmIT]|&lt;01|Female|NEW_INFECTIONS_SUBNAT.T_1|CY2024Q3</v>
      </c>
    </row>
    <row r="4567" spans="4:18" x14ac:dyDescent="0.2">
      <c r="D4567" t="s">
        <v>120</v>
      </c>
      <c r="E4567" t="s">
        <v>121</v>
      </c>
      <c r="F4567" t="s">
        <v>122</v>
      </c>
      <c r="G4567" t="s">
        <v>203</v>
      </c>
      <c r="H4567" t="s">
        <v>203</v>
      </c>
      <c r="I4567" t="s">
        <v>33</v>
      </c>
      <c r="J4567" t="s">
        <v>34</v>
      </c>
      <c r="K4567" t="s">
        <v>30</v>
      </c>
      <c r="L4567" t="s">
        <v>31</v>
      </c>
      <c r="M4567" t="s">
        <v>140</v>
      </c>
      <c r="N4567">
        <v>19</v>
      </c>
      <c r="O4567">
        <v>1.5585955E-2</v>
      </c>
      <c r="P4567">
        <v>4.3925964999999997E-2</v>
      </c>
      <c r="Q4567" t="str">
        <f t="shared" si="142"/>
        <v>01-09</v>
      </c>
      <c r="R4567" t="str">
        <f t="shared" si="143"/>
        <v>[mxqa3CDFmIT]|01-09|Female|NEW_INFECTIONS_SUBNAT.T_1|CY2024Q3</v>
      </c>
    </row>
    <row r="4568" spans="4:18" x14ac:dyDescent="0.2">
      <c r="D4568" t="s">
        <v>120</v>
      </c>
      <c r="E4568" t="s">
        <v>121</v>
      </c>
      <c r="F4568" t="s">
        <v>122</v>
      </c>
      <c r="G4568" t="s">
        <v>203</v>
      </c>
      <c r="H4568" t="s">
        <v>203</v>
      </c>
      <c r="I4568" t="s">
        <v>36</v>
      </c>
      <c r="J4568" t="s">
        <v>37</v>
      </c>
      <c r="K4568" t="s">
        <v>30</v>
      </c>
      <c r="L4568" t="s">
        <v>31</v>
      </c>
      <c r="M4568" t="s">
        <v>140</v>
      </c>
      <c r="N4568">
        <v>0</v>
      </c>
      <c r="O4568">
        <v>0</v>
      </c>
      <c r="P4568">
        <v>4.3925964999999997E-2</v>
      </c>
      <c r="Q4568" t="str">
        <f t="shared" si="142"/>
        <v>10-14</v>
      </c>
      <c r="R4568" t="str">
        <f t="shared" si="143"/>
        <v>[mxqa3CDFmIT]|10-14|Female|NEW_INFECTIONS_SUBNAT.T_1|CY2024Q3</v>
      </c>
    </row>
    <row r="4569" spans="4:18" x14ac:dyDescent="0.2">
      <c r="D4569" t="s">
        <v>120</v>
      </c>
      <c r="E4569" t="s">
        <v>121</v>
      </c>
      <c r="F4569" t="s">
        <v>122</v>
      </c>
      <c r="G4569" t="s">
        <v>203</v>
      </c>
      <c r="H4569" t="s">
        <v>203</v>
      </c>
      <c r="I4569" t="s">
        <v>38</v>
      </c>
      <c r="J4569" t="s">
        <v>39</v>
      </c>
      <c r="K4569" t="s">
        <v>30</v>
      </c>
      <c r="L4569" t="s">
        <v>31</v>
      </c>
      <c r="M4569" t="s">
        <v>140</v>
      </c>
      <c r="N4569">
        <v>401</v>
      </c>
      <c r="O4569">
        <v>5.0020316000000002E-2</v>
      </c>
      <c r="P4569">
        <v>4.3925964999999997E-2</v>
      </c>
      <c r="Q4569" t="str">
        <f t="shared" si="142"/>
        <v>15-24</v>
      </c>
      <c r="R4569" t="str">
        <f t="shared" si="143"/>
        <v>[mxqa3CDFmIT]|15-24|Female|NEW_INFECTIONS_SUBNAT.T_1|CY2024Q3</v>
      </c>
    </row>
    <row r="4570" spans="4:18" x14ac:dyDescent="0.2">
      <c r="D4570" t="s">
        <v>120</v>
      </c>
      <c r="E4570" t="s">
        <v>121</v>
      </c>
      <c r="F4570" t="s">
        <v>122</v>
      </c>
      <c r="G4570" t="s">
        <v>203</v>
      </c>
      <c r="H4570" t="s">
        <v>203</v>
      </c>
      <c r="I4570" t="s">
        <v>41</v>
      </c>
      <c r="J4570" t="s">
        <v>42</v>
      </c>
      <c r="K4570" t="s">
        <v>30</v>
      </c>
      <c r="L4570" t="s">
        <v>31</v>
      </c>
      <c r="M4570" t="s">
        <v>140</v>
      </c>
      <c r="N4570">
        <v>404</v>
      </c>
      <c r="O4570">
        <v>4.6922947999999999E-2</v>
      </c>
      <c r="P4570">
        <v>4.3925964999999997E-2</v>
      </c>
      <c r="Q4570" t="str">
        <f t="shared" si="142"/>
        <v>25-34</v>
      </c>
      <c r="R4570" t="str">
        <f t="shared" si="143"/>
        <v>[mxqa3CDFmIT]|25-34|Female|NEW_INFECTIONS_SUBNAT.T_1|CY2024Q3</v>
      </c>
    </row>
    <row r="4571" spans="4:18" x14ac:dyDescent="0.2">
      <c r="D4571" t="s">
        <v>120</v>
      </c>
      <c r="E4571" t="s">
        <v>121</v>
      </c>
      <c r="F4571" t="s">
        <v>122</v>
      </c>
      <c r="G4571" t="s">
        <v>203</v>
      </c>
      <c r="H4571" t="s">
        <v>203</v>
      </c>
      <c r="I4571" t="s">
        <v>43</v>
      </c>
      <c r="J4571" t="s">
        <v>44</v>
      </c>
      <c r="K4571" t="s">
        <v>30</v>
      </c>
      <c r="L4571" t="s">
        <v>31</v>
      </c>
      <c r="M4571" t="s">
        <v>140</v>
      </c>
      <c r="N4571">
        <v>158</v>
      </c>
      <c r="O4571">
        <v>4.2156796000000003E-2</v>
      </c>
      <c r="P4571">
        <v>4.3925964999999997E-2</v>
      </c>
      <c r="Q4571" t="str">
        <f t="shared" si="142"/>
        <v>35-49</v>
      </c>
      <c r="R4571" t="str">
        <f t="shared" si="143"/>
        <v>[mxqa3CDFmIT]|35-49|Female|NEW_INFECTIONS_SUBNAT.T_1|CY2024Q3</v>
      </c>
    </row>
    <row r="4572" spans="4:18" x14ac:dyDescent="0.2">
      <c r="D4572" t="s">
        <v>120</v>
      </c>
      <c r="E4572" t="s">
        <v>121</v>
      </c>
      <c r="F4572" t="s">
        <v>122</v>
      </c>
      <c r="G4572" t="s">
        <v>203</v>
      </c>
      <c r="H4572" t="s">
        <v>203</v>
      </c>
      <c r="I4572" t="s">
        <v>45</v>
      </c>
      <c r="J4572" t="s">
        <v>46</v>
      </c>
      <c r="K4572" t="s">
        <v>30</v>
      </c>
      <c r="L4572" t="s">
        <v>31</v>
      </c>
      <c r="M4572" t="s">
        <v>140</v>
      </c>
      <c r="N4572">
        <v>19</v>
      </c>
      <c r="O4572">
        <v>4.8966890999999999E-2</v>
      </c>
      <c r="P4572">
        <v>4.3925964999999997E-2</v>
      </c>
      <c r="Q4572" t="str">
        <f t="shared" si="142"/>
        <v>50+</v>
      </c>
      <c r="R4572" t="str">
        <f t="shared" si="143"/>
        <v>[mxqa3CDFmIT]|50+|Female|NEW_INFECTIONS_SUBNAT.T_1|CY2024Q3</v>
      </c>
    </row>
    <row r="4573" spans="4:18" x14ac:dyDescent="0.2">
      <c r="D4573" t="s">
        <v>120</v>
      </c>
      <c r="E4573" t="s">
        <v>121</v>
      </c>
      <c r="F4573" t="s">
        <v>122</v>
      </c>
      <c r="G4573" t="s">
        <v>203</v>
      </c>
      <c r="H4573" t="s">
        <v>203</v>
      </c>
      <c r="I4573" t="s">
        <v>28</v>
      </c>
      <c r="J4573" t="s">
        <v>29</v>
      </c>
      <c r="K4573" t="s">
        <v>48</v>
      </c>
      <c r="L4573" t="s">
        <v>49</v>
      </c>
      <c r="M4573" t="s">
        <v>140</v>
      </c>
      <c r="N4573">
        <v>74</v>
      </c>
      <c r="O4573">
        <v>3.1171781999999999E-2</v>
      </c>
      <c r="P4573">
        <v>4.3925964999999997E-2</v>
      </c>
      <c r="Q4573" t="str">
        <f t="shared" si="142"/>
        <v>&lt;01</v>
      </c>
      <c r="R4573" t="str">
        <f t="shared" si="143"/>
        <v>[mxqa3CDFmIT]|&lt;01|Male|NEW_INFECTIONS_SUBNAT.T_1|CY2024Q3</v>
      </c>
    </row>
    <row r="4574" spans="4:18" x14ac:dyDescent="0.2">
      <c r="D4574" t="s">
        <v>120</v>
      </c>
      <c r="E4574" t="s">
        <v>121</v>
      </c>
      <c r="F4574" t="s">
        <v>122</v>
      </c>
      <c r="G4574" t="s">
        <v>203</v>
      </c>
      <c r="H4574" t="s">
        <v>203</v>
      </c>
      <c r="I4574" t="s">
        <v>33</v>
      </c>
      <c r="J4574" t="s">
        <v>34</v>
      </c>
      <c r="K4574" t="s">
        <v>48</v>
      </c>
      <c r="L4574" t="s">
        <v>49</v>
      </c>
      <c r="M4574" t="s">
        <v>140</v>
      </c>
      <c r="N4574">
        <v>19</v>
      </c>
      <c r="O4574">
        <v>1.5585890999999999E-2</v>
      </c>
      <c r="P4574">
        <v>4.3925964999999997E-2</v>
      </c>
      <c r="Q4574" t="str">
        <f t="shared" si="142"/>
        <v>01-09</v>
      </c>
      <c r="R4574" t="str">
        <f t="shared" si="143"/>
        <v>[mxqa3CDFmIT]|01-09|Male|NEW_INFECTIONS_SUBNAT.T_1|CY2024Q3</v>
      </c>
    </row>
    <row r="4575" spans="4:18" x14ac:dyDescent="0.2">
      <c r="D4575" t="s">
        <v>120</v>
      </c>
      <c r="E4575" t="s">
        <v>121</v>
      </c>
      <c r="F4575" t="s">
        <v>122</v>
      </c>
      <c r="G4575" t="s">
        <v>203</v>
      </c>
      <c r="H4575" t="s">
        <v>203</v>
      </c>
      <c r="I4575" t="s">
        <v>36</v>
      </c>
      <c r="J4575" t="s">
        <v>37</v>
      </c>
      <c r="K4575" t="s">
        <v>48</v>
      </c>
      <c r="L4575" t="s">
        <v>49</v>
      </c>
      <c r="M4575" t="s">
        <v>140</v>
      </c>
      <c r="N4575">
        <v>0</v>
      </c>
      <c r="O4575">
        <v>0</v>
      </c>
      <c r="P4575">
        <v>4.3925964999999997E-2</v>
      </c>
      <c r="Q4575" t="str">
        <f t="shared" si="142"/>
        <v>10-14</v>
      </c>
      <c r="R4575" t="str">
        <f t="shared" si="143"/>
        <v>[mxqa3CDFmIT]|10-14|Male|NEW_INFECTIONS_SUBNAT.T_1|CY2024Q3</v>
      </c>
    </row>
    <row r="4576" spans="4:18" x14ac:dyDescent="0.2">
      <c r="D4576" t="s">
        <v>120</v>
      </c>
      <c r="E4576" t="s">
        <v>121</v>
      </c>
      <c r="F4576" t="s">
        <v>122</v>
      </c>
      <c r="G4576" t="s">
        <v>203</v>
      </c>
      <c r="H4576" t="s">
        <v>203</v>
      </c>
      <c r="I4576" t="s">
        <v>38</v>
      </c>
      <c r="J4576" t="s">
        <v>39</v>
      </c>
      <c r="K4576" t="s">
        <v>48</v>
      </c>
      <c r="L4576" t="s">
        <v>49</v>
      </c>
      <c r="M4576" t="s">
        <v>140</v>
      </c>
      <c r="N4576">
        <v>73</v>
      </c>
      <c r="O4576">
        <v>5.0829283000000003E-2</v>
      </c>
      <c r="P4576">
        <v>4.3925964999999997E-2</v>
      </c>
      <c r="Q4576" t="str">
        <f t="shared" si="142"/>
        <v>15-24</v>
      </c>
      <c r="R4576" t="str">
        <f t="shared" si="143"/>
        <v>[mxqa3CDFmIT]|15-24|Male|NEW_INFECTIONS_SUBNAT.T_1|CY2024Q3</v>
      </c>
    </row>
    <row r="4577" spans="4:18" x14ac:dyDescent="0.2">
      <c r="D4577" t="s">
        <v>120</v>
      </c>
      <c r="E4577" t="s">
        <v>121</v>
      </c>
      <c r="F4577" t="s">
        <v>122</v>
      </c>
      <c r="G4577" t="s">
        <v>203</v>
      </c>
      <c r="H4577" t="s">
        <v>203</v>
      </c>
      <c r="I4577" t="s">
        <v>41</v>
      </c>
      <c r="J4577" t="s">
        <v>42</v>
      </c>
      <c r="K4577" t="s">
        <v>48</v>
      </c>
      <c r="L4577" t="s">
        <v>49</v>
      </c>
      <c r="M4577" t="s">
        <v>140</v>
      </c>
      <c r="N4577">
        <v>258</v>
      </c>
      <c r="O4577">
        <v>4.9476538E-2</v>
      </c>
      <c r="P4577">
        <v>4.3925964999999997E-2</v>
      </c>
      <c r="Q4577" t="str">
        <f t="shared" si="142"/>
        <v>25-34</v>
      </c>
      <c r="R4577" t="str">
        <f t="shared" si="143"/>
        <v>[mxqa3CDFmIT]|25-34|Male|NEW_INFECTIONS_SUBNAT.T_1|CY2024Q3</v>
      </c>
    </row>
    <row r="4578" spans="4:18" x14ac:dyDescent="0.2">
      <c r="D4578" t="s">
        <v>120</v>
      </c>
      <c r="E4578" t="s">
        <v>121</v>
      </c>
      <c r="F4578" t="s">
        <v>122</v>
      </c>
      <c r="G4578" t="s">
        <v>203</v>
      </c>
      <c r="H4578" t="s">
        <v>203</v>
      </c>
      <c r="I4578" t="s">
        <v>43</v>
      </c>
      <c r="J4578" t="s">
        <v>44</v>
      </c>
      <c r="K4578" t="s">
        <v>48</v>
      </c>
      <c r="L4578" t="s">
        <v>49</v>
      </c>
      <c r="M4578" t="s">
        <v>140</v>
      </c>
      <c r="N4578">
        <v>223</v>
      </c>
      <c r="O4578">
        <v>4.4514515999999997E-2</v>
      </c>
      <c r="P4578">
        <v>4.3925964999999997E-2</v>
      </c>
      <c r="Q4578" t="str">
        <f t="shared" si="142"/>
        <v>35-49</v>
      </c>
      <c r="R4578" t="str">
        <f t="shared" si="143"/>
        <v>[mxqa3CDFmIT]|35-49|Male|NEW_INFECTIONS_SUBNAT.T_1|CY2024Q3</v>
      </c>
    </row>
    <row r="4579" spans="4:18" x14ac:dyDescent="0.2">
      <c r="D4579" t="s">
        <v>120</v>
      </c>
      <c r="E4579" t="s">
        <v>121</v>
      </c>
      <c r="F4579" t="s">
        <v>122</v>
      </c>
      <c r="G4579" t="s">
        <v>203</v>
      </c>
      <c r="H4579" t="s">
        <v>203</v>
      </c>
      <c r="I4579" t="s">
        <v>45</v>
      </c>
      <c r="J4579" t="s">
        <v>46</v>
      </c>
      <c r="K4579" t="s">
        <v>48</v>
      </c>
      <c r="L4579" t="s">
        <v>49</v>
      </c>
      <c r="M4579" t="s">
        <v>140</v>
      </c>
      <c r="N4579">
        <v>43</v>
      </c>
      <c r="O4579">
        <v>4.7953409000000002E-2</v>
      </c>
      <c r="P4579">
        <v>4.3925964999999997E-2</v>
      </c>
      <c r="Q4579" t="str">
        <f t="shared" si="142"/>
        <v>50+</v>
      </c>
      <c r="R4579" t="str">
        <f t="shared" si="143"/>
        <v>[mxqa3CDFmIT]|50+|Male|NEW_INFECTIONS_SUBNAT.T_1|CY2024Q3</v>
      </c>
    </row>
    <row r="4580" spans="4:18" x14ac:dyDescent="0.2">
      <c r="D4580" t="s">
        <v>123</v>
      </c>
      <c r="E4580" t="s">
        <v>124</v>
      </c>
      <c r="F4580" t="s">
        <v>125</v>
      </c>
      <c r="G4580" t="s">
        <v>203</v>
      </c>
      <c r="H4580" t="s">
        <v>203</v>
      </c>
      <c r="I4580" t="s">
        <v>28</v>
      </c>
      <c r="J4580" t="s">
        <v>29</v>
      </c>
      <c r="K4580" t="s">
        <v>30</v>
      </c>
      <c r="L4580" t="s">
        <v>31</v>
      </c>
      <c r="M4580" t="s">
        <v>140</v>
      </c>
      <c r="N4580">
        <v>6</v>
      </c>
      <c r="O4580">
        <v>8.4712170000000003E-2</v>
      </c>
      <c r="P4580">
        <v>8.8608997999999994E-2</v>
      </c>
      <c r="Q4580" t="str">
        <f t="shared" si="142"/>
        <v>&lt;01</v>
      </c>
      <c r="R4580" t="str">
        <f t="shared" si="143"/>
        <v>[wNqJp8oRIcF]|&lt;01|Female|NEW_INFECTIONS_SUBNAT.T_1|CY2024Q3</v>
      </c>
    </row>
    <row r="4581" spans="4:18" x14ac:dyDescent="0.2">
      <c r="D4581" t="s">
        <v>123</v>
      </c>
      <c r="E4581" t="s">
        <v>124</v>
      </c>
      <c r="F4581" t="s">
        <v>125</v>
      </c>
      <c r="G4581" t="s">
        <v>203</v>
      </c>
      <c r="H4581" t="s">
        <v>203</v>
      </c>
      <c r="I4581" t="s">
        <v>33</v>
      </c>
      <c r="J4581" t="s">
        <v>34</v>
      </c>
      <c r="K4581" t="s">
        <v>30</v>
      </c>
      <c r="L4581" t="s">
        <v>31</v>
      </c>
      <c r="M4581" t="s">
        <v>140</v>
      </c>
      <c r="N4581">
        <v>1</v>
      </c>
      <c r="O4581">
        <v>4.2356085000000002E-2</v>
      </c>
      <c r="P4581">
        <v>8.8608997999999994E-2</v>
      </c>
      <c r="Q4581" t="str">
        <f t="shared" si="142"/>
        <v>01-09</v>
      </c>
      <c r="R4581" t="str">
        <f t="shared" si="143"/>
        <v>[wNqJp8oRIcF]|01-09|Female|NEW_INFECTIONS_SUBNAT.T_1|CY2024Q3</v>
      </c>
    </row>
    <row r="4582" spans="4:18" x14ac:dyDescent="0.2">
      <c r="D4582" t="s">
        <v>123</v>
      </c>
      <c r="E4582" t="s">
        <v>124</v>
      </c>
      <c r="F4582" t="s">
        <v>125</v>
      </c>
      <c r="G4582" t="s">
        <v>203</v>
      </c>
      <c r="H4582" t="s">
        <v>203</v>
      </c>
      <c r="I4582" t="s">
        <v>36</v>
      </c>
      <c r="J4582" t="s">
        <v>37</v>
      </c>
      <c r="K4582" t="s">
        <v>30</v>
      </c>
      <c r="L4582" t="s">
        <v>31</v>
      </c>
      <c r="M4582" t="s">
        <v>140</v>
      </c>
      <c r="N4582">
        <v>0</v>
      </c>
      <c r="O4582">
        <v>0</v>
      </c>
      <c r="P4582">
        <v>8.8608997999999994E-2</v>
      </c>
      <c r="Q4582" t="str">
        <f t="shared" si="142"/>
        <v>10-14</v>
      </c>
      <c r="R4582" t="str">
        <f t="shared" si="143"/>
        <v>[wNqJp8oRIcF]|10-14|Female|NEW_INFECTIONS_SUBNAT.T_1|CY2024Q3</v>
      </c>
    </row>
    <row r="4583" spans="4:18" x14ac:dyDescent="0.2">
      <c r="D4583" t="s">
        <v>123</v>
      </c>
      <c r="E4583" t="s">
        <v>124</v>
      </c>
      <c r="F4583" t="s">
        <v>125</v>
      </c>
      <c r="G4583" t="s">
        <v>203</v>
      </c>
      <c r="H4583" t="s">
        <v>203</v>
      </c>
      <c r="I4583" t="s">
        <v>38</v>
      </c>
      <c r="J4583" t="s">
        <v>39</v>
      </c>
      <c r="K4583" t="s">
        <v>30</v>
      </c>
      <c r="L4583" t="s">
        <v>31</v>
      </c>
      <c r="M4583" t="s">
        <v>140</v>
      </c>
      <c r="N4583">
        <v>23</v>
      </c>
      <c r="O4583">
        <v>9.5072034E-2</v>
      </c>
      <c r="P4583">
        <v>8.8608997999999994E-2</v>
      </c>
      <c r="Q4583" t="str">
        <f t="shared" si="142"/>
        <v>15-24</v>
      </c>
      <c r="R4583" t="str">
        <f t="shared" si="143"/>
        <v>[wNqJp8oRIcF]|15-24|Female|NEW_INFECTIONS_SUBNAT.T_1|CY2024Q3</v>
      </c>
    </row>
    <row r="4584" spans="4:18" x14ac:dyDescent="0.2">
      <c r="D4584" t="s">
        <v>123</v>
      </c>
      <c r="E4584" t="s">
        <v>124</v>
      </c>
      <c r="F4584" t="s">
        <v>125</v>
      </c>
      <c r="G4584" t="s">
        <v>203</v>
      </c>
      <c r="H4584" t="s">
        <v>203</v>
      </c>
      <c r="I4584" t="s">
        <v>41</v>
      </c>
      <c r="J4584" t="s">
        <v>42</v>
      </c>
      <c r="K4584" t="s">
        <v>30</v>
      </c>
      <c r="L4584" t="s">
        <v>31</v>
      </c>
      <c r="M4584" t="s">
        <v>140</v>
      </c>
      <c r="N4584">
        <v>21</v>
      </c>
      <c r="O4584">
        <v>9.0534534E-2</v>
      </c>
      <c r="P4584">
        <v>8.8608997999999994E-2</v>
      </c>
      <c r="Q4584" t="str">
        <f t="shared" si="142"/>
        <v>25-34</v>
      </c>
      <c r="R4584" t="str">
        <f t="shared" si="143"/>
        <v>[wNqJp8oRIcF]|25-34|Female|NEW_INFECTIONS_SUBNAT.T_1|CY2024Q3</v>
      </c>
    </row>
    <row r="4585" spans="4:18" x14ac:dyDescent="0.2">
      <c r="D4585" t="s">
        <v>123</v>
      </c>
      <c r="E4585" t="s">
        <v>124</v>
      </c>
      <c r="F4585" t="s">
        <v>125</v>
      </c>
      <c r="G4585" t="s">
        <v>203</v>
      </c>
      <c r="H4585" t="s">
        <v>203</v>
      </c>
      <c r="I4585" t="s">
        <v>43</v>
      </c>
      <c r="J4585" t="s">
        <v>44</v>
      </c>
      <c r="K4585" t="s">
        <v>30</v>
      </c>
      <c r="L4585" t="s">
        <v>31</v>
      </c>
      <c r="M4585" t="s">
        <v>140</v>
      </c>
      <c r="N4585">
        <v>10</v>
      </c>
      <c r="O4585">
        <v>8.0935537000000002E-2</v>
      </c>
      <c r="P4585">
        <v>8.8608997999999994E-2</v>
      </c>
      <c r="Q4585" t="str">
        <f t="shared" si="142"/>
        <v>35-49</v>
      </c>
      <c r="R4585" t="str">
        <f t="shared" si="143"/>
        <v>[wNqJp8oRIcF]|35-49|Female|NEW_INFECTIONS_SUBNAT.T_1|CY2024Q3</v>
      </c>
    </row>
    <row r="4586" spans="4:18" x14ac:dyDescent="0.2">
      <c r="D4586" t="s">
        <v>123</v>
      </c>
      <c r="E4586" t="s">
        <v>124</v>
      </c>
      <c r="F4586" t="s">
        <v>125</v>
      </c>
      <c r="G4586" t="s">
        <v>203</v>
      </c>
      <c r="H4586" t="s">
        <v>203</v>
      </c>
      <c r="I4586" t="s">
        <v>45</v>
      </c>
      <c r="J4586" t="s">
        <v>46</v>
      </c>
      <c r="K4586" t="s">
        <v>30</v>
      </c>
      <c r="L4586" t="s">
        <v>31</v>
      </c>
      <c r="M4586" t="s">
        <v>140</v>
      </c>
      <c r="N4586">
        <v>2</v>
      </c>
      <c r="O4586">
        <v>8.2992694000000006E-2</v>
      </c>
      <c r="P4586">
        <v>8.8608997999999994E-2</v>
      </c>
      <c r="Q4586" t="str">
        <f t="shared" si="142"/>
        <v>50+</v>
      </c>
      <c r="R4586" t="str">
        <f t="shared" si="143"/>
        <v>[wNqJp8oRIcF]|50+|Female|NEW_INFECTIONS_SUBNAT.T_1|CY2024Q3</v>
      </c>
    </row>
    <row r="4587" spans="4:18" x14ac:dyDescent="0.2">
      <c r="D4587" t="s">
        <v>123</v>
      </c>
      <c r="E4587" t="s">
        <v>124</v>
      </c>
      <c r="F4587" t="s">
        <v>125</v>
      </c>
      <c r="G4587" t="s">
        <v>203</v>
      </c>
      <c r="H4587" t="s">
        <v>203</v>
      </c>
      <c r="I4587" t="s">
        <v>28</v>
      </c>
      <c r="J4587" t="s">
        <v>29</v>
      </c>
      <c r="K4587" t="s">
        <v>48</v>
      </c>
      <c r="L4587" t="s">
        <v>49</v>
      </c>
      <c r="M4587" t="s">
        <v>140</v>
      </c>
      <c r="N4587">
        <v>6</v>
      </c>
      <c r="O4587">
        <v>8.4711470999999997E-2</v>
      </c>
      <c r="P4587">
        <v>8.8608997999999994E-2</v>
      </c>
      <c r="Q4587" t="str">
        <f t="shared" si="142"/>
        <v>&lt;01</v>
      </c>
      <c r="R4587" t="str">
        <f t="shared" si="143"/>
        <v>[wNqJp8oRIcF]|&lt;01|Male|NEW_INFECTIONS_SUBNAT.T_1|CY2024Q3</v>
      </c>
    </row>
    <row r="4588" spans="4:18" x14ac:dyDescent="0.2">
      <c r="D4588" t="s">
        <v>123</v>
      </c>
      <c r="E4588" t="s">
        <v>124</v>
      </c>
      <c r="F4588" t="s">
        <v>125</v>
      </c>
      <c r="G4588" t="s">
        <v>203</v>
      </c>
      <c r="H4588" t="s">
        <v>203</v>
      </c>
      <c r="I4588" t="s">
        <v>33</v>
      </c>
      <c r="J4588" t="s">
        <v>34</v>
      </c>
      <c r="K4588" t="s">
        <v>48</v>
      </c>
      <c r="L4588" t="s">
        <v>49</v>
      </c>
      <c r="M4588" t="s">
        <v>140</v>
      </c>
      <c r="N4588">
        <v>1</v>
      </c>
      <c r="O4588">
        <v>4.2355734999999999E-2</v>
      </c>
      <c r="P4588">
        <v>8.8608997999999994E-2</v>
      </c>
      <c r="Q4588" t="str">
        <f t="shared" si="142"/>
        <v>01-09</v>
      </c>
      <c r="R4588" t="str">
        <f t="shared" si="143"/>
        <v>[wNqJp8oRIcF]|01-09|Male|NEW_INFECTIONS_SUBNAT.T_1|CY2024Q3</v>
      </c>
    </row>
    <row r="4589" spans="4:18" x14ac:dyDescent="0.2">
      <c r="D4589" t="s">
        <v>123</v>
      </c>
      <c r="E4589" t="s">
        <v>124</v>
      </c>
      <c r="F4589" t="s">
        <v>125</v>
      </c>
      <c r="G4589" t="s">
        <v>203</v>
      </c>
      <c r="H4589" t="s">
        <v>203</v>
      </c>
      <c r="I4589" t="s">
        <v>36</v>
      </c>
      <c r="J4589" t="s">
        <v>37</v>
      </c>
      <c r="K4589" t="s">
        <v>48</v>
      </c>
      <c r="L4589" t="s">
        <v>49</v>
      </c>
      <c r="M4589" t="s">
        <v>140</v>
      </c>
      <c r="N4589">
        <v>0</v>
      </c>
      <c r="O4589">
        <v>0</v>
      </c>
      <c r="P4589">
        <v>8.8608997999999994E-2</v>
      </c>
      <c r="Q4589" t="str">
        <f t="shared" si="142"/>
        <v>10-14</v>
      </c>
      <c r="R4589" t="str">
        <f t="shared" si="143"/>
        <v>[wNqJp8oRIcF]|10-14|Male|NEW_INFECTIONS_SUBNAT.T_1|CY2024Q3</v>
      </c>
    </row>
    <row r="4590" spans="4:18" x14ac:dyDescent="0.2">
      <c r="D4590" t="s">
        <v>123</v>
      </c>
      <c r="E4590" t="s">
        <v>124</v>
      </c>
      <c r="F4590" t="s">
        <v>125</v>
      </c>
      <c r="G4590" t="s">
        <v>203</v>
      </c>
      <c r="H4590" t="s">
        <v>203</v>
      </c>
      <c r="I4590" t="s">
        <v>38</v>
      </c>
      <c r="J4590" t="s">
        <v>39</v>
      </c>
      <c r="K4590" t="s">
        <v>48</v>
      </c>
      <c r="L4590" t="s">
        <v>49</v>
      </c>
      <c r="M4590" t="s">
        <v>140</v>
      </c>
      <c r="N4590">
        <v>4</v>
      </c>
      <c r="O4590">
        <v>9.6096903999999997E-2</v>
      </c>
      <c r="P4590">
        <v>8.8608997999999994E-2</v>
      </c>
      <c r="Q4590" t="str">
        <f t="shared" si="142"/>
        <v>15-24</v>
      </c>
      <c r="R4590" t="str">
        <f t="shared" si="143"/>
        <v>[wNqJp8oRIcF]|15-24|Male|NEW_INFECTIONS_SUBNAT.T_1|CY2024Q3</v>
      </c>
    </row>
    <row r="4591" spans="4:18" x14ac:dyDescent="0.2">
      <c r="D4591" t="s">
        <v>123</v>
      </c>
      <c r="E4591" t="s">
        <v>124</v>
      </c>
      <c r="F4591" t="s">
        <v>125</v>
      </c>
      <c r="G4591" t="s">
        <v>203</v>
      </c>
      <c r="H4591" t="s">
        <v>203</v>
      </c>
      <c r="I4591" t="s">
        <v>41</v>
      </c>
      <c r="J4591" t="s">
        <v>42</v>
      </c>
      <c r="K4591" t="s">
        <v>48</v>
      </c>
      <c r="L4591" t="s">
        <v>49</v>
      </c>
      <c r="M4591" t="s">
        <v>140</v>
      </c>
      <c r="N4591">
        <v>13</v>
      </c>
      <c r="O4591">
        <v>9.4569401999999997E-2</v>
      </c>
      <c r="P4591">
        <v>8.8608997999999994E-2</v>
      </c>
      <c r="Q4591" t="str">
        <f t="shared" si="142"/>
        <v>25-34</v>
      </c>
      <c r="R4591" t="str">
        <f t="shared" si="143"/>
        <v>[wNqJp8oRIcF]|25-34|Male|NEW_INFECTIONS_SUBNAT.T_1|CY2024Q3</v>
      </c>
    </row>
    <row r="4592" spans="4:18" x14ac:dyDescent="0.2">
      <c r="D4592" t="s">
        <v>123</v>
      </c>
      <c r="E4592" t="s">
        <v>124</v>
      </c>
      <c r="F4592" t="s">
        <v>125</v>
      </c>
      <c r="G4592" t="s">
        <v>203</v>
      </c>
      <c r="H4592" t="s">
        <v>203</v>
      </c>
      <c r="I4592" t="s">
        <v>43</v>
      </c>
      <c r="J4592" t="s">
        <v>44</v>
      </c>
      <c r="K4592" t="s">
        <v>48</v>
      </c>
      <c r="L4592" t="s">
        <v>49</v>
      </c>
      <c r="M4592" t="s">
        <v>140</v>
      </c>
      <c r="N4592">
        <v>12</v>
      </c>
      <c r="O4592">
        <v>8.8032365000000001E-2</v>
      </c>
      <c r="P4592">
        <v>8.8608997999999994E-2</v>
      </c>
      <c r="Q4592" t="str">
        <f t="shared" si="142"/>
        <v>35-49</v>
      </c>
      <c r="R4592" t="str">
        <f t="shared" si="143"/>
        <v>[wNqJp8oRIcF]|35-49|Male|NEW_INFECTIONS_SUBNAT.T_1|CY2024Q3</v>
      </c>
    </row>
    <row r="4593" spans="4:18" x14ac:dyDescent="0.2">
      <c r="D4593" t="s">
        <v>123</v>
      </c>
      <c r="E4593" t="s">
        <v>124</v>
      </c>
      <c r="F4593" t="s">
        <v>125</v>
      </c>
      <c r="G4593" t="s">
        <v>203</v>
      </c>
      <c r="H4593" t="s">
        <v>203</v>
      </c>
      <c r="I4593" t="s">
        <v>45</v>
      </c>
      <c r="J4593" t="s">
        <v>46</v>
      </c>
      <c r="K4593" t="s">
        <v>48</v>
      </c>
      <c r="L4593" t="s">
        <v>49</v>
      </c>
      <c r="M4593" t="s">
        <v>140</v>
      </c>
      <c r="N4593">
        <v>3</v>
      </c>
      <c r="O4593">
        <v>8.3741271000000006E-2</v>
      </c>
      <c r="P4593">
        <v>8.8608997999999994E-2</v>
      </c>
      <c r="Q4593" t="str">
        <f t="shared" si="142"/>
        <v>50+</v>
      </c>
      <c r="R4593" t="str">
        <f t="shared" si="143"/>
        <v>[wNqJp8oRIcF]|50+|Male|NEW_INFECTIONS_SUBNAT.T_1|CY2024Q3</v>
      </c>
    </row>
    <row r="4594" spans="4:18" x14ac:dyDescent="0.2">
      <c r="D4594" t="s">
        <v>126</v>
      </c>
      <c r="E4594" t="s">
        <v>127</v>
      </c>
      <c r="F4594" t="s">
        <v>128</v>
      </c>
      <c r="G4594" t="s">
        <v>203</v>
      </c>
      <c r="H4594" t="s">
        <v>203</v>
      </c>
      <c r="I4594" t="s">
        <v>28</v>
      </c>
      <c r="J4594" t="s">
        <v>29</v>
      </c>
      <c r="K4594" t="s">
        <v>30</v>
      </c>
      <c r="L4594" t="s">
        <v>31</v>
      </c>
      <c r="M4594" t="s">
        <v>140</v>
      </c>
      <c r="N4594">
        <v>44</v>
      </c>
      <c r="O4594">
        <v>4.8371611000000002E-2</v>
      </c>
      <c r="P4594">
        <v>5.0296132E-2</v>
      </c>
      <c r="Q4594" t="str">
        <f t="shared" si="142"/>
        <v>&lt;01</v>
      </c>
      <c r="R4594" t="str">
        <f t="shared" si="143"/>
        <v>[ul0y9diGujK]|&lt;01|Female|NEW_INFECTIONS_SUBNAT.T_1|CY2024Q3</v>
      </c>
    </row>
    <row r="4595" spans="4:18" x14ac:dyDescent="0.2">
      <c r="D4595" t="s">
        <v>126</v>
      </c>
      <c r="E4595" t="s">
        <v>127</v>
      </c>
      <c r="F4595" t="s">
        <v>128</v>
      </c>
      <c r="G4595" t="s">
        <v>203</v>
      </c>
      <c r="H4595" t="s">
        <v>203</v>
      </c>
      <c r="I4595" t="s">
        <v>33</v>
      </c>
      <c r="J4595" t="s">
        <v>34</v>
      </c>
      <c r="K4595" t="s">
        <v>30</v>
      </c>
      <c r="L4595" t="s">
        <v>31</v>
      </c>
      <c r="M4595" t="s">
        <v>140</v>
      </c>
      <c r="N4595">
        <v>11</v>
      </c>
      <c r="O4595">
        <v>2.4185805000000001E-2</v>
      </c>
      <c r="P4595">
        <v>5.0296132E-2</v>
      </c>
      <c r="Q4595" t="str">
        <f t="shared" si="142"/>
        <v>01-09</v>
      </c>
      <c r="R4595" t="str">
        <f t="shared" si="143"/>
        <v>[ul0y9diGujK]|01-09|Female|NEW_INFECTIONS_SUBNAT.T_1|CY2024Q3</v>
      </c>
    </row>
    <row r="4596" spans="4:18" x14ac:dyDescent="0.2">
      <c r="D4596" t="s">
        <v>126</v>
      </c>
      <c r="E4596" t="s">
        <v>127</v>
      </c>
      <c r="F4596" t="s">
        <v>128</v>
      </c>
      <c r="G4596" t="s">
        <v>203</v>
      </c>
      <c r="H4596" t="s">
        <v>203</v>
      </c>
      <c r="I4596" t="s">
        <v>36</v>
      </c>
      <c r="J4596" t="s">
        <v>37</v>
      </c>
      <c r="K4596" t="s">
        <v>30</v>
      </c>
      <c r="L4596" t="s">
        <v>31</v>
      </c>
      <c r="M4596" t="s">
        <v>140</v>
      </c>
      <c r="N4596">
        <v>0</v>
      </c>
      <c r="O4596">
        <v>0</v>
      </c>
      <c r="P4596">
        <v>5.0296132E-2</v>
      </c>
      <c r="Q4596" t="str">
        <f t="shared" si="142"/>
        <v>10-14</v>
      </c>
      <c r="R4596" t="str">
        <f t="shared" si="143"/>
        <v>[ul0y9diGujK]|10-14|Female|NEW_INFECTIONS_SUBNAT.T_1|CY2024Q3</v>
      </c>
    </row>
    <row r="4597" spans="4:18" x14ac:dyDescent="0.2">
      <c r="D4597" t="s">
        <v>126</v>
      </c>
      <c r="E4597" t="s">
        <v>127</v>
      </c>
      <c r="F4597" t="s">
        <v>128</v>
      </c>
      <c r="G4597" t="s">
        <v>203</v>
      </c>
      <c r="H4597" t="s">
        <v>203</v>
      </c>
      <c r="I4597" t="s">
        <v>38</v>
      </c>
      <c r="J4597" t="s">
        <v>39</v>
      </c>
      <c r="K4597" t="s">
        <v>30</v>
      </c>
      <c r="L4597" t="s">
        <v>31</v>
      </c>
      <c r="M4597" t="s">
        <v>140</v>
      </c>
      <c r="N4597">
        <v>192</v>
      </c>
      <c r="O4597">
        <v>5.6498718000000003E-2</v>
      </c>
      <c r="P4597">
        <v>5.0296132E-2</v>
      </c>
      <c r="Q4597" t="str">
        <f t="shared" si="142"/>
        <v>15-24</v>
      </c>
      <c r="R4597" t="str">
        <f t="shared" si="143"/>
        <v>[ul0y9diGujK]|15-24|Female|NEW_INFECTIONS_SUBNAT.T_1|CY2024Q3</v>
      </c>
    </row>
    <row r="4598" spans="4:18" x14ac:dyDescent="0.2">
      <c r="D4598" t="s">
        <v>126</v>
      </c>
      <c r="E4598" t="s">
        <v>127</v>
      </c>
      <c r="F4598" t="s">
        <v>128</v>
      </c>
      <c r="G4598" t="s">
        <v>203</v>
      </c>
      <c r="H4598" t="s">
        <v>203</v>
      </c>
      <c r="I4598" t="s">
        <v>41</v>
      </c>
      <c r="J4598" t="s">
        <v>42</v>
      </c>
      <c r="K4598" t="s">
        <v>30</v>
      </c>
      <c r="L4598" t="s">
        <v>31</v>
      </c>
      <c r="M4598" t="s">
        <v>140</v>
      </c>
      <c r="N4598">
        <v>181</v>
      </c>
      <c r="O4598">
        <v>5.1517805999999999E-2</v>
      </c>
      <c r="P4598">
        <v>5.0296132E-2</v>
      </c>
      <c r="Q4598" t="str">
        <f t="shared" si="142"/>
        <v>25-34</v>
      </c>
      <c r="R4598" t="str">
        <f t="shared" si="143"/>
        <v>[ul0y9diGujK]|25-34|Female|NEW_INFECTIONS_SUBNAT.T_1|CY2024Q3</v>
      </c>
    </row>
    <row r="4599" spans="4:18" x14ac:dyDescent="0.2">
      <c r="D4599" t="s">
        <v>126</v>
      </c>
      <c r="E4599" t="s">
        <v>127</v>
      </c>
      <c r="F4599" t="s">
        <v>128</v>
      </c>
      <c r="G4599" t="s">
        <v>203</v>
      </c>
      <c r="H4599" t="s">
        <v>203</v>
      </c>
      <c r="I4599" t="s">
        <v>43</v>
      </c>
      <c r="J4599" t="s">
        <v>44</v>
      </c>
      <c r="K4599" t="s">
        <v>30</v>
      </c>
      <c r="L4599" t="s">
        <v>31</v>
      </c>
      <c r="M4599" t="s">
        <v>140</v>
      </c>
      <c r="N4599">
        <v>93</v>
      </c>
      <c r="O4599">
        <v>4.2930385000000001E-2</v>
      </c>
      <c r="P4599">
        <v>5.0296132E-2</v>
      </c>
      <c r="Q4599" t="str">
        <f t="shared" si="142"/>
        <v>35-49</v>
      </c>
      <c r="R4599" t="str">
        <f t="shared" si="143"/>
        <v>[ul0y9diGujK]|35-49|Female|NEW_INFECTIONS_SUBNAT.T_1|CY2024Q3</v>
      </c>
    </row>
    <row r="4600" spans="4:18" x14ac:dyDescent="0.2">
      <c r="D4600" t="s">
        <v>126</v>
      </c>
      <c r="E4600" t="s">
        <v>127</v>
      </c>
      <c r="F4600" t="s">
        <v>128</v>
      </c>
      <c r="G4600" t="s">
        <v>203</v>
      </c>
      <c r="H4600" t="s">
        <v>203</v>
      </c>
      <c r="I4600" t="s">
        <v>45</v>
      </c>
      <c r="J4600" t="s">
        <v>46</v>
      </c>
      <c r="K4600" t="s">
        <v>30</v>
      </c>
      <c r="L4600" t="s">
        <v>31</v>
      </c>
      <c r="M4600" t="s">
        <v>140</v>
      </c>
      <c r="N4600">
        <v>16</v>
      </c>
      <c r="O4600">
        <v>4.8365787E-2</v>
      </c>
      <c r="P4600">
        <v>5.0296132E-2</v>
      </c>
      <c r="Q4600" t="str">
        <f t="shared" si="142"/>
        <v>50+</v>
      </c>
      <c r="R4600" t="str">
        <f t="shared" si="143"/>
        <v>[ul0y9diGujK]|50+|Female|NEW_INFECTIONS_SUBNAT.T_1|CY2024Q3</v>
      </c>
    </row>
    <row r="4601" spans="4:18" x14ac:dyDescent="0.2">
      <c r="D4601" t="s">
        <v>126</v>
      </c>
      <c r="E4601" t="s">
        <v>127</v>
      </c>
      <c r="F4601" t="s">
        <v>128</v>
      </c>
      <c r="G4601" t="s">
        <v>203</v>
      </c>
      <c r="H4601" t="s">
        <v>203</v>
      </c>
      <c r="I4601" t="s">
        <v>28</v>
      </c>
      <c r="J4601" t="s">
        <v>29</v>
      </c>
      <c r="K4601" t="s">
        <v>48</v>
      </c>
      <c r="L4601" t="s">
        <v>49</v>
      </c>
      <c r="M4601" t="s">
        <v>140</v>
      </c>
      <c r="N4601">
        <v>44</v>
      </c>
      <c r="O4601">
        <v>4.8371442000000001E-2</v>
      </c>
      <c r="P4601">
        <v>5.0296132E-2</v>
      </c>
      <c r="Q4601" t="str">
        <f t="shared" si="142"/>
        <v>&lt;01</v>
      </c>
      <c r="R4601" t="str">
        <f t="shared" si="143"/>
        <v>[ul0y9diGujK]|&lt;01|Male|NEW_INFECTIONS_SUBNAT.T_1|CY2024Q3</v>
      </c>
    </row>
    <row r="4602" spans="4:18" x14ac:dyDescent="0.2">
      <c r="D4602" t="s">
        <v>126</v>
      </c>
      <c r="E4602" t="s">
        <v>127</v>
      </c>
      <c r="F4602" t="s">
        <v>128</v>
      </c>
      <c r="G4602" t="s">
        <v>203</v>
      </c>
      <c r="H4602" t="s">
        <v>203</v>
      </c>
      <c r="I4602" t="s">
        <v>33</v>
      </c>
      <c r="J4602" t="s">
        <v>34</v>
      </c>
      <c r="K4602" t="s">
        <v>48</v>
      </c>
      <c r="L4602" t="s">
        <v>49</v>
      </c>
      <c r="M4602" t="s">
        <v>140</v>
      </c>
      <c r="N4602">
        <v>11</v>
      </c>
      <c r="O4602">
        <v>2.4185721E-2</v>
      </c>
      <c r="P4602">
        <v>5.0296132E-2</v>
      </c>
      <c r="Q4602" t="str">
        <f t="shared" si="142"/>
        <v>01-09</v>
      </c>
      <c r="R4602" t="str">
        <f t="shared" si="143"/>
        <v>[ul0y9diGujK]|01-09|Male|NEW_INFECTIONS_SUBNAT.T_1|CY2024Q3</v>
      </c>
    </row>
    <row r="4603" spans="4:18" x14ac:dyDescent="0.2">
      <c r="D4603" t="s">
        <v>126</v>
      </c>
      <c r="E4603" t="s">
        <v>127</v>
      </c>
      <c r="F4603" t="s">
        <v>128</v>
      </c>
      <c r="G4603" t="s">
        <v>203</v>
      </c>
      <c r="H4603" t="s">
        <v>203</v>
      </c>
      <c r="I4603" t="s">
        <v>36</v>
      </c>
      <c r="J4603" t="s">
        <v>37</v>
      </c>
      <c r="K4603" t="s">
        <v>48</v>
      </c>
      <c r="L4603" t="s">
        <v>49</v>
      </c>
      <c r="M4603" t="s">
        <v>140</v>
      </c>
      <c r="N4603">
        <v>0</v>
      </c>
      <c r="O4603">
        <v>0</v>
      </c>
      <c r="P4603">
        <v>5.0296132E-2</v>
      </c>
      <c r="Q4603" t="str">
        <f t="shared" si="142"/>
        <v>10-14</v>
      </c>
      <c r="R4603" t="str">
        <f t="shared" si="143"/>
        <v>[ul0y9diGujK]|10-14|Male|NEW_INFECTIONS_SUBNAT.T_1|CY2024Q3</v>
      </c>
    </row>
    <row r="4604" spans="4:18" x14ac:dyDescent="0.2">
      <c r="D4604" t="s">
        <v>126</v>
      </c>
      <c r="E4604" t="s">
        <v>127</v>
      </c>
      <c r="F4604" t="s">
        <v>128</v>
      </c>
      <c r="G4604" t="s">
        <v>203</v>
      </c>
      <c r="H4604" t="s">
        <v>203</v>
      </c>
      <c r="I4604" t="s">
        <v>38</v>
      </c>
      <c r="J4604" t="s">
        <v>39</v>
      </c>
      <c r="K4604" t="s">
        <v>48</v>
      </c>
      <c r="L4604" t="s">
        <v>49</v>
      </c>
      <c r="M4604" t="s">
        <v>140</v>
      </c>
      <c r="N4604">
        <v>32</v>
      </c>
      <c r="O4604">
        <v>5.7594923999999999E-2</v>
      </c>
      <c r="P4604">
        <v>5.0296132E-2</v>
      </c>
      <c r="Q4604" t="str">
        <f t="shared" si="142"/>
        <v>15-24</v>
      </c>
      <c r="R4604" t="str">
        <f t="shared" si="143"/>
        <v>[ul0y9diGujK]|15-24|Male|NEW_INFECTIONS_SUBNAT.T_1|CY2024Q3</v>
      </c>
    </row>
    <row r="4605" spans="4:18" x14ac:dyDescent="0.2">
      <c r="D4605" t="s">
        <v>126</v>
      </c>
      <c r="E4605" t="s">
        <v>127</v>
      </c>
      <c r="F4605" t="s">
        <v>128</v>
      </c>
      <c r="G4605" t="s">
        <v>203</v>
      </c>
      <c r="H4605" t="s">
        <v>203</v>
      </c>
      <c r="I4605" t="s">
        <v>41</v>
      </c>
      <c r="J4605" t="s">
        <v>42</v>
      </c>
      <c r="K4605" t="s">
        <v>48</v>
      </c>
      <c r="L4605" t="s">
        <v>49</v>
      </c>
      <c r="M4605" t="s">
        <v>140</v>
      </c>
      <c r="N4605">
        <v>97</v>
      </c>
      <c r="O4605">
        <v>5.5613351999999998E-2</v>
      </c>
      <c r="P4605">
        <v>5.0296132E-2</v>
      </c>
      <c r="Q4605" t="str">
        <f t="shared" si="142"/>
        <v>25-34</v>
      </c>
      <c r="R4605" t="str">
        <f t="shared" si="143"/>
        <v>[ul0y9diGujK]|25-34|Male|NEW_INFECTIONS_SUBNAT.T_1|CY2024Q3</v>
      </c>
    </row>
    <row r="4606" spans="4:18" x14ac:dyDescent="0.2">
      <c r="D4606" t="s">
        <v>126</v>
      </c>
      <c r="E4606" t="s">
        <v>127</v>
      </c>
      <c r="F4606" t="s">
        <v>128</v>
      </c>
      <c r="G4606" t="s">
        <v>203</v>
      </c>
      <c r="H4606" t="s">
        <v>203</v>
      </c>
      <c r="I4606" t="s">
        <v>43</v>
      </c>
      <c r="J4606" t="s">
        <v>44</v>
      </c>
      <c r="K4606" t="s">
        <v>48</v>
      </c>
      <c r="L4606" t="s">
        <v>49</v>
      </c>
      <c r="M4606" t="s">
        <v>140</v>
      </c>
      <c r="N4606">
        <v>96</v>
      </c>
      <c r="O4606">
        <v>4.9282341E-2</v>
      </c>
      <c r="P4606">
        <v>5.0296132E-2</v>
      </c>
      <c r="Q4606" t="str">
        <f t="shared" si="142"/>
        <v>35-49</v>
      </c>
      <c r="R4606" t="str">
        <f t="shared" si="143"/>
        <v>[ul0y9diGujK]|35-49|Male|NEW_INFECTIONS_SUBNAT.T_1|CY2024Q3</v>
      </c>
    </row>
    <row r="4607" spans="4:18" x14ac:dyDescent="0.2">
      <c r="D4607" t="s">
        <v>126</v>
      </c>
      <c r="E4607" t="s">
        <v>127</v>
      </c>
      <c r="F4607" t="s">
        <v>128</v>
      </c>
      <c r="G4607" t="s">
        <v>203</v>
      </c>
      <c r="H4607" t="s">
        <v>203</v>
      </c>
      <c r="I4607" t="s">
        <v>45</v>
      </c>
      <c r="J4607" t="s">
        <v>46</v>
      </c>
      <c r="K4607" t="s">
        <v>48</v>
      </c>
      <c r="L4607" t="s">
        <v>49</v>
      </c>
      <c r="M4607" t="s">
        <v>140</v>
      </c>
      <c r="N4607">
        <v>27</v>
      </c>
      <c r="O4607">
        <v>4.8701013000000001E-2</v>
      </c>
      <c r="P4607">
        <v>5.0296132E-2</v>
      </c>
      <c r="Q4607" t="str">
        <f t="shared" si="142"/>
        <v>50+</v>
      </c>
      <c r="R4607" t="str">
        <f t="shared" si="143"/>
        <v>[ul0y9diGujK]|50+|Male|NEW_INFECTIONS_SUBNAT.T_1|CY2024Q3</v>
      </c>
    </row>
    <row r="4608" spans="4:18" x14ac:dyDescent="0.2">
      <c r="D4608" t="s">
        <v>129</v>
      </c>
      <c r="E4608" t="s">
        <v>130</v>
      </c>
      <c r="F4608" t="s">
        <v>131</v>
      </c>
      <c r="G4608" t="s">
        <v>203</v>
      </c>
      <c r="H4608" t="s">
        <v>203</v>
      </c>
      <c r="I4608" t="s">
        <v>28</v>
      </c>
      <c r="J4608" t="s">
        <v>29</v>
      </c>
      <c r="K4608" t="s">
        <v>30</v>
      </c>
      <c r="L4608" t="s">
        <v>31</v>
      </c>
      <c r="M4608" t="s">
        <v>140</v>
      </c>
      <c r="N4608">
        <v>32</v>
      </c>
      <c r="O4608">
        <v>5.5551731E-2</v>
      </c>
      <c r="P4608">
        <v>5.8177742999999997E-2</v>
      </c>
      <c r="Q4608" t="str">
        <f t="shared" si="142"/>
        <v>&lt;01</v>
      </c>
      <c r="R4608" t="str">
        <f t="shared" si="143"/>
        <v>[U8c0so51kT6]|&lt;01|Female|NEW_INFECTIONS_SUBNAT.T_1|CY2024Q3</v>
      </c>
    </row>
    <row r="4609" spans="4:18" x14ac:dyDescent="0.2">
      <c r="D4609" t="s">
        <v>129</v>
      </c>
      <c r="E4609" t="s">
        <v>130</v>
      </c>
      <c r="F4609" t="s">
        <v>131</v>
      </c>
      <c r="G4609" t="s">
        <v>203</v>
      </c>
      <c r="H4609" t="s">
        <v>203</v>
      </c>
      <c r="I4609" t="s">
        <v>33</v>
      </c>
      <c r="J4609" t="s">
        <v>34</v>
      </c>
      <c r="K4609" t="s">
        <v>30</v>
      </c>
      <c r="L4609" t="s">
        <v>31</v>
      </c>
      <c r="M4609" t="s">
        <v>140</v>
      </c>
      <c r="N4609">
        <v>8</v>
      </c>
      <c r="O4609">
        <v>2.7775866E-2</v>
      </c>
      <c r="P4609">
        <v>5.8177742999999997E-2</v>
      </c>
      <c r="Q4609" t="str">
        <f t="shared" si="142"/>
        <v>01-09</v>
      </c>
      <c r="R4609" t="str">
        <f t="shared" si="143"/>
        <v>[U8c0so51kT6]|01-09|Female|NEW_INFECTIONS_SUBNAT.T_1|CY2024Q3</v>
      </c>
    </row>
    <row r="4610" spans="4:18" x14ac:dyDescent="0.2">
      <c r="D4610" t="s">
        <v>129</v>
      </c>
      <c r="E4610" t="s">
        <v>130</v>
      </c>
      <c r="F4610" t="s">
        <v>131</v>
      </c>
      <c r="G4610" t="s">
        <v>203</v>
      </c>
      <c r="H4610" t="s">
        <v>203</v>
      </c>
      <c r="I4610" t="s">
        <v>36</v>
      </c>
      <c r="J4610" t="s">
        <v>37</v>
      </c>
      <c r="K4610" t="s">
        <v>30</v>
      </c>
      <c r="L4610" t="s">
        <v>31</v>
      </c>
      <c r="M4610" t="s">
        <v>140</v>
      </c>
      <c r="N4610">
        <v>0</v>
      </c>
      <c r="O4610">
        <v>0</v>
      </c>
      <c r="P4610">
        <v>5.8177742999999997E-2</v>
      </c>
      <c r="Q4610" t="str">
        <f t="shared" si="142"/>
        <v>10-14</v>
      </c>
      <c r="R4610" t="str">
        <f t="shared" si="143"/>
        <v>[U8c0so51kT6]|10-14|Female|NEW_INFECTIONS_SUBNAT.T_1|CY2024Q3</v>
      </c>
    </row>
    <row r="4611" spans="4:18" x14ac:dyDescent="0.2">
      <c r="D4611" t="s">
        <v>129</v>
      </c>
      <c r="E4611" t="s">
        <v>130</v>
      </c>
      <c r="F4611" t="s">
        <v>131</v>
      </c>
      <c r="G4611" t="s">
        <v>203</v>
      </c>
      <c r="H4611" t="s">
        <v>203</v>
      </c>
      <c r="I4611" t="s">
        <v>38</v>
      </c>
      <c r="J4611" t="s">
        <v>39</v>
      </c>
      <c r="K4611" t="s">
        <v>30</v>
      </c>
      <c r="L4611" t="s">
        <v>31</v>
      </c>
      <c r="M4611" t="s">
        <v>140</v>
      </c>
      <c r="N4611">
        <v>112</v>
      </c>
      <c r="O4611">
        <v>6.3652581E-2</v>
      </c>
      <c r="P4611">
        <v>5.8177742999999997E-2</v>
      </c>
      <c r="Q4611" t="str">
        <f t="shared" ref="Q4611:Q4674" si="144">SUBSTITUTE(SUBSTITUTE($I4611,CHAR(61),""),CHAR(34),"")</f>
        <v>15-24</v>
      </c>
      <c r="R4611" t="str">
        <f t="shared" ref="R4611:R4674" si="145">IF($D4611&lt;&gt;"","["&amp;$E4611&amp;"]"&amp;"|"&amp;$Q4611&amp;"|"&amp;$K4611&amp;"|"&amp;$G4611&amp;"|"&amp;IF($G4611="TX_CURR_SUBNAT.R","CY2023Q4",$M4611),"")</f>
        <v>[U8c0so51kT6]|15-24|Female|NEW_INFECTIONS_SUBNAT.T_1|CY2024Q3</v>
      </c>
    </row>
    <row r="4612" spans="4:18" x14ac:dyDescent="0.2">
      <c r="D4612" t="s">
        <v>129</v>
      </c>
      <c r="E4612" t="s">
        <v>130</v>
      </c>
      <c r="F4612" t="s">
        <v>131</v>
      </c>
      <c r="G4612" t="s">
        <v>203</v>
      </c>
      <c r="H4612" t="s">
        <v>203</v>
      </c>
      <c r="I4612" t="s">
        <v>41</v>
      </c>
      <c r="J4612" t="s">
        <v>42</v>
      </c>
      <c r="K4612" t="s">
        <v>30</v>
      </c>
      <c r="L4612" t="s">
        <v>31</v>
      </c>
      <c r="M4612" t="s">
        <v>140</v>
      </c>
      <c r="N4612">
        <v>108</v>
      </c>
      <c r="O4612">
        <v>5.9570360000000003E-2</v>
      </c>
      <c r="P4612">
        <v>5.8177742999999997E-2</v>
      </c>
      <c r="Q4612" t="str">
        <f t="shared" si="144"/>
        <v>25-34</v>
      </c>
      <c r="R4612" t="str">
        <f t="shared" si="145"/>
        <v>[U8c0so51kT6]|25-34|Female|NEW_INFECTIONS_SUBNAT.T_1|CY2024Q3</v>
      </c>
    </row>
    <row r="4613" spans="4:18" x14ac:dyDescent="0.2">
      <c r="D4613" t="s">
        <v>129</v>
      </c>
      <c r="E4613" t="s">
        <v>130</v>
      </c>
      <c r="F4613" t="s">
        <v>131</v>
      </c>
      <c r="G4613" t="s">
        <v>203</v>
      </c>
      <c r="H4613" t="s">
        <v>203</v>
      </c>
      <c r="I4613" t="s">
        <v>43</v>
      </c>
      <c r="J4613" t="s">
        <v>44</v>
      </c>
      <c r="K4613" t="s">
        <v>30</v>
      </c>
      <c r="L4613" t="s">
        <v>31</v>
      </c>
      <c r="M4613" t="s">
        <v>140</v>
      </c>
      <c r="N4613">
        <v>51</v>
      </c>
      <c r="O4613">
        <v>5.1582532E-2</v>
      </c>
      <c r="P4613">
        <v>5.8177742999999997E-2</v>
      </c>
      <c r="Q4613" t="str">
        <f t="shared" si="144"/>
        <v>35-49</v>
      </c>
      <c r="R4613" t="str">
        <f t="shared" si="145"/>
        <v>[U8c0so51kT6]|35-49|Female|NEW_INFECTIONS_SUBNAT.T_1|CY2024Q3</v>
      </c>
    </row>
    <row r="4614" spans="4:18" x14ac:dyDescent="0.2">
      <c r="D4614" t="s">
        <v>129</v>
      </c>
      <c r="E4614" t="s">
        <v>130</v>
      </c>
      <c r="F4614" t="s">
        <v>131</v>
      </c>
      <c r="G4614" t="s">
        <v>203</v>
      </c>
      <c r="H4614" t="s">
        <v>203</v>
      </c>
      <c r="I4614" t="s">
        <v>45</v>
      </c>
      <c r="J4614" t="s">
        <v>46</v>
      </c>
      <c r="K4614" t="s">
        <v>30</v>
      </c>
      <c r="L4614" t="s">
        <v>31</v>
      </c>
      <c r="M4614" t="s">
        <v>140</v>
      </c>
      <c r="N4614">
        <v>8</v>
      </c>
      <c r="O4614">
        <v>5.5022960000000003E-2</v>
      </c>
      <c r="P4614">
        <v>5.8177742999999997E-2</v>
      </c>
      <c r="Q4614" t="str">
        <f t="shared" si="144"/>
        <v>50+</v>
      </c>
      <c r="R4614" t="str">
        <f t="shared" si="145"/>
        <v>[U8c0so51kT6]|50+|Female|NEW_INFECTIONS_SUBNAT.T_1|CY2024Q3</v>
      </c>
    </row>
    <row r="4615" spans="4:18" x14ac:dyDescent="0.2">
      <c r="D4615" t="s">
        <v>129</v>
      </c>
      <c r="E4615" t="s">
        <v>130</v>
      </c>
      <c r="F4615" t="s">
        <v>131</v>
      </c>
      <c r="G4615" t="s">
        <v>203</v>
      </c>
      <c r="H4615" t="s">
        <v>203</v>
      </c>
      <c r="I4615" t="s">
        <v>28</v>
      </c>
      <c r="J4615" t="s">
        <v>29</v>
      </c>
      <c r="K4615" t="s">
        <v>48</v>
      </c>
      <c r="L4615" t="s">
        <v>49</v>
      </c>
      <c r="M4615" t="s">
        <v>140</v>
      </c>
      <c r="N4615">
        <v>32</v>
      </c>
      <c r="O4615">
        <v>5.5548858999999999E-2</v>
      </c>
      <c r="P4615">
        <v>5.8177742999999997E-2</v>
      </c>
      <c r="Q4615" t="str">
        <f t="shared" si="144"/>
        <v>&lt;01</v>
      </c>
      <c r="R4615" t="str">
        <f t="shared" si="145"/>
        <v>[U8c0so51kT6]|&lt;01|Male|NEW_INFECTIONS_SUBNAT.T_1|CY2024Q3</v>
      </c>
    </row>
    <row r="4616" spans="4:18" x14ac:dyDescent="0.2">
      <c r="D4616" t="s">
        <v>129</v>
      </c>
      <c r="E4616" t="s">
        <v>130</v>
      </c>
      <c r="F4616" t="s">
        <v>131</v>
      </c>
      <c r="G4616" t="s">
        <v>203</v>
      </c>
      <c r="H4616" t="s">
        <v>203</v>
      </c>
      <c r="I4616" t="s">
        <v>33</v>
      </c>
      <c r="J4616" t="s">
        <v>34</v>
      </c>
      <c r="K4616" t="s">
        <v>48</v>
      </c>
      <c r="L4616" t="s">
        <v>49</v>
      </c>
      <c r="M4616" t="s">
        <v>140</v>
      </c>
      <c r="N4616">
        <v>8</v>
      </c>
      <c r="O4616">
        <v>2.7774429999999999E-2</v>
      </c>
      <c r="P4616">
        <v>5.8177742999999997E-2</v>
      </c>
      <c r="Q4616" t="str">
        <f t="shared" si="144"/>
        <v>01-09</v>
      </c>
      <c r="R4616" t="str">
        <f t="shared" si="145"/>
        <v>[U8c0so51kT6]|01-09|Male|NEW_INFECTIONS_SUBNAT.T_1|CY2024Q3</v>
      </c>
    </row>
    <row r="4617" spans="4:18" x14ac:dyDescent="0.2">
      <c r="D4617" t="s">
        <v>129</v>
      </c>
      <c r="E4617" t="s">
        <v>130</v>
      </c>
      <c r="F4617" t="s">
        <v>131</v>
      </c>
      <c r="G4617" t="s">
        <v>203</v>
      </c>
      <c r="H4617" t="s">
        <v>203</v>
      </c>
      <c r="I4617" t="s">
        <v>36</v>
      </c>
      <c r="J4617" t="s">
        <v>37</v>
      </c>
      <c r="K4617" t="s">
        <v>48</v>
      </c>
      <c r="L4617" t="s">
        <v>49</v>
      </c>
      <c r="M4617" t="s">
        <v>140</v>
      </c>
      <c r="N4617">
        <v>0</v>
      </c>
      <c r="O4617">
        <v>0</v>
      </c>
      <c r="P4617">
        <v>5.8177742999999997E-2</v>
      </c>
      <c r="Q4617" t="str">
        <f t="shared" si="144"/>
        <v>10-14</v>
      </c>
      <c r="R4617" t="str">
        <f t="shared" si="145"/>
        <v>[U8c0so51kT6]|10-14|Male|NEW_INFECTIONS_SUBNAT.T_1|CY2024Q3</v>
      </c>
    </row>
    <row r="4618" spans="4:18" x14ac:dyDescent="0.2">
      <c r="D4618" t="s">
        <v>129</v>
      </c>
      <c r="E4618" t="s">
        <v>130</v>
      </c>
      <c r="F4618" t="s">
        <v>131</v>
      </c>
      <c r="G4618" t="s">
        <v>203</v>
      </c>
      <c r="H4618" t="s">
        <v>203</v>
      </c>
      <c r="I4618" t="s">
        <v>38</v>
      </c>
      <c r="J4618" t="s">
        <v>39</v>
      </c>
      <c r="K4618" t="s">
        <v>48</v>
      </c>
      <c r="L4618" t="s">
        <v>49</v>
      </c>
      <c r="M4618" t="s">
        <v>140</v>
      </c>
      <c r="N4618">
        <v>19</v>
      </c>
      <c r="O4618">
        <v>6.4584191999999999E-2</v>
      </c>
      <c r="P4618">
        <v>5.8177742999999997E-2</v>
      </c>
      <c r="Q4618" t="str">
        <f t="shared" si="144"/>
        <v>15-24</v>
      </c>
      <c r="R4618" t="str">
        <f t="shared" si="145"/>
        <v>[U8c0so51kT6]|15-24|Male|NEW_INFECTIONS_SUBNAT.T_1|CY2024Q3</v>
      </c>
    </row>
    <row r="4619" spans="4:18" x14ac:dyDescent="0.2">
      <c r="D4619" t="s">
        <v>129</v>
      </c>
      <c r="E4619" t="s">
        <v>130</v>
      </c>
      <c r="F4619" t="s">
        <v>131</v>
      </c>
      <c r="G4619" t="s">
        <v>203</v>
      </c>
      <c r="H4619" t="s">
        <v>203</v>
      </c>
      <c r="I4619" t="s">
        <v>41</v>
      </c>
      <c r="J4619" t="s">
        <v>42</v>
      </c>
      <c r="K4619" t="s">
        <v>48</v>
      </c>
      <c r="L4619" t="s">
        <v>49</v>
      </c>
      <c r="M4619" t="s">
        <v>140</v>
      </c>
      <c r="N4619">
        <v>64</v>
      </c>
      <c r="O4619">
        <v>6.3014401999999997E-2</v>
      </c>
      <c r="P4619">
        <v>5.8177742999999997E-2</v>
      </c>
      <c r="Q4619" t="str">
        <f t="shared" si="144"/>
        <v>25-34</v>
      </c>
      <c r="R4619" t="str">
        <f t="shared" si="145"/>
        <v>[U8c0so51kT6]|25-34|Male|NEW_INFECTIONS_SUBNAT.T_1|CY2024Q3</v>
      </c>
    </row>
    <row r="4620" spans="4:18" x14ac:dyDescent="0.2">
      <c r="D4620" t="s">
        <v>129</v>
      </c>
      <c r="E4620" t="s">
        <v>130</v>
      </c>
      <c r="F4620" t="s">
        <v>131</v>
      </c>
      <c r="G4620" t="s">
        <v>203</v>
      </c>
      <c r="H4620" t="s">
        <v>203</v>
      </c>
      <c r="I4620" t="s">
        <v>43</v>
      </c>
      <c r="J4620" t="s">
        <v>44</v>
      </c>
      <c r="K4620" t="s">
        <v>48</v>
      </c>
      <c r="L4620" t="s">
        <v>49</v>
      </c>
      <c r="M4620" t="s">
        <v>140</v>
      </c>
      <c r="N4620">
        <v>65</v>
      </c>
      <c r="O4620">
        <v>5.7869149000000002E-2</v>
      </c>
      <c r="P4620">
        <v>5.8177742999999997E-2</v>
      </c>
      <c r="Q4620" t="str">
        <f t="shared" si="144"/>
        <v>35-49</v>
      </c>
      <c r="R4620" t="str">
        <f t="shared" si="145"/>
        <v>[U8c0so51kT6]|35-49|Male|NEW_INFECTIONS_SUBNAT.T_1|CY2024Q3</v>
      </c>
    </row>
    <row r="4621" spans="4:18" x14ac:dyDescent="0.2">
      <c r="D4621" t="s">
        <v>129</v>
      </c>
      <c r="E4621" t="s">
        <v>130</v>
      </c>
      <c r="F4621" t="s">
        <v>131</v>
      </c>
      <c r="G4621" t="s">
        <v>203</v>
      </c>
      <c r="H4621" t="s">
        <v>203</v>
      </c>
      <c r="I4621" t="s">
        <v>45</v>
      </c>
      <c r="J4621" t="s">
        <v>46</v>
      </c>
      <c r="K4621" t="s">
        <v>48</v>
      </c>
      <c r="L4621" t="s">
        <v>49</v>
      </c>
      <c r="M4621" t="s">
        <v>140</v>
      </c>
      <c r="N4621">
        <v>17</v>
      </c>
      <c r="O4621">
        <v>5.6169774999999998E-2</v>
      </c>
      <c r="P4621">
        <v>5.8177742999999997E-2</v>
      </c>
      <c r="Q4621" t="str">
        <f t="shared" si="144"/>
        <v>50+</v>
      </c>
      <c r="R4621" t="str">
        <f t="shared" si="145"/>
        <v>[U8c0so51kT6]|50+|Male|NEW_INFECTIONS_SUBNAT.T_1|CY2024Q3</v>
      </c>
    </row>
    <row r="4622" spans="4:18" x14ac:dyDescent="0.2">
      <c r="D4622" t="s">
        <v>132</v>
      </c>
      <c r="E4622" t="s">
        <v>133</v>
      </c>
      <c r="F4622" t="s">
        <v>134</v>
      </c>
      <c r="G4622" t="s">
        <v>203</v>
      </c>
      <c r="H4622" t="s">
        <v>203</v>
      </c>
      <c r="I4622" t="s">
        <v>28</v>
      </c>
      <c r="J4622" t="s">
        <v>29</v>
      </c>
      <c r="K4622" t="s">
        <v>30</v>
      </c>
      <c r="L4622" t="s">
        <v>31</v>
      </c>
      <c r="M4622" t="s">
        <v>140</v>
      </c>
      <c r="N4622">
        <v>18</v>
      </c>
      <c r="O4622">
        <v>7.2096645000000001E-2</v>
      </c>
      <c r="P4622">
        <v>7.2518060999999995E-2</v>
      </c>
      <c r="Q4622" t="str">
        <f t="shared" si="144"/>
        <v>&lt;01</v>
      </c>
      <c r="R4622" t="str">
        <f t="shared" si="145"/>
        <v>[rpw540fmNUz]|&lt;01|Female|NEW_INFECTIONS_SUBNAT.T_1|CY2024Q3</v>
      </c>
    </row>
    <row r="4623" spans="4:18" x14ac:dyDescent="0.2">
      <c r="D4623" t="s">
        <v>132</v>
      </c>
      <c r="E4623" t="s">
        <v>133</v>
      </c>
      <c r="F4623" t="s">
        <v>134</v>
      </c>
      <c r="G4623" t="s">
        <v>203</v>
      </c>
      <c r="H4623" t="s">
        <v>203</v>
      </c>
      <c r="I4623" t="s">
        <v>33</v>
      </c>
      <c r="J4623" t="s">
        <v>34</v>
      </c>
      <c r="K4623" t="s">
        <v>30</v>
      </c>
      <c r="L4623" t="s">
        <v>31</v>
      </c>
      <c r="M4623" t="s">
        <v>140</v>
      </c>
      <c r="N4623">
        <v>5</v>
      </c>
      <c r="O4623">
        <v>3.6048323E-2</v>
      </c>
      <c r="P4623">
        <v>7.2518060999999995E-2</v>
      </c>
      <c r="Q4623" t="str">
        <f t="shared" si="144"/>
        <v>01-09</v>
      </c>
      <c r="R4623" t="str">
        <f t="shared" si="145"/>
        <v>[rpw540fmNUz]|01-09|Female|NEW_INFECTIONS_SUBNAT.T_1|CY2024Q3</v>
      </c>
    </row>
    <row r="4624" spans="4:18" x14ac:dyDescent="0.2">
      <c r="D4624" t="s">
        <v>132</v>
      </c>
      <c r="E4624" t="s">
        <v>133</v>
      </c>
      <c r="F4624" t="s">
        <v>134</v>
      </c>
      <c r="G4624" t="s">
        <v>203</v>
      </c>
      <c r="H4624" t="s">
        <v>203</v>
      </c>
      <c r="I4624" t="s">
        <v>36</v>
      </c>
      <c r="J4624" t="s">
        <v>37</v>
      </c>
      <c r="K4624" t="s">
        <v>30</v>
      </c>
      <c r="L4624" t="s">
        <v>31</v>
      </c>
      <c r="M4624" t="s">
        <v>140</v>
      </c>
      <c r="N4624">
        <v>0</v>
      </c>
      <c r="O4624">
        <v>0</v>
      </c>
      <c r="P4624">
        <v>7.2518060999999995E-2</v>
      </c>
      <c r="Q4624" t="str">
        <f t="shared" si="144"/>
        <v>10-14</v>
      </c>
      <c r="R4624" t="str">
        <f t="shared" si="145"/>
        <v>[rpw540fmNUz]|10-14|Female|NEW_INFECTIONS_SUBNAT.T_1|CY2024Q3</v>
      </c>
    </row>
    <row r="4625" spans="4:18" x14ac:dyDescent="0.2">
      <c r="D4625" t="s">
        <v>132</v>
      </c>
      <c r="E4625" t="s">
        <v>133</v>
      </c>
      <c r="F4625" t="s">
        <v>134</v>
      </c>
      <c r="G4625" t="s">
        <v>203</v>
      </c>
      <c r="H4625" t="s">
        <v>203</v>
      </c>
      <c r="I4625" t="s">
        <v>38</v>
      </c>
      <c r="J4625" t="s">
        <v>39</v>
      </c>
      <c r="K4625" t="s">
        <v>30</v>
      </c>
      <c r="L4625" t="s">
        <v>31</v>
      </c>
      <c r="M4625" t="s">
        <v>140</v>
      </c>
      <c r="N4625">
        <v>62</v>
      </c>
      <c r="O4625">
        <v>7.9068659999999999E-2</v>
      </c>
      <c r="P4625">
        <v>7.2518060999999995E-2</v>
      </c>
      <c r="Q4625" t="str">
        <f t="shared" si="144"/>
        <v>15-24</v>
      </c>
      <c r="R4625" t="str">
        <f t="shared" si="145"/>
        <v>[rpw540fmNUz]|15-24|Female|NEW_INFECTIONS_SUBNAT.T_1|CY2024Q3</v>
      </c>
    </row>
    <row r="4626" spans="4:18" x14ac:dyDescent="0.2">
      <c r="D4626" t="s">
        <v>132</v>
      </c>
      <c r="E4626" t="s">
        <v>133</v>
      </c>
      <c r="F4626" t="s">
        <v>134</v>
      </c>
      <c r="G4626" t="s">
        <v>203</v>
      </c>
      <c r="H4626" t="s">
        <v>203</v>
      </c>
      <c r="I4626" t="s">
        <v>41</v>
      </c>
      <c r="J4626" t="s">
        <v>42</v>
      </c>
      <c r="K4626" t="s">
        <v>30</v>
      </c>
      <c r="L4626" t="s">
        <v>31</v>
      </c>
      <c r="M4626" t="s">
        <v>140</v>
      </c>
      <c r="N4626">
        <v>58</v>
      </c>
      <c r="O4626">
        <v>7.3131289000000002E-2</v>
      </c>
      <c r="P4626">
        <v>7.2518060999999995E-2</v>
      </c>
      <c r="Q4626" t="str">
        <f t="shared" si="144"/>
        <v>25-34</v>
      </c>
      <c r="R4626" t="str">
        <f t="shared" si="145"/>
        <v>[rpw540fmNUz]|25-34|Female|NEW_INFECTIONS_SUBNAT.T_1|CY2024Q3</v>
      </c>
    </row>
    <row r="4627" spans="4:18" x14ac:dyDescent="0.2">
      <c r="D4627" t="s">
        <v>132</v>
      </c>
      <c r="E4627" t="s">
        <v>133</v>
      </c>
      <c r="F4627" t="s">
        <v>134</v>
      </c>
      <c r="G4627" t="s">
        <v>203</v>
      </c>
      <c r="H4627" t="s">
        <v>203</v>
      </c>
      <c r="I4627" t="s">
        <v>43</v>
      </c>
      <c r="J4627" t="s">
        <v>44</v>
      </c>
      <c r="K4627" t="s">
        <v>30</v>
      </c>
      <c r="L4627" t="s">
        <v>31</v>
      </c>
      <c r="M4627" t="s">
        <v>140</v>
      </c>
      <c r="N4627">
        <v>27</v>
      </c>
      <c r="O4627">
        <v>6.1584828000000001E-2</v>
      </c>
      <c r="P4627">
        <v>7.2518060999999995E-2</v>
      </c>
      <c r="Q4627" t="str">
        <f t="shared" si="144"/>
        <v>35-49</v>
      </c>
      <c r="R4627" t="str">
        <f t="shared" si="145"/>
        <v>[rpw540fmNUz]|35-49|Female|NEW_INFECTIONS_SUBNAT.T_1|CY2024Q3</v>
      </c>
    </row>
    <row r="4628" spans="4:18" x14ac:dyDescent="0.2">
      <c r="D4628" t="s">
        <v>132</v>
      </c>
      <c r="E4628" t="s">
        <v>133</v>
      </c>
      <c r="F4628" t="s">
        <v>134</v>
      </c>
      <c r="G4628" t="s">
        <v>203</v>
      </c>
      <c r="H4628" t="s">
        <v>203</v>
      </c>
      <c r="I4628" t="s">
        <v>45</v>
      </c>
      <c r="J4628" t="s">
        <v>46</v>
      </c>
      <c r="K4628" t="s">
        <v>30</v>
      </c>
      <c r="L4628" t="s">
        <v>31</v>
      </c>
      <c r="M4628" t="s">
        <v>140</v>
      </c>
      <c r="N4628">
        <v>5</v>
      </c>
      <c r="O4628">
        <v>6.3455665999999994E-2</v>
      </c>
      <c r="P4628">
        <v>7.2518060999999995E-2</v>
      </c>
      <c r="Q4628" t="str">
        <f t="shared" si="144"/>
        <v>50+</v>
      </c>
      <c r="R4628" t="str">
        <f t="shared" si="145"/>
        <v>[rpw540fmNUz]|50+|Female|NEW_INFECTIONS_SUBNAT.T_1|CY2024Q3</v>
      </c>
    </row>
    <row r="4629" spans="4:18" x14ac:dyDescent="0.2">
      <c r="D4629" t="s">
        <v>132</v>
      </c>
      <c r="E4629" t="s">
        <v>133</v>
      </c>
      <c r="F4629" t="s">
        <v>134</v>
      </c>
      <c r="G4629" t="s">
        <v>203</v>
      </c>
      <c r="H4629" t="s">
        <v>203</v>
      </c>
      <c r="I4629" t="s">
        <v>28</v>
      </c>
      <c r="J4629" t="s">
        <v>29</v>
      </c>
      <c r="K4629" t="s">
        <v>48</v>
      </c>
      <c r="L4629" t="s">
        <v>49</v>
      </c>
      <c r="M4629" t="s">
        <v>140</v>
      </c>
      <c r="N4629">
        <v>18</v>
      </c>
      <c r="O4629">
        <v>7.2089938000000006E-2</v>
      </c>
      <c r="P4629">
        <v>7.2518060999999995E-2</v>
      </c>
      <c r="Q4629" t="str">
        <f t="shared" si="144"/>
        <v>&lt;01</v>
      </c>
      <c r="R4629" t="str">
        <f t="shared" si="145"/>
        <v>[rpw540fmNUz]|&lt;01|Male|NEW_INFECTIONS_SUBNAT.T_1|CY2024Q3</v>
      </c>
    </row>
    <row r="4630" spans="4:18" x14ac:dyDescent="0.2">
      <c r="D4630" t="s">
        <v>132</v>
      </c>
      <c r="E4630" t="s">
        <v>133</v>
      </c>
      <c r="F4630" t="s">
        <v>134</v>
      </c>
      <c r="G4630" t="s">
        <v>203</v>
      </c>
      <c r="H4630" t="s">
        <v>203</v>
      </c>
      <c r="I4630" t="s">
        <v>33</v>
      </c>
      <c r="J4630" t="s">
        <v>34</v>
      </c>
      <c r="K4630" t="s">
        <v>48</v>
      </c>
      <c r="L4630" t="s">
        <v>49</v>
      </c>
      <c r="M4630" t="s">
        <v>140</v>
      </c>
      <c r="N4630">
        <v>4</v>
      </c>
      <c r="O4630">
        <v>3.6044969000000003E-2</v>
      </c>
      <c r="P4630">
        <v>7.2518060999999995E-2</v>
      </c>
      <c r="Q4630" t="str">
        <f t="shared" si="144"/>
        <v>01-09</v>
      </c>
      <c r="R4630" t="str">
        <f t="shared" si="145"/>
        <v>[rpw540fmNUz]|01-09|Male|NEW_INFECTIONS_SUBNAT.T_1|CY2024Q3</v>
      </c>
    </row>
    <row r="4631" spans="4:18" x14ac:dyDescent="0.2">
      <c r="D4631" t="s">
        <v>132</v>
      </c>
      <c r="E4631" t="s">
        <v>133</v>
      </c>
      <c r="F4631" t="s">
        <v>134</v>
      </c>
      <c r="G4631" t="s">
        <v>203</v>
      </c>
      <c r="H4631" t="s">
        <v>203</v>
      </c>
      <c r="I4631" t="s">
        <v>36</v>
      </c>
      <c r="J4631" t="s">
        <v>37</v>
      </c>
      <c r="K4631" t="s">
        <v>48</v>
      </c>
      <c r="L4631" t="s">
        <v>49</v>
      </c>
      <c r="M4631" t="s">
        <v>140</v>
      </c>
      <c r="N4631">
        <v>0</v>
      </c>
      <c r="O4631">
        <v>0</v>
      </c>
      <c r="P4631">
        <v>7.2518060999999995E-2</v>
      </c>
      <c r="Q4631" t="str">
        <f t="shared" si="144"/>
        <v>10-14</v>
      </c>
      <c r="R4631" t="str">
        <f t="shared" si="145"/>
        <v>[rpw540fmNUz]|10-14|Male|NEW_INFECTIONS_SUBNAT.T_1|CY2024Q3</v>
      </c>
    </row>
    <row r="4632" spans="4:18" x14ac:dyDescent="0.2">
      <c r="D4632" t="s">
        <v>132</v>
      </c>
      <c r="E4632" t="s">
        <v>133</v>
      </c>
      <c r="F4632" t="s">
        <v>134</v>
      </c>
      <c r="G4632" t="s">
        <v>203</v>
      </c>
      <c r="H4632" t="s">
        <v>203</v>
      </c>
      <c r="I4632" t="s">
        <v>38</v>
      </c>
      <c r="J4632" t="s">
        <v>39</v>
      </c>
      <c r="K4632" t="s">
        <v>48</v>
      </c>
      <c r="L4632" t="s">
        <v>49</v>
      </c>
      <c r="M4632" t="s">
        <v>140</v>
      </c>
      <c r="N4632">
        <v>10</v>
      </c>
      <c r="O4632">
        <v>8.0477666000000003E-2</v>
      </c>
      <c r="P4632">
        <v>7.2518060999999995E-2</v>
      </c>
      <c r="Q4632" t="str">
        <f t="shared" si="144"/>
        <v>15-24</v>
      </c>
      <c r="R4632" t="str">
        <f t="shared" si="145"/>
        <v>[rpw540fmNUz]|15-24|Male|NEW_INFECTIONS_SUBNAT.T_1|CY2024Q3</v>
      </c>
    </row>
    <row r="4633" spans="4:18" x14ac:dyDescent="0.2">
      <c r="D4633" t="s">
        <v>132</v>
      </c>
      <c r="E4633" t="s">
        <v>133</v>
      </c>
      <c r="F4633" t="s">
        <v>134</v>
      </c>
      <c r="G4633" t="s">
        <v>203</v>
      </c>
      <c r="H4633" t="s">
        <v>203</v>
      </c>
      <c r="I4633" t="s">
        <v>41</v>
      </c>
      <c r="J4633" t="s">
        <v>42</v>
      </c>
      <c r="K4633" t="s">
        <v>48</v>
      </c>
      <c r="L4633" t="s">
        <v>49</v>
      </c>
      <c r="M4633" t="s">
        <v>140</v>
      </c>
      <c r="N4633">
        <v>31</v>
      </c>
      <c r="O4633">
        <v>7.8364710000000004E-2</v>
      </c>
      <c r="P4633">
        <v>7.2518060999999995E-2</v>
      </c>
      <c r="Q4633" t="str">
        <f t="shared" si="144"/>
        <v>25-34</v>
      </c>
      <c r="R4633" t="str">
        <f t="shared" si="145"/>
        <v>[rpw540fmNUz]|25-34|Male|NEW_INFECTIONS_SUBNAT.T_1|CY2024Q3</v>
      </c>
    </row>
    <row r="4634" spans="4:18" x14ac:dyDescent="0.2">
      <c r="D4634" t="s">
        <v>132</v>
      </c>
      <c r="E4634" t="s">
        <v>133</v>
      </c>
      <c r="F4634" t="s">
        <v>134</v>
      </c>
      <c r="G4634" t="s">
        <v>203</v>
      </c>
      <c r="H4634" t="s">
        <v>203</v>
      </c>
      <c r="I4634" t="s">
        <v>43</v>
      </c>
      <c r="J4634" t="s">
        <v>44</v>
      </c>
      <c r="K4634" t="s">
        <v>48</v>
      </c>
      <c r="L4634" t="s">
        <v>49</v>
      </c>
      <c r="M4634" t="s">
        <v>140</v>
      </c>
      <c r="N4634">
        <v>32</v>
      </c>
      <c r="O4634">
        <v>7.0524022000000006E-2</v>
      </c>
      <c r="P4634">
        <v>7.2518060999999995E-2</v>
      </c>
      <c r="Q4634" t="str">
        <f t="shared" si="144"/>
        <v>35-49</v>
      </c>
      <c r="R4634" t="str">
        <f t="shared" si="145"/>
        <v>[rpw540fmNUz]|35-49|Male|NEW_INFECTIONS_SUBNAT.T_1|CY2024Q3</v>
      </c>
    </row>
    <row r="4635" spans="4:18" x14ac:dyDescent="0.2">
      <c r="D4635" t="s">
        <v>132</v>
      </c>
      <c r="E4635" t="s">
        <v>133</v>
      </c>
      <c r="F4635" t="s">
        <v>134</v>
      </c>
      <c r="G4635" t="s">
        <v>203</v>
      </c>
      <c r="H4635" t="s">
        <v>203</v>
      </c>
      <c r="I4635" t="s">
        <v>45</v>
      </c>
      <c r="J4635" t="s">
        <v>46</v>
      </c>
      <c r="K4635" t="s">
        <v>48</v>
      </c>
      <c r="L4635" t="s">
        <v>49</v>
      </c>
      <c r="M4635" t="s">
        <v>140</v>
      </c>
      <c r="N4635">
        <v>9</v>
      </c>
      <c r="O4635">
        <v>6.6010517000000005E-2</v>
      </c>
      <c r="P4635">
        <v>7.2518060999999995E-2</v>
      </c>
      <c r="Q4635" t="str">
        <f t="shared" si="144"/>
        <v>50+</v>
      </c>
      <c r="R4635" t="str">
        <f t="shared" si="145"/>
        <v>[rpw540fmNUz]|50+|Male|NEW_INFECTIONS_SUBNAT.T_1|CY2024Q3</v>
      </c>
    </row>
    <row r="4636" spans="4:18" x14ac:dyDescent="0.2">
      <c r="D4636" t="s">
        <v>135</v>
      </c>
      <c r="E4636" t="s">
        <v>136</v>
      </c>
      <c r="F4636" t="s">
        <v>137</v>
      </c>
      <c r="G4636" t="s">
        <v>203</v>
      </c>
      <c r="H4636" t="s">
        <v>203</v>
      </c>
      <c r="I4636" t="s">
        <v>28</v>
      </c>
      <c r="J4636" t="s">
        <v>29</v>
      </c>
      <c r="K4636" t="s">
        <v>30</v>
      </c>
      <c r="L4636" t="s">
        <v>31</v>
      </c>
      <c r="M4636" t="s">
        <v>140</v>
      </c>
      <c r="N4636">
        <v>6</v>
      </c>
      <c r="O4636">
        <v>9.8322072999999996E-2</v>
      </c>
      <c r="P4636">
        <v>9.4767392000000006E-2</v>
      </c>
      <c r="Q4636" t="str">
        <f t="shared" si="144"/>
        <v>&lt;01</v>
      </c>
      <c r="R4636" t="str">
        <f t="shared" si="145"/>
        <v>[gwVYinjBAe9]|&lt;01|Female|NEW_INFECTIONS_SUBNAT.T_1|CY2024Q3</v>
      </c>
    </row>
    <row r="4637" spans="4:18" x14ac:dyDescent="0.2">
      <c r="D4637" t="s">
        <v>135</v>
      </c>
      <c r="E4637" t="s">
        <v>136</v>
      </c>
      <c r="F4637" t="s">
        <v>137</v>
      </c>
      <c r="G4637" t="s">
        <v>203</v>
      </c>
      <c r="H4637" t="s">
        <v>203</v>
      </c>
      <c r="I4637" t="s">
        <v>33</v>
      </c>
      <c r="J4637" t="s">
        <v>34</v>
      </c>
      <c r="K4637" t="s">
        <v>30</v>
      </c>
      <c r="L4637" t="s">
        <v>31</v>
      </c>
      <c r="M4637" t="s">
        <v>140</v>
      </c>
      <c r="N4637">
        <v>2</v>
      </c>
      <c r="O4637">
        <v>4.9161036999999998E-2</v>
      </c>
      <c r="P4637">
        <v>9.4767392000000006E-2</v>
      </c>
      <c r="Q4637" t="str">
        <f t="shared" si="144"/>
        <v>01-09</v>
      </c>
      <c r="R4637" t="str">
        <f t="shared" si="145"/>
        <v>[gwVYinjBAe9]|01-09|Female|NEW_INFECTIONS_SUBNAT.T_1|CY2024Q3</v>
      </c>
    </row>
    <row r="4638" spans="4:18" x14ac:dyDescent="0.2">
      <c r="D4638" t="s">
        <v>135</v>
      </c>
      <c r="E4638" t="s">
        <v>136</v>
      </c>
      <c r="F4638" t="s">
        <v>137</v>
      </c>
      <c r="G4638" t="s">
        <v>203</v>
      </c>
      <c r="H4638" t="s">
        <v>203</v>
      </c>
      <c r="I4638" t="s">
        <v>36</v>
      </c>
      <c r="J4638" t="s">
        <v>37</v>
      </c>
      <c r="K4638" t="s">
        <v>30</v>
      </c>
      <c r="L4638" t="s">
        <v>31</v>
      </c>
      <c r="M4638" t="s">
        <v>140</v>
      </c>
      <c r="N4638">
        <v>0</v>
      </c>
      <c r="O4638">
        <v>0</v>
      </c>
      <c r="P4638">
        <v>9.4767392000000006E-2</v>
      </c>
      <c r="Q4638" t="str">
        <f t="shared" si="144"/>
        <v>10-14</v>
      </c>
      <c r="R4638" t="str">
        <f t="shared" si="145"/>
        <v>[gwVYinjBAe9]|10-14|Female|NEW_INFECTIONS_SUBNAT.T_1|CY2024Q3</v>
      </c>
    </row>
    <row r="4639" spans="4:18" x14ac:dyDescent="0.2">
      <c r="D4639" t="s">
        <v>135</v>
      </c>
      <c r="E4639" t="s">
        <v>136</v>
      </c>
      <c r="F4639" t="s">
        <v>137</v>
      </c>
      <c r="G4639" t="s">
        <v>203</v>
      </c>
      <c r="H4639" t="s">
        <v>203</v>
      </c>
      <c r="I4639" t="s">
        <v>38</v>
      </c>
      <c r="J4639" t="s">
        <v>39</v>
      </c>
      <c r="K4639" t="s">
        <v>30</v>
      </c>
      <c r="L4639" t="s">
        <v>31</v>
      </c>
      <c r="M4639" t="s">
        <v>140</v>
      </c>
      <c r="N4639">
        <v>23</v>
      </c>
      <c r="O4639">
        <v>9.9977637999999994E-2</v>
      </c>
      <c r="P4639">
        <v>9.4767392000000006E-2</v>
      </c>
      <c r="Q4639" t="str">
        <f t="shared" si="144"/>
        <v>15-24</v>
      </c>
      <c r="R4639" t="str">
        <f t="shared" si="145"/>
        <v>[gwVYinjBAe9]|15-24|Female|NEW_INFECTIONS_SUBNAT.T_1|CY2024Q3</v>
      </c>
    </row>
    <row r="4640" spans="4:18" x14ac:dyDescent="0.2">
      <c r="D4640" t="s">
        <v>135</v>
      </c>
      <c r="E4640" t="s">
        <v>136</v>
      </c>
      <c r="F4640" t="s">
        <v>137</v>
      </c>
      <c r="G4640" t="s">
        <v>203</v>
      </c>
      <c r="H4640" t="s">
        <v>203</v>
      </c>
      <c r="I4640" t="s">
        <v>41</v>
      </c>
      <c r="J4640" t="s">
        <v>42</v>
      </c>
      <c r="K4640" t="s">
        <v>30</v>
      </c>
      <c r="L4640" t="s">
        <v>31</v>
      </c>
      <c r="M4640" t="s">
        <v>140</v>
      </c>
      <c r="N4640">
        <v>21</v>
      </c>
      <c r="O4640">
        <v>9.4539130999999998E-2</v>
      </c>
      <c r="P4640">
        <v>9.4767392000000006E-2</v>
      </c>
      <c r="Q4640" t="str">
        <f t="shared" si="144"/>
        <v>25-34</v>
      </c>
      <c r="R4640" t="str">
        <f t="shared" si="145"/>
        <v>[gwVYinjBAe9]|25-34|Female|NEW_INFECTIONS_SUBNAT.T_1|CY2024Q3</v>
      </c>
    </row>
    <row r="4641" spans="4:18" x14ac:dyDescent="0.2">
      <c r="D4641" t="s">
        <v>135</v>
      </c>
      <c r="E4641" t="s">
        <v>136</v>
      </c>
      <c r="F4641" t="s">
        <v>137</v>
      </c>
      <c r="G4641" t="s">
        <v>203</v>
      </c>
      <c r="H4641" t="s">
        <v>203</v>
      </c>
      <c r="I4641" t="s">
        <v>43</v>
      </c>
      <c r="J4641" t="s">
        <v>44</v>
      </c>
      <c r="K4641" t="s">
        <v>30</v>
      </c>
      <c r="L4641" t="s">
        <v>31</v>
      </c>
      <c r="M4641" t="s">
        <v>140</v>
      </c>
      <c r="N4641">
        <v>11</v>
      </c>
      <c r="O4641">
        <v>8.1753784999999995E-2</v>
      </c>
      <c r="P4641">
        <v>9.4767392000000006E-2</v>
      </c>
      <c r="Q4641" t="str">
        <f t="shared" si="144"/>
        <v>35-49</v>
      </c>
      <c r="R4641" t="str">
        <f t="shared" si="145"/>
        <v>[gwVYinjBAe9]|35-49|Female|NEW_INFECTIONS_SUBNAT.T_1|CY2024Q3</v>
      </c>
    </row>
    <row r="4642" spans="4:18" x14ac:dyDescent="0.2">
      <c r="D4642" t="s">
        <v>135</v>
      </c>
      <c r="E4642" t="s">
        <v>136</v>
      </c>
      <c r="F4642" t="s">
        <v>137</v>
      </c>
      <c r="G4642" t="s">
        <v>203</v>
      </c>
      <c r="H4642" t="s">
        <v>203</v>
      </c>
      <c r="I4642" t="s">
        <v>45</v>
      </c>
      <c r="J4642" t="s">
        <v>46</v>
      </c>
      <c r="K4642" t="s">
        <v>30</v>
      </c>
      <c r="L4642" t="s">
        <v>31</v>
      </c>
      <c r="M4642" t="s">
        <v>140</v>
      </c>
      <c r="N4642">
        <v>2</v>
      </c>
      <c r="O4642">
        <v>8.3680114E-2</v>
      </c>
      <c r="P4642">
        <v>9.4767392000000006E-2</v>
      </c>
      <c r="Q4642" t="str">
        <f t="shared" si="144"/>
        <v>50+</v>
      </c>
      <c r="R4642" t="str">
        <f t="shared" si="145"/>
        <v>[gwVYinjBAe9]|50+|Female|NEW_INFECTIONS_SUBNAT.T_1|CY2024Q3</v>
      </c>
    </row>
    <row r="4643" spans="4:18" x14ac:dyDescent="0.2">
      <c r="D4643" t="s">
        <v>135</v>
      </c>
      <c r="E4643" t="s">
        <v>136</v>
      </c>
      <c r="F4643" t="s">
        <v>137</v>
      </c>
      <c r="G4643" t="s">
        <v>203</v>
      </c>
      <c r="H4643" t="s">
        <v>203</v>
      </c>
      <c r="I4643" t="s">
        <v>28</v>
      </c>
      <c r="J4643" t="s">
        <v>29</v>
      </c>
      <c r="K4643" t="s">
        <v>48</v>
      </c>
      <c r="L4643" t="s">
        <v>49</v>
      </c>
      <c r="M4643" t="s">
        <v>140</v>
      </c>
      <c r="N4643">
        <v>6</v>
      </c>
      <c r="O4643">
        <v>9.8322031000000004E-2</v>
      </c>
      <c r="P4643">
        <v>9.4767392000000006E-2</v>
      </c>
      <c r="Q4643" t="str">
        <f t="shared" si="144"/>
        <v>&lt;01</v>
      </c>
      <c r="R4643" t="str">
        <f t="shared" si="145"/>
        <v>[gwVYinjBAe9]|&lt;01|Male|NEW_INFECTIONS_SUBNAT.T_1|CY2024Q3</v>
      </c>
    </row>
    <row r="4644" spans="4:18" x14ac:dyDescent="0.2">
      <c r="D4644" t="s">
        <v>135</v>
      </c>
      <c r="E4644" t="s">
        <v>136</v>
      </c>
      <c r="F4644" t="s">
        <v>137</v>
      </c>
      <c r="G4644" t="s">
        <v>203</v>
      </c>
      <c r="H4644" t="s">
        <v>203</v>
      </c>
      <c r="I4644" t="s">
        <v>33</v>
      </c>
      <c r="J4644" t="s">
        <v>34</v>
      </c>
      <c r="K4644" t="s">
        <v>48</v>
      </c>
      <c r="L4644" t="s">
        <v>49</v>
      </c>
      <c r="M4644" t="s">
        <v>140</v>
      </c>
      <c r="N4644">
        <v>2</v>
      </c>
      <c r="O4644">
        <v>4.9161015000000002E-2</v>
      </c>
      <c r="P4644">
        <v>9.4767392000000006E-2</v>
      </c>
      <c r="Q4644" t="str">
        <f t="shared" si="144"/>
        <v>01-09</v>
      </c>
      <c r="R4644" t="str">
        <f t="shared" si="145"/>
        <v>[gwVYinjBAe9]|01-09|Male|NEW_INFECTIONS_SUBNAT.T_1|CY2024Q3</v>
      </c>
    </row>
    <row r="4645" spans="4:18" x14ac:dyDescent="0.2">
      <c r="D4645" t="s">
        <v>135</v>
      </c>
      <c r="E4645" t="s">
        <v>136</v>
      </c>
      <c r="F4645" t="s">
        <v>137</v>
      </c>
      <c r="G4645" t="s">
        <v>203</v>
      </c>
      <c r="H4645" t="s">
        <v>203</v>
      </c>
      <c r="I4645" t="s">
        <v>36</v>
      </c>
      <c r="J4645" t="s">
        <v>37</v>
      </c>
      <c r="K4645" t="s">
        <v>48</v>
      </c>
      <c r="L4645" t="s">
        <v>49</v>
      </c>
      <c r="M4645" t="s">
        <v>140</v>
      </c>
      <c r="N4645">
        <v>0</v>
      </c>
      <c r="O4645">
        <v>0</v>
      </c>
      <c r="P4645">
        <v>9.4767392000000006E-2</v>
      </c>
      <c r="Q4645" t="str">
        <f t="shared" si="144"/>
        <v>10-14</v>
      </c>
      <c r="R4645" t="str">
        <f t="shared" si="145"/>
        <v>[gwVYinjBAe9]|10-14|Male|NEW_INFECTIONS_SUBNAT.T_1|CY2024Q3</v>
      </c>
    </row>
    <row r="4646" spans="4:18" x14ac:dyDescent="0.2">
      <c r="D4646" t="s">
        <v>135</v>
      </c>
      <c r="E4646" t="s">
        <v>136</v>
      </c>
      <c r="F4646" t="s">
        <v>137</v>
      </c>
      <c r="G4646" t="s">
        <v>203</v>
      </c>
      <c r="H4646" t="s">
        <v>203</v>
      </c>
      <c r="I4646" t="s">
        <v>38</v>
      </c>
      <c r="J4646" t="s">
        <v>39</v>
      </c>
      <c r="K4646" t="s">
        <v>48</v>
      </c>
      <c r="L4646" t="s">
        <v>49</v>
      </c>
      <c r="M4646" t="s">
        <v>140</v>
      </c>
      <c r="N4646">
        <v>4</v>
      </c>
      <c r="O4646">
        <v>0.10131659899999999</v>
      </c>
      <c r="P4646">
        <v>9.4767392000000006E-2</v>
      </c>
      <c r="Q4646" t="str">
        <f t="shared" si="144"/>
        <v>15-24</v>
      </c>
      <c r="R4646" t="str">
        <f t="shared" si="145"/>
        <v>[gwVYinjBAe9]|15-24|Male|NEW_INFECTIONS_SUBNAT.T_1|CY2024Q3</v>
      </c>
    </row>
    <row r="4647" spans="4:18" x14ac:dyDescent="0.2">
      <c r="D4647" t="s">
        <v>135</v>
      </c>
      <c r="E4647" t="s">
        <v>136</v>
      </c>
      <c r="F4647" t="s">
        <v>137</v>
      </c>
      <c r="G4647" t="s">
        <v>203</v>
      </c>
      <c r="H4647" t="s">
        <v>203</v>
      </c>
      <c r="I4647" t="s">
        <v>41</v>
      </c>
      <c r="J4647" t="s">
        <v>42</v>
      </c>
      <c r="K4647" t="s">
        <v>48</v>
      </c>
      <c r="L4647" t="s">
        <v>49</v>
      </c>
      <c r="M4647" t="s">
        <v>140</v>
      </c>
      <c r="N4647">
        <v>13</v>
      </c>
      <c r="O4647">
        <v>9.9489719000000004E-2</v>
      </c>
      <c r="P4647">
        <v>9.4767392000000006E-2</v>
      </c>
      <c r="Q4647" t="str">
        <f t="shared" si="144"/>
        <v>25-34</v>
      </c>
      <c r="R4647" t="str">
        <f t="shared" si="145"/>
        <v>[gwVYinjBAe9]|25-34|Male|NEW_INFECTIONS_SUBNAT.T_1|CY2024Q3</v>
      </c>
    </row>
    <row r="4648" spans="4:18" x14ac:dyDescent="0.2">
      <c r="D4648" t="s">
        <v>135</v>
      </c>
      <c r="E4648" t="s">
        <v>136</v>
      </c>
      <c r="F4648" t="s">
        <v>137</v>
      </c>
      <c r="G4648" t="s">
        <v>203</v>
      </c>
      <c r="H4648" t="s">
        <v>203</v>
      </c>
      <c r="I4648" t="s">
        <v>43</v>
      </c>
      <c r="J4648" t="s">
        <v>44</v>
      </c>
      <c r="K4648" t="s">
        <v>48</v>
      </c>
      <c r="L4648" t="s">
        <v>49</v>
      </c>
      <c r="M4648" t="s">
        <v>140</v>
      </c>
      <c r="N4648">
        <v>12</v>
      </c>
      <c r="O4648">
        <v>9.2268631000000004E-2</v>
      </c>
      <c r="P4648">
        <v>9.4767392000000006E-2</v>
      </c>
      <c r="Q4648" t="str">
        <f t="shared" si="144"/>
        <v>35-49</v>
      </c>
      <c r="R4648" t="str">
        <f t="shared" si="145"/>
        <v>[gwVYinjBAe9]|35-49|Male|NEW_INFECTIONS_SUBNAT.T_1|CY2024Q3</v>
      </c>
    </row>
    <row r="4649" spans="4:18" x14ac:dyDescent="0.2">
      <c r="D4649" t="s">
        <v>135</v>
      </c>
      <c r="E4649" t="s">
        <v>136</v>
      </c>
      <c r="F4649" t="s">
        <v>137</v>
      </c>
      <c r="G4649" t="s">
        <v>203</v>
      </c>
      <c r="H4649" t="s">
        <v>203</v>
      </c>
      <c r="I4649" t="s">
        <v>45</v>
      </c>
      <c r="J4649" t="s">
        <v>46</v>
      </c>
      <c r="K4649" t="s">
        <v>48</v>
      </c>
      <c r="L4649" t="s">
        <v>49</v>
      </c>
      <c r="M4649" t="s">
        <v>140</v>
      </c>
      <c r="N4649">
        <v>4</v>
      </c>
      <c r="O4649">
        <v>8.7622295000000003E-2</v>
      </c>
      <c r="P4649">
        <v>9.4767392000000006E-2</v>
      </c>
      <c r="Q4649" t="str">
        <f t="shared" si="144"/>
        <v>50+</v>
      </c>
      <c r="R4649" t="str">
        <f t="shared" si="145"/>
        <v>[gwVYinjBAe9]|50+|Male|NEW_INFECTIONS_SUBNAT.T_1|CY2024Q3</v>
      </c>
    </row>
    <row r="4650" spans="4:18" x14ac:dyDescent="0.2">
      <c r="D4650" t="s">
        <v>23</v>
      </c>
      <c r="E4650" t="s">
        <v>24</v>
      </c>
      <c r="F4650" t="s">
        <v>25</v>
      </c>
      <c r="G4650" t="s">
        <v>204</v>
      </c>
      <c r="H4650" t="s">
        <v>205</v>
      </c>
      <c r="I4650" t="s">
        <v>38</v>
      </c>
      <c r="J4650" t="s">
        <v>39</v>
      </c>
      <c r="K4650" t="s">
        <v>30</v>
      </c>
      <c r="L4650" t="s">
        <v>31</v>
      </c>
      <c r="M4650" t="s">
        <v>140</v>
      </c>
      <c r="N4650">
        <v>3897</v>
      </c>
      <c r="O4650">
        <v>1.1753236E-2</v>
      </c>
      <c r="P4650">
        <v>1.1753236E-2</v>
      </c>
      <c r="Q4650" t="str">
        <f t="shared" si="144"/>
        <v>15-24</v>
      </c>
      <c r="R4650" t="str">
        <f t="shared" si="145"/>
        <v>[GkIwZrXy1h2]|15-24|Female|PMTCT_STAT_SUBNAT.D.T_1|CY2024Q3</v>
      </c>
    </row>
    <row r="4651" spans="4:18" x14ac:dyDescent="0.2">
      <c r="D4651" t="s">
        <v>23</v>
      </c>
      <c r="E4651" t="s">
        <v>24</v>
      </c>
      <c r="F4651" t="s">
        <v>25</v>
      </c>
      <c r="G4651" t="s">
        <v>204</v>
      </c>
      <c r="H4651" t="s">
        <v>205</v>
      </c>
      <c r="I4651" t="s">
        <v>41</v>
      </c>
      <c r="J4651" t="s">
        <v>42</v>
      </c>
      <c r="K4651" t="s">
        <v>30</v>
      </c>
      <c r="L4651" t="s">
        <v>31</v>
      </c>
      <c r="M4651" t="s">
        <v>140</v>
      </c>
      <c r="N4651">
        <v>2495</v>
      </c>
      <c r="O4651">
        <v>1.1753236E-2</v>
      </c>
      <c r="P4651">
        <v>1.1753236E-2</v>
      </c>
      <c r="Q4651" t="str">
        <f t="shared" si="144"/>
        <v>25-34</v>
      </c>
      <c r="R4651" t="str">
        <f t="shared" si="145"/>
        <v>[GkIwZrXy1h2]|25-34|Female|PMTCT_STAT_SUBNAT.D.T_1|CY2024Q3</v>
      </c>
    </row>
    <row r="4652" spans="4:18" x14ac:dyDescent="0.2">
      <c r="D4652" t="s">
        <v>23</v>
      </c>
      <c r="E4652" t="s">
        <v>24</v>
      </c>
      <c r="F4652" t="s">
        <v>25</v>
      </c>
      <c r="G4652" t="s">
        <v>204</v>
      </c>
      <c r="H4652" t="s">
        <v>205</v>
      </c>
      <c r="I4652" t="s">
        <v>43</v>
      </c>
      <c r="J4652" t="s">
        <v>44</v>
      </c>
      <c r="K4652" t="s">
        <v>30</v>
      </c>
      <c r="L4652" t="s">
        <v>31</v>
      </c>
      <c r="M4652" t="s">
        <v>140</v>
      </c>
      <c r="N4652">
        <v>909</v>
      </c>
      <c r="O4652">
        <v>1.1753236E-2</v>
      </c>
      <c r="P4652">
        <v>1.1753236E-2</v>
      </c>
      <c r="Q4652" t="str">
        <f t="shared" si="144"/>
        <v>35-49</v>
      </c>
      <c r="R4652" t="str">
        <f t="shared" si="145"/>
        <v>[GkIwZrXy1h2]|35-49|Female|PMTCT_STAT_SUBNAT.D.T_1|CY2024Q3</v>
      </c>
    </row>
    <row r="4653" spans="4:18" x14ac:dyDescent="0.2">
      <c r="D4653" t="s">
        <v>53</v>
      </c>
      <c r="E4653" t="s">
        <v>54</v>
      </c>
      <c r="F4653" t="s">
        <v>55</v>
      </c>
      <c r="G4653" t="s">
        <v>204</v>
      </c>
      <c r="H4653" t="s">
        <v>205</v>
      </c>
      <c r="I4653" t="s">
        <v>38</v>
      </c>
      <c r="J4653" t="s">
        <v>39</v>
      </c>
      <c r="K4653" t="s">
        <v>30</v>
      </c>
      <c r="L4653" t="s">
        <v>31</v>
      </c>
      <c r="M4653" t="s">
        <v>140</v>
      </c>
      <c r="N4653">
        <v>5439</v>
      </c>
      <c r="O4653">
        <v>9.7983789999999994E-3</v>
      </c>
      <c r="P4653">
        <v>9.7983789999999994E-3</v>
      </c>
      <c r="Q4653" t="str">
        <f t="shared" si="144"/>
        <v>15-24</v>
      </c>
      <c r="R4653" t="str">
        <f t="shared" si="145"/>
        <v>[cPtvxaZqXIH]|15-24|Female|PMTCT_STAT_SUBNAT.D.T_1|CY2024Q3</v>
      </c>
    </row>
    <row r="4654" spans="4:18" x14ac:dyDescent="0.2">
      <c r="D4654" t="s">
        <v>53</v>
      </c>
      <c r="E4654" t="s">
        <v>54</v>
      </c>
      <c r="F4654" t="s">
        <v>55</v>
      </c>
      <c r="G4654" t="s">
        <v>204</v>
      </c>
      <c r="H4654" t="s">
        <v>205</v>
      </c>
      <c r="I4654" t="s">
        <v>41</v>
      </c>
      <c r="J4654" t="s">
        <v>42</v>
      </c>
      <c r="K4654" t="s">
        <v>30</v>
      </c>
      <c r="L4654" t="s">
        <v>31</v>
      </c>
      <c r="M4654" t="s">
        <v>140</v>
      </c>
      <c r="N4654">
        <v>3455</v>
      </c>
      <c r="O4654">
        <v>9.7983789999999994E-3</v>
      </c>
      <c r="P4654">
        <v>9.7983789999999994E-3</v>
      </c>
      <c r="Q4654" t="str">
        <f t="shared" si="144"/>
        <v>25-34</v>
      </c>
      <c r="R4654" t="str">
        <f t="shared" si="145"/>
        <v>[cPtvxaZqXIH]|25-34|Female|PMTCT_STAT_SUBNAT.D.T_1|CY2024Q3</v>
      </c>
    </row>
    <row r="4655" spans="4:18" x14ac:dyDescent="0.2">
      <c r="D4655" t="s">
        <v>53</v>
      </c>
      <c r="E4655" t="s">
        <v>54</v>
      </c>
      <c r="F4655" t="s">
        <v>55</v>
      </c>
      <c r="G4655" t="s">
        <v>204</v>
      </c>
      <c r="H4655" t="s">
        <v>205</v>
      </c>
      <c r="I4655" t="s">
        <v>43</v>
      </c>
      <c r="J4655" t="s">
        <v>44</v>
      </c>
      <c r="K4655" t="s">
        <v>30</v>
      </c>
      <c r="L4655" t="s">
        <v>31</v>
      </c>
      <c r="M4655" t="s">
        <v>140</v>
      </c>
      <c r="N4655">
        <v>1250</v>
      </c>
      <c r="O4655">
        <v>9.7983789999999994E-3</v>
      </c>
      <c r="P4655">
        <v>9.7983789999999994E-3</v>
      </c>
      <c r="Q4655" t="str">
        <f t="shared" si="144"/>
        <v>35-49</v>
      </c>
      <c r="R4655" t="str">
        <f t="shared" si="145"/>
        <v>[cPtvxaZqXIH]|35-49|Female|PMTCT_STAT_SUBNAT.D.T_1|CY2024Q3</v>
      </c>
    </row>
    <row r="4656" spans="4:18" x14ac:dyDescent="0.2">
      <c r="D4656" t="s">
        <v>60</v>
      </c>
      <c r="E4656" t="s">
        <v>61</v>
      </c>
      <c r="F4656" t="s">
        <v>62</v>
      </c>
      <c r="G4656" t="s">
        <v>204</v>
      </c>
      <c r="H4656" t="s">
        <v>205</v>
      </c>
      <c r="I4656" t="s">
        <v>38</v>
      </c>
      <c r="J4656" t="s">
        <v>39</v>
      </c>
      <c r="K4656" t="s">
        <v>30</v>
      </c>
      <c r="L4656" t="s">
        <v>31</v>
      </c>
      <c r="M4656" t="s">
        <v>140</v>
      </c>
      <c r="N4656">
        <v>4315</v>
      </c>
      <c r="O4656">
        <v>1.1502804E-2</v>
      </c>
      <c r="P4656">
        <v>1.1502804E-2</v>
      </c>
      <c r="Q4656" t="str">
        <f t="shared" si="144"/>
        <v>15-24</v>
      </c>
      <c r="R4656" t="str">
        <f t="shared" si="145"/>
        <v>[E7zpfyBt7Tw]|15-24|Female|PMTCT_STAT_SUBNAT.D.T_1|CY2024Q3</v>
      </c>
    </row>
    <row r="4657" spans="4:18" x14ac:dyDescent="0.2">
      <c r="D4657" t="s">
        <v>60</v>
      </c>
      <c r="E4657" t="s">
        <v>61</v>
      </c>
      <c r="F4657" t="s">
        <v>62</v>
      </c>
      <c r="G4657" t="s">
        <v>204</v>
      </c>
      <c r="H4657" t="s">
        <v>205</v>
      </c>
      <c r="I4657" t="s">
        <v>41</v>
      </c>
      <c r="J4657" t="s">
        <v>42</v>
      </c>
      <c r="K4657" t="s">
        <v>30</v>
      </c>
      <c r="L4657" t="s">
        <v>31</v>
      </c>
      <c r="M4657" t="s">
        <v>140</v>
      </c>
      <c r="N4657">
        <v>2505</v>
      </c>
      <c r="O4657">
        <v>1.1502804E-2</v>
      </c>
      <c r="P4657">
        <v>1.1502804E-2</v>
      </c>
      <c r="Q4657" t="str">
        <f t="shared" si="144"/>
        <v>25-34</v>
      </c>
      <c r="R4657" t="str">
        <f t="shared" si="145"/>
        <v>[E7zpfyBt7Tw]|25-34|Female|PMTCT_STAT_SUBNAT.D.T_1|CY2024Q3</v>
      </c>
    </row>
    <row r="4658" spans="4:18" x14ac:dyDescent="0.2">
      <c r="D4658" t="s">
        <v>60</v>
      </c>
      <c r="E4658" t="s">
        <v>61</v>
      </c>
      <c r="F4658" t="s">
        <v>62</v>
      </c>
      <c r="G4658" t="s">
        <v>204</v>
      </c>
      <c r="H4658" t="s">
        <v>205</v>
      </c>
      <c r="I4658" t="s">
        <v>43</v>
      </c>
      <c r="J4658" t="s">
        <v>44</v>
      </c>
      <c r="K4658" t="s">
        <v>30</v>
      </c>
      <c r="L4658" t="s">
        <v>31</v>
      </c>
      <c r="M4658" t="s">
        <v>140</v>
      </c>
      <c r="N4658">
        <v>948</v>
      </c>
      <c r="O4658">
        <v>1.1502804E-2</v>
      </c>
      <c r="P4658">
        <v>1.1502804E-2</v>
      </c>
      <c r="Q4658" t="str">
        <f t="shared" si="144"/>
        <v>35-49</v>
      </c>
      <c r="R4658" t="str">
        <f t="shared" si="145"/>
        <v>[E7zpfyBt7Tw]|35-49|Female|PMTCT_STAT_SUBNAT.D.T_1|CY2024Q3</v>
      </c>
    </row>
    <row r="4659" spans="4:18" x14ac:dyDescent="0.2">
      <c r="D4659" t="s">
        <v>63</v>
      </c>
      <c r="E4659" t="s">
        <v>64</v>
      </c>
      <c r="F4659" t="s">
        <v>65</v>
      </c>
      <c r="G4659" t="s">
        <v>204</v>
      </c>
      <c r="H4659" t="s">
        <v>205</v>
      </c>
      <c r="I4659" t="s">
        <v>38</v>
      </c>
      <c r="J4659" t="s">
        <v>39</v>
      </c>
      <c r="K4659" t="s">
        <v>30</v>
      </c>
      <c r="L4659" t="s">
        <v>31</v>
      </c>
      <c r="M4659" t="s">
        <v>140</v>
      </c>
      <c r="N4659">
        <v>3198</v>
      </c>
      <c r="O4659">
        <v>1.3019686000000001E-2</v>
      </c>
      <c r="P4659">
        <v>1.3019686000000001E-2</v>
      </c>
      <c r="Q4659" t="str">
        <f t="shared" si="144"/>
        <v>15-24</v>
      </c>
      <c r="R4659" t="str">
        <f t="shared" si="145"/>
        <v>[lPTyjLi4w3d]|15-24|Female|PMTCT_STAT_SUBNAT.D.T_1|CY2024Q3</v>
      </c>
    </row>
    <row r="4660" spans="4:18" x14ac:dyDescent="0.2">
      <c r="D4660" t="s">
        <v>63</v>
      </c>
      <c r="E4660" t="s">
        <v>64</v>
      </c>
      <c r="F4660" t="s">
        <v>65</v>
      </c>
      <c r="G4660" t="s">
        <v>204</v>
      </c>
      <c r="H4660" t="s">
        <v>205</v>
      </c>
      <c r="I4660" t="s">
        <v>41</v>
      </c>
      <c r="J4660" t="s">
        <v>42</v>
      </c>
      <c r="K4660" t="s">
        <v>30</v>
      </c>
      <c r="L4660" t="s">
        <v>31</v>
      </c>
      <c r="M4660" t="s">
        <v>140</v>
      </c>
      <c r="N4660">
        <v>2050</v>
      </c>
      <c r="O4660">
        <v>1.3019686000000001E-2</v>
      </c>
      <c r="P4660">
        <v>1.3019686000000001E-2</v>
      </c>
      <c r="Q4660" t="str">
        <f t="shared" si="144"/>
        <v>25-34</v>
      </c>
      <c r="R4660" t="str">
        <f t="shared" si="145"/>
        <v>[lPTyjLi4w3d]|25-34|Female|PMTCT_STAT_SUBNAT.D.T_1|CY2024Q3</v>
      </c>
    </row>
    <row r="4661" spans="4:18" x14ac:dyDescent="0.2">
      <c r="D4661" t="s">
        <v>63</v>
      </c>
      <c r="E4661" t="s">
        <v>64</v>
      </c>
      <c r="F4661" t="s">
        <v>65</v>
      </c>
      <c r="G4661" t="s">
        <v>204</v>
      </c>
      <c r="H4661" t="s">
        <v>205</v>
      </c>
      <c r="I4661" t="s">
        <v>43</v>
      </c>
      <c r="J4661" t="s">
        <v>44</v>
      </c>
      <c r="K4661" t="s">
        <v>30</v>
      </c>
      <c r="L4661" t="s">
        <v>31</v>
      </c>
      <c r="M4661" t="s">
        <v>140</v>
      </c>
      <c r="N4661">
        <v>767</v>
      </c>
      <c r="O4661">
        <v>1.3019686000000001E-2</v>
      </c>
      <c r="P4661">
        <v>1.3019686000000001E-2</v>
      </c>
      <c r="Q4661" t="str">
        <f t="shared" si="144"/>
        <v>35-49</v>
      </c>
      <c r="R4661" t="str">
        <f t="shared" si="145"/>
        <v>[lPTyjLi4w3d]|35-49|Female|PMTCT_STAT_SUBNAT.D.T_1|CY2024Q3</v>
      </c>
    </row>
    <row r="4662" spans="4:18" x14ac:dyDescent="0.2">
      <c r="D4662" t="s">
        <v>66</v>
      </c>
      <c r="E4662" t="s">
        <v>67</v>
      </c>
      <c r="F4662" t="s">
        <v>68</v>
      </c>
      <c r="G4662" t="s">
        <v>204</v>
      </c>
      <c r="H4662" t="s">
        <v>205</v>
      </c>
      <c r="I4662" t="s">
        <v>38</v>
      </c>
      <c r="J4662" t="s">
        <v>39</v>
      </c>
      <c r="K4662" t="s">
        <v>30</v>
      </c>
      <c r="L4662" t="s">
        <v>31</v>
      </c>
      <c r="M4662" t="s">
        <v>140</v>
      </c>
      <c r="N4662">
        <v>17793</v>
      </c>
      <c r="O4662">
        <v>5.3014860000000002E-3</v>
      </c>
      <c r="P4662">
        <v>5.3054240000000004E-3</v>
      </c>
      <c r="Q4662" t="str">
        <f t="shared" si="144"/>
        <v>15-24</v>
      </c>
      <c r="R4662" t="str">
        <f t="shared" si="145"/>
        <v>[vA4NcHxfMBq]|15-24|Female|PMTCT_STAT_SUBNAT.D.T_1|CY2024Q3</v>
      </c>
    </row>
    <row r="4663" spans="4:18" x14ac:dyDescent="0.2">
      <c r="D4663" t="s">
        <v>66</v>
      </c>
      <c r="E4663" t="s">
        <v>67</v>
      </c>
      <c r="F4663" t="s">
        <v>68</v>
      </c>
      <c r="G4663" t="s">
        <v>204</v>
      </c>
      <c r="H4663" t="s">
        <v>205</v>
      </c>
      <c r="I4663" t="s">
        <v>41</v>
      </c>
      <c r="J4663" t="s">
        <v>42</v>
      </c>
      <c r="K4663" t="s">
        <v>30</v>
      </c>
      <c r="L4663" t="s">
        <v>31</v>
      </c>
      <c r="M4663" t="s">
        <v>140</v>
      </c>
      <c r="N4663">
        <v>11568</v>
      </c>
      <c r="O4663">
        <v>5.3259750000000002E-3</v>
      </c>
      <c r="P4663">
        <v>5.3054240000000004E-3</v>
      </c>
      <c r="Q4663" t="str">
        <f t="shared" si="144"/>
        <v>25-34</v>
      </c>
      <c r="R4663" t="str">
        <f t="shared" si="145"/>
        <v>[vA4NcHxfMBq]|25-34|Female|PMTCT_STAT_SUBNAT.D.T_1|CY2024Q3</v>
      </c>
    </row>
    <row r="4664" spans="4:18" x14ac:dyDescent="0.2">
      <c r="D4664" t="s">
        <v>66</v>
      </c>
      <c r="E4664" t="s">
        <v>67</v>
      </c>
      <c r="F4664" t="s">
        <v>68</v>
      </c>
      <c r="G4664" t="s">
        <v>204</v>
      </c>
      <c r="H4664" t="s">
        <v>205</v>
      </c>
      <c r="I4664" t="s">
        <v>43</v>
      </c>
      <c r="J4664" t="s">
        <v>44</v>
      </c>
      <c r="K4664" t="s">
        <v>30</v>
      </c>
      <c r="L4664" t="s">
        <v>31</v>
      </c>
      <c r="M4664" t="s">
        <v>140</v>
      </c>
      <c r="N4664">
        <v>4162</v>
      </c>
      <c r="O4664">
        <v>5.2984369999999996E-3</v>
      </c>
      <c r="P4664">
        <v>5.3054240000000004E-3</v>
      </c>
      <c r="Q4664" t="str">
        <f t="shared" si="144"/>
        <v>35-49</v>
      </c>
      <c r="R4664" t="str">
        <f t="shared" si="145"/>
        <v>[vA4NcHxfMBq]|35-49|Female|PMTCT_STAT_SUBNAT.D.T_1|CY2024Q3</v>
      </c>
    </row>
    <row r="4665" spans="4:18" x14ac:dyDescent="0.2">
      <c r="D4665" t="s">
        <v>69</v>
      </c>
      <c r="E4665" t="s">
        <v>70</v>
      </c>
      <c r="F4665" t="s">
        <v>71</v>
      </c>
      <c r="G4665" t="s">
        <v>204</v>
      </c>
      <c r="H4665" t="s">
        <v>205</v>
      </c>
      <c r="I4665" t="s">
        <v>38</v>
      </c>
      <c r="J4665" t="s">
        <v>39</v>
      </c>
      <c r="K4665" t="s">
        <v>30</v>
      </c>
      <c r="L4665" t="s">
        <v>31</v>
      </c>
      <c r="M4665" t="s">
        <v>140</v>
      </c>
      <c r="N4665">
        <v>326</v>
      </c>
      <c r="O4665">
        <v>3.8697888999999999E-2</v>
      </c>
      <c r="P4665">
        <v>3.8697888999999999E-2</v>
      </c>
      <c r="Q4665" t="str">
        <f t="shared" si="144"/>
        <v>15-24</v>
      </c>
      <c r="R4665" t="str">
        <f t="shared" si="145"/>
        <v>[ZCjuwgaMB9u]|15-24|Female|PMTCT_STAT_SUBNAT.D.T_1|CY2024Q3</v>
      </c>
    </row>
    <row r="4666" spans="4:18" x14ac:dyDescent="0.2">
      <c r="D4666" t="s">
        <v>69</v>
      </c>
      <c r="E4666" t="s">
        <v>70</v>
      </c>
      <c r="F4666" t="s">
        <v>71</v>
      </c>
      <c r="G4666" t="s">
        <v>204</v>
      </c>
      <c r="H4666" t="s">
        <v>205</v>
      </c>
      <c r="I4666" t="s">
        <v>41</v>
      </c>
      <c r="J4666" t="s">
        <v>42</v>
      </c>
      <c r="K4666" t="s">
        <v>30</v>
      </c>
      <c r="L4666" t="s">
        <v>31</v>
      </c>
      <c r="M4666" t="s">
        <v>140</v>
      </c>
      <c r="N4666">
        <v>237</v>
      </c>
      <c r="O4666">
        <v>3.8697888999999999E-2</v>
      </c>
      <c r="P4666">
        <v>3.8697888999999999E-2</v>
      </c>
      <c r="Q4666" t="str">
        <f t="shared" si="144"/>
        <v>25-34</v>
      </c>
      <c r="R4666" t="str">
        <f t="shared" si="145"/>
        <v>[ZCjuwgaMB9u]|25-34|Female|PMTCT_STAT_SUBNAT.D.T_1|CY2024Q3</v>
      </c>
    </row>
    <row r="4667" spans="4:18" x14ac:dyDescent="0.2">
      <c r="D4667" t="s">
        <v>69</v>
      </c>
      <c r="E4667" t="s">
        <v>70</v>
      </c>
      <c r="F4667" t="s">
        <v>71</v>
      </c>
      <c r="G4667" t="s">
        <v>204</v>
      </c>
      <c r="H4667" t="s">
        <v>205</v>
      </c>
      <c r="I4667" t="s">
        <v>43</v>
      </c>
      <c r="J4667" t="s">
        <v>44</v>
      </c>
      <c r="K4667" t="s">
        <v>30</v>
      </c>
      <c r="L4667" t="s">
        <v>31</v>
      </c>
      <c r="M4667" t="s">
        <v>140</v>
      </c>
      <c r="N4667">
        <v>88</v>
      </c>
      <c r="O4667">
        <v>3.8697888999999999E-2</v>
      </c>
      <c r="P4667">
        <v>3.8697888999999999E-2</v>
      </c>
      <c r="Q4667" t="str">
        <f t="shared" si="144"/>
        <v>35-49</v>
      </c>
      <c r="R4667" t="str">
        <f t="shared" si="145"/>
        <v>[ZCjuwgaMB9u]|35-49|Female|PMTCT_STAT_SUBNAT.D.T_1|CY2024Q3</v>
      </c>
    </row>
    <row r="4668" spans="4:18" x14ac:dyDescent="0.2">
      <c r="D4668" t="s">
        <v>72</v>
      </c>
      <c r="E4668" t="s">
        <v>73</v>
      </c>
      <c r="F4668" t="s">
        <v>74</v>
      </c>
      <c r="G4668" t="s">
        <v>204</v>
      </c>
      <c r="H4668" t="s">
        <v>205</v>
      </c>
      <c r="I4668" t="s">
        <v>38</v>
      </c>
      <c r="J4668" t="s">
        <v>39</v>
      </c>
      <c r="K4668" t="s">
        <v>30</v>
      </c>
      <c r="L4668" t="s">
        <v>31</v>
      </c>
      <c r="M4668" t="s">
        <v>140</v>
      </c>
      <c r="N4668">
        <v>12849</v>
      </c>
      <c r="O4668">
        <v>6.2807490000000004E-3</v>
      </c>
      <c r="P4668">
        <v>6.2807490000000004E-3</v>
      </c>
      <c r="Q4668" t="str">
        <f t="shared" si="144"/>
        <v>15-24</v>
      </c>
      <c r="R4668" t="str">
        <f t="shared" si="145"/>
        <v>[JQKLKuVuY61]|15-24|Female|PMTCT_STAT_SUBNAT.D.T_1|CY2024Q3</v>
      </c>
    </row>
    <row r="4669" spans="4:18" x14ac:dyDescent="0.2">
      <c r="D4669" t="s">
        <v>72</v>
      </c>
      <c r="E4669" t="s">
        <v>73</v>
      </c>
      <c r="F4669" t="s">
        <v>74</v>
      </c>
      <c r="G4669" t="s">
        <v>204</v>
      </c>
      <c r="H4669" t="s">
        <v>205</v>
      </c>
      <c r="I4669" t="s">
        <v>41</v>
      </c>
      <c r="J4669" t="s">
        <v>42</v>
      </c>
      <c r="K4669" t="s">
        <v>30</v>
      </c>
      <c r="L4669" t="s">
        <v>31</v>
      </c>
      <c r="M4669" t="s">
        <v>140</v>
      </c>
      <c r="N4669">
        <v>8242</v>
      </c>
      <c r="O4669">
        <v>6.2807490000000004E-3</v>
      </c>
      <c r="P4669">
        <v>6.2807490000000004E-3</v>
      </c>
      <c r="Q4669" t="str">
        <f t="shared" si="144"/>
        <v>25-34</v>
      </c>
      <c r="R4669" t="str">
        <f t="shared" si="145"/>
        <v>[JQKLKuVuY61]|25-34|Female|PMTCT_STAT_SUBNAT.D.T_1|CY2024Q3</v>
      </c>
    </row>
    <row r="4670" spans="4:18" x14ac:dyDescent="0.2">
      <c r="D4670" t="s">
        <v>72</v>
      </c>
      <c r="E4670" t="s">
        <v>73</v>
      </c>
      <c r="F4670" t="s">
        <v>74</v>
      </c>
      <c r="G4670" t="s">
        <v>204</v>
      </c>
      <c r="H4670" t="s">
        <v>205</v>
      </c>
      <c r="I4670" t="s">
        <v>43</v>
      </c>
      <c r="J4670" t="s">
        <v>44</v>
      </c>
      <c r="K4670" t="s">
        <v>30</v>
      </c>
      <c r="L4670" t="s">
        <v>31</v>
      </c>
      <c r="M4670" t="s">
        <v>140</v>
      </c>
      <c r="N4670">
        <v>3149</v>
      </c>
      <c r="O4670">
        <v>6.2807490000000004E-3</v>
      </c>
      <c r="P4670">
        <v>6.2807490000000004E-3</v>
      </c>
      <c r="Q4670" t="str">
        <f t="shared" si="144"/>
        <v>35-49</v>
      </c>
      <c r="R4670" t="str">
        <f t="shared" si="145"/>
        <v>[JQKLKuVuY61]|35-49|Female|PMTCT_STAT_SUBNAT.D.T_1|CY2024Q3</v>
      </c>
    </row>
    <row r="4671" spans="4:18" x14ac:dyDescent="0.2">
      <c r="D4671" t="s">
        <v>75</v>
      </c>
      <c r="E4671" t="s">
        <v>76</v>
      </c>
      <c r="F4671" t="s">
        <v>77</v>
      </c>
      <c r="G4671" t="s">
        <v>204</v>
      </c>
      <c r="H4671" t="s">
        <v>205</v>
      </c>
      <c r="I4671" t="s">
        <v>38</v>
      </c>
      <c r="J4671" t="s">
        <v>39</v>
      </c>
      <c r="K4671" t="s">
        <v>30</v>
      </c>
      <c r="L4671" t="s">
        <v>31</v>
      </c>
      <c r="M4671" t="s">
        <v>140</v>
      </c>
      <c r="N4671">
        <v>8369</v>
      </c>
      <c r="O4671">
        <v>7.9543689999999993E-3</v>
      </c>
      <c r="P4671">
        <v>7.9543689999999993E-3</v>
      </c>
      <c r="Q4671" t="str">
        <f t="shared" si="144"/>
        <v>15-24</v>
      </c>
      <c r="R4671" t="str">
        <f t="shared" si="145"/>
        <v>[YCKiBAp8QAg]|15-24|Female|PMTCT_STAT_SUBNAT.D.T_1|CY2024Q3</v>
      </c>
    </row>
    <row r="4672" spans="4:18" x14ac:dyDescent="0.2">
      <c r="D4672" t="s">
        <v>75</v>
      </c>
      <c r="E4672" t="s">
        <v>76</v>
      </c>
      <c r="F4672" t="s">
        <v>77</v>
      </c>
      <c r="G4672" t="s">
        <v>204</v>
      </c>
      <c r="H4672" t="s">
        <v>205</v>
      </c>
      <c r="I4672" t="s">
        <v>41</v>
      </c>
      <c r="J4672" t="s">
        <v>42</v>
      </c>
      <c r="K4672" t="s">
        <v>30</v>
      </c>
      <c r="L4672" t="s">
        <v>31</v>
      </c>
      <c r="M4672" t="s">
        <v>140</v>
      </c>
      <c r="N4672">
        <v>5307</v>
      </c>
      <c r="O4672">
        <v>7.9543689999999993E-3</v>
      </c>
      <c r="P4672">
        <v>7.9543689999999993E-3</v>
      </c>
      <c r="Q4672" t="str">
        <f t="shared" si="144"/>
        <v>25-34</v>
      </c>
      <c r="R4672" t="str">
        <f t="shared" si="145"/>
        <v>[YCKiBAp8QAg]|25-34|Female|PMTCT_STAT_SUBNAT.D.T_1|CY2024Q3</v>
      </c>
    </row>
    <row r="4673" spans="4:18" x14ac:dyDescent="0.2">
      <c r="D4673" t="s">
        <v>75</v>
      </c>
      <c r="E4673" t="s">
        <v>76</v>
      </c>
      <c r="F4673" t="s">
        <v>77</v>
      </c>
      <c r="G4673" t="s">
        <v>204</v>
      </c>
      <c r="H4673" t="s">
        <v>205</v>
      </c>
      <c r="I4673" t="s">
        <v>43</v>
      </c>
      <c r="J4673" t="s">
        <v>44</v>
      </c>
      <c r="K4673" t="s">
        <v>30</v>
      </c>
      <c r="L4673" t="s">
        <v>31</v>
      </c>
      <c r="M4673" t="s">
        <v>140</v>
      </c>
      <c r="N4673">
        <v>1945</v>
      </c>
      <c r="O4673">
        <v>7.9543689999999993E-3</v>
      </c>
      <c r="P4673">
        <v>7.9543689999999993E-3</v>
      </c>
      <c r="Q4673" t="str">
        <f t="shared" si="144"/>
        <v>35-49</v>
      </c>
      <c r="R4673" t="str">
        <f t="shared" si="145"/>
        <v>[YCKiBAp8QAg]|35-49|Female|PMTCT_STAT_SUBNAT.D.T_1|CY2024Q3</v>
      </c>
    </row>
    <row r="4674" spans="4:18" x14ac:dyDescent="0.2">
      <c r="D4674" t="s">
        <v>78</v>
      </c>
      <c r="E4674" t="s">
        <v>79</v>
      </c>
      <c r="F4674" t="s">
        <v>80</v>
      </c>
      <c r="G4674" t="s">
        <v>204</v>
      </c>
      <c r="H4674" t="s">
        <v>205</v>
      </c>
      <c r="I4674" t="s">
        <v>38</v>
      </c>
      <c r="J4674" t="s">
        <v>39</v>
      </c>
      <c r="K4674" t="s">
        <v>30</v>
      </c>
      <c r="L4674" t="s">
        <v>31</v>
      </c>
      <c r="M4674" t="s">
        <v>140</v>
      </c>
      <c r="N4674">
        <v>4698</v>
      </c>
      <c r="O4674">
        <v>1.0561374E-2</v>
      </c>
      <c r="P4674">
        <v>1.0561374E-2</v>
      </c>
      <c r="Q4674" t="str">
        <f t="shared" si="144"/>
        <v>15-24</v>
      </c>
      <c r="R4674" t="str">
        <f t="shared" si="145"/>
        <v>[fiRkU6gEjLz]|15-24|Female|PMTCT_STAT_SUBNAT.D.T_1|CY2024Q3</v>
      </c>
    </row>
    <row r="4675" spans="4:18" x14ac:dyDescent="0.2">
      <c r="D4675" t="s">
        <v>78</v>
      </c>
      <c r="E4675" t="s">
        <v>79</v>
      </c>
      <c r="F4675" t="s">
        <v>80</v>
      </c>
      <c r="G4675" t="s">
        <v>204</v>
      </c>
      <c r="H4675" t="s">
        <v>205</v>
      </c>
      <c r="I4675" t="s">
        <v>41</v>
      </c>
      <c r="J4675" t="s">
        <v>42</v>
      </c>
      <c r="K4675" t="s">
        <v>30</v>
      </c>
      <c r="L4675" t="s">
        <v>31</v>
      </c>
      <c r="M4675" t="s">
        <v>140</v>
      </c>
      <c r="N4675">
        <v>3065</v>
      </c>
      <c r="O4675">
        <v>1.0561374E-2</v>
      </c>
      <c r="P4675">
        <v>1.0561374E-2</v>
      </c>
      <c r="Q4675" t="str">
        <f t="shared" ref="Q4675:Q4738" si="146">SUBSTITUTE(SUBSTITUTE($I4675,CHAR(61),""),CHAR(34),"")</f>
        <v>25-34</v>
      </c>
      <c r="R4675" t="str">
        <f t="shared" ref="R4675:R4738" si="147">IF($D4675&lt;&gt;"","["&amp;$E4675&amp;"]"&amp;"|"&amp;$Q4675&amp;"|"&amp;$K4675&amp;"|"&amp;$G4675&amp;"|"&amp;IF($G4675="TX_CURR_SUBNAT.R","CY2023Q4",$M4675),"")</f>
        <v>[fiRkU6gEjLz]|25-34|Female|PMTCT_STAT_SUBNAT.D.T_1|CY2024Q3</v>
      </c>
    </row>
    <row r="4676" spans="4:18" x14ac:dyDescent="0.2">
      <c r="D4676" t="s">
        <v>78</v>
      </c>
      <c r="E4676" t="s">
        <v>79</v>
      </c>
      <c r="F4676" t="s">
        <v>80</v>
      </c>
      <c r="G4676" t="s">
        <v>204</v>
      </c>
      <c r="H4676" t="s">
        <v>205</v>
      </c>
      <c r="I4676" t="s">
        <v>43</v>
      </c>
      <c r="J4676" t="s">
        <v>44</v>
      </c>
      <c r="K4676" t="s">
        <v>30</v>
      </c>
      <c r="L4676" t="s">
        <v>31</v>
      </c>
      <c r="M4676" t="s">
        <v>140</v>
      </c>
      <c r="N4676">
        <v>1144</v>
      </c>
      <c r="O4676">
        <v>1.0561374E-2</v>
      </c>
      <c r="P4676">
        <v>1.0561374E-2</v>
      </c>
      <c r="Q4676" t="str">
        <f t="shared" si="146"/>
        <v>35-49</v>
      </c>
      <c r="R4676" t="str">
        <f t="shared" si="147"/>
        <v>[fiRkU6gEjLz]|35-49|Female|PMTCT_STAT_SUBNAT.D.T_1|CY2024Q3</v>
      </c>
    </row>
    <row r="4677" spans="4:18" x14ac:dyDescent="0.2">
      <c r="D4677" t="s">
        <v>81</v>
      </c>
      <c r="E4677" t="s">
        <v>82</v>
      </c>
      <c r="F4677" t="s">
        <v>83</v>
      </c>
      <c r="G4677" t="s">
        <v>204</v>
      </c>
      <c r="H4677" t="s">
        <v>205</v>
      </c>
      <c r="I4677" t="s">
        <v>38</v>
      </c>
      <c r="J4677" t="s">
        <v>39</v>
      </c>
      <c r="K4677" t="s">
        <v>30</v>
      </c>
      <c r="L4677" t="s">
        <v>31</v>
      </c>
      <c r="M4677" t="s">
        <v>140</v>
      </c>
      <c r="N4677">
        <v>8947</v>
      </c>
      <c r="O4677">
        <v>7.4024080000000001E-3</v>
      </c>
      <c r="P4677">
        <v>7.4024080000000001E-3</v>
      </c>
      <c r="Q4677" t="str">
        <f t="shared" si="146"/>
        <v>15-24</v>
      </c>
      <c r="R4677" t="str">
        <f t="shared" si="147"/>
        <v>[zphK9WV8JB4]|15-24|Female|PMTCT_STAT_SUBNAT.D.T_1|CY2024Q3</v>
      </c>
    </row>
    <row r="4678" spans="4:18" x14ac:dyDescent="0.2">
      <c r="D4678" t="s">
        <v>81</v>
      </c>
      <c r="E4678" t="s">
        <v>82</v>
      </c>
      <c r="F4678" t="s">
        <v>83</v>
      </c>
      <c r="G4678" t="s">
        <v>204</v>
      </c>
      <c r="H4678" t="s">
        <v>205</v>
      </c>
      <c r="I4678" t="s">
        <v>41</v>
      </c>
      <c r="J4678" t="s">
        <v>42</v>
      </c>
      <c r="K4678" t="s">
        <v>30</v>
      </c>
      <c r="L4678" t="s">
        <v>31</v>
      </c>
      <c r="M4678" t="s">
        <v>140</v>
      </c>
      <c r="N4678">
        <v>6001</v>
      </c>
      <c r="O4678">
        <v>7.4024080000000001E-3</v>
      </c>
      <c r="P4678">
        <v>7.4024080000000001E-3</v>
      </c>
      <c r="Q4678" t="str">
        <f t="shared" si="146"/>
        <v>25-34</v>
      </c>
      <c r="R4678" t="str">
        <f t="shared" si="147"/>
        <v>[zphK9WV8JB4]|25-34|Female|PMTCT_STAT_SUBNAT.D.T_1|CY2024Q3</v>
      </c>
    </row>
    <row r="4679" spans="4:18" x14ac:dyDescent="0.2">
      <c r="D4679" t="s">
        <v>81</v>
      </c>
      <c r="E4679" t="s">
        <v>82</v>
      </c>
      <c r="F4679" t="s">
        <v>83</v>
      </c>
      <c r="G4679" t="s">
        <v>204</v>
      </c>
      <c r="H4679" t="s">
        <v>205</v>
      </c>
      <c r="I4679" t="s">
        <v>43</v>
      </c>
      <c r="J4679" t="s">
        <v>44</v>
      </c>
      <c r="K4679" t="s">
        <v>30</v>
      </c>
      <c r="L4679" t="s">
        <v>31</v>
      </c>
      <c r="M4679" t="s">
        <v>140</v>
      </c>
      <c r="N4679">
        <v>2245</v>
      </c>
      <c r="O4679">
        <v>7.4024080000000001E-3</v>
      </c>
      <c r="P4679">
        <v>7.4024080000000001E-3</v>
      </c>
      <c r="Q4679" t="str">
        <f t="shared" si="146"/>
        <v>35-49</v>
      </c>
      <c r="R4679" t="str">
        <f t="shared" si="147"/>
        <v>[zphK9WV8JB4]|35-49|Female|PMTCT_STAT_SUBNAT.D.T_1|CY2024Q3</v>
      </c>
    </row>
    <row r="4680" spans="4:18" x14ac:dyDescent="0.2">
      <c r="D4680" t="s">
        <v>84</v>
      </c>
      <c r="E4680" t="s">
        <v>85</v>
      </c>
      <c r="F4680" t="s">
        <v>86</v>
      </c>
      <c r="G4680" t="s">
        <v>204</v>
      </c>
      <c r="H4680" t="s">
        <v>205</v>
      </c>
      <c r="I4680" t="s">
        <v>38</v>
      </c>
      <c r="J4680" t="s">
        <v>39</v>
      </c>
      <c r="K4680" t="s">
        <v>30</v>
      </c>
      <c r="L4680" t="s">
        <v>31</v>
      </c>
      <c r="M4680" t="s">
        <v>140</v>
      </c>
      <c r="N4680">
        <v>8618</v>
      </c>
      <c r="O4680">
        <v>7.7135340000000002E-3</v>
      </c>
      <c r="P4680">
        <v>7.7135340000000002E-3</v>
      </c>
      <c r="Q4680" t="str">
        <f t="shared" si="146"/>
        <v>15-24</v>
      </c>
      <c r="R4680" t="str">
        <f t="shared" si="147"/>
        <v>[msW2zpIN7up]|15-24|Female|PMTCT_STAT_SUBNAT.D.T_1|CY2024Q3</v>
      </c>
    </row>
    <row r="4681" spans="4:18" x14ac:dyDescent="0.2">
      <c r="D4681" t="s">
        <v>84</v>
      </c>
      <c r="E4681" t="s">
        <v>85</v>
      </c>
      <c r="F4681" t="s">
        <v>86</v>
      </c>
      <c r="G4681" t="s">
        <v>204</v>
      </c>
      <c r="H4681" t="s">
        <v>205</v>
      </c>
      <c r="I4681" t="s">
        <v>41</v>
      </c>
      <c r="J4681" t="s">
        <v>42</v>
      </c>
      <c r="K4681" t="s">
        <v>30</v>
      </c>
      <c r="L4681" t="s">
        <v>31</v>
      </c>
      <c r="M4681" t="s">
        <v>140</v>
      </c>
      <c r="N4681">
        <v>5727</v>
      </c>
      <c r="O4681">
        <v>7.7135340000000002E-3</v>
      </c>
      <c r="P4681">
        <v>7.7135340000000002E-3</v>
      </c>
      <c r="Q4681" t="str">
        <f t="shared" si="146"/>
        <v>25-34</v>
      </c>
      <c r="R4681" t="str">
        <f t="shared" si="147"/>
        <v>[msW2zpIN7up]|25-34|Female|PMTCT_STAT_SUBNAT.D.T_1|CY2024Q3</v>
      </c>
    </row>
    <row r="4682" spans="4:18" x14ac:dyDescent="0.2">
      <c r="D4682" t="s">
        <v>84</v>
      </c>
      <c r="E4682" t="s">
        <v>85</v>
      </c>
      <c r="F4682" t="s">
        <v>86</v>
      </c>
      <c r="G4682" t="s">
        <v>204</v>
      </c>
      <c r="H4682" t="s">
        <v>205</v>
      </c>
      <c r="I4682" t="s">
        <v>43</v>
      </c>
      <c r="J4682" t="s">
        <v>44</v>
      </c>
      <c r="K4682" t="s">
        <v>30</v>
      </c>
      <c r="L4682" t="s">
        <v>31</v>
      </c>
      <c r="M4682" t="s">
        <v>140</v>
      </c>
      <c r="N4682">
        <v>2081</v>
      </c>
      <c r="O4682">
        <v>7.7135340000000002E-3</v>
      </c>
      <c r="P4682">
        <v>7.7135340000000002E-3</v>
      </c>
      <c r="Q4682" t="str">
        <f t="shared" si="146"/>
        <v>35-49</v>
      </c>
      <c r="R4682" t="str">
        <f t="shared" si="147"/>
        <v>[msW2zpIN7up]|35-49|Female|PMTCT_STAT_SUBNAT.D.T_1|CY2024Q3</v>
      </c>
    </row>
    <row r="4683" spans="4:18" x14ac:dyDescent="0.2">
      <c r="D4683" t="s">
        <v>87</v>
      </c>
      <c r="E4683" t="s">
        <v>88</v>
      </c>
      <c r="F4683" t="s">
        <v>89</v>
      </c>
      <c r="G4683" t="s">
        <v>204</v>
      </c>
      <c r="H4683" t="s">
        <v>205</v>
      </c>
      <c r="I4683" t="s">
        <v>38</v>
      </c>
      <c r="J4683" t="s">
        <v>39</v>
      </c>
      <c r="K4683" t="s">
        <v>30</v>
      </c>
      <c r="L4683" t="s">
        <v>31</v>
      </c>
      <c r="M4683" t="s">
        <v>140</v>
      </c>
      <c r="N4683">
        <v>39096</v>
      </c>
      <c r="O4683">
        <v>3.683254E-3</v>
      </c>
      <c r="P4683">
        <v>3.679084E-3</v>
      </c>
      <c r="Q4683" t="str">
        <f t="shared" si="146"/>
        <v>15-24</v>
      </c>
      <c r="R4683" t="str">
        <f t="shared" si="147"/>
        <v>[ScR9iFKAasW]|15-24|Female|PMTCT_STAT_SUBNAT.D.T_1|CY2024Q3</v>
      </c>
    </row>
    <row r="4684" spans="4:18" x14ac:dyDescent="0.2">
      <c r="D4684" t="s">
        <v>87</v>
      </c>
      <c r="E4684" t="s">
        <v>88</v>
      </c>
      <c r="F4684" t="s">
        <v>89</v>
      </c>
      <c r="G4684" t="s">
        <v>204</v>
      </c>
      <c r="H4684" t="s">
        <v>205</v>
      </c>
      <c r="I4684" t="s">
        <v>41</v>
      </c>
      <c r="J4684" t="s">
        <v>42</v>
      </c>
      <c r="K4684" t="s">
        <v>30</v>
      </c>
      <c r="L4684" t="s">
        <v>31</v>
      </c>
      <c r="M4684" t="s">
        <v>140</v>
      </c>
      <c r="N4684">
        <v>27545</v>
      </c>
      <c r="O4684">
        <v>3.68023E-3</v>
      </c>
      <c r="P4684">
        <v>3.679084E-3</v>
      </c>
      <c r="Q4684" t="str">
        <f t="shared" si="146"/>
        <v>25-34</v>
      </c>
      <c r="R4684" t="str">
        <f t="shared" si="147"/>
        <v>[ScR9iFKAasW]|25-34|Female|PMTCT_STAT_SUBNAT.D.T_1|CY2024Q3</v>
      </c>
    </row>
    <row r="4685" spans="4:18" x14ac:dyDescent="0.2">
      <c r="D4685" t="s">
        <v>87</v>
      </c>
      <c r="E4685" t="s">
        <v>88</v>
      </c>
      <c r="F4685" t="s">
        <v>89</v>
      </c>
      <c r="G4685" t="s">
        <v>204</v>
      </c>
      <c r="H4685" t="s">
        <v>205</v>
      </c>
      <c r="I4685" t="s">
        <v>43</v>
      </c>
      <c r="J4685" t="s">
        <v>44</v>
      </c>
      <c r="K4685" t="s">
        <v>30</v>
      </c>
      <c r="L4685" t="s">
        <v>31</v>
      </c>
      <c r="M4685" t="s">
        <v>140</v>
      </c>
      <c r="N4685">
        <v>9867</v>
      </c>
      <c r="O4685">
        <v>3.6835829999999998E-3</v>
      </c>
      <c r="P4685">
        <v>3.679084E-3</v>
      </c>
      <c r="Q4685" t="str">
        <f t="shared" si="146"/>
        <v>35-49</v>
      </c>
      <c r="R4685" t="str">
        <f t="shared" si="147"/>
        <v>[ScR9iFKAasW]|35-49|Female|PMTCT_STAT_SUBNAT.D.T_1|CY2024Q3</v>
      </c>
    </row>
    <row r="4686" spans="4:18" x14ac:dyDescent="0.2">
      <c r="D4686" t="s">
        <v>90</v>
      </c>
      <c r="E4686" t="s">
        <v>91</v>
      </c>
      <c r="F4686" t="s">
        <v>92</v>
      </c>
      <c r="G4686" t="s">
        <v>204</v>
      </c>
      <c r="H4686" t="s">
        <v>205</v>
      </c>
      <c r="I4686" t="s">
        <v>38</v>
      </c>
      <c r="J4686" t="s">
        <v>39</v>
      </c>
      <c r="K4686" t="s">
        <v>30</v>
      </c>
      <c r="L4686" t="s">
        <v>31</v>
      </c>
      <c r="M4686" t="s">
        <v>140</v>
      </c>
      <c r="N4686">
        <v>9421</v>
      </c>
      <c r="O4686">
        <v>7.438938E-3</v>
      </c>
      <c r="P4686">
        <v>7.438938E-3</v>
      </c>
      <c r="Q4686" t="str">
        <f t="shared" si="146"/>
        <v>15-24</v>
      </c>
      <c r="R4686" t="str">
        <f t="shared" si="147"/>
        <v>[kxuuIFpOXyO]|15-24|Female|PMTCT_STAT_SUBNAT.D.T_1|CY2024Q3</v>
      </c>
    </row>
    <row r="4687" spans="4:18" x14ac:dyDescent="0.2">
      <c r="D4687" t="s">
        <v>90</v>
      </c>
      <c r="E4687" t="s">
        <v>91</v>
      </c>
      <c r="F4687" t="s">
        <v>92</v>
      </c>
      <c r="G4687" t="s">
        <v>204</v>
      </c>
      <c r="H4687" t="s">
        <v>205</v>
      </c>
      <c r="I4687" t="s">
        <v>41</v>
      </c>
      <c r="J4687" t="s">
        <v>42</v>
      </c>
      <c r="K4687" t="s">
        <v>30</v>
      </c>
      <c r="L4687" t="s">
        <v>31</v>
      </c>
      <c r="M4687" t="s">
        <v>140</v>
      </c>
      <c r="N4687">
        <v>6334</v>
      </c>
      <c r="O4687">
        <v>7.438938E-3</v>
      </c>
      <c r="P4687">
        <v>7.438938E-3</v>
      </c>
      <c r="Q4687" t="str">
        <f t="shared" si="146"/>
        <v>25-34</v>
      </c>
      <c r="R4687" t="str">
        <f t="shared" si="147"/>
        <v>[kxuuIFpOXyO]|25-34|Female|PMTCT_STAT_SUBNAT.D.T_1|CY2024Q3</v>
      </c>
    </row>
    <row r="4688" spans="4:18" x14ac:dyDescent="0.2">
      <c r="D4688" t="s">
        <v>90</v>
      </c>
      <c r="E4688" t="s">
        <v>91</v>
      </c>
      <c r="F4688" t="s">
        <v>92</v>
      </c>
      <c r="G4688" t="s">
        <v>204</v>
      </c>
      <c r="H4688" t="s">
        <v>205</v>
      </c>
      <c r="I4688" t="s">
        <v>43</v>
      </c>
      <c r="J4688" t="s">
        <v>44</v>
      </c>
      <c r="K4688" t="s">
        <v>30</v>
      </c>
      <c r="L4688" t="s">
        <v>31</v>
      </c>
      <c r="M4688" t="s">
        <v>140</v>
      </c>
      <c r="N4688">
        <v>2285</v>
      </c>
      <c r="O4688">
        <v>7.438938E-3</v>
      </c>
      <c r="P4688">
        <v>7.438938E-3</v>
      </c>
      <c r="Q4688" t="str">
        <f t="shared" si="146"/>
        <v>35-49</v>
      </c>
      <c r="R4688" t="str">
        <f t="shared" si="147"/>
        <v>[kxuuIFpOXyO]|35-49|Female|PMTCT_STAT_SUBNAT.D.T_1|CY2024Q3</v>
      </c>
    </row>
    <row r="4689" spans="4:18" x14ac:dyDescent="0.2">
      <c r="D4689" t="s">
        <v>93</v>
      </c>
      <c r="E4689" t="s">
        <v>94</v>
      </c>
      <c r="F4689" t="s">
        <v>95</v>
      </c>
      <c r="G4689" t="s">
        <v>204</v>
      </c>
      <c r="H4689" t="s">
        <v>205</v>
      </c>
      <c r="I4689" t="s">
        <v>38</v>
      </c>
      <c r="J4689" t="s">
        <v>39</v>
      </c>
      <c r="K4689" t="s">
        <v>30</v>
      </c>
      <c r="L4689" t="s">
        <v>31</v>
      </c>
      <c r="M4689" t="s">
        <v>140</v>
      </c>
      <c r="N4689">
        <v>12320</v>
      </c>
      <c r="O4689">
        <v>6.5412480000000004E-3</v>
      </c>
      <c r="P4689">
        <v>6.5412480000000004E-3</v>
      </c>
      <c r="Q4689" t="str">
        <f t="shared" si="146"/>
        <v>15-24</v>
      </c>
      <c r="R4689" t="str">
        <f t="shared" si="147"/>
        <v>[PekKUkKHAzY]|15-24|Female|PMTCT_STAT_SUBNAT.D.T_1|CY2024Q3</v>
      </c>
    </row>
    <row r="4690" spans="4:18" x14ac:dyDescent="0.2">
      <c r="D4690" t="s">
        <v>93</v>
      </c>
      <c r="E4690" t="s">
        <v>94</v>
      </c>
      <c r="F4690" t="s">
        <v>95</v>
      </c>
      <c r="G4690" t="s">
        <v>204</v>
      </c>
      <c r="H4690" t="s">
        <v>205</v>
      </c>
      <c r="I4690" t="s">
        <v>41</v>
      </c>
      <c r="J4690" t="s">
        <v>42</v>
      </c>
      <c r="K4690" t="s">
        <v>30</v>
      </c>
      <c r="L4690" t="s">
        <v>31</v>
      </c>
      <c r="M4690" t="s">
        <v>140</v>
      </c>
      <c r="N4690">
        <v>8291</v>
      </c>
      <c r="O4690">
        <v>6.5412480000000004E-3</v>
      </c>
      <c r="P4690">
        <v>6.5412480000000004E-3</v>
      </c>
      <c r="Q4690" t="str">
        <f t="shared" si="146"/>
        <v>25-34</v>
      </c>
      <c r="R4690" t="str">
        <f t="shared" si="147"/>
        <v>[PekKUkKHAzY]|25-34|Female|PMTCT_STAT_SUBNAT.D.T_1|CY2024Q3</v>
      </c>
    </row>
    <row r="4691" spans="4:18" x14ac:dyDescent="0.2">
      <c r="D4691" t="s">
        <v>93</v>
      </c>
      <c r="E4691" t="s">
        <v>94</v>
      </c>
      <c r="F4691" t="s">
        <v>95</v>
      </c>
      <c r="G4691" t="s">
        <v>204</v>
      </c>
      <c r="H4691" t="s">
        <v>205</v>
      </c>
      <c r="I4691" t="s">
        <v>43</v>
      </c>
      <c r="J4691" t="s">
        <v>44</v>
      </c>
      <c r="K4691" t="s">
        <v>30</v>
      </c>
      <c r="L4691" t="s">
        <v>31</v>
      </c>
      <c r="M4691" t="s">
        <v>140</v>
      </c>
      <c r="N4691">
        <v>3115</v>
      </c>
      <c r="O4691">
        <v>6.5412480000000004E-3</v>
      </c>
      <c r="P4691">
        <v>6.5412480000000004E-3</v>
      </c>
      <c r="Q4691" t="str">
        <f t="shared" si="146"/>
        <v>35-49</v>
      </c>
      <c r="R4691" t="str">
        <f t="shared" si="147"/>
        <v>[PekKUkKHAzY]|35-49|Female|PMTCT_STAT_SUBNAT.D.T_1|CY2024Q3</v>
      </c>
    </row>
    <row r="4692" spans="4:18" x14ac:dyDescent="0.2">
      <c r="D4692" t="s">
        <v>96</v>
      </c>
      <c r="E4692" t="s">
        <v>97</v>
      </c>
      <c r="F4692" t="s">
        <v>98</v>
      </c>
      <c r="G4692" t="s">
        <v>204</v>
      </c>
      <c r="H4692" t="s">
        <v>205</v>
      </c>
      <c r="I4692" t="s">
        <v>38</v>
      </c>
      <c r="J4692" t="s">
        <v>39</v>
      </c>
      <c r="K4692" t="s">
        <v>30</v>
      </c>
      <c r="L4692" t="s">
        <v>31</v>
      </c>
      <c r="M4692" t="s">
        <v>140</v>
      </c>
      <c r="N4692">
        <v>10356</v>
      </c>
      <c r="O4692">
        <v>7.0392229999999998E-3</v>
      </c>
      <c r="P4692">
        <v>7.0392229999999998E-3</v>
      </c>
      <c r="Q4692" t="str">
        <f t="shared" si="146"/>
        <v>15-24</v>
      </c>
      <c r="R4692" t="str">
        <f t="shared" si="147"/>
        <v>[am530wpaGvr]|15-24|Female|PMTCT_STAT_SUBNAT.D.T_1|CY2024Q3</v>
      </c>
    </row>
    <row r="4693" spans="4:18" x14ac:dyDescent="0.2">
      <c r="D4693" t="s">
        <v>96</v>
      </c>
      <c r="E4693" t="s">
        <v>97</v>
      </c>
      <c r="F4693" t="s">
        <v>98</v>
      </c>
      <c r="G4693" t="s">
        <v>204</v>
      </c>
      <c r="H4693" t="s">
        <v>205</v>
      </c>
      <c r="I4693" t="s">
        <v>41</v>
      </c>
      <c r="J4693" t="s">
        <v>42</v>
      </c>
      <c r="K4693" t="s">
        <v>30</v>
      </c>
      <c r="L4693" t="s">
        <v>31</v>
      </c>
      <c r="M4693" t="s">
        <v>140</v>
      </c>
      <c r="N4693">
        <v>6647</v>
      </c>
      <c r="O4693">
        <v>7.0392229999999998E-3</v>
      </c>
      <c r="P4693">
        <v>7.0392229999999998E-3</v>
      </c>
      <c r="Q4693" t="str">
        <f t="shared" si="146"/>
        <v>25-34</v>
      </c>
      <c r="R4693" t="str">
        <f t="shared" si="147"/>
        <v>[am530wpaGvr]|25-34|Female|PMTCT_STAT_SUBNAT.D.T_1|CY2024Q3</v>
      </c>
    </row>
    <row r="4694" spans="4:18" x14ac:dyDescent="0.2">
      <c r="D4694" t="s">
        <v>96</v>
      </c>
      <c r="E4694" t="s">
        <v>97</v>
      </c>
      <c r="F4694" t="s">
        <v>98</v>
      </c>
      <c r="G4694" t="s">
        <v>204</v>
      </c>
      <c r="H4694" t="s">
        <v>205</v>
      </c>
      <c r="I4694" t="s">
        <v>43</v>
      </c>
      <c r="J4694" t="s">
        <v>44</v>
      </c>
      <c r="K4694" t="s">
        <v>30</v>
      </c>
      <c r="L4694" t="s">
        <v>31</v>
      </c>
      <c r="M4694" t="s">
        <v>140</v>
      </c>
      <c r="N4694">
        <v>2647</v>
      </c>
      <c r="O4694">
        <v>7.0392229999999998E-3</v>
      </c>
      <c r="P4694">
        <v>7.0392229999999998E-3</v>
      </c>
      <c r="Q4694" t="str">
        <f t="shared" si="146"/>
        <v>35-49</v>
      </c>
      <c r="R4694" t="str">
        <f t="shared" si="147"/>
        <v>[am530wpaGvr]|35-49|Female|PMTCT_STAT_SUBNAT.D.T_1|CY2024Q3</v>
      </c>
    </row>
    <row r="4695" spans="4:18" x14ac:dyDescent="0.2">
      <c r="D4695" t="s">
        <v>99</v>
      </c>
      <c r="E4695" t="s">
        <v>100</v>
      </c>
      <c r="F4695" t="s">
        <v>101</v>
      </c>
      <c r="G4695" t="s">
        <v>204</v>
      </c>
      <c r="H4695" t="s">
        <v>205</v>
      </c>
      <c r="I4695" t="s">
        <v>38</v>
      </c>
      <c r="J4695" t="s">
        <v>39</v>
      </c>
      <c r="K4695" t="s">
        <v>30</v>
      </c>
      <c r="L4695" t="s">
        <v>31</v>
      </c>
      <c r="M4695" t="s">
        <v>140</v>
      </c>
      <c r="N4695">
        <v>23985</v>
      </c>
      <c r="O4695">
        <v>4.5595130000000003E-3</v>
      </c>
      <c r="P4695">
        <v>4.5595130000000003E-3</v>
      </c>
      <c r="Q4695" t="str">
        <f t="shared" si="146"/>
        <v>15-24</v>
      </c>
      <c r="R4695" t="str">
        <f t="shared" si="147"/>
        <v>[lLDyBx5XyUi]|15-24|Female|PMTCT_STAT_SUBNAT.D.T_1|CY2024Q3</v>
      </c>
    </row>
    <row r="4696" spans="4:18" x14ac:dyDescent="0.2">
      <c r="D4696" t="s">
        <v>99</v>
      </c>
      <c r="E4696" t="s">
        <v>100</v>
      </c>
      <c r="F4696" t="s">
        <v>101</v>
      </c>
      <c r="G4696" t="s">
        <v>204</v>
      </c>
      <c r="H4696" t="s">
        <v>205</v>
      </c>
      <c r="I4696" t="s">
        <v>41</v>
      </c>
      <c r="J4696" t="s">
        <v>42</v>
      </c>
      <c r="K4696" t="s">
        <v>30</v>
      </c>
      <c r="L4696" t="s">
        <v>31</v>
      </c>
      <c r="M4696" t="s">
        <v>140</v>
      </c>
      <c r="N4696">
        <v>15547</v>
      </c>
      <c r="O4696">
        <v>4.5595130000000003E-3</v>
      </c>
      <c r="P4696">
        <v>4.5595130000000003E-3</v>
      </c>
      <c r="Q4696" t="str">
        <f t="shared" si="146"/>
        <v>25-34</v>
      </c>
      <c r="R4696" t="str">
        <f t="shared" si="147"/>
        <v>[lLDyBx5XyUi]|25-34|Female|PMTCT_STAT_SUBNAT.D.T_1|CY2024Q3</v>
      </c>
    </row>
    <row r="4697" spans="4:18" x14ac:dyDescent="0.2">
      <c r="D4697" t="s">
        <v>99</v>
      </c>
      <c r="E4697" t="s">
        <v>100</v>
      </c>
      <c r="F4697" t="s">
        <v>101</v>
      </c>
      <c r="G4697" t="s">
        <v>204</v>
      </c>
      <c r="H4697" t="s">
        <v>205</v>
      </c>
      <c r="I4697" t="s">
        <v>43</v>
      </c>
      <c r="J4697" t="s">
        <v>44</v>
      </c>
      <c r="K4697" t="s">
        <v>30</v>
      </c>
      <c r="L4697" t="s">
        <v>31</v>
      </c>
      <c r="M4697" t="s">
        <v>140</v>
      </c>
      <c r="N4697">
        <v>5324</v>
      </c>
      <c r="O4697">
        <v>4.5595130000000003E-3</v>
      </c>
      <c r="P4697">
        <v>4.5595130000000003E-3</v>
      </c>
      <c r="Q4697" t="str">
        <f t="shared" si="146"/>
        <v>35-49</v>
      </c>
      <c r="R4697" t="str">
        <f t="shared" si="147"/>
        <v>[lLDyBx5XyUi]|35-49|Female|PMTCT_STAT_SUBNAT.D.T_1|CY2024Q3</v>
      </c>
    </row>
    <row r="4698" spans="4:18" x14ac:dyDescent="0.2">
      <c r="D4698" t="s">
        <v>102</v>
      </c>
      <c r="E4698" t="s">
        <v>103</v>
      </c>
      <c r="F4698" t="s">
        <v>104</v>
      </c>
      <c r="G4698" t="s">
        <v>204</v>
      </c>
      <c r="H4698" t="s">
        <v>205</v>
      </c>
      <c r="I4698" t="s">
        <v>38</v>
      </c>
      <c r="J4698" t="s">
        <v>39</v>
      </c>
      <c r="K4698" t="s">
        <v>30</v>
      </c>
      <c r="L4698" t="s">
        <v>31</v>
      </c>
      <c r="M4698" t="s">
        <v>140</v>
      </c>
      <c r="N4698">
        <v>15149</v>
      </c>
      <c r="O4698">
        <v>5.9939399999999997E-3</v>
      </c>
      <c r="P4698">
        <v>5.9939399999999997E-3</v>
      </c>
      <c r="Q4698" t="str">
        <f t="shared" si="146"/>
        <v>15-24</v>
      </c>
      <c r="R4698" t="str">
        <f t="shared" si="147"/>
        <v>[TYnMSwzko3z]|15-24|Female|PMTCT_STAT_SUBNAT.D.T_1|CY2024Q3</v>
      </c>
    </row>
    <row r="4699" spans="4:18" x14ac:dyDescent="0.2">
      <c r="D4699" t="s">
        <v>102</v>
      </c>
      <c r="E4699" t="s">
        <v>103</v>
      </c>
      <c r="F4699" t="s">
        <v>104</v>
      </c>
      <c r="G4699" t="s">
        <v>204</v>
      </c>
      <c r="H4699" t="s">
        <v>205</v>
      </c>
      <c r="I4699" t="s">
        <v>41</v>
      </c>
      <c r="J4699" t="s">
        <v>42</v>
      </c>
      <c r="K4699" t="s">
        <v>30</v>
      </c>
      <c r="L4699" t="s">
        <v>31</v>
      </c>
      <c r="M4699" t="s">
        <v>140</v>
      </c>
      <c r="N4699">
        <v>9977</v>
      </c>
      <c r="O4699">
        <v>5.9939399999999997E-3</v>
      </c>
      <c r="P4699">
        <v>5.9939399999999997E-3</v>
      </c>
      <c r="Q4699" t="str">
        <f t="shared" si="146"/>
        <v>25-34</v>
      </c>
      <c r="R4699" t="str">
        <f t="shared" si="147"/>
        <v>[TYnMSwzko3z]|25-34|Female|PMTCT_STAT_SUBNAT.D.T_1|CY2024Q3</v>
      </c>
    </row>
    <row r="4700" spans="4:18" x14ac:dyDescent="0.2">
      <c r="D4700" t="s">
        <v>102</v>
      </c>
      <c r="E4700" t="s">
        <v>103</v>
      </c>
      <c r="F4700" t="s">
        <v>104</v>
      </c>
      <c r="G4700" t="s">
        <v>204</v>
      </c>
      <c r="H4700" t="s">
        <v>205</v>
      </c>
      <c r="I4700" t="s">
        <v>43</v>
      </c>
      <c r="J4700" t="s">
        <v>44</v>
      </c>
      <c r="K4700" t="s">
        <v>30</v>
      </c>
      <c r="L4700" t="s">
        <v>31</v>
      </c>
      <c r="M4700" t="s">
        <v>140</v>
      </c>
      <c r="N4700">
        <v>3457</v>
      </c>
      <c r="O4700">
        <v>5.9939399999999997E-3</v>
      </c>
      <c r="P4700">
        <v>5.9939399999999997E-3</v>
      </c>
      <c r="Q4700" t="str">
        <f t="shared" si="146"/>
        <v>35-49</v>
      </c>
      <c r="R4700" t="str">
        <f t="shared" si="147"/>
        <v>[TYnMSwzko3z]|35-49|Female|PMTCT_STAT_SUBNAT.D.T_1|CY2024Q3</v>
      </c>
    </row>
    <row r="4701" spans="4:18" x14ac:dyDescent="0.2">
      <c r="D4701" t="s">
        <v>105</v>
      </c>
      <c r="E4701" t="s">
        <v>106</v>
      </c>
      <c r="F4701" t="s">
        <v>107</v>
      </c>
      <c r="G4701" t="s">
        <v>204</v>
      </c>
      <c r="H4701" t="s">
        <v>205</v>
      </c>
      <c r="I4701" t="s">
        <v>38</v>
      </c>
      <c r="J4701" t="s">
        <v>39</v>
      </c>
      <c r="K4701" t="s">
        <v>30</v>
      </c>
      <c r="L4701" t="s">
        <v>31</v>
      </c>
      <c r="M4701" t="s">
        <v>140</v>
      </c>
      <c r="N4701">
        <v>14276</v>
      </c>
      <c r="O4701">
        <v>6.0608759999999998E-3</v>
      </c>
      <c r="P4701">
        <v>6.0583570000000003E-3</v>
      </c>
      <c r="Q4701" t="str">
        <f t="shared" si="146"/>
        <v>15-24</v>
      </c>
      <c r="R4701" t="str">
        <f t="shared" si="147"/>
        <v>[fyEoGEPERdI]|15-24|Female|PMTCT_STAT_SUBNAT.D.T_1|CY2024Q3</v>
      </c>
    </row>
    <row r="4702" spans="4:18" x14ac:dyDescent="0.2">
      <c r="D4702" t="s">
        <v>105</v>
      </c>
      <c r="E4702" t="s">
        <v>106</v>
      </c>
      <c r="F4702" t="s">
        <v>107</v>
      </c>
      <c r="G4702" t="s">
        <v>204</v>
      </c>
      <c r="H4702" t="s">
        <v>205</v>
      </c>
      <c r="I4702" t="s">
        <v>41</v>
      </c>
      <c r="J4702" t="s">
        <v>42</v>
      </c>
      <c r="K4702" t="s">
        <v>30</v>
      </c>
      <c r="L4702" t="s">
        <v>31</v>
      </c>
      <c r="M4702" t="s">
        <v>140</v>
      </c>
      <c r="N4702">
        <v>9359</v>
      </c>
      <c r="O4702">
        <v>6.0581259999999996E-3</v>
      </c>
      <c r="P4702">
        <v>6.0583570000000003E-3</v>
      </c>
      <c r="Q4702" t="str">
        <f t="shared" si="146"/>
        <v>25-34</v>
      </c>
      <c r="R4702" t="str">
        <f t="shared" si="147"/>
        <v>[fyEoGEPERdI]|25-34|Female|PMTCT_STAT_SUBNAT.D.T_1|CY2024Q3</v>
      </c>
    </row>
    <row r="4703" spans="4:18" x14ac:dyDescent="0.2">
      <c r="D4703" t="s">
        <v>105</v>
      </c>
      <c r="E4703" t="s">
        <v>106</v>
      </c>
      <c r="F4703" t="s">
        <v>107</v>
      </c>
      <c r="G4703" t="s">
        <v>204</v>
      </c>
      <c r="H4703" t="s">
        <v>205</v>
      </c>
      <c r="I4703" t="s">
        <v>43</v>
      </c>
      <c r="J4703" t="s">
        <v>44</v>
      </c>
      <c r="K4703" t="s">
        <v>30</v>
      </c>
      <c r="L4703" t="s">
        <v>31</v>
      </c>
      <c r="M4703" t="s">
        <v>140</v>
      </c>
      <c r="N4703">
        <v>3594</v>
      </c>
      <c r="O4703">
        <v>6.0635999999999997E-3</v>
      </c>
      <c r="P4703">
        <v>6.0583570000000003E-3</v>
      </c>
      <c r="Q4703" t="str">
        <f t="shared" si="146"/>
        <v>35-49</v>
      </c>
      <c r="R4703" t="str">
        <f t="shared" si="147"/>
        <v>[fyEoGEPERdI]|35-49|Female|PMTCT_STAT_SUBNAT.D.T_1|CY2024Q3</v>
      </c>
    </row>
    <row r="4704" spans="4:18" x14ac:dyDescent="0.2">
      <c r="D4704" t="s">
        <v>108</v>
      </c>
      <c r="E4704" t="s">
        <v>109</v>
      </c>
      <c r="F4704" t="s">
        <v>110</v>
      </c>
      <c r="G4704" t="s">
        <v>204</v>
      </c>
      <c r="H4704" t="s">
        <v>205</v>
      </c>
      <c r="I4704" t="s">
        <v>38</v>
      </c>
      <c r="J4704" t="s">
        <v>39</v>
      </c>
      <c r="K4704" t="s">
        <v>30</v>
      </c>
      <c r="L4704" t="s">
        <v>31</v>
      </c>
      <c r="M4704" t="s">
        <v>140</v>
      </c>
      <c r="N4704">
        <v>10799</v>
      </c>
      <c r="O4704">
        <v>7.028528E-3</v>
      </c>
      <c r="P4704">
        <v>7.028528E-3</v>
      </c>
      <c r="Q4704" t="str">
        <f t="shared" si="146"/>
        <v>15-24</v>
      </c>
      <c r="R4704" t="str">
        <f t="shared" si="147"/>
        <v>[umc2n1Z4wNv]|15-24|Female|PMTCT_STAT_SUBNAT.D.T_1|CY2024Q3</v>
      </c>
    </row>
    <row r="4705" spans="4:18" x14ac:dyDescent="0.2">
      <c r="D4705" t="s">
        <v>108</v>
      </c>
      <c r="E4705" t="s">
        <v>109</v>
      </c>
      <c r="F4705" t="s">
        <v>110</v>
      </c>
      <c r="G4705" t="s">
        <v>204</v>
      </c>
      <c r="H4705" t="s">
        <v>205</v>
      </c>
      <c r="I4705" t="s">
        <v>41</v>
      </c>
      <c r="J4705" t="s">
        <v>42</v>
      </c>
      <c r="K4705" t="s">
        <v>30</v>
      </c>
      <c r="L4705" t="s">
        <v>31</v>
      </c>
      <c r="M4705" t="s">
        <v>140</v>
      </c>
      <c r="N4705">
        <v>7059</v>
      </c>
      <c r="O4705">
        <v>7.028528E-3</v>
      </c>
      <c r="P4705">
        <v>7.028528E-3</v>
      </c>
      <c r="Q4705" t="str">
        <f t="shared" si="146"/>
        <v>25-34</v>
      </c>
      <c r="R4705" t="str">
        <f t="shared" si="147"/>
        <v>[umc2n1Z4wNv]|25-34|Female|PMTCT_STAT_SUBNAT.D.T_1|CY2024Q3</v>
      </c>
    </row>
    <row r="4706" spans="4:18" x14ac:dyDescent="0.2">
      <c r="D4706" t="s">
        <v>108</v>
      </c>
      <c r="E4706" t="s">
        <v>109</v>
      </c>
      <c r="F4706" t="s">
        <v>110</v>
      </c>
      <c r="G4706" t="s">
        <v>204</v>
      </c>
      <c r="H4706" t="s">
        <v>205</v>
      </c>
      <c r="I4706" t="s">
        <v>43</v>
      </c>
      <c r="J4706" t="s">
        <v>44</v>
      </c>
      <c r="K4706" t="s">
        <v>30</v>
      </c>
      <c r="L4706" t="s">
        <v>31</v>
      </c>
      <c r="M4706" t="s">
        <v>140</v>
      </c>
      <c r="N4706">
        <v>2780</v>
      </c>
      <c r="O4706">
        <v>7.028528E-3</v>
      </c>
      <c r="P4706">
        <v>7.028528E-3</v>
      </c>
      <c r="Q4706" t="str">
        <f t="shared" si="146"/>
        <v>35-49</v>
      </c>
      <c r="R4706" t="str">
        <f t="shared" si="147"/>
        <v>[umc2n1Z4wNv]|35-49|Female|PMTCT_STAT_SUBNAT.D.T_1|CY2024Q3</v>
      </c>
    </row>
    <row r="4707" spans="4:18" x14ac:dyDescent="0.2">
      <c r="D4707" t="s">
        <v>111</v>
      </c>
      <c r="E4707" t="s">
        <v>112</v>
      </c>
      <c r="F4707" t="s">
        <v>113</v>
      </c>
      <c r="G4707" t="s">
        <v>204</v>
      </c>
      <c r="H4707" t="s">
        <v>205</v>
      </c>
      <c r="I4707" t="s">
        <v>38</v>
      </c>
      <c r="J4707" t="s">
        <v>39</v>
      </c>
      <c r="K4707" t="s">
        <v>30</v>
      </c>
      <c r="L4707" t="s">
        <v>31</v>
      </c>
      <c r="M4707" t="s">
        <v>140</v>
      </c>
      <c r="N4707">
        <v>6305</v>
      </c>
      <c r="O4707">
        <v>9.4363290000000002E-3</v>
      </c>
      <c r="P4707">
        <v>9.4363290000000002E-3</v>
      </c>
      <c r="Q4707" t="str">
        <f t="shared" si="146"/>
        <v>15-24</v>
      </c>
      <c r="R4707" t="str">
        <f t="shared" si="147"/>
        <v>[AZyWpGzhcaA]|15-24|Female|PMTCT_STAT_SUBNAT.D.T_1|CY2024Q3</v>
      </c>
    </row>
    <row r="4708" spans="4:18" x14ac:dyDescent="0.2">
      <c r="D4708" t="s">
        <v>111</v>
      </c>
      <c r="E4708" t="s">
        <v>112</v>
      </c>
      <c r="F4708" t="s">
        <v>113</v>
      </c>
      <c r="G4708" t="s">
        <v>204</v>
      </c>
      <c r="H4708" t="s">
        <v>205</v>
      </c>
      <c r="I4708" t="s">
        <v>41</v>
      </c>
      <c r="J4708" t="s">
        <v>42</v>
      </c>
      <c r="K4708" t="s">
        <v>30</v>
      </c>
      <c r="L4708" t="s">
        <v>31</v>
      </c>
      <c r="M4708" t="s">
        <v>140</v>
      </c>
      <c r="N4708">
        <v>4196</v>
      </c>
      <c r="O4708">
        <v>9.4363290000000002E-3</v>
      </c>
      <c r="P4708">
        <v>9.4363290000000002E-3</v>
      </c>
      <c r="Q4708" t="str">
        <f t="shared" si="146"/>
        <v>25-34</v>
      </c>
      <c r="R4708" t="str">
        <f t="shared" si="147"/>
        <v>[AZyWpGzhcaA]|25-34|Female|PMTCT_STAT_SUBNAT.D.T_1|CY2024Q3</v>
      </c>
    </row>
    <row r="4709" spans="4:18" x14ac:dyDescent="0.2">
      <c r="D4709" t="s">
        <v>111</v>
      </c>
      <c r="E4709" t="s">
        <v>112</v>
      </c>
      <c r="F4709" t="s">
        <v>113</v>
      </c>
      <c r="G4709" t="s">
        <v>204</v>
      </c>
      <c r="H4709" t="s">
        <v>205</v>
      </c>
      <c r="I4709" t="s">
        <v>43</v>
      </c>
      <c r="J4709" t="s">
        <v>44</v>
      </c>
      <c r="K4709" t="s">
        <v>30</v>
      </c>
      <c r="L4709" t="s">
        <v>31</v>
      </c>
      <c r="M4709" t="s">
        <v>140</v>
      </c>
      <c r="N4709">
        <v>1510</v>
      </c>
      <c r="O4709">
        <v>9.4363290000000002E-3</v>
      </c>
      <c r="P4709">
        <v>9.4363290000000002E-3</v>
      </c>
      <c r="Q4709" t="str">
        <f t="shared" si="146"/>
        <v>35-49</v>
      </c>
      <c r="R4709" t="str">
        <f t="shared" si="147"/>
        <v>[AZyWpGzhcaA]|35-49|Female|PMTCT_STAT_SUBNAT.D.T_1|CY2024Q3</v>
      </c>
    </row>
    <row r="4710" spans="4:18" x14ac:dyDescent="0.2">
      <c r="D4710" t="s">
        <v>114</v>
      </c>
      <c r="E4710" t="s">
        <v>115</v>
      </c>
      <c r="F4710" t="s">
        <v>116</v>
      </c>
      <c r="G4710" t="s">
        <v>204</v>
      </c>
      <c r="H4710" t="s">
        <v>205</v>
      </c>
      <c r="I4710" t="s">
        <v>38</v>
      </c>
      <c r="J4710" t="s">
        <v>39</v>
      </c>
      <c r="K4710" t="s">
        <v>30</v>
      </c>
      <c r="L4710" t="s">
        <v>31</v>
      </c>
      <c r="M4710" t="s">
        <v>140</v>
      </c>
      <c r="N4710">
        <v>7227</v>
      </c>
      <c r="O4710">
        <v>8.7901539999999997E-3</v>
      </c>
      <c r="P4710">
        <v>8.7901539999999997E-3</v>
      </c>
      <c r="Q4710" t="str">
        <f t="shared" si="146"/>
        <v>15-24</v>
      </c>
      <c r="R4710" t="str">
        <f t="shared" si="147"/>
        <v>[ir8wuHHzoSs]|15-24|Female|PMTCT_STAT_SUBNAT.D.T_1|CY2024Q3</v>
      </c>
    </row>
    <row r="4711" spans="4:18" x14ac:dyDescent="0.2">
      <c r="D4711" t="s">
        <v>114</v>
      </c>
      <c r="E4711" t="s">
        <v>115</v>
      </c>
      <c r="F4711" t="s">
        <v>116</v>
      </c>
      <c r="G4711" t="s">
        <v>204</v>
      </c>
      <c r="H4711" t="s">
        <v>205</v>
      </c>
      <c r="I4711" t="s">
        <v>41</v>
      </c>
      <c r="J4711" t="s">
        <v>42</v>
      </c>
      <c r="K4711" t="s">
        <v>30</v>
      </c>
      <c r="L4711" t="s">
        <v>31</v>
      </c>
      <c r="M4711" t="s">
        <v>140</v>
      </c>
      <c r="N4711">
        <v>4578</v>
      </c>
      <c r="O4711">
        <v>8.7901539999999997E-3</v>
      </c>
      <c r="P4711">
        <v>8.7901539999999997E-3</v>
      </c>
      <c r="Q4711" t="str">
        <f t="shared" si="146"/>
        <v>25-34</v>
      </c>
      <c r="R4711" t="str">
        <f t="shared" si="147"/>
        <v>[ir8wuHHzoSs]|25-34|Female|PMTCT_STAT_SUBNAT.D.T_1|CY2024Q3</v>
      </c>
    </row>
    <row r="4712" spans="4:18" x14ac:dyDescent="0.2">
      <c r="D4712" t="s">
        <v>114</v>
      </c>
      <c r="E4712" t="s">
        <v>115</v>
      </c>
      <c r="F4712" t="s">
        <v>116</v>
      </c>
      <c r="G4712" t="s">
        <v>204</v>
      </c>
      <c r="H4712" t="s">
        <v>205</v>
      </c>
      <c r="I4712" t="s">
        <v>43</v>
      </c>
      <c r="J4712" t="s">
        <v>44</v>
      </c>
      <c r="K4712" t="s">
        <v>30</v>
      </c>
      <c r="L4712" t="s">
        <v>31</v>
      </c>
      <c r="M4712" t="s">
        <v>140</v>
      </c>
      <c r="N4712">
        <v>1742</v>
      </c>
      <c r="O4712">
        <v>8.7901539999999997E-3</v>
      </c>
      <c r="P4712">
        <v>8.7901539999999997E-3</v>
      </c>
      <c r="Q4712" t="str">
        <f t="shared" si="146"/>
        <v>35-49</v>
      </c>
      <c r="R4712" t="str">
        <f t="shared" si="147"/>
        <v>[ir8wuHHzoSs]|35-49|Female|PMTCT_STAT_SUBNAT.D.T_1|CY2024Q3</v>
      </c>
    </row>
    <row r="4713" spans="4:18" x14ac:dyDescent="0.2">
      <c r="D4713" t="s">
        <v>117</v>
      </c>
      <c r="E4713" t="s">
        <v>118</v>
      </c>
      <c r="F4713" t="s">
        <v>119</v>
      </c>
      <c r="G4713" t="s">
        <v>204</v>
      </c>
      <c r="H4713" t="s">
        <v>205</v>
      </c>
      <c r="I4713" t="s">
        <v>38</v>
      </c>
      <c r="J4713" t="s">
        <v>39</v>
      </c>
      <c r="K4713" t="s">
        <v>30</v>
      </c>
      <c r="L4713" t="s">
        <v>31</v>
      </c>
      <c r="M4713" t="s">
        <v>140</v>
      </c>
      <c r="N4713">
        <v>5309</v>
      </c>
      <c r="O4713">
        <v>9.8169239999999994E-3</v>
      </c>
      <c r="P4713">
        <v>9.8169239999999994E-3</v>
      </c>
      <c r="Q4713" t="str">
        <f t="shared" si="146"/>
        <v>15-24</v>
      </c>
      <c r="R4713" t="str">
        <f t="shared" si="147"/>
        <v>[oiPR2CiVJbf]|15-24|Female|PMTCT_STAT_SUBNAT.D.T_1|CY2024Q3</v>
      </c>
    </row>
    <row r="4714" spans="4:18" x14ac:dyDescent="0.2">
      <c r="D4714" t="s">
        <v>117</v>
      </c>
      <c r="E4714" t="s">
        <v>118</v>
      </c>
      <c r="F4714" t="s">
        <v>119</v>
      </c>
      <c r="G4714" t="s">
        <v>204</v>
      </c>
      <c r="H4714" t="s">
        <v>205</v>
      </c>
      <c r="I4714" t="s">
        <v>41</v>
      </c>
      <c r="J4714" t="s">
        <v>42</v>
      </c>
      <c r="K4714" t="s">
        <v>30</v>
      </c>
      <c r="L4714" t="s">
        <v>31</v>
      </c>
      <c r="M4714" t="s">
        <v>140</v>
      </c>
      <c r="N4714">
        <v>3541</v>
      </c>
      <c r="O4714">
        <v>9.8169239999999994E-3</v>
      </c>
      <c r="P4714">
        <v>9.8169239999999994E-3</v>
      </c>
      <c r="Q4714" t="str">
        <f t="shared" si="146"/>
        <v>25-34</v>
      </c>
      <c r="R4714" t="str">
        <f t="shared" si="147"/>
        <v>[oiPR2CiVJbf]|25-34|Female|PMTCT_STAT_SUBNAT.D.T_1|CY2024Q3</v>
      </c>
    </row>
    <row r="4715" spans="4:18" x14ac:dyDescent="0.2">
      <c r="D4715" t="s">
        <v>117</v>
      </c>
      <c r="E4715" t="s">
        <v>118</v>
      </c>
      <c r="F4715" t="s">
        <v>119</v>
      </c>
      <c r="G4715" t="s">
        <v>204</v>
      </c>
      <c r="H4715" t="s">
        <v>205</v>
      </c>
      <c r="I4715" t="s">
        <v>43</v>
      </c>
      <c r="J4715" t="s">
        <v>44</v>
      </c>
      <c r="K4715" t="s">
        <v>30</v>
      </c>
      <c r="L4715" t="s">
        <v>31</v>
      </c>
      <c r="M4715" t="s">
        <v>140</v>
      </c>
      <c r="N4715">
        <v>1446</v>
      </c>
      <c r="O4715">
        <v>9.8169239999999994E-3</v>
      </c>
      <c r="P4715">
        <v>9.8169239999999994E-3</v>
      </c>
      <c r="Q4715" t="str">
        <f t="shared" si="146"/>
        <v>35-49</v>
      </c>
      <c r="R4715" t="str">
        <f t="shared" si="147"/>
        <v>[oiPR2CiVJbf]|35-49|Female|PMTCT_STAT_SUBNAT.D.T_1|CY2024Q3</v>
      </c>
    </row>
    <row r="4716" spans="4:18" x14ac:dyDescent="0.2">
      <c r="D4716" t="s">
        <v>120</v>
      </c>
      <c r="E4716" t="s">
        <v>121</v>
      </c>
      <c r="F4716" t="s">
        <v>122</v>
      </c>
      <c r="G4716" t="s">
        <v>204</v>
      </c>
      <c r="H4716" t="s">
        <v>205</v>
      </c>
      <c r="I4716" t="s">
        <v>38</v>
      </c>
      <c r="J4716" t="s">
        <v>39</v>
      </c>
      <c r="K4716" t="s">
        <v>30</v>
      </c>
      <c r="L4716" t="s">
        <v>31</v>
      </c>
      <c r="M4716" t="s">
        <v>140</v>
      </c>
      <c r="N4716">
        <v>17441</v>
      </c>
      <c r="O4716">
        <v>5.2781399999999997E-3</v>
      </c>
      <c r="P4716">
        <v>5.2758750000000002E-3</v>
      </c>
      <c r="Q4716" t="str">
        <f t="shared" si="146"/>
        <v>15-24</v>
      </c>
      <c r="R4716" t="str">
        <f t="shared" si="147"/>
        <v>[mxqa3CDFmIT]|15-24|Female|PMTCT_STAT_SUBNAT.D.T_1|CY2024Q3</v>
      </c>
    </row>
    <row r="4717" spans="4:18" x14ac:dyDescent="0.2">
      <c r="D4717" t="s">
        <v>120</v>
      </c>
      <c r="E4717" t="s">
        <v>121</v>
      </c>
      <c r="F4717" t="s">
        <v>122</v>
      </c>
      <c r="G4717" t="s">
        <v>204</v>
      </c>
      <c r="H4717" t="s">
        <v>205</v>
      </c>
      <c r="I4717" t="s">
        <v>41</v>
      </c>
      <c r="J4717" t="s">
        <v>42</v>
      </c>
      <c r="K4717" t="s">
        <v>30</v>
      </c>
      <c r="L4717" t="s">
        <v>31</v>
      </c>
      <c r="M4717" t="s">
        <v>140</v>
      </c>
      <c r="N4717">
        <v>12472</v>
      </c>
      <c r="O4717">
        <v>5.2823360000000003E-3</v>
      </c>
      <c r="P4717">
        <v>5.2758750000000002E-3</v>
      </c>
      <c r="Q4717" t="str">
        <f t="shared" si="146"/>
        <v>25-34</v>
      </c>
      <c r="R4717" t="str">
        <f t="shared" si="147"/>
        <v>[mxqa3CDFmIT]|25-34|Female|PMTCT_STAT_SUBNAT.D.T_1|CY2024Q3</v>
      </c>
    </row>
    <row r="4718" spans="4:18" x14ac:dyDescent="0.2">
      <c r="D4718" t="s">
        <v>120</v>
      </c>
      <c r="E4718" t="s">
        <v>121</v>
      </c>
      <c r="F4718" t="s">
        <v>122</v>
      </c>
      <c r="G4718" t="s">
        <v>204</v>
      </c>
      <c r="H4718" t="s">
        <v>205</v>
      </c>
      <c r="I4718" t="s">
        <v>43</v>
      </c>
      <c r="J4718" t="s">
        <v>44</v>
      </c>
      <c r="K4718" t="s">
        <v>30</v>
      </c>
      <c r="L4718" t="s">
        <v>31</v>
      </c>
      <c r="M4718" t="s">
        <v>140</v>
      </c>
      <c r="N4718">
        <v>4240</v>
      </c>
      <c r="O4718">
        <v>5.279448E-3</v>
      </c>
      <c r="P4718">
        <v>5.2758750000000002E-3</v>
      </c>
      <c r="Q4718" t="str">
        <f t="shared" si="146"/>
        <v>35-49</v>
      </c>
      <c r="R4718" t="str">
        <f t="shared" si="147"/>
        <v>[mxqa3CDFmIT]|35-49|Female|PMTCT_STAT_SUBNAT.D.T_1|CY2024Q3</v>
      </c>
    </row>
    <row r="4719" spans="4:18" x14ac:dyDescent="0.2">
      <c r="D4719" t="s">
        <v>123</v>
      </c>
      <c r="E4719" t="s">
        <v>124</v>
      </c>
      <c r="F4719" t="s">
        <v>125</v>
      </c>
      <c r="G4719" t="s">
        <v>204</v>
      </c>
      <c r="H4719" t="s">
        <v>205</v>
      </c>
      <c r="I4719" t="s">
        <v>38</v>
      </c>
      <c r="J4719" t="s">
        <v>39</v>
      </c>
      <c r="K4719" t="s">
        <v>30</v>
      </c>
      <c r="L4719" t="s">
        <v>31</v>
      </c>
      <c r="M4719" t="s">
        <v>140</v>
      </c>
      <c r="N4719">
        <v>3092</v>
      </c>
      <c r="O4719">
        <v>1.2884608000000001E-2</v>
      </c>
      <c r="P4719">
        <v>1.2884608000000001E-2</v>
      </c>
      <c r="Q4719" t="str">
        <f t="shared" si="146"/>
        <v>15-24</v>
      </c>
      <c r="R4719" t="str">
        <f t="shared" si="147"/>
        <v>[wNqJp8oRIcF]|15-24|Female|PMTCT_STAT_SUBNAT.D.T_1|CY2024Q3</v>
      </c>
    </row>
    <row r="4720" spans="4:18" x14ac:dyDescent="0.2">
      <c r="D4720" t="s">
        <v>123</v>
      </c>
      <c r="E4720" t="s">
        <v>124</v>
      </c>
      <c r="F4720" t="s">
        <v>125</v>
      </c>
      <c r="G4720" t="s">
        <v>204</v>
      </c>
      <c r="H4720" t="s">
        <v>205</v>
      </c>
      <c r="I4720" t="s">
        <v>41</v>
      </c>
      <c r="J4720" t="s">
        <v>42</v>
      </c>
      <c r="K4720" t="s">
        <v>30</v>
      </c>
      <c r="L4720" t="s">
        <v>31</v>
      </c>
      <c r="M4720" t="s">
        <v>140</v>
      </c>
      <c r="N4720">
        <v>1957</v>
      </c>
      <c r="O4720">
        <v>1.2884608000000001E-2</v>
      </c>
      <c r="P4720">
        <v>1.2884608000000001E-2</v>
      </c>
      <c r="Q4720" t="str">
        <f t="shared" si="146"/>
        <v>25-34</v>
      </c>
      <c r="R4720" t="str">
        <f t="shared" si="147"/>
        <v>[wNqJp8oRIcF]|25-34|Female|PMTCT_STAT_SUBNAT.D.T_1|CY2024Q3</v>
      </c>
    </row>
    <row r="4721" spans="4:18" x14ac:dyDescent="0.2">
      <c r="D4721" t="s">
        <v>123</v>
      </c>
      <c r="E4721" t="s">
        <v>124</v>
      </c>
      <c r="F4721" t="s">
        <v>125</v>
      </c>
      <c r="G4721" t="s">
        <v>204</v>
      </c>
      <c r="H4721" t="s">
        <v>205</v>
      </c>
      <c r="I4721" t="s">
        <v>43</v>
      </c>
      <c r="J4721" t="s">
        <v>44</v>
      </c>
      <c r="K4721" t="s">
        <v>30</v>
      </c>
      <c r="L4721" t="s">
        <v>31</v>
      </c>
      <c r="M4721" t="s">
        <v>140</v>
      </c>
      <c r="N4721">
        <v>700</v>
      </c>
      <c r="O4721">
        <v>1.2884608000000001E-2</v>
      </c>
      <c r="P4721">
        <v>1.2884608000000001E-2</v>
      </c>
      <c r="Q4721" t="str">
        <f t="shared" si="146"/>
        <v>35-49</v>
      </c>
      <c r="R4721" t="str">
        <f t="shared" si="147"/>
        <v>[wNqJp8oRIcF]|35-49|Female|PMTCT_STAT_SUBNAT.D.T_1|CY2024Q3</v>
      </c>
    </row>
    <row r="4722" spans="4:18" x14ac:dyDescent="0.2">
      <c r="D4722" t="s">
        <v>126</v>
      </c>
      <c r="E4722" t="s">
        <v>127</v>
      </c>
      <c r="F4722" t="s">
        <v>128</v>
      </c>
      <c r="G4722" t="s">
        <v>204</v>
      </c>
      <c r="H4722" t="s">
        <v>205</v>
      </c>
      <c r="I4722" t="s">
        <v>38</v>
      </c>
      <c r="J4722" t="s">
        <v>39</v>
      </c>
      <c r="K4722" t="s">
        <v>30</v>
      </c>
      <c r="L4722" t="s">
        <v>31</v>
      </c>
      <c r="M4722" t="s">
        <v>140</v>
      </c>
      <c r="N4722">
        <v>9071</v>
      </c>
      <c r="O4722">
        <v>7.625316E-3</v>
      </c>
      <c r="P4722">
        <v>7.625316E-3</v>
      </c>
      <c r="Q4722" t="str">
        <f t="shared" si="146"/>
        <v>15-24</v>
      </c>
      <c r="R4722" t="str">
        <f t="shared" si="147"/>
        <v>[ul0y9diGujK]|15-24|Female|PMTCT_STAT_SUBNAT.D.T_1|CY2024Q3</v>
      </c>
    </row>
    <row r="4723" spans="4:18" x14ac:dyDescent="0.2">
      <c r="D4723" t="s">
        <v>126</v>
      </c>
      <c r="E4723" t="s">
        <v>127</v>
      </c>
      <c r="F4723" t="s">
        <v>128</v>
      </c>
      <c r="G4723" t="s">
        <v>204</v>
      </c>
      <c r="H4723" t="s">
        <v>205</v>
      </c>
      <c r="I4723" t="s">
        <v>41</v>
      </c>
      <c r="J4723" t="s">
        <v>42</v>
      </c>
      <c r="K4723" t="s">
        <v>30</v>
      </c>
      <c r="L4723" t="s">
        <v>31</v>
      </c>
      <c r="M4723" t="s">
        <v>140</v>
      </c>
      <c r="N4723">
        <v>5875</v>
      </c>
      <c r="O4723">
        <v>7.625316E-3</v>
      </c>
      <c r="P4723">
        <v>7.625316E-3</v>
      </c>
      <c r="Q4723" t="str">
        <f t="shared" si="146"/>
        <v>25-34</v>
      </c>
      <c r="R4723" t="str">
        <f t="shared" si="147"/>
        <v>[ul0y9diGujK]|25-34|Female|PMTCT_STAT_SUBNAT.D.T_1|CY2024Q3</v>
      </c>
    </row>
    <row r="4724" spans="4:18" x14ac:dyDescent="0.2">
      <c r="D4724" t="s">
        <v>126</v>
      </c>
      <c r="E4724" t="s">
        <v>127</v>
      </c>
      <c r="F4724" t="s">
        <v>128</v>
      </c>
      <c r="G4724" t="s">
        <v>204</v>
      </c>
      <c r="H4724" t="s">
        <v>205</v>
      </c>
      <c r="I4724" t="s">
        <v>43</v>
      </c>
      <c r="J4724" t="s">
        <v>44</v>
      </c>
      <c r="K4724" t="s">
        <v>30</v>
      </c>
      <c r="L4724" t="s">
        <v>31</v>
      </c>
      <c r="M4724" t="s">
        <v>140</v>
      </c>
      <c r="N4724">
        <v>2410</v>
      </c>
      <c r="O4724">
        <v>7.625316E-3</v>
      </c>
      <c r="P4724">
        <v>7.625316E-3</v>
      </c>
      <c r="Q4724" t="str">
        <f t="shared" si="146"/>
        <v>35-49</v>
      </c>
      <c r="R4724" t="str">
        <f t="shared" si="147"/>
        <v>[ul0y9diGujK]|35-49|Female|PMTCT_STAT_SUBNAT.D.T_1|CY2024Q3</v>
      </c>
    </row>
    <row r="4725" spans="4:18" x14ac:dyDescent="0.2">
      <c r="D4725" t="s">
        <v>129</v>
      </c>
      <c r="E4725" t="s">
        <v>130</v>
      </c>
      <c r="F4725" t="s">
        <v>131</v>
      </c>
      <c r="G4725" t="s">
        <v>204</v>
      </c>
      <c r="H4725" t="s">
        <v>205</v>
      </c>
      <c r="I4725" t="s">
        <v>38</v>
      </c>
      <c r="J4725" t="s">
        <v>39</v>
      </c>
      <c r="K4725" t="s">
        <v>30</v>
      </c>
      <c r="L4725" t="s">
        <v>31</v>
      </c>
      <c r="M4725" t="s">
        <v>140</v>
      </c>
      <c r="N4725">
        <v>9781</v>
      </c>
      <c r="O4725">
        <v>7.3782420000000001E-3</v>
      </c>
      <c r="P4725">
        <v>7.3782420000000001E-3</v>
      </c>
      <c r="Q4725" t="str">
        <f t="shared" si="146"/>
        <v>15-24</v>
      </c>
      <c r="R4725" t="str">
        <f t="shared" si="147"/>
        <v>[U8c0so51kT6]|15-24|Female|PMTCT_STAT_SUBNAT.D.T_1|CY2024Q3</v>
      </c>
    </row>
    <row r="4726" spans="4:18" x14ac:dyDescent="0.2">
      <c r="D4726" t="s">
        <v>129</v>
      </c>
      <c r="E4726" t="s">
        <v>130</v>
      </c>
      <c r="F4726" t="s">
        <v>131</v>
      </c>
      <c r="G4726" t="s">
        <v>204</v>
      </c>
      <c r="H4726" t="s">
        <v>205</v>
      </c>
      <c r="I4726" t="s">
        <v>41</v>
      </c>
      <c r="J4726" t="s">
        <v>42</v>
      </c>
      <c r="K4726" t="s">
        <v>30</v>
      </c>
      <c r="L4726" t="s">
        <v>31</v>
      </c>
      <c r="M4726" t="s">
        <v>140</v>
      </c>
      <c r="N4726">
        <v>6378</v>
      </c>
      <c r="O4726">
        <v>7.3782420000000001E-3</v>
      </c>
      <c r="P4726">
        <v>7.3782420000000001E-3</v>
      </c>
      <c r="Q4726" t="str">
        <f t="shared" si="146"/>
        <v>25-34</v>
      </c>
      <c r="R4726" t="str">
        <f t="shared" si="147"/>
        <v>[U8c0so51kT6]|25-34|Female|PMTCT_STAT_SUBNAT.D.T_1|CY2024Q3</v>
      </c>
    </row>
    <row r="4727" spans="4:18" x14ac:dyDescent="0.2">
      <c r="D4727" t="s">
        <v>129</v>
      </c>
      <c r="E4727" t="s">
        <v>130</v>
      </c>
      <c r="F4727" t="s">
        <v>131</v>
      </c>
      <c r="G4727" t="s">
        <v>204</v>
      </c>
      <c r="H4727" t="s">
        <v>205</v>
      </c>
      <c r="I4727" t="s">
        <v>43</v>
      </c>
      <c r="J4727" t="s">
        <v>44</v>
      </c>
      <c r="K4727" t="s">
        <v>30</v>
      </c>
      <c r="L4727" t="s">
        <v>31</v>
      </c>
      <c r="M4727" t="s">
        <v>140</v>
      </c>
      <c r="N4727">
        <v>2326</v>
      </c>
      <c r="O4727">
        <v>7.3782420000000001E-3</v>
      </c>
      <c r="P4727">
        <v>7.3782420000000001E-3</v>
      </c>
      <c r="Q4727" t="str">
        <f t="shared" si="146"/>
        <v>35-49</v>
      </c>
      <c r="R4727" t="str">
        <f t="shared" si="147"/>
        <v>[U8c0so51kT6]|35-49|Female|PMTCT_STAT_SUBNAT.D.T_1|CY2024Q3</v>
      </c>
    </row>
    <row r="4728" spans="4:18" x14ac:dyDescent="0.2">
      <c r="D4728" t="s">
        <v>132</v>
      </c>
      <c r="E4728" t="s">
        <v>133</v>
      </c>
      <c r="F4728" t="s">
        <v>134</v>
      </c>
      <c r="G4728" t="s">
        <v>204</v>
      </c>
      <c r="H4728" t="s">
        <v>205</v>
      </c>
      <c r="I4728" t="s">
        <v>38</v>
      </c>
      <c r="J4728" t="s">
        <v>39</v>
      </c>
      <c r="K4728" t="s">
        <v>30</v>
      </c>
      <c r="L4728" t="s">
        <v>31</v>
      </c>
      <c r="M4728" t="s">
        <v>140</v>
      </c>
      <c r="N4728">
        <v>7521</v>
      </c>
      <c r="O4728">
        <v>8.4465540000000002E-3</v>
      </c>
      <c r="P4728">
        <v>8.4465540000000002E-3</v>
      </c>
      <c r="Q4728" t="str">
        <f t="shared" si="146"/>
        <v>15-24</v>
      </c>
      <c r="R4728" t="str">
        <f t="shared" si="147"/>
        <v>[rpw540fmNUz]|15-24|Female|PMTCT_STAT_SUBNAT.D.T_1|CY2024Q3</v>
      </c>
    </row>
    <row r="4729" spans="4:18" x14ac:dyDescent="0.2">
      <c r="D4729" t="s">
        <v>132</v>
      </c>
      <c r="E4729" t="s">
        <v>133</v>
      </c>
      <c r="F4729" t="s">
        <v>134</v>
      </c>
      <c r="G4729" t="s">
        <v>204</v>
      </c>
      <c r="H4729" t="s">
        <v>205</v>
      </c>
      <c r="I4729" t="s">
        <v>41</v>
      </c>
      <c r="J4729" t="s">
        <v>42</v>
      </c>
      <c r="K4729" t="s">
        <v>30</v>
      </c>
      <c r="L4729" t="s">
        <v>31</v>
      </c>
      <c r="M4729" t="s">
        <v>140</v>
      </c>
      <c r="N4729">
        <v>4794</v>
      </c>
      <c r="O4729">
        <v>8.4465540000000002E-3</v>
      </c>
      <c r="P4729">
        <v>8.4465540000000002E-3</v>
      </c>
      <c r="Q4729" t="str">
        <f t="shared" si="146"/>
        <v>25-34</v>
      </c>
      <c r="R4729" t="str">
        <f t="shared" si="147"/>
        <v>[rpw540fmNUz]|25-34|Female|PMTCT_STAT_SUBNAT.D.T_1|CY2024Q3</v>
      </c>
    </row>
    <row r="4730" spans="4:18" x14ac:dyDescent="0.2">
      <c r="D4730" t="s">
        <v>132</v>
      </c>
      <c r="E4730" t="s">
        <v>133</v>
      </c>
      <c r="F4730" t="s">
        <v>134</v>
      </c>
      <c r="G4730" t="s">
        <v>204</v>
      </c>
      <c r="H4730" t="s">
        <v>205</v>
      </c>
      <c r="I4730" t="s">
        <v>43</v>
      </c>
      <c r="J4730" t="s">
        <v>44</v>
      </c>
      <c r="K4730" t="s">
        <v>30</v>
      </c>
      <c r="L4730" t="s">
        <v>31</v>
      </c>
      <c r="M4730" t="s">
        <v>140</v>
      </c>
      <c r="N4730">
        <v>1728</v>
      </c>
      <c r="O4730">
        <v>8.4465540000000002E-3</v>
      </c>
      <c r="P4730">
        <v>8.4465540000000002E-3</v>
      </c>
      <c r="Q4730" t="str">
        <f t="shared" si="146"/>
        <v>35-49</v>
      </c>
      <c r="R4730" t="str">
        <f t="shared" si="147"/>
        <v>[rpw540fmNUz]|35-49|Female|PMTCT_STAT_SUBNAT.D.T_1|CY2024Q3</v>
      </c>
    </row>
    <row r="4731" spans="4:18" x14ac:dyDescent="0.2">
      <c r="D4731" t="s">
        <v>135</v>
      </c>
      <c r="E4731" t="s">
        <v>136</v>
      </c>
      <c r="F4731" t="s">
        <v>137</v>
      </c>
      <c r="G4731" t="s">
        <v>204</v>
      </c>
      <c r="H4731" t="s">
        <v>205</v>
      </c>
      <c r="I4731" t="s">
        <v>38</v>
      </c>
      <c r="J4731" t="s">
        <v>39</v>
      </c>
      <c r="K4731" t="s">
        <v>30</v>
      </c>
      <c r="L4731" t="s">
        <v>31</v>
      </c>
      <c r="M4731" t="s">
        <v>140</v>
      </c>
      <c r="N4731">
        <v>2812</v>
      </c>
      <c r="O4731">
        <v>1.3982319E-2</v>
      </c>
      <c r="P4731">
        <v>1.3982319E-2</v>
      </c>
      <c r="Q4731" t="str">
        <f t="shared" si="146"/>
        <v>15-24</v>
      </c>
      <c r="R4731" t="str">
        <f t="shared" si="147"/>
        <v>[gwVYinjBAe9]|15-24|Female|PMTCT_STAT_SUBNAT.D.T_1|CY2024Q3</v>
      </c>
    </row>
    <row r="4732" spans="4:18" x14ac:dyDescent="0.2">
      <c r="D4732" t="s">
        <v>135</v>
      </c>
      <c r="E4732" t="s">
        <v>136</v>
      </c>
      <c r="F4732" t="s">
        <v>137</v>
      </c>
      <c r="G4732" t="s">
        <v>204</v>
      </c>
      <c r="H4732" t="s">
        <v>205</v>
      </c>
      <c r="I4732" t="s">
        <v>41</v>
      </c>
      <c r="J4732" t="s">
        <v>42</v>
      </c>
      <c r="K4732" t="s">
        <v>30</v>
      </c>
      <c r="L4732" t="s">
        <v>31</v>
      </c>
      <c r="M4732" t="s">
        <v>140</v>
      </c>
      <c r="N4732">
        <v>1740</v>
      </c>
      <c r="O4732">
        <v>1.3982319E-2</v>
      </c>
      <c r="P4732">
        <v>1.3982319E-2</v>
      </c>
      <c r="Q4732" t="str">
        <f t="shared" si="146"/>
        <v>25-34</v>
      </c>
      <c r="R4732" t="str">
        <f t="shared" si="147"/>
        <v>[gwVYinjBAe9]|25-34|Female|PMTCT_STAT_SUBNAT.D.T_1|CY2024Q3</v>
      </c>
    </row>
    <row r="4733" spans="4:18" x14ac:dyDescent="0.2">
      <c r="D4733" t="s">
        <v>135</v>
      </c>
      <c r="E4733" t="s">
        <v>136</v>
      </c>
      <c r="F4733" t="s">
        <v>137</v>
      </c>
      <c r="G4733" t="s">
        <v>204</v>
      </c>
      <c r="H4733" t="s">
        <v>205</v>
      </c>
      <c r="I4733" t="s">
        <v>43</v>
      </c>
      <c r="J4733" t="s">
        <v>44</v>
      </c>
      <c r="K4733" t="s">
        <v>30</v>
      </c>
      <c r="L4733" t="s">
        <v>31</v>
      </c>
      <c r="M4733" t="s">
        <v>140</v>
      </c>
      <c r="N4733">
        <v>655</v>
      </c>
      <c r="O4733">
        <v>1.3982319E-2</v>
      </c>
      <c r="P4733">
        <v>1.3982319E-2</v>
      </c>
      <c r="Q4733" t="str">
        <f t="shared" si="146"/>
        <v>35-49</v>
      </c>
      <c r="R4733" t="str">
        <f t="shared" si="147"/>
        <v>[gwVYinjBAe9]|35-49|Female|PMTCT_STAT_SUBNAT.D.T_1|CY2024Q3</v>
      </c>
    </row>
    <row r="4734" spans="4:18" x14ac:dyDescent="0.2">
      <c r="D4734" t="s">
        <v>23</v>
      </c>
      <c r="E4734" t="s">
        <v>24</v>
      </c>
      <c r="F4734" t="s">
        <v>25</v>
      </c>
      <c r="G4734" t="s">
        <v>206</v>
      </c>
      <c r="H4734" t="s">
        <v>207</v>
      </c>
      <c r="I4734" t="s">
        <v>38</v>
      </c>
      <c r="J4734" t="s">
        <v>39</v>
      </c>
      <c r="K4734" t="s">
        <v>30</v>
      </c>
      <c r="L4734" t="s">
        <v>31</v>
      </c>
      <c r="M4734" t="s">
        <v>140</v>
      </c>
      <c r="N4734">
        <v>36</v>
      </c>
      <c r="O4734">
        <v>8.2865430000000004E-2</v>
      </c>
      <c r="P4734">
        <v>6.6365167000000003E-2</v>
      </c>
      <c r="Q4734" t="str">
        <f t="shared" si="146"/>
        <v>15-24</v>
      </c>
      <c r="R4734" t="str">
        <f t="shared" si="147"/>
        <v>[GkIwZrXy1h2]|15-24|Female|PMTCT_ART_SUBNAT.D.T_1|CY2024Q3</v>
      </c>
    </row>
    <row r="4735" spans="4:18" x14ac:dyDescent="0.2">
      <c r="D4735" t="s">
        <v>23</v>
      </c>
      <c r="E4735" t="s">
        <v>24</v>
      </c>
      <c r="F4735" t="s">
        <v>25</v>
      </c>
      <c r="G4735" t="s">
        <v>206</v>
      </c>
      <c r="H4735" t="s">
        <v>207</v>
      </c>
      <c r="I4735" t="s">
        <v>41</v>
      </c>
      <c r="J4735" t="s">
        <v>42</v>
      </c>
      <c r="K4735" t="s">
        <v>30</v>
      </c>
      <c r="L4735" t="s">
        <v>31</v>
      </c>
      <c r="M4735" t="s">
        <v>140</v>
      </c>
      <c r="N4735">
        <v>62</v>
      </c>
      <c r="O4735">
        <v>7.0284241999999997E-2</v>
      </c>
      <c r="P4735">
        <v>6.6365167000000003E-2</v>
      </c>
      <c r="Q4735" t="str">
        <f t="shared" si="146"/>
        <v>25-34</v>
      </c>
      <c r="R4735" t="str">
        <f t="shared" si="147"/>
        <v>[GkIwZrXy1h2]|25-34|Female|PMTCT_ART_SUBNAT.D.T_1|CY2024Q3</v>
      </c>
    </row>
    <row r="4736" spans="4:18" x14ac:dyDescent="0.2">
      <c r="D4736" t="s">
        <v>23</v>
      </c>
      <c r="E4736" t="s">
        <v>24</v>
      </c>
      <c r="F4736" t="s">
        <v>25</v>
      </c>
      <c r="G4736" t="s">
        <v>206</v>
      </c>
      <c r="H4736" t="s">
        <v>207</v>
      </c>
      <c r="I4736" t="s">
        <v>43</v>
      </c>
      <c r="J4736" t="s">
        <v>44</v>
      </c>
      <c r="K4736" t="s">
        <v>30</v>
      </c>
      <c r="L4736" t="s">
        <v>31</v>
      </c>
      <c r="M4736" t="s">
        <v>140</v>
      </c>
      <c r="N4736">
        <v>42</v>
      </c>
      <c r="O4736">
        <v>7.3866644999999995E-2</v>
      </c>
      <c r="P4736">
        <v>6.6365167000000003E-2</v>
      </c>
      <c r="Q4736" t="str">
        <f t="shared" si="146"/>
        <v>35-49</v>
      </c>
      <c r="R4736" t="str">
        <f t="shared" si="147"/>
        <v>[GkIwZrXy1h2]|35-49|Female|PMTCT_ART_SUBNAT.D.T_1|CY2024Q3</v>
      </c>
    </row>
    <row r="4737" spans="4:18" x14ac:dyDescent="0.2">
      <c r="D4737" t="s">
        <v>53</v>
      </c>
      <c r="E4737" t="s">
        <v>54</v>
      </c>
      <c r="F4737" t="s">
        <v>55</v>
      </c>
      <c r="G4737" t="s">
        <v>206</v>
      </c>
      <c r="H4737" t="s">
        <v>207</v>
      </c>
      <c r="I4737" t="s">
        <v>38</v>
      </c>
      <c r="J4737" t="s">
        <v>39</v>
      </c>
      <c r="K4737" t="s">
        <v>30</v>
      </c>
      <c r="L4737" t="s">
        <v>31</v>
      </c>
      <c r="M4737" t="s">
        <v>140</v>
      </c>
      <c r="N4737">
        <v>117</v>
      </c>
      <c r="O4737">
        <v>6.4805567999999994E-2</v>
      </c>
      <c r="P4737">
        <v>4.3140947999999998E-2</v>
      </c>
      <c r="Q4737" t="str">
        <f t="shared" si="146"/>
        <v>15-24</v>
      </c>
      <c r="R4737" t="str">
        <f t="shared" si="147"/>
        <v>[cPtvxaZqXIH]|15-24|Female|PMTCT_ART_SUBNAT.D.T_1|CY2024Q3</v>
      </c>
    </row>
    <row r="4738" spans="4:18" x14ac:dyDescent="0.2">
      <c r="D4738" t="s">
        <v>53</v>
      </c>
      <c r="E4738" t="s">
        <v>54</v>
      </c>
      <c r="F4738" t="s">
        <v>55</v>
      </c>
      <c r="G4738" t="s">
        <v>206</v>
      </c>
      <c r="H4738" t="s">
        <v>207</v>
      </c>
      <c r="I4738" t="s">
        <v>41</v>
      </c>
      <c r="J4738" t="s">
        <v>42</v>
      </c>
      <c r="K4738" t="s">
        <v>30</v>
      </c>
      <c r="L4738" t="s">
        <v>31</v>
      </c>
      <c r="M4738" t="s">
        <v>140</v>
      </c>
      <c r="N4738">
        <v>199</v>
      </c>
      <c r="O4738">
        <v>4.9008239000000002E-2</v>
      </c>
      <c r="P4738">
        <v>4.3140947999999998E-2</v>
      </c>
      <c r="Q4738" t="str">
        <f t="shared" si="146"/>
        <v>25-34</v>
      </c>
      <c r="R4738" t="str">
        <f t="shared" si="147"/>
        <v>[cPtvxaZqXIH]|25-34|Female|PMTCT_ART_SUBNAT.D.T_1|CY2024Q3</v>
      </c>
    </row>
    <row r="4739" spans="4:18" x14ac:dyDescent="0.2">
      <c r="D4739" t="s">
        <v>53</v>
      </c>
      <c r="E4739" t="s">
        <v>54</v>
      </c>
      <c r="F4739" t="s">
        <v>55</v>
      </c>
      <c r="G4739" t="s">
        <v>206</v>
      </c>
      <c r="H4739" t="s">
        <v>207</v>
      </c>
      <c r="I4739" t="s">
        <v>43</v>
      </c>
      <c r="J4739" t="s">
        <v>44</v>
      </c>
      <c r="K4739" t="s">
        <v>30</v>
      </c>
      <c r="L4739" t="s">
        <v>31</v>
      </c>
      <c r="M4739" t="s">
        <v>140</v>
      </c>
      <c r="N4739">
        <v>133</v>
      </c>
      <c r="O4739">
        <v>5.3460915999999997E-2</v>
      </c>
      <c r="P4739">
        <v>4.3140947999999998E-2</v>
      </c>
      <c r="Q4739" t="str">
        <f t="shared" ref="Q4739:Q4802" si="148">SUBSTITUTE(SUBSTITUTE($I4739,CHAR(61),""),CHAR(34),"")</f>
        <v>35-49</v>
      </c>
      <c r="R4739" t="str">
        <f t="shared" ref="R4739:R4802" si="149">IF($D4739&lt;&gt;"","["&amp;$E4739&amp;"]"&amp;"|"&amp;$Q4739&amp;"|"&amp;$K4739&amp;"|"&amp;$G4739&amp;"|"&amp;IF($G4739="TX_CURR_SUBNAT.R","CY2023Q4",$M4739),"")</f>
        <v>[cPtvxaZqXIH]|35-49|Female|PMTCT_ART_SUBNAT.D.T_1|CY2024Q3</v>
      </c>
    </row>
    <row r="4740" spans="4:18" x14ac:dyDescent="0.2">
      <c r="D4740" t="s">
        <v>60</v>
      </c>
      <c r="E4740" t="s">
        <v>61</v>
      </c>
      <c r="F4740" t="s">
        <v>62</v>
      </c>
      <c r="G4740" t="s">
        <v>206</v>
      </c>
      <c r="H4740" t="s">
        <v>207</v>
      </c>
      <c r="I4740" t="s">
        <v>38</v>
      </c>
      <c r="J4740" t="s">
        <v>39</v>
      </c>
      <c r="K4740" t="s">
        <v>30</v>
      </c>
      <c r="L4740" t="s">
        <v>31</v>
      </c>
      <c r="M4740" t="s">
        <v>140</v>
      </c>
      <c r="N4740">
        <v>95</v>
      </c>
      <c r="O4740">
        <v>6.5664814000000002E-2</v>
      </c>
      <c r="P4740">
        <v>4.6837899000000002E-2</v>
      </c>
      <c r="Q4740" t="str">
        <f t="shared" si="148"/>
        <v>15-24</v>
      </c>
      <c r="R4740" t="str">
        <f t="shared" si="149"/>
        <v>[E7zpfyBt7Tw]|15-24|Female|PMTCT_ART_SUBNAT.D.T_1|CY2024Q3</v>
      </c>
    </row>
    <row r="4741" spans="4:18" x14ac:dyDescent="0.2">
      <c r="D4741" t="s">
        <v>60</v>
      </c>
      <c r="E4741" t="s">
        <v>61</v>
      </c>
      <c r="F4741" t="s">
        <v>62</v>
      </c>
      <c r="G4741" t="s">
        <v>206</v>
      </c>
      <c r="H4741" t="s">
        <v>207</v>
      </c>
      <c r="I4741" t="s">
        <v>41</v>
      </c>
      <c r="J4741" t="s">
        <v>42</v>
      </c>
      <c r="K4741" t="s">
        <v>30</v>
      </c>
      <c r="L4741" t="s">
        <v>31</v>
      </c>
      <c r="M4741" t="s">
        <v>140</v>
      </c>
      <c r="N4741">
        <v>151</v>
      </c>
      <c r="O4741">
        <v>5.3080260999999997E-2</v>
      </c>
      <c r="P4741">
        <v>4.6837899000000002E-2</v>
      </c>
      <c r="Q4741" t="str">
        <f t="shared" si="148"/>
        <v>25-34</v>
      </c>
      <c r="R4741" t="str">
        <f t="shared" si="149"/>
        <v>[E7zpfyBt7Tw]|25-34|Female|PMTCT_ART_SUBNAT.D.T_1|CY2024Q3</v>
      </c>
    </row>
    <row r="4742" spans="4:18" x14ac:dyDescent="0.2">
      <c r="D4742" t="s">
        <v>60</v>
      </c>
      <c r="E4742" t="s">
        <v>61</v>
      </c>
      <c r="F4742" t="s">
        <v>62</v>
      </c>
      <c r="G4742" t="s">
        <v>206</v>
      </c>
      <c r="H4742" t="s">
        <v>207</v>
      </c>
      <c r="I4742" t="s">
        <v>43</v>
      </c>
      <c r="J4742" t="s">
        <v>44</v>
      </c>
      <c r="K4742" t="s">
        <v>30</v>
      </c>
      <c r="L4742" t="s">
        <v>31</v>
      </c>
      <c r="M4742" t="s">
        <v>140</v>
      </c>
      <c r="N4742">
        <v>99</v>
      </c>
      <c r="O4742">
        <v>5.6712163000000003E-2</v>
      </c>
      <c r="P4742">
        <v>4.6837899000000002E-2</v>
      </c>
      <c r="Q4742" t="str">
        <f t="shared" si="148"/>
        <v>35-49</v>
      </c>
      <c r="R4742" t="str">
        <f t="shared" si="149"/>
        <v>[E7zpfyBt7Tw]|35-49|Female|PMTCT_ART_SUBNAT.D.T_1|CY2024Q3</v>
      </c>
    </row>
    <row r="4743" spans="4:18" x14ac:dyDescent="0.2">
      <c r="D4743" t="s">
        <v>63</v>
      </c>
      <c r="E4743" t="s">
        <v>64</v>
      </c>
      <c r="F4743" t="s">
        <v>65</v>
      </c>
      <c r="G4743" t="s">
        <v>206</v>
      </c>
      <c r="H4743" t="s">
        <v>207</v>
      </c>
      <c r="I4743" t="s">
        <v>38</v>
      </c>
      <c r="J4743" t="s">
        <v>39</v>
      </c>
      <c r="K4743" t="s">
        <v>30</v>
      </c>
      <c r="L4743" t="s">
        <v>31</v>
      </c>
      <c r="M4743" t="s">
        <v>140</v>
      </c>
      <c r="N4743">
        <v>52</v>
      </c>
      <c r="O4743">
        <v>7.5452266000000004E-2</v>
      </c>
      <c r="P4743">
        <v>5.7666895000000003E-2</v>
      </c>
      <c r="Q4743" t="str">
        <f t="shared" si="148"/>
        <v>15-24</v>
      </c>
      <c r="R4743" t="str">
        <f t="shared" si="149"/>
        <v>[lPTyjLi4w3d]|15-24|Female|PMTCT_ART_SUBNAT.D.T_1|CY2024Q3</v>
      </c>
    </row>
    <row r="4744" spans="4:18" x14ac:dyDescent="0.2">
      <c r="D4744" t="s">
        <v>63</v>
      </c>
      <c r="E4744" t="s">
        <v>64</v>
      </c>
      <c r="F4744" t="s">
        <v>65</v>
      </c>
      <c r="G4744" t="s">
        <v>206</v>
      </c>
      <c r="H4744" t="s">
        <v>207</v>
      </c>
      <c r="I4744" t="s">
        <v>41</v>
      </c>
      <c r="J4744" t="s">
        <v>42</v>
      </c>
      <c r="K4744" t="s">
        <v>30</v>
      </c>
      <c r="L4744" t="s">
        <v>31</v>
      </c>
      <c r="M4744" t="s">
        <v>140</v>
      </c>
      <c r="N4744">
        <v>89</v>
      </c>
      <c r="O4744">
        <v>6.1711107000000001E-2</v>
      </c>
      <c r="P4744">
        <v>5.7666895000000003E-2</v>
      </c>
      <c r="Q4744" t="str">
        <f t="shared" si="148"/>
        <v>25-34</v>
      </c>
      <c r="R4744" t="str">
        <f t="shared" si="149"/>
        <v>[lPTyjLi4w3d]|25-34|Female|PMTCT_ART_SUBNAT.D.T_1|CY2024Q3</v>
      </c>
    </row>
    <row r="4745" spans="4:18" x14ac:dyDescent="0.2">
      <c r="D4745" t="s">
        <v>63</v>
      </c>
      <c r="E4745" t="s">
        <v>64</v>
      </c>
      <c r="F4745" t="s">
        <v>65</v>
      </c>
      <c r="G4745" t="s">
        <v>206</v>
      </c>
      <c r="H4745" t="s">
        <v>207</v>
      </c>
      <c r="I4745" t="s">
        <v>43</v>
      </c>
      <c r="J4745" t="s">
        <v>44</v>
      </c>
      <c r="K4745" t="s">
        <v>30</v>
      </c>
      <c r="L4745" t="s">
        <v>31</v>
      </c>
      <c r="M4745" t="s">
        <v>140</v>
      </c>
      <c r="N4745">
        <v>60</v>
      </c>
      <c r="O4745">
        <v>6.5900129000000002E-2</v>
      </c>
      <c r="P4745">
        <v>5.7666895000000003E-2</v>
      </c>
      <c r="Q4745" t="str">
        <f t="shared" si="148"/>
        <v>35-49</v>
      </c>
      <c r="R4745" t="str">
        <f t="shared" si="149"/>
        <v>[lPTyjLi4w3d]|35-49|Female|PMTCT_ART_SUBNAT.D.T_1|CY2024Q3</v>
      </c>
    </row>
    <row r="4746" spans="4:18" x14ac:dyDescent="0.2">
      <c r="D4746" t="s">
        <v>66</v>
      </c>
      <c r="E4746" t="s">
        <v>67</v>
      </c>
      <c r="F4746" t="s">
        <v>68</v>
      </c>
      <c r="G4746" t="s">
        <v>206</v>
      </c>
      <c r="H4746" t="s">
        <v>207</v>
      </c>
      <c r="I4746" t="s">
        <v>38</v>
      </c>
      <c r="J4746" t="s">
        <v>39</v>
      </c>
      <c r="K4746" t="s">
        <v>30</v>
      </c>
      <c r="L4746" t="s">
        <v>31</v>
      </c>
      <c r="M4746" t="s">
        <v>140</v>
      </c>
      <c r="N4746">
        <v>273</v>
      </c>
      <c r="O4746">
        <v>5.3685036999999998E-2</v>
      </c>
      <c r="P4746">
        <v>2.6099897E-2</v>
      </c>
      <c r="Q4746" t="str">
        <f t="shared" si="148"/>
        <v>15-24</v>
      </c>
      <c r="R4746" t="str">
        <f t="shared" si="149"/>
        <v>[vA4NcHxfMBq]|15-24|Female|PMTCT_ART_SUBNAT.D.T_1|CY2024Q3</v>
      </c>
    </row>
    <row r="4747" spans="4:18" x14ac:dyDescent="0.2">
      <c r="D4747" t="s">
        <v>66</v>
      </c>
      <c r="E4747" t="s">
        <v>67</v>
      </c>
      <c r="F4747" t="s">
        <v>68</v>
      </c>
      <c r="G4747" t="s">
        <v>206</v>
      </c>
      <c r="H4747" t="s">
        <v>207</v>
      </c>
      <c r="I4747" t="s">
        <v>41</v>
      </c>
      <c r="J4747" t="s">
        <v>42</v>
      </c>
      <c r="K4747" t="s">
        <v>30</v>
      </c>
      <c r="L4747" t="s">
        <v>31</v>
      </c>
      <c r="M4747" t="s">
        <v>140</v>
      </c>
      <c r="N4747">
        <v>503</v>
      </c>
      <c r="O4747">
        <v>3.4346925E-2</v>
      </c>
      <c r="P4747">
        <v>2.6099897E-2</v>
      </c>
      <c r="Q4747" t="str">
        <f t="shared" si="148"/>
        <v>25-34</v>
      </c>
      <c r="R4747" t="str">
        <f t="shared" si="149"/>
        <v>[vA4NcHxfMBq]|25-34|Female|PMTCT_ART_SUBNAT.D.T_1|CY2024Q3</v>
      </c>
    </row>
    <row r="4748" spans="4:18" x14ac:dyDescent="0.2">
      <c r="D4748" t="s">
        <v>66</v>
      </c>
      <c r="E4748" t="s">
        <v>67</v>
      </c>
      <c r="F4748" t="s">
        <v>68</v>
      </c>
      <c r="G4748" t="s">
        <v>206</v>
      </c>
      <c r="H4748" t="s">
        <v>207</v>
      </c>
      <c r="I4748" t="s">
        <v>43</v>
      </c>
      <c r="J4748" t="s">
        <v>44</v>
      </c>
      <c r="K4748" t="s">
        <v>30</v>
      </c>
      <c r="L4748" t="s">
        <v>31</v>
      </c>
      <c r="M4748" t="s">
        <v>140</v>
      </c>
      <c r="N4748">
        <v>330</v>
      </c>
      <c r="O4748">
        <v>4.1477936999999999E-2</v>
      </c>
      <c r="P4748">
        <v>2.6099897E-2</v>
      </c>
      <c r="Q4748" t="str">
        <f t="shared" si="148"/>
        <v>35-49</v>
      </c>
      <c r="R4748" t="str">
        <f t="shared" si="149"/>
        <v>[vA4NcHxfMBq]|35-49|Female|PMTCT_ART_SUBNAT.D.T_1|CY2024Q3</v>
      </c>
    </row>
    <row r="4749" spans="4:18" x14ac:dyDescent="0.2">
      <c r="D4749" t="s">
        <v>69</v>
      </c>
      <c r="E4749" t="s">
        <v>70</v>
      </c>
      <c r="F4749" t="s">
        <v>71</v>
      </c>
      <c r="G4749" t="s">
        <v>206</v>
      </c>
      <c r="H4749" t="s">
        <v>207</v>
      </c>
      <c r="I4749" t="s">
        <v>38</v>
      </c>
      <c r="J4749" t="s">
        <v>39</v>
      </c>
      <c r="K4749" t="s">
        <v>30</v>
      </c>
      <c r="L4749" t="s">
        <v>31</v>
      </c>
      <c r="M4749" t="s">
        <v>140</v>
      </c>
      <c r="N4749">
        <v>7</v>
      </c>
      <c r="O4749">
        <v>0.12806182899999999</v>
      </c>
      <c r="P4749">
        <v>0.113957673</v>
      </c>
      <c r="Q4749" t="str">
        <f t="shared" si="148"/>
        <v>15-24</v>
      </c>
      <c r="R4749" t="str">
        <f t="shared" si="149"/>
        <v>[ZCjuwgaMB9u]|15-24|Female|PMTCT_ART_SUBNAT.D.T_1|CY2024Q3</v>
      </c>
    </row>
    <row r="4750" spans="4:18" x14ac:dyDescent="0.2">
      <c r="D4750" t="s">
        <v>69</v>
      </c>
      <c r="E4750" t="s">
        <v>70</v>
      </c>
      <c r="F4750" t="s">
        <v>71</v>
      </c>
      <c r="G4750" t="s">
        <v>206</v>
      </c>
      <c r="H4750" t="s">
        <v>207</v>
      </c>
      <c r="I4750" t="s">
        <v>41</v>
      </c>
      <c r="J4750" t="s">
        <v>42</v>
      </c>
      <c r="K4750" t="s">
        <v>30</v>
      </c>
      <c r="L4750" t="s">
        <v>31</v>
      </c>
      <c r="M4750" t="s">
        <v>140</v>
      </c>
      <c r="N4750">
        <v>13</v>
      </c>
      <c r="O4750">
        <v>0.11679324000000001</v>
      </c>
      <c r="P4750">
        <v>0.113957673</v>
      </c>
      <c r="Q4750" t="str">
        <f t="shared" si="148"/>
        <v>25-34</v>
      </c>
      <c r="R4750" t="str">
        <f t="shared" si="149"/>
        <v>[ZCjuwgaMB9u]|25-34|Female|PMTCT_ART_SUBNAT.D.T_1|CY2024Q3</v>
      </c>
    </row>
    <row r="4751" spans="4:18" x14ac:dyDescent="0.2">
      <c r="D4751" t="s">
        <v>69</v>
      </c>
      <c r="E4751" t="s">
        <v>70</v>
      </c>
      <c r="F4751" t="s">
        <v>71</v>
      </c>
      <c r="G4751" t="s">
        <v>206</v>
      </c>
      <c r="H4751" t="s">
        <v>207</v>
      </c>
      <c r="I4751" t="s">
        <v>43</v>
      </c>
      <c r="J4751" t="s">
        <v>44</v>
      </c>
      <c r="K4751" t="s">
        <v>30</v>
      </c>
      <c r="L4751" t="s">
        <v>31</v>
      </c>
      <c r="M4751" t="s">
        <v>140</v>
      </c>
      <c r="N4751">
        <v>9</v>
      </c>
      <c r="O4751">
        <v>0.11390670999999999</v>
      </c>
      <c r="P4751">
        <v>0.113957673</v>
      </c>
      <c r="Q4751" t="str">
        <f t="shared" si="148"/>
        <v>35-49</v>
      </c>
      <c r="R4751" t="str">
        <f t="shared" si="149"/>
        <v>[ZCjuwgaMB9u]|35-49|Female|PMTCT_ART_SUBNAT.D.T_1|CY2024Q3</v>
      </c>
    </row>
    <row r="4752" spans="4:18" x14ac:dyDescent="0.2">
      <c r="D4752" t="s">
        <v>72</v>
      </c>
      <c r="E4752" t="s">
        <v>73</v>
      </c>
      <c r="F4752" t="s">
        <v>74</v>
      </c>
      <c r="G4752" t="s">
        <v>206</v>
      </c>
      <c r="H4752" t="s">
        <v>207</v>
      </c>
      <c r="I4752" t="s">
        <v>38</v>
      </c>
      <c r="J4752" t="s">
        <v>39</v>
      </c>
      <c r="K4752" t="s">
        <v>30</v>
      </c>
      <c r="L4752" t="s">
        <v>31</v>
      </c>
      <c r="M4752" t="s">
        <v>140</v>
      </c>
      <c r="N4752">
        <v>146</v>
      </c>
      <c r="O4752">
        <v>6.0971032000000001E-2</v>
      </c>
      <c r="P4752">
        <v>3.9326702999999998E-2</v>
      </c>
      <c r="Q4752" t="str">
        <f t="shared" si="148"/>
        <v>15-24</v>
      </c>
      <c r="R4752" t="str">
        <f t="shared" si="149"/>
        <v>[JQKLKuVuY61]|15-24|Female|PMTCT_ART_SUBNAT.D.T_1|CY2024Q3</v>
      </c>
    </row>
    <row r="4753" spans="4:18" x14ac:dyDescent="0.2">
      <c r="D4753" t="s">
        <v>72</v>
      </c>
      <c r="E4753" t="s">
        <v>73</v>
      </c>
      <c r="F4753" t="s">
        <v>74</v>
      </c>
      <c r="G4753" t="s">
        <v>206</v>
      </c>
      <c r="H4753" t="s">
        <v>207</v>
      </c>
      <c r="I4753" t="s">
        <v>41</v>
      </c>
      <c r="J4753" t="s">
        <v>42</v>
      </c>
      <c r="K4753" t="s">
        <v>30</v>
      </c>
      <c r="L4753" t="s">
        <v>31</v>
      </c>
      <c r="M4753" t="s">
        <v>140</v>
      </c>
      <c r="N4753">
        <v>244</v>
      </c>
      <c r="O4753">
        <v>4.6305638000000003E-2</v>
      </c>
      <c r="P4753">
        <v>3.9326702999999998E-2</v>
      </c>
      <c r="Q4753" t="str">
        <f t="shared" si="148"/>
        <v>25-34</v>
      </c>
      <c r="R4753" t="str">
        <f t="shared" si="149"/>
        <v>[JQKLKuVuY61]|25-34|Female|PMTCT_ART_SUBNAT.D.T_1|CY2024Q3</v>
      </c>
    </row>
    <row r="4754" spans="4:18" x14ac:dyDescent="0.2">
      <c r="D4754" t="s">
        <v>72</v>
      </c>
      <c r="E4754" t="s">
        <v>73</v>
      </c>
      <c r="F4754" t="s">
        <v>74</v>
      </c>
      <c r="G4754" t="s">
        <v>206</v>
      </c>
      <c r="H4754" t="s">
        <v>207</v>
      </c>
      <c r="I4754" t="s">
        <v>43</v>
      </c>
      <c r="J4754" t="s">
        <v>44</v>
      </c>
      <c r="K4754" t="s">
        <v>30</v>
      </c>
      <c r="L4754" t="s">
        <v>31</v>
      </c>
      <c r="M4754" t="s">
        <v>140</v>
      </c>
      <c r="N4754">
        <v>171</v>
      </c>
      <c r="O4754">
        <v>5.0974126000000002E-2</v>
      </c>
      <c r="P4754">
        <v>3.9326702999999998E-2</v>
      </c>
      <c r="Q4754" t="str">
        <f t="shared" si="148"/>
        <v>35-49</v>
      </c>
      <c r="R4754" t="str">
        <f t="shared" si="149"/>
        <v>[JQKLKuVuY61]|35-49|Female|PMTCT_ART_SUBNAT.D.T_1|CY2024Q3</v>
      </c>
    </row>
    <row r="4755" spans="4:18" x14ac:dyDescent="0.2">
      <c r="D4755" t="s">
        <v>75</v>
      </c>
      <c r="E4755" t="s">
        <v>76</v>
      </c>
      <c r="F4755" t="s">
        <v>77</v>
      </c>
      <c r="G4755" t="s">
        <v>206</v>
      </c>
      <c r="H4755" t="s">
        <v>207</v>
      </c>
      <c r="I4755" t="s">
        <v>38</v>
      </c>
      <c r="J4755" t="s">
        <v>39</v>
      </c>
      <c r="K4755" t="s">
        <v>30</v>
      </c>
      <c r="L4755" t="s">
        <v>31</v>
      </c>
      <c r="M4755" t="s">
        <v>140</v>
      </c>
      <c r="N4755">
        <v>112</v>
      </c>
      <c r="O4755">
        <v>6.3686898000000006E-2</v>
      </c>
      <c r="P4755">
        <v>4.1427828E-2</v>
      </c>
      <c r="Q4755" t="str">
        <f t="shared" si="148"/>
        <v>15-24</v>
      </c>
      <c r="R4755" t="str">
        <f t="shared" si="149"/>
        <v>[YCKiBAp8QAg]|15-24|Female|PMTCT_ART_SUBNAT.D.T_1|CY2024Q3</v>
      </c>
    </row>
    <row r="4756" spans="4:18" x14ac:dyDescent="0.2">
      <c r="D4756" t="s">
        <v>75</v>
      </c>
      <c r="E4756" t="s">
        <v>76</v>
      </c>
      <c r="F4756" t="s">
        <v>77</v>
      </c>
      <c r="G4756" t="s">
        <v>206</v>
      </c>
      <c r="H4756" t="s">
        <v>207</v>
      </c>
      <c r="I4756" t="s">
        <v>41</v>
      </c>
      <c r="J4756" t="s">
        <v>42</v>
      </c>
      <c r="K4756" t="s">
        <v>30</v>
      </c>
      <c r="L4756" t="s">
        <v>31</v>
      </c>
      <c r="M4756" t="s">
        <v>140</v>
      </c>
      <c r="N4756">
        <v>189</v>
      </c>
      <c r="O4756">
        <v>4.7643016000000003E-2</v>
      </c>
      <c r="P4756">
        <v>4.1427828E-2</v>
      </c>
      <c r="Q4756" t="str">
        <f t="shared" si="148"/>
        <v>25-34</v>
      </c>
      <c r="R4756" t="str">
        <f t="shared" si="149"/>
        <v>[YCKiBAp8QAg]|25-34|Female|PMTCT_ART_SUBNAT.D.T_1|CY2024Q3</v>
      </c>
    </row>
    <row r="4757" spans="4:18" x14ac:dyDescent="0.2">
      <c r="D4757" t="s">
        <v>75</v>
      </c>
      <c r="E4757" t="s">
        <v>76</v>
      </c>
      <c r="F4757" t="s">
        <v>77</v>
      </c>
      <c r="G4757" t="s">
        <v>206</v>
      </c>
      <c r="H4757" t="s">
        <v>207</v>
      </c>
      <c r="I4757" t="s">
        <v>43</v>
      </c>
      <c r="J4757" t="s">
        <v>44</v>
      </c>
      <c r="K4757" t="s">
        <v>30</v>
      </c>
      <c r="L4757" t="s">
        <v>31</v>
      </c>
      <c r="M4757" t="s">
        <v>140</v>
      </c>
      <c r="N4757">
        <v>128</v>
      </c>
      <c r="O4757">
        <v>5.2317506999999999E-2</v>
      </c>
      <c r="P4757">
        <v>4.1427828E-2</v>
      </c>
      <c r="Q4757" t="str">
        <f t="shared" si="148"/>
        <v>35-49</v>
      </c>
      <c r="R4757" t="str">
        <f t="shared" si="149"/>
        <v>[YCKiBAp8QAg]|35-49|Female|PMTCT_ART_SUBNAT.D.T_1|CY2024Q3</v>
      </c>
    </row>
    <row r="4758" spans="4:18" x14ac:dyDescent="0.2">
      <c r="D4758" t="s">
        <v>78</v>
      </c>
      <c r="E4758" t="s">
        <v>79</v>
      </c>
      <c r="F4758" t="s">
        <v>80</v>
      </c>
      <c r="G4758" t="s">
        <v>206</v>
      </c>
      <c r="H4758" t="s">
        <v>207</v>
      </c>
      <c r="I4758" t="s">
        <v>38</v>
      </c>
      <c r="J4758" t="s">
        <v>39</v>
      </c>
      <c r="K4758" t="s">
        <v>30</v>
      </c>
      <c r="L4758" t="s">
        <v>31</v>
      </c>
      <c r="M4758" t="s">
        <v>140</v>
      </c>
      <c r="N4758">
        <v>28</v>
      </c>
      <c r="O4758">
        <v>8.5730242999999998E-2</v>
      </c>
      <c r="P4758">
        <v>7.2437381999999995E-2</v>
      </c>
      <c r="Q4758" t="str">
        <f t="shared" si="148"/>
        <v>15-24</v>
      </c>
      <c r="R4758" t="str">
        <f t="shared" si="149"/>
        <v>[fiRkU6gEjLz]|15-24|Female|PMTCT_ART_SUBNAT.D.T_1|CY2024Q3</v>
      </c>
    </row>
    <row r="4759" spans="4:18" x14ac:dyDescent="0.2">
      <c r="D4759" t="s">
        <v>78</v>
      </c>
      <c r="E4759" t="s">
        <v>79</v>
      </c>
      <c r="F4759" t="s">
        <v>80</v>
      </c>
      <c r="G4759" t="s">
        <v>206</v>
      </c>
      <c r="H4759" t="s">
        <v>207</v>
      </c>
      <c r="I4759" t="s">
        <v>41</v>
      </c>
      <c r="J4759" t="s">
        <v>42</v>
      </c>
      <c r="K4759" t="s">
        <v>30</v>
      </c>
      <c r="L4759" t="s">
        <v>31</v>
      </c>
      <c r="M4759" t="s">
        <v>140</v>
      </c>
      <c r="N4759">
        <v>48</v>
      </c>
      <c r="O4759">
        <v>7.7106245000000004E-2</v>
      </c>
      <c r="P4759">
        <v>7.2437381999999995E-2</v>
      </c>
      <c r="Q4759" t="str">
        <f t="shared" si="148"/>
        <v>25-34</v>
      </c>
      <c r="R4759" t="str">
        <f t="shared" si="149"/>
        <v>[fiRkU6gEjLz]|25-34|Female|PMTCT_ART_SUBNAT.D.T_1|CY2024Q3</v>
      </c>
    </row>
    <row r="4760" spans="4:18" x14ac:dyDescent="0.2">
      <c r="D4760" t="s">
        <v>78</v>
      </c>
      <c r="E4760" t="s">
        <v>79</v>
      </c>
      <c r="F4760" t="s">
        <v>80</v>
      </c>
      <c r="G4760" t="s">
        <v>206</v>
      </c>
      <c r="H4760" t="s">
        <v>207</v>
      </c>
      <c r="I4760" t="s">
        <v>43</v>
      </c>
      <c r="J4760" t="s">
        <v>44</v>
      </c>
      <c r="K4760" t="s">
        <v>30</v>
      </c>
      <c r="L4760" t="s">
        <v>31</v>
      </c>
      <c r="M4760" t="s">
        <v>140</v>
      </c>
      <c r="N4760">
        <v>34</v>
      </c>
      <c r="O4760">
        <v>7.9182661000000001E-2</v>
      </c>
      <c r="P4760">
        <v>7.2437381999999995E-2</v>
      </c>
      <c r="Q4760" t="str">
        <f t="shared" si="148"/>
        <v>35-49</v>
      </c>
      <c r="R4760" t="str">
        <f t="shared" si="149"/>
        <v>[fiRkU6gEjLz]|35-49|Female|PMTCT_ART_SUBNAT.D.T_1|CY2024Q3</v>
      </c>
    </row>
    <row r="4761" spans="4:18" x14ac:dyDescent="0.2">
      <c r="D4761" t="s">
        <v>81</v>
      </c>
      <c r="E4761" t="s">
        <v>82</v>
      </c>
      <c r="F4761" t="s">
        <v>83</v>
      </c>
      <c r="G4761" t="s">
        <v>206</v>
      </c>
      <c r="H4761" t="s">
        <v>207</v>
      </c>
      <c r="I4761" t="s">
        <v>38</v>
      </c>
      <c r="J4761" t="s">
        <v>39</v>
      </c>
      <c r="K4761" t="s">
        <v>30</v>
      </c>
      <c r="L4761" t="s">
        <v>31</v>
      </c>
      <c r="M4761" t="s">
        <v>140</v>
      </c>
      <c r="N4761">
        <v>72</v>
      </c>
      <c r="O4761">
        <v>6.9161560999999996E-2</v>
      </c>
      <c r="P4761">
        <v>5.1046604000000002E-2</v>
      </c>
      <c r="Q4761" t="str">
        <f t="shared" si="148"/>
        <v>15-24</v>
      </c>
      <c r="R4761" t="str">
        <f t="shared" si="149"/>
        <v>[zphK9WV8JB4]|15-24|Female|PMTCT_ART_SUBNAT.D.T_1|CY2024Q3</v>
      </c>
    </row>
    <row r="4762" spans="4:18" x14ac:dyDescent="0.2">
      <c r="D4762" t="s">
        <v>81</v>
      </c>
      <c r="E4762" t="s">
        <v>82</v>
      </c>
      <c r="F4762" t="s">
        <v>83</v>
      </c>
      <c r="G4762" t="s">
        <v>206</v>
      </c>
      <c r="H4762" t="s">
        <v>207</v>
      </c>
      <c r="I4762" t="s">
        <v>41</v>
      </c>
      <c r="J4762" t="s">
        <v>42</v>
      </c>
      <c r="K4762" t="s">
        <v>30</v>
      </c>
      <c r="L4762" t="s">
        <v>31</v>
      </c>
      <c r="M4762" t="s">
        <v>140</v>
      </c>
      <c r="N4762">
        <v>125</v>
      </c>
      <c r="O4762">
        <v>5.6926200000000003E-2</v>
      </c>
      <c r="P4762">
        <v>5.1046604000000002E-2</v>
      </c>
      <c r="Q4762" t="str">
        <f t="shared" si="148"/>
        <v>25-34</v>
      </c>
      <c r="R4762" t="str">
        <f t="shared" si="149"/>
        <v>[zphK9WV8JB4]|25-34|Female|PMTCT_ART_SUBNAT.D.T_1|CY2024Q3</v>
      </c>
    </row>
    <row r="4763" spans="4:18" x14ac:dyDescent="0.2">
      <c r="D4763" t="s">
        <v>81</v>
      </c>
      <c r="E4763" t="s">
        <v>82</v>
      </c>
      <c r="F4763" t="s">
        <v>83</v>
      </c>
      <c r="G4763" t="s">
        <v>206</v>
      </c>
      <c r="H4763" t="s">
        <v>207</v>
      </c>
      <c r="I4763" t="s">
        <v>43</v>
      </c>
      <c r="J4763" t="s">
        <v>44</v>
      </c>
      <c r="K4763" t="s">
        <v>30</v>
      </c>
      <c r="L4763" t="s">
        <v>31</v>
      </c>
      <c r="M4763" t="s">
        <v>140</v>
      </c>
      <c r="N4763">
        <v>87</v>
      </c>
      <c r="O4763">
        <v>5.9741803000000003E-2</v>
      </c>
      <c r="P4763">
        <v>5.1046604000000002E-2</v>
      </c>
      <c r="Q4763" t="str">
        <f t="shared" si="148"/>
        <v>35-49</v>
      </c>
      <c r="R4763" t="str">
        <f t="shared" si="149"/>
        <v>[zphK9WV8JB4]|35-49|Female|PMTCT_ART_SUBNAT.D.T_1|CY2024Q3</v>
      </c>
    </row>
    <row r="4764" spans="4:18" x14ac:dyDescent="0.2">
      <c r="D4764" t="s">
        <v>84</v>
      </c>
      <c r="E4764" t="s">
        <v>85</v>
      </c>
      <c r="F4764" t="s">
        <v>86</v>
      </c>
      <c r="G4764" t="s">
        <v>206</v>
      </c>
      <c r="H4764" t="s">
        <v>207</v>
      </c>
      <c r="I4764" t="s">
        <v>38</v>
      </c>
      <c r="J4764" t="s">
        <v>39</v>
      </c>
      <c r="K4764" t="s">
        <v>30</v>
      </c>
      <c r="L4764" t="s">
        <v>31</v>
      </c>
      <c r="M4764" t="s">
        <v>140</v>
      </c>
      <c r="N4764">
        <v>149</v>
      </c>
      <c r="O4764">
        <v>6.2903762000000002E-2</v>
      </c>
      <c r="P4764">
        <v>3.9253726000000003E-2</v>
      </c>
      <c r="Q4764" t="str">
        <f t="shared" si="148"/>
        <v>15-24</v>
      </c>
      <c r="R4764" t="str">
        <f t="shared" si="149"/>
        <v>[msW2zpIN7up]|15-24|Female|PMTCT_ART_SUBNAT.D.T_1|CY2024Q3</v>
      </c>
    </row>
    <row r="4765" spans="4:18" x14ac:dyDescent="0.2">
      <c r="D4765" t="s">
        <v>84</v>
      </c>
      <c r="E4765" t="s">
        <v>85</v>
      </c>
      <c r="F4765" t="s">
        <v>86</v>
      </c>
      <c r="G4765" t="s">
        <v>206</v>
      </c>
      <c r="H4765" t="s">
        <v>207</v>
      </c>
      <c r="I4765" t="s">
        <v>41</v>
      </c>
      <c r="J4765" t="s">
        <v>42</v>
      </c>
      <c r="K4765" t="s">
        <v>30</v>
      </c>
      <c r="L4765" t="s">
        <v>31</v>
      </c>
      <c r="M4765" t="s">
        <v>140</v>
      </c>
      <c r="N4765">
        <v>259</v>
      </c>
      <c r="O4765">
        <v>4.5859294000000002E-2</v>
      </c>
      <c r="P4765">
        <v>3.9253726000000003E-2</v>
      </c>
      <c r="Q4765" t="str">
        <f t="shared" si="148"/>
        <v>25-34</v>
      </c>
      <c r="R4765" t="str">
        <f t="shared" si="149"/>
        <v>[msW2zpIN7up]|25-34|Female|PMTCT_ART_SUBNAT.D.T_1|CY2024Q3</v>
      </c>
    </row>
    <row r="4766" spans="4:18" x14ac:dyDescent="0.2">
      <c r="D4766" t="s">
        <v>84</v>
      </c>
      <c r="E4766" t="s">
        <v>85</v>
      </c>
      <c r="F4766" t="s">
        <v>86</v>
      </c>
      <c r="G4766" t="s">
        <v>206</v>
      </c>
      <c r="H4766" t="s">
        <v>207</v>
      </c>
      <c r="I4766" t="s">
        <v>43</v>
      </c>
      <c r="J4766" t="s">
        <v>44</v>
      </c>
      <c r="K4766" t="s">
        <v>30</v>
      </c>
      <c r="L4766" t="s">
        <v>31</v>
      </c>
      <c r="M4766" t="s">
        <v>140</v>
      </c>
      <c r="N4766">
        <v>177</v>
      </c>
      <c r="O4766">
        <v>5.0466754000000003E-2</v>
      </c>
      <c r="P4766">
        <v>3.9253726000000003E-2</v>
      </c>
      <c r="Q4766" t="str">
        <f t="shared" si="148"/>
        <v>35-49</v>
      </c>
      <c r="R4766" t="str">
        <f t="shared" si="149"/>
        <v>[msW2zpIN7up]|35-49|Female|PMTCT_ART_SUBNAT.D.T_1|CY2024Q3</v>
      </c>
    </row>
    <row r="4767" spans="4:18" x14ac:dyDescent="0.2">
      <c r="D4767" t="s">
        <v>87</v>
      </c>
      <c r="E4767" t="s">
        <v>88</v>
      </c>
      <c r="F4767" t="s">
        <v>89</v>
      </c>
      <c r="G4767" t="s">
        <v>206</v>
      </c>
      <c r="H4767" t="s">
        <v>207</v>
      </c>
      <c r="I4767" t="s">
        <v>38</v>
      </c>
      <c r="J4767" t="s">
        <v>39</v>
      </c>
      <c r="K4767" t="s">
        <v>30</v>
      </c>
      <c r="L4767" t="s">
        <v>31</v>
      </c>
      <c r="M4767" t="s">
        <v>140</v>
      </c>
      <c r="N4767">
        <v>685</v>
      </c>
      <c r="O4767">
        <v>5.1614597999999998E-2</v>
      </c>
      <c r="P4767">
        <v>1.7815412999999999E-2</v>
      </c>
      <c r="Q4767" t="str">
        <f t="shared" si="148"/>
        <v>15-24</v>
      </c>
      <c r="R4767" t="str">
        <f t="shared" si="149"/>
        <v>[ScR9iFKAasW]|15-24|Female|PMTCT_ART_SUBNAT.D.T_1|CY2024Q3</v>
      </c>
    </row>
    <row r="4768" spans="4:18" x14ac:dyDescent="0.2">
      <c r="D4768" t="s">
        <v>87</v>
      </c>
      <c r="E4768" t="s">
        <v>88</v>
      </c>
      <c r="F4768" t="s">
        <v>89</v>
      </c>
      <c r="G4768" t="s">
        <v>206</v>
      </c>
      <c r="H4768" t="s">
        <v>207</v>
      </c>
      <c r="I4768" t="s">
        <v>41</v>
      </c>
      <c r="J4768" t="s">
        <v>42</v>
      </c>
      <c r="K4768" t="s">
        <v>30</v>
      </c>
      <c r="L4768" t="s">
        <v>31</v>
      </c>
      <c r="M4768" t="s">
        <v>140</v>
      </c>
      <c r="N4768">
        <v>1384</v>
      </c>
      <c r="O4768">
        <v>2.7988760000000001E-2</v>
      </c>
      <c r="P4768">
        <v>1.7815412999999999E-2</v>
      </c>
      <c r="Q4768" t="str">
        <f t="shared" si="148"/>
        <v>25-34</v>
      </c>
      <c r="R4768" t="str">
        <f t="shared" si="149"/>
        <v>[ScR9iFKAasW]|25-34|Female|PMTCT_ART_SUBNAT.D.T_1|CY2024Q3</v>
      </c>
    </row>
    <row r="4769" spans="4:18" x14ac:dyDescent="0.2">
      <c r="D4769" t="s">
        <v>87</v>
      </c>
      <c r="E4769" t="s">
        <v>88</v>
      </c>
      <c r="F4769" t="s">
        <v>89</v>
      </c>
      <c r="G4769" t="s">
        <v>206</v>
      </c>
      <c r="H4769" t="s">
        <v>207</v>
      </c>
      <c r="I4769" t="s">
        <v>43</v>
      </c>
      <c r="J4769" t="s">
        <v>44</v>
      </c>
      <c r="K4769" t="s">
        <v>30</v>
      </c>
      <c r="L4769" t="s">
        <v>31</v>
      </c>
      <c r="M4769" t="s">
        <v>140</v>
      </c>
      <c r="N4769">
        <v>922</v>
      </c>
      <c r="O4769">
        <v>3.5941252E-2</v>
      </c>
      <c r="P4769">
        <v>1.7815412999999999E-2</v>
      </c>
      <c r="Q4769" t="str">
        <f t="shared" si="148"/>
        <v>35-49</v>
      </c>
      <c r="R4769" t="str">
        <f t="shared" si="149"/>
        <v>[ScR9iFKAasW]|35-49|Female|PMTCT_ART_SUBNAT.D.T_1|CY2024Q3</v>
      </c>
    </row>
    <row r="4770" spans="4:18" x14ac:dyDescent="0.2">
      <c r="D4770" t="s">
        <v>90</v>
      </c>
      <c r="E4770" t="s">
        <v>91</v>
      </c>
      <c r="F4770" t="s">
        <v>92</v>
      </c>
      <c r="G4770" t="s">
        <v>206</v>
      </c>
      <c r="H4770" t="s">
        <v>207</v>
      </c>
      <c r="I4770" t="s">
        <v>38</v>
      </c>
      <c r="J4770" t="s">
        <v>39</v>
      </c>
      <c r="K4770" t="s">
        <v>30</v>
      </c>
      <c r="L4770" t="s">
        <v>31</v>
      </c>
      <c r="M4770" t="s">
        <v>140</v>
      </c>
      <c r="N4770">
        <v>121</v>
      </c>
      <c r="O4770">
        <v>6.3815665999999993E-2</v>
      </c>
      <c r="P4770">
        <v>4.0993698000000002E-2</v>
      </c>
      <c r="Q4770" t="str">
        <f t="shared" si="148"/>
        <v>15-24</v>
      </c>
      <c r="R4770" t="str">
        <f t="shared" si="149"/>
        <v>[kxuuIFpOXyO]|15-24|Female|PMTCT_ART_SUBNAT.D.T_1|CY2024Q3</v>
      </c>
    </row>
    <row r="4771" spans="4:18" x14ac:dyDescent="0.2">
      <c r="D4771" t="s">
        <v>90</v>
      </c>
      <c r="E4771" t="s">
        <v>91</v>
      </c>
      <c r="F4771" t="s">
        <v>92</v>
      </c>
      <c r="G4771" t="s">
        <v>206</v>
      </c>
      <c r="H4771" t="s">
        <v>207</v>
      </c>
      <c r="I4771" t="s">
        <v>41</v>
      </c>
      <c r="J4771" t="s">
        <v>42</v>
      </c>
      <c r="K4771" t="s">
        <v>30</v>
      </c>
      <c r="L4771" t="s">
        <v>31</v>
      </c>
      <c r="M4771" t="s">
        <v>140</v>
      </c>
      <c r="N4771">
        <v>215</v>
      </c>
      <c r="O4771">
        <v>4.8022642999999997E-2</v>
      </c>
      <c r="P4771">
        <v>4.0993698000000002E-2</v>
      </c>
      <c r="Q4771" t="str">
        <f t="shared" si="148"/>
        <v>25-34</v>
      </c>
      <c r="R4771" t="str">
        <f t="shared" si="149"/>
        <v>[kxuuIFpOXyO]|25-34|Female|PMTCT_ART_SUBNAT.D.T_1|CY2024Q3</v>
      </c>
    </row>
    <row r="4772" spans="4:18" x14ac:dyDescent="0.2">
      <c r="D4772" t="s">
        <v>90</v>
      </c>
      <c r="E4772" t="s">
        <v>91</v>
      </c>
      <c r="F4772" t="s">
        <v>92</v>
      </c>
      <c r="G4772" t="s">
        <v>206</v>
      </c>
      <c r="H4772" t="s">
        <v>207</v>
      </c>
      <c r="I4772" t="s">
        <v>43</v>
      </c>
      <c r="J4772" t="s">
        <v>44</v>
      </c>
      <c r="K4772" t="s">
        <v>30</v>
      </c>
      <c r="L4772" t="s">
        <v>31</v>
      </c>
      <c r="M4772" t="s">
        <v>140</v>
      </c>
      <c r="N4772">
        <v>146</v>
      </c>
      <c r="O4772">
        <v>5.0800418E-2</v>
      </c>
      <c r="P4772">
        <v>4.0993698000000002E-2</v>
      </c>
      <c r="Q4772" t="str">
        <f t="shared" si="148"/>
        <v>35-49</v>
      </c>
      <c r="R4772" t="str">
        <f t="shared" si="149"/>
        <v>[kxuuIFpOXyO]|35-49|Female|PMTCT_ART_SUBNAT.D.T_1|CY2024Q3</v>
      </c>
    </row>
    <row r="4773" spans="4:18" x14ac:dyDescent="0.2">
      <c r="D4773" t="s">
        <v>93</v>
      </c>
      <c r="E4773" t="s">
        <v>94</v>
      </c>
      <c r="F4773" t="s">
        <v>95</v>
      </c>
      <c r="G4773" t="s">
        <v>206</v>
      </c>
      <c r="H4773" t="s">
        <v>207</v>
      </c>
      <c r="I4773" t="s">
        <v>38</v>
      </c>
      <c r="J4773" t="s">
        <v>39</v>
      </c>
      <c r="K4773" t="s">
        <v>30</v>
      </c>
      <c r="L4773" t="s">
        <v>31</v>
      </c>
      <c r="M4773" t="s">
        <v>140</v>
      </c>
      <c r="N4773">
        <v>146</v>
      </c>
      <c r="O4773">
        <v>6.1342074000000003E-2</v>
      </c>
      <c r="P4773">
        <v>3.7859328999999997E-2</v>
      </c>
      <c r="Q4773" t="str">
        <f t="shared" si="148"/>
        <v>15-24</v>
      </c>
      <c r="R4773" t="str">
        <f t="shared" si="149"/>
        <v>[PekKUkKHAzY]|15-24|Female|PMTCT_ART_SUBNAT.D.T_1|CY2024Q3</v>
      </c>
    </row>
    <row r="4774" spans="4:18" x14ac:dyDescent="0.2">
      <c r="D4774" t="s">
        <v>93</v>
      </c>
      <c r="E4774" t="s">
        <v>94</v>
      </c>
      <c r="F4774" t="s">
        <v>95</v>
      </c>
      <c r="G4774" t="s">
        <v>206</v>
      </c>
      <c r="H4774" t="s">
        <v>207</v>
      </c>
      <c r="I4774" t="s">
        <v>41</v>
      </c>
      <c r="J4774" t="s">
        <v>42</v>
      </c>
      <c r="K4774" t="s">
        <v>30</v>
      </c>
      <c r="L4774" t="s">
        <v>31</v>
      </c>
      <c r="M4774" t="s">
        <v>140</v>
      </c>
      <c r="N4774">
        <v>256</v>
      </c>
      <c r="O4774">
        <v>4.4900768000000001E-2</v>
      </c>
      <c r="P4774">
        <v>3.7859328999999997E-2</v>
      </c>
      <c r="Q4774" t="str">
        <f t="shared" si="148"/>
        <v>25-34</v>
      </c>
      <c r="R4774" t="str">
        <f t="shared" si="149"/>
        <v>[PekKUkKHAzY]|25-34|Female|PMTCT_ART_SUBNAT.D.T_1|CY2024Q3</v>
      </c>
    </row>
    <row r="4775" spans="4:18" x14ac:dyDescent="0.2">
      <c r="D4775" t="s">
        <v>93</v>
      </c>
      <c r="E4775" t="s">
        <v>94</v>
      </c>
      <c r="F4775" t="s">
        <v>95</v>
      </c>
      <c r="G4775" t="s">
        <v>206</v>
      </c>
      <c r="H4775" t="s">
        <v>207</v>
      </c>
      <c r="I4775" t="s">
        <v>43</v>
      </c>
      <c r="J4775" t="s">
        <v>44</v>
      </c>
      <c r="K4775" t="s">
        <v>30</v>
      </c>
      <c r="L4775" t="s">
        <v>31</v>
      </c>
      <c r="M4775" t="s">
        <v>140</v>
      </c>
      <c r="N4775">
        <v>177</v>
      </c>
      <c r="O4775">
        <v>4.8983441000000003E-2</v>
      </c>
      <c r="P4775">
        <v>3.7859328999999997E-2</v>
      </c>
      <c r="Q4775" t="str">
        <f t="shared" si="148"/>
        <v>35-49</v>
      </c>
      <c r="R4775" t="str">
        <f t="shared" si="149"/>
        <v>[PekKUkKHAzY]|35-49|Female|PMTCT_ART_SUBNAT.D.T_1|CY2024Q3</v>
      </c>
    </row>
    <row r="4776" spans="4:18" x14ac:dyDescent="0.2">
      <c r="D4776" t="s">
        <v>96</v>
      </c>
      <c r="E4776" t="s">
        <v>97</v>
      </c>
      <c r="F4776" t="s">
        <v>98</v>
      </c>
      <c r="G4776" t="s">
        <v>206</v>
      </c>
      <c r="H4776" t="s">
        <v>207</v>
      </c>
      <c r="I4776" t="s">
        <v>38</v>
      </c>
      <c r="J4776" t="s">
        <v>39</v>
      </c>
      <c r="K4776" t="s">
        <v>30</v>
      </c>
      <c r="L4776" t="s">
        <v>31</v>
      </c>
      <c r="M4776" t="s">
        <v>140</v>
      </c>
      <c r="N4776">
        <v>224</v>
      </c>
      <c r="O4776">
        <v>5.6319651999999998E-2</v>
      </c>
      <c r="P4776">
        <v>3.0975519E-2</v>
      </c>
      <c r="Q4776" t="str">
        <f t="shared" si="148"/>
        <v>15-24</v>
      </c>
      <c r="R4776" t="str">
        <f t="shared" si="149"/>
        <v>[am530wpaGvr]|15-24|Female|PMTCT_ART_SUBNAT.D.T_1|CY2024Q3</v>
      </c>
    </row>
    <row r="4777" spans="4:18" x14ac:dyDescent="0.2">
      <c r="D4777" t="s">
        <v>96</v>
      </c>
      <c r="E4777" t="s">
        <v>97</v>
      </c>
      <c r="F4777" t="s">
        <v>98</v>
      </c>
      <c r="G4777" t="s">
        <v>206</v>
      </c>
      <c r="H4777" t="s">
        <v>207</v>
      </c>
      <c r="I4777" t="s">
        <v>41</v>
      </c>
      <c r="J4777" t="s">
        <v>42</v>
      </c>
      <c r="K4777" t="s">
        <v>30</v>
      </c>
      <c r="L4777" t="s">
        <v>31</v>
      </c>
      <c r="M4777" t="s">
        <v>140</v>
      </c>
      <c r="N4777">
        <v>377</v>
      </c>
      <c r="O4777">
        <v>3.9674289000000001E-2</v>
      </c>
      <c r="P4777">
        <v>3.0975519E-2</v>
      </c>
      <c r="Q4777" t="str">
        <f t="shared" si="148"/>
        <v>25-34</v>
      </c>
      <c r="R4777" t="str">
        <f t="shared" si="149"/>
        <v>[am530wpaGvr]|25-34|Female|PMTCT_ART_SUBNAT.D.T_1|CY2024Q3</v>
      </c>
    </row>
    <row r="4778" spans="4:18" x14ac:dyDescent="0.2">
      <c r="D4778" t="s">
        <v>96</v>
      </c>
      <c r="E4778" t="s">
        <v>97</v>
      </c>
      <c r="F4778" t="s">
        <v>98</v>
      </c>
      <c r="G4778" t="s">
        <v>206</v>
      </c>
      <c r="H4778" t="s">
        <v>207</v>
      </c>
      <c r="I4778" t="s">
        <v>43</v>
      </c>
      <c r="J4778" t="s">
        <v>44</v>
      </c>
      <c r="K4778" t="s">
        <v>30</v>
      </c>
      <c r="L4778" t="s">
        <v>31</v>
      </c>
      <c r="M4778" t="s">
        <v>140</v>
      </c>
      <c r="N4778">
        <v>266</v>
      </c>
      <c r="O4778">
        <v>4.3623807000000001E-2</v>
      </c>
      <c r="P4778">
        <v>3.0975519E-2</v>
      </c>
      <c r="Q4778" t="str">
        <f t="shared" si="148"/>
        <v>35-49</v>
      </c>
      <c r="R4778" t="str">
        <f t="shared" si="149"/>
        <v>[am530wpaGvr]|35-49|Female|PMTCT_ART_SUBNAT.D.T_1|CY2024Q3</v>
      </c>
    </row>
    <row r="4779" spans="4:18" x14ac:dyDescent="0.2">
      <c r="D4779" t="s">
        <v>99</v>
      </c>
      <c r="E4779" t="s">
        <v>100</v>
      </c>
      <c r="F4779" t="s">
        <v>101</v>
      </c>
      <c r="G4779" t="s">
        <v>206</v>
      </c>
      <c r="H4779" t="s">
        <v>207</v>
      </c>
      <c r="I4779" t="s">
        <v>38</v>
      </c>
      <c r="J4779" t="s">
        <v>39</v>
      </c>
      <c r="K4779" t="s">
        <v>30</v>
      </c>
      <c r="L4779" t="s">
        <v>31</v>
      </c>
      <c r="M4779" t="s">
        <v>140</v>
      </c>
      <c r="N4779">
        <v>610</v>
      </c>
      <c r="O4779">
        <v>5.1842414000000003E-2</v>
      </c>
      <c r="P4779">
        <v>2.0111594E-2</v>
      </c>
      <c r="Q4779" t="str">
        <f t="shared" si="148"/>
        <v>15-24</v>
      </c>
      <c r="R4779" t="str">
        <f t="shared" si="149"/>
        <v>[lLDyBx5XyUi]|15-24|Female|PMTCT_ART_SUBNAT.D.T_1|CY2024Q3</v>
      </c>
    </row>
    <row r="4780" spans="4:18" x14ac:dyDescent="0.2">
      <c r="D4780" t="s">
        <v>99</v>
      </c>
      <c r="E4780" t="s">
        <v>100</v>
      </c>
      <c r="F4780" t="s">
        <v>101</v>
      </c>
      <c r="G4780" t="s">
        <v>206</v>
      </c>
      <c r="H4780" t="s">
        <v>207</v>
      </c>
      <c r="I4780" t="s">
        <v>41</v>
      </c>
      <c r="J4780" t="s">
        <v>42</v>
      </c>
      <c r="K4780" t="s">
        <v>30</v>
      </c>
      <c r="L4780" t="s">
        <v>31</v>
      </c>
      <c r="M4780" t="s">
        <v>140</v>
      </c>
      <c r="N4780">
        <v>1068</v>
      </c>
      <c r="O4780">
        <v>3.0706028E-2</v>
      </c>
      <c r="P4780">
        <v>2.0111594E-2</v>
      </c>
      <c r="Q4780" t="str">
        <f t="shared" si="148"/>
        <v>25-34</v>
      </c>
      <c r="R4780" t="str">
        <f t="shared" si="149"/>
        <v>[lLDyBx5XyUi]|25-34|Female|PMTCT_ART_SUBNAT.D.T_1|CY2024Q3</v>
      </c>
    </row>
    <row r="4781" spans="4:18" x14ac:dyDescent="0.2">
      <c r="D4781" t="s">
        <v>99</v>
      </c>
      <c r="E4781" t="s">
        <v>100</v>
      </c>
      <c r="F4781" t="s">
        <v>101</v>
      </c>
      <c r="G4781" t="s">
        <v>206</v>
      </c>
      <c r="H4781" t="s">
        <v>207</v>
      </c>
      <c r="I4781" t="s">
        <v>43</v>
      </c>
      <c r="J4781" t="s">
        <v>44</v>
      </c>
      <c r="K4781" t="s">
        <v>30</v>
      </c>
      <c r="L4781" t="s">
        <v>31</v>
      </c>
      <c r="M4781" t="s">
        <v>140</v>
      </c>
      <c r="N4781">
        <v>678</v>
      </c>
      <c r="O4781">
        <v>3.8788944999999998E-2</v>
      </c>
      <c r="P4781">
        <v>2.0111594E-2</v>
      </c>
      <c r="Q4781" t="str">
        <f t="shared" si="148"/>
        <v>35-49</v>
      </c>
      <c r="R4781" t="str">
        <f t="shared" si="149"/>
        <v>[lLDyBx5XyUi]|35-49|Female|PMTCT_ART_SUBNAT.D.T_1|CY2024Q3</v>
      </c>
    </row>
    <row r="4782" spans="4:18" x14ac:dyDescent="0.2">
      <c r="D4782" t="s">
        <v>102</v>
      </c>
      <c r="E4782" t="s">
        <v>103</v>
      </c>
      <c r="F4782" t="s">
        <v>104</v>
      </c>
      <c r="G4782" t="s">
        <v>206</v>
      </c>
      <c r="H4782" t="s">
        <v>207</v>
      </c>
      <c r="I4782" t="s">
        <v>38</v>
      </c>
      <c r="J4782" t="s">
        <v>39</v>
      </c>
      <c r="K4782" t="s">
        <v>30</v>
      </c>
      <c r="L4782" t="s">
        <v>31</v>
      </c>
      <c r="M4782" t="s">
        <v>140</v>
      </c>
      <c r="N4782">
        <v>274</v>
      </c>
      <c r="O4782">
        <v>5.5198222999999998E-2</v>
      </c>
      <c r="P4782">
        <v>2.8301832999999998E-2</v>
      </c>
      <c r="Q4782" t="str">
        <f t="shared" si="148"/>
        <v>15-24</v>
      </c>
      <c r="R4782" t="str">
        <f t="shared" si="149"/>
        <v>[TYnMSwzko3z]|15-24|Female|PMTCT_ART_SUBNAT.D.T_1|CY2024Q3</v>
      </c>
    </row>
    <row r="4783" spans="4:18" x14ac:dyDescent="0.2">
      <c r="D4783" t="s">
        <v>102</v>
      </c>
      <c r="E4783" t="s">
        <v>103</v>
      </c>
      <c r="F4783" t="s">
        <v>104</v>
      </c>
      <c r="G4783" t="s">
        <v>206</v>
      </c>
      <c r="H4783" t="s">
        <v>207</v>
      </c>
      <c r="I4783" t="s">
        <v>41</v>
      </c>
      <c r="J4783" t="s">
        <v>42</v>
      </c>
      <c r="K4783" t="s">
        <v>30</v>
      </c>
      <c r="L4783" t="s">
        <v>31</v>
      </c>
      <c r="M4783" t="s">
        <v>140</v>
      </c>
      <c r="N4783">
        <v>477</v>
      </c>
      <c r="O4783">
        <v>3.747458E-2</v>
      </c>
      <c r="P4783">
        <v>2.8301832999999998E-2</v>
      </c>
      <c r="Q4783" t="str">
        <f t="shared" si="148"/>
        <v>25-34</v>
      </c>
      <c r="R4783" t="str">
        <f t="shared" si="149"/>
        <v>[TYnMSwzko3z]|25-34|Female|PMTCT_ART_SUBNAT.D.T_1|CY2024Q3</v>
      </c>
    </row>
    <row r="4784" spans="4:18" x14ac:dyDescent="0.2">
      <c r="D4784" t="s">
        <v>102</v>
      </c>
      <c r="E4784" t="s">
        <v>103</v>
      </c>
      <c r="F4784" t="s">
        <v>104</v>
      </c>
      <c r="G4784" t="s">
        <v>206</v>
      </c>
      <c r="H4784" t="s">
        <v>207</v>
      </c>
      <c r="I4784" t="s">
        <v>43</v>
      </c>
      <c r="J4784" t="s">
        <v>44</v>
      </c>
      <c r="K4784" t="s">
        <v>30</v>
      </c>
      <c r="L4784" t="s">
        <v>31</v>
      </c>
      <c r="M4784" t="s">
        <v>140</v>
      </c>
      <c r="N4784">
        <v>312</v>
      </c>
      <c r="O4784">
        <v>4.4246052000000001E-2</v>
      </c>
      <c r="P4784">
        <v>2.8301832999999998E-2</v>
      </c>
      <c r="Q4784" t="str">
        <f t="shared" si="148"/>
        <v>35-49</v>
      </c>
      <c r="R4784" t="str">
        <f t="shared" si="149"/>
        <v>[TYnMSwzko3z]|35-49|Female|PMTCT_ART_SUBNAT.D.T_1|CY2024Q3</v>
      </c>
    </row>
    <row r="4785" spans="4:18" x14ac:dyDescent="0.2">
      <c r="D4785" t="s">
        <v>105</v>
      </c>
      <c r="E4785" t="s">
        <v>106</v>
      </c>
      <c r="F4785" t="s">
        <v>107</v>
      </c>
      <c r="G4785" t="s">
        <v>206</v>
      </c>
      <c r="H4785" t="s">
        <v>207</v>
      </c>
      <c r="I4785" t="s">
        <v>38</v>
      </c>
      <c r="J4785" t="s">
        <v>39</v>
      </c>
      <c r="K4785" t="s">
        <v>30</v>
      </c>
      <c r="L4785" t="s">
        <v>31</v>
      </c>
      <c r="M4785" t="s">
        <v>140</v>
      </c>
      <c r="N4785">
        <v>461</v>
      </c>
      <c r="O4785">
        <v>5.4036974000000002E-2</v>
      </c>
      <c r="P4785">
        <v>2.1718502000000001E-2</v>
      </c>
      <c r="Q4785" t="str">
        <f t="shared" si="148"/>
        <v>15-24</v>
      </c>
      <c r="R4785" t="str">
        <f t="shared" si="149"/>
        <v>[fyEoGEPERdI]|15-24|Female|PMTCT_ART_SUBNAT.D.T_1|CY2024Q3</v>
      </c>
    </row>
    <row r="4786" spans="4:18" x14ac:dyDescent="0.2">
      <c r="D4786" t="s">
        <v>105</v>
      </c>
      <c r="E4786" t="s">
        <v>106</v>
      </c>
      <c r="F4786" t="s">
        <v>107</v>
      </c>
      <c r="G4786" t="s">
        <v>206</v>
      </c>
      <c r="H4786" t="s">
        <v>207</v>
      </c>
      <c r="I4786" t="s">
        <v>41</v>
      </c>
      <c r="J4786" t="s">
        <v>42</v>
      </c>
      <c r="K4786" t="s">
        <v>30</v>
      </c>
      <c r="L4786" t="s">
        <v>31</v>
      </c>
      <c r="M4786" t="s">
        <v>140</v>
      </c>
      <c r="N4786">
        <v>815</v>
      </c>
      <c r="O4786">
        <v>3.2241337000000002E-2</v>
      </c>
      <c r="P4786">
        <v>2.1718502000000001E-2</v>
      </c>
      <c r="Q4786" t="str">
        <f t="shared" si="148"/>
        <v>25-34</v>
      </c>
      <c r="R4786" t="str">
        <f t="shared" si="149"/>
        <v>[fyEoGEPERdI]|25-34|Female|PMTCT_ART_SUBNAT.D.T_1|CY2024Q3</v>
      </c>
    </row>
    <row r="4787" spans="4:18" x14ac:dyDescent="0.2">
      <c r="D4787" t="s">
        <v>105</v>
      </c>
      <c r="E4787" t="s">
        <v>106</v>
      </c>
      <c r="F4787" t="s">
        <v>107</v>
      </c>
      <c r="G4787" t="s">
        <v>206</v>
      </c>
      <c r="H4787" t="s">
        <v>207</v>
      </c>
      <c r="I4787" t="s">
        <v>43</v>
      </c>
      <c r="J4787" t="s">
        <v>44</v>
      </c>
      <c r="K4787" t="s">
        <v>30</v>
      </c>
      <c r="L4787" t="s">
        <v>31</v>
      </c>
      <c r="M4787" t="s">
        <v>140</v>
      </c>
      <c r="N4787">
        <v>562</v>
      </c>
      <c r="O4787">
        <v>3.7024425999999999E-2</v>
      </c>
      <c r="P4787">
        <v>2.1718502000000001E-2</v>
      </c>
      <c r="Q4787" t="str">
        <f t="shared" si="148"/>
        <v>35-49</v>
      </c>
      <c r="R4787" t="str">
        <f t="shared" si="149"/>
        <v>[fyEoGEPERdI]|35-49|Female|PMTCT_ART_SUBNAT.D.T_1|CY2024Q3</v>
      </c>
    </row>
    <row r="4788" spans="4:18" x14ac:dyDescent="0.2">
      <c r="D4788" t="s">
        <v>108</v>
      </c>
      <c r="E4788" t="s">
        <v>109</v>
      </c>
      <c r="F4788" t="s">
        <v>110</v>
      </c>
      <c r="G4788" t="s">
        <v>206</v>
      </c>
      <c r="H4788" t="s">
        <v>207</v>
      </c>
      <c r="I4788" t="s">
        <v>38</v>
      </c>
      <c r="J4788" t="s">
        <v>39</v>
      </c>
      <c r="K4788" t="s">
        <v>30</v>
      </c>
      <c r="L4788" t="s">
        <v>31</v>
      </c>
      <c r="M4788" t="s">
        <v>140</v>
      </c>
      <c r="N4788">
        <v>448</v>
      </c>
      <c r="O4788">
        <v>5.6277854000000002E-2</v>
      </c>
      <c r="P4788">
        <v>2.1604754E-2</v>
      </c>
      <c r="Q4788" t="str">
        <f t="shared" si="148"/>
        <v>15-24</v>
      </c>
      <c r="R4788" t="str">
        <f t="shared" si="149"/>
        <v>[umc2n1Z4wNv]|15-24|Female|PMTCT_ART_SUBNAT.D.T_1|CY2024Q3</v>
      </c>
    </row>
    <row r="4789" spans="4:18" x14ac:dyDescent="0.2">
      <c r="D4789" t="s">
        <v>108</v>
      </c>
      <c r="E4789" t="s">
        <v>109</v>
      </c>
      <c r="F4789" t="s">
        <v>110</v>
      </c>
      <c r="G4789" t="s">
        <v>206</v>
      </c>
      <c r="H4789" t="s">
        <v>207</v>
      </c>
      <c r="I4789" t="s">
        <v>41</v>
      </c>
      <c r="J4789" t="s">
        <v>42</v>
      </c>
      <c r="K4789" t="s">
        <v>30</v>
      </c>
      <c r="L4789" t="s">
        <v>31</v>
      </c>
      <c r="M4789" t="s">
        <v>140</v>
      </c>
      <c r="N4789">
        <v>784</v>
      </c>
      <c r="O4789">
        <v>3.0592307999999999E-2</v>
      </c>
      <c r="P4789">
        <v>2.1604754E-2</v>
      </c>
      <c r="Q4789" t="str">
        <f t="shared" si="148"/>
        <v>25-34</v>
      </c>
      <c r="R4789" t="str">
        <f t="shared" si="149"/>
        <v>[umc2n1Z4wNv]|25-34|Female|PMTCT_ART_SUBNAT.D.T_1|CY2024Q3</v>
      </c>
    </row>
    <row r="4790" spans="4:18" x14ac:dyDescent="0.2">
      <c r="D4790" t="s">
        <v>108</v>
      </c>
      <c r="E4790" t="s">
        <v>109</v>
      </c>
      <c r="F4790" t="s">
        <v>110</v>
      </c>
      <c r="G4790" t="s">
        <v>206</v>
      </c>
      <c r="H4790" t="s">
        <v>207</v>
      </c>
      <c r="I4790" t="s">
        <v>43</v>
      </c>
      <c r="J4790" t="s">
        <v>44</v>
      </c>
      <c r="K4790" t="s">
        <v>30</v>
      </c>
      <c r="L4790" t="s">
        <v>31</v>
      </c>
      <c r="M4790" t="s">
        <v>140</v>
      </c>
      <c r="N4790">
        <v>555</v>
      </c>
      <c r="O4790">
        <v>3.6895262999999998E-2</v>
      </c>
      <c r="P4790">
        <v>2.1604754E-2</v>
      </c>
      <c r="Q4790" t="str">
        <f t="shared" si="148"/>
        <v>35-49</v>
      </c>
      <c r="R4790" t="str">
        <f t="shared" si="149"/>
        <v>[umc2n1Z4wNv]|35-49|Female|PMTCT_ART_SUBNAT.D.T_1|CY2024Q3</v>
      </c>
    </row>
    <row r="4791" spans="4:18" x14ac:dyDescent="0.2">
      <c r="D4791" t="s">
        <v>111</v>
      </c>
      <c r="E4791" t="s">
        <v>112</v>
      </c>
      <c r="F4791" t="s">
        <v>113</v>
      </c>
      <c r="G4791" t="s">
        <v>206</v>
      </c>
      <c r="H4791" t="s">
        <v>207</v>
      </c>
      <c r="I4791" t="s">
        <v>38</v>
      </c>
      <c r="J4791" t="s">
        <v>39</v>
      </c>
      <c r="K4791" t="s">
        <v>30</v>
      </c>
      <c r="L4791" t="s">
        <v>31</v>
      </c>
      <c r="M4791" t="s">
        <v>140</v>
      </c>
      <c r="N4791">
        <v>198</v>
      </c>
      <c r="O4791">
        <v>6.1000065999999999E-2</v>
      </c>
      <c r="P4791">
        <v>3.3245541000000003E-2</v>
      </c>
      <c r="Q4791" t="str">
        <f t="shared" si="148"/>
        <v>15-24</v>
      </c>
      <c r="R4791" t="str">
        <f t="shared" si="149"/>
        <v>[AZyWpGzhcaA]|15-24|Female|PMTCT_ART_SUBNAT.D.T_1|CY2024Q3</v>
      </c>
    </row>
    <row r="4792" spans="4:18" x14ac:dyDescent="0.2">
      <c r="D4792" t="s">
        <v>111</v>
      </c>
      <c r="E4792" t="s">
        <v>112</v>
      </c>
      <c r="F4792" t="s">
        <v>113</v>
      </c>
      <c r="G4792" t="s">
        <v>206</v>
      </c>
      <c r="H4792" t="s">
        <v>207</v>
      </c>
      <c r="I4792" t="s">
        <v>41</v>
      </c>
      <c r="J4792" t="s">
        <v>42</v>
      </c>
      <c r="K4792" t="s">
        <v>30</v>
      </c>
      <c r="L4792" t="s">
        <v>31</v>
      </c>
      <c r="M4792" t="s">
        <v>140</v>
      </c>
      <c r="N4792">
        <v>343</v>
      </c>
      <c r="O4792">
        <v>4.1176114E-2</v>
      </c>
      <c r="P4792">
        <v>3.3245541000000003E-2</v>
      </c>
      <c r="Q4792" t="str">
        <f t="shared" si="148"/>
        <v>25-34</v>
      </c>
      <c r="R4792" t="str">
        <f t="shared" si="149"/>
        <v>[AZyWpGzhcaA]|25-34|Female|PMTCT_ART_SUBNAT.D.T_1|CY2024Q3</v>
      </c>
    </row>
    <row r="4793" spans="4:18" x14ac:dyDescent="0.2">
      <c r="D4793" t="s">
        <v>111</v>
      </c>
      <c r="E4793" t="s">
        <v>112</v>
      </c>
      <c r="F4793" t="s">
        <v>113</v>
      </c>
      <c r="G4793" t="s">
        <v>206</v>
      </c>
      <c r="H4793" t="s">
        <v>207</v>
      </c>
      <c r="I4793" t="s">
        <v>43</v>
      </c>
      <c r="J4793" t="s">
        <v>44</v>
      </c>
      <c r="K4793" t="s">
        <v>30</v>
      </c>
      <c r="L4793" t="s">
        <v>31</v>
      </c>
      <c r="M4793" t="s">
        <v>140</v>
      </c>
      <c r="N4793">
        <v>239</v>
      </c>
      <c r="O4793">
        <v>4.5771805999999998E-2</v>
      </c>
      <c r="P4793">
        <v>3.3245541000000003E-2</v>
      </c>
      <c r="Q4793" t="str">
        <f t="shared" si="148"/>
        <v>35-49</v>
      </c>
      <c r="R4793" t="str">
        <f t="shared" si="149"/>
        <v>[AZyWpGzhcaA]|35-49|Female|PMTCT_ART_SUBNAT.D.T_1|CY2024Q3</v>
      </c>
    </row>
    <row r="4794" spans="4:18" x14ac:dyDescent="0.2">
      <c r="D4794" t="s">
        <v>114</v>
      </c>
      <c r="E4794" t="s">
        <v>115</v>
      </c>
      <c r="F4794" t="s">
        <v>116</v>
      </c>
      <c r="G4794" t="s">
        <v>206</v>
      </c>
      <c r="H4794" t="s">
        <v>207</v>
      </c>
      <c r="I4794" t="s">
        <v>38</v>
      </c>
      <c r="J4794" t="s">
        <v>39</v>
      </c>
      <c r="K4794" t="s">
        <v>30</v>
      </c>
      <c r="L4794" t="s">
        <v>31</v>
      </c>
      <c r="M4794" t="s">
        <v>140</v>
      </c>
      <c r="N4794">
        <v>190</v>
      </c>
      <c r="O4794">
        <v>5.8419269000000003E-2</v>
      </c>
      <c r="P4794">
        <v>3.3023975999999997E-2</v>
      </c>
      <c r="Q4794" t="str">
        <f t="shared" si="148"/>
        <v>15-24</v>
      </c>
      <c r="R4794" t="str">
        <f t="shared" si="149"/>
        <v>[ir8wuHHzoSs]|15-24|Female|PMTCT_ART_SUBNAT.D.T_1|CY2024Q3</v>
      </c>
    </row>
    <row r="4795" spans="4:18" x14ac:dyDescent="0.2">
      <c r="D4795" t="s">
        <v>114</v>
      </c>
      <c r="E4795" t="s">
        <v>115</v>
      </c>
      <c r="F4795" t="s">
        <v>116</v>
      </c>
      <c r="G4795" t="s">
        <v>206</v>
      </c>
      <c r="H4795" t="s">
        <v>207</v>
      </c>
      <c r="I4795" t="s">
        <v>41</v>
      </c>
      <c r="J4795" t="s">
        <v>42</v>
      </c>
      <c r="K4795" t="s">
        <v>30</v>
      </c>
      <c r="L4795" t="s">
        <v>31</v>
      </c>
      <c r="M4795" t="s">
        <v>140</v>
      </c>
      <c r="N4795">
        <v>319</v>
      </c>
      <c r="O4795">
        <v>4.1406577E-2</v>
      </c>
      <c r="P4795">
        <v>3.3023975999999997E-2</v>
      </c>
      <c r="Q4795" t="str">
        <f t="shared" si="148"/>
        <v>25-34</v>
      </c>
      <c r="R4795" t="str">
        <f t="shared" si="149"/>
        <v>[ir8wuHHzoSs]|25-34|Female|PMTCT_ART_SUBNAT.D.T_1|CY2024Q3</v>
      </c>
    </row>
    <row r="4796" spans="4:18" x14ac:dyDescent="0.2">
      <c r="D4796" t="s">
        <v>114</v>
      </c>
      <c r="E4796" t="s">
        <v>115</v>
      </c>
      <c r="F4796" t="s">
        <v>116</v>
      </c>
      <c r="G4796" t="s">
        <v>206</v>
      </c>
      <c r="H4796" t="s">
        <v>207</v>
      </c>
      <c r="I4796" t="s">
        <v>43</v>
      </c>
      <c r="J4796" t="s">
        <v>44</v>
      </c>
      <c r="K4796" t="s">
        <v>30</v>
      </c>
      <c r="L4796" t="s">
        <v>31</v>
      </c>
      <c r="M4796" t="s">
        <v>140</v>
      </c>
      <c r="N4796">
        <v>217</v>
      </c>
      <c r="O4796">
        <v>4.6025684999999997E-2</v>
      </c>
      <c r="P4796">
        <v>3.3023975999999997E-2</v>
      </c>
      <c r="Q4796" t="str">
        <f t="shared" si="148"/>
        <v>35-49</v>
      </c>
      <c r="R4796" t="str">
        <f t="shared" si="149"/>
        <v>[ir8wuHHzoSs]|35-49|Female|PMTCT_ART_SUBNAT.D.T_1|CY2024Q3</v>
      </c>
    </row>
    <row r="4797" spans="4:18" x14ac:dyDescent="0.2">
      <c r="D4797" t="s">
        <v>117</v>
      </c>
      <c r="E4797" t="s">
        <v>118</v>
      </c>
      <c r="F4797" t="s">
        <v>119</v>
      </c>
      <c r="G4797" t="s">
        <v>206</v>
      </c>
      <c r="H4797" t="s">
        <v>207</v>
      </c>
      <c r="I4797" t="s">
        <v>38</v>
      </c>
      <c r="J4797" t="s">
        <v>39</v>
      </c>
      <c r="K4797" t="s">
        <v>30</v>
      </c>
      <c r="L4797" t="s">
        <v>31</v>
      </c>
      <c r="M4797" t="s">
        <v>140</v>
      </c>
      <c r="N4797">
        <v>214</v>
      </c>
      <c r="O4797">
        <v>6.1061364999999999E-2</v>
      </c>
      <c r="P4797">
        <v>3.1557913E-2</v>
      </c>
      <c r="Q4797" t="str">
        <f t="shared" si="148"/>
        <v>15-24</v>
      </c>
      <c r="R4797" t="str">
        <f t="shared" si="149"/>
        <v>[oiPR2CiVJbf]|15-24|Female|PMTCT_ART_SUBNAT.D.T_1|CY2024Q3</v>
      </c>
    </row>
    <row r="4798" spans="4:18" x14ac:dyDescent="0.2">
      <c r="D4798" t="s">
        <v>117</v>
      </c>
      <c r="E4798" t="s">
        <v>118</v>
      </c>
      <c r="F4798" t="s">
        <v>119</v>
      </c>
      <c r="G4798" t="s">
        <v>206</v>
      </c>
      <c r="H4798" t="s">
        <v>207</v>
      </c>
      <c r="I4798" t="s">
        <v>41</v>
      </c>
      <c r="J4798" t="s">
        <v>42</v>
      </c>
      <c r="K4798" t="s">
        <v>30</v>
      </c>
      <c r="L4798" t="s">
        <v>31</v>
      </c>
      <c r="M4798" t="s">
        <v>140</v>
      </c>
      <c r="N4798">
        <v>385</v>
      </c>
      <c r="O4798">
        <v>3.9120576999999997E-2</v>
      </c>
      <c r="P4798">
        <v>3.1557913E-2</v>
      </c>
      <c r="Q4798" t="str">
        <f t="shared" si="148"/>
        <v>25-34</v>
      </c>
      <c r="R4798" t="str">
        <f t="shared" si="149"/>
        <v>[oiPR2CiVJbf]|25-34|Female|PMTCT_ART_SUBNAT.D.T_1|CY2024Q3</v>
      </c>
    </row>
    <row r="4799" spans="4:18" x14ac:dyDescent="0.2">
      <c r="D4799" t="s">
        <v>117</v>
      </c>
      <c r="E4799" t="s">
        <v>118</v>
      </c>
      <c r="F4799" t="s">
        <v>119</v>
      </c>
      <c r="G4799" t="s">
        <v>206</v>
      </c>
      <c r="H4799" t="s">
        <v>207</v>
      </c>
      <c r="I4799" t="s">
        <v>43</v>
      </c>
      <c r="J4799" t="s">
        <v>44</v>
      </c>
      <c r="K4799" t="s">
        <v>30</v>
      </c>
      <c r="L4799" t="s">
        <v>31</v>
      </c>
      <c r="M4799" t="s">
        <v>140</v>
      </c>
      <c r="N4799">
        <v>272</v>
      </c>
      <c r="O4799">
        <v>4.2155007000000001E-2</v>
      </c>
      <c r="P4799">
        <v>3.1557913E-2</v>
      </c>
      <c r="Q4799" t="str">
        <f t="shared" si="148"/>
        <v>35-49</v>
      </c>
      <c r="R4799" t="str">
        <f t="shared" si="149"/>
        <v>[oiPR2CiVJbf]|35-49|Female|PMTCT_ART_SUBNAT.D.T_1|CY2024Q3</v>
      </c>
    </row>
    <row r="4800" spans="4:18" x14ac:dyDescent="0.2">
      <c r="D4800" t="s">
        <v>120</v>
      </c>
      <c r="E4800" t="s">
        <v>121</v>
      </c>
      <c r="F4800" t="s">
        <v>122</v>
      </c>
      <c r="G4800" t="s">
        <v>206</v>
      </c>
      <c r="H4800" t="s">
        <v>207</v>
      </c>
      <c r="I4800" t="s">
        <v>38</v>
      </c>
      <c r="J4800" t="s">
        <v>39</v>
      </c>
      <c r="K4800" t="s">
        <v>30</v>
      </c>
      <c r="L4800" t="s">
        <v>31</v>
      </c>
      <c r="M4800" t="s">
        <v>140</v>
      </c>
      <c r="N4800">
        <v>604</v>
      </c>
      <c r="O4800">
        <v>5.2010888999999998E-2</v>
      </c>
      <c r="P4800">
        <v>1.8972152999999999E-2</v>
      </c>
      <c r="Q4800" t="str">
        <f t="shared" si="148"/>
        <v>15-24</v>
      </c>
      <c r="R4800" t="str">
        <f t="shared" si="149"/>
        <v>[mxqa3CDFmIT]|15-24|Female|PMTCT_ART_SUBNAT.D.T_1|CY2024Q3</v>
      </c>
    </row>
    <row r="4801" spans="4:18" x14ac:dyDescent="0.2">
      <c r="D4801" t="s">
        <v>120</v>
      </c>
      <c r="E4801" t="s">
        <v>121</v>
      </c>
      <c r="F4801" t="s">
        <v>122</v>
      </c>
      <c r="G4801" t="s">
        <v>206</v>
      </c>
      <c r="H4801" t="s">
        <v>207</v>
      </c>
      <c r="I4801" t="s">
        <v>41</v>
      </c>
      <c r="J4801" t="s">
        <v>42</v>
      </c>
      <c r="K4801" t="s">
        <v>30</v>
      </c>
      <c r="L4801" t="s">
        <v>31</v>
      </c>
      <c r="M4801" t="s">
        <v>140</v>
      </c>
      <c r="N4801">
        <v>1232</v>
      </c>
      <c r="O4801">
        <v>2.84289E-2</v>
      </c>
      <c r="P4801">
        <v>1.8972152999999999E-2</v>
      </c>
      <c r="Q4801" t="str">
        <f t="shared" si="148"/>
        <v>25-34</v>
      </c>
      <c r="R4801" t="str">
        <f t="shared" si="149"/>
        <v>[mxqa3CDFmIT]|25-34|Female|PMTCT_ART_SUBNAT.D.T_1|CY2024Q3</v>
      </c>
    </row>
    <row r="4802" spans="4:18" x14ac:dyDescent="0.2">
      <c r="D4802" t="s">
        <v>120</v>
      </c>
      <c r="E4802" t="s">
        <v>121</v>
      </c>
      <c r="F4802" t="s">
        <v>122</v>
      </c>
      <c r="G4802" t="s">
        <v>206</v>
      </c>
      <c r="H4802" t="s">
        <v>207</v>
      </c>
      <c r="I4802" t="s">
        <v>43</v>
      </c>
      <c r="J4802" t="s">
        <v>44</v>
      </c>
      <c r="K4802" t="s">
        <v>30</v>
      </c>
      <c r="L4802" t="s">
        <v>31</v>
      </c>
      <c r="M4802" t="s">
        <v>140</v>
      </c>
      <c r="N4802">
        <v>790</v>
      </c>
      <c r="O4802">
        <v>3.6009238999999998E-2</v>
      </c>
      <c r="P4802">
        <v>1.8972152999999999E-2</v>
      </c>
      <c r="Q4802" t="str">
        <f t="shared" si="148"/>
        <v>35-49</v>
      </c>
      <c r="R4802" t="str">
        <f t="shared" si="149"/>
        <v>[mxqa3CDFmIT]|35-49|Female|PMTCT_ART_SUBNAT.D.T_1|CY2024Q3</v>
      </c>
    </row>
    <row r="4803" spans="4:18" x14ac:dyDescent="0.2">
      <c r="D4803" t="s">
        <v>123</v>
      </c>
      <c r="E4803" t="s">
        <v>124</v>
      </c>
      <c r="F4803" t="s">
        <v>125</v>
      </c>
      <c r="G4803" t="s">
        <v>206</v>
      </c>
      <c r="H4803" t="s">
        <v>207</v>
      </c>
      <c r="I4803" t="s">
        <v>38</v>
      </c>
      <c r="J4803" t="s">
        <v>39</v>
      </c>
      <c r="K4803" t="s">
        <v>30</v>
      </c>
      <c r="L4803" t="s">
        <v>31</v>
      </c>
      <c r="M4803" t="s">
        <v>140</v>
      </c>
      <c r="N4803">
        <v>52</v>
      </c>
      <c r="O4803">
        <v>7.7341989999999999E-2</v>
      </c>
      <c r="P4803">
        <v>5.7108282000000003E-2</v>
      </c>
      <c r="Q4803" t="str">
        <f t="shared" ref="Q4803:Q4866" si="150">SUBSTITUTE(SUBSTITUTE($I4803,CHAR(61),""),CHAR(34),"")</f>
        <v>15-24</v>
      </c>
      <c r="R4803" t="str">
        <f t="shared" ref="R4803:R4866" si="151">IF($D4803&lt;&gt;"","["&amp;$E4803&amp;"]"&amp;"|"&amp;$Q4803&amp;"|"&amp;$K4803&amp;"|"&amp;$G4803&amp;"|"&amp;IF($G4803="TX_CURR_SUBNAT.R","CY2023Q4",$M4803),"")</f>
        <v>[wNqJp8oRIcF]|15-24|Female|PMTCT_ART_SUBNAT.D.T_1|CY2024Q3</v>
      </c>
    </row>
    <row r="4804" spans="4:18" x14ac:dyDescent="0.2">
      <c r="D4804" t="s">
        <v>123</v>
      </c>
      <c r="E4804" t="s">
        <v>124</v>
      </c>
      <c r="F4804" t="s">
        <v>125</v>
      </c>
      <c r="G4804" t="s">
        <v>206</v>
      </c>
      <c r="H4804" t="s">
        <v>207</v>
      </c>
      <c r="I4804" t="s">
        <v>41</v>
      </c>
      <c r="J4804" t="s">
        <v>42</v>
      </c>
      <c r="K4804" t="s">
        <v>30</v>
      </c>
      <c r="L4804" t="s">
        <v>31</v>
      </c>
      <c r="M4804" t="s">
        <v>140</v>
      </c>
      <c r="N4804">
        <v>94</v>
      </c>
      <c r="O4804">
        <v>6.1010135E-2</v>
      </c>
      <c r="P4804">
        <v>5.7108282000000003E-2</v>
      </c>
      <c r="Q4804" t="str">
        <f t="shared" si="150"/>
        <v>25-34</v>
      </c>
      <c r="R4804" t="str">
        <f t="shared" si="151"/>
        <v>[wNqJp8oRIcF]|25-34|Female|PMTCT_ART_SUBNAT.D.T_1|CY2024Q3</v>
      </c>
    </row>
    <row r="4805" spans="4:18" x14ac:dyDescent="0.2">
      <c r="D4805" t="s">
        <v>123</v>
      </c>
      <c r="E4805" t="s">
        <v>124</v>
      </c>
      <c r="F4805" t="s">
        <v>125</v>
      </c>
      <c r="G4805" t="s">
        <v>206</v>
      </c>
      <c r="H4805" t="s">
        <v>207</v>
      </c>
      <c r="I4805" t="s">
        <v>43</v>
      </c>
      <c r="J4805" t="s">
        <v>44</v>
      </c>
      <c r="K4805" t="s">
        <v>30</v>
      </c>
      <c r="L4805" t="s">
        <v>31</v>
      </c>
      <c r="M4805" t="s">
        <v>140</v>
      </c>
      <c r="N4805">
        <v>61</v>
      </c>
      <c r="O4805">
        <v>6.4639463999999994E-2</v>
      </c>
      <c r="P4805">
        <v>5.7108282000000003E-2</v>
      </c>
      <c r="Q4805" t="str">
        <f t="shared" si="150"/>
        <v>35-49</v>
      </c>
      <c r="R4805" t="str">
        <f t="shared" si="151"/>
        <v>[wNqJp8oRIcF]|35-49|Female|PMTCT_ART_SUBNAT.D.T_1|CY2024Q3</v>
      </c>
    </row>
    <row r="4806" spans="4:18" x14ac:dyDescent="0.2">
      <c r="D4806" t="s">
        <v>126</v>
      </c>
      <c r="E4806" t="s">
        <v>127</v>
      </c>
      <c r="F4806" t="s">
        <v>128</v>
      </c>
      <c r="G4806" t="s">
        <v>206</v>
      </c>
      <c r="H4806" t="s">
        <v>207</v>
      </c>
      <c r="I4806" t="s">
        <v>38</v>
      </c>
      <c r="J4806" t="s">
        <v>39</v>
      </c>
      <c r="K4806" t="s">
        <v>30</v>
      </c>
      <c r="L4806" t="s">
        <v>31</v>
      </c>
      <c r="M4806" t="s">
        <v>140</v>
      </c>
      <c r="N4806">
        <v>305</v>
      </c>
      <c r="O4806">
        <v>5.9726268999999998E-2</v>
      </c>
      <c r="P4806">
        <v>2.7939968999999999E-2</v>
      </c>
      <c r="Q4806" t="str">
        <f t="shared" si="150"/>
        <v>15-24</v>
      </c>
      <c r="R4806" t="str">
        <f t="shared" si="151"/>
        <v>[ul0y9diGujK]|15-24|Female|PMTCT_ART_SUBNAT.D.T_1|CY2024Q3</v>
      </c>
    </row>
    <row r="4807" spans="4:18" x14ac:dyDescent="0.2">
      <c r="D4807" t="s">
        <v>126</v>
      </c>
      <c r="E4807" t="s">
        <v>127</v>
      </c>
      <c r="F4807" t="s">
        <v>128</v>
      </c>
      <c r="G4807" t="s">
        <v>206</v>
      </c>
      <c r="H4807" t="s">
        <v>207</v>
      </c>
      <c r="I4807" t="s">
        <v>41</v>
      </c>
      <c r="J4807" t="s">
        <v>42</v>
      </c>
      <c r="K4807" t="s">
        <v>30</v>
      </c>
      <c r="L4807" t="s">
        <v>31</v>
      </c>
      <c r="M4807" t="s">
        <v>140</v>
      </c>
      <c r="N4807">
        <v>526</v>
      </c>
      <c r="O4807">
        <v>3.6144108000000001E-2</v>
      </c>
      <c r="P4807">
        <v>2.7939968999999999E-2</v>
      </c>
      <c r="Q4807" t="str">
        <f t="shared" si="150"/>
        <v>25-34</v>
      </c>
      <c r="R4807" t="str">
        <f t="shared" si="151"/>
        <v>[ul0y9diGujK]|25-34|Female|PMTCT_ART_SUBNAT.D.T_1|CY2024Q3</v>
      </c>
    </row>
    <row r="4808" spans="4:18" x14ac:dyDescent="0.2">
      <c r="D4808" t="s">
        <v>126</v>
      </c>
      <c r="E4808" t="s">
        <v>127</v>
      </c>
      <c r="F4808" t="s">
        <v>128</v>
      </c>
      <c r="G4808" t="s">
        <v>206</v>
      </c>
      <c r="H4808" t="s">
        <v>207</v>
      </c>
      <c r="I4808" t="s">
        <v>43</v>
      </c>
      <c r="J4808" t="s">
        <v>44</v>
      </c>
      <c r="K4808" t="s">
        <v>30</v>
      </c>
      <c r="L4808" t="s">
        <v>31</v>
      </c>
      <c r="M4808" t="s">
        <v>140</v>
      </c>
      <c r="N4808">
        <v>380</v>
      </c>
      <c r="O4808">
        <v>4.0298801000000002E-2</v>
      </c>
      <c r="P4808">
        <v>2.7939968999999999E-2</v>
      </c>
      <c r="Q4808" t="str">
        <f t="shared" si="150"/>
        <v>35-49</v>
      </c>
      <c r="R4808" t="str">
        <f t="shared" si="151"/>
        <v>[ul0y9diGujK]|35-49|Female|PMTCT_ART_SUBNAT.D.T_1|CY2024Q3</v>
      </c>
    </row>
    <row r="4809" spans="4:18" x14ac:dyDescent="0.2">
      <c r="D4809" t="s">
        <v>129</v>
      </c>
      <c r="E4809" t="s">
        <v>130</v>
      </c>
      <c r="F4809" t="s">
        <v>131</v>
      </c>
      <c r="G4809" t="s">
        <v>206</v>
      </c>
      <c r="H4809" t="s">
        <v>207</v>
      </c>
      <c r="I4809" t="s">
        <v>38</v>
      </c>
      <c r="J4809" t="s">
        <v>39</v>
      </c>
      <c r="K4809" t="s">
        <v>30</v>
      </c>
      <c r="L4809" t="s">
        <v>31</v>
      </c>
      <c r="M4809" t="s">
        <v>140</v>
      </c>
      <c r="N4809">
        <v>290</v>
      </c>
      <c r="O4809">
        <v>5.6203181999999997E-2</v>
      </c>
      <c r="P4809">
        <v>2.7872865E-2</v>
      </c>
      <c r="Q4809" t="str">
        <f t="shared" si="150"/>
        <v>15-24</v>
      </c>
      <c r="R4809" t="str">
        <f t="shared" si="151"/>
        <v>[U8c0so51kT6]|15-24|Female|PMTCT_ART_SUBNAT.D.T_1|CY2024Q3</v>
      </c>
    </row>
    <row r="4810" spans="4:18" x14ac:dyDescent="0.2">
      <c r="D4810" t="s">
        <v>129</v>
      </c>
      <c r="E4810" t="s">
        <v>130</v>
      </c>
      <c r="F4810" t="s">
        <v>131</v>
      </c>
      <c r="G4810" t="s">
        <v>206</v>
      </c>
      <c r="H4810" t="s">
        <v>207</v>
      </c>
      <c r="I4810" t="s">
        <v>41</v>
      </c>
      <c r="J4810" t="s">
        <v>42</v>
      </c>
      <c r="K4810" t="s">
        <v>30</v>
      </c>
      <c r="L4810" t="s">
        <v>31</v>
      </c>
      <c r="M4810" t="s">
        <v>140</v>
      </c>
      <c r="N4810">
        <v>511</v>
      </c>
      <c r="O4810">
        <v>3.6995708000000002E-2</v>
      </c>
      <c r="P4810">
        <v>2.7872865E-2</v>
      </c>
      <c r="Q4810" t="str">
        <f t="shared" si="150"/>
        <v>25-34</v>
      </c>
      <c r="R4810" t="str">
        <f t="shared" si="151"/>
        <v>[U8c0so51kT6]|25-34|Female|PMTCT_ART_SUBNAT.D.T_1|CY2024Q3</v>
      </c>
    </row>
    <row r="4811" spans="4:18" x14ac:dyDescent="0.2">
      <c r="D4811" t="s">
        <v>129</v>
      </c>
      <c r="E4811" t="s">
        <v>130</v>
      </c>
      <c r="F4811" t="s">
        <v>131</v>
      </c>
      <c r="G4811" t="s">
        <v>206</v>
      </c>
      <c r="H4811" t="s">
        <v>207</v>
      </c>
      <c r="I4811" t="s">
        <v>43</v>
      </c>
      <c r="J4811" t="s">
        <v>44</v>
      </c>
      <c r="K4811" t="s">
        <v>30</v>
      </c>
      <c r="L4811" t="s">
        <v>31</v>
      </c>
      <c r="M4811" t="s">
        <v>140</v>
      </c>
      <c r="N4811">
        <v>335</v>
      </c>
      <c r="O4811">
        <v>4.0903502000000001E-2</v>
      </c>
      <c r="P4811">
        <v>2.7872865E-2</v>
      </c>
      <c r="Q4811" t="str">
        <f t="shared" si="150"/>
        <v>35-49</v>
      </c>
      <c r="R4811" t="str">
        <f t="shared" si="151"/>
        <v>[U8c0so51kT6]|35-49|Female|PMTCT_ART_SUBNAT.D.T_1|CY2024Q3</v>
      </c>
    </row>
    <row r="4812" spans="4:18" x14ac:dyDescent="0.2">
      <c r="D4812" t="s">
        <v>132</v>
      </c>
      <c r="E4812" t="s">
        <v>133</v>
      </c>
      <c r="F4812" t="s">
        <v>134</v>
      </c>
      <c r="G4812" t="s">
        <v>206</v>
      </c>
      <c r="H4812" t="s">
        <v>207</v>
      </c>
      <c r="I4812" t="s">
        <v>38</v>
      </c>
      <c r="J4812" t="s">
        <v>39</v>
      </c>
      <c r="K4812" t="s">
        <v>30</v>
      </c>
      <c r="L4812" t="s">
        <v>31</v>
      </c>
      <c r="M4812" t="s">
        <v>140</v>
      </c>
      <c r="N4812">
        <v>250</v>
      </c>
      <c r="O4812">
        <v>5.9870168000000001E-2</v>
      </c>
      <c r="P4812">
        <v>3.1416359999999997E-2</v>
      </c>
      <c r="Q4812" t="str">
        <f t="shared" si="150"/>
        <v>15-24</v>
      </c>
      <c r="R4812" t="str">
        <f t="shared" si="151"/>
        <v>[rpw540fmNUz]|15-24|Female|PMTCT_ART_SUBNAT.D.T_1|CY2024Q3</v>
      </c>
    </row>
    <row r="4813" spans="4:18" x14ac:dyDescent="0.2">
      <c r="D4813" t="s">
        <v>132</v>
      </c>
      <c r="E4813" t="s">
        <v>133</v>
      </c>
      <c r="F4813" t="s">
        <v>134</v>
      </c>
      <c r="G4813" t="s">
        <v>206</v>
      </c>
      <c r="H4813" t="s">
        <v>207</v>
      </c>
      <c r="I4813" t="s">
        <v>41</v>
      </c>
      <c r="J4813" t="s">
        <v>42</v>
      </c>
      <c r="K4813" t="s">
        <v>30</v>
      </c>
      <c r="L4813" t="s">
        <v>31</v>
      </c>
      <c r="M4813" t="s">
        <v>140</v>
      </c>
      <c r="N4813">
        <v>426</v>
      </c>
      <c r="O4813">
        <v>3.9407932E-2</v>
      </c>
      <c r="P4813">
        <v>3.1416359999999997E-2</v>
      </c>
      <c r="Q4813" t="str">
        <f t="shared" si="150"/>
        <v>25-34</v>
      </c>
      <c r="R4813" t="str">
        <f t="shared" si="151"/>
        <v>[rpw540fmNUz]|25-34|Female|PMTCT_ART_SUBNAT.D.T_1|CY2024Q3</v>
      </c>
    </row>
    <row r="4814" spans="4:18" x14ac:dyDescent="0.2">
      <c r="D4814" t="s">
        <v>132</v>
      </c>
      <c r="E4814" t="s">
        <v>133</v>
      </c>
      <c r="F4814" t="s">
        <v>134</v>
      </c>
      <c r="G4814" t="s">
        <v>206</v>
      </c>
      <c r="H4814" t="s">
        <v>207</v>
      </c>
      <c r="I4814" t="s">
        <v>43</v>
      </c>
      <c r="J4814" t="s">
        <v>44</v>
      </c>
      <c r="K4814" t="s">
        <v>30</v>
      </c>
      <c r="L4814" t="s">
        <v>31</v>
      </c>
      <c r="M4814" t="s">
        <v>140</v>
      </c>
      <c r="N4814">
        <v>268</v>
      </c>
      <c r="O4814">
        <v>4.3231435999999998E-2</v>
      </c>
      <c r="P4814">
        <v>3.1416359999999997E-2</v>
      </c>
      <c r="Q4814" t="str">
        <f t="shared" si="150"/>
        <v>35-49</v>
      </c>
      <c r="R4814" t="str">
        <f t="shared" si="151"/>
        <v>[rpw540fmNUz]|35-49|Female|PMTCT_ART_SUBNAT.D.T_1|CY2024Q3</v>
      </c>
    </row>
    <row r="4815" spans="4:18" x14ac:dyDescent="0.2">
      <c r="D4815" t="s">
        <v>135</v>
      </c>
      <c r="E4815" t="s">
        <v>136</v>
      </c>
      <c r="F4815" t="s">
        <v>137</v>
      </c>
      <c r="G4815" t="s">
        <v>206</v>
      </c>
      <c r="H4815" t="s">
        <v>207</v>
      </c>
      <c r="I4815" t="s">
        <v>38</v>
      </c>
      <c r="J4815" t="s">
        <v>39</v>
      </c>
      <c r="K4815" t="s">
        <v>30</v>
      </c>
      <c r="L4815" t="s">
        <v>31</v>
      </c>
      <c r="M4815" t="s">
        <v>140</v>
      </c>
      <c r="N4815">
        <v>81</v>
      </c>
      <c r="O4815">
        <v>7.0800553000000002E-2</v>
      </c>
      <c r="P4815">
        <v>5.0807264999999997E-2</v>
      </c>
      <c r="Q4815" t="str">
        <f t="shared" si="150"/>
        <v>15-24</v>
      </c>
      <c r="R4815" t="str">
        <f t="shared" si="151"/>
        <v>[gwVYinjBAe9]|15-24|Female|PMTCT_ART_SUBNAT.D.T_1|CY2024Q3</v>
      </c>
    </row>
    <row r="4816" spans="4:18" x14ac:dyDescent="0.2">
      <c r="D4816" t="s">
        <v>135</v>
      </c>
      <c r="E4816" t="s">
        <v>136</v>
      </c>
      <c r="F4816" t="s">
        <v>137</v>
      </c>
      <c r="G4816" t="s">
        <v>206</v>
      </c>
      <c r="H4816" t="s">
        <v>207</v>
      </c>
      <c r="I4816" t="s">
        <v>41</v>
      </c>
      <c r="J4816" t="s">
        <v>42</v>
      </c>
      <c r="K4816" t="s">
        <v>30</v>
      </c>
      <c r="L4816" t="s">
        <v>31</v>
      </c>
      <c r="M4816" t="s">
        <v>140</v>
      </c>
      <c r="N4816">
        <v>137</v>
      </c>
      <c r="O4816">
        <v>5.6259428E-2</v>
      </c>
      <c r="P4816">
        <v>5.0807264999999997E-2</v>
      </c>
      <c r="Q4816" t="str">
        <f t="shared" si="150"/>
        <v>25-34</v>
      </c>
      <c r="R4816" t="str">
        <f t="shared" si="151"/>
        <v>[gwVYinjBAe9]|25-34|Female|PMTCT_ART_SUBNAT.D.T_1|CY2024Q3</v>
      </c>
    </row>
    <row r="4817" spans="4:18" x14ac:dyDescent="0.2">
      <c r="D4817" t="s">
        <v>135</v>
      </c>
      <c r="E4817" t="s">
        <v>136</v>
      </c>
      <c r="F4817" t="s">
        <v>137</v>
      </c>
      <c r="G4817" t="s">
        <v>206</v>
      </c>
      <c r="H4817" t="s">
        <v>207</v>
      </c>
      <c r="I4817" t="s">
        <v>43</v>
      </c>
      <c r="J4817" t="s">
        <v>44</v>
      </c>
      <c r="K4817" t="s">
        <v>30</v>
      </c>
      <c r="L4817" t="s">
        <v>31</v>
      </c>
      <c r="M4817" t="s">
        <v>140</v>
      </c>
      <c r="N4817">
        <v>91</v>
      </c>
      <c r="O4817">
        <v>5.8053496000000003E-2</v>
      </c>
      <c r="P4817">
        <v>5.0807264999999997E-2</v>
      </c>
      <c r="Q4817" t="str">
        <f t="shared" si="150"/>
        <v>35-49</v>
      </c>
      <c r="R4817" t="str">
        <f t="shared" si="151"/>
        <v>[gwVYinjBAe9]|35-49|Female|PMTCT_ART_SUBNAT.D.T_1|CY2024Q3</v>
      </c>
    </row>
    <row r="4818" spans="4:18" x14ac:dyDescent="0.2">
      <c r="D4818" t="s">
        <v>23</v>
      </c>
      <c r="E4818" t="s">
        <v>24</v>
      </c>
      <c r="F4818" t="s">
        <v>25</v>
      </c>
      <c r="G4818" t="s">
        <v>208</v>
      </c>
      <c r="H4818" t="s">
        <v>209</v>
      </c>
      <c r="I4818" t="s">
        <v>38</v>
      </c>
      <c r="J4818" t="s">
        <v>39</v>
      </c>
      <c r="K4818" t="s">
        <v>30</v>
      </c>
      <c r="L4818" t="s">
        <v>31</v>
      </c>
      <c r="M4818" t="s">
        <v>140</v>
      </c>
      <c r="N4818">
        <v>20</v>
      </c>
      <c r="O4818">
        <v>0.11910657099999999</v>
      </c>
      <c r="P4818">
        <v>8.0432715000000002E-2</v>
      </c>
      <c r="Q4818" t="str">
        <f t="shared" si="150"/>
        <v>15-24</v>
      </c>
      <c r="R4818" t="str">
        <f t="shared" si="151"/>
        <v>[GkIwZrXy1h2]|15-24|Female|PMTCT_ART_SUBNAT.N.Already.T_1|CY2024Q3</v>
      </c>
    </row>
    <row r="4819" spans="4:18" x14ac:dyDescent="0.2">
      <c r="D4819" t="s">
        <v>23</v>
      </c>
      <c r="E4819" t="s">
        <v>24</v>
      </c>
      <c r="F4819" t="s">
        <v>25</v>
      </c>
      <c r="G4819" t="s">
        <v>208</v>
      </c>
      <c r="H4819" t="s">
        <v>209</v>
      </c>
      <c r="I4819" t="s">
        <v>41</v>
      </c>
      <c r="J4819" t="s">
        <v>42</v>
      </c>
      <c r="K4819" t="s">
        <v>30</v>
      </c>
      <c r="L4819" t="s">
        <v>31</v>
      </c>
      <c r="M4819" t="s">
        <v>140</v>
      </c>
      <c r="N4819">
        <v>39</v>
      </c>
      <c r="O4819">
        <v>9.4660304000000001E-2</v>
      </c>
      <c r="P4819">
        <v>8.0432715000000002E-2</v>
      </c>
      <c r="Q4819" t="str">
        <f t="shared" si="150"/>
        <v>25-34</v>
      </c>
      <c r="R4819" t="str">
        <f t="shared" si="151"/>
        <v>[GkIwZrXy1h2]|25-34|Female|PMTCT_ART_SUBNAT.N.Already.T_1|CY2024Q3</v>
      </c>
    </row>
    <row r="4820" spans="4:18" x14ac:dyDescent="0.2">
      <c r="D4820" t="s">
        <v>23</v>
      </c>
      <c r="E4820" t="s">
        <v>24</v>
      </c>
      <c r="F4820" t="s">
        <v>25</v>
      </c>
      <c r="G4820" t="s">
        <v>208</v>
      </c>
      <c r="H4820" t="s">
        <v>209</v>
      </c>
      <c r="I4820" t="s">
        <v>43</v>
      </c>
      <c r="J4820" t="s">
        <v>44</v>
      </c>
      <c r="K4820" t="s">
        <v>30</v>
      </c>
      <c r="L4820" t="s">
        <v>31</v>
      </c>
      <c r="M4820" t="s">
        <v>140</v>
      </c>
      <c r="N4820">
        <v>35</v>
      </c>
      <c r="O4820">
        <v>7.8949281999999996E-2</v>
      </c>
      <c r="P4820">
        <v>8.0432715000000002E-2</v>
      </c>
      <c r="Q4820" t="str">
        <f t="shared" si="150"/>
        <v>35-49</v>
      </c>
      <c r="R4820" t="str">
        <f t="shared" si="151"/>
        <v>[GkIwZrXy1h2]|35-49|Female|PMTCT_ART_SUBNAT.N.Already.T_1|CY2024Q3</v>
      </c>
    </row>
    <row r="4821" spans="4:18" x14ac:dyDescent="0.2">
      <c r="D4821" t="s">
        <v>53</v>
      </c>
      <c r="E4821" t="s">
        <v>54</v>
      </c>
      <c r="F4821" t="s">
        <v>55</v>
      </c>
      <c r="G4821" t="s">
        <v>208</v>
      </c>
      <c r="H4821" t="s">
        <v>209</v>
      </c>
      <c r="I4821" t="s">
        <v>38</v>
      </c>
      <c r="J4821" t="s">
        <v>39</v>
      </c>
      <c r="K4821" t="s">
        <v>30</v>
      </c>
      <c r="L4821" t="s">
        <v>31</v>
      </c>
      <c r="M4821" t="s">
        <v>140</v>
      </c>
      <c r="N4821">
        <v>64</v>
      </c>
      <c r="O4821">
        <v>9.6909579999999995E-2</v>
      </c>
      <c r="P4821">
        <v>5.1832037999999997E-2</v>
      </c>
      <c r="Q4821" t="str">
        <f t="shared" si="150"/>
        <v>15-24</v>
      </c>
      <c r="R4821" t="str">
        <f t="shared" si="151"/>
        <v>[cPtvxaZqXIH]|15-24|Female|PMTCT_ART_SUBNAT.N.Already.T_1|CY2024Q3</v>
      </c>
    </row>
    <row r="4822" spans="4:18" x14ac:dyDescent="0.2">
      <c r="D4822" t="s">
        <v>53</v>
      </c>
      <c r="E4822" t="s">
        <v>54</v>
      </c>
      <c r="F4822" t="s">
        <v>55</v>
      </c>
      <c r="G4822" t="s">
        <v>208</v>
      </c>
      <c r="H4822" t="s">
        <v>209</v>
      </c>
      <c r="I4822" t="s">
        <v>41</v>
      </c>
      <c r="J4822" t="s">
        <v>42</v>
      </c>
      <c r="K4822" t="s">
        <v>30</v>
      </c>
      <c r="L4822" t="s">
        <v>31</v>
      </c>
      <c r="M4822" t="s">
        <v>140</v>
      </c>
      <c r="N4822">
        <v>125</v>
      </c>
      <c r="O4822">
        <v>6.6237033000000001E-2</v>
      </c>
      <c r="P4822">
        <v>5.1832037999999997E-2</v>
      </c>
      <c r="Q4822" t="str">
        <f t="shared" si="150"/>
        <v>25-34</v>
      </c>
      <c r="R4822" t="str">
        <f t="shared" si="151"/>
        <v>[cPtvxaZqXIH]|25-34|Female|PMTCT_ART_SUBNAT.N.Already.T_1|CY2024Q3</v>
      </c>
    </row>
    <row r="4823" spans="4:18" x14ac:dyDescent="0.2">
      <c r="D4823" t="s">
        <v>53</v>
      </c>
      <c r="E4823" t="s">
        <v>54</v>
      </c>
      <c r="F4823" t="s">
        <v>55</v>
      </c>
      <c r="G4823" t="s">
        <v>208</v>
      </c>
      <c r="H4823" t="s">
        <v>209</v>
      </c>
      <c r="I4823" t="s">
        <v>43</v>
      </c>
      <c r="J4823" t="s">
        <v>44</v>
      </c>
      <c r="K4823" t="s">
        <v>30</v>
      </c>
      <c r="L4823" t="s">
        <v>31</v>
      </c>
      <c r="M4823" t="s">
        <v>140</v>
      </c>
      <c r="N4823">
        <v>111</v>
      </c>
      <c r="O4823">
        <v>5.7840000000000003E-2</v>
      </c>
      <c r="P4823">
        <v>5.1832037999999997E-2</v>
      </c>
      <c r="Q4823" t="str">
        <f t="shared" si="150"/>
        <v>35-49</v>
      </c>
      <c r="R4823" t="str">
        <f t="shared" si="151"/>
        <v>[cPtvxaZqXIH]|35-49|Female|PMTCT_ART_SUBNAT.N.Already.T_1|CY2024Q3</v>
      </c>
    </row>
    <row r="4824" spans="4:18" x14ac:dyDescent="0.2">
      <c r="D4824" t="s">
        <v>60</v>
      </c>
      <c r="E4824" t="s">
        <v>61</v>
      </c>
      <c r="F4824" t="s">
        <v>62</v>
      </c>
      <c r="G4824" t="s">
        <v>208</v>
      </c>
      <c r="H4824" t="s">
        <v>209</v>
      </c>
      <c r="I4824" t="s">
        <v>38</v>
      </c>
      <c r="J4824" t="s">
        <v>39</v>
      </c>
      <c r="K4824" t="s">
        <v>30</v>
      </c>
      <c r="L4824" t="s">
        <v>31</v>
      </c>
      <c r="M4824" t="s">
        <v>140</v>
      </c>
      <c r="N4824">
        <v>59</v>
      </c>
      <c r="O4824">
        <v>9.1972392E-2</v>
      </c>
      <c r="P4824">
        <v>5.3526081000000003E-2</v>
      </c>
      <c r="Q4824" t="str">
        <f t="shared" si="150"/>
        <v>15-24</v>
      </c>
      <c r="R4824" t="str">
        <f t="shared" si="151"/>
        <v>[E7zpfyBt7Tw]|15-24|Female|PMTCT_ART_SUBNAT.N.Already.T_1|CY2024Q3</v>
      </c>
    </row>
    <row r="4825" spans="4:18" x14ac:dyDescent="0.2">
      <c r="D4825" t="s">
        <v>60</v>
      </c>
      <c r="E4825" t="s">
        <v>61</v>
      </c>
      <c r="F4825" t="s">
        <v>62</v>
      </c>
      <c r="G4825" t="s">
        <v>208</v>
      </c>
      <c r="H4825" t="s">
        <v>209</v>
      </c>
      <c r="I4825" t="s">
        <v>41</v>
      </c>
      <c r="J4825" t="s">
        <v>42</v>
      </c>
      <c r="K4825" t="s">
        <v>30</v>
      </c>
      <c r="L4825" t="s">
        <v>31</v>
      </c>
      <c r="M4825" t="s">
        <v>140</v>
      </c>
      <c r="N4825">
        <v>104</v>
      </c>
      <c r="O4825">
        <v>6.5856270999999994E-2</v>
      </c>
      <c r="P4825">
        <v>5.3526081000000003E-2</v>
      </c>
      <c r="Q4825" t="str">
        <f t="shared" si="150"/>
        <v>25-34</v>
      </c>
      <c r="R4825" t="str">
        <f t="shared" si="151"/>
        <v>[E7zpfyBt7Tw]|25-34|Female|PMTCT_ART_SUBNAT.N.Already.T_1|CY2024Q3</v>
      </c>
    </row>
    <row r="4826" spans="4:18" x14ac:dyDescent="0.2">
      <c r="D4826" t="s">
        <v>60</v>
      </c>
      <c r="E4826" t="s">
        <v>61</v>
      </c>
      <c r="F4826" t="s">
        <v>62</v>
      </c>
      <c r="G4826" t="s">
        <v>208</v>
      </c>
      <c r="H4826" t="s">
        <v>209</v>
      </c>
      <c r="I4826" t="s">
        <v>43</v>
      </c>
      <c r="J4826" t="s">
        <v>44</v>
      </c>
      <c r="K4826" t="s">
        <v>30</v>
      </c>
      <c r="L4826" t="s">
        <v>31</v>
      </c>
      <c r="M4826" t="s">
        <v>140</v>
      </c>
      <c r="N4826">
        <v>86</v>
      </c>
      <c r="O4826">
        <v>5.8703001999999997E-2</v>
      </c>
      <c r="P4826">
        <v>5.3526081000000003E-2</v>
      </c>
      <c r="Q4826" t="str">
        <f t="shared" si="150"/>
        <v>35-49</v>
      </c>
      <c r="R4826" t="str">
        <f t="shared" si="151"/>
        <v>[E7zpfyBt7Tw]|35-49|Female|PMTCT_ART_SUBNAT.N.Already.T_1|CY2024Q3</v>
      </c>
    </row>
    <row r="4827" spans="4:18" x14ac:dyDescent="0.2">
      <c r="D4827" t="s">
        <v>63</v>
      </c>
      <c r="E4827" t="s">
        <v>64</v>
      </c>
      <c r="F4827" t="s">
        <v>65</v>
      </c>
      <c r="G4827" t="s">
        <v>208</v>
      </c>
      <c r="H4827" t="s">
        <v>209</v>
      </c>
      <c r="I4827" t="s">
        <v>38</v>
      </c>
      <c r="J4827" t="s">
        <v>39</v>
      </c>
      <c r="K4827" t="s">
        <v>30</v>
      </c>
      <c r="L4827" t="s">
        <v>31</v>
      </c>
      <c r="M4827" t="s">
        <v>140</v>
      </c>
      <c r="N4827">
        <v>34</v>
      </c>
      <c r="O4827">
        <v>0.102760912</v>
      </c>
      <c r="P4827">
        <v>6.7377035000000002E-2</v>
      </c>
      <c r="Q4827" t="str">
        <f t="shared" si="150"/>
        <v>15-24</v>
      </c>
      <c r="R4827" t="str">
        <f t="shared" si="151"/>
        <v>[lPTyjLi4w3d]|15-24|Female|PMTCT_ART_SUBNAT.N.Already.T_1|CY2024Q3</v>
      </c>
    </row>
    <row r="4828" spans="4:18" x14ac:dyDescent="0.2">
      <c r="D4828" t="s">
        <v>63</v>
      </c>
      <c r="E4828" t="s">
        <v>64</v>
      </c>
      <c r="F4828" t="s">
        <v>65</v>
      </c>
      <c r="G4828" t="s">
        <v>208</v>
      </c>
      <c r="H4828" t="s">
        <v>209</v>
      </c>
      <c r="I4828" t="s">
        <v>41</v>
      </c>
      <c r="J4828" t="s">
        <v>42</v>
      </c>
      <c r="K4828" t="s">
        <v>30</v>
      </c>
      <c r="L4828" t="s">
        <v>31</v>
      </c>
      <c r="M4828" t="s">
        <v>140</v>
      </c>
      <c r="N4828">
        <v>64</v>
      </c>
      <c r="O4828">
        <v>7.6444967000000003E-2</v>
      </c>
      <c r="P4828">
        <v>6.7377035000000002E-2</v>
      </c>
      <c r="Q4828" t="str">
        <f t="shared" si="150"/>
        <v>25-34</v>
      </c>
      <c r="R4828" t="str">
        <f t="shared" si="151"/>
        <v>[lPTyjLi4w3d]|25-34|Female|PMTCT_ART_SUBNAT.N.Already.T_1|CY2024Q3</v>
      </c>
    </row>
    <row r="4829" spans="4:18" x14ac:dyDescent="0.2">
      <c r="D4829" t="s">
        <v>63</v>
      </c>
      <c r="E4829" t="s">
        <v>64</v>
      </c>
      <c r="F4829" t="s">
        <v>65</v>
      </c>
      <c r="G4829" t="s">
        <v>208</v>
      </c>
      <c r="H4829" t="s">
        <v>209</v>
      </c>
      <c r="I4829" t="s">
        <v>43</v>
      </c>
      <c r="J4829" t="s">
        <v>44</v>
      </c>
      <c r="K4829" t="s">
        <v>30</v>
      </c>
      <c r="L4829" t="s">
        <v>31</v>
      </c>
      <c r="M4829" t="s">
        <v>140</v>
      </c>
      <c r="N4829">
        <v>54</v>
      </c>
      <c r="O4829">
        <v>6.8476288999999996E-2</v>
      </c>
      <c r="P4829">
        <v>6.7377035000000002E-2</v>
      </c>
      <c r="Q4829" t="str">
        <f t="shared" si="150"/>
        <v>35-49</v>
      </c>
      <c r="R4829" t="str">
        <f t="shared" si="151"/>
        <v>[lPTyjLi4w3d]|35-49|Female|PMTCT_ART_SUBNAT.N.Already.T_1|CY2024Q3</v>
      </c>
    </row>
    <row r="4830" spans="4:18" x14ac:dyDescent="0.2">
      <c r="D4830" t="s">
        <v>66</v>
      </c>
      <c r="E4830" t="s">
        <v>67</v>
      </c>
      <c r="F4830" t="s">
        <v>68</v>
      </c>
      <c r="G4830" t="s">
        <v>208</v>
      </c>
      <c r="H4830" t="s">
        <v>209</v>
      </c>
      <c r="I4830" t="s">
        <v>38</v>
      </c>
      <c r="J4830" t="s">
        <v>39</v>
      </c>
      <c r="K4830" t="s">
        <v>30</v>
      </c>
      <c r="L4830" t="s">
        <v>31</v>
      </c>
      <c r="M4830" t="s">
        <v>140</v>
      </c>
      <c r="N4830">
        <v>146</v>
      </c>
      <c r="O4830">
        <v>8.5026704999999994E-2</v>
      </c>
      <c r="P4830">
        <v>3.2497824000000002E-2</v>
      </c>
      <c r="Q4830" t="str">
        <f t="shared" si="150"/>
        <v>15-24</v>
      </c>
      <c r="R4830" t="str">
        <f t="shared" si="151"/>
        <v>[vA4NcHxfMBq]|15-24|Female|PMTCT_ART_SUBNAT.N.Already.T_1|CY2024Q3</v>
      </c>
    </row>
    <row r="4831" spans="4:18" x14ac:dyDescent="0.2">
      <c r="D4831" t="s">
        <v>66</v>
      </c>
      <c r="E4831" t="s">
        <v>67</v>
      </c>
      <c r="F4831" t="s">
        <v>68</v>
      </c>
      <c r="G4831" t="s">
        <v>208</v>
      </c>
      <c r="H4831" t="s">
        <v>209</v>
      </c>
      <c r="I4831" t="s">
        <v>41</v>
      </c>
      <c r="J4831" t="s">
        <v>42</v>
      </c>
      <c r="K4831" t="s">
        <v>30</v>
      </c>
      <c r="L4831" t="s">
        <v>31</v>
      </c>
      <c r="M4831" t="s">
        <v>140</v>
      </c>
      <c r="N4831">
        <v>312</v>
      </c>
      <c r="O4831">
        <v>5.0585818999999997E-2</v>
      </c>
      <c r="P4831">
        <v>3.2497824000000002E-2</v>
      </c>
      <c r="Q4831" t="str">
        <f t="shared" si="150"/>
        <v>25-34</v>
      </c>
      <c r="R4831" t="str">
        <f t="shared" si="151"/>
        <v>[vA4NcHxfMBq]|25-34|Female|PMTCT_ART_SUBNAT.N.Already.T_1|CY2024Q3</v>
      </c>
    </row>
    <row r="4832" spans="4:18" x14ac:dyDescent="0.2">
      <c r="D4832" t="s">
        <v>66</v>
      </c>
      <c r="E4832" t="s">
        <v>67</v>
      </c>
      <c r="F4832" t="s">
        <v>68</v>
      </c>
      <c r="G4832" t="s">
        <v>208</v>
      </c>
      <c r="H4832" t="s">
        <v>209</v>
      </c>
      <c r="I4832" t="s">
        <v>43</v>
      </c>
      <c r="J4832" t="s">
        <v>44</v>
      </c>
      <c r="K4832" t="s">
        <v>30</v>
      </c>
      <c r="L4832" t="s">
        <v>31</v>
      </c>
      <c r="M4832" t="s">
        <v>140</v>
      </c>
      <c r="N4832">
        <v>272</v>
      </c>
      <c r="O4832">
        <v>4.6724834999999999E-2</v>
      </c>
      <c r="P4832">
        <v>3.2497824000000002E-2</v>
      </c>
      <c r="Q4832" t="str">
        <f t="shared" si="150"/>
        <v>35-49</v>
      </c>
      <c r="R4832" t="str">
        <f t="shared" si="151"/>
        <v>[vA4NcHxfMBq]|35-49|Female|PMTCT_ART_SUBNAT.N.Already.T_1|CY2024Q3</v>
      </c>
    </row>
    <row r="4833" spans="4:18" x14ac:dyDescent="0.2">
      <c r="D4833" t="s">
        <v>69</v>
      </c>
      <c r="E4833" t="s">
        <v>70</v>
      </c>
      <c r="F4833" t="s">
        <v>71</v>
      </c>
      <c r="G4833" t="s">
        <v>208</v>
      </c>
      <c r="H4833" t="s">
        <v>209</v>
      </c>
      <c r="I4833" t="s">
        <v>38</v>
      </c>
      <c r="J4833" t="s">
        <v>39</v>
      </c>
      <c r="K4833" t="s">
        <v>30</v>
      </c>
      <c r="L4833" t="s">
        <v>31</v>
      </c>
      <c r="M4833" t="s">
        <v>140</v>
      </c>
      <c r="N4833">
        <v>4</v>
      </c>
      <c r="O4833">
        <v>0.167898151</v>
      </c>
      <c r="P4833">
        <v>0.130836858</v>
      </c>
      <c r="Q4833" t="str">
        <f t="shared" si="150"/>
        <v>15-24</v>
      </c>
      <c r="R4833" t="str">
        <f t="shared" si="151"/>
        <v>[ZCjuwgaMB9u]|15-24|Female|PMTCT_ART_SUBNAT.N.Already.T_1|CY2024Q3</v>
      </c>
    </row>
    <row r="4834" spans="4:18" x14ac:dyDescent="0.2">
      <c r="D4834" t="s">
        <v>69</v>
      </c>
      <c r="E4834" t="s">
        <v>70</v>
      </c>
      <c r="F4834" t="s">
        <v>71</v>
      </c>
      <c r="G4834" t="s">
        <v>208</v>
      </c>
      <c r="H4834" t="s">
        <v>209</v>
      </c>
      <c r="I4834" t="s">
        <v>41</v>
      </c>
      <c r="J4834" t="s">
        <v>42</v>
      </c>
      <c r="K4834" t="s">
        <v>30</v>
      </c>
      <c r="L4834" t="s">
        <v>31</v>
      </c>
      <c r="M4834" t="s">
        <v>140</v>
      </c>
      <c r="N4834">
        <v>9</v>
      </c>
      <c r="O4834">
        <v>0.14092418800000001</v>
      </c>
      <c r="P4834">
        <v>0.130836858</v>
      </c>
      <c r="Q4834" t="str">
        <f t="shared" si="150"/>
        <v>25-34</v>
      </c>
      <c r="R4834" t="str">
        <f t="shared" si="151"/>
        <v>[ZCjuwgaMB9u]|25-34|Female|PMTCT_ART_SUBNAT.N.Already.T_1|CY2024Q3</v>
      </c>
    </row>
    <row r="4835" spans="4:18" x14ac:dyDescent="0.2">
      <c r="D4835" t="s">
        <v>69</v>
      </c>
      <c r="E4835" t="s">
        <v>70</v>
      </c>
      <c r="F4835" t="s">
        <v>71</v>
      </c>
      <c r="G4835" t="s">
        <v>208</v>
      </c>
      <c r="H4835" t="s">
        <v>209</v>
      </c>
      <c r="I4835" t="s">
        <v>43</v>
      </c>
      <c r="J4835" t="s">
        <v>44</v>
      </c>
      <c r="K4835" t="s">
        <v>30</v>
      </c>
      <c r="L4835" t="s">
        <v>31</v>
      </c>
      <c r="M4835" t="s">
        <v>140</v>
      </c>
      <c r="N4835">
        <v>8</v>
      </c>
      <c r="O4835">
        <v>0.120250709</v>
      </c>
      <c r="P4835">
        <v>0.130836858</v>
      </c>
      <c r="Q4835" t="str">
        <f t="shared" si="150"/>
        <v>35-49</v>
      </c>
      <c r="R4835" t="str">
        <f t="shared" si="151"/>
        <v>[ZCjuwgaMB9u]|35-49|Female|PMTCT_ART_SUBNAT.N.Already.T_1|CY2024Q3</v>
      </c>
    </row>
    <row r="4836" spans="4:18" x14ac:dyDescent="0.2">
      <c r="D4836" t="s">
        <v>72</v>
      </c>
      <c r="E4836" t="s">
        <v>73</v>
      </c>
      <c r="F4836" t="s">
        <v>74</v>
      </c>
      <c r="G4836" t="s">
        <v>208</v>
      </c>
      <c r="H4836" t="s">
        <v>209</v>
      </c>
      <c r="I4836" t="s">
        <v>38</v>
      </c>
      <c r="J4836" t="s">
        <v>39</v>
      </c>
      <c r="K4836" t="s">
        <v>30</v>
      </c>
      <c r="L4836" t="s">
        <v>31</v>
      </c>
      <c r="M4836" t="s">
        <v>140</v>
      </c>
      <c r="N4836">
        <v>89</v>
      </c>
      <c r="O4836">
        <v>8.9194308999999999E-2</v>
      </c>
      <c r="P4836">
        <v>4.7616009000000001E-2</v>
      </c>
      <c r="Q4836" t="str">
        <f t="shared" si="150"/>
        <v>15-24</v>
      </c>
      <c r="R4836" t="str">
        <f t="shared" si="151"/>
        <v>[JQKLKuVuY61]|15-24|Female|PMTCT_ART_SUBNAT.N.Already.T_1|CY2024Q3</v>
      </c>
    </row>
    <row r="4837" spans="4:18" x14ac:dyDescent="0.2">
      <c r="D4837" t="s">
        <v>72</v>
      </c>
      <c r="E4837" t="s">
        <v>73</v>
      </c>
      <c r="F4837" t="s">
        <v>74</v>
      </c>
      <c r="G4837" t="s">
        <v>208</v>
      </c>
      <c r="H4837" t="s">
        <v>209</v>
      </c>
      <c r="I4837" t="s">
        <v>41</v>
      </c>
      <c r="J4837" t="s">
        <v>42</v>
      </c>
      <c r="K4837" t="s">
        <v>30</v>
      </c>
      <c r="L4837" t="s">
        <v>31</v>
      </c>
      <c r="M4837" t="s">
        <v>140</v>
      </c>
      <c r="N4837">
        <v>168</v>
      </c>
      <c r="O4837">
        <v>6.0520382999999997E-2</v>
      </c>
      <c r="P4837">
        <v>4.7616009000000001E-2</v>
      </c>
      <c r="Q4837" t="str">
        <f t="shared" si="150"/>
        <v>25-34</v>
      </c>
      <c r="R4837" t="str">
        <f t="shared" si="151"/>
        <v>[JQKLKuVuY61]|25-34|Female|PMTCT_ART_SUBNAT.N.Already.T_1|CY2024Q3</v>
      </c>
    </row>
    <row r="4838" spans="4:18" x14ac:dyDescent="0.2">
      <c r="D4838" t="s">
        <v>72</v>
      </c>
      <c r="E4838" t="s">
        <v>73</v>
      </c>
      <c r="F4838" t="s">
        <v>74</v>
      </c>
      <c r="G4838" t="s">
        <v>208</v>
      </c>
      <c r="H4838" t="s">
        <v>209</v>
      </c>
      <c r="I4838" t="s">
        <v>43</v>
      </c>
      <c r="J4838" t="s">
        <v>44</v>
      </c>
      <c r="K4838" t="s">
        <v>30</v>
      </c>
      <c r="L4838" t="s">
        <v>31</v>
      </c>
      <c r="M4838" t="s">
        <v>140</v>
      </c>
      <c r="N4838">
        <v>148</v>
      </c>
      <c r="O4838">
        <v>5.4576366000000001E-2</v>
      </c>
      <c r="P4838">
        <v>4.7616009000000001E-2</v>
      </c>
      <c r="Q4838" t="str">
        <f t="shared" si="150"/>
        <v>35-49</v>
      </c>
      <c r="R4838" t="str">
        <f t="shared" si="151"/>
        <v>[JQKLKuVuY61]|35-49|Female|PMTCT_ART_SUBNAT.N.Already.T_1|CY2024Q3</v>
      </c>
    </row>
    <row r="4839" spans="4:18" x14ac:dyDescent="0.2">
      <c r="D4839" t="s">
        <v>75</v>
      </c>
      <c r="E4839" t="s">
        <v>76</v>
      </c>
      <c r="F4839" t="s">
        <v>77</v>
      </c>
      <c r="G4839" t="s">
        <v>208</v>
      </c>
      <c r="H4839" t="s">
        <v>209</v>
      </c>
      <c r="I4839" t="s">
        <v>38</v>
      </c>
      <c r="J4839" t="s">
        <v>39</v>
      </c>
      <c r="K4839" t="s">
        <v>30</v>
      </c>
      <c r="L4839" t="s">
        <v>31</v>
      </c>
      <c r="M4839" t="s">
        <v>140</v>
      </c>
      <c r="N4839">
        <v>65</v>
      </c>
      <c r="O4839">
        <v>9.1646977000000004E-2</v>
      </c>
      <c r="P4839">
        <v>4.9601391000000002E-2</v>
      </c>
      <c r="Q4839" t="str">
        <f t="shared" si="150"/>
        <v>15-24</v>
      </c>
      <c r="R4839" t="str">
        <f t="shared" si="151"/>
        <v>[YCKiBAp8QAg]|15-24|Female|PMTCT_ART_SUBNAT.N.Already.T_1|CY2024Q3</v>
      </c>
    </row>
    <row r="4840" spans="4:18" x14ac:dyDescent="0.2">
      <c r="D4840" t="s">
        <v>75</v>
      </c>
      <c r="E4840" t="s">
        <v>76</v>
      </c>
      <c r="F4840" t="s">
        <v>77</v>
      </c>
      <c r="G4840" t="s">
        <v>208</v>
      </c>
      <c r="H4840" t="s">
        <v>209</v>
      </c>
      <c r="I4840" t="s">
        <v>41</v>
      </c>
      <c r="J4840" t="s">
        <v>42</v>
      </c>
      <c r="K4840" t="s">
        <v>30</v>
      </c>
      <c r="L4840" t="s">
        <v>31</v>
      </c>
      <c r="M4840" t="s">
        <v>140</v>
      </c>
      <c r="N4840">
        <v>124</v>
      </c>
      <c r="O4840">
        <v>6.3519337999999995E-2</v>
      </c>
      <c r="P4840">
        <v>4.9601391000000002E-2</v>
      </c>
      <c r="Q4840" t="str">
        <f t="shared" si="150"/>
        <v>25-34</v>
      </c>
      <c r="R4840" t="str">
        <f t="shared" si="151"/>
        <v>[YCKiBAp8QAg]|25-34|Female|PMTCT_ART_SUBNAT.N.Already.T_1|CY2024Q3</v>
      </c>
    </row>
    <row r="4841" spans="4:18" x14ac:dyDescent="0.2">
      <c r="D4841" t="s">
        <v>75</v>
      </c>
      <c r="E4841" t="s">
        <v>76</v>
      </c>
      <c r="F4841" t="s">
        <v>77</v>
      </c>
      <c r="G4841" t="s">
        <v>208</v>
      </c>
      <c r="H4841" t="s">
        <v>209</v>
      </c>
      <c r="I4841" t="s">
        <v>43</v>
      </c>
      <c r="J4841" t="s">
        <v>44</v>
      </c>
      <c r="K4841" t="s">
        <v>30</v>
      </c>
      <c r="L4841" t="s">
        <v>31</v>
      </c>
      <c r="M4841" t="s">
        <v>140</v>
      </c>
      <c r="N4841">
        <v>109</v>
      </c>
      <c r="O4841">
        <v>5.6824439999999997E-2</v>
      </c>
      <c r="P4841">
        <v>4.9601391000000002E-2</v>
      </c>
      <c r="Q4841" t="str">
        <f t="shared" si="150"/>
        <v>35-49</v>
      </c>
      <c r="R4841" t="str">
        <f t="shared" si="151"/>
        <v>[YCKiBAp8QAg]|35-49|Female|PMTCT_ART_SUBNAT.N.Already.T_1|CY2024Q3</v>
      </c>
    </row>
    <row r="4842" spans="4:18" x14ac:dyDescent="0.2">
      <c r="D4842" t="s">
        <v>78</v>
      </c>
      <c r="E4842" t="s">
        <v>79</v>
      </c>
      <c r="F4842" t="s">
        <v>80</v>
      </c>
      <c r="G4842" t="s">
        <v>208</v>
      </c>
      <c r="H4842" t="s">
        <v>209</v>
      </c>
      <c r="I4842" t="s">
        <v>38</v>
      </c>
      <c r="J4842" t="s">
        <v>39</v>
      </c>
      <c r="K4842" t="s">
        <v>30</v>
      </c>
      <c r="L4842" t="s">
        <v>31</v>
      </c>
      <c r="M4842" t="s">
        <v>140</v>
      </c>
      <c r="N4842">
        <v>17</v>
      </c>
      <c r="O4842">
        <v>0.122338356</v>
      </c>
      <c r="P4842">
        <v>8.6391964000000002E-2</v>
      </c>
      <c r="Q4842" t="str">
        <f t="shared" si="150"/>
        <v>15-24</v>
      </c>
      <c r="R4842" t="str">
        <f t="shared" si="151"/>
        <v>[fiRkU6gEjLz]|15-24|Female|PMTCT_ART_SUBNAT.N.Already.T_1|CY2024Q3</v>
      </c>
    </row>
    <row r="4843" spans="4:18" x14ac:dyDescent="0.2">
      <c r="D4843" t="s">
        <v>78</v>
      </c>
      <c r="E4843" t="s">
        <v>79</v>
      </c>
      <c r="F4843" t="s">
        <v>80</v>
      </c>
      <c r="G4843" t="s">
        <v>208</v>
      </c>
      <c r="H4843" t="s">
        <v>209</v>
      </c>
      <c r="I4843" t="s">
        <v>41</v>
      </c>
      <c r="J4843" t="s">
        <v>42</v>
      </c>
      <c r="K4843" t="s">
        <v>30</v>
      </c>
      <c r="L4843" t="s">
        <v>31</v>
      </c>
      <c r="M4843" t="s">
        <v>140</v>
      </c>
      <c r="N4843">
        <v>33</v>
      </c>
      <c r="O4843">
        <v>9.8777439999999994E-2</v>
      </c>
      <c r="P4843">
        <v>8.6391964000000002E-2</v>
      </c>
      <c r="Q4843" t="str">
        <f t="shared" si="150"/>
        <v>25-34</v>
      </c>
      <c r="R4843" t="str">
        <f t="shared" si="151"/>
        <v>[fiRkU6gEjLz]|25-34|Female|PMTCT_ART_SUBNAT.N.Already.T_1|CY2024Q3</v>
      </c>
    </row>
    <row r="4844" spans="4:18" x14ac:dyDescent="0.2">
      <c r="D4844" t="s">
        <v>78</v>
      </c>
      <c r="E4844" t="s">
        <v>79</v>
      </c>
      <c r="F4844" t="s">
        <v>80</v>
      </c>
      <c r="G4844" t="s">
        <v>208</v>
      </c>
      <c r="H4844" t="s">
        <v>209</v>
      </c>
      <c r="I4844" t="s">
        <v>43</v>
      </c>
      <c r="J4844" t="s">
        <v>44</v>
      </c>
      <c r="K4844" t="s">
        <v>30</v>
      </c>
      <c r="L4844" t="s">
        <v>31</v>
      </c>
      <c r="M4844" t="s">
        <v>140</v>
      </c>
      <c r="N4844">
        <v>29</v>
      </c>
      <c r="O4844">
        <v>8.3288806000000007E-2</v>
      </c>
      <c r="P4844">
        <v>8.6391964000000002E-2</v>
      </c>
      <c r="Q4844" t="str">
        <f t="shared" si="150"/>
        <v>35-49</v>
      </c>
      <c r="R4844" t="str">
        <f t="shared" si="151"/>
        <v>[fiRkU6gEjLz]|35-49|Female|PMTCT_ART_SUBNAT.N.Already.T_1|CY2024Q3</v>
      </c>
    </row>
    <row r="4845" spans="4:18" x14ac:dyDescent="0.2">
      <c r="D4845" t="s">
        <v>81</v>
      </c>
      <c r="E4845" t="s">
        <v>82</v>
      </c>
      <c r="F4845" t="s">
        <v>83</v>
      </c>
      <c r="G4845" t="s">
        <v>208</v>
      </c>
      <c r="H4845" t="s">
        <v>209</v>
      </c>
      <c r="I4845" t="s">
        <v>38</v>
      </c>
      <c r="J4845" t="s">
        <v>39</v>
      </c>
      <c r="K4845" t="s">
        <v>30</v>
      </c>
      <c r="L4845" t="s">
        <v>31</v>
      </c>
      <c r="M4845" t="s">
        <v>140</v>
      </c>
      <c r="N4845">
        <v>38</v>
      </c>
      <c r="O4845">
        <v>0.10866401000000001</v>
      </c>
      <c r="P4845">
        <v>6.4165629000000002E-2</v>
      </c>
      <c r="Q4845" t="str">
        <f t="shared" si="150"/>
        <v>15-24</v>
      </c>
      <c r="R4845" t="str">
        <f t="shared" si="151"/>
        <v>[zphK9WV8JB4]|15-24|Female|PMTCT_ART_SUBNAT.N.Already.T_1|CY2024Q3</v>
      </c>
    </row>
    <row r="4846" spans="4:18" x14ac:dyDescent="0.2">
      <c r="D4846" t="s">
        <v>81</v>
      </c>
      <c r="E4846" t="s">
        <v>82</v>
      </c>
      <c r="F4846" t="s">
        <v>83</v>
      </c>
      <c r="G4846" t="s">
        <v>208</v>
      </c>
      <c r="H4846" t="s">
        <v>209</v>
      </c>
      <c r="I4846" t="s">
        <v>41</v>
      </c>
      <c r="J4846" t="s">
        <v>42</v>
      </c>
      <c r="K4846" t="s">
        <v>30</v>
      </c>
      <c r="L4846" t="s">
        <v>31</v>
      </c>
      <c r="M4846" t="s">
        <v>140</v>
      </c>
      <c r="N4846">
        <v>77</v>
      </c>
      <c r="O4846">
        <v>7.9000735000000002E-2</v>
      </c>
      <c r="P4846">
        <v>6.4165629000000002E-2</v>
      </c>
      <c r="Q4846" t="str">
        <f t="shared" si="150"/>
        <v>25-34</v>
      </c>
      <c r="R4846" t="str">
        <f t="shared" si="151"/>
        <v>[zphK9WV8JB4]|25-34|Female|PMTCT_ART_SUBNAT.N.Already.T_1|CY2024Q3</v>
      </c>
    </row>
    <row r="4847" spans="4:18" x14ac:dyDescent="0.2">
      <c r="D4847" t="s">
        <v>81</v>
      </c>
      <c r="E4847" t="s">
        <v>82</v>
      </c>
      <c r="F4847" t="s">
        <v>83</v>
      </c>
      <c r="G4847" t="s">
        <v>208</v>
      </c>
      <c r="H4847" t="s">
        <v>209</v>
      </c>
      <c r="I4847" t="s">
        <v>43</v>
      </c>
      <c r="J4847" t="s">
        <v>44</v>
      </c>
      <c r="K4847" t="s">
        <v>30</v>
      </c>
      <c r="L4847" t="s">
        <v>31</v>
      </c>
      <c r="M4847" t="s">
        <v>140</v>
      </c>
      <c r="N4847">
        <v>72</v>
      </c>
      <c r="O4847">
        <v>6.5393230999999996E-2</v>
      </c>
      <c r="P4847">
        <v>6.4165629000000002E-2</v>
      </c>
      <c r="Q4847" t="str">
        <f t="shared" si="150"/>
        <v>35-49</v>
      </c>
      <c r="R4847" t="str">
        <f t="shared" si="151"/>
        <v>[zphK9WV8JB4]|35-49|Female|PMTCT_ART_SUBNAT.N.Already.T_1|CY2024Q3</v>
      </c>
    </row>
    <row r="4848" spans="4:18" x14ac:dyDescent="0.2">
      <c r="D4848" t="s">
        <v>84</v>
      </c>
      <c r="E4848" t="s">
        <v>85</v>
      </c>
      <c r="F4848" t="s">
        <v>86</v>
      </c>
      <c r="G4848" t="s">
        <v>208</v>
      </c>
      <c r="H4848" t="s">
        <v>209</v>
      </c>
      <c r="I4848" t="s">
        <v>38</v>
      </c>
      <c r="J4848" t="s">
        <v>39</v>
      </c>
      <c r="K4848" t="s">
        <v>30</v>
      </c>
      <c r="L4848" t="s">
        <v>31</v>
      </c>
      <c r="M4848" t="s">
        <v>140</v>
      </c>
      <c r="N4848">
        <v>107</v>
      </c>
      <c r="O4848">
        <v>7.7807925E-2</v>
      </c>
      <c r="P4848">
        <v>4.2677160999999998E-2</v>
      </c>
      <c r="Q4848" t="str">
        <f t="shared" si="150"/>
        <v>15-24</v>
      </c>
      <c r="R4848" t="str">
        <f t="shared" si="151"/>
        <v>[msW2zpIN7up]|15-24|Female|PMTCT_ART_SUBNAT.N.Already.T_1|CY2024Q3</v>
      </c>
    </row>
    <row r="4849" spans="4:18" x14ac:dyDescent="0.2">
      <c r="D4849" t="s">
        <v>84</v>
      </c>
      <c r="E4849" t="s">
        <v>85</v>
      </c>
      <c r="F4849" t="s">
        <v>86</v>
      </c>
      <c r="G4849" t="s">
        <v>208</v>
      </c>
      <c r="H4849" t="s">
        <v>209</v>
      </c>
      <c r="I4849" t="s">
        <v>41</v>
      </c>
      <c r="J4849" t="s">
        <v>42</v>
      </c>
      <c r="K4849" t="s">
        <v>30</v>
      </c>
      <c r="L4849" t="s">
        <v>31</v>
      </c>
      <c r="M4849" t="s">
        <v>140</v>
      </c>
      <c r="N4849">
        <v>203</v>
      </c>
      <c r="O4849">
        <v>5.2892002E-2</v>
      </c>
      <c r="P4849">
        <v>4.2677160999999998E-2</v>
      </c>
      <c r="Q4849" t="str">
        <f t="shared" si="150"/>
        <v>25-34</v>
      </c>
      <c r="R4849" t="str">
        <f t="shared" si="151"/>
        <v>[msW2zpIN7up]|25-34|Female|PMTCT_ART_SUBNAT.N.Already.T_1|CY2024Q3</v>
      </c>
    </row>
    <row r="4850" spans="4:18" x14ac:dyDescent="0.2">
      <c r="D4850" t="s">
        <v>84</v>
      </c>
      <c r="E4850" t="s">
        <v>85</v>
      </c>
      <c r="F4850" t="s">
        <v>86</v>
      </c>
      <c r="G4850" t="s">
        <v>208</v>
      </c>
      <c r="H4850" t="s">
        <v>209</v>
      </c>
      <c r="I4850" t="s">
        <v>43</v>
      </c>
      <c r="J4850" t="s">
        <v>44</v>
      </c>
      <c r="K4850" t="s">
        <v>30</v>
      </c>
      <c r="L4850" t="s">
        <v>31</v>
      </c>
      <c r="M4850" t="s">
        <v>140</v>
      </c>
      <c r="N4850">
        <v>161</v>
      </c>
      <c r="O4850">
        <v>5.0875807000000002E-2</v>
      </c>
      <c r="P4850">
        <v>4.2677160999999998E-2</v>
      </c>
      <c r="Q4850" t="str">
        <f t="shared" si="150"/>
        <v>35-49</v>
      </c>
      <c r="R4850" t="str">
        <f t="shared" si="151"/>
        <v>[msW2zpIN7up]|35-49|Female|PMTCT_ART_SUBNAT.N.Already.T_1|CY2024Q3</v>
      </c>
    </row>
    <row r="4851" spans="4:18" x14ac:dyDescent="0.2">
      <c r="D4851" t="s">
        <v>87</v>
      </c>
      <c r="E4851" t="s">
        <v>88</v>
      </c>
      <c r="F4851" t="s">
        <v>89</v>
      </c>
      <c r="G4851" t="s">
        <v>208</v>
      </c>
      <c r="H4851" t="s">
        <v>209</v>
      </c>
      <c r="I4851" t="s">
        <v>38</v>
      </c>
      <c r="J4851" t="s">
        <v>39</v>
      </c>
      <c r="K4851" t="s">
        <v>30</v>
      </c>
      <c r="L4851" t="s">
        <v>31</v>
      </c>
      <c r="M4851" t="s">
        <v>140</v>
      </c>
      <c r="N4851">
        <v>381</v>
      </c>
      <c r="O4851">
        <v>8.1675355000000005E-2</v>
      </c>
      <c r="P4851">
        <v>2.1807772E-2</v>
      </c>
      <c r="Q4851" t="str">
        <f t="shared" si="150"/>
        <v>15-24</v>
      </c>
      <c r="R4851" t="str">
        <f t="shared" si="151"/>
        <v>[ScR9iFKAasW]|15-24|Female|PMTCT_ART_SUBNAT.N.Already.T_1|CY2024Q3</v>
      </c>
    </row>
    <row r="4852" spans="4:18" x14ac:dyDescent="0.2">
      <c r="D4852" t="s">
        <v>87</v>
      </c>
      <c r="E4852" t="s">
        <v>88</v>
      </c>
      <c r="F4852" t="s">
        <v>89</v>
      </c>
      <c r="G4852" t="s">
        <v>208</v>
      </c>
      <c r="H4852" t="s">
        <v>209</v>
      </c>
      <c r="I4852" t="s">
        <v>41</v>
      </c>
      <c r="J4852" t="s">
        <v>42</v>
      </c>
      <c r="K4852" t="s">
        <v>30</v>
      </c>
      <c r="L4852" t="s">
        <v>31</v>
      </c>
      <c r="M4852" t="s">
        <v>140</v>
      </c>
      <c r="N4852">
        <v>889</v>
      </c>
      <c r="O4852">
        <v>4.1334395000000003E-2</v>
      </c>
      <c r="P4852">
        <v>2.1807772E-2</v>
      </c>
      <c r="Q4852" t="str">
        <f t="shared" si="150"/>
        <v>25-34</v>
      </c>
      <c r="R4852" t="str">
        <f t="shared" si="151"/>
        <v>[ScR9iFKAasW]|25-34|Female|PMTCT_ART_SUBNAT.N.Already.T_1|CY2024Q3</v>
      </c>
    </row>
    <row r="4853" spans="4:18" x14ac:dyDescent="0.2">
      <c r="D4853" t="s">
        <v>87</v>
      </c>
      <c r="E4853" t="s">
        <v>88</v>
      </c>
      <c r="F4853" t="s">
        <v>89</v>
      </c>
      <c r="G4853" t="s">
        <v>208</v>
      </c>
      <c r="H4853" t="s">
        <v>209</v>
      </c>
      <c r="I4853" t="s">
        <v>43</v>
      </c>
      <c r="J4853" t="s">
        <v>44</v>
      </c>
      <c r="K4853" t="s">
        <v>30</v>
      </c>
      <c r="L4853" t="s">
        <v>31</v>
      </c>
      <c r="M4853" t="s">
        <v>140</v>
      </c>
      <c r="N4853">
        <v>773</v>
      </c>
      <c r="O4853">
        <v>3.9330386000000002E-2</v>
      </c>
      <c r="P4853">
        <v>2.1807772E-2</v>
      </c>
      <c r="Q4853" t="str">
        <f t="shared" si="150"/>
        <v>35-49</v>
      </c>
      <c r="R4853" t="str">
        <f t="shared" si="151"/>
        <v>[ScR9iFKAasW]|35-49|Female|PMTCT_ART_SUBNAT.N.Already.T_1|CY2024Q3</v>
      </c>
    </row>
    <row r="4854" spans="4:18" x14ac:dyDescent="0.2">
      <c r="D4854" t="s">
        <v>90</v>
      </c>
      <c r="E4854" t="s">
        <v>91</v>
      </c>
      <c r="F4854" t="s">
        <v>92</v>
      </c>
      <c r="G4854" t="s">
        <v>208</v>
      </c>
      <c r="H4854" t="s">
        <v>209</v>
      </c>
      <c r="I4854" t="s">
        <v>38</v>
      </c>
      <c r="J4854" t="s">
        <v>39</v>
      </c>
      <c r="K4854" t="s">
        <v>30</v>
      </c>
      <c r="L4854" t="s">
        <v>31</v>
      </c>
      <c r="M4854" t="s">
        <v>140</v>
      </c>
      <c r="N4854">
        <v>68</v>
      </c>
      <c r="O4854">
        <v>9.6924343999999996E-2</v>
      </c>
      <c r="P4854">
        <v>4.8463272000000002E-2</v>
      </c>
      <c r="Q4854" t="str">
        <f t="shared" si="150"/>
        <v>15-24</v>
      </c>
      <c r="R4854" t="str">
        <f t="shared" si="151"/>
        <v>[kxuuIFpOXyO]|15-24|Female|PMTCT_ART_SUBNAT.N.Already.T_1|CY2024Q3</v>
      </c>
    </row>
    <row r="4855" spans="4:18" x14ac:dyDescent="0.2">
      <c r="D4855" t="s">
        <v>90</v>
      </c>
      <c r="E4855" t="s">
        <v>91</v>
      </c>
      <c r="F4855" t="s">
        <v>92</v>
      </c>
      <c r="G4855" t="s">
        <v>208</v>
      </c>
      <c r="H4855" t="s">
        <v>209</v>
      </c>
      <c r="I4855" t="s">
        <v>41</v>
      </c>
      <c r="J4855" t="s">
        <v>42</v>
      </c>
      <c r="K4855" t="s">
        <v>30</v>
      </c>
      <c r="L4855" t="s">
        <v>31</v>
      </c>
      <c r="M4855" t="s">
        <v>140</v>
      </c>
      <c r="N4855">
        <v>139</v>
      </c>
      <c r="O4855">
        <v>6.0870116000000002E-2</v>
      </c>
      <c r="P4855">
        <v>4.8463272000000002E-2</v>
      </c>
      <c r="Q4855" t="str">
        <f t="shared" si="150"/>
        <v>25-34</v>
      </c>
      <c r="R4855" t="str">
        <f t="shared" si="151"/>
        <v>[kxuuIFpOXyO]|25-34|Female|PMTCT_ART_SUBNAT.N.Already.T_1|CY2024Q3</v>
      </c>
    </row>
    <row r="4856" spans="4:18" x14ac:dyDescent="0.2">
      <c r="D4856" t="s">
        <v>90</v>
      </c>
      <c r="E4856" t="s">
        <v>91</v>
      </c>
      <c r="F4856" t="s">
        <v>92</v>
      </c>
      <c r="G4856" t="s">
        <v>208</v>
      </c>
      <c r="H4856" t="s">
        <v>209</v>
      </c>
      <c r="I4856" t="s">
        <v>43</v>
      </c>
      <c r="J4856" t="s">
        <v>44</v>
      </c>
      <c r="K4856" t="s">
        <v>30</v>
      </c>
      <c r="L4856" t="s">
        <v>31</v>
      </c>
      <c r="M4856" t="s">
        <v>140</v>
      </c>
      <c r="N4856">
        <v>123</v>
      </c>
      <c r="O4856">
        <v>5.5124788000000001E-2</v>
      </c>
      <c r="P4856">
        <v>4.8463272000000002E-2</v>
      </c>
      <c r="Q4856" t="str">
        <f t="shared" si="150"/>
        <v>35-49</v>
      </c>
      <c r="R4856" t="str">
        <f t="shared" si="151"/>
        <v>[kxuuIFpOXyO]|35-49|Female|PMTCT_ART_SUBNAT.N.Already.T_1|CY2024Q3</v>
      </c>
    </row>
    <row r="4857" spans="4:18" x14ac:dyDescent="0.2">
      <c r="D4857" t="s">
        <v>93</v>
      </c>
      <c r="E4857" t="s">
        <v>94</v>
      </c>
      <c r="F4857" t="s">
        <v>95</v>
      </c>
      <c r="G4857" t="s">
        <v>208</v>
      </c>
      <c r="H4857" t="s">
        <v>209</v>
      </c>
      <c r="I4857" t="s">
        <v>38</v>
      </c>
      <c r="J4857" t="s">
        <v>39</v>
      </c>
      <c r="K4857" t="s">
        <v>30</v>
      </c>
      <c r="L4857" t="s">
        <v>31</v>
      </c>
      <c r="M4857" t="s">
        <v>140</v>
      </c>
      <c r="N4857">
        <v>84</v>
      </c>
      <c r="O4857">
        <v>9.2651699000000004E-2</v>
      </c>
      <c r="P4857">
        <v>4.5611956000000002E-2</v>
      </c>
      <c r="Q4857" t="str">
        <f t="shared" si="150"/>
        <v>15-24</v>
      </c>
      <c r="R4857" t="str">
        <f t="shared" si="151"/>
        <v>[PekKUkKHAzY]|15-24|Female|PMTCT_ART_SUBNAT.N.Already.T_1|CY2024Q3</v>
      </c>
    </row>
    <row r="4858" spans="4:18" x14ac:dyDescent="0.2">
      <c r="D4858" t="s">
        <v>93</v>
      </c>
      <c r="E4858" t="s">
        <v>94</v>
      </c>
      <c r="F4858" t="s">
        <v>95</v>
      </c>
      <c r="G4858" t="s">
        <v>208</v>
      </c>
      <c r="H4858" t="s">
        <v>209</v>
      </c>
      <c r="I4858" t="s">
        <v>41</v>
      </c>
      <c r="J4858" t="s">
        <v>42</v>
      </c>
      <c r="K4858" t="s">
        <v>30</v>
      </c>
      <c r="L4858" t="s">
        <v>31</v>
      </c>
      <c r="M4858" t="s">
        <v>140</v>
      </c>
      <c r="N4858">
        <v>169</v>
      </c>
      <c r="O4858">
        <v>6.0016666000000003E-2</v>
      </c>
      <c r="P4858">
        <v>4.5611956000000002E-2</v>
      </c>
      <c r="Q4858" t="str">
        <f t="shared" si="150"/>
        <v>25-34</v>
      </c>
      <c r="R4858" t="str">
        <f t="shared" si="151"/>
        <v>[PekKUkKHAzY]|25-34|Female|PMTCT_ART_SUBNAT.N.Already.T_1|CY2024Q3</v>
      </c>
    </row>
    <row r="4859" spans="4:18" x14ac:dyDescent="0.2">
      <c r="D4859" t="s">
        <v>93</v>
      </c>
      <c r="E4859" t="s">
        <v>94</v>
      </c>
      <c r="F4859" t="s">
        <v>95</v>
      </c>
      <c r="G4859" t="s">
        <v>208</v>
      </c>
      <c r="H4859" t="s">
        <v>209</v>
      </c>
      <c r="I4859" t="s">
        <v>43</v>
      </c>
      <c r="J4859" t="s">
        <v>44</v>
      </c>
      <c r="K4859" t="s">
        <v>30</v>
      </c>
      <c r="L4859" t="s">
        <v>31</v>
      </c>
      <c r="M4859" t="s">
        <v>140</v>
      </c>
      <c r="N4859">
        <v>151</v>
      </c>
      <c r="O4859">
        <v>5.2645659999999997E-2</v>
      </c>
      <c r="P4859">
        <v>4.5611956000000002E-2</v>
      </c>
      <c r="Q4859" t="str">
        <f t="shared" si="150"/>
        <v>35-49</v>
      </c>
      <c r="R4859" t="str">
        <f t="shared" si="151"/>
        <v>[PekKUkKHAzY]|35-49|Female|PMTCT_ART_SUBNAT.N.Already.T_1|CY2024Q3</v>
      </c>
    </row>
    <row r="4860" spans="4:18" x14ac:dyDescent="0.2">
      <c r="D4860" t="s">
        <v>96</v>
      </c>
      <c r="E4860" t="s">
        <v>97</v>
      </c>
      <c r="F4860" t="s">
        <v>98</v>
      </c>
      <c r="G4860" t="s">
        <v>208</v>
      </c>
      <c r="H4860" t="s">
        <v>209</v>
      </c>
      <c r="I4860" t="s">
        <v>38</v>
      </c>
      <c r="J4860" t="s">
        <v>39</v>
      </c>
      <c r="K4860" t="s">
        <v>30</v>
      </c>
      <c r="L4860" t="s">
        <v>31</v>
      </c>
      <c r="M4860" t="s">
        <v>140</v>
      </c>
      <c r="N4860">
        <v>130</v>
      </c>
      <c r="O4860">
        <v>8.3135952999999999E-2</v>
      </c>
      <c r="P4860">
        <v>3.6779740999999998E-2</v>
      </c>
      <c r="Q4860" t="str">
        <f t="shared" si="150"/>
        <v>15-24</v>
      </c>
      <c r="R4860" t="str">
        <f t="shared" si="151"/>
        <v>[am530wpaGvr]|15-24|Female|PMTCT_ART_SUBNAT.N.Already.T_1|CY2024Q3</v>
      </c>
    </row>
    <row r="4861" spans="4:18" x14ac:dyDescent="0.2">
      <c r="D4861" t="s">
        <v>96</v>
      </c>
      <c r="E4861" t="s">
        <v>97</v>
      </c>
      <c r="F4861" t="s">
        <v>98</v>
      </c>
      <c r="G4861" t="s">
        <v>208</v>
      </c>
      <c r="H4861" t="s">
        <v>209</v>
      </c>
      <c r="I4861" t="s">
        <v>41</v>
      </c>
      <c r="J4861" t="s">
        <v>42</v>
      </c>
      <c r="K4861" t="s">
        <v>30</v>
      </c>
      <c r="L4861" t="s">
        <v>31</v>
      </c>
      <c r="M4861" t="s">
        <v>140</v>
      </c>
      <c r="N4861">
        <v>250</v>
      </c>
      <c r="O4861">
        <v>5.2942258999999998E-2</v>
      </c>
      <c r="P4861">
        <v>3.6779740999999998E-2</v>
      </c>
      <c r="Q4861" t="str">
        <f t="shared" si="150"/>
        <v>25-34</v>
      </c>
      <c r="R4861" t="str">
        <f t="shared" si="151"/>
        <v>[am530wpaGvr]|25-34|Female|PMTCT_ART_SUBNAT.N.Already.T_1|CY2024Q3</v>
      </c>
    </row>
    <row r="4862" spans="4:18" x14ac:dyDescent="0.2">
      <c r="D4862" t="s">
        <v>96</v>
      </c>
      <c r="E4862" t="s">
        <v>97</v>
      </c>
      <c r="F4862" t="s">
        <v>98</v>
      </c>
      <c r="G4862" t="s">
        <v>208</v>
      </c>
      <c r="H4862" t="s">
        <v>209</v>
      </c>
      <c r="I4862" t="s">
        <v>43</v>
      </c>
      <c r="J4862" t="s">
        <v>44</v>
      </c>
      <c r="K4862" t="s">
        <v>30</v>
      </c>
      <c r="L4862" t="s">
        <v>31</v>
      </c>
      <c r="M4862" t="s">
        <v>140</v>
      </c>
      <c r="N4862">
        <v>226</v>
      </c>
      <c r="O4862">
        <v>4.7734421999999999E-2</v>
      </c>
      <c r="P4862">
        <v>3.6779740999999998E-2</v>
      </c>
      <c r="Q4862" t="str">
        <f t="shared" si="150"/>
        <v>35-49</v>
      </c>
      <c r="R4862" t="str">
        <f t="shared" si="151"/>
        <v>[am530wpaGvr]|35-49|Female|PMTCT_ART_SUBNAT.N.Already.T_1|CY2024Q3</v>
      </c>
    </row>
    <row r="4863" spans="4:18" x14ac:dyDescent="0.2">
      <c r="D4863" t="s">
        <v>99</v>
      </c>
      <c r="E4863" t="s">
        <v>100</v>
      </c>
      <c r="F4863" t="s">
        <v>101</v>
      </c>
      <c r="G4863" t="s">
        <v>208</v>
      </c>
      <c r="H4863" t="s">
        <v>209</v>
      </c>
      <c r="I4863" t="s">
        <v>38</v>
      </c>
      <c r="J4863" t="s">
        <v>39</v>
      </c>
      <c r="K4863" t="s">
        <v>30</v>
      </c>
      <c r="L4863" t="s">
        <v>31</v>
      </c>
      <c r="M4863" t="s">
        <v>140</v>
      </c>
      <c r="N4863">
        <v>436</v>
      </c>
      <c r="O4863">
        <v>6.5821644999999998E-2</v>
      </c>
      <c r="P4863">
        <v>2.2233652E-2</v>
      </c>
      <c r="Q4863" t="str">
        <f t="shared" si="150"/>
        <v>15-24</v>
      </c>
      <c r="R4863" t="str">
        <f t="shared" si="151"/>
        <v>[lLDyBx5XyUi]|15-24|Female|PMTCT_ART_SUBNAT.N.Already.T_1|CY2024Q3</v>
      </c>
    </row>
    <row r="4864" spans="4:18" x14ac:dyDescent="0.2">
      <c r="D4864" t="s">
        <v>99</v>
      </c>
      <c r="E4864" t="s">
        <v>100</v>
      </c>
      <c r="F4864" t="s">
        <v>101</v>
      </c>
      <c r="G4864" t="s">
        <v>208</v>
      </c>
      <c r="H4864" t="s">
        <v>209</v>
      </c>
      <c r="I4864" t="s">
        <v>41</v>
      </c>
      <c r="J4864" t="s">
        <v>42</v>
      </c>
      <c r="K4864" t="s">
        <v>30</v>
      </c>
      <c r="L4864" t="s">
        <v>31</v>
      </c>
      <c r="M4864" t="s">
        <v>140</v>
      </c>
      <c r="N4864">
        <v>831</v>
      </c>
      <c r="O4864">
        <v>3.6785495000000001E-2</v>
      </c>
      <c r="P4864">
        <v>2.2233652E-2</v>
      </c>
      <c r="Q4864" t="str">
        <f t="shared" si="150"/>
        <v>25-34</v>
      </c>
      <c r="R4864" t="str">
        <f t="shared" si="151"/>
        <v>[lLDyBx5XyUi]|25-34|Female|PMTCT_ART_SUBNAT.N.Already.T_1|CY2024Q3</v>
      </c>
    </row>
    <row r="4865" spans="4:18" x14ac:dyDescent="0.2">
      <c r="D4865" t="s">
        <v>99</v>
      </c>
      <c r="E4865" t="s">
        <v>100</v>
      </c>
      <c r="F4865" t="s">
        <v>101</v>
      </c>
      <c r="G4865" t="s">
        <v>208</v>
      </c>
      <c r="H4865" t="s">
        <v>209</v>
      </c>
      <c r="I4865" t="s">
        <v>43</v>
      </c>
      <c r="J4865" t="s">
        <v>44</v>
      </c>
      <c r="K4865" t="s">
        <v>30</v>
      </c>
      <c r="L4865" t="s">
        <v>31</v>
      </c>
      <c r="M4865" t="s">
        <v>140</v>
      </c>
      <c r="N4865">
        <v>618</v>
      </c>
      <c r="O4865">
        <v>3.9601475999999997E-2</v>
      </c>
      <c r="P4865">
        <v>2.2233652E-2</v>
      </c>
      <c r="Q4865" t="str">
        <f t="shared" si="150"/>
        <v>35-49</v>
      </c>
      <c r="R4865" t="str">
        <f t="shared" si="151"/>
        <v>[lLDyBx5XyUi]|35-49|Female|PMTCT_ART_SUBNAT.N.Already.T_1|CY2024Q3</v>
      </c>
    </row>
    <row r="4866" spans="4:18" x14ac:dyDescent="0.2">
      <c r="D4866" t="s">
        <v>102</v>
      </c>
      <c r="E4866" t="s">
        <v>103</v>
      </c>
      <c r="F4866" t="s">
        <v>104</v>
      </c>
      <c r="G4866" t="s">
        <v>208</v>
      </c>
      <c r="H4866" t="s">
        <v>209</v>
      </c>
      <c r="I4866" t="s">
        <v>38</v>
      </c>
      <c r="J4866" t="s">
        <v>39</v>
      </c>
      <c r="K4866" t="s">
        <v>30</v>
      </c>
      <c r="L4866" t="s">
        <v>31</v>
      </c>
      <c r="M4866" t="s">
        <v>140</v>
      </c>
      <c r="N4866">
        <v>189</v>
      </c>
      <c r="O4866">
        <v>7.1744788000000004E-2</v>
      </c>
      <c r="P4866">
        <v>3.1958239999999999E-2</v>
      </c>
      <c r="Q4866" t="str">
        <f t="shared" si="150"/>
        <v>15-24</v>
      </c>
      <c r="R4866" t="str">
        <f t="shared" si="151"/>
        <v>[TYnMSwzko3z]|15-24|Female|PMTCT_ART_SUBNAT.N.Already.T_1|CY2024Q3</v>
      </c>
    </row>
    <row r="4867" spans="4:18" x14ac:dyDescent="0.2">
      <c r="D4867" t="s">
        <v>102</v>
      </c>
      <c r="E4867" t="s">
        <v>103</v>
      </c>
      <c r="F4867" t="s">
        <v>104</v>
      </c>
      <c r="G4867" t="s">
        <v>208</v>
      </c>
      <c r="H4867" t="s">
        <v>209</v>
      </c>
      <c r="I4867" t="s">
        <v>41</v>
      </c>
      <c r="J4867" t="s">
        <v>42</v>
      </c>
      <c r="K4867" t="s">
        <v>30</v>
      </c>
      <c r="L4867" t="s">
        <v>31</v>
      </c>
      <c r="M4867" t="s">
        <v>140</v>
      </c>
      <c r="N4867">
        <v>362</v>
      </c>
      <c r="O4867">
        <v>4.5559729E-2</v>
      </c>
      <c r="P4867">
        <v>3.1958239999999999E-2</v>
      </c>
      <c r="Q4867" t="str">
        <f t="shared" ref="Q4867:Q4930" si="152">SUBSTITUTE(SUBSTITUTE($I4867,CHAR(61),""),CHAR(34),"")</f>
        <v>25-34</v>
      </c>
      <c r="R4867" t="str">
        <f t="shared" ref="R4867:R4930" si="153">IF($D4867&lt;&gt;"","["&amp;$E4867&amp;"]"&amp;"|"&amp;$Q4867&amp;"|"&amp;$K4867&amp;"|"&amp;$G4867&amp;"|"&amp;IF($G4867="TX_CURR_SUBNAT.R","CY2023Q4",$M4867),"")</f>
        <v>[TYnMSwzko3z]|25-34|Female|PMTCT_ART_SUBNAT.N.Already.T_1|CY2024Q3</v>
      </c>
    </row>
    <row r="4868" spans="4:18" x14ac:dyDescent="0.2">
      <c r="D4868" t="s">
        <v>102</v>
      </c>
      <c r="E4868" t="s">
        <v>103</v>
      </c>
      <c r="F4868" t="s">
        <v>104</v>
      </c>
      <c r="G4868" t="s">
        <v>208</v>
      </c>
      <c r="H4868" t="s">
        <v>209</v>
      </c>
      <c r="I4868" t="s">
        <v>43</v>
      </c>
      <c r="J4868" t="s">
        <v>44</v>
      </c>
      <c r="K4868" t="s">
        <v>30</v>
      </c>
      <c r="L4868" t="s">
        <v>31</v>
      </c>
      <c r="M4868" t="s">
        <v>140</v>
      </c>
      <c r="N4868">
        <v>281</v>
      </c>
      <c r="O4868">
        <v>4.5452111000000003E-2</v>
      </c>
      <c r="P4868">
        <v>3.1958239999999999E-2</v>
      </c>
      <c r="Q4868" t="str">
        <f t="shared" si="152"/>
        <v>35-49</v>
      </c>
      <c r="R4868" t="str">
        <f t="shared" si="153"/>
        <v>[TYnMSwzko3z]|35-49|Female|PMTCT_ART_SUBNAT.N.Already.T_1|CY2024Q3</v>
      </c>
    </row>
    <row r="4869" spans="4:18" x14ac:dyDescent="0.2">
      <c r="D4869" t="s">
        <v>105</v>
      </c>
      <c r="E4869" t="s">
        <v>106</v>
      </c>
      <c r="F4869" t="s">
        <v>107</v>
      </c>
      <c r="G4869" t="s">
        <v>208</v>
      </c>
      <c r="H4869" t="s">
        <v>209</v>
      </c>
      <c r="I4869" t="s">
        <v>38</v>
      </c>
      <c r="J4869" t="s">
        <v>39</v>
      </c>
      <c r="K4869" t="s">
        <v>30</v>
      </c>
      <c r="L4869" t="s">
        <v>31</v>
      </c>
      <c r="M4869" t="s">
        <v>140</v>
      </c>
      <c r="N4869">
        <v>332</v>
      </c>
      <c r="O4869">
        <v>6.7970849999999999E-2</v>
      </c>
      <c r="P4869">
        <v>2.4005190999999999E-2</v>
      </c>
      <c r="Q4869" t="str">
        <f t="shared" si="152"/>
        <v>15-24</v>
      </c>
      <c r="R4869" t="str">
        <f t="shared" si="153"/>
        <v>[fyEoGEPERdI]|15-24|Female|PMTCT_ART_SUBNAT.N.Already.T_1|CY2024Q3</v>
      </c>
    </row>
    <row r="4870" spans="4:18" x14ac:dyDescent="0.2">
      <c r="D4870" t="s">
        <v>105</v>
      </c>
      <c r="E4870" t="s">
        <v>106</v>
      </c>
      <c r="F4870" t="s">
        <v>107</v>
      </c>
      <c r="G4870" t="s">
        <v>208</v>
      </c>
      <c r="H4870" t="s">
        <v>209</v>
      </c>
      <c r="I4870" t="s">
        <v>41</v>
      </c>
      <c r="J4870" t="s">
        <v>42</v>
      </c>
      <c r="K4870" t="s">
        <v>30</v>
      </c>
      <c r="L4870" t="s">
        <v>31</v>
      </c>
      <c r="M4870" t="s">
        <v>140</v>
      </c>
      <c r="N4870">
        <v>640</v>
      </c>
      <c r="O4870">
        <v>3.8779242999999998E-2</v>
      </c>
      <c r="P4870">
        <v>2.4005190999999999E-2</v>
      </c>
      <c r="Q4870" t="str">
        <f t="shared" si="152"/>
        <v>25-34</v>
      </c>
      <c r="R4870" t="str">
        <f t="shared" si="153"/>
        <v>[fyEoGEPERdI]|25-34|Female|PMTCT_ART_SUBNAT.N.Already.T_1|CY2024Q3</v>
      </c>
    </row>
    <row r="4871" spans="4:18" x14ac:dyDescent="0.2">
      <c r="D4871" t="s">
        <v>105</v>
      </c>
      <c r="E4871" t="s">
        <v>106</v>
      </c>
      <c r="F4871" t="s">
        <v>107</v>
      </c>
      <c r="G4871" t="s">
        <v>208</v>
      </c>
      <c r="H4871" t="s">
        <v>209</v>
      </c>
      <c r="I4871" t="s">
        <v>43</v>
      </c>
      <c r="J4871" t="s">
        <v>44</v>
      </c>
      <c r="K4871" t="s">
        <v>30</v>
      </c>
      <c r="L4871" t="s">
        <v>31</v>
      </c>
      <c r="M4871" t="s">
        <v>140</v>
      </c>
      <c r="N4871">
        <v>513</v>
      </c>
      <c r="O4871">
        <v>3.7271875000000003E-2</v>
      </c>
      <c r="P4871">
        <v>2.4005190999999999E-2</v>
      </c>
      <c r="Q4871" t="str">
        <f t="shared" si="152"/>
        <v>35-49</v>
      </c>
      <c r="R4871" t="str">
        <f t="shared" si="153"/>
        <v>[fyEoGEPERdI]|35-49|Female|PMTCT_ART_SUBNAT.N.Already.T_1|CY2024Q3</v>
      </c>
    </row>
    <row r="4872" spans="4:18" x14ac:dyDescent="0.2">
      <c r="D4872" t="s">
        <v>108</v>
      </c>
      <c r="E4872" t="s">
        <v>109</v>
      </c>
      <c r="F4872" t="s">
        <v>110</v>
      </c>
      <c r="G4872" t="s">
        <v>208</v>
      </c>
      <c r="H4872" t="s">
        <v>209</v>
      </c>
      <c r="I4872" t="s">
        <v>38</v>
      </c>
      <c r="J4872" t="s">
        <v>39</v>
      </c>
      <c r="K4872" t="s">
        <v>30</v>
      </c>
      <c r="L4872" t="s">
        <v>31</v>
      </c>
      <c r="M4872" t="s">
        <v>140</v>
      </c>
      <c r="N4872">
        <v>342</v>
      </c>
      <c r="O4872">
        <v>6.6415573000000006E-2</v>
      </c>
      <c r="P4872">
        <v>2.3698351999999999E-2</v>
      </c>
      <c r="Q4872" t="str">
        <f t="shared" si="152"/>
        <v>15-24</v>
      </c>
      <c r="R4872" t="str">
        <f t="shared" si="153"/>
        <v>[umc2n1Z4wNv]|15-24|Female|PMTCT_ART_SUBNAT.N.Already.T_1|CY2024Q3</v>
      </c>
    </row>
    <row r="4873" spans="4:18" x14ac:dyDescent="0.2">
      <c r="D4873" t="s">
        <v>108</v>
      </c>
      <c r="E4873" t="s">
        <v>109</v>
      </c>
      <c r="F4873" t="s">
        <v>110</v>
      </c>
      <c r="G4873" t="s">
        <v>208</v>
      </c>
      <c r="H4873" t="s">
        <v>209</v>
      </c>
      <c r="I4873" t="s">
        <v>41</v>
      </c>
      <c r="J4873" t="s">
        <v>42</v>
      </c>
      <c r="K4873" t="s">
        <v>30</v>
      </c>
      <c r="L4873" t="s">
        <v>31</v>
      </c>
      <c r="M4873" t="s">
        <v>140</v>
      </c>
      <c r="N4873">
        <v>642</v>
      </c>
      <c r="O4873">
        <v>3.5903203000000002E-2</v>
      </c>
      <c r="P4873">
        <v>2.3698351999999999E-2</v>
      </c>
      <c r="Q4873" t="str">
        <f t="shared" si="152"/>
        <v>25-34</v>
      </c>
      <c r="R4873" t="str">
        <f t="shared" si="153"/>
        <v>[umc2n1Z4wNv]|25-34|Female|PMTCT_ART_SUBNAT.N.Already.T_1|CY2024Q3</v>
      </c>
    </row>
    <row r="4874" spans="4:18" x14ac:dyDescent="0.2">
      <c r="D4874" t="s">
        <v>108</v>
      </c>
      <c r="E4874" t="s">
        <v>109</v>
      </c>
      <c r="F4874" t="s">
        <v>110</v>
      </c>
      <c r="G4874" t="s">
        <v>208</v>
      </c>
      <c r="H4874" t="s">
        <v>209</v>
      </c>
      <c r="I4874" t="s">
        <v>43</v>
      </c>
      <c r="J4874" t="s">
        <v>44</v>
      </c>
      <c r="K4874" t="s">
        <v>30</v>
      </c>
      <c r="L4874" t="s">
        <v>31</v>
      </c>
      <c r="M4874" t="s">
        <v>140</v>
      </c>
      <c r="N4874">
        <v>516</v>
      </c>
      <c r="O4874">
        <v>3.7383632999999999E-2</v>
      </c>
      <c r="P4874">
        <v>2.3698351999999999E-2</v>
      </c>
      <c r="Q4874" t="str">
        <f t="shared" si="152"/>
        <v>35-49</v>
      </c>
      <c r="R4874" t="str">
        <f t="shared" si="153"/>
        <v>[umc2n1Z4wNv]|35-49|Female|PMTCT_ART_SUBNAT.N.Already.T_1|CY2024Q3</v>
      </c>
    </row>
    <row r="4875" spans="4:18" x14ac:dyDescent="0.2">
      <c r="D4875" t="s">
        <v>111</v>
      </c>
      <c r="E4875" t="s">
        <v>112</v>
      </c>
      <c r="F4875" t="s">
        <v>113</v>
      </c>
      <c r="G4875" t="s">
        <v>208</v>
      </c>
      <c r="H4875" t="s">
        <v>209</v>
      </c>
      <c r="I4875" t="s">
        <v>38</v>
      </c>
      <c r="J4875" t="s">
        <v>39</v>
      </c>
      <c r="K4875" t="s">
        <v>30</v>
      </c>
      <c r="L4875" t="s">
        <v>31</v>
      </c>
      <c r="M4875" t="s">
        <v>140</v>
      </c>
      <c r="N4875">
        <v>157</v>
      </c>
      <c r="O4875">
        <v>6.9266469999999997E-2</v>
      </c>
      <c r="P4875">
        <v>3.4755531999999999E-2</v>
      </c>
      <c r="Q4875" t="str">
        <f t="shared" si="152"/>
        <v>15-24</v>
      </c>
      <c r="R4875" t="str">
        <f t="shared" si="153"/>
        <v>[AZyWpGzhcaA]|15-24|Female|PMTCT_ART_SUBNAT.N.Already.T_1|CY2024Q3</v>
      </c>
    </row>
    <row r="4876" spans="4:18" x14ac:dyDescent="0.2">
      <c r="D4876" t="s">
        <v>111</v>
      </c>
      <c r="E4876" t="s">
        <v>112</v>
      </c>
      <c r="F4876" t="s">
        <v>113</v>
      </c>
      <c r="G4876" t="s">
        <v>208</v>
      </c>
      <c r="H4876" t="s">
        <v>209</v>
      </c>
      <c r="I4876" t="s">
        <v>41</v>
      </c>
      <c r="J4876" t="s">
        <v>42</v>
      </c>
      <c r="K4876" t="s">
        <v>30</v>
      </c>
      <c r="L4876" t="s">
        <v>31</v>
      </c>
      <c r="M4876" t="s">
        <v>140</v>
      </c>
      <c r="N4876">
        <v>289</v>
      </c>
      <c r="O4876">
        <v>4.4877197000000001E-2</v>
      </c>
      <c r="P4876">
        <v>3.4755531999999999E-2</v>
      </c>
      <c r="Q4876" t="str">
        <f t="shared" si="152"/>
        <v>25-34</v>
      </c>
      <c r="R4876" t="str">
        <f t="shared" si="153"/>
        <v>[AZyWpGzhcaA]|25-34|Female|PMTCT_ART_SUBNAT.N.Already.T_1|CY2024Q3</v>
      </c>
    </row>
    <row r="4877" spans="4:18" x14ac:dyDescent="0.2">
      <c r="D4877" t="s">
        <v>111</v>
      </c>
      <c r="E4877" t="s">
        <v>112</v>
      </c>
      <c r="F4877" t="s">
        <v>113</v>
      </c>
      <c r="G4877" t="s">
        <v>208</v>
      </c>
      <c r="H4877" t="s">
        <v>209</v>
      </c>
      <c r="I4877" t="s">
        <v>43</v>
      </c>
      <c r="J4877" t="s">
        <v>44</v>
      </c>
      <c r="K4877" t="s">
        <v>30</v>
      </c>
      <c r="L4877" t="s">
        <v>31</v>
      </c>
      <c r="M4877" t="s">
        <v>140</v>
      </c>
      <c r="N4877">
        <v>225</v>
      </c>
      <c r="O4877">
        <v>4.5821724000000001E-2</v>
      </c>
      <c r="P4877">
        <v>3.4755531999999999E-2</v>
      </c>
      <c r="Q4877" t="str">
        <f t="shared" si="152"/>
        <v>35-49</v>
      </c>
      <c r="R4877" t="str">
        <f t="shared" si="153"/>
        <v>[AZyWpGzhcaA]|35-49|Female|PMTCT_ART_SUBNAT.N.Already.T_1|CY2024Q3</v>
      </c>
    </row>
    <row r="4878" spans="4:18" x14ac:dyDescent="0.2">
      <c r="D4878" t="s">
        <v>114</v>
      </c>
      <c r="E4878" t="s">
        <v>115</v>
      </c>
      <c r="F4878" t="s">
        <v>116</v>
      </c>
      <c r="G4878" t="s">
        <v>208</v>
      </c>
      <c r="H4878" t="s">
        <v>209</v>
      </c>
      <c r="I4878" t="s">
        <v>38</v>
      </c>
      <c r="J4878" t="s">
        <v>39</v>
      </c>
      <c r="K4878" t="s">
        <v>30</v>
      </c>
      <c r="L4878" t="s">
        <v>31</v>
      </c>
      <c r="M4878" t="s">
        <v>140</v>
      </c>
      <c r="N4878">
        <v>131</v>
      </c>
      <c r="O4878">
        <v>7.7447674999999994E-2</v>
      </c>
      <c r="P4878">
        <v>3.7117441000000001E-2</v>
      </c>
      <c r="Q4878" t="str">
        <f t="shared" si="152"/>
        <v>15-24</v>
      </c>
      <c r="R4878" t="str">
        <f t="shared" si="153"/>
        <v>[ir8wuHHzoSs]|15-24|Female|PMTCT_ART_SUBNAT.N.Already.T_1|CY2024Q3</v>
      </c>
    </row>
    <row r="4879" spans="4:18" x14ac:dyDescent="0.2">
      <c r="D4879" t="s">
        <v>114</v>
      </c>
      <c r="E4879" t="s">
        <v>115</v>
      </c>
      <c r="F4879" t="s">
        <v>116</v>
      </c>
      <c r="G4879" t="s">
        <v>208</v>
      </c>
      <c r="H4879" t="s">
        <v>209</v>
      </c>
      <c r="I4879" t="s">
        <v>41</v>
      </c>
      <c r="J4879" t="s">
        <v>42</v>
      </c>
      <c r="K4879" t="s">
        <v>30</v>
      </c>
      <c r="L4879" t="s">
        <v>31</v>
      </c>
      <c r="M4879" t="s">
        <v>140</v>
      </c>
      <c r="N4879">
        <v>241</v>
      </c>
      <c r="O4879">
        <v>4.9705829999999999E-2</v>
      </c>
      <c r="P4879">
        <v>3.7117441000000001E-2</v>
      </c>
      <c r="Q4879" t="str">
        <f t="shared" si="152"/>
        <v>25-34</v>
      </c>
      <c r="R4879" t="str">
        <f t="shared" si="153"/>
        <v>[ir8wuHHzoSs]|25-34|Female|PMTCT_ART_SUBNAT.N.Already.T_1|CY2024Q3</v>
      </c>
    </row>
    <row r="4880" spans="4:18" x14ac:dyDescent="0.2">
      <c r="D4880" t="s">
        <v>114</v>
      </c>
      <c r="E4880" t="s">
        <v>115</v>
      </c>
      <c r="F4880" t="s">
        <v>116</v>
      </c>
      <c r="G4880" t="s">
        <v>208</v>
      </c>
      <c r="H4880" t="s">
        <v>209</v>
      </c>
      <c r="I4880" t="s">
        <v>43</v>
      </c>
      <c r="J4880" t="s">
        <v>44</v>
      </c>
      <c r="K4880" t="s">
        <v>30</v>
      </c>
      <c r="L4880" t="s">
        <v>31</v>
      </c>
      <c r="M4880" t="s">
        <v>140</v>
      </c>
      <c r="N4880">
        <v>195</v>
      </c>
      <c r="O4880">
        <v>4.7083016999999998E-2</v>
      </c>
      <c r="P4880">
        <v>3.7117441000000001E-2</v>
      </c>
      <c r="Q4880" t="str">
        <f t="shared" si="152"/>
        <v>35-49</v>
      </c>
      <c r="R4880" t="str">
        <f t="shared" si="153"/>
        <v>[ir8wuHHzoSs]|35-49|Female|PMTCT_ART_SUBNAT.N.Already.T_1|CY2024Q3</v>
      </c>
    </row>
    <row r="4881" spans="4:18" x14ac:dyDescent="0.2">
      <c r="D4881" t="s">
        <v>117</v>
      </c>
      <c r="E4881" t="s">
        <v>118</v>
      </c>
      <c r="F4881" t="s">
        <v>119</v>
      </c>
      <c r="G4881" t="s">
        <v>208</v>
      </c>
      <c r="H4881" t="s">
        <v>209</v>
      </c>
      <c r="I4881" t="s">
        <v>38</v>
      </c>
      <c r="J4881" t="s">
        <v>39</v>
      </c>
      <c r="K4881" t="s">
        <v>30</v>
      </c>
      <c r="L4881" t="s">
        <v>31</v>
      </c>
      <c r="M4881" t="s">
        <v>140</v>
      </c>
      <c r="N4881">
        <v>151</v>
      </c>
      <c r="O4881">
        <v>7.8244669000000003E-2</v>
      </c>
      <c r="P4881">
        <v>3.5018018999999997E-2</v>
      </c>
      <c r="Q4881" t="str">
        <f t="shared" si="152"/>
        <v>15-24</v>
      </c>
      <c r="R4881" t="str">
        <f t="shared" si="153"/>
        <v>[oiPR2CiVJbf]|15-24|Female|PMTCT_ART_SUBNAT.N.Already.T_1|CY2024Q3</v>
      </c>
    </row>
    <row r="4882" spans="4:18" x14ac:dyDescent="0.2">
      <c r="D4882" t="s">
        <v>117</v>
      </c>
      <c r="E4882" t="s">
        <v>118</v>
      </c>
      <c r="F4882" t="s">
        <v>119</v>
      </c>
      <c r="G4882" t="s">
        <v>208</v>
      </c>
      <c r="H4882" t="s">
        <v>209</v>
      </c>
      <c r="I4882" t="s">
        <v>41</v>
      </c>
      <c r="J4882" t="s">
        <v>42</v>
      </c>
      <c r="K4882" t="s">
        <v>30</v>
      </c>
      <c r="L4882" t="s">
        <v>31</v>
      </c>
      <c r="M4882" t="s">
        <v>140</v>
      </c>
      <c r="N4882">
        <v>297</v>
      </c>
      <c r="O4882">
        <v>4.6043214999999998E-2</v>
      </c>
      <c r="P4882">
        <v>3.5018018999999997E-2</v>
      </c>
      <c r="Q4882" t="str">
        <f t="shared" si="152"/>
        <v>25-34</v>
      </c>
      <c r="R4882" t="str">
        <f t="shared" si="153"/>
        <v>[oiPR2CiVJbf]|25-34|Female|PMTCT_ART_SUBNAT.N.Already.T_1|CY2024Q3</v>
      </c>
    </row>
    <row r="4883" spans="4:18" x14ac:dyDescent="0.2">
      <c r="D4883" t="s">
        <v>117</v>
      </c>
      <c r="E4883" t="s">
        <v>118</v>
      </c>
      <c r="F4883" t="s">
        <v>119</v>
      </c>
      <c r="G4883" t="s">
        <v>208</v>
      </c>
      <c r="H4883" t="s">
        <v>209</v>
      </c>
      <c r="I4883" t="s">
        <v>43</v>
      </c>
      <c r="J4883" t="s">
        <v>44</v>
      </c>
      <c r="K4883" t="s">
        <v>30</v>
      </c>
      <c r="L4883" t="s">
        <v>31</v>
      </c>
      <c r="M4883" t="s">
        <v>140</v>
      </c>
      <c r="N4883">
        <v>247</v>
      </c>
      <c r="O4883">
        <v>4.2821519000000002E-2</v>
      </c>
      <c r="P4883">
        <v>3.5018018999999997E-2</v>
      </c>
      <c r="Q4883" t="str">
        <f t="shared" si="152"/>
        <v>35-49</v>
      </c>
      <c r="R4883" t="str">
        <f t="shared" si="153"/>
        <v>[oiPR2CiVJbf]|35-49|Female|PMTCT_ART_SUBNAT.N.Already.T_1|CY2024Q3</v>
      </c>
    </row>
    <row r="4884" spans="4:18" x14ac:dyDescent="0.2">
      <c r="D4884" t="s">
        <v>120</v>
      </c>
      <c r="E4884" t="s">
        <v>121</v>
      </c>
      <c r="F4884" t="s">
        <v>122</v>
      </c>
      <c r="G4884" t="s">
        <v>208</v>
      </c>
      <c r="H4884" t="s">
        <v>209</v>
      </c>
      <c r="I4884" t="s">
        <v>38</v>
      </c>
      <c r="J4884" t="s">
        <v>39</v>
      </c>
      <c r="K4884" t="s">
        <v>30</v>
      </c>
      <c r="L4884" t="s">
        <v>31</v>
      </c>
      <c r="M4884" t="s">
        <v>140</v>
      </c>
      <c r="N4884">
        <v>393</v>
      </c>
      <c r="O4884">
        <v>7.2471244000000004E-2</v>
      </c>
      <c r="P4884">
        <v>2.1513535E-2</v>
      </c>
      <c r="Q4884" t="str">
        <f t="shared" si="152"/>
        <v>15-24</v>
      </c>
      <c r="R4884" t="str">
        <f t="shared" si="153"/>
        <v>[mxqa3CDFmIT]|15-24|Female|PMTCT_ART_SUBNAT.N.Already.T_1|CY2024Q3</v>
      </c>
    </row>
    <row r="4885" spans="4:18" x14ac:dyDescent="0.2">
      <c r="D4885" t="s">
        <v>120</v>
      </c>
      <c r="E4885" t="s">
        <v>121</v>
      </c>
      <c r="F4885" t="s">
        <v>122</v>
      </c>
      <c r="G4885" t="s">
        <v>208</v>
      </c>
      <c r="H4885" t="s">
        <v>209</v>
      </c>
      <c r="I4885" t="s">
        <v>41</v>
      </c>
      <c r="J4885" t="s">
        <v>42</v>
      </c>
      <c r="K4885" t="s">
        <v>30</v>
      </c>
      <c r="L4885" t="s">
        <v>31</v>
      </c>
      <c r="M4885" t="s">
        <v>140</v>
      </c>
      <c r="N4885">
        <v>894</v>
      </c>
      <c r="O4885">
        <v>3.6933368000000001E-2</v>
      </c>
      <c r="P4885">
        <v>2.1513535E-2</v>
      </c>
      <c r="Q4885" t="str">
        <f t="shared" si="152"/>
        <v>25-34</v>
      </c>
      <c r="R4885" t="str">
        <f t="shared" si="153"/>
        <v>[mxqa3CDFmIT]|25-34|Female|PMTCT_ART_SUBNAT.N.Already.T_1|CY2024Q3</v>
      </c>
    </row>
    <row r="4886" spans="4:18" x14ac:dyDescent="0.2">
      <c r="D4886" t="s">
        <v>120</v>
      </c>
      <c r="E4886" t="s">
        <v>121</v>
      </c>
      <c r="F4886" t="s">
        <v>122</v>
      </c>
      <c r="G4886" t="s">
        <v>208</v>
      </c>
      <c r="H4886" t="s">
        <v>209</v>
      </c>
      <c r="I4886" t="s">
        <v>43</v>
      </c>
      <c r="J4886" t="s">
        <v>44</v>
      </c>
      <c r="K4886" t="s">
        <v>30</v>
      </c>
      <c r="L4886" t="s">
        <v>31</v>
      </c>
      <c r="M4886" t="s">
        <v>140</v>
      </c>
      <c r="N4886">
        <v>699</v>
      </c>
      <c r="O4886">
        <v>3.7632471000000001E-2</v>
      </c>
      <c r="P4886">
        <v>2.1513535E-2</v>
      </c>
      <c r="Q4886" t="str">
        <f t="shared" si="152"/>
        <v>35-49</v>
      </c>
      <c r="R4886" t="str">
        <f t="shared" si="153"/>
        <v>[mxqa3CDFmIT]|35-49|Female|PMTCT_ART_SUBNAT.N.Already.T_1|CY2024Q3</v>
      </c>
    </row>
    <row r="4887" spans="4:18" x14ac:dyDescent="0.2">
      <c r="D4887" t="s">
        <v>123</v>
      </c>
      <c r="E4887" t="s">
        <v>124</v>
      </c>
      <c r="F4887" t="s">
        <v>125</v>
      </c>
      <c r="G4887" t="s">
        <v>208</v>
      </c>
      <c r="H4887" t="s">
        <v>209</v>
      </c>
      <c r="I4887" t="s">
        <v>38</v>
      </c>
      <c r="J4887" t="s">
        <v>39</v>
      </c>
      <c r="K4887" t="s">
        <v>30</v>
      </c>
      <c r="L4887" t="s">
        <v>31</v>
      </c>
      <c r="M4887" t="s">
        <v>140</v>
      </c>
      <c r="N4887">
        <v>36</v>
      </c>
      <c r="O4887">
        <v>9.6961832999999997E-2</v>
      </c>
      <c r="P4887">
        <v>6.3962838999999994E-2</v>
      </c>
      <c r="Q4887" t="str">
        <f t="shared" si="152"/>
        <v>15-24</v>
      </c>
      <c r="R4887" t="str">
        <f t="shared" si="153"/>
        <v>[wNqJp8oRIcF]|15-24|Female|PMTCT_ART_SUBNAT.N.Already.T_1|CY2024Q3</v>
      </c>
    </row>
    <row r="4888" spans="4:18" x14ac:dyDescent="0.2">
      <c r="D4888" t="s">
        <v>123</v>
      </c>
      <c r="E4888" t="s">
        <v>124</v>
      </c>
      <c r="F4888" t="s">
        <v>125</v>
      </c>
      <c r="G4888" t="s">
        <v>208</v>
      </c>
      <c r="H4888" t="s">
        <v>209</v>
      </c>
      <c r="I4888" t="s">
        <v>41</v>
      </c>
      <c r="J4888" t="s">
        <v>42</v>
      </c>
      <c r="K4888" t="s">
        <v>30</v>
      </c>
      <c r="L4888" t="s">
        <v>31</v>
      </c>
      <c r="M4888" t="s">
        <v>140</v>
      </c>
      <c r="N4888">
        <v>72</v>
      </c>
      <c r="O4888">
        <v>7.1918733999999998E-2</v>
      </c>
      <c r="P4888">
        <v>6.3962838999999994E-2</v>
      </c>
      <c r="Q4888" t="str">
        <f t="shared" si="152"/>
        <v>25-34</v>
      </c>
      <c r="R4888" t="str">
        <f t="shared" si="153"/>
        <v>[wNqJp8oRIcF]|25-34|Female|PMTCT_ART_SUBNAT.N.Already.T_1|CY2024Q3</v>
      </c>
    </row>
    <row r="4889" spans="4:18" x14ac:dyDescent="0.2">
      <c r="D4889" t="s">
        <v>123</v>
      </c>
      <c r="E4889" t="s">
        <v>124</v>
      </c>
      <c r="F4889" t="s">
        <v>125</v>
      </c>
      <c r="G4889" t="s">
        <v>208</v>
      </c>
      <c r="H4889" t="s">
        <v>209</v>
      </c>
      <c r="I4889" t="s">
        <v>43</v>
      </c>
      <c r="J4889" t="s">
        <v>44</v>
      </c>
      <c r="K4889" t="s">
        <v>30</v>
      </c>
      <c r="L4889" t="s">
        <v>31</v>
      </c>
      <c r="M4889" t="s">
        <v>140</v>
      </c>
      <c r="N4889">
        <v>55</v>
      </c>
      <c r="O4889">
        <v>6.6843655000000002E-2</v>
      </c>
      <c r="P4889">
        <v>6.3962838999999994E-2</v>
      </c>
      <c r="Q4889" t="str">
        <f t="shared" si="152"/>
        <v>35-49</v>
      </c>
      <c r="R4889" t="str">
        <f t="shared" si="153"/>
        <v>[wNqJp8oRIcF]|35-49|Female|PMTCT_ART_SUBNAT.N.Already.T_1|CY2024Q3</v>
      </c>
    </row>
    <row r="4890" spans="4:18" x14ac:dyDescent="0.2">
      <c r="D4890" t="s">
        <v>126</v>
      </c>
      <c r="E4890" t="s">
        <v>127</v>
      </c>
      <c r="F4890" t="s">
        <v>128</v>
      </c>
      <c r="G4890" t="s">
        <v>208</v>
      </c>
      <c r="H4890" t="s">
        <v>209</v>
      </c>
      <c r="I4890" t="s">
        <v>38</v>
      </c>
      <c r="J4890" t="s">
        <v>39</v>
      </c>
      <c r="K4890" t="s">
        <v>30</v>
      </c>
      <c r="L4890" t="s">
        <v>31</v>
      </c>
      <c r="M4890" t="s">
        <v>140</v>
      </c>
      <c r="N4890">
        <v>218</v>
      </c>
      <c r="O4890">
        <v>7.3732223E-2</v>
      </c>
      <c r="P4890">
        <v>3.0304281999999998E-2</v>
      </c>
      <c r="Q4890" t="str">
        <f t="shared" si="152"/>
        <v>15-24</v>
      </c>
      <c r="R4890" t="str">
        <f t="shared" si="153"/>
        <v>[ul0y9diGujK]|15-24|Female|PMTCT_ART_SUBNAT.N.Already.T_1|CY2024Q3</v>
      </c>
    </row>
    <row r="4891" spans="4:18" x14ac:dyDescent="0.2">
      <c r="D4891" t="s">
        <v>126</v>
      </c>
      <c r="E4891" t="s">
        <v>127</v>
      </c>
      <c r="F4891" t="s">
        <v>128</v>
      </c>
      <c r="G4891" t="s">
        <v>208</v>
      </c>
      <c r="H4891" t="s">
        <v>209</v>
      </c>
      <c r="I4891" t="s">
        <v>41</v>
      </c>
      <c r="J4891" t="s">
        <v>42</v>
      </c>
      <c r="K4891" t="s">
        <v>30</v>
      </c>
      <c r="L4891" t="s">
        <v>31</v>
      </c>
      <c r="M4891" t="s">
        <v>140</v>
      </c>
      <c r="N4891">
        <v>410</v>
      </c>
      <c r="O4891">
        <v>4.2630084999999998E-2</v>
      </c>
      <c r="P4891">
        <v>3.0304281999999998E-2</v>
      </c>
      <c r="Q4891" t="str">
        <f t="shared" si="152"/>
        <v>25-34</v>
      </c>
      <c r="R4891" t="str">
        <f t="shared" si="153"/>
        <v>[ul0y9diGujK]|25-34|Female|PMTCT_ART_SUBNAT.N.Already.T_1|CY2024Q3</v>
      </c>
    </row>
    <row r="4892" spans="4:18" x14ac:dyDescent="0.2">
      <c r="D4892" t="s">
        <v>126</v>
      </c>
      <c r="E4892" t="s">
        <v>127</v>
      </c>
      <c r="F4892" t="s">
        <v>128</v>
      </c>
      <c r="G4892" t="s">
        <v>208</v>
      </c>
      <c r="H4892" t="s">
        <v>209</v>
      </c>
      <c r="I4892" t="s">
        <v>43</v>
      </c>
      <c r="J4892" t="s">
        <v>44</v>
      </c>
      <c r="K4892" t="s">
        <v>30</v>
      </c>
      <c r="L4892" t="s">
        <v>31</v>
      </c>
      <c r="M4892" t="s">
        <v>140</v>
      </c>
      <c r="N4892">
        <v>347</v>
      </c>
      <c r="O4892">
        <v>4.0882534999999998E-2</v>
      </c>
      <c r="P4892">
        <v>3.0304281999999998E-2</v>
      </c>
      <c r="Q4892" t="str">
        <f t="shared" si="152"/>
        <v>35-49</v>
      </c>
      <c r="R4892" t="str">
        <f t="shared" si="153"/>
        <v>[ul0y9diGujK]|35-49|Female|PMTCT_ART_SUBNAT.N.Already.T_1|CY2024Q3</v>
      </c>
    </row>
    <row r="4893" spans="4:18" x14ac:dyDescent="0.2">
      <c r="D4893" t="s">
        <v>129</v>
      </c>
      <c r="E4893" t="s">
        <v>130</v>
      </c>
      <c r="F4893" t="s">
        <v>131</v>
      </c>
      <c r="G4893" t="s">
        <v>208</v>
      </c>
      <c r="H4893" t="s">
        <v>209</v>
      </c>
      <c r="I4893" t="s">
        <v>38</v>
      </c>
      <c r="J4893" t="s">
        <v>39</v>
      </c>
      <c r="K4893" t="s">
        <v>30</v>
      </c>
      <c r="L4893" t="s">
        <v>31</v>
      </c>
      <c r="M4893" t="s">
        <v>140</v>
      </c>
      <c r="N4893">
        <v>214</v>
      </c>
      <c r="O4893">
        <v>6.9599044999999998E-2</v>
      </c>
      <c r="P4893">
        <v>3.0898938000000001E-2</v>
      </c>
      <c r="Q4893" t="str">
        <f t="shared" si="152"/>
        <v>15-24</v>
      </c>
      <c r="R4893" t="str">
        <f t="shared" si="153"/>
        <v>[U8c0so51kT6]|15-24|Female|PMTCT_ART_SUBNAT.N.Already.T_1|CY2024Q3</v>
      </c>
    </row>
    <row r="4894" spans="4:18" x14ac:dyDescent="0.2">
      <c r="D4894" t="s">
        <v>129</v>
      </c>
      <c r="E4894" t="s">
        <v>130</v>
      </c>
      <c r="F4894" t="s">
        <v>131</v>
      </c>
      <c r="G4894" t="s">
        <v>208</v>
      </c>
      <c r="H4894" t="s">
        <v>209</v>
      </c>
      <c r="I4894" t="s">
        <v>41</v>
      </c>
      <c r="J4894" t="s">
        <v>42</v>
      </c>
      <c r="K4894" t="s">
        <v>30</v>
      </c>
      <c r="L4894" t="s">
        <v>31</v>
      </c>
      <c r="M4894" t="s">
        <v>140</v>
      </c>
      <c r="N4894">
        <v>407</v>
      </c>
      <c r="O4894">
        <v>4.3072307999999997E-2</v>
      </c>
      <c r="P4894">
        <v>3.0898938000000001E-2</v>
      </c>
      <c r="Q4894" t="str">
        <f t="shared" si="152"/>
        <v>25-34</v>
      </c>
      <c r="R4894" t="str">
        <f t="shared" si="153"/>
        <v>[U8c0so51kT6]|25-34|Female|PMTCT_ART_SUBNAT.N.Already.T_1|CY2024Q3</v>
      </c>
    </row>
    <row r="4895" spans="4:18" x14ac:dyDescent="0.2">
      <c r="D4895" t="s">
        <v>129</v>
      </c>
      <c r="E4895" t="s">
        <v>130</v>
      </c>
      <c r="F4895" t="s">
        <v>131</v>
      </c>
      <c r="G4895" t="s">
        <v>208</v>
      </c>
      <c r="H4895" t="s">
        <v>209</v>
      </c>
      <c r="I4895" t="s">
        <v>43</v>
      </c>
      <c r="J4895" t="s">
        <v>44</v>
      </c>
      <c r="K4895" t="s">
        <v>30</v>
      </c>
      <c r="L4895" t="s">
        <v>31</v>
      </c>
      <c r="M4895" t="s">
        <v>140</v>
      </c>
      <c r="N4895">
        <v>309</v>
      </c>
      <c r="O4895">
        <v>4.1694521999999998E-2</v>
      </c>
      <c r="P4895">
        <v>3.0898938000000001E-2</v>
      </c>
      <c r="Q4895" t="str">
        <f t="shared" si="152"/>
        <v>35-49</v>
      </c>
      <c r="R4895" t="str">
        <f t="shared" si="153"/>
        <v>[U8c0so51kT6]|35-49|Female|PMTCT_ART_SUBNAT.N.Already.T_1|CY2024Q3</v>
      </c>
    </row>
    <row r="4896" spans="4:18" x14ac:dyDescent="0.2">
      <c r="D4896" t="s">
        <v>132</v>
      </c>
      <c r="E4896" t="s">
        <v>133</v>
      </c>
      <c r="F4896" t="s">
        <v>134</v>
      </c>
      <c r="G4896" t="s">
        <v>208</v>
      </c>
      <c r="H4896" t="s">
        <v>209</v>
      </c>
      <c r="I4896" t="s">
        <v>38</v>
      </c>
      <c r="J4896" t="s">
        <v>39</v>
      </c>
      <c r="K4896" t="s">
        <v>30</v>
      </c>
      <c r="L4896" t="s">
        <v>31</v>
      </c>
      <c r="M4896" t="s">
        <v>140</v>
      </c>
      <c r="N4896">
        <v>187</v>
      </c>
      <c r="O4896">
        <v>7.3233828000000001E-2</v>
      </c>
      <c r="P4896">
        <v>3.5194814999999997E-2</v>
      </c>
      <c r="Q4896" t="str">
        <f t="shared" si="152"/>
        <v>15-24</v>
      </c>
      <c r="R4896" t="str">
        <f t="shared" si="153"/>
        <v>[rpw540fmNUz]|15-24|Female|PMTCT_ART_SUBNAT.N.Already.T_1|CY2024Q3</v>
      </c>
    </row>
    <row r="4897" spans="4:18" x14ac:dyDescent="0.2">
      <c r="D4897" t="s">
        <v>132</v>
      </c>
      <c r="E4897" t="s">
        <v>133</v>
      </c>
      <c r="F4897" t="s">
        <v>134</v>
      </c>
      <c r="G4897" t="s">
        <v>208</v>
      </c>
      <c r="H4897" t="s">
        <v>209</v>
      </c>
      <c r="I4897" t="s">
        <v>41</v>
      </c>
      <c r="J4897" t="s">
        <v>42</v>
      </c>
      <c r="K4897" t="s">
        <v>30</v>
      </c>
      <c r="L4897" t="s">
        <v>31</v>
      </c>
      <c r="M4897" t="s">
        <v>140</v>
      </c>
      <c r="N4897">
        <v>344</v>
      </c>
      <c r="O4897">
        <v>4.5782268000000001E-2</v>
      </c>
      <c r="P4897">
        <v>3.5194814999999997E-2</v>
      </c>
      <c r="Q4897" t="str">
        <f t="shared" si="152"/>
        <v>25-34</v>
      </c>
      <c r="R4897" t="str">
        <f t="shared" si="153"/>
        <v>[rpw540fmNUz]|25-34|Female|PMTCT_ART_SUBNAT.N.Already.T_1|CY2024Q3</v>
      </c>
    </row>
    <row r="4898" spans="4:18" x14ac:dyDescent="0.2">
      <c r="D4898" t="s">
        <v>132</v>
      </c>
      <c r="E4898" t="s">
        <v>133</v>
      </c>
      <c r="F4898" t="s">
        <v>134</v>
      </c>
      <c r="G4898" t="s">
        <v>208</v>
      </c>
      <c r="H4898" t="s">
        <v>209</v>
      </c>
      <c r="I4898" t="s">
        <v>43</v>
      </c>
      <c r="J4898" t="s">
        <v>44</v>
      </c>
      <c r="K4898" t="s">
        <v>30</v>
      </c>
      <c r="L4898" t="s">
        <v>31</v>
      </c>
      <c r="M4898" t="s">
        <v>140</v>
      </c>
      <c r="N4898">
        <v>248</v>
      </c>
      <c r="O4898">
        <v>4.3960152000000002E-2</v>
      </c>
      <c r="P4898">
        <v>3.5194814999999997E-2</v>
      </c>
      <c r="Q4898" t="str">
        <f t="shared" si="152"/>
        <v>35-49</v>
      </c>
      <c r="R4898" t="str">
        <f t="shared" si="153"/>
        <v>[rpw540fmNUz]|35-49|Female|PMTCT_ART_SUBNAT.N.Already.T_1|CY2024Q3</v>
      </c>
    </row>
    <row r="4899" spans="4:18" x14ac:dyDescent="0.2">
      <c r="D4899" t="s">
        <v>135</v>
      </c>
      <c r="E4899" t="s">
        <v>136</v>
      </c>
      <c r="F4899" t="s">
        <v>137</v>
      </c>
      <c r="G4899" t="s">
        <v>208</v>
      </c>
      <c r="H4899" t="s">
        <v>209</v>
      </c>
      <c r="I4899" t="s">
        <v>38</v>
      </c>
      <c r="J4899" t="s">
        <v>39</v>
      </c>
      <c r="K4899" t="s">
        <v>30</v>
      </c>
      <c r="L4899" t="s">
        <v>31</v>
      </c>
      <c r="M4899" t="s">
        <v>140</v>
      </c>
      <c r="N4899">
        <v>62</v>
      </c>
      <c r="O4899">
        <v>8.1943818000000002E-2</v>
      </c>
      <c r="P4899">
        <v>5.4088299999999999E-2</v>
      </c>
      <c r="Q4899" t="str">
        <f t="shared" si="152"/>
        <v>15-24</v>
      </c>
      <c r="R4899" t="str">
        <f t="shared" si="153"/>
        <v>[gwVYinjBAe9]|15-24|Female|PMTCT_ART_SUBNAT.N.Already.T_1|CY2024Q3</v>
      </c>
    </row>
    <row r="4900" spans="4:18" x14ac:dyDescent="0.2">
      <c r="D4900" t="s">
        <v>135</v>
      </c>
      <c r="E4900" t="s">
        <v>136</v>
      </c>
      <c r="F4900" t="s">
        <v>137</v>
      </c>
      <c r="G4900" t="s">
        <v>208</v>
      </c>
      <c r="H4900" t="s">
        <v>209</v>
      </c>
      <c r="I4900" t="s">
        <v>41</v>
      </c>
      <c r="J4900" t="s">
        <v>42</v>
      </c>
      <c r="K4900" t="s">
        <v>30</v>
      </c>
      <c r="L4900" t="s">
        <v>31</v>
      </c>
      <c r="M4900" t="s">
        <v>140</v>
      </c>
      <c r="N4900">
        <v>113</v>
      </c>
      <c r="O4900">
        <v>6.2085169000000003E-2</v>
      </c>
      <c r="P4900">
        <v>5.4088299999999999E-2</v>
      </c>
      <c r="Q4900" t="str">
        <f t="shared" si="152"/>
        <v>25-34</v>
      </c>
      <c r="R4900" t="str">
        <f t="shared" si="153"/>
        <v>[gwVYinjBAe9]|25-34|Female|PMTCT_ART_SUBNAT.N.Already.T_1|CY2024Q3</v>
      </c>
    </row>
    <row r="4901" spans="4:18" x14ac:dyDescent="0.2">
      <c r="D4901" t="s">
        <v>135</v>
      </c>
      <c r="E4901" t="s">
        <v>136</v>
      </c>
      <c r="F4901" t="s">
        <v>137</v>
      </c>
      <c r="G4901" t="s">
        <v>208</v>
      </c>
      <c r="H4901" t="s">
        <v>209</v>
      </c>
      <c r="I4901" t="s">
        <v>43</v>
      </c>
      <c r="J4901" t="s">
        <v>44</v>
      </c>
      <c r="K4901" t="s">
        <v>30</v>
      </c>
      <c r="L4901" t="s">
        <v>31</v>
      </c>
      <c r="M4901" t="s">
        <v>140</v>
      </c>
      <c r="N4901">
        <v>85</v>
      </c>
      <c r="O4901">
        <v>5.8770927000000001E-2</v>
      </c>
      <c r="P4901">
        <v>5.4088299999999999E-2</v>
      </c>
      <c r="Q4901" t="str">
        <f t="shared" si="152"/>
        <v>35-49</v>
      </c>
      <c r="R4901" t="str">
        <f t="shared" si="153"/>
        <v>[gwVYinjBAe9]|35-49|Female|PMTCT_ART_SUBNAT.N.Already.T_1|CY2024Q3</v>
      </c>
    </row>
    <row r="4902" spans="4:18" x14ac:dyDescent="0.2">
      <c r="D4902" t="s">
        <v>23</v>
      </c>
      <c r="E4902" t="s">
        <v>24</v>
      </c>
      <c r="F4902" t="s">
        <v>25</v>
      </c>
      <c r="G4902" t="s">
        <v>210</v>
      </c>
      <c r="H4902" t="s">
        <v>209</v>
      </c>
      <c r="I4902" t="s">
        <v>38</v>
      </c>
      <c r="J4902" t="s">
        <v>39</v>
      </c>
      <c r="K4902" t="s">
        <v>30</v>
      </c>
      <c r="L4902" t="s">
        <v>31</v>
      </c>
      <c r="M4902" t="s">
        <v>140</v>
      </c>
      <c r="N4902">
        <v>16</v>
      </c>
      <c r="O4902">
        <v>0.12775816100000001</v>
      </c>
      <c r="P4902">
        <v>0.110716904</v>
      </c>
      <c r="Q4902" t="str">
        <f t="shared" si="152"/>
        <v>15-24</v>
      </c>
      <c r="R4902" t="str">
        <f t="shared" si="153"/>
        <v>[GkIwZrXy1h2]|15-24|Female|PMTCT_ART_SUBNAT.N.New.T_1|CY2024Q3</v>
      </c>
    </row>
    <row r="4903" spans="4:18" x14ac:dyDescent="0.2">
      <c r="D4903" t="s">
        <v>23</v>
      </c>
      <c r="E4903" t="s">
        <v>24</v>
      </c>
      <c r="F4903" t="s">
        <v>25</v>
      </c>
      <c r="G4903" t="s">
        <v>210</v>
      </c>
      <c r="H4903" t="s">
        <v>209</v>
      </c>
      <c r="I4903" t="s">
        <v>41</v>
      </c>
      <c r="J4903" t="s">
        <v>42</v>
      </c>
      <c r="K4903" t="s">
        <v>30</v>
      </c>
      <c r="L4903" t="s">
        <v>31</v>
      </c>
      <c r="M4903" t="s">
        <v>140</v>
      </c>
      <c r="N4903">
        <v>23</v>
      </c>
      <c r="O4903">
        <v>0.121929853</v>
      </c>
      <c r="P4903">
        <v>0.110716904</v>
      </c>
      <c r="Q4903" t="str">
        <f t="shared" si="152"/>
        <v>25-34</v>
      </c>
      <c r="R4903" t="str">
        <f t="shared" si="153"/>
        <v>[GkIwZrXy1h2]|25-34|Female|PMTCT_ART_SUBNAT.N.New.T_1|CY2024Q3</v>
      </c>
    </row>
    <row r="4904" spans="4:18" x14ac:dyDescent="0.2">
      <c r="D4904" t="s">
        <v>23</v>
      </c>
      <c r="E4904" t="s">
        <v>24</v>
      </c>
      <c r="F4904" t="s">
        <v>25</v>
      </c>
      <c r="G4904" t="s">
        <v>210</v>
      </c>
      <c r="H4904" t="s">
        <v>209</v>
      </c>
      <c r="I4904" t="s">
        <v>43</v>
      </c>
      <c r="J4904" t="s">
        <v>44</v>
      </c>
      <c r="K4904" t="s">
        <v>30</v>
      </c>
      <c r="L4904" t="s">
        <v>31</v>
      </c>
      <c r="M4904" t="s">
        <v>140</v>
      </c>
      <c r="N4904">
        <v>7</v>
      </c>
      <c r="O4904">
        <v>0.184519725</v>
      </c>
      <c r="P4904">
        <v>0.110716904</v>
      </c>
      <c r="Q4904" t="str">
        <f t="shared" si="152"/>
        <v>35-49</v>
      </c>
      <c r="R4904" t="str">
        <f t="shared" si="153"/>
        <v>[GkIwZrXy1h2]|35-49|Female|PMTCT_ART_SUBNAT.N.New.T_1|CY2024Q3</v>
      </c>
    </row>
    <row r="4905" spans="4:18" x14ac:dyDescent="0.2">
      <c r="D4905" t="s">
        <v>53</v>
      </c>
      <c r="E4905" t="s">
        <v>54</v>
      </c>
      <c r="F4905" t="s">
        <v>55</v>
      </c>
      <c r="G4905" t="s">
        <v>210</v>
      </c>
      <c r="H4905" t="s">
        <v>209</v>
      </c>
      <c r="I4905" t="s">
        <v>38</v>
      </c>
      <c r="J4905" t="s">
        <v>39</v>
      </c>
      <c r="K4905" t="s">
        <v>30</v>
      </c>
      <c r="L4905" t="s">
        <v>31</v>
      </c>
      <c r="M4905" t="s">
        <v>140</v>
      </c>
      <c r="N4905">
        <v>53</v>
      </c>
      <c r="O4905">
        <v>0.10271854800000001</v>
      </c>
      <c r="P4905">
        <v>7.3171952999999998E-2</v>
      </c>
      <c r="Q4905" t="str">
        <f t="shared" si="152"/>
        <v>15-24</v>
      </c>
      <c r="R4905" t="str">
        <f t="shared" si="153"/>
        <v>[cPtvxaZqXIH]|15-24|Female|PMTCT_ART_SUBNAT.N.New.T_1|CY2024Q3</v>
      </c>
    </row>
    <row r="4906" spans="4:18" x14ac:dyDescent="0.2">
      <c r="D4906" t="s">
        <v>53</v>
      </c>
      <c r="E4906" t="s">
        <v>54</v>
      </c>
      <c r="F4906" t="s">
        <v>55</v>
      </c>
      <c r="G4906" t="s">
        <v>210</v>
      </c>
      <c r="H4906" t="s">
        <v>209</v>
      </c>
      <c r="I4906" t="s">
        <v>41</v>
      </c>
      <c r="J4906" t="s">
        <v>42</v>
      </c>
      <c r="K4906" t="s">
        <v>30</v>
      </c>
      <c r="L4906" t="s">
        <v>31</v>
      </c>
      <c r="M4906" t="s">
        <v>140</v>
      </c>
      <c r="N4906">
        <v>73</v>
      </c>
      <c r="O4906">
        <v>8.9950432999999996E-2</v>
      </c>
      <c r="P4906">
        <v>7.3171952999999998E-2</v>
      </c>
      <c r="Q4906" t="str">
        <f t="shared" si="152"/>
        <v>25-34</v>
      </c>
      <c r="R4906" t="str">
        <f t="shared" si="153"/>
        <v>[cPtvxaZqXIH]|25-34|Female|PMTCT_ART_SUBNAT.N.New.T_1|CY2024Q3</v>
      </c>
    </row>
    <row r="4907" spans="4:18" x14ac:dyDescent="0.2">
      <c r="D4907" t="s">
        <v>53</v>
      </c>
      <c r="E4907" t="s">
        <v>54</v>
      </c>
      <c r="F4907" t="s">
        <v>55</v>
      </c>
      <c r="G4907" t="s">
        <v>210</v>
      </c>
      <c r="H4907" t="s">
        <v>209</v>
      </c>
      <c r="I4907" t="s">
        <v>43</v>
      </c>
      <c r="J4907" t="s">
        <v>44</v>
      </c>
      <c r="K4907" t="s">
        <v>30</v>
      </c>
      <c r="L4907" t="s">
        <v>31</v>
      </c>
      <c r="M4907" t="s">
        <v>140</v>
      </c>
      <c r="N4907">
        <v>22</v>
      </c>
      <c r="O4907">
        <v>0.15074330999999999</v>
      </c>
      <c r="P4907">
        <v>7.3171952999999998E-2</v>
      </c>
      <c r="Q4907" t="str">
        <f t="shared" si="152"/>
        <v>35-49</v>
      </c>
      <c r="R4907" t="str">
        <f t="shared" si="153"/>
        <v>[cPtvxaZqXIH]|35-49|Female|PMTCT_ART_SUBNAT.N.New.T_1|CY2024Q3</v>
      </c>
    </row>
    <row r="4908" spans="4:18" x14ac:dyDescent="0.2">
      <c r="D4908" t="s">
        <v>60</v>
      </c>
      <c r="E4908" t="s">
        <v>61</v>
      </c>
      <c r="F4908" t="s">
        <v>62</v>
      </c>
      <c r="G4908" t="s">
        <v>210</v>
      </c>
      <c r="H4908" t="s">
        <v>209</v>
      </c>
      <c r="I4908" t="s">
        <v>38</v>
      </c>
      <c r="J4908" t="s">
        <v>39</v>
      </c>
      <c r="K4908" t="s">
        <v>30</v>
      </c>
      <c r="L4908" t="s">
        <v>31</v>
      </c>
      <c r="M4908" t="s">
        <v>140</v>
      </c>
      <c r="N4908">
        <v>37</v>
      </c>
      <c r="O4908">
        <v>0.117012272</v>
      </c>
      <c r="P4908">
        <v>9.1569363000000001E-2</v>
      </c>
      <c r="Q4908" t="str">
        <f t="shared" si="152"/>
        <v>15-24</v>
      </c>
      <c r="R4908" t="str">
        <f t="shared" si="153"/>
        <v>[E7zpfyBt7Tw]|15-24|Female|PMTCT_ART_SUBNAT.N.New.T_1|CY2024Q3</v>
      </c>
    </row>
    <row r="4909" spans="4:18" x14ac:dyDescent="0.2">
      <c r="D4909" t="s">
        <v>60</v>
      </c>
      <c r="E4909" t="s">
        <v>61</v>
      </c>
      <c r="F4909" t="s">
        <v>62</v>
      </c>
      <c r="G4909" t="s">
        <v>210</v>
      </c>
      <c r="H4909" t="s">
        <v>209</v>
      </c>
      <c r="I4909" t="s">
        <v>41</v>
      </c>
      <c r="J4909" t="s">
        <v>42</v>
      </c>
      <c r="K4909" t="s">
        <v>30</v>
      </c>
      <c r="L4909" t="s">
        <v>31</v>
      </c>
      <c r="M4909" t="s">
        <v>140</v>
      </c>
      <c r="N4909">
        <v>47</v>
      </c>
      <c r="O4909">
        <v>0.11000702900000001</v>
      </c>
      <c r="P4909">
        <v>9.1569363000000001E-2</v>
      </c>
      <c r="Q4909" t="str">
        <f t="shared" si="152"/>
        <v>25-34</v>
      </c>
      <c r="R4909" t="str">
        <f t="shared" si="153"/>
        <v>[E7zpfyBt7Tw]|25-34|Female|PMTCT_ART_SUBNAT.N.New.T_1|CY2024Q3</v>
      </c>
    </row>
    <row r="4910" spans="4:18" x14ac:dyDescent="0.2">
      <c r="D4910" t="s">
        <v>60</v>
      </c>
      <c r="E4910" t="s">
        <v>61</v>
      </c>
      <c r="F4910" t="s">
        <v>62</v>
      </c>
      <c r="G4910" t="s">
        <v>210</v>
      </c>
      <c r="H4910" t="s">
        <v>209</v>
      </c>
      <c r="I4910" t="s">
        <v>43</v>
      </c>
      <c r="J4910" t="s">
        <v>44</v>
      </c>
      <c r="K4910" t="s">
        <v>30</v>
      </c>
      <c r="L4910" t="s">
        <v>31</v>
      </c>
      <c r="M4910" t="s">
        <v>140</v>
      </c>
      <c r="N4910">
        <v>13</v>
      </c>
      <c r="O4910">
        <v>0.16662694</v>
      </c>
      <c r="P4910">
        <v>9.1569363000000001E-2</v>
      </c>
      <c r="Q4910" t="str">
        <f t="shared" si="152"/>
        <v>35-49</v>
      </c>
      <c r="R4910" t="str">
        <f t="shared" si="153"/>
        <v>[E7zpfyBt7Tw]|35-49|Female|PMTCT_ART_SUBNAT.N.New.T_1|CY2024Q3</v>
      </c>
    </row>
    <row r="4911" spans="4:18" x14ac:dyDescent="0.2">
      <c r="D4911" t="s">
        <v>63</v>
      </c>
      <c r="E4911" t="s">
        <v>64</v>
      </c>
      <c r="F4911" t="s">
        <v>65</v>
      </c>
      <c r="G4911" t="s">
        <v>210</v>
      </c>
      <c r="H4911" t="s">
        <v>209</v>
      </c>
      <c r="I4911" t="s">
        <v>38</v>
      </c>
      <c r="J4911" t="s">
        <v>39</v>
      </c>
      <c r="K4911" t="s">
        <v>30</v>
      </c>
      <c r="L4911" t="s">
        <v>31</v>
      </c>
      <c r="M4911" t="s">
        <v>140</v>
      </c>
      <c r="N4911">
        <v>18</v>
      </c>
      <c r="O4911">
        <v>0.13684137199999999</v>
      </c>
      <c r="P4911">
        <v>0.116279697</v>
      </c>
      <c r="Q4911" t="str">
        <f t="shared" si="152"/>
        <v>15-24</v>
      </c>
      <c r="R4911" t="str">
        <f t="shared" si="153"/>
        <v>[lPTyjLi4w3d]|15-24|Female|PMTCT_ART_SUBNAT.N.New.T_1|CY2024Q3</v>
      </c>
    </row>
    <row r="4912" spans="4:18" x14ac:dyDescent="0.2">
      <c r="D4912" t="s">
        <v>63</v>
      </c>
      <c r="E4912" t="s">
        <v>64</v>
      </c>
      <c r="F4912" t="s">
        <v>65</v>
      </c>
      <c r="G4912" t="s">
        <v>210</v>
      </c>
      <c r="H4912" t="s">
        <v>209</v>
      </c>
      <c r="I4912" t="s">
        <v>41</v>
      </c>
      <c r="J4912" t="s">
        <v>42</v>
      </c>
      <c r="K4912" t="s">
        <v>30</v>
      </c>
      <c r="L4912" t="s">
        <v>31</v>
      </c>
      <c r="M4912" t="s">
        <v>140</v>
      </c>
      <c r="N4912">
        <v>24</v>
      </c>
      <c r="O4912">
        <v>0.13136007499999999</v>
      </c>
      <c r="P4912">
        <v>0.116279697</v>
      </c>
      <c r="Q4912" t="str">
        <f t="shared" si="152"/>
        <v>25-34</v>
      </c>
      <c r="R4912" t="str">
        <f t="shared" si="153"/>
        <v>[lPTyjLi4w3d]|25-34|Female|PMTCT_ART_SUBNAT.N.New.T_1|CY2024Q3</v>
      </c>
    </row>
    <row r="4913" spans="4:18" x14ac:dyDescent="0.2">
      <c r="D4913" t="s">
        <v>63</v>
      </c>
      <c r="E4913" t="s">
        <v>64</v>
      </c>
      <c r="F4913" t="s">
        <v>65</v>
      </c>
      <c r="G4913" t="s">
        <v>210</v>
      </c>
      <c r="H4913" t="s">
        <v>209</v>
      </c>
      <c r="I4913" t="s">
        <v>43</v>
      </c>
      <c r="J4913" t="s">
        <v>44</v>
      </c>
      <c r="K4913" t="s">
        <v>30</v>
      </c>
      <c r="L4913" t="s">
        <v>31</v>
      </c>
      <c r="M4913" t="s">
        <v>140</v>
      </c>
      <c r="N4913">
        <v>7</v>
      </c>
      <c r="O4913">
        <v>0.192199116</v>
      </c>
      <c r="P4913">
        <v>0.116279697</v>
      </c>
      <c r="Q4913" t="str">
        <f t="shared" si="152"/>
        <v>35-49</v>
      </c>
      <c r="R4913" t="str">
        <f t="shared" si="153"/>
        <v>[lPTyjLi4w3d]|35-49|Female|PMTCT_ART_SUBNAT.N.New.T_1|CY2024Q3</v>
      </c>
    </row>
    <row r="4914" spans="4:18" x14ac:dyDescent="0.2">
      <c r="D4914" t="s">
        <v>66</v>
      </c>
      <c r="E4914" t="s">
        <v>67</v>
      </c>
      <c r="F4914" t="s">
        <v>68</v>
      </c>
      <c r="G4914" t="s">
        <v>210</v>
      </c>
      <c r="H4914" t="s">
        <v>209</v>
      </c>
      <c r="I4914" t="s">
        <v>38</v>
      </c>
      <c r="J4914" t="s">
        <v>39</v>
      </c>
      <c r="K4914" t="s">
        <v>30</v>
      </c>
      <c r="L4914" t="s">
        <v>31</v>
      </c>
      <c r="M4914" t="s">
        <v>140</v>
      </c>
      <c r="N4914">
        <v>127</v>
      </c>
      <c r="O4914">
        <v>8.5516186999999994E-2</v>
      </c>
      <c r="P4914">
        <v>4.5440659000000001E-2</v>
      </c>
      <c r="Q4914" t="str">
        <f t="shared" si="152"/>
        <v>15-24</v>
      </c>
      <c r="R4914" t="str">
        <f t="shared" si="153"/>
        <v>[vA4NcHxfMBq]|15-24|Female|PMTCT_ART_SUBNAT.N.New.T_1|CY2024Q3</v>
      </c>
    </row>
    <row r="4915" spans="4:18" x14ac:dyDescent="0.2">
      <c r="D4915" t="s">
        <v>66</v>
      </c>
      <c r="E4915" t="s">
        <v>67</v>
      </c>
      <c r="F4915" t="s">
        <v>68</v>
      </c>
      <c r="G4915" t="s">
        <v>210</v>
      </c>
      <c r="H4915" t="s">
        <v>209</v>
      </c>
      <c r="I4915" t="s">
        <v>41</v>
      </c>
      <c r="J4915" t="s">
        <v>42</v>
      </c>
      <c r="K4915" t="s">
        <v>30</v>
      </c>
      <c r="L4915" t="s">
        <v>31</v>
      </c>
      <c r="M4915" t="s">
        <v>140</v>
      </c>
      <c r="N4915">
        <v>192</v>
      </c>
      <c r="O4915">
        <v>6.8476565000000003E-2</v>
      </c>
      <c r="P4915">
        <v>4.5440659000000001E-2</v>
      </c>
      <c r="Q4915" t="str">
        <f t="shared" si="152"/>
        <v>25-34</v>
      </c>
      <c r="R4915" t="str">
        <f t="shared" si="153"/>
        <v>[vA4NcHxfMBq]|25-34|Female|PMTCT_ART_SUBNAT.N.New.T_1|CY2024Q3</v>
      </c>
    </row>
    <row r="4916" spans="4:18" x14ac:dyDescent="0.2">
      <c r="D4916" t="s">
        <v>66</v>
      </c>
      <c r="E4916" t="s">
        <v>67</v>
      </c>
      <c r="F4916" t="s">
        <v>68</v>
      </c>
      <c r="G4916" t="s">
        <v>210</v>
      </c>
      <c r="H4916" t="s">
        <v>209</v>
      </c>
      <c r="I4916" t="s">
        <v>43</v>
      </c>
      <c r="J4916" t="s">
        <v>44</v>
      </c>
      <c r="K4916" t="s">
        <v>30</v>
      </c>
      <c r="L4916" t="s">
        <v>31</v>
      </c>
      <c r="M4916" t="s">
        <v>140</v>
      </c>
      <c r="N4916">
        <v>58</v>
      </c>
      <c r="O4916">
        <v>0.13170943099999999</v>
      </c>
      <c r="P4916">
        <v>4.5440659000000001E-2</v>
      </c>
      <c r="Q4916" t="str">
        <f t="shared" si="152"/>
        <v>35-49</v>
      </c>
      <c r="R4916" t="str">
        <f t="shared" si="153"/>
        <v>[vA4NcHxfMBq]|35-49|Female|PMTCT_ART_SUBNAT.N.New.T_1|CY2024Q3</v>
      </c>
    </row>
    <row r="4917" spans="4:18" x14ac:dyDescent="0.2">
      <c r="D4917" t="s">
        <v>69</v>
      </c>
      <c r="E4917" t="s">
        <v>70</v>
      </c>
      <c r="F4917" t="s">
        <v>71</v>
      </c>
      <c r="G4917" t="s">
        <v>210</v>
      </c>
      <c r="H4917" t="s">
        <v>209</v>
      </c>
      <c r="I4917" t="s">
        <v>38</v>
      </c>
      <c r="J4917" t="s">
        <v>39</v>
      </c>
      <c r="K4917" t="s">
        <v>30</v>
      </c>
      <c r="L4917" t="s">
        <v>31</v>
      </c>
      <c r="M4917" t="s">
        <v>140</v>
      </c>
      <c r="N4917">
        <v>3</v>
      </c>
      <c r="O4917">
        <v>0.22346163099999999</v>
      </c>
      <c r="P4917">
        <v>0.221082848</v>
      </c>
      <c r="Q4917" t="str">
        <f t="shared" si="152"/>
        <v>15-24</v>
      </c>
      <c r="R4917" t="str">
        <f t="shared" si="153"/>
        <v>[ZCjuwgaMB9u]|15-24|Female|PMTCT_ART_SUBNAT.N.New.T_1|CY2024Q3</v>
      </c>
    </row>
    <row r="4918" spans="4:18" x14ac:dyDescent="0.2">
      <c r="D4918" t="s">
        <v>69</v>
      </c>
      <c r="E4918" t="s">
        <v>70</v>
      </c>
      <c r="F4918" t="s">
        <v>71</v>
      </c>
      <c r="G4918" t="s">
        <v>210</v>
      </c>
      <c r="H4918" t="s">
        <v>209</v>
      </c>
      <c r="I4918" t="s">
        <v>41</v>
      </c>
      <c r="J4918" t="s">
        <v>42</v>
      </c>
      <c r="K4918" t="s">
        <v>30</v>
      </c>
      <c r="L4918" t="s">
        <v>31</v>
      </c>
      <c r="M4918" t="s">
        <v>140</v>
      </c>
      <c r="N4918">
        <v>4</v>
      </c>
      <c r="O4918">
        <v>0.224716692</v>
      </c>
      <c r="P4918">
        <v>0.221082848</v>
      </c>
      <c r="Q4918" t="str">
        <f t="shared" si="152"/>
        <v>25-34</v>
      </c>
      <c r="R4918" t="str">
        <f t="shared" si="153"/>
        <v>[ZCjuwgaMB9u]|25-34|Female|PMTCT_ART_SUBNAT.N.New.T_1|CY2024Q3</v>
      </c>
    </row>
    <row r="4919" spans="4:18" x14ac:dyDescent="0.2">
      <c r="D4919" t="s">
        <v>69</v>
      </c>
      <c r="E4919" t="s">
        <v>70</v>
      </c>
      <c r="F4919" t="s">
        <v>71</v>
      </c>
      <c r="G4919" t="s">
        <v>210</v>
      </c>
      <c r="H4919" t="s">
        <v>209</v>
      </c>
      <c r="I4919" t="s">
        <v>43</v>
      </c>
      <c r="J4919" t="s">
        <v>44</v>
      </c>
      <c r="K4919" t="s">
        <v>30</v>
      </c>
      <c r="L4919" t="s">
        <v>31</v>
      </c>
      <c r="M4919" t="s">
        <v>140</v>
      </c>
      <c r="N4919">
        <v>1</v>
      </c>
      <c r="O4919">
        <v>0.29603314800000002</v>
      </c>
      <c r="P4919">
        <v>0.221082848</v>
      </c>
      <c r="Q4919" t="str">
        <f t="shared" si="152"/>
        <v>35-49</v>
      </c>
      <c r="R4919" t="str">
        <f t="shared" si="153"/>
        <v>[ZCjuwgaMB9u]|35-49|Female|PMTCT_ART_SUBNAT.N.New.T_1|CY2024Q3</v>
      </c>
    </row>
    <row r="4920" spans="4:18" x14ac:dyDescent="0.2">
      <c r="D4920" t="s">
        <v>72</v>
      </c>
      <c r="E4920" t="s">
        <v>73</v>
      </c>
      <c r="F4920" t="s">
        <v>74</v>
      </c>
      <c r="G4920" t="s">
        <v>210</v>
      </c>
      <c r="H4920" t="s">
        <v>209</v>
      </c>
      <c r="I4920" t="s">
        <v>38</v>
      </c>
      <c r="J4920" t="s">
        <v>39</v>
      </c>
      <c r="K4920" t="s">
        <v>30</v>
      </c>
      <c r="L4920" t="s">
        <v>31</v>
      </c>
      <c r="M4920" t="s">
        <v>140</v>
      </c>
      <c r="N4920">
        <v>56</v>
      </c>
      <c r="O4920">
        <v>0.10453989399999999</v>
      </c>
      <c r="P4920">
        <v>7.2389009000000004E-2</v>
      </c>
      <c r="Q4920" t="str">
        <f t="shared" si="152"/>
        <v>15-24</v>
      </c>
      <c r="R4920" t="str">
        <f t="shared" si="153"/>
        <v>[JQKLKuVuY61]|15-24|Female|PMTCT_ART_SUBNAT.N.New.T_1|CY2024Q3</v>
      </c>
    </row>
    <row r="4921" spans="4:18" x14ac:dyDescent="0.2">
      <c r="D4921" t="s">
        <v>72</v>
      </c>
      <c r="E4921" t="s">
        <v>73</v>
      </c>
      <c r="F4921" t="s">
        <v>74</v>
      </c>
      <c r="G4921" t="s">
        <v>210</v>
      </c>
      <c r="H4921" t="s">
        <v>209</v>
      </c>
      <c r="I4921" t="s">
        <v>41</v>
      </c>
      <c r="J4921" t="s">
        <v>42</v>
      </c>
      <c r="K4921" t="s">
        <v>30</v>
      </c>
      <c r="L4921" t="s">
        <v>31</v>
      </c>
      <c r="M4921" t="s">
        <v>140</v>
      </c>
      <c r="N4921">
        <v>76</v>
      </c>
      <c r="O4921">
        <v>9.3932966000000007E-2</v>
      </c>
      <c r="P4921">
        <v>7.2389009000000004E-2</v>
      </c>
      <c r="Q4921" t="str">
        <f t="shared" si="152"/>
        <v>25-34</v>
      </c>
      <c r="R4921" t="str">
        <f t="shared" si="153"/>
        <v>[JQKLKuVuY61]|25-34|Female|PMTCT_ART_SUBNAT.N.New.T_1|CY2024Q3</v>
      </c>
    </row>
    <row r="4922" spans="4:18" x14ac:dyDescent="0.2">
      <c r="D4922" t="s">
        <v>72</v>
      </c>
      <c r="E4922" t="s">
        <v>73</v>
      </c>
      <c r="F4922" t="s">
        <v>74</v>
      </c>
      <c r="G4922" t="s">
        <v>210</v>
      </c>
      <c r="H4922" t="s">
        <v>209</v>
      </c>
      <c r="I4922" t="s">
        <v>43</v>
      </c>
      <c r="J4922" t="s">
        <v>44</v>
      </c>
      <c r="K4922" t="s">
        <v>30</v>
      </c>
      <c r="L4922" t="s">
        <v>31</v>
      </c>
      <c r="M4922" t="s">
        <v>140</v>
      </c>
      <c r="N4922">
        <v>23</v>
      </c>
      <c r="O4922">
        <v>0.15230688000000001</v>
      </c>
      <c r="P4922">
        <v>7.2389009000000004E-2</v>
      </c>
      <c r="Q4922" t="str">
        <f t="shared" si="152"/>
        <v>35-49</v>
      </c>
      <c r="R4922" t="str">
        <f t="shared" si="153"/>
        <v>[JQKLKuVuY61]|35-49|Female|PMTCT_ART_SUBNAT.N.New.T_1|CY2024Q3</v>
      </c>
    </row>
    <row r="4923" spans="4:18" x14ac:dyDescent="0.2">
      <c r="D4923" t="s">
        <v>75</v>
      </c>
      <c r="E4923" t="s">
        <v>76</v>
      </c>
      <c r="F4923" t="s">
        <v>77</v>
      </c>
      <c r="G4923" t="s">
        <v>210</v>
      </c>
      <c r="H4923" t="s">
        <v>209</v>
      </c>
      <c r="I4923" t="s">
        <v>38</v>
      </c>
      <c r="J4923" t="s">
        <v>39</v>
      </c>
      <c r="K4923" t="s">
        <v>30</v>
      </c>
      <c r="L4923" t="s">
        <v>31</v>
      </c>
      <c r="M4923" t="s">
        <v>140</v>
      </c>
      <c r="N4923">
        <v>47</v>
      </c>
      <c r="O4923">
        <v>0.103872831</v>
      </c>
      <c r="P4923">
        <v>7.4107755999999997E-2</v>
      </c>
      <c r="Q4923" t="str">
        <f t="shared" si="152"/>
        <v>15-24</v>
      </c>
      <c r="R4923" t="str">
        <f t="shared" si="153"/>
        <v>[YCKiBAp8QAg]|15-24|Female|PMTCT_ART_SUBNAT.N.New.T_1|CY2024Q3</v>
      </c>
    </row>
    <row r="4924" spans="4:18" x14ac:dyDescent="0.2">
      <c r="D4924" t="s">
        <v>75</v>
      </c>
      <c r="E4924" t="s">
        <v>76</v>
      </c>
      <c r="F4924" t="s">
        <v>77</v>
      </c>
      <c r="G4924" t="s">
        <v>210</v>
      </c>
      <c r="H4924" t="s">
        <v>209</v>
      </c>
      <c r="I4924" t="s">
        <v>41</v>
      </c>
      <c r="J4924" t="s">
        <v>42</v>
      </c>
      <c r="K4924" t="s">
        <v>30</v>
      </c>
      <c r="L4924" t="s">
        <v>31</v>
      </c>
      <c r="M4924" t="s">
        <v>140</v>
      </c>
      <c r="N4924">
        <v>65</v>
      </c>
      <c r="O4924">
        <v>9.3506031000000003E-2</v>
      </c>
      <c r="P4924">
        <v>7.4107755999999997E-2</v>
      </c>
      <c r="Q4924" t="str">
        <f t="shared" si="152"/>
        <v>25-34</v>
      </c>
      <c r="R4924" t="str">
        <f t="shared" si="153"/>
        <v>[YCKiBAp8QAg]|25-34|Female|PMTCT_ART_SUBNAT.N.New.T_1|CY2024Q3</v>
      </c>
    </row>
    <row r="4925" spans="4:18" x14ac:dyDescent="0.2">
      <c r="D4925" t="s">
        <v>75</v>
      </c>
      <c r="E4925" t="s">
        <v>76</v>
      </c>
      <c r="F4925" t="s">
        <v>77</v>
      </c>
      <c r="G4925" t="s">
        <v>210</v>
      </c>
      <c r="H4925" t="s">
        <v>209</v>
      </c>
      <c r="I4925" t="s">
        <v>43</v>
      </c>
      <c r="J4925" t="s">
        <v>44</v>
      </c>
      <c r="K4925" t="s">
        <v>30</v>
      </c>
      <c r="L4925" t="s">
        <v>31</v>
      </c>
      <c r="M4925" t="s">
        <v>140</v>
      </c>
      <c r="N4925">
        <v>19</v>
      </c>
      <c r="O4925">
        <v>0.152463768</v>
      </c>
      <c r="P4925">
        <v>7.4107755999999997E-2</v>
      </c>
      <c r="Q4925" t="str">
        <f t="shared" si="152"/>
        <v>35-49</v>
      </c>
      <c r="R4925" t="str">
        <f t="shared" si="153"/>
        <v>[YCKiBAp8QAg]|35-49|Female|PMTCT_ART_SUBNAT.N.New.T_1|CY2024Q3</v>
      </c>
    </row>
    <row r="4926" spans="4:18" x14ac:dyDescent="0.2">
      <c r="D4926" t="s">
        <v>78</v>
      </c>
      <c r="E4926" t="s">
        <v>79</v>
      </c>
      <c r="F4926" t="s">
        <v>80</v>
      </c>
      <c r="G4926" t="s">
        <v>210</v>
      </c>
      <c r="H4926" t="s">
        <v>209</v>
      </c>
      <c r="I4926" t="s">
        <v>38</v>
      </c>
      <c r="J4926" t="s">
        <v>39</v>
      </c>
      <c r="K4926" t="s">
        <v>30</v>
      </c>
      <c r="L4926" t="s">
        <v>31</v>
      </c>
      <c r="M4926" t="s">
        <v>140</v>
      </c>
      <c r="N4926">
        <v>11</v>
      </c>
      <c r="O4926">
        <v>0.144437762</v>
      </c>
      <c r="P4926">
        <v>0.130285501</v>
      </c>
      <c r="Q4926" t="str">
        <f t="shared" si="152"/>
        <v>15-24</v>
      </c>
      <c r="R4926" t="str">
        <f t="shared" si="153"/>
        <v>[fiRkU6gEjLz]|15-24|Female|PMTCT_ART_SUBNAT.N.New.T_1|CY2024Q3</v>
      </c>
    </row>
    <row r="4927" spans="4:18" x14ac:dyDescent="0.2">
      <c r="D4927" t="s">
        <v>78</v>
      </c>
      <c r="E4927" t="s">
        <v>79</v>
      </c>
      <c r="F4927" t="s">
        <v>80</v>
      </c>
      <c r="G4927" t="s">
        <v>210</v>
      </c>
      <c r="H4927" t="s">
        <v>209</v>
      </c>
      <c r="I4927" t="s">
        <v>41</v>
      </c>
      <c r="J4927" t="s">
        <v>42</v>
      </c>
      <c r="K4927" t="s">
        <v>30</v>
      </c>
      <c r="L4927" t="s">
        <v>31</v>
      </c>
      <c r="M4927" t="s">
        <v>140</v>
      </c>
      <c r="N4927">
        <v>16</v>
      </c>
      <c r="O4927">
        <v>0.14141350999999999</v>
      </c>
      <c r="P4927">
        <v>0.130285501</v>
      </c>
      <c r="Q4927" t="str">
        <f t="shared" si="152"/>
        <v>25-34</v>
      </c>
      <c r="R4927" t="str">
        <f t="shared" si="153"/>
        <v>[fiRkU6gEjLz]|25-34|Female|PMTCT_ART_SUBNAT.N.New.T_1|CY2024Q3</v>
      </c>
    </row>
    <row r="4928" spans="4:18" x14ac:dyDescent="0.2">
      <c r="D4928" t="s">
        <v>78</v>
      </c>
      <c r="E4928" t="s">
        <v>79</v>
      </c>
      <c r="F4928" t="s">
        <v>80</v>
      </c>
      <c r="G4928" t="s">
        <v>210</v>
      </c>
      <c r="H4928" t="s">
        <v>209</v>
      </c>
      <c r="I4928" t="s">
        <v>43</v>
      </c>
      <c r="J4928" t="s">
        <v>44</v>
      </c>
      <c r="K4928" t="s">
        <v>30</v>
      </c>
      <c r="L4928" t="s">
        <v>31</v>
      </c>
      <c r="M4928" t="s">
        <v>140</v>
      </c>
      <c r="N4928">
        <v>5</v>
      </c>
      <c r="O4928">
        <v>0.20224785300000001</v>
      </c>
      <c r="P4928">
        <v>0.130285501</v>
      </c>
      <c r="Q4928" t="str">
        <f t="shared" si="152"/>
        <v>35-49</v>
      </c>
      <c r="R4928" t="str">
        <f t="shared" si="153"/>
        <v>[fiRkU6gEjLz]|35-49|Female|PMTCT_ART_SUBNAT.N.New.T_1|CY2024Q3</v>
      </c>
    </row>
    <row r="4929" spans="4:18" x14ac:dyDescent="0.2">
      <c r="D4929" t="s">
        <v>81</v>
      </c>
      <c r="E4929" t="s">
        <v>82</v>
      </c>
      <c r="F4929" t="s">
        <v>83</v>
      </c>
      <c r="G4929" t="s">
        <v>210</v>
      </c>
      <c r="H4929" t="s">
        <v>209</v>
      </c>
      <c r="I4929" t="s">
        <v>38</v>
      </c>
      <c r="J4929" t="s">
        <v>39</v>
      </c>
      <c r="K4929" t="s">
        <v>30</v>
      </c>
      <c r="L4929" t="s">
        <v>31</v>
      </c>
      <c r="M4929" t="s">
        <v>140</v>
      </c>
      <c r="N4929">
        <v>33</v>
      </c>
      <c r="O4929">
        <v>0.108558684</v>
      </c>
      <c r="P4929">
        <v>8.2728074999999998E-2</v>
      </c>
      <c r="Q4929" t="str">
        <f t="shared" si="152"/>
        <v>15-24</v>
      </c>
      <c r="R4929" t="str">
        <f t="shared" si="153"/>
        <v>[zphK9WV8JB4]|15-24|Female|PMTCT_ART_SUBNAT.N.New.T_1|CY2024Q3</v>
      </c>
    </row>
    <row r="4930" spans="4:18" x14ac:dyDescent="0.2">
      <c r="D4930" t="s">
        <v>81</v>
      </c>
      <c r="E4930" t="s">
        <v>82</v>
      </c>
      <c r="F4930" t="s">
        <v>83</v>
      </c>
      <c r="G4930" t="s">
        <v>210</v>
      </c>
      <c r="H4930" t="s">
        <v>209</v>
      </c>
      <c r="I4930" t="s">
        <v>41</v>
      </c>
      <c r="J4930" t="s">
        <v>42</v>
      </c>
      <c r="K4930" t="s">
        <v>30</v>
      </c>
      <c r="L4930" t="s">
        <v>31</v>
      </c>
      <c r="M4930" t="s">
        <v>140</v>
      </c>
      <c r="N4930">
        <v>47</v>
      </c>
      <c r="O4930">
        <v>9.7435632999999994E-2</v>
      </c>
      <c r="P4930">
        <v>8.2728074999999998E-2</v>
      </c>
      <c r="Q4930" t="str">
        <f t="shared" si="152"/>
        <v>25-34</v>
      </c>
      <c r="R4930" t="str">
        <f t="shared" si="153"/>
        <v>[zphK9WV8JB4]|25-34|Female|PMTCT_ART_SUBNAT.N.New.T_1|CY2024Q3</v>
      </c>
    </row>
    <row r="4931" spans="4:18" x14ac:dyDescent="0.2">
      <c r="D4931" t="s">
        <v>81</v>
      </c>
      <c r="E4931" t="s">
        <v>82</v>
      </c>
      <c r="F4931" t="s">
        <v>83</v>
      </c>
      <c r="G4931" t="s">
        <v>210</v>
      </c>
      <c r="H4931" t="s">
        <v>209</v>
      </c>
      <c r="I4931" t="s">
        <v>43</v>
      </c>
      <c r="J4931" t="s">
        <v>44</v>
      </c>
      <c r="K4931" t="s">
        <v>30</v>
      </c>
      <c r="L4931" t="s">
        <v>31</v>
      </c>
      <c r="M4931" t="s">
        <v>140</v>
      </c>
      <c r="N4931">
        <v>15</v>
      </c>
      <c r="O4931">
        <v>0.152600768</v>
      </c>
      <c r="P4931">
        <v>8.2728074999999998E-2</v>
      </c>
      <c r="Q4931" t="str">
        <f t="shared" ref="Q4931:Q4994" si="154">SUBSTITUTE(SUBSTITUTE($I4931,CHAR(61),""),CHAR(34),"")</f>
        <v>35-49</v>
      </c>
      <c r="R4931" t="str">
        <f t="shared" ref="R4931:R4994" si="155">IF($D4931&lt;&gt;"","["&amp;$E4931&amp;"]"&amp;"|"&amp;$Q4931&amp;"|"&amp;$K4931&amp;"|"&amp;$G4931&amp;"|"&amp;IF($G4931="TX_CURR_SUBNAT.R","CY2023Q4",$M4931),"")</f>
        <v>[zphK9WV8JB4]|35-49|Female|PMTCT_ART_SUBNAT.N.New.T_1|CY2024Q3</v>
      </c>
    </row>
    <row r="4932" spans="4:18" x14ac:dyDescent="0.2">
      <c r="D4932" t="s">
        <v>84</v>
      </c>
      <c r="E4932" t="s">
        <v>85</v>
      </c>
      <c r="F4932" t="s">
        <v>86</v>
      </c>
      <c r="G4932" t="s">
        <v>210</v>
      </c>
      <c r="H4932" t="s">
        <v>209</v>
      </c>
      <c r="I4932" t="s">
        <v>38</v>
      </c>
      <c r="J4932" t="s">
        <v>39</v>
      </c>
      <c r="K4932" t="s">
        <v>30</v>
      </c>
      <c r="L4932" t="s">
        <v>31</v>
      </c>
      <c r="M4932" t="s">
        <v>140</v>
      </c>
      <c r="N4932">
        <v>42</v>
      </c>
      <c r="O4932">
        <v>0.12148895</v>
      </c>
      <c r="P4932">
        <v>8.4644625000000001E-2</v>
      </c>
      <c r="Q4932" t="str">
        <f t="shared" si="154"/>
        <v>15-24</v>
      </c>
      <c r="R4932" t="str">
        <f t="shared" si="155"/>
        <v>[msW2zpIN7up]|15-24|Female|PMTCT_ART_SUBNAT.N.New.T_1|CY2024Q3</v>
      </c>
    </row>
    <row r="4933" spans="4:18" x14ac:dyDescent="0.2">
      <c r="D4933" t="s">
        <v>84</v>
      </c>
      <c r="E4933" t="s">
        <v>85</v>
      </c>
      <c r="F4933" t="s">
        <v>86</v>
      </c>
      <c r="G4933" t="s">
        <v>210</v>
      </c>
      <c r="H4933" t="s">
        <v>209</v>
      </c>
      <c r="I4933" t="s">
        <v>41</v>
      </c>
      <c r="J4933" t="s">
        <v>42</v>
      </c>
      <c r="K4933" t="s">
        <v>30</v>
      </c>
      <c r="L4933" t="s">
        <v>31</v>
      </c>
      <c r="M4933" t="s">
        <v>140</v>
      </c>
      <c r="N4933">
        <v>57</v>
      </c>
      <c r="O4933">
        <v>0.107427018</v>
      </c>
      <c r="P4933">
        <v>8.4644625000000001E-2</v>
      </c>
      <c r="Q4933" t="str">
        <f t="shared" si="154"/>
        <v>25-34</v>
      </c>
      <c r="R4933" t="str">
        <f t="shared" si="155"/>
        <v>[msW2zpIN7up]|25-34|Female|PMTCT_ART_SUBNAT.N.New.T_1|CY2024Q3</v>
      </c>
    </row>
    <row r="4934" spans="4:18" x14ac:dyDescent="0.2">
      <c r="D4934" t="s">
        <v>84</v>
      </c>
      <c r="E4934" t="s">
        <v>85</v>
      </c>
      <c r="F4934" t="s">
        <v>86</v>
      </c>
      <c r="G4934" t="s">
        <v>210</v>
      </c>
      <c r="H4934" t="s">
        <v>209</v>
      </c>
      <c r="I4934" t="s">
        <v>43</v>
      </c>
      <c r="J4934" t="s">
        <v>44</v>
      </c>
      <c r="K4934" t="s">
        <v>30</v>
      </c>
      <c r="L4934" t="s">
        <v>31</v>
      </c>
      <c r="M4934" t="s">
        <v>140</v>
      </c>
      <c r="N4934">
        <v>15</v>
      </c>
      <c r="O4934">
        <v>0.16638852400000001</v>
      </c>
      <c r="P4934">
        <v>8.4644625000000001E-2</v>
      </c>
      <c r="Q4934" t="str">
        <f t="shared" si="154"/>
        <v>35-49</v>
      </c>
      <c r="R4934" t="str">
        <f t="shared" si="155"/>
        <v>[msW2zpIN7up]|35-49|Female|PMTCT_ART_SUBNAT.N.New.T_1|CY2024Q3</v>
      </c>
    </row>
    <row r="4935" spans="4:18" x14ac:dyDescent="0.2">
      <c r="D4935" t="s">
        <v>87</v>
      </c>
      <c r="E4935" t="s">
        <v>88</v>
      </c>
      <c r="F4935" t="s">
        <v>89</v>
      </c>
      <c r="G4935" t="s">
        <v>210</v>
      </c>
      <c r="H4935" t="s">
        <v>209</v>
      </c>
      <c r="I4935" t="s">
        <v>38</v>
      </c>
      <c r="J4935" t="s">
        <v>39</v>
      </c>
      <c r="K4935" t="s">
        <v>30</v>
      </c>
      <c r="L4935" t="s">
        <v>31</v>
      </c>
      <c r="M4935" t="s">
        <v>140</v>
      </c>
      <c r="N4935">
        <v>305</v>
      </c>
      <c r="O4935">
        <v>8.5305417999999994E-2</v>
      </c>
      <c r="P4935">
        <v>3.0537768E-2</v>
      </c>
      <c r="Q4935" t="str">
        <f t="shared" si="154"/>
        <v>15-24</v>
      </c>
      <c r="R4935" t="str">
        <f t="shared" si="155"/>
        <v>[ScR9iFKAasW]|15-24|Female|PMTCT_ART_SUBNAT.N.New.T_1|CY2024Q3</v>
      </c>
    </row>
    <row r="4936" spans="4:18" x14ac:dyDescent="0.2">
      <c r="D4936" t="s">
        <v>87</v>
      </c>
      <c r="E4936" t="s">
        <v>88</v>
      </c>
      <c r="F4936" t="s">
        <v>89</v>
      </c>
      <c r="G4936" t="s">
        <v>210</v>
      </c>
      <c r="H4936" t="s">
        <v>209</v>
      </c>
      <c r="I4936" t="s">
        <v>41</v>
      </c>
      <c r="J4936" t="s">
        <v>42</v>
      </c>
      <c r="K4936" t="s">
        <v>30</v>
      </c>
      <c r="L4936" t="s">
        <v>31</v>
      </c>
      <c r="M4936" t="s">
        <v>140</v>
      </c>
      <c r="N4936">
        <v>495</v>
      </c>
      <c r="O4936">
        <v>5.8550100000000001E-2</v>
      </c>
      <c r="P4936">
        <v>3.0537768E-2</v>
      </c>
      <c r="Q4936" t="str">
        <f t="shared" si="154"/>
        <v>25-34</v>
      </c>
      <c r="R4936" t="str">
        <f t="shared" si="155"/>
        <v>[ScR9iFKAasW]|25-34|Female|PMTCT_ART_SUBNAT.N.New.T_1|CY2024Q3</v>
      </c>
    </row>
    <row r="4937" spans="4:18" x14ac:dyDescent="0.2">
      <c r="D4937" t="s">
        <v>87</v>
      </c>
      <c r="E4937" t="s">
        <v>88</v>
      </c>
      <c r="F4937" t="s">
        <v>89</v>
      </c>
      <c r="G4937" t="s">
        <v>210</v>
      </c>
      <c r="H4937" t="s">
        <v>209</v>
      </c>
      <c r="I4937" t="s">
        <v>43</v>
      </c>
      <c r="J4937" t="s">
        <v>44</v>
      </c>
      <c r="K4937" t="s">
        <v>30</v>
      </c>
      <c r="L4937" t="s">
        <v>31</v>
      </c>
      <c r="M4937" t="s">
        <v>140</v>
      </c>
      <c r="N4937">
        <v>149</v>
      </c>
      <c r="O4937">
        <v>0.124629992</v>
      </c>
      <c r="P4937">
        <v>3.0537768E-2</v>
      </c>
      <c r="Q4937" t="str">
        <f t="shared" si="154"/>
        <v>35-49</v>
      </c>
      <c r="R4937" t="str">
        <f t="shared" si="155"/>
        <v>[ScR9iFKAasW]|35-49|Female|PMTCT_ART_SUBNAT.N.New.T_1|CY2024Q3</v>
      </c>
    </row>
    <row r="4938" spans="4:18" x14ac:dyDescent="0.2">
      <c r="D4938" t="s">
        <v>90</v>
      </c>
      <c r="E4938" t="s">
        <v>91</v>
      </c>
      <c r="F4938" t="s">
        <v>92</v>
      </c>
      <c r="G4938" t="s">
        <v>210</v>
      </c>
      <c r="H4938" t="s">
        <v>209</v>
      </c>
      <c r="I4938" t="s">
        <v>38</v>
      </c>
      <c r="J4938" t="s">
        <v>39</v>
      </c>
      <c r="K4938" t="s">
        <v>30</v>
      </c>
      <c r="L4938" t="s">
        <v>31</v>
      </c>
      <c r="M4938" t="s">
        <v>140</v>
      </c>
      <c r="N4938">
        <v>53</v>
      </c>
      <c r="O4938">
        <v>0.105342887</v>
      </c>
      <c r="P4938">
        <v>7.4244668999999999E-2</v>
      </c>
      <c r="Q4938" t="str">
        <f t="shared" si="154"/>
        <v>15-24</v>
      </c>
      <c r="R4938" t="str">
        <f t="shared" si="155"/>
        <v>[kxuuIFpOXyO]|15-24|Female|PMTCT_ART_SUBNAT.N.New.T_1|CY2024Q3</v>
      </c>
    </row>
    <row r="4939" spans="4:18" x14ac:dyDescent="0.2">
      <c r="D4939" t="s">
        <v>90</v>
      </c>
      <c r="E4939" t="s">
        <v>91</v>
      </c>
      <c r="F4939" t="s">
        <v>92</v>
      </c>
      <c r="G4939" t="s">
        <v>210</v>
      </c>
      <c r="H4939" t="s">
        <v>209</v>
      </c>
      <c r="I4939" t="s">
        <v>41</v>
      </c>
      <c r="J4939" t="s">
        <v>42</v>
      </c>
      <c r="K4939" t="s">
        <v>30</v>
      </c>
      <c r="L4939" t="s">
        <v>31</v>
      </c>
      <c r="M4939" t="s">
        <v>140</v>
      </c>
      <c r="N4939">
        <v>76</v>
      </c>
      <c r="O4939">
        <v>8.9308253000000004E-2</v>
      </c>
      <c r="P4939">
        <v>7.4244668999999999E-2</v>
      </c>
      <c r="Q4939" t="str">
        <f t="shared" si="154"/>
        <v>25-34</v>
      </c>
      <c r="R4939" t="str">
        <f t="shared" si="155"/>
        <v>[kxuuIFpOXyO]|25-34|Female|PMTCT_ART_SUBNAT.N.New.T_1|CY2024Q3</v>
      </c>
    </row>
    <row r="4940" spans="4:18" x14ac:dyDescent="0.2">
      <c r="D4940" t="s">
        <v>90</v>
      </c>
      <c r="E4940" t="s">
        <v>91</v>
      </c>
      <c r="F4940" t="s">
        <v>92</v>
      </c>
      <c r="G4940" t="s">
        <v>210</v>
      </c>
      <c r="H4940" t="s">
        <v>209</v>
      </c>
      <c r="I4940" t="s">
        <v>43</v>
      </c>
      <c r="J4940" t="s">
        <v>44</v>
      </c>
      <c r="K4940" t="s">
        <v>30</v>
      </c>
      <c r="L4940" t="s">
        <v>31</v>
      </c>
      <c r="M4940" t="s">
        <v>140</v>
      </c>
      <c r="N4940">
        <v>23</v>
      </c>
      <c r="O4940">
        <v>0.15282791600000001</v>
      </c>
      <c r="P4940">
        <v>7.4244668999999999E-2</v>
      </c>
      <c r="Q4940" t="str">
        <f t="shared" si="154"/>
        <v>35-49</v>
      </c>
      <c r="R4940" t="str">
        <f t="shared" si="155"/>
        <v>[kxuuIFpOXyO]|35-49|Female|PMTCT_ART_SUBNAT.N.New.T_1|CY2024Q3</v>
      </c>
    </row>
    <row r="4941" spans="4:18" x14ac:dyDescent="0.2">
      <c r="D4941" t="s">
        <v>93</v>
      </c>
      <c r="E4941" t="s">
        <v>94</v>
      </c>
      <c r="F4941" t="s">
        <v>95</v>
      </c>
      <c r="G4941" t="s">
        <v>210</v>
      </c>
      <c r="H4941" t="s">
        <v>209</v>
      </c>
      <c r="I4941" t="s">
        <v>38</v>
      </c>
      <c r="J4941" t="s">
        <v>39</v>
      </c>
      <c r="K4941" t="s">
        <v>30</v>
      </c>
      <c r="L4941" t="s">
        <v>31</v>
      </c>
      <c r="M4941" t="s">
        <v>140</v>
      </c>
      <c r="N4941">
        <v>62</v>
      </c>
      <c r="O4941">
        <v>0.10573058</v>
      </c>
      <c r="P4941">
        <v>6.8829589999999996E-2</v>
      </c>
      <c r="Q4941" t="str">
        <f t="shared" si="154"/>
        <v>15-24</v>
      </c>
      <c r="R4941" t="str">
        <f t="shared" si="155"/>
        <v>[PekKUkKHAzY]|15-24|Female|PMTCT_ART_SUBNAT.N.New.T_1|CY2024Q3</v>
      </c>
    </row>
    <row r="4942" spans="4:18" x14ac:dyDescent="0.2">
      <c r="D4942" t="s">
        <v>93</v>
      </c>
      <c r="E4942" t="s">
        <v>94</v>
      </c>
      <c r="F4942" t="s">
        <v>95</v>
      </c>
      <c r="G4942" t="s">
        <v>210</v>
      </c>
      <c r="H4942" t="s">
        <v>209</v>
      </c>
      <c r="I4942" t="s">
        <v>41</v>
      </c>
      <c r="J4942" t="s">
        <v>42</v>
      </c>
      <c r="K4942" t="s">
        <v>30</v>
      </c>
      <c r="L4942" t="s">
        <v>31</v>
      </c>
      <c r="M4942" t="s">
        <v>140</v>
      </c>
      <c r="N4942">
        <v>88</v>
      </c>
      <c r="O4942">
        <v>8.5148377999999997E-2</v>
      </c>
      <c r="P4942">
        <v>6.8829589999999996E-2</v>
      </c>
      <c r="Q4942" t="str">
        <f t="shared" si="154"/>
        <v>25-34</v>
      </c>
      <c r="R4942" t="str">
        <f t="shared" si="155"/>
        <v>[PekKUkKHAzY]|25-34|Female|PMTCT_ART_SUBNAT.N.New.T_1|CY2024Q3</v>
      </c>
    </row>
    <row r="4943" spans="4:18" x14ac:dyDescent="0.2">
      <c r="D4943" t="s">
        <v>93</v>
      </c>
      <c r="E4943" t="s">
        <v>94</v>
      </c>
      <c r="F4943" t="s">
        <v>95</v>
      </c>
      <c r="G4943" t="s">
        <v>210</v>
      </c>
      <c r="H4943" t="s">
        <v>209</v>
      </c>
      <c r="I4943" t="s">
        <v>43</v>
      </c>
      <c r="J4943" t="s">
        <v>44</v>
      </c>
      <c r="K4943" t="s">
        <v>30</v>
      </c>
      <c r="L4943" t="s">
        <v>31</v>
      </c>
      <c r="M4943" t="s">
        <v>140</v>
      </c>
      <c r="N4943">
        <v>27</v>
      </c>
      <c r="O4943">
        <v>0.14565884900000001</v>
      </c>
      <c r="P4943">
        <v>6.8829589999999996E-2</v>
      </c>
      <c r="Q4943" t="str">
        <f t="shared" si="154"/>
        <v>35-49</v>
      </c>
      <c r="R4943" t="str">
        <f t="shared" si="155"/>
        <v>[PekKUkKHAzY]|35-49|Female|PMTCT_ART_SUBNAT.N.New.T_1|CY2024Q3</v>
      </c>
    </row>
    <row r="4944" spans="4:18" x14ac:dyDescent="0.2">
      <c r="D4944" t="s">
        <v>96</v>
      </c>
      <c r="E4944" t="s">
        <v>97</v>
      </c>
      <c r="F4944" t="s">
        <v>98</v>
      </c>
      <c r="G4944" t="s">
        <v>210</v>
      </c>
      <c r="H4944" t="s">
        <v>209</v>
      </c>
      <c r="I4944" t="s">
        <v>38</v>
      </c>
      <c r="J4944" t="s">
        <v>39</v>
      </c>
      <c r="K4944" t="s">
        <v>30</v>
      </c>
      <c r="L4944" t="s">
        <v>31</v>
      </c>
      <c r="M4944" t="s">
        <v>140</v>
      </c>
      <c r="N4944">
        <v>94</v>
      </c>
      <c r="O4944">
        <v>9.5630900000000005E-2</v>
      </c>
      <c r="P4944">
        <v>5.7010302999999998E-2</v>
      </c>
      <c r="Q4944" t="str">
        <f t="shared" si="154"/>
        <v>15-24</v>
      </c>
      <c r="R4944" t="str">
        <f t="shared" si="155"/>
        <v>[am530wpaGvr]|15-24|Female|PMTCT_ART_SUBNAT.N.New.T_1|CY2024Q3</v>
      </c>
    </row>
    <row r="4945" spans="4:18" x14ac:dyDescent="0.2">
      <c r="D4945" t="s">
        <v>96</v>
      </c>
      <c r="E4945" t="s">
        <v>97</v>
      </c>
      <c r="F4945" t="s">
        <v>98</v>
      </c>
      <c r="G4945" t="s">
        <v>210</v>
      </c>
      <c r="H4945" t="s">
        <v>209</v>
      </c>
      <c r="I4945" t="s">
        <v>41</v>
      </c>
      <c r="J4945" t="s">
        <v>42</v>
      </c>
      <c r="K4945" t="s">
        <v>30</v>
      </c>
      <c r="L4945" t="s">
        <v>31</v>
      </c>
      <c r="M4945" t="s">
        <v>140</v>
      </c>
      <c r="N4945">
        <v>128</v>
      </c>
      <c r="O4945">
        <v>7.8191035000000006E-2</v>
      </c>
      <c r="P4945">
        <v>5.7010302999999998E-2</v>
      </c>
      <c r="Q4945" t="str">
        <f t="shared" si="154"/>
        <v>25-34</v>
      </c>
      <c r="R4945" t="str">
        <f t="shared" si="155"/>
        <v>[am530wpaGvr]|25-34|Female|PMTCT_ART_SUBNAT.N.New.T_1|CY2024Q3</v>
      </c>
    </row>
    <row r="4946" spans="4:18" x14ac:dyDescent="0.2">
      <c r="D4946" t="s">
        <v>96</v>
      </c>
      <c r="E4946" t="s">
        <v>97</v>
      </c>
      <c r="F4946" t="s">
        <v>98</v>
      </c>
      <c r="G4946" t="s">
        <v>210</v>
      </c>
      <c r="H4946" t="s">
        <v>209</v>
      </c>
      <c r="I4946" t="s">
        <v>43</v>
      </c>
      <c r="J4946" t="s">
        <v>44</v>
      </c>
      <c r="K4946" t="s">
        <v>30</v>
      </c>
      <c r="L4946" t="s">
        <v>31</v>
      </c>
      <c r="M4946" t="s">
        <v>140</v>
      </c>
      <c r="N4946">
        <v>39</v>
      </c>
      <c r="O4946">
        <v>0.14333791700000001</v>
      </c>
      <c r="P4946">
        <v>5.7010302999999998E-2</v>
      </c>
      <c r="Q4946" t="str">
        <f t="shared" si="154"/>
        <v>35-49</v>
      </c>
      <c r="R4946" t="str">
        <f t="shared" si="155"/>
        <v>[am530wpaGvr]|35-49|Female|PMTCT_ART_SUBNAT.N.New.T_1|CY2024Q3</v>
      </c>
    </row>
    <row r="4947" spans="4:18" x14ac:dyDescent="0.2">
      <c r="D4947" t="s">
        <v>99</v>
      </c>
      <c r="E4947" t="s">
        <v>100</v>
      </c>
      <c r="F4947" t="s">
        <v>101</v>
      </c>
      <c r="G4947" t="s">
        <v>210</v>
      </c>
      <c r="H4947" t="s">
        <v>209</v>
      </c>
      <c r="I4947" t="s">
        <v>38</v>
      </c>
      <c r="J4947" t="s">
        <v>39</v>
      </c>
      <c r="K4947" t="s">
        <v>30</v>
      </c>
      <c r="L4947" t="s">
        <v>31</v>
      </c>
      <c r="M4947" t="s">
        <v>140</v>
      </c>
      <c r="N4947">
        <v>174</v>
      </c>
      <c r="O4947">
        <v>9.8123669999999996E-2</v>
      </c>
      <c r="P4947">
        <v>4.2870018000000003E-2</v>
      </c>
      <c r="Q4947" t="str">
        <f t="shared" si="154"/>
        <v>15-24</v>
      </c>
      <c r="R4947" t="str">
        <f t="shared" si="155"/>
        <v>[lLDyBx5XyUi]|15-24|Female|PMTCT_ART_SUBNAT.N.New.T_1|CY2024Q3</v>
      </c>
    </row>
    <row r="4948" spans="4:18" x14ac:dyDescent="0.2">
      <c r="D4948" t="s">
        <v>99</v>
      </c>
      <c r="E4948" t="s">
        <v>100</v>
      </c>
      <c r="F4948" t="s">
        <v>101</v>
      </c>
      <c r="G4948" t="s">
        <v>210</v>
      </c>
      <c r="H4948" t="s">
        <v>209</v>
      </c>
      <c r="I4948" t="s">
        <v>41</v>
      </c>
      <c r="J4948" t="s">
        <v>42</v>
      </c>
      <c r="K4948" t="s">
        <v>30</v>
      </c>
      <c r="L4948" t="s">
        <v>31</v>
      </c>
      <c r="M4948" t="s">
        <v>140</v>
      </c>
      <c r="N4948">
        <v>237</v>
      </c>
      <c r="O4948">
        <v>7.7864078000000003E-2</v>
      </c>
      <c r="P4948">
        <v>4.2870018000000003E-2</v>
      </c>
      <c r="Q4948" t="str">
        <f t="shared" si="154"/>
        <v>25-34</v>
      </c>
      <c r="R4948" t="str">
        <f t="shared" si="155"/>
        <v>[lLDyBx5XyUi]|25-34|Female|PMTCT_ART_SUBNAT.N.New.T_1|CY2024Q3</v>
      </c>
    </row>
    <row r="4949" spans="4:18" x14ac:dyDescent="0.2">
      <c r="D4949" t="s">
        <v>99</v>
      </c>
      <c r="E4949" t="s">
        <v>100</v>
      </c>
      <c r="F4949" t="s">
        <v>101</v>
      </c>
      <c r="G4949" t="s">
        <v>210</v>
      </c>
      <c r="H4949" t="s">
        <v>209</v>
      </c>
      <c r="I4949" t="s">
        <v>43</v>
      </c>
      <c r="J4949" t="s">
        <v>44</v>
      </c>
      <c r="K4949" t="s">
        <v>30</v>
      </c>
      <c r="L4949" t="s">
        <v>31</v>
      </c>
      <c r="M4949" t="s">
        <v>140</v>
      </c>
      <c r="N4949">
        <v>60</v>
      </c>
      <c r="O4949">
        <v>0.14875394</v>
      </c>
      <c r="P4949">
        <v>4.2870018000000003E-2</v>
      </c>
      <c r="Q4949" t="str">
        <f t="shared" si="154"/>
        <v>35-49</v>
      </c>
      <c r="R4949" t="str">
        <f t="shared" si="155"/>
        <v>[lLDyBx5XyUi]|35-49|Female|PMTCT_ART_SUBNAT.N.New.T_1|CY2024Q3</v>
      </c>
    </row>
    <row r="4950" spans="4:18" x14ac:dyDescent="0.2">
      <c r="D4950" t="s">
        <v>102</v>
      </c>
      <c r="E4950" t="s">
        <v>103</v>
      </c>
      <c r="F4950" t="s">
        <v>104</v>
      </c>
      <c r="G4950" t="s">
        <v>210</v>
      </c>
      <c r="H4950" t="s">
        <v>209</v>
      </c>
      <c r="I4950" t="s">
        <v>38</v>
      </c>
      <c r="J4950" t="s">
        <v>39</v>
      </c>
      <c r="K4950" t="s">
        <v>30</v>
      </c>
      <c r="L4950" t="s">
        <v>31</v>
      </c>
      <c r="M4950" t="s">
        <v>140</v>
      </c>
      <c r="N4950">
        <v>85</v>
      </c>
      <c r="O4950">
        <v>0.103742341</v>
      </c>
      <c r="P4950">
        <v>5.8461107999999998E-2</v>
      </c>
      <c r="Q4950" t="str">
        <f t="shared" si="154"/>
        <v>15-24</v>
      </c>
      <c r="R4950" t="str">
        <f t="shared" si="155"/>
        <v>[TYnMSwzko3z]|15-24|Female|PMTCT_ART_SUBNAT.N.New.T_1|CY2024Q3</v>
      </c>
    </row>
    <row r="4951" spans="4:18" x14ac:dyDescent="0.2">
      <c r="D4951" t="s">
        <v>102</v>
      </c>
      <c r="E4951" t="s">
        <v>103</v>
      </c>
      <c r="F4951" t="s">
        <v>104</v>
      </c>
      <c r="G4951" t="s">
        <v>210</v>
      </c>
      <c r="H4951" t="s">
        <v>209</v>
      </c>
      <c r="I4951" t="s">
        <v>41</v>
      </c>
      <c r="J4951" t="s">
        <v>42</v>
      </c>
      <c r="K4951" t="s">
        <v>30</v>
      </c>
      <c r="L4951" t="s">
        <v>31</v>
      </c>
      <c r="M4951" t="s">
        <v>140</v>
      </c>
      <c r="N4951">
        <v>115</v>
      </c>
      <c r="O4951">
        <v>8.7060518000000003E-2</v>
      </c>
      <c r="P4951">
        <v>5.8461107999999998E-2</v>
      </c>
      <c r="Q4951" t="str">
        <f t="shared" si="154"/>
        <v>25-34</v>
      </c>
      <c r="R4951" t="str">
        <f t="shared" si="155"/>
        <v>[TYnMSwzko3z]|25-34|Female|PMTCT_ART_SUBNAT.N.New.T_1|CY2024Q3</v>
      </c>
    </row>
    <row r="4952" spans="4:18" x14ac:dyDescent="0.2">
      <c r="D4952" t="s">
        <v>102</v>
      </c>
      <c r="E4952" t="s">
        <v>103</v>
      </c>
      <c r="F4952" t="s">
        <v>104</v>
      </c>
      <c r="G4952" t="s">
        <v>210</v>
      </c>
      <c r="H4952" t="s">
        <v>209</v>
      </c>
      <c r="I4952" t="s">
        <v>43</v>
      </c>
      <c r="J4952" t="s">
        <v>44</v>
      </c>
      <c r="K4952" t="s">
        <v>30</v>
      </c>
      <c r="L4952" t="s">
        <v>31</v>
      </c>
      <c r="M4952" t="s">
        <v>140</v>
      </c>
      <c r="N4952">
        <v>31</v>
      </c>
      <c r="O4952">
        <v>0.14965369100000001</v>
      </c>
      <c r="P4952">
        <v>5.8461107999999998E-2</v>
      </c>
      <c r="Q4952" t="str">
        <f t="shared" si="154"/>
        <v>35-49</v>
      </c>
      <c r="R4952" t="str">
        <f t="shared" si="155"/>
        <v>[TYnMSwzko3z]|35-49|Female|PMTCT_ART_SUBNAT.N.New.T_1|CY2024Q3</v>
      </c>
    </row>
    <row r="4953" spans="4:18" x14ac:dyDescent="0.2">
      <c r="D4953" t="s">
        <v>105</v>
      </c>
      <c r="E4953" t="s">
        <v>106</v>
      </c>
      <c r="F4953" t="s">
        <v>107</v>
      </c>
      <c r="G4953" t="s">
        <v>210</v>
      </c>
      <c r="H4953" t="s">
        <v>209</v>
      </c>
      <c r="I4953" t="s">
        <v>38</v>
      </c>
      <c r="J4953" t="s">
        <v>39</v>
      </c>
      <c r="K4953" t="s">
        <v>30</v>
      </c>
      <c r="L4953" t="s">
        <v>31</v>
      </c>
      <c r="M4953" t="s">
        <v>140</v>
      </c>
      <c r="N4953">
        <v>129</v>
      </c>
      <c r="O4953">
        <v>0.100893948</v>
      </c>
      <c r="P4953">
        <v>4.7743125999999997E-2</v>
      </c>
      <c r="Q4953" t="str">
        <f t="shared" si="154"/>
        <v>15-24</v>
      </c>
      <c r="R4953" t="str">
        <f t="shared" si="155"/>
        <v>[fyEoGEPERdI]|15-24|Female|PMTCT_ART_SUBNAT.N.New.T_1|CY2024Q3</v>
      </c>
    </row>
    <row r="4954" spans="4:18" x14ac:dyDescent="0.2">
      <c r="D4954" t="s">
        <v>105</v>
      </c>
      <c r="E4954" t="s">
        <v>106</v>
      </c>
      <c r="F4954" t="s">
        <v>107</v>
      </c>
      <c r="G4954" t="s">
        <v>210</v>
      </c>
      <c r="H4954" t="s">
        <v>209</v>
      </c>
      <c r="I4954" t="s">
        <v>41</v>
      </c>
      <c r="J4954" t="s">
        <v>42</v>
      </c>
      <c r="K4954" t="s">
        <v>30</v>
      </c>
      <c r="L4954" t="s">
        <v>31</v>
      </c>
      <c r="M4954" t="s">
        <v>140</v>
      </c>
      <c r="N4954">
        <v>175</v>
      </c>
      <c r="O4954">
        <v>8.1436816999999995E-2</v>
      </c>
      <c r="P4954">
        <v>4.7743125999999997E-2</v>
      </c>
      <c r="Q4954" t="str">
        <f t="shared" si="154"/>
        <v>25-34</v>
      </c>
      <c r="R4954" t="str">
        <f t="shared" si="155"/>
        <v>[fyEoGEPERdI]|25-34|Female|PMTCT_ART_SUBNAT.N.New.T_1|CY2024Q3</v>
      </c>
    </row>
    <row r="4955" spans="4:18" x14ac:dyDescent="0.2">
      <c r="D4955" t="s">
        <v>105</v>
      </c>
      <c r="E4955" t="s">
        <v>106</v>
      </c>
      <c r="F4955" t="s">
        <v>107</v>
      </c>
      <c r="G4955" t="s">
        <v>210</v>
      </c>
      <c r="H4955" t="s">
        <v>209</v>
      </c>
      <c r="I4955" t="s">
        <v>43</v>
      </c>
      <c r="J4955" t="s">
        <v>44</v>
      </c>
      <c r="K4955" t="s">
        <v>30</v>
      </c>
      <c r="L4955" t="s">
        <v>31</v>
      </c>
      <c r="M4955" t="s">
        <v>140</v>
      </c>
      <c r="N4955">
        <v>48</v>
      </c>
      <c r="O4955">
        <v>0.14556962800000001</v>
      </c>
      <c r="P4955">
        <v>4.7743125999999997E-2</v>
      </c>
      <c r="Q4955" t="str">
        <f t="shared" si="154"/>
        <v>35-49</v>
      </c>
      <c r="R4955" t="str">
        <f t="shared" si="155"/>
        <v>[fyEoGEPERdI]|35-49|Female|PMTCT_ART_SUBNAT.N.New.T_1|CY2024Q3</v>
      </c>
    </row>
    <row r="4956" spans="4:18" x14ac:dyDescent="0.2">
      <c r="D4956" t="s">
        <v>108</v>
      </c>
      <c r="E4956" t="s">
        <v>109</v>
      </c>
      <c r="F4956" t="s">
        <v>110</v>
      </c>
      <c r="G4956" t="s">
        <v>210</v>
      </c>
      <c r="H4956" t="s">
        <v>209</v>
      </c>
      <c r="I4956" t="s">
        <v>38</v>
      </c>
      <c r="J4956" t="s">
        <v>39</v>
      </c>
      <c r="K4956" t="s">
        <v>30</v>
      </c>
      <c r="L4956" t="s">
        <v>31</v>
      </c>
      <c r="M4956" t="s">
        <v>140</v>
      </c>
      <c r="N4956">
        <v>106</v>
      </c>
      <c r="O4956">
        <v>0.107789393</v>
      </c>
      <c r="P4956">
        <v>5.4080838999999999E-2</v>
      </c>
      <c r="Q4956" t="str">
        <f t="shared" si="154"/>
        <v>15-24</v>
      </c>
      <c r="R4956" t="str">
        <f t="shared" si="155"/>
        <v>[umc2n1Z4wNv]|15-24|Female|PMTCT_ART_SUBNAT.N.New.T_1|CY2024Q3</v>
      </c>
    </row>
    <row r="4957" spans="4:18" x14ac:dyDescent="0.2">
      <c r="D4957" t="s">
        <v>108</v>
      </c>
      <c r="E4957" t="s">
        <v>109</v>
      </c>
      <c r="F4957" t="s">
        <v>110</v>
      </c>
      <c r="G4957" t="s">
        <v>210</v>
      </c>
      <c r="H4957" t="s">
        <v>209</v>
      </c>
      <c r="I4957" t="s">
        <v>41</v>
      </c>
      <c r="J4957" t="s">
        <v>42</v>
      </c>
      <c r="K4957" t="s">
        <v>30</v>
      </c>
      <c r="L4957" t="s">
        <v>31</v>
      </c>
      <c r="M4957" t="s">
        <v>140</v>
      </c>
      <c r="N4957">
        <v>142</v>
      </c>
      <c r="O4957">
        <v>8.8901554999999993E-2</v>
      </c>
      <c r="P4957">
        <v>5.4080838999999999E-2</v>
      </c>
      <c r="Q4957" t="str">
        <f t="shared" si="154"/>
        <v>25-34</v>
      </c>
      <c r="R4957" t="str">
        <f t="shared" si="155"/>
        <v>[umc2n1Z4wNv]|25-34|Female|PMTCT_ART_SUBNAT.N.New.T_1|CY2024Q3</v>
      </c>
    </row>
    <row r="4958" spans="4:18" x14ac:dyDescent="0.2">
      <c r="D4958" t="s">
        <v>108</v>
      </c>
      <c r="E4958" t="s">
        <v>109</v>
      </c>
      <c r="F4958" t="s">
        <v>110</v>
      </c>
      <c r="G4958" t="s">
        <v>210</v>
      </c>
      <c r="H4958" t="s">
        <v>209</v>
      </c>
      <c r="I4958" t="s">
        <v>43</v>
      </c>
      <c r="J4958" t="s">
        <v>44</v>
      </c>
      <c r="K4958" t="s">
        <v>30</v>
      </c>
      <c r="L4958" t="s">
        <v>31</v>
      </c>
      <c r="M4958" t="s">
        <v>140</v>
      </c>
      <c r="N4958">
        <v>39</v>
      </c>
      <c r="O4958">
        <v>0.14996287699999999</v>
      </c>
      <c r="P4958">
        <v>5.4080838999999999E-2</v>
      </c>
      <c r="Q4958" t="str">
        <f t="shared" si="154"/>
        <v>35-49</v>
      </c>
      <c r="R4958" t="str">
        <f t="shared" si="155"/>
        <v>[umc2n1Z4wNv]|35-49|Female|PMTCT_ART_SUBNAT.N.New.T_1|CY2024Q3</v>
      </c>
    </row>
    <row r="4959" spans="4:18" x14ac:dyDescent="0.2">
      <c r="D4959" t="s">
        <v>111</v>
      </c>
      <c r="E4959" t="s">
        <v>112</v>
      </c>
      <c r="F4959" t="s">
        <v>113</v>
      </c>
      <c r="G4959" t="s">
        <v>210</v>
      </c>
      <c r="H4959" t="s">
        <v>209</v>
      </c>
      <c r="I4959" t="s">
        <v>38</v>
      </c>
      <c r="J4959" t="s">
        <v>39</v>
      </c>
      <c r="K4959" t="s">
        <v>30</v>
      </c>
      <c r="L4959" t="s">
        <v>31</v>
      </c>
      <c r="M4959" t="s">
        <v>140</v>
      </c>
      <c r="N4959">
        <v>41</v>
      </c>
      <c r="O4959">
        <v>0.12815959800000001</v>
      </c>
      <c r="P4959">
        <v>8.2774168999999995E-2</v>
      </c>
      <c r="Q4959" t="str">
        <f t="shared" si="154"/>
        <v>15-24</v>
      </c>
      <c r="R4959" t="str">
        <f t="shared" si="155"/>
        <v>[AZyWpGzhcaA]|15-24|Female|PMTCT_ART_SUBNAT.N.New.T_1|CY2024Q3</v>
      </c>
    </row>
    <row r="4960" spans="4:18" x14ac:dyDescent="0.2">
      <c r="D4960" t="s">
        <v>111</v>
      </c>
      <c r="E4960" t="s">
        <v>112</v>
      </c>
      <c r="F4960" t="s">
        <v>113</v>
      </c>
      <c r="G4960" t="s">
        <v>210</v>
      </c>
      <c r="H4960" t="s">
        <v>209</v>
      </c>
      <c r="I4960" t="s">
        <v>41</v>
      </c>
      <c r="J4960" t="s">
        <v>42</v>
      </c>
      <c r="K4960" t="s">
        <v>30</v>
      </c>
      <c r="L4960" t="s">
        <v>31</v>
      </c>
      <c r="M4960" t="s">
        <v>140</v>
      </c>
      <c r="N4960">
        <v>54</v>
      </c>
      <c r="O4960">
        <v>0.108951546</v>
      </c>
      <c r="P4960">
        <v>8.2774168999999995E-2</v>
      </c>
      <c r="Q4960" t="str">
        <f t="shared" si="154"/>
        <v>25-34</v>
      </c>
      <c r="R4960" t="str">
        <f t="shared" si="155"/>
        <v>[AZyWpGzhcaA]|25-34|Female|PMTCT_ART_SUBNAT.N.New.T_1|CY2024Q3</v>
      </c>
    </row>
    <row r="4961" spans="4:18" x14ac:dyDescent="0.2">
      <c r="D4961" t="s">
        <v>111</v>
      </c>
      <c r="E4961" t="s">
        <v>112</v>
      </c>
      <c r="F4961" t="s">
        <v>113</v>
      </c>
      <c r="G4961" t="s">
        <v>210</v>
      </c>
      <c r="H4961" t="s">
        <v>209</v>
      </c>
      <c r="I4961" t="s">
        <v>43</v>
      </c>
      <c r="J4961" t="s">
        <v>44</v>
      </c>
      <c r="K4961" t="s">
        <v>30</v>
      </c>
      <c r="L4961" t="s">
        <v>31</v>
      </c>
      <c r="M4961" t="s">
        <v>140</v>
      </c>
      <c r="N4961">
        <v>14</v>
      </c>
      <c r="O4961">
        <v>0.16441647300000001</v>
      </c>
      <c r="P4961">
        <v>8.2774168999999995E-2</v>
      </c>
      <c r="Q4961" t="str">
        <f t="shared" si="154"/>
        <v>35-49</v>
      </c>
      <c r="R4961" t="str">
        <f t="shared" si="155"/>
        <v>[AZyWpGzhcaA]|35-49|Female|PMTCT_ART_SUBNAT.N.New.T_1|CY2024Q3</v>
      </c>
    </row>
    <row r="4962" spans="4:18" x14ac:dyDescent="0.2">
      <c r="D4962" t="s">
        <v>114</v>
      </c>
      <c r="E4962" t="s">
        <v>115</v>
      </c>
      <c r="F4962" t="s">
        <v>116</v>
      </c>
      <c r="G4962" t="s">
        <v>210</v>
      </c>
      <c r="H4962" t="s">
        <v>209</v>
      </c>
      <c r="I4962" t="s">
        <v>38</v>
      </c>
      <c r="J4962" t="s">
        <v>39</v>
      </c>
      <c r="K4962" t="s">
        <v>30</v>
      </c>
      <c r="L4962" t="s">
        <v>31</v>
      </c>
      <c r="M4962" t="s">
        <v>140</v>
      </c>
      <c r="N4962">
        <v>59</v>
      </c>
      <c r="O4962">
        <v>0.109008225</v>
      </c>
      <c r="P4962">
        <v>7.0636490999999996E-2</v>
      </c>
      <c r="Q4962" t="str">
        <f t="shared" si="154"/>
        <v>15-24</v>
      </c>
      <c r="R4962" t="str">
        <f t="shared" si="155"/>
        <v>[ir8wuHHzoSs]|15-24|Female|PMTCT_ART_SUBNAT.N.New.T_1|CY2024Q3</v>
      </c>
    </row>
    <row r="4963" spans="4:18" x14ac:dyDescent="0.2">
      <c r="D4963" t="s">
        <v>114</v>
      </c>
      <c r="E4963" t="s">
        <v>115</v>
      </c>
      <c r="F4963" t="s">
        <v>116</v>
      </c>
      <c r="G4963" t="s">
        <v>210</v>
      </c>
      <c r="H4963" t="s">
        <v>209</v>
      </c>
      <c r="I4963" t="s">
        <v>41</v>
      </c>
      <c r="J4963" t="s">
        <v>42</v>
      </c>
      <c r="K4963" t="s">
        <v>30</v>
      </c>
      <c r="L4963" t="s">
        <v>31</v>
      </c>
      <c r="M4963" t="s">
        <v>140</v>
      </c>
      <c r="N4963">
        <v>78</v>
      </c>
      <c r="O4963">
        <v>9.6828986000000006E-2</v>
      </c>
      <c r="P4963">
        <v>7.0636490999999996E-2</v>
      </c>
      <c r="Q4963" t="str">
        <f t="shared" si="154"/>
        <v>25-34</v>
      </c>
      <c r="R4963" t="str">
        <f t="shared" si="155"/>
        <v>[ir8wuHHzoSs]|25-34|Female|PMTCT_ART_SUBNAT.N.New.T_1|CY2024Q3</v>
      </c>
    </row>
    <row r="4964" spans="4:18" x14ac:dyDescent="0.2">
      <c r="D4964" t="s">
        <v>114</v>
      </c>
      <c r="E4964" t="s">
        <v>115</v>
      </c>
      <c r="F4964" t="s">
        <v>116</v>
      </c>
      <c r="G4964" t="s">
        <v>210</v>
      </c>
      <c r="H4964" t="s">
        <v>209</v>
      </c>
      <c r="I4964" t="s">
        <v>43</v>
      </c>
      <c r="J4964" t="s">
        <v>44</v>
      </c>
      <c r="K4964" t="s">
        <v>30</v>
      </c>
      <c r="L4964" t="s">
        <v>31</v>
      </c>
      <c r="M4964" t="s">
        <v>140</v>
      </c>
      <c r="N4964">
        <v>21</v>
      </c>
      <c r="O4964">
        <v>0.156139164</v>
      </c>
      <c r="P4964">
        <v>7.0636490999999996E-2</v>
      </c>
      <c r="Q4964" t="str">
        <f t="shared" si="154"/>
        <v>35-49</v>
      </c>
      <c r="R4964" t="str">
        <f t="shared" si="155"/>
        <v>[ir8wuHHzoSs]|35-49|Female|PMTCT_ART_SUBNAT.N.New.T_1|CY2024Q3</v>
      </c>
    </row>
    <row r="4965" spans="4:18" x14ac:dyDescent="0.2">
      <c r="D4965" t="s">
        <v>117</v>
      </c>
      <c r="E4965" t="s">
        <v>118</v>
      </c>
      <c r="F4965" t="s">
        <v>119</v>
      </c>
      <c r="G4965" t="s">
        <v>210</v>
      </c>
      <c r="H4965" t="s">
        <v>209</v>
      </c>
      <c r="I4965" t="s">
        <v>38</v>
      </c>
      <c r="J4965" t="s">
        <v>39</v>
      </c>
      <c r="K4965" t="s">
        <v>30</v>
      </c>
      <c r="L4965" t="s">
        <v>31</v>
      </c>
      <c r="M4965" t="s">
        <v>140</v>
      </c>
      <c r="N4965">
        <v>63</v>
      </c>
      <c r="O4965">
        <v>0.10917678</v>
      </c>
      <c r="P4965">
        <v>6.9911456999999996E-2</v>
      </c>
      <c r="Q4965" t="str">
        <f t="shared" si="154"/>
        <v>15-24</v>
      </c>
      <c r="R4965" t="str">
        <f t="shared" si="155"/>
        <v>[oiPR2CiVJbf]|15-24|Female|PMTCT_ART_SUBNAT.N.New.T_1|CY2024Q3</v>
      </c>
    </row>
    <row r="4966" spans="4:18" x14ac:dyDescent="0.2">
      <c r="D4966" t="s">
        <v>117</v>
      </c>
      <c r="E4966" t="s">
        <v>118</v>
      </c>
      <c r="F4966" t="s">
        <v>119</v>
      </c>
      <c r="G4966" t="s">
        <v>210</v>
      </c>
      <c r="H4966" t="s">
        <v>209</v>
      </c>
      <c r="I4966" t="s">
        <v>41</v>
      </c>
      <c r="J4966" t="s">
        <v>42</v>
      </c>
      <c r="K4966" t="s">
        <v>30</v>
      </c>
      <c r="L4966" t="s">
        <v>31</v>
      </c>
      <c r="M4966" t="s">
        <v>140</v>
      </c>
      <c r="N4966">
        <v>88</v>
      </c>
      <c r="O4966">
        <v>9.6736561999999998E-2</v>
      </c>
      <c r="P4966">
        <v>6.9911456999999996E-2</v>
      </c>
      <c r="Q4966" t="str">
        <f t="shared" si="154"/>
        <v>25-34</v>
      </c>
      <c r="R4966" t="str">
        <f t="shared" si="155"/>
        <v>[oiPR2CiVJbf]|25-34|Female|PMTCT_ART_SUBNAT.N.New.T_1|CY2024Q3</v>
      </c>
    </row>
    <row r="4967" spans="4:18" x14ac:dyDescent="0.2">
      <c r="D4967" t="s">
        <v>117</v>
      </c>
      <c r="E4967" t="s">
        <v>118</v>
      </c>
      <c r="F4967" t="s">
        <v>119</v>
      </c>
      <c r="G4967" t="s">
        <v>210</v>
      </c>
      <c r="H4967" t="s">
        <v>209</v>
      </c>
      <c r="I4967" t="s">
        <v>43</v>
      </c>
      <c r="J4967" t="s">
        <v>44</v>
      </c>
      <c r="K4967" t="s">
        <v>30</v>
      </c>
      <c r="L4967" t="s">
        <v>31</v>
      </c>
      <c r="M4967" t="s">
        <v>140</v>
      </c>
      <c r="N4967">
        <v>25</v>
      </c>
      <c r="O4967">
        <v>0.157472313</v>
      </c>
      <c r="P4967">
        <v>6.9911456999999996E-2</v>
      </c>
      <c r="Q4967" t="str">
        <f t="shared" si="154"/>
        <v>35-49</v>
      </c>
      <c r="R4967" t="str">
        <f t="shared" si="155"/>
        <v>[oiPR2CiVJbf]|35-49|Female|PMTCT_ART_SUBNAT.N.New.T_1|CY2024Q3</v>
      </c>
    </row>
    <row r="4968" spans="4:18" x14ac:dyDescent="0.2">
      <c r="D4968" t="s">
        <v>120</v>
      </c>
      <c r="E4968" t="s">
        <v>121</v>
      </c>
      <c r="F4968" t="s">
        <v>122</v>
      </c>
      <c r="G4968" t="s">
        <v>210</v>
      </c>
      <c r="H4968" t="s">
        <v>209</v>
      </c>
      <c r="I4968" t="s">
        <v>38</v>
      </c>
      <c r="J4968" t="s">
        <v>39</v>
      </c>
      <c r="K4968" t="s">
        <v>30</v>
      </c>
      <c r="L4968" t="s">
        <v>31</v>
      </c>
      <c r="M4968" t="s">
        <v>140</v>
      </c>
      <c r="N4968">
        <v>211</v>
      </c>
      <c r="O4968">
        <v>9.4940380000000005E-2</v>
      </c>
      <c r="P4968">
        <v>3.7040798999999999E-2</v>
      </c>
      <c r="Q4968" t="str">
        <f t="shared" si="154"/>
        <v>15-24</v>
      </c>
      <c r="R4968" t="str">
        <f t="shared" si="155"/>
        <v>[mxqa3CDFmIT]|15-24|Female|PMTCT_ART_SUBNAT.N.New.T_1|CY2024Q3</v>
      </c>
    </row>
    <row r="4969" spans="4:18" x14ac:dyDescent="0.2">
      <c r="D4969" t="s">
        <v>120</v>
      </c>
      <c r="E4969" t="s">
        <v>121</v>
      </c>
      <c r="F4969" t="s">
        <v>122</v>
      </c>
      <c r="G4969" t="s">
        <v>210</v>
      </c>
      <c r="H4969" t="s">
        <v>209</v>
      </c>
      <c r="I4969" t="s">
        <v>41</v>
      </c>
      <c r="J4969" t="s">
        <v>42</v>
      </c>
      <c r="K4969" t="s">
        <v>30</v>
      </c>
      <c r="L4969" t="s">
        <v>31</v>
      </c>
      <c r="M4969" t="s">
        <v>140</v>
      </c>
      <c r="N4969">
        <v>339</v>
      </c>
      <c r="O4969">
        <v>6.6984264000000002E-2</v>
      </c>
      <c r="P4969">
        <v>3.7040798999999999E-2</v>
      </c>
      <c r="Q4969" t="str">
        <f t="shared" si="154"/>
        <v>25-34</v>
      </c>
      <c r="R4969" t="str">
        <f t="shared" si="155"/>
        <v>[mxqa3CDFmIT]|25-34|Female|PMTCT_ART_SUBNAT.N.New.T_1|CY2024Q3</v>
      </c>
    </row>
    <row r="4970" spans="4:18" x14ac:dyDescent="0.2">
      <c r="D4970" t="s">
        <v>120</v>
      </c>
      <c r="E4970" t="s">
        <v>121</v>
      </c>
      <c r="F4970" t="s">
        <v>122</v>
      </c>
      <c r="G4970" t="s">
        <v>210</v>
      </c>
      <c r="H4970" t="s">
        <v>209</v>
      </c>
      <c r="I4970" t="s">
        <v>43</v>
      </c>
      <c r="J4970" t="s">
        <v>44</v>
      </c>
      <c r="K4970" t="s">
        <v>30</v>
      </c>
      <c r="L4970" t="s">
        <v>31</v>
      </c>
      <c r="M4970" t="s">
        <v>140</v>
      </c>
      <c r="N4970">
        <v>91</v>
      </c>
      <c r="O4970">
        <v>0.13650337500000001</v>
      </c>
      <c r="P4970">
        <v>3.7040798999999999E-2</v>
      </c>
      <c r="Q4970" t="str">
        <f t="shared" si="154"/>
        <v>35-49</v>
      </c>
      <c r="R4970" t="str">
        <f t="shared" si="155"/>
        <v>[mxqa3CDFmIT]|35-49|Female|PMTCT_ART_SUBNAT.N.New.T_1|CY2024Q3</v>
      </c>
    </row>
    <row r="4971" spans="4:18" x14ac:dyDescent="0.2">
      <c r="D4971" t="s">
        <v>123</v>
      </c>
      <c r="E4971" t="s">
        <v>124</v>
      </c>
      <c r="F4971" t="s">
        <v>125</v>
      </c>
      <c r="G4971" t="s">
        <v>210</v>
      </c>
      <c r="H4971" t="s">
        <v>209</v>
      </c>
      <c r="I4971" t="s">
        <v>38</v>
      </c>
      <c r="J4971" t="s">
        <v>39</v>
      </c>
      <c r="K4971" t="s">
        <v>30</v>
      </c>
      <c r="L4971" t="s">
        <v>31</v>
      </c>
      <c r="M4971" t="s">
        <v>140</v>
      </c>
      <c r="N4971">
        <v>16</v>
      </c>
      <c r="O4971">
        <v>0.15321673899999999</v>
      </c>
      <c r="P4971">
        <v>0.123188431</v>
      </c>
      <c r="Q4971" t="str">
        <f t="shared" si="154"/>
        <v>15-24</v>
      </c>
      <c r="R4971" t="str">
        <f t="shared" si="155"/>
        <v>[wNqJp8oRIcF]|15-24|Female|PMTCT_ART_SUBNAT.N.New.T_1|CY2024Q3</v>
      </c>
    </row>
    <row r="4972" spans="4:18" x14ac:dyDescent="0.2">
      <c r="D4972" t="s">
        <v>123</v>
      </c>
      <c r="E4972" t="s">
        <v>124</v>
      </c>
      <c r="F4972" t="s">
        <v>125</v>
      </c>
      <c r="G4972" t="s">
        <v>210</v>
      </c>
      <c r="H4972" t="s">
        <v>209</v>
      </c>
      <c r="I4972" t="s">
        <v>41</v>
      </c>
      <c r="J4972" t="s">
        <v>42</v>
      </c>
      <c r="K4972" t="s">
        <v>30</v>
      </c>
      <c r="L4972" t="s">
        <v>31</v>
      </c>
      <c r="M4972" t="s">
        <v>140</v>
      </c>
      <c r="N4972">
        <v>22</v>
      </c>
      <c r="O4972">
        <v>0.13520511700000001</v>
      </c>
      <c r="P4972">
        <v>0.123188431</v>
      </c>
      <c r="Q4972" t="str">
        <f t="shared" si="154"/>
        <v>25-34</v>
      </c>
      <c r="R4972" t="str">
        <f t="shared" si="155"/>
        <v>[wNqJp8oRIcF]|25-34|Female|PMTCT_ART_SUBNAT.N.New.T_1|CY2024Q3</v>
      </c>
    </row>
    <row r="4973" spans="4:18" x14ac:dyDescent="0.2">
      <c r="D4973" t="s">
        <v>123</v>
      </c>
      <c r="E4973" t="s">
        <v>124</v>
      </c>
      <c r="F4973" t="s">
        <v>125</v>
      </c>
      <c r="G4973" t="s">
        <v>210</v>
      </c>
      <c r="H4973" t="s">
        <v>209</v>
      </c>
      <c r="I4973" t="s">
        <v>43</v>
      </c>
      <c r="J4973" t="s">
        <v>44</v>
      </c>
      <c r="K4973" t="s">
        <v>30</v>
      </c>
      <c r="L4973" t="s">
        <v>31</v>
      </c>
      <c r="M4973" t="s">
        <v>140</v>
      </c>
      <c r="N4973">
        <v>6</v>
      </c>
      <c r="O4973">
        <v>0.19291252</v>
      </c>
      <c r="P4973">
        <v>0.123188431</v>
      </c>
      <c r="Q4973" t="str">
        <f t="shared" si="154"/>
        <v>35-49</v>
      </c>
      <c r="R4973" t="str">
        <f t="shared" si="155"/>
        <v>[wNqJp8oRIcF]|35-49|Female|PMTCT_ART_SUBNAT.N.New.T_1|CY2024Q3</v>
      </c>
    </row>
    <row r="4974" spans="4:18" x14ac:dyDescent="0.2">
      <c r="D4974" t="s">
        <v>126</v>
      </c>
      <c r="E4974" t="s">
        <v>127</v>
      </c>
      <c r="F4974" t="s">
        <v>128</v>
      </c>
      <c r="G4974" t="s">
        <v>210</v>
      </c>
      <c r="H4974" t="s">
        <v>209</v>
      </c>
      <c r="I4974" t="s">
        <v>38</v>
      </c>
      <c r="J4974" t="s">
        <v>39</v>
      </c>
      <c r="K4974" t="s">
        <v>30</v>
      </c>
      <c r="L4974" t="s">
        <v>31</v>
      </c>
      <c r="M4974" t="s">
        <v>140</v>
      </c>
      <c r="N4974">
        <v>86</v>
      </c>
      <c r="O4974">
        <v>0.105421162</v>
      </c>
      <c r="P4974">
        <v>5.9877993999999997E-2</v>
      </c>
      <c r="Q4974" t="str">
        <f t="shared" si="154"/>
        <v>15-24</v>
      </c>
      <c r="R4974" t="str">
        <f t="shared" si="155"/>
        <v>[ul0y9diGujK]|15-24|Female|PMTCT_ART_SUBNAT.N.New.T_1|CY2024Q3</v>
      </c>
    </row>
    <row r="4975" spans="4:18" x14ac:dyDescent="0.2">
      <c r="D4975" t="s">
        <v>126</v>
      </c>
      <c r="E4975" t="s">
        <v>127</v>
      </c>
      <c r="F4975" t="s">
        <v>128</v>
      </c>
      <c r="G4975" t="s">
        <v>210</v>
      </c>
      <c r="H4975" t="s">
        <v>209</v>
      </c>
      <c r="I4975" t="s">
        <v>41</v>
      </c>
      <c r="J4975" t="s">
        <v>42</v>
      </c>
      <c r="K4975" t="s">
        <v>30</v>
      </c>
      <c r="L4975" t="s">
        <v>31</v>
      </c>
      <c r="M4975" t="s">
        <v>140</v>
      </c>
      <c r="N4975">
        <v>116</v>
      </c>
      <c r="O4975">
        <v>9.1017558999999998E-2</v>
      </c>
      <c r="P4975">
        <v>5.9877993999999997E-2</v>
      </c>
      <c r="Q4975" t="str">
        <f t="shared" si="154"/>
        <v>25-34</v>
      </c>
      <c r="R4975" t="str">
        <f t="shared" si="155"/>
        <v>[ul0y9diGujK]|25-34|Female|PMTCT_ART_SUBNAT.N.New.T_1|CY2024Q3</v>
      </c>
    </row>
    <row r="4976" spans="4:18" x14ac:dyDescent="0.2">
      <c r="D4976" t="s">
        <v>126</v>
      </c>
      <c r="E4976" t="s">
        <v>127</v>
      </c>
      <c r="F4976" t="s">
        <v>128</v>
      </c>
      <c r="G4976" t="s">
        <v>210</v>
      </c>
      <c r="H4976" t="s">
        <v>209</v>
      </c>
      <c r="I4976" t="s">
        <v>43</v>
      </c>
      <c r="J4976" t="s">
        <v>44</v>
      </c>
      <c r="K4976" t="s">
        <v>30</v>
      </c>
      <c r="L4976" t="s">
        <v>31</v>
      </c>
      <c r="M4976" t="s">
        <v>140</v>
      </c>
      <c r="N4976">
        <v>33</v>
      </c>
      <c r="O4976">
        <v>0.15090039999999999</v>
      </c>
      <c r="P4976">
        <v>5.9877993999999997E-2</v>
      </c>
      <c r="Q4976" t="str">
        <f t="shared" si="154"/>
        <v>35-49</v>
      </c>
      <c r="R4976" t="str">
        <f t="shared" si="155"/>
        <v>[ul0y9diGujK]|35-49|Female|PMTCT_ART_SUBNAT.N.New.T_1|CY2024Q3</v>
      </c>
    </row>
    <row r="4977" spans="4:18" x14ac:dyDescent="0.2">
      <c r="D4977" t="s">
        <v>129</v>
      </c>
      <c r="E4977" t="s">
        <v>130</v>
      </c>
      <c r="F4977" t="s">
        <v>131</v>
      </c>
      <c r="G4977" t="s">
        <v>210</v>
      </c>
      <c r="H4977" t="s">
        <v>209</v>
      </c>
      <c r="I4977" t="s">
        <v>38</v>
      </c>
      <c r="J4977" t="s">
        <v>39</v>
      </c>
      <c r="K4977" t="s">
        <v>30</v>
      </c>
      <c r="L4977" t="s">
        <v>31</v>
      </c>
      <c r="M4977" t="s">
        <v>140</v>
      </c>
      <c r="N4977">
        <v>76</v>
      </c>
      <c r="O4977">
        <v>0.11071901000000001</v>
      </c>
      <c r="P4977">
        <v>6.4529113999999999E-2</v>
      </c>
      <c r="Q4977" t="str">
        <f t="shared" si="154"/>
        <v>15-24</v>
      </c>
      <c r="R4977" t="str">
        <f t="shared" si="155"/>
        <v>[U8c0so51kT6]|15-24|Female|PMTCT_ART_SUBNAT.N.New.T_1|CY2024Q3</v>
      </c>
    </row>
    <row r="4978" spans="4:18" x14ac:dyDescent="0.2">
      <c r="D4978" t="s">
        <v>129</v>
      </c>
      <c r="E4978" t="s">
        <v>130</v>
      </c>
      <c r="F4978" t="s">
        <v>131</v>
      </c>
      <c r="G4978" t="s">
        <v>210</v>
      </c>
      <c r="H4978" t="s">
        <v>209</v>
      </c>
      <c r="I4978" t="s">
        <v>41</v>
      </c>
      <c r="J4978" t="s">
        <v>42</v>
      </c>
      <c r="K4978" t="s">
        <v>30</v>
      </c>
      <c r="L4978" t="s">
        <v>31</v>
      </c>
      <c r="M4978" t="s">
        <v>140</v>
      </c>
      <c r="N4978">
        <v>104</v>
      </c>
      <c r="O4978">
        <v>9.2725052000000002E-2</v>
      </c>
      <c r="P4978">
        <v>6.4529113999999999E-2</v>
      </c>
      <c r="Q4978" t="str">
        <f t="shared" si="154"/>
        <v>25-34</v>
      </c>
      <c r="R4978" t="str">
        <f t="shared" si="155"/>
        <v>[U8c0so51kT6]|25-34|Female|PMTCT_ART_SUBNAT.N.New.T_1|CY2024Q3</v>
      </c>
    </row>
    <row r="4979" spans="4:18" x14ac:dyDescent="0.2">
      <c r="D4979" t="s">
        <v>129</v>
      </c>
      <c r="E4979" t="s">
        <v>130</v>
      </c>
      <c r="F4979" t="s">
        <v>131</v>
      </c>
      <c r="G4979" t="s">
        <v>210</v>
      </c>
      <c r="H4979" t="s">
        <v>209</v>
      </c>
      <c r="I4979" t="s">
        <v>43</v>
      </c>
      <c r="J4979" t="s">
        <v>44</v>
      </c>
      <c r="K4979" t="s">
        <v>30</v>
      </c>
      <c r="L4979" t="s">
        <v>31</v>
      </c>
      <c r="M4979" t="s">
        <v>140</v>
      </c>
      <c r="N4979">
        <v>27</v>
      </c>
      <c r="O4979">
        <v>0.15645088500000001</v>
      </c>
      <c r="P4979">
        <v>6.4529113999999999E-2</v>
      </c>
      <c r="Q4979" t="str">
        <f t="shared" si="154"/>
        <v>35-49</v>
      </c>
      <c r="R4979" t="str">
        <f t="shared" si="155"/>
        <v>[U8c0so51kT6]|35-49|Female|PMTCT_ART_SUBNAT.N.New.T_1|CY2024Q3</v>
      </c>
    </row>
    <row r="4980" spans="4:18" x14ac:dyDescent="0.2">
      <c r="D4980" t="s">
        <v>132</v>
      </c>
      <c r="E4980" t="s">
        <v>133</v>
      </c>
      <c r="F4980" t="s">
        <v>134</v>
      </c>
      <c r="G4980" t="s">
        <v>210</v>
      </c>
      <c r="H4980" t="s">
        <v>209</v>
      </c>
      <c r="I4980" t="s">
        <v>38</v>
      </c>
      <c r="J4980" t="s">
        <v>39</v>
      </c>
      <c r="K4980" t="s">
        <v>30</v>
      </c>
      <c r="L4980" t="s">
        <v>31</v>
      </c>
      <c r="M4980" t="s">
        <v>140</v>
      </c>
      <c r="N4980">
        <v>63</v>
      </c>
      <c r="O4980">
        <v>0.11480688</v>
      </c>
      <c r="P4980">
        <v>7.1234588000000001E-2</v>
      </c>
      <c r="Q4980" t="str">
        <f t="shared" si="154"/>
        <v>15-24</v>
      </c>
      <c r="R4980" t="str">
        <f t="shared" si="155"/>
        <v>[rpw540fmNUz]|15-24|Female|PMTCT_ART_SUBNAT.N.New.T_1|CY2024Q3</v>
      </c>
    </row>
    <row r="4981" spans="4:18" x14ac:dyDescent="0.2">
      <c r="D4981" t="s">
        <v>132</v>
      </c>
      <c r="E4981" t="s">
        <v>133</v>
      </c>
      <c r="F4981" t="s">
        <v>134</v>
      </c>
      <c r="G4981" t="s">
        <v>210</v>
      </c>
      <c r="H4981" t="s">
        <v>209</v>
      </c>
      <c r="I4981" t="s">
        <v>41</v>
      </c>
      <c r="J4981" t="s">
        <v>42</v>
      </c>
      <c r="K4981" t="s">
        <v>30</v>
      </c>
      <c r="L4981" t="s">
        <v>31</v>
      </c>
      <c r="M4981" t="s">
        <v>140</v>
      </c>
      <c r="N4981">
        <v>83</v>
      </c>
      <c r="O4981">
        <v>9.7938117000000005E-2</v>
      </c>
      <c r="P4981">
        <v>7.1234588000000001E-2</v>
      </c>
      <c r="Q4981" t="str">
        <f t="shared" si="154"/>
        <v>25-34</v>
      </c>
      <c r="R4981" t="str">
        <f t="shared" si="155"/>
        <v>[rpw540fmNUz]|25-34|Female|PMTCT_ART_SUBNAT.N.New.T_1|CY2024Q3</v>
      </c>
    </row>
    <row r="4982" spans="4:18" x14ac:dyDescent="0.2">
      <c r="D4982" t="s">
        <v>132</v>
      </c>
      <c r="E4982" t="s">
        <v>133</v>
      </c>
      <c r="F4982" t="s">
        <v>134</v>
      </c>
      <c r="G4982" t="s">
        <v>210</v>
      </c>
      <c r="H4982" t="s">
        <v>209</v>
      </c>
      <c r="I4982" t="s">
        <v>43</v>
      </c>
      <c r="J4982" t="s">
        <v>44</v>
      </c>
      <c r="K4982" t="s">
        <v>30</v>
      </c>
      <c r="L4982" t="s">
        <v>31</v>
      </c>
      <c r="M4982" t="s">
        <v>140</v>
      </c>
      <c r="N4982">
        <v>20</v>
      </c>
      <c r="O4982">
        <v>0.16524002800000001</v>
      </c>
      <c r="P4982">
        <v>7.1234588000000001E-2</v>
      </c>
      <c r="Q4982" t="str">
        <f t="shared" si="154"/>
        <v>35-49</v>
      </c>
      <c r="R4982" t="str">
        <f t="shared" si="155"/>
        <v>[rpw540fmNUz]|35-49|Female|PMTCT_ART_SUBNAT.N.New.T_1|CY2024Q3</v>
      </c>
    </row>
    <row r="4983" spans="4:18" x14ac:dyDescent="0.2">
      <c r="D4983" t="s">
        <v>135</v>
      </c>
      <c r="E4983" t="s">
        <v>136</v>
      </c>
      <c r="F4983" t="s">
        <v>137</v>
      </c>
      <c r="G4983" t="s">
        <v>210</v>
      </c>
      <c r="H4983" t="s">
        <v>209</v>
      </c>
      <c r="I4983" t="s">
        <v>38</v>
      </c>
      <c r="J4983" t="s">
        <v>39</v>
      </c>
      <c r="K4983" t="s">
        <v>30</v>
      </c>
      <c r="L4983" t="s">
        <v>31</v>
      </c>
      <c r="M4983" t="s">
        <v>140</v>
      </c>
      <c r="N4983">
        <v>18</v>
      </c>
      <c r="O4983">
        <v>0.14545803199999999</v>
      </c>
      <c r="P4983">
        <v>0.11595295</v>
      </c>
      <c r="Q4983" t="str">
        <f t="shared" si="154"/>
        <v>15-24</v>
      </c>
      <c r="R4983" t="str">
        <f t="shared" si="155"/>
        <v>[gwVYinjBAe9]|15-24|Female|PMTCT_ART_SUBNAT.N.New.T_1|CY2024Q3</v>
      </c>
    </row>
    <row r="4984" spans="4:18" x14ac:dyDescent="0.2">
      <c r="D4984" t="s">
        <v>135</v>
      </c>
      <c r="E4984" t="s">
        <v>136</v>
      </c>
      <c r="F4984" t="s">
        <v>137</v>
      </c>
      <c r="G4984" t="s">
        <v>210</v>
      </c>
      <c r="H4984" t="s">
        <v>209</v>
      </c>
      <c r="I4984" t="s">
        <v>41</v>
      </c>
      <c r="J4984" t="s">
        <v>42</v>
      </c>
      <c r="K4984" t="s">
        <v>30</v>
      </c>
      <c r="L4984" t="s">
        <v>31</v>
      </c>
      <c r="M4984" t="s">
        <v>140</v>
      </c>
      <c r="N4984">
        <v>24</v>
      </c>
      <c r="O4984">
        <v>0.13621957700000001</v>
      </c>
      <c r="P4984">
        <v>0.11595295</v>
      </c>
      <c r="Q4984" t="str">
        <f t="shared" si="154"/>
        <v>25-34</v>
      </c>
      <c r="R4984" t="str">
        <f t="shared" si="155"/>
        <v>[gwVYinjBAe9]|25-34|Female|PMTCT_ART_SUBNAT.N.New.T_1|CY2024Q3</v>
      </c>
    </row>
    <row r="4985" spans="4:18" x14ac:dyDescent="0.2">
      <c r="D4985" t="s">
        <v>135</v>
      </c>
      <c r="E4985" t="s">
        <v>136</v>
      </c>
      <c r="F4985" t="s">
        <v>137</v>
      </c>
      <c r="G4985" t="s">
        <v>210</v>
      </c>
      <c r="H4985" t="s">
        <v>209</v>
      </c>
      <c r="I4985" t="s">
        <v>43</v>
      </c>
      <c r="J4985" t="s">
        <v>44</v>
      </c>
      <c r="K4985" t="s">
        <v>30</v>
      </c>
      <c r="L4985" t="s">
        <v>31</v>
      </c>
      <c r="M4985" t="s">
        <v>140</v>
      </c>
      <c r="N4985">
        <v>6</v>
      </c>
      <c r="O4985">
        <v>0.19035580999999999</v>
      </c>
      <c r="P4985">
        <v>0.11595295</v>
      </c>
      <c r="Q4985" t="str">
        <f t="shared" si="154"/>
        <v>35-49</v>
      </c>
      <c r="R4985" t="str">
        <f t="shared" si="155"/>
        <v>[gwVYinjBAe9]|35-49|Female|PMTCT_ART_SUBNAT.N.New.T_1|CY2024Q3</v>
      </c>
    </row>
    <row r="4986" spans="4:18" x14ac:dyDescent="0.2">
      <c r="D4986" t="s">
        <v>23</v>
      </c>
      <c r="E4986" t="s">
        <v>24</v>
      </c>
      <c r="F4986" t="s">
        <v>25</v>
      </c>
      <c r="G4986" t="s">
        <v>211</v>
      </c>
      <c r="H4986" t="s">
        <v>212</v>
      </c>
      <c r="I4986" t="s">
        <v>38</v>
      </c>
      <c r="J4986" t="s">
        <v>39</v>
      </c>
      <c r="K4986" t="s">
        <v>30</v>
      </c>
      <c r="L4986" t="s">
        <v>31</v>
      </c>
      <c r="M4986" t="s">
        <v>140</v>
      </c>
      <c r="N4986">
        <v>20</v>
      </c>
      <c r="O4986">
        <v>0.11910657099999999</v>
      </c>
      <c r="P4986">
        <v>8.0432715000000002E-2</v>
      </c>
      <c r="Q4986" t="str">
        <f t="shared" si="154"/>
        <v>15-24</v>
      </c>
      <c r="R4986" t="str">
        <f t="shared" si="155"/>
        <v>[GkIwZrXy1h2]|15-24|Female|PMTCT_STAT_SUBNAT.N.Known.Pos.T_1|CY2024Q3</v>
      </c>
    </row>
    <row r="4987" spans="4:18" x14ac:dyDescent="0.2">
      <c r="D4987" t="s">
        <v>23</v>
      </c>
      <c r="E4987" t="s">
        <v>24</v>
      </c>
      <c r="F4987" t="s">
        <v>25</v>
      </c>
      <c r="G4987" t="s">
        <v>211</v>
      </c>
      <c r="H4987" t="s">
        <v>212</v>
      </c>
      <c r="I4987" t="s">
        <v>41</v>
      </c>
      <c r="J4987" t="s">
        <v>42</v>
      </c>
      <c r="K4987" t="s">
        <v>30</v>
      </c>
      <c r="L4987" t="s">
        <v>31</v>
      </c>
      <c r="M4987" t="s">
        <v>140</v>
      </c>
      <c r="N4987">
        <v>39</v>
      </c>
      <c r="O4987">
        <v>9.4660304000000001E-2</v>
      </c>
      <c r="P4987">
        <v>8.0432715000000002E-2</v>
      </c>
      <c r="Q4987" t="str">
        <f t="shared" si="154"/>
        <v>25-34</v>
      </c>
      <c r="R4987" t="str">
        <f t="shared" si="155"/>
        <v>[GkIwZrXy1h2]|25-34|Female|PMTCT_STAT_SUBNAT.N.Known.Pos.T_1|CY2024Q3</v>
      </c>
    </row>
    <row r="4988" spans="4:18" x14ac:dyDescent="0.2">
      <c r="D4988" t="s">
        <v>23</v>
      </c>
      <c r="E4988" t="s">
        <v>24</v>
      </c>
      <c r="F4988" t="s">
        <v>25</v>
      </c>
      <c r="G4988" t="s">
        <v>211</v>
      </c>
      <c r="H4988" t="s">
        <v>212</v>
      </c>
      <c r="I4988" t="s">
        <v>43</v>
      </c>
      <c r="J4988" t="s">
        <v>44</v>
      </c>
      <c r="K4988" t="s">
        <v>30</v>
      </c>
      <c r="L4988" t="s">
        <v>31</v>
      </c>
      <c r="M4988" t="s">
        <v>140</v>
      </c>
      <c r="N4988">
        <v>35</v>
      </c>
      <c r="O4988">
        <v>7.8949281999999996E-2</v>
      </c>
      <c r="P4988">
        <v>8.0432715000000002E-2</v>
      </c>
      <c r="Q4988" t="str">
        <f t="shared" si="154"/>
        <v>35-49</v>
      </c>
      <c r="R4988" t="str">
        <f t="shared" si="155"/>
        <v>[GkIwZrXy1h2]|35-49|Female|PMTCT_STAT_SUBNAT.N.Known.Pos.T_1|CY2024Q3</v>
      </c>
    </row>
    <row r="4989" spans="4:18" x14ac:dyDescent="0.2">
      <c r="D4989" t="s">
        <v>53</v>
      </c>
      <c r="E4989" t="s">
        <v>54</v>
      </c>
      <c r="F4989" t="s">
        <v>55</v>
      </c>
      <c r="G4989" t="s">
        <v>211</v>
      </c>
      <c r="H4989" t="s">
        <v>212</v>
      </c>
      <c r="I4989" t="s">
        <v>38</v>
      </c>
      <c r="J4989" t="s">
        <v>39</v>
      </c>
      <c r="K4989" t="s">
        <v>30</v>
      </c>
      <c r="L4989" t="s">
        <v>31</v>
      </c>
      <c r="M4989" t="s">
        <v>140</v>
      </c>
      <c r="N4989">
        <v>64</v>
      </c>
      <c r="O4989">
        <v>9.6909579999999995E-2</v>
      </c>
      <c r="P4989">
        <v>5.1832037999999997E-2</v>
      </c>
      <c r="Q4989" t="str">
        <f t="shared" si="154"/>
        <v>15-24</v>
      </c>
      <c r="R4989" t="str">
        <f t="shared" si="155"/>
        <v>[cPtvxaZqXIH]|15-24|Female|PMTCT_STAT_SUBNAT.N.Known.Pos.T_1|CY2024Q3</v>
      </c>
    </row>
    <row r="4990" spans="4:18" x14ac:dyDescent="0.2">
      <c r="D4990" t="s">
        <v>53</v>
      </c>
      <c r="E4990" t="s">
        <v>54</v>
      </c>
      <c r="F4990" t="s">
        <v>55</v>
      </c>
      <c r="G4990" t="s">
        <v>211</v>
      </c>
      <c r="H4990" t="s">
        <v>212</v>
      </c>
      <c r="I4990" t="s">
        <v>41</v>
      </c>
      <c r="J4990" t="s">
        <v>42</v>
      </c>
      <c r="K4990" t="s">
        <v>30</v>
      </c>
      <c r="L4990" t="s">
        <v>31</v>
      </c>
      <c r="M4990" t="s">
        <v>140</v>
      </c>
      <c r="N4990">
        <v>125</v>
      </c>
      <c r="O4990">
        <v>6.6237033000000001E-2</v>
      </c>
      <c r="P4990">
        <v>5.1832037999999997E-2</v>
      </c>
      <c r="Q4990" t="str">
        <f t="shared" si="154"/>
        <v>25-34</v>
      </c>
      <c r="R4990" t="str">
        <f t="shared" si="155"/>
        <v>[cPtvxaZqXIH]|25-34|Female|PMTCT_STAT_SUBNAT.N.Known.Pos.T_1|CY2024Q3</v>
      </c>
    </row>
    <row r="4991" spans="4:18" x14ac:dyDescent="0.2">
      <c r="D4991" t="s">
        <v>53</v>
      </c>
      <c r="E4991" t="s">
        <v>54</v>
      </c>
      <c r="F4991" t="s">
        <v>55</v>
      </c>
      <c r="G4991" t="s">
        <v>211</v>
      </c>
      <c r="H4991" t="s">
        <v>212</v>
      </c>
      <c r="I4991" t="s">
        <v>43</v>
      </c>
      <c r="J4991" t="s">
        <v>44</v>
      </c>
      <c r="K4991" t="s">
        <v>30</v>
      </c>
      <c r="L4991" t="s">
        <v>31</v>
      </c>
      <c r="M4991" t="s">
        <v>140</v>
      </c>
      <c r="N4991">
        <v>111</v>
      </c>
      <c r="O4991">
        <v>5.7840000000000003E-2</v>
      </c>
      <c r="P4991">
        <v>5.1832037999999997E-2</v>
      </c>
      <c r="Q4991" t="str">
        <f t="shared" si="154"/>
        <v>35-49</v>
      </c>
      <c r="R4991" t="str">
        <f t="shared" si="155"/>
        <v>[cPtvxaZqXIH]|35-49|Female|PMTCT_STAT_SUBNAT.N.Known.Pos.T_1|CY2024Q3</v>
      </c>
    </row>
    <row r="4992" spans="4:18" x14ac:dyDescent="0.2">
      <c r="D4992" t="s">
        <v>60</v>
      </c>
      <c r="E4992" t="s">
        <v>61</v>
      </c>
      <c r="F4992" t="s">
        <v>62</v>
      </c>
      <c r="G4992" t="s">
        <v>211</v>
      </c>
      <c r="H4992" t="s">
        <v>212</v>
      </c>
      <c r="I4992" t="s">
        <v>38</v>
      </c>
      <c r="J4992" t="s">
        <v>39</v>
      </c>
      <c r="K4992" t="s">
        <v>30</v>
      </c>
      <c r="L4992" t="s">
        <v>31</v>
      </c>
      <c r="M4992" t="s">
        <v>140</v>
      </c>
      <c r="N4992">
        <v>59</v>
      </c>
      <c r="O4992">
        <v>9.1972392E-2</v>
      </c>
      <c r="P4992">
        <v>5.3526081000000003E-2</v>
      </c>
      <c r="Q4992" t="str">
        <f t="shared" si="154"/>
        <v>15-24</v>
      </c>
      <c r="R4992" t="str">
        <f t="shared" si="155"/>
        <v>[E7zpfyBt7Tw]|15-24|Female|PMTCT_STAT_SUBNAT.N.Known.Pos.T_1|CY2024Q3</v>
      </c>
    </row>
    <row r="4993" spans="4:18" x14ac:dyDescent="0.2">
      <c r="D4993" t="s">
        <v>60</v>
      </c>
      <c r="E4993" t="s">
        <v>61</v>
      </c>
      <c r="F4993" t="s">
        <v>62</v>
      </c>
      <c r="G4993" t="s">
        <v>211</v>
      </c>
      <c r="H4993" t="s">
        <v>212</v>
      </c>
      <c r="I4993" t="s">
        <v>41</v>
      </c>
      <c r="J4993" t="s">
        <v>42</v>
      </c>
      <c r="K4993" t="s">
        <v>30</v>
      </c>
      <c r="L4993" t="s">
        <v>31</v>
      </c>
      <c r="M4993" t="s">
        <v>140</v>
      </c>
      <c r="N4993">
        <v>104</v>
      </c>
      <c r="O4993">
        <v>6.5856270999999994E-2</v>
      </c>
      <c r="P4993">
        <v>5.3526081000000003E-2</v>
      </c>
      <c r="Q4993" t="str">
        <f t="shared" si="154"/>
        <v>25-34</v>
      </c>
      <c r="R4993" t="str">
        <f t="shared" si="155"/>
        <v>[E7zpfyBt7Tw]|25-34|Female|PMTCT_STAT_SUBNAT.N.Known.Pos.T_1|CY2024Q3</v>
      </c>
    </row>
    <row r="4994" spans="4:18" x14ac:dyDescent="0.2">
      <c r="D4994" t="s">
        <v>60</v>
      </c>
      <c r="E4994" t="s">
        <v>61</v>
      </c>
      <c r="F4994" t="s">
        <v>62</v>
      </c>
      <c r="G4994" t="s">
        <v>211</v>
      </c>
      <c r="H4994" t="s">
        <v>212</v>
      </c>
      <c r="I4994" t="s">
        <v>43</v>
      </c>
      <c r="J4994" t="s">
        <v>44</v>
      </c>
      <c r="K4994" t="s">
        <v>30</v>
      </c>
      <c r="L4994" t="s">
        <v>31</v>
      </c>
      <c r="M4994" t="s">
        <v>140</v>
      </c>
      <c r="N4994">
        <v>86</v>
      </c>
      <c r="O4994">
        <v>5.8703001999999997E-2</v>
      </c>
      <c r="P4994">
        <v>5.3526081000000003E-2</v>
      </c>
      <c r="Q4994" t="str">
        <f t="shared" si="154"/>
        <v>35-49</v>
      </c>
      <c r="R4994" t="str">
        <f t="shared" si="155"/>
        <v>[E7zpfyBt7Tw]|35-49|Female|PMTCT_STAT_SUBNAT.N.Known.Pos.T_1|CY2024Q3</v>
      </c>
    </row>
    <row r="4995" spans="4:18" x14ac:dyDescent="0.2">
      <c r="D4995" t="s">
        <v>63</v>
      </c>
      <c r="E4995" t="s">
        <v>64</v>
      </c>
      <c r="F4995" t="s">
        <v>65</v>
      </c>
      <c r="G4995" t="s">
        <v>211</v>
      </c>
      <c r="H4995" t="s">
        <v>212</v>
      </c>
      <c r="I4995" t="s">
        <v>38</v>
      </c>
      <c r="J4995" t="s">
        <v>39</v>
      </c>
      <c r="K4995" t="s">
        <v>30</v>
      </c>
      <c r="L4995" t="s">
        <v>31</v>
      </c>
      <c r="M4995" t="s">
        <v>140</v>
      </c>
      <c r="N4995">
        <v>34</v>
      </c>
      <c r="O4995">
        <v>0.102760912</v>
      </c>
      <c r="P4995">
        <v>6.7377035000000002E-2</v>
      </c>
      <c r="Q4995" t="str">
        <f t="shared" ref="Q4995:Q5058" si="156">SUBSTITUTE(SUBSTITUTE($I4995,CHAR(61),""),CHAR(34),"")</f>
        <v>15-24</v>
      </c>
      <c r="R4995" t="str">
        <f t="shared" ref="R4995:R5058" si="157">IF($D4995&lt;&gt;"","["&amp;$E4995&amp;"]"&amp;"|"&amp;$Q4995&amp;"|"&amp;$K4995&amp;"|"&amp;$G4995&amp;"|"&amp;IF($G4995="TX_CURR_SUBNAT.R","CY2023Q4",$M4995),"")</f>
        <v>[lPTyjLi4w3d]|15-24|Female|PMTCT_STAT_SUBNAT.N.Known.Pos.T_1|CY2024Q3</v>
      </c>
    </row>
    <row r="4996" spans="4:18" x14ac:dyDescent="0.2">
      <c r="D4996" t="s">
        <v>63</v>
      </c>
      <c r="E4996" t="s">
        <v>64</v>
      </c>
      <c r="F4996" t="s">
        <v>65</v>
      </c>
      <c r="G4996" t="s">
        <v>211</v>
      </c>
      <c r="H4996" t="s">
        <v>212</v>
      </c>
      <c r="I4996" t="s">
        <v>41</v>
      </c>
      <c r="J4996" t="s">
        <v>42</v>
      </c>
      <c r="K4996" t="s">
        <v>30</v>
      </c>
      <c r="L4996" t="s">
        <v>31</v>
      </c>
      <c r="M4996" t="s">
        <v>140</v>
      </c>
      <c r="N4996">
        <v>64</v>
      </c>
      <c r="O4996">
        <v>7.6444967000000003E-2</v>
      </c>
      <c r="P4996">
        <v>6.7377035000000002E-2</v>
      </c>
      <c r="Q4996" t="str">
        <f t="shared" si="156"/>
        <v>25-34</v>
      </c>
      <c r="R4996" t="str">
        <f t="shared" si="157"/>
        <v>[lPTyjLi4w3d]|25-34|Female|PMTCT_STAT_SUBNAT.N.Known.Pos.T_1|CY2024Q3</v>
      </c>
    </row>
    <row r="4997" spans="4:18" x14ac:dyDescent="0.2">
      <c r="D4997" t="s">
        <v>63</v>
      </c>
      <c r="E4997" t="s">
        <v>64</v>
      </c>
      <c r="F4997" t="s">
        <v>65</v>
      </c>
      <c r="G4997" t="s">
        <v>211</v>
      </c>
      <c r="H4997" t="s">
        <v>212</v>
      </c>
      <c r="I4997" t="s">
        <v>43</v>
      </c>
      <c r="J4997" t="s">
        <v>44</v>
      </c>
      <c r="K4997" t="s">
        <v>30</v>
      </c>
      <c r="L4997" t="s">
        <v>31</v>
      </c>
      <c r="M4997" t="s">
        <v>140</v>
      </c>
      <c r="N4997">
        <v>54</v>
      </c>
      <c r="O4997">
        <v>6.8476288999999996E-2</v>
      </c>
      <c r="P4997">
        <v>6.7377035000000002E-2</v>
      </c>
      <c r="Q4997" t="str">
        <f t="shared" si="156"/>
        <v>35-49</v>
      </c>
      <c r="R4997" t="str">
        <f t="shared" si="157"/>
        <v>[lPTyjLi4w3d]|35-49|Female|PMTCT_STAT_SUBNAT.N.Known.Pos.T_1|CY2024Q3</v>
      </c>
    </row>
    <row r="4998" spans="4:18" x14ac:dyDescent="0.2">
      <c r="D4998" t="s">
        <v>66</v>
      </c>
      <c r="E4998" t="s">
        <v>67</v>
      </c>
      <c r="F4998" t="s">
        <v>68</v>
      </c>
      <c r="G4998" t="s">
        <v>211</v>
      </c>
      <c r="H4998" t="s">
        <v>212</v>
      </c>
      <c r="I4998" t="s">
        <v>38</v>
      </c>
      <c r="J4998" t="s">
        <v>39</v>
      </c>
      <c r="K4998" t="s">
        <v>30</v>
      </c>
      <c r="L4998" t="s">
        <v>31</v>
      </c>
      <c r="M4998" t="s">
        <v>140</v>
      </c>
      <c r="N4998">
        <v>146</v>
      </c>
      <c r="O4998">
        <v>8.5026704999999994E-2</v>
      </c>
      <c r="P4998">
        <v>3.2497824000000002E-2</v>
      </c>
      <c r="Q4998" t="str">
        <f t="shared" si="156"/>
        <v>15-24</v>
      </c>
      <c r="R4998" t="str">
        <f t="shared" si="157"/>
        <v>[vA4NcHxfMBq]|15-24|Female|PMTCT_STAT_SUBNAT.N.Known.Pos.T_1|CY2024Q3</v>
      </c>
    </row>
    <row r="4999" spans="4:18" x14ac:dyDescent="0.2">
      <c r="D4999" t="s">
        <v>66</v>
      </c>
      <c r="E4999" t="s">
        <v>67</v>
      </c>
      <c r="F4999" t="s">
        <v>68</v>
      </c>
      <c r="G4999" t="s">
        <v>211</v>
      </c>
      <c r="H4999" t="s">
        <v>212</v>
      </c>
      <c r="I4999" t="s">
        <v>41</v>
      </c>
      <c r="J4999" t="s">
        <v>42</v>
      </c>
      <c r="K4999" t="s">
        <v>30</v>
      </c>
      <c r="L4999" t="s">
        <v>31</v>
      </c>
      <c r="M4999" t="s">
        <v>140</v>
      </c>
      <c r="N4999">
        <v>312</v>
      </c>
      <c r="O4999">
        <v>5.0585818999999997E-2</v>
      </c>
      <c r="P4999">
        <v>3.2497824000000002E-2</v>
      </c>
      <c r="Q4999" t="str">
        <f t="shared" si="156"/>
        <v>25-34</v>
      </c>
      <c r="R4999" t="str">
        <f t="shared" si="157"/>
        <v>[vA4NcHxfMBq]|25-34|Female|PMTCT_STAT_SUBNAT.N.Known.Pos.T_1|CY2024Q3</v>
      </c>
    </row>
    <row r="5000" spans="4:18" x14ac:dyDescent="0.2">
      <c r="D5000" t="s">
        <v>66</v>
      </c>
      <c r="E5000" t="s">
        <v>67</v>
      </c>
      <c r="F5000" t="s">
        <v>68</v>
      </c>
      <c r="G5000" t="s">
        <v>211</v>
      </c>
      <c r="H5000" t="s">
        <v>212</v>
      </c>
      <c r="I5000" t="s">
        <v>43</v>
      </c>
      <c r="J5000" t="s">
        <v>44</v>
      </c>
      <c r="K5000" t="s">
        <v>30</v>
      </c>
      <c r="L5000" t="s">
        <v>31</v>
      </c>
      <c r="M5000" t="s">
        <v>140</v>
      </c>
      <c r="N5000">
        <v>272</v>
      </c>
      <c r="O5000">
        <v>4.6724834999999999E-2</v>
      </c>
      <c r="P5000">
        <v>3.2497824000000002E-2</v>
      </c>
      <c r="Q5000" t="str">
        <f t="shared" si="156"/>
        <v>35-49</v>
      </c>
      <c r="R5000" t="str">
        <f t="shared" si="157"/>
        <v>[vA4NcHxfMBq]|35-49|Female|PMTCT_STAT_SUBNAT.N.Known.Pos.T_1|CY2024Q3</v>
      </c>
    </row>
    <row r="5001" spans="4:18" x14ac:dyDescent="0.2">
      <c r="D5001" t="s">
        <v>69</v>
      </c>
      <c r="E5001" t="s">
        <v>70</v>
      </c>
      <c r="F5001" t="s">
        <v>71</v>
      </c>
      <c r="G5001" t="s">
        <v>211</v>
      </c>
      <c r="H5001" t="s">
        <v>212</v>
      </c>
      <c r="I5001" t="s">
        <v>38</v>
      </c>
      <c r="J5001" t="s">
        <v>39</v>
      </c>
      <c r="K5001" t="s">
        <v>30</v>
      </c>
      <c r="L5001" t="s">
        <v>31</v>
      </c>
      <c r="M5001" t="s">
        <v>140</v>
      </c>
      <c r="N5001">
        <v>4</v>
      </c>
      <c r="O5001">
        <v>0.167898151</v>
      </c>
      <c r="P5001">
        <v>0.130836858</v>
      </c>
      <c r="Q5001" t="str">
        <f t="shared" si="156"/>
        <v>15-24</v>
      </c>
      <c r="R5001" t="str">
        <f t="shared" si="157"/>
        <v>[ZCjuwgaMB9u]|15-24|Female|PMTCT_STAT_SUBNAT.N.Known.Pos.T_1|CY2024Q3</v>
      </c>
    </row>
    <row r="5002" spans="4:18" x14ac:dyDescent="0.2">
      <c r="D5002" t="s">
        <v>69</v>
      </c>
      <c r="E5002" t="s">
        <v>70</v>
      </c>
      <c r="F5002" t="s">
        <v>71</v>
      </c>
      <c r="G5002" t="s">
        <v>211</v>
      </c>
      <c r="H5002" t="s">
        <v>212</v>
      </c>
      <c r="I5002" t="s">
        <v>41</v>
      </c>
      <c r="J5002" t="s">
        <v>42</v>
      </c>
      <c r="K5002" t="s">
        <v>30</v>
      </c>
      <c r="L5002" t="s">
        <v>31</v>
      </c>
      <c r="M5002" t="s">
        <v>140</v>
      </c>
      <c r="N5002">
        <v>9</v>
      </c>
      <c r="O5002">
        <v>0.14092418800000001</v>
      </c>
      <c r="P5002">
        <v>0.130836858</v>
      </c>
      <c r="Q5002" t="str">
        <f t="shared" si="156"/>
        <v>25-34</v>
      </c>
      <c r="R5002" t="str">
        <f t="shared" si="157"/>
        <v>[ZCjuwgaMB9u]|25-34|Female|PMTCT_STAT_SUBNAT.N.Known.Pos.T_1|CY2024Q3</v>
      </c>
    </row>
    <row r="5003" spans="4:18" x14ac:dyDescent="0.2">
      <c r="D5003" t="s">
        <v>69</v>
      </c>
      <c r="E5003" t="s">
        <v>70</v>
      </c>
      <c r="F5003" t="s">
        <v>71</v>
      </c>
      <c r="G5003" t="s">
        <v>211</v>
      </c>
      <c r="H5003" t="s">
        <v>212</v>
      </c>
      <c r="I5003" t="s">
        <v>43</v>
      </c>
      <c r="J5003" t="s">
        <v>44</v>
      </c>
      <c r="K5003" t="s">
        <v>30</v>
      </c>
      <c r="L5003" t="s">
        <v>31</v>
      </c>
      <c r="M5003" t="s">
        <v>140</v>
      </c>
      <c r="N5003">
        <v>8</v>
      </c>
      <c r="O5003">
        <v>0.120250709</v>
      </c>
      <c r="P5003">
        <v>0.130836858</v>
      </c>
      <c r="Q5003" t="str">
        <f t="shared" si="156"/>
        <v>35-49</v>
      </c>
      <c r="R5003" t="str">
        <f t="shared" si="157"/>
        <v>[ZCjuwgaMB9u]|35-49|Female|PMTCT_STAT_SUBNAT.N.Known.Pos.T_1|CY2024Q3</v>
      </c>
    </row>
    <row r="5004" spans="4:18" x14ac:dyDescent="0.2">
      <c r="D5004" t="s">
        <v>72</v>
      </c>
      <c r="E5004" t="s">
        <v>73</v>
      </c>
      <c r="F5004" t="s">
        <v>74</v>
      </c>
      <c r="G5004" t="s">
        <v>211</v>
      </c>
      <c r="H5004" t="s">
        <v>212</v>
      </c>
      <c r="I5004" t="s">
        <v>38</v>
      </c>
      <c r="J5004" t="s">
        <v>39</v>
      </c>
      <c r="K5004" t="s">
        <v>30</v>
      </c>
      <c r="L5004" t="s">
        <v>31</v>
      </c>
      <c r="M5004" t="s">
        <v>140</v>
      </c>
      <c r="N5004">
        <v>89</v>
      </c>
      <c r="O5004">
        <v>8.9194308999999999E-2</v>
      </c>
      <c r="P5004">
        <v>4.7616009000000001E-2</v>
      </c>
      <c r="Q5004" t="str">
        <f t="shared" si="156"/>
        <v>15-24</v>
      </c>
      <c r="R5004" t="str">
        <f t="shared" si="157"/>
        <v>[JQKLKuVuY61]|15-24|Female|PMTCT_STAT_SUBNAT.N.Known.Pos.T_1|CY2024Q3</v>
      </c>
    </row>
    <row r="5005" spans="4:18" x14ac:dyDescent="0.2">
      <c r="D5005" t="s">
        <v>72</v>
      </c>
      <c r="E5005" t="s">
        <v>73</v>
      </c>
      <c r="F5005" t="s">
        <v>74</v>
      </c>
      <c r="G5005" t="s">
        <v>211</v>
      </c>
      <c r="H5005" t="s">
        <v>212</v>
      </c>
      <c r="I5005" t="s">
        <v>41</v>
      </c>
      <c r="J5005" t="s">
        <v>42</v>
      </c>
      <c r="K5005" t="s">
        <v>30</v>
      </c>
      <c r="L5005" t="s">
        <v>31</v>
      </c>
      <c r="M5005" t="s">
        <v>140</v>
      </c>
      <c r="N5005">
        <v>168</v>
      </c>
      <c r="O5005">
        <v>6.0520382999999997E-2</v>
      </c>
      <c r="P5005">
        <v>4.7616009000000001E-2</v>
      </c>
      <c r="Q5005" t="str">
        <f t="shared" si="156"/>
        <v>25-34</v>
      </c>
      <c r="R5005" t="str">
        <f t="shared" si="157"/>
        <v>[JQKLKuVuY61]|25-34|Female|PMTCT_STAT_SUBNAT.N.Known.Pos.T_1|CY2024Q3</v>
      </c>
    </row>
    <row r="5006" spans="4:18" x14ac:dyDescent="0.2">
      <c r="D5006" t="s">
        <v>72</v>
      </c>
      <c r="E5006" t="s">
        <v>73</v>
      </c>
      <c r="F5006" t="s">
        <v>74</v>
      </c>
      <c r="G5006" t="s">
        <v>211</v>
      </c>
      <c r="H5006" t="s">
        <v>212</v>
      </c>
      <c r="I5006" t="s">
        <v>43</v>
      </c>
      <c r="J5006" t="s">
        <v>44</v>
      </c>
      <c r="K5006" t="s">
        <v>30</v>
      </c>
      <c r="L5006" t="s">
        <v>31</v>
      </c>
      <c r="M5006" t="s">
        <v>140</v>
      </c>
      <c r="N5006">
        <v>148</v>
      </c>
      <c r="O5006">
        <v>5.4576366000000001E-2</v>
      </c>
      <c r="P5006">
        <v>4.7616009000000001E-2</v>
      </c>
      <c r="Q5006" t="str">
        <f t="shared" si="156"/>
        <v>35-49</v>
      </c>
      <c r="R5006" t="str">
        <f t="shared" si="157"/>
        <v>[JQKLKuVuY61]|35-49|Female|PMTCT_STAT_SUBNAT.N.Known.Pos.T_1|CY2024Q3</v>
      </c>
    </row>
    <row r="5007" spans="4:18" x14ac:dyDescent="0.2">
      <c r="D5007" t="s">
        <v>75</v>
      </c>
      <c r="E5007" t="s">
        <v>76</v>
      </c>
      <c r="F5007" t="s">
        <v>77</v>
      </c>
      <c r="G5007" t="s">
        <v>211</v>
      </c>
      <c r="H5007" t="s">
        <v>212</v>
      </c>
      <c r="I5007" t="s">
        <v>38</v>
      </c>
      <c r="J5007" t="s">
        <v>39</v>
      </c>
      <c r="K5007" t="s">
        <v>30</v>
      </c>
      <c r="L5007" t="s">
        <v>31</v>
      </c>
      <c r="M5007" t="s">
        <v>140</v>
      </c>
      <c r="N5007">
        <v>65</v>
      </c>
      <c r="O5007">
        <v>9.1646977000000004E-2</v>
      </c>
      <c r="P5007">
        <v>4.9601391000000002E-2</v>
      </c>
      <c r="Q5007" t="str">
        <f t="shared" si="156"/>
        <v>15-24</v>
      </c>
      <c r="R5007" t="str">
        <f t="shared" si="157"/>
        <v>[YCKiBAp8QAg]|15-24|Female|PMTCT_STAT_SUBNAT.N.Known.Pos.T_1|CY2024Q3</v>
      </c>
    </row>
    <row r="5008" spans="4:18" x14ac:dyDescent="0.2">
      <c r="D5008" t="s">
        <v>75</v>
      </c>
      <c r="E5008" t="s">
        <v>76</v>
      </c>
      <c r="F5008" t="s">
        <v>77</v>
      </c>
      <c r="G5008" t="s">
        <v>211</v>
      </c>
      <c r="H5008" t="s">
        <v>212</v>
      </c>
      <c r="I5008" t="s">
        <v>41</v>
      </c>
      <c r="J5008" t="s">
        <v>42</v>
      </c>
      <c r="K5008" t="s">
        <v>30</v>
      </c>
      <c r="L5008" t="s">
        <v>31</v>
      </c>
      <c r="M5008" t="s">
        <v>140</v>
      </c>
      <c r="N5008">
        <v>124</v>
      </c>
      <c r="O5008">
        <v>6.3519337999999995E-2</v>
      </c>
      <c r="P5008">
        <v>4.9601391000000002E-2</v>
      </c>
      <c r="Q5008" t="str">
        <f t="shared" si="156"/>
        <v>25-34</v>
      </c>
      <c r="R5008" t="str">
        <f t="shared" si="157"/>
        <v>[YCKiBAp8QAg]|25-34|Female|PMTCT_STAT_SUBNAT.N.Known.Pos.T_1|CY2024Q3</v>
      </c>
    </row>
    <row r="5009" spans="4:18" x14ac:dyDescent="0.2">
      <c r="D5009" t="s">
        <v>75</v>
      </c>
      <c r="E5009" t="s">
        <v>76</v>
      </c>
      <c r="F5009" t="s">
        <v>77</v>
      </c>
      <c r="G5009" t="s">
        <v>211</v>
      </c>
      <c r="H5009" t="s">
        <v>212</v>
      </c>
      <c r="I5009" t="s">
        <v>43</v>
      </c>
      <c r="J5009" t="s">
        <v>44</v>
      </c>
      <c r="K5009" t="s">
        <v>30</v>
      </c>
      <c r="L5009" t="s">
        <v>31</v>
      </c>
      <c r="M5009" t="s">
        <v>140</v>
      </c>
      <c r="N5009">
        <v>109</v>
      </c>
      <c r="O5009">
        <v>5.6824439999999997E-2</v>
      </c>
      <c r="P5009">
        <v>4.9601391000000002E-2</v>
      </c>
      <c r="Q5009" t="str">
        <f t="shared" si="156"/>
        <v>35-49</v>
      </c>
      <c r="R5009" t="str">
        <f t="shared" si="157"/>
        <v>[YCKiBAp8QAg]|35-49|Female|PMTCT_STAT_SUBNAT.N.Known.Pos.T_1|CY2024Q3</v>
      </c>
    </row>
    <row r="5010" spans="4:18" x14ac:dyDescent="0.2">
      <c r="D5010" t="s">
        <v>78</v>
      </c>
      <c r="E5010" t="s">
        <v>79</v>
      </c>
      <c r="F5010" t="s">
        <v>80</v>
      </c>
      <c r="G5010" t="s">
        <v>211</v>
      </c>
      <c r="H5010" t="s">
        <v>212</v>
      </c>
      <c r="I5010" t="s">
        <v>38</v>
      </c>
      <c r="J5010" t="s">
        <v>39</v>
      </c>
      <c r="K5010" t="s">
        <v>30</v>
      </c>
      <c r="L5010" t="s">
        <v>31</v>
      </c>
      <c r="M5010" t="s">
        <v>140</v>
      </c>
      <c r="N5010">
        <v>17</v>
      </c>
      <c r="O5010">
        <v>0.122338356</v>
      </c>
      <c r="P5010">
        <v>8.6391964000000002E-2</v>
      </c>
      <c r="Q5010" t="str">
        <f t="shared" si="156"/>
        <v>15-24</v>
      </c>
      <c r="R5010" t="str">
        <f t="shared" si="157"/>
        <v>[fiRkU6gEjLz]|15-24|Female|PMTCT_STAT_SUBNAT.N.Known.Pos.T_1|CY2024Q3</v>
      </c>
    </row>
    <row r="5011" spans="4:18" x14ac:dyDescent="0.2">
      <c r="D5011" t="s">
        <v>78</v>
      </c>
      <c r="E5011" t="s">
        <v>79</v>
      </c>
      <c r="F5011" t="s">
        <v>80</v>
      </c>
      <c r="G5011" t="s">
        <v>211</v>
      </c>
      <c r="H5011" t="s">
        <v>212</v>
      </c>
      <c r="I5011" t="s">
        <v>41</v>
      </c>
      <c r="J5011" t="s">
        <v>42</v>
      </c>
      <c r="K5011" t="s">
        <v>30</v>
      </c>
      <c r="L5011" t="s">
        <v>31</v>
      </c>
      <c r="M5011" t="s">
        <v>140</v>
      </c>
      <c r="N5011">
        <v>33</v>
      </c>
      <c r="O5011">
        <v>9.8777439999999994E-2</v>
      </c>
      <c r="P5011">
        <v>8.6391964000000002E-2</v>
      </c>
      <c r="Q5011" t="str">
        <f t="shared" si="156"/>
        <v>25-34</v>
      </c>
      <c r="R5011" t="str">
        <f t="shared" si="157"/>
        <v>[fiRkU6gEjLz]|25-34|Female|PMTCT_STAT_SUBNAT.N.Known.Pos.T_1|CY2024Q3</v>
      </c>
    </row>
    <row r="5012" spans="4:18" x14ac:dyDescent="0.2">
      <c r="D5012" t="s">
        <v>78</v>
      </c>
      <c r="E5012" t="s">
        <v>79</v>
      </c>
      <c r="F5012" t="s">
        <v>80</v>
      </c>
      <c r="G5012" t="s">
        <v>211</v>
      </c>
      <c r="H5012" t="s">
        <v>212</v>
      </c>
      <c r="I5012" t="s">
        <v>43</v>
      </c>
      <c r="J5012" t="s">
        <v>44</v>
      </c>
      <c r="K5012" t="s">
        <v>30</v>
      </c>
      <c r="L5012" t="s">
        <v>31</v>
      </c>
      <c r="M5012" t="s">
        <v>140</v>
      </c>
      <c r="N5012">
        <v>29</v>
      </c>
      <c r="O5012">
        <v>8.3288806000000007E-2</v>
      </c>
      <c r="P5012">
        <v>8.6391964000000002E-2</v>
      </c>
      <c r="Q5012" t="str">
        <f t="shared" si="156"/>
        <v>35-49</v>
      </c>
      <c r="R5012" t="str">
        <f t="shared" si="157"/>
        <v>[fiRkU6gEjLz]|35-49|Female|PMTCT_STAT_SUBNAT.N.Known.Pos.T_1|CY2024Q3</v>
      </c>
    </row>
    <row r="5013" spans="4:18" x14ac:dyDescent="0.2">
      <c r="D5013" t="s">
        <v>81</v>
      </c>
      <c r="E5013" t="s">
        <v>82</v>
      </c>
      <c r="F5013" t="s">
        <v>83</v>
      </c>
      <c r="G5013" t="s">
        <v>211</v>
      </c>
      <c r="H5013" t="s">
        <v>212</v>
      </c>
      <c r="I5013" t="s">
        <v>38</v>
      </c>
      <c r="J5013" t="s">
        <v>39</v>
      </c>
      <c r="K5013" t="s">
        <v>30</v>
      </c>
      <c r="L5013" t="s">
        <v>31</v>
      </c>
      <c r="M5013" t="s">
        <v>140</v>
      </c>
      <c r="N5013">
        <v>38</v>
      </c>
      <c r="O5013">
        <v>0.10866401000000001</v>
      </c>
      <c r="P5013">
        <v>6.4165629000000002E-2</v>
      </c>
      <c r="Q5013" t="str">
        <f t="shared" si="156"/>
        <v>15-24</v>
      </c>
      <c r="R5013" t="str">
        <f t="shared" si="157"/>
        <v>[zphK9WV8JB4]|15-24|Female|PMTCT_STAT_SUBNAT.N.Known.Pos.T_1|CY2024Q3</v>
      </c>
    </row>
    <row r="5014" spans="4:18" x14ac:dyDescent="0.2">
      <c r="D5014" t="s">
        <v>81</v>
      </c>
      <c r="E5014" t="s">
        <v>82</v>
      </c>
      <c r="F5014" t="s">
        <v>83</v>
      </c>
      <c r="G5014" t="s">
        <v>211</v>
      </c>
      <c r="H5014" t="s">
        <v>212</v>
      </c>
      <c r="I5014" t="s">
        <v>41</v>
      </c>
      <c r="J5014" t="s">
        <v>42</v>
      </c>
      <c r="K5014" t="s">
        <v>30</v>
      </c>
      <c r="L5014" t="s">
        <v>31</v>
      </c>
      <c r="M5014" t="s">
        <v>140</v>
      </c>
      <c r="N5014">
        <v>77</v>
      </c>
      <c r="O5014">
        <v>7.9000735000000002E-2</v>
      </c>
      <c r="P5014">
        <v>6.4165629000000002E-2</v>
      </c>
      <c r="Q5014" t="str">
        <f t="shared" si="156"/>
        <v>25-34</v>
      </c>
      <c r="R5014" t="str">
        <f t="shared" si="157"/>
        <v>[zphK9WV8JB4]|25-34|Female|PMTCT_STAT_SUBNAT.N.Known.Pos.T_1|CY2024Q3</v>
      </c>
    </row>
    <row r="5015" spans="4:18" x14ac:dyDescent="0.2">
      <c r="D5015" t="s">
        <v>81</v>
      </c>
      <c r="E5015" t="s">
        <v>82</v>
      </c>
      <c r="F5015" t="s">
        <v>83</v>
      </c>
      <c r="G5015" t="s">
        <v>211</v>
      </c>
      <c r="H5015" t="s">
        <v>212</v>
      </c>
      <c r="I5015" t="s">
        <v>43</v>
      </c>
      <c r="J5015" t="s">
        <v>44</v>
      </c>
      <c r="K5015" t="s">
        <v>30</v>
      </c>
      <c r="L5015" t="s">
        <v>31</v>
      </c>
      <c r="M5015" t="s">
        <v>140</v>
      </c>
      <c r="N5015">
        <v>72</v>
      </c>
      <c r="O5015">
        <v>6.5393230999999996E-2</v>
      </c>
      <c r="P5015">
        <v>6.4165629000000002E-2</v>
      </c>
      <c r="Q5015" t="str">
        <f t="shared" si="156"/>
        <v>35-49</v>
      </c>
      <c r="R5015" t="str">
        <f t="shared" si="157"/>
        <v>[zphK9WV8JB4]|35-49|Female|PMTCT_STAT_SUBNAT.N.Known.Pos.T_1|CY2024Q3</v>
      </c>
    </row>
    <row r="5016" spans="4:18" x14ac:dyDescent="0.2">
      <c r="D5016" t="s">
        <v>84</v>
      </c>
      <c r="E5016" t="s">
        <v>85</v>
      </c>
      <c r="F5016" t="s">
        <v>86</v>
      </c>
      <c r="G5016" t="s">
        <v>211</v>
      </c>
      <c r="H5016" t="s">
        <v>212</v>
      </c>
      <c r="I5016" t="s">
        <v>38</v>
      </c>
      <c r="J5016" t="s">
        <v>39</v>
      </c>
      <c r="K5016" t="s">
        <v>30</v>
      </c>
      <c r="L5016" t="s">
        <v>31</v>
      </c>
      <c r="M5016" t="s">
        <v>140</v>
      </c>
      <c r="N5016">
        <v>107</v>
      </c>
      <c r="O5016">
        <v>7.7807925E-2</v>
      </c>
      <c r="P5016">
        <v>4.2677160999999998E-2</v>
      </c>
      <c r="Q5016" t="str">
        <f t="shared" si="156"/>
        <v>15-24</v>
      </c>
      <c r="R5016" t="str">
        <f t="shared" si="157"/>
        <v>[msW2zpIN7up]|15-24|Female|PMTCT_STAT_SUBNAT.N.Known.Pos.T_1|CY2024Q3</v>
      </c>
    </row>
    <row r="5017" spans="4:18" x14ac:dyDescent="0.2">
      <c r="D5017" t="s">
        <v>84</v>
      </c>
      <c r="E5017" t="s">
        <v>85</v>
      </c>
      <c r="F5017" t="s">
        <v>86</v>
      </c>
      <c r="G5017" t="s">
        <v>211</v>
      </c>
      <c r="H5017" t="s">
        <v>212</v>
      </c>
      <c r="I5017" t="s">
        <v>41</v>
      </c>
      <c r="J5017" t="s">
        <v>42</v>
      </c>
      <c r="K5017" t="s">
        <v>30</v>
      </c>
      <c r="L5017" t="s">
        <v>31</v>
      </c>
      <c r="M5017" t="s">
        <v>140</v>
      </c>
      <c r="N5017">
        <v>203</v>
      </c>
      <c r="O5017">
        <v>5.2892002E-2</v>
      </c>
      <c r="P5017">
        <v>4.2677160999999998E-2</v>
      </c>
      <c r="Q5017" t="str">
        <f t="shared" si="156"/>
        <v>25-34</v>
      </c>
      <c r="R5017" t="str">
        <f t="shared" si="157"/>
        <v>[msW2zpIN7up]|25-34|Female|PMTCT_STAT_SUBNAT.N.Known.Pos.T_1|CY2024Q3</v>
      </c>
    </row>
    <row r="5018" spans="4:18" x14ac:dyDescent="0.2">
      <c r="D5018" t="s">
        <v>84</v>
      </c>
      <c r="E5018" t="s">
        <v>85</v>
      </c>
      <c r="F5018" t="s">
        <v>86</v>
      </c>
      <c r="G5018" t="s">
        <v>211</v>
      </c>
      <c r="H5018" t="s">
        <v>212</v>
      </c>
      <c r="I5018" t="s">
        <v>43</v>
      </c>
      <c r="J5018" t="s">
        <v>44</v>
      </c>
      <c r="K5018" t="s">
        <v>30</v>
      </c>
      <c r="L5018" t="s">
        <v>31</v>
      </c>
      <c r="M5018" t="s">
        <v>140</v>
      </c>
      <c r="N5018">
        <v>161</v>
      </c>
      <c r="O5018">
        <v>5.0875807000000002E-2</v>
      </c>
      <c r="P5018">
        <v>4.2677160999999998E-2</v>
      </c>
      <c r="Q5018" t="str">
        <f t="shared" si="156"/>
        <v>35-49</v>
      </c>
      <c r="R5018" t="str">
        <f t="shared" si="157"/>
        <v>[msW2zpIN7up]|35-49|Female|PMTCT_STAT_SUBNAT.N.Known.Pos.T_1|CY2024Q3</v>
      </c>
    </row>
    <row r="5019" spans="4:18" x14ac:dyDescent="0.2">
      <c r="D5019" t="s">
        <v>87</v>
      </c>
      <c r="E5019" t="s">
        <v>88</v>
      </c>
      <c r="F5019" t="s">
        <v>89</v>
      </c>
      <c r="G5019" t="s">
        <v>211</v>
      </c>
      <c r="H5019" t="s">
        <v>212</v>
      </c>
      <c r="I5019" t="s">
        <v>38</v>
      </c>
      <c r="J5019" t="s">
        <v>39</v>
      </c>
      <c r="K5019" t="s">
        <v>30</v>
      </c>
      <c r="L5019" t="s">
        <v>31</v>
      </c>
      <c r="M5019" t="s">
        <v>140</v>
      </c>
      <c r="N5019">
        <v>381</v>
      </c>
      <c r="O5019">
        <v>8.1675355000000005E-2</v>
      </c>
      <c r="P5019">
        <v>2.1807772E-2</v>
      </c>
      <c r="Q5019" t="str">
        <f t="shared" si="156"/>
        <v>15-24</v>
      </c>
      <c r="R5019" t="str">
        <f t="shared" si="157"/>
        <v>[ScR9iFKAasW]|15-24|Female|PMTCT_STAT_SUBNAT.N.Known.Pos.T_1|CY2024Q3</v>
      </c>
    </row>
    <row r="5020" spans="4:18" x14ac:dyDescent="0.2">
      <c r="D5020" t="s">
        <v>87</v>
      </c>
      <c r="E5020" t="s">
        <v>88</v>
      </c>
      <c r="F5020" t="s">
        <v>89</v>
      </c>
      <c r="G5020" t="s">
        <v>211</v>
      </c>
      <c r="H5020" t="s">
        <v>212</v>
      </c>
      <c r="I5020" t="s">
        <v>41</v>
      </c>
      <c r="J5020" t="s">
        <v>42</v>
      </c>
      <c r="K5020" t="s">
        <v>30</v>
      </c>
      <c r="L5020" t="s">
        <v>31</v>
      </c>
      <c r="M5020" t="s">
        <v>140</v>
      </c>
      <c r="N5020">
        <v>889</v>
      </c>
      <c r="O5020">
        <v>4.1334395000000003E-2</v>
      </c>
      <c r="P5020">
        <v>2.1807772E-2</v>
      </c>
      <c r="Q5020" t="str">
        <f t="shared" si="156"/>
        <v>25-34</v>
      </c>
      <c r="R5020" t="str">
        <f t="shared" si="157"/>
        <v>[ScR9iFKAasW]|25-34|Female|PMTCT_STAT_SUBNAT.N.Known.Pos.T_1|CY2024Q3</v>
      </c>
    </row>
    <row r="5021" spans="4:18" x14ac:dyDescent="0.2">
      <c r="D5021" t="s">
        <v>87</v>
      </c>
      <c r="E5021" t="s">
        <v>88</v>
      </c>
      <c r="F5021" t="s">
        <v>89</v>
      </c>
      <c r="G5021" t="s">
        <v>211</v>
      </c>
      <c r="H5021" t="s">
        <v>212</v>
      </c>
      <c r="I5021" t="s">
        <v>43</v>
      </c>
      <c r="J5021" t="s">
        <v>44</v>
      </c>
      <c r="K5021" t="s">
        <v>30</v>
      </c>
      <c r="L5021" t="s">
        <v>31</v>
      </c>
      <c r="M5021" t="s">
        <v>140</v>
      </c>
      <c r="N5021">
        <v>773</v>
      </c>
      <c r="O5021">
        <v>3.9330386000000002E-2</v>
      </c>
      <c r="P5021">
        <v>2.1807772E-2</v>
      </c>
      <c r="Q5021" t="str">
        <f t="shared" si="156"/>
        <v>35-49</v>
      </c>
      <c r="R5021" t="str">
        <f t="shared" si="157"/>
        <v>[ScR9iFKAasW]|35-49|Female|PMTCT_STAT_SUBNAT.N.Known.Pos.T_1|CY2024Q3</v>
      </c>
    </row>
    <row r="5022" spans="4:18" x14ac:dyDescent="0.2">
      <c r="D5022" t="s">
        <v>90</v>
      </c>
      <c r="E5022" t="s">
        <v>91</v>
      </c>
      <c r="F5022" t="s">
        <v>92</v>
      </c>
      <c r="G5022" t="s">
        <v>211</v>
      </c>
      <c r="H5022" t="s">
        <v>212</v>
      </c>
      <c r="I5022" t="s">
        <v>38</v>
      </c>
      <c r="J5022" t="s">
        <v>39</v>
      </c>
      <c r="K5022" t="s">
        <v>30</v>
      </c>
      <c r="L5022" t="s">
        <v>31</v>
      </c>
      <c r="M5022" t="s">
        <v>140</v>
      </c>
      <c r="N5022">
        <v>68</v>
      </c>
      <c r="O5022">
        <v>9.6924343999999996E-2</v>
      </c>
      <c r="P5022">
        <v>4.8463272000000002E-2</v>
      </c>
      <c r="Q5022" t="str">
        <f t="shared" si="156"/>
        <v>15-24</v>
      </c>
      <c r="R5022" t="str">
        <f t="shared" si="157"/>
        <v>[kxuuIFpOXyO]|15-24|Female|PMTCT_STAT_SUBNAT.N.Known.Pos.T_1|CY2024Q3</v>
      </c>
    </row>
    <row r="5023" spans="4:18" x14ac:dyDescent="0.2">
      <c r="D5023" t="s">
        <v>90</v>
      </c>
      <c r="E5023" t="s">
        <v>91</v>
      </c>
      <c r="F5023" t="s">
        <v>92</v>
      </c>
      <c r="G5023" t="s">
        <v>211</v>
      </c>
      <c r="H5023" t="s">
        <v>212</v>
      </c>
      <c r="I5023" t="s">
        <v>41</v>
      </c>
      <c r="J5023" t="s">
        <v>42</v>
      </c>
      <c r="K5023" t="s">
        <v>30</v>
      </c>
      <c r="L5023" t="s">
        <v>31</v>
      </c>
      <c r="M5023" t="s">
        <v>140</v>
      </c>
      <c r="N5023">
        <v>139</v>
      </c>
      <c r="O5023">
        <v>6.0870116000000002E-2</v>
      </c>
      <c r="P5023">
        <v>4.8463272000000002E-2</v>
      </c>
      <c r="Q5023" t="str">
        <f t="shared" si="156"/>
        <v>25-34</v>
      </c>
      <c r="R5023" t="str">
        <f t="shared" si="157"/>
        <v>[kxuuIFpOXyO]|25-34|Female|PMTCT_STAT_SUBNAT.N.Known.Pos.T_1|CY2024Q3</v>
      </c>
    </row>
    <row r="5024" spans="4:18" x14ac:dyDescent="0.2">
      <c r="D5024" t="s">
        <v>90</v>
      </c>
      <c r="E5024" t="s">
        <v>91</v>
      </c>
      <c r="F5024" t="s">
        <v>92</v>
      </c>
      <c r="G5024" t="s">
        <v>211</v>
      </c>
      <c r="H5024" t="s">
        <v>212</v>
      </c>
      <c r="I5024" t="s">
        <v>43</v>
      </c>
      <c r="J5024" t="s">
        <v>44</v>
      </c>
      <c r="K5024" t="s">
        <v>30</v>
      </c>
      <c r="L5024" t="s">
        <v>31</v>
      </c>
      <c r="M5024" t="s">
        <v>140</v>
      </c>
      <c r="N5024">
        <v>123</v>
      </c>
      <c r="O5024">
        <v>5.5124788000000001E-2</v>
      </c>
      <c r="P5024">
        <v>4.8463272000000002E-2</v>
      </c>
      <c r="Q5024" t="str">
        <f t="shared" si="156"/>
        <v>35-49</v>
      </c>
      <c r="R5024" t="str">
        <f t="shared" si="157"/>
        <v>[kxuuIFpOXyO]|35-49|Female|PMTCT_STAT_SUBNAT.N.Known.Pos.T_1|CY2024Q3</v>
      </c>
    </row>
    <row r="5025" spans="4:18" x14ac:dyDescent="0.2">
      <c r="D5025" t="s">
        <v>93</v>
      </c>
      <c r="E5025" t="s">
        <v>94</v>
      </c>
      <c r="F5025" t="s">
        <v>95</v>
      </c>
      <c r="G5025" t="s">
        <v>211</v>
      </c>
      <c r="H5025" t="s">
        <v>212</v>
      </c>
      <c r="I5025" t="s">
        <v>38</v>
      </c>
      <c r="J5025" t="s">
        <v>39</v>
      </c>
      <c r="K5025" t="s">
        <v>30</v>
      </c>
      <c r="L5025" t="s">
        <v>31</v>
      </c>
      <c r="M5025" t="s">
        <v>140</v>
      </c>
      <c r="N5025">
        <v>84</v>
      </c>
      <c r="O5025">
        <v>9.2651699000000004E-2</v>
      </c>
      <c r="P5025">
        <v>4.5611956000000002E-2</v>
      </c>
      <c r="Q5025" t="str">
        <f t="shared" si="156"/>
        <v>15-24</v>
      </c>
      <c r="R5025" t="str">
        <f t="shared" si="157"/>
        <v>[PekKUkKHAzY]|15-24|Female|PMTCT_STAT_SUBNAT.N.Known.Pos.T_1|CY2024Q3</v>
      </c>
    </row>
    <row r="5026" spans="4:18" x14ac:dyDescent="0.2">
      <c r="D5026" t="s">
        <v>93</v>
      </c>
      <c r="E5026" t="s">
        <v>94</v>
      </c>
      <c r="F5026" t="s">
        <v>95</v>
      </c>
      <c r="G5026" t="s">
        <v>211</v>
      </c>
      <c r="H5026" t="s">
        <v>212</v>
      </c>
      <c r="I5026" t="s">
        <v>41</v>
      </c>
      <c r="J5026" t="s">
        <v>42</v>
      </c>
      <c r="K5026" t="s">
        <v>30</v>
      </c>
      <c r="L5026" t="s">
        <v>31</v>
      </c>
      <c r="M5026" t="s">
        <v>140</v>
      </c>
      <c r="N5026">
        <v>169</v>
      </c>
      <c r="O5026">
        <v>6.0016666000000003E-2</v>
      </c>
      <c r="P5026">
        <v>4.5611956000000002E-2</v>
      </c>
      <c r="Q5026" t="str">
        <f t="shared" si="156"/>
        <v>25-34</v>
      </c>
      <c r="R5026" t="str">
        <f t="shared" si="157"/>
        <v>[PekKUkKHAzY]|25-34|Female|PMTCT_STAT_SUBNAT.N.Known.Pos.T_1|CY2024Q3</v>
      </c>
    </row>
    <row r="5027" spans="4:18" x14ac:dyDescent="0.2">
      <c r="D5027" t="s">
        <v>93</v>
      </c>
      <c r="E5027" t="s">
        <v>94</v>
      </c>
      <c r="F5027" t="s">
        <v>95</v>
      </c>
      <c r="G5027" t="s">
        <v>211</v>
      </c>
      <c r="H5027" t="s">
        <v>212</v>
      </c>
      <c r="I5027" t="s">
        <v>43</v>
      </c>
      <c r="J5027" t="s">
        <v>44</v>
      </c>
      <c r="K5027" t="s">
        <v>30</v>
      </c>
      <c r="L5027" t="s">
        <v>31</v>
      </c>
      <c r="M5027" t="s">
        <v>140</v>
      </c>
      <c r="N5027">
        <v>151</v>
      </c>
      <c r="O5027">
        <v>5.2645659999999997E-2</v>
      </c>
      <c r="P5027">
        <v>4.5611956000000002E-2</v>
      </c>
      <c r="Q5027" t="str">
        <f t="shared" si="156"/>
        <v>35-49</v>
      </c>
      <c r="R5027" t="str">
        <f t="shared" si="157"/>
        <v>[PekKUkKHAzY]|35-49|Female|PMTCT_STAT_SUBNAT.N.Known.Pos.T_1|CY2024Q3</v>
      </c>
    </row>
    <row r="5028" spans="4:18" x14ac:dyDescent="0.2">
      <c r="D5028" t="s">
        <v>96</v>
      </c>
      <c r="E5028" t="s">
        <v>97</v>
      </c>
      <c r="F5028" t="s">
        <v>98</v>
      </c>
      <c r="G5028" t="s">
        <v>211</v>
      </c>
      <c r="H5028" t="s">
        <v>212</v>
      </c>
      <c r="I5028" t="s">
        <v>38</v>
      </c>
      <c r="J5028" t="s">
        <v>39</v>
      </c>
      <c r="K5028" t="s">
        <v>30</v>
      </c>
      <c r="L5028" t="s">
        <v>31</v>
      </c>
      <c r="M5028" t="s">
        <v>140</v>
      </c>
      <c r="N5028">
        <v>130</v>
      </c>
      <c r="O5028">
        <v>8.3135952999999999E-2</v>
      </c>
      <c r="P5028">
        <v>3.6779740999999998E-2</v>
      </c>
      <c r="Q5028" t="str">
        <f t="shared" si="156"/>
        <v>15-24</v>
      </c>
      <c r="R5028" t="str">
        <f t="shared" si="157"/>
        <v>[am530wpaGvr]|15-24|Female|PMTCT_STAT_SUBNAT.N.Known.Pos.T_1|CY2024Q3</v>
      </c>
    </row>
    <row r="5029" spans="4:18" x14ac:dyDescent="0.2">
      <c r="D5029" t="s">
        <v>96</v>
      </c>
      <c r="E5029" t="s">
        <v>97</v>
      </c>
      <c r="F5029" t="s">
        <v>98</v>
      </c>
      <c r="G5029" t="s">
        <v>211</v>
      </c>
      <c r="H5029" t="s">
        <v>212</v>
      </c>
      <c r="I5029" t="s">
        <v>41</v>
      </c>
      <c r="J5029" t="s">
        <v>42</v>
      </c>
      <c r="K5029" t="s">
        <v>30</v>
      </c>
      <c r="L5029" t="s">
        <v>31</v>
      </c>
      <c r="M5029" t="s">
        <v>140</v>
      </c>
      <c r="N5029">
        <v>250</v>
      </c>
      <c r="O5029">
        <v>5.2942258999999998E-2</v>
      </c>
      <c r="P5029">
        <v>3.6779740999999998E-2</v>
      </c>
      <c r="Q5029" t="str">
        <f t="shared" si="156"/>
        <v>25-34</v>
      </c>
      <c r="R5029" t="str">
        <f t="shared" si="157"/>
        <v>[am530wpaGvr]|25-34|Female|PMTCT_STAT_SUBNAT.N.Known.Pos.T_1|CY2024Q3</v>
      </c>
    </row>
    <row r="5030" spans="4:18" x14ac:dyDescent="0.2">
      <c r="D5030" t="s">
        <v>96</v>
      </c>
      <c r="E5030" t="s">
        <v>97</v>
      </c>
      <c r="F5030" t="s">
        <v>98</v>
      </c>
      <c r="G5030" t="s">
        <v>211</v>
      </c>
      <c r="H5030" t="s">
        <v>212</v>
      </c>
      <c r="I5030" t="s">
        <v>43</v>
      </c>
      <c r="J5030" t="s">
        <v>44</v>
      </c>
      <c r="K5030" t="s">
        <v>30</v>
      </c>
      <c r="L5030" t="s">
        <v>31</v>
      </c>
      <c r="M5030" t="s">
        <v>140</v>
      </c>
      <c r="N5030">
        <v>226</v>
      </c>
      <c r="O5030">
        <v>4.7734421999999999E-2</v>
      </c>
      <c r="P5030">
        <v>3.6779740999999998E-2</v>
      </c>
      <c r="Q5030" t="str">
        <f t="shared" si="156"/>
        <v>35-49</v>
      </c>
      <c r="R5030" t="str">
        <f t="shared" si="157"/>
        <v>[am530wpaGvr]|35-49|Female|PMTCT_STAT_SUBNAT.N.Known.Pos.T_1|CY2024Q3</v>
      </c>
    </row>
    <row r="5031" spans="4:18" x14ac:dyDescent="0.2">
      <c r="D5031" t="s">
        <v>99</v>
      </c>
      <c r="E5031" t="s">
        <v>100</v>
      </c>
      <c r="F5031" t="s">
        <v>101</v>
      </c>
      <c r="G5031" t="s">
        <v>211</v>
      </c>
      <c r="H5031" t="s">
        <v>212</v>
      </c>
      <c r="I5031" t="s">
        <v>38</v>
      </c>
      <c r="J5031" t="s">
        <v>39</v>
      </c>
      <c r="K5031" t="s">
        <v>30</v>
      </c>
      <c r="L5031" t="s">
        <v>31</v>
      </c>
      <c r="M5031" t="s">
        <v>140</v>
      </c>
      <c r="N5031">
        <v>436</v>
      </c>
      <c r="O5031">
        <v>6.5821644999999998E-2</v>
      </c>
      <c r="P5031">
        <v>2.2233652E-2</v>
      </c>
      <c r="Q5031" t="str">
        <f t="shared" si="156"/>
        <v>15-24</v>
      </c>
      <c r="R5031" t="str">
        <f t="shared" si="157"/>
        <v>[lLDyBx5XyUi]|15-24|Female|PMTCT_STAT_SUBNAT.N.Known.Pos.T_1|CY2024Q3</v>
      </c>
    </row>
    <row r="5032" spans="4:18" x14ac:dyDescent="0.2">
      <c r="D5032" t="s">
        <v>99</v>
      </c>
      <c r="E5032" t="s">
        <v>100</v>
      </c>
      <c r="F5032" t="s">
        <v>101</v>
      </c>
      <c r="G5032" t="s">
        <v>211</v>
      </c>
      <c r="H5032" t="s">
        <v>212</v>
      </c>
      <c r="I5032" t="s">
        <v>41</v>
      </c>
      <c r="J5032" t="s">
        <v>42</v>
      </c>
      <c r="K5032" t="s">
        <v>30</v>
      </c>
      <c r="L5032" t="s">
        <v>31</v>
      </c>
      <c r="M5032" t="s">
        <v>140</v>
      </c>
      <c r="N5032">
        <v>831</v>
      </c>
      <c r="O5032">
        <v>3.6785495000000001E-2</v>
      </c>
      <c r="P5032">
        <v>2.2233652E-2</v>
      </c>
      <c r="Q5032" t="str">
        <f t="shared" si="156"/>
        <v>25-34</v>
      </c>
      <c r="R5032" t="str">
        <f t="shared" si="157"/>
        <v>[lLDyBx5XyUi]|25-34|Female|PMTCT_STAT_SUBNAT.N.Known.Pos.T_1|CY2024Q3</v>
      </c>
    </row>
    <row r="5033" spans="4:18" x14ac:dyDescent="0.2">
      <c r="D5033" t="s">
        <v>99</v>
      </c>
      <c r="E5033" t="s">
        <v>100</v>
      </c>
      <c r="F5033" t="s">
        <v>101</v>
      </c>
      <c r="G5033" t="s">
        <v>211</v>
      </c>
      <c r="H5033" t="s">
        <v>212</v>
      </c>
      <c r="I5033" t="s">
        <v>43</v>
      </c>
      <c r="J5033" t="s">
        <v>44</v>
      </c>
      <c r="K5033" t="s">
        <v>30</v>
      </c>
      <c r="L5033" t="s">
        <v>31</v>
      </c>
      <c r="M5033" t="s">
        <v>140</v>
      </c>
      <c r="N5033">
        <v>618</v>
      </c>
      <c r="O5033">
        <v>3.9601475999999997E-2</v>
      </c>
      <c r="P5033">
        <v>2.2233652E-2</v>
      </c>
      <c r="Q5033" t="str">
        <f t="shared" si="156"/>
        <v>35-49</v>
      </c>
      <c r="R5033" t="str">
        <f t="shared" si="157"/>
        <v>[lLDyBx5XyUi]|35-49|Female|PMTCT_STAT_SUBNAT.N.Known.Pos.T_1|CY2024Q3</v>
      </c>
    </row>
    <row r="5034" spans="4:18" x14ac:dyDescent="0.2">
      <c r="D5034" t="s">
        <v>102</v>
      </c>
      <c r="E5034" t="s">
        <v>103</v>
      </c>
      <c r="F5034" t="s">
        <v>104</v>
      </c>
      <c r="G5034" t="s">
        <v>211</v>
      </c>
      <c r="H5034" t="s">
        <v>212</v>
      </c>
      <c r="I5034" t="s">
        <v>38</v>
      </c>
      <c r="J5034" t="s">
        <v>39</v>
      </c>
      <c r="K5034" t="s">
        <v>30</v>
      </c>
      <c r="L5034" t="s">
        <v>31</v>
      </c>
      <c r="M5034" t="s">
        <v>140</v>
      </c>
      <c r="N5034">
        <v>189</v>
      </c>
      <c r="O5034">
        <v>7.1744788000000004E-2</v>
      </c>
      <c r="P5034">
        <v>3.1958239999999999E-2</v>
      </c>
      <c r="Q5034" t="str">
        <f t="shared" si="156"/>
        <v>15-24</v>
      </c>
      <c r="R5034" t="str">
        <f t="shared" si="157"/>
        <v>[TYnMSwzko3z]|15-24|Female|PMTCT_STAT_SUBNAT.N.Known.Pos.T_1|CY2024Q3</v>
      </c>
    </row>
    <row r="5035" spans="4:18" x14ac:dyDescent="0.2">
      <c r="D5035" t="s">
        <v>102</v>
      </c>
      <c r="E5035" t="s">
        <v>103</v>
      </c>
      <c r="F5035" t="s">
        <v>104</v>
      </c>
      <c r="G5035" t="s">
        <v>211</v>
      </c>
      <c r="H5035" t="s">
        <v>212</v>
      </c>
      <c r="I5035" t="s">
        <v>41</v>
      </c>
      <c r="J5035" t="s">
        <v>42</v>
      </c>
      <c r="K5035" t="s">
        <v>30</v>
      </c>
      <c r="L5035" t="s">
        <v>31</v>
      </c>
      <c r="M5035" t="s">
        <v>140</v>
      </c>
      <c r="N5035">
        <v>362</v>
      </c>
      <c r="O5035">
        <v>4.5559729E-2</v>
      </c>
      <c r="P5035">
        <v>3.1958239999999999E-2</v>
      </c>
      <c r="Q5035" t="str">
        <f t="shared" si="156"/>
        <v>25-34</v>
      </c>
      <c r="R5035" t="str">
        <f t="shared" si="157"/>
        <v>[TYnMSwzko3z]|25-34|Female|PMTCT_STAT_SUBNAT.N.Known.Pos.T_1|CY2024Q3</v>
      </c>
    </row>
    <row r="5036" spans="4:18" x14ac:dyDescent="0.2">
      <c r="D5036" t="s">
        <v>102</v>
      </c>
      <c r="E5036" t="s">
        <v>103</v>
      </c>
      <c r="F5036" t="s">
        <v>104</v>
      </c>
      <c r="G5036" t="s">
        <v>211</v>
      </c>
      <c r="H5036" t="s">
        <v>212</v>
      </c>
      <c r="I5036" t="s">
        <v>43</v>
      </c>
      <c r="J5036" t="s">
        <v>44</v>
      </c>
      <c r="K5036" t="s">
        <v>30</v>
      </c>
      <c r="L5036" t="s">
        <v>31</v>
      </c>
      <c r="M5036" t="s">
        <v>140</v>
      </c>
      <c r="N5036">
        <v>281</v>
      </c>
      <c r="O5036">
        <v>4.5452111000000003E-2</v>
      </c>
      <c r="P5036">
        <v>3.1958239999999999E-2</v>
      </c>
      <c r="Q5036" t="str">
        <f t="shared" si="156"/>
        <v>35-49</v>
      </c>
      <c r="R5036" t="str">
        <f t="shared" si="157"/>
        <v>[TYnMSwzko3z]|35-49|Female|PMTCT_STAT_SUBNAT.N.Known.Pos.T_1|CY2024Q3</v>
      </c>
    </row>
    <row r="5037" spans="4:18" x14ac:dyDescent="0.2">
      <c r="D5037" t="s">
        <v>105</v>
      </c>
      <c r="E5037" t="s">
        <v>106</v>
      </c>
      <c r="F5037" t="s">
        <v>107</v>
      </c>
      <c r="G5037" t="s">
        <v>211</v>
      </c>
      <c r="H5037" t="s">
        <v>212</v>
      </c>
      <c r="I5037" t="s">
        <v>38</v>
      </c>
      <c r="J5037" t="s">
        <v>39</v>
      </c>
      <c r="K5037" t="s">
        <v>30</v>
      </c>
      <c r="L5037" t="s">
        <v>31</v>
      </c>
      <c r="M5037" t="s">
        <v>140</v>
      </c>
      <c r="N5037">
        <v>332</v>
      </c>
      <c r="O5037">
        <v>6.7970849999999999E-2</v>
      </c>
      <c r="P5037">
        <v>2.4005190999999999E-2</v>
      </c>
      <c r="Q5037" t="str">
        <f t="shared" si="156"/>
        <v>15-24</v>
      </c>
      <c r="R5037" t="str">
        <f t="shared" si="157"/>
        <v>[fyEoGEPERdI]|15-24|Female|PMTCT_STAT_SUBNAT.N.Known.Pos.T_1|CY2024Q3</v>
      </c>
    </row>
    <row r="5038" spans="4:18" x14ac:dyDescent="0.2">
      <c r="D5038" t="s">
        <v>105</v>
      </c>
      <c r="E5038" t="s">
        <v>106</v>
      </c>
      <c r="F5038" t="s">
        <v>107</v>
      </c>
      <c r="G5038" t="s">
        <v>211</v>
      </c>
      <c r="H5038" t="s">
        <v>212</v>
      </c>
      <c r="I5038" t="s">
        <v>41</v>
      </c>
      <c r="J5038" t="s">
        <v>42</v>
      </c>
      <c r="K5038" t="s">
        <v>30</v>
      </c>
      <c r="L5038" t="s">
        <v>31</v>
      </c>
      <c r="M5038" t="s">
        <v>140</v>
      </c>
      <c r="N5038">
        <v>640</v>
      </c>
      <c r="O5038">
        <v>3.8779242999999998E-2</v>
      </c>
      <c r="P5038">
        <v>2.4005190999999999E-2</v>
      </c>
      <c r="Q5038" t="str">
        <f t="shared" si="156"/>
        <v>25-34</v>
      </c>
      <c r="R5038" t="str">
        <f t="shared" si="157"/>
        <v>[fyEoGEPERdI]|25-34|Female|PMTCT_STAT_SUBNAT.N.Known.Pos.T_1|CY2024Q3</v>
      </c>
    </row>
    <row r="5039" spans="4:18" x14ac:dyDescent="0.2">
      <c r="D5039" t="s">
        <v>105</v>
      </c>
      <c r="E5039" t="s">
        <v>106</v>
      </c>
      <c r="F5039" t="s">
        <v>107</v>
      </c>
      <c r="G5039" t="s">
        <v>211</v>
      </c>
      <c r="H5039" t="s">
        <v>212</v>
      </c>
      <c r="I5039" t="s">
        <v>43</v>
      </c>
      <c r="J5039" t="s">
        <v>44</v>
      </c>
      <c r="K5039" t="s">
        <v>30</v>
      </c>
      <c r="L5039" t="s">
        <v>31</v>
      </c>
      <c r="M5039" t="s">
        <v>140</v>
      </c>
      <c r="N5039">
        <v>513</v>
      </c>
      <c r="O5039">
        <v>3.7271875000000003E-2</v>
      </c>
      <c r="P5039">
        <v>2.4005190999999999E-2</v>
      </c>
      <c r="Q5039" t="str">
        <f t="shared" si="156"/>
        <v>35-49</v>
      </c>
      <c r="R5039" t="str">
        <f t="shared" si="157"/>
        <v>[fyEoGEPERdI]|35-49|Female|PMTCT_STAT_SUBNAT.N.Known.Pos.T_1|CY2024Q3</v>
      </c>
    </row>
    <row r="5040" spans="4:18" x14ac:dyDescent="0.2">
      <c r="D5040" t="s">
        <v>108</v>
      </c>
      <c r="E5040" t="s">
        <v>109</v>
      </c>
      <c r="F5040" t="s">
        <v>110</v>
      </c>
      <c r="G5040" t="s">
        <v>211</v>
      </c>
      <c r="H5040" t="s">
        <v>212</v>
      </c>
      <c r="I5040" t="s">
        <v>38</v>
      </c>
      <c r="J5040" t="s">
        <v>39</v>
      </c>
      <c r="K5040" t="s">
        <v>30</v>
      </c>
      <c r="L5040" t="s">
        <v>31</v>
      </c>
      <c r="M5040" t="s">
        <v>140</v>
      </c>
      <c r="N5040">
        <v>342</v>
      </c>
      <c r="O5040">
        <v>6.6415573000000006E-2</v>
      </c>
      <c r="P5040">
        <v>2.3698351999999999E-2</v>
      </c>
      <c r="Q5040" t="str">
        <f t="shared" si="156"/>
        <v>15-24</v>
      </c>
      <c r="R5040" t="str">
        <f t="shared" si="157"/>
        <v>[umc2n1Z4wNv]|15-24|Female|PMTCT_STAT_SUBNAT.N.Known.Pos.T_1|CY2024Q3</v>
      </c>
    </row>
    <row r="5041" spans="4:18" x14ac:dyDescent="0.2">
      <c r="D5041" t="s">
        <v>108</v>
      </c>
      <c r="E5041" t="s">
        <v>109</v>
      </c>
      <c r="F5041" t="s">
        <v>110</v>
      </c>
      <c r="G5041" t="s">
        <v>211</v>
      </c>
      <c r="H5041" t="s">
        <v>212</v>
      </c>
      <c r="I5041" t="s">
        <v>41</v>
      </c>
      <c r="J5041" t="s">
        <v>42</v>
      </c>
      <c r="K5041" t="s">
        <v>30</v>
      </c>
      <c r="L5041" t="s">
        <v>31</v>
      </c>
      <c r="M5041" t="s">
        <v>140</v>
      </c>
      <c r="N5041">
        <v>642</v>
      </c>
      <c r="O5041">
        <v>3.5903203000000002E-2</v>
      </c>
      <c r="P5041">
        <v>2.3698351999999999E-2</v>
      </c>
      <c r="Q5041" t="str">
        <f t="shared" si="156"/>
        <v>25-34</v>
      </c>
      <c r="R5041" t="str">
        <f t="shared" si="157"/>
        <v>[umc2n1Z4wNv]|25-34|Female|PMTCT_STAT_SUBNAT.N.Known.Pos.T_1|CY2024Q3</v>
      </c>
    </row>
    <row r="5042" spans="4:18" x14ac:dyDescent="0.2">
      <c r="D5042" t="s">
        <v>108</v>
      </c>
      <c r="E5042" t="s">
        <v>109</v>
      </c>
      <c r="F5042" t="s">
        <v>110</v>
      </c>
      <c r="G5042" t="s">
        <v>211</v>
      </c>
      <c r="H5042" t="s">
        <v>212</v>
      </c>
      <c r="I5042" t="s">
        <v>43</v>
      </c>
      <c r="J5042" t="s">
        <v>44</v>
      </c>
      <c r="K5042" t="s">
        <v>30</v>
      </c>
      <c r="L5042" t="s">
        <v>31</v>
      </c>
      <c r="M5042" t="s">
        <v>140</v>
      </c>
      <c r="N5042">
        <v>516</v>
      </c>
      <c r="O5042">
        <v>3.7383632999999999E-2</v>
      </c>
      <c r="P5042">
        <v>2.3698351999999999E-2</v>
      </c>
      <c r="Q5042" t="str">
        <f t="shared" si="156"/>
        <v>35-49</v>
      </c>
      <c r="R5042" t="str">
        <f t="shared" si="157"/>
        <v>[umc2n1Z4wNv]|35-49|Female|PMTCT_STAT_SUBNAT.N.Known.Pos.T_1|CY2024Q3</v>
      </c>
    </row>
    <row r="5043" spans="4:18" x14ac:dyDescent="0.2">
      <c r="D5043" t="s">
        <v>111</v>
      </c>
      <c r="E5043" t="s">
        <v>112</v>
      </c>
      <c r="F5043" t="s">
        <v>113</v>
      </c>
      <c r="G5043" t="s">
        <v>211</v>
      </c>
      <c r="H5043" t="s">
        <v>212</v>
      </c>
      <c r="I5043" t="s">
        <v>38</v>
      </c>
      <c r="J5043" t="s">
        <v>39</v>
      </c>
      <c r="K5043" t="s">
        <v>30</v>
      </c>
      <c r="L5043" t="s">
        <v>31</v>
      </c>
      <c r="M5043" t="s">
        <v>140</v>
      </c>
      <c r="N5043">
        <v>157</v>
      </c>
      <c r="O5043">
        <v>6.9266469999999997E-2</v>
      </c>
      <c r="P5043">
        <v>3.4755531999999999E-2</v>
      </c>
      <c r="Q5043" t="str">
        <f t="shared" si="156"/>
        <v>15-24</v>
      </c>
      <c r="R5043" t="str">
        <f t="shared" si="157"/>
        <v>[AZyWpGzhcaA]|15-24|Female|PMTCT_STAT_SUBNAT.N.Known.Pos.T_1|CY2024Q3</v>
      </c>
    </row>
    <row r="5044" spans="4:18" x14ac:dyDescent="0.2">
      <c r="D5044" t="s">
        <v>111</v>
      </c>
      <c r="E5044" t="s">
        <v>112</v>
      </c>
      <c r="F5044" t="s">
        <v>113</v>
      </c>
      <c r="G5044" t="s">
        <v>211</v>
      </c>
      <c r="H5044" t="s">
        <v>212</v>
      </c>
      <c r="I5044" t="s">
        <v>41</v>
      </c>
      <c r="J5044" t="s">
        <v>42</v>
      </c>
      <c r="K5044" t="s">
        <v>30</v>
      </c>
      <c r="L5044" t="s">
        <v>31</v>
      </c>
      <c r="M5044" t="s">
        <v>140</v>
      </c>
      <c r="N5044">
        <v>289</v>
      </c>
      <c r="O5044">
        <v>4.4877197000000001E-2</v>
      </c>
      <c r="P5044">
        <v>3.4755531999999999E-2</v>
      </c>
      <c r="Q5044" t="str">
        <f t="shared" si="156"/>
        <v>25-34</v>
      </c>
      <c r="R5044" t="str">
        <f t="shared" si="157"/>
        <v>[AZyWpGzhcaA]|25-34|Female|PMTCT_STAT_SUBNAT.N.Known.Pos.T_1|CY2024Q3</v>
      </c>
    </row>
    <row r="5045" spans="4:18" x14ac:dyDescent="0.2">
      <c r="D5045" t="s">
        <v>111</v>
      </c>
      <c r="E5045" t="s">
        <v>112</v>
      </c>
      <c r="F5045" t="s">
        <v>113</v>
      </c>
      <c r="G5045" t="s">
        <v>211</v>
      </c>
      <c r="H5045" t="s">
        <v>212</v>
      </c>
      <c r="I5045" t="s">
        <v>43</v>
      </c>
      <c r="J5045" t="s">
        <v>44</v>
      </c>
      <c r="K5045" t="s">
        <v>30</v>
      </c>
      <c r="L5045" t="s">
        <v>31</v>
      </c>
      <c r="M5045" t="s">
        <v>140</v>
      </c>
      <c r="N5045">
        <v>225</v>
      </c>
      <c r="O5045">
        <v>4.5821724000000001E-2</v>
      </c>
      <c r="P5045">
        <v>3.4755531999999999E-2</v>
      </c>
      <c r="Q5045" t="str">
        <f t="shared" si="156"/>
        <v>35-49</v>
      </c>
      <c r="R5045" t="str">
        <f t="shared" si="157"/>
        <v>[AZyWpGzhcaA]|35-49|Female|PMTCT_STAT_SUBNAT.N.Known.Pos.T_1|CY2024Q3</v>
      </c>
    </row>
    <row r="5046" spans="4:18" x14ac:dyDescent="0.2">
      <c r="D5046" t="s">
        <v>114</v>
      </c>
      <c r="E5046" t="s">
        <v>115</v>
      </c>
      <c r="F5046" t="s">
        <v>116</v>
      </c>
      <c r="G5046" t="s">
        <v>211</v>
      </c>
      <c r="H5046" t="s">
        <v>212</v>
      </c>
      <c r="I5046" t="s">
        <v>38</v>
      </c>
      <c r="J5046" t="s">
        <v>39</v>
      </c>
      <c r="K5046" t="s">
        <v>30</v>
      </c>
      <c r="L5046" t="s">
        <v>31</v>
      </c>
      <c r="M5046" t="s">
        <v>140</v>
      </c>
      <c r="N5046">
        <v>131</v>
      </c>
      <c r="O5046">
        <v>7.7447674999999994E-2</v>
      </c>
      <c r="P5046">
        <v>3.7117441000000001E-2</v>
      </c>
      <c r="Q5046" t="str">
        <f t="shared" si="156"/>
        <v>15-24</v>
      </c>
      <c r="R5046" t="str">
        <f t="shared" si="157"/>
        <v>[ir8wuHHzoSs]|15-24|Female|PMTCT_STAT_SUBNAT.N.Known.Pos.T_1|CY2024Q3</v>
      </c>
    </row>
    <row r="5047" spans="4:18" x14ac:dyDescent="0.2">
      <c r="D5047" t="s">
        <v>114</v>
      </c>
      <c r="E5047" t="s">
        <v>115</v>
      </c>
      <c r="F5047" t="s">
        <v>116</v>
      </c>
      <c r="G5047" t="s">
        <v>211</v>
      </c>
      <c r="H5047" t="s">
        <v>212</v>
      </c>
      <c r="I5047" t="s">
        <v>41</v>
      </c>
      <c r="J5047" t="s">
        <v>42</v>
      </c>
      <c r="K5047" t="s">
        <v>30</v>
      </c>
      <c r="L5047" t="s">
        <v>31</v>
      </c>
      <c r="M5047" t="s">
        <v>140</v>
      </c>
      <c r="N5047">
        <v>241</v>
      </c>
      <c r="O5047">
        <v>4.9705829999999999E-2</v>
      </c>
      <c r="P5047">
        <v>3.7117441000000001E-2</v>
      </c>
      <c r="Q5047" t="str">
        <f t="shared" si="156"/>
        <v>25-34</v>
      </c>
      <c r="R5047" t="str">
        <f t="shared" si="157"/>
        <v>[ir8wuHHzoSs]|25-34|Female|PMTCT_STAT_SUBNAT.N.Known.Pos.T_1|CY2024Q3</v>
      </c>
    </row>
    <row r="5048" spans="4:18" x14ac:dyDescent="0.2">
      <c r="D5048" t="s">
        <v>114</v>
      </c>
      <c r="E5048" t="s">
        <v>115</v>
      </c>
      <c r="F5048" t="s">
        <v>116</v>
      </c>
      <c r="G5048" t="s">
        <v>211</v>
      </c>
      <c r="H5048" t="s">
        <v>212</v>
      </c>
      <c r="I5048" t="s">
        <v>43</v>
      </c>
      <c r="J5048" t="s">
        <v>44</v>
      </c>
      <c r="K5048" t="s">
        <v>30</v>
      </c>
      <c r="L5048" t="s">
        <v>31</v>
      </c>
      <c r="M5048" t="s">
        <v>140</v>
      </c>
      <c r="N5048">
        <v>195</v>
      </c>
      <c r="O5048">
        <v>4.7083016999999998E-2</v>
      </c>
      <c r="P5048">
        <v>3.7117441000000001E-2</v>
      </c>
      <c r="Q5048" t="str">
        <f t="shared" si="156"/>
        <v>35-49</v>
      </c>
      <c r="R5048" t="str">
        <f t="shared" si="157"/>
        <v>[ir8wuHHzoSs]|35-49|Female|PMTCT_STAT_SUBNAT.N.Known.Pos.T_1|CY2024Q3</v>
      </c>
    </row>
    <row r="5049" spans="4:18" x14ac:dyDescent="0.2">
      <c r="D5049" t="s">
        <v>117</v>
      </c>
      <c r="E5049" t="s">
        <v>118</v>
      </c>
      <c r="F5049" t="s">
        <v>119</v>
      </c>
      <c r="G5049" t="s">
        <v>211</v>
      </c>
      <c r="H5049" t="s">
        <v>212</v>
      </c>
      <c r="I5049" t="s">
        <v>38</v>
      </c>
      <c r="J5049" t="s">
        <v>39</v>
      </c>
      <c r="K5049" t="s">
        <v>30</v>
      </c>
      <c r="L5049" t="s">
        <v>31</v>
      </c>
      <c r="M5049" t="s">
        <v>140</v>
      </c>
      <c r="N5049">
        <v>151</v>
      </c>
      <c r="O5049">
        <v>7.8244669000000003E-2</v>
      </c>
      <c r="P5049">
        <v>3.5018018999999997E-2</v>
      </c>
      <c r="Q5049" t="str">
        <f t="shared" si="156"/>
        <v>15-24</v>
      </c>
      <c r="R5049" t="str">
        <f t="shared" si="157"/>
        <v>[oiPR2CiVJbf]|15-24|Female|PMTCT_STAT_SUBNAT.N.Known.Pos.T_1|CY2024Q3</v>
      </c>
    </row>
    <row r="5050" spans="4:18" x14ac:dyDescent="0.2">
      <c r="D5050" t="s">
        <v>117</v>
      </c>
      <c r="E5050" t="s">
        <v>118</v>
      </c>
      <c r="F5050" t="s">
        <v>119</v>
      </c>
      <c r="G5050" t="s">
        <v>211</v>
      </c>
      <c r="H5050" t="s">
        <v>212</v>
      </c>
      <c r="I5050" t="s">
        <v>41</v>
      </c>
      <c r="J5050" t="s">
        <v>42</v>
      </c>
      <c r="K5050" t="s">
        <v>30</v>
      </c>
      <c r="L5050" t="s">
        <v>31</v>
      </c>
      <c r="M5050" t="s">
        <v>140</v>
      </c>
      <c r="N5050">
        <v>297</v>
      </c>
      <c r="O5050">
        <v>4.6043214999999998E-2</v>
      </c>
      <c r="P5050">
        <v>3.5018018999999997E-2</v>
      </c>
      <c r="Q5050" t="str">
        <f t="shared" si="156"/>
        <v>25-34</v>
      </c>
      <c r="R5050" t="str">
        <f t="shared" si="157"/>
        <v>[oiPR2CiVJbf]|25-34|Female|PMTCT_STAT_SUBNAT.N.Known.Pos.T_1|CY2024Q3</v>
      </c>
    </row>
    <row r="5051" spans="4:18" x14ac:dyDescent="0.2">
      <c r="D5051" t="s">
        <v>117</v>
      </c>
      <c r="E5051" t="s">
        <v>118</v>
      </c>
      <c r="F5051" t="s">
        <v>119</v>
      </c>
      <c r="G5051" t="s">
        <v>211</v>
      </c>
      <c r="H5051" t="s">
        <v>212</v>
      </c>
      <c r="I5051" t="s">
        <v>43</v>
      </c>
      <c r="J5051" t="s">
        <v>44</v>
      </c>
      <c r="K5051" t="s">
        <v>30</v>
      </c>
      <c r="L5051" t="s">
        <v>31</v>
      </c>
      <c r="M5051" t="s">
        <v>140</v>
      </c>
      <c r="N5051">
        <v>247</v>
      </c>
      <c r="O5051">
        <v>4.2821519000000002E-2</v>
      </c>
      <c r="P5051">
        <v>3.5018018999999997E-2</v>
      </c>
      <c r="Q5051" t="str">
        <f t="shared" si="156"/>
        <v>35-49</v>
      </c>
      <c r="R5051" t="str">
        <f t="shared" si="157"/>
        <v>[oiPR2CiVJbf]|35-49|Female|PMTCT_STAT_SUBNAT.N.Known.Pos.T_1|CY2024Q3</v>
      </c>
    </row>
    <row r="5052" spans="4:18" x14ac:dyDescent="0.2">
      <c r="D5052" t="s">
        <v>120</v>
      </c>
      <c r="E5052" t="s">
        <v>121</v>
      </c>
      <c r="F5052" t="s">
        <v>122</v>
      </c>
      <c r="G5052" t="s">
        <v>211</v>
      </c>
      <c r="H5052" t="s">
        <v>212</v>
      </c>
      <c r="I5052" t="s">
        <v>38</v>
      </c>
      <c r="J5052" t="s">
        <v>39</v>
      </c>
      <c r="K5052" t="s">
        <v>30</v>
      </c>
      <c r="L5052" t="s">
        <v>31</v>
      </c>
      <c r="M5052" t="s">
        <v>140</v>
      </c>
      <c r="N5052">
        <v>393</v>
      </c>
      <c r="O5052">
        <v>7.2471244000000004E-2</v>
      </c>
      <c r="P5052">
        <v>2.1513535E-2</v>
      </c>
      <c r="Q5052" t="str">
        <f t="shared" si="156"/>
        <v>15-24</v>
      </c>
      <c r="R5052" t="str">
        <f t="shared" si="157"/>
        <v>[mxqa3CDFmIT]|15-24|Female|PMTCT_STAT_SUBNAT.N.Known.Pos.T_1|CY2024Q3</v>
      </c>
    </row>
    <row r="5053" spans="4:18" x14ac:dyDescent="0.2">
      <c r="D5053" t="s">
        <v>120</v>
      </c>
      <c r="E5053" t="s">
        <v>121</v>
      </c>
      <c r="F5053" t="s">
        <v>122</v>
      </c>
      <c r="G5053" t="s">
        <v>211</v>
      </c>
      <c r="H5053" t="s">
        <v>212</v>
      </c>
      <c r="I5053" t="s">
        <v>41</v>
      </c>
      <c r="J5053" t="s">
        <v>42</v>
      </c>
      <c r="K5053" t="s">
        <v>30</v>
      </c>
      <c r="L5053" t="s">
        <v>31</v>
      </c>
      <c r="M5053" t="s">
        <v>140</v>
      </c>
      <c r="N5053">
        <v>894</v>
      </c>
      <c r="O5053">
        <v>3.6933368000000001E-2</v>
      </c>
      <c r="P5053">
        <v>2.1513535E-2</v>
      </c>
      <c r="Q5053" t="str">
        <f t="shared" si="156"/>
        <v>25-34</v>
      </c>
      <c r="R5053" t="str">
        <f t="shared" si="157"/>
        <v>[mxqa3CDFmIT]|25-34|Female|PMTCT_STAT_SUBNAT.N.Known.Pos.T_1|CY2024Q3</v>
      </c>
    </row>
    <row r="5054" spans="4:18" x14ac:dyDescent="0.2">
      <c r="D5054" t="s">
        <v>120</v>
      </c>
      <c r="E5054" t="s">
        <v>121</v>
      </c>
      <c r="F5054" t="s">
        <v>122</v>
      </c>
      <c r="G5054" t="s">
        <v>211</v>
      </c>
      <c r="H5054" t="s">
        <v>212</v>
      </c>
      <c r="I5054" t="s">
        <v>43</v>
      </c>
      <c r="J5054" t="s">
        <v>44</v>
      </c>
      <c r="K5054" t="s">
        <v>30</v>
      </c>
      <c r="L5054" t="s">
        <v>31</v>
      </c>
      <c r="M5054" t="s">
        <v>140</v>
      </c>
      <c r="N5054">
        <v>699</v>
      </c>
      <c r="O5054">
        <v>3.7632471000000001E-2</v>
      </c>
      <c r="P5054">
        <v>2.1513535E-2</v>
      </c>
      <c r="Q5054" t="str">
        <f t="shared" si="156"/>
        <v>35-49</v>
      </c>
      <c r="R5054" t="str">
        <f t="shared" si="157"/>
        <v>[mxqa3CDFmIT]|35-49|Female|PMTCT_STAT_SUBNAT.N.Known.Pos.T_1|CY2024Q3</v>
      </c>
    </row>
    <row r="5055" spans="4:18" x14ac:dyDescent="0.2">
      <c r="D5055" t="s">
        <v>123</v>
      </c>
      <c r="E5055" t="s">
        <v>124</v>
      </c>
      <c r="F5055" t="s">
        <v>125</v>
      </c>
      <c r="G5055" t="s">
        <v>211</v>
      </c>
      <c r="H5055" t="s">
        <v>212</v>
      </c>
      <c r="I5055" t="s">
        <v>38</v>
      </c>
      <c r="J5055" t="s">
        <v>39</v>
      </c>
      <c r="K5055" t="s">
        <v>30</v>
      </c>
      <c r="L5055" t="s">
        <v>31</v>
      </c>
      <c r="M5055" t="s">
        <v>140</v>
      </c>
      <c r="N5055">
        <v>36</v>
      </c>
      <c r="O5055">
        <v>9.6961832999999997E-2</v>
      </c>
      <c r="P5055">
        <v>6.3962838999999994E-2</v>
      </c>
      <c r="Q5055" t="str">
        <f t="shared" si="156"/>
        <v>15-24</v>
      </c>
      <c r="R5055" t="str">
        <f t="shared" si="157"/>
        <v>[wNqJp8oRIcF]|15-24|Female|PMTCT_STAT_SUBNAT.N.Known.Pos.T_1|CY2024Q3</v>
      </c>
    </row>
    <row r="5056" spans="4:18" x14ac:dyDescent="0.2">
      <c r="D5056" t="s">
        <v>123</v>
      </c>
      <c r="E5056" t="s">
        <v>124</v>
      </c>
      <c r="F5056" t="s">
        <v>125</v>
      </c>
      <c r="G5056" t="s">
        <v>211</v>
      </c>
      <c r="H5056" t="s">
        <v>212</v>
      </c>
      <c r="I5056" t="s">
        <v>41</v>
      </c>
      <c r="J5056" t="s">
        <v>42</v>
      </c>
      <c r="K5056" t="s">
        <v>30</v>
      </c>
      <c r="L5056" t="s">
        <v>31</v>
      </c>
      <c r="M5056" t="s">
        <v>140</v>
      </c>
      <c r="N5056">
        <v>72</v>
      </c>
      <c r="O5056">
        <v>7.1918733999999998E-2</v>
      </c>
      <c r="P5056">
        <v>6.3962838999999994E-2</v>
      </c>
      <c r="Q5056" t="str">
        <f t="shared" si="156"/>
        <v>25-34</v>
      </c>
      <c r="R5056" t="str">
        <f t="shared" si="157"/>
        <v>[wNqJp8oRIcF]|25-34|Female|PMTCT_STAT_SUBNAT.N.Known.Pos.T_1|CY2024Q3</v>
      </c>
    </row>
    <row r="5057" spans="4:18" x14ac:dyDescent="0.2">
      <c r="D5057" t="s">
        <v>123</v>
      </c>
      <c r="E5057" t="s">
        <v>124</v>
      </c>
      <c r="F5057" t="s">
        <v>125</v>
      </c>
      <c r="G5057" t="s">
        <v>211</v>
      </c>
      <c r="H5057" t="s">
        <v>212</v>
      </c>
      <c r="I5057" t="s">
        <v>43</v>
      </c>
      <c r="J5057" t="s">
        <v>44</v>
      </c>
      <c r="K5057" t="s">
        <v>30</v>
      </c>
      <c r="L5057" t="s">
        <v>31</v>
      </c>
      <c r="M5057" t="s">
        <v>140</v>
      </c>
      <c r="N5057">
        <v>55</v>
      </c>
      <c r="O5057">
        <v>6.6843655000000002E-2</v>
      </c>
      <c r="P5057">
        <v>6.3962838999999994E-2</v>
      </c>
      <c r="Q5057" t="str">
        <f t="shared" si="156"/>
        <v>35-49</v>
      </c>
      <c r="R5057" t="str">
        <f t="shared" si="157"/>
        <v>[wNqJp8oRIcF]|35-49|Female|PMTCT_STAT_SUBNAT.N.Known.Pos.T_1|CY2024Q3</v>
      </c>
    </row>
    <row r="5058" spans="4:18" x14ac:dyDescent="0.2">
      <c r="D5058" t="s">
        <v>126</v>
      </c>
      <c r="E5058" t="s">
        <v>127</v>
      </c>
      <c r="F5058" t="s">
        <v>128</v>
      </c>
      <c r="G5058" t="s">
        <v>211</v>
      </c>
      <c r="H5058" t="s">
        <v>212</v>
      </c>
      <c r="I5058" t="s">
        <v>38</v>
      </c>
      <c r="J5058" t="s">
        <v>39</v>
      </c>
      <c r="K5058" t="s">
        <v>30</v>
      </c>
      <c r="L5058" t="s">
        <v>31</v>
      </c>
      <c r="M5058" t="s">
        <v>140</v>
      </c>
      <c r="N5058">
        <v>218</v>
      </c>
      <c r="O5058">
        <v>7.3732223E-2</v>
      </c>
      <c r="P5058">
        <v>3.0304281999999998E-2</v>
      </c>
      <c r="Q5058" t="str">
        <f t="shared" si="156"/>
        <v>15-24</v>
      </c>
      <c r="R5058" t="str">
        <f t="shared" si="157"/>
        <v>[ul0y9diGujK]|15-24|Female|PMTCT_STAT_SUBNAT.N.Known.Pos.T_1|CY2024Q3</v>
      </c>
    </row>
    <row r="5059" spans="4:18" x14ac:dyDescent="0.2">
      <c r="D5059" t="s">
        <v>126</v>
      </c>
      <c r="E5059" t="s">
        <v>127</v>
      </c>
      <c r="F5059" t="s">
        <v>128</v>
      </c>
      <c r="G5059" t="s">
        <v>211</v>
      </c>
      <c r="H5059" t="s">
        <v>212</v>
      </c>
      <c r="I5059" t="s">
        <v>41</v>
      </c>
      <c r="J5059" t="s">
        <v>42</v>
      </c>
      <c r="K5059" t="s">
        <v>30</v>
      </c>
      <c r="L5059" t="s">
        <v>31</v>
      </c>
      <c r="M5059" t="s">
        <v>140</v>
      </c>
      <c r="N5059">
        <v>410</v>
      </c>
      <c r="O5059">
        <v>4.2630084999999998E-2</v>
      </c>
      <c r="P5059">
        <v>3.0304281999999998E-2</v>
      </c>
      <c r="Q5059" t="str">
        <f t="shared" ref="Q5059:Q5122" si="158">SUBSTITUTE(SUBSTITUTE($I5059,CHAR(61),""),CHAR(34),"")</f>
        <v>25-34</v>
      </c>
      <c r="R5059" t="str">
        <f t="shared" ref="R5059:R5122" si="159">IF($D5059&lt;&gt;"","["&amp;$E5059&amp;"]"&amp;"|"&amp;$Q5059&amp;"|"&amp;$K5059&amp;"|"&amp;$G5059&amp;"|"&amp;IF($G5059="TX_CURR_SUBNAT.R","CY2023Q4",$M5059),"")</f>
        <v>[ul0y9diGujK]|25-34|Female|PMTCT_STAT_SUBNAT.N.Known.Pos.T_1|CY2024Q3</v>
      </c>
    </row>
    <row r="5060" spans="4:18" x14ac:dyDescent="0.2">
      <c r="D5060" t="s">
        <v>126</v>
      </c>
      <c r="E5060" t="s">
        <v>127</v>
      </c>
      <c r="F5060" t="s">
        <v>128</v>
      </c>
      <c r="G5060" t="s">
        <v>211</v>
      </c>
      <c r="H5060" t="s">
        <v>212</v>
      </c>
      <c r="I5060" t="s">
        <v>43</v>
      </c>
      <c r="J5060" t="s">
        <v>44</v>
      </c>
      <c r="K5060" t="s">
        <v>30</v>
      </c>
      <c r="L5060" t="s">
        <v>31</v>
      </c>
      <c r="M5060" t="s">
        <v>140</v>
      </c>
      <c r="N5060">
        <v>347</v>
      </c>
      <c r="O5060">
        <v>4.0882534999999998E-2</v>
      </c>
      <c r="P5060">
        <v>3.0304281999999998E-2</v>
      </c>
      <c r="Q5060" t="str">
        <f t="shared" si="158"/>
        <v>35-49</v>
      </c>
      <c r="R5060" t="str">
        <f t="shared" si="159"/>
        <v>[ul0y9diGujK]|35-49|Female|PMTCT_STAT_SUBNAT.N.Known.Pos.T_1|CY2024Q3</v>
      </c>
    </row>
    <row r="5061" spans="4:18" x14ac:dyDescent="0.2">
      <c r="D5061" t="s">
        <v>129</v>
      </c>
      <c r="E5061" t="s">
        <v>130</v>
      </c>
      <c r="F5061" t="s">
        <v>131</v>
      </c>
      <c r="G5061" t="s">
        <v>211</v>
      </c>
      <c r="H5061" t="s">
        <v>212</v>
      </c>
      <c r="I5061" t="s">
        <v>38</v>
      </c>
      <c r="J5061" t="s">
        <v>39</v>
      </c>
      <c r="K5061" t="s">
        <v>30</v>
      </c>
      <c r="L5061" t="s">
        <v>31</v>
      </c>
      <c r="M5061" t="s">
        <v>140</v>
      </c>
      <c r="N5061">
        <v>214</v>
      </c>
      <c r="O5061">
        <v>6.9599044999999998E-2</v>
      </c>
      <c r="P5061">
        <v>3.0898938000000001E-2</v>
      </c>
      <c r="Q5061" t="str">
        <f t="shared" si="158"/>
        <v>15-24</v>
      </c>
      <c r="R5061" t="str">
        <f t="shared" si="159"/>
        <v>[U8c0so51kT6]|15-24|Female|PMTCT_STAT_SUBNAT.N.Known.Pos.T_1|CY2024Q3</v>
      </c>
    </row>
    <row r="5062" spans="4:18" x14ac:dyDescent="0.2">
      <c r="D5062" t="s">
        <v>129</v>
      </c>
      <c r="E5062" t="s">
        <v>130</v>
      </c>
      <c r="F5062" t="s">
        <v>131</v>
      </c>
      <c r="G5062" t="s">
        <v>211</v>
      </c>
      <c r="H5062" t="s">
        <v>212</v>
      </c>
      <c r="I5062" t="s">
        <v>41</v>
      </c>
      <c r="J5062" t="s">
        <v>42</v>
      </c>
      <c r="K5062" t="s">
        <v>30</v>
      </c>
      <c r="L5062" t="s">
        <v>31</v>
      </c>
      <c r="M5062" t="s">
        <v>140</v>
      </c>
      <c r="N5062">
        <v>407</v>
      </c>
      <c r="O5062">
        <v>4.3072307999999997E-2</v>
      </c>
      <c r="P5062">
        <v>3.0898938000000001E-2</v>
      </c>
      <c r="Q5062" t="str">
        <f t="shared" si="158"/>
        <v>25-34</v>
      </c>
      <c r="R5062" t="str">
        <f t="shared" si="159"/>
        <v>[U8c0so51kT6]|25-34|Female|PMTCT_STAT_SUBNAT.N.Known.Pos.T_1|CY2024Q3</v>
      </c>
    </row>
    <row r="5063" spans="4:18" x14ac:dyDescent="0.2">
      <c r="D5063" t="s">
        <v>129</v>
      </c>
      <c r="E5063" t="s">
        <v>130</v>
      </c>
      <c r="F5063" t="s">
        <v>131</v>
      </c>
      <c r="G5063" t="s">
        <v>211</v>
      </c>
      <c r="H5063" t="s">
        <v>212</v>
      </c>
      <c r="I5063" t="s">
        <v>43</v>
      </c>
      <c r="J5063" t="s">
        <v>44</v>
      </c>
      <c r="K5063" t="s">
        <v>30</v>
      </c>
      <c r="L5063" t="s">
        <v>31</v>
      </c>
      <c r="M5063" t="s">
        <v>140</v>
      </c>
      <c r="N5063">
        <v>309</v>
      </c>
      <c r="O5063">
        <v>4.1694521999999998E-2</v>
      </c>
      <c r="P5063">
        <v>3.0898938000000001E-2</v>
      </c>
      <c r="Q5063" t="str">
        <f t="shared" si="158"/>
        <v>35-49</v>
      </c>
      <c r="R5063" t="str">
        <f t="shared" si="159"/>
        <v>[U8c0so51kT6]|35-49|Female|PMTCT_STAT_SUBNAT.N.Known.Pos.T_1|CY2024Q3</v>
      </c>
    </row>
    <row r="5064" spans="4:18" x14ac:dyDescent="0.2">
      <c r="D5064" t="s">
        <v>132</v>
      </c>
      <c r="E5064" t="s">
        <v>133</v>
      </c>
      <c r="F5064" t="s">
        <v>134</v>
      </c>
      <c r="G5064" t="s">
        <v>211</v>
      </c>
      <c r="H5064" t="s">
        <v>212</v>
      </c>
      <c r="I5064" t="s">
        <v>38</v>
      </c>
      <c r="J5064" t="s">
        <v>39</v>
      </c>
      <c r="K5064" t="s">
        <v>30</v>
      </c>
      <c r="L5064" t="s">
        <v>31</v>
      </c>
      <c r="M5064" t="s">
        <v>140</v>
      </c>
      <c r="N5064">
        <v>187</v>
      </c>
      <c r="O5064">
        <v>7.3233828000000001E-2</v>
      </c>
      <c r="P5064">
        <v>3.5194814999999997E-2</v>
      </c>
      <c r="Q5064" t="str">
        <f t="shared" si="158"/>
        <v>15-24</v>
      </c>
      <c r="R5064" t="str">
        <f t="shared" si="159"/>
        <v>[rpw540fmNUz]|15-24|Female|PMTCT_STAT_SUBNAT.N.Known.Pos.T_1|CY2024Q3</v>
      </c>
    </row>
    <row r="5065" spans="4:18" x14ac:dyDescent="0.2">
      <c r="D5065" t="s">
        <v>132</v>
      </c>
      <c r="E5065" t="s">
        <v>133</v>
      </c>
      <c r="F5065" t="s">
        <v>134</v>
      </c>
      <c r="G5065" t="s">
        <v>211</v>
      </c>
      <c r="H5065" t="s">
        <v>212</v>
      </c>
      <c r="I5065" t="s">
        <v>41</v>
      </c>
      <c r="J5065" t="s">
        <v>42</v>
      </c>
      <c r="K5065" t="s">
        <v>30</v>
      </c>
      <c r="L5065" t="s">
        <v>31</v>
      </c>
      <c r="M5065" t="s">
        <v>140</v>
      </c>
      <c r="N5065">
        <v>344</v>
      </c>
      <c r="O5065">
        <v>4.5782268000000001E-2</v>
      </c>
      <c r="P5065">
        <v>3.5194814999999997E-2</v>
      </c>
      <c r="Q5065" t="str">
        <f t="shared" si="158"/>
        <v>25-34</v>
      </c>
      <c r="R5065" t="str">
        <f t="shared" si="159"/>
        <v>[rpw540fmNUz]|25-34|Female|PMTCT_STAT_SUBNAT.N.Known.Pos.T_1|CY2024Q3</v>
      </c>
    </row>
    <row r="5066" spans="4:18" x14ac:dyDescent="0.2">
      <c r="D5066" t="s">
        <v>132</v>
      </c>
      <c r="E5066" t="s">
        <v>133</v>
      </c>
      <c r="F5066" t="s">
        <v>134</v>
      </c>
      <c r="G5066" t="s">
        <v>211</v>
      </c>
      <c r="H5066" t="s">
        <v>212</v>
      </c>
      <c r="I5066" t="s">
        <v>43</v>
      </c>
      <c r="J5066" t="s">
        <v>44</v>
      </c>
      <c r="K5066" t="s">
        <v>30</v>
      </c>
      <c r="L5066" t="s">
        <v>31</v>
      </c>
      <c r="M5066" t="s">
        <v>140</v>
      </c>
      <c r="N5066">
        <v>248</v>
      </c>
      <c r="O5066">
        <v>4.3960152000000002E-2</v>
      </c>
      <c r="P5066">
        <v>3.5194814999999997E-2</v>
      </c>
      <c r="Q5066" t="str">
        <f t="shared" si="158"/>
        <v>35-49</v>
      </c>
      <c r="R5066" t="str">
        <f t="shared" si="159"/>
        <v>[rpw540fmNUz]|35-49|Female|PMTCT_STAT_SUBNAT.N.Known.Pos.T_1|CY2024Q3</v>
      </c>
    </row>
    <row r="5067" spans="4:18" x14ac:dyDescent="0.2">
      <c r="D5067" t="s">
        <v>135</v>
      </c>
      <c r="E5067" t="s">
        <v>136</v>
      </c>
      <c r="F5067" t="s">
        <v>137</v>
      </c>
      <c r="G5067" t="s">
        <v>211</v>
      </c>
      <c r="H5067" t="s">
        <v>212</v>
      </c>
      <c r="I5067" t="s">
        <v>38</v>
      </c>
      <c r="J5067" t="s">
        <v>39</v>
      </c>
      <c r="K5067" t="s">
        <v>30</v>
      </c>
      <c r="L5067" t="s">
        <v>31</v>
      </c>
      <c r="M5067" t="s">
        <v>140</v>
      </c>
      <c r="N5067">
        <v>62</v>
      </c>
      <c r="O5067">
        <v>8.1943818000000002E-2</v>
      </c>
      <c r="P5067">
        <v>5.4088299999999999E-2</v>
      </c>
      <c r="Q5067" t="str">
        <f t="shared" si="158"/>
        <v>15-24</v>
      </c>
      <c r="R5067" t="str">
        <f t="shared" si="159"/>
        <v>[gwVYinjBAe9]|15-24|Female|PMTCT_STAT_SUBNAT.N.Known.Pos.T_1|CY2024Q3</v>
      </c>
    </row>
    <row r="5068" spans="4:18" x14ac:dyDescent="0.2">
      <c r="D5068" t="s">
        <v>135</v>
      </c>
      <c r="E5068" t="s">
        <v>136</v>
      </c>
      <c r="F5068" t="s">
        <v>137</v>
      </c>
      <c r="G5068" t="s">
        <v>211</v>
      </c>
      <c r="H5068" t="s">
        <v>212</v>
      </c>
      <c r="I5068" t="s">
        <v>41</v>
      </c>
      <c r="J5068" t="s">
        <v>42</v>
      </c>
      <c r="K5068" t="s">
        <v>30</v>
      </c>
      <c r="L5068" t="s">
        <v>31</v>
      </c>
      <c r="M5068" t="s">
        <v>140</v>
      </c>
      <c r="N5068">
        <v>113</v>
      </c>
      <c r="O5068">
        <v>6.2085169000000003E-2</v>
      </c>
      <c r="P5068">
        <v>5.4088299999999999E-2</v>
      </c>
      <c r="Q5068" t="str">
        <f t="shared" si="158"/>
        <v>25-34</v>
      </c>
      <c r="R5068" t="str">
        <f t="shared" si="159"/>
        <v>[gwVYinjBAe9]|25-34|Female|PMTCT_STAT_SUBNAT.N.Known.Pos.T_1|CY2024Q3</v>
      </c>
    </row>
    <row r="5069" spans="4:18" x14ac:dyDescent="0.2">
      <c r="D5069" t="s">
        <v>135</v>
      </c>
      <c r="E5069" t="s">
        <v>136</v>
      </c>
      <c r="F5069" t="s">
        <v>137</v>
      </c>
      <c r="G5069" t="s">
        <v>211</v>
      </c>
      <c r="H5069" t="s">
        <v>212</v>
      </c>
      <c r="I5069" t="s">
        <v>43</v>
      </c>
      <c r="J5069" t="s">
        <v>44</v>
      </c>
      <c r="K5069" t="s">
        <v>30</v>
      </c>
      <c r="L5069" t="s">
        <v>31</v>
      </c>
      <c r="M5069" t="s">
        <v>140</v>
      </c>
      <c r="N5069">
        <v>85</v>
      </c>
      <c r="O5069">
        <v>5.8770927000000001E-2</v>
      </c>
      <c r="P5069">
        <v>5.4088299999999999E-2</v>
      </c>
      <c r="Q5069" t="str">
        <f t="shared" si="158"/>
        <v>35-49</v>
      </c>
      <c r="R5069" t="str">
        <f t="shared" si="159"/>
        <v>[gwVYinjBAe9]|35-49|Female|PMTCT_STAT_SUBNAT.N.Known.Pos.T_1|CY2024Q3</v>
      </c>
    </row>
    <row r="5070" spans="4:18" x14ac:dyDescent="0.2">
      <c r="D5070" t="s">
        <v>23</v>
      </c>
      <c r="E5070" t="s">
        <v>24</v>
      </c>
      <c r="F5070" t="s">
        <v>25</v>
      </c>
      <c r="G5070" t="s">
        <v>213</v>
      </c>
      <c r="H5070" t="s">
        <v>212</v>
      </c>
      <c r="I5070" t="s">
        <v>38</v>
      </c>
      <c r="J5070" t="s">
        <v>39</v>
      </c>
      <c r="K5070" t="s">
        <v>30</v>
      </c>
      <c r="L5070" t="s">
        <v>31</v>
      </c>
      <c r="M5070" t="s">
        <v>140</v>
      </c>
      <c r="N5070">
        <v>16</v>
      </c>
      <c r="O5070">
        <v>0.12775816100000001</v>
      </c>
      <c r="P5070">
        <v>0.110716904</v>
      </c>
      <c r="Q5070" t="str">
        <f t="shared" si="158"/>
        <v>15-24</v>
      </c>
      <c r="R5070" t="str">
        <f t="shared" si="159"/>
        <v>[GkIwZrXy1h2]|15-24|Female|PMTCT_STAT_SUBNAT.N.New.Pos.T_1|CY2024Q3</v>
      </c>
    </row>
    <row r="5071" spans="4:18" x14ac:dyDescent="0.2">
      <c r="D5071" t="s">
        <v>23</v>
      </c>
      <c r="E5071" t="s">
        <v>24</v>
      </c>
      <c r="F5071" t="s">
        <v>25</v>
      </c>
      <c r="G5071" t="s">
        <v>213</v>
      </c>
      <c r="H5071" t="s">
        <v>212</v>
      </c>
      <c r="I5071" t="s">
        <v>41</v>
      </c>
      <c r="J5071" t="s">
        <v>42</v>
      </c>
      <c r="K5071" t="s">
        <v>30</v>
      </c>
      <c r="L5071" t="s">
        <v>31</v>
      </c>
      <c r="M5071" t="s">
        <v>140</v>
      </c>
      <c r="N5071">
        <v>23</v>
      </c>
      <c r="O5071">
        <v>0.121929853</v>
      </c>
      <c r="P5071">
        <v>0.110716904</v>
      </c>
      <c r="Q5071" t="str">
        <f t="shared" si="158"/>
        <v>25-34</v>
      </c>
      <c r="R5071" t="str">
        <f t="shared" si="159"/>
        <v>[GkIwZrXy1h2]|25-34|Female|PMTCT_STAT_SUBNAT.N.New.Pos.T_1|CY2024Q3</v>
      </c>
    </row>
    <row r="5072" spans="4:18" x14ac:dyDescent="0.2">
      <c r="D5072" t="s">
        <v>23</v>
      </c>
      <c r="E5072" t="s">
        <v>24</v>
      </c>
      <c r="F5072" t="s">
        <v>25</v>
      </c>
      <c r="G5072" t="s">
        <v>213</v>
      </c>
      <c r="H5072" t="s">
        <v>212</v>
      </c>
      <c r="I5072" t="s">
        <v>43</v>
      </c>
      <c r="J5072" t="s">
        <v>44</v>
      </c>
      <c r="K5072" t="s">
        <v>30</v>
      </c>
      <c r="L5072" t="s">
        <v>31</v>
      </c>
      <c r="M5072" t="s">
        <v>140</v>
      </c>
      <c r="N5072">
        <v>7</v>
      </c>
      <c r="O5072">
        <v>0.184519725</v>
      </c>
      <c r="P5072">
        <v>0.110716904</v>
      </c>
      <c r="Q5072" t="str">
        <f t="shared" si="158"/>
        <v>35-49</v>
      </c>
      <c r="R5072" t="str">
        <f t="shared" si="159"/>
        <v>[GkIwZrXy1h2]|35-49|Female|PMTCT_STAT_SUBNAT.N.New.Pos.T_1|CY2024Q3</v>
      </c>
    </row>
    <row r="5073" spans="4:18" x14ac:dyDescent="0.2">
      <c r="D5073" t="s">
        <v>53</v>
      </c>
      <c r="E5073" t="s">
        <v>54</v>
      </c>
      <c r="F5073" t="s">
        <v>55</v>
      </c>
      <c r="G5073" t="s">
        <v>213</v>
      </c>
      <c r="H5073" t="s">
        <v>212</v>
      </c>
      <c r="I5073" t="s">
        <v>38</v>
      </c>
      <c r="J5073" t="s">
        <v>39</v>
      </c>
      <c r="K5073" t="s">
        <v>30</v>
      </c>
      <c r="L5073" t="s">
        <v>31</v>
      </c>
      <c r="M5073" t="s">
        <v>140</v>
      </c>
      <c r="N5073">
        <v>53</v>
      </c>
      <c r="O5073">
        <v>0.10271854800000001</v>
      </c>
      <c r="P5073">
        <v>7.3171952999999998E-2</v>
      </c>
      <c r="Q5073" t="str">
        <f t="shared" si="158"/>
        <v>15-24</v>
      </c>
      <c r="R5073" t="str">
        <f t="shared" si="159"/>
        <v>[cPtvxaZqXIH]|15-24|Female|PMTCT_STAT_SUBNAT.N.New.Pos.T_1|CY2024Q3</v>
      </c>
    </row>
    <row r="5074" spans="4:18" x14ac:dyDescent="0.2">
      <c r="D5074" t="s">
        <v>53</v>
      </c>
      <c r="E5074" t="s">
        <v>54</v>
      </c>
      <c r="F5074" t="s">
        <v>55</v>
      </c>
      <c r="G5074" t="s">
        <v>213</v>
      </c>
      <c r="H5074" t="s">
        <v>212</v>
      </c>
      <c r="I5074" t="s">
        <v>41</v>
      </c>
      <c r="J5074" t="s">
        <v>42</v>
      </c>
      <c r="K5074" t="s">
        <v>30</v>
      </c>
      <c r="L5074" t="s">
        <v>31</v>
      </c>
      <c r="M5074" t="s">
        <v>140</v>
      </c>
      <c r="N5074">
        <v>73</v>
      </c>
      <c r="O5074">
        <v>8.9950432999999996E-2</v>
      </c>
      <c r="P5074">
        <v>7.3171952999999998E-2</v>
      </c>
      <c r="Q5074" t="str">
        <f t="shared" si="158"/>
        <v>25-34</v>
      </c>
      <c r="R5074" t="str">
        <f t="shared" si="159"/>
        <v>[cPtvxaZqXIH]|25-34|Female|PMTCT_STAT_SUBNAT.N.New.Pos.T_1|CY2024Q3</v>
      </c>
    </row>
    <row r="5075" spans="4:18" x14ac:dyDescent="0.2">
      <c r="D5075" t="s">
        <v>53</v>
      </c>
      <c r="E5075" t="s">
        <v>54</v>
      </c>
      <c r="F5075" t="s">
        <v>55</v>
      </c>
      <c r="G5075" t="s">
        <v>213</v>
      </c>
      <c r="H5075" t="s">
        <v>212</v>
      </c>
      <c r="I5075" t="s">
        <v>43</v>
      </c>
      <c r="J5075" t="s">
        <v>44</v>
      </c>
      <c r="K5075" t="s">
        <v>30</v>
      </c>
      <c r="L5075" t="s">
        <v>31</v>
      </c>
      <c r="M5075" t="s">
        <v>140</v>
      </c>
      <c r="N5075">
        <v>22</v>
      </c>
      <c r="O5075">
        <v>0.15074330999999999</v>
      </c>
      <c r="P5075">
        <v>7.3171952999999998E-2</v>
      </c>
      <c r="Q5075" t="str">
        <f t="shared" si="158"/>
        <v>35-49</v>
      </c>
      <c r="R5075" t="str">
        <f t="shared" si="159"/>
        <v>[cPtvxaZqXIH]|35-49|Female|PMTCT_STAT_SUBNAT.N.New.Pos.T_1|CY2024Q3</v>
      </c>
    </row>
    <row r="5076" spans="4:18" x14ac:dyDescent="0.2">
      <c r="D5076" t="s">
        <v>60</v>
      </c>
      <c r="E5076" t="s">
        <v>61</v>
      </c>
      <c r="F5076" t="s">
        <v>62</v>
      </c>
      <c r="G5076" t="s">
        <v>213</v>
      </c>
      <c r="H5076" t="s">
        <v>212</v>
      </c>
      <c r="I5076" t="s">
        <v>38</v>
      </c>
      <c r="J5076" t="s">
        <v>39</v>
      </c>
      <c r="K5076" t="s">
        <v>30</v>
      </c>
      <c r="L5076" t="s">
        <v>31</v>
      </c>
      <c r="M5076" t="s">
        <v>140</v>
      </c>
      <c r="N5076">
        <v>37</v>
      </c>
      <c r="O5076">
        <v>0.117012272</v>
      </c>
      <c r="P5076">
        <v>9.1569363000000001E-2</v>
      </c>
      <c r="Q5076" t="str">
        <f t="shared" si="158"/>
        <v>15-24</v>
      </c>
      <c r="R5076" t="str">
        <f t="shared" si="159"/>
        <v>[E7zpfyBt7Tw]|15-24|Female|PMTCT_STAT_SUBNAT.N.New.Pos.T_1|CY2024Q3</v>
      </c>
    </row>
    <row r="5077" spans="4:18" x14ac:dyDescent="0.2">
      <c r="D5077" t="s">
        <v>60</v>
      </c>
      <c r="E5077" t="s">
        <v>61</v>
      </c>
      <c r="F5077" t="s">
        <v>62</v>
      </c>
      <c r="G5077" t="s">
        <v>213</v>
      </c>
      <c r="H5077" t="s">
        <v>212</v>
      </c>
      <c r="I5077" t="s">
        <v>41</v>
      </c>
      <c r="J5077" t="s">
        <v>42</v>
      </c>
      <c r="K5077" t="s">
        <v>30</v>
      </c>
      <c r="L5077" t="s">
        <v>31</v>
      </c>
      <c r="M5077" t="s">
        <v>140</v>
      </c>
      <c r="N5077">
        <v>47</v>
      </c>
      <c r="O5077">
        <v>0.11000702900000001</v>
      </c>
      <c r="P5077">
        <v>9.1569363000000001E-2</v>
      </c>
      <c r="Q5077" t="str">
        <f t="shared" si="158"/>
        <v>25-34</v>
      </c>
      <c r="R5077" t="str">
        <f t="shared" si="159"/>
        <v>[E7zpfyBt7Tw]|25-34|Female|PMTCT_STAT_SUBNAT.N.New.Pos.T_1|CY2024Q3</v>
      </c>
    </row>
    <row r="5078" spans="4:18" x14ac:dyDescent="0.2">
      <c r="D5078" t="s">
        <v>60</v>
      </c>
      <c r="E5078" t="s">
        <v>61</v>
      </c>
      <c r="F5078" t="s">
        <v>62</v>
      </c>
      <c r="G5078" t="s">
        <v>213</v>
      </c>
      <c r="H5078" t="s">
        <v>212</v>
      </c>
      <c r="I5078" t="s">
        <v>43</v>
      </c>
      <c r="J5078" t="s">
        <v>44</v>
      </c>
      <c r="K5078" t="s">
        <v>30</v>
      </c>
      <c r="L5078" t="s">
        <v>31</v>
      </c>
      <c r="M5078" t="s">
        <v>140</v>
      </c>
      <c r="N5078">
        <v>13</v>
      </c>
      <c r="O5078">
        <v>0.16662694</v>
      </c>
      <c r="P5078">
        <v>9.1569363000000001E-2</v>
      </c>
      <c r="Q5078" t="str">
        <f t="shared" si="158"/>
        <v>35-49</v>
      </c>
      <c r="R5078" t="str">
        <f t="shared" si="159"/>
        <v>[E7zpfyBt7Tw]|35-49|Female|PMTCT_STAT_SUBNAT.N.New.Pos.T_1|CY2024Q3</v>
      </c>
    </row>
    <row r="5079" spans="4:18" x14ac:dyDescent="0.2">
      <c r="D5079" t="s">
        <v>63</v>
      </c>
      <c r="E5079" t="s">
        <v>64</v>
      </c>
      <c r="F5079" t="s">
        <v>65</v>
      </c>
      <c r="G5079" t="s">
        <v>213</v>
      </c>
      <c r="H5079" t="s">
        <v>212</v>
      </c>
      <c r="I5079" t="s">
        <v>38</v>
      </c>
      <c r="J5079" t="s">
        <v>39</v>
      </c>
      <c r="K5079" t="s">
        <v>30</v>
      </c>
      <c r="L5079" t="s">
        <v>31</v>
      </c>
      <c r="M5079" t="s">
        <v>140</v>
      </c>
      <c r="N5079">
        <v>18</v>
      </c>
      <c r="O5079">
        <v>0.13684137199999999</v>
      </c>
      <c r="P5079">
        <v>0.116279697</v>
      </c>
      <c r="Q5079" t="str">
        <f t="shared" si="158"/>
        <v>15-24</v>
      </c>
      <c r="R5079" t="str">
        <f t="shared" si="159"/>
        <v>[lPTyjLi4w3d]|15-24|Female|PMTCT_STAT_SUBNAT.N.New.Pos.T_1|CY2024Q3</v>
      </c>
    </row>
    <row r="5080" spans="4:18" x14ac:dyDescent="0.2">
      <c r="D5080" t="s">
        <v>63</v>
      </c>
      <c r="E5080" t="s">
        <v>64</v>
      </c>
      <c r="F5080" t="s">
        <v>65</v>
      </c>
      <c r="G5080" t="s">
        <v>213</v>
      </c>
      <c r="H5080" t="s">
        <v>212</v>
      </c>
      <c r="I5080" t="s">
        <v>41</v>
      </c>
      <c r="J5080" t="s">
        <v>42</v>
      </c>
      <c r="K5080" t="s">
        <v>30</v>
      </c>
      <c r="L5080" t="s">
        <v>31</v>
      </c>
      <c r="M5080" t="s">
        <v>140</v>
      </c>
      <c r="N5080">
        <v>24</v>
      </c>
      <c r="O5080">
        <v>0.13136007499999999</v>
      </c>
      <c r="P5080">
        <v>0.116279697</v>
      </c>
      <c r="Q5080" t="str">
        <f t="shared" si="158"/>
        <v>25-34</v>
      </c>
      <c r="R5080" t="str">
        <f t="shared" si="159"/>
        <v>[lPTyjLi4w3d]|25-34|Female|PMTCT_STAT_SUBNAT.N.New.Pos.T_1|CY2024Q3</v>
      </c>
    </row>
    <row r="5081" spans="4:18" x14ac:dyDescent="0.2">
      <c r="D5081" t="s">
        <v>63</v>
      </c>
      <c r="E5081" t="s">
        <v>64</v>
      </c>
      <c r="F5081" t="s">
        <v>65</v>
      </c>
      <c r="G5081" t="s">
        <v>213</v>
      </c>
      <c r="H5081" t="s">
        <v>212</v>
      </c>
      <c r="I5081" t="s">
        <v>43</v>
      </c>
      <c r="J5081" t="s">
        <v>44</v>
      </c>
      <c r="K5081" t="s">
        <v>30</v>
      </c>
      <c r="L5081" t="s">
        <v>31</v>
      </c>
      <c r="M5081" t="s">
        <v>140</v>
      </c>
      <c r="N5081">
        <v>7</v>
      </c>
      <c r="O5081">
        <v>0.192199116</v>
      </c>
      <c r="P5081">
        <v>0.116279697</v>
      </c>
      <c r="Q5081" t="str">
        <f t="shared" si="158"/>
        <v>35-49</v>
      </c>
      <c r="R5081" t="str">
        <f t="shared" si="159"/>
        <v>[lPTyjLi4w3d]|35-49|Female|PMTCT_STAT_SUBNAT.N.New.Pos.T_1|CY2024Q3</v>
      </c>
    </row>
    <row r="5082" spans="4:18" x14ac:dyDescent="0.2">
      <c r="D5082" t="s">
        <v>66</v>
      </c>
      <c r="E5082" t="s">
        <v>67</v>
      </c>
      <c r="F5082" t="s">
        <v>68</v>
      </c>
      <c r="G5082" t="s">
        <v>213</v>
      </c>
      <c r="H5082" t="s">
        <v>212</v>
      </c>
      <c r="I5082" t="s">
        <v>38</v>
      </c>
      <c r="J5082" t="s">
        <v>39</v>
      </c>
      <c r="K5082" t="s">
        <v>30</v>
      </c>
      <c r="L5082" t="s">
        <v>31</v>
      </c>
      <c r="M5082" t="s">
        <v>140</v>
      </c>
      <c r="N5082">
        <v>127</v>
      </c>
      <c r="O5082">
        <v>8.5516186999999994E-2</v>
      </c>
      <c r="P5082">
        <v>4.5440659000000001E-2</v>
      </c>
      <c r="Q5082" t="str">
        <f t="shared" si="158"/>
        <v>15-24</v>
      </c>
      <c r="R5082" t="str">
        <f t="shared" si="159"/>
        <v>[vA4NcHxfMBq]|15-24|Female|PMTCT_STAT_SUBNAT.N.New.Pos.T_1|CY2024Q3</v>
      </c>
    </row>
    <row r="5083" spans="4:18" x14ac:dyDescent="0.2">
      <c r="D5083" t="s">
        <v>66</v>
      </c>
      <c r="E5083" t="s">
        <v>67</v>
      </c>
      <c r="F5083" t="s">
        <v>68</v>
      </c>
      <c r="G5083" t="s">
        <v>213</v>
      </c>
      <c r="H5083" t="s">
        <v>212</v>
      </c>
      <c r="I5083" t="s">
        <v>41</v>
      </c>
      <c r="J5083" t="s">
        <v>42</v>
      </c>
      <c r="K5083" t="s">
        <v>30</v>
      </c>
      <c r="L5083" t="s">
        <v>31</v>
      </c>
      <c r="M5083" t="s">
        <v>140</v>
      </c>
      <c r="N5083">
        <v>192</v>
      </c>
      <c r="O5083">
        <v>6.8476565000000003E-2</v>
      </c>
      <c r="P5083">
        <v>4.5440659000000001E-2</v>
      </c>
      <c r="Q5083" t="str">
        <f t="shared" si="158"/>
        <v>25-34</v>
      </c>
      <c r="R5083" t="str">
        <f t="shared" si="159"/>
        <v>[vA4NcHxfMBq]|25-34|Female|PMTCT_STAT_SUBNAT.N.New.Pos.T_1|CY2024Q3</v>
      </c>
    </row>
    <row r="5084" spans="4:18" x14ac:dyDescent="0.2">
      <c r="D5084" t="s">
        <v>66</v>
      </c>
      <c r="E5084" t="s">
        <v>67</v>
      </c>
      <c r="F5084" t="s">
        <v>68</v>
      </c>
      <c r="G5084" t="s">
        <v>213</v>
      </c>
      <c r="H5084" t="s">
        <v>212</v>
      </c>
      <c r="I5084" t="s">
        <v>43</v>
      </c>
      <c r="J5084" t="s">
        <v>44</v>
      </c>
      <c r="K5084" t="s">
        <v>30</v>
      </c>
      <c r="L5084" t="s">
        <v>31</v>
      </c>
      <c r="M5084" t="s">
        <v>140</v>
      </c>
      <c r="N5084">
        <v>58</v>
      </c>
      <c r="O5084">
        <v>0.13170943099999999</v>
      </c>
      <c r="P5084">
        <v>4.5440659000000001E-2</v>
      </c>
      <c r="Q5084" t="str">
        <f t="shared" si="158"/>
        <v>35-49</v>
      </c>
      <c r="R5084" t="str">
        <f t="shared" si="159"/>
        <v>[vA4NcHxfMBq]|35-49|Female|PMTCT_STAT_SUBNAT.N.New.Pos.T_1|CY2024Q3</v>
      </c>
    </row>
    <row r="5085" spans="4:18" x14ac:dyDescent="0.2">
      <c r="D5085" t="s">
        <v>69</v>
      </c>
      <c r="E5085" t="s">
        <v>70</v>
      </c>
      <c r="F5085" t="s">
        <v>71</v>
      </c>
      <c r="G5085" t="s">
        <v>213</v>
      </c>
      <c r="H5085" t="s">
        <v>212</v>
      </c>
      <c r="I5085" t="s">
        <v>38</v>
      </c>
      <c r="J5085" t="s">
        <v>39</v>
      </c>
      <c r="K5085" t="s">
        <v>30</v>
      </c>
      <c r="L5085" t="s">
        <v>31</v>
      </c>
      <c r="M5085" t="s">
        <v>140</v>
      </c>
      <c r="N5085">
        <v>3</v>
      </c>
      <c r="O5085">
        <v>0.22346163099999999</v>
      </c>
      <c r="P5085">
        <v>0.221082848</v>
      </c>
      <c r="Q5085" t="str">
        <f t="shared" si="158"/>
        <v>15-24</v>
      </c>
      <c r="R5085" t="str">
        <f t="shared" si="159"/>
        <v>[ZCjuwgaMB9u]|15-24|Female|PMTCT_STAT_SUBNAT.N.New.Pos.T_1|CY2024Q3</v>
      </c>
    </row>
    <row r="5086" spans="4:18" x14ac:dyDescent="0.2">
      <c r="D5086" t="s">
        <v>69</v>
      </c>
      <c r="E5086" t="s">
        <v>70</v>
      </c>
      <c r="F5086" t="s">
        <v>71</v>
      </c>
      <c r="G5086" t="s">
        <v>213</v>
      </c>
      <c r="H5086" t="s">
        <v>212</v>
      </c>
      <c r="I5086" t="s">
        <v>41</v>
      </c>
      <c r="J5086" t="s">
        <v>42</v>
      </c>
      <c r="K5086" t="s">
        <v>30</v>
      </c>
      <c r="L5086" t="s">
        <v>31</v>
      </c>
      <c r="M5086" t="s">
        <v>140</v>
      </c>
      <c r="N5086">
        <v>4</v>
      </c>
      <c r="O5086">
        <v>0.224716692</v>
      </c>
      <c r="P5086">
        <v>0.221082848</v>
      </c>
      <c r="Q5086" t="str">
        <f t="shared" si="158"/>
        <v>25-34</v>
      </c>
      <c r="R5086" t="str">
        <f t="shared" si="159"/>
        <v>[ZCjuwgaMB9u]|25-34|Female|PMTCT_STAT_SUBNAT.N.New.Pos.T_1|CY2024Q3</v>
      </c>
    </row>
    <row r="5087" spans="4:18" x14ac:dyDescent="0.2">
      <c r="D5087" t="s">
        <v>69</v>
      </c>
      <c r="E5087" t="s">
        <v>70</v>
      </c>
      <c r="F5087" t="s">
        <v>71</v>
      </c>
      <c r="G5087" t="s">
        <v>213</v>
      </c>
      <c r="H5087" t="s">
        <v>212</v>
      </c>
      <c r="I5087" t="s">
        <v>43</v>
      </c>
      <c r="J5087" t="s">
        <v>44</v>
      </c>
      <c r="K5087" t="s">
        <v>30</v>
      </c>
      <c r="L5087" t="s">
        <v>31</v>
      </c>
      <c r="M5087" t="s">
        <v>140</v>
      </c>
      <c r="N5087">
        <v>1</v>
      </c>
      <c r="O5087">
        <v>0.29603314800000002</v>
      </c>
      <c r="P5087">
        <v>0.221082848</v>
      </c>
      <c r="Q5087" t="str">
        <f t="shared" si="158"/>
        <v>35-49</v>
      </c>
      <c r="R5087" t="str">
        <f t="shared" si="159"/>
        <v>[ZCjuwgaMB9u]|35-49|Female|PMTCT_STAT_SUBNAT.N.New.Pos.T_1|CY2024Q3</v>
      </c>
    </row>
    <row r="5088" spans="4:18" x14ac:dyDescent="0.2">
      <c r="D5088" t="s">
        <v>72</v>
      </c>
      <c r="E5088" t="s">
        <v>73</v>
      </c>
      <c r="F5088" t="s">
        <v>74</v>
      </c>
      <c r="G5088" t="s">
        <v>213</v>
      </c>
      <c r="H5088" t="s">
        <v>212</v>
      </c>
      <c r="I5088" t="s">
        <v>38</v>
      </c>
      <c r="J5088" t="s">
        <v>39</v>
      </c>
      <c r="K5088" t="s">
        <v>30</v>
      </c>
      <c r="L5088" t="s">
        <v>31</v>
      </c>
      <c r="M5088" t="s">
        <v>140</v>
      </c>
      <c r="N5088">
        <v>56</v>
      </c>
      <c r="O5088">
        <v>0.10453989399999999</v>
      </c>
      <c r="P5088">
        <v>7.2389009000000004E-2</v>
      </c>
      <c r="Q5088" t="str">
        <f t="shared" si="158"/>
        <v>15-24</v>
      </c>
      <c r="R5088" t="str">
        <f t="shared" si="159"/>
        <v>[JQKLKuVuY61]|15-24|Female|PMTCT_STAT_SUBNAT.N.New.Pos.T_1|CY2024Q3</v>
      </c>
    </row>
    <row r="5089" spans="4:18" x14ac:dyDescent="0.2">
      <c r="D5089" t="s">
        <v>72</v>
      </c>
      <c r="E5089" t="s">
        <v>73</v>
      </c>
      <c r="F5089" t="s">
        <v>74</v>
      </c>
      <c r="G5089" t="s">
        <v>213</v>
      </c>
      <c r="H5089" t="s">
        <v>212</v>
      </c>
      <c r="I5089" t="s">
        <v>41</v>
      </c>
      <c r="J5089" t="s">
        <v>42</v>
      </c>
      <c r="K5089" t="s">
        <v>30</v>
      </c>
      <c r="L5089" t="s">
        <v>31</v>
      </c>
      <c r="M5089" t="s">
        <v>140</v>
      </c>
      <c r="N5089">
        <v>76</v>
      </c>
      <c r="O5089">
        <v>9.3932966000000007E-2</v>
      </c>
      <c r="P5089">
        <v>7.2389009000000004E-2</v>
      </c>
      <c r="Q5089" t="str">
        <f t="shared" si="158"/>
        <v>25-34</v>
      </c>
      <c r="R5089" t="str">
        <f t="shared" si="159"/>
        <v>[JQKLKuVuY61]|25-34|Female|PMTCT_STAT_SUBNAT.N.New.Pos.T_1|CY2024Q3</v>
      </c>
    </row>
    <row r="5090" spans="4:18" x14ac:dyDescent="0.2">
      <c r="D5090" t="s">
        <v>72</v>
      </c>
      <c r="E5090" t="s">
        <v>73</v>
      </c>
      <c r="F5090" t="s">
        <v>74</v>
      </c>
      <c r="G5090" t="s">
        <v>213</v>
      </c>
      <c r="H5090" t="s">
        <v>212</v>
      </c>
      <c r="I5090" t="s">
        <v>43</v>
      </c>
      <c r="J5090" t="s">
        <v>44</v>
      </c>
      <c r="K5090" t="s">
        <v>30</v>
      </c>
      <c r="L5090" t="s">
        <v>31</v>
      </c>
      <c r="M5090" t="s">
        <v>140</v>
      </c>
      <c r="N5090">
        <v>23</v>
      </c>
      <c r="O5090">
        <v>0.15230688000000001</v>
      </c>
      <c r="P5090">
        <v>7.2389009000000004E-2</v>
      </c>
      <c r="Q5090" t="str">
        <f t="shared" si="158"/>
        <v>35-49</v>
      </c>
      <c r="R5090" t="str">
        <f t="shared" si="159"/>
        <v>[JQKLKuVuY61]|35-49|Female|PMTCT_STAT_SUBNAT.N.New.Pos.T_1|CY2024Q3</v>
      </c>
    </row>
    <row r="5091" spans="4:18" x14ac:dyDescent="0.2">
      <c r="D5091" t="s">
        <v>75</v>
      </c>
      <c r="E5091" t="s">
        <v>76</v>
      </c>
      <c r="F5091" t="s">
        <v>77</v>
      </c>
      <c r="G5091" t="s">
        <v>213</v>
      </c>
      <c r="H5091" t="s">
        <v>212</v>
      </c>
      <c r="I5091" t="s">
        <v>38</v>
      </c>
      <c r="J5091" t="s">
        <v>39</v>
      </c>
      <c r="K5091" t="s">
        <v>30</v>
      </c>
      <c r="L5091" t="s">
        <v>31</v>
      </c>
      <c r="M5091" t="s">
        <v>140</v>
      </c>
      <c r="N5091">
        <v>47</v>
      </c>
      <c r="O5091">
        <v>0.103872831</v>
      </c>
      <c r="P5091">
        <v>7.4107755999999997E-2</v>
      </c>
      <c r="Q5091" t="str">
        <f t="shared" si="158"/>
        <v>15-24</v>
      </c>
      <c r="R5091" t="str">
        <f t="shared" si="159"/>
        <v>[YCKiBAp8QAg]|15-24|Female|PMTCT_STAT_SUBNAT.N.New.Pos.T_1|CY2024Q3</v>
      </c>
    </row>
    <row r="5092" spans="4:18" x14ac:dyDescent="0.2">
      <c r="D5092" t="s">
        <v>75</v>
      </c>
      <c r="E5092" t="s">
        <v>76</v>
      </c>
      <c r="F5092" t="s">
        <v>77</v>
      </c>
      <c r="G5092" t="s">
        <v>213</v>
      </c>
      <c r="H5092" t="s">
        <v>212</v>
      </c>
      <c r="I5092" t="s">
        <v>41</v>
      </c>
      <c r="J5092" t="s">
        <v>42</v>
      </c>
      <c r="K5092" t="s">
        <v>30</v>
      </c>
      <c r="L5092" t="s">
        <v>31</v>
      </c>
      <c r="M5092" t="s">
        <v>140</v>
      </c>
      <c r="N5092">
        <v>65</v>
      </c>
      <c r="O5092">
        <v>9.3506031000000003E-2</v>
      </c>
      <c r="P5092">
        <v>7.4107755999999997E-2</v>
      </c>
      <c r="Q5092" t="str">
        <f t="shared" si="158"/>
        <v>25-34</v>
      </c>
      <c r="R5092" t="str">
        <f t="shared" si="159"/>
        <v>[YCKiBAp8QAg]|25-34|Female|PMTCT_STAT_SUBNAT.N.New.Pos.T_1|CY2024Q3</v>
      </c>
    </row>
    <row r="5093" spans="4:18" x14ac:dyDescent="0.2">
      <c r="D5093" t="s">
        <v>75</v>
      </c>
      <c r="E5093" t="s">
        <v>76</v>
      </c>
      <c r="F5093" t="s">
        <v>77</v>
      </c>
      <c r="G5093" t="s">
        <v>213</v>
      </c>
      <c r="H5093" t="s">
        <v>212</v>
      </c>
      <c r="I5093" t="s">
        <v>43</v>
      </c>
      <c r="J5093" t="s">
        <v>44</v>
      </c>
      <c r="K5093" t="s">
        <v>30</v>
      </c>
      <c r="L5093" t="s">
        <v>31</v>
      </c>
      <c r="M5093" t="s">
        <v>140</v>
      </c>
      <c r="N5093">
        <v>19</v>
      </c>
      <c r="O5093">
        <v>0.152463768</v>
      </c>
      <c r="P5093">
        <v>7.4107755999999997E-2</v>
      </c>
      <c r="Q5093" t="str">
        <f t="shared" si="158"/>
        <v>35-49</v>
      </c>
      <c r="R5093" t="str">
        <f t="shared" si="159"/>
        <v>[YCKiBAp8QAg]|35-49|Female|PMTCT_STAT_SUBNAT.N.New.Pos.T_1|CY2024Q3</v>
      </c>
    </row>
    <row r="5094" spans="4:18" x14ac:dyDescent="0.2">
      <c r="D5094" t="s">
        <v>78</v>
      </c>
      <c r="E5094" t="s">
        <v>79</v>
      </c>
      <c r="F5094" t="s">
        <v>80</v>
      </c>
      <c r="G5094" t="s">
        <v>213</v>
      </c>
      <c r="H5094" t="s">
        <v>212</v>
      </c>
      <c r="I5094" t="s">
        <v>38</v>
      </c>
      <c r="J5094" t="s">
        <v>39</v>
      </c>
      <c r="K5094" t="s">
        <v>30</v>
      </c>
      <c r="L5094" t="s">
        <v>31</v>
      </c>
      <c r="M5094" t="s">
        <v>140</v>
      </c>
      <c r="N5094">
        <v>11</v>
      </c>
      <c r="O5094">
        <v>0.144437762</v>
      </c>
      <c r="P5094">
        <v>0.130285501</v>
      </c>
      <c r="Q5094" t="str">
        <f t="shared" si="158"/>
        <v>15-24</v>
      </c>
      <c r="R5094" t="str">
        <f t="shared" si="159"/>
        <v>[fiRkU6gEjLz]|15-24|Female|PMTCT_STAT_SUBNAT.N.New.Pos.T_1|CY2024Q3</v>
      </c>
    </row>
    <row r="5095" spans="4:18" x14ac:dyDescent="0.2">
      <c r="D5095" t="s">
        <v>78</v>
      </c>
      <c r="E5095" t="s">
        <v>79</v>
      </c>
      <c r="F5095" t="s">
        <v>80</v>
      </c>
      <c r="G5095" t="s">
        <v>213</v>
      </c>
      <c r="H5095" t="s">
        <v>212</v>
      </c>
      <c r="I5095" t="s">
        <v>41</v>
      </c>
      <c r="J5095" t="s">
        <v>42</v>
      </c>
      <c r="K5095" t="s">
        <v>30</v>
      </c>
      <c r="L5095" t="s">
        <v>31</v>
      </c>
      <c r="M5095" t="s">
        <v>140</v>
      </c>
      <c r="N5095">
        <v>16</v>
      </c>
      <c r="O5095">
        <v>0.14141350999999999</v>
      </c>
      <c r="P5095">
        <v>0.130285501</v>
      </c>
      <c r="Q5095" t="str">
        <f t="shared" si="158"/>
        <v>25-34</v>
      </c>
      <c r="R5095" t="str">
        <f t="shared" si="159"/>
        <v>[fiRkU6gEjLz]|25-34|Female|PMTCT_STAT_SUBNAT.N.New.Pos.T_1|CY2024Q3</v>
      </c>
    </row>
    <row r="5096" spans="4:18" x14ac:dyDescent="0.2">
      <c r="D5096" t="s">
        <v>78</v>
      </c>
      <c r="E5096" t="s">
        <v>79</v>
      </c>
      <c r="F5096" t="s">
        <v>80</v>
      </c>
      <c r="G5096" t="s">
        <v>213</v>
      </c>
      <c r="H5096" t="s">
        <v>212</v>
      </c>
      <c r="I5096" t="s">
        <v>43</v>
      </c>
      <c r="J5096" t="s">
        <v>44</v>
      </c>
      <c r="K5096" t="s">
        <v>30</v>
      </c>
      <c r="L5096" t="s">
        <v>31</v>
      </c>
      <c r="M5096" t="s">
        <v>140</v>
      </c>
      <c r="N5096">
        <v>5</v>
      </c>
      <c r="O5096">
        <v>0.20224785300000001</v>
      </c>
      <c r="P5096">
        <v>0.130285501</v>
      </c>
      <c r="Q5096" t="str">
        <f t="shared" si="158"/>
        <v>35-49</v>
      </c>
      <c r="R5096" t="str">
        <f t="shared" si="159"/>
        <v>[fiRkU6gEjLz]|35-49|Female|PMTCT_STAT_SUBNAT.N.New.Pos.T_1|CY2024Q3</v>
      </c>
    </row>
    <row r="5097" spans="4:18" x14ac:dyDescent="0.2">
      <c r="D5097" t="s">
        <v>81</v>
      </c>
      <c r="E5097" t="s">
        <v>82</v>
      </c>
      <c r="F5097" t="s">
        <v>83</v>
      </c>
      <c r="G5097" t="s">
        <v>213</v>
      </c>
      <c r="H5097" t="s">
        <v>212</v>
      </c>
      <c r="I5097" t="s">
        <v>38</v>
      </c>
      <c r="J5097" t="s">
        <v>39</v>
      </c>
      <c r="K5097" t="s">
        <v>30</v>
      </c>
      <c r="L5097" t="s">
        <v>31</v>
      </c>
      <c r="M5097" t="s">
        <v>140</v>
      </c>
      <c r="N5097">
        <v>33</v>
      </c>
      <c r="O5097">
        <v>0.108558684</v>
      </c>
      <c r="P5097">
        <v>8.2728074999999998E-2</v>
      </c>
      <c r="Q5097" t="str">
        <f t="shared" si="158"/>
        <v>15-24</v>
      </c>
      <c r="R5097" t="str">
        <f t="shared" si="159"/>
        <v>[zphK9WV8JB4]|15-24|Female|PMTCT_STAT_SUBNAT.N.New.Pos.T_1|CY2024Q3</v>
      </c>
    </row>
    <row r="5098" spans="4:18" x14ac:dyDescent="0.2">
      <c r="D5098" t="s">
        <v>81</v>
      </c>
      <c r="E5098" t="s">
        <v>82</v>
      </c>
      <c r="F5098" t="s">
        <v>83</v>
      </c>
      <c r="G5098" t="s">
        <v>213</v>
      </c>
      <c r="H5098" t="s">
        <v>212</v>
      </c>
      <c r="I5098" t="s">
        <v>41</v>
      </c>
      <c r="J5098" t="s">
        <v>42</v>
      </c>
      <c r="K5098" t="s">
        <v>30</v>
      </c>
      <c r="L5098" t="s">
        <v>31</v>
      </c>
      <c r="M5098" t="s">
        <v>140</v>
      </c>
      <c r="N5098">
        <v>47</v>
      </c>
      <c r="O5098">
        <v>9.7435632999999994E-2</v>
      </c>
      <c r="P5098">
        <v>8.2728074999999998E-2</v>
      </c>
      <c r="Q5098" t="str">
        <f t="shared" si="158"/>
        <v>25-34</v>
      </c>
      <c r="R5098" t="str">
        <f t="shared" si="159"/>
        <v>[zphK9WV8JB4]|25-34|Female|PMTCT_STAT_SUBNAT.N.New.Pos.T_1|CY2024Q3</v>
      </c>
    </row>
    <row r="5099" spans="4:18" x14ac:dyDescent="0.2">
      <c r="D5099" t="s">
        <v>81</v>
      </c>
      <c r="E5099" t="s">
        <v>82</v>
      </c>
      <c r="F5099" t="s">
        <v>83</v>
      </c>
      <c r="G5099" t="s">
        <v>213</v>
      </c>
      <c r="H5099" t="s">
        <v>212</v>
      </c>
      <c r="I5099" t="s">
        <v>43</v>
      </c>
      <c r="J5099" t="s">
        <v>44</v>
      </c>
      <c r="K5099" t="s">
        <v>30</v>
      </c>
      <c r="L5099" t="s">
        <v>31</v>
      </c>
      <c r="M5099" t="s">
        <v>140</v>
      </c>
      <c r="N5099">
        <v>15</v>
      </c>
      <c r="O5099">
        <v>0.152600768</v>
      </c>
      <c r="P5099">
        <v>8.2728074999999998E-2</v>
      </c>
      <c r="Q5099" t="str">
        <f t="shared" si="158"/>
        <v>35-49</v>
      </c>
      <c r="R5099" t="str">
        <f t="shared" si="159"/>
        <v>[zphK9WV8JB4]|35-49|Female|PMTCT_STAT_SUBNAT.N.New.Pos.T_1|CY2024Q3</v>
      </c>
    </row>
    <row r="5100" spans="4:18" x14ac:dyDescent="0.2">
      <c r="D5100" t="s">
        <v>84</v>
      </c>
      <c r="E5100" t="s">
        <v>85</v>
      </c>
      <c r="F5100" t="s">
        <v>86</v>
      </c>
      <c r="G5100" t="s">
        <v>213</v>
      </c>
      <c r="H5100" t="s">
        <v>212</v>
      </c>
      <c r="I5100" t="s">
        <v>38</v>
      </c>
      <c r="J5100" t="s">
        <v>39</v>
      </c>
      <c r="K5100" t="s">
        <v>30</v>
      </c>
      <c r="L5100" t="s">
        <v>31</v>
      </c>
      <c r="M5100" t="s">
        <v>140</v>
      </c>
      <c r="N5100">
        <v>42</v>
      </c>
      <c r="O5100">
        <v>0.12148895</v>
      </c>
      <c r="P5100">
        <v>8.4644625000000001E-2</v>
      </c>
      <c r="Q5100" t="str">
        <f t="shared" si="158"/>
        <v>15-24</v>
      </c>
      <c r="R5100" t="str">
        <f t="shared" si="159"/>
        <v>[msW2zpIN7up]|15-24|Female|PMTCT_STAT_SUBNAT.N.New.Pos.T_1|CY2024Q3</v>
      </c>
    </row>
    <row r="5101" spans="4:18" x14ac:dyDescent="0.2">
      <c r="D5101" t="s">
        <v>84</v>
      </c>
      <c r="E5101" t="s">
        <v>85</v>
      </c>
      <c r="F5101" t="s">
        <v>86</v>
      </c>
      <c r="G5101" t="s">
        <v>213</v>
      </c>
      <c r="H5101" t="s">
        <v>212</v>
      </c>
      <c r="I5101" t="s">
        <v>41</v>
      </c>
      <c r="J5101" t="s">
        <v>42</v>
      </c>
      <c r="K5101" t="s">
        <v>30</v>
      </c>
      <c r="L5101" t="s">
        <v>31</v>
      </c>
      <c r="M5101" t="s">
        <v>140</v>
      </c>
      <c r="N5101">
        <v>57</v>
      </c>
      <c r="O5101">
        <v>0.107427018</v>
      </c>
      <c r="P5101">
        <v>8.4644625000000001E-2</v>
      </c>
      <c r="Q5101" t="str">
        <f t="shared" si="158"/>
        <v>25-34</v>
      </c>
      <c r="R5101" t="str">
        <f t="shared" si="159"/>
        <v>[msW2zpIN7up]|25-34|Female|PMTCT_STAT_SUBNAT.N.New.Pos.T_1|CY2024Q3</v>
      </c>
    </row>
    <row r="5102" spans="4:18" x14ac:dyDescent="0.2">
      <c r="D5102" t="s">
        <v>84</v>
      </c>
      <c r="E5102" t="s">
        <v>85</v>
      </c>
      <c r="F5102" t="s">
        <v>86</v>
      </c>
      <c r="G5102" t="s">
        <v>213</v>
      </c>
      <c r="H5102" t="s">
        <v>212</v>
      </c>
      <c r="I5102" t="s">
        <v>43</v>
      </c>
      <c r="J5102" t="s">
        <v>44</v>
      </c>
      <c r="K5102" t="s">
        <v>30</v>
      </c>
      <c r="L5102" t="s">
        <v>31</v>
      </c>
      <c r="M5102" t="s">
        <v>140</v>
      </c>
      <c r="N5102">
        <v>15</v>
      </c>
      <c r="O5102">
        <v>0.16638852400000001</v>
      </c>
      <c r="P5102">
        <v>8.4644625000000001E-2</v>
      </c>
      <c r="Q5102" t="str">
        <f t="shared" si="158"/>
        <v>35-49</v>
      </c>
      <c r="R5102" t="str">
        <f t="shared" si="159"/>
        <v>[msW2zpIN7up]|35-49|Female|PMTCT_STAT_SUBNAT.N.New.Pos.T_1|CY2024Q3</v>
      </c>
    </row>
    <row r="5103" spans="4:18" x14ac:dyDescent="0.2">
      <c r="D5103" t="s">
        <v>87</v>
      </c>
      <c r="E5103" t="s">
        <v>88</v>
      </c>
      <c r="F5103" t="s">
        <v>89</v>
      </c>
      <c r="G5103" t="s">
        <v>213</v>
      </c>
      <c r="H5103" t="s">
        <v>212</v>
      </c>
      <c r="I5103" t="s">
        <v>38</v>
      </c>
      <c r="J5103" t="s">
        <v>39</v>
      </c>
      <c r="K5103" t="s">
        <v>30</v>
      </c>
      <c r="L5103" t="s">
        <v>31</v>
      </c>
      <c r="M5103" t="s">
        <v>140</v>
      </c>
      <c r="N5103">
        <v>305</v>
      </c>
      <c r="O5103">
        <v>8.5305417999999994E-2</v>
      </c>
      <c r="P5103">
        <v>3.0537768E-2</v>
      </c>
      <c r="Q5103" t="str">
        <f t="shared" si="158"/>
        <v>15-24</v>
      </c>
      <c r="R5103" t="str">
        <f t="shared" si="159"/>
        <v>[ScR9iFKAasW]|15-24|Female|PMTCT_STAT_SUBNAT.N.New.Pos.T_1|CY2024Q3</v>
      </c>
    </row>
    <row r="5104" spans="4:18" x14ac:dyDescent="0.2">
      <c r="D5104" t="s">
        <v>87</v>
      </c>
      <c r="E5104" t="s">
        <v>88</v>
      </c>
      <c r="F5104" t="s">
        <v>89</v>
      </c>
      <c r="G5104" t="s">
        <v>213</v>
      </c>
      <c r="H5104" t="s">
        <v>212</v>
      </c>
      <c r="I5104" t="s">
        <v>41</v>
      </c>
      <c r="J5104" t="s">
        <v>42</v>
      </c>
      <c r="K5104" t="s">
        <v>30</v>
      </c>
      <c r="L5104" t="s">
        <v>31</v>
      </c>
      <c r="M5104" t="s">
        <v>140</v>
      </c>
      <c r="N5104">
        <v>495</v>
      </c>
      <c r="O5104">
        <v>5.8550100000000001E-2</v>
      </c>
      <c r="P5104">
        <v>3.0537768E-2</v>
      </c>
      <c r="Q5104" t="str">
        <f t="shared" si="158"/>
        <v>25-34</v>
      </c>
      <c r="R5104" t="str">
        <f t="shared" si="159"/>
        <v>[ScR9iFKAasW]|25-34|Female|PMTCT_STAT_SUBNAT.N.New.Pos.T_1|CY2024Q3</v>
      </c>
    </row>
    <row r="5105" spans="4:18" x14ac:dyDescent="0.2">
      <c r="D5105" t="s">
        <v>87</v>
      </c>
      <c r="E5105" t="s">
        <v>88</v>
      </c>
      <c r="F5105" t="s">
        <v>89</v>
      </c>
      <c r="G5105" t="s">
        <v>213</v>
      </c>
      <c r="H5105" t="s">
        <v>212</v>
      </c>
      <c r="I5105" t="s">
        <v>43</v>
      </c>
      <c r="J5105" t="s">
        <v>44</v>
      </c>
      <c r="K5105" t="s">
        <v>30</v>
      </c>
      <c r="L5105" t="s">
        <v>31</v>
      </c>
      <c r="M5105" t="s">
        <v>140</v>
      </c>
      <c r="N5105">
        <v>149</v>
      </c>
      <c r="O5105">
        <v>0.124629992</v>
      </c>
      <c r="P5105">
        <v>3.0537768E-2</v>
      </c>
      <c r="Q5105" t="str">
        <f t="shared" si="158"/>
        <v>35-49</v>
      </c>
      <c r="R5105" t="str">
        <f t="shared" si="159"/>
        <v>[ScR9iFKAasW]|35-49|Female|PMTCT_STAT_SUBNAT.N.New.Pos.T_1|CY2024Q3</v>
      </c>
    </row>
    <row r="5106" spans="4:18" x14ac:dyDescent="0.2">
      <c r="D5106" t="s">
        <v>90</v>
      </c>
      <c r="E5106" t="s">
        <v>91</v>
      </c>
      <c r="F5106" t="s">
        <v>92</v>
      </c>
      <c r="G5106" t="s">
        <v>213</v>
      </c>
      <c r="H5106" t="s">
        <v>212</v>
      </c>
      <c r="I5106" t="s">
        <v>38</v>
      </c>
      <c r="J5106" t="s">
        <v>39</v>
      </c>
      <c r="K5106" t="s">
        <v>30</v>
      </c>
      <c r="L5106" t="s">
        <v>31</v>
      </c>
      <c r="M5106" t="s">
        <v>140</v>
      </c>
      <c r="N5106">
        <v>53</v>
      </c>
      <c r="O5106">
        <v>0.105342887</v>
      </c>
      <c r="P5106">
        <v>7.4244668999999999E-2</v>
      </c>
      <c r="Q5106" t="str">
        <f t="shared" si="158"/>
        <v>15-24</v>
      </c>
      <c r="R5106" t="str">
        <f t="shared" si="159"/>
        <v>[kxuuIFpOXyO]|15-24|Female|PMTCT_STAT_SUBNAT.N.New.Pos.T_1|CY2024Q3</v>
      </c>
    </row>
    <row r="5107" spans="4:18" x14ac:dyDescent="0.2">
      <c r="D5107" t="s">
        <v>90</v>
      </c>
      <c r="E5107" t="s">
        <v>91</v>
      </c>
      <c r="F5107" t="s">
        <v>92</v>
      </c>
      <c r="G5107" t="s">
        <v>213</v>
      </c>
      <c r="H5107" t="s">
        <v>212</v>
      </c>
      <c r="I5107" t="s">
        <v>41</v>
      </c>
      <c r="J5107" t="s">
        <v>42</v>
      </c>
      <c r="K5107" t="s">
        <v>30</v>
      </c>
      <c r="L5107" t="s">
        <v>31</v>
      </c>
      <c r="M5107" t="s">
        <v>140</v>
      </c>
      <c r="N5107">
        <v>76</v>
      </c>
      <c r="O5107">
        <v>8.9308253000000004E-2</v>
      </c>
      <c r="P5107">
        <v>7.4244668999999999E-2</v>
      </c>
      <c r="Q5107" t="str">
        <f t="shared" si="158"/>
        <v>25-34</v>
      </c>
      <c r="R5107" t="str">
        <f t="shared" si="159"/>
        <v>[kxuuIFpOXyO]|25-34|Female|PMTCT_STAT_SUBNAT.N.New.Pos.T_1|CY2024Q3</v>
      </c>
    </row>
    <row r="5108" spans="4:18" x14ac:dyDescent="0.2">
      <c r="D5108" t="s">
        <v>90</v>
      </c>
      <c r="E5108" t="s">
        <v>91</v>
      </c>
      <c r="F5108" t="s">
        <v>92</v>
      </c>
      <c r="G5108" t="s">
        <v>213</v>
      </c>
      <c r="H5108" t="s">
        <v>212</v>
      </c>
      <c r="I5108" t="s">
        <v>43</v>
      </c>
      <c r="J5108" t="s">
        <v>44</v>
      </c>
      <c r="K5108" t="s">
        <v>30</v>
      </c>
      <c r="L5108" t="s">
        <v>31</v>
      </c>
      <c r="M5108" t="s">
        <v>140</v>
      </c>
      <c r="N5108">
        <v>23</v>
      </c>
      <c r="O5108">
        <v>0.15282791600000001</v>
      </c>
      <c r="P5108">
        <v>7.4244668999999999E-2</v>
      </c>
      <c r="Q5108" t="str">
        <f t="shared" si="158"/>
        <v>35-49</v>
      </c>
      <c r="R5108" t="str">
        <f t="shared" si="159"/>
        <v>[kxuuIFpOXyO]|35-49|Female|PMTCT_STAT_SUBNAT.N.New.Pos.T_1|CY2024Q3</v>
      </c>
    </row>
    <row r="5109" spans="4:18" x14ac:dyDescent="0.2">
      <c r="D5109" t="s">
        <v>93</v>
      </c>
      <c r="E5109" t="s">
        <v>94</v>
      </c>
      <c r="F5109" t="s">
        <v>95</v>
      </c>
      <c r="G5109" t="s">
        <v>213</v>
      </c>
      <c r="H5109" t="s">
        <v>212</v>
      </c>
      <c r="I5109" t="s">
        <v>38</v>
      </c>
      <c r="J5109" t="s">
        <v>39</v>
      </c>
      <c r="K5109" t="s">
        <v>30</v>
      </c>
      <c r="L5109" t="s">
        <v>31</v>
      </c>
      <c r="M5109" t="s">
        <v>140</v>
      </c>
      <c r="N5109">
        <v>62</v>
      </c>
      <c r="O5109">
        <v>0.10573058</v>
      </c>
      <c r="P5109">
        <v>6.8829589999999996E-2</v>
      </c>
      <c r="Q5109" t="str">
        <f t="shared" si="158"/>
        <v>15-24</v>
      </c>
      <c r="R5109" t="str">
        <f t="shared" si="159"/>
        <v>[PekKUkKHAzY]|15-24|Female|PMTCT_STAT_SUBNAT.N.New.Pos.T_1|CY2024Q3</v>
      </c>
    </row>
    <row r="5110" spans="4:18" x14ac:dyDescent="0.2">
      <c r="D5110" t="s">
        <v>93</v>
      </c>
      <c r="E5110" t="s">
        <v>94</v>
      </c>
      <c r="F5110" t="s">
        <v>95</v>
      </c>
      <c r="G5110" t="s">
        <v>213</v>
      </c>
      <c r="H5110" t="s">
        <v>212</v>
      </c>
      <c r="I5110" t="s">
        <v>41</v>
      </c>
      <c r="J5110" t="s">
        <v>42</v>
      </c>
      <c r="K5110" t="s">
        <v>30</v>
      </c>
      <c r="L5110" t="s">
        <v>31</v>
      </c>
      <c r="M5110" t="s">
        <v>140</v>
      </c>
      <c r="N5110">
        <v>88</v>
      </c>
      <c r="O5110">
        <v>8.5148377999999997E-2</v>
      </c>
      <c r="P5110">
        <v>6.8829589999999996E-2</v>
      </c>
      <c r="Q5110" t="str">
        <f t="shared" si="158"/>
        <v>25-34</v>
      </c>
      <c r="R5110" t="str">
        <f t="shared" si="159"/>
        <v>[PekKUkKHAzY]|25-34|Female|PMTCT_STAT_SUBNAT.N.New.Pos.T_1|CY2024Q3</v>
      </c>
    </row>
    <row r="5111" spans="4:18" x14ac:dyDescent="0.2">
      <c r="D5111" t="s">
        <v>93</v>
      </c>
      <c r="E5111" t="s">
        <v>94</v>
      </c>
      <c r="F5111" t="s">
        <v>95</v>
      </c>
      <c r="G5111" t="s">
        <v>213</v>
      </c>
      <c r="H5111" t="s">
        <v>212</v>
      </c>
      <c r="I5111" t="s">
        <v>43</v>
      </c>
      <c r="J5111" t="s">
        <v>44</v>
      </c>
      <c r="K5111" t="s">
        <v>30</v>
      </c>
      <c r="L5111" t="s">
        <v>31</v>
      </c>
      <c r="M5111" t="s">
        <v>140</v>
      </c>
      <c r="N5111">
        <v>27</v>
      </c>
      <c r="O5111">
        <v>0.14565884900000001</v>
      </c>
      <c r="P5111">
        <v>6.8829589999999996E-2</v>
      </c>
      <c r="Q5111" t="str">
        <f t="shared" si="158"/>
        <v>35-49</v>
      </c>
      <c r="R5111" t="str">
        <f t="shared" si="159"/>
        <v>[PekKUkKHAzY]|35-49|Female|PMTCT_STAT_SUBNAT.N.New.Pos.T_1|CY2024Q3</v>
      </c>
    </row>
    <row r="5112" spans="4:18" x14ac:dyDescent="0.2">
      <c r="D5112" t="s">
        <v>96</v>
      </c>
      <c r="E5112" t="s">
        <v>97</v>
      </c>
      <c r="F5112" t="s">
        <v>98</v>
      </c>
      <c r="G5112" t="s">
        <v>213</v>
      </c>
      <c r="H5112" t="s">
        <v>212</v>
      </c>
      <c r="I5112" t="s">
        <v>38</v>
      </c>
      <c r="J5112" t="s">
        <v>39</v>
      </c>
      <c r="K5112" t="s">
        <v>30</v>
      </c>
      <c r="L5112" t="s">
        <v>31</v>
      </c>
      <c r="M5112" t="s">
        <v>140</v>
      </c>
      <c r="N5112">
        <v>94</v>
      </c>
      <c r="O5112">
        <v>9.5630900000000005E-2</v>
      </c>
      <c r="P5112">
        <v>5.7010302999999998E-2</v>
      </c>
      <c r="Q5112" t="str">
        <f t="shared" si="158"/>
        <v>15-24</v>
      </c>
      <c r="R5112" t="str">
        <f t="shared" si="159"/>
        <v>[am530wpaGvr]|15-24|Female|PMTCT_STAT_SUBNAT.N.New.Pos.T_1|CY2024Q3</v>
      </c>
    </row>
    <row r="5113" spans="4:18" x14ac:dyDescent="0.2">
      <c r="D5113" t="s">
        <v>96</v>
      </c>
      <c r="E5113" t="s">
        <v>97</v>
      </c>
      <c r="F5113" t="s">
        <v>98</v>
      </c>
      <c r="G5113" t="s">
        <v>213</v>
      </c>
      <c r="H5113" t="s">
        <v>212</v>
      </c>
      <c r="I5113" t="s">
        <v>41</v>
      </c>
      <c r="J5113" t="s">
        <v>42</v>
      </c>
      <c r="K5113" t="s">
        <v>30</v>
      </c>
      <c r="L5113" t="s">
        <v>31</v>
      </c>
      <c r="M5113" t="s">
        <v>140</v>
      </c>
      <c r="N5113">
        <v>128</v>
      </c>
      <c r="O5113">
        <v>7.8191035000000006E-2</v>
      </c>
      <c r="P5113">
        <v>5.7010302999999998E-2</v>
      </c>
      <c r="Q5113" t="str">
        <f t="shared" si="158"/>
        <v>25-34</v>
      </c>
      <c r="R5113" t="str">
        <f t="shared" si="159"/>
        <v>[am530wpaGvr]|25-34|Female|PMTCT_STAT_SUBNAT.N.New.Pos.T_1|CY2024Q3</v>
      </c>
    </row>
    <row r="5114" spans="4:18" x14ac:dyDescent="0.2">
      <c r="D5114" t="s">
        <v>96</v>
      </c>
      <c r="E5114" t="s">
        <v>97</v>
      </c>
      <c r="F5114" t="s">
        <v>98</v>
      </c>
      <c r="G5114" t="s">
        <v>213</v>
      </c>
      <c r="H5114" t="s">
        <v>212</v>
      </c>
      <c r="I5114" t="s">
        <v>43</v>
      </c>
      <c r="J5114" t="s">
        <v>44</v>
      </c>
      <c r="K5114" t="s">
        <v>30</v>
      </c>
      <c r="L5114" t="s">
        <v>31</v>
      </c>
      <c r="M5114" t="s">
        <v>140</v>
      </c>
      <c r="N5114">
        <v>39</v>
      </c>
      <c r="O5114">
        <v>0.14333791700000001</v>
      </c>
      <c r="P5114">
        <v>5.7010302999999998E-2</v>
      </c>
      <c r="Q5114" t="str">
        <f t="shared" si="158"/>
        <v>35-49</v>
      </c>
      <c r="R5114" t="str">
        <f t="shared" si="159"/>
        <v>[am530wpaGvr]|35-49|Female|PMTCT_STAT_SUBNAT.N.New.Pos.T_1|CY2024Q3</v>
      </c>
    </row>
    <row r="5115" spans="4:18" x14ac:dyDescent="0.2">
      <c r="D5115" t="s">
        <v>99</v>
      </c>
      <c r="E5115" t="s">
        <v>100</v>
      </c>
      <c r="F5115" t="s">
        <v>101</v>
      </c>
      <c r="G5115" t="s">
        <v>213</v>
      </c>
      <c r="H5115" t="s">
        <v>212</v>
      </c>
      <c r="I5115" t="s">
        <v>38</v>
      </c>
      <c r="J5115" t="s">
        <v>39</v>
      </c>
      <c r="K5115" t="s">
        <v>30</v>
      </c>
      <c r="L5115" t="s">
        <v>31</v>
      </c>
      <c r="M5115" t="s">
        <v>140</v>
      </c>
      <c r="N5115">
        <v>174</v>
      </c>
      <c r="O5115">
        <v>9.8123669999999996E-2</v>
      </c>
      <c r="P5115">
        <v>4.2870018000000003E-2</v>
      </c>
      <c r="Q5115" t="str">
        <f t="shared" si="158"/>
        <v>15-24</v>
      </c>
      <c r="R5115" t="str">
        <f t="shared" si="159"/>
        <v>[lLDyBx5XyUi]|15-24|Female|PMTCT_STAT_SUBNAT.N.New.Pos.T_1|CY2024Q3</v>
      </c>
    </row>
    <row r="5116" spans="4:18" x14ac:dyDescent="0.2">
      <c r="D5116" t="s">
        <v>99</v>
      </c>
      <c r="E5116" t="s">
        <v>100</v>
      </c>
      <c r="F5116" t="s">
        <v>101</v>
      </c>
      <c r="G5116" t="s">
        <v>213</v>
      </c>
      <c r="H5116" t="s">
        <v>212</v>
      </c>
      <c r="I5116" t="s">
        <v>41</v>
      </c>
      <c r="J5116" t="s">
        <v>42</v>
      </c>
      <c r="K5116" t="s">
        <v>30</v>
      </c>
      <c r="L5116" t="s">
        <v>31</v>
      </c>
      <c r="M5116" t="s">
        <v>140</v>
      </c>
      <c r="N5116">
        <v>237</v>
      </c>
      <c r="O5116">
        <v>7.7864078000000003E-2</v>
      </c>
      <c r="P5116">
        <v>4.2870018000000003E-2</v>
      </c>
      <c r="Q5116" t="str">
        <f t="shared" si="158"/>
        <v>25-34</v>
      </c>
      <c r="R5116" t="str">
        <f t="shared" si="159"/>
        <v>[lLDyBx5XyUi]|25-34|Female|PMTCT_STAT_SUBNAT.N.New.Pos.T_1|CY2024Q3</v>
      </c>
    </row>
    <row r="5117" spans="4:18" x14ac:dyDescent="0.2">
      <c r="D5117" t="s">
        <v>99</v>
      </c>
      <c r="E5117" t="s">
        <v>100</v>
      </c>
      <c r="F5117" t="s">
        <v>101</v>
      </c>
      <c r="G5117" t="s">
        <v>213</v>
      </c>
      <c r="H5117" t="s">
        <v>212</v>
      </c>
      <c r="I5117" t="s">
        <v>43</v>
      </c>
      <c r="J5117" t="s">
        <v>44</v>
      </c>
      <c r="K5117" t="s">
        <v>30</v>
      </c>
      <c r="L5117" t="s">
        <v>31</v>
      </c>
      <c r="M5117" t="s">
        <v>140</v>
      </c>
      <c r="N5117">
        <v>60</v>
      </c>
      <c r="O5117">
        <v>0.14875394</v>
      </c>
      <c r="P5117">
        <v>4.2870018000000003E-2</v>
      </c>
      <c r="Q5117" t="str">
        <f t="shared" si="158"/>
        <v>35-49</v>
      </c>
      <c r="R5117" t="str">
        <f t="shared" si="159"/>
        <v>[lLDyBx5XyUi]|35-49|Female|PMTCT_STAT_SUBNAT.N.New.Pos.T_1|CY2024Q3</v>
      </c>
    </row>
    <row r="5118" spans="4:18" x14ac:dyDescent="0.2">
      <c r="D5118" t="s">
        <v>102</v>
      </c>
      <c r="E5118" t="s">
        <v>103</v>
      </c>
      <c r="F5118" t="s">
        <v>104</v>
      </c>
      <c r="G5118" t="s">
        <v>213</v>
      </c>
      <c r="H5118" t="s">
        <v>212</v>
      </c>
      <c r="I5118" t="s">
        <v>38</v>
      </c>
      <c r="J5118" t="s">
        <v>39</v>
      </c>
      <c r="K5118" t="s">
        <v>30</v>
      </c>
      <c r="L5118" t="s">
        <v>31</v>
      </c>
      <c r="M5118" t="s">
        <v>140</v>
      </c>
      <c r="N5118">
        <v>85</v>
      </c>
      <c r="O5118">
        <v>0.103742341</v>
      </c>
      <c r="P5118">
        <v>5.8461107999999998E-2</v>
      </c>
      <c r="Q5118" t="str">
        <f t="shared" si="158"/>
        <v>15-24</v>
      </c>
      <c r="R5118" t="str">
        <f t="shared" si="159"/>
        <v>[TYnMSwzko3z]|15-24|Female|PMTCT_STAT_SUBNAT.N.New.Pos.T_1|CY2024Q3</v>
      </c>
    </row>
    <row r="5119" spans="4:18" x14ac:dyDescent="0.2">
      <c r="D5119" t="s">
        <v>102</v>
      </c>
      <c r="E5119" t="s">
        <v>103</v>
      </c>
      <c r="F5119" t="s">
        <v>104</v>
      </c>
      <c r="G5119" t="s">
        <v>213</v>
      </c>
      <c r="H5119" t="s">
        <v>212</v>
      </c>
      <c r="I5119" t="s">
        <v>41</v>
      </c>
      <c r="J5119" t="s">
        <v>42</v>
      </c>
      <c r="K5119" t="s">
        <v>30</v>
      </c>
      <c r="L5119" t="s">
        <v>31</v>
      </c>
      <c r="M5119" t="s">
        <v>140</v>
      </c>
      <c r="N5119">
        <v>115</v>
      </c>
      <c r="O5119">
        <v>8.7060518000000003E-2</v>
      </c>
      <c r="P5119">
        <v>5.8461107999999998E-2</v>
      </c>
      <c r="Q5119" t="str">
        <f t="shared" si="158"/>
        <v>25-34</v>
      </c>
      <c r="R5119" t="str">
        <f t="shared" si="159"/>
        <v>[TYnMSwzko3z]|25-34|Female|PMTCT_STAT_SUBNAT.N.New.Pos.T_1|CY2024Q3</v>
      </c>
    </row>
    <row r="5120" spans="4:18" x14ac:dyDescent="0.2">
      <c r="D5120" t="s">
        <v>102</v>
      </c>
      <c r="E5120" t="s">
        <v>103</v>
      </c>
      <c r="F5120" t="s">
        <v>104</v>
      </c>
      <c r="G5120" t="s">
        <v>213</v>
      </c>
      <c r="H5120" t="s">
        <v>212</v>
      </c>
      <c r="I5120" t="s">
        <v>43</v>
      </c>
      <c r="J5120" t="s">
        <v>44</v>
      </c>
      <c r="K5120" t="s">
        <v>30</v>
      </c>
      <c r="L5120" t="s">
        <v>31</v>
      </c>
      <c r="M5120" t="s">
        <v>140</v>
      </c>
      <c r="N5120">
        <v>31</v>
      </c>
      <c r="O5120">
        <v>0.14965369100000001</v>
      </c>
      <c r="P5120">
        <v>5.8461107999999998E-2</v>
      </c>
      <c r="Q5120" t="str">
        <f t="shared" si="158"/>
        <v>35-49</v>
      </c>
      <c r="R5120" t="str">
        <f t="shared" si="159"/>
        <v>[TYnMSwzko3z]|35-49|Female|PMTCT_STAT_SUBNAT.N.New.Pos.T_1|CY2024Q3</v>
      </c>
    </row>
    <row r="5121" spans="4:18" x14ac:dyDescent="0.2">
      <c r="D5121" t="s">
        <v>105</v>
      </c>
      <c r="E5121" t="s">
        <v>106</v>
      </c>
      <c r="F5121" t="s">
        <v>107</v>
      </c>
      <c r="G5121" t="s">
        <v>213</v>
      </c>
      <c r="H5121" t="s">
        <v>212</v>
      </c>
      <c r="I5121" t="s">
        <v>38</v>
      </c>
      <c r="J5121" t="s">
        <v>39</v>
      </c>
      <c r="K5121" t="s">
        <v>30</v>
      </c>
      <c r="L5121" t="s">
        <v>31</v>
      </c>
      <c r="M5121" t="s">
        <v>140</v>
      </c>
      <c r="N5121">
        <v>129</v>
      </c>
      <c r="O5121">
        <v>0.100893948</v>
      </c>
      <c r="P5121">
        <v>4.7743125999999997E-2</v>
      </c>
      <c r="Q5121" t="str">
        <f t="shared" si="158"/>
        <v>15-24</v>
      </c>
      <c r="R5121" t="str">
        <f t="shared" si="159"/>
        <v>[fyEoGEPERdI]|15-24|Female|PMTCT_STAT_SUBNAT.N.New.Pos.T_1|CY2024Q3</v>
      </c>
    </row>
    <row r="5122" spans="4:18" x14ac:dyDescent="0.2">
      <c r="D5122" t="s">
        <v>105</v>
      </c>
      <c r="E5122" t="s">
        <v>106</v>
      </c>
      <c r="F5122" t="s">
        <v>107</v>
      </c>
      <c r="G5122" t="s">
        <v>213</v>
      </c>
      <c r="H5122" t="s">
        <v>212</v>
      </c>
      <c r="I5122" t="s">
        <v>41</v>
      </c>
      <c r="J5122" t="s">
        <v>42</v>
      </c>
      <c r="K5122" t="s">
        <v>30</v>
      </c>
      <c r="L5122" t="s">
        <v>31</v>
      </c>
      <c r="M5122" t="s">
        <v>140</v>
      </c>
      <c r="N5122">
        <v>175</v>
      </c>
      <c r="O5122">
        <v>8.1436816999999995E-2</v>
      </c>
      <c r="P5122">
        <v>4.7743125999999997E-2</v>
      </c>
      <c r="Q5122" t="str">
        <f t="shared" si="158"/>
        <v>25-34</v>
      </c>
      <c r="R5122" t="str">
        <f t="shared" si="159"/>
        <v>[fyEoGEPERdI]|25-34|Female|PMTCT_STAT_SUBNAT.N.New.Pos.T_1|CY2024Q3</v>
      </c>
    </row>
    <row r="5123" spans="4:18" x14ac:dyDescent="0.2">
      <c r="D5123" t="s">
        <v>105</v>
      </c>
      <c r="E5123" t="s">
        <v>106</v>
      </c>
      <c r="F5123" t="s">
        <v>107</v>
      </c>
      <c r="G5123" t="s">
        <v>213</v>
      </c>
      <c r="H5123" t="s">
        <v>212</v>
      </c>
      <c r="I5123" t="s">
        <v>43</v>
      </c>
      <c r="J5123" t="s">
        <v>44</v>
      </c>
      <c r="K5123" t="s">
        <v>30</v>
      </c>
      <c r="L5123" t="s">
        <v>31</v>
      </c>
      <c r="M5123" t="s">
        <v>140</v>
      </c>
      <c r="N5123">
        <v>48</v>
      </c>
      <c r="O5123">
        <v>0.14556962800000001</v>
      </c>
      <c r="P5123">
        <v>4.7743125999999997E-2</v>
      </c>
      <c r="Q5123" t="str">
        <f t="shared" ref="Q5123:Q5186" si="160">SUBSTITUTE(SUBSTITUTE($I5123,CHAR(61),""),CHAR(34),"")</f>
        <v>35-49</v>
      </c>
      <c r="R5123" t="str">
        <f t="shared" ref="R5123:R5186" si="161">IF($D5123&lt;&gt;"","["&amp;$E5123&amp;"]"&amp;"|"&amp;$Q5123&amp;"|"&amp;$K5123&amp;"|"&amp;$G5123&amp;"|"&amp;IF($G5123="TX_CURR_SUBNAT.R","CY2023Q4",$M5123),"")</f>
        <v>[fyEoGEPERdI]|35-49|Female|PMTCT_STAT_SUBNAT.N.New.Pos.T_1|CY2024Q3</v>
      </c>
    </row>
    <row r="5124" spans="4:18" x14ac:dyDescent="0.2">
      <c r="D5124" t="s">
        <v>108</v>
      </c>
      <c r="E5124" t="s">
        <v>109</v>
      </c>
      <c r="F5124" t="s">
        <v>110</v>
      </c>
      <c r="G5124" t="s">
        <v>213</v>
      </c>
      <c r="H5124" t="s">
        <v>212</v>
      </c>
      <c r="I5124" t="s">
        <v>38</v>
      </c>
      <c r="J5124" t="s">
        <v>39</v>
      </c>
      <c r="K5124" t="s">
        <v>30</v>
      </c>
      <c r="L5124" t="s">
        <v>31</v>
      </c>
      <c r="M5124" t="s">
        <v>140</v>
      </c>
      <c r="N5124">
        <v>106</v>
      </c>
      <c r="O5124">
        <v>0.107789393</v>
      </c>
      <c r="P5124">
        <v>5.4080838999999999E-2</v>
      </c>
      <c r="Q5124" t="str">
        <f t="shared" si="160"/>
        <v>15-24</v>
      </c>
      <c r="R5124" t="str">
        <f t="shared" si="161"/>
        <v>[umc2n1Z4wNv]|15-24|Female|PMTCT_STAT_SUBNAT.N.New.Pos.T_1|CY2024Q3</v>
      </c>
    </row>
    <row r="5125" spans="4:18" x14ac:dyDescent="0.2">
      <c r="D5125" t="s">
        <v>108</v>
      </c>
      <c r="E5125" t="s">
        <v>109</v>
      </c>
      <c r="F5125" t="s">
        <v>110</v>
      </c>
      <c r="G5125" t="s">
        <v>213</v>
      </c>
      <c r="H5125" t="s">
        <v>212</v>
      </c>
      <c r="I5125" t="s">
        <v>41</v>
      </c>
      <c r="J5125" t="s">
        <v>42</v>
      </c>
      <c r="K5125" t="s">
        <v>30</v>
      </c>
      <c r="L5125" t="s">
        <v>31</v>
      </c>
      <c r="M5125" t="s">
        <v>140</v>
      </c>
      <c r="N5125">
        <v>142</v>
      </c>
      <c r="O5125">
        <v>8.8901554999999993E-2</v>
      </c>
      <c r="P5125">
        <v>5.4080838999999999E-2</v>
      </c>
      <c r="Q5125" t="str">
        <f t="shared" si="160"/>
        <v>25-34</v>
      </c>
      <c r="R5125" t="str">
        <f t="shared" si="161"/>
        <v>[umc2n1Z4wNv]|25-34|Female|PMTCT_STAT_SUBNAT.N.New.Pos.T_1|CY2024Q3</v>
      </c>
    </row>
    <row r="5126" spans="4:18" x14ac:dyDescent="0.2">
      <c r="D5126" t="s">
        <v>108</v>
      </c>
      <c r="E5126" t="s">
        <v>109</v>
      </c>
      <c r="F5126" t="s">
        <v>110</v>
      </c>
      <c r="G5126" t="s">
        <v>213</v>
      </c>
      <c r="H5126" t="s">
        <v>212</v>
      </c>
      <c r="I5126" t="s">
        <v>43</v>
      </c>
      <c r="J5126" t="s">
        <v>44</v>
      </c>
      <c r="K5126" t="s">
        <v>30</v>
      </c>
      <c r="L5126" t="s">
        <v>31</v>
      </c>
      <c r="M5126" t="s">
        <v>140</v>
      </c>
      <c r="N5126">
        <v>39</v>
      </c>
      <c r="O5126">
        <v>0.14996287699999999</v>
      </c>
      <c r="P5126">
        <v>5.4080838999999999E-2</v>
      </c>
      <c r="Q5126" t="str">
        <f t="shared" si="160"/>
        <v>35-49</v>
      </c>
      <c r="R5126" t="str">
        <f t="shared" si="161"/>
        <v>[umc2n1Z4wNv]|35-49|Female|PMTCT_STAT_SUBNAT.N.New.Pos.T_1|CY2024Q3</v>
      </c>
    </row>
    <row r="5127" spans="4:18" x14ac:dyDescent="0.2">
      <c r="D5127" t="s">
        <v>111</v>
      </c>
      <c r="E5127" t="s">
        <v>112</v>
      </c>
      <c r="F5127" t="s">
        <v>113</v>
      </c>
      <c r="G5127" t="s">
        <v>213</v>
      </c>
      <c r="H5127" t="s">
        <v>212</v>
      </c>
      <c r="I5127" t="s">
        <v>38</v>
      </c>
      <c r="J5127" t="s">
        <v>39</v>
      </c>
      <c r="K5127" t="s">
        <v>30</v>
      </c>
      <c r="L5127" t="s">
        <v>31</v>
      </c>
      <c r="M5127" t="s">
        <v>140</v>
      </c>
      <c r="N5127">
        <v>41</v>
      </c>
      <c r="O5127">
        <v>0.12815959800000001</v>
      </c>
      <c r="P5127">
        <v>8.2774168999999995E-2</v>
      </c>
      <c r="Q5127" t="str">
        <f t="shared" si="160"/>
        <v>15-24</v>
      </c>
      <c r="R5127" t="str">
        <f t="shared" si="161"/>
        <v>[AZyWpGzhcaA]|15-24|Female|PMTCT_STAT_SUBNAT.N.New.Pos.T_1|CY2024Q3</v>
      </c>
    </row>
    <row r="5128" spans="4:18" x14ac:dyDescent="0.2">
      <c r="D5128" t="s">
        <v>111</v>
      </c>
      <c r="E5128" t="s">
        <v>112</v>
      </c>
      <c r="F5128" t="s">
        <v>113</v>
      </c>
      <c r="G5128" t="s">
        <v>213</v>
      </c>
      <c r="H5128" t="s">
        <v>212</v>
      </c>
      <c r="I5128" t="s">
        <v>41</v>
      </c>
      <c r="J5128" t="s">
        <v>42</v>
      </c>
      <c r="K5128" t="s">
        <v>30</v>
      </c>
      <c r="L5128" t="s">
        <v>31</v>
      </c>
      <c r="M5128" t="s">
        <v>140</v>
      </c>
      <c r="N5128">
        <v>54</v>
      </c>
      <c r="O5128">
        <v>0.108951546</v>
      </c>
      <c r="P5128">
        <v>8.2774168999999995E-2</v>
      </c>
      <c r="Q5128" t="str">
        <f t="shared" si="160"/>
        <v>25-34</v>
      </c>
      <c r="R5128" t="str">
        <f t="shared" si="161"/>
        <v>[AZyWpGzhcaA]|25-34|Female|PMTCT_STAT_SUBNAT.N.New.Pos.T_1|CY2024Q3</v>
      </c>
    </row>
    <row r="5129" spans="4:18" x14ac:dyDescent="0.2">
      <c r="D5129" t="s">
        <v>111</v>
      </c>
      <c r="E5129" t="s">
        <v>112</v>
      </c>
      <c r="F5129" t="s">
        <v>113</v>
      </c>
      <c r="G5129" t="s">
        <v>213</v>
      </c>
      <c r="H5129" t="s">
        <v>212</v>
      </c>
      <c r="I5129" t="s">
        <v>43</v>
      </c>
      <c r="J5129" t="s">
        <v>44</v>
      </c>
      <c r="K5129" t="s">
        <v>30</v>
      </c>
      <c r="L5129" t="s">
        <v>31</v>
      </c>
      <c r="M5129" t="s">
        <v>140</v>
      </c>
      <c r="N5129">
        <v>14</v>
      </c>
      <c r="O5129">
        <v>0.16441647300000001</v>
      </c>
      <c r="P5129">
        <v>8.2774168999999995E-2</v>
      </c>
      <c r="Q5129" t="str">
        <f t="shared" si="160"/>
        <v>35-49</v>
      </c>
      <c r="R5129" t="str">
        <f t="shared" si="161"/>
        <v>[AZyWpGzhcaA]|35-49|Female|PMTCT_STAT_SUBNAT.N.New.Pos.T_1|CY2024Q3</v>
      </c>
    </row>
    <row r="5130" spans="4:18" x14ac:dyDescent="0.2">
      <c r="D5130" t="s">
        <v>114</v>
      </c>
      <c r="E5130" t="s">
        <v>115</v>
      </c>
      <c r="F5130" t="s">
        <v>116</v>
      </c>
      <c r="G5130" t="s">
        <v>213</v>
      </c>
      <c r="H5130" t="s">
        <v>212</v>
      </c>
      <c r="I5130" t="s">
        <v>38</v>
      </c>
      <c r="J5130" t="s">
        <v>39</v>
      </c>
      <c r="K5130" t="s">
        <v>30</v>
      </c>
      <c r="L5130" t="s">
        <v>31</v>
      </c>
      <c r="M5130" t="s">
        <v>140</v>
      </c>
      <c r="N5130">
        <v>59</v>
      </c>
      <c r="O5130">
        <v>0.109008225</v>
      </c>
      <c r="P5130">
        <v>7.0636490999999996E-2</v>
      </c>
      <c r="Q5130" t="str">
        <f t="shared" si="160"/>
        <v>15-24</v>
      </c>
      <c r="R5130" t="str">
        <f t="shared" si="161"/>
        <v>[ir8wuHHzoSs]|15-24|Female|PMTCT_STAT_SUBNAT.N.New.Pos.T_1|CY2024Q3</v>
      </c>
    </row>
    <row r="5131" spans="4:18" x14ac:dyDescent="0.2">
      <c r="D5131" t="s">
        <v>114</v>
      </c>
      <c r="E5131" t="s">
        <v>115</v>
      </c>
      <c r="F5131" t="s">
        <v>116</v>
      </c>
      <c r="G5131" t="s">
        <v>213</v>
      </c>
      <c r="H5131" t="s">
        <v>212</v>
      </c>
      <c r="I5131" t="s">
        <v>41</v>
      </c>
      <c r="J5131" t="s">
        <v>42</v>
      </c>
      <c r="K5131" t="s">
        <v>30</v>
      </c>
      <c r="L5131" t="s">
        <v>31</v>
      </c>
      <c r="M5131" t="s">
        <v>140</v>
      </c>
      <c r="N5131">
        <v>78</v>
      </c>
      <c r="O5131">
        <v>9.6828986000000006E-2</v>
      </c>
      <c r="P5131">
        <v>7.0636490999999996E-2</v>
      </c>
      <c r="Q5131" t="str">
        <f t="shared" si="160"/>
        <v>25-34</v>
      </c>
      <c r="R5131" t="str">
        <f t="shared" si="161"/>
        <v>[ir8wuHHzoSs]|25-34|Female|PMTCT_STAT_SUBNAT.N.New.Pos.T_1|CY2024Q3</v>
      </c>
    </row>
    <row r="5132" spans="4:18" x14ac:dyDescent="0.2">
      <c r="D5132" t="s">
        <v>114</v>
      </c>
      <c r="E5132" t="s">
        <v>115</v>
      </c>
      <c r="F5132" t="s">
        <v>116</v>
      </c>
      <c r="G5132" t="s">
        <v>213</v>
      </c>
      <c r="H5132" t="s">
        <v>212</v>
      </c>
      <c r="I5132" t="s">
        <v>43</v>
      </c>
      <c r="J5132" t="s">
        <v>44</v>
      </c>
      <c r="K5132" t="s">
        <v>30</v>
      </c>
      <c r="L5132" t="s">
        <v>31</v>
      </c>
      <c r="M5132" t="s">
        <v>140</v>
      </c>
      <c r="N5132">
        <v>21</v>
      </c>
      <c r="O5132">
        <v>0.156139164</v>
      </c>
      <c r="P5132">
        <v>7.0636490999999996E-2</v>
      </c>
      <c r="Q5132" t="str">
        <f t="shared" si="160"/>
        <v>35-49</v>
      </c>
      <c r="R5132" t="str">
        <f t="shared" si="161"/>
        <v>[ir8wuHHzoSs]|35-49|Female|PMTCT_STAT_SUBNAT.N.New.Pos.T_1|CY2024Q3</v>
      </c>
    </row>
    <row r="5133" spans="4:18" x14ac:dyDescent="0.2">
      <c r="D5133" t="s">
        <v>117</v>
      </c>
      <c r="E5133" t="s">
        <v>118</v>
      </c>
      <c r="F5133" t="s">
        <v>119</v>
      </c>
      <c r="G5133" t="s">
        <v>213</v>
      </c>
      <c r="H5133" t="s">
        <v>212</v>
      </c>
      <c r="I5133" t="s">
        <v>38</v>
      </c>
      <c r="J5133" t="s">
        <v>39</v>
      </c>
      <c r="K5133" t="s">
        <v>30</v>
      </c>
      <c r="L5133" t="s">
        <v>31</v>
      </c>
      <c r="M5133" t="s">
        <v>140</v>
      </c>
      <c r="N5133">
        <v>63</v>
      </c>
      <c r="O5133">
        <v>0.10917678</v>
      </c>
      <c r="P5133">
        <v>6.9911456999999996E-2</v>
      </c>
      <c r="Q5133" t="str">
        <f t="shared" si="160"/>
        <v>15-24</v>
      </c>
      <c r="R5133" t="str">
        <f t="shared" si="161"/>
        <v>[oiPR2CiVJbf]|15-24|Female|PMTCT_STAT_SUBNAT.N.New.Pos.T_1|CY2024Q3</v>
      </c>
    </row>
    <row r="5134" spans="4:18" x14ac:dyDescent="0.2">
      <c r="D5134" t="s">
        <v>117</v>
      </c>
      <c r="E5134" t="s">
        <v>118</v>
      </c>
      <c r="F5134" t="s">
        <v>119</v>
      </c>
      <c r="G5134" t="s">
        <v>213</v>
      </c>
      <c r="H5134" t="s">
        <v>212</v>
      </c>
      <c r="I5134" t="s">
        <v>41</v>
      </c>
      <c r="J5134" t="s">
        <v>42</v>
      </c>
      <c r="K5134" t="s">
        <v>30</v>
      </c>
      <c r="L5134" t="s">
        <v>31</v>
      </c>
      <c r="M5134" t="s">
        <v>140</v>
      </c>
      <c r="N5134">
        <v>88</v>
      </c>
      <c r="O5134">
        <v>9.6736561999999998E-2</v>
      </c>
      <c r="P5134">
        <v>6.9911456999999996E-2</v>
      </c>
      <c r="Q5134" t="str">
        <f t="shared" si="160"/>
        <v>25-34</v>
      </c>
      <c r="R5134" t="str">
        <f t="shared" si="161"/>
        <v>[oiPR2CiVJbf]|25-34|Female|PMTCT_STAT_SUBNAT.N.New.Pos.T_1|CY2024Q3</v>
      </c>
    </row>
    <row r="5135" spans="4:18" x14ac:dyDescent="0.2">
      <c r="D5135" t="s">
        <v>117</v>
      </c>
      <c r="E5135" t="s">
        <v>118</v>
      </c>
      <c r="F5135" t="s">
        <v>119</v>
      </c>
      <c r="G5135" t="s">
        <v>213</v>
      </c>
      <c r="H5135" t="s">
        <v>212</v>
      </c>
      <c r="I5135" t="s">
        <v>43</v>
      </c>
      <c r="J5135" t="s">
        <v>44</v>
      </c>
      <c r="K5135" t="s">
        <v>30</v>
      </c>
      <c r="L5135" t="s">
        <v>31</v>
      </c>
      <c r="M5135" t="s">
        <v>140</v>
      </c>
      <c r="N5135">
        <v>25</v>
      </c>
      <c r="O5135">
        <v>0.157472313</v>
      </c>
      <c r="P5135">
        <v>6.9911456999999996E-2</v>
      </c>
      <c r="Q5135" t="str">
        <f t="shared" si="160"/>
        <v>35-49</v>
      </c>
      <c r="R5135" t="str">
        <f t="shared" si="161"/>
        <v>[oiPR2CiVJbf]|35-49|Female|PMTCT_STAT_SUBNAT.N.New.Pos.T_1|CY2024Q3</v>
      </c>
    </row>
    <row r="5136" spans="4:18" x14ac:dyDescent="0.2">
      <c r="D5136" t="s">
        <v>120</v>
      </c>
      <c r="E5136" t="s">
        <v>121</v>
      </c>
      <c r="F5136" t="s">
        <v>122</v>
      </c>
      <c r="G5136" t="s">
        <v>213</v>
      </c>
      <c r="H5136" t="s">
        <v>212</v>
      </c>
      <c r="I5136" t="s">
        <v>38</v>
      </c>
      <c r="J5136" t="s">
        <v>39</v>
      </c>
      <c r="K5136" t="s">
        <v>30</v>
      </c>
      <c r="L5136" t="s">
        <v>31</v>
      </c>
      <c r="M5136" t="s">
        <v>140</v>
      </c>
      <c r="N5136">
        <v>211</v>
      </c>
      <c r="O5136">
        <v>9.4940380000000005E-2</v>
      </c>
      <c r="P5136">
        <v>3.7040798999999999E-2</v>
      </c>
      <c r="Q5136" t="str">
        <f t="shared" si="160"/>
        <v>15-24</v>
      </c>
      <c r="R5136" t="str">
        <f t="shared" si="161"/>
        <v>[mxqa3CDFmIT]|15-24|Female|PMTCT_STAT_SUBNAT.N.New.Pos.T_1|CY2024Q3</v>
      </c>
    </row>
    <row r="5137" spans="4:18" x14ac:dyDescent="0.2">
      <c r="D5137" t="s">
        <v>120</v>
      </c>
      <c r="E5137" t="s">
        <v>121</v>
      </c>
      <c r="F5137" t="s">
        <v>122</v>
      </c>
      <c r="G5137" t="s">
        <v>213</v>
      </c>
      <c r="H5137" t="s">
        <v>212</v>
      </c>
      <c r="I5137" t="s">
        <v>41</v>
      </c>
      <c r="J5137" t="s">
        <v>42</v>
      </c>
      <c r="K5137" t="s">
        <v>30</v>
      </c>
      <c r="L5137" t="s">
        <v>31</v>
      </c>
      <c r="M5137" t="s">
        <v>140</v>
      </c>
      <c r="N5137">
        <v>339</v>
      </c>
      <c r="O5137">
        <v>6.6984264000000002E-2</v>
      </c>
      <c r="P5137">
        <v>3.7040798999999999E-2</v>
      </c>
      <c r="Q5137" t="str">
        <f t="shared" si="160"/>
        <v>25-34</v>
      </c>
      <c r="R5137" t="str">
        <f t="shared" si="161"/>
        <v>[mxqa3CDFmIT]|25-34|Female|PMTCT_STAT_SUBNAT.N.New.Pos.T_1|CY2024Q3</v>
      </c>
    </row>
    <row r="5138" spans="4:18" x14ac:dyDescent="0.2">
      <c r="D5138" t="s">
        <v>120</v>
      </c>
      <c r="E5138" t="s">
        <v>121</v>
      </c>
      <c r="F5138" t="s">
        <v>122</v>
      </c>
      <c r="G5138" t="s">
        <v>213</v>
      </c>
      <c r="H5138" t="s">
        <v>212</v>
      </c>
      <c r="I5138" t="s">
        <v>43</v>
      </c>
      <c r="J5138" t="s">
        <v>44</v>
      </c>
      <c r="K5138" t="s">
        <v>30</v>
      </c>
      <c r="L5138" t="s">
        <v>31</v>
      </c>
      <c r="M5138" t="s">
        <v>140</v>
      </c>
      <c r="N5138">
        <v>91</v>
      </c>
      <c r="O5138">
        <v>0.13650337500000001</v>
      </c>
      <c r="P5138">
        <v>3.7040798999999999E-2</v>
      </c>
      <c r="Q5138" t="str">
        <f t="shared" si="160"/>
        <v>35-49</v>
      </c>
      <c r="R5138" t="str">
        <f t="shared" si="161"/>
        <v>[mxqa3CDFmIT]|35-49|Female|PMTCT_STAT_SUBNAT.N.New.Pos.T_1|CY2024Q3</v>
      </c>
    </row>
    <row r="5139" spans="4:18" x14ac:dyDescent="0.2">
      <c r="D5139" t="s">
        <v>123</v>
      </c>
      <c r="E5139" t="s">
        <v>124</v>
      </c>
      <c r="F5139" t="s">
        <v>125</v>
      </c>
      <c r="G5139" t="s">
        <v>213</v>
      </c>
      <c r="H5139" t="s">
        <v>212</v>
      </c>
      <c r="I5139" t="s">
        <v>38</v>
      </c>
      <c r="J5139" t="s">
        <v>39</v>
      </c>
      <c r="K5139" t="s">
        <v>30</v>
      </c>
      <c r="L5139" t="s">
        <v>31</v>
      </c>
      <c r="M5139" t="s">
        <v>140</v>
      </c>
      <c r="N5139">
        <v>16</v>
      </c>
      <c r="O5139">
        <v>0.15321673899999999</v>
      </c>
      <c r="P5139">
        <v>0.123188431</v>
      </c>
      <c r="Q5139" t="str">
        <f t="shared" si="160"/>
        <v>15-24</v>
      </c>
      <c r="R5139" t="str">
        <f t="shared" si="161"/>
        <v>[wNqJp8oRIcF]|15-24|Female|PMTCT_STAT_SUBNAT.N.New.Pos.T_1|CY2024Q3</v>
      </c>
    </row>
    <row r="5140" spans="4:18" x14ac:dyDescent="0.2">
      <c r="D5140" t="s">
        <v>123</v>
      </c>
      <c r="E5140" t="s">
        <v>124</v>
      </c>
      <c r="F5140" t="s">
        <v>125</v>
      </c>
      <c r="G5140" t="s">
        <v>213</v>
      </c>
      <c r="H5140" t="s">
        <v>212</v>
      </c>
      <c r="I5140" t="s">
        <v>41</v>
      </c>
      <c r="J5140" t="s">
        <v>42</v>
      </c>
      <c r="K5140" t="s">
        <v>30</v>
      </c>
      <c r="L5140" t="s">
        <v>31</v>
      </c>
      <c r="M5140" t="s">
        <v>140</v>
      </c>
      <c r="N5140">
        <v>22</v>
      </c>
      <c r="O5140">
        <v>0.13520511700000001</v>
      </c>
      <c r="P5140">
        <v>0.123188431</v>
      </c>
      <c r="Q5140" t="str">
        <f t="shared" si="160"/>
        <v>25-34</v>
      </c>
      <c r="R5140" t="str">
        <f t="shared" si="161"/>
        <v>[wNqJp8oRIcF]|25-34|Female|PMTCT_STAT_SUBNAT.N.New.Pos.T_1|CY2024Q3</v>
      </c>
    </row>
    <row r="5141" spans="4:18" x14ac:dyDescent="0.2">
      <c r="D5141" t="s">
        <v>123</v>
      </c>
      <c r="E5141" t="s">
        <v>124</v>
      </c>
      <c r="F5141" t="s">
        <v>125</v>
      </c>
      <c r="G5141" t="s">
        <v>213</v>
      </c>
      <c r="H5141" t="s">
        <v>212</v>
      </c>
      <c r="I5141" t="s">
        <v>43</v>
      </c>
      <c r="J5141" t="s">
        <v>44</v>
      </c>
      <c r="K5141" t="s">
        <v>30</v>
      </c>
      <c r="L5141" t="s">
        <v>31</v>
      </c>
      <c r="M5141" t="s">
        <v>140</v>
      </c>
      <c r="N5141">
        <v>6</v>
      </c>
      <c r="O5141">
        <v>0.19291252</v>
      </c>
      <c r="P5141">
        <v>0.123188431</v>
      </c>
      <c r="Q5141" t="str">
        <f t="shared" si="160"/>
        <v>35-49</v>
      </c>
      <c r="R5141" t="str">
        <f t="shared" si="161"/>
        <v>[wNqJp8oRIcF]|35-49|Female|PMTCT_STAT_SUBNAT.N.New.Pos.T_1|CY2024Q3</v>
      </c>
    </row>
    <row r="5142" spans="4:18" x14ac:dyDescent="0.2">
      <c r="D5142" t="s">
        <v>126</v>
      </c>
      <c r="E5142" t="s">
        <v>127</v>
      </c>
      <c r="F5142" t="s">
        <v>128</v>
      </c>
      <c r="G5142" t="s">
        <v>213</v>
      </c>
      <c r="H5142" t="s">
        <v>212</v>
      </c>
      <c r="I5142" t="s">
        <v>38</v>
      </c>
      <c r="J5142" t="s">
        <v>39</v>
      </c>
      <c r="K5142" t="s">
        <v>30</v>
      </c>
      <c r="L5142" t="s">
        <v>31</v>
      </c>
      <c r="M5142" t="s">
        <v>140</v>
      </c>
      <c r="N5142">
        <v>86</v>
      </c>
      <c r="O5142">
        <v>0.105421162</v>
      </c>
      <c r="P5142">
        <v>5.9877993999999997E-2</v>
      </c>
      <c r="Q5142" t="str">
        <f t="shared" si="160"/>
        <v>15-24</v>
      </c>
      <c r="R5142" t="str">
        <f t="shared" si="161"/>
        <v>[ul0y9diGujK]|15-24|Female|PMTCT_STAT_SUBNAT.N.New.Pos.T_1|CY2024Q3</v>
      </c>
    </row>
    <row r="5143" spans="4:18" x14ac:dyDescent="0.2">
      <c r="D5143" t="s">
        <v>126</v>
      </c>
      <c r="E5143" t="s">
        <v>127</v>
      </c>
      <c r="F5143" t="s">
        <v>128</v>
      </c>
      <c r="G5143" t="s">
        <v>213</v>
      </c>
      <c r="H5143" t="s">
        <v>212</v>
      </c>
      <c r="I5143" t="s">
        <v>41</v>
      </c>
      <c r="J5143" t="s">
        <v>42</v>
      </c>
      <c r="K5143" t="s">
        <v>30</v>
      </c>
      <c r="L5143" t="s">
        <v>31</v>
      </c>
      <c r="M5143" t="s">
        <v>140</v>
      </c>
      <c r="N5143">
        <v>116</v>
      </c>
      <c r="O5143">
        <v>9.1017558999999998E-2</v>
      </c>
      <c r="P5143">
        <v>5.9877993999999997E-2</v>
      </c>
      <c r="Q5143" t="str">
        <f t="shared" si="160"/>
        <v>25-34</v>
      </c>
      <c r="R5143" t="str">
        <f t="shared" si="161"/>
        <v>[ul0y9diGujK]|25-34|Female|PMTCT_STAT_SUBNAT.N.New.Pos.T_1|CY2024Q3</v>
      </c>
    </row>
    <row r="5144" spans="4:18" x14ac:dyDescent="0.2">
      <c r="D5144" t="s">
        <v>126</v>
      </c>
      <c r="E5144" t="s">
        <v>127</v>
      </c>
      <c r="F5144" t="s">
        <v>128</v>
      </c>
      <c r="G5144" t="s">
        <v>213</v>
      </c>
      <c r="H5144" t="s">
        <v>212</v>
      </c>
      <c r="I5144" t="s">
        <v>43</v>
      </c>
      <c r="J5144" t="s">
        <v>44</v>
      </c>
      <c r="K5144" t="s">
        <v>30</v>
      </c>
      <c r="L5144" t="s">
        <v>31</v>
      </c>
      <c r="M5144" t="s">
        <v>140</v>
      </c>
      <c r="N5144">
        <v>33</v>
      </c>
      <c r="O5144">
        <v>0.15090039999999999</v>
      </c>
      <c r="P5144">
        <v>5.9877993999999997E-2</v>
      </c>
      <c r="Q5144" t="str">
        <f t="shared" si="160"/>
        <v>35-49</v>
      </c>
      <c r="R5144" t="str">
        <f t="shared" si="161"/>
        <v>[ul0y9diGujK]|35-49|Female|PMTCT_STAT_SUBNAT.N.New.Pos.T_1|CY2024Q3</v>
      </c>
    </row>
    <row r="5145" spans="4:18" x14ac:dyDescent="0.2">
      <c r="D5145" t="s">
        <v>129</v>
      </c>
      <c r="E5145" t="s">
        <v>130</v>
      </c>
      <c r="F5145" t="s">
        <v>131</v>
      </c>
      <c r="G5145" t="s">
        <v>213</v>
      </c>
      <c r="H5145" t="s">
        <v>212</v>
      </c>
      <c r="I5145" t="s">
        <v>38</v>
      </c>
      <c r="J5145" t="s">
        <v>39</v>
      </c>
      <c r="K5145" t="s">
        <v>30</v>
      </c>
      <c r="L5145" t="s">
        <v>31</v>
      </c>
      <c r="M5145" t="s">
        <v>140</v>
      </c>
      <c r="N5145">
        <v>76</v>
      </c>
      <c r="O5145">
        <v>0.11071901000000001</v>
      </c>
      <c r="P5145">
        <v>6.4529113999999999E-2</v>
      </c>
      <c r="Q5145" t="str">
        <f t="shared" si="160"/>
        <v>15-24</v>
      </c>
      <c r="R5145" t="str">
        <f t="shared" si="161"/>
        <v>[U8c0so51kT6]|15-24|Female|PMTCT_STAT_SUBNAT.N.New.Pos.T_1|CY2024Q3</v>
      </c>
    </row>
    <row r="5146" spans="4:18" x14ac:dyDescent="0.2">
      <c r="D5146" t="s">
        <v>129</v>
      </c>
      <c r="E5146" t="s">
        <v>130</v>
      </c>
      <c r="F5146" t="s">
        <v>131</v>
      </c>
      <c r="G5146" t="s">
        <v>213</v>
      </c>
      <c r="H5146" t="s">
        <v>212</v>
      </c>
      <c r="I5146" t="s">
        <v>41</v>
      </c>
      <c r="J5146" t="s">
        <v>42</v>
      </c>
      <c r="K5146" t="s">
        <v>30</v>
      </c>
      <c r="L5146" t="s">
        <v>31</v>
      </c>
      <c r="M5146" t="s">
        <v>140</v>
      </c>
      <c r="N5146">
        <v>104</v>
      </c>
      <c r="O5146">
        <v>9.2725052000000002E-2</v>
      </c>
      <c r="P5146">
        <v>6.4529113999999999E-2</v>
      </c>
      <c r="Q5146" t="str">
        <f t="shared" si="160"/>
        <v>25-34</v>
      </c>
      <c r="R5146" t="str">
        <f t="shared" si="161"/>
        <v>[U8c0so51kT6]|25-34|Female|PMTCT_STAT_SUBNAT.N.New.Pos.T_1|CY2024Q3</v>
      </c>
    </row>
    <row r="5147" spans="4:18" x14ac:dyDescent="0.2">
      <c r="D5147" t="s">
        <v>129</v>
      </c>
      <c r="E5147" t="s">
        <v>130</v>
      </c>
      <c r="F5147" t="s">
        <v>131</v>
      </c>
      <c r="G5147" t="s">
        <v>213</v>
      </c>
      <c r="H5147" t="s">
        <v>212</v>
      </c>
      <c r="I5147" t="s">
        <v>43</v>
      </c>
      <c r="J5147" t="s">
        <v>44</v>
      </c>
      <c r="K5147" t="s">
        <v>30</v>
      </c>
      <c r="L5147" t="s">
        <v>31</v>
      </c>
      <c r="M5147" t="s">
        <v>140</v>
      </c>
      <c r="N5147">
        <v>27</v>
      </c>
      <c r="O5147">
        <v>0.15645088500000001</v>
      </c>
      <c r="P5147">
        <v>6.4529113999999999E-2</v>
      </c>
      <c r="Q5147" t="str">
        <f t="shared" si="160"/>
        <v>35-49</v>
      </c>
      <c r="R5147" t="str">
        <f t="shared" si="161"/>
        <v>[U8c0so51kT6]|35-49|Female|PMTCT_STAT_SUBNAT.N.New.Pos.T_1|CY2024Q3</v>
      </c>
    </row>
    <row r="5148" spans="4:18" x14ac:dyDescent="0.2">
      <c r="D5148" t="s">
        <v>132</v>
      </c>
      <c r="E5148" t="s">
        <v>133</v>
      </c>
      <c r="F5148" t="s">
        <v>134</v>
      </c>
      <c r="G5148" t="s">
        <v>213</v>
      </c>
      <c r="H5148" t="s">
        <v>212</v>
      </c>
      <c r="I5148" t="s">
        <v>38</v>
      </c>
      <c r="J5148" t="s">
        <v>39</v>
      </c>
      <c r="K5148" t="s">
        <v>30</v>
      </c>
      <c r="L5148" t="s">
        <v>31</v>
      </c>
      <c r="M5148" t="s">
        <v>140</v>
      </c>
      <c r="N5148">
        <v>63</v>
      </c>
      <c r="O5148">
        <v>0.11480688</v>
      </c>
      <c r="P5148">
        <v>7.1234588000000001E-2</v>
      </c>
      <c r="Q5148" t="str">
        <f t="shared" si="160"/>
        <v>15-24</v>
      </c>
      <c r="R5148" t="str">
        <f t="shared" si="161"/>
        <v>[rpw540fmNUz]|15-24|Female|PMTCT_STAT_SUBNAT.N.New.Pos.T_1|CY2024Q3</v>
      </c>
    </row>
    <row r="5149" spans="4:18" x14ac:dyDescent="0.2">
      <c r="D5149" t="s">
        <v>132</v>
      </c>
      <c r="E5149" t="s">
        <v>133</v>
      </c>
      <c r="F5149" t="s">
        <v>134</v>
      </c>
      <c r="G5149" t="s">
        <v>213</v>
      </c>
      <c r="H5149" t="s">
        <v>212</v>
      </c>
      <c r="I5149" t="s">
        <v>41</v>
      </c>
      <c r="J5149" t="s">
        <v>42</v>
      </c>
      <c r="K5149" t="s">
        <v>30</v>
      </c>
      <c r="L5149" t="s">
        <v>31</v>
      </c>
      <c r="M5149" t="s">
        <v>140</v>
      </c>
      <c r="N5149">
        <v>83</v>
      </c>
      <c r="O5149">
        <v>9.7938117000000005E-2</v>
      </c>
      <c r="P5149">
        <v>7.1234588000000001E-2</v>
      </c>
      <c r="Q5149" t="str">
        <f t="shared" si="160"/>
        <v>25-34</v>
      </c>
      <c r="R5149" t="str">
        <f t="shared" si="161"/>
        <v>[rpw540fmNUz]|25-34|Female|PMTCT_STAT_SUBNAT.N.New.Pos.T_1|CY2024Q3</v>
      </c>
    </row>
    <row r="5150" spans="4:18" x14ac:dyDescent="0.2">
      <c r="D5150" t="s">
        <v>132</v>
      </c>
      <c r="E5150" t="s">
        <v>133</v>
      </c>
      <c r="F5150" t="s">
        <v>134</v>
      </c>
      <c r="G5150" t="s">
        <v>213</v>
      </c>
      <c r="H5150" t="s">
        <v>212</v>
      </c>
      <c r="I5150" t="s">
        <v>43</v>
      </c>
      <c r="J5150" t="s">
        <v>44</v>
      </c>
      <c r="K5150" t="s">
        <v>30</v>
      </c>
      <c r="L5150" t="s">
        <v>31</v>
      </c>
      <c r="M5150" t="s">
        <v>140</v>
      </c>
      <c r="N5150">
        <v>20</v>
      </c>
      <c r="O5150">
        <v>0.16524002800000001</v>
      </c>
      <c r="P5150">
        <v>7.1234588000000001E-2</v>
      </c>
      <c r="Q5150" t="str">
        <f t="shared" si="160"/>
        <v>35-49</v>
      </c>
      <c r="R5150" t="str">
        <f t="shared" si="161"/>
        <v>[rpw540fmNUz]|35-49|Female|PMTCT_STAT_SUBNAT.N.New.Pos.T_1|CY2024Q3</v>
      </c>
    </row>
    <row r="5151" spans="4:18" x14ac:dyDescent="0.2">
      <c r="D5151" t="s">
        <v>135</v>
      </c>
      <c r="E5151" t="s">
        <v>136</v>
      </c>
      <c r="F5151" t="s">
        <v>137</v>
      </c>
      <c r="G5151" t="s">
        <v>213</v>
      </c>
      <c r="H5151" t="s">
        <v>212</v>
      </c>
      <c r="I5151" t="s">
        <v>38</v>
      </c>
      <c r="J5151" t="s">
        <v>39</v>
      </c>
      <c r="K5151" t="s">
        <v>30</v>
      </c>
      <c r="L5151" t="s">
        <v>31</v>
      </c>
      <c r="M5151" t="s">
        <v>140</v>
      </c>
      <c r="N5151">
        <v>18</v>
      </c>
      <c r="O5151">
        <v>0.14545803199999999</v>
      </c>
      <c r="P5151">
        <v>0.11595295</v>
      </c>
      <c r="Q5151" t="str">
        <f t="shared" si="160"/>
        <v>15-24</v>
      </c>
      <c r="R5151" t="str">
        <f t="shared" si="161"/>
        <v>[gwVYinjBAe9]|15-24|Female|PMTCT_STAT_SUBNAT.N.New.Pos.T_1|CY2024Q3</v>
      </c>
    </row>
    <row r="5152" spans="4:18" x14ac:dyDescent="0.2">
      <c r="D5152" t="s">
        <v>135</v>
      </c>
      <c r="E5152" t="s">
        <v>136</v>
      </c>
      <c r="F5152" t="s">
        <v>137</v>
      </c>
      <c r="G5152" t="s">
        <v>213</v>
      </c>
      <c r="H5152" t="s">
        <v>212</v>
      </c>
      <c r="I5152" t="s">
        <v>41</v>
      </c>
      <c r="J5152" t="s">
        <v>42</v>
      </c>
      <c r="K5152" t="s">
        <v>30</v>
      </c>
      <c r="L5152" t="s">
        <v>31</v>
      </c>
      <c r="M5152" t="s">
        <v>140</v>
      </c>
      <c r="N5152">
        <v>24</v>
      </c>
      <c r="O5152">
        <v>0.13621957700000001</v>
      </c>
      <c r="P5152">
        <v>0.11595295</v>
      </c>
      <c r="Q5152" t="str">
        <f t="shared" si="160"/>
        <v>25-34</v>
      </c>
      <c r="R5152" t="str">
        <f t="shared" si="161"/>
        <v>[gwVYinjBAe9]|25-34|Female|PMTCT_STAT_SUBNAT.N.New.Pos.T_1|CY2024Q3</v>
      </c>
    </row>
    <row r="5153" spans="4:18" x14ac:dyDescent="0.2">
      <c r="D5153" t="s">
        <v>135</v>
      </c>
      <c r="E5153" t="s">
        <v>136</v>
      </c>
      <c r="F5153" t="s">
        <v>137</v>
      </c>
      <c r="G5153" t="s">
        <v>213</v>
      </c>
      <c r="H5153" t="s">
        <v>212</v>
      </c>
      <c r="I5153" t="s">
        <v>43</v>
      </c>
      <c r="J5153" t="s">
        <v>44</v>
      </c>
      <c r="K5153" t="s">
        <v>30</v>
      </c>
      <c r="L5153" t="s">
        <v>31</v>
      </c>
      <c r="M5153" t="s">
        <v>140</v>
      </c>
      <c r="N5153">
        <v>6</v>
      </c>
      <c r="O5153">
        <v>0.19035580999999999</v>
      </c>
      <c r="P5153">
        <v>0.11595295</v>
      </c>
      <c r="Q5153" t="str">
        <f t="shared" si="160"/>
        <v>35-49</v>
      </c>
      <c r="R5153" t="str">
        <f t="shared" si="161"/>
        <v>[gwVYinjBAe9]|35-49|Female|PMTCT_STAT_SUBNAT.N.New.Pos.T_1|CY2024Q3</v>
      </c>
    </row>
    <row r="5154" spans="4:18" x14ac:dyDescent="0.2">
      <c r="D5154" t="s">
        <v>23</v>
      </c>
      <c r="E5154" t="s">
        <v>24</v>
      </c>
      <c r="F5154" t="s">
        <v>25</v>
      </c>
      <c r="G5154" t="s">
        <v>214</v>
      </c>
      <c r="H5154" t="s">
        <v>212</v>
      </c>
      <c r="I5154" t="s">
        <v>38</v>
      </c>
      <c r="J5154" t="s">
        <v>39</v>
      </c>
      <c r="K5154" t="s">
        <v>30</v>
      </c>
      <c r="L5154" t="s">
        <v>31</v>
      </c>
      <c r="M5154" t="s">
        <v>140</v>
      </c>
      <c r="N5154">
        <v>3861</v>
      </c>
      <c r="O5154">
        <v>1.1813812E-2</v>
      </c>
      <c r="P5154">
        <v>1.1870092E-2</v>
      </c>
      <c r="Q5154" t="str">
        <f t="shared" si="160"/>
        <v>15-24</v>
      </c>
      <c r="R5154" t="str">
        <f t="shared" si="161"/>
        <v>[GkIwZrXy1h2]|15-24|Female|PMTCT_STAT_SUBNAT.N.New.Neg.T_1|CY2024Q3</v>
      </c>
    </row>
    <row r="5155" spans="4:18" x14ac:dyDescent="0.2">
      <c r="D5155" t="s">
        <v>23</v>
      </c>
      <c r="E5155" t="s">
        <v>24</v>
      </c>
      <c r="F5155" t="s">
        <v>25</v>
      </c>
      <c r="G5155" t="s">
        <v>214</v>
      </c>
      <c r="H5155" t="s">
        <v>212</v>
      </c>
      <c r="I5155" t="s">
        <v>41</v>
      </c>
      <c r="J5155" t="s">
        <v>42</v>
      </c>
      <c r="K5155" t="s">
        <v>30</v>
      </c>
      <c r="L5155" t="s">
        <v>31</v>
      </c>
      <c r="M5155" t="s">
        <v>140</v>
      </c>
      <c r="N5155">
        <v>2433</v>
      </c>
      <c r="O5155">
        <v>1.1937646999999999E-2</v>
      </c>
      <c r="P5155">
        <v>1.1870092E-2</v>
      </c>
      <c r="Q5155" t="str">
        <f t="shared" si="160"/>
        <v>25-34</v>
      </c>
      <c r="R5155" t="str">
        <f t="shared" si="161"/>
        <v>[GkIwZrXy1h2]|25-34|Female|PMTCT_STAT_SUBNAT.N.New.Neg.T_1|CY2024Q3</v>
      </c>
    </row>
    <row r="5156" spans="4:18" x14ac:dyDescent="0.2">
      <c r="D5156" t="s">
        <v>23</v>
      </c>
      <c r="E5156" t="s">
        <v>24</v>
      </c>
      <c r="F5156" t="s">
        <v>25</v>
      </c>
      <c r="G5156" t="s">
        <v>214</v>
      </c>
      <c r="H5156" t="s">
        <v>212</v>
      </c>
      <c r="I5156" t="s">
        <v>43</v>
      </c>
      <c r="J5156" t="s">
        <v>44</v>
      </c>
      <c r="K5156" t="s">
        <v>30</v>
      </c>
      <c r="L5156" t="s">
        <v>31</v>
      </c>
      <c r="M5156" t="s">
        <v>140</v>
      </c>
      <c r="N5156">
        <v>868</v>
      </c>
      <c r="O5156">
        <v>1.2348214E-2</v>
      </c>
      <c r="P5156">
        <v>1.1870092E-2</v>
      </c>
      <c r="Q5156" t="str">
        <f t="shared" si="160"/>
        <v>35-49</v>
      </c>
      <c r="R5156" t="str">
        <f t="shared" si="161"/>
        <v>[GkIwZrXy1h2]|35-49|Female|PMTCT_STAT_SUBNAT.N.New.Neg.T_1|CY2024Q3</v>
      </c>
    </row>
    <row r="5157" spans="4:18" x14ac:dyDescent="0.2">
      <c r="D5157" t="s">
        <v>53</v>
      </c>
      <c r="E5157" t="s">
        <v>54</v>
      </c>
      <c r="F5157" t="s">
        <v>55</v>
      </c>
      <c r="G5157" t="s">
        <v>214</v>
      </c>
      <c r="H5157" t="s">
        <v>212</v>
      </c>
      <c r="I5157" t="s">
        <v>38</v>
      </c>
      <c r="J5157" t="s">
        <v>39</v>
      </c>
      <c r="K5157" t="s">
        <v>30</v>
      </c>
      <c r="L5157" t="s">
        <v>31</v>
      </c>
      <c r="M5157" t="s">
        <v>140</v>
      </c>
      <c r="N5157">
        <v>5322</v>
      </c>
      <c r="O5157">
        <v>9.887758E-3</v>
      </c>
      <c r="P5157">
        <v>9.9238009999999995E-3</v>
      </c>
      <c r="Q5157" t="str">
        <f t="shared" si="160"/>
        <v>15-24</v>
      </c>
      <c r="R5157" t="str">
        <f t="shared" si="161"/>
        <v>[cPtvxaZqXIH]|15-24|Female|PMTCT_STAT_SUBNAT.N.New.Neg.T_1|CY2024Q3</v>
      </c>
    </row>
    <row r="5158" spans="4:18" x14ac:dyDescent="0.2">
      <c r="D5158" t="s">
        <v>53</v>
      </c>
      <c r="E5158" t="s">
        <v>54</v>
      </c>
      <c r="F5158" t="s">
        <v>55</v>
      </c>
      <c r="G5158" t="s">
        <v>214</v>
      </c>
      <c r="H5158" t="s">
        <v>212</v>
      </c>
      <c r="I5158" t="s">
        <v>41</v>
      </c>
      <c r="J5158" t="s">
        <v>42</v>
      </c>
      <c r="K5158" t="s">
        <v>30</v>
      </c>
      <c r="L5158" t="s">
        <v>31</v>
      </c>
      <c r="M5158" t="s">
        <v>140</v>
      </c>
      <c r="N5158">
        <v>3256</v>
      </c>
      <c r="O5158">
        <v>1.0123488E-2</v>
      </c>
      <c r="P5158">
        <v>9.9238009999999995E-3</v>
      </c>
      <c r="Q5158" t="str">
        <f t="shared" si="160"/>
        <v>25-34</v>
      </c>
      <c r="R5158" t="str">
        <f t="shared" si="161"/>
        <v>[cPtvxaZqXIH]|25-34|Female|PMTCT_STAT_SUBNAT.N.New.Neg.T_1|CY2024Q3</v>
      </c>
    </row>
    <row r="5159" spans="4:18" x14ac:dyDescent="0.2">
      <c r="D5159" t="s">
        <v>53</v>
      </c>
      <c r="E5159" t="s">
        <v>54</v>
      </c>
      <c r="F5159" t="s">
        <v>55</v>
      </c>
      <c r="G5159" t="s">
        <v>214</v>
      </c>
      <c r="H5159" t="s">
        <v>212</v>
      </c>
      <c r="I5159" t="s">
        <v>43</v>
      </c>
      <c r="J5159" t="s">
        <v>44</v>
      </c>
      <c r="K5159" t="s">
        <v>30</v>
      </c>
      <c r="L5159" t="s">
        <v>31</v>
      </c>
      <c r="M5159" t="s">
        <v>140</v>
      </c>
      <c r="N5159">
        <v>1117</v>
      </c>
      <c r="O5159">
        <v>1.1437243999999999E-2</v>
      </c>
      <c r="P5159">
        <v>9.9238009999999995E-3</v>
      </c>
      <c r="Q5159" t="str">
        <f t="shared" si="160"/>
        <v>35-49</v>
      </c>
      <c r="R5159" t="str">
        <f t="shared" si="161"/>
        <v>[cPtvxaZqXIH]|35-49|Female|PMTCT_STAT_SUBNAT.N.New.Neg.T_1|CY2024Q3</v>
      </c>
    </row>
    <row r="5160" spans="4:18" x14ac:dyDescent="0.2">
      <c r="D5160" t="s">
        <v>60</v>
      </c>
      <c r="E5160" t="s">
        <v>61</v>
      </c>
      <c r="F5160" t="s">
        <v>62</v>
      </c>
      <c r="G5160" t="s">
        <v>214</v>
      </c>
      <c r="H5160" t="s">
        <v>212</v>
      </c>
      <c r="I5160" t="s">
        <v>38</v>
      </c>
      <c r="J5160" t="s">
        <v>39</v>
      </c>
      <c r="K5160" t="s">
        <v>30</v>
      </c>
      <c r="L5160" t="s">
        <v>31</v>
      </c>
      <c r="M5160" t="s">
        <v>140</v>
      </c>
      <c r="N5160">
        <v>4220</v>
      </c>
      <c r="O5160">
        <v>1.1568043E-2</v>
      </c>
      <c r="P5160">
        <v>1.1585714E-2</v>
      </c>
      <c r="Q5160" t="str">
        <f t="shared" si="160"/>
        <v>15-24</v>
      </c>
      <c r="R5160" t="str">
        <f t="shared" si="161"/>
        <v>[E7zpfyBt7Tw]|15-24|Female|PMTCT_STAT_SUBNAT.N.New.Neg.T_1|CY2024Q3</v>
      </c>
    </row>
    <row r="5161" spans="4:18" x14ac:dyDescent="0.2">
      <c r="D5161" t="s">
        <v>60</v>
      </c>
      <c r="E5161" t="s">
        <v>61</v>
      </c>
      <c r="F5161" t="s">
        <v>62</v>
      </c>
      <c r="G5161" t="s">
        <v>214</v>
      </c>
      <c r="H5161" t="s">
        <v>212</v>
      </c>
      <c r="I5161" t="s">
        <v>41</v>
      </c>
      <c r="J5161" t="s">
        <v>42</v>
      </c>
      <c r="K5161" t="s">
        <v>30</v>
      </c>
      <c r="L5161" t="s">
        <v>31</v>
      </c>
      <c r="M5161" t="s">
        <v>140</v>
      </c>
      <c r="N5161">
        <v>2353</v>
      </c>
      <c r="O5161">
        <v>1.1809017999999999E-2</v>
      </c>
      <c r="P5161">
        <v>1.1585714E-2</v>
      </c>
      <c r="Q5161" t="str">
        <f t="shared" si="160"/>
        <v>25-34</v>
      </c>
      <c r="R5161" t="str">
        <f t="shared" si="161"/>
        <v>[E7zpfyBt7Tw]|25-34|Female|PMTCT_STAT_SUBNAT.N.New.Neg.T_1|CY2024Q3</v>
      </c>
    </row>
    <row r="5162" spans="4:18" x14ac:dyDescent="0.2">
      <c r="D5162" t="s">
        <v>60</v>
      </c>
      <c r="E5162" t="s">
        <v>61</v>
      </c>
      <c r="F5162" t="s">
        <v>62</v>
      </c>
      <c r="G5162" t="s">
        <v>214</v>
      </c>
      <c r="H5162" t="s">
        <v>212</v>
      </c>
      <c r="I5162" t="s">
        <v>43</v>
      </c>
      <c r="J5162" t="s">
        <v>44</v>
      </c>
      <c r="K5162" t="s">
        <v>30</v>
      </c>
      <c r="L5162" t="s">
        <v>31</v>
      </c>
      <c r="M5162" t="s">
        <v>140</v>
      </c>
      <c r="N5162">
        <v>849</v>
      </c>
      <c r="O5162">
        <v>1.2860503000000001E-2</v>
      </c>
      <c r="P5162">
        <v>1.1585714E-2</v>
      </c>
      <c r="Q5162" t="str">
        <f t="shared" si="160"/>
        <v>35-49</v>
      </c>
      <c r="R5162" t="str">
        <f t="shared" si="161"/>
        <v>[E7zpfyBt7Tw]|35-49|Female|PMTCT_STAT_SUBNAT.N.New.Neg.T_1|CY2024Q3</v>
      </c>
    </row>
    <row r="5163" spans="4:18" x14ac:dyDescent="0.2">
      <c r="D5163" t="s">
        <v>63</v>
      </c>
      <c r="E5163" t="s">
        <v>64</v>
      </c>
      <c r="F5163" t="s">
        <v>65</v>
      </c>
      <c r="G5163" t="s">
        <v>214</v>
      </c>
      <c r="H5163" t="s">
        <v>212</v>
      </c>
      <c r="I5163" t="s">
        <v>38</v>
      </c>
      <c r="J5163" t="s">
        <v>39</v>
      </c>
      <c r="K5163" t="s">
        <v>30</v>
      </c>
      <c r="L5163" t="s">
        <v>31</v>
      </c>
      <c r="M5163" t="s">
        <v>140</v>
      </c>
      <c r="N5163">
        <v>3146</v>
      </c>
      <c r="O5163">
        <v>1.3023378E-2</v>
      </c>
      <c r="P5163">
        <v>1.3048399E-2</v>
      </c>
      <c r="Q5163" t="str">
        <f t="shared" si="160"/>
        <v>15-24</v>
      </c>
      <c r="R5163" t="str">
        <f t="shared" si="161"/>
        <v>[lPTyjLi4w3d]|15-24|Female|PMTCT_STAT_SUBNAT.N.New.Neg.T_1|CY2024Q3</v>
      </c>
    </row>
    <row r="5164" spans="4:18" x14ac:dyDescent="0.2">
      <c r="D5164" t="s">
        <v>63</v>
      </c>
      <c r="E5164" t="s">
        <v>64</v>
      </c>
      <c r="F5164" t="s">
        <v>65</v>
      </c>
      <c r="G5164" t="s">
        <v>214</v>
      </c>
      <c r="H5164" t="s">
        <v>212</v>
      </c>
      <c r="I5164" t="s">
        <v>41</v>
      </c>
      <c r="J5164" t="s">
        <v>42</v>
      </c>
      <c r="K5164" t="s">
        <v>30</v>
      </c>
      <c r="L5164" t="s">
        <v>31</v>
      </c>
      <c r="M5164" t="s">
        <v>140</v>
      </c>
      <c r="N5164">
        <v>1961</v>
      </c>
      <c r="O5164">
        <v>1.3127290999999999E-2</v>
      </c>
      <c r="P5164">
        <v>1.3048399E-2</v>
      </c>
      <c r="Q5164" t="str">
        <f t="shared" si="160"/>
        <v>25-34</v>
      </c>
      <c r="R5164" t="str">
        <f t="shared" si="161"/>
        <v>[lPTyjLi4w3d]|25-34|Female|PMTCT_STAT_SUBNAT.N.New.Neg.T_1|CY2024Q3</v>
      </c>
    </row>
    <row r="5165" spans="4:18" x14ac:dyDescent="0.2">
      <c r="D5165" t="s">
        <v>63</v>
      </c>
      <c r="E5165" t="s">
        <v>64</v>
      </c>
      <c r="F5165" t="s">
        <v>65</v>
      </c>
      <c r="G5165" t="s">
        <v>214</v>
      </c>
      <c r="H5165" t="s">
        <v>212</v>
      </c>
      <c r="I5165" t="s">
        <v>43</v>
      </c>
      <c r="J5165" t="s">
        <v>44</v>
      </c>
      <c r="K5165" t="s">
        <v>30</v>
      </c>
      <c r="L5165" t="s">
        <v>31</v>
      </c>
      <c r="M5165" t="s">
        <v>140</v>
      </c>
      <c r="N5165">
        <v>707</v>
      </c>
      <c r="O5165">
        <v>1.3926157999999999E-2</v>
      </c>
      <c r="P5165">
        <v>1.3048399E-2</v>
      </c>
      <c r="Q5165" t="str">
        <f t="shared" si="160"/>
        <v>35-49</v>
      </c>
      <c r="R5165" t="str">
        <f t="shared" si="161"/>
        <v>[lPTyjLi4w3d]|35-49|Female|PMTCT_STAT_SUBNAT.N.New.Neg.T_1|CY2024Q3</v>
      </c>
    </row>
    <row r="5166" spans="4:18" x14ac:dyDescent="0.2">
      <c r="D5166" t="s">
        <v>66</v>
      </c>
      <c r="E5166" t="s">
        <v>67</v>
      </c>
      <c r="F5166" t="s">
        <v>68</v>
      </c>
      <c r="G5166" t="s">
        <v>214</v>
      </c>
      <c r="H5166" t="s">
        <v>212</v>
      </c>
      <c r="I5166" t="s">
        <v>38</v>
      </c>
      <c r="J5166" t="s">
        <v>39</v>
      </c>
      <c r="K5166" t="s">
        <v>30</v>
      </c>
      <c r="L5166" t="s">
        <v>31</v>
      </c>
      <c r="M5166" t="s">
        <v>140</v>
      </c>
      <c r="N5166">
        <v>17520</v>
      </c>
      <c r="O5166">
        <v>5.3726609999999999E-3</v>
      </c>
      <c r="P5166">
        <v>5.3435069999999999E-3</v>
      </c>
      <c r="Q5166" t="str">
        <f t="shared" si="160"/>
        <v>15-24</v>
      </c>
      <c r="R5166" t="str">
        <f t="shared" si="161"/>
        <v>[vA4NcHxfMBq]|15-24|Female|PMTCT_STAT_SUBNAT.N.New.Neg.T_1|CY2024Q3</v>
      </c>
    </row>
    <row r="5167" spans="4:18" x14ac:dyDescent="0.2">
      <c r="D5167" t="s">
        <v>66</v>
      </c>
      <c r="E5167" t="s">
        <v>67</v>
      </c>
      <c r="F5167" t="s">
        <v>68</v>
      </c>
      <c r="G5167" t="s">
        <v>214</v>
      </c>
      <c r="H5167" t="s">
        <v>212</v>
      </c>
      <c r="I5167" t="s">
        <v>41</v>
      </c>
      <c r="J5167" t="s">
        <v>42</v>
      </c>
      <c r="K5167" t="s">
        <v>30</v>
      </c>
      <c r="L5167" t="s">
        <v>31</v>
      </c>
      <c r="M5167" t="s">
        <v>140</v>
      </c>
      <c r="N5167">
        <v>11065</v>
      </c>
      <c r="O5167">
        <v>5.5189740000000003E-3</v>
      </c>
      <c r="P5167">
        <v>5.3435069999999999E-3</v>
      </c>
      <c r="Q5167" t="str">
        <f t="shared" si="160"/>
        <v>25-34</v>
      </c>
      <c r="R5167" t="str">
        <f t="shared" si="161"/>
        <v>[vA4NcHxfMBq]|25-34|Female|PMTCT_STAT_SUBNAT.N.New.Neg.T_1|CY2024Q3</v>
      </c>
    </row>
    <row r="5168" spans="4:18" x14ac:dyDescent="0.2">
      <c r="D5168" t="s">
        <v>66</v>
      </c>
      <c r="E5168" t="s">
        <v>67</v>
      </c>
      <c r="F5168" t="s">
        <v>68</v>
      </c>
      <c r="G5168" t="s">
        <v>214</v>
      </c>
      <c r="H5168" t="s">
        <v>212</v>
      </c>
      <c r="I5168" t="s">
        <v>43</v>
      </c>
      <c r="J5168" t="s">
        <v>44</v>
      </c>
      <c r="K5168" t="s">
        <v>30</v>
      </c>
      <c r="L5168" t="s">
        <v>31</v>
      </c>
      <c r="M5168" t="s">
        <v>140</v>
      </c>
      <c r="N5168">
        <v>3833</v>
      </c>
      <c r="O5168">
        <v>6.1580230000000003E-3</v>
      </c>
      <c r="P5168">
        <v>5.3435069999999999E-3</v>
      </c>
      <c r="Q5168" t="str">
        <f t="shared" si="160"/>
        <v>35-49</v>
      </c>
      <c r="R5168" t="str">
        <f t="shared" si="161"/>
        <v>[vA4NcHxfMBq]|35-49|Female|PMTCT_STAT_SUBNAT.N.New.Neg.T_1|CY2024Q3</v>
      </c>
    </row>
    <row r="5169" spans="4:18" x14ac:dyDescent="0.2">
      <c r="D5169" t="s">
        <v>69</v>
      </c>
      <c r="E5169" t="s">
        <v>70</v>
      </c>
      <c r="F5169" t="s">
        <v>71</v>
      </c>
      <c r="G5169" t="s">
        <v>214</v>
      </c>
      <c r="H5169" t="s">
        <v>212</v>
      </c>
      <c r="I5169" t="s">
        <v>38</v>
      </c>
      <c r="J5169" t="s">
        <v>39</v>
      </c>
      <c r="K5169" t="s">
        <v>30</v>
      </c>
      <c r="L5169" t="s">
        <v>31</v>
      </c>
      <c r="M5169" t="s">
        <v>140</v>
      </c>
      <c r="N5169">
        <v>319</v>
      </c>
      <c r="O5169">
        <v>3.8818341999999999E-2</v>
      </c>
      <c r="P5169">
        <v>3.9091048000000003E-2</v>
      </c>
      <c r="Q5169" t="str">
        <f t="shared" si="160"/>
        <v>15-24</v>
      </c>
      <c r="R5169" t="str">
        <f t="shared" si="161"/>
        <v>[ZCjuwgaMB9u]|15-24|Female|PMTCT_STAT_SUBNAT.N.New.Neg.T_1|CY2024Q3</v>
      </c>
    </row>
    <row r="5170" spans="4:18" x14ac:dyDescent="0.2">
      <c r="D5170" t="s">
        <v>69</v>
      </c>
      <c r="E5170" t="s">
        <v>70</v>
      </c>
      <c r="F5170" t="s">
        <v>71</v>
      </c>
      <c r="G5170" t="s">
        <v>214</v>
      </c>
      <c r="H5170" t="s">
        <v>212</v>
      </c>
      <c r="I5170" t="s">
        <v>41</v>
      </c>
      <c r="J5170" t="s">
        <v>42</v>
      </c>
      <c r="K5170" t="s">
        <v>30</v>
      </c>
      <c r="L5170" t="s">
        <v>31</v>
      </c>
      <c r="M5170" t="s">
        <v>140</v>
      </c>
      <c r="N5170">
        <v>223</v>
      </c>
      <c r="O5170">
        <v>3.9307346999999999E-2</v>
      </c>
      <c r="P5170">
        <v>3.9091048000000003E-2</v>
      </c>
      <c r="Q5170" t="str">
        <f t="shared" si="160"/>
        <v>25-34</v>
      </c>
      <c r="R5170" t="str">
        <f t="shared" si="161"/>
        <v>[ZCjuwgaMB9u]|25-34|Female|PMTCT_STAT_SUBNAT.N.New.Neg.T_1|CY2024Q3</v>
      </c>
    </row>
    <row r="5171" spans="4:18" x14ac:dyDescent="0.2">
      <c r="D5171" t="s">
        <v>69</v>
      </c>
      <c r="E5171" t="s">
        <v>70</v>
      </c>
      <c r="F5171" t="s">
        <v>71</v>
      </c>
      <c r="G5171" t="s">
        <v>214</v>
      </c>
      <c r="H5171" t="s">
        <v>212</v>
      </c>
      <c r="I5171" t="s">
        <v>43</v>
      </c>
      <c r="J5171" t="s">
        <v>44</v>
      </c>
      <c r="K5171" t="s">
        <v>30</v>
      </c>
      <c r="L5171" t="s">
        <v>31</v>
      </c>
      <c r="M5171" t="s">
        <v>140</v>
      </c>
      <c r="N5171">
        <v>79</v>
      </c>
      <c r="O5171">
        <v>4.0938740000000001E-2</v>
      </c>
      <c r="P5171">
        <v>3.9091048000000003E-2</v>
      </c>
      <c r="Q5171" t="str">
        <f t="shared" si="160"/>
        <v>35-49</v>
      </c>
      <c r="R5171" t="str">
        <f t="shared" si="161"/>
        <v>[ZCjuwgaMB9u]|35-49|Female|PMTCT_STAT_SUBNAT.N.New.Neg.T_1|CY2024Q3</v>
      </c>
    </row>
    <row r="5172" spans="4:18" x14ac:dyDescent="0.2">
      <c r="D5172" t="s">
        <v>72</v>
      </c>
      <c r="E5172" t="s">
        <v>73</v>
      </c>
      <c r="F5172" t="s">
        <v>74</v>
      </c>
      <c r="G5172" t="s">
        <v>214</v>
      </c>
      <c r="H5172" t="s">
        <v>212</v>
      </c>
      <c r="I5172" t="s">
        <v>38</v>
      </c>
      <c r="J5172" t="s">
        <v>39</v>
      </c>
      <c r="K5172" t="s">
        <v>30</v>
      </c>
      <c r="L5172" t="s">
        <v>31</v>
      </c>
      <c r="M5172" t="s">
        <v>140</v>
      </c>
      <c r="N5172">
        <v>12703</v>
      </c>
      <c r="O5172">
        <v>6.2749750000000003E-3</v>
      </c>
      <c r="P5172">
        <v>6.2927820000000002E-3</v>
      </c>
      <c r="Q5172" t="str">
        <f t="shared" si="160"/>
        <v>15-24</v>
      </c>
      <c r="R5172" t="str">
        <f t="shared" si="161"/>
        <v>[JQKLKuVuY61]|15-24|Female|PMTCT_STAT_SUBNAT.N.New.Neg.T_1|CY2024Q3</v>
      </c>
    </row>
    <row r="5173" spans="4:18" x14ac:dyDescent="0.2">
      <c r="D5173" t="s">
        <v>72</v>
      </c>
      <c r="E5173" t="s">
        <v>73</v>
      </c>
      <c r="F5173" t="s">
        <v>74</v>
      </c>
      <c r="G5173" t="s">
        <v>214</v>
      </c>
      <c r="H5173" t="s">
        <v>212</v>
      </c>
      <c r="I5173" t="s">
        <v>41</v>
      </c>
      <c r="J5173" t="s">
        <v>42</v>
      </c>
      <c r="K5173" t="s">
        <v>30</v>
      </c>
      <c r="L5173" t="s">
        <v>31</v>
      </c>
      <c r="M5173" t="s">
        <v>140</v>
      </c>
      <c r="N5173">
        <v>7998</v>
      </c>
      <c r="O5173">
        <v>6.4122700000000003E-3</v>
      </c>
      <c r="P5173">
        <v>6.2927820000000002E-3</v>
      </c>
      <c r="Q5173" t="str">
        <f t="shared" si="160"/>
        <v>25-34</v>
      </c>
      <c r="R5173" t="str">
        <f t="shared" si="161"/>
        <v>[JQKLKuVuY61]|25-34|Female|PMTCT_STAT_SUBNAT.N.New.Neg.T_1|CY2024Q3</v>
      </c>
    </row>
    <row r="5174" spans="4:18" x14ac:dyDescent="0.2">
      <c r="D5174" t="s">
        <v>72</v>
      </c>
      <c r="E5174" t="s">
        <v>73</v>
      </c>
      <c r="F5174" t="s">
        <v>74</v>
      </c>
      <c r="G5174" t="s">
        <v>214</v>
      </c>
      <c r="H5174" t="s">
        <v>212</v>
      </c>
      <c r="I5174" t="s">
        <v>43</v>
      </c>
      <c r="J5174" t="s">
        <v>44</v>
      </c>
      <c r="K5174" t="s">
        <v>30</v>
      </c>
      <c r="L5174" t="s">
        <v>31</v>
      </c>
      <c r="M5174" t="s">
        <v>140</v>
      </c>
      <c r="N5174">
        <v>2978</v>
      </c>
      <c r="O5174">
        <v>6.7410839999999996E-3</v>
      </c>
      <c r="P5174">
        <v>6.2927820000000002E-3</v>
      </c>
      <c r="Q5174" t="str">
        <f t="shared" si="160"/>
        <v>35-49</v>
      </c>
      <c r="R5174" t="str">
        <f t="shared" si="161"/>
        <v>[JQKLKuVuY61]|35-49|Female|PMTCT_STAT_SUBNAT.N.New.Neg.T_1|CY2024Q3</v>
      </c>
    </row>
    <row r="5175" spans="4:18" x14ac:dyDescent="0.2">
      <c r="D5175" t="s">
        <v>75</v>
      </c>
      <c r="E5175" t="s">
        <v>76</v>
      </c>
      <c r="F5175" t="s">
        <v>77</v>
      </c>
      <c r="G5175" t="s">
        <v>214</v>
      </c>
      <c r="H5175" t="s">
        <v>212</v>
      </c>
      <c r="I5175" t="s">
        <v>38</v>
      </c>
      <c r="J5175" t="s">
        <v>39</v>
      </c>
      <c r="K5175" t="s">
        <v>30</v>
      </c>
      <c r="L5175" t="s">
        <v>31</v>
      </c>
      <c r="M5175" t="s">
        <v>140</v>
      </c>
      <c r="N5175">
        <v>8257</v>
      </c>
      <c r="O5175">
        <v>7.9787490000000003E-3</v>
      </c>
      <c r="P5175">
        <v>7.9961890000000008E-3</v>
      </c>
      <c r="Q5175" t="str">
        <f t="shared" si="160"/>
        <v>15-24</v>
      </c>
      <c r="R5175" t="str">
        <f t="shared" si="161"/>
        <v>[YCKiBAp8QAg]|15-24|Female|PMTCT_STAT_SUBNAT.N.New.Neg.T_1|CY2024Q3</v>
      </c>
    </row>
    <row r="5176" spans="4:18" x14ac:dyDescent="0.2">
      <c r="D5176" t="s">
        <v>75</v>
      </c>
      <c r="E5176" t="s">
        <v>76</v>
      </c>
      <c r="F5176" t="s">
        <v>77</v>
      </c>
      <c r="G5176" t="s">
        <v>214</v>
      </c>
      <c r="H5176" t="s">
        <v>212</v>
      </c>
      <c r="I5176" t="s">
        <v>41</v>
      </c>
      <c r="J5176" t="s">
        <v>42</v>
      </c>
      <c r="K5176" t="s">
        <v>30</v>
      </c>
      <c r="L5176" t="s">
        <v>31</v>
      </c>
      <c r="M5176" t="s">
        <v>140</v>
      </c>
      <c r="N5176">
        <v>5118</v>
      </c>
      <c r="O5176">
        <v>8.0389350000000005E-3</v>
      </c>
      <c r="P5176">
        <v>7.9961890000000008E-3</v>
      </c>
      <c r="Q5176" t="str">
        <f t="shared" si="160"/>
        <v>25-34</v>
      </c>
      <c r="R5176" t="str">
        <f t="shared" si="161"/>
        <v>[YCKiBAp8QAg]|25-34|Female|PMTCT_STAT_SUBNAT.N.New.Neg.T_1|CY2024Q3</v>
      </c>
    </row>
    <row r="5177" spans="4:18" x14ac:dyDescent="0.2">
      <c r="D5177" t="s">
        <v>75</v>
      </c>
      <c r="E5177" t="s">
        <v>76</v>
      </c>
      <c r="F5177" t="s">
        <v>77</v>
      </c>
      <c r="G5177" t="s">
        <v>214</v>
      </c>
      <c r="H5177" t="s">
        <v>212</v>
      </c>
      <c r="I5177" t="s">
        <v>43</v>
      </c>
      <c r="J5177" t="s">
        <v>44</v>
      </c>
      <c r="K5177" t="s">
        <v>30</v>
      </c>
      <c r="L5177" t="s">
        <v>31</v>
      </c>
      <c r="M5177" t="s">
        <v>140</v>
      </c>
      <c r="N5177">
        <v>1817</v>
      </c>
      <c r="O5177">
        <v>8.7976410000000001E-3</v>
      </c>
      <c r="P5177">
        <v>7.9961890000000008E-3</v>
      </c>
      <c r="Q5177" t="str">
        <f t="shared" si="160"/>
        <v>35-49</v>
      </c>
      <c r="R5177" t="str">
        <f t="shared" si="161"/>
        <v>[YCKiBAp8QAg]|35-49|Female|PMTCT_STAT_SUBNAT.N.New.Neg.T_1|CY2024Q3</v>
      </c>
    </row>
    <row r="5178" spans="4:18" x14ac:dyDescent="0.2">
      <c r="D5178" t="s">
        <v>78</v>
      </c>
      <c r="E5178" t="s">
        <v>79</v>
      </c>
      <c r="F5178" t="s">
        <v>80</v>
      </c>
      <c r="G5178" t="s">
        <v>214</v>
      </c>
      <c r="H5178" t="s">
        <v>212</v>
      </c>
      <c r="I5178" t="s">
        <v>38</v>
      </c>
      <c r="J5178" t="s">
        <v>39</v>
      </c>
      <c r="K5178" t="s">
        <v>30</v>
      </c>
      <c r="L5178" t="s">
        <v>31</v>
      </c>
      <c r="M5178" t="s">
        <v>140</v>
      </c>
      <c r="N5178">
        <v>4669</v>
      </c>
      <c r="O5178">
        <v>1.0576976E-2</v>
      </c>
      <c r="P5178">
        <v>1.0601503999999999E-2</v>
      </c>
      <c r="Q5178" t="str">
        <f t="shared" si="160"/>
        <v>15-24</v>
      </c>
      <c r="R5178" t="str">
        <f t="shared" si="161"/>
        <v>[fiRkU6gEjLz]|15-24|Female|PMTCT_STAT_SUBNAT.N.New.Neg.T_1|CY2024Q3</v>
      </c>
    </row>
    <row r="5179" spans="4:18" x14ac:dyDescent="0.2">
      <c r="D5179" t="s">
        <v>78</v>
      </c>
      <c r="E5179" t="s">
        <v>79</v>
      </c>
      <c r="F5179" t="s">
        <v>80</v>
      </c>
      <c r="G5179" t="s">
        <v>214</v>
      </c>
      <c r="H5179" t="s">
        <v>212</v>
      </c>
      <c r="I5179" t="s">
        <v>41</v>
      </c>
      <c r="J5179" t="s">
        <v>42</v>
      </c>
      <c r="K5179" t="s">
        <v>30</v>
      </c>
      <c r="L5179" t="s">
        <v>31</v>
      </c>
      <c r="M5179" t="s">
        <v>140</v>
      </c>
      <c r="N5179">
        <v>3016</v>
      </c>
      <c r="O5179">
        <v>1.0656667999999999E-2</v>
      </c>
      <c r="P5179">
        <v>1.0601503999999999E-2</v>
      </c>
      <c r="Q5179" t="str">
        <f t="shared" si="160"/>
        <v>25-34</v>
      </c>
      <c r="R5179" t="str">
        <f t="shared" si="161"/>
        <v>[fiRkU6gEjLz]|25-34|Female|PMTCT_STAT_SUBNAT.N.New.Neg.T_1|CY2024Q3</v>
      </c>
    </row>
    <row r="5180" spans="4:18" x14ac:dyDescent="0.2">
      <c r="D5180" t="s">
        <v>78</v>
      </c>
      <c r="E5180" t="s">
        <v>79</v>
      </c>
      <c r="F5180" t="s">
        <v>80</v>
      </c>
      <c r="G5180" t="s">
        <v>214</v>
      </c>
      <c r="H5180" t="s">
        <v>212</v>
      </c>
      <c r="I5180" t="s">
        <v>43</v>
      </c>
      <c r="J5180" t="s">
        <v>44</v>
      </c>
      <c r="K5180" t="s">
        <v>30</v>
      </c>
      <c r="L5180" t="s">
        <v>31</v>
      </c>
      <c r="M5180" t="s">
        <v>140</v>
      </c>
      <c r="N5180">
        <v>1110</v>
      </c>
      <c r="O5180">
        <v>1.0763491E-2</v>
      </c>
      <c r="P5180">
        <v>1.0601503999999999E-2</v>
      </c>
      <c r="Q5180" t="str">
        <f t="shared" si="160"/>
        <v>35-49</v>
      </c>
      <c r="R5180" t="str">
        <f t="shared" si="161"/>
        <v>[fiRkU6gEjLz]|35-49|Female|PMTCT_STAT_SUBNAT.N.New.Neg.T_1|CY2024Q3</v>
      </c>
    </row>
    <row r="5181" spans="4:18" x14ac:dyDescent="0.2">
      <c r="D5181" t="s">
        <v>81</v>
      </c>
      <c r="E5181" t="s">
        <v>82</v>
      </c>
      <c r="F5181" t="s">
        <v>83</v>
      </c>
      <c r="G5181" t="s">
        <v>214</v>
      </c>
      <c r="H5181" t="s">
        <v>212</v>
      </c>
      <c r="I5181" t="s">
        <v>38</v>
      </c>
      <c r="J5181" t="s">
        <v>39</v>
      </c>
      <c r="K5181" t="s">
        <v>30</v>
      </c>
      <c r="L5181" t="s">
        <v>31</v>
      </c>
      <c r="M5181" t="s">
        <v>140</v>
      </c>
      <c r="N5181">
        <v>8876</v>
      </c>
      <c r="O5181">
        <v>7.4310000000000001E-3</v>
      </c>
      <c r="P5181">
        <v>7.4370729999999998E-3</v>
      </c>
      <c r="Q5181" t="str">
        <f t="shared" si="160"/>
        <v>15-24</v>
      </c>
      <c r="R5181" t="str">
        <f t="shared" si="161"/>
        <v>[zphK9WV8JB4]|15-24|Female|PMTCT_STAT_SUBNAT.N.New.Neg.T_1|CY2024Q3</v>
      </c>
    </row>
    <row r="5182" spans="4:18" x14ac:dyDescent="0.2">
      <c r="D5182" t="s">
        <v>81</v>
      </c>
      <c r="E5182" t="s">
        <v>82</v>
      </c>
      <c r="F5182" t="s">
        <v>83</v>
      </c>
      <c r="G5182" t="s">
        <v>214</v>
      </c>
      <c r="H5182" t="s">
        <v>212</v>
      </c>
      <c r="I5182" t="s">
        <v>41</v>
      </c>
      <c r="J5182" t="s">
        <v>42</v>
      </c>
      <c r="K5182" t="s">
        <v>30</v>
      </c>
      <c r="L5182" t="s">
        <v>31</v>
      </c>
      <c r="M5182" t="s">
        <v>140</v>
      </c>
      <c r="N5182">
        <v>5876</v>
      </c>
      <c r="O5182">
        <v>7.4634130000000003E-3</v>
      </c>
      <c r="P5182">
        <v>7.4370729999999998E-3</v>
      </c>
      <c r="Q5182" t="str">
        <f t="shared" si="160"/>
        <v>25-34</v>
      </c>
      <c r="R5182" t="str">
        <f t="shared" si="161"/>
        <v>[zphK9WV8JB4]|25-34|Female|PMTCT_STAT_SUBNAT.N.New.Neg.T_1|CY2024Q3</v>
      </c>
    </row>
    <row r="5183" spans="4:18" x14ac:dyDescent="0.2">
      <c r="D5183" t="s">
        <v>81</v>
      </c>
      <c r="E5183" t="s">
        <v>82</v>
      </c>
      <c r="F5183" t="s">
        <v>83</v>
      </c>
      <c r="G5183" t="s">
        <v>214</v>
      </c>
      <c r="H5183" t="s">
        <v>212</v>
      </c>
      <c r="I5183" t="s">
        <v>43</v>
      </c>
      <c r="J5183" t="s">
        <v>44</v>
      </c>
      <c r="K5183" t="s">
        <v>30</v>
      </c>
      <c r="L5183" t="s">
        <v>31</v>
      </c>
      <c r="M5183" t="s">
        <v>140</v>
      </c>
      <c r="N5183">
        <v>2158</v>
      </c>
      <c r="O5183">
        <v>7.736176E-3</v>
      </c>
      <c r="P5183">
        <v>7.4370729999999998E-3</v>
      </c>
      <c r="Q5183" t="str">
        <f t="shared" si="160"/>
        <v>35-49</v>
      </c>
      <c r="R5183" t="str">
        <f t="shared" si="161"/>
        <v>[zphK9WV8JB4]|35-49|Female|PMTCT_STAT_SUBNAT.N.New.Neg.T_1|CY2024Q3</v>
      </c>
    </row>
    <row r="5184" spans="4:18" x14ac:dyDescent="0.2">
      <c r="D5184" t="s">
        <v>84</v>
      </c>
      <c r="E5184" t="s">
        <v>85</v>
      </c>
      <c r="F5184" t="s">
        <v>86</v>
      </c>
      <c r="G5184" t="s">
        <v>214</v>
      </c>
      <c r="H5184" t="s">
        <v>212</v>
      </c>
      <c r="I5184" t="s">
        <v>38</v>
      </c>
      <c r="J5184" t="s">
        <v>39</v>
      </c>
      <c r="K5184" t="s">
        <v>30</v>
      </c>
      <c r="L5184" t="s">
        <v>31</v>
      </c>
      <c r="M5184" t="s">
        <v>140</v>
      </c>
      <c r="N5184">
        <v>8469</v>
      </c>
      <c r="O5184">
        <v>7.8356659999999998E-3</v>
      </c>
      <c r="P5184">
        <v>7.89663E-3</v>
      </c>
      <c r="Q5184" t="str">
        <f t="shared" si="160"/>
        <v>15-24</v>
      </c>
      <c r="R5184" t="str">
        <f t="shared" si="161"/>
        <v>[msW2zpIN7up]|15-24|Female|PMTCT_STAT_SUBNAT.N.New.Neg.T_1|CY2024Q3</v>
      </c>
    </row>
    <row r="5185" spans="4:18" x14ac:dyDescent="0.2">
      <c r="D5185" t="s">
        <v>84</v>
      </c>
      <c r="E5185" t="s">
        <v>85</v>
      </c>
      <c r="F5185" t="s">
        <v>86</v>
      </c>
      <c r="G5185" t="s">
        <v>214</v>
      </c>
      <c r="H5185" t="s">
        <v>212</v>
      </c>
      <c r="I5185" t="s">
        <v>41</v>
      </c>
      <c r="J5185" t="s">
        <v>42</v>
      </c>
      <c r="K5185" t="s">
        <v>30</v>
      </c>
      <c r="L5185" t="s">
        <v>31</v>
      </c>
      <c r="M5185" t="s">
        <v>140</v>
      </c>
      <c r="N5185">
        <v>5467</v>
      </c>
      <c r="O5185">
        <v>8.0726029999999994E-3</v>
      </c>
      <c r="P5185">
        <v>7.89663E-3</v>
      </c>
      <c r="Q5185" t="str">
        <f t="shared" si="160"/>
        <v>25-34</v>
      </c>
      <c r="R5185" t="str">
        <f t="shared" si="161"/>
        <v>[msW2zpIN7up]|25-34|Female|PMTCT_STAT_SUBNAT.N.New.Neg.T_1|CY2024Q3</v>
      </c>
    </row>
    <row r="5186" spans="4:18" x14ac:dyDescent="0.2">
      <c r="D5186" t="s">
        <v>84</v>
      </c>
      <c r="E5186" t="s">
        <v>85</v>
      </c>
      <c r="F5186" t="s">
        <v>86</v>
      </c>
      <c r="G5186" t="s">
        <v>214</v>
      </c>
      <c r="H5186" t="s">
        <v>212</v>
      </c>
      <c r="I5186" t="s">
        <v>43</v>
      </c>
      <c r="J5186" t="s">
        <v>44</v>
      </c>
      <c r="K5186" t="s">
        <v>30</v>
      </c>
      <c r="L5186" t="s">
        <v>31</v>
      </c>
      <c r="M5186" t="s">
        <v>140</v>
      </c>
      <c r="N5186">
        <v>1904</v>
      </c>
      <c r="O5186">
        <v>9.0434409999999993E-3</v>
      </c>
      <c r="P5186">
        <v>7.89663E-3</v>
      </c>
      <c r="Q5186" t="str">
        <f t="shared" si="160"/>
        <v>35-49</v>
      </c>
      <c r="R5186" t="str">
        <f t="shared" si="161"/>
        <v>[msW2zpIN7up]|35-49|Female|PMTCT_STAT_SUBNAT.N.New.Neg.T_1|CY2024Q3</v>
      </c>
    </row>
    <row r="5187" spans="4:18" x14ac:dyDescent="0.2">
      <c r="D5187" t="s">
        <v>87</v>
      </c>
      <c r="E5187" t="s">
        <v>88</v>
      </c>
      <c r="F5187" t="s">
        <v>89</v>
      </c>
      <c r="G5187" t="s">
        <v>214</v>
      </c>
      <c r="H5187" t="s">
        <v>212</v>
      </c>
      <c r="I5187" t="s">
        <v>38</v>
      </c>
      <c r="J5187" t="s">
        <v>39</v>
      </c>
      <c r="K5187" t="s">
        <v>30</v>
      </c>
      <c r="L5187" t="s">
        <v>31</v>
      </c>
      <c r="M5187" t="s">
        <v>140</v>
      </c>
      <c r="N5187">
        <v>38411</v>
      </c>
      <c r="O5187">
        <v>3.7916780000000001E-3</v>
      </c>
      <c r="P5187">
        <v>3.7326999999999998E-3</v>
      </c>
      <c r="Q5187" t="str">
        <f t="shared" ref="Q5187:Q5250" si="162">SUBSTITUTE(SUBSTITUTE($I5187,CHAR(61),""),CHAR(34),"")</f>
        <v>15-24</v>
      </c>
      <c r="R5187" t="str">
        <f t="shared" ref="R5187:R5250" si="163">IF($D5187&lt;&gt;"","["&amp;$E5187&amp;"]"&amp;"|"&amp;$Q5187&amp;"|"&amp;$K5187&amp;"|"&amp;$G5187&amp;"|"&amp;IF($G5187="TX_CURR_SUBNAT.R","CY2023Q4",$M5187),"")</f>
        <v>[ScR9iFKAasW]|15-24|Female|PMTCT_STAT_SUBNAT.N.New.Neg.T_1|CY2024Q3</v>
      </c>
    </row>
    <row r="5188" spans="4:18" x14ac:dyDescent="0.2">
      <c r="D5188" t="s">
        <v>87</v>
      </c>
      <c r="E5188" t="s">
        <v>88</v>
      </c>
      <c r="F5188" t="s">
        <v>89</v>
      </c>
      <c r="G5188" t="s">
        <v>214</v>
      </c>
      <c r="H5188" t="s">
        <v>212</v>
      </c>
      <c r="I5188" t="s">
        <v>41</v>
      </c>
      <c r="J5188" t="s">
        <v>42</v>
      </c>
      <c r="K5188" t="s">
        <v>30</v>
      </c>
      <c r="L5188" t="s">
        <v>31</v>
      </c>
      <c r="M5188" t="s">
        <v>140</v>
      </c>
      <c r="N5188">
        <v>26161</v>
      </c>
      <c r="O5188">
        <v>3.9469029999999999E-3</v>
      </c>
      <c r="P5188">
        <v>3.7326999999999998E-3</v>
      </c>
      <c r="Q5188" t="str">
        <f t="shared" si="162"/>
        <v>25-34</v>
      </c>
      <c r="R5188" t="str">
        <f t="shared" si="163"/>
        <v>[ScR9iFKAasW]|25-34|Female|PMTCT_STAT_SUBNAT.N.New.Neg.T_1|CY2024Q3</v>
      </c>
    </row>
    <row r="5189" spans="4:18" x14ac:dyDescent="0.2">
      <c r="D5189" t="s">
        <v>87</v>
      </c>
      <c r="E5189" t="s">
        <v>88</v>
      </c>
      <c r="F5189" t="s">
        <v>89</v>
      </c>
      <c r="G5189" t="s">
        <v>214</v>
      </c>
      <c r="H5189" t="s">
        <v>212</v>
      </c>
      <c r="I5189" t="s">
        <v>43</v>
      </c>
      <c r="J5189" t="s">
        <v>44</v>
      </c>
      <c r="K5189" t="s">
        <v>30</v>
      </c>
      <c r="L5189" t="s">
        <v>31</v>
      </c>
      <c r="M5189" t="s">
        <v>140</v>
      </c>
      <c r="N5189">
        <v>8945</v>
      </c>
      <c r="O5189">
        <v>5.1677789999999999E-3</v>
      </c>
      <c r="P5189">
        <v>3.7326999999999998E-3</v>
      </c>
      <c r="Q5189" t="str">
        <f t="shared" si="162"/>
        <v>35-49</v>
      </c>
      <c r="R5189" t="str">
        <f t="shared" si="163"/>
        <v>[ScR9iFKAasW]|35-49|Female|PMTCT_STAT_SUBNAT.N.New.Neg.T_1|CY2024Q3</v>
      </c>
    </row>
    <row r="5190" spans="4:18" x14ac:dyDescent="0.2">
      <c r="D5190" t="s">
        <v>90</v>
      </c>
      <c r="E5190" t="s">
        <v>91</v>
      </c>
      <c r="F5190" t="s">
        <v>92</v>
      </c>
      <c r="G5190" t="s">
        <v>214</v>
      </c>
      <c r="H5190" t="s">
        <v>212</v>
      </c>
      <c r="I5190" t="s">
        <v>38</v>
      </c>
      <c r="J5190" t="s">
        <v>39</v>
      </c>
      <c r="K5190" t="s">
        <v>30</v>
      </c>
      <c r="L5190" t="s">
        <v>31</v>
      </c>
      <c r="M5190" t="s">
        <v>140</v>
      </c>
      <c r="N5190">
        <v>9300</v>
      </c>
      <c r="O5190">
        <v>7.4740960000000004E-3</v>
      </c>
      <c r="P5190">
        <v>7.4992940000000001E-3</v>
      </c>
      <c r="Q5190" t="str">
        <f t="shared" si="162"/>
        <v>15-24</v>
      </c>
      <c r="R5190" t="str">
        <f t="shared" si="163"/>
        <v>[kxuuIFpOXyO]|15-24|Female|PMTCT_STAT_SUBNAT.N.New.Neg.T_1|CY2024Q3</v>
      </c>
    </row>
    <row r="5191" spans="4:18" x14ac:dyDescent="0.2">
      <c r="D5191" t="s">
        <v>90</v>
      </c>
      <c r="E5191" t="s">
        <v>91</v>
      </c>
      <c r="F5191" t="s">
        <v>92</v>
      </c>
      <c r="G5191" t="s">
        <v>214</v>
      </c>
      <c r="H5191" t="s">
        <v>212</v>
      </c>
      <c r="I5191" t="s">
        <v>41</v>
      </c>
      <c r="J5191" t="s">
        <v>42</v>
      </c>
      <c r="K5191" t="s">
        <v>30</v>
      </c>
      <c r="L5191" t="s">
        <v>31</v>
      </c>
      <c r="M5191" t="s">
        <v>140</v>
      </c>
      <c r="N5191">
        <v>6119</v>
      </c>
      <c r="O5191">
        <v>7.5445909999999998E-3</v>
      </c>
      <c r="P5191">
        <v>7.4992940000000001E-3</v>
      </c>
      <c r="Q5191" t="str">
        <f t="shared" si="162"/>
        <v>25-34</v>
      </c>
      <c r="R5191" t="str">
        <f t="shared" si="163"/>
        <v>[kxuuIFpOXyO]|25-34|Female|PMTCT_STAT_SUBNAT.N.New.Neg.T_1|CY2024Q3</v>
      </c>
    </row>
    <row r="5192" spans="4:18" x14ac:dyDescent="0.2">
      <c r="D5192" t="s">
        <v>90</v>
      </c>
      <c r="E5192" t="s">
        <v>91</v>
      </c>
      <c r="F5192" t="s">
        <v>92</v>
      </c>
      <c r="G5192" t="s">
        <v>214</v>
      </c>
      <c r="H5192" t="s">
        <v>212</v>
      </c>
      <c r="I5192" t="s">
        <v>43</v>
      </c>
      <c r="J5192" t="s">
        <v>44</v>
      </c>
      <c r="K5192" t="s">
        <v>30</v>
      </c>
      <c r="L5192" t="s">
        <v>31</v>
      </c>
      <c r="M5192" t="s">
        <v>140</v>
      </c>
      <c r="N5192">
        <v>2139</v>
      </c>
      <c r="O5192">
        <v>8.2830990000000004E-3</v>
      </c>
      <c r="P5192">
        <v>7.4992940000000001E-3</v>
      </c>
      <c r="Q5192" t="str">
        <f t="shared" si="162"/>
        <v>35-49</v>
      </c>
      <c r="R5192" t="str">
        <f t="shared" si="163"/>
        <v>[kxuuIFpOXyO]|35-49|Female|PMTCT_STAT_SUBNAT.N.New.Neg.T_1|CY2024Q3</v>
      </c>
    </row>
    <row r="5193" spans="4:18" x14ac:dyDescent="0.2">
      <c r="D5193" t="s">
        <v>93</v>
      </c>
      <c r="E5193" t="s">
        <v>94</v>
      </c>
      <c r="F5193" t="s">
        <v>95</v>
      </c>
      <c r="G5193" t="s">
        <v>214</v>
      </c>
      <c r="H5193" t="s">
        <v>212</v>
      </c>
      <c r="I5193" t="s">
        <v>38</v>
      </c>
      <c r="J5193" t="s">
        <v>39</v>
      </c>
      <c r="K5193" t="s">
        <v>30</v>
      </c>
      <c r="L5193" t="s">
        <v>31</v>
      </c>
      <c r="M5193" t="s">
        <v>140</v>
      </c>
      <c r="N5193">
        <v>12174</v>
      </c>
      <c r="O5193">
        <v>6.6167109999999999E-3</v>
      </c>
      <c r="P5193">
        <v>6.6328489999999997E-3</v>
      </c>
      <c r="Q5193" t="str">
        <f t="shared" si="162"/>
        <v>15-24</v>
      </c>
      <c r="R5193" t="str">
        <f t="shared" si="163"/>
        <v>[PekKUkKHAzY]|15-24|Female|PMTCT_STAT_SUBNAT.N.New.Neg.T_1|CY2024Q3</v>
      </c>
    </row>
    <row r="5194" spans="4:18" x14ac:dyDescent="0.2">
      <c r="D5194" t="s">
        <v>93</v>
      </c>
      <c r="E5194" t="s">
        <v>94</v>
      </c>
      <c r="F5194" t="s">
        <v>95</v>
      </c>
      <c r="G5194" t="s">
        <v>214</v>
      </c>
      <c r="H5194" t="s">
        <v>212</v>
      </c>
      <c r="I5194" t="s">
        <v>41</v>
      </c>
      <c r="J5194" t="s">
        <v>42</v>
      </c>
      <c r="K5194" t="s">
        <v>30</v>
      </c>
      <c r="L5194" t="s">
        <v>31</v>
      </c>
      <c r="M5194" t="s">
        <v>140</v>
      </c>
      <c r="N5194">
        <v>8035</v>
      </c>
      <c r="O5194">
        <v>6.6772250000000002E-3</v>
      </c>
      <c r="P5194">
        <v>6.6328489999999997E-3</v>
      </c>
      <c r="Q5194" t="str">
        <f t="shared" si="162"/>
        <v>25-34</v>
      </c>
      <c r="R5194" t="str">
        <f t="shared" si="163"/>
        <v>[PekKUkKHAzY]|25-34|Female|PMTCT_STAT_SUBNAT.N.New.Neg.T_1|CY2024Q3</v>
      </c>
    </row>
    <row r="5195" spans="4:18" x14ac:dyDescent="0.2">
      <c r="D5195" t="s">
        <v>93</v>
      </c>
      <c r="E5195" t="s">
        <v>94</v>
      </c>
      <c r="F5195" t="s">
        <v>95</v>
      </c>
      <c r="G5195" t="s">
        <v>214</v>
      </c>
      <c r="H5195" t="s">
        <v>212</v>
      </c>
      <c r="I5195" t="s">
        <v>43</v>
      </c>
      <c r="J5195" t="s">
        <v>44</v>
      </c>
      <c r="K5195" t="s">
        <v>30</v>
      </c>
      <c r="L5195" t="s">
        <v>31</v>
      </c>
      <c r="M5195" t="s">
        <v>140</v>
      </c>
      <c r="N5195">
        <v>2937</v>
      </c>
      <c r="O5195">
        <v>7.2602609999999996E-3</v>
      </c>
      <c r="P5195">
        <v>6.6328489999999997E-3</v>
      </c>
      <c r="Q5195" t="str">
        <f t="shared" si="162"/>
        <v>35-49</v>
      </c>
      <c r="R5195" t="str">
        <f t="shared" si="163"/>
        <v>[PekKUkKHAzY]|35-49|Female|PMTCT_STAT_SUBNAT.N.New.Neg.T_1|CY2024Q3</v>
      </c>
    </row>
    <row r="5196" spans="4:18" x14ac:dyDescent="0.2">
      <c r="D5196" t="s">
        <v>96</v>
      </c>
      <c r="E5196" t="s">
        <v>97</v>
      </c>
      <c r="F5196" t="s">
        <v>98</v>
      </c>
      <c r="G5196" t="s">
        <v>214</v>
      </c>
      <c r="H5196" t="s">
        <v>212</v>
      </c>
      <c r="I5196" t="s">
        <v>38</v>
      </c>
      <c r="J5196" t="s">
        <v>39</v>
      </c>
      <c r="K5196" t="s">
        <v>30</v>
      </c>
      <c r="L5196" t="s">
        <v>31</v>
      </c>
      <c r="M5196" t="s">
        <v>140</v>
      </c>
      <c r="N5196">
        <v>10132</v>
      </c>
      <c r="O5196">
        <v>7.1996789999999996E-3</v>
      </c>
      <c r="P5196">
        <v>7.1658099999999999E-3</v>
      </c>
      <c r="Q5196" t="str">
        <f t="shared" si="162"/>
        <v>15-24</v>
      </c>
      <c r="R5196" t="str">
        <f t="shared" si="163"/>
        <v>[am530wpaGvr]|15-24|Female|PMTCT_STAT_SUBNAT.N.New.Neg.T_1|CY2024Q3</v>
      </c>
    </row>
    <row r="5197" spans="4:18" x14ac:dyDescent="0.2">
      <c r="D5197" t="s">
        <v>96</v>
      </c>
      <c r="E5197" t="s">
        <v>97</v>
      </c>
      <c r="F5197" t="s">
        <v>98</v>
      </c>
      <c r="G5197" t="s">
        <v>214</v>
      </c>
      <c r="H5197" t="s">
        <v>212</v>
      </c>
      <c r="I5197" t="s">
        <v>41</v>
      </c>
      <c r="J5197" t="s">
        <v>42</v>
      </c>
      <c r="K5197" t="s">
        <v>30</v>
      </c>
      <c r="L5197" t="s">
        <v>31</v>
      </c>
      <c r="M5197" t="s">
        <v>140</v>
      </c>
      <c r="N5197">
        <v>6269</v>
      </c>
      <c r="O5197">
        <v>7.3564729999999997E-3</v>
      </c>
      <c r="P5197">
        <v>7.1658099999999999E-3</v>
      </c>
      <c r="Q5197" t="str">
        <f t="shared" si="162"/>
        <v>25-34</v>
      </c>
      <c r="R5197" t="str">
        <f t="shared" si="163"/>
        <v>[am530wpaGvr]|25-34|Female|PMTCT_STAT_SUBNAT.N.New.Neg.T_1|CY2024Q3</v>
      </c>
    </row>
    <row r="5198" spans="4:18" x14ac:dyDescent="0.2">
      <c r="D5198" t="s">
        <v>96</v>
      </c>
      <c r="E5198" t="s">
        <v>97</v>
      </c>
      <c r="F5198" t="s">
        <v>98</v>
      </c>
      <c r="G5198" t="s">
        <v>214</v>
      </c>
      <c r="H5198" t="s">
        <v>212</v>
      </c>
      <c r="I5198" t="s">
        <v>43</v>
      </c>
      <c r="J5198" t="s">
        <v>44</v>
      </c>
      <c r="K5198" t="s">
        <v>30</v>
      </c>
      <c r="L5198" t="s">
        <v>31</v>
      </c>
      <c r="M5198" t="s">
        <v>140</v>
      </c>
      <c r="N5198">
        <v>2382</v>
      </c>
      <c r="O5198">
        <v>8.3989700000000004E-3</v>
      </c>
      <c r="P5198">
        <v>7.1658099999999999E-3</v>
      </c>
      <c r="Q5198" t="str">
        <f t="shared" si="162"/>
        <v>35-49</v>
      </c>
      <c r="R5198" t="str">
        <f t="shared" si="163"/>
        <v>[am530wpaGvr]|35-49|Female|PMTCT_STAT_SUBNAT.N.New.Neg.T_1|CY2024Q3</v>
      </c>
    </row>
    <row r="5199" spans="4:18" x14ac:dyDescent="0.2">
      <c r="D5199" t="s">
        <v>99</v>
      </c>
      <c r="E5199" t="s">
        <v>100</v>
      </c>
      <c r="F5199" t="s">
        <v>101</v>
      </c>
      <c r="G5199" t="s">
        <v>214</v>
      </c>
      <c r="H5199" t="s">
        <v>212</v>
      </c>
      <c r="I5199" t="s">
        <v>38</v>
      </c>
      <c r="J5199" t="s">
        <v>39</v>
      </c>
      <c r="K5199" t="s">
        <v>30</v>
      </c>
      <c r="L5199" t="s">
        <v>31</v>
      </c>
      <c r="M5199" t="s">
        <v>140</v>
      </c>
      <c r="N5199">
        <v>23375</v>
      </c>
      <c r="O5199">
        <v>4.7700729999999997E-3</v>
      </c>
      <c r="P5199">
        <v>4.6684459999999997E-3</v>
      </c>
      <c r="Q5199" t="str">
        <f t="shared" si="162"/>
        <v>15-24</v>
      </c>
      <c r="R5199" t="str">
        <f t="shared" si="163"/>
        <v>[lLDyBx5XyUi]|15-24|Female|PMTCT_STAT_SUBNAT.N.New.Neg.T_1|CY2024Q3</v>
      </c>
    </row>
    <row r="5200" spans="4:18" x14ac:dyDescent="0.2">
      <c r="D5200" t="s">
        <v>99</v>
      </c>
      <c r="E5200" t="s">
        <v>100</v>
      </c>
      <c r="F5200" t="s">
        <v>101</v>
      </c>
      <c r="G5200" t="s">
        <v>214</v>
      </c>
      <c r="H5200" t="s">
        <v>212</v>
      </c>
      <c r="I5200" t="s">
        <v>41</v>
      </c>
      <c r="J5200" t="s">
        <v>42</v>
      </c>
      <c r="K5200" t="s">
        <v>30</v>
      </c>
      <c r="L5200" t="s">
        <v>31</v>
      </c>
      <c r="M5200" t="s">
        <v>140</v>
      </c>
      <c r="N5200">
        <v>14479</v>
      </c>
      <c r="O5200">
        <v>4.9990989999999999E-3</v>
      </c>
      <c r="P5200">
        <v>4.6684459999999997E-3</v>
      </c>
      <c r="Q5200" t="str">
        <f t="shared" si="162"/>
        <v>25-34</v>
      </c>
      <c r="R5200" t="str">
        <f t="shared" si="163"/>
        <v>[lLDyBx5XyUi]|25-34|Female|PMTCT_STAT_SUBNAT.N.New.Neg.T_1|CY2024Q3</v>
      </c>
    </row>
    <row r="5201" spans="4:18" x14ac:dyDescent="0.2">
      <c r="D5201" t="s">
        <v>99</v>
      </c>
      <c r="E5201" t="s">
        <v>100</v>
      </c>
      <c r="F5201" t="s">
        <v>101</v>
      </c>
      <c r="G5201" t="s">
        <v>214</v>
      </c>
      <c r="H5201" t="s">
        <v>212</v>
      </c>
      <c r="I5201" t="s">
        <v>43</v>
      </c>
      <c r="J5201" t="s">
        <v>44</v>
      </c>
      <c r="K5201" t="s">
        <v>30</v>
      </c>
      <c r="L5201" t="s">
        <v>31</v>
      </c>
      <c r="M5201" t="s">
        <v>140</v>
      </c>
      <c r="N5201">
        <v>4646</v>
      </c>
      <c r="O5201">
        <v>7.2460529999999997E-3</v>
      </c>
      <c r="P5201">
        <v>4.6684459999999997E-3</v>
      </c>
      <c r="Q5201" t="str">
        <f t="shared" si="162"/>
        <v>35-49</v>
      </c>
      <c r="R5201" t="str">
        <f t="shared" si="163"/>
        <v>[lLDyBx5XyUi]|35-49|Female|PMTCT_STAT_SUBNAT.N.New.Neg.T_1|CY2024Q3</v>
      </c>
    </row>
    <row r="5202" spans="4:18" x14ac:dyDescent="0.2">
      <c r="D5202" t="s">
        <v>102</v>
      </c>
      <c r="E5202" t="s">
        <v>103</v>
      </c>
      <c r="F5202" t="s">
        <v>104</v>
      </c>
      <c r="G5202" t="s">
        <v>214</v>
      </c>
      <c r="H5202" t="s">
        <v>212</v>
      </c>
      <c r="I5202" t="s">
        <v>38</v>
      </c>
      <c r="J5202" t="s">
        <v>39</v>
      </c>
      <c r="K5202" t="s">
        <v>30</v>
      </c>
      <c r="L5202" t="s">
        <v>31</v>
      </c>
      <c r="M5202" t="s">
        <v>140</v>
      </c>
      <c r="N5202">
        <v>14875</v>
      </c>
      <c r="O5202">
        <v>6.0912129999999998E-3</v>
      </c>
      <c r="P5202">
        <v>6.1053519999999997E-3</v>
      </c>
      <c r="Q5202" t="str">
        <f t="shared" si="162"/>
        <v>15-24</v>
      </c>
      <c r="R5202" t="str">
        <f t="shared" si="163"/>
        <v>[TYnMSwzko3z]|15-24|Female|PMTCT_STAT_SUBNAT.N.New.Neg.T_1|CY2024Q3</v>
      </c>
    </row>
    <row r="5203" spans="4:18" x14ac:dyDescent="0.2">
      <c r="D5203" t="s">
        <v>102</v>
      </c>
      <c r="E5203" t="s">
        <v>103</v>
      </c>
      <c r="F5203" t="s">
        <v>104</v>
      </c>
      <c r="G5203" t="s">
        <v>214</v>
      </c>
      <c r="H5203" t="s">
        <v>212</v>
      </c>
      <c r="I5203" t="s">
        <v>41</v>
      </c>
      <c r="J5203" t="s">
        <v>42</v>
      </c>
      <c r="K5203" t="s">
        <v>30</v>
      </c>
      <c r="L5203" t="s">
        <v>31</v>
      </c>
      <c r="M5203" t="s">
        <v>140</v>
      </c>
      <c r="N5203">
        <v>9499</v>
      </c>
      <c r="O5203">
        <v>6.3350209999999997E-3</v>
      </c>
      <c r="P5203">
        <v>6.1053519999999997E-3</v>
      </c>
      <c r="Q5203" t="str">
        <f t="shared" si="162"/>
        <v>25-34</v>
      </c>
      <c r="R5203" t="str">
        <f t="shared" si="163"/>
        <v>[TYnMSwzko3z]|25-34|Female|PMTCT_STAT_SUBNAT.N.New.Neg.T_1|CY2024Q3</v>
      </c>
    </row>
    <row r="5204" spans="4:18" x14ac:dyDescent="0.2">
      <c r="D5204" t="s">
        <v>102</v>
      </c>
      <c r="E5204" t="s">
        <v>103</v>
      </c>
      <c r="F5204" t="s">
        <v>104</v>
      </c>
      <c r="G5204" t="s">
        <v>214</v>
      </c>
      <c r="H5204" t="s">
        <v>212</v>
      </c>
      <c r="I5204" t="s">
        <v>43</v>
      </c>
      <c r="J5204" t="s">
        <v>44</v>
      </c>
      <c r="K5204" t="s">
        <v>30</v>
      </c>
      <c r="L5204" t="s">
        <v>31</v>
      </c>
      <c r="M5204" t="s">
        <v>140</v>
      </c>
      <c r="N5204">
        <v>3145</v>
      </c>
      <c r="O5204">
        <v>7.3195170000000002E-3</v>
      </c>
      <c r="P5204">
        <v>6.1053519999999997E-3</v>
      </c>
      <c r="Q5204" t="str">
        <f t="shared" si="162"/>
        <v>35-49</v>
      </c>
      <c r="R5204" t="str">
        <f t="shared" si="163"/>
        <v>[TYnMSwzko3z]|35-49|Female|PMTCT_STAT_SUBNAT.N.New.Neg.T_1|CY2024Q3</v>
      </c>
    </row>
    <row r="5205" spans="4:18" x14ac:dyDescent="0.2">
      <c r="D5205" t="s">
        <v>105</v>
      </c>
      <c r="E5205" t="s">
        <v>106</v>
      </c>
      <c r="F5205" t="s">
        <v>107</v>
      </c>
      <c r="G5205" t="s">
        <v>214</v>
      </c>
      <c r="H5205" t="s">
        <v>212</v>
      </c>
      <c r="I5205" t="s">
        <v>38</v>
      </c>
      <c r="J5205" t="s">
        <v>39</v>
      </c>
      <c r="K5205" t="s">
        <v>30</v>
      </c>
      <c r="L5205" t="s">
        <v>31</v>
      </c>
      <c r="M5205" t="s">
        <v>140</v>
      </c>
      <c r="N5205">
        <v>13815</v>
      </c>
      <c r="O5205">
        <v>6.3613640000000004E-3</v>
      </c>
      <c r="P5205">
        <v>6.2809069999999996E-3</v>
      </c>
      <c r="Q5205" t="str">
        <f t="shared" si="162"/>
        <v>15-24</v>
      </c>
      <c r="R5205" t="str">
        <f t="shared" si="163"/>
        <v>[fyEoGEPERdI]|15-24|Female|PMTCT_STAT_SUBNAT.N.New.Neg.T_1|CY2024Q3</v>
      </c>
    </row>
    <row r="5206" spans="4:18" x14ac:dyDescent="0.2">
      <c r="D5206" t="s">
        <v>105</v>
      </c>
      <c r="E5206" t="s">
        <v>106</v>
      </c>
      <c r="F5206" t="s">
        <v>107</v>
      </c>
      <c r="G5206" t="s">
        <v>214</v>
      </c>
      <c r="H5206" t="s">
        <v>212</v>
      </c>
      <c r="I5206" t="s">
        <v>41</v>
      </c>
      <c r="J5206" t="s">
        <v>42</v>
      </c>
      <c r="K5206" t="s">
        <v>30</v>
      </c>
      <c r="L5206" t="s">
        <v>31</v>
      </c>
      <c r="M5206" t="s">
        <v>140</v>
      </c>
      <c r="N5206">
        <v>8544</v>
      </c>
      <c r="O5206">
        <v>6.810539E-3</v>
      </c>
      <c r="P5206">
        <v>6.2809069999999996E-3</v>
      </c>
      <c r="Q5206" t="str">
        <f t="shared" si="162"/>
        <v>25-34</v>
      </c>
      <c r="R5206" t="str">
        <f t="shared" si="163"/>
        <v>[fyEoGEPERdI]|25-34|Female|PMTCT_STAT_SUBNAT.N.New.Neg.T_1|CY2024Q3</v>
      </c>
    </row>
    <row r="5207" spans="4:18" x14ac:dyDescent="0.2">
      <c r="D5207" t="s">
        <v>105</v>
      </c>
      <c r="E5207" t="s">
        <v>106</v>
      </c>
      <c r="F5207" t="s">
        <v>107</v>
      </c>
      <c r="G5207" t="s">
        <v>214</v>
      </c>
      <c r="H5207" t="s">
        <v>212</v>
      </c>
      <c r="I5207" t="s">
        <v>43</v>
      </c>
      <c r="J5207" t="s">
        <v>44</v>
      </c>
      <c r="K5207" t="s">
        <v>30</v>
      </c>
      <c r="L5207" t="s">
        <v>31</v>
      </c>
      <c r="M5207" t="s">
        <v>140</v>
      </c>
      <c r="N5207">
        <v>3032</v>
      </c>
      <c r="O5207">
        <v>9.0873629999999993E-3</v>
      </c>
      <c r="P5207">
        <v>6.2809069999999996E-3</v>
      </c>
      <c r="Q5207" t="str">
        <f t="shared" si="162"/>
        <v>35-49</v>
      </c>
      <c r="R5207" t="str">
        <f t="shared" si="163"/>
        <v>[fyEoGEPERdI]|35-49|Female|PMTCT_STAT_SUBNAT.N.New.Neg.T_1|CY2024Q3</v>
      </c>
    </row>
    <row r="5208" spans="4:18" x14ac:dyDescent="0.2">
      <c r="D5208" t="s">
        <v>108</v>
      </c>
      <c r="E5208" t="s">
        <v>109</v>
      </c>
      <c r="F5208" t="s">
        <v>110</v>
      </c>
      <c r="G5208" t="s">
        <v>214</v>
      </c>
      <c r="H5208" t="s">
        <v>212</v>
      </c>
      <c r="I5208" t="s">
        <v>38</v>
      </c>
      <c r="J5208" t="s">
        <v>39</v>
      </c>
      <c r="K5208" t="s">
        <v>30</v>
      </c>
      <c r="L5208" t="s">
        <v>31</v>
      </c>
      <c r="M5208" t="s">
        <v>140</v>
      </c>
      <c r="N5208">
        <v>10351</v>
      </c>
      <c r="O5208">
        <v>7.3852910000000004E-3</v>
      </c>
      <c r="P5208">
        <v>7.3546779999999999E-3</v>
      </c>
      <c r="Q5208" t="str">
        <f t="shared" si="162"/>
        <v>15-24</v>
      </c>
      <c r="R5208" t="str">
        <f t="shared" si="163"/>
        <v>[umc2n1Z4wNv]|15-24|Female|PMTCT_STAT_SUBNAT.N.New.Neg.T_1|CY2024Q3</v>
      </c>
    </row>
    <row r="5209" spans="4:18" x14ac:dyDescent="0.2">
      <c r="D5209" t="s">
        <v>108</v>
      </c>
      <c r="E5209" t="s">
        <v>109</v>
      </c>
      <c r="F5209" t="s">
        <v>110</v>
      </c>
      <c r="G5209" t="s">
        <v>214</v>
      </c>
      <c r="H5209" t="s">
        <v>212</v>
      </c>
      <c r="I5209" t="s">
        <v>41</v>
      </c>
      <c r="J5209" t="s">
        <v>42</v>
      </c>
      <c r="K5209" t="s">
        <v>30</v>
      </c>
      <c r="L5209" t="s">
        <v>31</v>
      </c>
      <c r="M5209" t="s">
        <v>140</v>
      </c>
      <c r="N5209">
        <v>6275</v>
      </c>
      <c r="O5209">
        <v>8.0722369999999995E-3</v>
      </c>
      <c r="P5209">
        <v>7.3546779999999999E-3</v>
      </c>
      <c r="Q5209" t="str">
        <f t="shared" si="162"/>
        <v>25-34</v>
      </c>
      <c r="R5209" t="str">
        <f t="shared" si="163"/>
        <v>[umc2n1Z4wNv]|25-34|Female|PMTCT_STAT_SUBNAT.N.New.Neg.T_1|CY2024Q3</v>
      </c>
    </row>
    <row r="5210" spans="4:18" x14ac:dyDescent="0.2">
      <c r="D5210" t="s">
        <v>108</v>
      </c>
      <c r="E5210" t="s">
        <v>109</v>
      </c>
      <c r="F5210" t="s">
        <v>110</v>
      </c>
      <c r="G5210" t="s">
        <v>214</v>
      </c>
      <c r="H5210" t="s">
        <v>212</v>
      </c>
      <c r="I5210" t="s">
        <v>43</v>
      </c>
      <c r="J5210" t="s">
        <v>44</v>
      </c>
      <c r="K5210" t="s">
        <v>30</v>
      </c>
      <c r="L5210" t="s">
        <v>31</v>
      </c>
      <c r="M5210" t="s">
        <v>140</v>
      </c>
      <c r="N5210">
        <v>2226</v>
      </c>
      <c r="O5210">
        <v>1.1740362000000001E-2</v>
      </c>
      <c r="P5210">
        <v>7.3546779999999999E-3</v>
      </c>
      <c r="Q5210" t="str">
        <f t="shared" si="162"/>
        <v>35-49</v>
      </c>
      <c r="R5210" t="str">
        <f t="shared" si="163"/>
        <v>[umc2n1Z4wNv]|35-49|Female|PMTCT_STAT_SUBNAT.N.New.Neg.T_1|CY2024Q3</v>
      </c>
    </row>
    <row r="5211" spans="4:18" x14ac:dyDescent="0.2">
      <c r="D5211" t="s">
        <v>111</v>
      </c>
      <c r="E5211" t="s">
        <v>112</v>
      </c>
      <c r="F5211" t="s">
        <v>113</v>
      </c>
      <c r="G5211" t="s">
        <v>214</v>
      </c>
      <c r="H5211" t="s">
        <v>212</v>
      </c>
      <c r="I5211" t="s">
        <v>38</v>
      </c>
      <c r="J5211" t="s">
        <v>39</v>
      </c>
      <c r="K5211" t="s">
        <v>30</v>
      </c>
      <c r="L5211" t="s">
        <v>31</v>
      </c>
      <c r="M5211" t="s">
        <v>140</v>
      </c>
      <c r="N5211">
        <v>6107</v>
      </c>
      <c r="O5211">
        <v>9.5380180000000005E-3</v>
      </c>
      <c r="P5211">
        <v>9.536681E-3</v>
      </c>
      <c r="Q5211" t="str">
        <f t="shared" si="162"/>
        <v>15-24</v>
      </c>
      <c r="R5211" t="str">
        <f t="shared" si="163"/>
        <v>[AZyWpGzhcaA]|15-24|Female|PMTCT_STAT_SUBNAT.N.New.Neg.T_1|CY2024Q3</v>
      </c>
    </row>
    <row r="5212" spans="4:18" x14ac:dyDescent="0.2">
      <c r="D5212" t="s">
        <v>111</v>
      </c>
      <c r="E5212" t="s">
        <v>112</v>
      </c>
      <c r="F5212" t="s">
        <v>113</v>
      </c>
      <c r="G5212" t="s">
        <v>214</v>
      </c>
      <c r="H5212" t="s">
        <v>212</v>
      </c>
      <c r="I5212" t="s">
        <v>41</v>
      </c>
      <c r="J5212" t="s">
        <v>42</v>
      </c>
      <c r="K5212" t="s">
        <v>30</v>
      </c>
      <c r="L5212" t="s">
        <v>31</v>
      </c>
      <c r="M5212" t="s">
        <v>140</v>
      </c>
      <c r="N5212">
        <v>3853</v>
      </c>
      <c r="O5212">
        <v>1.0028861E-2</v>
      </c>
      <c r="P5212">
        <v>9.536681E-3</v>
      </c>
      <c r="Q5212" t="str">
        <f t="shared" si="162"/>
        <v>25-34</v>
      </c>
      <c r="R5212" t="str">
        <f t="shared" si="163"/>
        <v>[AZyWpGzhcaA]|25-34|Female|PMTCT_STAT_SUBNAT.N.New.Neg.T_1|CY2024Q3</v>
      </c>
    </row>
    <row r="5213" spans="4:18" x14ac:dyDescent="0.2">
      <c r="D5213" t="s">
        <v>111</v>
      </c>
      <c r="E5213" t="s">
        <v>112</v>
      </c>
      <c r="F5213" t="s">
        <v>113</v>
      </c>
      <c r="G5213" t="s">
        <v>214</v>
      </c>
      <c r="H5213" t="s">
        <v>212</v>
      </c>
      <c r="I5213" t="s">
        <v>43</v>
      </c>
      <c r="J5213" t="s">
        <v>44</v>
      </c>
      <c r="K5213" t="s">
        <v>30</v>
      </c>
      <c r="L5213" t="s">
        <v>31</v>
      </c>
      <c r="M5213" t="s">
        <v>140</v>
      </c>
      <c r="N5213">
        <v>1271</v>
      </c>
      <c r="O5213">
        <v>1.2038624E-2</v>
      </c>
      <c r="P5213">
        <v>9.536681E-3</v>
      </c>
      <c r="Q5213" t="str">
        <f t="shared" si="162"/>
        <v>35-49</v>
      </c>
      <c r="R5213" t="str">
        <f t="shared" si="163"/>
        <v>[AZyWpGzhcaA]|35-49|Female|PMTCT_STAT_SUBNAT.N.New.Neg.T_1|CY2024Q3</v>
      </c>
    </row>
    <row r="5214" spans="4:18" x14ac:dyDescent="0.2">
      <c r="D5214" t="s">
        <v>114</v>
      </c>
      <c r="E5214" t="s">
        <v>115</v>
      </c>
      <c r="F5214" t="s">
        <v>116</v>
      </c>
      <c r="G5214" t="s">
        <v>214</v>
      </c>
      <c r="H5214" t="s">
        <v>212</v>
      </c>
      <c r="I5214" t="s">
        <v>38</v>
      </c>
      <c r="J5214" t="s">
        <v>39</v>
      </c>
      <c r="K5214" t="s">
        <v>30</v>
      </c>
      <c r="L5214" t="s">
        <v>31</v>
      </c>
      <c r="M5214" t="s">
        <v>140</v>
      </c>
      <c r="N5214">
        <v>7037</v>
      </c>
      <c r="O5214">
        <v>8.9769640000000005E-3</v>
      </c>
      <c r="P5214">
        <v>9.0737839999999997E-3</v>
      </c>
      <c r="Q5214" t="str">
        <f t="shared" si="162"/>
        <v>15-24</v>
      </c>
      <c r="R5214" t="str">
        <f t="shared" si="163"/>
        <v>[ir8wuHHzoSs]|15-24|Female|PMTCT_STAT_SUBNAT.N.New.Neg.T_1|CY2024Q3</v>
      </c>
    </row>
    <row r="5215" spans="4:18" x14ac:dyDescent="0.2">
      <c r="D5215" t="s">
        <v>114</v>
      </c>
      <c r="E5215" t="s">
        <v>115</v>
      </c>
      <c r="F5215" t="s">
        <v>116</v>
      </c>
      <c r="G5215" t="s">
        <v>214</v>
      </c>
      <c r="H5215" t="s">
        <v>212</v>
      </c>
      <c r="I5215" t="s">
        <v>41</v>
      </c>
      <c r="J5215" t="s">
        <v>42</v>
      </c>
      <c r="K5215" t="s">
        <v>30</v>
      </c>
      <c r="L5215" t="s">
        <v>31</v>
      </c>
      <c r="M5215" t="s">
        <v>140</v>
      </c>
      <c r="N5215">
        <v>4259</v>
      </c>
      <c r="O5215">
        <v>9.4796450000000001E-3</v>
      </c>
      <c r="P5215">
        <v>9.0737839999999997E-3</v>
      </c>
      <c r="Q5215" t="str">
        <f t="shared" si="162"/>
        <v>25-34</v>
      </c>
      <c r="R5215" t="str">
        <f t="shared" si="163"/>
        <v>[ir8wuHHzoSs]|25-34|Female|PMTCT_STAT_SUBNAT.N.New.Neg.T_1|CY2024Q3</v>
      </c>
    </row>
    <row r="5216" spans="4:18" x14ac:dyDescent="0.2">
      <c r="D5216" t="s">
        <v>114</v>
      </c>
      <c r="E5216" t="s">
        <v>115</v>
      </c>
      <c r="F5216" t="s">
        <v>116</v>
      </c>
      <c r="G5216" t="s">
        <v>214</v>
      </c>
      <c r="H5216" t="s">
        <v>212</v>
      </c>
      <c r="I5216" t="s">
        <v>43</v>
      </c>
      <c r="J5216" t="s">
        <v>44</v>
      </c>
      <c r="K5216" t="s">
        <v>30</v>
      </c>
      <c r="L5216" t="s">
        <v>31</v>
      </c>
      <c r="M5216" t="s">
        <v>140</v>
      </c>
      <c r="N5216">
        <v>1525</v>
      </c>
      <c r="O5216">
        <v>1.0973170000000001E-2</v>
      </c>
      <c r="P5216">
        <v>9.0737839999999997E-3</v>
      </c>
      <c r="Q5216" t="str">
        <f t="shared" si="162"/>
        <v>35-49</v>
      </c>
      <c r="R5216" t="str">
        <f t="shared" si="163"/>
        <v>[ir8wuHHzoSs]|35-49|Female|PMTCT_STAT_SUBNAT.N.New.Neg.T_1|CY2024Q3</v>
      </c>
    </row>
    <row r="5217" spans="4:18" x14ac:dyDescent="0.2">
      <c r="D5217" t="s">
        <v>117</v>
      </c>
      <c r="E5217" t="s">
        <v>118</v>
      </c>
      <c r="F5217" t="s">
        <v>119</v>
      </c>
      <c r="G5217" t="s">
        <v>214</v>
      </c>
      <c r="H5217" t="s">
        <v>212</v>
      </c>
      <c r="I5217" t="s">
        <v>38</v>
      </c>
      <c r="J5217" t="s">
        <v>39</v>
      </c>
      <c r="K5217" t="s">
        <v>30</v>
      </c>
      <c r="L5217" t="s">
        <v>31</v>
      </c>
      <c r="M5217" t="s">
        <v>140</v>
      </c>
      <c r="N5217">
        <v>5095</v>
      </c>
      <c r="O5217">
        <v>1.0003718999999999E-2</v>
      </c>
      <c r="P5217">
        <v>1.0078072E-2</v>
      </c>
      <c r="Q5217" t="str">
        <f t="shared" si="162"/>
        <v>15-24</v>
      </c>
      <c r="R5217" t="str">
        <f t="shared" si="163"/>
        <v>[oiPR2CiVJbf]|15-24|Female|PMTCT_STAT_SUBNAT.N.New.Neg.T_1|CY2024Q3</v>
      </c>
    </row>
    <row r="5218" spans="4:18" x14ac:dyDescent="0.2">
      <c r="D5218" t="s">
        <v>117</v>
      </c>
      <c r="E5218" t="s">
        <v>118</v>
      </c>
      <c r="F5218" t="s">
        <v>119</v>
      </c>
      <c r="G5218" t="s">
        <v>214</v>
      </c>
      <c r="H5218" t="s">
        <v>212</v>
      </c>
      <c r="I5218" t="s">
        <v>41</v>
      </c>
      <c r="J5218" t="s">
        <v>42</v>
      </c>
      <c r="K5218" t="s">
        <v>30</v>
      </c>
      <c r="L5218" t="s">
        <v>31</v>
      </c>
      <c r="M5218" t="s">
        <v>140</v>
      </c>
      <c r="N5218">
        <v>3156</v>
      </c>
      <c r="O5218">
        <v>1.0751833000000001E-2</v>
      </c>
      <c r="P5218">
        <v>1.0078072E-2</v>
      </c>
      <c r="Q5218" t="str">
        <f t="shared" si="162"/>
        <v>25-34</v>
      </c>
      <c r="R5218" t="str">
        <f t="shared" si="163"/>
        <v>[oiPR2CiVJbf]|25-34|Female|PMTCT_STAT_SUBNAT.N.New.Neg.T_1|CY2024Q3</v>
      </c>
    </row>
    <row r="5219" spans="4:18" x14ac:dyDescent="0.2">
      <c r="D5219" t="s">
        <v>117</v>
      </c>
      <c r="E5219" t="s">
        <v>118</v>
      </c>
      <c r="F5219" t="s">
        <v>119</v>
      </c>
      <c r="G5219" t="s">
        <v>214</v>
      </c>
      <c r="H5219" t="s">
        <v>212</v>
      </c>
      <c r="I5219" t="s">
        <v>43</v>
      </c>
      <c r="J5219" t="s">
        <v>44</v>
      </c>
      <c r="K5219" t="s">
        <v>30</v>
      </c>
      <c r="L5219" t="s">
        <v>31</v>
      </c>
      <c r="M5219" t="s">
        <v>140</v>
      </c>
      <c r="N5219">
        <v>1174</v>
      </c>
      <c r="O5219">
        <v>1.3563334999999999E-2</v>
      </c>
      <c r="P5219">
        <v>1.0078072E-2</v>
      </c>
      <c r="Q5219" t="str">
        <f t="shared" si="162"/>
        <v>35-49</v>
      </c>
      <c r="R5219" t="str">
        <f t="shared" si="163"/>
        <v>[oiPR2CiVJbf]|35-49|Female|PMTCT_STAT_SUBNAT.N.New.Neg.T_1|CY2024Q3</v>
      </c>
    </row>
    <row r="5220" spans="4:18" x14ac:dyDescent="0.2">
      <c r="D5220" t="s">
        <v>120</v>
      </c>
      <c r="E5220" t="s">
        <v>121</v>
      </c>
      <c r="F5220" t="s">
        <v>122</v>
      </c>
      <c r="G5220" t="s">
        <v>214</v>
      </c>
      <c r="H5220" t="s">
        <v>212</v>
      </c>
      <c r="I5220" t="s">
        <v>38</v>
      </c>
      <c r="J5220" t="s">
        <v>39</v>
      </c>
      <c r="K5220" t="s">
        <v>30</v>
      </c>
      <c r="L5220" t="s">
        <v>31</v>
      </c>
      <c r="M5220" t="s">
        <v>140</v>
      </c>
      <c r="N5220">
        <v>16837</v>
      </c>
      <c r="O5220">
        <v>5.6198100000000003E-3</v>
      </c>
      <c r="P5220">
        <v>5.5792610000000003E-3</v>
      </c>
      <c r="Q5220" t="str">
        <f t="shared" si="162"/>
        <v>15-24</v>
      </c>
      <c r="R5220" t="str">
        <f t="shared" si="163"/>
        <v>[mxqa3CDFmIT]|15-24|Female|PMTCT_STAT_SUBNAT.N.New.Neg.T_1|CY2024Q3</v>
      </c>
    </row>
    <row r="5221" spans="4:18" x14ac:dyDescent="0.2">
      <c r="D5221" t="s">
        <v>120</v>
      </c>
      <c r="E5221" t="s">
        <v>121</v>
      </c>
      <c r="F5221" t="s">
        <v>122</v>
      </c>
      <c r="G5221" t="s">
        <v>214</v>
      </c>
      <c r="H5221" t="s">
        <v>212</v>
      </c>
      <c r="I5221" t="s">
        <v>41</v>
      </c>
      <c r="J5221" t="s">
        <v>42</v>
      </c>
      <c r="K5221" t="s">
        <v>30</v>
      </c>
      <c r="L5221" t="s">
        <v>31</v>
      </c>
      <c r="M5221" t="s">
        <v>140</v>
      </c>
      <c r="N5221">
        <v>11240</v>
      </c>
      <c r="O5221">
        <v>6.2606830000000004E-3</v>
      </c>
      <c r="P5221">
        <v>5.5792610000000003E-3</v>
      </c>
      <c r="Q5221" t="str">
        <f t="shared" si="162"/>
        <v>25-34</v>
      </c>
      <c r="R5221" t="str">
        <f t="shared" si="163"/>
        <v>[mxqa3CDFmIT]|25-34|Female|PMTCT_STAT_SUBNAT.N.New.Neg.T_1|CY2024Q3</v>
      </c>
    </row>
    <row r="5222" spans="4:18" x14ac:dyDescent="0.2">
      <c r="D5222" t="s">
        <v>120</v>
      </c>
      <c r="E5222" t="s">
        <v>121</v>
      </c>
      <c r="F5222" t="s">
        <v>122</v>
      </c>
      <c r="G5222" t="s">
        <v>214</v>
      </c>
      <c r="H5222" t="s">
        <v>212</v>
      </c>
      <c r="I5222" t="s">
        <v>43</v>
      </c>
      <c r="J5222" t="s">
        <v>44</v>
      </c>
      <c r="K5222" t="s">
        <v>30</v>
      </c>
      <c r="L5222" t="s">
        <v>31</v>
      </c>
      <c r="M5222" t="s">
        <v>140</v>
      </c>
      <c r="N5222">
        <v>3450</v>
      </c>
      <c r="O5222">
        <v>9.8073940000000005E-3</v>
      </c>
      <c r="P5222">
        <v>5.5792610000000003E-3</v>
      </c>
      <c r="Q5222" t="str">
        <f t="shared" si="162"/>
        <v>35-49</v>
      </c>
      <c r="R5222" t="str">
        <f t="shared" si="163"/>
        <v>[mxqa3CDFmIT]|35-49|Female|PMTCT_STAT_SUBNAT.N.New.Neg.T_1|CY2024Q3</v>
      </c>
    </row>
    <row r="5223" spans="4:18" x14ac:dyDescent="0.2">
      <c r="D5223" t="s">
        <v>123</v>
      </c>
      <c r="E5223" t="s">
        <v>124</v>
      </c>
      <c r="F5223" t="s">
        <v>125</v>
      </c>
      <c r="G5223" t="s">
        <v>214</v>
      </c>
      <c r="H5223" t="s">
        <v>212</v>
      </c>
      <c r="I5223" t="s">
        <v>38</v>
      </c>
      <c r="J5223" t="s">
        <v>39</v>
      </c>
      <c r="K5223" t="s">
        <v>30</v>
      </c>
      <c r="L5223" t="s">
        <v>31</v>
      </c>
      <c r="M5223" t="s">
        <v>140</v>
      </c>
      <c r="N5223">
        <v>3040</v>
      </c>
      <c r="O5223">
        <v>1.2948068E-2</v>
      </c>
      <c r="P5223">
        <v>1.3027893E-2</v>
      </c>
      <c r="Q5223" t="str">
        <f t="shared" si="162"/>
        <v>15-24</v>
      </c>
      <c r="R5223" t="str">
        <f t="shared" si="163"/>
        <v>[wNqJp8oRIcF]|15-24|Female|PMTCT_STAT_SUBNAT.N.New.Neg.T_1|CY2024Q3</v>
      </c>
    </row>
    <row r="5224" spans="4:18" x14ac:dyDescent="0.2">
      <c r="D5224" t="s">
        <v>123</v>
      </c>
      <c r="E5224" t="s">
        <v>124</v>
      </c>
      <c r="F5224" t="s">
        <v>125</v>
      </c>
      <c r="G5224" t="s">
        <v>214</v>
      </c>
      <c r="H5224" t="s">
        <v>212</v>
      </c>
      <c r="I5224" t="s">
        <v>41</v>
      </c>
      <c r="J5224" t="s">
        <v>42</v>
      </c>
      <c r="K5224" t="s">
        <v>30</v>
      </c>
      <c r="L5224" t="s">
        <v>31</v>
      </c>
      <c r="M5224" t="s">
        <v>140</v>
      </c>
      <c r="N5224">
        <v>1863</v>
      </c>
      <c r="O5224">
        <v>1.3203906E-2</v>
      </c>
      <c r="P5224">
        <v>1.3027893E-2</v>
      </c>
      <c r="Q5224" t="str">
        <f t="shared" si="162"/>
        <v>25-34</v>
      </c>
      <c r="R5224" t="str">
        <f t="shared" si="163"/>
        <v>[wNqJp8oRIcF]|25-34|Female|PMTCT_STAT_SUBNAT.N.New.Neg.T_1|CY2024Q3</v>
      </c>
    </row>
    <row r="5225" spans="4:18" x14ac:dyDescent="0.2">
      <c r="D5225" t="s">
        <v>123</v>
      </c>
      <c r="E5225" t="s">
        <v>124</v>
      </c>
      <c r="F5225" t="s">
        <v>125</v>
      </c>
      <c r="G5225" t="s">
        <v>214</v>
      </c>
      <c r="H5225" t="s">
        <v>212</v>
      </c>
      <c r="I5225" t="s">
        <v>43</v>
      </c>
      <c r="J5225" t="s">
        <v>44</v>
      </c>
      <c r="K5225" t="s">
        <v>30</v>
      </c>
      <c r="L5225" t="s">
        <v>31</v>
      </c>
      <c r="M5225" t="s">
        <v>140</v>
      </c>
      <c r="N5225">
        <v>639</v>
      </c>
      <c r="O5225">
        <v>1.4116669E-2</v>
      </c>
      <c r="P5225">
        <v>1.3027893E-2</v>
      </c>
      <c r="Q5225" t="str">
        <f t="shared" si="162"/>
        <v>35-49</v>
      </c>
      <c r="R5225" t="str">
        <f t="shared" si="163"/>
        <v>[wNqJp8oRIcF]|35-49|Female|PMTCT_STAT_SUBNAT.N.New.Neg.T_1|CY2024Q3</v>
      </c>
    </row>
    <row r="5226" spans="4:18" x14ac:dyDescent="0.2">
      <c r="D5226" t="s">
        <v>126</v>
      </c>
      <c r="E5226" t="s">
        <v>127</v>
      </c>
      <c r="F5226" t="s">
        <v>128</v>
      </c>
      <c r="G5226" t="s">
        <v>214</v>
      </c>
      <c r="H5226" t="s">
        <v>212</v>
      </c>
      <c r="I5226" t="s">
        <v>38</v>
      </c>
      <c r="J5226" t="s">
        <v>39</v>
      </c>
      <c r="K5226" t="s">
        <v>30</v>
      </c>
      <c r="L5226" t="s">
        <v>31</v>
      </c>
      <c r="M5226" t="s">
        <v>140</v>
      </c>
      <c r="N5226">
        <v>8767</v>
      </c>
      <c r="O5226">
        <v>7.8623549999999997E-3</v>
      </c>
      <c r="P5226">
        <v>7.8129759999999993E-3</v>
      </c>
      <c r="Q5226" t="str">
        <f t="shared" si="162"/>
        <v>15-24</v>
      </c>
      <c r="R5226" t="str">
        <f t="shared" si="163"/>
        <v>[ul0y9diGujK]|15-24|Female|PMTCT_STAT_SUBNAT.N.New.Neg.T_1|CY2024Q3</v>
      </c>
    </row>
    <row r="5227" spans="4:18" x14ac:dyDescent="0.2">
      <c r="D5227" t="s">
        <v>126</v>
      </c>
      <c r="E5227" t="s">
        <v>127</v>
      </c>
      <c r="F5227" t="s">
        <v>128</v>
      </c>
      <c r="G5227" t="s">
        <v>214</v>
      </c>
      <c r="H5227" t="s">
        <v>212</v>
      </c>
      <c r="I5227" t="s">
        <v>41</v>
      </c>
      <c r="J5227" t="s">
        <v>42</v>
      </c>
      <c r="K5227" t="s">
        <v>30</v>
      </c>
      <c r="L5227" t="s">
        <v>31</v>
      </c>
      <c r="M5227" t="s">
        <v>140</v>
      </c>
      <c r="N5227">
        <v>5350</v>
      </c>
      <c r="O5227">
        <v>8.2434410000000007E-3</v>
      </c>
      <c r="P5227">
        <v>7.8129759999999993E-3</v>
      </c>
      <c r="Q5227" t="str">
        <f t="shared" si="162"/>
        <v>25-34</v>
      </c>
      <c r="R5227" t="str">
        <f t="shared" si="163"/>
        <v>[ul0y9diGujK]|25-34|Female|PMTCT_STAT_SUBNAT.N.New.Neg.T_1|CY2024Q3</v>
      </c>
    </row>
    <row r="5228" spans="4:18" x14ac:dyDescent="0.2">
      <c r="D5228" t="s">
        <v>126</v>
      </c>
      <c r="E5228" t="s">
        <v>127</v>
      </c>
      <c r="F5228" t="s">
        <v>128</v>
      </c>
      <c r="G5228" t="s">
        <v>214</v>
      </c>
      <c r="H5228" t="s">
        <v>212</v>
      </c>
      <c r="I5228" t="s">
        <v>43</v>
      </c>
      <c r="J5228" t="s">
        <v>44</v>
      </c>
      <c r="K5228" t="s">
        <v>30</v>
      </c>
      <c r="L5228" t="s">
        <v>31</v>
      </c>
      <c r="M5228" t="s">
        <v>140</v>
      </c>
      <c r="N5228">
        <v>2030</v>
      </c>
      <c r="O5228">
        <v>1.0588691000000001E-2</v>
      </c>
      <c r="P5228">
        <v>7.8129759999999993E-3</v>
      </c>
      <c r="Q5228" t="str">
        <f t="shared" si="162"/>
        <v>35-49</v>
      </c>
      <c r="R5228" t="str">
        <f t="shared" si="163"/>
        <v>[ul0y9diGujK]|35-49|Female|PMTCT_STAT_SUBNAT.N.New.Neg.T_1|CY2024Q3</v>
      </c>
    </row>
    <row r="5229" spans="4:18" x14ac:dyDescent="0.2">
      <c r="D5229" t="s">
        <v>129</v>
      </c>
      <c r="E5229" t="s">
        <v>130</v>
      </c>
      <c r="F5229" t="s">
        <v>131</v>
      </c>
      <c r="G5229" t="s">
        <v>214</v>
      </c>
      <c r="H5229" t="s">
        <v>212</v>
      </c>
      <c r="I5229" t="s">
        <v>38</v>
      </c>
      <c r="J5229" t="s">
        <v>39</v>
      </c>
      <c r="K5229" t="s">
        <v>30</v>
      </c>
      <c r="L5229" t="s">
        <v>31</v>
      </c>
      <c r="M5229" t="s">
        <v>140</v>
      </c>
      <c r="N5229">
        <v>9491</v>
      </c>
      <c r="O5229">
        <v>7.6018379999999997E-3</v>
      </c>
      <c r="P5229">
        <v>7.5614319999999999E-3</v>
      </c>
      <c r="Q5229" t="str">
        <f t="shared" si="162"/>
        <v>15-24</v>
      </c>
      <c r="R5229" t="str">
        <f t="shared" si="163"/>
        <v>[U8c0so51kT6]|15-24|Female|PMTCT_STAT_SUBNAT.N.New.Neg.T_1|CY2024Q3</v>
      </c>
    </row>
    <row r="5230" spans="4:18" x14ac:dyDescent="0.2">
      <c r="D5230" t="s">
        <v>129</v>
      </c>
      <c r="E5230" t="s">
        <v>130</v>
      </c>
      <c r="F5230" t="s">
        <v>131</v>
      </c>
      <c r="G5230" t="s">
        <v>214</v>
      </c>
      <c r="H5230" t="s">
        <v>212</v>
      </c>
      <c r="I5230" t="s">
        <v>41</v>
      </c>
      <c r="J5230" t="s">
        <v>42</v>
      </c>
      <c r="K5230" t="s">
        <v>30</v>
      </c>
      <c r="L5230" t="s">
        <v>31</v>
      </c>
      <c r="M5230" t="s">
        <v>140</v>
      </c>
      <c r="N5230">
        <v>5867</v>
      </c>
      <c r="O5230">
        <v>7.9409460000000008E-3</v>
      </c>
      <c r="P5230">
        <v>7.5614319999999999E-3</v>
      </c>
      <c r="Q5230" t="str">
        <f t="shared" si="162"/>
        <v>25-34</v>
      </c>
      <c r="R5230" t="str">
        <f t="shared" si="163"/>
        <v>[U8c0so51kT6]|25-34|Female|PMTCT_STAT_SUBNAT.N.New.Neg.T_1|CY2024Q3</v>
      </c>
    </row>
    <row r="5231" spans="4:18" x14ac:dyDescent="0.2">
      <c r="D5231" t="s">
        <v>129</v>
      </c>
      <c r="E5231" t="s">
        <v>130</v>
      </c>
      <c r="F5231" t="s">
        <v>131</v>
      </c>
      <c r="G5231" t="s">
        <v>214</v>
      </c>
      <c r="H5231" t="s">
        <v>212</v>
      </c>
      <c r="I5231" t="s">
        <v>43</v>
      </c>
      <c r="J5231" t="s">
        <v>44</v>
      </c>
      <c r="K5231" t="s">
        <v>30</v>
      </c>
      <c r="L5231" t="s">
        <v>31</v>
      </c>
      <c r="M5231" t="s">
        <v>140</v>
      </c>
      <c r="N5231">
        <v>1991</v>
      </c>
      <c r="O5231">
        <v>9.9348260000000008E-3</v>
      </c>
      <c r="P5231">
        <v>7.5614319999999999E-3</v>
      </c>
      <c r="Q5231" t="str">
        <f t="shared" si="162"/>
        <v>35-49</v>
      </c>
      <c r="R5231" t="str">
        <f t="shared" si="163"/>
        <v>[U8c0so51kT6]|35-49|Female|PMTCT_STAT_SUBNAT.N.New.Neg.T_1|CY2024Q3</v>
      </c>
    </row>
    <row r="5232" spans="4:18" x14ac:dyDescent="0.2">
      <c r="D5232" t="s">
        <v>132</v>
      </c>
      <c r="E5232" t="s">
        <v>133</v>
      </c>
      <c r="F5232" t="s">
        <v>134</v>
      </c>
      <c r="G5232" t="s">
        <v>214</v>
      </c>
      <c r="H5232" t="s">
        <v>212</v>
      </c>
      <c r="I5232" t="s">
        <v>38</v>
      </c>
      <c r="J5232" t="s">
        <v>39</v>
      </c>
      <c r="K5232" t="s">
        <v>30</v>
      </c>
      <c r="L5232" t="s">
        <v>31</v>
      </c>
      <c r="M5232" t="s">
        <v>140</v>
      </c>
      <c r="N5232">
        <v>7271</v>
      </c>
      <c r="O5232">
        <v>8.6833099999999996E-3</v>
      </c>
      <c r="P5232">
        <v>8.6517190000000004E-3</v>
      </c>
      <c r="Q5232" t="str">
        <f t="shared" si="162"/>
        <v>15-24</v>
      </c>
      <c r="R5232" t="str">
        <f t="shared" si="163"/>
        <v>[rpw540fmNUz]|15-24|Female|PMTCT_STAT_SUBNAT.N.New.Neg.T_1|CY2024Q3</v>
      </c>
    </row>
    <row r="5233" spans="4:18" x14ac:dyDescent="0.2">
      <c r="D5233" t="s">
        <v>132</v>
      </c>
      <c r="E5233" t="s">
        <v>133</v>
      </c>
      <c r="F5233" t="s">
        <v>134</v>
      </c>
      <c r="G5233" t="s">
        <v>214</v>
      </c>
      <c r="H5233" t="s">
        <v>212</v>
      </c>
      <c r="I5233" t="s">
        <v>41</v>
      </c>
      <c r="J5233" t="s">
        <v>42</v>
      </c>
      <c r="K5233" t="s">
        <v>30</v>
      </c>
      <c r="L5233" t="s">
        <v>31</v>
      </c>
      <c r="M5233" t="s">
        <v>140</v>
      </c>
      <c r="N5233">
        <v>4368</v>
      </c>
      <c r="O5233">
        <v>9.1246369999999997E-3</v>
      </c>
      <c r="P5233">
        <v>8.6517190000000004E-3</v>
      </c>
      <c r="Q5233" t="str">
        <f t="shared" si="162"/>
        <v>25-34</v>
      </c>
      <c r="R5233" t="str">
        <f t="shared" si="163"/>
        <v>[rpw540fmNUz]|25-34|Female|PMTCT_STAT_SUBNAT.N.New.Neg.T_1|CY2024Q3</v>
      </c>
    </row>
    <row r="5234" spans="4:18" x14ac:dyDescent="0.2">
      <c r="D5234" t="s">
        <v>132</v>
      </c>
      <c r="E5234" t="s">
        <v>133</v>
      </c>
      <c r="F5234" t="s">
        <v>134</v>
      </c>
      <c r="G5234" t="s">
        <v>214</v>
      </c>
      <c r="H5234" t="s">
        <v>212</v>
      </c>
      <c r="I5234" t="s">
        <v>43</v>
      </c>
      <c r="J5234" t="s">
        <v>44</v>
      </c>
      <c r="K5234" t="s">
        <v>30</v>
      </c>
      <c r="L5234" t="s">
        <v>31</v>
      </c>
      <c r="M5234" t="s">
        <v>140</v>
      </c>
      <c r="N5234">
        <v>1460</v>
      </c>
      <c r="O5234">
        <v>1.1276067000000001E-2</v>
      </c>
      <c r="P5234">
        <v>8.6517190000000004E-3</v>
      </c>
      <c r="Q5234" t="str">
        <f t="shared" si="162"/>
        <v>35-49</v>
      </c>
      <c r="R5234" t="str">
        <f t="shared" si="163"/>
        <v>[rpw540fmNUz]|35-49|Female|PMTCT_STAT_SUBNAT.N.New.Neg.T_1|CY2024Q3</v>
      </c>
    </row>
    <row r="5235" spans="4:18" x14ac:dyDescent="0.2">
      <c r="D5235" t="s">
        <v>135</v>
      </c>
      <c r="E5235" t="s">
        <v>136</v>
      </c>
      <c r="F5235" t="s">
        <v>137</v>
      </c>
      <c r="G5235" t="s">
        <v>214</v>
      </c>
      <c r="H5235" t="s">
        <v>212</v>
      </c>
      <c r="I5235" t="s">
        <v>38</v>
      </c>
      <c r="J5235" t="s">
        <v>39</v>
      </c>
      <c r="K5235" t="s">
        <v>30</v>
      </c>
      <c r="L5235" t="s">
        <v>31</v>
      </c>
      <c r="M5235" t="s">
        <v>140</v>
      </c>
      <c r="N5235">
        <v>2731</v>
      </c>
      <c r="O5235">
        <v>1.4108467E-2</v>
      </c>
      <c r="P5235">
        <v>1.4151867E-2</v>
      </c>
      <c r="Q5235" t="str">
        <f t="shared" si="162"/>
        <v>15-24</v>
      </c>
      <c r="R5235" t="str">
        <f t="shared" si="163"/>
        <v>[gwVYinjBAe9]|15-24|Female|PMTCT_STAT_SUBNAT.N.New.Neg.T_1|CY2024Q3</v>
      </c>
    </row>
    <row r="5236" spans="4:18" x14ac:dyDescent="0.2">
      <c r="D5236" t="s">
        <v>135</v>
      </c>
      <c r="E5236" t="s">
        <v>136</v>
      </c>
      <c r="F5236" t="s">
        <v>137</v>
      </c>
      <c r="G5236" t="s">
        <v>214</v>
      </c>
      <c r="H5236" t="s">
        <v>212</v>
      </c>
      <c r="I5236" t="s">
        <v>41</v>
      </c>
      <c r="J5236" t="s">
        <v>42</v>
      </c>
      <c r="K5236" t="s">
        <v>30</v>
      </c>
      <c r="L5236" t="s">
        <v>31</v>
      </c>
      <c r="M5236" t="s">
        <v>140</v>
      </c>
      <c r="N5236">
        <v>1604</v>
      </c>
      <c r="O5236">
        <v>1.4370924E-2</v>
      </c>
      <c r="P5236">
        <v>1.4151867E-2</v>
      </c>
      <c r="Q5236" t="str">
        <f t="shared" si="162"/>
        <v>25-34</v>
      </c>
      <c r="R5236" t="str">
        <f t="shared" si="163"/>
        <v>[gwVYinjBAe9]|25-34|Female|PMTCT_STAT_SUBNAT.N.New.Neg.T_1|CY2024Q3</v>
      </c>
    </row>
    <row r="5237" spans="4:18" x14ac:dyDescent="0.2">
      <c r="D5237" t="s">
        <v>135</v>
      </c>
      <c r="E5237" t="s">
        <v>136</v>
      </c>
      <c r="F5237" t="s">
        <v>137</v>
      </c>
      <c r="G5237" t="s">
        <v>214</v>
      </c>
      <c r="H5237" t="s">
        <v>212</v>
      </c>
      <c r="I5237" t="s">
        <v>43</v>
      </c>
      <c r="J5237" t="s">
        <v>44</v>
      </c>
      <c r="K5237" t="s">
        <v>30</v>
      </c>
      <c r="L5237" t="s">
        <v>31</v>
      </c>
      <c r="M5237" t="s">
        <v>140</v>
      </c>
      <c r="N5237">
        <v>565</v>
      </c>
      <c r="O5237">
        <v>1.6396630999999998E-2</v>
      </c>
      <c r="P5237">
        <v>1.4151867E-2</v>
      </c>
      <c r="Q5237" t="str">
        <f t="shared" si="162"/>
        <v>35-49</v>
      </c>
      <c r="R5237" t="str">
        <f t="shared" si="163"/>
        <v>[gwVYinjBAe9]|35-49|Female|PMTCT_STAT_SUBNAT.N.New.Neg.T_1|CY2024Q3</v>
      </c>
    </row>
    <row r="5238" spans="4:18" x14ac:dyDescent="0.2">
      <c r="D5238" t="s">
        <v>23</v>
      </c>
      <c r="E5238" t="s">
        <v>24</v>
      </c>
      <c r="F5238" t="s">
        <v>25</v>
      </c>
      <c r="G5238" t="s">
        <v>215</v>
      </c>
      <c r="H5238" t="s">
        <v>216</v>
      </c>
      <c r="I5238" t="s">
        <v>38</v>
      </c>
      <c r="J5238" t="s">
        <v>39</v>
      </c>
      <c r="K5238" t="s">
        <v>48</v>
      </c>
      <c r="L5238" t="s">
        <v>49</v>
      </c>
      <c r="M5238" t="s">
        <v>140</v>
      </c>
      <c r="N5238">
        <v>0</v>
      </c>
      <c r="O5238">
        <v>0</v>
      </c>
      <c r="P5238">
        <v>0</v>
      </c>
      <c r="Q5238" t="str">
        <f t="shared" si="162"/>
        <v>15-24</v>
      </c>
      <c r="R5238" t="str">
        <f t="shared" si="163"/>
        <v>[GkIwZrXy1h2]|15-24|Male|VMMC_CIRC_SUBNAT.T_1|CY2024Q3</v>
      </c>
    </row>
    <row r="5239" spans="4:18" x14ac:dyDescent="0.2">
      <c r="D5239" t="s">
        <v>23</v>
      </c>
      <c r="E5239" t="s">
        <v>24</v>
      </c>
      <c r="F5239" t="s">
        <v>25</v>
      </c>
      <c r="G5239" t="s">
        <v>217</v>
      </c>
      <c r="H5239" t="s">
        <v>218</v>
      </c>
      <c r="I5239" t="s">
        <v>38</v>
      </c>
      <c r="J5239" t="s">
        <v>39</v>
      </c>
      <c r="K5239" t="s">
        <v>48</v>
      </c>
      <c r="L5239" t="s">
        <v>49</v>
      </c>
      <c r="M5239" t="s">
        <v>140</v>
      </c>
      <c r="N5239">
        <v>2215</v>
      </c>
      <c r="O5239">
        <v>0</v>
      </c>
      <c r="P5239">
        <v>0</v>
      </c>
      <c r="Q5239" t="str">
        <f t="shared" si="162"/>
        <v>15-24</v>
      </c>
      <c r="R5239" t="str">
        <f t="shared" si="163"/>
        <v>[GkIwZrXy1h2]|15-24|Male|VMMC_TOTALCIRC_SUBNAT.T_1|CY2024Q3</v>
      </c>
    </row>
    <row r="5240" spans="4:18" x14ac:dyDescent="0.2">
      <c r="D5240" t="s">
        <v>23</v>
      </c>
      <c r="E5240" t="s">
        <v>24</v>
      </c>
      <c r="F5240" t="s">
        <v>25</v>
      </c>
      <c r="G5240" t="s">
        <v>215</v>
      </c>
      <c r="H5240" t="s">
        <v>216</v>
      </c>
      <c r="I5240" t="s">
        <v>41</v>
      </c>
      <c r="J5240" t="s">
        <v>42</v>
      </c>
      <c r="K5240" t="s">
        <v>48</v>
      </c>
      <c r="L5240" t="s">
        <v>49</v>
      </c>
      <c r="M5240" t="s">
        <v>140</v>
      </c>
      <c r="N5240">
        <v>0</v>
      </c>
      <c r="O5240">
        <v>0</v>
      </c>
      <c r="P5240">
        <v>0</v>
      </c>
      <c r="Q5240" t="str">
        <f t="shared" si="162"/>
        <v>25-34</v>
      </c>
      <c r="R5240" t="str">
        <f t="shared" si="163"/>
        <v>[GkIwZrXy1h2]|25-34|Male|VMMC_CIRC_SUBNAT.T_1|CY2024Q3</v>
      </c>
    </row>
    <row r="5241" spans="4:18" x14ac:dyDescent="0.2">
      <c r="D5241" t="s">
        <v>23</v>
      </c>
      <c r="E5241" t="s">
        <v>24</v>
      </c>
      <c r="F5241" t="s">
        <v>25</v>
      </c>
      <c r="G5241" t="s">
        <v>217</v>
      </c>
      <c r="H5241" t="s">
        <v>218</v>
      </c>
      <c r="I5241" t="s">
        <v>41</v>
      </c>
      <c r="J5241" t="s">
        <v>42</v>
      </c>
      <c r="K5241" t="s">
        <v>48</v>
      </c>
      <c r="L5241" t="s">
        <v>49</v>
      </c>
      <c r="M5241" t="s">
        <v>140</v>
      </c>
      <c r="N5241">
        <v>2380</v>
      </c>
      <c r="O5241">
        <v>0</v>
      </c>
      <c r="P5241">
        <v>0</v>
      </c>
      <c r="Q5241" t="str">
        <f t="shared" si="162"/>
        <v>25-34</v>
      </c>
      <c r="R5241" t="str">
        <f t="shared" si="163"/>
        <v>[GkIwZrXy1h2]|25-34|Male|VMMC_TOTALCIRC_SUBNAT.T_1|CY2024Q3</v>
      </c>
    </row>
    <row r="5242" spans="4:18" x14ac:dyDescent="0.2">
      <c r="D5242" t="s">
        <v>23</v>
      </c>
      <c r="E5242" t="s">
        <v>24</v>
      </c>
      <c r="F5242" t="s">
        <v>25</v>
      </c>
      <c r="G5242" t="s">
        <v>215</v>
      </c>
      <c r="H5242" t="s">
        <v>216</v>
      </c>
      <c r="I5242" t="s">
        <v>43</v>
      </c>
      <c r="J5242" t="s">
        <v>44</v>
      </c>
      <c r="K5242" t="s">
        <v>48</v>
      </c>
      <c r="L5242" t="s">
        <v>49</v>
      </c>
      <c r="M5242" t="s">
        <v>140</v>
      </c>
      <c r="N5242">
        <v>0</v>
      </c>
      <c r="O5242">
        <v>0</v>
      </c>
      <c r="P5242">
        <v>0</v>
      </c>
      <c r="Q5242" t="str">
        <f t="shared" si="162"/>
        <v>35-49</v>
      </c>
      <c r="R5242" t="str">
        <f t="shared" si="163"/>
        <v>[GkIwZrXy1h2]|35-49|Male|VMMC_CIRC_SUBNAT.T_1|CY2024Q3</v>
      </c>
    </row>
    <row r="5243" spans="4:18" x14ac:dyDescent="0.2">
      <c r="D5243" t="s">
        <v>23</v>
      </c>
      <c r="E5243" t="s">
        <v>24</v>
      </c>
      <c r="F5243" t="s">
        <v>25</v>
      </c>
      <c r="G5243" t="s">
        <v>217</v>
      </c>
      <c r="H5243" t="s">
        <v>218</v>
      </c>
      <c r="I5243" t="s">
        <v>43</v>
      </c>
      <c r="J5243" t="s">
        <v>44</v>
      </c>
      <c r="K5243" t="s">
        <v>48</v>
      </c>
      <c r="L5243" t="s">
        <v>49</v>
      </c>
      <c r="M5243" t="s">
        <v>140</v>
      </c>
      <c r="N5243">
        <v>1543</v>
      </c>
      <c r="O5243">
        <v>0</v>
      </c>
      <c r="P5243">
        <v>0</v>
      </c>
      <c r="Q5243" t="str">
        <f t="shared" si="162"/>
        <v>35-49</v>
      </c>
      <c r="R5243" t="str">
        <f t="shared" si="163"/>
        <v>[GkIwZrXy1h2]|35-49|Male|VMMC_TOTALCIRC_SUBNAT.T_1|CY2024Q3</v>
      </c>
    </row>
    <row r="5244" spans="4:18" x14ac:dyDescent="0.2">
      <c r="D5244" t="s">
        <v>23</v>
      </c>
      <c r="E5244" t="s">
        <v>24</v>
      </c>
      <c r="F5244" t="s">
        <v>25</v>
      </c>
      <c r="G5244" t="s">
        <v>215</v>
      </c>
      <c r="H5244" t="s">
        <v>216</v>
      </c>
      <c r="I5244" t="s">
        <v>45</v>
      </c>
      <c r="J5244" t="s">
        <v>46</v>
      </c>
      <c r="K5244" t="s">
        <v>48</v>
      </c>
      <c r="L5244" t="s">
        <v>49</v>
      </c>
      <c r="M5244" t="s">
        <v>140</v>
      </c>
      <c r="N5244">
        <v>0</v>
      </c>
      <c r="O5244">
        <v>0</v>
      </c>
      <c r="P5244">
        <v>0</v>
      </c>
      <c r="Q5244" t="str">
        <f t="shared" si="162"/>
        <v>50+</v>
      </c>
      <c r="R5244" t="str">
        <f t="shared" si="163"/>
        <v>[GkIwZrXy1h2]|50+|Male|VMMC_CIRC_SUBNAT.T_1|CY2024Q3</v>
      </c>
    </row>
    <row r="5245" spans="4:18" x14ac:dyDescent="0.2">
      <c r="D5245" t="s">
        <v>23</v>
      </c>
      <c r="E5245" t="s">
        <v>24</v>
      </c>
      <c r="F5245" t="s">
        <v>25</v>
      </c>
      <c r="G5245" t="s">
        <v>217</v>
      </c>
      <c r="H5245" t="s">
        <v>218</v>
      </c>
      <c r="I5245" t="s">
        <v>45</v>
      </c>
      <c r="J5245" t="s">
        <v>46</v>
      </c>
      <c r="K5245" t="s">
        <v>48</v>
      </c>
      <c r="L5245" t="s">
        <v>49</v>
      </c>
      <c r="M5245" t="s">
        <v>140</v>
      </c>
      <c r="N5245">
        <v>371</v>
      </c>
      <c r="O5245">
        <v>0</v>
      </c>
      <c r="P5245">
        <v>0</v>
      </c>
      <c r="Q5245" t="str">
        <f t="shared" si="162"/>
        <v>50+</v>
      </c>
      <c r="R5245" t="str">
        <f t="shared" si="163"/>
        <v>[GkIwZrXy1h2]|50+|Male|VMMC_TOTALCIRC_SUBNAT.T_1|CY2024Q3</v>
      </c>
    </row>
    <row r="5246" spans="4:18" x14ac:dyDescent="0.2">
      <c r="D5246" t="s">
        <v>53</v>
      </c>
      <c r="E5246" t="s">
        <v>54</v>
      </c>
      <c r="F5246" t="s">
        <v>55</v>
      </c>
      <c r="G5246" t="s">
        <v>215</v>
      </c>
      <c r="H5246" t="s">
        <v>216</v>
      </c>
      <c r="I5246" t="s">
        <v>38</v>
      </c>
      <c r="J5246" t="s">
        <v>39</v>
      </c>
      <c r="K5246" t="s">
        <v>48</v>
      </c>
      <c r="L5246" t="s">
        <v>49</v>
      </c>
      <c r="M5246" t="s">
        <v>140</v>
      </c>
      <c r="N5246">
        <v>0</v>
      </c>
      <c r="O5246">
        <v>0</v>
      </c>
      <c r="P5246">
        <v>0</v>
      </c>
      <c r="Q5246" t="str">
        <f t="shared" si="162"/>
        <v>15-24</v>
      </c>
      <c r="R5246" t="str">
        <f t="shared" si="163"/>
        <v>[cPtvxaZqXIH]|15-24|Male|VMMC_CIRC_SUBNAT.T_1|CY2024Q3</v>
      </c>
    </row>
    <row r="5247" spans="4:18" x14ac:dyDescent="0.2">
      <c r="D5247" t="s">
        <v>53</v>
      </c>
      <c r="E5247" t="s">
        <v>54</v>
      </c>
      <c r="F5247" t="s">
        <v>55</v>
      </c>
      <c r="G5247" t="s">
        <v>217</v>
      </c>
      <c r="H5247" t="s">
        <v>218</v>
      </c>
      <c r="I5247" t="s">
        <v>38</v>
      </c>
      <c r="J5247" t="s">
        <v>39</v>
      </c>
      <c r="K5247" t="s">
        <v>48</v>
      </c>
      <c r="L5247" t="s">
        <v>49</v>
      </c>
      <c r="M5247" t="s">
        <v>140</v>
      </c>
      <c r="N5247">
        <v>6959</v>
      </c>
      <c r="O5247">
        <v>0</v>
      </c>
      <c r="P5247">
        <v>0</v>
      </c>
      <c r="Q5247" t="str">
        <f t="shared" si="162"/>
        <v>15-24</v>
      </c>
      <c r="R5247" t="str">
        <f t="shared" si="163"/>
        <v>[cPtvxaZqXIH]|15-24|Male|VMMC_TOTALCIRC_SUBNAT.T_1|CY2024Q3</v>
      </c>
    </row>
    <row r="5248" spans="4:18" x14ac:dyDescent="0.2">
      <c r="D5248" t="s">
        <v>53</v>
      </c>
      <c r="E5248" t="s">
        <v>54</v>
      </c>
      <c r="F5248" t="s">
        <v>55</v>
      </c>
      <c r="G5248" t="s">
        <v>215</v>
      </c>
      <c r="H5248" t="s">
        <v>216</v>
      </c>
      <c r="I5248" t="s">
        <v>41</v>
      </c>
      <c r="J5248" t="s">
        <v>42</v>
      </c>
      <c r="K5248" t="s">
        <v>48</v>
      </c>
      <c r="L5248" t="s">
        <v>49</v>
      </c>
      <c r="M5248" t="s">
        <v>140</v>
      </c>
      <c r="N5248">
        <v>0</v>
      </c>
      <c r="O5248">
        <v>0</v>
      </c>
      <c r="P5248">
        <v>0</v>
      </c>
      <c r="Q5248" t="str">
        <f t="shared" si="162"/>
        <v>25-34</v>
      </c>
      <c r="R5248" t="str">
        <f t="shared" si="163"/>
        <v>[cPtvxaZqXIH]|25-34|Male|VMMC_CIRC_SUBNAT.T_1|CY2024Q3</v>
      </c>
    </row>
    <row r="5249" spans="4:18" x14ac:dyDescent="0.2">
      <c r="D5249" t="s">
        <v>53</v>
      </c>
      <c r="E5249" t="s">
        <v>54</v>
      </c>
      <c r="F5249" t="s">
        <v>55</v>
      </c>
      <c r="G5249" t="s">
        <v>217</v>
      </c>
      <c r="H5249" t="s">
        <v>218</v>
      </c>
      <c r="I5249" t="s">
        <v>41</v>
      </c>
      <c r="J5249" t="s">
        <v>42</v>
      </c>
      <c r="K5249" t="s">
        <v>48</v>
      </c>
      <c r="L5249" t="s">
        <v>49</v>
      </c>
      <c r="M5249" t="s">
        <v>140</v>
      </c>
      <c r="N5249">
        <v>7306</v>
      </c>
      <c r="O5249">
        <v>0</v>
      </c>
      <c r="P5249">
        <v>0</v>
      </c>
      <c r="Q5249" t="str">
        <f t="shared" si="162"/>
        <v>25-34</v>
      </c>
      <c r="R5249" t="str">
        <f t="shared" si="163"/>
        <v>[cPtvxaZqXIH]|25-34|Male|VMMC_TOTALCIRC_SUBNAT.T_1|CY2024Q3</v>
      </c>
    </row>
    <row r="5250" spans="4:18" x14ac:dyDescent="0.2">
      <c r="D5250" t="s">
        <v>53</v>
      </c>
      <c r="E5250" t="s">
        <v>54</v>
      </c>
      <c r="F5250" t="s">
        <v>55</v>
      </c>
      <c r="G5250" t="s">
        <v>215</v>
      </c>
      <c r="H5250" t="s">
        <v>216</v>
      </c>
      <c r="I5250" t="s">
        <v>43</v>
      </c>
      <c r="J5250" t="s">
        <v>44</v>
      </c>
      <c r="K5250" t="s">
        <v>48</v>
      </c>
      <c r="L5250" t="s">
        <v>49</v>
      </c>
      <c r="M5250" t="s">
        <v>140</v>
      </c>
      <c r="N5250">
        <v>0</v>
      </c>
      <c r="O5250">
        <v>0</v>
      </c>
      <c r="P5250">
        <v>0</v>
      </c>
      <c r="Q5250" t="str">
        <f t="shared" si="162"/>
        <v>35-49</v>
      </c>
      <c r="R5250" t="str">
        <f t="shared" si="163"/>
        <v>[cPtvxaZqXIH]|35-49|Male|VMMC_CIRC_SUBNAT.T_1|CY2024Q3</v>
      </c>
    </row>
    <row r="5251" spans="4:18" x14ac:dyDescent="0.2">
      <c r="D5251" t="s">
        <v>53</v>
      </c>
      <c r="E5251" t="s">
        <v>54</v>
      </c>
      <c r="F5251" t="s">
        <v>55</v>
      </c>
      <c r="G5251" t="s">
        <v>217</v>
      </c>
      <c r="H5251" t="s">
        <v>218</v>
      </c>
      <c r="I5251" t="s">
        <v>43</v>
      </c>
      <c r="J5251" t="s">
        <v>44</v>
      </c>
      <c r="K5251" t="s">
        <v>48</v>
      </c>
      <c r="L5251" t="s">
        <v>49</v>
      </c>
      <c r="M5251" t="s">
        <v>140</v>
      </c>
      <c r="N5251">
        <v>4910</v>
      </c>
      <c r="O5251">
        <v>0</v>
      </c>
      <c r="P5251">
        <v>0</v>
      </c>
      <c r="Q5251" t="str">
        <f t="shared" ref="Q5251:Q5314" si="164">SUBSTITUTE(SUBSTITUTE($I5251,CHAR(61),""),CHAR(34),"")</f>
        <v>35-49</v>
      </c>
      <c r="R5251" t="str">
        <f t="shared" ref="R5251:R5314" si="165">IF($D5251&lt;&gt;"","["&amp;$E5251&amp;"]"&amp;"|"&amp;$Q5251&amp;"|"&amp;$K5251&amp;"|"&amp;$G5251&amp;"|"&amp;IF($G5251="TX_CURR_SUBNAT.R","CY2023Q4",$M5251),"")</f>
        <v>[cPtvxaZqXIH]|35-49|Male|VMMC_TOTALCIRC_SUBNAT.T_1|CY2024Q3</v>
      </c>
    </row>
    <row r="5252" spans="4:18" x14ac:dyDescent="0.2">
      <c r="D5252" t="s">
        <v>53</v>
      </c>
      <c r="E5252" t="s">
        <v>54</v>
      </c>
      <c r="F5252" t="s">
        <v>55</v>
      </c>
      <c r="G5252" t="s">
        <v>215</v>
      </c>
      <c r="H5252" t="s">
        <v>216</v>
      </c>
      <c r="I5252" t="s">
        <v>45</v>
      </c>
      <c r="J5252" t="s">
        <v>46</v>
      </c>
      <c r="K5252" t="s">
        <v>48</v>
      </c>
      <c r="L5252" t="s">
        <v>49</v>
      </c>
      <c r="M5252" t="s">
        <v>140</v>
      </c>
      <c r="N5252">
        <v>0</v>
      </c>
      <c r="O5252">
        <v>0</v>
      </c>
      <c r="P5252">
        <v>0</v>
      </c>
      <c r="Q5252" t="str">
        <f t="shared" si="164"/>
        <v>50+</v>
      </c>
      <c r="R5252" t="str">
        <f t="shared" si="165"/>
        <v>[cPtvxaZqXIH]|50+|Male|VMMC_CIRC_SUBNAT.T_1|CY2024Q3</v>
      </c>
    </row>
    <row r="5253" spans="4:18" x14ac:dyDescent="0.2">
      <c r="D5253" t="s">
        <v>53</v>
      </c>
      <c r="E5253" t="s">
        <v>54</v>
      </c>
      <c r="F5253" t="s">
        <v>55</v>
      </c>
      <c r="G5253" t="s">
        <v>217</v>
      </c>
      <c r="H5253" t="s">
        <v>218</v>
      </c>
      <c r="I5253" t="s">
        <v>45</v>
      </c>
      <c r="J5253" t="s">
        <v>46</v>
      </c>
      <c r="K5253" t="s">
        <v>48</v>
      </c>
      <c r="L5253" t="s">
        <v>49</v>
      </c>
      <c r="M5253" t="s">
        <v>140</v>
      </c>
      <c r="N5253">
        <v>1241</v>
      </c>
      <c r="O5253">
        <v>0</v>
      </c>
      <c r="P5253">
        <v>0</v>
      </c>
      <c r="Q5253" t="str">
        <f t="shared" si="164"/>
        <v>50+</v>
      </c>
      <c r="R5253" t="str">
        <f t="shared" si="165"/>
        <v>[cPtvxaZqXIH]|50+|Male|VMMC_TOTALCIRC_SUBNAT.T_1|CY2024Q3</v>
      </c>
    </row>
    <row r="5254" spans="4:18" x14ac:dyDescent="0.2">
      <c r="D5254" t="s">
        <v>60</v>
      </c>
      <c r="E5254" t="s">
        <v>61</v>
      </c>
      <c r="F5254" t="s">
        <v>62</v>
      </c>
      <c r="G5254" t="s">
        <v>215</v>
      </c>
      <c r="H5254" t="s">
        <v>216</v>
      </c>
      <c r="I5254" t="s">
        <v>38</v>
      </c>
      <c r="J5254" t="s">
        <v>39</v>
      </c>
      <c r="K5254" t="s">
        <v>48</v>
      </c>
      <c r="L5254" t="s">
        <v>49</v>
      </c>
      <c r="M5254" t="s">
        <v>140</v>
      </c>
      <c r="N5254">
        <v>0</v>
      </c>
      <c r="O5254">
        <v>0</v>
      </c>
      <c r="P5254">
        <v>0</v>
      </c>
      <c r="Q5254" t="str">
        <f t="shared" si="164"/>
        <v>15-24</v>
      </c>
      <c r="R5254" t="str">
        <f t="shared" si="165"/>
        <v>[E7zpfyBt7Tw]|15-24|Male|VMMC_CIRC_SUBNAT.T_1|CY2024Q3</v>
      </c>
    </row>
    <row r="5255" spans="4:18" x14ac:dyDescent="0.2">
      <c r="D5255" t="s">
        <v>60</v>
      </c>
      <c r="E5255" t="s">
        <v>61</v>
      </c>
      <c r="F5255" t="s">
        <v>62</v>
      </c>
      <c r="G5255" t="s">
        <v>217</v>
      </c>
      <c r="H5255" t="s">
        <v>218</v>
      </c>
      <c r="I5255" t="s">
        <v>38</v>
      </c>
      <c r="J5255" t="s">
        <v>39</v>
      </c>
      <c r="K5255" t="s">
        <v>48</v>
      </c>
      <c r="L5255" t="s">
        <v>49</v>
      </c>
      <c r="M5255" t="s">
        <v>140</v>
      </c>
      <c r="N5255">
        <v>2770</v>
      </c>
      <c r="O5255">
        <v>0</v>
      </c>
      <c r="P5255">
        <v>0</v>
      </c>
      <c r="Q5255" t="str">
        <f t="shared" si="164"/>
        <v>15-24</v>
      </c>
      <c r="R5255" t="str">
        <f t="shared" si="165"/>
        <v>[E7zpfyBt7Tw]|15-24|Male|VMMC_TOTALCIRC_SUBNAT.T_1|CY2024Q3</v>
      </c>
    </row>
    <row r="5256" spans="4:18" x14ac:dyDescent="0.2">
      <c r="D5256" t="s">
        <v>60</v>
      </c>
      <c r="E5256" t="s">
        <v>61</v>
      </c>
      <c r="F5256" t="s">
        <v>62</v>
      </c>
      <c r="G5256" t="s">
        <v>215</v>
      </c>
      <c r="H5256" t="s">
        <v>216</v>
      </c>
      <c r="I5256" t="s">
        <v>41</v>
      </c>
      <c r="J5256" t="s">
        <v>42</v>
      </c>
      <c r="K5256" t="s">
        <v>48</v>
      </c>
      <c r="L5256" t="s">
        <v>49</v>
      </c>
      <c r="M5256" t="s">
        <v>140</v>
      </c>
      <c r="N5256">
        <v>0</v>
      </c>
      <c r="O5256">
        <v>0</v>
      </c>
      <c r="P5256">
        <v>0</v>
      </c>
      <c r="Q5256" t="str">
        <f t="shared" si="164"/>
        <v>25-34</v>
      </c>
      <c r="R5256" t="str">
        <f t="shared" si="165"/>
        <v>[E7zpfyBt7Tw]|25-34|Male|VMMC_CIRC_SUBNAT.T_1|CY2024Q3</v>
      </c>
    </row>
    <row r="5257" spans="4:18" x14ac:dyDescent="0.2">
      <c r="D5257" t="s">
        <v>60</v>
      </c>
      <c r="E5257" t="s">
        <v>61</v>
      </c>
      <c r="F5257" t="s">
        <v>62</v>
      </c>
      <c r="G5257" t="s">
        <v>217</v>
      </c>
      <c r="H5257" t="s">
        <v>218</v>
      </c>
      <c r="I5257" t="s">
        <v>41</v>
      </c>
      <c r="J5257" t="s">
        <v>42</v>
      </c>
      <c r="K5257" t="s">
        <v>48</v>
      </c>
      <c r="L5257" t="s">
        <v>49</v>
      </c>
      <c r="M5257" t="s">
        <v>140</v>
      </c>
      <c r="N5257">
        <v>2848</v>
      </c>
      <c r="O5257">
        <v>0</v>
      </c>
      <c r="P5257">
        <v>0</v>
      </c>
      <c r="Q5257" t="str">
        <f t="shared" si="164"/>
        <v>25-34</v>
      </c>
      <c r="R5257" t="str">
        <f t="shared" si="165"/>
        <v>[E7zpfyBt7Tw]|25-34|Male|VMMC_TOTALCIRC_SUBNAT.T_1|CY2024Q3</v>
      </c>
    </row>
    <row r="5258" spans="4:18" x14ac:dyDescent="0.2">
      <c r="D5258" t="s">
        <v>60</v>
      </c>
      <c r="E5258" t="s">
        <v>61</v>
      </c>
      <c r="F5258" t="s">
        <v>62</v>
      </c>
      <c r="G5258" t="s">
        <v>215</v>
      </c>
      <c r="H5258" t="s">
        <v>216</v>
      </c>
      <c r="I5258" t="s">
        <v>43</v>
      </c>
      <c r="J5258" t="s">
        <v>44</v>
      </c>
      <c r="K5258" t="s">
        <v>48</v>
      </c>
      <c r="L5258" t="s">
        <v>49</v>
      </c>
      <c r="M5258" t="s">
        <v>140</v>
      </c>
      <c r="N5258">
        <v>0</v>
      </c>
      <c r="O5258">
        <v>0</v>
      </c>
      <c r="P5258">
        <v>0</v>
      </c>
      <c r="Q5258" t="str">
        <f t="shared" si="164"/>
        <v>35-49</v>
      </c>
      <c r="R5258" t="str">
        <f t="shared" si="165"/>
        <v>[E7zpfyBt7Tw]|35-49|Male|VMMC_CIRC_SUBNAT.T_1|CY2024Q3</v>
      </c>
    </row>
    <row r="5259" spans="4:18" x14ac:dyDescent="0.2">
      <c r="D5259" t="s">
        <v>60</v>
      </c>
      <c r="E5259" t="s">
        <v>61</v>
      </c>
      <c r="F5259" t="s">
        <v>62</v>
      </c>
      <c r="G5259" t="s">
        <v>217</v>
      </c>
      <c r="H5259" t="s">
        <v>218</v>
      </c>
      <c r="I5259" t="s">
        <v>43</v>
      </c>
      <c r="J5259" t="s">
        <v>44</v>
      </c>
      <c r="K5259" t="s">
        <v>48</v>
      </c>
      <c r="L5259" t="s">
        <v>49</v>
      </c>
      <c r="M5259" t="s">
        <v>140</v>
      </c>
      <c r="N5259">
        <v>2059</v>
      </c>
      <c r="O5259">
        <v>0</v>
      </c>
      <c r="P5259">
        <v>0</v>
      </c>
      <c r="Q5259" t="str">
        <f t="shared" si="164"/>
        <v>35-49</v>
      </c>
      <c r="R5259" t="str">
        <f t="shared" si="165"/>
        <v>[E7zpfyBt7Tw]|35-49|Male|VMMC_TOTALCIRC_SUBNAT.T_1|CY2024Q3</v>
      </c>
    </row>
    <row r="5260" spans="4:18" x14ac:dyDescent="0.2">
      <c r="D5260" t="s">
        <v>60</v>
      </c>
      <c r="E5260" t="s">
        <v>61</v>
      </c>
      <c r="F5260" t="s">
        <v>62</v>
      </c>
      <c r="G5260" t="s">
        <v>215</v>
      </c>
      <c r="H5260" t="s">
        <v>216</v>
      </c>
      <c r="I5260" t="s">
        <v>45</v>
      </c>
      <c r="J5260" t="s">
        <v>46</v>
      </c>
      <c r="K5260" t="s">
        <v>48</v>
      </c>
      <c r="L5260" t="s">
        <v>49</v>
      </c>
      <c r="M5260" t="s">
        <v>140</v>
      </c>
      <c r="N5260">
        <v>0</v>
      </c>
      <c r="O5260">
        <v>0</v>
      </c>
      <c r="P5260">
        <v>0</v>
      </c>
      <c r="Q5260" t="str">
        <f t="shared" si="164"/>
        <v>50+</v>
      </c>
      <c r="R5260" t="str">
        <f t="shared" si="165"/>
        <v>[E7zpfyBt7Tw]|50+|Male|VMMC_CIRC_SUBNAT.T_1|CY2024Q3</v>
      </c>
    </row>
    <row r="5261" spans="4:18" x14ac:dyDescent="0.2">
      <c r="D5261" t="s">
        <v>60</v>
      </c>
      <c r="E5261" t="s">
        <v>61</v>
      </c>
      <c r="F5261" t="s">
        <v>62</v>
      </c>
      <c r="G5261" t="s">
        <v>217</v>
      </c>
      <c r="H5261" t="s">
        <v>218</v>
      </c>
      <c r="I5261" t="s">
        <v>45</v>
      </c>
      <c r="J5261" t="s">
        <v>46</v>
      </c>
      <c r="K5261" t="s">
        <v>48</v>
      </c>
      <c r="L5261" t="s">
        <v>49</v>
      </c>
      <c r="M5261" t="s">
        <v>140</v>
      </c>
      <c r="N5261">
        <v>574</v>
      </c>
      <c r="O5261">
        <v>0</v>
      </c>
      <c r="P5261">
        <v>0</v>
      </c>
      <c r="Q5261" t="str">
        <f t="shared" si="164"/>
        <v>50+</v>
      </c>
      <c r="R5261" t="str">
        <f t="shared" si="165"/>
        <v>[E7zpfyBt7Tw]|50+|Male|VMMC_TOTALCIRC_SUBNAT.T_1|CY2024Q3</v>
      </c>
    </row>
    <row r="5262" spans="4:18" x14ac:dyDescent="0.2">
      <c r="D5262" t="s">
        <v>63</v>
      </c>
      <c r="E5262" t="s">
        <v>64</v>
      </c>
      <c r="F5262" t="s">
        <v>65</v>
      </c>
      <c r="G5262" t="s">
        <v>215</v>
      </c>
      <c r="H5262" t="s">
        <v>216</v>
      </c>
      <c r="I5262" t="s">
        <v>38</v>
      </c>
      <c r="J5262" t="s">
        <v>39</v>
      </c>
      <c r="K5262" t="s">
        <v>48</v>
      </c>
      <c r="L5262" t="s">
        <v>49</v>
      </c>
      <c r="M5262" t="s">
        <v>140</v>
      </c>
      <c r="N5262">
        <v>0</v>
      </c>
      <c r="O5262">
        <v>0</v>
      </c>
      <c r="P5262">
        <v>0</v>
      </c>
      <c r="Q5262" t="str">
        <f t="shared" si="164"/>
        <v>15-24</v>
      </c>
      <c r="R5262" t="str">
        <f t="shared" si="165"/>
        <v>[lPTyjLi4w3d]|15-24|Male|VMMC_CIRC_SUBNAT.T_1|CY2024Q3</v>
      </c>
    </row>
    <row r="5263" spans="4:18" x14ac:dyDescent="0.2">
      <c r="D5263" t="s">
        <v>63</v>
      </c>
      <c r="E5263" t="s">
        <v>64</v>
      </c>
      <c r="F5263" t="s">
        <v>65</v>
      </c>
      <c r="G5263" t="s">
        <v>217</v>
      </c>
      <c r="H5263" t="s">
        <v>218</v>
      </c>
      <c r="I5263" t="s">
        <v>38</v>
      </c>
      <c r="J5263" t="s">
        <v>39</v>
      </c>
      <c r="K5263" t="s">
        <v>48</v>
      </c>
      <c r="L5263" t="s">
        <v>49</v>
      </c>
      <c r="M5263" t="s">
        <v>140</v>
      </c>
      <c r="N5263">
        <v>2229</v>
      </c>
      <c r="O5263">
        <v>0</v>
      </c>
      <c r="P5263">
        <v>0</v>
      </c>
      <c r="Q5263" t="str">
        <f t="shared" si="164"/>
        <v>15-24</v>
      </c>
      <c r="R5263" t="str">
        <f t="shared" si="165"/>
        <v>[lPTyjLi4w3d]|15-24|Male|VMMC_TOTALCIRC_SUBNAT.T_1|CY2024Q3</v>
      </c>
    </row>
    <row r="5264" spans="4:18" x14ac:dyDescent="0.2">
      <c r="D5264" t="s">
        <v>63</v>
      </c>
      <c r="E5264" t="s">
        <v>64</v>
      </c>
      <c r="F5264" t="s">
        <v>65</v>
      </c>
      <c r="G5264" t="s">
        <v>215</v>
      </c>
      <c r="H5264" t="s">
        <v>216</v>
      </c>
      <c r="I5264" t="s">
        <v>41</v>
      </c>
      <c r="J5264" t="s">
        <v>42</v>
      </c>
      <c r="K5264" t="s">
        <v>48</v>
      </c>
      <c r="L5264" t="s">
        <v>49</v>
      </c>
      <c r="M5264" t="s">
        <v>140</v>
      </c>
      <c r="N5264">
        <v>0</v>
      </c>
      <c r="O5264">
        <v>0</v>
      </c>
      <c r="P5264">
        <v>0</v>
      </c>
      <c r="Q5264" t="str">
        <f t="shared" si="164"/>
        <v>25-34</v>
      </c>
      <c r="R5264" t="str">
        <f t="shared" si="165"/>
        <v>[lPTyjLi4w3d]|25-34|Male|VMMC_CIRC_SUBNAT.T_1|CY2024Q3</v>
      </c>
    </row>
    <row r="5265" spans="4:18" x14ac:dyDescent="0.2">
      <c r="D5265" t="s">
        <v>63</v>
      </c>
      <c r="E5265" t="s">
        <v>64</v>
      </c>
      <c r="F5265" t="s">
        <v>65</v>
      </c>
      <c r="G5265" t="s">
        <v>217</v>
      </c>
      <c r="H5265" t="s">
        <v>218</v>
      </c>
      <c r="I5265" t="s">
        <v>41</v>
      </c>
      <c r="J5265" t="s">
        <v>42</v>
      </c>
      <c r="K5265" t="s">
        <v>48</v>
      </c>
      <c r="L5265" t="s">
        <v>49</v>
      </c>
      <c r="M5265" t="s">
        <v>140</v>
      </c>
      <c r="N5265">
        <v>2440</v>
      </c>
      <c r="O5265">
        <v>0</v>
      </c>
      <c r="P5265">
        <v>0</v>
      </c>
      <c r="Q5265" t="str">
        <f t="shared" si="164"/>
        <v>25-34</v>
      </c>
      <c r="R5265" t="str">
        <f t="shared" si="165"/>
        <v>[lPTyjLi4w3d]|25-34|Male|VMMC_TOTALCIRC_SUBNAT.T_1|CY2024Q3</v>
      </c>
    </row>
    <row r="5266" spans="4:18" x14ac:dyDescent="0.2">
      <c r="D5266" t="s">
        <v>63</v>
      </c>
      <c r="E5266" t="s">
        <v>64</v>
      </c>
      <c r="F5266" t="s">
        <v>65</v>
      </c>
      <c r="G5266" t="s">
        <v>215</v>
      </c>
      <c r="H5266" t="s">
        <v>216</v>
      </c>
      <c r="I5266" t="s">
        <v>43</v>
      </c>
      <c r="J5266" t="s">
        <v>44</v>
      </c>
      <c r="K5266" t="s">
        <v>48</v>
      </c>
      <c r="L5266" t="s">
        <v>49</v>
      </c>
      <c r="M5266" t="s">
        <v>140</v>
      </c>
      <c r="N5266">
        <v>0</v>
      </c>
      <c r="O5266">
        <v>0</v>
      </c>
      <c r="P5266">
        <v>0</v>
      </c>
      <c r="Q5266" t="str">
        <f t="shared" si="164"/>
        <v>35-49</v>
      </c>
      <c r="R5266" t="str">
        <f t="shared" si="165"/>
        <v>[lPTyjLi4w3d]|35-49|Male|VMMC_CIRC_SUBNAT.T_1|CY2024Q3</v>
      </c>
    </row>
    <row r="5267" spans="4:18" x14ac:dyDescent="0.2">
      <c r="D5267" t="s">
        <v>63</v>
      </c>
      <c r="E5267" t="s">
        <v>64</v>
      </c>
      <c r="F5267" t="s">
        <v>65</v>
      </c>
      <c r="G5267" t="s">
        <v>217</v>
      </c>
      <c r="H5267" t="s">
        <v>218</v>
      </c>
      <c r="I5267" t="s">
        <v>43</v>
      </c>
      <c r="J5267" t="s">
        <v>44</v>
      </c>
      <c r="K5267" t="s">
        <v>48</v>
      </c>
      <c r="L5267" t="s">
        <v>49</v>
      </c>
      <c r="M5267" t="s">
        <v>140</v>
      </c>
      <c r="N5267">
        <v>1652</v>
      </c>
      <c r="O5267">
        <v>0</v>
      </c>
      <c r="P5267">
        <v>0</v>
      </c>
      <c r="Q5267" t="str">
        <f t="shared" si="164"/>
        <v>35-49</v>
      </c>
      <c r="R5267" t="str">
        <f t="shared" si="165"/>
        <v>[lPTyjLi4w3d]|35-49|Male|VMMC_TOTALCIRC_SUBNAT.T_1|CY2024Q3</v>
      </c>
    </row>
    <row r="5268" spans="4:18" x14ac:dyDescent="0.2">
      <c r="D5268" t="s">
        <v>63</v>
      </c>
      <c r="E5268" t="s">
        <v>64</v>
      </c>
      <c r="F5268" t="s">
        <v>65</v>
      </c>
      <c r="G5268" t="s">
        <v>215</v>
      </c>
      <c r="H5268" t="s">
        <v>216</v>
      </c>
      <c r="I5268" t="s">
        <v>45</v>
      </c>
      <c r="J5268" t="s">
        <v>46</v>
      </c>
      <c r="K5268" t="s">
        <v>48</v>
      </c>
      <c r="L5268" t="s">
        <v>49</v>
      </c>
      <c r="M5268" t="s">
        <v>140</v>
      </c>
      <c r="N5268">
        <v>0</v>
      </c>
      <c r="O5268">
        <v>0</v>
      </c>
      <c r="P5268">
        <v>0</v>
      </c>
      <c r="Q5268" t="str">
        <f t="shared" si="164"/>
        <v>50+</v>
      </c>
      <c r="R5268" t="str">
        <f t="shared" si="165"/>
        <v>[lPTyjLi4w3d]|50+|Male|VMMC_CIRC_SUBNAT.T_1|CY2024Q3</v>
      </c>
    </row>
    <row r="5269" spans="4:18" x14ac:dyDescent="0.2">
      <c r="D5269" t="s">
        <v>63</v>
      </c>
      <c r="E5269" t="s">
        <v>64</v>
      </c>
      <c r="F5269" t="s">
        <v>65</v>
      </c>
      <c r="G5269" t="s">
        <v>217</v>
      </c>
      <c r="H5269" t="s">
        <v>218</v>
      </c>
      <c r="I5269" t="s">
        <v>45</v>
      </c>
      <c r="J5269" t="s">
        <v>46</v>
      </c>
      <c r="K5269" t="s">
        <v>48</v>
      </c>
      <c r="L5269" t="s">
        <v>49</v>
      </c>
      <c r="M5269" t="s">
        <v>140</v>
      </c>
      <c r="N5269">
        <v>423</v>
      </c>
      <c r="O5269">
        <v>0</v>
      </c>
      <c r="P5269">
        <v>0</v>
      </c>
      <c r="Q5269" t="str">
        <f t="shared" si="164"/>
        <v>50+</v>
      </c>
      <c r="R5269" t="str">
        <f t="shared" si="165"/>
        <v>[lPTyjLi4w3d]|50+|Male|VMMC_TOTALCIRC_SUBNAT.T_1|CY2024Q3</v>
      </c>
    </row>
    <row r="5270" spans="4:18" x14ac:dyDescent="0.2">
      <c r="D5270" t="s">
        <v>66</v>
      </c>
      <c r="E5270" t="s">
        <v>67</v>
      </c>
      <c r="F5270" t="s">
        <v>68</v>
      </c>
      <c r="G5270" t="s">
        <v>215</v>
      </c>
      <c r="H5270" t="s">
        <v>216</v>
      </c>
      <c r="I5270" t="s">
        <v>38</v>
      </c>
      <c r="J5270" t="s">
        <v>39</v>
      </c>
      <c r="K5270" t="s">
        <v>48</v>
      </c>
      <c r="L5270" t="s">
        <v>49</v>
      </c>
      <c r="M5270" t="s">
        <v>140</v>
      </c>
      <c r="N5270">
        <v>0</v>
      </c>
      <c r="O5270">
        <v>0</v>
      </c>
      <c r="P5270">
        <v>0</v>
      </c>
      <c r="Q5270" t="str">
        <f t="shared" si="164"/>
        <v>15-24</v>
      </c>
      <c r="R5270" t="str">
        <f t="shared" si="165"/>
        <v>[vA4NcHxfMBq]|15-24|Male|VMMC_CIRC_SUBNAT.T_1|CY2024Q3</v>
      </c>
    </row>
    <row r="5271" spans="4:18" x14ac:dyDescent="0.2">
      <c r="D5271" t="s">
        <v>66</v>
      </c>
      <c r="E5271" t="s">
        <v>67</v>
      </c>
      <c r="F5271" t="s">
        <v>68</v>
      </c>
      <c r="G5271" t="s">
        <v>217</v>
      </c>
      <c r="H5271" t="s">
        <v>218</v>
      </c>
      <c r="I5271" t="s">
        <v>38</v>
      </c>
      <c r="J5271" t="s">
        <v>39</v>
      </c>
      <c r="K5271" t="s">
        <v>48</v>
      </c>
      <c r="L5271" t="s">
        <v>49</v>
      </c>
      <c r="M5271" t="s">
        <v>140</v>
      </c>
      <c r="N5271">
        <v>14822</v>
      </c>
      <c r="O5271">
        <v>0</v>
      </c>
      <c r="P5271">
        <v>0</v>
      </c>
      <c r="Q5271" t="str">
        <f t="shared" si="164"/>
        <v>15-24</v>
      </c>
      <c r="R5271" t="str">
        <f t="shared" si="165"/>
        <v>[vA4NcHxfMBq]|15-24|Male|VMMC_TOTALCIRC_SUBNAT.T_1|CY2024Q3</v>
      </c>
    </row>
    <row r="5272" spans="4:18" x14ac:dyDescent="0.2">
      <c r="D5272" t="s">
        <v>66</v>
      </c>
      <c r="E5272" t="s">
        <v>67</v>
      </c>
      <c r="F5272" t="s">
        <v>68</v>
      </c>
      <c r="G5272" t="s">
        <v>215</v>
      </c>
      <c r="H5272" t="s">
        <v>216</v>
      </c>
      <c r="I5272" t="s">
        <v>41</v>
      </c>
      <c r="J5272" t="s">
        <v>42</v>
      </c>
      <c r="K5272" t="s">
        <v>48</v>
      </c>
      <c r="L5272" t="s">
        <v>49</v>
      </c>
      <c r="M5272" t="s">
        <v>140</v>
      </c>
      <c r="N5272">
        <v>0</v>
      </c>
      <c r="O5272">
        <v>0</v>
      </c>
      <c r="P5272">
        <v>0</v>
      </c>
      <c r="Q5272" t="str">
        <f t="shared" si="164"/>
        <v>25-34</v>
      </c>
      <c r="R5272" t="str">
        <f t="shared" si="165"/>
        <v>[vA4NcHxfMBq]|25-34|Male|VMMC_CIRC_SUBNAT.T_1|CY2024Q3</v>
      </c>
    </row>
    <row r="5273" spans="4:18" x14ac:dyDescent="0.2">
      <c r="D5273" t="s">
        <v>66</v>
      </c>
      <c r="E5273" t="s">
        <v>67</v>
      </c>
      <c r="F5273" t="s">
        <v>68</v>
      </c>
      <c r="G5273" t="s">
        <v>217</v>
      </c>
      <c r="H5273" t="s">
        <v>218</v>
      </c>
      <c r="I5273" t="s">
        <v>41</v>
      </c>
      <c r="J5273" t="s">
        <v>42</v>
      </c>
      <c r="K5273" t="s">
        <v>48</v>
      </c>
      <c r="L5273" t="s">
        <v>49</v>
      </c>
      <c r="M5273" t="s">
        <v>140</v>
      </c>
      <c r="N5273">
        <v>14233</v>
      </c>
      <c r="O5273">
        <v>0</v>
      </c>
      <c r="P5273">
        <v>0</v>
      </c>
      <c r="Q5273" t="str">
        <f t="shared" si="164"/>
        <v>25-34</v>
      </c>
      <c r="R5273" t="str">
        <f t="shared" si="165"/>
        <v>[vA4NcHxfMBq]|25-34|Male|VMMC_TOTALCIRC_SUBNAT.T_1|CY2024Q3</v>
      </c>
    </row>
    <row r="5274" spans="4:18" x14ac:dyDescent="0.2">
      <c r="D5274" t="s">
        <v>66</v>
      </c>
      <c r="E5274" t="s">
        <v>67</v>
      </c>
      <c r="F5274" t="s">
        <v>68</v>
      </c>
      <c r="G5274" t="s">
        <v>215</v>
      </c>
      <c r="H5274" t="s">
        <v>216</v>
      </c>
      <c r="I5274" t="s">
        <v>43</v>
      </c>
      <c r="J5274" t="s">
        <v>44</v>
      </c>
      <c r="K5274" t="s">
        <v>48</v>
      </c>
      <c r="L5274" t="s">
        <v>49</v>
      </c>
      <c r="M5274" t="s">
        <v>140</v>
      </c>
      <c r="N5274">
        <v>0</v>
      </c>
      <c r="O5274">
        <v>0</v>
      </c>
      <c r="P5274">
        <v>0</v>
      </c>
      <c r="Q5274" t="str">
        <f t="shared" si="164"/>
        <v>35-49</v>
      </c>
      <c r="R5274" t="str">
        <f t="shared" si="165"/>
        <v>[vA4NcHxfMBq]|35-49|Male|VMMC_CIRC_SUBNAT.T_1|CY2024Q3</v>
      </c>
    </row>
    <row r="5275" spans="4:18" x14ac:dyDescent="0.2">
      <c r="D5275" t="s">
        <v>66</v>
      </c>
      <c r="E5275" t="s">
        <v>67</v>
      </c>
      <c r="F5275" t="s">
        <v>68</v>
      </c>
      <c r="G5275" t="s">
        <v>217</v>
      </c>
      <c r="H5275" t="s">
        <v>218</v>
      </c>
      <c r="I5275" t="s">
        <v>43</v>
      </c>
      <c r="J5275" t="s">
        <v>44</v>
      </c>
      <c r="K5275" t="s">
        <v>48</v>
      </c>
      <c r="L5275" t="s">
        <v>49</v>
      </c>
      <c r="M5275" t="s">
        <v>140</v>
      </c>
      <c r="N5275">
        <v>10130</v>
      </c>
      <c r="O5275">
        <v>0</v>
      </c>
      <c r="P5275">
        <v>0</v>
      </c>
      <c r="Q5275" t="str">
        <f t="shared" si="164"/>
        <v>35-49</v>
      </c>
      <c r="R5275" t="str">
        <f t="shared" si="165"/>
        <v>[vA4NcHxfMBq]|35-49|Male|VMMC_TOTALCIRC_SUBNAT.T_1|CY2024Q3</v>
      </c>
    </row>
    <row r="5276" spans="4:18" x14ac:dyDescent="0.2">
      <c r="D5276" t="s">
        <v>66</v>
      </c>
      <c r="E5276" t="s">
        <v>67</v>
      </c>
      <c r="F5276" t="s">
        <v>68</v>
      </c>
      <c r="G5276" t="s">
        <v>215</v>
      </c>
      <c r="H5276" t="s">
        <v>216</v>
      </c>
      <c r="I5276" t="s">
        <v>45</v>
      </c>
      <c r="J5276" t="s">
        <v>46</v>
      </c>
      <c r="K5276" t="s">
        <v>48</v>
      </c>
      <c r="L5276" t="s">
        <v>49</v>
      </c>
      <c r="M5276" t="s">
        <v>140</v>
      </c>
      <c r="N5276">
        <v>0</v>
      </c>
      <c r="O5276">
        <v>0</v>
      </c>
      <c r="P5276">
        <v>0</v>
      </c>
      <c r="Q5276" t="str">
        <f t="shared" si="164"/>
        <v>50+</v>
      </c>
      <c r="R5276" t="str">
        <f t="shared" si="165"/>
        <v>[vA4NcHxfMBq]|50+|Male|VMMC_CIRC_SUBNAT.T_1|CY2024Q3</v>
      </c>
    </row>
    <row r="5277" spans="4:18" x14ac:dyDescent="0.2">
      <c r="D5277" t="s">
        <v>66</v>
      </c>
      <c r="E5277" t="s">
        <v>67</v>
      </c>
      <c r="F5277" t="s">
        <v>68</v>
      </c>
      <c r="G5277" t="s">
        <v>217</v>
      </c>
      <c r="H5277" t="s">
        <v>218</v>
      </c>
      <c r="I5277" t="s">
        <v>45</v>
      </c>
      <c r="J5277" t="s">
        <v>46</v>
      </c>
      <c r="K5277" t="s">
        <v>48</v>
      </c>
      <c r="L5277" t="s">
        <v>49</v>
      </c>
      <c r="M5277" t="s">
        <v>140</v>
      </c>
      <c r="N5277">
        <v>2825</v>
      </c>
      <c r="O5277">
        <v>0</v>
      </c>
      <c r="P5277">
        <v>0</v>
      </c>
      <c r="Q5277" t="str">
        <f t="shared" si="164"/>
        <v>50+</v>
      </c>
      <c r="R5277" t="str">
        <f t="shared" si="165"/>
        <v>[vA4NcHxfMBq]|50+|Male|VMMC_TOTALCIRC_SUBNAT.T_1|CY2024Q3</v>
      </c>
    </row>
    <row r="5278" spans="4:18" x14ac:dyDescent="0.2">
      <c r="D5278" t="s">
        <v>69</v>
      </c>
      <c r="E5278" t="s">
        <v>70</v>
      </c>
      <c r="F5278" t="s">
        <v>71</v>
      </c>
      <c r="G5278" t="s">
        <v>215</v>
      </c>
      <c r="H5278" t="s">
        <v>216</v>
      </c>
      <c r="I5278" t="s">
        <v>38</v>
      </c>
      <c r="J5278" t="s">
        <v>39</v>
      </c>
      <c r="K5278" t="s">
        <v>48</v>
      </c>
      <c r="L5278" t="s">
        <v>49</v>
      </c>
      <c r="M5278" t="s">
        <v>140</v>
      </c>
      <c r="N5278">
        <v>0</v>
      </c>
      <c r="O5278">
        <v>0</v>
      </c>
      <c r="P5278">
        <v>0</v>
      </c>
      <c r="Q5278" t="str">
        <f t="shared" si="164"/>
        <v>15-24</v>
      </c>
      <c r="R5278" t="str">
        <f t="shared" si="165"/>
        <v>[ZCjuwgaMB9u]|15-24|Male|VMMC_CIRC_SUBNAT.T_1|CY2024Q3</v>
      </c>
    </row>
    <row r="5279" spans="4:18" x14ac:dyDescent="0.2">
      <c r="D5279" t="s">
        <v>69</v>
      </c>
      <c r="E5279" t="s">
        <v>70</v>
      </c>
      <c r="F5279" t="s">
        <v>71</v>
      </c>
      <c r="G5279" t="s">
        <v>217</v>
      </c>
      <c r="H5279" t="s">
        <v>218</v>
      </c>
      <c r="I5279" t="s">
        <v>38</v>
      </c>
      <c r="J5279" t="s">
        <v>39</v>
      </c>
      <c r="K5279" t="s">
        <v>48</v>
      </c>
      <c r="L5279" t="s">
        <v>49</v>
      </c>
      <c r="M5279" t="s">
        <v>140</v>
      </c>
      <c r="N5279">
        <v>446</v>
      </c>
      <c r="O5279">
        <v>0</v>
      </c>
      <c r="P5279">
        <v>0</v>
      </c>
      <c r="Q5279" t="str">
        <f t="shared" si="164"/>
        <v>15-24</v>
      </c>
      <c r="R5279" t="str">
        <f t="shared" si="165"/>
        <v>[ZCjuwgaMB9u]|15-24|Male|VMMC_TOTALCIRC_SUBNAT.T_1|CY2024Q3</v>
      </c>
    </row>
    <row r="5280" spans="4:18" x14ac:dyDescent="0.2">
      <c r="D5280" t="s">
        <v>69</v>
      </c>
      <c r="E5280" t="s">
        <v>70</v>
      </c>
      <c r="F5280" t="s">
        <v>71</v>
      </c>
      <c r="G5280" t="s">
        <v>215</v>
      </c>
      <c r="H5280" t="s">
        <v>216</v>
      </c>
      <c r="I5280" t="s">
        <v>41</v>
      </c>
      <c r="J5280" t="s">
        <v>42</v>
      </c>
      <c r="K5280" t="s">
        <v>48</v>
      </c>
      <c r="L5280" t="s">
        <v>49</v>
      </c>
      <c r="M5280" t="s">
        <v>140</v>
      </c>
      <c r="N5280">
        <v>0</v>
      </c>
      <c r="O5280">
        <v>0</v>
      </c>
      <c r="P5280">
        <v>0</v>
      </c>
      <c r="Q5280" t="str">
        <f t="shared" si="164"/>
        <v>25-34</v>
      </c>
      <c r="R5280" t="str">
        <f t="shared" si="165"/>
        <v>[ZCjuwgaMB9u]|25-34|Male|VMMC_CIRC_SUBNAT.T_1|CY2024Q3</v>
      </c>
    </row>
    <row r="5281" spans="4:18" x14ac:dyDescent="0.2">
      <c r="D5281" t="s">
        <v>69</v>
      </c>
      <c r="E5281" t="s">
        <v>70</v>
      </c>
      <c r="F5281" t="s">
        <v>71</v>
      </c>
      <c r="G5281" t="s">
        <v>217</v>
      </c>
      <c r="H5281" t="s">
        <v>218</v>
      </c>
      <c r="I5281" t="s">
        <v>41</v>
      </c>
      <c r="J5281" t="s">
        <v>42</v>
      </c>
      <c r="K5281" t="s">
        <v>48</v>
      </c>
      <c r="L5281" t="s">
        <v>49</v>
      </c>
      <c r="M5281" t="s">
        <v>140</v>
      </c>
      <c r="N5281">
        <v>429</v>
      </c>
      <c r="O5281">
        <v>0</v>
      </c>
      <c r="P5281">
        <v>0</v>
      </c>
      <c r="Q5281" t="str">
        <f t="shared" si="164"/>
        <v>25-34</v>
      </c>
      <c r="R5281" t="str">
        <f t="shared" si="165"/>
        <v>[ZCjuwgaMB9u]|25-34|Male|VMMC_TOTALCIRC_SUBNAT.T_1|CY2024Q3</v>
      </c>
    </row>
    <row r="5282" spans="4:18" x14ac:dyDescent="0.2">
      <c r="D5282" t="s">
        <v>69</v>
      </c>
      <c r="E5282" t="s">
        <v>70</v>
      </c>
      <c r="F5282" t="s">
        <v>71</v>
      </c>
      <c r="G5282" t="s">
        <v>215</v>
      </c>
      <c r="H5282" t="s">
        <v>216</v>
      </c>
      <c r="I5282" t="s">
        <v>43</v>
      </c>
      <c r="J5282" t="s">
        <v>44</v>
      </c>
      <c r="K5282" t="s">
        <v>48</v>
      </c>
      <c r="L5282" t="s">
        <v>49</v>
      </c>
      <c r="M5282" t="s">
        <v>140</v>
      </c>
      <c r="N5282">
        <v>0</v>
      </c>
      <c r="O5282">
        <v>0</v>
      </c>
      <c r="P5282">
        <v>0</v>
      </c>
      <c r="Q5282" t="str">
        <f t="shared" si="164"/>
        <v>35-49</v>
      </c>
      <c r="R5282" t="str">
        <f t="shared" si="165"/>
        <v>[ZCjuwgaMB9u]|35-49|Male|VMMC_CIRC_SUBNAT.T_1|CY2024Q3</v>
      </c>
    </row>
    <row r="5283" spans="4:18" x14ac:dyDescent="0.2">
      <c r="D5283" t="s">
        <v>69</v>
      </c>
      <c r="E5283" t="s">
        <v>70</v>
      </c>
      <c r="F5283" t="s">
        <v>71</v>
      </c>
      <c r="G5283" t="s">
        <v>217</v>
      </c>
      <c r="H5283" t="s">
        <v>218</v>
      </c>
      <c r="I5283" t="s">
        <v>43</v>
      </c>
      <c r="J5283" t="s">
        <v>44</v>
      </c>
      <c r="K5283" t="s">
        <v>48</v>
      </c>
      <c r="L5283" t="s">
        <v>49</v>
      </c>
      <c r="M5283" t="s">
        <v>140</v>
      </c>
      <c r="N5283">
        <v>291</v>
      </c>
      <c r="O5283">
        <v>0</v>
      </c>
      <c r="P5283">
        <v>0</v>
      </c>
      <c r="Q5283" t="str">
        <f t="shared" si="164"/>
        <v>35-49</v>
      </c>
      <c r="R5283" t="str">
        <f t="shared" si="165"/>
        <v>[ZCjuwgaMB9u]|35-49|Male|VMMC_TOTALCIRC_SUBNAT.T_1|CY2024Q3</v>
      </c>
    </row>
    <row r="5284" spans="4:18" x14ac:dyDescent="0.2">
      <c r="D5284" t="s">
        <v>69</v>
      </c>
      <c r="E5284" t="s">
        <v>70</v>
      </c>
      <c r="F5284" t="s">
        <v>71</v>
      </c>
      <c r="G5284" t="s">
        <v>215</v>
      </c>
      <c r="H5284" t="s">
        <v>216</v>
      </c>
      <c r="I5284" t="s">
        <v>45</v>
      </c>
      <c r="J5284" t="s">
        <v>46</v>
      </c>
      <c r="K5284" t="s">
        <v>48</v>
      </c>
      <c r="L5284" t="s">
        <v>49</v>
      </c>
      <c r="M5284" t="s">
        <v>140</v>
      </c>
      <c r="N5284">
        <v>0</v>
      </c>
      <c r="O5284">
        <v>0</v>
      </c>
      <c r="P5284">
        <v>0</v>
      </c>
      <c r="Q5284" t="str">
        <f t="shared" si="164"/>
        <v>50+</v>
      </c>
      <c r="R5284" t="str">
        <f t="shared" si="165"/>
        <v>[ZCjuwgaMB9u]|50+|Male|VMMC_CIRC_SUBNAT.T_1|CY2024Q3</v>
      </c>
    </row>
    <row r="5285" spans="4:18" x14ac:dyDescent="0.2">
      <c r="D5285" t="s">
        <v>69</v>
      </c>
      <c r="E5285" t="s">
        <v>70</v>
      </c>
      <c r="F5285" t="s">
        <v>71</v>
      </c>
      <c r="G5285" t="s">
        <v>217</v>
      </c>
      <c r="H5285" t="s">
        <v>218</v>
      </c>
      <c r="I5285" t="s">
        <v>45</v>
      </c>
      <c r="J5285" t="s">
        <v>46</v>
      </c>
      <c r="K5285" t="s">
        <v>48</v>
      </c>
      <c r="L5285" t="s">
        <v>49</v>
      </c>
      <c r="M5285" t="s">
        <v>140</v>
      </c>
      <c r="N5285">
        <v>81</v>
      </c>
      <c r="O5285">
        <v>0</v>
      </c>
      <c r="P5285">
        <v>0</v>
      </c>
      <c r="Q5285" t="str">
        <f t="shared" si="164"/>
        <v>50+</v>
      </c>
      <c r="R5285" t="str">
        <f t="shared" si="165"/>
        <v>[ZCjuwgaMB9u]|50+|Male|VMMC_TOTALCIRC_SUBNAT.T_1|CY2024Q3</v>
      </c>
    </row>
    <row r="5286" spans="4:18" x14ac:dyDescent="0.2">
      <c r="D5286" t="s">
        <v>72</v>
      </c>
      <c r="E5286" t="s">
        <v>73</v>
      </c>
      <c r="F5286" t="s">
        <v>74</v>
      </c>
      <c r="G5286" t="s">
        <v>215</v>
      </c>
      <c r="H5286" t="s">
        <v>216</v>
      </c>
      <c r="I5286" t="s">
        <v>38</v>
      </c>
      <c r="J5286" t="s">
        <v>39</v>
      </c>
      <c r="K5286" t="s">
        <v>48</v>
      </c>
      <c r="L5286" t="s">
        <v>49</v>
      </c>
      <c r="M5286" t="s">
        <v>140</v>
      </c>
      <c r="N5286">
        <v>0</v>
      </c>
      <c r="O5286">
        <v>0</v>
      </c>
      <c r="P5286">
        <v>0</v>
      </c>
      <c r="Q5286" t="str">
        <f t="shared" si="164"/>
        <v>15-24</v>
      </c>
      <c r="R5286" t="str">
        <f t="shared" si="165"/>
        <v>[JQKLKuVuY61]|15-24|Male|VMMC_CIRC_SUBNAT.T_1|CY2024Q3</v>
      </c>
    </row>
    <row r="5287" spans="4:18" x14ac:dyDescent="0.2">
      <c r="D5287" t="s">
        <v>72</v>
      </c>
      <c r="E5287" t="s">
        <v>73</v>
      </c>
      <c r="F5287" t="s">
        <v>74</v>
      </c>
      <c r="G5287" t="s">
        <v>217</v>
      </c>
      <c r="H5287" t="s">
        <v>218</v>
      </c>
      <c r="I5287" t="s">
        <v>38</v>
      </c>
      <c r="J5287" t="s">
        <v>39</v>
      </c>
      <c r="K5287" t="s">
        <v>48</v>
      </c>
      <c r="L5287" t="s">
        <v>49</v>
      </c>
      <c r="M5287" t="s">
        <v>140</v>
      </c>
      <c r="N5287">
        <v>12771</v>
      </c>
      <c r="O5287">
        <v>0</v>
      </c>
      <c r="P5287">
        <v>0</v>
      </c>
      <c r="Q5287" t="str">
        <f t="shared" si="164"/>
        <v>15-24</v>
      </c>
      <c r="R5287" t="str">
        <f t="shared" si="165"/>
        <v>[JQKLKuVuY61]|15-24|Male|VMMC_TOTALCIRC_SUBNAT.T_1|CY2024Q3</v>
      </c>
    </row>
    <row r="5288" spans="4:18" x14ac:dyDescent="0.2">
      <c r="D5288" t="s">
        <v>72</v>
      </c>
      <c r="E5288" t="s">
        <v>73</v>
      </c>
      <c r="F5288" t="s">
        <v>74</v>
      </c>
      <c r="G5288" t="s">
        <v>215</v>
      </c>
      <c r="H5288" t="s">
        <v>216</v>
      </c>
      <c r="I5288" t="s">
        <v>41</v>
      </c>
      <c r="J5288" t="s">
        <v>42</v>
      </c>
      <c r="K5288" t="s">
        <v>48</v>
      </c>
      <c r="L5288" t="s">
        <v>49</v>
      </c>
      <c r="M5288" t="s">
        <v>140</v>
      </c>
      <c r="N5288">
        <v>0</v>
      </c>
      <c r="O5288">
        <v>0</v>
      </c>
      <c r="P5288">
        <v>0</v>
      </c>
      <c r="Q5288" t="str">
        <f t="shared" si="164"/>
        <v>25-34</v>
      </c>
      <c r="R5288" t="str">
        <f t="shared" si="165"/>
        <v>[JQKLKuVuY61]|25-34|Male|VMMC_CIRC_SUBNAT.T_1|CY2024Q3</v>
      </c>
    </row>
    <row r="5289" spans="4:18" x14ac:dyDescent="0.2">
      <c r="D5289" t="s">
        <v>72</v>
      </c>
      <c r="E5289" t="s">
        <v>73</v>
      </c>
      <c r="F5289" t="s">
        <v>74</v>
      </c>
      <c r="G5289" t="s">
        <v>217</v>
      </c>
      <c r="H5289" t="s">
        <v>218</v>
      </c>
      <c r="I5289" t="s">
        <v>41</v>
      </c>
      <c r="J5289" t="s">
        <v>42</v>
      </c>
      <c r="K5289" t="s">
        <v>48</v>
      </c>
      <c r="L5289" t="s">
        <v>49</v>
      </c>
      <c r="M5289" t="s">
        <v>140</v>
      </c>
      <c r="N5289">
        <v>12357</v>
      </c>
      <c r="O5289">
        <v>0</v>
      </c>
      <c r="P5289">
        <v>0</v>
      </c>
      <c r="Q5289" t="str">
        <f t="shared" si="164"/>
        <v>25-34</v>
      </c>
      <c r="R5289" t="str">
        <f t="shared" si="165"/>
        <v>[JQKLKuVuY61]|25-34|Male|VMMC_TOTALCIRC_SUBNAT.T_1|CY2024Q3</v>
      </c>
    </row>
    <row r="5290" spans="4:18" x14ac:dyDescent="0.2">
      <c r="D5290" t="s">
        <v>72</v>
      </c>
      <c r="E5290" t="s">
        <v>73</v>
      </c>
      <c r="F5290" t="s">
        <v>74</v>
      </c>
      <c r="G5290" t="s">
        <v>215</v>
      </c>
      <c r="H5290" t="s">
        <v>216</v>
      </c>
      <c r="I5290" t="s">
        <v>43</v>
      </c>
      <c r="J5290" t="s">
        <v>44</v>
      </c>
      <c r="K5290" t="s">
        <v>48</v>
      </c>
      <c r="L5290" t="s">
        <v>49</v>
      </c>
      <c r="M5290" t="s">
        <v>140</v>
      </c>
      <c r="N5290">
        <v>0</v>
      </c>
      <c r="O5290">
        <v>0</v>
      </c>
      <c r="P5290">
        <v>0</v>
      </c>
      <c r="Q5290" t="str">
        <f t="shared" si="164"/>
        <v>35-49</v>
      </c>
      <c r="R5290" t="str">
        <f t="shared" si="165"/>
        <v>[JQKLKuVuY61]|35-49|Male|VMMC_CIRC_SUBNAT.T_1|CY2024Q3</v>
      </c>
    </row>
    <row r="5291" spans="4:18" x14ac:dyDescent="0.2">
      <c r="D5291" t="s">
        <v>72</v>
      </c>
      <c r="E5291" t="s">
        <v>73</v>
      </c>
      <c r="F5291" t="s">
        <v>74</v>
      </c>
      <c r="G5291" t="s">
        <v>217</v>
      </c>
      <c r="H5291" t="s">
        <v>218</v>
      </c>
      <c r="I5291" t="s">
        <v>43</v>
      </c>
      <c r="J5291" t="s">
        <v>44</v>
      </c>
      <c r="K5291" t="s">
        <v>48</v>
      </c>
      <c r="L5291" t="s">
        <v>49</v>
      </c>
      <c r="M5291" t="s">
        <v>140</v>
      </c>
      <c r="N5291">
        <v>9043</v>
      </c>
      <c r="O5291">
        <v>0</v>
      </c>
      <c r="P5291">
        <v>0</v>
      </c>
      <c r="Q5291" t="str">
        <f t="shared" si="164"/>
        <v>35-49</v>
      </c>
      <c r="R5291" t="str">
        <f t="shared" si="165"/>
        <v>[JQKLKuVuY61]|35-49|Male|VMMC_TOTALCIRC_SUBNAT.T_1|CY2024Q3</v>
      </c>
    </row>
    <row r="5292" spans="4:18" x14ac:dyDescent="0.2">
      <c r="D5292" t="s">
        <v>72</v>
      </c>
      <c r="E5292" t="s">
        <v>73</v>
      </c>
      <c r="F5292" t="s">
        <v>74</v>
      </c>
      <c r="G5292" t="s">
        <v>215</v>
      </c>
      <c r="H5292" t="s">
        <v>216</v>
      </c>
      <c r="I5292" t="s">
        <v>45</v>
      </c>
      <c r="J5292" t="s">
        <v>46</v>
      </c>
      <c r="K5292" t="s">
        <v>48</v>
      </c>
      <c r="L5292" t="s">
        <v>49</v>
      </c>
      <c r="M5292" t="s">
        <v>140</v>
      </c>
      <c r="N5292">
        <v>0</v>
      </c>
      <c r="O5292">
        <v>0</v>
      </c>
      <c r="P5292">
        <v>0</v>
      </c>
      <c r="Q5292" t="str">
        <f t="shared" si="164"/>
        <v>50+</v>
      </c>
      <c r="R5292" t="str">
        <f t="shared" si="165"/>
        <v>[JQKLKuVuY61]|50+|Male|VMMC_CIRC_SUBNAT.T_1|CY2024Q3</v>
      </c>
    </row>
    <row r="5293" spans="4:18" x14ac:dyDescent="0.2">
      <c r="D5293" t="s">
        <v>72</v>
      </c>
      <c r="E5293" t="s">
        <v>73</v>
      </c>
      <c r="F5293" t="s">
        <v>74</v>
      </c>
      <c r="G5293" t="s">
        <v>217</v>
      </c>
      <c r="H5293" t="s">
        <v>218</v>
      </c>
      <c r="I5293" t="s">
        <v>45</v>
      </c>
      <c r="J5293" t="s">
        <v>46</v>
      </c>
      <c r="K5293" t="s">
        <v>48</v>
      </c>
      <c r="L5293" t="s">
        <v>49</v>
      </c>
      <c r="M5293" t="s">
        <v>140</v>
      </c>
      <c r="N5293">
        <v>2588</v>
      </c>
      <c r="O5293">
        <v>0</v>
      </c>
      <c r="P5293">
        <v>0</v>
      </c>
      <c r="Q5293" t="str">
        <f t="shared" si="164"/>
        <v>50+</v>
      </c>
      <c r="R5293" t="str">
        <f t="shared" si="165"/>
        <v>[JQKLKuVuY61]|50+|Male|VMMC_TOTALCIRC_SUBNAT.T_1|CY2024Q3</v>
      </c>
    </row>
    <row r="5294" spans="4:18" x14ac:dyDescent="0.2">
      <c r="D5294" t="s">
        <v>75</v>
      </c>
      <c r="E5294" t="s">
        <v>76</v>
      </c>
      <c r="F5294" t="s">
        <v>77</v>
      </c>
      <c r="G5294" t="s">
        <v>215</v>
      </c>
      <c r="H5294" t="s">
        <v>216</v>
      </c>
      <c r="I5294" t="s">
        <v>38</v>
      </c>
      <c r="J5294" t="s">
        <v>39</v>
      </c>
      <c r="K5294" t="s">
        <v>48</v>
      </c>
      <c r="L5294" t="s">
        <v>49</v>
      </c>
      <c r="M5294" t="s">
        <v>140</v>
      </c>
      <c r="N5294">
        <v>0</v>
      </c>
      <c r="O5294">
        <v>0</v>
      </c>
      <c r="P5294">
        <v>0</v>
      </c>
      <c r="Q5294" t="str">
        <f t="shared" si="164"/>
        <v>15-24</v>
      </c>
      <c r="R5294" t="str">
        <f t="shared" si="165"/>
        <v>[YCKiBAp8QAg]|15-24|Male|VMMC_CIRC_SUBNAT.T_1|CY2024Q3</v>
      </c>
    </row>
    <row r="5295" spans="4:18" x14ac:dyDescent="0.2">
      <c r="D5295" t="s">
        <v>75</v>
      </c>
      <c r="E5295" t="s">
        <v>76</v>
      </c>
      <c r="F5295" t="s">
        <v>77</v>
      </c>
      <c r="G5295" t="s">
        <v>217</v>
      </c>
      <c r="H5295" t="s">
        <v>218</v>
      </c>
      <c r="I5295" t="s">
        <v>38</v>
      </c>
      <c r="J5295" t="s">
        <v>39</v>
      </c>
      <c r="K5295" t="s">
        <v>48</v>
      </c>
      <c r="L5295" t="s">
        <v>49</v>
      </c>
      <c r="M5295" t="s">
        <v>140</v>
      </c>
      <c r="N5295">
        <v>19702</v>
      </c>
      <c r="O5295">
        <v>0</v>
      </c>
      <c r="P5295">
        <v>0</v>
      </c>
      <c r="Q5295" t="str">
        <f t="shared" si="164"/>
        <v>15-24</v>
      </c>
      <c r="R5295" t="str">
        <f t="shared" si="165"/>
        <v>[YCKiBAp8QAg]|15-24|Male|VMMC_TOTALCIRC_SUBNAT.T_1|CY2024Q3</v>
      </c>
    </row>
    <row r="5296" spans="4:18" x14ac:dyDescent="0.2">
      <c r="D5296" t="s">
        <v>75</v>
      </c>
      <c r="E5296" t="s">
        <v>76</v>
      </c>
      <c r="F5296" t="s">
        <v>77</v>
      </c>
      <c r="G5296" t="s">
        <v>215</v>
      </c>
      <c r="H5296" t="s">
        <v>216</v>
      </c>
      <c r="I5296" t="s">
        <v>41</v>
      </c>
      <c r="J5296" t="s">
        <v>42</v>
      </c>
      <c r="K5296" t="s">
        <v>48</v>
      </c>
      <c r="L5296" t="s">
        <v>49</v>
      </c>
      <c r="M5296" t="s">
        <v>140</v>
      </c>
      <c r="N5296">
        <v>0</v>
      </c>
      <c r="O5296">
        <v>0</v>
      </c>
      <c r="P5296">
        <v>0</v>
      </c>
      <c r="Q5296" t="str">
        <f t="shared" si="164"/>
        <v>25-34</v>
      </c>
      <c r="R5296" t="str">
        <f t="shared" si="165"/>
        <v>[YCKiBAp8QAg]|25-34|Male|VMMC_CIRC_SUBNAT.T_1|CY2024Q3</v>
      </c>
    </row>
    <row r="5297" spans="4:18" x14ac:dyDescent="0.2">
      <c r="D5297" t="s">
        <v>75</v>
      </c>
      <c r="E5297" t="s">
        <v>76</v>
      </c>
      <c r="F5297" t="s">
        <v>77</v>
      </c>
      <c r="G5297" t="s">
        <v>217</v>
      </c>
      <c r="H5297" t="s">
        <v>218</v>
      </c>
      <c r="I5297" t="s">
        <v>41</v>
      </c>
      <c r="J5297" t="s">
        <v>42</v>
      </c>
      <c r="K5297" t="s">
        <v>48</v>
      </c>
      <c r="L5297" t="s">
        <v>49</v>
      </c>
      <c r="M5297" t="s">
        <v>140</v>
      </c>
      <c r="N5297">
        <v>19421</v>
      </c>
      <c r="O5297">
        <v>0</v>
      </c>
      <c r="P5297">
        <v>0</v>
      </c>
      <c r="Q5297" t="str">
        <f t="shared" si="164"/>
        <v>25-34</v>
      </c>
      <c r="R5297" t="str">
        <f t="shared" si="165"/>
        <v>[YCKiBAp8QAg]|25-34|Male|VMMC_TOTALCIRC_SUBNAT.T_1|CY2024Q3</v>
      </c>
    </row>
    <row r="5298" spans="4:18" x14ac:dyDescent="0.2">
      <c r="D5298" t="s">
        <v>75</v>
      </c>
      <c r="E5298" t="s">
        <v>76</v>
      </c>
      <c r="F5298" t="s">
        <v>77</v>
      </c>
      <c r="G5298" t="s">
        <v>215</v>
      </c>
      <c r="H5298" t="s">
        <v>216</v>
      </c>
      <c r="I5298" t="s">
        <v>43</v>
      </c>
      <c r="J5298" t="s">
        <v>44</v>
      </c>
      <c r="K5298" t="s">
        <v>48</v>
      </c>
      <c r="L5298" t="s">
        <v>49</v>
      </c>
      <c r="M5298" t="s">
        <v>140</v>
      </c>
      <c r="N5298">
        <v>0</v>
      </c>
      <c r="O5298">
        <v>0</v>
      </c>
      <c r="P5298">
        <v>0</v>
      </c>
      <c r="Q5298" t="str">
        <f t="shared" si="164"/>
        <v>35-49</v>
      </c>
      <c r="R5298" t="str">
        <f t="shared" si="165"/>
        <v>[YCKiBAp8QAg]|35-49|Male|VMMC_CIRC_SUBNAT.T_1|CY2024Q3</v>
      </c>
    </row>
    <row r="5299" spans="4:18" x14ac:dyDescent="0.2">
      <c r="D5299" t="s">
        <v>75</v>
      </c>
      <c r="E5299" t="s">
        <v>76</v>
      </c>
      <c r="F5299" t="s">
        <v>77</v>
      </c>
      <c r="G5299" t="s">
        <v>217</v>
      </c>
      <c r="H5299" t="s">
        <v>218</v>
      </c>
      <c r="I5299" t="s">
        <v>43</v>
      </c>
      <c r="J5299" t="s">
        <v>44</v>
      </c>
      <c r="K5299" t="s">
        <v>48</v>
      </c>
      <c r="L5299" t="s">
        <v>49</v>
      </c>
      <c r="M5299" t="s">
        <v>140</v>
      </c>
      <c r="N5299">
        <v>16467</v>
      </c>
      <c r="O5299">
        <v>0</v>
      </c>
      <c r="P5299">
        <v>0</v>
      </c>
      <c r="Q5299" t="str">
        <f t="shared" si="164"/>
        <v>35-49</v>
      </c>
      <c r="R5299" t="str">
        <f t="shared" si="165"/>
        <v>[YCKiBAp8QAg]|35-49|Male|VMMC_TOTALCIRC_SUBNAT.T_1|CY2024Q3</v>
      </c>
    </row>
    <row r="5300" spans="4:18" x14ac:dyDescent="0.2">
      <c r="D5300" t="s">
        <v>75</v>
      </c>
      <c r="E5300" t="s">
        <v>76</v>
      </c>
      <c r="F5300" t="s">
        <v>77</v>
      </c>
      <c r="G5300" t="s">
        <v>215</v>
      </c>
      <c r="H5300" t="s">
        <v>216</v>
      </c>
      <c r="I5300" t="s">
        <v>45</v>
      </c>
      <c r="J5300" t="s">
        <v>46</v>
      </c>
      <c r="K5300" t="s">
        <v>48</v>
      </c>
      <c r="L5300" t="s">
        <v>49</v>
      </c>
      <c r="M5300" t="s">
        <v>140</v>
      </c>
      <c r="N5300">
        <v>0</v>
      </c>
      <c r="O5300">
        <v>0</v>
      </c>
      <c r="P5300">
        <v>0</v>
      </c>
      <c r="Q5300" t="str">
        <f t="shared" si="164"/>
        <v>50+</v>
      </c>
      <c r="R5300" t="str">
        <f t="shared" si="165"/>
        <v>[YCKiBAp8QAg]|50+|Male|VMMC_CIRC_SUBNAT.T_1|CY2024Q3</v>
      </c>
    </row>
    <row r="5301" spans="4:18" x14ac:dyDescent="0.2">
      <c r="D5301" t="s">
        <v>75</v>
      </c>
      <c r="E5301" t="s">
        <v>76</v>
      </c>
      <c r="F5301" t="s">
        <v>77</v>
      </c>
      <c r="G5301" t="s">
        <v>217</v>
      </c>
      <c r="H5301" t="s">
        <v>218</v>
      </c>
      <c r="I5301" t="s">
        <v>45</v>
      </c>
      <c r="J5301" t="s">
        <v>46</v>
      </c>
      <c r="K5301" t="s">
        <v>48</v>
      </c>
      <c r="L5301" t="s">
        <v>49</v>
      </c>
      <c r="M5301" t="s">
        <v>140</v>
      </c>
      <c r="N5301">
        <v>5336</v>
      </c>
      <c r="O5301">
        <v>0</v>
      </c>
      <c r="P5301">
        <v>0</v>
      </c>
      <c r="Q5301" t="str">
        <f t="shared" si="164"/>
        <v>50+</v>
      </c>
      <c r="R5301" t="str">
        <f t="shared" si="165"/>
        <v>[YCKiBAp8QAg]|50+|Male|VMMC_TOTALCIRC_SUBNAT.T_1|CY2024Q3</v>
      </c>
    </row>
    <row r="5302" spans="4:18" x14ac:dyDescent="0.2">
      <c r="D5302" t="s">
        <v>78</v>
      </c>
      <c r="E5302" t="s">
        <v>79</v>
      </c>
      <c r="F5302" t="s">
        <v>80</v>
      </c>
      <c r="G5302" t="s">
        <v>215</v>
      </c>
      <c r="H5302" t="s">
        <v>216</v>
      </c>
      <c r="I5302" t="s">
        <v>38</v>
      </c>
      <c r="J5302" t="s">
        <v>39</v>
      </c>
      <c r="K5302" t="s">
        <v>48</v>
      </c>
      <c r="L5302" t="s">
        <v>49</v>
      </c>
      <c r="M5302" t="s">
        <v>140</v>
      </c>
      <c r="N5302">
        <v>0</v>
      </c>
      <c r="O5302">
        <v>0</v>
      </c>
      <c r="P5302">
        <v>0</v>
      </c>
      <c r="Q5302" t="str">
        <f t="shared" si="164"/>
        <v>15-24</v>
      </c>
      <c r="R5302" t="str">
        <f t="shared" si="165"/>
        <v>[fiRkU6gEjLz]|15-24|Male|VMMC_CIRC_SUBNAT.T_1|CY2024Q3</v>
      </c>
    </row>
    <row r="5303" spans="4:18" x14ac:dyDescent="0.2">
      <c r="D5303" t="s">
        <v>78</v>
      </c>
      <c r="E5303" t="s">
        <v>79</v>
      </c>
      <c r="F5303" t="s">
        <v>80</v>
      </c>
      <c r="G5303" t="s">
        <v>217</v>
      </c>
      <c r="H5303" t="s">
        <v>218</v>
      </c>
      <c r="I5303" t="s">
        <v>38</v>
      </c>
      <c r="J5303" t="s">
        <v>39</v>
      </c>
      <c r="K5303" t="s">
        <v>48</v>
      </c>
      <c r="L5303" t="s">
        <v>49</v>
      </c>
      <c r="M5303" t="s">
        <v>140</v>
      </c>
      <c r="N5303">
        <v>2735</v>
      </c>
      <c r="O5303">
        <v>0</v>
      </c>
      <c r="P5303">
        <v>0</v>
      </c>
      <c r="Q5303" t="str">
        <f t="shared" si="164"/>
        <v>15-24</v>
      </c>
      <c r="R5303" t="str">
        <f t="shared" si="165"/>
        <v>[fiRkU6gEjLz]|15-24|Male|VMMC_TOTALCIRC_SUBNAT.T_1|CY2024Q3</v>
      </c>
    </row>
    <row r="5304" spans="4:18" x14ac:dyDescent="0.2">
      <c r="D5304" t="s">
        <v>78</v>
      </c>
      <c r="E5304" t="s">
        <v>79</v>
      </c>
      <c r="F5304" t="s">
        <v>80</v>
      </c>
      <c r="G5304" t="s">
        <v>215</v>
      </c>
      <c r="H5304" t="s">
        <v>216</v>
      </c>
      <c r="I5304" t="s">
        <v>41</v>
      </c>
      <c r="J5304" t="s">
        <v>42</v>
      </c>
      <c r="K5304" t="s">
        <v>48</v>
      </c>
      <c r="L5304" t="s">
        <v>49</v>
      </c>
      <c r="M5304" t="s">
        <v>140</v>
      </c>
      <c r="N5304">
        <v>0</v>
      </c>
      <c r="O5304">
        <v>0</v>
      </c>
      <c r="P5304">
        <v>0</v>
      </c>
      <c r="Q5304" t="str">
        <f t="shared" si="164"/>
        <v>25-34</v>
      </c>
      <c r="R5304" t="str">
        <f t="shared" si="165"/>
        <v>[fiRkU6gEjLz]|25-34|Male|VMMC_CIRC_SUBNAT.T_1|CY2024Q3</v>
      </c>
    </row>
    <row r="5305" spans="4:18" x14ac:dyDescent="0.2">
      <c r="D5305" t="s">
        <v>78</v>
      </c>
      <c r="E5305" t="s">
        <v>79</v>
      </c>
      <c r="F5305" t="s">
        <v>80</v>
      </c>
      <c r="G5305" t="s">
        <v>217</v>
      </c>
      <c r="H5305" t="s">
        <v>218</v>
      </c>
      <c r="I5305" t="s">
        <v>41</v>
      </c>
      <c r="J5305" t="s">
        <v>42</v>
      </c>
      <c r="K5305" t="s">
        <v>48</v>
      </c>
      <c r="L5305" t="s">
        <v>49</v>
      </c>
      <c r="M5305" t="s">
        <v>140</v>
      </c>
      <c r="N5305">
        <v>2742</v>
      </c>
      <c r="O5305">
        <v>0</v>
      </c>
      <c r="P5305">
        <v>0</v>
      </c>
      <c r="Q5305" t="str">
        <f t="shared" si="164"/>
        <v>25-34</v>
      </c>
      <c r="R5305" t="str">
        <f t="shared" si="165"/>
        <v>[fiRkU6gEjLz]|25-34|Male|VMMC_TOTALCIRC_SUBNAT.T_1|CY2024Q3</v>
      </c>
    </row>
    <row r="5306" spans="4:18" x14ac:dyDescent="0.2">
      <c r="D5306" t="s">
        <v>78</v>
      </c>
      <c r="E5306" t="s">
        <v>79</v>
      </c>
      <c r="F5306" t="s">
        <v>80</v>
      </c>
      <c r="G5306" t="s">
        <v>215</v>
      </c>
      <c r="H5306" t="s">
        <v>216</v>
      </c>
      <c r="I5306" t="s">
        <v>43</v>
      </c>
      <c r="J5306" t="s">
        <v>44</v>
      </c>
      <c r="K5306" t="s">
        <v>48</v>
      </c>
      <c r="L5306" t="s">
        <v>49</v>
      </c>
      <c r="M5306" t="s">
        <v>140</v>
      </c>
      <c r="N5306">
        <v>0</v>
      </c>
      <c r="O5306">
        <v>0</v>
      </c>
      <c r="P5306">
        <v>0</v>
      </c>
      <c r="Q5306" t="str">
        <f t="shared" si="164"/>
        <v>35-49</v>
      </c>
      <c r="R5306" t="str">
        <f t="shared" si="165"/>
        <v>[fiRkU6gEjLz]|35-49|Male|VMMC_CIRC_SUBNAT.T_1|CY2024Q3</v>
      </c>
    </row>
    <row r="5307" spans="4:18" x14ac:dyDescent="0.2">
      <c r="D5307" t="s">
        <v>78</v>
      </c>
      <c r="E5307" t="s">
        <v>79</v>
      </c>
      <c r="F5307" t="s">
        <v>80</v>
      </c>
      <c r="G5307" t="s">
        <v>217</v>
      </c>
      <c r="H5307" t="s">
        <v>218</v>
      </c>
      <c r="I5307" t="s">
        <v>43</v>
      </c>
      <c r="J5307" t="s">
        <v>44</v>
      </c>
      <c r="K5307" t="s">
        <v>48</v>
      </c>
      <c r="L5307" t="s">
        <v>49</v>
      </c>
      <c r="M5307" t="s">
        <v>140</v>
      </c>
      <c r="N5307">
        <v>1949</v>
      </c>
      <c r="O5307">
        <v>0</v>
      </c>
      <c r="P5307">
        <v>0</v>
      </c>
      <c r="Q5307" t="str">
        <f t="shared" si="164"/>
        <v>35-49</v>
      </c>
      <c r="R5307" t="str">
        <f t="shared" si="165"/>
        <v>[fiRkU6gEjLz]|35-49|Male|VMMC_TOTALCIRC_SUBNAT.T_1|CY2024Q3</v>
      </c>
    </row>
    <row r="5308" spans="4:18" x14ac:dyDescent="0.2">
      <c r="D5308" t="s">
        <v>78</v>
      </c>
      <c r="E5308" t="s">
        <v>79</v>
      </c>
      <c r="F5308" t="s">
        <v>80</v>
      </c>
      <c r="G5308" t="s">
        <v>215</v>
      </c>
      <c r="H5308" t="s">
        <v>216</v>
      </c>
      <c r="I5308" t="s">
        <v>45</v>
      </c>
      <c r="J5308" t="s">
        <v>46</v>
      </c>
      <c r="K5308" t="s">
        <v>48</v>
      </c>
      <c r="L5308" t="s">
        <v>49</v>
      </c>
      <c r="M5308" t="s">
        <v>140</v>
      </c>
      <c r="N5308">
        <v>0</v>
      </c>
      <c r="O5308">
        <v>0</v>
      </c>
      <c r="P5308">
        <v>0</v>
      </c>
      <c r="Q5308" t="str">
        <f t="shared" si="164"/>
        <v>50+</v>
      </c>
      <c r="R5308" t="str">
        <f t="shared" si="165"/>
        <v>[fiRkU6gEjLz]|50+|Male|VMMC_CIRC_SUBNAT.T_1|CY2024Q3</v>
      </c>
    </row>
    <row r="5309" spans="4:18" x14ac:dyDescent="0.2">
      <c r="D5309" t="s">
        <v>78</v>
      </c>
      <c r="E5309" t="s">
        <v>79</v>
      </c>
      <c r="F5309" t="s">
        <v>80</v>
      </c>
      <c r="G5309" t="s">
        <v>217</v>
      </c>
      <c r="H5309" t="s">
        <v>218</v>
      </c>
      <c r="I5309" t="s">
        <v>45</v>
      </c>
      <c r="J5309" t="s">
        <v>46</v>
      </c>
      <c r="K5309" t="s">
        <v>48</v>
      </c>
      <c r="L5309" t="s">
        <v>49</v>
      </c>
      <c r="M5309" t="s">
        <v>140</v>
      </c>
      <c r="N5309">
        <v>534</v>
      </c>
      <c r="O5309">
        <v>0</v>
      </c>
      <c r="P5309">
        <v>0</v>
      </c>
      <c r="Q5309" t="str">
        <f t="shared" si="164"/>
        <v>50+</v>
      </c>
      <c r="R5309" t="str">
        <f t="shared" si="165"/>
        <v>[fiRkU6gEjLz]|50+|Male|VMMC_TOTALCIRC_SUBNAT.T_1|CY2024Q3</v>
      </c>
    </row>
    <row r="5310" spans="4:18" x14ac:dyDescent="0.2">
      <c r="D5310" t="s">
        <v>81</v>
      </c>
      <c r="E5310" t="s">
        <v>82</v>
      </c>
      <c r="F5310" t="s">
        <v>83</v>
      </c>
      <c r="G5310" t="s">
        <v>215</v>
      </c>
      <c r="H5310" t="s">
        <v>216</v>
      </c>
      <c r="I5310" t="s">
        <v>38</v>
      </c>
      <c r="J5310" t="s">
        <v>39</v>
      </c>
      <c r="K5310" t="s">
        <v>48</v>
      </c>
      <c r="L5310" t="s">
        <v>49</v>
      </c>
      <c r="M5310" t="s">
        <v>140</v>
      </c>
      <c r="N5310">
        <v>0</v>
      </c>
      <c r="O5310">
        <v>0</v>
      </c>
      <c r="P5310">
        <v>0</v>
      </c>
      <c r="Q5310" t="str">
        <f t="shared" si="164"/>
        <v>15-24</v>
      </c>
      <c r="R5310" t="str">
        <f t="shared" si="165"/>
        <v>[zphK9WV8JB4]|15-24|Male|VMMC_CIRC_SUBNAT.T_1|CY2024Q3</v>
      </c>
    </row>
    <row r="5311" spans="4:18" x14ac:dyDescent="0.2">
      <c r="D5311" t="s">
        <v>81</v>
      </c>
      <c r="E5311" t="s">
        <v>82</v>
      </c>
      <c r="F5311" t="s">
        <v>83</v>
      </c>
      <c r="G5311" t="s">
        <v>217</v>
      </c>
      <c r="H5311" t="s">
        <v>218</v>
      </c>
      <c r="I5311" t="s">
        <v>38</v>
      </c>
      <c r="J5311" t="s">
        <v>39</v>
      </c>
      <c r="K5311" t="s">
        <v>48</v>
      </c>
      <c r="L5311" t="s">
        <v>49</v>
      </c>
      <c r="M5311" t="s">
        <v>140</v>
      </c>
      <c r="N5311">
        <v>8454</v>
      </c>
      <c r="O5311">
        <v>0</v>
      </c>
      <c r="P5311">
        <v>0</v>
      </c>
      <c r="Q5311" t="str">
        <f t="shared" si="164"/>
        <v>15-24</v>
      </c>
      <c r="R5311" t="str">
        <f t="shared" si="165"/>
        <v>[zphK9WV8JB4]|15-24|Male|VMMC_TOTALCIRC_SUBNAT.T_1|CY2024Q3</v>
      </c>
    </row>
    <row r="5312" spans="4:18" x14ac:dyDescent="0.2">
      <c r="D5312" t="s">
        <v>81</v>
      </c>
      <c r="E5312" t="s">
        <v>82</v>
      </c>
      <c r="F5312" t="s">
        <v>83</v>
      </c>
      <c r="G5312" t="s">
        <v>215</v>
      </c>
      <c r="H5312" t="s">
        <v>216</v>
      </c>
      <c r="I5312" t="s">
        <v>41</v>
      </c>
      <c r="J5312" t="s">
        <v>42</v>
      </c>
      <c r="K5312" t="s">
        <v>48</v>
      </c>
      <c r="L5312" t="s">
        <v>49</v>
      </c>
      <c r="M5312" t="s">
        <v>140</v>
      </c>
      <c r="N5312">
        <v>0</v>
      </c>
      <c r="O5312">
        <v>0</v>
      </c>
      <c r="P5312">
        <v>0</v>
      </c>
      <c r="Q5312" t="str">
        <f t="shared" si="164"/>
        <v>25-34</v>
      </c>
      <c r="R5312" t="str">
        <f t="shared" si="165"/>
        <v>[zphK9WV8JB4]|25-34|Male|VMMC_CIRC_SUBNAT.T_1|CY2024Q3</v>
      </c>
    </row>
    <row r="5313" spans="4:18" x14ac:dyDescent="0.2">
      <c r="D5313" t="s">
        <v>81</v>
      </c>
      <c r="E5313" t="s">
        <v>82</v>
      </c>
      <c r="F5313" t="s">
        <v>83</v>
      </c>
      <c r="G5313" t="s">
        <v>217</v>
      </c>
      <c r="H5313" t="s">
        <v>218</v>
      </c>
      <c r="I5313" t="s">
        <v>41</v>
      </c>
      <c r="J5313" t="s">
        <v>42</v>
      </c>
      <c r="K5313" t="s">
        <v>48</v>
      </c>
      <c r="L5313" t="s">
        <v>49</v>
      </c>
      <c r="M5313" t="s">
        <v>140</v>
      </c>
      <c r="N5313">
        <v>7506</v>
      </c>
      <c r="O5313">
        <v>0</v>
      </c>
      <c r="P5313">
        <v>0</v>
      </c>
      <c r="Q5313" t="str">
        <f t="shared" si="164"/>
        <v>25-34</v>
      </c>
      <c r="R5313" t="str">
        <f t="shared" si="165"/>
        <v>[zphK9WV8JB4]|25-34|Male|VMMC_TOTALCIRC_SUBNAT.T_1|CY2024Q3</v>
      </c>
    </row>
    <row r="5314" spans="4:18" x14ac:dyDescent="0.2">
      <c r="D5314" t="s">
        <v>81</v>
      </c>
      <c r="E5314" t="s">
        <v>82</v>
      </c>
      <c r="F5314" t="s">
        <v>83</v>
      </c>
      <c r="G5314" t="s">
        <v>215</v>
      </c>
      <c r="H5314" t="s">
        <v>216</v>
      </c>
      <c r="I5314" t="s">
        <v>43</v>
      </c>
      <c r="J5314" t="s">
        <v>44</v>
      </c>
      <c r="K5314" t="s">
        <v>48</v>
      </c>
      <c r="L5314" t="s">
        <v>49</v>
      </c>
      <c r="M5314" t="s">
        <v>140</v>
      </c>
      <c r="N5314">
        <v>0</v>
      </c>
      <c r="O5314">
        <v>0</v>
      </c>
      <c r="P5314">
        <v>0</v>
      </c>
      <c r="Q5314" t="str">
        <f t="shared" si="164"/>
        <v>35-49</v>
      </c>
      <c r="R5314" t="str">
        <f t="shared" si="165"/>
        <v>[zphK9WV8JB4]|35-49|Male|VMMC_CIRC_SUBNAT.T_1|CY2024Q3</v>
      </c>
    </row>
    <row r="5315" spans="4:18" x14ac:dyDescent="0.2">
      <c r="D5315" t="s">
        <v>81</v>
      </c>
      <c r="E5315" t="s">
        <v>82</v>
      </c>
      <c r="F5315" t="s">
        <v>83</v>
      </c>
      <c r="G5315" t="s">
        <v>217</v>
      </c>
      <c r="H5315" t="s">
        <v>218</v>
      </c>
      <c r="I5315" t="s">
        <v>43</v>
      </c>
      <c r="J5315" t="s">
        <v>44</v>
      </c>
      <c r="K5315" t="s">
        <v>48</v>
      </c>
      <c r="L5315" t="s">
        <v>49</v>
      </c>
      <c r="M5315" t="s">
        <v>140</v>
      </c>
      <c r="N5315">
        <v>4889</v>
      </c>
      <c r="O5315">
        <v>0</v>
      </c>
      <c r="P5315">
        <v>0</v>
      </c>
      <c r="Q5315" t="str">
        <f t="shared" ref="Q5315:Q5378" si="166">SUBSTITUTE(SUBSTITUTE($I5315,CHAR(61),""),CHAR(34),"")</f>
        <v>35-49</v>
      </c>
      <c r="R5315" t="str">
        <f t="shared" ref="R5315:R5378" si="167">IF($D5315&lt;&gt;"","["&amp;$E5315&amp;"]"&amp;"|"&amp;$Q5315&amp;"|"&amp;$K5315&amp;"|"&amp;$G5315&amp;"|"&amp;IF($G5315="TX_CURR_SUBNAT.R","CY2023Q4",$M5315),"")</f>
        <v>[zphK9WV8JB4]|35-49|Male|VMMC_TOTALCIRC_SUBNAT.T_1|CY2024Q3</v>
      </c>
    </row>
    <row r="5316" spans="4:18" x14ac:dyDescent="0.2">
      <c r="D5316" t="s">
        <v>81</v>
      </c>
      <c r="E5316" t="s">
        <v>82</v>
      </c>
      <c r="F5316" t="s">
        <v>83</v>
      </c>
      <c r="G5316" t="s">
        <v>215</v>
      </c>
      <c r="H5316" t="s">
        <v>216</v>
      </c>
      <c r="I5316" t="s">
        <v>45</v>
      </c>
      <c r="J5316" t="s">
        <v>46</v>
      </c>
      <c r="K5316" t="s">
        <v>48</v>
      </c>
      <c r="L5316" t="s">
        <v>49</v>
      </c>
      <c r="M5316" t="s">
        <v>140</v>
      </c>
      <c r="N5316">
        <v>0</v>
      </c>
      <c r="O5316">
        <v>0</v>
      </c>
      <c r="P5316">
        <v>0</v>
      </c>
      <c r="Q5316" t="str">
        <f t="shared" si="166"/>
        <v>50+</v>
      </c>
      <c r="R5316" t="str">
        <f t="shared" si="167"/>
        <v>[zphK9WV8JB4]|50+|Male|VMMC_CIRC_SUBNAT.T_1|CY2024Q3</v>
      </c>
    </row>
    <row r="5317" spans="4:18" x14ac:dyDescent="0.2">
      <c r="D5317" t="s">
        <v>81</v>
      </c>
      <c r="E5317" t="s">
        <v>82</v>
      </c>
      <c r="F5317" t="s">
        <v>83</v>
      </c>
      <c r="G5317" t="s">
        <v>217</v>
      </c>
      <c r="H5317" t="s">
        <v>218</v>
      </c>
      <c r="I5317" t="s">
        <v>45</v>
      </c>
      <c r="J5317" t="s">
        <v>46</v>
      </c>
      <c r="K5317" t="s">
        <v>48</v>
      </c>
      <c r="L5317" t="s">
        <v>49</v>
      </c>
      <c r="M5317" t="s">
        <v>140</v>
      </c>
      <c r="N5317">
        <v>1262</v>
      </c>
      <c r="O5317">
        <v>0</v>
      </c>
      <c r="P5317">
        <v>0</v>
      </c>
      <c r="Q5317" t="str">
        <f t="shared" si="166"/>
        <v>50+</v>
      </c>
      <c r="R5317" t="str">
        <f t="shared" si="167"/>
        <v>[zphK9WV8JB4]|50+|Male|VMMC_TOTALCIRC_SUBNAT.T_1|CY2024Q3</v>
      </c>
    </row>
    <row r="5318" spans="4:18" x14ac:dyDescent="0.2">
      <c r="D5318" t="s">
        <v>84</v>
      </c>
      <c r="E5318" t="s">
        <v>85</v>
      </c>
      <c r="F5318" t="s">
        <v>86</v>
      </c>
      <c r="G5318" t="s">
        <v>215</v>
      </c>
      <c r="H5318" t="s">
        <v>216</v>
      </c>
      <c r="I5318" t="s">
        <v>38</v>
      </c>
      <c r="J5318" t="s">
        <v>39</v>
      </c>
      <c r="K5318" t="s">
        <v>48</v>
      </c>
      <c r="L5318" t="s">
        <v>49</v>
      </c>
      <c r="M5318" t="s">
        <v>140</v>
      </c>
      <c r="N5318">
        <v>0</v>
      </c>
      <c r="O5318">
        <v>0</v>
      </c>
      <c r="P5318">
        <v>0</v>
      </c>
      <c r="Q5318" t="str">
        <f t="shared" si="166"/>
        <v>15-24</v>
      </c>
      <c r="R5318" t="str">
        <f t="shared" si="167"/>
        <v>[msW2zpIN7up]|15-24|Male|VMMC_CIRC_SUBNAT.T_1|CY2024Q3</v>
      </c>
    </row>
    <row r="5319" spans="4:18" x14ac:dyDescent="0.2">
      <c r="D5319" t="s">
        <v>84</v>
      </c>
      <c r="E5319" t="s">
        <v>85</v>
      </c>
      <c r="F5319" t="s">
        <v>86</v>
      </c>
      <c r="G5319" t="s">
        <v>217</v>
      </c>
      <c r="H5319" t="s">
        <v>218</v>
      </c>
      <c r="I5319" t="s">
        <v>38</v>
      </c>
      <c r="J5319" t="s">
        <v>39</v>
      </c>
      <c r="K5319" t="s">
        <v>48</v>
      </c>
      <c r="L5319" t="s">
        <v>49</v>
      </c>
      <c r="M5319" t="s">
        <v>140</v>
      </c>
      <c r="N5319">
        <v>23253</v>
      </c>
      <c r="O5319">
        <v>0</v>
      </c>
      <c r="P5319">
        <v>0</v>
      </c>
      <c r="Q5319" t="str">
        <f t="shared" si="166"/>
        <v>15-24</v>
      </c>
      <c r="R5319" t="str">
        <f t="shared" si="167"/>
        <v>[msW2zpIN7up]|15-24|Male|VMMC_TOTALCIRC_SUBNAT.T_1|CY2024Q3</v>
      </c>
    </row>
    <row r="5320" spans="4:18" x14ac:dyDescent="0.2">
      <c r="D5320" t="s">
        <v>84</v>
      </c>
      <c r="E5320" t="s">
        <v>85</v>
      </c>
      <c r="F5320" t="s">
        <v>86</v>
      </c>
      <c r="G5320" t="s">
        <v>215</v>
      </c>
      <c r="H5320" t="s">
        <v>216</v>
      </c>
      <c r="I5320" t="s">
        <v>41</v>
      </c>
      <c r="J5320" t="s">
        <v>42</v>
      </c>
      <c r="K5320" t="s">
        <v>48</v>
      </c>
      <c r="L5320" t="s">
        <v>49</v>
      </c>
      <c r="M5320" t="s">
        <v>140</v>
      </c>
      <c r="N5320">
        <v>0</v>
      </c>
      <c r="O5320">
        <v>0</v>
      </c>
      <c r="P5320">
        <v>0</v>
      </c>
      <c r="Q5320" t="str">
        <f t="shared" si="166"/>
        <v>25-34</v>
      </c>
      <c r="R5320" t="str">
        <f t="shared" si="167"/>
        <v>[msW2zpIN7up]|25-34|Male|VMMC_CIRC_SUBNAT.T_1|CY2024Q3</v>
      </c>
    </row>
    <row r="5321" spans="4:18" x14ac:dyDescent="0.2">
      <c r="D5321" t="s">
        <v>84</v>
      </c>
      <c r="E5321" t="s">
        <v>85</v>
      </c>
      <c r="F5321" t="s">
        <v>86</v>
      </c>
      <c r="G5321" t="s">
        <v>217</v>
      </c>
      <c r="H5321" t="s">
        <v>218</v>
      </c>
      <c r="I5321" t="s">
        <v>41</v>
      </c>
      <c r="J5321" t="s">
        <v>42</v>
      </c>
      <c r="K5321" t="s">
        <v>48</v>
      </c>
      <c r="L5321" t="s">
        <v>49</v>
      </c>
      <c r="M5321" t="s">
        <v>140</v>
      </c>
      <c r="N5321">
        <v>23344</v>
      </c>
      <c r="O5321">
        <v>0</v>
      </c>
      <c r="P5321">
        <v>0</v>
      </c>
      <c r="Q5321" t="str">
        <f t="shared" si="166"/>
        <v>25-34</v>
      </c>
      <c r="R5321" t="str">
        <f t="shared" si="167"/>
        <v>[msW2zpIN7up]|25-34|Male|VMMC_TOTALCIRC_SUBNAT.T_1|CY2024Q3</v>
      </c>
    </row>
    <row r="5322" spans="4:18" x14ac:dyDescent="0.2">
      <c r="D5322" t="s">
        <v>84</v>
      </c>
      <c r="E5322" t="s">
        <v>85</v>
      </c>
      <c r="F5322" t="s">
        <v>86</v>
      </c>
      <c r="G5322" t="s">
        <v>215</v>
      </c>
      <c r="H5322" t="s">
        <v>216</v>
      </c>
      <c r="I5322" t="s">
        <v>43</v>
      </c>
      <c r="J5322" t="s">
        <v>44</v>
      </c>
      <c r="K5322" t="s">
        <v>48</v>
      </c>
      <c r="L5322" t="s">
        <v>49</v>
      </c>
      <c r="M5322" t="s">
        <v>140</v>
      </c>
      <c r="N5322">
        <v>0</v>
      </c>
      <c r="O5322">
        <v>0</v>
      </c>
      <c r="P5322">
        <v>0</v>
      </c>
      <c r="Q5322" t="str">
        <f t="shared" si="166"/>
        <v>35-49</v>
      </c>
      <c r="R5322" t="str">
        <f t="shared" si="167"/>
        <v>[msW2zpIN7up]|35-49|Male|VMMC_CIRC_SUBNAT.T_1|CY2024Q3</v>
      </c>
    </row>
    <row r="5323" spans="4:18" x14ac:dyDescent="0.2">
      <c r="D5323" t="s">
        <v>84</v>
      </c>
      <c r="E5323" t="s">
        <v>85</v>
      </c>
      <c r="F5323" t="s">
        <v>86</v>
      </c>
      <c r="G5323" t="s">
        <v>217</v>
      </c>
      <c r="H5323" t="s">
        <v>218</v>
      </c>
      <c r="I5323" t="s">
        <v>43</v>
      </c>
      <c r="J5323" t="s">
        <v>44</v>
      </c>
      <c r="K5323" t="s">
        <v>48</v>
      </c>
      <c r="L5323" t="s">
        <v>49</v>
      </c>
      <c r="M5323" t="s">
        <v>140</v>
      </c>
      <c r="N5323">
        <v>20423</v>
      </c>
      <c r="O5323">
        <v>0</v>
      </c>
      <c r="P5323">
        <v>0</v>
      </c>
      <c r="Q5323" t="str">
        <f t="shared" si="166"/>
        <v>35-49</v>
      </c>
      <c r="R5323" t="str">
        <f t="shared" si="167"/>
        <v>[msW2zpIN7up]|35-49|Male|VMMC_TOTALCIRC_SUBNAT.T_1|CY2024Q3</v>
      </c>
    </row>
    <row r="5324" spans="4:18" x14ac:dyDescent="0.2">
      <c r="D5324" t="s">
        <v>84</v>
      </c>
      <c r="E5324" t="s">
        <v>85</v>
      </c>
      <c r="F5324" t="s">
        <v>86</v>
      </c>
      <c r="G5324" t="s">
        <v>215</v>
      </c>
      <c r="H5324" t="s">
        <v>216</v>
      </c>
      <c r="I5324" t="s">
        <v>45</v>
      </c>
      <c r="J5324" t="s">
        <v>46</v>
      </c>
      <c r="K5324" t="s">
        <v>48</v>
      </c>
      <c r="L5324" t="s">
        <v>49</v>
      </c>
      <c r="M5324" t="s">
        <v>140</v>
      </c>
      <c r="N5324">
        <v>0</v>
      </c>
      <c r="O5324">
        <v>0</v>
      </c>
      <c r="P5324">
        <v>0</v>
      </c>
      <c r="Q5324" t="str">
        <f t="shared" si="166"/>
        <v>50+</v>
      </c>
      <c r="R5324" t="str">
        <f t="shared" si="167"/>
        <v>[msW2zpIN7up]|50+|Male|VMMC_CIRC_SUBNAT.T_1|CY2024Q3</v>
      </c>
    </row>
    <row r="5325" spans="4:18" x14ac:dyDescent="0.2">
      <c r="D5325" t="s">
        <v>84</v>
      </c>
      <c r="E5325" t="s">
        <v>85</v>
      </c>
      <c r="F5325" t="s">
        <v>86</v>
      </c>
      <c r="G5325" t="s">
        <v>217</v>
      </c>
      <c r="H5325" t="s">
        <v>218</v>
      </c>
      <c r="I5325" t="s">
        <v>45</v>
      </c>
      <c r="J5325" t="s">
        <v>46</v>
      </c>
      <c r="K5325" t="s">
        <v>48</v>
      </c>
      <c r="L5325" t="s">
        <v>49</v>
      </c>
      <c r="M5325" t="s">
        <v>140</v>
      </c>
      <c r="N5325">
        <v>6846</v>
      </c>
      <c r="O5325">
        <v>0</v>
      </c>
      <c r="P5325">
        <v>0</v>
      </c>
      <c r="Q5325" t="str">
        <f t="shared" si="166"/>
        <v>50+</v>
      </c>
      <c r="R5325" t="str">
        <f t="shared" si="167"/>
        <v>[msW2zpIN7up]|50+|Male|VMMC_TOTALCIRC_SUBNAT.T_1|CY2024Q3</v>
      </c>
    </row>
    <row r="5326" spans="4:18" x14ac:dyDescent="0.2">
      <c r="D5326" t="s">
        <v>87</v>
      </c>
      <c r="E5326" t="s">
        <v>88</v>
      </c>
      <c r="F5326" t="s">
        <v>89</v>
      </c>
      <c r="G5326" t="s">
        <v>215</v>
      </c>
      <c r="H5326" t="s">
        <v>216</v>
      </c>
      <c r="I5326" t="s">
        <v>38</v>
      </c>
      <c r="J5326" t="s">
        <v>39</v>
      </c>
      <c r="K5326" t="s">
        <v>48</v>
      </c>
      <c r="L5326" t="s">
        <v>49</v>
      </c>
      <c r="M5326" t="s">
        <v>140</v>
      </c>
      <c r="N5326">
        <v>26309</v>
      </c>
      <c r="O5326">
        <v>0</v>
      </c>
      <c r="P5326">
        <v>0</v>
      </c>
      <c r="Q5326" t="str">
        <f t="shared" si="166"/>
        <v>15-24</v>
      </c>
      <c r="R5326" t="str">
        <f t="shared" si="167"/>
        <v>[ScR9iFKAasW]|15-24|Male|VMMC_CIRC_SUBNAT.T_1|CY2024Q3</v>
      </c>
    </row>
    <row r="5327" spans="4:18" x14ac:dyDescent="0.2">
      <c r="D5327" t="s">
        <v>87</v>
      </c>
      <c r="E5327" t="s">
        <v>88</v>
      </c>
      <c r="F5327" t="s">
        <v>89</v>
      </c>
      <c r="G5327" t="s">
        <v>217</v>
      </c>
      <c r="H5327" t="s">
        <v>218</v>
      </c>
      <c r="I5327" t="s">
        <v>38</v>
      </c>
      <c r="J5327" t="s">
        <v>39</v>
      </c>
      <c r="K5327" t="s">
        <v>48</v>
      </c>
      <c r="L5327" t="s">
        <v>49</v>
      </c>
      <c r="M5327" t="s">
        <v>140</v>
      </c>
      <c r="N5327">
        <v>197818</v>
      </c>
      <c r="O5327">
        <v>0</v>
      </c>
      <c r="P5327">
        <v>0</v>
      </c>
      <c r="Q5327" t="str">
        <f t="shared" si="166"/>
        <v>15-24</v>
      </c>
      <c r="R5327" t="str">
        <f t="shared" si="167"/>
        <v>[ScR9iFKAasW]|15-24|Male|VMMC_TOTALCIRC_SUBNAT.T_1|CY2024Q3</v>
      </c>
    </row>
    <row r="5328" spans="4:18" x14ac:dyDescent="0.2">
      <c r="D5328" t="s">
        <v>87</v>
      </c>
      <c r="E5328" t="s">
        <v>88</v>
      </c>
      <c r="F5328" t="s">
        <v>89</v>
      </c>
      <c r="G5328" t="s">
        <v>215</v>
      </c>
      <c r="H5328" t="s">
        <v>216</v>
      </c>
      <c r="I5328" t="s">
        <v>41</v>
      </c>
      <c r="J5328" t="s">
        <v>42</v>
      </c>
      <c r="K5328" t="s">
        <v>48</v>
      </c>
      <c r="L5328" t="s">
        <v>49</v>
      </c>
      <c r="M5328" t="s">
        <v>140</v>
      </c>
      <c r="N5328">
        <v>22043</v>
      </c>
      <c r="O5328">
        <v>0</v>
      </c>
      <c r="P5328">
        <v>0</v>
      </c>
      <c r="Q5328" t="str">
        <f t="shared" si="166"/>
        <v>25-34</v>
      </c>
      <c r="R5328" t="str">
        <f t="shared" si="167"/>
        <v>[ScR9iFKAasW]|25-34|Male|VMMC_CIRC_SUBNAT.T_1|CY2024Q3</v>
      </c>
    </row>
    <row r="5329" spans="4:18" x14ac:dyDescent="0.2">
      <c r="D5329" t="s">
        <v>87</v>
      </c>
      <c r="E5329" t="s">
        <v>88</v>
      </c>
      <c r="F5329" t="s">
        <v>89</v>
      </c>
      <c r="G5329" t="s">
        <v>217</v>
      </c>
      <c r="H5329" t="s">
        <v>218</v>
      </c>
      <c r="I5329" t="s">
        <v>41</v>
      </c>
      <c r="J5329" t="s">
        <v>42</v>
      </c>
      <c r="K5329" t="s">
        <v>48</v>
      </c>
      <c r="L5329" t="s">
        <v>49</v>
      </c>
      <c r="M5329" t="s">
        <v>140</v>
      </c>
      <c r="N5329">
        <v>151648</v>
      </c>
      <c r="O5329">
        <v>0</v>
      </c>
      <c r="P5329">
        <v>0</v>
      </c>
      <c r="Q5329" t="str">
        <f t="shared" si="166"/>
        <v>25-34</v>
      </c>
      <c r="R5329" t="str">
        <f t="shared" si="167"/>
        <v>[ScR9iFKAasW]|25-34|Male|VMMC_TOTALCIRC_SUBNAT.T_1|CY2024Q3</v>
      </c>
    </row>
    <row r="5330" spans="4:18" x14ac:dyDescent="0.2">
      <c r="D5330" t="s">
        <v>87</v>
      </c>
      <c r="E5330" t="s">
        <v>88</v>
      </c>
      <c r="F5330" t="s">
        <v>89</v>
      </c>
      <c r="G5330" t="s">
        <v>215</v>
      </c>
      <c r="H5330" t="s">
        <v>216</v>
      </c>
      <c r="I5330" t="s">
        <v>43</v>
      </c>
      <c r="J5330" t="s">
        <v>44</v>
      </c>
      <c r="K5330" t="s">
        <v>48</v>
      </c>
      <c r="L5330" t="s">
        <v>49</v>
      </c>
      <c r="M5330" t="s">
        <v>140</v>
      </c>
      <c r="N5330">
        <v>31649</v>
      </c>
      <c r="O5330">
        <v>0</v>
      </c>
      <c r="P5330">
        <v>0</v>
      </c>
      <c r="Q5330" t="str">
        <f t="shared" si="166"/>
        <v>35-49</v>
      </c>
      <c r="R5330" t="str">
        <f t="shared" si="167"/>
        <v>[ScR9iFKAasW]|35-49|Male|VMMC_CIRC_SUBNAT.T_1|CY2024Q3</v>
      </c>
    </row>
    <row r="5331" spans="4:18" x14ac:dyDescent="0.2">
      <c r="D5331" t="s">
        <v>87</v>
      </c>
      <c r="E5331" t="s">
        <v>88</v>
      </c>
      <c r="F5331" t="s">
        <v>89</v>
      </c>
      <c r="G5331" t="s">
        <v>217</v>
      </c>
      <c r="H5331" t="s">
        <v>218</v>
      </c>
      <c r="I5331" t="s">
        <v>43</v>
      </c>
      <c r="J5331" t="s">
        <v>44</v>
      </c>
      <c r="K5331" t="s">
        <v>48</v>
      </c>
      <c r="L5331" t="s">
        <v>49</v>
      </c>
      <c r="M5331" t="s">
        <v>140</v>
      </c>
      <c r="N5331">
        <v>93899</v>
      </c>
      <c r="O5331">
        <v>0</v>
      </c>
      <c r="P5331">
        <v>0</v>
      </c>
      <c r="Q5331" t="str">
        <f t="shared" si="166"/>
        <v>35-49</v>
      </c>
      <c r="R5331" t="str">
        <f t="shared" si="167"/>
        <v>[ScR9iFKAasW]|35-49|Male|VMMC_TOTALCIRC_SUBNAT.T_1|CY2024Q3</v>
      </c>
    </row>
    <row r="5332" spans="4:18" x14ac:dyDescent="0.2">
      <c r="D5332" t="s">
        <v>87</v>
      </c>
      <c r="E5332" t="s">
        <v>88</v>
      </c>
      <c r="F5332" t="s">
        <v>89</v>
      </c>
      <c r="G5332" t="s">
        <v>215</v>
      </c>
      <c r="H5332" t="s">
        <v>216</v>
      </c>
      <c r="I5332" t="s">
        <v>45</v>
      </c>
      <c r="J5332" t="s">
        <v>46</v>
      </c>
      <c r="K5332" t="s">
        <v>48</v>
      </c>
      <c r="L5332" t="s">
        <v>49</v>
      </c>
      <c r="M5332" t="s">
        <v>140</v>
      </c>
      <c r="N5332">
        <v>0</v>
      </c>
      <c r="O5332">
        <v>0</v>
      </c>
      <c r="P5332">
        <v>0</v>
      </c>
      <c r="Q5332" t="str">
        <f t="shared" si="166"/>
        <v>50+</v>
      </c>
      <c r="R5332" t="str">
        <f t="shared" si="167"/>
        <v>[ScR9iFKAasW]|50+|Male|VMMC_CIRC_SUBNAT.T_1|CY2024Q3</v>
      </c>
    </row>
    <row r="5333" spans="4:18" x14ac:dyDescent="0.2">
      <c r="D5333" t="s">
        <v>87</v>
      </c>
      <c r="E5333" t="s">
        <v>88</v>
      </c>
      <c r="F5333" t="s">
        <v>89</v>
      </c>
      <c r="G5333" t="s">
        <v>217</v>
      </c>
      <c r="H5333" t="s">
        <v>218</v>
      </c>
      <c r="I5333" t="s">
        <v>45</v>
      </c>
      <c r="J5333" t="s">
        <v>46</v>
      </c>
      <c r="K5333" t="s">
        <v>48</v>
      </c>
      <c r="L5333" t="s">
        <v>49</v>
      </c>
      <c r="M5333" t="s">
        <v>140</v>
      </c>
      <c r="N5333">
        <v>16038</v>
      </c>
      <c r="O5333">
        <v>0</v>
      </c>
      <c r="P5333">
        <v>0</v>
      </c>
      <c r="Q5333" t="str">
        <f t="shared" si="166"/>
        <v>50+</v>
      </c>
      <c r="R5333" t="str">
        <f t="shared" si="167"/>
        <v>[ScR9iFKAasW]|50+|Male|VMMC_TOTALCIRC_SUBNAT.T_1|CY2024Q3</v>
      </c>
    </row>
    <row r="5334" spans="4:18" x14ac:dyDescent="0.2">
      <c r="D5334" t="s">
        <v>90</v>
      </c>
      <c r="E5334" t="s">
        <v>91</v>
      </c>
      <c r="F5334" t="s">
        <v>92</v>
      </c>
      <c r="G5334" t="s">
        <v>215</v>
      </c>
      <c r="H5334" t="s">
        <v>216</v>
      </c>
      <c r="I5334" t="s">
        <v>38</v>
      </c>
      <c r="J5334" t="s">
        <v>39</v>
      </c>
      <c r="K5334" t="s">
        <v>48</v>
      </c>
      <c r="L5334" t="s">
        <v>49</v>
      </c>
      <c r="M5334" t="s">
        <v>140</v>
      </c>
      <c r="N5334">
        <v>0</v>
      </c>
      <c r="O5334">
        <v>0</v>
      </c>
      <c r="P5334">
        <v>0</v>
      </c>
      <c r="Q5334" t="str">
        <f t="shared" si="166"/>
        <v>15-24</v>
      </c>
      <c r="R5334" t="str">
        <f t="shared" si="167"/>
        <v>[kxuuIFpOXyO]|15-24|Male|VMMC_CIRC_SUBNAT.T_1|CY2024Q3</v>
      </c>
    </row>
    <row r="5335" spans="4:18" x14ac:dyDescent="0.2">
      <c r="D5335" t="s">
        <v>90</v>
      </c>
      <c r="E5335" t="s">
        <v>91</v>
      </c>
      <c r="F5335" t="s">
        <v>92</v>
      </c>
      <c r="G5335" t="s">
        <v>217</v>
      </c>
      <c r="H5335" t="s">
        <v>218</v>
      </c>
      <c r="I5335" t="s">
        <v>38</v>
      </c>
      <c r="J5335" t="s">
        <v>39</v>
      </c>
      <c r="K5335" t="s">
        <v>48</v>
      </c>
      <c r="L5335" t="s">
        <v>49</v>
      </c>
      <c r="M5335" t="s">
        <v>140</v>
      </c>
      <c r="N5335">
        <v>7437</v>
      </c>
      <c r="O5335">
        <v>0</v>
      </c>
      <c r="P5335">
        <v>0</v>
      </c>
      <c r="Q5335" t="str">
        <f t="shared" si="166"/>
        <v>15-24</v>
      </c>
      <c r="R5335" t="str">
        <f t="shared" si="167"/>
        <v>[kxuuIFpOXyO]|15-24|Male|VMMC_TOTALCIRC_SUBNAT.T_1|CY2024Q3</v>
      </c>
    </row>
    <row r="5336" spans="4:18" x14ac:dyDescent="0.2">
      <c r="D5336" t="s">
        <v>90</v>
      </c>
      <c r="E5336" t="s">
        <v>91</v>
      </c>
      <c r="F5336" t="s">
        <v>92</v>
      </c>
      <c r="G5336" t="s">
        <v>215</v>
      </c>
      <c r="H5336" t="s">
        <v>216</v>
      </c>
      <c r="I5336" t="s">
        <v>41</v>
      </c>
      <c r="J5336" t="s">
        <v>42</v>
      </c>
      <c r="K5336" t="s">
        <v>48</v>
      </c>
      <c r="L5336" t="s">
        <v>49</v>
      </c>
      <c r="M5336" t="s">
        <v>140</v>
      </c>
      <c r="N5336">
        <v>0</v>
      </c>
      <c r="O5336">
        <v>0</v>
      </c>
      <c r="P5336">
        <v>0</v>
      </c>
      <c r="Q5336" t="str">
        <f t="shared" si="166"/>
        <v>25-34</v>
      </c>
      <c r="R5336" t="str">
        <f t="shared" si="167"/>
        <v>[kxuuIFpOXyO]|25-34|Male|VMMC_CIRC_SUBNAT.T_1|CY2024Q3</v>
      </c>
    </row>
    <row r="5337" spans="4:18" x14ac:dyDescent="0.2">
      <c r="D5337" t="s">
        <v>90</v>
      </c>
      <c r="E5337" t="s">
        <v>91</v>
      </c>
      <c r="F5337" t="s">
        <v>92</v>
      </c>
      <c r="G5337" t="s">
        <v>217</v>
      </c>
      <c r="H5337" t="s">
        <v>218</v>
      </c>
      <c r="I5337" t="s">
        <v>41</v>
      </c>
      <c r="J5337" t="s">
        <v>42</v>
      </c>
      <c r="K5337" t="s">
        <v>48</v>
      </c>
      <c r="L5337" t="s">
        <v>49</v>
      </c>
      <c r="M5337" t="s">
        <v>140</v>
      </c>
      <c r="N5337">
        <v>7403</v>
      </c>
      <c r="O5337">
        <v>0</v>
      </c>
      <c r="P5337">
        <v>0</v>
      </c>
      <c r="Q5337" t="str">
        <f t="shared" si="166"/>
        <v>25-34</v>
      </c>
      <c r="R5337" t="str">
        <f t="shared" si="167"/>
        <v>[kxuuIFpOXyO]|25-34|Male|VMMC_TOTALCIRC_SUBNAT.T_1|CY2024Q3</v>
      </c>
    </row>
    <row r="5338" spans="4:18" x14ac:dyDescent="0.2">
      <c r="D5338" t="s">
        <v>90</v>
      </c>
      <c r="E5338" t="s">
        <v>91</v>
      </c>
      <c r="F5338" t="s">
        <v>92</v>
      </c>
      <c r="G5338" t="s">
        <v>215</v>
      </c>
      <c r="H5338" t="s">
        <v>216</v>
      </c>
      <c r="I5338" t="s">
        <v>43</v>
      </c>
      <c r="J5338" t="s">
        <v>44</v>
      </c>
      <c r="K5338" t="s">
        <v>48</v>
      </c>
      <c r="L5338" t="s">
        <v>49</v>
      </c>
      <c r="M5338" t="s">
        <v>140</v>
      </c>
      <c r="N5338">
        <v>0</v>
      </c>
      <c r="O5338">
        <v>0</v>
      </c>
      <c r="P5338">
        <v>0</v>
      </c>
      <c r="Q5338" t="str">
        <f t="shared" si="166"/>
        <v>35-49</v>
      </c>
      <c r="R5338" t="str">
        <f t="shared" si="167"/>
        <v>[kxuuIFpOXyO]|35-49|Male|VMMC_CIRC_SUBNAT.T_1|CY2024Q3</v>
      </c>
    </row>
    <row r="5339" spans="4:18" x14ac:dyDescent="0.2">
      <c r="D5339" t="s">
        <v>90</v>
      </c>
      <c r="E5339" t="s">
        <v>91</v>
      </c>
      <c r="F5339" t="s">
        <v>92</v>
      </c>
      <c r="G5339" t="s">
        <v>217</v>
      </c>
      <c r="H5339" t="s">
        <v>218</v>
      </c>
      <c r="I5339" t="s">
        <v>43</v>
      </c>
      <c r="J5339" t="s">
        <v>44</v>
      </c>
      <c r="K5339" t="s">
        <v>48</v>
      </c>
      <c r="L5339" t="s">
        <v>49</v>
      </c>
      <c r="M5339" t="s">
        <v>140</v>
      </c>
      <c r="N5339">
        <v>5527</v>
      </c>
      <c r="O5339">
        <v>0</v>
      </c>
      <c r="P5339">
        <v>0</v>
      </c>
      <c r="Q5339" t="str">
        <f t="shared" si="166"/>
        <v>35-49</v>
      </c>
      <c r="R5339" t="str">
        <f t="shared" si="167"/>
        <v>[kxuuIFpOXyO]|35-49|Male|VMMC_TOTALCIRC_SUBNAT.T_1|CY2024Q3</v>
      </c>
    </row>
    <row r="5340" spans="4:18" x14ac:dyDescent="0.2">
      <c r="D5340" t="s">
        <v>90</v>
      </c>
      <c r="E5340" t="s">
        <v>91</v>
      </c>
      <c r="F5340" t="s">
        <v>92</v>
      </c>
      <c r="G5340" t="s">
        <v>215</v>
      </c>
      <c r="H5340" t="s">
        <v>216</v>
      </c>
      <c r="I5340" t="s">
        <v>45</v>
      </c>
      <c r="J5340" t="s">
        <v>46</v>
      </c>
      <c r="K5340" t="s">
        <v>48</v>
      </c>
      <c r="L5340" t="s">
        <v>49</v>
      </c>
      <c r="M5340" t="s">
        <v>140</v>
      </c>
      <c r="N5340">
        <v>0</v>
      </c>
      <c r="O5340">
        <v>0</v>
      </c>
      <c r="P5340">
        <v>0</v>
      </c>
      <c r="Q5340" t="str">
        <f t="shared" si="166"/>
        <v>50+</v>
      </c>
      <c r="R5340" t="str">
        <f t="shared" si="167"/>
        <v>[kxuuIFpOXyO]|50+|Male|VMMC_CIRC_SUBNAT.T_1|CY2024Q3</v>
      </c>
    </row>
    <row r="5341" spans="4:18" x14ac:dyDescent="0.2">
      <c r="D5341" t="s">
        <v>90</v>
      </c>
      <c r="E5341" t="s">
        <v>91</v>
      </c>
      <c r="F5341" t="s">
        <v>92</v>
      </c>
      <c r="G5341" t="s">
        <v>217</v>
      </c>
      <c r="H5341" t="s">
        <v>218</v>
      </c>
      <c r="I5341" t="s">
        <v>45</v>
      </c>
      <c r="J5341" t="s">
        <v>46</v>
      </c>
      <c r="K5341" t="s">
        <v>48</v>
      </c>
      <c r="L5341" t="s">
        <v>49</v>
      </c>
      <c r="M5341" t="s">
        <v>140</v>
      </c>
      <c r="N5341">
        <v>1614</v>
      </c>
      <c r="O5341">
        <v>0</v>
      </c>
      <c r="P5341">
        <v>0</v>
      </c>
      <c r="Q5341" t="str">
        <f t="shared" si="166"/>
        <v>50+</v>
      </c>
      <c r="R5341" t="str">
        <f t="shared" si="167"/>
        <v>[kxuuIFpOXyO]|50+|Male|VMMC_TOTALCIRC_SUBNAT.T_1|CY2024Q3</v>
      </c>
    </row>
    <row r="5342" spans="4:18" x14ac:dyDescent="0.2">
      <c r="D5342" t="s">
        <v>93</v>
      </c>
      <c r="E5342" t="s">
        <v>94</v>
      </c>
      <c r="F5342" t="s">
        <v>95</v>
      </c>
      <c r="G5342" t="s">
        <v>215</v>
      </c>
      <c r="H5342" t="s">
        <v>216</v>
      </c>
      <c r="I5342" t="s">
        <v>38</v>
      </c>
      <c r="J5342" t="s">
        <v>39</v>
      </c>
      <c r="K5342" t="s">
        <v>48</v>
      </c>
      <c r="L5342" t="s">
        <v>49</v>
      </c>
      <c r="M5342" t="s">
        <v>140</v>
      </c>
      <c r="N5342">
        <v>0</v>
      </c>
      <c r="O5342">
        <v>0</v>
      </c>
      <c r="P5342">
        <v>0</v>
      </c>
      <c r="Q5342" t="str">
        <f t="shared" si="166"/>
        <v>15-24</v>
      </c>
      <c r="R5342" t="str">
        <f t="shared" si="167"/>
        <v>[PekKUkKHAzY]|15-24|Male|VMMC_CIRC_SUBNAT.T_1|CY2024Q3</v>
      </c>
    </row>
    <row r="5343" spans="4:18" x14ac:dyDescent="0.2">
      <c r="D5343" t="s">
        <v>93</v>
      </c>
      <c r="E5343" t="s">
        <v>94</v>
      </c>
      <c r="F5343" t="s">
        <v>95</v>
      </c>
      <c r="G5343" t="s">
        <v>217</v>
      </c>
      <c r="H5343" t="s">
        <v>218</v>
      </c>
      <c r="I5343" t="s">
        <v>38</v>
      </c>
      <c r="J5343" t="s">
        <v>39</v>
      </c>
      <c r="K5343" t="s">
        <v>48</v>
      </c>
      <c r="L5343" t="s">
        <v>49</v>
      </c>
      <c r="M5343" t="s">
        <v>140</v>
      </c>
      <c r="N5343">
        <v>15232</v>
      </c>
      <c r="O5343">
        <v>0</v>
      </c>
      <c r="P5343">
        <v>0</v>
      </c>
      <c r="Q5343" t="str">
        <f t="shared" si="166"/>
        <v>15-24</v>
      </c>
      <c r="R5343" t="str">
        <f t="shared" si="167"/>
        <v>[PekKUkKHAzY]|15-24|Male|VMMC_TOTALCIRC_SUBNAT.T_1|CY2024Q3</v>
      </c>
    </row>
    <row r="5344" spans="4:18" x14ac:dyDescent="0.2">
      <c r="D5344" t="s">
        <v>93</v>
      </c>
      <c r="E5344" t="s">
        <v>94</v>
      </c>
      <c r="F5344" t="s">
        <v>95</v>
      </c>
      <c r="G5344" t="s">
        <v>215</v>
      </c>
      <c r="H5344" t="s">
        <v>216</v>
      </c>
      <c r="I5344" t="s">
        <v>41</v>
      </c>
      <c r="J5344" t="s">
        <v>42</v>
      </c>
      <c r="K5344" t="s">
        <v>48</v>
      </c>
      <c r="L5344" t="s">
        <v>49</v>
      </c>
      <c r="M5344" t="s">
        <v>140</v>
      </c>
      <c r="N5344">
        <v>0</v>
      </c>
      <c r="O5344">
        <v>0</v>
      </c>
      <c r="P5344">
        <v>0</v>
      </c>
      <c r="Q5344" t="str">
        <f t="shared" si="166"/>
        <v>25-34</v>
      </c>
      <c r="R5344" t="str">
        <f t="shared" si="167"/>
        <v>[PekKUkKHAzY]|25-34|Male|VMMC_CIRC_SUBNAT.T_1|CY2024Q3</v>
      </c>
    </row>
    <row r="5345" spans="4:18" x14ac:dyDescent="0.2">
      <c r="D5345" t="s">
        <v>93</v>
      </c>
      <c r="E5345" t="s">
        <v>94</v>
      </c>
      <c r="F5345" t="s">
        <v>95</v>
      </c>
      <c r="G5345" t="s">
        <v>217</v>
      </c>
      <c r="H5345" t="s">
        <v>218</v>
      </c>
      <c r="I5345" t="s">
        <v>41</v>
      </c>
      <c r="J5345" t="s">
        <v>42</v>
      </c>
      <c r="K5345" t="s">
        <v>48</v>
      </c>
      <c r="L5345" t="s">
        <v>49</v>
      </c>
      <c r="M5345" t="s">
        <v>140</v>
      </c>
      <c r="N5345">
        <v>15360</v>
      </c>
      <c r="O5345">
        <v>0</v>
      </c>
      <c r="P5345">
        <v>0</v>
      </c>
      <c r="Q5345" t="str">
        <f t="shared" si="166"/>
        <v>25-34</v>
      </c>
      <c r="R5345" t="str">
        <f t="shared" si="167"/>
        <v>[PekKUkKHAzY]|25-34|Male|VMMC_TOTALCIRC_SUBNAT.T_1|CY2024Q3</v>
      </c>
    </row>
    <row r="5346" spans="4:18" x14ac:dyDescent="0.2">
      <c r="D5346" t="s">
        <v>93</v>
      </c>
      <c r="E5346" t="s">
        <v>94</v>
      </c>
      <c r="F5346" t="s">
        <v>95</v>
      </c>
      <c r="G5346" t="s">
        <v>215</v>
      </c>
      <c r="H5346" t="s">
        <v>216</v>
      </c>
      <c r="I5346" t="s">
        <v>43</v>
      </c>
      <c r="J5346" t="s">
        <v>44</v>
      </c>
      <c r="K5346" t="s">
        <v>48</v>
      </c>
      <c r="L5346" t="s">
        <v>49</v>
      </c>
      <c r="M5346" t="s">
        <v>140</v>
      </c>
      <c r="N5346">
        <v>0</v>
      </c>
      <c r="O5346">
        <v>0</v>
      </c>
      <c r="P5346">
        <v>0</v>
      </c>
      <c r="Q5346" t="str">
        <f t="shared" si="166"/>
        <v>35-49</v>
      </c>
      <c r="R5346" t="str">
        <f t="shared" si="167"/>
        <v>[PekKUkKHAzY]|35-49|Male|VMMC_CIRC_SUBNAT.T_1|CY2024Q3</v>
      </c>
    </row>
    <row r="5347" spans="4:18" x14ac:dyDescent="0.2">
      <c r="D5347" t="s">
        <v>93</v>
      </c>
      <c r="E5347" t="s">
        <v>94</v>
      </c>
      <c r="F5347" t="s">
        <v>95</v>
      </c>
      <c r="G5347" t="s">
        <v>217</v>
      </c>
      <c r="H5347" t="s">
        <v>218</v>
      </c>
      <c r="I5347" t="s">
        <v>43</v>
      </c>
      <c r="J5347" t="s">
        <v>44</v>
      </c>
      <c r="K5347" t="s">
        <v>48</v>
      </c>
      <c r="L5347" t="s">
        <v>49</v>
      </c>
      <c r="M5347" t="s">
        <v>140</v>
      </c>
      <c r="N5347">
        <v>12120</v>
      </c>
      <c r="O5347">
        <v>0</v>
      </c>
      <c r="P5347">
        <v>0</v>
      </c>
      <c r="Q5347" t="str">
        <f t="shared" si="166"/>
        <v>35-49</v>
      </c>
      <c r="R5347" t="str">
        <f t="shared" si="167"/>
        <v>[PekKUkKHAzY]|35-49|Male|VMMC_TOTALCIRC_SUBNAT.T_1|CY2024Q3</v>
      </c>
    </row>
    <row r="5348" spans="4:18" x14ac:dyDescent="0.2">
      <c r="D5348" t="s">
        <v>93</v>
      </c>
      <c r="E5348" t="s">
        <v>94</v>
      </c>
      <c r="F5348" t="s">
        <v>95</v>
      </c>
      <c r="G5348" t="s">
        <v>215</v>
      </c>
      <c r="H5348" t="s">
        <v>216</v>
      </c>
      <c r="I5348" t="s">
        <v>45</v>
      </c>
      <c r="J5348" t="s">
        <v>46</v>
      </c>
      <c r="K5348" t="s">
        <v>48</v>
      </c>
      <c r="L5348" t="s">
        <v>49</v>
      </c>
      <c r="M5348" t="s">
        <v>140</v>
      </c>
      <c r="N5348">
        <v>0</v>
      </c>
      <c r="O5348">
        <v>0</v>
      </c>
      <c r="P5348">
        <v>0</v>
      </c>
      <c r="Q5348" t="str">
        <f t="shared" si="166"/>
        <v>50+</v>
      </c>
      <c r="R5348" t="str">
        <f t="shared" si="167"/>
        <v>[PekKUkKHAzY]|50+|Male|VMMC_CIRC_SUBNAT.T_1|CY2024Q3</v>
      </c>
    </row>
    <row r="5349" spans="4:18" x14ac:dyDescent="0.2">
      <c r="D5349" t="s">
        <v>93</v>
      </c>
      <c r="E5349" t="s">
        <v>94</v>
      </c>
      <c r="F5349" t="s">
        <v>95</v>
      </c>
      <c r="G5349" t="s">
        <v>217</v>
      </c>
      <c r="H5349" t="s">
        <v>218</v>
      </c>
      <c r="I5349" t="s">
        <v>45</v>
      </c>
      <c r="J5349" t="s">
        <v>46</v>
      </c>
      <c r="K5349" t="s">
        <v>48</v>
      </c>
      <c r="L5349" t="s">
        <v>49</v>
      </c>
      <c r="M5349" t="s">
        <v>140</v>
      </c>
      <c r="N5349">
        <v>3845</v>
      </c>
      <c r="O5349">
        <v>0</v>
      </c>
      <c r="P5349">
        <v>0</v>
      </c>
      <c r="Q5349" t="str">
        <f t="shared" si="166"/>
        <v>50+</v>
      </c>
      <c r="R5349" t="str">
        <f t="shared" si="167"/>
        <v>[PekKUkKHAzY]|50+|Male|VMMC_TOTALCIRC_SUBNAT.T_1|CY2024Q3</v>
      </c>
    </row>
    <row r="5350" spans="4:18" x14ac:dyDescent="0.2">
      <c r="D5350" t="s">
        <v>96</v>
      </c>
      <c r="E5350" t="s">
        <v>97</v>
      </c>
      <c r="F5350" t="s">
        <v>98</v>
      </c>
      <c r="G5350" t="s">
        <v>215</v>
      </c>
      <c r="H5350" t="s">
        <v>216</v>
      </c>
      <c r="I5350" t="s">
        <v>38</v>
      </c>
      <c r="J5350" t="s">
        <v>39</v>
      </c>
      <c r="K5350" t="s">
        <v>48</v>
      </c>
      <c r="L5350" t="s">
        <v>49</v>
      </c>
      <c r="M5350" t="s">
        <v>140</v>
      </c>
      <c r="N5350">
        <v>0</v>
      </c>
      <c r="O5350">
        <v>0</v>
      </c>
      <c r="P5350">
        <v>0</v>
      </c>
      <c r="Q5350" t="str">
        <f t="shared" si="166"/>
        <v>15-24</v>
      </c>
      <c r="R5350" t="str">
        <f t="shared" si="167"/>
        <v>[am530wpaGvr]|15-24|Male|VMMC_CIRC_SUBNAT.T_1|CY2024Q3</v>
      </c>
    </row>
    <row r="5351" spans="4:18" x14ac:dyDescent="0.2">
      <c r="D5351" t="s">
        <v>96</v>
      </c>
      <c r="E5351" t="s">
        <v>97</v>
      </c>
      <c r="F5351" t="s">
        <v>98</v>
      </c>
      <c r="G5351" t="s">
        <v>217</v>
      </c>
      <c r="H5351" t="s">
        <v>218</v>
      </c>
      <c r="I5351" t="s">
        <v>38</v>
      </c>
      <c r="J5351" t="s">
        <v>39</v>
      </c>
      <c r="K5351" t="s">
        <v>48</v>
      </c>
      <c r="L5351" t="s">
        <v>49</v>
      </c>
      <c r="M5351" t="s">
        <v>140</v>
      </c>
      <c r="N5351">
        <v>9775</v>
      </c>
      <c r="O5351">
        <v>0</v>
      </c>
      <c r="P5351">
        <v>0</v>
      </c>
      <c r="Q5351" t="str">
        <f t="shared" si="166"/>
        <v>15-24</v>
      </c>
      <c r="R5351" t="str">
        <f t="shared" si="167"/>
        <v>[am530wpaGvr]|15-24|Male|VMMC_TOTALCIRC_SUBNAT.T_1|CY2024Q3</v>
      </c>
    </row>
    <row r="5352" spans="4:18" x14ac:dyDescent="0.2">
      <c r="D5352" t="s">
        <v>96</v>
      </c>
      <c r="E5352" t="s">
        <v>97</v>
      </c>
      <c r="F5352" t="s">
        <v>98</v>
      </c>
      <c r="G5352" t="s">
        <v>215</v>
      </c>
      <c r="H5352" t="s">
        <v>216</v>
      </c>
      <c r="I5352" t="s">
        <v>41</v>
      </c>
      <c r="J5352" t="s">
        <v>42</v>
      </c>
      <c r="K5352" t="s">
        <v>48</v>
      </c>
      <c r="L5352" t="s">
        <v>49</v>
      </c>
      <c r="M5352" t="s">
        <v>140</v>
      </c>
      <c r="N5352">
        <v>0</v>
      </c>
      <c r="O5352">
        <v>0</v>
      </c>
      <c r="P5352">
        <v>0</v>
      </c>
      <c r="Q5352" t="str">
        <f t="shared" si="166"/>
        <v>25-34</v>
      </c>
      <c r="R5352" t="str">
        <f t="shared" si="167"/>
        <v>[am530wpaGvr]|25-34|Male|VMMC_CIRC_SUBNAT.T_1|CY2024Q3</v>
      </c>
    </row>
    <row r="5353" spans="4:18" x14ac:dyDescent="0.2">
      <c r="D5353" t="s">
        <v>96</v>
      </c>
      <c r="E5353" t="s">
        <v>97</v>
      </c>
      <c r="F5353" t="s">
        <v>98</v>
      </c>
      <c r="G5353" t="s">
        <v>217</v>
      </c>
      <c r="H5353" t="s">
        <v>218</v>
      </c>
      <c r="I5353" t="s">
        <v>41</v>
      </c>
      <c r="J5353" t="s">
        <v>42</v>
      </c>
      <c r="K5353" t="s">
        <v>48</v>
      </c>
      <c r="L5353" t="s">
        <v>49</v>
      </c>
      <c r="M5353" t="s">
        <v>140</v>
      </c>
      <c r="N5353">
        <v>9754</v>
      </c>
      <c r="O5353">
        <v>0</v>
      </c>
      <c r="P5353">
        <v>0</v>
      </c>
      <c r="Q5353" t="str">
        <f t="shared" si="166"/>
        <v>25-34</v>
      </c>
      <c r="R5353" t="str">
        <f t="shared" si="167"/>
        <v>[am530wpaGvr]|25-34|Male|VMMC_TOTALCIRC_SUBNAT.T_1|CY2024Q3</v>
      </c>
    </row>
    <row r="5354" spans="4:18" x14ac:dyDescent="0.2">
      <c r="D5354" t="s">
        <v>96</v>
      </c>
      <c r="E5354" t="s">
        <v>97</v>
      </c>
      <c r="F5354" t="s">
        <v>98</v>
      </c>
      <c r="G5354" t="s">
        <v>215</v>
      </c>
      <c r="H5354" t="s">
        <v>216</v>
      </c>
      <c r="I5354" t="s">
        <v>43</v>
      </c>
      <c r="J5354" t="s">
        <v>44</v>
      </c>
      <c r="K5354" t="s">
        <v>48</v>
      </c>
      <c r="L5354" t="s">
        <v>49</v>
      </c>
      <c r="M5354" t="s">
        <v>140</v>
      </c>
      <c r="N5354">
        <v>0</v>
      </c>
      <c r="O5354">
        <v>0</v>
      </c>
      <c r="P5354">
        <v>0</v>
      </c>
      <c r="Q5354" t="str">
        <f t="shared" si="166"/>
        <v>35-49</v>
      </c>
      <c r="R5354" t="str">
        <f t="shared" si="167"/>
        <v>[am530wpaGvr]|35-49|Male|VMMC_CIRC_SUBNAT.T_1|CY2024Q3</v>
      </c>
    </row>
    <row r="5355" spans="4:18" x14ac:dyDescent="0.2">
      <c r="D5355" t="s">
        <v>96</v>
      </c>
      <c r="E5355" t="s">
        <v>97</v>
      </c>
      <c r="F5355" t="s">
        <v>98</v>
      </c>
      <c r="G5355" t="s">
        <v>217</v>
      </c>
      <c r="H5355" t="s">
        <v>218</v>
      </c>
      <c r="I5355" t="s">
        <v>43</v>
      </c>
      <c r="J5355" t="s">
        <v>44</v>
      </c>
      <c r="K5355" t="s">
        <v>48</v>
      </c>
      <c r="L5355" t="s">
        <v>49</v>
      </c>
      <c r="M5355" t="s">
        <v>140</v>
      </c>
      <c r="N5355">
        <v>7360</v>
      </c>
      <c r="O5355">
        <v>0</v>
      </c>
      <c r="P5355">
        <v>0</v>
      </c>
      <c r="Q5355" t="str">
        <f t="shared" si="166"/>
        <v>35-49</v>
      </c>
      <c r="R5355" t="str">
        <f t="shared" si="167"/>
        <v>[am530wpaGvr]|35-49|Male|VMMC_TOTALCIRC_SUBNAT.T_1|CY2024Q3</v>
      </c>
    </row>
    <row r="5356" spans="4:18" x14ac:dyDescent="0.2">
      <c r="D5356" t="s">
        <v>96</v>
      </c>
      <c r="E5356" t="s">
        <v>97</v>
      </c>
      <c r="F5356" t="s">
        <v>98</v>
      </c>
      <c r="G5356" t="s">
        <v>215</v>
      </c>
      <c r="H5356" t="s">
        <v>216</v>
      </c>
      <c r="I5356" t="s">
        <v>45</v>
      </c>
      <c r="J5356" t="s">
        <v>46</v>
      </c>
      <c r="K5356" t="s">
        <v>48</v>
      </c>
      <c r="L5356" t="s">
        <v>49</v>
      </c>
      <c r="M5356" t="s">
        <v>140</v>
      </c>
      <c r="N5356">
        <v>0</v>
      </c>
      <c r="O5356">
        <v>0</v>
      </c>
      <c r="P5356">
        <v>0</v>
      </c>
      <c r="Q5356" t="str">
        <f t="shared" si="166"/>
        <v>50+</v>
      </c>
      <c r="R5356" t="str">
        <f t="shared" si="167"/>
        <v>[am530wpaGvr]|50+|Male|VMMC_CIRC_SUBNAT.T_1|CY2024Q3</v>
      </c>
    </row>
    <row r="5357" spans="4:18" x14ac:dyDescent="0.2">
      <c r="D5357" t="s">
        <v>96</v>
      </c>
      <c r="E5357" t="s">
        <v>97</v>
      </c>
      <c r="F5357" t="s">
        <v>98</v>
      </c>
      <c r="G5357" t="s">
        <v>217</v>
      </c>
      <c r="H5357" t="s">
        <v>218</v>
      </c>
      <c r="I5357" t="s">
        <v>45</v>
      </c>
      <c r="J5357" t="s">
        <v>46</v>
      </c>
      <c r="K5357" t="s">
        <v>48</v>
      </c>
      <c r="L5357" t="s">
        <v>49</v>
      </c>
      <c r="M5357" t="s">
        <v>140</v>
      </c>
      <c r="N5357">
        <v>2293</v>
      </c>
      <c r="O5357">
        <v>0</v>
      </c>
      <c r="P5357">
        <v>0</v>
      </c>
      <c r="Q5357" t="str">
        <f t="shared" si="166"/>
        <v>50+</v>
      </c>
      <c r="R5357" t="str">
        <f t="shared" si="167"/>
        <v>[am530wpaGvr]|50+|Male|VMMC_TOTALCIRC_SUBNAT.T_1|CY2024Q3</v>
      </c>
    </row>
    <row r="5358" spans="4:18" x14ac:dyDescent="0.2">
      <c r="D5358" t="s">
        <v>99</v>
      </c>
      <c r="E5358" t="s">
        <v>100</v>
      </c>
      <c r="F5358" t="s">
        <v>101</v>
      </c>
      <c r="G5358" t="s">
        <v>215</v>
      </c>
      <c r="H5358" t="s">
        <v>216</v>
      </c>
      <c r="I5358" t="s">
        <v>38</v>
      </c>
      <c r="J5358" t="s">
        <v>39</v>
      </c>
      <c r="K5358" t="s">
        <v>48</v>
      </c>
      <c r="L5358" t="s">
        <v>49</v>
      </c>
      <c r="M5358" t="s">
        <v>140</v>
      </c>
      <c r="N5358">
        <v>0</v>
      </c>
      <c r="O5358">
        <v>0</v>
      </c>
      <c r="P5358">
        <v>0</v>
      </c>
      <c r="Q5358" t="str">
        <f t="shared" si="166"/>
        <v>15-24</v>
      </c>
      <c r="R5358" t="str">
        <f t="shared" si="167"/>
        <v>[lLDyBx5XyUi]|15-24|Male|VMMC_CIRC_SUBNAT.T_1|CY2024Q3</v>
      </c>
    </row>
    <row r="5359" spans="4:18" x14ac:dyDescent="0.2">
      <c r="D5359" t="s">
        <v>99</v>
      </c>
      <c r="E5359" t="s">
        <v>100</v>
      </c>
      <c r="F5359" t="s">
        <v>101</v>
      </c>
      <c r="G5359" t="s">
        <v>217</v>
      </c>
      <c r="H5359" t="s">
        <v>218</v>
      </c>
      <c r="I5359" t="s">
        <v>38</v>
      </c>
      <c r="J5359" t="s">
        <v>39</v>
      </c>
      <c r="K5359" t="s">
        <v>48</v>
      </c>
      <c r="L5359" t="s">
        <v>49</v>
      </c>
      <c r="M5359" t="s">
        <v>140</v>
      </c>
      <c r="N5359">
        <v>105382</v>
      </c>
      <c r="O5359">
        <v>0</v>
      </c>
      <c r="P5359">
        <v>0</v>
      </c>
      <c r="Q5359" t="str">
        <f t="shared" si="166"/>
        <v>15-24</v>
      </c>
      <c r="R5359" t="str">
        <f t="shared" si="167"/>
        <v>[lLDyBx5XyUi]|15-24|Male|VMMC_TOTALCIRC_SUBNAT.T_1|CY2024Q3</v>
      </c>
    </row>
    <row r="5360" spans="4:18" x14ac:dyDescent="0.2">
      <c r="D5360" t="s">
        <v>99</v>
      </c>
      <c r="E5360" t="s">
        <v>100</v>
      </c>
      <c r="F5360" t="s">
        <v>101</v>
      </c>
      <c r="G5360" t="s">
        <v>215</v>
      </c>
      <c r="H5360" t="s">
        <v>216</v>
      </c>
      <c r="I5360" t="s">
        <v>41</v>
      </c>
      <c r="J5360" t="s">
        <v>42</v>
      </c>
      <c r="K5360" t="s">
        <v>48</v>
      </c>
      <c r="L5360" t="s">
        <v>49</v>
      </c>
      <c r="M5360" t="s">
        <v>140</v>
      </c>
      <c r="N5360">
        <v>0</v>
      </c>
      <c r="O5360">
        <v>0</v>
      </c>
      <c r="P5360">
        <v>0</v>
      </c>
      <c r="Q5360" t="str">
        <f t="shared" si="166"/>
        <v>25-34</v>
      </c>
      <c r="R5360" t="str">
        <f t="shared" si="167"/>
        <v>[lLDyBx5XyUi]|25-34|Male|VMMC_CIRC_SUBNAT.T_1|CY2024Q3</v>
      </c>
    </row>
    <row r="5361" spans="4:18" x14ac:dyDescent="0.2">
      <c r="D5361" t="s">
        <v>99</v>
      </c>
      <c r="E5361" t="s">
        <v>100</v>
      </c>
      <c r="F5361" t="s">
        <v>101</v>
      </c>
      <c r="G5361" t="s">
        <v>217</v>
      </c>
      <c r="H5361" t="s">
        <v>218</v>
      </c>
      <c r="I5361" t="s">
        <v>41</v>
      </c>
      <c r="J5361" t="s">
        <v>42</v>
      </c>
      <c r="K5361" t="s">
        <v>48</v>
      </c>
      <c r="L5361" t="s">
        <v>49</v>
      </c>
      <c r="M5361" t="s">
        <v>140</v>
      </c>
      <c r="N5361">
        <v>98333</v>
      </c>
      <c r="O5361">
        <v>0</v>
      </c>
      <c r="P5361">
        <v>0</v>
      </c>
      <c r="Q5361" t="str">
        <f t="shared" si="166"/>
        <v>25-34</v>
      </c>
      <c r="R5361" t="str">
        <f t="shared" si="167"/>
        <v>[lLDyBx5XyUi]|25-34|Male|VMMC_TOTALCIRC_SUBNAT.T_1|CY2024Q3</v>
      </c>
    </row>
    <row r="5362" spans="4:18" x14ac:dyDescent="0.2">
      <c r="D5362" t="s">
        <v>99</v>
      </c>
      <c r="E5362" t="s">
        <v>100</v>
      </c>
      <c r="F5362" t="s">
        <v>101</v>
      </c>
      <c r="G5362" t="s">
        <v>215</v>
      </c>
      <c r="H5362" t="s">
        <v>216</v>
      </c>
      <c r="I5362" t="s">
        <v>43</v>
      </c>
      <c r="J5362" t="s">
        <v>44</v>
      </c>
      <c r="K5362" t="s">
        <v>48</v>
      </c>
      <c r="L5362" t="s">
        <v>49</v>
      </c>
      <c r="M5362" t="s">
        <v>140</v>
      </c>
      <c r="N5362">
        <v>0</v>
      </c>
      <c r="O5362">
        <v>0</v>
      </c>
      <c r="P5362">
        <v>0</v>
      </c>
      <c r="Q5362" t="str">
        <f t="shared" si="166"/>
        <v>35-49</v>
      </c>
      <c r="R5362" t="str">
        <f t="shared" si="167"/>
        <v>[lLDyBx5XyUi]|35-49|Male|VMMC_CIRC_SUBNAT.T_1|CY2024Q3</v>
      </c>
    </row>
    <row r="5363" spans="4:18" x14ac:dyDescent="0.2">
      <c r="D5363" t="s">
        <v>99</v>
      </c>
      <c r="E5363" t="s">
        <v>100</v>
      </c>
      <c r="F5363" t="s">
        <v>101</v>
      </c>
      <c r="G5363" t="s">
        <v>217</v>
      </c>
      <c r="H5363" t="s">
        <v>218</v>
      </c>
      <c r="I5363" t="s">
        <v>43</v>
      </c>
      <c r="J5363" t="s">
        <v>44</v>
      </c>
      <c r="K5363" t="s">
        <v>48</v>
      </c>
      <c r="L5363" t="s">
        <v>49</v>
      </c>
      <c r="M5363" t="s">
        <v>140</v>
      </c>
      <c r="N5363">
        <v>87492</v>
      </c>
      <c r="O5363">
        <v>0</v>
      </c>
      <c r="P5363">
        <v>0</v>
      </c>
      <c r="Q5363" t="str">
        <f t="shared" si="166"/>
        <v>35-49</v>
      </c>
      <c r="R5363" t="str">
        <f t="shared" si="167"/>
        <v>[lLDyBx5XyUi]|35-49|Male|VMMC_TOTALCIRC_SUBNAT.T_1|CY2024Q3</v>
      </c>
    </row>
    <row r="5364" spans="4:18" x14ac:dyDescent="0.2">
      <c r="D5364" t="s">
        <v>99</v>
      </c>
      <c r="E5364" t="s">
        <v>100</v>
      </c>
      <c r="F5364" t="s">
        <v>101</v>
      </c>
      <c r="G5364" t="s">
        <v>215</v>
      </c>
      <c r="H5364" t="s">
        <v>216</v>
      </c>
      <c r="I5364" t="s">
        <v>45</v>
      </c>
      <c r="J5364" t="s">
        <v>46</v>
      </c>
      <c r="K5364" t="s">
        <v>48</v>
      </c>
      <c r="L5364" t="s">
        <v>49</v>
      </c>
      <c r="M5364" t="s">
        <v>140</v>
      </c>
      <c r="N5364">
        <v>0</v>
      </c>
      <c r="O5364">
        <v>0</v>
      </c>
      <c r="P5364">
        <v>0</v>
      </c>
      <c r="Q5364" t="str">
        <f t="shared" si="166"/>
        <v>50+</v>
      </c>
      <c r="R5364" t="str">
        <f t="shared" si="167"/>
        <v>[lLDyBx5XyUi]|50+|Male|VMMC_CIRC_SUBNAT.T_1|CY2024Q3</v>
      </c>
    </row>
    <row r="5365" spans="4:18" x14ac:dyDescent="0.2">
      <c r="D5365" t="s">
        <v>99</v>
      </c>
      <c r="E5365" t="s">
        <v>100</v>
      </c>
      <c r="F5365" t="s">
        <v>101</v>
      </c>
      <c r="G5365" t="s">
        <v>217</v>
      </c>
      <c r="H5365" t="s">
        <v>218</v>
      </c>
      <c r="I5365" t="s">
        <v>45</v>
      </c>
      <c r="J5365" t="s">
        <v>46</v>
      </c>
      <c r="K5365" t="s">
        <v>48</v>
      </c>
      <c r="L5365" t="s">
        <v>49</v>
      </c>
      <c r="M5365" t="s">
        <v>140</v>
      </c>
      <c r="N5365">
        <v>29955</v>
      </c>
      <c r="O5365">
        <v>0</v>
      </c>
      <c r="P5365">
        <v>0</v>
      </c>
      <c r="Q5365" t="str">
        <f t="shared" si="166"/>
        <v>50+</v>
      </c>
      <c r="R5365" t="str">
        <f t="shared" si="167"/>
        <v>[lLDyBx5XyUi]|50+|Male|VMMC_TOTALCIRC_SUBNAT.T_1|CY2024Q3</v>
      </c>
    </row>
    <row r="5366" spans="4:18" x14ac:dyDescent="0.2">
      <c r="D5366" t="s">
        <v>102</v>
      </c>
      <c r="E5366" t="s">
        <v>103</v>
      </c>
      <c r="F5366" t="s">
        <v>104</v>
      </c>
      <c r="G5366" t="s">
        <v>215</v>
      </c>
      <c r="H5366" t="s">
        <v>216</v>
      </c>
      <c r="I5366" t="s">
        <v>38</v>
      </c>
      <c r="J5366" t="s">
        <v>39</v>
      </c>
      <c r="K5366" t="s">
        <v>48</v>
      </c>
      <c r="L5366" t="s">
        <v>49</v>
      </c>
      <c r="M5366" t="s">
        <v>140</v>
      </c>
      <c r="N5366">
        <v>0</v>
      </c>
      <c r="O5366">
        <v>0</v>
      </c>
      <c r="P5366">
        <v>0</v>
      </c>
      <c r="Q5366" t="str">
        <f t="shared" si="166"/>
        <v>15-24</v>
      </c>
      <c r="R5366" t="str">
        <f t="shared" si="167"/>
        <v>[TYnMSwzko3z]|15-24|Male|VMMC_CIRC_SUBNAT.T_1|CY2024Q3</v>
      </c>
    </row>
    <row r="5367" spans="4:18" x14ac:dyDescent="0.2">
      <c r="D5367" t="s">
        <v>102</v>
      </c>
      <c r="E5367" t="s">
        <v>103</v>
      </c>
      <c r="F5367" t="s">
        <v>104</v>
      </c>
      <c r="G5367" t="s">
        <v>217</v>
      </c>
      <c r="H5367" t="s">
        <v>218</v>
      </c>
      <c r="I5367" t="s">
        <v>38</v>
      </c>
      <c r="J5367" t="s">
        <v>39</v>
      </c>
      <c r="K5367" t="s">
        <v>48</v>
      </c>
      <c r="L5367" t="s">
        <v>49</v>
      </c>
      <c r="M5367" t="s">
        <v>140</v>
      </c>
      <c r="N5367">
        <v>76859</v>
      </c>
      <c r="O5367">
        <v>0</v>
      </c>
      <c r="P5367">
        <v>0</v>
      </c>
      <c r="Q5367" t="str">
        <f t="shared" si="166"/>
        <v>15-24</v>
      </c>
      <c r="R5367" t="str">
        <f t="shared" si="167"/>
        <v>[TYnMSwzko3z]|15-24|Male|VMMC_TOTALCIRC_SUBNAT.T_1|CY2024Q3</v>
      </c>
    </row>
    <row r="5368" spans="4:18" x14ac:dyDescent="0.2">
      <c r="D5368" t="s">
        <v>102</v>
      </c>
      <c r="E5368" t="s">
        <v>103</v>
      </c>
      <c r="F5368" t="s">
        <v>104</v>
      </c>
      <c r="G5368" t="s">
        <v>215</v>
      </c>
      <c r="H5368" t="s">
        <v>216</v>
      </c>
      <c r="I5368" t="s">
        <v>41</v>
      </c>
      <c r="J5368" t="s">
        <v>42</v>
      </c>
      <c r="K5368" t="s">
        <v>48</v>
      </c>
      <c r="L5368" t="s">
        <v>49</v>
      </c>
      <c r="M5368" t="s">
        <v>140</v>
      </c>
      <c r="N5368">
        <v>0</v>
      </c>
      <c r="O5368">
        <v>0</v>
      </c>
      <c r="P5368">
        <v>0</v>
      </c>
      <c r="Q5368" t="str">
        <f t="shared" si="166"/>
        <v>25-34</v>
      </c>
      <c r="R5368" t="str">
        <f t="shared" si="167"/>
        <v>[TYnMSwzko3z]|25-34|Male|VMMC_CIRC_SUBNAT.T_1|CY2024Q3</v>
      </c>
    </row>
    <row r="5369" spans="4:18" x14ac:dyDescent="0.2">
      <c r="D5369" t="s">
        <v>102</v>
      </c>
      <c r="E5369" t="s">
        <v>103</v>
      </c>
      <c r="F5369" t="s">
        <v>104</v>
      </c>
      <c r="G5369" t="s">
        <v>217</v>
      </c>
      <c r="H5369" t="s">
        <v>218</v>
      </c>
      <c r="I5369" t="s">
        <v>41</v>
      </c>
      <c r="J5369" t="s">
        <v>42</v>
      </c>
      <c r="K5369" t="s">
        <v>48</v>
      </c>
      <c r="L5369" t="s">
        <v>49</v>
      </c>
      <c r="M5369" t="s">
        <v>140</v>
      </c>
      <c r="N5369">
        <v>71102</v>
      </c>
      <c r="O5369">
        <v>0</v>
      </c>
      <c r="P5369">
        <v>0</v>
      </c>
      <c r="Q5369" t="str">
        <f t="shared" si="166"/>
        <v>25-34</v>
      </c>
      <c r="R5369" t="str">
        <f t="shared" si="167"/>
        <v>[TYnMSwzko3z]|25-34|Male|VMMC_TOTALCIRC_SUBNAT.T_1|CY2024Q3</v>
      </c>
    </row>
    <row r="5370" spans="4:18" x14ac:dyDescent="0.2">
      <c r="D5370" t="s">
        <v>102</v>
      </c>
      <c r="E5370" t="s">
        <v>103</v>
      </c>
      <c r="F5370" t="s">
        <v>104</v>
      </c>
      <c r="G5370" t="s">
        <v>215</v>
      </c>
      <c r="H5370" t="s">
        <v>216</v>
      </c>
      <c r="I5370" t="s">
        <v>43</v>
      </c>
      <c r="J5370" t="s">
        <v>44</v>
      </c>
      <c r="K5370" t="s">
        <v>48</v>
      </c>
      <c r="L5370" t="s">
        <v>49</v>
      </c>
      <c r="M5370" t="s">
        <v>140</v>
      </c>
      <c r="N5370">
        <v>0</v>
      </c>
      <c r="O5370">
        <v>0</v>
      </c>
      <c r="P5370">
        <v>0</v>
      </c>
      <c r="Q5370" t="str">
        <f t="shared" si="166"/>
        <v>35-49</v>
      </c>
      <c r="R5370" t="str">
        <f t="shared" si="167"/>
        <v>[TYnMSwzko3z]|35-49|Male|VMMC_CIRC_SUBNAT.T_1|CY2024Q3</v>
      </c>
    </row>
    <row r="5371" spans="4:18" x14ac:dyDescent="0.2">
      <c r="D5371" t="s">
        <v>102</v>
      </c>
      <c r="E5371" t="s">
        <v>103</v>
      </c>
      <c r="F5371" t="s">
        <v>104</v>
      </c>
      <c r="G5371" t="s">
        <v>217</v>
      </c>
      <c r="H5371" t="s">
        <v>218</v>
      </c>
      <c r="I5371" t="s">
        <v>43</v>
      </c>
      <c r="J5371" t="s">
        <v>44</v>
      </c>
      <c r="K5371" t="s">
        <v>48</v>
      </c>
      <c r="L5371" t="s">
        <v>49</v>
      </c>
      <c r="M5371" t="s">
        <v>140</v>
      </c>
      <c r="N5371">
        <v>63644</v>
      </c>
      <c r="O5371">
        <v>0</v>
      </c>
      <c r="P5371">
        <v>0</v>
      </c>
      <c r="Q5371" t="str">
        <f t="shared" si="166"/>
        <v>35-49</v>
      </c>
      <c r="R5371" t="str">
        <f t="shared" si="167"/>
        <v>[TYnMSwzko3z]|35-49|Male|VMMC_TOTALCIRC_SUBNAT.T_1|CY2024Q3</v>
      </c>
    </row>
    <row r="5372" spans="4:18" x14ac:dyDescent="0.2">
      <c r="D5372" t="s">
        <v>102</v>
      </c>
      <c r="E5372" t="s">
        <v>103</v>
      </c>
      <c r="F5372" t="s">
        <v>104</v>
      </c>
      <c r="G5372" t="s">
        <v>215</v>
      </c>
      <c r="H5372" t="s">
        <v>216</v>
      </c>
      <c r="I5372" t="s">
        <v>45</v>
      </c>
      <c r="J5372" t="s">
        <v>46</v>
      </c>
      <c r="K5372" t="s">
        <v>48</v>
      </c>
      <c r="L5372" t="s">
        <v>49</v>
      </c>
      <c r="M5372" t="s">
        <v>140</v>
      </c>
      <c r="N5372">
        <v>0</v>
      </c>
      <c r="O5372">
        <v>0</v>
      </c>
      <c r="P5372">
        <v>0</v>
      </c>
      <c r="Q5372" t="str">
        <f t="shared" si="166"/>
        <v>50+</v>
      </c>
      <c r="R5372" t="str">
        <f t="shared" si="167"/>
        <v>[TYnMSwzko3z]|50+|Male|VMMC_CIRC_SUBNAT.T_1|CY2024Q3</v>
      </c>
    </row>
    <row r="5373" spans="4:18" x14ac:dyDescent="0.2">
      <c r="D5373" t="s">
        <v>102</v>
      </c>
      <c r="E5373" t="s">
        <v>103</v>
      </c>
      <c r="F5373" t="s">
        <v>104</v>
      </c>
      <c r="G5373" t="s">
        <v>217</v>
      </c>
      <c r="H5373" t="s">
        <v>218</v>
      </c>
      <c r="I5373" t="s">
        <v>45</v>
      </c>
      <c r="J5373" t="s">
        <v>46</v>
      </c>
      <c r="K5373" t="s">
        <v>48</v>
      </c>
      <c r="L5373" t="s">
        <v>49</v>
      </c>
      <c r="M5373" t="s">
        <v>140</v>
      </c>
      <c r="N5373">
        <v>21735</v>
      </c>
      <c r="O5373">
        <v>0</v>
      </c>
      <c r="P5373">
        <v>0</v>
      </c>
      <c r="Q5373" t="str">
        <f t="shared" si="166"/>
        <v>50+</v>
      </c>
      <c r="R5373" t="str">
        <f t="shared" si="167"/>
        <v>[TYnMSwzko3z]|50+|Male|VMMC_TOTALCIRC_SUBNAT.T_1|CY2024Q3</v>
      </c>
    </row>
    <row r="5374" spans="4:18" x14ac:dyDescent="0.2">
      <c r="D5374" t="s">
        <v>105</v>
      </c>
      <c r="E5374" t="s">
        <v>106</v>
      </c>
      <c r="F5374" t="s">
        <v>107</v>
      </c>
      <c r="G5374" t="s">
        <v>215</v>
      </c>
      <c r="H5374" t="s">
        <v>216</v>
      </c>
      <c r="I5374" t="s">
        <v>38</v>
      </c>
      <c r="J5374" t="s">
        <v>39</v>
      </c>
      <c r="K5374" t="s">
        <v>48</v>
      </c>
      <c r="L5374" t="s">
        <v>49</v>
      </c>
      <c r="M5374" t="s">
        <v>140</v>
      </c>
      <c r="N5374">
        <v>0</v>
      </c>
      <c r="O5374">
        <v>0</v>
      </c>
      <c r="P5374">
        <v>0</v>
      </c>
      <c r="Q5374" t="str">
        <f t="shared" si="166"/>
        <v>15-24</v>
      </c>
      <c r="R5374" t="str">
        <f t="shared" si="167"/>
        <v>[fyEoGEPERdI]|15-24|Male|VMMC_CIRC_SUBNAT.T_1|CY2024Q3</v>
      </c>
    </row>
    <row r="5375" spans="4:18" x14ac:dyDescent="0.2">
      <c r="D5375" t="s">
        <v>105</v>
      </c>
      <c r="E5375" t="s">
        <v>106</v>
      </c>
      <c r="F5375" t="s">
        <v>107</v>
      </c>
      <c r="G5375" t="s">
        <v>217</v>
      </c>
      <c r="H5375" t="s">
        <v>218</v>
      </c>
      <c r="I5375" t="s">
        <v>38</v>
      </c>
      <c r="J5375" t="s">
        <v>39</v>
      </c>
      <c r="K5375" t="s">
        <v>48</v>
      </c>
      <c r="L5375" t="s">
        <v>49</v>
      </c>
      <c r="M5375" t="s">
        <v>140</v>
      </c>
      <c r="N5375">
        <v>66965</v>
      </c>
      <c r="O5375">
        <v>0</v>
      </c>
      <c r="P5375">
        <v>0</v>
      </c>
      <c r="Q5375" t="str">
        <f t="shared" si="166"/>
        <v>15-24</v>
      </c>
      <c r="R5375" t="str">
        <f t="shared" si="167"/>
        <v>[fyEoGEPERdI]|15-24|Male|VMMC_TOTALCIRC_SUBNAT.T_1|CY2024Q3</v>
      </c>
    </row>
    <row r="5376" spans="4:18" x14ac:dyDescent="0.2">
      <c r="D5376" t="s">
        <v>105</v>
      </c>
      <c r="E5376" t="s">
        <v>106</v>
      </c>
      <c r="F5376" t="s">
        <v>107</v>
      </c>
      <c r="G5376" t="s">
        <v>215</v>
      </c>
      <c r="H5376" t="s">
        <v>216</v>
      </c>
      <c r="I5376" t="s">
        <v>41</v>
      </c>
      <c r="J5376" t="s">
        <v>42</v>
      </c>
      <c r="K5376" t="s">
        <v>48</v>
      </c>
      <c r="L5376" t="s">
        <v>49</v>
      </c>
      <c r="M5376" t="s">
        <v>140</v>
      </c>
      <c r="N5376">
        <v>0</v>
      </c>
      <c r="O5376">
        <v>0</v>
      </c>
      <c r="P5376">
        <v>0</v>
      </c>
      <c r="Q5376" t="str">
        <f t="shared" si="166"/>
        <v>25-34</v>
      </c>
      <c r="R5376" t="str">
        <f t="shared" si="167"/>
        <v>[fyEoGEPERdI]|25-34|Male|VMMC_CIRC_SUBNAT.T_1|CY2024Q3</v>
      </c>
    </row>
    <row r="5377" spans="4:18" x14ac:dyDescent="0.2">
      <c r="D5377" t="s">
        <v>105</v>
      </c>
      <c r="E5377" t="s">
        <v>106</v>
      </c>
      <c r="F5377" t="s">
        <v>107</v>
      </c>
      <c r="G5377" t="s">
        <v>217</v>
      </c>
      <c r="H5377" t="s">
        <v>218</v>
      </c>
      <c r="I5377" t="s">
        <v>41</v>
      </c>
      <c r="J5377" t="s">
        <v>42</v>
      </c>
      <c r="K5377" t="s">
        <v>48</v>
      </c>
      <c r="L5377" t="s">
        <v>49</v>
      </c>
      <c r="M5377" t="s">
        <v>140</v>
      </c>
      <c r="N5377">
        <v>64423</v>
      </c>
      <c r="O5377">
        <v>0</v>
      </c>
      <c r="P5377">
        <v>0</v>
      </c>
      <c r="Q5377" t="str">
        <f t="shared" si="166"/>
        <v>25-34</v>
      </c>
      <c r="R5377" t="str">
        <f t="shared" si="167"/>
        <v>[fyEoGEPERdI]|25-34|Male|VMMC_TOTALCIRC_SUBNAT.T_1|CY2024Q3</v>
      </c>
    </row>
    <row r="5378" spans="4:18" x14ac:dyDescent="0.2">
      <c r="D5378" t="s">
        <v>105</v>
      </c>
      <c r="E5378" t="s">
        <v>106</v>
      </c>
      <c r="F5378" t="s">
        <v>107</v>
      </c>
      <c r="G5378" t="s">
        <v>215</v>
      </c>
      <c r="H5378" t="s">
        <v>216</v>
      </c>
      <c r="I5378" t="s">
        <v>43</v>
      </c>
      <c r="J5378" t="s">
        <v>44</v>
      </c>
      <c r="K5378" t="s">
        <v>48</v>
      </c>
      <c r="L5378" t="s">
        <v>49</v>
      </c>
      <c r="M5378" t="s">
        <v>140</v>
      </c>
      <c r="N5378">
        <v>0</v>
      </c>
      <c r="O5378">
        <v>0</v>
      </c>
      <c r="P5378">
        <v>0</v>
      </c>
      <c r="Q5378" t="str">
        <f t="shared" si="166"/>
        <v>35-49</v>
      </c>
      <c r="R5378" t="str">
        <f t="shared" si="167"/>
        <v>[fyEoGEPERdI]|35-49|Male|VMMC_CIRC_SUBNAT.T_1|CY2024Q3</v>
      </c>
    </row>
    <row r="5379" spans="4:18" x14ac:dyDescent="0.2">
      <c r="D5379" t="s">
        <v>105</v>
      </c>
      <c r="E5379" t="s">
        <v>106</v>
      </c>
      <c r="F5379" t="s">
        <v>107</v>
      </c>
      <c r="G5379" t="s">
        <v>217</v>
      </c>
      <c r="H5379" t="s">
        <v>218</v>
      </c>
      <c r="I5379" t="s">
        <v>43</v>
      </c>
      <c r="J5379" t="s">
        <v>44</v>
      </c>
      <c r="K5379" t="s">
        <v>48</v>
      </c>
      <c r="L5379" t="s">
        <v>49</v>
      </c>
      <c r="M5379" t="s">
        <v>140</v>
      </c>
      <c r="N5379">
        <v>52312</v>
      </c>
      <c r="O5379">
        <v>0</v>
      </c>
      <c r="P5379">
        <v>0</v>
      </c>
      <c r="Q5379" t="str">
        <f t="shared" ref="Q5379:Q5442" si="168">SUBSTITUTE(SUBSTITUTE($I5379,CHAR(61),""),CHAR(34),"")</f>
        <v>35-49</v>
      </c>
      <c r="R5379" t="str">
        <f t="shared" ref="R5379:R5442" si="169">IF($D5379&lt;&gt;"","["&amp;$E5379&amp;"]"&amp;"|"&amp;$Q5379&amp;"|"&amp;$K5379&amp;"|"&amp;$G5379&amp;"|"&amp;IF($G5379="TX_CURR_SUBNAT.R","CY2023Q4",$M5379),"")</f>
        <v>[fyEoGEPERdI]|35-49|Male|VMMC_TOTALCIRC_SUBNAT.T_1|CY2024Q3</v>
      </c>
    </row>
    <row r="5380" spans="4:18" x14ac:dyDescent="0.2">
      <c r="D5380" t="s">
        <v>105</v>
      </c>
      <c r="E5380" t="s">
        <v>106</v>
      </c>
      <c r="F5380" t="s">
        <v>107</v>
      </c>
      <c r="G5380" t="s">
        <v>215</v>
      </c>
      <c r="H5380" t="s">
        <v>216</v>
      </c>
      <c r="I5380" t="s">
        <v>45</v>
      </c>
      <c r="J5380" t="s">
        <v>46</v>
      </c>
      <c r="K5380" t="s">
        <v>48</v>
      </c>
      <c r="L5380" t="s">
        <v>49</v>
      </c>
      <c r="M5380" t="s">
        <v>140</v>
      </c>
      <c r="N5380">
        <v>0</v>
      </c>
      <c r="O5380">
        <v>0</v>
      </c>
      <c r="P5380">
        <v>0</v>
      </c>
      <c r="Q5380" t="str">
        <f t="shared" si="168"/>
        <v>50+</v>
      </c>
      <c r="R5380" t="str">
        <f t="shared" si="169"/>
        <v>[fyEoGEPERdI]|50+|Male|VMMC_CIRC_SUBNAT.T_1|CY2024Q3</v>
      </c>
    </row>
    <row r="5381" spans="4:18" x14ac:dyDescent="0.2">
      <c r="D5381" t="s">
        <v>105</v>
      </c>
      <c r="E5381" t="s">
        <v>106</v>
      </c>
      <c r="F5381" t="s">
        <v>107</v>
      </c>
      <c r="G5381" t="s">
        <v>217</v>
      </c>
      <c r="H5381" t="s">
        <v>218</v>
      </c>
      <c r="I5381" t="s">
        <v>45</v>
      </c>
      <c r="J5381" t="s">
        <v>46</v>
      </c>
      <c r="K5381" t="s">
        <v>48</v>
      </c>
      <c r="L5381" t="s">
        <v>49</v>
      </c>
      <c r="M5381" t="s">
        <v>140</v>
      </c>
      <c r="N5381">
        <v>16893</v>
      </c>
      <c r="O5381">
        <v>0</v>
      </c>
      <c r="P5381">
        <v>0</v>
      </c>
      <c r="Q5381" t="str">
        <f t="shared" si="168"/>
        <v>50+</v>
      </c>
      <c r="R5381" t="str">
        <f t="shared" si="169"/>
        <v>[fyEoGEPERdI]|50+|Male|VMMC_TOTALCIRC_SUBNAT.T_1|CY2024Q3</v>
      </c>
    </row>
    <row r="5382" spans="4:18" x14ac:dyDescent="0.2">
      <c r="D5382" t="s">
        <v>108</v>
      </c>
      <c r="E5382" t="s">
        <v>109</v>
      </c>
      <c r="F5382" t="s">
        <v>110</v>
      </c>
      <c r="G5382" t="s">
        <v>215</v>
      </c>
      <c r="H5382" t="s">
        <v>216</v>
      </c>
      <c r="I5382" t="s">
        <v>38</v>
      </c>
      <c r="J5382" t="s">
        <v>39</v>
      </c>
      <c r="K5382" t="s">
        <v>48</v>
      </c>
      <c r="L5382" t="s">
        <v>49</v>
      </c>
      <c r="M5382" t="s">
        <v>140</v>
      </c>
      <c r="N5382">
        <v>2712</v>
      </c>
      <c r="O5382">
        <v>0</v>
      </c>
      <c r="P5382">
        <v>0</v>
      </c>
      <c r="Q5382" t="str">
        <f t="shared" si="168"/>
        <v>15-24</v>
      </c>
      <c r="R5382" t="str">
        <f t="shared" si="169"/>
        <v>[umc2n1Z4wNv]|15-24|Male|VMMC_CIRC_SUBNAT.T_1|CY2024Q3</v>
      </c>
    </row>
    <row r="5383" spans="4:18" x14ac:dyDescent="0.2">
      <c r="D5383" t="s">
        <v>108</v>
      </c>
      <c r="E5383" t="s">
        <v>109</v>
      </c>
      <c r="F5383" t="s">
        <v>110</v>
      </c>
      <c r="G5383" t="s">
        <v>217</v>
      </c>
      <c r="H5383" t="s">
        <v>218</v>
      </c>
      <c r="I5383" t="s">
        <v>38</v>
      </c>
      <c r="J5383" t="s">
        <v>39</v>
      </c>
      <c r="K5383" t="s">
        <v>48</v>
      </c>
      <c r="L5383" t="s">
        <v>49</v>
      </c>
      <c r="M5383" t="s">
        <v>140</v>
      </c>
      <c r="N5383">
        <v>48959</v>
      </c>
      <c r="O5383">
        <v>0</v>
      </c>
      <c r="P5383">
        <v>0</v>
      </c>
      <c r="Q5383" t="str">
        <f t="shared" si="168"/>
        <v>15-24</v>
      </c>
      <c r="R5383" t="str">
        <f t="shared" si="169"/>
        <v>[umc2n1Z4wNv]|15-24|Male|VMMC_TOTALCIRC_SUBNAT.T_1|CY2024Q3</v>
      </c>
    </row>
    <row r="5384" spans="4:18" x14ac:dyDescent="0.2">
      <c r="D5384" t="s">
        <v>108</v>
      </c>
      <c r="E5384" t="s">
        <v>109</v>
      </c>
      <c r="F5384" t="s">
        <v>110</v>
      </c>
      <c r="G5384" t="s">
        <v>215</v>
      </c>
      <c r="H5384" t="s">
        <v>216</v>
      </c>
      <c r="I5384" t="s">
        <v>41</v>
      </c>
      <c r="J5384" t="s">
        <v>42</v>
      </c>
      <c r="K5384" t="s">
        <v>48</v>
      </c>
      <c r="L5384" t="s">
        <v>49</v>
      </c>
      <c r="M5384" t="s">
        <v>140</v>
      </c>
      <c r="N5384">
        <v>1647</v>
      </c>
      <c r="O5384">
        <v>0</v>
      </c>
      <c r="P5384">
        <v>0</v>
      </c>
      <c r="Q5384" t="str">
        <f t="shared" si="168"/>
        <v>25-34</v>
      </c>
      <c r="R5384" t="str">
        <f t="shared" si="169"/>
        <v>[umc2n1Z4wNv]|25-34|Male|VMMC_CIRC_SUBNAT.T_1|CY2024Q3</v>
      </c>
    </row>
    <row r="5385" spans="4:18" x14ac:dyDescent="0.2">
      <c r="D5385" t="s">
        <v>108</v>
      </c>
      <c r="E5385" t="s">
        <v>109</v>
      </c>
      <c r="F5385" t="s">
        <v>110</v>
      </c>
      <c r="G5385" t="s">
        <v>217</v>
      </c>
      <c r="H5385" t="s">
        <v>218</v>
      </c>
      <c r="I5385" t="s">
        <v>41</v>
      </c>
      <c r="J5385" t="s">
        <v>42</v>
      </c>
      <c r="K5385" t="s">
        <v>48</v>
      </c>
      <c r="L5385" t="s">
        <v>49</v>
      </c>
      <c r="M5385" t="s">
        <v>140</v>
      </c>
      <c r="N5385">
        <v>35560</v>
      </c>
      <c r="O5385">
        <v>0</v>
      </c>
      <c r="P5385">
        <v>0</v>
      </c>
      <c r="Q5385" t="str">
        <f t="shared" si="168"/>
        <v>25-34</v>
      </c>
      <c r="R5385" t="str">
        <f t="shared" si="169"/>
        <v>[umc2n1Z4wNv]|25-34|Male|VMMC_TOTALCIRC_SUBNAT.T_1|CY2024Q3</v>
      </c>
    </row>
    <row r="5386" spans="4:18" x14ac:dyDescent="0.2">
      <c r="D5386" t="s">
        <v>108</v>
      </c>
      <c r="E5386" t="s">
        <v>109</v>
      </c>
      <c r="F5386" t="s">
        <v>110</v>
      </c>
      <c r="G5386" t="s">
        <v>215</v>
      </c>
      <c r="H5386" t="s">
        <v>216</v>
      </c>
      <c r="I5386" t="s">
        <v>43</v>
      </c>
      <c r="J5386" t="s">
        <v>44</v>
      </c>
      <c r="K5386" t="s">
        <v>48</v>
      </c>
      <c r="L5386" t="s">
        <v>49</v>
      </c>
      <c r="M5386" t="s">
        <v>140</v>
      </c>
      <c r="N5386">
        <v>2644</v>
      </c>
      <c r="O5386">
        <v>0</v>
      </c>
      <c r="P5386">
        <v>0</v>
      </c>
      <c r="Q5386" t="str">
        <f t="shared" si="168"/>
        <v>35-49</v>
      </c>
      <c r="R5386" t="str">
        <f t="shared" si="169"/>
        <v>[umc2n1Z4wNv]|35-49|Male|VMMC_CIRC_SUBNAT.T_1|CY2024Q3</v>
      </c>
    </row>
    <row r="5387" spans="4:18" x14ac:dyDescent="0.2">
      <c r="D5387" t="s">
        <v>108</v>
      </c>
      <c r="E5387" t="s">
        <v>109</v>
      </c>
      <c r="F5387" t="s">
        <v>110</v>
      </c>
      <c r="G5387" t="s">
        <v>217</v>
      </c>
      <c r="H5387" t="s">
        <v>218</v>
      </c>
      <c r="I5387" t="s">
        <v>43</v>
      </c>
      <c r="J5387" t="s">
        <v>44</v>
      </c>
      <c r="K5387" t="s">
        <v>48</v>
      </c>
      <c r="L5387" t="s">
        <v>49</v>
      </c>
      <c r="M5387" t="s">
        <v>140</v>
      </c>
      <c r="N5387">
        <v>24974</v>
      </c>
      <c r="O5387">
        <v>0</v>
      </c>
      <c r="P5387">
        <v>0</v>
      </c>
      <c r="Q5387" t="str">
        <f t="shared" si="168"/>
        <v>35-49</v>
      </c>
      <c r="R5387" t="str">
        <f t="shared" si="169"/>
        <v>[umc2n1Z4wNv]|35-49|Male|VMMC_TOTALCIRC_SUBNAT.T_1|CY2024Q3</v>
      </c>
    </row>
    <row r="5388" spans="4:18" x14ac:dyDescent="0.2">
      <c r="D5388" t="s">
        <v>108</v>
      </c>
      <c r="E5388" t="s">
        <v>109</v>
      </c>
      <c r="F5388" t="s">
        <v>110</v>
      </c>
      <c r="G5388" t="s">
        <v>215</v>
      </c>
      <c r="H5388" t="s">
        <v>216</v>
      </c>
      <c r="I5388" t="s">
        <v>45</v>
      </c>
      <c r="J5388" t="s">
        <v>46</v>
      </c>
      <c r="K5388" t="s">
        <v>48</v>
      </c>
      <c r="L5388" t="s">
        <v>49</v>
      </c>
      <c r="M5388" t="s">
        <v>140</v>
      </c>
      <c r="N5388">
        <v>0</v>
      </c>
      <c r="O5388">
        <v>0</v>
      </c>
      <c r="P5388">
        <v>0</v>
      </c>
      <c r="Q5388" t="str">
        <f t="shared" si="168"/>
        <v>50+</v>
      </c>
      <c r="R5388" t="str">
        <f t="shared" si="169"/>
        <v>[umc2n1Z4wNv]|50+|Male|VMMC_CIRC_SUBNAT.T_1|CY2024Q3</v>
      </c>
    </row>
    <row r="5389" spans="4:18" x14ac:dyDescent="0.2">
      <c r="D5389" t="s">
        <v>108</v>
      </c>
      <c r="E5389" t="s">
        <v>109</v>
      </c>
      <c r="F5389" t="s">
        <v>110</v>
      </c>
      <c r="G5389" t="s">
        <v>217</v>
      </c>
      <c r="H5389" t="s">
        <v>218</v>
      </c>
      <c r="I5389" t="s">
        <v>45</v>
      </c>
      <c r="J5389" t="s">
        <v>46</v>
      </c>
      <c r="K5389" t="s">
        <v>48</v>
      </c>
      <c r="L5389" t="s">
        <v>49</v>
      </c>
      <c r="M5389" t="s">
        <v>140</v>
      </c>
      <c r="N5389">
        <v>6612</v>
      </c>
      <c r="O5389">
        <v>0</v>
      </c>
      <c r="P5389">
        <v>0</v>
      </c>
      <c r="Q5389" t="str">
        <f t="shared" si="168"/>
        <v>50+</v>
      </c>
      <c r="R5389" t="str">
        <f t="shared" si="169"/>
        <v>[umc2n1Z4wNv]|50+|Male|VMMC_TOTALCIRC_SUBNAT.T_1|CY2024Q3</v>
      </c>
    </row>
    <row r="5390" spans="4:18" x14ac:dyDescent="0.2">
      <c r="D5390" t="s">
        <v>111</v>
      </c>
      <c r="E5390" t="s">
        <v>112</v>
      </c>
      <c r="F5390" t="s">
        <v>113</v>
      </c>
      <c r="G5390" t="s">
        <v>215</v>
      </c>
      <c r="H5390" t="s">
        <v>216</v>
      </c>
      <c r="I5390" t="s">
        <v>38</v>
      </c>
      <c r="J5390" t="s">
        <v>39</v>
      </c>
      <c r="K5390" t="s">
        <v>48</v>
      </c>
      <c r="L5390" t="s">
        <v>49</v>
      </c>
      <c r="M5390" t="s">
        <v>140</v>
      </c>
      <c r="N5390">
        <v>3307</v>
      </c>
      <c r="O5390">
        <v>0</v>
      </c>
      <c r="P5390">
        <v>0</v>
      </c>
      <c r="Q5390" t="str">
        <f t="shared" si="168"/>
        <v>15-24</v>
      </c>
      <c r="R5390" t="str">
        <f t="shared" si="169"/>
        <v>[AZyWpGzhcaA]|15-24|Male|VMMC_CIRC_SUBNAT.T_1|CY2024Q3</v>
      </c>
    </row>
    <row r="5391" spans="4:18" x14ac:dyDescent="0.2">
      <c r="D5391" t="s">
        <v>111</v>
      </c>
      <c r="E5391" t="s">
        <v>112</v>
      </c>
      <c r="F5391" t="s">
        <v>113</v>
      </c>
      <c r="G5391" t="s">
        <v>217</v>
      </c>
      <c r="H5391" t="s">
        <v>218</v>
      </c>
      <c r="I5391" t="s">
        <v>38</v>
      </c>
      <c r="J5391" t="s">
        <v>39</v>
      </c>
      <c r="K5391" t="s">
        <v>48</v>
      </c>
      <c r="L5391" t="s">
        <v>49</v>
      </c>
      <c r="M5391" t="s">
        <v>140</v>
      </c>
      <c r="N5391">
        <v>25877</v>
      </c>
      <c r="O5391">
        <v>0</v>
      </c>
      <c r="P5391">
        <v>0</v>
      </c>
      <c r="Q5391" t="str">
        <f t="shared" si="168"/>
        <v>15-24</v>
      </c>
      <c r="R5391" t="str">
        <f t="shared" si="169"/>
        <v>[AZyWpGzhcaA]|15-24|Male|VMMC_TOTALCIRC_SUBNAT.T_1|CY2024Q3</v>
      </c>
    </row>
    <row r="5392" spans="4:18" x14ac:dyDescent="0.2">
      <c r="D5392" t="s">
        <v>111</v>
      </c>
      <c r="E5392" t="s">
        <v>112</v>
      </c>
      <c r="F5392" t="s">
        <v>113</v>
      </c>
      <c r="G5392" t="s">
        <v>215</v>
      </c>
      <c r="H5392" t="s">
        <v>216</v>
      </c>
      <c r="I5392" t="s">
        <v>41</v>
      </c>
      <c r="J5392" t="s">
        <v>42</v>
      </c>
      <c r="K5392" t="s">
        <v>48</v>
      </c>
      <c r="L5392" t="s">
        <v>49</v>
      </c>
      <c r="M5392" t="s">
        <v>140</v>
      </c>
      <c r="N5392">
        <v>2093</v>
      </c>
      <c r="O5392">
        <v>0</v>
      </c>
      <c r="P5392">
        <v>0</v>
      </c>
      <c r="Q5392" t="str">
        <f t="shared" si="168"/>
        <v>25-34</v>
      </c>
      <c r="R5392" t="str">
        <f t="shared" si="169"/>
        <v>[AZyWpGzhcaA]|25-34|Male|VMMC_CIRC_SUBNAT.T_1|CY2024Q3</v>
      </c>
    </row>
    <row r="5393" spans="4:18" x14ac:dyDescent="0.2">
      <c r="D5393" t="s">
        <v>111</v>
      </c>
      <c r="E5393" t="s">
        <v>112</v>
      </c>
      <c r="F5393" t="s">
        <v>113</v>
      </c>
      <c r="G5393" t="s">
        <v>217</v>
      </c>
      <c r="H5393" t="s">
        <v>218</v>
      </c>
      <c r="I5393" t="s">
        <v>41</v>
      </c>
      <c r="J5393" t="s">
        <v>42</v>
      </c>
      <c r="K5393" t="s">
        <v>48</v>
      </c>
      <c r="L5393" t="s">
        <v>49</v>
      </c>
      <c r="M5393" t="s">
        <v>140</v>
      </c>
      <c r="N5393">
        <v>18278</v>
      </c>
      <c r="O5393">
        <v>0</v>
      </c>
      <c r="P5393">
        <v>0</v>
      </c>
      <c r="Q5393" t="str">
        <f t="shared" si="168"/>
        <v>25-34</v>
      </c>
      <c r="R5393" t="str">
        <f t="shared" si="169"/>
        <v>[AZyWpGzhcaA]|25-34|Male|VMMC_TOTALCIRC_SUBNAT.T_1|CY2024Q3</v>
      </c>
    </row>
    <row r="5394" spans="4:18" x14ac:dyDescent="0.2">
      <c r="D5394" t="s">
        <v>111</v>
      </c>
      <c r="E5394" t="s">
        <v>112</v>
      </c>
      <c r="F5394" t="s">
        <v>113</v>
      </c>
      <c r="G5394" t="s">
        <v>215</v>
      </c>
      <c r="H5394" t="s">
        <v>216</v>
      </c>
      <c r="I5394" t="s">
        <v>43</v>
      </c>
      <c r="J5394" t="s">
        <v>44</v>
      </c>
      <c r="K5394" t="s">
        <v>48</v>
      </c>
      <c r="L5394" t="s">
        <v>49</v>
      </c>
      <c r="M5394" t="s">
        <v>140</v>
      </c>
      <c r="N5394">
        <v>2601</v>
      </c>
      <c r="O5394">
        <v>0</v>
      </c>
      <c r="P5394">
        <v>0</v>
      </c>
      <c r="Q5394" t="str">
        <f t="shared" si="168"/>
        <v>35-49</v>
      </c>
      <c r="R5394" t="str">
        <f t="shared" si="169"/>
        <v>[AZyWpGzhcaA]|35-49|Male|VMMC_CIRC_SUBNAT.T_1|CY2024Q3</v>
      </c>
    </row>
    <row r="5395" spans="4:18" x14ac:dyDescent="0.2">
      <c r="D5395" t="s">
        <v>111</v>
      </c>
      <c r="E5395" t="s">
        <v>112</v>
      </c>
      <c r="F5395" t="s">
        <v>113</v>
      </c>
      <c r="G5395" t="s">
        <v>217</v>
      </c>
      <c r="H5395" t="s">
        <v>218</v>
      </c>
      <c r="I5395" t="s">
        <v>43</v>
      </c>
      <c r="J5395" t="s">
        <v>44</v>
      </c>
      <c r="K5395" t="s">
        <v>48</v>
      </c>
      <c r="L5395" t="s">
        <v>49</v>
      </c>
      <c r="M5395" t="s">
        <v>140</v>
      </c>
      <c r="N5395">
        <v>13129</v>
      </c>
      <c r="O5395">
        <v>0</v>
      </c>
      <c r="P5395">
        <v>0</v>
      </c>
      <c r="Q5395" t="str">
        <f t="shared" si="168"/>
        <v>35-49</v>
      </c>
      <c r="R5395" t="str">
        <f t="shared" si="169"/>
        <v>[AZyWpGzhcaA]|35-49|Male|VMMC_TOTALCIRC_SUBNAT.T_1|CY2024Q3</v>
      </c>
    </row>
    <row r="5396" spans="4:18" x14ac:dyDescent="0.2">
      <c r="D5396" t="s">
        <v>111</v>
      </c>
      <c r="E5396" t="s">
        <v>112</v>
      </c>
      <c r="F5396" t="s">
        <v>113</v>
      </c>
      <c r="G5396" t="s">
        <v>215</v>
      </c>
      <c r="H5396" t="s">
        <v>216</v>
      </c>
      <c r="I5396" t="s">
        <v>45</v>
      </c>
      <c r="J5396" t="s">
        <v>46</v>
      </c>
      <c r="K5396" t="s">
        <v>48</v>
      </c>
      <c r="L5396" t="s">
        <v>49</v>
      </c>
      <c r="M5396" t="s">
        <v>140</v>
      </c>
      <c r="N5396">
        <v>0</v>
      </c>
      <c r="O5396">
        <v>0</v>
      </c>
      <c r="P5396">
        <v>0</v>
      </c>
      <c r="Q5396" t="str">
        <f t="shared" si="168"/>
        <v>50+</v>
      </c>
      <c r="R5396" t="str">
        <f t="shared" si="169"/>
        <v>[AZyWpGzhcaA]|50+|Male|VMMC_CIRC_SUBNAT.T_1|CY2024Q3</v>
      </c>
    </row>
    <row r="5397" spans="4:18" x14ac:dyDescent="0.2">
      <c r="D5397" t="s">
        <v>111</v>
      </c>
      <c r="E5397" t="s">
        <v>112</v>
      </c>
      <c r="F5397" t="s">
        <v>113</v>
      </c>
      <c r="G5397" t="s">
        <v>217</v>
      </c>
      <c r="H5397" t="s">
        <v>218</v>
      </c>
      <c r="I5397" t="s">
        <v>45</v>
      </c>
      <c r="J5397" t="s">
        <v>46</v>
      </c>
      <c r="K5397" t="s">
        <v>48</v>
      </c>
      <c r="L5397" t="s">
        <v>49</v>
      </c>
      <c r="M5397" t="s">
        <v>140</v>
      </c>
      <c r="N5397">
        <v>2974</v>
      </c>
      <c r="O5397">
        <v>0</v>
      </c>
      <c r="P5397">
        <v>0</v>
      </c>
      <c r="Q5397" t="str">
        <f t="shared" si="168"/>
        <v>50+</v>
      </c>
      <c r="R5397" t="str">
        <f t="shared" si="169"/>
        <v>[AZyWpGzhcaA]|50+|Male|VMMC_TOTALCIRC_SUBNAT.T_1|CY2024Q3</v>
      </c>
    </row>
    <row r="5398" spans="4:18" x14ac:dyDescent="0.2">
      <c r="D5398" t="s">
        <v>114</v>
      </c>
      <c r="E5398" t="s">
        <v>115</v>
      </c>
      <c r="F5398" t="s">
        <v>116</v>
      </c>
      <c r="G5398" t="s">
        <v>215</v>
      </c>
      <c r="H5398" t="s">
        <v>216</v>
      </c>
      <c r="I5398" t="s">
        <v>38</v>
      </c>
      <c r="J5398" t="s">
        <v>39</v>
      </c>
      <c r="K5398" t="s">
        <v>48</v>
      </c>
      <c r="L5398" t="s">
        <v>49</v>
      </c>
      <c r="M5398" t="s">
        <v>140</v>
      </c>
      <c r="N5398">
        <v>0</v>
      </c>
      <c r="O5398">
        <v>0</v>
      </c>
      <c r="P5398">
        <v>0</v>
      </c>
      <c r="Q5398" t="str">
        <f t="shared" si="168"/>
        <v>15-24</v>
      </c>
      <c r="R5398" t="str">
        <f t="shared" si="169"/>
        <v>[ir8wuHHzoSs]|15-24|Male|VMMC_CIRC_SUBNAT.T_1|CY2024Q3</v>
      </c>
    </row>
    <row r="5399" spans="4:18" x14ac:dyDescent="0.2">
      <c r="D5399" t="s">
        <v>114</v>
      </c>
      <c r="E5399" t="s">
        <v>115</v>
      </c>
      <c r="F5399" t="s">
        <v>116</v>
      </c>
      <c r="G5399" t="s">
        <v>217</v>
      </c>
      <c r="H5399" t="s">
        <v>218</v>
      </c>
      <c r="I5399" t="s">
        <v>38</v>
      </c>
      <c r="J5399" t="s">
        <v>39</v>
      </c>
      <c r="K5399" t="s">
        <v>48</v>
      </c>
      <c r="L5399" t="s">
        <v>49</v>
      </c>
      <c r="M5399" t="s">
        <v>140</v>
      </c>
      <c r="N5399">
        <v>30303</v>
      </c>
      <c r="O5399">
        <v>0</v>
      </c>
      <c r="P5399">
        <v>0</v>
      </c>
      <c r="Q5399" t="str">
        <f t="shared" si="168"/>
        <v>15-24</v>
      </c>
      <c r="R5399" t="str">
        <f t="shared" si="169"/>
        <v>[ir8wuHHzoSs]|15-24|Male|VMMC_TOTALCIRC_SUBNAT.T_1|CY2024Q3</v>
      </c>
    </row>
    <row r="5400" spans="4:18" x14ac:dyDescent="0.2">
      <c r="D5400" t="s">
        <v>114</v>
      </c>
      <c r="E5400" t="s">
        <v>115</v>
      </c>
      <c r="F5400" t="s">
        <v>116</v>
      </c>
      <c r="G5400" t="s">
        <v>215</v>
      </c>
      <c r="H5400" t="s">
        <v>216</v>
      </c>
      <c r="I5400" t="s">
        <v>41</v>
      </c>
      <c r="J5400" t="s">
        <v>42</v>
      </c>
      <c r="K5400" t="s">
        <v>48</v>
      </c>
      <c r="L5400" t="s">
        <v>49</v>
      </c>
      <c r="M5400" t="s">
        <v>140</v>
      </c>
      <c r="N5400">
        <v>0</v>
      </c>
      <c r="O5400">
        <v>0</v>
      </c>
      <c r="P5400">
        <v>0</v>
      </c>
      <c r="Q5400" t="str">
        <f t="shared" si="168"/>
        <v>25-34</v>
      </c>
      <c r="R5400" t="str">
        <f t="shared" si="169"/>
        <v>[ir8wuHHzoSs]|25-34|Male|VMMC_CIRC_SUBNAT.T_1|CY2024Q3</v>
      </c>
    </row>
    <row r="5401" spans="4:18" x14ac:dyDescent="0.2">
      <c r="D5401" t="s">
        <v>114</v>
      </c>
      <c r="E5401" t="s">
        <v>115</v>
      </c>
      <c r="F5401" t="s">
        <v>116</v>
      </c>
      <c r="G5401" t="s">
        <v>217</v>
      </c>
      <c r="H5401" t="s">
        <v>218</v>
      </c>
      <c r="I5401" t="s">
        <v>41</v>
      </c>
      <c r="J5401" t="s">
        <v>42</v>
      </c>
      <c r="K5401" t="s">
        <v>48</v>
      </c>
      <c r="L5401" t="s">
        <v>49</v>
      </c>
      <c r="M5401" t="s">
        <v>140</v>
      </c>
      <c r="N5401">
        <v>29133</v>
      </c>
      <c r="O5401">
        <v>0</v>
      </c>
      <c r="P5401">
        <v>0</v>
      </c>
      <c r="Q5401" t="str">
        <f t="shared" si="168"/>
        <v>25-34</v>
      </c>
      <c r="R5401" t="str">
        <f t="shared" si="169"/>
        <v>[ir8wuHHzoSs]|25-34|Male|VMMC_TOTALCIRC_SUBNAT.T_1|CY2024Q3</v>
      </c>
    </row>
    <row r="5402" spans="4:18" x14ac:dyDescent="0.2">
      <c r="D5402" t="s">
        <v>114</v>
      </c>
      <c r="E5402" t="s">
        <v>115</v>
      </c>
      <c r="F5402" t="s">
        <v>116</v>
      </c>
      <c r="G5402" t="s">
        <v>215</v>
      </c>
      <c r="H5402" t="s">
        <v>216</v>
      </c>
      <c r="I5402" t="s">
        <v>43</v>
      </c>
      <c r="J5402" t="s">
        <v>44</v>
      </c>
      <c r="K5402" t="s">
        <v>48</v>
      </c>
      <c r="L5402" t="s">
        <v>49</v>
      </c>
      <c r="M5402" t="s">
        <v>140</v>
      </c>
      <c r="N5402">
        <v>0</v>
      </c>
      <c r="O5402">
        <v>0</v>
      </c>
      <c r="P5402">
        <v>0</v>
      </c>
      <c r="Q5402" t="str">
        <f t="shared" si="168"/>
        <v>35-49</v>
      </c>
      <c r="R5402" t="str">
        <f t="shared" si="169"/>
        <v>[ir8wuHHzoSs]|35-49|Male|VMMC_CIRC_SUBNAT.T_1|CY2024Q3</v>
      </c>
    </row>
    <row r="5403" spans="4:18" x14ac:dyDescent="0.2">
      <c r="D5403" t="s">
        <v>114</v>
      </c>
      <c r="E5403" t="s">
        <v>115</v>
      </c>
      <c r="F5403" t="s">
        <v>116</v>
      </c>
      <c r="G5403" t="s">
        <v>217</v>
      </c>
      <c r="H5403" t="s">
        <v>218</v>
      </c>
      <c r="I5403" t="s">
        <v>43</v>
      </c>
      <c r="J5403" t="s">
        <v>44</v>
      </c>
      <c r="K5403" t="s">
        <v>48</v>
      </c>
      <c r="L5403" t="s">
        <v>49</v>
      </c>
      <c r="M5403" t="s">
        <v>140</v>
      </c>
      <c r="N5403">
        <v>24488</v>
      </c>
      <c r="O5403">
        <v>0</v>
      </c>
      <c r="P5403">
        <v>0</v>
      </c>
      <c r="Q5403" t="str">
        <f t="shared" si="168"/>
        <v>35-49</v>
      </c>
      <c r="R5403" t="str">
        <f t="shared" si="169"/>
        <v>[ir8wuHHzoSs]|35-49|Male|VMMC_TOTALCIRC_SUBNAT.T_1|CY2024Q3</v>
      </c>
    </row>
    <row r="5404" spans="4:18" x14ac:dyDescent="0.2">
      <c r="D5404" t="s">
        <v>114</v>
      </c>
      <c r="E5404" t="s">
        <v>115</v>
      </c>
      <c r="F5404" t="s">
        <v>116</v>
      </c>
      <c r="G5404" t="s">
        <v>215</v>
      </c>
      <c r="H5404" t="s">
        <v>216</v>
      </c>
      <c r="I5404" t="s">
        <v>45</v>
      </c>
      <c r="J5404" t="s">
        <v>46</v>
      </c>
      <c r="K5404" t="s">
        <v>48</v>
      </c>
      <c r="L5404" t="s">
        <v>49</v>
      </c>
      <c r="M5404" t="s">
        <v>140</v>
      </c>
      <c r="N5404">
        <v>0</v>
      </c>
      <c r="O5404">
        <v>0</v>
      </c>
      <c r="P5404">
        <v>0</v>
      </c>
      <c r="Q5404" t="str">
        <f t="shared" si="168"/>
        <v>50+</v>
      </c>
      <c r="R5404" t="str">
        <f t="shared" si="169"/>
        <v>[ir8wuHHzoSs]|50+|Male|VMMC_CIRC_SUBNAT.T_1|CY2024Q3</v>
      </c>
    </row>
    <row r="5405" spans="4:18" x14ac:dyDescent="0.2">
      <c r="D5405" t="s">
        <v>114</v>
      </c>
      <c r="E5405" t="s">
        <v>115</v>
      </c>
      <c r="F5405" t="s">
        <v>116</v>
      </c>
      <c r="G5405" t="s">
        <v>217</v>
      </c>
      <c r="H5405" t="s">
        <v>218</v>
      </c>
      <c r="I5405" t="s">
        <v>45</v>
      </c>
      <c r="J5405" t="s">
        <v>46</v>
      </c>
      <c r="K5405" t="s">
        <v>48</v>
      </c>
      <c r="L5405" t="s">
        <v>49</v>
      </c>
      <c r="M5405" t="s">
        <v>140</v>
      </c>
      <c r="N5405">
        <v>8176</v>
      </c>
      <c r="O5405">
        <v>0</v>
      </c>
      <c r="P5405">
        <v>0</v>
      </c>
      <c r="Q5405" t="str">
        <f t="shared" si="168"/>
        <v>50+</v>
      </c>
      <c r="R5405" t="str">
        <f t="shared" si="169"/>
        <v>[ir8wuHHzoSs]|50+|Male|VMMC_TOTALCIRC_SUBNAT.T_1|CY2024Q3</v>
      </c>
    </row>
    <row r="5406" spans="4:18" x14ac:dyDescent="0.2">
      <c r="D5406" t="s">
        <v>117</v>
      </c>
      <c r="E5406" t="s">
        <v>118</v>
      </c>
      <c r="F5406" t="s">
        <v>119</v>
      </c>
      <c r="G5406" t="s">
        <v>215</v>
      </c>
      <c r="H5406" t="s">
        <v>216</v>
      </c>
      <c r="I5406" t="s">
        <v>38</v>
      </c>
      <c r="J5406" t="s">
        <v>39</v>
      </c>
      <c r="K5406" t="s">
        <v>48</v>
      </c>
      <c r="L5406" t="s">
        <v>49</v>
      </c>
      <c r="M5406" t="s">
        <v>140</v>
      </c>
      <c r="N5406">
        <v>0</v>
      </c>
      <c r="O5406">
        <v>0</v>
      </c>
      <c r="P5406">
        <v>0</v>
      </c>
      <c r="Q5406" t="str">
        <f t="shared" si="168"/>
        <v>15-24</v>
      </c>
      <c r="R5406" t="str">
        <f t="shared" si="169"/>
        <v>[oiPR2CiVJbf]|15-24|Male|VMMC_CIRC_SUBNAT.T_1|CY2024Q3</v>
      </c>
    </row>
    <row r="5407" spans="4:18" x14ac:dyDescent="0.2">
      <c r="D5407" t="s">
        <v>117</v>
      </c>
      <c r="E5407" t="s">
        <v>118</v>
      </c>
      <c r="F5407" t="s">
        <v>119</v>
      </c>
      <c r="G5407" t="s">
        <v>217</v>
      </c>
      <c r="H5407" t="s">
        <v>218</v>
      </c>
      <c r="I5407" t="s">
        <v>38</v>
      </c>
      <c r="J5407" t="s">
        <v>39</v>
      </c>
      <c r="K5407" t="s">
        <v>48</v>
      </c>
      <c r="L5407" t="s">
        <v>49</v>
      </c>
      <c r="M5407" t="s">
        <v>140</v>
      </c>
      <c r="N5407">
        <v>23402</v>
      </c>
      <c r="O5407">
        <v>0</v>
      </c>
      <c r="P5407">
        <v>0</v>
      </c>
      <c r="Q5407" t="str">
        <f t="shared" si="168"/>
        <v>15-24</v>
      </c>
      <c r="R5407" t="str">
        <f t="shared" si="169"/>
        <v>[oiPR2CiVJbf]|15-24|Male|VMMC_TOTALCIRC_SUBNAT.T_1|CY2024Q3</v>
      </c>
    </row>
    <row r="5408" spans="4:18" x14ac:dyDescent="0.2">
      <c r="D5408" t="s">
        <v>117</v>
      </c>
      <c r="E5408" t="s">
        <v>118</v>
      </c>
      <c r="F5408" t="s">
        <v>119</v>
      </c>
      <c r="G5408" t="s">
        <v>215</v>
      </c>
      <c r="H5408" t="s">
        <v>216</v>
      </c>
      <c r="I5408" t="s">
        <v>41</v>
      </c>
      <c r="J5408" t="s">
        <v>42</v>
      </c>
      <c r="K5408" t="s">
        <v>48</v>
      </c>
      <c r="L5408" t="s">
        <v>49</v>
      </c>
      <c r="M5408" t="s">
        <v>140</v>
      </c>
      <c r="N5408">
        <v>0</v>
      </c>
      <c r="O5408">
        <v>0</v>
      </c>
      <c r="P5408">
        <v>0</v>
      </c>
      <c r="Q5408" t="str">
        <f t="shared" si="168"/>
        <v>25-34</v>
      </c>
      <c r="R5408" t="str">
        <f t="shared" si="169"/>
        <v>[oiPR2CiVJbf]|25-34|Male|VMMC_CIRC_SUBNAT.T_1|CY2024Q3</v>
      </c>
    </row>
    <row r="5409" spans="4:18" x14ac:dyDescent="0.2">
      <c r="D5409" t="s">
        <v>117</v>
      </c>
      <c r="E5409" t="s">
        <v>118</v>
      </c>
      <c r="F5409" t="s">
        <v>119</v>
      </c>
      <c r="G5409" t="s">
        <v>217</v>
      </c>
      <c r="H5409" t="s">
        <v>218</v>
      </c>
      <c r="I5409" t="s">
        <v>41</v>
      </c>
      <c r="J5409" t="s">
        <v>42</v>
      </c>
      <c r="K5409" t="s">
        <v>48</v>
      </c>
      <c r="L5409" t="s">
        <v>49</v>
      </c>
      <c r="M5409" t="s">
        <v>140</v>
      </c>
      <c r="N5409">
        <v>23426</v>
      </c>
      <c r="O5409">
        <v>0</v>
      </c>
      <c r="P5409">
        <v>0</v>
      </c>
      <c r="Q5409" t="str">
        <f t="shared" si="168"/>
        <v>25-34</v>
      </c>
      <c r="R5409" t="str">
        <f t="shared" si="169"/>
        <v>[oiPR2CiVJbf]|25-34|Male|VMMC_TOTALCIRC_SUBNAT.T_1|CY2024Q3</v>
      </c>
    </row>
    <row r="5410" spans="4:18" x14ac:dyDescent="0.2">
      <c r="D5410" t="s">
        <v>117</v>
      </c>
      <c r="E5410" t="s">
        <v>118</v>
      </c>
      <c r="F5410" t="s">
        <v>119</v>
      </c>
      <c r="G5410" t="s">
        <v>215</v>
      </c>
      <c r="H5410" t="s">
        <v>216</v>
      </c>
      <c r="I5410" t="s">
        <v>43</v>
      </c>
      <c r="J5410" t="s">
        <v>44</v>
      </c>
      <c r="K5410" t="s">
        <v>48</v>
      </c>
      <c r="L5410" t="s">
        <v>49</v>
      </c>
      <c r="M5410" t="s">
        <v>140</v>
      </c>
      <c r="N5410">
        <v>0</v>
      </c>
      <c r="O5410">
        <v>0</v>
      </c>
      <c r="P5410">
        <v>0</v>
      </c>
      <c r="Q5410" t="str">
        <f t="shared" si="168"/>
        <v>35-49</v>
      </c>
      <c r="R5410" t="str">
        <f t="shared" si="169"/>
        <v>[oiPR2CiVJbf]|35-49|Male|VMMC_CIRC_SUBNAT.T_1|CY2024Q3</v>
      </c>
    </row>
    <row r="5411" spans="4:18" x14ac:dyDescent="0.2">
      <c r="D5411" t="s">
        <v>117</v>
      </c>
      <c r="E5411" t="s">
        <v>118</v>
      </c>
      <c r="F5411" t="s">
        <v>119</v>
      </c>
      <c r="G5411" t="s">
        <v>217</v>
      </c>
      <c r="H5411" t="s">
        <v>218</v>
      </c>
      <c r="I5411" t="s">
        <v>43</v>
      </c>
      <c r="J5411" t="s">
        <v>44</v>
      </c>
      <c r="K5411" t="s">
        <v>48</v>
      </c>
      <c r="L5411" t="s">
        <v>49</v>
      </c>
      <c r="M5411" t="s">
        <v>140</v>
      </c>
      <c r="N5411">
        <v>18578</v>
      </c>
      <c r="O5411">
        <v>0</v>
      </c>
      <c r="P5411">
        <v>0</v>
      </c>
      <c r="Q5411" t="str">
        <f t="shared" si="168"/>
        <v>35-49</v>
      </c>
      <c r="R5411" t="str">
        <f t="shared" si="169"/>
        <v>[oiPR2CiVJbf]|35-49|Male|VMMC_TOTALCIRC_SUBNAT.T_1|CY2024Q3</v>
      </c>
    </row>
    <row r="5412" spans="4:18" x14ac:dyDescent="0.2">
      <c r="D5412" t="s">
        <v>117</v>
      </c>
      <c r="E5412" t="s">
        <v>118</v>
      </c>
      <c r="F5412" t="s">
        <v>119</v>
      </c>
      <c r="G5412" t="s">
        <v>215</v>
      </c>
      <c r="H5412" t="s">
        <v>216</v>
      </c>
      <c r="I5412" t="s">
        <v>45</v>
      </c>
      <c r="J5412" t="s">
        <v>46</v>
      </c>
      <c r="K5412" t="s">
        <v>48</v>
      </c>
      <c r="L5412" t="s">
        <v>49</v>
      </c>
      <c r="M5412" t="s">
        <v>140</v>
      </c>
      <c r="N5412">
        <v>0</v>
      </c>
      <c r="O5412">
        <v>0</v>
      </c>
      <c r="P5412">
        <v>0</v>
      </c>
      <c r="Q5412" t="str">
        <f t="shared" si="168"/>
        <v>50+</v>
      </c>
      <c r="R5412" t="str">
        <f t="shared" si="169"/>
        <v>[oiPR2CiVJbf]|50+|Male|VMMC_CIRC_SUBNAT.T_1|CY2024Q3</v>
      </c>
    </row>
    <row r="5413" spans="4:18" x14ac:dyDescent="0.2">
      <c r="D5413" t="s">
        <v>117</v>
      </c>
      <c r="E5413" t="s">
        <v>118</v>
      </c>
      <c r="F5413" t="s">
        <v>119</v>
      </c>
      <c r="G5413" t="s">
        <v>217</v>
      </c>
      <c r="H5413" t="s">
        <v>218</v>
      </c>
      <c r="I5413" t="s">
        <v>45</v>
      </c>
      <c r="J5413" t="s">
        <v>46</v>
      </c>
      <c r="K5413" t="s">
        <v>48</v>
      </c>
      <c r="L5413" t="s">
        <v>49</v>
      </c>
      <c r="M5413" t="s">
        <v>140</v>
      </c>
      <c r="N5413">
        <v>6003</v>
      </c>
      <c r="O5413">
        <v>0</v>
      </c>
      <c r="P5413">
        <v>0</v>
      </c>
      <c r="Q5413" t="str">
        <f t="shared" si="168"/>
        <v>50+</v>
      </c>
      <c r="R5413" t="str">
        <f t="shared" si="169"/>
        <v>[oiPR2CiVJbf]|50+|Male|VMMC_TOTALCIRC_SUBNAT.T_1|CY2024Q3</v>
      </c>
    </row>
    <row r="5414" spans="4:18" x14ac:dyDescent="0.2">
      <c r="D5414" t="s">
        <v>120</v>
      </c>
      <c r="E5414" t="s">
        <v>121</v>
      </c>
      <c r="F5414" t="s">
        <v>122</v>
      </c>
      <c r="G5414" t="s">
        <v>215</v>
      </c>
      <c r="H5414" t="s">
        <v>216</v>
      </c>
      <c r="I5414" t="s">
        <v>38</v>
      </c>
      <c r="J5414" t="s">
        <v>39</v>
      </c>
      <c r="K5414" t="s">
        <v>48</v>
      </c>
      <c r="L5414" t="s">
        <v>49</v>
      </c>
      <c r="M5414" t="s">
        <v>140</v>
      </c>
      <c r="N5414">
        <v>4939</v>
      </c>
      <c r="O5414">
        <v>0</v>
      </c>
      <c r="P5414">
        <v>0</v>
      </c>
      <c r="Q5414" t="str">
        <f t="shared" si="168"/>
        <v>15-24</v>
      </c>
      <c r="R5414" t="str">
        <f t="shared" si="169"/>
        <v>[mxqa3CDFmIT]|15-24|Male|VMMC_CIRC_SUBNAT.T_1|CY2024Q3</v>
      </c>
    </row>
    <row r="5415" spans="4:18" x14ac:dyDescent="0.2">
      <c r="D5415" t="s">
        <v>120</v>
      </c>
      <c r="E5415" t="s">
        <v>121</v>
      </c>
      <c r="F5415" t="s">
        <v>122</v>
      </c>
      <c r="G5415" t="s">
        <v>217</v>
      </c>
      <c r="H5415" t="s">
        <v>218</v>
      </c>
      <c r="I5415" t="s">
        <v>38</v>
      </c>
      <c r="J5415" t="s">
        <v>39</v>
      </c>
      <c r="K5415" t="s">
        <v>48</v>
      </c>
      <c r="L5415" t="s">
        <v>49</v>
      </c>
      <c r="M5415" t="s">
        <v>140</v>
      </c>
      <c r="N5415">
        <v>120259</v>
      </c>
      <c r="O5415">
        <v>0</v>
      </c>
      <c r="P5415">
        <v>0</v>
      </c>
      <c r="Q5415" t="str">
        <f t="shared" si="168"/>
        <v>15-24</v>
      </c>
      <c r="R5415" t="str">
        <f t="shared" si="169"/>
        <v>[mxqa3CDFmIT]|15-24|Male|VMMC_TOTALCIRC_SUBNAT.T_1|CY2024Q3</v>
      </c>
    </row>
    <row r="5416" spans="4:18" x14ac:dyDescent="0.2">
      <c r="D5416" t="s">
        <v>120</v>
      </c>
      <c r="E5416" t="s">
        <v>121</v>
      </c>
      <c r="F5416" t="s">
        <v>122</v>
      </c>
      <c r="G5416" t="s">
        <v>215</v>
      </c>
      <c r="H5416" t="s">
        <v>216</v>
      </c>
      <c r="I5416" t="s">
        <v>41</v>
      </c>
      <c r="J5416" t="s">
        <v>42</v>
      </c>
      <c r="K5416" t="s">
        <v>48</v>
      </c>
      <c r="L5416" t="s">
        <v>49</v>
      </c>
      <c r="M5416" t="s">
        <v>140</v>
      </c>
      <c r="N5416">
        <v>3555</v>
      </c>
      <c r="O5416">
        <v>0</v>
      </c>
      <c r="P5416">
        <v>0</v>
      </c>
      <c r="Q5416" t="str">
        <f t="shared" si="168"/>
        <v>25-34</v>
      </c>
      <c r="R5416" t="str">
        <f t="shared" si="169"/>
        <v>[mxqa3CDFmIT]|25-34|Male|VMMC_CIRC_SUBNAT.T_1|CY2024Q3</v>
      </c>
    </row>
    <row r="5417" spans="4:18" x14ac:dyDescent="0.2">
      <c r="D5417" t="s">
        <v>120</v>
      </c>
      <c r="E5417" t="s">
        <v>121</v>
      </c>
      <c r="F5417" t="s">
        <v>122</v>
      </c>
      <c r="G5417" t="s">
        <v>217</v>
      </c>
      <c r="H5417" t="s">
        <v>218</v>
      </c>
      <c r="I5417" t="s">
        <v>41</v>
      </c>
      <c r="J5417" t="s">
        <v>42</v>
      </c>
      <c r="K5417" t="s">
        <v>48</v>
      </c>
      <c r="L5417" t="s">
        <v>49</v>
      </c>
      <c r="M5417" t="s">
        <v>140</v>
      </c>
      <c r="N5417">
        <v>101410</v>
      </c>
      <c r="O5417">
        <v>0</v>
      </c>
      <c r="P5417">
        <v>0</v>
      </c>
      <c r="Q5417" t="str">
        <f t="shared" si="168"/>
        <v>25-34</v>
      </c>
      <c r="R5417" t="str">
        <f t="shared" si="169"/>
        <v>[mxqa3CDFmIT]|25-34|Male|VMMC_TOTALCIRC_SUBNAT.T_1|CY2024Q3</v>
      </c>
    </row>
    <row r="5418" spans="4:18" x14ac:dyDescent="0.2">
      <c r="D5418" t="s">
        <v>120</v>
      </c>
      <c r="E5418" t="s">
        <v>121</v>
      </c>
      <c r="F5418" t="s">
        <v>122</v>
      </c>
      <c r="G5418" t="s">
        <v>215</v>
      </c>
      <c r="H5418" t="s">
        <v>216</v>
      </c>
      <c r="I5418" t="s">
        <v>43</v>
      </c>
      <c r="J5418" t="s">
        <v>44</v>
      </c>
      <c r="K5418" t="s">
        <v>48</v>
      </c>
      <c r="L5418" t="s">
        <v>49</v>
      </c>
      <c r="M5418" t="s">
        <v>140</v>
      </c>
      <c r="N5418">
        <v>6506</v>
      </c>
      <c r="O5418">
        <v>0</v>
      </c>
      <c r="P5418">
        <v>0</v>
      </c>
      <c r="Q5418" t="str">
        <f t="shared" si="168"/>
        <v>35-49</v>
      </c>
      <c r="R5418" t="str">
        <f t="shared" si="169"/>
        <v>[mxqa3CDFmIT]|35-49|Male|VMMC_CIRC_SUBNAT.T_1|CY2024Q3</v>
      </c>
    </row>
    <row r="5419" spans="4:18" x14ac:dyDescent="0.2">
      <c r="D5419" t="s">
        <v>120</v>
      </c>
      <c r="E5419" t="s">
        <v>121</v>
      </c>
      <c r="F5419" t="s">
        <v>122</v>
      </c>
      <c r="G5419" t="s">
        <v>217</v>
      </c>
      <c r="H5419" t="s">
        <v>218</v>
      </c>
      <c r="I5419" t="s">
        <v>43</v>
      </c>
      <c r="J5419" t="s">
        <v>44</v>
      </c>
      <c r="K5419" t="s">
        <v>48</v>
      </c>
      <c r="L5419" t="s">
        <v>49</v>
      </c>
      <c r="M5419" t="s">
        <v>140</v>
      </c>
      <c r="N5419">
        <v>71695</v>
      </c>
      <c r="O5419">
        <v>0</v>
      </c>
      <c r="P5419">
        <v>0</v>
      </c>
      <c r="Q5419" t="str">
        <f t="shared" si="168"/>
        <v>35-49</v>
      </c>
      <c r="R5419" t="str">
        <f t="shared" si="169"/>
        <v>[mxqa3CDFmIT]|35-49|Male|VMMC_TOTALCIRC_SUBNAT.T_1|CY2024Q3</v>
      </c>
    </row>
    <row r="5420" spans="4:18" x14ac:dyDescent="0.2">
      <c r="D5420" t="s">
        <v>120</v>
      </c>
      <c r="E5420" t="s">
        <v>121</v>
      </c>
      <c r="F5420" t="s">
        <v>122</v>
      </c>
      <c r="G5420" t="s">
        <v>215</v>
      </c>
      <c r="H5420" t="s">
        <v>216</v>
      </c>
      <c r="I5420" t="s">
        <v>45</v>
      </c>
      <c r="J5420" t="s">
        <v>46</v>
      </c>
      <c r="K5420" t="s">
        <v>48</v>
      </c>
      <c r="L5420" t="s">
        <v>49</v>
      </c>
      <c r="M5420" t="s">
        <v>140</v>
      </c>
      <c r="N5420">
        <v>0</v>
      </c>
      <c r="O5420">
        <v>0</v>
      </c>
      <c r="P5420">
        <v>0</v>
      </c>
      <c r="Q5420" t="str">
        <f t="shared" si="168"/>
        <v>50+</v>
      </c>
      <c r="R5420" t="str">
        <f t="shared" si="169"/>
        <v>[mxqa3CDFmIT]|50+|Male|VMMC_CIRC_SUBNAT.T_1|CY2024Q3</v>
      </c>
    </row>
    <row r="5421" spans="4:18" x14ac:dyDescent="0.2">
      <c r="D5421" t="s">
        <v>120</v>
      </c>
      <c r="E5421" t="s">
        <v>121</v>
      </c>
      <c r="F5421" t="s">
        <v>122</v>
      </c>
      <c r="G5421" t="s">
        <v>217</v>
      </c>
      <c r="H5421" t="s">
        <v>218</v>
      </c>
      <c r="I5421" t="s">
        <v>45</v>
      </c>
      <c r="J5421" t="s">
        <v>46</v>
      </c>
      <c r="K5421" t="s">
        <v>48</v>
      </c>
      <c r="L5421" t="s">
        <v>49</v>
      </c>
      <c r="M5421" t="s">
        <v>140</v>
      </c>
      <c r="N5421">
        <v>17720</v>
      </c>
      <c r="O5421">
        <v>0</v>
      </c>
      <c r="P5421">
        <v>0</v>
      </c>
      <c r="Q5421" t="str">
        <f t="shared" si="168"/>
        <v>50+</v>
      </c>
      <c r="R5421" t="str">
        <f t="shared" si="169"/>
        <v>[mxqa3CDFmIT]|50+|Male|VMMC_TOTALCIRC_SUBNAT.T_1|CY2024Q3</v>
      </c>
    </row>
    <row r="5422" spans="4:18" x14ac:dyDescent="0.2">
      <c r="D5422" t="s">
        <v>123</v>
      </c>
      <c r="E5422" t="s">
        <v>124</v>
      </c>
      <c r="F5422" t="s">
        <v>125</v>
      </c>
      <c r="G5422" t="s">
        <v>215</v>
      </c>
      <c r="H5422" t="s">
        <v>216</v>
      </c>
      <c r="I5422" t="s">
        <v>38</v>
      </c>
      <c r="J5422" t="s">
        <v>39</v>
      </c>
      <c r="K5422" t="s">
        <v>48</v>
      </c>
      <c r="L5422" t="s">
        <v>49</v>
      </c>
      <c r="M5422" t="s">
        <v>140</v>
      </c>
      <c r="N5422">
        <v>0</v>
      </c>
      <c r="O5422">
        <v>0</v>
      </c>
      <c r="P5422">
        <v>0</v>
      </c>
      <c r="Q5422" t="str">
        <f t="shared" si="168"/>
        <v>15-24</v>
      </c>
      <c r="R5422" t="str">
        <f t="shared" si="169"/>
        <v>[wNqJp8oRIcF]|15-24|Male|VMMC_CIRC_SUBNAT.T_1|CY2024Q3</v>
      </c>
    </row>
    <row r="5423" spans="4:18" x14ac:dyDescent="0.2">
      <c r="D5423" t="s">
        <v>123</v>
      </c>
      <c r="E5423" t="s">
        <v>124</v>
      </c>
      <c r="F5423" t="s">
        <v>125</v>
      </c>
      <c r="G5423" t="s">
        <v>217</v>
      </c>
      <c r="H5423" t="s">
        <v>218</v>
      </c>
      <c r="I5423" t="s">
        <v>38</v>
      </c>
      <c r="J5423" t="s">
        <v>39</v>
      </c>
      <c r="K5423" t="s">
        <v>48</v>
      </c>
      <c r="L5423" t="s">
        <v>49</v>
      </c>
      <c r="M5423" t="s">
        <v>140</v>
      </c>
      <c r="N5423">
        <v>2747</v>
      </c>
      <c r="O5423">
        <v>0</v>
      </c>
      <c r="P5423">
        <v>0</v>
      </c>
      <c r="Q5423" t="str">
        <f t="shared" si="168"/>
        <v>15-24</v>
      </c>
      <c r="R5423" t="str">
        <f t="shared" si="169"/>
        <v>[wNqJp8oRIcF]|15-24|Male|VMMC_TOTALCIRC_SUBNAT.T_1|CY2024Q3</v>
      </c>
    </row>
    <row r="5424" spans="4:18" x14ac:dyDescent="0.2">
      <c r="D5424" t="s">
        <v>123</v>
      </c>
      <c r="E5424" t="s">
        <v>124</v>
      </c>
      <c r="F5424" t="s">
        <v>125</v>
      </c>
      <c r="G5424" t="s">
        <v>215</v>
      </c>
      <c r="H5424" t="s">
        <v>216</v>
      </c>
      <c r="I5424" t="s">
        <v>41</v>
      </c>
      <c r="J5424" t="s">
        <v>42</v>
      </c>
      <c r="K5424" t="s">
        <v>48</v>
      </c>
      <c r="L5424" t="s">
        <v>49</v>
      </c>
      <c r="M5424" t="s">
        <v>140</v>
      </c>
      <c r="N5424">
        <v>0</v>
      </c>
      <c r="O5424">
        <v>0</v>
      </c>
      <c r="P5424">
        <v>0</v>
      </c>
      <c r="Q5424" t="str">
        <f t="shared" si="168"/>
        <v>25-34</v>
      </c>
      <c r="R5424" t="str">
        <f t="shared" si="169"/>
        <v>[wNqJp8oRIcF]|25-34|Male|VMMC_CIRC_SUBNAT.T_1|CY2024Q3</v>
      </c>
    </row>
    <row r="5425" spans="4:18" x14ac:dyDescent="0.2">
      <c r="D5425" t="s">
        <v>123</v>
      </c>
      <c r="E5425" t="s">
        <v>124</v>
      </c>
      <c r="F5425" t="s">
        <v>125</v>
      </c>
      <c r="G5425" t="s">
        <v>217</v>
      </c>
      <c r="H5425" t="s">
        <v>218</v>
      </c>
      <c r="I5425" t="s">
        <v>41</v>
      </c>
      <c r="J5425" t="s">
        <v>42</v>
      </c>
      <c r="K5425" t="s">
        <v>48</v>
      </c>
      <c r="L5425" t="s">
        <v>49</v>
      </c>
      <c r="M5425" t="s">
        <v>140</v>
      </c>
      <c r="N5425">
        <v>2600</v>
      </c>
      <c r="O5425">
        <v>0</v>
      </c>
      <c r="P5425">
        <v>0</v>
      </c>
      <c r="Q5425" t="str">
        <f t="shared" si="168"/>
        <v>25-34</v>
      </c>
      <c r="R5425" t="str">
        <f t="shared" si="169"/>
        <v>[wNqJp8oRIcF]|25-34|Male|VMMC_TOTALCIRC_SUBNAT.T_1|CY2024Q3</v>
      </c>
    </row>
    <row r="5426" spans="4:18" x14ac:dyDescent="0.2">
      <c r="D5426" t="s">
        <v>123</v>
      </c>
      <c r="E5426" t="s">
        <v>124</v>
      </c>
      <c r="F5426" t="s">
        <v>125</v>
      </c>
      <c r="G5426" t="s">
        <v>215</v>
      </c>
      <c r="H5426" t="s">
        <v>216</v>
      </c>
      <c r="I5426" t="s">
        <v>43</v>
      </c>
      <c r="J5426" t="s">
        <v>44</v>
      </c>
      <c r="K5426" t="s">
        <v>48</v>
      </c>
      <c r="L5426" t="s">
        <v>49</v>
      </c>
      <c r="M5426" t="s">
        <v>140</v>
      </c>
      <c r="N5426">
        <v>0</v>
      </c>
      <c r="O5426">
        <v>0</v>
      </c>
      <c r="P5426">
        <v>0</v>
      </c>
      <c r="Q5426" t="str">
        <f t="shared" si="168"/>
        <v>35-49</v>
      </c>
      <c r="R5426" t="str">
        <f t="shared" si="169"/>
        <v>[wNqJp8oRIcF]|35-49|Male|VMMC_CIRC_SUBNAT.T_1|CY2024Q3</v>
      </c>
    </row>
    <row r="5427" spans="4:18" x14ac:dyDescent="0.2">
      <c r="D5427" t="s">
        <v>123</v>
      </c>
      <c r="E5427" t="s">
        <v>124</v>
      </c>
      <c r="F5427" t="s">
        <v>125</v>
      </c>
      <c r="G5427" t="s">
        <v>217</v>
      </c>
      <c r="H5427" t="s">
        <v>218</v>
      </c>
      <c r="I5427" t="s">
        <v>43</v>
      </c>
      <c r="J5427" t="s">
        <v>44</v>
      </c>
      <c r="K5427" t="s">
        <v>48</v>
      </c>
      <c r="L5427" t="s">
        <v>49</v>
      </c>
      <c r="M5427" t="s">
        <v>140</v>
      </c>
      <c r="N5427">
        <v>1643</v>
      </c>
      <c r="O5427">
        <v>0</v>
      </c>
      <c r="P5427">
        <v>0</v>
      </c>
      <c r="Q5427" t="str">
        <f t="shared" si="168"/>
        <v>35-49</v>
      </c>
      <c r="R5427" t="str">
        <f t="shared" si="169"/>
        <v>[wNqJp8oRIcF]|35-49|Male|VMMC_TOTALCIRC_SUBNAT.T_1|CY2024Q3</v>
      </c>
    </row>
    <row r="5428" spans="4:18" x14ac:dyDescent="0.2">
      <c r="D5428" t="s">
        <v>123</v>
      </c>
      <c r="E5428" t="s">
        <v>124</v>
      </c>
      <c r="F5428" t="s">
        <v>125</v>
      </c>
      <c r="G5428" t="s">
        <v>215</v>
      </c>
      <c r="H5428" t="s">
        <v>216</v>
      </c>
      <c r="I5428" t="s">
        <v>45</v>
      </c>
      <c r="J5428" t="s">
        <v>46</v>
      </c>
      <c r="K5428" t="s">
        <v>48</v>
      </c>
      <c r="L5428" t="s">
        <v>49</v>
      </c>
      <c r="M5428" t="s">
        <v>140</v>
      </c>
      <c r="N5428">
        <v>0</v>
      </c>
      <c r="O5428">
        <v>0</v>
      </c>
      <c r="P5428">
        <v>0</v>
      </c>
      <c r="Q5428" t="str">
        <f t="shared" si="168"/>
        <v>50+</v>
      </c>
      <c r="R5428" t="str">
        <f t="shared" si="169"/>
        <v>[wNqJp8oRIcF]|50+|Male|VMMC_CIRC_SUBNAT.T_1|CY2024Q3</v>
      </c>
    </row>
    <row r="5429" spans="4:18" x14ac:dyDescent="0.2">
      <c r="D5429" t="s">
        <v>123</v>
      </c>
      <c r="E5429" t="s">
        <v>124</v>
      </c>
      <c r="F5429" t="s">
        <v>125</v>
      </c>
      <c r="G5429" t="s">
        <v>217</v>
      </c>
      <c r="H5429" t="s">
        <v>218</v>
      </c>
      <c r="I5429" t="s">
        <v>45</v>
      </c>
      <c r="J5429" t="s">
        <v>46</v>
      </c>
      <c r="K5429" t="s">
        <v>48</v>
      </c>
      <c r="L5429" t="s">
        <v>49</v>
      </c>
      <c r="M5429" t="s">
        <v>140</v>
      </c>
      <c r="N5429">
        <v>445</v>
      </c>
      <c r="O5429">
        <v>0</v>
      </c>
      <c r="P5429">
        <v>0</v>
      </c>
      <c r="Q5429" t="str">
        <f t="shared" si="168"/>
        <v>50+</v>
      </c>
      <c r="R5429" t="str">
        <f t="shared" si="169"/>
        <v>[wNqJp8oRIcF]|50+|Male|VMMC_TOTALCIRC_SUBNAT.T_1|CY2024Q3</v>
      </c>
    </row>
    <row r="5430" spans="4:18" x14ac:dyDescent="0.2">
      <c r="D5430" t="s">
        <v>126</v>
      </c>
      <c r="E5430" t="s">
        <v>127</v>
      </c>
      <c r="F5430" t="s">
        <v>128</v>
      </c>
      <c r="G5430" t="s">
        <v>215</v>
      </c>
      <c r="H5430" t="s">
        <v>216</v>
      </c>
      <c r="I5430" t="s">
        <v>38</v>
      </c>
      <c r="J5430" t="s">
        <v>39</v>
      </c>
      <c r="K5430" t="s">
        <v>48</v>
      </c>
      <c r="L5430" t="s">
        <v>49</v>
      </c>
      <c r="M5430" t="s">
        <v>140</v>
      </c>
      <c r="N5430">
        <v>0</v>
      </c>
      <c r="O5430">
        <v>0</v>
      </c>
      <c r="P5430">
        <v>0</v>
      </c>
      <c r="Q5430" t="str">
        <f t="shared" si="168"/>
        <v>15-24</v>
      </c>
      <c r="R5430" t="str">
        <f t="shared" si="169"/>
        <v>[ul0y9diGujK]|15-24|Male|VMMC_CIRC_SUBNAT.T_1|CY2024Q3</v>
      </c>
    </row>
    <row r="5431" spans="4:18" x14ac:dyDescent="0.2">
      <c r="D5431" t="s">
        <v>126</v>
      </c>
      <c r="E5431" t="s">
        <v>127</v>
      </c>
      <c r="F5431" t="s">
        <v>128</v>
      </c>
      <c r="G5431" t="s">
        <v>217</v>
      </c>
      <c r="H5431" t="s">
        <v>218</v>
      </c>
      <c r="I5431" t="s">
        <v>38</v>
      </c>
      <c r="J5431" t="s">
        <v>39</v>
      </c>
      <c r="K5431" t="s">
        <v>48</v>
      </c>
      <c r="L5431" t="s">
        <v>49</v>
      </c>
      <c r="M5431" t="s">
        <v>140</v>
      </c>
      <c r="N5431">
        <v>39965</v>
      </c>
      <c r="O5431">
        <v>0</v>
      </c>
      <c r="P5431">
        <v>0</v>
      </c>
      <c r="Q5431" t="str">
        <f t="shared" si="168"/>
        <v>15-24</v>
      </c>
      <c r="R5431" t="str">
        <f t="shared" si="169"/>
        <v>[ul0y9diGujK]|15-24|Male|VMMC_TOTALCIRC_SUBNAT.T_1|CY2024Q3</v>
      </c>
    </row>
    <row r="5432" spans="4:18" x14ac:dyDescent="0.2">
      <c r="D5432" t="s">
        <v>126</v>
      </c>
      <c r="E5432" t="s">
        <v>127</v>
      </c>
      <c r="F5432" t="s">
        <v>128</v>
      </c>
      <c r="G5432" t="s">
        <v>215</v>
      </c>
      <c r="H5432" t="s">
        <v>216</v>
      </c>
      <c r="I5432" t="s">
        <v>41</v>
      </c>
      <c r="J5432" t="s">
        <v>42</v>
      </c>
      <c r="K5432" t="s">
        <v>48</v>
      </c>
      <c r="L5432" t="s">
        <v>49</v>
      </c>
      <c r="M5432" t="s">
        <v>140</v>
      </c>
      <c r="N5432">
        <v>0</v>
      </c>
      <c r="O5432">
        <v>0</v>
      </c>
      <c r="P5432">
        <v>0</v>
      </c>
      <c r="Q5432" t="str">
        <f t="shared" si="168"/>
        <v>25-34</v>
      </c>
      <c r="R5432" t="str">
        <f t="shared" si="169"/>
        <v>[ul0y9diGujK]|25-34|Male|VMMC_CIRC_SUBNAT.T_1|CY2024Q3</v>
      </c>
    </row>
    <row r="5433" spans="4:18" x14ac:dyDescent="0.2">
      <c r="D5433" t="s">
        <v>126</v>
      </c>
      <c r="E5433" t="s">
        <v>127</v>
      </c>
      <c r="F5433" t="s">
        <v>128</v>
      </c>
      <c r="G5433" t="s">
        <v>217</v>
      </c>
      <c r="H5433" t="s">
        <v>218</v>
      </c>
      <c r="I5433" t="s">
        <v>41</v>
      </c>
      <c r="J5433" t="s">
        <v>42</v>
      </c>
      <c r="K5433" t="s">
        <v>48</v>
      </c>
      <c r="L5433" t="s">
        <v>49</v>
      </c>
      <c r="M5433" t="s">
        <v>140</v>
      </c>
      <c r="N5433">
        <v>39555</v>
      </c>
      <c r="O5433">
        <v>0</v>
      </c>
      <c r="P5433">
        <v>0</v>
      </c>
      <c r="Q5433" t="str">
        <f t="shared" si="168"/>
        <v>25-34</v>
      </c>
      <c r="R5433" t="str">
        <f t="shared" si="169"/>
        <v>[ul0y9diGujK]|25-34|Male|VMMC_TOTALCIRC_SUBNAT.T_1|CY2024Q3</v>
      </c>
    </row>
    <row r="5434" spans="4:18" x14ac:dyDescent="0.2">
      <c r="D5434" t="s">
        <v>126</v>
      </c>
      <c r="E5434" t="s">
        <v>127</v>
      </c>
      <c r="F5434" t="s">
        <v>128</v>
      </c>
      <c r="G5434" t="s">
        <v>215</v>
      </c>
      <c r="H5434" t="s">
        <v>216</v>
      </c>
      <c r="I5434" t="s">
        <v>43</v>
      </c>
      <c r="J5434" t="s">
        <v>44</v>
      </c>
      <c r="K5434" t="s">
        <v>48</v>
      </c>
      <c r="L5434" t="s">
        <v>49</v>
      </c>
      <c r="M5434" t="s">
        <v>140</v>
      </c>
      <c r="N5434">
        <v>0</v>
      </c>
      <c r="O5434">
        <v>0</v>
      </c>
      <c r="P5434">
        <v>0</v>
      </c>
      <c r="Q5434" t="str">
        <f t="shared" si="168"/>
        <v>35-49</v>
      </c>
      <c r="R5434" t="str">
        <f t="shared" si="169"/>
        <v>[ul0y9diGujK]|35-49|Male|VMMC_CIRC_SUBNAT.T_1|CY2024Q3</v>
      </c>
    </row>
    <row r="5435" spans="4:18" x14ac:dyDescent="0.2">
      <c r="D5435" t="s">
        <v>126</v>
      </c>
      <c r="E5435" t="s">
        <v>127</v>
      </c>
      <c r="F5435" t="s">
        <v>128</v>
      </c>
      <c r="G5435" t="s">
        <v>217</v>
      </c>
      <c r="H5435" t="s">
        <v>218</v>
      </c>
      <c r="I5435" t="s">
        <v>43</v>
      </c>
      <c r="J5435" t="s">
        <v>44</v>
      </c>
      <c r="K5435" t="s">
        <v>48</v>
      </c>
      <c r="L5435" t="s">
        <v>49</v>
      </c>
      <c r="M5435" t="s">
        <v>140</v>
      </c>
      <c r="N5435">
        <v>29507</v>
      </c>
      <c r="O5435">
        <v>0</v>
      </c>
      <c r="P5435">
        <v>0</v>
      </c>
      <c r="Q5435" t="str">
        <f t="shared" si="168"/>
        <v>35-49</v>
      </c>
      <c r="R5435" t="str">
        <f t="shared" si="169"/>
        <v>[ul0y9diGujK]|35-49|Male|VMMC_TOTALCIRC_SUBNAT.T_1|CY2024Q3</v>
      </c>
    </row>
    <row r="5436" spans="4:18" x14ac:dyDescent="0.2">
      <c r="D5436" t="s">
        <v>126</v>
      </c>
      <c r="E5436" t="s">
        <v>127</v>
      </c>
      <c r="F5436" t="s">
        <v>128</v>
      </c>
      <c r="G5436" t="s">
        <v>215</v>
      </c>
      <c r="H5436" t="s">
        <v>216</v>
      </c>
      <c r="I5436" t="s">
        <v>45</v>
      </c>
      <c r="J5436" t="s">
        <v>46</v>
      </c>
      <c r="K5436" t="s">
        <v>48</v>
      </c>
      <c r="L5436" t="s">
        <v>49</v>
      </c>
      <c r="M5436" t="s">
        <v>140</v>
      </c>
      <c r="N5436">
        <v>0</v>
      </c>
      <c r="O5436">
        <v>0</v>
      </c>
      <c r="P5436">
        <v>0</v>
      </c>
      <c r="Q5436" t="str">
        <f t="shared" si="168"/>
        <v>50+</v>
      </c>
      <c r="R5436" t="str">
        <f t="shared" si="169"/>
        <v>[ul0y9diGujK]|50+|Male|VMMC_CIRC_SUBNAT.T_1|CY2024Q3</v>
      </c>
    </row>
    <row r="5437" spans="4:18" x14ac:dyDescent="0.2">
      <c r="D5437" t="s">
        <v>126</v>
      </c>
      <c r="E5437" t="s">
        <v>127</v>
      </c>
      <c r="F5437" t="s">
        <v>128</v>
      </c>
      <c r="G5437" t="s">
        <v>217</v>
      </c>
      <c r="H5437" t="s">
        <v>218</v>
      </c>
      <c r="I5437" t="s">
        <v>45</v>
      </c>
      <c r="J5437" t="s">
        <v>46</v>
      </c>
      <c r="K5437" t="s">
        <v>48</v>
      </c>
      <c r="L5437" t="s">
        <v>49</v>
      </c>
      <c r="M5437" t="s">
        <v>140</v>
      </c>
      <c r="N5437">
        <v>9133</v>
      </c>
      <c r="O5437">
        <v>0</v>
      </c>
      <c r="P5437">
        <v>0</v>
      </c>
      <c r="Q5437" t="str">
        <f t="shared" si="168"/>
        <v>50+</v>
      </c>
      <c r="R5437" t="str">
        <f t="shared" si="169"/>
        <v>[ul0y9diGujK]|50+|Male|VMMC_TOTALCIRC_SUBNAT.T_1|CY2024Q3</v>
      </c>
    </row>
    <row r="5438" spans="4:18" x14ac:dyDescent="0.2">
      <c r="D5438" t="s">
        <v>129</v>
      </c>
      <c r="E5438" t="s">
        <v>130</v>
      </c>
      <c r="F5438" t="s">
        <v>131</v>
      </c>
      <c r="G5438" t="s">
        <v>215</v>
      </c>
      <c r="H5438" t="s">
        <v>216</v>
      </c>
      <c r="I5438" t="s">
        <v>38</v>
      </c>
      <c r="J5438" t="s">
        <v>39</v>
      </c>
      <c r="K5438" t="s">
        <v>48</v>
      </c>
      <c r="L5438" t="s">
        <v>49</v>
      </c>
      <c r="M5438" t="s">
        <v>140</v>
      </c>
      <c r="N5438">
        <v>5920</v>
      </c>
      <c r="O5438">
        <v>0</v>
      </c>
      <c r="P5438">
        <v>0</v>
      </c>
      <c r="Q5438" t="str">
        <f t="shared" si="168"/>
        <v>15-24</v>
      </c>
      <c r="R5438" t="str">
        <f t="shared" si="169"/>
        <v>[U8c0so51kT6]|15-24|Male|VMMC_CIRC_SUBNAT.T_1|CY2024Q3</v>
      </c>
    </row>
    <row r="5439" spans="4:18" x14ac:dyDescent="0.2">
      <c r="D5439" t="s">
        <v>129</v>
      </c>
      <c r="E5439" t="s">
        <v>130</v>
      </c>
      <c r="F5439" t="s">
        <v>131</v>
      </c>
      <c r="G5439" t="s">
        <v>217</v>
      </c>
      <c r="H5439" t="s">
        <v>218</v>
      </c>
      <c r="I5439" t="s">
        <v>38</v>
      </c>
      <c r="J5439" t="s">
        <v>39</v>
      </c>
      <c r="K5439" t="s">
        <v>48</v>
      </c>
      <c r="L5439" t="s">
        <v>49</v>
      </c>
      <c r="M5439" t="s">
        <v>140</v>
      </c>
      <c r="N5439">
        <v>50502</v>
      </c>
      <c r="O5439">
        <v>0</v>
      </c>
      <c r="P5439">
        <v>0</v>
      </c>
      <c r="Q5439" t="str">
        <f t="shared" si="168"/>
        <v>15-24</v>
      </c>
      <c r="R5439" t="str">
        <f t="shared" si="169"/>
        <v>[U8c0so51kT6]|15-24|Male|VMMC_TOTALCIRC_SUBNAT.T_1|CY2024Q3</v>
      </c>
    </row>
    <row r="5440" spans="4:18" x14ac:dyDescent="0.2">
      <c r="D5440" t="s">
        <v>129</v>
      </c>
      <c r="E5440" t="s">
        <v>130</v>
      </c>
      <c r="F5440" t="s">
        <v>131</v>
      </c>
      <c r="G5440" t="s">
        <v>215</v>
      </c>
      <c r="H5440" t="s">
        <v>216</v>
      </c>
      <c r="I5440" t="s">
        <v>41</v>
      </c>
      <c r="J5440" t="s">
        <v>42</v>
      </c>
      <c r="K5440" t="s">
        <v>48</v>
      </c>
      <c r="L5440" t="s">
        <v>49</v>
      </c>
      <c r="M5440" t="s">
        <v>140</v>
      </c>
      <c r="N5440">
        <v>218</v>
      </c>
      <c r="O5440">
        <v>0</v>
      </c>
      <c r="P5440">
        <v>0</v>
      </c>
      <c r="Q5440" t="str">
        <f t="shared" si="168"/>
        <v>25-34</v>
      </c>
      <c r="R5440" t="str">
        <f t="shared" si="169"/>
        <v>[U8c0so51kT6]|25-34|Male|VMMC_CIRC_SUBNAT.T_1|CY2024Q3</v>
      </c>
    </row>
    <row r="5441" spans="4:18" x14ac:dyDescent="0.2">
      <c r="D5441" t="s">
        <v>129</v>
      </c>
      <c r="E5441" t="s">
        <v>130</v>
      </c>
      <c r="F5441" t="s">
        <v>131</v>
      </c>
      <c r="G5441" t="s">
        <v>217</v>
      </c>
      <c r="H5441" t="s">
        <v>218</v>
      </c>
      <c r="I5441" t="s">
        <v>41</v>
      </c>
      <c r="J5441" t="s">
        <v>42</v>
      </c>
      <c r="K5441" t="s">
        <v>48</v>
      </c>
      <c r="L5441" t="s">
        <v>49</v>
      </c>
      <c r="M5441" t="s">
        <v>140</v>
      </c>
      <c r="N5441">
        <v>36541</v>
      </c>
      <c r="O5441">
        <v>0</v>
      </c>
      <c r="P5441">
        <v>0</v>
      </c>
      <c r="Q5441" t="str">
        <f t="shared" si="168"/>
        <v>25-34</v>
      </c>
      <c r="R5441" t="str">
        <f t="shared" si="169"/>
        <v>[U8c0so51kT6]|25-34|Male|VMMC_TOTALCIRC_SUBNAT.T_1|CY2024Q3</v>
      </c>
    </row>
    <row r="5442" spans="4:18" x14ac:dyDescent="0.2">
      <c r="D5442" t="s">
        <v>129</v>
      </c>
      <c r="E5442" t="s">
        <v>130</v>
      </c>
      <c r="F5442" t="s">
        <v>131</v>
      </c>
      <c r="G5442" t="s">
        <v>215</v>
      </c>
      <c r="H5442" t="s">
        <v>216</v>
      </c>
      <c r="I5442" t="s">
        <v>43</v>
      </c>
      <c r="J5442" t="s">
        <v>44</v>
      </c>
      <c r="K5442" t="s">
        <v>48</v>
      </c>
      <c r="L5442" t="s">
        <v>49</v>
      </c>
      <c r="M5442" t="s">
        <v>140</v>
      </c>
      <c r="N5442">
        <v>9494</v>
      </c>
      <c r="O5442">
        <v>0</v>
      </c>
      <c r="P5442">
        <v>0</v>
      </c>
      <c r="Q5442" t="str">
        <f t="shared" si="168"/>
        <v>35-49</v>
      </c>
      <c r="R5442" t="str">
        <f t="shared" si="169"/>
        <v>[U8c0so51kT6]|35-49|Male|VMMC_CIRC_SUBNAT.T_1|CY2024Q3</v>
      </c>
    </row>
    <row r="5443" spans="4:18" x14ac:dyDescent="0.2">
      <c r="D5443" t="s">
        <v>129</v>
      </c>
      <c r="E5443" t="s">
        <v>130</v>
      </c>
      <c r="F5443" t="s">
        <v>131</v>
      </c>
      <c r="G5443" t="s">
        <v>217</v>
      </c>
      <c r="H5443" t="s">
        <v>218</v>
      </c>
      <c r="I5443" t="s">
        <v>43</v>
      </c>
      <c r="J5443" t="s">
        <v>44</v>
      </c>
      <c r="K5443" t="s">
        <v>48</v>
      </c>
      <c r="L5443" t="s">
        <v>49</v>
      </c>
      <c r="M5443" t="s">
        <v>140</v>
      </c>
      <c r="N5443">
        <v>27611</v>
      </c>
      <c r="O5443">
        <v>0</v>
      </c>
      <c r="P5443">
        <v>0</v>
      </c>
      <c r="Q5443" t="str">
        <f t="shared" ref="Q5443:Q5506" si="170">SUBSTITUTE(SUBSTITUTE($I5443,CHAR(61),""),CHAR(34),"")</f>
        <v>35-49</v>
      </c>
      <c r="R5443" t="str">
        <f t="shared" ref="R5443:R5506" si="171">IF($D5443&lt;&gt;"","["&amp;$E5443&amp;"]"&amp;"|"&amp;$Q5443&amp;"|"&amp;$K5443&amp;"|"&amp;$G5443&amp;"|"&amp;IF($G5443="TX_CURR_SUBNAT.R","CY2023Q4",$M5443),"")</f>
        <v>[U8c0so51kT6]|35-49|Male|VMMC_TOTALCIRC_SUBNAT.T_1|CY2024Q3</v>
      </c>
    </row>
    <row r="5444" spans="4:18" x14ac:dyDescent="0.2">
      <c r="D5444" t="s">
        <v>129</v>
      </c>
      <c r="E5444" t="s">
        <v>130</v>
      </c>
      <c r="F5444" t="s">
        <v>131</v>
      </c>
      <c r="G5444" t="s">
        <v>215</v>
      </c>
      <c r="H5444" t="s">
        <v>216</v>
      </c>
      <c r="I5444" t="s">
        <v>45</v>
      </c>
      <c r="J5444" t="s">
        <v>46</v>
      </c>
      <c r="K5444" t="s">
        <v>48</v>
      </c>
      <c r="L5444" t="s">
        <v>49</v>
      </c>
      <c r="M5444" t="s">
        <v>140</v>
      </c>
      <c r="N5444">
        <v>0</v>
      </c>
      <c r="O5444">
        <v>0</v>
      </c>
      <c r="P5444">
        <v>0</v>
      </c>
      <c r="Q5444" t="str">
        <f t="shared" si="170"/>
        <v>50+</v>
      </c>
      <c r="R5444" t="str">
        <f t="shared" si="171"/>
        <v>[U8c0so51kT6]|50+|Male|VMMC_CIRC_SUBNAT.T_1|CY2024Q3</v>
      </c>
    </row>
    <row r="5445" spans="4:18" x14ac:dyDescent="0.2">
      <c r="D5445" t="s">
        <v>129</v>
      </c>
      <c r="E5445" t="s">
        <v>130</v>
      </c>
      <c r="F5445" t="s">
        <v>131</v>
      </c>
      <c r="G5445" t="s">
        <v>217</v>
      </c>
      <c r="H5445" t="s">
        <v>218</v>
      </c>
      <c r="I5445" t="s">
        <v>45</v>
      </c>
      <c r="J5445" t="s">
        <v>46</v>
      </c>
      <c r="K5445" t="s">
        <v>48</v>
      </c>
      <c r="L5445" t="s">
        <v>49</v>
      </c>
      <c r="M5445" t="s">
        <v>140</v>
      </c>
      <c r="N5445">
        <v>3723</v>
      </c>
      <c r="O5445">
        <v>0</v>
      </c>
      <c r="P5445">
        <v>0</v>
      </c>
      <c r="Q5445" t="str">
        <f t="shared" si="170"/>
        <v>50+</v>
      </c>
      <c r="R5445" t="str">
        <f t="shared" si="171"/>
        <v>[U8c0so51kT6]|50+|Male|VMMC_TOTALCIRC_SUBNAT.T_1|CY2024Q3</v>
      </c>
    </row>
    <row r="5446" spans="4:18" x14ac:dyDescent="0.2">
      <c r="D5446" t="s">
        <v>132</v>
      </c>
      <c r="E5446" t="s">
        <v>133</v>
      </c>
      <c r="F5446" t="s">
        <v>134</v>
      </c>
      <c r="G5446" t="s">
        <v>215</v>
      </c>
      <c r="H5446" t="s">
        <v>216</v>
      </c>
      <c r="I5446" t="s">
        <v>38</v>
      </c>
      <c r="J5446" t="s">
        <v>39</v>
      </c>
      <c r="K5446" t="s">
        <v>48</v>
      </c>
      <c r="L5446" t="s">
        <v>49</v>
      </c>
      <c r="M5446" t="s">
        <v>140</v>
      </c>
      <c r="N5446">
        <v>10621</v>
      </c>
      <c r="O5446">
        <v>0</v>
      </c>
      <c r="P5446">
        <v>0</v>
      </c>
      <c r="Q5446" t="str">
        <f t="shared" si="170"/>
        <v>15-24</v>
      </c>
      <c r="R5446" t="str">
        <f t="shared" si="171"/>
        <v>[rpw540fmNUz]|15-24|Male|VMMC_CIRC_SUBNAT.T_1|CY2024Q3</v>
      </c>
    </row>
    <row r="5447" spans="4:18" x14ac:dyDescent="0.2">
      <c r="D5447" t="s">
        <v>132</v>
      </c>
      <c r="E5447" t="s">
        <v>133</v>
      </c>
      <c r="F5447" t="s">
        <v>134</v>
      </c>
      <c r="G5447" t="s">
        <v>217</v>
      </c>
      <c r="H5447" t="s">
        <v>218</v>
      </c>
      <c r="I5447" t="s">
        <v>38</v>
      </c>
      <c r="J5447" t="s">
        <v>39</v>
      </c>
      <c r="K5447" t="s">
        <v>48</v>
      </c>
      <c r="L5447" t="s">
        <v>49</v>
      </c>
      <c r="M5447" t="s">
        <v>140</v>
      </c>
      <c r="N5447">
        <v>31274</v>
      </c>
      <c r="O5447">
        <v>0</v>
      </c>
      <c r="P5447">
        <v>0</v>
      </c>
      <c r="Q5447" t="str">
        <f t="shared" si="170"/>
        <v>15-24</v>
      </c>
      <c r="R5447" t="str">
        <f t="shared" si="171"/>
        <v>[rpw540fmNUz]|15-24|Male|VMMC_TOTALCIRC_SUBNAT.T_1|CY2024Q3</v>
      </c>
    </row>
    <row r="5448" spans="4:18" x14ac:dyDescent="0.2">
      <c r="D5448" t="s">
        <v>132</v>
      </c>
      <c r="E5448" t="s">
        <v>133</v>
      </c>
      <c r="F5448" t="s">
        <v>134</v>
      </c>
      <c r="G5448" t="s">
        <v>215</v>
      </c>
      <c r="H5448" t="s">
        <v>216</v>
      </c>
      <c r="I5448" t="s">
        <v>41</v>
      </c>
      <c r="J5448" t="s">
        <v>42</v>
      </c>
      <c r="K5448" t="s">
        <v>48</v>
      </c>
      <c r="L5448" t="s">
        <v>49</v>
      </c>
      <c r="M5448" t="s">
        <v>140</v>
      </c>
      <c r="N5448">
        <v>0</v>
      </c>
      <c r="O5448">
        <v>0</v>
      </c>
      <c r="P5448">
        <v>0</v>
      </c>
      <c r="Q5448" t="str">
        <f t="shared" si="170"/>
        <v>25-34</v>
      </c>
      <c r="R5448" t="str">
        <f t="shared" si="171"/>
        <v>[rpw540fmNUz]|25-34|Male|VMMC_CIRC_SUBNAT.T_1|CY2024Q3</v>
      </c>
    </row>
    <row r="5449" spans="4:18" x14ac:dyDescent="0.2">
      <c r="D5449" t="s">
        <v>132</v>
      </c>
      <c r="E5449" t="s">
        <v>133</v>
      </c>
      <c r="F5449" t="s">
        <v>134</v>
      </c>
      <c r="G5449" t="s">
        <v>217</v>
      </c>
      <c r="H5449" t="s">
        <v>218</v>
      </c>
      <c r="I5449" t="s">
        <v>41</v>
      </c>
      <c r="J5449" t="s">
        <v>42</v>
      </c>
      <c r="K5449" t="s">
        <v>48</v>
      </c>
      <c r="L5449" t="s">
        <v>49</v>
      </c>
      <c r="M5449" t="s">
        <v>140</v>
      </c>
      <c r="N5449">
        <v>14127</v>
      </c>
      <c r="O5449">
        <v>0</v>
      </c>
      <c r="P5449">
        <v>0</v>
      </c>
      <c r="Q5449" t="str">
        <f t="shared" si="170"/>
        <v>25-34</v>
      </c>
      <c r="R5449" t="str">
        <f t="shared" si="171"/>
        <v>[rpw540fmNUz]|25-34|Male|VMMC_TOTALCIRC_SUBNAT.T_1|CY2024Q3</v>
      </c>
    </row>
    <row r="5450" spans="4:18" x14ac:dyDescent="0.2">
      <c r="D5450" t="s">
        <v>132</v>
      </c>
      <c r="E5450" t="s">
        <v>133</v>
      </c>
      <c r="F5450" t="s">
        <v>134</v>
      </c>
      <c r="G5450" t="s">
        <v>215</v>
      </c>
      <c r="H5450" t="s">
        <v>216</v>
      </c>
      <c r="I5450" t="s">
        <v>43</v>
      </c>
      <c r="J5450" t="s">
        <v>44</v>
      </c>
      <c r="K5450" t="s">
        <v>48</v>
      </c>
      <c r="L5450" t="s">
        <v>49</v>
      </c>
      <c r="M5450" t="s">
        <v>140</v>
      </c>
      <c r="N5450">
        <v>1751</v>
      </c>
      <c r="O5450">
        <v>0</v>
      </c>
      <c r="P5450">
        <v>0</v>
      </c>
      <c r="Q5450" t="str">
        <f t="shared" si="170"/>
        <v>35-49</v>
      </c>
      <c r="R5450" t="str">
        <f t="shared" si="171"/>
        <v>[rpw540fmNUz]|35-49|Male|VMMC_CIRC_SUBNAT.T_1|CY2024Q3</v>
      </c>
    </row>
    <row r="5451" spans="4:18" x14ac:dyDescent="0.2">
      <c r="D5451" t="s">
        <v>132</v>
      </c>
      <c r="E5451" t="s">
        <v>133</v>
      </c>
      <c r="F5451" t="s">
        <v>134</v>
      </c>
      <c r="G5451" t="s">
        <v>217</v>
      </c>
      <c r="H5451" t="s">
        <v>218</v>
      </c>
      <c r="I5451" t="s">
        <v>43</v>
      </c>
      <c r="J5451" t="s">
        <v>44</v>
      </c>
      <c r="K5451" t="s">
        <v>48</v>
      </c>
      <c r="L5451" t="s">
        <v>49</v>
      </c>
      <c r="M5451" t="s">
        <v>140</v>
      </c>
      <c r="N5451">
        <v>7815</v>
      </c>
      <c r="O5451">
        <v>0</v>
      </c>
      <c r="P5451">
        <v>0</v>
      </c>
      <c r="Q5451" t="str">
        <f t="shared" si="170"/>
        <v>35-49</v>
      </c>
      <c r="R5451" t="str">
        <f t="shared" si="171"/>
        <v>[rpw540fmNUz]|35-49|Male|VMMC_TOTALCIRC_SUBNAT.T_1|CY2024Q3</v>
      </c>
    </row>
    <row r="5452" spans="4:18" x14ac:dyDescent="0.2">
      <c r="D5452" t="s">
        <v>132</v>
      </c>
      <c r="E5452" t="s">
        <v>133</v>
      </c>
      <c r="F5452" t="s">
        <v>134</v>
      </c>
      <c r="G5452" t="s">
        <v>215</v>
      </c>
      <c r="H5452" t="s">
        <v>216</v>
      </c>
      <c r="I5452" t="s">
        <v>45</v>
      </c>
      <c r="J5452" t="s">
        <v>46</v>
      </c>
      <c r="K5452" t="s">
        <v>48</v>
      </c>
      <c r="L5452" t="s">
        <v>49</v>
      </c>
      <c r="M5452" t="s">
        <v>140</v>
      </c>
      <c r="N5452">
        <v>0</v>
      </c>
      <c r="O5452">
        <v>0</v>
      </c>
      <c r="P5452">
        <v>0</v>
      </c>
      <c r="Q5452" t="str">
        <f t="shared" si="170"/>
        <v>50+</v>
      </c>
      <c r="R5452" t="str">
        <f t="shared" si="171"/>
        <v>[rpw540fmNUz]|50+|Male|VMMC_CIRC_SUBNAT.T_1|CY2024Q3</v>
      </c>
    </row>
    <row r="5453" spans="4:18" x14ac:dyDescent="0.2">
      <c r="D5453" t="s">
        <v>132</v>
      </c>
      <c r="E5453" t="s">
        <v>133</v>
      </c>
      <c r="F5453" t="s">
        <v>134</v>
      </c>
      <c r="G5453" t="s">
        <v>217</v>
      </c>
      <c r="H5453" t="s">
        <v>218</v>
      </c>
      <c r="I5453" t="s">
        <v>45</v>
      </c>
      <c r="J5453" t="s">
        <v>46</v>
      </c>
      <c r="K5453" t="s">
        <v>48</v>
      </c>
      <c r="L5453" t="s">
        <v>49</v>
      </c>
      <c r="M5453" t="s">
        <v>140</v>
      </c>
      <c r="N5453">
        <v>1137</v>
      </c>
      <c r="O5453">
        <v>0</v>
      </c>
      <c r="P5453">
        <v>0</v>
      </c>
      <c r="Q5453" t="str">
        <f t="shared" si="170"/>
        <v>50+</v>
      </c>
      <c r="R5453" t="str">
        <f t="shared" si="171"/>
        <v>[rpw540fmNUz]|50+|Male|VMMC_TOTALCIRC_SUBNAT.T_1|CY2024Q3</v>
      </c>
    </row>
    <row r="5454" spans="4:18" x14ac:dyDescent="0.2">
      <c r="D5454" t="s">
        <v>135</v>
      </c>
      <c r="E5454" t="s">
        <v>136</v>
      </c>
      <c r="F5454" t="s">
        <v>137</v>
      </c>
      <c r="G5454" t="s">
        <v>215</v>
      </c>
      <c r="H5454" t="s">
        <v>216</v>
      </c>
      <c r="I5454" t="s">
        <v>38</v>
      </c>
      <c r="J5454" t="s">
        <v>39</v>
      </c>
      <c r="K5454" t="s">
        <v>48</v>
      </c>
      <c r="L5454" t="s">
        <v>49</v>
      </c>
      <c r="M5454" t="s">
        <v>140</v>
      </c>
      <c r="N5454">
        <v>0</v>
      </c>
      <c r="O5454">
        <v>0</v>
      </c>
      <c r="P5454">
        <v>0</v>
      </c>
      <c r="Q5454" t="str">
        <f t="shared" si="170"/>
        <v>15-24</v>
      </c>
      <c r="R5454" t="str">
        <f t="shared" si="171"/>
        <v>[gwVYinjBAe9]|15-24|Male|VMMC_CIRC_SUBNAT.T_1|CY2024Q3</v>
      </c>
    </row>
    <row r="5455" spans="4:18" x14ac:dyDescent="0.2">
      <c r="D5455" t="s">
        <v>135</v>
      </c>
      <c r="E5455" t="s">
        <v>136</v>
      </c>
      <c r="F5455" t="s">
        <v>137</v>
      </c>
      <c r="G5455" t="s">
        <v>217</v>
      </c>
      <c r="H5455" t="s">
        <v>218</v>
      </c>
      <c r="I5455" t="s">
        <v>38</v>
      </c>
      <c r="J5455" t="s">
        <v>39</v>
      </c>
      <c r="K5455" t="s">
        <v>48</v>
      </c>
      <c r="L5455" t="s">
        <v>49</v>
      </c>
      <c r="M5455" t="s">
        <v>140</v>
      </c>
      <c r="N5455">
        <v>4281</v>
      </c>
      <c r="O5455">
        <v>0</v>
      </c>
      <c r="P5455">
        <v>0</v>
      </c>
      <c r="Q5455" t="str">
        <f t="shared" si="170"/>
        <v>15-24</v>
      </c>
      <c r="R5455" t="str">
        <f t="shared" si="171"/>
        <v>[gwVYinjBAe9]|15-24|Male|VMMC_TOTALCIRC_SUBNAT.T_1|CY2024Q3</v>
      </c>
    </row>
    <row r="5456" spans="4:18" x14ac:dyDescent="0.2">
      <c r="D5456" t="s">
        <v>135</v>
      </c>
      <c r="E5456" t="s">
        <v>136</v>
      </c>
      <c r="F5456" t="s">
        <v>137</v>
      </c>
      <c r="G5456" t="s">
        <v>215</v>
      </c>
      <c r="H5456" t="s">
        <v>216</v>
      </c>
      <c r="I5456" t="s">
        <v>41</v>
      </c>
      <c r="J5456" t="s">
        <v>42</v>
      </c>
      <c r="K5456" t="s">
        <v>48</v>
      </c>
      <c r="L5456" t="s">
        <v>49</v>
      </c>
      <c r="M5456" t="s">
        <v>140</v>
      </c>
      <c r="N5456">
        <v>0</v>
      </c>
      <c r="O5456">
        <v>0</v>
      </c>
      <c r="P5456">
        <v>0</v>
      </c>
      <c r="Q5456" t="str">
        <f t="shared" si="170"/>
        <v>25-34</v>
      </c>
      <c r="R5456" t="str">
        <f t="shared" si="171"/>
        <v>[gwVYinjBAe9]|25-34|Male|VMMC_CIRC_SUBNAT.T_1|CY2024Q3</v>
      </c>
    </row>
    <row r="5457" spans="4:18" x14ac:dyDescent="0.2">
      <c r="D5457" t="s">
        <v>135</v>
      </c>
      <c r="E5457" t="s">
        <v>136</v>
      </c>
      <c r="F5457" t="s">
        <v>137</v>
      </c>
      <c r="G5457" t="s">
        <v>217</v>
      </c>
      <c r="H5457" t="s">
        <v>218</v>
      </c>
      <c r="I5457" t="s">
        <v>41</v>
      </c>
      <c r="J5457" t="s">
        <v>42</v>
      </c>
      <c r="K5457" t="s">
        <v>48</v>
      </c>
      <c r="L5457" t="s">
        <v>49</v>
      </c>
      <c r="M5457" t="s">
        <v>140</v>
      </c>
      <c r="N5457">
        <v>4289</v>
      </c>
      <c r="O5457">
        <v>0</v>
      </c>
      <c r="P5457">
        <v>0</v>
      </c>
      <c r="Q5457" t="str">
        <f t="shared" si="170"/>
        <v>25-34</v>
      </c>
      <c r="R5457" t="str">
        <f t="shared" si="171"/>
        <v>[gwVYinjBAe9]|25-34|Male|VMMC_TOTALCIRC_SUBNAT.T_1|CY2024Q3</v>
      </c>
    </row>
    <row r="5458" spans="4:18" x14ac:dyDescent="0.2">
      <c r="D5458" t="s">
        <v>135</v>
      </c>
      <c r="E5458" t="s">
        <v>136</v>
      </c>
      <c r="F5458" t="s">
        <v>137</v>
      </c>
      <c r="G5458" t="s">
        <v>215</v>
      </c>
      <c r="H5458" t="s">
        <v>216</v>
      </c>
      <c r="I5458" t="s">
        <v>43</v>
      </c>
      <c r="J5458" t="s">
        <v>44</v>
      </c>
      <c r="K5458" t="s">
        <v>48</v>
      </c>
      <c r="L5458" t="s">
        <v>49</v>
      </c>
      <c r="M5458" t="s">
        <v>140</v>
      </c>
      <c r="N5458">
        <v>0</v>
      </c>
      <c r="O5458">
        <v>0</v>
      </c>
      <c r="P5458">
        <v>0</v>
      </c>
      <c r="Q5458" t="str">
        <f t="shared" si="170"/>
        <v>35-49</v>
      </c>
      <c r="R5458" t="str">
        <f t="shared" si="171"/>
        <v>[gwVYinjBAe9]|35-49|Male|VMMC_CIRC_SUBNAT.T_1|CY2024Q3</v>
      </c>
    </row>
    <row r="5459" spans="4:18" x14ac:dyDescent="0.2">
      <c r="D5459" t="s">
        <v>135</v>
      </c>
      <c r="E5459" t="s">
        <v>136</v>
      </c>
      <c r="F5459" t="s">
        <v>137</v>
      </c>
      <c r="G5459" t="s">
        <v>217</v>
      </c>
      <c r="H5459" t="s">
        <v>218</v>
      </c>
      <c r="I5459" t="s">
        <v>43</v>
      </c>
      <c r="J5459" t="s">
        <v>44</v>
      </c>
      <c r="K5459" t="s">
        <v>48</v>
      </c>
      <c r="L5459" t="s">
        <v>49</v>
      </c>
      <c r="M5459" t="s">
        <v>140</v>
      </c>
      <c r="N5459">
        <v>3210</v>
      </c>
      <c r="O5459">
        <v>0</v>
      </c>
      <c r="P5459">
        <v>0</v>
      </c>
      <c r="Q5459" t="str">
        <f t="shared" si="170"/>
        <v>35-49</v>
      </c>
      <c r="R5459" t="str">
        <f t="shared" si="171"/>
        <v>[gwVYinjBAe9]|35-49|Male|VMMC_TOTALCIRC_SUBNAT.T_1|CY2024Q3</v>
      </c>
    </row>
    <row r="5460" spans="4:18" x14ac:dyDescent="0.2">
      <c r="D5460" t="s">
        <v>135</v>
      </c>
      <c r="E5460" t="s">
        <v>136</v>
      </c>
      <c r="F5460" t="s">
        <v>137</v>
      </c>
      <c r="G5460" t="s">
        <v>215</v>
      </c>
      <c r="H5460" t="s">
        <v>216</v>
      </c>
      <c r="I5460" t="s">
        <v>45</v>
      </c>
      <c r="J5460" t="s">
        <v>46</v>
      </c>
      <c r="K5460" t="s">
        <v>48</v>
      </c>
      <c r="L5460" t="s">
        <v>49</v>
      </c>
      <c r="M5460" t="s">
        <v>140</v>
      </c>
      <c r="N5460">
        <v>0</v>
      </c>
      <c r="O5460">
        <v>0</v>
      </c>
      <c r="P5460">
        <v>0</v>
      </c>
      <c r="Q5460" t="str">
        <f t="shared" si="170"/>
        <v>50+</v>
      </c>
      <c r="R5460" t="str">
        <f t="shared" si="171"/>
        <v>[gwVYinjBAe9]|50+|Male|VMMC_CIRC_SUBNAT.T_1|CY2024Q3</v>
      </c>
    </row>
    <row r="5461" spans="4:18" x14ac:dyDescent="0.2">
      <c r="D5461" t="s">
        <v>135</v>
      </c>
      <c r="E5461" t="s">
        <v>136</v>
      </c>
      <c r="F5461" t="s">
        <v>137</v>
      </c>
      <c r="G5461" t="s">
        <v>217</v>
      </c>
      <c r="H5461" t="s">
        <v>218</v>
      </c>
      <c r="I5461" t="s">
        <v>45</v>
      </c>
      <c r="J5461" t="s">
        <v>46</v>
      </c>
      <c r="K5461" t="s">
        <v>48</v>
      </c>
      <c r="L5461" t="s">
        <v>49</v>
      </c>
      <c r="M5461" t="s">
        <v>140</v>
      </c>
      <c r="N5461">
        <v>1007</v>
      </c>
      <c r="O5461">
        <v>0</v>
      </c>
      <c r="P5461">
        <v>0</v>
      </c>
      <c r="Q5461" t="str">
        <f t="shared" si="170"/>
        <v>50+</v>
      </c>
      <c r="R5461" t="str">
        <f t="shared" si="171"/>
        <v>[gwVYinjBAe9]|50+|Male|VMMC_TOTALCIRC_SUBNAT.T_1|CY2024Q3</v>
      </c>
    </row>
    <row r="5462" spans="4:18" x14ac:dyDescent="0.2">
      <c r="D5462" t="s">
        <v>23</v>
      </c>
      <c r="E5462" t="s">
        <v>24</v>
      </c>
      <c r="F5462" t="s">
        <v>25</v>
      </c>
      <c r="G5462" t="s">
        <v>219</v>
      </c>
      <c r="H5462" t="s">
        <v>219</v>
      </c>
      <c r="I5462" t="s">
        <v>28</v>
      </c>
      <c r="J5462" t="s">
        <v>29</v>
      </c>
      <c r="K5462" t="s">
        <v>30</v>
      </c>
      <c r="L5462" t="s">
        <v>31</v>
      </c>
      <c r="M5462" t="s">
        <v>220</v>
      </c>
      <c r="N5462">
        <v>3</v>
      </c>
      <c r="O5462">
        <v>7.7840774000000001E-2</v>
      </c>
      <c r="P5462">
        <v>7.0706962999999998E-2</v>
      </c>
      <c r="Q5462" t="str">
        <f t="shared" si="170"/>
        <v>&lt;01</v>
      </c>
      <c r="R5462" t="str">
        <f t="shared" si="171"/>
        <v>[GkIwZrXy1h2]|&lt;01|Female|PLHIV_Residents.T|CY2025Q3</v>
      </c>
    </row>
    <row r="5463" spans="4:18" x14ac:dyDescent="0.2">
      <c r="D5463" t="s">
        <v>23</v>
      </c>
      <c r="E5463" t="s">
        <v>24</v>
      </c>
      <c r="F5463" t="s">
        <v>25</v>
      </c>
      <c r="G5463" t="s">
        <v>219</v>
      </c>
      <c r="H5463" t="s">
        <v>219</v>
      </c>
      <c r="I5463" t="s">
        <v>33</v>
      </c>
      <c r="J5463" t="s">
        <v>34</v>
      </c>
      <c r="K5463" t="s">
        <v>30</v>
      </c>
      <c r="L5463" t="s">
        <v>31</v>
      </c>
      <c r="M5463" t="s">
        <v>220</v>
      </c>
      <c r="N5463">
        <v>48</v>
      </c>
      <c r="O5463">
        <v>8.6561803000000007E-2</v>
      </c>
      <c r="P5463">
        <v>7.0706962999999998E-2</v>
      </c>
      <c r="Q5463" t="str">
        <f t="shared" si="170"/>
        <v>01-09</v>
      </c>
      <c r="R5463" t="str">
        <f t="shared" si="171"/>
        <v>[GkIwZrXy1h2]|01-09|Female|PLHIV_Residents.T|CY2025Q3</v>
      </c>
    </row>
    <row r="5464" spans="4:18" x14ac:dyDescent="0.2">
      <c r="D5464" t="s">
        <v>23</v>
      </c>
      <c r="E5464" t="s">
        <v>24</v>
      </c>
      <c r="F5464" t="s">
        <v>25</v>
      </c>
      <c r="G5464" t="s">
        <v>219</v>
      </c>
      <c r="H5464" t="s">
        <v>219</v>
      </c>
      <c r="I5464" t="s">
        <v>36</v>
      </c>
      <c r="J5464" t="s">
        <v>37</v>
      </c>
      <c r="K5464" t="s">
        <v>30</v>
      </c>
      <c r="L5464" t="s">
        <v>31</v>
      </c>
      <c r="M5464" t="s">
        <v>220</v>
      </c>
      <c r="N5464">
        <v>67</v>
      </c>
      <c r="O5464">
        <v>0.10171506</v>
      </c>
      <c r="P5464">
        <v>7.0706962999999998E-2</v>
      </c>
      <c r="Q5464" t="str">
        <f t="shared" si="170"/>
        <v>10-14</v>
      </c>
      <c r="R5464" t="str">
        <f t="shared" si="171"/>
        <v>[GkIwZrXy1h2]|10-14|Female|PLHIV_Residents.T|CY2025Q3</v>
      </c>
    </row>
    <row r="5465" spans="4:18" x14ac:dyDescent="0.2">
      <c r="D5465" t="s">
        <v>23</v>
      </c>
      <c r="E5465" t="s">
        <v>24</v>
      </c>
      <c r="F5465" t="s">
        <v>25</v>
      </c>
      <c r="G5465" t="s">
        <v>219</v>
      </c>
      <c r="H5465" t="s">
        <v>219</v>
      </c>
      <c r="I5465" t="s">
        <v>38</v>
      </c>
      <c r="J5465" t="s">
        <v>39</v>
      </c>
      <c r="K5465" t="s">
        <v>30</v>
      </c>
      <c r="L5465" t="s">
        <v>31</v>
      </c>
      <c r="M5465" t="s">
        <v>220</v>
      </c>
      <c r="N5465">
        <v>252</v>
      </c>
      <c r="O5465">
        <v>9.5405951000000003E-2</v>
      </c>
      <c r="P5465">
        <v>7.0706962999999998E-2</v>
      </c>
      <c r="Q5465" t="str">
        <f t="shared" si="170"/>
        <v>15-24</v>
      </c>
      <c r="R5465" t="str">
        <f t="shared" si="171"/>
        <v>[GkIwZrXy1h2]|15-24|Female|PLHIV_Residents.T|CY2025Q3</v>
      </c>
    </row>
    <row r="5466" spans="4:18" x14ac:dyDescent="0.2">
      <c r="D5466" t="s">
        <v>23</v>
      </c>
      <c r="E5466" t="s">
        <v>24</v>
      </c>
      <c r="F5466" t="s">
        <v>25</v>
      </c>
      <c r="G5466" t="s">
        <v>219</v>
      </c>
      <c r="H5466" t="s">
        <v>219</v>
      </c>
      <c r="I5466" t="s">
        <v>41</v>
      </c>
      <c r="J5466" t="s">
        <v>42</v>
      </c>
      <c r="K5466" t="s">
        <v>30</v>
      </c>
      <c r="L5466" t="s">
        <v>31</v>
      </c>
      <c r="M5466" t="s">
        <v>220</v>
      </c>
      <c r="N5466">
        <v>587</v>
      </c>
      <c r="O5466">
        <v>8.4165883999999996E-2</v>
      </c>
      <c r="P5466">
        <v>7.0706962999999998E-2</v>
      </c>
      <c r="Q5466" t="str">
        <f t="shared" si="170"/>
        <v>25-34</v>
      </c>
      <c r="R5466" t="str">
        <f t="shared" si="171"/>
        <v>[GkIwZrXy1h2]|25-34|Female|PLHIV_Residents.T|CY2025Q3</v>
      </c>
    </row>
    <row r="5467" spans="4:18" x14ac:dyDescent="0.2">
      <c r="D5467" t="s">
        <v>23</v>
      </c>
      <c r="E5467" t="s">
        <v>24</v>
      </c>
      <c r="F5467" t="s">
        <v>25</v>
      </c>
      <c r="G5467" t="s">
        <v>219</v>
      </c>
      <c r="H5467" t="s">
        <v>219</v>
      </c>
      <c r="I5467" t="s">
        <v>43</v>
      </c>
      <c r="J5467" t="s">
        <v>44</v>
      </c>
      <c r="K5467" t="s">
        <v>30</v>
      </c>
      <c r="L5467" t="s">
        <v>31</v>
      </c>
      <c r="M5467" t="s">
        <v>220</v>
      </c>
      <c r="N5467">
        <v>1662</v>
      </c>
      <c r="O5467">
        <v>7.2624314999999995E-2</v>
      </c>
      <c r="P5467">
        <v>7.0706962999999998E-2</v>
      </c>
      <c r="Q5467" t="str">
        <f t="shared" si="170"/>
        <v>35-49</v>
      </c>
      <c r="R5467" t="str">
        <f t="shared" si="171"/>
        <v>[GkIwZrXy1h2]|35-49|Female|PLHIV_Residents.T|CY2025Q3</v>
      </c>
    </row>
    <row r="5468" spans="4:18" x14ac:dyDescent="0.2">
      <c r="D5468" t="s">
        <v>23</v>
      </c>
      <c r="E5468" t="s">
        <v>24</v>
      </c>
      <c r="F5468" t="s">
        <v>25</v>
      </c>
      <c r="G5468" t="s">
        <v>219</v>
      </c>
      <c r="H5468" t="s">
        <v>219</v>
      </c>
      <c r="I5468" t="s">
        <v>45</v>
      </c>
      <c r="J5468" t="s">
        <v>46</v>
      </c>
      <c r="K5468" t="s">
        <v>30</v>
      </c>
      <c r="L5468" t="s">
        <v>31</v>
      </c>
      <c r="M5468" t="s">
        <v>220</v>
      </c>
      <c r="N5468">
        <v>913</v>
      </c>
      <c r="O5468">
        <v>7.6190703999999998E-2</v>
      </c>
      <c r="P5468">
        <v>7.0706962999999998E-2</v>
      </c>
      <c r="Q5468" t="str">
        <f t="shared" si="170"/>
        <v>50+</v>
      </c>
      <c r="R5468" t="str">
        <f t="shared" si="171"/>
        <v>[GkIwZrXy1h2]|50+|Female|PLHIV_Residents.T|CY2025Q3</v>
      </c>
    </row>
    <row r="5469" spans="4:18" x14ac:dyDescent="0.2">
      <c r="D5469" t="s">
        <v>23</v>
      </c>
      <c r="E5469" t="s">
        <v>24</v>
      </c>
      <c r="F5469" t="s">
        <v>25</v>
      </c>
      <c r="G5469" t="s">
        <v>219</v>
      </c>
      <c r="H5469" t="s">
        <v>219</v>
      </c>
      <c r="I5469" t="s">
        <v>28</v>
      </c>
      <c r="J5469" t="s">
        <v>29</v>
      </c>
      <c r="K5469" t="s">
        <v>48</v>
      </c>
      <c r="L5469" t="s">
        <v>49</v>
      </c>
      <c r="M5469" t="s">
        <v>220</v>
      </c>
      <c r="N5469">
        <v>3</v>
      </c>
      <c r="O5469">
        <v>7.7853003000000004E-2</v>
      </c>
      <c r="P5469">
        <v>7.0706962999999998E-2</v>
      </c>
      <c r="Q5469" t="str">
        <f t="shared" si="170"/>
        <v>&lt;01</v>
      </c>
      <c r="R5469" t="str">
        <f t="shared" si="171"/>
        <v>[GkIwZrXy1h2]|&lt;01|Male|PLHIV_Residents.T|CY2025Q3</v>
      </c>
    </row>
    <row r="5470" spans="4:18" x14ac:dyDescent="0.2">
      <c r="D5470" t="s">
        <v>23</v>
      </c>
      <c r="E5470" t="s">
        <v>24</v>
      </c>
      <c r="F5470" t="s">
        <v>25</v>
      </c>
      <c r="G5470" t="s">
        <v>219</v>
      </c>
      <c r="H5470" t="s">
        <v>219</v>
      </c>
      <c r="I5470" t="s">
        <v>33</v>
      </c>
      <c r="J5470" t="s">
        <v>34</v>
      </c>
      <c r="K5470" t="s">
        <v>48</v>
      </c>
      <c r="L5470" t="s">
        <v>49</v>
      </c>
      <c r="M5470" t="s">
        <v>220</v>
      </c>
      <c r="N5470">
        <v>48</v>
      </c>
      <c r="O5470">
        <v>8.6544385000000001E-2</v>
      </c>
      <c r="P5470">
        <v>7.0706962999999998E-2</v>
      </c>
      <c r="Q5470" t="str">
        <f t="shared" si="170"/>
        <v>01-09</v>
      </c>
      <c r="R5470" t="str">
        <f t="shared" si="171"/>
        <v>[GkIwZrXy1h2]|01-09|Male|PLHIV_Residents.T|CY2025Q3</v>
      </c>
    </row>
    <row r="5471" spans="4:18" x14ac:dyDescent="0.2">
      <c r="D5471" t="s">
        <v>23</v>
      </c>
      <c r="E5471" t="s">
        <v>24</v>
      </c>
      <c r="F5471" t="s">
        <v>25</v>
      </c>
      <c r="G5471" t="s">
        <v>219</v>
      </c>
      <c r="H5471" t="s">
        <v>219</v>
      </c>
      <c r="I5471" t="s">
        <v>36</v>
      </c>
      <c r="J5471" t="s">
        <v>37</v>
      </c>
      <c r="K5471" t="s">
        <v>48</v>
      </c>
      <c r="L5471" t="s">
        <v>49</v>
      </c>
      <c r="M5471" t="s">
        <v>220</v>
      </c>
      <c r="N5471">
        <v>66</v>
      </c>
      <c r="O5471">
        <v>0.101704823</v>
      </c>
      <c r="P5471">
        <v>7.0706962999999998E-2</v>
      </c>
      <c r="Q5471" t="str">
        <f t="shared" si="170"/>
        <v>10-14</v>
      </c>
      <c r="R5471" t="str">
        <f t="shared" si="171"/>
        <v>[GkIwZrXy1h2]|10-14|Male|PLHIV_Residents.T|CY2025Q3</v>
      </c>
    </row>
    <row r="5472" spans="4:18" x14ac:dyDescent="0.2">
      <c r="D5472" t="s">
        <v>23</v>
      </c>
      <c r="E5472" t="s">
        <v>24</v>
      </c>
      <c r="F5472" t="s">
        <v>25</v>
      </c>
      <c r="G5472" t="s">
        <v>219</v>
      </c>
      <c r="H5472" t="s">
        <v>219</v>
      </c>
      <c r="I5472" t="s">
        <v>38</v>
      </c>
      <c r="J5472" t="s">
        <v>39</v>
      </c>
      <c r="K5472" t="s">
        <v>48</v>
      </c>
      <c r="L5472" t="s">
        <v>49</v>
      </c>
      <c r="M5472" t="s">
        <v>220</v>
      </c>
      <c r="N5472">
        <v>192</v>
      </c>
      <c r="O5472">
        <v>0.10133035899999999</v>
      </c>
      <c r="P5472">
        <v>7.0706962999999998E-2</v>
      </c>
      <c r="Q5472" t="str">
        <f t="shared" si="170"/>
        <v>15-24</v>
      </c>
      <c r="R5472" t="str">
        <f t="shared" si="171"/>
        <v>[GkIwZrXy1h2]|15-24|Male|PLHIV_Residents.T|CY2025Q3</v>
      </c>
    </row>
    <row r="5473" spans="4:18" x14ac:dyDescent="0.2">
      <c r="D5473" t="s">
        <v>23</v>
      </c>
      <c r="E5473" t="s">
        <v>24</v>
      </c>
      <c r="F5473" t="s">
        <v>25</v>
      </c>
      <c r="G5473" t="s">
        <v>219</v>
      </c>
      <c r="H5473" t="s">
        <v>219</v>
      </c>
      <c r="I5473" t="s">
        <v>41</v>
      </c>
      <c r="J5473" t="s">
        <v>42</v>
      </c>
      <c r="K5473" t="s">
        <v>48</v>
      </c>
      <c r="L5473" t="s">
        <v>49</v>
      </c>
      <c r="M5473" t="s">
        <v>220</v>
      </c>
      <c r="N5473">
        <v>248</v>
      </c>
      <c r="O5473">
        <v>9.7808328E-2</v>
      </c>
      <c r="P5473">
        <v>7.0706962999999998E-2</v>
      </c>
      <c r="Q5473" t="str">
        <f t="shared" si="170"/>
        <v>25-34</v>
      </c>
      <c r="R5473" t="str">
        <f t="shared" si="171"/>
        <v>[GkIwZrXy1h2]|25-34|Male|PLHIV_Residents.T|CY2025Q3</v>
      </c>
    </row>
    <row r="5474" spans="4:18" x14ac:dyDescent="0.2">
      <c r="D5474" t="s">
        <v>23</v>
      </c>
      <c r="E5474" t="s">
        <v>24</v>
      </c>
      <c r="F5474" t="s">
        <v>25</v>
      </c>
      <c r="G5474" t="s">
        <v>219</v>
      </c>
      <c r="H5474" t="s">
        <v>219</v>
      </c>
      <c r="I5474" t="s">
        <v>43</v>
      </c>
      <c r="J5474" t="s">
        <v>44</v>
      </c>
      <c r="K5474" t="s">
        <v>48</v>
      </c>
      <c r="L5474" t="s">
        <v>49</v>
      </c>
      <c r="M5474" t="s">
        <v>220</v>
      </c>
      <c r="N5474">
        <v>938</v>
      </c>
      <c r="O5474">
        <v>7.7311002000000004E-2</v>
      </c>
      <c r="P5474">
        <v>7.0706962999999998E-2</v>
      </c>
      <c r="Q5474" t="str">
        <f t="shared" si="170"/>
        <v>35-49</v>
      </c>
      <c r="R5474" t="str">
        <f t="shared" si="171"/>
        <v>[GkIwZrXy1h2]|35-49|Male|PLHIV_Residents.T|CY2025Q3</v>
      </c>
    </row>
    <row r="5475" spans="4:18" x14ac:dyDescent="0.2">
      <c r="D5475" t="s">
        <v>23</v>
      </c>
      <c r="E5475" t="s">
        <v>24</v>
      </c>
      <c r="F5475" t="s">
        <v>25</v>
      </c>
      <c r="G5475" t="s">
        <v>219</v>
      </c>
      <c r="H5475" t="s">
        <v>219</v>
      </c>
      <c r="I5475" t="s">
        <v>45</v>
      </c>
      <c r="J5475" t="s">
        <v>46</v>
      </c>
      <c r="K5475" t="s">
        <v>48</v>
      </c>
      <c r="L5475" t="s">
        <v>49</v>
      </c>
      <c r="M5475" t="s">
        <v>220</v>
      </c>
      <c r="N5475">
        <v>877</v>
      </c>
      <c r="O5475">
        <v>7.5373808E-2</v>
      </c>
      <c r="P5475">
        <v>7.0706962999999998E-2</v>
      </c>
      <c r="Q5475" t="str">
        <f t="shared" si="170"/>
        <v>50+</v>
      </c>
      <c r="R5475" t="str">
        <f t="shared" si="171"/>
        <v>[GkIwZrXy1h2]|50+|Male|PLHIV_Residents.T|CY2025Q3</v>
      </c>
    </row>
    <row r="5476" spans="4:18" x14ac:dyDescent="0.2">
      <c r="D5476" t="s">
        <v>53</v>
      </c>
      <c r="E5476" t="s">
        <v>54</v>
      </c>
      <c r="F5476" t="s">
        <v>55</v>
      </c>
      <c r="G5476" t="s">
        <v>219</v>
      </c>
      <c r="H5476" t="s">
        <v>219</v>
      </c>
      <c r="I5476" t="s">
        <v>28</v>
      </c>
      <c r="J5476" t="s">
        <v>29</v>
      </c>
      <c r="K5476" t="s">
        <v>30</v>
      </c>
      <c r="L5476" t="s">
        <v>31</v>
      </c>
      <c r="M5476" t="s">
        <v>220</v>
      </c>
      <c r="N5476">
        <v>8</v>
      </c>
      <c r="O5476">
        <v>3.8107433000000003E-2</v>
      </c>
      <c r="P5476">
        <v>3.2405999999999997E-2</v>
      </c>
      <c r="Q5476" t="str">
        <f t="shared" si="170"/>
        <v>&lt;01</v>
      </c>
      <c r="R5476" t="str">
        <f t="shared" si="171"/>
        <v>[cPtvxaZqXIH]|&lt;01|Female|PLHIV_Residents.T|CY2025Q3</v>
      </c>
    </row>
    <row r="5477" spans="4:18" x14ac:dyDescent="0.2">
      <c r="D5477" t="s">
        <v>53</v>
      </c>
      <c r="E5477" t="s">
        <v>54</v>
      </c>
      <c r="F5477" t="s">
        <v>55</v>
      </c>
      <c r="G5477" t="s">
        <v>219</v>
      </c>
      <c r="H5477" t="s">
        <v>219</v>
      </c>
      <c r="I5477" t="s">
        <v>33</v>
      </c>
      <c r="J5477" t="s">
        <v>34</v>
      </c>
      <c r="K5477" t="s">
        <v>30</v>
      </c>
      <c r="L5477" t="s">
        <v>31</v>
      </c>
      <c r="M5477" t="s">
        <v>220</v>
      </c>
      <c r="N5477">
        <v>150</v>
      </c>
      <c r="O5477">
        <v>4.9401335999999997E-2</v>
      </c>
      <c r="P5477">
        <v>3.2405999999999997E-2</v>
      </c>
      <c r="Q5477" t="str">
        <f t="shared" si="170"/>
        <v>01-09</v>
      </c>
      <c r="R5477" t="str">
        <f t="shared" si="171"/>
        <v>[cPtvxaZqXIH]|01-09|Female|PLHIV_Residents.T|CY2025Q3</v>
      </c>
    </row>
    <row r="5478" spans="4:18" x14ac:dyDescent="0.2">
      <c r="D5478" t="s">
        <v>53</v>
      </c>
      <c r="E5478" t="s">
        <v>54</v>
      </c>
      <c r="F5478" t="s">
        <v>55</v>
      </c>
      <c r="G5478" t="s">
        <v>219</v>
      </c>
      <c r="H5478" t="s">
        <v>219</v>
      </c>
      <c r="I5478" t="s">
        <v>36</v>
      </c>
      <c r="J5478" t="s">
        <v>37</v>
      </c>
      <c r="K5478" t="s">
        <v>30</v>
      </c>
      <c r="L5478" t="s">
        <v>31</v>
      </c>
      <c r="M5478" t="s">
        <v>220</v>
      </c>
      <c r="N5478">
        <v>206</v>
      </c>
      <c r="O5478">
        <v>6.8464103999999998E-2</v>
      </c>
      <c r="P5478">
        <v>3.2405999999999997E-2</v>
      </c>
      <c r="Q5478" t="str">
        <f t="shared" si="170"/>
        <v>10-14</v>
      </c>
      <c r="R5478" t="str">
        <f t="shared" si="171"/>
        <v>[cPtvxaZqXIH]|10-14|Female|PLHIV_Residents.T|CY2025Q3</v>
      </c>
    </row>
    <row r="5479" spans="4:18" x14ac:dyDescent="0.2">
      <c r="D5479" t="s">
        <v>53</v>
      </c>
      <c r="E5479" t="s">
        <v>54</v>
      </c>
      <c r="F5479" t="s">
        <v>55</v>
      </c>
      <c r="G5479" t="s">
        <v>219</v>
      </c>
      <c r="H5479" t="s">
        <v>219</v>
      </c>
      <c r="I5479" t="s">
        <v>38</v>
      </c>
      <c r="J5479" t="s">
        <v>39</v>
      </c>
      <c r="K5479" t="s">
        <v>30</v>
      </c>
      <c r="L5479" t="s">
        <v>31</v>
      </c>
      <c r="M5479" t="s">
        <v>220</v>
      </c>
      <c r="N5479">
        <v>806</v>
      </c>
      <c r="O5479">
        <v>6.4177055999999996E-2</v>
      </c>
      <c r="P5479">
        <v>3.2405999999999997E-2</v>
      </c>
      <c r="Q5479" t="str">
        <f t="shared" si="170"/>
        <v>15-24</v>
      </c>
      <c r="R5479" t="str">
        <f t="shared" si="171"/>
        <v>[cPtvxaZqXIH]|15-24|Female|PLHIV_Residents.T|CY2025Q3</v>
      </c>
    </row>
    <row r="5480" spans="4:18" x14ac:dyDescent="0.2">
      <c r="D5480" t="s">
        <v>53</v>
      </c>
      <c r="E5480" t="s">
        <v>54</v>
      </c>
      <c r="F5480" t="s">
        <v>55</v>
      </c>
      <c r="G5480" t="s">
        <v>219</v>
      </c>
      <c r="H5480" t="s">
        <v>219</v>
      </c>
      <c r="I5480" t="s">
        <v>41</v>
      </c>
      <c r="J5480" t="s">
        <v>42</v>
      </c>
      <c r="K5480" t="s">
        <v>30</v>
      </c>
      <c r="L5480" t="s">
        <v>31</v>
      </c>
      <c r="M5480" t="s">
        <v>220</v>
      </c>
      <c r="N5480">
        <v>1883</v>
      </c>
      <c r="O5480">
        <v>4.8754425999999997E-2</v>
      </c>
      <c r="P5480">
        <v>3.2405999999999997E-2</v>
      </c>
      <c r="Q5480" t="str">
        <f t="shared" si="170"/>
        <v>25-34</v>
      </c>
      <c r="R5480" t="str">
        <f t="shared" si="171"/>
        <v>[cPtvxaZqXIH]|25-34|Female|PLHIV_Residents.T|CY2025Q3</v>
      </c>
    </row>
    <row r="5481" spans="4:18" x14ac:dyDescent="0.2">
      <c r="D5481" t="s">
        <v>53</v>
      </c>
      <c r="E5481" t="s">
        <v>54</v>
      </c>
      <c r="F5481" t="s">
        <v>55</v>
      </c>
      <c r="G5481" t="s">
        <v>219</v>
      </c>
      <c r="H5481" t="s">
        <v>219</v>
      </c>
      <c r="I5481" t="s">
        <v>43</v>
      </c>
      <c r="J5481" t="s">
        <v>44</v>
      </c>
      <c r="K5481" t="s">
        <v>30</v>
      </c>
      <c r="L5481" t="s">
        <v>31</v>
      </c>
      <c r="M5481" t="s">
        <v>220</v>
      </c>
      <c r="N5481">
        <v>5112</v>
      </c>
      <c r="O5481">
        <v>3.4541544E-2</v>
      </c>
      <c r="P5481">
        <v>3.2405999999999997E-2</v>
      </c>
      <c r="Q5481" t="str">
        <f t="shared" si="170"/>
        <v>35-49</v>
      </c>
      <c r="R5481" t="str">
        <f t="shared" si="171"/>
        <v>[cPtvxaZqXIH]|35-49|Female|PLHIV_Residents.T|CY2025Q3</v>
      </c>
    </row>
    <row r="5482" spans="4:18" x14ac:dyDescent="0.2">
      <c r="D5482" t="s">
        <v>53</v>
      </c>
      <c r="E5482" t="s">
        <v>54</v>
      </c>
      <c r="F5482" t="s">
        <v>55</v>
      </c>
      <c r="G5482" t="s">
        <v>219</v>
      </c>
      <c r="H5482" t="s">
        <v>219</v>
      </c>
      <c r="I5482" t="s">
        <v>45</v>
      </c>
      <c r="J5482" t="s">
        <v>46</v>
      </c>
      <c r="K5482" t="s">
        <v>30</v>
      </c>
      <c r="L5482" t="s">
        <v>31</v>
      </c>
      <c r="M5482" t="s">
        <v>220</v>
      </c>
      <c r="N5482">
        <v>2559</v>
      </c>
      <c r="O5482">
        <v>4.5674518999999997E-2</v>
      </c>
      <c r="P5482">
        <v>3.2405999999999997E-2</v>
      </c>
      <c r="Q5482" t="str">
        <f t="shared" si="170"/>
        <v>50+</v>
      </c>
      <c r="R5482" t="str">
        <f t="shared" si="171"/>
        <v>[cPtvxaZqXIH]|50+|Female|PLHIV_Residents.T|CY2025Q3</v>
      </c>
    </row>
    <row r="5483" spans="4:18" x14ac:dyDescent="0.2">
      <c r="D5483" t="s">
        <v>53</v>
      </c>
      <c r="E5483" t="s">
        <v>54</v>
      </c>
      <c r="F5483" t="s">
        <v>55</v>
      </c>
      <c r="G5483" t="s">
        <v>219</v>
      </c>
      <c r="H5483" t="s">
        <v>219</v>
      </c>
      <c r="I5483" t="s">
        <v>28</v>
      </c>
      <c r="J5483" t="s">
        <v>29</v>
      </c>
      <c r="K5483" t="s">
        <v>48</v>
      </c>
      <c r="L5483" t="s">
        <v>49</v>
      </c>
      <c r="M5483" t="s">
        <v>220</v>
      </c>
      <c r="N5483">
        <v>8</v>
      </c>
      <c r="O5483">
        <v>3.8038497999999997E-2</v>
      </c>
      <c r="P5483">
        <v>3.2405999999999997E-2</v>
      </c>
      <c r="Q5483" t="str">
        <f t="shared" si="170"/>
        <v>&lt;01</v>
      </c>
      <c r="R5483" t="str">
        <f t="shared" si="171"/>
        <v>[cPtvxaZqXIH]|&lt;01|Male|PLHIV_Residents.T|CY2025Q3</v>
      </c>
    </row>
    <row r="5484" spans="4:18" x14ac:dyDescent="0.2">
      <c r="D5484" t="s">
        <v>53</v>
      </c>
      <c r="E5484" t="s">
        <v>54</v>
      </c>
      <c r="F5484" t="s">
        <v>55</v>
      </c>
      <c r="G5484" t="s">
        <v>219</v>
      </c>
      <c r="H5484" t="s">
        <v>219</v>
      </c>
      <c r="I5484" t="s">
        <v>33</v>
      </c>
      <c r="J5484" t="s">
        <v>34</v>
      </c>
      <c r="K5484" t="s">
        <v>48</v>
      </c>
      <c r="L5484" t="s">
        <v>49</v>
      </c>
      <c r="M5484" t="s">
        <v>220</v>
      </c>
      <c r="N5484">
        <v>150</v>
      </c>
      <c r="O5484">
        <v>4.9287231000000001E-2</v>
      </c>
      <c r="P5484">
        <v>3.2405999999999997E-2</v>
      </c>
      <c r="Q5484" t="str">
        <f t="shared" si="170"/>
        <v>01-09</v>
      </c>
      <c r="R5484" t="str">
        <f t="shared" si="171"/>
        <v>[cPtvxaZqXIH]|01-09|Male|PLHIV_Residents.T|CY2025Q3</v>
      </c>
    </row>
    <row r="5485" spans="4:18" x14ac:dyDescent="0.2">
      <c r="D5485" t="s">
        <v>53</v>
      </c>
      <c r="E5485" t="s">
        <v>54</v>
      </c>
      <c r="F5485" t="s">
        <v>55</v>
      </c>
      <c r="G5485" t="s">
        <v>219</v>
      </c>
      <c r="H5485" t="s">
        <v>219</v>
      </c>
      <c r="I5485" t="s">
        <v>36</v>
      </c>
      <c r="J5485" t="s">
        <v>37</v>
      </c>
      <c r="K5485" t="s">
        <v>48</v>
      </c>
      <c r="L5485" t="s">
        <v>49</v>
      </c>
      <c r="M5485" t="s">
        <v>220</v>
      </c>
      <c r="N5485">
        <v>200</v>
      </c>
      <c r="O5485">
        <v>6.8440895000000002E-2</v>
      </c>
      <c r="P5485">
        <v>3.2405999999999997E-2</v>
      </c>
      <c r="Q5485" t="str">
        <f t="shared" si="170"/>
        <v>10-14</v>
      </c>
      <c r="R5485" t="str">
        <f t="shared" si="171"/>
        <v>[cPtvxaZqXIH]|10-14|Male|PLHIV_Residents.T|CY2025Q3</v>
      </c>
    </row>
    <row r="5486" spans="4:18" x14ac:dyDescent="0.2">
      <c r="D5486" t="s">
        <v>53</v>
      </c>
      <c r="E5486" t="s">
        <v>54</v>
      </c>
      <c r="F5486" t="s">
        <v>55</v>
      </c>
      <c r="G5486" t="s">
        <v>219</v>
      </c>
      <c r="H5486" t="s">
        <v>219</v>
      </c>
      <c r="I5486" t="s">
        <v>38</v>
      </c>
      <c r="J5486" t="s">
        <v>39</v>
      </c>
      <c r="K5486" t="s">
        <v>48</v>
      </c>
      <c r="L5486" t="s">
        <v>49</v>
      </c>
      <c r="M5486" t="s">
        <v>220</v>
      </c>
      <c r="N5486">
        <v>579</v>
      </c>
      <c r="O5486">
        <v>7.4863714999999997E-2</v>
      </c>
      <c r="P5486">
        <v>3.2405999999999997E-2</v>
      </c>
      <c r="Q5486" t="str">
        <f t="shared" si="170"/>
        <v>15-24</v>
      </c>
      <c r="R5486" t="str">
        <f t="shared" si="171"/>
        <v>[cPtvxaZqXIH]|15-24|Male|PLHIV_Residents.T|CY2025Q3</v>
      </c>
    </row>
    <row r="5487" spans="4:18" x14ac:dyDescent="0.2">
      <c r="D5487" t="s">
        <v>53</v>
      </c>
      <c r="E5487" t="s">
        <v>54</v>
      </c>
      <c r="F5487" t="s">
        <v>55</v>
      </c>
      <c r="G5487" t="s">
        <v>219</v>
      </c>
      <c r="H5487" t="s">
        <v>219</v>
      </c>
      <c r="I5487" t="s">
        <v>41</v>
      </c>
      <c r="J5487" t="s">
        <v>42</v>
      </c>
      <c r="K5487" t="s">
        <v>48</v>
      </c>
      <c r="L5487" t="s">
        <v>49</v>
      </c>
      <c r="M5487" t="s">
        <v>220</v>
      </c>
      <c r="N5487">
        <v>721</v>
      </c>
      <c r="O5487">
        <v>7.4553087000000004E-2</v>
      </c>
      <c r="P5487">
        <v>3.2405999999999997E-2</v>
      </c>
      <c r="Q5487" t="str">
        <f t="shared" si="170"/>
        <v>25-34</v>
      </c>
      <c r="R5487" t="str">
        <f t="shared" si="171"/>
        <v>[cPtvxaZqXIH]|25-34|Male|PLHIV_Residents.T|CY2025Q3</v>
      </c>
    </row>
    <row r="5488" spans="4:18" x14ac:dyDescent="0.2">
      <c r="D5488" t="s">
        <v>53</v>
      </c>
      <c r="E5488" t="s">
        <v>54</v>
      </c>
      <c r="F5488" t="s">
        <v>55</v>
      </c>
      <c r="G5488" t="s">
        <v>219</v>
      </c>
      <c r="H5488" t="s">
        <v>219</v>
      </c>
      <c r="I5488" t="s">
        <v>43</v>
      </c>
      <c r="J5488" t="s">
        <v>44</v>
      </c>
      <c r="K5488" t="s">
        <v>48</v>
      </c>
      <c r="L5488" t="s">
        <v>49</v>
      </c>
      <c r="M5488" t="s">
        <v>220</v>
      </c>
      <c r="N5488">
        <v>2752</v>
      </c>
      <c r="O5488">
        <v>4.4695202000000003E-2</v>
      </c>
      <c r="P5488">
        <v>3.2405999999999997E-2</v>
      </c>
      <c r="Q5488" t="str">
        <f t="shared" si="170"/>
        <v>35-49</v>
      </c>
      <c r="R5488" t="str">
        <f t="shared" si="171"/>
        <v>[cPtvxaZqXIH]|35-49|Male|PLHIV_Residents.T|CY2025Q3</v>
      </c>
    </row>
    <row r="5489" spans="4:18" x14ac:dyDescent="0.2">
      <c r="D5489" t="s">
        <v>53</v>
      </c>
      <c r="E5489" t="s">
        <v>54</v>
      </c>
      <c r="F5489" t="s">
        <v>55</v>
      </c>
      <c r="G5489" t="s">
        <v>219</v>
      </c>
      <c r="H5489" t="s">
        <v>219</v>
      </c>
      <c r="I5489" t="s">
        <v>45</v>
      </c>
      <c r="J5489" t="s">
        <v>46</v>
      </c>
      <c r="K5489" t="s">
        <v>48</v>
      </c>
      <c r="L5489" t="s">
        <v>49</v>
      </c>
      <c r="M5489" t="s">
        <v>220</v>
      </c>
      <c r="N5489">
        <v>2180</v>
      </c>
      <c r="O5489">
        <v>4.4628917999999997E-2</v>
      </c>
      <c r="P5489">
        <v>3.2405999999999997E-2</v>
      </c>
      <c r="Q5489" t="str">
        <f t="shared" si="170"/>
        <v>50+</v>
      </c>
      <c r="R5489" t="str">
        <f t="shared" si="171"/>
        <v>[cPtvxaZqXIH]|50+|Male|PLHIV_Residents.T|CY2025Q3</v>
      </c>
    </row>
    <row r="5490" spans="4:18" x14ac:dyDescent="0.2">
      <c r="D5490" t="s">
        <v>60</v>
      </c>
      <c r="E5490" t="s">
        <v>61</v>
      </c>
      <c r="F5490" t="s">
        <v>62</v>
      </c>
      <c r="G5490" t="s">
        <v>219</v>
      </c>
      <c r="H5490" t="s">
        <v>219</v>
      </c>
      <c r="I5490" t="s">
        <v>28</v>
      </c>
      <c r="J5490" t="s">
        <v>29</v>
      </c>
      <c r="K5490" t="s">
        <v>30</v>
      </c>
      <c r="L5490" t="s">
        <v>31</v>
      </c>
      <c r="M5490" t="s">
        <v>220</v>
      </c>
      <c r="N5490">
        <v>7</v>
      </c>
      <c r="O5490">
        <v>8.4798807000000004E-2</v>
      </c>
      <c r="P5490">
        <v>8.1661098000000001E-2</v>
      </c>
      <c r="Q5490" t="str">
        <f t="shared" si="170"/>
        <v>&lt;01</v>
      </c>
      <c r="R5490" t="str">
        <f t="shared" si="171"/>
        <v>[E7zpfyBt7Tw]|&lt;01|Female|PLHIV_Residents.T|CY2025Q3</v>
      </c>
    </row>
    <row r="5491" spans="4:18" x14ac:dyDescent="0.2">
      <c r="D5491" t="s">
        <v>60</v>
      </c>
      <c r="E5491" t="s">
        <v>61</v>
      </c>
      <c r="F5491" t="s">
        <v>62</v>
      </c>
      <c r="G5491" t="s">
        <v>219</v>
      </c>
      <c r="H5491" t="s">
        <v>219</v>
      </c>
      <c r="I5491" t="s">
        <v>33</v>
      </c>
      <c r="J5491" t="s">
        <v>34</v>
      </c>
      <c r="K5491" t="s">
        <v>30</v>
      </c>
      <c r="L5491" t="s">
        <v>31</v>
      </c>
      <c r="M5491" t="s">
        <v>220</v>
      </c>
      <c r="N5491">
        <v>124</v>
      </c>
      <c r="O5491">
        <v>8.7949193999999994E-2</v>
      </c>
      <c r="P5491">
        <v>8.1661098000000001E-2</v>
      </c>
      <c r="Q5491" t="str">
        <f t="shared" si="170"/>
        <v>01-09</v>
      </c>
      <c r="R5491" t="str">
        <f t="shared" si="171"/>
        <v>[E7zpfyBt7Tw]|01-09|Female|PLHIV_Residents.T|CY2025Q3</v>
      </c>
    </row>
    <row r="5492" spans="4:18" x14ac:dyDescent="0.2">
      <c r="D5492" t="s">
        <v>60</v>
      </c>
      <c r="E5492" t="s">
        <v>61</v>
      </c>
      <c r="F5492" t="s">
        <v>62</v>
      </c>
      <c r="G5492" t="s">
        <v>219</v>
      </c>
      <c r="H5492" t="s">
        <v>219</v>
      </c>
      <c r="I5492" t="s">
        <v>36</v>
      </c>
      <c r="J5492" t="s">
        <v>37</v>
      </c>
      <c r="K5492" t="s">
        <v>30</v>
      </c>
      <c r="L5492" t="s">
        <v>31</v>
      </c>
      <c r="M5492" t="s">
        <v>220</v>
      </c>
      <c r="N5492">
        <v>171</v>
      </c>
      <c r="O5492">
        <v>9.3705812999999999E-2</v>
      </c>
      <c r="P5492">
        <v>8.1661098000000001E-2</v>
      </c>
      <c r="Q5492" t="str">
        <f t="shared" si="170"/>
        <v>10-14</v>
      </c>
      <c r="R5492" t="str">
        <f t="shared" si="171"/>
        <v>[E7zpfyBt7Tw]|10-14|Female|PLHIV_Residents.T|CY2025Q3</v>
      </c>
    </row>
    <row r="5493" spans="4:18" x14ac:dyDescent="0.2">
      <c r="D5493" t="s">
        <v>60</v>
      </c>
      <c r="E5493" t="s">
        <v>61</v>
      </c>
      <c r="F5493" t="s">
        <v>62</v>
      </c>
      <c r="G5493" t="s">
        <v>219</v>
      </c>
      <c r="H5493" t="s">
        <v>219</v>
      </c>
      <c r="I5493" t="s">
        <v>38</v>
      </c>
      <c r="J5493" t="s">
        <v>39</v>
      </c>
      <c r="K5493" t="s">
        <v>30</v>
      </c>
      <c r="L5493" t="s">
        <v>31</v>
      </c>
      <c r="M5493" t="s">
        <v>220</v>
      </c>
      <c r="N5493">
        <v>687</v>
      </c>
      <c r="O5493">
        <v>0.102268675</v>
      </c>
      <c r="P5493">
        <v>8.1661098000000001E-2</v>
      </c>
      <c r="Q5493" t="str">
        <f t="shared" si="170"/>
        <v>15-24</v>
      </c>
      <c r="R5493" t="str">
        <f t="shared" si="171"/>
        <v>[E7zpfyBt7Tw]|15-24|Female|PLHIV_Residents.T|CY2025Q3</v>
      </c>
    </row>
    <row r="5494" spans="4:18" x14ac:dyDescent="0.2">
      <c r="D5494" t="s">
        <v>60</v>
      </c>
      <c r="E5494" t="s">
        <v>61</v>
      </c>
      <c r="F5494" t="s">
        <v>62</v>
      </c>
      <c r="G5494" t="s">
        <v>219</v>
      </c>
      <c r="H5494" t="s">
        <v>219</v>
      </c>
      <c r="I5494" t="s">
        <v>41</v>
      </c>
      <c r="J5494" t="s">
        <v>42</v>
      </c>
      <c r="K5494" t="s">
        <v>30</v>
      </c>
      <c r="L5494" t="s">
        <v>31</v>
      </c>
      <c r="M5494" t="s">
        <v>220</v>
      </c>
      <c r="N5494">
        <v>1504</v>
      </c>
      <c r="O5494">
        <v>9.6520453000000006E-2</v>
      </c>
      <c r="P5494">
        <v>8.1661098000000001E-2</v>
      </c>
      <c r="Q5494" t="str">
        <f t="shared" si="170"/>
        <v>25-34</v>
      </c>
      <c r="R5494" t="str">
        <f t="shared" si="171"/>
        <v>[E7zpfyBt7Tw]|25-34|Female|PLHIV_Residents.T|CY2025Q3</v>
      </c>
    </row>
    <row r="5495" spans="4:18" x14ac:dyDescent="0.2">
      <c r="D5495" t="s">
        <v>60</v>
      </c>
      <c r="E5495" t="s">
        <v>61</v>
      </c>
      <c r="F5495" t="s">
        <v>62</v>
      </c>
      <c r="G5495" t="s">
        <v>219</v>
      </c>
      <c r="H5495" t="s">
        <v>219</v>
      </c>
      <c r="I5495" t="s">
        <v>43</v>
      </c>
      <c r="J5495" t="s">
        <v>44</v>
      </c>
      <c r="K5495" t="s">
        <v>30</v>
      </c>
      <c r="L5495" t="s">
        <v>31</v>
      </c>
      <c r="M5495" t="s">
        <v>220</v>
      </c>
      <c r="N5495">
        <v>4009</v>
      </c>
      <c r="O5495">
        <v>8.0246638999999995E-2</v>
      </c>
      <c r="P5495">
        <v>8.1661098000000001E-2</v>
      </c>
      <c r="Q5495" t="str">
        <f t="shared" si="170"/>
        <v>35-49</v>
      </c>
      <c r="R5495" t="str">
        <f t="shared" si="171"/>
        <v>[E7zpfyBt7Tw]|35-49|Female|PLHIV_Residents.T|CY2025Q3</v>
      </c>
    </row>
    <row r="5496" spans="4:18" x14ac:dyDescent="0.2">
      <c r="D5496" t="s">
        <v>60</v>
      </c>
      <c r="E5496" t="s">
        <v>61</v>
      </c>
      <c r="F5496" t="s">
        <v>62</v>
      </c>
      <c r="G5496" t="s">
        <v>219</v>
      </c>
      <c r="H5496" t="s">
        <v>219</v>
      </c>
      <c r="I5496" t="s">
        <v>45</v>
      </c>
      <c r="J5496" t="s">
        <v>46</v>
      </c>
      <c r="K5496" t="s">
        <v>30</v>
      </c>
      <c r="L5496" t="s">
        <v>31</v>
      </c>
      <c r="M5496" t="s">
        <v>220</v>
      </c>
      <c r="N5496">
        <v>2311</v>
      </c>
      <c r="O5496">
        <v>8.5857775999999997E-2</v>
      </c>
      <c r="P5496">
        <v>8.1661098000000001E-2</v>
      </c>
      <c r="Q5496" t="str">
        <f t="shared" si="170"/>
        <v>50+</v>
      </c>
      <c r="R5496" t="str">
        <f t="shared" si="171"/>
        <v>[E7zpfyBt7Tw]|50+|Female|PLHIV_Residents.T|CY2025Q3</v>
      </c>
    </row>
    <row r="5497" spans="4:18" x14ac:dyDescent="0.2">
      <c r="D5497" t="s">
        <v>60</v>
      </c>
      <c r="E5497" t="s">
        <v>61</v>
      </c>
      <c r="F5497" t="s">
        <v>62</v>
      </c>
      <c r="G5497" t="s">
        <v>219</v>
      </c>
      <c r="H5497" t="s">
        <v>219</v>
      </c>
      <c r="I5497" t="s">
        <v>28</v>
      </c>
      <c r="J5497" t="s">
        <v>29</v>
      </c>
      <c r="K5497" t="s">
        <v>48</v>
      </c>
      <c r="L5497" t="s">
        <v>49</v>
      </c>
      <c r="M5497" t="s">
        <v>220</v>
      </c>
      <c r="N5497">
        <v>7</v>
      </c>
      <c r="O5497">
        <v>8.4832672999999997E-2</v>
      </c>
      <c r="P5497">
        <v>8.1661098000000001E-2</v>
      </c>
      <c r="Q5497" t="str">
        <f t="shared" si="170"/>
        <v>&lt;01</v>
      </c>
      <c r="R5497" t="str">
        <f t="shared" si="171"/>
        <v>[E7zpfyBt7Tw]|&lt;01|Male|PLHIV_Residents.T|CY2025Q3</v>
      </c>
    </row>
    <row r="5498" spans="4:18" x14ac:dyDescent="0.2">
      <c r="D5498" t="s">
        <v>60</v>
      </c>
      <c r="E5498" t="s">
        <v>61</v>
      </c>
      <c r="F5498" t="s">
        <v>62</v>
      </c>
      <c r="G5498" t="s">
        <v>219</v>
      </c>
      <c r="H5498" t="s">
        <v>219</v>
      </c>
      <c r="I5498" t="s">
        <v>33</v>
      </c>
      <c r="J5498" t="s">
        <v>34</v>
      </c>
      <c r="K5498" t="s">
        <v>48</v>
      </c>
      <c r="L5498" t="s">
        <v>49</v>
      </c>
      <c r="M5498" t="s">
        <v>220</v>
      </c>
      <c r="N5498">
        <v>126</v>
      </c>
      <c r="O5498">
        <v>8.7975487000000005E-2</v>
      </c>
      <c r="P5498">
        <v>8.1661098000000001E-2</v>
      </c>
      <c r="Q5498" t="str">
        <f t="shared" si="170"/>
        <v>01-09</v>
      </c>
      <c r="R5498" t="str">
        <f t="shared" si="171"/>
        <v>[E7zpfyBt7Tw]|01-09|Male|PLHIV_Residents.T|CY2025Q3</v>
      </c>
    </row>
    <row r="5499" spans="4:18" x14ac:dyDescent="0.2">
      <c r="D5499" t="s">
        <v>60</v>
      </c>
      <c r="E5499" t="s">
        <v>61</v>
      </c>
      <c r="F5499" t="s">
        <v>62</v>
      </c>
      <c r="G5499" t="s">
        <v>219</v>
      </c>
      <c r="H5499" t="s">
        <v>219</v>
      </c>
      <c r="I5499" t="s">
        <v>36</v>
      </c>
      <c r="J5499" t="s">
        <v>37</v>
      </c>
      <c r="K5499" t="s">
        <v>48</v>
      </c>
      <c r="L5499" t="s">
        <v>49</v>
      </c>
      <c r="M5499" t="s">
        <v>220</v>
      </c>
      <c r="N5499">
        <v>171</v>
      </c>
      <c r="O5499">
        <v>9.3703460000000002E-2</v>
      </c>
      <c r="P5499">
        <v>8.1661098000000001E-2</v>
      </c>
      <c r="Q5499" t="str">
        <f t="shared" si="170"/>
        <v>10-14</v>
      </c>
      <c r="R5499" t="str">
        <f t="shared" si="171"/>
        <v>[E7zpfyBt7Tw]|10-14|Male|PLHIV_Residents.T|CY2025Q3</v>
      </c>
    </row>
    <row r="5500" spans="4:18" x14ac:dyDescent="0.2">
      <c r="D5500" t="s">
        <v>60</v>
      </c>
      <c r="E5500" t="s">
        <v>61</v>
      </c>
      <c r="F5500" t="s">
        <v>62</v>
      </c>
      <c r="G5500" t="s">
        <v>219</v>
      </c>
      <c r="H5500" t="s">
        <v>219</v>
      </c>
      <c r="I5500" t="s">
        <v>38</v>
      </c>
      <c r="J5500" t="s">
        <v>39</v>
      </c>
      <c r="K5500" t="s">
        <v>48</v>
      </c>
      <c r="L5500" t="s">
        <v>49</v>
      </c>
      <c r="M5500" t="s">
        <v>220</v>
      </c>
      <c r="N5500">
        <v>541</v>
      </c>
      <c r="O5500">
        <v>0.108685302</v>
      </c>
      <c r="P5500">
        <v>8.1661098000000001E-2</v>
      </c>
      <c r="Q5500" t="str">
        <f t="shared" si="170"/>
        <v>15-24</v>
      </c>
      <c r="R5500" t="str">
        <f t="shared" si="171"/>
        <v>[E7zpfyBt7Tw]|15-24|Male|PLHIV_Residents.T|CY2025Q3</v>
      </c>
    </row>
    <row r="5501" spans="4:18" x14ac:dyDescent="0.2">
      <c r="D5501" t="s">
        <v>60</v>
      </c>
      <c r="E5501" t="s">
        <v>61</v>
      </c>
      <c r="F5501" t="s">
        <v>62</v>
      </c>
      <c r="G5501" t="s">
        <v>219</v>
      </c>
      <c r="H5501" t="s">
        <v>219</v>
      </c>
      <c r="I5501" t="s">
        <v>41</v>
      </c>
      <c r="J5501" t="s">
        <v>42</v>
      </c>
      <c r="K5501" t="s">
        <v>48</v>
      </c>
      <c r="L5501" t="s">
        <v>49</v>
      </c>
      <c r="M5501" t="s">
        <v>220</v>
      </c>
      <c r="N5501">
        <v>673</v>
      </c>
      <c r="O5501">
        <v>0.11110531999999999</v>
      </c>
      <c r="P5501">
        <v>8.1661098000000001E-2</v>
      </c>
      <c r="Q5501" t="str">
        <f t="shared" si="170"/>
        <v>25-34</v>
      </c>
      <c r="R5501" t="str">
        <f t="shared" si="171"/>
        <v>[E7zpfyBt7Tw]|25-34|Male|PLHIV_Residents.T|CY2025Q3</v>
      </c>
    </row>
    <row r="5502" spans="4:18" x14ac:dyDescent="0.2">
      <c r="D5502" t="s">
        <v>60</v>
      </c>
      <c r="E5502" t="s">
        <v>61</v>
      </c>
      <c r="F5502" t="s">
        <v>62</v>
      </c>
      <c r="G5502" t="s">
        <v>219</v>
      </c>
      <c r="H5502" t="s">
        <v>219</v>
      </c>
      <c r="I5502" t="s">
        <v>43</v>
      </c>
      <c r="J5502" t="s">
        <v>44</v>
      </c>
      <c r="K5502" t="s">
        <v>48</v>
      </c>
      <c r="L5502" t="s">
        <v>49</v>
      </c>
      <c r="M5502" t="s">
        <v>220</v>
      </c>
      <c r="N5502">
        <v>2435</v>
      </c>
      <c r="O5502">
        <v>8.9457919999999996E-2</v>
      </c>
      <c r="P5502">
        <v>8.1661098000000001E-2</v>
      </c>
      <c r="Q5502" t="str">
        <f t="shared" si="170"/>
        <v>35-49</v>
      </c>
      <c r="R5502" t="str">
        <f t="shared" si="171"/>
        <v>[E7zpfyBt7Tw]|35-49|Male|PLHIV_Residents.T|CY2025Q3</v>
      </c>
    </row>
    <row r="5503" spans="4:18" x14ac:dyDescent="0.2">
      <c r="D5503" t="s">
        <v>60</v>
      </c>
      <c r="E5503" t="s">
        <v>61</v>
      </c>
      <c r="F5503" t="s">
        <v>62</v>
      </c>
      <c r="G5503" t="s">
        <v>219</v>
      </c>
      <c r="H5503" t="s">
        <v>219</v>
      </c>
      <c r="I5503" t="s">
        <v>45</v>
      </c>
      <c r="J5503" t="s">
        <v>46</v>
      </c>
      <c r="K5503" t="s">
        <v>48</v>
      </c>
      <c r="L5503" t="s">
        <v>49</v>
      </c>
      <c r="M5503" t="s">
        <v>220</v>
      </c>
      <c r="N5503">
        <v>2162</v>
      </c>
      <c r="O5503">
        <v>8.2192769999999998E-2</v>
      </c>
      <c r="P5503">
        <v>8.1661098000000001E-2</v>
      </c>
      <c r="Q5503" t="str">
        <f t="shared" si="170"/>
        <v>50+</v>
      </c>
      <c r="R5503" t="str">
        <f t="shared" si="171"/>
        <v>[E7zpfyBt7Tw]|50+|Male|PLHIV_Residents.T|CY2025Q3</v>
      </c>
    </row>
    <row r="5504" spans="4:18" x14ac:dyDescent="0.2">
      <c r="D5504" t="s">
        <v>63</v>
      </c>
      <c r="E5504" t="s">
        <v>64</v>
      </c>
      <c r="F5504" t="s">
        <v>65</v>
      </c>
      <c r="G5504" t="s">
        <v>219</v>
      </c>
      <c r="H5504" t="s">
        <v>219</v>
      </c>
      <c r="I5504" t="s">
        <v>28</v>
      </c>
      <c r="J5504" t="s">
        <v>29</v>
      </c>
      <c r="K5504" t="s">
        <v>30</v>
      </c>
      <c r="L5504" t="s">
        <v>31</v>
      </c>
      <c r="M5504" t="s">
        <v>220</v>
      </c>
      <c r="N5504">
        <v>4</v>
      </c>
      <c r="O5504">
        <v>8.0073630000000007E-2</v>
      </c>
      <c r="P5504">
        <v>7.5806545000000003E-2</v>
      </c>
      <c r="Q5504" t="str">
        <f t="shared" si="170"/>
        <v>&lt;01</v>
      </c>
      <c r="R5504" t="str">
        <f t="shared" si="171"/>
        <v>[lPTyjLi4w3d]|&lt;01|Female|PLHIV_Residents.T|CY2025Q3</v>
      </c>
    </row>
    <row r="5505" spans="4:18" x14ac:dyDescent="0.2">
      <c r="D5505" t="s">
        <v>63</v>
      </c>
      <c r="E5505" t="s">
        <v>64</v>
      </c>
      <c r="F5505" t="s">
        <v>65</v>
      </c>
      <c r="G5505" t="s">
        <v>219</v>
      </c>
      <c r="H5505" t="s">
        <v>219</v>
      </c>
      <c r="I5505" t="s">
        <v>33</v>
      </c>
      <c r="J5505" t="s">
        <v>34</v>
      </c>
      <c r="K5505" t="s">
        <v>30</v>
      </c>
      <c r="L5505" t="s">
        <v>31</v>
      </c>
      <c r="M5505" t="s">
        <v>220</v>
      </c>
      <c r="N5505">
        <v>77</v>
      </c>
      <c r="O5505">
        <v>8.3684918999999997E-2</v>
      </c>
      <c r="P5505">
        <v>7.5806545000000003E-2</v>
      </c>
      <c r="Q5505" t="str">
        <f t="shared" si="170"/>
        <v>01-09</v>
      </c>
      <c r="R5505" t="str">
        <f t="shared" si="171"/>
        <v>[lPTyjLi4w3d]|01-09|Female|PLHIV_Residents.T|CY2025Q3</v>
      </c>
    </row>
    <row r="5506" spans="4:18" x14ac:dyDescent="0.2">
      <c r="D5506" t="s">
        <v>63</v>
      </c>
      <c r="E5506" t="s">
        <v>64</v>
      </c>
      <c r="F5506" t="s">
        <v>65</v>
      </c>
      <c r="G5506" t="s">
        <v>219</v>
      </c>
      <c r="H5506" t="s">
        <v>219</v>
      </c>
      <c r="I5506" t="s">
        <v>36</v>
      </c>
      <c r="J5506" t="s">
        <v>37</v>
      </c>
      <c r="K5506" t="s">
        <v>30</v>
      </c>
      <c r="L5506" t="s">
        <v>31</v>
      </c>
      <c r="M5506" t="s">
        <v>220</v>
      </c>
      <c r="N5506">
        <v>104</v>
      </c>
      <c r="O5506">
        <v>9.0426720000000002E-2</v>
      </c>
      <c r="P5506">
        <v>7.5806545000000003E-2</v>
      </c>
      <c r="Q5506" t="str">
        <f t="shared" si="170"/>
        <v>10-14</v>
      </c>
      <c r="R5506" t="str">
        <f t="shared" si="171"/>
        <v>[lPTyjLi4w3d]|10-14|Female|PLHIV_Residents.T|CY2025Q3</v>
      </c>
    </row>
    <row r="5507" spans="4:18" x14ac:dyDescent="0.2">
      <c r="D5507" t="s">
        <v>63</v>
      </c>
      <c r="E5507" t="s">
        <v>64</v>
      </c>
      <c r="F5507" t="s">
        <v>65</v>
      </c>
      <c r="G5507" t="s">
        <v>219</v>
      </c>
      <c r="H5507" t="s">
        <v>219</v>
      </c>
      <c r="I5507" t="s">
        <v>38</v>
      </c>
      <c r="J5507" t="s">
        <v>39</v>
      </c>
      <c r="K5507" t="s">
        <v>30</v>
      </c>
      <c r="L5507" t="s">
        <v>31</v>
      </c>
      <c r="M5507" t="s">
        <v>220</v>
      </c>
      <c r="N5507">
        <v>393</v>
      </c>
      <c r="O5507">
        <v>9.6074501000000007E-2</v>
      </c>
      <c r="P5507">
        <v>7.5806545000000003E-2</v>
      </c>
      <c r="Q5507" t="str">
        <f t="shared" ref="Q5507:Q5570" si="172">SUBSTITUTE(SUBSTITUTE($I5507,CHAR(61),""),CHAR(34),"")</f>
        <v>15-24</v>
      </c>
      <c r="R5507" t="str">
        <f t="shared" ref="R5507:R5570" si="173">IF($D5507&lt;&gt;"","["&amp;$E5507&amp;"]"&amp;"|"&amp;$Q5507&amp;"|"&amp;$K5507&amp;"|"&amp;$G5507&amp;"|"&amp;IF($G5507="TX_CURR_SUBNAT.R","CY2023Q4",$M5507),"")</f>
        <v>[lPTyjLi4w3d]|15-24|Female|PLHIV_Residents.T|CY2025Q3</v>
      </c>
    </row>
    <row r="5508" spans="4:18" x14ac:dyDescent="0.2">
      <c r="D5508" t="s">
        <v>63</v>
      </c>
      <c r="E5508" t="s">
        <v>64</v>
      </c>
      <c r="F5508" t="s">
        <v>65</v>
      </c>
      <c r="G5508" t="s">
        <v>219</v>
      </c>
      <c r="H5508" t="s">
        <v>219</v>
      </c>
      <c r="I5508" t="s">
        <v>41</v>
      </c>
      <c r="J5508" t="s">
        <v>42</v>
      </c>
      <c r="K5508" t="s">
        <v>30</v>
      </c>
      <c r="L5508" t="s">
        <v>31</v>
      </c>
      <c r="M5508" t="s">
        <v>220</v>
      </c>
      <c r="N5508">
        <v>920</v>
      </c>
      <c r="O5508">
        <v>8.9028485000000004E-2</v>
      </c>
      <c r="P5508">
        <v>7.5806545000000003E-2</v>
      </c>
      <c r="Q5508" t="str">
        <f t="shared" si="172"/>
        <v>25-34</v>
      </c>
      <c r="R5508" t="str">
        <f t="shared" si="173"/>
        <v>[lPTyjLi4w3d]|25-34|Female|PLHIV_Residents.T|CY2025Q3</v>
      </c>
    </row>
    <row r="5509" spans="4:18" x14ac:dyDescent="0.2">
      <c r="D5509" t="s">
        <v>63</v>
      </c>
      <c r="E5509" t="s">
        <v>64</v>
      </c>
      <c r="F5509" t="s">
        <v>65</v>
      </c>
      <c r="G5509" t="s">
        <v>219</v>
      </c>
      <c r="H5509" t="s">
        <v>219</v>
      </c>
      <c r="I5509" t="s">
        <v>43</v>
      </c>
      <c r="J5509" t="s">
        <v>44</v>
      </c>
      <c r="K5509" t="s">
        <v>30</v>
      </c>
      <c r="L5509" t="s">
        <v>31</v>
      </c>
      <c r="M5509" t="s">
        <v>220</v>
      </c>
      <c r="N5509">
        <v>2572</v>
      </c>
      <c r="O5509">
        <v>7.7583603000000001E-2</v>
      </c>
      <c r="P5509">
        <v>7.5806545000000003E-2</v>
      </c>
      <c r="Q5509" t="str">
        <f t="shared" si="172"/>
        <v>35-49</v>
      </c>
      <c r="R5509" t="str">
        <f t="shared" si="173"/>
        <v>[lPTyjLi4w3d]|35-49|Female|PLHIV_Residents.T|CY2025Q3</v>
      </c>
    </row>
    <row r="5510" spans="4:18" x14ac:dyDescent="0.2">
      <c r="D5510" t="s">
        <v>63</v>
      </c>
      <c r="E5510" t="s">
        <v>64</v>
      </c>
      <c r="F5510" t="s">
        <v>65</v>
      </c>
      <c r="G5510" t="s">
        <v>219</v>
      </c>
      <c r="H5510" t="s">
        <v>219</v>
      </c>
      <c r="I5510" t="s">
        <v>45</v>
      </c>
      <c r="J5510" t="s">
        <v>46</v>
      </c>
      <c r="K5510" t="s">
        <v>30</v>
      </c>
      <c r="L5510" t="s">
        <v>31</v>
      </c>
      <c r="M5510" t="s">
        <v>220</v>
      </c>
      <c r="N5510">
        <v>1345</v>
      </c>
      <c r="O5510">
        <v>8.1830101000000002E-2</v>
      </c>
      <c r="P5510">
        <v>7.5806545000000003E-2</v>
      </c>
      <c r="Q5510" t="str">
        <f t="shared" si="172"/>
        <v>50+</v>
      </c>
      <c r="R5510" t="str">
        <f t="shared" si="173"/>
        <v>[lPTyjLi4w3d]|50+|Female|PLHIV_Residents.T|CY2025Q3</v>
      </c>
    </row>
    <row r="5511" spans="4:18" x14ac:dyDescent="0.2">
      <c r="D5511" t="s">
        <v>63</v>
      </c>
      <c r="E5511" t="s">
        <v>64</v>
      </c>
      <c r="F5511" t="s">
        <v>65</v>
      </c>
      <c r="G5511" t="s">
        <v>219</v>
      </c>
      <c r="H5511" t="s">
        <v>219</v>
      </c>
      <c r="I5511" t="s">
        <v>28</v>
      </c>
      <c r="J5511" t="s">
        <v>29</v>
      </c>
      <c r="K5511" t="s">
        <v>48</v>
      </c>
      <c r="L5511" t="s">
        <v>49</v>
      </c>
      <c r="M5511" t="s">
        <v>220</v>
      </c>
      <c r="N5511">
        <v>4</v>
      </c>
      <c r="O5511">
        <v>8.0049137000000006E-2</v>
      </c>
      <c r="P5511">
        <v>7.5806545000000003E-2</v>
      </c>
      <c r="Q5511" t="str">
        <f t="shared" si="172"/>
        <v>&lt;01</v>
      </c>
      <c r="R5511" t="str">
        <f t="shared" si="173"/>
        <v>[lPTyjLi4w3d]|&lt;01|Male|PLHIV_Residents.T|CY2025Q3</v>
      </c>
    </row>
    <row r="5512" spans="4:18" x14ac:dyDescent="0.2">
      <c r="D5512" t="s">
        <v>63</v>
      </c>
      <c r="E5512" t="s">
        <v>64</v>
      </c>
      <c r="F5512" t="s">
        <v>65</v>
      </c>
      <c r="G5512" t="s">
        <v>219</v>
      </c>
      <c r="H5512" t="s">
        <v>219</v>
      </c>
      <c r="I5512" t="s">
        <v>33</v>
      </c>
      <c r="J5512" t="s">
        <v>34</v>
      </c>
      <c r="K5512" t="s">
        <v>48</v>
      </c>
      <c r="L5512" t="s">
        <v>49</v>
      </c>
      <c r="M5512" t="s">
        <v>220</v>
      </c>
      <c r="N5512">
        <v>77</v>
      </c>
      <c r="O5512">
        <v>8.3643088000000004E-2</v>
      </c>
      <c r="P5512">
        <v>7.5806545000000003E-2</v>
      </c>
      <c r="Q5512" t="str">
        <f t="shared" si="172"/>
        <v>01-09</v>
      </c>
      <c r="R5512" t="str">
        <f t="shared" si="173"/>
        <v>[lPTyjLi4w3d]|01-09|Male|PLHIV_Residents.T|CY2025Q3</v>
      </c>
    </row>
    <row r="5513" spans="4:18" x14ac:dyDescent="0.2">
      <c r="D5513" t="s">
        <v>63</v>
      </c>
      <c r="E5513" t="s">
        <v>64</v>
      </c>
      <c r="F5513" t="s">
        <v>65</v>
      </c>
      <c r="G5513" t="s">
        <v>219</v>
      </c>
      <c r="H5513" t="s">
        <v>219</v>
      </c>
      <c r="I5513" t="s">
        <v>36</v>
      </c>
      <c r="J5513" t="s">
        <v>37</v>
      </c>
      <c r="K5513" t="s">
        <v>48</v>
      </c>
      <c r="L5513" t="s">
        <v>49</v>
      </c>
      <c r="M5513" t="s">
        <v>220</v>
      </c>
      <c r="N5513">
        <v>102</v>
      </c>
      <c r="O5513">
        <v>9.0420002999999999E-2</v>
      </c>
      <c r="P5513">
        <v>7.5806545000000003E-2</v>
      </c>
      <c r="Q5513" t="str">
        <f t="shared" si="172"/>
        <v>10-14</v>
      </c>
      <c r="R5513" t="str">
        <f t="shared" si="173"/>
        <v>[lPTyjLi4w3d]|10-14|Male|PLHIV_Residents.T|CY2025Q3</v>
      </c>
    </row>
    <row r="5514" spans="4:18" x14ac:dyDescent="0.2">
      <c r="D5514" t="s">
        <v>63</v>
      </c>
      <c r="E5514" t="s">
        <v>64</v>
      </c>
      <c r="F5514" t="s">
        <v>65</v>
      </c>
      <c r="G5514" t="s">
        <v>219</v>
      </c>
      <c r="H5514" t="s">
        <v>219</v>
      </c>
      <c r="I5514" t="s">
        <v>38</v>
      </c>
      <c r="J5514" t="s">
        <v>39</v>
      </c>
      <c r="K5514" t="s">
        <v>48</v>
      </c>
      <c r="L5514" t="s">
        <v>49</v>
      </c>
      <c r="M5514" t="s">
        <v>220</v>
      </c>
      <c r="N5514">
        <v>303</v>
      </c>
      <c r="O5514">
        <v>9.9705577000000004E-2</v>
      </c>
      <c r="P5514">
        <v>7.5806545000000003E-2</v>
      </c>
      <c r="Q5514" t="str">
        <f t="shared" si="172"/>
        <v>15-24</v>
      </c>
      <c r="R5514" t="str">
        <f t="shared" si="173"/>
        <v>[lPTyjLi4w3d]|15-24|Male|PLHIV_Residents.T|CY2025Q3</v>
      </c>
    </row>
    <row r="5515" spans="4:18" x14ac:dyDescent="0.2">
      <c r="D5515" t="s">
        <v>63</v>
      </c>
      <c r="E5515" t="s">
        <v>64</v>
      </c>
      <c r="F5515" t="s">
        <v>65</v>
      </c>
      <c r="G5515" t="s">
        <v>219</v>
      </c>
      <c r="H5515" t="s">
        <v>219</v>
      </c>
      <c r="I5515" t="s">
        <v>41</v>
      </c>
      <c r="J5515" t="s">
        <v>42</v>
      </c>
      <c r="K5515" t="s">
        <v>48</v>
      </c>
      <c r="L5515" t="s">
        <v>49</v>
      </c>
      <c r="M5515" t="s">
        <v>220</v>
      </c>
      <c r="N5515">
        <v>399</v>
      </c>
      <c r="O5515">
        <v>0.10438610299999999</v>
      </c>
      <c r="P5515">
        <v>7.5806545000000003E-2</v>
      </c>
      <c r="Q5515" t="str">
        <f t="shared" si="172"/>
        <v>25-34</v>
      </c>
      <c r="R5515" t="str">
        <f t="shared" si="173"/>
        <v>[lPTyjLi4w3d]|25-34|Male|PLHIV_Residents.T|CY2025Q3</v>
      </c>
    </row>
    <row r="5516" spans="4:18" x14ac:dyDescent="0.2">
      <c r="D5516" t="s">
        <v>63</v>
      </c>
      <c r="E5516" t="s">
        <v>64</v>
      </c>
      <c r="F5516" t="s">
        <v>65</v>
      </c>
      <c r="G5516" t="s">
        <v>219</v>
      </c>
      <c r="H5516" t="s">
        <v>219</v>
      </c>
      <c r="I5516" t="s">
        <v>43</v>
      </c>
      <c r="J5516" t="s">
        <v>44</v>
      </c>
      <c r="K5516" t="s">
        <v>48</v>
      </c>
      <c r="L5516" t="s">
        <v>49</v>
      </c>
      <c r="M5516" t="s">
        <v>220</v>
      </c>
      <c r="N5516">
        <v>1585</v>
      </c>
      <c r="O5516">
        <v>8.2746280000000005E-2</v>
      </c>
      <c r="P5516">
        <v>7.5806545000000003E-2</v>
      </c>
      <c r="Q5516" t="str">
        <f t="shared" si="172"/>
        <v>35-49</v>
      </c>
      <c r="R5516" t="str">
        <f t="shared" si="173"/>
        <v>[lPTyjLi4w3d]|35-49|Male|PLHIV_Residents.T|CY2025Q3</v>
      </c>
    </row>
    <row r="5517" spans="4:18" x14ac:dyDescent="0.2">
      <c r="D5517" t="s">
        <v>63</v>
      </c>
      <c r="E5517" t="s">
        <v>64</v>
      </c>
      <c r="F5517" t="s">
        <v>65</v>
      </c>
      <c r="G5517" t="s">
        <v>219</v>
      </c>
      <c r="H5517" t="s">
        <v>219</v>
      </c>
      <c r="I5517" t="s">
        <v>45</v>
      </c>
      <c r="J5517" t="s">
        <v>46</v>
      </c>
      <c r="K5517" t="s">
        <v>48</v>
      </c>
      <c r="L5517" t="s">
        <v>49</v>
      </c>
      <c r="M5517" t="s">
        <v>220</v>
      </c>
      <c r="N5517">
        <v>1341</v>
      </c>
      <c r="O5517">
        <v>7.7118231999999995E-2</v>
      </c>
      <c r="P5517">
        <v>7.5806545000000003E-2</v>
      </c>
      <c r="Q5517" t="str">
        <f t="shared" si="172"/>
        <v>50+</v>
      </c>
      <c r="R5517" t="str">
        <f t="shared" si="173"/>
        <v>[lPTyjLi4w3d]|50+|Male|PLHIV_Residents.T|CY2025Q3</v>
      </c>
    </row>
    <row r="5518" spans="4:18" x14ac:dyDescent="0.2">
      <c r="D5518" t="s">
        <v>66</v>
      </c>
      <c r="E5518" t="s">
        <v>67</v>
      </c>
      <c r="F5518" t="s">
        <v>68</v>
      </c>
      <c r="G5518" t="s">
        <v>219</v>
      </c>
      <c r="H5518" t="s">
        <v>219</v>
      </c>
      <c r="I5518" t="s">
        <v>28</v>
      </c>
      <c r="J5518" t="s">
        <v>29</v>
      </c>
      <c r="K5518" t="s">
        <v>30</v>
      </c>
      <c r="L5518" t="s">
        <v>31</v>
      </c>
      <c r="M5518" t="s">
        <v>220</v>
      </c>
      <c r="N5518">
        <v>23</v>
      </c>
      <c r="O5518">
        <v>3.1528990999999999E-2</v>
      </c>
      <c r="P5518">
        <v>2.7715189000000001E-2</v>
      </c>
      <c r="Q5518" t="str">
        <f t="shared" si="172"/>
        <v>&lt;01</v>
      </c>
      <c r="R5518" t="str">
        <f t="shared" si="173"/>
        <v>[vA4NcHxfMBq]|&lt;01|Female|PLHIV_Residents.T|CY2025Q3</v>
      </c>
    </row>
    <row r="5519" spans="4:18" x14ac:dyDescent="0.2">
      <c r="D5519" t="s">
        <v>66</v>
      </c>
      <c r="E5519" t="s">
        <v>67</v>
      </c>
      <c r="F5519" t="s">
        <v>68</v>
      </c>
      <c r="G5519" t="s">
        <v>219</v>
      </c>
      <c r="H5519" t="s">
        <v>219</v>
      </c>
      <c r="I5519" t="s">
        <v>33</v>
      </c>
      <c r="J5519" t="s">
        <v>34</v>
      </c>
      <c r="K5519" t="s">
        <v>30</v>
      </c>
      <c r="L5519" t="s">
        <v>31</v>
      </c>
      <c r="M5519" t="s">
        <v>220</v>
      </c>
      <c r="N5519">
        <v>409</v>
      </c>
      <c r="O5519">
        <v>3.6959006000000003E-2</v>
      </c>
      <c r="P5519">
        <v>2.7715189000000001E-2</v>
      </c>
      <c r="Q5519" t="str">
        <f t="shared" si="172"/>
        <v>01-09</v>
      </c>
      <c r="R5519" t="str">
        <f t="shared" si="173"/>
        <v>[vA4NcHxfMBq]|01-09|Female|PLHIV_Residents.T|CY2025Q3</v>
      </c>
    </row>
    <row r="5520" spans="4:18" x14ac:dyDescent="0.2">
      <c r="D5520" t="s">
        <v>66</v>
      </c>
      <c r="E5520" t="s">
        <v>67</v>
      </c>
      <c r="F5520" t="s">
        <v>68</v>
      </c>
      <c r="G5520" t="s">
        <v>219</v>
      </c>
      <c r="H5520" t="s">
        <v>219</v>
      </c>
      <c r="I5520" t="s">
        <v>36</v>
      </c>
      <c r="J5520" t="s">
        <v>37</v>
      </c>
      <c r="K5520" t="s">
        <v>30</v>
      </c>
      <c r="L5520" t="s">
        <v>31</v>
      </c>
      <c r="M5520" t="s">
        <v>220</v>
      </c>
      <c r="N5520">
        <v>530</v>
      </c>
      <c r="O5520">
        <v>4.6807810999999998E-2</v>
      </c>
      <c r="P5520">
        <v>2.7715189000000001E-2</v>
      </c>
      <c r="Q5520" t="str">
        <f t="shared" si="172"/>
        <v>10-14</v>
      </c>
      <c r="R5520" t="str">
        <f t="shared" si="173"/>
        <v>[vA4NcHxfMBq]|10-14|Female|PLHIV_Residents.T|CY2025Q3</v>
      </c>
    </row>
    <row r="5521" spans="4:18" x14ac:dyDescent="0.2">
      <c r="D5521" t="s">
        <v>66</v>
      </c>
      <c r="E5521" t="s">
        <v>67</v>
      </c>
      <c r="F5521" t="s">
        <v>68</v>
      </c>
      <c r="G5521" t="s">
        <v>219</v>
      </c>
      <c r="H5521" t="s">
        <v>219</v>
      </c>
      <c r="I5521" t="s">
        <v>38</v>
      </c>
      <c r="J5521" t="s">
        <v>39</v>
      </c>
      <c r="K5521" t="s">
        <v>30</v>
      </c>
      <c r="L5521" t="s">
        <v>31</v>
      </c>
      <c r="M5521" t="s">
        <v>220</v>
      </c>
      <c r="N5521">
        <v>2191</v>
      </c>
      <c r="O5521">
        <v>5.9275446000000002E-2</v>
      </c>
      <c r="P5521">
        <v>2.7715189000000001E-2</v>
      </c>
      <c r="Q5521" t="str">
        <f t="shared" si="172"/>
        <v>15-24</v>
      </c>
      <c r="R5521" t="str">
        <f t="shared" si="173"/>
        <v>[vA4NcHxfMBq]|15-24|Female|PLHIV_Residents.T|CY2025Q3</v>
      </c>
    </row>
    <row r="5522" spans="4:18" x14ac:dyDescent="0.2">
      <c r="D5522" t="s">
        <v>66</v>
      </c>
      <c r="E5522" t="s">
        <v>67</v>
      </c>
      <c r="F5522" t="s">
        <v>68</v>
      </c>
      <c r="G5522" t="s">
        <v>219</v>
      </c>
      <c r="H5522" t="s">
        <v>219</v>
      </c>
      <c r="I5522" t="s">
        <v>41</v>
      </c>
      <c r="J5522" t="s">
        <v>42</v>
      </c>
      <c r="K5522" t="s">
        <v>30</v>
      </c>
      <c r="L5522" t="s">
        <v>31</v>
      </c>
      <c r="M5522" t="s">
        <v>220</v>
      </c>
      <c r="N5522">
        <v>5629</v>
      </c>
      <c r="O5522">
        <v>4.5305281000000003E-2</v>
      </c>
      <c r="P5522">
        <v>2.7715189000000001E-2</v>
      </c>
      <c r="Q5522" t="str">
        <f t="shared" si="172"/>
        <v>25-34</v>
      </c>
      <c r="R5522" t="str">
        <f t="shared" si="173"/>
        <v>[vA4NcHxfMBq]|25-34|Female|PLHIV_Residents.T|CY2025Q3</v>
      </c>
    </row>
    <row r="5523" spans="4:18" x14ac:dyDescent="0.2">
      <c r="D5523" t="s">
        <v>66</v>
      </c>
      <c r="E5523" t="s">
        <v>67</v>
      </c>
      <c r="F5523" t="s">
        <v>68</v>
      </c>
      <c r="G5523" t="s">
        <v>219</v>
      </c>
      <c r="H5523" t="s">
        <v>219</v>
      </c>
      <c r="I5523" t="s">
        <v>43</v>
      </c>
      <c r="J5523" t="s">
        <v>44</v>
      </c>
      <c r="K5523" t="s">
        <v>30</v>
      </c>
      <c r="L5523" t="s">
        <v>31</v>
      </c>
      <c r="M5523" t="s">
        <v>220</v>
      </c>
      <c r="N5523">
        <v>14613</v>
      </c>
      <c r="O5523">
        <v>3.0542336999999999E-2</v>
      </c>
      <c r="P5523">
        <v>2.7715189000000001E-2</v>
      </c>
      <c r="Q5523" t="str">
        <f t="shared" si="172"/>
        <v>35-49</v>
      </c>
      <c r="R5523" t="str">
        <f t="shared" si="173"/>
        <v>[vA4NcHxfMBq]|35-49|Female|PLHIV_Residents.T|CY2025Q3</v>
      </c>
    </row>
    <row r="5524" spans="4:18" x14ac:dyDescent="0.2">
      <c r="D5524" t="s">
        <v>66</v>
      </c>
      <c r="E5524" t="s">
        <v>67</v>
      </c>
      <c r="F5524" t="s">
        <v>68</v>
      </c>
      <c r="G5524" t="s">
        <v>219</v>
      </c>
      <c r="H5524" t="s">
        <v>219</v>
      </c>
      <c r="I5524" t="s">
        <v>45</v>
      </c>
      <c r="J5524" t="s">
        <v>46</v>
      </c>
      <c r="K5524" t="s">
        <v>30</v>
      </c>
      <c r="L5524" t="s">
        <v>31</v>
      </c>
      <c r="M5524" t="s">
        <v>220</v>
      </c>
      <c r="N5524">
        <v>7000</v>
      </c>
      <c r="O5524">
        <v>4.4257009E-2</v>
      </c>
      <c r="P5524">
        <v>2.7715189000000001E-2</v>
      </c>
      <c r="Q5524" t="str">
        <f t="shared" si="172"/>
        <v>50+</v>
      </c>
      <c r="R5524" t="str">
        <f t="shared" si="173"/>
        <v>[vA4NcHxfMBq]|50+|Female|PLHIV_Residents.T|CY2025Q3</v>
      </c>
    </row>
    <row r="5525" spans="4:18" x14ac:dyDescent="0.2">
      <c r="D5525" t="s">
        <v>66</v>
      </c>
      <c r="E5525" t="s">
        <v>67</v>
      </c>
      <c r="F5525" t="s">
        <v>68</v>
      </c>
      <c r="G5525" t="s">
        <v>219</v>
      </c>
      <c r="H5525" t="s">
        <v>219</v>
      </c>
      <c r="I5525" t="s">
        <v>28</v>
      </c>
      <c r="J5525" t="s">
        <v>29</v>
      </c>
      <c r="K5525" t="s">
        <v>48</v>
      </c>
      <c r="L5525" t="s">
        <v>49</v>
      </c>
      <c r="M5525" t="s">
        <v>220</v>
      </c>
      <c r="N5525">
        <v>23</v>
      </c>
      <c r="O5525">
        <v>3.1526986E-2</v>
      </c>
      <c r="P5525">
        <v>2.7715189000000001E-2</v>
      </c>
      <c r="Q5525" t="str">
        <f t="shared" si="172"/>
        <v>&lt;01</v>
      </c>
      <c r="R5525" t="str">
        <f t="shared" si="173"/>
        <v>[vA4NcHxfMBq]|&lt;01|Male|PLHIV_Residents.T|CY2025Q3</v>
      </c>
    </row>
    <row r="5526" spans="4:18" x14ac:dyDescent="0.2">
      <c r="D5526" t="s">
        <v>66</v>
      </c>
      <c r="E5526" t="s">
        <v>67</v>
      </c>
      <c r="F5526" t="s">
        <v>68</v>
      </c>
      <c r="G5526" t="s">
        <v>219</v>
      </c>
      <c r="H5526" t="s">
        <v>219</v>
      </c>
      <c r="I5526" t="s">
        <v>33</v>
      </c>
      <c r="J5526" t="s">
        <v>34</v>
      </c>
      <c r="K5526" t="s">
        <v>48</v>
      </c>
      <c r="L5526" t="s">
        <v>49</v>
      </c>
      <c r="M5526" t="s">
        <v>220</v>
      </c>
      <c r="N5526">
        <v>411</v>
      </c>
      <c r="O5526">
        <v>3.6947594E-2</v>
      </c>
      <c r="P5526">
        <v>2.7715189000000001E-2</v>
      </c>
      <c r="Q5526" t="str">
        <f t="shared" si="172"/>
        <v>01-09</v>
      </c>
      <c r="R5526" t="str">
        <f t="shared" si="173"/>
        <v>[vA4NcHxfMBq]|01-09|Male|PLHIV_Residents.T|CY2025Q3</v>
      </c>
    </row>
    <row r="5527" spans="4:18" x14ac:dyDescent="0.2">
      <c r="D5527" t="s">
        <v>66</v>
      </c>
      <c r="E5527" t="s">
        <v>67</v>
      </c>
      <c r="F5527" t="s">
        <v>68</v>
      </c>
      <c r="G5527" t="s">
        <v>219</v>
      </c>
      <c r="H5527" t="s">
        <v>219</v>
      </c>
      <c r="I5527" t="s">
        <v>36</v>
      </c>
      <c r="J5527" t="s">
        <v>37</v>
      </c>
      <c r="K5527" t="s">
        <v>48</v>
      </c>
      <c r="L5527" t="s">
        <v>49</v>
      </c>
      <c r="M5527" t="s">
        <v>220</v>
      </c>
      <c r="N5527">
        <v>516</v>
      </c>
      <c r="O5527">
        <v>4.6934735999999998E-2</v>
      </c>
      <c r="P5527">
        <v>2.7715189000000001E-2</v>
      </c>
      <c r="Q5527" t="str">
        <f t="shared" si="172"/>
        <v>10-14</v>
      </c>
      <c r="R5527" t="str">
        <f t="shared" si="173"/>
        <v>[vA4NcHxfMBq]|10-14|Male|PLHIV_Residents.T|CY2025Q3</v>
      </c>
    </row>
    <row r="5528" spans="4:18" x14ac:dyDescent="0.2">
      <c r="D5528" t="s">
        <v>66</v>
      </c>
      <c r="E5528" t="s">
        <v>67</v>
      </c>
      <c r="F5528" t="s">
        <v>68</v>
      </c>
      <c r="G5528" t="s">
        <v>219</v>
      </c>
      <c r="H5528" t="s">
        <v>219</v>
      </c>
      <c r="I5528" t="s">
        <v>38</v>
      </c>
      <c r="J5528" t="s">
        <v>39</v>
      </c>
      <c r="K5528" t="s">
        <v>48</v>
      </c>
      <c r="L5528" t="s">
        <v>49</v>
      </c>
      <c r="M5528" t="s">
        <v>220</v>
      </c>
      <c r="N5528">
        <v>1540</v>
      </c>
      <c r="O5528">
        <v>6.8290457999999998E-2</v>
      </c>
      <c r="P5528">
        <v>2.7715189000000001E-2</v>
      </c>
      <c r="Q5528" t="str">
        <f t="shared" si="172"/>
        <v>15-24</v>
      </c>
      <c r="R5528" t="str">
        <f t="shared" si="173"/>
        <v>[vA4NcHxfMBq]|15-24|Male|PLHIV_Residents.T|CY2025Q3</v>
      </c>
    </row>
    <row r="5529" spans="4:18" x14ac:dyDescent="0.2">
      <c r="D5529" t="s">
        <v>66</v>
      </c>
      <c r="E5529" t="s">
        <v>67</v>
      </c>
      <c r="F5529" t="s">
        <v>68</v>
      </c>
      <c r="G5529" t="s">
        <v>219</v>
      </c>
      <c r="H5529" t="s">
        <v>219</v>
      </c>
      <c r="I5529" t="s">
        <v>41</v>
      </c>
      <c r="J5529" t="s">
        <v>42</v>
      </c>
      <c r="K5529" t="s">
        <v>48</v>
      </c>
      <c r="L5529" t="s">
        <v>49</v>
      </c>
      <c r="M5529" t="s">
        <v>220</v>
      </c>
      <c r="N5529">
        <v>2264</v>
      </c>
      <c r="O5529">
        <v>7.0643961000000005E-2</v>
      </c>
      <c r="P5529">
        <v>2.7715189000000001E-2</v>
      </c>
      <c r="Q5529" t="str">
        <f t="shared" si="172"/>
        <v>25-34</v>
      </c>
      <c r="R5529" t="str">
        <f t="shared" si="173"/>
        <v>[vA4NcHxfMBq]|25-34|Male|PLHIV_Residents.T|CY2025Q3</v>
      </c>
    </row>
    <row r="5530" spans="4:18" x14ac:dyDescent="0.2">
      <c r="D5530" t="s">
        <v>66</v>
      </c>
      <c r="E5530" t="s">
        <v>67</v>
      </c>
      <c r="F5530" t="s">
        <v>68</v>
      </c>
      <c r="G5530" t="s">
        <v>219</v>
      </c>
      <c r="H5530" t="s">
        <v>219</v>
      </c>
      <c r="I5530" t="s">
        <v>43</v>
      </c>
      <c r="J5530" t="s">
        <v>44</v>
      </c>
      <c r="K5530" t="s">
        <v>48</v>
      </c>
      <c r="L5530" t="s">
        <v>49</v>
      </c>
      <c r="M5530" t="s">
        <v>220</v>
      </c>
      <c r="N5530">
        <v>8502</v>
      </c>
      <c r="O5530">
        <v>3.9983772000000001E-2</v>
      </c>
      <c r="P5530">
        <v>2.7715189000000001E-2</v>
      </c>
      <c r="Q5530" t="str">
        <f t="shared" si="172"/>
        <v>35-49</v>
      </c>
      <c r="R5530" t="str">
        <f t="shared" si="173"/>
        <v>[vA4NcHxfMBq]|35-49|Male|PLHIV_Residents.T|CY2025Q3</v>
      </c>
    </row>
    <row r="5531" spans="4:18" x14ac:dyDescent="0.2">
      <c r="D5531" t="s">
        <v>66</v>
      </c>
      <c r="E5531" t="s">
        <v>67</v>
      </c>
      <c r="F5531" t="s">
        <v>68</v>
      </c>
      <c r="G5531" t="s">
        <v>219</v>
      </c>
      <c r="H5531" t="s">
        <v>219</v>
      </c>
      <c r="I5531" t="s">
        <v>45</v>
      </c>
      <c r="J5531" t="s">
        <v>46</v>
      </c>
      <c r="K5531" t="s">
        <v>48</v>
      </c>
      <c r="L5531" t="s">
        <v>49</v>
      </c>
      <c r="M5531" t="s">
        <v>220</v>
      </c>
      <c r="N5531">
        <v>6610</v>
      </c>
      <c r="O5531">
        <v>4.1777329000000002E-2</v>
      </c>
      <c r="P5531">
        <v>2.7715189000000001E-2</v>
      </c>
      <c r="Q5531" t="str">
        <f t="shared" si="172"/>
        <v>50+</v>
      </c>
      <c r="R5531" t="str">
        <f t="shared" si="173"/>
        <v>[vA4NcHxfMBq]|50+|Male|PLHIV_Residents.T|CY2025Q3</v>
      </c>
    </row>
    <row r="5532" spans="4:18" x14ac:dyDescent="0.2">
      <c r="D5532" t="s">
        <v>69</v>
      </c>
      <c r="E5532" t="s">
        <v>70</v>
      </c>
      <c r="F5532" t="s">
        <v>71</v>
      </c>
      <c r="G5532" t="s">
        <v>219</v>
      </c>
      <c r="H5532" t="s">
        <v>219</v>
      </c>
      <c r="I5532" t="s">
        <v>28</v>
      </c>
      <c r="J5532" t="s">
        <v>29</v>
      </c>
      <c r="K5532" t="s">
        <v>30</v>
      </c>
      <c r="L5532" t="s">
        <v>31</v>
      </c>
      <c r="M5532" t="s">
        <v>220</v>
      </c>
      <c r="N5532">
        <v>0</v>
      </c>
      <c r="O5532">
        <v>3.5357819999999998E-2</v>
      </c>
      <c r="P5532">
        <v>2.9839458999999999E-2</v>
      </c>
      <c r="Q5532" t="str">
        <f t="shared" si="172"/>
        <v>&lt;01</v>
      </c>
      <c r="R5532" t="str">
        <f t="shared" si="173"/>
        <v>[ZCjuwgaMB9u]|&lt;01|Female|PLHIV_Residents.T|CY2025Q3</v>
      </c>
    </row>
    <row r="5533" spans="4:18" x14ac:dyDescent="0.2">
      <c r="D5533" t="s">
        <v>69</v>
      </c>
      <c r="E5533" t="s">
        <v>70</v>
      </c>
      <c r="F5533" t="s">
        <v>71</v>
      </c>
      <c r="G5533" t="s">
        <v>219</v>
      </c>
      <c r="H5533" t="s">
        <v>219</v>
      </c>
      <c r="I5533" t="s">
        <v>33</v>
      </c>
      <c r="J5533" t="s">
        <v>34</v>
      </c>
      <c r="K5533" t="s">
        <v>30</v>
      </c>
      <c r="L5533" t="s">
        <v>31</v>
      </c>
      <c r="M5533" t="s">
        <v>220</v>
      </c>
      <c r="N5533">
        <v>7</v>
      </c>
      <c r="O5533">
        <v>4.2094258000000002E-2</v>
      </c>
      <c r="P5533">
        <v>2.9839458999999999E-2</v>
      </c>
      <c r="Q5533" t="str">
        <f t="shared" si="172"/>
        <v>01-09</v>
      </c>
      <c r="R5533" t="str">
        <f t="shared" si="173"/>
        <v>[ZCjuwgaMB9u]|01-09|Female|PLHIV_Residents.T|CY2025Q3</v>
      </c>
    </row>
    <row r="5534" spans="4:18" x14ac:dyDescent="0.2">
      <c r="D5534" t="s">
        <v>69</v>
      </c>
      <c r="E5534" t="s">
        <v>70</v>
      </c>
      <c r="F5534" t="s">
        <v>71</v>
      </c>
      <c r="G5534" t="s">
        <v>219</v>
      </c>
      <c r="H5534" t="s">
        <v>219</v>
      </c>
      <c r="I5534" t="s">
        <v>36</v>
      </c>
      <c r="J5534" t="s">
        <v>37</v>
      </c>
      <c r="K5534" t="s">
        <v>30</v>
      </c>
      <c r="L5534" t="s">
        <v>31</v>
      </c>
      <c r="M5534" t="s">
        <v>220</v>
      </c>
      <c r="N5534">
        <v>9</v>
      </c>
      <c r="O5534">
        <v>5.5234317999999998E-2</v>
      </c>
      <c r="P5534">
        <v>2.9839458999999999E-2</v>
      </c>
      <c r="Q5534" t="str">
        <f t="shared" si="172"/>
        <v>10-14</v>
      </c>
      <c r="R5534" t="str">
        <f t="shared" si="173"/>
        <v>[ZCjuwgaMB9u]|10-14|Female|PLHIV_Residents.T|CY2025Q3</v>
      </c>
    </row>
    <row r="5535" spans="4:18" x14ac:dyDescent="0.2">
      <c r="D5535" t="s">
        <v>69</v>
      </c>
      <c r="E5535" t="s">
        <v>70</v>
      </c>
      <c r="F5535" t="s">
        <v>71</v>
      </c>
      <c r="G5535" t="s">
        <v>219</v>
      </c>
      <c r="H5535" t="s">
        <v>219</v>
      </c>
      <c r="I5535" t="s">
        <v>38</v>
      </c>
      <c r="J5535" t="s">
        <v>39</v>
      </c>
      <c r="K5535" t="s">
        <v>30</v>
      </c>
      <c r="L5535" t="s">
        <v>31</v>
      </c>
      <c r="M5535" t="s">
        <v>220</v>
      </c>
      <c r="N5535">
        <v>38</v>
      </c>
      <c r="O5535">
        <v>6.1739093000000002E-2</v>
      </c>
      <c r="P5535">
        <v>2.9839458999999999E-2</v>
      </c>
      <c r="Q5535" t="str">
        <f t="shared" si="172"/>
        <v>15-24</v>
      </c>
      <c r="R5535" t="str">
        <f t="shared" si="173"/>
        <v>[ZCjuwgaMB9u]|15-24|Female|PLHIV_Residents.T|CY2025Q3</v>
      </c>
    </row>
    <row r="5536" spans="4:18" x14ac:dyDescent="0.2">
      <c r="D5536" t="s">
        <v>69</v>
      </c>
      <c r="E5536" t="s">
        <v>70</v>
      </c>
      <c r="F5536" t="s">
        <v>71</v>
      </c>
      <c r="G5536" t="s">
        <v>219</v>
      </c>
      <c r="H5536" t="s">
        <v>219</v>
      </c>
      <c r="I5536" t="s">
        <v>41</v>
      </c>
      <c r="J5536" t="s">
        <v>42</v>
      </c>
      <c r="K5536" t="s">
        <v>30</v>
      </c>
      <c r="L5536" t="s">
        <v>31</v>
      </c>
      <c r="M5536" t="s">
        <v>220</v>
      </c>
      <c r="N5536">
        <v>101</v>
      </c>
      <c r="O5536">
        <v>4.9630522000000003E-2</v>
      </c>
      <c r="P5536">
        <v>2.9839458999999999E-2</v>
      </c>
      <c r="Q5536" t="str">
        <f t="shared" si="172"/>
        <v>25-34</v>
      </c>
      <c r="R5536" t="str">
        <f t="shared" si="173"/>
        <v>[ZCjuwgaMB9u]|25-34|Female|PLHIV_Residents.T|CY2025Q3</v>
      </c>
    </row>
    <row r="5537" spans="4:18" x14ac:dyDescent="0.2">
      <c r="D5537" t="s">
        <v>69</v>
      </c>
      <c r="E5537" t="s">
        <v>70</v>
      </c>
      <c r="F5537" t="s">
        <v>71</v>
      </c>
      <c r="G5537" t="s">
        <v>219</v>
      </c>
      <c r="H5537" t="s">
        <v>219</v>
      </c>
      <c r="I5537" t="s">
        <v>43</v>
      </c>
      <c r="J5537" t="s">
        <v>44</v>
      </c>
      <c r="K5537" t="s">
        <v>30</v>
      </c>
      <c r="L5537" t="s">
        <v>31</v>
      </c>
      <c r="M5537" t="s">
        <v>220</v>
      </c>
      <c r="N5537">
        <v>281</v>
      </c>
      <c r="O5537">
        <v>3.4089253999999999E-2</v>
      </c>
      <c r="P5537">
        <v>2.9839458999999999E-2</v>
      </c>
      <c r="Q5537" t="str">
        <f t="shared" si="172"/>
        <v>35-49</v>
      </c>
      <c r="R5537" t="str">
        <f t="shared" si="173"/>
        <v>[ZCjuwgaMB9u]|35-49|Female|PLHIV_Residents.T|CY2025Q3</v>
      </c>
    </row>
    <row r="5538" spans="4:18" x14ac:dyDescent="0.2">
      <c r="D5538" t="s">
        <v>69</v>
      </c>
      <c r="E5538" t="s">
        <v>70</v>
      </c>
      <c r="F5538" t="s">
        <v>71</v>
      </c>
      <c r="G5538" t="s">
        <v>219</v>
      </c>
      <c r="H5538" t="s">
        <v>219</v>
      </c>
      <c r="I5538" t="s">
        <v>45</v>
      </c>
      <c r="J5538" t="s">
        <v>46</v>
      </c>
      <c r="K5538" t="s">
        <v>30</v>
      </c>
      <c r="L5538" t="s">
        <v>31</v>
      </c>
      <c r="M5538" t="s">
        <v>220</v>
      </c>
      <c r="N5538">
        <v>137</v>
      </c>
      <c r="O5538">
        <v>4.4038732999999997E-2</v>
      </c>
      <c r="P5538">
        <v>2.9839458999999999E-2</v>
      </c>
      <c r="Q5538" t="str">
        <f t="shared" si="172"/>
        <v>50+</v>
      </c>
      <c r="R5538" t="str">
        <f t="shared" si="173"/>
        <v>[ZCjuwgaMB9u]|50+|Female|PLHIV_Residents.T|CY2025Q3</v>
      </c>
    </row>
    <row r="5539" spans="4:18" x14ac:dyDescent="0.2">
      <c r="D5539" t="s">
        <v>69</v>
      </c>
      <c r="E5539" t="s">
        <v>70</v>
      </c>
      <c r="F5539" t="s">
        <v>71</v>
      </c>
      <c r="G5539" t="s">
        <v>219</v>
      </c>
      <c r="H5539" t="s">
        <v>219</v>
      </c>
      <c r="I5539" t="s">
        <v>28</v>
      </c>
      <c r="J5539" t="s">
        <v>29</v>
      </c>
      <c r="K5539" t="s">
        <v>48</v>
      </c>
      <c r="L5539" t="s">
        <v>49</v>
      </c>
      <c r="M5539" t="s">
        <v>220</v>
      </c>
      <c r="N5539">
        <v>0</v>
      </c>
      <c r="O5539">
        <v>3.5452507000000001E-2</v>
      </c>
      <c r="P5539">
        <v>2.9839458999999999E-2</v>
      </c>
      <c r="Q5539" t="str">
        <f t="shared" si="172"/>
        <v>&lt;01</v>
      </c>
      <c r="R5539" t="str">
        <f t="shared" si="173"/>
        <v>[ZCjuwgaMB9u]|&lt;01|Male|PLHIV_Residents.T|CY2025Q3</v>
      </c>
    </row>
    <row r="5540" spans="4:18" x14ac:dyDescent="0.2">
      <c r="D5540" t="s">
        <v>69</v>
      </c>
      <c r="E5540" t="s">
        <v>70</v>
      </c>
      <c r="F5540" t="s">
        <v>71</v>
      </c>
      <c r="G5540" t="s">
        <v>219</v>
      </c>
      <c r="H5540" t="s">
        <v>219</v>
      </c>
      <c r="I5540" t="s">
        <v>33</v>
      </c>
      <c r="J5540" t="s">
        <v>34</v>
      </c>
      <c r="K5540" t="s">
        <v>48</v>
      </c>
      <c r="L5540" t="s">
        <v>49</v>
      </c>
      <c r="M5540" t="s">
        <v>220</v>
      </c>
      <c r="N5540">
        <v>7</v>
      </c>
      <c r="O5540">
        <v>4.2209273999999998E-2</v>
      </c>
      <c r="P5540">
        <v>2.9839458999999999E-2</v>
      </c>
      <c r="Q5540" t="str">
        <f t="shared" si="172"/>
        <v>01-09</v>
      </c>
      <c r="R5540" t="str">
        <f t="shared" si="173"/>
        <v>[ZCjuwgaMB9u]|01-09|Male|PLHIV_Residents.T|CY2025Q3</v>
      </c>
    </row>
    <row r="5541" spans="4:18" x14ac:dyDescent="0.2">
      <c r="D5541" t="s">
        <v>69</v>
      </c>
      <c r="E5541" t="s">
        <v>70</v>
      </c>
      <c r="F5541" t="s">
        <v>71</v>
      </c>
      <c r="G5541" t="s">
        <v>219</v>
      </c>
      <c r="H5541" t="s">
        <v>219</v>
      </c>
      <c r="I5541" t="s">
        <v>36</v>
      </c>
      <c r="J5541" t="s">
        <v>37</v>
      </c>
      <c r="K5541" t="s">
        <v>48</v>
      </c>
      <c r="L5541" t="s">
        <v>49</v>
      </c>
      <c r="M5541" t="s">
        <v>220</v>
      </c>
      <c r="N5541">
        <v>9</v>
      </c>
      <c r="O5541">
        <v>5.522109E-2</v>
      </c>
      <c r="P5541">
        <v>2.9839458999999999E-2</v>
      </c>
      <c r="Q5541" t="str">
        <f t="shared" si="172"/>
        <v>10-14</v>
      </c>
      <c r="R5541" t="str">
        <f t="shared" si="173"/>
        <v>[ZCjuwgaMB9u]|10-14|Male|PLHIV_Residents.T|CY2025Q3</v>
      </c>
    </row>
    <row r="5542" spans="4:18" x14ac:dyDescent="0.2">
      <c r="D5542" t="s">
        <v>69</v>
      </c>
      <c r="E5542" t="s">
        <v>70</v>
      </c>
      <c r="F5542" t="s">
        <v>71</v>
      </c>
      <c r="G5542" t="s">
        <v>219</v>
      </c>
      <c r="H5542" t="s">
        <v>219</v>
      </c>
      <c r="I5542" t="s">
        <v>38</v>
      </c>
      <c r="J5542" t="s">
        <v>39</v>
      </c>
      <c r="K5542" t="s">
        <v>48</v>
      </c>
      <c r="L5542" t="s">
        <v>49</v>
      </c>
      <c r="M5542" t="s">
        <v>220</v>
      </c>
      <c r="N5542">
        <v>30</v>
      </c>
      <c r="O5542">
        <v>7.7005095999999995E-2</v>
      </c>
      <c r="P5542">
        <v>2.9839458999999999E-2</v>
      </c>
      <c r="Q5542" t="str">
        <f t="shared" si="172"/>
        <v>15-24</v>
      </c>
      <c r="R5542" t="str">
        <f t="shared" si="173"/>
        <v>[ZCjuwgaMB9u]|15-24|Male|PLHIV_Residents.T|CY2025Q3</v>
      </c>
    </row>
    <row r="5543" spans="4:18" x14ac:dyDescent="0.2">
      <c r="D5543" t="s">
        <v>69</v>
      </c>
      <c r="E5543" t="s">
        <v>70</v>
      </c>
      <c r="F5543" t="s">
        <v>71</v>
      </c>
      <c r="G5543" t="s">
        <v>219</v>
      </c>
      <c r="H5543" t="s">
        <v>219</v>
      </c>
      <c r="I5543" t="s">
        <v>41</v>
      </c>
      <c r="J5543" t="s">
        <v>42</v>
      </c>
      <c r="K5543" t="s">
        <v>48</v>
      </c>
      <c r="L5543" t="s">
        <v>49</v>
      </c>
      <c r="M5543" t="s">
        <v>220</v>
      </c>
      <c r="N5543">
        <v>50</v>
      </c>
      <c r="O5543">
        <v>7.6919188999999999E-2</v>
      </c>
      <c r="P5543">
        <v>2.9839458999999999E-2</v>
      </c>
      <c r="Q5543" t="str">
        <f t="shared" si="172"/>
        <v>25-34</v>
      </c>
      <c r="R5543" t="str">
        <f t="shared" si="173"/>
        <v>[ZCjuwgaMB9u]|25-34|Male|PLHIV_Residents.T|CY2025Q3</v>
      </c>
    </row>
    <row r="5544" spans="4:18" x14ac:dyDescent="0.2">
      <c r="D5544" t="s">
        <v>69</v>
      </c>
      <c r="E5544" t="s">
        <v>70</v>
      </c>
      <c r="F5544" t="s">
        <v>71</v>
      </c>
      <c r="G5544" t="s">
        <v>219</v>
      </c>
      <c r="H5544" t="s">
        <v>219</v>
      </c>
      <c r="I5544" t="s">
        <v>43</v>
      </c>
      <c r="J5544" t="s">
        <v>44</v>
      </c>
      <c r="K5544" t="s">
        <v>48</v>
      </c>
      <c r="L5544" t="s">
        <v>49</v>
      </c>
      <c r="M5544" t="s">
        <v>220</v>
      </c>
      <c r="N5544">
        <v>172</v>
      </c>
      <c r="O5544">
        <v>4.9715690999999999E-2</v>
      </c>
      <c r="P5544">
        <v>2.9839458999999999E-2</v>
      </c>
      <c r="Q5544" t="str">
        <f t="shared" si="172"/>
        <v>35-49</v>
      </c>
      <c r="R5544" t="str">
        <f t="shared" si="173"/>
        <v>[ZCjuwgaMB9u]|35-49|Male|PLHIV_Residents.T|CY2025Q3</v>
      </c>
    </row>
    <row r="5545" spans="4:18" x14ac:dyDescent="0.2">
      <c r="D5545" t="s">
        <v>69</v>
      </c>
      <c r="E5545" t="s">
        <v>70</v>
      </c>
      <c r="F5545" t="s">
        <v>71</v>
      </c>
      <c r="G5545" t="s">
        <v>219</v>
      </c>
      <c r="H5545" t="s">
        <v>219</v>
      </c>
      <c r="I5545" t="s">
        <v>45</v>
      </c>
      <c r="J5545" t="s">
        <v>46</v>
      </c>
      <c r="K5545" t="s">
        <v>48</v>
      </c>
      <c r="L5545" t="s">
        <v>49</v>
      </c>
      <c r="M5545" t="s">
        <v>220</v>
      </c>
      <c r="N5545">
        <v>119</v>
      </c>
      <c r="O5545">
        <v>4.6233659000000003E-2</v>
      </c>
      <c r="P5545">
        <v>2.9839458999999999E-2</v>
      </c>
      <c r="Q5545" t="str">
        <f t="shared" si="172"/>
        <v>50+</v>
      </c>
      <c r="R5545" t="str">
        <f t="shared" si="173"/>
        <v>[ZCjuwgaMB9u]|50+|Male|PLHIV_Residents.T|CY2025Q3</v>
      </c>
    </row>
    <row r="5546" spans="4:18" x14ac:dyDescent="0.2">
      <c r="D5546" t="s">
        <v>72</v>
      </c>
      <c r="E5546" t="s">
        <v>73</v>
      </c>
      <c r="F5546" t="s">
        <v>74</v>
      </c>
      <c r="G5546" t="s">
        <v>219</v>
      </c>
      <c r="H5546" t="s">
        <v>219</v>
      </c>
      <c r="I5546" t="s">
        <v>28</v>
      </c>
      <c r="J5546" t="s">
        <v>29</v>
      </c>
      <c r="K5546" t="s">
        <v>30</v>
      </c>
      <c r="L5546" t="s">
        <v>31</v>
      </c>
      <c r="M5546" t="s">
        <v>220</v>
      </c>
      <c r="N5546">
        <v>10</v>
      </c>
      <c r="O5546">
        <v>7.6804309000000001E-2</v>
      </c>
      <c r="P5546">
        <v>7.5246233999999995E-2</v>
      </c>
      <c r="Q5546" t="str">
        <f t="shared" si="172"/>
        <v>&lt;01</v>
      </c>
      <c r="R5546" t="str">
        <f t="shared" si="173"/>
        <v>[JQKLKuVuY61]|&lt;01|Female|PLHIV_Residents.T|CY2025Q3</v>
      </c>
    </row>
    <row r="5547" spans="4:18" x14ac:dyDescent="0.2">
      <c r="D5547" t="s">
        <v>72</v>
      </c>
      <c r="E5547" t="s">
        <v>73</v>
      </c>
      <c r="F5547" t="s">
        <v>74</v>
      </c>
      <c r="G5547" t="s">
        <v>219</v>
      </c>
      <c r="H5547" t="s">
        <v>219</v>
      </c>
      <c r="I5547" t="s">
        <v>33</v>
      </c>
      <c r="J5547" t="s">
        <v>34</v>
      </c>
      <c r="K5547" t="s">
        <v>30</v>
      </c>
      <c r="L5547" t="s">
        <v>31</v>
      </c>
      <c r="M5547" t="s">
        <v>220</v>
      </c>
      <c r="N5547">
        <v>182</v>
      </c>
      <c r="O5547">
        <v>7.9068935000000007E-2</v>
      </c>
      <c r="P5547">
        <v>7.5246233999999995E-2</v>
      </c>
      <c r="Q5547" t="str">
        <f t="shared" si="172"/>
        <v>01-09</v>
      </c>
      <c r="R5547" t="str">
        <f t="shared" si="173"/>
        <v>[JQKLKuVuY61]|01-09|Female|PLHIV_Residents.T|CY2025Q3</v>
      </c>
    </row>
    <row r="5548" spans="4:18" x14ac:dyDescent="0.2">
      <c r="D5548" t="s">
        <v>72</v>
      </c>
      <c r="E5548" t="s">
        <v>73</v>
      </c>
      <c r="F5548" t="s">
        <v>74</v>
      </c>
      <c r="G5548" t="s">
        <v>219</v>
      </c>
      <c r="H5548" t="s">
        <v>219</v>
      </c>
      <c r="I5548" t="s">
        <v>36</v>
      </c>
      <c r="J5548" t="s">
        <v>37</v>
      </c>
      <c r="K5548" t="s">
        <v>30</v>
      </c>
      <c r="L5548" t="s">
        <v>31</v>
      </c>
      <c r="M5548" t="s">
        <v>220</v>
      </c>
      <c r="N5548">
        <v>251</v>
      </c>
      <c r="O5548">
        <v>8.3533252000000002E-2</v>
      </c>
      <c r="P5548">
        <v>7.5246233999999995E-2</v>
      </c>
      <c r="Q5548" t="str">
        <f t="shared" si="172"/>
        <v>10-14</v>
      </c>
      <c r="R5548" t="str">
        <f t="shared" si="173"/>
        <v>[JQKLKuVuY61]|10-14|Female|PLHIV_Residents.T|CY2025Q3</v>
      </c>
    </row>
    <row r="5549" spans="4:18" x14ac:dyDescent="0.2">
      <c r="D5549" t="s">
        <v>72</v>
      </c>
      <c r="E5549" t="s">
        <v>73</v>
      </c>
      <c r="F5549" t="s">
        <v>74</v>
      </c>
      <c r="G5549" t="s">
        <v>219</v>
      </c>
      <c r="H5549" t="s">
        <v>219</v>
      </c>
      <c r="I5549" t="s">
        <v>38</v>
      </c>
      <c r="J5549" t="s">
        <v>39</v>
      </c>
      <c r="K5549" t="s">
        <v>30</v>
      </c>
      <c r="L5549" t="s">
        <v>31</v>
      </c>
      <c r="M5549" t="s">
        <v>220</v>
      </c>
      <c r="N5549">
        <v>903</v>
      </c>
      <c r="O5549">
        <v>9.2374942000000002E-2</v>
      </c>
      <c r="P5549">
        <v>7.5246233999999995E-2</v>
      </c>
      <c r="Q5549" t="str">
        <f t="shared" si="172"/>
        <v>15-24</v>
      </c>
      <c r="R5549" t="str">
        <f t="shared" si="173"/>
        <v>[JQKLKuVuY61]|15-24|Female|PLHIV_Residents.T|CY2025Q3</v>
      </c>
    </row>
    <row r="5550" spans="4:18" x14ac:dyDescent="0.2">
      <c r="D5550" t="s">
        <v>72</v>
      </c>
      <c r="E5550" t="s">
        <v>73</v>
      </c>
      <c r="F5550" t="s">
        <v>74</v>
      </c>
      <c r="G5550" t="s">
        <v>219</v>
      </c>
      <c r="H5550" t="s">
        <v>219</v>
      </c>
      <c r="I5550" t="s">
        <v>41</v>
      </c>
      <c r="J5550" t="s">
        <v>42</v>
      </c>
      <c r="K5550" t="s">
        <v>30</v>
      </c>
      <c r="L5550" t="s">
        <v>31</v>
      </c>
      <c r="M5550" t="s">
        <v>220</v>
      </c>
      <c r="N5550">
        <v>2077</v>
      </c>
      <c r="O5550">
        <v>8.5429219000000001E-2</v>
      </c>
      <c r="P5550">
        <v>7.5246233999999995E-2</v>
      </c>
      <c r="Q5550" t="str">
        <f t="shared" si="172"/>
        <v>25-34</v>
      </c>
      <c r="R5550" t="str">
        <f t="shared" si="173"/>
        <v>[JQKLKuVuY61]|25-34|Female|PLHIV_Residents.T|CY2025Q3</v>
      </c>
    </row>
    <row r="5551" spans="4:18" x14ac:dyDescent="0.2">
      <c r="D5551" t="s">
        <v>72</v>
      </c>
      <c r="E5551" t="s">
        <v>73</v>
      </c>
      <c r="F5551" t="s">
        <v>74</v>
      </c>
      <c r="G5551" t="s">
        <v>219</v>
      </c>
      <c r="H5551" t="s">
        <v>219</v>
      </c>
      <c r="I5551" t="s">
        <v>43</v>
      </c>
      <c r="J5551" t="s">
        <v>44</v>
      </c>
      <c r="K5551" t="s">
        <v>30</v>
      </c>
      <c r="L5551" t="s">
        <v>31</v>
      </c>
      <c r="M5551" t="s">
        <v>220</v>
      </c>
      <c r="N5551">
        <v>6074</v>
      </c>
      <c r="O5551">
        <v>7.6911357999999999E-2</v>
      </c>
      <c r="P5551">
        <v>7.5246233999999995E-2</v>
      </c>
      <c r="Q5551" t="str">
        <f t="shared" si="172"/>
        <v>35-49</v>
      </c>
      <c r="R5551" t="str">
        <f t="shared" si="173"/>
        <v>[JQKLKuVuY61]|35-49|Female|PLHIV_Residents.T|CY2025Q3</v>
      </c>
    </row>
    <row r="5552" spans="4:18" x14ac:dyDescent="0.2">
      <c r="D5552" t="s">
        <v>72</v>
      </c>
      <c r="E5552" t="s">
        <v>73</v>
      </c>
      <c r="F5552" t="s">
        <v>74</v>
      </c>
      <c r="G5552" t="s">
        <v>219</v>
      </c>
      <c r="H5552" t="s">
        <v>219</v>
      </c>
      <c r="I5552" t="s">
        <v>45</v>
      </c>
      <c r="J5552" t="s">
        <v>46</v>
      </c>
      <c r="K5552" t="s">
        <v>30</v>
      </c>
      <c r="L5552" t="s">
        <v>31</v>
      </c>
      <c r="M5552" t="s">
        <v>220</v>
      </c>
      <c r="N5552">
        <v>3079</v>
      </c>
      <c r="O5552">
        <v>8.2945973000000006E-2</v>
      </c>
      <c r="P5552">
        <v>7.5246233999999995E-2</v>
      </c>
      <c r="Q5552" t="str">
        <f t="shared" si="172"/>
        <v>50+</v>
      </c>
      <c r="R5552" t="str">
        <f t="shared" si="173"/>
        <v>[JQKLKuVuY61]|50+|Female|PLHIV_Residents.T|CY2025Q3</v>
      </c>
    </row>
    <row r="5553" spans="4:18" x14ac:dyDescent="0.2">
      <c r="D5553" t="s">
        <v>72</v>
      </c>
      <c r="E5553" t="s">
        <v>73</v>
      </c>
      <c r="F5553" t="s">
        <v>74</v>
      </c>
      <c r="G5553" t="s">
        <v>219</v>
      </c>
      <c r="H5553" t="s">
        <v>219</v>
      </c>
      <c r="I5553" t="s">
        <v>28</v>
      </c>
      <c r="J5553" t="s">
        <v>29</v>
      </c>
      <c r="K5553" t="s">
        <v>48</v>
      </c>
      <c r="L5553" t="s">
        <v>49</v>
      </c>
      <c r="M5553" t="s">
        <v>220</v>
      </c>
      <c r="N5553">
        <v>10</v>
      </c>
      <c r="O5553">
        <v>7.6800816999999993E-2</v>
      </c>
      <c r="P5553">
        <v>7.5246233999999995E-2</v>
      </c>
      <c r="Q5553" t="str">
        <f t="shared" si="172"/>
        <v>&lt;01</v>
      </c>
      <c r="R5553" t="str">
        <f t="shared" si="173"/>
        <v>[JQKLKuVuY61]|&lt;01|Male|PLHIV_Residents.T|CY2025Q3</v>
      </c>
    </row>
    <row r="5554" spans="4:18" x14ac:dyDescent="0.2">
      <c r="D5554" t="s">
        <v>72</v>
      </c>
      <c r="E5554" t="s">
        <v>73</v>
      </c>
      <c r="F5554" t="s">
        <v>74</v>
      </c>
      <c r="G5554" t="s">
        <v>219</v>
      </c>
      <c r="H5554" t="s">
        <v>219</v>
      </c>
      <c r="I5554" t="s">
        <v>33</v>
      </c>
      <c r="J5554" t="s">
        <v>34</v>
      </c>
      <c r="K5554" t="s">
        <v>48</v>
      </c>
      <c r="L5554" t="s">
        <v>49</v>
      </c>
      <c r="M5554" t="s">
        <v>220</v>
      </c>
      <c r="N5554">
        <v>183</v>
      </c>
      <c r="O5554">
        <v>7.9056884999999993E-2</v>
      </c>
      <c r="P5554">
        <v>7.5246233999999995E-2</v>
      </c>
      <c r="Q5554" t="str">
        <f t="shared" si="172"/>
        <v>01-09</v>
      </c>
      <c r="R5554" t="str">
        <f t="shared" si="173"/>
        <v>[JQKLKuVuY61]|01-09|Male|PLHIV_Residents.T|CY2025Q3</v>
      </c>
    </row>
    <row r="5555" spans="4:18" x14ac:dyDescent="0.2">
      <c r="D5555" t="s">
        <v>72</v>
      </c>
      <c r="E5555" t="s">
        <v>73</v>
      </c>
      <c r="F5555" t="s">
        <v>74</v>
      </c>
      <c r="G5555" t="s">
        <v>219</v>
      </c>
      <c r="H5555" t="s">
        <v>219</v>
      </c>
      <c r="I5555" t="s">
        <v>36</v>
      </c>
      <c r="J5555" t="s">
        <v>37</v>
      </c>
      <c r="K5555" t="s">
        <v>48</v>
      </c>
      <c r="L5555" t="s">
        <v>49</v>
      </c>
      <c r="M5555" t="s">
        <v>220</v>
      </c>
      <c r="N5555">
        <v>248</v>
      </c>
      <c r="O5555">
        <v>8.3529924000000005E-2</v>
      </c>
      <c r="P5555">
        <v>7.5246233999999995E-2</v>
      </c>
      <c r="Q5555" t="str">
        <f t="shared" si="172"/>
        <v>10-14</v>
      </c>
      <c r="R5555" t="str">
        <f t="shared" si="173"/>
        <v>[JQKLKuVuY61]|10-14|Male|PLHIV_Residents.T|CY2025Q3</v>
      </c>
    </row>
    <row r="5556" spans="4:18" x14ac:dyDescent="0.2">
      <c r="D5556" t="s">
        <v>72</v>
      </c>
      <c r="E5556" t="s">
        <v>73</v>
      </c>
      <c r="F5556" t="s">
        <v>74</v>
      </c>
      <c r="G5556" t="s">
        <v>219</v>
      </c>
      <c r="H5556" t="s">
        <v>219</v>
      </c>
      <c r="I5556" t="s">
        <v>38</v>
      </c>
      <c r="J5556" t="s">
        <v>39</v>
      </c>
      <c r="K5556" t="s">
        <v>48</v>
      </c>
      <c r="L5556" t="s">
        <v>49</v>
      </c>
      <c r="M5556" t="s">
        <v>220</v>
      </c>
      <c r="N5556">
        <v>669</v>
      </c>
      <c r="O5556">
        <v>9.5720166999999995E-2</v>
      </c>
      <c r="P5556">
        <v>7.5246233999999995E-2</v>
      </c>
      <c r="Q5556" t="str">
        <f t="shared" si="172"/>
        <v>15-24</v>
      </c>
      <c r="R5556" t="str">
        <f t="shared" si="173"/>
        <v>[JQKLKuVuY61]|15-24|Male|PLHIV_Residents.T|CY2025Q3</v>
      </c>
    </row>
    <row r="5557" spans="4:18" x14ac:dyDescent="0.2">
      <c r="D5557" t="s">
        <v>72</v>
      </c>
      <c r="E5557" t="s">
        <v>73</v>
      </c>
      <c r="F5557" t="s">
        <v>74</v>
      </c>
      <c r="G5557" t="s">
        <v>219</v>
      </c>
      <c r="H5557" t="s">
        <v>219</v>
      </c>
      <c r="I5557" t="s">
        <v>41</v>
      </c>
      <c r="J5557" t="s">
        <v>42</v>
      </c>
      <c r="K5557" t="s">
        <v>48</v>
      </c>
      <c r="L5557" t="s">
        <v>49</v>
      </c>
      <c r="M5557" t="s">
        <v>220</v>
      </c>
      <c r="N5557">
        <v>822</v>
      </c>
      <c r="O5557">
        <v>0.103330433</v>
      </c>
      <c r="P5557">
        <v>7.5246233999999995E-2</v>
      </c>
      <c r="Q5557" t="str">
        <f t="shared" si="172"/>
        <v>25-34</v>
      </c>
      <c r="R5557" t="str">
        <f t="shared" si="173"/>
        <v>[JQKLKuVuY61]|25-34|Male|PLHIV_Residents.T|CY2025Q3</v>
      </c>
    </row>
    <row r="5558" spans="4:18" x14ac:dyDescent="0.2">
      <c r="D5558" t="s">
        <v>72</v>
      </c>
      <c r="E5558" t="s">
        <v>73</v>
      </c>
      <c r="F5558" t="s">
        <v>74</v>
      </c>
      <c r="G5558" t="s">
        <v>219</v>
      </c>
      <c r="H5558" t="s">
        <v>219</v>
      </c>
      <c r="I5558" t="s">
        <v>43</v>
      </c>
      <c r="J5558" t="s">
        <v>44</v>
      </c>
      <c r="K5558" t="s">
        <v>48</v>
      </c>
      <c r="L5558" t="s">
        <v>49</v>
      </c>
      <c r="M5558" t="s">
        <v>220</v>
      </c>
      <c r="N5558">
        <v>3312</v>
      </c>
      <c r="O5558">
        <v>8.1435605999999994E-2</v>
      </c>
      <c r="P5558">
        <v>7.5246233999999995E-2</v>
      </c>
      <c r="Q5558" t="str">
        <f t="shared" si="172"/>
        <v>35-49</v>
      </c>
      <c r="R5558" t="str">
        <f t="shared" si="173"/>
        <v>[JQKLKuVuY61]|35-49|Male|PLHIV_Residents.T|CY2025Q3</v>
      </c>
    </row>
    <row r="5559" spans="4:18" x14ac:dyDescent="0.2">
      <c r="D5559" t="s">
        <v>72</v>
      </c>
      <c r="E5559" t="s">
        <v>73</v>
      </c>
      <c r="F5559" t="s">
        <v>74</v>
      </c>
      <c r="G5559" t="s">
        <v>219</v>
      </c>
      <c r="H5559" t="s">
        <v>219</v>
      </c>
      <c r="I5559" t="s">
        <v>45</v>
      </c>
      <c r="J5559" t="s">
        <v>46</v>
      </c>
      <c r="K5559" t="s">
        <v>48</v>
      </c>
      <c r="L5559" t="s">
        <v>49</v>
      </c>
      <c r="M5559" t="s">
        <v>220</v>
      </c>
      <c r="N5559">
        <v>2868</v>
      </c>
      <c r="O5559">
        <v>8.1237353999999998E-2</v>
      </c>
      <c r="P5559">
        <v>7.5246233999999995E-2</v>
      </c>
      <c r="Q5559" t="str">
        <f t="shared" si="172"/>
        <v>50+</v>
      </c>
      <c r="R5559" t="str">
        <f t="shared" si="173"/>
        <v>[JQKLKuVuY61]|50+|Male|PLHIV_Residents.T|CY2025Q3</v>
      </c>
    </row>
    <row r="5560" spans="4:18" x14ac:dyDescent="0.2">
      <c r="D5560" t="s">
        <v>75</v>
      </c>
      <c r="E5560" t="s">
        <v>76</v>
      </c>
      <c r="F5560" t="s">
        <v>77</v>
      </c>
      <c r="G5560" t="s">
        <v>219</v>
      </c>
      <c r="H5560" t="s">
        <v>219</v>
      </c>
      <c r="I5560" t="s">
        <v>28</v>
      </c>
      <c r="J5560" t="s">
        <v>29</v>
      </c>
      <c r="K5560" t="s">
        <v>30</v>
      </c>
      <c r="L5560" t="s">
        <v>31</v>
      </c>
      <c r="M5560" t="s">
        <v>220</v>
      </c>
      <c r="N5560">
        <v>7</v>
      </c>
      <c r="O5560">
        <v>8.5746137E-2</v>
      </c>
      <c r="P5560">
        <v>8.2232349999999996E-2</v>
      </c>
      <c r="Q5560" t="str">
        <f t="shared" si="172"/>
        <v>&lt;01</v>
      </c>
      <c r="R5560" t="str">
        <f t="shared" si="173"/>
        <v>[YCKiBAp8QAg]|&lt;01|Female|PLHIV_Residents.T|CY2025Q3</v>
      </c>
    </row>
    <row r="5561" spans="4:18" x14ac:dyDescent="0.2">
      <c r="D5561" t="s">
        <v>75</v>
      </c>
      <c r="E5561" t="s">
        <v>76</v>
      </c>
      <c r="F5561" t="s">
        <v>77</v>
      </c>
      <c r="G5561" t="s">
        <v>219</v>
      </c>
      <c r="H5561" t="s">
        <v>219</v>
      </c>
      <c r="I5561" t="s">
        <v>33</v>
      </c>
      <c r="J5561" t="s">
        <v>34</v>
      </c>
      <c r="K5561" t="s">
        <v>30</v>
      </c>
      <c r="L5561" t="s">
        <v>31</v>
      </c>
      <c r="M5561" t="s">
        <v>220</v>
      </c>
      <c r="N5561">
        <v>128</v>
      </c>
      <c r="O5561">
        <v>8.8992167999999996E-2</v>
      </c>
      <c r="P5561">
        <v>8.2232349999999996E-2</v>
      </c>
      <c r="Q5561" t="str">
        <f t="shared" si="172"/>
        <v>01-09</v>
      </c>
      <c r="R5561" t="str">
        <f t="shared" si="173"/>
        <v>[YCKiBAp8QAg]|01-09|Female|PLHIV_Residents.T|CY2025Q3</v>
      </c>
    </row>
    <row r="5562" spans="4:18" x14ac:dyDescent="0.2">
      <c r="D5562" t="s">
        <v>75</v>
      </c>
      <c r="E5562" t="s">
        <v>76</v>
      </c>
      <c r="F5562" t="s">
        <v>77</v>
      </c>
      <c r="G5562" t="s">
        <v>219</v>
      </c>
      <c r="H5562" t="s">
        <v>219</v>
      </c>
      <c r="I5562" t="s">
        <v>36</v>
      </c>
      <c r="J5562" t="s">
        <v>37</v>
      </c>
      <c r="K5562" t="s">
        <v>30</v>
      </c>
      <c r="L5562" t="s">
        <v>31</v>
      </c>
      <c r="M5562" t="s">
        <v>220</v>
      </c>
      <c r="N5562">
        <v>171</v>
      </c>
      <c r="O5562">
        <v>9.4868704999999998E-2</v>
      </c>
      <c r="P5562">
        <v>8.2232349999999996E-2</v>
      </c>
      <c r="Q5562" t="str">
        <f t="shared" si="172"/>
        <v>10-14</v>
      </c>
      <c r="R5562" t="str">
        <f t="shared" si="173"/>
        <v>[YCKiBAp8QAg]|10-14|Female|PLHIV_Residents.T|CY2025Q3</v>
      </c>
    </row>
    <row r="5563" spans="4:18" x14ac:dyDescent="0.2">
      <c r="D5563" t="s">
        <v>75</v>
      </c>
      <c r="E5563" t="s">
        <v>76</v>
      </c>
      <c r="F5563" t="s">
        <v>77</v>
      </c>
      <c r="G5563" t="s">
        <v>219</v>
      </c>
      <c r="H5563" t="s">
        <v>219</v>
      </c>
      <c r="I5563" t="s">
        <v>38</v>
      </c>
      <c r="J5563" t="s">
        <v>39</v>
      </c>
      <c r="K5563" t="s">
        <v>30</v>
      </c>
      <c r="L5563" t="s">
        <v>31</v>
      </c>
      <c r="M5563" t="s">
        <v>220</v>
      </c>
      <c r="N5563">
        <v>639</v>
      </c>
      <c r="O5563">
        <v>0.10288085299999999</v>
      </c>
      <c r="P5563">
        <v>8.2232349999999996E-2</v>
      </c>
      <c r="Q5563" t="str">
        <f t="shared" si="172"/>
        <v>15-24</v>
      </c>
      <c r="R5563" t="str">
        <f t="shared" si="173"/>
        <v>[YCKiBAp8QAg]|15-24|Female|PLHIV_Residents.T|CY2025Q3</v>
      </c>
    </row>
    <row r="5564" spans="4:18" x14ac:dyDescent="0.2">
      <c r="D5564" t="s">
        <v>75</v>
      </c>
      <c r="E5564" t="s">
        <v>76</v>
      </c>
      <c r="F5564" t="s">
        <v>77</v>
      </c>
      <c r="G5564" t="s">
        <v>219</v>
      </c>
      <c r="H5564" t="s">
        <v>219</v>
      </c>
      <c r="I5564" t="s">
        <v>41</v>
      </c>
      <c r="J5564" t="s">
        <v>42</v>
      </c>
      <c r="K5564" t="s">
        <v>30</v>
      </c>
      <c r="L5564" t="s">
        <v>31</v>
      </c>
      <c r="M5564" t="s">
        <v>220</v>
      </c>
      <c r="N5564">
        <v>1473</v>
      </c>
      <c r="O5564">
        <v>9.4015495000000004E-2</v>
      </c>
      <c r="P5564">
        <v>8.2232349999999996E-2</v>
      </c>
      <c r="Q5564" t="str">
        <f t="shared" si="172"/>
        <v>25-34</v>
      </c>
      <c r="R5564" t="str">
        <f t="shared" si="173"/>
        <v>[YCKiBAp8QAg]|25-34|Female|PLHIV_Residents.T|CY2025Q3</v>
      </c>
    </row>
    <row r="5565" spans="4:18" x14ac:dyDescent="0.2">
      <c r="D5565" t="s">
        <v>75</v>
      </c>
      <c r="E5565" t="s">
        <v>76</v>
      </c>
      <c r="F5565" t="s">
        <v>77</v>
      </c>
      <c r="G5565" t="s">
        <v>219</v>
      </c>
      <c r="H5565" t="s">
        <v>219</v>
      </c>
      <c r="I5565" t="s">
        <v>43</v>
      </c>
      <c r="J5565" t="s">
        <v>44</v>
      </c>
      <c r="K5565" t="s">
        <v>30</v>
      </c>
      <c r="L5565" t="s">
        <v>31</v>
      </c>
      <c r="M5565" t="s">
        <v>220</v>
      </c>
      <c r="N5565">
        <v>4060</v>
      </c>
      <c r="O5565">
        <v>8.3054099000000006E-2</v>
      </c>
      <c r="P5565">
        <v>8.2232349999999996E-2</v>
      </c>
      <c r="Q5565" t="str">
        <f t="shared" si="172"/>
        <v>35-49</v>
      </c>
      <c r="R5565" t="str">
        <f t="shared" si="173"/>
        <v>[YCKiBAp8QAg]|35-49|Female|PLHIV_Residents.T|CY2025Q3</v>
      </c>
    </row>
    <row r="5566" spans="4:18" x14ac:dyDescent="0.2">
      <c r="D5566" t="s">
        <v>75</v>
      </c>
      <c r="E5566" t="s">
        <v>76</v>
      </c>
      <c r="F5566" t="s">
        <v>77</v>
      </c>
      <c r="G5566" t="s">
        <v>219</v>
      </c>
      <c r="H5566" t="s">
        <v>219</v>
      </c>
      <c r="I5566" t="s">
        <v>45</v>
      </c>
      <c r="J5566" t="s">
        <v>46</v>
      </c>
      <c r="K5566" t="s">
        <v>30</v>
      </c>
      <c r="L5566" t="s">
        <v>31</v>
      </c>
      <c r="M5566" t="s">
        <v>220</v>
      </c>
      <c r="N5566">
        <v>1959</v>
      </c>
      <c r="O5566">
        <v>8.6299794999999999E-2</v>
      </c>
      <c r="P5566">
        <v>8.2232349999999996E-2</v>
      </c>
      <c r="Q5566" t="str">
        <f t="shared" si="172"/>
        <v>50+</v>
      </c>
      <c r="R5566" t="str">
        <f t="shared" si="173"/>
        <v>[YCKiBAp8QAg]|50+|Female|PLHIV_Residents.T|CY2025Q3</v>
      </c>
    </row>
    <row r="5567" spans="4:18" x14ac:dyDescent="0.2">
      <c r="D5567" t="s">
        <v>75</v>
      </c>
      <c r="E5567" t="s">
        <v>76</v>
      </c>
      <c r="F5567" t="s">
        <v>77</v>
      </c>
      <c r="G5567" t="s">
        <v>219</v>
      </c>
      <c r="H5567" t="s">
        <v>219</v>
      </c>
      <c r="I5567" t="s">
        <v>28</v>
      </c>
      <c r="J5567" t="s">
        <v>29</v>
      </c>
      <c r="K5567" t="s">
        <v>48</v>
      </c>
      <c r="L5567" t="s">
        <v>49</v>
      </c>
      <c r="M5567" t="s">
        <v>220</v>
      </c>
      <c r="N5567">
        <v>7</v>
      </c>
      <c r="O5567">
        <v>8.5742306000000004E-2</v>
      </c>
      <c r="P5567">
        <v>8.2232349999999996E-2</v>
      </c>
      <c r="Q5567" t="str">
        <f t="shared" si="172"/>
        <v>&lt;01</v>
      </c>
      <c r="R5567" t="str">
        <f t="shared" si="173"/>
        <v>[YCKiBAp8QAg]|&lt;01|Male|PLHIV_Residents.T|CY2025Q3</v>
      </c>
    </row>
    <row r="5568" spans="4:18" x14ac:dyDescent="0.2">
      <c r="D5568" t="s">
        <v>75</v>
      </c>
      <c r="E5568" t="s">
        <v>76</v>
      </c>
      <c r="F5568" t="s">
        <v>77</v>
      </c>
      <c r="G5568" t="s">
        <v>219</v>
      </c>
      <c r="H5568" t="s">
        <v>219</v>
      </c>
      <c r="I5568" t="s">
        <v>33</v>
      </c>
      <c r="J5568" t="s">
        <v>34</v>
      </c>
      <c r="K5568" t="s">
        <v>48</v>
      </c>
      <c r="L5568" t="s">
        <v>49</v>
      </c>
      <c r="M5568" t="s">
        <v>220</v>
      </c>
      <c r="N5568">
        <v>130</v>
      </c>
      <c r="O5568">
        <v>8.8986228000000001E-2</v>
      </c>
      <c r="P5568">
        <v>8.2232349999999996E-2</v>
      </c>
      <c r="Q5568" t="str">
        <f t="shared" si="172"/>
        <v>01-09</v>
      </c>
      <c r="R5568" t="str">
        <f t="shared" si="173"/>
        <v>[YCKiBAp8QAg]|01-09|Male|PLHIV_Residents.T|CY2025Q3</v>
      </c>
    </row>
    <row r="5569" spans="4:18" x14ac:dyDescent="0.2">
      <c r="D5569" t="s">
        <v>75</v>
      </c>
      <c r="E5569" t="s">
        <v>76</v>
      </c>
      <c r="F5569" t="s">
        <v>77</v>
      </c>
      <c r="G5569" t="s">
        <v>219</v>
      </c>
      <c r="H5569" t="s">
        <v>219</v>
      </c>
      <c r="I5569" t="s">
        <v>36</v>
      </c>
      <c r="J5569" t="s">
        <v>37</v>
      </c>
      <c r="K5569" t="s">
        <v>48</v>
      </c>
      <c r="L5569" t="s">
        <v>49</v>
      </c>
      <c r="M5569" t="s">
        <v>220</v>
      </c>
      <c r="N5569">
        <v>171</v>
      </c>
      <c r="O5569">
        <v>9.4866016999999997E-2</v>
      </c>
      <c r="P5569">
        <v>8.2232349999999996E-2</v>
      </c>
      <c r="Q5569" t="str">
        <f t="shared" si="172"/>
        <v>10-14</v>
      </c>
      <c r="R5569" t="str">
        <f t="shared" si="173"/>
        <v>[YCKiBAp8QAg]|10-14|Male|PLHIV_Residents.T|CY2025Q3</v>
      </c>
    </row>
    <row r="5570" spans="4:18" x14ac:dyDescent="0.2">
      <c r="D5570" t="s">
        <v>75</v>
      </c>
      <c r="E5570" t="s">
        <v>76</v>
      </c>
      <c r="F5570" t="s">
        <v>77</v>
      </c>
      <c r="G5570" t="s">
        <v>219</v>
      </c>
      <c r="H5570" t="s">
        <v>219</v>
      </c>
      <c r="I5570" t="s">
        <v>38</v>
      </c>
      <c r="J5570" t="s">
        <v>39</v>
      </c>
      <c r="K5570" t="s">
        <v>48</v>
      </c>
      <c r="L5570" t="s">
        <v>49</v>
      </c>
      <c r="M5570" t="s">
        <v>220</v>
      </c>
      <c r="N5570">
        <v>475</v>
      </c>
      <c r="O5570">
        <v>0.106246613</v>
      </c>
      <c r="P5570">
        <v>8.2232349999999996E-2</v>
      </c>
      <c r="Q5570" t="str">
        <f t="shared" si="172"/>
        <v>15-24</v>
      </c>
      <c r="R5570" t="str">
        <f t="shared" si="173"/>
        <v>[YCKiBAp8QAg]|15-24|Male|PLHIV_Residents.T|CY2025Q3</v>
      </c>
    </row>
    <row r="5571" spans="4:18" x14ac:dyDescent="0.2">
      <c r="D5571" t="s">
        <v>75</v>
      </c>
      <c r="E5571" t="s">
        <v>76</v>
      </c>
      <c r="F5571" t="s">
        <v>77</v>
      </c>
      <c r="G5571" t="s">
        <v>219</v>
      </c>
      <c r="H5571" t="s">
        <v>219</v>
      </c>
      <c r="I5571" t="s">
        <v>41</v>
      </c>
      <c r="J5571" t="s">
        <v>42</v>
      </c>
      <c r="K5571" t="s">
        <v>48</v>
      </c>
      <c r="L5571" t="s">
        <v>49</v>
      </c>
      <c r="M5571" t="s">
        <v>220</v>
      </c>
      <c r="N5571">
        <v>585</v>
      </c>
      <c r="O5571">
        <v>0.108438958</v>
      </c>
      <c r="P5571">
        <v>8.2232349999999996E-2</v>
      </c>
      <c r="Q5571" t="str">
        <f t="shared" ref="Q5571:Q5634" si="174">SUBSTITUTE(SUBSTITUTE($I5571,CHAR(61),""),CHAR(34),"")</f>
        <v>25-34</v>
      </c>
      <c r="R5571" t="str">
        <f t="shared" ref="R5571:R5634" si="175">IF($D5571&lt;&gt;"","["&amp;$E5571&amp;"]"&amp;"|"&amp;$Q5571&amp;"|"&amp;$K5571&amp;"|"&amp;$G5571&amp;"|"&amp;IF($G5571="TX_CURR_SUBNAT.R","CY2023Q4",$M5571),"")</f>
        <v>[YCKiBAp8QAg]|25-34|Male|PLHIV_Residents.T|CY2025Q3</v>
      </c>
    </row>
    <row r="5572" spans="4:18" x14ac:dyDescent="0.2">
      <c r="D5572" t="s">
        <v>75</v>
      </c>
      <c r="E5572" t="s">
        <v>76</v>
      </c>
      <c r="F5572" t="s">
        <v>77</v>
      </c>
      <c r="G5572" t="s">
        <v>219</v>
      </c>
      <c r="H5572" t="s">
        <v>219</v>
      </c>
      <c r="I5572" t="s">
        <v>43</v>
      </c>
      <c r="J5572" t="s">
        <v>44</v>
      </c>
      <c r="K5572" t="s">
        <v>48</v>
      </c>
      <c r="L5572" t="s">
        <v>49</v>
      </c>
      <c r="M5572" t="s">
        <v>220</v>
      </c>
      <c r="N5572">
        <v>2243</v>
      </c>
      <c r="O5572">
        <v>8.8817711999999993E-2</v>
      </c>
      <c r="P5572">
        <v>8.2232349999999996E-2</v>
      </c>
      <c r="Q5572" t="str">
        <f t="shared" si="174"/>
        <v>35-49</v>
      </c>
      <c r="R5572" t="str">
        <f t="shared" si="175"/>
        <v>[YCKiBAp8QAg]|35-49|Male|PLHIV_Residents.T|CY2025Q3</v>
      </c>
    </row>
    <row r="5573" spans="4:18" x14ac:dyDescent="0.2">
      <c r="D5573" t="s">
        <v>75</v>
      </c>
      <c r="E5573" t="s">
        <v>76</v>
      </c>
      <c r="F5573" t="s">
        <v>77</v>
      </c>
      <c r="G5573" t="s">
        <v>219</v>
      </c>
      <c r="H5573" t="s">
        <v>219</v>
      </c>
      <c r="I5573" t="s">
        <v>45</v>
      </c>
      <c r="J5573" t="s">
        <v>46</v>
      </c>
      <c r="K5573" t="s">
        <v>48</v>
      </c>
      <c r="L5573" t="s">
        <v>49</v>
      </c>
      <c r="M5573" t="s">
        <v>220</v>
      </c>
      <c r="N5573">
        <v>1922</v>
      </c>
      <c r="O5573">
        <v>8.4487514999999999E-2</v>
      </c>
      <c r="P5573">
        <v>8.2232349999999996E-2</v>
      </c>
      <c r="Q5573" t="str">
        <f t="shared" si="174"/>
        <v>50+</v>
      </c>
      <c r="R5573" t="str">
        <f t="shared" si="175"/>
        <v>[YCKiBAp8QAg]|50+|Male|PLHIV_Residents.T|CY2025Q3</v>
      </c>
    </row>
    <row r="5574" spans="4:18" x14ac:dyDescent="0.2">
      <c r="D5574" t="s">
        <v>78</v>
      </c>
      <c r="E5574" t="s">
        <v>79</v>
      </c>
      <c r="F5574" t="s">
        <v>80</v>
      </c>
      <c r="G5574" t="s">
        <v>219</v>
      </c>
      <c r="H5574" t="s">
        <v>219</v>
      </c>
      <c r="I5574" t="s">
        <v>28</v>
      </c>
      <c r="J5574" t="s">
        <v>29</v>
      </c>
      <c r="K5574" t="s">
        <v>30</v>
      </c>
      <c r="L5574" t="s">
        <v>31</v>
      </c>
      <c r="M5574" t="s">
        <v>220</v>
      </c>
      <c r="N5574">
        <v>2</v>
      </c>
      <c r="O5574">
        <v>0.10159148699999999</v>
      </c>
      <c r="P5574">
        <v>9.8074574999999997E-2</v>
      </c>
      <c r="Q5574" t="str">
        <f t="shared" si="174"/>
        <v>&lt;01</v>
      </c>
      <c r="R5574" t="str">
        <f t="shared" si="175"/>
        <v>[fiRkU6gEjLz]|&lt;01|Female|PLHIV_Residents.T|CY2025Q3</v>
      </c>
    </row>
    <row r="5575" spans="4:18" x14ac:dyDescent="0.2">
      <c r="D5575" t="s">
        <v>78</v>
      </c>
      <c r="E5575" t="s">
        <v>79</v>
      </c>
      <c r="F5575" t="s">
        <v>80</v>
      </c>
      <c r="G5575" t="s">
        <v>219</v>
      </c>
      <c r="H5575" t="s">
        <v>219</v>
      </c>
      <c r="I5575" t="s">
        <v>33</v>
      </c>
      <c r="J5575" t="s">
        <v>34</v>
      </c>
      <c r="K5575" t="s">
        <v>30</v>
      </c>
      <c r="L5575" t="s">
        <v>31</v>
      </c>
      <c r="M5575" t="s">
        <v>220</v>
      </c>
      <c r="N5575">
        <v>45</v>
      </c>
      <c r="O5575">
        <v>0.105494983</v>
      </c>
      <c r="P5575">
        <v>9.8074574999999997E-2</v>
      </c>
      <c r="Q5575" t="str">
        <f t="shared" si="174"/>
        <v>01-09</v>
      </c>
      <c r="R5575" t="str">
        <f t="shared" si="175"/>
        <v>[fiRkU6gEjLz]|01-09|Female|PLHIV_Residents.T|CY2025Q3</v>
      </c>
    </row>
    <row r="5576" spans="4:18" x14ac:dyDescent="0.2">
      <c r="D5576" t="s">
        <v>78</v>
      </c>
      <c r="E5576" t="s">
        <v>79</v>
      </c>
      <c r="F5576" t="s">
        <v>80</v>
      </c>
      <c r="G5576" t="s">
        <v>219</v>
      </c>
      <c r="H5576" t="s">
        <v>219</v>
      </c>
      <c r="I5576" t="s">
        <v>36</v>
      </c>
      <c r="J5576" t="s">
        <v>37</v>
      </c>
      <c r="K5576" t="s">
        <v>30</v>
      </c>
      <c r="L5576" t="s">
        <v>31</v>
      </c>
      <c r="M5576" t="s">
        <v>220</v>
      </c>
      <c r="N5576">
        <v>59</v>
      </c>
      <c r="O5576">
        <v>0.112656303</v>
      </c>
      <c r="P5576">
        <v>9.8074574999999997E-2</v>
      </c>
      <c r="Q5576" t="str">
        <f t="shared" si="174"/>
        <v>10-14</v>
      </c>
      <c r="R5576" t="str">
        <f t="shared" si="175"/>
        <v>[fiRkU6gEjLz]|10-14|Female|PLHIV_Residents.T|CY2025Q3</v>
      </c>
    </row>
    <row r="5577" spans="4:18" x14ac:dyDescent="0.2">
      <c r="D5577" t="s">
        <v>78</v>
      </c>
      <c r="E5577" t="s">
        <v>79</v>
      </c>
      <c r="F5577" t="s">
        <v>80</v>
      </c>
      <c r="G5577" t="s">
        <v>219</v>
      </c>
      <c r="H5577" t="s">
        <v>219</v>
      </c>
      <c r="I5577" t="s">
        <v>38</v>
      </c>
      <c r="J5577" t="s">
        <v>39</v>
      </c>
      <c r="K5577" t="s">
        <v>30</v>
      </c>
      <c r="L5577" t="s">
        <v>31</v>
      </c>
      <c r="M5577" t="s">
        <v>220</v>
      </c>
      <c r="N5577">
        <v>221</v>
      </c>
      <c r="O5577">
        <v>0.113011977</v>
      </c>
      <c r="P5577">
        <v>9.8074574999999997E-2</v>
      </c>
      <c r="Q5577" t="str">
        <f t="shared" si="174"/>
        <v>15-24</v>
      </c>
      <c r="R5577" t="str">
        <f t="shared" si="175"/>
        <v>[fiRkU6gEjLz]|15-24|Female|PLHIV_Residents.T|CY2025Q3</v>
      </c>
    </row>
    <row r="5578" spans="4:18" x14ac:dyDescent="0.2">
      <c r="D5578" t="s">
        <v>78</v>
      </c>
      <c r="E5578" t="s">
        <v>79</v>
      </c>
      <c r="F5578" t="s">
        <v>80</v>
      </c>
      <c r="G5578" t="s">
        <v>219</v>
      </c>
      <c r="H5578" t="s">
        <v>219</v>
      </c>
      <c r="I5578" t="s">
        <v>41</v>
      </c>
      <c r="J5578" t="s">
        <v>42</v>
      </c>
      <c r="K5578" t="s">
        <v>30</v>
      </c>
      <c r="L5578" t="s">
        <v>31</v>
      </c>
      <c r="M5578" t="s">
        <v>220</v>
      </c>
      <c r="N5578">
        <v>518</v>
      </c>
      <c r="O5578">
        <v>0.10854941</v>
      </c>
      <c r="P5578">
        <v>9.8074574999999997E-2</v>
      </c>
      <c r="Q5578" t="str">
        <f t="shared" si="174"/>
        <v>25-34</v>
      </c>
      <c r="R5578" t="str">
        <f t="shared" si="175"/>
        <v>[fiRkU6gEjLz]|25-34|Female|PLHIV_Residents.T|CY2025Q3</v>
      </c>
    </row>
    <row r="5579" spans="4:18" x14ac:dyDescent="0.2">
      <c r="D5579" t="s">
        <v>78</v>
      </c>
      <c r="E5579" t="s">
        <v>79</v>
      </c>
      <c r="F5579" t="s">
        <v>80</v>
      </c>
      <c r="G5579" t="s">
        <v>219</v>
      </c>
      <c r="H5579" t="s">
        <v>219</v>
      </c>
      <c r="I5579" t="s">
        <v>43</v>
      </c>
      <c r="J5579" t="s">
        <v>44</v>
      </c>
      <c r="K5579" t="s">
        <v>30</v>
      </c>
      <c r="L5579" t="s">
        <v>31</v>
      </c>
      <c r="M5579" t="s">
        <v>220</v>
      </c>
      <c r="N5579">
        <v>1520</v>
      </c>
      <c r="O5579">
        <v>9.9405964999999999E-2</v>
      </c>
      <c r="P5579">
        <v>9.8074574999999997E-2</v>
      </c>
      <c r="Q5579" t="str">
        <f t="shared" si="174"/>
        <v>35-49</v>
      </c>
      <c r="R5579" t="str">
        <f t="shared" si="175"/>
        <v>[fiRkU6gEjLz]|35-49|Female|PLHIV_Residents.T|CY2025Q3</v>
      </c>
    </row>
    <row r="5580" spans="4:18" x14ac:dyDescent="0.2">
      <c r="D5580" t="s">
        <v>78</v>
      </c>
      <c r="E5580" t="s">
        <v>79</v>
      </c>
      <c r="F5580" t="s">
        <v>80</v>
      </c>
      <c r="G5580" t="s">
        <v>219</v>
      </c>
      <c r="H5580" t="s">
        <v>219</v>
      </c>
      <c r="I5580" t="s">
        <v>45</v>
      </c>
      <c r="J5580" t="s">
        <v>46</v>
      </c>
      <c r="K5580" t="s">
        <v>30</v>
      </c>
      <c r="L5580" t="s">
        <v>31</v>
      </c>
      <c r="M5580" t="s">
        <v>220</v>
      </c>
      <c r="N5580">
        <v>807</v>
      </c>
      <c r="O5580">
        <v>0.10442359900000001</v>
      </c>
      <c r="P5580">
        <v>9.8074574999999997E-2</v>
      </c>
      <c r="Q5580" t="str">
        <f t="shared" si="174"/>
        <v>50+</v>
      </c>
      <c r="R5580" t="str">
        <f t="shared" si="175"/>
        <v>[fiRkU6gEjLz]|50+|Female|PLHIV_Residents.T|CY2025Q3</v>
      </c>
    </row>
    <row r="5581" spans="4:18" x14ac:dyDescent="0.2">
      <c r="D5581" t="s">
        <v>78</v>
      </c>
      <c r="E5581" t="s">
        <v>79</v>
      </c>
      <c r="F5581" t="s">
        <v>80</v>
      </c>
      <c r="G5581" t="s">
        <v>219</v>
      </c>
      <c r="H5581" t="s">
        <v>219</v>
      </c>
      <c r="I5581" t="s">
        <v>28</v>
      </c>
      <c r="J5581" t="s">
        <v>29</v>
      </c>
      <c r="K5581" t="s">
        <v>48</v>
      </c>
      <c r="L5581" t="s">
        <v>49</v>
      </c>
      <c r="M5581" t="s">
        <v>220</v>
      </c>
      <c r="N5581">
        <v>2</v>
      </c>
      <c r="O5581">
        <v>0.10157621</v>
      </c>
      <c r="P5581">
        <v>9.8074574999999997E-2</v>
      </c>
      <c r="Q5581" t="str">
        <f t="shared" si="174"/>
        <v>&lt;01</v>
      </c>
      <c r="R5581" t="str">
        <f t="shared" si="175"/>
        <v>[fiRkU6gEjLz]|&lt;01|Male|PLHIV_Residents.T|CY2025Q3</v>
      </c>
    </row>
    <row r="5582" spans="4:18" x14ac:dyDescent="0.2">
      <c r="D5582" t="s">
        <v>78</v>
      </c>
      <c r="E5582" t="s">
        <v>79</v>
      </c>
      <c r="F5582" t="s">
        <v>80</v>
      </c>
      <c r="G5582" t="s">
        <v>219</v>
      </c>
      <c r="H5582" t="s">
        <v>219</v>
      </c>
      <c r="I5582" t="s">
        <v>33</v>
      </c>
      <c r="J5582" t="s">
        <v>34</v>
      </c>
      <c r="K5582" t="s">
        <v>48</v>
      </c>
      <c r="L5582" t="s">
        <v>49</v>
      </c>
      <c r="M5582" t="s">
        <v>220</v>
      </c>
      <c r="N5582">
        <v>45</v>
      </c>
      <c r="O5582">
        <v>0.105479161</v>
      </c>
      <c r="P5582">
        <v>9.8074574999999997E-2</v>
      </c>
      <c r="Q5582" t="str">
        <f t="shared" si="174"/>
        <v>01-09</v>
      </c>
      <c r="R5582" t="str">
        <f t="shared" si="175"/>
        <v>[fiRkU6gEjLz]|01-09|Male|PLHIV_Residents.T|CY2025Q3</v>
      </c>
    </row>
    <row r="5583" spans="4:18" x14ac:dyDescent="0.2">
      <c r="D5583" t="s">
        <v>78</v>
      </c>
      <c r="E5583" t="s">
        <v>79</v>
      </c>
      <c r="F5583" t="s">
        <v>80</v>
      </c>
      <c r="G5583" t="s">
        <v>219</v>
      </c>
      <c r="H5583" t="s">
        <v>219</v>
      </c>
      <c r="I5583" t="s">
        <v>36</v>
      </c>
      <c r="J5583" t="s">
        <v>37</v>
      </c>
      <c r="K5583" t="s">
        <v>48</v>
      </c>
      <c r="L5583" t="s">
        <v>49</v>
      </c>
      <c r="M5583" t="s">
        <v>220</v>
      </c>
      <c r="N5583">
        <v>59</v>
      </c>
      <c r="O5583">
        <v>0.112654061</v>
      </c>
      <c r="P5583">
        <v>9.8074574999999997E-2</v>
      </c>
      <c r="Q5583" t="str">
        <f t="shared" si="174"/>
        <v>10-14</v>
      </c>
      <c r="R5583" t="str">
        <f t="shared" si="175"/>
        <v>[fiRkU6gEjLz]|10-14|Male|PLHIV_Residents.T|CY2025Q3</v>
      </c>
    </row>
    <row r="5584" spans="4:18" x14ac:dyDescent="0.2">
      <c r="D5584" t="s">
        <v>78</v>
      </c>
      <c r="E5584" t="s">
        <v>79</v>
      </c>
      <c r="F5584" t="s">
        <v>80</v>
      </c>
      <c r="G5584" t="s">
        <v>219</v>
      </c>
      <c r="H5584" t="s">
        <v>219</v>
      </c>
      <c r="I5584" t="s">
        <v>38</v>
      </c>
      <c r="J5584" t="s">
        <v>39</v>
      </c>
      <c r="K5584" t="s">
        <v>48</v>
      </c>
      <c r="L5584" t="s">
        <v>49</v>
      </c>
      <c r="M5584" t="s">
        <v>220</v>
      </c>
      <c r="N5584">
        <v>168</v>
      </c>
      <c r="O5584">
        <v>0.11719109</v>
      </c>
      <c r="P5584">
        <v>9.8074574999999997E-2</v>
      </c>
      <c r="Q5584" t="str">
        <f t="shared" si="174"/>
        <v>15-24</v>
      </c>
      <c r="R5584" t="str">
        <f t="shared" si="175"/>
        <v>[fiRkU6gEjLz]|15-24|Male|PLHIV_Residents.T|CY2025Q3</v>
      </c>
    </row>
    <row r="5585" spans="4:18" x14ac:dyDescent="0.2">
      <c r="D5585" t="s">
        <v>78</v>
      </c>
      <c r="E5585" t="s">
        <v>79</v>
      </c>
      <c r="F5585" t="s">
        <v>80</v>
      </c>
      <c r="G5585" t="s">
        <v>219</v>
      </c>
      <c r="H5585" t="s">
        <v>219</v>
      </c>
      <c r="I5585" t="s">
        <v>41</v>
      </c>
      <c r="J5585" t="s">
        <v>42</v>
      </c>
      <c r="K5585" t="s">
        <v>48</v>
      </c>
      <c r="L5585" t="s">
        <v>49</v>
      </c>
      <c r="M5585" t="s">
        <v>220</v>
      </c>
      <c r="N5585">
        <v>220</v>
      </c>
      <c r="O5585">
        <v>0.121050058</v>
      </c>
      <c r="P5585">
        <v>9.8074574999999997E-2</v>
      </c>
      <c r="Q5585" t="str">
        <f t="shared" si="174"/>
        <v>25-34</v>
      </c>
      <c r="R5585" t="str">
        <f t="shared" si="175"/>
        <v>[fiRkU6gEjLz]|25-34|Male|PLHIV_Residents.T|CY2025Q3</v>
      </c>
    </row>
    <row r="5586" spans="4:18" x14ac:dyDescent="0.2">
      <c r="D5586" t="s">
        <v>78</v>
      </c>
      <c r="E5586" t="s">
        <v>79</v>
      </c>
      <c r="F5586" t="s">
        <v>80</v>
      </c>
      <c r="G5586" t="s">
        <v>219</v>
      </c>
      <c r="H5586" t="s">
        <v>219</v>
      </c>
      <c r="I5586" t="s">
        <v>43</v>
      </c>
      <c r="J5586" t="s">
        <v>44</v>
      </c>
      <c r="K5586" t="s">
        <v>48</v>
      </c>
      <c r="L5586" t="s">
        <v>49</v>
      </c>
      <c r="M5586" t="s">
        <v>220</v>
      </c>
      <c r="N5586">
        <v>870</v>
      </c>
      <c r="O5586">
        <v>0.104064301</v>
      </c>
      <c r="P5586">
        <v>9.8074574999999997E-2</v>
      </c>
      <c r="Q5586" t="str">
        <f t="shared" si="174"/>
        <v>35-49</v>
      </c>
      <c r="R5586" t="str">
        <f t="shared" si="175"/>
        <v>[fiRkU6gEjLz]|35-49|Male|PLHIV_Residents.T|CY2025Q3</v>
      </c>
    </row>
    <row r="5587" spans="4:18" x14ac:dyDescent="0.2">
      <c r="D5587" t="s">
        <v>78</v>
      </c>
      <c r="E5587" t="s">
        <v>79</v>
      </c>
      <c r="F5587" t="s">
        <v>80</v>
      </c>
      <c r="G5587" t="s">
        <v>219</v>
      </c>
      <c r="H5587" t="s">
        <v>219</v>
      </c>
      <c r="I5587" t="s">
        <v>45</v>
      </c>
      <c r="J5587" t="s">
        <v>46</v>
      </c>
      <c r="K5587" t="s">
        <v>48</v>
      </c>
      <c r="L5587" t="s">
        <v>49</v>
      </c>
      <c r="M5587" t="s">
        <v>220</v>
      </c>
      <c r="N5587">
        <v>741</v>
      </c>
      <c r="O5587">
        <v>0.101492919</v>
      </c>
      <c r="P5587">
        <v>9.8074574999999997E-2</v>
      </c>
      <c r="Q5587" t="str">
        <f t="shared" si="174"/>
        <v>50+</v>
      </c>
      <c r="R5587" t="str">
        <f t="shared" si="175"/>
        <v>[fiRkU6gEjLz]|50+|Male|PLHIV_Residents.T|CY2025Q3</v>
      </c>
    </row>
    <row r="5588" spans="4:18" x14ac:dyDescent="0.2">
      <c r="D5588" t="s">
        <v>81</v>
      </c>
      <c r="E5588" t="s">
        <v>82</v>
      </c>
      <c r="F5588" t="s">
        <v>83</v>
      </c>
      <c r="G5588" t="s">
        <v>219</v>
      </c>
      <c r="H5588" t="s">
        <v>219</v>
      </c>
      <c r="I5588" t="s">
        <v>28</v>
      </c>
      <c r="J5588" t="s">
        <v>29</v>
      </c>
      <c r="K5588" t="s">
        <v>30</v>
      </c>
      <c r="L5588" t="s">
        <v>31</v>
      </c>
      <c r="M5588" t="s">
        <v>220</v>
      </c>
      <c r="N5588">
        <v>7</v>
      </c>
      <c r="O5588">
        <v>8.8721176999999998E-2</v>
      </c>
      <c r="P5588">
        <v>8.5232314000000003E-2</v>
      </c>
      <c r="Q5588" t="str">
        <f t="shared" si="174"/>
        <v>&lt;01</v>
      </c>
      <c r="R5588" t="str">
        <f t="shared" si="175"/>
        <v>[zphK9WV8JB4]|&lt;01|Female|PLHIV_Residents.T|CY2025Q3</v>
      </c>
    </row>
    <row r="5589" spans="4:18" x14ac:dyDescent="0.2">
      <c r="D5589" t="s">
        <v>81</v>
      </c>
      <c r="E5589" t="s">
        <v>82</v>
      </c>
      <c r="F5589" t="s">
        <v>83</v>
      </c>
      <c r="G5589" t="s">
        <v>219</v>
      </c>
      <c r="H5589" t="s">
        <v>219</v>
      </c>
      <c r="I5589" t="s">
        <v>33</v>
      </c>
      <c r="J5589" t="s">
        <v>34</v>
      </c>
      <c r="K5589" t="s">
        <v>30</v>
      </c>
      <c r="L5589" t="s">
        <v>31</v>
      </c>
      <c r="M5589" t="s">
        <v>220</v>
      </c>
      <c r="N5589">
        <v>123</v>
      </c>
      <c r="O5589">
        <v>9.3012076999999999E-2</v>
      </c>
      <c r="P5589">
        <v>8.5232314000000003E-2</v>
      </c>
      <c r="Q5589" t="str">
        <f t="shared" si="174"/>
        <v>01-09</v>
      </c>
      <c r="R5589" t="str">
        <f t="shared" si="175"/>
        <v>[zphK9WV8JB4]|01-09|Female|PLHIV_Residents.T|CY2025Q3</v>
      </c>
    </row>
    <row r="5590" spans="4:18" x14ac:dyDescent="0.2">
      <c r="D5590" t="s">
        <v>81</v>
      </c>
      <c r="E5590" t="s">
        <v>82</v>
      </c>
      <c r="F5590" t="s">
        <v>83</v>
      </c>
      <c r="G5590" t="s">
        <v>219</v>
      </c>
      <c r="H5590" t="s">
        <v>219</v>
      </c>
      <c r="I5590" t="s">
        <v>36</v>
      </c>
      <c r="J5590" t="s">
        <v>37</v>
      </c>
      <c r="K5590" t="s">
        <v>30</v>
      </c>
      <c r="L5590" t="s">
        <v>31</v>
      </c>
      <c r="M5590" t="s">
        <v>220</v>
      </c>
      <c r="N5590">
        <v>164</v>
      </c>
      <c r="O5590">
        <v>0.100947906</v>
      </c>
      <c r="P5590">
        <v>8.5232314000000003E-2</v>
      </c>
      <c r="Q5590" t="str">
        <f t="shared" si="174"/>
        <v>10-14</v>
      </c>
      <c r="R5590" t="str">
        <f t="shared" si="175"/>
        <v>[zphK9WV8JB4]|10-14|Female|PLHIV_Residents.T|CY2025Q3</v>
      </c>
    </row>
    <row r="5591" spans="4:18" x14ac:dyDescent="0.2">
      <c r="D5591" t="s">
        <v>81</v>
      </c>
      <c r="E5591" t="s">
        <v>82</v>
      </c>
      <c r="F5591" t="s">
        <v>83</v>
      </c>
      <c r="G5591" t="s">
        <v>219</v>
      </c>
      <c r="H5591" t="s">
        <v>219</v>
      </c>
      <c r="I5591" t="s">
        <v>38</v>
      </c>
      <c r="J5591" t="s">
        <v>39</v>
      </c>
      <c r="K5591" t="s">
        <v>30</v>
      </c>
      <c r="L5591" t="s">
        <v>31</v>
      </c>
      <c r="M5591" t="s">
        <v>220</v>
      </c>
      <c r="N5591">
        <v>636</v>
      </c>
      <c r="O5591">
        <v>0.10242773199999999</v>
      </c>
      <c r="P5591">
        <v>8.5232314000000003E-2</v>
      </c>
      <c r="Q5591" t="str">
        <f t="shared" si="174"/>
        <v>15-24</v>
      </c>
      <c r="R5591" t="str">
        <f t="shared" si="175"/>
        <v>[zphK9WV8JB4]|15-24|Female|PLHIV_Residents.T|CY2025Q3</v>
      </c>
    </row>
    <row r="5592" spans="4:18" x14ac:dyDescent="0.2">
      <c r="D5592" t="s">
        <v>81</v>
      </c>
      <c r="E5592" t="s">
        <v>82</v>
      </c>
      <c r="F5592" t="s">
        <v>83</v>
      </c>
      <c r="G5592" t="s">
        <v>219</v>
      </c>
      <c r="H5592" t="s">
        <v>219</v>
      </c>
      <c r="I5592" t="s">
        <v>41</v>
      </c>
      <c r="J5592" t="s">
        <v>42</v>
      </c>
      <c r="K5592" t="s">
        <v>30</v>
      </c>
      <c r="L5592" t="s">
        <v>31</v>
      </c>
      <c r="M5592" t="s">
        <v>220</v>
      </c>
      <c r="N5592">
        <v>1530</v>
      </c>
      <c r="O5592">
        <v>9.5310732999999995E-2</v>
      </c>
      <c r="P5592">
        <v>8.5232314000000003E-2</v>
      </c>
      <c r="Q5592" t="str">
        <f t="shared" si="174"/>
        <v>25-34</v>
      </c>
      <c r="R5592" t="str">
        <f t="shared" si="175"/>
        <v>[zphK9WV8JB4]|25-34|Female|PLHIV_Residents.T|CY2025Q3</v>
      </c>
    </row>
    <row r="5593" spans="4:18" x14ac:dyDescent="0.2">
      <c r="D5593" t="s">
        <v>81</v>
      </c>
      <c r="E5593" t="s">
        <v>82</v>
      </c>
      <c r="F5593" t="s">
        <v>83</v>
      </c>
      <c r="G5593" t="s">
        <v>219</v>
      </c>
      <c r="H5593" t="s">
        <v>219</v>
      </c>
      <c r="I5593" t="s">
        <v>43</v>
      </c>
      <c r="J5593" t="s">
        <v>44</v>
      </c>
      <c r="K5593" t="s">
        <v>30</v>
      </c>
      <c r="L5593" t="s">
        <v>31</v>
      </c>
      <c r="M5593" t="s">
        <v>220</v>
      </c>
      <c r="N5593">
        <v>4506</v>
      </c>
      <c r="O5593">
        <v>8.6275027000000004E-2</v>
      </c>
      <c r="P5593">
        <v>8.5232314000000003E-2</v>
      </c>
      <c r="Q5593" t="str">
        <f t="shared" si="174"/>
        <v>35-49</v>
      </c>
      <c r="R5593" t="str">
        <f t="shared" si="175"/>
        <v>[zphK9WV8JB4]|35-49|Female|PLHIV_Residents.T|CY2025Q3</v>
      </c>
    </row>
    <row r="5594" spans="4:18" x14ac:dyDescent="0.2">
      <c r="D5594" t="s">
        <v>81</v>
      </c>
      <c r="E5594" t="s">
        <v>82</v>
      </c>
      <c r="F5594" t="s">
        <v>83</v>
      </c>
      <c r="G5594" t="s">
        <v>219</v>
      </c>
      <c r="H5594" t="s">
        <v>219</v>
      </c>
      <c r="I5594" t="s">
        <v>45</v>
      </c>
      <c r="J5594" t="s">
        <v>46</v>
      </c>
      <c r="K5594" t="s">
        <v>30</v>
      </c>
      <c r="L5594" t="s">
        <v>31</v>
      </c>
      <c r="M5594" t="s">
        <v>220</v>
      </c>
      <c r="N5594">
        <v>2476</v>
      </c>
      <c r="O5594">
        <v>9.2742907999999999E-2</v>
      </c>
      <c r="P5594">
        <v>8.5232314000000003E-2</v>
      </c>
      <c r="Q5594" t="str">
        <f t="shared" si="174"/>
        <v>50+</v>
      </c>
      <c r="R5594" t="str">
        <f t="shared" si="175"/>
        <v>[zphK9WV8JB4]|50+|Female|PLHIV_Residents.T|CY2025Q3</v>
      </c>
    </row>
    <row r="5595" spans="4:18" x14ac:dyDescent="0.2">
      <c r="D5595" t="s">
        <v>81</v>
      </c>
      <c r="E5595" t="s">
        <v>82</v>
      </c>
      <c r="F5595" t="s">
        <v>83</v>
      </c>
      <c r="G5595" t="s">
        <v>219</v>
      </c>
      <c r="H5595" t="s">
        <v>219</v>
      </c>
      <c r="I5595" t="s">
        <v>28</v>
      </c>
      <c r="J5595" t="s">
        <v>29</v>
      </c>
      <c r="K5595" t="s">
        <v>48</v>
      </c>
      <c r="L5595" t="s">
        <v>49</v>
      </c>
      <c r="M5595" t="s">
        <v>220</v>
      </c>
      <c r="N5595">
        <v>7</v>
      </c>
      <c r="O5595">
        <v>8.8724400999999994E-2</v>
      </c>
      <c r="P5595">
        <v>8.5232314000000003E-2</v>
      </c>
      <c r="Q5595" t="str">
        <f t="shared" si="174"/>
        <v>&lt;01</v>
      </c>
      <c r="R5595" t="str">
        <f t="shared" si="175"/>
        <v>[zphK9WV8JB4]|&lt;01|Male|PLHIV_Residents.T|CY2025Q3</v>
      </c>
    </row>
    <row r="5596" spans="4:18" x14ac:dyDescent="0.2">
      <c r="D5596" t="s">
        <v>81</v>
      </c>
      <c r="E5596" t="s">
        <v>82</v>
      </c>
      <c r="F5596" t="s">
        <v>83</v>
      </c>
      <c r="G5596" t="s">
        <v>219</v>
      </c>
      <c r="H5596" t="s">
        <v>219</v>
      </c>
      <c r="I5596" t="s">
        <v>33</v>
      </c>
      <c r="J5596" t="s">
        <v>34</v>
      </c>
      <c r="K5596" t="s">
        <v>48</v>
      </c>
      <c r="L5596" t="s">
        <v>49</v>
      </c>
      <c r="M5596" t="s">
        <v>220</v>
      </c>
      <c r="N5596">
        <v>124</v>
      </c>
      <c r="O5596">
        <v>9.3010423999999994E-2</v>
      </c>
      <c r="P5596">
        <v>8.5232314000000003E-2</v>
      </c>
      <c r="Q5596" t="str">
        <f t="shared" si="174"/>
        <v>01-09</v>
      </c>
      <c r="R5596" t="str">
        <f t="shared" si="175"/>
        <v>[zphK9WV8JB4]|01-09|Male|PLHIV_Residents.T|CY2025Q3</v>
      </c>
    </row>
    <row r="5597" spans="4:18" x14ac:dyDescent="0.2">
      <c r="D5597" t="s">
        <v>81</v>
      </c>
      <c r="E5597" t="s">
        <v>82</v>
      </c>
      <c r="F5597" t="s">
        <v>83</v>
      </c>
      <c r="G5597" t="s">
        <v>219</v>
      </c>
      <c r="H5597" t="s">
        <v>219</v>
      </c>
      <c r="I5597" t="s">
        <v>36</v>
      </c>
      <c r="J5597" t="s">
        <v>37</v>
      </c>
      <c r="K5597" t="s">
        <v>48</v>
      </c>
      <c r="L5597" t="s">
        <v>49</v>
      </c>
      <c r="M5597" t="s">
        <v>220</v>
      </c>
      <c r="N5597">
        <v>164</v>
      </c>
      <c r="O5597">
        <v>0.10094470699999999</v>
      </c>
      <c r="P5597">
        <v>8.5232314000000003E-2</v>
      </c>
      <c r="Q5597" t="str">
        <f t="shared" si="174"/>
        <v>10-14</v>
      </c>
      <c r="R5597" t="str">
        <f t="shared" si="175"/>
        <v>[zphK9WV8JB4]|10-14|Male|PLHIV_Residents.T|CY2025Q3</v>
      </c>
    </row>
    <row r="5598" spans="4:18" x14ac:dyDescent="0.2">
      <c r="D5598" t="s">
        <v>81</v>
      </c>
      <c r="E5598" t="s">
        <v>82</v>
      </c>
      <c r="F5598" t="s">
        <v>83</v>
      </c>
      <c r="G5598" t="s">
        <v>219</v>
      </c>
      <c r="H5598" t="s">
        <v>219</v>
      </c>
      <c r="I5598" t="s">
        <v>38</v>
      </c>
      <c r="J5598" t="s">
        <v>39</v>
      </c>
      <c r="K5598" t="s">
        <v>48</v>
      </c>
      <c r="L5598" t="s">
        <v>49</v>
      </c>
      <c r="M5598" t="s">
        <v>220</v>
      </c>
      <c r="N5598">
        <v>487</v>
      </c>
      <c r="O5598">
        <v>0.108934273</v>
      </c>
      <c r="P5598">
        <v>8.5232314000000003E-2</v>
      </c>
      <c r="Q5598" t="str">
        <f t="shared" si="174"/>
        <v>15-24</v>
      </c>
      <c r="R5598" t="str">
        <f t="shared" si="175"/>
        <v>[zphK9WV8JB4]|15-24|Male|PLHIV_Residents.T|CY2025Q3</v>
      </c>
    </row>
    <row r="5599" spans="4:18" x14ac:dyDescent="0.2">
      <c r="D5599" t="s">
        <v>81</v>
      </c>
      <c r="E5599" t="s">
        <v>82</v>
      </c>
      <c r="F5599" t="s">
        <v>83</v>
      </c>
      <c r="G5599" t="s">
        <v>219</v>
      </c>
      <c r="H5599" t="s">
        <v>219</v>
      </c>
      <c r="I5599" t="s">
        <v>41</v>
      </c>
      <c r="J5599" t="s">
        <v>42</v>
      </c>
      <c r="K5599" t="s">
        <v>48</v>
      </c>
      <c r="L5599" t="s">
        <v>49</v>
      </c>
      <c r="M5599" t="s">
        <v>220</v>
      </c>
      <c r="N5599">
        <v>666</v>
      </c>
      <c r="O5599">
        <v>0.11176844800000001</v>
      </c>
      <c r="P5599">
        <v>8.5232314000000003E-2</v>
      </c>
      <c r="Q5599" t="str">
        <f t="shared" si="174"/>
        <v>25-34</v>
      </c>
      <c r="R5599" t="str">
        <f t="shared" si="175"/>
        <v>[zphK9WV8JB4]|25-34|Male|PLHIV_Residents.T|CY2025Q3</v>
      </c>
    </row>
    <row r="5600" spans="4:18" x14ac:dyDescent="0.2">
      <c r="D5600" t="s">
        <v>81</v>
      </c>
      <c r="E5600" t="s">
        <v>82</v>
      </c>
      <c r="F5600" t="s">
        <v>83</v>
      </c>
      <c r="G5600" t="s">
        <v>219</v>
      </c>
      <c r="H5600" t="s">
        <v>219</v>
      </c>
      <c r="I5600" t="s">
        <v>43</v>
      </c>
      <c r="J5600" t="s">
        <v>44</v>
      </c>
      <c r="K5600" t="s">
        <v>48</v>
      </c>
      <c r="L5600" t="s">
        <v>49</v>
      </c>
      <c r="M5600" t="s">
        <v>220</v>
      </c>
      <c r="N5600">
        <v>2620</v>
      </c>
      <c r="O5600">
        <v>9.2711648999999993E-2</v>
      </c>
      <c r="P5600">
        <v>8.5232314000000003E-2</v>
      </c>
      <c r="Q5600" t="str">
        <f t="shared" si="174"/>
        <v>35-49</v>
      </c>
      <c r="R5600" t="str">
        <f t="shared" si="175"/>
        <v>[zphK9WV8JB4]|35-49|Male|PLHIV_Residents.T|CY2025Q3</v>
      </c>
    </row>
    <row r="5601" spans="4:18" x14ac:dyDescent="0.2">
      <c r="D5601" t="s">
        <v>81</v>
      </c>
      <c r="E5601" t="s">
        <v>82</v>
      </c>
      <c r="F5601" t="s">
        <v>83</v>
      </c>
      <c r="G5601" t="s">
        <v>219</v>
      </c>
      <c r="H5601" t="s">
        <v>219</v>
      </c>
      <c r="I5601" t="s">
        <v>45</v>
      </c>
      <c r="J5601" t="s">
        <v>46</v>
      </c>
      <c r="K5601" t="s">
        <v>48</v>
      </c>
      <c r="L5601" t="s">
        <v>49</v>
      </c>
      <c r="M5601" t="s">
        <v>220</v>
      </c>
      <c r="N5601">
        <v>2316</v>
      </c>
      <c r="O5601">
        <v>8.6485030000000004E-2</v>
      </c>
      <c r="P5601">
        <v>8.5232314000000003E-2</v>
      </c>
      <c r="Q5601" t="str">
        <f t="shared" si="174"/>
        <v>50+</v>
      </c>
      <c r="R5601" t="str">
        <f t="shared" si="175"/>
        <v>[zphK9WV8JB4]|50+|Male|PLHIV_Residents.T|CY2025Q3</v>
      </c>
    </row>
    <row r="5602" spans="4:18" x14ac:dyDescent="0.2">
      <c r="D5602" t="s">
        <v>84</v>
      </c>
      <c r="E5602" t="s">
        <v>85</v>
      </c>
      <c r="F5602" t="s">
        <v>86</v>
      </c>
      <c r="G5602" t="s">
        <v>219</v>
      </c>
      <c r="H5602" t="s">
        <v>219</v>
      </c>
      <c r="I5602" t="s">
        <v>28</v>
      </c>
      <c r="J5602" t="s">
        <v>29</v>
      </c>
      <c r="K5602" t="s">
        <v>30</v>
      </c>
      <c r="L5602" t="s">
        <v>31</v>
      </c>
      <c r="M5602" t="s">
        <v>220</v>
      </c>
      <c r="N5602">
        <v>10</v>
      </c>
      <c r="O5602">
        <v>6.9991655999999999E-2</v>
      </c>
      <c r="P5602">
        <v>6.8041217000000001E-2</v>
      </c>
      <c r="Q5602" t="str">
        <f t="shared" si="174"/>
        <v>&lt;01</v>
      </c>
      <c r="R5602" t="str">
        <f t="shared" si="175"/>
        <v>[msW2zpIN7up]|&lt;01|Female|PLHIV_Residents.T|CY2025Q3</v>
      </c>
    </row>
    <row r="5603" spans="4:18" x14ac:dyDescent="0.2">
      <c r="D5603" t="s">
        <v>84</v>
      </c>
      <c r="E5603" t="s">
        <v>85</v>
      </c>
      <c r="F5603" t="s">
        <v>86</v>
      </c>
      <c r="G5603" t="s">
        <v>219</v>
      </c>
      <c r="H5603" t="s">
        <v>219</v>
      </c>
      <c r="I5603" t="s">
        <v>33</v>
      </c>
      <c r="J5603" t="s">
        <v>34</v>
      </c>
      <c r="K5603" t="s">
        <v>30</v>
      </c>
      <c r="L5603" t="s">
        <v>31</v>
      </c>
      <c r="M5603" t="s">
        <v>220</v>
      </c>
      <c r="N5603">
        <v>198</v>
      </c>
      <c r="O5603">
        <v>7.3291788999999996E-2</v>
      </c>
      <c r="P5603">
        <v>6.8041217000000001E-2</v>
      </c>
      <c r="Q5603" t="str">
        <f t="shared" si="174"/>
        <v>01-09</v>
      </c>
      <c r="R5603" t="str">
        <f t="shared" si="175"/>
        <v>[msW2zpIN7up]|01-09|Female|PLHIV_Residents.T|CY2025Q3</v>
      </c>
    </row>
    <row r="5604" spans="4:18" x14ac:dyDescent="0.2">
      <c r="D5604" t="s">
        <v>84</v>
      </c>
      <c r="E5604" t="s">
        <v>85</v>
      </c>
      <c r="F5604" t="s">
        <v>86</v>
      </c>
      <c r="G5604" t="s">
        <v>219</v>
      </c>
      <c r="H5604" t="s">
        <v>219</v>
      </c>
      <c r="I5604" t="s">
        <v>36</v>
      </c>
      <c r="J5604" t="s">
        <v>37</v>
      </c>
      <c r="K5604" t="s">
        <v>30</v>
      </c>
      <c r="L5604" t="s">
        <v>31</v>
      </c>
      <c r="M5604" t="s">
        <v>220</v>
      </c>
      <c r="N5604">
        <v>260</v>
      </c>
      <c r="O5604">
        <v>7.9263967000000005E-2</v>
      </c>
      <c r="P5604">
        <v>6.8041217000000001E-2</v>
      </c>
      <c r="Q5604" t="str">
        <f t="shared" si="174"/>
        <v>10-14</v>
      </c>
      <c r="R5604" t="str">
        <f t="shared" si="175"/>
        <v>[msW2zpIN7up]|10-14|Female|PLHIV_Residents.T|CY2025Q3</v>
      </c>
    </row>
    <row r="5605" spans="4:18" x14ac:dyDescent="0.2">
      <c r="D5605" t="s">
        <v>84</v>
      </c>
      <c r="E5605" t="s">
        <v>85</v>
      </c>
      <c r="F5605" t="s">
        <v>86</v>
      </c>
      <c r="G5605" t="s">
        <v>219</v>
      </c>
      <c r="H5605" t="s">
        <v>219</v>
      </c>
      <c r="I5605" t="s">
        <v>38</v>
      </c>
      <c r="J5605" t="s">
        <v>39</v>
      </c>
      <c r="K5605" t="s">
        <v>30</v>
      </c>
      <c r="L5605" t="s">
        <v>31</v>
      </c>
      <c r="M5605" t="s">
        <v>220</v>
      </c>
      <c r="N5605">
        <v>946</v>
      </c>
      <c r="O5605">
        <v>9.0117713000000002E-2</v>
      </c>
      <c r="P5605">
        <v>6.8041217000000001E-2</v>
      </c>
      <c r="Q5605" t="str">
        <f t="shared" si="174"/>
        <v>15-24</v>
      </c>
      <c r="R5605" t="str">
        <f t="shared" si="175"/>
        <v>[msW2zpIN7up]|15-24|Female|PLHIV_Residents.T|CY2025Q3</v>
      </c>
    </row>
    <row r="5606" spans="4:18" x14ac:dyDescent="0.2">
      <c r="D5606" t="s">
        <v>84</v>
      </c>
      <c r="E5606" t="s">
        <v>85</v>
      </c>
      <c r="F5606" t="s">
        <v>86</v>
      </c>
      <c r="G5606" t="s">
        <v>219</v>
      </c>
      <c r="H5606" t="s">
        <v>219</v>
      </c>
      <c r="I5606" t="s">
        <v>41</v>
      </c>
      <c r="J5606" t="s">
        <v>42</v>
      </c>
      <c r="K5606" t="s">
        <v>30</v>
      </c>
      <c r="L5606" t="s">
        <v>31</v>
      </c>
      <c r="M5606" t="s">
        <v>220</v>
      </c>
      <c r="N5606">
        <v>2260</v>
      </c>
      <c r="O5606">
        <v>8.0463465999999997E-2</v>
      </c>
      <c r="P5606">
        <v>6.8041217000000001E-2</v>
      </c>
      <c r="Q5606" t="str">
        <f t="shared" si="174"/>
        <v>25-34</v>
      </c>
      <c r="R5606" t="str">
        <f t="shared" si="175"/>
        <v>[msW2zpIN7up]|25-34|Female|PLHIV_Residents.T|CY2025Q3</v>
      </c>
    </row>
    <row r="5607" spans="4:18" x14ac:dyDescent="0.2">
      <c r="D5607" t="s">
        <v>84</v>
      </c>
      <c r="E5607" t="s">
        <v>85</v>
      </c>
      <c r="F5607" t="s">
        <v>86</v>
      </c>
      <c r="G5607" t="s">
        <v>219</v>
      </c>
      <c r="H5607" t="s">
        <v>219</v>
      </c>
      <c r="I5607" t="s">
        <v>43</v>
      </c>
      <c r="J5607" t="s">
        <v>44</v>
      </c>
      <c r="K5607" t="s">
        <v>30</v>
      </c>
      <c r="L5607" t="s">
        <v>31</v>
      </c>
      <c r="M5607" t="s">
        <v>220</v>
      </c>
      <c r="N5607">
        <v>6214</v>
      </c>
      <c r="O5607">
        <v>6.7379566000000002E-2</v>
      </c>
      <c r="P5607">
        <v>6.8041217000000001E-2</v>
      </c>
      <c r="Q5607" t="str">
        <f t="shared" si="174"/>
        <v>35-49</v>
      </c>
      <c r="R5607" t="str">
        <f t="shared" si="175"/>
        <v>[msW2zpIN7up]|35-49|Female|PLHIV_Residents.T|CY2025Q3</v>
      </c>
    </row>
    <row r="5608" spans="4:18" x14ac:dyDescent="0.2">
      <c r="D5608" t="s">
        <v>84</v>
      </c>
      <c r="E5608" t="s">
        <v>85</v>
      </c>
      <c r="F5608" t="s">
        <v>86</v>
      </c>
      <c r="G5608" t="s">
        <v>219</v>
      </c>
      <c r="H5608" t="s">
        <v>219</v>
      </c>
      <c r="I5608" t="s">
        <v>45</v>
      </c>
      <c r="J5608" t="s">
        <v>46</v>
      </c>
      <c r="K5608" t="s">
        <v>30</v>
      </c>
      <c r="L5608" t="s">
        <v>31</v>
      </c>
      <c r="M5608" t="s">
        <v>220</v>
      </c>
      <c r="N5608">
        <v>3038</v>
      </c>
      <c r="O5608">
        <v>7.3042919999999997E-2</v>
      </c>
      <c r="P5608">
        <v>6.8041217000000001E-2</v>
      </c>
      <c r="Q5608" t="str">
        <f t="shared" si="174"/>
        <v>50+</v>
      </c>
      <c r="R5608" t="str">
        <f t="shared" si="175"/>
        <v>[msW2zpIN7up]|50+|Female|PLHIV_Residents.T|CY2025Q3</v>
      </c>
    </row>
    <row r="5609" spans="4:18" x14ac:dyDescent="0.2">
      <c r="D5609" t="s">
        <v>84</v>
      </c>
      <c r="E5609" t="s">
        <v>85</v>
      </c>
      <c r="F5609" t="s">
        <v>86</v>
      </c>
      <c r="G5609" t="s">
        <v>219</v>
      </c>
      <c r="H5609" t="s">
        <v>219</v>
      </c>
      <c r="I5609" t="s">
        <v>28</v>
      </c>
      <c r="J5609" t="s">
        <v>29</v>
      </c>
      <c r="K5609" t="s">
        <v>48</v>
      </c>
      <c r="L5609" t="s">
        <v>49</v>
      </c>
      <c r="M5609" t="s">
        <v>220</v>
      </c>
      <c r="N5609">
        <v>11</v>
      </c>
      <c r="O5609">
        <v>7.0000586000000004E-2</v>
      </c>
      <c r="P5609">
        <v>6.8041217000000001E-2</v>
      </c>
      <c r="Q5609" t="str">
        <f t="shared" si="174"/>
        <v>&lt;01</v>
      </c>
      <c r="R5609" t="str">
        <f t="shared" si="175"/>
        <v>[msW2zpIN7up]|&lt;01|Male|PLHIV_Residents.T|CY2025Q3</v>
      </c>
    </row>
    <row r="5610" spans="4:18" x14ac:dyDescent="0.2">
      <c r="D5610" t="s">
        <v>84</v>
      </c>
      <c r="E5610" t="s">
        <v>85</v>
      </c>
      <c r="F5610" t="s">
        <v>86</v>
      </c>
      <c r="G5610" t="s">
        <v>219</v>
      </c>
      <c r="H5610" t="s">
        <v>219</v>
      </c>
      <c r="I5610" t="s">
        <v>33</v>
      </c>
      <c r="J5610" t="s">
        <v>34</v>
      </c>
      <c r="K5610" t="s">
        <v>48</v>
      </c>
      <c r="L5610" t="s">
        <v>49</v>
      </c>
      <c r="M5610" t="s">
        <v>220</v>
      </c>
      <c r="N5610">
        <v>200</v>
      </c>
      <c r="O5610">
        <v>7.3294575000000001E-2</v>
      </c>
      <c r="P5610">
        <v>6.8041217000000001E-2</v>
      </c>
      <c r="Q5610" t="str">
        <f t="shared" si="174"/>
        <v>01-09</v>
      </c>
      <c r="R5610" t="str">
        <f t="shared" si="175"/>
        <v>[msW2zpIN7up]|01-09|Male|PLHIV_Residents.T|CY2025Q3</v>
      </c>
    </row>
    <row r="5611" spans="4:18" x14ac:dyDescent="0.2">
      <c r="D5611" t="s">
        <v>84</v>
      </c>
      <c r="E5611" t="s">
        <v>85</v>
      </c>
      <c r="F5611" t="s">
        <v>86</v>
      </c>
      <c r="G5611" t="s">
        <v>219</v>
      </c>
      <c r="H5611" t="s">
        <v>219</v>
      </c>
      <c r="I5611" t="s">
        <v>36</v>
      </c>
      <c r="J5611" t="s">
        <v>37</v>
      </c>
      <c r="K5611" t="s">
        <v>48</v>
      </c>
      <c r="L5611" t="s">
        <v>49</v>
      </c>
      <c r="M5611" t="s">
        <v>220</v>
      </c>
      <c r="N5611">
        <v>261</v>
      </c>
      <c r="O5611">
        <v>7.9261829000000006E-2</v>
      </c>
      <c r="P5611">
        <v>6.8041217000000001E-2</v>
      </c>
      <c r="Q5611" t="str">
        <f t="shared" si="174"/>
        <v>10-14</v>
      </c>
      <c r="R5611" t="str">
        <f t="shared" si="175"/>
        <v>[msW2zpIN7up]|10-14|Male|PLHIV_Residents.T|CY2025Q3</v>
      </c>
    </row>
    <row r="5612" spans="4:18" x14ac:dyDescent="0.2">
      <c r="D5612" t="s">
        <v>84</v>
      </c>
      <c r="E5612" t="s">
        <v>85</v>
      </c>
      <c r="F5612" t="s">
        <v>86</v>
      </c>
      <c r="G5612" t="s">
        <v>219</v>
      </c>
      <c r="H5612" t="s">
        <v>219</v>
      </c>
      <c r="I5612" t="s">
        <v>38</v>
      </c>
      <c r="J5612" t="s">
        <v>39</v>
      </c>
      <c r="K5612" t="s">
        <v>48</v>
      </c>
      <c r="L5612" t="s">
        <v>49</v>
      </c>
      <c r="M5612" t="s">
        <v>220</v>
      </c>
      <c r="N5612">
        <v>675</v>
      </c>
      <c r="O5612">
        <v>9.2243748E-2</v>
      </c>
      <c r="P5612">
        <v>6.8041217000000001E-2</v>
      </c>
      <c r="Q5612" t="str">
        <f t="shared" si="174"/>
        <v>15-24</v>
      </c>
      <c r="R5612" t="str">
        <f t="shared" si="175"/>
        <v>[msW2zpIN7up]|15-24|Male|PLHIV_Residents.T|CY2025Q3</v>
      </c>
    </row>
    <row r="5613" spans="4:18" x14ac:dyDescent="0.2">
      <c r="D5613" t="s">
        <v>84</v>
      </c>
      <c r="E5613" t="s">
        <v>85</v>
      </c>
      <c r="F5613" t="s">
        <v>86</v>
      </c>
      <c r="G5613" t="s">
        <v>219</v>
      </c>
      <c r="H5613" t="s">
        <v>219</v>
      </c>
      <c r="I5613" t="s">
        <v>41</v>
      </c>
      <c r="J5613" t="s">
        <v>42</v>
      </c>
      <c r="K5613" t="s">
        <v>48</v>
      </c>
      <c r="L5613" t="s">
        <v>49</v>
      </c>
      <c r="M5613" t="s">
        <v>220</v>
      </c>
      <c r="N5613">
        <v>779</v>
      </c>
      <c r="O5613">
        <v>0.101201</v>
      </c>
      <c r="P5613">
        <v>6.8041217000000001E-2</v>
      </c>
      <c r="Q5613" t="str">
        <f t="shared" si="174"/>
        <v>25-34</v>
      </c>
      <c r="R5613" t="str">
        <f t="shared" si="175"/>
        <v>[msW2zpIN7up]|25-34|Male|PLHIV_Residents.T|CY2025Q3</v>
      </c>
    </row>
    <row r="5614" spans="4:18" x14ac:dyDescent="0.2">
      <c r="D5614" t="s">
        <v>84</v>
      </c>
      <c r="E5614" t="s">
        <v>85</v>
      </c>
      <c r="F5614" t="s">
        <v>86</v>
      </c>
      <c r="G5614" t="s">
        <v>219</v>
      </c>
      <c r="H5614" t="s">
        <v>219</v>
      </c>
      <c r="I5614" t="s">
        <v>43</v>
      </c>
      <c r="J5614" t="s">
        <v>44</v>
      </c>
      <c r="K5614" t="s">
        <v>48</v>
      </c>
      <c r="L5614" t="s">
        <v>49</v>
      </c>
      <c r="M5614" t="s">
        <v>220</v>
      </c>
      <c r="N5614">
        <v>3055</v>
      </c>
      <c r="O5614">
        <v>7.7168429999999996E-2</v>
      </c>
      <c r="P5614">
        <v>6.8041217000000001E-2</v>
      </c>
      <c r="Q5614" t="str">
        <f t="shared" si="174"/>
        <v>35-49</v>
      </c>
      <c r="R5614" t="str">
        <f t="shared" si="175"/>
        <v>[msW2zpIN7up]|35-49|Male|PLHIV_Residents.T|CY2025Q3</v>
      </c>
    </row>
    <row r="5615" spans="4:18" x14ac:dyDescent="0.2">
      <c r="D5615" t="s">
        <v>84</v>
      </c>
      <c r="E5615" t="s">
        <v>85</v>
      </c>
      <c r="F5615" t="s">
        <v>86</v>
      </c>
      <c r="G5615" t="s">
        <v>219</v>
      </c>
      <c r="H5615" t="s">
        <v>219</v>
      </c>
      <c r="I5615" t="s">
        <v>45</v>
      </c>
      <c r="J5615" t="s">
        <v>46</v>
      </c>
      <c r="K5615" t="s">
        <v>48</v>
      </c>
      <c r="L5615" t="s">
        <v>49</v>
      </c>
      <c r="M5615" t="s">
        <v>220</v>
      </c>
      <c r="N5615">
        <v>2478</v>
      </c>
      <c r="O5615">
        <v>7.3028091000000003E-2</v>
      </c>
      <c r="P5615">
        <v>6.8041217000000001E-2</v>
      </c>
      <c r="Q5615" t="str">
        <f t="shared" si="174"/>
        <v>50+</v>
      </c>
      <c r="R5615" t="str">
        <f t="shared" si="175"/>
        <v>[msW2zpIN7up]|50+|Male|PLHIV_Residents.T|CY2025Q3</v>
      </c>
    </row>
    <row r="5616" spans="4:18" x14ac:dyDescent="0.2">
      <c r="D5616" t="s">
        <v>87</v>
      </c>
      <c r="E5616" t="s">
        <v>88</v>
      </c>
      <c r="F5616" t="s">
        <v>89</v>
      </c>
      <c r="G5616" t="s">
        <v>219</v>
      </c>
      <c r="H5616" t="s">
        <v>219</v>
      </c>
      <c r="I5616" t="s">
        <v>28</v>
      </c>
      <c r="J5616" t="s">
        <v>29</v>
      </c>
      <c r="K5616" t="s">
        <v>30</v>
      </c>
      <c r="L5616" t="s">
        <v>31</v>
      </c>
      <c r="M5616" t="s">
        <v>220</v>
      </c>
      <c r="N5616">
        <v>62</v>
      </c>
      <c r="O5616">
        <v>2.3386203000000001E-2</v>
      </c>
      <c r="P5616">
        <v>2.0285066000000001E-2</v>
      </c>
      <c r="Q5616" t="str">
        <f t="shared" si="174"/>
        <v>&lt;01</v>
      </c>
      <c r="R5616" t="str">
        <f t="shared" si="175"/>
        <v>[ScR9iFKAasW]|&lt;01|Female|PLHIV_Residents.T|CY2025Q3</v>
      </c>
    </row>
    <row r="5617" spans="4:18" x14ac:dyDescent="0.2">
      <c r="D5617" t="s">
        <v>87</v>
      </c>
      <c r="E5617" t="s">
        <v>88</v>
      </c>
      <c r="F5617" t="s">
        <v>89</v>
      </c>
      <c r="G5617" t="s">
        <v>219</v>
      </c>
      <c r="H5617" t="s">
        <v>219</v>
      </c>
      <c r="I5617" t="s">
        <v>33</v>
      </c>
      <c r="J5617" t="s">
        <v>34</v>
      </c>
      <c r="K5617" t="s">
        <v>30</v>
      </c>
      <c r="L5617" t="s">
        <v>31</v>
      </c>
      <c r="M5617" t="s">
        <v>220</v>
      </c>
      <c r="N5617">
        <v>1052</v>
      </c>
      <c r="O5617">
        <v>2.8018135E-2</v>
      </c>
      <c r="P5617">
        <v>2.0285066000000001E-2</v>
      </c>
      <c r="Q5617" t="str">
        <f t="shared" si="174"/>
        <v>01-09</v>
      </c>
      <c r="R5617" t="str">
        <f t="shared" si="175"/>
        <v>[ScR9iFKAasW]|01-09|Female|PLHIV_Residents.T|CY2025Q3</v>
      </c>
    </row>
    <row r="5618" spans="4:18" x14ac:dyDescent="0.2">
      <c r="D5618" t="s">
        <v>87</v>
      </c>
      <c r="E5618" t="s">
        <v>88</v>
      </c>
      <c r="F5618" t="s">
        <v>89</v>
      </c>
      <c r="G5618" t="s">
        <v>219</v>
      </c>
      <c r="H5618" t="s">
        <v>219</v>
      </c>
      <c r="I5618" t="s">
        <v>36</v>
      </c>
      <c r="J5618" t="s">
        <v>37</v>
      </c>
      <c r="K5618" t="s">
        <v>30</v>
      </c>
      <c r="L5618" t="s">
        <v>31</v>
      </c>
      <c r="M5618" t="s">
        <v>220</v>
      </c>
      <c r="N5618">
        <v>1275</v>
      </c>
      <c r="O5618">
        <v>3.6600622999999999E-2</v>
      </c>
      <c r="P5618">
        <v>2.0285066000000001E-2</v>
      </c>
      <c r="Q5618" t="str">
        <f t="shared" si="174"/>
        <v>10-14</v>
      </c>
      <c r="R5618" t="str">
        <f t="shared" si="175"/>
        <v>[ScR9iFKAasW]|10-14|Female|PLHIV_Residents.T|CY2025Q3</v>
      </c>
    </row>
    <row r="5619" spans="4:18" x14ac:dyDescent="0.2">
      <c r="D5619" t="s">
        <v>87</v>
      </c>
      <c r="E5619" t="s">
        <v>88</v>
      </c>
      <c r="F5619" t="s">
        <v>89</v>
      </c>
      <c r="G5619" t="s">
        <v>219</v>
      </c>
      <c r="H5619" t="s">
        <v>219</v>
      </c>
      <c r="I5619" t="s">
        <v>38</v>
      </c>
      <c r="J5619" t="s">
        <v>39</v>
      </c>
      <c r="K5619" t="s">
        <v>30</v>
      </c>
      <c r="L5619" t="s">
        <v>31</v>
      </c>
      <c r="M5619" t="s">
        <v>220</v>
      </c>
      <c r="N5619">
        <v>5423</v>
      </c>
      <c r="O5619">
        <v>5.4629782000000002E-2</v>
      </c>
      <c r="P5619">
        <v>2.0285066000000001E-2</v>
      </c>
      <c r="Q5619" t="str">
        <f t="shared" si="174"/>
        <v>15-24</v>
      </c>
      <c r="R5619" t="str">
        <f t="shared" si="175"/>
        <v>[ScR9iFKAasW]|15-24|Female|PLHIV_Residents.T|CY2025Q3</v>
      </c>
    </row>
    <row r="5620" spans="4:18" x14ac:dyDescent="0.2">
      <c r="D5620" t="s">
        <v>87</v>
      </c>
      <c r="E5620" t="s">
        <v>88</v>
      </c>
      <c r="F5620" t="s">
        <v>89</v>
      </c>
      <c r="G5620" t="s">
        <v>219</v>
      </c>
      <c r="H5620" t="s">
        <v>219</v>
      </c>
      <c r="I5620" t="s">
        <v>41</v>
      </c>
      <c r="J5620" t="s">
        <v>42</v>
      </c>
      <c r="K5620" t="s">
        <v>30</v>
      </c>
      <c r="L5620" t="s">
        <v>31</v>
      </c>
      <c r="M5620" t="s">
        <v>220</v>
      </c>
      <c r="N5620">
        <v>15512</v>
      </c>
      <c r="O5620">
        <v>3.8418250000000001E-2</v>
      </c>
      <c r="P5620">
        <v>2.0285066000000001E-2</v>
      </c>
      <c r="Q5620" t="str">
        <f t="shared" si="174"/>
        <v>25-34</v>
      </c>
      <c r="R5620" t="str">
        <f t="shared" si="175"/>
        <v>[ScR9iFKAasW]|25-34|Female|PLHIV_Residents.T|CY2025Q3</v>
      </c>
    </row>
    <row r="5621" spans="4:18" x14ac:dyDescent="0.2">
      <c r="D5621" t="s">
        <v>87</v>
      </c>
      <c r="E5621" t="s">
        <v>88</v>
      </c>
      <c r="F5621" t="s">
        <v>89</v>
      </c>
      <c r="G5621" t="s">
        <v>219</v>
      </c>
      <c r="H5621" t="s">
        <v>219</v>
      </c>
      <c r="I5621" t="s">
        <v>43</v>
      </c>
      <c r="J5621" t="s">
        <v>44</v>
      </c>
      <c r="K5621" t="s">
        <v>30</v>
      </c>
      <c r="L5621" t="s">
        <v>31</v>
      </c>
      <c r="M5621" t="s">
        <v>220</v>
      </c>
      <c r="N5621">
        <v>39674</v>
      </c>
      <c r="O5621">
        <v>2.4466238000000001E-2</v>
      </c>
      <c r="P5621">
        <v>2.0285066000000001E-2</v>
      </c>
      <c r="Q5621" t="str">
        <f t="shared" si="174"/>
        <v>35-49</v>
      </c>
      <c r="R5621" t="str">
        <f t="shared" si="175"/>
        <v>[ScR9iFKAasW]|35-49|Female|PLHIV_Residents.T|CY2025Q3</v>
      </c>
    </row>
    <row r="5622" spans="4:18" x14ac:dyDescent="0.2">
      <c r="D5622" t="s">
        <v>87</v>
      </c>
      <c r="E5622" t="s">
        <v>88</v>
      </c>
      <c r="F5622" t="s">
        <v>89</v>
      </c>
      <c r="G5622" t="s">
        <v>219</v>
      </c>
      <c r="H5622" t="s">
        <v>219</v>
      </c>
      <c r="I5622" t="s">
        <v>45</v>
      </c>
      <c r="J5622" t="s">
        <v>46</v>
      </c>
      <c r="K5622" t="s">
        <v>30</v>
      </c>
      <c r="L5622" t="s">
        <v>31</v>
      </c>
      <c r="M5622" t="s">
        <v>220</v>
      </c>
      <c r="N5622">
        <v>15033</v>
      </c>
      <c r="O5622">
        <v>4.1577920999999997E-2</v>
      </c>
      <c r="P5622">
        <v>2.0285066000000001E-2</v>
      </c>
      <c r="Q5622" t="str">
        <f t="shared" si="174"/>
        <v>50+</v>
      </c>
      <c r="R5622" t="str">
        <f t="shared" si="175"/>
        <v>[ScR9iFKAasW]|50+|Female|PLHIV_Residents.T|CY2025Q3</v>
      </c>
    </row>
    <row r="5623" spans="4:18" x14ac:dyDescent="0.2">
      <c r="D5623" t="s">
        <v>87</v>
      </c>
      <c r="E5623" t="s">
        <v>88</v>
      </c>
      <c r="F5623" t="s">
        <v>89</v>
      </c>
      <c r="G5623" t="s">
        <v>219</v>
      </c>
      <c r="H5623" t="s">
        <v>219</v>
      </c>
      <c r="I5623" t="s">
        <v>28</v>
      </c>
      <c r="J5623" t="s">
        <v>29</v>
      </c>
      <c r="K5623" t="s">
        <v>48</v>
      </c>
      <c r="L5623" t="s">
        <v>49</v>
      </c>
      <c r="M5623" t="s">
        <v>220</v>
      </c>
      <c r="N5623">
        <v>63</v>
      </c>
      <c r="O5623">
        <v>2.3361878999999999E-2</v>
      </c>
      <c r="P5623">
        <v>2.0285066000000001E-2</v>
      </c>
      <c r="Q5623" t="str">
        <f t="shared" si="174"/>
        <v>&lt;01</v>
      </c>
      <c r="R5623" t="str">
        <f t="shared" si="175"/>
        <v>[ScR9iFKAasW]|&lt;01|Male|PLHIV_Residents.T|CY2025Q3</v>
      </c>
    </row>
    <row r="5624" spans="4:18" x14ac:dyDescent="0.2">
      <c r="D5624" t="s">
        <v>87</v>
      </c>
      <c r="E5624" t="s">
        <v>88</v>
      </c>
      <c r="F5624" t="s">
        <v>89</v>
      </c>
      <c r="G5624" t="s">
        <v>219</v>
      </c>
      <c r="H5624" t="s">
        <v>219</v>
      </c>
      <c r="I5624" t="s">
        <v>33</v>
      </c>
      <c r="J5624" t="s">
        <v>34</v>
      </c>
      <c r="K5624" t="s">
        <v>48</v>
      </c>
      <c r="L5624" t="s">
        <v>49</v>
      </c>
      <c r="M5624" t="s">
        <v>220</v>
      </c>
      <c r="N5624">
        <v>1057</v>
      </c>
      <c r="O5624">
        <v>2.7983505999999998E-2</v>
      </c>
      <c r="P5624">
        <v>2.0285066000000001E-2</v>
      </c>
      <c r="Q5624" t="str">
        <f t="shared" si="174"/>
        <v>01-09</v>
      </c>
      <c r="R5624" t="str">
        <f t="shared" si="175"/>
        <v>[ScR9iFKAasW]|01-09|Male|PLHIV_Residents.T|CY2025Q3</v>
      </c>
    </row>
    <row r="5625" spans="4:18" x14ac:dyDescent="0.2">
      <c r="D5625" t="s">
        <v>87</v>
      </c>
      <c r="E5625" t="s">
        <v>88</v>
      </c>
      <c r="F5625" t="s">
        <v>89</v>
      </c>
      <c r="G5625" t="s">
        <v>219</v>
      </c>
      <c r="H5625" t="s">
        <v>219</v>
      </c>
      <c r="I5625" t="s">
        <v>36</v>
      </c>
      <c r="J5625" t="s">
        <v>37</v>
      </c>
      <c r="K5625" t="s">
        <v>48</v>
      </c>
      <c r="L5625" t="s">
        <v>49</v>
      </c>
      <c r="M5625" t="s">
        <v>220</v>
      </c>
      <c r="N5625">
        <v>1245</v>
      </c>
      <c r="O5625">
        <v>3.6690634E-2</v>
      </c>
      <c r="P5625">
        <v>2.0285066000000001E-2</v>
      </c>
      <c r="Q5625" t="str">
        <f t="shared" si="174"/>
        <v>10-14</v>
      </c>
      <c r="R5625" t="str">
        <f t="shared" si="175"/>
        <v>[ScR9iFKAasW]|10-14|Male|PLHIV_Residents.T|CY2025Q3</v>
      </c>
    </row>
    <row r="5626" spans="4:18" x14ac:dyDescent="0.2">
      <c r="D5626" t="s">
        <v>87</v>
      </c>
      <c r="E5626" t="s">
        <v>88</v>
      </c>
      <c r="F5626" t="s">
        <v>89</v>
      </c>
      <c r="G5626" t="s">
        <v>219</v>
      </c>
      <c r="H5626" t="s">
        <v>219</v>
      </c>
      <c r="I5626" t="s">
        <v>38</v>
      </c>
      <c r="J5626" t="s">
        <v>39</v>
      </c>
      <c r="K5626" t="s">
        <v>48</v>
      </c>
      <c r="L5626" t="s">
        <v>49</v>
      </c>
      <c r="M5626" t="s">
        <v>220</v>
      </c>
      <c r="N5626">
        <v>3772</v>
      </c>
      <c r="O5626">
        <v>6.4446893000000005E-2</v>
      </c>
      <c r="P5626">
        <v>2.0285066000000001E-2</v>
      </c>
      <c r="Q5626" t="str">
        <f t="shared" si="174"/>
        <v>15-24</v>
      </c>
      <c r="R5626" t="str">
        <f t="shared" si="175"/>
        <v>[ScR9iFKAasW]|15-24|Male|PLHIV_Residents.T|CY2025Q3</v>
      </c>
    </row>
    <row r="5627" spans="4:18" x14ac:dyDescent="0.2">
      <c r="D5627" t="s">
        <v>87</v>
      </c>
      <c r="E5627" t="s">
        <v>88</v>
      </c>
      <c r="F5627" t="s">
        <v>89</v>
      </c>
      <c r="G5627" t="s">
        <v>219</v>
      </c>
      <c r="H5627" t="s">
        <v>219</v>
      </c>
      <c r="I5627" t="s">
        <v>41</v>
      </c>
      <c r="J5627" t="s">
        <v>42</v>
      </c>
      <c r="K5627" t="s">
        <v>48</v>
      </c>
      <c r="L5627" t="s">
        <v>49</v>
      </c>
      <c r="M5627" t="s">
        <v>220</v>
      </c>
      <c r="N5627">
        <v>6334</v>
      </c>
      <c r="O5627">
        <v>6.4723146999999995E-2</v>
      </c>
      <c r="P5627">
        <v>2.0285066000000001E-2</v>
      </c>
      <c r="Q5627" t="str">
        <f t="shared" si="174"/>
        <v>25-34</v>
      </c>
      <c r="R5627" t="str">
        <f t="shared" si="175"/>
        <v>[ScR9iFKAasW]|25-34|Male|PLHIV_Residents.T|CY2025Q3</v>
      </c>
    </row>
    <row r="5628" spans="4:18" x14ac:dyDescent="0.2">
      <c r="D5628" t="s">
        <v>87</v>
      </c>
      <c r="E5628" t="s">
        <v>88</v>
      </c>
      <c r="F5628" t="s">
        <v>89</v>
      </c>
      <c r="G5628" t="s">
        <v>219</v>
      </c>
      <c r="H5628" t="s">
        <v>219</v>
      </c>
      <c r="I5628" t="s">
        <v>43</v>
      </c>
      <c r="J5628" t="s">
        <v>44</v>
      </c>
      <c r="K5628" t="s">
        <v>48</v>
      </c>
      <c r="L5628" t="s">
        <v>49</v>
      </c>
      <c r="M5628" t="s">
        <v>220</v>
      </c>
      <c r="N5628">
        <v>24287</v>
      </c>
      <c r="O5628">
        <v>3.1089859000000001E-2</v>
      </c>
      <c r="P5628">
        <v>2.0285066000000001E-2</v>
      </c>
      <c r="Q5628" t="str">
        <f t="shared" si="174"/>
        <v>35-49</v>
      </c>
      <c r="R5628" t="str">
        <f t="shared" si="175"/>
        <v>[ScR9iFKAasW]|35-49|Male|PLHIV_Residents.T|CY2025Q3</v>
      </c>
    </row>
    <row r="5629" spans="4:18" x14ac:dyDescent="0.2">
      <c r="D5629" t="s">
        <v>87</v>
      </c>
      <c r="E5629" t="s">
        <v>88</v>
      </c>
      <c r="F5629" t="s">
        <v>89</v>
      </c>
      <c r="G5629" t="s">
        <v>219</v>
      </c>
      <c r="H5629" t="s">
        <v>219</v>
      </c>
      <c r="I5629" t="s">
        <v>45</v>
      </c>
      <c r="J5629" t="s">
        <v>46</v>
      </c>
      <c r="K5629" t="s">
        <v>48</v>
      </c>
      <c r="L5629" t="s">
        <v>49</v>
      </c>
      <c r="M5629" t="s">
        <v>220</v>
      </c>
      <c r="N5629">
        <v>15234</v>
      </c>
      <c r="O5629">
        <v>3.8690520999999999E-2</v>
      </c>
      <c r="P5629">
        <v>2.0285066000000001E-2</v>
      </c>
      <c r="Q5629" t="str">
        <f t="shared" si="174"/>
        <v>50+</v>
      </c>
      <c r="R5629" t="str">
        <f t="shared" si="175"/>
        <v>[ScR9iFKAasW]|50+|Male|PLHIV_Residents.T|CY2025Q3</v>
      </c>
    </row>
    <row r="5630" spans="4:18" x14ac:dyDescent="0.2">
      <c r="D5630" t="s">
        <v>90</v>
      </c>
      <c r="E5630" t="s">
        <v>91</v>
      </c>
      <c r="F5630" t="s">
        <v>92</v>
      </c>
      <c r="G5630" t="s">
        <v>219</v>
      </c>
      <c r="H5630" t="s">
        <v>219</v>
      </c>
      <c r="I5630" t="s">
        <v>28</v>
      </c>
      <c r="J5630" t="s">
        <v>29</v>
      </c>
      <c r="K5630" t="s">
        <v>30</v>
      </c>
      <c r="L5630" t="s">
        <v>31</v>
      </c>
      <c r="M5630" t="s">
        <v>220</v>
      </c>
      <c r="N5630">
        <v>9</v>
      </c>
      <c r="O5630">
        <v>6.6218472E-2</v>
      </c>
      <c r="P5630">
        <v>5.9038110999999997E-2</v>
      </c>
      <c r="Q5630" t="str">
        <f t="shared" si="174"/>
        <v>&lt;01</v>
      </c>
      <c r="R5630" t="str">
        <f t="shared" si="175"/>
        <v>[kxuuIFpOXyO]|&lt;01|Female|PLHIV_Residents.T|CY2025Q3</v>
      </c>
    </row>
    <row r="5631" spans="4:18" x14ac:dyDescent="0.2">
      <c r="D5631" t="s">
        <v>90</v>
      </c>
      <c r="E5631" t="s">
        <v>91</v>
      </c>
      <c r="F5631" t="s">
        <v>92</v>
      </c>
      <c r="G5631" t="s">
        <v>219</v>
      </c>
      <c r="H5631" t="s">
        <v>219</v>
      </c>
      <c r="I5631" t="s">
        <v>33</v>
      </c>
      <c r="J5631" t="s">
        <v>34</v>
      </c>
      <c r="K5631" t="s">
        <v>30</v>
      </c>
      <c r="L5631" t="s">
        <v>31</v>
      </c>
      <c r="M5631" t="s">
        <v>220</v>
      </c>
      <c r="N5631">
        <v>167</v>
      </c>
      <c r="O5631">
        <v>7.5441436000000001E-2</v>
      </c>
      <c r="P5631">
        <v>5.9038110999999997E-2</v>
      </c>
      <c r="Q5631" t="str">
        <f t="shared" si="174"/>
        <v>01-09</v>
      </c>
      <c r="R5631" t="str">
        <f t="shared" si="175"/>
        <v>[kxuuIFpOXyO]|01-09|Female|PLHIV_Residents.T|CY2025Q3</v>
      </c>
    </row>
    <row r="5632" spans="4:18" x14ac:dyDescent="0.2">
      <c r="D5632" t="s">
        <v>90</v>
      </c>
      <c r="E5632" t="s">
        <v>91</v>
      </c>
      <c r="F5632" t="s">
        <v>92</v>
      </c>
      <c r="G5632" t="s">
        <v>219</v>
      </c>
      <c r="H5632" t="s">
        <v>219</v>
      </c>
      <c r="I5632" t="s">
        <v>36</v>
      </c>
      <c r="J5632" t="s">
        <v>37</v>
      </c>
      <c r="K5632" t="s">
        <v>30</v>
      </c>
      <c r="L5632" t="s">
        <v>31</v>
      </c>
      <c r="M5632" t="s">
        <v>220</v>
      </c>
      <c r="N5632">
        <v>222</v>
      </c>
      <c r="O5632">
        <v>9.1344443999999997E-2</v>
      </c>
      <c r="P5632">
        <v>5.9038110999999997E-2</v>
      </c>
      <c r="Q5632" t="str">
        <f t="shared" si="174"/>
        <v>10-14</v>
      </c>
      <c r="R5632" t="str">
        <f t="shared" si="175"/>
        <v>[kxuuIFpOXyO]|10-14|Female|PLHIV_Residents.T|CY2025Q3</v>
      </c>
    </row>
    <row r="5633" spans="4:18" x14ac:dyDescent="0.2">
      <c r="D5633" t="s">
        <v>90</v>
      </c>
      <c r="E5633" t="s">
        <v>91</v>
      </c>
      <c r="F5633" t="s">
        <v>92</v>
      </c>
      <c r="G5633" t="s">
        <v>219</v>
      </c>
      <c r="H5633" t="s">
        <v>219</v>
      </c>
      <c r="I5633" t="s">
        <v>38</v>
      </c>
      <c r="J5633" t="s">
        <v>39</v>
      </c>
      <c r="K5633" t="s">
        <v>30</v>
      </c>
      <c r="L5633" t="s">
        <v>31</v>
      </c>
      <c r="M5633" t="s">
        <v>220</v>
      </c>
      <c r="N5633">
        <v>843</v>
      </c>
      <c r="O5633">
        <v>8.7226628E-2</v>
      </c>
      <c r="P5633">
        <v>5.9038110999999997E-2</v>
      </c>
      <c r="Q5633" t="str">
        <f t="shared" si="174"/>
        <v>15-24</v>
      </c>
      <c r="R5633" t="str">
        <f t="shared" si="175"/>
        <v>[kxuuIFpOXyO]|15-24|Female|PLHIV_Residents.T|CY2025Q3</v>
      </c>
    </row>
    <row r="5634" spans="4:18" x14ac:dyDescent="0.2">
      <c r="D5634" t="s">
        <v>90</v>
      </c>
      <c r="E5634" t="s">
        <v>91</v>
      </c>
      <c r="F5634" t="s">
        <v>92</v>
      </c>
      <c r="G5634" t="s">
        <v>219</v>
      </c>
      <c r="H5634" t="s">
        <v>219</v>
      </c>
      <c r="I5634" t="s">
        <v>41</v>
      </c>
      <c r="J5634" t="s">
        <v>42</v>
      </c>
      <c r="K5634" t="s">
        <v>30</v>
      </c>
      <c r="L5634" t="s">
        <v>31</v>
      </c>
      <c r="M5634" t="s">
        <v>220</v>
      </c>
      <c r="N5634">
        <v>2054</v>
      </c>
      <c r="O5634">
        <v>7.4278588000000006E-2</v>
      </c>
      <c r="P5634">
        <v>5.9038110999999997E-2</v>
      </c>
      <c r="Q5634" t="str">
        <f t="shared" si="174"/>
        <v>25-34</v>
      </c>
      <c r="R5634" t="str">
        <f t="shared" si="175"/>
        <v>[kxuuIFpOXyO]|25-34|Female|PLHIV_Residents.T|CY2025Q3</v>
      </c>
    </row>
    <row r="5635" spans="4:18" x14ac:dyDescent="0.2">
      <c r="D5635" t="s">
        <v>90</v>
      </c>
      <c r="E5635" t="s">
        <v>91</v>
      </c>
      <c r="F5635" t="s">
        <v>92</v>
      </c>
      <c r="G5635" t="s">
        <v>219</v>
      </c>
      <c r="H5635" t="s">
        <v>219</v>
      </c>
      <c r="I5635" t="s">
        <v>43</v>
      </c>
      <c r="J5635" t="s">
        <v>44</v>
      </c>
      <c r="K5635" t="s">
        <v>30</v>
      </c>
      <c r="L5635" t="s">
        <v>31</v>
      </c>
      <c r="M5635" t="s">
        <v>220</v>
      </c>
      <c r="N5635">
        <v>5755</v>
      </c>
      <c r="O5635">
        <v>5.9850277E-2</v>
      </c>
      <c r="P5635">
        <v>5.9038110999999997E-2</v>
      </c>
      <c r="Q5635" t="str">
        <f t="shared" ref="Q5635:Q5698" si="176">SUBSTITUTE(SUBSTITUTE($I5635,CHAR(61),""),CHAR(34),"")</f>
        <v>35-49</v>
      </c>
      <c r="R5635" t="str">
        <f t="shared" ref="R5635:R5698" si="177">IF($D5635&lt;&gt;"","["&amp;$E5635&amp;"]"&amp;"|"&amp;$Q5635&amp;"|"&amp;$K5635&amp;"|"&amp;$G5635&amp;"|"&amp;IF($G5635="TX_CURR_SUBNAT.R","CY2023Q4",$M5635),"")</f>
        <v>[kxuuIFpOXyO]|35-49|Female|PLHIV_Residents.T|CY2025Q3</v>
      </c>
    </row>
    <row r="5636" spans="4:18" x14ac:dyDescent="0.2">
      <c r="D5636" t="s">
        <v>90</v>
      </c>
      <c r="E5636" t="s">
        <v>91</v>
      </c>
      <c r="F5636" t="s">
        <v>92</v>
      </c>
      <c r="G5636" t="s">
        <v>219</v>
      </c>
      <c r="H5636" t="s">
        <v>219</v>
      </c>
      <c r="I5636" t="s">
        <v>45</v>
      </c>
      <c r="J5636" t="s">
        <v>46</v>
      </c>
      <c r="K5636" t="s">
        <v>30</v>
      </c>
      <c r="L5636" t="s">
        <v>31</v>
      </c>
      <c r="M5636" t="s">
        <v>220</v>
      </c>
      <c r="N5636">
        <v>2919</v>
      </c>
      <c r="O5636">
        <v>6.7890552000000007E-2</v>
      </c>
      <c r="P5636">
        <v>5.9038110999999997E-2</v>
      </c>
      <c r="Q5636" t="str">
        <f t="shared" si="176"/>
        <v>50+</v>
      </c>
      <c r="R5636" t="str">
        <f t="shared" si="177"/>
        <v>[kxuuIFpOXyO]|50+|Female|PLHIV_Residents.T|CY2025Q3</v>
      </c>
    </row>
    <row r="5637" spans="4:18" x14ac:dyDescent="0.2">
      <c r="D5637" t="s">
        <v>90</v>
      </c>
      <c r="E5637" t="s">
        <v>91</v>
      </c>
      <c r="F5637" t="s">
        <v>92</v>
      </c>
      <c r="G5637" t="s">
        <v>219</v>
      </c>
      <c r="H5637" t="s">
        <v>219</v>
      </c>
      <c r="I5637" t="s">
        <v>28</v>
      </c>
      <c r="J5637" t="s">
        <v>29</v>
      </c>
      <c r="K5637" t="s">
        <v>48</v>
      </c>
      <c r="L5637" t="s">
        <v>49</v>
      </c>
      <c r="M5637" t="s">
        <v>220</v>
      </c>
      <c r="N5637">
        <v>9</v>
      </c>
      <c r="O5637">
        <v>6.6149373999999997E-2</v>
      </c>
      <c r="P5637">
        <v>5.9038110999999997E-2</v>
      </c>
      <c r="Q5637" t="str">
        <f t="shared" si="176"/>
        <v>&lt;01</v>
      </c>
      <c r="R5637" t="str">
        <f t="shared" si="177"/>
        <v>[kxuuIFpOXyO]|&lt;01|Male|PLHIV_Residents.T|CY2025Q3</v>
      </c>
    </row>
    <row r="5638" spans="4:18" x14ac:dyDescent="0.2">
      <c r="D5638" t="s">
        <v>90</v>
      </c>
      <c r="E5638" t="s">
        <v>91</v>
      </c>
      <c r="F5638" t="s">
        <v>92</v>
      </c>
      <c r="G5638" t="s">
        <v>219</v>
      </c>
      <c r="H5638" t="s">
        <v>219</v>
      </c>
      <c r="I5638" t="s">
        <v>33</v>
      </c>
      <c r="J5638" t="s">
        <v>34</v>
      </c>
      <c r="K5638" t="s">
        <v>48</v>
      </c>
      <c r="L5638" t="s">
        <v>49</v>
      </c>
      <c r="M5638" t="s">
        <v>220</v>
      </c>
      <c r="N5638">
        <v>168</v>
      </c>
      <c r="O5638">
        <v>7.5366286000000005E-2</v>
      </c>
      <c r="P5638">
        <v>5.9038110999999997E-2</v>
      </c>
      <c r="Q5638" t="str">
        <f t="shared" si="176"/>
        <v>01-09</v>
      </c>
      <c r="R5638" t="str">
        <f t="shared" si="177"/>
        <v>[kxuuIFpOXyO]|01-09|Male|PLHIV_Residents.T|CY2025Q3</v>
      </c>
    </row>
    <row r="5639" spans="4:18" x14ac:dyDescent="0.2">
      <c r="D5639" t="s">
        <v>90</v>
      </c>
      <c r="E5639" t="s">
        <v>91</v>
      </c>
      <c r="F5639" t="s">
        <v>92</v>
      </c>
      <c r="G5639" t="s">
        <v>219</v>
      </c>
      <c r="H5639" t="s">
        <v>219</v>
      </c>
      <c r="I5639" t="s">
        <v>36</v>
      </c>
      <c r="J5639" t="s">
        <v>37</v>
      </c>
      <c r="K5639" t="s">
        <v>48</v>
      </c>
      <c r="L5639" t="s">
        <v>49</v>
      </c>
      <c r="M5639" t="s">
        <v>220</v>
      </c>
      <c r="N5639">
        <v>221</v>
      </c>
      <c r="O5639">
        <v>9.1336716999999998E-2</v>
      </c>
      <c r="P5639">
        <v>5.9038110999999997E-2</v>
      </c>
      <c r="Q5639" t="str">
        <f t="shared" si="176"/>
        <v>10-14</v>
      </c>
      <c r="R5639" t="str">
        <f t="shared" si="177"/>
        <v>[kxuuIFpOXyO]|10-14|Male|PLHIV_Residents.T|CY2025Q3</v>
      </c>
    </row>
    <row r="5640" spans="4:18" x14ac:dyDescent="0.2">
      <c r="D5640" t="s">
        <v>90</v>
      </c>
      <c r="E5640" t="s">
        <v>91</v>
      </c>
      <c r="F5640" t="s">
        <v>92</v>
      </c>
      <c r="G5640" t="s">
        <v>219</v>
      </c>
      <c r="H5640" t="s">
        <v>219</v>
      </c>
      <c r="I5640" t="s">
        <v>38</v>
      </c>
      <c r="J5640" t="s">
        <v>39</v>
      </c>
      <c r="K5640" t="s">
        <v>48</v>
      </c>
      <c r="L5640" t="s">
        <v>49</v>
      </c>
      <c r="M5640" t="s">
        <v>220</v>
      </c>
      <c r="N5640">
        <v>641</v>
      </c>
      <c r="O5640">
        <v>9.3777977999999998E-2</v>
      </c>
      <c r="P5640">
        <v>5.9038110999999997E-2</v>
      </c>
      <c r="Q5640" t="str">
        <f t="shared" si="176"/>
        <v>15-24</v>
      </c>
      <c r="R5640" t="str">
        <f t="shared" si="177"/>
        <v>[kxuuIFpOXyO]|15-24|Male|PLHIV_Residents.T|CY2025Q3</v>
      </c>
    </row>
    <row r="5641" spans="4:18" x14ac:dyDescent="0.2">
      <c r="D5641" t="s">
        <v>90</v>
      </c>
      <c r="E5641" t="s">
        <v>91</v>
      </c>
      <c r="F5641" t="s">
        <v>92</v>
      </c>
      <c r="G5641" t="s">
        <v>219</v>
      </c>
      <c r="H5641" t="s">
        <v>219</v>
      </c>
      <c r="I5641" t="s">
        <v>41</v>
      </c>
      <c r="J5641" t="s">
        <v>42</v>
      </c>
      <c r="K5641" t="s">
        <v>48</v>
      </c>
      <c r="L5641" t="s">
        <v>49</v>
      </c>
      <c r="M5641" t="s">
        <v>220</v>
      </c>
      <c r="N5641">
        <v>868</v>
      </c>
      <c r="O5641">
        <v>8.9562605000000003E-2</v>
      </c>
      <c r="P5641">
        <v>5.9038110999999997E-2</v>
      </c>
      <c r="Q5641" t="str">
        <f t="shared" si="176"/>
        <v>25-34</v>
      </c>
      <c r="R5641" t="str">
        <f t="shared" si="177"/>
        <v>[kxuuIFpOXyO]|25-34|Male|PLHIV_Residents.T|CY2025Q3</v>
      </c>
    </row>
    <row r="5642" spans="4:18" x14ac:dyDescent="0.2">
      <c r="D5642" t="s">
        <v>90</v>
      </c>
      <c r="E5642" t="s">
        <v>91</v>
      </c>
      <c r="F5642" t="s">
        <v>92</v>
      </c>
      <c r="G5642" t="s">
        <v>219</v>
      </c>
      <c r="H5642" t="s">
        <v>219</v>
      </c>
      <c r="I5642" t="s">
        <v>43</v>
      </c>
      <c r="J5642" t="s">
        <v>44</v>
      </c>
      <c r="K5642" t="s">
        <v>48</v>
      </c>
      <c r="L5642" t="s">
        <v>49</v>
      </c>
      <c r="M5642" t="s">
        <v>220</v>
      </c>
      <c r="N5642">
        <v>3343</v>
      </c>
      <c r="O5642">
        <v>6.6362644999999998E-2</v>
      </c>
      <c r="P5642">
        <v>5.9038110999999997E-2</v>
      </c>
      <c r="Q5642" t="str">
        <f t="shared" si="176"/>
        <v>35-49</v>
      </c>
      <c r="R5642" t="str">
        <f t="shared" si="177"/>
        <v>[kxuuIFpOXyO]|35-49|Male|PLHIV_Residents.T|CY2025Q3</v>
      </c>
    </row>
    <row r="5643" spans="4:18" x14ac:dyDescent="0.2">
      <c r="D5643" t="s">
        <v>90</v>
      </c>
      <c r="E5643" t="s">
        <v>91</v>
      </c>
      <c r="F5643" t="s">
        <v>92</v>
      </c>
      <c r="G5643" t="s">
        <v>219</v>
      </c>
      <c r="H5643" t="s">
        <v>219</v>
      </c>
      <c r="I5643" t="s">
        <v>45</v>
      </c>
      <c r="J5643" t="s">
        <v>46</v>
      </c>
      <c r="K5643" t="s">
        <v>48</v>
      </c>
      <c r="L5643" t="s">
        <v>49</v>
      </c>
      <c r="M5643" t="s">
        <v>220</v>
      </c>
      <c r="N5643">
        <v>2799</v>
      </c>
      <c r="O5643">
        <v>6.1083640000000002E-2</v>
      </c>
      <c r="P5643">
        <v>5.9038110999999997E-2</v>
      </c>
      <c r="Q5643" t="str">
        <f t="shared" si="176"/>
        <v>50+</v>
      </c>
      <c r="R5643" t="str">
        <f t="shared" si="177"/>
        <v>[kxuuIFpOXyO]|50+|Male|PLHIV_Residents.T|CY2025Q3</v>
      </c>
    </row>
    <row r="5644" spans="4:18" x14ac:dyDescent="0.2">
      <c r="D5644" t="s">
        <v>93</v>
      </c>
      <c r="E5644" t="s">
        <v>94</v>
      </c>
      <c r="F5644" t="s">
        <v>95</v>
      </c>
      <c r="G5644" t="s">
        <v>219</v>
      </c>
      <c r="H5644" t="s">
        <v>219</v>
      </c>
      <c r="I5644" t="s">
        <v>28</v>
      </c>
      <c r="J5644" t="s">
        <v>29</v>
      </c>
      <c r="K5644" t="s">
        <v>30</v>
      </c>
      <c r="L5644" t="s">
        <v>31</v>
      </c>
      <c r="M5644" t="s">
        <v>220</v>
      </c>
      <c r="N5644">
        <v>10</v>
      </c>
      <c r="O5644">
        <v>9.4093341999999996E-2</v>
      </c>
      <c r="P5644">
        <v>8.7896663E-2</v>
      </c>
      <c r="Q5644" t="str">
        <f t="shared" si="176"/>
        <v>&lt;01</v>
      </c>
      <c r="R5644" t="str">
        <f t="shared" si="177"/>
        <v>[PekKUkKHAzY]|&lt;01|Female|PLHIV_Residents.T|CY2025Q3</v>
      </c>
    </row>
    <row r="5645" spans="4:18" x14ac:dyDescent="0.2">
      <c r="D5645" t="s">
        <v>93</v>
      </c>
      <c r="E5645" t="s">
        <v>94</v>
      </c>
      <c r="F5645" t="s">
        <v>95</v>
      </c>
      <c r="G5645" t="s">
        <v>219</v>
      </c>
      <c r="H5645" t="s">
        <v>219</v>
      </c>
      <c r="I5645" t="s">
        <v>33</v>
      </c>
      <c r="J5645" t="s">
        <v>34</v>
      </c>
      <c r="K5645" t="s">
        <v>30</v>
      </c>
      <c r="L5645" t="s">
        <v>31</v>
      </c>
      <c r="M5645" t="s">
        <v>220</v>
      </c>
      <c r="N5645">
        <v>184</v>
      </c>
      <c r="O5645">
        <v>0.10084522999999999</v>
      </c>
      <c r="P5645">
        <v>8.7896663E-2</v>
      </c>
      <c r="Q5645" t="str">
        <f t="shared" si="176"/>
        <v>01-09</v>
      </c>
      <c r="R5645" t="str">
        <f t="shared" si="177"/>
        <v>[PekKUkKHAzY]|01-09|Female|PLHIV_Residents.T|CY2025Q3</v>
      </c>
    </row>
    <row r="5646" spans="4:18" x14ac:dyDescent="0.2">
      <c r="D5646" t="s">
        <v>93</v>
      </c>
      <c r="E5646" t="s">
        <v>94</v>
      </c>
      <c r="F5646" t="s">
        <v>95</v>
      </c>
      <c r="G5646" t="s">
        <v>219</v>
      </c>
      <c r="H5646" t="s">
        <v>219</v>
      </c>
      <c r="I5646" t="s">
        <v>36</v>
      </c>
      <c r="J5646" t="s">
        <v>37</v>
      </c>
      <c r="K5646" t="s">
        <v>30</v>
      </c>
      <c r="L5646" t="s">
        <v>31</v>
      </c>
      <c r="M5646" t="s">
        <v>220</v>
      </c>
      <c r="N5646">
        <v>243</v>
      </c>
      <c r="O5646">
        <v>0.112745516</v>
      </c>
      <c r="P5646">
        <v>8.7896663E-2</v>
      </c>
      <c r="Q5646" t="str">
        <f t="shared" si="176"/>
        <v>10-14</v>
      </c>
      <c r="R5646" t="str">
        <f t="shared" si="177"/>
        <v>[PekKUkKHAzY]|10-14|Female|PLHIV_Residents.T|CY2025Q3</v>
      </c>
    </row>
    <row r="5647" spans="4:18" x14ac:dyDescent="0.2">
      <c r="D5647" t="s">
        <v>93</v>
      </c>
      <c r="E5647" t="s">
        <v>94</v>
      </c>
      <c r="F5647" t="s">
        <v>95</v>
      </c>
      <c r="G5647" t="s">
        <v>219</v>
      </c>
      <c r="H5647" t="s">
        <v>219</v>
      </c>
      <c r="I5647" t="s">
        <v>38</v>
      </c>
      <c r="J5647" t="s">
        <v>39</v>
      </c>
      <c r="K5647" t="s">
        <v>30</v>
      </c>
      <c r="L5647" t="s">
        <v>31</v>
      </c>
      <c r="M5647" t="s">
        <v>220</v>
      </c>
      <c r="N5647">
        <v>903</v>
      </c>
      <c r="O5647">
        <v>0.107046222</v>
      </c>
      <c r="P5647">
        <v>8.7896663E-2</v>
      </c>
      <c r="Q5647" t="str">
        <f t="shared" si="176"/>
        <v>15-24</v>
      </c>
      <c r="R5647" t="str">
        <f t="shared" si="177"/>
        <v>[PekKUkKHAzY]|15-24|Female|PLHIV_Residents.T|CY2025Q3</v>
      </c>
    </row>
    <row r="5648" spans="4:18" x14ac:dyDescent="0.2">
      <c r="D5648" t="s">
        <v>93</v>
      </c>
      <c r="E5648" t="s">
        <v>94</v>
      </c>
      <c r="F5648" t="s">
        <v>95</v>
      </c>
      <c r="G5648" t="s">
        <v>219</v>
      </c>
      <c r="H5648" t="s">
        <v>219</v>
      </c>
      <c r="I5648" t="s">
        <v>41</v>
      </c>
      <c r="J5648" t="s">
        <v>42</v>
      </c>
      <c r="K5648" t="s">
        <v>30</v>
      </c>
      <c r="L5648" t="s">
        <v>31</v>
      </c>
      <c r="M5648" t="s">
        <v>220</v>
      </c>
      <c r="N5648">
        <v>2195</v>
      </c>
      <c r="O5648">
        <v>0.10068091799999999</v>
      </c>
      <c r="P5648">
        <v>8.7896663E-2</v>
      </c>
      <c r="Q5648" t="str">
        <f t="shared" si="176"/>
        <v>25-34</v>
      </c>
      <c r="R5648" t="str">
        <f t="shared" si="177"/>
        <v>[PekKUkKHAzY]|25-34|Female|PLHIV_Residents.T|CY2025Q3</v>
      </c>
    </row>
    <row r="5649" spans="4:18" x14ac:dyDescent="0.2">
      <c r="D5649" t="s">
        <v>93</v>
      </c>
      <c r="E5649" t="s">
        <v>94</v>
      </c>
      <c r="F5649" t="s">
        <v>95</v>
      </c>
      <c r="G5649" t="s">
        <v>219</v>
      </c>
      <c r="H5649" t="s">
        <v>219</v>
      </c>
      <c r="I5649" t="s">
        <v>43</v>
      </c>
      <c r="J5649" t="s">
        <v>44</v>
      </c>
      <c r="K5649" t="s">
        <v>30</v>
      </c>
      <c r="L5649" t="s">
        <v>31</v>
      </c>
      <c r="M5649" t="s">
        <v>220</v>
      </c>
      <c r="N5649">
        <v>6386</v>
      </c>
      <c r="O5649">
        <v>8.8969213000000005E-2</v>
      </c>
      <c r="P5649">
        <v>8.7896663E-2</v>
      </c>
      <c r="Q5649" t="str">
        <f t="shared" si="176"/>
        <v>35-49</v>
      </c>
      <c r="R5649" t="str">
        <f t="shared" si="177"/>
        <v>[PekKUkKHAzY]|35-49|Female|PLHIV_Residents.T|CY2025Q3</v>
      </c>
    </row>
    <row r="5650" spans="4:18" x14ac:dyDescent="0.2">
      <c r="D5650" t="s">
        <v>93</v>
      </c>
      <c r="E5650" t="s">
        <v>94</v>
      </c>
      <c r="F5650" t="s">
        <v>95</v>
      </c>
      <c r="G5650" t="s">
        <v>219</v>
      </c>
      <c r="H5650" t="s">
        <v>219</v>
      </c>
      <c r="I5650" t="s">
        <v>45</v>
      </c>
      <c r="J5650" t="s">
        <v>46</v>
      </c>
      <c r="K5650" t="s">
        <v>30</v>
      </c>
      <c r="L5650" t="s">
        <v>31</v>
      </c>
      <c r="M5650" t="s">
        <v>220</v>
      </c>
      <c r="N5650">
        <v>3514</v>
      </c>
      <c r="O5650">
        <v>9.4522870999999994E-2</v>
      </c>
      <c r="P5650">
        <v>8.7896663E-2</v>
      </c>
      <c r="Q5650" t="str">
        <f t="shared" si="176"/>
        <v>50+</v>
      </c>
      <c r="R5650" t="str">
        <f t="shared" si="177"/>
        <v>[PekKUkKHAzY]|50+|Female|PLHIV_Residents.T|CY2025Q3</v>
      </c>
    </row>
    <row r="5651" spans="4:18" x14ac:dyDescent="0.2">
      <c r="D5651" t="s">
        <v>93</v>
      </c>
      <c r="E5651" t="s">
        <v>94</v>
      </c>
      <c r="F5651" t="s">
        <v>95</v>
      </c>
      <c r="G5651" t="s">
        <v>219</v>
      </c>
      <c r="H5651" t="s">
        <v>219</v>
      </c>
      <c r="I5651" t="s">
        <v>28</v>
      </c>
      <c r="J5651" t="s">
        <v>29</v>
      </c>
      <c r="K5651" t="s">
        <v>48</v>
      </c>
      <c r="L5651" t="s">
        <v>49</v>
      </c>
      <c r="M5651" t="s">
        <v>220</v>
      </c>
      <c r="N5651">
        <v>10</v>
      </c>
      <c r="O5651">
        <v>9.4076587000000003E-2</v>
      </c>
      <c r="P5651">
        <v>8.7896663E-2</v>
      </c>
      <c r="Q5651" t="str">
        <f t="shared" si="176"/>
        <v>&lt;01</v>
      </c>
      <c r="R5651" t="str">
        <f t="shared" si="177"/>
        <v>[PekKUkKHAzY]|&lt;01|Male|PLHIV_Residents.T|CY2025Q3</v>
      </c>
    </row>
    <row r="5652" spans="4:18" x14ac:dyDescent="0.2">
      <c r="D5652" t="s">
        <v>93</v>
      </c>
      <c r="E5652" t="s">
        <v>94</v>
      </c>
      <c r="F5652" t="s">
        <v>95</v>
      </c>
      <c r="G5652" t="s">
        <v>219</v>
      </c>
      <c r="H5652" t="s">
        <v>219</v>
      </c>
      <c r="I5652" t="s">
        <v>33</v>
      </c>
      <c r="J5652" t="s">
        <v>34</v>
      </c>
      <c r="K5652" t="s">
        <v>48</v>
      </c>
      <c r="L5652" t="s">
        <v>49</v>
      </c>
      <c r="M5652" t="s">
        <v>220</v>
      </c>
      <c r="N5652">
        <v>185</v>
      </c>
      <c r="O5652">
        <v>0.100811396</v>
      </c>
      <c r="P5652">
        <v>8.7896663E-2</v>
      </c>
      <c r="Q5652" t="str">
        <f t="shared" si="176"/>
        <v>01-09</v>
      </c>
      <c r="R5652" t="str">
        <f t="shared" si="177"/>
        <v>[PekKUkKHAzY]|01-09|Male|PLHIV_Residents.T|CY2025Q3</v>
      </c>
    </row>
    <row r="5653" spans="4:18" x14ac:dyDescent="0.2">
      <c r="D5653" t="s">
        <v>93</v>
      </c>
      <c r="E5653" t="s">
        <v>94</v>
      </c>
      <c r="F5653" t="s">
        <v>95</v>
      </c>
      <c r="G5653" t="s">
        <v>219</v>
      </c>
      <c r="H5653" t="s">
        <v>219</v>
      </c>
      <c r="I5653" t="s">
        <v>36</v>
      </c>
      <c r="J5653" t="s">
        <v>37</v>
      </c>
      <c r="K5653" t="s">
        <v>48</v>
      </c>
      <c r="L5653" t="s">
        <v>49</v>
      </c>
      <c r="M5653" t="s">
        <v>220</v>
      </c>
      <c r="N5653">
        <v>241</v>
      </c>
      <c r="O5653">
        <v>0.112738331</v>
      </c>
      <c r="P5653">
        <v>8.7896663E-2</v>
      </c>
      <c r="Q5653" t="str">
        <f t="shared" si="176"/>
        <v>10-14</v>
      </c>
      <c r="R5653" t="str">
        <f t="shared" si="177"/>
        <v>[PekKUkKHAzY]|10-14|Male|PLHIV_Residents.T|CY2025Q3</v>
      </c>
    </row>
    <row r="5654" spans="4:18" x14ac:dyDescent="0.2">
      <c r="D5654" t="s">
        <v>93</v>
      </c>
      <c r="E5654" t="s">
        <v>94</v>
      </c>
      <c r="F5654" t="s">
        <v>95</v>
      </c>
      <c r="G5654" t="s">
        <v>219</v>
      </c>
      <c r="H5654" t="s">
        <v>219</v>
      </c>
      <c r="I5654" t="s">
        <v>38</v>
      </c>
      <c r="J5654" t="s">
        <v>39</v>
      </c>
      <c r="K5654" t="s">
        <v>48</v>
      </c>
      <c r="L5654" t="s">
        <v>49</v>
      </c>
      <c r="M5654" t="s">
        <v>220</v>
      </c>
      <c r="N5654">
        <v>663</v>
      </c>
      <c r="O5654">
        <v>0.11144090299999999</v>
      </c>
      <c r="P5654">
        <v>8.7896663E-2</v>
      </c>
      <c r="Q5654" t="str">
        <f t="shared" si="176"/>
        <v>15-24</v>
      </c>
      <c r="R5654" t="str">
        <f t="shared" si="177"/>
        <v>[PekKUkKHAzY]|15-24|Male|PLHIV_Residents.T|CY2025Q3</v>
      </c>
    </row>
    <row r="5655" spans="4:18" x14ac:dyDescent="0.2">
      <c r="D5655" t="s">
        <v>93</v>
      </c>
      <c r="E5655" t="s">
        <v>94</v>
      </c>
      <c r="F5655" t="s">
        <v>95</v>
      </c>
      <c r="G5655" t="s">
        <v>219</v>
      </c>
      <c r="H5655" t="s">
        <v>219</v>
      </c>
      <c r="I5655" t="s">
        <v>41</v>
      </c>
      <c r="J5655" t="s">
        <v>42</v>
      </c>
      <c r="K5655" t="s">
        <v>48</v>
      </c>
      <c r="L5655" t="s">
        <v>49</v>
      </c>
      <c r="M5655" t="s">
        <v>220</v>
      </c>
      <c r="N5655">
        <v>833</v>
      </c>
      <c r="O5655">
        <v>0.110287018</v>
      </c>
      <c r="P5655">
        <v>8.7896663E-2</v>
      </c>
      <c r="Q5655" t="str">
        <f t="shared" si="176"/>
        <v>25-34</v>
      </c>
      <c r="R5655" t="str">
        <f t="shared" si="177"/>
        <v>[PekKUkKHAzY]|25-34|Male|PLHIV_Residents.T|CY2025Q3</v>
      </c>
    </row>
    <row r="5656" spans="4:18" x14ac:dyDescent="0.2">
      <c r="D5656" t="s">
        <v>93</v>
      </c>
      <c r="E5656" t="s">
        <v>94</v>
      </c>
      <c r="F5656" t="s">
        <v>95</v>
      </c>
      <c r="G5656" t="s">
        <v>219</v>
      </c>
      <c r="H5656" t="s">
        <v>219</v>
      </c>
      <c r="I5656" t="s">
        <v>43</v>
      </c>
      <c r="J5656" t="s">
        <v>44</v>
      </c>
      <c r="K5656" t="s">
        <v>48</v>
      </c>
      <c r="L5656" t="s">
        <v>49</v>
      </c>
      <c r="M5656" t="s">
        <v>220</v>
      </c>
      <c r="N5656">
        <v>3280</v>
      </c>
      <c r="O5656">
        <v>9.1394081000000002E-2</v>
      </c>
      <c r="P5656">
        <v>8.7896663E-2</v>
      </c>
      <c r="Q5656" t="str">
        <f t="shared" si="176"/>
        <v>35-49</v>
      </c>
      <c r="R5656" t="str">
        <f t="shared" si="177"/>
        <v>[PekKUkKHAzY]|35-49|Male|PLHIV_Residents.T|CY2025Q3</v>
      </c>
    </row>
    <row r="5657" spans="4:18" x14ac:dyDescent="0.2">
      <c r="D5657" t="s">
        <v>93</v>
      </c>
      <c r="E5657" t="s">
        <v>94</v>
      </c>
      <c r="F5657" t="s">
        <v>95</v>
      </c>
      <c r="G5657" t="s">
        <v>219</v>
      </c>
      <c r="H5657" t="s">
        <v>219</v>
      </c>
      <c r="I5657" t="s">
        <v>45</v>
      </c>
      <c r="J5657" t="s">
        <v>46</v>
      </c>
      <c r="K5657" t="s">
        <v>48</v>
      </c>
      <c r="L5657" t="s">
        <v>49</v>
      </c>
      <c r="M5657" t="s">
        <v>220</v>
      </c>
      <c r="N5657">
        <v>2785</v>
      </c>
      <c r="O5657">
        <v>8.8926381999999998E-2</v>
      </c>
      <c r="P5657">
        <v>8.7896663E-2</v>
      </c>
      <c r="Q5657" t="str">
        <f t="shared" si="176"/>
        <v>50+</v>
      </c>
      <c r="R5657" t="str">
        <f t="shared" si="177"/>
        <v>[PekKUkKHAzY]|50+|Male|PLHIV_Residents.T|CY2025Q3</v>
      </c>
    </row>
    <row r="5658" spans="4:18" x14ac:dyDescent="0.2">
      <c r="D5658" t="s">
        <v>96</v>
      </c>
      <c r="E5658" t="s">
        <v>97</v>
      </c>
      <c r="F5658" t="s">
        <v>98</v>
      </c>
      <c r="G5658" t="s">
        <v>219</v>
      </c>
      <c r="H5658" t="s">
        <v>219</v>
      </c>
      <c r="I5658" t="s">
        <v>28</v>
      </c>
      <c r="J5658" t="s">
        <v>29</v>
      </c>
      <c r="K5658" t="s">
        <v>30</v>
      </c>
      <c r="L5658" t="s">
        <v>31</v>
      </c>
      <c r="M5658" t="s">
        <v>220</v>
      </c>
      <c r="N5658">
        <v>14</v>
      </c>
      <c r="O5658">
        <v>8.2372299999999996E-2</v>
      </c>
      <c r="P5658">
        <v>7.6892419000000004E-2</v>
      </c>
      <c r="Q5658" t="str">
        <f t="shared" si="176"/>
        <v>&lt;01</v>
      </c>
      <c r="R5658" t="str">
        <f t="shared" si="177"/>
        <v>[am530wpaGvr]|&lt;01|Female|PLHIV_Residents.T|CY2025Q3</v>
      </c>
    </row>
    <row r="5659" spans="4:18" x14ac:dyDescent="0.2">
      <c r="D5659" t="s">
        <v>96</v>
      </c>
      <c r="E5659" t="s">
        <v>97</v>
      </c>
      <c r="F5659" t="s">
        <v>98</v>
      </c>
      <c r="G5659" t="s">
        <v>219</v>
      </c>
      <c r="H5659" t="s">
        <v>219</v>
      </c>
      <c r="I5659" t="s">
        <v>33</v>
      </c>
      <c r="J5659" t="s">
        <v>34</v>
      </c>
      <c r="K5659" t="s">
        <v>30</v>
      </c>
      <c r="L5659" t="s">
        <v>31</v>
      </c>
      <c r="M5659" t="s">
        <v>220</v>
      </c>
      <c r="N5659">
        <v>258</v>
      </c>
      <c r="O5659">
        <v>8.6844283999999994E-2</v>
      </c>
      <c r="P5659">
        <v>7.6892419000000004E-2</v>
      </c>
      <c r="Q5659" t="str">
        <f t="shared" si="176"/>
        <v>01-09</v>
      </c>
      <c r="R5659" t="str">
        <f t="shared" si="177"/>
        <v>[am530wpaGvr]|01-09|Female|PLHIV_Residents.T|CY2025Q3</v>
      </c>
    </row>
    <row r="5660" spans="4:18" x14ac:dyDescent="0.2">
      <c r="D5660" t="s">
        <v>96</v>
      </c>
      <c r="E5660" t="s">
        <v>97</v>
      </c>
      <c r="F5660" t="s">
        <v>98</v>
      </c>
      <c r="G5660" t="s">
        <v>219</v>
      </c>
      <c r="H5660" t="s">
        <v>219</v>
      </c>
      <c r="I5660" t="s">
        <v>36</v>
      </c>
      <c r="J5660" t="s">
        <v>37</v>
      </c>
      <c r="K5660" t="s">
        <v>30</v>
      </c>
      <c r="L5660" t="s">
        <v>31</v>
      </c>
      <c r="M5660" t="s">
        <v>220</v>
      </c>
      <c r="N5660">
        <v>344</v>
      </c>
      <c r="O5660">
        <v>9.4776406999999993E-2</v>
      </c>
      <c r="P5660">
        <v>7.6892419000000004E-2</v>
      </c>
      <c r="Q5660" t="str">
        <f t="shared" si="176"/>
        <v>10-14</v>
      </c>
      <c r="R5660" t="str">
        <f t="shared" si="177"/>
        <v>[am530wpaGvr]|10-14|Female|PLHIV_Residents.T|CY2025Q3</v>
      </c>
    </row>
    <row r="5661" spans="4:18" x14ac:dyDescent="0.2">
      <c r="D5661" t="s">
        <v>96</v>
      </c>
      <c r="E5661" t="s">
        <v>97</v>
      </c>
      <c r="F5661" t="s">
        <v>98</v>
      </c>
      <c r="G5661" t="s">
        <v>219</v>
      </c>
      <c r="H5661" t="s">
        <v>219</v>
      </c>
      <c r="I5661" t="s">
        <v>38</v>
      </c>
      <c r="J5661" t="s">
        <v>39</v>
      </c>
      <c r="K5661" t="s">
        <v>30</v>
      </c>
      <c r="L5661" t="s">
        <v>31</v>
      </c>
      <c r="M5661" t="s">
        <v>220</v>
      </c>
      <c r="N5661">
        <v>1303</v>
      </c>
      <c r="O5661">
        <v>9.7739213000000005E-2</v>
      </c>
      <c r="P5661">
        <v>7.6892419000000004E-2</v>
      </c>
      <c r="Q5661" t="str">
        <f t="shared" si="176"/>
        <v>15-24</v>
      </c>
      <c r="R5661" t="str">
        <f t="shared" si="177"/>
        <v>[am530wpaGvr]|15-24|Female|PLHIV_Residents.T|CY2025Q3</v>
      </c>
    </row>
    <row r="5662" spans="4:18" x14ac:dyDescent="0.2">
      <c r="D5662" t="s">
        <v>96</v>
      </c>
      <c r="E5662" t="s">
        <v>97</v>
      </c>
      <c r="F5662" t="s">
        <v>98</v>
      </c>
      <c r="G5662" t="s">
        <v>219</v>
      </c>
      <c r="H5662" t="s">
        <v>219</v>
      </c>
      <c r="I5662" t="s">
        <v>41</v>
      </c>
      <c r="J5662" t="s">
        <v>42</v>
      </c>
      <c r="K5662" t="s">
        <v>30</v>
      </c>
      <c r="L5662" t="s">
        <v>31</v>
      </c>
      <c r="M5662" t="s">
        <v>220</v>
      </c>
      <c r="N5662">
        <v>3038</v>
      </c>
      <c r="O5662">
        <v>9.2034235000000006E-2</v>
      </c>
      <c r="P5662">
        <v>7.6892419000000004E-2</v>
      </c>
      <c r="Q5662" t="str">
        <f t="shared" si="176"/>
        <v>25-34</v>
      </c>
      <c r="R5662" t="str">
        <f t="shared" si="177"/>
        <v>[am530wpaGvr]|25-34|Female|PLHIV_Residents.T|CY2025Q3</v>
      </c>
    </row>
    <row r="5663" spans="4:18" x14ac:dyDescent="0.2">
      <c r="D5663" t="s">
        <v>96</v>
      </c>
      <c r="E5663" t="s">
        <v>97</v>
      </c>
      <c r="F5663" t="s">
        <v>98</v>
      </c>
      <c r="G5663" t="s">
        <v>219</v>
      </c>
      <c r="H5663" t="s">
        <v>219</v>
      </c>
      <c r="I5663" t="s">
        <v>43</v>
      </c>
      <c r="J5663" t="s">
        <v>44</v>
      </c>
      <c r="K5663" t="s">
        <v>30</v>
      </c>
      <c r="L5663" t="s">
        <v>31</v>
      </c>
      <c r="M5663" t="s">
        <v>220</v>
      </c>
      <c r="N5663">
        <v>8788</v>
      </c>
      <c r="O5663">
        <v>7.7878597999999993E-2</v>
      </c>
      <c r="P5663">
        <v>7.6892419000000004E-2</v>
      </c>
      <c r="Q5663" t="str">
        <f t="shared" si="176"/>
        <v>35-49</v>
      </c>
      <c r="R5663" t="str">
        <f t="shared" si="177"/>
        <v>[am530wpaGvr]|35-49|Female|PLHIV_Residents.T|CY2025Q3</v>
      </c>
    </row>
    <row r="5664" spans="4:18" x14ac:dyDescent="0.2">
      <c r="D5664" t="s">
        <v>96</v>
      </c>
      <c r="E5664" t="s">
        <v>97</v>
      </c>
      <c r="F5664" t="s">
        <v>98</v>
      </c>
      <c r="G5664" t="s">
        <v>219</v>
      </c>
      <c r="H5664" t="s">
        <v>219</v>
      </c>
      <c r="I5664" t="s">
        <v>45</v>
      </c>
      <c r="J5664" t="s">
        <v>46</v>
      </c>
      <c r="K5664" t="s">
        <v>30</v>
      </c>
      <c r="L5664" t="s">
        <v>31</v>
      </c>
      <c r="M5664" t="s">
        <v>220</v>
      </c>
      <c r="N5664">
        <v>4812</v>
      </c>
      <c r="O5664">
        <v>8.3987612000000003E-2</v>
      </c>
      <c r="P5664">
        <v>7.6892419000000004E-2</v>
      </c>
      <c r="Q5664" t="str">
        <f t="shared" si="176"/>
        <v>50+</v>
      </c>
      <c r="R5664" t="str">
        <f t="shared" si="177"/>
        <v>[am530wpaGvr]|50+|Female|PLHIV_Residents.T|CY2025Q3</v>
      </c>
    </row>
    <row r="5665" spans="4:18" x14ac:dyDescent="0.2">
      <c r="D5665" t="s">
        <v>96</v>
      </c>
      <c r="E5665" t="s">
        <v>97</v>
      </c>
      <c r="F5665" t="s">
        <v>98</v>
      </c>
      <c r="G5665" t="s">
        <v>219</v>
      </c>
      <c r="H5665" t="s">
        <v>219</v>
      </c>
      <c r="I5665" t="s">
        <v>28</v>
      </c>
      <c r="J5665" t="s">
        <v>29</v>
      </c>
      <c r="K5665" t="s">
        <v>48</v>
      </c>
      <c r="L5665" t="s">
        <v>49</v>
      </c>
      <c r="M5665" t="s">
        <v>220</v>
      </c>
      <c r="N5665">
        <v>14</v>
      </c>
      <c r="O5665">
        <v>8.2428621999999993E-2</v>
      </c>
      <c r="P5665">
        <v>7.6892419000000004E-2</v>
      </c>
      <c r="Q5665" t="str">
        <f t="shared" si="176"/>
        <v>&lt;01</v>
      </c>
      <c r="R5665" t="str">
        <f t="shared" si="177"/>
        <v>[am530wpaGvr]|&lt;01|Male|PLHIV_Residents.T|CY2025Q3</v>
      </c>
    </row>
    <row r="5666" spans="4:18" x14ac:dyDescent="0.2">
      <c r="D5666" t="s">
        <v>96</v>
      </c>
      <c r="E5666" t="s">
        <v>97</v>
      </c>
      <c r="F5666" t="s">
        <v>98</v>
      </c>
      <c r="G5666" t="s">
        <v>219</v>
      </c>
      <c r="H5666" t="s">
        <v>219</v>
      </c>
      <c r="I5666" t="s">
        <v>33</v>
      </c>
      <c r="J5666" t="s">
        <v>34</v>
      </c>
      <c r="K5666" t="s">
        <v>48</v>
      </c>
      <c r="L5666" t="s">
        <v>49</v>
      </c>
      <c r="M5666" t="s">
        <v>220</v>
      </c>
      <c r="N5666">
        <v>264</v>
      </c>
      <c r="O5666">
        <v>8.6900268000000003E-2</v>
      </c>
      <c r="P5666">
        <v>7.6892419000000004E-2</v>
      </c>
      <c r="Q5666" t="str">
        <f t="shared" si="176"/>
        <v>01-09</v>
      </c>
      <c r="R5666" t="str">
        <f t="shared" si="177"/>
        <v>[am530wpaGvr]|01-09|Male|PLHIV_Residents.T|CY2025Q3</v>
      </c>
    </row>
    <row r="5667" spans="4:18" x14ac:dyDescent="0.2">
      <c r="D5667" t="s">
        <v>96</v>
      </c>
      <c r="E5667" t="s">
        <v>97</v>
      </c>
      <c r="F5667" t="s">
        <v>98</v>
      </c>
      <c r="G5667" t="s">
        <v>219</v>
      </c>
      <c r="H5667" t="s">
        <v>219</v>
      </c>
      <c r="I5667" t="s">
        <v>36</v>
      </c>
      <c r="J5667" t="s">
        <v>37</v>
      </c>
      <c r="K5667" t="s">
        <v>48</v>
      </c>
      <c r="L5667" t="s">
        <v>49</v>
      </c>
      <c r="M5667" t="s">
        <v>220</v>
      </c>
      <c r="N5667">
        <v>351</v>
      </c>
      <c r="O5667">
        <v>9.4778794E-2</v>
      </c>
      <c r="P5667">
        <v>7.6892419000000004E-2</v>
      </c>
      <c r="Q5667" t="str">
        <f t="shared" si="176"/>
        <v>10-14</v>
      </c>
      <c r="R5667" t="str">
        <f t="shared" si="177"/>
        <v>[am530wpaGvr]|10-14|Male|PLHIV_Residents.T|CY2025Q3</v>
      </c>
    </row>
    <row r="5668" spans="4:18" x14ac:dyDescent="0.2">
      <c r="D5668" t="s">
        <v>96</v>
      </c>
      <c r="E5668" t="s">
        <v>97</v>
      </c>
      <c r="F5668" t="s">
        <v>98</v>
      </c>
      <c r="G5668" t="s">
        <v>219</v>
      </c>
      <c r="H5668" t="s">
        <v>219</v>
      </c>
      <c r="I5668" t="s">
        <v>38</v>
      </c>
      <c r="J5668" t="s">
        <v>39</v>
      </c>
      <c r="K5668" t="s">
        <v>48</v>
      </c>
      <c r="L5668" t="s">
        <v>49</v>
      </c>
      <c r="M5668" t="s">
        <v>220</v>
      </c>
      <c r="N5668">
        <v>962</v>
      </c>
      <c r="O5668">
        <v>0.101613591</v>
      </c>
      <c r="P5668">
        <v>7.6892419000000004E-2</v>
      </c>
      <c r="Q5668" t="str">
        <f t="shared" si="176"/>
        <v>15-24</v>
      </c>
      <c r="R5668" t="str">
        <f t="shared" si="177"/>
        <v>[am530wpaGvr]|15-24|Male|PLHIV_Residents.T|CY2025Q3</v>
      </c>
    </row>
    <row r="5669" spans="4:18" x14ac:dyDescent="0.2">
      <c r="D5669" t="s">
        <v>96</v>
      </c>
      <c r="E5669" t="s">
        <v>97</v>
      </c>
      <c r="F5669" t="s">
        <v>98</v>
      </c>
      <c r="G5669" t="s">
        <v>219</v>
      </c>
      <c r="H5669" t="s">
        <v>219</v>
      </c>
      <c r="I5669" t="s">
        <v>41</v>
      </c>
      <c r="J5669" t="s">
        <v>42</v>
      </c>
      <c r="K5669" t="s">
        <v>48</v>
      </c>
      <c r="L5669" t="s">
        <v>49</v>
      </c>
      <c r="M5669" t="s">
        <v>220</v>
      </c>
      <c r="N5669">
        <v>1156</v>
      </c>
      <c r="O5669">
        <v>0.10444334</v>
      </c>
      <c r="P5669">
        <v>7.6892419000000004E-2</v>
      </c>
      <c r="Q5669" t="str">
        <f t="shared" si="176"/>
        <v>25-34</v>
      </c>
      <c r="R5669" t="str">
        <f t="shared" si="177"/>
        <v>[am530wpaGvr]|25-34|Male|PLHIV_Residents.T|CY2025Q3</v>
      </c>
    </row>
    <row r="5670" spans="4:18" x14ac:dyDescent="0.2">
      <c r="D5670" t="s">
        <v>96</v>
      </c>
      <c r="E5670" t="s">
        <v>97</v>
      </c>
      <c r="F5670" t="s">
        <v>98</v>
      </c>
      <c r="G5670" t="s">
        <v>219</v>
      </c>
      <c r="H5670" t="s">
        <v>219</v>
      </c>
      <c r="I5670" t="s">
        <v>43</v>
      </c>
      <c r="J5670" t="s">
        <v>44</v>
      </c>
      <c r="K5670" t="s">
        <v>48</v>
      </c>
      <c r="L5670" t="s">
        <v>49</v>
      </c>
      <c r="M5670" t="s">
        <v>220</v>
      </c>
      <c r="N5670">
        <v>4347</v>
      </c>
      <c r="O5670">
        <v>8.0559934999999999E-2</v>
      </c>
      <c r="P5670">
        <v>7.6892419000000004E-2</v>
      </c>
      <c r="Q5670" t="str">
        <f t="shared" si="176"/>
        <v>35-49</v>
      </c>
      <c r="R5670" t="str">
        <f t="shared" si="177"/>
        <v>[am530wpaGvr]|35-49|Male|PLHIV_Residents.T|CY2025Q3</v>
      </c>
    </row>
    <row r="5671" spans="4:18" x14ac:dyDescent="0.2">
      <c r="D5671" t="s">
        <v>96</v>
      </c>
      <c r="E5671" t="s">
        <v>97</v>
      </c>
      <c r="F5671" t="s">
        <v>98</v>
      </c>
      <c r="G5671" t="s">
        <v>219</v>
      </c>
      <c r="H5671" t="s">
        <v>219</v>
      </c>
      <c r="I5671" t="s">
        <v>45</v>
      </c>
      <c r="J5671" t="s">
        <v>46</v>
      </c>
      <c r="K5671" t="s">
        <v>48</v>
      </c>
      <c r="L5671" t="s">
        <v>49</v>
      </c>
      <c r="M5671" t="s">
        <v>220</v>
      </c>
      <c r="N5671">
        <v>3611</v>
      </c>
      <c r="O5671">
        <v>7.5976852999999997E-2</v>
      </c>
      <c r="P5671">
        <v>7.6892419000000004E-2</v>
      </c>
      <c r="Q5671" t="str">
        <f t="shared" si="176"/>
        <v>50+</v>
      </c>
      <c r="R5671" t="str">
        <f t="shared" si="177"/>
        <v>[am530wpaGvr]|50+|Male|PLHIV_Residents.T|CY2025Q3</v>
      </c>
    </row>
    <row r="5672" spans="4:18" x14ac:dyDescent="0.2">
      <c r="D5672" t="s">
        <v>99</v>
      </c>
      <c r="E5672" t="s">
        <v>100</v>
      </c>
      <c r="F5672" t="s">
        <v>101</v>
      </c>
      <c r="G5672" t="s">
        <v>219</v>
      </c>
      <c r="H5672" t="s">
        <v>219</v>
      </c>
      <c r="I5672" t="s">
        <v>28</v>
      </c>
      <c r="J5672" t="s">
        <v>29</v>
      </c>
      <c r="K5672" t="s">
        <v>30</v>
      </c>
      <c r="L5672" t="s">
        <v>31</v>
      </c>
      <c r="M5672" t="s">
        <v>220</v>
      </c>
      <c r="N5672">
        <v>39</v>
      </c>
      <c r="O5672">
        <v>5.0080885999999998E-2</v>
      </c>
      <c r="P5672">
        <v>4.4474763E-2</v>
      </c>
      <c r="Q5672" t="str">
        <f t="shared" si="176"/>
        <v>&lt;01</v>
      </c>
      <c r="R5672" t="str">
        <f t="shared" si="177"/>
        <v>[lLDyBx5XyUi]|&lt;01|Female|PLHIV_Residents.T|CY2025Q3</v>
      </c>
    </row>
    <row r="5673" spans="4:18" x14ac:dyDescent="0.2">
      <c r="D5673" t="s">
        <v>99</v>
      </c>
      <c r="E5673" t="s">
        <v>100</v>
      </c>
      <c r="F5673" t="s">
        <v>101</v>
      </c>
      <c r="G5673" t="s">
        <v>219</v>
      </c>
      <c r="H5673" t="s">
        <v>219</v>
      </c>
      <c r="I5673" t="s">
        <v>33</v>
      </c>
      <c r="J5673" t="s">
        <v>34</v>
      </c>
      <c r="K5673" t="s">
        <v>30</v>
      </c>
      <c r="L5673" t="s">
        <v>31</v>
      </c>
      <c r="M5673" t="s">
        <v>220</v>
      </c>
      <c r="N5673">
        <v>776</v>
      </c>
      <c r="O5673">
        <v>5.5361522000000003E-2</v>
      </c>
      <c r="P5673">
        <v>4.4474763E-2</v>
      </c>
      <c r="Q5673" t="str">
        <f t="shared" si="176"/>
        <v>01-09</v>
      </c>
      <c r="R5673" t="str">
        <f t="shared" si="177"/>
        <v>[lLDyBx5XyUi]|01-09|Female|PLHIV_Residents.T|CY2025Q3</v>
      </c>
    </row>
    <row r="5674" spans="4:18" x14ac:dyDescent="0.2">
      <c r="D5674" t="s">
        <v>99</v>
      </c>
      <c r="E5674" t="s">
        <v>100</v>
      </c>
      <c r="F5674" t="s">
        <v>101</v>
      </c>
      <c r="G5674" t="s">
        <v>219</v>
      </c>
      <c r="H5674" t="s">
        <v>219</v>
      </c>
      <c r="I5674" t="s">
        <v>36</v>
      </c>
      <c r="J5674" t="s">
        <v>37</v>
      </c>
      <c r="K5674" t="s">
        <v>30</v>
      </c>
      <c r="L5674" t="s">
        <v>31</v>
      </c>
      <c r="M5674" t="s">
        <v>220</v>
      </c>
      <c r="N5674">
        <v>975</v>
      </c>
      <c r="O5674">
        <v>6.3833025000000002E-2</v>
      </c>
      <c r="P5674">
        <v>4.4474763E-2</v>
      </c>
      <c r="Q5674" t="str">
        <f t="shared" si="176"/>
        <v>10-14</v>
      </c>
      <c r="R5674" t="str">
        <f t="shared" si="177"/>
        <v>[lLDyBx5XyUi]|10-14|Female|PLHIV_Residents.T|CY2025Q3</v>
      </c>
    </row>
    <row r="5675" spans="4:18" x14ac:dyDescent="0.2">
      <c r="D5675" t="s">
        <v>99</v>
      </c>
      <c r="E5675" t="s">
        <v>100</v>
      </c>
      <c r="F5675" t="s">
        <v>101</v>
      </c>
      <c r="G5675" t="s">
        <v>219</v>
      </c>
      <c r="H5675" t="s">
        <v>219</v>
      </c>
      <c r="I5675" t="s">
        <v>38</v>
      </c>
      <c r="J5675" t="s">
        <v>39</v>
      </c>
      <c r="K5675" t="s">
        <v>30</v>
      </c>
      <c r="L5675" t="s">
        <v>31</v>
      </c>
      <c r="M5675" t="s">
        <v>220</v>
      </c>
      <c r="N5675">
        <v>3450</v>
      </c>
      <c r="O5675">
        <v>7.5006243E-2</v>
      </c>
      <c r="P5675">
        <v>4.4474763E-2</v>
      </c>
      <c r="Q5675" t="str">
        <f t="shared" si="176"/>
        <v>15-24</v>
      </c>
      <c r="R5675" t="str">
        <f t="shared" si="177"/>
        <v>[lLDyBx5XyUi]|15-24|Female|PLHIV_Residents.T|CY2025Q3</v>
      </c>
    </row>
    <row r="5676" spans="4:18" x14ac:dyDescent="0.2">
      <c r="D5676" t="s">
        <v>99</v>
      </c>
      <c r="E5676" t="s">
        <v>100</v>
      </c>
      <c r="F5676" t="s">
        <v>101</v>
      </c>
      <c r="G5676" t="s">
        <v>219</v>
      </c>
      <c r="H5676" t="s">
        <v>219</v>
      </c>
      <c r="I5676" t="s">
        <v>41</v>
      </c>
      <c r="J5676" t="s">
        <v>42</v>
      </c>
      <c r="K5676" t="s">
        <v>30</v>
      </c>
      <c r="L5676" t="s">
        <v>31</v>
      </c>
      <c r="M5676" t="s">
        <v>220</v>
      </c>
      <c r="N5676">
        <v>8231</v>
      </c>
      <c r="O5676">
        <v>5.8904169999999999E-2</v>
      </c>
      <c r="P5676">
        <v>4.4474763E-2</v>
      </c>
      <c r="Q5676" t="str">
        <f t="shared" si="176"/>
        <v>25-34</v>
      </c>
      <c r="R5676" t="str">
        <f t="shared" si="177"/>
        <v>[lLDyBx5XyUi]|25-34|Female|PLHIV_Residents.T|CY2025Q3</v>
      </c>
    </row>
    <row r="5677" spans="4:18" x14ac:dyDescent="0.2">
      <c r="D5677" t="s">
        <v>99</v>
      </c>
      <c r="E5677" t="s">
        <v>100</v>
      </c>
      <c r="F5677" t="s">
        <v>101</v>
      </c>
      <c r="G5677" t="s">
        <v>219</v>
      </c>
      <c r="H5677" t="s">
        <v>219</v>
      </c>
      <c r="I5677" t="s">
        <v>43</v>
      </c>
      <c r="J5677" t="s">
        <v>44</v>
      </c>
      <c r="K5677" t="s">
        <v>30</v>
      </c>
      <c r="L5677" t="s">
        <v>31</v>
      </c>
      <c r="M5677" t="s">
        <v>220</v>
      </c>
      <c r="N5677">
        <v>20612</v>
      </c>
      <c r="O5677">
        <v>4.4988181000000002E-2</v>
      </c>
      <c r="P5677">
        <v>4.4474763E-2</v>
      </c>
      <c r="Q5677" t="str">
        <f t="shared" si="176"/>
        <v>35-49</v>
      </c>
      <c r="R5677" t="str">
        <f t="shared" si="177"/>
        <v>[lLDyBx5XyUi]|35-49|Female|PLHIV_Residents.T|CY2025Q3</v>
      </c>
    </row>
    <row r="5678" spans="4:18" x14ac:dyDescent="0.2">
      <c r="D5678" t="s">
        <v>99</v>
      </c>
      <c r="E5678" t="s">
        <v>100</v>
      </c>
      <c r="F5678" t="s">
        <v>101</v>
      </c>
      <c r="G5678" t="s">
        <v>219</v>
      </c>
      <c r="H5678" t="s">
        <v>219</v>
      </c>
      <c r="I5678" t="s">
        <v>45</v>
      </c>
      <c r="J5678" t="s">
        <v>46</v>
      </c>
      <c r="K5678" t="s">
        <v>30</v>
      </c>
      <c r="L5678" t="s">
        <v>31</v>
      </c>
      <c r="M5678" t="s">
        <v>220</v>
      </c>
      <c r="N5678">
        <v>10549</v>
      </c>
      <c r="O5678">
        <v>5.1985662000000002E-2</v>
      </c>
      <c r="P5678">
        <v>4.4474763E-2</v>
      </c>
      <c r="Q5678" t="str">
        <f t="shared" si="176"/>
        <v>50+</v>
      </c>
      <c r="R5678" t="str">
        <f t="shared" si="177"/>
        <v>[lLDyBx5XyUi]|50+|Female|PLHIV_Residents.T|CY2025Q3</v>
      </c>
    </row>
    <row r="5679" spans="4:18" x14ac:dyDescent="0.2">
      <c r="D5679" t="s">
        <v>99</v>
      </c>
      <c r="E5679" t="s">
        <v>100</v>
      </c>
      <c r="F5679" t="s">
        <v>101</v>
      </c>
      <c r="G5679" t="s">
        <v>219</v>
      </c>
      <c r="H5679" t="s">
        <v>219</v>
      </c>
      <c r="I5679" t="s">
        <v>28</v>
      </c>
      <c r="J5679" t="s">
        <v>29</v>
      </c>
      <c r="K5679" t="s">
        <v>48</v>
      </c>
      <c r="L5679" t="s">
        <v>49</v>
      </c>
      <c r="M5679" t="s">
        <v>220</v>
      </c>
      <c r="N5679">
        <v>40</v>
      </c>
      <c r="O5679">
        <v>5.0062074999999998E-2</v>
      </c>
      <c r="P5679">
        <v>4.4474763E-2</v>
      </c>
      <c r="Q5679" t="str">
        <f t="shared" si="176"/>
        <v>&lt;01</v>
      </c>
      <c r="R5679" t="str">
        <f t="shared" si="177"/>
        <v>[lLDyBx5XyUi]|&lt;01|Male|PLHIV_Residents.T|CY2025Q3</v>
      </c>
    </row>
    <row r="5680" spans="4:18" x14ac:dyDescent="0.2">
      <c r="D5680" t="s">
        <v>99</v>
      </c>
      <c r="E5680" t="s">
        <v>100</v>
      </c>
      <c r="F5680" t="s">
        <v>101</v>
      </c>
      <c r="G5680" t="s">
        <v>219</v>
      </c>
      <c r="H5680" t="s">
        <v>219</v>
      </c>
      <c r="I5680" t="s">
        <v>33</v>
      </c>
      <c r="J5680" t="s">
        <v>34</v>
      </c>
      <c r="K5680" t="s">
        <v>48</v>
      </c>
      <c r="L5680" t="s">
        <v>49</v>
      </c>
      <c r="M5680" t="s">
        <v>220</v>
      </c>
      <c r="N5680">
        <v>784</v>
      </c>
      <c r="O5680">
        <v>5.5352184999999998E-2</v>
      </c>
      <c r="P5680">
        <v>4.4474763E-2</v>
      </c>
      <c r="Q5680" t="str">
        <f t="shared" si="176"/>
        <v>01-09</v>
      </c>
      <c r="R5680" t="str">
        <f t="shared" si="177"/>
        <v>[lLDyBx5XyUi]|01-09|Male|PLHIV_Residents.T|CY2025Q3</v>
      </c>
    </row>
    <row r="5681" spans="4:18" x14ac:dyDescent="0.2">
      <c r="D5681" t="s">
        <v>99</v>
      </c>
      <c r="E5681" t="s">
        <v>100</v>
      </c>
      <c r="F5681" t="s">
        <v>101</v>
      </c>
      <c r="G5681" t="s">
        <v>219</v>
      </c>
      <c r="H5681" t="s">
        <v>219</v>
      </c>
      <c r="I5681" t="s">
        <v>36</v>
      </c>
      <c r="J5681" t="s">
        <v>37</v>
      </c>
      <c r="K5681" t="s">
        <v>48</v>
      </c>
      <c r="L5681" t="s">
        <v>49</v>
      </c>
      <c r="M5681" t="s">
        <v>220</v>
      </c>
      <c r="N5681">
        <v>987</v>
      </c>
      <c r="O5681">
        <v>6.3832191999999996E-2</v>
      </c>
      <c r="P5681">
        <v>4.4474763E-2</v>
      </c>
      <c r="Q5681" t="str">
        <f t="shared" si="176"/>
        <v>10-14</v>
      </c>
      <c r="R5681" t="str">
        <f t="shared" si="177"/>
        <v>[lLDyBx5XyUi]|10-14|Male|PLHIV_Residents.T|CY2025Q3</v>
      </c>
    </row>
    <row r="5682" spans="4:18" x14ac:dyDescent="0.2">
      <c r="D5682" t="s">
        <v>99</v>
      </c>
      <c r="E5682" t="s">
        <v>100</v>
      </c>
      <c r="F5682" t="s">
        <v>101</v>
      </c>
      <c r="G5682" t="s">
        <v>219</v>
      </c>
      <c r="H5682" t="s">
        <v>219</v>
      </c>
      <c r="I5682" t="s">
        <v>38</v>
      </c>
      <c r="J5682" t="s">
        <v>39</v>
      </c>
      <c r="K5682" t="s">
        <v>48</v>
      </c>
      <c r="L5682" t="s">
        <v>49</v>
      </c>
      <c r="M5682" t="s">
        <v>220</v>
      </c>
      <c r="N5682">
        <v>2294</v>
      </c>
      <c r="O5682">
        <v>7.5205614000000004E-2</v>
      </c>
      <c r="P5682">
        <v>4.4474763E-2</v>
      </c>
      <c r="Q5682" t="str">
        <f t="shared" si="176"/>
        <v>15-24</v>
      </c>
      <c r="R5682" t="str">
        <f t="shared" si="177"/>
        <v>[lLDyBx5XyUi]|15-24|Male|PLHIV_Residents.T|CY2025Q3</v>
      </c>
    </row>
    <row r="5683" spans="4:18" x14ac:dyDescent="0.2">
      <c r="D5683" t="s">
        <v>99</v>
      </c>
      <c r="E5683" t="s">
        <v>100</v>
      </c>
      <c r="F5683" t="s">
        <v>101</v>
      </c>
      <c r="G5683" t="s">
        <v>219</v>
      </c>
      <c r="H5683" t="s">
        <v>219</v>
      </c>
      <c r="I5683" t="s">
        <v>41</v>
      </c>
      <c r="J5683" t="s">
        <v>42</v>
      </c>
      <c r="K5683" t="s">
        <v>48</v>
      </c>
      <c r="L5683" t="s">
        <v>49</v>
      </c>
      <c r="M5683" t="s">
        <v>220</v>
      </c>
      <c r="N5683">
        <v>2406</v>
      </c>
      <c r="O5683">
        <v>8.1043932999999999E-2</v>
      </c>
      <c r="P5683">
        <v>4.4474763E-2</v>
      </c>
      <c r="Q5683" t="str">
        <f t="shared" si="176"/>
        <v>25-34</v>
      </c>
      <c r="R5683" t="str">
        <f t="shared" si="177"/>
        <v>[lLDyBx5XyUi]|25-34|Male|PLHIV_Residents.T|CY2025Q3</v>
      </c>
    </row>
    <row r="5684" spans="4:18" x14ac:dyDescent="0.2">
      <c r="D5684" t="s">
        <v>99</v>
      </c>
      <c r="E5684" t="s">
        <v>100</v>
      </c>
      <c r="F5684" t="s">
        <v>101</v>
      </c>
      <c r="G5684" t="s">
        <v>219</v>
      </c>
      <c r="H5684" t="s">
        <v>219</v>
      </c>
      <c r="I5684" t="s">
        <v>43</v>
      </c>
      <c r="J5684" t="s">
        <v>44</v>
      </c>
      <c r="K5684" t="s">
        <v>48</v>
      </c>
      <c r="L5684" t="s">
        <v>49</v>
      </c>
      <c r="M5684" t="s">
        <v>220</v>
      </c>
      <c r="N5684">
        <v>8584</v>
      </c>
      <c r="O5684">
        <v>5.3866028000000003E-2</v>
      </c>
      <c r="P5684">
        <v>4.4474763E-2</v>
      </c>
      <c r="Q5684" t="str">
        <f t="shared" si="176"/>
        <v>35-49</v>
      </c>
      <c r="R5684" t="str">
        <f t="shared" si="177"/>
        <v>[lLDyBx5XyUi]|35-49|Male|PLHIV_Residents.T|CY2025Q3</v>
      </c>
    </row>
    <row r="5685" spans="4:18" x14ac:dyDescent="0.2">
      <c r="D5685" t="s">
        <v>99</v>
      </c>
      <c r="E5685" t="s">
        <v>100</v>
      </c>
      <c r="F5685" t="s">
        <v>101</v>
      </c>
      <c r="G5685" t="s">
        <v>219</v>
      </c>
      <c r="H5685" t="s">
        <v>219</v>
      </c>
      <c r="I5685" t="s">
        <v>45</v>
      </c>
      <c r="J5685" t="s">
        <v>46</v>
      </c>
      <c r="K5685" t="s">
        <v>48</v>
      </c>
      <c r="L5685" t="s">
        <v>49</v>
      </c>
      <c r="M5685" t="s">
        <v>220</v>
      </c>
      <c r="N5685">
        <v>7448</v>
      </c>
      <c r="O5685">
        <v>5.0998182000000003E-2</v>
      </c>
      <c r="P5685">
        <v>4.4474763E-2</v>
      </c>
      <c r="Q5685" t="str">
        <f t="shared" si="176"/>
        <v>50+</v>
      </c>
      <c r="R5685" t="str">
        <f t="shared" si="177"/>
        <v>[lLDyBx5XyUi]|50+|Male|PLHIV_Residents.T|CY2025Q3</v>
      </c>
    </row>
    <row r="5686" spans="4:18" x14ac:dyDescent="0.2">
      <c r="D5686" t="s">
        <v>102</v>
      </c>
      <c r="E5686" t="s">
        <v>103</v>
      </c>
      <c r="F5686" t="s">
        <v>104</v>
      </c>
      <c r="G5686" t="s">
        <v>219</v>
      </c>
      <c r="H5686" t="s">
        <v>219</v>
      </c>
      <c r="I5686" t="s">
        <v>28</v>
      </c>
      <c r="J5686" t="s">
        <v>29</v>
      </c>
      <c r="K5686" t="s">
        <v>30</v>
      </c>
      <c r="L5686" t="s">
        <v>31</v>
      </c>
      <c r="M5686" t="s">
        <v>220</v>
      </c>
      <c r="N5686">
        <v>18</v>
      </c>
      <c r="O5686">
        <v>7.0347957000000003E-2</v>
      </c>
      <c r="P5686">
        <v>6.5414108999999998E-2</v>
      </c>
      <c r="Q5686" t="str">
        <f t="shared" si="176"/>
        <v>&lt;01</v>
      </c>
      <c r="R5686" t="str">
        <f t="shared" si="177"/>
        <v>[TYnMSwzko3z]|&lt;01|Female|PLHIV_Residents.T|CY2025Q3</v>
      </c>
    </row>
    <row r="5687" spans="4:18" x14ac:dyDescent="0.2">
      <c r="D5687" t="s">
        <v>102</v>
      </c>
      <c r="E5687" t="s">
        <v>103</v>
      </c>
      <c r="F5687" t="s">
        <v>104</v>
      </c>
      <c r="G5687" t="s">
        <v>219</v>
      </c>
      <c r="H5687" t="s">
        <v>219</v>
      </c>
      <c r="I5687" t="s">
        <v>33</v>
      </c>
      <c r="J5687" t="s">
        <v>34</v>
      </c>
      <c r="K5687" t="s">
        <v>30</v>
      </c>
      <c r="L5687" t="s">
        <v>31</v>
      </c>
      <c r="M5687" t="s">
        <v>220</v>
      </c>
      <c r="N5687">
        <v>349</v>
      </c>
      <c r="O5687">
        <v>7.6949145999999996E-2</v>
      </c>
      <c r="P5687">
        <v>6.5414108999999998E-2</v>
      </c>
      <c r="Q5687" t="str">
        <f t="shared" si="176"/>
        <v>01-09</v>
      </c>
      <c r="R5687" t="str">
        <f t="shared" si="177"/>
        <v>[TYnMSwzko3z]|01-09|Female|PLHIV_Residents.T|CY2025Q3</v>
      </c>
    </row>
    <row r="5688" spans="4:18" x14ac:dyDescent="0.2">
      <c r="D5688" t="s">
        <v>102</v>
      </c>
      <c r="E5688" t="s">
        <v>103</v>
      </c>
      <c r="F5688" t="s">
        <v>104</v>
      </c>
      <c r="G5688" t="s">
        <v>219</v>
      </c>
      <c r="H5688" t="s">
        <v>219</v>
      </c>
      <c r="I5688" t="s">
        <v>36</v>
      </c>
      <c r="J5688" t="s">
        <v>37</v>
      </c>
      <c r="K5688" t="s">
        <v>30</v>
      </c>
      <c r="L5688" t="s">
        <v>31</v>
      </c>
      <c r="M5688" t="s">
        <v>220</v>
      </c>
      <c r="N5688">
        <v>453</v>
      </c>
      <c r="O5688">
        <v>8.7690031000000002E-2</v>
      </c>
      <c r="P5688">
        <v>6.5414108999999998E-2</v>
      </c>
      <c r="Q5688" t="str">
        <f t="shared" si="176"/>
        <v>10-14</v>
      </c>
      <c r="R5688" t="str">
        <f t="shared" si="177"/>
        <v>[TYnMSwzko3z]|10-14|Female|PLHIV_Residents.T|CY2025Q3</v>
      </c>
    </row>
    <row r="5689" spans="4:18" x14ac:dyDescent="0.2">
      <c r="D5689" t="s">
        <v>102</v>
      </c>
      <c r="E5689" t="s">
        <v>103</v>
      </c>
      <c r="F5689" t="s">
        <v>104</v>
      </c>
      <c r="G5689" t="s">
        <v>219</v>
      </c>
      <c r="H5689" t="s">
        <v>219</v>
      </c>
      <c r="I5689" t="s">
        <v>38</v>
      </c>
      <c r="J5689" t="s">
        <v>39</v>
      </c>
      <c r="K5689" t="s">
        <v>30</v>
      </c>
      <c r="L5689" t="s">
        <v>31</v>
      </c>
      <c r="M5689" t="s">
        <v>220</v>
      </c>
      <c r="N5689">
        <v>1572</v>
      </c>
      <c r="O5689">
        <v>8.7549320999999999E-2</v>
      </c>
      <c r="P5689">
        <v>6.5414108999999998E-2</v>
      </c>
      <c r="Q5689" t="str">
        <f t="shared" si="176"/>
        <v>15-24</v>
      </c>
      <c r="R5689" t="str">
        <f t="shared" si="177"/>
        <v>[TYnMSwzko3z]|15-24|Female|PLHIV_Residents.T|CY2025Q3</v>
      </c>
    </row>
    <row r="5690" spans="4:18" x14ac:dyDescent="0.2">
      <c r="D5690" t="s">
        <v>102</v>
      </c>
      <c r="E5690" t="s">
        <v>103</v>
      </c>
      <c r="F5690" t="s">
        <v>104</v>
      </c>
      <c r="G5690" t="s">
        <v>219</v>
      </c>
      <c r="H5690" t="s">
        <v>219</v>
      </c>
      <c r="I5690" t="s">
        <v>41</v>
      </c>
      <c r="J5690" t="s">
        <v>42</v>
      </c>
      <c r="K5690" t="s">
        <v>30</v>
      </c>
      <c r="L5690" t="s">
        <v>31</v>
      </c>
      <c r="M5690" t="s">
        <v>220</v>
      </c>
      <c r="N5690">
        <v>3731</v>
      </c>
      <c r="O5690">
        <v>7.6833172000000005E-2</v>
      </c>
      <c r="P5690">
        <v>6.5414108999999998E-2</v>
      </c>
      <c r="Q5690" t="str">
        <f t="shared" si="176"/>
        <v>25-34</v>
      </c>
      <c r="R5690" t="str">
        <f t="shared" si="177"/>
        <v>[TYnMSwzko3z]|25-34|Female|PLHIV_Residents.T|CY2025Q3</v>
      </c>
    </row>
    <row r="5691" spans="4:18" x14ac:dyDescent="0.2">
      <c r="D5691" t="s">
        <v>102</v>
      </c>
      <c r="E5691" t="s">
        <v>103</v>
      </c>
      <c r="F5691" t="s">
        <v>104</v>
      </c>
      <c r="G5691" t="s">
        <v>219</v>
      </c>
      <c r="H5691" t="s">
        <v>219</v>
      </c>
      <c r="I5691" t="s">
        <v>43</v>
      </c>
      <c r="J5691" t="s">
        <v>44</v>
      </c>
      <c r="K5691" t="s">
        <v>30</v>
      </c>
      <c r="L5691" t="s">
        <v>31</v>
      </c>
      <c r="M5691" t="s">
        <v>220</v>
      </c>
      <c r="N5691">
        <v>9774</v>
      </c>
      <c r="O5691">
        <v>6.5031139000000002E-2</v>
      </c>
      <c r="P5691">
        <v>6.5414108999999998E-2</v>
      </c>
      <c r="Q5691" t="str">
        <f t="shared" si="176"/>
        <v>35-49</v>
      </c>
      <c r="R5691" t="str">
        <f t="shared" si="177"/>
        <v>[TYnMSwzko3z]|35-49|Female|PLHIV_Residents.T|CY2025Q3</v>
      </c>
    </row>
    <row r="5692" spans="4:18" x14ac:dyDescent="0.2">
      <c r="D5692" t="s">
        <v>102</v>
      </c>
      <c r="E5692" t="s">
        <v>103</v>
      </c>
      <c r="F5692" t="s">
        <v>104</v>
      </c>
      <c r="G5692" t="s">
        <v>219</v>
      </c>
      <c r="H5692" t="s">
        <v>219</v>
      </c>
      <c r="I5692" t="s">
        <v>45</v>
      </c>
      <c r="J5692" t="s">
        <v>46</v>
      </c>
      <c r="K5692" t="s">
        <v>30</v>
      </c>
      <c r="L5692" t="s">
        <v>31</v>
      </c>
      <c r="M5692" t="s">
        <v>220</v>
      </c>
      <c r="N5692">
        <v>4905</v>
      </c>
      <c r="O5692">
        <v>7.1702039999999995E-2</v>
      </c>
      <c r="P5692">
        <v>6.5414108999999998E-2</v>
      </c>
      <c r="Q5692" t="str">
        <f t="shared" si="176"/>
        <v>50+</v>
      </c>
      <c r="R5692" t="str">
        <f t="shared" si="177"/>
        <v>[TYnMSwzko3z]|50+|Female|PLHIV_Residents.T|CY2025Q3</v>
      </c>
    </row>
    <row r="5693" spans="4:18" x14ac:dyDescent="0.2">
      <c r="D5693" t="s">
        <v>102</v>
      </c>
      <c r="E5693" t="s">
        <v>103</v>
      </c>
      <c r="F5693" t="s">
        <v>104</v>
      </c>
      <c r="G5693" t="s">
        <v>219</v>
      </c>
      <c r="H5693" t="s">
        <v>219</v>
      </c>
      <c r="I5693" t="s">
        <v>28</v>
      </c>
      <c r="J5693" t="s">
        <v>29</v>
      </c>
      <c r="K5693" t="s">
        <v>48</v>
      </c>
      <c r="L5693" t="s">
        <v>49</v>
      </c>
      <c r="M5693" t="s">
        <v>220</v>
      </c>
      <c r="N5693">
        <v>18</v>
      </c>
      <c r="O5693">
        <v>7.0311587999999994E-2</v>
      </c>
      <c r="P5693">
        <v>6.5414108999999998E-2</v>
      </c>
      <c r="Q5693" t="str">
        <f t="shared" si="176"/>
        <v>&lt;01</v>
      </c>
      <c r="R5693" t="str">
        <f t="shared" si="177"/>
        <v>[TYnMSwzko3z]|&lt;01|Male|PLHIV_Residents.T|CY2025Q3</v>
      </c>
    </row>
    <row r="5694" spans="4:18" x14ac:dyDescent="0.2">
      <c r="D5694" t="s">
        <v>102</v>
      </c>
      <c r="E5694" t="s">
        <v>103</v>
      </c>
      <c r="F5694" t="s">
        <v>104</v>
      </c>
      <c r="G5694" t="s">
        <v>219</v>
      </c>
      <c r="H5694" t="s">
        <v>219</v>
      </c>
      <c r="I5694" t="s">
        <v>33</v>
      </c>
      <c r="J5694" t="s">
        <v>34</v>
      </c>
      <c r="K5694" t="s">
        <v>48</v>
      </c>
      <c r="L5694" t="s">
        <v>49</v>
      </c>
      <c r="M5694" t="s">
        <v>220</v>
      </c>
      <c r="N5694">
        <v>351</v>
      </c>
      <c r="O5694">
        <v>7.6915554999999997E-2</v>
      </c>
      <c r="P5694">
        <v>6.5414108999999998E-2</v>
      </c>
      <c r="Q5694" t="str">
        <f t="shared" si="176"/>
        <v>01-09</v>
      </c>
      <c r="R5694" t="str">
        <f t="shared" si="177"/>
        <v>[TYnMSwzko3z]|01-09|Male|PLHIV_Residents.T|CY2025Q3</v>
      </c>
    </row>
    <row r="5695" spans="4:18" x14ac:dyDescent="0.2">
      <c r="D5695" t="s">
        <v>102</v>
      </c>
      <c r="E5695" t="s">
        <v>103</v>
      </c>
      <c r="F5695" t="s">
        <v>104</v>
      </c>
      <c r="G5695" t="s">
        <v>219</v>
      </c>
      <c r="H5695" t="s">
        <v>219</v>
      </c>
      <c r="I5695" t="s">
        <v>36</v>
      </c>
      <c r="J5695" t="s">
        <v>37</v>
      </c>
      <c r="K5695" t="s">
        <v>48</v>
      </c>
      <c r="L5695" t="s">
        <v>49</v>
      </c>
      <c r="M5695" t="s">
        <v>220</v>
      </c>
      <c r="N5695">
        <v>452</v>
      </c>
      <c r="O5695">
        <v>8.7685171000000006E-2</v>
      </c>
      <c r="P5695">
        <v>6.5414108999999998E-2</v>
      </c>
      <c r="Q5695" t="str">
        <f t="shared" si="176"/>
        <v>10-14</v>
      </c>
      <c r="R5695" t="str">
        <f t="shared" si="177"/>
        <v>[TYnMSwzko3z]|10-14|Male|PLHIV_Residents.T|CY2025Q3</v>
      </c>
    </row>
    <row r="5696" spans="4:18" x14ac:dyDescent="0.2">
      <c r="D5696" t="s">
        <v>102</v>
      </c>
      <c r="E5696" t="s">
        <v>103</v>
      </c>
      <c r="F5696" t="s">
        <v>104</v>
      </c>
      <c r="G5696" t="s">
        <v>219</v>
      </c>
      <c r="H5696" t="s">
        <v>219</v>
      </c>
      <c r="I5696" t="s">
        <v>38</v>
      </c>
      <c r="J5696" t="s">
        <v>39</v>
      </c>
      <c r="K5696" t="s">
        <v>48</v>
      </c>
      <c r="L5696" t="s">
        <v>49</v>
      </c>
      <c r="M5696" t="s">
        <v>220</v>
      </c>
      <c r="N5696">
        <v>1057</v>
      </c>
      <c r="O5696">
        <v>9.0275123999999998E-2</v>
      </c>
      <c r="P5696">
        <v>6.5414108999999998E-2</v>
      </c>
      <c r="Q5696" t="str">
        <f t="shared" si="176"/>
        <v>15-24</v>
      </c>
      <c r="R5696" t="str">
        <f t="shared" si="177"/>
        <v>[TYnMSwzko3z]|15-24|Male|PLHIV_Residents.T|CY2025Q3</v>
      </c>
    </row>
    <row r="5697" spans="4:18" x14ac:dyDescent="0.2">
      <c r="D5697" t="s">
        <v>102</v>
      </c>
      <c r="E5697" t="s">
        <v>103</v>
      </c>
      <c r="F5697" t="s">
        <v>104</v>
      </c>
      <c r="G5697" t="s">
        <v>219</v>
      </c>
      <c r="H5697" t="s">
        <v>219</v>
      </c>
      <c r="I5697" t="s">
        <v>41</v>
      </c>
      <c r="J5697" t="s">
        <v>42</v>
      </c>
      <c r="K5697" t="s">
        <v>48</v>
      </c>
      <c r="L5697" t="s">
        <v>49</v>
      </c>
      <c r="M5697" t="s">
        <v>220</v>
      </c>
      <c r="N5697">
        <v>1101</v>
      </c>
      <c r="O5697">
        <v>9.2893106000000003E-2</v>
      </c>
      <c r="P5697">
        <v>6.5414108999999998E-2</v>
      </c>
      <c r="Q5697" t="str">
        <f t="shared" si="176"/>
        <v>25-34</v>
      </c>
      <c r="R5697" t="str">
        <f t="shared" si="177"/>
        <v>[TYnMSwzko3z]|25-34|Male|PLHIV_Residents.T|CY2025Q3</v>
      </c>
    </row>
    <row r="5698" spans="4:18" x14ac:dyDescent="0.2">
      <c r="D5698" t="s">
        <v>102</v>
      </c>
      <c r="E5698" t="s">
        <v>103</v>
      </c>
      <c r="F5698" t="s">
        <v>104</v>
      </c>
      <c r="G5698" t="s">
        <v>219</v>
      </c>
      <c r="H5698" t="s">
        <v>219</v>
      </c>
      <c r="I5698" t="s">
        <v>43</v>
      </c>
      <c r="J5698" t="s">
        <v>44</v>
      </c>
      <c r="K5698" t="s">
        <v>48</v>
      </c>
      <c r="L5698" t="s">
        <v>49</v>
      </c>
      <c r="M5698" t="s">
        <v>220</v>
      </c>
      <c r="N5698">
        <v>3963</v>
      </c>
      <c r="O5698">
        <v>7.4828323000000002E-2</v>
      </c>
      <c r="P5698">
        <v>6.5414108999999998E-2</v>
      </c>
      <c r="Q5698" t="str">
        <f t="shared" si="176"/>
        <v>35-49</v>
      </c>
      <c r="R5698" t="str">
        <f t="shared" si="177"/>
        <v>[TYnMSwzko3z]|35-49|Male|PLHIV_Residents.T|CY2025Q3</v>
      </c>
    </row>
    <row r="5699" spans="4:18" x14ac:dyDescent="0.2">
      <c r="D5699" t="s">
        <v>102</v>
      </c>
      <c r="E5699" t="s">
        <v>103</v>
      </c>
      <c r="F5699" t="s">
        <v>104</v>
      </c>
      <c r="G5699" t="s">
        <v>219</v>
      </c>
      <c r="H5699" t="s">
        <v>219</v>
      </c>
      <c r="I5699" t="s">
        <v>45</v>
      </c>
      <c r="J5699" t="s">
        <v>46</v>
      </c>
      <c r="K5699" t="s">
        <v>48</v>
      </c>
      <c r="L5699" t="s">
        <v>49</v>
      </c>
      <c r="M5699" t="s">
        <v>220</v>
      </c>
      <c r="N5699">
        <v>3515</v>
      </c>
      <c r="O5699">
        <v>7.2215890000000005E-2</v>
      </c>
      <c r="P5699">
        <v>6.5414108999999998E-2</v>
      </c>
      <c r="Q5699" t="str">
        <f t="shared" ref="Q5699:Q5762" si="178">SUBSTITUTE(SUBSTITUTE($I5699,CHAR(61),""),CHAR(34),"")</f>
        <v>50+</v>
      </c>
      <c r="R5699" t="str">
        <f t="shared" ref="R5699:R5762" si="179">IF($D5699&lt;&gt;"","["&amp;$E5699&amp;"]"&amp;"|"&amp;$Q5699&amp;"|"&amp;$K5699&amp;"|"&amp;$G5699&amp;"|"&amp;IF($G5699="TX_CURR_SUBNAT.R","CY2023Q4",$M5699),"")</f>
        <v>[TYnMSwzko3z]|50+|Male|PLHIV_Residents.T|CY2025Q3</v>
      </c>
    </row>
    <row r="5700" spans="4:18" x14ac:dyDescent="0.2">
      <c r="D5700" t="s">
        <v>105</v>
      </c>
      <c r="E5700" t="s">
        <v>106</v>
      </c>
      <c r="F5700" t="s">
        <v>107</v>
      </c>
      <c r="G5700" t="s">
        <v>219</v>
      </c>
      <c r="H5700" t="s">
        <v>219</v>
      </c>
      <c r="I5700" t="s">
        <v>28</v>
      </c>
      <c r="J5700" t="s">
        <v>29</v>
      </c>
      <c r="K5700" t="s">
        <v>30</v>
      </c>
      <c r="L5700" t="s">
        <v>31</v>
      </c>
      <c r="M5700" t="s">
        <v>220</v>
      </c>
      <c r="N5700">
        <v>35</v>
      </c>
      <c r="O5700">
        <v>4.0411514000000003E-2</v>
      </c>
      <c r="P5700">
        <v>3.6449686000000002E-2</v>
      </c>
      <c r="Q5700" t="str">
        <f t="shared" si="178"/>
        <v>&lt;01</v>
      </c>
      <c r="R5700" t="str">
        <f t="shared" si="179"/>
        <v>[fyEoGEPERdI]|&lt;01|Female|PLHIV_Residents.T|CY2025Q3</v>
      </c>
    </row>
    <row r="5701" spans="4:18" x14ac:dyDescent="0.2">
      <c r="D5701" t="s">
        <v>105</v>
      </c>
      <c r="E5701" t="s">
        <v>106</v>
      </c>
      <c r="F5701" t="s">
        <v>107</v>
      </c>
      <c r="G5701" t="s">
        <v>219</v>
      </c>
      <c r="H5701" t="s">
        <v>219</v>
      </c>
      <c r="I5701" t="s">
        <v>33</v>
      </c>
      <c r="J5701" t="s">
        <v>34</v>
      </c>
      <c r="K5701" t="s">
        <v>30</v>
      </c>
      <c r="L5701" t="s">
        <v>31</v>
      </c>
      <c r="M5701" t="s">
        <v>220</v>
      </c>
      <c r="N5701">
        <v>632</v>
      </c>
      <c r="O5701">
        <v>4.4687258000000001E-2</v>
      </c>
      <c r="P5701">
        <v>3.6449686000000002E-2</v>
      </c>
      <c r="Q5701" t="str">
        <f t="shared" si="178"/>
        <v>01-09</v>
      </c>
      <c r="R5701" t="str">
        <f t="shared" si="179"/>
        <v>[fyEoGEPERdI]|01-09|Female|PLHIV_Residents.T|CY2025Q3</v>
      </c>
    </row>
    <row r="5702" spans="4:18" x14ac:dyDescent="0.2">
      <c r="D5702" t="s">
        <v>105</v>
      </c>
      <c r="E5702" t="s">
        <v>106</v>
      </c>
      <c r="F5702" t="s">
        <v>107</v>
      </c>
      <c r="G5702" t="s">
        <v>219</v>
      </c>
      <c r="H5702" t="s">
        <v>219</v>
      </c>
      <c r="I5702" t="s">
        <v>36</v>
      </c>
      <c r="J5702" t="s">
        <v>37</v>
      </c>
      <c r="K5702" t="s">
        <v>30</v>
      </c>
      <c r="L5702" t="s">
        <v>31</v>
      </c>
      <c r="M5702" t="s">
        <v>220</v>
      </c>
      <c r="N5702">
        <v>801</v>
      </c>
      <c r="O5702">
        <v>5.2079140000000003E-2</v>
      </c>
      <c r="P5702">
        <v>3.6449686000000002E-2</v>
      </c>
      <c r="Q5702" t="str">
        <f t="shared" si="178"/>
        <v>10-14</v>
      </c>
      <c r="R5702" t="str">
        <f t="shared" si="179"/>
        <v>[fyEoGEPERdI]|10-14|Female|PLHIV_Residents.T|CY2025Q3</v>
      </c>
    </row>
    <row r="5703" spans="4:18" x14ac:dyDescent="0.2">
      <c r="D5703" t="s">
        <v>105</v>
      </c>
      <c r="E5703" t="s">
        <v>106</v>
      </c>
      <c r="F5703" t="s">
        <v>107</v>
      </c>
      <c r="G5703" t="s">
        <v>219</v>
      </c>
      <c r="H5703" t="s">
        <v>219</v>
      </c>
      <c r="I5703" t="s">
        <v>38</v>
      </c>
      <c r="J5703" t="s">
        <v>39</v>
      </c>
      <c r="K5703" t="s">
        <v>30</v>
      </c>
      <c r="L5703" t="s">
        <v>31</v>
      </c>
      <c r="M5703" t="s">
        <v>220</v>
      </c>
      <c r="N5703">
        <v>3338</v>
      </c>
      <c r="O5703">
        <v>6.7655667000000003E-2</v>
      </c>
      <c r="P5703">
        <v>3.6449686000000002E-2</v>
      </c>
      <c r="Q5703" t="str">
        <f t="shared" si="178"/>
        <v>15-24</v>
      </c>
      <c r="R5703" t="str">
        <f t="shared" si="179"/>
        <v>[fyEoGEPERdI]|15-24|Female|PLHIV_Residents.T|CY2025Q3</v>
      </c>
    </row>
    <row r="5704" spans="4:18" x14ac:dyDescent="0.2">
      <c r="D5704" t="s">
        <v>105</v>
      </c>
      <c r="E5704" t="s">
        <v>106</v>
      </c>
      <c r="F5704" t="s">
        <v>107</v>
      </c>
      <c r="G5704" t="s">
        <v>219</v>
      </c>
      <c r="H5704" t="s">
        <v>219</v>
      </c>
      <c r="I5704" t="s">
        <v>41</v>
      </c>
      <c r="J5704" t="s">
        <v>42</v>
      </c>
      <c r="K5704" t="s">
        <v>30</v>
      </c>
      <c r="L5704" t="s">
        <v>31</v>
      </c>
      <c r="M5704" t="s">
        <v>220</v>
      </c>
      <c r="N5704">
        <v>8259</v>
      </c>
      <c r="O5704">
        <v>5.0179525000000003E-2</v>
      </c>
      <c r="P5704">
        <v>3.6449686000000002E-2</v>
      </c>
      <c r="Q5704" t="str">
        <f t="shared" si="178"/>
        <v>25-34</v>
      </c>
      <c r="R5704" t="str">
        <f t="shared" si="179"/>
        <v>[fyEoGEPERdI]|25-34|Female|PLHIV_Residents.T|CY2025Q3</v>
      </c>
    </row>
    <row r="5705" spans="4:18" x14ac:dyDescent="0.2">
      <c r="D5705" t="s">
        <v>105</v>
      </c>
      <c r="E5705" t="s">
        <v>106</v>
      </c>
      <c r="F5705" t="s">
        <v>107</v>
      </c>
      <c r="G5705" t="s">
        <v>219</v>
      </c>
      <c r="H5705" t="s">
        <v>219</v>
      </c>
      <c r="I5705" t="s">
        <v>43</v>
      </c>
      <c r="J5705" t="s">
        <v>44</v>
      </c>
      <c r="K5705" t="s">
        <v>30</v>
      </c>
      <c r="L5705" t="s">
        <v>31</v>
      </c>
      <c r="M5705" t="s">
        <v>220</v>
      </c>
      <c r="N5705">
        <v>21427</v>
      </c>
      <c r="O5705">
        <v>3.7970596000000002E-2</v>
      </c>
      <c r="P5705">
        <v>3.6449686000000002E-2</v>
      </c>
      <c r="Q5705" t="str">
        <f t="shared" si="178"/>
        <v>35-49</v>
      </c>
      <c r="R5705" t="str">
        <f t="shared" si="179"/>
        <v>[fyEoGEPERdI]|35-49|Female|PLHIV_Residents.T|CY2025Q3</v>
      </c>
    </row>
    <row r="5706" spans="4:18" x14ac:dyDescent="0.2">
      <c r="D5706" t="s">
        <v>105</v>
      </c>
      <c r="E5706" t="s">
        <v>106</v>
      </c>
      <c r="F5706" t="s">
        <v>107</v>
      </c>
      <c r="G5706" t="s">
        <v>219</v>
      </c>
      <c r="H5706" t="s">
        <v>219</v>
      </c>
      <c r="I5706" t="s">
        <v>45</v>
      </c>
      <c r="J5706" t="s">
        <v>46</v>
      </c>
      <c r="K5706" t="s">
        <v>30</v>
      </c>
      <c r="L5706" t="s">
        <v>31</v>
      </c>
      <c r="M5706" t="s">
        <v>220</v>
      </c>
      <c r="N5706">
        <v>10432</v>
      </c>
      <c r="O5706">
        <v>4.7984757000000003E-2</v>
      </c>
      <c r="P5706">
        <v>3.6449686000000002E-2</v>
      </c>
      <c r="Q5706" t="str">
        <f t="shared" si="178"/>
        <v>50+</v>
      </c>
      <c r="R5706" t="str">
        <f t="shared" si="179"/>
        <v>[fyEoGEPERdI]|50+|Female|PLHIV_Residents.T|CY2025Q3</v>
      </c>
    </row>
    <row r="5707" spans="4:18" x14ac:dyDescent="0.2">
      <c r="D5707" t="s">
        <v>105</v>
      </c>
      <c r="E5707" t="s">
        <v>106</v>
      </c>
      <c r="F5707" t="s">
        <v>107</v>
      </c>
      <c r="G5707" t="s">
        <v>219</v>
      </c>
      <c r="H5707" t="s">
        <v>219</v>
      </c>
      <c r="I5707" t="s">
        <v>28</v>
      </c>
      <c r="J5707" t="s">
        <v>29</v>
      </c>
      <c r="K5707" t="s">
        <v>48</v>
      </c>
      <c r="L5707" t="s">
        <v>49</v>
      </c>
      <c r="M5707" t="s">
        <v>220</v>
      </c>
      <c r="N5707">
        <v>36</v>
      </c>
      <c r="O5707">
        <v>4.0392114999999999E-2</v>
      </c>
      <c r="P5707">
        <v>3.6449686000000002E-2</v>
      </c>
      <c r="Q5707" t="str">
        <f t="shared" si="178"/>
        <v>&lt;01</v>
      </c>
      <c r="R5707" t="str">
        <f t="shared" si="179"/>
        <v>[fyEoGEPERdI]|&lt;01|Male|PLHIV_Residents.T|CY2025Q3</v>
      </c>
    </row>
    <row r="5708" spans="4:18" x14ac:dyDescent="0.2">
      <c r="D5708" t="s">
        <v>105</v>
      </c>
      <c r="E5708" t="s">
        <v>106</v>
      </c>
      <c r="F5708" t="s">
        <v>107</v>
      </c>
      <c r="G5708" t="s">
        <v>219</v>
      </c>
      <c r="H5708" t="s">
        <v>219</v>
      </c>
      <c r="I5708" t="s">
        <v>33</v>
      </c>
      <c r="J5708" t="s">
        <v>34</v>
      </c>
      <c r="K5708" t="s">
        <v>48</v>
      </c>
      <c r="L5708" t="s">
        <v>49</v>
      </c>
      <c r="M5708" t="s">
        <v>220</v>
      </c>
      <c r="N5708">
        <v>644</v>
      </c>
      <c r="O5708">
        <v>4.4680556000000003E-2</v>
      </c>
      <c r="P5708">
        <v>3.6449686000000002E-2</v>
      </c>
      <c r="Q5708" t="str">
        <f t="shared" si="178"/>
        <v>01-09</v>
      </c>
      <c r="R5708" t="str">
        <f t="shared" si="179"/>
        <v>[fyEoGEPERdI]|01-09|Male|PLHIV_Residents.T|CY2025Q3</v>
      </c>
    </row>
    <row r="5709" spans="4:18" x14ac:dyDescent="0.2">
      <c r="D5709" t="s">
        <v>105</v>
      </c>
      <c r="E5709" t="s">
        <v>106</v>
      </c>
      <c r="F5709" t="s">
        <v>107</v>
      </c>
      <c r="G5709" t="s">
        <v>219</v>
      </c>
      <c r="H5709" t="s">
        <v>219</v>
      </c>
      <c r="I5709" t="s">
        <v>36</v>
      </c>
      <c r="J5709" t="s">
        <v>37</v>
      </c>
      <c r="K5709" t="s">
        <v>48</v>
      </c>
      <c r="L5709" t="s">
        <v>49</v>
      </c>
      <c r="M5709" t="s">
        <v>220</v>
      </c>
      <c r="N5709">
        <v>809</v>
      </c>
      <c r="O5709">
        <v>5.2354363000000001E-2</v>
      </c>
      <c r="P5709">
        <v>3.6449686000000002E-2</v>
      </c>
      <c r="Q5709" t="str">
        <f t="shared" si="178"/>
        <v>10-14</v>
      </c>
      <c r="R5709" t="str">
        <f t="shared" si="179"/>
        <v>[fyEoGEPERdI]|10-14|Male|PLHIV_Residents.T|CY2025Q3</v>
      </c>
    </row>
    <row r="5710" spans="4:18" x14ac:dyDescent="0.2">
      <c r="D5710" t="s">
        <v>105</v>
      </c>
      <c r="E5710" t="s">
        <v>106</v>
      </c>
      <c r="F5710" t="s">
        <v>107</v>
      </c>
      <c r="G5710" t="s">
        <v>219</v>
      </c>
      <c r="H5710" t="s">
        <v>219</v>
      </c>
      <c r="I5710" t="s">
        <v>38</v>
      </c>
      <c r="J5710" t="s">
        <v>39</v>
      </c>
      <c r="K5710" t="s">
        <v>48</v>
      </c>
      <c r="L5710" t="s">
        <v>49</v>
      </c>
      <c r="M5710" t="s">
        <v>220</v>
      </c>
      <c r="N5710">
        <v>2334</v>
      </c>
      <c r="O5710">
        <v>7.4143596000000006E-2</v>
      </c>
      <c r="P5710">
        <v>3.6449686000000002E-2</v>
      </c>
      <c r="Q5710" t="str">
        <f t="shared" si="178"/>
        <v>15-24</v>
      </c>
      <c r="R5710" t="str">
        <f t="shared" si="179"/>
        <v>[fyEoGEPERdI]|15-24|Male|PLHIV_Residents.T|CY2025Q3</v>
      </c>
    </row>
    <row r="5711" spans="4:18" x14ac:dyDescent="0.2">
      <c r="D5711" t="s">
        <v>105</v>
      </c>
      <c r="E5711" t="s">
        <v>106</v>
      </c>
      <c r="F5711" t="s">
        <v>107</v>
      </c>
      <c r="G5711" t="s">
        <v>219</v>
      </c>
      <c r="H5711" t="s">
        <v>219</v>
      </c>
      <c r="I5711" t="s">
        <v>41</v>
      </c>
      <c r="J5711" t="s">
        <v>42</v>
      </c>
      <c r="K5711" t="s">
        <v>48</v>
      </c>
      <c r="L5711" t="s">
        <v>49</v>
      </c>
      <c r="M5711" t="s">
        <v>220</v>
      </c>
      <c r="N5711">
        <v>3080</v>
      </c>
      <c r="O5711">
        <v>7.1428869000000006E-2</v>
      </c>
      <c r="P5711">
        <v>3.6449686000000002E-2</v>
      </c>
      <c r="Q5711" t="str">
        <f t="shared" si="178"/>
        <v>25-34</v>
      </c>
      <c r="R5711" t="str">
        <f t="shared" si="179"/>
        <v>[fyEoGEPERdI]|25-34|Male|PLHIV_Residents.T|CY2025Q3</v>
      </c>
    </row>
    <row r="5712" spans="4:18" x14ac:dyDescent="0.2">
      <c r="D5712" t="s">
        <v>105</v>
      </c>
      <c r="E5712" t="s">
        <v>106</v>
      </c>
      <c r="F5712" t="s">
        <v>107</v>
      </c>
      <c r="G5712" t="s">
        <v>219</v>
      </c>
      <c r="H5712" t="s">
        <v>219</v>
      </c>
      <c r="I5712" t="s">
        <v>43</v>
      </c>
      <c r="J5712" t="s">
        <v>44</v>
      </c>
      <c r="K5712" t="s">
        <v>48</v>
      </c>
      <c r="L5712" t="s">
        <v>49</v>
      </c>
      <c r="M5712" t="s">
        <v>220</v>
      </c>
      <c r="N5712">
        <v>10576</v>
      </c>
      <c r="O5712">
        <v>4.4254231999999998E-2</v>
      </c>
      <c r="P5712">
        <v>3.6449686000000002E-2</v>
      </c>
      <c r="Q5712" t="str">
        <f t="shared" si="178"/>
        <v>35-49</v>
      </c>
      <c r="R5712" t="str">
        <f t="shared" si="179"/>
        <v>[fyEoGEPERdI]|35-49|Male|PLHIV_Residents.T|CY2025Q3</v>
      </c>
    </row>
    <row r="5713" spans="4:18" x14ac:dyDescent="0.2">
      <c r="D5713" t="s">
        <v>105</v>
      </c>
      <c r="E5713" t="s">
        <v>106</v>
      </c>
      <c r="F5713" t="s">
        <v>107</v>
      </c>
      <c r="G5713" t="s">
        <v>219</v>
      </c>
      <c r="H5713" t="s">
        <v>219</v>
      </c>
      <c r="I5713" t="s">
        <v>45</v>
      </c>
      <c r="J5713" t="s">
        <v>46</v>
      </c>
      <c r="K5713" t="s">
        <v>48</v>
      </c>
      <c r="L5713" t="s">
        <v>49</v>
      </c>
      <c r="M5713" t="s">
        <v>220</v>
      </c>
      <c r="N5713">
        <v>8049</v>
      </c>
      <c r="O5713">
        <v>4.2419338000000001E-2</v>
      </c>
      <c r="P5713">
        <v>3.6449686000000002E-2</v>
      </c>
      <c r="Q5713" t="str">
        <f t="shared" si="178"/>
        <v>50+</v>
      </c>
      <c r="R5713" t="str">
        <f t="shared" si="179"/>
        <v>[fyEoGEPERdI]|50+|Male|PLHIV_Residents.T|CY2025Q3</v>
      </c>
    </row>
    <row r="5714" spans="4:18" x14ac:dyDescent="0.2">
      <c r="D5714" t="s">
        <v>108</v>
      </c>
      <c r="E5714" t="s">
        <v>109</v>
      </c>
      <c r="F5714" t="s">
        <v>110</v>
      </c>
      <c r="G5714" t="s">
        <v>219</v>
      </c>
      <c r="H5714" t="s">
        <v>219</v>
      </c>
      <c r="I5714" t="s">
        <v>28</v>
      </c>
      <c r="J5714" t="s">
        <v>29</v>
      </c>
      <c r="K5714" t="s">
        <v>30</v>
      </c>
      <c r="L5714" t="s">
        <v>31</v>
      </c>
      <c r="M5714" t="s">
        <v>220</v>
      </c>
      <c r="N5714">
        <v>32</v>
      </c>
      <c r="O5714">
        <v>4.9620412000000003E-2</v>
      </c>
      <c r="P5714">
        <v>4.4241010999999997E-2</v>
      </c>
      <c r="Q5714" t="str">
        <f t="shared" si="178"/>
        <v>&lt;01</v>
      </c>
      <c r="R5714" t="str">
        <f t="shared" si="179"/>
        <v>[umc2n1Z4wNv]|&lt;01|Female|PLHIV_Residents.T|CY2025Q3</v>
      </c>
    </row>
    <row r="5715" spans="4:18" x14ac:dyDescent="0.2">
      <c r="D5715" t="s">
        <v>108</v>
      </c>
      <c r="E5715" t="s">
        <v>109</v>
      </c>
      <c r="F5715" t="s">
        <v>110</v>
      </c>
      <c r="G5715" t="s">
        <v>219</v>
      </c>
      <c r="H5715" t="s">
        <v>219</v>
      </c>
      <c r="I5715" t="s">
        <v>33</v>
      </c>
      <c r="J5715" t="s">
        <v>34</v>
      </c>
      <c r="K5715" t="s">
        <v>30</v>
      </c>
      <c r="L5715" t="s">
        <v>31</v>
      </c>
      <c r="M5715" t="s">
        <v>220</v>
      </c>
      <c r="N5715">
        <v>545</v>
      </c>
      <c r="O5715">
        <v>5.7720925999999999E-2</v>
      </c>
      <c r="P5715">
        <v>4.4241010999999997E-2</v>
      </c>
      <c r="Q5715" t="str">
        <f t="shared" si="178"/>
        <v>01-09</v>
      </c>
      <c r="R5715" t="str">
        <f t="shared" si="179"/>
        <v>[umc2n1Z4wNv]|01-09|Female|PLHIV_Residents.T|CY2025Q3</v>
      </c>
    </row>
    <row r="5716" spans="4:18" x14ac:dyDescent="0.2">
      <c r="D5716" t="s">
        <v>108</v>
      </c>
      <c r="E5716" t="s">
        <v>109</v>
      </c>
      <c r="F5716" t="s">
        <v>110</v>
      </c>
      <c r="G5716" t="s">
        <v>219</v>
      </c>
      <c r="H5716" t="s">
        <v>219</v>
      </c>
      <c r="I5716" t="s">
        <v>36</v>
      </c>
      <c r="J5716" t="s">
        <v>37</v>
      </c>
      <c r="K5716" t="s">
        <v>30</v>
      </c>
      <c r="L5716" t="s">
        <v>31</v>
      </c>
      <c r="M5716" t="s">
        <v>220</v>
      </c>
      <c r="N5716">
        <v>674</v>
      </c>
      <c r="O5716">
        <v>7.2461606999999997E-2</v>
      </c>
      <c r="P5716">
        <v>4.4241010999999997E-2</v>
      </c>
      <c r="Q5716" t="str">
        <f t="shared" si="178"/>
        <v>10-14</v>
      </c>
      <c r="R5716" t="str">
        <f t="shared" si="179"/>
        <v>[umc2n1Z4wNv]|10-14|Female|PLHIV_Residents.T|CY2025Q3</v>
      </c>
    </row>
    <row r="5717" spans="4:18" x14ac:dyDescent="0.2">
      <c r="D5717" t="s">
        <v>108</v>
      </c>
      <c r="E5717" t="s">
        <v>109</v>
      </c>
      <c r="F5717" t="s">
        <v>110</v>
      </c>
      <c r="G5717" t="s">
        <v>219</v>
      </c>
      <c r="H5717" t="s">
        <v>219</v>
      </c>
      <c r="I5717" t="s">
        <v>38</v>
      </c>
      <c r="J5717" t="s">
        <v>39</v>
      </c>
      <c r="K5717" t="s">
        <v>30</v>
      </c>
      <c r="L5717" t="s">
        <v>31</v>
      </c>
      <c r="M5717" t="s">
        <v>220</v>
      </c>
      <c r="N5717">
        <v>3000</v>
      </c>
      <c r="O5717">
        <v>7.8753424000000002E-2</v>
      </c>
      <c r="P5717">
        <v>4.4241010999999997E-2</v>
      </c>
      <c r="Q5717" t="str">
        <f t="shared" si="178"/>
        <v>15-24</v>
      </c>
      <c r="R5717" t="str">
        <f t="shared" si="179"/>
        <v>[umc2n1Z4wNv]|15-24|Female|PLHIV_Residents.T|CY2025Q3</v>
      </c>
    </row>
    <row r="5718" spans="4:18" x14ac:dyDescent="0.2">
      <c r="D5718" t="s">
        <v>108</v>
      </c>
      <c r="E5718" t="s">
        <v>109</v>
      </c>
      <c r="F5718" t="s">
        <v>110</v>
      </c>
      <c r="G5718" t="s">
        <v>219</v>
      </c>
      <c r="H5718" t="s">
        <v>219</v>
      </c>
      <c r="I5718" t="s">
        <v>41</v>
      </c>
      <c r="J5718" t="s">
        <v>42</v>
      </c>
      <c r="K5718" t="s">
        <v>30</v>
      </c>
      <c r="L5718" t="s">
        <v>31</v>
      </c>
      <c r="M5718" t="s">
        <v>220</v>
      </c>
      <c r="N5718">
        <v>7323</v>
      </c>
      <c r="O5718">
        <v>5.8857924999999998E-2</v>
      </c>
      <c r="P5718">
        <v>4.4241010999999997E-2</v>
      </c>
      <c r="Q5718" t="str">
        <f t="shared" si="178"/>
        <v>25-34</v>
      </c>
      <c r="R5718" t="str">
        <f t="shared" si="179"/>
        <v>[umc2n1Z4wNv]|25-34|Female|PLHIV_Residents.T|CY2025Q3</v>
      </c>
    </row>
    <row r="5719" spans="4:18" x14ac:dyDescent="0.2">
      <c r="D5719" t="s">
        <v>108</v>
      </c>
      <c r="E5719" t="s">
        <v>109</v>
      </c>
      <c r="F5719" t="s">
        <v>110</v>
      </c>
      <c r="G5719" t="s">
        <v>219</v>
      </c>
      <c r="H5719" t="s">
        <v>219</v>
      </c>
      <c r="I5719" t="s">
        <v>43</v>
      </c>
      <c r="J5719" t="s">
        <v>44</v>
      </c>
      <c r="K5719" t="s">
        <v>30</v>
      </c>
      <c r="L5719" t="s">
        <v>31</v>
      </c>
      <c r="M5719" t="s">
        <v>220</v>
      </c>
      <c r="N5719">
        <v>19928</v>
      </c>
      <c r="O5719">
        <v>4.3936456999999998E-2</v>
      </c>
      <c r="P5719">
        <v>4.4241010999999997E-2</v>
      </c>
      <c r="Q5719" t="str">
        <f t="shared" si="178"/>
        <v>35-49</v>
      </c>
      <c r="R5719" t="str">
        <f t="shared" si="179"/>
        <v>[umc2n1Z4wNv]|35-49|Female|PLHIV_Residents.T|CY2025Q3</v>
      </c>
    </row>
    <row r="5720" spans="4:18" x14ac:dyDescent="0.2">
      <c r="D5720" t="s">
        <v>108</v>
      </c>
      <c r="E5720" t="s">
        <v>109</v>
      </c>
      <c r="F5720" t="s">
        <v>110</v>
      </c>
      <c r="G5720" t="s">
        <v>219</v>
      </c>
      <c r="H5720" t="s">
        <v>219</v>
      </c>
      <c r="I5720" t="s">
        <v>45</v>
      </c>
      <c r="J5720" t="s">
        <v>46</v>
      </c>
      <c r="K5720" t="s">
        <v>30</v>
      </c>
      <c r="L5720" t="s">
        <v>31</v>
      </c>
      <c r="M5720" t="s">
        <v>220</v>
      </c>
      <c r="N5720">
        <v>10563</v>
      </c>
      <c r="O5720">
        <v>5.0009848000000003E-2</v>
      </c>
      <c r="P5720">
        <v>4.4241010999999997E-2</v>
      </c>
      <c r="Q5720" t="str">
        <f t="shared" si="178"/>
        <v>50+</v>
      </c>
      <c r="R5720" t="str">
        <f t="shared" si="179"/>
        <v>[umc2n1Z4wNv]|50+|Female|PLHIV_Residents.T|CY2025Q3</v>
      </c>
    </row>
    <row r="5721" spans="4:18" x14ac:dyDescent="0.2">
      <c r="D5721" t="s">
        <v>108</v>
      </c>
      <c r="E5721" t="s">
        <v>109</v>
      </c>
      <c r="F5721" t="s">
        <v>110</v>
      </c>
      <c r="G5721" t="s">
        <v>219</v>
      </c>
      <c r="H5721" t="s">
        <v>219</v>
      </c>
      <c r="I5721" t="s">
        <v>28</v>
      </c>
      <c r="J5721" t="s">
        <v>29</v>
      </c>
      <c r="K5721" t="s">
        <v>48</v>
      </c>
      <c r="L5721" t="s">
        <v>49</v>
      </c>
      <c r="M5721" t="s">
        <v>220</v>
      </c>
      <c r="N5721">
        <v>32</v>
      </c>
      <c r="O5721">
        <v>4.9691761000000001E-2</v>
      </c>
      <c r="P5721">
        <v>4.4241010999999997E-2</v>
      </c>
      <c r="Q5721" t="str">
        <f t="shared" si="178"/>
        <v>&lt;01</v>
      </c>
      <c r="R5721" t="str">
        <f t="shared" si="179"/>
        <v>[umc2n1Z4wNv]|&lt;01|Male|PLHIV_Residents.T|CY2025Q3</v>
      </c>
    </row>
    <row r="5722" spans="4:18" x14ac:dyDescent="0.2">
      <c r="D5722" t="s">
        <v>108</v>
      </c>
      <c r="E5722" t="s">
        <v>109</v>
      </c>
      <c r="F5722" t="s">
        <v>110</v>
      </c>
      <c r="G5722" t="s">
        <v>219</v>
      </c>
      <c r="H5722" t="s">
        <v>219</v>
      </c>
      <c r="I5722" t="s">
        <v>33</v>
      </c>
      <c r="J5722" t="s">
        <v>34</v>
      </c>
      <c r="K5722" t="s">
        <v>48</v>
      </c>
      <c r="L5722" t="s">
        <v>49</v>
      </c>
      <c r="M5722" t="s">
        <v>220</v>
      </c>
      <c r="N5722">
        <v>557</v>
      </c>
      <c r="O5722">
        <v>5.7809249E-2</v>
      </c>
      <c r="P5722">
        <v>4.4241010999999997E-2</v>
      </c>
      <c r="Q5722" t="str">
        <f t="shared" si="178"/>
        <v>01-09</v>
      </c>
      <c r="R5722" t="str">
        <f t="shared" si="179"/>
        <v>[umc2n1Z4wNv]|01-09|Male|PLHIV_Residents.T|CY2025Q3</v>
      </c>
    </row>
    <row r="5723" spans="4:18" x14ac:dyDescent="0.2">
      <c r="D5723" t="s">
        <v>108</v>
      </c>
      <c r="E5723" t="s">
        <v>109</v>
      </c>
      <c r="F5723" t="s">
        <v>110</v>
      </c>
      <c r="G5723" t="s">
        <v>219</v>
      </c>
      <c r="H5723" t="s">
        <v>219</v>
      </c>
      <c r="I5723" t="s">
        <v>36</v>
      </c>
      <c r="J5723" t="s">
        <v>37</v>
      </c>
      <c r="K5723" t="s">
        <v>48</v>
      </c>
      <c r="L5723" t="s">
        <v>49</v>
      </c>
      <c r="M5723" t="s">
        <v>220</v>
      </c>
      <c r="N5723">
        <v>690</v>
      </c>
      <c r="O5723">
        <v>7.2467161000000002E-2</v>
      </c>
      <c r="P5723">
        <v>4.4241010999999997E-2</v>
      </c>
      <c r="Q5723" t="str">
        <f t="shared" si="178"/>
        <v>10-14</v>
      </c>
      <c r="R5723" t="str">
        <f t="shared" si="179"/>
        <v>[umc2n1Z4wNv]|10-14|Male|PLHIV_Residents.T|CY2025Q3</v>
      </c>
    </row>
    <row r="5724" spans="4:18" x14ac:dyDescent="0.2">
      <c r="D5724" t="s">
        <v>108</v>
      </c>
      <c r="E5724" t="s">
        <v>109</v>
      </c>
      <c r="F5724" t="s">
        <v>110</v>
      </c>
      <c r="G5724" t="s">
        <v>219</v>
      </c>
      <c r="H5724" t="s">
        <v>219</v>
      </c>
      <c r="I5724" t="s">
        <v>38</v>
      </c>
      <c r="J5724" t="s">
        <v>39</v>
      </c>
      <c r="K5724" t="s">
        <v>48</v>
      </c>
      <c r="L5724" t="s">
        <v>49</v>
      </c>
      <c r="M5724" t="s">
        <v>220</v>
      </c>
      <c r="N5724">
        <v>2102</v>
      </c>
      <c r="O5724">
        <v>8.2049258999999999E-2</v>
      </c>
      <c r="P5724">
        <v>4.4241010999999997E-2</v>
      </c>
      <c r="Q5724" t="str">
        <f t="shared" si="178"/>
        <v>15-24</v>
      </c>
      <c r="R5724" t="str">
        <f t="shared" si="179"/>
        <v>[umc2n1Z4wNv]|15-24|Male|PLHIV_Residents.T|CY2025Q3</v>
      </c>
    </row>
    <row r="5725" spans="4:18" x14ac:dyDescent="0.2">
      <c r="D5725" t="s">
        <v>108</v>
      </c>
      <c r="E5725" t="s">
        <v>109</v>
      </c>
      <c r="F5725" t="s">
        <v>110</v>
      </c>
      <c r="G5725" t="s">
        <v>219</v>
      </c>
      <c r="H5725" t="s">
        <v>219</v>
      </c>
      <c r="I5725" t="s">
        <v>41</v>
      </c>
      <c r="J5725" t="s">
        <v>42</v>
      </c>
      <c r="K5725" t="s">
        <v>48</v>
      </c>
      <c r="L5725" t="s">
        <v>49</v>
      </c>
      <c r="M5725" t="s">
        <v>220</v>
      </c>
      <c r="N5725">
        <v>2611</v>
      </c>
      <c r="O5725">
        <v>7.8349574000000005E-2</v>
      </c>
      <c r="P5725">
        <v>4.4241010999999997E-2</v>
      </c>
      <c r="Q5725" t="str">
        <f t="shared" si="178"/>
        <v>25-34</v>
      </c>
      <c r="R5725" t="str">
        <f t="shared" si="179"/>
        <v>[umc2n1Z4wNv]|25-34|Male|PLHIV_Residents.T|CY2025Q3</v>
      </c>
    </row>
    <row r="5726" spans="4:18" x14ac:dyDescent="0.2">
      <c r="D5726" t="s">
        <v>108</v>
      </c>
      <c r="E5726" t="s">
        <v>109</v>
      </c>
      <c r="F5726" t="s">
        <v>110</v>
      </c>
      <c r="G5726" t="s">
        <v>219</v>
      </c>
      <c r="H5726" t="s">
        <v>219</v>
      </c>
      <c r="I5726" t="s">
        <v>43</v>
      </c>
      <c r="J5726" t="s">
        <v>44</v>
      </c>
      <c r="K5726" t="s">
        <v>48</v>
      </c>
      <c r="L5726" t="s">
        <v>49</v>
      </c>
      <c r="M5726" t="s">
        <v>220</v>
      </c>
      <c r="N5726">
        <v>9172</v>
      </c>
      <c r="O5726">
        <v>5.1035938000000003E-2</v>
      </c>
      <c r="P5726">
        <v>4.4241010999999997E-2</v>
      </c>
      <c r="Q5726" t="str">
        <f t="shared" si="178"/>
        <v>35-49</v>
      </c>
      <c r="R5726" t="str">
        <f t="shared" si="179"/>
        <v>[umc2n1Z4wNv]|35-49|Male|PLHIV_Residents.T|CY2025Q3</v>
      </c>
    </row>
    <row r="5727" spans="4:18" x14ac:dyDescent="0.2">
      <c r="D5727" t="s">
        <v>108</v>
      </c>
      <c r="E5727" t="s">
        <v>109</v>
      </c>
      <c r="F5727" t="s">
        <v>110</v>
      </c>
      <c r="G5727" t="s">
        <v>219</v>
      </c>
      <c r="H5727" t="s">
        <v>219</v>
      </c>
      <c r="I5727" t="s">
        <v>45</v>
      </c>
      <c r="J5727" t="s">
        <v>46</v>
      </c>
      <c r="K5727" t="s">
        <v>48</v>
      </c>
      <c r="L5727" t="s">
        <v>49</v>
      </c>
      <c r="M5727" t="s">
        <v>220</v>
      </c>
      <c r="N5727">
        <v>7070</v>
      </c>
      <c r="O5727">
        <v>5.1650709000000003E-2</v>
      </c>
      <c r="P5727">
        <v>4.4241010999999997E-2</v>
      </c>
      <c r="Q5727" t="str">
        <f t="shared" si="178"/>
        <v>50+</v>
      </c>
      <c r="R5727" t="str">
        <f t="shared" si="179"/>
        <v>[umc2n1Z4wNv]|50+|Male|PLHIV_Residents.T|CY2025Q3</v>
      </c>
    </row>
    <row r="5728" spans="4:18" x14ac:dyDescent="0.2">
      <c r="D5728" t="s">
        <v>111</v>
      </c>
      <c r="E5728" t="s">
        <v>112</v>
      </c>
      <c r="F5728" t="s">
        <v>113</v>
      </c>
      <c r="G5728" t="s">
        <v>219</v>
      </c>
      <c r="H5728" t="s">
        <v>219</v>
      </c>
      <c r="I5728" t="s">
        <v>28</v>
      </c>
      <c r="J5728" t="s">
        <v>29</v>
      </c>
      <c r="K5728" t="s">
        <v>30</v>
      </c>
      <c r="L5728" t="s">
        <v>31</v>
      </c>
      <c r="M5728" t="s">
        <v>220</v>
      </c>
      <c r="N5728">
        <v>20</v>
      </c>
      <c r="O5728">
        <v>4.6360202000000003E-2</v>
      </c>
      <c r="P5728">
        <v>4.1915625999999997E-2</v>
      </c>
      <c r="Q5728" t="str">
        <f t="shared" si="178"/>
        <v>&lt;01</v>
      </c>
      <c r="R5728" t="str">
        <f t="shared" si="179"/>
        <v>[AZyWpGzhcaA]|&lt;01|Female|PLHIV_Residents.T|CY2025Q3</v>
      </c>
    </row>
    <row r="5729" spans="4:18" x14ac:dyDescent="0.2">
      <c r="D5729" t="s">
        <v>111</v>
      </c>
      <c r="E5729" t="s">
        <v>112</v>
      </c>
      <c r="F5729" t="s">
        <v>113</v>
      </c>
      <c r="G5729" t="s">
        <v>219</v>
      </c>
      <c r="H5729" t="s">
        <v>219</v>
      </c>
      <c r="I5729" t="s">
        <v>33</v>
      </c>
      <c r="J5729" t="s">
        <v>34</v>
      </c>
      <c r="K5729" t="s">
        <v>30</v>
      </c>
      <c r="L5729" t="s">
        <v>31</v>
      </c>
      <c r="M5729" t="s">
        <v>220</v>
      </c>
      <c r="N5729">
        <v>379</v>
      </c>
      <c r="O5729">
        <v>5.1624845000000003E-2</v>
      </c>
      <c r="P5729">
        <v>4.1915625999999997E-2</v>
      </c>
      <c r="Q5729" t="str">
        <f t="shared" si="178"/>
        <v>01-09</v>
      </c>
      <c r="R5729" t="str">
        <f t="shared" si="179"/>
        <v>[AZyWpGzhcaA]|01-09|Female|PLHIV_Residents.T|CY2025Q3</v>
      </c>
    </row>
    <row r="5730" spans="4:18" x14ac:dyDescent="0.2">
      <c r="D5730" t="s">
        <v>111</v>
      </c>
      <c r="E5730" t="s">
        <v>112</v>
      </c>
      <c r="F5730" t="s">
        <v>113</v>
      </c>
      <c r="G5730" t="s">
        <v>219</v>
      </c>
      <c r="H5730" t="s">
        <v>219</v>
      </c>
      <c r="I5730" t="s">
        <v>36</v>
      </c>
      <c r="J5730" t="s">
        <v>37</v>
      </c>
      <c r="K5730" t="s">
        <v>30</v>
      </c>
      <c r="L5730" t="s">
        <v>31</v>
      </c>
      <c r="M5730" t="s">
        <v>220</v>
      </c>
      <c r="N5730">
        <v>501</v>
      </c>
      <c r="O5730">
        <v>6.0611933E-2</v>
      </c>
      <c r="P5730">
        <v>4.1915625999999997E-2</v>
      </c>
      <c r="Q5730" t="str">
        <f t="shared" si="178"/>
        <v>10-14</v>
      </c>
      <c r="R5730" t="str">
        <f t="shared" si="179"/>
        <v>[AZyWpGzhcaA]|10-14|Female|PLHIV_Residents.T|CY2025Q3</v>
      </c>
    </row>
    <row r="5731" spans="4:18" x14ac:dyDescent="0.2">
      <c r="D5731" t="s">
        <v>111</v>
      </c>
      <c r="E5731" t="s">
        <v>112</v>
      </c>
      <c r="F5731" t="s">
        <v>113</v>
      </c>
      <c r="G5731" t="s">
        <v>219</v>
      </c>
      <c r="H5731" t="s">
        <v>219</v>
      </c>
      <c r="I5731" t="s">
        <v>38</v>
      </c>
      <c r="J5731" t="s">
        <v>39</v>
      </c>
      <c r="K5731" t="s">
        <v>30</v>
      </c>
      <c r="L5731" t="s">
        <v>31</v>
      </c>
      <c r="M5731" t="s">
        <v>220</v>
      </c>
      <c r="N5731">
        <v>1939</v>
      </c>
      <c r="O5731">
        <v>7.1145943000000003E-2</v>
      </c>
      <c r="P5731">
        <v>4.1915625999999997E-2</v>
      </c>
      <c r="Q5731" t="str">
        <f t="shared" si="178"/>
        <v>15-24</v>
      </c>
      <c r="R5731" t="str">
        <f t="shared" si="179"/>
        <v>[AZyWpGzhcaA]|15-24|Female|PLHIV_Residents.T|CY2025Q3</v>
      </c>
    </row>
    <row r="5732" spans="4:18" x14ac:dyDescent="0.2">
      <c r="D5732" t="s">
        <v>111</v>
      </c>
      <c r="E5732" t="s">
        <v>112</v>
      </c>
      <c r="F5732" t="s">
        <v>113</v>
      </c>
      <c r="G5732" t="s">
        <v>219</v>
      </c>
      <c r="H5732" t="s">
        <v>219</v>
      </c>
      <c r="I5732" t="s">
        <v>41</v>
      </c>
      <c r="J5732" t="s">
        <v>42</v>
      </c>
      <c r="K5732" t="s">
        <v>30</v>
      </c>
      <c r="L5732" t="s">
        <v>31</v>
      </c>
      <c r="M5732" t="s">
        <v>220</v>
      </c>
      <c r="N5732">
        <v>4509</v>
      </c>
      <c r="O5732">
        <v>5.8396133000000003E-2</v>
      </c>
      <c r="P5732">
        <v>4.1915625999999997E-2</v>
      </c>
      <c r="Q5732" t="str">
        <f t="shared" si="178"/>
        <v>25-34</v>
      </c>
      <c r="R5732" t="str">
        <f t="shared" si="179"/>
        <v>[AZyWpGzhcaA]|25-34|Female|PLHIV_Residents.T|CY2025Q3</v>
      </c>
    </row>
    <row r="5733" spans="4:18" x14ac:dyDescent="0.2">
      <c r="D5733" t="s">
        <v>111</v>
      </c>
      <c r="E5733" t="s">
        <v>112</v>
      </c>
      <c r="F5733" t="s">
        <v>113</v>
      </c>
      <c r="G5733" t="s">
        <v>219</v>
      </c>
      <c r="H5733" t="s">
        <v>219</v>
      </c>
      <c r="I5733" t="s">
        <v>43</v>
      </c>
      <c r="J5733" t="s">
        <v>44</v>
      </c>
      <c r="K5733" t="s">
        <v>30</v>
      </c>
      <c r="L5733" t="s">
        <v>31</v>
      </c>
      <c r="M5733" t="s">
        <v>220</v>
      </c>
      <c r="N5733">
        <v>11558</v>
      </c>
      <c r="O5733">
        <v>4.1831334999999997E-2</v>
      </c>
      <c r="P5733">
        <v>4.1915625999999997E-2</v>
      </c>
      <c r="Q5733" t="str">
        <f t="shared" si="178"/>
        <v>35-49</v>
      </c>
      <c r="R5733" t="str">
        <f t="shared" si="179"/>
        <v>[AZyWpGzhcaA]|35-49|Female|PLHIV_Residents.T|CY2025Q3</v>
      </c>
    </row>
    <row r="5734" spans="4:18" x14ac:dyDescent="0.2">
      <c r="D5734" t="s">
        <v>111</v>
      </c>
      <c r="E5734" t="s">
        <v>112</v>
      </c>
      <c r="F5734" t="s">
        <v>113</v>
      </c>
      <c r="G5734" t="s">
        <v>219</v>
      </c>
      <c r="H5734" t="s">
        <v>219</v>
      </c>
      <c r="I5734" t="s">
        <v>45</v>
      </c>
      <c r="J5734" t="s">
        <v>46</v>
      </c>
      <c r="K5734" t="s">
        <v>30</v>
      </c>
      <c r="L5734" t="s">
        <v>31</v>
      </c>
      <c r="M5734" t="s">
        <v>220</v>
      </c>
      <c r="N5734">
        <v>5864</v>
      </c>
      <c r="O5734">
        <v>4.9677651000000003E-2</v>
      </c>
      <c r="P5734">
        <v>4.1915625999999997E-2</v>
      </c>
      <c r="Q5734" t="str">
        <f t="shared" si="178"/>
        <v>50+</v>
      </c>
      <c r="R5734" t="str">
        <f t="shared" si="179"/>
        <v>[AZyWpGzhcaA]|50+|Female|PLHIV_Residents.T|CY2025Q3</v>
      </c>
    </row>
    <row r="5735" spans="4:18" x14ac:dyDescent="0.2">
      <c r="D5735" t="s">
        <v>111</v>
      </c>
      <c r="E5735" t="s">
        <v>112</v>
      </c>
      <c r="F5735" t="s">
        <v>113</v>
      </c>
      <c r="G5735" t="s">
        <v>219</v>
      </c>
      <c r="H5735" t="s">
        <v>219</v>
      </c>
      <c r="I5735" t="s">
        <v>28</v>
      </c>
      <c r="J5735" t="s">
        <v>29</v>
      </c>
      <c r="K5735" t="s">
        <v>48</v>
      </c>
      <c r="L5735" t="s">
        <v>49</v>
      </c>
      <c r="M5735" t="s">
        <v>220</v>
      </c>
      <c r="N5735">
        <v>20</v>
      </c>
      <c r="O5735">
        <v>4.6373857999999997E-2</v>
      </c>
      <c r="P5735">
        <v>4.1915625999999997E-2</v>
      </c>
      <c r="Q5735" t="str">
        <f t="shared" si="178"/>
        <v>&lt;01</v>
      </c>
      <c r="R5735" t="str">
        <f t="shared" si="179"/>
        <v>[AZyWpGzhcaA]|&lt;01|Male|PLHIV_Residents.T|CY2025Q3</v>
      </c>
    </row>
    <row r="5736" spans="4:18" x14ac:dyDescent="0.2">
      <c r="D5736" t="s">
        <v>111</v>
      </c>
      <c r="E5736" t="s">
        <v>112</v>
      </c>
      <c r="F5736" t="s">
        <v>113</v>
      </c>
      <c r="G5736" t="s">
        <v>219</v>
      </c>
      <c r="H5736" t="s">
        <v>219</v>
      </c>
      <c r="I5736" t="s">
        <v>33</v>
      </c>
      <c r="J5736" t="s">
        <v>34</v>
      </c>
      <c r="K5736" t="s">
        <v>48</v>
      </c>
      <c r="L5736" t="s">
        <v>49</v>
      </c>
      <c r="M5736" t="s">
        <v>220</v>
      </c>
      <c r="N5736">
        <v>385</v>
      </c>
      <c r="O5736">
        <v>5.1642915999999997E-2</v>
      </c>
      <c r="P5736">
        <v>4.1915625999999997E-2</v>
      </c>
      <c r="Q5736" t="str">
        <f t="shared" si="178"/>
        <v>01-09</v>
      </c>
      <c r="R5736" t="str">
        <f t="shared" si="179"/>
        <v>[AZyWpGzhcaA]|01-09|Male|PLHIV_Residents.T|CY2025Q3</v>
      </c>
    </row>
    <row r="5737" spans="4:18" x14ac:dyDescent="0.2">
      <c r="D5737" t="s">
        <v>111</v>
      </c>
      <c r="E5737" t="s">
        <v>112</v>
      </c>
      <c r="F5737" t="s">
        <v>113</v>
      </c>
      <c r="G5737" t="s">
        <v>219</v>
      </c>
      <c r="H5737" t="s">
        <v>219</v>
      </c>
      <c r="I5737" t="s">
        <v>36</v>
      </c>
      <c r="J5737" t="s">
        <v>37</v>
      </c>
      <c r="K5737" t="s">
        <v>48</v>
      </c>
      <c r="L5737" t="s">
        <v>49</v>
      </c>
      <c r="M5737" t="s">
        <v>220</v>
      </c>
      <c r="N5737">
        <v>508</v>
      </c>
      <c r="O5737">
        <v>6.0611428000000002E-2</v>
      </c>
      <c r="P5737">
        <v>4.1915625999999997E-2</v>
      </c>
      <c r="Q5737" t="str">
        <f t="shared" si="178"/>
        <v>10-14</v>
      </c>
      <c r="R5737" t="str">
        <f t="shared" si="179"/>
        <v>[AZyWpGzhcaA]|10-14|Male|PLHIV_Residents.T|CY2025Q3</v>
      </c>
    </row>
    <row r="5738" spans="4:18" x14ac:dyDescent="0.2">
      <c r="D5738" t="s">
        <v>111</v>
      </c>
      <c r="E5738" t="s">
        <v>112</v>
      </c>
      <c r="F5738" t="s">
        <v>113</v>
      </c>
      <c r="G5738" t="s">
        <v>219</v>
      </c>
      <c r="H5738" t="s">
        <v>219</v>
      </c>
      <c r="I5738" t="s">
        <v>38</v>
      </c>
      <c r="J5738" t="s">
        <v>39</v>
      </c>
      <c r="K5738" t="s">
        <v>48</v>
      </c>
      <c r="L5738" t="s">
        <v>49</v>
      </c>
      <c r="M5738" t="s">
        <v>220</v>
      </c>
      <c r="N5738">
        <v>1412</v>
      </c>
      <c r="O5738">
        <v>7.5318488000000003E-2</v>
      </c>
      <c r="P5738">
        <v>4.1915625999999997E-2</v>
      </c>
      <c r="Q5738" t="str">
        <f t="shared" si="178"/>
        <v>15-24</v>
      </c>
      <c r="R5738" t="str">
        <f t="shared" si="179"/>
        <v>[AZyWpGzhcaA]|15-24|Male|PLHIV_Residents.T|CY2025Q3</v>
      </c>
    </row>
    <row r="5739" spans="4:18" x14ac:dyDescent="0.2">
      <c r="D5739" t="s">
        <v>111</v>
      </c>
      <c r="E5739" t="s">
        <v>112</v>
      </c>
      <c r="F5739" t="s">
        <v>113</v>
      </c>
      <c r="G5739" t="s">
        <v>219</v>
      </c>
      <c r="H5739" t="s">
        <v>219</v>
      </c>
      <c r="I5739" t="s">
        <v>41</v>
      </c>
      <c r="J5739" t="s">
        <v>42</v>
      </c>
      <c r="K5739" t="s">
        <v>48</v>
      </c>
      <c r="L5739" t="s">
        <v>49</v>
      </c>
      <c r="M5739" t="s">
        <v>220</v>
      </c>
      <c r="N5739">
        <v>1669</v>
      </c>
      <c r="O5739">
        <v>7.6589938999999996E-2</v>
      </c>
      <c r="P5739">
        <v>4.1915625999999997E-2</v>
      </c>
      <c r="Q5739" t="str">
        <f t="shared" si="178"/>
        <v>25-34</v>
      </c>
      <c r="R5739" t="str">
        <f t="shared" si="179"/>
        <v>[AZyWpGzhcaA]|25-34|Male|PLHIV_Residents.T|CY2025Q3</v>
      </c>
    </row>
    <row r="5740" spans="4:18" x14ac:dyDescent="0.2">
      <c r="D5740" t="s">
        <v>111</v>
      </c>
      <c r="E5740" t="s">
        <v>112</v>
      </c>
      <c r="F5740" t="s">
        <v>113</v>
      </c>
      <c r="G5740" t="s">
        <v>219</v>
      </c>
      <c r="H5740" t="s">
        <v>219</v>
      </c>
      <c r="I5740" t="s">
        <v>43</v>
      </c>
      <c r="J5740" t="s">
        <v>44</v>
      </c>
      <c r="K5740" t="s">
        <v>48</v>
      </c>
      <c r="L5740" t="s">
        <v>49</v>
      </c>
      <c r="M5740" t="s">
        <v>220</v>
      </c>
      <c r="N5740">
        <v>5645</v>
      </c>
      <c r="O5740">
        <v>5.0570840999999998E-2</v>
      </c>
      <c r="P5740">
        <v>4.1915625999999997E-2</v>
      </c>
      <c r="Q5740" t="str">
        <f t="shared" si="178"/>
        <v>35-49</v>
      </c>
      <c r="R5740" t="str">
        <f t="shared" si="179"/>
        <v>[AZyWpGzhcaA]|35-49|Male|PLHIV_Residents.T|CY2025Q3</v>
      </c>
    </row>
    <row r="5741" spans="4:18" x14ac:dyDescent="0.2">
      <c r="D5741" t="s">
        <v>111</v>
      </c>
      <c r="E5741" t="s">
        <v>112</v>
      </c>
      <c r="F5741" t="s">
        <v>113</v>
      </c>
      <c r="G5741" t="s">
        <v>219</v>
      </c>
      <c r="H5741" t="s">
        <v>219</v>
      </c>
      <c r="I5741" t="s">
        <v>45</v>
      </c>
      <c r="J5741" t="s">
        <v>46</v>
      </c>
      <c r="K5741" t="s">
        <v>48</v>
      </c>
      <c r="L5741" t="s">
        <v>49</v>
      </c>
      <c r="M5741" t="s">
        <v>220</v>
      </c>
      <c r="N5741">
        <v>4212</v>
      </c>
      <c r="O5741">
        <v>4.6163040000000002E-2</v>
      </c>
      <c r="P5741">
        <v>4.1915625999999997E-2</v>
      </c>
      <c r="Q5741" t="str">
        <f t="shared" si="178"/>
        <v>50+</v>
      </c>
      <c r="R5741" t="str">
        <f t="shared" si="179"/>
        <v>[AZyWpGzhcaA]|50+|Male|PLHIV_Residents.T|CY2025Q3</v>
      </c>
    </row>
    <row r="5742" spans="4:18" x14ac:dyDescent="0.2">
      <c r="D5742" t="s">
        <v>114</v>
      </c>
      <c r="E5742" t="s">
        <v>115</v>
      </c>
      <c r="F5742" t="s">
        <v>116</v>
      </c>
      <c r="G5742" t="s">
        <v>219</v>
      </c>
      <c r="H5742" t="s">
        <v>219</v>
      </c>
      <c r="I5742" t="s">
        <v>28</v>
      </c>
      <c r="J5742" t="s">
        <v>29</v>
      </c>
      <c r="K5742" t="s">
        <v>30</v>
      </c>
      <c r="L5742" t="s">
        <v>31</v>
      </c>
      <c r="M5742" t="s">
        <v>220</v>
      </c>
      <c r="N5742">
        <v>17</v>
      </c>
      <c r="O5742">
        <v>7.1225987000000004E-2</v>
      </c>
      <c r="P5742">
        <v>6.8079959999999995E-2</v>
      </c>
      <c r="Q5742" t="str">
        <f t="shared" si="178"/>
        <v>&lt;01</v>
      </c>
      <c r="R5742" t="str">
        <f t="shared" si="179"/>
        <v>[ir8wuHHzoSs]|&lt;01|Female|PLHIV_Residents.T|CY2025Q3</v>
      </c>
    </row>
    <row r="5743" spans="4:18" x14ac:dyDescent="0.2">
      <c r="D5743" t="s">
        <v>114</v>
      </c>
      <c r="E5743" t="s">
        <v>115</v>
      </c>
      <c r="F5743" t="s">
        <v>116</v>
      </c>
      <c r="G5743" t="s">
        <v>219</v>
      </c>
      <c r="H5743" t="s">
        <v>219</v>
      </c>
      <c r="I5743" t="s">
        <v>33</v>
      </c>
      <c r="J5743" t="s">
        <v>34</v>
      </c>
      <c r="K5743" t="s">
        <v>30</v>
      </c>
      <c r="L5743" t="s">
        <v>31</v>
      </c>
      <c r="M5743" t="s">
        <v>220</v>
      </c>
      <c r="N5743">
        <v>322</v>
      </c>
      <c r="O5743">
        <v>7.5715460999999998E-2</v>
      </c>
      <c r="P5743">
        <v>6.8079959999999995E-2</v>
      </c>
      <c r="Q5743" t="str">
        <f t="shared" si="178"/>
        <v>01-09</v>
      </c>
      <c r="R5743" t="str">
        <f t="shared" si="179"/>
        <v>[ir8wuHHzoSs]|01-09|Female|PLHIV_Residents.T|CY2025Q3</v>
      </c>
    </row>
    <row r="5744" spans="4:18" x14ac:dyDescent="0.2">
      <c r="D5744" t="s">
        <v>114</v>
      </c>
      <c r="E5744" t="s">
        <v>115</v>
      </c>
      <c r="F5744" t="s">
        <v>116</v>
      </c>
      <c r="G5744" t="s">
        <v>219</v>
      </c>
      <c r="H5744" t="s">
        <v>219</v>
      </c>
      <c r="I5744" t="s">
        <v>36</v>
      </c>
      <c r="J5744" t="s">
        <v>37</v>
      </c>
      <c r="K5744" t="s">
        <v>30</v>
      </c>
      <c r="L5744" t="s">
        <v>31</v>
      </c>
      <c r="M5744" t="s">
        <v>220</v>
      </c>
      <c r="N5744">
        <v>424</v>
      </c>
      <c r="O5744">
        <v>8.3503956000000004E-2</v>
      </c>
      <c r="P5744">
        <v>6.8079959999999995E-2</v>
      </c>
      <c r="Q5744" t="str">
        <f t="shared" si="178"/>
        <v>10-14</v>
      </c>
      <c r="R5744" t="str">
        <f t="shared" si="179"/>
        <v>[ir8wuHHzoSs]|10-14|Female|PLHIV_Residents.T|CY2025Q3</v>
      </c>
    </row>
    <row r="5745" spans="4:18" x14ac:dyDescent="0.2">
      <c r="D5745" t="s">
        <v>114</v>
      </c>
      <c r="E5745" t="s">
        <v>115</v>
      </c>
      <c r="F5745" t="s">
        <v>116</v>
      </c>
      <c r="G5745" t="s">
        <v>219</v>
      </c>
      <c r="H5745" t="s">
        <v>219</v>
      </c>
      <c r="I5745" t="s">
        <v>38</v>
      </c>
      <c r="J5745" t="s">
        <v>39</v>
      </c>
      <c r="K5745" t="s">
        <v>30</v>
      </c>
      <c r="L5745" t="s">
        <v>31</v>
      </c>
      <c r="M5745" t="s">
        <v>220</v>
      </c>
      <c r="N5745">
        <v>1574</v>
      </c>
      <c r="O5745">
        <v>9.2070523000000001E-2</v>
      </c>
      <c r="P5745">
        <v>6.8079959999999995E-2</v>
      </c>
      <c r="Q5745" t="str">
        <f t="shared" si="178"/>
        <v>15-24</v>
      </c>
      <c r="R5745" t="str">
        <f t="shared" si="179"/>
        <v>[ir8wuHHzoSs]|15-24|Female|PLHIV_Residents.T|CY2025Q3</v>
      </c>
    </row>
    <row r="5746" spans="4:18" x14ac:dyDescent="0.2">
      <c r="D5746" t="s">
        <v>114</v>
      </c>
      <c r="E5746" t="s">
        <v>115</v>
      </c>
      <c r="F5746" t="s">
        <v>116</v>
      </c>
      <c r="G5746" t="s">
        <v>219</v>
      </c>
      <c r="H5746" t="s">
        <v>219</v>
      </c>
      <c r="I5746" t="s">
        <v>41</v>
      </c>
      <c r="J5746" t="s">
        <v>42</v>
      </c>
      <c r="K5746" t="s">
        <v>30</v>
      </c>
      <c r="L5746" t="s">
        <v>31</v>
      </c>
      <c r="M5746" t="s">
        <v>220</v>
      </c>
      <c r="N5746">
        <v>3562</v>
      </c>
      <c r="O5746">
        <v>8.3772059999999995E-2</v>
      </c>
      <c r="P5746">
        <v>6.8079959999999995E-2</v>
      </c>
      <c r="Q5746" t="str">
        <f t="shared" si="178"/>
        <v>25-34</v>
      </c>
      <c r="R5746" t="str">
        <f t="shared" si="179"/>
        <v>[ir8wuHHzoSs]|25-34|Female|PLHIV_Residents.T|CY2025Q3</v>
      </c>
    </row>
    <row r="5747" spans="4:18" x14ac:dyDescent="0.2">
      <c r="D5747" t="s">
        <v>114</v>
      </c>
      <c r="E5747" t="s">
        <v>115</v>
      </c>
      <c r="F5747" t="s">
        <v>116</v>
      </c>
      <c r="G5747" t="s">
        <v>219</v>
      </c>
      <c r="H5747" t="s">
        <v>219</v>
      </c>
      <c r="I5747" t="s">
        <v>43</v>
      </c>
      <c r="J5747" t="s">
        <v>44</v>
      </c>
      <c r="K5747" t="s">
        <v>30</v>
      </c>
      <c r="L5747" t="s">
        <v>31</v>
      </c>
      <c r="M5747" t="s">
        <v>220</v>
      </c>
      <c r="N5747">
        <v>9463</v>
      </c>
      <c r="O5747">
        <v>6.6036593000000005E-2</v>
      </c>
      <c r="P5747">
        <v>6.8079959999999995E-2</v>
      </c>
      <c r="Q5747" t="str">
        <f t="shared" si="178"/>
        <v>35-49</v>
      </c>
      <c r="R5747" t="str">
        <f t="shared" si="179"/>
        <v>[ir8wuHHzoSs]|35-49|Female|PLHIV_Residents.T|CY2025Q3</v>
      </c>
    </row>
    <row r="5748" spans="4:18" x14ac:dyDescent="0.2">
      <c r="D5748" t="s">
        <v>114</v>
      </c>
      <c r="E5748" t="s">
        <v>115</v>
      </c>
      <c r="F5748" t="s">
        <v>116</v>
      </c>
      <c r="G5748" t="s">
        <v>219</v>
      </c>
      <c r="H5748" t="s">
        <v>219</v>
      </c>
      <c r="I5748" t="s">
        <v>45</v>
      </c>
      <c r="J5748" t="s">
        <v>46</v>
      </c>
      <c r="K5748" t="s">
        <v>30</v>
      </c>
      <c r="L5748" t="s">
        <v>31</v>
      </c>
      <c r="M5748" t="s">
        <v>220</v>
      </c>
      <c r="N5748">
        <v>5127</v>
      </c>
      <c r="O5748">
        <v>7.2146762000000003E-2</v>
      </c>
      <c r="P5748">
        <v>6.8079959999999995E-2</v>
      </c>
      <c r="Q5748" t="str">
        <f t="shared" si="178"/>
        <v>50+</v>
      </c>
      <c r="R5748" t="str">
        <f t="shared" si="179"/>
        <v>[ir8wuHHzoSs]|50+|Female|PLHIV_Residents.T|CY2025Q3</v>
      </c>
    </row>
    <row r="5749" spans="4:18" x14ac:dyDescent="0.2">
      <c r="D5749" t="s">
        <v>114</v>
      </c>
      <c r="E5749" t="s">
        <v>115</v>
      </c>
      <c r="F5749" t="s">
        <v>116</v>
      </c>
      <c r="G5749" t="s">
        <v>219</v>
      </c>
      <c r="H5749" t="s">
        <v>219</v>
      </c>
      <c r="I5749" t="s">
        <v>28</v>
      </c>
      <c r="J5749" t="s">
        <v>29</v>
      </c>
      <c r="K5749" t="s">
        <v>48</v>
      </c>
      <c r="L5749" t="s">
        <v>49</v>
      </c>
      <c r="M5749" t="s">
        <v>220</v>
      </c>
      <c r="N5749">
        <v>17</v>
      </c>
      <c r="O5749">
        <v>7.1248130000000007E-2</v>
      </c>
      <c r="P5749">
        <v>6.8079959999999995E-2</v>
      </c>
      <c r="Q5749" t="str">
        <f t="shared" si="178"/>
        <v>&lt;01</v>
      </c>
      <c r="R5749" t="str">
        <f t="shared" si="179"/>
        <v>[ir8wuHHzoSs]|&lt;01|Male|PLHIV_Residents.T|CY2025Q3</v>
      </c>
    </row>
    <row r="5750" spans="4:18" x14ac:dyDescent="0.2">
      <c r="D5750" t="s">
        <v>114</v>
      </c>
      <c r="E5750" t="s">
        <v>115</v>
      </c>
      <c r="F5750" t="s">
        <v>116</v>
      </c>
      <c r="G5750" t="s">
        <v>219</v>
      </c>
      <c r="H5750" t="s">
        <v>219</v>
      </c>
      <c r="I5750" t="s">
        <v>33</v>
      </c>
      <c r="J5750" t="s">
        <v>34</v>
      </c>
      <c r="K5750" t="s">
        <v>48</v>
      </c>
      <c r="L5750" t="s">
        <v>49</v>
      </c>
      <c r="M5750" t="s">
        <v>220</v>
      </c>
      <c r="N5750">
        <v>329</v>
      </c>
      <c r="O5750">
        <v>7.5754176000000006E-2</v>
      </c>
      <c r="P5750">
        <v>6.8079959999999995E-2</v>
      </c>
      <c r="Q5750" t="str">
        <f t="shared" si="178"/>
        <v>01-09</v>
      </c>
      <c r="R5750" t="str">
        <f t="shared" si="179"/>
        <v>[ir8wuHHzoSs]|01-09|Male|PLHIV_Residents.T|CY2025Q3</v>
      </c>
    </row>
    <row r="5751" spans="4:18" x14ac:dyDescent="0.2">
      <c r="D5751" t="s">
        <v>114</v>
      </c>
      <c r="E5751" t="s">
        <v>115</v>
      </c>
      <c r="F5751" t="s">
        <v>116</v>
      </c>
      <c r="G5751" t="s">
        <v>219</v>
      </c>
      <c r="H5751" t="s">
        <v>219</v>
      </c>
      <c r="I5751" t="s">
        <v>36</v>
      </c>
      <c r="J5751" t="s">
        <v>37</v>
      </c>
      <c r="K5751" t="s">
        <v>48</v>
      </c>
      <c r="L5751" t="s">
        <v>49</v>
      </c>
      <c r="M5751" t="s">
        <v>220</v>
      </c>
      <c r="N5751">
        <v>436</v>
      </c>
      <c r="O5751">
        <v>8.3507992000000003E-2</v>
      </c>
      <c r="P5751">
        <v>6.8079959999999995E-2</v>
      </c>
      <c r="Q5751" t="str">
        <f t="shared" si="178"/>
        <v>10-14</v>
      </c>
      <c r="R5751" t="str">
        <f t="shared" si="179"/>
        <v>[ir8wuHHzoSs]|10-14|Male|PLHIV_Residents.T|CY2025Q3</v>
      </c>
    </row>
    <row r="5752" spans="4:18" x14ac:dyDescent="0.2">
      <c r="D5752" t="s">
        <v>114</v>
      </c>
      <c r="E5752" t="s">
        <v>115</v>
      </c>
      <c r="F5752" t="s">
        <v>116</v>
      </c>
      <c r="G5752" t="s">
        <v>219</v>
      </c>
      <c r="H5752" t="s">
        <v>219</v>
      </c>
      <c r="I5752" t="s">
        <v>38</v>
      </c>
      <c r="J5752" t="s">
        <v>39</v>
      </c>
      <c r="K5752" t="s">
        <v>48</v>
      </c>
      <c r="L5752" t="s">
        <v>49</v>
      </c>
      <c r="M5752" t="s">
        <v>220</v>
      </c>
      <c r="N5752">
        <v>1098</v>
      </c>
      <c r="O5752">
        <v>9.2977896000000004E-2</v>
      </c>
      <c r="P5752">
        <v>6.8079959999999995E-2</v>
      </c>
      <c r="Q5752" t="str">
        <f t="shared" si="178"/>
        <v>15-24</v>
      </c>
      <c r="R5752" t="str">
        <f t="shared" si="179"/>
        <v>[ir8wuHHzoSs]|15-24|Male|PLHIV_Residents.T|CY2025Q3</v>
      </c>
    </row>
    <row r="5753" spans="4:18" x14ac:dyDescent="0.2">
      <c r="D5753" t="s">
        <v>114</v>
      </c>
      <c r="E5753" t="s">
        <v>115</v>
      </c>
      <c r="F5753" t="s">
        <v>116</v>
      </c>
      <c r="G5753" t="s">
        <v>219</v>
      </c>
      <c r="H5753" t="s">
        <v>219</v>
      </c>
      <c r="I5753" t="s">
        <v>41</v>
      </c>
      <c r="J5753" t="s">
        <v>42</v>
      </c>
      <c r="K5753" t="s">
        <v>48</v>
      </c>
      <c r="L5753" t="s">
        <v>49</v>
      </c>
      <c r="M5753" t="s">
        <v>220</v>
      </c>
      <c r="N5753">
        <v>1127</v>
      </c>
      <c r="O5753">
        <v>9.8025002E-2</v>
      </c>
      <c r="P5753">
        <v>6.8079959999999995E-2</v>
      </c>
      <c r="Q5753" t="str">
        <f t="shared" si="178"/>
        <v>25-34</v>
      </c>
      <c r="R5753" t="str">
        <f t="shared" si="179"/>
        <v>[ir8wuHHzoSs]|25-34|Male|PLHIV_Residents.T|CY2025Q3</v>
      </c>
    </row>
    <row r="5754" spans="4:18" x14ac:dyDescent="0.2">
      <c r="D5754" t="s">
        <v>114</v>
      </c>
      <c r="E5754" t="s">
        <v>115</v>
      </c>
      <c r="F5754" t="s">
        <v>116</v>
      </c>
      <c r="G5754" t="s">
        <v>219</v>
      </c>
      <c r="H5754" t="s">
        <v>219</v>
      </c>
      <c r="I5754" t="s">
        <v>43</v>
      </c>
      <c r="J5754" t="s">
        <v>44</v>
      </c>
      <c r="K5754" t="s">
        <v>48</v>
      </c>
      <c r="L5754" t="s">
        <v>49</v>
      </c>
      <c r="M5754" t="s">
        <v>220</v>
      </c>
      <c r="N5754">
        <v>3999</v>
      </c>
      <c r="O5754">
        <v>7.6577310999999995E-2</v>
      </c>
      <c r="P5754">
        <v>6.8079959999999995E-2</v>
      </c>
      <c r="Q5754" t="str">
        <f t="shared" si="178"/>
        <v>35-49</v>
      </c>
      <c r="R5754" t="str">
        <f t="shared" si="179"/>
        <v>[ir8wuHHzoSs]|35-49|Male|PLHIV_Residents.T|CY2025Q3</v>
      </c>
    </row>
    <row r="5755" spans="4:18" x14ac:dyDescent="0.2">
      <c r="D5755" t="s">
        <v>114</v>
      </c>
      <c r="E5755" t="s">
        <v>115</v>
      </c>
      <c r="F5755" t="s">
        <v>116</v>
      </c>
      <c r="G5755" t="s">
        <v>219</v>
      </c>
      <c r="H5755" t="s">
        <v>219</v>
      </c>
      <c r="I5755" t="s">
        <v>45</v>
      </c>
      <c r="J5755" t="s">
        <v>46</v>
      </c>
      <c r="K5755" t="s">
        <v>48</v>
      </c>
      <c r="L5755" t="s">
        <v>49</v>
      </c>
      <c r="M5755" t="s">
        <v>220</v>
      </c>
      <c r="N5755">
        <v>3402</v>
      </c>
      <c r="O5755">
        <v>7.1584051999999995E-2</v>
      </c>
      <c r="P5755">
        <v>6.8079959999999995E-2</v>
      </c>
      <c r="Q5755" t="str">
        <f t="shared" si="178"/>
        <v>50+</v>
      </c>
      <c r="R5755" t="str">
        <f t="shared" si="179"/>
        <v>[ir8wuHHzoSs]|50+|Male|PLHIV_Residents.T|CY2025Q3</v>
      </c>
    </row>
    <row r="5756" spans="4:18" x14ac:dyDescent="0.2">
      <c r="D5756" t="s">
        <v>117</v>
      </c>
      <c r="E5756" t="s">
        <v>118</v>
      </c>
      <c r="F5756" t="s">
        <v>119</v>
      </c>
      <c r="G5756" t="s">
        <v>219</v>
      </c>
      <c r="H5756" t="s">
        <v>219</v>
      </c>
      <c r="I5756" t="s">
        <v>28</v>
      </c>
      <c r="J5756" t="s">
        <v>29</v>
      </c>
      <c r="K5756" t="s">
        <v>30</v>
      </c>
      <c r="L5756" t="s">
        <v>31</v>
      </c>
      <c r="M5756" t="s">
        <v>220</v>
      </c>
      <c r="N5756">
        <v>19</v>
      </c>
      <c r="O5756">
        <v>5.7913332999999997E-2</v>
      </c>
      <c r="P5756">
        <v>5.4634637999999999E-2</v>
      </c>
      <c r="Q5756" t="str">
        <f t="shared" si="178"/>
        <v>&lt;01</v>
      </c>
      <c r="R5756" t="str">
        <f t="shared" si="179"/>
        <v>[oiPR2CiVJbf]|&lt;01|Female|PLHIV_Residents.T|CY2025Q3</v>
      </c>
    </row>
    <row r="5757" spans="4:18" x14ac:dyDescent="0.2">
      <c r="D5757" t="s">
        <v>117</v>
      </c>
      <c r="E5757" t="s">
        <v>118</v>
      </c>
      <c r="F5757" t="s">
        <v>119</v>
      </c>
      <c r="G5757" t="s">
        <v>219</v>
      </c>
      <c r="H5757" t="s">
        <v>219</v>
      </c>
      <c r="I5757" t="s">
        <v>33</v>
      </c>
      <c r="J5757" t="s">
        <v>34</v>
      </c>
      <c r="K5757" t="s">
        <v>30</v>
      </c>
      <c r="L5757" t="s">
        <v>31</v>
      </c>
      <c r="M5757" t="s">
        <v>220</v>
      </c>
      <c r="N5757">
        <v>321</v>
      </c>
      <c r="O5757">
        <v>6.2485191000000002E-2</v>
      </c>
      <c r="P5757">
        <v>5.4634637999999999E-2</v>
      </c>
      <c r="Q5757" t="str">
        <f t="shared" si="178"/>
        <v>01-09</v>
      </c>
      <c r="R5757" t="str">
        <f t="shared" si="179"/>
        <v>[oiPR2CiVJbf]|01-09|Female|PLHIV_Residents.T|CY2025Q3</v>
      </c>
    </row>
    <row r="5758" spans="4:18" x14ac:dyDescent="0.2">
      <c r="D5758" t="s">
        <v>117</v>
      </c>
      <c r="E5758" t="s">
        <v>118</v>
      </c>
      <c r="F5758" t="s">
        <v>119</v>
      </c>
      <c r="G5758" t="s">
        <v>219</v>
      </c>
      <c r="H5758" t="s">
        <v>219</v>
      </c>
      <c r="I5758" t="s">
        <v>36</v>
      </c>
      <c r="J5758" t="s">
        <v>37</v>
      </c>
      <c r="K5758" t="s">
        <v>30</v>
      </c>
      <c r="L5758" t="s">
        <v>31</v>
      </c>
      <c r="M5758" t="s">
        <v>220</v>
      </c>
      <c r="N5758">
        <v>399</v>
      </c>
      <c r="O5758">
        <v>7.1372011999999999E-2</v>
      </c>
      <c r="P5758">
        <v>5.4634637999999999E-2</v>
      </c>
      <c r="Q5758" t="str">
        <f t="shared" si="178"/>
        <v>10-14</v>
      </c>
      <c r="R5758" t="str">
        <f t="shared" si="179"/>
        <v>[oiPR2CiVJbf]|10-14|Female|PLHIV_Residents.T|CY2025Q3</v>
      </c>
    </row>
    <row r="5759" spans="4:18" x14ac:dyDescent="0.2">
      <c r="D5759" t="s">
        <v>117</v>
      </c>
      <c r="E5759" t="s">
        <v>118</v>
      </c>
      <c r="F5759" t="s">
        <v>119</v>
      </c>
      <c r="G5759" t="s">
        <v>219</v>
      </c>
      <c r="H5759" t="s">
        <v>219</v>
      </c>
      <c r="I5759" t="s">
        <v>38</v>
      </c>
      <c r="J5759" t="s">
        <v>39</v>
      </c>
      <c r="K5759" t="s">
        <v>30</v>
      </c>
      <c r="L5759" t="s">
        <v>31</v>
      </c>
      <c r="M5759" t="s">
        <v>220</v>
      </c>
      <c r="N5759">
        <v>1794</v>
      </c>
      <c r="O5759">
        <v>8.4625353E-2</v>
      </c>
      <c r="P5759">
        <v>5.4634637999999999E-2</v>
      </c>
      <c r="Q5759" t="str">
        <f t="shared" si="178"/>
        <v>15-24</v>
      </c>
      <c r="R5759" t="str">
        <f t="shared" si="179"/>
        <v>[oiPR2CiVJbf]|15-24|Female|PLHIV_Residents.T|CY2025Q3</v>
      </c>
    </row>
    <row r="5760" spans="4:18" x14ac:dyDescent="0.2">
      <c r="D5760" t="s">
        <v>117</v>
      </c>
      <c r="E5760" t="s">
        <v>118</v>
      </c>
      <c r="F5760" t="s">
        <v>119</v>
      </c>
      <c r="G5760" t="s">
        <v>219</v>
      </c>
      <c r="H5760" t="s">
        <v>219</v>
      </c>
      <c r="I5760" t="s">
        <v>41</v>
      </c>
      <c r="J5760" t="s">
        <v>42</v>
      </c>
      <c r="K5760" t="s">
        <v>30</v>
      </c>
      <c r="L5760" t="s">
        <v>31</v>
      </c>
      <c r="M5760" t="s">
        <v>220</v>
      </c>
      <c r="N5760">
        <v>4417</v>
      </c>
      <c r="O5760">
        <v>6.9502261999999995E-2</v>
      </c>
      <c r="P5760">
        <v>5.4634637999999999E-2</v>
      </c>
      <c r="Q5760" t="str">
        <f t="shared" si="178"/>
        <v>25-34</v>
      </c>
      <c r="R5760" t="str">
        <f t="shared" si="179"/>
        <v>[oiPR2CiVJbf]|25-34|Female|PLHIV_Residents.T|CY2025Q3</v>
      </c>
    </row>
    <row r="5761" spans="4:18" x14ac:dyDescent="0.2">
      <c r="D5761" t="s">
        <v>117</v>
      </c>
      <c r="E5761" t="s">
        <v>118</v>
      </c>
      <c r="F5761" t="s">
        <v>119</v>
      </c>
      <c r="G5761" t="s">
        <v>219</v>
      </c>
      <c r="H5761" t="s">
        <v>219</v>
      </c>
      <c r="I5761" t="s">
        <v>43</v>
      </c>
      <c r="J5761" t="s">
        <v>44</v>
      </c>
      <c r="K5761" t="s">
        <v>30</v>
      </c>
      <c r="L5761" t="s">
        <v>31</v>
      </c>
      <c r="M5761" t="s">
        <v>220</v>
      </c>
      <c r="N5761">
        <v>11811</v>
      </c>
      <c r="O5761">
        <v>5.2558528E-2</v>
      </c>
      <c r="P5761">
        <v>5.4634637999999999E-2</v>
      </c>
      <c r="Q5761" t="str">
        <f t="shared" si="178"/>
        <v>35-49</v>
      </c>
      <c r="R5761" t="str">
        <f t="shared" si="179"/>
        <v>[oiPR2CiVJbf]|35-49|Female|PLHIV_Residents.T|CY2025Q3</v>
      </c>
    </row>
    <row r="5762" spans="4:18" x14ac:dyDescent="0.2">
      <c r="D5762" t="s">
        <v>117</v>
      </c>
      <c r="E5762" t="s">
        <v>118</v>
      </c>
      <c r="F5762" t="s">
        <v>119</v>
      </c>
      <c r="G5762" t="s">
        <v>219</v>
      </c>
      <c r="H5762" t="s">
        <v>219</v>
      </c>
      <c r="I5762" t="s">
        <v>45</v>
      </c>
      <c r="J5762" t="s">
        <v>46</v>
      </c>
      <c r="K5762" t="s">
        <v>30</v>
      </c>
      <c r="L5762" t="s">
        <v>31</v>
      </c>
      <c r="M5762" t="s">
        <v>220</v>
      </c>
      <c r="N5762">
        <v>6778</v>
      </c>
      <c r="O5762">
        <v>6.0856432000000002E-2</v>
      </c>
      <c r="P5762">
        <v>5.4634637999999999E-2</v>
      </c>
      <c r="Q5762" t="str">
        <f t="shared" si="178"/>
        <v>50+</v>
      </c>
      <c r="R5762" t="str">
        <f t="shared" si="179"/>
        <v>[oiPR2CiVJbf]|50+|Female|PLHIV_Residents.T|CY2025Q3</v>
      </c>
    </row>
    <row r="5763" spans="4:18" x14ac:dyDescent="0.2">
      <c r="D5763" t="s">
        <v>117</v>
      </c>
      <c r="E5763" t="s">
        <v>118</v>
      </c>
      <c r="F5763" t="s">
        <v>119</v>
      </c>
      <c r="G5763" t="s">
        <v>219</v>
      </c>
      <c r="H5763" t="s">
        <v>219</v>
      </c>
      <c r="I5763" t="s">
        <v>28</v>
      </c>
      <c r="J5763" t="s">
        <v>29</v>
      </c>
      <c r="K5763" t="s">
        <v>48</v>
      </c>
      <c r="L5763" t="s">
        <v>49</v>
      </c>
      <c r="M5763" t="s">
        <v>220</v>
      </c>
      <c r="N5763">
        <v>19</v>
      </c>
      <c r="O5763">
        <v>5.7950017999999999E-2</v>
      </c>
      <c r="P5763">
        <v>5.4634637999999999E-2</v>
      </c>
      <c r="Q5763" t="str">
        <f t="shared" ref="Q5763:Q5826" si="180">SUBSTITUTE(SUBSTITUTE($I5763,CHAR(61),""),CHAR(34),"")</f>
        <v>&lt;01</v>
      </c>
      <c r="R5763" t="str">
        <f t="shared" ref="R5763:R5826" si="181">IF($D5763&lt;&gt;"","["&amp;$E5763&amp;"]"&amp;"|"&amp;$Q5763&amp;"|"&amp;$K5763&amp;"|"&amp;$G5763&amp;"|"&amp;IF($G5763="TX_CURR_SUBNAT.R","CY2023Q4",$M5763),"")</f>
        <v>[oiPR2CiVJbf]|&lt;01|Male|PLHIV_Residents.T|CY2025Q3</v>
      </c>
    </row>
    <row r="5764" spans="4:18" x14ac:dyDescent="0.2">
      <c r="D5764" t="s">
        <v>117</v>
      </c>
      <c r="E5764" t="s">
        <v>118</v>
      </c>
      <c r="F5764" t="s">
        <v>119</v>
      </c>
      <c r="G5764" t="s">
        <v>219</v>
      </c>
      <c r="H5764" t="s">
        <v>219</v>
      </c>
      <c r="I5764" t="s">
        <v>33</v>
      </c>
      <c r="J5764" t="s">
        <v>34</v>
      </c>
      <c r="K5764" t="s">
        <v>48</v>
      </c>
      <c r="L5764" t="s">
        <v>49</v>
      </c>
      <c r="M5764" t="s">
        <v>220</v>
      </c>
      <c r="N5764">
        <v>330</v>
      </c>
      <c r="O5764">
        <v>6.2553141000000007E-2</v>
      </c>
      <c r="P5764">
        <v>5.4634637999999999E-2</v>
      </c>
      <c r="Q5764" t="str">
        <f t="shared" si="180"/>
        <v>01-09</v>
      </c>
      <c r="R5764" t="str">
        <f t="shared" si="181"/>
        <v>[oiPR2CiVJbf]|01-09|Male|PLHIV_Residents.T|CY2025Q3</v>
      </c>
    </row>
    <row r="5765" spans="4:18" x14ac:dyDescent="0.2">
      <c r="D5765" t="s">
        <v>117</v>
      </c>
      <c r="E5765" t="s">
        <v>118</v>
      </c>
      <c r="F5765" t="s">
        <v>119</v>
      </c>
      <c r="G5765" t="s">
        <v>219</v>
      </c>
      <c r="H5765" t="s">
        <v>219</v>
      </c>
      <c r="I5765" t="s">
        <v>36</v>
      </c>
      <c r="J5765" t="s">
        <v>37</v>
      </c>
      <c r="K5765" t="s">
        <v>48</v>
      </c>
      <c r="L5765" t="s">
        <v>49</v>
      </c>
      <c r="M5765" t="s">
        <v>220</v>
      </c>
      <c r="N5765">
        <v>412</v>
      </c>
      <c r="O5765">
        <v>7.1379174000000004E-2</v>
      </c>
      <c r="P5765">
        <v>5.4634637999999999E-2</v>
      </c>
      <c r="Q5765" t="str">
        <f t="shared" si="180"/>
        <v>10-14</v>
      </c>
      <c r="R5765" t="str">
        <f t="shared" si="181"/>
        <v>[oiPR2CiVJbf]|10-14|Male|PLHIV_Residents.T|CY2025Q3</v>
      </c>
    </row>
    <row r="5766" spans="4:18" x14ac:dyDescent="0.2">
      <c r="D5766" t="s">
        <v>117</v>
      </c>
      <c r="E5766" t="s">
        <v>118</v>
      </c>
      <c r="F5766" t="s">
        <v>119</v>
      </c>
      <c r="G5766" t="s">
        <v>219</v>
      </c>
      <c r="H5766" t="s">
        <v>219</v>
      </c>
      <c r="I5766" t="s">
        <v>38</v>
      </c>
      <c r="J5766" t="s">
        <v>39</v>
      </c>
      <c r="K5766" t="s">
        <v>48</v>
      </c>
      <c r="L5766" t="s">
        <v>49</v>
      </c>
      <c r="M5766" t="s">
        <v>220</v>
      </c>
      <c r="N5766">
        <v>1323</v>
      </c>
      <c r="O5766">
        <v>8.6722667000000003E-2</v>
      </c>
      <c r="P5766">
        <v>5.4634637999999999E-2</v>
      </c>
      <c r="Q5766" t="str">
        <f t="shared" si="180"/>
        <v>15-24</v>
      </c>
      <c r="R5766" t="str">
        <f t="shared" si="181"/>
        <v>[oiPR2CiVJbf]|15-24|Male|PLHIV_Residents.T|CY2025Q3</v>
      </c>
    </row>
    <row r="5767" spans="4:18" x14ac:dyDescent="0.2">
      <c r="D5767" t="s">
        <v>117</v>
      </c>
      <c r="E5767" t="s">
        <v>118</v>
      </c>
      <c r="F5767" t="s">
        <v>119</v>
      </c>
      <c r="G5767" t="s">
        <v>219</v>
      </c>
      <c r="H5767" t="s">
        <v>219</v>
      </c>
      <c r="I5767" t="s">
        <v>41</v>
      </c>
      <c r="J5767" t="s">
        <v>42</v>
      </c>
      <c r="K5767" t="s">
        <v>48</v>
      </c>
      <c r="L5767" t="s">
        <v>49</v>
      </c>
      <c r="M5767" t="s">
        <v>220</v>
      </c>
      <c r="N5767">
        <v>1772</v>
      </c>
      <c r="O5767">
        <v>8.7228583999999998E-2</v>
      </c>
      <c r="P5767">
        <v>5.4634637999999999E-2</v>
      </c>
      <c r="Q5767" t="str">
        <f t="shared" si="180"/>
        <v>25-34</v>
      </c>
      <c r="R5767" t="str">
        <f t="shared" si="181"/>
        <v>[oiPR2CiVJbf]|25-34|Male|PLHIV_Residents.T|CY2025Q3</v>
      </c>
    </row>
    <row r="5768" spans="4:18" x14ac:dyDescent="0.2">
      <c r="D5768" t="s">
        <v>117</v>
      </c>
      <c r="E5768" t="s">
        <v>118</v>
      </c>
      <c r="F5768" t="s">
        <v>119</v>
      </c>
      <c r="G5768" t="s">
        <v>219</v>
      </c>
      <c r="H5768" t="s">
        <v>219</v>
      </c>
      <c r="I5768" t="s">
        <v>43</v>
      </c>
      <c r="J5768" t="s">
        <v>44</v>
      </c>
      <c r="K5768" t="s">
        <v>48</v>
      </c>
      <c r="L5768" t="s">
        <v>49</v>
      </c>
      <c r="M5768" t="s">
        <v>220</v>
      </c>
      <c r="N5768">
        <v>5893</v>
      </c>
      <c r="O5768">
        <v>6.3155864000000006E-2</v>
      </c>
      <c r="P5768">
        <v>5.4634637999999999E-2</v>
      </c>
      <c r="Q5768" t="str">
        <f t="shared" si="180"/>
        <v>35-49</v>
      </c>
      <c r="R5768" t="str">
        <f t="shared" si="181"/>
        <v>[oiPR2CiVJbf]|35-49|Male|PLHIV_Residents.T|CY2025Q3</v>
      </c>
    </row>
    <row r="5769" spans="4:18" x14ac:dyDescent="0.2">
      <c r="D5769" t="s">
        <v>117</v>
      </c>
      <c r="E5769" t="s">
        <v>118</v>
      </c>
      <c r="F5769" t="s">
        <v>119</v>
      </c>
      <c r="G5769" t="s">
        <v>219</v>
      </c>
      <c r="H5769" t="s">
        <v>219</v>
      </c>
      <c r="I5769" t="s">
        <v>45</v>
      </c>
      <c r="J5769" t="s">
        <v>46</v>
      </c>
      <c r="K5769" t="s">
        <v>48</v>
      </c>
      <c r="L5769" t="s">
        <v>49</v>
      </c>
      <c r="M5769" t="s">
        <v>220</v>
      </c>
      <c r="N5769">
        <v>4753</v>
      </c>
      <c r="O5769">
        <v>5.6119292000000001E-2</v>
      </c>
      <c r="P5769">
        <v>5.4634637999999999E-2</v>
      </c>
      <c r="Q5769" t="str">
        <f t="shared" si="180"/>
        <v>50+</v>
      </c>
      <c r="R5769" t="str">
        <f t="shared" si="181"/>
        <v>[oiPR2CiVJbf]|50+|Male|PLHIV_Residents.T|CY2025Q3</v>
      </c>
    </row>
    <row r="5770" spans="4:18" x14ac:dyDescent="0.2">
      <c r="D5770" t="s">
        <v>120</v>
      </c>
      <c r="E5770" t="s">
        <v>121</v>
      </c>
      <c r="F5770" t="s">
        <v>122</v>
      </c>
      <c r="G5770" t="s">
        <v>219</v>
      </c>
      <c r="H5770" t="s">
        <v>219</v>
      </c>
      <c r="I5770" t="s">
        <v>28</v>
      </c>
      <c r="J5770" t="s">
        <v>29</v>
      </c>
      <c r="K5770" t="s">
        <v>30</v>
      </c>
      <c r="L5770" t="s">
        <v>31</v>
      </c>
      <c r="M5770" t="s">
        <v>220</v>
      </c>
      <c r="N5770">
        <v>61</v>
      </c>
      <c r="O5770">
        <v>3.3219219000000001E-2</v>
      </c>
      <c r="P5770">
        <v>3.0067494E-2</v>
      </c>
      <c r="Q5770" t="str">
        <f t="shared" si="180"/>
        <v>&lt;01</v>
      </c>
      <c r="R5770" t="str">
        <f t="shared" si="181"/>
        <v>[mxqa3CDFmIT]|&lt;01|Female|PLHIV_Residents.T|CY2025Q3</v>
      </c>
    </row>
    <row r="5771" spans="4:18" x14ac:dyDescent="0.2">
      <c r="D5771" t="s">
        <v>120</v>
      </c>
      <c r="E5771" t="s">
        <v>121</v>
      </c>
      <c r="F5771" t="s">
        <v>122</v>
      </c>
      <c r="G5771" t="s">
        <v>219</v>
      </c>
      <c r="H5771" t="s">
        <v>219</v>
      </c>
      <c r="I5771" t="s">
        <v>33</v>
      </c>
      <c r="J5771" t="s">
        <v>34</v>
      </c>
      <c r="K5771" t="s">
        <v>30</v>
      </c>
      <c r="L5771" t="s">
        <v>31</v>
      </c>
      <c r="M5771" t="s">
        <v>220</v>
      </c>
      <c r="N5771">
        <v>1014</v>
      </c>
      <c r="O5771">
        <v>3.6610276999999997E-2</v>
      </c>
      <c r="P5771">
        <v>3.0067494E-2</v>
      </c>
      <c r="Q5771" t="str">
        <f t="shared" si="180"/>
        <v>01-09</v>
      </c>
      <c r="R5771" t="str">
        <f t="shared" si="181"/>
        <v>[mxqa3CDFmIT]|01-09|Female|PLHIV_Residents.T|CY2025Q3</v>
      </c>
    </row>
    <row r="5772" spans="4:18" x14ac:dyDescent="0.2">
      <c r="D5772" t="s">
        <v>120</v>
      </c>
      <c r="E5772" t="s">
        <v>121</v>
      </c>
      <c r="F5772" t="s">
        <v>122</v>
      </c>
      <c r="G5772" t="s">
        <v>219</v>
      </c>
      <c r="H5772" t="s">
        <v>219</v>
      </c>
      <c r="I5772" t="s">
        <v>36</v>
      </c>
      <c r="J5772" t="s">
        <v>37</v>
      </c>
      <c r="K5772" t="s">
        <v>30</v>
      </c>
      <c r="L5772" t="s">
        <v>31</v>
      </c>
      <c r="M5772" t="s">
        <v>220</v>
      </c>
      <c r="N5772">
        <v>1173</v>
      </c>
      <c r="O5772">
        <v>4.3541802999999997E-2</v>
      </c>
      <c r="P5772">
        <v>3.0067494E-2</v>
      </c>
      <c r="Q5772" t="str">
        <f t="shared" si="180"/>
        <v>10-14</v>
      </c>
      <c r="R5772" t="str">
        <f t="shared" si="181"/>
        <v>[mxqa3CDFmIT]|10-14|Female|PLHIV_Residents.T|CY2025Q3</v>
      </c>
    </row>
    <row r="5773" spans="4:18" x14ac:dyDescent="0.2">
      <c r="D5773" t="s">
        <v>120</v>
      </c>
      <c r="E5773" t="s">
        <v>121</v>
      </c>
      <c r="F5773" t="s">
        <v>122</v>
      </c>
      <c r="G5773" t="s">
        <v>219</v>
      </c>
      <c r="H5773" t="s">
        <v>219</v>
      </c>
      <c r="I5773" t="s">
        <v>38</v>
      </c>
      <c r="J5773" t="s">
        <v>39</v>
      </c>
      <c r="K5773" t="s">
        <v>30</v>
      </c>
      <c r="L5773" t="s">
        <v>31</v>
      </c>
      <c r="M5773" t="s">
        <v>220</v>
      </c>
      <c r="N5773">
        <v>5574</v>
      </c>
      <c r="O5773">
        <v>6.2212153999999999E-2</v>
      </c>
      <c r="P5773">
        <v>3.0067494E-2</v>
      </c>
      <c r="Q5773" t="str">
        <f t="shared" si="180"/>
        <v>15-24</v>
      </c>
      <c r="R5773" t="str">
        <f t="shared" si="181"/>
        <v>[mxqa3CDFmIT]|15-24|Female|PLHIV_Residents.T|CY2025Q3</v>
      </c>
    </row>
    <row r="5774" spans="4:18" x14ac:dyDescent="0.2">
      <c r="D5774" t="s">
        <v>120</v>
      </c>
      <c r="E5774" t="s">
        <v>121</v>
      </c>
      <c r="F5774" t="s">
        <v>122</v>
      </c>
      <c r="G5774" t="s">
        <v>219</v>
      </c>
      <c r="H5774" t="s">
        <v>219</v>
      </c>
      <c r="I5774" t="s">
        <v>41</v>
      </c>
      <c r="J5774" t="s">
        <v>42</v>
      </c>
      <c r="K5774" t="s">
        <v>30</v>
      </c>
      <c r="L5774" t="s">
        <v>31</v>
      </c>
      <c r="M5774" t="s">
        <v>220</v>
      </c>
      <c r="N5774">
        <v>15808</v>
      </c>
      <c r="O5774">
        <v>4.7774693999999999E-2</v>
      </c>
      <c r="P5774">
        <v>3.0067494E-2</v>
      </c>
      <c r="Q5774" t="str">
        <f t="shared" si="180"/>
        <v>25-34</v>
      </c>
      <c r="R5774" t="str">
        <f t="shared" si="181"/>
        <v>[mxqa3CDFmIT]|25-34|Female|PLHIV_Residents.T|CY2025Q3</v>
      </c>
    </row>
    <row r="5775" spans="4:18" x14ac:dyDescent="0.2">
      <c r="D5775" t="s">
        <v>120</v>
      </c>
      <c r="E5775" t="s">
        <v>121</v>
      </c>
      <c r="F5775" t="s">
        <v>122</v>
      </c>
      <c r="G5775" t="s">
        <v>219</v>
      </c>
      <c r="H5775" t="s">
        <v>219</v>
      </c>
      <c r="I5775" t="s">
        <v>43</v>
      </c>
      <c r="J5775" t="s">
        <v>44</v>
      </c>
      <c r="K5775" t="s">
        <v>30</v>
      </c>
      <c r="L5775" t="s">
        <v>31</v>
      </c>
      <c r="M5775" t="s">
        <v>220</v>
      </c>
      <c r="N5775">
        <v>37613</v>
      </c>
      <c r="O5775">
        <v>3.1930785000000003E-2</v>
      </c>
      <c r="P5775">
        <v>3.0067494E-2</v>
      </c>
      <c r="Q5775" t="str">
        <f t="shared" si="180"/>
        <v>35-49</v>
      </c>
      <c r="R5775" t="str">
        <f t="shared" si="181"/>
        <v>[mxqa3CDFmIT]|35-49|Female|PLHIV_Residents.T|CY2025Q3</v>
      </c>
    </row>
    <row r="5776" spans="4:18" x14ac:dyDescent="0.2">
      <c r="D5776" t="s">
        <v>120</v>
      </c>
      <c r="E5776" t="s">
        <v>121</v>
      </c>
      <c r="F5776" t="s">
        <v>122</v>
      </c>
      <c r="G5776" t="s">
        <v>219</v>
      </c>
      <c r="H5776" t="s">
        <v>219</v>
      </c>
      <c r="I5776" t="s">
        <v>45</v>
      </c>
      <c r="J5776" t="s">
        <v>46</v>
      </c>
      <c r="K5776" t="s">
        <v>30</v>
      </c>
      <c r="L5776" t="s">
        <v>31</v>
      </c>
      <c r="M5776" t="s">
        <v>220</v>
      </c>
      <c r="N5776">
        <v>14556</v>
      </c>
      <c r="O5776">
        <v>3.9841098999999998E-2</v>
      </c>
      <c r="P5776">
        <v>3.0067494E-2</v>
      </c>
      <c r="Q5776" t="str">
        <f t="shared" si="180"/>
        <v>50+</v>
      </c>
      <c r="R5776" t="str">
        <f t="shared" si="181"/>
        <v>[mxqa3CDFmIT]|50+|Female|PLHIV_Residents.T|CY2025Q3</v>
      </c>
    </row>
    <row r="5777" spans="4:18" x14ac:dyDescent="0.2">
      <c r="D5777" t="s">
        <v>120</v>
      </c>
      <c r="E5777" t="s">
        <v>121</v>
      </c>
      <c r="F5777" t="s">
        <v>122</v>
      </c>
      <c r="G5777" t="s">
        <v>219</v>
      </c>
      <c r="H5777" t="s">
        <v>219</v>
      </c>
      <c r="I5777" t="s">
        <v>28</v>
      </c>
      <c r="J5777" t="s">
        <v>29</v>
      </c>
      <c r="K5777" t="s">
        <v>48</v>
      </c>
      <c r="L5777" t="s">
        <v>49</v>
      </c>
      <c r="M5777" t="s">
        <v>220</v>
      </c>
      <c r="N5777">
        <v>61</v>
      </c>
      <c r="O5777">
        <v>3.3213140000000002E-2</v>
      </c>
      <c r="P5777">
        <v>3.0067494E-2</v>
      </c>
      <c r="Q5777" t="str">
        <f t="shared" si="180"/>
        <v>&lt;01</v>
      </c>
      <c r="R5777" t="str">
        <f t="shared" si="181"/>
        <v>[mxqa3CDFmIT]|&lt;01|Male|PLHIV_Residents.T|CY2025Q3</v>
      </c>
    </row>
    <row r="5778" spans="4:18" x14ac:dyDescent="0.2">
      <c r="D5778" t="s">
        <v>120</v>
      </c>
      <c r="E5778" t="s">
        <v>121</v>
      </c>
      <c r="F5778" t="s">
        <v>122</v>
      </c>
      <c r="G5778" t="s">
        <v>219</v>
      </c>
      <c r="H5778" t="s">
        <v>219</v>
      </c>
      <c r="I5778" t="s">
        <v>33</v>
      </c>
      <c r="J5778" t="s">
        <v>34</v>
      </c>
      <c r="K5778" t="s">
        <v>48</v>
      </c>
      <c r="L5778" t="s">
        <v>49</v>
      </c>
      <c r="M5778" t="s">
        <v>220</v>
      </c>
      <c r="N5778">
        <v>1024</v>
      </c>
      <c r="O5778">
        <v>3.6599147999999998E-2</v>
      </c>
      <c r="P5778">
        <v>3.0067494E-2</v>
      </c>
      <c r="Q5778" t="str">
        <f t="shared" si="180"/>
        <v>01-09</v>
      </c>
      <c r="R5778" t="str">
        <f t="shared" si="181"/>
        <v>[mxqa3CDFmIT]|01-09|Male|PLHIV_Residents.T|CY2025Q3</v>
      </c>
    </row>
    <row r="5779" spans="4:18" x14ac:dyDescent="0.2">
      <c r="D5779" t="s">
        <v>120</v>
      </c>
      <c r="E5779" t="s">
        <v>121</v>
      </c>
      <c r="F5779" t="s">
        <v>122</v>
      </c>
      <c r="G5779" t="s">
        <v>219</v>
      </c>
      <c r="H5779" t="s">
        <v>219</v>
      </c>
      <c r="I5779" t="s">
        <v>36</v>
      </c>
      <c r="J5779" t="s">
        <v>37</v>
      </c>
      <c r="K5779" t="s">
        <v>48</v>
      </c>
      <c r="L5779" t="s">
        <v>49</v>
      </c>
      <c r="M5779" t="s">
        <v>220</v>
      </c>
      <c r="N5779">
        <v>1172</v>
      </c>
      <c r="O5779">
        <v>4.3500744000000001E-2</v>
      </c>
      <c r="P5779">
        <v>3.0067494E-2</v>
      </c>
      <c r="Q5779" t="str">
        <f t="shared" si="180"/>
        <v>10-14</v>
      </c>
      <c r="R5779" t="str">
        <f t="shared" si="181"/>
        <v>[mxqa3CDFmIT]|10-14|Male|PLHIV_Residents.T|CY2025Q3</v>
      </c>
    </row>
    <row r="5780" spans="4:18" x14ac:dyDescent="0.2">
      <c r="D5780" t="s">
        <v>120</v>
      </c>
      <c r="E5780" t="s">
        <v>121</v>
      </c>
      <c r="F5780" t="s">
        <v>122</v>
      </c>
      <c r="G5780" t="s">
        <v>219</v>
      </c>
      <c r="H5780" t="s">
        <v>219</v>
      </c>
      <c r="I5780" t="s">
        <v>38</v>
      </c>
      <c r="J5780" t="s">
        <v>39</v>
      </c>
      <c r="K5780" t="s">
        <v>48</v>
      </c>
      <c r="L5780" t="s">
        <v>49</v>
      </c>
      <c r="M5780" t="s">
        <v>220</v>
      </c>
      <c r="N5780">
        <v>3882</v>
      </c>
      <c r="O5780">
        <v>7.0831441999999994E-2</v>
      </c>
      <c r="P5780">
        <v>3.0067494E-2</v>
      </c>
      <c r="Q5780" t="str">
        <f t="shared" si="180"/>
        <v>15-24</v>
      </c>
      <c r="R5780" t="str">
        <f t="shared" si="181"/>
        <v>[mxqa3CDFmIT]|15-24|Male|PLHIV_Residents.T|CY2025Q3</v>
      </c>
    </row>
    <row r="5781" spans="4:18" x14ac:dyDescent="0.2">
      <c r="D5781" t="s">
        <v>120</v>
      </c>
      <c r="E5781" t="s">
        <v>121</v>
      </c>
      <c r="F5781" t="s">
        <v>122</v>
      </c>
      <c r="G5781" t="s">
        <v>219</v>
      </c>
      <c r="H5781" t="s">
        <v>219</v>
      </c>
      <c r="I5781" t="s">
        <v>41</v>
      </c>
      <c r="J5781" t="s">
        <v>42</v>
      </c>
      <c r="K5781" t="s">
        <v>48</v>
      </c>
      <c r="L5781" t="s">
        <v>49</v>
      </c>
      <c r="M5781" t="s">
        <v>220</v>
      </c>
      <c r="N5781">
        <v>6827</v>
      </c>
      <c r="O5781">
        <v>6.8485530000000003E-2</v>
      </c>
      <c r="P5781">
        <v>3.0067494E-2</v>
      </c>
      <c r="Q5781" t="str">
        <f t="shared" si="180"/>
        <v>25-34</v>
      </c>
      <c r="R5781" t="str">
        <f t="shared" si="181"/>
        <v>[mxqa3CDFmIT]|25-34|Male|PLHIV_Residents.T|CY2025Q3</v>
      </c>
    </row>
    <row r="5782" spans="4:18" x14ac:dyDescent="0.2">
      <c r="D5782" t="s">
        <v>120</v>
      </c>
      <c r="E5782" t="s">
        <v>121</v>
      </c>
      <c r="F5782" t="s">
        <v>122</v>
      </c>
      <c r="G5782" t="s">
        <v>219</v>
      </c>
      <c r="H5782" t="s">
        <v>219</v>
      </c>
      <c r="I5782" t="s">
        <v>43</v>
      </c>
      <c r="J5782" t="s">
        <v>44</v>
      </c>
      <c r="K5782" t="s">
        <v>48</v>
      </c>
      <c r="L5782" t="s">
        <v>49</v>
      </c>
      <c r="M5782" t="s">
        <v>220</v>
      </c>
      <c r="N5782">
        <v>23499</v>
      </c>
      <c r="O5782">
        <v>3.8834339000000002E-2</v>
      </c>
      <c r="P5782">
        <v>3.0067494E-2</v>
      </c>
      <c r="Q5782" t="str">
        <f t="shared" si="180"/>
        <v>35-49</v>
      </c>
      <c r="R5782" t="str">
        <f t="shared" si="181"/>
        <v>[mxqa3CDFmIT]|35-49|Male|PLHIV_Residents.T|CY2025Q3</v>
      </c>
    </row>
    <row r="5783" spans="4:18" x14ac:dyDescent="0.2">
      <c r="D5783" t="s">
        <v>120</v>
      </c>
      <c r="E5783" t="s">
        <v>121</v>
      </c>
      <c r="F5783" t="s">
        <v>122</v>
      </c>
      <c r="G5783" t="s">
        <v>219</v>
      </c>
      <c r="H5783" t="s">
        <v>219</v>
      </c>
      <c r="I5783" t="s">
        <v>45</v>
      </c>
      <c r="J5783" t="s">
        <v>46</v>
      </c>
      <c r="K5783" t="s">
        <v>48</v>
      </c>
      <c r="L5783" t="s">
        <v>49</v>
      </c>
      <c r="M5783" t="s">
        <v>220</v>
      </c>
      <c r="N5783">
        <v>14724</v>
      </c>
      <c r="O5783">
        <v>3.8247946999999997E-2</v>
      </c>
      <c r="P5783">
        <v>3.0067494E-2</v>
      </c>
      <c r="Q5783" t="str">
        <f t="shared" si="180"/>
        <v>50+</v>
      </c>
      <c r="R5783" t="str">
        <f t="shared" si="181"/>
        <v>[mxqa3CDFmIT]|50+|Male|PLHIV_Residents.T|CY2025Q3</v>
      </c>
    </row>
    <row r="5784" spans="4:18" x14ac:dyDescent="0.2">
      <c r="D5784" t="s">
        <v>123</v>
      </c>
      <c r="E5784" t="s">
        <v>124</v>
      </c>
      <c r="F5784" t="s">
        <v>125</v>
      </c>
      <c r="G5784" t="s">
        <v>219</v>
      </c>
      <c r="H5784" t="s">
        <v>219</v>
      </c>
      <c r="I5784" t="s">
        <v>28</v>
      </c>
      <c r="J5784" t="s">
        <v>29</v>
      </c>
      <c r="K5784" t="s">
        <v>30</v>
      </c>
      <c r="L5784" t="s">
        <v>31</v>
      </c>
      <c r="M5784" t="s">
        <v>220</v>
      </c>
      <c r="N5784">
        <v>4</v>
      </c>
      <c r="O5784">
        <v>8.9720897999999993E-2</v>
      </c>
      <c r="P5784">
        <v>8.5938886000000006E-2</v>
      </c>
      <c r="Q5784" t="str">
        <f t="shared" si="180"/>
        <v>&lt;01</v>
      </c>
      <c r="R5784" t="str">
        <f t="shared" si="181"/>
        <v>[wNqJp8oRIcF]|&lt;01|Female|PLHIV_Residents.T|CY2025Q3</v>
      </c>
    </row>
    <row r="5785" spans="4:18" x14ac:dyDescent="0.2">
      <c r="D5785" t="s">
        <v>123</v>
      </c>
      <c r="E5785" t="s">
        <v>124</v>
      </c>
      <c r="F5785" t="s">
        <v>125</v>
      </c>
      <c r="G5785" t="s">
        <v>219</v>
      </c>
      <c r="H5785" t="s">
        <v>219</v>
      </c>
      <c r="I5785" t="s">
        <v>33</v>
      </c>
      <c r="J5785" t="s">
        <v>34</v>
      </c>
      <c r="K5785" t="s">
        <v>30</v>
      </c>
      <c r="L5785" t="s">
        <v>31</v>
      </c>
      <c r="M5785" t="s">
        <v>220</v>
      </c>
      <c r="N5785">
        <v>65</v>
      </c>
      <c r="O5785">
        <v>9.5534268000000006E-2</v>
      </c>
      <c r="P5785">
        <v>8.5938886000000006E-2</v>
      </c>
      <c r="Q5785" t="str">
        <f t="shared" si="180"/>
        <v>01-09</v>
      </c>
      <c r="R5785" t="str">
        <f t="shared" si="181"/>
        <v>[wNqJp8oRIcF]|01-09|Female|PLHIV_Residents.T|CY2025Q3</v>
      </c>
    </row>
    <row r="5786" spans="4:18" x14ac:dyDescent="0.2">
      <c r="D5786" t="s">
        <v>123</v>
      </c>
      <c r="E5786" t="s">
        <v>124</v>
      </c>
      <c r="F5786" t="s">
        <v>125</v>
      </c>
      <c r="G5786" t="s">
        <v>219</v>
      </c>
      <c r="H5786" t="s">
        <v>219</v>
      </c>
      <c r="I5786" t="s">
        <v>36</v>
      </c>
      <c r="J5786" t="s">
        <v>37</v>
      </c>
      <c r="K5786" t="s">
        <v>30</v>
      </c>
      <c r="L5786" t="s">
        <v>31</v>
      </c>
      <c r="M5786" t="s">
        <v>220</v>
      </c>
      <c r="N5786">
        <v>81</v>
      </c>
      <c r="O5786">
        <v>0.105749154</v>
      </c>
      <c r="P5786">
        <v>8.5938886000000006E-2</v>
      </c>
      <c r="Q5786" t="str">
        <f t="shared" si="180"/>
        <v>10-14</v>
      </c>
      <c r="R5786" t="str">
        <f t="shared" si="181"/>
        <v>[wNqJp8oRIcF]|10-14|Female|PLHIV_Residents.T|CY2025Q3</v>
      </c>
    </row>
    <row r="5787" spans="4:18" x14ac:dyDescent="0.2">
      <c r="D5787" t="s">
        <v>123</v>
      </c>
      <c r="E5787" t="s">
        <v>124</v>
      </c>
      <c r="F5787" t="s">
        <v>125</v>
      </c>
      <c r="G5787" t="s">
        <v>219</v>
      </c>
      <c r="H5787" t="s">
        <v>219</v>
      </c>
      <c r="I5787" t="s">
        <v>38</v>
      </c>
      <c r="J5787" t="s">
        <v>39</v>
      </c>
      <c r="K5787" t="s">
        <v>30</v>
      </c>
      <c r="L5787" t="s">
        <v>31</v>
      </c>
      <c r="M5787" t="s">
        <v>220</v>
      </c>
      <c r="N5787">
        <v>326</v>
      </c>
      <c r="O5787">
        <v>0.106984525</v>
      </c>
      <c r="P5787">
        <v>8.5938886000000006E-2</v>
      </c>
      <c r="Q5787" t="str">
        <f t="shared" si="180"/>
        <v>15-24</v>
      </c>
      <c r="R5787" t="str">
        <f t="shared" si="181"/>
        <v>[wNqJp8oRIcF]|15-24|Female|PLHIV_Residents.T|CY2025Q3</v>
      </c>
    </row>
    <row r="5788" spans="4:18" x14ac:dyDescent="0.2">
      <c r="D5788" t="s">
        <v>123</v>
      </c>
      <c r="E5788" t="s">
        <v>124</v>
      </c>
      <c r="F5788" t="s">
        <v>125</v>
      </c>
      <c r="G5788" t="s">
        <v>219</v>
      </c>
      <c r="H5788" t="s">
        <v>219</v>
      </c>
      <c r="I5788" t="s">
        <v>41</v>
      </c>
      <c r="J5788" t="s">
        <v>42</v>
      </c>
      <c r="K5788" t="s">
        <v>30</v>
      </c>
      <c r="L5788" t="s">
        <v>31</v>
      </c>
      <c r="M5788" t="s">
        <v>220</v>
      </c>
      <c r="N5788">
        <v>810</v>
      </c>
      <c r="O5788">
        <v>9.8280981000000003E-2</v>
      </c>
      <c r="P5788">
        <v>8.5938886000000006E-2</v>
      </c>
      <c r="Q5788" t="str">
        <f t="shared" si="180"/>
        <v>25-34</v>
      </c>
      <c r="R5788" t="str">
        <f t="shared" si="181"/>
        <v>[wNqJp8oRIcF]|25-34|Female|PLHIV_Residents.T|CY2025Q3</v>
      </c>
    </row>
    <row r="5789" spans="4:18" x14ac:dyDescent="0.2">
      <c r="D5789" t="s">
        <v>123</v>
      </c>
      <c r="E5789" t="s">
        <v>124</v>
      </c>
      <c r="F5789" t="s">
        <v>125</v>
      </c>
      <c r="G5789" t="s">
        <v>219</v>
      </c>
      <c r="H5789" t="s">
        <v>219</v>
      </c>
      <c r="I5789" t="s">
        <v>43</v>
      </c>
      <c r="J5789" t="s">
        <v>44</v>
      </c>
      <c r="K5789" t="s">
        <v>30</v>
      </c>
      <c r="L5789" t="s">
        <v>31</v>
      </c>
      <c r="M5789" t="s">
        <v>220</v>
      </c>
      <c r="N5789">
        <v>2084</v>
      </c>
      <c r="O5789">
        <v>8.3690041000000007E-2</v>
      </c>
      <c r="P5789">
        <v>8.5938886000000006E-2</v>
      </c>
      <c r="Q5789" t="str">
        <f t="shared" si="180"/>
        <v>35-49</v>
      </c>
      <c r="R5789" t="str">
        <f t="shared" si="181"/>
        <v>[wNqJp8oRIcF]|35-49|Female|PLHIV_Residents.T|CY2025Q3</v>
      </c>
    </row>
    <row r="5790" spans="4:18" x14ac:dyDescent="0.2">
      <c r="D5790" t="s">
        <v>123</v>
      </c>
      <c r="E5790" t="s">
        <v>124</v>
      </c>
      <c r="F5790" t="s">
        <v>125</v>
      </c>
      <c r="G5790" t="s">
        <v>219</v>
      </c>
      <c r="H5790" t="s">
        <v>219</v>
      </c>
      <c r="I5790" t="s">
        <v>45</v>
      </c>
      <c r="J5790" t="s">
        <v>46</v>
      </c>
      <c r="K5790" t="s">
        <v>30</v>
      </c>
      <c r="L5790" t="s">
        <v>31</v>
      </c>
      <c r="M5790" t="s">
        <v>220</v>
      </c>
      <c r="N5790">
        <v>1031</v>
      </c>
      <c r="O5790">
        <v>8.9406665999999996E-2</v>
      </c>
      <c r="P5790">
        <v>8.5938886000000006E-2</v>
      </c>
      <c r="Q5790" t="str">
        <f t="shared" si="180"/>
        <v>50+</v>
      </c>
      <c r="R5790" t="str">
        <f t="shared" si="181"/>
        <v>[wNqJp8oRIcF]|50+|Female|PLHIV_Residents.T|CY2025Q3</v>
      </c>
    </row>
    <row r="5791" spans="4:18" x14ac:dyDescent="0.2">
      <c r="D5791" t="s">
        <v>123</v>
      </c>
      <c r="E5791" t="s">
        <v>124</v>
      </c>
      <c r="F5791" t="s">
        <v>125</v>
      </c>
      <c r="G5791" t="s">
        <v>219</v>
      </c>
      <c r="H5791" t="s">
        <v>219</v>
      </c>
      <c r="I5791" t="s">
        <v>28</v>
      </c>
      <c r="J5791" t="s">
        <v>29</v>
      </c>
      <c r="K5791" t="s">
        <v>48</v>
      </c>
      <c r="L5791" t="s">
        <v>49</v>
      </c>
      <c r="M5791" t="s">
        <v>220</v>
      </c>
      <c r="N5791">
        <v>4</v>
      </c>
      <c r="O5791">
        <v>8.9707088000000004E-2</v>
      </c>
      <c r="P5791">
        <v>8.5938886000000006E-2</v>
      </c>
      <c r="Q5791" t="str">
        <f t="shared" si="180"/>
        <v>&lt;01</v>
      </c>
      <c r="R5791" t="str">
        <f t="shared" si="181"/>
        <v>[wNqJp8oRIcF]|&lt;01|Male|PLHIV_Residents.T|CY2025Q3</v>
      </c>
    </row>
    <row r="5792" spans="4:18" x14ac:dyDescent="0.2">
      <c r="D5792" t="s">
        <v>123</v>
      </c>
      <c r="E5792" t="s">
        <v>124</v>
      </c>
      <c r="F5792" t="s">
        <v>125</v>
      </c>
      <c r="G5792" t="s">
        <v>219</v>
      </c>
      <c r="H5792" t="s">
        <v>219</v>
      </c>
      <c r="I5792" t="s">
        <v>33</v>
      </c>
      <c r="J5792" t="s">
        <v>34</v>
      </c>
      <c r="K5792" t="s">
        <v>48</v>
      </c>
      <c r="L5792" t="s">
        <v>49</v>
      </c>
      <c r="M5792" t="s">
        <v>220</v>
      </c>
      <c r="N5792">
        <v>66</v>
      </c>
      <c r="O5792">
        <v>9.5515041999999994E-2</v>
      </c>
      <c r="P5792">
        <v>8.5938886000000006E-2</v>
      </c>
      <c r="Q5792" t="str">
        <f t="shared" si="180"/>
        <v>01-09</v>
      </c>
      <c r="R5792" t="str">
        <f t="shared" si="181"/>
        <v>[wNqJp8oRIcF]|01-09|Male|PLHIV_Residents.T|CY2025Q3</v>
      </c>
    </row>
    <row r="5793" spans="4:18" x14ac:dyDescent="0.2">
      <c r="D5793" t="s">
        <v>123</v>
      </c>
      <c r="E5793" t="s">
        <v>124</v>
      </c>
      <c r="F5793" t="s">
        <v>125</v>
      </c>
      <c r="G5793" t="s">
        <v>219</v>
      </c>
      <c r="H5793" t="s">
        <v>219</v>
      </c>
      <c r="I5793" t="s">
        <v>36</v>
      </c>
      <c r="J5793" t="s">
        <v>37</v>
      </c>
      <c r="K5793" t="s">
        <v>48</v>
      </c>
      <c r="L5793" t="s">
        <v>49</v>
      </c>
      <c r="M5793" t="s">
        <v>220</v>
      </c>
      <c r="N5793">
        <v>81</v>
      </c>
      <c r="O5793">
        <v>0.10574429</v>
      </c>
      <c r="P5793">
        <v>8.5938886000000006E-2</v>
      </c>
      <c r="Q5793" t="str">
        <f t="shared" si="180"/>
        <v>10-14</v>
      </c>
      <c r="R5793" t="str">
        <f t="shared" si="181"/>
        <v>[wNqJp8oRIcF]|10-14|Male|PLHIV_Residents.T|CY2025Q3</v>
      </c>
    </row>
    <row r="5794" spans="4:18" x14ac:dyDescent="0.2">
      <c r="D5794" t="s">
        <v>123</v>
      </c>
      <c r="E5794" t="s">
        <v>124</v>
      </c>
      <c r="F5794" t="s">
        <v>125</v>
      </c>
      <c r="G5794" t="s">
        <v>219</v>
      </c>
      <c r="H5794" t="s">
        <v>219</v>
      </c>
      <c r="I5794" t="s">
        <v>38</v>
      </c>
      <c r="J5794" t="s">
        <v>39</v>
      </c>
      <c r="K5794" t="s">
        <v>48</v>
      </c>
      <c r="L5794" t="s">
        <v>49</v>
      </c>
      <c r="M5794" t="s">
        <v>220</v>
      </c>
      <c r="N5794">
        <v>228</v>
      </c>
      <c r="O5794">
        <v>0.112770258</v>
      </c>
      <c r="P5794">
        <v>8.5938886000000006E-2</v>
      </c>
      <c r="Q5794" t="str">
        <f t="shared" si="180"/>
        <v>15-24</v>
      </c>
      <c r="R5794" t="str">
        <f t="shared" si="181"/>
        <v>[wNqJp8oRIcF]|15-24|Male|PLHIV_Residents.T|CY2025Q3</v>
      </c>
    </row>
    <row r="5795" spans="4:18" x14ac:dyDescent="0.2">
      <c r="D5795" t="s">
        <v>123</v>
      </c>
      <c r="E5795" t="s">
        <v>124</v>
      </c>
      <c r="F5795" t="s">
        <v>125</v>
      </c>
      <c r="G5795" t="s">
        <v>219</v>
      </c>
      <c r="H5795" t="s">
        <v>219</v>
      </c>
      <c r="I5795" t="s">
        <v>41</v>
      </c>
      <c r="J5795" t="s">
        <v>42</v>
      </c>
      <c r="K5795" t="s">
        <v>48</v>
      </c>
      <c r="L5795" t="s">
        <v>49</v>
      </c>
      <c r="M5795" t="s">
        <v>220</v>
      </c>
      <c r="N5795">
        <v>309</v>
      </c>
      <c r="O5795">
        <v>0.11000436399999999</v>
      </c>
      <c r="P5795">
        <v>8.5938886000000006E-2</v>
      </c>
      <c r="Q5795" t="str">
        <f t="shared" si="180"/>
        <v>25-34</v>
      </c>
      <c r="R5795" t="str">
        <f t="shared" si="181"/>
        <v>[wNqJp8oRIcF]|25-34|Male|PLHIV_Residents.T|CY2025Q3</v>
      </c>
    </row>
    <row r="5796" spans="4:18" x14ac:dyDescent="0.2">
      <c r="D5796" t="s">
        <v>123</v>
      </c>
      <c r="E5796" t="s">
        <v>124</v>
      </c>
      <c r="F5796" t="s">
        <v>125</v>
      </c>
      <c r="G5796" t="s">
        <v>219</v>
      </c>
      <c r="H5796" t="s">
        <v>219</v>
      </c>
      <c r="I5796" t="s">
        <v>43</v>
      </c>
      <c r="J5796" t="s">
        <v>44</v>
      </c>
      <c r="K5796" t="s">
        <v>48</v>
      </c>
      <c r="L5796" t="s">
        <v>49</v>
      </c>
      <c r="M5796" t="s">
        <v>220</v>
      </c>
      <c r="N5796">
        <v>1083</v>
      </c>
      <c r="O5796">
        <v>9.3464723999999999E-2</v>
      </c>
      <c r="P5796">
        <v>8.5938886000000006E-2</v>
      </c>
      <c r="Q5796" t="str">
        <f t="shared" si="180"/>
        <v>35-49</v>
      </c>
      <c r="R5796" t="str">
        <f t="shared" si="181"/>
        <v>[wNqJp8oRIcF]|35-49|Male|PLHIV_Residents.T|CY2025Q3</v>
      </c>
    </row>
    <row r="5797" spans="4:18" x14ac:dyDescent="0.2">
      <c r="D5797" t="s">
        <v>123</v>
      </c>
      <c r="E5797" t="s">
        <v>124</v>
      </c>
      <c r="F5797" t="s">
        <v>125</v>
      </c>
      <c r="G5797" t="s">
        <v>219</v>
      </c>
      <c r="H5797" t="s">
        <v>219</v>
      </c>
      <c r="I5797" t="s">
        <v>45</v>
      </c>
      <c r="J5797" t="s">
        <v>46</v>
      </c>
      <c r="K5797" t="s">
        <v>48</v>
      </c>
      <c r="L5797" t="s">
        <v>49</v>
      </c>
      <c r="M5797" t="s">
        <v>220</v>
      </c>
      <c r="N5797">
        <v>810</v>
      </c>
      <c r="O5797">
        <v>9.1926593000000001E-2</v>
      </c>
      <c r="P5797">
        <v>8.5938886000000006E-2</v>
      </c>
      <c r="Q5797" t="str">
        <f t="shared" si="180"/>
        <v>50+</v>
      </c>
      <c r="R5797" t="str">
        <f t="shared" si="181"/>
        <v>[wNqJp8oRIcF]|50+|Male|PLHIV_Residents.T|CY2025Q3</v>
      </c>
    </row>
    <row r="5798" spans="4:18" x14ac:dyDescent="0.2">
      <c r="D5798" t="s">
        <v>126</v>
      </c>
      <c r="E5798" t="s">
        <v>127</v>
      </c>
      <c r="F5798" t="s">
        <v>128</v>
      </c>
      <c r="G5798" t="s">
        <v>219</v>
      </c>
      <c r="H5798" t="s">
        <v>219</v>
      </c>
      <c r="I5798" t="s">
        <v>28</v>
      </c>
      <c r="J5798" t="s">
        <v>29</v>
      </c>
      <c r="K5798" t="s">
        <v>30</v>
      </c>
      <c r="L5798" t="s">
        <v>31</v>
      </c>
      <c r="M5798" t="s">
        <v>220</v>
      </c>
      <c r="N5798">
        <v>33</v>
      </c>
      <c r="O5798">
        <v>5.3460281999999998E-2</v>
      </c>
      <c r="P5798">
        <v>4.8536461000000003E-2</v>
      </c>
      <c r="Q5798" t="str">
        <f t="shared" si="180"/>
        <v>&lt;01</v>
      </c>
      <c r="R5798" t="str">
        <f t="shared" si="181"/>
        <v>[ul0y9diGujK]|&lt;01|Female|PLHIV_Residents.T|CY2025Q3</v>
      </c>
    </row>
    <row r="5799" spans="4:18" x14ac:dyDescent="0.2">
      <c r="D5799" t="s">
        <v>126</v>
      </c>
      <c r="E5799" t="s">
        <v>127</v>
      </c>
      <c r="F5799" t="s">
        <v>128</v>
      </c>
      <c r="G5799" t="s">
        <v>219</v>
      </c>
      <c r="H5799" t="s">
        <v>219</v>
      </c>
      <c r="I5799" t="s">
        <v>33</v>
      </c>
      <c r="J5799" t="s">
        <v>34</v>
      </c>
      <c r="K5799" t="s">
        <v>30</v>
      </c>
      <c r="L5799" t="s">
        <v>31</v>
      </c>
      <c r="M5799" t="s">
        <v>220</v>
      </c>
      <c r="N5799">
        <v>586</v>
      </c>
      <c r="O5799">
        <v>6.0398041E-2</v>
      </c>
      <c r="P5799">
        <v>4.8536461000000003E-2</v>
      </c>
      <c r="Q5799" t="str">
        <f t="shared" si="180"/>
        <v>01-09</v>
      </c>
      <c r="R5799" t="str">
        <f t="shared" si="181"/>
        <v>[ul0y9diGujK]|01-09|Female|PLHIV_Residents.T|CY2025Q3</v>
      </c>
    </row>
    <row r="5800" spans="4:18" x14ac:dyDescent="0.2">
      <c r="D5800" t="s">
        <v>126</v>
      </c>
      <c r="E5800" t="s">
        <v>127</v>
      </c>
      <c r="F5800" t="s">
        <v>128</v>
      </c>
      <c r="G5800" t="s">
        <v>219</v>
      </c>
      <c r="H5800" t="s">
        <v>219</v>
      </c>
      <c r="I5800" t="s">
        <v>36</v>
      </c>
      <c r="J5800" t="s">
        <v>37</v>
      </c>
      <c r="K5800" t="s">
        <v>30</v>
      </c>
      <c r="L5800" t="s">
        <v>31</v>
      </c>
      <c r="M5800" t="s">
        <v>220</v>
      </c>
      <c r="N5800">
        <v>755</v>
      </c>
      <c r="O5800">
        <v>7.3151549999999996E-2</v>
      </c>
      <c r="P5800">
        <v>4.8536461000000003E-2</v>
      </c>
      <c r="Q5800" t="str">
        <f t="shared" si="180"/>
        <v>10-14</v>
      </c>
      <c r="R5800" t="str">
        <f t="shared" si="181"/>
        <v>[ul0y9diGujK]|10-14|Female|PLHIV_Residents.T|CY2025Q3</v>
      </c>
    </row>
    <row r="5801" spans="4:18" x14ac:dyDescent="0.2">
      <c r="D5801" t="s">
        <v>126</v>
      </c>
      <c r="E5801" t="s">
        <v>127</v>
      </c>
      <c r="F5801" t="s">
        <v>128</v>
      </c>
      <c r="G5801" t="s">
        <v>219</v>
      </c>
      <c r="H5801" t="s">
        <v>219</v>
      </c>
      <c r="I5801" t="s">
        <v>38</v>
      </c>
      <c r="J5801" t="s">
        <v>39</v>
      </c>
      <c r="K5801" t="s">
        <v>30</v>
      </c>
      <c r="L5801" t="s">
        <v>31</v>
      </c>
      <c r="M5801" t="s">
        <v>220</v>
      </c>
      <c r="N5801">
        <v>3259</v>
      </c>
      <c r="O5801">
        <v>7.9228898000000006E-2</v>
      </c>
      <c r="P5801">
        <v>4.8536461000000003E-2</v>
      </c>
      <c r="Q5801" t="str">
        <f t="shared" si="180"/>
        <v>15-24</v>
      </c>
      <c r="R5801" t="str">
        <f t="shared" si="181"/>
        <v>[ul0y9diGujK]|15-24|Female|PLHIV_Residents.T|CY2025Q3</v>
      </c>
    </row>
    <row r="5802" spans="4:18" x14ac:dyDescent="0.2">
      <c r="D5802" t="s">
        <v>126</v>
      </c>
      <c r="E5802" t="s">
        <v>127</v>
      </c>
      <c r="F5802" t="s">
        <v>128</v>
      </c>
      <c r="G5802" t="s">
        <v>219</v>
      </c>
      <c r="H5802" t="s">
        <v>219</v>
      </c>
      <c r="I5802" t="s">
        <v>41</v>
      </c>
      <c r="J5802" t="s">
        <v>42</v>
      </c>
      <c r="K5802" t="s">
        <v>30</v>
      </c>
      <c r="L5802" t="s">
        <v>31</v>
      </c>
      <c r="M5802" t="s">
        <v>220</v>
      </c>
      <c r="N5802">
        <v>7671</v>
      </c>
      <c r="O5802">
        <v>6.5040800999999995E-2</v>
      </c>
      <c r="P5802">
        <v>4.8536461000000003E-2</v>
      </c>
      <c r="Q5802" t="str">
        <f t="shared" si="180"/>
        <v>25-34</v>
      </c>
      <c r="R5802" t="str">
        <f t="shared" si="181"/>
        <v>[ul0y9diGujK]|25-34|Female|PLHIV_Residents.T|CY2025Q3</v>
      </c>
    </row>
    <row r="5803" spans="4:18" x14ac:dyDescent="0.2">
      <c r="D5803" t="s">
        <v>126</v>
      </c>
      <c r="E5803" t="s">
        <v>127</v>
      </c>
      <c r="F5803" t="s">
        <v>128</v>
      </c>
      <c r="G5803" t="s">
        <v>219</v>
      </c>
      <c r="H5803" t="s">
        <v>219</v>
      </c>
      <c r="I5803" t="s">
        <v>43</v>
      </c>
      <c r="J5803" t="s">
        <v>44</v>
      </c>
      <c r="K5803" t="s">
        <v>30</v>
      </c>
      <c r="L5803" t="s">
        <v>31</v>
      </c>
      <c r="M5803" t="s">
        <v>220</v>
      </c>
      <c r="N5803">
        <v>21322</v>
      </c>
      <c r="O5803">
        <v>4.7642060999999999E-2</v>
      </c>
      <c r="P5803">
        <v>4.8536461000000003E-2</v>
      </c>
      <c r="Q5803" t="str">
        <f t="shared" si="180"/>
        <v>35-49</v>
      </c>
      <c r="R5803" t="str">
        <f t="shared" si="181"/>
        <v>[ul0y9diGujK]|35-49|Female|PLHIV_Residents.T|CY2025Q3</v>
      </c>
    </row>
    <row r="5804" spans="4:18" x14ac:dyDescent="0.2">
      <c r="D5804" t="s">
        <v>126</v>
      </c>
      <c r="E5804" t="s">
        <v>127</v>
      </c>
      <c r="F5804" t="s">
        <v>128</v>
      </c>
      <c r="G5804" t="s">
        <v>219</v>
      </c>
      <c r="H5804" t="s">
        <v>219</v>
      </c>
      <c r="I5804" t="s">
        <v>45</v>
      </c>
      <c r="J5804" t="s">
        <v>46</v>
      </c>
      <c r="K5804" t="s">
        <v>30</v>
      </c>
      <c r="L5804" t="s">
        <v>31</v>
      </c>
      <c r="M5804" t="s">
        <v>220</v>
      </c>
      <c r="N5804">
        <v>11628</v>
      </c>
      <c r="O5804">
        <v>5.3002687E-2</v>
      </c>
      <c r="P5804">
        <v>4.8536461000000003E-2</v>
      </c>
      <c r="Q5804" t="str">
        <f t="shared" si="180"/>
        <v>50+</v>
      </c>
      <c r="R5804" t="str">
        <f t="shared" si="181"/>
        <v>[ul0y9diGujK]|50+|Female|PLHIV_Residents.T|CY2025Q3</v>
      </c>
    </row>
    <row r="5805" spans="4:18" x14ac:dyDescent="0.2">
      <c r="D5805" t="s">
        <v>126</v>
      </c>
      <c r="E5805" t="s">
        <v>127</v>
      </c>
      <c r="F5805" t="s">
        <v>128</v>
      </c>
      <c r="G5805" t="s">
        <v>219</v>
      </c>
      <c r="H5805" t="s">
        <v>219</v>
      </c>
      <c r="I5805" t="s">
        <v>28</v>
      </c>
      <c r="J5805" t="s">
        <v>29</v>
      </c>
      <c r="K5805" t="s">
        <v>48</v>
      </c>
      <c r="L5805" t="s">
        <v>49</v>
      </c>
      <c r="M5805" t="s">
        <v>220</v>
      </c>
      <c r="N5805">
        <v>34</v>
      </c>
      <c r="O5805">
        <v>5.3487569999999998E-2</v>
      </c>
      <c r="P5805">
        <v>4.8536461000000003E-2</v>
      </c>
      <c r="Q5805" t="str">
        <f t="shared" si="180"/>
        <v>&lt;01</v>
      </c>
      <c r="R5805" t="str">
        <f t="shared" si="181"/>
        <v>[ul0y9diGujK]|&lt;01|Male|PLHIV_Residents.T|CY2025Q3</v>
      </c>
    </row>
    <row r="5806" spans="4:18" x14ac:dyDescent="0.2">
      <c r="D5806" t="s">
        <v>126</v>
      </c>
      <c r="E5806" t="s">
        <v>127</v>
      </c>
      <c r="F5806" t="s">
        <v>128</v>
      </c>
      <c r="G5806" t="s">
        <v>219</v>
      </c>
      <c r="H5806" t="s">
        <v>219</v>
      </c>
      <c r="I5806" t="s">
        <v>33</v>
      </c>
      <c r="J5806" t="s">
        <v>34</v>
      </c>
      <c r="K5806" t="s">
        <v>48</v>
      </c>
      <c r="L5806" t="s">
        <v>49</v>
      </c>
      <c r="M5806" t="s">
        <v>220</v>
      </c>
      <c r="N5806">
        <v>597</v>
      </c>
      <c r="O5806">
        <v>6.04361E-2</v>
      </c>
      <c r="P5806">
        <v>4.8536461000000003E-2</v>
      </c>
      <c r="Q5806" t="str">
        <f t="shared" si="180"/>
        <v>01-09</v>
      </c>
      <c r="R5806" t="str">
        <f t="shared" si="181"/>
        <v>[ul0y9diGujK]|01-09|Male|PLHIV_Residents.T|CY2025Q3</v>
      </c>
    </row>
    <row r="5807" spans="4:18" x14ac:dyDescent="0.2">
      <c r="D5807" t="s">
        <v>126</v>
      </c>
      <c r="E5807" t="s">
        <v>127</v>
      </c>
      <c r="F5807" t="s">
        <v>128</v>
      </c>
      <c r="G5807" t="s">
        <v>219</v>
      </c>
      <c r="H5807" t="s">
        <v>219</v>
      </c>
      <c r="I5807" t="s">
        <v>36</v>
      </c>
      <c r="J5807" t="s">
        <v>37</v>
      </c>
      <c r="K5807" t="s">
        <v>48</v>
      </c>
      <c r="L5807" t="s">
        <v>49</v>
      </c>
      <c r="M5807" t="s">
        <v>220</v>
      </c>
      <c r="N5807">
        <v>765</v>
      </c>
      <c r="O5807">
        <v>7.3151755999999998E-2</v>
      </c>
      <c r="P5807">
        <v>4.8536461000000003E-2</v>
      </c>
      <c r="Q5807" t="str">
        <f t="shared" si="180"/>
        <v>10-14</v>
      </c>
      <c r="R5807" t="str">
        <f t="shared" si="181"/>
        <v>[ul0y9diGujK]|10-14|Male|PLHIV_Residents.T|CY2025Q3</v>
      </c>
    </row>
    <row r="5808" spans="4:18" x14ac:dyDescent="0.2">
      <c r="D5808" t="s">
        <v>126</v>
      </c>
      <c r="E5808" t="s">
        <v>127</v>
      </c>
      <c r="F5808" t="s">
        <v>128</v>
      </c>
      <c r="G5808" t="s">
        <v>219</v>
      </c>
      <c r="H5808" t="s">
        <v>219</v>
      </c>
      <c r="I5808" t="s">
        <v>38</v>
      </c>
      <c r="J5808" t="s">
        <v>39</v>
      </c>
      <c r="K5808" t="s">
        <v>48</v>
      </c>
      <c r="L5808" t="s">
        <v>49</v>
      </c>
      <c r="M5808" t="s">
        <v>220</v>
      </c>
      <c r="N5808">
        <v>2322</v>
      </c>
      <c r="O5808">
        <v>8.6602927999999996E-2</v>
      </c>
      <c r="P5808">
        <v>4.8536461000000003E-2</v>
      </c>
      <c r="Q5808" t="str">
        <f t="shared" si="180"/>
        <v>15-24</v>
      </c>
      <c r="R5808" t="str">
        <f t="shared" si="181"/>
        <v>[ul0y9diGujK]|15-24|Male|PLHIV_Residents.T|CY2025Q3</v>
      </c>
    </row>
    <row r="5809" spans="4:18" x14ac:dyDescent="0.2">
      <c r="D5809" t="s">
        <v>126</v>
      </c>
      <c r="E5809" t="s">
        <v>127</v>
      </c>
      <c r="F5809" t="s">
        <v>128</v>
      </c>
      <c r="G5809" t="s">
        <v>219</v>
      </c>
      <c r="H5809" t="s">
        <v>219</v>
      </c>
      <c r="I5809" t="s">
        <v>41</v>
      </c>
      <c r="J5809" t="s">
        <v>42</v>
      </c>
      <c r="K5809" t="s">
        <v>48</v>
      </c>
      <c r="L5809" t="s">
        <v>49</v>
      </c>
      <c r="M5809" t="s">
        <v>220</v>
      </c>
      <c r="N5809">
        <v>2758</v>
      </c>
      <c r="O5809">
        <v>8.5670379000000005E-2</v>
      </c>
      <c r="P5809">
        <v>4.8536461000000003E-2</v>
      </c>
      <c r="Q5809" t="str">
        <f t="shared" si="180"/>
        <v>25-34</v>
      </c>
      <c r="R5809" t="str">
        <f t="shared" si="181"/>
        <v>[ul0y9diGujK]|25-34|Male|PLHIV_Residents.T|CY2025Q3</v>
      </c>
    </row>
    <row r="5810" spans="4:18" x14ac:dyDescent="0.2">
      <c r="D5810" t="s">
        <v>126</v>
      </c>
      <c r="E5810" t="s">
        <v>127</v>
      </c>
      <c r="F5810" t="s">
        <v>128</v>
      </c>
      <c r="G5810" t="s">
        <v>219</v>
      </c>
      <c r="H5810" t="s">
        <v>219</v>
      </c>
      <c r="I5810" t="s">
        <v>43</v>
      </c>
      <c r="J5810" t="s">
        <v>44</v>
      </c>
      <c r="K5810" t="s">
        <v>48</v>
      </c>
      <c r="L5810" t="s">
        <v>49</v>
      </c>
      <c r="M5810" t="s">
        <v>220</v>
      </c>
      <c r="N5810">
        <v>9849</v>
      </c>
      <c r="O5810">
        <v>5.5977366000000001E-2</v>
      </c>
      <c r="P5810">
        <v>4.8536461000000003E-2</v>
      </c>
      <c r="Q5810" t="str">
        <f t="shared" si="180"/>
        <v>35-49</v>
      </c>
      <c r="R5810" t="str">
        <f t="shared" si="181"/>
        <v>[ul0y9diGujK]|35-49|Male|PLHIV_Residents.T|CY2025Q3</v>
      </c>
    </row>
    <row r="5811" spans="4:18" x14ac:dyDescent="0.2">
      <c r="D5811" t="s">
        <v>126</v>
      </c>
      <c r="E5811" t="s">
        <v>127</v>
      </c>
      <c r="F5811" t="s">
        <v>128</v>
      </c>
      <c r="G5811" t="s">
        <v>219</v>
      </c>
      <c r="H5811" t="s">
        <v>219</v>
      </c>
      <c r="I5811" t="s">
        <v>45</v>
      </c>
      <c r="J5811" t="s">
        <v>46</v>
      </c>
      <c r="K5811" t="s">
        <v>48</v>
      </c>
      <c r="L5811" t="s">
        <v>49</v>
      </c>
      <c r="M5811" t="s">
        <v>220</v>
      </c>
      <c r="N5811">
        <v>8375</v>
      </c>
      <c r="O5811">
        <v>5.1768537000000003E-2</v>
      </c>
      <c r="P5811">
        <v>4.8536461000000003E-2</v>
      </c>
      <c r="Q5811" t="str">
        <f t="shared" si="180"/>
        <v>50+</v>
      </c>
      <c r="R5811" t="str">
        <f t="shared" si="181"/>
        <v>[ul0y9diGujK]|50+|Male|PLHIV_Residents.T|CY2025Q3</v>
      </c>
    </row>
    <row r="5812" spans="4:18" x14ac:dyDescent="0.2">
      <c r="D5812" t="s">
        <v>129</v>
      </c>
      <c r="E5812" t="s">
        <v>130</v>
      </c>
      <c r="F5812" t="s">
        <v>131</v>
      </c>
      <c r="G5812" t="s">
        <v>219</v>
      </c>
      <c r="H5812" t="s">
        <v>219</v>
      </c>
      <c r="I5812" t="s">
        <v>28</v>
      </c>
      <c r="J5812" t="s">
        <v>29</v>
      </c>
      <c r="K5812" t="s">
        <v>30</v>
      </c>
      <c r="L5812" t="s">
        <v>31</v>
      </c>
      <c r="M5812" t="s">
        <v>220</v>
      </c>
      <c r="N5812">
        <v>20</v>
      </c>
      <c r="O5812">
        <v>5.8276906000000003E-2</v>
      </c>
      <c r="P5812">
        <v>5.4715796999999997E-2</v>
      </c>
      <c r="Q5812" t="str">
        <f t="shared" si="180"/>
        <v>&lt;01</v>
      </c>
      <c r="R5812" t="str">
        <f t="shared" si="181"/>
        <v>[U8c0so51kT6]|&lt;01|Female|PLHIV_Residents.T|CY2025Q3</v>
      </c>
    </row>
    <row r="5813" spans="4:18" x14ac:dyDescent="0.2">
      <c r="D5813" t="s">
        <v>129</v>
      </c>
      <c r="E5813" t="s">
        <v>130</v>
      </c>
      <c r="F5813" t="s">
        <v>131</v>
      </c>
      <c r="G5813" t="s">
        <v>219</v>
      </c>
      <c r="H5813" t="s">
        <v>219</v>
      </c>
      <c r="I5813" t="s">
        <v>33</v>
      </c>
      <c r="J5813" t="s">
        <v>34</v>
      </c>
      <c r="K5813" t="s">
        <v>30</v>
      </c>
      <c r="L5813" t="s">
        <v>31</v>
      </c>
      <c r="M5813" t="s">
        <v>220</v>
      </c>
      <c r="N5813">
        <v>384</v>
      </c>
      <c r="O5813">
        <v>6.1138400000000002E-2</v>
      </c>
      <c r="P5813">
        <v>5.4715796999999997E-2</v>
      </c>
      <c r="Q5813" t="str">
        <f t="shared" si="180"/>
        <v>01-09</v>
      </c>
      <c r="R5813" t="str">
        <f t="shared" si="181"/>
        <v>[U8c0so51kT6]|01-09|Female|PLHIV_Residents.T|CY2025Q3</v>
      </c>
    </row>
    <row r="5814" spans="4:18" x14ac:dyDescent="0.2">
      <c r="D5814" t="s">
        <v>129</v>
      </c>
      <c r="E5814" t="s">
        <v>130</v>
      </c>
      <c r="F5814" t="s">
        <v>131</v>
      </c>
      <c r="G5814" t="s">
        <v>219</v>
      </c>
      <c r="H5814" t="s">
        <v>219</v>
      </c>
      <c r="I5814" t="s">
        <v>36</v>
      </c>
      <c r="J5814" t="s">
        <v>37</v>
      </c>
      <c r="K5814" t="s">
        <v>30</v>
      </c>
      <c r="L5814" t="s">
        <v>31</v>
      </c>
      <c r="M5814" t="s">
        <v>220</v>
      </c>
      <c r="N5814">
        <v>486</v>
      </c>
      <c r="O5814">
        <v>6.6173790999999996E-2</v>
      </c>
      <c r="P5814">
        <v>5.4715796999999997E-2</v>
      </c>
      <c r="Q5814" t="str">
        <f t="shared" si="180"/>
        <v>10-14</v>
      </c>
      <c r="R5814" t="str">
        <f t="shared" si="181"/>
        <v>[U8c0so51kT6]|10-14|Female|PLHIV_Residents.T|CY2025Q3</v>
      </c>
    </row>
    <row r="5815" spans="4:18" x14ac:dyDescent="0.2">
      <c r="D5815" t="s">
        <v>129</v>
      </c>
      <c r="E5815" t="s">
        <v>130</v>
      </c>
      <c r="F5815" t="s">
        <v>131</v>
      </c>
      <c r="G5815" t="s">
        <v>219</v>
      </c>
      <c r="H5815" t="s">
        <v>219</v>
      </c>
      <c r="I5815" t="s">
        <v>38</v>
      </c>
      <c r="J5815" t="s">
        <v>39</v>
      </c>
      <c r="K5815" t="s">
        <v>30</v>
      </c>
      <c r="L5815" t="s">
        <v>31</v>
      </c>
      <c r="M5815" t="s">
        <v>220</v>
      </c>
      <c r="N5815">
        <v>1808</v>
      </c>
      <c r="O5815">
        <v>7.9480888E-2</v>
      </c>
      <c r="P5815">
        <v>5.4715796999999997E-2</v>
      </c>
      <c r="Q5815" t="str">
        <f t="shared" si="180"/>
        <v>15-24</v>
      </c>
      <c r="R5815" t="str">
        <f t="shared" si="181"/>
        <v>[U8c0so51kT6]|15-24|Female|PLHIV_Residents.T|CY2025Q3</v>
      </c>
    </row>
    <row r="5816" spans="4:18" x14ac:dyDescent="0.2">
      <c r="D5816" t="s">
        <v>129</v>
      </c>
      <c r="E5816" t="s">
        <v>130</v>
      </c>
      <c r="F5816" t="s">
        <v>131</v>
      </c>
      <c r="G5816" t="s">
        <v>219</v>
      </c>
      <c r="H5816" t="s">
        <v>219</v>
      </c>
      <c r="I5816" t="s">
        <v>41</v>
      </c>
      <c r="J5816" t="s">
        <v>42</v>
      </c>
      <c r="K5816" t="s">
        <v>30</v>
      </c>
      <c r="L5816" t="s">
        <v>31</v>
      </c>
      <c r="M5816" t="s">
        <v>220</v>
      </c>
      <c r="N5816">
        <v>4358</v>
      </c>
      <c r="O5816">
        <v>7.0301027000000002E-2</v>
      </c>
      <c r="P5816">
        <v>5.4715796999999997E-2</v>
      </c>
      <c r="Q5816" t="str">
        <f t="shared" si="180"/>
        <v>25-34</v>
      </c>
      <c r="R5816" t="str">
        <f t="shared" si="181"/>
        <v>[U8c0so51kT6]|25-34|Female|PLHIV_Residents.T|CY2025Q3</v>
      </c>
    </row>
    <row r="5817" spans="4:18" x14ac:dyDescent="0.2">
      <c r="D5817" t="s">
        <v>129</v>
      </c>
      <c r="E5817" t="s">
        <v>130</v>
      </c>
      <c r="F5817" t="s">
        <v>131</v>
      </c>
      <c r="G5817" t="s">
        <v>219</v>
      </c>
      <c r="H5817" t="s">
        <v>219</v>
      </c>
      <c r="I5817" t="s">
        <v>43</v>
      </c>
      <c r="J5817" t="s">
        <v>44</v>
      </c>
      <c r="K5817" t="s">
        <v>30</v>
      </c>
      <c r="L5817" t="s">
        <v>31</v>
      </c>
      <c r="M5817" t="s">
        <v>220</v>
      </c>
      <c r="N5817">
        <v>11339</v>
      </c>
      <c r="O5817">
        <v>5.5196281E-2</v>
      </c>
      <c r="P5817">
        <v>5.4715796999999997E-2</v>
      </c>
      <c r="Q5817" t="str">
        <f t="shared" si="180"/>
        <v>35-49</v>
      </c>
      <c r="R5817" t="str">
        <f t="shared" si="181"/>
        <v>[U8c0so51kT6]|35-49|Female|PLHIV_Residents.T|CY2025Q3</v>
      </c>
    </row>
    <row r="5818" spans="4:18" x14ac:dyDescent="0.2">
      <c r="D5818" t="s">
        <v>129</v>
      </c>
      <c r="E5818" t="s">
        <v>130</v>
      </c>
      <c r="F5818" t="s">
        <v>131</v>
      </c>
      <c r="G5818" t="s">
        <v>219</v>
      </c>
      <c r="H5818" t="s">
        <v>219</v>
      </c>
      <c r="I5818" t="s">
        <v>45</v>
      </c>
      <c r="J5818" t="s">
        <v>46</v>
      </c>
      <c r="K5818" t="s">
        <v>30</v>
      </c>
      <c r="L5818" t="s">
        <v>31</v>
      </c>
      <c r="M5818" t="s">
        <v>220</v>
      </c>
      <c r="N5818">
        <v>5742</v>
      </c>
      <c r="O5818">
        <v>6.0104708E-2</v>
      </c>
      <c r="P5818">
        <v>5.4715796999999997E-2</v>
      </c>
      <c r="Q5818" t="str">
        <f t="shared" si="180"/>
        <v>50+</v>
      </c>
      <c r="R5818" t="str">
        <f t="shared" si="181"/>
        <v>[U8c0so51kT6]|50+|Female|PLHIV_Residents.T|CY2025Q3</v>
      </c>
    </row>
    <row r="5819" spans="4:18" x14ac:dyDescent="0.2">
      <c r="D5819" t="s">
        <v>129</v>
      </c>
      <c r="E5819" t="s">
        <v>130</v>
      </c>
      <c r="F5819" t="s">
        <v>131</v>
      </c>
      <c r="G5819" t="s">
        <v>219</v>
      </c>
      <c r="H5819" t="s">
        <v>219</v>
      </c>
      <c r="I5819" t="s">
        <v>28</v>
      </c>
      <c r="J5819" t="s">
        <v>29</v>
      </c>
      <c r="K5819" t="s">
        <v>48</v>
      </c>
      <c r="L5819" t="s">
        <v>49</v>
      </c>
      <c r="M5819" t="s">
        <v>220</v>
      </c>
      <c r="N5819">
        <v>20</v>
      </c>
      <c r="O5819">
        <v>5.8264518000000001E-2</v>
      </c>
      <c r="P5819">
        <v>5.4715796999999997E-2</v>
      </c>
      <c r="Q5819" t="str">
        <f t="shared" si="180"/>
        <v>&lt;01</v>
      </c>
      <c r="R5819" t="str">
        <f t="shared" si="181"/>
        <v>[U8c0so51kT6]|&lt;01|Male|PLHIV_Residents.T|CY2025Q3</v>
      </c>
    </row>
    <row r="5820" spans="4:18" x14ac:dyDescent="0.2">
      <c r="D5820" t="s">
        <v>129</v>
      </c>
      <c r="E5820" t="s">
        <v>130</v>
      </c>
      <c r="F5820" t="s">
        <v>131</v>
      </c>
      <c r="G5820" t="s">
        <v>219</v>
      </c>
      <c r="H5820" t="s">
        <v>219</v>
      </c>
      <c r="I5820" t="s">
        <v>33</v>
      </c>
      <c r="J5820" t="s">
        <v>34</v>
      </c>
      <c r="K5820" t="s">
        <v>48</v>
      </c>
      <c r="L5820" t="s">
        <v>49</v>
      </c>
      <c r="M5820" t="s">
        <v>220</v>
      </c>
      <c r="N5820">
        <v>388</v>
      </c>
      <c r="O5820">
        <v>6.1130517000000002E-2</v>
      </c>
      <c r="P5820">
        <v>5.4715796999999997E-2</v>
      </c>
      <c r="Q5820" t="str">
        <f t="shared" si="180"/>
        <v>01-09</v>
      </c>
      <c r="R5820" t="str">
        <f t="shared" si="181"/>
        <v>[U8c0so51kT6]|01-09|Male|PLHIV_Residents.T|CY2025Q3</v>
      </c>
    </row>
    <row r="5821" spans="4:18" x14ac:dyDescent="0.2">
      <c r="D5821" t="s">
        <v>129</v>
      </c>
      <c r="E5821" t="s">
        <v>130</v>
      </c>
      <c r="F5821" t="s">
        <v>131</v>
      </c>
      <c r="G5821" t="s">
        <v>219</v>
      </c>
      <c r="H5821" t="s">
        <v>219</v>
      </c>
      <c r="I5821" t="s">
        <v>36</v>
      </c>
      <c r="J5821" t="s">
        <v>37</v>
      </c>
      <c r="K5821" t="s">
        <v>48</v>
      </c>
      <c r="L5821" t="s">
        <v>49</v>
      </c>
      <c r="M5821" t="s">
        <v>220</v>
      </c>
      <c r="N5821">
        <v>491</v>
      </c>
      <c r="O5821">
        <v>6.6172874000000007E-2</v>
      </c>
      <c r="P5821">
        <v>5.4715796999999997E-2</v>
      </c>
      <c r="Q5821" t="str">
        <f t="shared" si="180"/>
        <v>10-14</v>
      </c>
      <c r="R5821" t="str">
        <f t="shared" si="181"/>
        <v>[U8c0so51kT6]|10-14|Male|PLHIV_Residents.T|CY2025Q3</v>
      </c>
    </row>
    <row r="5822" spans="4:18" x14ac:dyDescent="0.2">
      <c r="D5822" t="s">
        <v>129</v>
      </c>
      <c r="E5822" t="s">
        <v>130</v>
      </c>
      <c r="F5822" t="s">
        <v>131</v>
      </c>
      <c r="G5822" t="s">
        <v>219</v>
      </c>
      <c r="H5822" t="s">
        <v>219</v>
      </c>
      <c r="I5822" t="s">
        <v>38</v>
      </c>
      <c r="J5822" t="s">
        <v>39</v>
      </c>
      <c r="K5822" t="s">
        <v>48</v>
      </c>
      <c r="L5822" t="s">
        <v>49</v>
      </c>
      <c r="M5822" t="s">
        <v>220</v>
      </c>
      <c r="N5822">
        <v>1290</v>
      </c>
      <c r="O5822">
        <v>8.2339651E-2</v>
      </c>
      <c r="P5822">
        <v>5.4715796999999997E-2</v>
      </c>
      <c r="Q5822" t="str">
        <f t="shared" si="180"/>
        <v>15-24</v>
      </c>
      <c r="R5822" t="str">
        <f t="shared" si="181"/>
        <v>[U8c0so51kT6]|15-24|Male|PLHIV_Residents.T|CY2025Q3</v>
      </c>
    </row>
    <row r="5823" spans="4:18" x14ac:dyDescent="0.2">
      <c r="D5823" t="s">
        <v>129</v>
      </c>
      <c r="E5823" t="s">
        <v>130</v>
      </c>
      <c r="F5823" t="s">
        <v>131</v>
      </c>
      <c r="G5823" t="s">
        <v>219</v>
      </c>
      <c r="H5823" t="s">
        <v>219</v>
      </c>
      <c r="I5823" t="s">
        <v>41</v>
      </c>
      <c r="J5823" t="s">
        <v>42</v>
      </c>
      <c r="K5823" t="s">
        <v>48</v>
      </c>
      <c r="L5823" t="s">
        <v>49</v>
      </c>
      <c r="M5823" t="s">
        <v>220</v>
      </c>
      <c r="N5823">
        <v>1626</v>
      </c>
      <c r="O5823">
        <v>8.9617695999999997E-2</v>
      </c>
      <c r="P5823">
        <v>5.4715796999999997E-2</v>
      </c>
      <c r="Q5823" t="str">
        <f t="shared" si="180"/>
        <v>25-34</v>
      </c>
      <c r="R5823" t="str">
        <f t="shared" si="181"/>
        <v>[U8c0so51kT6]|25-34|Male|PLHIV_Residents.T|CY2025Q3</v>
      </c>
    </row>
    <row r="5824" spans="4:18" x14ac:dyDescent="0.2">
      <c r="D5824" t="s">
        <v>129</v>
      </c>
      <c r="E5824" t="s">
        <v>130</v>
      </c>
      <c r="F5824" t="s">
        <v>131</v>
      </c>
      <c r="G5824" t="s">
        <v>219</v>
      </c>
      <c r="H5824" t="s">
        <v>219</v>
      </c>
      <c r="I5824" t="s">
        <v>43</v>
      </c>
      <c r="J5824" t="s">
        <v>44</v>
      </c>
      <c r="K5824" t="s">
        <v>48</v>
      </c>
      <c r="L5824" t="s">
        <v>49</v>
      </c>
      <c r="M5824" t="s">
        <v>220</v>
      </c>
      <c r="N5824">
        <v>5994</v>
      </c>
      <c r="O5824">
        <v>6.2742796000000003E-2</v>
      </c>
      <c r="P5824">
        <v>5.4715796999999997E-2</v>
      </c>
      <c r="Q5824" t="str">
        <f t="shared" si="180"/>
        <v>35-49</v>
      </c>
      <c r="R5824" t="str">
        <f t="shared" si="181"/>
        <v>[U8c0so51kT6]|35-49|Male|PLHIV_Residents.T|CY2025Q3</v>
      </c>
    </row>
    <row r="5825" spans="4:18" x14ac:dyDescent="0.2">
      <c r="D5825" t="s">
        <v>129</v>
      </c>
      <c r="E5825" t="s">
        <v>130</v>
      </c>
      <c r="F5825" t="s">
        <v>131</v>
      </c>
      <c r="G5825" t="s">
        <v>219</v>
      </c>
      <c r="H5825" t="s">
        <v>219</v>
      </c>
      <c r="I5825" t="s">
        <v>45</v>
      </c>
      <c r="J5825" t="s">
        <v>46</v>
      </c>
      <c r="K5825" t="s">
        <v>48</v>
      </c>
      <c r="L5825" t="s">
        <v>49</v>
      </c>
      <c r="M5825" t="s">
        <v>220</v>
      </c>
      <c r="N5825">
        <v>4912</v>
      </c>
      <c r="O5825">
        <v>5.7157525000000001E-2</v>
      </c>
      <c r="P5825">
        <v>5.4715796999999997E-2</v>
      </c>
      <c r="Q5825" t="str">
        <f t="shared" si="180"/>
        <v>50+</v>
      </c>
      <c r="R5825" t="str">
        <f t="shared" si="181"/>
        <v>[U8c0so51kT6]|50+|Male|PLHIV_Residents.T|CY2025Q3</v>
      </c>
    </row>
    <row r="5826" spans="4:18" x14ac:dyDescent="0.2">
      <c r="D5826" t="s">
        <v>132</v>
      </c>
      <c r="E5826" t="s">
        <v>133</v>
      </c>
      <c r="F5826" t="s">
        <v>134</v>
      </c>
      <c r="G5826" t="s">
        <v>219</v>
      </c>
      <c r="H5826" t="s">
        <v>219</v>
      </c>
      <c r="I5826" t="s">
        <v>28</v>
      </c>
      <c r="J5826" t="s">
        <v>29</v>
      </c>
      <c r="K5826" t="s">
        <v>30</v>
      </c>
      <c r="L5826" t="s">
        <v>31</v>
      </c>
      <c r="M5826" t="s">
        <v>220</v>
      </c>
      <c r="N5826">
        <v>11</v>
      </c>
      <c r="O5826">
        <v>7.4066580000000007E-2</v>
      </c>
      <c r="P5826">
        <v>7.4322268999999996E-2</v>
      </c>
      <c r="Q5826" t="str">
        <f t="shared" si="180"/>
        <v>&lt;01</v>
      </c>
      <c r="R5826" t="str">
        <f t="shared" si="181"/>
        <v>[rpw540fmNUz]|&lt;01|Female|PLHIV_Residents.T|CY2025Q3</v>
      </c>
    </row>
    <row r="5827" spans="4:18" x14ac:dyDescent="0.2">
      <c r="D5827" t="s">
        <v>132</v>
      </c>
      <c r="E5827" t="s">
        <v>133</v>
      </c>
      <c r="F5827" t="s">
        <v>134</v>
      </c>
      <c r="G5827" t="s">
        <v>219</v>
      </c>
      <c r="H5827" t="s">
        <v>219</v>
      </c>
      <c r="I5827" t="s">
        <v>33</v>
      </c>
      <c r="J5827" t="s">
        <v>34</v>
      </c>
      <c r="K5827" t="s">
        <v>30</v>
      </c>
      <c r="L5827" t="s">
        <v>31</v>
      </c>
      <c r="M5827" t="s">
        <v>220</v>
      </c>
      <c r="N5827">
        <v>221</v>
      </c>
      <c r="O5827">
        <v>7.6717178999999996E-2</v>
      </c>
      <c r="P5827">
        <v>7.4322268999999996E-2</v>
      </c>
      <c r="Q5827" t="str">
        <f t="shared" ref="Q5827:Q5890" si="182">SUBSTITUTE(SUBSTITUTE($I5827,CHAR(61),""),CHAR(34),"")</f>
        <v>01-09</v>
      </c>
      <c r="R5827" t="str">
        <f t="shared" ref="R5827:R5890" si="183">IF($D5827&lt;&gt;"","["&amp;$E5827&amp;"]"&amp;"|"&amp;$Q5827&amp;"|"&amp;$K5827&amp;"|"&amp;$G5827&amp;"|"&amp;IF($G5827="TX_CURR_SUBNAT.R","CY2023Q4",$M5827),"")</f>
        <v>[rpw540fmNUz]|01-09|Female|PLHIV_Residents.T|CY2025Q3</v>
      </c>
    </row>
    <row r="5828" spans="4:18" x14ac:dyDescent="0.2">
      <c r="D5828" t="s">
        <v>132</v>
      </c>
      <c r="E5828" t="s">
        <v>133</v>
      </c>
      <c r="F5828" t="s">
        <v>134</v>
      </c>
      <c r="G5828" t="s">
        <v>219</v>
      </c>
      <c r="H5828" t="s">
        <v>219</v>
      </c>
      <c r="I5828" t="s">
        <v>36</v>
      </c>
      <c r="J5828" t="s">
        <v>37</v>
      </c>
      <c r="K5828" t="s">
        <v>30</v>
      </c>
      <c r="L5828" t="s">
        <v>31</v>
      </c>
      <c r="M5828" t="s">
        <v>220</v>
      </c>
      <c r="N5828">
        <v>287</v>
      </c>
      <c r="O5828">
        <v>8.1487000000000004E-2</v>
      </c>
      <c r="P5828">
        <v>7.4322268999999996E-2</v>
      </c>
      <c r="Q5828" t="str">
        <f t="shared" si="182"/>
        <v>10-14</v>
      </c>
      <c r="R5828" t="str">
        <f t="shared" si="183"/>
        <v>[rpw540fmNUz]|10-14|Female|PLHIV_Residents.T|CY2025Q3</v>
      </c>
    </row>
    <row r="5829" spans="4:18" x14ac:dyDescent="0.2">
      <c r="D5829" t="s">
        <v>132</v>
      </c>
      <c r="E5829" t="s">
        <v>133</v>
      </c>
      <c r="F5829" t="s">
        <v>134</v>
      </c>
      <c r="G5829" t="s">
        <v>219</v>
      </c>
      <c r="H5829" t="s">
        <v>219</v>
      </c>
      <c r="I5829" t="s">
        <v>38</v>
      </c>
      <c r="J5829" t="s">
        <v>39</v>
      </c>
      <c r="K5829" t="s">
        <v>30</v>
      </c>
      <c r="L5829" t="s">
        <v>31</v>
      </c>
      <c r="M5829" t="s">
        <v>220</v>
      </c>
      <c r="N5829">
        <v>1048</v>
      </c>
      <c r="O5829">
        <v>9.5783773000000003E-2</v>
      </c>
      <c r="P5829">
        <v>7.4322268999999996E-2</v>
      </c>
      <c r="Q5829" t="str">
        <f t="shared" si="182"/>
        <v>15-24</v>
      </c>
      <c r="R5829" t="str">
        <f t="shared" si="183"/>
        <v>[rpw540fmNUz]|15-24|Female|PLHIV_Residents.T|CY2025Q3</v>
      </c>
    </row>
    <row r="5830" spans="4:18" x14ac:dyDescent="0.2">
      <c r="D5830" t="s">
        <v>132</v>
      </c>
      <c r="E5830" t="s">
        <v>133</v>
      </c>
      <c r="F5830" t="s">
        <v>134</v>
      </c>
      <c r="G5830" t="s">
        <v>219</v>
      </c>
      <c r="H5830" t="s">
        <v>219</v>
      </c>
      <c r="I5830" t="s">
        <v>41</v>
      </c>
      <c r="J5830" t="s">
        <v>42</v>
      </c>
      <c r="K5830" t="s">
        <v>30</v>
      </c>
      <c r="L5830" t="s">
        <v>31</v>
      </c>
      <c r="M5830" t="s">
        <v>220</v>
      </c>
      <c r="N5830">
        <v>2442</v>
      </c>
      <c r="O5830">
        <v>8.7527492999999998E-2</v>
      </c>
      <c r="P5830">
        <v>7.4322268999999996E-2</v>
      </c>
      <c r="Q5830" t="str">
        <f t="shared" si="182"/>
        <v>25-34</v>
      </c>
      <c r="R5830" t="str">
        <f t="shared" si="183"/>
        <v>[rpw540fmNUz]|25-34|Female|PLHIV_Residents.T|CY2025Q3</v>
      </c>
    </row>
    <row r="5831" spans="4:18" x14ac:dyDescent="0.2">
      <c r="D5831" t="s">
        <v>132</v>
      </c>
      <c r="E5831" t="s">
        <v>133</v>
      </c>
      <c r="F5831" t="s">
        <v>134</v>
      </c>
      <c r="G5831" t="s">
        <v>219</v>
      </c>
      <c r="H5831" t="s">
        <v>219</v>
      </c>
      <c r="I5831" t="s">
        <v>43</v>
      </c>
      <c r="J5831" t="s">
        <v>44</v>
      </c>
      <c r="K5831" t="s">
        <v>30</v>
      </c>
      <c r="L5831" t="s">
        <v>31</v>
      </c>
      <c r="M5831" t="s">
        <v>220</v>
      </c>
      <c r="N5831">
        <v>6133</v>
      </c>
      <c r="O5831">
        <v>6.9997537999999998E-2</v>
      </c>
      <c r="P5831">
        <v>7.4322268999999996E-2</v>
      </c>
      <c r="Q5831" t="str">
        <f t="shared" si="182"/>
        <v>35-49</v>
      </c>
      <c r="R5831" t="str">
        <f t="shared" si="183"/>
        <v>[rpw540fmNUz]|35-49|Female|PLHIV_Residents.T|CY2025Q3</v>
      </c>
    </row>
    <row r="5832" spans="4:18" x14ac:dyDescent="0.2">
      <c r="D5832" t="s">
        <v>132</v>
      </c>
      <c r="E5832" t="s">
        <v>133</v>
      </c>
      <c r="F5832" t="s">
        <v>134</v>
      </c>
      <c r="G5832" t="s">
        <v>219</v>
      </c>
      <c r="H5832" t="s">
        <v>219</v>
      </c>
      <c r="I5832" t="s">
        <v>45</v>
      </c>
      <c r="J5832" t="s">
        <v>46</v>
      </c>
      <c r="K5832" t="s">
        <v>30</v>
      </c>
      <c r="L5832" t="s">
        <v>31</v>
      </c>
      <c r="M5832" t="s">
        <v>220</v>
      </c>
      <c r="N5832">
        <v>3419</v>
      </c>
      <c r="O5832">
        <v>7.9113170999999996E-2</v>
      </c>
      <c r="P5832">
        <v>7.4322268999999996E-2</v>
      </c>
      <c r="Q5832" t="str">
        <f t="shared" si="182"/>
        <v>50+</v>
      </c>
      <c r="R5832" t="str">
        <f t="shared" si="183"/>
        <v>[rpw540fmNUz]|50+|Female|PLHIV_Residents.T|CY2025Q3</v>
      </c>
    </row>
    <row r="5833" spans="4:18" x14ac:dyDescent="0.2">
      <c r="D5833" t="s">
        <v>132</v>
      </c>
      <c r="E5833" t="s">
        <v>133</v>
      </c>
      <c r="F5833" t="s">
        <v>134</v>
      </c>
      <c r="G5833" t="s">
        <v>219</v>
      </c>
      <c r="H5833" t="s">
        <v>219</v>
      </c>
      <c r="I5833" t="s">
        <v>28</v>
      </c>
      <c r="J5833" t="s">
        <v>29</v>
      </c>
      <c r="K5833" t="s">
        <v>48</v>
      </c>
      <c r="L5833" t="s">
        <v>49</v>
      </c>
      <c r="M5833" t="s">
        <v>220</v>
      </c>
      <c r="N5833">
        <v>11</v>
      </c>
      <c r="O5833">
        <v>7.4042347999999994E-2</v>
      </c>
      <c r="P5833">
        <v>7.4322268999999996E-2</v>
      </c>
      <c r="Q5833" t="str">
        <f t="shared" si="182"/>
        <v>&lt;01</v>
      </c>
      <c r="R5833" t="str">
        <f t="shared" si="183"/>
        <v>[rpw540fmNUz]|&lt;01|Male|PLHIV_Residents.T|CY2025Q3</v>
      </c>
    </row>
    <row r="5834" spans="4:18" x14ac:dyDescent="0.2">
      <c r="D5834" t="s">
        <v>132</v>
      </c>
      <c r="E5834" t="s">
        <v>133</v>
      </c>
      <c r="F5834" t="s">
        <v>134</v>
      </c>
      <c r="G5834" t="s">
        <v>219</v>
      </c>
      <c r="H5834" t="s">
        <v>219</v>
      </c>
      <c r="I5834" t="s">
        <v>33</v>
      </c>
      <c r="J5834" t="s">
        <v>34</v>
      </c>
      <c r="K5834" t="s">
        <v>48</v>
      </c>
      <c r="L5834" t="s">
        <v>49</v>
      </c>
      <c r="M5834" t="s">
        <v>220</v>
      </c>
      <c r="N5834">
        <v>221</v>
      </c>
      <c r="O5834">
        <v>7.6689957000000003E-2</v>
      </c>
      <c r="P5834">
        <v>7.4322268999999996E-2</v>
      </c>
      <c r="Q5834" t="str">
        <f t="shared" si="182"/>
        <v>01-09</v>
      </c>
      <c r="R5834" t="str">
        <f t="shared" si="183"/>
        <v>[rpw540fmNUz]|01-09|Male|PLHIV_Residents.T|CY2025Q3</v>
      </c>
    </row>
    <row r="5835" spans="4:18" x14ac:dyDescent="0.2">
      <c r="D5835" t="s">
        <v>132</v>
      </c>
      <c r="E5835" t="s">
        <v>133</v>
      </c>
      <c r="F5835" t="s">
        <v>134</v>
      </c>
      <c r="G5835" t="s">
        <v>219</v>
      </c>
      <c r="H5835" t="s">
        <v>219</v>
      </c>
      <c r="I5835" t="s">
        <v>36</v>
      </c>
      <c r="J5835" t="s">
        <v>37</v>
      </c>
      <c r="K5835" t="s">
        <v>48</v>
      </c>
      <c r="L5835" t="s">
        <v>49</v>
      </c>
      <c r="M5835" t="s">
        <v>220</v>
      </c>
      <c r="N5835">
        <v>287</v>
      </c>
      <c r="O5835">
        <v>8.1483754000000005E-2</v>
      </c>
      <c r="P5835">
        <v>7.4322268999999996E-2</v>
      </c>
      <c r="Q5835" t="str">
        <f t="shared" si="182"/>
        <v>10-14</v>
      </c>
      <c r="R5835" t="str">
        <f t="shared" si="183"/>
        <v>[rpw540fmNUz]|10-14|Male|PLHIV_Residents.T|CY2025Q3</v>
      </c>
    </row>
    <row r="5836" spans="4:18" x14ac:dyDescent="0.2">
      <c r="D5836" t="s">
        <v>132</v>
      </c>
      <c r="E5836" t="s">
        <v>133</v>
      </c>
      <c r="F5836" t="s">
        <v>134</v>
      </c>
      <c r="G5836" t="s">
        <v>219</v>
      </c>
      <c r="H5836" t="s">
        <v>219</v>
      </c>
      <c r="I5836" t="s">
        <v>38</v>
      </c>
      <c r="J5836" t="s">
        <v>39</v>
      </c>
      <c r="K5836" t="s">
        <v>48</v>
      </c>
      <c r="L5836" t="s">
        <v>49</v>
      </c>
      <c r="M5836" t="s">
        <v>220</v>
      </c>
      <c r="N5836">
        <v>718</v>
      </c>
      <c r="O5836">
        <v>9.6709858999999995E-2</v>
      </c>
      <c r="P5836">
        <v>7.4322268999999996E-2</v>
      </c>
      <c r="Q5836" t="str">
        <f t="shared" si="182"/>
        <v>15-24</v>
      </c>
      <c r="R5836" t="str">
        <f t="shared" si="183"/>
        <v>[rpw540fmNUz]|15-24|Male|PLHIV_Residents.T|CY2025Q3</v>
      </c>
    </row>
    <row r="5837" spans="4:18" x14ac:dyDescent="0.2">
      <c r="D5837" t="s">
        <v>132</v>
      </c>
      <c r="E5837" t="s">
        <v>133</v>
      </c>
      <c r="F5837" t="s">
        <v>134</v>
      </c>
      <c r="G5837" t="s">
        <v>219</v>
      </c>
      <c r="H5837" t="s">
        <v>219</v>
      </c>
      <c r="I5837" t="s">
        <v>41</v>
      </c>
      <c r="J5837" t="s">
        <v>42</v>
      </c>
      <c r="K5837" t="s">
        <v>48</v>
      </c>
      <c r="L5837" t="s">
        <v>49</v>
      </c>
      <c r="M5837" t="s">
        <v>220</v>
      </c>
      <c r="N5837">
        <v>794</v>
      </c>
      <c r="O5837">
        <v>0.107548353</v>
      </c>
      <c r="P5837">
        <v>7.4322268999999996E-2</v>
      </c>
      <c r="Q5837" t="str">
        <f t="shared" si="182"/>
        <v>25-34</v>
      </c>
      <c r="R5837" t="str">
        <f t="shared" si="183"/>
        <v>[rpw540fmNUz]|25-34|Male|PLHIV_Residents.T|CY2025Q3</v>
      </c>
    </row>
    <row r="5838" spans="4:18" x14ac:dyDescent="0.2">
      <c r="D5838" t="s">
        <v>132</v>
      </c>
      <c r="E5838" t="s">
        <v>133</v>
      </c>
      <c r="F5838" t="s">
        <v>134</v>
      </c>
      <c r="G5838" t="s">
        <v>219</v>
      </c>
      <c r="H5838" t="s">
        <v>219</v>
      </c>
      <c r="I5838" t="s">
        <v>43</v>
      </c>
      <c r="J5838" t="s">
        <v>44</v>
      </c>
      <c r="K5838" t="s">
        <v>48</v>
      </c>
      <c r="L5838" t="s">
        <v>49</v>
      </c>
      <c r="M5838" t="s">
        <v>220</v>
      </c>
      <c r="N5838">
        <v>2815</v>
      </c>
      <c r="O5838">
        <v>8.6433982000000006E-2</v>
      </c>
      <c r="P5838">
        <v>7.4322268999999996E-2</v>
      </c>
      <c r="Q5838" t="str">
        <f t="shared" si="182"/>
        <v>35-49</v>
      </c>
      <c r="R5838" t="str">
        <f t="shared" si="183"/>
        <v>[rpw540fmNUz]|35-49|Male|PLHIV_Residents.T|CY2025Q3</v>
      </c>
    </row>
    <row r="5839" spans="4:18" x14ac:dyDescent="0.2">
      <c r="D5839" t="s">
        <v>132</v>
      </c>
      <c r="E5839" t="s">
        <v>133</v>
      </c>
      <c r="F5839" t="s">
        <v>134</v>
      </c>
      <c r="G5839" t="s">
        <v>219</v>
      </c>
      <c r="H5839" t="s">
        <v>219</v>
      </c>
      <c r="I5839" t="s">
        <v>45</v>
      </c>
      <c r="J5839" t="s">
        <v>46</v>
      </c>
      <c r="K5839" t="s">
        <v>48</v>
      </c>
      <c r="L5839" t="s">
        <v>49</v>
      </c>
      <c r="M5839" t="s">
        <v>220</v>
      </c>
      <c r="N5839">
        <v>2431</v>
      </c>
      <c r="O5839">
        <v>7.9662253000000002E-2</v>
      </c>
      <c r="P5839">
        <v>7.4322268999999996E-2</v>
      </c>
      <c r="Q5839" t="str">
        <f t="shared" si="182"/>
        <v>50+</v>
      </c>
      <c r="R5839" t="str">
        <f t="shared" si="183"/>
        <v>[rpw540fmNUz]|50+|Male|PLHIV_Residents.T|CY2025Q3</v>
      </c>
    </row>
    <row r="5840" spans="4:18" x14ac:dyDescent="0.2">
      <c r="D5840" t="s">
        <v>135</v>
      </c>
      <c r="E5840" t="s">
        <v>136</v>
      </c>
      <c r="F5840" t="s">
        <v>137</v>
      </c>
      <c r="G5840" t="s">
        <v>219</v>
      </c>
      <c r="H5840" t="s">
        <v>219</v>
      </c>
      <c r="I5840" t="s">
        <v>28</v>
      </c>
      <c r="J5840" t="s">
        <v>29</v>
      </c>
      <c r="K5840" t="s">
        <v>30</v>
      </c>
      <c r="L5840" t="s">
        <v>31</v>
      </c>
      <c r="M5840" t="s">
        <v>220</v>
      </c>
      <c r="N5840">
        <v>4</v>
      </c>
      <c r="O5840">
        <v>0.102677226</v>
      </c>
      <c r="P5840">
        <v>9.5972120999999994E-2</v>
      </c>
      <c r="Q5840" t="str">
        <f t="shared" si="182"/>
        <v>&lt;01</v>
      </c>
      <c r="R5840" t="str">
        <f t="shared" si="183"/>
        <v>[gwVYinjBAe9]|&lt;01|Female|PLHIV_Residents.T|CY2025Q3</v>
      </c>
    </row>
    <row r="5841" spans="4:18" x14ac:dyDescent="0.2">
      <c r="D5841" t="s">
        <v>135</v>
      </c>
      <c r="E5841" t="s">
        <v>136</v>
      </c>
      <c r="F5841" t="s">
        <v>137</v>
      </c>
      <c r="G5841" t="s">
        <v>219</v>
      </c>
      <c r="H5841" t="s">
        <v>219</v>
      </c>
      <c r="I5841" t="s">
        <v>33</v>
      </c>
      <c r="J5841" t="s">
        <v>34</v>
      </c>
      <c r="K5841" t="s">
        <v>30</v>
      </c>
      <c r="L5841" t="s">
        <v>31</v>
      </c>
      <c r="M5841" t="s">
        <v>220</v>
      </c>
      <c r="N5841">
        <v>74</v>
      </c>
      <c r="O5841">
        <v>0.107331997</v>
      </c>
      <c r="P5841">
        <v>9.5972120999999994E-2</v>
      </c>
      <c r="Q5841" t="str">
        <f t="shared" si="182"/>
        <v>01-09</v>
      </c>
      <c r="R5841" t="str">
        <f t="shared" si="183"/>
        <v>[gwVYinjBAe9]|01-09|Female|PLHIV_Residents.T|CY2025Q3</v>
      </c>
    </row>
    <row r="5842" spans="4:18" x14ac:dyDescent="0.2">
      <c r="D5842" t="s">
        <v>135</v>
      </c>
      <c r="E5842" t="s">
        <v>136</v>
      </c>
      <c r="F5842" t="s">
        <v>137</v>
      </c>
      <c r="G5842" t="s">
        <v>219</v>
      </c>
      <c r="H5842" t="s">
        <v>219</v>
      </c>
      <c r="I5842" t="s">
        <v>36</v>
      </c>
      <c r="J5842" t="s">
        <v>37</v>
      </c>
      <c r="K5842" t="s">
        <v>30</v>
      </c>
      <c r="L5842" t="s">
        <v>31</v>
      </c>
      <c r="M5842" t="s">
        <v>220</v>
      </c>
      <c r="N5842">
        <v>94</v>
      </c>
      <c r="O5842">
        <v>0.115495717</v>
      </c>
      <c r="P5842">
        <v>9.5972120999999994E-2</v>
      </c>
      <c r="Q5842" t="str">
        <f t="shared" si="182"/>
        <v>10-14</v>
      </c>
      <c r="R5842" t="str">
        <f t="shared" si="183"/>
        <v>[gwVYinjBAe9]|10-14|Female|PLHIV_Residents.T|CY2025Q3</v>
      </c>
    </row>
    <row r="5843" spans="4:18" x14ac:dyDescent="0.2">
      <c r="D5843" t="s">
        <v>135</v>
      </c>
      <c r="E5843" t="s">
        <v>136</v>
      </c>
      <c r="F5843" t="s">
        <v>137</v>
      </c>
      <c r="G5843" t="s">
        <v>219</v>
      </c>
      <c r="H5843" t="s">
        <v>219</v>
      </c>
      <c r="I5843" t="s">
        <v>38</v>
      </c>
      <c r="J5843" t="s">
        <v>39</v>
      </c>
      <c r="K5843" t="s">
        <v>30</v>
      </c>
      <c r="L5843" t="s">
        <v>31</v>
      </c>
      <c r="M5843" t="s">
        <v>220</v>
      </c>
      <c r="N5843">
        <v>353</v>
      </c>
      <c r="O5843">
        <v>0.11932717399999999</v>
      </c>
      <c r="P5843">
        <v>9.5972120999999994E-2</v>
      </c>
      <c r="Q5843" t="str">
        <f t="shared" si="182"/>
        <v>15-24</v>
      </c>
      <c r="R5843" t="str">
        <f t="shared" si="183"/>
        <v>[gwVYinjBAe9]|15-24|Female|PLHIV_Residents.T|CY2025Q3</v>
      </c>
    </row>
    <row r="5844" spans="4:18" x14ac:dyDescent="0.2">
      <c r="D5844" t="s">
        <v>135</v>
      </c>
      <c r="E5844" t="s">
        <v>136</v>
      </c>
      <c r="F5844" t="s">
        <v>137</v>
      </c>
      <c r="G5844" t="s">
        <v>219</v>
      </c>
      <c r="H5844" t="s">
        <v>219</v>
      </c>
      <c r="I5844" t="s">
        <v>41</v>
      </c>
      <c r="J5844" t="s">
        <v>42</v>
      </c>
      <c r="K5844" t="s">
        <v>30</v>
      </c>
      <c r="L5844" t="s">
        <v>31</v>
      </c>
      <c r="M5844" t="s">
        <v>220</v>
      </c>
      <c r="N5844">
        <v>827</v>
      </c>
      <c r="O5844">
        <v>0.11025436</v>
      </c>
      <c r="P5844">
        <v>9.5972120999999994E-2</v>
      </c>
      <c r="Q5844" t="str">
        <f t="shared" si="182"/>
        <v>25-34</v>
      </c>
      <c r="R5844" t="str">
        <f t="shared" si="183"/>
        <v>[gwVYinjBAe9]|25-34|Female|PLHIV_Residents.T|CY2025Q3</v>
      </c>
    </row>
    <row r="5845" spans="4:18" x14ac:dyDescent="0.2">
      <c r="D5845" t="s">
        <v>135</v>
      </c>
      <c r="E5845" t="s">
        <v>136</v>
      </c>
      <c r="F5845" t="s">
        <v>137</v>
      </c>
      <c r="G5845" t="s">
        <v>219</v>
      </c>
      <c r="H5845" t="s">
        <v>219</v>
      </c>
      <c r="I5845" t="s">
        <v>43</v>
      </c>
      <c r="J5845" t="s">
        <v>44</v>
      </c>
      <c r="K5845" t="s">
        <v>30</v>
      </c>
      <c r="L5845" t="s">
        <v>31</v>
      </c>
      <c r="M5845" t="s">
        <v>220</v>
      </c>
      <c r="N5845">
        <v>2241</v>
      </c>
      <c r="O5845">
        <v>9.7178529E-2</v>
      </c>
      <c r="P5845">
        <v>9.5972120999999994E-2</v>
      </c>
      <c r="Q5845" t="str">
        <f t="shared" si="182"/>
        <v>35-49</v>
      </c>
      <c r="R5845" t="str">
        <f t="shared" si="183"/>
        <v>[gwVYinjBAe9]|35-49|Female|PLHIV_Residents.T|CY2025Q3</v>
      </c>
    </row>
    <row r="5846" spans="4:18" x14ac:dyDescent="0.2">
      <c r="D5846" t="s">
        <v>135</v>
      </c>
      <c r="E5846" t="s">
        <v>136</v>
      </c>
      <c r="F5846" t="s">
        <v>137</v>
      </c>
      <c r="G5846" t="s">
        <v>219</v>
      </c>
      <c r="H5846" t="s">
        <v>219</v>
      </c>
      <c r="I5846" t="s">
        <v>45</v>
      </c>
      <c r="J5846" t="s">
        <v>46</v>
      </c>
      <c r="K5846" t="s">
        <v>30</v>
      </c>
      <c r="L5846" t="s">
        <v>31</v>
      </c>
      <c r="M5846" t="s">
        <v>220</v>
      </c>
      <c r="N5846">
        <v>1152</v>
      </c>
      <c r="O5846">
        <v>0.10019915</v>
      </c>
      <c r="P5846">
        <v>9.5972120999999994E-2</v>
      </c>
      <c r="Q5846" t="str">
        <f t="shared" si="182"/>
        <v>50+</v>
      </c>
      <c r="R5846" t="str">
        <f t="shared" si="183"/>
        <v>[gwVYinjBAe9]|50+|Female|PLHIV_Residents.T|CY2025Q3</v>
      </c>
    </row>
    <row r="5847" spans="4:18" x14ac:dyDescent="0.2">
      <c r="D5847" t="s">
        <v>135</v>
      </c>
      <c r="E5847" t="s">
        <v>136</v>
      </c>
      <c r="F5847" t="s">
        <v>137</v>
      </c>
      <c r="G5847" t="s">
        <v>219</v>
      </c>
      <c r="H5847" t="s">
        <v>219</v>
      </c>
      <c r="I5847" t="s">
        <v>28</v>
      </c>
      <c r="J5847" t="s">
        <v>29</v>
      </c>
      <c r="K5847" t="s">
        <v>48</v>
      </c>
      <c r="L5847" t="s">
        <v>49</v>
      </c>
      <c r="M5847" t="s">
        <v>220</v>
      </c>
      <c r="N5847">
        <v>4</v>
      </c>
      <c r="O5847">
        <v>0.10268685399999999</v>
      </c>
      <c r="P5847">
        <v>9.5972120999999994E-2</v>
      </c>
      <c r="Q5847" t="str">
        <f t="shared" si="182"/>
        <v>&lt;01</v>
      </c>
      <c r="R5847" t="str">
        <f t="shared" si="183"/>
        <v>[gwVYinjBAe9]|&lt;01|Male|PLHIV_Residents.T|CY2025Q3</v>
      </c>
    </row>
    <row r="5848" spans="4:18" x14ac:dyDescent="0.2">
      <c r="D5848" t="s">
        <v>135</v>
      </c>
      <c r="E5848" t="s">
        <v>136</v>
      </c>
      <c r="F5848" t="s">
        <v>137</v>
      </c>
      <c r="G5848" t="s">
        <v>219</v>
      </c>
      <c r="H5848" t="s">
        <v>219</v>
      </c>
      <c r="I5848" t="s">
        <v>33</v>
      </c>
      <c r="J5848" t="s">
        <v>34</v>
      </c>
      <c r="K5848" t="s">
        <v>48</v>
      </c>
      <c r="L5848" t="s">
        <v>49</v>
      </c>
      <c r="M5848" t="s">
        <v>220</v>
      </c>
      <c r="N5848">
        <v>76</v>
      </c>
      <c r="O5848">
        <v>0.107358434</v>
      </c>
      <c r="P5848">
        <v>9.5972120999999994E-2</v>
      </c>
      <c r="Q5848" t="str">
        <f t="shared" si="182"/>
        <v>01-09</v>
      </c>
      <c r="R5848" t="str">
        <f t="shared" si="183"/>
        <v>[gwVYinjBAe9]|01-09|Male|PLHIV_Residents.T|CY2025Q3</v>
      </c>
    </row>
    <row r="5849" spans="4:18" x14ac:dyDescent="0.2">
      <c r="D5849" t="s">
        <v>135</v>
      </c>
      <c r="E5849" t="s">
        <v>136</v>
      </c>
      <c r="F5849" t="s">
        <v>137</v>
      </c>
      <c r="G5849" t="s">
        <v>219</v>
      </c>
      <c r="H5849" t="s">
        <v>219</v>
      </c>
      <c r="I5849" t="s">
        <v>36</v>
      </c>
      <c r="J5849" t="s">
        <v>37</v>
      </c>
      <c r="K5849" t="s">
        <v>48</v>
      </c>
      <c r="L5849" t="s">
        <v>49</v>
      </c>
      <c r="M5849" t="s">
        <v>220</v>
      </c>
      <c r="N5849">
        <v>97</v>
      </c>
      <c r="O5849">
        <v>0.11549973199999999</v>
      </c>
      <c r="P5849">
        <v>9.5972120999999994E-2</v>
      </c>
      <c r="Q5849" t="str">
        <f t="shared" si="182"/>
        <v>10-14</v>
      </c>
      <c r="R5849" t="str">
        <f t="shared" si="183"/>
        <v>[gwVYinjBAe9]|10-14|Male|PLHIV_Residents.T|CY2025Q3</v>
      </c>
    </row>
    <row r="5850" spans="4:18" x14ac:dyDescent="0.2">
      <c r="D5850" t="s">
        <v>135</v>
      </c>
      <c r="E5850" t="s">
        <v>136</v>
      </c>
      <c r="F5850" t="s">
        <v>137</v>
      </c>
      <c r="G5850" t="s">
        <v>219</v>
      </c>
      <c r="H5850" t="s">
        <v>219</v>
      </c>
      <c r="I5850" t="s">
        <v>38</v>
      </c>
      <c r="J5850" t="s">
        <v>39</v>
      </c>
      <c r="K5850" t="s">
        <v>48</v>
      </c>
      <c r="L5850" t="s">
        <v>49</v>
      </c>
      <c r="M5850" t="s">
        <v>220</v>
      </c>
      <c r="N5850">
        <v>258</v>
      </c>
      <c r="O5850">
        <v>0.11896683700000001</v>
      </c>
      <c r="P5850">
        <v>9.5972120999999994E-2</v>
      </c>
      <c r="Q5850" t="str">
        <f t="shared" si="182"/>
        <v>15-24</v>
      </c>
      <c r="R5850" t="str">
        <f t="shared" si="183"/>
        <v>[gwVYinjBAe9]|15-24|Male|PLHIV_Residents.T|CY2025Q3</v>
      </c>
    </row>
    <row r="5851" spans="4:18" x14ac:dyDescent="0.2">
      <c r="D5851" t="s">
        <v>135</v>
      </c>
      <c r="E5851" t="s">
        <v>136</v>
      </c>
      <c r="F5851" t="s">
        <v>137</v>
      </c>
      <c r="G5851" t="s">
        <v>219</v>
      </c>
      <c r="H5851" t="s">
        <v>219</v>
      </c>
      <c r="I5851" t="s">
        <v>41</v>
      </c>
      <c r="J5851" t="s">
        <v>42</v>
      </c>
      <c r="K5851" t="s">
        <v>48</v>
      </c>
      <c r="L5851" t="s">
        <v>49</v>
      </c>
      <c r="M5851" t="s">
        <v>220</v>
      </c>
      <c r="N5851">
        <v>314</v>
      </c>
      <c r="O5851">
        <v>0.121653599</v>
      </c>
      <c r="P5851">
        <v>9.5972120999999994E-2</v>
      </c>
      <c r="Q5851" t="str">
        <f t="shared" si="182"/>
        <v>25-34</v>
      </c>
      <c r="R5851" t="str">
        <f t="shared" si="183"/>
        <v>[gwVYinjBAe9]|25-34|Male|PLHIV_Residents.T|CY2025Q3</v>
      </c>
    </row>
    <row r="5852" spans="4:18" x14ac:dyDescent="0.2">
      <c r="D5852" t="s">
        <v>135</v>
      </c>
      <c r="E5852" t="s">
        <v>136</v>
      </c>
      <c r="F5852" t="s">
        <v>137</v>
      </c>
      <c r="G5852" t="s">
        <v>219</v>
      </c>
      <c r="H5852" t="s">
        <v>219</v>
      </c>
      <c r="I5852" t="s">
        <v>43</v>
      </c>
      <c r="J5852" t="s">
        <v>44</v>
      </c>
      <c r="K5852" t="s">
        <v>48</v>
      </c>
      <c r="L5852" t="s">
        <v>49</v>
      </c>
      <c r="M5852" t="s">
        <v>220</v>
      </c>
      <c r="N5852">
        <v>1123</v>
      </c>
      <c r="O5852">
        <v>9.7925936000000005E-2</v>
      </c>
      <c r="P5852">
        <v>9.5972120999999994E-2</v>
      </c>
      <c r="Q5852" t="str">
        <f t="shared" si="182"/>
        <v>35-49</v>
      </c>
      <c r="R5852" t="str">
        <f t="shared" si="183"/>
        <v>[gwVYinjBAe9]|35-49|Male|PLHIV_Residents.T|CY2025Q3</v>
      </c>
    </row>
    <row r="5853" spans="4:18" x14ac:dyDescent="0.2">
      <c r="D5853" t="s">
        <v>135</v>
      </c>
      <c r="E5853" t="s">
        <v>136</v>
      </c>
      <c r="F5853" t="s">
        <v>137</v>
      </c>
      <c r="G5853" t="s">
        <v>219</v>
      </c>
      <c r="H5853" t="s">
        <v>219</v>
      </c>
      <c r="I5853" t="s">
        <v>45</v>
      </c>
      <c r="J5853" t="s">
        <v>46</v>
      </c>
      <c r="K5853" t="s">
        <v>48</v>
      </c>
      <c r="L5853" t="s">
        <v>49</v>
      </c>
      <c r="M5853" t="s">
        <v>220</v>
      </c>
      <c r="N5853">
        <v>942</v>
      </c>
      <c r="O5853">
        <v>9.1485142000000005E-2</v>
      </c>
      <c r="P5853">
        <v>9.5972120999999994E-2</v>
      </c>
      <c r="Q5853" t="str">
        <f t="shared" si="182"/>
        <v>50+</v>
      </c>
      <c r="R5853" t="str">
        <f t="shared" si="183"/>
        <v>[gwVYinjBAe9]|50+|Male|PLHIV_Residents.T|CY2025Q3</v>
      </c>
    </row>
    <row r="5854" spans="4:18" x14ac:dyDescent="0.2">
      <c r="D5854" t="s">
        <v>23</v>
      </c>
      <c r="E5854" t="s">
        <v>24</v>
      </c>
      <c r="F5854" t="s">
        <v>25</v>
      </c>
      <c r="G5854" t="s">
        <v>221</v>
      </c>
      <c r="H5854" t="s">
        <v>221</v>
      </c>
      <c r="I5854" t="s">
        <v>28</v>
      </c>
      <c r="J5854" t="s">
        <v>29</v>
      </c>
      <c r="K5854" t="s">
        <v>30</v>
      </c>
      <c r="L5854" t="s">
        <v>31</v>
      </c>
      <c r="M5854" t="s">
        <v>220</v>
      </c>
      <c r="N5854">
        <v>3</v>
      </c>
      <c r="O5854">
        <v>3.8198832000000002E-2</v>
      </c>
      <c r="P5854">
        <v>2.9787234999999999E-2</v>
      </c>
      <c r="Q5854" t="str">
        <f t="shared" si="182"/>
        <v>&lt;01</v>
      </c>
      <c r="R5854" t="str">
        <f t="shared" si="183"/>
        <v>[GkIwZrXy1h2]|&lt;01|Female|PLHIV_Attend.T|CY2025Q3</v>
      </c>
    </row>
    <row r="5855" spans="4:18" x14ac:dyDescent="0.2">
      <c r="D5855" t="s">
        <v>23</v>
      </c>
      <c r="E5855" t="s">
        <v>24</v>
      </c>
      <c r="F5855" t="s">
        <v>25</v>
      </c>
      <c r="G5855" t="s">
        <v>221</v>
      </c>
      <c r="H5855" t="s">
        <v>221</v>
      </c>
      <c r="I5855" t="s">
        <v>33</v>
      </c>
      <c r="J5855" t="s">
        <v>34</v>
      </c>
      <c r="K5855" t="s">
        <v>30</v>
      </c>
      <c r="L5855" t="s">
        <v>31</v>
      </c>
      <c r="M5855" t="s">
        <v>220</v>
      </c>
      <c r="N5855">
        <v>52</v>
      </c>
      <c r="O5855">
        <v>4.8549479E-2</v>
      </c>
      <c r="P5855">
        <v>2.9787234999999999E-2</v>
      </c>
      <c r="Q5855" t="str">
        <f t="shared" si="182"/>
        <v>01-09</v>
      </c>
      <c r="R5855" t="str">
        <f t="shared" si="183"/>
        <v>[GkIwZrXy1h2]|01-09|Female|PLHIV_Attend.T|CY2025Q3</v>
      </c>
    </row>
    <row r="5856" spans="4:18" x14ac:dyDescent="0.2">
      <c r="D5856" t="s">
        <v>23</v>
      </c>
      <c r="E5856" t="s">
        <v>24</v>
      </c>
      <c r="F5856" t="s">
        <v>25</v>
      </c>
      <c r="G5856" t="s">
        <v>221</v>
      </c>
      <c r="H5856" t="s">
        <v>221</v>
      </c>
      <c r="I5856" t="s">
        <v>36</v>
      </c>
      <c r="J5856" t="s">
        <v>37</v>
      </c>
      <c r="K5856" t="s">
        <v>30</v>
      </c>
      <c r="L5856" t="s">
        <v>31</v>
      </c>
      <c r="M5856" t="s">
        <v>220</v>
      </c>
      <c r="N5856">
        <v>73</v>
      </c>
      <c r="O5856">
        <v>6.6194428999999999E-2</v>
      </c>
      <c r="P5856">
        <v>2.9787234999999999E-2</v>
      </c>
      <c r="Q5856" t="str">
        <f t="shared" si="182"/>
        <v>10-14</v>
      </c>
      <c r="R5856" t="str">
        <f t="shared" si="183"/>
        <v>[GkIwZrXy1h2]|10-14|Female|PLHIV_Attend.T|CY2025Q3</v>
      </c>
    </row>
    <row r="5857" spans="4:18" x14ac:dyDescent="0.2">
      <c r="D5857" t="s">
        <v>23</v>
      </c>
      <c r="E5857" t="s">
        <v>24</v>
      </c>
      <c r="F5857" t="s">
        <v>25</v>
      </c>
      <c r="G5857" t="s">
        <v>221</v>
      </c>
      <c r="H5857" t="s">
        <v>221</v>
      </c>
      <c r="I5857" t="s">
        <v>38</v>
      </c>
      <c r="J5857" t="s">
        <v>39</v>
      </c>
      <c r="K5857" t="s">
        <v>30</v>
      </c>
      <c r="L5857" t="s">
        <v>31</v>
      </c>
      <c r="M5857" t="s">
        <v>220</v>
      </c>
      <c r="N5857">
        <v>275</v>
      </c>
      <c r="O5857">
        <v>6.2989856999999996E-2</v>
      </c>
      <c r="P5857">
        <v>2.9787234999999999E-2</v>
      </c>
      <c r="Q5857" t="str">
        <f t="shared" si="182"/>
        <v>15-24</v>
      </c>
      <c r="R5857" t="str">
        <f t="shared" si="183"/>
        <v>[GkIwZrXy1h2]|15-24|Female|PLHIV_Attend.T|CY2025Q3</v>
      </c>
    </row>
    <row r="5858" spans="4:18" x14ac:dyDescent="0.2">
      <c r="D5858" t="s">
        <v>23</v>
      </c>
      <c r="E5858" t="s">
        <v>24</v>
      </c>
      <c r="F5858" t="s">
        <v>25</v>
      </c>
      <c r="G5858" t="s">
        <v>221</v>
      </c>
      <c r="H5858" t="s">
        <v>221</v>
      </c>
      <c r="I5858" t="s">
        <v>41</v>
      </c>
      <c r="J5858" t="s">
        <v>42</v>
      </c>
      <c r="K5858" t="s">
        <v>30</v>
      </c>
      <c r="L5858" t="s">
        <v>31</v>
      </c>
      <c r="M5858" t="s">
        <v>220</v>
      </c>
      <c r="N5858">
        <v>641</v>
      </c>
      <c r="O5858">
        <v>5.0125564999999997E-2</v>
      </c>
      <c r="P5858">
        <v>2.9787234999999999E-2</v>
      </c>
      <c r="Q5858" t="str">
        <f t="shared" si="182"/>
        <v>25-34</v>
      </c>
      <c r="R5858" t="str">
        <f t="shared" si="183"/>
        <v>[GkIwZrXy1h2]|25-34|Female|PLHIV_Attend.T|CY2025Q3</v>
      </c>
    </row>
    <row r="5859" spans="4:18" x14ac:dyDescent="0.2">
      <c r="D5859" t="s">
        <v>23</v>
      </c>
      <c r="E5859" t="s">
        <v>24</v>
      </c>
      <c r="F5859" t="s">
        <v>25</v>
      </c>
      <c r="G5859" t="s">
        <v>221</v>
      </c>
      <c r="H5859" t="s">
        <v>221</v>
      </c>
      <c r="I5859" t="s">
        <v>43</v>
      </c>
      <c r="J5859" t="s">
        <v>44</v>
      </c>
      <c r="K5859" t="s">
        <v>30</v>
      </c>
      <c r="L5859" t="s">
        <v>31</v>
      </c>
      <c r="M5859" t="s">
        <v>220</v>
      </c>
      <c r="N5859">
        <v>1821</v>
      </c>
      <c r="O5859">
        <v>3.5073934000000001E-2</v>
      </c>
      <c r="P5859">
        <v>2.9787234999999999E-2</v>
      </c>
      <c r="Q5859" t="str">
        <f t="shared" si="182"/>
        <v>35-49</v>
      </c>
      <c r="R5859" t="str">
        <f t="shared" si="183"/>
        <v>[GkIwZrXy1h2]|35-49|Female|PLHIV_Attend.T|CY2025Q3</v>
      </c>
    </row>
    <row r="5860" spans="4:18" x14ac:dyDescent="0.2">
      <c r="D5860" t="s">
        <v>23</v>
      </c>
      <c r="E5860" t="s">
        <v>24</v>
      </c>
      <c r="F5860" t="s">
        <v>25</v>
      </c>
      <c r="G5860" t="s">
        <v>221</v>
      </c>
      <c r="H5860" t="s">
        <v>221</v>
      </c>
      <c r="I5860" t="s">
        <v>45</v>
      </c>
      <c r="J5860" t="s">
        <v>46</v>
      </c>
      <c r="K5860" t="s">
        <v>30</v>
      </c>
      <c r="L5860" t="s">
        <v>31</v>
      </c>
      <c r="M5860" t="s">
        <v>220</v>
      </c>
      <c r="N5860">
        <v>980</v>
      </c>
      <c r="O5860">
        <v>4.3643251000000001E-2</v>
      </c>
      <c r="P5860">
        <v>2.9787234999999999E-2</v>
      </c>
      <c r="Q5860" t="str">
        <f t="shared" si="182"/>
        <v>50+</v>
      </c>
      <c r="R5860" t="str">
        <f t="shared" si="183"/>
        <v>[GkIwZrXy1h2]|50+|Female|PLHIV_Attend.T|CY2025Q3</v>
      </c>
    </row>
    <row r="5861" spans="4:18" x14ac:dyDescent="0.2">
      <c r="D5861" t="s">
        <v>23</v>
      </c>
      <c r="E5861" t="s">
        <v>24</v>
      </c>
      <c r="F5861" t="s">
        <v>25</v>
      </c>
      <c r="G5861" t="s">
        <v>221</v>
      </c>
      <c r="H5861" t="s">
        <v>221</v>
      </c>
      <c r="I5861" t="s">
        <v>28</v>
      </c>
      <c r="J5861" t="s">
        <v>29</v>
      </c>
      <c r="K5861" t="s">
        <v>48</v>
      </c>
      <c r="L5861" t="s">
        <v>49</v>
      </c>
      <c r="M5861" t="s">
        <v>220</v>
      </c>
      <c r="N5861">
        <v>3</v>
      </c>
      <c r="O5861">
        <v>3.8047758000000001E-2</v>
      </c>
      <c r="P5861">
        <v>2.9787234999999999E-2</v>
      </c>
      <c r="Q5861" t="str">
        <f t="shared" si="182"/>
        <v>&lt;01</v>
      </c>
      <c r="R5861" t="str">
        <f t="shared" si="183"/>
        <v>[GkIwZrXy1h2]|&lt;01|Male|PLHIV_Attend.T|CY2025Q3</v>
      </c>
    </row>
    <row r="5862" spans="4:18" x14ac:dyDescent="0.2">
      <c r="D5862" t="s">
        <v>23</v>
      </c>
      <c r="E5862" t="s">
        <v>24</v>
      </c>
      <c r="F5862" t="s">
        <v>25</v>
      </c>
      <c r="G5862" t="s">
        <v>221</v>
      </c>
      <c r="H5862" t="s">
        <v>221</v>
      </c>
      <c r="I5862" t="s">
        <v>33</v>
      </c>
      <c r="J5862" t="s">
        <v>34</v>
      </c>
      <c r="K5862" t="s">
        <v>48</v>
      </c>
      <c r="L5862" t="s">
        <v>49</v>
      </c>
      <c r="M5862" t="s">
        <v>220</v>
      </c>
      <c r="N5862">
        <v>53</v>
      </c>
      <c r="O5862">
        <v>4.8356778000000003E-2</v>
      </c>
      <c r="P5862">
        <v>2.9787234999999999E-2</v>
      </c>
      <c r="Q5862" t="str">
        <f t="shared" si="182"/>
        <v>01-09</v>
      </c>
      <c r="R5862" t="str">
        <f t="shared" si="183"/>
        <v>[GkIwZrXy1h2]|01-09|Male|PLHIV_Attend.T|CY2025Q3</v>
      </c>
    </row>
    <row r="5863" spans="4:18" x14ac:dyDescent="0.2">
      <c r="D5863" t="s">
        <v>23</v>
      </c>
      <c r="E5863" t="s">
        <v>24</v>
      </c>
      <c r="F5863" t="s">
        <v>25</v>
      </c>
      <c r="G5863" t="s">
        <v>221</v>
      </c>
      <c r="H5863" t="s">
        <v>221</v>
      </c>
      <c r="I5863" t="s">
        <v>36</v>
      </c>
      <c r="J5863" t="s">
        <v>37</v>
      </c>
      <c r="K5863" t="s">
        <v>48</v>
      </c>
      <c r="L5863" t="s">
        <v>49</v>
      </c>
      <c r="M5863" t="s">
        <v>220</v>
      </c>
      <c r="N5863">
        <v>72</v>
      </c>
      <c r="O5863">
        <v>6.6021362E-2</v>
      </c>
      <c r="P5863">
        <v>2.9787234999999999E-2</v>
      </c>
      <c r="Q5863" t="str">
        <f t="shared" si="182"/>
        <v>10-14</v>
      </c>
      <c r="R5863" t="str">
        <f t="shared" si="183"/>
        <v>[GkIwZrXy1h2]|10-14|Male|PLHIV_Attend.T|CY2025Q3</v>
      </c>
    </row>
    <row r="5864" spans="4:18" x14ac:dyDescent="0.2">
      <c r="D5864" t="s">
        <v>23</v>
      </c>
      <c r="E5864" t="s">
        <v>24</v>
      </c>
      <c r="F5864" t="s">
        <v>25</v>
      </c>
      <c r="G5864" t="s">
        <v>221</v>
      </c>
      <c r="H5864" t="s">
        <v>221</v>
      </c>
      <c r="I5864" t="s">
        <v>38</v>
      </c>
      <c r="J5864" t="s">
        <v>39</v>
      </c>
      <c r="K5864" t="s">
        <v>48</v>
      </c>
      <c r="L5864" t="s">
        <v>49</v>
      </c>
      <c r="M5864" t="s">
        <v>220</v>
      </c>
      <c r="N5864">
        <v>208</v>
      </c>
      <c r="O5864">
        <v>7.2888829000000002E-2</v>
      </c>
      <c r="P5864">
        <v>2.9787234999999999E-2</v>
      </c>
      <c r="Q5864" t="str">
        <f t="shared" si="182"/>
        <v>15-24</v>
      </c>
      <c r="R5864" t="str">
        <f t="shared" si="183"/>
        <v>[GkIwZrXy1h2]|15-24|Male|PLHIV_Attend.T|CY2025Q3</v>
      </c>
    </row>
    <row r="5865" spans="4:18" x14ac:dyDescent="0.2">
      <c r="D5865" t="s">
        <v>23</v>
      </c>
      <c r="E5865" t="s">
        <v>24</v>
      </c>
      <c r="F5865" t="s">
        <v>25</v>
      </c>
      <c r="G5865" t="s">
        <v>221</v>
      </c>
      <c r="H5865" t="s">
        <v>221</v>
      </c>
      <c r="I5865" t="s">
        <v>41</v>
      </c>
      <c r="J5865" t="s">
        <v>42</v>
      </c>
      <c r="K5865" t="s">
        <v>48</v>
      </c>
      <c r="L5865" t="s">
        <v>49</v>
      </c>
      <c r="M5865" t="s">
        <v>220</v>
      </c>
      <c r="N5865">
        <v>269</v>
      </c>
      <c r="O5865">
        <v>7.3813292000000003E-2</v>
      </c>
      <c r="P5865">
        <v>2.9787234999999999E-2</v>
      </c>
      <c r="Q5865" t="str">
        <f t="shared" si="182"/>
        <v>25-34</v>
      </c>
      <c r="R5865" t="str">
        <f t="shared" si="183"/>
        <v>[GkIwZrXy1h2]|25-34|Male|PLHIV_Attend.T|CY2025Q3</v>
      </c>
    </row>
    <row r="5866" spans="4:18" x14ac:dyDescent="0.2">
      <c r="D5866" t="s">
        <v>23</v>
      </c>
      <c r="E5866" t="s">
        <v>24</v>
      </c>
      <c r="F5866" t="s">
        <v>25</v>
      </c>
      <c r="G5866" t="s">
        <v>221</v>
      </c>
      <c r="H5866" t="s">
        <v>221</v>
      </c>
      <c r="I5866" t="s">
        <v>43</v>
      </c>
      <c r="J5866" t="s">
        <v>44</v>
      </c>
      <c r="K5866" t="s">
        <v>48</v>
      </c>
      <c r="L5866" t="s">
        <v>49</v>
      </c>
      <c r="M5866" t="s">
        <v>220</v>
      </c>
      <c r="N5866">
        <v>1009</v>
      </c>
      <c r="O5866">
        <v>4.6169689E-2</v>
      </c>
      <c r="P5866">
        <v>2.9787234999999999E-2</v>
      </c>
      <c r="Q5866" t="str">
        <f t="shared" si="182"/>
        <v>35-49</v>
      </c>
      <c r="R5866" t="str">
        <f t="shared" si="183"/>
        <v>[GkIwZrXy1h2]|35-49|Male|PLHIV_Attend.T|CY2025Q3</v>
      </c>
    </row>
    <row r="5867" spans="4:18" x14ac:dyDescent="0.2">
      <c r="D5867" t="s">
        <v>23</v>
      </c>
      <c r="E5867" t="s">
        <v>24</v>
      </c>
      <c r="F5867" t="s">
        <v>25</v>
      </c>
      <c r="G5867" t="s">
        <v>221</v>
      </c>
      <c r="H5867" t="s">
        <v>221</v>
      </c>
      <c r="I5867" t="s">
        <v>45</v>
      </c>
      <c r="J5867" t="s">
        <v>46</v>
      </c>
      <c r="K5867" t="s">
        <v>48</v>
      </c>
      <c r="L5867" t="s">
        <v>49</v>
      </c>
      <c r="M5867" t="s">
        <v>220</v>
      </c>
      <c r="N5867">
        <v>933</v>
      </c>
      <c r="O5867">
        <v>4.1884718000000001E-2</v>
      </c>
      <c r="P5867">
        <v>2.9787234999999999E-2</v>
      </c>
      <c r="Q5867" t="str">
        <f t="shared" si="182"/>
        <v>50+</v>
      </c>
      <c r="R5867" t="str">
        <f t="shared" si="183"/>
        <v>[GkIwZrXy1h2]|50+|Male|PLHIV_Attend.T|CY2025Q3</v>
      </c>
    </row>
    <row r="5868" spans="4:18" x14ac:dyDescent="0.2">
      <c r="D5868" t="s">
        <v>53</v>
      </c>
      <c r="E5868" t="s">
        <v>54</v>
      </c>
      <c r="F5868" t="s">
        <v>55</v>
      </c>
      <c r="G5868" t="s">
        <v>221</v>
      </c>
      <c r="H5868" t="s">
        <v>221</v>
      </c>
      <c r="I5868" t="s">
        <v>28</v>
      </c>
      <c r="J5868" t="s">
        <v>29</v>
      </c>
      <c r="K5868" t="s">
        <v>30</v>
      </c>
      <c r="L5868" t="s">
        <v>31</v>
      </c>
      <c r="M5868" t="s">
        <v>220</v>
      </c>
      <c r="N5868">
        <v>8</v>
      </c>
      <c r="O5868">
        <v>2.6431376999999999E-2</v>
      </c>
      <c r="P5868">
        <v>1.6264595E-2</v>
      </c>
      <c r="Q5868" t="str">
        <f t="shared" si="182"/>
        <v>&lt;01</v>
      </c>
      <c r="R5868" t="str">
        <f t="shared" si="183"/>
        <v>[cPtvxaZqXIH]|&lt;01|Female|PLHIV_Attend.T|CY2025Q3</v>
      </c>
    </row>
    <row r="5869" spans="4:18" x14ac:dyDescent="0.2">
      <c r="D5869" t="s">
        <v>53</v>
      </c>
      <c r="E5869" t="s">
        <v>54</v>
      </c>
      <c r="F5869" t="s">
        <v>55</v>
      </c>
      <c r="G5869" t="s">
        <v>221</v>
      </c>
      <c r="H5869" t="s">
        <v>221</v>
      </c>
      <c r="I5869" t="s">
        <v>33</v>
      </c>
      <c r="J5869" t="s">
        <v>34</v>
      </c>
      <c r="K5869" t="s">
        <v>30</v>
      </c>
      <c r="L5869" t="s">
        <v>31</v>
      </c>
      <c r="M5869" t="s">
        <v>220</v>
      </c>
      <c r="N5869">
        <v>146</v>
      </c>
      <c r="O5869">
        <v>3.9847966999999998E-2</v>
      </c>
      <c r="P5869">
        <v>1.6264595E-2</v>
      </c>
      <c r="Q5869" t="str">
        <f t="shared" si="182"/>
        <v>01-09</v>
      </c>
      <c r="R5869" t="str">
        <f t="shared" si="183"/>
        <v>[cPtvxaZqXIH]|01-09|Female|PLHIV_Attend.T|CY2025Q3</v>
      </c>
    </row>
    <row r="5870" spans="4:18" x14ac:dyDescent="0.2">
      <c r="D5870" t="s">
        <v>53</v>
      </c>
      <c r="E5870" t="s">
        <v>54</v>
      </c>
      <c r="F5870" t="s">
        <v>55</v>
      </c>
      <c r="G5870" t="s">
        <v>221</v>
      </c>
      <c r="H5870" t="s">
        <v>221</v>
      </c>
      <c r="I5870" t="s">
        <v>36</v>
      </c>
      <c r="J5870" t="s">
        <v>37</v>
      </c>
      <c r="K5870" t="s">
        <v>30</v>
      </c>
      <c r="L5870" t="s">
        <v>31</v>
      </c>
      <c r="M5870" t="s">
        <v>220</v>
      </c>
      <c r="N5870">
        <v>200</v>
      </c>
      <c r="O5870">
        <v>6.1676711000000002E-2</v>
      </c>
      <c r="P5870">
        <v>1.6264595E-2</v>
      </c>
      <c r="Q5870" t="str">
        <f t="shared" si="182"/>
        <v>10-14</v>
      </c>
      <c r="R5870" t="str">
        <f t="shared" si="183"/>
        <v>[cPtvxaZqXIH]|10-14|Female|PLHIV_Attend.T|CY2025Q3</v>
      </c>
    </row>
    <row r="5871" spans="4:18" x14ac:dyDescent="0.2">
      <c r="D5871" t="s">
        <v>53</v>
      </c>
      <c r="E5871" t="s">
        <v>54</v>
      </c>
      <c r="F5871" t="s">
        <v>55</v>
      </c>
      <c r="G5871" t="s">
        <v>221</v>
      </c>
      <c r="H5871" t="s">
        <v>221</v>
      </c>
      <c r="I5871" t="s">
        <v>38</v>
      </c>
      <c r="J5871" t="s">
        <v>39</v>
      </c>
      <c r="K5871" t="s">
        <v>30</v>
      </c>
      <c r="L5871" t="s">
        <v>31</v>
      </c>
      <c r="M5871" t="s">
        <v>220</v>
      </c>
      <c r="N5871">
        <v>784</v>
      </c>
      <c r="O5871">
        <v>5.6561400999999997E-2</v>
      </c>
      <c r="P5871">
        <v>1.6264595E-2</v>
      </c>
      <c r="Q5871" t="str">
        <f t="shared" si="182"/>
        <v>15-24</v>
      </c>
      <c r="R5871" t="str">
        <f t="shared" si="183"/>
        <v>[cPtvxaZqXIH]|15-24|Female|PLHIV_Attend.T|CY2025Q3</v>
      </c>
    </row>
    <row r="5872" spans="4:18" x14ac:dyDescent="0.2">
      <c r="D5872" t="s">
        <v>53</v>
      </c>
      <c r="E5872" t="s">
        <v>54</v>
      </c>
      <c r="F5872" t="s">
        <v>55</v>
      </c>
      <c r="G5872" t="s">
        <v>221</v>
      </c>
      <c r="H5872" t="s">
        <v>221</v>
      </c>
      <c r="I5872" t="s">
        <v>41</v>
      </c>
      <c r="J5872" t="s">
        <v>42</v>
      </c>
      <c r="K5872" t="s">
        <v>30</v>
      </c>
      <c r="L5872" t="s">
        <v>31</v>
      </c>
      <c r="M5872" t="s">
        <v>220</v>
      </c>
      <c r="N5872">
        <v>1832</v>
      </c>
      <c r="O5872">
        <v>3.9083598999999997E-2</v>
      </c>
      <c r="P5872">
        <v>1.6264595E-2</v>
      </c>
      <c r="Q5872" t="str">
        <f t="shared" si="182"/>
        <v>25-34</v>
      </c>
      <c r="R5872" t="str">
        <f t="shared" si="183"/>
        <v>[cPtvxaZqXIH]|25-34|Female|PLHIV_Attend.T|CY2025Q3</v>
      </c>
    </row>
    <row r="5873" spans="4:18" x14ac:dyDescent="0.2">
      <c r="D5873" t="s">
        <v>53</v>
      </c>
      <c r="E5873" t="s">
        <v>54</v>
      </c>
      <c r="F5873" t="s">
        <v>55</v>
      </c>
      <c r="G5873" t="s">
        <v>221</v>
      </c>
      <c r="H5873" t="s">
        <v>221</v>
      </c>
      <c r="I5873" t="s">
        <v>43</v>
      </c>
      <c r="J5873" t="s">
        <v>44</v>
      </c>
      <c r="K5873" t="s">
        <v>30</v>
      </c>
      <c r="L5873" t="s">
        <v>31</v>
      </c>
      <c r="M5873" t="s">
        <v>220</v>
      </c>
      <c r="N5873">
        <v>4996</v>
      </c>
      <c r="O5873">
        <v>2.2785418000000002E-2</v>
      </c>
      <c r="P5873">
        <v>1.6264595E-2</v>
      </c>
      <c r="Q5873" t="str">
        <f t="shared" si="182"/>
        <v>35-49</v>
      </c>
      <c r="R5873" t="str">
        <f t="shared" si="183"/>
        <v>[cPtvxaZqXIH]|35-49|Female|PLHIV_Attend.T|CY2025Q3</v>
      </c>
    </row>
    <row r="5874" spans="4:18" x14ac:dyDescent="0.2">
      <c r="D5874" t="s">
        <v>53</v>
      </c>
      <c r="E5874" t="s">
        <v>54</v>
      </c>
      <c r="F5874" t="s">
        <v>55</v>
      </c>
      <c r="G5874" t="s">
        <v>221</v>
      </c>
      <c r="H5874" t="s">
        <v>221</v>
      </c>
      <c r="I5874" t="s">
        <v>45</v>
      </c>
      <c r="J5874" t="s">
        <v>46</v>
      </c>
      <c r="K5874" t="s">
        <v>30</v>
      </c>
      <c r="L5874" t="s">
        <v>31</v>
      </c>
      <c r="M5874" t="s">
        <v>220</v>
      </c>
      <c r="N5874">
        <v>2488</v>
      </c>
      <c r="O5874">
        <v>3.6465665000000001E-2</v>
      </c>
      <c r="P5874">
        <v>1.6264595E-2</v>
      </c>
      <c r="Q5874" t="str">
        <f t="shared" si="182"/>
        <v>50+</v>
      </c>
      <c r="R5874" t="str">
        <f t="shared" si="183"/>
        <v>[cPtvxaZqXIH]|50+|Female|PLHIV_Attend.T|CY2025Q3</v>
      </c>
    </row>
    <row r="5875" spans="4:18" x14ac:dyDescent="0.2">
      <c r="D5875" t="s">
        <v>53</v>
      </c>
      <c r="E5875" t="s">
        <v>54</v>
      </c>
      <c r="F5875" t="s">
        <v>55</v>
      </c>
      <c r="G5875" t="s">
        <v>221</v>
      </c>
      <c r="H5875" t="s">
        <v>221</v>
      </c>
      <c r="I5875" t="s">
        <v>28</v>
      </c>
      <c r="J5875" t="s">
        <v>29</v>
      </c>
      <c r="K5875" t="s">
        <v>48</v>
      </c>
      <c r="L5875" t="s">
        <v>49</v>
      </c>
      <c r="M5875" t="s">
        <v>220</v>
      </c>
      <c r="N5875">
        <v>8</v>
      </c>
      <c r="O5875">
        <v>2.6338456999999999E-2</v>
      </c>
      <c r="P5875">
        <v>1.6264595E-2</v>
      </c>
      <c r="Q5875" t="str">
        <f t="shared" si="182"/>
        <v>&lt;01</v>
      </c>
      <c r="R5875" t="str">
        <f t="shared" si="183"/>
        <v>[cPtvxaZqXIH]|&lt;01|Male|PLHIV_Attend.T|CY2025Q3</v>
      </c>
    </row>
    <row r="5876" spans="4:18" x14ac:dyDescent="0.2">
      <c r="D5876" t="s">
        <v>53</v>
      </c>
      <c r="E5876" t="s">
        <v>54</v>
      </c>
      <c r="F5876" t="s">
        <v>55</v>
      </c>
      <c r="G5876" t="s">
        <v>221</v>
      </c>
      <c r="H5876" t="s">
        <v>221</v>
      </c>
      <c r="I5876" t="s">
        <v>33</v>
      </c>
      <c r="J5876" t="s">
        <v>34</v>
      </c>
      <c r="K5876" t="s">
        <v>48</v>
      </c>
      <c r="L5876" t="s">
        <v>49</v>
      </c>
      <c r="M5876" t="s">
        <v>220</v>
      </c>
      <c r="N5876">
        <v>146</v>
      </c>
      <c r="O5876">
        <v>3.9716261000000003E-2</v>
      </c>
      <c r="P5876">
        <v>1.6264595E-2</v>
      </c>
      <c r="Q5876" t="str">
        <f t="shared" si="182"/>
        <v>01-09</v>
      </c>
      <c r="R5876" t="str">
        <f t="shared" si="183"/>
        <v>[cPtvxaZqXIH]|01-09|Male|PLHIV_Attend.T|CY2025Q3</v>
      </c>
    </row>
    <row r="5877" spans="4:18" x14ac:dyDescent="0.2">
      <c r="D5877" t="s">
        <v>53</v>
      </c>
      <c r="E5877" t="s">
        <v>54</v>
      </c>
      <c r="F5877" t="s">
        <v>55</v>
      </c>
      <c r="G5877" t="s">
        <v>221</v>
      </c>
      <c r="H5877" t="s">
        <v>221</v>
      </c>
      <c r="I5877" t="s">
        <v>36</v>
      </c>
      <c r="J5877" t="s">
        <v>37</v>
      </c>
      <c r="K5877" t="s">
        <v>48</v>
      </c>
      <c r="L5877" t="s">
        <v>49</v>
      </c>
      <c r="M5877" t="s">
        <v>220</v>
      </c>
      <c r="N5877">
        <v>195</v>
      </c>
      <c r="O5877">
        <v>6.1651573000000001E-2</v>
      </c>
      <c r="P5877">
        <v>1.6264595E-2</v>
      </c>
      <c r="Q5877" t="str">
        <f t="shared" si="182"/>
        <v>10-14</v>
      </c>
      <c r="R5877" t="str">
        <f t="shared" si="183"/>
        <v>[cPtvxaZqXIH]|10-14|Male|PLHIV_Attend.T|CY2025Q3</v>
      </c>
    </row>
    <row r="5878" spans="4:18" x14ac:dyDescent="0.2">
      <c r="D5878" t="s">
        <v>53</v>
      </c>
      <c r="E5878" t="s">
        <v>54</v>
      </c>
      <c r="F5878" t="s">
        <v>55</v>
      </c>
      <c r="G5878" t="s">
        <v>221</v>
      </c>
      <c r="H5878" t="s">
        <v>221</v>
      </c>
      <c r="I5878" t="s">
        <v>38</v>
      </c>
      <c r="J5878" t="s">
        <v>39</v>
      </c>
      <c r="K5878" t="s">
        <v>48</v>
      </c>
      <c r="L5878" t="s">
        <v>49</v>
      </c>
      <c r="M5878" t="s">
        <v>220</v>
      </c>
      <c r="N5878">
        <v>563</v>
      </c>
      <c r="O5878">
        <v>6.6679183000000003E-2</v>
      </c>
      <c r="P5878">
        <v>1.6264595E-2</v>
      </c>
      <c r="Q5878" t="str">
        <f t="shared" si="182"/>
        <v>15-24</v>
      </c>
      <c r="R5878" t="str">
        <f t="shared" si="183"/>
        <v>[cPtvxaZqXIH]|15-24|Male|PLHIV_Attend.T|CY2025Q3</v>
      </c>
    </row>
    <row r="5879" spans="4:18" x14ac:dyDescent="0.2">
      <c r="D5879" t="s">
        <v>53</v>
      </c>
      <c r="E5879" t="s">
        <v>54</v>
      </c>
      <c r="F5879" t="s">
        <v>55</v>
      </c>
      <c r="G5879" t="s">
        <v>221</v>
      </c>
      <c r="H5879" t="s">
        <v>221</v>
      </c>
      <c r="I5879" t="s">
        <v>41</v>
      </c>
      <c r="J5879" t="s">
        <v>42</v>
      </c>
      <c r="K5879" t="s">
        <v>48</v>
      </c>
      <c r="L5879" t="s">
        <v>49</v>
      </c>
      <c r="M5879" t="s">
        <v>220</v>
      </c>
      <c r="N5879">
        <v>702</v>
      </c>
      <c r="O5879">
        <v>6.6603753000000002E-2</v>
      </c>
      <c r="P5879">
        <v>1.6264595E-2</v>
      </c>
      <c r="Q5879" t="str">
        <f t="shared" si="182"/>
        <v>25-34</v>
      </c>
      <c r="R5879" t="str">
        <f t="shared" si="183"/>
        <v>[cPtvxaZqXIH]|25-34|Male|PLHIV_Attend.T|CY2025Q3</v>
      </c>
    </row>
    <row r="5880" spans="4:18" x14ac:dyDescent="0.2">
      <c r="D5880" t="s">
        <v>53</v>
      </c>
      <c r="E5880" t="s">
        <v>54</v>
      </c>
      <c r="F5880" t="s">
        <v>55</v>
      </c>
      <c r="G5880" t="s">
        <v>221</v>
      </c>
      <c r="H5880" t="s">
        <v>221</v>
      </c>
      <c r="I5880" t="s">
        <v>43</v>
      </c>
      <c r="J5880" t="s">
        <v>44</v>
      </c>
      <c r="K5880" t="s">
        <v>48</v>
      </c>
      <c r="L5880" t="s">
        <v>49</v>
      </c>
      <c r="M5880" t="s">
        <v>220</v>
      </c>
      <c r="N5880">
        <v>2669</v>
      </c>
      <c r="O5880">
        <v>3.4575544E-2</v>
      </c>
      <c r="P5880">
        <v>1.6264595E-2</v>
      </c>
      <c r="Q5880" t="str">
        <f t="shared" si="182"/>
        <v>35-49</v>
      </c>
      <c r="R5880" t="str">
        <f t="shared" si="183"/>
        <v>[cPtvxaZqXIH]|35-49|Male|PLHIV_Attend.T|CY2025Q3</v>
      </c>
    </row>
    <row r="5881" spans="4:18" x14ac:dyDescent="0.2">
      <c r="D5881" t="s">
        <v>53</v>
      </c>
      <c r="E5881" t="s">
        <v>54</v>
      </c>
      <c r="F5881" t="s">
        <v>55</v>
      </c>
      <c r="G5881" t="s">
        <v>221</v>
      </c>
      <c r="H5881" t="s">
        <v>221</v>
      </c>
      <c r="I5881" t="s">
        <v>45</v>
      </c>
      <c r="J5881" t="s">
        <v>46</v>
      </c>
      <c r="K5881" t="s">
        <v>48</v>
      </c>
      <c r="L5881" t="s">
        <v>49</v>
      </c>
      <c r="M5881" t="s">
        <v>220</v>
      </c>
      <c r="N5881">
        <v>2123</v>
      </c>
      <c r="O5881">
        <v>3.4788064E-2</v>
      </c>
      <c r="P5881">
        <v>1.6264595E-2</v>
      </c>
      <c r="Q5881" t="str">
        <f t="shared" si="182"/>
        <v>50+</v>
      </c>
      <c r="R5881" t="str">
        <f t="shared" si="183"/>
        <v>[cPtvxaZqXIH]|50+|Male|PLHIV_Attend.T|CY2025Q3</v>
      </c>
    </row>
    <row r="5882" spans="4:18" x14ac:dyDescent="0.2">
      <c r="D5882" t="s">
        <v>60</v>
      </c>
      <c r="E5882" t="s">
        <v>61</v>
      </c>
      <c r="F5882" t="s">
        <v>62</v>
      </c>
      <c r="G5882" t="s">
        <v>221</v>
      </c>
      <c r="H5882" t="s">
        <v>221</v>
      </c>
      <c r="I5882" t="s">
        <v>28</v>
      </c>
      <c r="J5882" t="s">
        <v>29</v>
      </c>
      <c r="K5882" t="s">
        <v>30</v>
      </c>
      <c r="L5882" t="s">
        <v>31</v>
      </c>
      <c r="M5882" t="s">
        <v>220</v>
      </c>
      <c r="N5882">
        <v>6</v>
      </c>
      <c r="O5882">
        <v>3.0310431999999998E-2</v>
      </c>
      <c r="P5882">
        <v>2.4345881E-2</v>
      </c>
      <c r="Q5882" t="str">
        <f t="shared" si="182"/>
        <v>&lt;01</v>
      </c>
      <c r="R5882" t="str">
        <f t="shared" si="183"/>
        <v>[E7zpfyBt7Tw]|&lt;01|Female|PLHIV_Attend.T|CY2025Q3</v>
      </c>
    </row>
    <row r="5883" spans="4:18" x14ac:dyDescent="0.2">
      <c r="D5883" t="s">
        <v>60</v>
      </c>
      <c r="E5883" t="s">
        <v>61</v>
      </c>
      <c r="F5883" t="s">
        <v>62</v>
      </c>
      <c r="G5883" t="s">
        <v>221</v>
      </c>
      <c r="H5883" t="s">
        <v>221</v>
      </c>
      <c r="I5883" t="s">
        <v>33</v>
      </c>
      <c r="J5883" t="s">
        <v>34</v>
      </c>
      <c r="K5883" t="s">
        <v>30</v>
      </c>
      <c r="L5883" t="s">
        <v>31</v>
      </c>
      <c r="M5883" t="s">
        <v>220</v>
      </c>
      <c r="N5883">
        <v>104</v>
      </c>
      <c r="O5883">
        <v>3.7287476999999999E-2</v>
      </c>
      <c r="P5883">
        <v>2.4345881E-2</v>
      </c>
      <c r="Q5883" t="str">
        <f t="shared" si="182"/>
        <v>01-09</v>
      </c>
      <c r="R5883" t="str">
        <f t="shared" si="183"/>
        <v>[E7zpfyBt7Tw]|01-09|Female|PLHIV_Attend.T|CY2025Q3</v>
      </c>
    </row>
    <row r="5884" spans="4:18" x14ac:dyDescent="0.2">
      <c r="D5884" t="s">
        <v>60</v>
      </c>
      <c r="E5884" t="s">
        <v>61</v>
      </c>
      <c r="F5884" t="s">
        <v>62</v>
      </c>
      <c r="G5884" t="s">
        <v>221</v>
      </c>
      <c r="H5884" t="s">
        <v>221</v>
      </c>
      <c r="I5884" t="s">
        <v>36</v>
      </c>
      <c r="J5884" t="s">
        <v>37</v>
      </c>
      <c r="K5884" t="s">
        <v>30</v>
      </c>
      <c r="L5884" t="s">
        <v>31</v>
      </c>
      <c r="M5884" t="s">
        <v>220</v>
      </c>
      <c r="N5884">
        <v>143</v>
      </c>
      <c r="O5884">
        <v>4.9119313999999997E-2</v>
      </c>
      <c r="P5884">
        <v>2.4345881E-2</v>
      </c>
      <c r="Q5884" t="str">
        <f t="shared" si="182"/>
        <v>10-14</v>
      </c>
      <c r="R5884" t="str">
        <f t="shared" si="183"/>
        <v>[E7zpfyBt7Tw]|10-14|Female|PLHIV_Attend.T|CY2025Q3</v>
      </c>
    </row>
    <row r="5885" spans="4:18" x14ac:dyDescent="0.2">
      <c r="D5885" t="s">
        <v>60</v>
      </c>
      <c r="E5885" t="s">
        <v>61</v>
      </c>
      <c r="F5885" t="s">
        <v>62</v>
      </c>
      <c r="G5885" t="s">
        <v>221</v>
      </c>
      <c r="H5885" t="s">
        <v>221</v>
      </c>
      <c r="I5885" t="s">
        <v>38</v>
      </c>
      <c r="J5885" t="s">
        <v>39</v>
      </c>
      <c r="K5885" t="s">
        <v>30</v>
      </c>
      <c r="L5885" t="s">
        <v>31</v>
      </c>
      <c r="M5885" t="s">
        <v>220</v>
      </c>
      <c r="N5885">
        <v>574</v>
      </c>
      <c r="O5885">
        <v>5.6656607999999997E-2</v>
      </c>
      <c r="P5885">
        <v>2.4345881E-2</v>
      </c>
      <c r="Q5885" t="str">
        <f t="shared" si="182"/>
        <v>15-24</v>
      </c>
      <c r="R5885" t="str">
        <f t="shared" si="183"/>
        <v>[E7zpfyBt7Tw]|15-24|Female|PLHIV_Attend.T|CY2025Q3</v>
      </c>
    </row>
    <row r="5886" spans="4:18" x14ac:dyDescent="0.2">
      <c r="D5886" t="s">
        <v>60</v>
      </c>
      <c r="E5886" t="s">
        <v>61</v>
      </c>
      <c r="F5886" t="s">
        <v>62</v>
      </c>
      <c r="G5886" t="s">
        <v>221</v>
      </c>
      <c r="H5886" t="s">
        <v>221</v>
      </c>
      <c r="I5886" t="s">
        <v>41</v>
      </c>
      <c r="J5886" t="s">
        <v>42</v>
      </c>
      <c r="K5886" t="s">
        <v>30</v>
      </c>
      <c r="L5886" t="s">
        <v>31</v>
      </c>
      <c r="M5886" t="s">
        <v>220</v>
      </c>
      <c r="N5886">
        <v>1263</v>
      </c>
      <c r="O5886">
        <v>4.3315046000000003E-2</v>
      </c>
      <c r="P5886">
        <v>2.4345881E-2</v>
      </c>
      <c r="Q5886" t="str">
        <f t="shared" si="182"/>
        <v>25-34</v>
      </c>
      <c r="R5886" t="str">
        <f t="shared" si="183"/>
        <v>[E7zpfyBt7Tw]|25-34|Female|PLHIV_Attend.T|CY2025Q3</v>
      </c>
    </row>
    <row r="5887" spans="4:18" x14ac:dyDescent="0.2">
      <c r="D5887" t="s">
        <v>60</v>
      </c>
      <c r="E5887" t="s">
        <v>61</v>
      </c>
      <c r="F5887" t="s">
        <v>62</v>
      </c>
      <c r="G5887" t="s">
        <v>221</v>
      </c>
      <c r="H5887" t="s">
        <v>221</v>
      </c>
      <c r="I5887" t="s">
        <v>43</v>
      </c>
      <c r="J5887" t="s">
        <v>44</v>
      </c>
      <c r="K5887" t="s">
        <v>30</v>
      </c>
      <c r="L5887" t="s">
        <v>31</v>
      </c>
      <c r="M5887" t="s">
        <v>220</v>
      </c>
      <c r="N5887">
        <v>3383</v>
      </c>
      <c r="O5887">
        <v>3.1065239000000001E-2</v>
      </c>
      <c r="P5887">
        <v>2.4345881E-2</v>
      </c>
      <c r="Q5887" t="str">
        <f t="shared" si="182"/>
        <v>35-49</v>
      </c>
      <c r="R5887" t="str">
        <f t="shared" si="183"/>
        <v>[E7zpfyBt7Tw]|35-49|Female|PLHIV_Attend.T|CY2025Q3</v>
      </c>
    </row>
    <row r="5888" spans="4:18" x14ac:dyDescent="0.2">
      <c r="D5888" t="s">
        <v>60</v>
      </c>
      <c r="E5888" t="s">
        <v>61</v>
      </c>
      <c r="F5888" t="s">
        <v>62</v>
      </c>
      <c r="G5888" t="s">
        <v>221</v>
      </c>
      <c r="H5888" t="s">
        <v>221</v>
      </c>
      <c r="I5888" t="s">
        <v>45</v>
      </c>
      <c r="J5888" t="s">
        <v>46</v>
      </c>
      <c r="K5888" t="s">
        <v>30</v>
      </c>
      <c r="L5888" t="s">
        <v>31</v>
      </c>
      <c r="M5888" t="s">
        <v>220</v>
      </c>
      <c r="N5888">
        <v>1924</v>
      </c>
      <c r="O5888">
        <v>3.9108331000000003E-2</v>
      </c>
      <c r="P5888">
        <v>2.4345881E-2</v>
      </c>
      <c r="Q5888" t="str">
        <f t="shared" si="182"/>
        <v>50+</v>
      </c>
      <c r="R5888" t="str">
        <f t="shared" si="183"/>
        <v>[E7zpfyBt7Tw]|50+|Female|PLHIV_Attend.T|CY2025Q3</v>
      </c>
    </row>
    <row r="5889" spans="4:18" x14ac:dyDescent="0.2">
      <c r="D5889" t="s">
        <v>60</v>
      </c>
      <c r="E5889" t="s">
        <v>61</v>
      </c>
      <c r="F5889" t="s">
        <v>62</v>
      </c>
      <c r="G5889" t="s">
        <v>221</v>
      </c>
      <c r="H5889" t="s">
        <v>221</v>
      </c>
      <c r="I5889" t="s">
        <v>28</v>
      </c>
      <c r="J5889" t="s">
        <v>29</v>
      </c>
      <c r="K5889" t="s">
        <v>48</v>
      </c>
      <c r="L5889" t="s">
        <v>49</v>
      </c>
      <c r="M5889" t="s">
        <v>220</v>
      </c>
      <c r="N5889">
        <v>6</v>
      </c>
      <c r="O5889">
        <v>3.0374966999999999E-2</v>
      </c>
      <c r="P5889">
        <v>2.4345881E-2</v>
      </c>
      <c r="Q5889" t="str">
        <f t="shared" si="182"/>
        <v>&lt;01</v>
      </c>
      <c r="R5889" t="str">
        <f t="shared" si="183"/>
        <v>[E7zpfyBt7Tw]|&lt;01|Male|PLHIV_Attend.T|CY2025Q3</v>
      </c>
    </row>
    <row r="5890" spans="4:18" x14ac:dyDescent="0.2">
      <c r="D5890" t="s">
        <v>60</v>
      </c>
      <c r="E5890" t="s">
        <v>61</v>
      </c>
      <c r="F5890" t="s">
        <v>62</v>
      </c>
      <c r="G5890" t="s">
        <v>221</v>
      </c>
      <c r="H5890" t="s">
        <v>221</v>
      </c>
      <c r="I5890" t="s">
        <v>33</v>
      </c>
      <c r="J5890" t="s">
        <v>34</v>
      </c>
      <c r="K5890" t="s">
        <v>48</v>
      </c>
      <c r="L5890" t="s">
        <v>49</v>
      </c>
      <c r="M5890" t="s">
        <v>220</v>
      </c>
      <c r="N5890">
        <v>106</v>
      </c>
      <c r="O5890">
        <v>3.7335508000000003E-2</v>
      </c>
      <c r="P5890">
        <v>2.4345881E-2</v>
      </c>
      <c r="Q5890" t="str">
        <f t="shared" si="182"/>
        <v>01-09</v>
      </c>
      <c r="R5890" t="str">
        <f t="shared" si="183"/>
        <v>[E7zpfyBt7Tw]|01-09|Male|PLHIV_Attend.T|CY2025Q3</v>
      </c>
    </row>
    <row r="5891" spans="4:18" x14ac:dyDescent="0.2">
      <c r="D5891" t="s">
        <v>60</v>
      </c>
      <c r="E5891" t="s">
        <v>61</v>
      </c>
      <c r="F5891" t="s">
        <v>62</v>
      </c>
      <c r="G5891" t="s">
        <v>221</v>
      </c>
      <c r="H5891" t="s">
        <v>221</v>
      </c>
      <c r="I5891" t="s">
        <v>36</v>
      </c>
      <c r="J5891" t="s">
        <v>37</v>
      </c>
      <c r="K5891" t="s">
        <v>48</v>
      </c>
      <c r="L5891" t="s">
        <v>49</v>
      </c>
      <c r="M5891" t="s">
        <v>220</v>
      </c>
      <c r="N5891">
        <v>143</v>
      </c>
      <c r="O5891">
        <v>4.9131749000000002E-2</v>
      </c>
      <c r="P5891">
        <v>2.4345881E-2</v>
      </c>
      <c r="Q5891" t="str">
        <f t="shared" ref="Q5891:Q5954" si="184">SUBSTITUTE(SUBSTITUTE($I5891,CHAR(61),""),CHAR(34),"")</f>
        <v>10-14</v>
      </c>
      <c r="R5891" t="str">
        <f t="shared" ref="R5891:R5954" si="185">IF($D5891&lt;&gt;"","["&amp;$E5891&amp;"]"&amp;"|"&amp;$Q5891&amp;"|"&amp;$K5891&amp;"|"&amp;$G5891&amp;"|"&amp;IF($G5891="TX_CURR_SUBNAT.R","CY2023Q4",$M5891),"")</f>
        <v>[E7zpfyBt7Tw]|10-14|Male|PLHIV_Attend.T|CY2025Q3</v>
      </c>
    </row>
    <row r="5892" spans="4:18" x14ac:dyDescent="0.2">
      <c r="D5892" t="s">
        <v>60</v>
      </c>
      <c r="E5892" t="s">
        <v>61</v>
      </c>
      <c r="F5892" t="s">
        <v>62</v>
      </c>
      <c r="G5892" t="s">
        <v>221</v>
      </c>
      <c r="H5892" t="s">
        <v>221</v>
      </c>
      <c r="I5892" t="s">
        <v>38</v>
      </c>
      <c r="J5892" t="s">
        <v>39</v>
      </c>
      <c r="K5892" t="s">
        <v>48</v>
      </c>
      <c r="L5892" t="s">
        <v>49</v>
      </c>
      <c r="M5892" t="s">
        <v>220</v>
      </c>
      <c r="N5892">
        <v>450</v>
      </c>
      <c r="O5892">
        <v>6.8806793000000005E-2</v>
      </c>
      <c r="P5892">
        <v>2.4345881E-2</v>
      </c>
      <c r="Q5892" t="str">
        <f t="shared" si="184"/>
        <v>15-24</v>
      </c>
      <c r="R5892" t="str">
        <f t="shared" si="185"/>
        <v>[E7zpfyBt7Tw]|15-24|Male|PLHIV_Attend.T|CY2025Q3</v>
      </c>
    </row>
    <row r="5893" spans="4:18" x14ac:dyDescent="0.2">
      <c r="D5893" t="s">
        <v>60</v>
      </c>
      <c r="E5893" t="s">
        <v>61</v>
      </c>
      <c r="F5893" t="s">
        <v>62</v>
      </c>
      <c r="G5893" t="s">
        <v>221</v>
      </c>
      <c r="H5893" t="s">
        <v>221</v>
      </c>
      <c r="I5893" t="s">
        <v>41</v>
      </c>
      <c r="J5893" t="s">
        <v>42</v>
      </c>
      <c r="K5893" t="s">
        <v>48</v>
      </c>
      <c r="L5893" t="s">
        <v>49</v>
      </c>
      <c r="M5893" t="s">
        <v>220</v>
      </c>
      <c r="N5893">
        <v>563</v>
      </c>
      <c r="O5893">
        <v>7.0320308999999998E-2</v>
      </c>
      <c r="P5893">
        <v>2.4345881E-2</v>
      </c>
      <c r="Q5893" t="str">
        <f t="shared" si="184"/>
        <v>25-34</v>
      </c>
      <c r="R5893" t="str">
        <f t="shared" si="185"/>
        <v>[E7zpfyBt7Tw]|25-34|Male|PLHIV_Attend.T|CY2025Q3</v>
      </c>
    </row>
    <row r="5894" spans="4:18" x14ac:dyDescent="0.2">
      <c r="D5894" t="s">
        <v>60</v>
      </c>
      <c r="E5894" t="s">
        <v>61</v>
      </c>
      <c r="F5894" t="s">
        <v>62</v>
      </c>
      <c r="G5894" t="s">
        <v>221</v>
      </c>
      <c r="H5894" t="s">
        <v>221</v>
      </c>
      <c r="I5894" t="s">
        <v>43</v>
      </c>
      <c r="J5894" t="s">
        <v>44</v>
      </c>
      <c r="K5894" t="s">
        <v>48</v>
      </c>
      <c r="L5894" t="s">
        <v>49</v>
      </c>
      <c r="M5894" t="s">
        <v>220</v>
      </c>
      <c r="N5894">
        <v>2034</v>
      </c>
      <c r="O5894">
        <v>4.0607132999999997E-2</v>
      </c>
      <c r="P5894">
        <v>2.4345881E-2</v>
      </c>
      <c r="Q5894" t="str">
        <f t="shared" si="184"/>
        <v>35-49</v>
      </c>
      <c r="R5894" t="str">
        <f t="shared" si="185"/>
        <v>[E7zpfyBt7Tw]|35-49|Male|PLHIV_Attend.T|CY2025Q3</v>
      </c>
    </row>
    <row r="5895" spans="4:18" x14ac:dyDescent="0.2">
      <c r="D5895" t="s">
        <v>60</v>
      </c>
      <c r="E5895" t="s">
        <v>61</v>
      </c>
      <c r="F5895" t="s">
        <v>62</v>
      </c>
      <c r="G5895" t="s">
        <v>221</v>
      </c>
      <c r="H5895" t="s">
        <v>221</v>
      </c>
      <c r="I5895" t="s">
        <v>45</v>
      </c>
      <c r="J5895" t="s">
        <v>46</v>
      </c>
      <c r="K5895" t="s">
        <v>48</v>
      </c>
      <c r="L5895" t="s">
        <v>49</v>
      </c>
      <c r="M5895" t="s">
        <v>220</v>
      </c>
      <c r="N5895">
        <v>1802</v>
      </c>
      <c r="O5895">
        <v>3.8993221000000002E-2</v>
      </c>
      <c r="P5895">
        <v>2.4345881E-2</v>
      </c>
      <c r="Q5895" t="str">
        <f t="shared" si="184"/>
        <v>50+</v>
      </c>
      <c r="R5895" t="str">
        <f t="shared" si="185"/>
        <v>[E7zpfyBt7Tw]|50+|Male|PLHIV_Attend.T|CY2025Q3</v>
      </c>
    </row>
    <row r="5896" spans="4:18" x14ac:dyDescent="0.2">
      <c r="D5896" t="s">
        <v>63</v>
      </c>
      <c r="E5896" t="s">
        <v>64</v>
      </c>
      <c r="F5896" t="s">
        <v>65</v>
      </c>
      <c r="G5896" t="s">
        <v>221</v>
      </c>
      <c r="H5896" t="s">
        <v>221</v>
      </c>
      <c r="I5896" t="s">
        <v>28</v>
      </c>
      <c r="J5896" t="s">
        <v>29</v>
      </c>
      <c r="K5896" t="s">
        <v>30</v>
      </c>
      <c r="L5896" t="s">
        <v>31</v>
      </c>
      <c r="M5896" t="s">
        <v>220</v>
      </c>
      <c r="N5896">
        <v>4</v>
      </c>
      <c r="O5896">
        <v>2.9457982000000001E-2</v>
      </c>
      <c r="P5896">
        <v>2.2435195000000002E-2</v>
      </c>
      <c r="Q5896" t="str">
        <f t="shared" si="184"/>
        <v>&lt;01</v>
      </c>
      <c r="R5896" t="str">
        <f t="shared" si="185"/>
        <v>[lPTyjLi4w3d]|&lt;01|Female|PLHIV_Attend.T|CY2025Q3</v>
      </c>
    </row>
    <row r="5897" spans="4:18" x14ac:dyDescent="0.2">
      <c r="D5897" t="s">
        <v>63</v>
      </c>
      <c r="E5897" t="s">
        <v>64</v>
      </c>
      <c r="F5897" t="s">
        <v>65</v>
      </c>
      <c r="G5897" t="s">
        <v>221</v>
      </c>
      <c r="H5897" t="s">
        <v>221</v>
      </c>
      <c r="I5897" t="s">
        <v>33</v>
      </c>
      <c r="J5897" t="s">
        <v>34</v>
      </c>
      <c r="K5897" t="s">
        <v>30</v>
      </c>
      <c r="L5897" t="s">
        <v>31</v>
      </c>
      <c r="M5897" t="s">
        <v>220</v>
      </c>
      <c r="N5897">
        <v>80</v>
      </c>
      <c r="O5897">
        <v>3.7208052999999998E-2</v>
      </c>
      <c r="P5897">
        <v>2.2435195000000002E-2</v>
      </c>
      <c r="Q5897" t="str">
        <f t="shared" si="184"/>
        <v>01-09</v>
      </c>
      <c r="R5897" t="str">
        <f t="shared" si="185"/>
        <v>[lPTyjLi4w3d]|01-09|Female|PLHIV_Attend.T|CY2025Q3</v>
      </c>
    </row>
    <row r="5898" spans="4:18" x14ac:dyDescent="0.2">
      <c r="D5898" t="s">
        <v>63</v>
      </c>
      <c r="E5898" t="s">
        <v>64</v>
      </c>
      <c r="F5898" t="s">
        <v>65</v>
      </c>
      <c r="G5898" t="s">
        <v>221</v>
      </c>
      <c r="H5898" t="s">
        <v>221</v>
      </c>
      <c r="I5898" t="s">
        <v>36</v>
      </c>
      <c r="J5898" t="s">
        <v>37</v>
      </c>
      <c r="K5898" t="s">
        <v>30</v>
      </c>
      <c r="L5898" t="s">
        <v>31</v>
      </c>
      <c r="M5898" t="s">
        <v>220</v>
      </c>
      <c r="N5898">
        <v>108</v>
      </c>
      <c r="O5898">
        <v>5.0516025999999999E-2</v>
      </c>
      <c r="P5898">
        <v>2.2435195000000002E-2</v>
      </c>
      <c r="Q5898" t="str">
        <f t="shared" si="184"/>
        <v>10-14</v>
      </c>
      <c r="R5898" t="str">
        <f t="shared" si="185"/>
        <v>[lPTyjLi4w3d]|10-14|Female|PLHIV_Attend.T|CY2025Q3</v>
      </c>
    </row>
    <row r="5899" spans="4:18" x14ac:dyDescent="0.2">
      <c r="D5899" t="s">
        <v>63</v>
      </c>
      <c r="E5899" t="s">
        <v>64</v>
      </c>
      <c r="F5899" t="s">
        <v>65</v>
      </c>
      <c r="G5899" t="s">
        <v>221</v>
      </c>
      <c r="H5899" t="s">
        <v>221</v>
      </c>
      <c r="I5899" t="s">
        <v>38</v>
      </c>
      <c r="J5899" t="s">
        <v>39</v>
      </c>
      <c r="K5899" t="s">
        <v>30</v>
      </c>
      <c r="L5899" t="s">
        <v>31</v>
      </c>
      <c r="M5899" t="s">
        <v>220</v>
      </c>
      <c r="N5899">
        <v>411</v>
      </c>
      <c r="O5899">
        <v>5.7541250000000002E-2</v>
      </c>
      <c r="P5899">
        <v>2.2435195000000002E-2</v>
      </c>
      <c r="Q5899" t="str">
        <f t="shared" si="184"/>
        <v>15-24</v>
      </c>
      <c r="R5899" t="str">
        <f t="shared" si="185"/>
        <v>[lPTyjLi4w3d]|15-24|Female|PLHIV_Attend.T|CY2025Q3</v>
      </c>
    </row>
    <row r="5900" spans="4:18" x14ac:dyDescent="0.2">
      <c r="D5900" t="s">
        <v>63</v>
      </c>
      <c r="E5900" t="s">
        <v>64</v>
      </c>
      <c r="F5900" t="s">
        <v>65</v>
      </c>
      <c r="G5900" t="s">
        <v>221</v>
      </c>
      <c r="H5900" t="s">
        <v>221</v>
      </c>
      <c r="I5900" t="s">
        <v>41</v>
      </c>
      <c r="J5900" t="s">
        <v>42</v>
      </c>
      <c r="K5900" t="s">
        <v>30</v>
      </c>
      <c r="L5900" t="s">
        <v>31</v>
      </c>
      <c r="M5900" t="s">
        <v>220</v>
      </c>
      <c r="N5900">
        <v>957</v>
      </c>
      <c r="O5900">
        <v>4.3256280000000001E-2</v>
      </c>
      <c r="P5900">
        <v>2.2435195000000002E-2</v>
      </c>
      <c r="Q5900" t="str">
        <f t="shared" si="184"/>
        <v>25-34</v>
      </c>
      <c r="R5900" t="str">
        <f t="shared" si="185"/>
        <v>[lPTyjLi4w3d]|25-34|Female|PLHIV_Attend.T|CY2025Q3</v>
      </c>
    </row>
    <row r="5901" spans="4:18" x14ac:dyDescent="0.2">
      <c r="D5901" t="s">
        <v>63</v>
      </c>
      <c r="E5901" t="s">
        <v>64</v>
      </c>
      <c r="F5901" t="s">
        <v>65</v>
      </c>
      <c r="G5901" t="s">
        <v>221</v>
      </c>
      <c r="H5901" t="s">
        <v>221</v>
      </c>
      <c r="I5901" t="s">
        <v>43</v>
      </c>
      <c r="J5901" t="s">
        <v>44</v>
      </c>
      <c r="K5901" t="s">
        <v>30</v>
      </c>
      <c r="L5901" t="s">
        <v>31</v>
      </c>
      <c r="M5901" t="s">
        <v>220</v>
      </c>
      <c r="N5901">
        <v>2684</v>
      </c>
      <c r="O5901">
        <v>2.8431707000000001E-2</v>
      </c>
      <c r="P5901">
        <v>2.2435195000000002E-2</v>
      </c>
      <c r="Q5901" t="str">
        <f t="shared" si="184"/>
        <v>35-49</v>
      </c>
      <c r="R5901" t="str">
        <f t="shared" si="185"/>
        <v>[lPTyjLi4w3d]|35-49|Female|PLHIV_Attend.T|CY2025Q3</v>
      </c>
    </row>
    <row r="5902" spans="4:18" x14ac:dyDescent="0.2">
      <c r="D5902" t="s">
        <v>63</v>
      </c>
      <c r="E5902" t="s">
        <v>64</v>
      </c>
      <c r="F5902" t="s">
        <v>65</v>
      </c>
      <c r="G5902" t="s">
        <v>221</v>
      </c>
      <c r="H5902" t="s">
        <v>221</v>
      </c>
      <c r="I5902" t="s">
        <v>45</v>
      </c>
      <c r="J5902" t="s">
        <v>46</v>
      </c>
      <c r="K5902" t="s">
        <v>30</v>
      </c>
      <c r="L5902" t="s">
        <v>31</v>
      </c>
      <c r="M5902" t="s">
        <v>220</v>
      </c>
      <c r="N5902">
        <v>1398</v>
      </c>
      <c r="O5902">
        <v>3.9907801E-2</v>
      </c>
      <c r="P5902">
        <v>2.2435195000000002E-2</v>
      </c>
      <c r="Q5902" t="str">
        <f t="shared" si="184"/>
        <v>50+</v>
      </c>
      <c r="R5902" t="str">
        <f t="shared" si="185"/>
        <v>[lPTyjLi4w3d]|50+|Female|PLHIV_Attend.T|CY2025Q3</v>
      </c>
    </row>
    <row r="5903" spans="4:18" x14ac:dyDescent="0.2">
      <c r="D5903" t="s">
        <v>63</v>
      </c>
      <c r="E5903" t="s">
        <v>64</v>
      </c>
      <c r="F5903" t="s">
        <v>65</v>
      </c>
      <c r="G5903" t="s">
        <v>221</v>
      </c>
      <c r="H5903" t="s">
        <v>221</v>
      </c>
      <c r="I5903" t="s">
        <v>28</v>
      </c>
      <c r="J5903" t="s">
        <v>29</v>
      </c>
      <c r="K5903" t="s">
        <v>48</v>
      </c>
      <c r="L5903" t="s">
        <v>49</v>
      </c>
      <c r="M5903" t="s">
        <v>220</v>
      </c>
      <c r="N5903">
        <v>4</v>
      </c>
      <c r="O5903">
        <v>2.9530873999999999E-2</v>
      </c>
      <c r="P5903">
        <v>2.2435195000000002E-2</v>
      </c>
      <c r="Q5903" t="str">
        <f t="shared" si="184"/>
        <v>&lt;01</v>
      </c>
      <c r="R5903" t="str">
        <f t="shared" si="185"/>
        <v>[lPTyjLi4w3d]|&lt;01|Male|PLHIV_Attend.T|CY2025Q3</v>
      </c>
    </row>
    <row r="5904" spans="4:18" x14ac:dyDescent="0.2">
      <c r="D5904" t="s">
        <v>63</v>
      </c>
      <c r="E5904" t="s">
        <v>64</v>
      </c>
      <c r="F5904" t="s">
        <v>65</v>
      </c>
      <c r="G5904" t="s">
        <v>221</v>
      </c>
      <c r="H5904" t="s">
        <v>221</v>
      </c>
      <c r="I5904" t="s">
        <v>33</v>
      </c>
      <c r="J5904" t="s">
        <v>34</v>
      </c>
      <c r="K5904" t="s">
        <v>48</v>
      </c>
      <c r="L5904" t="s">
        <v>49</v>
      </c>
      <c r="M5904" t="s">
        <v>220</v>
      </c>
      <c r="N5904">
        <v>80</v>
      </c>
      <c r="O5904">
        <v>3.7273148999999998E-2</v>
      </c>
      <c r="P5904">
        <v>2.2435195000000002E-2</v>
      </c>
      <c r="Q5904" t="str">
        <f t="shared" si="184"/>
        <v>01-09</v>
      </c>
      <c r="R5904" t="str">
        <f t="shared" si="185"/>
        <v>[lPTyjLi4w3d]|01-09|Male|PLHIV_Attend.T|CY2025Q3</v>
      </c>
    </row>
    <row r="5905" spans="4:18" x14ac:dyDescent="0.2">
      <c r="D5905" t="s">
        <v>63</v>
      </c>
      <c r="E5905" t="s">
        <v>64</v>
      </c>
      <c r="F5905" t="s">
        <v>65</v>
      </c>
      <c r="G5905" t="s">
        <v>221</v>
      </c>
      <c r="H5905" t="s">
        <v>221</v>
      </c>
      <c r="I5905" t="s">
        <v>36</v>
      </c>
      <c r="J5905" t="s">
        <v>37</v>
      </c>
      <c r="K5905" t="s">
        <v>48</v>
      </c>
      <c r="L5905" t="s">
        <v>49</v>
      </c>
      <c r="M5905" t="s">
        <v>220</v>
      </c>
      <c r="N5905">
        <v>107</v>
      </c>
      <c r="O5905">
        <v>5.0505067000000001E-2</v>
      </c>
      <c r="P5905">
        <v>2.2435195000000002E-2</v>
      </c>
      <c r="Q5905" t="str">
        <f t="shared" si="184"/>
        <v>10-14</v>
      </c>
      <c r="R5905" t="str">
        <f t="shared" si="185"/>
        <v>[lPTyjLi4w3d]|10-14|Male|PLHIV_Attend.T|CY2025Q3</v>
      </c>
    </row>
    <row r="5906" spans="4:18" x14ac:dyDescent="0.2">
      <c r="D5906" t="s">
        <v>63</v>
      </c>
      <c r="E5906" t="s">
        <v>64</v>
      </c>
      <c r="F5906" t="s">
        <v>65</v>
      </c>
      <c r="G5906" t="s">
        <v>221</v>
      </c>
      <c r="H5906" t="s">
        <v>221</v>
      </c>
      <c r="I5906" t="s">
        <v>38</v>
      </c>
      <c r="J5906" t="s">
        <v>39</v>
      </c>
      <c r="K5906" t="s">
        <v>48</v>
      </c>
      <c r="L5906" t="s">
        <v>49</v>
      </c>
      <c r="M5906" t="s">
        <v>220</v>
      </c>
      <c r="N5906">
        <v>316</v>
      </c>
      <c r="O5906">
        <v>6.7495772999999995E-2</v>
      </c>
      <c r="P5906">
        <v>2.2435195000000002E-2</v>
      </c>
      <c r="Q5906" t="str">
        <f t="shared" si="184"/>
        <v>15-24</v>
      </c>
      <c r="R5906" t="str">
        <f t="shared" si="185"/>
        <v>[lPTyjLi4w3d]|15-24|Male|PLHIV_Attend.T|CY2025Q3</v>
      </c>
    </row>
    <row r="5907" spans="4:18" x14ac:dyDescent="0.2">
      <c r="D5907" t="s">
        <v>63</v>
      </c>
      <c r="E5907" t="s">
        <v>64</v>
      </c>
      <c r="F5907" t="s">
        <v>65</v>
      </c>
      <c r="G5907" t="s">
        <v>221</v>
      </c>
      <c r="H5907" t="s">
        <v>221</v>
      </c>
      <c r="I5907" t="s">
        <v>41</v>
      </c>
      <c r="J5907" t="s">
        <v>42</v>
      </c>
      <c r="K5907" t="s">
        <v>48</v>
      </c>
      <c r="L5907" t="s">
        <v>49</v>
      </c>
      <c r="M5907" t="s">
        <v>220</v>
      </c>
      <c r="N5907">
        <v>413</v>
      </c>
      <c r="O5907">
        <v>7.0379887000000002E-2</v>
      </c>
      <c r="P5907">
        <v>2.2435195000000002E-2</v>
      </c>
      <c r="Q5907" t="str">
        <f t="shared" si="184"/>
        <v>25-34</v>
      </c>
      <c r="R5907" t="str">
        <f t="shared" si="185"/>
        <v>[lPTyjLi4w3d]|25-34|Male|PLHIV_Attend.T|CY2025Q3</v>
      </c>
    </row>
    <row r="5908" spans="4:18" x14ac:dyDescent="0.2">
      <c r="D5908" t="s">
        <v>63</v>
      </c>
      <c r="E5908" t="s">
        <v>64</v>
      </c>
      <c r="F5908" t="s">
        <v>65</v>
      </c>
      <c r="G5908" t="s">
        <v>221</v>
      </c>
      <c r="H5908" t="s">
        <v>221</v>
      </c>
      <c r="I5908" t="s">
        <v>43</v>
      </c>
      <c r="J5908" t="s">
        <v>44</v>
      </c>
      <c r="K5908" t="s">
        <v>48</v>
      </c>
      <c r="L5908" t="s">
        <v>49</v>
      </c>
      <c r="M5908" t="s">
        <v>220</v>
      </c>
      <c r="N5908">
        <v>1620</v>
      </c>
      <c r="O5908">
        <v>3.8012622000000003E-2</v>
      </c>
      <c r="P5908">
        <v>2.2435195000000002E-2</v>
      </c>
      <c r="Q5908" t="str">
        <f t="shared" si="184"/>
        <v>35-49</v>
      </c>
      <c r="R5908" t="str">
        <f t="shared" si="185"/>
        <v>[lPTyjLi4w3d]|35-49|Male|PLHIV_Attend.T|CY2025Q3</v>
      </c>
    </row>
    <row r="5909" spans="4:18" x14ac:dyDescent="0.2">
      <c r="D5909" t="s">
        <v>63</v>
      </c>
      <c r="E5909" t="s">
        <v>64</v>
      </c>
      <c r="F5909" t="s">
        <v>65</v>
      </c>
      <c r="G5909" t="s">
        <v>221</v>
      </c>
      <c r="H5909" t="s">
        <v>221</v>
      </c>
      <c r="I5909" t="s">
        <v>45</v>
      </c>
      <c r="J5909" t="s">
        <v>46</v>
      </c>
      <c r="K5909" t="s">
        <v>48</v>
      </c>
      <c r="L5909" t="s">
        <v>49</v>
      </c>
      <c r="M5909" t="s">
        <v>220</v>
      </c>
      <c r="N5909">
        <v>1378</v>
      </c>
      <c r="O5909">
        <v>3.8587211000000003E-2</v>
      </c>
      <c r="P5909">
        <v>2.2435195000000002E-2</v>
      </c>
      <c r="Q5909" t="str">
        <f t="shared" si="184"/>
        <v>50+</v>
      </c>
      <c r="R5909" t="str">
        <f t="shared" si="185"/>
        <v>[lPTyjLi4w3d]|50+|Male|PLHIV_Attend.T|CY2025Q3</v>
      </c>
    </row>
    <row r="5910" spans="4:18" x14ac:dyDescent="0.2">
      <c r="D5910" t="s">
        <v>66</v>
      </c>
      <c r="E5910" t="s">
        <v>67</v>
      </c>
      <c r="F5910" t="s">
        <v>68</v>
      </c>
      <c r="G5910" t="s">
        <v>221</v>
      </c>
      <c r="H5910" t="s">
        <v>221</v>
      </c>
      <c r="I5910" t="s">
        <v>28</v>
      </c>
      <c r="J5910" t="s">
        <v>29</v>
      </c>
      <c r="K5910" t="s">
        <v>30</v>
      </c>
      <c r="L5910" t="s">
        <v>31</v>
      </c>
      <c r="M5910" t="s">
        <v>220</v>
      </c>
      <c r="N5910">
        <v>24</v>
      </c>
      <c r="O5910">
        <v>2.022113E-2</v>
      </c>
      <c r="P5910">
        <v>1.4495934E-2</v>
      </c>
      <c r="Q5910" t="str">
        <f t="shared" si="184"/>
        <v>&lt;01</v>
      </c>
      <c r="R5910" t="str">
        <f t="shared" si="185"/>
        <v>[vA4NcHxfMBq]|&lt;01|Female|PLHIV_Attend.T|CY2025Q3</v>
      </c>
    </row>
    <row r="5911" spans="4:18" x14ac:dyDescent="0.2">
      <c r="D5911" t="s">
        <v>66</v>
      </c>
      <c r="E5911" t="s">
        <v>67</v>
      </c>
      <c r="F5911" t="s">
        <v>68</v>
      </c>
      <c r="G5911" t="s">
        <v>221</v>
      </c>
      <c r="H5911" t="s">
        <v>221</v>
      </c>
      <c r="I5911" t="s">
        <v>33</v>
      </c>
      <c r="J5911" t="s">
        <v>34</v>
      </c>
      <c r="K5911" t="s">
        <v>30</v>
      </c>
      <c r="L5911" t="s">
        <v>31</v>
      </c>
      <c r="M5911" t="s">
        <v>220</v>
      </c>
      <c r="N5911">
        <v>422</v>
      </c>
      <c r="O5911">
        <v>2.6550108999999999E-2</v>
      </c>
      <c r="P5911">
        <v>1.4495934E-2</v>
      </c>
      <c r="Q5911" t="str">
        <f t="shared" si="184"/>
        <v>01-09</v>
      </c>
      <c r="R5911" t="str">
        <f t="shared" si="185"/>
        <v>[vA4NcHxfMBq]|01-09|Female|PLHIV_Attend.T|CY2025Q3</v>
      </c>
    </row>
    <row r="5912" spans="4:18" x14ac:dyDescent="0.2">
      <c r="D5912" t="s">
        <v>66</v>
      </c>
      <c r="E5912" t="s">
        <v>67</v>
      </c>
      <c r="F5912" t="s">
        <v>68</v>
      </c>
      <c r="G5912" t="s">
        <v>221</v>
      </c>
      <c r="H5912" t="s">
        <v>221</v>
      </c>
      <c r="I5912" t="s">
        <v>36</v>
      </c>
      <c r="J5912" t="s">
        <v>37</v>
      </c>
      <c r="K5912" t="s">
        <v>30</v>
      </c>
      <c r="L5912" t="s">
        <v>31</v>
      </c>
      <c r="M5912" t="s">
        <v>220</v>
      </c>
      <c r="N5912">
        <v>549</v>
      </c>
      <c r="O5912">
        <v>3.770279E-2</v>
      </c>
      <c r="P5912">
        <v>1.4495934E-2</v>
      </c>
      <c r="Q5912" t="str">
        <f t="shared" si="184"/>
        <v>10-14</v>
      </c>
      <c r="R5912" t="str">
        <f t="shared" si="185"/>
        <v>[vA4NcHxfMBq]|10-14|Female|PLHIV_Attend.T|CY2025Q3</v>
      </c>
    </row>
    <row r="5913" spans="4:18" x14ac:dyDescent="0.2">
      <c r="D5913" t="s">
        <v>66</v>
      </c>
      <c r="E5913" t="s">
        <v>67</v>
      </c>
      <c r="F5913" t="s">
        <v>68</v>
      </c>
      <c r="G5913" t="s">
        <v>221</v>
      </c>
      <c r="H5913" t="s">
        <v>221</v>
      </c>
      <c r="I5913" t="s">
        <v>38</v>
      </c>
      <c r="J5913" t="s">
        <v>39</v>
      </c>
      <c r="K5913" t="s">
        <v>30</v>
      </c>
      <c r="L5913" t="s">
        <v>31</v>
      </c>
      <c r="M5913" t="s">
        <v>220</v>
      </c>
      <c r="N5913">
        <v>2268</v>
      </c>
      <c r="O5913">
        <v>5.3129239000000002E-2</v>
      </c>
      <c r="P5913">
        <v>1.4495934E-2</v>
      </c>
      <c r="Q5913" t="str">
        <f t="shared" si="184"/>
        <v>15-24</v>
      </c>
      <c r="R5913" t="str">
        <f t="shared" si="185"/>
        <v>[vA4NcHxfMBq]|15-24|Female|PLHIV_Attend.T|CY2025Q3</v>
      </c>
    </row>
    <row r="5914" spans="4:18" x14ac:dyDescent="0.2">
      <c r="D5914" t="s">
        <v>66</v>
      </c>
      <c r="E5914" t="s">
        <v>67</v>
      </c>
      <c r="F5914" t="s">
        <v>68</v>
      </c>
      <c r="G5914" t="s">
        <v>221</v>
      </c>
      <c r="H5914" t="s">
        <v>221</v>
      </c>
      <c r="I5914" t="s">
        <v>41</v>
      </c>
      <c r="J5914" t="s">
        <v>42</v>
      </c>
      <c r="K5914" t="s">
        <v>30</v>
      </c>
      <c r="L5914" t="s">
        <v>31</v>
      </c>
      <c r="M5914" t="s">
        <v>220</v>
      </c>
      <c r="N5914">
        <v>5791</v>
      </c>
      <c r="O5914">
        <v>3.7879603999999997E-2</v>
      </c>
      <c r="P5914">
        <v>1.4495934E-2</v>
      </c>
      <c r="Q5914" t="str">
        <f t="shared" si="184"/>
        <v>25-34</v>
      </c>
      <c r="R5914" t="str">
        <f t="shared" si="185"/>
        <v>[vA4NcHxfMBq]|25-34|Female|PLHIV_Attend.T|CY2025Q3</v>
      </c>
    </row>
    <row r="5915" spans="4:18" x14ac:dyDescent="0.2">
      <c r="D5915" t="s">
        <v>66</v>
      </c>
      <c r="E5915" t="s">
        <v>67</v>
      </c>
      <c r="F5915" t="s">
        <v>68</v>
      </c>
      <c r="G5915" t="s">
        <v>221</v>
      </c>
      <c r="H5915" t="s">
        <v>221</v>
      </c>
      <c r="I5915" t="s">
        <v>43</v>
      </c>
      <c r="J5915" t="s">
        <v>44</v>
      </c>
      <c r="K5915" t="s">
        <v>30</v>
      </c>
      <c r="L5915" t="s">
        <v>31</v>
      </c>
      <c r="M5915" t="s">
        <v>220</v>
      </c>
      <c r="N5915">
        <v>15097</v>
      </c>
      <c r="O5915">
        <v>2.1087687000000001E-2</v>
      </c>
      <c r="P5915">
        <v>1.4495934E-2</v>
      </c>
      <c r="Q5915" t="str">
        <f t="shared" si="184"/>
        <v>35-49</v>
      </c>
      <c r="R5915" t="str">
        <f t="shared" si="185"/>
        <v>[vA4NcHxfMBq]|35-49|Female|PLHIV_Attend.T|CY2025Q3</v>
      </c>
    </row>
    <row r="5916" spans="4:18" x14ac:dyDescent="0.2">
      <c r="D5916" t="s">
        <v>66</v>
      </c>
      <c r="E5916" t="s">
        <v>67</v>
      </c>
      <c r="F5916" t="s">
        <v>68</v>
      </c>
      <c r="G5916" t="s">
        <v>221</v>
      </c>
      <c r="H5916" t="s">
        <v>221</v>
      </c>
      <c r="I5916" t="s">
        <v>45</v>
      </c>
      <c r="J5916" t="s">
        <v>46</v>
      </c>
      <c r="K5916" t="s">
        <v>30</v>
      </c>
      <c r="L5916" t="s">
        <v>31</v>
      </c>
      <c r="M5916" t="s">
        <v>220</v>
      </c>
      <c r="N5916">
        <v>7219</v>
      </c>
      <c r="O5916">
        <v>3.6547324999999999E-2</v>
      </c>
      <c r="P5916">
        <v>1.4495934E-2</v>
      </c>
      <c r="Q5916" t="str">
        <f t="shared" si="184"/>
        <v>50+</v>
      </c>
      <c r="R5916" t="str">
        <f t="shared" si="185"/>
        <v>[vA4NcHxfMBq]|50+|Female|PLHIV_Attend.T|CY2025Q3</v>
      </c>
    </row>
    <row r="5917" spans="4:18" x14ac:dyDescent="0.2">
      <c r="D5917" t="s">
        <v>66</v>
      </c>
      <c r="E5917" t="s">
        <v>67</v>
      </c>
      <c r="F5917" t="s">
        <v>68</v>
      </c>
      <c r="G5917" t="s">
        <v>221</v>
      </c>
      <c r="H5917" t="s">
        <v>221</v>
      </c>
      <c r="I5917" t="s">
        <v>28</v>
      </c>
      <c r="J5917" t="s">
        <v>29</v>
      </c>
      <c r="K5917" t="s">
        <v>48</v>
      </c>
      <c r="L5917" t="s">
        <v>49</v>
      </c>
      <c r="M5917" t="s">
        <v>220</v>
      </c>
      <c r="N5917">
        <v>24</v>
      </c>
      <c r="O5917">
        <v>2.0239786999999999E-2</v>
      </c>
      <c r="P5917">
        <v>1.4495934E-2</v>
      </c>
      <c r="Q5917" t="str">
        <f t="shared" si="184"/>
        <v>&lt;01</v>
      </c>
      <c r="R5917" t="str">
        <f t="shared" si="185"/>
        <v>[vA4NcHxfMBq]|&lt;01|Male|PLHIV_Attend.T|CY2025Q3</v>
      </c>
    </row>
    <row r="5918" spans="4:18" x14ac:dyDescent="0.2">
      <c r="D5918" t="s">
        <v>66</v>
      </c>
      <c r="E5918" t="s">
        <v>67</v>
      </c>
      <c r="F5918" t="s">
        <v>68</v>
      </c>
      <c r="G5918" t="s">
        <v>221</v>
      </c>
      <c r="H5918" t="s">
        <v>221</v>
      </c>
      <c r="I5918" t="s">
        <v>33</v>
      </c>
      <c r="J5918" t="s">
        <v>34</v>
      </c>
      <c r="K5918" t="s">
        <v>48</v>
      </c>
      <c r="L5918" t="s">
        <v>49</v>
      </c>
      <c r="M5918" t="s">
        <v>220</v>
      </c>
      <c r="N5918">
        <v>425</v>
      </c>
      <c r="O5918">
        <v>2.6567341000000001E-2</v>
      </c>
      <c r="P5918">
        <v>1.4495934E-2</v>
      </c>
      <c r="Q5918" t="str">
        <f t="shared" si="184"/>
        <v>01-09</v>
      </c>
      <c r="R5918" t="str">
        <f t="shared" si="185"/>
        <v>[vA4NcHxfMBq]|01-09|Male|PLHIV_Attend.T|CY2025Q3</v>
      </c>
    </row>
    <row r="5919" spans="4:18" x14ac:dyDescent="0.2">
      <c r="D5919" t="s">
        <v>66</v>
      </c>
      <c r="E5919" t="s">
        <v>67</v>
      </c>
      <c r="F5919" t="s">
        <v>68</v>
      </c>
      <c r="G5919" t="s">
        <v>221</v>
      </c>
      <c r="H5919" t="s">
        <v>221</v>
      </c>
      <c r="I5919" t="s">
        <v>36</v>
      </c>
      <c r="J5919" t="s">
        <v>37</v>
      </c>
      <c r="K5919" t="s">
        <v>48</v>
      </c>
      <c r="L5919" t="s">
        <v>49</v>
      </c>
      <c r="M5919" t="s">
        <v>220</v>
      </c>
      <c r="N5919">
        <v>535</v>
      </c>
      <c r="O5919">
        <v>3.7866491000000002E-2</v>
      </c>
      <c r="P5919">
        <v>1.4495934E-2</v>
      </c>
      <c r="Q5919" t="str">
        <f t="shared" si="184"/>
        <v>10-14</v>
      </c>
      <c r="R5919" t="str">
        <f t="shared" si="185"/>
        <v>[vA4NcHxfMBq]|10-14|Male|PLHIV_Attend.T|CY2025Q3</v>
      </c>
    </row>
    <row r="5920" spans="4:18" x14ac:dyDescent="0.2">
      <c r="D5920" t="s">
        <v>66</v>
      </c>
      <c r="E5920" t="s">
        <v>67</v>
      </c>
      <c r="F5920" t="s">
        <v>68</v>
      </c>
      <c r="G5920" t="s">
        <v>221</v>
      </c>
      <c r="H5920" t="s">
        <v>221</v>
      </c>
      <c r="I5920" t="s">
        <v>38</v>
      </c>
      <c r="J5920" t="s">
        <v>39</v>
      </c>
      <c r="K5920" t="s">
        <v>48</v>
      </c>
      <c r="L5920" t="s">
        <v>49</v>
      </c>
      <c r="M5920" t="s">
        <v>220</v>
      </c>
      <c r="N5920">
        <v>1599</v>
      </c>
      <c r="O5920">
        <v>6.3398835000000001E-2</v>
      </c>
      <c r="P5920">
        <v>1.4495934E-2</v>
      </c>
      <c r="Q5920" t="str">
        <f t="shared" si="184"/>
        <v>15-24</v>
      </c>
      <c r="R5920" t="str">
        <f t="shared" si="185"/>
        <v>[vA4NcHxfMBq]|15-24|Male|PLHIV_Attend.T|CY2025Q3</v>
      </c>
    </row>
    <row r="5921" spans="4:18" x14ac:dyDescent="0.2">
      <c r="D5921" t="s">
        <v>66</v>
      </c>
      <c r="E5921" t="s">
        <v>67</v>
      </c>
      <c r="F5921" t="s">
        <v>68</v>
      </c>
      <c r="G5921" t="s">
        <v>221</v>
      </c>
      <c r="H5921" t="s">
        <v>221</v>
      </c>
      <c r="I5921" t="s">
        <v>41</v>
      </c>
      <c r="J5921" t="s">
        <v>42</v>
      </c>
      <c r="K5921" t="s">
        <v>48</v>
      </c>
      <c r="L5921" t="s">
        <v>49</v>
      </c>
      <c r="M5921" t="s">
        <v>220</v>
      </c>
      <c r="N5921">
        <v>2336</v>
      </c>
      <c r="O5921">
        <v>6.5638957999999997E-2</v>
      </c>
      <c r="P5921">
        <v>1.4495934E-2</v>
      </c>
      <c r="Q5921" t="str">
        <f t="shared" si="184"/>
        <v>25-34</v>
      </c>
      <c r="R5921" t="str">
        <f t="shared" si="185"/>
        <v>[vA4NcHxfMBq]|25-34|Male|PLHIV_Attend.T|CY2025Q3</v>
      </c>
    </row>
    <row r="5922" spans="4:18" x14ac:dyDescent="0.2">
      <c r="D5922" t="s">
        <v>66</v>
      </c>
      <c r="E5922" t="s">
        <v>67</v>
      </c>
      <c r="F5922" t="s">
        <v>68</v>
      </c>
      <c r="G5922" t="s">
        <v>221</v>
      </c>
      <c r="H5922" t="s">
        <v>221</v>
      </c>
      <c r="I5922" t="s">
        <v>43</v>
      </c>
      <c r="J5922" t="s">
        <v>44</v>
      </c>
      <c r="K5922" t="s">
        <v>48</v>
      </c>
      <c r="L5922" t="s">
        <v>49</v>
      </c>
      <c r="M5922" t="s">
        <v>220</v>
      </c>
      <c r="N5922">
        <v>8740</v>
      </c>
      <c r="O5922">
        <v>3.3038038999999998E-2</v>
      </c>
      <c r="P5922">
        <v>1.4495934E-2</v>
      </c>
      <c r="Q5922" t="str">
        <f t="shared" si="184"/>
        <v>35-49</v>
      </c>
      <c r="R5922" t="str">
        <f t="shared" si="185"/>
        <v>[vA4NcHxfMBq]|35-49|Male|PLHIV_Attend.T|CY2025Q3</v>
      </c>
    </row>
    <row r="5923" spans="4:18" x14ac:dyDescent="0.2">
      <c r="D5923" t="s">
        <v>66</v>
      </c>
      <c r="E5923" t="s">
        <v>67</v>
      </c>
      <c r="F5923" t="s">
        <v>68</v>
      </c>
      <c r="G5923" t="s">
        <v>221</v>
      </c>
      <c r="H5923" t="s">
        <v>221</v>
      </c>
      <c r="I5923" t="s">
        <v>45</v>
      </c>
      <c r="J5923" t="s">
        <v>46</v>
      </c>
      <c r="K5923" t="s">
        <v>48</v>
      </c>
      <c r="L5923" t="s">
        <v>49</v>
      </c>
      <c r="M5923" t="s">
        <v>220</v>
      </c>
      <c r="N5923">
        <v>6819</v>
      </c>
      <c r="O5923">
        <v>3.4001403999999999E-2</v>
      </c>
      <c r="P5923">
        <v>1.4495934E-2</v>
      </c>
      <c r="Q5923" t="str">
        <f t="shared" si="184"/>
        <v>50+</v>
      </c>
      <c r="R5923" t="str">
        <f t="shared" si="185"/>
        <v>[vA4NcHxfMBq]|50+|Male|PLHIV_Attend.T|CY2025Q3</v>
      </c>
    </row>
    <row r="5924" spans="4:18" x14ac:dyDescent="0.2">
      <c r="D5924" t="s">
        <v>69</v>
      </c>
      <c r="E5924" t="s">
        <v>70</v>
      </c>
      <c r="F5924" t="s">
        <v>71</v>
      </c>
      <c r="G5924" t="s">
        <v>221</v>
      </c>
      <c r="H5924" t="s">
        <v>221</v>
      </c>
      <c r="I5924" t="s">
        <v>28</v>
      </c>
      <c r="J5924" t="s">
        <v>29</v>
      </c>
      <c r="K5924" t="s">
        <v>30</v>
      </c>
      <c r="L5924" t="s">
        <v>31</v>
      </c>
      <c r="M5924" t="s">
        <v>220</v>
      </c>
      <c r="N5924">
        <v>0</v>
      </c>
      <c r="O5924">
        <v>3.5357819999999998E-2</v>
      </c>
      <c r="P5924">
        <v>2.9839458999999999E-2</v>
      </c>
      <c r="Q5924" t="str">
        <f t="shared" si="184"/>
        <v>&lt;01</v>
      </c>
      <c r="R5924" t="str">
        <f t="shared" si="185"/>
        <v>[ZCjuwgaMB9u]|&lt;01|Female|PLHIV_Attend.T|CY2025Q3</v>
      </c>
    </row>
    <row r="5925" spans="4:18" x14ac:dyDescent="0.2">
      <c r="D5925" t="s">
        <v>69</v>
      </c>
      <c r="E5925" t="s">
        <v>70</v>
      </c>
      <c r="F5925" t="s">
        <v>71</v>
      </c>
      <c r="G5925" t="s">
        <v>221</v>
      </c>
      <c r="H5925" t="s">
        <v>221</v>
      </c>
      <c r="I5925" t="s">
        <v>33</v>
      </c>
      <c r="J5925" t="s">
        <v>34</v>
      </c>
      <c r="K5925" t="s">
        <v>30</v>
      </c>
      <c r="L5925" t="s">
        <v>31</v>
      </c>
      <c r="M5925" t="s">
        <v>220</v>
      </c>
      <c r="N5925">
        <v>7</v>
      </c>
      <c r="O5925">
        <v>4.2094258000000002E-2</v>
      </c>
      <c r="P5925">
        <v>2.9839458999999999E-2</v>
      </c>
      <c r="Q5925" t="str">
        <f t="shared" si="184"/>
        <v>01-09</v>
      </c>
      <c r="R5925" t="str">
        <f t="shared" si="185"/>
        <v>[ZCjuwgaMB9u]|01-09|Female|PLHIV_Attend.T|CY2025Q3</v>
      </c>
    </row>
    <row r="5926" spans="4:18" x14ac:dyDescent="0.2">
      <c r="D5926" t="s">
        <v>69</v>
      </c>
      <c r="E5926" t="s">
        <v>70</v>
      </c>
      <c r="F5926" t="s">
        <v>71</v>
      </c>
      <c r="G5926" t="s">
        <v>221</v>
      </c>
      <c r="H5926" t="s">
        <v>221</v>
      </c>
      <c r="I5926" t="s">
        <v>36</v>
      </c>
      <c r="J5926" t="s">
        <v>37</v>
      </c>
      <c r="K5926" t="s">
        <v>30</v>
      </c>
      <c r="L5926" t="s">
        <v>31</v>
      </c>
      <c r="M5926" t="s">
        <v>220</v>
      </c>
      <c r="N5926">
        <v>9</v>
      </c>
      <c r="O5926">
        <v>5.5234317999999998E-2</v>
      </c>
      <c r="P5926">
        <v>2.9839458999999999E-2</v>
      </c>
      <c r="Q5926" t="str">
        <f t="shared" si="184"/>
        <v>10-14</v>
      </c>
      <c r="R5926" t="str">
        <f t="shared" si="185"/>
        <v>[ZCjuwgaMB9u]|10-14|Female|PLHIV_Attend.T|CY2025Q3</v>
      </c>
    </row>
    <row r="5927" spans="4:18" x14ac:dyDescent="0.2">
      <c r="D5927" t="s">
        <v>69</v>
      </c>
      <c r="E5927" t="s">
        <v>70</v>
      </c>
      <c r="F5927" t="s">
        <v>71</v>
      </c>
      <c r="G5927" t="s">
        <v>221</v>
      </c>
      <c r="H5927" t="s">
        <v>221</v>
      </c>
      <c r="I5927" t="s">
        <v>38</v>
      </c>
      <c r="J5927" t="s">
        <v>39</v>
      </c>
      <c r="K5927" t="s">
        <v>30</v>
      </c>
      <c r="L5927" t="s">
        <v>31</v>
      </c>
      <c r="M5927" t="s">
        <v>220</v>
      </c>
      <c r="N5927">
        <v>38</v>
      </c>
      <c r="O5927">
        <v>6.1739093000000002E-2</v>
      </c>
      <c r="P5927">
        <v>2.9839458999999999E-2</v>
      </c>
      <c r="Q5927" t="str">
        <f t="shared" si="184"/>
        <v>15-24</v>
      </c>
      <c r="R5927" t="str">
        <f t="shared" si="185"/>
        <v>[ZCjuwgaMB9u]|15-24|Female|PLHIV_Attend.T|CY2025Q3</v>
      </c>
    </row>
    <row r="5928" spans="4:18" x14ac:dyDescent="0.2">
      <c r="D5928" t="s">
        <v>69</v>
      </c>
      <c r="E5928" t="s">
        <v>70</v>
      </c>
      <c r="F5928" t="s">
        <v>71</v>
      </c>
      <c r="G5928" t="s">
        <v>221</v>
      </c>
      <c r="H5928" t="s">
        <v>221</v>
      </c>
      <c r="I5928" t="s">
        <v>41</v>
      </c>
      <c r="J5928" t="s">
        <v>42</v>
      </c>
      <c r="K5928" t="s">
        <v>30</v>
      </c>
      <c r="L5928" t="s">
        <v>31</v>
      </c>
      <c r="M5928" t="s">
        <v>220</v>
      </c>
      <c r="N5928">
        <v>101</v>
      </c>
      <c r="O5928">
        <v>4.9630522000000003E-2</v>
      </c>
      <c r="P5928">
        <v>2.9839458999999999E-2</v>
      </c>
      <c r="Q5928" t="str">
        <f t="shared" si="184"/>
        <v>25-34</v>
      </c>
      <c r="R5928" t="str">
        <f t="shared" si="185"/>
        <v>[ZCjuwgaMB9u]|25-34|Female|PLHIV_Attend.T|CY2025Q3</v>
      </c>
    </row>
    <row r="5929" spans="4:18" x14ac:dyDescent="0.2">
      <c r="D5929" t="s">
        <v>69</v>
      </c>
      <c r="E5929" t="s">
        <v>70</v>
      </c>
      <c r="F5929" t="s">
        <v>71</v>
      </c>
      <c r="G5929" t="s">
        <v>221</v>
      </c>
      <c r="H5929" t="s">
        <v>221</v>
      </c>
      <c r="I5929" t="s">
        <v>43</v>
      </c>
      <c r="J5929" t="s">
        <v>44</v>
      </c>
      <c r="K5929" t="s">
        <v>30</v>
      </c>
      <c r="L5929" t="s">
        <v>31</v>
      </c>
      <c r="M5929" t="s">
        <v>220</v>
      </c>
      <c r="N5929">
        <v>281</v>
      </c>
      <c r="O5929">
        <v>3.4089253999999999E-2</v>
      </c>
      <c r="P5929">
        <v>2.9839458999999999E-2</v>
      </c>
      <c r="Q5929" t="str">
        <f t="shared" si="184"/>
        <v>35-49</v>
      </c>
      <c r="R5929" t="str">
        <f t="shared" si="185"/>
        <v>[ZCjuwgaMB9u]|35-49|Female|PLHIV_Attend.T|CY2025Q3</v>
      </c>
    </row>
    <row r="5930" spans="4:18" x14ac:dyDescent="0.2">
      <c r="D5930" t="s">
        <v>69</v>
      </c>
      <c r="E5930" t="s">
        <v>70</v>
      </c>
      <c r="F5930" t="s">
        <v>71</v>
      </c>
      <c r="G5930" t="s">
        <v>221</v>
      </c>
      <c r="H5930" t="s">
        <v>221</v>
      </c>
      <c r="I5930" t="s">
        <v>45</v>
      </c>
      <c r="J5930" t="s">
        <v>46</v>
      </c>
      <c r="K5930" t="s">
        <v>30</v>
      </c>
      <c r="L5930" t="s">
        <v>31</v>
      </c>
      <c r="M5930" t="s">
        <v>220</v>
      </c>
      <c r="N5930">
        <v>137</v>
      </c>
      <c r="O5930">
        <v>4.4038732999999997E-2</v>
      </c>
      <c r="P5930">
        <v>2.9839458999999999E-2</v>
      </c>
      <c r="Q5930" t="str">
        <f t="shared" si="184"/>
        <v>50+</v>
      </c>
      <c r="R5930" t="str">
        <f t="shared" si="185"/>
        <v>[ZCjuwgaMB9u]|50+|Female|PLHIV_Attend.T|CY2025Q3</v>
      </c>
    </row>
    <row r="5931" spans="4:18" x14ac:dyDescent="0.2">
      <c r="D5931" t="s">
        <v>69</v>
      </c>
      <c r="E5931" t="s">
        <v>70</v>
      </c>
      <c r="F5931" t="s">
        <v>71</v>
      </c>
      <c r="G5931" t="s">
        <v>221</v>
      </c>
      <c r="H5931" t="s">
        <v>221</v>
      </c>
      <c r="I5931" t="s">
        <v>28</v>
      </c>
      <c r="J5931" t="s">
        <v>29</v>
      </c>
      <c r="K5931" t="s">
        <v>48</v>
      </c>
      <c r="L5931" t="s">
        <v>49</v>
      </c>
      <c r="M5931" t="s">
        <v>220</v>
      </c>
      <c r="N5931">
        <v>0</v>
      </c>
      <c r="O5931">
        <v>3.5452507000000001E-2</v>
      </c>
      <c r="P5931">
        <v>2.9839458999999999E-2</v>
      </c>
      <c r="Q5931" t="str">
        <f t="shared" si="184"/>
        <v>&lt;01</v>
      </c>
      <c r="R5931" t="str">
        <f t="shared" si="185"/>
        <v>[ZCjuwgaMB9u]|&lt;01|Male|PLHIV_Attend.T|CY2025Q3</v>
      </c>
    </row>
    <row r="5932" spans="4:18" x14ac:dyDescent="0.2">
      <c r="D5932" t="s">
        <v>69</v>
      </c>
      <c r="E5932" t="s">
        <v>70</v>
      </c>
      <c r="F5932" t="s">
        <v>71</v>
      </c>
      <c r="G5932" t="s">
        <v>221</v>
      </c>
      <c r="H5932" t="s">
        <v>221</v>
      </c>
      <c r="I5932" t="s">
        <v>33</v>
      </c>
      <c r="J5932" t="s">
        <v>34</v>
      </c>
      <c r="K5932" t="s">
        <v>48</v>
      </c>
      <c r="L5932" t="s">
        <v>49</v>
      </c>
      <c r="M5932" t="s">
        <v>220</v>
      </c>
      <c r="N5932">
        <v>7</v>
      </c>
      <c r="O5932">
        <v>4.2209273999999998E-2</v>
      </c>
      <c r="P5932">
        <v>2.9839458999999999E-2</v>
      </c>
      <c r="Q5932" t="str">
        <f t="shared" si="184"/>
        <v>01-09</v>
      </c>
      <c r="R5932" t="str">
        <f t="shared" si="185"/>
        <v>[ZCjuwgaMB9u]|01-09|Male|PLHIV_Attend.T|CY2025Q3</v>
      </c>
    </row>
    <row r="5933" spans="4:18" x14ac:dyDescent="0.2">
      <c r="D5933" t="s">
        <v>69</v>
      </c>
      <c r="E5933" t="s">
        <v>70</v>
      </c>
      <c r="F5933" t="s">
        <v>71</v>
      </c>
      <c r="G5933" t="s">
        <v>221</v>
      </c>
      <c r="H5933" t="s">
        <v>221</v>
      </c>
      <c r="I5933" t="s">
        <v>36</v>
      </c>
      <c r="J5933" t="s">
        <v>37</v>
      </c>
      <c r="K5933" t="s">
        <v>48</v>
      </c>
      <c r="L5933" t="s">
        <v>49</v>
      </c>
      <c r="M5933" t="s">
        <v>220</v>
      </c>
      <c r="N5933">
        <v>9</v>
      </c>
      <c r="O5933">
        <v>5.522109E-2</v>
      </c>
      <c r="P5933">
        <v>2.9839458999999999E-2</v>
      </c>
      <c r="Q5933" t="str">
        <f t="shared" si="184"/>
        <v>10-14</v>
      </c>
      <c r="R5933" t="str">
        <f t="shared" si="185"/>
        <v>[ZCjuwgaMB9u]|10-14|Male|PLHIV_Attend.T|CY2025Q3</v>
      </c>
    </row>
    <row r="5934" spans="4:18" x14ac:dyDescent="0.2">
      <c r="D5934" t="s">
        <v>69</v>
      </c>
      <c r="E5934" t="s">
        <v>70</v>
      </c>
      <c r="F5934" t="s">
        <v>71</v>
      </c>
      <c r="G5934" t="s">
        <v>221</v>
      </c>
      <c r="H5934" t="s">
        <v>221</v>
      </c>
      <c r="I5934" t="s">
        <v>38</v>
      </c>
      <c r="J5934" t="s">
        <v>39</v>
      </c>
      <c r="K5934" t="s">
        <v>48</v>
      </c>
      <c r="L5934" t="s">
        <v>49</v>
      </c>
      <c r="M5934" t="s">
        <v>220</v>
      </c>
      <c r="N5934">
        <v>30</v>
      </c>
      <c r="O5934">
        <v>7.7005095999999995E-2</v>
      </c>
      <c r="P5934">
        <v>2.9839458999999999E-2</v>
      </c>
      <c r="Q5934" t="str">
        <f t="shared" si="184"/>
        <v>15-24</v>
      </c>
      <c r="R5934" t="str">
        <f t="shared" si="185"/>
        <v>[ZCjuwgaMB9u]|15-24|Male|PLHIV_Attend.T|CY2025Q3</v>
      </c>
    </row>
    <row r="5935" spans="4:18" x14ac:dyDescent="0.2">
      <c r="D5935" t="s">
        <v>69</v>
      </c>
      <c r="E5935" t="s">
        <v>70</v>
      </c>
      <c r="F5935" t="s">
        <v>71</v>
      </c>
      <c r="G5935" t="s">
        <v>221</v>
      </c>
      <c r="H5935" t="s">
        <v>221</v>
      </c>
      <c r="I5935" t="s">
        <v>41</v>
      </c>
      <c r="J5935" t="s">
        <v>42</v>
      </c>
      <c r="K5935" t="s">
        <v>48</v>
      </c>
      <c r="L5935" t="s">
        <v>49</v>
      </c>
      <c r="M5935" t="s">
        <v>220</v>
      </c>
      <c r="N5935">
        <v>50</v>
      </c>
      <c r="O5935">
        <v>7.6919188999999999E-2</v>
      </c>
      <c r="P5935">
        <v>2.9839458999999999E-2</v>
      </c>
      <c r="Q5935" t="str">
        <f t="shared" si="184"/>
        <v>25-34</v>
      </c>
      <c r="R5935" t="str">
        <f t="shared" si="185"/>
        <v>[ZCjuwgaMB9u]|25-34|Male|PLHIV_Attend.T|CY2025Q3</v>
      </c>
    </row>
    <row r="5936" spans="4:18" x14ac:dyDescent="0.2">
      <c r="D5936" t="s">
        <v>69</v>
      </c>
      <c r="E5936" t="s">
        <v>70</v>
      </c>
      <c r="F5936" t="s">
        <v>71</v>
      </c>
      <c r="G5936" t="s">
        <v>221</v>
      </c>
      <c r="H5936" t="s">
        <v>221</v>
      </c>
      <c r="I5936" t="s">
        <v>43</v>
      </c>
      <c r="J5936" t="s">
        <v>44</v>
      </c>
      <c r="K5936" t="s">
        <v>48</v>
      </c>
      <c r="L5936" t="s">
        <v>49</v>
      </c>
      <c r="M5936" t="s">
        <v>220</v>
      </c>
      <c r="N5936">
        <v>172</v>
      </c>
      <c r="O5936">
        <v>4.9715690999999999E-2</v>
      </c>
      <c r="P5936">
        <v>2.9839458999999999E-2</v>
      </c>
      <c r="Q5936" t="str">
        <f t="shared" si="184"/>
        <v>35-49</v>
      </c>
      <c r="R5936" t="str">
        <f t="shared" si="185"/>
        <v>[ZCjuwgaMB9u]|35-49|Male|PLHIV_Attend.T|CY2025Q3</v>
      </c>
    </row>
    <row r="5937" spans="4:18" x14ac:dyDescent="0.2">
      <c r="D5937" t="s">
        <v>69</v>
      </c>
      <c r="E5937" t="s">
        <v>70</v>
      </c>
      <c r="F5937" t="s">
        <v>71</v>
      </c>
      <c r="G5937" t="s">
        <v>221</v>
      </c>
      <c r="H5937" t="s">
        <v>221</v>
      </c>
      <c r="I5937" t="s">
        <v>45</v>
      </c>
      <c r="J5937" t="s">
        <v>46</v>
      </c>
      <c r="K5937" t="s">
        <v>48</v>
      </c>
      <c r="L5937" t="s">
        <v>49</v>
      </c>
      <c r="M5937" t="s">
        <v>220</v>
      </c>
      <c r="N5937">
        <v>119</v>
      </c>
      <c r="O5937">
        <v>4.6233659000000003E-2</v>
      </c>
      <c r="P5937">
        <v>2.9839458999999999E-2</v>
      </c>
      <c r="Q5937" t="str">
        <f t="shared" si="184"/>
        <v>50+</v>
      </c>
      <c r="R5937" t="str">
        <f t="shared" si="185"/>
        <v>[ZCjuwgaMB9u]|50+|Male|PLHIV_Attend.T|CY2025Q3</v>
      </c>
    </row>
    <row r="5938" spans="4:18" x14ac:dyDescent="0.2">
      <c r="D5938" t="s">
        <v>72</v>
      </c>
      <c r="E5938" t="s">
        <v>73</v>
      </c>
      <c r="F5938" t="s">
        <v>74</v>
      </c>
      <c r="G5938" t="s">
        <v>221</v>
      </c>
      <c r="H5938" t="s">
        <v>221</v>
      </c>
      <c r="I5938" t="s">
        <v>28</v>
      </c>
      <c r="J5938" t="s">
        <v>29</v>
      </c>
      <c r="K5938" t="s">
        <v>30</v>
      </c>
      <c r="L5938" t="s">
        <v>31</v>
      </c>
      <c r="M5938" t="s">
        <v>220</v>
      </c>
      <c r="N5938">
        <v>10</v>
      </c>
      <c r="O5938">
        <v>2.3260121000000002E-2</v>
      </c>
      <c r="P5938">
        <v>1.6632873999999999E-2</v>
      </c>
      <c r="Q5938" t="str">
        <f t="shared" si="184"/>
        <v>&lt;01</v>
      </c>
      <c r="R5938" t="str">
        <f t="shared" si="185"/>
        <v>[JQKLKuVuY61]|&lt;01|Female|PLHIV_Attend.T|CY2025Q3</v>
      </c>
    </row>
    <row r="5939" spans="4:18" x14ac:dyDescent="0.2">
      <c r="D5939" t="s">
        <v>72</v>
      </c>
      <c r="E5939" t="s">
        <v>73</v>
      </c>
      <c r="F5939" t="s">
        <v>74</v>
      </c>
      <c r="G5939" t="s">
        <v>221</v>
      </c>
      <c r="H5939" t="s">
        <v>221</v>
      </c>
      <c r="I5939" t="s">
        <v>33</v>
      </c>
      <c r="J5939" t="s">
        <v>34</v>
      </c>
      <c r="K5939" t="s">
        <v>30</v>
      </c>
      <c r="L5939" t="s">
        <v>31</v>
      </c>
      <c r="M5939" t="s">
        <v>220</v>
      </c>
      <c r="N5939">
        <v>186</v>
      </c>
      <c r="O5939">
        <v>2.9552531999999999E-2</v>
      </c>
      <c r="P5939">
        <v>1.6632873999999999E-2</v>
      </c>
      <c r="Q5939" t="str">
        <f t="shared" si="184"/>
        <v>01-09</v>
      </c>
      <c r="R5939" t="str">
        <f t="shared" si="185"/>
        <v>[JQKLKuVuY61]|01-09|Female|PLHIV_Attend.T|CY2025Q3</v>
      </c>
    </row>
    <row r="5940" spans="4:18" x14ac:dyDescent="0.2">
      <c r="D5940" t="s">
        <v>72</v>
      </c>
      <c r="E5940" t="s">
        <v>73</v>
      </c>
      <c r="F5940" t="s">
        <v>74</v>
      </c>
      <c r="G5940" t="s">
        <v>221</v>
      </c>
      <c r="H5940" t="s">
        <v>221</v>
      </c>
      <c r="I5940" t="s">
        <v>36</v>
      </c>
      <c r="J5940" t="s">
        <v>37</v>
      </c>
      <c r="K5940" t="s">
        <v>30</v>
      </c>
      <c r="L5940" t="s">
        <v>31</v>
      </c>
      <c r="M5940" t="s">
        <v>220</v>
      </c>
      <c r="N5940">
        <v>255</v>
      </c>
      <c r="O5940">
        <v>4.0249722000000002E-2</v>
      </c>
      <c r="P5940">
        <v>1.6632873999999999E-2</v>
      </c>
      <c r="Q5940" t="str">
        <f t="shared" si="184"/>
        <v>10-14</v>
      </c>
      <c r="R5940" t="str">
        <f t="shared" si="185"/>
        <v>[JQKLKuVuY61]|10-14|Female|PLHIV_Attend.T|CY2025Q3</v>
      </c>
    </row>
    <row r="5941" spans="4:18" x14ac:dyDescent="0.2">
      <c r="D5941" t="s">
        <v>72</v>
      </c>
      <c r="E5941" t="s">
        <v>73</v>
      </c>
      <c r="F5941" t="s">
        <v>74</v>
      </c>
      <c r="G5941" t="s">
        <v>221</v>
      </c>
      <c r="H5941" t="s">
        <v>221</v>
      </c>
      <c r="I5941" t="s">
        <v>38</v>
      </c>
      <c r="J5941" t="s">
        <v>39</v>
      </c>
      <c r="K5941" t="s">
        <v>30</v>
      </c>
      <c r="L5941" t="s">
        <v>31</v>
      </c>
      <c r="M5941" t="s">
        <v>220</v>
      </c>
      <c r="N5941">
        <v>922</v>
      </c>
      <c r="O5941">
        <v>5.4081158999999997E-2</v>
      </c>
      <c r="P5941">
        <v>1.6632873999999999E-2</v>
      </c>
      <c r="Q5941" t="str">
        <f t="shared" si="184"/>
        <v>15-24</v>
      </c>
      <c r="R5941" t="str">
        <f t="shared" si="185"/>
        <v>[JQKLKuVuY61]|15-24|Female|PLHIV_Attend.T|CY2025Q3</v>
      </c>
    </row>
    <row r="5942" spans="4:18" x14ac:dyDescent="0.2">
      <c r="D5942" t="s">
        <v>72</v>
      </c>
      <c r="E5942" t="s">
        <v>73</v>
      </c>
      <c r="F5942" t="s">
        <v>74</v>
      </c>
      <c r="G5942" t="s">
        <v>221</v>
      </c>
      <c r="H5942" t="s">
        <v>221</v>
      </c>
      <c r="I5942" t="s">
        <v>41</v>
      </c>
      <c r="J5942" t="s">
        <v>42</v>
      </c>
      <c r="K5942" t="s">
        <v>30</v>
      </c>
      <c r="L5942" t="s">
        <v>31</v>
      </c>
      <c r="M5942" t="s">
        <v>220</v>
      </c>
      <c r="N5942">
        <v>2129</v>
      </c>
      <c r="O5942">
        <v>4.1261739999999998E-2</v>
      </c>
      <c r="P5942">
        <v>1.6632873999999999E-2</v>
      </c>
      <c r="Q5942" t="str">
        <f t="shared" si="184"/>
        <v>25-34</v>
      </c>
      <c r="R5942" t="str">
        <f t="shared" si="185"/>
        <v>[JQKLKuVuY61]|25-34|Female|PLHIV_Attend.T|CY2025Q3</v>
      </c>
    </row>
    <row r="5943" spans="4:18" x14ac:dyDescent="0.2">
      <c r="D5943" t="s">
        <v>72</v>
      </c>
      <c r="E5943" t="s">
        <v>73</v>
      </c>
      <c r="F5943" t="s">
        <v>74</v>
      </c>
      <c r="G5943" t="s">
        <v>221</v>
      </c>
      <c r="H5943" t="s">
        <v>221</v>
      </c>
      <c r="I5943" t="s">
        <v>43</v>
      </c>
      <c r="J5943" t="s">
        <v>44</v>
      </c>
      <c r="K5943" t="s">
        <v>30</v>
      </c>
      <c r="L5943" t="s">
        <v>31</v>
      </c>
      <c r="M5943" t="s">
        <v>220</v>
      </c>
      <c r="N5943">
        <v>6274</v>
      </c>
      <c r="O5943">
        <v>2.3542972999999998E-2</v>
      </c>
      <c r="P5943">
        <v>1.6632873999999999E-2</v>
      </c>
      <c r="Q5943" t="str">
        <f t="shared" si="184"/>
        <v>35-49</v>
      </c>
      <c r="R5943" t="str">
        <f t="shared" si="185"/>
        <v>[JQKLKuVuY61]|35-49|Female|PLHIV_Attend.T|CY2025Q3</v>
      </c>
    </row>
    <row r="5944" spans="4:18" x14ac:dyDescent="0.2">
      <c r="D5944" t="s">
        <v>72</v>
      </c>
      <c r="E5944" t="s">
        <v>73</v>
      </c>
      <c r="F5944" t="s">
        <v>74</v>
      </c>
      <c r="G5944" t="s">
        <v>221</v>
      </c>
      <c r="H5944" t="s">
        <v>221</v>
      </c>
      <c r="I5944" t="s">
        <v>45</v>
      </c>
      <c r="J5944" t="s">
        <v>46</v>
      </c>
      <c r="K5944" t="s">
        <v>30</v>
      </c>
      <c r="L5944" t="s">
        <v>31</v>
      </c>
      <c r="M5944" t="s">
        <v>220</v>
      </c>
      <c r="N5944">
        <v>3161</v>
      </c>
      <c r="O5944">
        <v>3.8572350999999998E-2</v>
      </c>
      <c r="P5944">
        <v>1.6632873999999999E-2</v>
      </c>
      <c r="Q5944" t="str">
        <f t="shared" si="184"/>
        <v>50+</v>
      </c>
      <c r="R5944" t="str">
        <f t="shared" si="185"/>
        <v>[JQKLKuVuY61]|50+|Female|PLHIV_Attend.T|CY2025Q3</v>
      </c>
    </row>
    <row r="5945" spans="4:18" x14ac:dyDescent="0.2">
      <c r="D5945" t="s">
        <v>72</v>
      </c>
      <c r="E5945" t="s">
        <v>73</v>
      </c>
      <c r="F5945" t="s">
        <v>74</v>
      </c>
      <c r="G5945" t="s">
        <v>221</v>
      </c>
      <c r="H5945" t="s">
        <v>221</v>
      </c>
      <c r="I5945" t="s">
        <v>28</v>
      </c>
      <c r="J5945" t="s">
        <v>29</v>
      </c>
      <c r="K5945" t="s">
        <v>48</v>
      </c>
      <c r="L5945" t="s">
        <v>49</v>
      </c>
      <c r="M5945" t="s">
        <v>220</v>
      </c>
      <c r="N5945">
        <v>10</v>
      </c>
      <c r="O5945">
        <v>2.3239706999999998E-2</v>
      </c>
      <c r="P5945">
        <v>1.6632873999999999E-2</v>
      </c>
      <c r="Q5945" t="str">
        <f t="shared" si="184"/>
        <v>&lt;01</v>
      </c>
      <c r="R5945" t="str">
        <f t="shared" si="185"/>
        <v>[JQKLKuVuY61]|&lt;01|Male|PLHIV_Attend.T|CY2025Q3</v>
      </c>
    </row>
    <row r="5946" spans="4:18" x14ac:dyDescent="0.2">
      <c r="D5946" t="s">
        <v>72</v>
      </c>
      <c r="E5946" t="s">
        <v>73</v>
      </c>
      <c r="F5946" t="s">
        <v>74</v>
      </c>
      <c r="G5946" t="s">
        <v>221</v>
      </c>
      <c r="H5946" t="s">
        <v>221</v>
      </c>
      <c r="I5946" t="s">
        <v>33</v>
      </c>
      <c r="J5946" t="s">
        <v>34</v>
      </c>
      <c r="K5946" t="s">
        <v>48</v>
      </c>
      <c r="L5946" t="s">
        <v>49</v>
      </c>
      <c r="M5946" t="s">
        <v>220</v>
      </c>
      <c r="N5946">
        <v>187</v>
      </c>
      <c r="O5946">
        <v>2.9526067999999999E-2</v>
      </c>
      <c r="P5946">
        <v>1.6632873999999999E-2</v>
      </c>
      <c r="Q5946" t="str">
        <f t="shared" si="184"/>
        <v>01-09</v>
      </c>
      <c r="R5946" t="str">
        <f t="shared" si="185"/>
        <v>[JQKLKuVuY61]|01-09|Male|PLHIV_Attend.T|CY2025Q3</v>
      </c>
    </row>
    <row r="5947" spans="4:18" x14ac:dyDescent="0.2">
      <c r="D5947" t="s">
        <v>72</v>
      </c>
      <c r="E5947" t="s">
        <v>73</v>
      </c>
      <c r="F5947" t="s">
        <v>74</v>
      </c>
      <c r="G5947" t="s">
        <v>221</v>
      </c>
      <c r="H5947" t="s">
        <v>221</v>
      </c>
      <c r="I5947" t="s">
        <v>36</v>
      </c>
      <c r="J5947" t="s">
        <v>37</v>
      </c>
      <c r="K5947" t="s">
        <v>48</v>
      </c>
      <c r="L5947" t="s">
        <v>49</v>
      </c>
      <c r="M5947" t="s">
        <v>220</v>
      </c>
      <c r="N5947">
        <v>253</v>
      </c>
      <c r="O5947">
        <v>4.0260452000000002E-2</v>
      </c>
      <c r="P5947">
        <v>1.6632873999999999E-2</v>
      </c>
      <c r="Q5947" t="str">
        <f t="shared" si="184"/>
        <v>10-14</v>
      </c>
      <c r="R5947" t="str">
        <f t="shared" si="185"/>
        <v>[JQKLKuVuY61]|10-14|Male|PLHIV_Attend.T|CY2025Q3</v>
      </c>
    </row>
    <row r="5948" spans="4:18" x14ac:dyDescent="0.2">
      <c r="D5948" t="s">
        <v>72</v>
      </c>
      <c r="E5948" t="s">
        <v>73</v>
      </c>
      <c r="F5948" t="s">
        <v>74</v>
      </c>
      <c r="G5948" t="s">
        <v>221</v>
      </c>
      <c r="H5948" t="s">
        <v>221</v>
      </c>
      <c r="I5948" t="s">
        <v>38</v>
      </c>
      <c r="J5948" t="s">
        <v>39</v>
      </c>
      <c r="K5948" t="s">
        <v>48</v>
      </c>
      <c r="L5948" t="s">
        <v>49</v>
      </c>
      <c r="M5948" t="s">
        <v>220</v>
      </c>
      <c r="N5948">
        <v>683</v>
      </c>
      <c r="O5948">
        <v>6.0069393999999998E-2</v>
      </c>
      <c r="P5948">
        <v>1.6632873999999999E-2</v>
      </c>
      <c r="Q5948" t="str">
        <f t="shared" si="184"/>
        <v>15-24</v>
      </c>
      <c r="R5948" t="str">
        <f t="shared" si="185"/>
        <v>[JQKLKuVuY61]|15-24|Male|PLHIV_Attend.T|CY2025Q3</v>
      </c>
    </row>
    <row r="5949" spans="4:18" x14ac:dyDescent="0.2">
      <c r="D5949" t="s">
        <v>72</v>
      </c>
      <c r="E5949" t="s">
        <v>73</v>
      </c>
      <c r="F5949" t="s">
        <v>74</v>
      </c>
      <c r="G5949" t="s">
        <v>221</v>
      </c>
      <c r="H5949" t="s">
        <v>221</v>
      </c>
      <c r="I5949" t="s">
        <v>41</v>
      </c>
      <c r="J5949" t="s">
        <v>42</v>
      </c>
      <c r="K5949" t="s">
        <v>48</v>
      </c>
      <c r="L5949" t="s">
        <v>49</v>
      </c>
      <c r="M5949" t="s">
        <v>220</v>
      </c>
      <c r="N5949">
        <v>843</v>
      </c>
      <c r="O5949">
        <v>6.8243130999999999E-2</v>
      </c>
      <c r="P5949">
        <v>1.6632873999999999E-2</v>
      </c>
      <c r="Q5949" t="str">
        <f t="shared" si="184"/>
        <v>25-34</v>
      </c>
      <c r="R5949" t="str">
        <f t="shared" si="185"/>
        <v>[JQKLKuVuY61]|25-34|Male|PLHIV_Attend.T|CY2025Q3</v>
      </c>
    </row>
    <row r="5950" spans="4:18" x14ac:dyDescent="0.2">
      <c r="D5950" t="s">
        <v>72</v>
      </c>
      <c r="E5950" t="s">
        <v>73</v>
      </c>
      <c r="F5950" t="s">
        <v>74</v>
      </c>
      <c r="G5950" t="s">
        <v>221</v>
      </c>
      <c r="H5950" t="s">
        <v>221</v>
      </c>
      <c r="I5950" t="s">
        <v>43</v>
      </c>
      <c r="J5950" t="s">
        <v>44</v>
      </c>
      <c r="K5950" t="s">
        <v>48</v>
      </c>
      <c r="L5950" t="s">
        <v>49</v>
      </c>
      <c r="M5950" t="s">
        <v>220</v>
      </c>
      <c r="N5950">
        <v>3353</v>
      </c>
      <c r="O5950">
        <v>3.7169114000000003E-2</v>
      </c>
      <c r="P5950">
        <v>1.6632873999999999E-2</v>
      </c>
      <c r="Q5950" t="str">
        <f t="shared" si="184"/>
        <v>35-49</v>
      </c>
      <c r="R5950" t="str">
        <f t="shared" si="185"/>
        <v>[JQKLKuVuY61]|35-49|Male|PLHIV_Attend.T|CY2025Q3</v>
      </c>
    </row>
    <row r="5951" spans="4:18" x14ac:dyDescent="0.2">
      <c r="D5951" t="s">
        <v>72</v>
      </c>
      <c r="E5951" t="s">
        <v>73</v>
      </c>
      <c r="F5951" t="s">
        <v>74</v>
      </c>
      <c r="G5951" t="s">
        <v>221</v>
      </c>
      <c r="H5951" t="s">
        <v>221</v>
      </c>
      <c r="I5951" t="s">
        <v>45</v>
      </c>
      <c r="J5951" t="s">
        <v>46</v>
      </c>
      <c r="K5951" t="s">
        <v>48</v>
      </c>
      <c r="L5951" t="s">
        <v>49</v>
      </c>
      <c r="M5951" t="s">
        <v>220</v>
      </c>
      <c r="N5951">
        <v>2915</v>
      </c>
      <c r="O5951">
        <v>3.5281238999999999E-2</v>
      </c>
      <c r="P5951">
        <v>1.6632873999999999E-2</v>
      </c>
      <c r="Q5951" t="str">
        <f t="shared" si="184"/>
        <v>50+</v>
      </c>
      <c r="R5951" t="str">
        <f t="shared" si="185"/>
        <v>[JQKLKuVuY61]|50+|Male|PLHIV_Attend.T|CY2025Q3</v>
      </c>
    </row>
    <row r="5952" spans="4:18" x14ac:dyDescent="0.2">
      <c r="D5952" t="s">
        <v>75</v>
      </c>
      <c r="E5952" t="s">
        <v>76</v>
      </c>
      <c r="F5952" t="s">
        <v>77</v>
      </c>
      <c r="G5952" t="s">
        <v>221</v>
      </c>
      <c r="H5952" t="s">
        <v>221</v>
      </c>
      <c r="I5952" t="s">
        <v>28</v>
      </c>
      <c r="J5952" t="s">
        <v>29</v>
      </c>
      <c r="K5952" t="s">
        <v>30</v>
      </c>
      <c r="L5952" t="s">
        <v>31</v>
      </c>
      <c r="M5952" t="s">
        <v>220</v>
      </c>
      <c r="N5952">
        <v>8</v>
      </c>
      <c r="O5952">
        <v>2.6602649999999999E-2</v>
      </c>
      <c r="P5952">
        <v>2.0955205000000001E-2</v>
      </c>
      <c r="Q5952" t="str">
        <f t="shared" si="184"/>
        <v>&lt;01</v>
      </c>
      <c r="R5952" t="str">
        <f t="shared" si="185"/>
        <v>[YCKiBAp8QAg]|&lt;01|Female|PLHIV_Attend.T|CY2025Q3</v>
      </c>
    </row>
    <row r="5953" spans="4:18" x14ac:dyDescent="0.2">
      <c r="D5953" t="s">
        <v>75</v>
      </c>
      <c r="E5953" t="s">
        <v>76</v>
      </c>
      <c r="F5953" t="s">
        <v>77</v>
      </c>
      <c r="G5953" t="s">
        <v>221</v>
      </c>
      <c r="H5953" t="s">
        <v>221</v>
      </c>
      <c r="I5953" t="s">
        <v>33</v>
      </c>
      <c r="J5953" t="s">
        <v>34</v>
      </c>
      <c r="K5953" t="s">
        <v>30</v>
      </c>
      <c r="L5953" t="s">
        <v>31</v>
      </c>
      <c r="M5953" t="s">
        <v>220</v>
      </c>
      <c r="N5953">
        <v>143</v>
      </c>
      <c r="O5953">
        <v>3.3556532E-2</v>
      </c>
      <c r="P5953">
        <v>2.0955205000000001E-2</v>
      </c>
      <c r="Q5953" t="str">
        <f t="shared" si="184"/>
        <v>01-09</v>
      </c>
      <c r="R5953" t="str">
        <f t="shared" si="185"/>
        <v>[YCKiBAp8QAg]|01-09|Female|PLHIV_Attend.T|CY2025Q3</v>
      </c>
    </row>
    <row r="5954" spans="4:18" x14ac:dyDescent="0.2">
      <c r="D5954" t="s">
        <v>75</v>
      </c>
      <c r="E5954" t="s">
        <v>76</v>
      </c>
      <c r="F5954" t="s">
        <v>77</v>
      </c>
      <c r="G5954" t="s">
        <v>221</v>
      </c>
      <c r="H5954" t="s">
        <v>221</v>
      </c>
      <c r="I5954" t="s">
        <v>36</v>
      </c>
      <c r="J5954" t="s">
        <v>37</v>
      </c>
      <c r="K5954" t="s">
        <v>30</v>
      </c>
      <c r="L5954" t="s">
        <v>31</v>
      </c>
      <c r="M5954" t="s">
        <v>220</v>
      </c>
      <c r="N5954">
        <v>191</v>
      </c>
      <c r="O5954">
        <v>4.5159871999999997E-2</v>
      </c>
      <c r="P5954">
        <v>2.0955205000000001E-2</v>
      </c>
      <c r="Q5954" t="str">
        <f t="shared" si="184"/>
        <v>10-14</v>
      </c>
      <c r="R5954" t="str">
        <f t="shared" si="185"/>
        <v>[YCKiBAp8QAg]|10-14|Female|PLHIV_Attend.T|CY2025Q3</v>
      </c>
    </row>
    <row r="5955" spans="4:18" x14ac:dyDescent="0.2">
      <c r="D5955" t="s">
        <v>75</v>
      </c>
      <c r="E5955" t="s">
        <v>76</v>
      </c>
      <c r="F5955" t="s">
        <v>77</v>
      </c>
      <c r="G5955" t="s">
        <v>221</v>
      </c>
      <c r="H5955" t="s">
        <v>221</v>
      </c>
      <c r="I5955" t="s">
        <v>38</v>
      </c>
      <c r="J5955" t="s">
        <v>39</v>
      </c>
      <c r="K5955" t="s">
        <v>30</v>
      </c>
      <c r="L5955" t="s">
        <v>31</v>
      </c>
      <c r="M5955" t="s">
        <v>220</v>
      </c>
      <c r="N5955">
        <v>714</v>
      </c>
      <c r="O5955">
        <v>5.6513476999999999E-2</v>
      </c>
      <c r="P5955">
        <v>2.0955205000000001E-2</v>
      </c>
      <c r="Q5955" t="str">
        <f t="shared" ref="Q5955:Q6018" si="186">SUBSTITUTE(SUBSTITUTE($I5955,CHAR(61),""),CHAR(34),"")</f>
        <v>15-24</v>
      </c>
      <c r="R5955" t="str">
        <f t="shared" ref="R5955:R6018" si="187">IF($D5955&lt;&gt;"","["&amp;$E5955&amp;"]"&amp;"|"&amp;$Q5955&amp;"|"&amp;$K5955&amp;"|"&amp;$G5955&amp;"|"&amp;IF($G5955="TX_CURR_SUBNAT.R","CY2023Q4",$M5955),"")</f>
        <v>[YCKiBAp8QAg]|15-24|Female|PLHIV_Attend.T|CY2025Q3</v>
      </c>
    </row>
    <row r="5956" spans="4:18" x14ac:dyDescent="0.2">
      <c r="D5956" t="s">
        <v>75</v>
      </c>
      <c r="E5956" t="s">
        <v>76</v>
      </c>
      <c r="F5956" t="s">
        <v>77</v>
      </c>
      <c r="G5956" t="s">
        <v>221</v>
      </c>
      <c r="H5956" t="s">
        <v>221</v>
      </c>
      <c r="I5956" t="s">
        <v>41</v>
      </c>
      <c r="J5956" t="s">
        <v>42</v>
      </c>
      <c r="K5956" t="s">
        <v>30</v>
      </c>
      <c r="L5956" t="s">
        <v>31</v>
      </c>
      <c r="M5956" t="s">
        <v>220</v>
      </c>
      <c r="N5956">
        <v>1644</v>
      </c>
      <c r="O5956">
        <v>4.1523099000000001E-2</v>
      </c>
      <c r="P5956">
        <v>2.0955205000000001E-2</v>
      </c>
      <c r="Q5956" t="str">
        <f t="shared" si="186"/>
        <v>25-34</v>
      </c>
      <c r="R5956" t="str">
        <f t="shared" si="187"/>
        <v>[YCKiBAp8QAg]|25-34|Female|PLHIV_Attend.T|CY2025Q3</v>
      </c>
    </row>
    <row r="5957" spans="4:18" x14ac:dyDescent="0.2">
      <c r="D5957" t="s">
        <v>75</v>
      </c>
      <c r="E5957" t="s">
        <v>76</v>
      </c>
      <c r="F5957" t="s">
        <v>77</v>
      </c>
      <c r="G5957" t="s">
        <v>221</v>
      </c>
      <c r="H5957" t="s">
        <v>221</v>
      </c>
      <c r="I5957" t="s">
        <v>43</v>
      </c>
      <c r="J5957" t="s">
        <v>44</v>
      </c>
      <c r="K5957" t="s">
        <v>30</v>
      </c>
      <c r="L5957" t="s">
        <v>31</v>
      </c>
      <c r="M5957" t="s">
        <v>220</v>
      </c>
      <c r="N5957">
        <v>4565</v>
      </c>
      <c r="O5957">
        <v>2.5940857000000001E-2</v>
      </c>
      <c r="P5957">
        <v>2.0955205000000001E-2</v>
      </c>
      <c r="Q5957" t="str">
        <f t="shared" si="186"/>
        <v>35-49</v>
      </c>
      <c r="R5957" t="str">
        <f t="shared" si="187"/>
        <v>[YCKiBAp8QAg]|35-49|Female|PLHIV_Attend.T|CY2025Q3</v>
      </c>
    </row>
    <row r="5958" spans="4:18" x14ac:dyDescent="0.2">
      <c r="D5958" t="s">
        <v>75</v>
      </c>
      <c r="E5958" t="s">
        <v>76</v>
      </c>
      <c r="F5958" t="s">
        <v>77</v>
      </c>
      <c r="G5958" t="s">
        <v>221</v>
      </c>
      <c r="H5958" t="s">
        <v>221</v>
      </c>
      <c r="I5958" t="s">
        <v>45</v>
      </c>
      <c r="J5958" t="s">
        <v>46</v>
      </c>
      <c r="K5958" t="s">
        <v>30</v>
      </c>
      <c r="L5958" t="s">
        <v>31</v>
      </c>
      <c r="M5958" t="s">
        <v>220</v>
      </c>
      <c r="N5958">
        <v>2219</v>
      </c>
      <c r="O5958">
        <v>4.1765719E-2</v>
      </c>
      <c r="P5958">
        <v>2.0955205000000001E-2</v>
      </c>
      <c r="Q5958" t="str">
        <f t="shared" si="186"/>
        <v>50+</v>
      </c>
      <c r="R5958" t="str">
        <f t="shared" si="187"/>
        <v>[YCKiBAp8QAg]|50+|Female|PLHIV_Attend.T|CY2025Q3</v>
      </c>
    </row>
    <row r="5959" spans="4:18" x14ac:dyDescent="0.2">
      <c r="D5959" t="s">
        <v>75</v>
      </c>
      <c r="E5959" t="s">
        <v>76</v>
      </c>
      <c r="F5959" t="s">
        <v>77</v>
      </c>
      <c r="G5959" t="s">
        <v>221</v>
      </c>
      <c r="H5959" t="s">
        <v>221</v>
      </c>
      <c r="I5959" t="s">
        <v>28</v>
      </c>
      <c r="J5959" t="s">
        <v>29</v>
      </c>
      <c r="K5959" t="s">
        <v>48</v>
      </c>
      <c r="L5959" t="s">
        <v>49</v>
      </c>
      <c r="M5959" t="s">
        <v>220</v>
      </c>
      <c r="N5959">
        <v>8</v>
      </c>
      <c r="O5959">
        <v>2.6636245999999999E-2</v>
      </c>
      <c r="P5959">
        <v>2.0955205000000001E-2</v>
      </c>
      <c r="Q5959" t="str">
        <f t="shared" si="186"/>
        <v>&lt;01</v>
      </c>
      <c r="R5959" t="str">
        <f t="shared" si="187"/>
        <v>[YCKiBAp8QAg]|&lt;01|Male|PLHIV_Attend.T|CY2025Q3</v>
      </c>
    </row>
    <row r="5960" spans="4:18" x14ac:dyDescent="0.2">
      <c r="D5960" t="s">
        <v>75</v>
      </c>
      <c r="E5960" t="s">
        <v>76</v>
      </c>
      <c r="F5960" t="s">
        <v>77</v>
      </c>
      <c r="G5960" t="s">
        <v>221</v>
      </c>
      <c r="H5960" t="s">
        <v>221</v>
      </c>
      <c r="I5960" t="s">
        <v>33</v>
      </c>
      <c r="J5960" t="s">
        <v>34</v>
      </c>
      <c r="K5960" t="s">
        <v>48</v>
      </c>
      <c r="L5960" t="s">
        <v>49</v>
      </c>
      <c r="M5960" t="s">
        <v>220</v>
      </c>
      <c r="N5960">
        <v>144</v>
      </c>
      <c r="O5960">
        <v>3.3568858E-2</v>
      </c>
      <c r="P5960">
        <v>2.0955205000000001E-2</v>
      </c>
      <c r="Q5960" t="str">
        <f t="shared" si="186"/>
        <v>01-09</v>
      </c>
      <c r="R5960" t="str">
        <f t="shared" si="187"/>
        <v>[YCKiBAp8QAg]|01-09|Male|PLHIV_Attend.T|CY2025Q3</v>
      </c>
    </row>
    <row r="5961" spans="4:18" x14ac:dyDescent="0.2">
      <c r="D5961" t="s">
        <v>75</v>
      </c>
      <c r="E5961" t="s">
        <v>76</v>
      </c>
      <c r="F5961" t="s">
        <v>77</v>
      </c>
      <c r="G5961" t="s">
        <v>221</v>
      </c>
      <c r="H5961" t="s">
        <v>221</v>
      </c>
      <c r="I5961" t="s">
        <v>36</v>
      </c>
      <c r="J5961" t="s">
        <v>37</v>
      </c>
      <c r="K5961" t="s">
        <v>48</v>
      </c>
      <c r="L5961" t="s">
        <v>49</v>
      </c>
      <c r="M5961" t="s">
        <v>220</v>
      </c>
      <c r="N5961">
        <v>191</v>
      </c>
      <c r="O5961">
        <v>4.5161266999999998E-2</v>
      </c>
      <c r="P5961">
        <v>2.0955205000000001E-2</v>
      </c>
      <c r="Q5961" t="str">
        <f t="shared" si="186"/>
        <v>10-14</v>
      </c>
      <c r="R5961" t="str">
        <f t="shared" si="187"/>
        <v>[YCKiBAp8QAg]|10-14|Male|PLHIV_Attend.T|CY2025Q3</v>
      </c>
    </row>
    <row r="5962" spans="4:18" x14ac:dyDescent="0.2">
      <c r="D5962" t="s">
        <v>75</v>
      </c>
      <c r="E5962" t="s">
        <v>76</v>
      </c>
      <c r="F5962" t="s">
        <v>77</v>
      </c>
      <c r="G5962" t="s">
        <v>221</v>
      </c>
      <c r="H5962" t="s">
        <v>221</v>
      </c>
      <c r="I5962" t="s">
        <v>38</v>
      </c>
      <c r="J5962" t="s">
        <v>39</v>
      </c>
      <c r="K5962" t="s">
        <v>48</v>
      </c>
      <c r="L5962" t="s">
        <v>49</v>
      </c>
      <c r="M5962" t="s">
        <v>220</v>
      </c>
      <c r="N5962">
        <v>531</v>
      </c>
      <c r="O5962">
        <v>6.4687865999999997E-2</v>
      </c>
      <c r="P5962">
        <v>2.0955205000000001E-2</v>
      </c>
      <c r="Q5962" t="str">
        <f t="shared" si="186"/>
        <v>15-24</v>
      </c>
      <c r="R5962" t="str">
        <f t="shared" si="187"/>
        <v>[YCKiBAp8QAg]|15-24|Male|PLHIV_Attend.T|CY2025Q3</v>
      </c>
    </row>
    <row r="5963" spans="4:18" x14ac:dyDescent="0.2">
      <c r="D5963" t="s">
        <v>75</v>
      </c>
      <c r="E5963" t="s">
        <v>76</v>
      </c>
      <c r="F5963" t="s">
        <v>77</v>
      </c>
      <c r="G5963" t="s">
        <v>221</v>
      </c>
      <c r="H5963" t="s">
        <v>221</v>
      </c>
      <c r="I5963" t="s">
        <v>41</v>
      </c>
      <c r="J5963" t="s">
        <v>42</v>
      </c>
      <c r="K5963" t="s">
        <v>48</v>
      </c>
      <c r="L5963" t="s">
        <v>49</v>
      </c>
      <c r="M5963" t="s">
        <v>220</v>
      </c>
      <c r="N5963">
        <v>652</v>
      </c>
      <c r="O5963">
        <v>6.8966937000000006E-2</v>
      </c>
      <c r="P5963">
        <v>2.0955205000000001E-2</v>
      </c>
      <c r="Q5963" t="str">
        <f t="shared" si="186"/>
        <v>25-34</v>
      </c>
      <c r="R5963" t="str">
        <f t="shared" si="187"/>
        <v>[YCKiBAp8QAg]|25-34|Male|PLHIV_Attend.T|CY2025Q3</v>
      </c>
    </row>
    <row r="5964" spans="4:18" x14ac:dyDescent="0.2">
      <c r="D5964" t="s">
        <v>75</v>
      </c>
      <c r="E5964" t="s">
        <v>76</v>
      </c>
      <c r="F5964" t="s">
        <v>77</v>
      </c>
      <c r="G5964" t="s">
        <v>221</v>
      </c>
      <c r="H5964" t="s">
        <v>221</v>
      </c>
      <c r="I5964" t="s">
        <v>43</v>
      </c>
      <c r="J5964" t="s">
        <v>44</v>
      </c>
      <c r="K5964" t="s">
        <v>48</v>
      </c>
      <c r="L5964" t="s">
        <v>49</v>
      </c>
      <c r="M5964" t="s">
        <v>220</v>
      </c>
      <c r="N5964">
        <v>2482</v>
      </c>
      <c r="O5964">
        <v>3.7380774999999998E-2</v>
      </c>
      <c r="P5964">
        <v>2.0955205000000001E-2</v>
      </c>
      <c r="Q5964" t="str">
        <f t="shared" si="186"/>
        <v>35-49</v>
      </c>
      <c r="R5964" t="str">
        <f t="shared" si="187"/>
        <v>[YCKiBAp8QAg]|35-49|Male|PLHIV_Attend.T|CY2025Q3</v>
      </c>
    </row>
    <row r="5965" spans="4:18" x14ac:dyDescent="0.2">
      <c r="D5965" t="s">
        <v>75</v>
      </c>
      <c r="E5965" t="s">
        <v>76</v>
      </c>
      <c r="F5965" t="s">
        <v>77</v>
      </c>
      <c r="G5965" t="s">
        <v>221</v>
      </c>
      <c r="H5965" t="s">
        <v>221</v>
      </c>
      <c r="I5965" t="s">
        <v>45</v>
      </c>
      <c r="J5965" t="s">
        <v>46</v>
      </c>
      <c r="K5965" t="s">
        <v>48</v>
      </c>
      <c r="L5965" t="s">
        <v>49</v>
      </c>
      <c r="M5965" t="s">
        <v>220</v>
      </c>
      <c r="N5965">
        <v>2137</v>
      </c>
      <c r="O5965">
        <v>3.8248895999999998E-2</v>
      </c>
      <c r="P5965">
        <v>2.0955205000000001E-2</v>
      </c>
      <c r="Q5965" t="str">
        <f t="shared" si="186"/>
        <v>50+</v>
      </c>
      <c r="R5965" t="str">
        <f t="shared" si="187"/>
        <v>[YCKiBAp8QAg]|50+|Male|PLHIV_Attend.T|CY2025Q3</v>
      </c>
    </row>
    <row r="5966" spans="4:18" x14ac:dyDescent="0.2">
      <c r="D5966" t="s">
        <v>78</v>
      </c>
      <c r="E5966" t="s">
        <v>79</v>
      </c>
      <c r="F5966" t="s">
        <v>80</v>
      </c>
      <c r="G5966" t="s">
        <v>221</v>
      </c>
      <c r="H5966" t="s">
        <v>221</v>
      </c>
      <c r="I5966" t="s">
        <v>28</v>
      </c>
      <c r="J5966" t="s">
        <v>29</v>
      </c>
      <c r="K5966" t="s">
        <v>30</v>
      </c>
      <c r="L5966" t="s">
        <v>31</v>
      </c>
      <c r="M5966" t="s">
        <v>220</v>
      </c>
      <c r="N5966">
        <v>3</v>
      </c>
      <c r="O5966">
        <v>3.3345708000000002E-2</v>
      </c>
      <c r="P5966">
        <v>2.5391302000000001E-2</v>
      </c>
      <c r="Q5966" t="str">
        <f t="shared" si="186"/>
        <v>&lt;01</v>
      </c>
      <c r="R5966" t="str">
        <f t="shared" si="187"/>
        <v>[fiRkU6gEjLz]|&lt;01|Female|PLHIV_Attend.T|CY2025Q3</v>
      </c>
    </row>
    <row r="5967" spans="4:18" x14ac:dyDescent="0.2">
      <c r="D5967" t="s">
        <v>78</v>
      </c>
      <c r="E5967" t="s">
        <v>79</v>
      </c>
      <c r="F5967" t="s">
        <v>80</v>
      </c>
      <c r="G5967" t="s">
        <v>221</v>
      </c>
      <c r="H5967" t="s">
        <v>221</v>
      </c>
      <c r="I5967" t="s">
        <v>33</v>
      </c>
      <c r="J5967" t="s">
        <v>34</v>
      </c>
      <c r="K5967" t="s">
        <v>30</v>
      </c>
      <c r="L5967" t="s">
        <v>31</v>
      </c>
      <c r="M5967" t="s">
        <v>220</v>
      </c>
      <c r="N5967">
        <v>46</v>
      </c>
      <c r="O5967">
        <v>4.0757201E-2</v>
      </c>
      <c r="P5967">
        <v>2.5391302000000001E-2</v>
      </c>
      <c r="Q5967" t="str">
        <f t="shared" si="186"/>
        <v>01-09</v>
      </c>
      <c r="R5967" t="str">
        <f t="shared" si="187"/>
        <v>[fiRkU6gEjLz]|01-09|Female|PLHIV_Attend.T|CY2025Q3</v>
      </c>
    </row>
    <row r="5968" spans="4:18" x14ac:dyDescent="0.2">
      <c r="D5968" t="s">
        <v>78</v>
      </c>
      <c r="E5968" t="s">
        <v>79</v>
      </c>
      <c r="F5968" t="s">
        <v>80</v>
      </c>
      <c r="G5968" t="s">
        <v>221</v>
      </c>
      <c r="H5968" t="s">
        <v>221</v>
      </c>
      <c r="I5968" t="s">
        <v>36</v>
      </c>
      <c r="J5968" t="s">
        <v>37</v>
      </c>
      <c r="K5968" t="s">
        <v>30</v>
      </c>
      <c r="L5968" t="s">
        <v>31</v>
      </c>
      <c r="M5968" t="s">
        <v>220</v>
      </c>
      <c r="N5968">
        <v>62</v>
      </c>
      <c r="O5968">
        <v>5.3436286999999999E-2</v>
      </c>
      <c r="P5968">
        <v>2.5391302000000001E-2</v>
      </c>
      <c r="Q5968" t="str">
        <f t="shared" si="186"/>
        <v>10-14</v>
      </c>
      <c r="R5968" t="str">
        <f t="shared" si="187"/>
        <v>[fiRkU6gEjLz]|10-14|Female|PLHIV_Attend.T|CY2025Q3</v>
      </c>
    </row>
    <row r="5969" spans="4:18" x14ac:dyDescent="0.2">
      <c r="D5969" t="s">
        <v>78</v>
      </c>
      <c r="E5969" t="s">
        <v>79</v>
      </c>
      <c r="F5969" t="s">
        <v>80</v>
      </c>
      <c r="G5969" t="s">
        <v>221</v>
      </c>
      <c r="H5969" t="s">
        <v>221</v>
      </c>
      <c r="I5969" t="s">
        <v>38</v>
      </c>
      <c r="J5969" t="s">
        <v>39</v>
      </c>
      <c r="K5969" t="s">
        <v>30</v>
      </c>
      <c r="L5969" t="s">
        <v>31</v>
      </c>
      <c r="M5969" t="s">
        <v>220</v>
      </c>
      <c r="N5969">
        <v>229</v>
      </c>
      <c r="O5969">
        <v>5.9022314999999999E-2</v>
      </c>
      <c r="P5969">
        <v>2.5391302000000001E-2</v>
      </c>
      <c r="Q5969" t="str">
        <f t="shared" si="186"/>
        <v>15-24</v>
      </c>
      <c r="R5969" t="str">
        <f t="shared" si="187"/>
        <v>[fiRkU6gEjLz]|15-24|Female|PLHIV_Attend.T|CY2025Q3</v>
      </c>
    </row>
    <row r="5970" spans="4:18" x14ac:dyDescent="0.2">
      <c r="D5970" t="s">
        <v>78</v>
      </c>
      <c r="E5970" t="s">
        <v>79</v>
      </c>
      <c r="F5970" t="s">
        <v>80</v>
      </c>
      <c r="G5970" t="s">
        <v>221</v>
      </c>
      <c r="H5970" t="s">
        <v>221</v>
      </c>
      <c r="I5970" t="s">
        <v>41</v>
      </c>
      <c r="J5970" t="s">
        <v>42</v>
      </c>
      <c r="K5970" t="s">
        <v>30</v>
      </c>
      <c r="L5970" t="s">
        <v>31</v>
      </c>
      <c r="M5970" t="s">
        <v>220</v>
      </c>
      <c r="N5970">
        <v>538</v>
      </c>
      <c r="O5970">
        <v>4.7324966000000003E-2</v>
      </c>
      <c r="P5970">
        <v>2.5391302000000001E-2</v>
      </c>
      <c r="Q5970" t="str">
        <f t="shared" si="186"/>
        <v>25-34</v>
      </c>
      <c r="R5970" t="str">
        <f t="shared" si="187"/>
        <v>[fiRkU6gEjLz]|25-34|Female|PLHIV_Attend.T|CY2025Q3</v>
      </c>
    </row>
    <row r="5971" spans="4:18" x14ac:dyDescent="0.2">
      <c r="D5971" t="s">
        <v>78</v>
      </c>
      <c r="E5971" t="s">
        <v>79</v>
      </c>
      <c r="F5971" t="s">
        <v>80</v>
      </c>
      <c r="G5971" t="s">
        <v>221</v>
      </c>
      <c r="H5971" t="s">
        <v>221</v>
      </c>
      <c r="I5971" t="s">
        <v>43</v>
      </c>
      <c r="J5971" t="s">
        <v>44</v>
      </c>
      <c r="K5971" t="s">
        <v>30</v>
      </c>
      <c r="L5971" t="s">
        <v>31</v>
      </c>
      <c r="M5971" t="s">
        <v>220</v>
      </c>
      <c r="N5971">
        <v>1585</v>
      </c>
      <c r="O5971">
        <v>3.1762266999999997E-2</v>
      </c>
      <c r="P5971">
        <v>2.5391302000000001E-2</v>
      </c>
      <c r="Q5971" t="str">
        <f t="shared" si="186"/>
        <v>35-49</v>
      </c>
      <c r="R5971" t="str">
        <f t="shared" si="187"/>
        <v>[fiRkU6gEjLz]|35-49|Female|PLHIV_Attend.T|CY2025Q3</v>
      </c>
    </row>
    <row r="5972" spans="4:18" x14ac:dyDescent="0.2">
      <c r="D5972" t="s">
        <v>78</v>
      </c>
      <c r="E5972" t="s">
        <v>79</v>
      </c>
      <c r="F5972" t="s">
        <v>80</v>
      </c>
      <c r="G5972" t="s">
        <v>221</v>
      </c>
      <c r="H5972" t="s">
        <v>221</v>
      </c>
      <c r="I5972" t="s">
        <v>45</v>
      </c>
      <c r="J5972" t="s">
        <v>46</v>
      </c>
      <c r="K5972" t="s">
        <v>30</v>
      </c>
      <c r="L5972" t="s">
        <v>31</v>
      </c>
      <c r="M5972" t="s">
        <v>220</v>
      </c>
      <c r="N5972">
        <v>824</v>
      </c>
      <c r="O5972">
        <v>4.1982488999999998E-2</v>
      </c>
      <c r="P5972">
        <v>2.5391302000000001E-2</v>
      </c>
      <c r="Q5972" t="str">
        <f t="shared" si="186"/>
        <v>50+</v>
      </c>
      <c r="R5972" t="str">
        <f t="shared" si="187"/>
        <v>[fiRkU6gEjLz]|50+|Female|PLHIV_Attend.T|CY2025Q3</v>
      </c>
    </row>
    <row r="5973" spans="4:18" x14ac:dyDescent="0.2">
      <c r="D5973" t="s">
        <v>78</v>
      </c>
      <c r="E5973" t="s">
        <v>79</v>
      </c>
      <c r="F5973" t="s">
        <v>80</v>
      </c>
      <c r="G5973" t="s">
        <v>221</v>
      </c>
      <c r="H5973" t="s">
        <v>221</v>
      </c>
      <c r="I5973" t="s">
        <v>28</v>
      </c>
      <c r="J5973" t="s">
        <v>29</v>
      </c>
      <c r="K5973" t="s">
        <v>48</v>
      </c>
      <c r="L5973" t="s">
        <v>49</v>
      </c>
      <c r="M5973" t="s">
        <v>220</v>
      </c>
      <c r="N5973">
        <v>3</v>
      </c>
      <c r="O5973">
        <v>3.3399342999999998E-2</v>
      </c>
      <c r="P5973">
        <v>2.5391302000000001E-2</v>
      </c>
      <c r="Q5973" t="str">
        <f t="shared" si="186"/>
        <v>&lt;01</v>
      </c>
      <c r="R5973" t="str">
        <f t="shared" si="187"/>
        <v>[fiRkU6gEjLz]|&lt;01|Male|PLHIV_Attend.T|CY2025Q3</v>
      </c>
    </row>
    <row r="5974" spans="4:18" x14ac:dyDescent="0.2">
      <c r="D5974" t="s">
        <v>78</v>
      </c>
      <c r="E5974" t="s">
        <v>79</v>
      </c>
      <c r="F5974" t="s">
        <v>80</v>
      </c>
      <c r="G5974" t="s">
        <v>221</v>
      </c>
      <c r="H5974" t="s">
        <v>221</v>
      </c>
      <c r="I5974" t="s">
        <v>33</v>
      </c>
      <c r="J5974" t="s">
        <v>34</v>
      </c>
      <c r="K5974" t="s">
        <v>48</v>
      </c>
      <c r="L5974" t="s">
        <v>49</v>
      </c>
      <c r="M5974" t="s">
        <v>220</v>
      </c>
      <c r="N5974">
        <v>47</v>
      </c>
      <c r="O5974">
        <v>4.0787719E-2</v>
      </c>
      <c r="P5974">
        <v>2.5391302000000001E-2</v>
      </c>
      <c r="Q5974" t="str">
        <f t="shared" si="186"/>
        <v>01-09</v>
      </c>
      <c r="R5974" t="str">
        <f t="shared" si="187"/>
        <v>[fiRkU6gEjLz]|01-09|Male|PLHIV_Attend.T|CY2025Q3</v>
      </c>
    </row>
    <row r="5975" spans="4:18" x14ac:dyDescent="0.2">
      <c r="D5975" t="s">
        <v>78</v>
      </c>
      <c r="E5975" t="s">
        <v>79</v>
      </c>
      <c r="F5975" t="s">
        <v>80</v>
      </c>
      <c r="G5975" t="s">
        <v>221</v>
      </c>
      <c r="H5975" t="s">
        <v>221</v>
      </c>
      <c r="I5975" t="s">
        <v>36</v>
      </c>
      <c r="J5975" t="s">
        <v>37</v>
      </c>
      <c r="K5975" t="s">
        <v>48</v>
      </c>
      <c r="L5975" t="s">
        <v>49</v>
      </c>
      <c r="M5975" t="s">
        <v>220</v>
      </c>
      <c r="N5975">
        <v>62</v>
      </c>
      <c r="O5975">
        <v>5.3413596000000001E-2</v>
      </c>
      <c r="P5975">
        <v>2.5391302000000001E-2</v>
      </c>
      <c r="Q5975" t="str">
        <f t="shared" si="186"/>
        <v>10-14</v>
      </c>
      <c r="R5975" t="str">
        <f t="shared" si="187"/>
        <v>[fiRkU6gEjLz]|10-14|Male|PLHIV_Attend.T|CY2025Q3</v>
      </c>
    </row>
    <row r="5976" spans="4:18" x14ac:dyDescent="0.2">
      <c r="D5976" t="s">
        <v>78</v>
      </c>
      <c r="E5976" t="s">
        <v>79</v>
      </c>
      <c r="F5976" t="s">
        <v>80</v>
      </c>
      <c r="G5976" t="s">
        <v>221</v>
      </c>
      <c r="H5976" t="s">
        <v>221</v>
      </c>
      <c r="I5976" t="s">
        <v>38</v>
      </c>
      <c r="J5976" t="s">
        <v>39</v>
      </c>
      <c r="K5976" t="s">
        <v>48</v>
      </c>
      <c r="L5976" t="s">
        <v>49</v>
      </c>
      <c r="M5976" t="s">
        <v>220</v>
      </c>
      <c r="N5976">
        <v>173</v>
      </c>
      <c r="O5976">
        <v>6.6052316E-2</v>
      </c>
      <c r="P5976">
        <v>2.5391302000000001E-2</v>
      </c>
      <c r="Q5976" t="str">
        <f t="shared" si="186"/>
        <v>15-24</v>
      </c>
      <c r="R5976" t="str">
        <f t="shared" si="187"/>
        <v>[fiRkU6gEjLz]|15-24|Male|PLHIV_Attend.T|CY2025Q3</v>
      </c>
    </row>
    <row r="5977" spans="4:18" x14ac:dyDescent="0.2">
      <c r="D5977" t="s">
        <v>78</v>
      </c>
      <c r="E5977" t="s">
        <v>79</v>
      </c>
      <c r="F5977" t="s">
        <v>80</v>
      </c>
      <c r="G5977" t="s">
        <v>221</v>
      </c>
      <c r="H5977" t="s">
        <v>221</v>
      </c>
      <c r="I5977" t="s">
        <v>41</v>
      </c>
      <c r="J5977" t="s">
        <v>42</v>
      </c>
      <c r="K5977" t="s">
        <v>48</v>
      </c>
      <c r="L5977" t="s">
        <v>49</v>
      </c>
      <c r="M5977" t="s">
        <v>220</v>
      </c>
      <c r="N5977">
        <v>225</v>
      </c>
      <c r="O5977">
        <v>7.2920053999999998E-2</v>
      </c>
      <c r="P5977">
        <v>2.5391302000000001E-2</v>
      </c>
      <c r="Q5977" t="str">
        <f t="shared" si="186"/>
        <v>25-34</v>
      </c>
      <c r="R5977" t="str">
        <f t="shared" si="187"/>
        <v>[fiRkU6gEjLz]|25-34|Male|PLHIV_Attend.T|CY2025Q3</v>
      </c>
    </row>
    <row r="5978" spans="4:18" x14ac:dyDescent="0.2">
      <c r="D5978" t="s">
        <v>78</v>
      </c>
      <c r="E5978" t="s">
        <v>79</v>
      </c>
      <c r="F5978" t="s">
        <v>80</v>
      </c>
      <c r="G5978" t="s">
        <v>221</v>
      </c>
      <c r="H5978" t="s">
        <v>221</v>
      </c>
      <c r="I5978" t="s">
        <v>43</v>
      </c>
      <c r="J5978" t="s">
        <v>44</v>
      </c>
      <c r="K5978" t="s">
        <v>48</v>
      </c>
      <c r="L5978" t="s">
        <v>49</v>
      </c>
      <c r="M5978" t="s">
        <v>220</v>
      </c>
      <c r="N5978">
        <v>880</v>
      </c>
      <c r="O5978">
        <v>4.2447051999999999E-2</v>
      </c>
      <c r="P5978">
        <v>2.5391302000000001E-2</v>
      </c>
      <c r="Q5978" t="str">
        <f t="shared" si="186"/>
        <v>35-49</v>
      </c>
      <c r="R5978" t="str">
        <f t="shared" si="187"/>
        <v>[fiRkU6gEjLz]|35-49|Male|PLHIV_Attend.T|CY2025Q3</v>
      </c>
    </row>
    <row r="5979" spans="4:18" x14ac:dyDescent="0.2">
      <c r="D5979" t="s">
        <v>78</v>
      </c>
      <c r="E5979" t="s">
        <v>79</v>
      </c>
      <c r="F5979" t="s">
        <v>80</v>
      </c>
      <c r="G5979" t="s">
        <v>221</v>
      </c>
      <c r="H5979" t="s">
        <v>221</v>
      </c>
      <c r="I5979" t="s">
        <v>45</v>
      </c>
      <c r="J5979" t="s">
        <v>46</v>
      </c>
      <c r="K5979" t="s">
        <v>48</v>
      </c>
      <c r="L5979" t="s">
        <v>49</v>
      </c>
      <c r="M5979" t="s">
        <v>220</v>
      </c>
      <c r="N5979">
        <v>752</v>
      </c>
      <c r="O5979">
        <v>4.1834571000000001E-2</v>
      </c>
      <c r="P5979">
        <v>2.5391302000000001E-2</v>
      </c>
      <c r="Q5979" t="str">
        <f t="shared" si="186"/>
        <v>50+</v>
      </c>
      <c r="R5979" t="str">
        <f t="shared" si="187"/>
        <v>[fiRkU6gEjLz]|50+|Male|PLHIV_Attend.T|CY2025Q3</v>
      </c>
    </row>
    <row r="5980" spans="4:18" x14ac:dyDescent="0.2">
      <c r="D5980" t="s">
        <v>81</v>
      </c>
      <c r="E5980" t="s">
        <v>82</v>
      </c>
      <c r="F5980" t="s">
        <v>83</v>
      </c>
      <c r="G5980" t="s">
        <v>221</v>
      </c>
      <c r="H5980" t="s">
        <v>221</v>
      </c>
      <c r="I5980" t="s">
        <v>28</v>
      </c>
      <c r="J5980" t="s">
        <v>29</v>
      </c>
      <c r="K5980" t="s">
        <v>30</v>
      </c>
      <c r="L5980" t="s">
        <v>31</v>
      </c>
      <c r="M5980" t="s">
        <v>220</v>
      </c>
      <c r="N5980">
        <v>6</v>
      </c>
      <c r="O5980">
        <v>2.8220849999999999E-2</v>
      </c>
      <c r="P5980">
        <v>1.9851931E-2</v>
      </c>
      <c r="Q5980" t="str">
        <f t="shared" si="186"/>
        <v>&lt;01</v>
      </c>
      <c r="R5980" t="str">
        <f t="shared" si="187"/>
        <v>[zphK9WV8JB4]|&lt;01|Female|PLHIV_Attend.T|CY2025Q3</v>
      </c>
    </row>
    <row r="5981" spans="4:18" x14ac:dyDescent="0.2">
      <c r="D5981" t="s">
        <v>81</v>
      </c>
      <c r="E5981" t="s">
        <v>82</v>
      </c>
      <c r="F5981" t="s">
        <v>83</v>
      </c>
      <c r="G5981" t="s">
        <v>221</v>
      </c>
      <c r="H5981" t="s">
        <v>221</v>
      </c>
      <c r="I5981" t="s">
        <v>33</v>
      </c>
      <c r="J5981" t="s">
        <v>34</v>
      </c>
      <c r="K5981" t="s">
        <v>30</v>
      </c>
      <c r="L5981" t="s">
        <v>31</v>
      </c>
      <c r="M5981" t="s">
        <v>220</v>
      </c>
      <c r="N5981">
        <v>116</v>
      </c>
      <c r="O5981">
        <v>3.4882000000000003E-2</v>
      </c>
      <c r="P5981">
        <v>1.9851931E-2</v>
      </c>
      <c r="Q5981" t="str">
        <f t="shared" si="186"/>
        <v>01-09</v>
      </c>
      <c r="R5981" t="str">
        <f t="shared" si="187"/>
        <v>[zphK9WV8JB4]|01-09|Female|PLHIV_Attend.T|CY2025Q3</v>
      </c>
    </row>
    <row r="5982" spans="4:18" x14ac:dyDescent="0.2">
      <c r="D5982" t="s">
        <v>81</v>
      </c>
      <c r="E5982" t="s">
        <v>82</v>
      </c>
      <c r="F5982" t="s">
        <v>83</v>
      </c>
      <c r="G5982" t="s">
        <v>221</v>
      </c>
      <c r="H5982" t="s">
        <v>221</v>
      </c>
      <c r="I5982" t="s">
        <v>36</v>
      </c>
      <c r="J5982" t="s">
        <v>37</v>
      </c>
      <c r="K5982" t="s">
        <v>30</v>
      </c>
      <c r="L5982" t="s">
        <v>31</v>
      </c>
      <c r="M5982" t="s">
        <v>220</v>
      </c>
      <c r="N5982">
        <v>154</v>
      </c>
      <c r="O5982">
        <v>4.6916364000000002E-2</v>
      </c>
      <c r="P5982">
        <v>1.9851931E-2</v>
      </c>
      <c r="Q5982" t="str">
        <f t="shared" si="186"/>
        <v>10-14</v>
      </c>
      <c r="R5982" t="str">
        <f t="shared" si="187"/>
        <v>[zphK9WV8JB4]|10-14|Female|PLHIV_Attend.T|CY2025Q3</v>
      </c>
    </row>
    <row r="5983" spans="4:18" x14ac:dyDescent="0.2">
      <c r="D5983" t="s">
        <v>81</v>
      </c>
      <c r="E5983" t="s">
        <v>82</v>
      </c>
      <c r="F5983" t="s">
        <v>83</v>
      </c>
      <c r="G5983" t="s">
        <v>221</v>
      </c>
      <c r="H5983" t="s">
        <v>221</v>
      </c>
      <c r="I5983" t="s">
        <v>38</v>
      </c>
      <c r="J5983" t="s">
        <v>39</v>
      </c>
      <c r="K5983" t="s">
        <v>30</v>
      </c>
      <c r="L5983" t="s">
        <v>31</v>
      </c>
      <c r="M5983" t="s">
        <v>220</v>
      </c>
      <c r="N5983">
        <v>599</v>
      </c>
      <c r="O5983">
        <v>5.6422859999999998E-2</v>
      </c>
      <c r="P5983">
        <v>1.9851931E-2</v>
      </c>
      <c r="Q5983" t="str">
        <f t="shared" si="186"/>
        <v>15-24</v>
      </c>
      <c r="R5983" t="str">
        <f t="shared" si="187"/>
        <v>[zphK9WV8JB4]|15-24|Female|PLHIV_Attend.T|CY2025Q3</v>
      </c>
    </row>
    <row r="5984" spans="4:18" x14ac:dyDescent="0.2">
      <c r="D5984" t="s">
        <v>81</v>
      </c>
      <c r="E5984" t="s">
        <v>82</v>
      </c>
      <c r="F5984" t="s">
        <v>83</v>
      </c>
      <c r="G5984" t="s">
        <v>221</v>
      </c>
      <c r="H5984" t="s">
        <v>221</v>
      </c>
      <c r="I5984" t="s">
        <v>41</v>
      </c>
      <c r="J5984" t="s">
        <v>42</v>
      </c>
      <c r="K5984" t="s">
        <v>30</v>
      </c>
      <c r="L5984" t="s">
        <v>31</v>
      </c>
      <c r="M5984" t="s">
        <v>220</v>
      </c>
      <c r="N5984">
        <v>1456</v>
      </c>
      <c r="O5984">
        <v>4.5613172E-2</v>
      </c>
      <c r="P5984">
        <v>1.9851931E-2</v>
      </c>
      <c r="Q5984" t="str">
        <f t="shared" si="186"/>
        <v>25-34</v>
      </c>
      <c r="R5984" t="str">
        <f t="shared" si="187"/>
        <v>[zphK9WV8JB4]|25-34|Female|PLHIV_Attend.T|CY2025Q3</v>
      </c>
    </row>
    <row r="5985" spans="4:18" x14ac:dyDescent="0.2">
      <c r="D5985" t="s">
        <v>81</v>
      </c>
      <c r="E5985" t="s">
        <v>82</v>
      </c>
      <c r="F5985" t="s">
        <v>83</v>
      </c>
      <c r="G5985" t="s">
        <v>221</v>
      </c>
      <c r="H5985" t="s">
        <v>221</v>
      </c>
      <c r="I5985" t="s">
        <v>43</v>
      </c>
      <c r="J5985" t="s">
        <v>44</v>
      </c>
      <c r="K5985" t="s">
        <v>30</v>
      </c>
      <c r="L5985" t="s">
        <v>31</v>
      </c>
      <c r="M5985" t="s">
        <v>220</v>
      </c>
      <c r="N5985">
        <v>4274</v>
      </c>
      <c r="O5985">
        <v>2.7147224000000001E-2</v>
      </c>
      <c r="P5985">
        <v>1.9851931E-2</v>
      </c>
      <c r="Q5985" t="str">
        <f t="shared" si="186"/>
        <v>35-49</v>
      </c>
      <c r="R5985" t="str">
        <f t="shared" si="187"/>
        <v>[zphK9WV8JB4]|35-49|Female|PLHIV_Attend.T|CY2025Q3</v>
      </c>
    </row>
    <row r="5986" spans="4:18" x14ac:dyDescent="0.2">
      <c r="D5986" t="s">
        <v>81</v>
      </c>
      <c r="E5986" t="s">
        <v>82</v>
      </c>
      <c r="F5986" t="s">
        <v>83</v>
      </c>
      <c r="G5986" t="s">
        <v>221</v>
      </c>
      <c r="H5986" t="s">
        <v>221</v>
      </c>
      <c r="I5986" t="s">
        <v>45</v>
      </c>
      <c r="J5986" t="s">
        <v>46</v>
      </c>
      <c r="K5986" t="s">
        <v>30</v>
      </c>
      <c r="L5986" t="s">
        <v>31</v>
      </c>
      <c r="M5986" t="s">
        <v>220</v>
      </c>
      <c r="N5986">
        <v>2263</v>
      </c>
      <c r="O5986">
        <v>3.8094997999999998E-2</v>
      </c>
      <c r="P5986">
        <v>1.9851931E-2</v>
      </c>
      <c r="Q5986" t="str">
        <f t="shared" si="186"/>
        <v>50+</v>
      </c>
      <c r="R5986" t="str">
        <f t="shared" si="187"/>
        <v>[zphK9WV8JB4]|50+|Female|PLHIV_Attend.T|CY2025Q3</v>
      </c>
    </row>
    <row r="5987" spans="4:18" x14ac:dyDescent="0.2">
      <c r="D5987" t="s">
        <v>81</v>
      </c>
      <c r="E5987" t="s">
        <v>82</v>
      </c>
      <c r="F5987" t="s">
        <v>83</v>
      </c>
      <c r="G5987" t="s">
        <v>221</v>
      </c>
      <c r="H5987" t="s">
        <v>221</v>
      </c>
      <c r="I5987" t="s">
        <v>28</v>
      </c>
      <c r="J5987" t="s">
        <v>29</v>
      </c>
      <c r="K5987" t="s">
        <v>48</v>
      </c>
      <c r="L5987" t="s">
        <v>49</v>
      </c>
      <c r="M5987" t="s">
        <v>220</v>
      </c>
      <c r="N5987">
        <v>7</v>
      </c>
      <c r="O5987">
        <v>2.8201257E-2</v>
      </c>
      <c r="P5987">
        <v>1.9851931E-2</v>
      </c>
      <c r="Q5987" t="str">
        <f t="shared" si="186"/>
        <v>&lt;01</v>
      </c>
      <c r="R5987" t="str">
        <f t="shared" si="187"/>
        <v>[zphK9WV8JB4]|&lt;01|Male|PLHIV_Attend.T|CY2025Q3</v>
      </c>
    </row>
    <row r="5988" spans="4:18" x14ac:dyDescent="0.2">
      <c r="D5988" t="s">
        <v>81</v>
      </c>
      <c r="E5988" t="s">
        <v>82</v>
      </c>
      <c r="F5988" t="s">
        <v>83</v>
      </c>
      <c r="G5988" t="s">
        <v>221</v>
      </c>
      <c r="H5988" t="s">
        <v>221</v>
      </c>
      <c r="I5988" t="s">
        <v>33</v>
      </c>
      <c r="J5988" t="s">
        <v>34</v>
      </c>
      <c r="K5988" t="s">
        <v>48</v>
      </c>
      <c r="L5988" t="s">
        <v>49</v>
      </c>
      <c r="M5988" t="s">
        <v>220</v>
      </c>
      <c r="N5988">
        <v>117</v>
      </c>
      <c r="O5988">
        <v>3.4850430000000002E-2</v>
      </c>
      <c r="P5988">
        <v>1.9851931E-2</v>
      </c>
      <c r="Q5988" t="str">
        <f t="shared" si="186"/>
        <v>01-09</v>
      </c>
      <c r="R5988" t="str">
        <f t="shared" si="187"/>
        <v>[zphK9WV8JB4]|01-09|Male|PLHIV_Attend.T|CY2025Q3</v>
      </c>
    </row>
    <row r="5989" spans="4:18" x14ac:dyDescent="0.2">
      <c r="D5989" t="s">
        <v>81</v>
      </c>
      <c r="E5989" t="s">
        <v>82</v>
      </c>
      <c r="F5989" t="s">
        <v>83</v>
      </c>
      <c r="G5989" t="s">
        <v>221</v>
      </c>
      <c r="H5989" t="s">
        <v>221</v>
      </c>
      <c r="I5989" t="s">
        <v>36</v>
      </c>
      <c r="J5989" t="s">
        <v>37</v>
      </c>
      <c r="K5989" t="s">
        <v>48</v>
      </c>
      <c r="L5989" t="s">
        <v>49</v>
      </c>
      <c r="M5989" t="s">
        <v>220</v>
      </c>
      <c r="N5989">
        <v>154</v>
      </c>
      <c r="O5989">
        <v>4.6906784E-2</v>
      </c>
      <c r="P5989">
        <v>1.9851931E-2</v>
      </c>
      <c r="Q5989" t="str">
        <f t="shared" si="186"/>
        <v>10-14</v>
      </c>
      <c r="R5989" t="str">
        <f t="shared" si="187"/>
        <v>[zphK9WV8JB4]|10-14|Male|PLHIV_Attend.T|CY2025Q3</v>
      </c>
    </row>
    <row r="5990" spans="4:18" x14ac:dyDescent="0.2">
      <c r="D5990" t="s">
        <v>81</v>
      </c>
      <c r="E5990" t="s">
        <v>82</v>
      </c>
      <c r="F5990" t="s">
        <v>83</v>
      </c>
      <c r="G5990" t="s">
        <v>221</v>
      </c>
      <c r="H5990" t="s">
        <v>221</v>
      </c>
      <c r="I5990" t="s">
        <v>38</v>
      </c>
      <c r="J5990" t="s">
        <v>39</v>
      </c>
      <c r="K5990" t="s">
        <v>48</v>
      </c>
      <c r="L5990" t="s">
        <v>49</v>
      </c>
      <c r="M5990" t="s">
        <v>220</v>
      </c>
      <c r="N5990">
        <v>454</v>
      </c>
      <c r="O5990">
        <v>6.5937642000000005E-2</v>
      </c>
      <c r="P5990">
        <v>1.9851931E-2</v>
      </c>
      <c r="Q5990" t="str">
        <f t="shared" si="186"/>
        <v>15-24</v>
      </c>
      <c r="R5990" t="str">
        <f t="shared" si="187"/>
        <v>[zphK9WV8JB4]|15-24|Male|PLHIV_Attend.T|CY2025Q3</v>
      </c>
    </row>
    <row r="5991" spans="4:18" x14ac:dyDescent="0.2">
      <c r="D5991" t="s">
        <v>81</v>
      </c>
      <c r="E5991" t="s">
        <v>82</v>
      </c>
      <c r="F5991" t="s">
        <v>83</v>
      </c>
      <c r="G5991" t="s">
        <v>221</v>
      </c>
      <c r="H5991" t="s">
        <v>221</v>
      </c>
      <c r="I5991" t="s">
        <v>41</v>
      </c>
      <c r="J5991" t="s">
        <v>42</v>
      </c>
      <c r="K5991" t="s">
        <v>48</v>
      </c>
      <c r="L5991" t="s">
        <v>49</v>
      </c>
      <c r="M5991" t="s">
        <v>220</v>
      </c>
      <c r="N5991">
        <v>625</v>
      </c>
      <c r="O5991">
        <v>7.1999295000000005E-2</v>
      </c>
      <c r="P5991">
        <v>1.9851931E-2</v>
      </c>
      <c r="Q5991" t="str">
        <f t="shared" si="186"/>
        <v>25-34</v>
      </c>
      <c r="R5991" t="str">
        <f t="shared" si="187"/>
        <v>[zphK9WV8JB4]|25-34|Male|PLHIV_Attend.T|CY2025Q3</v>
      </c>
    </row>
    <row r="5992" spans="4:18" x14ac:dyDescent="0.2">
      <c r="D5992" t="s">
        <v>81</v>
      </c>
      <c r="E5992" t="s">
        <v>82</v>
      </c>
      <c r="F5992" t="s">
        <v>83</v>
      </c>
      <c r="G5992" t="s">
        <v>221</v>
      </c>
      <c r="H5992" t="s">
        <v>221</v>
      </c>
      <c r="I5992" t="s">
        <v>43</v>
      </c>
      <c r="J5992" t="s">
        <v>44</v>
      </c>
      <c r="K5992" t="s">
        <v>48</v>
      </c>
      <c r="L5992" t="s">
        <v>49</v>
      </c>
      <c r="M5992" t="s">
        <v>220</v>
      </c>
      <c r="N5992">
        <v>2432</v>
      </c>
      <c r="O5992">
        <v>3.9388135999999997E-2</v>
      </c>
      <c r="P5992">
        <v>1.9851931E-2</v>
      </c>
      <c r="Q5992" t="str">
        <f t="shared" si="186"/>
        <v>35-49</v>
      </c>
      <c r="R5992" t="str">
        <f t="shared" si="187"/>
        <v>[zphK9WV8JB4]|35-49|Male|PLHIV_Attend.T|CY2025Q3</v>
      </c>
    </row>
    <row r="5993" spans="4:18" x14ac:dyDescent="0.2">
      <c r="D5993" t="s">
        <v>81</v>
      </c>
      <c r="E5993" t="s">
        <v>82</v>
      </c>
      <c r="F5993" t="s">
        <v>83</v>
      </c>
      <c r="G5993" t="s">
        <v>221</v>
      </c>
      <c r="H5993" t="s">
        <v>221</v>
      </c>
      <c r="I5993" t="s">
        <v>45</v>
      </c>
      <c r="J5993" t="s">
        <v>46</v>
      </c>
      <c r="K5993" t="s">
        <v>48</v>
      </c>
      <c r="L5993" t="s">
        <v>49</v>
      </c>
      <c r="M5993" t="s">
        <v>220</v>
      </c>
      <c r="N5993">
        <v>2110</v>
      </c>
      <c r="O5993">
        <v>3.6474408E-2</v>
      </c>
      <c r="P5993">
        <v>1.9851931E-2</v>
      </c>
      <c r="Q5993" t="str">
        <f t="shared" si="186"/>
        <v>50+</v>
      </c>
      <c r="R5993" t="str">
        <f t="shared" si="187"/>
        <v>[zphK9WV8JB4]|50+|Male|PLHIV_Attend.T|CY2025Q3</v>
      </c>
    </row>
    <row r="5994" spans="4:18" x14ac:dyDescent="0.2">
      <c r="D5994" t="s">
        <v>84</v>
      </c>
      <c r="E5994" t="s">
        <v>85</v>
      </c>
      <c r="F5994" t="s">
        <v>86</v>
      </c>
      <c r="G5994" t="s">
        <v>221</v>
      </c>
      <c r="H5994" t="s">
        <v>221</v>
      </c>
      <c r="I5994" t="s">
        <v>28</v>
      </c>
      <c r="J5994" t="s">
        <v>29</v>
      </c>
      <c r="K5994" t="s">
        <v>30</v>
      </c>
      <c r="L5994" t="s">
        <v>31</v>
      </c>
      <c r="M5994" t="s">
        <v>220</v>
      </c>
      <c r="N5994">
        <v>10</v>
      </c>
      <c r="O5994">
        <v>2.2804491999999999E-2</v>
      </c>
      <c r="P5994">
        <v>1.5101201999999999E-2</v>
      </c>
      <c r="Q5994" t="str">
        <f t="shared" si="186"/>
        <v>&lt;01</v>
      </c>
      <c r="R5994" t="str">
        <f t="shared" si="187"/>
        <v>[msW2zpIN7up]|&lt;01|Female|PLHIV_Attend.T|CY2025Q3</v>
      </c>
    </row>
    <row r="5995" spans="4:18" x14ac:dyDescent="0.2">
      <c r="D5995" t="s">
        <v>84</v>
      </c>
      <c r="E5995" t="s">
        <v>85</v>
      </c>
      <c r="F5995" t="s">
        <v>86</v>
      </c>
      <c r="G5995" t="s">
        <v>221</v>
      </c>
      <c r="H5995" t="s">
        <v>221</v>
      </c>
      <c r="I5995" t="s">
        <v>33</v>
      </c>
      <c r="J5995" t="s">
        <v>34</v>
      </c>
      <c r="K5995" t="s">
        <v>30</v>
      </c>
      <c r="L5995" t="s">
        <v>31</v>
      </c>
      <c r="M5995" t="s">
        <v>220</v>
      </c>
      <c r="N5995">
        <v>186</v>
      </c>
      <c r="O5995">
        <v>3.0496193000000001E-2</v>
      </c>
      <c r="P5995">
        <v>1.5101201999999999E-2</v>
      </c>
      <c r="Q5995" t="str">
        <f t="shared" si="186"/>
        <v>01-09</v>
      </c>
      <c r="R5995" t="str">
        <f t="shared" si="187"/>
        <v>[msW2zpIN7up]|01-09|Female|PLHIV_Attend.T|CY2025Q3</v>
      </c>
    </row>
    <row r="5996" spans="4:18" x14ac:dyDescent="0.2">
      <c r="D5996" t="s">
        <v>84</v>
      </c>
      <c r="E5996" t="s">
        <v>85</v>
      </c>
      <c r="F5996" t="s">
        <v>86</v>
      </c>
      <c r="G5996" t="s">
        <v>221</v>
      </c>
      <c r="H5996" t="s">
        <v>221</v>
      </c>
      <c r="I5996" t="s">
        <v>36</v>
      </c>
      <c r="J5996" t="s">
        <v>37</v>
      </c>
      <c r="K5996" t="s">
        <v>30</v>
      </c>
      <c r="L5996" t="s">
        <v>31</v>
      </c>
      <c r="M5996" t="s">
        <v>220</v>
      </c>
      <c r="N5996">
        <v>244</v>
      </c>
      <c r="O5996">
        <v>4.3002095999999997E-2</v>
      </c>
      <c r="P5996">
        <v>1.5101201999999999E-2</v>
      </c>
      <c r="Q5996" t="str">
        <f t="shared" si="186"/>
        <v>10-14</v>
      </c>
      <c r="R5996" t="str">
        <f t="shared" si="187"/>
        <v>[msW2zpIN7up]|10-14|Female|PLHIV_Attend.T|CY2025Q3</v>
      </c>
    </row>
    <row r="5997" spans="4:18" x14ac:dyDescent="0.2">
      <c r="D5997" t="s">
        <v>84</v>
      </c>
      <c r="E5997" t="s">
        <v>85</v>
      </c>
      <c r="F5997" t="s">
        <v>86</v>
      </c>
      <c r="G5997" t="s">
        <v>221</v>
      </c>
      <c r="H5997" t="s">
        <v>221</v>
      </c>
      <c r="I5997" t="s">
        <v>38</v>
      </c>
      <c r="J5997" t="s">
        <v>39</v>
      </c>
      <c r="K5997" t="s">
        <v>30</v>
      </c>
      <c r="L5997" t="s">
        <v>31</v>
      </c>
      <c r="M5997" t="s">
        <v>220</v>
      </c>
      <c r="N5997">
        <v>892</v>
      </c>
      <c r="O5997">
        <v>5.4851233999999999E-2</v>
      </c>
      <c r="P5997">
        <v>1.5101201999999999E-2</v>
      </c>
      <c r="Q5997" t="str">
        <f t="shared" si="186"/>
        <v>15-24</v>
      </c>
      <c r="R5997" t="str">
        <f t="shared" si="187"/>
        <v>[msW2zpIN7up]|15-24|Female|PLHIV_Attend.T|CY2025Q3</v>
      </c>
    </row>
    <row r="5998" spans="4:18" x14ac:dyDescent="0.2">
      <c r="D5998" t="s">
        <v>84</v>
      </c>
      <c r="E5998" t="s">
        <v>85</v>
      </c>
      <c r="F5998" t="s">
        <v>86</v>
      </c>
      <c r="G5998" t="s">
        <v>221</v>
      </c>
      <c r="H5998" t="s">
        <v>221</v>
      </c>
      <c r="I5998" t="s">
        <v>41</v>
      </c>
      <c r="J5998" t="s">
        <v>42</v>
      </c>
      <c r="K5998" t="s">
        <v>30</v>
      </c>
      <c r="L5998" t="s">
        <v>31</v>
      </c>
      <c r="M5998" t="s">
        <v>220</v>
      </c>
      <c r="N5998">
        <v>2129</v>
      </c>
      <c r="O5998">
        <v>3.8444434999999999E-2</v>
      </c>
      <c r="P5998">
        <v>1.5101201999999999E-2</v>
      </c>
      <c r="Q5998" t="str">
        <f t="shared" si="186"/>
        <v>25-34</v>
      </c>
      <c r="R5998" t="str">
        <f t="shared" si="187"/>
        <v>[msW2zpIN7up]|25-34|Female|PLHIV_Attend.T|CY2025Q3</v>
      </c>
    </row>
    <row r="5999" spans="4:18" x14ac:dyDescent="0.2">
      <c r="D5999" t="s">
        <v>84</v>
      </c>
      <c r="E5999" t="s">
        <v>85</v>
      </c>
      <c r="F5999" t="s">
        <v>86</v>
      </c>
      <c r="G5999" t="s">
        <v>221</v>
      </c>
      <c r="H5999" t="s">
        <v>221</v>
      </c>
      <c r="I5999" t="s">
        <v>43</v>
      </c>
      <c r="J5999" t="s">
        <v>44</v>
      </c>
      <c r="K5999" t="s">
        <v>30</v>
      </c>
      <c r="L5999" t="s">
        <v>31</v>
      </c>
      <c r="M5999" t="s">
        <v>220</v>
      </c>
      <c r="N5999">
        <v>5910</v>
      </c>
      <c r="O5999">
        <v>2.2316341999999999E-2</v>
      </c>
      <c r="P5999">
        <v>1.5101201999999999E-2</v>
      </c>
      <c r="Q5999" t="str">
        <f t="shared" si="186"/>
        <v>35-49</v>
      </c>
      <c r="R5999" t="str">
        <f t="shared" si="187"/>
        <v>[msW2zpIN7up]|35-49|Female|PLHIV_Attend.T|CY2025Q3</v>
      </c>
    </row>
    <row r="6000" spans="4:18" x14ac:dyDescent="0.2">
      <c r="D6000" t="s">
        <v>84</v>
      </c>
      <c r="E6000" t="s">
        <v>85</v>
      </c>
      <c r="F6000" t="s">
        <v>86</v>
      </c>
      <c r="G6000" t="s">
        <v>221</v>
      </c>
      <c r="H6000" t="s">
        <v>221</v>
      </c>
      <c r="I6000" t="s">
        <v>45</v>
      </c>
      <c r="J6000" t="s">
        <v>46</v>
      </c>
      <c r="K6000" t="s">
        <v>30</v>
      </c>
      <c r="L6000" t="s">
        <v>31</v>
      </c>
      <c r="M6000" t="s">
        <v>220</v>
      </c>
      <c r="N6000">
        <v>2888</v>
      </c>
      <c r="O6000">
        <v>3.7842885E-2</v>
      </c>
      <c r="P6000">
        <v>1.5101201999999999E-2</v>
      </c>
      <c r="Q6000" t="str">
        <f t="shared" si="186"/>
        <v>50+</v>
      </c>
      <c r="R6000" t="str">
        <f t="shared" si="187"/>
        <v>[msW2zpIN7up]|50+|Female|PLHIV_Attend.T|CY2025Q3</v>
      </c>
    </row>
    <row r="6001" spans="4:18" x14ac:dyDescent="0.2">
      <c r="D6001" t="s">
        <v>84</v>
      </c>
      <c r="E6001" t="s">
        <v>85</v>
      </c>
      <c r="F6001" t="s">
        <v>86</v>
      </c>
      <c r="G6001" t="s">
        <v>221</v>
      </c>
      <c r="H6001" t="s">
        <v>221</v>
      </c>
      <c r="I6001" t="s">
        <v>28</v>
      </c>
      <c r="J6001" t="s">
        <v>29</v>
      </c>
      <c r="K6001" t="s">
        <v>48</v>
      </c>
      <c r="L6001" t="s">
        <v>49</v>
      </c>
      <c r="M6001" t="s">
        <v>220</v>
      </c>
      <c r="N6001">
        <v>10</v>
      </c>
      <c r="O6001">
        <v>2.2818305000000001E-2</v>
      </c>
      <c r="P6001">
        <v>1.5101201999999999E-2</v>
      </c>
      <c r="Q6001" t="str">
        <f t="shared" si="186"/>
        <v>&lt;01</v>
      </c>
      <c r="R6001" t="str">
        <f t="shared" si="187"/>
        <v>[msW2zpIN7up]|&lt;01|Male|PLHIV_Attend.T|CY2025Q3</v>
      </c>
    </row>
    <row r="6002" spans="4:18" x14ac:dyDescent="0.2">
      <c r="D6002" t="s">
        <v>84</v>
      </c>
      <c r="E6002" t="s">
        <v>85</v>
      </c>
      <c r="F6002" t="s">
        <v>86</v>
      </c>
      <c r="G6002" t="s">
        <v>221</v>
      </c>
      <c r="H6002" t="s">
        <v>221</v>
      </c>
      <c r="I6002" t="s">
        <v>33</v>
      </c>
      <c r="J6002" t="s">
        <v>34</v>
      </c>
      <c r="K6002" t="s">
        <v>48</v>
      </c>
      <c r="L6002" t="s">
        <v>49</v>
      </c>
      <c r="M6002" t="s">
        <v>220</v>
      </c>
      <c r="N6002">
        <v>188</v>
      </c>
      <c r="O6002">
        <v>3.0500672E-2</v>
      </c>
      <c r="P6002">
        <v>1.5101201999999999E-2</v>
      </c>
      <c r="Q6002" t="str">
        <f t="shared" si="186"/>
        <v>01-09</v>
      </c>
      <c r="R6002" t="str">
        <f t="shared" si="187"/>
        <v>[msW2zpIN7up]|01-09|Male|PLHIV_Attend.T|CY2025Q3</v>
      </c>
    </row>
    <row r="6003" spans="4:18" x14ac:dyDescent="0.2">
      <c r="D6003" t="s">
        <v>84</v>
      </c>
      <c r="E6003" t="s">
        <v>85</v>
      </c>
      <c r="F6003" t="s">
        <v>86</v>
      </c>
      <c r="G6003" t="s">
        <v>221</v>
      </c>
      <c r="H6003" t="s">
        <v>221</v>
      </c>
      <c r="I6003" t="s">
        <v>36</v>
      </c>
      <c r="J6003" t="s">
        <v>37</v>
      </c>
      <c r="K6003" t="s">
        <v>48</v>
      </c>
      <c r="L6003" t="s">
        <v>49</v>
      </c>
      <c r="M6003" t="s">
        <v>220</v>
      </c>
      <c r="N6003">
        <v>245</v>
      </c>
      <c r="O6003">
        <v>4.3000463000000003E-2</v>
      </c>
      <c r="P6003">
        <v>1.5101201999999999E-2</v>
      </c>
      <c r="Q6003" t="str">
        <f t="shared" si="186"/>
        <v>10-14</v>
      </c>
      <c r="R6003" t="str">
        <f t="shared" si="187"/>
        <v>[msW2zpIN7up]|10-14|Male|PLHIV_Attend.T|CY2025Q3</v>
      </c>
    </row>
    <row r="6004" spans="4:18" x14ac:dyDescent="0.2">
      <c r="D6004" t="s">
        <v>84</v>
      </c>
      <c r="E6004" t="s">
        <v>85</v>
      </c>
      <c r="F6004" t="s">
        <v>86</v>
      </c>
      <c r="G6004" t="s">
        <v>221</v>
      </c>
      <c r="H6004" t="s">
        <v>221</v>
      </c>
      <c r="I6004" t="s">
        <v>38</v>
      </c>
      <c r="J6004" t="s">
        <v>39</v>
      </c>
      <c r="K6004" t="s">
        <v>48</v>
      </c>
      <c r="L6004" t="s">
        <v>49</v>
      </c>
      <c r="M6004" t="s">
        <v>220</v>
      </c>
      <c r="N6004">
        <v>637</v>
      </c>
      <c r="O6004">
        <v>5.8492139999999998E-2</v>
      </c>
      <c r="P6004">
        <v>1.5101201999999999E-2</v>
      </c>
      <c r="Q6004" t="str">
        <f t="shared" si="186"/>
        <v>15-24</v>
      </c>
      <c r="R6004" t="str">
        <f t="shared" si="187"/>
        <v>[msW2zpIN7up]|15-24|Male|PLHIV_Attend.T|CY2025Q3</v>
      </c>
    </row>
    <row r="6005" spans="4:18" x14ac:dyDescent="0.2">
      <c r="D6005" t="s">
        <v>84</v>
      </c>
      <c r="E6005" t="s">
        <v>85</v>
      </c>
      <c r="F6005" t="s">
        <v>86</v>
      </c>
      <c r="G6005" t="s">
        <v>221</v>
      </c>
      <c r="H6005" t="s">
        <v>221</v>
      </c>
      <c r="I6005" t="s">
        <v>41</v>
      </c>
      <c r="J6005" t="s">
        <v>42</v>
      </c>
      <c r="K6005" t="s">
        <v>48</v>
      </c>
      <c r="L6005" t="s">
        <v>49</v>
      </c>
      <c r="M6005" t="s">
        <v>220</v>
      </c>
      <c r="N6005">
        <v>741</v>
      </c>
      <c r="O6005">
        <v>6.5323138000000003E-2</v>
      </c>
      <c r="P6005">
        <v>1.5101201999999999E-2</v>
      </c>
      <c r="Q6005" t="str">
        <f t="shared" si="186"/>
        <v>25-34</v>
      </c>
      <c r="R6005" t="str">
        <f t="shared" si="187"/>
        <v>[msW2zpIN7up]|25-34|Male|PLHIV_Attend.T|CY2025Q3</v>
      </c>
    </row>
    <row r="6006" spans="4:18" x14ac:dyDescent="0.2">
      <c r="D6006" t="s">
        <v>84</v>
      </c>
      <c r="E6006" t="s">
        <v>85</v>
      </c>
      <c r="F6006" t="s">
        <v>86</v>
      </c>
      <c r="G6006" t="s">
        <v>221</v>
      </c>
      <c r="H6006" t="s">
        <v>221</v>
      </c>
      <c r="I6006" t="s">
        <v>43</v>
      </c>
      <c r="J6006" t="s">
        <v>44</v>
      </c>
      <c r="K6006" t="s">
        <v>48</v>
      </c>
      <c r="L6006" t="s">
        <v>49</v>
      </c>
      <c r="M6006" t="s">
        <v>220</v>
      </c>
      <c r="N6006">
        <v>2887</v>
      </c>
      <c r="O6006">
        <v>3.3491276E-2</v>
      </c>
      <c r="P6006">
        <v>1.5101201999999999E-2</v>
      </c>
      <c r="Q6006" t="str">
        <f t="shared" si="186"/>
        <v>35-49</v>
      </c>
      <c r="R6006" t="str">
        <f t="shared" si="187"/>
        <v>[msW2zpIN7up]|35-49|Male|PLHIV_Attend.T|CY2025Q3</v>
      </c>
    </row>
    <row r="6007" spans="4:18" x14ac:dyDescent="0.2">
      <c r="D6007" t="s">
        <v>84</v>
      </c>
      <c r="E6007" t="s">
        <v>85</v>
      </c>
      <c r="F6007" t="s">
        <v>86</v>
      </c>
      <c r="G6007" t="s">
        <v>221</v>
      </c>
      <c r="H6007" t="s">
        <v>221</v>
      </c>
      <c r="I6007" t="s">
        <v>45</v>
      </c>
      <c r="J6007" t="s">
        <v>46</v>
      </c>
      <c r="K6007" t="s">
        <v>48</v>
      </c>
      <c r="L6007" t="s">
        <v>49</v>
      </c>
      <c r="M6007" t="s">
        <v>220</v>
      </c>
      <c r="N6007">
        <v>2360</v>
      </c>
      <c r="O6007">
        <v>3.5952365E-2</v>
      </c>
      <c r="P6007">
        <v>1.5101201999999999E-2</v>
      </c>
      <c r="Q6007" t="str">
        <f t="shared" si="186"/>
        <v>50+</v>
      </c>
      <c r="R6007" t="str">
        <f t="shared" si="187"/>
        <v>[msW2zpIN7up]|50+|Male|PLHIV_Attend.T|CY2025Q3</v>
      </c>
    </row>
    <row r="6008" spans="4:18" x14ac:dyDescent="0.2">
      <c r="D6008" t="s">
        <v>87</v>
      </c>
      <c r="E6008" t="s">
        <v>88</v>
      </c>
      <c r="F6008" t="s">
        <v>89</v>
      </c>
      <c r="G6008" t="s">
        <v>221</v>
      </c>
      <c r="H6008" t="s">
        <v>221</v>
      </c>
      <c r="I6008" t="s">
        <v>28</v>
      </c>
      <c r="J6008" t="s">
        <v>29</v>
      </c>
      <c r="K6008" t="s">
        <v>30</v>
      </c>
      <c r="L6008" t="s">
        <v>31</v>
      </c>
      <c r="M6008" t="s">
        <v>220</v>
      </c>
      <c r="N6008">
        <v>60</v>
      </c>
      <c r="O6008">
        <v>1.5312366000000001E-2</v>
      </c>
      <c r="P6008">
        <v>9.9914489999999995E-3</v>
      </c>
      <c r="Q6008" t="str">
        <f t="shared" si="186"/>
        <v>&lt;01</v>
      </c>
      <c r="R6008" t="str">
        <f t="shared" si="187"/>
        <v>[ScR9iFKAasW]|&lt;01|Female|PLHIV_Attend.T|CY2025Q3</v>
      </c>
    </row>
    <row r="6009" spans="4:18" x14ac:dyDescent="0.2">
      <c r="D6009" t="s">
        <v>87</v>
      </c>
      <c r="E6009" t="s">
        <v>88</v>
      </c>
      <c r="F6009" t="s">
        <v>89</v>
      </c>
      <c r="G6009" t="s">
        <v>221</v>
      </c>
      <c r="H6009" t="s">
        <v>221</v>
      </c>
      <c r="I6009" t="s">
        <v>33</v>
      </c>
      <c r="J6009" t="s">
        <v>34</v>
      </c>
      <c r="K6009" t="s">
        <v>30</v>
      </c>
      <c r="L6009" t="s">
        <v>31</v>
      </c>
      <c r="M6009" t="s">
        <v>220</v>
      </c>
      <c r="N6009">
        <v>1019</v>
      </c>
      <c r="O6009">
        <v>2.0683399000000002E-2</v>
      </c>
      <c r="P6009">
        <v>9.9914489999999995E-3</v>
      </c>
      <c r="Q6009" t="str">
        <f t="shared" si="186"/>
        <v>01-09</v>
      </c>
      <c r="R6009" t="str">
        <f t="shared" si="187"/>
        <v>[ScR9iFKAasW]|01-09|Female|PLHIV_Attend.T|CY2025Q3</v>
      </c>
    </row>
    <row r="6010" spans="4:18" x14ac:dyDescent="0.2">
      <c r="D6010" t="s">
        <v>87</v>
      </c>
      <c r="E6010" t="s">
        <v>88</v>
      </c>
      <c r="F6010" t="s">
        <v>89</v>
      </c>
      <c r="G6010" t="s">
        <v>221</v>
      </c>
      <c r="H6010" t="s">
        <v>221</v>
      </c>
      <c r="I6010" t="s">
        <v>36</v>
      </c>
      <c r="J6010" t="s">
        <v>37</v>
      </c>
      <c r="K6010" t="s">
        <v>30</v>
      </c>
      <c r="L6010" t="s">
        <v>31</v>
      </c>
      <c r="M6010" t="s">
        <v>220</v>
      </c>
      <c r="N6010">
        <v>1233</v>
      </c>
      <c r="O6010">
        <v>3.0418738000000001E-2</v>
      </c>
      <c r="P6010">
        <v>9.9914489999999995E-3</v>
      </c>
      <c r="Q6010" t="str">
        <f t="shared" si="186"/>
        <v>10-14</v>
      </c>
      <c r="R6010" t="str">
        <f t="shared" si="187"/>
        <v>[ScR9iFKAasW]|10-14|Female|PLHIV_Attend.T|CY2025Q3</v>
      </c>
    </row>
    <row r="6011" spans="4:18" x14ac:dyDescent="0.2">
      <c r="D6011" t="s">
        <v>87</v>
      </c>
      <c r="E6011" t="s">
        <v>88</v>
      </c>
      <c r="F6011" t="s">
        <v>89</v>
      </c>
      <c r="G6011" t="s">
        <v>221</v>
      </c>
      <c r="H6011" t="s">
        <v>221</v>
      </c>
      <c r="I6011" t="s">
        <v>38</v>
      </c>
      <c r="J6011" t="s">
        <v>39</v>
      </c>
      <c r="K6011" t="s">
        <v>30</v>
      </c>
      <c r="L6011" t="s">
        <v>31</v>
      </c>
      <c r="M6011" t="s">
        <v>220</v>
      </c>
      <c r="N6011">
        <v>5267</v>
      </c>
      <c r="O6011">
        <v>5.1713288000000003E-2</v>
      </c>
      <c r="P6011">
        <v>9.9914489999999995E-3</v>
      </c>
      <c r="Q6011" t="str">
        <f t="shared" si="186"/>
        <v>15-24</v>
      </c>
      <c r="R6011" t="str">
        <f t="shared" si="187"/>
        <v>[ScR9iFKAasW]|15-24|Female|PLHIV_Attend.T|CY2025Q3</v>
      </c>
    </row>
    <row r="6012" spans="4:18" x14ac:dyDescent="0.2">
      <c r="D6012" t="s">
        <v>87</v>
      </c>
      <c r="E6012" t="s">
        <v>88</v>
      </c>
      <c r="F6012" t="s">
        <v>89</v>
      </c>
      <c r="G6012" t="s">
        <v>221</v>
      </c>
      <c r="H6012" t="s">
        <v>221</v>
      </c>
      <c r="I6012" t="s">
        <v>41</v>
      </c>
      <c r="J6012" t="s">
        <v>42</v>
      </c>
      <c r="K6012" t="s">
        <v>30</v>
      </c>
      <c r="L6012" t="s">
        <v>31</v>
      </c>
      <c r="M6012" t="s">
        <v>220</v>
      </c>
      <c r="N6012">
        <v>15119</v>
      </c>
      <c r="O6012">
        <v>3.4687085999999999E-2</v>
      </c>
      <c r="P6012">
        <v>9.9914489999999995E-3</v>
      </c>
      <c r="Q6012" t="str">
        <f t="shared" si="186"/>
        <v>25-34</v>
      </c>
      <c r="R6012" t="str">
        <f t="shared" si="187"/>
        <v>[ScR9iFKAasW]|25-34|Female|PLHIV_Attend.T|CY2025Q3</v>
      </c>
    </row>
    <row r="6013" spans="4:18" x14ac:dyDescent="0.2">
      <c r="D6013" t="s">
        <v>87</v>
      </c>
      <c r="E6013" t="s">
        <v>88</v>
      </c>
      <c r="F6013" t="s">
        <v>89</v>
      </c>
      <c r="G6013" t="s">
        <v>221</v>
      </c>
      <c r="H6013" t="s">
        <v>221</v>
      </c>
      <c r="I6013" t="s">
        <v>43</v>
      </c>
      <c r="J6013" t="s">
        <v>44</v>
      </c>
      <c r="K6013" t="s">
        <v>30</v>
      </c>
      <c r="L6013" t="s">
        <v>31</v>
      </c>
      <c r="M6013" t="s">
        <v>220</v>
      </c>
      <c r="N6013">
        <v>38542</v>
      </c>
      <c r="O6013">
        <v>1.7428046999999999E-2</v>
      </c>
      <c r="P6013">
        <v>9.9914489999999995E-3</v>
      </c>
      <c r="Q6013" t="str">
        <f t="shared" si="186"/>
        <v>35-49</v>
      </c>
      <c r="R6013" t="str">
        <f t="shared" si="187"/>
        <v>[ScR9iFKAasW]|35-49|Female|PLHIV_Attend.T|CY2025Q3</v>
      </c>
    </row>
    <row r="6014" spans="4:18" x14ac:dyDescent="0.2">
      <c r="D6014" t="s">
        <v>87</v>
      </c>
      <c r="E6014" t="s">
        <v>88</v>
      </c>
      <c r="F6014" t="s">
        <v>89</v>
      </c>
      <c r="G6014" t="s">
        <v>221</v>
      </c>
      <c r="H6014" t="s">
        <v>221</v>
      </c>
      <c r="I6014" t="s">
        <v>45</v>
      </c>
      <c r="J6014" t="s">
        <v>46</v>
      </c>
      <c r="K6014" t="s">
        <v>30</v>
      </c>
      <c r="L6014" t="s">
        <v>31</v>
      </c>
      <c r="M6014" t="s">
        <v>220</v>
      </c>
      <c r="N6014">
        <v>14450</v>
      </c>
      <c r="O6014">
        <v>3.4795630000000001E-2</v>
      </c>
      <c r="P6014">
        <v>9.9914489999999995E-3</v>
      </c>
      <c r="Q6014" t="str">
        <f t="shared" si="186"/>
        <v>50+</v>
      </c>
      <c r="R6014" t="str">
        <f t="shared" si="187"/>
        <v>[ScR9iFKAasW]|50+|Female|PLHIV_Attend.T|CY2025Q3</v>
      </c>
    </row>
    <row r="6015" spans="4:18" x14ac:dyDescent="0.2">
      <c r="D6015" t="s">
        <v>87</v>
      </c>
      <c r="E6015" t="s">
        <v>88</v>
      </c>
      <c r="F6015" t="s">
        <v>89</v>
      </c>
      <c r="G6015" t="s">
        <v>221</v>
      </c>
      <c r="H6015" t="s">
        <v>221</v>
      </c>
      <c r="I6015" t="s">
        <v>28</v>
      </c>
      <c r="J6015" t="s">
        <v>29</v>
      </c>
      <c r="K6015" t="s">
        <v>48</v>
      </c>
      <c r="L6015" t="s">
        <v>49</v>
      </c>
      <c r="M6015" t="s">
        <v>220</v>
      </c>
      <c r="N6015">
        <v>61</v>
      </c>
      <c r="O6015">
        <v>1.5309257999999999E-2</v>
      </c>
      <c r="P6015">
        <v>9.9914489999999995E-3</v>
      </c>
      <c r="Q6015" t="str">
        <f t="shared" si="186"/>
        <v>&lt;01</v>
      </c>
      <c r="R6015" t="str">
        <f t="shared" si="187"/>
        <v>[ScR9iFKAasW]|&lt;01|Male|PLHIV_Attend.T|CY2025Q3</v>
      </c>
    </row>
    <row r="6016" spans="4:18" x14ac:dyDescent="0.2">
      <c r="D6016" t="s">
        <v>87</v>
      </c>
      <c r="E6016" t="s">
        <v>88</v>
      </c>
      <c r="F6016" t="s">
        <v>89</v>
      </c>
      <c r="G6016" t="s">
        <v>221</v>
      </c>
      <c r="H6016" t="s">
        <v>221</v>
      </c>
      <c r="I6016" t="s">
        <v>33</v>
      </c>
      <c r="J6016" t="s">
        <v>34</v>
      </c>
      <c r="K6016" t="s">
        <v>48</v>
      </c>
      <c r="L6016" t="s">
        <v>49</v>
      </c>
      <c r="M6016" t="s">
        <v>220</v>
      </c>
      <c r="N6016">
        <v>1024</v>
      </c>
      <c r="O6016">
        <v>2.0659009999999998E-2</v>
      </c>
      <c r="P6016">
        <v>9.9914489999999995E-3</v>
      </c>
      <c r="Q6016" t="str">
        <f t="shared" si="186"/>
        <v>01-09</v>
      </c>
      <c r="R6016" t="str">
        <f t="shared" si="187"/>
        <v>[ScR9iFKAasW]|01-09|Male|PLHIV_Attend.T|CY2025Q3</v>
      </c>
    </row>
    <row r="6017" spans="4:18" x14ac:dyDescent="0.2">
      <c r="D6017" t="s">
        <v>87</v>
      </c>
      <c r="E6017" t="s">
        <v>88</v>
      </c>
      <c r="F6017" t="s">
        <v>89</v>
      </c>
      <c r="G6017" t="s">
        <v>221</v>
      </c>
      <c r="H6017" t="s">
        <v>221</v>
      </c>
      <c r="I6017" t="s">
        <v>36</v>
      </c>
      <c r="J6017" t="s">
        <v>37</v>
      </c>
      <c r="K6017" t="s">
        <v>48</v>
      </c>
      <c r="L6017" t="s">
        <v>49</v>
      </c>
      <c r="M6017" t="s">
        <v>220</v>
      </c>
      <c r="N6017">
        <v>1204</v>
      </c>
      <c r="O6017">
        <v>3.0305763999999999E-2</v>
      </c>
      <c r="P6017">
        <v>9.9914489999999995E-3</v>
      </c>
      <c r="Q6017" t="str">
        <f t="shared" si="186"/>
        <v>10-14</v>
      </c>
      <c r="R6017" t="str">
        <f t="shared" si="187"/>
        <v>[ScR9iFKAasW]|10-14|Male|PLHIV_Attend.T|CY2025Q3</v>
      </c>
    </row>
    <row r="6018" spans="4:18" x14ac:dyDescent="0.2">
      <c r="D6018" t="s">
        <v>87</v>
      </c>
      <c r="E6018" t="s">
        <v>88</v>
      </c>
      <c r="F6018" t="s">
        <v>89</v>
      </c>
      <c r="G6018" t="s">
        <v>221</v>
      </c>
      <c r="H6018" t="s">
        <v>221</v>
      </c>
      <c r="I6018" t="s">
        <v>38</v>
      </c>
      <c r="J6018" t="s">
        <v>39</v>
      </c>
      <c r="K6018" t="s">
        <v>48</v>
      </c>
      <c r="L6018" t="s">
        <v>49</v>
      </c>
      <c r="M6018" t="s">
        <v>220</v>
      </c>
      <c r="N6018">
        <v>3659</v>
      </c>
      <c r="O6018">
        <v>6.1352289999999997E-2</v>
      </c>
      <c r="P6018">
        <v>9.9914489999999995E-3</v>
      </c>
      <c r="Q6018" t="str">
        <f t="shared" si="186"/>
        <v>15-24</v>
      </c>
      <c r="R6018" t="str">
        <f t="shared" si="187"/>
        <v>[ScR9iFKAasW]|15-24|Male|PLHIV_Attend.T|CY2025Q3</v>
      </c>
    </row>
    <row r="6019" spans="4:18" x14ac:dyDescent="0.2">
      <c r="D6019" t="s">
        <v>87</v>
      </c>
      <c r="E6019" t="s">
        <v>88</v>
      </c>
      <c r="F6019" t="s">
        <v>89</v>
      </c>
      <c r="G6019" t="s">
        <v>221</v>
      </c>
      <c r="H6019" t="s">
        <v>221</v>
      </c>
      <c r="I6019" t="s">
        <v>41</v>
      </c>
      <c r="J6019" t="s">
        <v>42</v>
      </c>
      <c r="K6019" t="s">
        <v>48</v>
      </c>
      <c r="L6019" t="s">
        <v>49</v>
      </c>
      <c r="M6019" t="s">
        <v>220</v>
      </c>
      <c r="N6019">
        <v>6185</v>
      </c>
      <c r="O6019">
        <v>6.3056629000000003E-2</v>
      </c>
      <c r="P6019">
        <v>9.9914489999999995E-3</v>
      </c>
      <c r="Q6019" t="str">
        <f t="shared" ref="Q6019:Q6082" si="188">SUBSTITUTE(SUBSTITUTE($I6019,CHAR(61),""),CHAR(34),"")</f>
        <v>25-34</v>
      </c>
      <c r="R6019" t="str">
        <f t="shared" ref="R6019:R6082" si="189">IF($D6019&lt;&gt;"","["&amp;$E6019&amp;"]"&amp;"|"&amp;$Q6019&amp;"|"&amp;$K6019&amp;"|"&amp;$G6019&amp;"|"&amp;IF($G6019="TX_CURR_SUBNAT.R","CY2023Q4",$M6019),"")</f>
        <v>[ScR9iFKAasW]|25-34|Male|PLHIV_Attend.T|CY2025Q3</v>
      </c>
    </row>
    <row r="6020" spans="4:18" x14ac:dyDescent="0.2">
      <c r="D6020" t="s">
        <v>87</v>
      </c>
      <c r="E6020" t="s">
        <v>88</v>
      </c>
      <c r="F6020" t="s">
        <v>89</v>
      </c>
      <c r="G6020" t="s">
        <v>221</v>
      </c>
      <c r="H6020" t="s">
        <v>221</v>
      </c>
      <c r="I6020" t="s">
        <v>43</v>
      </c>
      <c r="J6020" t="s">
        <v>44</v>
      </c>
      <c r="K6020" t="s">
        <v>48</v>
      </c>
      <c r="L6020" t="s">
        <v>49</v>
      </c>
      <c r="M6020" t="s">
        <v>220</v>
      </c>
      <c r="N6020">
        <v>23696</v>
      </c>
      <c r="O6020">
        <v>2.7495575000000001E-2</v>
      </c>
      <c r="P6020">
        <v>9.9914489999999995E-3</v>
      </c>
      <c r="Q6020" t="str">
        <f t="shared" si="188"/>
        <v>35-49</v>
      </c>
      <c r="R6020" t="str">
        <f t="shared" si="189"/>
        <v>[ScR9iFKAasW]|35-49|Male|PLHIV_Attend.T|CY2025Q3</v>
      </c>
    </row>
    <row r="6021" spans="4:18" x14ac:dyDescent="0.2">
      <c r="D6021" t="s">
        <v>87</v>
      </c>
      <c r="E6021" t="s">
        <v>88</v>
      </c>
      <c r="F6021" t="s">
        <v>89</v>
      </c>
      <c r="G6021" t="s">
        <v>221</v>
      </c>
      <c r="H6021" t="s">
        <v>221</v>
      </c>
      <c r="I6021" t="s">
        <v>45</v>
      </c>
      <c r="J6021" t="s">
        <v>46</v>
      </c>
      <c r="K6021" t="s">
        <v>48</v>
      </c>
      <c r="L6021" t="s">
        <v>49</v>
      </c>
      <c r="M6021" t="s">
        <v>220</v>
      </c>
      <c r="N6021">
        <v>14780</v>
      </c>
      <c r="O6021">
        <v>3.2236252999999999E-2</v>
      </c>
      <c r="P6021">
        <v>9.9914489999999995E-3</v>
      </c>
      <c r="Q6021" t="str">
        <f t="shared" si="188"/>
        <v>50+</v>
      </c>
      <c r="R6021" t="str">
        <f t="shared" si="189"/>
        <v>[ScR9iFKAasW]|50+|Male|PLHIV_Attend.T|CY2025Q3</v>
      </c>
    </row>
    <row r="6022" spans="4:18" x14ac:dyDescent="0.2">
      <c r="D6022" t="s">
        <v>90</v>
      </c>
      <c r="E6022" t="s">
        <v>91</v>
      </c>
      <c r="F6022" t="s">
        <v>92</v>
      </c>
      <c r="G6022" t="s">
        <v>221</v>
      </c>
      <c r="H6022" t="s">
        <v>221</v>
      </c>
      <c r="I6022" t="s">
        <v>28</v>
      </c>
      <c r="J6022" t="s">
        <v>29</v>
      </c>
      <c r="K6022" t="s">
        <v>30</v>
      </c>
      <c r="L6022" t="s">
        <v>31</v>
      </c>
      <c r="M6022" t="s">
        <v>220</v>
      </c>
      <c r="N6022">
        <v>10</v>
      </c>
      <c r="O6022">
        <v>2.982166E-2</v>
      </c>
      <c r="P6022">
        <v>2.0288668999999999E-2</v>
      </c>
      <c r="Q6022" t="str">
        <f t="shared" si="188"/>
        <v>&lt;01</v>
      </c>
      <c r="R6022" t="str">
        <f t="shared" si="189"/>
        <v>[kxuuIFpOXyO]|&lt;01|Female|PLHIV_Attend.T|CY2025Q3</v>
      </c>
    </row>
    <row r="6023" spans="4:18" x14ac:dyDescent="0.2">
      <c r="D6023" t="s">
        <v>90</v>
      </c>
      <c r="E6023" t="s">
        <v>91</v>
      </c>
      <c r="F6023" t="s">
        <v>92</v>
      </c>
      <c r="G6023" t="s">
        <v>221</v>
      </c>
      <c r="H6023" t="s">
        <v>221</v>
      </c>
      <c r="I6023" t="s">
        <v>33</v>
      </c>
      <c r="J6023" t="s">
        <v>34</v>
      </c>
      <c r="K6023" t="s">
        <v>30</v>
      </c>
      <c r="L6023" t="s">
        <v>31</v>
      </c>
      <c r="M6023" t="s">
        <v>220</v>
      </c>
      <c r="N6023">
        <v>184</v>
      </c>
      <c r="O6023">
        <v>4.1365444000000001E-2</v>
      </c>
      <c r="P6023">
        <v>2.0288668999999999E-2</v>
      </c>
      <c r="Q6023" t="str">
        <f t="shared" si="188"/>
        <v>01-09</v>
      </c>
      <c r="R6023" t="str">
        <f t="shared" si="189"/>
        <v>[kxuuIFpOXyO]|01-09|Female|PLHIV_Attend.T|CY2025Q3</v>
      </c>
    </row>
    <row r="6024" spans="4:18" x14ac:dyDescent="0.2">
      <c r="D6024" t="s">
        <v>90</v>
      </c>
      <c r="E6024" t="s">
        <v>91</v>
      </c>
      <c r="F6024" t="s">
        <v>92</v>
      </c>
      <c r="G6024" t="s">
        <v>221</v>
      </c>
      <c r="H6024" t="s">
        <v>221</v>
      </c>
      <c r="I6024" t="s">
        <v>36</v>
      </c>
      <c r="J6024" t="s">
        <v>37</v>
      </c>
      <c r="K6024" t="s">
        <v>30</v>
      </c>
      <c r="L6024" t="s">
        <v>31</v>
      </c>
      <c r="M6024" t="s">
        <v>220</v>
      </c>
      <c r="N6024">
        <v>245</v>
      </c>
      <c r="O6024">
        <v>6.0460024000000001E-2</v>
      </c>
      <c r="P6024">
        <v>2.0288668999999999E-2</v>
      </c>
      <c r="Q6024" t="str">
        <f t="shared" si="188"/>
        <v>10-14</v>
      </c>
      <c r="R6024" t="str">
        <f t="shared" si="189"/>
        <v>[kxuuIFpOXyO]|10-14|Female|PLHIV_Attend.T|CY2025Q3</v>
      </c>
    </row>
    <row r="6025" spans="4:18" x14ac:dyDescent="0.2">
      <c r="D6025" t="s">
        <v>90</v>
      </c>
      <c r="E6025" t="s">
        <v>91</v>
      </c>
      <c r="F6025" t="s">
        <v>92</v>
      </c>
      <c r="G6025" t="s">
        <v>221</v>
      </c>
      <c r="H6025" t="s">
        <v>221</v>
      </c>
      <c r="I6025" t="s">
        <v>38</v>
      </c>
      <c r="J6025" t="s">
        <v>39</v>
      </c>
      <c r="K6025" t="s">
        <v>30</v>
      </c>
      <c r="L6025" t="s">
        <v>31</v>
      </c>
      <c r="M6025" t="s">
        <v>220</v>
      </c>
      <c r="N6025">
        <v>926</v>
      </c>
      <c r="O6025">
        <v>5.8710554999999998E-2</v>
      </c>
      <c r="P6025">
        <v>2.0288668999999999E-2</v>
      </c>
      <c r="Q6025" t="str">
        <f t="shared" si="188"/>
        <v>15-24</v>
      </c>
      <c r="R6025" t="str">
        <f t="shared" si="189"/>
        <v>[kxuuIFpOXyO]|15-24|Female|PLHIV_Attend.T|CY2025Q3</v>
      </c>
    </row>
    <row r="6026" spans="4:18" x14ac:dyDescent="0.2">
      <c r="D6026" t="s">
        <v>90</v>
      </c>
      <c r="E6026" t="s">
        <v>91</v>
      </c>
      <c r="F6026" t="s">
        <v>92</v>
      </c>
      <c r="G6026" t="s">
        <v>221</v>
      </c>
      <c r="H6026" t="s">
        <v>221</v>
      </c>
      <c r="I6026" t="s">
        <v>41</v>
      </c>
      <c r="J6026" t="s">
        <v>42</v>
      </c>
      <c r="K6026" t="s">
        <v>30</v>
      </c>
      <c r="L6026" t="s">
        <v>31</v>
      </c>
      <c r="M6026" t="s">
        <v>220</v>
      </c>
      <c r="N6026">
        <v>2250</v>
      </c>
      <c r="O6026">
        <v>4.2846111999999999E-2</v>
      </c>
      <c r="P6026">
        <v>2.0288668999999999E-2</v>
      </c>
      <c r="Q6026" t="str">
        <f t="shared" si="188"/>
        <v>25-34</v>
      </c>
      <c r="R6026" t="str">
        <f t="shared" si="189"/>
        <v>[kxuuIFpOXyO]|25-34|Female|PLHIV_Attend.T|CY2025Q3</v>
      </c>
    </row>
    <row r="6027" spans="4:18" x14ac:dyDescent="0.2">
      <c r="D6027" t="s">
        <v>90</v>
      </c>
      <c r="E6027" t="s">
        <v>91</v>
      </c>
      <c r="F6027" t="s">
        <v>92</v>
      </c>
      <c r="G6027" t="s">
        <v>221</v>
      </c>
      <c r="H6027" t="s">
        <v>221</v>
      </c>
      <c r="I6027" t="s">
        <v>43</v>
      </c>
      <c r="J6027" t="s">
        <v>44</v>
      </c>
      <c r="K6027" t="s">
        <v>30</v>
      </c>
      <c r="L6027" t="s">
        <v>31</v>
      </c>
      <c r="M6027" t="s">
        <v>220</v>
      </c>
      <c r="N6027">
        <v>6385</v>
      </c>
      <c r="O6027">
        <v>2.6150586999999999E-2</v>
      </c>
      <c r="P6027">
        <v>2.0288668999999999E-2</v>
      </c>
      <c r="Q6027" t="str">
        <f t="shared" si="188"/>
        <v>35-49</v>
      </c>
      <c r="R6027" t="str">
        <f t="shared" si="189"/>
        <v>[kxuuIFpOXyO]|35-49|Female|PLHIV_Attend.T|CY2025Q3</v>
      </c>
    </row>
    <row r="6028" spans="4:18" x14ac:dyDescent="0.2">
      <c r="D6028" t="s">
        <v>90</v>
      </c>
      <c r="E6028" t="s">
        <v>91</v>
      </c>
      <c r="F6028" t="s">
        <v>92</v>
      </c>
      <c r="G6028" t="s">
        <v>221</v>
      </c>
      <c r="H6028" t="s">
        <v>221</v>
      </c>
      <c r="I6028" t="s">
        <v>45</v>
      </c>
      <c r="J6028" t="s">
        <v>46</v>
      </c>
      <c r="K6028" t="s">
        <v>30</v>
      </c>
      <c r="L6028" t="s">
        <v>31</v>
      </c>
      <c r="M6028" t="s">
        <v>220</v>
      </c>
      <c r="N6028">
        <v>3216</v>
      </c>
      <c r="O6028">
        <v>3.9418176999999999E-2</v>
      </c>
      <c r="P6028">
        <v>2.0288668999999999E-2</v>
      </c>
      <c r="Q6028" t="str">
        <f t="shared" si="188"/>
        <v>50+</v>
      </c>
      <c r="R6028" t="str">
        <f t="shared" si="189"/>
        <v>[kxuuIFpOXyO]|50+|Female|PLHIV_Attend.T|CY2025Q3</v>
      </c>
    </row>
    <row r="6029" spans="4:18" x14ac:dyDescent="0.2">
      <c r="D6029" t="s">
        <v>90</v>
      </c>
      <c r="E6029" t="s">
        <v>91</v>
      </c>
      <c r="F6029" t="s">
        <v>92</v>
      </c>
      <c r="G6029" t="s">
        <v>221</v>
      </c>
      <c r="H6029" t="s">
        <v>221</v>
      </c>
      <c r="I6029" t="s">
        <v>28</v>
      </c>
      <c r="J6029" t="s">
        <v>29</v>
      </c>
      <c r="K6029" t="s">
        <v>48</v>
      </c>
      <c r="L6029" t="s">
        <v>49</v>
      </c>
      <c r="M6029" t="s">
        <v>220</v>
      </c>
      <c r="N6029">
        <v>10</v>
      </c>
      <c r="O6029">
        <v>2.9742813E-2</v>
      </c>
      <c r="P6029">
        <v>2.0288668999999999E-2</v>
      </c>
      <c r="Q6029" t="str">
        <f t="shared" si="188"/>
        <v>&lt;01</v>
      </c>
      <c r="R6029" t="str">
        <f t="shared" si="189"/>
        <v>[kxuuIFpOXyO]|&lt;01|Male|PLHIV_Attend.T|CY2025Q3</v>
      </c>
    </row>
    <row r="6030" spans="4:18" x14ac:dyDescent="0.2">
      <c r="D6030" t="s">
        <v>90</v>
      </c>
      <c r="E6030" t="s">
        <v>91</v>
      </c>
      <c r="F6030" t="s">
        <v>92</v>
      </c>
      <c r="G6030" t="s">
        <v>221</v>
      </c>
      <c r="H6030" t="s">
        <v>221</v>
      </c>
      <c r="I6030" t="s">
        <v>33</v>
      </c>
      <c r="J6030" t="s">
        <v>34</v>
      </c>
      <c r="K6030" t="s">
        <v>48</v>
      </c>
      <c r="L6030" t="s">
        <v>49</v>
      </c>
      <c r="M6030" t="s">
        <v>220</v>
      </c>
      <c r="N6030">
        <v>185</v>
      </c>
      <c r="O6030">
        <v>4.1279214000000002E-2</v>
      </c>
      <c r="P6030">
        <v>2.0288668999999999E-2</v>
      </c>
      <c r="Q6030" t="str">
        <f t="shared" si="188"/>
        <v>01-09</v>
      </c>
      <c r="R6030" t="str">
        <f t="shared" si="189"/>
        <v>[kxuuIFpOXyO]|01-09|Male|PLHIV_Attend.T|CY2025Q3</v>
      </c>
    </row>
    <row r="6031" spans="4:18" x14ac:dyDescent="0.2">
      <c r="D6031" t="s">
        <v>90</v>
      </c>
      <c r="E6031" t="s">
        <v>91</v>
      </c>
      <c r="F6031" t="s">
        <v>92</v>
      </c>
      <c r="G6031" t="s">
        <v>221</v>
      </c>
      <c r="H6031" t="s">
        <v>221</v>
      </c>
      <c r="I6031" t="s">
        <v>36</v>
      </c>
      <c r="J6031" t="s">
        <v>37</v>
      </c>
      <c r="K6031" t="s">
        <v>48</v>
      </c>
      <c r="L6031" t="s">
        <v>49</v>
      </c>
      <c r="M6031" t="s">
        <v>220</v>
      </c>
      <c r="N6031">
        <v>244</v>
      </c>
      <c r="O6031">
        <v>6.0460357999999999E-2</v>
      </c>
      <c r="P6031">
        <v>2.0288668999999999E-2</v>
      </c>
      <c r="Q6031" t="str">
        <f t="shared" si="188"/>
        <v>10-14</v>
      </c>
      <c r="R6031" t="str">
        <f t="shared" si="189"/>
        <v>[kxuuIFpOXyO]|10-14|Male|PLHIV_Attend.T|CY2025Q3</v>
      </c>
    </row>
    <row r="6032" spans="4:18" x14ac:dyDescent="0.2">
      <c r="D6032" t="s">
        <v>90</v>
      </c>
      <c r="E6032" t="s">
        <v>91</v>
      </c>
      <c r="F6032" t="s">
        <v>92</v>
      </c>
      <c r="G6032" t="s">
        <v>221</v>
      </c>
      <c r="H6032" t="s">
        <v>221</v>
      </c>
      <c r="I6032" t="s">
        <v>38</v>
      </c>
      <c r="J6032" t="s">
        <v>39</v>
      </c>
      <c r="K6032" t="s">
        <v>48</v>
      </c>
      <c r="L6032" t="s">
        <v>49</v>
      </c>
      <c r="M6032" t="s">
        <v>220</v>
      </c>
      <c r="N6032">
        <v>700</v>
      </c>
      <c r="O6032">
        <v>7.0090719999999995E-2</v>
      </c>
      <c r="P6032">
        <v>2.0288668999999999E-2</v>
      </c>
      <c r="Q6032" t="str">
        <f t="shared" si="188"/>
        <v>15-24</v>
      </c>
      <c r="R6032" t="str">
        <f t="shared" si="189"/>
        <v>[kxuuIFpOXyO]|15-24|Male|PLHIV_Attend.T|CY2025Q3</v>
      </c>
    </row>
    <row r="6033" spans="4:18" x14ac:dyDescent="0.2">
      <c r="D6033" t="s">
        <v>90</v>
      </c>
      <c r="E6033" t="s">
        <v>91</v>
      </c>
      <c r="F6033" t="s">
        <v>92</v>
      </c>
      <c r="G6033" t="s">
        <v>221</v>
      </c>
      <c r="H6033" t="s">
        <v>221</v>
      </c>
      <c r="I6033" t="s">
        <v>41</v>
      </c>
      <c r="J6033" t="s">
        <v>42</v>
      </c>
      <c r="K6033" t="s">
        <v>48</v>
      </c>
      <c r="L6033" t="s">
        <v>49</v>
      </c>
      <c r="M6033" t="s">
        <v>220</v>
      </c>
      <c r="N6033">
        <v>940</v>
      </c>
      <c r="O6033">
        <v>6.9276113E-2</v>
      </c>
      <c r="P6033">
        <v>2.0288668999999999E-2</v>
      </c>
      <c r="Q6033" t="str">
        <f t="shared" si="188"/>
        <v>25-34</v>
      </c>
      <c r="R6033" t="str">
        <f t="shared" si="189"/>
        <v>[kxuuIFpOXyO]|25-34|Male|PLHIV_Attend.T|CY2025Q3</v>
      </c>
    </row>
    <row r="6034" spans="4:18" x14ac:dyDescent="0.2">
      <c r="D6034" t="s">
        <v>90</v>
      </c>
      <c r="E6034" t="s">
        <v>91</v>
      </c>
      <c r="F6034" t="s">
        <v>92</v>
      </c>
      <c r="G6034" t="s">
        <v>221</v>
      </c>
      <c r="H6034" t="s">
        <v>221</v>
      </c>
      <c r="I6034" t="s">
        <v>43</v>
      </c>
      <c r="J6034" t="s">
        <v>44</v>
      </c>
      <c r="K6034" t="s">
        <v>48</v>
      </c>
      <c r="L6034" t="s">
        <v>49</v>
      </c>
      <c r="M6034" t="s">
        <v>220</v>
      </c>
      <c r="N6034">
        <v>3604</v>
      </c>
      <c r="O6034">
        <v>3.6934534999999998E-2</v>
      </c>
      <c r="P6034">
        <v>2.0288668999999999E-2</v>
      </c>
      <c r="Q6034" t="str">
        <f t="shared" si="188"/>
        <v>35-49</v>
      </c>
      <c r="R6034" t="str">
        <f t="shared" si="189"/>
        <v>[kxuuIFpOXyO]|35-49|Male|PLHIV_Attend.T|CY2025Q3</v>
      </c>
    </row>
    <row r="6035" spans="4:18" x14ac:dyDescent="0.2">
      <c r="D6035" t="s">
        <v>90</v>
      </c>
      <c r="E6035" t="s">
        <v>91</v>
      </c>
      <c r="F6035" t="s">
        <v>92</v>
      </c>
      <c r="G6035" t="s">
        <v>221</v>
      </c>
      <c r="H6035" t="s">
        <v>221</v>
      </c>
      <c r="I6035" t="s">
        <v>45</v>
      </c>
      <c r="J6035" t="s">
        <v>46</v>
      </c>
      <c r="K6035" t="s">
        <v>48</v>
      </c>
      <c r="L6035" t="s">
        <v>49</v>
      </c>
      <c r="M6035" t="s">
        <v>220</v>
      </c>
      <c r="N6035">
        <v>3033</v>
      </c>
      <c r="O6035">
        <v>3.7264810000000002E-2</v>
      </c>
      <c r="P6035">
        <v>2.0288668999999999E-2</v>
      </c>
      <c r="Q6035" t="str">
        <f t="shared" si="188"/>
        <v>50+</v>
      </c>
      <c r="R6035" t="str">
        <f t="shared" si="189"/>
        <v>[kxuuIFpOXyO]|50+|Male|PLHIV_Attend.T|CY2025Q3</v>
      </c>
    </row>
    <row r="6036" spans="4:18" x14ac:dyDescent="0.2">
      <c r="D6036" t="s">
        <v>93</v>
      </c>
      <c r="E6036" t="s">
        <v>94</v>
      </c>
      <c r="F6036" t="s">
        <v>95</v>
      </c>
      <c r="G6036" t="s">
        <v>221</v>
      </c>
      <c r="H6036" t="s">
        <v>221</v>
      </c>
      <c r="I6036" t="s">
        <v>28</v>
      </c>
      <c r="J6036" t="s">
        <v>29</v>
      </c>
      <c r="K6036" t="s">
        <v>30</v>
      </c>
      <c r="L6036" t="s">
        <v>31</v>
      </c>
      <c r="M6036" t="s">
        <v>220</v>
      </c>
      <c r="N6036">
        <v>12</v>
      </c>
      <c r="O6036">
        <v>3.1575341999999999E-2</v>
      </c>
      <c r="P6036">
        <v>2.3162584E-2</v>
      </c>
      <c r="Q6036" t="str">
        <f t="shared" si="188"/>
        <v>&lt;01</v>
      </c>
      <c r="R6036" t="str">
        <f t="shared" si="189"/>
        <v>[PekKUkKHAzY]|&lt;01|Female|PLHIV_Attend.T|CY2025Q3</v>
      </c>
    </row>
    <row r="6037" spans="4:18" x14ac:dyDescent="0.2">
      <c r="D6037" t="s">
        <v>93</v>
      </c>
      <c r="E6037" t="s">
        <v>94</v>
      </c>
      <c r="F6037" t="s">
        <v>95</v>
      </c>
      <c r="G6037" t="s">
        <v>221</v>
      </c>
      <c r="H6037" t="s">
        <v>221</v>
      </c>
      <c r="I6037" t="s">
        <v>33</v>
      </c>
      <c r="J6037" t="s">
        <v>34</v>
      </c>
      <c r="K6037" t="s">
        <v>30</v>
      </c>
      <c r="L6037" t="s">
        <v>31</v>
      </c>
      <c r="M6037" t="s">
        <v>220</v>
      </c>
      <c r="N6037">
        <v>212</v>
      </c>
      <c r="O6037">
        <v>4.0707607E-2</v>
      </c>
      <c r="P6037">
        <v>2.3162584E-2</v>
      </c>
      <c r="Q6037" t="str">
        <f t="shared" si="188"/>
        <v>01-09</v>
      </c>
      <c r="R6037" t="str">
        <f t="shared" si="189"/>
        <v>[PekKUkKHAzY]|01-09|Female|PLHIV_Attend.T|CY2025Q3</v>
      </c>
    </row>
    <row r="6038" spans="4:18" x14ac:dyDescent="0.2">
      <c r="D6038" t="s">
        <v>93</v>
      </c>
      <c r="E6038" t="s">
        <v>94</v>
      </c>
      <c r="F6038" t="s">
        <v>95</v>
      </c>
      <c r="G6038" t="s">
        <v>221</v>
      </c>
      <c r="H6038" t="s">
        <v>221</v>
      </c>
      <c r="I6038" t="s">
        <v>36</v>
      </c>
      <c r="J6038" t="s">
        <v>37</v>
      </c>
      <c r="K6038" t="s">
        <v>30</v>
      </c>
      <c r="L6038" t="s">
        <v>31</v>
      </c>
      <c r="M6038" t="s">
        <v>220</v>
      </c>
      <c r="N6038">
        <v>279</v>
      </c>
      <c r="O6038">
        <v>5.5185041999999997E-2</v>
      </c>
      <c r="P6038">
        <v>2.3162584E-2</v>
      </c>
      <c r="Q6038" t="str">
        <f t="shared" si="188"/>
        <v>10-14</v>
      </c>
      <c r="R6038" t="str">
        <f t="shared" si="189"/>
        <v>[PekKUkKHAzY]|10-14|Female|PLHIV_Attend.T|CY2025Q3</v>
      </c>
    </row>
    <row r="6039" spans="4:18" x14ac:dyDescent="0.2">
      <c r="D6039" t="s">
        <v>93</v>
      </c>
      <c r="E6039" t="s">
        <v>94</v>
      </c>
      <c r="F6039" t="s">
        <v>95</v>
      </c>
      <c r="G6039" t="s">
        <v>221</v>
      </c>
      <c r="H6039" t="s">
        <v>221</v>
      </c>
      <c r="I6039" t="s">
        <v>38</v>
      </c>
      <c r="J6039" t="s">
        <v>39</v>
      </c>
      <c r="K6039" t="s">
        <v>30</v>
      </c>
      <c r="L6039" t="s">
        <v>31</v>
      </c>
      <c r="M6039" t="s">
        <v>220</v>
      </c>
      <c r="N6039">
        <v>1034</v>
      </c>
      <c r="O6039">
        <v>5.7867554000000002E-2</v>
      </c>
      <c r="P6039">
        <v>2.3162584E-2</v>
      </c>
      <c r="Q6039" t="str">
        <f t="shared" si="188"/>
        <v>15-24</v>
      </c>
      <c r="R6039" t="str">
        <f t="shared" si="189"/>
        <v>[PekKUkKHAzY]|15-24|Female|PLHIV_Attend.T|CY2025Q3</v>
      </c>
    </row>
    <row r="6040" spans="4:18" x14ac:dyDescent="0.2">
      <c r="D6040" t="s">
        <v>93</v>
      </c>
      <c r="E6040" t="s">
        <v>94</v>
      </c>
      <c r="F6040" t="s">
        <v>95</v>
      </c>
      <c r="G6040" t="s">
        <v>221</v>
      </c>
      <c r="H6040" t="s">
        <v>221</v>
      </c>
      <c r="I6040" t="s">
        <v>41</v>
      </c>
      <c r="J6040" t="s">
        <v>42</v>
      </c>
      <c r="K6040" t="s">
        <v>30</v>
      </c>
      <c r="L6040" t="s">
        <v>31</v>
      </c>
      <c r="M6040" t="s">
        <v>220</v>
      </c>
      <c r="N6040">
        <v>2502</v>
      </c>
      <c r="O6040">
        <v>4.4542295000000003E-2</v>
      </c>
      <c r="P6040">
        <v>2.3162584E-2</v>
      </c>
      <c r="Q6040" t="str">
        <f t="shared" si="188"/>
        <v>25-34</v>
      </c>
      <c r="R6040" t="str">
        <f t="shared" si="189"/>
        <v>[PekKUkKHAzY]|25-34|Female|PLHIV_Attend.T|CY2025Q3</v>
      </c>
    </row>
    <row r="6041" spans="4:18" x14ac:dyDescent="0.2">
      <c r="D6041" t="s">
        <v>93</v>
      </c>
      <c r="E6041" t="s">
        <v>94</v>
      </c>
      <c r="F6041" t="s">
        <v>95</v>
      </c>
      <c r="G6041" t="s">
        <v>221</v>
      </c>
      <c r="H6041" t="s">
        <v>221</v>
      </c>
      <c r="I6041" t="s">
        <v>43</v>
      </c>
      <c r="J6041" t="s">
        <v>44</v>
      </c>
      <c r="K6041" t="s">
        <v>30</v>
      </c>
      <c r="L6041" t="s">
        <v>31</v>
      </c>
      <c r="M6041" t="s">
        <v>220</v>
      </c>
      <c r="N6041">
        <v>7257</v>
      </c>
      <c r="O6041">
        <v>2.8156708999999999E-2</v>
      </c>
      <c r="P6041">
        <v>2.3162584E-2</v>
      </c>
      <c r="Q6041" t="str">
        <f t="shared" si="188"/>
        <v>35-49</v>
      </c>
      <c r="R6041" t="str">
        <f t="shared" si="189"/>
        <v>[PekKUkKHAzY]|35-49|Female|PLHIV_Attend.T|CY2025Q3</v>
      </c>
    </row>
    <row r="6042" spans="4:18" x14ac:dyDescent="0.2">
      <c r="D6042" t="s">
        <v>93</v>
      </c>
      <c r="E6042" t="s">
        <v>94</v>
      </c>
      <c r="F6042" t="s">
        <v>95</v>
      </c>
      <c r="G6042" t="s">
        <v>221</v>
      </c>
      <c r="H6042" t="s">
        <v>221</v>
      </c>
      <c r="I6042" t="s">
        <v>45</v>
      </c>
      <c r="J6042" t="s">
        <v>46</v>
      </c>
      <c r="K6042" t="s">
        <v>30</v>
      </c>
      <c r="L6042" t="s">
        <v>31</v>
      </c>
      <c r="M6042" t="s">
        <v>220</v>
      </c>
      <c r="N6042">
        <v>3907</v>
      </c>
      <c r="O6042">
        <v>4.1346708000000003E-2</v>
      </c>
      <c r="P6042">
        <v>2.3162584E-2</v>
      </c>
      <c r="Q6042" t="str">
        <f t="shared" si="188"/>
        <v>50+</v>
      </c>
      <c r="R6042" t="str">
        <f t="shared" si="189"/>
        <v>[PekKUkKHAzY]|50+|Female|PLHIV_Attend.T|CY2025Q3</v>
      </c>
    </row>
    <row r="6043" spans="4:18" x14ac:dyDescent="0.2">
      <c r="D6043" t="s">
        <v>93</v>
      </c>
      <c r="E6043" t="s">
        <v>94</v>
      </c>
      <c r="F6043" t="s">
        <v>95</v>
      </c>
      <c r="G6043" t="s">
        <v>221</v>
      </c>
      <c r="H6043" t="s">
        <v>221</v>
      </c>
      <c r="I6043" t="s">
        <v>28</v>
      </c>
      <c r="J6043" t="s">
        <v>29</v>
      </c>
      <c r="K6043" t="s">
        <v>48</v>
      </c>
      <c r="L6043" t="s">
        <v>49</v>
      </c>
      <c r="M6043" t="s">
        <v>220</v>
      </c>
      <c r="N6043">
        <v>12</v>
      </c>
      <c r="O6043">
        <v>3.1566629999999998E-2</v>
      </c>
      <c r="P6043">
        <v>2.3162584E-2</v>
      </c>
      <c r="Q6043" t="str">
        <f t="shared" si="188"/>
        <v>&lt;01</v>
      </c>
      <c r="R6043" t="str">
        <f t="shared" si="189"/>
        <v>[PekKUkKHAzY]|&lt;01|Male|PLHIV_Attend.T|CY2025Q3</v>
      </c>
    </row>
    <row r="6044" spans="4:18" x14ac:dyDescent="0.2">
      <c r="D6044" t="s">
        <v>93</v>
      </c>
      <c r="E6044" t="s">
        <v>94</v>
      </c>
      <c r="F6044" t="s">
        <v>95</v>
      </c>
      <c r="G6044" t="s">
        <v>221</v>
      </c>
      <c r="H6044" t="s">
        <v>221</v>
      </c>
      <c r="I6044" t="s">
        <v>33</v>
      </c>
      <c r="J6044" t="s">
        <v>34</v>
      </c>
      <c r="K6044" t="s">
        <v>48</v>
      </c>
      <c r="L6044" t="s">
        <v>49</v>
      </c>
      <c r="M6044" t="s">
        <v>220</v>
      </c>
      <c r="N6044">
        <v>213</v>
      </c>
      <c r="O6044">
        <v>4.0742514000000001E-2</v>
      </c>
      <c r="P6044">
        <v>2.3162584E-2</v>
      </c>
      <c r="Q6044" t="str">
        <f t="shared" si="188"/>
        <v>01-09</v>
      </c>
      <c r="R6044" t="str">
        <f t="shared" si="189"/>
        <v>[PekKUkKHAzY]|01-09|Male|PLHIV_Attend.T|CY2025Q3</v>
      </c>
    </row>
    <row r="6045" spans="4:18" x14ac:dyDescent="0.2">
      <c r="D6045" t="s">
        <v>93</v>
      </c>
      <c r="E6045" t="s">
        <v>94</v>
      </c>
      <c r="F6045" t="s">
        <v>95</v>
      </c>
      <c r="G6045" t="s">
        <v>221</v>
      </c>
      <c r="H6045" t="s">
        <v>221</v>
      </c>
      <c r="I6045" t="s">
        <v>36</v>
      </c>
      <c r="J6045" t="s">
        <v>37</v>
      </c>
      <c r="K6045" t="s">
        <v>48</v>
      </c>
      <c r="L6045" t="s">
        <v>49</v>
      </c>
      <c r="M6045" t="s">
        <v>220</v>
      </c>
      <c r="N6045">
        <v>277</v>
      </c>
      <c r="O6045">
        <v>5.5301355000000003E-2</v>
      </c>
      <c r="P6045">
        <v>2.3162584E-2</v>
      </c>
      <c r="Q6045" t="str">
        <f t="shared" si="188"/>
        <v>10-14</v>
      </c>
      <c r="R6045" t="str">
        <f t="shared" si="189"/>
        <v>[PekKUkKHAzY]|10-14|Male|PLHIV_Attend.T|CY2025Q3</v>
      </c>
    </row>
    <row r="6046" spans="4:18" x14ac:dyDescent="0.2">
      <c r="D6046" t="s">
        <v>93</v>
      </c>
      <c r="E6046" t="s">
        <v>94</v>
      </c>
      <c r="F6046" t="s">
        <v>95</v>
      </c>
      <c r="G6046" t="s">
        <v>221</v>
      </c>
      <c r="H6046" t="s">
        <v>221</v>
      </c>
      <c r="I6046" t="s">
        <v>38</v>
      </c>
      <c r="J6046" t="s">
        <v>39</v>
      </c>
      <c r="K6046" t="s">
        <v>48</v>
      </c>
      <c r="L6046" t="s">
        <v>49</v>
      </c>
      <c r="M6046" t="s">
        <v>220</v>
      </c>
      <c r="N6046">
        <v>751</v>
      </c>
      <c r="O6046">
        <v>6.5212144E-2</v>
      </c>
      <c r="P6046">
        <v>2.3162584E-2</v>
      </c>
      <c r="Q6046" t="str">
        <f t="shared" si="188"/>
        <v>15-24</v>
      </c>
      <c r="R6046" t="str">
        <f t="shared" si="189"/>
        <v>[PekKUkKHAzY]|15-24|Male|PLHIV_Attend.T|CY2025Q3</v>
      </c>
    </row>
    <row r="6047" spans="4:18" x14ac:dyDescent="0.2">
      <c r="D6047" t="s">
        <v>93</v>
      </c>
      <c r="E6047" t="s">
        <v>94</v>
      </c>
      <c r="F6047" t="s">
        <v>95</v>
      </c>
      <c r="G6047" t="s">
        <v>221</v>
      </c>
      <c r="H6047" t="s">
        <v>221</v>
      </c>
      <c r="I6047" t="s">
        <v>41</v>
      </c>
      <c r="J6047" t="s">
        <v>42</v>
      </c>
      <c r="K6047" t="s">
        <v>48</v>
      </c>
      <c r="L6047" t="s">
        <v>49</v>
      </c>
      <c r="M6047" t="s">
        <v>220</v>
      </c>
      <c r="N6047">
        <v>930</v>
      </c>
      <c r="O6047">
        <v>7.0412962999999995E-2</v>
      </c>
      <c r="P6047">
        <v>2.3162584E-2</v>
      </c>
      <c r="Q6047" t="str">
        <f t="shared" si="188"/>
        <v>25-34</v>
      </c>
      <c r="R6047" t="str">
        <f t="shared" si="189"/>
        <v>[PekKUkKHAzY]|25-34|Male|PLHIV_Attend.T|CY2025Q3</v>
      </c>
    </row>
    <row r="6048" spans="4:18" x14ac:dyDescent="0.2">
      <c r="D6048" t="s">
        <v>93</v>
      </c>
      <c r="E6048" t="s">
        <v>94</v>
      </c>
      <c r="F6048" t="s">
        <v>95</v>
      </c>
      <c r="G6048" t="s">
        <v>221</v>
      </c>
      <c r="H6048" t="s">
        <v>221</v>
      </c>
      <c r="I6048" t="s">
        <v>43</v>
      </c>
      <c r="J6048" t="s">
        <v>44</v>
      </c>
      <c r="K6048" t="s">
        <v>48</v>
      </c>
      <c r="L6048" t="s">
        <v>49</v>
      </c>
      <c r="M6048" t="s">
        <v>220</v>
      </c>
      <c r="N6048">
        <v>3609</v>
      </c>
      <c r="O6048">
        <v>3.9986072999999997E-2</v>
      </c>
      <c r="P6048">
        <v>2.3162584E-2</v>
      </c>
      <c r="Q6048" t="str">
        <f t="shared" si="188"/>
        <v>35-49</v>
      </c>
      <c r="R6048" t="str">
        <f t="shared" si="189"/>
        <v>[PekKUkKHAzY]|35-49|Male|PLHIV_Attend.T|CY2025Q3</v>
      </c>
    </row>
    <row r="6049" spans="4:18" x14ac:dyDescent="0.2">
      <c r="D6049" t="s">
        <v>93</v>
      </c>
      <c r="E6049" t="s">
        <v>94</v>
      </c>
      <c r="F6049" t="s">
        <v>95</v>
      </c>
      <c r="G6049" t="s">
        <v>221</v>
      </c>
      <c r="H6049" t="s">
        <v>221</v>
      </c>
      <c r="I6049" t="s">
        <v>45</v>
      </c>
      <c r="J6049" t="s">
        <v>46</v>
      </c>
      <c r="K6049" t="s">
        <v>48</v>
      </c>
      <c r="L6049" t="s">
        <v>49</v>
      </c>
      <c r="M6049" t="s">
        <v>220</v>
      </c>
      <c r="N6049">
        <v>3072</v>
      </c>
      <c r="O6049">
        <v>3.8177826999999998E-2</v>
      </c>
      <c r="P6049">
        <v>2.3162584E-2</v>
      </c>
      <c r="Q6049" t="str">
        <f t="shared" si="188"/>
        <v>50+</v>
      </c>
      <c r="R6049" t="str">
        <f t="shared" si="189"/>
        <v>[PekKUkKHAzY]|50+|Male|PLHIV_Attend.T|CY2025Q3</v>
      </c>
    </row>
    <row r="6050" spans="4:18" x14ac:dyDescent="0.2">
      <c r="D6050" t="s">
        <v>96</v>
      </c>
      <c r="E6050" t="s">
        <v>97</v>
      </c>
      <c r="F6050" t="s">
        <v>98</v>
      </c>
      <c r="G6050" t="s">
        <v>221</v>
      </c>
      <c r="H6050" t="s">
        <v>221</v>
      </c>
      <c r="I6050" t="s">
        <v>28</v>
      </c>
      <c r="J6050" t="s">
        <v>29</v>
      </c>
      <c r="K6050" t="s">
        <v>30</v>
      </c>
      <c r="L6050" t="s">
        <v>31</v>
      </c>
      <c r="M6050" t="s">
        <v>220</v>
      </c>
      <c r="N6050">
        <v>17</v>
      </c>
      <c r="O6050">
        <v>2.8074857000000002E-2</v>
      </c>
      <c r="P6050">
        <v>1.9671533000000001E-2</v>
      </c>
      <c r="Q6050" t="str">
        <f t="shared" si="188"/>
        <v>&lt;01</v>
      </c>
      <c r="R6050" t="str">
        <f t="shared" si="189"/>
        <v>[am530wpaGvr]|&lt;01|Female|PLHIV_Attend.T|CY2025Q3</v>
      </c>
    </row>
    <row r="6051" spans="4:18" x14ac:dyDescent="0.2">
      <c r="D6051" t="s">
        <v>96</v>
      </c>
      <c r="E6051" t="s">
        <v>97</v>
      </c>
      <c r="F6051" t="s">
        <v>98</v>
      </c>
      <c r="G6051" t="s">
        <v>221</v>
      </c>
      <c r="H6051" t="s">
        <v>221</v>
      </c>
      <c r="I6051" t="s">
        <v>33</v>
      </c>
      <c r="J6051" t="s">
        <v>34</v>
      </c>
      <c r="K6051" t="s">
        <v>30</v>
      </c>
      <c r="L6051" t="s">
        <v>31</v>
      </c>
      <c r="M6051" t="s">
        <v>220</v>
      </c>
      <c r="N6051">
        <v>312</v>
      </c>
      <c r="O6051">
        <v>3.4786903000000001E-2</v>
      </c>
      <c r="P6051">
        <v>1.9671533000000001E-2</v>
      </c>
      <c r="Q6051" t="str">
        <f t="shared" si="188"/>
        <v>01-09</v>
      </c>
      <c r="R6051" t="str">
        <f t="shared" si="189"/>
        <v>[am530wpaGvr]|01-09|Female|PLHIV_Attend.T|CY2025Q3</v>
      </c>
    </row>
    <row r="6052" spans="4:18" x14ac:dyDescent="0.2">
      <c r="D6052" t="s">
        <v>96</v>
      </c>
      <c r="E6052" t="s">
        <v>97</v>
      </c>
      <c r="F6052" t="s">
        <v>98</v>
      </c>
      <c r="G6052" t="s">
        <v>221</v>
      </c>
      <c r="H6052" t="s">
        <v>221</v>
      </c>
      <c r="I6052" t="s">
        <v>36</v>
      </c>
      <c r="J6052" t="s">
        <v>37</v>
      </c>
      <c r="K6052" t="s">
        <v>30</v>
      </c>
      <c r="L6052" t="s">
        <v>31</v>
      </c>
      <c r="M6052" t="s">
        <v>220</v>
      </c>
      <c r="N6052">
        <v>413</v>
      </c>
      <c r="O6052">
        <v>4.4449554000000002E-2</v>
      </c>
      <c r="P6052">
        <v>1.9671533000000001E-2</v>
      </c>
      <c r="Q6052" t="str">
        <f t="shared" si="188"/>
        <v>10-14</v>
      </c>
      <c r="R6052" t="str">
        <f t="shared" si="189"/>
        <v>[am530wpaGvr]|10-14|Female|PLHIV_Attend.T|CY2025Q3</v>
      </c>
    </row>
    <row r="6053" spans="4:18" x14ac:dyDescent="0.2">
      <c r="D6053" t="s">
        <v>96</v>
      </c>
      <c r="E6053" t="s">
        <v>97</v>
      </c>
      <c r="F6053" t="s">
        <v>98</v>
      </c>
      <c r="G6053" t="s">
        <v>221</v>
      </c>
      <c r="H6053" t="s">
        <v>221</v>
      </c>
      <c r="I6053" t="s">
        <v>38</v>
      </c>
      <c r="J6053" t="s">
        <v>39</v>
      </c>
      <c r="K6053" t="s">
        <v>30</v>
      </c>
      <c r="L6053" t="s">
        <v>31</v>
      </c>
      <c r="M6053" t="s">
        <v>220</v>
      </c>
      <c r="N6053">
        <v>1555</v>
      </c>
      <c r="O6053">
        <v>5.6920045000000002E-2</v>
      </c>
      <c r="P6053">
        <v>1.9671533000000001E-2</v>
      </c>
      <c r="Q6053" t="str">
        <f t="shared" si="188"/>
        <v>15-24</v>
      </c>
      <c r="R6053" t="str">
        <f t="shared" si="189"/>
        <v>[am530wpaGvr]|15-24|Female|PLHIV_Attend.T|CY2025Q3</v>
      </c>
    </row>
    <row r="6054" spans="4:18" x14ac:dyDescent="0.2">
      <c r="D6054" t="s">
        <v>96</v>
      </c>
      <c r="E6054" t="s">
        <v>97</v>
      </c>
      <c r="F6054" t="s">
        <v>98</v>
      </c>
      <c r="G6054" t="s">
        <v>221</v>
      </c>
      <c r="H6054" t="s">
        <v>221</v>
      </c>
      <c r="I6054" t="s">
        <v>41</v>
      </c>
      <c r="J6054" t="s">
        <v>42</v>
      </c>
      <c r="K6054" t="s">
        <v>30</v>
      </c>
      <c r="L6054" t="s">
        <v>31</v>
      </c>
      <c r="M6054" t="s">
        <v>220</v>
      </c>
      <c r="N6054">
        <v>3624</v>
      </c>
      <c r="O6054">
        <v>4.3067772999999997E-2</v>
      </c>
      <c r="P6054">
        <v>1.9671533000000001E-2</v>
      </c>
      <c r="Q6054" t="str">
        <f t="shared" si="188"/>
        <v>25-34</v>
      </c>
      <c r="R6054" t="str">
        <f t="shared" si="189"/>
        <v>[am530wpaGvr]|25-34|Female|PLHIV_Attend.T|CY2025Q3</v>
      </c>
    </row>
    <row r="6055" spans="4:18" x14ac:dyDescent="0.2">
      <c r="D6055" t="s">
        <v>96</v>
      </c>
      <c r="E6055" t="s">
        <v>97</v>
      </c>
      <c r="F6055" t="s">
        <v>98</v>
      </c>
      <c r="G6055" t="s">
        <v>221</v>
      </c>
      <c r="H6055" t="s">
        <v>221</v>
      </c>
      <c r="I6055" t="s">
        <v>43</v>
      </c>
      <c r="J6055" t="s">
        <v>44</v>
      </c>
      <c r="K6055" t="s">
        <v>30</v>
      </c>
      <c r="L6055" t="s">
        <v>31</v>
      </c>
      <c r="M6055" t="s">
        <v>220</v>
      </c>
      <c r="N6055">
        <v>10339</v>
      </c>
      <c r="O6055">
        <v>2.4968272E-2</v>
      </c>
      <c r="P6055">
        <v>1.9671533000000001E-2</v>
      </c>
      <c r="Q6055" t="str">
        <f t="shared" si="188"/>
        <v>35-49</v>
      </c>
      <c r="R6055" t="str">
        <f t="shared" si="189"/>
        <v>[am530wpaGvr]|35-49|Female|PLHIV_Attend.T|CY2025Q3</v>
      </c>
    </row>
    <row r="6056" spans="4:18" x14ac:dyDescent="0.2">
      <c r="D6056" t="s">
        <v>96</v>
      </c>
      <c r="E6056" t="s">
        <v>97</v>
      </c>
      <c r="F6056" t="s">
        <v>98</v>
      </c>
      <c r="G6056" t="s">
        <v>221</v>
      </c>
      <c r="H6056" t="s">
        <v>221</v>
      </c>
      <c r="I6056" t="s">
        <v>45</v>
      </c>
      <c r="J6056" t="s">
        <v>46</v>
      </c>
      <c r="K6056" t="s">
        <v>30</v>
      </c>
      <c r="L6056" t="s">
        <v>31</v>
      </c>
      <c r="M6056" t="s">
        <v>220</v>
      </c>
      <c r="N6056">
        <v>5591</v>
      </c>
      <c r="O6056">
        <v>3.6190603000000002E-2</v>
      </c>
      <c r="P6056">
        <v>1.9671533000000001E-2</v>
      </c>
      <c r="Q6056" t="str">
        <f t="shared" si="188"/>
        <v>50+</v>
      </c>
      <c r="R6056" t="str">
        <f t="shared" si="189"/>
        <v>[am530wpaGvr]|50+|Female|PLHIV_Attend.T|CY2025Q3</v>
      </c>
    </row>
    <row r="6057" spans="4:18" x14ac:dyDescent="0.2">
      <c r="D6057" t="s">
        <v>96</v>
      </c>
      <c r="E6057" t="s">
        <v>97</v>
      </c>
      <c r="F6057" t="s">
        <v>98</v>
      </c>
      <c r="G6057" t="s">
        <v>221</v>
      </c>
      <c r="H6057" t="s">
        <v>221</v>
      </c>
      <c r="I6057" t="s">
        <v>28</v>
      </c>
      <c r="J6057" t="s">
        <v>29</v>
      </c>
      <c r="K6057" t="s">
        <v>48</v>
      </c>
      <c r="L6057" t="s">
        <v>49</v>
      </c>
      <c r="M6057" t="s">
        <v>220</v>
      </c>
      <c r="N6057">
        <v>17</v>
      </c>
      <c r="O6057">
        <v>2.7935201999999999E-2</v>
      </c>
      <c r="P6057">
        <v>1.9671533000000001E-2</v>
      </c>
      <c r="Q6057" t="str">
        <f t="shared" si="188"/>
        <v>&lt;01</v>
      </c>
      <c r="R6057" t="str">
        <f t="shared" si="189"/>
        <v>[am530wpaGvr]|&lt;01|Male|PLHIV_Attend.T|CY2025Q3</v>
      </c>
    </row>
    <row r="6058" spans="4:18" x14ac:dyDescent="0.2">
      <c r="D6058" t="s">
        <v>96</v>
      </c>
      <c r="E6058" t="s">
        <v>97</v>
      </c>
      <c r="F6058" t="s">
        <v>98</v>
      </c>
      <c r="G6058" t="s">
        <v>221</v>
      </c>
      <c r="H6058" t="s">
        <v>221</v>
      </c>
      <c r="I6058" t="s">
        <v>33</v>
      </c>
      <c r="J6058" t="s">
        <v>34</v>
      </c>
      <c r="K6058" t="s">
        <v>48</v>
      </c>
      <c r="L6058" t="s">
        <v>49</v>
      </c>
      <c r="M6058" t="s">
        <v>220</v>
      </c>
      <c r="N6058">
        <v>319</v>
      </c>
      <c r="O6058">
        <v>3.4629878000000003E-2</v>
      </c>
      <c r="P6058">
        <v>1.9671533000000001E-2</v>
      </c>
      <c r="Q6058" t="str">
        <f t="shared" si="188"/>
        <v>01-09</v>
      </c>
      <c r="R6058" t="str">
        <f t="shared" si="189"/>
        <v>[am530wpaGvr]|01-09|Male|PLHIV_Attend.T|CY2025Q3</v>
      </c>
    </row>
    <row r="6059" spans="4:18" x14ac:dyDescent="0.2">
      <c r="D6059" t="s">
        <v>96</v>
      </c>
      <c r="E6059" t="s">
        <v>97</v>
      </c>
      <c r="F6059" t="s">
        <v>98</v>
      </c>
      <c r="G6059" t="s">
        <v>221</v>
      </c>
      <c r="H6059" t="s">
        <v>221</v>
      </c>
      <c r="I6059" t="s">
        <v>36</v>
      </c>
      <c r="J6059" t="s">
        <v>37</v>
      </c>
      <c r="K6059" t="s">
        <v>48</v>
      </c>
      <c r="L6059" t="s">
        <v>49</v>
      </c>
      <c r="M6059" t="s">
        <v>220</v>
      </c>
      <c r="N6059">
        <v>422</v>
      </c>
      <c r="O6059">
        <v>4.4399960000000002E-2</v>
      </c>
      <c r="P6059">
        <v>1.9671533000000001E-2</v>
      </c>
      <c r="Q6059" t="str">
        <f t="shared" si="188"/>
        <v>10-14</v>
      </c>
      <c r="R6059" t="str">
        <f t="shared" si="189"/>
        <v>[am530wpaGvr]|10-14|Male|PLHIV_Attend.T|CY2025Q3</v>
      </c>
    </row>
    <row r="6060" spans="4:18" x14ac:dyDescent="0.2">
      <c r="D6060" t="s">
        <v>96</v>
      </c>
      <c r="E6060" t="s">
        <v>97</v>
      </c>
      <c r="F6060" t="s">
        <v>98</v>
      </c>
      <c r="G6060" t="s">
        <v>221</v>
      </c>
      <c r="H6060" t="s">
        <v>221</v>
      </c>
      <c r="I6060" t="s">
        <v>38</v>
      </c>
      <c r="J6060" t="s">
        <v>39</v>
      </c>
      <c r="K6060" t="s">
        <v>48</v>
      </c>
      <c r="L6060" t="s">
        <v>49</v>
      </c>
      <c r="M6060" t="s">
        <v>220</v>
      </c>
      <c r="N6060">
        <v>1132</v>
      </c>
      <c r="O6060">
        <v>6.2744257999999997E-2</v>
      </c>
      <c r="P6060">
        <v>1.9671533000000001E-2</v>
      </c>
      <c r="Q6060" t="str">
        <f t="shared" si="188"/>
        <v>15-24</v>
      </c>
      <c r="R6060" t="str">
        <f t="shared" si="189"/>
        <v>[am530wpaGvr]|15-24|Male|PLHIV_Attend.T|CY2025Q3</v>
      </c>
    </row>
    <row r="6061" spans="4:18" x14ac:dyDescent="0.2">
      <c r="D6061" t="s">
        <v>96</v>
      </c>
      <c r="E6061" t="s">
        <v>97</v>
      </c>
      <c r="F6061" t="s">
        <v>98</v>
      </c>
      <c r="G6061" t="s">
        <v>221</v>
      </c>
      <c r="H6061" t="s">
        <v>221</v>
      </c>
      <c r="I6061" t="s">
        <v>41</v>
      </c>
      <c r="J6061" t="s">
        <v>42</v>
      </c>
      <c r="K6061" t="s">
        <v>48</v>
      </c>
      <c r="L6061" t="s">
        <v>49</v>
      </c>
      <c r="M6061" t="s">
        <v>220</v>
      </c>
      <c r="N6061">
        <v>1334</v>
      </c>
      <c r="O6061">
        <v>7.0062093000000006E-2</v>
      </c>
      <c r="P6061">
        <v>1.9671533000000001E-2</v>
      </c>
      <c r="Q6061" t="str">
        <f t="shared" si="188"/>
        <v>25-34</v>
      </c>
      <c r="R6061" t="str">
        <f t="shared" si="189"/>
        <v>[am530wpaGvr]|25-34|Male|PLHIV_Attend.T|CY2025Q3</v>
      </c>
    </row>
    <row r="6062" spans="4:18" x14ac:dyDescent="0.2">
      <c r="D6062" t="s">
        <v>96</v>
      </c>
      <c r="E6062" t="s">
        <v>97</v>
      </c>
      <c r="F6062" t="s">
        <v>98</v>
      </c>
      <c r="G6062" t="s">
        <v>221</v>
      </c>
      <c r="H6062" t="s">
        <v>221</v>
      </c>
      <c r="I6062" t="s">
        <v>43</v>
      </c>
      <c r="J6062" t="s">
        <v>44</v>
      </c>
      <c r="K6062" t="s">
        <v>48</v>
      </c>
      <c r="L6062" t="s">
        <v>49</v>
      </c>
      <c r="M6062" t="s">
        <v>220</v>
      </c>
      <c r="N6062">
        <v>4953</v>
      </c>
      <c r="O6062">
        <v>3.7196089000000002E-2</v>
      </c>
      <c r="P6062">
        <v>1.9671533000000001E-2</v>
      </c>
      <c r="Q6062" t="str">
        <f t="shared" si="188"/>
        <v>35-49</v>
      </c>
      <c r="R6062" t="str">
        <f t="shared" si="189"/>
        <v>[am530wpaGvr]|35-49|Male|PLHIV_Attend.T|CY2025Q3</v>
      </c>
    </row>
    <row r="6063" spans="4:18" x14ac:dyDescent="0.2">
      <c r="D6063" t="s">
        <v>96</v>
      </c>
      <c r="E6063" t="s">
        <v>97</v>
      </c>
      <c r="F6063" t="s">
        <v>98</v>
      </c>
      <c r="G6063" t="s">
        <v>221</v>
      </c>
      <c r="H6063" t="s">
        <v>221</v>
      </c>
      <c r="I6063" t="s">
        <v>45</v>
      </c>
      <c r="J6063" t="s">
        <v>46</v>
      </c>
      <c r="K6063" t="s">
        <v>48</v>
      </c>
      <c r="L6063" t="s">
        <v>49</v>
      </c>
      <c r="M6063" t="s">
        <v>220</v>
      </c>
      <c r="N6063">
        <v>4142</v>
      </c>
      <c r="O6063">
        <v>3.6209295000000002E-2</v>
      </c>
      <c r="P6063">
        <v>1.9671533000000001E-2</v>
      </c>
      <c r="Q6063" t="str">
        <f t="shared" si="188"/>
        <v>50+</v>
      </c>
      <c r="R6063" t="str">
        <f t="shared" si="189"/>
        <v>[am530wpaGvr]|50+|Male|PLHIV_Attend.T|CY2025Q3</v>
      </c>
    </row>
    <row r="6064" spans="4:18" x14ac:dyDescent="0.2">
      <c r="D6064" t="s">
        <v>99</v>
      </c>
      <c r="E6064" t="s">
        <v>100</v>
      </c>
      <c r="F6064" t="s">
        <v>101</v>
      </c>
      <c r="G6064" t="s">
        <v>221</v>
      </c>
      <c r="H6064" t="s">
        <v>221</v>
      </c>
      <c r="I6064" t="s">
        <v>28</v>
      </c>
      <c r="J6064" t="s">
        <v>29</v>
      </c>
      <c r="K6064" t="s">
        <v>30</v>
      </c>
      <c r="L6064" t="s">
        <v>31</v>
      </c>
      <c r="M6064" t="s">
        <v>220</v>
      </c>
      <c r="N6064">
        <v>37</v>
      </c>
      <c r="O6064">
        <v>2.2937705999999999E-2</v>
      </c>
      <c r="P6064">
        <v>1.2409687000000001E-2</v>
      </c>
      <c r="Q6064" t="str">
        <f t="shared" si="188"/>
        <v>&lt;01</v>
      </c>
      <c r="R6064" t="str">
        <f t="shared" si="189"/>
        <v>[lLDyBx5XyUi]|&lt;01|Female|PLHIV_Attend.T|CY2025Q3</v>
      </c>
    </row>
    <row r="6065" spans="4:18" x14ac:dyDescent="0.2">
      <c r="D6065" t="s">
        <v>99</v>
      </c>
      <c r="E6065" t="s">
        <v>100</v>
      </c>
      <c r="F6065" t="s">
        <v>101</v>
      </c>
      <c r="G6065" t="s">
        <v>221</v>
      </c>
      <c r="H6065" t="s">
        <v>221</v>
      </c>
      <c r="I6065" t="s">
        <v>33</v>
      </c>
      <c r="J6065" t="s">
        <v>34</v>
      </c>
      <c r="K6065" t="s">
        <v>30</v>
      </c>
      <c r="L6065" t="s">
        <v>31</v>
      </c>
      <c r="M6065" t="s">
        <v>220</v>
      </c>
      <c r="N6065">
        <v>737</v>
      </c>
      <c r="O6065">
        <v>3.1032071000000001E-2</v>
      </c>
      <c r="P6065">
        <v>1.2409687000000001E-2</v>
      </c>
      <c r="Q6065" t="str">
        <f t="shared" si="188"/>
        <v>01-09</v>
      </c>
      <c r="R6065" t="str">
        <f t="shared" si="189"/>
        <v>[lLDyBx5XyUi]|01-09|Female|PLHIV_Attend.T|CY2025Q3</v>
      </c>
    </row>
    <row r="6066" spans="4:18" x14ac:dyDescent="0.2">
      <c r="D6066" t="s">
        <v>99</v>
      </c>
      <c r="E6066" t="s">
        <v>100</v>
      </c>
      <c r="F6066" t="s">
        <v>101</v>
      </c>
      <c r="G6066" t="s">
        <v>221</v>
      </c>
      <c r="H6066" t="s">
        <v>221</v>
      </c>
      <c r="I6066" t="s">
        <v>36</v>
      </c>
      <c r="J6066" t="s">
        <v>37</v>
      </c>
      <c r="K6066" t="s">
        <v>30</v>
      </c>
      <c r="L6066" t="s">
        <v>31</v>
      </c>
      <c r="M6066" t="s">
        <v>220</v>
      </c>
      <c r="N6066">
        <v>927</v>
      </c>
      <c r="O6066">
        <v>4.3272813E-2</v>
      </c>
      <c r="P6066">
        <v>1.2409687000000001E-2</v>
      </c>
      <c r="Q6066" t="str">
        <f t="shared" si="188"/>
        <v>10-14</v>
      </c>
      <c r="R6066" t="str">
        <f t="shared" si="189"/>
        <v>[lLDyBx5XyUi]|10-14|Female|PLHIV_Attend.T|CY2025Q3</v>
      </c>
    </row>
    <row r="6067" spans="4:18" x14ac:dyDescent="0.2">
      <c r="D6067" t="s">
        <v>99</v>
      </c>
      <c r="E6067" t="s">
        <v>100</v>
      </c>
      <c r="F6067" t="s">
        <v>101</v>
      </c>
      <c r="G6067" t="s">
        <v>221</v>
      </c>
      <c r="H6067" t="s">
        <v>221</v>
      </c>
      <c r="I6067" t="s">
        <v>38</v>
      </c>
      <c r="J6067" t="s">
        <v>39</v>
      </c>
      <c r="K6067" t="s">
        <v>30</v>
      </c>
      <c r="L6067" t="s">
        <v>31</v>
      </c>
      <c r="M6067" t="s">
        <v>220</v>
      </c>
      <c r="N6067">
        <v>3285</v>
      </c>
      <c r="O6067">
        <v>5.4885672000000003E-2</v>
      </c>
      <c r="P6067">
        <v>1.2409687000000001E-2</v>
      </c>
      <c r="Q6067" t="str">
        <f t="shared" si="188"/>
        <v>15-24</v>
      </c>
      <c r="R6067" t="str">
        <f t="shared" si="189"/>
        <v>[lLDyBx5XyUi]|15-24|Female|PLHIV_Attend.T|CY2025Q3</v>
      </c>
    </row>
    <row r="6068" spans="4:18" x14ac:dyDescent="0.2">
      <c r="D6068" t="s">
        <v>99</v>
      </c>
      <c r="E6068" t="s">
        <v>100</v>
      </c>
      <c r="F6068" t="s">
        <v>101</v>
      </c>
      <c r="G6068" t="s">
        <v>221</v>
      </c>
      <c r="H6068" t="s">
        <v>221</v>
      </c>
      <c r="I6068" t="s">
        <v>41</v>
      </c>
      <c r="J6068" t="s">
        <v>42</v>
      </c>
      <c r="K6068" t="s">
        <v>30</v>
      </c>
      <c r="L6068" t="s">
        <v>31</v>
      </c>
      <c r="M6068" t="s">
        <v>220</v>
      </c>
      <c r="N6068">
        <v>7831</v>
      </c>
      <c r="O6068">
        <v>3.7008250999999999E-2</v>
      </c>
      <c r="P6068">
        <v>1.2409687000000001E-2</v>
      </c>
      <c r="Q6068" t="str">
        <f t="shared" si="188"/>
        <v>25-34</v>
      </c>
      <c r="R6068" t="str">
        <f t="shared" si="189"/>
        <v>[lLDyBx5XyUi]|25-34|Female|PLHIV_Attend.T|CY2025Q3</v>
      </c>
    </row>
    <row r="6069" spans="4:18" x14ac:dyDescent="0.2">
      <c r="D6069" t="s">
        <v>99</v>
      </c>
      <c r="E6069" t="s">
        <v>100</v>
      </c>
      <c r="F6069" t="s">
        <v>101</v>
      </c>
      <c r="G6069" t="s">
        <v>221</v>
      </c>
      <c r="H6069" t="s">
        <v>221</v>
      </c>
      <c r="I6069" t="s">
        <v>43</v>
      </c>
      <c r="J6069" t="s">
        <v>44</v>
      </c>
      <c r="K6069" t="s">
        <v>30</v>
      </c>
      <c r="L6069" t="s">
        <v>31</v>
      </c>
      <c r="M6069" t="s">
        <v>220</v>
      </c>
      <c r="N6069">
        <v>19695</v>
      </c>
      <c r="O6069">
        <v>2.0293063E-2</v>
      </c>
      <c r="P6069">
        <v>1.2409687000000001E-2</v>
      </c>
      <c r="Q6069" t="str">
        <f t="shared" si="188"/>
        <v>35-49</v>
      </c>
      <c r="R6069" t="str">
        <f t="shared" si="189"/>
        <v>[lLDyBx5XyUi]|35-49|Female|PLHIV_Attend.T|CY2025Q3</v>
      </c>
    </row>
    <row r="6070" spans="4:18" x14ac:dyDescent="0.2">
      <c r="D6070" t="s">
        <v>99</v>
      </c>
      <c r="E6070" t="s">
        <v>100</v>
      </c>
      <c r="F6070" t="s">
        <v>101</v>
      </c>
      <c r="G6070" t="s">
        <v>221</v>
      </c>
      <c r="H6070" t="s">
        <v>221</v>
      </c>
      <c r="I6070" t="s">
        <v>45</v>
      </c>
      <c r="J6070" t="s">
        <v>46</v>
      </c>
      <c r="K6070" t="s">
        <v>30</v>
      </c>
      <c r="L6070" t="s">
        <v>31</v>
      </c>
      <c r="M6070" t="s">
        <v>220</v>
      </c>
      <c r="N6070">
        <v>10083</v>
      </c>
      <c r="O6070">
        <v>3.2966494999999998E-2</v>
      </c>
      <c r="P6070">
        <v>1.2409687000000001E-2</v>
      </c>
      <c r="Q6070" t="str">
        <f t="shared" si="188"/>
        <v>50+</v>
      </c>
      <c r="R6070" t="str">
        <f t="shared" si="189"/>
        <v>[lLDyBx5XyUi]|50+|Female|PLHIV_Attend.T|CY2025Q3</v>
      </c>
    </row>
    <row r="6071" spans="4:18" x14ac:dyDescent="0.2">
      <c r="D6071" t="s">
        <v>99</v>
      </c>
      <c r="E6071" t="s">
        <v>100</v>
      </c>
      <c r="F6071" t="s">
        <v>101</v>
      </c>
      <c r="G6071" t="s">
        <v>221</v>
      </c>
      <c r="H6071" t="s">
        <v>221</v>
      </c>
      <c r="I6071" t="s">
        <v>28</v>
      </c>
      <c r="J6071" t="s">
        <v>29</v>
      </c>
      <c r="K6071" t="s">
        <v>48</v>
      </c>
      <c r="L6071" t="s">
        <v>49</v>
      </c>
      <c r="M6071" t="s">
        <v>220</v>
      </c>
      <c r="N6071">
        <v>38</v>
      </c>
      <c r="O6071">
        <v>2.2903587E-2</v>
      </c>
      <c r="P6071">
        <v>1.2409687000000001E-2</v>
      </c>
      <c r="Q6071" t="str">
        <f t="shared" si="188"/>
        <v>&lt;01</v>
      </c>
      <c r="R6071" t="str">
        <f t="shared" si="189"/>
        <v>[lLDyBx5XyUi]|&lt;01|Male|PLHIV_Attend.T|CY2025Q3</v>
      </c>
    </row>
    <row r="6072" spans="4:18" x14ac:dyDescent="0.2">
      <c r="D6072" t="s">
        <v>99</v>
      </c>
      <c r="E6072" t="s">
        <v>100</v>
      </c>
      <c r="F6072" t="s">
        <v>101</v>
      </c>
      <c r="G6072" t="s">
        <v>221</v>
      </c>
      <c r="H6072" t="s">
        <v>221</v>
      </c>
      <c r="I6072" t="s">
        <v>33</v>
      </c>
      <c r="J6072" t="s">
        <v>34</v>
      </c>
      <c r="K6072" t="s">
        <v>48</v>
      </c>
      <c r="L6072" t="s">
        <v>49</v>
      </c>
      <c r="M6072" t="s">
        <v>220</v>
      </c>
      <c r="N6072">
        <v>745</v>
      </c>
      <c r="O6072">
        <v>3.1010203E-2</v>
      </c>
      <c r="P6072">
        <v>1.2409687000000001E-2</v>
      </c>
      <c r="Q6072" t="str">
        <f t="shared" si="188"/>
        <v>01-09</v>
      </c>
      <c r="R6072" t="str">
        <f t="shared" si="189"/>
        <v>[lLDyBx5XyUi]|01-09|Male|PLHIV_Attend.T|CY2025Q3</v>
      </c>
    </row>
    <row r="6073" spans="4:18" x14ac:dyDescent="0.2">
      <c r="D6073" t="s">
        <v>99</v>
      </c>
      <c r="E6073" t="s">
        <v>100</v>
      </c>
      <c r="F6073" t="s">
        <v>101</v>
      </c>
      <c r="G6073" t="s">
        <v>221</v>
      </c>
      <c r="H6073" t="s">
        <v>221</v>
      </c>
      <c r="I6073" t="s">
        <v>36</v>
      </c>
      <c r="J6073" t="s">
        <v>37</v>
      </c>
      <c r="K6073" t="s">
        <v>48</v>
      </c>
      <c r="L6073" t="s">
        <v>49</v>
      </c>
      <c r="M6073" t="s">
        <v>220</v>
      </c>
      <c r="N6073">
        <v>939</v>
      </c>
      <c r="O6073">
        <v>4.3267064000000001E-2</v>
      </c>
      <c r="P6073">
        <v>1.2409687000000001E-2</v>
      </c>
      <c r="Q6073" t="str">
        <f t="shared" si="188"/>
        <v>10-14</v>
      </c>
      <c r="R6073" t="str">
        <f t="shared" si="189"/>
        <v>[lLDyBx5XyUi]|10-14|Male|PLHIV_Attend.T|CY2025Q3</v>
      </c>
    </row>
    <row r="6074" spans="4:18" x14ac:dyDescent="0.2">
      <c r="D6074" t="s">
        <v>99</v>
      </c>
      <c r="E6074" t="s">
        <v>100</v>
      </c>
      <c r="F6074" t="s">
        <v>101</v>
      </c>
      <c r="G6074" t="s">
        <v>221</v>
      </c>
      <c r="H6074" t="s">
        <v>221</v>
      </c>
      <c r="I6074" t="s">
        <v>38</v>
      </c>
      <c r="J6074" t="s">
        <v>39</v>
      </c>
      <c r="K6074" t="s">
        <v>48</v>
      </c>
      <c r="L6074" t="s">
        <v>49</v>
      </c>
      <c r="M6074" t="s">
        <v>220</v>
      </c>
      <c r="N6074">
        <v>2189</v>
      </c>
      <c r="O6074">
        <v>5.7134801999999998E-2</v>
      </c>
      <c r="P6074">
        <v>1.2409687000000001E-2</v>
      </c>
      <c r="Q6074" t="str">
        <f t="shared" si="188"/>
        <v>15-24</v>
      </c>
      <c r="R6074" t="str">
        <f t="shared" si="189"/>
        <v>[lLDyBx5XyUi]|15-24|Male|PLHIV_Attend.T|CY2025Q3</v>
      </c>
    </row>
    <row r="6075" spans="4:18" x14ac:dyDescent="0.2">
      <c r="D6075" t="s">
        <v>99</v>
      </c>
      <c r="E6075" t="s">
        <v>100</v>
      </c>
      <c r="F6075" t="s">
        <v>101</v>
      </c>
      <c r="G6075" t="s">
        <v>221</v>
      </c>
      <c r="H6075" t="s">
        <v>221</v>
      </c>
      <c r="I6075" t="s">
        <v>41</v>
      </c>
      <c r="J6075" t="s">
        <v>42</v>
      </c>
      <c r="K6075" t="s">
        <v>48</v>
      </c>
      <c r="L6075" t="s">
        <v>49</v>
      </c>
      <c r="M6075" t="s">
        <v>220</v>
      </c>
      <c r="N6075">
        <v>2297</v>
      </c>
      <c r="O6075">
        <v>6.3908782999999997E-2</v>
      </c>
      <c r="P6075">
        <v>1.2409687000000001E-2</v>
      </c>
      <c r="Q6075" t="str">
        <f t="shared" si="188"/>
        <v>25-34</v>
      </c>
      <c r="R6075" t="str">
        <f t="shared" si="189"/>
        <v>[lLDyBx5XyUi]|25-34|Male|PLHIV_Attend.T|CY2025Q3</v>
      </c>
    </row>
    <row r="6076" spans="4:18" x14ac:dyDescent="0.2">
      <c r="D6076" t="s">
        <v>99</v>
      </c>
      <c r="E6076" t="s">
        <v>100</v>
      </c>
      <c r="F6076" t="s">
        <v>101</v>
      </c>
      <c r="G6076" t="s">
        <v>221</v>
      </c>
      <c r="H6076" t="s">
        <v>221</v>
      </c>
      <c r="I6076" t="s">
        <v>43</v>
      </c>
      <c r="J6076" t="s">
        <v>44</v>
      </c>
      <c r="K6076" t="s">
        <v>48</v>
      </c>
      <c r="L6076" t="s">
        <v>49</v>
      </c>
      <c r="M6076" t="s">
        <v>220</v>
      </c>
      <c r="N6076">
        <v>8176</v>
      </c>
      <c r="O6076">
        <v>3.3272337999999999E-2</v>
      </c>
      <c r="P6076">
        <v>1.2409687000000001E-2</v>
      </c>
      <c r="Q6076" t="str">
        <f t="shared" si="188"/>
        <v>35-49</v>
      </c>
      <c r="R6076" t="str">
        <f t="shared" si="189"/>
        <v>[lLDyBx5XyUi]|35-49|Male|PLHIV_Attend.T|CY2025Q3</v>
      </c>
    </row>
    <row r="6077" spans="4:18" x14ac:dyDescent="0.2">
      <c r="D6077" t="s">
        <v>99</v>
      </c>
      <c r="E6077" t="s">
        <v>100</v>
      </c>
      <c r="F6077" t="s">
        <v>101</v>
      </c>
      <c r="G6077" t="s">
        <v>221</v>
      </c>
      <c r="H6077" t="s">
        <v>221</v>
      </c>
      <c r="I6077" t="s">
        <v>45</v>
      </c>
      <c r="J6077" t="s">
        <v>46</v>
      </c>
      <c r="K6077" t="s">
        <v>48</v>
      </c>
      <c r="L6077" t="s">
        <v>49</v>
      </c>
      <c r="M6077" t="s">
        <v>220</v>
      </c>
      <c r="N6077">
        <v>7101</v>
      </c>
      <c r="O6077">
        <v>3.1686945000000001E-2</v>
      </c>
      <c r="P6077">
        <v>1.2409687000000001E-2</v>
      </c>
      <c r="Q6077" t="str">
        <f t="shared" si="188"/>
        <v>50+</v>
      </c>
      <c r="R6077" t="str">
        <f t="shared" si="189"/>
        <v>[lLDyBx5XyUi]|50+|Male|PLHIV_Attend.T|CY2025Q3</v>
      </c>
    </row>
    <row r="6078" spans="4:18" x14ac:dyDescent="0.2">
      <c r="D6078" t="s">
        <v>102</v>
      </c>
      <c r="E6078" t="s">
        <v>103</v>
      </c>
      <c r="F6078" t="s">
        <v>104</v>
      </c>
      <c r="G6078" t="s">
        <v>221</v>
      </c>
      <c r="H6078" t="s">
        <v>221</v>
      </c>
      <c r="I6078" t="s">
        <v>28</v>
      </c>
      <c r="J6078" t="s">
        <v>29</v>
      </c>
      <c r="K6078" t="s">
        <v>30</v>
      </c>
      <c r="L6078" t="s">
        <v>31</v>
      </c>
      <c r="M6078" t="s">
        <v>220</v>
      </c>
      <c r="N6078">
        <v>20</v>
      </c>
      <c r="O6078">
        <v>2.675363E-2</v>
      </c>
      <c r="P6078">
        <v>1.6717752999999998E-2</v>
      </c>
      <c r="Q6078" t="str">
        <f t="shared" si="188"/>
        <v>&lt;01</v>
      </c>
      <c r="R6078" t="str">
        <f t="shared" si="189"/>
        <v>[TYnMSwzko3z]|&lt;01|Female|PLHIV_Attend.T|CY2025Q3</v>
      </c>
    </row>
    <row r="6079" spans="4:18" x14ac:dyDescent="0.2">
      <c r="D6079" t="s">
        <v>102</v>
      </c>
      <c r="E6079" t="s">
        <v>103</v>
      </c>
      <c r="F6079" t="s">
        <v>104</v>
      </c>
      <c r="G6079" t="s">
        <v>221</v>
      </c>
      <c r="H6079" t="s">
        <v>221</v>
      </c>
      <c r="I6079" t="s">
        <v>33</v>
      </c>
      <c r="J6079" t="s">
        <v>34</v>
      </c>
      <c r="K6079" t="s">
        <v>30</v>
      </c>
      <c r="L6079" t="s">
        <v>31</v>
      </c>
      <c r="M6079" t="s">
        <v>220</v>
      </c>
      <c r="N6079">
        <v>393</v>
      </c>
      <c r="O6079">
        <v>3.6342570999999997E-2</v>
      </c>
      <c r="P6079">
        <v>1.6717752999999998E-2</v>
      </c>
      <c r="Q6079" t="str">
        <f t="shared" si="188"/>
        <v>01-09</v>
      </c>
      <c r="R6079" t="str">
        <f t="shared" si="189"/>
        <v>[TYnMSwzko3z]|01-09|Female|PLHIV_Attend.T|CY2025Q3</v>
      </c>
    </row>
    <row r="6080" spans="4:18" x14ac:dyDescent="0.2">
      <c r="D6080" t="s">
        <v>102</v>
      </c>
      <c r="E6080" t="s">
        <v>103</v>
      </c>
      <c r="F6080" t="s">
        <v>104</v>
      </c>
      <c r="G6080" t="s">
        <v>221</v>
      </c>
      <c r="H6080" t="s">
        <v>221</v>
      </c>
      <c r="I6080" t="s">
        <v>36</v>
      </c>
      <c r="J6080" t="s">
        <v>37</v>
      </c>
      <c r="K6080" t="s">
        <v>30</v>
      </c>
      <c r="L6080" t="s">
        <v>31</v>
      </c>
      <c r="M6080" t="s">
        <v>220</v>
      </c>
      <c r="N6080">
        <v>510</v>
      </c>
      <c r="O6080">
        <v>5.0954944000000002E-2</v>
      </c>
      <c r="P6080">
        <v>1.6717752999999998E-2</v>
      </c>
      <c r="Q6080" t="str">
        <f t="shared" si="188"/>
        <v>10-14</v>
      </c>
      <c r="R6080" t="str">
        <f t="shared" si="189"/>
        <v>[TYnMSwzko3z]|10-14|Female|PLHIV_Attend.T|CY2025Q3</v>
      </c>
    </row>
    <row r="6081" spans="4:18" x14ac:dyDescent="0.2">
      <c r="D6081" t="s">
        <v>102</v>
      </c>
      <c r="E6081" t="s">
        <v>103</v>
      </c>
      <c r="F6081" t="s">
        <v>104</v>
      </c>
      <c r="G6081" t="s">
        <v>221</v>
      </c>
      <c r="H6081" t="s">
        <v>221</v>
      </c>
      <c r="I6081" t="s">
        <v>38</v>
      </c>
      <c r="J6081" t="s">
        <v>39</v>
      </c>
      <c r="K6081" t="s">
        <v>30</v>
      </c>
      <c r="L6081" t="s">
        <v>31</v>
      </c>
      <c r="M6081" t="s">
        <v>220</v>
      </c>
      <c r="N6081">
        <v>1790</v>
      </c>
      <c r="O6081">
        <v>5.6235217999999997E-2</v>
      </c>
      <c r="P6081">
        <v>1.6717752999999998E-2</v>
      </c>
      <c r="Q6081" t="str">
        <f t="shared" si="188"/>
        <v>15-24</v>
      </c>
      <c r="R6081" t="str">
        <f t="shared" si="189"/>
        <v>[TYnMSwzko3z]|15-24|Female|PLHIV_Attend.T|CY2025Q3</v>
      </c>
    </row>
    <row r="6082" spans="4:18" x14ac:dyDescent="0.2">
      <c r="D6082" t="s">
        <v>102</v>
      </c>
      <c r="E6082" t="s">
        <v>103</v>
      </c>
      <c r="F6082" t="s">
        <v>104</v>
      </c>
      <c r="G6082" t="s">
        <v>221</v>
      </c>
      <c r="H6082" t="s">
        <v>221</v>
      </c>
      <c r="I6082" t="s">
        <v>41</v>
      </c>
      <c r="J6082" t="s">
        <v>42</v>
      </c>
      <c r="K6082" t="s">
        <v>30</v>
      </c>
      <c r="L6082" t="s">
        <v>31</v>
      </c>
      <c r="M6082" t="s">
        <v>220</v>
      </c>
      <c r="N6082">
        <v>4235</v>
      </c>
      <c r="O6082">
        <v>3.8878498999999997E-2</v>
      </c>
      <c r="P6082">
        <v>1.6717752999999998E-2</v>
      </c>
      <c r="Q6082" t="str">
        <f t="shared" si="188"/>
        <v>25-34</v>
      </c>
      <c r="R6082" t="str">
        <f t="shared" si="189"/>
        <v>[TYnMSwzko3z]|25-34|Female|PLHIV_Attend.T|CY2025Q3</v>
      </c>
    </row>
    <row r="6083" spans="4:18" x14ac:dyDescent="0.2">
      <c r="D6083" t="s">
        <v>102</v>
      </c>
      <c r="E6083" t="s">
        <v>103</v>
      </c>
      <c r="F6083" t="s">
        <v>104</v>
      </c>
      <c r="G6083" t="s">
        <v>221</v>
      </c>
      <c r="H6083" t="s">
        <v>221</v>
      </c>
      <c r="I6083" t="s">
        <v>43</v>
      </c>
      <c r="J6083" t="s">
        <v>44</v>
      </c>
      <c r="K6083" t="s">
        <v>30</v>
      </c>
      <c r="L6083" t="s">
        <v>31</v>
      </c>
      <c r="M6083" t="s">
        <v>220</v>
      </c>
      <c r="N6083">
        <v>11141</v>
      </c>
      <c r="O6083">
        <v>2.3030229999999999E-2</v>
      </c>
      <c r="P6083">
        <v>1.6717752999999998E-2</v>
      </c>
      <c r="Q6083" t="str">
        <f t="shared" ref="Q6083:Q6146" si="190">SUBSTITUTE(SUBSTITUTE($I6083,CHAR(61),""),CHAR(34),"")</f>
        <v>35-49</v>
      </c>
      <c r="R6083" t="str">
        <f t="shared" ref="R6083:R6146" si="191">IF($D6083&lt;&gt;"","["&amp;$E6083&amp;"]"&amp;"|"&amp;$Q6083&amp;"|"&amp;$K6083&amp;"|"&amp;$G6083&amp;"|"&amp;IF($G6083="TX_CURR_SUBNAT.R","CY2023Q4",$M6083),"")</f>
        <v>[TYnMSwzko3z]|35-49|Female|PLHIV_Attend.T|CY2025Q3</v>
      </c>
    </row>
    <row r="6084" spans="4:18" x14ac:dyDescent="0.2">
      <c r="D6084" t="s">
        <v>102</v>
      </c>
      <c r="E6084" t="s">
        <v>103</v>
      </c>
      <c r="F6084" t="s">
        <v>104</v>
      </c>
      <c r="G6084" t="s">
        <v>221</v>
      </c>
      <c r="H6084" t="s">
        <v>221</v>
      </c>
      <c r="I6084" t="s">
        <v>45</v>
      </c>
      <c r="J6084" t="s">
        <v>46</v>
      </c>
      <c r="K6084" t="s">
        <v>30</v>
      </c>
      <c r="L6084" t="s">
        <v>31</v>
      </c>
      <c r="M6084" t="s">
        <v>220</v>
      </c>
      <c r="N6084">
        <v>5604</v>
      </c>
      <c r="O6084">
        <v>3.7004429999999998E-2</v>
      </c>
      <c r="P6084">
        <v>1.6717752999999998E-2</v>
      </c>
      <c r="Q6084" t="str">
        <f t="shared" si="190"/>
        <v>50+</v>
      </c>
      <c r="R6084" t="str">
        <f t="shared" si="191"/>
        <v>[TYnMSwzko3z]|50+|Female|PLHIV_Attend.T|CY2025Q3</v>
      </c>
    </row>
    <row r="6085" spans="4:18" x14ac:dyDescent="0.2">
      <c r="D6085" t="s">
        <v>102</v>
      </c>
      <c r="E6085" t="s">
        <v>103</v>
      </c>
      <c r="F6085" t="s">
        <v>104</v>
      </c>
      <c r="G6085" t="s">
        <v>221</v>
      </c>
      <c r="H6085" t="s">
        <v>221</v>
      </c>
      <c r="I6085" t="s">
        <v>28</v>
      </c>
      <c r="J6085" t="s">
        <v>29</v>
      </c>
      <c r="K6085" t="s">
        <v>48</v>
      </c>
      <c r="L6085" t="s">
        <v>49</v>
      </c>
      <c r="M6085" t="s">
        <v>220</v>
      </c>
      <c r="N6085">
        <v>20</v>
      </c>
      <c r="O6085">
        <v>2.6705248000000001E-2</v>
      </c>
      <c r="P6085">
        <v>1.6717752999999998E-2</v>
      </c>
      <c r="Q6085" t="str">
        <f t="shared" si="190"/>
        <v>&lt;01</v>
      </c>
      <c r="R6085" t="str">
        <f t="shared" si="191"/>
        <v>[TYnMSwzko3z]|&lt;01|Male|PLHIV_Attend.T|CY2025Q3</v>
      </c>
    </row>
    <row r="6086" spans="4:18" x14ac:dyDescent="0.2">
      <c r="D6086" t="s">
        <v>102</v>
      </c>
      <c r="E6086" t="s">
        <v>103</v>
      </c>
      <c r="F6086" t="s">
        <v>104</v>
      </c>
      <c r="G6086" t="s">
        <v>221</v>
      </c>
      <c r="H6086" t="s">
        <v>221</v>
      </c>
      <c r="I6086" t="s">
        <v>33</v>
      </c>
      <c r="J6086" t="s">
        <v>34</v>
      </c>
      <c r="K6086" t="s">
        <v>48</v>
      </c>
      <c r="L6086" t="s">
        <v>49</v>
      </c>
      <c r="M6086" t="s">
        <v>220</v>
      </c>
      <c r="N6086">
        <v>396</v>
      </c>
      <c r="O6086">
        <v>3.6258641000000001E-2</v>
      </c>
      <c r="P6086">
        <v>1.6717752999999998E-2</v>
      </c>
      <c r="Q6086" t="str">
        <f t="shared" si="190"/>
        <v>01-09</v>
      </c>
      <c r="R6086" t="str">
        <f t="shared" si="191"/>
        <v>[TYnMSwzko3z]|01-09|Male|PLHIV_Attend.T|CY2025Q3</v>
      </c>
    </row>
    <row r="6087" spans="4:18" x14ac:dyDescent="0.2">
      <c r="D6087" t="s">
        <v>102</v>
      </c>
      <c r="E6087" t="s">
        <v>103</v>
      </c>
      <c r="F6087" t="s">
        <v>104</v>
      </c>
      <c r="G6087" t="s">
        <v>221</v>
      </c>
      <c r="H6087" t="s">
        <v>221</v>
      </c>
      <c r="I6087" t="s">
        <v>36</v>
      </c>
      <c r="J6087" t="s">
        <v>37</v>
      </c>
      <c r="K6087" t="s">
        <v>48</v>
      </c>
      <c r="L6087" t="s">
        <v>49</v>
      </c>
      <c r="M6087" t="s">
        <v>220</v>
      </c>
      <c r="N6087">
        <v>510</v>
      </c>
      <c r="O6087">
        <v>5.0831610999999999E-2</v>
      </c>
      <c r="P6087">
        <v>1.6717752999999998E-2</v>
      </c>
      <c r="Q6087" t="str">
        <f t="shared" si="190"/>
        <v>10-14</v>
      </c>
      <c r="R6087" t="str">
        <f t="shared" si="191"/>
        <v>[TYnMSwzko3z]|10-14|Male|PLHIV_Attend.T|CY2025Q3</v>
      </c>
    </row>
    <row r="6088" spans="4:18" x14ac:dyDescent="0.2">
      <c r="D6088" t="s">
        <v>102</v>
      </c>
      <c r="E6088" t="s">
        <v>103</v>
      </c>
      <c r="F6088" t="s">
        <v>104</v>
      </c>
      <c r="G6088" t="s">
        <v>221</v>
      </c>
      <c r="H6088" t="s">
        <v>221</v>
      </c>
      <c r="I6088" t="s">
        <v>38</v>
      </c>
      <c r="J6088" t="s">
        <v>39</v>
      </c>
      <c r="K6088" t="s">
        <v>48</v>
      </c>
      <c r="L6088" t="s">
        <v>49</v>
      </c>
      <c r="M6088" t="s">
        <v>220</v>
      </c>
      <c r="N6088">
        <v>1206</v>
      </c>
      <c r="O6088">
        <v>5.9718301000000001E-2</v>
      </c>
      <c r="P6088">
        <v>1.6717752999999998E-2</v>
      </c>
      <c r="Q6088" t="str">
        <f t="shared" si="190"/>
        <v>15-24</v>
      </c>
      <c r="R6088" t="str">
        <f t="shared" si="191"/>
        <v>[TYnMSwzko3z]|15-24|Male|PLHIV_Attend.T|CY2025Q3</v>
      </c>
    </row>
    <row r="6089" spans="4:18" x14ac:dyDescent="0.2">
      <c r="D6089" t="s">
        <v>102</v>
      </c>
      <c r="E6089" t="s">
        <v>103</v>
      </c>
      <c r="F6089" t="s">
        <v>104</v>
      </c>
      <c r="G6089" t="s">
        <v>221</v>
      </c>
      <c r="H6089" t="s">
        <v>221</v>
      </c>
      <c r="I6089" t="s">
        <v>41</v>
      </c>
      <c r="J6089" t="s">
        <v>42</v>
      </c>
      <c r="K6089" t="s">
        <v>48</v>
      </c>
      <c r="L6089" t="s">
        <v>49</v>
      </c>
      <c r="M6089" t="s">
        <v>220</v>
      </c>
      <c r="N6089">
        <v>1263</v>
      </c>
      <c r="O6089">
        <v>6.4611443000000005E-2</v>
      </c>
      <c r="P6089">
        <v>1.6717752999999998E-2</v>
      </c>
      <c r="Q6089" t="str">
        <f t="shared" si="190"/>
        <v>25-34</v>
      </c>
      <c r="R6089" t="str">
        <f t="shared" si="191"/>
        <v>[TYnMSwzko3z]|25-34|Male|PLHIV_Attend.T|CY2025Q3</v>
      </c>
    </row>
    <row r="6090" spans="4:18" x14ac:dyDescent="0.2">
      <c r="D6090" t="s">
        <v>102</v>
      </c>
      <c r="E6090" t="s">
        <v>103</v>
      </c>
      <c r="F6090" t="s">
        <v>104</v>
      </c>
      <c r="G6090" t="s">
        <v>221</v>
      </c>
      <c r="H6090" t="s">
        <v>221</v>
      </c>
      <c r="I6090" t="s">
        <v>43</v>
      </c>
      <c r="J6090" t="s">
        <v>44</v>
      </c>
      <c r="K6090" t="s">
        <v>48</v>
      </c>
      <c r="L6090" t="s">
        <v>49</v>
      </c>
      <c r="M6090" t="s">
        <v>220</v>
      </c>
      <c r="N6090">
        <v>4507</v>
      </c>
      <c r="O6090">
        <v>3.5921834999999999E-2</v>
      </c>
      <c r="P6090">
        <v>1.6717752999999998E-2</v>
      </c>
      <c r="Q6090" t="str">
        <f t="shared" si="190"/>
        <v>35-49</v>
      </c>
      <c r="R6090" t="str">
        <f t="shared" si="191"/>
        <v>[TYnMSwzko3z]|35-49|Male|PLHIV_Attend.T|CY2025Q3</v>
      </c>
    </row>
    <row r="6091" spans="4:18" x14ac:dyDescent="0.2">
      <c r="D6091" t="s">
        <v>102</v>
      </c>
      <c r="E6091" t="s">
        <v>103</v>
      </c>
      <c r="F6091" t="s">
        <v>104</v>
      </c>
      <c r="G6091" t="s">
        <v>221</v>
      </c>
      <c r="H6091" t="s">
        <v>221</v>
      </c>
      <c r="I6091" t="s">
        <v>45</v>
      </c>
      <c r="J6091" t="s">
        <v>46</v>
      </c>
      <c r="K6091" t="s">
        <v>48</v>
      </c>
      <c r="L6091" t="s">
        <v>49</v>
      </c>
      <c r="M6091" t="s">
        <v>220</v>
      </c>
      <c r="N6091">
        <v>3982</v>
      </c>
      <c r="O6091">
        <v>3.4307904E-2</v>
      </c>
      <c r="P6091">
        <v>1.6717752999999998E-2</v>
      </c>
      <c r="Q6091" t="str">
        <f t="shared" si="190"/>
        <v>50+</v>
      </c>
      <c r="R6091" t="str">
        <f t="shared" si="191"/>
        <v>[TYnMSwzko3z]|50+|Male|PLHIV_Attend.T|CY2025Q3</v>
      </c>
    </row>
    <row r="6092" spans="4:18" x14ac:dyDescent="0.2">
      <c r="D6092" t="s">
        <v>105</v>
      </c>
      <c r="E6092" t="s">
        <v>106</v>
      </c>
      <c r="F6092" t="s">
        <v>107</v>
      </c>
      <c r="G6092" t="s">
        <v>221</v>
      </c>
      <c r="H6092" t="s">
        <v>221</v>
      </c>
      <c r="I6092" t="s">
        <v>28</v>
      </c>
      <c r="J6092" t="s">
        <v>29</v>
      </c>
      <c r="K6092" t="s">
        <v>30</v>
      </c>
      <c r="L6092" t="s">
        <v>31</v>
      </c>
      <c r="M6092" t="s">
        <v>220</v>
      </c>
      <c r="N6092">
        <v>35</v>
      </c>
      <c r="O6092">
        <v>1.6394299000000001E-2</v>
      </c>
      <c r="P6092">
        <v>1.0543629000000001E-2</v>
      </c>
      <c r="Q6092" t="str">
        <f t="shared" si="190"/>
        <v>&lt;01</v>
      </c>
      <c r="R6092" t="str">
        <f t="shared" si="191"/>
        <v>[fyEoGEPERdI]|&lt;01|Female|PLHIV_Attend.T|CY2025Q3</v>
      </c>
    </row>
    <row r="6093" spans="4:18" x14ac:dyDescent="0.2">
      <c r="D6093" t="s">
        <v>105</v>
      </c>
      <c r="E6093" t="s">
        <v>106</v>
      </c>
      <c r="F6093" t="s">
        <v>107</v>
      </c>
      <c r="G6093" t="s">
        <v>221</v>
      </c>
      <c r="H6093" t="s">
        <v>221</v>
      </c>
      <c r="I6093" t="s">
        <v>33</v>
      </c>
      <c r="J6093" t="s">
        <v>34</v>
      </c>
      <c r="K6093" t="s">
        <v>30</v>
      </c>
      <c r="L6093" t="s">
        <v>31</v>
      </c>
      <c r="M6093" t="s">
        <v>220</v>
      </c>
      <c r="N6093">
        <v>626</v>
      </c>
      <c r="O6093">
        <v>2.1557245999999999E-2</v>
      </c>
      <c r="P6093">
        <v>1.0543629000000001E-2</v>
      </c>
      <c r="Q6093" t="str">
        <f t="shared" si="190"/>
        <v>01-09</v>
      </c>
      <c r="R6093" t="str">
        <f t="shared" si="191"/>
        <v>[fyEoGEPERdI]|01-09|Female|PLHIV_Attend.T|CY2025Q3</v>
      </c>
    </row>
    <row r="6094" spans="4:18" x14ac:dyDescent="0.2">
      <c r="D6094" t="s">
        <v>105</v>
      </c>
      <c r="E6094" t="s">
        <v>106</v>
      </c>
      <c r="F6094" t="s">
        <v>107</v>
      </c>
      <c r="G6094" t="s">
        <v>221</v>
      </c>
      <c r="H6094" t="s">
        <v>221</v>
      </c>
      <c r="I6094" t="s">
        <v>36</v>
      </c>
      <c r="J6094" t="s">
        <v>37</v>
      </c>
      <c r="K6094" t="s">
        <v>30</v>
      </c>
      <c r="L6094" t="s">
        <v>31</v>
      </c>
      <c r="M6094" t="s">
        <v>220</v>
      </c>
      <c r="N6094">
        <v>793</v>
      </c>
      <c r="O6094">
        <v>3.0464457E-2</v>
      </c>
      <c r="P6094">
        <v>1.0543629000000001E-2</v>
      </c>
      <c r="Q6094" t="str">
        <f t="shared" si="190"/>
        <v>10-14</v>
      </c>
      <c r="R6094" t="str">
        <f t="shared" si="191"/>
        <v>[fyEoGEPERdI]|10-14|Female|PLHIV_Attend.T|CY2025Q3</v>
      </c>
    </row>
    <row r="6095" spans="4:18" x14ac:dyDescent="0.2">
      <c r="D6095" t="s">
        <v>105</v>
      </c>
      <c r="E6095" t="s">
        <v>106</v>
      </c>
      <c r="F6095" t="s">
        <v>107</v>
      </c>
      <c r="G6095" t="s">
        <v>221</v>
      </c>
      <c r="H6095" t="s">
        <v>221</v>
      </c>
      <c r="I6095" t="s">
        <v>38</v>
      </c>
      <c r="J6095" t="s">
        <v>39</v>
      </c>
      <c r="K6095" t="s">
        <v>30</v>
      </c>
      <c r="L6095" t="s">
        <v>31</v>
      </c>
      <c r="M6095" t="s">
        <v>220</v>
      </c>
      <c r="N6095">
        <v>3311</v>
      </c>
      <c r="O6095">
        <v>5.4148465E-2</v>
      </c>
      <c r="P6095">
        <v>1.0543629000000001E-2</v>
      </c>
      <c r="Q6095" t="str">
        <f t="shared" si="190"/>
        <v>15-24</v>
      </c>
      <c r="R6095" t="str">
        <f t="shared" si="191"/>
        <v>[fyEoGEPERdI]|15-24|Female|PLHIV_Attend.T|CY2025Q3</v>
      </c>
    </row>
    <row r="6096" spans="4:18" x14ac:dyDescent="0.2">
      <c r="D6096" t="s">
        <v>105</v>
      </c>
      <c r="E6096" t="s">
        <v>106</v>
      </c>
      <c r="F6096" t="s">
        <v>107</v>
      </c>
      <c r="G6096" t="s">
        <v>221</v>
      </c>
      <c r="H6096" t="s">
        <v>221</v>
      </c>
      <c r="I6096" t="s">
        <v>41</v>
      </c>
      <c r="J6096" t="s">
        <v>42</v>
      </c>
      <c r="K6096" t="s">
        <v>30</v>
      </c>
      <c r="L6096" t="s">
        <v>31</v>
      </c>
      <c r="M6096" t="s">
        <v>220</v>
      </c>
      <c r="N6096">
        <v>8202</v>
      </c>
      <c r="O6096">
        <v>3.4244956999999999E-2</v>
      </c>
      <c r="P6096">
        <v>1.0543629000000001E-2</v>
      </c>
      <c r="Q6096" t="str">
        <f t="shared" si="190"/>
        <v>25-34</v>
      </c>
      <c r="R6096" t="str">
        <f t="shared" si="191"/>
        <v>[fyEoGEPERdI]|25-34|Female|PLHIV_Attend.T|CY2025Q3</v>
      </c>
    </row>
    <row r="6097" spans="4:18" x14ac:dyDescent="0.2">
      <c r="D6097" t="s">
        <v>105</v>
      </c>
      <c r="E6097" t="s">
        <v>106</v>
      </c>
      <c r="F6097" t="s">
        <v>107</v>
      </c>
      <c r="G6097" t="s">
        <v>221</v>
      </c>
      <c r="H6097" t="s">
        <v>221</v>
      </c>
      <c r="I6097" t="s">
        <v>43</v>
      </c>
      <c r="J6097" t="s">
        <v>44</v>
      </c>
      <c r="K6097" t="s">
        <v>30</v>
      </c>
      <c r="L6097" t="s">
        <v>31</v>
      </c>
      <c r="M6097" t="s">
        <v>220</v>
      </c>
      <c r="N6097">
        <v>21107</v>
      </c>
      <c r="O6097">
        <v>1.7944601000000001E-2</v>
      </c>
      <c r="P6097">
        <v>1.0543629000000001E-2</v>
      </c>
      <c r="Q6097" t="str">
        <f t="shared" si="190"/>
        <v>35-49</v>
      </c>
      <c r="R6097" t="str">
        <f t="shared" si="191"/>
        <v>[fyEoGEPERdI]|35-49|Female|PLHIV_Attend.T|CY2025Q3</v>
      </c>
    </row>
    <row r="6098" spans="4:18" x14ac:dyDescent="0.2">
      <c r="D6098" t="s">
        <v>105</v>
      </c>
      <c r="E6098" t="s">
        <v>106</v>
      </c>
      <c r="F6098" t="s">
        <v>107</v>
      </c>
      <c r="G6098" t="s">
        <v>221</v>
      </c>
      <c r="H6098" t="s">
        <v>221</v>
      </c>
      <c r="I6098" t="s">
        <v>45</v>
      </c>
      <c r="J6098" t="s">
        <v>46</v>
      </c>
      <c r="K6098" t="s">
        <v>30</v>
      </c>
      <c r="L6098" t="s">
        <v>31</v>
      </c>
      <c r="M6098" t="s">
        <v>220</v>
      </c>
      <c r="N6098">
        <v>10303</v>
      </c>
      <c r="O6098">
        <v>3.1307502000000001E-2</v>
      </c>
      <c r="P6098">
        <v>1.0543629000000001E-2</v>
      </c>
      <c r="Q6098" t="str">
        <f t="shared" si="190"/>
        <v>50+</v>
      </c>
      <c r="R6098" t="str">
        <f t="shared" si="191"/>
        <v>[fyEoGEPERdI]|50+|Female|PLHIV_Attend.T|CY2025Q3</v>
      </c>
    </row>
    <row r="6099" spans="4:18" x14ac:dyDescent="0.2">
      <c r="D6099" t="s">
        <v>105</v>
      </c>
      <c r="E6099" t="s">
        <v>106</v>
      </c>
      <c r="F6099" t="s">
        <v>107</v>
      </c>
      <c r="G6099" t="s">
        <v>221</v>
      </c>
      <c r="H6099" t="s">
        <v>221</v>
      </c>
      <c r="I6099" t="s">
        <v>28</v>
      </c>
      <c r="J6099" t="s">
        <v>29</v>
      </c>
      <c r="K6099" t="s">
        <v>48</v>
      </c>
      <c r="L6099" t="s">
        <v>49</v>
      </c>
      <c r="M6099" t="s">
        <v>220</v>
      </c>
      <c r="N6099">
        <v>36</v>
      </c>
      <c r="O6099">
        <v>1.6413812999999999E-2</v>
      </c>
      <c r="P6099">
        <v>1.0543629000000001E-2</v>
      </c>
      <c r="Q6099" t="str">
        <f t="shared" si="190"/>
        <v>&lt;01</v>
      </c>
      <c r="R6099" t="str">
        <f t="shared" si="191"/>
        <v>[fyEoGEPERdI]|&lt;01|Male|PLHIV_Attend.T|CY2025Q3</v>
      </c>
    </row>
    <row r="6100" spans="4:18" x14ac:dyDescent="0.2">
      <c r="D6100" t="s">
        <v>105</v>
      </c>
      <c r="E6100" t="s">
        <v>106</v>
      </c>
      <c r="F6100" t="s">
        <v>107</v>
      </c>
      <c r="G6100" t="s">
        <v>221</v>
      </c>
      <c r="H6100" t="s">
        <v>221</v>
      </c>
      <c r="I6100" t="s">
        <v>33</v>
      </c>
      <c r="J6100" t="s">
        <v>34</v>
      </c>
      <c r="K6100" t="s">
        <v>48</v>
      </c>
      <c r="L6100" t="s">
        <v>49</v>
      </c>
      <c r="M6100" t="s">
        <v>220</v>
      </c>
      <c r="N6100">
        <v>638</v>
      </c>
      <c r="O6100">
        <v>2.1583102999999999E-2</v>
      </c>
      <c r="P6100">
        <v>1.0543629000000001E-2</v>
      </c>
      <c r="Q6100" t="str">
        <f t="shared" si="190"/>
        <v>01-09</v>
      </c>
      <c r="R6100" t="str">
        <f t="shared" si="191"/>
        <v>[fyEoGEPERdI]|01-09|Male|PLHIV_Attend.T|CY2025Q3</v>
      </c>
    </row>
    <row r="6101" spans="4:18" x14ac:dyDescent="0.2">
      <c r="D6101" t="s">
        <v>105</v>
      </c>
      <c r="E6101" t="s">
        <v>106</v>
      </c>
      <c r="F6101" t="s">
        <v>107</v>
      </c>
      <c r="G6101" t="s">
        <v>221</v>
      </c>
      <c r="H6101" t="s">
        <v>221</v>
      </c>
      <c r="I6101" t="s">
        <v>36</v>
      </c>
      <c r="J6101" t="s">
        <v>37</v>
      </c>
      <c r="K6101" t="s">
        <v>48</v>
      </c>
      <c r="L6101" t="s">
        <v>49</v>
      </c>
      <c r="M6101" t="s">
        <v>220</v>
      </c>
      <c r="N6101">
        <v>801</v>
      </c>
      <c r="O6101">
        <v>3.0554445E-2</v>
      </c>
      <c r="P6101">
        <v>1.0543629000000001E-2</v>
      </c>
      <c r="Q6101" t="str">
        <f t="shared" si="190"/>
        <v>10-14</v>
      </c>
      <c r="R6101" t="str">
        <f t="shared" si="191"/>
        <v>[fyEoGEPERdI]|10-14|Male|PLHIV_Attend.T|CY2025Q3</v>
      </c>
    </row>
    <row r="6102" spans="4:18" x14ac:dyDescent="0.2">
      <c r="D6102" t="s">
        <v>105</v>
      </c>
      <c r="E6102" t="s">
        <v>106</v>
      </c>
      <c r="F6102" t="s">
        <v>107</v>
      </c>
      <c r="G6102" t="s">
        <v>221</v>
      </c>
      <c r="H6102" t="s">
        <v>221</v>
      </c>
      <c r="I6102" t="s">
        <v>38</v>
      </c>
      <c r="J6102" t="s">
        <v>39</v>
      </c>
      <c r="K6102" t="s">
        <v>48</v>
      </c>
      <c r="L6102" t="s">
        <v>49</v>
      </c>
      <c r="M6102" t="s">
        <v>220</v>
      </c>
      <c r="N6102">
        <v>2323</v>
      </c>
      <c r="O6102">
        <v>6.0101565000000003E-2</v>
      </c>
      <c r="P6102">
        <v>1.0543629000000001E-2</v>
      </c>
      <c r="Q6102" t="str">
        <f t="shared" si="190"/>
        <v>15-24</v>
      </c>
      <c r="R6102" t="str">
        <f t="shared" si="191"/>
        <v>[fyEoGEPERdI]|15-24|Male|PLHIV_Attend.T|CY2025Q3</v>
      </c>
    </row>
    <row r="6103" spans="4:18" x14ac:dyDescent="0.2">
      <c r="D6103" t="s">
        <v>105</v>
      </c>
      <c r="E6103" t="s">
        <v>106</v>
      </c>
      <c r="F6103" t="s">
        <v>107</v>
      </c>
      <c r="G6103" t="s">
        <v>221</v>
      </c>
      <c r="H6103" t="s">
        <v>221</v>
      </c>
      <c r="I6103" t="s">
        <v>41</v>
      </c>
      <c r="J6103" t="s">
        <v>42</v>
      </c>
      <c r="K6103" t="s">
        <v>48</v>
      </c>
      <c r="L6103" t="s">
        <v>49</v>
      </c>
      <c r="M6103" t="s">
        <v>220</v>
      </c>
      <c r="N6103">
        <v>3075</v>
      </c>
      <c r="O6103">
        <v>6.1708075000000001E-2</v>
      </c>
      <c r="P6103">
        <v>1.0543629000000001E-2</v>
      </c>
      <c r="Q6103" t="str">
        <f t="shared" si="190"/>
        <v>25-34</v>
      </c>
      <c r="R6103" t="str">
        <f t="shared" si="191"/>
        <v>[fyEoGEPERdI]|25-34|Male|PLHIV_Attend.T|CY2025Q3</v>
      </c>
    </row>
    <row r="6104" spans="4:18" x14ac:dyDescent="0.2">
      <c r="D6104" t="s">
        <v>105</v>
      </c>
      <c r="E6104" t="s">
        <v>106</v>
      </c>
      <c r="F6104" t="s">
        <v>107</v>
      </c>
      <c r="G6104" t="s">
        <v>221</v>
      </c>
      <c r="H6104" t="s">
        <v>221</v>
      </c>
      <c r="I6104" t="s">
        <v>43</v>
      </c>
      <c r="J6104" t="s">
        <v>44</v>
      </c>
      <c r="K6104" t="s">
        <v>48</v>
      </c>
      <c r="L6104" t="s">
        <v>49</v>
      </c>
      <c r="M6104" t="s">
        <v>220</v>
      </c>
      <c r="N6104">
        <v>10585</v>
      </c>
      <c r="O6104">
        <v>2.8905561999999999E-2</v>
      </c>
      <c r="P6104">
        <v>1.0543629000000001E-2</v>
      </c>
      <c r="Q6104" t="str">
        <f t="shared" si="190"/>
        <v>35-49</v>
      </c>
      <c r="R6104" t="str">
        <f t="shared" si="191"/>
        <v>[fyEoGEPERdI]|35-49|Male|PLHIV_Attend.T|CY2025Q3</v>
      </c>
    </row>
    <row r="6105" spans="4:18" x14ac:dyDescent="0.2">
      <c r="D6105" t="s">
        <v>105</v>
      </c>
      <c r="E6105" t="s">
        <v>106</v>
      </c>
      <c r="F6105" t="s">
        <v>107</v>
      </c>
      <c r="G6105" t="s">
        <v>221</v>
      </c>
      <c r="H6105" t="s">
        <v>221</v>
      </c>
      <c r="I6105" t="s">
        <v>45</v>
      </c>
      <c r="J6105" t="s">
        <v>46</v>
      </c>
      <c r="K6105" t="s">
        <v>48</v>
      </c>
      <c r="L6105" t="s">
        <v>49</v>
      </c>
      <c r="M6105" t="s">
        <v>220</v>
      </c>
      <c r="N6105">
        <v>7974</v>
      </c>
      <c r="O6105">
        <v>3.0105956E-2</v>
      </c>
      <c r="P6105">
        <v>1.0543629000000001E-2</v>
      </c>
      <c r="Q6105" t="str">
        <f t="shared" si="190"/>
        <v>50+</v>
      </c>
      <c r="R6105" t="str">
        <f t="shared" si="191"/>
        <v>[fyEoGEPERdI]|50+|Male|PLHIV_Attend.T|CY2025Q3</v>
      </c>
    </row>
    <row r="6106" spans="4:18" x14ac:dyDescent="0.2">
      <c r="D6106" t="s">
        <v>108</v>
      </c>
      <c r="E6106" t="s">
        <v>109</v>
      </c>
      <c r="F6106" t="s">
        <v>110</v>
      </c>
      <c r="G6106" t="s">
        <v>221</v>
      </c>
      <c r="H6106" t="s">
        <v>221</v>
      </c>
      <c r="I6106" t="s">
        <v>28</v>
      </c>
      <c r="J6106" t="s">
        <v>29</v>
      </c>
      <c r="K6106" t="s">
        <v>30</v>
      </c>
      <c r="L6106" t="s">
        <v>31</v>
      </c>
      <c r="M6106" t="s">
        <v>220</v>
      </c>
      <c r="N6106">
        <v>30</v>
      </c>
      <c r="O6106">
        <v>1.948944E-2</v>
      </c>
      <c r="P6106">
        <v>8.8262649999999998E-3</v>
      </c>
      <c r="Q6106" t="str">
        <f t="shared" si="190"/>
        <v>&lt;01</v>
      </c>
      <c r="R6106" t="str">
        <f t="shared" si="191"/>
        <v>[umc2n1Z4wNv]|&lt;01|Female|PLHIV_Attend.T|CY2025Q3</v>
      </c>
    </row>
    <row r="6107" spans="4:18" x14ac:dyDescent="0.2">
      <c r="D6107" t="s">
        <v>108</v>
      </c>
      <c r="E6107" t="s">
        <v>109</v>
      </c>
      <c r="F6107" t="s">
        <v>110</v>
      </c>
      <c r="G6107" t="s">
        <v>221</v>
      </c>
      <c r="H6107" t="s">
        <v>221</v>
      </c>
      <c r="I6107" t="s">
        <v>33</v>
      </c>
      <c r="J6107" t="s">
        <v>34</v>
      </c>
      <c r="K6107" t="s">
        <v>30</v>
      </c>
      <c r="L6107" t="s">
        <v>31</v>
      </c>
      <c r="M6107" t="s">
        <v>220</v>
      </c>
      <c r="N6107">
        <v>526</v>
      </c>
      <c r="O6107">
        <v>3.0986334000000001E-2</v>
      </c>
      <c r="P6107">
        <v>8.8262649999999998E-3</v>
      </c>
      <c r="Q6107" t="str">
        <f t="shared" si="190"/>
        <v>01-09</v>
      </c>
      <c r="R6107" t="str">
        <f t="shared" si="191"/>
        <v>[umc2n1Z4wNv]|01-09|Female|PLHIV_Attend.T|CY2025Q3</v>
      </c>
    </row>
    <row r="6108" spans="4:18" x14ac:dyDescent="0.2">
      <c r="D6108" t="s">
        <v>108</v>
      </c>
      <c r="E6108" t="s">
        <v>109</v>
      </c>
      <c r="F6108" t="s">
        <v>110</v>
      </c>
      <c r="G6108" t="s">
        <v>221</v>
      </c>
      <c r="H6108" t="s">
        <v>221</v>
      </c>
      <c r="I6108" t="s">
        <v>36</v>
      </c>
      <c r="J6108" t="s">
        <v>37</v>
      </c>
      <c r="K6108" t="s">
        <v>30</v>
      </c>
      <c r="L6108" t="s">
        <v>31</v>
      </c>
      <c r="M6108" t="s">
        <v>220</v>
      </c>
      <c r="N6108">
        <v>653</v>
      </c>
      <c r="O6108">
        <v>5.0211018000000003E-2</v>
      </c>
      <c r="P6108">
        <v>8.8262649999999998E-3</v>
      </c>
      <c r="Q6108" t="str">
        <f t="shared" si="190"/>
        <v>10-14</v>
      </c>
      <c r="R6108" t="str">
        <f t="shared" si="191"/>
        <v>[umc2n1Z4wNv]|10-14|Female|PLHIV_Attend.T|CY2025Q3</v>
      </c>
    </row>
    <row r="6109" spans="4:18" x14ac:dyDescent="0.2">
      <c r="D6109" t="s">
        <v>108</v>
      </c>
      <c r="E6109" t="s">
        <v>109</v>
      </c>
      <c r="F6109" t="s">
        <v>110</v>
      </c>
      <c r="G6109" t="s">
        <v>221</v>
      </c>
      <c r="H6109" t="s">
        <v>221</v>
      </c>
      <c r="I6109" t="s">
        <v>38</v>
      </c>
      <c r="J6109" t="s">
        <v>39</v>
      </c>
      <c r="K6109" t="s">
        <v>30</v>
      </c>
      <c r="L6109" t="s">
        <v>31</v>
      </c>
      <c r="M6109" t="s">
        <v>220</v>
      </c>
      <c r="N6109">
        <v>2880</v>
      </c>
      <c r="O6109">
        <v>5.7052390000000001E-2</v>
      </c>
      <c r="P6109">
        <v>8.8262649999999998E-3</v>
      </c>
      <c r="Q6109" t="str">
        <f t="shared" si="190"/>
        <v>15-24</v>
      </c>
      <c r="R6109" t="str">
        <f t="shared" si="191"/>
        <v>[umc2n1Z4wNv]|15-24|Female|PLHIV_Attend.T|CY2025Q3</v>
      </c>
    </row>
    <row r="6110" spans="4:18" x14ac:dyDescent="0.2">
      <c r="D6110" t="s">
        <v>108</v>
      </c>
      <c r="E6110" t="s">
        <v>109</v>
      </c>
      <c r="F6110" t="s">
        <v>110</v>
      </c>
      <c r="G6110" t="s">
        <v>221</v>
      </c>
      <c r="H6110" t="s">
        <v>221</v>
      </c>
      <c r="I6110" t="s">
        <v>41</v>
      </c>
      <c r="J6110" t="s">
        <v>42</v>
      </c>
      <c r="K6110" t="s">
        <v>30</v>
      </c>
      <c r="L6110" t="s">
        <v>31</v>
      </c>
      <c r="M6110" t="s">
        <v>220</v>
      </c>
      <c r="N6110">
        <v>7011</v>
      </c>
      <c r="O6110">
        <v>3.3565205000000001E-2</v>
      </c>
      <c r="P6110">
        <v>8.8262649999999998E-3</v>
      </c>
      <c r="Q6110" t="str">
        <f t="shared" si="190"/>
        <v>25-34</v>
      </c>
      <c r="R6110" t="str">
        <f t="shared" si="191"/>
        <v>[umc2n1Z4wNv]|25-34|Female|PLHIV_Attend.T|CY2025Q3</v>
      </c>
    </row>
    <row r="6111" spans="4:18" x14ac:dyDescent="0.2">
      <c r="D6111" t="s">
        <v>108</v>
      </c>
      <c r="E6111" t="s">
        <v>109</v>
      </c>
      <c r="F6111" t="s">
        <v>110</v>
      </c>
      <c r="G6111" t="s">
        <v>221</v>
      </c>
      <c r="H6111" t="s">
        <v>221</v>
      </c>
      <c r="I6111" t="s">
        <v>43</v>
      </c>
      <c r="J6111" t="s">
        <v>44</v>
      </c>
      <c r="K6111" t="s">
        <v>30</v>
      </c>
      <c r="L6111" t="s">
        <v>31</v>
      </c>
      <c r="M6111" t="s">
        <v>220</v>
      </c>
      <c r="N6111">
        <v>18968</v>
      </c>
      <c r="O6111">
        <v>1.7863905999999999E-2</v>
      </c>
      <c r="P6111">
        <v>8.8262649999999998E-3</v>
      </c>
      <c r="Q6111" t="str">
        <f t="shared" si="190"/>
        <v>35-49</v>
      </c>
      <c r="R6111" t="str">
        <f t="shared" si="191"/>
        <v>[umc2n1Z4wNv]|35-49|Female|PLHIV_Attend.T|CY2025Q3</v>
      </c>
    </row>
    <row r="6112" spans="4:18" x14ac:dyDescent="0.2">
      <c r="D6112" t="s">
        <v>108</v>
      </c>
      <c r="E6112" t="s">
        <v>109</v>
      </c>
      <c r="F6112" t="s">
        <v>110</v>
      </c>
      <c r="G6112" t="s">
        <v>221</v>
      </c>
      <c r="H6112" t="s">
        <v>221</v>
      </c>
      <c r="I6112" t="s">
        <v>45</v>
      </c>
      <c r="J6112" t="s">
        <v>46</v>
      </c>
      <c r="K6112" t="s">
        <v>30</v>
      </c>
      <c r="L6112" t="s">
        <v>31</v>
      </c>
      <c r="M6112" t="s">
        <v>220</v>
      </c>
      <c r="N6112">
        <v>10100</v>
      </c>
      <c r="O6112">
        <v>2.9653725999999998E-2</v>
      </c>
      <c r="P6112">
        <v>8.8262649999999998E-3</v>
      </c>
      <c r="Q6112" t="str">
        <f t="shared" si="190"/>
        <v>50+</v>
      </c>
      <c r="R6112" t="str">
        <f t="shared" si="191"/>
        <v>[umc2n1Z4wNv]|50+|Female|PLHIV_Attend.T|CY2025Q3</v>
      </c>
    </row>
    <row r="6113" spans="4:18" x14ac:dyDescent="0.2">
      <c r="D6113" t="s">
        <v>108</v>
      </c>
      <c r="E6113" t="s">
        <v>109</v>
      </c>
      <c r="F6113" t="s">
        <v>110</v>
      </c>
      <c r="G6113" t="s">
        <v>221</v>
      </c>
      <c r="H6113" t="s">
        <v>221</v>
      </c>
      <c r="I6113" t="s">
        <v>28</v>
      </c>
      <c r="J6113" t="s">
        <v>29</v>
      </c>
      <c r="K6113" t="s">
        <v>48</v>
      </c>
      <c r="L6113" t="s">
        <v>49</v>
      </c>
      <c r="M6113" t="s">
        <v>220</v>
      </c>
      <c r="N6113">
        <v>31</v>
      </c>
      <c r="O6113">
        <v>1.9608694999999999E-2</v>
      </c>
      <c r="P6113">
        <v>8.8262649999999998E-3</v>
      </c>
      <c r="Q6113" t="str">
        <f t="shared" si="190"/>
        <v>&lt;01</v>
      </c>
      <c r="R6113" t="str">
        <f t="shared" si="191"/>
        <v>[umc2n1Z4wNv]|&lt;01|Male|PLHIV_Attend.T|CY2025Q3</v>
      </c>
    </row>
    <row r="6114" spans="4:18" x14ac:dyDescent="0.2">
      <c r="D6114" t="s">
        <v>108</v>
      </c>
      <c r="E6114" t="s">
        <v>109</v>
      </c>
      <c r="F6114" t="s">
        <v>110</v>
      </c>
      <c r="G6114" t="s">
        <v>221</v>
      </c>
      <c r="H6114" t="s">
        <v>221</v>
      </c>
      <c r="I6114" t="s">
        <v>33</v>
      </c>
      <c r="J6114" t="s">
        <v>34</v>
      </c>
      <c r="K6114" t="s">
        <v>48</v>
      </c>
      <c r="L6114" t="s">
        <v>49</v>
      </c>
      <c r="M6114" t="s">
        <v>220</v>
      </c>
      <c r="N6114">
        <v>537</v>
      </c>
      <c r="O6114">
        <v>3.1111808000000001E-2</v>
      </c>
      <c r="P6114">
        <v>8.8262649999999998E-3</v>
      </c>
      <c r="Q6114" t="str">
        <f t="shared" si="190"/>
        <v>01-09</v>
      </c>
      <c r="R6114" t="str">
        <f t="shared" si="191"/>
        <v>[umc2n1Z4wNv]|01-09|Male|PLHIV_Attend.T|CY2025Q3</v>
      </c>
    </row>
    <row r="6115" spans="4:18" x14ac:dyDescent="0.2">
      <c r="D6115" t="s">
        <v>108</v>
      </c>
      <c r="E6115" t="s">
        <v>109</v>
      </c>
      <c r="F6115" t="s">
        <v>110</v>
      </c>
      <c r="G6115" t="s">
        <v>221</v>
      </c>
      <c r="H6115" t="s">
        <v>221</v>
      </c>
      <c r="I6115" t="s">
        <v>36</v>
      </c>
      <c r="J6115" t="s">
        <v>37</v>
      </c>
      <c r="K6115" t="s">
        <v>48</v>
      </c>
      <c r="L6115" t="s">
        <v>49</v>
      </c>
      <c r="M6115" t="s">
        <v>220</v>
      </c>
      <c r="N6115">
        <v>668</v>
      </c>
      <c r="O6115">
        <v>5.0231102E-2</v>
      </c>
      <c r="P6115">
        <v>8.8262649999999998E-3</v>
      </c>
      <c r="Q6115" t="str">
        <f t="shared" si="190"/>
        <v>10-14</v>
      </c>
      <c r="R6115" t="str">
        <f t="shared" si="191"/>
        <v>[umc2n1Z4wNv]|10-14|Male|PLHIV_Attend.T|CY2025Q3</v>
      </c>
    </row>
    <row r="6116" spans="4:18" x14ac:dyDescent="0.2">
      <c r="D6116" t="s">
        <v>108</v>
      </c>
      <c r="E6116" t="s">
        <v>109</v>
      </c>
      <c r="F6116" t="s">
        <v>110</v>
      </c>
      <c r="G6116" t="s">
        <v>221</v>
      </c>
      <c r="H6116" t="s">
        <v>221</v>
      </c>
      <c r="I6116" t="s">
        <v>38</v>
      </c>
      <c r="J6116" t="s">
        <v>39</v>
      </c>
      <c r="K6116" t="s">
        <v>48</v>
      </c>
      <c r="L6116" t="s">
        <v>49</v>
      </c>
      <c r="M6116" t="s">
        <v>220</v>
      </c>
      <c r="N6116">
        <v>2024</v>
      </c>
      <c r="O6116">
        <v>6.4598786000000005E-2</v>
      </c>
      <c r="P6116">
        <v>8.8262649999999998E-3</v>
      </c>
      <c r="Q6116" t="str">
        <f t="shared" si="190"/>
        <v>15-24</v>
      </c>
      <c r="R6116" t="str">
        <f t="shared" si="191"/>
        <v>[umc2n1Z4wNv]|15-24|Male|PLHIV_Attend.T|CY2025Q3</v>
      </c>
    </row>
    <row r="6117" spans="4:18" x14ac:dyDescent="0.2">
      <c r="D6117" t="s">
        <v>108</v>
      </c>
      <c r="E6117" t="s">
        <v>109</v>
      </c>
      <c r="F6117" t="s">
        <v>110</v>
      </c>
      <c r="G6117" t="s">
        <v>221</v>
      </c>
      <c r="H6117" t="s">
        <v>221</v>
      </c>
      <c r="I6117" t="s">
        <v>41</v>
      </c>
      <c r="J6117" t="s">
        <v>42</v>
      </c>
      <c r="K6117" t="s">
        <v>48</v>
      </c>
      <c r="L6117" t="s">
        <v>49</v>
      </c>
      <c r="M6117" t="s">
        <v>220</v>
      </c>
      <c r="N6117">
        <v>2506</v>
      </c>
      <c r="O6117">
        <v>6.1105354000000001E-2</v>
      </c>
      <c r="P6117">
        <v>8.8262649999999998E-3</v>
      </c>
      <c r="Q6117" t="str">
        <f t="shared" si="190"/>
        <v>25-34</v>
      </c>
      <c r="R6117" t="str">
        <f t="shared" si="191"/>
        <v>[umc2n1Z4wNv]|25-34|Male|PLHIV_Attend.T|CY2025Q3</v>
      </c>
    </row>
    <row r="6118" spans="4:18" x14ac:dyDescent="0.2">
      <c r="D6118" t="s">
        <v>108</v>
      </c>
      <c r="E6118" t="s">
        <v>109</v>
      </c>
      <c r="F6118" t="s">
        <v>110</v>
      </c>
      <c r="G6118" t="s">
        <v>221</v>
      </c>
      <c r="H6118" t="s">
        <v>221</v>
      </c>
      <c r="I6118" t="s">
        <v>43</v>
      </c>
      <c r="J6118" t="s">
        <v>44</v>
      </c>
      <c r="K6118" t="s">
        <v>48</v>
      </c>
      <c r="L6118" t="s">
        <v>49</v>
      </c>
      <c r="M6118" t="s">
        <v>220</v>
      </c>
      <c r="N6118">
        <v>8823</v>
      </c>
      <c r="O6118">
        <v>2.7865689999999999E-2</v>
      </c>
      <c r="P6118">
        <v>8.8262649999999998E-3</v>
      </c>
      <c r="Q6118" t="str">
        <f t="shared" si="190"/>
        <v>35-49</v>
      </c>
      <c r="R6118" t="str">
        <f t="shared" si="191"/>
        <v>[umc2n1Z4wNv]|35-49|Male|PLHIV_Attend.T|CY2025Q3</v>
      </c>
    </row>
    <row r="6119" spans="4:18" x14ac:dyDescent="0.2">
      <c r="D6119" t="s">
        <v>108</v>
      </c>
      <c r="E6119" t="s">
        <v>109</v>
      </c>
      <c r="F6119" t="s">
        <v>110</v>
      </c>
      <c r="G6119" t="s">
        <v>221</v>
      </c>
      <c r="H6119" t="s">
        <v>221</v>
      </c>
      <c r="I6119" t="s">
        <v>45</v>
      </c>
      <c r="J6119" t="s">
        <v>46</v>
      </c>
      <c r="K6119" t="s">
        <v>48</v>
      </c>
      <c r="L6119" t="s">
        <v>49</v>
      </c>
      <c r="M6119" t="s">
        <v>220</v>
      </c>
      <c r="N6119">
        <v>6800</v>
      </c>
      <c r="O6119">
        <v>2.9443405999999998E-2</v>
      </c>
      <c r="P6119">
        <v>8.8262649999999998E-3</v>
      </c>
      <c r="Q6119" t="str">
        <f t="shared" si="190"/>
        <v>50+</v>
      </c>
      <c r="R6119" t="str">
        <f t="shared" si="191"/>
        <v>[umc2n1Z4wNv]|50+|Male|PLHIV_Attend.T|CY2025Q3</v>
      </c>
    </row>
    <row r="6120" spans="4:18" x14ac:dyDescent="0.2">
      <c r="D6120" t="s">
        <v>111</v>
      </c>
      <c r="E6120" t="s">
        <v>112</v>
      </c>
      <c r="F6120" t="s">
        <v>113</v>
      </c>
      <c r="G6120" t="s">
        <v>221</v>
      </c>
      <c r="H6120" t="s">
        <v>221</v>
      </c>
      <c r="I6120" t="s">
        <v>28</v>
      </c>
      <c r="J6120" t="s">
        <v>29</v>
      </c>
      <c r="K6120" t="s">
        <v>30</v>
      </c>
      <c r="L6120" t="s">
        <v>31</v>
      </c>
      <c r="M6120" t="s">
        <v>220</v>
      </c>
      <c r="N6120">
        <v>17</v>
      </c>
      <c r="O6120">
        <v>1.9584313999999999E-2</v>
      </c>
      <c r="P6120">
        <v>1.0033046E-2</v>
      </c>
      <c r="Q6120" t="str">
        <f t="shared" si="190"/>
        <v>&lt;01</v>
      </c>
      <c r="R6120" t="str">
        <f t="shared" si="191"/>
        <v>[AZyWpGzhcaA]|&lt;01|Female|PLHIV_Attend.T|CY2025Q3</v>
      </c>
    </row>
    <row r="6121" spans="4:18" x14ac:dyDescent="0.2">
      <c r="D6121" t="s">
        <v>111</v>
      </c>
      <c r="E6121" t="s">
        <v>112</v>
      </c>
      <c r="F6121" t="s">
        <v>113</v>
      </c>
      <c r="G6121" t="s">
        <v>221</v>
      </c>
      <c r="H6121" t="s">
        <v>221</v>
      </c>
      <c r="I6121" t="s">
        <v>33</v>
      </c>
      <c r="J6121" t="s">
        <v>34</v>
      </c>
      <c r="K6121" t="s">
        <v>30</v>
      </c>
      <c r="L6121" t="s">
        <v>31</v>
      </c>
      <c r="M6121" t="s">
        <v>220</v>
      </c>
      <c r="N6121">
        <v>324</v>
      </c>
      <c r="O6121">
        <v>2.8532399E-2</v>
      </c>
      <c r="P6121">
        <v>1.0033046E-2</v>
      </c>
      <c r="Q6121" t="str">
        <f t="shared" si="190"/>
        <v>01-09</v>
      </c>
      <c r="R6121" t="str">
        <f t="shared" si="191"/>
        <v>[AZyWpGzhcaA]|01-09|Female|PLHIV_Attend.T|CY2025Q3</v>
      </c>
    </row>
    <row r="6122" spans="4:18" x14ac:dyDescent="0.2">
      <c r="D6122" t="s">
        <v>111</v>
      </c>
      <c r="E6122" t="s">
        <v>112</v>
      </c>
      <c r="F6122" t="s">
        <v>113</v>
      </c>
      <c r="G6122" t="s">
        <v>221</v>
      </c>
      <c r="H6122" t="s">
        <v>221</v>
      </c>
      <c r="I6122" t="s">
        <v>36</v>
      </c>
      <c r="J6122" t="s">
        <v>37</v>
      </c>
      <c r="K6122" t="s">
        <v>30</v>
      </c>
      <c r="L6122" t="s">
        <v>31</v>
      </c>
      <c r="M6122" t="s">
        <v>220</v>
      </c>
      <c r="N6122">
        <v>428</v>
      </c>
      <c r="O6122">
        <v>4.2650576000000003E-2</v>
      </c>
      <c r="P6122">
        <v>1.0033046E-2</v>
      </c>
      <c r="Q6122" t="str">
        <f t="shared" si="190"/>
        <v>10-14</v>
      </c>
      <c r="R6122" t="str">
        <f t="shared" si="191"/>
        <v>[AZyWpGzhcaA]|10-14|Female|PLHIV_Attend.T|CY2025Q3</v>
      </c>
    </row>
    <row r="6123" spans="4:18" x14ac:dyDescent="0.2">
      <c r="D6123" t="s">
        <v>111</v>
      </c>
      <c r="E6123" t="s">
        <v>112</v>
      </c>
      <c r="F6123" t="s">
        <v>113</v>
      </c>
      <c r="G6123" t="s">
        <v>221</v>
      </c>
      <c r="H6123" t="s">
        <v>221</v>
      </c>
      <c r="I6123" t="s">
        <v>38</v>
      </c>
      <c r="J6123" t="s">
        <v>39</v>
      </c>
      <c r="K6123" t="s">
        <v>30</v>
      </c>
      <c r="L6123" t="s">
        <v>31</v>
      </c>
      <c r="M6123" t="s">
        <v>220</v>
      </c>
      <c r="N6123">
        <v>1655</v>
      </c>
      <c r="O6123">
        <v>5.5286912000000001E-2</v>
      </c>
      <c r="P6123">
        <v>1.0033046E-2</v>
      </c>
      <c r="Q6123" t="str">
        <f t="shared" si="190"/>
        <v>15-24</v>
      </c>
      <c r="R6123" t="str">
        <f t="shared" si="191"/>
        <v>[AZyWpGzhcaA]|15-24|Female|PLHIV_Attend.T|CY2025Q3</v>
      </c>
    </row>
    <row r="6124" spans="4:18" x14ac:dyDescent="0.2">
      <c r="D6124" t="s">
        <v>111</v>
      </c>
      <c r="E6124" t="s">
        <v>112</v>
      </c>
      <c r="F6124" t="s">
        <v>113</v>
      </c>
      <c r="G6124" t="s">
        <v>221</v>
      </c>
      <c r="H6124" t="s">
        <v>221</v>
      </c>
      <c r="I6124" t="s">
        <v>41</v>
      </c>
      <c r="J6124" t="s">
        <v>42</v>
      </c>
      <c r="K6124" t="s">
        <v>30</v>
      </c>
      <c r="L6124" t="s">
        <v>31</v>
      </c>
      <c r="M6124" t="s">
        <v>220</v>
      </c>
      <c r="N6124">
        <v>3851</v>
      </c>
      <c r="O6124">
        <v>3.3487811999999999E-2</v>
      </c>
      <c r="P6124">
        <v>1.0033046E-2</v>
      </c>
      <c r="Q6124" t="str">
        <f t="shared" si="190"/>
        <v>25-34</v>
      </c>
      <c r="R6124" t="str">
        <f t="shared" si="191"/>
        <v>[AZyWpGzhcaA]|25-34|Female|PLHIV_Attend.T|CY2025Q3</v>
      </c>
    </row>
    <row r="6125" spans="4:18" x14ac:dyDescent="0.2">
      <c r="D6125" t="s">
        <v>111</v>
      </c>
      <c r="E6125" t="s">
        <v>112</v>
      </c>
      <c r="F6125" t="s">
        <v>113</v>
      </c>
      <c r="G6125" t="s">
        <v>221</v>
      </c>
      <c r="H6125" t="s">
        <v>221</v>
      </c>
      <c r="I6125" t="s">
        <v>43</v>
      </c>
      <c r="J6125" t="s">
        <v>44</v>
      </c>
      <c r="K6125" t="s">
        <v>30</v>
      </c>
      <c r="L6125" t="s">
        <v>31</v>
      </c>
      <c r="M6125" t="s">
        <v>220</v>
      </c>
      <c r="N6125">
        <v>9844</v>
      </c>
      <c r="O6125">
        <v>1.8632195000000001E-2</v>
      </c>
      <c r="P6125">
        <v>1.0033046E-2</v>
      </c>
      <c r="Q6125" t="str">
        <f t="shared" si="190"/>
        <v>35-49</v>
      </c>
      <c r="R6125" t="str">
        <f t="shared" si="191"/>
        <v>[AZyWpGzhcaA]|35-49|Female|PLHIV_Attend.T|CY2025Q3</v>
      </c>
    </row>
    <row r="6126" spans="4:18" x14ac:dyDescent="0.2">
      <c r="D6126" t="s">
        <v>111</v>
      </c>
      <c r="E6126" t="s">
        <v>112</v>
      </c>
      <c r="F6126" t="s">
        <v>113</v>
      </c>
      <c r="G6126" t="s">
        <v>221</v>
      </c>
      <c r="H6126" t="s">
        <v>221</v>
      </c>
      <c r="I6126" t="s">
        <v>45</v>
      </c>
      <c r="J6126" t="s">
        <v>46</v>
      </c>
      <c r="K6126" t="s">
        <v>30</v>
      </c>
      <c r="L6126" t="s">
        <v>31</v>
      </c>
      <c r="M6126" t="s">
        <v>220</v>
      </c>
      <c r="N6126">
        <v>5029</v>
      </c>
      <c r="O6126">
        <v>3.0572717999999999E-2</v>
      </c>
      <c r="P6126">
        <v>1.0033046E-2</v>
      </c>
      <c r="Q6126" t="str">
        <f t="shared" si="190"/>
        <v>50+</v>
      </c>
      <c r="R6126" t="str">
        <f t="shared" si="191"/>
        <v>[AZyWpGzhcaA]|50+|Female|PLHIV_Attend.T|CY2025Q3</v>
      </c>
    </row>
    <row r="6127" spans="4:18" x14ac:dyDescent="0.2">
      <c r="D6127" t="s">
        <v>111</v>
      </c>
      <c r="E6127" t="s">
        <v>112</v>
      </c>
      <c r="F6127" t="s">
        <v>113</v>
      </c>
      <c r="G6127" t="s">
        <v>221</v>
      </c>
      <c r="H6127" t="s">
        <v>221</v>
      </c>
      <c r="I6127" t="s">
        <v>28</v>
      </c>
      <c r="J6127" t="s">
        <v>29</v>
      </c>
      <c r="K6127" t="s">
        <v>48</v>
      </c>
      <c r="L6127" t="s">
        <v>49</v>
      </c>
      <c r="M6127" t="s">
        <v>220</v>
      </c>
      <c r="N6127">
        <v>17</v>
      </c>
      <c r="O6127">
        <v>1.9611435E-2</v>
      </c>
      <c r="P6127">
        <v>1.0033046E-2</v>
      </c>
      <c r="Q6127" t="str">
        <f t="shared" si="190"/>
        <v>&lt;01</v>
      </c>
      <c r="R6127" t="str">
        <f t="shared" si="191"/>
        <v>[AZyWpGzhcaA]|&lt;01|Male|PLHIV_Attend.T|CY2025Q3</v>
      </c>
    </row>
    <row r="6128" spans="4:18" x14ac:dyDescent="0.2">
      <c r="D6128" t="s">
        <v>111</v>
      </c>
      <c r="E6128" t="s">
        <v>112</v>
      </c>
      <c r="F6128" t="s">
        <v>113</v>
      </c>
      <c r="G6128" t="s">
        <v>221</v>
      </c>
      <c r="H6128" t="s">
        <v>221</v>
      </c>
      <c r="I6128" t="s">
        <v>33</v>
      </c>
      <c r="J6128" t="s">
        <v>34</v>
      </c>
      <c r="K6128" t="s">
        <v>48</v>
      </c>
      <c r="L6128" t="s">
        <v>49</v>
      </c>
      <c r="M6128" t="s">
        <v>220</v>
      </c>
      <c r="N6128">
        <v>329</v>
      </c>
      <c r="O6128">
        <v>2.8559707E-2</v>
      </c>
      <c r="P6128">
        <v>1.0033046E-2</v>
      </c>
      <c r="Q6128" t="str">
        <f t="shared" si="190"/>
        <v>01-09</v>
      </c>
      <c r="R6128" t="str">
        <f t="shared" si="191"/>
        <v>[AZyWpGzhcaA]|01-09|Male|PLHIV_Attend.T|CY2025Q3</v>
      </c>
    </row>
    <row r="6129" spans="4:18" x14ac:dyDescent="0.2">
      <c r="D6129" t="s">
        <v>111</v>
      </c>
      <c r="E6129" t="s">
        <v>112</v>
      </c>
      <c r="F6129" t="s">
        <v>113</v>
      </c>
      <c r="G6129" t="s">
        <v>221</v>
      </c>
      <c r="H6129" t="s">
        <v>221</v>
      </c>
      <c r="I6129" t="s">
        <v>36</v>
      </c>
      <c r="J6129" t="s">
        <v>37</v>
      </c>
      <c r="K6129" t="s">
        <v>48</v>
      </c>
      <c r="L6129" t="s">
        <v>49</v>
      </c>
      <c r="M6129" t="s">
        <v>220</v>
      </c>
      <c r="N6129">
        <v>433</v>
      </c>
      <c r="O6129">
        <v>4.2644789000000002E-2</v>
      </c>
      <c r="P6129">
        <v>1.0033046E-2</v>
      </c>
      <c r="Q6129" t="str">
        <f t="shared" si="190"/>
        <v>10-14</v>
      </c>
      <c r="R6129" t="str">
        <f t="shared" si="191"/>
        <v>[AZyWpGzhcaA]|10-14|Male|PLHIV_Attend.T|CY2025Q3</v>
      </c>
    </row>
    <row r="6130" spans="4:18" x14ac:dyDescent="0.2">
      <c r="D6130" t="s">
        <v>111</v>
      </c>
      <c r="E6130" t="s">
        <v>112</v>
      </c>
      <c r="F6130" t="s">
        <v>113</v>
      </c>
      <c r="G6130" t="s">
        <v>221</v>
      </c>
      <c r="H6130" t="s">
        <v>221</v>
      </c>
      <c r="I6130" t="s">
        <v>38</v>
      </c>
      <c r="J6130" t="s">
        <v>39</v>
      </c>
      <c r="K6130" t="s">
        <v>48</v>
      </c>
      <c r="L6130" t="s">
        <v>49</v>
      </c>
      <c r="M6130" t="s">
        <v>220</v>
      </c>
      <c r="N6130">
        <v>1206</v>
      </c>
      <c r="O6130">
        <v>6.0003965999999999E-2</v>
      </c>
      <c r="P6130">
        <v>1.0033046E-2</v>
      </c>
      <c r="Q6130" t="str">
        <f t="shared" si="190"/>
        <v>15-24</v>
      </c>
      <c r="R6130" t="str">
        <f t="shared" si="191"/>
        <v>[AZyWpGzhcaA]|15-24|Male|PLHIV_Attend.T|CY2025Q3</v>
      </c>
    </row>
    <row r="6131" spans="4:18" x14ac:dyDescent="0.2">
      <c r="D6131" t="s">
        <v>111</v>
      </c>
      <c r="E6131" t="s">
        <v>112</v>
      </c>
      <c r="F6131" t="s">
        <v>113</v>
      </c>
      <c r="G6131" t="s">
        <v>221</v>
      </c>
      <c r="H6131" t="s">
        <v>221</v>
      </c>
      <c r="I6131" t="s">
        <v>41</v>
      </c>
      <c r="J6131" t="s">
        <v>42</v>
      </c>
      <c r="K6131" t="s">
        <v>48</v>
      </c>
      <c r="L6131" t="s">
        <v>49</v>
      </c>
      <c r="M6131" t="s">
        <v>220</v>
      </c>
      <c r="N6131">
        <v>1426</v>
      </c>
      <c r="O6131">
        <v>6.0120079999999999E-2</v>
      </c>
      <c r="P6131">
        <v>1.0033046E-2</v>
      </c>
      <c r="Q6131" t="str">
        <f t="shared" si="190"/>
        <v>25-34</v>
      </c>
      <c r="R6131" t="str">
        <f t="shared" si="191"/>
        <v>[AZyWpGzhcaA]|25-34|Male|PLHIV_Attend.T|CY2025Q3</v>
      </c>
    </row>
    <row r="6132" spans="4:18" x14ac:dyDescent="0.2">
      <c r="D6132" t="s">
        <v>111</v>
      </c>
      <c r="E6132" t="s">
        <v>112</v>
      </c>
      <c r="F6132" t="s">
        <v>113</v>
      </c>
      <c r="G6132" t="s">
        <v>221</v>
      </c>
      <c r="H6132" t="s">
        <v>221</v>
      </c>
      <c r="I6132" t="s">
        <v>43</v>
      </c>
      <c r="J6132" t="s">
        <v>44</v>
      </c>
      <c r="K6132" t="s">
        <v>48</v>
      </c>
      <c r="L6132" t="s">
        <v>49</v>
      </c>
      <c r="M6132" t="s">
        <v>220</v>
      </c>
      <c r="N6132">
        <v>4844</v>
      </c>
      <c r="O6132">
        <v>2.8627534E-2</v>
      </c>
      <c r="P6132">
        <v>1.0033046E-2</v>
      </c>
      <c r="Q6132" t="str">
        <f t="shared" si="190"/>
        <v>35-49</v>
      </c>
      <c r="R6132" t="str">
        <f t="shared" si="191"/>
        <v>[AZyWpGzhcaA]|35-49|Male|PLHIV_Attend.T|CY2025Q3</v>
      </c>
    </row>
    <row r="6133" spans="4:18" x14ac:dyDescent="0.2">
      <c r="D6133" t="s">
        <v>111</v>
      </c>
      <c r="E6133" t="s">
        <v>112</v>
      </c>
      <c r="F6133" t="s">
        <v>113</v>
      </c>
      <c r="G6133" t="s">
        <v>221</v>
      </c>
      <c r="H6133" t="s">
        <v>221</v>
      </c>
      <c r="I6133" t="s">
        <v>45</v>
      </c>
      <c r="J6133" t="s">
        <v>46</v>
      </c>
      <c r="K6133" t="s">
        <v>48</v>
      </c>
      <c r="L6133" t="s">
        <v>49</v>
      </c>
      <c r="M6133" t="s">
        <v>220</v>
      </c>
      <c r="N6133">
        <v>3614</v>
      </c>
      <c r="O6133">
        <v>3.1227306999999999E-2</v>
      </c>
      <c r="P6133">
        <v>1.0033046E-2</v>
      </c>
      <c r="Q6133" t="str">
        <f t="shared" si="190"/>
        <v>50+</v>
      </c>
      <c r="R6133" t="str">
        <f t="shared" si="191"/>
        <v>[AZyWpGzhcaA]|50+|Male|PLHIV_Attend.T|CY2025Q3</v>
      </c>
    </row>
    <row r="6134" spans="4:18" x14ac:dyDescent="0.2">
      <c r="D6134" t="s">
        <v>114</v>
      </c>
      <c r="E6134" t="s">
        <v>115</v>
      </c>
      <c r="F6134" t="s">
        <v>116</v>
      </c>
      <c r="G6134" t="s">
        <v>221</v>
      </c>
      <c r="H6134" t="s">
        <v>221</v>
      </c>
      <c r="I6134" t="s">
        <v>28</v>
      </c>
      <c r="J6134" t="s">
        <v>29</v>
      </c>
      <c r="K6134" t="s">
        <v>30</v>
      </c>
      <c r="L6134" t="s">
        <v>31</v>
      </c>
      <c r="M6134" t="s">
        <v>220</v>
      </c>
      <c r="N6134">
        <v>13</v>
      </c>
      <c r="O6134">
        <v>2.5736574000000002E-2</v>
      </c>
      <c r="P6134">
        <v>1.6332070000000001E-2</v>
      </c>
      <c r="Q6134" t="str">
        <f t="shared" si="190"/>
        <v>&lt;01</v>
      </c>
      <c r="R6134" t="str">
        <f t="shared" si="191"/>
        <v>[ir8wuHHzoSs]|&lt;01|Female|PLHIV_Attend.T|CY2025Q3</v>
      </c>
    </row>
    <row r="6135" spans="4:18" x14ac:dyDescent="0.2">
      <c r="D6135" t="s">
        <v>114</v>
      </c>
      <c r="E6135" t="s">
        <v>115</v>
      </c>
      <c r="F6135" t="s">
        <v>116</v>
      </c>
      <c r="G6135" t="s">
        <v>221</v>
      </c>
      <c r="H6135" t="s">
        <v>221</v>
      </c>
      <c r="I6135" t="s">
        <v>33</v>
      </c>
      <c r="J6135" t="s">
        <v>34</v>
      </c>
      <c r="K6135" t="s">
        <v>30</v>
      </c>
      <c r="L6135" t="s">
        <v>31</v>
      </c>
      <c r="M6135" t="s">
        <v>220</v>
      </c>
      <c r="N6135">
        <v>256</v>
      </c>
      <c r="O6135">
        <v>3.5389210999999997E-2</v>
      </c>
      <c r="P6135">
        <v>1.6332070000000001E-2</v>
      </c>
      <c r="Q6135" t="str">
        <f t="shared" si="190"/>
        <v>01-09</v>
      </c>
      <c r="R6135" t="str">
        <f t="shared" si="191"/>
        <v>[ir8wuHHzoSs]|01-09|Female|PLHIV_Attend.T|CY2025Q3</v>
      </c>
    </row>
    <row r="6136" spans="4:18" x14ac:dyDescent="0.2">
      <c r="D6136" t="s">
        <v>114</v>
      </c>
      <c r="E6136" t="s">
        <v>115</v>
      </c>
      <c r="F6136" t="s">
        <v>116</v>
      </c>
      <c r="G6136" t="s">
        <v>221</v>
      </c>
      <c r="H6136" t="s">
        <v>221</v>
      </c>
      <c r="I6136" t="s">
        <v>36</v>
      </c>
      <c r="J6136" t="s">
        <v>37</v>
      </c>
      <c r="K6136" t="s">
        <v>30</v>
      </c>
      <c r="L6136" t="s">
        <v>31</v>
      </c>
      <c r="M6136" t="s">
        <v>220</v>
      </c>
      <c r="N6136">
        <v>337</v>
      </c>
      <c r="O6136">
        <v>5.0501527999999997E-2</v>
      </c>
      <c r="P6136">
        <v>1.6332070000000001E-2</v>
      </c>
      <c r="Q6136" t="str">
        <f t="shared" si="190"/>
        <v>10-14</v>
      </c>
      <c r="R6136" t="str">
        <f t="shared" si="191"/>
        <v>[ir8wuHHzoSs]|10-14|Female|PLHIV_Attend.T|CY2025Q3</v>
      </c>
    </row>
    <row r="6137" spans="4:18" x14ac:dyDescent="0.2">
      <c r="D6137" t="s">
        <v>114</v>
      </c>
      <c r="E6137" t="s">
        <v>115</v>
      </c>
      <c r="F6137" t="s">
        <v>116</v>
      </c>
      <c r="G6137" t="s">
        <v>221</v>
      </c>
      <c r="H6137" t="s">
        <v>221</v>
      </c>
      <c r="I6137" t="s">
        <v>38</v>
      </c>
      <c r="J6137" t="s">
        <v>39</v>
      </c>
      <c r="K6137" t="s">
        <v>30</v>
      </c>
      <c r="L6137" t="s">
        <v>31</v>
      </c>
      <c r="M6137" t="s">
        <v>220</v>
      </c>
      <c r="N6137">
        <v>1252</v>
      </c>
      <c r="O6137">
        <v>5.6715547999999998E-2</v>
      </c>
      <c r="P6137">
        <v>1.6332070000000001E-2</v>
      </c>
      <c r="Q6137" t="str">
        <f t="shared" si="190"/>
        <v>15-24</v>
      </c>
      <c r="R6137" t="str">
        <f t="shared" si="191"/>
        <v>[ir8wuHHzoSs]|15-24|Female|PLHIV_Attend.T|CY2025Q3</v>
      </c>
    </row>
    <row r="6138" spans="4:18" x14ac:dyDescent="0.2">
      <c r="D6138" t="s">
        <v>114</v>
      </c>
      <c r="E6138" t="s">
        <v>115</v>
      </c>
      <c r="F6138" t="s">
        <v>116</v>
      </c>
      <c r="G6138" t="s">
        <v>221</v>
      </c>
      <c r="H6138" t="s">
        <v>221</v>
      </c>
      <c r="I6138" t="s">
        <v>41</v>
      </c>
      <c r="J6138" t="s">
        <v>42</v>
      </c>
      <c r="K6138" t="s">
        <v>30</v>
      </c>
      <c r="L6138" t="s">
        <v>31</v>
      </c>
      <c r="M6138" t="s">
        <v>220</v>
      </c>
      <c r="N6138">
        <v>2839</v>
      </c>
      <c r="O6138">
        <v>3.8432236000000002E-2</v>
      </c>
      <c r="P6138">
        <v>1.6332070000000001E-2</v>
      </c>
      <c r="Q6138" t="str">
        <f t="shared" si="190"/>
        <v>25-34</v>
      </c>
      <c r="R6138" t="str">
        <f t="shared" si="191"/>
        <v>[ir8wuHHzoSs]|25-34|Female|PLHIV_Attend.T|CY2025Q3</v>
      </c>
    </row>
    <row r="6139" spans="4:18" x14ac:dyDescent="0.2">
      <c r="D6139" t="s">
        <v>114</v>
      </c>
      <c r="E6139" t="s">
        <v>115</v>
      </c>
      <c r="F6139" t="s">
        <v>116</v>
      </c>
      <c r="G6139" t="s">
        <v>221</v>
      </c>
      <c r="H6139" t="s">
        <v>221</v>
      </c>
      <c r="I6139" t="s">
        <v>43</v>
      </c>
      <c r="J6139" t="s">
        <v>44</v>
      </c>
      <c r="K6139" t="s">
        <v>30</v>
      </c>
      <c r="L6139" t="s">
        <v>31</v>
      </c>
      <c r="M6139" t="s">
        <v>220</v>
      </c>
      <c r="N6139">
        <v>7548</v>
      </c>
      <c r="O6139">
        <v>2.3094292999999998E-2</v>
      </c>
      <c r="P6139">
        <v>1.6332070000000001E-2</v>
      </c>
      <c r="Q6139" t="str">
        <f t="shared" si="190"/>
        <v>35-49</v>
      </c>
      <c r="R6139" t="str">
        <f t="shared" si="191"/>
        <v>[ir8wuHHzoSs]|35-49|Female|PLHIV_Attend.T|CY2025Q3</v>
      </c>
    </row>
    <row r="6140" spans="4:18" x14ac:dyDescent="0.2">
      <c r="D6140" t="s">
        <v>114</v>
      </c>
      <c r="E6140" t="s">
        <v>115</v>
      </c>
      <c r="F6140" t="s">
        <v>116</v>
      </c>
      <c r="G6140" t="s">
        <v>221</v>
      </c>
      <c r="H6140" t="s">
        <v>221</v>
      </c>
      <c r="I6140" t="s">
        <v>45</v>
      </c>
      <c r="J6140" t="s">
        <v>46</v>
      </c>
      <c r="K6140" t="s">
        <v>30</v>
      </c>
      <c r="L6140" t="s">
        <v>31</v>
      </c>
      <c r="M6140" t="s">
        <v>220</v>
      </c>
      <c r="N6140">
        <v>4081</v>
      </c>
      <c r="O6140">
        <v>3.3124062000000003E-2</v>
      </c>
      <c r="P6140">
        <v>1.6332070000000001E-2</v>
      </c>
      <c r="Q6140" t="str">
        <f t="shared" si="190"/>
        <v>50+</v>
      </c>
      <c r="R6140" t="str">
        <f t="shared" si="191"/>
        <v>[ir8wuHHzoSs]|50+|Female|PLHIV_Attend.T|CY2025Q3</v>
      </c>
    </row>
    <row r="6141" spans="4:18" x14ac:dyDescent="0.2">
      <c r="D6141" t="s">
        <v>114</v>
      </c>
      <c r="E6141" t="s">
        <v>115</v>
      </c>
      <c r="F6141" t="s">
        <v>116</v>
      </c>
      <c r="G6141" t="s">
        <v>221</v>
      </c>
      <c r="H6141" t="s">
        <v>221</v>
      </c>
      <c r="I6141" t="s">
        <v>28</v>
      </c>
      <c r="J6141" t="s">
        <v>29</v>
      </c>
      <c r="K6141" t="s">
        <v>48</v>
      </c>
      <c r="L6141" t="s">
        <v>49</v>
      </c>
      <c r="M6141" t="s">
        <v>220</v>
      </c>
      <c r="N6141">
        <v>14</v>
      </c>
      <c r="O6141">
        <v>2.5798676999999999E-2</v>
      </c>
      <c r="P6141">
        <v>1.6332070000000001E-2</v>
      </c>
      <c r="Q6141" t="str">
        <f t="shared" si="190"/>
        <v>&lt;01</v>
      </c>
      <c r="R6141" t="str">
        <f t="shared" si="191"/>
        <v>[ir8wuHHzoSs]|&lt;01|Male|PLHIV_Attend.T|CY2025Q3</v>
      </c>
    </row>
    <row r="6142" spans="4:18" x14ac:dyDescent="0.2">
      <c r="D6142" t="s">
        <v>114</v>
      </c>
      <c r="E6142" t="s">
        <v>115</v>
      </c>
      <c r="F6142" t="s">
        <v>116</v>
      </c>
      <c r="G6142" t="s">
        <v>221</v>
      </c>
      <c r="H6142" t="s">
        <v>221</v>
      </c>
      <c r="I6142" t="s">
        <v>33</v>
      </c>
      <c r="J6142" t="s">
        <v>34</v>
      </c>
      <c r="K6142" t="s">
        <v>48</v>
      </c>
      <c r="L6142" t="s">
        <v>49</v>
      </c>
      <c r="M6142" t="s">
        <v>220</v>
      </c>
      <c r="N6142">
        <v>262</v>
      </c>
      <c r="O6142">
        <v>3.5470514000000002E-2</v>
      </c>
      <c r="P6142">
        <v>1.6332070000000001E-2</v>
      </c>
      <c r="Q6142" t="str">
        <f t="shared" si="190"/>
        <v>01-09</v>
      </c>
      <c r="R6142" t="str">
        <f t="shared" si="191"/>
        <v>[ir8wuHHzoSs]|01-09|Male|PLHIV_Attend.T|CY2025Q3</v>
      </c>
    </row>
    <row r="6143" spans="4:18" x14ac:dyDescent="0.2">
      <c r="D6143" t="s">
        <v>114</v>
      </c>
      <c r="E6143" t="s">
        <v>115</v>
      </c>
      <c r="F6143" t="s">
        <v>116</v>
      </c>
      <c r="G6143" t="s">
        <v>221</v>
      </c>
      <c r="H6143" t="s">
        <v>221</v>
      </c>
      <c r="I6143" t="s">
        <v>36</v>
      </c>
      <c r="J6143" t="s">
        <v>37</v>
      </c>
      <c r="K6143" t="s">
        <v>48</v>
      </c>
      <c r="L6143" t="s">
        <v>49</v>
      </c>
      <c r="M6143" t="s">
        <v>220</v>
      </c>
      <c r="N6143">
        <v>347</v>
      </c>
      <c r="O6143">
        <v>5.0525017999999998E-2</v>
      </c>
      <c r="P6143">
        <v>1.6332070000000001E-2</v>
      </c>
      <c r="Q6143" t="str">
        <f t="shared" si="190"/>
        <v>10-14</v>
      </c>
      <c r="R6143" t="str">
        <f t="shared" si="191"/>
        <v>[ir8wuHHzoSs]|10-14|Male|PLHIV_Attend.T|CY2025Q3</v>
      </c>
    </row>
    <row r="6144" spans="4:18" x14ac:dyDescent="0.2">
      <c r="D6144" t="s">
        <v>114</v>
      </c>
      <c r="E6144" t="s">
        <v>115</v>
      </c>
      <c r="F6144" t="s">
        <v>116</v>
      </c>
      <c r="G6144" t="s">
        <v>221</v>
      </c>
      <c r="H6144" t="s">
        <v>221</v>
      </c>
      <c r="I6144" t="s">
        <v>38</v>
      </c>
      <c r="J6144" t="s">
        <v>39</v>
      </c>
      <c r="K6144" t="s">
        <v>48</v>
      </c>
      <c r="L6144" t="s">
        <v>49</v>
      </c>
      <c r="M6144" t="s">
        <v>220</v>
      </c>
      <c r="N6144">
        <v>873</v>
      </c>
      <c r="O6144">
        <v>5.9827327E-2</v>
      </c>
      <c r="P6144">
        <v>1.6332070000000001E-2</v>
      </c>
      <c r="Q6144" t="str">
        <f t="shared" si="190"/>
        <v>15-24</v>
      </c>
      <c r="R6144" t="str">
        <f t="shared" si="191"/>
        <v>[ir8wuHHzoSs]|15-24|Male|PLHIV_Attend.T|CY2025Q3</v>
      </c>
    </row>
    <row r="6145" spans="4:18" x14ac:dyDescent="0.2">
      <c r="D6145" t="s">
        <v>114</v>
      </c>
      <c r="E6145" t="s">
        <v>115</v>
      </c>
      <c r="F6145" t="s">
        <v>116</v>
      </c>
      <c r="G6145" t="s">
        <v>221</v>
      </c>
      <c r="H6145" t="s">
        <v>221</v>
      </c>
      <c r="I6145" t="s">
        <v>41</v>
      </c>
      <c r="J6145" t="s">
        <v>42</v>
      </c>
      <c r="K6145" t="s">
        <v>48</v>
      </c>
      <c r="L6145" t="s">
        <v>49</v>
      </c>
      <c r="M6145" t="s">
        <v>220</v>
      </c>
      <c r="N6145">
        <v>900</v>
      </c>
      <c r="O6145">
        <v>6.5541565999999996E-2</v>
      </c>
      <c r="P6145">
        <v>1.6332070000000001E-2</v>
      </c>
      <c r="Q6145" t="str">
        <f t="shared" si="190"/>
        <v>25-34</v>
      </c>
      <c r="R6145" t="str">
        <f t="shared" si="191"/>
        <v>[ir8wuHHzoSs]|25-34|Male|PLHIV_Attend.T|CY2025Q3</v>
      </c>
    </row>
    <row r="6146" spans="4:18" x14ac:dyDescent="0.2">
      <c r="D6146" t="s">
        <v>114</v>
      </c>
      <c r="E6146" t="s">
        <v>115</v>
      </c>
      <c r="F6146" t="s">
        <v>116</v>
      </c>
      <c r="G6146" t="s">
        <v>221</v>
      </c>
      <c r="H6146" t="s">
        <v>221</v>
      </c>
      <c r="I6146" t="s">
        <v>43</v>
      </c>
      <c r="J6146" t="s">
        <v>44</v>
      </c>
      <c r="K6146" t="s">
        <v>48</v>
      </c>
      <c r="L6146" t="s">
        <v>49</v>
      </c>
      <c r="M6146" t="s">
        <v>220</v>
      </c>
      <c r="N6146">
        <v>3189</v>
      </c>
      <c r="O6146">
        <v>3.4771284E-2</v>
      </c>
      <c r="P6146">
        <v>1.6332070000000001E-2</v>
      </c>
      <c r="Q6146" t="str">
        <f t="shared" si="190"/>
        <v>35-49</v>
      </c>
      <c r="R6146" t="str">
        <f t="shared" si="191"/>
        <v>[ir8wuHHzoSs]|35-49|Male|PLHIV_Attend.T|CY2025Q3</v>
      </c>
    </row>
    <row r="6147" spans="4:18" x14ac:dyDescent="0.2">
      <c r="D6147" t="s">
        <v>114</v>
      </c>
      <c r="E6147" t="s">
        <v>115</v>
      </c>
      <c r="F6147" t="s">
        <v>116</v>
      </c>
      <c r="G6147" t="s">
        <v>221</v>
      </c>
      <c r="H6147" t="s">
        <v>221</v>
      </c>
      <c r="I6147" t="s">
        <v>45</v>
      </c>
      <c r="J6147" t="s">
        <v>46</v>
      </c>
      <c r="K6147" t="s">
        <v>48</v>
      </c>
      <c r="L6147" t="s">
        <v>49</v>
      </c>
      <c r="M6147" t="s">
        <v>220</v>
      </c>
      <c r="N6147">
        <v>2715</v>
      </c>
      <c r="O6147">
        <v>3.3332705999999997E-2</v>
      </c>
      <c r="P6147">
        <v>1.6332070000000001E-2</v>
      </c>
      <c r="Q6147" t="str">
        <f t="shared" ref="Q6147:Q6210" si="192">SUBSTITUTE(SUBSTITUTE($I6147,CHAR(61),""),CHAR(34),"")</f>
        <v>50+</v>
      </c>
      <c r="R6147" t="str">
        <f t="shared" ref="R6147:R6210" si="193">IF($D6147&lt;&gt;"","["&amp;$E6147&amp;"]"&amp;"|"&amp;$Q6147&amp;"|"&amp;$K6147&amp;"|"&amp;$G6147&amp;"|"&amp;IF($G6147="TX_CURR_SUBNAT.R","CY2023Q4",$M6147),"")</f>
        <v>[ir8wuHHzoSs]|50+|Male|PLHIV_Attend.T|CY2025Q3</v>
      </c>
    </row>
    <row r="6148" spans="4:18" x14ac:dyDescent="0.2">
      <c r="D6148" t="s">
        <v>117</v>
      </c>
      <c r="E6148" t="s">
        <v>118</v>
      </c>
      <c r="F6148" t="s">
        <v>119</v>
      </c>
      <c r="G6148" t="s">
        <v>221</v>
      </c>
      <c r="H6148" t="s">
        <v>221</v>
      </c>
      <c r="I6148" t="s">
        <v>28</v>
      </c>
      <c r="J6148" t="s">
        <v>29</v>
      </c>
      <c r="K6148" t="s">
        <v>30</v>
      </c>
      <c r="L6148" t="s">
        <v>31</v>
      </c>
      <c r="M6148" t="s">
        <v>220</v>
      </c>
      <c r="N6148">
        <v>23</v>
      </c>
      <c r="O6148">
        <v>1.9934021999999999E-2</v>
      </c>
      <c r="P6148">
        <v>1.2805832E-2</v>
      </c>
      <c r="Q6148" t="str">
        <f t="shared" si="192"/>
        <v>&lt;01</v>
      </c>
      <c r="R6148" t="str">
        <f t="shared" si="193"/>
        <v>[oiPR2CiVJbf]|&lt;01|Female|PLHIV_Attend.T|CY2025Q3</v>
      </c>
    </row>
    <row r="6149" spans="4:18" x14ac:dyDescent="0.2">
      <c r="D6149" t="s">
        <v>117</v>
      </c>
      <c r="E6149" t="s">
        <v>118</v>
      </c>
      <c r="F6149" t="s">
        <v>119</v>
      </c>
      <c r="G6149" t="s">
        <v>221</v>
      </c>
      <c r="H6149" t="s">
        <v>221</v>
      </c>
      <c r="I6149" t="s">
        <v>33</v>
      </c>
      <c r="J6149" t="s">
        <v>34</v>
      </c>
      <c r="K6149" t="s">
        <v>30</v>
      </c>
      <c r="L6149" t="s">
        <v>31</v>
      </c>
      <c r="M6149" t="s">
        <v>220</v>
      </c>
      <c r="N6149">
        <v>391</v>
      </c>
      <c r="O6149">
        <v>2.7077133E-2</v>
      </c>
      <c r="P6149">
        <v>1.2805832E-2</v>
      </c>
      <c r="Q6149" t="str">
        <f t="shared" si="192"/>
        <v>01-09</v>
      </c>
      <c r="R6149" t="str">
        <f t="shared" si="193"/>
        <v>[oiPR2CiVJbf]|01-09|Female|PLHIV_Attend.T|CY2025Q3</v>
      </c>
    </row>
    <row r="6150" spans="4:18" x14ac:dyDescent="0.2">
      <c r="D6150" t="s">
        <v>117</v>
      </c>
      <c r="E6150" t="s">
        <v>118</v>
      </c>
      <c r="F6150" t="s">
        <v>119</v>
      </c>
      <c r="G6150" t="s">
        <v>221</v>
      </c>
      <c r="H6150" t="s">
        <v>221</v>
      </c>
      <c r="I6150" t="s">
        <v>36</v>
      </c>
      <c r="J6150" t="s">
        <v>37</v>
      </c>
      <c r="K6150" t="s">
        <v>30</v>
      </c>
      <c r="L6150" t="s">
        <v>31</v>
      </c>
      <c r="M6150" t="s">
        <v>220</v>
      </c>
      <c r="N6150">
        <v>487</v>
      </c>
      <c r="O6150">
        <v>3.9446067000000001E-2</v>
      </c>
      <c r="P6150">
        <v>1.2805832E-2</v>
      </c>
      <c r="Q6150" t="str">
        <f t="shared" si="192"/>
        <v>10-14</v>
      </c>
      <c r="R6150" t="str">
        <f t="shared" si="193"/>
        <v>[oiPR2CiVJbf]|10-14|Female|PLHIV_Attend.T|CY2025Q3</v>
      </c>
    </row>
    <row r="6151" spans="4:18" x14ac:dyDescent="0.2">
      <c r="D6151" t="s">
        <v>117</v>
      </c>
      <c r="E6151" t="s">
        <v>118</v>
      </c>
      <c r="F6151" t="s">
        <v>119</v>
      </c>
      <c r="G6151" t="s">
        <v>221</v>
      </c>
      <c r="H6151" t="s">
        <v>221</v>
      </c>
      <c r="I6151" t="s">
        <v>38</v>
      </c>
      <c r="J6151" t="s">
        <v>39</v>
      </c>
      <c r="K6151" t="s">
        <v>30</v>
      </c>
      <c r="L6151" t="s">
        <v>31</v>
      </c>
      <c r="M6151" t="s">
        <v>220</v>
      </c>
      <c r="N6151">
        <v>2168</v>
      </c>
      <c r="O6151">
        <v>5.6919846000000003E-2</v>
      </c>
      <c r="P6151">
        <v>1.2805832E-2</v>
      </c>
      <c r="Q6151" t="str">
        <f t="shared" si="192"/>
        <v>15-24</v>
      </c>
      <c r="R6151" t="str">
        <f t="shared" si="193"/>
        <v>[oiPR2CiVJbf]|15-24|Female|PLHIV_Attend.T|CY2025Q3</v>
      </c>
    </row>
    <row r="6152" spans="4:18" x14ac:dyDescent="0.2">
      <c r="D6152" t="s">
        <v>117</v>
      </c>
      <c r="E6152" t="s">
        <v>118</v>
      </c>
      <c r="F6152" t="s">
        <v>119</v>
      </c>
      <c r="G6152" t="s">
        <v>221</v>
      </c>
      <c r="H6152" t="s">
        <v>221</v>
      </c>
      <c r="I6152" t="s">
        <v>41</v>
      </c>
      <c r="J6152" t="s">
        <v>42</v>
      </c>
      <c r="K6152" t="s">
        <v>30</v>
      </c>
      <c r="L6152" t="s">
        <v>31</v>
      </c>
      <c r="M6152" t="s">
        <v>220</v>
      </c>
      <c r="N6152">
        <v>5335</v>
      </c>
      <c r="O6152">
        <v>3.4800737999999998E-2</v>
      </c>
      <c r="P6152">
        <v>1.2805832E-2</v>
      </c>
      <c r="Q6152" t="str">
        <f t="shared" si="192"/>
        <v>25-34</v>
      </c>
      <c r="R6152" t="str">
        <f t="shared" si="193"/>
        <v>[oiPR2CiVJbf]|25-34|Female|PLHIV_Attend.T|CY2025Q3</v>
      </c>
    </row>
    <row r="6153" spans="4:18" x14ac:dyDescent="0.2">
      <c r="D6153" t="s">
        <v>117</v>
      </c>
      <c r="E6153" t="s">
        <v>118</v>
      </c>
      <c r="F6153" t="s">
        <v>119</v>
      </c>
      <c r="G6153" t="s">
        <v>221</v>
      </c>
      <c r="H6153" t="s">
        <v>221</v>
      </c>
      <c r="I6153" t="s">
        <v>43</v>
      </c>
      <c r="J6153" t="s">
        <v>44</v>
      </c>
      <c r="K6153" t="s">
        <v>30</v>
      </c>
      <c r="L6153" t="s">
        <v>31</v>
      </c>
      <c r="M6153" t="s">
        <v>220</v>
      </c>
      <c r="N6153">
        <v>14206</v>
      </c>
      <c r="O6153">
        <v>2.0004208999999998E-2</v>
      </c>
      <c r="P6153">
        <v>1.2805832E-2</v>
      </c>
      <c r="Q6153" t="str">
        <f t="shared" si="192"/>
        <v>35-49</v>
      </c>
      <c r="R6153" t="str">
        <f t="shared" si="193"/>
        <v>[oiPR2CiVJbf]|35-49|Female|PLHIV_Attend.T|CY2025Q3</v>
      </c>
    </row>
    <row r="6154" spans="4:18" x14ac:dyDescent="0.2">
      <c r="D6154" t="s">
        <v>117</v>
      </c>
      <c r="E6154" t="s">
        <v>118</v>
      </c>
      <c r="F6154" t="s">
        <v>119</v>
      </c>
      <c r="G6154" t="s">
        <v>221</v>
      </c>
      <c r="H6154" t="s">
        <v>221</v>
      </c>
      <c r="I6154" t="s">
        <v>45</v>
      </c>
      <c r="J6154" t="s">
        <v>46</v>
      </c>
      <c r="K6154" t="s">
        <v>30</v>
      </c>
      <c r="L6154" t="s">
        <v>31</v>
      </c>
      <c r="M6154" t="s">
        <v>220</v>
      </c>
      <c r="N6154">
        <v>8015</v>
      </c>
      <c r="O6154">
        <v>2.8338559999999999E-2</v>
      </c>
      <c r="P6154">
        <v>1.2805832E-2</v>
      </c>
      <c r="Q6154" t="str">
        <f t="shared" si="192"/>
        <v>50+</v>
      </c>
      <c r="R6154" t="str">
        <f t="shared" si="193"/>
        <v>[oiPR2CiVJbf]|50+|Female|PLHIV_Attend.T|CY2025Q3</v>
      </c>
    </row>
    <row r="6155" spans="4:18" x14ac:dyDescent="0.2">
      <c r="D6155" t="s">
        <v>117</v>
      </c>
      <c r="E6155" t="s">
        <v>118</v>
      </c>
      <c r="F6155" t="s">
        <v>119</v>
      </c>
      <c r="G6155" t="s">
        <v>221</v>
      </c>
      <c r="H6155" t="s">
        <v>221</v>
      </c>
      <c r="I6155" t="s">
        <v>28</v>
      </c>
      <c r="J6155" t="s">
        <v>29</v>
      </c>
      <c r="K6155" t="s">
        <v>48</v>
      </c>
      <c r="L6155" t="s">
        <v>49</v>
      </c>
      <c r="M6155" t="s">
        <v>220</v>
      </c>
      <c r="N6155">
        <v>23</v>
      </c>
      <c r="O6155">
        <v>1.9971035000000002E-2</v>
      </c>
      <c r="P6155">
        <v>1.2805832E-2</v>
      </c>
      <c r="Q6155" t="str">
        <f t="shared" si="192"/>
        <v>&lt;01</v>
      </c>
      <c r="R6155" t="str">
        <f t="shared" si="193"/>
        <v>[oiPR2CiVJbf]|&lt;01|Male|PLHIV_Attend.T|CY2025Q3</v>
      </c>
    </row>
    <row r="6156" spans="4:18" x14ac:dyDescent="0.2">
      <c r="D6156" t="s">
        <v>117</v>
      </c>
      <c r="E6156" t="s">
        <v>118</v>
      </c>
      <c r="F6156" t="s">
        <v>119</v>
      </c>
      <c r="G6156" t="s">
        <v>221</v>
      </c>
      <c r="H6156" t="s">
        <v>221</v>
      </c>
      <c r="I6156" t="s">
        <v>33</v>
      </c>
      <c r="J6156" t="s">
        <v>34</v>
      </c>
      <c r="K6156" t="s">
        <v>48</v>
      </c>
      <c r="L6156" t="s">
        <v>49</v>
      </c>
      <c r="M6156" t="s">
        <v>220</v>
      </c>
      <c r="N6156">
        <v>401</v>
      </c>
      <c r="O6156">
        <v>2.7144384000000001E-2</v>
      </c>
      <c r="P6156">
        <v>1.2805832E-2</v>
      </c>
      <c r="Q6156" t="str">
        <f t="shared" si="192"/>
        <v>01-09</v>
      </c>
      <c r="R6156" t="str">
        <f t="shared" si="193"/>
        <v>[oiPR2CiVJbf]|01-09|Male|PLHIV_Attend.T|CY2025Q3</v>
      </c>
    </row>
    <row r="6157" spans="4:18" x14ac:dyDescent="0.2">
      <c r="D6157" t="s">
        <v>117</v>
      </c>
      <c r="E6157" t="s">
        <v>118</v>
      </c>
      <c r="F6157" t="s">
        <v>119</v>
      </c>
      <c r="G6157" t="s">
        <v>221</v>
      </c>
      <c r="H6157" t="s">
        <v>221</v>
      </c>
      <c r="I6157" t="s">
        <v>36</v>
      </c>
      <c r="J6157" t="s">
        <v>37</v>
      </c>
      <c r="K6157" t="s">
        <v>48</v>
      </c>
      <c r="L6157" t="s">
        <v>49</v>
      </c>
      <c r="M6157" t="s">
        <v>220</v>
      </c>
      <c r="N6157">
        <v>501</v>
      </c>
      <c r="O6157">
        <v>3.9459055E-2</v>
      </c>
      <c r="P6157">
        <v>1.2805832E-2</v>
      </c>
      <c r="Q6157" t="str">
        <f t="shared" si="192"/>
        <v>10-14</v>
      </c>
      <c r="R6157" t="str">
        <f t="shared" si="193"/>
        <v>[oiPR2CiVJbf]|10-14|Male|PLHIV_Attend.T|CY2025Q3</v>
      </c>
    </row>
    <row r="6158" spans="4:18" x14ac:dyDescent="0.2">
      <c r="D6158" t="s">
        <v>117</v>
      </c>
      <c r="E6158" t="s">
        <v>118</v>
      </c>
      <c r="F6158" t="s">
        <v>119</v>
      </c>
      <c r="G6158" t="s">
        <v>221</v>
      </c>
      <c r="H6158" t="s">
        <v>221</v>
      </c>
      <c r="I6158" t="s">
        <v>38</v>
      </c>
      <c r="J6158" t="s">
        <v>39</v>
      </c>
      <c r="K6158" t="s">
        <v>48</v>
      </c>
      <c r="L6158" t="s">
        <v>49</v>
      </c>
      <c r="M6158" t="s">
        <v>220</v>
      </c>
      <c r="N6158">
        <v>1585</v>
      </c>
      <c r="O6158">
        <v>6.4440196000000005E-2</v>
      </c>
      <c r="P6158">
        <v>1.2805832E-2</v>
      </c>
      <c r="Q6158" t="str">
        <f t="shared" si="192"/>
        <v>15-24</v>
      </c>
      <c r="R6158" t="str">
        <f t="shared" si="193"/>
        <v>[oiPR2CiVJbf]|15-24|Male|PLHIV_Attend.T|CY2025Q3</v>
      </c>
    </row>
    <row r="6159" spans="4:18" x14ac:dyDescent="0.2">
      <c r="D6159" t="s">
        <v>117</v>
      </c>
      <c r="E6159" t="s">
        <v>118</v>
      </c>
      <c r="F6159" t="s">
        <v>119</v>
      </c>
      <c r="G6159" t="s">
        <v>221</v>
      </c>
      <c r="H6159" t="s">
        <v>221</v>
      </c>
      <c r="I6159" t="s">
        <v>41</v>
      </c>
      <c r="J6159" t="s">
        <v>42</v>
      </c>
      <c r="K6159" t="s">
        <v>48</v>
      </c>
      <c r="L6159" t="s">
        <v>49</v>
      </c>
      <c r="M6159" t="s">
        <v>220</v>
      </c>
      <c r="N6159">
        <v>2102</v>
      </c>
      <c r="O6159">
        <v>6.2811061000000001E-2</v>
      </c>
      <c r="P6159">
        <v>1.2805832E-2</v>
      </c>
      <c r="Q6159" t="str">
        <f t="shared" si="192"/>
        <v>25-34</v>
      </c>
      <c r="R6159" t="str">
        <f t="shared" si="193"/>
        <v>[oiPR2CiVJbf]|25-34|Male|PLHIV_Attend.T|CY2025Q3</v>
      </c>
    </row>
    <row r="6160" spans="4:18" x14ac:dyDescent="0.2">
      <c r="D6160" t="s">
        <v>117</v>
      </c>
      <c r="E6160" t="s">
        <v>118</v>
      </c>
      <c r="F6160" t="s">
        <v>119</v>
      </c>
      <c r="G6160" t="s">
        <v>221</v>
      </c>
      <c r="H6160" t="s">
        <v>221</v>
      </c>
      <c r="I6160" t="s">
        <v>43</v>
      </c>
      <c r="J6160" t="s">
        <v>44</v>
      </c>
      <c r="K6160" t="s">
        <v>48</v>
      </c>
      <c r="L6160" t="s">
        <v>49</v>
      </c>
      <c r="M6160" t="s">
        <v>220</v>
      </c>
      <c r="N6160">
        <v>7118</v>
      </c>
      <c r="O6160">
        <v>3.1513421E-2</v>
      </c>
      <c r="P6160">
        <v>1.2805832E-2</v>
      </c>
      <c r="Q6160" t="str">
        <f t="shared" si="192"/>
        <v>35-49</v>
      </c>
      <c r="R6160" t="str">
        <f t="shared" si="193"/>
        <v>[oiPR2CiVJbf]|35-49|Male|PLHIV_Attend.T|CY2025Q3</v>
      </c>
    </row>
    <row r="6161" spans="4:18" x14ac:dyDescent="0.2">
      <c r="D6161" t="s">
        <v>117</v>
      </c>
      <c r="E6161" t="s">
        <v>118</v>
      </c>
      <c r="F6161" t="s">
        <v>119</v>
      </c>
      <c r="G6161" t="s">
        <v>221</v>
      </c>
      <c r="H6161" t="s">
        <v>221</v>
      </c>
      <c r="I6161" t="s">
        <v>45</v>
      </c>
      <c r="J6161" t="s">
        <v>46</v>
      </c>
      <c r="K6161" t="s">
        <v>48</v>
      </c>
      <c r="L6161" t="s">
        <v>49</v>
      </c>
      <c r="M6161" t="s">
        <v>220</v>
      </c>
      <c r="N6161">
        <v>5681</v>
      </c>
      <c r="O6161">
        <v>2.9460409999999999E-2</v>
      </c>
      <c r="P6161">
        <v>1.2805832E-2</v>
      </c>
      <c r="Q6161" t="str">
        <f t="shared" si="192"/>
        <v>50+</v>
      </c>
      <c r="R6161" t="str">
        <f t="shared" si="193"/>
        <v>[oiPR2CiVJbf]|50+|Male|PLHIV_Attend.T|CY2025Q3</v>
      </c>
    </row>
    <row r="6162" spans="4:18" x14ac:dyDescent="0.2">
      <c r="D6162" t="s">
        <v>120</v>
      </c>
      <c r="E6162" t="s">
        <v>121</v>
      </c>
      <c r="F6162" t="s">
        <v>122</v>
      </c>
      <c r="G6162" t="s">
        <v>221</v>
      </c>
      <c r="H6162" t="s">
        <v>221</v>
      </c>
      <c r="I6162" t="s">
        <v>28</v>
      </c>
      <c r="J6162" t="s">
        <v>29</v>
      </c>
      <c r="K6162" t="s">
        <v>30</v>
      </c>
      <c r="L6162" t="s">
        <v>31</v>
      </c>
      <c r="M6162" t="s">
        <v>220</v>
      </c>
      <c r="N6162">
        <v>63</v>
      </c>
      <c r="O6162">
        <v>1.6691332999999999E-2</v>
      </c>
      <c r="P6162">
        <v>1.2983285000000001E-2</v>
      </c>
      <c r="Q6162" t="str">
        <f t="shared" si="192"/>
        <v>&lt;01</v>
      </c>
      <c r="R6162" t="str">
        <f t="shared" si="193"/>
        <v>[mxqa3CDFmIT]|&lt;01|Female|PLHIV_Attend.T|CY2025Q3</v>
      </c>
    </row>
    <row r="6163" spans="4:18" x14ac:dyDescent="0.2">
      <c r="D6163" t="s">
        <v>120</v>
      </c>
      <c r="E6163" t="s">
        <v>121</v>
      </c>
      <c r="F6163" t="s">
        <v>122</v>
      </c>
      <c r="G6163" t="s">
        <v>221</v>
      </c>
      <c r="H6163" t="s">
        <v>221</v>
      </c>
      <c r="I6163" t="s">
        <v>33</v>
      </c>
      <c r="J6163" t="s">
        <v>34</v>
      </c>
      <c r="K6163" t="s">
        <v>30</v>
      </c>
      <c r="L6163" t="s">
        <v>31</v>
      </c>
      <c r="M6163" t="s">
        <v>220</v>
      </c>
      <c r="N6163">
        <v>1051</v>
      </c>
      <c r="O6163">
        <v>2.2926443000000001E-2</v>
      </c>
      <c r="P6163">
        <v>1.2983285000000001E-2</v>
      </c>
      <c r="Q6163" t="str">
        <f t="shared" si="192"/>
        <v>01-09</v>
      </c>
      <c r="R6163" t="str">
        <f t="shared" si="193"/>
        <v>[mxqa3CDFmIT]|01-09|Female|PLHIV_Attend.T|CY2025Q3</v>
      </c>
    </row>
    <row r="6164" spans="4:18" x14ac:dyDescent="0.2">
      <c r="D6164" t="s">
        <v>120</v>
      </c>
      <c r="E6164" t="s">
        <v>121</v>
      </c>
      <c r="F6164" t="s">
        <v>122</v>
      </c>
      <c r="G6164" t="s">
        <v>221</v>
      </c>
      <c r="H6164" t="s">
        <v>221</v>
      </c>
      <c r="I6164" t="s">
        <v>36</v>
      </c>
      <c r="J6164" t="s">
        <v>37</v>
      </c>
      <c r="K6164" t="s">
        <v>30</v>
      </c>
      <c r="L6164" t="s">
        <v>31</v>
      </c>
      <c r="M6164" t="s">
        <v>220</v>
      </c>
      <c r="N6164">
        <v>1225</v>
      </c>
      <c r="O6164">
        <v>3.4187848999999999E-2</v>
      </c>
      <c r="P6164">
        <v>1.2983285000000001E-2</v>
      </c>
      <c r="Q6164" t="str">
        <f t="shared" si="192"/>
        <v>10-14</v>
      </c>
      <c r="R6164" t="str">
        <f t="shared" si="193"/>
        <v>[mxqa3CDFmIT]|10-14|Female|PLHIV_Attend.T|CY2025Q3</v>
      </c>
    </row>
    <row r="6165" spans="4:18" x14ac:dyDescent="0.2">
      <c r="D6165" t="s">
        <v>120</v>
      </c>
      <c r="E6165" t="s">
        <v>121</v>
      </c>
      <c r="F6165" t="s">
        <v>122</v>
      </c>
      <c r="G6165" t="s">
        <v>221</v>
      </c>
      <c r="H6165" t="s">
        <v>221</v>
      </c>
      <c r="I6165" t="s">
        <v>38</v>
      </c>
      <c r="J6165" t="s">
        <v>39</v>
      </c>
      <c r="K6165" t="s">
        <v>30</v>
      </c>
      <c r="L6165" t="s">
        <v>31</v>
      </c>
      <c r="M6165" t="s">
        <v>220</v>
      </c>
      <c r="N6165">
        <v>5773</v>
      </c>
      <c r="O6165">
        <v>5.3736235E-2</v>
      </c>
      <c r="P6165">
        <v>1.2983285000000001E-2</v>
      </c>
      <c r="Q6165" t="str">
        <f t="shared" si="192"/>
        <v>15-24</v>
      </c>
      <c r="R6165" t="str">
        <f t="shared" si="193"/>
        <v>[mxqa3CDFmIT]|15-24|Female|PLHIV_Attend.T|CY2025Q3</v>
      </c>
    </row>
    <row r="6166" spans="4:18" x14ac:dyDescent="0.2">
      <c r="D6166" t="s">
        <v>120</v>
      </c>
      <c r="E6166" t="s">
        <v>121</v>
      </c>
      <c r="F6166" t="s">
        <v>122</v>
      </c>
      <c r="G6166" t="s">
        <v>221</v>
      </c>
      <c r="H6166" t="s">
        <v>221</v>
      </c>
      <c r="I6166" t="s">
        <v>41</v>
      </c>
      <c r="J6166" t="s">
        <v>42</v>
      </c>
      <c r="K6166" t="s">
        <v>30</v>
      </c>
      <c r="L6166" t="s">
        <v>31</v>
      </c>
      <c r="M6166" t="s">
        <v>220</v>
      </c>
      <c r="N6166">
        <v>16232</v>
      </c>
      <c r="O6166">
        <v>3.4813601E-2</v>
      </c>
      <c r="P6166">
        <v>1.2983285000000001E-2</v>
      </c>
      <c r="Q6166" t="str">
        <f t="shared" si="192"/>
        <v>25-34</v>
      </c>
      <c r="R6166" t="str">
        <f t="shared" si="193"/>
        <v>[mxqa3CDFmIT]|25-34|Female|PLHIV_Attend.T|CY2025Q3</v>
      </c>
    </row>
    <row r="6167" spans="4:18" x14ac:dyDescent="0.2">
      <c r="D6167" t="s">
        <v>120</v>
      </c>
      <c r="E6167" t="s">
        <v>121</v>
      </c>
      <c r="F6167" t="s">
        <v>122</v>
      </c>
      <c r="G6167" t="s">
        <v>221</v>
      </c>
      <c r="H6167" t="s">
        <v>221</v>
      </c>
      <c r="I6167" t="s">
        <v>43</v>
      </c>
      <c r="J6167" t="s">
        <v>44</v>
      </c>
      <c r="K6167" t="s">
        <v>30</v>
      </c>
      <c r="L6167" t="s">
        <v>31</v>
      </c>
      <c r="M6167" t="s">
        <v>220</v>
      </c>
      <c r="N6167">
        <v>38696</v>
      </c>
      <c r="O6167">
        <v>1.7126497000000001E-2</v>
      </c>
      <c r="P6167">
        <v>1.2983285000000001E-2</v>
      </c>
      <c r="Q6167" t="str">
        <f t="shared" si="192"/>
        <v>35-49</v>
      </c>
      <c r="R6167" t="str">
        <f t="shared" si="193"/>
        <v>[mxqa3CDFmIT]|35-49|Female|PLHIV_Attend.T|CY2025Q3</v>
      </c>
    </row>
    <row r="6168" spans="4:18" x14ac:dyDescent="0.2">
      <c r="D6168" t="s">
        <v>120</v>
      </c>
      <c r="E6168" t="s">
        <v>121</v>
      </c>
      <c r="F6168" t="s">
        <v>122</v>
      </c>
      <c r="G6168" t="s">
        <v>221</v>
      </c>
      <c r="H6168" t="s">
        <v>221</v>
      </c>
      <c r="I6168" t="s">
        <v>45</v>
      </c>
      <c r="J6168" t="s">
        <v>46</v>
      </c>
      <c r="K6168" t="s">
        <v>30</v>
      </c>
      <c r="L6168" t="s">
        <v>31</v>
      </c>
      <c r="M6168" t="s">
        <v>220</v>
      </c>
      <c r="N6168">
        <v>15421</v>
      </c>
      <c r="O6168">
        <v>3.2948180000000001E-2</v>
      </c>
      <c r="P6168">
        <v>1.2983285000000001E-2</v>
      </c>
      <c r="Q6168" t="str">
        <f t="shared" si="192"/>
        <v>50+</v>
      </c>
      <c r="R6168" t="str">
        <f t="shared" si="193"/>
        <v>[mxqa3CDFmIT]|50+|Female|PLHIV_Attend.T|CY2025Q3</v>
      </c>
    </row>
    <row r="6169" spans="4:18" x14ac:dyDescent="0.2">
      <c r="D6169" t="s">
        <v>120</v>
      </c>
      <c r="E6169" t="s">
        <v>121</v>
      </c>
      <c r="F6169" t="s">
        <v>122</v>
      </c>
      <c r="G6169" t="s">
        <v>221</v>
      </c>
      <c r="H6169" t="s">
        <v>221</v>
      </c>
      <c r="I6169" t="s">
        <v>28</v>
      </c>
      <c r="J6169" t="s">
        <v>29</v>
      </c>
      <c r="K6169" t="s">
        <v>48</v>
      </c>
      <c r="L6169" t="s">
        <v>49</v>
      </c>
      <c r="M6169" t="s">
        <v>220</v>
      </c>
      <c r="N6169">
        <v>63</v>
      </c>
      <c r="O6169">
        <v>1.6672559E-2</v>
      </c>
      <c r="P6169">
        <v>1.2983285000000001E-2</v>
      </c>
      <c r="Q6169" t="str">
        <f t="shared" si="192"/>
        <v>&lt;01</v>
      </c>
      <c r="R6169" t="str">
        <f t="shared" si="193"/>
        <v>[mxqa3CDFmIT]|&lt;01|Male|PLHIV_Attend.T|CY2025Q3</v>
      </c>
    </row>
    <row r="6170" spans="4:18" x14ac:dyDescent="0.2">
      <c r="D6170" t="s">
        <v>120</v>
      </c>
      <c r="E6170" t="s">
        <v>121</v>
      </c>
      <c r="F6170" t="s">
        <v>122</v>
      </c>
      <c r="G6170" t="s">
        <v>221</v>
      </c>
      <c r="H6170" t="s">
        <v>221</v>
      </c>
      <c r="I6170" t="s">
        <v>33</v>
      </c>
      <c r="J6170" t="s">
        <v>34</v>
      </c>
      <c r="K6170" t="s">
        <v>48</v>
      </c>
      <c r="L6170" t="s">
        <v>49</v>
      </c>
      <c r="M6170" t="s">
        <v>220</v>
      </c>
      <c r="N6170">
        <v>1063</v>
      </c>
      <c r="O6170">
        <v>2.2918329000000001E-2</v>
      </c>
      <c r="P6170">
        <v>1.2983285000000001E-2</v>
      </c>
      <c r="Q6170" t="str">
        <f t="shared" si="192"/>
        <v>01-09</v>
      </c>
      <c r="R6170" t="str">
        <f t="shared" si="193"/>
        <v>[mxqa3CDFmIT]|01-09|Male|PLHIV_Attend.T|CY2025Q3</v>
      </c>
    </row>
    <row r="6171" spans="4:18" x14ac:dyDescent="0.2">
      <c r="D6171" t="s">
        <v>120</v>
      </c>
      <c r="E6171" t="s">
        <v>121</v>
      </c>
      <c r="F6171" t="s">
        <v>122</v>
      </c>
      <c r="G6171" t="s">
        <v>221</v>
      </c>
      <c r="H6171" t="s">
        <v>221</v>
      </c>
      <c r="I6171" t="s">
        <v>36</v>
      </c>
      <c r="J6171" t="s">
        <v>37</v>
      </c>
      <c r="K6171" t="s">
        <v>48</v>
      </c>
      <c r="L6171" t="s">
        <v>49</v>
      </c>
      <c r="M6171" t="s">
        <v>220</v>
      </c>
      <c r="N6171">
        <v>1224</v>
      </c>
      <c r="O6171">
        <v>3.4196800999999999E-2</v>
      </c>
      <c r="P6171">
        <v>1.2983285000000001E-2</v>
      </c>
      <c r="Q6171" t="str">
        <f t="shared" si="192"/>
        <v>10-14</v>
      </c>
      <c r="R6171" t="str">
        <f t="shared" si="193"/>
        <v>[mxqa3CDFmIT]|10-14|Male|PLHIV_Attend.T|CY2025Q3</v>
      </c>
    </row>
    <row r="6172" spans="4:18" x14ac:dyDescent="0.2">
      <c r="D6172" t="s">
        <v>120</v>
      </c>
      <c r="E6172" t="s">
        <v>121</v>
      </c>
      <c r="F6172" t="s">
        <v>122</v>
      </c>
      <c r="G6172" t="s">
        <v>221</v>
      </c>
      <c r="H6172" t="s">
        <v>221</v>
      </c>
      <c r="I6172" t="s">
        <v>38</v>
      </c>
      <c r="J6172" t="s">
        <v>39</v>
      </c>
      <c r="K6172" t="s">
        <v>48</v>
      </c>
      <c r="L6172" t="s">
        <v>49</v>
      </c>
      <c r="M6172" t="s">
        <v>220</v>
      </c>
      <c r="N6172">
        <v>4035</v>
      </c>
      <c r="O6172">
        <v>6.5585289000000005E-2</v>
      </c>
      <c r="P6172">
        <v>1.2983285000000001E-2</v>
      </c>
      <c r="Q6172" t="str">
        <f t="shared" si="192"/>
        <v>15-24</v>
      </c>
      <c r="R6172" t="str">
        <f t="shared" si="193"/>
        <v>[mxqa3CDFmIT]|15-24|Male|PLHIV_Attend.T|CY2025Q3</v>
      </c>
    </row>
    <row r="6173" spans="4:18" x14ac:dyDescent="0.2">
      <c r="D6173" t="s">
        <v>120</v>
      </c>
      <c r="E6173" t="s">
        <v>121</v>
      </c>
      <c r="F6173" t="s">
        <v>122</v>
      </c>
      <c r="G6173" t="s">
        <v>221</v>
      </c>
      <c r="H6173" t="s">
        <v>221</v>
      </c>
      <c r="I6173" t="s">
        <v>41</v>
      </c>
      <c r="J6173" t="s">
        <v>42</v>
      </c>
      <c r="K6173" t="s">
        <v>48</v>
      </c>
      <c r="L6173" t="s">
        <v>49</v>
      </c>
      <c r="M6173" t="s">
        <v>220</v>
      </c>
      <c r="N6173">
        <v>6975</v>
      </c>
      <c r="O6173">
        <v>6.2678189999999995E-2</v>
      </c>
      <c r="P6173">
        <v>1.2983285000000001E-2</v>
      </c>
      <c r="Q6173" t="str">
        <f t="shared" si="192"/>
        <v>25-34</v>
      </c>
      <c r="R6173" t="str">
        <f t="shared" si="193"/>
        <v>[mxqa3CDFmIT]|25-34|Male|PLHIV_Attend.T|CY2025Q3</v>
      </c>
    </row>
    <row r="6174" spans="4:18" x14ac:dyDescent="0.2">
      <c r="D6174" t="s">
        <v>120</v>
      </c>
      <c r="E6174" t="s">
        <v>121</v>
      </c>
      <c r="F6174" t="s">
        <v>122</v>
      </c>
      <c r="G6174" t="s">
        <v>221</v>
      </c>
      <c r="H6174" t="s">
        <v>221</v>
      </c>
      <c r="I6174" t="s">
        <v>43</v>
      </c>
      <c r="J6174" t="s">
        <v>44</v>
      </c>
      <c r="K6174" t="s">
        <v>48</v>
      </c>
      <c r="L6174" t="s">
        <v>49</v>
      </c>
      <c r="M6174" t="s">
        <v>220</v>
      </c>
      <c r="N6174">
        <v>24189</v>
      </c>
      <c r="O6174">
        <v>2.9354068000000001E-2</v>
      </c>
      <c r="P6174">
        <v>1.2983285000000001E-2</v>
      </c>
      <c r="Q6174" t="str">
        <f t="shared" si="192"/>
        <v>35-49</v>
      </c>
      <c r="R6174" t="str">
        <f t="shared" si="193"/>
        <v>[mxqa3CDFmIT]|35-49|Male|PLHIV_Attend.T|CY2025Q3</v>
      </c>
    </row>
    <row r="6175" spans="4:18" x14ac:dyDescent="0.2">
      <c r="D6175" t="s">
        <v>120</v>
      </c>
      <c r="E6175" t="s">
        <v>121</v>
      </c>
      <c r="F6175" t="s">
        <v>122</v>
      </c>
      <c r="G6175" t="s">
        <v>221</v>
      </c>
      <c r="H6175" t="s">
        <v>221</v>
      </c>
      <c r="I6175" t="s">
        <v>45</v>
      </c>
      <c r="J6175" t="s">
        <v>46</v>
      </c>
      <c r="K6175" t="s">
        <v>48</v>
      </c>
      <c r="L6175" t="s">
        <v>49</v>
      </c>
      <c r="M6175" t="s">
        <v>220</v>
      </c>
      <c r="N6175">
        <v>15353</v>
      </c>
      <c r="O6175">
        <v>3.0844448E-2</v>
      </c>
      <c r="P6175">
        <v>1.2983285000000001E-2</v>
      </c>
      <c r="Q6175" t="str">
        <f t="shared" si="192"/>
        <v>50+</v>
      </c>
      <c r="R6175" t="str">
        <f t="shared" si="193"/>
        <v>[mxqa3CDFmIT]|50+|Male|PLHIV_Attend.T|CY2025Q3</v>
      </c>
    </row>
    <row r="6176" spans="4:18" x14ac:dyDescent="0.2">
      <c r="D6176" t="s">
        <v>123</v>
      </c>
      <c r="E6176" t="s">
        <v>124</v>
      </c>
      <c r="F6176" t="s">
        <v>125</v>
      </c>
      <c r="G6176" t="s">
        <v>221</v>
      </c>
      <c r="H6176" t="s">
        <v>221</v>
      </c>
      <c r="I6176" t="s">
        <v>28</v>
      </c>
      <c r="J6176" t="s">
        <v>29</v>
      </c>
      <c r="K6176" t="s">
        <v>30</v>
      </c>
      <c r="L6176" t="s">
        <v>31</v>
      </c>
      <c r="M6176" t="s">
        <v>220</v>
      </c>
      <c r="N6176">
        <v>4</v>
      </c>
      <c r="O6176">
        <v>2.7198376E-2</v>
      </c>
      <c r="P6176">
        <v>1.9888922E-2</v>
      </c>
      <c r="Q6176" t="str">
        <f t="shared" si="192"/>
        <v>&lt;01</v>
      </c>
      <c r="R6176" t="str">
        <f t="shared" si="193"/>
        <v>[wNqJp8oRIcF]|&lt;01|Female|PLHIV_Attend.T|CY2025Q3</v>
      </c>
    </row>
    <row r="6177" spans="4:18" x14ac:dyDescent="0.2">
      <c r="D6177" t="s">
        <v>123</v>
      </c>
      <c r="E6177" t="s">
        <v>124</v>
      </c>
      <c r="F6177" t="s">
        <v>125</v>
      </c>
      <c r="G6177" t="s">
        <v>221</v>
      </c>
      <c r="H6177" t="s">
        <v>221</v>
      </c>
      <c r="I6177" t="s">
        <v>33</v>
      </c>
      <c r="J6177" t="s">
        <v>34</v>
      </c>
      <c r="K6177" t="s">
        <v>30</v>
      </c>
      <c r="L6177" t="s">
        <v>31</v>
      </c>
      <c r="M6177" t="s">
        <v>220</v>
      </c>
      <c r="N6177">
        <v>83</v>
      </c>
      <c r="O6177">
        <v>3.5749719999999999E-2</v>
      </c>
      <c r="P6177">
        <v>1.9888922E-2</v>
      </c>
      <c r="Q6177" t="str">
        <f t="shared" si="192"/>
        <v>01-09</v>
      </c>
      <c r="R6177" t="str">
        <f t="shared" si="193"/>
        <v>[wNqJp8oRIcF]|01-09|Female|PLHIV_Attend.T|CY2025Q3</v>
      </c>
    </row>
    <row r="6178" spans="4:18" x14ac:dyDescent="0.2">
      <c r="D6178" t="s">
        <v>123</v>
      </c>
      <c r="E6178" t="s">
        <v>124</v>
      </c>
      <c r="F6178" t="s">
        <v>125</v>
      </c>
      <c r="G6178" t="s">
        <v>221</v>
      </c>
      <c r="H6178" t="s">
        <v>221</v>
      </c>
      <c r="I6178" t="s">
        <v>36</v>
      </c>
      <c r="J6178" t="s">
        <v>37</v>
      </c>
      <c r="K6178" t="s">
        <v>30</v>
      </c>
      <c r="L6178" t="s">
        <v>31</v>
      </c>
      <c r="M6178" t="s">
        <v>220</v>
      </c>
      <c r="N6178">
        <v>103</v>
      </c>
      <c r="O6178">
        <v>4.9785477000000002E-2</v>
      </c>
      <c r="P6178">
        <v>1.9888922E-2</v>
      </c>
      <c r="Q6178" t="str">
        <f t="shared" si="192"/>
        <v>10-14</v>
      </c>
      <c r="R6178" t="str">
        <f t="shared" si="193"/>
        <v>[wNqJp8oRIcF]|10-14|Female|PLHIV_Attend.T|CY2025Q3</v>
      </c>
    </row>
    <row r="6179" spans="4:18" x14ac:dyDescent="0.2">
      <c r="D6179" t="s">
        <v>123</v>
      </c>
      <c r="E6179" t="s">
        <v>124</v>
      </c>
      <c r="F6179" t="s">
        <v>125</v>
      </c>
      <c r="G6179" t="s">
        <v>221</v>
      </c>
      <c r="H6179" t="s">
        <v>221</v>
      </c>
      <c r="I6179" t="s">
        <v>38</v>
      </c>
      <c r="J6179" t="s">
        <v>39</v>
      </c>
      <c r="K6179" t="s">
        <v>30</v>
      </c>
      <c r="L6179" t="s">
        <v>31</v>
      </c>
      <c r="M6179" t="s">
        <v>220</v>
      </c>
      <c r="N6179">
        <v>412</v>
      </c>
      <c r="O6179">
        <v>5.6759575999999999E-2</v>
      </c>
      <c r="P6179">
        <v>1.9888922E-2</v>
      </c>
      <c r="Q6179" t="str">
        <f t="shared" si="192"/>
        <v>15-24</v>
      </c>
      <c r="R6179" t="str">
        <f t="shared" si="193"/>
        <v>[wNqJp8oRIcF]|15-24|Female|PLHIV_Attend.T|CY2025Q3</v>
      </c>
    </row>
    <row r="6180" spans="4:18" x14ac:dyDescent="0.2">
      <c r="D6180" t="s">
        <v>123</v>
      </c>
      <c r="E6180" t="s">
        <v>124</v>
      </c>
      <c r="F6180" t="s">
        <v>125</v>
      </c>
      <c r="G6180" t="s">
        <v>221</v>
      </c>
      <c r="H6180" t="s">
        <v>221</v>
      </c>
      <c r="I6180" t="s">
        <v>41</v>
      </c>
      <c r="J6180" t="s">
        <v>42</v>
      </c>
      <c r="K6180" t="s">
        <v>30</v>
      </c>
      <c r="L6180" t="s">
        <v>31</v>
      </c>
      <c r="M6180" t="s">
        <v>220</v>
      </c>
      <c r="N6180">
        <v>1016</v>
      </c>
      <c r="O6180">
        <v>4.1719197E-2</v>
      </c>
      <c r="P6180">
        <v>1.9888922E-2</v>
      </c>
      <c r="Q6180" t="str">
        <f t="shared" si="192"/>
        <v>25-34</v>
      </c>
      <c r="R6180" t="str">
        <f t="shared" si="193"/>
        <v>[wNqJp8oRIcF]|25-34|Female|PLHIV_Attend.T|CY2025Q3</v>
      </c>
    </row>
    <row r="6181" spans="4:18" x14ac:dyDescent="0.2">
      <c r="D6181" t="s">
        <v>123</v>
      </c>
      <c r="E6181" t="s">
        <v>124</v>
      </c>
      <c r="F6181" t="s">
        <v>125</v>
      </c>
      <c r="G6181" t="s">
        <v>221</v>
      </c>
      <c r="H6181" t="s">
        <v>221</v>
      </c>
      <c r="I6181" t="s">
        <v>43</v>
      </c>
      <c r="J6181" t="s">
        <v>44</v>
      </c>
      <c r="K6181" t="s">
        <v>30</v>
      </c>
      <c r="L6181" t="s">
        <v>31</v>
      </c>
      <c r="M6181" t="s">
        <v>220</v>
      </c>
      <c r="N6181">
        <v>2634</v>
      </c>
      <c r="O6181">
        <v>2.4714633E-2</v>
      </c>
      <c r="P6181">
        <v>1.9888922E-2</v>
      </c>
      <c r="Q6181" t="str">
        <f t="shared" si="192"/>
        <v>35-49</v>
      </c>
      <c r="R6181" t="str">
        <f t="shared" si="193"/>
        <v>[wNqJp8oRIcF]|35-49|Female|PLHIV_Attend.T|CY2025Q3</v>
      </c>
    </row>
    <row r="6182" spans="4:18" x14ac:dyDescent="0.2">
      <c r="D6182" t="s">
        <v>123</v>
      </c>
      <c r="E6182" t="s">
        <v>124</v>
      </c>
      <c r="F6182" t="s">
        <v>125</v>
      </c>
      <c r="G6182" t="s">
        <v>221</v>
      </c>
      <c r="H6182" t="s">
        <v>221</v>
      </c>
      <c r="I6182" t="s">
        <v>45</v>
      </c>
      <c r="J6182" t="s">
        <v>46</v>
      </c>
      <c r="K6182" t="s">
        <v>30</v>
      </c>
      <c r="L6182" t="s">
        <v>31</v>
      </c>
      <c r="M6182" t="s">
        <v>220</v>
      </c>
      <c r="N6182">
        <v>1309</v>
      </c>
      <c r="O6182">
        <v>3.6695357999999997E-2</v>
      </c>
      <c r="P6182">
        <v>1.9888922E-2</v>
      </c>
      <c r="Q6182" t="str">
        <f t="shared" si="192"/>
        <v>50+</v>
      </c>
      <c r="R6182" t="str">
        <f t="shared" si="193"/>
        <v>[wNqJp8oRIcF]|50+|Female|PLHIV_Attend.T|CY2025Q3</v>
      </c>
    </row>
    <row r="6183" spans="4:18" x14ac:dyDescent="0.2">
      <c r="D6183" t="s">
        <v>123</v>
      </c>
      <c r="E6183" t="s">
        <v>124</v>
      </c>
      <c r="F6183" t="s">
        <v>125</v>
      </c>
      <c r="G6183" t="s">
        <v>221</v>
      </c>
      <c r="H6183" t="s">
        <v>221</v>
      </c>
      <c r="I6183" t="s">
        <v>28</v>
      </c>
      <c r="J6183" t="s">
        <v>29</v>
      </c>
      <c r="K6183" t="s">
        <v>48</v>
      </c>
      <c r="L6183" t="s">
        <v>49</v>
      </c>
      <c r="M6183" t="s">
        <v>220</v>
      </c>
      <c r="N6183">
        <v>5</v>
      </c>
      <c r="O6183">
        <v>2.7167763000000001E-2</v>
      </c>
      <c r="P6183">
        <v>1.9888922E-2</v>
      </c>
      <c r="Q6183" t="str">
        <f t="shared" si="192"/>
        <v>&lt;01</v>
      </c>
      <c r="R6183" t="str">
        <f t="shared" si="193"/>
        <v>[wNqJp8oRIcF]|&lt;01|Male|PLHIV_Attend.T|CY2025Q3</v>
      </c>
    </row>
    <row r="6184" spans="4:18" x14ac:dyDescent="0.2">
      <c r="D6184" t="s">
        <v>123</v>
      </c>
      <c r="E6184" t="s">
        <v>124</v>
      </c>
      <c r="F6184" t="s">
        <v>125</v>
      </c>
      <c r="G6184" t="s">
        <v>221</v>
      </c>
      <c r="H6184" t="s">
        <v>221</v>
      </c>
      <c r="I6184" t="s">
        <v>33</v>
      </c>
      <c r="J6184" t="s">
        <v>34</v>
      </c>
      <c r="K6184" t="s">
        <v>48</v>
      </c>
      <c r="L6184" t="s">
        <v>49</v>
      </c>
      <c r="M6184" t="s">
        <v>220</v>
      </c>
      <c r="N6184">
        <v>83</v>
      </c>
      <c r="O6184">
        <v>3.5708555000000003E-2</v>
      </c>
      <c r="P6184">
        <v>1.9888922E-2</v>
      </c>
      <c r="Q6184" t="str">
        <f t="shared" si="192"/>
        <v>01-09</v>
      </c>
      <c r="R6184" t="str">
        <f t="shared" si="193"/>
        <v>[wNqJp8oRIcF]|01-09|Male|PLHIV_Attend.T|CY2025Q3</v>
      </c>
    </row>
    <row r="6185" spans="4:18" x14ac:dyDescent="0.2">
      <c r="D6185" t="s">
        <v>123</v>
      </c>
      <c r="E6185" t="s">
        <v>124</v>
      </c>
      <c r="F6185" t="s">
        <v>125</v>
      </c>
      <c r="G6185" t="s">
        <v>221</v>
      </c>
      <c r="H6185" t="s">
        <v>221</v>
      </c>
      <c r="I6185" t="s">
        <v>36</v>
      </c>
      <c r="J6185" t="s">
        <v>37</v>
      </c>
      <c r="K6185" t="s">
        <v>48</v>
      </c>
      <c r="L6185" t="s">
        <v>49</v>
      </c>
      <c r="M6185" t="s">
        <v>220</v>
      </c>
      <c r="N6185">
        <v>104</v>
      </c>
      <c r="O6185">
        <v>4.9717853999999999E-2</v>
      </c>
      <c r="P6185">
        <v>1.9888922E-2</v>
      </c>
      <c r="Q6185" t="str">
        <f t="shared" si="192"/>
        <v>10-14</v>
      </c>
      <c r="R6185" t="str">
        <f t="shared" si="193"/>
        <v>[wNqJp8oRIcF]|10-14|Male|PLHIV_Attend.T|CY2025Q3</v>
      </c>
    </row>
    <row r="6186" spans="4:18" x14ac:dyDescent="0.2">
      <c r="D6186" t="s">
        <v>123</v>
      </c>
      <c r="E6186" t="s">
        <v>124</v>
      </c>
      <c r="F6186" t="s">
        <v>125</v>
      </c>
      <c r="G6186" t="s">
        <v>221</v>
      </c>
      <c r="H6186" t="s">
        <v>221</v>
      </c>
      <c r="I6186" t="s">
        <v>38</v>
      </c>
      <c r="J6186" t="s">
        <v>39</v>
      </c>
      <c r="K6186" t="s">
        <v>48</v>
      </c>
      <c r="L6186" t="s">
        <v>49</v>
      </c>
      <c r="M6186" t="s">
        <v>220</v>
      </c>
      <c r="N6186">
        <v>289</v>
      </c>
      <c r="O6186">
        <v>6.4386094000000005E-2</v>
      </c>
      <c r="P6186">
        <v>1.9888922E-2</v>
      </c>
      <c r="Q6186" t="str">
        <f t="shared" si="192"/>
        <v>15-24</v>
      </c>
      <c r="R6186" t="str">
        <f t="shared" si="193"/>
        <v>[wNqJp8oRIcF]|15-24|Male|PLHIV_Attend.T|CY2025Q3</v>
      </c>
    </row>
    <row r="6187" spans="4:18" x14ac:dyDescent="0.2">
      <c r="D6187" t="s">
        <v>123</v>
      </c>
      <c r="E6187" t="s">
        <v>124</v>
      </c>
      <c r="F6187" t="s">
        <v>125</v>
      </c>
      <c r="G6187" t="s">
        <v>221</v>
      </c>
      <c r="H6187" t="s">
        <v>221</v>
      </c>
      <c r="I6187" t="s">
        <v>41</v>
      </c>
      <c r="J6187" t="s">
        <v>42</v>
      </c>
      <c r="K6187" t="s">
        <v>48</v>
      </c>
      <c r="L6187" t="s">
        <v>49</v>
      </c>
      <c r="M6187" t="s">
        <v>220</v>
      </c>
      <c r="N6187">
        <v>385</v>
      </c>
      <c r="O6187">
        <v>6.7963813999999997E-2</v>
      </c>
      <c r="P6187">
        <v>1.9888922E-2</v>
      </c>
      <c r="Q6187" t="str">
        <f t="shared" si="192"/>
        <v>25-34</v>
      </c>
      <c r="R6187" t="str">
        <f t="shared" si="193"/>
        <v>[wNqJp8oRIcF]|25-34|Male|PLHIV_Attend.T|CY2025Q3</v>
      </c>
    </row>
    <row r="6188" spans="4:18" x14ac:dyDescent="0.2">
      <c r="D6188" t="s">
        <v>123</v>
      </c>
      <c r="E6188" t="s">
        <v>124</v>
      </c>
      <c r="F6188" t="s">
        <v>125</v>
      </c>
      <c r="G6188" t="s">
        <v>221</v>
      </c>
      <c r="H6188" t="s">
        <v>221</v>
      </c>
      <c r="I6188" t="s">
        <v>43</v>
      </c>
      <c r="J6188" t="s">
        <v>44</v>
      </c>
      <c r="K6188" t="s">
        <v>48</v>
      </c>
      <c r="L6188" t="s">
        <v>49</v>
      </c>
      <c r="M6188" t="s">
        <v>220</v>
      </c>
      <c r="N6188">
        <v>1356</v>
      </c>
      <c r="O6188">
        <v>3.6835380000000001E-2</v>
      </c>
      <c r="P6188">
        <v>1.9888922E-2</v>
      </c>
      <c r="Q6188" t="str">
        <f t="shared" si="192"/>
        <v>35-49</v>
      </c>
      <c r="R6188" t="str">
        <f t="shared" si="193"/>
        <v>[wNqJp8oRIcF]|35-49|Male|PLHIV_Attend.T|CY2025Q3</v>
      </c>
    </row>
    <row r="6189" spans="4:18" x14ac:dyDescent="0.2">
      <c r="D6189" t="s">
        <v>123</v>
      </c>
      <c r="E6189" t="s">
        <v>124</v>
      </c>
      <c r="F6189" t="s">
        <v>125</v>
      </c>
      <c r="G6189" t="s">
        <v>221</v>
      </c>
      <c r="H6189" t="s">
        <v>221</v>
      </c>
      <c r="I6189" t="s">
        <v>45</v>
      </c>
      <c r="J6189" t="s">
        <v>46</v>
      </c>
      <c r="K6189" t="s">
        <v>48</v>
      </c>
      <c r="L6189" t="s">
        <v>49</v>
      </c>
      <c r="M6189" t="s">
        <v>220</v>
      </c>
      <c r="N6189">
        <v>1035</v>
      </c>
      <c r="O6189">
        <v>3.8294157000000002E-2</v>
      </c>
      <c r="P6189">
        <v>1.9888922E-2</v>
      </c>
      <c r="Q6189" t="str">
        <f t="shared" si="192"/>
        <v>50+</v>
      </c>
      <c r="R6189" t="str">
        <f t="shared" si="193"/>
        <v>[wNqJp8oRIcF]|50+|Male|PLHIV_Attend.T|CY2025Q3</v>
      </c>
    </row>
    <row r="6190" spans="4:18" x14ac:dyDescent="0.2">
      <c r="D6190" t="s">
        <v>126</v>
      </c>
      <c r="E6190" t="s">
        <v>127</v>
      </c>
      <c r="F6190" t="s">
        <v>128</v>
      </c>
      <c r="G6190" t="s">
        <v>221</v>
      </c>
      <c r="H6190" t="s">
        <v>221</v>
      </c>
      <c r="I6190" t="s">
        <v>28</v>
      </c>
      <c r="J6190" t="s">
        <v>29</v>
      </c>
      <c r="K6190" t="s">
        <v>30</v>
      </c>
      <c r="L6190" t="s">
        <v>31</v>
      </c>
      <c r="M6190" t="s">
        <v>220</v>
      </c>
      <c r="N6190">
        <v>30</v>
      </c>
      <c r="O6190">
        <v>2.1954916000000001E-2</v>
      </c>
      <c r="P6190">
        <v>1.2117764E-2</v>
      </c>
      <c r="Q6190" t="str">
        <f t="shared" si="192"/>
        <v>&lt;01</v>
      </c>
      <c r="R6190" t="str">
        <f t="shared" si="193"/>
        <v>[ul0y9diGujK]|&lt;01|Female|PLHIV_Attend.T|CY2025Q3</v>
      </c>
    </row>
    <row r="6191" spans="4:18" x14ac:dyDescent="0.2">
      <c r="D6191" t="s">
        <v>126</v>
      </c>
      <c r="E6191" t="s">
        <v>127</v>
      </c>
      <c r="F6191" t="s">
        <v>128</v>
      </c>
      <c r="G6191" t="s">
        <v>221</v>
      </c>
      <c r="H6191" t="s">
        <v>221</v>
      </c>
      <c r="I6191" t="s">
        <v>33</v>
      </c>
      <c r="J6191" t="s">
        <v>34</v>
      </c>
      <c r="K6191" t="s">
        <v>30</v>
      </c>
      <c r="L6191" t="s">
        <v>31</v>
      </c>
      <c r="M6191" t="s">
        <v>220</v>
      </c>
      <c r="N6191">
        <v>527</v>
      </c>
      <c r="O6191">
        <v>3.2995926000000002E-2</v>
      </c>
      <c r="P6191">
        <v>1.2117764E-2</v>
      </c>
      <c r="Q6191" t="str">
        <f t="shared" si="192"/>
        <v>01-09</v>
      </c>
      <c r="R6191" t="str">
        <f t="shared" si="193"/>
        <v>[ul0y9diGujK]|01-09|Female|PLHIV_Attend.T|CY2025Q3</v>
      </c>
    </row>
    <row r="6192" spans="4:18" x14ac:dyDescent="0.2">
      <c r="D6192" t="s">
        <v>126</v>
      </c>
      <c r="E6192" t="s">
        <v>127</v>
      </c>
      <c r="F6192" t="s">
        <v>128</v>
      </c>
      <c r="G6192" t="s">
        <v>221</v>
      </c>
      <c r="H6192" t="s">
        <v>221</v>
      </c>
      <c r="I6192" t="s">
        <v>36</v>
      </c>
      <c r="J6192" t="s">
        <v>37</v>
      </c>
      <c r="K6192" t="s">
        <v>30</v>
      </c>
      <c r="L6192" t="s">
        <v>31</v>
      </c>
      <c r="M6192" t="s">
        <v>220</v>
      </c>
      <c r="N6192">
        <v>676</v>
      </c>
      <c r="O6192">
        <v>5.1496444000000002E-2</v>
      </c>
      <c r="P6192">
        <v>1.2117764E-2</v>
      </c>
      <c r="Q6192" t="str">
        <f t="shared" si="192"/>
        <v>10-14</v>
      </c>
      <c r="R6192" t="str">
        <f t="shared" si="193"/>
        <v>[ul0y9diGujK]|10-14|Female|PLHIV_Attend.T|CY2025Q3</v>
      </c>
    </row>
    <row r="6193" spans="4:18" x14ac:dyDescent="0.2">
      <c r="D6193" t="s">
        <v>126</v>
      </c>
      <c r="E6193" t="s">
        <v>127</v>
      </c>
      <c r="F6193" t="s">
        <v>128</v>
      </c>
      <c r="G6193" t="s">
        <v>221</v>
      </c>
      <c r="H6193" t="s">
        <v>221</v>
      </c>
      <c r="I6193" t="s">
        <v>38</v>
      </c>
      <c r="J6193" t="s">
        <v>39</v>
      </c>
      <c r="K6193" t="s">
        <v>30</v>
      </c>
      <c r="L6193" t="s">
        <v>31</v>
      </c>
      <c r="M6193" t="s">
        <v>220</v>
      </c>
      <c r="N6193">
        <v>2913</v>
      </c>
      <c r="O6193">
        <v>5.7159874999999999E-2</v>
      </c>
      <c r="P6193">
        <v>1.2117764E-2</v>
      </c>
      <c r="Q6193" t="str">
        <f t="shared" si="192"/>
        <v>15-24</v>
      </c>
      <c r="R6193" t="str">
        <f t="shared" si="193"/>
        <v>[ul0y9diGujK]|15-24|Female|PLHIV_Attend.T|CY2025Q3</v>
      </c>
    </row>
    <row r="6194" spans="4:18" x14ac:dyDescent="0.2">
      <c r="D6194" t="s">
        <v>126</v>
      </c>
      <c r="E6194" t="s">
        <v>127</v>
      </c>
      <c r="F6194" t="s">
        <v>128</v>
      </c>
      <c r="G6194" t="s">
        <v>221</v>
      </c>
      <c r="H6194" t="s">
        <v>221</v>
      </c>
      <c r="I6194" t="s">
        <v>41</v>
      </c>
      <c r="J6194" t="s">
        <v>42</v>
      </c>
      <c r="K6194" t="s">
        <v>30</v>
      </c>
      <c r="L6194" t="s">
        <v>31</v>
      </c>
      <c r="M6194" t="s">
        <v>220</v>
      </c>
      <c r="N6194">
        <v>6886</v>
      </c>
      <c r="O6194">
        <v>3.5548161000000002E-2</v>
      </c>
      <c r="P6194">
        <v>1.2117764E-2</v>
      </c>
      <c r="Q6194" t="str">
        <f t="shared" si="192"/>
        <v>25-34</v>
      </c>
      <c r="R6194" t="str">
        <f t="shared" si="193"/>
        <v>[ul0y9diGujK]|25-34|Female|PLHIV_Attend.T|CY2025Q3</v>
      </c>
    </row>
    <row r="6195" spans="4:18" x14ac:dyDescent="0.2">
      <c r="D6195" t="s">
        <v>126</v>
      </c>
      <c r="E6195" t="s">
        <v>127</v>
      </c>
      <c r="F6195" t="s">
        <v>128</v>
      </c>
      <c r="G6195" t="s">
        <v>221</v>
      </c>
      <c r="H6195" t="s">
        <v>221</v>
      </c>
      <c r="I6195" t="s">
        <v>43</v>
      </c>
      <c r="J6195" t="s">
        <v>44</v>
      </c>
      <c r="K6195" t="s">
        <v>30</v>
      </c>
      <c r="L6195" t="s">
        <v>31</v>
      </c>
      <c r="M6195" t="s">
        <v>220</v>
      </c>
      <c r="N6195">
        <v>19006</v>
      </c>
      <c r="O6195">
        <v>1.9233704000000001E-2</v>
      </c>
      <c r="P6195">
        <v>1.2117764E-2</v>
      </c>
      <c r="Q6195" t="str">
        <f t="shared" si="192"/>
        <v>35-49</v>
      </c>
      <c r="R6195" t="str">
        <f t="shared" si="193"/>
        <v>[ul0y9diGujK]|35-49|Female|PLHIV_Attend.T|CY2025Q3</v>
      </c>
    </row>
    <row r="6196" spans="4:18" x14ac:dyDescent="0.2">
      <c r="D6196" t="s">
        <v>126</v>
      </c>
      <c r="E6196" t="s">
        <v>127</v>
      </c>
      <c r="F6196" t="s">
        <v>128</v>
      </c>
      <c r="G6196" t="s">
        <v>221</v>
      </c>
      <c r="H6196" t="s">
        <v>221</v>
      </c>
      <c r="I6196" t="s">
        <v>45</v>
      </c>
      <c r="J6196" t="s">
        <v>46</v>
      </c>
      <c r="K6196" t="s">
        <v>30</v>
      </c>
      <c r="L6196" t="s">
        <v>31</v>
      </c>
      <c r="M6196" t="s">
        <v>220</v>
      </c>
      <c r="N6196">
        <v>10374</v>
      </c>
      <c r="O6196">
        <v>2.919532E-2</v>
      </c>
      <c r="P6196">
        <v>1.2117764E-2</v>
      </c>
      <c r="Q6196" t="str">
        <f t="shared" si="192"/>
        <v>50+</v>
      </c>
      <c r="R6196" t="str">
        <f t="shared" si="193"/>
        <v>[ul0y9diGujK]|50+|Female|PLHIV_Attend.T|CY2025Q3</v>
      </c>
    </row>
    <row r="6197" spans="4:18" x14ac:dyDescent="0.2">
      <c r="D6197" t="s">
        <v>126</v>
      </c>
      <c r="E6197" t="s">
        <v>127</v>
      </c>
      <c r="F6197" t="s">
        <v>128</v>
      </c>
      <c r="G6197" t="s">
        <v>221</v>
      </c>
      <c r="H6197" t="s">
        <v>221</v>
      </c>
      <c r="I6197" t="s">
        <v>28</v>
      </c>
      <c r="J6197" t="s">
        <v>29</v>
      </c>
      <c r="K6197" t="s">
        <v>48</v>
      </c>
      <c r="L6197" t="s">
        <v>49</v>
      </c>
      <c r="M6197" t="s">
        <v>220</v>
      </c>
      <c r="N6197">
        <v>30</v>
      </c>
      <c r="O6197">
        <v>2.2007428999999998E-2</v>
      </c>
      <c r="P6197">
        <v>1.2117764E-2</v>
      </c>
      <c r="Q6197" t="str">
        <f t="shared" si="192"/>
        <v>&lt;01</v>
      </c>
      <c r="R6197" t="str">
        <f t="shared" si="193"/>
        <v>[ul0y9diGujK]|&lt;01|Male|PLHIV_Attend.T|CY2025Q3</v>
      </c>
    </row>
    <row r="6198" spans="4:18" x14ac:dyDescent="0.2">
      <c r="D6198" t="s">
        <v>126</v>
      </c>
      <c r="E6198" t="s">
        <v>127</v>
      </c>
      <c r="F6198" t="s">
        <v>128</v>
      </c>
      <c r="G6198" t="s">
        <v>221</v>
      </c>
      <c r="H6198" t="s">
        <v>221</v>
      </c>
      <c r="I6198" t="s">
        <v>33</v>
      </c>
      <c r="J6198" t="s">
        <v>34</v>
      </c>
      <c r="K6198" t="s">
        <v>48</v>
      </c>
      <c r="L6198" t="s">
        <v>49</v>
      </c>
      <c r="M6198" t="s">
        <v>220</v>
      </c>
      <c r="N6198">
        <v>536</v>
      </c>
      <c r="O6198">
        <v>3.3053291999999998E-2</v>
      </c>
      <c r="P6198">
        <v>1.2117764E-2</v>
      </c>
      <c r="Q6198" t="str">
        <f t="shared" si="192"/>
        <v>01-09</v>
      </c>
      <c r="R6198" t="str">
        <f t="shared" si="193"/>
        <v>[ul0y9diGujK]|01-09|Male|PLHIV_Attend.T|CY2025Q3</v>
      </c>
    </row>
    <row r="6199" spans="4:18" x14ac:dyDescent="0.2">
      <c r="D6199" t="s">
        <v>126</v>
      </c>
      <c r="E6199" t="s">
        <v>127</v>
      </c>
      <c r="F6199" t="s">
        <v>128</v>
      </c>
      <c r="G6199" t="s">
        <v>221</v>
      </c>
      <c r="H6199" t="s">
        <v>221</v>
      </c>
      <c r="I6199" t="s">
        <v>36</v>
      </c>
      <c r="J6199" t="s">
        <v>37</v>
      </c>
      <c r="K6199" t="s">
        <v>48</v>
      </c>
      <c r="L6199" t="s">
        <v>49</v>
      </c>
      <c r="M6199" t="s">
        <v>220</v>
      </c>
      <c r="N6199">
        <v>685</v>
      </c>
      <c r="O6199">
        <v>5.1491134000000001E-2</v>
      </c>
      <c r="P6199">
        <v>1.2117764E-2</v>
      </c>
      <c r="Q6199" t="str">
        <f t="shared" si="192"/>
        <v>10-14</v>
      </c>
      <c r="R6199" t="str">
        <f t="shared" si="193"/>
        <v>[ul0y9diGujK]|10-14|Male|PLHIV_Attend.T|CY2025Q3</v>
      </c>
    </row>
    <row r="6200" spans="4:18" x14ac:dyDescent="0.2">
      <c r="D6200" t="s">
        <v>126</v>
      </c>
      <c r="E6200" t="s">
        <v>127</v>
      </c>
      <c r="F6200" t="s">
        <v>128</v>
      </c>
      <c r="G6200" t="s">
        <v>221</v>
      </c>
      <c r="H6200" t="s">
        <v>221</v>
      </c>
      <c r="I6200" t="s">
        <v>38</v>
      </c>
      <c r="J6200" t="s">
        <v>39</v>
      </c>
      <c r="K6200" t="s">
        <v>48</v>
      </c>
      <c r="L6200" t="s">
        <v>49</v>
      </c>
      <c r="M6200" t="s">
        <v>220</v>
      </c>
      <c r="N6200">
        <v>2077</v>
      </c>
      <c r="O6200">
        <v>6.5706165999999996E-2</v>
      </c>
      <c r="P6200">
        <v>1.2117764E-2</v>
      </c>
      <c r="Q6200" t="str">
        <f t="shared" si="192"/>
        <v>15-24</v>
      </c>
      <c r="R6200" t="str">
        <f t="shared" si="193"/>
        <v>[ul0y9diGujK]|15-24|Male|PLHIV_Attend.T|CY2025Q3</v>
      </c>
    </row>
    <row r="6201" spans="4:18" x14ac:dyDescent="0.2">
      <c r="D6201" t="s">
        <v>126</v>
      </c>
      <c r="E6201" t="s">
        <v>127</v>
      </c>
      <c r="F6201" t="s">
        <v>128</v>
      </c>
      <c r="G6201" t="s">
        <v>221</v>
      </c>
      <c r="H6201" t="s">
        <v>221</v>
      </c>
      <c r="I6201" t="s">
        <v>41</v>
      </c>
      <c r="J6201" t="s">
        <v>42</v>
      </c>
      <c r="K6201" t="s">
        <v>48</v>
      </c>
      <c r="L6201" t="s">
        <v>49</v>
      </c>
      <c r="M6201" t="s">
        <v>220</v>
      </c>
      <c r="N6201">
        <v>2486</v>
      </c>
      <c r="O6201">
        <v>6.4250647999999994E-2</v>
      </c>
      <c r="P6201">
        <v>1.2117764E-2</v>
      </c>
      <c r="Q6201" t="str">
        <f t="shared" si="192"/>
        <v>25-34</v>
      </c>
      <c r="R6201" t="str">
        <f t="shared" si="193"/>
        <v>[ul0y9diGujK]|25-34|Male|PLHIV_Attend.T|CY2025Q3</v>
      </c>
    </row>
    <row r="6202" spans="4:18" x14ac:dyDescent="0.2">
      <c r="D6202" t="s">
        <v>126</v>
      </c>
      <c r="E6202" t="s">
        <v>127</v>
      </c>
      <c r="F6202" t="s">
        <v>128</v>
      </c>
      <c r="G6202" t="s">
        <v>221</v>
      </c>
      <c r="H6202" t="s">
        <v>221</v>
      </c>
      <c r="I6202" t="s">
        <v>43</v>
      </c>
      <c r="J6202" t="s">
        <v>44</v>
      </c>
      <c r="K6202" t="s">
        <v>48</v>
      </c>
      <c r="L6202" t="s">
        <v>49</v>
      </c>
      <c r="M6202" t="s">
        <v>220</v>
      </c>
      <c r="N6202">
        <v>8903</v>
      </c>
      <c r="O6202">
        <v>3.0171429999999999E-2</v>
      </c>
      <c r="P6202">
        <v>1.2117764E-2</v>
      </c>
      <c r="Q6202" t="str">
        <f t="shared" si="192"/>
        <v>35-49</v>
      </c>
      <c r="R6202" t="str">
        <f t="shared" si="193"/>
        <v>[ul0y9diGujK]|35-49|Male|PLHIV_Attend.T|CY2025Q3</v>
      </c>
    </row>
    <row r="6203" spans="4:18" x14ac:dyDescent="0.2">
      <c r="D6203" t="s">
        <v>126</v>
      </c>
      <c r="E6203" t="s">
        <v>127</v>
      </c>
      <c r="F6203" t="s">
        <v>128</v>
      </c>
      <c r="G6203" t="s">
        <v>221</v>
      </c>
      <c r="H6203" t="s">
        <v>221</v>
      </c>
      <c r="I6203" t="s">
        <v>45</v>
      </c>
      <c r="J6203" t="s">
        <v>46</v>
      </c>
      <c r="K6203" t="s">
        <v>48</v>
      </c>
      <c r="L6203" t="s">
        <v>49</v>
      </c>
      <c r="M6203" t="s">
        <v>220</v>
      </c>
      <c r="N6203">
        <v>7511</v>
      </c>
      <c r="O6203">
        <v>2.9607497999999999E-2</v>
      </c>
      <c r="P6203">
        <v>1.2117764E-2</v>
      </c>
      <c r="Q6203" t="str">
        <f t="shared" si="192"/>
        <v>50+</v>
      </c>
      <c r="R6203" t="str">
        <f t="shared" si="193"/>
        <v>[ul0y9diGujK]|50+|Male|PLHIV_Attend.T|CY2025Q3</v>
      </c>
    </row>
    <row r="6204" spans="4:18" x14ac:dyDescent="0.2">
      <c r="D6204" t="s">
        <v>129</v>
      </c>
      <c r="E6204" t="s">
        <v>130</v>
      </c>
      <c r="F6204" t="s">
        <v>131</v>
      </c>
      <c r="G6204" t="s">
        <v>221</v>
      </c>
      <c r="H6204" t="s">
        <v>221</v>
      </c>
      <c r="I6204" t="s">
        <v>28</v>
      </c>
      <c r="J6204" t="s">
        <v>29</v>
      </c>
      <c r="K6204" t="s">
        <v>30</v>
      </c>
      <c r="L6204" t="s">
        <v>31</v>
      </c>
      <c r="M6204" t="s">
        <v>220</v>
      </c>
      <c r="N6204">
        <v>18</v>
      </c>
      <c r="O6204">
        <v>2.0297103E-2</v>
      </c>
      <c r="P6204">
        <v>1.2246452E-2</v>
      </c>
      <c r="Q6204" t="str">
        <f t="shared" si="192"/>
        <v>&lt;01</v>
      </c>
      <c r="R6204" t="str">
        <f t="shared" si="193"/>
        <v>[U8c0so51kT6]|&lt;01|Female|PLHIV_Attend.T|CY2025Q3</v>
      </c>
    </row>
    <row r="6205" spans="4:18" x14ac:dyDescent="0.2">
      <c r="D6205" t="s">
        <v>129</v>
      </c>
      <c r="E6205" t="s">
        <v>130</v>
      </c>
      <c r="F6205" t="s">
        <v>131</v>
      </c>
      <c r="G6205" t="s">
        <v>221</v>
      </c>
      <c r="H6205" t="s">
        <v>221</v>
      </c>
      <c r="I6205" t="s">
        <v>33</v>
      </c>
      <c r="J6205" t="s">
        <v>34</v>
      </c>
      <c r="K6205" t="s">
        <v>30</v>
      </c>
      <c r="L6205" t="s">
        <v>31</v>
      </c>
      <c r="M6205" t="s">
        <v>220</v>
      </c>
      <c r="N6205">
        <v>340</v>
      </c>
      <c r="O6205">
        <v>2.6989678999999999E-2</v>
      </c>
      <c r="P6205">
        <v>1.2246452E-2</v>
      </c>
      <c r="Q6205" t="str">
        <f t="shared" si="192"/>
        <v>01-09</v>
      </c>
      <c r="R6205" t="str">
        <f t="shared" si="193"/>
        <v>[U8c0so51kT6]|01-09|Female|PLHIV_Attend.T|CY2025Q3</v>
      </c>
    </row>
    <row r="6206" spans="4:18" x14ac:dyDescent="0.2">
      <c r="D6206" t="s">
        <v>129</v>
      </c>
      <c r="E6206" t="s">
        <v>130</v>
      </c>
      <c r="F6206" t="s">
        <v>131</v>
      </c>
      <c r="G6206" t="s">
        <v>221</v>
      </c>
      <c r="H6206" t="s">
        <v>221</v>
      </c>
      <c r="I6206" t="s">
        <v>36</v>
      </c>
      <c r="J6206" t="s">
        <v>37</v>
      </c>
      <c r="K6206" t="s">
        <v>30</v>
      </c>
      <c r="L6206" t="s">
        <v>31</v>
      </c>
      <c r="M6206" t="s">
        <v>220</v>
      </c>
      <c r="N6206">
        <v>431</v>
      </c>
      <c r="O6206">
        <v>3.7571454999999997E-2</v>
      </c>
      <c r="P6206">
        <v>1.2246452E-2</v>
      </c>
      <c r="Q6206" t="str">
        <f t="shared" si="192"/>
        <v>10-14</v>
      </c>
      <c r="R6206" t="str">
        <f t="shared" si="193"/>
        <v>[U8c0so51kT6]|10-14|Female|PLHIV_Attend.T|CY2025Q3</v>
      </c>
    </row>
    <row r="6207" spans="4:18" x14ac:dyDescent="0.2">
      <c r="D6207" t="s">
        <v>129</v>
      </c>
      <c r="E6207" t="s">
        <v>130</v>
      </c>
      <c r="F6207" t="s">
        <v>131</v>
      </c>
      <c r="G6207" t="s">
        <v>221</v>
      </c>
      <c r="H6207" t="s">
        <v>221</v>
      </c>
      <c r="I6207" t="s">
        <v>38</v>
      </c>
      <c r="J6207" t="s">
        <v>39</v>
      </c>
      <c r="K6207" t="s">
        <v>30</v>
      </c>
      <c r="L6207" t="s">
        <v>31</v>
      </c>
      <c r="M6207" t="s">
        <v>220</v>
      </c>
      <c r="N6207">
        <v>1610</v>
      </c>
      <c r="O6207">
        <v>5.3789208999999998E-2</v>
      </c>
      <c r="P6207">
        <v>1.2246452E-2</v>
      </c>
      <c r="Q6207" t="str">
        <f t="shared" si="192"/>
        <v>15-24</v>
      </c>
      <c r="R6207" t="str">
        <f t="shared" si="193"/>
        <v>[U8c0so51kT6]|15-24|Female|PLHIV_Attend.T|CY2025Q3</v>
      </c>
    </row>
    <row r="6208" spans="4:18" x14ac:dyDescent="0.2">
      <c r="D6208" t="s">
        <v>129</v>
      </c>
      <c r="E6208" t="s">
        <v>130</v>
      </c>
      <c r="F6208" t="s">
        <v>131</v>
      </c>
      <c r="G6208" t="s">
        <v>221</v>
      </c>
      <c r="H6208" t="s">
        <v>221</v>
      </c>
      <c r="I6208" t="s">
        <v>41</v>
      </c>
      <c r="J6208" t="s">
        <v>42</v>
      </c>
      <c r="K6208" t="s">
        <v>30</v>
      </c>
      <c r="L6208" t="s">
        <v>31</v>
      </c>
      <c r="M6208" t="s">
        <v>220</v>
      </c>
      <c r="N6208">
        <v>3878</v>
      </c>
      <c r="O6208">
        <v>3.6379644000000003E-2</v>
      </c>
      <c r="P6208">
        <v>1.2246452E-2</v>
      </c>
      <c r="Q6208" t="str">
        <f t="shared" si="192"/>
        <v>25-34</v>
      </c>
      <c r="R6208" t="str">
        <f t="shared" si="193"/>
        <v>[U8c0so51kT6]|25-34|Female|PLHIV_Attend.T|CY2025Q3</v>
      </c>
    </row>
    <row r="6209" spans="4:18" x14ac:dyDescent="0.2">
      <c r="D6209" t="s">
        <v>129</v>
      </c>
      <c r="E6209" t="s">
        <v>130</v>
      </c>
      <c r="F6209" t="s">
        <v>131</v>
      </c>
      <c r="G6209" t="s">
        <v>221</v>
      </c>
      <c r="H6209" t="s">
        <v>221</v>
      </c>
      <c r="I6209" t="s">
        <v>43</v>
      </c>
      <c r="J6209" t="s">
        <v>44</v>
      </c>
      <c r="K6209" t="s">
        <v>30</v>
      </c>
      <c r="L6209" t="s">
        <v>31</v>
      </c>
      <c r="M6209" t="s">
        <v>220</v>
      </c>
      <c r="N6209">
        <v>10109</v>
      </c>
      <c r="O6209">
        <v>1.9888619E-2</v>
      </c>
      <c r="P6209">
        <v>1.2246452E-2</v>
      </c>
      <c r="Q6209" t="str">
        <f t="shared" si="192"/>
        <v>35-49</v>
      </c>
      <c r="R6209" t="str">
        <f t="shared" si="193"/>
        <v>[U8c0so51kT6]|35-49|Female|PLHIV_Attend.T|CY2025Q3</v>
      </c>
    </row>
    <row r="6210" spans="4:18" x14ac:dyDescent="0.2">
      <c r="D6210" t="s">
        <v>129</v>
      </c>
      <c r="E6210" t="s">
        <v>130</v>
      </c>
      <c r="F6210" t="s">
        <v>131</v>
      </c>
      <c r="G6210" t="s">
        <v>221</v>
      </c>
      <c r="H6210" t="s">
        <v>221</v>
      </c>
      <c r="I6210" t="s">
        <v>45</v>
      </c>
      <c r="J6210" t="s">
        <v>46</v>
      </c>
      <c r="K6210" t="s">
        <v>30</v>
      </c>
      <c r="L6210" t="s">
        <v>31</v>
      </c>
      <c r="M6210" t="s">
        <v>220</v>
      </c>
      <c r="N6210">
        <v>5135</v>
      </c>
      <c r="O6210">
        <v>3.2521497000000003E-2</v>
      </c>
      <c r="P6210">
        <v>1.2246452E-2</v>
      </c>
      <c r="Q6210" t="str">
        <f t="shared" si="192"/>
        <v>50+</v>
      </c>
      <c r="R6210" t="str">
        <f t="shared" si="193"/>
        <v>[U8c0so51kT6]|50+|Female|PLHIV_Attend.T|CY2025Q3</v>
      </c>
    </row>
    <row r="6211" spans="4:18" x14ac:dyDescent="0.2">
      <c r="D6211" t="s">
        <v>129</v>
      </c>
      <c r="E6211" t="s">
        <v>130</v>
      </c>
      <c r="F6211" t="s">
        <v>131</v>
      </c>
      <c r="G6211" t="s">
        <v>221</v>
      </c>
      <c r="H6211" t="s">
        <v>221</v>
      </c>
      <c r="I6211" t="s">
        <v>28</v>
      </c>
      <c r="J6211" t="s">
        <v>29</v>
      </c>
      <c r="K6211" t="s">
        <v>48</v>
      </c>
      <c r="L6211" t="s">
        <v>49</v>
      </c>
      <c r="M6211" t="s">
        <v>220</v>
      </c>
      <c r="N6211">
        <v>18</v>
      </c>
      <c r="O6211">
        <v>2.0257015999999999E-2</v>
      </c>
      <c r="P6211">
        <v>1.2246452E-2</v>
      </c>
      <c r="Q6211" t="str">
        <f t="shared" ref="Q6211:Q6274" si="194">SUBSTITUTE(SUBSTITUTE($I6211,CHAR(61),""),CHAR(34),"")</f>
        <v>&lt;01</v>
      </c>
      <c r="R6211" t="str">
        <f t="shared" ref="R6211:R6274" si="195">IF($D6211&lt;&gt;"","["&amp;$E6211&amp;"]"&amp;"|"&amp;$Q6211&amp;"|"&amp;$K6211&amp;"|"&amp;$G6211&amp;"|"&amp;IF($G6211="TX_CURR_SUBNAT.R","CY2023Q4",$M6211),"")</f>
        <v>[U8c0so51kT6]|&lt;01|Male|PLHIV_Attend.T|CY2025Q3</v>
      </c>
    </row>
    <row r="6212" spans="4:18" x14ac:dyDescent="0.2">
      <c r="D6212" t="s">
        <v>129</v>
      </c>
      <c r="E6212" t="s">
        <v>130</v>
      </c>
      <c r="F6212" t="s">
        <v>131</v>
      </c>
      <c r="G6212" t="s">
        <v>221</v>
      </c>
      <c r="H6212" t="s">
        <v>221</v>
      </c>
      <c r="I6212" t="s">
        <v>33</v>
      </c>
      <c r="J6212" t="s">
        <v>34</v>
      </c>
      <c r="K6212" t="s">
        <v>48</v>
      </c>
      <c r="L6212" t="s">
        <v>49</v>
      </c>
      <c r="M6212" t="s">
        <v>220</v>
      </c>
      <c r="N6212">
        <v>344</v>
      </c>
      <c r="O6212">
        <v>2.6962893000000002E-2</v>
      </c>
      <c r="P6212">
        <v>1.2246452E-2</v>
      </c>
      <c r="Q6212" t="str">
        <f t="shared" si="194"/>
        <v>01-09</v>
      </c>
      <c r="R6212" t="str">
        <f t="shared" si="195"/>
        <v>[U8c0so51kT6]|01-09|Male|PLHIV_Attend.T|CY2025Q3</v>
      </c>
    </row>
    <row r="6213" spans="4:18" x14ac:dyDescent="0.2">
      <c r="D6213" t="s">
        <v>129</v>
      </c>
      <c r="E6213" t="s">
        <v>130</v>
      </c>
      <c r="F6213" t="s">
        <v>131</v>
      </c>
      <c r="G6213" t="s">
        <v>221</v>
      </c>
      <c r="H6213" t="s">
        <v>221</v>
      </c>
      <c r="I6213" t="s">
        <v>36</v>
      </c>
      <c r="J6213" t="s">
        <v>37</v>
      </c>
      <c r="K6213" t="s">
        <v>48</v>
      </c>
      <c r="L6213" t="s">
        <v>49</v>
      </c>
      <c r="M6213" t="s">
        <v>220</v>
      </c>
      <c r="N6213">
        <v>436</v>
      </c>
      <c r="O6213">
        <v>3.7565868000000002E-2</v>
      </c>
      <c r="P6213">
        <v>1.2246452E-2</v>
      </c>
      <c r="Q6213" t="str">
        <f t="shared" si="194"/>
        <v>10-14</v>
      </c>
      <c r="R6213" t="str">
        <f t="shared" si="195"/>
        <v>[U8c0so51kT6]|10-14|Male|PLHIV_Attend.T|CY2025Q3</v>
      </c>
    </row>
    <row r="6214" spans="4:18" x14ac:dyDescent="0.2">
      <c r="D6214" t="s">
        <v>129</v>
      </c>
      <c r="E6214" t="s">
        <v>130</v>
      </c>
      <c r="F6214" t="s">
        <v>131</v>
      </c>
      <c r="G6214" t="s">
        <v>221</v>
      </c>
      <c r="H6214" t="s">
        <v>221</v>
      </c>
      <c r="I6214" t="s">
        <v>38</v>
      </c>
      <c r="J6214" t="s">
        <v>39</v>
      </c>
      <c r="K6214" t="s">
        <v>48</v>
      </c>
      <c r="L6214" t="s">
        <v>49</v>
      </c>
      <c r="M6214" t="s">
        <v>220</v>
      </c>
      <c r="N6214">
        <v>1148</v>
      </c>
      <c r="O6214">
        <v>6.0477498999999997E-2</v>
      </c>
      <c r="P6214">
        <v>1.2246452E-2</v>
      </c>
      <c r="Q6214" t="str">
        <f t="shared" si="194"/>
        <v>15-24</v>
      </c>
      <c r="R6214" t="str">
        <f t="shared" si="195"/>
        <v>[U8c0so51kT6]|15-24|Male|PLHIV_Attend.T|CY2025Q3</v>
      </c>
    </row>
    <row r="6215" spans="4:18" x14ac:dyDescent="0.2">
      <c r="D6215" t="s">
        <v>129</v>
      </c>
      <c r="E6215" t="s">
        <v>130</v>
      </c>
      <c r="F6215" t="s">
        <v>131</v>
      </c>
      <c r="G6215" t="s">
        <v>221</v>
      </c>
      <c r="H6215" t="s">
        <v>221</v>
      </c>
      <c r="I6215" t="s">
        <v>41</v>
      </c>
      <c r="J6215" t="s">
        <v>42</v>
      </c>
      <c r="K6215" t="s">
        <v>48</v>
      </c>
      <c r="L6215" t="s">
        <v>49</v>
      </c>
      <c r="M6215" t="s">
        <v>220</v>
      </c>
      <c r="N6215">
        <v>1444</v>
      </c>
      <c r="O6215">
        <v>6.5409326000000004E-2</v>
      </c>
      <c r="P6215">
        <v>1.2246452E-2</v>
      </c>
      <c r="Q6215" t="str">
        <f t="shared" si="194"/>
        <v>25-34</v>
      </c>
      <c r="R6215" t="str">
        <f t="shared" si="195"/>
        <v>[U8c0so51kT6]|25-34|Male|PLHIV_Attend.T|CY2025Q3</v>
      </c>
    </row>
    <row r="6216" spans="4:18" x14ac:dyDescent="0.2">
      <c r="D6216" t="s">
        <v>129</v>
      </c>
      <c r="E6216" t="s">
        <v>130</v>
      </c>
      <c r="F6216" t="s">
        <v>131</v>
      </c>
      <c r="G6216" t="s">
        <v>221</v>
      </c>
      <c r="H6216" t="s">
        <v>221</v>
      </c>
      <c r="I6216" t="s">
        <v>43</v>
      </c>
      <c r="J6216" t="s">
        <v>44</v>
      </c>
      <c r="K6216" t="s">
        <v>48</v>
      </c>
      <c r="L6216" t="s">
        <v>49</v>
      </c>
      <c r="M6216" t="s">
        <v>220</v>
      </c>
      <c r="N6216">
        <v>5313</v>
      </c>
      <c r="O6216">
        <v>3.1519737999999999E-2</v>
      </c>
      <c r="P6216">
        <v>1.2246452E-2</v>
      </c>
      <c r="Q6216" t="str">
        <f t="shared" si="194"/>
        <v>35-49</v>
      </c>
      <c r="R6216" t="str">
        <f t="shared" si="195"/>
        <v>[U8c0so51kT6]|35-49|Male|PLHIV_Attend.T|CY2025Q3</v>
      </c>
    </row>
    <row r="6217" spans="4:18" x14ac:dyDescent="0.2">
      <c r="D6217" t="s">
        <v>129</v>
      </c>
      <c r="E6217" t="s">
        <v>130</v>
      </c>
      <c r="F6217" t="s">
        <v>131</v>
      </c>
      <c r="G6217" t="s">
        <v>221</v>
      </c>
      <c r="H6217" t="s">
        <v>221</v>
      </c>
      <c r="I6217" t="s">
        <v>45</v>
      </c>
      <c r="J6217" t="s">
        <v>46</v>
      </c>
      <c r="K6217" t="s">
        <v>48</v>
      </c>
      <c r="L6217" t="s">
        <v>49</v>
      </c>
      <c r="M6217" t="s">
        <v>220</v>
      </c>
      <c r="N6217">
        <v>4364</v>
      </c>
      <c r="O6217">
        <v>3.1563738000000001E-2</v>
      </c>
      <c r="P6217">
        <v>1.2246452E-2</v>
      </c>
      <c r="Q6217" t="str">
        <f t="shared" si="194"/>
        <v>50+</v>
      </c>
      <c r="R6217" t="str">
        <f t="shared" si="195"/>
        <v>[U8c0so51kT6]|50+|Male|PLHIV_Attend.T|CY2025Q3</v>
      </c>
    </row>
    <row r="6218" spans="4:18" x14ac:dyDescent="0.2">
      <c r="D6218" t="s">
        <v>132</v>
      </c>
      <c r="E6218" t="s">
        <v>133</v>
      </c>
      <c r="F6218" t="s">
        <v>134</v>
      </c>
      <c r="G6218" t="s">
        <v>221</v>
      </c>
      <c r="H6218" t="s">
        <v>221</v>
      </c>
      <c r="I6218" t="s">
        <v>28</v>
      </c>
      <c r="J6218" t="s">
        <v>29</v>
      </c>
      <c r="K6218" t="s">
        <v>30</v>
      </c>
      <c r="L6218" t="s">
        <v>31</v>
      </c>
      <c r="M6218" t="s">
        <v>220</v>
      </c>
      <c r="N6218">
        <v>13</v>
      </c>
      <c r="O6218">
        <v>2.5727104000000001E-2</v>
      </c>
      <c r="P6218">
        <v>1.8996223999999999E-2</v>
      </c>
      <c r="Q6218" t="str">
        <f t="shared" si="194"/>
        <v>&lt;01</v>
      </c>
      <c r="R6218" t="str">
        <f t="shared" si="195"/>
        <v>[rpw540fmNUz]|&lt;01|Female|PLHIV_Attend.T|CY2025Q3</v>
      </c>
    </row>
    <row r="6219" spans="4:18" x14ac:dyDescent="0.2">
      <c r="D6219" t="s">
        <v>132</v>
      </c>
      <c r="E6219" t="s">
        <v>133</v>
      </c>
      <c r="F6219" t="s">
        <v>134</v>
      </c>
      <c r="G6219" t="s">
        <v>221</v>
      </c>
      <c r="H6219" t="s">
        <v>221</v>
      </c>
      <c r="I6219" t="s">
        <v>33</v>
      </c>
      <c r="J6219" t="s">
        <v>34</v>
      </c>
      <c r="K6219" t="s">
        <v>30</v>
      </c>
      <c r="L6219" t="s">
        <v>31</v>
      </c>
      <c r="M6219" t="s">
        <v>220</v>
      </c>
      <c r="N6219">
        <v>257</v>
      </c>
      <c r="O6219">
        <v>3.2789840000000001E-2</v>
      </c>
      <c r="P6219">
        <v>1.8996223999999999E-2</v>
      </c>
      <c r="Q6219" t="str">
        <f t="shared" si="194"/>
        <v>01-09</v>
      </c>
      <c r="R6219" t="str">
        <f t="shared" si="195"/>
        <v>[rpw540fmNUz]|01-09|Female|PLHIV_Attend.T|CY2025Q3</v>
      </c>
    </row>
    <row r="6220" spans="4:18" x14ac:dyDescent="0.2">
      <c r="D6220" t="s">
        <v>132</v>
      </c>
      <c r="E6220" t="s">
        <v>133</v>
      </c>
      <c r="F6220" t="s">
        <v>134</v>
      </c>
      <c r="G6220" t="s">
        <v>221</v>
      </c>
      <c r="H6220" t="s">
        <v>221</v>
      </c>
      <c r="I6220" t="s">
        <v>36</v>
      </c>
      <c r="J6220" t="s">
        <v>37</v>
      </c>
      <c r="K6220" t="s">
        <v>30</v>
      </c>
      <c r="L6220" t="s">
        <v>31</v>
      </c>
      <c r="M6220" t="s">
        <v>220</v>
      </c>
      <c r="N6220">
        <v>332</v>
      </c>
      <c r="O6220">
        <v>4.3882976999999997E-2</v>
      </c>
      <c r="P6220">
        <v>1.8996223999999999E-2</v>
      </c>
      <c r="Q6220" t="str">
        <f t="shared" si="194"/>
        <v>10-14</v>
      </c>
      <c r="R6220" t="str">
        <f t="shared" si="195"/>
        <v>[rpw540fmNUz]|10-14|Female|PLHIV_Attend.T|CY2025Q3</v>
      </c>
    </row>
    <row r="6221" spans="4:18" x14ac:dyDescent="0.2">
      <c r="D6221" t="s">
        <v>132</v>
      </c>
      <c r="E6221" t="s">
        <v>133</v>
      </c>
      <c r="F6221" t="s">
        <v>134</v>
      </c>
      <c r="G6221" t="s">
        <v>221</v>
      </c>
      <c r="H6221" t="s">
        <v>221</v>
      </c>
      <c r="I6221" t="s">
        <v>38</v>
      </c>
      <c r="J6221" t="s">
        <v>39</v>
      </c>
      <c r="K6221" t="s">
        <v>30</v>
      </c>
      <c r="L6221" t="s">
        <v>31</v>
      </c>
      <c r="M6221" t="s">
        <v>220</v>
      </c>
      <c r="N6221">
        <v>1231</v>
      </c>
      <c r="O6221">
        <v>5.6213691000000003E-2</v>
      </c>
      <c r="P6221">
        <v>1.8996223999999999E-2</v>
      </c>
      <c r="Q6221" t="str">
        <f t="shared" si="194"/>
        <v>15-24</v>
      </c>
      <c r="R6221" t="str">
        <f t="shared" si="195"/>
        <v>[rpw540fmNUz]|15-24|Female|PLHIV_Attend.T|CY2025Q3</v>
      </c>
    </row>
    <row r="6222" spans="4:18" x14ac:dyDescent="0.2">
      <c r="D6222" t="s">
        <v>132</v>
      </c>
      <c r="E6222" t="s">
        <v>133</v>
      </c>
      <c r="F6222" t="s">
        <v>134</v>
      </c>
      <c r="G6222" t="s">
        <v>221</v>
      </c>
      <c r="H6222" t="s">
        <v>221</v>
      </c>
      <c r="I6222" t="s">
        <v>41</v>
      </c>
      <c r="J6222" t="s">
        <v>42</v>
      </c>
      <c r="K6222" t="s">
        <v>30</v>
      </c>
      <c r="L6222" t="s">
        <v>31</v>
      </c>
      <c r="M6222" t="s">
        <v>220</v>
      </c>
      <c r="N6222">
        <v>2879</v>
      </c>
      <c r="O6222">
        <v>3.8946579000000002E-2</v>
      </c>
      <c r="P6222">
        <v>1.8996223999999999E-2</v>
      </c>
      <c r="Q6222" t="str">
        <f t="shared" si="194"/>
        <v>25-34</v>
      </c>
      <c r="R6222" t="str">
        <f t="shared" si="195"/>
        <v>[rpw540fmNUz]|25-34|Female|PLHIV_Attend.T|CY2025Q3</v>
      </c>
    </row>
    <row r="6223" spans="4:18" x14ac:dyDescent="0.2">
      <c r="D6223" t="s">
        <v>132</v>
      </c>
      <c r="E6223" t="s">
        <v>133</v>
      </c>
      <c r="F6223" t="s">
        <v>134</v>
      </c>
      <c r="G6223" t="s">
        <v>221</v>
      </c>
      <c r="H6223" t="s">
        <v>221</v>
      </c>
      <c r="I6223" t="s">
        <v>43</v>
      </c>
      <c r="J6223" t="s">
        <v>44</v>
      </c>
      <c r="K6223" t="s">
        <v>30</v>
      </c>
      <c r="L6223" t="s">
        <v>31</v>
      </c>
      <c r="M6223" t="s">
        <v>220</v>
      </c>
      <c r="N6223">
        <v>7311</v>
      </c>
      <c r="O6223">
        <v>2.6029129000000002E-2</v>
      </c>
      <c r="P6223">
        <v>1.8996223999999999E-2</v>
      </c>
      <c r="Q6223" t="str">
        <f t="shared" si="194"/>
        <v>35-49</v>
      </c>
      <c r="R6223" t="str">
        <f t="shared" si="195"/>
        <v>[rpw540fmNUz]|35-49|Female|PLHIV_Attend.T|CY2025Q3</v>
      </c>
    </row>
    <row r="6224" spans="4:18" x14ac:dyDescent="0.2">
      <c r="D6224" t="s">
        <v>132</v>
      </c>
      <c r="E6224" t="s">
        <v>133</v>
      </c>
      <c r="F6224" t="s">
        <v>134</v>
      </c>
      <c r="G6224" t="s">
        <v>221</v>
      </c>
      <c r="H6224" t="s">
        <v>221</v>
      </c>
      <c r="I6224" t="s">
        <v>45</v>
      </c>
      <c r="J6224" t="s">
        <v>46</v>
      </c>
      <c r="K6224" t="s">
        <v>30</v>
      </c>
      <c r="L6224" t="s">
        <v>31</v>
      </c>
      <c r="M6224" t="s">
        <v>220</v>
      </c>
      <c r="N6224">
        <v>4044</v>
      </c>
      <c r="O6224">
        <v>3.4615539000000001E-2</v>
      </c>
      <c r="P6224">
        <v>1.8996223999999999E-2</v>
      </c>
      <c r="Q6224" t="str">
        <f t="shared" si="194"/>
        <v>50+</v>
      </c>
      <c r="R6224" t="str">
        <f t="shared" si="195"/>
        <v>[rpw540fmNUz]|50+|Female|PLHIV_Attend.T|CY2025Q3</v>
      </c>
    </row>
    <row r="6225" spans="4:18" x14ac:dyDescent="0.2">
      <c r="D6225" t="s">
        <v>132</v>
      </c>
      <c r="E6225" t="s">
        <v>133</v>
      </c>
      <c r="F6225" t="s">
        <v>134</v>
      </c>
      <c r="G6225" t="s">
        <v>221</v>
      </c>
      <c r="H6225" t="s">
        <v>221</v>
      </c>
      <c r="I6225" t="s">
        <v>28</v>
      </c>
      <c r="J6225" t="s">
        <v>29</v>
      </c>
      <c r="K6225" t="s">
        <v>48</v>
      </c>
      <c r="L6225" t="s">
        <v>49</v>
      </c>
      <c r="M6225" t="s">
        <v>220</v>
      </c>
      <c r="N6225">
        <v>13</v>
      </c>
      <c r="O6225">
        <v>2.5710864E-2</v>
      </c>
      <c r="P6225">
        <v>1.8996223999999999E-2</v>
      </c>
      <c r="Q6225" t="str">
        <f t="shared" si="194"/>
        <v>&lt;01</v>
      </c>
      <c r="R6225" t="str">
        <f t="shared" si="195"/>
        <v>[rpw540fmNUz]|&lt;01|Male|PLHIV_Attend.T|CY2025Q3</v>
      </c>
    </row>
    <row r="6226" spans="4:18" x14ac:dyDescent="0.2">
      <c r="D6226" t="s">
        <v>132</v>
      </c>
      <c r="E6226" t="s">
        <v>133</v>
      </c>
      <c r="F6226" t="s">
        <v>134</v>
      </c>
      <c r="G6226" t="s">
        <v>221</v>
      </c>
      <c r="H6226" t="s">
        <v>221</v>
      </c>
      <c r="I6226" t="s">
        <v>33</v>
      </c>
      <c r="J6226" t="s">
        <v>34</v>
      </c>
      <c r="K6226" t="s">
        <v>48</v>
      </c>
      <c r="L6226" t="s">
        <v>49</v>
      </c>
      <c r="M6226" t="s">
        <v>220</v>
      </c>
      <c r="N6226">
        <v>257</v>
      </c>
      <c r="O6226">
        <v>3.2760305000000003E-2</v>
      </c>
      <c r="P6226">
        <v>1.8996223999999999E-2</v>
      </c>
      <c r="Q6226" t="str">
        <f t="shared" si="194"/>
        <v>01-09</v>
      </c>
      <c r="R6226" t="str">
        <f t="shared" si="195"/>
        <v>[rpw540fmNUz]|01-09|Male|PLHIV_Attend.T|CY2025Q3</v>
      </c>
    </row>
    <row r="6227" spans="4:18" x14ac:dyDescent="0.2">
      <c r="D6227" t="s">
        <v>132</v>
      </c>
      <c r="E6227" t="s">
        <v>133</v>
      </c>
      <c r="F6227" t="s">
        <v>134</v>
      </c>
      <c r="G6227" t="s">
        <v>221</v>
      </c>
      <c r="H6227" t="s">
        <v>221</v>
      </c>
      <c r="I6227" t="s">
        <v>36</v>
      </c>
      <c r="J6227" t="s">
        <v>37</v>
      </c>
      <c r="K6227" t="s">
        <v>48</v>
      </c>
      <c r="L6227" t="s">
        <v>49</v>
      </c>
      <c r="M6227" t="s">
        <v>220</v>
      </c>
      <c r="N6227">
        <v>333</v>
      </c>
      <c r="O6227">
        <v>4.3898187999999998E-2</v>
      </c>
      <c r="P6227">
        <v>1.8996223999999999E-2</v>
      </c>
      <c r="Q6227" t="str">
        <f t="shared" si="194"/>
        <v>10-14</v>
      </c>
      <c r="R6227" t="str">
        <f t="shared" si="195"/>
        <v>[rpw540fmNUz]|10-14|Male|PLHIV_Attend.T|CY2025Q3</v>
      </c>
    </row>
    <row r="6228" spans="4:18" x14ac:dyDescent="0.2">
      <c r="D6228" t="s">
        <v>132</v>
      </c>
      <c r="E6228" t="s">
        <v>133</v>
      </c>
      <c r="F6228" t="s">
        <v>134</v>
      </c>
      <c r="G6228" t="s">
        <v>221</v>
      </c>
      <c r="H6228" t="s">
        <v>221</v>
      </c>
      <c r="I6228" t="s">
        <v>38</v>
      </c>
      <c r="J6228" t="s">
        <v>39</v>
      </c>
      <c r="K6228" t="s">
        <v>48</v>
      </c>
      <c r="L6228" t="s">
        <v>49</v>
      </c>
      <c r="M6228" t="s">
        <v>220</v>
      </c>
      <c r="N6228">
        <v>850</v>
      </c>
      <c r="O6228">
        <v>5.9964983999999999E-2</v>
      </c>
      <c r="P6228">
        <v>1.8996223999999999E-2</v>
      </c>
      <c r="Q6228" t="str">
        <f t="shared" si="194"/>
        <v>15-24</v>
      </c>
      <c r="R6228" t="str">
        <f t="shared" si="195"/>
        <v>[rpw540fmNUz]|15-24|Male|PLHIV_Attend.T|CY2025Q3</v>
      </c>
    </row>
    <row r="6229" spans="4:18" x14ac:dyDescent="0.2">
      <c r="D6229" t="s">
        <v>132</v>
      </c>
      <c r="E6229" t="s">
        <v>133</v>
      </c>
      <c r="F6229" t="s">
        <v>134</v>
      </c>
      <c r="G6229" t="s">
        <v>221</v>
      </c>
      <c r="H6229" t="s">
        <v>221</v>
      </c>
      <c r="I6229" t="s">
        <v>41</v>
      </c>
      <c r="J6229" t="s">
        <v>42</v>
      </c>
      <c r="K6229" t="s">
        <v>48</v>
      </c>
      <c r="L6229" t="s">
        <v>49</v>
      </c>
      <c r="M6229" t="s">
        <v>220</v>
      </c>
      <c r="N6229">
        <v>956</v>
      </c>
      <c r="O6229">
        <v>6.6205842000000001E-2</v>
      </c>
      <c r="P6229">
        <v>1.8996223999999999E-2</v>
      </c>
      <c r="Q6229" t="str">
        <f t="shared" si="194"/>
        <v>25-34</v>
      </c>
      <c r="R6229" t="str">
        <f t="shared" si="195"/>
        <v>[rpw540fmNUz]|25-34|Male|PLHIV_Attend.T|CY2025Q3</v>
      </c>
    </row>
    <row r="6230" spans="4:18" x14ac:dyDescent="0.2">
      <c r="D6230" t="s">
        <v>132</v>
      </c>
      <c r="E6230" t="s">
        <v>133</v>
      </c>
      <c r="F6230" t="s">
        <v>134</v>
      </c>
      <c r="G6230" t="s">
        <v>221</v>
      </c>
      <c r="H6230" t="s">
        <v>221</v>
      </c>
      <c r="I6230" t="s">
        <v>43</v>
      </c>
      <c r="J6230" t="s">
        <v>44</v>
      </c>
      <c r="K6230" t="s">
        <v>48</v>
      </c>
      <c r="L6230" t="s">
        <v>49</v>
      </c>
      <c r="M6230" t="s">
        <v>220</v>
      </c>
      <c r="N6230">
        <v>3399</v>
      </c>
      <c r="O6230">
        <v>3.6434208000000003E-2</v>
      </c>
      <c r="P6230">
        <v>1.8996223999999999E-2</v>
      </c>
      <c r="Q6230" t="str">
        <f t="shared" si="194"/>
        <v>35-49</v>
      </c>
      <c r="R6230" t="str">
        <f t="shared" si="195"/>
        <v>[rpw540fmNUz]|35-49|Male|PLHIV_Attend.T|CY2025Q3</v>
      </c>
    </row>
    <row r="6231" spans="4:18" x14ac:dyDescent="0.2">
      <c r="D6231" t="s">
        <v>132</v>
      </c>
      <c r="E6231" t="s">
        <v>133</v>
      </c>
      <c r="F6231" t="s">
        <v>134</v>
      </c>
      <c r="G6231" t="s">
        <v>221</v>
      </c>
      <c r="H6231" t="s">
        <v>221</v>
      </c>
      <c r="I6231" t="s">
        <v>45</v>
      </c>
      <c r="J6231" t="s">
        <v>46</v>
      </c>
      <c r="K6231" t="s">
        <v>48</v>
      </c>
      <c r="L6231" t="s">
        <v>49</v>
      </c>
      <c r="M6231" t="s">
        <v>220</v>
      </c>
      <c r="N6231">
        <v>2921</v>
      </c>
      <c r="O6231">
        <v>3.4785150000000001E-2</v>
      </c>
      <c r="P6231">
        <v>1.8996223999999999E-2</v>
      </c>
      <c r="Q6231" t="str">
        <f t="shared" si="194"/>
        <v>50+</v>
      </c>
      <c r="R6231" t="str">
        <f t="shared" si="195"/>
        <v>[rpw540fmNUz]|50+|Male|PLHIV_Attend.T|CY2025Q3</v>
      </c>
    </row>
    <row r="6232" spans="4:18" x14ac:dyDescent="0.2">
      <c r="D6232" t="s">
        <v>135</v>
      </c>
      <c r="E6232" t="s">
        <v>136</v>
      </c>
      <c r="F6232" t="s">
        <v>137</v>
      </c>
      <c r="G6232" t="s">
        <v>221</v>
      </c>
      <c r="H6232" t="s">
        <v>221</v>
      </c>
      <c r="I6232" t="s">
        <v>28</v>
      </c>
      <c r="J6232" t="s">
        <v>29</v>
      </c>
      <c r="K6232" t="s">
        <v>30</v>
      </c>
      <c r="L6232" t="s">
        <v>31</v>
      </c>
      <c r="M6232" t="s">
        <v>220</v>
      </c>
      <c r="N6232">
        <v>5</v>
      </c>
      <c r="O6232">
        <v>2.5852099E-2</v>
      </c>
      <c r="P6232">
        <v>1.7763878E-2</v>
      </c>
      <c r="Q6232" t="str">
        <f t="shared" si="194"/>
        <v>&lt;01</v>
      </c>
      <c r="R6232" t="str">
        <f t="shared" si="195"/>
        <v>[gwVYinjBAe9]|&lt;01|Female|PLHIV_Attend.T|CY2025Q3</v>
      </c>
    </row>
    <row r="6233" spans="4:18" x14ac:dyDescent="0.2">
      <c r="D6233" t="s">
        <v>135</v>
      </c>
      <c r="E6233" t="s">
        <v>136</v>
      </c>
      <c r="F6233" t="s">
        <v>137</v>
      </c>
      <c r="G6233" t="s">
        <v>221</v>
      </c>
      <c r="H6233" t="s">
        <v>221</v>
      </c>
      <c r="I6233" t="s">
        <v>33</v>
      </c>
      <c r="J6233" t="s">
        <v>34</v>
      </c>
      <c r="K6233" t="s">
        <v>30</v>
      </c>
      <c r="L6233" t="s">
        <v>31</v>
      </c>
      <c r="M6233" t="s">
        <v>220</v>
      </c>
      <c r="N6233">
        <v>93</v>
      </c>
      <c r="O6233">
        <v>3.3825094E-2</v>
      </c>
      <c r="P6233">
        <v>1.7763878E-2</v>
      </c>
      <c r="Q6233" t="str">
        <f t="shared" si="194"/>
        <v>01-09</v>
      </c>
      <c r="R6233" t="str">
        <f t="shared" si="195"/>
        <v>[gwVYinjBAe9]|01-09|Female|PLHIV_Attend.T|CY2025Q3</v>
      </c>
    </row>
    <row r="6234" spans="4:18" x14ac:dyDescent="0.2">
      <c r="D6234" t="s">
        <v>135</v>
      </c>
      <c r="E6234" t="s">
        <v>136</v>
      </c>
      <c r="F6234" t="s">
        <v>137</v>
      </c>
      <c r="G6234" t="s">
        <v>221</v>
      </c>
      <c r="H6234" t="s">
        <v>221</v>
      </c>
      <c r="I6234" t="s">
        <v>36</v>
      </c>
      <c r="J6234" t="s">
        <v>37</v>
      </c>
      <c r="K6234" t="s">
        <v>30</v>
      </c>
      <c r="L6234" t="s">
        <v>31</v>
      </c>
      <c r="M6234" t="s">
        <v>220</v>
      </c>
      <c r="N6234">
        <v>120</v>
      </c>
      <c r="O6234">
        <v>4.6416971000000001E-2</v>
      </c>
      <c r="P6234">
        <v>1.7763878E-2</v>
      </c>
      <c r="Q6234" t="str">
        <f t="shared" si="194"/>
        <v>10-14</v>
      </c>
      <c r="R6234" t="str">
        <f t="shared" si="195"/>
        <v>[gwVYinjBAe9]|10-14|Female|PLHIV_Attend.T|CY2025Q3</v>
      </c>
    </row>
    <row r="6235" spans="4:18" x14ac:dyDescent="0.2">
      <c r="D6235" t="s">
        <v>135</v>
      </c>
      <c r="E6235" t="s">
        <v>136</v>
      </c>
      <c r="F6235" t="s">
        <v>137</v>
      </c>
      <c r="G6235" t="s">
        <v>221</v>
      </c>
      <c r="H6235" t="s">
        <v>221</v>
      </c>
      <c r="I6235" t="s">
        <v>38</v>
      </c>
      <c r="J6235" t="s">
        <v>39</v>
      </c>
      <c r="K6235" t="s">
        <v>30</v>
      </c>
      <c r="L6235" t="s">
        <v>31</v>
      </c>
      <c r="M6235" t="s">
        <v>220</v>
      </c>
      <c r="N6235">
        <v>453</v>
      </c>
      <c r="O6235">
        <v>5.6034391000000003E-2</v>
      </c>
      <c r="P6235">
        <v>1.7763878E-2</v>
      </c>
      <c r="Q6235" t="str">
        <f t="shared" si="194"/>
        <v>15-24</v>
      </c>
      <c r="R6235" t="str">
        <f t="shared" si="195"/>
        <v>[gwVYinjBAe9]|15-24|Female|PLHIV_Attend.T|CY2025Q3</v>
      </c>
    </row>
    <row r="6236" spans="4:18" x14ac:dyDescent="0.2">
      <c r="D6236" t="s">
        <v>135</v>
      </c>
      <c r="E6236" t="s">
        <v>136</v>
      </c>
      <c r="F6236" t="s">
        <v>137</v>
      </c>
      <c r="G6236" t="s">
        <v>221</v>
      </c>
      <c r="H6236" t="s">
        <v>221</v>
      </c>
      <c r="I6236" t="s">
        <v>41</v>
      </c>
      <c r="J6236" t="s">
        <v>42</v>
      </c>
      <c r="K6236" t="s">
        <v>30</v>
      </c>
      <c r="L6236" t="s">
        <v>31</v>
      </c>
      <c r="M6236" t="s">
        <v>220</v>
      </c>
      <c r="N6236">
        <v>1059</v>
      </c>
      <c r="O6236">
        <v>3.9148241E-2</v>
      </c>
      <c r="P6236">
        <v>1.7763878E-2</v>
      </c>
      <c r="Q6236" t="str">
        <f t="shared" si="194"/>
        <v>25-34</v>
      </c>
      <c r="R6236" t="str">
        <f t="shared" si="195"/>
        <v>[gwVYinjBAe9]|25-34|Female|PLHIV_Attend.T|CY2025Q3</v>
      </c>
    </row>
    <row r="6237" spans="4:18" x14ac:dyDescent="0.2">
      <c r="D6237" t="s">
        <v>135</v>
      </c>
      <c r="E6237" t="s">
        <v>136</v>
      </c>
      <c r="F6237" t="s">
        <v>137</v>
      </c>
      <c r="G6237" t="s">
        <v>221</v>
      </c>
      <c r="H6237" t="s">
        <v>221</v>
      </c>
      <c r="I6237" t="s">
        <v>43</v>
      </c>
      <c r="J6237" t="s">
        <v>44</v>
      </c>
      <c r="K6237" t="s">
        <v>30</v>
      </c>
      <c r="L6237" t="s">
        <v>31</v>
      </c>
      <c r="M6237" t="s">
        <v>220</v>
      </c>
      <c r="N6237">
        <v>2874</v>
      </c>
      <c r="O6237">
        <v>2.4290398000000001E-2</v>
      </c>
      <c r="P6237">
        <v>1.7763878E-2</v>
      </c>
      <c r="Q6237" t="str">
        <f t="shared" si="194"/>
        <v>35-49</v>
      </c>
      <c r="R6237" t="str">
        <f t="shared" si="195"/>
        <v>[gwVYinjBAe9]|35-49|Female|PLHIV_Attend.T|CY2025Q3</v>
      </c>
    </row>
    <row r="6238" spans="4:18" x14ac:dyDescent="0.2">
      <c r="D6238" t="s">
        <v>135</v>
      </c>
      <c r="E6238" t="s">
        <v>136</v>
      </c>
      <c r="F6238" t="s">
        <v>137</v>
      </c>
      <c r="G6238" t="s">
        <v>221</v>
      </c>
      <c r="H6238" t="s">
        <v>221</v>
      </c>
      <c r="I6238" t="s">
        <v>45</v>
      </c>
      <c r="J6238" t="s">
        <v>46</v>
      </c>
      <c r="K6238" t="s">
        <v>30</v>
      </c>
      <c r="L6238" t="s">
        <v>31</v>
      </c>
      <c r="M6238" t="s">
        <v>220</v>
      </c>
      <c r="N6238">
        <v>1488</v>
      </c>
      <c r="O6238">
        <v>3.6567306000000001E-2</v>
      </c>
      <c r="P6238">
        <v>1.7763878E-2</v>
      </c>
      <c r="Q6238" t="str">
        <f t="shared" si="194"/>
        <v>50+</v>
      </c>
      <c r="R6238" t="str">
        <f t="shared" si="195"/>
        <v>[gwVYinjBAe9]|50+|Female|PLHIV_Attend.T|CY2025Q3</v>
      </c>
    </row>
    <row r="6239" spans="4:18" x14ac:dyDescent="0.2">
      <c r="D6239" t="s">
        <v>135</v>
      </c>
      <c r="E6239" t="s">
        <v>136</v>
      </c>
      <c r="F6239" t="s">
        <v>137</v>
      </c>
      <c r="G6239" t="s">
        <v>221</v>
      </c>
      <c r="H6239" t="s">
        <v>221</v>
      </c>
      <c r="I6239" t="s">
        <v>28</v>
      </c>
      <c r="J6239" t="s">
        <v>29</v>
      </c>
      <c r="K6239" t="s">
        <v>48</v>
      </c>
      <c r="L6239" t="s">
        <v>49</v>
      </c>
      <c r="M6239" t="s">
        <v>220</v>
      </c>
      <c r="N6239">
        <v>5</v>
      </c>
      <c r="O6239">
        <v>2.5879342E-2</v>
      </c>
      <c r="P6239">
        <v>1.7763878E-2</v>
      </c>
      <c r="Q6239" t="str">
        <f t="shared" si="194"/>
        <v>&lt;01</v>
      </c>
      <c r="R6239" t="str">
        <f t="shared" si="195"/>
        <v>[gwVYinjBAe9]|&lt;01|Male|PLHIV_Attend.T|CY2025Q3</v>
      </c>
    </row>
    <row r="6240" spans="4:18" x14ac:dyDescent="0.2">
      <c r="D6240" t="s">
        <v>135</v>
      </c>
      <c r="E6240" t="s">
        <v>136</v>
      </c>
      <c r="F6240" t="s">
        <v>137</v>
      </c>
      <c r="G6240" t="s">
        <v>221</v>
      </c>
      <c r="H6240" t="s">
        <v>221</v>
      </c>
      <c r="I6240" t="s">
        <v>33</v>
      </c>
      <c r="J6240" t="s">
        <v>34</v>
      </c>
      <c r="K6240" t="s">
        <v>48</v>
      </c>
      <c r="L6240" t="s">
        <v>49</v>
      </c>
      <c r="M6240" t="s">
        <v>220</v>
      </c>
      <c r="N6240">
        <v>95</v>
      </c>
      <c r="O6240">
        <v>3.3882092000000003E-2</v>
      </c>
      <c r="P6240">
        <v>1.7763878E-2</v>
      </c>
      <c r="Q6240" t="str">
        <f t="shared" si="194"/>
        <v>01-09</v>
      </c>
      <c r="R6240" t="str">
        <f t="shared" si="195"/>
        <v>[gwVYinjBAe9]|01-09|Male|PLHIV_Attend.T|CY2025Q3</v>
      </c>
    </row>
    <row r="6241" spans="4:18" x14ac:dyDescent="0.2">
      <c r="D6241" t="s">
        <v>135</v>
      </c>
      <c r="E6241" t="s">
        <v>136</v>
      </c>
      <c r="F6241" t="s">
        <v>137</v>
      </c>
      <c r="G6241" t="s">
        <v>221</v>
      </c>
      <c r="H6241" t="s">
        <v>221</v>
      </c>
      <c r="I6241" t="s">
        <v>36</v>
      </c>
      <c r="J6241" t="s">
        <v>37</v>
      </c>
      <c r="K6241" t="s">
        <v>48</v>
      </c>
      <c r="L6241" t="s">
        <v>49</v>
      </c>
      <c r="M6241" t="s">
        <v>220</v>
      </c>
      <c r="N6241">
        <v>123</v>
      </c>
      <c r="O6241">
        <v>4.6483798E-2</v>
      </c>
      <c r="P6241">
        <v>1.7763878E-2</v>
      </c>
      <c r="Q6241" t="str">
        <f t="shared" si="194"/>
        <v>10-14</v>
      </c>
      <c r="R6241" t="str">
        <f t="shared" si="195"/>
        <v>[gwVYinjBAe9]|10-14|Male|PLHIV_Attend.T|CY2025Q3</v>
      </c>
    </row>
    <row r="6242" spans="4:18" x14ac:dyDescent="0.2">
      <c r="D6242" t="s">
        <v>135</v>
      </c>
      <c r="E6242" t="s">
        <v>136</v>
      </c>
      <c r="F6242" t="s">
        <v>137</v>
      </c>
      <c r="G6242" t="s">
        <v>221</v>
      </c>
      <c r="H6242" t="s">
        <v>221</v>
      </c>
      <c r="I6242" t="s">
        <v>38</v>
      </c>
      <c r="J6242" t="s">
        <v>39</v>
      </c>
      <c r="K6242" t="s">
        <v>48</v>
      </c>
      <c r="L6242" t="s">
        <v>49</v>
      </c>
      <c r="M6242" t="s">
        <v>220</v>
      </c>
      <c r="N6242">
        <v>326</v>
      </c>
      <c r="O6242">
        <v>6.0848270000000003E-2</v>
      </c>
      <c r="P6242">
        <v>1.7763878E-2</v>
      </c>
      <c r="Q6242" t="str">
        <f t="shared" si="194"/>
        <v>15-24</v>
      </c>
      <c r="R6242" t="str">
        <f t="shared" si="195"/>
        <v>[gwVYinjBAe9]|15-24|Male|PLHIV_Attend.T|CY2025Q3</v>
      </c>
    </row>
    <row r="6243" spans="4:18" x14ac:dyDescent="0.2">
      <c r="D6243" t="s">
        <v>135</v>
      </c>
      <c r="E6243" t="s">
        <v>136</v>
      </c>
      <c r="F6243" t="s">
        <v>137</v>
      </c>
      <c r="G6243" t="s">
        <v>221</v>
      </c>
      <c r="H6243" t="s">
        <v>221</v>
      </c>
      <c r="I6243" t="s">
        <v>41</v>
      </c>
      <c r="J6243" t="s">
        <v>42</v>
      </c>
      <c r="K6243" t="s">
        <v>48</v>
      </c>
      <c r="L6243" t="s">
        <v>49</v>
      </c>
      <c r="M6243" t="s">
        <v>220</v>
      </c>
      <c r="N6243">
        <v>390</v>
      </c>
      <c r="O6243">
        <v>6.5720107999999999E-2</v>
      </c>
      <c r="P6243">
        <v>1.7763878E-2</v>
      </c>
      <c r="Q6243" t="str">
        <f t="shared" si="194"/>
        <v>25-34</v>
      </c>
      <c r="R6243" t="str">
        <f t="shared" si="195"/>
        <v>[gwVYinjBAe9]|25-34|Male|PLHIV_Attend.T|CY2025Q3</v>
      </c>
    </row>
    <row r="6244" spans="4:18" x14ac:dyDescent="0.2">
      <c r="D6244" t="s">
        <v>135</v>
      </c>
      <c r="E6244" t="s">
        <v>136</v>
      </c>
      <c r="F6244" t="s">
        <v>137</v>
      </c>
      <c r="G6244" t="s">
        <v>221</v>
      </c>
      <c r="H6244" t="s">
        <v>221</v>
      </c>
      <c r="I6244" t="s">
        <v>43</v>
      </c>
      <c r="J6244" t="s">
        <v>44</v>
      </c>
      <c r="K6244" t="s">
        <v>48</v>
      </c>
      <c r="L6244" t="s">
        <v>49</v>
      </c>
      <c r="M6244" t="s">
        <v>220</v>
      </c>
      <c r="N6244">
        <v>1389</v>
      </c>
      <c r="O6244">
        <v>3.5473701000000003E-2</v>
      </c>
      <c r="P6244">
        <v>1.7763878E-2</v>
      </c>
      <c r="Q6244" t="str">
        <f t="shared" si="194"/>
        <v>35-49</v>
      </c>
      <c r="R6244" t="str">
        <f t="shared" si="195"/>
        <v>[gwVYinjBAe9]|35-49|Male|PLHIV_Attend.T|CY2025Q3</v>
      </c>
    </row>
    <row r="6245" spans="4:18" x14ac:dyDescent="0.2">
      <c r="D6245" t="s">
        <v>135</v>
      </c>
      <c r="E6245" t="s">
        <v>136</v>
      </c>
      <c r="F6245" t="s">
        <v>137</v>
      </c>
      <c r="G6245" t="s">
        <v>221</v>
      </c>
      <c r="H6245" t="s">
        <v>221</v>
      </c>
      <c r="I6245" t="s">
        <v>45</v>
      </c>
      <c r="J6245" t="s">
        <v>46</v>
      </c>
      <c r="K6245" t="s">
        <v>48</v>
      </c>
      <c r="L6245" t="s">
        <v>49</v>
      </c>
      <c r="M6245" t="s">
        <v>220</v>
      </c>
      <c r="N6245">
        <v>1161</v>
      </c>
      <c r="O6245">
        <v>3.6562131999999997E-2</v>
      </c>
      <c r="P6245">
        <v>1.7763878E-2</v>
      </c>
      <c r="Q6245" t="str">
        <f t="shared" si="194"/>
        <v>50+</v>
      </c>
      <c r="R6245" t="str">
        <f t="shared" si="195"/>
        <v>[gwVYinjBAe9]|50+|Male|PLHIV_Attend.T|CY2025Q3</v>
      </c>
    </row>
    <row r="6246" spans="4:18" x14ac:dyDescent="0.2">
      <c r="D6246" t="s">
        <v>23</v>
      </c>
      <c r="E6246" t="s">
        <v>24</v>
      </c>
      <c r="F6246" t="s">
        <v>25</v>
      </c>
      <c r="G6246" t="s">
        <v>222</v>
      </c>
      <c r="H6246" t="s">
        <v>222</v>
      </c>
      <c r="I6246" t="s">
        <v>28</v>
      </c>
      <c r="J6246" t="s">
        <v>29</v>
      </c>
      <c r="K6246" t="s">
        <v>30</v>
      </c>
      <c r="L6246" t="s">
        <v>31</v>
      </c>
      <c r="M6246" t="s">
        <v>220</v>
      </c>
      <c r="N6246">
        <v>8.2879299999999998E-4</v>
      </c>
      <c r="O6246">
        <v>7.1917580999999994E-2</v>
      </c>
      <c r="P6246">
        <v>7.9889582000000001E-2</v>
      </c>
      <c r="Q6246" t="str">
        <f t="shared" si="194"/>
        <v>&lt;01</v>
      </c>
      <c r="R6246" t="str">
        <f t="shared" si="195"/>
        <v>[GkIwZrXy1h2]|&lt;01|Female|Incidence_SUBNAT.Rt.T|CY2025Q3</v>
      </c>
    </row>
    <row r="6247" spans="4:18" x14ac:dyDescent="0.2">
      <c r="D6247" t="s">
        <v>23</v>
      </c>
      <c r="E6247" t="s">
        <v>24</v>
      </c>
      <c r="F6247" t="s">
        <v>25</v>
      </c>
      <c r="G6247" t="s">
        <v>222</v>
      </c>
      <c r="H6247" t="s">
        <v>222</v>
      </c>
      <c r="I6247" t="s">
        <v>33</v>
      </c>
      <c r="J6247" t="s">
        <v>34</v>
      </c>
      <c r="K6247" t="s">
        <v>30</v>
      </c>
      <c r="L6247" t="s">
        <v>31</v>
      </c>
      <c r="M6247" t="s">
        <v>220</v>
      </c>
      <c r="N6247" s="235" t="s">
        <v>223</v>
      </c>
      <c r="O6247">
        <v>3.5958790999999997E-2</v>
      </c>
      <c r="P6247">
        <v>7.9889582000000001E-2</v>
      </c>
      <c r="Q6247" t="str">
        <f t="shared" si="194"/>
        <v>01-09</v>
      </c>
      <c r="R6247" t="str">
        <f t="shared" si="195"/>
        <v>[GkIwZrXy1h2]|01-09|Female|Incidence_SUBNAT.Rt.T|CY2025Q3</v>
      </c>
    </row>
    <row r="6248" spans="4:18" x14ac:dyDescent="0.2">
      <c r="D6248" t="s">
        <v>23</v>
      </c>
      <c r="E6248" t="s">
        <v>24</v>
      </c>
      <c r="F6248" t="s">
        <v>25</v>
      </c>
      <c r="G6248" t="s">
        <v>222</v>
      </c>
      <c r="H6248" t="s">
        <v>222</v>
      </c>
      <c r="I6248" t="s">
        <v>36</v>
      </c>
      <c r="J6248" t="s">
        <v>37</v>
      </c>
      <c r="K6248" t="s">
        <v>30</v>
      </c>
      <c r="L6248" t="s">
        <v>31</v>
      </c>
      <c r="M6248" t="s">
        <v>220</v>
      </c>
      <c r="N6248">
        <v>0</v>
      </c>
      <c r="O6248">
        <v>0</v>
      </c>
      <c r="P6248">
        <v>7.9889582000000001E-2</v>
      </c>
      <c r="Q6248" t="str">
        <f t="shared" si="194"/>
        <v>10-14</v>
      </c>
      <c r="R6248" t="str">
        <f t="shared" si="195"/>
        <v>[GkIwZrXy1h2]|10-14|Female|Incidence_SUBNAT.Rt.T|CY2025Q3</v>
      </c>
    </row>
    <row r="6249" spans="4:18" x14ac:dyDescent="0.2">
      <c r="D6249" t="s">
        <v>23</v>
      </c>
      <c r="E6249" t="s">
        <v>24</v>
      </c>
      <c r="F6249" t="s">
        <v>25</v>
      </c>
      <c r="G6249" t="s">
        <v>222</v>
      </c>
      <c r="H6249" t="s">
        <v>222</v>
      </c>
      <c r="I6249" t="s">
        <v>38</v>
      </c>
      <c r="J6249" t="s">
        <v>39</v>
      </c>
      <c r="K6249" t="s">
        <v>30</v>
      </c>
      <c r="L6249" t="s">
        <v>31</v>
      </c>
      <c r="M6249" t="s">
        <v>220</v>
      </c>
      <c r="N6249">
        <v>4.7826500000000002E-4</v>
      </c>
      <c r="O6249">
        <v>8.2927020000000004E-2</v>
      </c>
      <c r="P6249">
        <v>7.9889582000000001E-2</v>
      </c>
      <c r="Q6249" t="str">
        <f t="shared" si="194"/>
        <v>15-24</v>
      </c>
      <c r="R6249" t="str">
        <f t="shared" si="195"/>
        <v>[GkIwZrXy1h2]|15-24|Female|Incidence_SUBNAT.Rt.T|CY2025Q3</v>
      </c>
    </row>
    <row r="6250" spans="4:18" x14ac:dyDescent="0.2">
      <c r="D6250" t="s">
        <v>23</v>
      </c>
      <c r="E6250" t="s">
        <v>24</v>
      </c>
      <c r="F6250" t="s">
        <v>25</v>
      </c>
      <c r="G6250" t="s">
        <v>222</v>
      </c>
      <c r="H6250" t="s">
        <v>222</v>
      </c>
      <c r="I6250" t="s">
        <v>41</v>
      </c>
      <c r="J6250" t="s">
        <v>42</v>
      </c>
      <c r="K6250" t="s">
        <v>30</v>
      </c>
      <c r="L6250" t="s">
        <v>31</v>
      </c>
      <c r="M6250" t="s">
        <v>220</v>
      </c>
      <c r="N6250">
        <v>7.3383599999999997E-4</v>
      </c>
      <c r="O6250">
        <v>8.3103047999999999E-2</v>
      </c>
      <c r="P6250">
        <v>7.9889582000000001E-2</v>
      </c>
      <c r="Q6250" t="str">
        <f t="shared" si="194"/>
        <v>25-34</v>
      </c>
      <c r="R6250" t="str">
        <f t="shared" si="195"/>
        <v>[GkIwZrXy1h2]|25-34|Female|Incidence_SUBNAT.Rt.T|CY2025Q3</v>
      </c>
    </row>
    <row r="6251" spans="4:18" x14ac:dyDescent="0.2">
      <c r="D6251" t="s">
        <v>23</v>
      </c>
      <c r="E6251" t="s">
        <v>24</v>
      </c>
      <c r="F6251" t="s">
        <v>25</v>
      </c>
      <c r="G6251" t="s">
        <v>222</v>
      </c>
      <c r="H6251" t="s">
        <v>222</v>
      </c>
      <c r="I6251" t="s">
        <v>43</v>
      </c>
      <c r="J6251" t="s">
        <v>44</v>
      </c>
      <c r="K6251" t="s">
        <v>30</v>
      </c>
      <c r="L6251" t="s">
        <v>31</v>
      </c>
      <c r="M6251" t="s">
        <v>220</v>
      </c>
      <c r="N6251">
        <v>3.7666899999999999E-4</v>
      </c>
      <c r="O6251">
        <v>8.3229991000000003E-2</v>
      </c>
      <c r="P6251">
        <v>7.9889582000000001E-2</v>
      </c>
      <c r="Q6251" t="str">
        <f t="shared" si="194"/>
        <v>35-49</v>
      </c>
      <c r="R6251" t="str">
        <f t="shared" si="195"/>
        <v>[GkIwZrXy1h2]|35-49|Female|Incidence_SUBNAT.Rt.T|CY2025Q3</v>
      </c>
    </row>
    <row r="6252" spans="4:18" x14ac:dyDescent="0.2">
      <c r="D6252" t="s">
        <v>23</v>
      </c>
      <c r="E6252" t="s">
        <v>24</v>
      </c>
      <c r="F6252" t="s">
        <v>25</v>
      </c>
      <c r="G6252" t="s">
        <v>222</v>
      </c>
      <c r="H6252" t="s">
        <v>222</v>
      </c>
      <c r="I6252" t="s">
        <v>45</v>
      </c>
      <c r="J6252" t="s">
        <v>46</v>
      </c>
      <c r="K6252" t="s">
        <v>30</v>
      </c>
      <c r="L6252" t="s">
        <v>31</v>
      </c>
      <c r="M6252" t="s">
        <v>220</v>
      </c>
      <c r="N6252">
        <v>1.07352E-4</v>
      </c>
      <c r="O6252">
        <v>8.1864991999999998E-2</v>
      </c>
      <c r="P6252">
        <v>7.9889582000000001E-2</v>
      </c>
      <c r="Q6252" t="str">
        <f t="shared" si="194"/>
        <v>50+</v>
      </c>
      <c r="R6252" t="str">
        <f t="shared" si="195"/>
        <v>[GkIwZrXy1h2]|50+|Female|Incidence_SUBNAT.Rt.T|CY2025Q3</v>
      </c>
    </row>
    <row r="6253" spans="4:18" x14ac:dyDescent="0.2">
      <c r="D6253" t="s">
        <v>23</v>
      </c>
      <c r="E6253" t="s">
        <v>24</v>
      </c>
      <c r="F6253" t="s">
        <v>25</v>
      </c>
      <c r="G6253" t="s">
        <v>222</v>
      </c>
      <c r="H6253" t="s">
        <v>222</v>
      </c>
      <c r="I6253" t="s">
        <v>28</v>
      </c>
      <c r="J6253" t="s">
        <v>29</v>
      </c>
      <c r="K6253" t="s">
        <v>48</v>
      </c>
      <c r="L6253" t="s">
        <v>49</v>
      </c>
      <c r="M6253" t="s">
        <v>220</v>
      </c>
      <c r="N6253">
        <v>8.3154699999999997E-4</v>
      </c>
      <c r="O6253">
        <v>7.1917580999999994E-2</v>
      </c>
      <c r="P6253">
        <v>7.9889582000000001E-2</v>
      </c>
      <c r="Q6253" t="str">
        <f t="shared" si="194"/>
        <v>&lt;01</v>
      </c>
      <c r="R6253" t="str">
        <f t="shared" si="195"/>
        <v>[GkIwZrXy1h2]|&lt;01|Male|Incidence_SUBNAT.Rt.T|CY2025Q3</v>
      </c>
    </row>
    <row r="6254" spans="4:18" x14ac:dyDescent="0.2">
      <c r="D6254" t="s">
        <v>23</v>
      </c>
      <c r="E6254" t="s">
        <v>24</v>
      </c>
      <c r="F6254" t="s">
        <v>25</v>
      </c>
      <c r="G6254" t="s">
        <v>222</v>
      </c>
      <c r="H6254" t="s">
        <v>222</v>
      </c>
      <c r="I6254" t="s">
        <v>33</v>
      </c>
      <c r="J6254" t="s">
        <v>34</v>
      </c>
      <c r="K6254" t="s">
        <v>48</v>
      </c>
      <c r="L6254" t="s">
        <v>49</v>
      </c>
      <c r="M6254" t="s">
        <v>220</v>
      </c>
      <c r="N6254" s="235" t="s">
        <v>224</v>
      </c>
      <c r="O6254">
        <v>3.5958790999999997E-2</v>
      </c>
      <c r="P6254">
        <v>7.9889582000000001E-2</v>
      </c>
      <c r="Q6254" t="str">
        <f t="shared" si="194"/>
        <v>01-09</v>
      </c>
      <c r="R6254" t="str">
        <f t="shared" si="195"/>
        <v>[GkIwZrXy1h2]|01-09|Male|Incidence_SUBNAT.Rt.T|CY2025Q3</v>
      </c>
    </row>
    <row r="6255" spans="4:18" x14ac:dyDescent="0.2">
      <c r="D6255" t="s">
        <v>23</v>
      </c>
      <c r="E6255" t="s">
        <v>24</v>
      </c>
      <c r="F6255" t="s">
        <v>25</v>
      </c>
      <c r="G6255" t="s">
        <v>222</v>
      </c>
      <c r="H6255" t="s">
        <v>222</v>
      </c>
      <c r="I6255" t="s">
        <v>36</v>
      </c>
      <c r="J6255" t="s">
        <v>37</v>
      </c>
      <c r="K6255" t="s">
        <v>48</v>
      </c>
      <c r="L6255" t="s">
        <v>49</v>
      </c>
      <c r="M6255" t="s">
        <v>220</v>
      </c>
      <c r="N6255">
        <v>0</v>
      </c>
      <c r="O6255">
        <v>0</v>
      </c>
      <c r="P6255">
        <v>7.9889582000000001E-2</v>
      </c>
      <c r="Q6255" t="str">
        <f t="shared" si="194"/>
        <v>10-14</v>
      </c>
      <c r="R6255" t="str">
        <f t="shared" si="195"/>
        <v>[GkIwZrXy1h2]|10-14|Male|Incidence_SUBNAT.Rt.T|CY2025Q3</v>
      </c>
    </row>
    <row r="6256" spans="4:18" x14ac:dyDescent="0.2">
      <c r="D6256" t="s">
        <v>23</v>
      </c>
      <c r="E6256" t="s">
        <v>24</v>
      </c>
      <c r="F6256" t="s">
        <v>25</v>
      </c>
      <c r="G6256" t="s">
        <v>222</v>
      </c>
      <c r="H6256" t="s">
        <v>222</v>
      </c>
      <c r="I6256" t="s">
        <v>38</v>
      </c>
      <c r="J6256" t="s">
        <v>39</v>
      </c>
      <c r="K6256" t="s">
        <v>48</v>
      </c>
      <c r="L6256" t="s">
        <v>49</v>
      </c>
      <c r="M6256" t="s">
        <v>220</v>
      </c>
      <c r="N6256" s="235" t="s">
        <v>225</v>
      </c>
      <c r="O6256">
        <v>8.3004694000000004E-2</v>
      </c>
      <c r="P6256">
        <v>7.9889582000000001E-2</v>
      </c>
      <c r="Q6256" t="str">
        <f t="shared" si="194"/>
        <v>15-24</v>
      </c>
      <c r="R6256" t="str">
        <f t="shared" si="195"/>
        <v>[GkIwZrXy1h2]|15-24|Male|Incidence_SUBNAT.Rt.T|CY2025Q3</v>
      </c>
    </row>
    <row r="6257" spans="4:18" x14ac:dyDescent="0.2">
      <c r="D6257" t="s">
        <v>23</v>
      </c>
      <c r="E6257" t="s">
        <v>24</v>
      </c>
      <c r="F6257" t="s">
        <v>25</v>
      </c>
      <c r="G6257" t="s">
        <v>222</v>
      </c>
      <c r="H6257" t="s">
        <v>222</v>
      </c>
      <c r="I6257" t="s">
        <v>41</v>
      </c>
      <c r="J6257" t="s">
        <v>42</v>
      </c>
      <c r="K6257" t="s">
        <v>48</v>
      </c>
      <c r="L6257" t="s">
        <v>49</v>
      </c>
      <c r="M6257" t="s">
        <v>220</v>
      </c>
      <c r="N6257">
        <v>4.3869299999999998E-4</v>
      </c>
      <c r="O6257">
        <v>8.2989780999999999E-2</v>
      </c>
      <c r="P6257">
        <v>7.9889582000000001E-2</v>
      </c>
      <c r="Q6257" t="str">
        <f t="shared" si="194"/>
        <v>25-34</v>
      </c>
      <c r="R6257" t="str">
        <f t="shared" si="195"/>
        <v>[GkIwZrXy1h2]|25-34|Male|Incidence_SUBNAT.Rt.T|CY2025Q3</v>
      </c>
    </row>
    <row r="6258" spans="4:18" x14ac:dyDescent="0.2">
      <c r="D6258" t="s">
        <v>23</v>
      </c>
      <c r="E6258" t="s">
        <v>24</v>
      </c>
      <c r="F6258" t="s">
        <v>25</v>
      </c>
      <c r="G6258" t="s">
        <v>222</v>
      </c>
      <c r="H6258" t="s">
        <v>222</v>
      </c>
      <c r="I6258" t="s">
        <v>43</v>
      </c>
      <c r="J6258" t="s">
        <v>44</v>
      </c>
      <c r="K6258" t="s">
        <v>48</v>
      </c>
      <c r="L6258" t="s">
        <v>49</v>
      </c>
      <c r="M6258" t="s">
        <v>220</v>
      </c>
      <c r="N6258">
        <v>4.8577199999999998E-4</v>
      </c>
      <c r="O6258">
        <v>8.3105868999999999E-2</v>
      </c>
      <c r="P6258">
        <v>7.9889582000000001E-2</v>
      </c>
      <c r="Q6258" t="str">
        <f t="shared" si="194"/>
        <v>35-49</v>
      </c>
      <c r="R6258" t="str">
        <f t="shared" si="195"/>
        <v>[GkIwZrXy1h2]|35-49|Male|Incidence_SUBNAT.Rt.T|CY2025Q3</v>
      </c>
    </row>
    <row r="6259" spans="4:18" x14ac:dyDescent="0.2">
      <c r="D6259" t="s">
        <v>23</v>
      </c>
      <c r="E6259" t="s">
        <v>24</v>
      </c>
      <c r="F6259" t="s">
        <v>25</v>
      </c>
      <c r="G6259" t="s">
        <v>222</v>
      </c>
      <c r="H6259" t="s">
        <v>222</v>
      </c>
      <c r="I6259" t="s">
        <v>45</v>
      </c>
      <c r="J6259" t="s">
        <v>46</v>
      </c>
      <c r="K6259" t="s">
        <v>48</v>
      </c>
      <c r="L6259" t="s">
        <v>49</v>
      </c>
      <c r="M6259" t="s">
        <v>220</v>
      </c>
      <c r="N6259">
        <v>2.5124799999999998E-4</v>
      </c>
      <c r="O6259">
        <v>8.2437843999999996E-2</v>
      </c>
      <c r="P6259">
        <v>7.9889582000000001E-2</v>
      </c>
      <c r="Q6259" t="str">
        <f t="shared" si="194"/>
        <v>50+</v>
      </c>
      <c r="R6259" t="str">
        <f t="shared" si="195"/>
        <v>[GkIwZrXy1h2]|50+|Male|Incidence_SUBNAT.Rt.T|CY2025Q3</v>
      </c>
    </row>
    <row r="6260" spans="4:18" x14ac:dyDescent="0.2">
      <c r="D6260" t="s">
        <v>53</v>
      </c>
      <c r="E6260" t="s">
        <v>54</v>
      </c>
      <c r="F6260" t="s">
        <v>55</v>
      </c>
      <c r="G6260" t="s">
        <v>222</v>
      </c>
      <c r="H6260" t="s">
        <v>222</v>
      </c>
      <c r="I6260" t="s">
        <v>28</v>
      </c>
      <c r="J6260" t="s">
        <v>29</v>
      </c>
      <c r="K6260" t="s">
        <v>30</v>
      </c>
      <c r="L6260" t="s">
        <v>31</v>
      </c>
      <c r="M6260" t="s">
        <v>220</v>
      </c>
      <c r="N6260">
        <v>1.6243E-3</v>
      </c>
      <c r="O6260">
        <v>3.2402025000000001E-2</v>
      </c>
      <c r="P6260">
        <v>4.3234776000000003E-2</v>
      </c>
      <c r="Q6260" t="str">
        <f t="shared" si="194"/>
        <v>&lt;01</v>
      </c>
      <c r="R6260" t="str">
        <f t="shared" si="195"/>
        <v>[cPtvxaZqXIH]|&lt;01|Female|Incidence_SUBNAT.Rt.T|CY2025Q3</v>
      </c>
    </row>
    <row r="6261" spans="4:18" x14ac:dyDescent="0.2">
      <c r="D6261" t="s">
        <v>53</v>
      </c>
      <c r="E6261" t="s">
        <v>54</v>
      </c>
      <c r="F6261" t="s">
        <v>55</v>
      </c>
      <c r="G6261" t="s">
        <v>222</v>
      </c>
      <c r="H6261" t="s">
        <v>222</v>
      </c>
      <c r="I6261" t="s">
        <v>33</v>
      </c>
      <c r="J6261" t="s">
        <v>34</v>
      </c>
      <c r="K6261" t="s">
        <v>30</v>
      </c>
      <c r="L6261" t="s">
        <v>31</v>
      </c>
      <c r="M6261" t="s">
        <v>220</v>
      </c>
      <c r="N6261" s="235" t="s">
        <v>226</v>
      </c>
      <c r="O6261">
        <v>1.6201012000000001E-2</v>
      </c>
      <c r="P6261">
        <v>4.3234776000000003E-2</v>
      </c>
      <c r="Q6261" t="str">
        <f t="shared" si="194"/>
        <v>01-09</v>
      </c>
      <c r="R6261" t="str">
        <f t="shared" si="195"/>
        <v>[cPtvxaZqXIH]|01-09|Female|Incidence_SUBNAT.Rt.T|CY2025Q3</v>
      </c>
    </row>
    <row r="6262" spans="4:18" x14ac:dyDescent="0.2">
      <c r="D6262" t="s">
        <v>53</v>
      </c>
      <c r="E6262" t="s">
        <v>54</v>
      </c>
      <c r="F6262" t="s">
        <v>55</v>
      </c>
      <c r="G6262" t="s">
        <v>222</v>
      </c>
      <c r="H6262" t="s">
        <v>222</v>
      </c>
      <c r="I6262" t="s">
        <v>36</v>
      </c>
      <c r="J6262" t="s">
        <v>37</v>
      </c>
      <c r="K6262" t="s">
        <v>30</v>
      </c>
      <c r="L6262" t="s">
        <v>31</v>
      </c>
      <c r="M6262" t="s">
        <v>220</v>
      </c>
      <c r="N6262">
        <v>0</v>
      </c>
      <c r="O6262">
        <v>0</v>
      </c>
      <c r="P6262">
        <v>4.3234776000000003E-2</v>
      </c>
      <c r="Q6262" t="str">
        <f t="shared" si="194"/>
        <v>10-14</v>
      </c>
      <c r="R6262" t="str">
        <f t="shared" si="195"/>
        <v>[cPtvxaZqXIH]|10-14|Female|Incidence_SUBNAT.Rt.T|CY2025Q3</v>
      </c>
    </row>
    <row r="6263" spans="4:18" x14ac:dyDescent="0.2">
      <c r="D6263" t="s">
        <v>53</v>
      </c>
      <c r="E6263" t="s">
        <v>54</v>
      </c>
      <c r="F6263" t="s">
        <v>55</v>
      </c>
      <c r="G6263" t="s">
        <v>222</v>
      </c>
      <c r="H6263" t="s">
        <v>222</v>
      </c>
      <c r="I6263" t="s">
        <v>38</v>
      </c>
      <c r="J6263" t="s">
        <v>39</v>
      </c>
      <c r="K6263" t="s">
        <v>30</v>
      </c>
      <c r="L6263" t="s">
        <v>31</v>
      </c>
      <c r="M6263" t="s">
        <v>220</v>
      </c>
      <c r="N6263">
        <v>9.2283100000000004E-4</v>
      </c>
      <c r="O6263">
        <v>4.6869698000000001E-2</v>
      </c>
      <c r="P6263">
        <v>4.3234776000000003E-2</v>
      </c>
      <c r="Q6263" t="str">
        <f t="shared" si="194"/>
        <v>15-24</v>
      </c>
      <c r="R6263" t="str">
        <f t="shared" si="195"/>
        <v>[cPtvxaZqXIH]|15-24|Female|Incidence_SUBNAT.Rt.T|CY2025Q3</v>
      </c>
    </row>
    <row r="6264" spans="4:18" x14ac:dyDescent="0.2">
      <c r="D6264" t="s">
        <v>53</v>
      </c>
      <c r="E6264" t="s">
        <v>54</v>
      </c>
      <c r="F6264" t="s">
        <v>55</v>
      </c>
      <c r="G6264" t="s">
        <v>222</v>
      </c>
      <c r="H6264" t="s">
        <v>222</v>
      </c>
      <c r="I6264" t="s">
        <v>41</v>
      </c>
      <c r="J6264" t="s">
        <v>42</v>
      </c>
      <c r="K6264" t="s">
        <v>30</v>
      </c>
      <c r="L6264" t="s">
        <v>31</v>
      </c>
      <c r="M6264" t="s">
        <v>220</v>
      </c>
      <c r="N6264">
        <v>1.4098870000000001E-3</v>
      </c>
      <c r="O6264">
        <v>4.7033392E-2</v>
      </c>
      <c r="P6264">
        <v>4.3234776000000003E-2</v>
      </c>
      <c r="Q6264" t="str">
        <f t="shared" si="194"/>
        <v>25-34</v>
      </c>
      <c r="R6264" t="str">
        <f t="shared" si="195"/>
        <v>[cPtvxaZqXIH]|25-34|Female|Incidence_SUBNAT.Rt.T|CY2025Q3</v>
      </c>
    </row>
    <row r="6265" spans="4:18" x14ac:dyDescent="0.2">
      <c r="D6265" t="s">
        <v>53</v>
      </c>
      <c r="E6265" t="s">
        <v>54</v>
      </c>
      <c r="F6265" t="s">
        <v>55</v>
      </c>
      <c r="G6265" t="s">
        <v>222</v>
      </c>
      <c r="H6265" t="s">
        <v>222</v>
      </c>
      <c r="I6265" t="s">
        <v>43</v>
      </c>
      <c r="J6265" t="s">
        <v>44</v>
      </c>
      <c r="K6265" t="s">
        <v>30</v>
      </c>
      <c r="L6265" t="s">
        <v>31</v>
      </c>
      <c r="M6265" t="s">
        <v>220</v>
      </c>
      <c r="N6265">
        <v>7.4177800000000001E-4</v>
      </c>
      <c r="O6265">
        <v>4.7135802999999997E-2</v>
      </c>
      <c r="P6265">
        <v>4.3234776000000003E-2</v>
      </c>
      <c r="Q6265" t="str">
        <f t="shared" si="194"/>
        <v>35-49</v>
      </c>
      <c r="R6265" t="str">
        <f t="shared" si="195"/>
        <v>[cPtvxaZqXIH]|35-49|Female|Incidence_SUBNAT.Rt.T|CY2025Q3</v>
      </c>
    </row>
    <row r="6266" spans="4:18" x14ac:dyDescent="0.2">
      <c r="D6266" t="s">
        <v>53</v>
      </c>
      <c r="E6266" t="s">
        <v>54</v>
      </c>
      <c r="F6266" t="s">
        <v>55</v>
      </c>
      <c r="G6266" t="s">
        <v>222</v>
      </c>
      <c r="H6266" t="s">
        <v>222</v>
      </c>
      <c r="I6266" t="s">
        <v>45</v>
      </c>
      <c r="J6266" t="s">
        <v>46</v>
      </c>
      <c r="K6266" t="s">
        <v>30</v>
      </c>
      <c r="L6266" t="s">
        <v>31</v>
      </c>
      <c r="M6266" t="s">
        <v>220</v>
      </c>
      <c r="N6266">
        <v>2.0388399999999999E-4</v>
      </c>
      <c r="O6266">
        <v>4.630124E-2</v>
      </c>
      <c r="P6266">
        <v>4.3234776000000003E-2</v>
      </c>
      <c r="Q6266" t="str">
        <f t="shared" si="194"/>
        <v>50+</v>
      </c>
      <c r="R6266" t="str">
        <f t="shared" si="195"/>
        <v>[cPtvxaZqXIH]|50+|Female|Incidence_SUBNAT.Rt.T|CY2025Q3</v>
      </c>
    </row>
    <row r="6267" spans="4:18" x14ac:dyDescent="0.2">
      <c r="D6267" t="s">
        <v>53</v>
      </c>
      <c r="E6267" t="s">
        <v>54</v>
      </c>
      <c r="F6267" t="s">
        <v>55</v>
      </c>
      <c r="G6267" t="s">
        <v>222</v>
      </c>
      <c r="H6267" t="s">
        <v>222</v>
      </c>
      <c r="I6267" t="s">
        <v>28</v>
      </c>
      <c r="J6267" t="s">
        <v>29</v>
      </c>
      <c r="K6267" t="s">
        <v>48</v>
      </c>
      <c r="L6267" t="s">
        <v>49</v>
      </c>
      <c r="M6267" t="s">
        <v>220</v>
      </c>
      <c r="N6267">
        <v>1.629693E-3</v>
      </c>
      <c r="O6267">
        <v>3.2402025000000001E-2</v>
      </c>
      <c r="P6267">
        <v>4.3234776000000003E-2</v>
      </c>
      <c r="Q6267" t="str">
        <f t="shared" si="194"/>
        <v>&lt;01</v>
      </c>
      <c r="R6267" t="str">
        <f t="shared" si="195"/>
        <v>[cPtvxaZqXIH]|&lt;01|Male|Incidence_SUBNAT.Rt.T|CY2025Q3</v>
      </c>
    </row>
    <row r="6268" spans="4:18" x14ac:dyDescent="0.2">
      <c r="D6268" t="s">
        <v>53</v>
      </c>
      <c r="E6268" t="s">
        <v>54</v>
      </c>
      <c r="F6268" t="s">
        <v>55</v>
      </c>
      <c r="G6268" t="s">
        <v>222</v>
      </c>
      <c r="H6268" t="s">
        <v>222</v>
      </c>
      <c r="I6268" t="s">
        <v>33</v>
      </c>
      <c r="J6268" t="s">
        <v>34</v>
      </c>
      <c r="K6268" t="s">
        <v>48</v>
      </c>
      <c r="L6268" t="s">
        <v>49</v>
      </c>
      <c r="M6268" t="s">
        <v>220</v>
      </c>
      <c r="N6268" s="235" t="s">
        <v>227</v>
      </c>
      <c r="O6268">
        <v>1.6201012000000001E-2</v>
      </c>
      <c r="P6268">
        <v>4.3234776000000003E-2</v>
      </c>
      <c r="Q6268" t="str">
        <f t="shared" si="194"/>
        <v>01-09</v>
      </c>
      <c r="R6268" t="str">
        <f t="shared" si="195"/>
        <v>[cPtvxaZqXIH]|01-09|Male|Incidence_SUBNAT.Rt.T|CY2025Q3</v>
      </c>
    </row>
    <row r="6269" spans="4:18" x14ac:dyDescent="0.2">
      <c r="D6269" t="s">
        <v>53</v>
      </c>
      <c r="E6269" t="s">
        <v>54</v>
      </c>
      <c r="F6269" t="s">
        <v>55</v>
      </c>
      <c r="G6269" t="s">
        <v>222</v>
      </c>
      <c r="H6269" t="s">
        <v>222</v>
      </c>
      <c r="I6269" t="s">
        <v>36</v>
      </c>
      <c r="J6269" t="s">
        <v>37</v>
      </c>
      <c r="K6269" t="s">
        <v>48</v>
      </c>
      <c r="L6269" t="s">
        <v>49</v>
      </c>
      <c r="M6269" t="s">
        <v>220</v>
      </c>
      <c r="N6269">
        <v>0</v>
      </c>
      <c r="O6269">
        <v>0</v>
      </c>
      <c r="P6269">
        <v>4.3234776000000003E-2</v>
      </c>
      <c r="Q6269" t="str">
        <f t="shared" si="194"/>
        <v>10-14</v>
      </c>
      <c r="R6269" t="str">
        <f t="shared" si="195"/>
        <v>[cPtvxaZqXIH]|10-14|Male|Incidence_SUBNAT.Rt.T|CY2025Q3</v>
      </c>
    </row>
    <row r="6270" spans="4:18" x14ac:dyDescent="0.2">
      <c r="D6270" t="s">
        <v>53</v>
      </c>
      <c r="E6270" t="s">
        <v>54</v>
      </c>
      <c r="F6270" t="s">
        <v>55</v>
      </c>
      <c r="G6270" t="s">
        <v>222</v>
      </c>
      <c r="H6270" t="s">
        <v>222</v>
      </c>
      <c r="I6270" t="s">
        <v>38</v>
      </c>
      <c r="J6270" t="s">
        <v>39</v>
      </c>
      <c r="K6270" t="s">
        <v>48</v>
      </c>
      <c r="L6270" t="s">
        <v>49</v>
      </c>
      <c r="M6270" t="s">
        <v>220</v>
      </c>
      <c r="N6270">
        <v>1.5489400000000001E-4</v>
      </c>
      <c r="O6270">
        <v>4.6901459E-2</v>
      </c>
      <c r="P6270">
        <v>4.3234776000000003E-2</v>
      </c>
      <c r="Q6270" t="str">
        <f t="shared" si="194"/>
        <v>15-24</v>
      </c>
      <c r="R6270" t="str">
        <f t="shared" si="195"/>
        <v>[cPtvxaZqXIH]|15-24|Male|Incidence_SUBNAT.Rt.T|CY2025Q3</v>
      </c>
    </row>
    <row r="6271" spans="4:18" x14ac:dyDescent="0.2">
      <c r="D6271" t="s">
        <v>53</v>
      </c>
      <c r="E6271" t="s">
        <v>54</v>
      </c>
      <c r="F6271" t="s">
        <v>55</v>
      </c>
      <c r="G6271" t="s">
        <v>222</v>
      </c>
      <c r="H6271" t="s">
        <v>222</v>
      </c>
      <c r="I6271" t="s">
        <v>41</v>
      </c>
      <c r="J6271" t="s">
        <v>42</v>
      </c>
      <c r="K6271" t="s">
        <v>48</v>
      </c>
      <c r="L6271" t="s">
        <v>49</v>
      </c>
      <c r="M6271" t="s">
        <v>220</v>
      </c>
      <c r="N6271">
        <v>8.4815800000000001E-4</v>
      </c>
      <c r="O6271">
        <v>4.6940218999999998E-2</v>
      </c>
      <c r="P6271">
        <v>4.3234776000000003E-2</v>
      </c>
      <c r="Q6271" t="str">
        <f t="shared" si="194"/>
        <v>25-34</v>
      </c>
      <c r="R6271" t="str">
        <f t="shared" si="195"/>
        <v>[cPtvxaZqXIH]|25-34|Male|Incidence_SUBNAT.Rt.T|CY2025Q3</v>
      </c>
    </row>
    <row r="6272" spans="4:18" x14ac:dyDescent="0.2">
      <c r="D6272" t="s">
        <v>53</v>
      </c>
      <c r="E6272" t="s">
        <v>54</v>
      </c>
      <c r="F6272" t="s">
        <v>55</v>
      </c>
      <c r="G6272" t="s">
        <v>222</v>
      </c>
      <c r="H6272" t="s">
        <v>222</v>
      </c>
      <c r="I6272" t="s">
        <v>43</v>
      </c>
      <c r="J6272" t="s">
        <v>44</v>
      </c>
      <c r="K6272" t="s">
        <v>48</v>
      </c>
      <c r="L6272" t="s">
        <v>49</v>
      </c>
      <c r="M6272" t="s">
        <v>220</v>
      </c>
      <c r="N6272">
        <v>9.4246E-4</v>
      </c>
      <c r="O6272">
        <v>4.7040485999999999E-2</v>
      </c>
      <c r="P6272">
        <v>4.3234776000000003E-2</v>
      </c>
      <c r="Q6272" t="str">
        <f t="shared" si="194"/>
        <v>35-49</v>
      </c>
      <c r="R6272" t="str">
        <f t="shared" si="195"/>
        <v>[cPtvxaZqXIH]|35-49|Male|Incidence_SUBNAT.Rt.T|CY2025Q3</v>
      </c>
    </row>
    <row r="6273" spans="4:18" x14ac:dyDescent="0.2">
      <c r="D6273" t="s">
        <v>53</v>
      </c>
      <c r="E6273" t="s">
        <v>54</v>
      </c>
      <c r="F6273" t="s">
        <v>55</v>
      </c>
      <c r="G6273" t="s">
        <v>222</v>
      </c>
      <c r="H6273" t="s">
        <v>222</v>
      </c>
      <c r="I6273" t="s">
        <v>45</v>
      </c>
      <c r="J6273" t="s">
        <v>46</v>
      </c>
      <c r="K6273" t="s">
        <v>48</v>
      </c>
      <c r="L6273" t="s">
        <v>49</v>
      </c>
      <c r="M6273" t="s">
        <v>220</v>
      </c>
      <c r="N6273">
        <v>4.7580399999999997E-4</v>
      </c>
      <c r="O6273">
        <v>4.6572760999999997E-2</v>
      </c>
      <c r="P6273">
        <v>4.3234776000000003E-2</v>
      </c>
      <c r="Q6273" t="str">
        <f t="shared" si="194"/>
        <v>50+</v>
      </c>
      <c r="R6273" t="str">
        <f t="shared" si="195"/>
        <v>[cPtvxaZqXIH]|50+|Male|Incidence_SUBNAT.Rt.T|CY2025Q3</v>
      </c>
    </row>
    <row r="6274" spans="4:18" x14ac:dyDescent="0.2">
      <c r="D6274" t="s">
        <v>60</v>
      </c>
      <c r="E6274" t="s">
        <v>61</v>
      </c>
      <c r="F6274" t="s">
        <v>62</v>
      </c>
      <c r="G6274" t="s">
        <v>222</v>
      </c>
      <c r="H6274" t="s">
        <v>222</v>
      </c>
      <c r="I6274" t="s">
        <v>28</v>
      </c>
      <c r="J6274" t="s">
        <v>29</v>
      </c>
      <c r="K6274" t="s">
        <v>30</v>
      </c>
      <c r="L6274" t="s">
        <v>31</v>
      </c>
      <c r="M6274" t="s">
        <v>220</v>
      </c>
      <c r="N6274">
        <v>1.7465580000000001E-3</v>
      </c>
      <c r="O6274">
        <v>8.2359302999999995E-2</v>
      </c>
      <c r="P6274">
        <v>8.7676203999999994E-2</v>
      </c>
      <c r="Q6274" t="str">
        <f t="shared" si="194"/>
        <v>&lt;01</v>
      </c>
      <c r="R6274" t="str">
        <f t="shared" si="195"/>
        <v>[E7zpfyBt7Tw]|&lt;01|Female|Incidence_SUBNAT.Rt.T|CY2025Q3</v>
      </c>
    </row>
    <row r="6275" spans="4:18" x14ac:dyDescent="0.2">
      <c r="D6275" t="s">
        <v>60</v>
      </c>
      <c r="E6275" t="s">
        <v>61</v>
      </c>
      <c r="F6275" t="s">
        <v>62</v>
      </c>
      <c r="G6275" t="s">
        <v>222</v>
      </c>
      <c r="H6275" t="s">
        <v>222</v>
      </c>
      <c r="I6275" t="s">
        <v>33</v>
      </c>
      <c r="J6275" t="s">
        <v>34</v>
      </c>
      <c r="K6275" t="s">
        <v>30</v>
      </c>
      <c r="L6275" t="s">
        <v>31</v>
      </c>
      <c r="M6275" t="s">
        <v>220</v>
      </c>
      <c r="N6275" s="235" t="s">
        <v>228</v>
      </c>
      <c r="O6275">
        <v>4.1179650999999998E-2</v>
      </c>
      <c r="P6275">
        <v>8.7676203999999994E-2</v>
      </c>
      <c r="Q6275" t="str">
        <f t="shared" ref="Q6275:Q6338" si="196">SUBSTITUTE(SUBSTITUTE($I6275,CHAR(61),""),CHAR(34),"")</f>
        <v>01-09</v>
      </c>
      <c r="R6275" t="str">
        <f t="shared" ref="R6275:R6338" si="197">IF($D6275&lt;&gt;"","["&amp;$E6275&amp;"]"&amp;"|"&amp;$Q6275&amp;"|"&amp;$K6275&amp;"|"&amp;$G6275&amp;"|"&amp;IF($G6275="TX_CURR_SUBNAT.R","CY2023Q4",$M6275),"")</f>
        <v>[E7zpfyBt7Tw]|01-09|Female|Incidence_SUBNAT.Rt.T|CY2025Q3</v>
      </c>
    </row>
    <row r="6276" spans="4:18" x14ac:dyDescent="0.2">
      <c r="D6276" t="s">
        <v>60</v>
      </c>
      <c r="E6276" t="s">
        <v>61</v>
      </c>
      <c r="F6276" t="s">
        <v>62</v>
      </c>
      <c r="G6276" t="s">
        <v>222</v>
      </c>
      <c r="H6276" t="s">
        <v>222</v>
      </c>
      <c r="I6276" t="s">
        <v>36</v>
      </c>
      <c r="J6276" t="s">
        <v>37</v>
      </c>
      <c r="K6276" t="s">
        <v>30</v>
      </c>
      <c r="L6276" t="s">
        <v>31</v>
      </c>
      <c r="M6276" t="s">
        <v>220</v>
      </c>
      <c r="N6276">
        <v>0</v>
      </c>
      <c r="O6276">
        <v>0</v>
      </c>
      <c r="P6276">
        <v>8.7676203999999994E-2</v>
      </c>
      <c r="Q6276" t="str">
        <f t="shared" si="196"/>
        <v>10-14</v>
      </c>
      <c r="R6276" t="str">
        <f t="shared" si="197"/>
        <v>[E7zpfyBt7Tw]|10-14|Female|Incidence_SUBNAT.Rt.T|CY2025Q3</v>
      </c>
    </row>
    <row r="6277" spans="4:18" x14ac:dyDescent="0.2">
      <c r="D6277" t="s">
        <v>60</v>
      </c>
      <c r="E6277" t="s">
        <v>61</v>
      </c>
      <c r="F6277" t="s">
        <v>62</v>
      </c>
      <c r="G6277" t="s">
        <v>222</v>
      </c>
      <c r="H6277" t="s">
        <v>222</v>
      </c>
      <c r="I6277" t="s">
        <v>38</v>
      </c>
      <c r="J6277" t="s">
        <v>39</v>
      </c>
      <c r="K6277" t="s">
        <v>30</v>
      </c>
      <c r="L6277" t="s">
        <v>31</v>
      </c>
      <c r="M6277" t="s">
        <v>220</v>
      </c>
      <c r="N6277">
        <v>1.037732E-3</v>
      </c>
      <c r="O6277">
        <v>9.1189704999999996E-2</v>
      </c>
      <c r="P6277">
        <v>8.7676203999999994E-2</v>
      </c>
      <c r="Q6277" t="str">
        <f t="shared" si="196"/>
        <v>15-24</v>
      </c>
      <c r="R6277" t="str">
        <f t="shared" si="197"/>
        <v>[E7zpfyBt7Tw]|15-24|Female|Incidence_SUBNAT.Rt.T|CY2025Q3</v>
      </c>
    </row>
    <row r="6278" spans="4:18" x14ac:dyDescent="0.2">
      <c r="D6278" t="s">
        <v>60</v>
      </c>
      <c r="E6278" t="s">
        <v>61</v>
      </c>
      <c r="F6278" t="s">
        <v>62</v>
      </c>
      <c r="G6278" t="s">
        <v>222</v>
      </c>
      <c r="H6278" t="s">
        <v>222</v>
      </c>
      <c r="I6278" t="s">
        <v>41</v>
      </c>
      <c r="J6278" t="s">
        <v>42</v>
      </c>
      <c r="K6278" t="s">
        <v>30</v>
      </c>
      <c r="L6278" t="s">
        <v>31</v>
      </c>
      <c r="M6278" t="s">
        <v>220</v>
      </c>
      <c r="N6278">
        <v>1.6047240000000001E-3</v>
      </c>
      <c r="O6278">
        <v>9.1685652000000006E-2</v>
      </c>
      <c r="P6278">
        <v>8.7676203999999994E-2</v>
      </c>
      <c r="Q6278" t="str">
        <f t="shared" si="196"/>
        <v>25-34</v>
      </c>
      <c r="R6278" t="str">
        <f t="shared" si="197"/>
        <v>[E7zpfyBt7Tw]|25-34|Female|Incidence_SUBNAT.Rt.T|CY2025Q3</v>
      </c>
    </row>
    <row r="6279" spans="4:18" x14ac:dyDescent="0.2">
      <c r="D6279" t="s">
        <v>60</v>
      </c>
      <c r="E6279" t="s">
        <v>61</v>
      </c>
      <c r="F6279" t="s">
        <v>62</v>
      </c>
      <c r="G6279" t="s">
        <v>222</v>
      </c>
      <c r="H6279" t="s">
        <v>222</v>
      </c>
      <c r="I6279" t="s">
        <v>43</v>
      </c>
      <c r="J6279" t="s">
        <v>44</v>
      </c>
      <c r="K6279" t="s">
        <v>30</v>
      </c>
      <c r="L6279" t="s">
        <v>31</v>
      </c>
      <c r="M6279" t="s">
        <v>220</v>
      </c>
      <c r="N6279">
        <v>8.3547899999999997E-4</v>
      </c>
      <c r="O6279">
        <v>9.2114109999999999E-2</v>
      </c>
      <c r="P6279">
        <v>8.7676203999999994E-2</v>
      </c>
      <c r="Q6279" t="str">
        <f t="shared" si="196"/>
        <v>35-49</v>
      </c>
      <c r="R6279" t="str">
        <f t="shared" si="197"/>
        <v>[E7zpfyBt7Tw]|35-49|Female|Incidence_SUBNAT.Rt.T|CY2025Q3</v>
      </c>
    </row>
    <row r="6280" spans="4:18" x14ac:dyDescent="0.2">
      <c r="D6280" t="s">
        <v>60</v>
      </c>
      <c r="E6280" t="s">
        <v>61</v>
      </c>
      <c r="F6280" t="s">
        <v>62</v>
      </c>
      <c r="G6280" t="s">
        <v>222</v>
      </c>
      <c r="H6280" t="s">
        <v>222</v>
      </c>
      <c r="I6280" t="s">
        <v>45</v>
      </c>
      <c r="J6280" t="s">
        <v>46</v>
      </c>
      <c r="K6280" t="s">
        <v>30</v>
      </c>
      <c r="L6280" t="s">
        <v>31</v>
      </c>
      <c r="M6280" t="s">
        <v>220</v>
      </c>
      <c r="N6280">
        <v>2.29655E-4</v>
      </c>
      <c r="O6280">
        <v>8.9018443000000003E-2</v>
      </c>
      <c r="P6280">
        <v>8.7676203999999994E-2</v>
      </c>
      <c r="Q6280" t="str">
        <f t="shared" si="196"/>
        <v>50+</v>
      </c>
      <c r="R6280" t="str">
        <f t="shared" si="197"/>
        <v>[E7zpfyBt7Tw]|50+|Female|Incidence_SUBNAT.Rt.T|CY2025Q3</v>
      </c>
    </row>
    <row r="6281" spans="4:18" x14ac:dyDescent="0.2">
      <c r="D6281" t="s">
        <v>60</v>
      </c>
      <c r="E6281" t="s">
        <v>61</v>
      </c>
      <c r="F6281" t="s">
        <v>62</v>
      </c>
      <c r="G6281" t="s">
        <v>222</v>
      </c>
      <c r="H6281" t="s">
        <v>222</v>
      </c>
      <c r="I6281" t="s">
        <v>28</v>
      </c>
      <c r="J6281" t="s">
        <v>29</v>
      </c>
      <c r="K6281" t="s">
        <v>48</v>
      </c>
      <c r="L6281" t="s">
        <v>49</v>
      </c>
      <c r="M6281" t="s">
        <v>220</v>
      </c>
      <c r="N6281">
        <v>1.7523879999999999E-3</v>
      </c>
      <c r="O6281">
        <v>8.2359302999999995E-2</v>
      </c>
      <c r="P6281">
        <v>8.7676203999999994E-2</v>
      </c>
      <c r="Q6281" t="str">
        <f t="shared" si="196"/>
        <v>&lt;01</v>
      </c>
      <c r="R6281" t="str">
        <f t="shared" si="197"/>
        <v>[E7zpfyBt7Tw]|&lt;01|Male|Incidence_SUBNAT.Rt.T|CY2025Q3</v>
      </c>
    </row>
    <row r="6282" spans="4:18" x14ac:dyDescent="0.2">
      <c r="D6282" t="s">
        <v>60</v>
      </c>
      <c r="E6282" t="s">
        <v>61</v>
      </c>
      <c r="F6282" t="s">
        <v>62</v>
      </c>
      <c r="G6282" t="s">
        <v>222</v>
      </c>
      <c r="H6282" t="s">
        <v>222</v>
      </c>
      <c r="I6282" t="s">
        <v>33</v>
      </c>
      <c r="J6282" t="s">
        <v>34</v>
      </c>
      <c r="K6282" t="s">
        <v>48</v>
      </c>
      <c r="L6282" t="s">
        <v>49</v>
      </c>
      <c r="M6282" t="s">
        <v>220</v>
      </c>
      <c r="N6282" s="235" t="s">
        <v>229</v>
      </c>
      <c r="O6282">
        <v>4.1179650999999998E-2</v>
      </c>
      <c r="P6282">
        <v>8.7676203999999994E-2</v>
      </c>
      <c r="Q6282" t="str">
        <f t="shared" si="196"/>
        <v>01-09</v>
      </c>
      <c r="R6282" t="str">
        <f t="shared" si="197"/>
        <v>[E7zpfyBt7Tw]|01-09|Male|Incidence_SUBNAT.Rt.T|CY2025Q3</v>
      </c>
    </row>
    <row r="6283" spans="4:18" x14ac:dyDescent="0.2">
      <c r="D6283" t="s">
        <v>60</v>
      </c>
      <c r="E6283" t="s">
        <v>61</v>
      </c>
      <c r="F6283" t="s">
        <v>62</v>
      </c>
      <c r="G6283" t="s">
        <v>222</v>
      </c>
      <c r="H6283" t="s">
        <v>222</v>
      </c>
      <c r="I6283" t="s">
        <v>36</v>
      </c>
      <c r="J6283" t="s">
        <v>37</v>
      </c>
      <c r="K6283" t="s">
        <v>48</v>
      </c>
      <c r="L6283" t="s">
        <v>49</v>
      </c>
      <c r="M6283" t="s">
        <v>220</v>
      </c>
      <c r="N6283">
        <v>0</v>
      </c>
      <c r="O6283">
        <v>0</v>
      </c>
      <c r="P6283">
        <v>8.7676203999999994E-2</v>
      </c>
      <c r="Q6283" t="str">
        <f t="shared" si="196"/>
        <v>10-14</v>
      </c>
      <c r="R6283" t="str">
        <f t="shared" si="197"/>
        <v>[E7zpfyBt7Tw]|10-14|Male|Incidence_SUBNAT.Rt.T|CY2025Q3</v>
      </c>
    </row>
    <row r="6284" spans="4:18" x14ac:dyDescent="0.2">
      <c r="D6284" t="s">
        <v>60</v>
      </c>
      <c r="E6284" t="s">
        <v>61</v>
      </c>
      <c r="F6284" t="s">
        <v>62</v>
      </c>
      <c r="G6284" t="s">
        <v>222</v>
      </c>
      <c r="H6284" t="s">
        <v>222</v>
      </c>
      <c r="I6284" t="s">
        <v>38</v>
      </c>
      <c r="J6284" t="s">
        <v>39</v>
      </c>
      <c r="K6284" t="s">
        <v>48</v>
      </c>
      <c r="L6284" t="s">
        <v>49</v>
      </c>
      <c r="M6284" t="s">
        <v>220</v>
      </c>
      <c r="N6284">
        <v>1.7571399999999999E-4</v>
      </c>
      <c r="O6284">
        <v>9.1324996000000006E-2</v>
      </c>
      <c r="P6284">
        <v>8.7676203999999994E-2</v>
      </c>
      <c r="Q6284" t="str">
        <f t="shared" si="196"/>
        <v>15-24</v>
      </c>
      <c r="R6284" t="str">
        <f t="shared" si="197"/>
        <v>[E7zpfyBt7Tw]|15-24|Male|Incidence_SUBNAT.Rt.T|CY2025Q3</v>
      </c>
    </row>
    <row r="6285" spans="4:18" x14ac:dyDescent="0.2">
      <c r="D6285" t="s">
        <v>60</v>
      </c>
      <c r="E6285" t="s">
        <v>61</v>
      </c>
      <c r="F6285" t="s">
        <v>62</v>
      </c>
      <c r="G6285" t="s">
        <v>222</v>
      </c>
      <c r="H6285" t="s">
        <v>222</v>
      </c>
      <c r="I6285" t="s">
        <v>41</v>
      </c>
      <c r="J6285" t="s">
        <v>42</v>
      </c>
      <c r="K6285" t="s">
        <v>48</v>
      </c>
      <c r="L6285" t="s">
        <v>49</v>
      </c>
      <c r="M6285" t="s">
        <v>220</v>
      </c>
      <c r="N6285">
        <v>9.6139399999999996E-4</v>
      </c>
      <c r="O6285">
        <v>9.1397690000000004E-2</v>
      </c>
      <c r="P6285">
        <v>8.7676203999999994E-2</v>
      </c>
      <c r="Q6285" t="str">
        <f t="shared" si="196"/>
        <v>25-34</v>
      </c>
      <c r="R6285" t="str">
        <f t="shared" si="197"/>
        <v>[E7zpfyBt7Tw]|25-34|Male|Incidence_SUBNAT.Rt.T|CY2025Q3</v>
      </c>
    </row>
    <row r="6286" spans="4:18" x14ac:dyDescent="0.2">
      <c r="D6286" t="s">
        <v>60</v>
      </c>
      <c r="E6286" t="s">
        <v>61</v>
      </c>
      <c r="F6286" t="s">
        <v>62</v>
      </c>
      <c r="G6286" t="s">
        <v>222</v>
      </c>
      <c r="H6286" t="s">
        <v>222</v>
      </c>
      <c r="I6286" t="s">
        <v>43</v>
      </c>
      <c r="J6286" t="s">
        <v>44</v>
      </c>
      <c r="K6286" t="s">
        <v>48</v>
      </c>
      <c r="L6286" t="s">
        <v>49</v>
      </c>
      <c r="M6286" t="s">
        <v>220</v>
      </c>
      <c r="N6286">
        <v>1.0668559999999999E-3</v>
      </c>
      <c r="O6286">
        <v>9.1714959999999998E-2</v>
      </c>
      <c r="P6286">
        <v>8.7676203999999994E-2</v>
      </c>
      <c r="Q6286" t="str">
        <f t="shared" si="196"/>
        <v>35-49</v>
      </c>
      <c r="R6286" t="str">
        <f t="shared" si="197"/>
        <v>[E7zpfyBt7Tw]|35-49|Male|Incidence_SUBNAT.Rt.T|CY2025Q3</v>
      </c>
    </row>
    <row r="6287" spans="4:18" x14ac:dyDescent="0.2">
      <c r="D6287" t="s">
        <v>60</v>
      </c>
      <c r="E6287" t="s">
        <v>61</v>
      </c>
      <c r="F6287" t="s">
        <v>62</v>
      </c>
      <c r="G6287" t="s">
        <v>222</v>
      </c>
      <c r="H6287" t="s">
        <v>222</v>
      </c>
      <c r="I6287" t="s">
        <v>45</v>
      </c>
      <c r="J6287" t="s">
        <v>46</v>
      </c>
      <c r="K6287" t="s">
        <v>48</v>
      </c>
      <c r="L6287" t="s">
        <v>49</v>
      </c>
      <c r="M6287" t="s">
        <v>220</v>
      </c>
      <c r="N6287">
        <v>5.3287600000000005E-4</v>
      </c>
      <c r="O6287">
        <v>8.9791806000000002E-2</v>
      </c>
      <c r="P6287">
        <v>8.7676203999999994E-2</v>
      </c>
      <c r="Q6287" t="str">
        <f t="shared" si="196"/>
        <v>50+</v>
      </c>
      <c r="R6287" t="str">
        <f t="shared" si="197"/>
        <v>[E7zpfyBt7Tw]|50+|Male|Incidence_SUBNAT.Rt.T|CY2025Q3</v>
      </c>
    </row>
    <row r="6288" spans="4:18" x14ac:dyDescent="0.2">
      <c r="D6288" t="s">
        <v>63</v>
      </c>
      <c r="E6288" t="s">
        <v>64</v>
      </c>
      <c r="F6288" t="s">
        <v>65</v>
      </c>
      <c r="G6288" t="s">
        <v>222</v>
      </c>
      <c r="H6288" t="s">
        <v>222</v>
      </c>
      <c r="I6288" t="s">
        <v>28</v>
      </c>
      <c r="J6288" t="s">
        <v>29</v>
      </c>
      <c r="K6288" t="s">
        <v>30</v>
      </c>
      <c r="L6288" t="s">
        <v>31</v>
      </c>
      <c r="M6288" t="s">
        <v>220</v>
      </c>
      <c r="N6288">
        <v>1.305807E-3</v>
      </c>
      <c r="O6288">
        <v>7.6715004000000003E-2</v>
      </c>
      <c r="P6288">
        <v>8.2881248000000005E-2</v>
      </c>
      <c r="Q6288" t="str">
        <f t="shared" si="196"/>
        <v>&lt;01</v>
      </c>
      <c r="R6288" t="str">
        <f t="shared" si="197"/>
        <v>[lPTyjLi4w3d]|&lt;01|Female|Incidence_SUBNAT.Rt.T|CY2025Q3</v>
      </c>
    </row>
    <row r="6289" spans="4:18" x14ac:dyDescent="0.2">
      <c r="D6289" t="s">
        <v>63</v>
      </c>
      <c r="E6289" t="s">
        <v>64</v>
      </c>
      <c r="F6289" t="s">
        <v>65</v>
      </c>
      <c r="G6289" t="s">
        <v>222</v>
      </c>
      <c r="H6289" t="s">
        <v>222</v>
      </c>
      <c r="I6289" t="s">
        <v>33</v>
      </c>
      <c r="J6289" t="s">
        <v>34</v>
      </c>
      <c r="K6289" t="s">
        <v>30</v>
      </c>
      <c r="L6289" t="s">
        <v>31</v>
      </c>
      <c r="M6289" t="s">
        <v>220</v>
      </c>
      <c r="N6289" s="235" t="s">
        <v>230</v>
      </c>
      <c r="O6289">
        <v>3.8357502000000002E-2</v>
      </c>
      <c r="P6289">
        <v>8.2881248000000005E-2</v>
      </c>
      <c r="Q6289" t="str">
        <f t="shared" si="196"/>
        <v>01-09</v>
      </c>
      <c r="R6289" t="str">
        <f t="shared" si="197"/>
        <v>[lPTyjLi4w3d]|01-09|Female|Incidence_SUBNAT.Rt.T|CY2025Q3</v>
      </c>
    </row>
    <row r="6290" spans="4:18" x14ac:dyDescent="0.2">
      <c r="D6290" t="s">
        <v>63</v>
      </c>
      <c r="E6290" t="s">
        <v>64</v>
      </c>
      <c r="F6290" t="s">
        <v>65</v>
      </c>
      <c r="G6290" t="s">
        <v>222</v>
      </c>
      <c r="H6290" t="s">
        <v>222</v>
      </c>
      <c r="I6290" t="s">
        <v>36</v>
      </c>
      <c r="J6290" t="s">
        <v>37</v>
      </c>
      <c r="K6290" t="s">
        <v>30</v>
      </c>
      <c r="L6290" t="s">
        <v>31</v>
      </c>
      <c r="M6290" t="s">
        <v>220</v>
      </c>
      <c r="N6290">
        <v>0</v>
      </c>
      <c r="O6290">
        <v>0</v>
      </c>
      <c r="P6290">
        <v>8.2881248000000005E-2</v>
      </c>
      <c r="Q6290" t="str">
        <f t="shared" si="196"/>
        <v>10-14</v>
      </c>
      <c r="R6290" t="str">
        <f t="shared" si="197"/>
        <v>[lPTyjLi4w3d]|10-14|Female|Incidence_SUBNAT.Rt.T|CY2025Q3</v>
      </c>
    </row>
    <row r="6291" spans="4:18" x14ac:dyDescent="0.2">
      <c r="D6291" t="s">
        <v>63</v>
      </c>
      <c r="E6291" t="s">
        <v>64</v>
      </c>
      <c r="F6291" t="s">
        <v>65</v>
      </c>
      <c r="G6291" t="s">
        <v>222</v>
      </c>
      <c r="H6291" t="s">
        <v>222</v>
      </c>
      <c r="I6291" t="s">
        <v>38</v>
      </c>
      <c r="J6291" t="s">
        <v>39</v>
      </c>
      <c r="K6291" t="s">
        <v>30</v>
      </c>
      <c r="L6291" t="s">
        <v>31</v>
      </c>
      <c r="M6291" t="s">
        <v>220</v>
      </c>
      <c r="N6291">
        <v>7.6039399999999996E-4</v>
      </c>
      <c r="O6291">
        <v>8.6059063000000005E-2</v>
      </c>
      <c r="P6291">
        <v>8.2881248000000005E-2</v>
      </c>
      <c r="Q6291" t="str">
        <f t="shared" si="196"/>
        <v>15-24</v>
      </c>
      <c r="R6291" t="str">
        <f t="shared" si="197"/>
        <v>[lPTyjLi4w3d]|15-24|Female|Incidence_SUBNAT.Rt.T|CY2025Q3</v>
      </c>
    </row>
    <row r="6292" spans="4:18" x14ac:dyDescent="0.2">
      <c r="D6292" t="s">
        <v>63</v>
      </c>
      <c r="E6292" t="s">
        <v>64</v>
      </c>
      <c r="F6292" t="s">
        <v>65</v>
      </c>
      <c r="G6292" t="s">
        <v>222</v>
      </c>
      <c r="H6292" t="s">
        <v>222</v>
      </c>
      <c r="I6292" t="s">
        <v>41</v>
      </c>
      <c r="J6292" t="s">
        <v>42</v>
      </c>
      <c r="K6292" t="s">
        <v>30</v>
      </c>
      <c r="L6292" t="s">
        <v>31</v>
      </c>
      <c r="M6292" t="s">
        <v>220</v>
      </c>
      <c r="N6292">
        <v>1.162141E-3</v>
      </c>
      <c r="O6292">
        <v>8.6365590000000006E-2</v>
      </c>
      <c r="P6292">
        <v>8.2881248000000005E-2</v>
      </c>
      <c r="Q6292" t="str">
        <f t="shared" si="196"/>
        <v>25-34</v>
      </c>
      <c r="R6292" t="str">
        <f t="shared" si="197"/>
        <v>[lPTyjLi4w3d]|25-34|Female|Incidence_SUBNAT.Rt.T|CY2025Q3</v>
      </c>
    </row>
    <row r="6293" spans="4:18" x14ac:dyDescent="0.2">
      <c r="D6293" t="s">
        <v>63</v>
      </c>
      <c r="E6293" t="s">
        <v>64</v>
      </c>
      <c r="F6293" t="s">
        <v>65</v>
      </c>
      <c r="G6293" t="s">
        <v>222</v>
      </c>
      <c r="H6293" t="s">
        <v>222</v>
      </c>
      <c r="I6293" t="s">
        <v>43</v>
      </c>
      <c r="J6293" t="s">
        <v>44</v>
      </c>
      <c r="K6293" t="s">
        <v>30</v>
      </c>
      <c r="L6293" t="s">
        <v>31</v>
      </c>
      <c r="M6293" t="s">
        <v>220</v>
      </c>
      <c r="N6293">
        <v>6.0633799999999999E-4</v>
      </c>
      <c r="O6293">
        <v>8.6640543E-2</v>
      </c>
      <c r="P6293">
        <v>8.2881248000000005E-2</v>
      </c>
      <c r="Q6293" t="str">
        <f t="shared" si="196"/>
        <v>35-49</v>
      </c>
      <c r="R6293" t="str">
        <f t="shared" si="197"/>
        <v>[lPTyjLi4w3d]|35-49|Female|Incidence_SUBNAT.Rt.T|CY2025Q3</v>
      </c>
    </row>
    <row r="6294" spans="4:18" x14ac:dyDescent="0.2">
      <c r="D6294" t="s">
        <v>63</v>
      </c>
      <c r="E6294" t="s">
        <v>64</v>
      </c>
      <c r="F6294" t="s">
        <v>65</v>
      </c>
      <c r="G6294" t="s">
        <v>222</v>
      </c>
      <c r="H6294" t="s">
        <v>222</v>
      </c>
      <c r="I6294" t="s">
        <v>45</v>
      </c>
      <c r="J6294" t="s">
        <v>46</v>
      </c>
      <c r="K6294" t="s">
        <v>30</v>
      </c>
      <c r="L6294" t="s">
        <v>31</v>
      </c>
      <c r="M6294" t="s">
        <v>220</v>
      </c>
      <c r="N6294">
        <v>1.7025100000000001E-4</v>
      </c>
      <c r="O6294">
        <v>8.4493973999999999E-2</v>
      </c>
      <c r="P6294">
        <v>8.2881248000000005E-2</v>
      </c>
      <c r="Q6294" t="str">
        <f t="shared" si="196"/>
        <v>50+</v>
      </c>
      <c r="R6294" t="str">
        <f t="shared" si="197"/>
        <v>[lPTyjLi4w3d]|50+|Female|Incidence_SUBNAT.Rt.T|CY2025Q3</v>
      </c>
    </row>
    <row r="6295" spans="4:18" x14ac:dyDescent="0.2">
      <c r="D6295" t="s">
        <v>63</v>
      </c>
      <c r="E6295" t="s">
        <v>64</v>
      </c>
      <c r="F6295" t="s">
        <v>65</v>
      </c>
      <c r="G6295" t="s">
        <v>222</v>
      </c>
      <c r="H6295" t="s">
        <v>222</v>
      </c>
      <c r="I6295" t="s">
        <v>28</v>
      </c>
      <c r="J6295" t="s">
        <v>29</v>
      </c>
      <c r="K6295" t="s">
        <v>48</v>
      </c>
      <c r="L6295" t="s">
        <v>49</v>
      </c>
      <c r="M6295" t="s">
        <v>220</v>
      </c>
      <c r="N6295">
        <v>1.310138E-3</v>
      </c>
      <c r="O6295">
        <v>7.6715004000000003E-2</v>
      </c>
      <c r="P6295">
        <v>8.2881248000000005E-2</v>
      </c>
      <c r="Q6295" t="str">
        <f t="shared" si="196"/>
        <v>&lt;01</v>
      </c>
      <c r="R6295" t="str">
        <f t="shared" si="197"/>
        <v>[lPTyjLi4w3d]|&lt;01|Male|Incidence_SUBNAT.Rt.T|CY2025Q3</v>
      </c>
    </row>
    <row r="6296" spans="4:18" x14ac:dyDescent="0.2">
      <c r="D6296" t="s">
        <v>63</v>
      </c>
      <c r="E6296" t="s">
        <v>64</v>
      </c>
      <c r="F6296" t="s">
        <v>65</v>
      </c>
      <c r="G6296" t="s">
        <v>222</v>
      </c>
      <c r="H6296" t="s">
        <v>222</v>
      </c>
      <c r="I6296" t="s">
        <v>33</v>
      </c>
      <c r="J6296" t="s">
        <v>34</v>
      </c>
      <c r="K6296" t="s">
        <v>48</v>
      </c>
      <c r="L6296" t="s">
        <v>49</v>
      </c>
      <c r="M6296" t="s">
        <v>220</v>
      </c>
      <c r="N6296" s="235" t="s">
        <v>231</v>
      </c>
      <c r="O6296">
        <v>3.8357502000000002E-2</v>
      </c>
      <c r="P6296">
        <v>8.2881248000000005E-2</v>
      </c>
      <c r="Q6296" t="str">
        <f t="shared" si="196"/>
        <v>01-09</v>
      </c>
      <c r="R6296" t="str">
        <f t="shared" si="197"/>
        <v>[lPTyjLi4w3d]|01-09|Male|Incidence_SUBNAT.Rt.T|CY2025Q3</v>
      </c>
    </row>
    <row r="6297" spans="4:18" x14ac:dyDescent="0.2">
      <c r="D6297" t="s">
        <v>63</v>
      </c>
      <c r="E6297" t="s">
        <v>64</v>
      </c>
      <c r="F6297" t="s">
        <v>65</v>
      </c>
      <c r="G6297" t="s">
        <v>222</v>
      </c>
      <c r="H6297" t="s">
        <v>222</v>
      </c>
      <c r="I6297" t="s">
        <v>36</v>
      </c>
      <c r="J6297" t="s">
        <v>37</v>
      </c>
      <c r="K6297" t="s">
        <v>48</v>
      </c>
      <c r="L6297" t="s">
        <v>49</v>
      </c>
      <c r="M6297" t="s">
        <v>220</v>
      </c>
      <c r="N6297">
        <v>0</v>
      </c>
      <c r="O6297">
        <v>0</v>
      </c>
      <c r="P6297">
        <v>8.2881248000000005E-2</v>
      </c>
      <c r="Q6297" t="str">
        <f t="shared" si="196"/>
        <v>10-14</v>
      </c>
      <c r="R6297" t="str">
        <f t="shared" si="197"/>
        <v>[lPTyjLi4w3d]|10-14|Male|Incidence_SUBNAT.Rt.T|CY2025Q3</v>
      </c>
    </row>
    <row r="6298" spans="4:18" x14ac:dyDescent="0.2">
      <c r="D6298" t="s">
        <v>63</v>
      </c>
      <c r="E6298" t="s">
        <v>64</v>
      </c>
      <c r="F6298" t="s">
        <v>65</v>
      </c>
      <c r="G6298" t="s">
        <v>222</v>
      </c>
      <c r="H6298" t="s">
        <v>222</v>
      </c>
      <c r="I6298" t="s">
        <v>38</v>
      </c>
      <c r="J6298" t="s">
        <v>39</v>
      </c>
      <c r="K6298" t="s">
        <v>48</v>
      </c>
      <c r="L6298" t="s">
        <v>49</v>
      </c>
      <c r="M6298" t="s">
        <v>220</v>
      </c>
      <c r="N6298">
        <v>1.2995899999999999E-4</v>
      </c>
      <c r="O6298">
        <v>8.6166054000000006E-2</v>
      </c>
      <c r="P6298">
        <v>8.2881248000000005E-2</v>
      </c>
      <c r="Q6298" t="str">
        <f t="shared" si="196"/>
        <v>15-24</v>
      </c>
      <c r="R6298" t="str">
        <f t="shared" si="197"/>
        <v>[lPTyjLi4w3d]|15-24|Male|Incidence_SUBNAT.Rt.T|CY2025Q3</v>
      </c>
    </row>
    <row r="6299" spans="4:18" x14ac:dyDescent="0.2">
      <c r="D6299" t="s">
        <v>63</v>
      </c>
      <c r="E6299" t="s">
        <v>64</v>
      </c>
      <c r="F6299" t="s">
        <v>65</v>
      </c>
      <c r="G6299" t="s">
        <v>222</v>
      </c>
      <c r="H6299" t="s">
        <v>222</v>
      </c>
      <c r="I6299" t="s">
        <v>41</v>
      </c>
      <c r="J6299" t="s">
        <v>42</v>
      </c>
      <c r="K6299" t="s">
        <v>48</v>
      </c>
      <c r="L6299" t="s">
        <v>49</v>
      </c>
      <c r="M6299" t="s">
        <v>220</v>
      </c>
      <c r="N6299">
        <v>6.9842600000000004E-4</v>
      </c>
      <c r="O6299">
        <v>8.6176589999999997E-2</v>
      </c>
      <c r="P6299">
        <v>8.2881248000000005E-2</v>
      </c>
      <c r="Q6299" t="str">
        <f t="shared" si="196"/>
        <v>25-34</v>
      </c>
      <c r="R6299" t="str">
        <f t="shared" si="197"/>
        <v>[lPTyjLi4w3d]|25-34|Male|Incidence_SUBNAT.Rt.T|CY2025Q3</v>
      </c>
    </row>
    <row r="6300" spans="4:18" x14ac:dyDescent="0.2">
      <c r="D6300" t="s">
        <v>63</v>
      </c>
      <c r="E6300" t="s">
        <v>64</v>
      </c>
      <c r="F6300" t="s">
        <v>65</v>
      </c>
      <c r="G6300" t="s">
        <v>222</v>
      </c>
      <c r="H6300" t="s">
        <v>222</v>
      </c>
      <c r="I6300" t="s">
        <v>43</v>
      </c>
      <c r="J6300" t="s">
        <v>44</v>
      </c>
      <c r="K6300" t="s">
        <v>48</v>
      </c>
      <c r="L6300" t="s">
        <v>49</v>
      </c>
      <c r="M6300" t="s">
        <v>220</v>
      </c>
      <c r="N6300">
        <v>7.7433199999999997E-4</v>
      </c>
      <c r="O6300">
        <v>8.6403647E-2</v>
      </c>
      <c r="P6300">
        <v>8.2881248000000005E-2</v>
      </c>
      <c r="Q6300" t="str">
        <f t="shared" si="196"/>
        <v>35-49</v>
      </c>
      <c r="R6300" t="str">
        <f t="shared" si="197"/>
        <v>[lPTyjLi4w3d]|35-49|Male|Incidence_SUBNAT.Rt.T|CY2025Q3</v>
      </c>
    </row>
    <row r="6301" spans="4:18" x14ac:dyDescent="0.2">
      <c r="D6301" t="s">
        <v>63</v>
      </c>
      <c r="E6301" t="s">
        <v>64</v>
      </c>
      <c r="F6301" t="s">
        <v>65</v>
      </c>
      <c r="G6301" t="s">
        <v>222</v>
      </c>
      <c r="H6301" t="s">
        <v>222</v>
      </c>
      <c r="I6301" t="s">
        <v>45</v>
      </c>
      <c r="J6301" t="s">
        <v>46</v>
      </c>
      <c r="K6301" t="s">
        <v>48</v>
      </c>
      <c r="L6301" t="s">
        <v>49</v>
      </c>
      <c r="M6301" t="s">
        <v>220</v>
      </c>
      <c r="N6301">
        <v>3.9744699999999999E-4</v>
      </c>
      <c r="O6301">
        <v>8.5155524999999996E-2</v>
      </c>
      <c r="P6301">
        <v>8.2881248000000005E-2</v>
      </c>
      <c r="Q6301" t="str">
        <f t="shared" si="196"/>
        <v>50+</v>
      </c>
      <c r="R6301" t="str">
        <f t="shared" si="197"/>
        <v>[lPTyjLi4w3d]|50+|Male|Incidence_SUBNAT.Rt.T|CY2025Q3</v>
      </c>
    </row>
    <row r="6302" spans="4:18" x14ac:dyDescent="0.2">
      <c r="D6302" t="s">
        <v>66</v>
      </c>
      <c r="E6302" t="s">
        <v>67</v>
      </c>
      <c r="F6302" t="s">
        <v>68</v>
      </c>
      <c r="G6302" t="s">
        <v>222</v>
      </c>
      <c r="H6302" t="s">
        <v>222</v>
      </c>
      <c r="I6302" t="s">
        <v>28</v>
      </c>
      <c r="J6302" t="s">
        <v>29</v>
      </c>
      <c r="K6302" t="s">
        <v>30</v>
      </c>
      <c r="L6302" t="s">
        <v>31</v>
      </c>
      <c r="M6302" t="s">
        <v>220</v>
      </c>
      <c r="N6302">
        <v>1.3702740000000001E-3</v>
      </c>
      <c r="O6302">
        <v>2.8666436999999999E-2</v>
      </c>
      <c r="P6302">
        <v>4.1356373000000002E-2</v>
      </c>
      <c r="Q6302" t="str">
        <f t="shared" si="196"/>
        <v>&lt;01</v>
      </c>
      <c r="R6302" t="str">
        <f t="shared" si="197"/>
        <v>[vA4NcHxfMBq]|&lt;01|Female|Incidence_SUBNAT.Rt.T|CY2025Q3</v>
      </c>
    </row>
    <row r="6303" spans="4:18" x14ac:dyDescent="0.2">
      <c r="D6303" t="s">
        <v>66</v>
      </c>
      <c r="E6303" t="s">
        <v>67</v>
      </c>
      <c r="F6303" t="s">
        <v>68</v>
      </c>
      <c r="G6303" t="s">
        <v>222</v>
      </c>
      <c r="H6303" t="s">
        <v>222</v>
      </c>
      <c r="I6303" t="s">
        <v>33</v>
      </c>
      <c r="J6303" t="s">
        <v>34</v>
      </c>
      <c r="K6303" t="s">
        <v>30</v>
      </c>
      <c r="L6303" t="s">
        <v>31</v>
      </c>
      <c r="M6303" t="s">
        <v>220</v>
      </c>
      <c r="N6303" s="235" t="s">
        <v>232</v>
      </c>
      <c r="O6303">
        <v>1.4333218999999999E-2</v>
      </c>
      <c r="P6303">
        <v>4.1356373000000002E-2</v>
      </c>
      <c r="Q6303" t="str">
        <f t="shared" si="196"/>
        <v>01-09</v>
      </c>
      <c r="R6303" t="str">
        <f t="shared" si="197"/>
        <v>[vA4NcHxfMBq]|01-09|Female|Incidence_SUBNAT.Rt.T|CY2025Q3</v>
      </c>
    </row>
    <row r="6304" spans="4:18" x14ac:dyDescent="0.2">
      <c r="D6304" t="s">
        <v>66</v>
      </c>
      <c r="E6304" t="s">
        <v>67</v>
      </c>
      <c r="F6304" t="s">
        <v>68</v>
      </c>
      <c r="G6304" t="s">
        <v>222</v>
      </c>
      <c r="H6304" t="s">
        <v>222</v>
      </c>
      <c r="I6304" t="s">
        <v>36</v>
      </c>
      <c r="J6304" t="s">
        <v>37</v>
      </c>
      <c r="K6304" t="s">
        <v>30</v>
      </c>
      <c r="L6304" t="s">
        <v>31</v>
      </c>
      <c r="M6304" t="s">
        <v>220</v>
      </c>
      <c r="N6304">
        <v>0</v>
      </c>
      <c r="O6304">
        <v>0</v>
      </c>
      <c r="P6304">
        <v>4.1356373000000002E-2</v>
      </c>
      <c r="Q6304" t="str">
        <f t="shared" si="196"/>
        <v>10-14</v>
      </c>
      <c r="R6304" t="str">
        <f t="shared" si="197"/>
        <v>[vA4NcHxfMBq]|10-14|Female|Incidence_SUBNAT.Rt.T|CY2025Q3</v>
      </c>
    </row>
    <row r="6305" spans="4:18" x14ac:dyDescent="0.2">
      <c r="D6305" t="s">
        <v>66</v>
      </c>
      <c r="E6305" t="s">
        <v>67</v>
      </c>
      <c r="F6305" t="s">
        <v>68</v>
      </c>
      <c r="G6305" t="s">
        <v>222</v>
      </c>
      <c r="H6305" t="s">
        <v>222</v>
      </c>
      <c r="I6305" t="s">
        <v>38</v>
      </c>
      <c r="J6305" t="s">
        <v>39</v>
      </c>
      <c r="K6305" t="s">
        <v>30</v>
      </c>
      <c r="L6305" t="s">
        <v>31</v>
      </c>
      <c r="M6305" t="s">
        <v>220</v>
      </c>
      <c r="N6305">
        <v>8.5791399999999999E-4</v>
      </c>
      <c r="O6305">
        <v>4.5332017000000002E-2</v>
      </c>
      <c r="P6305">
        <v>4.1356373000000002E-2</v>
      </c>
      <c r="Q6305" t="str">
        <f t="shared" si="196"/>
        <v>15-24</v>
      </c>
      <c r="R6305" t="str">
        <f t="shared" si="197"/>
        <v>[vA4NcHxfMBq]|15-24|Female|Incidence_SUBNAT.Rt.T|CY2025Q3</v>
      </c>
    </row>
    <row r="6306" spans="4:18" x14ac:dyDescent="0.2">
      <c r="D6306" t="s">
        <v>66</v>
      </c>
      <c r="E6306" t="s">
        <v>67</v>
      </c>
      <c r="F6306" t="s">
        <v>68</v>
      </c>
      <c r="G6306" t="s">
        <v>222</v>
      </c>
      <c r="H6306" t="s">
        <v>222</v>
      </c>
      <c r="I6306" t="s">
        <v>41</v>
      </c>
      <c r="J6306" t="s">
        <v>42</v>
      </c>
      <c r="K6306" t="s">
        <v>30</v>
      </c>
      <c r="L6306" t="s">
        <v>31</v>
      </c>
      <c r="M6306" t="s">
        <v>220</v>
      </c>
      <c r="N6306">
        <v>1.323074E-3</v>
      </c>
      <c r="O6306">
        <v>4.5063025E-2</v>
      </c>
      <c r="P6306">
        <v>4.1356373000000002E-2</v>
      </c>
      <c r="Q6306" t="str">
        <f t="shared" si="196"/>
        <v>25-34</v>
      </c>
      <c r="R6306" t="str">
        <f t="shared" si="197"/>
        <v>[vA4NcHxfMBq]|25-34|Female|Incidence_SUBNAT.Rt.T|CY2025Q3</v>
      </c>
    </row>
    <row r="6307" spans="4:18" x14ac:dyDescent="0.2">
      <c r="D6307" t="s">
        <v>66</v>
      </c>
      <c r="E6307" t="s">
        <v>67</v>
      </c>
      <c r="F6307" t="s">
        <v>68</v>
      </c>
      <c r="G6307" t="s">
        <v>222</v>
      </c>
      <c r="H6307" t="s">
        <v>222</v>
      </c>
      <c r="I6307" t="s">
        <v>43</v>
      </c>
      <c r="J6307" t="s">
        <v>44</v>
      </c>
      <c r="K6307" t="s">
        <v>30</v>
      </c>
      <c r="L6307" t="s">
        <v>31</v>
      </c>
      <c r="M6307" t="s">
        <v>220</v>
      </c>
      <c r="N6307">
        <v>6.4519800000000004E-4</v>
      </c>
      <c r="O6307">
        <v>4.6052718999999999E-2</v>
      </c>
      <c r="P6307">
        <v>4.1356373000000002E-2</v>
      </c>
      <c r="Q6307" t="str">
        <f t="shared" si="196"/>
        <v>35-49</v>
      </c>
      <c r="R6307" t="str">
        <f t="shared" si="197"/>
        <v>[vA4NcHxfMBq]|35-49|Female|Incidence_SUBNAT.Rt.T|CY2025Q3</v>
      </c>
    </row>
    <row r="6308" spans="4:18" x14ac:dyDescent="0.2">
      <c r="D6308" t="s">
        <v>66</v>
      </c>
      <c r="E6308" t="s">
        <v>67</v>
      </c>
      <c r="F6308" t="s">
        <v>68</v>
      </c>
      <c r="G6308" t="s">
        <v>222</v>
      </c>
      <c r="H6308" t="s">
        <v>222</v>
      </c>
      <c r="I6308" t="s">
        <v>45</v>
      </c>
      <c r="J6308" t="s">
        <v>46</v>
      </c>
      <c r="K6308" t="s">
        <v>30</v>
      </c>
      <c r="L6308" t="s">
        <v>31</v>
      </c>
      <c r="M6308" t="s">
        <v>220</v>
      </c>
      <c r="N6308">
        <v>1.6447799999999999E-4</v>
      </c>
      <c r="O6308">
        <v>5.0925392999999999E-2</v>
      </c>
      <c r="P6308">
        <v>4.1356373000000002E-2</v>
      </c>
      <c r="Q6308" t="str">
        <f t="shared" si="196"/>
        <v>50+</v>
      </c>
      <c r="R6308" t="str">
        <f t="shared" si="197"/>
        <v>[vA4NcHxfMBq]|50+|Female|Incidence_SUBNAT.Rt.T|CY2025Q3</v>
      </c>
    </row>
    <row r="6309" spans="4:18" x14ac:dyDescent="0.2">
      <c r="D6309" t="s">
        <v>66</v>
      </c>
      <c r="E6309" t="s">
        <v>67</v>
      </c>
      <c r="F6309" t="s">
        <v>68</v>
      </c>
      <c r="G6309" t="s">
        <v>222</v>
      </c>
      <c r="H6309" t="s">
        <v>222</v>
      </c>
      <c r="I6309" t="s">
        <v>28</v>
      </c>
      <c r="J6309" t="s">
        <v>29</v>
      </c>
      <c r="K6309" t="s">
        <v>48</v>
      </c>
      <c r="L6309" t="s">
        <v>49</v>
      </c>
      <c r="M6309" t="s">
        <v>220</v>
      </c>
      <c r="N6309">
        <v>1.373104E-3</v>
      </c>
      <c r="O6309">
        <v>2.8704218E-2</v>
      </c>
      <c r="P6309">
        <v>4.1356373000000002E-2</v>
      </c>
      <c r="Q6309" t="str">
        <f t="shared" si="196"/>
        <v>&lt;01</v>
      </c>
      <c r="R6309" t="str">
        <f t="shared" si="197"/>
        <v>[vA4NcHxfMBq]|&lt;01|Male|Incidence_SUBNAT.Rt.T|CY2025Q3</v>
      </c>
    </row>
    <row r="6310" spans="4:18" x14ac:dyDescent="0.2">
      <c r="D6310" t="s">
        <v>66</v>
      </c>
      <c r="E6310" t="s">
        <v>67</v>
      </c>
      <c r="F6310" t="s">
        <v>68</v>
      </c>
      <c r="G6310" t="s">
        <v>222</v>
      </c>
      <c r="H6310" t="s">
        <v>222</v>
      </c>
      <c r="I6310" t="s">
        <v>33</v>
      </c>
      <c r="J6310" t="s">
        <v>34</v>
      </c>
      <c r="K6310" t="s">
        <v>48</v>
      </c>
      <c r="L6310" t="s">
        <v>49</v>
      </c>
      <c r="M6310" t="s">
        <v>220</v>
      </c>
      <c r="N6310" s="235" t="s">
        <v>233</v>
      </c>
      <c r="O6310">
        <v>1.4352109E-2</v>
      </c>
      <c r="P6310">
        <v>4.1356373000000002E-2</v>
      </c>
      <c r="Q6310" t="str">
        <f t="shared" si="196"/>
        <v>01-09</v>
      </c>
      <c r="R6310" t="str">
        <f t="shared" si="197"/>
        <v>[vA4NcHxfMBq]|01-09|Male|Incidence_SUBNAT.Rt.T|CY2025Q3</v>
      </c>
    </row>
    <row r="6311" spans="4:18" x14ac:dyDescent="0.2">
      <c r="D6311" t="s">
        <v>66</v>
      </c>
      <c r="E6311" t="s">
        <v>67</v>
      </c>
      <c r="F6311" t="s">
        <v>68</v>
      </c>
      <c r="G6311" t="s">
        <v>222</v>
      </c>
      <c r="H6311" t="s">
        <v>222</v>
      </c>
      <c r="I6311" t="s">
        <v>36</v>
      </c>
      <c r="J6311" t="s">
        <v>37</v>
      </c>
      <c r="K6311" t="s">
        <v>48</v>
      </c>
      <c r="L6311" t="s">
        <v>49</v>
      </c>
      <c r="M6311" t="s">
        <v>220</v>
      </c>
      <c r="N6311">
        <v>0</v>
      </c>
      <c r="O6311">
        <v>0</v>
      </c>
      <c r="P6311">
        <v>4.1356373000000002E-2</v>
      </c>
      <c r="Q6311" t="str">
        <f t="shared" si="196"/>
        <v>10-14</v>
      </c>
      <c r="R6311" t="str">
        <f t="shared" si="197"/>
        <v>[vA4NcHxfMBq]|10-14|Male|Incidence_SUBNAT.Rt.T|CY2025Q3</v>
      </c>
    </row>
    <row r="6312" spans="4:18" x14ac:dyDescent="0.2">
      <c r="D6312" t="s">
        <v>66</v>
      </c>
      <c r="E6312" t="s">
        <v>67</v>
      </c>
      <c r="F6312" t="s">
        <v>68</v>
      </c>
      <c r="G6312" t="s">
        <v>222</v>
      </c>
      <c r="H6312" t="s">
        <v>222</v>
      </c>
      <c r="I6312" t="s">
        <v>38</v>
      </c>
      <c r="J6312" t="s">
        <v>39</v>
      </c>
      <c r="K6312" t="s">
        <v>48</v>
      </c>
      <c r="L6312" t="s">
        <v>49</v>
      </c>
      <c r="M6312" t="s">
        <v>220</v>
      </c>
      <c r="N6312">
        <v>1.4670300000000001E-4</v>
      </c>
      <c r="O6312">
        <v>4.5485914000000002E-2</v>
      </c>
      <c r="P6312">
        <v>4.1356373000000002E-2</v>
      </c>
      <c r="Q6312" t="str">
        <f t="shared" si="196"/>
        <v>15-24</v>
      </c>
      <c r="R6312" t="str">
        <f t="shared" si="197"/>
        <v>[vA4NcHxfMBq]|15-24|Male|Incidence_SUBNAT.Rt.T|CY2025Q3</v>
      </c>
    </row>
    <row r="6313" spans="4:18" x14ac:dyDescent="0.2">
      <c r="D6313" t="s">
        <v>66</v>
      </c>
      <c r="E6313" t="s">
        <v>67</v>
      </c>
      <c r="F6313" t="s">
        <v>68</v>
      </c>
      <c r="G6313" t="s">
        <v>222</v>
      </c>
      <c r="H6313" t="s">
        <v>222</v>
      </c>
      <c r="I6313" t="s">
        <v>41</v>
      </c>
      <c r="J6313" t="s">
        <v>42</v>
      </c>
      <c r="K6313" t="s">
        <v>48</v>
      </c>
      <c r="L6313" t="s">
        <v>49</v>
      </c>
      <c r="M6313" t="s">
        <v>220</v>
      </c>
      <c r="N6313">
        <v>8.0592599999999999E-4</v>
      </c>
      <c r="O6313">
        <v>4.5161261000000001E-2</v>
      </c>
      <c r="P6313">
        <v>4.1356373000000002E-2</v>
      </c>
      <c r="Q6313" t="str">
        <f t="shared" si="196"/>
        <v>25-34</v>
      </c>
      <c r="R6313" t="str">
        <f t="shared" si="197"/>
        <v>[vA4NcHxfMBq]|25-34|Male|Incidence_SUBNAT.Rt.T|CY2025Q3</v>
      </c>
    </row>
    <row r="6314" spans="4:18" x14ac:dyDescent="0.2">
      <c r="D6314" t="s">
        <v>66</v>
      </c>
      <c r="E6314" t="s">
        <v>67</v>
      </c>
      <c r="F6314" t="s">
        <v>68</v>
      </c>
      <c r="G6314" t="s">
        <v>222</v>
      </c>
      <c r="H6314" t="s">
        <v>222</v>
      </c>
      <c r="I6314" t="s">
        <v>43</v>
      </c>
      <c r="J6314" t="s">
        <v>44</v>
      </c>
      <c r="K6314" t="s">
        <v>48</v>
      </c>
      <c r="L6314" t="s">
        <v>49</v>
      </c>
      <c r="M6314" t="s">
        <v>220</v>
      </c>
      <c r="N6314">
        <v>8.7021899999999998E-4</v>
      </c>
      <c r="O6314">
        <v>4.4950405999999998E-2</v>
      </c>
      <c r="P6314">
        <v>4.1356373000000002E-2</v>
      </c>
      <c r="Q6314" t="str">
        <f t="shared" si="196"/>
        <v>35-49</v>
      </c>
      <c r="R6314" t="str">
        <f t="shared" si="197"/>
        <v>[vA4NcHxfMBq]|35-49|Male|Incidence_SUBNAT.Rt.T|CY2025Q3</v>
      </c>
    </row>
    <row r="6315" spans="4:18" x14ac:dyDescent="0.2">
      <c r="D6315" t="s">
        <v>66</v>
      </c>
      <c r="E6315" t="s">
        <v>67</v>
      </c>
      <c r="F6315" t="s">
        <v>68</v>
      </c>
      <c r="G6315" t="s">
        <v>222</v>
      </c>
      <c r="H6315" t="s">
        <v>222</v>
      </c>
      <c r="I6315" t="s">
        <v>45</v>
      </c>
      <c r="J6315" t="s">
        <v>46</v>
      </c>
      <c r="K6315" t="s">
        <v>48</v>
      </c>
      <c r="L6315" t="s">
        <v>49</v>
      </c>
      <c r="M6315" t="s">
        <v>220</v>
      </c>
      <c r="N6315">
        <v>3.94163E-4</v>
      </c>
      <c r="O6315">
        <v>4.9395306999999999E-2</v>
      </c>
      <c r="P6315">
        <v>4.1356373000000002E-2</v>
      </c>
      <c r="Q6315" t="str">
        <f t="shared" si="196"/>
        <v>50+</v>
      </c>
      <c r="R6315" t="str">
        <f t="shared" si="197"/>
        <v>[vA4NcHxfMBq]|50+|Male|Incidence_SUBNAT.Rt.T|CY2025Q3</v>
      </c>
    </row>
    <row r="6316" spans="4:18" x14ac:dyDescent="0.2">
      <c r="D6316" t="s">
        <v>69</v>
      </c>
      <c r="E6316" t="s">
        <v>70</v>
      </c>
      <c r="F6316" t="s">
        <v>71</v>
      </c>
      <c r="G6316" t="s">
        <v>222</v>
      </c>
      <c r="H6316" t="s">
        <v>222</v>
      </c>
      <c r="I6316" t="s">
        <v>28</v>
      </c>
      <c r="J6316" t="s">
        <v>29</v>
      </c>
      <c r="K6316" t="s">
        <v>30</v>
      </c>
      <c r="L6316" t="s">
        <v>31</v>
      </c>
      <c r="M6316" t="s">
        <v>220</v>
      </c>
      <c r="N6316">
        <v>2.0145599999999999E-3</v>
      </c>
      <c r="O6316">
        <v>3.1630601000000001E-2</v>
      </c>
      <c r="P6316">
        <v>4.6597883E-2</v>
      </c>
      <c r="Q6316" t="str">
        <f t="shared" si="196"/>
        <v>&lt;01</v>
      </c>
      <c r="R6316" t="str">
        <f t="shared" si="197"/>
        <v>[ZCjuwgaMB9u]|&lt;01|Female|Incidence_SUBNAT.Rt.T|CY2025Q3</v>
      </c>
    </row>
    <row r="6317" spans="4:18" x14ac:dyDescent="0.2">
      <c r="D6317" t="s">
        <v>69</v>
      </c>
      <c r="E6317" t="s">
        <v>70</v>
      </c>
      <c r="F6317" t="s">
        <v>71</v>
      </c>
      <c r="G6317" t="s">
        <v>222</v>
      </c>
      <c r="H6317" t="s">
        <v>222</v>
      </c>
      <c r="I6317" t="s">
        <v>33</v>
      </c>
      <c r="J6317" t="s">
        <v>34</v>
      </c>
      <c r="K6317" t="s">
        <v>30</v>
      </c>
      <c r="L6317" t="s">
        <v>31</v>
      </c>
      <c r="M6317" t="s">
        <v>220</v>
      </c>
      <c r="N6317" s="235" t="s">
        <v>234</v>
      </c>
      <c r="O6317">
        <v>1.5815301E-2</v>
      </c>
      <c r="P6317">
        <v>4.6597883E-2</v>
      </c>
      <c r="Q6317" t="str">
        <f t="shared" si="196"/>
        <v>01-09</v>
      </c>
      <c r="R6317" t="str">
        <f t="shared" si="197"/>
        <v>[ZCjuwgaMB9u]|01-09|Female|Incidence_SUBNAT.Rt.T|CY2025Q3</v>
      </c>
    </row>
    <row r="6318" spans="4:18" x14ac:dyDescent="0.2">
      <c r="D6318" t="s">
        <v>69</v>
      </c>
      <c r="E6318" t="s">
        <v>70</v>
      </c>
      <c r="F6318" t="s">
        <v>71</v>
      </c>
      <c r="G6318" t="s">
        <v>222</v>
      </c>
      <c r="H6318" t="s">
        <v>222</v>
      </c>
      <c r="I6318" t="s">
        <v>36</v>
      </c>
      <c r="J6318" t="s">
        <v>37</v>
      </c>
      <c r="K6318" t="s">
        <v>30</v>
      </c>
      <c r="L6318" t="s">
        <v>31</v>
      </c>
      <c r="M6318" t="s">
        <v>220</v>
      </c>
      <c r="N6318">
        <v>0</v>
      </c>
      <c r="O6318">
        <v>0</v>
      </c>
      <c r="P6318">
        <v>4.6597883E-2</v>
      </c>
      <c r="Q6318" t="str">
        <f t="shared" si="196"/>
        <v>10-14</v>
      </c>
      <c r="R6318" t="str">
        <f t="shared" si="197"/>
        <v>[ZCjuwgaMB9u]|10-14|Female|Incidence_SUBNAT.Rt.T|CY2025Q3</v>
      </c>
    </row>
    <row r="6319" spans="4:18" x14ac:dyDescent="0.2">
      <c r="D6319" t="s">
        <v>69</v>
      </c>
      <c r="E6319" t="s">
        <v>70</v>
      </c>
      <c r="F6319" t="s">
        <v>71</v>
      </c>
      <c r="G6319" t="s">
        <v>222</v>
      </c>
      <c r="H6319" t="s">
        <v>222</v>
      </c>
      <c r="I6319" t="s">
        <v>38</v>
      </c>
      <c r="J6319" t="s">
        <v>39</v>
      </c>
      <c r="K6319" t="s">
        <v>30</v>
      </c>
      <c r="L6319" t="s">
        <v>31</v>
      </c>
      <c r="M6319" t="s">
        <v>220</v>
      </c>
      <c r="N6319">
        <v>1.2140230000000001E-3</v>
      </c>
      <c r="O6319">
        <v>5.0535482E-2</v>
      </c>
      <c r="P6319">
        <v>4.6597883E-2</v>
      </c>
      <c r="Q6319" t="str">
        <f t="shared" si="196"/>
        <v>15-24</v>
      </c>
      <c r="R6319" t="str">
        <f t="shared" si="197"/>
        <v>[ZCjuwgaMB9u]|15-24|Female|Incidence_SUBNAT.Rt.T|CY2025Q3</v>
      </c>
    </row>
    <row r="6320" spans="4:18" x14ac:dyDescent="0.2">
      <c r="D6320" t="s">
        <v>69</v>
      </c>
      <c r="E6320" t="s">
        <v>70</v>
      </c>
      <c r="F6320" t="s">
        <v>71</v>
      </c>
      <c r="G6320" t="s">
        <v>222</v>
      </c>
      <c r="H6320" t="s">
        <v>222</v>
      </c>
      <c r="I6320" t="s">
        <v>41</v>
      </c>
      <c r="J6320" t="s">
        <v>42</v>
      </c>
      <c r="K6320" t="s">
        <v>30</v>
      </c>
      <c r="L6320" t="s">
        <v>31</v>
      </c>
      <c r="M6320" t="s">
        <v>220</v>
      </c>
      <c r="N6320">
        <v>1.8018870000000001E-3</v>
      </c>
      <c r="O6320">
        <v>5.0748777000000002E-2</v>
      </c>
      <c r="P6320">
        <v>4.6597883E-2</v>
      </c>
      <c r="Q6320" t="str">
        <f t="shared" si="196"/>
        <v>25-34</v>
      </c>
      <c r="R6320" t="str">
        <f t="shared" si="197"/>
        <v>[ZCjuwgaMB9u]|25-34|Female|Incidence_SUBNAT.Rt.T|CY2025Q3</v>
      </c>
    </row>
    <row r="6321" spans="4:18" x14ac:dyDescent="0.2">
      <c r="D6321" t="s">
        <v>69</v>
      </c>
      <c r="E6321" t="s">
        <v>70</v>
      </c>
      <c r="F6321" t="s">
        <v>71</v>
      </c>
      <c r="G6321" t="s">
        <v>222</v>
      </c>
      <c r="H6321" t="s">
        <v>222</v>
      </c>
      <c r="I6321" t="s">
        <v>43</v>
      </c>
      <c r="J6321" t="s">
        <v>44</v>
      </c>
      <c r="K6321" t="s">
        <v>30</v>
      </c>
      <c r="L6321" t="s">
        <v>31</v>
      </c>
      <c r="M6321" t="s">
        <v>220</v>
      </c>
      <c r="N6321">
        <v>9.5270999999999995E-4</v>
      </c>
      <c r="O6321">
        <v>5.0804385000000001E-2</v>
      </c>
      <c r="P6321">
        <v>4.6597883E-2</v>
      </c>
      <c r="Q6321" t="str">
        <f t="shared" si="196"/>
        <v>35-49</v>
      </c>
      <c r="R6321" t="str">
        <f t="shared" si="197"/>
        <v>[ZCjuwgaMB9u]|35-49|Female|Incidence_SUBNAT.Rt.T|CY2025Q3</v>
      </c>
    </row>
    <row r="6322" spans="4:18" x14ac:dyDescent="0.2">
      <c r="D6322" t="s">
        <v>69</v>
      </c>
      <c r="E6322" t="s">
        <v>70</v>
      </c>
      <c r="F6322" t="s">
        <v>71</v>
      </c>
      <c r="G6322" t="s">
        <v>222</v>
      </c>
      <c r="H6322" t="s">
        <v>222</v>
      </c>
      <c r="I6322" t="s">
        <v>45</v>
      </c>
      <c r="J6322" t="s">
        <v>46</v>
      </c>
      <c r="K6322" t="s">
        <v>30</v>
      </c>
      <c r="L6322" t="s">
        <v>31</v>
      </c>
      <c r="M6322" t="s">
        <v>220</v>
      </c>
      <c r="N6322">
        <v>2.4119300000000001E-4</v>
      </c>
      <c r="O6322">
        <v>4.9672783999999998E-2</v>
      </c>
      <c r="P6322">
        <v>4.6597883E-2</v>
      </c>
      <c r="Q6322" t="str">
        <f t="shared" si="196"/>
        <v>50+</v>
      </c>
      <c r="R6322" t="str">
        <f t="shared" si="197"/>
        <v>[ZCjuwgaMB9u]|50+|Female|Incidence_SUBNAT.Rt.T|CY2025Q3</v>
      </c>
    </row>
    <row r="6323" spans="4:18" x14ac:dyDescent="0.2">
      <c r="D6323" t="s">
        <v>69</v>
      </c>
      <c r="E6323" t="s">
        <v>70</v>
      </c>
      <c r="F6323" t="s">
        <v>71</v>
      </c>
      <c r="G6323" t="s">
        <v>222</v>
      </c>
      <c r="H6323" t="s">
        <v>222</v>
      </c>
      <c r="I6323" t="s">
        <v>28</v>
      </c>
      <c r="J6323" t="s">
        <v>29</v>
      </c>
      <c r="K6323" t="s">
        <v>48</v>
      </c>
      <c r="L6323" t="s">
        <v>49</v>
      </c>
      <c r="M6323" t="s">
        <v>220</v>
      </c>
      <c r="N6323">
        <v>2.0213689999999999E-3</v>
      </c>
      <c r="O6323">
        <v>3.1630601000000001E-2</v>
      </c>
      <c r="P6323">
        <v>4.6597883E-2</v>
      </c>
      <c r="Q6323" t="str">
        <f t="shared" si="196"/>
        <v>&lt;01</v>
      </c>
      <c r="R6323" t="str">
        <f t="shared" si="197"/>
        <v>[ZCjuwgaMB9u]|&lt;01|Male|Incidence_SUBNAT.Rt.T|CY2025Q3</v>
      </c>
    </row>
    <row r="6324" spans="4:18" x14ac:dyDescent="0.2">
      <c r="D6324" t="s">
        <v>69</v>
      </c>
      <c r="E6324" t="s">
        <v>70</v>
      </c>
      <c r="F6324" t="s">
        <v>71</v>
      </c>
      <c r="G6324" t="s">
        <v>222</v>
      </c>
      <c r="H6324" t="s">
        <v>222</v>
      </c>
      <c r="I6324" t="s">
        <v>33</v>
      </c>
      <c r="J6324" t="s">
        <v>34</v>
      </c>
      <c r="K6324" t="s">
        <v>48</v>
      </c>
      <c r="L6324" t="s">
        <v>49</v>
      </c>
      <c r="M6324" t="s">
        <v>220</v>
      </c>
      <c r="N6324" s="235" t="s">
        <v>235</v>
      </c>
      <c r="O6324">
        <v>1.5815301E-2</v>
      </c>
      <c r="P6324">
        <v>4.6597883E-2</v>
      </c>
      <c r="Q6324" t="str">
        <f t="shared" si="196"/>
        <v>01-09</v>
      </c>
      <c r="R6324" t="str">
        <f t="shared" si="197"/>
        <v>[ZCjuwgaMB9u]|01-09|Male|Incidence_SUBNAT.Rt.T|CY2025Q3</v>
      </c>
    </row>
    <row r="6325" spans="4:18" x14ac:dyDescent="0.2">
      <c r="D6325" t="s">
        <v>69</v>
      </c>
      <c r="E6325" t="s">
        <v>70</v>
      </c>
      <c r="F6325" t="s">
        <v>71</v>
      </c>
      <c r="G6325" t="s">
        <v>222</v>
      </c>
      <c r="H6325" t="s">
        <v>222</v>
      </c>
      <c r="I6325" t="s">
        <v>36</v>
      </c>
      <c r="J6325" t="s">
        <v>37</v>
      </c>
      <c r="K6325" t="s">
        <v>48</v>
      </c>
      <c r="L6325" t="s">
        <v>49</v>
      </c>
      <c r="M6325" t="s">
        <v>220</v>
      </c>
      <c r="N6325">
        <v>0</v>
      </c>
      <c r="O6325">
        <v>0</v>
      </c>
      <c r="P6325">
        <v>4.6597883E-2</v>
      </c>
      <c r="Q6325" t="str">
        <f t="shared" si="196"/>
        <v>10-14</v>
      </c>
      <c r="R6325" t="str">
        <f t="shared" si="197"/>
        <v>[ZCjuwgaMB9u]|10-14|Male|Incidence_SUBNAT.Rt.T|CY2025Q3</v>
      </c>
    </row>
    <row r="6326" spans="4:18" x14ac:dyDescent="0.2">
      <c r="D6326" t="s">
        <v>69</v>
      </c>
      <c r="E6326" t="s">
        <v>70</v>
      </c>
      <c r="F6326" t="s">
        <v>71</v>
      </c>
      <c r="G6326" t="s">
        <v>222</v>
      </c>
      <c r="H6326" t="s">
        <v>222</v>
      </c>
      <c r="I6326" t="s">
        <v>38</v>
      </c>
      <c r="J6326" t="s">
        <v>39</v>
      </c>
      <c r="K6326" t="s">
        <v>48</v>
      </c>
      <c r="L6326" t="s">
        <v>49</v>
      </c>
      <c r="M6326" t="s">
        <v>220</v>
      </c>
      <c r="N6326">
        <v>2.0725999999999999E-4</v>
      </c>
      <c r="O6326">
        <v>5.0562871000000002E-2</v>
      </c>
      <c r="P6326">
        <v>4.6597883E-2</v>
      </c>
      <c r="Q6326" t="str">
        <f t="shared" si="196"/>
        <v>15-24</v>
      </c>
      <c r="R6326" t="str">
        <f t="shared" si="197"/>
        <v>[ZCjuwgaMB9u]|15-24|Male|Incidence_SUBNAT.Rt.T|CY2025Q3</v>
      </c>
    </row>
    <row r="6327" spans="4:18" x14ac:dyDescent="0.2">
      <c r="D6327" t="s">
        <v>69</v>
      </c>
      <c r="E6327" t="s">
        <v>70</v>
      </c>
      <c r="F6327" t="s">
        <v>71</v>
      </c>
      <c r="G6327" t="s">
        <v>222</v>
      </c>
      <c r="H6327" t="s">
        <v>222</v>
      </c>
      <c r="I6327" t="s">
        <v>41</v>
      </c>
      <c r="J6327" t="s">
        <v>42</v>
      </c>
      <c r="K6327" t="s">
        <v>48</v>
      </c>
      <c r="L6327" t="s">
        <v>49</v>
      </c>
      <c r="M6327" t="s">
        <v>220</v>
      </c>
      <c r="N6327">
        <v>1.080412E-3</v>
      </c>
      <c r="O6327">
        <v>5.0608664999999997E-2</v>
      </c>
      <c r="P6327">
        <v>4.6597883E-2</v>
      </c>
      <c r="Q6327" t="str">
        <f t="shared" si="196"/>
        <v>25-34</v>
      </c>
      <c r="R6327" t="str">
        <f t="shared" si="197"/>
        <v>[ZCjuwgaMB9u]|25-34|Male|Incidence_SUBNAT.Rt.T|CY2025Q3</v>
      </c>
    </row>
    <row r="6328" spans="4:18" x14ac:dyDescent="0.2">
      <c r="D6328" t="s">
        <v>69</v>
      </c>
      <c r="E6328" t="s">
        <v>70</v>
      </c>
      <c r="F6328" t="s">
        <v>71</v>
      </c>
      <c r="G6328" t="s">
        <v>222</v>
      </c>
      <c r="H6328" t="s">
        <v>222</v>
      </c>
      <c r="I6328" t="s">
        <v>43</v>
      </c>
      <c r="J6328" t="s">
        <v>44</v>
      </c>
      <c r="K6328" t="s">
        <v>48</v>
      </c>
      <c r="L6328" t="s">
        <v>49</v>
      </c>
      <c r="M6328" t="s">
        <v>220</v>
      </c>
      <c r="N6328">
        <v>1.2085900000000001E-3</v>
      </c>
      <c r="O6328">
        <v>5.0752830999999998E-2</v>
      </c>
      <c r="P6328">
        <v>4.6597883E-2</v>
      </c>
      <c r="Q6328" t="str">
        <f t="shared" si="196"/>
        <v>35-49</v>
      </c>
      <c r="R6328" t="str">
        <f t="shared" si="197"/>
        <v>[ZCjuwgaMB9u]|35-49|Male|Incidence_SUBNAT.Rt.T|CY2025Q3</v>
      </c>
    </row>
    <row r="6329" spans="4:18" x14ac:dyDescent="0.2">
      <c r="D6329" t="s">
        <v>69</v>
      </c>
      <c r="E6329" t="s">
        <v>70</v>
      </c>
      <c r="F6329" t="s">
        <v>71</v>
      </c>
      <c r="G6329" t="s">
        <v>222</v>
      </c>
      <c r="H6329" t="s">
        <v>222</v>
      </c>
      <c r="I6329" t="s">
        <v>45</v>
      </c>
      <c r="J6329" t="s">
        <v>46</v>
      </c>
      <c r="K6329" t="s">
        <v>48</v>
      </c>
      <c r="L6329" t="s">
        <v>49</v>
      </c>
      <c r="M6329" t="s">
        <v>220</v>
      </c>
      <c r="N6329">
        <v>6.0897600000000001E-4</v>
      </c>
      <c r="O6329">
        <v>4.9998539000000002E-2</v>
      </c>
      <c r="P6329">
        <v>4.6597883E-2</v>
      </c>
      <c r="Q6329" t="str">
        <f t="shared" si="196"/>
        <v>50+</v>
      </c>
      <c r="R6329" t="str">
        <f t="shared" si="197"/>
        <v>[ZCjuwgaMB9u]|50+|Male|Incidence_SUBNAT.Rt.T|CY2025Q3</v>
      </c>
    </row>
    <row r="6330" spans="4:18" x14ac:dyDescent="0.2">
      <c r="D6330" t="s">
        <v>72</v>
      </c>
      <c r="E6330" t="s">
        <v>73</v>
      </c>
      <c r="F6330" t="s">
        <v>74</v>
      </c>
      <c r="G6330" t="s">
        <v>222</v>
      </c>
      <c r="H6330" t="s">
        <v>222</v>
      </c>
      <c r="I6330" t="s">
        <v>28</v>
      </c>
      <c r="J6330" t="s">
        <v>29</v>
      </c>
      <c r="K6330" t="s">
        <v>30</v>
      </c>
      <c r="L6330" t="s">
        <v>31</v>
      </c>
      <c r="M6330" t="s">
        <v>220</v>
      </c>
      <c r="N6330">
        <v>8.4608100000000005E-4</v>
      </c>
      <c r="O6330">
        <v>7.6014074000000001E-2</v>
      </c>
      <c r="P6330">
        <v>8.0781675999999997E-2</v>
      </c>
      <c r="Q6330" t="str">
        <f t="shared" si="196"/>
        <v>&lt;01</v>
      </c>
      <c r="R6330" t="str">
        <f t="shared" si="197"/>
        <v>[JQKLKuVuY61]|&lt;01|Female|Incidence_SUBNAT.Rt.T|CY2025Q3</v>
      </c>
    </row>
    <row r="6331" spans="4:18" x14ac:dyDescent="0.2">
      <c r="D6331" t="s">
        <v>72</v>
      </c>
      <c r="E6331" t="s">
        <v>73</v>
      </c>
      <c r="F6331" t="s">
        <v>74</v>
      </c>
      <c r="G6331" t="s">
        <v>222</v>
      </c>
      <c r="H6331" t="s">
        <v>222</v>
      </c>
      <c r="I6331" t="s">
        <v>33</v>
      </c>
      <c r="J6331" t="s">
        <v>34</v>
      </c>
      <c r="K6331" t="s">
        <v>30</v>
      </c>
      <c r="L6331" t="s">
        <v>31</v>
      </c>
      <c r="M6331" t="s">
        <v>220</v>
      </c>
      <c r="N6331" s="235" t="s">
        <v>236</v>
      </c>
      <c r="O6331">
        <v>3.8007037E-2</v>
      </c>
      <c r="P6331">
        <v>8.0781675999999997E-2</v>
      </c>
      <c r="Q6331" t="str">
        <f t="shared" si="196"/>
        <v>01-09</v>
      </c>
      <c r="R6331" t="str">
        <f t="shared" si="197"/>
        <v>[JQKLKuVuY61]|01-09|Female|Incidence_SUBNAT.Rt.T|CY2025Q3</v>
      </c>
    </row>
    <row r="6332" spans="4:18" x14ac:dyDescent="0.2">
      <c r="D6332" t="s">
        <v>72</v>
      </c>
      <c r="E6332" t="s">
        <v>73</v>
      </c>
      <c r="F6332" t="s">
        <v>74</v>
      </c>
      <c r="G6332" t="s">
        <v>222</v>
      </c>
      <c r="H6332" t="s">
        <v>222</v>
      </c>
      <c r="I6332" t="s">
        <v>36</v>
      </c>
      <c r="J6332" t="s">
        <v>37</v>
      </c>
      <c r="K6332" t="s">
        <v>30</v>
      </c>
      <c r="L6332" t="s">
        <v>31</v>
      </c>
      <c r="M6332" t="s">
        <v>220</v>
      </c>
      <c r="N6332">
        <v>0</v>
      </c>
      <c r="O6332">
        <v>0</v>
      </c>
      <c r="P6332">
        <v>8.0781675999999997E-2</v>
      </c>
      <c r="Q6332" t="str">
        <f t="shared" si="196"/>
        <v>10-14</v>
      </c>
      <c r="R6332" t="str">
        <f t="shared" si="197"/>
        <v>[JQKLKuVuY61]|10-14|Female|Incidence_SUBNAT.Rt.T|CY2025Q3</v>
      </c>
    </row>
    <row r="6333" spans="4:18" x14ac:dyDescent="0.2">
      <c r="D6333" t="s">
        <v>72</v>
      </c>
      <c r="E6333" t="s">
        <v>73</v>
      </c>
      <c r="F6333" t="s">
        <v>74</v>
      </c>
      <c r="G6333" t="s">
        <v>222</v>
      </c>
      <c r="H6333" t="s">
        <v>222</v>
      </c>
      <c r="I6333" t="s">
        <v>38</v>
      </c>
      <c r="J6333" t="s">
        <v>39</v>
      </c>
      <c r="K6333" t="s">
        <v>30</v>
      </c>
      <c r="L6333" t="s">
        <v>31</v>
      </c>
      <c r="M6333" t="s">
        <v>220</v>
      </c>
      <c r="N6333">
        <v>4.6231700000000001E-4</v>
      </c>
      <c r="O6333">
        <v>8.3170058000000005E-2</v>
      </c>
      <c r="P6333">
        <v>8.0781675999999997E-2</v>
      </c>
      <c r="Q6333" t="str">
        <f t="shared" si="196"/>
        <v>15-24</v>
      </c>
      <c r="R6333" t="str">
        <f t="shared" si="197"/>
        <v>[JQKLKuVuY61]|15-24|Female|Incidence_SUBNAT.Rt.T|CY2025Q3</v>
      </c>
    </row>
    <row r="6334" spans="4:18" x14ac:dyDescent="0.2">
      <c r="D6334" t="s">
        <v>72</v>
      </c>
      <c r="E6334" t="s">
        <v>73</v>
      </c>
      <c r="F6334" t="s">
        <v>74</v>
      </c>
      <c r="G6334" t="s">
        <v>222</v>
      </c>
      <c r="H6334" t="s">
        <v>222</v>
      </c>
      <c r="I6334" t="s">
        <v>41</v>
      </c>
      <c r="J6334" t="s">
        <v>42</v>
      </c>
      <c r="K6334" t="s">
        <v>30</v>
      </c>
      <c r="L6334" t="s">
        <v>31</v>
      </c>
      <c r="M6334" t="s">
        <v>220</v>
      </c>
      <c r="N6334">
        <v>7.0668700000000001E-4</v>
      </c>
      <c r="O6334">
        <v>8.3346708000000005E-2</v>
      </c>
      <c r="P6334">
        <v>8.0781675999999997E-2</v>
      </c>
      <c r="Q6334" t="str">
        <f t="shared" si="196"/>
        <v>25-34</v>
      </c>
      <c r="R6334" t="str">
        <f t="shared" si="197"/>
        <v>[JQKLKuVuY61]|25-34|Female|Incidence_SUBNAT.Rt.T|CY2025Q3</v>
      </c>
    </row>
    <row r="6335" spans="4:18" x14ac:dyDescent="0.2">
      <c r="D6335" t="s">
        <v>72</v>
      </c>
      <c r="E6335" t="s">
        <v>73</v>
      </c>
      <c r="F6335" t="s">
        <v>74</v>
      </c>
      <c r="G6335" t="s">
        <v>222</v>
      </c>
      <c r="H6335" t="s">
        <v>222</v>
      </c>
      <c r="I6335" t="s">
        <v>43</v>
      </c>
      <c r="J6335" t="s">
        <v>44</v>
      </c>
      <c r="K6335" t="s">
        <v>30</v>
      </c>
      <c r="L6335" t="s">
        <v>31</v>
      </c>
      <c r="M6335" t="s">
        <v>220</v>
      </c>
      <c r="N6335">
        <v>3.6949299999999998E-4</v>
      </c>
      <c r="O6335">
        <v>8.3586234999999995E-2</v>
      </c>
      <c r="P6335">
        <v>8.0781675999999997E-2</v>
      </c>
      <c r="Q6335" t="str">
        <f t="shared" si="196"/>
        <v>35-49</v>
      </c>
      <c r="R6335" t="str">
        <f t="shared" si="197"/>
        <v>[JQKLKuVuY61]|35-49|Female|Incidence_SUBNAT.Rt.T|CY2025Q3</v>
      </c>
    </row>
    <row r="6336" spans="4:18" x14ac:dyDescent="0.2">
      <c r="D6336" t="s">
        <v>72</v>
      </c>
      <c r="E6336" t="s">
        <v>73</v>
      </c>
      <c r="F6336" t="s">
        <v>74</v>
      </c>
      <c r="G6336" t="s">
        <v>222</v>
      </c>
      <c r="H6336" t="s">
        <v>222</v>
      </c>
      <c r="I6336" t="s">
        <v>45</v>
      </c>
      <c r="J6336" t="s">
        <v>46</v>
      </c>
      <c r="K6336" t="s">
        <v>30</v>
      </c>
      <c r="L6336" t="s">
        <v>31</v>
      </c>
      <c r="M6336" t="s">
        <v>220</v>
      </c>
      <c r="N6336">
        <v>1.09305E-4</v>
      </c>
      <c r="O6336">
        <v>8.2261565999999994E-2</v>
      </c>
      <c r="P6336">
        <v>8.0781675999999997E-2</v>
      </c>
      <c r="Q6336" t="str">
        <f t="shared" si="196"/>
        <v>50+</v>
      </c>
      <c r="R6336" t="str">
        <f t="shared" si="197"/>
        <v>[JQKLKuVuY61]|50+|Female|Incidence_SUBNAT.Rt.T|CY2025Q3</v>
      </c>
    </row>
    <row r="6337" spans="4:18" x14ac:dyDescent="0.2">
      <c r="D6337" t="s">
        <v>72</v>
      </c>
      <c r="E6337" t="s">
        <v>73</v>
      </c>
      <c r="F6337" t="s">
        <v>74</v>
      </c>
      <c r="G6337" t="s">
        <v>222</v>
      </c>
      <c r="H6337" t="s">
        <v>222</v>
      </c>
      <c r="I6337" t="s">
        <v>28</v>
      </c>
      <c r="J6337" t="s">
        <v>29</v>
      </c>
      <c r="K6337" t="s">
        <v>48</v>
      </c>
      <c r="L6337" t="s">
        <v>49</v>
      </c>
      <c r="M6337" t="s">
        <v>220</v>
      </c>
      <c r="N6337">
        <v>8.4888400000000005E-4</v>
      </c>
      <c r="O6337">
        <v>7.6014074000000001E-2</v>
      </c>
      <c r="P6337">
        <v>8.0781675999999997E-2</v>
      </c>
      <c r="Q6337" t="str">
        <f t="shared" si="196"/>
        <v>&lt;01</v>
      </c>
      <c r="R6337" t="str">
        <f t="shared" si="197"/>
        <v>[JQKLKuVuY61]|&lt;01|Male|Incidence_SUBNAT.Rt.T|CY2025Q3</v>
      </c>
    </row>
    <row r="6338" spans="4:18" x14ac:dyDescent="0.2">
      <c r="D6338" t="s">
        <v>72</v>
      </c>
      <c r="E6338" t="s">
        <v>73</v>
      </c>
      <c r="F6338" t="s">
        <v>74</v>
      </c>
      <c r="G6338" t="s">
        <v>222</v>
      </c>
      <c r="H6338" t="s">
        <v>222</v>
      </c>
      <c r="I6338" t="s">
        <v>33</v>
      </c>
      <c r="J6338" t="s">
        <v>34</v>
      </c>
      <c r="K6338" t="s">
        <v>48</v>
      </c>
      <c r="L6338" t="s">
        <v>49</v>
      </c>
      <c r="M6338" t="s">
        <v>220</v>
      </c>
      <c r="N6338" s="235" t="s">
        <v>237</v>
      </c>
      <c r="O6338">
        <v>3.8007037E-2</v>
      </c>
      <c r="P6338">
        <v>8.0781675999999997E-2</v>
      </c>
      <c r="Q6338" t="str">
        <f t="shared" si="196"/>
        <v>01-09</v>
      </c>
      <c r="R6338" t="str">
        <f t="shared" si="197"/>
        <v>[JQKLKuVuY61]|01-09|Male|Incidence_SUBNAT.Rt.T|CY2025Q3</v>
      </c>
    </row>
    <row r="6339" spans="4:18" x14ac:dyDescent="0.2">
      <c r="D6339" t="s">
        <v>72</v>
      </c>
      <c r="E6339" t="s">
        <v>73</v>
      </c>
      <c r="F6339" t="s">
        <v>74</v>
      </c>
      <c r="G6339" t="s">
        <v>222</v>
      </c>
      <c r="H6339" t="s">
        <v>222</v>
      </c>
      <c r="I6339" t="s">
        <v>36</v>
      </c>
      <c r="J6339" t="s">
        <v>37</v>
      </c>
      <c r="K6339" t="s">
        <v>48</v>
      </c>
      <c r="L6339" t="s">
        <v>49</v>
      </c>
      <c r="M6339" t="s">
        <v>220</v>
      </c>
      <c r="N6339">
        <v>0</v>
      </c>
      <c r="O6339">
        <v>0</v>
      </c>
      <c r="P6339">
        <v>8.0781675999999997E-2</v>
      </c>
      <c r="Q6339" t="str">
        <f t="shared" ref="Q6339:Q6402" si="198">SUBSTITUTE(SUBSTITUTE($I6339,CHAR(61),""),CHAR(34),"")</f>
        <v>10-14</v>
      </c>
      <c r="R6339" t="str">
        <f t="shared" ref="R6339:R6402" si="199">IF($D6339&lt;&gt;"","["&amp;$E6339&amp;"]"&amp;"|"&amp;$Q6339&amp;"|"&amp;$K6339&amp;"|"&amp;$G6339&amp;"|"&amp;IF($G6339="TX_CURR_SUBNAT.R","CY2023Q4",$M6339),"")</f>
        <v>[JQKLKuVuY61]|10-14|Male|Incidence_SUBNAT.Rt.T|CY2025Q3</v>
      </c>
    </row>
    <row r="6340" spans="4:18" x14ac:dyDescent="0.2">
      <c r="D6340" t="s">
        <v>72</v>
      </c>
      <c r="E6340" t="s">
        <v>73</v>
      </c>
      <c r="F6340" t="s">
        <v>74</v>
      </c>
      <c r="G6340" t="s">
        <v>222</v>
      </c>
      <c r="H6340" t="s">
        <v>222</v>
      </c>
      <c r="I6340" t="s">
        <v>38</v>
      </c>
      <c r="J6340" t="s">
        <v>39</v>
      </c>
      <c r="K6340" t="s">
        <v>48</v>
      </c>
      <c r="L6340" t="s">
        <v>49</v>
      </c>
      <c r="M6340" t="s">
        <v>220</v>
      </c>
      <c r="N6340" s="235" t="s">
        <v>238</v>
      </c>
      <c r="O6340">
        <v>8.3249324999999999E-2</v>
      </c>
      <c r="P6340">
        <v>8.0781675999999997E-2</v>
      </c>
      <c r="Q6340" t="str">
        <f t="shared" si="198"/>
        <v>15-24</v>
      </c>
      <c r="R6340" t="str">
        <f t="shared" si="199"/>
        <v>[JQKLKuVuY61]|15-24|Male|Incidence_SUBNAT.Rt.T|CY2025Q3</v>
      </c>
    </row>
    <row r="6341" spans="4:18" x14ac:dyDescent="0.2">
      <c r="D6341" t="s">
        <v>72</v>
      </c>
      <c r="E6341" t="s">
        <v>73</v>
      </c>
      <c r="F6341" t="s">
        <v>74</v>
      </c>
      <c r="G6341" t="s">
        <v>222</v>
      </c>
      <c r="H6341" t="s">
        <v>222</v>
      </c>
      <c r="I6341" t="s">
        <v>41</v>
      </c>
      <c r="J6341" t="s">
        <v>42</v>
      </c>
      <c r="K6341" t="s">
        <v>48</v>
      </c>
      <c r="L6341" t="s">
        <v>49</v>
      </c>
      <c r="M6341" t="s">
        <v>220</v>
      </c>
      <c r="N6341">
        <v>4.2580299999999999E-4</v>
      </c>
      <c r="O6341">
        <v>8.3243887000000003E-2</v>
      </c>
      <c r="P6341">
        <v>8.0781675999999997E-2</v>
      </c>
      <c r="Q6341" t="str">
        <f t="shared" si="198"/>
        <v>25-34</v>
      </c>
      <c r="R6341" t="str">
        <f t="shared" si="199"/>
        <v>[JQKLKuVuY61]|25-34|Male|Incidence_SUBNAT.Rt.T|CY2025Q3</v>
      </c>
    </row>
    <row r="6342" spans="4:18" x14ac:dyDescent="0.2">
      <c r="D6342" t="s">
        <v>72</v>
      </c>
      <c r="E6342" t="s">
        <v>73</v>
      </c>
      <c r="F6342" t="s">
        <v>74</v>
      </c>
      <c r="G6342" t="s">
        <v>222</v>
      </c>
      <c r="H6342" t="s">
        <v>222</v>
      </c>
      <c r="I6342" t="s">
        <v>43</v>
      </c>
      <c r="J6342" t="s">
        <v>44</v>
      </c>
      <c r="K6342" t="s">
        <v>48</v>
      </c>
      <c r="L6342" t="s">
        <v>49</v>
      </c>
      <c r="M6342" t="s">
        <v>220</v>
      </c>
      <c r="N6342">
        <v>4.71457E-4</v>
      </c>
      <c r="O6342">
        <v>8.3366982000000006E-2</v>
      </c>
      <c r="P6342">
        <v>8.0781675999999997E-2</v>
      </c>
      <c r="Q6342" t="str">
        <f t="shared" si="198"/>
        <v>35-49</v>
      </c>
      <c r="R6342" t="str">
        <f t="shared" si="199"/>
        <v>[JQKLKuVuY61]|35-49|Male|Incidence_SUBNAT.Rt.T|CY2025Q3</v>
      </c>
    </row>
    <row r="6343" spans="4:18" x14ac:dyDescent="0.2">
      <c r="D6343" t="s">
        <v>72</v>
      </c>
      <c r="E6343" t="s">
        <v>73</v>
      </c>
      <c r="F6343" t="s">
        <v>74</v>
      </c>
      <c r="G6343" t="s">
        <v>222</v>
      </c>
      <c r="H6343" t="s">
        <v>222</v>
      </c>
      <c r="I6343" t="s">
        <v>45</v>
      </c>
      <c r="J6343" t="s">
        <v>46</v>
      </c>
      <c r="K6343" t="s">
        <v>48</v>
      </c>
      <c r="L6343" t="s">
        <v>49</v>
      </c>
      <c r="M6343" t="s">
        <v>220</v>
      </c>
      <c r="N6343">
        <v>2.5399599999999999E-4</v>
      </c>
      <c r="O6343">
        <v>8.2892017999999998E-2</v>
      </c>
      <c r="P6343">
        <v>8.0781675999999997E-2</v>
      </c>
      <c r="Q6343" t="str">
        <f t="shared" si="198"/>
        <v>50+</v>
      </c>
      <c r="R6343" t="str">
        <f t="shared" si="199"/>
        <v>[JQKLKuVuY61]|50+|Male|Incidence_SUBNAT.Rt.T|CY2025Q3</v>
      </c>
    </row>
    <row r="6344" spans="4:18" x14ac:dyDescent="0.2">
      <c r="D6344" t="s">
        <v>75</v>
      </c>
      <c r="E6344" t="s">
        <v>76</v>
      </c>
      <c r="F6344" t="s">
        <v>77</v>
      </c>
      <c r="G6344" t="s">
        <v>222</v>
      </c>
      <c r="H6344" t="s">
        <v>222</v>
      </c>
      <c r="I6344" t="s">
        <v>28</v>
      </c>
      <c r="J6344" t="s">
        <v>29</v>
      </c>
      <c r="K6344" t="s">
        <v>30</v>
      </c>
      <c r="L6344" t="s">
        <v>31</v>
      </c>
      <c r="M6344" t="s">
        <v>220</v>
      </c>
      <c r="N6344">
        <v>1.2519880000000001E-3</v>
      </c>
      <c r="O6344">
        <v>8.3305466999999994E-2</v>
      </c>
      <c r="P6344">
        <v>8.8827208000000005E-2</v>
      </c>
      <c r="Q6344" t="str">
        <f t="shared" si="198"/>
        <v>&lt;01</v>
      </c>
      <c r="R6344" t="str">
        <f t="shared" si="199"/>
        <v>[YCKiBAp8QAg]|&lt;01|Female|Incidence_SUBNAT.Rt.T|CY2025Q3</v>
      </c>
    </row>
    <row r="6345" spans="4:18" x14ac:dyDescent="0.2">
      <c r="D6345" t="s">
        <v>75</v>
      </c>
      <c r="E6345" t="s">
        <v>76</v>
      </c>
      <c r="F6345" t="s">
        <v>77</v>
      </c>
      <c r="G6345" t="s">
        <v>222</v>
      </c>
      <c r="H6345" t="s">
        <v>222</v>
      </c>
      <c r="I6345" t="s">
        <v>33</v>
      </c>
      <c r="J6345" t="s">
        <v>34</v>
      </c>
      <c r="K6345" t="s">
        <v>30</v>
      </c>
      <c r="L6345" t="s">
        <v>31</v>
      </c>
      <c r="M6345" t="s">
        <v>220</v>
      </c>
      <c r="N6345" s="235" t="s">
        <v>239</v>
      </c>
      <c r="O6345">
        <v>4.1652732999999997E-2</v>
      </c>
      <c r="P6345">
        <v>8.8827208000000005E-2</v>
      </c>
      <c r="Q6345" t="str">
        <f t="shared" si="198"/>
        <v>01-09</v>
      </c>
      <c r="R6345" t="str">
        <f t="shared" si="199"/>
        <v>[YCKiBAp8QAg]|01-09|Female|Incidence_SUBNAT.Rt.T|CY2025Q3</v>
      </c>
    </row>
    <row r="6346" spans="4:18" x14ac:dyDescent="0.2">
      <c r="D6346" t="s">
        <v>75</v>
      </c>
      <c r="E6346" t="s">
        <v>76</v>
      </c>
      <c r="F6346" t="s">
        <v>77</v>
      </c>
      <c r="G6346" t="s">
        <v>222</v>
      </c>
      <c r="H6346" t="s">
        <v>222</v>
      </c>
      <c r="I6346" t="s">
        <v>36</v>
      </c>
      <c r="J6346" t="s">
        <v>37</v>
      </c>
      <c r="K6346" t="s">
        <v>30</v>
      </c>
      <c r="L6346" t="s">
        <v>31</v>
      </c>
      <c r="M6346" t="s">
        <v>220</v>
      </c>
      <c r="N6346">
        <v>0</v>
      </c>
      <c r="O6346">
        <v>0</v>
      </c>
      <c r="P6346">
        <v>8.8827208000000005E-2</v>
      </c>
      <c r="Q6346" t="str">
        <f t="shared" si="198"/>
        <v>10-14</v>
      </c>
      <c r="R6346" t="str">
        <f t="shared" si="199"/>
        <v>[YCKiBAp8QAg]|10-14|Female|Incidence_SUBNAT.Rt.T|CY2025Q3</v>
      </c>
    </row>
    <row r="6347" spans="4:18" x14ac:dyDescent="0.2">
      <c r="D6347" t="s">
        <v>75</v>
      </c>
      <c r="E6347" t="s">
        <v>76</v>
      </c>
      <c r="F6347" t="s">
        <v>77</v>
      </c>
      <c r="G6347" t="s">
        <v>222</v>
      </c>
      <c r="H6347" t="s">
        <v>222</v>
      </c>
      <c r="I6347" t="s">
        <v>38</v>
      </c>
      <c r="J6347" t="s">
        <v>39</v>
      </c>
      <c r="K6347" t="s">
        <v>30</v>
      </c>
      <c r="L6347" t="s">
        <v>31</v>
      </c>
      <c r="M6347" t="s">
        <v>220</v>
      </c>
      <c r="N6347">
        <v>7.1177399999999998E-4</v>
      </c>
      <c r="O6347">
        <v>9.2038388999999998E-2</v>
      </c>
      <c r="P6347">
        <v>8.8827208000000005E-2</v>
      </c>
      <c r="Q6347" t="str">
        <f t="shared" si="198"/>
        <v>15-24</v>
      </c>
      <c r="R6347" t="str">
        <f t="shared" si="199"/>
        <v>[YCKiBAp8QAg]|15-24|Female|Incidence_SUBNAT.Rt.T|CY2025Q3</v>
      </c>
    </row>
    <row r="6348" spans="4:18" x14ac:dyDescent="0.2">
      <c r="D6348" t="s">
        <v>75</v>
      </c>
      <c r="E6348" t="s">
        <v>76</v>
      </c>
      <c r="F6348" t="s">
        <v>77</v>
      </c>
      <c r="G6348" t="s">
        <v>222</v>
      </c>
      <c r="H6348" t="s">
        <v>222</v>
      </c>
      <c r="I6348" t="s">
        <v>41</v>
      </c>
      <c r="J6348" t="s">
        <v>42</v>
      </c>
      <c r="K6348" t="s">
        <v>30</v>
      </c>
      <c r="L6348" t="s">
        <v>31</v>
      </c>
      <c r="M6348" t="s">
        <v>220</v>
      </c>
      <c r="N6348">
        <v>1.091044E-3</v>
      </c>
      <c r="O6348">
        <v>9.2353878E-2</v>
      </c>
      <c r="P6348">
        <v>8.8827208000000005E-2</v>
      </c>
      <c r="Q6348" t="str">
        <f t="shared" si="198"/>
        <v>25-34</v>
      </c>
      <c r="R6348" t="str">
        <f t="shared" si="199"/>
        <v>[YCKiBAp8QAg]|25-34|Female|Incidence_SUBNAT.Rt.T|CY2025Q3</v>
      </c>
    </row>
    <row r="6349" spans="4:18" x14ac:dyDescent="0.2">
      <c r="D6349" t="s">
        <v>75</v>
      </c>
      <c r="E6349" t="s">
        <v>76</v>
      </c>
      <c r="F6349" t="s">
        <v>77</v>
      </c>
      <c r="G6349" t="s">
        <v>222</v>
      </c>
      <c r="H6349" t="s">
        <v>222</v>
      </c>
      <c r="I6349" t="s">
        <v>43</v>
      </c>
      <c r="J6349" t="s">
        <v>44</v>
      </c>
      <c r="K6349" t="s">
        <v>30</v>
      </c>
      <c r="L6349" t="s">
        <v>31</v>
      </c>
      <c r="M6349" t="s">
        <v>220</v>
      </c>
      <c r="N6349">
        <v>5.7374599999999998E-4</v>
      </c>
      <c r="O6349">
        <v>9.2778553E-2</v>
      </c>
      <c r="P6349">
        <v>8.8827208000000005E-2</v>
      </c>
      <c r="Q6349" t="str">
        <f t="shared" si="198"/>
        <v>35-49</v>
      </c>
      <c r="R6349" t="str">
        <f t="shared" si="199"/>
        <v>[YCKiBAp8QAg]|35-49|Female|Incidence_SUBNAT.Rt.T|CY2025Q3</v>
      </c>
    </row>
    <row r="6350" spans="4:18" x14ac:dyDescent="0.2">
      <c r="D6350" t="s">
        <v>75</v>
      </c>
      <c r="E6350" t="s">
        <v>76</v>
      </c>
      <c r="F6350" t="s">
        <v>77</v>
      </c>
      <c r="G6350" t="s">
        <v>222</v>
      </c>
      <c r="H6350" t="s">
        <v>222</v>
      </c>
      <c r="I6350" t="s">
        <v>45</v>
      </c>
      <c r="J6350" t="s">
        <v>46</v>
      </c>
      <c r="K6350" t="s">
        <v>30</v>
      </c>
      <c r="L6350" t="s">
        <v>31</v>
      </c>
      <c r="M6350" t="s">
        <v>220</v>
      </c>
      <c r="N6350">
        <v>1.5978499999999999E-4</v>
      </c>
      <c r="O6350">
        <v>9.0084344999999996E-2</v>
      </c>
      <c r="P6350">
        <v>8.8827208000000005E-2</v>
      </c>
      <c r="Q6350" t="str">
        <f t="shared" si="198"/>
        <v>50+</v>
      </c>
      <c r="R6350" t="str">
        <f t="shared" si="199"/>
        <v>[YCKiBAp8QAg]|50+|Female|Incidence_SUBNAT.Rt.T|CY2025Q3</v>
      </c>
    </row>
    <row r="6351" spans="4:18" x14ac:dyDescent="0.2">
      <c r="D6351" t="s">
        <v>75</v>
      </c>
      <c r="E6351" t="s">
        <v>76</v>
      </c>
      <c r="F6351" t="s">
        <v>77</v>
      </c>
      <c r="G6351" t="s">
        <v>222</v>
      </c>
      <c r="H6351" t="s">
        <v>222</v>
      </c>
      <c r="I6351" t="s">
        <v>28</v>
      </c>
      <c r="J6351" t="s">
        <v>29</v>
      </c>
      <c r="K6351" t="s">
        <v>48</v>
      </c>
      <c r="L6351" t="s">
        <v>49</v>
      </c>
      <c r="M6351" t="s">
        <v>220</v>
      </c>
      <c r="N6351">
        <v>1.2561359999999999E-3</v>
      </c>
      <c r="O6351">
        <v>8.3305466999999994E-2</v>
      </c>
      <c r="P6351">
        <v>8.8827208000000005E-2</v>
      </c>
      <c r="Q6351" t="str">
        <f t="shared" si="198"/>
        <v>&lt;01</v>
      </c>
      <c r="R6351" t="str">
        <f t="shared" si="199"/>
        <v>[YCKiBAp8QAg]|&lt;01|Male|Incidence_SUBNAT.Rt.T|CY2025Q3</v>
      </c>
    </row>
    <row r="6352" spans="4:18" x14ac:dyDescent="0.2">
      <c r="D6352" t="s">
        <v>75</v>
      </c>
      <c r="E6352" t="s">
        <v>76</v>
      </c>
      <c r="F6352" t="s">
        <v>77</v>
      </c>
      <c r="G6352" t="s">
        <v>222</v>
      </c>
      <c r="H6352" t="s">
        <v>222</v>
      </c>
      <c r="I6352" t="s">
        <v>33</v>
      </c>
      <c r="J6352" t="s">
        <v>34</v>
      </c>
      <c r="K6352" t="s">
        <v>48</v>
      </c>
      <c r="L6352" t="s">
        <v>49</v>
      </c>
      <c r="M6352" t="s">
        <v>220</v>
      </c>
      <c r="N6352" s="235" t="s">
        <v>239</v>
      </c>
      <c r="O6352">
        <v>4.1652732999999997E-2</v>
      </c>
      <c r="P6352">
        <v>8.8827208000000005E-2</v>
      </c>
      <c r="Q6352" t="str">
        <f t="shared" si="198"/>
        <v>01-09</v>
      </c>
      <c r="R6352" t="str">
        <f t="shared" si="199"/>
        <v>[YCKiBAp8QAg]|01-09|Male|Incidence_SUBNAT.Rt.T|CY2025Q3</v>
      </c>
    </row>
    <row r="6353" spans="4:18" x14ac:dyDescent="0.2">
      <c r="D6353" t="s">
        <v>75</v>
      </c>
      <c r="E6353" t="s">
        <v>76</v>
      </c>
      <c r="F6353" t="s">
        <v>77</v>
      </c>
      <c r="G6353" t="s">
        <v>222</v>
      </c>
      <c r="H6353" t="s">
        <v>222</v>
      </c>
      <c r="I6353" t="s">
        <v>36</v>
      </c>
      <c r="J6353" t="s">
        <v>37</v>
      </c>
      <c r="K6353" t="s">
        <v>48</v>
      </c>
      <c r="L6353" t="s">
        <v>49</v>
      </c>
      <c r="M6353" t="s">
        <v>220</v>
      </c>
      <c r="N6353">
        <v>0</v>
      </c>
      <c r="O6353">
        <v>0</v>
      </c>
      <c r="P6353">
        <v>8.8827208000000005E-2</v>
      </c>
      <c r="Q6353" t="str">
        <f t="shared" si="198"/>
        <v>10-14</v>
      </c>
      <c r="R6353" t="str">
        <f t="shared" si="199"/>
        <v>[YCKiBAp8QAg]|10-14|Male|Incidence_SUBNAT.Rt.T|CY2025Q3</v>
      </c>
    </row>
    <row r="6354" spans="4:18" x14ac:dyDescent="0.2">
      <c r="D6354" t="s">
        <v>75</v>
      </c>
      <c r="E6354" t="s">
        <v>76</v>
      </c>
      <c r="F6354" t="s">
        <v>77</v>
      </c>
      <c r="G6354" t="s">
        <v>222</v>
      </c>
      <c r="H6354" t="s">
        <v>222</v>
      </c>
      <c r="I6354" t="s">
        <v>38</v>
      </c>
      <c r="J6354" t="s">
        <v>39</v>
      </c>
      <c r="K6354" t="s">
        <v>48</v>
      </c>
      <c r="L6354" t="s">
        <v>49</v>
      </c>
      <c r="M6354" t="s">
        <v>220</v>
      </c>
      <c r="N6354">
        <v>1.20679E-4</v>
      </c>
      <c r="O6354">
        <v>9.2166556999999996E-2</v>
      </c>
      <c r="P6354">
        <v>8.8827208000000005E-2</v>
      </c>
      <c r="Q6354" t="str">
        <f t="shared" si="198"/>
        <v>15-24</v>
      </c>
      <c r="R6354" t="str">
        <f t="shared" si="199"/>
        <v>[YCKiBAp8QAg]|15-24|Male|Incidence_SUBNAT.Rt.T|CY2025Q3</v>
      </c>
    </row>
    <row r="6355" spans="4:18" x14ac:dyDescent="0.2">
      <c r="D6355" t="s">
        <v>75</v>
      </c>
      <c r="E6355" t="s">
        <v>76</v>
      </c>
      <c r="F6355" t="s">
        <v>77</v>
      </c>
      <c r="G6355" t="s">
        <v>222</v>
      </c>
      <c r="H6355" t="s">
        <v>222</v>
      </c>
      <c r="I6355" t="s">
        <v>41</v>
      </c>
      <c r="J6355" t="s">
        <v>42</v>
      </c>
      <c r="K6355" t="s">
        <v>48</v>
      </c>
      <c r="L6355" t="s">
        <v>49</v>
      </c>
      <c r="M6355" t="s">
        <v>220</v>
      </c>
      <c r="N6355">
        <v>6.5578900000000005E-4</v>
      </c>
      <c r="O6355">
        <v>9.2178144000000004E-2</v>
      </c>
      <c r="P6355">
        <v>8.8827208000000005E-2</v>
      </c>
      <c r="Q6355" t="str">
        <f t="shared" si="198"/>
        <v>25-34</v>
      </c>
      <c r="R6355" t="str">
        <f t="shared" si="199"/>
        <v>[YCKiBAp8QAg]|25-34|Male|Incidence_SUBNAT.Rt.T|CY2025Q3</v>
      </c>
    </row>
    <row r="6356" spans="4:18" x14ac:dyDescent="0.2">
      <c r="D6356" t="s">
        <v>75</v>
      </c>
      <c r="E6356" t="s">
        <v>76</v>
      </c>
      <c r="F6356" t="s">
        <v>77</v>
      </c>
      <c r="G6356" t="s">
        <v>222</v>
      </c>
      <c r="H6356" t="s">
        <v>222</v>
      </c>
      <c r="I6356" t="s">
        <v>43</v>
      </c>
      <c r="J6356" t="s">
        <v>44</v>
      </c>
      <c r="K6356" t="s">
        <v>48</v>
      </c>
      <c r="L6356" t="s">
        <v>49</v>
      </c>
      <c r="M6356" t="s">
        <v>220</v>
      </c>
      <c r="N6356">
        <v>7.2707999999999996E-4</v>
      </c>
      <c r="O6356">
        <v>9.239182E-2</v>
      </c>
      <c r="P6356">
        <v>8.8827208000000005E-2</v>
      </c>
      <c r="Q6356" t="str">
        <f t="shared" si="198"/>
        <v>35-49</v>
      </c>
      <c r="R6356" t="str">
        <f t="shared" si="199"/>
        <v>[YCKiBAp8QAg]|35-49|Male|Incidence_SUBNAT.Rt.T|CY2025Q3</v>
      </c>
    </row>
    <row r="6357" spans="4:18" x14ac:dyDescent="0.2">
      <c r="D6357" t="s">
        <v>75</v>
      </c>
      <c r="E6357" t="s">
        <v>76</v>
      </c>
      <c r="F6357" t="s">
        <v>77</v>
      </c>
      <c r="G6357" t="s">
        <v>222</v>
      </c>
      <c r="H6357" t="s">
        <v>222</v>
      </c>
      <c r="I6357" t="s">
        <v>45</v>
      </c>
      <c r="J6357" t="s">
        <v>46</v>
      </c>
      <c r="K6357" t="s">
        <v>48</v>
      </c>
      <c r="L6357" t="s">
        <v>49</v>
      </c>
      <c r="M6357" t="s">
        <v>220</v>
      </c>
      <c r="N6357">
        <v>3.84368E-4</v>
      </c>
      <c r="O6357">
        <v>9.1378834000000006E-2</v>
      </c>
      <c r="P6357">
        <v>8.8827208000000005E-2</v>
      </c>
      <c r="Q6357" t="str">
        <f t="shared" si="198"/>
        <v>50+</v>
      </c>
      <c r="R6357" t="str">
        <f t="shared" si="199"/>
        <v>[YCKiBAp8QAg]|50+|Male|Incidence_SUBNAT.Rt.T|CY2025Q3</v>
      </c>
    </row>
    <row r="6358" spans="4:18" x14ac:dyDescent="0.2">
      <c r="D6358" t="s">
        <v>78</v>
      </c>
      <c r="E6358" t="s">
        <v>79</v>
      </c>
      <c r="F6358" t="s">
        <v>80</v>
      </c>
      <c r="G6358" t="s">
        <v>222</v>
      </c>
      <c r="H6358" t="s">
        <v>222</v>
      </c>
      <c r="I6358" t="s">
        <v>28</v>
      </c>
      <c r="J6358" t="s">
        <v>29</v>
      </c>
      <c r="K6358" t="s">
        <v>30</v>
      </c>
      <c r="L6358" t="s">
        <v>31</v>
      </c>
      <c r="M6358" t="s">
        <v>220</v>
      </c>
      <c r="N6358">
        <v>5.5483400000000003E-4</v>
      </c>
      <c r="O6358">
        <v>9.8995749999999993E-2</v>
      </c>
      <c r="P6358">
        <v>0.10346251099999999</v>
      </c>
      <c r="Q6358" t="str">
        <f t="shared" si="198"/>
        <v>&lt;01</v>
      </c>
      <c r="R6358" t="str">
        <f t="shared" si="199"/>
        <v>[fiRkU6gEjLz]|&lt;01|Female|Incidence_SUBNAT.Rt.T|CY2025Q3</v>
      </c>
    </row>
    <row r="6359" spans="4:18" x14ac:dyDescent="0.2">
      <c r="D6359" t="s">
        <v>78</v>
      </c>
      <c r="E6359" t="s">
        <v>79</v>
      </c>
      <c r="F6359" t="s">
        <v>80</v>
      </c>
      <c r="G6359" t="s">
        <v>222</v>
      </c>
      <c r="H6359" t="s">
        <v>222</v>
      </c>
      <c r="I6359" t="s">
        <v>33</v>
      </c>
      <c r="J6359" t="s">
        <v>34</v>
      </c>
      <c r="K6359" t="s">
        <v>30</v>
      </c>
      <c r="L6359" t="s">
        <v>31</v>
      </c>
      <c r="M6359" t="s">
        <v>220</v>
      </c>
      <c r="N6359" s="235" t="s">
        <v>240</v>
      </c>
      <c r="O6359">
        <v>4.9497874999999997E-2</v>
      </c>
      <c r="P6359">
        <v>0.10346251099999999</v>
      </c>
      <c r="Q6359" t="str">
        <f t="shared" si="198"/>
        <v>01-09</v>
      </c>
      <c r="R6359" t="str">
        <f t="shared" si="199"/>
        <v>[fiRkU6gEjLz]|01-09|Female|Incidence_SUBNAT.Rt.T|CY2025Q3</v>
      </c>
    </row>
    <row r="6360" spans="4:18" x14ac:dyDescent="0.2">
      <c r="D6360" t="s">
        <v>78</v>
      </c>
      <c r="E6360" t="s">
        <v>79</v>
      </c>
      <c r="F6360" t="s">
        <v>80</v>
      </c>
      <c r="G6360" t="s">
        <v>222</v>
      </c>
      <c r="H6360" t="s">
        <v>222</v>
      </c>
      <c r="I6360" t="s">
        <v>36</v>
      </c>
      <c r="J6360" t="s">
        <v>37</v>
      </c>
      <c r="K6360" t="s">
        <v>30</v>
      </c>
      <c r="L6360" t="s">
        <v>31</v>
      </c>
      <c r="M6360" t="s">
        <v>220</v>
      </c>
      <c r="N6360">
        <v>0</v>
      </c>
      <c r="O6360">
        <v>0</v>
      </c>
      <c r="P6360">
        <v>0.10346251099999999</v>
      </c>
      <c r="Q6360" t="str">
        <f t="shared" si="198"/>
        <v>10-14</v>
      </c>
      <c r="R6360" t="str">
        <f t="shared" si="199"/>
        <v>[fiRkU6gEjLz]|10-14|Female|Incidence_SUBNAT.Rt.T|CY2025Q3</v>
      </c>
    </row>
    <row r="6361" spans="4:18" x14ac:dyDescent="0.2">
      <c r="D6361" t="s">
        <v>78</v>
      </c>
      <c r="E6361" t="s">
        <v>79</v>
      </c>
      <c r="F6361" t="s">
        <v>80</v>
      </c>
      <c r="G6361" t="s">
        <v>222</v>
      </c>
      <c r="H6361" t="s">
        <v>222</v>
      </c>
      <c r="I6361" t="s">
        <v>38</v>
      </c>
      <c r="J6361" t="s">
        <v>39</v>
      </c>
      <c r="K6361" t="s">
        <v>30</v>
      </c>
      <c r="L6361" t="s">
        <v>31</v>
      </c>
      <c r="M6361" t="s">
        <v>220</v>
      </c>
      <c r="N6361">
        <v>3.0979100000000002E-4</v>
      </c>
      <c r="O6361">
        <v>0.105772669</v>
      </c>
      <c r="P6361">
        <v>0.10346251099999999</v>
      </c>
      <c r="Q6361" t="str">
        <f t="shared" si="198"/>
        <v>15-24</v>
      </c>
      <c r="R6361" t="str">
        <f t="shared" si="199"/>
        <v>[fiRkU6gEjLz]|15-24|Female|Incidence_SUBNAT.Rt.T|CY2025Q3</v>
      </c>
    </row>
    <row r="6362" spans="4:18" x14ac:dyDescent="0.2">
      <c r="D6362" t="s">
        <v>78</v>
      </c>
      <c r="E6362" t="s">
        <v>79</v>
      </c>
      <c r="F6362" t="s">
        <v>80</v>
      </c>
      <c r="G6362" t="s">
        <v>222</v>
      </c>
      <c r="H6362" t="s">
        <v>222</v>
      </c>
      <c r="I6362" t="s">
        <v>41</v>
      </c>
      <c r="J6362" t="s">
        <v>42</v>
      </c>
      <c r="K6362" t="s">
        <v>30</v>
      </c>
      <c r="L6362" t="s">
        <v>31</v>
      </c>
      <c r="M6362" t="s">
        <v>220</v>
      </c>
      <c r="N6362">
        <v>4.7278799999999997E-4</v>
      </c>
      <c r="O6362">
        <v>0.105914525</v>
      </c>
      <c r="P6362">
        <v>0.10346251099999999</v>
      </c>
      <c r="Q6362" t="str">
        <f t="shared" si="198"/>
        <v>25-34</v>
      </c>
      <c r="R6362" t="str">
        <f t="shared" si="199"/>
        <v>[fiRkU6gEjLz]|25-34|Female|Incidence_SUBNAT.Rt.T|CY2025Q3</v>
      </c>
    </row>
    <row r="6363" spans="4:18" x14ac:dyDescent="0.2">
      <c r="D6363" t="s">
        <v>78</v>
      </c>
      <c r="E6363" t="s">
        <v>79</v>
      </c>
      <c r="F6363" t="s">
        <v>80</v>
      </c>
      <c r="G6363" t="s">
        <v>222</v>
      </c>
      <c r="H6363" t="s">
        <v>222</v>
      </c>
      <c r="I6363" t="s">
        <v>43</v>
      </c>
      <c r="J6363" t="s">
        <v>44</v>
      </c>
      <c r="K6363" t="s">
        <v>30</v>
      </c>
      <c r="L6363" t="s">
        <v>31</v>
      </c>
      <c r="M6363" t="s">
        <v>220</v>
      </c>
      <c r="N6363">
        <v>2.4587799999999999E-4</v>
      </c>
      <c r="O6363">
        <v>0.10609571499999999</v>
      </c>
      <c r="P6363">
        <v>0.10346251099999999</v>
      </c>
      <c r="Q6363" t="str">
        <f t="shared" si="198"/>
        <v>35-49</v>
      </c>
      <c r="R6363" t="str">
        <f t="shared" si="199"/>
        <v>[fiRkU6gEjLz]|35-49|Female|Incidence_SUBNAT.Rt.T|CY2025Q3</v>
      </c>
    </row>
    <row r="6364" spans="4:18" x14ac:dyDescent="0.2">
      <c r="D6364" t="s">
        <v>78</v>
      </c>
      <c r="E6364" t="s">
        <v>79</v>
      </c>
      <c r="F6364" t="s">
        <v>80</v>
      </c>
      <c r="G6364" t="s">
        <v>222</v>
      </c>
      <c r="H6364" t="s">
        <v>222</v>
      </c>
      <c r="I6364" t="s">
        <v>45</v>
      </c>
      <c r="J6364" t="s">
        <v>46</v>
      </c>
      <c r="K6364" t="s">
        <v>30</v>
      </c>
      <c r="L6364" t="s">
        <v>31</v>
      </c>
      <c r="M6364" t="s">
        <v>220</v>
      </c>
      <c r="N6364" s="235" t="s">
        <v>241</v>
      </c>
      <c r="O6364">
        <v>0.104888092</v>
      </c>
      <c r="P6364">
        <v>0.10346251099999999</v>
      </c>
      <c r="Q6364" t="str">
        <f t="shared" si="198"/>
        <v>50+</v>
      </c>
      <c r="R6364" t="str">
        <f t="shared" si="199"/>
        <v>[fiRkU6gEjLz]|50+|Female|Incidence_SUBNAT.Rt.T|CY2025Q3</v>
      </c>
    </row>
    <row r="6365" spans="4:18" x14ac:dyDescent="0.2">
      <c r="D6365" t="s">
        <v>78</v>
      </c>
      <c r="E6365" t="s">
        <v>79</v>
      </c>
      <c r="F6365" t="s">
        <v>80</v>
      </c>
      <c r="G6365" t="s">
        <v>222</v>
      </c>
      <c r="H6365" t="s">
        <v>222</v>
      </c>
      <c r="I6365" t="s">
        <v>28</v>
      </c>
      <c r="J6365" t="s">
        <v>29</v>
      </c>
      <c r="K6365" t="s">
        <v>48</v>
      </c>
      <c r="L6365" t="s">
        <v>49</v>
      </c>
      <c r="M6365" t="s">
        <v>220</v>
      </c>
      <c r="N6365">
        <v>5.5667300000000004E-4</v>
      </c>
      <c r="O6365">
        <v>9.8995749999999993E-2</v>
      </c>
      <c r="P6365">
        <v>0.10346251099999999</v>
      </c>
      <c r="Q6365" t="str">
        <f t="shared" si="198"/>
        <v>&lt;01</v>
      </c>
      <c r="R6365" t="str">
        <f t="shared" si="199"/>
        <v>[fiRkU6gEjLz]|&lt;01|Male|Incidence_SUBNAT.Rt.T|CY2025Q3</v>
      </c>
    </row>
    <row r="6366" spans="4:18" x14ac:dyDescent="0.2">
      <c r="D6366" t="s">
        <v>78</v>
      </c>
      <c r="E6366" t="s">
        <v>79</v>
      </c>
      <c r="F6366" t="s">
        <v>80</v>
      </c>
      <c r="G6366" t="s">
        <v>222</v>
      </c>
      <c r="H6366" t="s">
        <v>222</v>
      </c>
      <c r="I6366" t="s">
        <v>33</v>
      </c>
      <c r="J6366" t="s">
        <v>34</v>
      </c>
      <c r="K6366" t="s">
        <v>48</v>
      </c>
      <c r="L6366" t="s">
        <v>49</v>
      </c>
      <c r="M6366" t="s">
        <v>220</v>
      </c>
      <c r="N6366" s="235" t="s">
        <v>242</v>
      </c>
      <c r="O6366">
        <v>4.9497874999999997E-2</v>
      </c>
      <c r="P6366">
        <v>0.10346251099999999</v>
      </c>
      <c r="Q6366" t="str">
        <f t="shared" si="198"/>
        <v>01-09</v>
      </c>
      <c r="R6366" t="str">
        <f t="shared" si="199"/>
        <v>[fiRkU6gEjLz]|01-09|Male|Incidence_SUBNAT.Rt.T|CY2025Q3</v>
      </c>
    </row>
    <row r="6367" spans="4:18" x14ac:dyDescent="0.2">
      <c r="D6367" t="s">
        <v>78</v>
      </c>
      <c r="E6367" t="s">
        <v>79</v>
      </c>
      <c r="F6367" t="s">
        <v>80</v>
      </c>
      <c r="G6367" t="s">
        <v>222</v>
      </c>
      <c r="H6367" t="s">
        <v>222</v>
      </c>
      <c r="I6367" t="s">
        <v>36</v>
      </c>
      <c r="J6367" t="s">
        <v>37</v>
      </c>
      <c r="K6367" t="s">
        <v>48</v>
      </c>
      <c r="L6367" t="s">
        <v>49</v>
      </c>
      <c r="M6367" t="s">
        <v>220</v>
      </c>
      <c r="N6367">
        <v>0</v>
      </c>
      <c r="O6367">
        <v>0</v>
      </c>
      <c r="P6367">
        <v>0.10346251099999999</v>
      </c>
      <c r="Q6367" t="str">
        <f t="shared" si="198"/>
        <v>10-14</v>
      </c>
      <c r="R6367" t="str">
        <f t="shared" si="199"/>
        <v>[fiRkU6gEjLz]|10-14|Male|Incidence_SUBNAT.Rt.T|CY2025Q3</v>
      </c>
    </row>
    <row r="6368" spans="4:18" x14ac:dyDescent="0.2">
      <c r="D6368" t="s">
        <v>78</v>
      </c>
      <c r="E6368" t="s">
        <v>79</v>
      </c>
      <c r="F6368" t="s">
        <v>80</v>
      </c>
      <c r="G6368" t="s">
        <v>222</v>
      </c>
      <c r="H6368" t="s">
        <v>222</v>
      </c>
      <c r="I6368" t="s">
        <v>38</v>
      </c>
      <c r="J6368" t="s">
        <v>39</v>
      </c>
      <c r="K6368" t="s">
        <v>48</v>
      </c>
      <c r="L6368" t="s">
        <v>49</v>
      </c>
      <c r="M6368" t="s">
        <v>220</v>
      </c>
      <c r="N6368" s="235" t="s">
        <v>158</v>
      </c>
      <c r="O6368">
        <v>0.10584057299999999</v>
      </c>
      <c r="P6368">
        <v>0.10346251099999999</v>
      </c>
      <c r="Q6368" t="str">
        <f t="shared" si="198"/>
        <v>15-24</v>
      </c>
      <c r="R6368" t="str">
        <f t="shared" si="199"/>
        <v>[fiRkU6gEjLz]|15-24|Male|Incidence_SUBNAT.Rt.T|CY2025Q3</v>
      </c>
    </row>
    <row r="6369" spans="4:18" x14ac:dyDescent="0.2">
      <c r="D6369" t="s">
        <v>78</v>
      </c>
      <c r="E6369" t="s">
        <v>79</v>
      </c>
      <c r="F6369" t="s">
        <v>80</v>
      </c>
      <c r="G6369" t="s">
        <v>222</v>
      </c>
      <c r="H6369" t="s">
        <v>222</v>
      </c>
      <c r="I6369" t="s">
        <v>41</v>
      </c>
      <c r="J6369" t="s">
        <v>42</v>
      </c>
      <c r="K6369" t="s">
        <v>48</v>
      </c>
      <c r="L6369" t="s">
        <v>49</v>
      </c>
      <c r="M6369" t="s">
        <v>220</v>
      </c>
      <c r="N6369">
        <v>2.8434800000000002E-4</v>
      </c>
      <c r="O6369">
        <v>0.10582902299999999</v>
      </c>
      <c r="P6369">
        <v>0.10346251099999999</v>
      </c>
      <c r="Q6369" t="str">
        <f t="shared" si="198"/>
        <v>25-34</v>
      </c>
      <c r="R6369" t="str">
        <f t="shared" si="199"/>
        <v>[fiRkU6gEjLz]|25-34|Male|Incidence_SUBNAT.Rt.T|CY2025Q3</v>
      </c>
    </row>
    <row r="6370" spans="4:18" x14ac:dyDescent="0.2">
      <c r="D6370" t="s">
        <v>78</v>
      </c>
      <c r="E6370" t="s">
        <v>79</v>
      </c>
      <c r="F6370" t="s">
        <v>80</v>
      </c>
      <c r="G6370" t="s">
        <v>222</v>
      </c>
      <c r="H6370" t="s">
        <v>222</v>
      </c>
      <c r="I6370" t="s">
        <v>43</v>
      </c>
      <c r="J6370" t="s">
        <v>44</v>
      </c>
      <c r="K6370" t="s">
        <v>48</v>
      </c>
      <c r="L6370" t="s">
        <v>49</v>
      </c>
      <c r="M6370" t="s">
        <v>220</v>
      </c>
      <c r="N6370">
        <v>3.1604300000000001E-4</v>
      </c>
      <c r="O6370">
        <v>0.105948613</v>
      </c>
      <c r="P6370">
        <v>0.10346251099999999</v>
      </c>
      <c r="Q6370" t="str">
        <f t="shared" si="198"/>
        <v>35-49</v>
      </c>
      <c r="R6370" t="str">
        <f t="shared" si="199"/>
        <v>[fiRkU6gEjLz]|35-49|Male|Incidence_SUBNAT.Rt.T|CY2025Q3</v>
      </c>
    </row>
    <row r="6371" spans="4:18" x14ac:dyDescent="0.2">
      <c r="D6371" t="s">
        <v>78</v>
      </c>
      <c r="E6371" t="s">
        <v>79</v>
      </c>
      <c r="F6371" t="s">
        <v>80</v>
      </c>
      <c r="G6371" t="s">
        <v>222</v>
      </c>
      <c r="H6371" t="s">
        <v>222</v>
      </c>
      <c r="I6371" t="s">
        <v>45</v>
      </c>
      <c r="J6371" t="s">
        <v>46</v>
      </c>
      <c r="K6371" t="s">
        <v>48</v>
      </c>
      <c r="L6371" t="s">
        <v>49</v>
      </c>
      <c r="M6371" t="s">
        <v>220</v>
      </c>
      <c r="N6371">
        <v>1.6571399999999999E-4</v>
      </c>
      <c r="O6371">
        <v>0.105401192</v>
      </c>
      <c r="P6371">
        <v>0.10346251099999999</v>
      </c>
      <c r="Q6371" t="str">
        <f t="shared" si="198"/>
        <v>50+</v>
      </c>
      <c r="R6371" t="str">
        <f t="shared" si="199"/>
        <v>[fiRkU6gEjLz]|50+|Male|Incidence_SUBNAT.Rt.T|CY2025Q3</v>
      </c>
    </row>
    <row r="6372" spans="4:18" x14ac:dyDescent="0.2">
      <c r="D6372" t="s">
        <v>81</v>
      </c>
      <c r="E6372" t="s">
        <v>82</v>
      </c>
      <c r="F6372" t="s">
        <v>83</v>
      </c>
      <c r="G6372" t="s">
        <v>222</v>
      </c>
      <c r="H6372" t="s">
        <v>222</v>
      </c>
      <c r="I6372" t="s">
        <v>28</v>
      </c>
      <c r="J6372" t="s">
        <v>29</v>
      </c>
      <c r="K6372" t="s">
        <v>30</v>
      </c>
      <c r="L6372" t="s">
        <v>31</v>
      </c>
      <c r="M6372" t="s">
        <v>220</v>
      </c>
      <c r="N6372">
        <v>6.5200999999999996E-4</v>
      </c>
      <c r="O6372">
        <v>8.6002334E-2</v>
      </c>
      <c r="P6372">
        <v>9.3100286000000004E-2</v>
      </c>
      <c r="Q6372" t="str">
        <f t="shared" si="198"/>
        <v>&lt;01</v>
      </c>
      <c r="R6372" t="str">
        <f t="shared" si="199"/>
        <v>[zphK9WV8JB4]|&lt;01|Female|Incidence_SUBNAT.Rt.T|CY2025Q3</v>
      </c>
    </row>
    <row r="6373" spans="4:18" x14ac:dyDescent="0.2">
      <c r="D6373" t="s">
        <v>81</v>
      </c>
      <c r="E6373" t="s">
        <v>82</v>
      </c>
      <c r="F6373" t="s">
        <v>83</v>
      </c>
      <c r="G6373" t="s">
        <v>222</v>
      </c>
      <c r="H6373" t="s">
        <v>222</v>
      </c>
      <c r="I6373" t="s">
        <v>33</v>
      </c>
      <c r="J6373" t="s">
        <v>34</v>
      </c>
      <c r="K6373" t="s">
        <v>30</v>
      </c>
      <c r="L6373" t="s">
        <v>31</v>
      </c>
      <c r="M6373" t="s">
        <v>220</v>
      </c>
      <c r="N6373" s="235" t="s">
        <v>243</v>
      </c>
      <c r="O6373">
        <v>4.3001167E-2</v>
      </c>
      <c r="P6373">
        <v>9.3100286000000004E-2</v>
      </c>
      <c r="Q6373" t="str">
        <f t="shared" si="198"/>
        <v>01-09</v>
      </c>
      <c r="R6373" t="str">
        <f t="shared" si="199"/>
        <v>[zphK9WV8JB4]|01-09|Female|Incidence_SUBNAT.Rt.T|CY2025Q3</v>
      </c>
    </row>
    <row r="6374" spans="4:18" x14ac:dyDescent="0.2">
      <c r="D6374" t="s">
        <v>81</v>
      </c>
      <c r="E6374" t="s">
        <v>82</v>
      </c>
      <c r="F6374" t="s">
        <v>83</v>
      </c>
      <c r="G6374" t="s">
        <v>222</v>
      </c>
      <c r="H6374" t="s">
        <v>222</v>
      </c>
      <c r="I6374" t="s">
        <v>36</v>
      </c>
      <c r="J6374" t="s">
        <v>37</v>
      </c>
      <c r="K6374" t="s">
        <v>30</v>
      </c>
      <c r="L6374" t="s">
        <v>31</v>
      </c>
      <c r="M6374" t="s">
        <v>220</v>
      </c>
      <c r="N6374">
        <v>0</v>
      </c>
      <c r="O6374">
        <v>0</v>
      </c>
      <c r="P6374">
        <v>9.3100286000000004E-2</v>
      </c>
      <c r="Q6374" t="str">
        <f t="shared" si="198"/>
        <v>10-14</v>
      </c>
      <c r="R6374" t="str">
        <f t="shared" si="199"/>
        <v>[zphK9WV8JB4]|10-14|Female|Incidence_SUBNAT.Rt.T|CY2025Q3</v>
      </c>
    </row>
    <row r="6375" spans="4:18" x14ac:dyDescent="0.2">
      <c r="D6375" t="s">
        <v>81</v>
      </c>
      <c r="E6375" t="s">
        <v>82</v>
      </c>
      <c r="F6375" t="s">
        <v>83</v>
      </c>
      <c r="G6375" t="s">
        <v>222</v>
      </c>
      <c r="H6375" t="s">
        <v>222</v>
      </c>
      <c r="I6375" t="s">
        <v>38</v>
      </c>
      <c r="J6375" t="s">
        <v>39</v>
      </c>
      <c r="K6375" t="s">
        <v>30</v>
      </c>
      <c r="L6375" t="s">
        <v>31</v>
      </c>
      <c r="M6375" t="s">
        <v>220</v>
      </c>
      <c r="N6375">
        <v>3.7065200000000001E-4</v>
      </c>
      <c r="O6375">
        <v>9.5933822000000002E-2</v>
      </c>
      <c r="P6375">
        <v>9.3100286000000004E-2</v>
      </c>
      <c r="Q6375" t="str">
        <f t="shared" si="198"/>
        <v>15-24</v>
      </c>
      <c r="R6375" t="str">
        <f t="shared" si="199"/>
        <v>[zphK9WV8JB4]|15-24|Female|Incidence_SUBNAT.Rt.T|CY2025Q3</v>
      </c>
    </row>
    <row r="6376" spans="4:18" x14ac:dyDescent="0.2">
      <c r="D6376" t="s">
        <v>81</v>
      </c>
      <c r="E6376" t="s">
        <v>82</v>
      </c>
      <c r="F6376" t="s">
        <v>83</v>
      </c>
      <c r="G6376" t="s">
        <v>222</v>
      </c>
      <c r="H6376" t="s">
        <v>222</v>
      </c>
      <c r="I6376" t="s">
        <v>41</v>
      </c>
      <c r="J6376" t="s">
        <v>42</v>
      </c>
      <c r="K6376" t="s">
        <v>30</v>
      </c>
      <c r="L6376" t="s">
        <v>31</v>
      </c>
      <c r="M6376" t="s">
        <v>220</v>
      </c>
      <c r="N6376">
        <v>5.6541800000000004E-4</v>
      </c>
      <c r="O6376">
        <v>9.6087056000000004E-2</v>
      </c>
      <c r="P6376">
        <v>9.3100286000000004E-2</v>
      </c>
      <c r="Q6376" t="str">
        <f t="shared" si="198"/>
        <v>25-34</v>
      </c>
      <c r="R6376" t="str">
        <f t="shared" si="199"/>
        <v>[zphK9WV8JB4]|25-34|Female|Incidence_SUBNAT.Rt.T|CY2025Q3</v>
      </c>
    </row>
    <row r="6377" spans="4:18" x14ac:dyDescent="0.2">
      <c r="D6377" t="s">
        <v>81</v>
      </c>
      <c r="E6377" t="s">
        <v>82</v>
      </c>
      <c r="F6377" t="s">
        <v>83</v>
      </c>
      <c r="G6377" t="s">
        <v>222</v>
      </c>
      <c r="H6377" t="s">
        <v>222</v>
      </c>
      <c r="I6377" t="s">
        <v>43</v>
      </c>
      <c r="J6377" t="s">
        <v>44</v>
      </c>
      <c r="K6377" t="s">
        <v>30</v>
      </c>
      <c r="L6377" t="s">
        <v>31</v>
      </c>
      <c r="M6377" t="s">
        <v>220</v>
      </c>
      <c r="N6377">
        <v>2.9194099999999999E-4</v>
      </c>
      <c r="O6377">
        <v>9.6233282000000003E-2</v>
      </c>
      <c r="P6377">
        <v>9.3100286000000004E-2</v>
      </c>
      <c r="Q6377" t="str">
        <f t="shared" si="198"/>
        <v>35-49</v>
      </c>
      <c r="R6377" t="str">
        <f t="shared" si="199"/>
        <v>[zphK9WV8JB4]|35-49|Female|Incidence_SUBNAT.Rt.T|CY2025Q3</v>
      </c>
    </row>
    <row r="6378" spans="4:18" x14ac:dyDescent="0.2">
      <c r="D6378" t="s">
        <v>81</v>
      </c>
      <c r="E6378" t="s">
        <v>82</v>
      </c>
      <c r="F6378" t="s">
        <v>83</v>
      </c>
      <c r="G6378" t="s">
        <v>222</v>
      </c>
      <c r="H6378" t="s">
        <v>222</v>
      </c>
      <c r="I6378" t="s">
        <v>45</v>
      </c>
      <c r="J6378" t="s">
        <v>46</v>
      </c>
      <c r="K6378" t="s">
        <v>30</v>
      </c>
      <c r="L6378" t="s">
        <v>31</v>
      </c>
      <c r="M6378" t="s">
        <v>220</v>
      </c>
      <c r="N6378" s="235" t="s">
        <v>244</v>
      </c>
      <c r="O6378">
        <v>9.5051333000000002E-2</v>
      </c>
      <c r="P6378">
        <v>9.3100286000000004E-2</v>
      </c>
      <c r="Q6378" t="str">
        <f t="shared" si="198"/>
        <v>50+</v>
      </c>
      <c r="R6378" t="str">
        <f t="shared" si="199"/>
        <v>[zphK9WV8JB4]|50+|Female|Incidence_SUBNAT.Rt.T|CY2025Q3</v>
      </c>
    </row>
    <row r="6379" spans="4:18" x14ac:dyDescent="0.2">
      <c r="D6379" t="s">
        <v>81</v>
      </c>
      <c r="E6379" t="s">
        <v>82</v>
      </c>
      <c r="F6379" t="s">
        <v>83</v>
      </c>
      <c r="G6379" t="s">
        <v>222</v>
      </c>
      <c r="H6379" t="s">
        <v>222</v>
      </c>
      <c r="I6379" t="s">
        <v>28</v>
      </c>
      <c r="J6379" t="s">
        <v>29</v>
      </c>
      <c r="K6379" t="s">
        <v>48</v>
      </c>
      <c r="L6379" t="s">
        <v>49</v>
      </c>
      <c r="M6379" t="s">
        <v>220</v>
      </c>
      <c r="N6379">
        <v>6.5417199999999996E-4</v>
      </c>
      <c r="O6379">
        <v>8.6002334E-2</v>
      </c>
      <c r="P6379">
        <v>9.3100286000000004E-2</v>
      </c>
      <c r="Q6379" t="str">
        <f t="shared" si="198"/>
        <v>&lt;01</v>
      </c>
      <c r="R6379" t="str">
        <f t="shared" si="199"/>
        <v>[zphK9WV8JB4]|&lt;01|Male|Incidence_SUBNAT.Rt.T|CY2025Q3</v>
      </c>
    </row>
    <row r="6380" spans="4:18" x14ac:dyDescent="0.2">
      <c r="D6380" t="s">
        <v>81</v>
      </c>
      <c r="E6380" t="s">
        <v>82</v>
      </c>
      <c r="F6380" t="s">
        <v>83</v>
      </c>
      <c r="G6380" t="s">
        <v>222</v>
      </c>
      <c r="H6380" t="s">
        <v>222</v>
      </c>
      <c r="I6380" t="s">
        <v>33</v>
      </c>
      <c r="J6380" t="s">
        <v>34</v>
      </c>
      <c r="K6380" t="s">
        <v>48</v>
      </c>
      <c r="L6380" t="s">
        <v>49</v>
      </c>
      <c r="M6380" t="s">
        <v>220</v>
      </c>
      <c r="N6380" s="235" t="s">
        <v>245</v>
      </c>
      <c r="O6380">
        <v>4.3001167E-2</v>
      </c>
      <c r="P6380">
        <v>9.3100286000000004E-2</v>
      </c>
      <c r="Q6380" t="str">
        <f t="shared" si="198"/>
        <v>01-09</v>
      </c>
      <c r="R6380" t="str">
        <f t="shared" si="199"/>
        <v>[zphK9WV8JB4]|01-09|Male|Incidence_SUBNAT.Rt.T|CY2025Q3</v>
      </c>
    </row>
    <row r="6381" spans="4:18" x14ac:dyDescent="0.2">
      <c r="D6381" t="s">
        <v>81</v>
      </c>
      <c r="E6381" t="s">
        <v>82</v>
      </c>
      <c r="F6381" t="s">
        <v>83</v>
      </c>
      <c r="G6381" t="s">
        <v>222</v>
      </c>
      <c r="H6381" t="s">
        <v>222</v>
      </c>
      <c r="I6381" t="s">
        <v>36</v>
      </c>
      <c r="J6381" t="s">
        <v>37</v>
      </c>
      <c r="K6381" t="s">
        <v>48</v>
      </c>
      <c r="L6381" t="s">
        <v>49</v>
      </c>
      <c r="M6381" t="s">
        <v>220</v>
      </c>
      <c r="N6381">
        <v>0</v>
      </c>
      <c r="O6381">
        <v>0</v>
      </c>
      <c r="P6381">
        <v>9.3100286000000004E-2</v>
      </c>
      <c r="Q6381" t="str">
        <f t="shared" si="198"/>
        <v>10-14</v>
      </c>
      <c r="R6381" t="str">
        <f t="shared" si="199"/>
        <v>[zphK9WV8JB4]|10-14|Male|Incidence_SUBNAT.Rt.T|CY2025Q3</v>
      </c>
    </row>
    <row r="6382" spans="4:18" x14ac:dyDescent="0.2">
      <c r="D6382" t="s">
        <v>81</v>
      </c>
      <c r="E6382" t="s">
        <v>82</v>
      </c>
      <c r="F6382" t="s">
        <v>83</v>
      </c>
      <c r="G6382" t="s">
        <v>222</v>
      </c>
      <c r="H6382" t="s">
        <v>222</v>
      </c>
      <c r="I6382" t="s">
        <v>38</v>
      </c>
      <c r="J6382" t="s">
        <v>39</v>
      </c>
      <c r="K6382" t="s">
        <v>48</v>
      </c>
      <c r="L6382" t="s">
        <v>49</v>
      </c>
      <c r="M6382" t="s">
        <v>220</v>
      </c>
      <c r="N6382" s="235" t="s">
        <v>246</v>
      </c>
      <c r="O6382">
        <v>9.5996116000000006E-2</v>
      </c>
      <c r="P6382">
        <v>9.3100286000000004E-2</v>
      </c>
      <c r="Q6382" t="str">
        <f t="shared" si="198"/>
        <v>15-24</v>
      </c>
      <c r="R6382" t="str">
        <f t="shared" si="199"/>
        <v>[zphK9WV8JB4]|15-24|Male|Incidence_SUBNAT.Rt.T|CY2025Q3</v>
      </c>
    </row>
    <row r="6383" spans="4:18" x14ac:dyDescent="0.2">
      <c r="D6383" t="s">
        <v>81</v>
      </c>
      <c r="E6383" t="s">
        <v>82</v>
      </c>
      <c r="F6383" t="s">
        <v>83</v>
      </c>
      <c r="G6383" t="s">
        <v>222</v>
      </c>
      <c r="H6383" t="s">
        <v>222</v>
      </c>
      <c r="I6383" t="s">
        <v>41</v>
      </c>
      <c r="J6383" t="s">
        <v>42</v>
      </c>
      <c r="K6383" t="s">
        <v>48</v>
      </c>
      <c r="L6383" t="s">
        <v>49</v>
      </c>
      <c r="M6383" t="s">
        <v>220</v>
      </c>
      <c r="N6383">
        <v>3.3961000000000001E-4</v>
      </c>
      <c r="O6383">
        <v>9.5991247000000002E-2</v>
      </c>
      <c r="P6383">
        <v>9.3100286000000004E-2</v>
      </c>
      <c r="Q6383" t="str">
        <f t="shared" si="198"/>
        <v>25-34</v>
      </c>
      <c r="R6383" t="str">
        <f t="shared" si="199"/>
        <v>[zphK9WV8JB4]|25-34|Male|Incidence_SUBNAT.Rt.T|CY2025Q3</v>
      </c>
    </row>
    <row r="6384" spans="4:18" x14ac:dyDescent="0.2">
      <c r="D6384" t="s">
        <v>81</v>
      </c>
      <c r="E6384" t="s">
        <v>82</v>
      </c>
      <c r="F6384" t="s">
        <v>83</v>
      </c>
      <c r="G6384" t="s">
        <v>222</v>
      </c>
      <c r="H6384" t="s">
        <v>222</v>
      </c>
      <c r="I6384" t="s">
        <v>43</v>
      </c>
      <c r="J6384" t="s">
        <v>44</v>
      </c>
      <c r="K6384" t="s">
        <v>48</v>
      </c>
      <c r="L6384" t="s">
        <v>49</v>
      </c>
      <c r="M6384" t="s">
        <v>220</v>
      </c>
      <c r="N6384">
        <v>3.7635700000000002E-4</v>
      </c>
      <c r="O6384">
        <v>9.6107305000000004E-2</v>
      </c>
      <c r="P6384">
        <v>9.3100286000000004E-2</v>
      </c>
      <c r="Q6384" t="str">
        <f t="shared" si="198"/>
        <v>35-49</v>
      </c>
      <c r="R6384" t="str">
        <f t="shared" si="199"/>
        <v>[zphK9WV8JB4]|35-49|Male|Incidence_SUBNAT.Rt.T|CY2025Q3</v>
      </c>
    </row>
    <row r="6385" spans="4:18" x14ac:dyDescent="0.2">
      <c r="D6385" t="s">
        <v>81</v>
      </c>
      <c r="E6385" t="s">
        <v>82</v>
      </c>
      <c r="F6385" t="s">
        <v>83</v>
      </c>
      <c r="G6385" t="s">
        <v>222</v>
      </c>
      <c r="H6385" t="s">
        <v>222</v>
      </c>
      <c r="I6385" t="s">
        <v>45</v>
      </c>
      <c r="J6385" t="s">
        <v>46</v>
      </c>
      <c r="K6385" t="s">
        <v>48</v>
      </c>
      <c r="L6385" t="s">
        <v>49</v>
      </c>
      <c r="M6385" t="s">
        <v>220</v>
      </c>
      <c r="N6385">
        <v>1.9859599999999999E-4</v>
      </c>
      <c r="O6385">
        <v>9.5542434999999995E-2</v>
      </c>
      <c r="P6385">
        <v>9.3100286000000004E-2</v>
      </c>
      <c r="Q6385" t="str">
        <f t="shared" si="198"/>
        <v>50+</v>
      </c>
      <c r="R6385" t="str">
        <f t="shared" si="199"/>
        <v>[zphK9WV8JB4]|50+|Male|Incidence_SUBNAT.Rt.T|CY2025Q3</v>
      </c>
    </row>
    <row r="6386" spans="4:18" x14ac:dyDescent="0.2">
      <c r="D6386" t="s">
        <v>84</v>
      </c>
      <c r="E6386" t="s">
        <v>85</v>
      </c>
      <c r="F6386" t="s">
        <v>86</v>
      </c>
      <c r="G6386" t="s">
        <v>222</v>
      </c>
      <c r="H6386" t="s">
        <v>222</v>
      </c>
      <c r="I6386" t="s">
        <v>28</v>
      </c>
      <c r="J6386" t="s">
        <v>29</v>
      </c>
      <c r="K6386" t="s">
        <v>30</v>
      </c>
      <c r="L6386" t="s">
        <v>31</v>
      </c>
      <c r="M6386" t="s">
        <v>220</v>
      </c>
      <c r="N6386">
        <v>1.5412360000000001E-3</v>
      </c>
      <c r="O6386">
        <v>6.7615519999999998E-2</v>
      </c>
      <c r="P6386">
        <v>7.2952673999999995E-2</v>
      </c>
      <c r="Q6386" t="str">
        <f t="shared" si="198"/>
        <v>&lt;01</v>
      </c>
      <c r="R6386" t="str">
        <f t="shared" si="199"/>
        <v>[msW2zpIN7up]|&lt;01|Female|Incidence_SUBNAT.Rt.T|CY2025Q3</v>
      </c>
    </row>
    <row r="6387" spans="4:18" x14ac:dyDescent="0.2">
      <c r="D6387" t="s">
        <v>84</v>
      </c>
      <c r="E6387" t="s">
        <v>85</v>
      </c>
      <c r="F6387" t="s">
        <v>86</v>
      </c>
      <c r="G6387" t="s">
        <v>222</v>
      </c>
      <c r="H6387" t="s">
        <v>222</v>
      </c>
      <c r="I6387" t="s">
        <v>33</v>
      </c>
      <c r="J6387" t="s">
        <v>34</v>
      </c>
      <c r="K6387" t="s">
        <v>30</v>
      </c>
      <c r="L6387" t="s">
        <v>31</v>
      </c>
      <c r="M6387" t="s">
        <v>220</v>
      </c>
      <c r="N6387" s="235" t="s">
        <v>247</v>
      </c>
      <c r="O6387">
        <v>3.3807759999999999E-2</v>
      </c>
      <c r="P6387">
        <v>7.2952673999999995E-2</v>
      </c>
      <c r="Q6387" t="str">
        <f t="shared" si="198"/>
        <v>01-09</v>
      </c>
      <c r="R6387" t="str">
        <f t="shared" si="199"/>
        <v>[msW2zpIN7up]|01-09|Female|Incidence_SUBNAT.Rt.T|CY2025Q3</v>
      </c>
    </row>
    <row r="6388" spans="4:18" x14ac:dyDescent="0.2">
      <c r="D6388" t="s">
        <v>84</v>
      </c>
      <c r="E6388" t="s">
        <v>85</v>
      </c>
      <c r="F6388" t="s">
        <v>86</v>
      </c>
      <c r="G6388" t="s">
        <v>222</v>
      </c>
      <c r="H6388" t="s">
        <v>222</v>
      </c>
      <c r="I6388" t="s">
        <v>36</v>
      </c>
      <c r="J6388" t="s">
        <v>37</v>
      </c>
      <c r="K6388" t="s">
        <v>30</v>
      </c>
      <c r="L6388" t="s">
        <v>31</v>
      </c>
      <c r="M6388" t="s">
        <v>220</v>
      </c>
      <c r="N6388">
        <v>0</v>
      </c>
      <c r="O6388">
        <v>0</v>
      </c>
      <c r="P6388">
        <v>7.2952673999999995E-2</v>
      </c>
      <c r="Q6388" t="str">
        <f t="shared" si="198"/>
        <v>10-14</v>
      </c>
      <c r="R6388" t="str">
        <f t="shared" si="199"/>
        <v>[msW2zpIN7up]|10-14|Female|Incidence_SUBNAT.Rt.T|CY2025Q3</v>
      </c>
    </row>
    <row r="6389" spans="4:18" x14ac:dyDescent="0.2">
      <c r="D6389" t="s">
        <v>84</v>
      </c>
      <c r="E6389" t="s">
        <v>85</v>
      </c>
      <c r="F6389" t="s">
        <v>86</v>
      </c>
      <c r="G6389" t="s">
        <v>222</v>
      </c>
      <c r="H6389" t="s">
        <v>222</v>
      </c>
      <c r="I6389" t="s">
        <v>38</v>
      </c>
      <c r="J6389" t="s">
        <v>39</v>
      </c>
      <c r="K6389" t="s">
        <v>30</v>
      </c>
      <c r="L6389" t="s">
        <v>31</v>
      </c>
      <c r="M6389" t="s">
        <v>220</v>
      </c>
      <c r="N6389">
        <v>8.17963E-4</v>
      </c>
      <c r="O6389">
        <v>7.6061745E-2</v>
      </c>
      <c r="P6389">
        <v>7.2952673999999995E-2</v>
      </c>
      <c r="Q6389" t="str">
        <f t="shared" si="198"/>
        <v>15-24</v>
      </c>
      <c r="R6389" t="str">
        <f t="shared" si="199"/>
        <v>[msW2zpIN7up]|15-24|Female|Incidence_SUBNAT.Rt.T|CY2025Q3</v>
      </c>
    </row>
    <row r="6390" spans="4:18" x14ac:dyDescent="0.2">
      <c r="D6390" t="s">
        <v>84</v>
      </c>
      <c r="E6390" t="s">
        <v>85</v>
      </c>
      <c r="F6390" t="s">
        <v>86</v>
      </c>
      <c r="G6390" t="s">
        <v>222</v>
      </c>
      <c r="H6390" t="s">
        <v>222</v>
      </c>
      <c r="I6390" t="s">
        <v>41</v>
      </c>
      <c r="J6390" t="s">
        <v>42</v>
      </c>
      <c r="K6390" t="s">
        <v>30</v>
      </c>
      <c r="L6390" t="s">
        <v>31</v>
      </c>
      <c r="M6390" t="s">
        <v>220</v>
      </c>
      <c r="N6390">
        <v>1.256051E-3</v>
      </c>
      <c r="O6390">
        <v>7.6390899999999998E-2</v>
      </c>
      <c r="P6390">
        <v>7.2952673999999995E-2</v>
      </c>
      <c r="Q6390" t="str">
        <f t="shared" si="198"/>
        <v>25-34</v>
      </c>
      <c r="R6390" t="str">
        <f t="shared" si="199"/>
        <v>[msW2zpIN7up]|25-34|Female|Incidence_SUBNAT.Rt.T|CY2025Q3</v>
      </c>
    </row>
    <row r="6391" spans="4:18" x14ac:dyDescent="0.2">
      <c r="D6391" t="s">
        <v>84</v>
      </c>
      <c r="E6391" t="s">
        <v>85</v>
      </c>
      <c r="F6391" t="s">
        <v>86</v>
      </c>
      <c r="G6391" t="s">
        <v>222</v>
      </c>
      <c r="H6391" t="s">
        <v>222</v>
      </c>
      <c r="I6391" t="s">
        <v>43</v>
      </c>
      <c r="J6391" t="s">
        <v>44</v>
      </c>
      <c r="K6391" t="s">
        <v>30</v>
      </c>
      <c r="L6391" t="s">
        <v>31</v>
      </c>
      <c r="M6391" t="s">
        <v>220</v>
      </c>
      <c r="N6391">
        <v>6.5964699999999997E-4</v>
      </c>
      <c r="O6391">
        <v>7.6735846999999996E-2</v>
      </c>
      <c r="P6391">
        <v>7.2952673999999995E-2</v>
      </c>
      <c r="Q6391" t="str">
        <f t="shared" si="198"/>
        <v>35-49</v>
      </c>
      <c r="R6391" t="str">
        <f t="shared" si="199"/>
        <v>[msW2zpIN7up]|35-49|Female|Incidence_SUBNAT.Rt.T|CY2025Q3</v>
      </c>
    </row>
    <row r="6392" spans="4:18" x14ac:dyDescent="0.2">
      <c r="D6392" t="s">
        <v>84</v>
      </c>
      <c r="E6392" t="s">
        <v>85</v>
      </c>
      <c r="F6392" t="s">
        <v>86</v>
      </c>
      <c r="G6392" t="s">
        <v>222</v>
      </c>
      <c r="H6392" t="s">
        <v>222</v>
      </c>
      <c r="I6392" t="s">
        <v>45</v>
      </c>
      <c r="J6392" t="s">
        <v>46</v>
      </c>
      <c r="K6392" t="s">
        <v>30</v>
      </c>
      <c r="L6392" t="s">
        <v>31</v>
      </c>
      <c r="M6392" t="s">
        <v>220</v>
      </c>
      <c r="N6392">
        <v>1.7398500000000001E-4</v>
      </c>
      <c r="O6392">
        <v>7.3817311999999996E-2</v>
      </c>
      <c r="P6392">
        <v>7.2952673999999995E-2</v>
      </c>
      <c r="Q6392" t="str">
        <f t="shared" si="198"/>
        <v>50+</v>
      </c>
      <c r="R6392" t="str">
        <f t="shared" si="199"/>
        <v>[msW2zpIN7up]|50+|Female|Incidence_SUBNAT.Rt.T|CY2025Q3</v>
      </c>
    </row>
    <row r="6393" spans="4:18" x14ac:dyDescent="0.2">
      <c r="D6393" t="s">
        <v>84</v>
      </c>
      <c r="E6393" t="s">
        <v>85</v>
      </c>
      <c r="F6393" t="s">
        <v>86</v>
      </c>
      <c r="G6393" t="s">
        <v>222</v>
      </c>
      <c r="H6393" t="s">
        <v>222</v>
      </c>
      <c r="I6393" t="s">
        <v>28</v>
      </c>
      <c r="J6393" t="s">
        <v>29</v>
      </c>
      <c r="K6393" t="s">
        <v>48</v>
      </c>
      <c r="L6393" t="s">
        <v>49</v>
      </c>
      <c r="M6393" t="s">
        <v>220</v>
      </c>
      <c r="N6393">
        <v>1.546349E-3</v>
      </c>
      <c r="O6393">
        <v>6.7615519999999998E-2</v>
      </c>
      <c r="P6393">
        <v>7.2952673999999995E-2</v>
      </c>
      <c r="Q6393" t="str">
        <f t="shared" si="198"/>
        <v>&lt;01</v>
      </c>
      <c r="R6393" t="str">
        <f t="shared" si="199"/>
        <v>[msW2zpIN7up]|&lt;01|Male|Incidence_SUBNAT.Rt.T|CY2025Q3</v>
      </c>
    </row>
    <row r="6394" spans="4:18" x14ac:dyDescent="0.2">
      <c r="D6394" t="s">
        <v>84</v>
      </c>
      <c r="E6394" t="s">
        <v>85</v>
      </c>
      <c r="F6394" t="s">
        <v>86</v>
      </c>
      <c r="G6394" t="s">
        <v>222</v>
      </c>
      <c r="H6394" t="s">
        <v>222</v>
      </c>
      <c r="I6394" t="s">
        <v>33</v>
      </c>
      <c r="J6394" t="s">
        <v>34</v>
      </c>
      <c r="K6394" t="s">
        <v>48</v>
      </c>
      <c r="L6394" t="s">
        <v>49</v>
      </c>
      <c r="M6394" t="s">
        <v>220</v>
      </c>
      <c r="N6394" s="235" t="s">
        <v>248</v>
      </c>
      <c r="O6394">
        <v>3.3807759999999999E-2</v>
      </c>
      <c r="P6394">
        <v>7.2952673999999995E-2</v>
      </c>
      <c r="Q6394" t="str">
        <f t="shared" si="198"/>
        <v>01-09</v>
      </c>
      <c r="R6394" t="str">
        <f t="shared" si="199"/>
        <v>[msW2zpIN7up]|01-09|Male|Incidence_SUBNAT.Rt.T|CY2025Q3</v>
      </c>
    </row>
    <row r="6395" spans="4:18" x14ac:dyDescent="0.2">
      <c r="D6395" t="s">
        <v>84</v>
      </c>
      <c r="E6395" t="s">
        <v>85</v>
      </c>
      <c r="F6395" t="s">
        <v>86</v>
      </c>
      <c r="G6395" t="s">
        <v>222</v>
      </c>
      <c r="H6395" t="s">
        <v>222</v>
      </c>
      <c r="I6395" t="s">
        <v>36</v>
      </c>
      <c r="J6395" t="s">
        <v>37</v>
      </c>
      <c r="K6395" t="s">
        <v>48</v>
      </c>
      <c r="L6395" t="s">
        <v>49</v>
      </c>
      <c r="M6395" t="s">
        <v>220</v>
      </c>
      <c r="N6395">
        <v>0</v>
      </c>
      <c r="O6395">
        <v>0</v>
      </c>
      <c r="P6395">
        <v>7.2952673999999995E-2</v>
      </c>
      <c r="Q6395" t="str">
        <f t="shared" si="198"/>
        <v>10-14</v>
      </c>
      <c r="R6395" t="str">
        <f t="shared" si="199"/>
        <v>[msW2zpIN7up]|10-14|Male|Incidence_SUBNAT.Rt.T|CY2025Q3</v>
      </c>
    </row>
    <row r="6396" spans="4:18" x14ac:dyDescent="0.2">
      <c r="D6396" t="s">
        <v>84</v>
      </c>
      <c r="E6396" t="s">
        <v>85</v>
      </c>
      <c r="F6396" t="s">
        <v>86</v>
      </c>
      <c r="G6396" t="s">
        <v>222</v>
      </c>
      <c r="H6396" t="s">
        <v>222</v>
      </c>
      <c r="I6396" t="s">
        <v>38</v>
      </c>
      <c r="J6396" t="s">
        <v>39</v>
      </c>
      <c r="K6396" t="s">
        <v>48</v>
      </c>
      <c r="L6396" t="s">
        <v>49</v>
      </c>
      <c r="M6396" t="s">
        <v>220</v>
      </c>
      <c r="N6396">
        <v>1.3662400000000001E-4</v>
      </c>
      <c r="O6396">
        <v>7.6186603000000006E-2</v>
      </c>
      <c r="P6396">
        <v>7.2952673999999995E-2</v>
      </c>
      <c r="Q6396" t="str">
        <f t="shared" si="198"/>
        <v>15-24</v>
      </c>
      <c r="R6396" t="str">
        <f t="shared" si="199"/>
        <v>[msW2zpIN7up]|15-24|Male|Incidence_SUBNAT.Rt.T|CY2025Q3</v>
      </c>
    </row>
    <row r="6397" spans="4:18" x14ac:dyDescent="0.2">
      <c r="D6397" t="s">
        <v>84</v>
      </c>
      <c r="E6397" t="s">
        <v>85</v>
      </c>
      <c r="F6397" t="s">
        <v>86</v>
      </c>
      <c r="G6397" t="s">
        <v>222</v>
      </c>
      <c r="H6397" t="s">
        <v>222</v>
      </c>
      <c r="I6397" t="s">
        <v>41</v>
      </c>
      <c r="J6397" t="s">
        <v>42</v>
      </c>
      <c r="K6397" t="s">
        <v>48</v>
      </c>
      <c r="L6397" t="s">
        <v>49</v>
      </c>
      <c r="M6397" t="s">
        <v>220</v>
      </c>
      <c r="N6397">
        <v>7.5443000000000005E-4</v>
      </c>
      <c r="O6397">
        <v>7.6207647000000003E-2</v>
      </c>
      <c r="P6397">
        <v>7.2952673999999995E-2</v>
      </c>
      <c r="Q6397" t="str">
        <f t="shared" si="198"/>
        <v>25-34</v>
      </c>
      <c r="R6397" t="str">
        <f t="shared" si="199"/>
        <v>[msW2zpIN7up]|25-34|Male|Incidence_SUBNAT.Rt.T|CY2025Q3</v>
      </c>
    </row>
    <row r="6398" spans="4:18" x14ac:dyDescent="0.2">
      <c r="D6398" t="s">
        <v>84</v>
      </c>
      <c r="E6398" t="s">
        <v>85</v>
      </c>
      <c r="F6398" t="s">
        <v>86</v>
      </c>
      <c r="G6398" t="s">
        <v>222</v>
      </c>
      <c r="H6398" t="s">
        <v>222</v>
      </c>
      <c r="I6398" t="s">
        <v>43</v>
      </c>
      <c r="J6398" t="s">
        <v>44</v>
      </c>
      <c r="K6398" t="s">
        <v>48</v>
      </c>
      <c r="L6398" t="s">
        <v>49</v>
      </c>
      <c r="M6398" t="s">
        <v>220</v>
      </c>
      <c r="N6398">
        <v>8.3676499999999995E-4</v>
      </c>
      <c r="O6398">
        <v>7.6413405000000004E-2</v>
      </c>
      <c r="P6398">
        <v>7.2952673999999995E-2</v>
      </c>
      <c r="Q6398" t="str">
        <f t="shared" si="198"/>
        <v>35-49</v>
      </c>
      <c r="R6398" t="str">
        <f t="shared" si="199"/>
        <v>[msW2zpIN7up]|35-49|Male|Incidence_SUBNAT.Rt.T|CY2025Q3</v>
      </c>
    </row>
    <row r="6399" spans="4:18" x14ac:dyDescent="0.2">
      <c r="D6399" t="s">
        <v>84</v>
      </c>
      <c r="E6399" t="s">
        <v>85</v>
      </c>
      <c r="F6399" t="s">
        <v>86</v>
      </c>
      <c r="G6399" t="s">
        <v>222</v>
      </c>
      <c r="H6399" t="s">
        <v>222</v>
      </c>
      <c r="I6399" t="s">
        <v>45</v>
      </c>
      <c r="J6399" t="s">
        <v>46</v>
      </c>
      <c r="K6399" t="s">
        <v>48</v>
      </c>
      <c r="L6399" t="s">
        <v>49</v>
      </c>
      <c r="M6399" t="s">
        <v>220</v>
      </c>
      <c r="N6399">
        <v>4.3093999999999999E-4</v>
      </c>
      <c r="O6399">
        <v>7.5210743999999996E-2</v>
      </c>
      <c r="P6399">
        <v>7.2952673999999995E-2</v>
      </c>
      <c r="Q6399" t="str">
        <f t="shared" si="198"/>
        <v>50+</v>
      </c>
      <c r="R6399" t="str">
        <f t="shared" si="199"/>
        <v>[msW2zpIN7up]|50+|Male|Incidence_SUBNAT.Rt.T|CY2025Q3</v>
      </c>
    </row>
    <row r="6400" spans="4:18" x14ac:dyDescent="0.2">
      <c r="D6400" t="s">
        <v>87</v>
      </c>
      <c r="E6400" t="s">
        <v>88</v>
      </c>
      <c r="F6400" t="s">
        <v>89</v>
      </c>
      <c r="G6400" t="s">
        <v>222</v>
      </c>
      <c r="H6400" t="s">
        <v>222</v>
      </c>
      <c r="I6400" t="s">
        <v>28</v>
      </c>
      <c r="J6400" t="s">
        <v>29</v>
      </c>
      <c r="K6400" t="s">
        <v>30</v>
      </c>
      <c r="L6400" t="s">
        <v>31</v>
      </c>
      <c r="M6400" t="s">
        <v>220</v>
      </c>
      <c r="N6400">
        <v>1.5359410000000001E-3</v>
      </c>
      <c r="O6400">
        <v>2.2486513E-2</v>
      </c>
      <c r="P6400">
        <v>3.1758952999999999E-2</v>
      </c>
      <c r="Q6400" t="str">
        <f t="shared" si="198"/>
        <v>&lt;01</v>
      </c>
      <c r="R6400" t="str">
        <f t="shared" si="199"/>
        <v>[ScR9iFKAasW]|&lt;01|Female|Incidence_SUBNAT.Rt.T|CY2025Q3</v>
      </c>
    </row>
    <row r="6401" spans="4:18" x14ac:dyDescent="0.2">
      <c r="D6401" t="s">
        <v>87</v>
      </c>
      <c r="E6401" t="s">
        <v>88</v>
      </c>
      <c r="F6401" t="s">
        <v>89</v>
      </c>
      <c r="G6401" t="s">
        <v>222</v>
      </c>
      <c r="H6401" t="s">
        <v>222</v>
      </c>
      <c r="I6401" t="s">
        <v>33</v>
      </c>
      <c r="J6401" t="s">
        <v>34</v>
      </c>
      <c r="K6401" t="s">
        <v>30</v>
      </c>
      <c r="L6401" t="s">
        <v>31</v>
      </c>
      <c r="M6401" t="s">
        <v>220</v>
      </c>
      <c r="N6401" s="235" t="s">
        <v>249</v>
      </c>
      <c r="O6401">
        <v>1.1243256E-2</v>
      </c>
      <c r="P6401">
        <v>3.1758952999999999E-2</v>
      </c>
      <c r="Q6401" t="str">
        <f t="shared" si="198"/>
        <v>01-09</v>
      </c>
      <c r="R6401" t="str">
        <f t="shared" si="199"/>
        <v>[ScR9iFKAasW]|01-09|Female|Incidence_SUBNAT.Rt.T|CY2025Q3</v>
      </c>
    </row>
    <row r="6402" spans="4:18" x14ac:dyDescent="0.2">
      <c r="D6402" t="s">
        <v>87</v>
      </c>
      <c r="E6402" t="s">
        <v>88</v>
      </c>
      <c r="F6402" t="s">
        <v>89</v>
      </c>
      <c r="G6402" t="s">
        <v>222</v>
      </c>
      <c r="H6402" t="s">
        <v>222</v>
      </c>
      <c r="I6402" t="s">
        <v>36</v>
      </c>
      <c r="J6402" t="s">
        <v>37</v>
      </c>
      <c r="K6402" t="s">
        <v>30</v>
      </c>
      <c r="L6402" t="s">
        <v>31</v>
      </c>
      <c r="M6402" t="s">
        <v>220</v>
      </c>
      <c r="N6402">
        <v>0</v>
      </c>
      <c r="O6402">
        <v>0</v>
      </c>
      <c r="P6402">
        <v>3.1758952999999999E-2</v>
      </c>
      <c r="Q6402" t="str">
        <f t="shared" si="198"/>
        <v>10-14</v>
      </c>
      <c r="R6402" t="str">
        <f t="shared" si="199"/>
        <v>[ScR9iFKAasW]|10-14|Female|Incidence_SUBNAT.Rt.T|CY2025Q3</v>
      </c>
    </row>
    <row r="6403" spans="4:18" x14ac:dyDescent="0.2">
      <c r="D6403" t="s">
        <v>87</v>
      </c>
      <c r="E6403" t="s">
        <v>88</v>
      </c>
      <c r="F6403" t="s">
        <v>89</v>
      </c>
      <c r="G6403" t="s">
        <v>222</v>
      </c>
      <c r="H6403" t="s">
        <v>222</v>
      </c>
      <c r="I6403" t="s">
        <v>38</v>
      </c>
      <c r="J6403" t="s">
        <v>39</v>
      </c>
      <c r="K6403" t="s">
        <v>30</v>
      </c>
      <c r="L6403" t="s">
        <v>31</v>
      </c>
      <c r="M6403" t="s">
        <v>220</v>
      </c>
      <c r="N6403">
        <v>9.5053599999999998E-4</v>
      </c>
      <c r="O6403">
        <v>3.4656910999999999E-2</v>
      </c>
      <c r="P6403">
        <v>3.1758952999999999E-2</v>
      </c>
      <c r="Q6403" t="str">
        <f t="shared" ref="Q6403:Q6466" si="200">SUBSTITUTE(SUBSTITUTE($I6403,CHAR(61),""),CHAR(34),"")</f>
        <v>15-24</v>
      </c>
      <c r="R6403" t="str">
        <f t="shared" ref="R6403:R6466" si="201">IF($D6403&lt;&gt;"","["&amp;$E6403&amp;"]"&amp;"|"&amp;$Q6403&amp;"|"&amp;$K6403&amp;"|"&amp;$G6403&amp;"|"&amp;IF($G6403="TX_CURR_SUBNAT.R","CY2023Q4",$M6403),"")</f>
        <v>[ScR9iFKAasW]|15-24|Female|Incidence_SUBNAT.Rt.T|CY2025Q3</v>
      </c>
    </row>
    <row r="6404" spans="4:18" x14ac:dyDescent="0.2">
      <c r="D6404" t="s">
        <v>87</v>
      </c>
      <c r="E6404" t="s">
        <v>88</v>
      </c>
      <c r="F6404" t="s">
        <v>89</v>
      </c>
      <c r="G6404" t="s">
        <v>222</v>
      </c>
      <c r="H6404" t="s">
        <v>222</v>
      </c>
      <c r="I6404" t="s">
        <v>41</v>
      </c>
      <c r="J6404" t="s">
        <v>42</v>
      </c>
      <c r="K6404" t="s">
        <v>30</v>
      </c>
      <c r="L6404" t="s">
        <v>31</v>
      </c>
      <c r="M6404" t="s">
        <v>220</v>
      </c>
      <c r="N6404">
        <v>1.449585E-3</v>
      </c>
      <c r="O6404">
        <v>3.4231178000000001E-2</v>
      </c>
      <c r="P6404">
        <v>3.1758952999999999E-2</v>
      </c>
      <c r="Q6404" t="str">
        <f t="shared" si="200"/>
        <v>25-34</v>
      </c>
      <c r="R6404" t="str">
        <f t="shared" si="201"/>
        <v>[ScR9iFKAasW]|25-34|Female|Incidence_SUBNAT.Rt.T|CY2025Q3</v>
      </c>
    </row>
    <row r="6405" spans="4:18" x14ac:dyDescent="0.2">
      <c r="D6405" t="s">
        <v>87</v>
      </c>
      <c r="E6405" t="s">
        <v>88</v>
      </c>
      <c r="F6405" t="s">
        <v>89</v>
      </c>
      <c r="G6405" t="s">
        <v>222</v>
      </c>
      <c r="H6405" t="s">
        <v>222</v>
      </c>
      <c r="I6405" t="s">
        <v>43</v>
      </c>
      <c r="J6405" t="s">
        <v>44</v>
      </c>
      <c r="K6405" t="s">
        <v>30</v>
      </c>
      <c r="L6405" t="s">
        <v>31</v>
      </c>
      <c r="M6405" t="s">
        <v>220</v>
      </c>
      <c r="N6405">
        <v>6.8286099999999999E-4</v>
      </c>
      <c r="O6405">
        <v>3.7226575999999997E-2</v>
      </c>
      <c r="P6405">
        <v>3.1758952999999999E-2</v>
      </c>
      <c r="Q6405" t="str">
        <f t="shared" si="200"/>
        <v>35-49</v>
      </c>
      <c r="R6405" t="str">
        <f t="shared" si="201"/>
        <v>[ScR9iFKAasW]|35-49|Female|Incidence_SUBNAT.Rt.T|CY2025Q3</v>
      </c>
    </row>
    <row r="6406" spans="4:18" x14ac:dyDescent="0.2">
      <c r="D6406" t="s">
        <v>87</v>
      </c>
      <c r="E6406" t="s">
        <v>88</v>
      </c>
      <c r="F6406" t="s">
        <v>89</v>
      </c>
      <c r="G6406" t="s">
        <v>222</v>
      </c>
      <c r="H6406" t="s">
        <v>222</v>
      </c>
      <c r="I6406" t="s">
        <v>45</v>
      </c>
      <c r="J6406" t="s">
        <v>46</v>
      </c>
      <c r="K6406" t="s">
        <v>30</v>
      </c>
      <c r="L6406" t="s">
        <v>31</v>
      </c>
      <c r="M6406" t="s">
        <v>220</v>
      </c>
      <c r="N6406">
        <v>1.5870399999999999E-4</v>
      </c>
      <c r="O6406">
        <v>4.5869524000000002E-2</v>
      </c>
      <c r="P6406">
        <v>3.1758952999999999E-2</v>
      </c>
      <c r="Q6406" t="str">
        <f t="shared" si="200"/>
        <v>50+</v>
      </c>
      <c r="R6406" t="str">
        <f t="shared" si="201"/>
        <v>[ScR9iFKAasW]|50+|Female|Incidence_SUBNAT.Rt.T|CY2025Q3</v>
      </c>
    </row>
    <row r="6407" spans="4:18" x14ac:dyDescent="0.2">
      <c r="D6407" t="s">
        <v>87</v>
      </c>
      <c r="E6407" t="s">
        <v>88</v>
      </c>
      <c r="F6407" t="s">
        <v>89</v>
      </c>
      <c r="G6407" t="s">
        <v>222</v>
      </c>
      <c r="H6407" t="s">
        <v>222</v>
      </c>
      <c r="I6407" t="s">
        <v>28</v>
      </c>
      <c r="J6407" t="s">
        <v>29</v>
      </c>
      <c r="K6407" t="s">
        <v>48</v>
      </c>
      <c r="L6407" t="s">
        <v>49</v>
      </c>
      <c r="M6407" t="s">
        <v>220</v>
      </c>
      <c r="N6407">
        <v>1.5415330000000001E-3</v>
      </c>
      <c r="O6407">
        <v>2.2473132999999999E-2</v>
      </c>
      <c r="P6407">
        <v>3.1758952999999999E-2</v>
      </c>
      <c r="Q6407" t="str">
        <f t="shared" si="200"/>
        <v>&lt;01</v>
      </c>
      <c r="R6407" t="str">
        <f t="shared" si="201"/>
        <v>[ScR9iFKAasW]|&lt;01|Male|Incidence_SUBNAT.Rt.T|CY2025Q3</v>
      </c>
    </row>
    <row r="6408" spans="4:18" x14ac:dyDescent="0.2">
      <c r="D6408" t="s">
        <v>87</v>
      </c>
      <c r="E6408" t="s">
        <v>88</v>
      </c>
      <c r="F6408" t="s">
        <v>89</v>
      </c>
      <c r="G6408" t="s">
        <v>222</v>
      </c>
      <c r="H6408" t="s">
        <v>222</v>
      </c>
      <c r="I6408" t="s">
        <v>33</v>
      </c>
      <c r="J6408" t="s">
        <v>34</v>
      </c>
      <c r="K6408" t="s">
        <v>48</v>
      </c>
      <c r="L6408" t="s">
        <v>49</v>
      </c>
      <c r="M6408" t="s">
        <v>220</v>
      </c>
      <c r="N6408" s="235" t="s">
        <v>250</v>
      </c>
      <c r="O6408">
        <v>1.1236566E-2</v>
      </c>
      <c r="P6408">
        <v>3.1758952999999999E-2</v>
      </c>
      <c r="Q6408" t="str">
        <f t="shared" si="200"/>
        <v>01-09</v>
      </c>
      <c r="R6408" t="str">
        <f t="shared" si="201"/>
        <v>[ScR9iFKAasW]|01-09|Male|Incidence_SUBNAT.Rt.T|CY2025Q3</v>
      </c>
    </row>
    <row r="6409" spans="4:18" x14ac:dyDescent="0.2">
      <c r="D6409" t="s">
        <v>87</v>
      </c>
      <c r="E6409" t="s">
        <v>88</v>
      </c>
      <c r="F6409" t="s">
        <v>89</v>
      </c>
      <c r="G6409" t="s">
        <v>222</v>
      </c>
      <c r="H6409" t="s">
        <v>222</v>
      </c>
      <c r="I6409" t="s">
        <v>36</v>
      </c>
      <c r="J6409" t="s">
        <v>37</v>
      </c>
      <c r="K6409" t="s">
        <v>48</v>
      </c>
      <c r="L6409" t="s">
        <v>49</v>
      </c>
      <c r="M6409" t="s">
        <v>220</v>
      </c>
      <c r="N6409">
        <v>0</v>
      </c>
      <c r="O6409">
        <v>0</v>
      </c>
      <c r="P6409">
        <v>3.1758952999999999E-2</v>
      </c>
      <c r="Q6409" t="str">
        <f t="shared" si="200"/>
        <v>10-14</v>
      </c>
      <c r="R6409" t="str">
        <f t="shared" si="201"/>
        <v>[ScR9iFKAasW]|10-14|Male|Incidence_SUBNAT.Rt.T|CY2025Q3</v>
      </c>
    </row>
    <row r="6410" spans="4:18" x14ac:dyDescent="0.2">
      <c r="D6410" t="s">
        <v>87</v>
      </c>
      <c r="E6410" t="s">
        <v>88</v>
      </c>
      <c r="F6410" t="s">
        <v>89</v>
      </c>
      <c r="G6410" t="s">
        <v>222</v>
      </c>
      <c r="H6410" t="s">
        <v>222</v>
      </c>
      <c r="I6410" t="s">
        <v>38</v>
      </c>
      <c r="J6410" t="s">
        <v>39</v>
      </c>
      <c r="K6410" t="s">
        <v>48</v>
      </c>
      <c r="L6410" t="s">
        <v>49</v>
      </c>
      <c r="M6410" t="s">
        <v>220</v>
      </c>
      <c r="N6410">
        <v>1.6959200000000001E-4</v>
      </c>
      <c r="O6410">
        <v>3.4534467999999999E-2</v>
      </c>
      <c r="P6410">
        <v>3.1758952999999999E-2</v>
      </c>
      <c r="Q6410" t="str">
        <f t="shared" si="200"/>
        <v>15-24</v>
      </c>
      <c r="R6410" t="str">
        <f t="shared" si="201"/>
        <v>[ScR9iFKAasW]|15-24|Male|Incidence_SUBNAT.Rt.T|CY2025Q3</v>
      </c>
    </row>
    <row r="6411" spans="4:18" x14ac:dyDescent="0.2">
      <c r="D6411" t="s">
        <v>87</v>
      </c>
      <c r="E6411" t="s">
        <v>88</v>
      </c>
      <c r="F6411" t="s">
        <v>89</v>
      </c>
      <c r="G6411" t="s">
        <v>222</v>
      </c>
      <c r="H6411" t="s">
        <v>222</v>
      </c>
      <c r="I6411" t="s">
        <v>41</v>
      </c>
      <c r="J6411" t="s">
        <v>42</v>
      </c>
      <c r="K6411" t="s">
        <v>48</v>
      </c>
      <c r="L6411" t="s">
        <v>49</v>
      </c>
      <c r="M6411" t="s">
        <v>220</v>
      </c>
      <c r="N6411">
        <v>8.9078400000000004E-4</v>
      </c>
      <c r="O6411">
        <v>3.3882879999999997E-2</v>
      </c>
      <c r="P6411">
        <v>3.1758952999999999E-2</v>
      </c>
      <c r="Q6411" t="str">
        <f t="shared" si="200"/>
        <v>25-34</v>
      </c>
      <c r="R6411" t="str">
        <f t="shared" si="201"/>
        <v>[ScR9iFKAasW]|25-34|Male|Incidence_SUBNAT.Rt.T|CY2025Q3</v>
      </c>
    </row>
    <row r="6412" spans="4:18" x14ac:dyDescent="0.2">
      <c r="D6412" t="s">
        <v>87</v>
      </c>
      <c r="E6412" t="s">
        <v>88</v>
      </c>
      <c r="F6412" t="s">
        <v>89</v>
      </c>
      <c r="G6412" t="s">
        <v>222</v>
      </c>
      <c r="H6412" t="s">
        <v>222</v>
      </c>
      <c r="I6412" t="s">
        <v>43</v>
      </c>
      <c r="J6412" t="s">
        <v>44</v>
      </c>
      <c r="K6412" t="s">
        <v>48</v>
      </c>
      <c r="L6412" t="s">
        <v>49</v>
      </c>
      <c r="M6412" t="s">
        <v>220</v>
      </c>
      <c r="N6412">
        <v>9.5192300000000003E-4</v>
      </c>
      <c r="O6412">
        <v>3.4371657E-2</v>
      </c>
      <c r="P6412">
        <v>3.1758952999999999E-2</v>
      </c>
      <c r="Q6412" t="str">
        <f t="shared" si="200"/>
        <v>35-49</v>
      </c>
      <c r="R6412" t="str">
        <f t="shared" si="201"/>
        <v>[ScR9iFKAasW]|35-49|Male|Incidence_SUBNAT.Rt.T|CY2025Q3</v>
      </c>
    </row>
    <row r="6413" spans="4:18" x14ac:dyDescent="0.2">
      <c r="D6413" t="s">
        <v>87</v>
      </c>
      <c r="E6413" t="s">
        <v>88</v>
      </c>
      <c r="F6413" t="s">
        <v>89</v>
      </c>
      <c r="G6413" t="s">
        <v>222</v>
      </c>
      <c r="H6413" t="s">
        <v>222</v>
      </c>
      <c r="I6413" t="s">
        <v>45</v>
      </c>
      <c r="J6413" t="s">
        <v>46</v>
      </c>
      <c r="K6413" t="s">
        <v>48</v>
      </c>
      <c r="L6413" t="s">
        <v>49</v>
      </c>
      <c r="M6413" t="s">
        <v>220</v>
      </c>
      <c r="N6413">
        <v>4.2140999999999999E-4</v>
      </c>
      <c r="O6413">
        <v>4.1110968999999997E-2</v>
      </c>
      <c r="P6413">
        <v>3.1758952999999999E-2</v>
      </c>
      <c r="Q6413" t="str">
        <f t="shared" si="200"/>
        <v>50+</v>
      </c>
      <c r="R6413" t="str">
        <f t="shared" si="201"/>
        <v>[ScR9iFKAasW]|50+|Male|Incidence_SUBNAT.Rt.T|CY2025Q3</v>
      </c>
    </row>
    <row r="6414" spans="4:18" x14ac:dyDescent="0.2">
      <c r="D6414" t="s">
        <v>90</v>
      </c>
      <c r="E6414" t="s">
        <v>91</v>
      </c>
      <c r="F6414" t="s">
        <v>92</v>
      </c>
      <c r="G6414" t="s">
        <v>222</v>
      </c>
      <c r="H6414" t="s">
        <v>222</v>
      </c>
      <c r="I6414" t="s">
        <v>28</v>
      </c>
      <c r="J6414" t="s">
        <v>29</v>
      </c>
      <c r="K6414" t="s">
        <v>30</v>
      </c>
      <c r="L6414" t="s">
        <v>31</v>
      </c>
      <c r="M6414" t="s">
        <v>220</v>
      </c>
      <c r="N6414">
        <v>1.1236130000000001E-3</v>
      </c>
      <c r="O6414">
        <v>5.9435013000000002E-2</v>
      </c>
      <c r="P6414">
        <v>7.0454121999999994E-2</v>
      </c>
      <c r="Q6414" t="str">
        <f t="shared" si="200"/>
        <v>&lt;01</v>
      </c>
      <c r="R6414" t="str">
        <f t="shared" si="201"/>
        <v>[kxuuIFpOXyO]|&lt;01|Female|Incidence_SUBNAT.Rt.T|CY2025Q3</v>
      </c>
    </row>
    <row r="6415" spans="4:18" x14ac:dyDescent="0.2">
      <c r="D6415" t="s">
        <v>90</v>
      </c>
      <c r="E6415" t="s">
        <v>91</v>
      </c>
      <c r="F6415" t="s">
        <v>92</v>
      </c>
      <c r="G6415" t="s">
        <v>222</v>
      </c>
      <c r="H6415" t="s">
        <v>222</v>
      </c>
      <c r="I6415" t="s">
        <v>33</v>
      </c>
      <c r="J6415" t="s">
        <v>34</v>
      </c>
      <c r="K6415" t="s">
        <v>30</v>
      </c>
      <c r="L6415" t="s">
        <v>31</v>
      </c>
      <c r="M6415" t="s">
        <v>220</v>
      </c>
      <c r="N6415" s="235" t="s">
        <v>251</v>
      </c>
      <c r="O6415">
        <v>2.9717506000000001E-2</v>
      </c>
      <c r="P6415">
        <v>7.0454121999999994E-2</v>
      </c>
      <c r="Q6415" t="str">
        <f t="shared" si="200"/>
        <v>01-09</v>
      </c>
      <c r="R6415" t="str">
        <f t="shared" si="201"/>
        <v>[kxuuIFpOXyO]|01-09|Female|Incidence_SUBNAT.Rt.T|CY2025Q3</v>
      </c>
    </row>
    <row r="6416" spans="4:18" x14ac:dyDescent="0.2">
      <c r="D6416" t="s">
        <v>90</v>
      </c>
      <c r="E6416" t="s">
        <v>91</v>
      </c>
      <c r="F6416" t="s">
        <v>92</v>
      </c>
      <c r="G6416" t="s">
        <v>222</v>
      </c>
      <c r="H6416" t="s">
        <v>222</v>
      </c>
      <c r="I6416" t="s">
        <v>36</v>
      </c>
      <c r="J6416" t="s">
        <v>37</v>
      </c>
      <c r="K6416" t="s">
        <v>30</v>
      </c>
      <c r="L6416" t="s">
        <v>31</v>
      </c>
      <c r="M6416" t="s">
        <v>220</v>
      </c>
      <c r="N6416">
        <v>0</v>
      </c>
      <c r="O6416">
        <v>0</v>
      </c>
      <c r="P6416">
        <v>7.0454121999999994E-2</v>
      </c>
      <c r="Q6416" t="str">
        <f t="shared" si="200"/>
        <v>10-14</v>
      </c>
      <c r="R6416" t="str">
        <f t="shared" si="201"/>
        <v>[kxuuIFpOXyO]|10-14|Female|Incidence_SUBNAT.Rt.T|CY2025Q3</v>
      </c>
    </row>
    <row r="6417" spans="4:18" x14ac:dyDescent="0.2">
      <c r="D6417" t="s">
        <v>90</v>
      </c>
      <c r="E6417" t="s">
        <v>91</v>
      </c>
      <c r="F6417" t="s">
        <v>92</v>
      </c>
      <c r="G6417" t="s">
        <v>222</v>
      </c>
      <c r="H6417" t="s">
        <v>222</v>
      </c>
      <c r="I6417" t="s">
        <v>38</v>
      </c>
      <c r="J6417" t="s">
        <v>39</v>
      </c>
      <c r="K6417" t="s">
        <v>30</v>
      </c>
      <c r="L6417" t="s">
        <v>31</v>
      </c>
      <c r="M6417" t="s">
        <v>220</v>
      </c>
      <c r="N6417">
        <v>6.4557600000000003E-4</v>
      </c>
      <c r="O6417">
        <v>7.4427476000000006E-2</v>
      </c>
      <c r="P6417">
        <v>7.0454121999999994E-2</v>
      </c>
      <c r="Q6417" t="str">
        <f t="shared" si="200"/>
        <v>15-24</v>
      </c>
      <c r="R6417" t="str">
        <f t="shared" si="201"/>
        <v>[kxuuIFpOXyO]|15-24|Female|Incidence_SUBNAT.Rt.T|CY2025Q3</v>
      </c>
    </row>
    <row r="6418" spans="4:18" x14ac:dyDescent="0.2">
      <c r="D6418" t="s">
        <v>90</v>
      </c>
      <c r="E6418" t="s">
        <v>91</v>
      </c>
      <c r="F6418" t="s">
        <v>92</v>
      </c>
      <c r="G6418" t="s">
        <v>222</v>
      </c>
      <c r="H6418" t="s">
        <v>222</v>
      </c>
      <c r="I6418" t="s">
        <v>41</v>
      </c>
      <c r="J6418" t="s">
        <v>42</v>
      </c>
      <c r="K6418" t="s">
        <v>30</v>
      </c>
      <c r="L6418" t="s">
        <v>31</v>
      </c>
      <c r="M6418" t="s">
        <v>220</v>
      </c>
      <c r="N6418">
        <v>9.7900700000000005E-4</v>
      </c>
      <c r="O6418">
        <v>7.4624508000000006E-2</v>
      </c>
      <c r="P6418">
        <v>7.0454121999999994E-2</v>
      </c>
      <c r="Q6418" t="str">
        <f t="shared" si="200"/>
        <v>25-34</v>
      </c>
      <c r="R6418" t="str">
        <f t="shared" si="201"/>
        <v>[kxuuIFpOXyO]|25-34|Female|Incidence_SUBNAT.Rt.T|CY2025Q3</v>
      </c>
    </row>
    <row r="6419" spans="4:18" x14ac:dyDescent="0.2">
      <c r="D6419" t="s">
        <v>90</v>
      </c>
      <c r="E6419" t="s">
        <v>91</v>
      </c>
      <c r="F6419" t="s">
        <v>92</v>
      </c>
      <c r="G6419" t="s">
        <v>222</v>
      </c>
      <c r="H6419" t="s">
        <v>222</v>
      </c>
      <c r="I6419" t="s">
        <v>43</v>
      </c>
      <c r="J6419" t="s">
        <v>44</v>
      </c>
      <c r="K6419" t="s">
        <v>30</v>
      </c>
      <c r="L6419" t="s">
        <v>31</v>
      </c>
      <c r="M6419" t="s">
        <v>220</v>
      </c>
      <c r="N6419">
        <v>5.09254E-4</v>
      </c>
      <c r="O6419">
        <v>7.4771500000000005E-2</v>
      </c>
      <c r="P6419">
        <v>7.0454121999999994E-2</v>
      </c>
      <c r="Q6419" t="str">
        <f t="shared" si="200"/>
        <v>35-49</v>
      </c>
      <c r="R6419" t="str">
        <f t="shared" si="201"/>
        <v>[kxuuIFpOXyO]|35-49|Female|Incidence_SUBNAT.Rt.T|CY2025Q3</v>
      </c>
    </row>
    <row r="6420" spans="4:18" x14ac:dyDescent="0.2">
      <c r="D6420" t="s">
        <v>90</v>
      </c>
      <c r="E6420" t="s">
        <v>91</v>
      </c>
      <c r="F6420" t="s">
        <v>92</v>
      </c>
      <c r="G6420" t="s">
        <v>222</v>
      </c>
      <c r="H6420" t="s">
        <v>222</v>
      </c>
      <c r="I6420" t="s">
        <v>45</v>
      </c>
      <c r="J6420" t="s">
        <v>46</v>
      </c>
      <c r="K6420" t="s">
        <v>30</v>
      </c>
      <c r="L6420" t="s">
        <v>31</v>
      </c>
      <c r="M6420" t="s">
        <v>220</v>
      </c>
      <c r="N6420">
        <v>1.4636799999999999E-4</v>
      </c>
      <c r="O6420">
        <v>7.3423987999999996E-2</v>
      </c>
      <c r="P6420">
        <v>7.0454121999999994E-2</v>
      </c>
      <c r="Q6420" t="str">
        <f t="shared" si="200"/>
        <v>50+</v>
      </c>
      <c r="R6420" t="str">
        <f t="shared" si="201"/>
        <v>[kxuuIFpOXyO]|50+|Female|Incidence_SUBNAT.Rt.T|CY2025Q3</v>
      </c>
    </row>
    <row r="6421" spans="4:18" x14ac:dyDescent="0.2">
      <c r="D6421" t="s">
        <v>90</v>
      </c>
      <c r="E6421" t="s">
        <v>91</v>
      </c>
      <c r="F6421" t="s">
        <v>92</v>
      </c>
      <c r="G6421" t="s">
        <v>222</v>
      </c>
      <c r="H6421" t="s">
        <v>222</v>
      </c>
      <c r="I6421" t="s">
        <v>28</v>
      </c>
      <c r="J6421" t="s">
        <v>29</v>
      </c>
      <c r="K6421" t="s">
        <v>48</v>
      </c>
      <c r="L6421" t="s">
        <v>49</v>
      </c>
      <c r="M6421" t="s">
        <v>220</v>
      </c>
      <c r="N6421">
        <v>1.127332E-3</v>
      </c>
      <c r="O6421">
        <v>5.9435013000000002E-2</v>
      </c>
      <c r="P6421">
        <v>7.0454121999999994E-2</v>
      </c>
      <c r="Q6421" t="str">
        <f t="shared" si="200"/>
        <v>&lt;01</v>
      </c>
      <c r="R6421" t="str">
        <f t="shared" si="201"/>
        <v>[kxuuIFpOXyO]|&lt;01|Male|Incidence_SUBNAT.Rt.T|CY2025Q3</v>
      </c>
    </row>
    <row r="6422" spans="4:18" x14ac:dyDescent="0.2">
      <c r="D6422" t="s">
        <v>90</v>
      </c>
      <c r="E6422" t="s">
        <v>91</v>
      </c>
      <c r="F6422" t="s">
        <v>92</v>
      </c>
      <c r="G6422" t="s">
        <v>222</v>
      </c>
      <c r="H6422" t="s">
        <v>222</v>
      </c>
      <c r="I6422" t="s">
        <v>33</v>
      </c>
      <c r="J6422" t="s">
        <v>34</v>
      </c>
      <c r="K6422" t="s">
        <v>48</v>
      </c>
      <c r="L6422" t="s">
        <v>49</v>
      </c>
      <c r="M6422" t="s">
        <v>220</v>
      </c>
      <c r="N6422" s="235" t="s">
        <v>251</v>
      </c>
      <c r="O6422">
        <v>2.9717506000000001E-2</v>
      </c>
      <c r="P6422">
        <v>7.0454121999999994E-2</v>
      </c>
      <c r="Q6422" t="str">
        <f t="shared" si="200"/>
        <v>01-09</v>
      </c>
      <c r="R6422" t="str">
        <f t="shared" si="201"/>
        <v>[kxuuIFpOXyO]|01-09|Male|Incidence_SUBNAT.Rt.T|CY2025Q3</v>
      </c>
    </row>
    <row r="6423" spans="4:18" x14ac:dyDescent="0.2">
      <c r="D6423" t="s">
        <v>90</v>
      </c>
      <c r="E6423" t="s">
        <v>91</v>
      </c>
      <c r="F6423" t="s">
        <v>92</v>
      </c>
      <c r="G6423" t="s">
        <v>222</v>
      </c>
      <c r="H6423" t="s">
        <v>222</v>
      </c>
      <c r="I6423" t="s">
        <v>36</v>
      </c>
      <c r="J6423" t="s">
        <v>37</v>
      </c>
      <c r="K6423" t="s">
        <v>48</v>
      </c>
      <c r="L6423" t="s">
        <v>49</v>
      </c>
      <c r="M6423" t="s">
        <v>220</v>
      </c>
      <c r="N6423">
        <v>0</v>
      </c>
      <c r="O6423">
        <v>0</v>
      </c>
      <c r="P6423">
        <v>7.0454121999999994E-2</v>
      </c>
      <c r="Q6423" t="str">
        <f t="shared" si="200"/>
        <v>10-14</v>
      </c>
      <c r="R6423" t="str">
        <f t="shared" si="201"/>
        <v>[kxuuIFpOXyO]|10-14|Male|Incidence_SUBNAT.Rt.T|CY2025Q3</v>
      </c>
    </row>
    <row r="6424" spans="4:18" x14ac:dyDescent="0.2">
      <c r="D6424" t="s">
        <v>90</v>
      </c>
      <c r="E6424" t="s">
        <v>91</v>
      </c>
      <c r="F6424" t="s">
        <v>92</v>
      </c>
      <c r="G6424" t="s">
        <v>222</v>
      </c>
      <c r="H6424" t="s">
        <v>222</v>
      </c>
      <c r="I6424" t="s">
        <v>38</v>
      </c>
      <c r="J6424" t="s">
        <v>39</v>
      </c>
      <c r="K6424" t="s">
        <v>48</v>
      </c>
      <c r="L6424" t="s">
        <v>49</v>
      </c>
      <c r="M6424" t="s">
        <v>220</v>
      </c>
      <c r="N6424">
        <v>1.10989E-4</v>
      </c>
      <c r="O6424">
        <v>7.4512218000000005E-2</v>
      </c>
      <c r="P6424">
        <v>7.0454121999999994E-2</v>
      </c>
      <c r="Q6424" t="str">
        <f t="shared" si="200"/>
        <v>15-24</v>
      </c>
      <c r="R6424" t="str">
        <f t="shared" si="201"/>
        <v>[kxuuIFpOXyO]|15-24|Male|Incidence_SUBNAT.Rt.T|CY2025Q3</v>
      </c>
    </row>
    <row r="6425" spans="4:18" x14ac:dyDescent="0.2">
      <c r="D6425" t="s">
        <v>90</v>
      </c>
      <c r="E6425" t="s">
        <v>91</v>
      </c>
      <c r="F6425" t="s">
        <v>92</v>
      </c>
      <c r="G6425" t="s">
        <v>222</v>
      </c>
      <c r="H6425" t="s">
        <v>222</v>
      </c>
      <c r="I6425" t="s">
        <v>41</v>
      </c>
      <c r="J6425" t="s">
        <v>42</v>
      </c>
      <c r="K6425" t="s">
        <v>48</v>
      </c>
      <c r="L6425" t="s">
        <v>49</v>
      </c>
      <c r="M6425" t="s">
        <v>220</v>
      </c>
      <c r="N6425">
        <v>5.8913300000000004E-4</v>
      </c>
      <c r="O6425">
        <v>7.4511498999999995E-2</v>
      </c>
      <c r="P6425">
        <v>7.0454121999999994E-2</v>
      </c>
      <c r="Q6425" t="str">
        <f t="shared" si="200"/>
        <v>25-34</v>
      </c>
      <c r="R6425" t="str">
        <f t="shared" si="201"/>
        <v>[kxuuIFpOXyO]|25-34|Male|Incidence_SUBNAT.Rt.T|CY2025Q3</v>
      </c>
    </row>
    <row r="6426" spans="4:18" x14ac:dyDescent="0.2">
      <c r="D6426" t="s">
        <v>90</v>
      </c>
      <c r="E6426" t="s">
        <v>91</v>
      </c>
      <c r="F6426" t="s">
        <v>92</v>
      </c>
      <c r="G6426" t="s">
        <v>222</v>
      </c>
      <c r="H6426" t="s">
        <v>222</v>
      </c>
      <c r="I6426" t="s">
        <v>43</v>
      </c>
      <c r="J6426" t="s">
        <v>44</v>
      </c>
      <c r="K6426" t="s">
        <v>48</v>
      </c>
      <c r="L6426" t="s">
        <v>49</v>
      </c>
      <c r="M6426" t="s">
        <v>220</v>
      </c>
      <c r="N6426">
        <v>6.5347199999999999E-4</v>
      </c>
      <c r="O6426">
        <v>7.4646525000000005E-2</v>
      </c>
      <c r="P6426">
        <v>7.0454121999999994E-2</v>
      </c>
      <c r="Q6426" t="str">
        <f t="shared" si="200"/>
        <v>35-49</v>
      </c>
      <c r="R6426" t="str">
        <f t="shared" si="201"/>
        <v>[kxuuIFpOXyO]|35-49|Male|Incidence_SUBNAT.Rt.T|CY2025Q3</v>
      </c>
    </row>
    <row r="6427" spans="4:18" x14ac:dyDescent="0.2">
      <c r="D6427" t="s">
        <v>90</v>
      </c>
      <c r="E6427" t="s">
        <v>91</v>
      </c>
      <c r="F6427" t="s">
        <v>92</v>
      </c>
      <c r="G6427" t="s">
        <v>222</v>
      </c>
      <c r="H6427" t="s">
        <v>222</v>
      </c>
      <c r="I6427" t="s">
        <v>45</v>
      </c>
      <c r="J6427" t="s">
        <v>46</v>
      </c>
      <c r="K6427" t="s">
        <v>48</v>
      </c>
      <c r="L6427" t="s">
        <v>49</v>
      </c>
      <c r="M6427" t="s">
        <v>220</v>
      </c>
      <c r="N6427">
        <v>3.5084899999999997E-4</v>
      </c>
      <c r="O6427">
        <v>7.4104930999999999E-2</v>
      </c>
      <c r="P6427">
        <v>7.0454121999999994E-2</v>
      </c>
      <c r="Q6427" t="str">
        <f t="shared" si="200"/>
        <v>50+</v>
      </c>
      <c r="R6427" t="str">
        <f t="shared" si="201"/>
        <v>[kxuuIFpOXyO]|50+|Male|Incidence_SUBNAT.Rt.T|CY2025Q3</v>
      </c>
    </row>
    <row r="6428" spans="4:18" x14ac:dyDescent="0.2">
      <c r="D6428" t="s">
        <v>93</v>
      </c>
      <c r="E6428" t="s">
        <v>94</v>
      </c>
      <c r="F6428" t="s">
        <v>95</v>
      </c>
      <c r="G6428" t="s">
        <v>222</v>
      </c>
      <c r="H6428" t="s">
        <v>222</v>
      </c>
      <c r="I6428" t="s">
        <v>28</v>
      </c>
      <c r="J6428" t="s">
        <v>29</v>
      </c>
      <c r="K6428" t="s">
        <v>30</v>
      </c>
      <c r="L6428" t="s">
        <v>31</v>
      </c>
      <c r="M6428" t="s">
        <v>220</v>
      </c>
      <c r="N6428">
        <v>8.6458100000000001E-4</v>
      </c>
      <c r="O6428">
        <v>8.8779961000000004E-2</v>
      </c>
      <c r="P6428">
        <v>9.4832852999999995E-2</v>
      </c>
      <c r="Q6428" t="str">
        <f t="shared" si="200"/>
        <v>&lt;01</v>
      </c>
      <c r="R6428" t="str">
        <f t="shared" si="201"/>
        <v>[PekKUkKHAzY]|&lt;01|Female|Incidence_SUBNAT.Rt.T|CY2025Q3</v>
      </c>
    </row>
    <row r="6429" spans="4:18" x14ac:dyDescent="0.2">
      <c r="D6429" t="s">
        <v>93</v>
      </c>
      <c r="E6429" t="s">
        <v>94</v>
      </c>
      <c r="F6429" t="s">
        <v>95</v>
      </c>
      <c r="G6429" t="s">
        <v>222</v>
      </c>
      <c r="H6429" t="s">
        <v>222</v>
      </c>
      <c r="I6429" t="s">
        <v>33</v>
      </c>
      <c r="J6429" t="s">
        <v>34</v>
      </c>
      <c r="K6429" t="s">
        <v>30</v>
      </c>
      <c r="L6429" t="s">
        <v>31</v>
      </c>
      <c r="M6429" t="s">
        <v>220</v>
      </c>
      <c r="N6429" s="235" t="s">
        <v>252</v>
      </c>
      <c r="O6429">
        <v>4.4389980000000002E-2</v>
      </c>
      <c r="P6429">
        <v>9.4832852999999995E-2</v>
      </c>
      <c r="Q6429" t="str">
        <f t="shared" si="200"/>
        <v>01-09</v>
      </c>
      <c r="R6429" t="str">
        <f t="shared" si="201"/>
        <v>[PekKUkKHAzY]|01-09|Female|Incidence_SUBNAT.Rt.T|CY2025Q3</v>
      </c>
    </row>
    <row r="6430" spans="4:18" x14ac:dyDescent="0.2">
      <c r="D6430" t="s">
        <v>93</v>
      </c>
      <c r="E6430" t="s">
        <v>94</v>
      </c>
      <c r="F6430" t="s">
        <v>95</v>
      </c>
      <c r="G6430" t="s">
        <v>222</v>
      </c>
      <c r="H6430" t="s">
        <v>222</v>
      </c>
      <c r="I6430" t="s">
        <v>36</v>
      </c>
      <c r="J6430" t="s">
        <v>37</v>
      </c>
      <c r="K6430" t="s">
        <v>30</v>
      </c>
      <c r="L6430" t="s">
        <v>31</v>
      </c>
      <c r="M6430" t="s">
        <v>220</v>
      </c>
      <c r="N6430">
        <v>0</v>
      </c>
      <c r="O6430">
        <v>0</v>
      </c>
      <c r="P6430">
        <v>9.4832852999999995E-2</v>
      </c>
      <c r="Q6430" t="str">
        <f t="shared" si="200"/>
        <v>10-14</v>
      </c>
      <c r="R6430" t="str">
        <f t="shared" si="201"/>
        <v>[PekKUkKHAzY]|10-14|Female|Incidence_SUBNAT.Rt.T|CY2025Q3</v>
      </c>
    </row>
    <row r="6431" spans="4:18" x14ac:dyDescent="0.2">
      <c r="D6431" t="s">
        <v>93</v>
      </c>
      <c r="E6431" t="s">
        <v>94</v>
      </c>
      <c r="F6431" t="s">
        <v>95</v>
      </c>
      <c r="G6431" t="s">
        <v>222</v>
      </c>
      <c r="H6431" t="s">
        <v>222</v>
      </c>
      <c r="I6431" t="s">
        <v>38</v>
      </c>
      <c r="J6431" t="s">
        <v>39</v>
      </c>
      <c r="K6431" t="s">
        <v>30</v>
      </c>
      <c r="L6431" t="s">
        <v>31</v>
      </c>
      <c r="M6431" t="s">
        <v>220</v>
      </c>
      <c r="N6431">
        <v>4.9054299999999997E-4</v>
      </c>
      <c r="O6431">
        <v>9.7670320000000005E-2</v>
      </c>
      <c r="P6431">
        <v>9.4832852999999995E-2</v>
      </c>
      <c r="Q6431" t="str">
        <f t="shared" si="200"/>
        <v>15-24</v>
      </c>
      <c r="R6431" t="str">
        <f t="shared" si="201"/>
        <v>[PekKUkKHAzY]|15-24|Female|Incidence_SUBNAT.Rt.T|CY2025Q3</v>
      </c>
    </row>
    <row r="6432" spans="4:18" x14ac:dyDescent="0.2">
      <c r="D6432" t="s">
        <v>93</v>
      </c>
      <c r="E6432" t="s">
        <v>94</v>
      </c>
      <c r="F6432" t="s">
        <v>95</v>
      </c>
      <c r="G6432" t="s">
        <v>222</v>
      </c>
      <c r="H6432" t="s">
        <v>222</v>
      </c>
      <c r="I6432" t="s">
        <v>41</v>
      </c>
      <c r="J6432" t="s">
        <v>42</v>
      </c>
      <c r="K6432" t="s">
        <v>30</v>
      </c>
      <c r="L6432" t="s">
        <v>31</v>
      </c>
      <c r="M6432" t="s">
        <v>220</v>
      </c>
      <c r="N6432">
        <v>7.4497699999999997E-4</v>
      </c>
      <c r="O6432">
        <v>9.7885603000000002E-2</v>
      </c>
      <c r="P6432">
        <v>9.4832852999999995E-2</v>
      </c>
      <c r="Q6432" t="str">
        <f t="shared" si="200"/>
        <v>25-34</v>
      </c>
      <c r="R6432" t="str">
        <f t="shared" si="201"/>
        <v>[PekKUkKHAzY]|25-34|Female|Incidence_SUBNAT.Rt.T|CY2025Q3</v>
      </c>
    </row>
    <row r="6433" spans="4:18" x14ac:dyDescent="0.2">
      <c r="D6433" t="s">
        <v>93</v>
      </c>
      <c r="E6433" t="s">
        <v>94</v>
      </c>
      <c r="F6433" t="s">
        <v>95</v>
      </c>
      <c r="G6433" t="s">
        <v>222</v>
      </c>
      <c r="H6433" t="s">
        <v>222</v>
      </c>
      <c r="I6433" t="s">
        <v>43</v>
      </c>
      <c r="J6433" t="s">
        <v>44</v>
      </c>
      <c r="K6433" t="s">
        <v>30</v>
      </c>
      <c r="L6433" t="s">
        <v>31</v>
      </c>
      <c r="M6433" t="s">
        <v>220</v>
      </c>
      <c r="N6433">
        <v>3.8628700000000002E-4</v>
      </c>
      <c r="O6433">
        <v>9.8093614999999995E-2</v>
      </c>
      <c r="P6433">
        <v>9.4832852999999995E-2</v>
      </c>
      <c r="Q6433" t="str">
        <f t="shared" si="200"/>
        <v>35-49</v>
      </c>
      <c r="R6433" t="str">
        <f t="shared" si="201"/>
        <v>[PekKUkKHAzY]|35-49|Female|Incidence_SUBNAT.Rt.T|CY2025Q3</v>
      </c>
    </row>
    <row r="6434" spans="4:18" x14ac:dyDescent="0.2">
      <c r="D6434" t="s">
        <v>93</v>
      </c>
      <c r="E6434" t="s">
        <v>94</v>
      </c>
      <c r="F6434" t="s">
        <v>95</v>
      </c>
      <c r="G6434" t="s">
        <v>222</v>
      </c>
      <c r="H6434" t="s">
        <v>222</v>
      </c>
      <c r="I6434" t="s">
        <v>45</v>
      </c>
      <c r="J6434" t="s">
        <v>46</v>
      </c>
      <c r="K6434" t="s">
        <v>30</v>
      </c>
      <c r="L6434" t="s">
        <v>31</v>
      </c>
      <c r="M6434" t="s">
        <v>220</v>
      </c>
      <c r="N6434">
        <v>1.0435E-4</v>
      </c>
      <c r="O6434">
        <v>9.6191651000000003E-2</v>
      </c>
      <c r="P6434">
        <v>9.4832852999999995E-2</v>
      </c>
      <c r="Q6434" t="str">
        <f t="shared" si="200"/>
        <v>50+</v>
      </c>
      <c r="R6434" t="str">
        <f t="shared" si="201"/>
        <v>[PekKUkKHAzY]|50+|Female|Incidence_SUBNAT.Rt.T|CY2025Q3</v>
      </c>
    </row>
    <row r="6435" spans="4:18" x14ac:dyDescent="0.2">
      <c r="D6435" t="s">
        <v>93</v>
      </c>
      <c r="E6435" t="s">
        <v>94</v>
      </c>
      <c r="F6435" t="s">
        <v>95</v>
      </c>
      <c r="G6435" t="s">
        <v>222</v>
      </c>
      <c r="H6435" t="s">
        <v>222</v>
      </c>
      <c r="I6435" t="s">
        <v>28</v>
      </c>
      <c r="J6435" t="s">
        <v>29</v>
      </c>
      <c r="K6435" t="s">
        <v>48</v>
      </c>
      <c r="L6435" t="s">
        <v>49</v>
      </c>
      <c r="M6435" t="s">
        <v>220</v>
      </c>
      <c r="N6435">
        <v>8.6744700000000003E-4</v>
      </c>
      <c r="O6435">
        <v>8.8779961000000004E-2</v>
      </c>
      <c r="P6435">
        <v>9.4832852999999995E-2</v>
      </c>
      <c r="Q6435" t="str">
        <f t="shared" si="200"/>
        <v>&lt;01</v>
      </c>
      <c r="R6435" t="str">
        <f t="shared" si="201"/>
        <v>[PekKUkKHAzY]|&lt;01|Male|Incidence_SUBNAT.Rt.T|CY2025Q3</v>
      </c>
    </row>
    <row r="6436" spans="4:18" x14ac:dyDescent="0.2">
      <c r="D6436" t="s">
        <v>93</v>
      </c>
      <c r="E6436" t="s">
        <v>94</v>
      </c>
      <c r="F6436" t="s">
        <v>95</v>
      </c>
      <c r="G6436" t="s">
        <v>222</v>
      </c>
      <c r="H6436" t="s">
        <v>222</v>
      </c>
      <c r="I6436" t="s">
        <v>33</v>
      </c>
      <c r="J6436" t="s">
        <v>34</v>
      </c>
      <c r="K6436" t="s">
        <v>48</v>
      </c>
      <c r="L6436" t="s">
        <v>49</v>
      </c>
      <c r="M6436" t="s">
        <v>220</v>
      </c>
      <c r="N6436" s="235" t="s">
        <v>253</v>
      </c>
      <c r="O6436">
        <v>4.4389980000000002E-2</v>
      </c>
      <c r="P6436">
        <v>9.4832852999999995E-2</v>
      </c>
      <c r="Q6436" t="str">
        <f t="shared" si="200"/>
        <v>01-09</v>
      </c>
      <c r="R6436" t="str">
        <f t="shared" si="201"/>
        <v>[PekKUkKHAzY]|01-09|Male|Incidence_SUBNAT.Rt.T|CY2025Q3</v>
      </c>
    </row>
    <row r="6437" spans="4:18" x14ac:dyDescent="0.2">
      <c r="D6437" t="s">
        <v>93</v>
      </c>
      <c r="E6437" t="s">
        <v>94</v>
      </c>
      <c r="F6437" t="s">
        <v>95</v>
      </c>
      <c r="G6437" t="s">
        <v>222</v>
      </c>
      <c r="H6437" t="s">
        <v>222</v>
      </c>
      <c r="I6437" t="s">
        <v>36</v>
      </c>
      <c r="J6437" t="s">
        <v>37</v>
      </c>
      <c r="K6437" t="s">
        <v>48</v>
      </c>
      <c r="L6437" t="s">
        <v>49</v>
      </c>
      <c r="M6437" t="s">
        <v>220</v>
      </c>
      <c r="N6437">
        <v>0</v>
      </c>
      <c r="O6437">
        <v>0</v>
      </c>
      <c r="P6437">
        <v>9.4832852999999995E-2</v>
      </c>
      <c r="Q6437" t="str">
        <f t="shared" si="200"/>
        <v>10-14</v>
      </c>
      <c r="R6437" t="str">
        <f t="shared" si="201"/>
        <v>[PekKUkKHAzY]|10-14|Male|Incidence_SUBNAT.Rt.T|CY2025Q3</v>
      </c>
    </row>
    <row r="6438" spans="4:18" x14ac:dyDescent="0.2">
      <c r="D6438" t="s">
        <v>93</v>
      </c>
      <c r="E6438" t="s">
        <v>94</v>
      </c>
      <c r="F6438" t="s">
        <v>95</v>
      </c>
      <c r="G6438" t="s">
        <v>222</v>
      </c>
      <c r="H6438" t="s">
        <v>222</v>
      </c>
      <c r="I6438" t="s">
        <v>38</v>
      </c>
      <c r="J6438" t="s">
        <v>39</v>
      </c>
      <c r="K6438" t="s">
        <v>48</v>
      </c>
      <c r="L6438" t="s">
        <v>49</v>
      </c>
      <c r="M6438" t="s">
        <v>220</v>
      </c>
      <c r="N6438" s="235" t="s">
        <v>254</v>
      </c>
      <c r="O6438">
        <v>9.7773077E-2</v>
      </c>
      <c r="P6438">
        <v>9.4832852999999995E-2</v>
      </c>
      <c r="Q6438" t="str">
        <f t="shared" si="200"/>
        <v>15-24</v>
      </c>
      <c r="R6438" t="str">
        <f t="shared" si="201"/>
        <v>[PekKUkKHAzY]|15-24|Male|Incidence_SUBNAT.Rt.T|CY2025Q3</v>
      </c>
    </row>
    <row r="6439" spans="4:18" x14ac:dyDescent="0.2">
      <c r="D6439" t="s">
        <v>93</v>
      </c>
      <c r="E6439" t="s">
        <v>94</v>
      </c>
      <c r="F6439" t="s">
        <v>95</v>
      </c>
      <c r="G6439" t="s">
        <v>222</v>
      </c>
      <c r="H6439" t="s">
        <v>222</v>
      </c>
      <c r="I6439" t="s">
        <v>41</v>
      </c>
      <c r="J6439" t="s">
        <v>42</v>
      </c>
      <c r="K6439" t="s">
        <v>48</v>
      </c>
      <c r="L6439" t="s">
        <v>49</v>
      </c>
      <c r="M6439" t="s">
        <v>220</v>
      </c>
      <c r="N6439">
        <v>4.4652100000000002E-4</v>
      </c>
      <c r="O6439">
        <v>9.7745126000000002E-2</v>
      </c>
      <c r="P6439">
        <v>9.4832852999999995E-2</v>
      </c>
      <c r="Q6439" t="str">
        <f t="shared" si="200"/>
        <v>25-34</v>
      </c>
      <c r="R6439" t="str">
        <f t="shared" si="201"/>
        <v>[PekKUkKHAzY]|25-34|Male|Incidence_SUBNAT.Rt.T|CY2025Q3</v>
      </c>
    </row>
    <row r="6440" spans="4:18" x14ac:dyDescent="0.2">
      <c r="D6440" t="s">
        <v>93</v>
      </c>
      <c r="E6440" t="s">
        <v>94</v>
      </c>
      <c r="F6440" t="s">
        <v>95</v>
      </c>
      <c r="G6440" t="s">
        <v>222</v>
      </c>
      <c r="H6440" t="s">
        <v>222</v>
      </c>
      <c r="I6440" t="s">
        <v>43</v>
      </c>
      <c r="J6440" t="s">
        <v>44</v>
      </c>
      <c r="K6440" t="s">
        <v>48</v>
      </c>
      <c r="L6440" t="s">
        <v>49</v>
      </c>
      <c r="M6440" t="s">
        <v>220</v>
      </c>
      <c r="N6440">
        <v>4.9584800000000001E-4</v>
      </c>
      <c r="O6440">
        <v>9.7899196999999993E-2</v>
      </c>
      <c r="P6440">
        <v>9.4832852999999995E-2</v>
      </c>
      <c r="Q6440" t="str">
        <f t="shared" si="200"/>
        <v>35-49</v>
      </c>
      <c r="R6440" t="str">
        <f t="shared" si="201"/>
        <v>[PekKUkKHAzY]|35-49|Male|Incidence_SUBNAT.Rt.T|CY2025Q3</v>
      </c>
    </row>
    <row r="6441" spans="4:18" x14ac:dyDescent="0.2">
      <c r="D6441" t="s">
        <v>93</v>
      </c>
      <c r="E6441" t="s">
        <v>94</v>
      </c>
      <c r="F6441" t="s">
        <v>95</v>
      </c>
      <c r="G6441" t="s">
        <v>222</v>
      </c>
      <c r="H6441" t="s">
        <v>222</v>
      </c>
      <c r="I6441" t="s">
        <v>45</v>
      </c>
      <c r="J6441" t="s">
        <v>46</v>
      </c>
      <c r="K6441" t="s">
        <v>48</v>
      </c>
      <c r="L6441" t="s">
        <v>49</v>
      </c>
      <c r="M6441" t="s">
        <v>220</v>
      </c>
      <c r="N6441">
        <v>2.54734E-4</v>
      </c>
      <c r="O6441">
        <v>9.6974698999999998E-2</v>
      </c>
      <c r="P6441">
        <v>9.4832852999999995E-2</v>
      </c>
      <c r="Q6441" t="str">
        <f t="shared" si="200"/>
        <v>50+</v>
      </c>
      <c r="R6441" t="str">
        <f t="shared" si="201"/>
        <v>[PekKUkKHAzY]|50+|Male|Incidence_SUBNAT.Rt.T|CY2025Q3</v>
      </c>
    </row>
    <row r="6442" spans="4:18" x14ac:dyDescent="0.2">
      <c r="D6442" t="s">
        <v>96</v>
      </c>
      <c r="E6442" t="s">
        <v>97</v>
      </c>
      <c r="F6442" t="s">
        <v>98</v>
      </c>
      <c r="G6442" t="s">
        <v>222</v>
      </c>
      <c r="H6442" t="s">
        <v>222</v>
      </c>
      <c r="I6442" t="s">
        <v>28</v>
      </c>
      <c r="J6442" t="s">
        <v>29</v>
      </c>
      <c r="K6442" t="s">
        <v>30</v>
      </c>
      <c r="L6442" t="s">
        <v>31</v>
      </c>
      <c r="M6442" t="s">
        <v>220</v>
      </c>
      <c r="N6442">
        <v>1.511947E-3</v>
      </c>
      <c r="O6442">
        <v>7.8142845000000002E-2</v>
      </c>
      <c r="P6442">
        <v>8.5684670000000004E-2</v>
      </c>
      <c r="Q6442" t="str">
        <f t="shared" si="200"/>
        <v>&lt;01</v>
      </c>
      <c r="R6442" t="str">
        <f t="shared" si="201"/>
        <v>[am530wpaGvr]|&lt;01|Female|Incidence_SUBNAT.Rt.T|CY2025Q3</v>
      </c>
    </row>
    <row r="6443" spans="4:18" x14ac:dyDescent="0.2">
      <c r="D6443" t="s">
        <v>96</v>
      </c>
      <c r="E6443" t="s">
        <v>97</v>
      </c>
      <c r="F6443" t="s">
        <v>98</v>
      </c>
      <c r="G6443" t="s">
        <v>222</v>
      </c>
      <c r="H6443" t="s">
        <v>222</v>
      </c>
      <c r="I6443" t="s">
        <v>33</v>
      </c>
      <c r="J6443" t="s">
        <v>34</v>
      </c>
      <c r="K6443" t="s">
        <v>30</v>
      </c>
      <c r="L6443" t="s">
        <v>31</v>
      </c>
      <c r="M6443" t="s">
        <v>220</v>
      </c>
      <c r="N6443" s="235" t="s">
        <v>255</v>
      </c>
      <c r="O6443">
        <v>3.9071423000000001E-2</v>
      </c>
      <c r="P6443">
        <v>8.5684670000000004E-2</v>
      </c>
      <c r="Q6443" t="str">
        <f t="shared" si="200"/>
        <v>01-09</v>
      </c>
      <c r="R6443" t="str">
        <f t="shared" si="201"/>
        <v>[am530wpaGvr]|01-09|Female|Incidence_SUBNAT.Rt.T|CY2025Q3</v>
      </c>
    </row>
    <row r="6444" spans="4:18" x14ac:dyDescent="0.2">
      <c r="D6444" t="s">
        <v>96</v>
      </c>
      <c r="E6444" t="s">
        <v>97</v>
      </c>
      <c r="F6444" t="s">
        <v>98</v>
      </c>
      <c r="G6444" t="s">
        <v>222</v>
      </c>
      <c r="H6444" t="s">
        <v>222</v>
      </c>
      <c r="I6444" t="s">
        <v>36</v>
      </c>
      <c r="J6444" t="s">
        <v>37</v>
      </c>
      <c r="K6444" t="s">
        <v>30</v>
      </c>
      <c r="L6444" t="s">
        <v>31</v>
      </c>
      <c r="M6444" t="s">
        <v>220</v>
      </c>
      <c r="N6444">
        <v>0</v>
      </c>
      <c r="O6444">
        <v>0</v>
      </c>
      <c r="P6444">
        <v>8.5684670000000004E-2</v>
      </c>
      <c r="Q6444" t="str">
        <f t="shared" si="200"/>
        <v>10-14</v>
      </c>
      <c r="R6444" t="str">
        <f t="shared" si="201"/>
        <v>[am530wpaGvr]|10-14|Female|Incidence_SUBNAT.Rt.T|CY2025Q3</v>
      </c>
    </row>
    <row r="6445" spans="4:18" x14ac:dyDescent="0.2">
      <c r="D6445" t="s">
        <v>96</v>
      </c>
      <c r="E6445" t="s">
        <v>97</v>
      </c>
      <c r="F6445" t="s">
        <v>98</v>
      </c>
      <c r="G6445" t="s">
        <v>222</v>
      </c>
      <c r="H6445" t="s">
        <v>222</v>
      </c>
      <c r="I6445" t="s">
        <v>38</v>
      </c>
      <c r="J6445" t="s">
        <v>39</v>
      </c>
      <c r="K6445" t="s">
        <v>30</v>
      </c>
      <c r="L6445" t="s">
        <v>31</v>
      </c>
      <c r="M6445" t="s">
        <v>220</v>
      </c>
      <c r="N6445">
        <v>8.5083700000000001E-4</v>
      </c>
      <c r="O6445">
        <v>8.9473395999999997E-2</v>
      </c>
      <c r="P6445">
        <v>8.5684670000000004E-2</v>
      </c>
      <c r="Q6445" t="str">
        <f t="shared" si="200"/>
        <v>15-24</v>
      </c>
      <c r="R6445" t="str">
        <f t="shared" si="201"/>
        <v>[am530wpaGvr]|15-24|Female|Incidence_SUBNAT.Rt.T|CY2025Q3</v>
      </c>
    </row>
    <row r="6446" spans="4:18" x14ac:dyDescent="0.2">
      <c r="D6446" t="s">
        <v>96</v>
      </c>
      <c r="E6446" t="s">
        <v>97</v>
      </c>
      <c r="F6446" t="s">
        <v>98</v>
      </c>
      <c r="G6446" t="s">
        <v>222</v>
      </c>
      <c r="H6446" t="s">
        <v>222</v>
      </c>
      <c r="I6446" t="s">
        <v>41</v>
      </c>
      <c r="J6446" t="s">
        <v>42</v>
      </c>
      <c r="K6446" t="s">
        <v>30</v>
      </c>
      <c r="L6446" t="s">
        <v>31</v>
      </c>
      <c r="M6446" t="s">
        <v>220</v>
      </c>
      <c r="N6446">
        <v>1.2964719999999999E-3</v>
      </c>
      <c r="O6446">
        <v>8.9816221000000002E-2</v>
      </c>
      <c r="P6446">
        <v>8.5684670000000004E-2</v>
      </c>
      <c r="Q6446" t="str">
        <f t="shared" si="200"/>
        <v>25-34</v>
      </c>
      <c r="R6446" t="str">
        <f t="shared" si="201"/>
        <v>[am530wpaGvr]|25-34|Female|Incidence_SUBNAT.Rt.T|CY2025Q3</v>
      </c>
    </row>
    <row r="6447" spans="4:18" x14ac:dyDescent="0.2">
      <c r="D6447" t="s">
        <v>96</v>
      </c>
      <c r="E6447" t="s">
        <v>97</v>
      </c>
      <c r="F6447" t="s">
        <v>98</v>
      </c>
      <c r="G6447" t="s">
        <v>222</v>
      </c>
      <c r="H6447" t="s">
        <v>222</v>
      </c>
      <c r="I6447" t="s">
        <v>43</v>
      </c>
      <c r="J6447" t="s">
        <v>44</v>
      </c>
      <c r="K6447" t="s">
        <v>30</v>
      </c>
      <c r="L6447" t="s">
        <v>31</v>
      </c>
      <c r="M6447" t="s">
        <v>220</v>
      </c>
      <c r="N6447">
        <v>6.8507300000000002E-4</v>
      </c>
      <c r="O6447">
        <v>9.0293304000000005E-2</v>
      </c>
      <c r="P6447">
        <v>8.5684670000000004E-2</v>
      </c>
      <c r="Q6447" t="str">
        <f t="shared" si="200"/>
        <v>35-49</v>
      </c>
      <c r="R6447" t="str">
        <f t="shared" si="201"/>
        <v>[am530wpaGvr]|35-49|Female|Incidence_SUBNAT.Rt.T|CY2025Q3</v>
      </c>
    </row>
    <row r="6448" spans="4:18" x14ac:dyDescent="0.2">
      <c r="D6448" t="s">
        <v>96</v>
      </c>
      <c r="E6448" t="s">
        <v>97</v>
      </c>
      <c r="F6448" t="s">
        <v>98</v>
      </c>
      <c r="G6448" t="s">
        <v>222</v>
      </c>
      <c r="H6448" t="s">
        <v>222</v>
      </c>
      <c r="I6448" t="s">
        <v>45</v>
      </c>
      <c r="J6448" t="s">
        <v>46</v>
      </c>
      <c r="K6448" t="s">
        <v>30</v>
      </c>
      <c r="L6448" t="s">
        <v>31</v>
      </c>
      <c r="M6448" t="s">
        <v>220</v>
      </c>
      <c r="N6448">
        <v>1.8307999999999999E-4</v>
      </c>
      <c r="O6448">
        <v>8.7725889000000001E-2</v>
      </c>
      <c r="P6448">
        <v>8.5684670000000004E-2</v>
      </c>
      <c r="Q6448" t="str">
        <f t="shared" si="200"/>
        <v>50+</v>
      </c>
      <c r="R6448" t="str">
        <f t="shared" si="201"/>
        <v>[am530wpaGvr]|50+|Female|Incidence_SUBNAT.Rt.T|CY2025Q3</v>
      </c>
    </row>
    <row r="6449" spans="4:18" x14ac:dyDescent="0.2">
      <c r="D6449" t="s">
        <v>96</v>
      </c>
      <c r="E6449" t="s">
        <v>97</v>
      </c>
      <c r="F6449" t="s">
        <v>98</v>
      </c>
      <c r="G6449" t="s">
        <v>222</v>
      </c>
      <c r="H6449" t="s">
        <v>222</v>
      </c>
      <c r="I6449" t="s">
        <v>28</v>
      </c>
      <c r="J6449" t="s">
        <v>29</v>
      </c>
      <c r="K6449" t="s">
        <v>48</v>
      </c>
      <c r="L6449" t="s">
        <v>49</v>
      </c>
      <c r="M6449" t="s">
        <v>220</v>
      </c>
      <c r="N6449">
        <v>1.5169820000000001E-3</v>
      </c>
      <c r="O6449">
        <v>7.8142845000000002E-2</v>
      </c>
      <c r="P6449">
        <v>8.5684670000000004E-2</v>
      </c>
      <c r="Q6449" t="str">
        <f t="shared" si="200"/>
        <v>&lt;01</v>
      </c>
      <c r="R6449" t="str">
        <f t="shared" si="201"/>
        <v>[am530wpaGvr]|&lt;01|Male|Incidence_SUBNAT.Rt.T|CY2025Q3</v>
      </c>
    </row>
    <row r="6450" spans="4:18" x14ac:dyDescent="0.2">
      <c r="D6450" t="s">
        <v>96</v>
      </c>
      <c r="E6450" t="s">
        <v>97</v>
      </c>
      <c r="F6450" t="s">
        <v>98</v>
      </c>
      <c r="G6450" t="s">
        <v>222</v>
      </c>
      <c r="H6450" t="s">
        <v>222</v>
      </c>
      <c r="I6450" t="s">
        <v>33</v>
      </c>
      <c r="J6450" t="s">
        <v>34</v>
      </c>
      <c r="K6450" t="s">
        <v>48</v>
      </c>
      <c r="L6450" t="s">
        <v>49</v>
      </c>
      <c r="M6450" t="s">
        <v>220</v>
      </c>
      <c r="N6450" s="235" t="s">
        <v>256</v>
      </c>
      <c r="O6450">
        <v>3.9071423000000001E-2</v>
      </c>
      <c r="P6450">
        <v>8.5684670000000004E-2</v>
      </c>
      <c r="Q6450" t="str">
        <f t="shared" si="200"/>
        <v>01-09</v>
      </c>
      <c r="R6450" t="str">
        <f t="shared" si="201"/>
        <v>[am530wpaGvr]|01-09|Male|Incidence_SUBNAT.Rt.T|CY2025Q3</v>
      </c>
    </row>
    <row r="6451" spans="4:18" x14ac:dyDescent="0.2">
      <c r="D6451" t="s">
        <v>96</v>
      </c>
      <c r="E6451" t="s">
        <v>97</v>
      </c>
      <c r="F6451" t="s">
        <v>98</v>
      </c>
      <c r="G6451" t="s">
        <v>222</v>
      </c>
      <c r="H6451" t="s">
        <v>222</v>
      </c>
      <c r="I6451" t="s">
        <v>36</v>
      </c>
      <c r="J6451" t="s">
        <v>37</v>
      </c>
      <c r="K6451" t="s">
        <v>48</v>
      </c>
      <c r="L6451" t="s">
        <v>49</v>
      </c>
      <c r="M6451" t="s">
        <v>220</v>
      </c>
      <c r="N6451">
        <v>0</v>
      </c>
      <c r="O6451">
        <v>0</v>
      </c>
      <c r="P6451">
        <v>8.5684670000000004E-2</v>
      </c>
      <c r="Q6451" t="str">
        <f t="shared" si="200"/>
        <v>10-14</v>
      </c>
      <c r="R6451" t="str">
        <f t="shared" si="201"/>
        <v>[am530wpaGvr]|10-14|Male|Incidence_SUBNAT.Rt.T|CY2025Q3</v>
      </c>
    </row>
    <row r="6452" spans="4:18" x14ac:dyDescent="0.2">
      <c r="D6452" t="s">
        <v>96</v>
      </c>
      <c r="E6452" t="s">
        <v>97</v>
      </c>
      <c r="F6452" t="s">
        <v>98</v>
      </c>
      <c r="G6452" t="s">
        <v>222</v>
      </c>
      <c r="H6452" t="s">
        <v>222</v>
      </c>
      <c r="I6452" t="s">
        <v>38</v>
      </c>
      <c r="J6452" t="s">
        <v>39</v>
      </c>
      <c r="K6452" t="s">
        <v>48</v>
      </c>
      <c r="L6452" t="s">
        <v>49</v>
      </c>
      <c r="M6452" t="s">
        <v>220</v>
      </c>
      <c r="N6452">
        <v>1.4552799999999999E-4</v>
      </c>
      <c r="O6452">
        <v>8.9631079000000002E-2</v>
      </c>
      <c r="P6452">
        <v>8.5684670000000004E-2</v>
      </c>
      <c r="Q6452" t="str">
        <f t="shared" si="200"/>
        <v>15-24</v>
      </c>
      <c r="R6452" t="str">
        <f t="shared" si="201"/>
        <v>[am530wpaGvr]|15-24|Male|Incidence_SUBNAT.Rt.T|CY2025Q3</v>
      </c>
    </row>
    <row r="6453" spans="4:18" x14ac:dyDescent="0.2">
      <c r="D6453" t="s">
        <v>96</v>
      </c>
      <c r="E6453" t="s">
        <v>97</v>
      </c>
      <c r="F6453" t="s">
        <v>98</v>
      </c>
      <c r="G6453" t="s">
        <v>222</v>
      </c>
      <c r="H6453" t="s">
        <v>222</v>
      </c>
      <c r="I6453" t="s">
        <v>41</v>
      </c>
      <c r="J6453" t="s">
        <v>42</v>
      </c>
      <c r="K6453" t="s">
        <v>48</v>
      </c>
      <c r="L6453" t="s">
        <v>49</v>
      </c>
      <c r="M6453" t="s">
        <v>220</v>
      </c>
      <c r="N6453">
        <v>7.7803499999999995E-4</v>
      </c>
      <c r="O6453">
        <v>8.9614824999999995E-2</v>
      </c>
      <c r="P6453">
        <v>8.5684670000000004E-2</v>
      </c>
      <c r="Q6453" t="str">
        <f t="shared" si="200"/>
        <v>25-34</v>
      </c>
      <c r="R6453" t="str">
        <f t="shared" si="201"/>
        <v>[am530wpaGvr]|25-34|Male|Incidence_SUBNAT.Rt.T|CY2025Q3</v>
      </c>
    </row>
    <row r="6454" spans="4:18" x14ac:dyDescent="0.2">
      <c r="D6454" t="s">
        <v>96</v>
      </c>
      <c r="E6454" t="s">
        <v>97</v>
      </c>
      <c r="F6454" t="s">
        <v>98</v>
      </c>
      <c r="G6454" t="s">
        <v>222</v>
      </c>
      <c r="H6454" t="s">
        <v>222</v>
      </c>
      <c r="I6454" t="s">
        <v>43</v>
      </c>
      <c r="J6454" t="s">
        <v>44</v>
      </c>
      <c r="K6454" t="s">
        <v>48</v>
      </c>
      <c r="L6454" t="s">
        <v>49</v>
      </c>
      <c r="M6454" t="s">
        <v>220</v>
      </c>
      <c r="N6454">
        <v>8.6875600000000004E-4</v>
      </c>
      <c r="O6454">
        <v>8.9844608000000006E-2</v>
      </c>
      <c r="P6454">
        <v>8.5684670000000004E-2</v>
      </c>
      <c r="Q6454" t="str">
        <f t="shared" si="200"/>
        <v>35-49</v>
      </c>
      <c r="R6454" t="str">
        <f t="shared" si="201"/>
        <v>[am530wpaGvr]|35-49|Male|Incidence_SUBNAT.Rt.T|CY2025Q3</v>
      </c>
    </row>
    <row r="6455" spans="4:18" x14ac:dyDescent="0.2">
      <c r="D6455" t="s">
        <v>96</v>
      </c>
      <c r="E6455" t="s">
        <v>97</v>
      </c>
      <c r="F6455" t="s">
        <v>98</v>
      </c>
      <c r="G6455" t="s">
        <v>222</v>
      </c>
      <c r="H6455" t="s">
        <v>222</v>
      </c>
      <c r="I6455" t="s">
        <v>45</v>
      </c>
      <c r="J6455" t="s">
        <v>46</v>
      </c>
      <c r="K6455" t="s">
        <v>48</v>
      </c>
      <c r="L6455" t="s">
        <v>49</v>
      </c>
      <c r="M6455" t="s">
        <v>220</v>
      </c>
      <c r="N6455">
        <v>4.4139500000000003E-4</v>
      </c>
      <c r="O6455">
        <v>8.8770746999999997E-2</v>
      </c>
      <c r="P6455">
        <v>8.5684670000000004E-2</v>
      </c>
      <c r="Q6455" t="str">
        <f t="shared" si="200"/>
        <v>50+</v>
      </c>
      <c r="R6455" t="str">
        <f t="shared" si="201"/>
        <v>[am530wpaGvr]|50+|Male|Incidence_SUBNAT.Rt.T|CY2025Q3</v>
      </c>
    </row>
    <row r="6456" spans="4:18" x14ac:dyDescent="0.2">
      <c r="D6456" t="s">
        <v>99</v>
      </c>
      <c r="E6456" t="s">
        <v>100</v>
      </c>
      <c r="F6456" t="s">
        <v>101</v>
      </c>
      <c r="G6456" t="s">
        <v>222</v>
      </c>
      <c r="H6456" t="s">
        <v>222</v>
      </c>
      <c r="I6456" t="s">
        <v>28</v>
      </c>
      <c r="J6456" t="s">
        <v>29</v>
      </c>
      <c r="K6456" t="s">
        <v>30</v>
      </c>
      <c r="L6456" t="s">
        <v>31</v>
      </c>
      <c r="M6456" t="s">
        <v>220</v>
      </c>
      <c r="N6456">
        <v>2.2511459999999999E-3</v>
      </c>
      <c r="O6456">
        <v>4.4309190999999998E-2</v>
      </c>
      <c r="P6456">
        <v>5.1491666999999998E-2</v>
      </c>
      <c r="Q6456" t="str">
        <f t="shared" si="200"/>
        <v>&lt;01</v>
      </c>
      <c r="R6456" t="str">
        <f t="shared" si="201"/>
        <v>[lLDyBx5XyUi]|&lt;01|Female|Incidence_SUBNAT.Rt.T|CY2025Q3</v>
      </c>
    </row>
    <row r="6457" spans="4:18" x14ac:dyDescent="0.2">
      <c r="D6457" t="s">
        <v>99</v>
      </c>
      <c r="E6457" t="s">
        <v>100</v>
      </c>
      <c r="F6457" t="s">
        <v>101</v>
      </c>
      <c r="G6457" t="s">
        <v>222</v>
      </c>
      <c r="H6457" t="s">
        <v>222</v>
      </c>
      <c r="I6457" t="s">
        <v>33</v>
      </c>
      <c r="J6457" t="s">
        <v>34</v>
      </c>
      <c r="K6457" t="s">
        <v>30</v>
      </c>
      <c r="L6457" t="s">
        <v>31</v>
      </c>
      <c r="M6457" t="s">
        <v>220</v>
      </c>
      <c r="N6457" s="235" t="s">
        <v>257</v>
      </c>
      <c r="O6457">
        <v>2.2154595999999999E-2</v>
      </c>
      <c r="P6457">
        <v>5.1491666999999998E-2</v>
      </c>
      <c r="Q6457" t="str">
        <f t="shared" si="200"/>
        <v>01-09</v>
      </c>
      <c r="R6457" t="str">
        <f t="shared" si="201"/>
        <v>[lLDyBx5XyUi]|01-09|Female|Incidence_SUBNAT.Rt.T|CY2025Q3</v>
      </c>
    </row>
    <row r="6458" spans="4:18" x14ac:dyDescent="0.2">
      <c r="D6458" t="s">
        <v>99</v>
      </c>
      <c r="E6458" t="s">
        <v>100</v>
      </c>
      <c r="F6458" t="s">
        <v>101</v>
      </c>
      <c r="G6458" t="s">
        <v>222</v>
      </c>
      <c r="H6458" t="s">
        <v>222</v>
      </c>
      <c r="I6458" t="s">
        <v>36</v>
      </c>
      <c r="J6458" t="s">
        <v>37</v>
      </c>
      <c r="K6458" t="s">
        <v>30</v>
      </c>
      <c r="L6458" t="s">
        <v>31</v>
      </c>
      <c r="M6458" t="s">
        <v>220</v>
      </c>
      <c r="N6458">
        <v>0</v>
      </c>
      <c r="O6458">
        <v>0</v>
      </c>
      <c r="P6458">
        <v>5.1491666999999998E-2</v>
      </c>
      <c r="Q6458" t="str">
        <f t="shared" si="200"/>
        <v>10-14</v>
      </c>
      <c r="R6458" t="str">
        <f t="shared" si="201"/>
        <v>[lLDyBx5XyUi]|10-14|Female|Incidence_SUBNAT.Rt.T|CY2025Q3</v>
      </c>
    </row>
    <row r="6459" spans="4:18" x14ac:dyDescent="0.2">
      <c r="D6459" t="s">
        <v>99</v>
      </c>
      <c r="E6459" t="s">
        <v>100</v>
      </c>
      <c r="F6459" t="s">
        <v>101</v>
      </c>
      <c r="G6459" t="s">
        <v>222</v>
      </c>
      <c r="H6459" t="s">
        <v>222</v>
      </c>
      <c r="I6459" t="s">
        <v>38</v>
      </c>
      <c r="J6459" t="s">
        <v>39</v>
      </c>
      <c r="K6459" t="s">
        <v>30</v>
      </c>
      <c r="L6459" t="s">
        <v>31</v>
      </c>
      <c r="M6459" t="s">
        <v>220</v>
      </c>
      <c r="N6459">
        <v>1.2137949999999999E-3</v>
      </c>
      <c r="O6459">
        <v>5.6038167999999999E-2</v>
      </c>
      <c r="P6459">
        <v>5.1491666999999998E-2</v>
      </c>
      <c r="Q6459" t="str">
        <f t="shared" si="200"/>
        <v>15-24</v>
      </c>
      <c r="R6459" t="str">
        <f t="shared" si="201"/>
        <v>[lLDyBx5XyUi]|15-24|Female|Incidence_SUBNAT.Rt.T|CY2025Q3</v>
      </c>
    </row>
    <row r="6460" spans="4:18" x14ac:dyDescent="0.2">
      <c r="D6460" t="s">
        <v>99</v>
      </c>
      <c r="E6460" t="s">
        <v>100</v>
      </c>
      <c r="F6460" t="s">
        <v>101</v>
      </c>
      <c r="G6460" t="s">
        <v>222</v>
      </c>
      <c r="H6460" t="s">
        <v>222</v>
      </c>
      <c r="I6460" t="s">
        <v>41</v>
      </c>
      <c r="J6460" t="s">
        <v>42</v>
      </c>
      <c r="K6460" t="s">
        <v>30</v>
      </c>
      <c r="L6460" t="s">
        <v>31</v>
      </c>
      <c r="M6460" t="s">
        <v>220</v>
      </c>
      <c r="N6460">
        <v>1.850045E-3</v>
      </c>
      <c r="O6460">
        <v>5.6379340999999999E-2</v>
      </c>
      <c r="P6460">
        <v>5.1491666999999998E-2</v>
      </c>
      <c r="Q6460" t="str">
        <f t="shared" si="200"/>
        <v>25-34</v>
      </c>
      <c r="R6460" t="str">
        <f t="shared" si="201"/>
        <v>[lLDyBx5XyUi]|25-34|Female|Incidence_SUBNAT.Rt.T|CY2025Q3</v>
      </c>
    </row>
    <row r="6461" spans="4:18" x14ac:dyDescent="0.2">
      <c r="D6461" t="s">
        <v>99</v>
      </c>
      <c r="E6461" t="s">
        <v>100</v>
      </c>
      <c r="F6461" t="s">
        <v>101</v>
      </c>
      <c r="G6461" t="s">
        <v>222</v>
      </c>
      <c r="H6461" t="s">
        <v>222</v>
      </c>
      <c r="I6461" t="s">
        <v>43</v>
      </c>
      <c r="J6461" t="s">
        <v>44</v>
      </c>
      <c r="K6461" t="s">
        <v>30</v>
      </c>
      <c r="L6461" t="s">
        <v>31</v>
      </c>
      <c r="M6461" t="s">
        <v>220</v>
      </c>
      <c r="N6461">
        <v>9.6541400000000005E-4</v>
      </c>
      <c r="O6461">
        <v>5.6559626000000002E-2</v>
      </c>
      <c r="P6461">
        <v>5.1491666999999998E-2</v>
      </c>
      <c r="Q6461" t="str">
        <f t="shared" si="200"/>
        <v>35-49</v>
      </c>
      <c r="R6461" t="str">
        <f t="shared" si="201"/>
        <v>[lLDyBx5XyUi]|35-49|Female|Incidence_SUBNAT.Rt.T|CY2025Q3</v>
      </c>
    </row>
    <row r="6462" spans="4:18" x14ac:dyDescent="0.2">
      <c r="D6462" t="s">
        <v>99</v>
      </c>
      <c r="E6462" t="s">
        <v>100</v>
      </c>
      <c r="F6462" t="s">
        <v>101</v>
      </c>
      <c r="G6462" t="s">
        <v>222</v>
      </c>
      <c r="H6462" t="s">
        <v>222</v>
      </c>
      <c r="I6462" t="s">
        <v>45</v>
      </c>
      <c r="J6462" t="s">
        <v>46</v>
      </c>
      <c r="K6462" t="s">
        <v>30</v>
      </c>
      <c r="L6462" t="s">
        <v>31</v>
      </c>
      <c r="M6462" t="s">
        <v>220</v>
      </c>
      <c r="N6462">
        <v>2.5257200000000001E-4</v>
      </c>
      <c r="O6462">
        <v>5.4444751999999999E-2</v>
      </c>
      <c r="P6462">
        <v>5.1491666999999998E-2</v>
      </c>
      <c r="Q6462" t="str">
        <f t="shared" si="200"/>
        <v>50+</v>
      </c>
      <c r="R6462" t="str">
        <f t="shared" si="201"/>
        <v>[lLDyBx5XyUi]|50+|Female|Incidence_SUBNAT.Rt.T|CY2025Q3</v>
      </c>
    </row>
    <row r="6463" spans="4:18" x14ac:dyDescent="0.2">
      <c r="D6463" t="s">
        <v>99</v>
      </c>
      <c r="E6463" t="s">
        <v>100</v>
      </c>
      <c r="F6463" t="s">
        <v>101</v>
      </c>
      <c r="G6463" t="s">
        <v>222</v>
      </c>
      <c r="H6463" t="s">
        <v>222</v>
      </c>
      <c r="I6463" t="s">
        <v>28</v>
      </c>
      <c r="J6463" t="s">
        <v>29</v>
      </c>
      <c r="K6463" t="s">
        <v>48</v>
      </c>
      <c r="L6463" t="s">
        <v>49</v>
      </c>
      <c r="M6463" t="s">
        <v>220</v>
      </c>
      <c r="N6463">
        <v>2.258599E-3</v>
      </c>
      <c r="O6463">
        <v>4.4309190999999998E-2</v>
      </c>
      <c r="P6463">
        <v>5.1491666999999998E-2</v>
      </c>
      <c r="Q6463" t="str">
        <f t="shared" si="200"/>
        <v>&lt;01</v>
      </c>
      <c r="R6463" t="str">
        <f t="shared" si="201"/>
        <v>[lLDyBx5XyUi]|&lt;01|Male|Incidence_SUBNAT.Rt.T|CY2025Q3</v>
      </c>
    </row>
    <row r="6464" spans="4:18" x14ac:dyDescent="0.2">
      <c r="D6464" t="s">
        <v>99</v>
      </c>
      <c r="E6464" t="s">
        <v>100</v>
      </c>
      <c r="F6464" t="s">
        <v>101</v>
      </c>
      <c r="G6464" t="s">
        <v>222</v>
      </c>
      <c r="H6464" t="s">
        <v>222</v>
      </c>
      <c r="I6464" t="s">
        <v>33</v>
      </c>
      <c r="J6464" t="s">
        <v>34</v>
      </c>
      <c r="K6464" t="s">
        <v>48</v>
      </c>
      <c r="L6464" t="s">
        <v>49</v>
      </c>
      <c r="M6464" t="s">
        <v>220</v>
      </c>
      <c r="N6464" s="235" t="s">
        <v>258</v>
      </c>
      <c r="O6464">
        <v>2.2154595999999999E-2</v>
      </c>
      <c r="P6464">
        <v>5.1491666999999998E-2</v>
      </c>
      <c r="Q6464" t="str">
        <f t="shared" si="200"/>
        <v>01-09</v>
      </c>
      <c r="R6464" t="str">
        <f t="shared" si="201"/>
        <v>[lLDyBx5XyUi]|01-09|Male|Incidence_SUBNAT.Rt.T|CY2025Q3</v>
      </c>
    </row>
    <row r="6465" spans="4:18" x14ac:dyDescent="0.2">
      <c r="D6465" t="s">
        <v>99</v>
      </c>
      <c r="E6465" t="s">
        <v>100</v>
      </c>
      <c r="F6465" t="s">
        <v>101</v>
      </c>
      <c r="G6465" t="s">
        <v>222</v>
      </c>
      <c r="H6465" t="s">
        <v>222</v>
      </c>
      <c r="I6465" t="s">
        <v>36</v>
      </c>
      <c r="J6465" t="s">
        <v>37</v>
      </c>
      <c r="K6465" t="s">
        <v>48</v>
      </c>
      <c r="L6465" t="s">
        <v>49</v>
      </c>
      <c r="M6465" t="s">
        <v>220</v>
      </c>
      <c r="N6465">
        <v>0</v>
      </c>
      <c r="O6465">
        <v>0</v>
      </c>
      <c r="P6465">
        <v>5.1491666999999998E-2</v>
      </c>
      <c r="Q6465" t="str">
        <f t="shared" si="200"/>
        <v>10-14</v>
      </c>
      <c r="R6465" t="str">
        <f t="shared" si="201"/>
        <v>[lLDyBx5XyUi]|10-14|Male|Incidence_SUBNAT.Rt.T|CY2025Q3</v>
      </c>
    </row>
    <row r="6466" spans="4:18" x14ac:dyDescent="0.2">
      <c r="D6466" t="s">
        <v>99</v>
      </c>
      <c r="E6466" t="s">
        <v>100</v>
      </c>
      <c r="F6466" t="s">
        <v>101</v>
      </c>
      <c r="G6466" t="s">
        <v>222</v>
      </c>
      <c r="H6466" t="s">
        <v>222</v>
      </c>
      <c r="I6466" t="s">
        <v>38</v>
      </c>
      <c r="J6466" t="s">
        <v>39</v>
      </c>
      <c r="K6466" t="s">
        <v>48</v>
      </c>
      <c r="L6466" t="s">
        <v>49</v>
      </c>
      <c r="M6466" t="s">
        <v>220</v>
      </c>
      <c r="N6466">
        <v>1.9601899999999999E-4</v>
      </c>
      <c r="O6466">
        <v>5.6172118E-2</v>
      </c>
      <c r="P6466">
        <v>5.1491666999999998E-2</v>
      </c>
      <c r="Q6466" t="str">
        <f t="shared" si="200"/>
        <v>15-24</v>
      </c>
      <c r="R6466" t="str">
        <f t="shared" si="201"/>
        <v>[lLDyBx5XyUi]|15-24|Male|Incidence_SUBNAT.Rt.T|CY2025Q3</v>
      </c>
    </row>
    <row r="6467" spans="4:18" x14ac:dyDescent="0.2">
      <c r="D6467" t="s">
        <v>99</v>
      </c>
      <c r="E6467" t="s">
        <v>100</v>
      </c>
      <c r="F6467" t="s">
        <v>101</v>
      </c>
      <c r="G6467" t="s">
        <v>222</v>
      </c>
      <c r="H6467" t="s">
        <v>222</v>
      </c>
      <c r="I6467" t="s">
        <v>41</v>
      </c>
      <c r="J6467" t="s">
        <v>42</v>
      </c>
      <c r="K6467" t="s">
        <v>48</v>
      </c>
      <c r="L6467" t="s">
        <v>49</v>
      </c>
      <c r="M6467" t="s">
        <v>220</v>
      </c>
      <c r="N6467">
        <v>1.1032450000000001E-3</v>
      </c>
      <c r="O6467">
        <v>5.6199620999999998E-2</v>
      </c>
      <c r="P6467">
        <v>5.1491666999999998E-2</v>
      </c>
      <c r="Q6467" t="str">
        <f t="shared" ref="Q6467:Q6530" si="202">SUBSTITUTE(SUBSTITUTE($I6467,CHAR(61),""),CHAR(34),"")</f>
        <v>25-34</v>
      </c>
      <c r="R6467" t="str">
        <f t="shared" ref="R6467:R6530" si="203">IF($D6467&lt;&gt;"","["&amp;$E6467&amp;"]"&amp;"|"&amp;$Q6467&amp;"|"&amp;$K6467&amp;"|"&amp;$G6467&amp;"|"&amp;IF($G6467="TX_CURR_SUBNAT.R","CY2023Q4",$M6467),"")</f>
        <v>[lLDyBx5XyUi]|25-34|Male|Incidence_SUBNAT.Rt.T|CY2025Q3</v>
      </c>
    </row>
    <row r="6468" spans="4:18" x14ac:dyDescent="0.2">
      <c r="D6468" t="s">
        <v>99</v>
      </c>
      <c r="E6468" t="s">
        <v>100</v>
      </c>
      <c r="F6468" t="s">
        <v>101</v>
      </c>
      <c r="G6468" t="s">
        <v>222</v>
      </c>
      <c r="H6468" t="s">
        <v>222</v>
      </c>
      <c r="I6468" t="s">
        <v>43</v>
      </c>
      <c r="J6468" t="s">
        <v>44</v>
      </c>
      <c r="K6468" t="s">
        <v>48</v>
      </c>
      <c r="L6468" t="s">
        <v>49</v>
      </c>
      <c r="M6468" t="s">
        <v>220</v>
      </c>
      <c r="N6468">
        <v>1.227206E-3</v>
      </c>
      <c r="O6468">
        <v>5.6348888999999999E-2</v>
      </c>
      <c r="P6468">
        <v>5.1491666999999998E-2</v>
      </c>
      <c r="Q6468" t="str">
        <f t="shared" si="202"/>
        <v>35-49</v>
      </c>
      <c r="R6468" t="str">
        <f t="shared" si="203"/>
        <v>[lLDyBx5XyUi]|35-49|Male|Incidence_SUBNAT.Rt.T|CY2025Q3</v>
      </c>
    </row>
    <row r="6469" spans="4:18" x14ac:dyDescent="0.2">
      <c r="D6469" t="s">
        <v>99</v>
      </c>
      <c r="E6469" t="s">
        <v>100</v>
      </c>
      <c r="F6469" t="s">
        <v>101</v>
      </c>
      <c r="G6469" t="s">
        <v>222</v>
      </c>
      <c r="H6469" t="s">
        <v>222</v>
      </c>
      <c r="I6469" t="s">
        <v>45</v>
      </c>
      <c r="J6469" t="s">
        <v>46</v>
      </c>
      <c r="K6469" t="s">
        <v>48</v>
      </c>
      <c r="L6469" t="s">
        <v>49</v>
      </c>
      <c r="M6469" t="s">
        <v>220</v>
      </c>
      <c r="N6469">
        <v>6.2879799999999997E-4</v>
      </c>
      <c r="O6469">
        <v>5.5564620000000002E-2</v>
      </c>
      <c r="P6469">
        <v>5.1491666999999998E-2</v>
      </c>
      <c r="Q6469" t="str">
        <f t="shared" si="202"/>
        <v>50+</v>
      </c>
      <c r="R6469" t="str">
        <f t="shared" si="203"/>
        <v>[lLDyBx5XyUi]|50+|Male|Incidence_SUBNAT.Rt.T|CY2025Q3</v>
      </c>
    </row>
    <row r="6470" spans="4:18" x14ac:dyDescent="0.2">
      <c r="D6470" t="s">
        <v>102</v>
      </c>
      <c r="E6470" t="s">
        <v>103</v>
      </c>
      <c r="F6470" t="s">
        <v>104</v>
      </c>
      <c r="G6470" t="s">
        <v>222</v>
      </c>
      <c r="H6470" t="s">
        <v>222</v>
      </c>
      <c r="I6470" t="s">
        <v>28</v>
      </c>
      <c r="J6470" t="s">
        <v>29</v>
      </c>
      <c r="K6470" t="s">
        <v>30</v>
      </c>
      <c r="L6470" t="s">
        <v>31</v>
      </c>
      <c r="M6470" t="s">
        <v>220</v>
      </c>
      <c r="N6470">
        <v>1.659322E-3</v>
      </c>
      <c r="O6470">
        <v>6.4712435999999998E-2</v>
      </c>
      <c r="P6470">
        <v>6.9900650999999994E-2</v>
      </c>
      <c r="Q6470" t="str">
        <f t="shared" si="202"/>
        <v>&lt;01</v>
      </c>
      <c r="R6470" t="str">
        <f t="shared" si="203"/>
        <v>[TYnMSwzko3z]|&lt;01|Female|Incidence_SUBNAT.Rt.T|CY2025Q3</v>
      </c>
    </row>
    <row r="6471" spans="4:18" x14ac:dyDescent="0.2">
      <c r="D6471" t="s">
        <v>102</v>
      </c>
      <c r="E6471" t="s">
        <v>103</v>
      </c>
      <c r="F6471" t="s">
        <v>104</v>
      </c>
      <c r="G6471" t="s">
        <v>222</v>
      </c>
      <c r="H6471" t="s">
        <v>222</v>
      </c>
      <c r="I6471" t="s">
        <v>33</v>
      </c>
      <c r="J6471" t="s">
        <v>34</v>
      </c>
      <c r="K6471" t="s">
        <v>30</v>
      </c>
      <c r="L6471" t="s">
        <v>31</v>
      </c>
      <c r="M6471" t="s">
        <v>220</v>
      </c>
      <c r="N6471" s="235" t="s">
        <v>259</v>
      </c>
      <c r="O6471">
        <v>3.2356217999999999E-2</v>
      </c>
      <c r="P6471">
        <v>6.9900650999999994E-2</v>
      </c>
      <c r="Q6471" t="str">
        <f t="shared" si="202"/>
        <v>01-09</v>
      </c>
      <c r="R6471" t="str">
        <f t="shared" si="203"/>
        <v>[TYnMSwzko3z]|01-09|Female|Incidence_SUBNAT.Rt.T|CY2025Q3</v>
      </c>
    </row>
    <row r="6472" spans="4:18" x14ac:dyDescent="0.2">
      <c r="D6472" t="s">
        <v>102</v>
      </c>
      <c r="E6472" t="s">
        <v>103</v>
      </c>
      <c r="F6472" t="s">
        <v>104</v>
      </c>
      <c r="G6472" t="s">
        <v>222</v>
      </c>
      <c r="H6472" t="s">
        <v>222</v>
      </c>
      <c r="I6472" t="s">
        <v>36</v>
      </c>
      <c r="J6472" t="s">
        <v>37</v>
      </c>
      <c r="K6472" t="s">
        <v>30</v>
      </c>
      <c r="L6472" t="s">
        <v>31</v>
      </c>
      <c r="M6472" t="s">
        <v>220</v>
      </c>
      <c r="N6472">
        <v>0</v>
      </c>
      <c r="O6472">
        <v>0</v>
      </c>
      <c r="P6472">
        <v>6.9900650999999994E-2</v>
      </c>
      <c r="Q6472" t="str">
        <f t="shared" si="202"/>
        <v>10-14</v>
      </c>
      <c r="R6472" t="str">
        <f t="shared" si="203"/>
        <v>[TYnMSwzko3z]|10-14|Female|Incidence_SUBNAT.Rt.T|CY2025Q3</v>
      </c>
    </row>
    <row r="6473" spans="4:18" x14ac:dyDescent="0.2">
      <c r="D6473" t="s">
        <v>102</v>
      </c>
      <c r="E6473" t="s">
        <v>103</v>
      </c>
      <c r="F6473" t="s">
        <v>104</v>
      </c>
      <c r="G6473" t="s">
        <v>222</v>
      </c>
      <c r="H6473" t="s">
        <v>222</v>
      </c>
      <c r="I6473" t="s">
        <v>38</v>
      </c>
      <c r="J6473" t="s">
        <v>39</v>
      </c>
      <c r="K6473" t="s">
        <v>30</v>
      </c>
      <c r="L6473" t="s">
        <v>31</v>
      </c>
      <c r="M6473" t="s">
        <v>220</v>
      </c>
      <c r="N6473">
        <v>8.78683E-4</v>
      </c>
      <c r="O6473">
        <v>7.3672214999999999E-2</v>
      </c>
      <c r="P6473">
        <v>6.9900650999999994E-2</v>
      </c>
      <c r="Q6473" t="str">
        <f t="shared" si="202"/>
        <v>15-24</v>
      </c>
      <c r="R6473" t="str">
        <f t="shared" si="203"/>
        <v>[TYnMSwzko3z]|15-24|Female|Incidence_SUBNAT.Rt.T|CY2025Q3</v>
      </c>
    </row>
    <row r="6474" spans="4:18" x14ac:dyDescent="0.2">
      <c r="D6474" t="s">
        <v>102</v>
      </c>
      <c r="E6474" t="s">
        <v>103</v>
      </c>
      <c r="F6474" t="s">
        <v>104</v>
      </c>
      <c r="G6474" t="s">
        <v>222</v>
      </c>
      <c r="H6474" t="s">
        <v>222</v>
      </c>
      <c r="I6474" t="s">
        <v>41</v>
      </c>
      <c r="J6474" t="s">
        <v>42</v>
      </c>
      <c r="K6474" t="s">
        <v>30</v>
      </c>
      <c r="L6474" t="s">
        <v>31</v>
      </c>
      <c r="M6474" t="s">
        <v>220</v>
      </c>
      <c r="N6474">
        <v>1.3415460000000001E-3</v>
      </c>
      <c r="O6474">
        <v>7.3981772000000001E-2</v>
      </c>
      <c r="P6474">
        <v>6.9900650999999994E-2</v>
      </c>
      <c r="Q6474" t="str">
        <f t="shared" si="202"/>
        <v>25-34</v>
      </c>
      <c r="R6474" t="str">
        <f t="shared" si="203"/>
        <v>[TYnMSwzko3z]|25-34|Female|Incidence_SUBNAT.Rt.T|CY2025Q3</v>
      </c>
    </row>
    <row r="6475" spans="4:18" x14ac:dyDescent="0.2">
      <c r="D6475" t="s">
        <v>102</v>
      </c>
      <c r="E6475" t="s">
        <v>103</v>
      </c>
      <c r="F6475" t="s">
        <v>104</v>
      </c>
      <c r="G6475" t="s">
        <v>222</v>
      </c>
      <c r="H6475" t="s">
        <v>222</v>
      </c>
      <c r="I6475" t="s">
        <v>43</v>
      </c>
      <c r="J6475" t="s">
        <v>44</v>
      </c>
      <c r="K6475" t="s">
        <v>30</v>
      </c>
      <c r="L6475" t="s">
        <v>31</v>
      </c>
      <c r="M6475" t="s">
        <v>220</v>
      </c>
      <c r="N6475">
        <v>7.0162200000000005E-4</v>
      </c>
      <c r="O6475">
        <v>7.4234856000000002E-2</v>
      </c>
      <c r="P6475">
        <v>6.9900650999999994E-2</v>
      </c>
      <c r="Q6475" t="str">
        <f t="shared" si="202"/>
        <v>35-49</v>
      </c>
      <c r="R6475" t="str">
        <f t="shared" si="203"/>
        <v>[TYnMSwzko3z]|35-49|Female|Incidence_SUBNAT.Rt.T|CY2025Q3</v>
      </c>
    </row>
    <row r="6476" spans="4:18" x14ac:dyDescent="0.2">
      <c r="D6476" t="s">
        <v>102</v>
      </c>
      <c r="E6476" t="s">
        <v>103</v>
      </c>
      <c r="F6476" t="s">
        <v>104</v>
      </c>
      <c r="G6476" t="s">
        <v>222</v>
      </c>
      <c r="H6476" t="s">
        <v>222</v>
      </c>
      <c r="I6476" t="s">
        <v>45</v>
      </c>
      <c r="J6476" t="s">
        <v>46</v>
      </c>
      <c r="K6476" t="s">
        <v>30</v>
      </c>
      <c r="L6476" t="s">
        <v>31</v>
      </c>
      <c r="M6476" t="s">
        <v>220</v>
      </c>
      <c r="N6476">
        <v>1.82466E-4</v>
      </c>
      <c r="O6476">
        <v>7.1642920999999998E-2</v>
      </c>
      <c r="P6476">
        <v>6.9900650999999994E-2</v>
      </c>
      <c r="Q6476" t="str">
        <f t="shared" si="202"/>
        <v>50+</v>
      </c>
      <c r="R6476" t="str">
        <f t="shared" si="203"/>
        <v>[TYnMSwzko3z]|50+|Female|Incidence_SUBNAT.Rt.T|CY2025Q3</v>
      </c>
    </row>
    <row r="6477" spans="4:18" x14ac:dyDescent="0.2">
      <c r="D6477" t="s">
        <v>102</v>
      </c>
      <c r="E6477" t="s">
        <v>103</v>
      </c>
      <c r="F6477" t="s">
        <v>104</v>
      </c>
      <c r="G6477" t="s">
        <v>222</v>
      </c>
      <c r="H6477" t="s">
        <v>222</v>
      </c>
      <c r="I6477" t="s">
        <v>28</v>
      </c>
      <c r="J6477" t="s">
        <v>29</v>
      </c>
      <c r="K6477" t="s">
        <v>48</v>
      </c>
      <c r="L6477" t="s">
        <v>49</v>
      </c>
      <c r="M6477" t="s">
        <v>220</v>
      </c>
      <c r="N6477">
        <v>1.664816E-3</v>
      </c>
      <c r="O6477">
        <v>6.4712435999999998E-2</v>
      </c>
      <c r="P6477">
        <v>6.9900650999999994E-2</v>
      </c>
      <c r="Q6477" t="str">
        <f t="shared" si="202"/>
        <v>&lt;01</v>
      </c>
      <c r="R6477" t="str">
        <f t="shared" si="203"/>
        <v>[TYnMSwzko3z]|&lt;01|Male|Incidence_SUBNAT.Rt.T|CY2025Q3</v>
      </c>
    </row>
    <row r="6478" spans="4:18" x14ac:dyDescent="0.2">
      <c r="D6478" t="s">
        <v>102</v>
      </c>
      <c r="E6478" t="s">
        <v>103</v>
      </c>
      <c r="F6478" t="s">
        <v>104</v>
      </c>
      <c r="G6478" t="s">
        <v>222</v>
      </c>
      <c r="H6478" t="s">
        <v>222</v>
      </c>
      <c r="I6478" t="s">
        <v>33</v>
      </c>
      <c r="J6478" t="s">
        <v>34</v>
      </c>
      <c r="K6478" t="s">
        <v>48</v>
      </c>
      <c r="L6478" t="s">
        <v>49</v>
      </c>
      <c r="M6478" t="s">
        <v>220</v>
      </c>
      <c r="N6478" s="235" t="s">
        <v>260</v>
      </c>
      <c r="O6478">
        <v>3.2356217999999999E-2</v>
      </c>
      <c r="P6478">
        <v>6.9900650999999994E-2</v>
      </c>
      <c r="Q6478" t="str">
        <f t="shared" si="202"/>
        <v>01-09</v>
      </c>
      <c r="R6478" t="str">
        <f t="shared" si="203"/>
        <v>[TYnMSwzko3z]|01-09|Male|Incidence_SUBNAT.Rt.T|CY2025Q3</v>
      </c>
    </row>
    <row r="6479" spans="4:18" x14ac:dyDescent="0.2">
      <c r="D6479" t="s">
        <v>102</v>
      </c>
      <c r="E6479" t="s">
        <v>103</v>
      </c>
      <c r="F6479" t="s">
        <v>104</v>
      </c>
      <c r="G6479" t="s">
        <v>222</v>
      </c>
      <c r="H6479" t="s">
        <v>222</v>
      </c>
      <c r="I6479" t="s">
        <v>36</v>
      </c>
      <c r="J6479" t="s">
        <v>37</v>
      </c>
      <c r="K6479" t="s">
        <v>48</v>
      </c>
      <c r="L6479" t="s">
        <v>49</v>
      </c>
      <c r="M6479" t="s">
        <v>220</v>
      </c>
      <c r="N6479">
        <v>0</v>
      </c>
      <c r="O6479">
        <v>0</v>
      </c>
      <c r="P6479">
        <v>6.9900650999999994E-2</v>
      </c>
      <c r="Q6479" t="str">
        <f t="shared" si="202"/>
        <v>10-14</v>
      </c>
      <c r="R6479" t="str">
        <f t="shared" si="203"/>
        <v>[TYnMSwzko3z]|10-14|Male|Incidence_SUBNAT.Rt.T|CY2025Q3</v>
      </c>
    </row>
    <row r="6480" spans="4:18" x14ac:dyDescent="0.2">
      <c r="D6480" t="s">
        <v>102</v>
      </c>
      <c r="E6480" t="s">
        <v>103</v>
      </c>
      <c r="F6480" t="s">
        <v>104</v>
      </c>
      <c r="G6480" t="s">
        <v>222</v>
      </c>
      <c r="H6480" t="s">
        <v>222</v>
      </c>
      <c r="I6480" t="s">
        <v>38</v>
      </c>
      <c r="J6480" t="s">
        <v>39</v>
      </c>
      <c r="K6480" t="s">
        <v>48</v>
      </c>
      <c r="L6480" t="s">
        <v>49</v>
      </c>
      <c r="M6480" t="s">
        <v>220</v>
      </c>
      <c r="N6480">
        <v>1.4299700000000001E-4</v>
      </c>
      <c r="O6480">
        <v>7.3811552000000002E-2</v>
      </c>
      <c r="P6480">
        <v>6.9900650999999994E-2</v>
      </c>
      <c r="Q6480" t="str">
        <f t="shared" si="202"/>
        <v>15-24</v>
      </c>
      <c r="R6480" t="str">
        <f t="shared" si="203"/>
        <v>[TYnMSwzko3z]|15-24|Male|Incidence_SUBNAT.Rt.T|CY2025Q3</v>
      </c>
    </row>
    <row r="6481" spans="4:18" x14ac:dyDescent="0.2">
      <c r="D6481" t="s">
        <v>102</v>
      </c>
      <c r="E6481" t="s">
        <v>103</v>
      </c>
      <c r="F6481" t="s">
        <v>104</v>
      </c>
      <c r="G6481" t="s">
        <v>222</v>
      </c>
      <c r="H6481" t="s">
        <v>222</v>
      </c>
      <c r="I6481" t="s">
        <v>41</v>
      </c>
      <c r="J6481" t="s">
        <v>42</v>
      </c>
      <c r="K6481" t="s">
        <v>48</v>
      </c>
      <c r="L6481" t="s">
        <v>49</v>
      </c>
      <c r="M6481" t="s">
        <v>220</v>
      </c>
      <c r="N6481">
        <v>8.0083499999999996E-4</v>
      </c>
      <c r="O6481">
        <v>7.3785305999999995E-2</v>
      </c>
      <c r="P6481">
        <v>6.9900650999999994E-2</v>
      </c>
      <c r="Q6481" t="str">
        <f t="shared" si="202"/>
        <v>25-34</v>
      </c>
      <c r="R6481" t="str">
        <f t="shared" si="203"/>
        <v>[TYnMSwzko3z]|25-34|Male|Incidence_SUBNAT.Rt.T|CY2025Q3</v>
      </c>
    </row>
    <row r="6482" spans="4:18" x14ac:dyDescent="0.2">
      <c r="D6482" t="s">
        <v>102</v>
      </c>
      <c r="E6482" t="s">
        <v>103</v>
      </c>
      <c r="F6482" t="s">
        <v>104</v>
      </c>
      <c r="G6482" t="s">
        <v>222</v>
      </c>
      <c r="H6482" t="s">
        <v>222</v>
      </c>
      <c r="I6482" t="s">
        <v>43</v>
      </c>
      <c r="J6482" t="s">
        <v>44</v>
      </c>
      <c r="K6482" t="s">
        <v>48</v>
      </c>
      <c r="L6482" t="s">
        <v>49</v>
      </c>
      <c r="M6482" t="s">
        <v>220</v>
      </c>
      <c r="N6482">
        <v>8.8905799999999997E-4</v>
      </c>
      <c r="O6482">
        <v>7.3960239999999997E-2</v>
      </c>
      <c r="P6482">
        <v>6.9900650999999994E-2</v>
      </c>
      <c r="Q6482" t="str">
        <f t="shared" si="202"/>
        <v>35-49</v>
      </c>
      <c r="R6482" t="str">
        <f t="shared" si="203"/>
        <v>[TYnMSwzko3z]|35-49|Male|Incidence_SUBNAT.Rt.T|CY2025Q3</v>
      </c>
    </row>
    <row r="6483" spans="4:18" x14ac:dyDescent="0.2">
      <c r="D6483" t="s">
        <v>102</v>
      </c>
      <c r="E6483" t="s">
        <v>103</v>
      </c>
      <c r="F6483" t="s">
        <v>104</v>
      </c>
      <c r="G6483" t="s">
        <v>222</v>
      </c>
      <c r="H6483" t="s">
        <v>222</v>
      </c>
      <c r="I6483" t="s">
        <v>45</v>
      </c>
      <c r="J6483" t="s">
        <v>46</v>
      </c>
      <c r="K6483" t="s">
        <v>48</v>
      </c>
      <c r="L6483" t="s">
        <v>49</v>
      </c>
      <c r="M6483" t="s">
        <v>220</v>
      </c>
      <c r="N6483">
        <v>4.5400900000000001E-4</v>
      </c>
      <c r="O6483">
        <v>7.2919179000000001E-2</v>
      </c>
      <c r="P6483">
        <v>6.9900650999999994E-2</v>
      </c>
      <c r="Q6483" t="str">
        <f t="shared" si="202"/>
        <v>50+</v>
      </c>
      <c r="R6483" t="str">
        <f t="shared" si="203"/>
        <v>[TYnMSwzko3z]|50+|Male|Incidence_SUBNAT.Rt.T|CY2025Q3</v>
      </c>
    </row>
    <row r="6484" spans="4:18" x14ac:dyDescent="0.2">
      <c r="D6484" t="s">
        <v>105</v>
      </c>
      <c r="E6484" t="s">
        <v>106</v>
      </c>
      <c r="F6484" t="s">
        <v>107</v>
      </c>
      <c r="G6484" t="s">
        <v>222</v>
      </c>
      <c r="H6484" t="s">
        <v>222</v>
      </c>
      <c r="I6484" t="s">
        <v>28</v>
      </c>
      <c r="J6484" t="s">
        <v>29</v>
      </c>
      <c r="K6484" t="s">
        <v>30</v>
      </c>
      <c r="L6484" t="s">
        <v>31</v>
      </c>
      <c r="M6484" t="s">
        <v>220</v>
      </c>
      <c r="N6484">
        <v>2.8042129999999998E-3</v>
      </c>
      <c r="O6484">
        <v>3.9349674000000001E-2</v>
      </c>
      <c r="P6484">
        <v>4.5552454999999999E-2</v>
      </c>
      <c r="Q6484" t="str">
        <f t="shared" si="202"/>
        <v>&lt;01</v>
      </c>
      <c r="R6484" t="str">
        <f t="shared" si="203"/>
        <v>[fyEoGEPERdI]|&lt;01|Female|Incidence_SUBNAT.Rt.T|CY2025Q3</v>
      </c>
    </row>
    <row r="6485" spans="4:18" x14ac:dyDescent="0.2">
      <c r="D6485" t="s">
        <v>105</v>
      </c>
      <c r="E6485" t="s">
        <v>106</v>
      </c>
      <c r="F6485" t="s">
        <v>107</v>
      </c>
      <c r="G6485" t="s">
        <v>222</v>
      </c>
      <c r="H6485" t="s">
        <v>222</v>
      </c>
      <c r="I6485" t="s">
        <v>33</v>
      </c>
      <c r="J6485" t="s">
        <v>34</v>
      </c>
      <c r="K6485" t="s">
        <v>30</v>
      </c>
      <c r="L6485" t="s">
        <v>31</v>
      </c>
      <c r="M6485" t="s">
        <v>220</v>
      </c>
      <c r="N6485" s="235" t="s">
        <v>261</v>
      </c>
      <c r="O6485">
        <v>1.9674837000000001E-2</v>
      </c>
      <c r="P6485">
        <v>4.5552454999999999E-2</v>
      </c>
      <c r="Q6485" t="str">
        <f t="shared" si="202"/>
        <v>01-09</v>
      </c>
      <c r="R6485" t="str">
        <f t="shared" si="203"/>
        <v>[fyEoGEPERdI]|01-09|Female|Incidence_SUBNAT.Rt.T|CY2025Q3</v>
      </c>
    </row>
    <row r="6486" spans="4:18" x14ac:dyDescent="0.2">
      <c r="D6486" t="s">
        <v>105</v>
      </c>
      <c r="E6486" t="s">
        <v>106</v>
      </c>
      <c r="F6486" t="s">
        <v>107</v>
      </c>
      <c r="G6486" t="s">
        <v>222</v>
      </c>
      <c r="H6486" t="s">
        <v>222</v>
      </c>
      <c r="I6486" t="s">
        <v>36</v>
      </c>
      <c r="J6486" t="s">
        <v>37</v>
      </c>
      <c r="K6486" t="s">
        <v>30</v>
      </c>
      <c r="L6486" t="s">
        <v>31</v>
      </c>
      <c r="M6486" t="s">
        <v>220</v>
      </c>
      <c r="N6486">
        <v>0</v>
      </c>
      <c r="O6486">
        <v>0</v>
      </c>
      <c r="P6486">
        <v>4.5552454999999999E-2</v>
      </c>
      <c r="Q6486" t="str">
        <f t="shared" si="202"/>
        <v>10-14</v>
      </c>
      <c r="R6486" t="str">
        <f t="shared" si="203"/>
        <v>[fyEoGEPERdI]|10-14|Female|Incidence_SUBNAT.Rt.T|CY2025Q3</v>
      </c>
    </row>
    <row r="6487" spans="4:18" x14ac:dyDescent="0.2">
      <c r="D6487" t="s">
        <v>105</v>
      </c>
      <c r="E6487" t="s">
        <v>106</v>
      </c>
      <c r="F6487" t="s">
        <v>107</v>
      </c>
      <c r="G6487" t="s">
        <v>222</v>
      </c>
      <c r="H6487" t="s">
        <v>222</v>
      </c>
      <c r="I6487" t="s">
        <v>38</v>
      </c>
      <c r="J6487" t="s">
        <v>39</v>
      </c>
      <c r="K6487" t="s">
        <v>30</v>
      </c>
      <c r="L6487" t="s">
        <v>31</v>
      </c>
      <c r="M6487" t="s">
        <v>220</v>
      </c>
      <c r="N6487">
        <v>1.660686E-3</v>
      </c>
      <c r="O6487">
        <v>4.8723427999999999E-2</v>
      </c>
      <c r="P6487">
        <v>4.5552454999999999E-2</v>
      </c>
      <c r="Q6487" t="str">
        <f t="shared" si="202"/>
        <v>15-24</v>
      </c>
      <c r="R6487" t="str">
        <f t="shared" si="203"/>
        <v>[fyEoGEPERdI]|15-24|Female|Incidence_SUBNAT.Rt.T|CY2025Q3</v>
      </c>
    </row>
    <row r="6488" spans="4:18" x14ac:dyDescent="0.2">
      <c r="D6488" t="s">
        <v>105</v>
      </c>
      <c r="E6488" t="s">
        <v>106</v>
      </c>
      <c r="F6488" t="s">
        <v>107</v>
      </c>
      <c r="G6488" t="s">
        <v>222</v>
      </c>
      <c r="H6488" t="s">
        <v>222</v>
      </c>
      <c r="I6488" t="s">
        <v>41</v>
      </c>
      <c r="J6488" t="s">
        <v>42</v>
      </c>
      <c r="K6488" t="s">
        <v>30</v>
      </c>
      <c r="L6488" t="s">
        <v>31</v>
      </c>
      <c r="M6488" t="s">
        <v>220</v>
      </c>
      <c r="N6488">
        <v>2.5527729999999999E-3</v>
      </c>
      <c r="O6488">
        <v>4.8844561000000002E-2</v>
      </c>
      <c r="P6488">
        <v>4.5552454999999999E-2</v>
      </c>
      <c r="Q6488" t="str">
        <f t="shared" si="202"/>
        <v>25-34</v>
      </c>
      <c r="R6488" t="str">
        <f t="shared" si="203"/>
        <v>[fyEoGEPERdI]|25-34|Female|Incidence_SUBNAT.Rt.T|CY2025Q3</v>
      </c>
    </row>
    <row r="6489" spans="4:18" x14ac:dyDescent="0.2">
      <c r="D6489" t="s">
        <v>105</v>
      </c>
      <c r="E6489" t="s">
        <v>106</v>
      </c>
      <c r="F6489" t="s">
        <v>107</v>
      </c>
      <c r="G6489" t="s">
        <v>222</v>
      </c>
      <c r="H6489" t="s">
        <v>222</v>
      </c>
      <c r="I6489" t="s">
        <v>43</v>
      </c>
      <c r="J6489" t="s">
        <v>44</v>
      </c>
      <c r="K6489" t="s">
        <v>30</v>
      </c>
      <c r="L6489" t="s">
        <v>31</v>
      </c>
      <c r="M6489" t="s">
        <v>220</v>
      </c>
      <c r="N6489">
        <v>1.299295E-3</v>
      </c>
      <c r="O6489">
        <v>5.3096006000000001E-2</v>
      </c>
      <c r="P6489">
        <v>4.5552454999999999E-2</v>
      </c>
      <c r="Q6489" t="str">
        <f t="shared" si="202"/>
        <v>35-49</v>
      </c>
      <c r="R6489" t="str">
        <f t="shared" si="203"/>
        <v>[fyEoGEPERdI]|35-49|Female|Incidence_SUBNAT.Rt.T|CY2025Q3</v>
      </c>
    </row>
    <row r="6490" spans="4:18" x14ac:dyDescent="0.2">
      <c r="D6490" t="s">
        <v>105</v>
      </c>
      <c r="E6490" t="s">
        <v>106</v>
      </c>
      <c r="F6490" t="s">
        <v>107</v>
      </c>
      <c r="G6490" t="s">
        <v>222</v>
      </c>
      <c r="H6490" t="s">
        <v>222</v>
      </c>
      <c r="I6490" t="s">
        <v>45</v>
      </c>
      <c r="J6490" t="s">
        <v>46</v>
      </c>
      <c r="K6490" t="s">
        <v>30</v>
      </c>
      <c r="L6490" t="s">
        <v>31</v>
      </c>
      <c r="M6490" t="s">
        <v>220</v>
      </c>
      <c r="N6490">
        <v>3.2581E-4</v>
      </c>
      <c r="O6490">
        <v>5.4146027999999999E-2</v>
      </c>
      <c r="P6490">
        <v>4.5552454999999999E-2</v>
      </c>
      <c r="Q6490" t="str">
        <f t="shared" si="202"/>
        <v>50+</v>
      </c>
      <c r="R6490" t="str">
        <f t="shared" si="203"/>
        <v>[fyEoGEPERdI]|50+|Female|Incidence_SUBNAT.Rt.T|CY2025Q3</v>
      </c>
    </row>
    <row r="6491" spans="4:18" x14ac:dyDescent="0.2">
      <c r="D6491" t="s">
        <v>105</v>
      </c>
      <c r="E6491" t="s">
        <v>106</v>
      </c>
      <c r="F6491" t="s">
        <v>107</v>
      </c>
      <c r="G6491" t="s">
        <v>222</v>
      </c>
      <c r="H6491" t="s">
        <v>222</v>
      </c>
      <c r="I6491" t="s">
        <v>28</v>
      </c>
      <c r="J6491" t="s">
        <v>29</v>
      </c>
      <c r="K6491" t="s">
        <v>48</v>
      </c>
      <c r="L6491" t="s">
        <v>49</v>
      </c>
      <c r="M6491" t="s">
        <v>220</v>
      </c>
      <c r="N6491">
        <v>2.8152580000000002E-3</v>
      </c>
      <c r="O6491">
        <v>3.9281997999999999E-2</v>
      </c>
      <c r="P6491">
        <v>4.5552454999999999E-2</v>
      </c>
      <c r="Q6491" t="str">
        <f t="shared" si="202"/>
        <v>&lt;01</v>
      </c>
      <c r="R6491" t="str">
        <f t="shared" si="203"/>
        <v>[fyEoGEPERdI]|&lt;01|Male|Incidence_SUBNAT.Rt.T|CY2025Q3</v>
      </c>
    </row>
    <row r="6492" spans="4:18" x14ac:dyDescent="0.2">
      <c r="D6492" t="s">
        <v>105</v>
      </c>
      <c r="E6492" t="s">
        <v>106</v>
      </c>
      <c r="F6492" t="s">
        <v>107</v>
      </c>
      <c r="G6492" t="s">
        <v>222</v>
      </c>
      <c r="H6492" t="s">
        <v>222</v>
      </c>
      <c r="I6492" t="s">
        <v>33</v>
      </c>
      <c r="J6492" t="s">
        <v>34</v>
      </c>
      <c r="K6492" t="s">
        <v>48</v>
      </c>
      <c r="L6492" t="s">
        <v>49</v>
      </c>
      <c r="M6492" t="s">
        <v>220</v>
      </c>
      <c r="N6492" s="235" t="s">
        <v>262</v>
      </c>
      <c r="O6492">
        <v>1.9640998999999999E-2</v>
      </c>
      <c r="P6492">
        <v>4.5552454999999999E-2</v>
      </c>
      <c r="Q6492" t="str">
        <f t="shared" si="202"/>
        <v>01-09</v>
      </c>
      <c r="R6492" t="str">
        <f t="shared" si="203"/>
        <v>[fyEoGEPERdI]|01-09|Male|Incidence_SUBNAT.Rt.T|CY2025Q3</v>
      </c>
    </row>
    <row r="6493" spans="4:18" x14ac:dyDescent="0.2">
      <c r="D6493" t="s">
        <v>105</v>
      </c>
      <c r="E6493" t="s">
        <v>106</v>
      </c>
      <c r="F6493" t="s">
        <v>107</v>
      </c>
      <c r="G6493" t="s">
        <v>222</v>
      </c>
      <c r="H6493" t="s">
        <v>222</v>
      </c>
      <c r="I6493" t="s">
        <v>36</v>
      </c>
      <c r="J6493" t="s">
        <v>37</v>
      </c>
      <c r="K6493" t="s">
        <v>48</v>
      </c>
      <c r="L6493" t="s">
        <v>49</v>
      </c>
      <c r="M6493" t="s">
        <v>220</v>
      </c>
      <c r="N6493">
        <v>0</v>
      </c>
      <c r="O6493">
        <v>0</v>
      </c>
      <c r="P6493">
        <v>4.5552454999999999E-2</v>
      </c>
      <c r="Q6493" t="str">
        <f t="shared" si="202"/>
        <v>10-14</v>
      </c>
      <c r="R6493" t="str">
        <f t="shared" si="203"/>
        <v>[fyEoGEPERdI]|10-14|Male|Incidence_SUBNAT.Rt.T|CY2025Q3</v>
      </c>
    </row>
    <row r="6494" spans="4:18" x14ac:dyDescent="0.2">
      <c r="D6494" t="s">
        <v>105</v>
      </c>
      <c r="E6494" t="s">
        <v>106</v>
      </c>
      <c r="F6494" t="s">
        <v>107</v>
      </c>
      <c r="G6494" t="s">
        <v>222</v>
      </c>
      <c r="H6494" t="s">
        <v>222</v>
      </c>
      <c r="I6494" t="s">
        <v>38</v>
      </c>
      <c r="J6494" t="s">
        <v>39</v>
      </c>
      <c r="K6494" t="s">
        <v>48</v>
      </c>
      <c r="L6494" t="s">
        <v>49</v>
      </c>
      <c r="M6494" t="s">
        <v>220</v>
      </c>
      <c r="N6494">
        <v>2.8646900000000002E-4</v>
      </c>
      <c r="O6494">
        <v>4.8596497000000002E-2</v>
      </c>
      <c r="P6494">
        <v>4.5552454999999999E-2</v>
      </c>
      <c r="Q6494" t="str">
        <f t="shared" si="202"/>
        <v>15-24</v>
      </c>
      <c r="R6494" t="str">
        <f t="shared" si="203"/>
        <v>[fyEoGEPERdI]|15-24|Male|Incidence_SUBNAT.Rt.T|CY2025Q3</v>
      </c>
    </row>
    <row r="6495" spans="4:18" x14ac:dyDescent="0.2">
      <c r="D6495" t="s">
        <v>105</v>
      </c>
      <c r="E6495" t="s">
        <v>106</v>
      </c>
      <c r="F6495" t="s">
        <v>107</v>
      </c>
      <c r="G6495" t="s">
        <v>222</v>
      </c>
      <c r="H6495" t="s">
        <v>222</v>
      </c>
      <c r="I6495" t="s">
        <v>41</v>
      </c>
      <c r="J6495" t="s">
        <v>42</v>
      </c>
      <c r="K6495" t="s">
        <v>48</v>
      </c>
      <c r="L6495" t="s">
        <v>49</v>
      </c>
      <c r="M6495" t="s">
        <v>220</v>
      </c>
      <c r="N6495">
        <v>1.5440059999999999E-3</v>
      </c>
      <c r="O6495">
        <v>4.7809308000000002E-2</v>
      </c>
      <c r="P6495">
        <v>4.5552454999999999E-2</v>
      </c>
      <c r="Q6495" t="str">
        <f t="shared" si="202"/>
        <v>25-34</v>
      </c>
      <c r="R6495" t="str">
        <f t="shared" si="203"/>
        <v>[fyEoGEPERdI]|25-34|Male|Incidence_SUBNAT.Rt.T|CY2025Q3</v>
      </c>
    </row>
    <row r="6496" spans="4:18" x14ac:dyDescent="0.2">
      <c r="D6496" t="s">
        <v>105</v>
      </c>
      <c r="E6496" t="s">
        <v>106</v>
      </c>
      <c r="F6496" t="s">
        <v>107</v>
      </c>
      <c r="G6496" t="s">
        <v>222</v>
      </c>
      <c r="H6496" t="s">
        <v>222</v>
      </c>
      <c r="I6496" t="s">
        <v>43</v>
      </c>
      <c r="J6496" t="s">
        <v>44</v>
      </c>
      <c r="K6496" t="s">
        <v>48</v>
      </c>
      <c r="L6496" t="s">
        <v>49</v>
      </c>
      <c r="M6496" t="s">
        <v>220</v>
      </c>
      <c r="N6496">
        <v>1.683836E-3</v>
      </c>
      <c r="O6496">
        <v>4.9804714E-2</v>
      </c>
      <c r="P6496">
        <v>4.5552454999999999E-2</v>
      </c>
      <c r="Q6496" t="str">
        <f t="shared" si="202"/>
        <v>35-49</v>
      </c>
      <c r="R6496" t="str">
        <f t="shared" si="203"/>
        <v>[fyEoGEPERdI]|35-49|Male|Incidence_SUBNAT.Rt.T|CY2025Q3</v>
      </c>
    </row>
    <row r="6497" spans="4:18" x14ac:dyDescent="0.2">
      <c r="D6497" t="s">
        <v>105</v>
      </c>
      <c r="E6497" t="s">
        <v>106</v>
      </c>
      <c r="F6497" t="s">
        <v>107</v>
      </c>
      <c r="G6497" t="s">
        <v>222</v>
      </c>
      <c r="H6497" t="s">
        <v>222</v>
      </c>
      <c r="I6497" t="s">
        <v>45</v>
      </c>
      <c r="J6497" t="s">
        <v>46</v>
      </c>
      <c r="K6497" t="s">
        <v>48</v>
      </c>
      <c r="L6497" t="s">
        <v>49</v>
      </c>
      <c r="M6497" t="s">
        <v>220</v>
      </c>
      <c r="N6497">
        <v>8.1668500000000005E-4</v>
      </c>
      <c r="O6497">
        <v>5.3030262000000002E-2</v>
      </c>
      <c r="P6497">
        <v>4.5552454999999999E-2</v>
      </c>
      <c r="Q6497" t="str">
        <f t="shared" si="202"/>
        <v>50+</v>
      </c>
      <c r="R6497" t="str">
        <f t="shared" si="203"/>
        <v>[fyEoGEPERdI]|50+|Male|Incidence_SUBNAT.Rt.T|CY2025Q3</v>
      </c>
    </row>
    <row r="6498" spans="4:18" x14ac:dyDescent="0.2">
      <c r="D6498" t="s">
        <v>108</v>
      </c>
      <c r="E6498" t="s">
        <v>109</v>
      </c>
      <c r="F6498" t="s">
        <v>110</v>
      </c>
      <c r="G6498" t="s">
        <v>222</v>
      </c>
      <c r="H6498" t="s">
        <v>222</v>
      </c>
      <c r="I6498" t="s">
        <v>28</v>
      </c>
      <c r="J6498" t="s">
        <v>29</v>
      </c>
      <c r="K6498" t="s">
        <v>30</v>
      </c>
      <c r="L6498" t="s">
        <v>31</v>
      </c>
      <c r="M6498" t="s">
        <v>220</v>
      </c>
      <c r="N6498">
        <v>3.2769209999999999E-3</v>
      </c>
      <c r="O6498">
        <v>4.468221E-2</v>
      </c>
      <c r="P6498">
        <v>4.7322125999999999E-2</v>
      </c>
      <c r="Q6498" t="str">
        <f t="shared" si="202"/>
        <v>&lt;01</v>
      </c>
      <c r="R6498" t="str">
        <f t="shared" si="203"/>
        <v>[umc2n1Z4wNv]|&lt;01|Female|Incidence_SUBNAT.Rt.T|CY2025Q3</v>
      </c>
    </row>
    <row r="6499" spans="4:18" x14ac:dyDescent="0.2">
      <c r="D6499" t="s">
        <v>108</v>
      </c>
      <c r="E6499" t="s">
        <v>109</v>
      </c>
      <c r="F6499" t="s">
        <v>110</v>
      </c>
      <c r="G6499" t="s">
        <v>222</v>
      </c>
      <c r="H6499" t="s">
        <v>222</v>
      </c>
      <c r="I6499" t="s">
        <v>33</v>
      </c>
      <c r="J6499" t="s">
        <v>34</v>
      </c>
      <c r="K6499" t="s">
        <v>30</v>
      </c>
      <c r="L6499" t="s">
        <v>31</v>
      </c>
      <c r="M6499" t="s">
        <v>220</v>
      </c>
      <c r="N6499" s="235" t="s">
        <v>263</v>
      </c>
      <c r="O6499">
        <v>2.2341105E-2</v>
      </c>
      <c r="P6499">
        <v>4.7322125999999999E-2</v>
      </c>
      <c r="Q6499" t="str">
        <f t="shared" si="202"/>
        <v>01-09</v>
      </c>
      <c r="R6499" t="str">
        <f t="shared" si="203"/>
        <v>[umc2n1Z4wNv]|01-09|Female|Incidence_SUBNAT.Rt.T|CY2025Q3</v>
      </c>
    </row>
    <row r="6500" spans="4:18" x14ac:dyDescent="0.2">
      <c r="D6500" t="s">
        <v>108</v>
      </c>
      <c r="E6500" t="s">
        <v>109</v>
      </c>
      <c r="F6500" t="s">
        <v>110</v>
      </c>
      <c r="G6500" t="s">
        <v>222</v>
      </c>
      <c r="H6500" t="s">
        <v>222</v>
      </c>
      <c r="I6500" t="s">
        <v>36</v>
      </c>
      <c r="J6500" t="s">
        <v>37</v>
      </c>
      <c r="K6500" t="s">
        <v>30</v>
      </c>
      <c r="L6500" t="s">
        <v>31</v>
      </c>
      <c r="M6500" t="s">
        <v>220</v>
      </c>
      <c r="N6500">
        <v>0</v>
      </c>
      <c r="O6500">
        <v>0</v>
      </c>
      <c r="P6500">
        <v>4.7322125999999999E-2</v>
      </c>
      <c r="Q6500" t="str">
        <f t="shared" si="202"/>
        <v>10-14</v>
      </c>
      <c r="R6500" t="str">
        <f t="shared" si="203"/>
        <v>[umc2n1Z4wNv]|10-14|Female|Incidence_SUBNAT.Rt.T|CY2025Q3</v>
      </c>
    </row>
    <row r="6501" spans="4:18" x14ac:dyDescent="0.2">
      <c r="D6501" t="s">
        <v>108</v>
      </c>
      <c r="E6501" t="s">
        <v>109</v>
      </c>
      <c r="F6501" t="s">
        <v>110</v>
      </c>
      <c r="G6501" t="s">
        <v>222</v>
      </c>
      <c r="H6501" t="s">
        <v>222</v>
      </c>
      <c r="I6501" t="s">
        <v>38</v>
      </c>
      <c r="J6501" t="s">
        <v>39</v>
      </c>
      <c r="K6501" t="s">
        <v>30</v>
      </c>
      <c r="L6501" t="s">
        <v>31</v>
      </c>
      <c r="M6501" t="s">
        <v>220</v>
      </c>
      <c r="N6501">
        <v>1.7982250000000001E-3</v>
      </c>
      <c r="O6501">
        <v>5.0323831999999999E-2</v>
      </c>
      <c r="P6501">
        <v>4.7322125999999999E-2</v>
      </c>
      <c r="Q6501" t="str">
        <f t="shared" si="202"/>
        <v>15-24</v>
      </c>
      <c r="R6501" t="str">
        <f t="shared" si="203"/>
        <v>[umc2n1Z4wNv]|15-24|Female|Incidence_SUBNAT.Rt.T|CY2025Q3</v>
      </c>
    </row>
    <row r="6502" spans="4:18" x14ac:dyDescent="0.2">
      <c r="D6502" t="s">
        <v>108</v>
      </c>
      <c r="E6502" t="s">
        <v>109</v>
      </c>
      <c r="F6502" t="s">
        <v>110</v>
      </c>
      <c r="G6502" t="s">
        <v>222</v>
      </c>
      <c r="H6502" t="s">
        <v>222</v>
      </c>
      <c r="I6502" t="s">
        <v>41</v>
      </c>
      <c r="J6502" t="s">
        <v>42</v>
      </c>
      <c r="K6502" t="s">
        <v>30</v>
      </c>
      <c r="L6502" t="s">
        <v>31</v>
      </c>
      <c r="M6502" t="s">
        <v>220</v>
      </c>
      <c r="N6502">
        <v>2.7731019999999999E-3</v>
      </c>
      <c r="O6502">
        <v>5.0904190000000002E-2</v>
      </c>
      <c r="P6502">
        <v>4.7322125999999999E-2</v>
      </c>
      <c r="Q6502" t="str">
        <f t="shared" si="202"/>
        <v>25-34</v>
      </c>
      <c r="R6502" t="str">
        <f t="shared" si="203"/>
        <v>[umc2n1Z4wNv]|25-34|Female|Incidence_SUBNAT.Rt.T|CY2025Q3</v>
      </c>
    </row>
    <row r="6503" spans="4:18" x14ac:dyDescent="0.2">
      <c r="D6503" t="s">
        <v>108</v>
      </c>
      <c r="E6503" t="s">
        <v>109</v>
      </c>
      <c r="F6503" t="s">
        <v>110</v>
      </c>
      <c r="G6503" t="s">
        <v>222</v>
      </c>
      <c r="H6503" t="s">
        <v>222</v>
      </c>
      <c r="I6503" t="s">
        <v>43</v>
      </c>
      <c r="J6503" t="s">
        <v>44</v>
      </c>
      <c r="K6503" t="s">
        <v>30</v>
      </c>
      <c r="L6503" t="s">
        <v>31</v>
      </c>
      <c r="M6503" t="s">
        <v>220</v>
      </c>
      <c r="N6503">
        <v>1.4773880000000001E-3</v>
      </c>
      <c r="O6503">
        <v>5.1588215999999999E-2</v>
      </c>
      <c r="P6503">
        <v>4.7322125999999999E-2</v>
      </c>
      <c r="Q6503" t="str">
        <f t="shared" si="202"/>
        <v>35-49</v>
      </c>
      <c r="R6503" t="str">
        <f t="shared" si="203"/>
        <v>[umc2n1Z4wNv]|35-49|Female|Incidence_SUBNAT.Rt.T|CY2025Q3</v>
      </c>
    </row>
    <row r="6504" spans="4:18" x14ac:dyDescent="0.2">
      <c r="D6504" t="s">
        <v>108</v>
      </c>
      <c r="E6504" t="s">
        <v>109</v>
      </c>
      <c r="F6504" t="s">
        <v>110</v>
      </c>
      <c r="G6504" t="s">
        <v>222</v>
      </c>
      <c r="H6504" t="s">
        <v>222</v>
      </c>
      <c r="I6504" t="s">
        <v>45</v>
      </c>
      <c r="J6504" t="s">
        <v>46</v>
      </c>
      <c r="K6504" t="s">
        <v>30</v>
      </c>
      <c r="L6504" t="s">
        <v>31</v>
      </c>
      <c r="M6504" t="s">
        <v>220</v>
      </c>
      <c r="N6504">
        <v>3.7169299999999998E-4</v>
      </c>
      <c r="O6504">
        <v>4.7844697999999998E-2</v>
      </c>
      <c r="P6504">
        <v>4.7322125999999999E-2</v>
      </c>
      <c r="Q6504" t="str">
        <f t="shared" si="202"/>
        <v>50+</v>
      </c>
      <c r="R6504" t="str">
        <f t="shared" si="203"/>
        <v>[umc2n1Z4wNv]|50+|Female|Incidence_SUBNAT.Rt.T|CY2025Q3</v>
      </c>
    </row>
    <row r="6505" spans="4:18" x14ac:dyDescent="0.2">
      <c r="D6505" t="s">
        <v>108</v>
      </c>
      <c r="E6505" t="s">
        <v>109</v>
      </c>
      <c r="F6505" t="s">
        <v>110</v>
      </c>
      <c r="G6505" t="s">
        <v>222</v>
      </c>
      <c r="H6505" t="s">
        <v>222</v>
      </c>
      <c r="I6505" t="s">
        <v>28</v>
      </c>
      <c r="J6505" t="s">
        <v>29</v>
      </c>
      <c r="K6505" t="s">
        <v>48</v>
      </c>
      <c r="L6505" t="s">
        <v>49</v>
      </c>
      <c r="M6505" t="s">
        <v>220</v>
      </c>
      <c r="N6505">
        <v>3.2878500000000001E-3</v>
      </c>
      <c r="O6505">
        <v>4.468221E-2</v>
      </c>
      <c r="P6505">
        <v>4.7322125999999999E-2</v>
      </c>
      <c r="Q6505" t="str">
        <f t="shared" si="202"/>
        <v>&lt;01</v>
      </c>
      <c r="R6505" t="str">
        <f t="shared" si="203"/>
        <v>[umc2n1Z4wNv]|&lt;01|Male|Incidence_SUBNAT.Rt.T|CY2025Q3</v>
      </c>
    </row>
    <row r="6506" spans="4:18" x14ac:dyDescent="0.2">
      <c r="D6506" t="s">
        <v>108</v>
      </c>
      <c r="E6506" t="s">
        <v>109</v>
      </c>
      <c r="F6506" t="s">
        <v>110</v>
      </c>
      <c r="G6506" t="s">
        <v>222</v>
      </c>
      <c r="H6506" t="s">
        <v>222</v>
      </c>
      <c r="I6506" t="s">
        <v>33</v>
      </c>
      <c r="J6506" t="s">
        <v>34</v>
      </c>
      <c r="K6506" t="s">
        <v>48</v>
      </c>
      <c r="L6506" t="s">
        <v>49</v>
      </c>
      <c r="M6506" t="s">
        <v>220</v>
      </c>
      <c r="N6506">
        <v>1.00383E-4</v>
      </c>
      <c r="O6506">
        <v>2.2341105E-2</v>
      </c>
      <c r="P6506">
        <v>4.7322125999999999E-2</v>
      </c>
      <c r="Q6506" t="str">
        <f t="shared" si="202"/>
        <v>01-09</v>
      </c>
      <c r="R6506" t="str">
        <f t="shared" si="203"/>
        <v>[umc2n1Z4wNv]|01-09|Male|Incidence_SUBNAT.Rt.T|CY2025Q3</v>
      </c>
    </row>
    <row r="6507" spans="4:18" x14ac:dyDescent="0.2">
      <c r="D6507" t="s">
        <v>108</v>
      </c>
      <c r="E6507" t="s">
        <v>109</v>
      </c>
      <c r="F6507" t="s">
        <v>110</v>
      </c>
      <c r="G6507" t="s">
        <v>222</v>
      </c>
      <c r="H6507" t="s">
        <v>222</v>
      </c>
      <c r="I6507" t="s">
        <v>36</v>
      </c>
      <c r="J6507" t="s">
        <v>37</v>
      </c>
      <c r="K6507" t="s">
        <v>48</v>
      </c>
      <c r="L6507" t="s">
        <v>49</v>
      </c>
      <c r="M6507" t="s">
        <v>220</v>
      </c>
      <c r="N6507">
        <v>0</v>
      </c>
      <c r="O6507">
        <v>0</v>
      </c>
      <c r="P6507">
        <v>4.7322125999999999E-2</v>
      </c>
      <c r="Q6507" t="str">
        <f t="shared" si="202"/>
        <v>10-14</v>
      </c>
      <c r="R6507" t="str">
        <f t="shared" si="203"/>
        <v>[umc2n1Z4wNv]|10-14|Male|Incidence_SUBNAT.Rt.T|CY2025Q3</v>
      </c>
    </row>
    <row r="6508" spans="4:18" x14ac:dyDescent="0.2">
      <c r="D6508" t="s">
        <v>108</v>
      </c>
      <c r="E6508" t="s">
        <v>109</v>
      </c>
      <c r="F6508" t="s">
        <v>110</v>
      </c>
      <c r="G6508" t="s">
        <v>222</v>
      </c>
      <c r="H6508" t="s">
        <v>222</v>
      </c>
      <c r="I6508" t="s">
        <v>38</v>
      </c>
      <c r="J6508" t="s">
        <v>39</v>
      </c>
      <c r="K6508" t="s">
        <v>48</v>
      </c>
      <c r="L6508" t="s">
        <v>49</v>
      </c>
      <c r="M6508" t="s">
        <v>220</v>
      </c>
      <c r="N6508">
        <v>3.0600499999999998E-4</v>
      </c>
      <c r="O6508">
        <v>5.0582964000000001E-2</v>
      </c>
      <c r="P6508">
        <v>4.7322125999999999E-2</v>
      </c>
      <c r="Q6508" t="str">
        <f t="shared" si="202"/>
        <v>15-24</v>
      </c>
      <c r="R6508" t="str">
        <f t="shared" si="203"/>
        <v>[umc2n1Z4wNv]|15-24|Male|Incidence_SUBNAT.Rt.T|CY2025Q3</v>
      </c>
    </row>
    <row r="6509" spans="4:18" x14ac:dyDescent="0.2">
      <c r="D6509" t="s">
        <v>108</v>
      </c>
      <c r="E6509" t="s">
        <v>109</v>
      </c>
      <c r="F6509" t="s">
        <v>110</v>
      </c>
      <c r="G6509" t="s">
        <v>222</v>
      </c>
      <c r="H6509" t="s">
        <v>222</v>
      </c>
      <c r="I6509" t="s">
        <v>41</v>
      </c>
      <c r="J6509" t="s">
        <v>42</v>
      </c>
      <c r="K6509" t="s">
        <v>48</v>
      </c>
      <c r="L6509" t="s">
        <v>49</v>
      </c>
      <c r="M6509" t="s">
        <v>220</v>
      </c>
      <c r="N6509">
        <v>1.671037E-3</v>
      </c>
      <c r="O6509">
        <v>5.0663305999999998E-2</v>
      </c>
      <c r="P6509">
        <v>4.7322125999999999E-2</v>
      </c>
      <c r="Q6509" t="str">
        <f t="shared" si="202"/>
        <v>25-34</v>
      </c>
      <c r="R6509" t="str">
        <f t="shared" si="203"/>
        <v>[umc2n1Z4wNv]|25-34|Male|Incidence_SUBNAT.Rt.T|CY2025Q3</v>
      </c>
    </row>
    <row r="6510" spans="4:18" x14ac:dyDescent="0.2">
      <c r="D6510" t="s">
        <v>108</v>
      </c>
      <c r="E6510" t="s">
        <v>109</v>
      </c>
      <c r="F6510" t="s">
        <v>110</v>
      </c>
      <c r="G6510" t="s">
        <v>222</v>
      </c>
      <c r="H6510" t="s">
        <v>222</v>
      </c>
      <c r="I6510" t="s">
        <v>43</v>
      </c>
      <c r="J6510" t="s">
        <v>44</v>
      </c>
      <c r="K6510" t="s">
        <v>48</v>
      </c>
      <c r="L6510" t="s">
        <v>49</v>
      </c>
      <c r="M6510" t="s">
        <v>220</v>
      </c>
      <c r="N6510">
        <v>1.866993E-3</v>
      </c>
      <c r="O6510">
        <v>5.0996657000000001E-2</v>
      </c>
      <c r="P6510">
        <v>4.7322125999999999E-2</v>
      </c>
      <c r="Q6510" t="str">
        <f t="shared" si="202"/>
        <v>35-49</v>
      </c>
      <c r="R6510" t="str">
        <f t="shared" si="203"/>
        <v>[umc2n1Z4wNv]|35-49|Male|Incidence_SUBNAT.Rt.T|CY2025Q3</v>
      </c>
    </row>
    <row r="6511" spans="4:18" x14ac:dyDescent="0.2">
      <c r="D6511" t="s">
        <v>108</v>
      </c>
      <c r="E6511" t="s">
        <v>109</v>
      </c>
      <c r="F6511" t="s">
        <v>110</v>
      </c>
      <c r="G6511" t="s">
        <v>222</v>
      </c>
      <c r="H6511" t="s">
        <v>222</v>
      </c>
      <c r="I6511" t="s">
        <v>45</v>
      </c>
      <c r="J6511" t="s">
        <v>46</v>
      </c>
      <c r="K6511" t="s">
        <v>48</v>
      </c>
      <c r="L6511" t="s">
        <v>49</v>
      </c>
      <c r="M6511" t="s">
        <v>220</v>
      </c>
      <c r="N6511">
        <v>9.11081E-4</v>
      </c>
      <c r="O6511">
        <v>4.9143071000000003E-2</v>
      </c>
      <c r="P6511">
        <v>4.7322125999999999E-2</v>
      </c>
      <c r="Q6511" t="str">
        <f t="shared" si="202"/>
        <v>50+</v>
      </c>
      <c r="R6511" t="str">
        <f t="shared" si="203"/>
        <v>[umc2n1Z4wNv]|50+|Male|Incidence_SUBNAT.Rt.T|CY2025Q3</v>
      </c>
    </row>
    <row r="6512" spans="4:18" x14ac:dyDescent="0.2">
      <c r="D6512" t="s">
        <v>111</v>
      </c>
      <c r="E6512" t="s">
        <v>112</v>
      </c>
      <c r="F6512" t="s">
        <v>113</v>
      </c>
      <c r="G6512" t="s">
        <v>222</v>
      </c>
      <c r="H6512" t="s">
        <v>222</v>
      </c>
      <c r="I6512" t="s">
        <v>28</v>
      </c>
      <c r="J6512" t="s">
        <v>29</v>
      </c>
      <c r="K6512" t="s">
        <v>30</v>
      </c>
      <c r="L6512" t="s">
        <v>31</v>
      </c>
      <c r="M6512" t="s">
        <v>220</v>
      </c>
      <c r="N6512">
        <v>3.314521E-3</v>
      </c>
      <c r="O6512">
        <v>4.1984951E-2</v>
      </c>
      <c r="P6512">
        <v>4.4695750999999999E-2</v>
      </c>
      <c r="Q6512" t="str">
        <f t="shared" si="202"/>
        <v>&lt;01</v>
      </c>
      <c r="R6512" t="str">
        <f t="shared" si="203"/>
        <v>[AZyWpGzhcaA]|&lt;01|Female|Incidence_SUBNAT.Rt.T|CY2025Q3</v>
      </c>
    </row>
    <row r="6513" spans="4:18" x14ac:dyDescent="0.2">
      <c r="D6513" t="s">
        <v>111</v>
      </c>
      <c r="E6513" t="s">
        <v>112</v>
      </c>
      <c r="F6513" t="s">
        <v>113</v>
      </c>
      <c r="G6513" t="s">
        <v>222</v>
      </c>
      <c r="H6513" t="s">
        <v>222</v>
      </c>
      <c r="I6513" t="s">
        <v>33</v>
      </c>
      <c r="J6513" t="s">
        <v>34</v>
      </c>
      <c r="K6513" t="s">
        <v>30</v>
      </c>
      <c r="L6513" t="s">
        <v>31</v>
      </c>
      <c r="M6513" t="s">
        <v>220</v>
      </c>
      <c r="N6513">
        <v>1.00488E-4</v>
      </c>
      <c r="O6513">
        <v>2.0992475E-2</v>
      </c>
      <c r="P6513">
        <v>4.4695750999999999E-2</v>
      </c>
      <c r="Q6513" t="str">
        <f t="shared" si="202"/>
        <v>01-09</v>
      </c>
      <c r="R6513" t="str">
        <f t="shared" si="203"/>
        <v>[AZyWpGzhcaA]|01-09|Female|Incidence_SUBNAT.Rt.T|CY2025Q3</v>
      </c>
    </row>
    <row r="6514" spans="4:18" x14ac:dyDescent="0.2">
      <c r="D6514" t="s">
        <v>111</v>
      </c>
      <c r="E6514" t="s">
        <v>112</v>
      </c>
      <c r="F6514" t="s">
        <v>113</v>
      </c>
      <c r="G6514" t="s">
        <v>222</v>
      </c>
      <c r="H6514" t="s">
        <v>222</v>
      </c>
      <c r="I6514" t="s">
        <v>36</v>
      </c>
      <c r="J6514" t="s">
        <v>37</v>
      </c>
      <c r="K6514" t="s">
        <v>30</v>
      </c>
      <c r="L6514" t="s">
        <v>31</v>
      </c>
      <c r="M6514" t="s">
        <v>220</v>
      </c>
      <c r="N6514">
        <v>0</v>
      </c>
      <c r="O6514">
        <v>0</v>
      </c>
      <c r="P6514">
        <v>4.4695750999999999E-2</v>
      </c>
      <c r="Q6514" t="str">
        <f t="shared" si="202"/>
        <v>10-14</v>
      </c>
      <c r="R6514" t="str">
        <f t="shared" si="203"/>
        <v>[AZyWpGzhcaA]|10-14|Female|Incidence_SUBNAT.Rt.T|CY2025Q3</v>
      </c>
    </row>
    <row r="6515" spans="4:18" x14ac:dyDescent="0.2">
      <c r="D6515" t="s">
        <v>111</v>
      </c>
      <c r="E6515" t="s">
        <v>112</v>
      </c>
      <c r="F6515" t="s">
        <v>113</v>
      </c>
      <c r="G6515" t="s">
        <v>222</v>
      </c>
      <c r="H6515" t="s">
        <v>222</v>
      </c>
      <c r="I6515" t="s">
        <v>38</v>
      </c>
      <c r="J6515" t="s">
        <v>39</v>
      </c>
      <c r="K6515" t="s">
        <v>30</v>
      </c>
      <c r="L6515" t="s">
        <v>31</v>
      </c>
      <c r="M6515" t="s">
        <v>220</v>
      </c>
      <c r="N6515">
        <v>1.7948440000000001E-3</v>
      </c>
      <c r="O6515">
        <v>4.7807914E-2</v>
      </c>
      <c r="P6515">
        <v>4.4695750999999999E-2</v>
      </c>
      <c r="Q6515" t="str">
        <f t="shared" si="202"/>
        <v>15-24</v>
      </c>
      <c r="R6515" t="str">
        <f t="shared" si="203"/>
        <v>[AZyWpGzhcaA]|15-24|Female|Incidence_SUBNAT.Rt.T|CY2025Q3</v>
      </c>
    </row>
    <row r="6516" spans="4:18" x14ac:dyDescent="0.2">
      <c r="D6516" t="s">
        <v>111</v>
      </c>
      <c r="E6516" t="s">
        <v>112</v>
      </c>
      <c r="F6516" t="s">
        <v>113</v>
      </c>
      <c r="G6516" t="s">
        <v>222</v>
      </c>
      <c r="H6516" t="s">
        <v>222</v>
      </c>
      <c r="I6516" t="s">
        <v>41</v>
      </c>
      <c r="J6516" t="s">
        <v>42</v>
      </c>
      <c r="K6516" t="s">
        <v>30</v>
      </c>
      <c r="L6516" t="s">
        <v>31</v>
      </c>
      <c r="M6516" t="s">
        <v>220</v>
      </c>
      <c r="N6516">
        <v>2.7874850000000001E-3</v>
      </c>
      <c r="O6516">
        <v>4.8349534999999999E-2</v>
      </c>
      <c r="P6516">
        <v>4.4695750999999999E-2</v>
      </c>
      <c r="Q6516" t="str">
        <f t="shared" si="202"/>
        <v>25-34</v>
      </c>
      <c r="R6516" t="str">
        <f t="shared" si="203"/>
        <v>[AZyWpGzhcaA]|25-34|Female|Incidence_SUBNAT.Rt.T|CY2025Q3</v>
      </c>
    </row>
    <row r="6517" spans="4:18" x14ac:dyDescent="0.2">
      <c r="D6517" t="s">
        <v>111</v>
      </c>
      <c r="E6517" t="s">
        <v>112</v>
      </c>
      <c r="F6517" t="s">
        <v>113</v>
      </c>
      <c r="G6517" t="s">
        <v>222</v>
      </c>
      <c r="H6517" t="s">
        <v>222</v>
      </c>
      <c r="I6517" t="s">
        <v>43</v>
      </c>
      <c r="J6517" t="s">
        <v>44</v>
      </c>
      <c r="K6517" t="s">
        <v>30</v>
      </c>
      <c r="L6517" t="s">
        <v>31</v>
      </c>
      <c r="M6517" t="s">
        <v>220</v>
      </c>
      <c r="N6517">
        <v>1.4791979999999999E-3</v>
      </c>
      <c r="O6517">
        <v>4.8654678999999999E-2</v>
      </c>
      <c r="P6517">
        <v>4.4695750999999999E-2</v>
      </c>
      <c r="Q6517" t="str">
        <f t="shared" si="202"/>
        <v>35-49</v>
      </c>
      <c r="R6517" t="str">
        <f t="shared" si="203"/>
        <v>[AZyWpGzhcaA]|35-49|Female|Incidence_SUBNAT.Rt.T|CY2025Q3</v>
      </c>
    </row>
    <row r="6518" spans="4:18" x14ac:dyDescent="0.2">
      <c r="D6518" t="s">
        <v>111</v>
      </c>
      <c r="E6518" t="s">
        <v>112</v>
      </c>
      <c r="F6518" t="s">
        <v>113</v>
      </c>
      <c r="G6518" t="s">
        <v>222</v>
      </c>
      <c r="H6518" t="s">
        <v>222</v>
      </c>
      <c r="I6518" t="s">
        <v>45</v>
      </c>
      <c r="J6518" t="s">
        <v>46</v>
      </c>
      <c r="K6518" t="s">
        <v>30</v>
      </c>
      <c r="L6518" t="s">
        <v>31</v>
      </c>
      <c r="M6518" t="s">
        <v>220</v>
      </c>
      <c r="N6518">
        <v>3.6928800000000001E-4</v>
      </c>
      <c r="O6518">
        <v>4.5390634999999999E-2</v>
      </c>
      <c r="P6518">
        <v>4.4695750999999999E-2</v>
      </c>
      <c r="Q6518" t="str">
        <f t="shared" si="202"/>
        <v>50+</v>
      </c>
      <c r="R6518" t="str">
        <f t="shared" si="203"/>
        <v>[AZyWpGzhcaA]|50+|Female|Incidence_SUBNAT.Rt.T|CY2025Q3</v>
      </c>
    </row>
    <row r="6519" spans="4:18" x14ac:dyDescent="0.2">
      <c r="D6519" t="s">
        <v>111</v>
      </c>
      <c r="E6519" t="s">
        <v>112</v>
      </c>
      <c r="F6519" t="s">
        <v>113</v>
      </c>
      <c r="G6519" t="s">
        <v>222</v>
      </c>
      <c r="H6519" t="s">
        <v>222</v>
      </c>
      <c r="I6519" t="s">
        <v>28</v>
      </c>
      <c r="J6519" t="s">
        <v>29</v>
      </c>
      <c r="K6519" t="s">
        <v>48</v>
      </c>
      <c r="L6519" t="s">
        <v>49</v>
      </c>
      <c r="M6519" t="s">
        <v>220</v>
      </c>
      <c r="N6519">
        <v>3.3255400000000001E-3</v>
      </c>
      <c r="O6519">
        <v>4.1984951E-2</v>
      </c>
      <c r="P6519">
        <v>4.4695750999999999E-2</v>
      </c>
      <c r="Q6519" t="str">
        <f t="shared" si="202"/>
        <v>&lt;01</v>
      </c>
      <c r="R6519" t="str">
        <f t="shared" si="203"/>
        <v>[AZyWpGzhcaA]|&lt;01|Male|Incidence_SUBNAT.Rt.T|CY2025Q3</v>
      </c>
    </row>
    <row r="6520" spans="4:18" x14ac:dyDescent="0.2">
      <c r="D6520" t="s">
        <v>111</v>
      </c>
      <c r="E6520" t="s">
        <v>112</v>
      </c>
      <c r="F6520" t="s">
        <v>113</v>
      </c>
      <c r="G6520" t="s">
        <v>222</v>
      </c>
      <c r="H6520" t="s">
        <v>222</v>
      </c>
      <c r="I6520" t="s">
        <v>33</v>
      </c>
      <c r="J6520" t="s">
        <v>34</v>
      </c>
      <c r="K6520" t="s">
        <v>48</v>
      </c>
      <c r="L6520" t="s">
        <v>49</v>
      </c>
      <c r="M6520" t="s">
        <v>220</v>
      </c>
      <c r="N6520">
        <v>1.00763E-4</v>
      </c>
      <c r="O6520">
        <v>2.0992475E-2</v>
      </c>
      <c r="P6520">
        <v>4.4695750999999999E-2</v>
      </c>
      <c r="Q6520" t="str">
        <f t="shared" si="202"/>
        <v>01-09</v>
      </c>
      <c r="R6520" t="str">
        <f t="shared" si="203"/>
        <v>[AZyWpGzhcaA]|01-09|Male|Incidence_SUBNAT.Rt.T|CY2025Q3</v>
      </c>
    </row>
    <row r="6521" spans="4:18" x14ac:dyDescent="0.2">
      <c r="D6521" t="s">
        <v>111</v>
      </c>
      <c r="E6521" t="s">
        <v>112</v>
      </c>
      <c r="F6521" t="s">
        <v>113</v>
      </c>
      <c r="G6521" t="s">
        <v>222</v>
      </c>
      <c r="H6521" t="s">
        <v>222</v>
      </c>
      <c r="I6521" t="s">
        <v>36</v>
      </c>
      <c r="J6521" t="s">
        <v>37</v>
      </c>
      <c r="K6521" t="s">
        <v>48</v>
      </c>
      <c r="L6521" t="s">
        <v>49</v>
      </c>
      <c r="M6521" t="s">
        <v>220</v>
      </c>
      <c r="N6521">
        <v>0</v>
      </c>
      <c r="O6521">
        <v>0</v>
      </c>
      <c r="P6521">
        <v>4.4695750999999999E-2</v>
      </c>
      <c r="Q6521" t="str">
        <f t="shared" si="202"/>
        <v>10-14</v>
      </c>
      <c r="R6521" t="str">
        <f t="shared" si="203"/>
        <v>[AZyWpGzhcaA]|10-14|Male|Incidence_SUBNAT.Rt.T|CY2025Q3</v>
      </c>
    </row>
    <row r="6522" spans="4:18" x14ac:dyDescent="0.2">
      <c r="D6522" t="s">
        <v>111</v>
      </c>
      <c r="E6522" t="s">
        <v>112</v>
      </c>
      <c r="F6522" t="s">
        <v>113</v>
      </c>
      <c r="G6522" t="s">
        <v>222</v>
      </c>
      <c r="H6522" t="s">
        <v>222</v>
      </c>
      <c r="I6522" t="s">
        <v>38</v>
      </c>
      <c r="J6522" t="s">
        <v>39</v>
      </c>
      <c r="K6522" t="s">
        <v>48</v>
      </c>
      <c r="L6522" t="s">
        <v>49</v>
      </c>
      <c r="M6522" t="s">
        <v>220</v>
      </c>
      <c r="N6522">
        <v>3.07986E-4</v>
      </c>
      <c r="O6522">
        <v>4.8019950999999998E-2</v>
      </c>
      <c r="P6522">
        <v>4.4695750999999999E-2</v>
      </c>
      <c r="Q6522" t="str">
        <f t="shared" si="202"/>
        <v>15-24</v>
      </c>
      <c r="R6522" t="str">
        <f t="shared" si="203"/>
        <v>[AZyWpGzhcaA]|15-24|Male|Incidence_SUBNAT.Rt.T|CY2025Q3</v>
      </c>
    </row>
    <row r="6523" spans="4:18" x14ac:dyDescent="0.2">
      <c r="D6523" t="s">
        <v>111</v>
      </c>
      <c r="E6523" t="s">
        <v>112</v>
      </c>
      <c r="F6523" t="s">
        <v>113</v>
      </c>
      <c r="G6523" t="s">
        <v>222</v>
      </c>
      <c r="H6523" t="s">
        <v>222</v>
      </c>
      <c r="I6523" t="s">
        <v>41</v>
      </c>
      <c r="J6523" t="s">
        <v>42</v>
      </c>
      <c r="K6523" t="s">
        <v>48</v>
      </c>
      <c r="L6523" t="s">
        <v>49</v>
      </c>
      <c r="M6523" t="s">
        <v>220</v>
      </c>
      <c r="N6523">
        <v>1.677471E-3</v>
      </c>
      <c r="O6523">
        <v>4.8068224999999999E-2</v>
      </c>
      <c r="P6523">
        <v>4.4695750999999999E-2</v>
      </c>
      <c r="Q6523" t="str">
        <f t="shared" si="202"/>
        <v>25-34</v>
      </c>
      <c r="R6523" t="str">
        <f t="shared" si="203"/>
        <v>[AZyWpGzhcaA]|25-34|Male|Incidence_SUBNAT.Rt.T|CY2025Q3</v>
      </c>
    </row>
    <row r="6524" spans="4:18" x14ac:dyDescent="0.2">
      <c r="D6524" t="s">
        <v>111</v>
      </c>
      <c r="E6524" t="s">
        <v>112</v>
      </c>
      <c r="F6524" t="s">
        <v>113</v>
      </c>
      <c r="G6524" t="s">
        <v>222</v>
      </c>
      <c r="H6524" t="s">
        <v>222</v>
      </c>
      <c r="I6524" t="s">
        <v>43</v>
      </c>
      <c r="J6524" t="s">
        <v>44</v>
      </c>
      <c r="K6524" t="s">
        <v>48</v>
      </c>
      <c r="L6524" t="s">
        <v>49</v>
      </c>
      <c r="M6524" t="s">
        <v>220</v>
      </c>
      <c r="N6524">
        <v>1.8754830000000001E-3</v>
      </c>
      <c r="O6524">
        <v>4.8351832999999997E-2</v>
      </c>
      <c r="P6524">
        <v>4.4695750999999999E-2</v>
      </c>
      <c r="Q6524" t="str">
        <f t="shared" si="202"/>
        <v>35-49</v>
      </c>
      <c r="R6524" t="str">
        <f t="shared" si="203"/>
        <v>[AZyWpGzhcaA]|35-49|Male|Incidence_SUBNAT.Rt.T|CY2025Q3</v>
      </c>
    </row>
    <row r="6525" spans="4:18" x14ac:dyDescent="0.2">
      <c r="D6525" t="s">
        <v>111</v>
      </c>
      <c r="E6525" t="s">
        <v>112</v>
      </c>
      <c r="F6525" t="s">
        <v>113</v>
      </c>
      <c r="G6525" t="s">
        <v>222</v>
      </c>
      <c r="H6525" t="s">
        <v>222</v>
      </c>
      <c r="I6525" t="s">
        <v>45</v>
      </c>
      <c r="J6525" t="s">
        <v>46</v>
      </c>
      <c r="K6525" t="s">
        <v>48</v>
      </c>
      <c r="L6525" t="s">
        <v>49</v>
      </c>
      <c r="M6525" t="s">
        <v>220</v>
      </c>
      <c r="N6525">
        <v>9.1997200000000002E-4</v>
      </c>
      <c r="O6525">
        <v>4.6990427000000001E-2</v>
      </c>
      <c r="P6525">
        <v>4.4695750999999999E-2</v>
      </c>
      <c r="Q6525" t="str">
        <f t="shared" si="202"/>
        <v>50+</v>
      </c>
      <c r="R6525" t="str">
        <f t="shared" si="203"/>
        <v>[AZyWpGzhcaA]|50+|Male|Incidence_SUBNAT.Rt.T|CY2025Q3</v>
      </c>
    </row>
    <row r="6526" spans="4:18" x14ac:dyDescent="0.2">
      <c r="D6526" t="s">
        <v>114</v>
      </c>
      <c r="E6526" t="s">
        <v>115</v>
      </c>
      <c r="F6526" t="s">
        <v>116</v>
      </c>
      <c r="G6526" t="s">
        <v>222</v>
      </c>
      <c r="H6526" t="s">
        <v>222</v>
      </c>
      <c r="I6526" t="s">
        <v>28</v>
      </c>
      <c r="J6526" t="s">
        <v>29</v>
      </c>
      <c r="K6526" t="s">
        <v>30</v>
      </c>
      <c r="L6526" t="s">
        <v>31</v>
      </c>
      <c r="M6526" t="s">
        <v>220</v>
      </c>
      <c r="N6526">
        <v>2.574032E-3</v>
      </c>
      <c r="O6526">
        <v>6.7958231999999993E-2</v>
      </c>
      <c r="P6526">
        <v>7.3057943E-2</v>
      </c>
      <c r="Q6526" t="str">
        <f t="shared" si="202"/>
        <v>&lt;01</v>
      </c>
      <c r="R6526" t="str">
        <f t="shared" si="203"/>
        <v>[ir8wuHHzoSs]|&lt;01|Female|Incidence_SUBNAT.Rt.T|CY2025Q3</v>
      </c>
    </row>
    <row r="6527" spans="4:18" x14ac:dyDescent="0.2">
      <c r="D6527" t="s">
        <v>114</v>
      </c>
      <c r="E6527" t="s">
        <v>115</v>
      </c>
      <c r="F6527" t="s">
        <v>116</v>
      </c>
      <c r="G6527" t="s">
        <v>222</v>
      </c>
      <c r="H6527" t="s">
        <v>222</v>
      </c>
      <c r="I6527" t="s">
        <v>33</v>
      </c>
      <c r="J6527" t="s">
        <v>34</v>
      </c>
      <c r="K6527" t="s">
        <v>30</v>
      </c>
      <c r="L6527" t="s">
        <v>31</v>
      </c>
      <c r="M6527" t="s">
        <v>220</v>
      </c>
      <c r="N6527" s="235" t="s">
        <v>264</v>
      </c>
      <c r="O6527">
        <v>3.3979115999999997E-2</v>
      </c>
      <c r="P6527">
        <v>7.3057943E-2</v>
      </c>
      <c r="Q6527" t="str">
        <f t="shared" si="202"/>
        <v>01-09</v>
      </c>
      <c r="R6527" t="str">
        <f t="shared" si="203"/>
        <v>[ir8wuHHzoSs]|01-09|Female|Incidence_SUBNAT.Rt.T|CY2025Q3</v>
      </c>
    </row>
    <row r="6528" spans="4:18" x14ac:dyDescent="0.2">
      <c r="D6528" t="s">
        <v>114</v>
      </c>
      <c r="E6528" t="s">
        <v>115</v>
      </c>
      <c r="F6528" t="s">
        <v>116</v>
      </c>
      <c r="G6528" t="s">
        <v>222</v>
      </c>
      <c r="H6528" t="s">
        <v>222</v>
      </c>
      <c r="I6528" t="s">
        <v>36</v>
      </c>
      <c r="J6528" t="s">
        <v>37</v>
      </c>
      <c r="K6528" t="s">
        <v>30</v>
      </c>
      <c r="L6528" t="s">
        <v>31</v>
      </c>
      <c r="M6528" t="s">
        <v>220</v>
      </c>
      <c r="N6528">
        <v>0</v>
      </c>
      <c r="O6528">
        <v>0</v>
      </c>
      <c r="P6528">
        <v>7.3057943E-2</v>
      </c>
      <c r="Q6528" t="str">
        <f t="shared" si="202"/>
        <v>10-14</v>
      </c>
      <c r="R6528" t="str">
        <f t="shared" si="203"/>
        <v>[ir8wuHHzoSs]|10-14|Female|Incidence_SUBNAT.Rt.T|CY2025Q3</v>
      </c>
    </row>
    <row r="6529" spans="4:18" x14ac:dyDescent="0.2">
      <c r="D6529" t="s">
        <v>114</v>
      </c>
      <c r="E6529" t="s">
        <v>115</v>
      </c>
      <c r="F6529" t="s">
        <v>116</v>
      </c>
      <c r="G6529" t="s">
        <v>222</v>
      </c>
      <c r="H6529" t="s">
        <v>222</v>
      </c>
      <c r="I6529" t="s">
        <v>38</v>
      </c>
      <c r="J6529" t="s">
        <v>39</v>
      </c>
      <c r="K6529" t="s">
        <v>30</v>
      </c>
      <c r="L6529" t="s">
        <v>31</v>
      </c>
      <c r="M6529" t="s">
        <v>220</v>
      </c>
      <c r="N6529">
        <v>1.4077040000000001E-3</v>
      </c>
      <c r="O6529">
        <v>7.7336277999999994E-2</v>
      </c>
      <c r="P6529">
        <v>7.3057943E-2</v>
      </c>
      <c r="Q6529" t="str">
        <f t="shared" si="202"/>
        <v>15-24</v>
      </c>
      <c r="R6529" t="str">
        <f t="shared" si="203"/>
        <v>[ir8wuHHzoSs]|15-24|Female|Incidence_SUBNAT.Rt.T|CY2025Q3</v>
      </c>
    </row>
    <row r="6530" spans="4:18" x14ac:dyDescent="0.2">
      <c r="D6530" t="s">
        <v>114</v>
      </c>
      <c r="E6530" t="s">
        <v>115</v>
      </c>
      <c r="F6530" t="s">
        <v>116</v>
      </c>
      <c r="G6530" t="s">
        <v>222</v>
      </c>
      <c r="H6530" t="s">
        <v>222</v>
      </c>
      <c r="I6530" t="s">
        <v>41</v>
      </c>
      <c r="J6530" t="s">
        <v>42</v>
      </c>
      <c r="K6530" t="s">
        <v>30</v>
      </c>
      <c r="L6530" t="s">
        <v>31</v>
      </c>
      <c r="M6530" t="s">
        <v>220</v>
      </c>
      <c r="N6530">
        <v>2.1715739999999999E-3</v>
      </c>
      <c r="O6530">
        <v>7.7965100999999995E-2</v>
      </c>
      <c r="P6530">
        <v>7.3057943E-2</v>
      </c>
      <c r="Q6530" t="str">
        <f t="shared" si="202"/>
        <v>25-34</v>
      </c>
      <c r="R6530" t="str">
        <f t="shared" si="203"/>
        <v>[ir8wuHHzoSs]|25-34|Female|Incidence_SUBNAT.Rt.T|CY2025Q3</v>
      </c>
    </row>
    <row r="6531" spans="4:18" x14ac:dyDescent="0.2">
      <c r="D6531" t="s">
        <v>114</v>
      </c>
      <c r="E6531" t="s">
        <v>115</v>
      </c>
      <c r="F6531" t="s">
        <v>116</v>
      </c>
      <c r="G6531" t="s">
        <v>222</v>
      </c>
      <c r="H6531" t="s">
        <v>222</v>
      </c>
      <c r="I6531" t="s">
        <v>43</v>
      </c>
      <c r="J6531" t="s">
        <v>44</v>
      </c>
      <c r="K6531" t="s">
        <v>30</v>
      </c>
      <c r="L6531" t="s">
        <v>31</v>
      </c>
      <c r="M6531" t="s">
        <v>220</v>
      </c>
      <c r="N6531">
        <v>1.143823E-3</v>
      </c>
      <c r="O6531">
        <v>7.8529305999999993E-2</v>
      </c>
      <c r="P6531">
        <v>7.3057943E-2</v>
      </c>
      <c r="Q6531" t="str">
        <f t="shared" ref="Q6531:Q6594" si="204">SUBSTITUTE(SUBSTITUTE($I6531,CHAR(61),""),CHAR(34),"")</f>
        <v>35-49</v>
      </c>
      <c r="R6531" t="str">
        <f t="shared" ref="R6531:R6594" si="205">IF($D6531&lt;&gt;"","["&amp;$E6531&amp;"]"&amp;"|"&amp;$Q6531&amp;"|"&amp;$K6531&amp;"|"&amp;$G6531&amp;"|"&amp;IF($G6531="TX_CURR_SUBNAT.R","CY2023Q4",$M6531),"")</f>
        <v>[ir8wuHHzoSs]|35-49|Female|Incidence_SUBNAT.Rt.T|CY2025Q3</v>
      </c>
    </row>
    <row r="6532" spans="4:18" x14ac:dyDescent="0.2">
      <c r="D6532" t="s">
        <v>114</v>
      </c>
      <c r="E6532" t="s">
        <v>115</v>
      </c>
      <c r="F6532" t="s">
        <v>116</v>
      </c>
      <c r="G6532" t="s">
        <v>222</v>
      </c>
      <c r="H6532" t="s">
        <v>222</v>
      </c>
      <c r="I6532" t="s">
        <v>45</v>
      </c>
      <c r="J6532" t="s">
        <v>46</v>
      </c>
      <c r="K6532" t="s">
        <v>30</v>
      </c>
      <c r="L6532" t="s">
        <v>31</v>
      </c>
      <c r="M6532" t="s">
        <v>220</v>
      </c>
      <c r="N6532">
        <v>2.98597E-4</v>
      </c>
      <c r="O6532">
        <v>7.4331818999999993E-2</v>
      </c>
      <c r="P6532">
        <v>7.3057943E-2</v>
      </c>
      <c r="Q6532" t="str">
        <f t="shared" si="204"/>
        <v>50+</v>
      </c>
      <c r="R6532" t="str">
        <f t="shared" si="205"/>
        <v>[ir8wuHHzoSs]|50+|Female|Incidence_SUBNAT.Rt.T|CY2025Q3</v>
      </c>
    </row>
    <row r="6533" spans="4:18" x14ac:dyDescent="0.2">
      <c r="D6533" t="s">
        <v>114</v>
      </c>
      <c r="E6533" t="s">
        <v>115</v>
      </c>
      <c r="F6533" t="s">
        <v>116</v>
      </c>
      <c r="G6533" t="s">
        <v>222</v>
      </c>
      <c r="H6533" t="s">
        <v>222</v>
      </c>
      <c r="I6533" t="s">
        <v>28</v>
      </c>
      <c r="J6533" t="s">
        <v>29</v>
      </c>
      <c r="K6533" t="s">
        <v>48</v>
      </c>
      <c r="L6533" t="s">
        <v>49</v>
      </c>
      <c r="M6533" t="s">
        <v>220</v>
      </c>
      <c r="N6533">
        <v>2.582572E-3</v>
      </c>
      <c r="O6533">
        <v>6.7958231999999993E-2</v>
      </c>
      <c r="P6533">
        <v>7.3057943E-2</v>
      </c>
      <c r="Q6533" t="str">
        <f t="shared" si="204"/>
        <v>&lt;01</v>
      </c>
      <c r="R6533" t="str">
        <f t="shared" si="205"/>
        <v>[ir8wuHHzoSs]|&lt;01|Male|Incidence_SUBNAT.Rt.T|CY2025Q3</v>
      </c>
    </row>
    <row r="6534" spans="4:18" x14ac:dyDescent="0.2">
      <c r="D6534" t="s">
        <v>114</v>
      </c>
      <c r="E6534" t="s">
        <v>115</v>
      </c>
      <c r="F6534" t="s">
        <v>116</v>
      </c>
      <c r="G6534" t="s">
        <v>222</v>
      </c>
      <c r="H6534" t="s">
        <v>222</v>
      </c>
      <c r="I6534" t="s">
        <v>33</v>
      </c>
      <c r="J6534" t="s">
        <v>34</v>
      </c>
      <c r="K6534" t="s">
        <v>48</v>
      </c>
      <c r="L6534" t="s">
        <v>49</v>
      </c>
      <c r="M6534" t="s">
        <v>220</v>
      </c>
      <c r="N6534" s="235" t="s">
        <v>265</v>
      </c>
      <c r="O6534">
        <v>3.3979115999999997E-2</v>
      </c>
      <c r="P6534">
        <v>7.3057943E-2</v>
      </c>
      <c r="Q6534" t="str">
        <f t="shared" si="204"/>
        <v>01-09</v>
      </c>
      <c r="R6534" t="str">
        <f t="shared" si="205"/>
        <v>[ir8wuHHzoSs]|01-09|Male|Incidence_SUBNAT.Rt.T|CY2025Q3</v>
      </c>
    </row>
    <row r="6535" spans="4:18" x14ac:dyDescent="0.2">
      <c r="D6535" t="s">
        <v>114</v>
      </c>
      <c r="E6535" t="s">
        <v>115</v>
      </c>
      <c r="F6535" t="s">
        <v>116</v>
      </c>
      <c r="G6535" t="s">
        <v>222</v>
      </c>
      <c r="H6535" t="s">
        <v>222</v>
      </c>
      <c r="I6535" t="s">
        <v>36</v>
      </c>
      <c r="J6535" t="s">
        <v>37</v>
      </c>
      <c r="K6535" t="s">
        <v>48</v>
      </c>
      <c r="L6535" t="s">
        <v>49</v>
      </c>
      <c r="M6535" t="s">
        <v>220</v>
      </c>
      <c r="N6535">
        <v>0</v>
      </c>
      <c r="O6535">
        <v>0</v>
      </c>
      <c r="P6535">
        <v>7.3057943E-2</v>
      </c>
      <c r="Q6535" t="str">
        <f t="shared" si="204"/>
        <v>10-14</v>
      </c>
      <c r="R6535" t="str">
        <f t="shared" si="205"/>
        <v>[ir8wuHHzoSs]|10-14|Male|Incidence_SUBNAT.Rt.T|CY2025Q3</v>
      </c>
    </row>
    <row r="6536" spans="4:18" x14ac:dyDescent="0.2">
      <c r="D6536" t="s">
        <v>114</v>
      </c>
      <c r="E6536" t="s">
        <v>115</v>
      </c>
      <c r="F6536" t="s">
        <v>116</v>
      </c>
      <c r="G6536" t="s">
        <v>222</v>
      </c>
      <c r="H6536" t="s">
        <v>222</v>
      </c>
      <c r="I6536" t="s">
        <v>38</v>
      </c>
      <c r="J6536" t="s">
        <v>39</v>
      </c>
      <c r="K6536" t="s">
        <v>48</v>
      </c>
      <c r="L6536" t="s">
        <v>49</v>
      </c>
      <c r="M6536" t="s">
        <v>220</v>
      </c>
      <c r="N6536">
        <v>2.3347099999999999E-4</v>
      </c>
      <c r="O6536">
        <v>7.75898E-2</v>
      </c>
      <c r="P6536">
        <v>7.3057943E-2</v>
      </c>
      <c r="Q6536" t="str">
        <f t="shared" si="204"/>
        <v>15-24</v>
      </c>
      <c r="R6536" t="str">
        <f t="shared" si="205"/>
        <v>[ir8wuHHzoSs]|15-24|Male|Incidence_SUBNAT.Rt.T|CY2025Q3</v>
      </c>
    </row>
    <row r="6537" spans="4:18" x14ac:dyDescent="0.2">
      <c r="D6537" t="s">
        <v>114</v>
      </c>
      <c r="E6537" t="s">
        <v>115</v>
      </c>
      <c r="F6537" t="s">
        <v>116</v>
      </c>
      <c r="G6537" t="s">
        <v>222</v>
      </c>
      <c r="H6537" t="s">
        <v>222</v>
      </c>
      <c r="I6537" t="s">
        <v>41</v>
      </c>
      <c r="J6537" t="s">
        <v>42</v>
      </c>
      <c r="K6537" t="s">
        <v>48</v>
      </c>
      <c r="L6537" t="s">
        <v>49</v>
      </c>
      <c r="M6537" t="s">
        <v>220</v>
      </c>
      <c r="N6537">
        <v>1.300474E-3</v>
      </c>
      <c r="O6537">
        <v>7.7639890000000003E-2</v>
      </c>
      <c r="P6537">
        <v>7.3057943E-2</v>
      </c>
      <c r="Q6537" t="str">
        <f t="shared" si="204"/>
        <v>25-34</v>
      </c>
      <c r="R6537" t="str">
        <f t="shared" si="205"/>
        <v>[ir8wuHHzoSs]|25-34|Male|Incidence_SUBNAT.Rt.T|CY2025Q3</v>
      </c>
    </row>
    <row r="6538" spans="4:18" x14ac:dyDescent="0.2">
      <c r="D6538" t="s">
        <v>114</v>
      </c>
      <c r="E6538" t="s">
        <v>115</v>
      </c>
      <c r="F6538" t="s">
        <v>116</v>
      </c>
      <c r="G6538" t="s">
        <v>222</v>
      </c>
      <c r="H6538" t="s">
        <v>222</v>
      </c>
      <c r="I6538" t="s">
        <v>43</v>
      </c>
      <c r="J6538" t="s">
        <v>44</v>
      </c>
      <c r="K6538" t="s">
        <v>48</v>
      </c>
      <c r="L6538" t="s">
        <v>49</v>
      </c>
      <c r="M6538" t="s">
        <v>220</v>
      </c>
      <c r="N6538">
        <v>1.448041E-3</v>
      </c>
      <c r="O6538">
        <v>7.7985625000000003E-2</v>
      </c>
      <c r="P6538">
        <v>7.3057943E-2</v>
      </c>
      <c r="Q6538" t="str">
        <f t="shared" si="204"/>
        <v>35-49</v>
      </c>
      <c r="R6538" t="str">
        <f t="shared" si="205"/>
        <v>[ir8wuHHzoSs]|35-49|Male|Incidence_SUBNAT.Rt.T|CY2025Q3</v>
      </c>
    </row>
    <row r="6539" spans="4:18" x14ac:dyDescent="0.2">
      <c r="D6539" t="s">
        <v>114</v>
      </c>
      <c r="E6539" t="s">
        <v>115</v>
      </c>
      <c r="F6539" t="s">
        <v>116</v>
      </c>
      <c r="G6539" t="s">
        <v>222</v>
      </c>
      <c r="H6539" t="s">
        <v>222</v>
      </c>
      <c r="I6539" t="s">
        <v>45</v>
      </c>
      <c r="J6539" t="s">
        <v>46</v>
      </c>
      <c r="K6539" t="s">
        <v>48</v>
      </c>
      <c r="L6539" t="s">
        <v>49</v>
      </c>
      <c r="M6539" t="s">
        <v>220</v>
      </c>
      <c r="N6539">
        <v>7.2732099999999996E-4</v>
      </c>
      <c r="O6539">
        <v>7.6149548999999997E-2</v>
      </c>
      <c r="P6539">
        <v>7.3057943E-2</v>
      </c>
      <c r="Q6539" t="str">
        <f t="shared" si="204"/>
        <v>50+</v>
      </c>
      <c r="R6539" t="str">
        <f t="shared" si="205"/>
        <v>[ir8wuHHzoSs]|50+|Male|Incidence_SUBNAT.Rt.T|CY2025Q3</v>
      </c>
    </row>
    <row r="6540" spans="4:18" x14ac:dyDescent="0.2">
      <c r="D6540" t="s">
        <v>117</v>
      </c>
      <c r="E6540" t="s">
        <v>118</v>
      </c>
      <c r="F6540" t="s">
        <v>119</v>
      </c>
      <c r="G6540" t="s">
        <v>222</v>
      </c>
      <c r="H6540" t="s">
        <v>222</v>
      </c>
      <c r="I6540" t="s">
        <v>28</v>
      </c>
      <c r="J6540" t="s">
        <v>29</v>
      </c>
      <c r="K6540" t="s">
        <v>30</v>
      </c>
      <c r="L6540" t="s">
        <v>31</v>
      </c>
      <c r="M6540" t="s">
        <v>220</v>
      </c>
      <c r="N6540">
        <v>3.6281120000000002E-3</v>
      </c>
      <c r="O6540">
        <v>5.4485249999999999E-2</v>
      </c>
      <c r="P6540">
        <v>5.9347807000000002E-2</v>
      </c>
      <c r="Q6540" t="str">
        <f t="shared" si="204"/>
        <v>&lt;01</v>
      </c>
      <c r="R6540" t="str">
        <f t="shared" si="205"/>
        <v>[oiPR2CiVJbf]|&lt;01|Female|Incidence_SUBNAT.Rt.T|CY2025Q3</v>
      </c>
    </row>
    <row r="6541" spans="4:18" x14ac:dyDescent="0.2">
      <c r="D6541" t="s">
        <v>117</v>
      </c>
      <c r="E6541" t="s">
        <v>118</v>
      </c>
      <c r="F6541" t="s">
        <v>119</v>
      </c>
      <c r="G6541" t="s">
        <v>222</v>
      </c>
      <c r="H6541" t="s">
        <v>222</v>
      </c>
      <c r="I6541" t="s">
        <v>33</v>
      </c>
      <c r="J6541" t="s">
        <v>34</v>
      </c>
      <c r="K6541" t="s">
        <v>30</v>
      </c>
      <c r="L6541" t="s">
        <v>31</v>
      </c>
      <c r="M6541" t="s">
        <v>220</v>
      </c>
      <c r="N6541">
        <v>1.10129E-4</v>
      </c>
      <c r="O6541">
        <v>2.7242624999999999E-2</v>
      </c>
      <c r="P6541">
        <v>5.9347807000000002E-2</v>
      </c>
      <c r="Q6541" t="str">
        <f t="shared" si="204"/>
        <v>01-09</v>
      </c>
      <c r="R6541" t="str">
        <f t="shared" si="205"/>
        <v>[oiPR2CiVJbf]|01-09|Female|Incidence_SUBNAT.Rt.T|CY2025Q3</v>
      </c>
    </row>
    <row r="6542" spans="4:18" x14ac:dyDescent="0.2">
      <c r="D6542" t="s">
        <v>117</v>
      </c>
      <c r="E6542" t="s">
        <v>118</v>
      </c>
      <c r="F6542" t="s">
        <v>119</v>
      </c>
      <c r="G6542" t="s">
        <v>222</v>
      </c>
      <c r="H6542" t="s">
        <v>222</v>
      </c>
      <c r="I6542" t="s">
        <v>36</v>
      </c>
      <c r="J6542" t="s">
        <v>37</v>
      </c>
      <c r="K6542" t="s">
        <v>30</v>
      </c>
      <c r="L6542" t="s">
        <v>31</v>
      </c>
      <c r="M6542" t="s">
        <v>220</v>
      </c>
      <c r="N6542">
        <v>0</v>
      </c>
      <c r="O6542">
        <v>0</v>
      </c>
      <c r="P6542">
        <v>5.9347807000000002E-2</v>
      </c>
      <c r="Q6542" t="str">
        <f t="shared" si="204"/>
        <v>10-14</v>
      </c>
      <c r="R6542" t="str">
        <f t="shared" si="205"/>
        <v>[oiPR2CiVJbf]|10-14|Female|Incidence_SUBNAT.Rt.T|CY2025Q3</v>
      </c>
    </row>
    <row r="6543" spans="4:18" x14ac:dyDescent="0.2">
      <c r="D6543" t="s">
        <v>117</v>
      </c>
      <c r="E6543" t="s">
        <v>118</v>
      </c>
      <c r="F6543" t="s">
        <v>119</v>
      </c>
      <c r="G6543" t="s">
        <v>222</v>
      </c>
      <c r="H6543" t="s">
        <v>222</v>
      </c>
      <c r="I6543" t="s">
        <v>38</v>
      </c>
      <c r="J6543" t="s">
        <v>39</v>
      </c>
      <c r="K6543" t="s">
        <v>30</v>
      </c>
      <c r="L6543" t="s">
        <v>31</v>
      </c>
      <c r="M6543" t="s">
        <v>220</v>
      </c>
      <c r="N6543">
        <v>2.1544369999999999E-3</v>
      </c>
      <c r="O6543">
        <v>6.4031912999999996E-2</v>
      </c>
      <c r="P6543">
        <v>5.9347807000000002E-2</v>
      </c>
      <c r="Q6543" t="str">
        <f t="shared" si="204"/>
        <v>15-24</v>
      </c>
      <c r="R6543" t="str">
        <f t="shared" si="205"/>
        <v>[oiPR2CiVJbf]|15-24|Female|Incidence_SUBNAT.Rt.T|CY2025Q3</v>
      </c>
    </row>
    <row r="6544" spans="4:18" x14ac:dyDescent="0.2">
      <c r="D6544" t="s">
        <v>117</v>
      </c>
      <c r="E6544" t="s">
        <v>118</v>
      </c>
      <c r="F6544" t="s">
        <v>119</v>
      </c>
      <c r="G6544" t="s">
        <v>222</v>
      </c>
      <c r="H6544" t="s">
        <v>222</v>
      </c>
      <c r="I6544" t="s">
        <v>41</v>
      </c>
      <c r="J6544" t="s">
        <v>42</v>
      </c>
      <c r="K6544" t="s">
        <v>30</v>
      </c>
      <c r="L6544" t="s">
        <v>31</v>
      </c>
      <c r="M6544" t="s">
        <v>220</v>
      </c>
      <c r="N6544">
        <v>3.3115150000000001E-3</v>
      </c>
      <c r="O6544">
        <v>6.4888910999999994E-2</v>
      </c>
      <c r="P6544">
        <v>5.9347807000000002E-2</v>
      </c>
      <c r="Q6544" t="str">
        <f t="shared" si="204"/>
        <v>25-34</v>
      </c>
      <c r="R6544" t="str">
        <f t="shared" si="205"/>
        <v>[oiPR2CiVJbf]|25-34|Female|Incidence_SUBNAT.Rt.T|CY2025Q3</v>
      </c>
    </row>
    <row r="6545" spans="4:18" x14ac:dyDescent="0.2">
      <c r="D6545" t="s">
        <v>117</v>
      </c>
      <c r="E6545" t="s">
        <v>118</v>
      </c>
      <c r="F6545" t="s">
        <v>119</v>
      </c>
      <c r="G6545" t="s">
        <v>222</v>
      </c>
      <c r="H6545" t="s">
        <v>222</v>
      </c>
      <c r="I6545" t="s">
        <v>43</v>
      </c>
      <c r="J6545" t="s">
        <v>44</v>
      </c>
      <c r="K6545" t="s">
        <v>30</v>
      </c>
      <c r="L6545" t="s">
        <v>31</v>
      </c>
      <c r="M6545" t="s">
        <v>220</v>
      </c>
      <c r="N6545">
        <v>1.749722E-3</v>
      </c>
      <c r="O6545">
        <v>6.5529322000000001E-2</v>
      </c>
      <c r="P6545">
        <v>5.9347807000000002E-2</v>
      </c>
      <c r="Q6545" t="str">
        <f t="shared" si="204"/>
        <v>35-49</v>
      </c>
      <c r="R6545" t="str">
        <f t="shared" si="205"/>
        <v>[oiPR2CiVJbf]|35-49|Female|Incidence_SUBNAT.Rt.T|CY2025Q3</v>
      </c>
    </row>
    <row r="6546" spans="4:18" x14ac:dyDescent="0.2">
      <c r="D6546" t="s">
        <v>117</v>
      </c>
      <c r="E6546" t="s">
        <v>118</v>
      </c>
      <c r="F6546" t="s">
        <v>119</v>
      </c>
      <c r="G6546" t="s">
        <v>222</v>
      </c>
      <c r="H6546" t="s">
        <v>222</v>
      </c>
      <c r="I6546" t="s">
        <v>45</v>
      </c>
      <c r="J6546" t="s">
        <v>46</v>
      </c>
      <c r="K6546" t="s">
        <v>30</v>
      </c>
      <c r="L6546" t="s">
        <v>31</v>
      </c>
      <c r="M6546" t="s">
        <v>220</v>
      </c>
      <c r="N6546">
        <v>4.3975200000000001E-4</v>
      </c>
      <c r="O6546">
        <v>6.0856050000000002E-2</v>
      </c>
      <c r="P6546">
        <v>5.9347807000000002E-2</v>
      </c>
      <c r="Q6546" t="str">
        <f t="shared" si="204"/>
        <v>50+</v>
      </c>
      <c r="R6546" t="str">
        <f t="shared" si="205"/>
        <v>[oiPR2CiVJbf]|50+|Female|Incidence_SUBNAT.Rt.T|CY2025Q3</v>
      </c>
    </row>
    <row r="6547" spans="4:18" x14ac:dyDescent="0.2">
      <c r="D6547" t="s">
        <v>117</v>
      </c>
      <c r="E6547" t="s">
        <v>118</v>
      </c>
      <c r="F6547" t="s">
        <v>119</v>
      </c>
      <c r="G6547" t="s">
        <v>222</v>
      </c>
      <c r="H6547" t="s">
        <v>222</v>
      </c>
      <c r="I6547" t="s">
        <v>28</v>
      </c>
      <c r="J6547" t="s">
        <v>29</v>
      </c>
      <c r="K6547" t="s">
        <v>48</v>
      </c>
      <c r="L6547" t="s">
        <v>49</v>
      </c>
      <c r="M6547" t="s">
        <v>220</v>
      </c>
      <c r="N6547">
        <v>3.6402409999999998E-3</v>
      </c>
      <c r="O6547">
        <v>5.4485249999999999E-2</v>
      </c>
      <c r="P6547">
        <v>5.9347807000000002E-2</v>
      </c>
      <c r="Q6547" t="str">
        <f t="shared" si="204"/>
        <v>&lt;01</v>
      </c>
      <c r="R6547" t="str">
        <f t="shared" si="205"/>
        <v>[oiPR2CiVJbf]|&lt;01|Male|Incidence_SUBNAT.Rt.T|CY2025Q3</v>
      </c>
    </row>
    <row r="6548" spans="4:18" x14ac:dyDescent="0.2">
      <c r="D6548" t="s">
        <v>117</v>
      </c>
      <c r="E6548" t="s">
        <v>118</v>
      </c>
      <c r="F6548" t="s">
        <v>119</v>
      </c>
      <c r="G6548" t="s">
        <v>222</v>
      </c>
      <c r="H6548" t="s">
        <v>222</v>
      </c>
      <c r="I6548" t="s">
        <v>33</v>
      </c>
      <c r="J6548" t="s">
        <v>34</v>
      </c>
      <c r="K6548" t="s">
        <v>48</v>
      </c>
      <c r="L6548" t="s">
        <v>49</v>
      </c>
      <c r="M6548" t="s">
        <v>220</v>
      </c>
      <c r="N6548">
        <v>1.09756E-4</v>
      </c>
      <c r="O6548">
        <v>2.7242624999999999E-2</v>
      </c>
      <c r="P6548">
        <v>5.9347807000000002E-2</v>
      </c>
      <c r="Q6548" t="str">
        <f t="shared" si="204"/>
        <v>01-09</v>
      </c>
      <c r="R6548" t="str">
        <f t="shared" si="205"/>
        <v>[oiPR2CiVJbf]|01-09|Male|Incidence_SUBNAT.Rt.T|CY2025Q3</v>
      </c>
    </row>
    <row r="6549" spans="4:18" x14ac:dyDescent="0.2">
      <c r="D6549" t="s">
        <v>117</v>
      </c>
      <c r="E6549" t="s">
        <v>118</v>
      </c>
      <c r="F6549" t="s">
        <v>119</v>
      </c>
      <c r="G6549" t="s">
        <v>222</v>
      </c>
      <c r="H6549" t="s">
        <v>222</v>
      </c>
      <c r="I6549" t="s">
        <v>36</v>
      </c>
      <c r="J6549" t="s">
        <v>37</v>
      </c>
      <c r="K6549" t="s">
        <v>48</v>
      </c>
      <c r="L6549" t="s">
        <v>49</v>
      </c>
      <c r="M6549" t="s">
        <v>220</v>
      </c>
      <c r="N6549">
        <v>0</v>
      </c>
      <c r="O6549">
        <v>0</v>
      </c>
      <c r="P6549">
        <v>5.9347807000000002E-2</v>
      </c>
      <c r="Q6549" t="str">
        <f t="shared" si="204"/>
        <v>10-14</v>
      </c>
      <c r="R6549" t="str">
        <f t="shared" si="205"/>
        <v>[oiPR2CiVJbf]|10-14|Male|Incidence_SUBNAT.Rt.T|CY2025Q3</v>
      </c>
    </row>
    <row r="6550" spans="4:18" x14ac:dyDescent="0.2">
      <c r="D6550" t="s">
        <v>117</v>
      </c>
      <c r="E6550" t="s">
        <v>118</v>
      </c>
      <c r="F6550" t="s">
        <v>119</v>
      </c>
      <c r="G6550" t="s">
        <v>222</v>
      </c>
      <c r="H6550" t="s">
        <v>222</v>
      </c>
      <c r="I6550" t="s">
        <v>38</v>
      </c>
      <c r="J6550" t="s">
        <v>39</v>
      </c>
      <c r="K6550" t="s">
        <v>48</v>
      </c>
      <c r="L6550" t="s">
        <v>49</v>
      </c>
      <c r="M6550" t="s">
        <v>220</v>
      </c>
      <c r="N6550">
        <v>3.7156400000000001E-4</v>
      </c>
      <c r="O6550">
        <v>6.4354500999999995E-2</v>
      </c>
      <c r="P6550">
        <v>5.9347807000000002E-2</v>
      </c>
      <c r="Q6550" t="str">
        <f t="shared" si="204"/>
        <v>15-24</v>
      </c>
      <c r="R6550" t="str">
        <f t="shared" si="205"/>
        <v>[oiPR2CiVJbf]|15-24|Male|Incidence_SUBNAT.Rt.T|CY2025Q3</v>
      </c>
    </row>
    <row r="6551" spans="4:18" x14ac:dyDescent="0.2">
      <c r="D6551" t="s">
        <v>117</v>
      </c>
      <c r="E6551" t="s">
        <v>118</v>
      </c>
      <c r="F6551" t="s">
        <v>119</v>
      </c>
      <c r="G6551" t="s">
        <v>222</v>
      </c>
      <c r="H6551" t="s">
        <v>222</v>
      </c>
      <c r="I6551" t="s">
        <v>41</v>
      </c>
      <c r="J6551" t="s">
        <v>42</v>
      </c>
      <c r="K6551" t="s">
        <v>48</v>
      </c>
      <c r="L6551" t="s">
        <v>49</v>
      </c>
      <c r="M6551" t="s">
        <v>220</v>
      </c>
      <c r="N6551">
        <v>1.977908E-3</v>
      </c>
      <c r="O6551">
        <v>6.4445153000000005E-2</v>
      </c>
      <c r="P6551">
        <v>5.9347807000000002E-2</v>
      </c>
      <c r="Q6551" t="str">
        <f t="shared" si="204"/>
        <v>25-34</v>
      </c>
      <c r="R6551" t="str">
        <f t="shared" si="205"/>
        <v>[oiPR2CiVJbf]|25-34|Male|Incidence_SUBNAT.Rt.T|CY2025Q3</v>
      </c>
    </row>
    <row r="6552" spans="4:18" x14ac:dyDescent="0.2">
      <c r="D6552" t="s">
        <v>117</v>
      </c>
      <c r="E6552" t="s">
        <v>118</v>
      </c>
      <c r="F6552" t="s">
        <v>119</v>
      </c>
      <c r="G6552" t="s">
        <v>222</v>
      </c>
      <c r="H6552" t="s">
        <v>222</v>
      </c>
      <c r="I6552" t="s">
        <v>43</v>
      </c>
      <c r="J6552" t="s">
        <v>44</v>
      </c>
      <c r="K6552" t="s">
        <v>48</v>
      </c>
      <c r="L6552" t="s">
        <v>49</v>
      </c>
      <c r="M6552" t="s">
        <v>220</v>
      </c>
      <c r="N6552">
        <v>2.2195359999999998E-3</v>
      </c>
      <c r="O6552">
        <v>6.4944255000000006E-2</v>
      </c>
      <c r="P6552">
        <v>5.9347807000000002E-2</v>
      </c>
      <c r="Q6552" t="str">
        <f t="shared" si="204"/>
        <v>35-49</v>
      </c>
      <c r="R6552" t="str">
        <f t="shared" si="205"/>
        <v>[oiPR2CiVJbf]|35-49|Male|Incidence_SUBNAT.Rt.T|CY2025Q3</v>
      </c>
    </row>
    <row r="6553" spans="4:18" x14ac:dyDescent="0.2">
      <c r="D6553" t="s">
        <v>117</v>
      </c>
      <c r="E6553" t="s">
        <v>118</v>
      </c>
      <c r="F6553" t="s">
        <v>119</v>
      </c>
      <c r="G6553" t="s">
        <v>222</v>
      </c>
      <c r="H6553" t="s">
        <v>222</v>
      </c>
      <c r="I6553" t="s">
        <v>45</v>
      </c>
      <c r="J6553" t="s">
        <v>46</v>
      </c>
      <c r="K6553" t="s">
        <v>48</v>
      </c>
      <c r="L6553" t="s">
        <v>49</v>
      </c>
      <c r="M6553" t="s">
        <v>220</v>
      </c>
      <c r="N6553">
        <v>1.0872989999999999E-3</v>
      </c>
      <c r="O6553">
        <v>6.2496893999999997E-2</v>
      </c>
      <c r="P6553">
        <v>5.9347807000000002E-2</v>
      </c>
      <c r="Q6553" t="str">
        <f t="shared" si="204"/>
        <v>50+</v>
      </c>
      <c r="R6553" t="str">
        <f t="shared" si="205"/>
        <v>[oiPR2CiVJbf]|50+|Male|Incidence_SUBNAT.Rt.T|CY2025Q3</v>
      </c>
    </row>
    <row r="6554" spans="4:18" x14ac:dyDescent="0.2">
      <c r="D6554" t="s">
        <v>120</v>
      </c>
      <c r="E6554" t="s">
        <v>121</v>
      </c>
      <c r="F6554" t="s">
        <v>122</v>
      </c>
      <c r="G6554" t="s">
        <v>222</v>
      </c>
      <c r="H6554" t="s">
        <v>222</v>
      </c>
      <c r="I6554" t="s">
        <v>28</v>
      </c>
      <c r="J6554" t="s">
        <v>29</v>
      </c>
      <c r="K6554" t="s">
        <v>30</v>
      </c>
      <c r="L6554" t="s">
        <v>31</v>
      </c>
      <c r="M6554" t="s">
        <v>220</v>
      </c>
      <c r="N6554">
        <v>3.172734E-3</v>
      </c>
      <c r="O6554">
        <v>3.1306154000000003E-2</v>
      </c>
      <c r="P6554">
        <v>4.4775707999999997E-2</v>
      </c>
      <c r="Q6554" t="str">
        <f t="shared" si="204"/>
        <v>&lt;01</v>
      </c>
      <c r="R6554" t="str">
        <f t="shared" si="205"/>
        <v>[mxqa3CDFmIT]|&lt;01|Female|Incidence_SUBNAT.Rt.T|CY2025Q3</v>
      </c>
    </row>
    <row r="6555" spans="4:18" x14ac:dyDescent="0.2">
      <c r="D6555" t="s">
        <v>120</v>
      </c>
      <c r="E6555" t="s">
        <v>121</v>
      </c>
      <c r="F6555" t="s">
        <v>122</v>
      </c>
      <c r="G6555" t="s">
        <v>222</v>
      </c>
      <c r="H6555" t="s">
        <v>222</v>
      </c>
      <c r="I6555" t="s">
        <v>33</v>
      </c>
      <c r="J6555" t="s">
        <v>34</v>
      </c>
      <c r="K6555" t="s">
        <v>30</v>
      </c>
      <c r="L6555" t="s">
        <v>31</v>
      </c>
      <c r="M6555" t="s">
        <v>220</v>
      </c>
      <c r="N6555">
        <v>1.00719E-4</v>
      </c>
      <c r="O6555">
        <v>1.5653077000000001E-2</v>
      </c>
      <c r="P6555">
        <v>4.4775707999999997E-2</v>
      </c>
      <c r="Q6555" t="str">
        <f t="shared" si="204"/>
        <v>01-09</v>
      </c>
      <c r="R6555" t="str">
        <f t="shared" si="205"/>
        <v>[mxqa3CDFmIT]|01-09|Female|Incidence_SUBNAT.Rt.T|CY2025Q3</v>
      </c>
    </row>
    <row r="6556" spans="4:18" x14ac:dyDescent="0.2">
      <c r="D6556" t="s">
        <v>120</v>
      </c>
      <c r="E6556" t="s">
        <v>121</v>
      </c>
      <c r="F6556" t="s">
        <v>122</v>
      </c>
      <c r="G6556" t="s">
        <v>222</v>
      </c>
      <c r="H6556" t="s">
        <v>222</v>
      </c>
      <c r="I6556" t="s">
        <v>36</v>
      </c>
      <c r="J6556" t="s">
        <v>37</v>
      </c>
      <c r="K6556" t="s">
        <v>30</v>
      </c>
      <c r="L6556" t="s">
        <v>31</v>
      </c>
      <c r="M6556" t="s">
        <v>220</v>
      </c>
      <c r="N6556">
        <v>0</v>
      </c>
      <c r="O6556">
        <v>0</v>
      </c>
      <c r="P6556">
        <v>4.4775707999999997E-2</v>
      </c>
      <c r="Q6556" t="str">
        <f t="shared" si="204"/>
        <v>10-14</v>
      </c>
      <c r="R6556" t="str">
        <f t="shared" si="205"/>
        <v>[mxqa3CDFmIT]|10-14|Female|Incidence_SUBNAT.Rt.T|CY2025Q3</v>
      </c>
    </row>
    <row r="6557" spans="4:18" x14ac:dyDescent="0.2">
      <c r="D6557" t="s">
        <v>120</v>
      </c>
      <c r="E6557" t="s">
        <v>121</v>
      </c>
      <c r="F6557" t="s">
        <v>122</v>
      </c>
      <c r="G6557" t="s">
        <v>222</v>
      </c>
      <c r="H6557" t="s">
        <v>222</v>
      </c>
      <c r="I6557" t="s">
        <v>38</v>
      </c>
      <c r="J6557" t="s">
        <v>39</v>
      </c>
      <c r="K6557" t="s">
        <v>30</v>
      </c>
      <c r="L6557" t="s">
        <v>31</v>
      </c>
      <c r="M6557" t="s">
        <v>220</v>
      </c>
      <c r="N6557">
        <v>2.0332560000000002E-3</v>
      </c>
      <c r="O6557">
        <v>4.9333776000000003E-2</v>
      </c>
      <c r="P6557">
        <v>4.4775707999999997E-2</v>
      </c>
      <c r="Q6557" t="str">
        <f t="shared" si="204"/>
        <v>15-24</v>
      </c>
      <c r="R6557" t="str">
        <f t="shared" si="205"/>
        <v>[mxqa3CDFmIT]|15-24|Female|Incidence_SUBNAT.Rt.T|CY2025Q3</v>
      </c>
    </row>
    <row r="6558" spans="4:18" x14ac:dyDescent="0.2">
      <c r="D6558" t="s">
        <v>120</v>
      </c>
      <c r="E6558" t="s">
        <v>121</v>
      </c>
      <c r="F6558" t="s">
        <v>122</v>
      </c>
      <c r="G6558" t="s">
        <v>222</v>
      </c>
      <c r="H6558" t="s">
        <v>222</v>
      </c>
      <c r="I6558" t="s">
        <v>41</v>
      </c>
      <c r="J6558" t="s">
        <v>42</v>
      </c>
      <c r="K6558" t="s">
        <v>30</v>
      </c>
      <c r="L6558" t="s">
        <v>31</v>
      </c>
      <c r="M6558" t="s">
        <v>220</v>
      </c>
      <c r="N6558">
        <v>3.0177559999999999E-3</v>
      </c>
      <c r="O6558">
        <v>4.9827498999999997E-2</v>
      </c>
      <c r="P6558">
        <v>4.4775707999999997E-2</v>
      </c>
      <c r="Q6558" t="str">
        <f t="shared" si="204"/>
        <v>25-34</v>
      </c>
      <c r="R6558" t="str">
        <f t="shared" si="205"/>
        <v>[mxqa3CDFmIT]|25-34|Female|Incidence_SUBNAT.Rt.T|CY2025Q3</v>
      </c>
    </row>
    <row r="6559" spans="4:18" x14ac:dyDescent="0.2">
      <c r="D6559" t="s">
        <v>120</v>
      </c>
      <c r="E6559" t="s">
        <v>121</v>
      </c>
      <c r="F6559" t="s">
        <v>122</v>
      </c>
      <c r="G6559" t="s">
        <v>222</v>
      </c>
      <c r="H6559" t="s">
        <v>222</v>
      </c>
      <c r="I6559" t="s">
        <v>43</v>
      </c>
      <c r="J6559" t="s">
        <v>44</v>
      </c>
      <c r="K6559" t="s">
        <v>30</v>
      </c>
      <c r="L6559" t="s">
        <v>31</v>
      </c>
      <c r="M6559" t="s">
        <v>220</v>
      </c>
      <c r="N6559">
        <v>1.5809940000000001E-3</v>
      </c>
      <c r="O6559">
        <v>4.9285968999999999E-2</v>
      </c>
      <c r="P6559">
        <v>4.4775707999999997E-2</v>
      </c>
      <c r="Q6559" t="str">
        <f t="shared" si="204"/>
        <v>35-49</v>
      </c>
      <c r="R6559" t="str">
        <f t="shared" si="205"/>
        <v>[mxqa3CDFmIT]|35-49|Female|Incidence_SUBNAT.Rt.T|CY2025Q3</v>
      </c>
    </row>
    <row r="6560" spans="4:18" x14ac:dyDescent="0.2">
      <c r="D6560" t="s">
        <v>120</v>
      </c>
      <c r="E6560" t="s">
        <v>121</v>
      </c>
      <c r="F6560" t="s">
        <v>122</v>
      </c>
      <c r="G6560" t="s">
        <v>222</v>
      </c>
      <c r="H6560" t="s">
        <v>222</v>
      </c>
      <c r="I6560" t="s">
        <v>45</v>
      </c>
      <c r="J6560" t="s">
        <v>46</v>
      </c>
      <c r="K6560" t="s">
        <v>30</v>
      </c>
      <c r="L6560" t="s">
        <v>31</v>
      </c>
      <c r="M6560" t="s">
        <v>220</v>
      </c>
      <c r="N6560">
        <v>4.1891999999999998E-4</v>
      </c>
      <c r="O6560">
        <v>4.8931240000000001E-2</v>
      </c>
      <c r="P6560">
        <v>4.4775707999999997E-2</v>
      </c>
      <c r="Q6560" t="str">
        <f t="shared" si="204"/>
        <v>50+</v>
      </c>
      <c r="R6560" t="str">
        <f t="shared" si="205"/>
        <v>[mxqa3CDFmIT]|50+|Female|Incidence_SUBNAT.Rt.T|CY2025Q3</v>
      </c>
    </row>
    <row r="6561" spans="4:18" x14ac:dyDescent="0.2">
      <c r="D6561" t="s">
        <v>120</v>
      </c>
      <c r="E6561" t="s">
        <v>121</v>
      </c>
      <c r="F6561" t="s">
        <v>122</v>
      </c>
      <c r="G6561" t="s">
        <v>222</v>
      </c>
      <c r="H6561" t="s">
        <v>222</v>
      </c>
      <c r="I6561" t="s">
        <v>28</v>
      </c>
      <c r="J6561" t="s">
        <v>29</v>
      </c>
      <c r="K6561" t="s">
        <v>48</v>
      </c>
      <c r="L6561" t="s">
        <v>49</v>
      </c>
      <c r="M6561" t="s">
        <v>220</v>
      </c>
      <c r="N6561">
        <v>3.1819560000000001E-3</v>
      </c>
      <c r="O6561">
        <v>3.1307568000000001E-2</v>
      </c>
      <c r="P6561">
        <v>4.4775707999999997E-2</v>
      </c>
      <c r="Q6561" t="str">
        <f t="shared" si="204"/>
        <v>&lt;01</v>
      </c>
      <c r="R6561" t="str">
        <f t="shared" si="205"/>
        <v>[mxqa3CDFmIT]|&lt;01|Male|Incidence_SUBNAT.Rt.T|CY2025Q3</v>
      </c>
    </row>
    <row r="6562" spans="4:18" x14ac:dyDescent="0.2">
      <c r="D6562" t="s">
        <v>120</v>
      </c>
      <c r="E6562" t="s">
        <v>121</v>
      </c>
      <c r="F6562" t="s">
        <v>122</v>
      </c>
      <c r="G6562" t="s">
        <v>222</v>
      </c>
      <c r="H6562" t="s">
        <v>222</v>
      </c>
      <c r="I6562" t="s">
        <v>33</v>
      </c>
      <c r="J6562" t="s">
        <v>34</v>
      </c>
      <c r="K6562" t="s">
        <v>48</v>
      </c>
      <c r="L6562" t="s">
        <v>49</v>
      </c>
      <c r="M6562" t="s">
        <v>220</v>
      </c>
      <c r="N6562">
        <v>1.00321E-4</v>
      </c>
      <c r="O6562">
        <v>1.5653784E-2</v>
      </c>
      <c r="P6562">
        <v>4.4775707999999997E-2</v>
      </c>
      <c r="Q6562" t="str">
        <f t="shared" si="204"/>
        <v>01-09</v>
      </c>
      <c r="R6562" t="str">
        <f t="shared" si="205"/>
        <v>[mxqa3CDFmIT]|01-09|Male|Incidence_SUBNAT.Rt.T|CY2025Q3</v>
      </c>
    </row>
    <row r="6563" spans="4:18" x14ac:dyDescent="0.2">
      <c r="D6563" t="s">
        <v>120</v>
      </c>
      <c r="E6563" t="s">
        <v>121</v>
      </c>
      <c r="F6563" t="s">
        <v>122</v>
      </c>
      <c r="G6563" t="s">
        <v>222</v>
      </c>
      <c r="H6563" t="s">
        <v>222</v>
      </c>
      <c r="I6563" t="s">
        <v>36</v>
      </c>
      <c r="J6563" t="s">
        <v>37</v>
      </c>
      <c r="K6563" t="s">
        <v>48</v>
      </c>
      <c r="L6563" t="s">
        <v>49</v>
      </c>
      <c r="M6563" t="s">
        <v>220</v>
      </c>
      <c r="N6563">
        <v>0</v>
      </c>
      <c r="O6563">
        <v>0</v>
      </c>
      <c r="P6563">
        <v>4.4775707999999997E-2</v>
      </c>
      <c r="Q6563" t="str">
        <f t="shared" si="204"/>
        <v>10-14</v>
      </c>
      <c r="R6563" t="str">
        <f t="shared" si="205"/>
        <v>[mxqa3CDFmIT]|10-14|Male|Incidence_SUBNAT.Rt.T|CY2025Q3</v>
      </c>
    </row>
    <row r="6564" spans="4:18" x14ac:dyDescent="0.2">
      <c r="D6564" t="s">
        <v>120</v>
      </c>
      <c r="E6564" t="s">
        <v>121</v>
      </c>
      <c r="F6564" t="s">
        <v>122</v>
      </c>
      <c r="G6564" t="s">
        <v>222</v>
      </c>
      <c r="H6564" t="s">
        <v>222</v>
      </c>
      <c r="I6564" t="s">
        <v>38</v>
      </c>
      <c r="J6564" t="s">
        <v>39</v>
      </c>
      <c r="K6564" t="s">
        <v>48</v>
      </c>
      <c r="L6564" t="s">
        <v>49</v>
      </c>
      <c r="M6564" t="s">
        <v>220</v>
      </c>
      <c r="N6564">
        <v>3.7175700000000001E-4</v>
      </c>
      <c r="O6564">
        <v>4.9589789000000002E-2</v>
      </c>
      <c r="P6564">
        <v>4.4775707999999997E-2</v>
      </c>
      <c r="Q6564" t="str">
        <f t="shared" si="204"/>
        <v>15-24</v>
      </c>
      <c r="R6564" t="str">
        <f t="shared" si="205"/>
        <v>[mxqa3CDFmIT]|15-24|Male|Incidence_SUBNAT.Rt.T|CY2025Q3</v>
      </c>
    </row>
    <row r="6565" spans="4:18" x14ac:dyDescent="0.2">
      <c r="D6565" t="s">
        <v>120</v>
      </c>
      <c r="E6565" t="s">
        <v>121</v>
      </c>
      <c r="F6565" t="s">
        <v>122</v>
      </c>
      <c r="G6565" t="s">
        <v>222</v>
      </c>
      <c r="H6565" t="s">
        <v>222</v>
      </c>
      <c r="I6565" t="s">
        <v>41</v>
      </c>
      <c r="J6565" t="s">
        <v>42</v>
      </c>
      <c r="K6565" t="s">
        <v>48</v>
      </c>
      <c r="L6565" t="s">
        <v>49</v>
      </c>
      <c r="M6565" t="s">
        <v>220</v>
      </c>
      <c r="N6565">
        <v>1.810891E-3</v>
      </c>
      <c r="O6565">
        <v>4.984653E-2</v>
      </c>
      <c r="P6565">
        <v>4.4775707999999997E-2</v>
      </c>
      <c r="Q6565" t="str">
        <f t="shared" si="204"/>
        <v>25-34</v>
      </c>
      <c r="R6565" t="str">
        <f t="shared" si="205"/>
        <v>[mxqa3CDFmIT]|25-34|Male|Incidence_SUBNAT.Rt.T|CY2025Q3</v>
      </c>
    </row>
    <row r="6566" spans="4:18" x14ac:dyDescent="0.2">
      <c r="D6566" t="s">
        <v>120</v>
      </c>
      <c r="E6566" t="s">
        <v>121</v>
      </c>
      <c r="F6566" t="s">
        <v>122</v>
      </c>
      <c r="G6566" t="s">
        <v>222</v>
      </c>
      <c r="H6566" t="s">
        <v>222</v>
      </c>
      <c r="I6566" t="s">
        <v>43</v>
      </c>
      <c r="J6566" t="s">
        <v>44</v>
      </c>
      <c r="K6566" t="s">
        <v>48</v>
      </c>
      <c r="L6566" t="s">
        <v>49</v>
      </c>
      <c r="M6566" t="s">
        <v>220</v>
      </c>
      <c r="N6566">
        <v>2.0060830000000001E-3</v>
      </c>
      <c r="O6566">
        <v>4.9438946999999997E-2</v>
      </c>
      <c r="P6566">
        <v>4.4775707999999997E-2</v>
      </c>
      <c r="Q6566" t="str">
        <f t="shared" si="204"/>
        <v>35-49</v>
      </c>
      <c r="R6566" t="str">
        <f t="shared" si="205"/>
        <v>[mxqa3CDFmIT]|35-49|Male|Incidence_SUBNAT.Rt.T|CY2025Q3</v>
      </c>
    </row>
    <row r="6567" spans="4:18" x14ac:dyDescent="0.2">
      <c r="D6567" t="s">
        <v>120</v>
      </c>
      <c r="E6567" t="s">
        <v>121</v>
      </c>
      <c r="F6567" t="s">
        <v>122</v>
      </c>
      <c r="G6567" t="s">
        <v>222</v>
      </c>
      <c r="H6567" t="s">
        <v>222</v>
      </c>
      <c r="I6567" t="s">
        <v>45</v>
      </c>
      <c r="J6567" t="s">
        <v>46</v>
      </c>
      <c r="K6567" t="s">
        <v>48</v>
      </c>
      <c r="L6567" t="s">
        <v>49</v>
      </c>
      <c r="M6567" t="s">
        <v>220</v>
      </c>
      <c r="N6567">
        <v>1.0262719999999999E-3</v>
      </c>
      <c r="O6567">
        <v>4.8296933E-2</v>
      </c>
      <c r="P6567">
        <v>4.4775707999999997E-2</v>
      </c>
      <c r="Q6567" t="str">
        <f t="shared" si="204"/>
        <v>50+</v>
      </c>
      <c r="R6567" t="str">
        <f t="shared" si="205"/>
        <v>[mxqa3CDFmIT]|50+|Male|Incidence_SUBNAT.Rt.T|CY2025Q3</v>
      </c>
    </row>
    <row r="6568" spans="4:18" x14ac:dyDescent="0.2">
      <c r="D6568" t="s">
        <v>123</v>
      </c>
      <c r="E6568" t="s">
        <v>124</v>
      </c>
      <c r="F6568" t="s">
        <v>125</v>
      </c>
      <c r="G6568" t="s">
        <v>222</v>
      </c>
      <c r="H6568" t="s">
        <v>222</v>
      </c>
      <c r="I6568" t="s">
        <v>28</v>
      </c>
      <c r="J6568" t="s">
        <v>29</v>
      </c>
      <c r="K6568" t="s">
        <v>30</v>
      </c>
      <c r="L6568" t="s">
        <v>31</v>
      </c>
      <c r="M6568" t="s">
        <v>220</v>
      </c>
      <c r="N6568">
        <v>1.853847E-3</v>
      </c>
      <c r="O6568">
        <v>8.4889072999999995E-2</v>
      </c>
      <c r="P6568">
        <v>9.1792578999999999E-2</v>
      </c>
      <c r="Q6568" t="str">
        <f t="shared" si="204"/>
        <v>&lt;01</v>
      </c>
      <c r="R6568" t="str">
        <f t="shared" si="205"/>
        <v>[wNqJp8oRIcF]|&lt;01|Female|Incidence_SUBNAT.Rt.T|CY2025Q3</v>
      </c>
    </row>
    <row r="6569" spans="4:18" x14ac:dyDescent="0.2">
      <c r="D6569" t="s">
        <v>123</v>
      </c>
      <c r="E6569" t="s">
        <v>124</v>
      </c>
      <c r="F6569" t="s">
        <v>125</v>
      </c>
      <c r="G6569" t="s">
        <v>222</v>
      </c>
      <c r="H6569" t="s">
        <v>222</v>
      </c>
      <c r="I6569" t="s">
        <v>33</v>
      </c>
      <c r="J6569" t="s">
        <v>34</v>
      </c>
      <c r="K6569" t="s">
        <v>30</v>
      </c>
      <c r="L6569" t="s">
        <v>31</v>
      </c>
      <c r="M6569" t="s">
        <v>220</v>
      </c>
      <c r="N6569" s="235" t="s">
        <v>159</v>
      </c>
      <c r="O6569">
        <v>4.2444535999999998E-2</v>
      </c>
      <c r="P6569">
        <v>9.1792578999999999E-2</v>
      </c>
      <c r="Q6569" t="str">
        <f t="shared" si="204"/>
        <v>01-09</v>
      </c>
      <c r="R6569" t="str">
        <f t="shared" si="205"/>
        <v>[wNqJp8oRIcF]|01-09|Female|Incidence_SUBNAT.Rt.T|CY2025Q3</v>
      </c>
    </row>
    <row r="6570" spans="4:18" x14ac:dyDescent="0.2">
      <c r="D6570" t="s">
        <v>123</v>
      </c>
      <c r="E6570" t="s">
        <v>124</v>
      </c>
      <c r="F6570" t="s">
        <v>125</v>
      </c>
      <c r="G6570" t="s">
        <v>222</v>
      </c>
      <c r="H6570" t="s">
        <v>222</v>
      </c>
      <c r="I6570" t="s">
        <v>36</v>
      </c>
      <c r="J6570" t="s">
        <v>37</v>
      </c>
      <c r="K6570" t="s">
        <v>30</v>
      </c>
      <c r="L6570" t="s">
        <v>31</v>
      </c>
      <c r="M6570" t="s">
        <v>220</v>
      </c>
      <c r="N6570">
        <v>0</v>
      </c>
      <c r="O6570">
        <v>0</v>
      </c>
      <c r="P6570">
        <v>9.1792578999999999E-2</v>
      </c>
      <c r="Q6570" t="str">
        <f t="shared" si="204"/>
        <v>10-14</v>
      </c>
      <c r="R6570" t="str">
        <f t="shared" si="205"/>
        <v>[wNqJp8oRIcF]|10-14|Female|Incidence_SUBNAT.Rt.T|CY2025Q3</v>
      </c>
    </row>
    <row r="6571" spans="4:18" x14ac:dyDescent="0.2">
      <c r="D6571" t="s">
        <v>123</v>
      </c>
      <c r="E6571" t="s">
        <v>124</v>
      </c>
      <c r="F6571" t="s">
        <v>125</v>
      </c>
      <c r="G6571" t="s">
        <v>222</v>
      </c>
      <c r="H6571" t="s">
        <v>222</v>
      </c>
      <c r="I6571" t="s">
        <v>38</v>
      </c>
      <c r="J6571" t="s">
        <v>39</v>
      </c>
      <c r="K6571" t="s">
        <v>30</v>
      </c>
      <c r="L6571" t="s">
        <v>31</v>
      </c>
      <c r="M6571" t="s">
        <v>220</v>
      </c>
      <c r="N6571">
        <v>1.0727340000000001E-3</v>
      </c>
      <c r="O6571">
        <v>9.6008593000000003E-2</v>
      </c>
      <c r="P6571">
        <v>9.1792578999999999E-2</v>
      </c>
      <c r="Q6571" t="str">
        <f t="shared" si="204"/>
        <v>15-24</v>
      </c>
      <c r="R6571" t="str">
        <f t="shared" si="205"/>
        <v>[wNqJp8oRIcF]|15-24|Female|Incidence_SUBNAT.Rt.T|CY2025Q3</v>
      </c>
    </row>
    <row r="6572" spans="4:18" x14ac:dyDescent="0.2">
      <c r="D6572" t="s">
        <v>123</v>
      </c>
      <c r="E6572" t="s">
        <v>124</v>
      </c>
      <c r="F6572" t="s">
        <v>125</v>
      </c>
      <c r="G6572" t="s">
        <v>222</v>
      </c>
      <c r="H6572" t="s">
        <v>222</v>
      </c>
      <c r="I6572" t="s">
        <v>41</v>
      </c>
      <c r="J6572" t="s">
        <v>42</v>
      </c>
      <c r="K6572" t="s">
        <v>30</v>
      </c>
      <c r="L6572" t="s">
        <v>31</v>
      </c>
      <c r="M6572" t="s">
        <v>220</v>
      </c>
      <c r="N6572">
        <v>1.5954669999999999E-3</v>
      </c>
      <c r="O6572">
        <v>9.6479048999999997E-2</v>
      </c>
      <c r="P6572">
        <v>9.1792578999999999E-2</v>
      </c>
      <c r="Q6572" t="str">
        <f t="shared" si="204"/>
        <v>25-34</v>
      </c>
      <c r="R6572" t="str">
        <f t="shared" si="205"/>
        <v>[wNqJp8oRIcF]|25-34|Female|Incidence_SUBNAT.Rt.T|CY2025Q3</v>
      </c>
    </row>
    <row r="6573" spans="4:18" x14ac:dyDescent="0.2">
      <c r="D6573" t="s">
        <v>123</v>
      </c>
      <c r="E6573" t="s">
        <v>124</v>
      </c>
      <c r="F6573" t="s">
        <v>125</v>
      </c>
      <c r="G6573" t="s">
        <v>222</v>
      </c>
      <c r="H6573" t="s">
        <v>222</v>
      </c>
      <c r="I6573" t="s">
        <v>43</v>
      </c>
      <c r="J6573" t="s">
        <v>44</v>
      </c>
      <c r="K6573" t="s">
        <v>30</v>
      </c>
      <c r="L6573" t="s">
        <v>31</v>
      </c>
      <c r="M6573" t="s">
        <v>220</v>
      </c>
      <c r="N6573">
        <v>8.3845399999999998E-4</v>
      </c>
      <c r="O6573">
        <v>9.7008991000000003E-2</v>
      </c>
      <c r="P6573">
        <v>9.1792578999999999E-2</v>
      </c>
      <c r="Q6573" t="str">
        <f t="shared" si="204"/>
        <v>35-49</v>
      </c>
      <c r="R6573" t="str">
        <f t="shared" si="205"/>
        <v>[wNqJp8oRIcF]|35-49|Female|Incidence_SUBNAT.Rt.T|CY2025Q3</v>
      </c>
    </row>
    <row r="6574" spans="4:18" x14ac:dyDescent="0.2">
      <c r="D6574" t="s">
        <v>123</v>
      </c>
      <c r="E6574" t="s">
        <v>124</v>
      </c>
      <c r="F6574" t="s">
        <v>125</v>
      </c>
      <c r="G6574" t="s">
        <v>222</v>
      </c>
      <c r="H6574" t="s">
        <v>222</v>
      </c>
      <c r="I6574" t="s">
        <v>45</v>
      </c>
      <c r="J6574" t="s">
        <v>46</v>
      </c>
      <c r="K6574" t="s">
        <v>30</v>
      </c>
      <c r="L6574" t="s">
        <v>31</v>
      </c>
      <c r="M6574" t="s">
        <v>220</v>
      </c>
      <c r="N6574">
        <v>2.3085400000000001E-4</v>
      </c>
      <c r="O6574">
        <v>9.3318403999999994E-2</v>
      </c>
      <c r="P6574">
        <v>9.1792578999999999E-2</v>
      </c>
      <c r="Q6574" t="str">
        <f t="shared" si="204"/>
        <v>50+</v>
      </c>
      <c r="R6574" t="str">
        <f t="shared" si="205"/>
        <v>[wNqJp8oRIcF]|50+|Female|Incidence_SUBNAT.Rt.T|CY2025Q3</v>
      </c>
    </row>
    <row r="6575" spans="4:18" x14ac:dyDescent="0.2">
      <c r="D6575" t="s">
        <v>123</v>
      </c>
      <c r="E6575" t="s">
        <v>124</v>
      </c>
      <c r="F6575" t="s">
        <v>125</v>
      </c>
      <c r="G6575" t="s">
        <v>222</v>
      </c>
      <c r="H6575" t="s">
        <v>222</v>
      </c>
      <c r="I6575" t="s">
        <v>28</v>
      </c>
      <c r="J6575" t="s">
        <v>29</v>
      </c>
      <c r="K6575" t="s">
        <v>48</v>
      </c>
      <c r="L6575" t="s">
        <v>49</v>
      </c>
      <c r="M6575" t="s">
        <v>220</v>
      </c>
      <c r="N6575">
        <v>1.859992E-3</v>
      </c>
      <c r="O6575">
        <v>8.4889072999999995E-2</v>
      </c>
      <c r="P6575">
        <v>9.1792578999999999E-2</v>
      </c>
      <c r="Q6575" t="str">
        <f t="shared" si="204"/>
        <v>&lt;01</v>
      </c>
      <c r="R6575" t="str">
        <f t="shared" si="205"/>
        <v>[wNqJp8oRIcF]|&lt;01|Male|Incidence_SUBNAT.Rt.T|CY2025Q3</v>
      </c>
    </row>
    <row r="6576" spans="4:18" x14ac:dyDescent="0.2">
      <c r="D6576" t="s">
        <v>123</v>
      </c>
      <c r="E6576" t="s">
        <v>124</v>
      </c>
      <c r="F6576" t="s">
        <v>125</v>
      </c>
      <c r="G6576" t="s">
        <v>222</v>
      </c>
      <c r="H6576" t="s">
        <v>222</v>
      </c>
      <c r="I6576" t="s">
        <v>33</v>
      </c>
      <c r="J6576" t="s">
        <v>34</v>
      </c>
      <c r="K6576" t="s">
        <v>48</v>
      </c>
      <c r="L6576" t="s">
        <v>49</v>
      </c>
      <c r="M6576" t="s">
        <v>220</v>
      </c>
      <c r="N6576" s="235" t="s">
        <v>266</v>
      </c>
      <c r="O6576">
        <v>4.2444535999999998E-2</v>
      </c>
      <c r="P6576">
        <v>9.1792578999999999E-2</v>
      </c>
      <c r="Q6576" t="str">
        <f t="shared" si="204"/>
        <v>01-09</v>
      </c>
      <c r="R6576" t="str">
        <f t="shared" si="205"/>
        <v>[wNqJp8oRIcF]|01-09|Male|Incidence_SUBNAT.Rt.T|CY2025Q3</v>
      </c>
    </row>
    <row r="6577" spans="4:18" x14ac:dyDescent="0.2">
      <c r="D6577" t="s">
        <v>123</v>
      </c>
      <c r="E6577" t="s">
        <v>124</v>
      </c>
      <c r="F6577" t="s">
        <v>125</v>
      </c>
      <c r="G6577" t="s">
        <v>222</v>
      </c>
      <c r="H6577" t="s">
        <v>222</v>
      </c>
      <c r="I6577" t="s">
        <v>36</v>
      </c>
      <c r="J6577" t="s">
        <v>37</v>
      </c>
      <c r="K6577" t="s">
        <v>48</v>
      </c>
      <c r="L6577" t="s">
        <v>49</v>
      </c>
      <c r="M6577" t="s">
        <v>220</v>
      </c>
      <c r="N6577">
        <v>0</v>
      </c>
      <c r="O6577">
        <v>0</v>
      </c>
      <c r="P6577">
        <v>9.1792578999999999E-2</v>
      </c>
      <c r="Q6577" t="str">
        <f t="shared" si="204"/>
        <v>10-14</v>
      </c>
      <c r="R6577" t="str">
        <f t="shared" si="205"/>
        <v>[wNqJp8oRIcF]|10-14|Male|Incidence_SUBNAT.Rt.T|CY2025Q3</v>
      </c>
    </row>
    <row r="6578" spans="4:18" x14ac:dyDescent="0.2">
      <c r="D6578" t="s">
        <v>123</v>
      </c>
      <c r="E6578" t="s">
        <v>124</v>
      </c>
      <c r="F6578" t="s">
        <v>125</v>
      </c>
      <c r="G6578" t="s">
        <v>222</v>
      </c>
      <c r="H6578" t="s">
        <v>222</v>
      </c>
      <c r="I6578" t="s">
        <v>38</v>
      </c>
      <c r="J6578" t="s">
        <v>39</v>
      </c>
      <c r="K6578" t="s">
        <v>48</v>
      </c>
      <c r="L6578" t="s">
        <v>49</v>
      </c>
      <c r="M6578" t="s">
        <v>220</v>
      </c>
      <c r="N6578">
        <v>1.8925999999999999E-4</v>
      </c>
      <c r="O6578">
        <v>9.6228599999999997E-2</v>
      </c>
      <c r="P6578">
        <v>9.1792578999999999E-2</v>
      </c>
      <c r="Q6578" t="str">
        <f t="shared" si="204"/>
        <v>15-24</v>
      </c>
      <c r="R6578" t="str">
        <f t="shared" si="205"/>
        <v>[wNqJp8oRIcF]|15-24|Male|Incidence_SUBNAT.Rt.T|CY2025Q3</v>
      </c>
    </row>
    <row r="6579" spans="4:18" x14ac:dyDescent="0.2">
      <c r="D6579" t="s">
        <v>123</v>
      </c>
      <c r="E6579" t="s">
        <v>124</v>
      </c>
      <c r="F6579" t="s">
        <v>125</v>
      </c>
      <c r="G6579" t="s">
        <v>222</v>
      </c>
      <c r="H6579" t="s">
        <v>222</v>
      </c>
      <c r="I6579" t="s">
        <v>41</v>
      </c>
      <c r="J6579" t="s">
        <v>42</v>
      </c>
      <c r="K6579" t="s">
        <v>48</v>
      </c>
      <c r="L6579" t="s">
        <v>49</v>
      </c>
      <c r="M6579" t="s">
        <v>220</v>
      </c>
      <c r="N6579">
        <v>9.4994899999999995E-4</v>
      </c>
      <c r="O6579">
        <v>9.6175026999999996E-2</v>
      </c>
      <c r="P6579">
        <v>9.1792578999999999E-2</v>
      </c>
      <c r="Q6579" t="str">
        <f t="shared" si="204"/>
        <v>25-34</v>
      </c>
      <c r="R6579" t="str">
        <f t="shared" si="205"/>
        <v>[wNqJp8oRIcF]|25-34|Male|Incidence_SUBNAT.Rt.T|CY2025Q3</v>
      </c>
    </row>
    <row r="6580" spans="4:18" x14ac:dyDescent="0.2">
      <c r="D6580" t="s">
        <v>123</v>
      </c>
      <c r="E6580" t="s">
        <v>124</v>
      </c>
      <c r="F6580" t="s">
        <v>125</v>
      </c>
      <c r="G6580" t="s">
        <v>222</v>
      </c>
      <c r="H6580" t="s">
        <v>222</v>
      </c>
      <c r="I6580" t="s">
        <v>43</v>
      </c>
      <c r="J6580" t="s">
        <v>44</v>
      </c>
      <c r="K6580" t="s">
        <v>48</v>
      </c>
      <c r="L6580" t="s">
        <v>49</v>
      </c>
      <c r="M6580" t="s">
        <v>220</v>
      </c>
      <c r="N6580">
        <v>1.066036E-3</v>
      </c>
      <c r="O6580">
        <v>9.6551179000000001E-2</v>
      </c>
      <c r="P6580">
        <v>9.1792578999999999E-2</v>
      </c>
      <c r="Q6580" t="str">
        <f t="shared" si="204"/>
        <v>35-49</v>
      </c>
      <c r="R6580" t="str">
        <f t="shared" si="205"/>
        <v>[wNqJp8oRIcF]|35-49|Male|Incidence_SUBNAT.Rt.T|CY2025Q3</v>
      </c>
    </row>
    <row r="6581" spans="4:18" x14ac:dyDescent="0.2">
      <c r="D6581" t="s">
        <v>123</v>
      </c>
      <c r="E6581" t="s">
        <v>124</v>
      </c>
      <c r="F6581" t="s">
        <v>125</v>
      </c>
      <c r="G6581" t="s">
        <v>222</v>
      </c>
      <c r="H6581" t="s">
        <v>222</v>
      </c>
      <c r="I6581" t="s">
        <v>45</v>
      </c>
      <c r="J6581" t="s">
        <v>46</v>
      </c>
      <c r="K6581" t="s">
        <v>48</v>
      </c>
      <c r="L6581" t="s">
        <v>49</v>
      </c>
      <c r="M6581" t="s">
        <v>220</v>
      </c>
      <c r="N6581">
        <v>5.60499E-4</v>
      </c>
      <c r="O6581">
        <v>9.4883428000000006E-2</v>
      </c>
      <c r="P6581">
        <v>9.1792578999999999E-2</v>
      </c>
      <c r="Q6581" t="str">
        <f t="shared" si="204"/>
        <v>50+</v>
      </c>
      <c r="R6581" t="str">
        <f t="shared" si="205"/>
        <v>[wNqJp8oRIcF]|50+|Male|Incidence_SUBNAT.Rt.T|CY2025Q3</v>
      </c>
    </row>
    <row r="6582" spans="4:18" x14ac:dyDescent="0.2">
      <c r="D6582" t="s">
        <v>126</v>
      </c>
      <c r="E6582" t="s">
        <v>127</v>
      </c>
      <c r="F6582" t="s">
        <v>128</v>
      </c>
      <c r="G6582" t="s">
        <v>222</v>
      </c>
      <c r="H6582" t="s">
        <v>222</v>
      </c>
      <c r="I6582" t="s">
        <v>28</v>
      </c>
      <c r="J6582" t="s">
        <v>29</v>
      </c>
      <c r="K6582" t="s">
        <v>30</v>
      </c>
      <c r="L6582" t="s">
        <v>31</v>
      </c>
      <c r="M6582" t="s">
        <v>220</v>
      </c>
      <c r="N6582">
        <v>3.225622E-3</v>
      </c>
      <c r="O6582">
        <v>4.8538525999999999E-2</v>
      </c>
      <c r="P6582">
        <v>5.4049674999999998E-2</v>
      </c>
      <c r="Q6582" t="str">
        <f t="shared" si="204"/>
        <v>&lt;01</v>
      </c>
      <c r="R6582" t="str">
        <f t="shared" si="205"/>
        <v>[ul0y9diGujK]|&lt;01|Female|Incidence_SUBNAT.Rt.T|CY2025Q3</v>
      </c>
    </row>
    <row r="6583" spans="4:18" x14ac:dyDescent="0.2">
      <c r="D6583" t="s">
        <v>126</v>
      </c>
      <c r="E6583" t="s">
        <v>127</v>
      </c>
      <c r="F6583" t="s">
        <v>128</v>
      </c>
      <c r="G6583" t="s">
        <v>222</v>
      </c>
      <c r="H6583" t="s">
        <v>222</v>
      </c>
      <c r="I6583" t="s">
        <v>33</v>
      </c>
      <c r="J6583" t="s">
        <v>34</v>
      </c>
      <c r="K6583" t="s">
        <v>30</v>
      </c>
      <c r="L6583" t="s">
        <v>31</v>
      </c>
      <c r="M6583" t="s">
        <v>220</v>
      </c>
      <c r="N6583" s="235" t="s">
        <v>267</v>
      </c>
      <c r="O6583">
        <v>2.4269262999999999E-2</v>
      </c>
      <c r="P6583">
        <v>5.4049674999999998E-2</v>
      </c>
      <c r="Q6583" t="str">
        <f t="shared" si="204"/>
        <v>01-09</v>
      </c>
      <c r="R6583" t="str">
        <f t="shared" si="205"/>
        <v>[ul0y9diGujK]|01-09|Female|Incidence_SUBNAT.Rt.T|CY2025Q3</v>
      </c>
    </row>
    <row r="6584" spans="4:18" x14ac:dyDescent="0.2">
      <c r="D6584" t="s">
        <v>126</v>
      </c>
      <c r="E6584" t="s">
        <v>127</v>
      </c>
      <c r="F6584" t="s">
        <v>128</v>
      </c>
      <c r="G6584" t="s">
        <v>222</v>
      </c>
      <c r="H6584" t="s">
        <v>222</v>
      </c>
      <c r="I6584" t="s">
        <v>36</v>
      </c>
      <c r="J6584" t="s">
        <v>37</v>
      </c>
      <c r="K6584" t="s">
        <v>30</v>
      </c>
      <c r="L6584" t="s">
        <v>31</v>
      </c>
      <c r="M6584" t="s">
        <v>220</v>
      </c>
      <c r="N6584">
        <v>0</v>
      </c>
      <c r="O6584">
        <v>0</v>
      </c>
      <c r="P6584">
        <v>5.4049674999999998E-2</v>
      </c>
      <c r="Q6584" t="str">
        <f t="shared" si="204"/>
        <v>10-14</v>
      </c>
      <c r="R6584" t="str">
        <f t="shared" si="205"/>
        <v>[ul0y9diGujK]|10-14|Female|Incidence_SUBNAT.Rt.T|CY2025Q3</v>
      </c>
    </row>
    <row r="6585" spans="4:18" x14ac:dyDescent="0.2">
      <c r="D6585" t="s">
        <v>126</v>
      </c>
      <c r="E6585" t="s">
        <v>127</v>
      </c>
      <c r="F6585" t="s">
        <v>128</v>
      </c>
      <c r="G6585" t="s">
        <v>222</v>
      </c>
      <c r="H6585" t="s">
        <v>222</v>
      </c>
      <c r="I6585" t="s">
        <v>38</v>
      </c>
      <c r="J6585" t="s">
        <v>39</v>
      </c>
      <c r="K6585" t="s">
        <v>30</v>
      </c>
      <c r="L6585" t="s">
        <v>31</v>
      </c>
      <c r="M6585" t="s">
        <v>220</v>
      </c>
      <c r="N6585">
        <v>1.8344240000000001E-3</v>
      </c>
      <c r="O6585">
        <v>5.8112042000000003E-2</v>
      </c>
      <c r="P6585">
        <v>5.4049674999999998E-2</v>
      </c>
      <c r="Q6585" t="str">
        <f t="shared" si="204"/>
        <v>15-24</v>
      </c>
      <c r="R6585" t="str">
        <f t="shared" si="205"/>
        <v>[ul0y9diGujK]|15-24|Female|Incidence_SUBNAT.Rt.T|CY2025Q3</v>
      </c>
    </row>
    <row r="6586" spans="4:18" x14ac:dyDescent="0.2">
      <c r="D6586" t="s">
        <v>126</v>
      </c>
      <c r="E6586" t="s">
        <v>127</v>
      </c>
      <c r="F6586" t="s">
        <v>128</v>
      </c>
      <c r="G6586" t="s">
        <v>222</v>
      </c>
      <c r="H6586" t="s">
        <v>222</v>
      </c>
      <c r="I6586" t="s">
        <v>41</v>
      </c>
      <c r="J6586" t="s">
        <v>42</v>
      </c>
      <c r="K6586" t="s">
        <v>30</v>
      </c>
      <c r="L6586" t="s">
        <v>31</v>
      </c>
      <c r="M6586" t="s">
        <v>220</v>
      </c>
      <c r="N6586">
        <v>2.8472219999999999E-3</v>
      </c>
      <c r="O6586">
        <v>5.8767518999999997E-2</v>
      </c>
      <c r="P6586">
        <v>5.4049674999999998E-2</v>
      </c>
      <c r="Q6586" t="str">
        <f t="shared" si="204"/>
        <v>25-34</v>
      </c>
      <c r="R6586" t="str">
        <f t="shared" si="205"/>
        <v>[ul0y9diGujK]|25-34|Female|Incidence_SUBNAT.Rt.T|CY2025Q3</v>
      </c>
    </row>
    <row r="6587" spans="4:18" x14ac:dyDescent="0.2">
      <c r="D6587" t="s">
        <v>126</v>
      </c>
      <c r="E6587" t="s">
        <v>127</v>
      </c>
      <c r="F6587" t="s">
        <v>128</v>
      </c>
      <c r="G6587" t="s">
        <v>222</v>
      </c>
      <c r="H6587" t="s">
        <v>222</v>
      </c>
      <c r="I6587" t="s">
        <v>43</v>
      </c>
      <c r="J6587" t="s">
        <v>44</v>
      </c>
      <c r="K6587" t="s">
        <v>30</v>
      </c>
      <c r="L6587" t="s">
        <v>31</v>
      </c>
      <c r="M6587" t="s">
        <v>220</v>
      </c>
      <c r="N6587">
        <v>1.4974470000000001E-3</v>
      </c>
      <c r="O6587">
        <v>5.9230822000000002E-2</v>
      </c>
      <c r="P6587">
        <v>5.4049674999999998E-2</v>
      </c>
      <c r="Q6587" t="str">
        <f t="shared" si="204"/>
        <v>35-49</v>
      </c>
      <c r="R6587" t="str">
        <f t="shared" si="205"/>
        <v>[ul0y9diGujK]|35-49|Female|Incidence_SUBNAT.Rt.T|CY2025Q3</v>
      </c>
    </row>
    <row r="6588" spans="4:18" x14ac:dyDescent="0.2">
      <c r="D6588" t="s">
        <v>126</v>
      </c>
      <c r="E6588" t="s">
        <v>127</v>
      </c>
      <c r="F6588" t="s">
        <v>128</v>
      </c>
      <c r="G6588" t="s">
        <v>222</v>
      </c>
      <c r="H6588" t="s">
        <v>222</v>
      </c>
      <c r="I6588" t="s">
        <v>45</v>
      </c>
      <c r="J6588" t="s">
        <v>46</v>
      </c>
      <c r="K6588" t="s">
        <v>30</v>
      </c>
      <c r="L6588" t="s">
        <v>31</v>
      </c>
      <c r="M6588" t="s">
        <v>220</v>
      </c>
      <c r="N6588">
        <v>3.8955199999999999E-4</v>
      </c>
      <c r="O6588">
        <v>5.5358966000000003E-2</v>
      </c>
      <c r="P6588">
        <v>5.4049674999999998E-2</v>
      </c>
      <c r="Q6588" t="str">
        <f t="shared" si="204"/>
        <v>50+</v>
      </c>
      <c r="R6588" t="str">
        <f t="shared" si="205"/>
        <v>[ul0y9diGujK]|50+|Female|Incidence_SUBNAT.Rt.T|CY2025Q3</v>
      </c>
    </row>
    <row r="6589" spans="4:18" x14ac:dyDescent="0.2">
      <c r="D6589" t="s">
        <v>126</v>
      </c>
      <c r="E6589" t="s">
        <v>127</v>
      </c>
      <c r="F6589" t="s">
        <v>128</v>
      </c>
      <c r="G6589" t="s">
        <v>222</v>
      </c>
      <c r="H6589" t="s">
        <v>222</v>
      </c>
      <c r="I6589" t="s">
        <v>28</v>
      </c>
      <c r="J6589" t="s">
        <v>29</v>
      </c>
      <c r="K6589" t="s">
        <v>48</v>
      </c>
      <c r="L6589" t="s">
        <v>49</v>
      </c>
      <c r="M6589" t="s">
        <v>220</v>
      </c>
      <c r="N6589">
        <v>3.2363259999999999E-3</v>
      </c>
      <c r="O6589">
        <v>4.8538525999999999E-2</v>
      </c>
      <c r="P6589">
        <v>5.4049674999999998E-2</v>
      </c>
      <c r="Q6589" t="str">
        <f t="shared" si="204"/>
        <v>&lt;01</v>
      </c>
      <c r="R6589" t="str">
        <f t="shared" si="205"/>
        <v>[ul0y9diGujK]|&lt;01|Male|Incidence_SUBNAT.Rt.T|CY2025Q3</v>
      </c>
    </row>
    <row r="6590" spans="4:18" x14ac:dyDescent="0.2">
      <c r="D6590" t="s">
        <v>126</v>
      </c>
      <c r="E6590" t="s">
        <v>127</v>
      </c>
      <c r="F6590" t="s">
        <v>128</v>
      </c>
      <c r="G6590" t="s">
        <v>222</v>
      </c>
      <c r="H6590" t="s">
        <v>222</v>
      </c>
      <c r="I6590" t="s">
        <v>33</v>
      </c>
      <c r="J6590" t="s">
        <v>34</v>
      </c>
      <c r="K6590" t="s">
        <v>48</v>
      </c>
      <c r="L6590" t="s">
        <v>49</v>
      </c>
      <c r="M6590" t="s">
        <v>220</v>
      </c>
      <c r="N6590" s="235" t="s">
        <v>268</v>
      </c>
      <c r="O6590">
        <v>2.4269262999999999E-2</v>
      </c>
      <c r="P6590">
        <v>5.4049674999999998E-2</v>
      </c>
      <c r="Q6590" t="str">
        <f t="shared" si="204"/>
        <v>01-09</v>
      </c>
      <c r="R6590" t="str">
        <f t="shared" si="205"/>
        <v>[ul0y9diGujK]|01-09|Male|Incidence_SUBNAT.Rt.T|CY2025Q3</v>
      </c>
    </row>
    <row r="6591" spans="4:18" x14ac:dyDescent="0.2">
      <c r="D6591" t="s">
        <v>126</v>
      </c>
      <c r="E6591" t="s">
        <v>127</v>
      </c>
      <c r="F6591" t="s">
        <v>128</v>
      </c>
      <c r="G6591" t="s">
        <v>222</v>
      </c>
      <c r="H6591" t="s">
        <v>222</v>
      </c>
      <c r="I6591" t="s">
        <v>36</v>
      </c>
      <c r="J6591" t="s">
        <v>37</v>
      </c>
      <c r="K6591" t="s">
        <v>48</v>
      </c>
      <c r="L6591" t="s">
        <v>49</v>
      </c>
      <c r="M6591" t="s">
        <v>220</v>
      </c>
      <c r="N6591">
        <v>0</v>
      </c>
      <c r="O6591">
        <v>0</v>
      </c>
      <c r="P6591">
        <v>5.4049674999999998E-2</v>
      </c>
      <c r="Q6591" t="str">
        <f t="shared" si="204"/>
        <v>10-14</v>
      </c>
      <c r="R6591" t="str">
        <f t="shared" si="205"/>
        <v>[ul0y9diGujK]|10-14|Male|Incidence_SUBNAT.Rt.T|CY2025Q3</v>
      </c>
    </row>
    <row r="6592" spans="4:18" x14ac:dyDescent="0.2">
      <c r="D6592" t="s">
        <v>126</v>
      </c>
      <c r="E6592" t="s">
        <v>127</v>
      </c>
      <c r="F6592" t="s">
        <v>128</v>
      </c>
      <c r="G6592" t="s">
        <v>222</v>
      </c>
      <c r="H6592" t="s">
        <v>222</v>
      </c>
      <c r="I6592" t="s">
        <v>38</v>
      </c>
      <c r="J6592" t="s">
        <v>39</v>
      </c>
      <c r="K6592" t="s">
        <v>48</v>
      </c>
      <c r="L6592" t="s">
        <v>49</v>
      </c>
      <c r="M6592" t="s">
        <v>220</v>
      </c>
      <c r="N6592">
        <v>3.1209199999999998E-4</v>
      </c>
      <c r="O6592">
        <v>5.8320170999999997E-2</v>
      </c>
      <c r="P6592">
        <v>5.4049674999999998E-2</v>
      </c>
      <c r="Q6592" t="str">
        <f t="shared" si="204"/>
        <v>15-24</v>
      </c>
      <c r="R6592" t="str">
        <f t="shared" si="205"/>
        <v>[ul0y9diGujK]|15-24|Male|Incidence_SUBNAT.Rt.T|CY2025Q3</v>
      </c>
    </row>
    <row r="6593" spans="4:18" x14ac:dyDescent="0.2">
      <c r="D6593" t="s">
        <v>126</v>
      </c>
      <c r="E6593" t="s">
        <v>127</v>
      </c>
      <c r="F6593" t="s">
        <v>128</v>
      </c>
      <c r="G6593" t="s">
        <v>222</v>
      </c>
      <c r="H6593" t="s">
        <v>222</v>
      </c>
      <c r="I6593" t="s">
        <v>41</v>
      </c>
      <c r="J6593" t="s">
        <v>42</v>
      </c>
      <c r="K6593" t="s">
        <v>48</v>
      </c>
      <c r="L6593" t="s">
        <v>49</v>
      </c>
      <c r="M6593" t="s">
        <v>220</v>
      </c>
      <c r="N6593">
        <v>1.712096E-3</v>
      </c>
      <c r="O6593">
        <v>5.8466454000000001E-2</v>
      </c>
      <c r="P6593">
        <v>5.4049674999999998E-2</v>
      </c>
      <c r="Q6593" t="str">
        <f t="shared" si="204"/>
        <v>25-34</v>
      </c>
      <c r="R6593" t="str">
        <f t="shared" si="205"/>
        <v>[ul0y9diGujK]|25-34|Male|Incidence_SUBNAT.Rt.T|CY2025Q3</v>
      </c>
    </row>
    <row r="6594" spans="4:18" x14ac:dyDescent="0.2">
      <c r="D6594" t="s">
        <v>126</v>
      </c>
      <c r="E6594" t="s">
        <v>127</v>
      </c>
      <c r="F6594" t="s">
        <v>128</v>
      </c>
      <c r="G6594" t="s">
        <v>222</v>
      </c>
      <c r="H6594" t="s">
        <v>222</v>
      </c>
      <c r="I6594" t="s">
        <v>43</v>
      </c>
      <c r="J6594" t="s">
        <v>44</v>
      </c>
      <c r="K6594" t="s">
        <v>48</v>
      </c>
      <c r="L6594" t="s">
        <v>49</v>
      </c>
      <c r="M6594" t="s">
        <v>220</v>
      </c>
      <c r="N6594">
        <v>1.903184E-3</v>
      </c>
      <c r="O6594">
        <v>5.8777652999999999E-2</v>
      </c>
      <c r="P6594">
        <v>5.4049674999999998E-2</v>
      </c>
      <c r="Q6594" t="str">
        <f t="shared" si="204"/>
        <v>35-49</v>
      </c>
      <c r="R6594" t="str">
        <f t="shared" si="205"/>
        <v>[ul0y9diGujK]|35-49|Male|Incidence_SUBNAT.Rt.T|CY2025Q3</v>
      </c>
    </row>
    <row r="6595" spans="4:18" x14ac:dyDescent="0.2">
      <c r="D6595" t="s">
        <v>126</v>
      </c>
      <c r="E6595" t="s">
        <v>127</v>
      </c>
      <c r="F6595" t="s">
        <v>128</v>
      </c>
      <c r="G6595" t="s">
        <v>222</v>
      </c>
      <c r="H6595" t="s">
        <v>222</v>
      </c>
      <c r="I6595" t="s">
        <v>45</v>
      </c>
      <c r="J6595" t="s">
        <v>46</v>
      </c>
      <c r="K6595" t="s">
        <v>48</v>
      </c>
      <c r="L6595" t="s">
        <v>49</v>
      </c>
      <c r="M6595" t="s">
        <v>220</v>
      </c>
      <c r="N6595">
        <v>9.5096199999999997E-4</v>
      </c>
      <c r="O6595">
        <v>5.7030655E-2</v>
      </c>
      <c r="P6595">
        <v>5.4049674999999998E-2</v>
      </c>
      <c r="Q6595" t="str">
        <f t="shared" ref="Q6595:Q6658" si="206">SUBSTITUTE(SUBSTITUTE($I6595,CHAR(61),""),CHAR(34),"")</f>
        <v>50+</v>
      </c>
      <c r="R6595" t="str">
        <f t="shared" ref="R6595:R6658" si="207">IF($D6595&lt;&gt;"","["&amp;$E6595&amp;"]"&amp;"|"&amp;$Q6595&amp;"|"&amp;$K6595&amp;"|"&amp;$G6595&amp;"|"&amp;IF($G6595="TX_CURR_SUBNAT.R","CY2023Q4",$M6595),"")</f>
        <v>[ul0y9diGujK]|50+|Male|Incidence_SUBNAT.Rt.T|CY2025Q3</v>
      </c>
    </row>
    <row r="6596" spans="4:18" x14ac:dyDescent="0.2">
      <c r="D6596" t="s">
        <v>129</v>
      </c>
      <c r="E6596" t="s">
        <v>130</v>
      </c>
      <c r="F6596" t="s">
        <v>131</v>
      </c>
      <c r="G6596" t="s">
        <v>222</v>
      </c>
      <c r="H6596" t="s">
        <v>222</v>
      </c>
      <c r="I6596" t="s">
        <v>28</v>
      </c>
      <c r="J6596" t="s">
        <v>29</v>
      </c>
      <c r="K6596" t="s">
        <v>30</v>
      </c>
      <c r="L6596" t="s">
        <v>31</v>
      </c>
      <c r="M6596" t="s">
        <v>220</v>
      </c>
      <c r="N6596">
        <v>2.4507510000000001E-3</v>
      </c>
      <c r="O6596">
        <v>5.5697987999999997E-2</v>
      </c>
      <c r="P6596">
        <v>6.0911973000000001E-2</v>
      </c>
      <c r="Q6596" t="str">
        <f t="shared" si="206"/>
        <v>&lt;01</v>
      </c>
      <c r="R6596" t="str">
        <f t="shared" si="207"/>
        <v>[U8c0so51kT6]|&lt;01|Female|Incidence_SUBNAT.Rt.T|CY2025Q3</v>
      </c>
    </row>
    <row r="6597" spans="4:18" x14ac:dyDescent="0.2">
      <c r="D6597" t="s">
        <v>129</v>
      </c>
      <c r="E6597" t="s">
        <v>130</v>
      </c>
      <c r="F6597" t="s">
        <v>131</v>
      </c>
      <c r="G6597" t="s">
        <v>222</v>
      </c>
      <c r="H6597" t="s">
        <v>222</v>
      </c>
      <c r="I6597" t="s">
        <v>33</v>
      </c>
      <c r="J6597" t="s">
        <v>34</v>
      </c>
      <c r="K6597" t="s">
        <v>30</v>
      </c>
      <c r="L6597" t="s">
        <v>31</v>
      </c>
      <c r="M6597" t="s">
        <v>220</v>
      </c>
      <c r="N6597" s="235" t="s">
        <v>269</v>
      </c>
      <c r="O6597">
        <v>2.7848993999999998E-2</v>
      </c>
      <c r="P6597">
        <v>6.0911973000000001E-2</v>
      </c>
      <c r="Q6597" t="str">
        <f t="shared" si="206"/>
        <v>01-09</v>
      </c>
      <c r="R6597" t="str">
        <f t="shared" si="207"/>
        <v>[U8c0so51kT6]|01-09|Female|Incidence_SUBNAT.Rt.T|CY2025Q3</v>
      </c>
    </row>
    <row r="6598" spans="4:18" x14ac:dyDescent="0.2">
      <c r="D6598" t="s">
        <v>129</v>
      </c>
      <c r="E6598" t="s">
        <v>130</v>
      </c>
      <c r="F6598" t="s">
        <v>131</v>
      </c>
      <c r="G6598" t="s">
        <v>222</v>
      </c>
      <c r="H6598" t="s">
        <v>222</v>
      </c>
      <c r="I6598" t="s">
        <v>36</v>
      </c>
      <c r="J6598" t="s">
        <v>37</v>
      </c>
      <c r="K6598" t="s">
        <v>30</v>
      </c>
      <c r="L6598" t="s">
        <v>31</v>
      </c>
      <c r="M6598" t="s">
        <v>220</v>
      </c>
      <c r="N6598">
        <v>0</v>
      </c>
      <c r="O6598">
        <v>0</v>
      </c>
      <c r="P6598">
        <v>6.0911973000000001E-2</v>
      </c>
      <c r="Q6598" t="str">
        <f t="shared" si="206"/>
        <v>10-14</v>
      </c>
      <c r="R6598" t="str">
        <f t="shared" si="207"/>
        <v>[U8c0so51kT6]|10-14|Female|Incidence_SUBNAT.Rt.T|CY2025Q3</v>
      </c>
    </row>
    <row r="6599" spans="4:18" x14ac:dyDescent="0.2">
      <c r="D6599" t="s">
        <v>129</v>
      </c>
      <c r="E6599" t="s">
        <v>130</v>
      </c>
      <c r="F6599" t="s">
        <v>131</v>
      </c>
      <c r="G6599" t="s">
        <v>222</v>
      </c>
      <c r="H6599" t="s">
        <v>222</v>
      </c>
      <c r="I6599" t="s">
        <v>38</v>
      </c>
      <c r="J6599" t="s">
        <v>39</v>
      </c>
      <c r="K6599" t="s">
        <v>30</v>
      </c>
      <c r="L6599" t="s">
        <v>31</v>
      </c>
      <c r="M6599" t="s">
        <v>220</v>
      </c>
      <c r="N6599">
        <v>1.365825E-3</v>
      </c>
      <c r="O6599">
        <v>6.4588330999999999E-2</v>
      </c>
      <c r="P6599">
        <v>6.0911973000000001E-2</v>
      </c>
      <c r="Q6599" t="str">
        <f t="shared" si="206"/>
        <v>15-24</v>
      </c>
      <c r="R6599" t="str">
        <f t="shared" si="207"/>
        <v>[U8c0so51kT6]|15-24|Female|Incidence_SUBNAT.Rt.T|CY2025Q3</v>
      </c>
    </row>
    <row r="6600" spans="4:18" x14ac:dyDescent="0.2">
      <c r="D6600" t="s">
        <v>129</v>
      </c>
      <c r="E6600" t="s">
        <v>130</v>
      </c>
      <c r="F6600" t="s">
        <v>131</v>
      </c>
      <c r="G6600" t="s">
        <v>222</v>
      </c>
      <c r="H6600" t="s">
        <v>222</v>
      </c>
      <c r="I6600" t="s">
        <v>41</v>
      </c>
      <c r="J6600" t="s">
        <v>42</v>
      </c>
      <c r="K6600" t="s">
        <v>30</v>
      </c>
      <c r="L6600" t="s">
        <v>31</v>
      </c>
      <c r="M6600" t="s">
        <v>220</v>
      </c>
      <c r="N6600">
        <v>2.0760090000000002E-3</v>
      </c>
      <c r="O6600">
        <v>6.5053158999999999E-2</v>
      </c>
      <c r="P6600">
        <v>6.0911973000000001E-2</v>
      </c>
      <c r="Q6600" t="str">
        <f t="shared" si="206"/>
        <v>25-34</v>
      </c>
      <c r="R6600" t="str">
        <f t="shared" si="207"/>
        <v>[U8c0so51kT6]|25-34|Female|Incidence_SUBNAT.Rt.T|CY2025Q3</v>
      </c>
    </row>
    <row r="6601" spans="4:18" x14ac:dyDescent="0.2">
      <c r="D6601" t="s">
        <v>129</v>
      </c>
      <c r="E6601" t="s">
        <v>130</v>
      </c>
      <c r="F6601" t="s">
        <v>131</v>
      </c>
      <c r="G6601" t="s">
        <v>222</v>
      </c>
      <c r="H6601" t="s">
        <v>222</v>
      </c>
      <c r="I6601" t="s">
        <v>43</v>
      </c>
      <c r="J6601" t="s">
        <v>44</v>
      </c>
      <c r="K6601" t="s">
        <v>30</v>
      </c>
      <c r="L6601" t="s">
        <v>31</v>
      </c>
      <c r="M6601" t="s">
        <v>220</v>
      </c>
      <c r="N6601">
        <v>1.0872799999999999E-3</v>
      </c>
      <c r="O6601">
        <v>6.5484632000000001E-2</v>
      </c>
      <c r="P6601">
        <v>6.0911973000000001E-2</v>
      </c>
      <c r="Q6601" t="str">
        <f t="shared" si="206"/>
        <v>35-49</v>
      </c>
      <c r="R6601" t="str">
        <f t="shared" si="207"/>
        <v>[U8c0so51kT6]|35-49|Female|Incidence_SUBNAT.Rt.T|CY2025Q3</v>
      </c>
    </row>
    <row r="6602" spans="4:18" x14ac:dyDescent="0.2">
      <c r="D6602" t="s">
        <v>129</v>
      </c>
      <c r="E6602" t="s">
        <v>130</v>
      </c>
      <c r="F6602" t="s">
        <v>131</v>
      </c>
      <c r="G6602" t="s">
        <v>222</v>
      </c>
      <c r="H6602" t="s">
        <v>222</v>
      </c>
      <c r="I6602" t="s">
        <v>45</v>
      </c>
      <c r="J6602" t="s">
        <v>46</v>
      </c>
      <c r="K6602" t="s">
        <v>30</v>
      </c>
      <c r="L6602" t="s">
        <v>31</v>
      </c>
      <c r="M6602" t="s">
        <v>220</v>
      </c>
      <c r="N6602">
        <v>2.84949E-4</v>
      </c>
      <c r="O6602">
        <v>6.177701E-2</v>
      </c>
      <c r="P6602">
        <v>6.0911973000000001E-2</v>
      </c>
      <c r="Q6602" t="str">
        <f t="shared" si="206"/>
        <v>50+</v>
      </c>
      <c r="R6602" t="str">
        <f t="shared" si="207"/>
        <v>[U8c0so51kT6]|50+|Female|Incidence_SUBNAT.Rt.T|CY2025Q3</v>
      </c>
    </row>
    <row r="6603" spans="4:18" x14ac:dyDescent="0.2">
      <c r="D6603" t="s">
        <v>129</v>
      </c>
      <c r="E6603" t="s">
        <v>130</v>
      </c>
      <c r="F6603" t="s">
        <v>131</v>
      </c>
      <c r="G6603" t="s">
        <v>222</v>
      </c>
      <c r="H6603" t="s">
        <v>222</v>
      </c>
      <c r="I6603" t="s">
        <v>28</v>
      </c>
      <c r="J6603" t="s">
        <v>29</v>
      </c>
      <c r="K6603" t="s">
        <v>48</v>
      </c>
      <c r="L6603" t="s">
        <v>49</v>
      </c>
      <c r="M6603" t="s">
        <v>220</v>
      </c>
      <c r="N6603">
        <v>2.4588449999999999E-3</v>
      </c>
      <c r="O6603">
        <v>5.5697987999999997E-2</v>
      </c>
      <c r="P6603">
        <v>6.0911973000000001E-2</v>
      </c>
      <c r="Q6603" t="str">
        <f t="shared" si="206"/>
        <v>&lt;01</v>
      </c>
      <c r="R6603" t="str">
        <f t="shared" si="207"/>
        <v>[U8c0so51kT6]|&lt;01|Male|Incidence_SUBNAT.Rt.T|CY2025Q3</v>
      </c>
    </row>
    <row r="6604" spans="4:18" x14ac:dyDescent="0.2">
      <c r="D6604" t="s">
        <v>129</v>
      </c>
      <c r="E6604" t="s">
        <v>130</v>
      </c>
      <c r="F6604" t="s">
        <v>131</v>
      </c>
      <c r="G6604" t="s">
        <v>222</v>
      </c>
      <c r="H6604" t="s">
        <v>222</v>
      </c>
      <c r="I6604" t="s">
        <v>33</v>
      </c>
      <c r="J6604" t="s">
        <v>34</v>
      </c>
      <c r="K6604" t="s">
        <v>48</v>
      </c>
      <c r="L6604" t="s">
        <v>49</v>
      </c>
      <c r="M6604" t="s">
        <v>220</v>
      </c>
      <c r="N6604" s="235" t="s">
        <v>270</v>
      </c>
      <c r="O6604">
        <v>2.7848993999999998E-2</v>
      </c>
      <c r="P6604">
        <v>6.0911973000000001E-2</v>
      </c>
      <c r="Q6604" t="str">
        <f t="shared" si="206"/>
        <v>01-09</v>
      </c>
      <c r="R6604" t="str">
        <f t="shared" si="207"/>
        <v>[U8c0so51kT6]|01-09|Male|Incidence_SUBNAT.Rt.T|CY2025Q3</v>
      </c>
    </row>
    <row r="6605" spans="4:18" x14ac:dyDescent="0.2">
      <c r="D6605" t="s">
        <v>129</v>
      </c>
      <c r="E6605" t="s">
        <v>130</v>
      </c>
      <c r="F6605" t="s">
        <v>131</v>
      </c>
      <c r="G6605" t="s">
        <v>222</v>
      </c>
      <c r="H6605" t="s">
        <v>222</v>
      </c>
      <c r="I6605" t="s">
        <v>36</v>
      </c>
      <c r="J6605" t="s">
        <v>37</v>
      </c>
      <c r="K6605" t="s">
        <v>48</v>
      </c>
      <c r="L6605" t="s">
        <v>49</v>
      </c>
      <c r="M6605" t="s">
        <v>220</v>
      </c>
      <c r="N6605">
        <v>0</v>
      </c>
      <c r="O6605">
        <v>0</v>
      </c>
      <c r="P6605">
        <v>6.0911973000000001E-2</v>
      </c>
      <c r="Q6605" t="str">
        <f t="shared" si="206"/>
        <v>10-14</v>
      </c>
      <c r="R6605" t="str">
        <f t="shared" si="207"/>
        <v>[U8c0so51kT6]|10-14|Male|Incidence_SUBNAT.Rt.T|CY2025Q3</v>
      </c>
    </row>
    <row r="6606" spans="4:18" x14ac:dyDescent="0.2">
      <c r="D6606" t="s">
        <v>129</v>
      </c>
      <c r="E6606" t="s">
        <v>130</v>
      </c>
      <c r="F6606" t="s">
        <v>131</v>
      </c>
      <c r="G6606" t="s">
        <v>222</v>
      </c>
      <c r="H6606" t="s">
        <v>222</v>
      </c>
      <c r="I6606" t="s">
        <v>38</v>
      </c>
      <c r="J6606" t="s">
        <v>39</v>
      </c>
      <c r="K6606" t="s">
        <v>48</v>
      </c>
      <c r="L6606" t="s">
        <v>49</v>
      </c>
      <c r="M6606" t="s">
        <v>220</v>
      </c>
      <c r="N6606">
        <v>2.3460700000000001E-4</v>
      </c>
      <c r="O6606">
        <v>6.4782644E-2</v>
      </c>
      <c r="P6606">
        <v>6.0911973000000001E-2</v>
      </c>
      <c r="Q6606" t="str">
        <f t="shared" si="206"/>
        <v>15-24</v>
      </c>
      <c r="R6606" t="str">
        <f t="shared" si="207"/>
        <v>[U8c0so51kT6]|15-24|Male|Incidence_SUBNAT.Rt.T|CY2025Q3</v>
      </c>
    </row>
    <row r="6607" spans="4:18" x14ac:dyDescent="0.2">
      <c r="D6607" t="s">
        <v>129</v>
      </c>
      <c r="E6607" t="s">
        <v>130</v>
      </c>
      <c r="F6607" t="s">
        <v>131</v>
      </c>
      <c r="G6607" t="s">
        <v>222</v>
      </c>
      <c r="H6607" t="s">
        <v>222</v>
      </c>
      <c r="I6607" t="s">
        <v>41</v>
      </c>
      <c r="J6607" t="s">
        <v>42</v>
      </c>
      <c r="K6607" t="s">
        <v>48</v>
      </c>
      <c r="L6607" t="s">
        <v>49</v>
      </c>
      <c r="M6607" t="s">
        <v>220</v>
      </c>
      <c r="N6607">
        <v>1.235561E-3</v>
      </c>
      <c r="O6607">
        <v>6.4763447000000002E-2</v>
      </c>
      <c r="P6607">
        <v>6.0911973000000001E-2</v>
      </c>
      <c r="Q6607" t="str">
        <f t="shared" si="206"/>
        <v>25-34</v>
      </c>
      <c r="R6607" t="str">
        <f t="shared" si="207"/>
        <v>[U8c0so51kT6]|25-34|Male|Incidence_SUBNAT.Rt.T|CY2025Q3</v>
      </c>
    </row>
    <row r="6608" spans="4:18" x14ac:dyDescent="0.2">
      <c r="D6608" t="s">
        <v>129</v>
      </c>
      <c r="E6608" t="s">
        <v>130</v>
      </c>
      <c r="F6608" t="s">
        <v>131</v>
      </c>
      <c r="G6608" t="s">
        <v>222</v>
      </c>
      <c r="H6608" t="s">
        <v>222</v>
      </c>
      <c r="I6608" t="s">
        <v>43</v>
      </c>
      <c r="J6608" t="s">
        <v>44</v>
      </c>
      <c r="K6608" t="s">
        <v>48</v>
      </c>
      <c r="L6608" t="s">
        <v>49</v>
      </c>
      <c r="M6608" t="s">
        <v>220</v>
      </c>
      <c r="N6608">
        <v>1.378645E-3</v>
      </c>
      <c r="O6608">
        <v>6.5024001999999997E-2</v>
      </c>
      <c r="P6608">
        <v>6.0911973000000001E-2</v>
      </c>
      <c r="Q6608" t="str">
        <f t="shared" si="206"/>
        <v>35-49</v>
      </c>
      <c r="R6608" t="str">
        <f t="shared" si="207"/>
        <v>[U8c0so51kT6]|35-49|Male|Incidence_SUBNAT.Rt.T|CY2025Q3</v>
      </c>
    </row>
    <row r="6609" spans="4:18" x14ac:dyDescent="0.2">
      <c r="D6609" t="s">
        <v>129</v>
      </c>
      <c r="E6609" t="s">
        <v>130</v>
      </c>
      <c r="F6609" t="s">
        <v>131</v>
      </c>
      <c r="G6609" t="s">
        <v>222</v>
      </c>
      <c r="H6609" t="s">
        <v>222</v>
      </c>
      <c r="I6609" t="s">
        <v>45</v>
      </c>
      <c r="J6609" t="s">
        <v>46</v>
      </c>
      <c r="K6609" t="s">
        <v>48</v>
      </c>
      <c r="L6609" t="s">
        <v>49</v>
      </c>
      <c r="M6609" t="s">
        <v>220</v>
      </c>
      <c r="N6609">
        <v>7.1095200000000005E-4</v>
      </c>
      <c r="O6609">
        <v>6.3700494999999996E-2</v>
      </c>
      <c r="P6609">
        <v>6.0911973000000001E-2</v>
      </c>
      <c r="Q6609" t="str">
        <f t="shared" si="206"/>
        <v>50+</v>
      </c>
      <c r="R6609" t="str">
        <f t="shared" si="207"/>
        <v>[U8c0so51kT6]|50+|Male|Incidence_SUBNAT.Rt.T|CY2025Q3</v>
      </c>
    </row>
    <row r="6610" spans="4:18" x14ac:dyDescent="0.2">
      <c r="D6610" t="s">
        <v>132</v>
      </c>
      <c r="E6610" t="s">
        <v>133</v>
      </c>
      <c r="F6610" t="s">
        <v>134</v>
      </c>
      <c r="G6610" t="s">
        <v>222</v>
      </c>
      <c r="H6610" t="s">
        <v>222</v>
      </c>
      <c r="I6610" t="s">
        <v>28</v>
      </c>
      <c r="J6610" t="s">
        <v>29</v>
      </c>
      <c r="K6610" t="s">
        <v>30</v>
      </c>
      <c r="L6610" t="s">
        <v>31</v>
      </c>
      <c r="M6610" t="s">
        <v>220</v>
      </c>
      <c r="N6610">
        <v>2.633659E-3</v>
      </c>
      <c r="O6610">
        <v>7.2283551000000001E-2</v>
      </c>
      <c r="P6610">
        <v>7.6860964000000004E-2</v>
      </c>
      <c r="Q6610" t="str">
        <f t="shared" si="206"/>
        <v>&lt;01</v>
      </c>
      <c r="R6610" t="str">
        <f t="shared" si="207"/>
        <v>[rpw540fmNUz]|&lt;01|Female|Incidence_SUBNAT.Rt.T|CY2025Q3</v>
      </c>
    </row>
    <row r="6611" spans="4:18" x14ac:dyDescent="0.2">
      <c r="D6611" t="s">
        <v>132</v>
      </c>
      <c r="E6611" t="s">
        <v>133</v>
      </c>
      <c r="F6611" t="s">
        <v>134</v>
      </c>
      <c r="G6611" t="s">
        <v>222</v>
      </c>
      <c r="H6611" t="s">
        <v>222</v>
      </c>
      <c r="I6611" t="s">
        <v>33</v>
      </c>
      <c r="J6611" t="s">
        <v>34</v>
      </c>
      <c r="K6611" t="s">
        <v>30</v>
      </c>
      <c r="L6611" t="s">
        <v>31</v>
      </c>
      <c r="M6611" t="s">
        <v>220</v>
      </c>
      <c r="N6611" s="235" t="s">
        <v>271</v>
      </c>
      <c r="O6611">
        <v>3.6141775000000001E-2</v>
      </c>
      <c r="P6611">
        <v>7.6860964000000004E-2</v>
      </c>
      <c r="Q6611" t="str">
        <f t="shared" si="206"/>
        <v>01-09</v>
      </c>
      <c r="R6611" t="str">
        <f t="shared" si="207"/>
        <v>[rpw540fmNUz]|01-09|Female|Incidence_SUBNAT.Rt.T|CY2025Q3</v>
      </c>
    </row>
    <row r="6612" spans="4:18" x14ac:dyDescent="0.2">
      <c r="D6612" t="s">
        <v>132</v>
      </c>
      <c r="E6612" t="s">
        <v>133</v>
      </c>
      <c r="F6612" t="s">
        <v>134</v>
      </c>
      <c r="G6612" t="s">
        <v>222</v>
      </c>
      <c r="H6612" t="s">
        <v>222</v>
      </c>
      <c r="I6612" t="s">
        <v>36</v>
      </c>
      <c r="J6612" t="s">
        <v>37</v>
      </c>
      <c r="K6612" t="s">
        <v>30</v>
      </c>
      <c r="L6612" t="s">
        <v>31</v>
      </c>
      <c r="M6612" t="s">
        <v>220</v>
      </c>
      <c r="N6612">
        <v>0</v>
      </c>
      <c r="O6612">
        <v>0</v>
      </c>
      <c r="P6612">
        <v>7.6860964000000004E-2</v>
      </c>
      <c r="Q6612" t="str">
        <f t="shared" si="206"/>
        <v>10-14</v>
      </c>
      <c r="R6612" t="str">
        <f t="shared" si="207"/>
        <v>[rpw540fmNUz]|10-14|Female|Incidence_SUBNAT.Rt.T|CY2025Q3</v>
      </c>
    </row>
    <row r="6613" spans="4:18" x14ac:dyDescent="0.2">
      <c r="D6613" t="s">
        <v>132</v>
      </c>
      <c r="E6613" t="s">
        <v>133</v>
      </c>
      <c r="F6613" t="s">
        <v>134</v>
      </c>
      <c r="G6613" t="s">
        <v>222</v>
      </c>
      <c r="H6613" t="s">
        <v>222</v>
      </c>
      <c r="I6613" t="s">
        <v>38</v>
      </c>
      <c r="J6613" t="s">
        <v>39</v>
      </c>
      <c r="K6613" t="s">
        <v>30</v>
      </c>
      <c r="L6613" t="s">
        <v>31</v>
      </c>
      <c r="M6613" t="s">
        <v>220</v>
      </c>
      <c r="N6613">
        <v>1.435576E-3</v>
      </c>
      <c r="O6613">
        <v>8.0998476E-2</v>
      </c>
      <c r="P6613">
        <v>7.6860964000000004E-2</v>
      </c>
      <c r="Q6613" t="str">
        <f t="shared" si="206"/>
        <v>15-24</v>
      </c>
      <c r="R6613" t="str">
        <f t="shared" si="207"/>
        <v>[rpw540fmNUz]|15-24|Female|Incidence_SUBNAT.Rt.T|CY2025Q3</v>
      </c>
    </row>
    <row r="6614" spans="4:18" x14ac:dyDescent="0.2">
      <c r="D6614" t="s">
        <v>132</v>
      </c>
      <c r="E6614" t="s">
        <v>133</v>
      </c>
      <c r="F6614" t="s">
        <v>134</v>
      </c>
      <c r="G6614" t="s">
        <v>222</v>
      </c>
      <c r="H6614" t="s">
        <v>222</v>
      </c>
      <c r="I6614" t="s">
        <v>41</v>
      </c>
      <c r="J6614" t="s">
        <v>42</v>
      </c>
      <c r="K6614" t="s">
        <v>30</v>
      </c>
      <c r="L6614" t="s">
        <v>31</v>
      </c>
      <c r="M6614" t="s">
        <v>220</v>
      </c>
      <c r="N6614">
        <v>2.2345199999999998E-3</v>
      </c>
      <c r="O6614">
        <v>8.1777175999999993E-2</v>
      </c>
      <c r="P6614">
        <v>7.6860964000000004E-2</v>
      </c>
      <c r="Q6614" t="str">
        <f t="shared" si="206"/>
        <v>25-34</v>
      </c>
      <c r="R6614" t="str">
        <f t="shared" si="207"/>
        <v>[rpw540fmNUz]|25-34|Female|Incidence_SUBNAT.Rt.T|CY2025Q3</v>
      </c>
    </row>
    <row r="6615" spans="4:18" x14ac:dyDescent="0.2">
      <c r="D6615" t="s">
        <v>132</v>
      </c>
      <c r="E6615" t="s">
        <v>133</v>
      </c>
      <c r="F6615" t="s">
        <v>134</v>
      </c>
      <c r="G6615" t="s">
        <v>222</v>
      </c>
      <c r="H6615" t="s">
        <v>222</v>
      </c>
      <c r="I6615" t="s">
        <v>43</v>
      </c>
      <c r="J6615" t="s">
        <v>44</v>
      </c>
      <c r="K6615" t="s">
        <v>30</v>
      </c>
      <c r="L6615" t="s">
        <v>31</v>
      </c>
      <c r="M6615" t="s">
        <v>220</v>
      </c>
      <c r="N6615">
        <v>1.1526900000000001E-3</v>
      </c>
      <c r="O6615">
        <v>8.2188074E-2</v>
      </c>
      <c r="P6615">
        <v>7.6860964000000004E-2</v>
      </c>
      <c r="Q6615" t="str">
        <f t="shared" si="206"/>
        <v>35-49</v>
      </c>
      <c r="R6615" t="str">
        <f t="shared" si="207"/>
        <v>[rpw540fmNUz]|35-49|Female|Incidence_SUBNAT.Rt.T|CY2025Q3</v>
      </c>
    </row>
    <row r="6616" spans="4:18" x14ac:dyDescent="0.2">
      <c r="D6616" t="s">
        <v>132</v>
      </c>
      <c r="E6616" t="s">
        <v>133</v>
      </c>
      <c r="F6616" t="s">
        <v>134</v>
      </c>
      <c r="G6616" t="s">
        <v>222</v>
      </c>
      <c r="H6616" t="s">
        <v>222</v>
      </c>
      <c r="I6616" t="s">
        <v>45</v>
      </c>
      <c r="J6616" t="s">
        <v>46</v>
      </c>
      <c r="K6616" t="s">
        <v>30</v>
      </c>
      <c r="L6616" t="s">
        <v>31</v>
      </c>
      <c r="M6616" t="s">
        <v>220</v>
      </c>
      <c r="N6616">
        <v>2.89652E-4</v>
      </c>
      <c r="O6616">
        <v>7.6375207000000001E-2</v>
      </c>
      <c r="P6616">
        <v>7.6860964000000004E-2</v>
      </c>
      <c r="Q6616" t="str">
        <f t="shared" si="206"/>
        <v>50+</v>
      </c>
      <c r="R6616" t="str">
        <f t="shared" si="207"/>
        <v>[rpw540fmNUz]|50+|Female|Incidence_SUBNAT.Rt.T|CY2025Q3</v>
      </c>
    </row>
    <row r="6617" spans="4:18" x14ac:dyDescent="0.2">
      <c r="D6617" t="s">
        <v>132</v>
      </c>
      <c r="E6617" t="s">
        <v>133</v>
      </c>
      <c r="F6617" t="s">
        <v>134</v>
      </c>
      <c r="G6617" t="s">
        <v>222</v>
      </c>
      <c r="H6617" t="s">
        <v>222</v>
      </c>
      <c r="I6617" t="s">
        <v>28</v>
      </c>
      <c r="J6617" t="s">
        <v>29</v>
      </c>
      <c r="K6617" t="s">
        <v>48</v>
      </c>
      <c r="L6617" t="s">
        <v>49</v>
      </c>
      <c r="M6617" t="s">
        <v>220</v>
      </c>
      <c r="N6617">
        <v>2.6423240000000001E-3</v>
      </c>
      <c r="O6617">
        <v>7.2283551000000001E-2</v>
      </c>
      <c r="P6617">
        <v>7.6860964000000004E-2</v>
      </c>
      <c r="Q6617" t="str">
        <f t="shared" si="206"/>
        <v>&lt;01</v>
      </c>
      <c r="R6617" t="str">
        <f t="shared" si="207"/>
        <v>[rpw540fmNUz]|&lt;01|Male|Incidence_SUBNAT.Rt.T|CY2025Q3</v>
      </c>
    </row>
    <row r="6618" spans="4:18" x14ac:dyDescent="0.2">
      <c r="D6618" t="s">
        <v>132</v>
      </c>
      <c r="E6618" t="s">
        <v>133</v>
      </c>
      <c r="F6618" t="s">
        <v>134</v>
      </c>
      <c r="G6618" t="s">
        <v>222</v>
      </c>
      <c r="H6618" t="s">
        <v>222</v>
      </c>
      <c r="I6618" t="s">
        <v>33</v>
      </c>
      <c r="J6618" t="s">
        <v>34</v>
      </c>
      <c r="K6618" t="s">
        <v>48</v>
      </c>
      <c r="L6618" t="s">
        <v>49</v>
      </c>
      <c r="M6618" t="s">
        <v>220</v>
      </c>
      <c r="N6618" s="235" t="s">
        <v>272</v>
      </c>
      <c r="O6618">
        <v>3.6141775000000001E-2</v>
      </c>
      <c r="P6618">
        <v>7.6860964000000004E-2</v>
      </c>
      <c r="Q6618" t="str">
        <f t="shared" si="206"/>
        <v>01-09</v>
      </c>
      <c r="R6618" t="str">
        <f t="shared" si="207"/>
        <v>[rpw540fmNUz]|01-09|Male|Incidence_SUBNAT.Rt.T|CY2025Q3</v>
      </c>
    </row>
    <row r="6619" spans="4:18" x14ac:dyDescent="0.2">
      <c r="D6619" t="s">
        <v>132</v>
      </c>
      <c r="E6619" t="s">
        <v>133</v>
      </c>
      <c r="F6619" t="s">
        <v>134</v>
      </c>
      <c r="G6619" t="s">
        <v>222</v>
      </c>
      <c r="H6619" t="s">
        <v>222</v>
      </c>
      <c r="I6619" t="s">
        <v>36</v>
      </c>
      <c r="J6619" t="s">
        <v>37</v>
      </c>
      <c r="K6619" t="s">
        <v>48</v>
      </c>
      <c r="L6619" t="s">
        <v>49</v>
      </c>
      <c r="M6619" t="s">
        <v>220</v>
      </c>
      <c r="N6619">
        <v>0</v>
      </c>
      <c r="O6619">
        <v>0</v>
      </c>
      <c r="P6619">
        <v>7.6860964000000004E-2</v>
      </c>
      <c r="Q6619" t="str">
        <f t="shared" si="206"/>
        <v>10-14</v>
      </c>
      <c r="R6619" t="str">
        <f t="shared" si="207"/>
        <v>[rpw540fmNUz]|10-14|Male|Incidence_SUBNAT.Rt.T|CY2025Q3</v>
      </c>
    </row>
    <row r="6620" spans="4:18" x14ac:dyDescent="0.2">
      <c r="D6620" t="s">
        <v>132</v>
      </c>
      <c r="E6620" t="s">
        <v>133</v>
      </c>
      <c r="F6620" t="s">
        <v>134</v>
      </c>
      <c r="G6620" t="s">
        <v>222</v>
      </c>
      <c r="H6620" t="s">
        <v>222</v>
      </c>
      <c r="I6620" t="s">
        <v>38</v>
      </c>
      <c r="J6620" t="s">
        <v>39</v>
      </c>
      <c r="K6620" t="s">
        <v>48</v>
      </c>
      <c r="L6620" t="s">
        <v>49</v>
      </c>
      <c r="M6620" t="s">
        <v>220</v>
      </c>
      <c r="N6620">
        <v>2.4216799999999999E-4</v>
      </c>
      <c r="O6620">
        <v>8.1284283999999998E-2</v>
      </c>
      <c r="P6620">
        <v>7.6860964000000004E-2</v>
      </c>
      <c r="Q6620" t="str">
        <f t="shared" si="206"/>
        <v>15-24</v>
      </c>
      <c r="R6620" t="str">
        <f t="shared" si="207"/>
        <v>[rpw540fmNUz]|15-24|Male|Incidence_SUBNAT.Rt.T|CY2025Q3</v>
      </c>
    </row>
    <row r="6621" spans="4:18" x14ac:dyDescent="0.2">
      <c r="D6621" t="s">
        <v>132</v>
      </c>
      <c r="E6621" t="s">
        <v>133</v>
      </c>
      <c r="F6621" t="s">
        <v>134</v>
      </c>
      <c r="G6621" t="s">
        <v>222</v>
      </c>
      <c r="H6621" t="s">
        <v>222</v>
      </c>
      <c r="I6621" t="s">
        <v>41</v>
      </c>
      <c r="J6621" t="s">
        <v>42</v>
      </c>
      <c r="K6621" t="s">
        <v>48</v>
      </c>
      <c r="L6621" t="s">
        <v>49</v>
      </c>
      <c r="M6621" t="s">
        <v>220</v>
      </c>
      <c r="N6621">
        <v>1.31718E-3</v>
      </c>
      <c r="O6621">
        <v>8.1299713999999995E-2</v>
      </c>
      <c r="P6621">
        <v>7.6860964000000004E-2</v>
      </c>
      <c r="Q6621" t="str">
        <f t="shared" si="206"/>
        <v>25-34</v>
      </c>
      <c r="R6621" t="str">
        <f t="shared" si="207"/>
        <v>[rpw540fmNUz]|25-34|Male|Incidence_SUBNAT.Rt.T|CY2025Q3</v>
      </c>
    </row>
    <row r="6622" spans="4:18" x14ac:dyDescent="0.2">
      <c r="D6622" t="s">
        <v>132</v>
      </c>
      <c r="E6622" t="s">
        <v>133</v>
      </c>
      <c r="F6622" t="s">
        <v>134</v>
      </c>
      <c r="G6622" t="s">
        <v>222</v>
      </c>
      <c r="H6622" t="s">
        <v>222</v>
      </c>
      <c r="I6622" t="s">
        <v>43</v>
      </c>
      <c r="J6622" t="s">
        <v>44</v>
      </c>
      <c r="K6622" t="s">
        <v>48</v>
      </c>
      <c r="L6622" t="s">
        <v>49</v>
      </c>
      <c r="M6622" t="s">
        <v>220</v>
      </c>
      <c r="N6622">
        <v>1.474213E-3</v>
      </c>
      <c r="O6622">
        <v>8.1722843000000003E-2</v>
      </c>
      <c r="P6622">
        <v>7.6860964000000004E-2</v>
      </c>
      <c r="Q6622" t="str">
        <f t="shared" si="206"/>
        <v>35-49</v>
      </c>
      <c r="R6622" t="str">
        <f t="shared" si="207"/>
        <v>[rpw540fmNUz]|35-49|Male|Incidence_SUBNAT.Rt.T|CY2025Q3</v>
      </c>
    </row>
    <row r="6623" spans="4:18" x14ac:dyDescent="0.2">
      <c r="D6623" t="s">
        <v>132</v>
      </c>
      <c r="E6623" t="s">
        <v>133</v>
      </c>
      <c r="F6623" t="s">
        <v>134</v>
      </c>
      <c r="G6623" t="s">
        <v>222</v>
      </c>
      <c r="H6623" t="s">
        <v>222</v>
      </c>
      <c r="I6623" t="s">
        <v>45</v>
      </c>
      <c r="J6623" t="s">
        <v>46</v>
      </c>
      <c r="K6623" t="s">
        <v>48</v>
      </c>
      <c r="L6623" t="s">
        <v>49</v>
      </c>
      <c r="M6623" t="s">
        <v>220</v>
      </c>
      <c r="N6623">
        <v>7.2785899999999997E-4</v>
      </c>
      <c r="O6623">
        <v>7.9077566000000002E-2</v>
      </c>
      <c r="P6623">
        <v>7.6860964000000004E-2</v>
      </c>
      <c r="Q6623" t="str">
        <f t="shared" si="206"/>
        <v>50+</v>
      </c>
      <c r="R6623" t="str">
        <f t="shared" si="207"/>
        <v>[rpw540fmNUz]|50+|Male|Incidence_SUBNAT.Rt.T|CY2025Q3</v>
      </c>
    </row>
    <row r="6624" spans="4:18" x14ac:dyDescent="0.2">
      <c r="D6624" t="s">
        <v>135</v>
      </c>
      <c r="E6624" t="s">
        <v>136</v>
      </c>
      <c r="F6624" t="s">
        <v>137</v>
      </c>
      <c r="G6624" t="s">
        <v>222</v>
      </c>
      <c r="H6624" t="s">
        <v>222</v>
      </c>
      <c r="I6624" t="s">
        <v>28</v>
      </c>
      <c r="J6624" t="s">
        <v>29</v>
      </c>
      <c r="K6624" t="s">
        <v>30</v>
      </c>
      <c r="L6624" t="s">
        <v>31</v>
      </c>
      <c r="M6624" t="s">
        <v>220</v>
      </c>
      <c r="N6624">
        <v>1.9443360000000001E-3</v>
      </c>
      <c r="O6624">
        <v>9.8484147999999994E-2</v>
      </c>
      <c r="P6624">
        <v>9.9343924E-2</v>
      </c>
      <c r="Q6624" t="str">
        <f t="shared" si="206"/>
        <v>&lt;01</v>
      </c>
      <c r="R6624" t="str">
        <f t="shared" si="207"/>
        <v>[gwVYinjBAe9]|&lt;01|Female|Incidence_SUBNAT.Rt.T|CY2025Q3</v>
      </c>
    </row>
    <row r="6625" spans="4:18" x14ac:dyDescent="0.2">
      <c r="D6625" t="s">
        <v>135</v>
      </c>
      <c r="E6625" t="s">
        <v>136</v>
      </c>
      <c r="F6625" t="s">
        <v>137</v>
      </c>
      <c r="G6625" t="s">
        <v>222</v>
      </c>
      <c r="H6625" t="s">
        <v>222</v>
      </c>
      <c r="I6625" t="s">
        <v>33</v>
      </c>
      <c r="J6625" t="s">
        <v>34</v>
      </c>
      <c r="K6625" t="s">
        <v>30</v>
      </c>
      <c r="L6625" t="s">
        <v>31</v>
      </c>
      <c r="M6625" t="s">
        <v>220</v>
      </c>
      <c r="N6625" s="235" t="s">
        <v>273</v>
      </c>
      <c r="O6625">
        <v>4.9242073999999997E-2</v>
      </c>
      <c r="P6625">
        <v>9.9343924E-2</v>
      </c>
      <c r="Q6625" t="str">
        <f t="shared" si="206"/>
        <v>01-09</v>
      </c>
      <c r="R6625" t="str">
        <f t="shared" si="207"/>
        <v>[gwVYinjBAe9]|01-09|Female|Incidence_SUBNAT.Rt.T|CY2025Q3</v>
      </c>
    </row>
    <row r="6626" spans="4:18" x14ac:dyDescent="0.2">
      <c r="D6626" t="s">
        <v>135</v>
      </c>
      <c r="E6626" t="s">
        <v>136</v>
      </c>
      <c r="F6626" t="s">
        <v>137</v>
      </c>
      <c r="G6626" t="s">
        <v>222</v>
      </c>
      <c r="H6626" t="s">
        <v>222</v>
      </c>
      <c r="I6626" t="s">
        <v>36</v>
      </c>
      <c r="J6626" t="s">
        <v>37</v>
      </c>
      <c r="K6626" t="s">
        <v>30</v>
      </c>
      <c r="L6626" t="s">
        <v>31</v>
      </c>
      <c r="M6626" t="s">
        <v>220</v>
      </c>
      <c r="N6626">
        <v>0</v>
      </c>
      <c r="O6626">
        <v>0</v>
      </c>
      <c r="P6626">
        <v>9.9343924E-2</v>
      </c>
      <c r="Q6626" t="str">
        <f t="shared" si="206"/>
        <v>10-14</v>
      </c>
      <c r="R6626" t="str">
        <f t="shared" si="207"/>
        <v>[gwVYinjBAe9]|10-14|Female|Incidence_SUBNAT.Rt.T|CY2025Q3</v>
      </c>
    </row>
    <row r="6627" spans="4:18" x14ac:dyDescent="0.2">
      <c r="D6627" t="s">
        <v>135</v>
      </c>
      <c r="E6627" t="s">
        <v>136</v>
      </c>
      <c r="F6627" t="s">
        <v>137</v>
      </c>
      <c r="G6627" t="s">
        <v>222</v>
      </c>
      <c r="H6627" t="s">
        <v>222</v>
      </c>
      <c r="I6627" t="s">
        <v>38</v>
      </c>
      <c r="J6627" t="s">
        <v>39</v>
      </c>
      <c r="K6627" t="s">
        <v>30</v>
      </c>
      <c r="L6627" t="s">
        <v>31</v>
      </c>
      <c r="M6627" t="s">
        <v>220</v>
      </c>
      <c r="N6627">
        <v>1.11601E-3</v>
      </c>
      <c r="O6627">
        <v>0.102103245</v>
      </c>
      <c r="P6627">
        <v>9.9343924E-2</v>
      </c>
      <c r="Q6627" t="str">
        <f t="shared" si="206"/>
        <v>15-24</v>
      </c>
      <c r="R6627" t="str">
        <f t="shared" si="207"/>
        <v>[gwVYinjBAe9]|15-24|Female|Incidence_SUBNAT.Rt.T|CY2025Q3</v>
      </c>
    </row>
    <row r="6628" spans="4:18" x14ac:dyDescent="0.2">
      <c r="D6628" t="s">
        <v>135</v>
      </c>
      <c r="E6628" t="s">
        <v>136</v>
      </c>
      <c r="F6628" t="s">
        <v>137</v>
      </c>
      <c r="G6628" t="s">
        <v>222</v>
      </c>
      <c r="H6628" t="s">
        <v>222</v>
      </c>
      <c r="I6628" t="s">
        <v>41</v>
      </c>
      <c r="J6628" t="s">
        <v>42</v>
      </c>
      <c r="K6628" t="s">
        <v>30</v>
      </c>
      <c r="L6628" t="s">
        <v>31</v>
      </c>
      <c r="M6628" t="s">
        <v>220</v>
      </c>
      <c r="N6628">
        <v>1.6640120000000001E-3</v>
      </c>
      <c r="O6628">
        <v>0.102649029</v>
      </c>
      <c r="P6628">
        <v>9.9343924E-2</v>
      </c>
      <c r="Q6628" t="str">
        <f t="shared" si="206"/>
        <v>25-34</v>
      </c>
      <c r="R6628" t="str">
        <f t="shared" si="207"/>
        <v>[gwVYinjBAe9]|25-34|Female|Incidence_SUBNAT.Rt.T|CY2025Q3</v>
      </c>
    </row>
    <row r="6629" spans="4:18" x14ac:dyDescent="0.2">
      <c r="D6629" t="s">
        <v>135</v>
      </c>
      <c r="E6629" t="s">
        <v>136</v>
      </c>
      <c r="F6629" t="s">
        <v>137</v>
      </c>
      <c r="G6629" t="s">
        <v>222</v>
      </c>
      <c r="H6629" t="s">
        <v>222</v>
      </c>
      <c r="I6629" t="s">
        <v>43</v>
      </c>
      <c r="J6629" t="s">
        <v>44</v>
      </c>
      <c r="K6629" t="s">
        <v>30</v>
      </c>
      <c r="L6629" t="s">
        <v>31</v>
      </c>
      <c r="M6629" t="s">
        <v>220</v>
      </c>
      <c r="N6629">
        <v>8.7210599999999999E-4</v>
      </c>
      <c r="O6629">
        <v>0.103333514</v>
      </c>
      <c r="P6629">
        <v>9.9343924E-2</v>
      </c>
      <c r="Q6629" t="str">
        <f t="shared" si="206"/>
        <v>35-49</v>
      </c>
      <c r="R6629" t="str">
        <f t="shared" si="207"/>
        <v>[gwVYinjBAe9]|35-49|Female|Incidence_SUBNAT.Rt.T|CY2025Q3</v>
      </c>
    </row>
    <row r="6630" spans="4:18" x14ac:dyDescent="0.2">
      <c r="D6630" t="s">
        <v>135</v>
      </c>
      <c r="E6630" t="s">
        <v>136</v>
      </c>
      <c r="F6630" t="s">
        <v>137</v>
      </c>
      <c r="G6630" t="s">
        <v>222</v>
      </c>
      <c r="H6630" t="s">
        <v>222</v>
      </c>
      <c r="I6630" t="s">
        <v>45</v>
      </c>
      <c r="J6630" t="s">
        <v>46</v>
      </c>
      <c r="K6630" t="s">
        <v>30</v>
      </c>
      <c r="L6630" t="s">
        <v>31</v>
      </c>
      <c r="M6630" t="s">
        <v>220</v>
      </c>
      <c r="N6630">
        <v>2.43852E-4</v>
      </c>
      <c r="O6630">
        <v>9.8479702000000002E-2</v>
      </c>
      <c r="P6630">
        <v>9.9343924E-2</v>
      </c>
      <c r="Q6630" t="str">
        <f t="shared" si="206"/>
        <v>50+</v>
      </c>
      <c r="R6630" t="str">
        <f t="shared" si="207"/>
        <v>[gwVYinjBAe9]|50+|Female|Incidence_SUBNAT.Rt.T|CY2025Q3</v>
      </c>
    </row>
    <row r="6631" spans="4:18" x14ac:dyDescent="0.2">
      <c r="D6631" t="s">
        <v>135</v>
      </c>
      <c r="E6631" t="s">
        <v>136</v>
      </c>
      <c r="F6631" t="s">
        <v>137</v>
      </c>
      <c r="G6631" t="s">
        <v>222</v>
      </c>
      <c r="H6631" t="s">
        <v>222</v>
      </c>
      <c r="I6631" t="s">
        <v>28</v>
      </c>
      <c r="J6631" t="s">
        <v>29</v>
      </c>
      <c r="K6631" t="s">
        <v>48</v>
      </c>
      <c r="L6631" t="s">
        <v>49</v>
      </c>
      <c r="M6631" t="s">
        <v>220</v>
      </c>
      <c r="N6631">
        <v>1.9507870000000001E-3</v>
      </c>
      <c r="O6631">
        <v>9.8484147999999994E-2</v>
      </c>
      <c r="P6631">
        <v>9.9343924E-2</v>
      </c>
      <c r="Q6631" t="str">
        <f t="shared" si="206"/>
        <v>&lt;01</v>
      </c>
      <c r="R6631" t="str">
        <f t="shared" si="207"/>
        <v>[gwVYinjBAe9]|&lt;01|Male|Incidence_SUBNAT.Rt.T|CY2025Q3</v>
      </c>
    </row>
    <row r="6632" spans="4:18" x14ac:dyDescent="0.2">
      <c r="D6632" t="s">
        <v>135</v>
      </c>
      <c r="E6632" t="s">
        <v>136</v>
      </c>
      <c r="F6632" t="s">
        <v>137</v>
      </c>
      <c r="G6632" t="s">
        <v>222</v>
      </c>
      <c r="H6632" t="s">
        <v>222</v>
      </c>
      <c r="I6632" t="s">
        <v>33</v>
      </c>
      <c r="J6632" t="s">
        <v>34</v>
      </c>
      <c r="K6632" t="s">
        <v>48</v>
      </c>
      <c r="L6632" t="s">
        <v>49</v>
      </c>
      <c r="M6632" t="s">
        <v>220</v>
      </c>
      <c r="N6632" s="235" t="s">
        <v>274</v>
      </c>
      <c r="O6632">
        <v>4.9242073999999997E-2</v>
      </c>
      <c r="P6632">
        <v>9.9343924E-2</v>
      </c>
      <c r="Q6632" t="str">
        <f t="shared" si="206"/>
        <v>01-09</v>
      </c>
      <c r="R6632" t="str">
        <f t="shared" si="207"/>
        <v>[gwVYinjBAe9]|01-09|Male|Incidence_SUBNAT.Rt.T|CY2025Q3</v>
      </c>
    </row>
    <row r="6633" spans="4:18" x14ac:dyDescent="0.2">
      <c r="D6633" t="s">
        <v>135</v>
      </c>
      <c r="E6633" t="s">
        <v>136</v>
      </c>
      <c r="F6633" t="s">
        <v>137</v>
      </c>
      <c r="G6633" t="s">
        <v>222</v>
      </c>
      <c r="H6633" t="s">
        <v>222</v>
      </c>
      <c r="I6633" t="s">
        <v>36</v>
      </c>
      <c r="J6633" t="s">
        <v>37</v>
      </c>
      <c r="K6633" t="s">
        <v>48</v>
      </c>
      <c r="L6633" t="s">
        <v>49</v>
      </c>
      <c r="M6633" t="s">
        <v>220</v>
      </c>
      <c r="N6633">
        <v>0</v>
      </c>
      <c r="O6633">
        <v>0</v>
      </c>
      <c r="P6633">
        <v>9.9343924E-2</v>
      </c>
      <c r="Q6633" t="str">
        <f t="shared" si="206"/>
        <v>10-14</v>
      </c>
      <c r="R6633" t="str">
        <f t="shared" si="207"/>
        <v>[gwVYinjBAe9]|10-14|Male|Incidence_SUBNAT.Rt.T|CY2025Q3</v>
      </c>
    </row>
    <row r="6634" spans="4:18" x14ac:dyDescent="0.2">
      <c r="D6634" t="s">
        <v>135</v>
      </c>
      <c r="E6634" t="s">
        <v>136</v>
      </c>
      <c r="F6634" t="s">
        <v>137</v>
      </c>
      <c r="G6634" t="s">
        <v>222</v>
      </c>
      <c r="H6634" t="s">
        <v>222</v>
      </c>
      <c r="I6634" t="s">
        <v>38</v>
      </c>
      <c r="J6634" t="s">
        <v>39</v>
      </c>
      <c r="K6634" t="s">
        <v>48</v>
      </c>
      <c r="L6634" t="s">
        <v>49</v>
      </c>
      <c r="M6634" t="s">
        <v>220</v>
      </c>
      <c r="N6634">
        <v>1.9304500000000001E-4</v>
      </c>
      <c r="O6634">
        <v>0.10239200800000001</v>
      </c>
      <c r="P6634">
        <v>9.9343924E-2</v>
      </c>
      <c r="Q6634" t="str">
        <f t="shared" si="206"/>
        <v>15-24</v>
      </c>
      <c r="R6634" t="str">
        <f t="shared" si="207"/>
        <v>[gwVYinjBAe9]|15-24|Male|Incidence_SUBNAT.Rt.T|CY2025Q3</v>
      </c>
    </row>
    <row r="6635" spans="4:18" x14ac:dyDescent="0.2">
      <c r="D6635" t="s">
        <v>135</v>
      </c>
      <c r="E6635" t="s">
        <v>136</v>
      </c>
      <c r="F6635" t="s">
        <v>137</v>
      </c>
      <c r="G6635" t="s">
        <v>222</v>
      </c>
      <c r="H6635" t="s">
        <v>222</v>
      </c>
      <c r="I6635" t="s">
        <v>41</v>
      </c>
      <c r="J6635" t="s">
        <v>42</v>
      </c>
      <c r="K6635" t="s">
        <v>48</v>
      </c>
      <c r="L6635" t="s">
        <v>49</v>
      </c>
      <c r="M6635" t="s">
        <v>220</v>
      </c>
      <c r="N6635">
        <v>9.9687600000000006E-4</v>
      </c>
      <c r="O6635">
        <v>0.102302237</v>
      </c>
      <c r="P6635">
        <v>9.9343924E-2</v>
      </c>
      <c r="Q6635" t="str">
        <f t="shared" si="206"/>
        <v>25-34</v>
      </c>
      <c r="R6635" t="str">
        <f t="shared" si="207"/>
        <v>[gwVYinjBAe9]|25-34|Male|Incidence_SUBNAT.Rt.T|CY2025Q3</v>
      </c>
    </row>
    <row r="6636" spans="4:18" x14ac:dyDescent="0.2">
      <c r="D6636" t="s">
        <v>135</v>
      </c>
      <c r="E6636" t="s">
        <v>136</v>
      </c>
      <c r="F6636" t="s">
        <v>137</v>
      </c>
      <c r="G6636" t="s">
        <v>222</v>
      </c>
      <c r="H6636" t="s">
        <v>222</v>
      </c>
      <c r="I6636" t="s">
        <v>43</v>
      </c>
      <c r="J6636" t="s">
        <v>44</v>
      </c>
      <c r="K6636" t="s">
        <v>48</v>
      </c>
      <c r="L6636" t="s">
        <v>49</v>
      </c>
      <c r="M6636" t="s">
        <v>220</v>
      </c>
      <c r="N6636">
        <v>1.112032E-3</v>
      </c>
      <c r="O6636">
        <v>0.102678015</v>
      </c>
      <c r="P6636">
        <v>9.9343924E-2</v>
      </c>
      <c r="Q6636" t="str">
        <f t="shared" si="206"/>
        <v>35-49</v>
      </c>
      <c r="R6636" t="str">
        <f t="shared" si="207"/>
        <v>[gwVYinjBAe9]|35-49|Male|Incidence_SUBNAT.Rt.T|CY2025Q3</v>
      </c>
    </row>
    <row r="6637" spans="4:18" x14ac:dyDescent="0.2">
      <c r="D6637" t="s">
        <v>135</v>
      </c>
      <c r="E6637" t="s">
        <v>136</v>
      </c>
      <c r="F6637" t="s">
        <v>137</v>
      </c>
      <c r="G6637" t="s">
        <v>222</v>
      </c>
      <c r="H6637" t="s">
        <v>222</v>
      </c>
      <c r="I6637" t="s">
        <v>45</v>
      </c>
      <c r="J6637" t="s">
        <v>46</v>
      </c>
      <c r="K6637" t="s">
        <v>48</v>
      </c>
      <c r="L6637" t="s">
        <v>49</v>
      </c>
      <c r="M6637" t="s">
        <v>220</v>
      </c>
      <c r="N6637">
        <v>5.8623200000000001E-4</v>
      </c>
      <c r="O6637">
        <v>0.101062321</v>
      </c>
      <c r="P6637">
        <v>9.9343924E-2</v>
      </c>
      <c r="Q6637" t="str">
        <f t="shared" si="206"/>
        <v>50+</v>
      </c>
      <c r="R6637" t="str">
        <f t="shared" si="207"/>
        <v>[gwVYinjBAe9]|50+|Male|Incidence_SUBNAT.Rt.T|CY2025Q3</v>
      </c>
    </row>
    <row r="6638" spans="4:18" x14ac:dyDescent="0.2">
      <c r="D6638" t="s">
        <v>23</v>
      </c>
      <c r="E6638" t="s">
        <v>24</v>
      </c>
      <c r="F6638" t="s">
        <v>25</v>
      </c>
      <c r="G6638" t="s">
        <v>275</v>
      </c>
      <c r="H6638" t="s">
        <v>275</v>
      </c>
      <c r="I6638" t="s">
        <v>28</v>
      </c>
      <c r="J6638" t="s">
        <v>29</v>
      </c>
      <c r="K6638" t="s">
        <v>30</v>
      </c>
      <c r="L6638" t="s">
        <v>31</v>
      </c>
      <c r="M6638" t="s">
        <v>220</v>
      </c>
      <c r="N6638">
        <v>3</v>
      </c>
      <c r="O6638">
        <v>7.1842533E-2</v>
      </c>
      <c r="P6638">
        <v>7.8474219999999997E-2</v>
      </c>
      <c r="Q6638" t="str">
        <f t="shared" si="206"/>
        <v>&lt;01</v>
      </c>
      <c r="R6638" t="str">
        <f t="shared" si="207"/>
        <v>[GkIwZrXy1h2]|&lt;01|Female|NEW_INFECTIONS_SUBNAT.T|CY2025Q3</v>
      </c>
    </row>
    <row r="6639" spans="4:18" x14ac:dyDescent="0.2">
      <c r="D6639" t="s">
        <v>23</v>
      </c>
      <c r="E6639" t="s">
        <v>24</v>
      </c>
      <c r="F6639" t="s">
        <v>25</v>
      </c>
      <c r="G6639" t="s">
        <v>275</v>
      </c>
      <c r="H6639" t="s">
        <v>275</v>
      </c>
      <c r="I6639" t="s">
        <v>33</v>
      </c>
      <c r="J6639" t="s">
        <v>34</v>
      </c>
      <c r="K6639" t="s">
        <v>30</v>
      </c>
      <c r="L6639" t="s">
        <v>31</v>
      </c>
      <c r="M6639" t="s">
        <v>220</v>
      </c>
      <c r="N6639">
        <v>1</v>
      </c>
      <c r="O6639">
        <v>3.5921266E-2</v>
      </c>
      <c r="P6639">
        <v>7.8474219999999997E-2</v>
      </c>
      <c r="Q6639" t="str">
        <f t="shared" si="206"/>
        <v>01-09</v>
      </c>
      <c r="R6639" t="str">
        <f t="shared" si="207"/>
        <v>[GkIwZrXy1h2]|01-09|Female|NEW_INFECTIONS_SUBNAT.T|CY2025Q3</v>
      </c>
    </row>
    <row r="6640" spans="4:18" x14ac:dyDescent="0.2">
      <c r="D6640" t="s">
        <v>23</v>
      </c>
      <c r="E6640" t="s">
        <v>24</v>
      </c>
      <c r="F6640" t="s">
        <v>25</v>
      </c>
      <c r="G6640" t="s">
        <v>275</v>
      </c>
      <c r="H6640" t="s">
        <v>275</v>
      </c>
      <c r="I6640" t="s">
        <v>36</v>
      </c>
      <c r="J6640" t="s">
        <v>37</v>
      </c>
      <c r="K6640" t="s">
        <v>30</v>
      </c>
      <c r="L6640" t="s">
        <v>31</v>
      </c>
      <c r="M6640" t="s">
        <v>220</v>
      </c>
      <c r="N6640">
        <v>0</v>
      </c>
      <c r="O6640">
        <v>0</v>
      </c>
      <c r="P6640">
        <v>7.8474219999999997E-2</v>
      </c>
      <c r="Q6640" t="str">
        <f t="shared" si="206"/>
        <v>10-14</v>
      </c>
      <c r="R6640" t="str">
        <f t="shared" si="207"/>
        <v>[GkIwZrXy1h2]|10-14|Female|NEW_INFECTIONS_SUBNAT.T|CY2025Q3</v>
      </c>
    </row>
    <row r="6641" spans="4:18" x14ac:dyDescent="0.2">
      <c r="D6641" t="s">
        <v>23</v>
      </c>
      <c r="E6641" t="s">
        <v>24</v>
      </c>
      <c r="F6641" t="s">
        <v>25</v>
      </c>
      <c r="G6641" t="s">
        <v>275</v>
      </c>
      <c r="H6641" t="s">
        <v>275</v>
      </c>
      <c r="I6641" t="s">
        <v>38</v>
      </c>
      <c r="J6641" t="s">
        <v>39</v>
      </c>
      <c r="K6641" t="s">
        <v>30</v>
      </c>
      <c r="L6641" t="s">
        <v>31</v>
      </c>
      <c r="M6641" t="s">
        <v>220</v>
      </c>
      <c r="N6641">
        <v>16</v>
      </c>
      <c r="O6641">
        <v>8.2273217999999995E-2</v>
      </c>
      <c r="P6641">
        <v>7.8474219999999997E-2</v>
      </c>
      <c r="Q6641" t="str">
        <f t="shared" si="206"/>
        <v>15-24</v>
      </c>
      <c r="R6641" t="str">
        <f t="shared" si="207"/>
        <v>[GkIwZrXy1h2]|15-24|Female|NEW_INFECTIONS_SUBNAT.T|CY2025Q3</v>
      </c>
    </row>
    <row r="6642" spans="4:18" x14ac:dyDescent="0.2">
      <c r="D6642" t="s">
        <v>23</v>
      </c>
      <c r="E6642" t="s">
        <v>24</v>
      </c>
      <c r="F6642" t="s">
        <v>25</v>
      </c>
      <c r="G6642" t="s">
        <v>275</v>
      </c>
      <c r="H6642" t="s">
        <v>275</v>
      </c>
      <c r="I6642" t="s">
        <v>41</v>
      </c>
      <c r="J6642" t="s">
        <v>42</v>
      </c>
      <c r="K6642" t="s">
        <v>30</v>
      </c>
      <c r="L6642" t="s">
        <v>31</v>
      </c>
      <c r="M6642" t="s">
        <v>220</v>
      </c>
      <c r="N6642">
        <v>16</v>
      </c>
      <c r="O6642">
        <v>8.0949487000000001E-2</v>
      </c>
      <c r="P6642">
        <v>7.8474219999999997E-2</v>
      </c>
      <c r="Q6642" t="str">
        <f t="shared" si="206"/>
        <v>25-34</v>
      </c>
      <c r="R6642" t="str">
        <f t="shared" si="207"/>
        <v>[GkIwZrXy1h2]|25-34|Female|NEW_INFECTIONS_SUBNAT.T|CY2025Q3</v>
      </c>
    </row>
    <row r="6643" spans="4:18" x14ac:dyDescent="0.2">
      <c r="D6643" t="s">
        <v>23</v>
      </c>
      <c r="E6643" t="s">
        <v>24</v>
      </c>
      <c r="F6643" t="s">
        <v>25</v>
      </c>
      <c r="G6643" t="s">
        <v>275</v>
      </c>
      <c r="H6643" t="s">
        <v>275</v>
      </c>
      <c r="I6643" t="s">
        <v>43</v>
      </c>
      <c r="J6643" t="s">
        <v>44</v>
      </c>
      <c r="K6643" t="s">
        <v>30</v>
      </c>
      <c r="L6643" t="s">
        <v>31</v>
      </c>
      <c r="M6643" t="s">
        <v>220</v>
      </c>
      <c r="N6643">
        <v>9</v>
      </c>
      <c r="O6643">
        <v>7.7593022999999997E-2</v>
      </c>
      <c r="P6643">
        <v>7.8474219999999997E-2</v>
      </c>
      <c r="Q6643" t="str">
        <f t="shared" si="206"/>
        <v>35-49</v>
      </c>
      <c r="R6643" t="str">
        <f t="shared" si="207"/>
        <v>[GkIwZrXy1h2]|35-49|Female|NEW_INFECTIONS_SUBNAT.T|CY2025Q3</v>
      </c>
    </row>
    <row r="6644" spans="4:18" x14ac:dyDescent="0.2">
      <c r="D6644" t="s">
        <v>23</v>
      </c>
      <c r="E6644" t="s">
        <v>24</v>
      </c>
      <c r="F6644" t="s">
        <v>25</v>
      </c>
      <c r="G6644" t="s">
        <v>275</v>
      </c>
      <c r="H6644" t="s">
        <v>275</v>
      </c>
      <c r="I6644" t="s">
        <v>45</v>
      </c>
      <c r="J6644" t="s">
        <v>46</v>
      </c>
      <c r="K6644" t="s">
        <v>30</v>
      </c>
      <c r="L6644" t="s">
        <v>31</v>
      </c>
      <c r="M6644" t="s">
        <v>220</v>
      </c>
      <c r="N6644">
        <v>2</v>
      </c>
      <c r="O6644">
        <v>7.7854164000000003E-2</v>
      </c>
      <c r="P6644">
        <v>7.8474219999999997E-2</v>
      </c>
      <c r="Q6644" t="str">
        <f t="shared" si="206"/>
        <v>50+</v>
      </c>
      <c r="R6644" t="str">
        <f t="shared" si="207"/>
        <v>[GkIwZrXy1h2]|50+|Female|NEW_INFECTIONS_SUBNAT.T|CY2025Q3</v>
      </c>
    </row>
    <row r="6645" spans="4:18" x14ac:dyDescent="0.2">
      <c r="D6645" t="s">
        <v>23</v>
      </c>
      <c r="E6645" t="s">
        <v>24</v>
      </c>
      <c r="F6645" t="s">
        <v>25</v>
      </c>
      <c r="G6645" t="s">
        <v>275</v>
      </c>
      <c r="H6645" t="s">
        <v>275</v>
      </c>
      <c r="I6645" t="s">
        <v>28</v>
      </c>
      <c r="J6645" t="s">
        <v>29</v>
      </c>
      <c r="K6645" t="s">
        <v>48</v>
      </c>
      <c r="L6645" t="s">
        <v>49</v>
      </c>
      <c r="M6645" t="s">
        <v>220</v>
      </c>
      <c r="N6645">
        <v>3</v>
      </c>
      <c r="O6645">
        <v>7.1843878999999999E-2</v>
      </c>
      <c r="P6645">
        <v>7.8474219999999997E-2</v>
      </c>
      <c r="Q6645" t="str">
        <f t="shared" si="206"/>
        <v>&lt;01</v>
      </c>
      <c r="R6645" t="str">
        <f t="shared" si="207"/>
        <v>[GkIwZrXy1h2]|&lt;01|Male|NEW_INFECTIONS_SUBNAT.T|CY2025Q3</v>
      </c>
    </row>
    <row r="6646" spans="4:18" x14ac:dyDescent="0.2">
      <c r="D6646" t="s">
        <v>23</v>
      </c>
      <c r="E6646" t="s">
        <v>24</v>
      </c>
      <c r="F6646" t="s">
        <v>25</v>
      </c>
      <c r="G6646" t="s">
        <v>275</v>
      </c>
      <c r="H6646" t="s">
        <v>275</v>
      </c>
      <c r="I6646" t="s">
        <v>33</v>
      </c>
      <c r="J6646" t="s">
        <v>34</v>
      </c>
      <c r="K6646" t="s">
        <v>48</v>
      </c>
      <c r="L6646" t="s">
        <v>49</v>
      </c>
      <c r="M6646" t="s">
        <v>220</v>
      </c>
      <c r="N6646">
        <v>1</v>
      </c>
      <c r="O6646">
        <v>3.5921939999999999E-2</v>
      </c>
      <c r="P6646">
        <v>7.8474219999999997E-2</v>
      </c>
      <c r="Q6646" t="str">
        <f t="shared" si="206"/>
        <v>01-09</v>
      </c>
      <c r="R6646" t="str">
        <f t="shared" si="207"/>
        <v>[GkIwZrXy1h2]|01-09|Male|NEW_INFECTIONS_SUBNAT.T|CY2025Q3</v>
      </c>
    </row>
    <row r="6647" spans="4:18" x14ac:dyDescent="0.2">
      <c r="D6647" t="s">
        <v>23</v>
      </c>
      <c r="E6647" t="s">
        <v>24</v>
      </c>
      <c r="F6647" t="s">
        <v>25</v>
      </c>
      <c r="G6647" t="s">
        <v>275</v>
      </c>
      <c r="H6647" t="s">
        <v>275</v>
      </c>
      <c r="I6647" t="s">
        <v>36</v>
      </c>
      <c r="J6647" t="s">
        <v>37</v>
      </c>
      <c r="K6647" t="s">
        <v>48</v>
      </c>
      <c r="L6647" t="s">
        <v>49</v>
      </c>
      <c r="M6647" t="s">
        <v>220</v>
      </c>
      <c r="N6647">
        <v>0</v>
      </c>
      <c r="O6647">
        <v>0</v>
      </c>
      <c r="P6647">
        <v>7.8474219999999997E-2</v>
      </c>
      <c r="Q6647" t="str">
        <f t="shared" si="206"/>
        <v>10-14</v>
      </c>
      <c r="R6647" t="str">
        <f t="shared" si="207"/>
        <v>[GkIwZrXy1h2]|10-14|Male|NEW_INFECTIONS_SUBNAT.T|CY2025Q3</v>
      </c>
    </row>
    <row r="6648" spans="4:18" x14ac:dyDescent="0.2">
      <c r="D6648" t="s">
        <v>23</v>
      </c>
      <c r="E6648" t="s">
        <v>24</v>
      </c>
      <c r="F6648" t="s">
        <v>25</v>
      </c>
      <c r="G6648" t="s">
        <v>275</v>
      </c>
      <c r="H6648" t="s">
        <v>275</v>
      </c>
      <c r="I6648" t="s">
        <v>38</v>
      </c>
      <c r="J6648" t="s">
        <v>39</v>
      </c>
      <c r="K6648" t="s">
        <v>48</v>
      </c>
      <c r="L6648" t="s">
        <v>49</v>
      </c>
      <c r="M6648" t="s">
        <v>220</v>
      </c>
      <c r="N6648">
        <v>3</v>
      </c>
      <c r="O6648">
        <v>8.2579161999999998E-2</v>
      </c>
      <c r="P6648">
        <v>7.8474219999999997E-2</v>
      </c>
      <c r="Q6648" t="str">
        <f t="shared" si="206"/>
        <v>15-24</v>
      </c>
      <c r="R6648" t="str">
        <f t="shared" si="207"/>
        <v>[GkIwZrXy1h2]|15-24|Male|NEW_INFECTIONS_SUBNAT.T|CY2025Q3</v>
      </c>
    </row>
    <row r="6649" spans="4:18" x14ac:dyDescent="0.2">
      <c r="D6649" t="s">
        <v>23</v>
      </c>
      <c r="E6649" t="s">
        <v>24</v>
      </c>
      <c r="F6649" t="s">
        <v>25</v>
      </c>
      <c r="G6649" t="s">
        <v>275</v>
      </c>
      <c r="H6649" t="s">
        <v>275</v>
      </c>
      <c r="I6649" t="s">
        <v>41</v>
      </c>
      <c r="J6649" t="s">
        <v>42</v>
      </c>
      <c r="K6649" t="s">
        <v>48</v>
      </c>
      <c r="L6649" t="s">
        <v>49</v>
      </c>
      <c r="M6649" t="s">
        <v>220</v>
      </c>
      <c r="N6649">
        <v>9</v>
      </c>
      <c r="O6649">
        <v>8.2061949999999995E-2</v>
      </c>
      <c r="P6649">
        <v>7.8474219999999997E-2</v>
      </c>
      <c r="Q6649" t="str">
        <f t="shared" si="206"/>
        <v>25-34</v>
      </c>
      <c r="R6649" t="str">
        <f t="shared" si="207"/>
        <v>[GkIwZrXy1h2]|25-34|Male|NEW_INFECTIONS_SUBNAT.T|CY2025Q3</v>
      </c>
    </row>
    <row r="6650" spans="4:18" x14ac:dyDescent="0.2">
      <c r="D6650" t="s">
        <v>23</v>
      </c>
      <c r="E6650" t="s">
        <v>24</v>
      </c>
      <c r="F6650" t="s">
        <v>25</v>
      </c>
      <c r="G6650" t="s">
        <v>275</v>
      </c>
      <c r="H6650" t="s">
        <v>275</v>
      </c>
      <c r="I6650" t="s">
        <v>43</v>
      </c>
      <c r="J6650" t="s">
        <v>44</v>
      </c>
      <c r="K6650" t="s">
        <v>48</v>
      </c>
      <c r="L6650" t="s">
        <v>49</v>
      </c>
      <c r="M6650" t="s">
        <v>220</v>
      </c>
      <c r="N6650">
        <v>9</v>
      </c>
      <c r="O6650">
        <v>7.9758064000000004E-2</v>
      </c>
      <c r="P6650">
        <v>7.8474219999999997E-2</v>
      </c>
      <c r="Q6650" t="str">
        <f t="shared" si="206"/>
        <v>35-49</v>
      </c>
      <c r="R6650" t="str">
        <f t="shared" si="207"/>
        <v>[GkIwZrXy1h2]|35-49|Male|NEW_INFECTIONS_SUBNAT.T|CY2025Q3</v>
      </c>
    </row>
    <row r="6651" spans="4:18" x14ac:dyDescent="0.2">
      <c r="D6651" t="s">
        <v>23</v>
      </c>
      <c r="E6651" t="s">
        <v>24</v>
      </c>
      <c r="F6651" t="s">
        <v>25</v>
      </c>
      <c r="G6651" t="s">
        <v>275</v>
      </c>
      <c r="H6651" t="s">
        <v>275</v>
      </c>
      <c r="I6651" t="s">
        <v>45</v>
      </c>
      <c r="J6651" t="s">
        <v>46</v>
      </c>
      <c r="K6651" t="s">
        <v>48</v>
      </c>
      <c r="L6651" t="s">
        <v>49</v>
      </c>
      <c r="M6651" t="s">
        <v>220</v>
      </c>
      <c r="N6651">
        <v>3</v>
      </c>
      <c r="O6651">
        <v>7.8027190999999996E-2</v>
      </c>
      <c r="P6651">
        <v>7.8474219999999997E-2</v>
      </c>
      <c r="Q6651" t="str">
        <f t="shared" si="206"/>
        <v>50+</v>
      </c>
      <c r="R6651" t="str">
        <f t="shared" si="207"/>
        <v>[GkIwZrXy1h2]|50+|Male|NEW_INFECTIONS_SUBNAT.T|CY2025Q3</v>
      </c>
    </row>
    <row r="6652" spans="4:18" x14ac:dyDescent="0.2">
      <c r="D6652" t="s">
        <v>53</v>
      </c>
      <c r="E6652" t="s">
        <v>54</v>
      </c>
      <c r="F6652" t="s">
        <v>55</v>
      </c>
      <c r="G6652" t="s">
        <v>275</v>
      </c>
      <c r="H6652" t="s">
        <v>275</v>
      </c>
      <c r="I6652" t="s">
        <v>28</v>
      </c>
      <c r="J6652" t="s">
        <v>29</v>
      </c>
      <c r="K6652" t="s">
        <v>30</v>
      </c>
      <c r="L6652" t="s">
        <v>31</v>
      </c>
      <c r="M6652" t="s">
        <v>220</v>
      </c>
      <c r="N6652">
        <v>10</v>
      </c>
      <c r="O6652">
        <v>3.2340276000000001E-2</v>
      </c>
      <c r="P6652">
        <v>4.2091508999999999E-2</v>
      </c>
      <c r="Q6652" t="str">
        <f t="shared" si="206"/>
        <v>&lt;01</v>
      </c>
      <c r="R6652" t="str">
        <f t="shared" si="207"/>
        <v>[cPtvxaZqXIH]|&lt;01|Female|NEW_INFECTIONS_SUBNAT.T|CY2025Q3</v>
      </c>
    </row>
    <row r="6653" spans="4:18" x14ac:dyDescent="0.2">
      <c r="D6653" t="s">
        <v>53</v>
      </c>
      <c r="E6653" t="s">
        <v>54</v>
      </c>
      <c r="F6653" t="s">
        <v>55</v>
      </c>
      <c r="G6653" t="s">
        <v>275</v>
      </c>
      <c r="H6653" t="s">
        <v>275</v>
      </c>
      <c r="I6653" t="s">
        <v>33</v>
      </c>
      <c r="J6653" t="s">
        <v>34</v>
      </c>
      <c r="K6653" t="s">
        <v>30</v>
      </c>
      <c r="L6653" t="s">
        <v>31</v>
      </c>
      <c r="M6653" t="s">
        <v>220</v>
      </c>
      <c r="N6653">
        <v>3</v>
      </c>
      <c r="O6653">
        <v>1.6170138000000001E-2</v>
      </c>
      <c r="P6653">
        <v>4.2091508999999999E-2</v>
      </c>
      <c r="Q6653" t="str">
        <f t="shared" si="206"/>
        <v>01-09</v>
      </c>
      <c r="R6653" t="str">
        <f t="shared" si="207"/>
        <v>[cPtvxaZqXIH]|01-09|Female|NEW_INFECTIONS_SUBNAT.T|CY2025Q3</v>
      </c>
    </row>
    <row r="6654" spans="4:18" x14ac:dyDescent="0.2">
      <c r="D6654" t="s">
        <v>53</v>
      </c>
      <c r="E6654" t="s">
        <v>54</v>
      </c>
      <c r="F6654" t="s">
        <v>55</v>
      </c>
      <c r="G6654" t="s">
        <v>275</v>
      </c>
      <c r="H6654" t="s">
        <v>275</v>
      </c>
      <c r="I6654" t="s">
        <v>36</v>
      </c>
      <c r="J6654" t="s">
        <v>37</v>
      </c>
      <c r="K6654" t="s">
        <v>30</v>
      </c>
      <c r="L6654" t="s">
        <v>31</v>
      </c>
      <c r="M6654" t="s">
        <v>220</v>
      </c>
      <c r="N6654">
        <v>0</v>
      </c>
      <c r="O6654">
        <v>0</v>
      </c>
      <c r="P6654">
        <v>4.2091508999999999E-2</v>
      </c>
      <c r="Q6654" t="str">
        <f t="shared" si="206"/>
        <v>10-14</v>
      </c>
      <c r="R6654" t="str">
        <f t="shared" si="207"/>
        <v>[cPtvxaZqXIH]|10-14|Female|NEW_INFECTIONS_SUBNAT.T|CY2025Q3</v>
      </c>
    </row>
    <row r="6655" spans="4:18" x14ac:dyDescent="0.2">
      <c r="D6655" t="s">
        <v>53</v>
      </c>
      <c r="E6655" t="s">
        <v>54</v>
      </c>
      <c r="F6655" t="s">
        <v>55</v>
      </c>
      <c r="G6655" t="s">
        <v>275</v>
      </c>
      <c r="H6655" t="s">
        <v>275</v>
      </c>
      <c r="I6655" t="s">
        <v>38</v>
      </c>
      <c r="J6655" t="s">
        <v>39</v>
      </c>
      <c r="K6655" t="s">
        <v>30</v>
      </c>
      <c r="L6655" t="s">
        <v>31</v>
      </c>
      <c r="M6655" t="s">
        <v>220</v>
      </c>
      <c r="N6655">
        <v>50</v>
      </c>
      <c r="O6655">
        <v>4.6284061000000001E-2</v>
      </c>
      <c r="P6655">
        <v>4.2091508999999999E-2</v>
      </c>
      <c r="Q6655" t="str">
        <f t="shared" si="206"/>
        <v>15-24</v>
      </c>
      <c r="R6655" t="str">
        <f t="shared" si="207"/>
        <v>[cPtvxaZqXIH]|15-24|Female|NEW_INFECTIONS_SUBNAT.T|CY2025Q3</v>
      </c>
    </row>
    <row r="6656" spans="4:18" x14ac:dyDescent="0.2">
      <c r="D6656" t="s">
        <v>53</v>
      </c>
      <c r="E6656" t="s">
        <v>54</v>
      </c>
      <c r="F6656" t="s">
        <v>55</v>
      </c>
      <c r="G6656" t="s">
        <v>275</v>
      </c>
      <c r="H6656" t="s">
        <v>275</v>
      </c>
      <c r="I6656" t="s">
        <v>41</v>
      </c>
      <c r="J6656" t="s">
        <v>42</v>
      </c>
      <c r="K6656" t="s">
        <v>30</v>
      </c>
      <c r="L6656" t="s">
        <v>31</v>
      </c>
      <c r="M6656" t="s">
        <v>220</v>
      </c>
      <c r="N6656">
        <v>48</v>
      </c>
      <c r="O6656">
        <v>4.5039716E-2</v>
      </c>
      <c r="P6656">
        <v>4.2091508999999999E-2</v>
      </c>
      <c r="Q6656" t="str">
        <f t="shared" si="206"/>
        <v>25-34</v>
      </c>
      <c r="R6656" t="str">
        <f t="shared" si="207"/>
        <v>[cPtvxaZqXIH]|25-34|Female|NEW_INFECTIONS_SUBNAT.T|CY2025Q3</v>
      </c>
    </row>
    <row r="6657" spans="4:18" x14ac:dyDescent="0.2">
      <c r="D6657" t="s">
        <v>53</v>
      </c>
      <c r="E6657" t="s">
        <v>54</v>
      </c>
      <c r="F6657" t="s">
        <v>55</v>
      </c>
      <c r="G6657" t="s">
        <v>275</v>
      </c>
      <c r="H6657" t="s">
        <v>275</v>
      </c>
      <c r="I6657" t="s">
        <v>43</v>
      </c>
      <c r="J6657" t="s">
        <v>44</v>
      </c>
      <c r="K6657" t="s">
        <v>30</v>
      </c>
      <c r="L6657" t="s">
        <v>31</v>
      </c>
      <c r="M6657" t="s">
        <v>220</v>
      </c>
      <c r="N6657">
        <v>24</v>
      </c>
      <c r="O6657">
        <v>4.2355662000000002E-2</v>
      </c>
      <c r="P6657">
        <v>4.2091508999999999E-2</v>
      </c>
      <c r="Q6657" t="str">
        <f t="shared" si="206"/>
        <v>35-49</v>
      </c>
      <c r="R6657" t="str">
        <f t="shared" si="207"/>
        <v>[cPtvxaZqXIH]|35-49|Female|NEW_INFECTIONS_SUBNAT.T|CY2025Q3</v>
      </c>
    </row>
    <row r="6658" spans="4:18" x14ac:dyDescent="0.2">
      <c r="D6658" t="s">
        <v>53</v>
      </c>
      <c r="E6658" t="s">
        <v>54</v>
      </c>
      <c r="F6658" t="s">
        <v>55</v>
      </c>
      <c r="G6658" t="s">
        <v>275</v>
      </c>
      <c r="H6658" t="s">
        <v>275</v>
      </c>
      <c r="I6658" t="s">
        <v>45</v>
      </c>
      <c r="J6658" t="s">
        <v>46</v>
      </c>
      <c r="K6658" t="s">
        <v>30</v>
      </c>
      <c r="L6658" t="s">
        <v>31</v>
      </c>
      <c r="M6658" t="s">
        <v>220</v>
      </c>
      <c r="N6658">
        <v>4</v>
      </c>
      <c r="O6658">
        <v>4.4470627999999998E-2</v>
      </c>
      <c r="P6658">
        <v>4.2091508999999999E-2</v>
      </c>
      <c r="Q6658" t="str">
        <f t="shared" si="206"/>
        <v>50+</v>
      </c>
      <c r="R6658" t="str">
        <f t="shared" si="207"/>
        <v>[cPtvxaZqXIH]|50+|Female|NEW_INFECTIONS_SUBNAT.T|CY2025Q3</v>
      </c>
    </row>
    <row r="6659" spans="4:18" x14ac:dyDescent="0.2">
      <c r="D6659" t="s">
        <v>53</v>
      </c>
      <c r="E6659" t="s">
        <v>54</v>
      </c>
      <c r="F6659" t="s">
        <v>55</v>
      </c>
      <c r="G6659" t="s">
        <v>275</v>
      </c>
      <c r="H6659" t="s">
        <v>275</v>
      </c>
      <c r="I6659" t="s">
        <v>28</v>
      </c>
      <c r="J6659" t="s">
        <v>29</v>
      </c>
      <c r="K6659" t="s">
        <v>48</v>
      </c>
      <c r="L6659" t="s">
        <v>49</v>
      </c>
      <c r="M6659" t="s">
        <v>220</v>
      </c>
      <c r="N6659">
        <v>11</v>
      </c>
      <c r="O6659">
        <v>3.2340513000000001E-2</v>
      </c>
      <c r="P6659">
        <v>4.2091508999999999E-2</v>
      </c>
      <c r="Q6659" t="str">
        <f t="shared" ref="Q6659:Q6722" si="208">SUBSTITUTE(SUBSTITUTE($I6659,CHAR(61),""),CHAR(34),"")</f>
        <v>&lt;01</v>
      </c>
      <c r="R6659" t="str">
        <f t="shared" ref="R6659:R6722" si="209">IF($D6659&lt;&gt;"","["&amp;$E6659&amp;"]"&amp;"|"&amp;$Q6659&amp;"|"&amp;$K6659&amp;"|"&amp;$G6659&amp;"|"&amp;IF($G6659="TX_CURR_SUBNAT.R","CY2023Q4",$M6659),"")</f>
        <v>[cPtvxaZqXIH]|&lt;01|Male|NEW_INFECTIONS_SUBNAT.T|CY2025Q3</v>
      </c>
    </row>
    <row r="6660" spans="4:18" x14ac:dyDescent="0.2">
      <c r="D6660" t="s">
        <v>53</v>
      </c>
      <c r="E6660" t="s">
        <v>54</v>
      </c>
      <c r="F6660" t="s">
        <v>55</v>
      </c>
      <c r="G6660" t="s">
        <v>275</v>
      </c>
      <c r="H6660" t="s">
        <v>275</v>
      </c>
      <c r="I6660" t="s">
        <v>33</v>
      </c>
      <c r="J6660" t="s">
        <v>34</v>
      </c>
      <c r="K6660" t="s">
        <v>48</v>
      </c>
      <c r="L6660" t="s">
        <v>49</v>
      </c>
      <c r="M6660" t="s">
        <v>220</v>
      </c>
      <c r="N6660">
        <v>3</v>
      </c>
      <c r="O6660">
        <v>1.6170256000000001E-2</v>
      </c>
      <c r="P6660">
        <v>4.2091508999999999E-2</v>
      </c>
      <c r="Q6660" t="str">
        <f t="shared" si="208"/>
        <v>01-09</v>
      </c>
      <c r="R6660" t="str">
        <f t="shared" si="209"/>
        <v>[cPtvxaZqXIH]|01-09|Male|NEW_INFECTIONS_SUBNAT.T|CY2025Q3</v>
      </c>
    </row>
    <row r="6661" spans="4:18" x14ac:dyDescent="0.2">
      <c r="D6661" t="s">
        <v>53</v>
      </c>
      <c r="E6661" t="s">
        <v>54</v>
      </c>
      <c r="F6661" t="s">
        <v>55</v>
      </c>
      <c r="G6661" t="s">
        <v>275</v>
      </c>
      <c r="H6661" t="s">
        <v>275</v>
      </c>
      <c r="I6661" t="s">
        <v>36</v>
      </c>
      <c r="J6661" t="s">
        <v>37</v>
      </c>
      <c r="K6661" t="s">
        <v>48</v>
      </c>
      <c r="L6661" t="s">
        <v>49</v>
      </c>
      <c r="M6661" t="s">
        <v>220</v>
      </c>
      <c r="N6661">
        <v>0</v>
      </c>
      <c r="O6661">
        <v>0</v>
      </c>
      <c r="P6661">
        <v>4.2091508999999999E-2</v>
      </c>
      <c r="Q6661" t="str">
        <f t="shared" si="208"/>
        <v>10-14</v>
      </c>
      <c r="R6661" t="str">
        <f t="shared" si="209"/>
        <v>[cPtvxaZqXIH]|10-14|Male|NEW_INFECTIONS_SUBNAT.T|CY2025Q3</v>
      </c>
    </row>
    <row r="6662" spans="4:18" x14ac:dyDescent="0.2">
      <c r="D6662" t="s">
        <v>53</v>
      </c>
      <c r="E6662" t="s">
        <v>54</v>
      </c>
      <c r="F6662" t="s">
        <v>55</v>
      </c>
      <c r="G6662" t="s">
        <v>275</v>
      </c>
      <c r="H6662" t="s">
        <v>275</v>
      </c>
      <c r="I6662" t="s">
        <v>38</v>
      </c>
      <c r="J6662" t="s">
        <v>39</v>
      </c>
      <c r="K6662" t="s">
        <v>48</v>
      </c>
      <c r="L6662" t="s">
        <v>49</v>
      </c>
      <c r="M6662" t="s">
        <v>220</v>
      </c>
      <c r="N6662">
        <v>8</v>
      </c>
      <c r="O6662">
        <v>4.6483502000000003E-2</v>
      </c>
      <c r="P6662">
        <v>4.2091508999999999E-2</v>
      </c>
      <c r="Q6662" t="str">
        <f t="shared" si="208"/>
        <v>15-24</v>
      </c>
      <c r="R6662" t="str">
        <f t="shared" si="209"/>
        <v>[cPtvxaZqXIH]|15-24|Male|NEW_INFECTIONS_SUBNAT.T|CY2025Q3</v>
      </c>
    </row>
    <row r="6663" spans="4:18" x14ac:dyDescent="0.2">
      <c r="D6663" t="s">
        <v>53</v>
      </c>
      <c r="E6663" t="s">
        <v>54</v>
      </c>
      <c r="F6663" t="s">
        <v>55</v>
      </c>
      <c r="G6663" t="s">
        <v>275</v>
      </c>
      <c r="H6663" t="s">
        <v>275</v>
      </c>
      <c r="I6663" t="s">
        <v>41</v>
      </c>
      <c r="J6663" t="s">
        <v>42</v>
      </c>
      <c r="K6663" t="s">
        <v>48</v>
      </c>
      <c r="L6663" t="s">
        <v>49</v>
      </c>
      <c r="M6663" t="s">
        <v>220</v>
      </c>
      <c r="N6663">
        <v>27</v>
      </c>
      <c r="O6663">
        <v>4.5914425000000002E-2</v>
      </c>
      <c r="P6663">
        <v>4.2091508999999999E-2</v>
      </c>
      <c r="Q6663" t="str">
        <f t="shared" si="208"/>
        <v>25-34</v>
      </c>
      <c r="R6663" t="str">
        <f t="shared" si="209"/>
        <v>[cPtvxaZqXIH]|25-34|Male|NEW_INFECTIONS_SUBNAT.T|CY2025Q3</v>
      </c>
    </row>
    <row r="6664" spans="4:18" x14ac:dyDescent="0.2">
      <c r="D6664" t="s">
        <v>53</v>
      </c>
      <c r="E6664" t="s">
        <v>54</v>
      </c>
      <c r="F6664" t="s">
        <v>55</v>
      </c>
      <c r="G6664" t="s">
        <v>275</v>
      </c>
      <c r="H6664" t="s">
        <v>275</v>
      </c>
      <c r="I6664" t="s">
        <v>43</v>
      </c>
      <c r="J6664" t="s">
        <v>44</v>
      </c>
      <c r="K6664" t="s">
        <v>48</v>
      </c>
      <c r="L6664" t="s">
        <v>49</v>
      </c>
      <c r="M6664" t="s">
        <v>220</v>
      </c>
      <c r="N6664">
        <v>28</v>
      </c>
      <c r="O6664">
        <v>4.3940083999999997E-2</v>
      </c>
      <c r="P6664">
        <v>4.2091508999999999E-2</v>
      </c>
      <c r="Q6664" t="str">
        <f t="shared" si="208"/>
        <v>35-49</v>
      </c>
      <c r="R6664" t="str">
        <f t="shared" si="209"/>
        <v>[cPtvxaZqXIH]|35-49|Male|NEW_INFECTIONS_SUBNAT.T|CY2025Q3</v>
      </c>
    </row>
    <row r="6665" spans="4:18" x14ac:dyDescent="0.2">
      <c r="D6665" t="s">
        <v>53</v>
      </c>
      <c r="E6665" t="s">
        <v>54</v>
      </c>
      <c r="F6665" t="s">
        <v>55</v>
      </c>
      <c r="G6665" t="s">
        <v>275</v>
      </c>
      <c r="H6665" t="s">
        <v>275</v>
      </c>
      <c r="I6665" t="s">
        <v>45</v>
      </c>
      <c r="J6665" t="s">
        <v>46</v>
      </c>
      <c r="K6665" t="s">
        <v>48</v>
      </c>
      <c r="L6665" t="s">
        <v>49</v>
      </c>
      <c r="M6665" t="s">
        <v>220</v>
      </c>
      <c r="N6665">
        <v>7</v>
      </c>
      <c r="O6665">
        <v>4.4231151000000003E-2</v>
      </c>
      <c r="P6665">
        <v>4.2091508999999999E-2</v>
      </c>
      <c r="Q6665" t="str">
        <f t="shared" si="208"/>
        <v>50+</v>
      </c>
      <c r="R6665" t="str">
        <f t="shared" si="209"/>
        <v>[cPtvxaZqXIH]|50+|Male|NEW_INFECTIONS_SUBNAT.T|CY2025Q3</v>
      </c>
    </row>
    <row r="6666" spans="4:18" x14ac:dyDescent="0.2">
      <c r="D6666" t="s">
        <v>60</v>
      </c>
      <c r="E6666" t="s">
        <v>61</v>
      </c>
      <c r="F6666" t="s">
        <v>62</v>
      </c>
      <c r="G6666" t="s">
        <v>275</v>
      </c>
      <c r="H6666" t="s">
        <v>275</v>
      </c>
      <c r="I6666" t="s">
        <v>28</v>
      </c>
      <c r="J6666" t="s">
        <v>29</v>
      </c>
      <c r="K6666" t="s">
        <v>30</v>
      </c>
      <c r="L6666" t="s">
        <v>31</v>
      </c>
      <c r="M6666" t="s">
        <v>220</v>
      </c>
      <c r="N6666">
        <v>9</v>
      </c>
      <c r="O6666">
        <v>8.2185403000000004E-2</v>
      </c>
      <c r="P6666">
        <v>8.4121213E-2</v>
      </c>
      <c r="Q6666" t="str">
        <f t="shared" si="208"/>
        <v>&lt;01</v>
      </c>
      <c r="R6666" t="str">
        <f t="shared" si="209"/>
        <v>[E7zpfyBt7Tw]|&lt;01|Female|NEW_INFECTIONS_SUBNAT.T|CY2025Q3</v>
      </c>
    </row>
    <row r="6667" spans="4:18" x14ac:dyDescent="0.2">
      <c r="D6667" t="s">
        <v>60</v>
      </c>
      <c r="E6667" t="s">
        <v>61</v>
      </c>
      <c r="F6667" t="s">
        <v>62</v>
      </c>
      <c r="G6667" t="s">
        <v>275</v>
      </c>
      <c r="H6667" t="s">
        <v>275</v>
      </c>
      <c r="I6667" t="s">
        <v>33</v>
      </c>
      <c r="J6667" t="s">
        <v>34</v>
      </c>
      <c r="K6667" t="s">
        <v>30</v>
      </c>
      <c r="L6667" t="s">
        <v>31</v>
      </c>
      <c r="M6667" t="s">
        <v>220</v>
      </c>
      <c r="N6667">
        <v>2</v>
      </c>
      <c r="O6667">
        <v>4.1092702000000002E-2</v>
      </c>
      <c r="P6667">
        <v>8.4121213E-2</v>
      </c>
      <c r="Q6667" t="str">
        <f t="shared" si="208"/>
        <v>01-09</v>
      </c>
      <c r="R6667" t="str">
        <f t="shared" si="209"/>
        <v>[E7zpfyBt7Tw]|01-09|Female|NEW_INFECTIONS_SUBNAT.T|CY2025Q3</v>
      </c>
    </row>
    <row r="6668" spans="4:18" x14ac:dyDescent="0.2">
      <c r="D6668" t="s">
        <v>60</v>
      </c>
      <c r="E6668" t="s">
        <v>61</v>
      </c>
      <c r="F6668" t="s">
        <v>62</v>
      </c>
      <c r="G6668" t="s">
        <v>275</v>
      </c>
      <c r="H6668" t="s">
        <v>275</v>
      </c>
      <c r="I6668" t="s">
        <v>36</v>
      </c>
      <c r="J6668" t="s">
        <v>37</v>
      </c>
      <c r="K6668" t="s">
        <v>30</v>
      </c>
      <c r="L6668" t="s">
        <v>31</v>
      </c>
      <c r="M6668" t="s">
        <v>220</v>
      </c>
      <c r="N6668">
        <v>0</v>
      </c>
      <c r="O6668">
        <v>0</v>
      </c>
      <c r="P6668">
        <v>8.4121213E-2</v>
      </c>
      <c r="Q6668" t="str">
        <f t="shared" si="208"/>
        <v>10-14</v>
      </c>
      <c r="R6668" t="str">
        <f t="shared" si="209"/>
        <v>[E7zpfyBt7Tw]|10-14|Female|NEW_INFECTIONS_SUBNAT.T|CY2025Q3</v>
      </c>
    </row>
    <row r="6669" spans="4:18" x14ac:dyDescent="0.2">
      <c r="D6669" t="s">
        <v>60</v>
      </c>
      <c r="E6669" t="s">
        <v>61</v>
      </c>
      <c r="F6669" t="s">
        <v>62</v>
      </c>
      <c r="G6669" t="s">
        <v>275</v>
      </c>
      <c r="H6669" t="s">
        <v>275</v>
      </c>
      <c r="I6669" t="s">
        <v>38</v>
      </c>
      <c r="J6669" t="s">
        <v>39</v>
      </c>
      <c r="K6669" t="s">
        <v>30</v>
      </c>
      <c r="L6669" t="s">
        <v>31</v>
      </c>
      <c r="M6669" t="s">
        <v>220</v>
      </c>
      <c r="N6669">
        <v>43</v>
      </c>
      <c r="O6669">
        <v>8.9566865999999995E-2</v>
      </c>
      <c r="P6669">
        <v>8.4121213E-2</v>
      </c>
      <c r="Q6669" t="str">
        <f t="shared" si="208"/>
        <v>15-24</v>
      </c>
      <c r="R6669" t="str">
        <f t="shared" si="209"/>
        <v>[E7zpfyBt7Tw]|15-24|Female|NEW_INFECTIONS_SUBNAT.T|CY2025Q3</v>
      </c>
    </row>
    <row r="6670" spans="4:18" x14ac:dyDescent="0.2">
      <c r="D6670" t="s">
        <v>60</v>
      </c>
      <c r="E6670" t="s">
        <v>61</v>
      </c>
      <c r="F6670" t="s">
        <v>62</v>
      </c>
      <c r="G6670" t="s">
        <v>275</v>
      </c>
      <c r="H6670" t="s">
        <v>275</v>
      </c>
      <c r="I6670" t="s">
        <v>41</v>
      </c>
      <c r="J6670" t="s">
        <v>42</v>
      </c>
      <c r="K6670" t="s">
        <v>30</v>
      </c>
      <c r="L6670" t="s">
        <v>31</v>
      </c>
      <c r="M6670" t="s">
        <v>220</v>
      </c>
      <c r="N6670">
        <v>38</v>
      </c>
      <c r="O6670">
        <v>8.5650465999999995E-2</v>
      </c>
      <c r="P6670">
        <v>8.4121213E-2</v>
      </c>
      <c r="Q6670" t="str">
        <f t="shared" si="208"/>
        <v>25-34</v>
      </c>
      <c r="R6670" t="str">
        <f t="shared" si="209"/>
        <v>[E7zpfyBt7Tw]|25-34|Female|NEW_INFECTIONS_SUBNAT.T|CY2025Q3</v>
      </c>
    </row>
    <row r="6671" spans="4:18" x14ac:dyDescent="0.2">
      <c r="D6671" t="s">
        <v>60</v>
      </c>
      <c r="E6671" t="s">
        <v>61</v>
      </c>
      <c r="F6671" t="s">
        <v>62</v>
      </c>
      <c r="G6671" t="s">
        <v>275</v>
      </c>
      <c r="H6671" t="s">
        <v>275</v>
      </c>
      <c r="I6671" t="s">
        <v>43</v>
      </c>
      <c r="J6671" t="s">
        <v>44</v>
      </c>
      <c r="K6671" t="s">
        <v>30</v>
      </c>
      <c r="L6671" t="s">
        <v>31</v>
      </c>
      <c r="M6671" t="s">
        <v>220</v>
      </c>
      <c r="N6671">
        <v>20</v>
      </c>
      <c r="O6671">
        <v>7.7376139999999996E-2</v>
      </c>
      <c r="P6671">
        <v>8.4121213E-2</v>
      </c>
      <c r="Q6671" t="str">
        <f t="shared" si="208"/>
        <v>35-49</v>
      </c>
      <c r="R6671" t="str">
        <f t="shared" si="209"/>
        <v>[E7zpfyBt7Tw]|35-49|Female|NEW_INFECTIONS_SUBNAT.T|CY2025Q3</v>
      </c>
    </row>
    <row r="6672" spans="4:18" x14ac:dyDescent="0.2">
      <c r="D6672" t="s">
        <v>60</v>
      </c>
      <c r="E6672" t="s">
        <v>61</v>
      </c>
      <c r="F6672" t="s">
        <v>62</v>
      </c>
      <c r="G6672" t="s">
        <v>275</v>
      </c>
      <c r="H6672" t="s">
        <v>275</v>
      </c>
      <c r="I6672" t="s">
        <v>45</v>
      </c>
      <c r="J6672" t="s">
        <v>46</v>
      </c>
      <c r="K6672" t="s">
        <v>30</v>
      </c>
      <c r="L6672" t="s">
        <v>31</v>
      </c>
      <c r="M6672" t="s">
        <v>220</v>
      </c>
      <c r="N6672">
        <v>4</v>
      </c>
      <c r="O6672">
        <v>7.8906087E-2</v>
      </c>
      <c r="P6672">
        <v>8.4121213E-2</v>
      </c>
      <c r="Q6672" t="str">
        <f t="shared" si="208"/>
        <v>50+</v>
      </c>
      <c r="R6672" t="str">
        <f t="shared" si="209"/>
        <v>[E7zpfyBt7Tw]|50+|Female|NEW_INFECTIONS_SUBNAT.T|CY2025Q3</v>
      </c>
    </row>
    <row r="6673" spans="4:18" x14ac:dyDescent="0.2">
      <c r="D6673" t="s">
        <v>60</v>
      </c>
      <c r="E6673" t="s">
        <v>61</v>
      </c>
      <c r="F6673" t="s">
        <v>62</v>
      </c>
      <c r="G6673" t="s">
        <v>275</v>
      </c>
      <c r="H6673" t="s">
        <v>275</v>
      </c>
      <c r="I6673" t="s">
        <v>28</v>
      </c>
      <c r="J6673" t="s">
        <v>29</v>
      </c>
      <c r="K6673" t="s">
        <v>48</v>
      </c>
      <c r="L6673" t="s">
        <v>49</v>
      </c>
      <c r="M6673" t="s">
        <v>220</v>
      </c>
      <c r="N6673">
        <v>9</v>
      </c>
      <c r="O6673">
        <v>8.2190580999999999E-2</v>
      </c>
      <c r="P6673">
        <v>8.4121213E-2</v>
      </c>
      <c r="Q6673" t="str">
        <f t="shared" si="208"/>
        <v>&lt;01</v>
      </c>
      <c r="R6673" t="str">
        <f t="shared" si="209"/>
        <v>[E7zpfyBt7Tw]|&lt;01|Male|NEW_INFECTIONS_SUBNAT.T|CY2025Q3</v>
      </c>
    </row>
    <row r="6674" spans="4:18" x14ac:dyDescent="0.2">
      <c r="D6674" t="s">
        <v>60</v>
      </c>
      <c r="E6674" t="s">
        <v>61</v>
      </c>
      <c r="F6674" t="s">
        <v>62</v>
      </c>
      <c r="G6674" t="s">
        <v>275</v>
      </c>
      <c r="H6674" t="s">
        <v>275</v>
      </c>
      <c r="I6674" t="s">
        <v>33</v>
      </c>
      <c r="J6674" t="s">
        <v>34</v>
      </c>
      <c r="K6674" t="s">
        <v>48</v>
      </c>
      <c r="L6674" t="s">
        <v>49</v>
      </c>
      <c r="M6674" t="s">
        <v>220</v>
      </c>
      <c r="N6674">
        <v>2</v>
      </c>
      <c r="O6674">
        <v>4.1095290999999999E-2</v>
      </c>
      <c r="P6674">
        <v>8.4121213E-2</v>
      </c>
      <c r="Q6674" t="str">
        <f t="shared" si="208"/>
        <v>01-09</v>
      </c>
      <c r="R6674" t="str">
        <f t="shared" si="209"/>
        <v>[E7zpfyBt7Tw]|01-09|Male|NEW_INFECTIONS_SUBNAT.T|CY2025Q3</v>
      </c>
    </row>
    <row r="6675" spans="4:18" x14ac:dyDescent="0.2">
      <c r="D6675" t="s">
        <v>60</v>
      </c>
      <c r="E6675" t="s">
        <v>61</v>
      </c>
      <c r="F6675" t="s">
        <v>62</v>
      </c>
      <c r="G6675" t="s">
        <v>275</v>
      </c>
      <c r="H6675" t="s">
        <v>275</v>
      </c>
      <c r="I6675" t="s">
        <v>36</v>
      </c>
      <c r="J6675" t="s">
        <v>37</v>
      </c>
      <c r="K6675" t="s">
        <v>48</v>
      </c>
      <c r="L6675" t="s">
        <v>49</v>
      </c>
      <c r="M6675" t="s">
        <v>220</v>
      </c>
      <c r="N6675">
        <v>0</v>
      </c>
      <c r="O6675">
        <v>0</v>
      </c>
      <c r="P6675">
        <v>8.4121213E-2</v>
      </c>
      <c r="Q6675" t="str">
        <f t="shared" si="208"/>
        <v>10-14</v>
      </c>
      <c r="R6675" t="str">
        <f t="shared" si="209"/>
        <v>[E7zpfyBt7Tw]|10-14|Male|NEW_INFECTIONS_SUBNAT.T|CY2025Q3</v>
      </c>
    </row>
    <row r="6676" spans="4:18" x14ac:dyDescent="0.2">
      <c r="D6676" t="s">
        <v>60</v>
      </c>
      <c r="E6676" t="s">
        <v>61</v>
      </c>
      <c r="F6676" t="s">
        <v>62</v>
      </c>
      <c r="G6676" t="s">
        <v>275</v>
      </c>
      <c r="H6676" t="s">
        <v>275</v>
      </c>
      <c r="I6676" t="s">
        <v>38</v>
      </c>
      <c r="J6676" t="s">
        <v>39</v>
      </c>
      <c r="K6676" t="s">
        <v>48</v>
      </c>
      <c r="L6676" t="s">
        <v>49</v>
      </c>
      <c r="M6676" t="s">
        <v>220</v>
      </c>
      <c r="N6676">
        <v>7</v>
      </c>
      <c r="O6676">
        <v>9.0254433999999994E-2</v>
      </c>
      <c r="P6676">
        <v>8.4121213E-2</v>
      </c>
      <c r="Q6676" t="str">
        <f t="shared" si="208"/>
        <v>15-24</v>
      </c>
      <c r="R6676" t="str">
        <f t="shared" si="209"/>
        <v>[E7zpfyBt7Tw]|15-24|Male|NEW_INFECTIONS_SUBNAT.T|CY2025Q3</v>
      </c>
    </row>
    <row r="6677" spans="4:18" x14ac:dyDescent="0.2">
      <c r="D6677" t="s">
        <v>60</v>
      </c>
      <c r="E6677" t="s">
        <v>61</v>
      </c>
      <c r="F6677" t="s">
        <v>62</v>
      </c>
      <c r="G6677" t="s">
        <v>275</v>
      </c>
      <c r="H6677" t="s">
        <v>275</v>
      </c>
      <c r="I6677" t="s">
        <v>41</v>
      </c>
      <c r="J6677" t="s">
        <v>42</v>
      </c>
      <c r="K6677" t="s">
        <v>48</v>
      </c>
      <c r="L6677" t="s">
        <v>49</v>
      </c>
      <c r="M6677" t="s">
        <v>220</v>
      </c>
      <c r="N6677">
        <v>22</v>
      </c>
      <c r="O6677">
        <v>8.8676237000000005E-2</v>
      </c>
      <c r="P6677">
        <v>8.4121213E-2</v>
      </c>
      <c r="Q6677" t="str">
        <f t="shared" si="208"/>
        <v>25-34</v>
      </c>
      <c r="R6677" t="str">
        <f t="shared" si="209"/>
        <v>[E7zpfyBt7Tw]|25-34|Male|NEW_INFECTIONS_SUBNAT.T|CY2025Q3</v>
      </c>
    </row>
    <row r="6678" spans="4:18" x14ac:dyDescent="0.2">
      <c r="D6678" t="s">
        <v>60</v>
      </c>
      <c r="E6678" t="s">
        <v>61</v>
      </c>
      <c r="F6678" t="s">
        <v>62</v>
      </c>
      <c r="G6678" t="s">
        <v>275</v>
      </c>
      <c r="H6678" t="s">
        <v>275</v>
      </c>
      <c r="I6678" t="s">
        <v>43</v>
      </c>
      <c r="J6678" t="s">
        <v>44</v>
      </c>
      <c r="K6678" t="s">
        <v>48</v>
      </c>
      <c r="L6678" t="s">
        <v>49</v>
      </c>
      <c r="M6678" t="s">
        <v>220</v>
      </c>
      <c r="N6678">
        <v>22</v>
      </c>
      <c r="O6678">
        <v>8.2307357999999997E-2</v>
      </c>
      <c r="P6678">
        <v>8.4121213E-2</v>
      </c>
      <c r="Q6678" t="str">
        <f t="shared" si="208"/>
        <v>35-49</v>
      </c>
      <c r="R6678" t="str">
        <f t="shared" si="209"/>
        <v>[E7zpfyBt7Tw]|35-49|Male|NEW_INFECTIONS_SUBNAT.T|CY2025Q3</v>
      </c>
    </row>
    <row r="6679" spans="4:18" x14ac:dyDescent="0.2">
      <c r="D6679" t="s">
        <v>60</v>
      </c>
      <c r="E6679" t="s">
        <v>61</v>
      </c>
      <c r="F6679" t="s">
        <v>62</v>
      </c>
      <c r="G6679" t="s">
        <v>275</v>
      </c>
      <c r="H6679" t="s">
        <v>275</v>
      </c>
      <c r="I6679" t="s">
        <v>45</v>
      </c>
      <c r="J6679" t="s">
        <v>46</v>
      </c>
      <c r="K6679" t="s">
        <v>48</v>
      </c>
      <c r="L6679" t="s">
        <v>49</v>
      </c>
      <c r="M6679" t="s">
        <v>220</v>
      </c>
      <c r="N6679">
        <v>7</v>
      </c>
      <c r="O6679">
        <v>7.8082767999999997E-2</v>
      </c>
      <c r="P6679">
        <v>8.4121213E-2</v>
      </c>
      <c r="Q6679" t="str">
        <f t="shared" si="208"/>
        <v>50+</v>
      </c>
      <c r="R6679" t="str">
        <f t="shared" si="209"/>
        <v>[E7zpfyBt7Tw]|50+|Male|NEW_INFECTIONS_SUBNAT.T|CY2025Q3</v>
      </c>
    </row>
    <row r="6680" spans="4:18" x14ac:dyDescent="0.2">
      <c r="D6680" t="s">
        <v>63</v>
      </c>
      <c r="E6680" t="s">
        <v>64</v>
      </c>
      <c r="F6680" t="s">
        <v>65</v>
      </c>
      <c r="G6680" t="s">
        <v>275</v>
      </c>
      <c r="H6680" t="s">
        <v>275</v>
      </c>
      <c r="I6680" t="s">
        <v>28</v>
      </c>
      <c r="J6680" t="s">
        <v>29</v>
      </c>
      <c r="K6680" t="s">
        <v>30</v>
      </c>
      <c r="L6680" t="s">
        <v>31</v>
      </c>
      <c r="M6680" t="s">
        <v>220</v>
      </c>
      <c r="N6680">
        <v>5</v>
      </c>
      <c r="O6680">
        <v>7.6595969E-2</v>
      </c>
      <c r="P6680">
        <v>8.0467963000000003E-2</v>
      </c>
      <c r="Q6680" t="str">
        <f t="shared" si="208"/>
        <v>&lt;01</v>
      </c>
      <c r="R6680" t="str">
        <f t="shared" si="209"/>
        <v>[lPTyjLi4w3d]|&lt;01|Female|NEW_INFECTIONS_SUBNAT.T|CY2025Q3</v>
      </c>
    </row>
    <row r="6681" spans="4:18" x14ac:dyDescent="0.2">
      <c r="D6681" t="s">
        <v>63</v>
      </c>
      <c r="E6681" t="s">
        <v>64</v>
      </c>
      <c r="F6681" t="s">
        <v>65</v>
      </c>
      <c r="G6681" t="s">
        <v>275</v>
      </c>
      <c r="H6681" t="s">
        <v>275</v>
      </c>
      <c r="I6681" t="s">
        <v>33</v>
      </c>
      <c r="J6681" t="s">
        <v>34</v>
      </c>
      <c r="K6681" t="s">
        <v>30</v>
      </c>
      <c r="L6681" t="s">
        <v>31</v>
      </c>
      <c r="M6681" t="s">
        <v>220</v>
      </c>
      <c r="N6681">
        <v>1</v>
      </c>
      <c r="O6681">
        <v>3.8297985E-2</v>
      </c>
      <c r="P6681">
        <v>8.0467963000000003E-2</v>
      </c>
      <c r="Q6681" t="str">
        <f t="shared" si="208"/>
        <v>01-09</v>
      </c>
      <c r="R6681" t="str">
        <f t="shared" si="209"/>
        <v>[lPTyjLi4w3d]|01-09|Female|NEW_INFECTIONS_SUBNAT.T|CY2025Q3</v>
      </c>
    </row>
    <row r="6682" spans="4:18" x14ac:dyDescent="0.2">
      <c r="D6682" t="s">
        <v>63</v>
      </c>
      <c r="E6682" t="s">
        <v>64</v>
      </c>
      <c r="F6682" t="s">
        <v>65</v>
      </c>
      <c r="G6682" t="s">
        <v>275</v>
      </c>
      <c r="H6682" t="s">
        <v>275</v>
      </c>
      <c r="I6682" t="s">
        <v>36</v>
      </c>
      <c r="J6682" t="s">
        <v>37</v>
      </c>
      <c r="K6682" t="s">
        <v>30</v>
      </c>
      <c r="L6682" t="s">
        <v>31</v>
      </c>
      <c r="M6682" t="s">
        <v>220</v>
      </c>
      <c r="N6682">
        <v>0</v>
      </c>
      <c r="O6682">
        <v>0</v>
      </c>
      <c r="P6682">
        <v>8.0467963000000003E-2</v>
      </c>
      <c r="Q6682" t="str">
        <f t="shared" si="208"/>
        <v>10-14</v>
      </c>
      <c r="R6682" t="str">
        <f t="shared" si="209"/>
        <v>[lPTyjLi4w3d]|10-14|Female|NEW_INFECTIONS_SUBNAT.T|CY2025Q3</v>
      </c>
    </row>
    <row r="6683" spans="4:18" x14ac:dyDescent="0.2">
      <c r="D6683" t="s">
        <v>63</v>
      </c>
      <c r="E6683" t="s">
        <v>64</v>
      </c>
      <c r="F6683" t="s">
        <v>65</v>
      </c>
      <c r="G6683" t="s">
        <v>275</v>
      </c>
      <c r="H6683" t="s">
        <v>275</v>
      </c>
      <c r="I6683" t="s">
        <v>38</v>
      </c>
      <c r="J6683" t="s">
        <v>39</v>
      </c>
      <c r="K6683" t="s">
        <v>30</v>
      </c>
      <c r="L6683" t="s">
        <v>31</v>
      </c>
      <c r="M6683" t="s">
        <v>220</v>
      </c>
      <c r="N6683">
        <v>25</v>
      </c>
      <c r="O6683">
        <v>8.5011301999999997E-2</v>
      </c>
      <c r="P6683">
        <v>8.0467963000000003E-2</v>
      </c>
      <c r="Q6683" t="str">
        <f t="shared" si="208"/>
        <v>15-24</v>
      </c>
      <c r="R6683" t="str">
        <f t="shared" si="209"/>
        <v>[lPTyjLi4w3d]|15-24|Female|NEW_INFECTIONS_SUBNAT.T|CY2025Q3</v>
      </c>
    </row>
    <row r="6684" spans="4:18" x14ac:dyDescent="0.2">
      <c r="D6684" t="s">
        <v>63</v>
      </c>
      <c r="E6684" t="s">
        <v>64</v>
      </c>
      <c r="F6684" t="s">
        <v>65</v>
      </c>
      <c r="G6684" t="s">
        <v>275</v>
      </c>
      <c r="H6684" t="s">
        <v>275</v>
      </c>
      <c r="I6684" t="s">
        <v>41</v>
      </c>
      <c r="J6684" t="s">
        <v>42</v>
      </c>
      <c r="K6684" t="s">
        <v>30</v>
      </c>
      <c r="L6684" t="s">
        <v>31</v>
      </c>
      <c r="M6684" t="s">
        <v>220</v>
      </c>
      <c r="N6684">
        <v>24</v>
      </c>
      <c r="O6684">
        <v>8.2683016999999998E-2</v>
      </c>
      <c r="P6684">
        <v>8.0467963000000003E-2</v>
      </c>
      <c r="Q6684" t="str">
        <f t="shared" si="208"/>
        <v>25-34</v>
      </c>
      <c r="R6684" t="str">
        <f t="shared" si="209"/>
        <v>[lPTyjLi4w3d]|25-34|Female|NEW_INFECTIONS_SUBNAT.T|CY2025Q3</v>
      </c>
    </row>
    <row r="6685" spans="4:18" x14ac:dyDescent="0.2">
      <c r="D6685" t="s">
        <v>63</v>
      </c>
      <c r="E6685" t="s">
        <v>64</v>
      </c>
      <c r="F6685" t="s">
        <v>65</v>
      </c>
      <c r="G6685" t="s">
        <v>275</v>
      </c>
      <c r="H6685" t="s">
        <v>275</v>
      </c>
      <c r="I6685" t="s">
        <v>43</v>
      </c>
      <c r="J6685" t="s">
        <v>44</v>
      </c>
      <c r="K6685" t="s">
        <v>30</v>
      </c>
      <c r="L6685" t="s">
        <v>31</v>
      </c>
      <c r="M6685" t="s">
        <v>220</v>
      </c>
      <c r="N6685">
        <v>13</v>
      </c>
      <c r="O6685">
        <v>7.6732227E-2</v>
      </c>
      <c r="P6685">
        <v>8.0467963000000003E-2</v>
      </c>
      <c r="Q6685" t="str">
        <f t="shared" si="208"/>
        <v>35-49</v>
      </c>
      <c r="R6685" t="str">
        <f t="shared" si="209"/>
        <v>[lPTyjLi4w3d]|35-49|Female|NEW_INFECTIONS_SUBNAT.T|CY2025Q3</v>
      </c>
    </row>
    <row r="6686" spans="4:18" x14ac:dyDescent="0.2">
      <c r="D6686" t="s">
        <v>63</v>
      </c>
      <c r="E6686" t="s">
        <v>64</v>
      </c>
      <c r="F6686" t="s">
        <v>65</v>
      </c>
      <c r="G6686" t="s">
        <v>275</v>
      </c>
      <c r="H6686" t="s">
        <v>275</v>
      </c>
      <c r="I6686" t="s">
        <v>45</v>
      </c>
      <c r="J6686" t="s">
        <v>46</v>
      </c>
      <c r="K6686" t="s">
        <v>30</v>
      </c>
      <c r="L6686" t="s">
        <v>31</v>
      </c>
      <c r="M6686" t="s">
        <v>220</v>
      </c>
      <c r="N6686">
        <v>2</v>
      </c>
      <c r="O6686">
        <v>7.7405567999999994E-2</v>
      </c>
      <c r="P6686">
        <v>8.0467963000000003E-2</v>
      </c>
      <c r="Q6686" t="str">
        <f t="shared" si="208"/>
        <v>50+</v>
      </c>
      <c r="R6686" t="str">
        <f t="shared" si="209"/>
        <v>[lPTyjLi4w3d]|50+|Female|NEW_INFECTIONS_SUBNAT.T|CY2025Q3</v>
      </c>
    </row>
    <row r="6687" spans="4:18" x14ac:dyDescent="0.2">
      <c r="D6687" t="s">
        <v>63</v>
      </c>
      <c r="E6687" t="s">
        <v>64</v>
      </c>
      <c r="F6687" t="s">
        <v>65</v>
      </c>
      <c r="G6687" t="s">
        <v>275</v>
      </c>
      <c r="H6687" t="s">
        <v>275</v>
      </c>
      <c r="I6687" t="s">
        <v>28</v>
      </c>
      <c r="J6687" t="s">
        <v>29</v>
      </c>
      <c r="K6687" t="s">
        <v>48</v>
      </c>
      <c r="L6687" t="s">
        <v>49</v>
      </c>
      <c r="M6687" t="s">
        <v>220</v>
      </c>
      <c r="N6687">
        <v>5</v>
      </c>
      <c r="O6687">
        <v>7.6595811E-2</v>
      </c>
      <c r="P6687">
        <v>8.0467963000000003E-2</v>
      </c>
      <c r="Q6687" t="str">
        <f t="shared" si="208"/>
        <v>&lt;01</v>
      </c>
      <c r="R6687" t="str">
        <f t="shared" si="209"/>
        <v>[lPTyjLi4w3d]|&lt;01|Male|NEW_INFECTIONS_SUBNAT.T|CY2025Q3</v>
      </c>
    </row>
    <row r="6688" spans="4:18" x14ac:dyDescent="0.2">
      <c r="D6688" t="s">
        <v>63</v>
      </c>
      <c r="E6688" t="s">
        <v>64</v>
      </c>
      <c r="F6688" t="s">
        <v>65</v>
      </c>
      <c r="G6688" t="s">
        <v>275</v>
      </c>
      <c r="H6688" t="s">
        <v>275</v>
      </c>
      <c r="I6688" t="s">
        <v>33</v>
      </c>
      <c r="J6688" t="s">
        <v>34</v>
      </c>
      <c r="K6688" t="s">
        <v>48</v>
      </c>
      <c r="L6688" t="s">
        <v>49</v>
      </c>
      <c r="M6688" t="s">
        <v>220</v>
      </c>
      <c r="N6688">
        <v>1</v>
      </c>
      <c r="O6688">
        <v>3.8297905E-2</v>
      </c>
      <c r="P6688">
        <v>8.0467963000000003E-2</v>
      </c>
      <c r="Q6688" t="str">
        <f t="shared" si="208"/>
        <v>01-09</v>
      </c>
      <c r="R6688" t="str">
        <f t="shared" si="209"/>
        <v>[lPTyjLi4w3d]|01-09|Male|NEW_INFECTIONS_SUBNAT.T|CY2025Q3</v>
      </c>
    </row>
    <row r="6689" spans="4:18" x14ac:dyDescent="0.2">
      <c r="D6689" t="s">
        <v>63</v>
      </c>
      <c r="E6689" t="s">
        <v>64</v>
      </c>
      <c r="F6689" t="s">
        <v>65</v>
      </c>
      <c r="G6689" t="s">
        <v>275</v>
      </c>
      <c r="H6689" t="s">
        <v>275</v>
      </c>
      <c r="I6689" t="s">
        <v>36</v>
      </c>
      <c r="J6689" t="s">
        <v>37</v>
      </c>
      <c r="K6689" t="s">
        <v>48</v>
      </c>
      <c r="L6689" t="s">
        <v>49</v>
      </c>
      <c r="M6689" t="s">
        <v>220</v>
      </c>
      <c r="N6689">
        <v>0</v>
      </c>
      <c r="O6689">
        <v>0</v>
      </c>
      <c r="P6689">
        <v>8.0467963000000003E-2</v>
      </c>
      <c r="Q6689" t="str">
        <f t="shared" si="208"/>
        <v>10-14</v>
      </c>
      <c r="R6689" t="str">
        <f t="shared" si="209"/>
        <v>[lPTyjLi4w3d]|10-14|Male|NEW_INFECTIONS_SUBNAT.T|CY2025Q3</v>
      </c>
    </row>
    <row r="6690" spans="4:18" x14ac:dyDescent="0.2">
      <c r="D6690" t="s">
        <v>63</v>
      </c>
      <c r="E6690" t="s">
        <v>64</v>
      </c>
      <c r="F6690" t="s">
        <v>65</v>
      </c>
      <c r="G6690" t="s">
        <v>275</v>
      </c>
      <c r="H6690" t="s">
        <v>275</v>
      </c>
      <c r="I6690" t="s">
        <v>38</v>
      </c>
      <c r="J6690" t="s">
        <v>39</v>
      </c>
      <c r="K6690" t="s">
        <v>48</v>
      </c>
      <c r="L6690" t="s">
        <v>49</v>
      </c>
      <c r="M6690" t="s">
        <v>220</v>
      </c>
      <c r="N6690">
        <v>4</v>
      </c>
      <c r="O6690">
        <v>8.5491824999999994E-2</v>
      </c>
      <c r="P6690">
        <v>8.0467963000000003E-2</v>
      </c>
      <c r="Q6690" t="str">
        <f t="shared" si="208"/>
        <v>15-24</v>
      </c>
      <c r="R6690" t="str">
        <f t="shared" si="209"/>
        <v>[lPTyjLi4w3d]|15-24|Male|NEW_INFECTIONS_SUBNAT.T|CY2025Q3</v>
      </c>
    </row>
    <row r="6691" spans="4:18" x14ac:dyDescent="0.2">
      <c r="D6691" t="s">
        <v>63</v>
      </c>
      <c r="E6691" t="s">
        <v>64</v>
      </c>
      <c r="F6691" t="s">
        <v>65</v>
      </c>
      <c r="G6691" t="s">
        <v>275</v>
      </c>
      <c r="H6691" t="s">
        <v>275</v>
      </c>
      <c r="I6691" t="s">
        <v>41</v>
      </c>
      <c r="J6691" t="s">
        <v>42</v>
      </c>
      <c r="K6691" t="s">
        <v>48</v>
      </c>
      <c r="L6691" t="s">
        <v>49</v>
      </c>
      <c r="M6691" t="s">
        <v>220</v>
      </c>
      <c r="N6691">
        <v>14</v>
      </c>
      <c r="O6691">
        <v>8.4534387000000002E-2</v>
      </c>
      <c r="P6691">
        <v>8.0467963000000003E-2</v>
      </c>
      <c r="Q6691" t="str">
        <f t="shared" si="208"/>
        <v>25-34</v>
      </c>
      <c r="R6691" t="str">
        <f t="shared" si="209"/>
        <v>[lPTyjLi4w3d]|25-34|Male|NEW_INFECTIONS_SUBNAT.T|CY2025Q3</v>
      </c>
    </row>
    <row r="6692" spans="4:18" x14ac:dyDescent="0.2">
      <c r="D6692" t="s">
        <v>63</v>
      </c>
      <c r="E6692" t="s">
        <v>64</v>
      </c>
      <c r="F6692" t="s">
        <v>65</v>
      </c>
      <c r="G6692" t="s">
        <v>275</v>
      </c>
      <c r="H6692" t="s">
        <v>275</v>
      </c>
      <c r="I6692" t="s">
        <v>43</v>
      </c>
      <c r="J6692" t="s">
        <v>44</v>
      </c>
      <c r="K6692" t="s">
        <v>48</v>
      </c>
      <c r="L6692" t="s">
        <v>49</v>
      </c>
      <c r="M6692" t="s">
        <v>220</v>
      </c>
      <c r="N6692">
        <v>15</v>
      </c>
      <c r="O6692">
        <v>8.0410450999999994E-2</v>
      </c>
      <c r="P6692">
        <v>8.0467963000000003E-2</v>
      </c>
      <c r="Q6692" t="str">
        <f t="shared" si="208"/>
        <v>35-49</v>
      </c>
      <c r="R6692" t="str">
        <f t="shared" si="209"/>
        <v>[lPTyjLi4w3d]|35-49|Male|NEW_INFECTIONS_SUBNAT.T|CY2025Q3</v>
      </c>
    </row>
    <row r="6693" spans="4:18" x14ac:dyDescent="0.2">
      <c r="D6693" t="s">
        <v>63</v>
      </c>
      <c r="E6693" t="s">
        <v>64</v>
      </c>
      <c r="F6693" t="s">
        <v>65</v>
      </c>
      <c r="G6693" t="s">
        <v>275</v>
      </c>
      <c r="H6693" t="s">
        <v>275</v>
      </c>
      <c r="I6693" t="s">
        <v>45</v>
      </c>
      <c r="J6693" t="s">
        <v>46</v>
      </c>
      <c r="K6693" t="s">
        <v>48</v>
      </c>
      <c r="L6693" t="s">
        <v>49</v>
      </c>
      <c r="M6693" t="s">
        <v>220</v>
      </c>
      <c r="N6693">
        <v>4</v>
      </c>
      <c r="O6693">
        <v>7.7560963999999996E-2</v>
      </c>
      <c r="P6693">
        <v>8.0467963000000003E-2</v>
      </c>
      <c r="Q6693" t="str">
        <f t="shared" si="208"/>
        <v>50+</v>
      </c>
      <c r="R6693" t="str">
        <f t="shared" si="209"/>
        <v>[lPTyjLi4w3d]|50+|Male|NEW_INFECTIONS_SUBNAT.T|CY2025Q3</v>
      </c>
    </row>
    <row r="6694" spans="4:18" x14ac:dyDescent="0.2">
      <c r="D6694" t="s">
        <v>66</v>
      </c>
      <c r="E6694" t="s">
        <v>67</v>
      </c>
      <c r="F6694" t="s">
        <v>68</v>
      </c>
      <c r="G6694" t="s">
        <v>275</v>
      </c>
      <c r="H6694" t="s">
        <v>275</v>
      </c>
      <c r="I6694" t="s">
        <v>28</v>
      </c>
      <c r="J6694" t="s">
        <v>29</v>
      </c>
      <c r="K6694" t="s">
        <v>30</v>
      </c>
      <c r="L6694" t="s">
        <v>31</v>
      </c>
      <c r="M6694" t="s">
        <v>220</v>
      </c>
      <c r="N6694">
        <v>28</v>
      </c>
      <c r="O6694">
        <v>2.8618580000000001E-2</v>
      </c>
      <c r="P6694">
        <v>4.0505793999999998E-2</v>
      </c>
      <c r="Q6694" t="str">
        <f t="shared" si="208"/>
        <v>&lt;01</v>
      </c>
      <c r="R6694" t="str">
        <f t="shared" si="209"/>
        <v>[vA4NcHxfMBq]|&lt;01|Female|NEW_INFECTIONS_SUBNAT.T|CY2025Q3</v>
      </c>
    </row>
    <row r="6695" spans="4:18" x14ac:dyDescent="0.2">
      <c r="D6695" t="s">
        <v>66</v>
      </c>
      <c r="E6695" t="s">
        <v>67</v>
      </c>
      <c r="F6695" t="s">
        <v>68</v>
      </c>
      <c r="G6695" t="s">
        <v>275</v>
      </c>
      <c r="H6695" t="s">
        <v>275</v>
      </c>
      <c r="I6695" t="s">
        <v>33</v>
      </c>
      <c r="J6695" t="s">
        <v>34</v>
      </c>
      <c r="K6695" t="s">
        <v>30</v>
      </c>
      <c r="L6695" t="s">
        <v>31</v>
      </c>
      <c r="M6695" t="s">
        <v>220</v>
      </c>
      <c r="N6695">
        <v>7</v>
      </c>
      <c r="O6695">
        <v>1.4309290000000001E-2</v>
      </c>
      <c r="P6695">
        <v>4.0505793999999998E-2</v>
      </c>
      <c r="Q6695" t="str">
        <f t="shared" si="208"/>
        <v>01-09</v>
      </c>
      <c r="R6695" t="str">
        <f t="shared" si="209"/>
        <v>[vA4NcHxfMBq]|01-09|Female|NEW_INFECTIONS_SUBNAT.T|CY2025Q3</v>
      </c>
    </row>
    <row r="6696" spans="4:18" x14ac:dyDescent="0.2">
      <c r="D6696" t="s">
        <v>66</v>
      </c>
      <c r="E6696" t="s">
        <v>67</v>
      </c>
      <c r="F6696" t="s">
        <v>68</v>
      </c>
      <c r="G6696" t="s">
        <v>275</v>
      </c>
      <c r="H6696" t="s">
        <v>275</v>
      </c>
      <c r="I6696" t="s">
        <v>36</v>
      </c>
      <c r="J6696" t="s">
        <v>37</v>
      </c>
      <c r="K6696" t="s">
        <v>30</v>
      </c>
      <c r="L6696" t="s">
        <v>31</v>
      </c>
      <c r="M6696" t="s">
        <v>220</v>
      </c>
      <c r="N6696">
        <v>0</v>
      </c>
      <c r="O6696">
        <v>0</v>
      </c>
      <c r="P6696">
        <v>4.0505793999999998E-2</v>
      </c>
      <c r="Q6696" t="str">
        <f t="shared" si="208"/>
        <v>10-14</v>
      </c>
      <c r="R6696" t="str">
        <f t="shared" si="209"/>
        <v>[vA4NcHxfMBq]|10-14|Female|NEW_INFECTIONS_SUBNAT.T|CY2025Q3</v>
      </c>
    </row>
    <row r="6697" spans="4:18" x14ac:dyDescent="0.2">
      <c r="D6697" t="s">
        <v>66</v>
      </c>
      <c r="E6697" t="s">
        <v>67</v>
      </c>
      <c r="F6697" t="s">
        <v>68</v>
      </c>
      <c r="G6697" t="s">
        <v>275</v>
      </c>
      <c r="H6697" t="s">
        <v>275</v>
      </c>
      <c r="I6697" t="s">
        <v>38</v>
      </c>
      <c r="J6697" t="s">
        <v>39</v>
      </c>
      <c r="K6697" t="s">
        <v>30</v>
      </c>
      <c r="L6697" t="s">
        <v>31</v>
      </c>
      <c r="M6697" t="s">
        <v>220</v>
      </c>
      <c r="N6697">
        <v>147</v>
      </c>
      <c r="O6697">
        <v>4.4881522E-2</v>
      </c>
      <c r="P6697">
        <v>4.0505793999999998E-2</v>
      </c>
      <c r="Q6697" t="str">
        <f t="shared" si="208"/>
        <v>15-24</v>
      </c>
      <c r="R6697" t="str">
        <f t="shared" si="209"/>
        <v>[vA4NcHxfMBq]|15-24|Female|NEW_INFECTIONS_SUBNAT.T|CY2025Q3</v>
      </c>
    </row>
    <row r="6698" spans="4:18" x14ac:dyDescent="0.2">
      <c r="D6698" t="s">
        <v>66</v>
      </c>
      <c r="E6698" t="s">
        <v>67</v>
      </c>
      <c r="F6698" t="s">
        <v>68</v>
      </c>
      <c r="G6698" t="s">
        <v>275</v>
      </c>
      <c r="H6698" t="s">
        <v>275</v>
      </c>
      <c r="I6698" t="s">
        <v>41</v>
      </c>
      <c r="J6698" t="s">
        <v>42</v>
      </c>
      <c r="K6698" t="s">
        <v>30</v>
      </c>
      <c r="L6698" t="s">
        <v>31</v>
      </c>
      <c r="M6698" t="s">
        <v>220</v>
      </c>
      <c r="N6698">
        <v>148</v>
      </c>
      <c r="O6698">
        <v>4.3495916000000003E-2</v>
      </c>
      <c r="P6698">
        <v>4.0505793999999998E-2</v>
      </c>
      <c r="Q6698" t="str">
        <f t="shared" si="208"/>
        <v>25-34</v>
      </c>
      <c r="R6698" t="str">
        <f t="shared" si="209"/>
        <v>[vA4NcHxfMBq]|25-34|Female|NEW_INFECTIONS_SUBNAT.T|CY2025Q3</v>
      </c>
    </row>
    <row r="6699" spans="4:18" x14ac:dyDescent="0.2">
      <c r="D6699" t="s">
        <v>66</v>
      </c>
      <c r="E6699" t="s">
        <v>67</v>
      </c>
      <c r="F6699" t="s">
        <v>68</v>
      </c>
      <c r="G6699" t="s">
        <v>275</v>
      </c>
      <c r="H6699" t="s">
        <v>275</v>
      </c>
      <c r="I6699" t="s">
        <v>43</v>
      </c>
      <c r="J6699" t="s">
        <v>44</v>
      </c>
      <c r="K6699" t="s">
        <v>30</v>
      </c>
      <c r="L6699" t="s">
        <v>31</v>
      </c>
      <c r="M6699" t="s">
        <v>220</v>
      </c>
      <c r="N6699">
        <v>69</v>
      </c>
      <c r="O6699">
        <v>4.2867033999999998E-2</v>
      </c>
      <c r="P6699">
        <v>4.0505793999999998E-2</v>
      </c>
      <c r="Q6699" t="str">
        <f t="shared" si="208"/>
        <v>35-49</v>
      </c>
      <c r="R6699" t="str">
        <f t="shared" si="209"/>
        <v>[vA4NcHxfMBq]|35-49|Female|NEW_INFECTIONS_SUBNAT.T|CY2025Q3</v>
      </c>
    </row>
    <row r="6700" spans="4:18" x14ac:dyDescent="0.2">
      <c r="D6700" t="s">
        <v>66</v>
      </c>
      <c r="E6700" t="s">
        <v>67</v>
      </c>
      <c r="F6700" t="s">
        <v>68</v>
      </c>
      <c r="G6700" t="s">
        <v>275</v>
      </c>
      <c r="H6700" t="s">
        <v>275</v>
      </c>
      <c r="I6700" t="s">
        <v>45</v>
      </c>
      <c r="J6700" t="s">
        <v>46</v>
      </c>
      <c r="K6700" t="s">
        <v>30</v>
      </c>
      <c r="L6700" t="s">
        <v>31</v>
      </c>
      <c r="M6700" t="s">
        <v>220</v>
      </c>
      <c r="N6700">
        <v>11</v>
      </c>
      <c r="O6700">
        <v>4.9616054999999999E-2</v>
      </c>
      <c r="P6700">
        <v>4.0505793999999998E-2</v>
      </c>
      <c r="Q6700" t="str">
        <f t="shared" si="208"/>
        <v>50+</v>
      </c>
      <c r="R6700" t="str">
        <f t="shared" si="209"/>
        <v>[vA4NcHxfMBq]|50+|Female|NEW_INFECTIONS_SUBNAT.T|CY2025Q3</v>
      </c>
    </row>
    <row r="6701" spans="4:18" x14ac:dyDescent="0.2">
      <c r="D6701" t="s">
        <v>66</v>
      </c>
      <c r="E6701" t="s">
        <v>67</v>
      </c>
      <c r="F6701" t="s">
        <v>68</v>
      </c>
      <c r="G6701" t="s">
        <v>275</v>
      </c>
      <c r="H6701" t="s">
        <v>275</v>
      </c>
      <c r="I6701" t="s">
        <v>28</v>
      </c>
      <c r="J6701" t="s">
        <v>29</v>
      </c>
      <c r="K6701" t="s">
        <v>48</v>
      </c>
      <c r="L6701" t="s">
        <v>49</v>
      </c>
      <c r="M6701" t="s">
        <v>220</v>
      </c>
      <c r="N6701">
        <v>29</v>
      </c>
      <c r="O6701">
        <v>2.8656907999999998E-2</v>
      </c>
      <c r="P6701">
        <v>4.0505793999999998E-2</v>
      </c>
      <c r="Q6701" t="str">
        <f t="shared" si="208"/>
        <v>&lt;01</v>
      </c>
      <c r="R6701" t="str">
        <f t="shared" si="209"/>
        <v>[vA4NcHxfMBq]|&lt;01|Male|NEW_INFECTIONS_SUBNAT.T|CY2025Q3</v>
      </c>
    </row>
    <row r="6702" spans="4:18" x14ac:dyDescent="0.2">
      <c r="D6702" t="s">
        <v>66</v>
      </c>
      <c r="E6702" t="s">
        <v>67</v>
      </c>
      <c r="F6702" t="s">
        <v>68</v>
      </c>
      <c r="G6702" t="s">
        <v>275</v>
      </c>
      <c r="H6702" t="s">
        <v>275</v>
      </c>
      <c r="I6702" t="s">
        <v>33</v>
      </c>
      <c r="J6702" t="s">
        <v>34</v>
      </c>
      <c r="K6702" t="s">
        <v>48</v>
      </c>
      <c r="L6702" t="s">
        <v>49</v>
      </c>
      <c r="M6702" t="s">
        <v>220</v>
      </c>
      <c r="N6702">
        <v>7</v>
      </c>
      <c r="O6702">
        <v>1.4328453999999999E-2</v>
      </c>
      <c r="P6702">
        <v>4.0505793999999998E-2</v>
      </c>
      <c r="Q6702" t="str">
        <f t="shared" si="208"/>
        <v>01-09</v>
      </c>
      <c r="R6702" t="str">
        <f t="shared" si="209"/>
        <v>[vA4NcHxfMBq]|01-09|Male|NEW_INFECTIONS_SUBNAT.T|CY2025Q3</v>
      </c>
    </row>
    <row r="6703" spans="4:18" x14ac:dyDescent="0.2">
      <c r="D6703" t="s">
        <v>66</v>
      </c>
      <c r="E6703" t="s">
        <v>67</v>
      </c>
      <c r="F6703" t="s">
        <v>68</v>
      </c>
      <c r="G6703" t="s">
        <v>275</v>
      </c>
      <c r="H6703" t="s">
        <v>275</v>
      </c>
      <c r="I6703" t="s">
        <v>36</v>
      </c>
      <c r="J6703" t="s">
        <v>37</v>
      </c>
      <c r="K6703" t="s">
        <v>48</v>
      </c>
      <c r="L6703" t="s">
        <v>49</v>
      </c>
      <c r="M6703" t="s">
        <v>220</v>
      </c>
      <c r="N6703">
        <v>0</v>
      </c>
      <c r="O6703">
        <v>0</v>
      </c>
      <c r="P6703">
        <v>4.0505793999999998E-2</v>
      </c>
      <c r="Q6703" t="str">
        <f t="shared" si="208"/>
        <v>10-14</v>
      </c>
      <c r="R6703" t="str">
        <f t="shared" si="209"/>
        <v>[vA4NcHxfMBq]|10-14|Male|NEW_INFECTIONS_SUBNAT.T|CY2025Q3</v>
      </c>
    </row>
    <row r="6704" spans="4:18" x14ac:dyDescent="0.2">
      <c r="D6704" t="s">
        <v>66</v>
      </c>
      <c r="E6704" t="s">
        <v>67</v>
      </c>
      <c r="F6704" t="s">
        <v>68</v>
      </c>
      <c r="G6704" t="s">
        <v>275</v>
      </c>
      <c r="H6704" t="s">
        <v>275</v>
      </c>
      <c r="I6704" t="s">
        <v>38</v>
      </c>
      <c r="J6704" t="s">
        <v>39</v>
      </c>
      <c r="K6704" t="s">
        <v>48</v>
      </c>
      <c r="L6704" t="s">
        <v>49</v>
      </c>
      <c r="M6704" t="s">
        <v>220</v>
      </c>
      <c r="N6704">
        <v>23</v>
      </c>
      <c r="O6704">
        <v>4.5200794000000002E-2</v>
      </c>
      <c r="P6704">
        <v>4.0505793999999998E-2</v>
      </c>
      <c r="Q6704" t="str">
        <f t="shared" si="208"/>
        <v>15-24</v>
      </c>
      <c r="R6704" t="str">
        <f t="shared" si="209"/>
        <v>[vA4NcHxfMBq]|15-24|Male|NEW_INFECTIONS_SUBNAT.T|CY2025Q3</v>
      </c>
    </row>
    <row r="6705" spans="4:18" x14ac:dyDescent="0.2">
      <c r="D6705" t="s">
        <v>66</v>
      </c>
      <c r="E6705" t="s">
        <v>67</v>
      </c>
      <c r="F6705" t="s">
        <v>68</v>
      </c>
      <c r="G6705" t="s">
        <v>275</v>
      </c>
      <c r="H6705" t="s">
        <v>275</v>
      </c>
      <c r="I6705" t="s">
        <v>41</v>
      </c>
      <c r="J6705" t="s">
        <v>42</v>
      </c>
      <c r="K6705" t="s">
        <v>48</v>
      </c>
      <c r="L6705" t="s">
        <v>49</v>
      </c>
      <c r="M6705" t="s">
        <v>220</v>
      </c>
      <c r="N6705">
        <v>85</v>
      </c>
      <c r="O6705">
        <v>4.4303407000000003E-2</v>
      </c>
      <c r="P6705">
        <v>4.0505793999999998E-2</v>
      </c>
      <c r="Q6705" t="str">
        <f t="shared" si="208"/>
        <v>25-34</v>
      </c>
      <c r="R6705" t="str">
        <f t="shared" si="209"/>
        <v>[vA4NcHxfMBq]|25-34|Male|NEW_INFECTIONS_SUBNAT.T|CY2025Q3</v>
      </c>
    </row>
    <row r="6706" spans="4:18" x14ac:dyDescent="0.2">
      <c r="D6706" t="s">
        <v>66</v>
      </c>
      <c r="E6706" t="s">
        <v>67</v>
      </c>
      <c r="F6706" t="s">
        <v>68</v>
      </c>
      <c r="G6706" t="s">
        <v>275</v>
      </c>
      <c r="H6706" t="s">
        <v>275</v>
      </c>
      <c r="I6706" t="s">
        <v>43</v>
      </c>
      <c r="J6706" t="s">
        <v>44</v>
      </c>
      <c r="K6706" t="s">
        <v>48</v>
      </c>
      <c r="L6706" t="s">
        <v>49</v>
      </c>
      <c r="M6706" t="s">
        <v>220</v>
      </c>
      <c r="N6706">
        <v>83</v>
      </c>
      <c r="O6706">
        <v>4.2418910999999997E-2</v>
      </c>
      <c r="P6706">
        <v>4.0505793999999998E-2</v>
      </c>
      <c r="Q6706" t="str">
        <f t="shared" si="208"/>
        <v>35-49</v>
      </c>
      <c r="R6706" t="str">
        <f t="shared" si="209"/>
        <v>[vA4NcHxfMBq]|35-49|Male|NEW_INFECTIONS_SUBNAT.T|CY2025Q3</v>
      </c>
    </row>
    <row r="6707" spans="4:18" x14ac:dyDescent="0.2">
      <c r="D6707" t="s">
        <v>66</v>
      </c>
      <c r="E6707" t="s">
        <v>67</v>
      </c>
      <c r="F6707" t="s">
        <v>68</v>
      </c>
      <c r="G6707" t="s">
        <v>275</v>
      </c>
      <c r="H6707" t="s">
        <v>275</v>
      </c>
      <c r="I6707" t="s">
        <v>45</v>
      </c>
      <c r="J6707" t="s">
        <v>46</v>
      </c>
      <c r="K6707" t="s">
        <v>48</v>
      </c>
      <c r="L6707" t="s">
        <v>49</v>
      </c>
      <c r="M6707" t="s">
        <v>220</v>
      </c>
      <c r="N6707">
        <v>23</v>
      </c>
      <c r="O6707">
        <v>4.7885773999999999E-2</v>
      </c>
      <c r="P6707">
        <v>4.0505793999999998E-2</v>
      </c>
      <c r="Q6707" t="str">
        <f t="shared" si="208"/>
        <v>50+</v>
      </c>
      <c r="R6707" t="str">
        <f t="shared" si="209"/>
        <v>[vA4NcHxfMBq]|50+|Male|NEW_INFECTIONS_SUBNAT.T|CY2025Q3</v>
      </c>
    </row>
    <row r="6708" spans="4:18" x14ac:dyDescent="0.2">
      <c r="D6708" t="s">
        <v>69</v>
      </c>
      <c r="E6708" t="s">
        <v>70</v>
      </c>
      <c r="F6708" t="s">
        <v>71</v>
      </c>
      <c r="G6708" t="s">
        <v>275</v>
      </c>
      <c r="H6708" t="s">
        <v>275</v>
      </c>
      <c r="I6708" t="s">
        <v>28</v>
      </c>
      <c r="J6708" t="s">
        <v>29</v>
      </c>
      <c r="K6708" t="s">
        <v>30</v>
      </c>
      <c r="L6708" t="s">
        <v>31</v>
      </c>
      <c r="M6708" t="s">
        <v>220</v>
      </c>
      <c r="N6708">
        <v>0</v>
      </c>
      <c r="O6708">
        <v>3.1531189000000001E-2</v>
      </c>
      <c r="P6708">
        <v>4.5085150999999997E-2</v>
      </c>
      <c r="Q6708" t="str">
        <f t="shared" si="208"/>
        <v>&lt;01</v>
      </c>
      <c r="R6708" t="str">
        <f t="shared" si="209"/>
        <v>[ZCjuwgaMB9u]|&lt;01|Female|NEW_INFECTIONS_SUBNAT.T|CY2025Q3</v>
      </c>
    </row>
    <row r="6709" spans="4:18" x14ac:dyDescent="0.2">
      <c r="D6709" t="s">
        <v>69</v>
      </c>
      <c r="E6709" t="s">
        <v>70</v>
      </c>
      <c r="F6709" t="s">
        <v>71</v>
      </c>
      <c r="G6709" t="s">
        <v>275</v>
      </c>
      <c r="H6709" t="s">
        <v>275</v>
      </c>
      <c r="I6709" t="s">
        <v>33</v>
      </c>
      <c r="J6709" t="s">
        <v>34</v>
      </c>
      <c r="K6709" t="s">
        <v>30</v>
      </c>
      <c r="L6709" t="s">
        <v>31</v>
      </c>
      <c r="M6709" t="s">
        <v>220</v>
      </c>
      <c r="N6709">
        <v>0</v>
      </c>
      <c r="O6709">
        <v>1.5765594000000001E-2</v>
      </c>
      <c r="P6709">
        <v>4.5085150999999997E-2</v>
      </c>
      <c r="Q6709" t="str">
        <f t="shared" si="208"/>
        <v>01-09</v>
      </c>
      <c r="R6709" t="str">
        <f t="shared" si="209"/>
        <v>[ZCjuwgaMB9u]|01-09|Female|NEW_INFECTIONS_SUBNAT.T|CY2025Q3</v>
      </c>
    </row>
    <row r="6710" spans="4:18" x14ac:dyDescent="0.2">
      <c r="D6710" t="s">
        <v>69</v>
      </c>
      <c r="E6710" t="s">
        <v>70</v>
      </c>
      <c r="F6710" t="s">
        <v>71</v>
      </c>
      <c r="G6710" t="s">
        <v>275</v>
      </c>
      <c r="H6710" t="s">
        <v>275</v>
      </c>
      <c r="I6710" t="s">
        <v>36</v>
      </c>
      <c r="J6710" t="s">
        <v>37</v>
      </c>
      <c r="K6710" t="s">
        <v>30</v>
      </c>
      <c r="L6710" t="s">
        <v>31</v>
      </c>
      <c r="M6710" t="s">
        <v>220</v>
      </c>
      <c r="N6710">
        <v>0</v>
      </c>
      <c r="O6710">
        <v>0</v>
      </c>
      <c r="P6710">
        <v>4.5085150999999997E-2</v>
      </c>
      <c r="Q6710" t="str">
        <f t="shared" si="208"/>
        <v>10-14</v>
      </c>
      <c r="R6710" t="str">
        <f t="shared" si="209"/>
        <v>[ZCjuwgaMB9u]|10-14|Female|NEW_INFECTIONS_SUBNAT.T|CY2025Q3</v>
      </c>
    </row>
    <row r="6711" spans="4:18" x14ac:dyDescent="0.2">
      <c r="D6711" t="s">
        <v>69</v>
      </c>
      <c r="E6711" t="s">
        <v>70</v>
      </c>
      <c r="F6711" t="s">
        <v>71</v>
      </c>
      <c r="G6711" t="s">
        <v>275</v>
      </c>
      <c r="H6711" t="s">
        <v>275</v>
      </c>
      <c r="I6711" t="s">
        <v>38</v>
      </c>
      <c r="J6711" t="s">
        <v>39</v>
      </c>
      <c r="K6711" t="s">
        <v>30</v>
      </c>
      <c r="L6711" t="s">
        <v>31</v>
      </c>
      <c r="M6711" t="s">
        <v>220</v>
      </c>
      <c r="N6711">
        <v>2</v>
      </c>
      <c r="O6711">
        <v>4.981907E-2</v>
      </c>
      <c r="P6711">
        <v>4.5085150999999997E-2</v>
      </c>
      <c r="Q6711" t="str">
        <f t="shared" si="208"/>
        <v>15-24</v>
      </c>
      <c r="R6711" t="str">
        <f t="shared" si="209"/>
        <v>[ZCjuwgaMB9u]|15-24|Female|NEW_INFECTIONS_SUBNAT.T|CY2025Q3</v>
      </c>
    </row>
    <row r="6712" spans="4:18" x14ac:dyDescent="0.2">
      <c r="D6712" t="s">
        <v>69</v>
      </c>
      <c r="E6712" t="s">
        <v>70</v>
      </c>
      <c r="F6712" t="s">
        <v>71</v>
      </c>
      <c r="G6712" t="s">
        <v>275</v>
      </c>
      <c r="H6712" t="s">
        <v>275</v>
      </c>
      <c r="I6712" t="s">
        <v>41</v>
      </c>
      <c r="J6712" t="s">
        <v>42</v>
      </c>
      <c r="K6712" t="s">
        <v>30</v>
      </c>
      <c r="L6712" t="s">
        <v>31</v>
      </c>
      <c r="M6712" t="s">
        <v>220</v>
      </c>
      <c r="N6712">
        <v>3</v>
      </c>
      <c r="O6712">
        <v>4.8314293000000001E-2</v>
      </c>
      <c r="P6712">
        <v>4.5085150999999997E-2</v>
      </c>
      <c r="Q6712" t="str">
        <f t="shared" si="208"/>
        <v>25-34</v>
      </c>
      <c r="R6712" t="str">
        <f t="shared" si="209"/>
        <v>[ZCjuwgaMB9u]|25-34|Female|NEW_INFECTIONS_SUBNAT.T|CY2025Q3</v>
      </c>
    </row>
    <row r="6713" spans="4:18" x14ac:dyDescent="0.2">
      <c r="D6713" t="s">
        <v>69</v>
      </c>
      <c r="E6713" t="s">
        <v>70</v>
      </c>
      <c r="F6713" t="s">
        <v>71</v>
      </c>
      <c r="G6713" t="s">
        <v>275</v>
      </c>
      <c r="H6713" t="s">
        <v>275</v>
      </c>
      <c r="I6713" t="s">
        <v>43</v>
      </c>
      <c r="J6713" t="s">
        <v>44</v>
      </c>
      <c r="K6713" t="s">
        <v>30</v>
      </c>
      <c r="L6713" t="s">
        <v>31</v>
      </c>
      <c r="M6713" t="s">
        <v>220</v>
      </c>
      <c r="N6713">
        <v>1</v>
      </c>
      <c r="O6713">
        <v>4.5282496999999998E-2</v>
      </c>
      <c r="P6713">
        <v>4.5085150999999997E-2</v>
      </c>
      <c r="Q6713" t="str">
        <f t="shared" si="208"/>
        <v>35-49</v>
      </c>
      <c r="R6713" t="str">
        <f t="shared" si="209"/>
        <v>[ZCjuwgaMB9u]|35-49|Female|NEW_INFECTIONS_SUBNAT.T|CY2025Q3</v>
      </c>
    </row>
    <row r="6714" spans="4:18" x14ac:dyDescent="0.2">
      <c r="D6714" t="s">
        <v>69</v>
      </c>
      <c r="E6714" t="s">
        <v>70</v>
      </c>
      <c r="F6714" t="s">
        <v>71</v>
      </c>
      <c r="G6714" t="s">
        <v>275</v>
      </c>
      <c r="H6714" t="s">
        <v>275</v>
      </c>
      <c r="I6714" t="s">
        <v>45</v>
      </c>
      <c r="J6714" t="s">
        <v>46</v>
      </c>
      <c r="K6714" t="s">
        <v>30</v>
      </c>
      <c r="L6714" t="s">
        <v>31</v>
      </c>
      <c r="M6714" t="s">
        <v>220</v>
      </c>
      <c r="N6714">
        <v>0</v>
      </c>
      <c r="O6714">
        <v>4.8065128999999998E-2</v>
      </c>
      <c r="P6714">
        <v>4.5085150999999997E-2</v>
      </c>
      <c r="Q6714" t="str">
        <f t="shared" si="208"/>
        <v>50+</v>
      </c>
      <c r="R6714" t="str">
        <f t="shared" si="209"/>
        <v>[ZCjuwgaMB9u]|50+|Female|NEW_INFECTIONS_SUBNAT.T|CY2025Q3</v>
      </c>
    </row>
    <row r="6715" spans="4:18" x14ac:dyDescent="0.2">
      <c r="D6715" t="s">
        <v>69</v>
      </c>
      <c r="E6715" t="s">
        <v>70</v>
      </c>
      <c r="F6715" t="s">
        <v>71</v>
      </c>
      <c r="G6715" t="s">
        <v>275</v>
      </c>
      <c r="H6715" t="s">
        <v>275</v>
      </c>
      <c r="I6715" t="s">
        <v>28</v>
      </c>
      <c r="J6715" t="s">
        <v>29</v>
      </c>
      <c r="K6715" t="s">
        <v>48</v>
      </c>
      <c r="L6715" t="s">
        <v>49</v>
      </c>
      <c r="M6715" t="s">
        <v>220</v>
      </c>
      <c r="N6715">
        <v>0</v>
      </c>
      <c r="O6715">
        <v>3.1537257999999999E-2</v>
      </c>
      <c r="P6715">
        <v>4.5085150999999997E-2</v>
      </c>
      <c r="Q6715" t="str">
        <f t="shared" si="208"/>
        <v>&lt;01</v>
      </c>
      <c r="R6715" t="str">
        <f t="shared" si="209"/>
        <v>[ZCjuwgaMB9u]|&lt;01|Male|NEW_INFECTIONS_SUBNAT.T|CY2025Q3</v>
      </c>
    </row>
    <row r="6716" spans="4:18" x14ac:dyDescent="0.2">
      <c r="D6716" t="s">
        <v>69</v>
      </c>
      <c r="E6716" t="s">
        <v>70</v>
      </c>
      <c r="F6716" t="s">
        <v>71</v>
      </c>
      <c r="G6716" t="s">
        <v>275</v>
      </c>
      <c r="H6716" t="s">
        <v>275</v>
      </c>
      <c r="I6716" t="s">
        <v>33</v>
      </c>
      <c r="J6716" t="s">
        <v>34</v>
      </c>
      <c r="K6716" t="s">
        <v>48</v>
      </c>
      <c r="L6716" t="s">
        <v>49</v>
      </c>
      <c r="M6716" t="s">
        <v>220</v>
      </c>
      <c r="N6716">
        <v>0</v>
      </c>
      <c r="O6716">
        <v>1.5768628999999999E-2</v>
      </c>
      <c r="P6716">
        <v>4.5085150999999997E-2</v>
      </c>
      <c r="Q6716" t="str">
        <f t="shared" si="208"/>
        <v>01-09</v>
      </c>
      <c r="R6716" t="str">
        <f t="shared" si="209"/>
        <v>[ZCjuwgaMB9u]|01-09|Male|NEW_INFECTIONS_SUBNAT.T|CY2025Q3</v>
      </c>
    </row>
    <row r="6717" spans="4:18" x14ac:dyDescent="0.2">
      <c r="D6717" t="s">
        <v>69</v>
      </c>
      <c r="E6717" t="s">
        <v>70</v>
      </c>
      <c r="F6717" t="s">
        <v>71</v>
      </c>
      <c r="G6717" t="s">
        <v>275</v>
      </c>
      <c r="H6717" t="s">
        <v>275</v>
      </c>
      <c r="I6717" t="s">
        <v>36</v>
      </c>
      <c r="J6717" t="s">
        <v>37</v>
      </c>
      <c r="K6717" t="s">
        <v>48</v>
      </c>
      <c r="L6717" t="s">
        <v>49</v>
      </c>
      <c r="M6717" t="s">
        <v>220</v>
      </c>
      <c r="N6717">
        <v>0</v>
      </c>
      <c r="O6717">
        <v>0</v>
      </c>
      <c r="P6717">
        <v>4.5085150999999997E-2</v>
      </c>
      <c r="Q6717" t="str">
        <f t="shared" si="208"/>
        <v>10-14</v>
      </c>
      <c r="R6717" t="str">
        <f t="shared" si="209"/>
        <v>[ZCjuwgaMB9u]|10-14|Male|NEW_INFECTIONS_SUBNAT.T|CY2025Q3</v>
      </c>
    </row>
    <row r="6718" spans="4:18" x14ac:dyDescent="0.2">
      <c r="D6718" t="s">
        <v>69</v>
      </c>
      <c r="E6718" t="s">
        <v>70</v>
      </c>
      <c r="F6718" t="s">
        <v>71</v>
      </c>
      <c r="G6718" t="s">
        <v>275</v>
      </c>
      <c r="H6718" t="s">
        <v>275</v>
      </c>
      <c r="I6718" t="s">
        <v>38</v>
      </c>
      <c r="J6718" t="s">
        <v>39</v>
      </c>
      <c r="K6718" t="s">
        <v>48</v>
      </c>
      <c r="L6718" t="s">
        <v>49</v>
      </c>
      <c r="M6718" t="s">
        <v>220</v>
      </c>
      <c r="N6718">
        <v>0</v>
      </c>
      <c r="O6718">
        <v>5.0149177000000003E-2</v>
      </c>
      <c r="P6718">
        <v>4.5085150999999997E-2</v>
      </c>
      <c r="Q6718" t="str">
        <f t="shared" si="208"/>
        <v>15-24</v>
      </c>
      <c r="R6718" t="str">
        <f t="shared" si="209"/>
        <v>[ZCjuwgaMB9u]|15-24|Male|NEW_INFECTIONS_SUBNAT.T|CY2025Q3</v>
      </c>
    </row>
    <row r="6719" spans="4:18" x14ac:dyDescent="0.2">
      <c r="D6719" t="s">
        <v>69</v>
      </c>
      <c r="E6719" t="s">
        <v>70</v>
      </c>
      <c r="F6719" t="s">
        <v>71</v>
      </c>
      <c r="G6719" t="s">
        <v>275</v>
      </c>
      <c r="H6719" t="s">
        <v>275</v>
      </c>
      <c r="I6719" t="s">
        <v>41</v>
      </c>
      <c r="J6719" t="s">
        <v>42</v>
      </c>
      <c r="K6719" t="s">
        <v>48</v>
      </c>
      <c r="L6719" t="s">
        <v>49</v>
      </c>
      <c r="M6719" t="s">
        <v>220</v>
      </c>
      <c r="N6719">
        <v>2</v>
      </c>
      <c r="O6719">
        <v>4.9291392000000003E-2</v>
      </c>
      <c r="P6719">
        <v>4.5085150999999997E-2</v>
      </c>
      <c r="Q6719" t="str">
        <f t="shared" si="208"/>
        <v>25-34</v>
      </c>
      <c r="R6719" t="str">
        <f t="shared" si="209"/>
        <v>[ZCjuwgaMB9u]|25-34|Male|NEW_INFECTIONS_SUBNAT.T|CY2025Q3</v>
      </c>
    </row>
    <row r="6720" spans="4:18" x14ac:dyDescent="0.2">
      <c r="D6720" t="s">
        <v>69</v>
      </c>
      <c r="E6720" t="s">
        <v>70</v>
      </c>
      <c r="F6720" t="s">
        <v>71</v>
      </c>
      <c r="G6720" t="s">
        <v>275</v>
      </c>
      <c r="H6720" t="s">
        <v>275</v>
      </c>
      <c r="I6720" t="s">
        <v>43</v>
      </c>
      <c r="J6720" t="s">
        <v>44</v>
      </c>
      <c r="K6720" t="s">
        <v>48</v>
      </c>
      <c r="L6720" t="s">
        <v>49</v>
      </c>
      <c r="M6720" t="s">
        <v>220</v>
      </c>
      <c r="N6720">
        <v>2</v>
      </c>
      <c r="O6720">
        <v>4.6463574000000001E-2</v>
      </c>
      <c r="P6720">
        <v>4.5085150999999997E-2</v>
      </c>
      <c r="Q6720" t="str">
        <f t="shared" si="208"/>
        <v>35-49</v>
      </c>
      <c r="R6720" t="str">
        <f t="shared" si="209"/>
        <v>[ZCjuwgaMB9u]|35-49|Male|NEW_INFECTIONS_SUBNAT.T|CY2025Q3</v>
      </c>
    </row>
    <row r="6721" spans="4:18" x14ac:dyDescent="0.2">
      <c r="D6721" t="s">
        <v>69</v>
      </c>
      <c r="E6721" t="s">
        <v>70</v>
      </c>
      <c r="F6721" t="s">
        <v>71</v>
      </c>
      <c r="G6721" t="s">
        <v>275</v>
      </c>
      <c r="H6721" t="s">
        <v>275</v>
      </c>
      <c r="I6721" t="s">
        <v>45</v>
      </c>
      <c r="J6721" t="s">
        <v>46</v>
      </c>
      <c r="K6721" t="s">
        <v>48</v>
      </c>
      <c r="L6721" t="s">
        <v>49</v>
      </c>
      <c r="M6721" t="s">
        <v>220</v>
      </c>
      <c r="N6721">
        <v>0</v>
      </c>
      <c r="O6721">
        <v>4.7523846000000002E-2</v>
      </c>
      <c r="P6721">
        <v>4.5085150999999997E-2</v>
      </c>
      <c r="Q6721" t="str">
        <f t="shared" si="208"/>
        <v>50+</v>
      </c>
      <c r="R6721" t="str">
        <f t="shared" si="209"/>
        <v>[ZCjuwgaMB9u]|50+|Male|NEW_INFECTIONS_SUBNAT.T|CY2025Q3</v>
      </c>
    </row>
    <row r="6722" spans="4:18" x14ac:dyDescent="0.2">
      <c r="D6722" t="s">
        <v>72</v>
      </c>
      <c r="E6722" t="s">
        <v>73</v>
      </c>
      <c r="F6722" t="s">
        <v>74</v>
      </c>
      <c r="G6722" t="s">
        <v>275</v>
      </c>
      <c r="H6722" t="s">
        <v>275</v>
      </c>
      <c r="I6722" t="s">
        <v>28</v>
      </c>
      <c r="J6722" t="s">
        <v>29</v>
      </c>
      <c r="K6722" t="s">
        <v>30</v>
      </c>
      <c r="L6722" t="s">
        <v>31</v>
      </c>
      <c r="M6722" t="s">
        <v>220</v>
      </c>
      <c r="N6722">
        <v>13</v>
      </c>
      <c r="O6722">
        <v>7.5942180999999997E-2</v>
      </c>
      <c r="P6722">
        <v>7.9343790999999997E-2</v>
      </c>
      <c r="Q6722" t="str">
        <f t="shared" si="208"/>
        <v>&lt;01</v>
      </c>
      <c r="R6722" t="str">
        <f t="shared" si="209"/>
        <v>[JQKLKuVuY61]|&lt;01|Female|NEW_INFECTIONS_SUBNAT.T|CY2025Q3</v>
      </c>
    </row>
    <row r="6723" spans="4:18" x14ac:dyDescent="0.2">
      <c r="D6723" t="s">
        <v>72</v>
      </c>
      <c r="E6723" t="s">
        <v>73</v>
      </c>
      <c r="F6723" t="s">
        <v>74</v>
      </c>
      <c r="G6723" t="s">
        <v>275</v>
      </c>
      <c r="H6723" t="s">
        <v>275</v>
      </c>
      <c r="I6723" t="s">
        <v>33</v>
      </c>
      <c r="J6723" t="s">
        <v>34</v>
      </c>
      <c r="K6723" t="s">
        <v>30</v>
      </c>
      <c r="L6723" t="s">
        <v>31</v>
      </c>
      <c r="M6723" t="s">
        <v>220</v>
      </c>
      <c r="N6723">
        <v>3</v>
      </c>
      <c r="O6723">
        <v>3.7971090999999998E-2</v>
      </c>
      <c r="P6723">
        <v>7.9343790999999997E-2</v>
      </c>
      <c r="Q6723" t="str">
        <f t="shared" ref="Q6723:Q6786" si="210">SUBSTITUTE(SUBSTITUTE($I6723,CHAR(61),""),CHAR(34),"")</f>
        <v>01-09</v>
      </c>
      <c r="R6723" t="str">
        <f t="shared" ref="R6723:R6786" si="211">IF($D6723&lt;&gt;"","["&amp;$E6723&amp;"]"&amp;"|"&amp;$Q6723&amp;"|"&amp;$K6723&amp;"|"&amp;$G6723&amp;"|"&amp;IF($G6723="TX_CURR_SUBNAT.R","CY2023Q4",$M6723),"")</f>
        <v>[JQKLKuVuY61]|01-09|Female|NEW_INFECTIONS_SUBNAT.T|CY2025Q3</v>
      </c>
    </row>
    <row r="6724" spans="4:18" x14ac:dyDescent="0.2">
      <c r="D6724" t="s">
        <v>72</v>
      </c>
      <c r="E6724" t="s">
        <v>73</v>
      </c>
      <c r="F6724" t="s">
        <v>74</v>
      </c>
      <c r="G6724" t="s">
        <v>275</v>
      </c>
      <c r="H6724" t="s">
        <v>275</v>
      </c>
      <c r="I6724" t="s">
        <v>36</v>
      </c>
      <c r="J6724" t="s">
        <v>37</v>
      </c>
      <c r="K6724" t="s">
        <v>30</v>
      </c>
      <c r="L6724" t="s">
        <v>31</v>
      </c>
      <c r="M6724" t="s">
        <v>220</v>
      </c>
      <c r="N6724">
        <v>0</v>
      </c>
      <c r="O6724">
        <v>0</v>
      </c>
      <c r="P6724">
        <v>7.9343790999999997E-2</v>
      </c>
      <c r="Q6724" t="str">
        <f t="shared" si="210"/>
        <v>10-14</v>
      </c>
      <c r="R6724" t="str">
        <f t="shared" si="211"/>
        <v>[JQKLKuVuY61]|10-14|Female|NEW_INFECTIONS_SUBNAT.T|CY2025Q3</v>
      </c>
    </row>
    <row r="6725" spans="4:18" x14ac:dyDescent="0.2">
      <c r="D6725" t="s">
        <v>72</v>
      </c>
      <c r="E6725" t="s">
        <v>73</v>
      </c>
      <c r="F6725" t="s">
        <v>74</v>
      </c>
      <c r="G6725" t="s">
        <v>275</v>
      </c>
      <c r="H6725" t="s">
        <v>275</v>
      </c>
      <c r="I6725" t="s">
        <v>38</v>
      </c>
      <c r="J6725" t="s">
        <v>39</v>
      </c>
      <c r="K6725" t="s">
        <v>30</v>
      </c>
      <c r="L6725" t="s">
        <v>31</v>
      </c>
      <c r="M6725" t="s">
        <v>220</v>
      </c>
      <c r="N6725">
        <v>55</v>
      </c>
      <c r="O6725">
        <v>8.2526462999999994E-2</v>
      </c>
      <c r="P6725">
        <v>7.9343790999999997E-2</v>
      </c>
      <c r="Q6725" t="str">
        <f t="shared" si="210"/>
        <v>15-24</v>
      </c>
      <c r="R6725" t="str">
        <f t="shared" si="211"/>
        <v>[JQKLKuVuY61]|15-24|Female|NEW_INFECTIONS_SUBNAT.T|CY2025Q3</v>
      </c>
    </row>
    <row r="6726" spans="4:18" x14ac:dyDescent="0.2">
      <c r="D6726" t="s">
        <v>72</v>
      </c>
      <c r="E6726" t="s">
        <v>73</v>
      </c>
      <c r="F6726" t="s">
        <v>74</v>
      </c>
      <c r="G6726" t="s">
        <v>275</v>
      </c>
      <c r="H6726" t="s">
        <v>275</v>
      </c>
      <c r="I6726" t="s">
        <v>41</v>
      </c>
      <c r="J6726" t="s">
        <v>42</v>
      </c>
      <c r="K6726" t="s">
        <v>30</v>
      </c>
      <c r="L6726" t="s">
        <v>31</v>
      </c>
      <c r="M6726" t="s">
        <v>220</v>
      </c>
      <c r="N6726">
        <v>55</v>
      </c>
      <c r="O6726">
        <v>8.1176786000000001E-2</v>
      </c>
      <c r="P6726">
        <v>7.9343790999999997E-2</v>
      </c>
      <c r="Q6726" t="str">
        <f t="shared" si="210"/>
        <v>25-34</v>
      </c>
      <c r="R6726" t="str">
        <f t="shared" si="211"/>
        <v>[JQKLKuVuY61]|25-34|Female|NEW_INFECTIONS_SUBNAT.T|CY2025Q3</v>
      </c>
    </row>
    <row r="6727" spans="4:18" x14ac:dyDescent="0.2">
      <c r="D6727" t="s">
        <v>72</v>
      </c>
      <c r="E6727" t="s">
        <v>73</v>
      </c>
      <c r="F6727" t="s">
        <v>74</v>
      </c>
      <c r="G6727" t="s">
        <v>275</v>
      </c>
      <c r="H6727" t="s">
        <v>275</v>
      </c>
      <c r="I6727" t="s">
        <v>43</v>
      </c>
      <c r="J6727" t="s">
        <v>44</v>
      </c>
      <c r="K6727" t="s">
        <v>30</v>
      </c>
      <c r="L6727" t="s">
        <v>31</v>
      </c>
      <c r="M6727" t="s">
        <v>220</v>
      </c>
      <c r="N6727">
        <v>30</v>
      </c>
      <c r="O6727">
        <v>7.7420442000000006E-2</v>
      </c>
      <c r="P6727">
        <v>7.9343790999999997E-2</v>
      </c>
      <c r="Q6727" t="str">
        <f t="shared" si="210"/>
        <v>35-49</v>
      </c>
      <c r="R6727" t="str">
        <f t="shared" si="211"/>
        <v>[JQKLKuVuY61]|35-49|Female|NEW_INFECTIONS_SUBNAT.T|CY2025Q3</v>
      </c>
    </row>
    <row r="6728" spans="4:18" x14ac:dyDescent="0.2">
      <c r="D6728" t="s">
        <v>72</v>
      </c>
      <c r="E6728" t="s">
        <v>73</v>
      </c>
      <c r="F6728" t="s">
        <v>74</v>
      </c>
      <c r="G6728" t="s">
        <v>275</v>
      </c>
      <c r="H6728" t="s">
        <v>275</v>
      </c>
      <c r="I6728" t="s">
        <v>45</v>
      </c>
      <c r="J6728" t="s">
        <v>46</v>
      </c>
      <c r="K6728" t="s">
        <v>30</v>
      </c>
      <c r="L6728" t="s">
        <v>31</v>
      </c>
      <c r="M6728" t="s">
        <v>220</v>
      </c>
      <c r="N6728">
        <v>5</v>
      </c>
      <c r="O6728">
        <v>7.7435074000000007E-2</v>
      </c>
      <c r="P6728">
        <v>7.9343790999999997E-2</v>
      </c>
      <c r="Q6728" t="str">
        <f t="shared" si="210"/>
        <v>50+</v>
      </c>
      <c r="R6728" t="str">
        <f t="shared" si="211"/>
        <v>[JQKLKuVuY61]|50+|Female|NEW_INFECTIONS_SUBNAT.T|CY2025Q3</v>
      </c>
    </row>
    <row r="6729" spans="4:18" x14ac:dyDescent="0.2">
      <c r="D6729" t="s">
        <v>72</v>
      </c>
      <c r="E6729" t="s">
        <v>73</v>
      </c>
      <c r="F6729" t="s">
        <v>74</v>
      </c>
      <c r="G6729" t="s">
        <v>275</v>
      </c>
      <c r="H6729" t="s">
        <v>275</v>
      </c>
      <c r="I6729" t="s">
        <v>28</v>
      </c>
      <c r="J6729" t="s">
        <v>29</v>
      </c>
      <c r="K6729" t="s">
        <v>48</v>
      </c>
      <c r="L6729" t="s">
        <v>49</v>
      </c>
      <c r="M6729" t="s">
        <v>220</v>
      </c>
      <c r="N6729">
        <v>13</v>
      </c>
      <c r="O6729">
        <v>7.5941446999999995E-2</v>
      </c>
      <c r="P6729">
        <v>7.9343790999999997E-2</v>
      </c>
      <c r="Q6729" t="str">
        <f t="shared" si="210"/>
        <v>&lt;01</v>
      </c>
      <c r="R6729" t="str">
        <f t="shared" si="211"/>
        <v>[JQKLKuVuY61]|&lt;01|Male|NEW_INFECTIONS_SUBNAT.T|CY2025Q3</v>
      </c>
    </row>
    <row r="6730" spans="4:18" x14ac:dyDescent="0.2">
      <c r="D6730" t="s">
        <v>72</v>
      </c>
      <c r="E6730" t="s">
        <v>73</v>
      </c>
      <c r="F6730" t="s">
        <v>74</v>
      </c>
      <c r="G6730" t="s">
        <v>275</v>
      </c>
      <c r="H6730" t="s">
        <v>275</v>
      </c>
      <c r="I6730" t="s">
        <v>33</v>
      </c>
      <c r="J6730" t="s">
        <v>34</v>
      </c>
      <c r="K6730" t="s">
        <v>48</v>
      </c>
      <c r="L6730" t="s">
        <v>49</v>
      </c>
      <c r="M6730" t="s">
        <v>220</v>
      </c>
      <c r="N6730">
        <v>3</v>
      </c>
      <c r="O6730">
        <v>3.7970722999999998E-2</v>
      </c>
      <c r="P6730">
        <v>7.9343790999999997E-2</v>
      </c>
      <c r="Q6730" t="str">
        <f t="shared" si="210"/>
        <v>01-09</v>
      </c>
      <c r="R6730" t="str">
        <f t="shared" si="211"/>
        <v>[JQKLKuVuY61]|01-09|Male|NEW_INFECTIONS_SUBNAT.T|CY2025Q3</v>
      </c>
    </row>
    <row r="6731" spans="4:18" x14ac:dyDescent="0.2">
      <c r="D6731" t="s">
        <v>72</v>
      </c>
      <c r="E6731" t="s">
        <v>73</v>
      </c>
      <c r="F6731" t="s">
        <v>74</v>
      </c>
      <c r="G6731" t="s">
        <v>275</v>
      </c>
      <c r="H6731" t="s">
        <v>275</v>
      </c>
      <c r="I6731" t="s">
        <v>36</v>
      </c>
      <c r="J6731" t="s">
        <v>37</v>
      </c>
      <c r="K6731" t="s">
        <v>48</v>
      </c>
      <c r="L6731" t="s">
        <v>49</v>
      </c>
      <c r="M6731" t="s">
        <v>220</v>
      </c>
      <c r="N6731">
        <v>0</v>
      </c>
      <c r="O6731">
        <v>0</v>
      </c>
      <c r="P6731">
        <v>7.9343790999999997E-2</v>
      </c>
      <c r="Q6731" t="str">
        <f t="shared" si="210"/>
        <v>10-14</v>
      </c>
      <c r="R6731" t="str">
        <f t="shared" si="211"/>
        <v>[JQKLKuVuY61]|10-14|Male|NEW_INFECTIONS_SUBNAT.T|CY2025Q3</v>
      </c>
    </row>
    <row r="6732" spans="4:18" x14ac:dyDescent="0.2">
      <c r="D6732" t="s">
        <v>72</v>
      </c>
      <c r="E6732" t="s">
        <v>73</v>
      </c>
      <c r="F6732" t="s">
        <v>74</v>
      </c>
      <c r="G6732" t="s">
        <v>275</v>
      </c>
      <c r="H6732" t="s">
        <v>275</v>
      </c>
      <c r="I6732" t="s">
        <v>38</v>
      </c>
      <c r="J6732" t="s">
        <v>39</v>
      </c>
      <c r="K6732" t="s">
        <v>48</v>
      </c>
      <c r="L6732" t="s">
        <v>49</v>
      </c>
      <c r="M6732" t="s">
        <v>220</v>
      </c>
      <c r="N6732">
        <v>10</v>
      </c>
      <c r="O6732">
        <v>8.2858345999999999E-2</v>
      </c>
      <c r="P6732">
        <v>7.9343790999999997E-2</v>
      </c>
      <c r="Q6732" t="str">
        <f t="shared" si="210"/>
        <v>15-24</v>
      </c>
      <c r="R6732" t="str">
        <f t="shared" si="211"/>
        <v>[JQKLKuVuY61]|15-24|Male|NEW_INFECTIONS_SUBNAT.T|CY2025Q3</v>
      </c>
    </row>
    <row r="6733" spans="4:18" x14ac:dyDescent="0.2">
      <c r="D6733" t="s">
        <v>72</v>
      </c>
      <c r="E6733" t="s">
        <v>73</v>
      </c>
      <c r="F6733" t="s">
        <v>74</v>
      </c>
      <c r="G6733" t="s">
        <v>275</v>
      </c>
      <c r="H6733" t="s">
        <v>275</v>
      </c>
      <c r="I6733" t="s">
        <v>41</v>
      </c>
      <c r="J6733" t="s">
        <v>42</v>
      </c>
      <c r="K6733" t="s">
        <v>48</v>
      </c>
      <c r="L6733" t="s">
        <v>49</v>
      </c>
      <c r="M6733" t="s">
        <v>220</v>
      </c>
      <c r="N6733">
        <v>33</v>
      </c>
      <c r="O6733">
        <v>8.2368261999999998E-2</v>
      </c>
      <c r="P6733">
        <v>7.9343790999999997E-2</v>
      </c>
      <c r="Q6733" t="str">
        <f t="shared" si="210"/>
        <v>25-34</v>
      </c>
      <c r="R6733" t="str">
        <f t="shared" si="211"/>
        <v>[JQKLKuVuY61]|25-34|Male|NEW_INFECTIONS_SUBNAT.T|CY2025Q3</v>
      </c>
    </row>
    <row r="6734" spans="4:18" x14ac:dyDescent="0.2">
      <c r="D6734" t="s">
        <v>72</v>
      </c>
      <c r="E6734" t="s">
        <v>73</v>
      </c>
      <c r="F6734" t="s">
        <v>74</v>
      </c>
      <c r="G6734" t="s">
        <v>275</v>
      </c>
      <c r="H6734" t="s">
        <v>275</v>
      </c>
      <c r="I6734" t="s">
        <v>43</v>
      </c>
      <c r="J6734" t="s">
        <v>44</v>
      </c>
      <c r="K6734" t="s">
        <v>48</v>
      </c>
      <c r="L6734" t="s">
        <v>49</v>
      </c>
      <c r="M6734" t="s">
        <v>220</v>
      </c>
      <c r="N6734">
        <v>36</v>
      </c>
      <c r="O6734">
        <v>8.0143165000000002E-2</v>
      </c>
      <c r="P6734">
        <v>7.9343790999999997E-2</v>
      </c>
      <c r="Q6734" t="str">
        <f t="shared" si="210"/>
        <v>35-49</v>
      </c>
      <c r="R6734" t="str">
        <f t="shared" si="211"/>
        <v>[JQKLKuVuY61]|35-49|Male|NEW_INFECTIONS_SUBNAT.T|CY2025Q3</v>
      </c>
    </row>
    <row r="6735" spans="4:18" x14ac:dyDescent="0.2">
      <c r="D6735" t="s">
        <v>72</v>
      </c>
      <c r="E6735" t="s">
        <v>73</v>
      </c>
      <c r="F6735" t="s">
        <v>74</v>
      </c>
      <c r="G6735" t="s">
        <v>275</v>
      </c>
      <c r="H6735" t="s">
        <v>275</v>
      </c>
      <c r="I6735" t="s">
        <v>45</v>
      </c>
      <c r="J6735" t="s">
        <v>46</v>
      </c>
      <c r="K6735" t="s">
        <v>48</v>
      </c>
      <c r="L6735" t="s">
        <v>49</v>
      </c>
      <c r="M6735" t="s">
        <v>220</v>
      </c>
      <c r="N6735">
        <v>11</v>
      </c>
      <c r="O6735">
        <v>7.8269715000000004E-2</v>
      </c>
      <c r="P6735">
        <v>7.9343790999999997E-2</v>
      </c>
      <c r="Q6735" t="str">
        <f t="shared" si="210"/>
        <v>50+</v>
      </c>
      <c r="R6735" t="str">
        <f t="shared" si="211"/>
        <v>[JQKLKuVuY61]|50+|Male|NEW_INFECTIONS_SUBNAT.T|CY2025Q3</v>
      </c>
    </row>
    <row r="6736" spans="4:18" x14ac:dyDescent="0.2">
      <c r="D6736" t="s">
        <v>75</v>
      </c>
      <c r="E6736" t="s">
        <v>76</v>
      </c>
      <c r="F6736" t="s">
        <v>77</v>
      </c>
      <c r="G6736" t="s">
        <v>275</v>
      </c>
      <c r="H6736" t="s">
        <v>275</v>
      </c>
      <c r="I6736" t="s">
        <v>28</v>
      </c>
      <c r="J6736" t="s">
        <v>29</v>
      </c>
      <c r="K6736" t="s">
        <v>30</v>
      </c>
      <c r="L6736" t="s">
        <v>31</v>
      </c>
      <c r="M6736" t="s">
        <v>220</v>
      </c>
      <c r="N6736">
        <v>10</v>
      </c>
      <c r="O6736">
        <v>8.3192135E-2</v>
      </c>
      <c r="P6736">
        <v>8.6465151000000004E-2</v>
      </c>
      <c r="Q6736" t="str">
        <f t="shared" si="210"/>
        <v>&lt;01</v>
      </c>
      <c r="R6736" t="str">
        <f t="shared" si="211"/>
        <v>[YCKiBAp8QAg]|&lt;01|Female|NEW_INFECTIONS_SUBNAT.T|CY2025Q3</v>
      </c>
    </row>
    <row r="6737" spans="4:18" x14ac:dyDescent="0.2">
      <c r="D6737" t="s">
        <v>75</v>
      </c>
      <c r="E6737" t="s">
        <v>76</v>
      </c>
      <c r="F6737" t="s">
        <v>77</v>
      </c>
      <c r="G6737" t="s">
        <v>275</v>
      </c>
      <c r="H6737" t="s">
        <v>275</v>
      </c>
      <c r="I6737" t="s">
        <v>33</v>
      </c>
      <c r="J6737" t="s">
        <v>34</v>
      </c>
      <c r="K6737" t="s">
        <v>30</v>
      </c>
      <c r="L6737" t="s">
        <v>31</v>
      </c>
      <c r="M6737" t="s">
        <v>220</v>
      </c>
      <c r="N6737">
        <v>2</v>
      </c>
      <c r="O6737">
        <v>4.1596067E-2</v>
      </c>
      <c r="P6737">
        <v>8.6465151000000004E-2</v>
      </c>
      <c r="Q6737" t="str">
        <f t="shared" si="210"/>
        <v>01-09</v>
      </c>
      <c r="R6737" t="str">
        <f t="shared" si="211"/>
        <v>[YCKiBAp8QAg]|01-09|Female|NEW_INFECTIONS_SUBNAT.T|CY2025Q3</v>
      </c>
    </row>
    <row r="6738" spans="4:18" x14ac:dyDescent="0.2">
      <c r="D6738" t="s">
        <v>75</v>
      </c>
      <c r="E6738" t="s">
        <v>76</v>
      </c>
      <c r="F6738" t="s">
        <v>77</v>
      </c>
      <c r="G6738" t="s">
        <v>275</v>
      </c>
      <c r="H6738" t="s">
        <v>275</v>
      </c>
      <c r="I6738" t="s">
        <v>36</v>
      </c>
      <c r="J6738" t="s">
        <v>37</v>
      </c>
      <c r="K6738" t="s">
        <v>30</v>
      </c>
      <c r="L6738" t="s">
        <v>31</v>
      </c>
      <c r="M6738" t="s">
        <v>220</v>
      </c>
      <c r="N6738">
        <v>0</v>
      </c>
      <c r="O6738">
        <v>0</v>
      </c>
      <c r="P6738">
        <v>8.6465151000000004E-2</v>
      </c>
      <c r="Q6738" t="str">
        <f t="shared" si="210"/>
        <v>10-14</v>
      </c>
      <c r="R6738" t="str">
        <f t="shared" si="211"/>
        <v>[YCKiBAp8QAg]|10-14|Female|NEW_INFECTIONS_SUBNAT.T|CY2025Q3</v>
      </c>
    </row>
    <row r="6739" spans="4:18" x14ac:dyDescent="0.2">
      <c r="D6739" t="s">
        <v>75</v>
      </c>
      <c r="E6739" t="s">
        <v>76</v>
      </c>
      <c r="F6739" t="s">
        <v>77</v>
      </c>
      <c r="G6739" t="s">
        <v>275</v>
      </c>
      <c r="H6739" t="s">
        <v>275</v>
      </c>
      <c r="I6739" t="s">
        <v>38</v>
      </c>
      <c r="J6739" t="s">
        <v>39</v>
      </c>
      <c r="K6739" t="s">
        <v>30</v>
      </c>
      <c r="L6739" t="s">
        <v>31</v>
      </c>
      <c r="M6739" t="s">
        <v>220</v>
      </c>
      <c r="N6739">
        <v>40</v>
      </c>
      <c r="O6739">
        <v>9.0907081000000001E-2</v>
      </c>
      <c r="P6739">
        <v>8.6465151000000004E-2</v>
      </c>
      <c r="Q6739" t="str">
        <f t="shared" si="210"/>
        <v>15-24</v>
      </c>
      <c r="R6739" t="str">
        <f t="shared" si="211"/>
        <v>[YCKiBAp8QAg]|15-24|Female|NEW_INFECTIONS_SUBNAT.T|CY2025Q3</v>
      </c>
    </row>
    <row r="6740" spans="4:18" x14ac:dyDescent="0.2">
      <c r="D6740" t="s">
        <v>75</v>
      </c>
      <c r="E6740" t="s">
        <v>76</v>
      </c>
      <c r="F6740" t="s">
        <v>77</v>
      </c>
      <c r="G6740" t="s">
        <v>275</v>
      </c>
      <c r="H6740" t="s">
        <v>275</v>
      </c>
      <c r="I6740" t="s">
        <v>41</v>
      </c>
      <c r="J6740" t="s">
        <v>42</v>
      </c>
      <c r="K6740" t="s">
        <v>30</v>
      </c>
      <c r="L6740" t="s">
        <v>31</v>
      </c>
      <c r="M6740" t="s">
        <v>220</v>
      </c>
      <c r="N6740">
        <v>39</v>
      </c>
      <c r="O6740">
        <v>8.8544749000000006E-2</v>
      </c>
      <c r="P6740">
        <v>8.6465151000000004E-2</v>
      </c>
      <c r="Q6740" t="str">
        <f t="shared" si="210"/>
        <v>25-34</v>
      </c>
      <c r="R6740" t="str">
        <f t="shared" si="211"/>
        <v>[YCKiBAp8QAg]|25-34|Female|NEW_INFECTIONS_SUBNAT.T|CY2025Q3</v>
      </c>
    </row>
    <row r="6741" spans="4:18" x14ac:dyDescent="0.2">
      <c r="D6741" t="s">
        <v>75</v>
      </c>
      <c r="E6741" t="s">
        <v>76</v>
      </c>
      <c r="F6741" t="s">
        <v>77</v>
      </c>
      <c r="G6741" t="s">
        <v>275</v>
      </c>
      <c r="H6741" t="s">
        <v>275</v>
      </c>
      <c r="I6741" t="s">
        <v>43</v>
      </c>
      <c r="J6741" t="s">
        <v>44</v>
      </c>
      <c r="K6741" t="s">
        <v>30</v>
      </c>
      <c r="L6741" t="s">
        <v>31</v>
      </c>
      <c r="M6741" t="s">
        <v>220</v>
      </c>
      <c r="N6741">
        <v>20</v>
      </c>
      <c r="O6741">
        <v>8.2148754000000004E-2</v>
      </c>
      <c r="P6741">
        <v>8.6465151000000004E-2</v>
      </c>
      <c r="Q6741" t="str">
        <f t="shared" si="210"/>
        <v>35-49</v>
      </c>
      <c r="R6741" t="str">
        <f t="shared" si="211"/>
        <v>[YCKiBAp8QAg]|35-49|Female|NEW_INFECTIONS_SUBNAT.T|CY2025Q3</v>
      </c>
    </row>
    <row r="6742" spans="4:18" x14ac:dyDescent="0.2">
      <c r="D6742" t="s">
        <v>75</v>
      </c>
      <c r="E6742" t="s">
        <v>76</v>
      </c>
      <c r="F6742" t="s">
        <v>77</v>
      </c>
      <c r="G6742" t="s">
        <v>275</v>
      </c>
      <c r="H6742" t="s">
        <v>275</v>
      </c>
      <c r="I6742" t="s">
        <v>45</v>
      </c>
      <c r="J6742" t="s">
        <v>46</v>
      </c>
      <c r="K6742" t="s">
        <v>30</v>
      </c>
      <c r="L6742" t="s">
        <v>31</v>
      </c>
      <c r="M6742" t="s">
        <v>220</v>
      </c>
      <c r="N6742">
        <v>3</v>
      </c>
      <c r="O6742">
        <v>8.2411077999999999E-2</v>
      </c>
      <c r="P6742">
        <v>8.6465151000000004E-2</v>
      </c>
      <c r="Q6742" t="str">
        <f t="shared" si="210"/>
        <v>50+</v>
      </c>
      <c r="R6742" t="str">
        <f t="shared" si="211"/>
        <v>[YCKiBAp8QAg]|50+|Female|NEW_INFECTIONS_SUBNAT.T|CY2025Q3</v>
      </c>
    </row>
    <row r="6743" spans="4:18" x14ac:dyDescent="0.2">
      <c r="D6743" t="s">
        <v>75</v>
      </c>
      <c r="E6743" t="s">
        <v>76</v>
      </c>
      <c r="F6743" t="s">
        <v>77</v>
      </c>
      <c r="G6743" t="s">
        <v>275</v>
      </c>
      <c r="H6743" t="s">
        <v>275</v>
      </c>
      <c r="I6743" t="s">
        <v>28</v>
      </c>
      <c r="J6743" t="s">
        <v>29</v>
      </c>
      <c r="K6743" t="s">
        <v>48</v>
      </c>
      <c r="L6743" t="s">
        <v>49</v>
      </c>
      <c r="M6743" t="s">
        <v>220</v>
      </c>
      <c r="N6743">
        <v>10</v>
      </c>
      <c r="O6743">
        <v>8.3191146999999993E-2</v>
      </c>
      <c r="P6743">
        <v>8.6465151000000004E-2</v>
      </c>
      <c r="Q6743" t="str">
        <f t="shared" si="210"/>
        <v>&lt;01</v>
      </c>
      <c r="R6743" t="str">
        <f t="shared" si="211"/>
        <v>[YCKiBAp8QAg]|&lt;01|Male|NEW_INFECTIONS_SUBNAT.T|CY2025Q3</v>
      </c>
    </row>
    <row r="6744" spans="4:18" x14ac:dyDescent="0.2">
      <c r="D6744" t="s">
        <v>75</v>
      </c>
      <c r="E6744" t="s">
        <v>76</v>
      </c>
      <c r="F6744" t="s">
        <v>77</v>
      </c>
      <c r="G6744" t="s">
        <v>275</v>
      </c>
      <c r="H6744" t="s">
        <v>275</v>
      </c>
      <c r="I6744" t="s">
        <v>33</v>
      </c>
      <c r="J6744" t="s">
        <v>34</v>
      </c>
      <c r="K6744" t="s">
        <v>48</v>
      </c>
      <c r="L6744" t="s">
        <v>49</v>
      </c>
      <c r="M6744" t="s">
        <v>220</v>
      </c>
      <c r="N6744">
        <v>2</v>
      </c>
      <c r="O6744">
        <v>4.1595574000000003E-2</v>
      </c>
      <c r="P6744">
        <v>8.6465151000000004E-2</v>
      </c>
      <c r="Q6744" t="str">
        <f t="shared" si="210"/>
        <v>01-09</v>
      </c>
      <c r="R6744" t="str">
        <f t="shared" si="211"/>
        <v>[YCKiBAp8QAg]|01-09|Male|NEW_INFECTIONS_SUBNAT.T|CY2025Q3</v>
      </c>
    </row>
    <row r="6745" spans="4:18" x14ac:dyDescent="0.2">
      <c r="D6745" t="s">
        <v>75</v>
      </c>
      <c r="E6745" t="s">
        <v>76</v>
      </c>
      <c r="F6745" t="s">
        <v>77</v>
      </c>
      <c r="G6745" t="s">
        <v>275</v>
      </c>
      <c r="H6745" t="s">
        <v>275</v>
      </c>
      <c r="I6745" t="s">
        <v>36</v>
      </c>
      <c r="J6745" t="s">
        <v>37</v>
      </c>
      <c r="K6745" t="s">
        <v>48</v>
      </c>
      <c r="L6745" t="s">
        <v>49</v>
      </c>
      <c r="M6745" t="s">
        <v>220</v>
      </c>
      <c r="N6745">
        <v>0</v>
      </c>
      <c r="O6745">
        <v>0</v>
      </c>
      <c r="P6745">
        <v>8.6465151000000004E-2</v>
      </c>
      <c r="Q6745" t="str">
        <f t="shared" si="210"/>
        <v>10-14</v>
      </c>
      <c r="R6745" t="str">
        <f t="shared" si="211"/>
        <v>[YCKiBAp8QAg]|10-14|Male|NEW_INFECTIONS_SUBNAT.T|CY2025Q3</v>
      </c>
    </row>
    <row r="6746" spans="4:18" x14ac:dyDescent="0.2">
      <c r="D6746" t="s">
        <v>75</v>
      </c>
      <c r="E6746" t="s">
        <v>76</v>
      </c>
      <c r="F6746" t="s">
        <v>77</v>
      </c>
      <c r="G6746" t="s">
        <v>275</v>
      </c>
      <c r="H6746" t="s">
        <v>275</v>
      </c>
      <c r="I6746" t="s">
        <v>38</v>
      </c>
      <c r="J6746" t="s">
        <v>39</v>
      </c>
      <c r="K6746" t="s">
        <v>48</v>
      </c>
      <c r="L6746" t="s">
        <v>49</v>
      </c>
      <c r="M6746" t="s">
        <v>220</v>
      </c>
      <c r="N6746">
        <v>7</v>
      </c>
      <c r="O6746">
        <v>9.1466456000000002E-2</v>
      </c>
      <c r="P6746">
        <v>8.6465151000000004E-2</v>
      </c>
      <c r="Q6746" t="str">
        <f t="shared" si="210"/>
        <v>15-24</v>
      </c>
      <c r="R6746" t="str">
        <f t="shared" si="211"/>
        <v>[YCKiBAp8QAg]|15-24|Male|NEW_INFECTIONS_SUBNAT.T|CY2025Q3</v>
      </c>
    </row>
    <row r="6747" spans="4:18" x14ac:dyDescent="0.2">
      <c r="D6747" t="s">
        <v>75</v>
      </c>
      <c r="E6747" t="s">
        <v>76</v>
      </c>
      <c r="F6747" t="s">
        <v>77</v>
      </c>
      <c r="G6747" t="s">
        <v>275</v>
      </c>
      <c r="H6747" t="s">
        <v>275</v>
      </c>
      <c r="I6747" t="s">
        <v>41</v>
      </c>
      <c r="J6747" t="s">
        <v>42</v>
      </c>
      <c r="K6747" t="s">
        <v>48</v>
      </c>
      <c r="L6747" t="s">
        <v>49</v>
      </c>
      <c r="M6747" t="s">
        <v>220</v>
      </c>
      <c r="N6747">
        <v>22</v>
      </c>
      <c r="O6747">
        <v>9.0612594000000005E-2</v>
      </c>
      <c r="P6747">
        <v>8.6465151000000004E-2</v>
      </c>
      <c r="Q6747" t="str">
        <f t="shared" si="210"/>
        <v>25-34</v>
      </c>
      <c r="R6747" t="str">
        <f t="shared" si="211"/>
        <v>[YCKiBAp8QAg]|25-34|Male|NEW_INFECTIONS_SUBNAT.T|CY2025Q3</v>
      </c>
    </row>
    <row r="6748" spans="4:18" x14ac:dyDescent="0.2">
      <c r="D6748" t="s">
        <v>75</v>
      </c>
      <c r="E6748" t="s">
        <v>76</v>
      </c>
      <c r="F6748" t="s">
        <v>77</v>
      </c>
      <c r="G6748" t="s">
        <v>275</v>
      </c>
      <c r="H6748" t="s">
        <v>275</v>
      </c>
      <c r="I6748" t="s">
        <v>43</v>
      </c>
      <c r="J6748" t="s">
        <v>44</v>
      </c>
      <c r="K6748" t="s">
        <v>48</v>
      </c>
      <c r="L6748" t="s">
        <v>49</v>
      </c>
      <c r="M6748" t="s">
        <v>220</v>
      </c>
      <c r="N6748">
        <v>23</v>
      </c>
      <c r="O6748">
        <v>8.6573966000000002E-2</v>
      </c>
      <c r="P6748">
        <v>8.6465151000000004E-2</v>
      </c>
      <c r="Q6748" t="str">
        <f t="shared" si="210"/>
        <v>35-49</v>
      </c>
      <c r="R6748" t="str">
        <f t="shared" si="211"/>
        <v>[YCKiBAp8QAg]|35-49|Male|NEW_INFECTIONS_SUBNAT.T|CY2025Q3</v>
      </c>
    </row>
    <row r="6749" spans="4:18" x14ac:dyDescent="0.2">
      <c r="D6749" t="s">
        <v>75</v>
      </c>
      <c r="E6749" t="s">
        <v>76</v>
      </c>
      <c r="F6749" t="s">
        <v>77</v>
      </c>
      <c r="G6749" t="s">
        <v>275</v>
      </c>
      <c r="H6749" t="s">
        <v>275</v>
      </c>
      <c r="I6749" t="s">
        <v>45</v>
      </c>
      <c r="J6749" t="s">
        <v>46</v>
      </c>
      <c r="K6749" t="s">
        <v>48</v>
      </c>
      <c r="L6749" t="s">
        <v>49</v>
      </c>
      <c r="M6749" t="s">
        <v>220</v>
      </c>
      <c r="N6749">
        <v>7</v>
      </c>
      <c r="O6749">
        <v>8.3265280999999997E-2</v>
      </c>
      <c r="P6749">
        <v>8.6465151000000004E-2</v>
      </c>
      <c r="Q6749" t="str">
        <f t="shared" si="210"/>
        <v>50+</v>
      </c>
      <c r="R6749" t="str">
        <f t="shared" si="211"/>
        <v>[YCKiBAp8QAg]|50+|Male|NEW_INFECTIONS_SUBNAT.T|CY2025Q3</v>
      </c>
    </row>
    <row r="6750" spans="4:18" x14ac:dyDescent="0.2">
      <c r="D6750" t="s">
        <v>78</v>
      </c>
      <c r="E6750" t="s">
        <v>79</v>
      </c>
      <c r="F6750" t="s">
        <v>80</v>
      </c>
      <c r="G6750" t="s">
        <v>275</v>
      </c>
      <c r="H6750" t="s">
        <v>275</v>
      </c>
      <c r="I6750" t="s">
        <v>28</v>
      </c>
      <c r="J6750" t="s">
        <v>29</v>
      </c>
      <c r="K6750" t="s">
        <v>30</v>
      </c>
      <c r="L6750" t="s">
        <v>31</v>
      </c>
      <c r="M6750" t="s">
        <v>220</v>
      </c>
      <c r="N6750">
        <v>3</v>
      </c>
      <c r="O6750">
        <v>9.8936529999999995E-2</v>
      </c>
      <c r="P6750">
        <v>0.102232488</v>
      </c>
      <c r="Q6750" t="str">
        <f t="shared" si="210"/>
        <v>&lt;01</v>
      </c>
      <c r="R6750" t="str">
        <f t="shared" si="211"/>
        <v>[fiRkU6gEjLz]|&lt;01|Female|NEW_INFECTIONS_SUBNAT.T|CY2025Q3</v>
      </c>
    </row>
    <row r="6751" spans="4:18" x14ac:dyDescent="0.2">
      <c r="D6751" t="s">
        <v>78</v>
      </c>
      <c r="E6751" t="s">
        <v>79</v>
      </c>
      <c r="F6751" t="s">
        <v>80</v>
      </c>
      <c r="G6751" t="s">
        <v>275</v>
      </c>
      <c r="H6751" t="s">
        <v>275</v>
      </c>
      <c r="I6751" t="s">
        <v>33</v>
      </c>
      <c r="J6751" t="s">
        <v>34</v>
      </c>
      <c r="K6751" t="s">
        <v>30</v>
      </c>
      <c r="L6751" t="s">
        <v>31</v>
      </c>
      <c r="M6751" t="s">
        <v>220</v>
      </c>
      <c r="N6751">
        <v>1</v>
      </c>
      <c r="O6751">
        <v>4.9468264999999997E-2</v>
      </c>
      <c r="P6751">
        <v>0.102232488</v>
      </c>
      <c r="Q6751" t="str">
        <f t="shared" si="210"/>
        <v>01-09</v>
      </c>
      <c r="R6751" t="str">
        <f t="shared" si="211"/>
        <v>[fiRkU6gEjLz]|01-09|Female|NEW_INFECTIONS_SUBNAT.T|CY2025Q3</v>
      </c>
    </row>
    <row r="6752" spans="4:18" x14ac:dyDescent="0.2">
      <c r="D6752" t="s">
        <v>78</v>
      </c>
      <c r="E6752" t="s">
        <v>79</v>
      </c>
      <c r="F6752" t="s">
        <v>80</v>
      </c>
      <c r="G6752" t="s">
        <v>275</v>
      </c>
      <c r="H6752" t="s">
        <v>275</v>
      </c>
      <c r="I6752" t="s">
        <v>36</v>
      </c>
      <c r="J6752" t="s">
        <v>37</v>
      </c>
      <c r="K6752" t="s">
        <v>30</v>
      </c>
      <c r="L6752" t="s">
        <v>31</v>
      </c>
      <c r="M6752" t="s">
        <v>220</v>
      </c>
      <c r="N6752">
        <v>0</v>
      </c>
      <c r="O6752">
        <v>0</v>
      </c>
      <c r="P6752">
        <v>0.102232488</v>
      </c>
      <c r="Q6752" t="str">
        <f t="shared" si="210"/>
        <v>10-14</v>
      </c>
      <c r="R6752" t="str">
        <f t="shared" si="211"/>
        <v>[fiRkU6gEjLz]|10-14|Female|NEW_INFECTIONS_SUBNAT.T|CY2025Q3</v>
      </c>
    </row>
    <row r="6753" spans="4:18" x14ac:dyDescent="0.2">
      <c r="D6753" t="s">
        <v>78</v>
      </c>
      <c r="E6753" t="s">
        <v>79</v>
      </c>
      <c r="F6753" t="s">
        <v>80</v>
      </c>
      <c r="G6753" t="s">
        <v>275</v>
      </c>
      <c r="H6753" t="s">
        <v>275</v>
      </c>
      <c r="I6753" t="s">
        <v>38</v>
      </c>
      <c r="J6753" t="s">
        <v>39</v>
      </c>
      <c r="K6753" t="s">
        <v>30</v>
      </c>
      <c r="L6753" t="s">
        <v>31</v>
      </c>
      <c r="M6753" t="s">
        <v>220</v>
      </c>
      <c r="N6753">
        <v>14</v>
      </c>
      <c r="O6753">
        <v>0.10524373099999999</v>
      </c>
      <c r="P6753">
        <v>0.102232488</v>
      </c>
      <c r="Q6753" t="str">
        <f t="shared" si="210"/>
        <v>15-24</v>
      </c>
      <c r="R6753" t="str">
        <f t="shared" si="211"/>
        <v>[fiRkU6gEjLz]|15-24|Female|NEW_INFECTIONS_SUBNAT.T|CY2025Q3</v>
      </c>
    </row>
    <row r="6754" spans="4:18" x14ac:dyDescent="0.2">
      <c r="D6754" t="s">
        <v>78</v>
      </c>
      <c r="E6754" t="s">
        <v>79</v>
      </c>
      <c r="F6754" t="s">
        <v>80</v>
      </c>
      <c r="G6754" t="s">
        <v>275</v>
      </c>
      <c r="H6754" t="s">
        <v>275</v>
      </c>
      <c r="I6754" t="s">
        <v>41</v>
      </c>
      <c r="J6754" t="s">
        <v>42</v>
      </c>
      <c r="K6754" t="s">
        <v>30</v>
      </c>
      <c r="L6754" t="s">
        <v>31</v>
      </c>
      <c r="M6754" t="s">
        <v>220</v>
      </c>
      <c r="N6754">
        <v>14</v>
      </c>
      <c r="O6754">
        <v>0.10411143</v>
      </c>
      <c r="P6754">
        <v>0.102232488</v>
      </c>
      <c r="Q6754" t="str">
        <f t="shared" si="210"/>
        <v>25-34</v>
      </c>
      <c r="R6754" t="str">
        <f t="shared" si="211"/>
        <v>[fiRkU6gEjLz]|25-34|Female|NEW_INFECTIONS_SUBNAT.T|CY2025Q3</v>
      </c>
    </row>
    <row r="6755" spans="4:18" x14ac:dyDescent="0.2">
      <c r="D6755" t="s">
        <v>78</v>
      </c>
      <c r="E6755" t="s">
        <v>79</v>
      </c>
      <c r="F6755" t="s">
        <v>80</v>
      </c>
      <c r="G6755" t="s">
        <v>275</v>
      </c>
      <c r="H6755" t="s">
        <v>275</v>
      </c>
      <c r="I6755" t="s">
        <v>43</v>
      </c>
      <c r="J6755" t="s">
        <v>44</v>
      </c>
      <c r="K6755" t="s">
        <v>30</v>
      </c>
      <c r="L6755" t="s">
        <v>31</v>
      </c>
      <c r="M6755" t="s">
        <v>220</v>
      </c>
      <c r="N6755">
        <v>8</v>
      </c>
      <c r="O6755">
        <v>0.10100273899999999</v>
      </c>
      <c r="P6755">
        <v>0.102232488</v>
      </c>
      <c r="Q6755" t="str">
        <f t="shared" si="210"/>
        <v>35-49</v>
      </c>
      <c r="R6755" t="str">
        <f t="shared" si="211"/>
        <v>[fiRkU6gEjLz]|35-49|Female|NEW_INFECTIONS_SUBNAT.T|CY2025Q3</v>
      </c>
    </row>
    <row r="6756" spans="4:18" x14ac:dyDescent="0.2">
      <c r="D6756" t="s">
        <v>78</v>
      </c>
      <c r="E6756" t="s">
        <v>79</v>
      </c>
      <c r="F6756" t="s">
        <v>80</v>
      </c>
      <c r="G6756" t="s">
        <v>275</v>
      </c>
      <c r="H6756" t="s">
        <v>275</v>
      </c>
      <c r="I6756" t="s">
        <v>45</v>
      </c>
      <c r="J6756" t="s">
        <v>46</v>
      </c>
      <c r="K6756" t="s">
        <v>30</v>
      </c>
      <c r="L6756" t="s">
        <v>31</v>
      </c>
      <c r="M6756" t="s">
        <v>220</v>
      </c>
      <c r="N6756">
        <v>1</v>
      </c>
      <c r="O6756">
        <v>0.10101661100000001</v>
      </c>
      <c r="P6756">
        <v>0.102232488</v>
      </c>
      <c r="Q6756" t="str">
        <f t="shared" si="210"/>
        <v>50+</v>
      </c>
      <c r="R6756" t="str">
        <f t="shared" si="211"/>
        <v>[fiRkU6gEjLz]|50+|Female|NEW_INFECTIONS_SUBNAT.T|CY2025Q3</v>
      </c>
    </row>
    <row r="6757" spans="4:18" x14ac:dyDescent="0.2">
      <c r="D6757" t="s">
        <v>78</v>
      </c>
      <c r="E6757" t="s">
        <v>79</v>
      </c>
      <c r="F6757" t="s">
        <v>80</v>
      </c>
      <c r="G6757" t="s">
        <v>275</v>
      </c>
      <c r="H6757" t="s">
        <v>275</v>
      </c>
      <c r="I6757" t="s">
        <v>28</v>
      </c>
      <c r="J6757" t="s">
        <v>29</v>
      </c>
      <c r="K6757" t="s">
        <v>48</v>
      </c>
      <c r="L6757" t="s">
        <v>49</v>
      </c>
      <c r="M6757" t="s">
        <v>220</v>
      </c>
      <c r="N6757">
        <v>3</v>
      </c>
      <c r="O6757">
        <v>9.8936040000000003E-2</v>
      </c>
      <c r="P6757">
        <v>0.102232488</v>
      </c>
      <c r="Q6757" t="str">
        <f t="shared" si="210"/>
        <v>&lt;01</v>
      </c>
      <c r="R6757" t="str">
        <f t="shared" si="211"/>
        <v>[fiRkU6gEjLz]|&lt;01|Male|NEW_INFECTIONS_SUBNAT.T|CY2025Q3</v>
      </c>
    </row>
    <row r="6758" spans="4:18" x14ac:dyDescent="0.2">
      <c r="D6758" t="s">
        <v>78</v>
      </c>
      <c r="E6758" t="s">
        <v>79</v>
      </c>
      <c r="F6758" t="s">
        <v>80</v>
      </c>
      <c r="G6758" t="s">
        <v>275</v>
      </c>
      <c r="H6758" t="s">
        <v>275</v>
      </c>
      <c r="I6758" t="s">
        <v>33</v>
      </c>
      <c r="J6758" t="s">
        <v>34</v>
      </c>
      <c r="K6758" t="s">
        <v>48</v>
      </c>
      <c r="L6758" t="s">
        <v>49</v>
      </c>
      <c r="M6758" t="s">
        <v>220</v>
      </c>
      <c r="N6758">
        <v>1</v>
      </c>
      <c r="O6758">
        <v>4.9468020000000001E-2</v>
      </c>
      <c r="P6758">
        <v>0.102232488</v>
      </c>
      <c r="Q6758" t="str">
        <f t="shared" si="210"/>
        <v>01-09</v>
      </c>
      <c r="R6758" t="str">
        <f t="shared" si="211"/>
        <v>[fiRkU6gEjLz]|01-09|Male|NEW_INFECTIONS_SUBNAT.T|CY2025Q3</v>
      </c>
    </row>
    <row r="6759" spans="4:18" x14ac:dyDescent="0.2">
      <c r="D6759" t="s">
        <v>78</v>
      </c>
      <c r="E6759" t="s">
        <v>79</v>
      </c>
      <c r="F6759" t="s">
        <v>80</v>
      </c>
      <c r="G6759" t="s">
        <v>275</v>
      </c>
      <c r="H6759" t="s">
        <v>275</v>
      </c>
      <c r="I6759" t="s">
        <v>36</v>
      </c>
      <c r="J6759" t="s">
        <v>37</v>
      </c>
      <c r="K6759" t="s">
        <v>48</v>
      </c>
      <c r="L6759" t="s">
        <v>49</v>
      </c>
      <c r="M6759" t="s">
        <v>220</v>
      </c>
      <c r="N6759">
        <v>0</v>
      </c>
      <c r="O6759">
        <v>0</v>
      </c>
      <c r="P6759">
        <v>0.102232488</v>
      </c>
      <c r="Q6759" t="str">
        <f t="shared" si="210"/>
        <v>10-14</v>
      </c>
      <c r="R6759" t="str">
        <f t="shared" si="211"/>
        <v>[fiRkU6gEjLz]|10-14|Male|NEW_INFECTIONS_SUBNAT.T|CY2025Q3</v>
      </c>
    </row>
    <row r="6760" spans="4:18" x14ac:dyDescent="0.2">
      <c r="D6760" t="s">
        <v>78</v>
      </c>
      <c r="E6760" t="s">
        <v>79</v>
      </c>
      <c r="F6760" t="s">
        <v>80</v>
      </c>
      <c r="G6760" t="s">
        <v>275</v>
      </c>
      <c r="H6760" t="s">
        <v>275</v>
      </c>
      <c r="I6760" t="s">
        <v>38</v>
      </c>
      <c r="J6760" t="s">
        <v>39</v>
      </c>
      <c r="K6760" t="s">
        <v>48</v>
      </c>
      <c r="L6760" t="s">
        <v>49</v>
      </c>
      <c r="M6760" t="s">
        <v>220</v>
      </c>
      <c r="N6760">
        <v>2</v>
      </c>
      <c r="O6760">
        <v>0.105508646</v>
      </c>
      <c r="P6760">
        <v>0.102232488</v>
      </c>
      <c r="Q6760" t="str">
        <f t="shared" si="210"/>
        <v>15-24</v>
      </c>
      <c r="R6760" t="str">
        <f t="shared" si="211"/>
        <v>[fiRkU6gEjLz]|15-24|Male|NEW_INFECTIONS_SUBNAT.T|CY2025Q3</v>
      </c>
    </row>
    <row r="6761" spans="4:18" x14ac:dyDescent="0.2">
      <c r="D6761" t="s">
        <v>78</v>
      </c>
      <c r="E6761" t="s">
        <v>79</v>
      </c>
      <c r="F6761" t="s">
        <v>80</v>
      </c>
      <c r="G6761" t="s">
        <v>275</v>
      </c>
      <c r="H6761" t="s">
        <v>275</v>
      </c>
      <c r="I6761" t="s">
        <v>41</v>
      </c>
      <c r="J6761" t="s">
        <v>42</v>
      </c>
      <c r="K6761" t="s">
        <v>48</v>
      </c>
      <c r="L6761" t="s">
        <v>49</v>
      </c>
      <c r="M6761" t="s">
        <v>220</v>
      </c>
      <c r="N6761">
        <v>9</v>
      </c>
      <c r="O6761">
        <v>0.105078941</v>
      </c>
      <c r="P6761">
        <v>0.102232488</v>
      </c>
      <c r="Q6761" t="str">
        <f t="shared" si="210"/>
        <v>25-34</v>
      </c>
      <c r="R6761" t="str">
        <f t="shared" si="211"/>
        <v>[fiRkU6gEjLz]|25-34|Male|NEW_INFECTIONS_SUBNAT.T|CY2025Q3</v>
      </c>
    </row>
    <row r="6762" spans="4:18" x14ac:dyDescent="0.2">
      <c r="D6762" t="s">
        <v>78</v>
      </c>
      <c r="E6762" t="s">
        <v>79</v>
      </c>
      <c r="F6762" t="s">
        <v>80</v>
      </c>
      <c r="G6762" t="s">
        <v>275</v>
      </c>
      <c r="H6762" t="s">
        <v>275</v>
      </c>
      <c r="I6762" t="s">
        <v>43</v>
      </c>
      <c r="J6762" t="s">
        <v>44</v>
      </c>
      <c r="K6762" t="s">
        <v>48</v>
      </c>
      <c r="L6762" t="s">
        <v>49</v>
      </c>
      <c r="M6762" t="s">
        <v>220</v>
      </c>
      <c r="N6762">
        <v>9</v>
      </c>
      <c r="O6762">
        <v>0.10303820700000001</v>
      </c>
      <c r="P6762">
        <v>0.102232488</v>
      </c>
      <c r="Q6762" t="str">
        <f t="shared" si="210"/>
        <v>35-49</v>
      </c>
      <c r="R6762" t="str">
        <f t="shared" si="211"/>
        <v>[fiRkU6gEjLz]|35-49|Male|NEW_INFECTIONS_SUBNAT.T|CY2025Q3</v>
      </c>
    </row>
    <row r="6763" spans="4:18" x14ac:dyDescent="0.2">
      <c r="D6763" t="s">
        <v>78</v>
      </c>
      <c r="E6763" t="s">
        <v>79</v>
      </c>
      <c r="F6763" t="s">
        <v>80</v>
      </c>
      <c r="G6763" t="s">
        <v>275</v>
      </c>
      <c r="H6763" t="s">
        <v>275</v>
      </c>
      <c r="I6763" t="s">
        <v>45</v>
      </c>
      <c r="J6763" t="s">
        <v>46</v>
      </c>
      <c r="K6763" t="s">
        <v>48</v>
      </c>
      <c r="L6763" t="s">
        <v>49</v>
      </c>
      <c r="M6763" t="s">
        <v>220</v>
      </c>
      <c r="N6763">
        <v>3</v>
      </c>
      <c r="O6763">
        <v>0.101201518</v>
      </c>
      <c r="P6763">
        <v>0.102232488</v>
      </c>
      <c r="Q6763" t="str">
        <f t="shared" si="210"/>
        <v>50+</v>
      </c>
      <c r="R6763" t="str">
        <f t="shared" si="211"/>
        <v>[fiRkU6gEjLz]|50+|Male|NEW_INFECTIONS_SUBNAT.T|CY2025Q3</v>
      </c>
    </row>
    <row r="6764" spans="4:18" x14ac:dyDescent="0.2">
      <c r="D6764" t="s">
        <v>81</v>
      </c>
      <c r="E6764" t="s">
        <v>82</v>
      </c>
      <c r="F6764" t="s">
        <v>83</v>
      </c>
      <c r="G6764" t="s">
        <v>275</v>
      </c>
      <c r="H6764" t="s">
        <v>275</v>
      </c>
      <c r="I6764" t="s">
        <v>28</v>
      </c>
      <c r="J6764" t="s">
        <v>29</v>
      </c>
      <c r="K6764" t="s">
        <v>30</v>
      </c>
      <c r="L6764" t="s">
        <v>31</v>
      </c>
      <c r="M6764" t="s">
        <v>220</v>
      </c>
      <c r="N6764">
        <v>9</v>
      </c>
      <c r="O6764">
        <v>8.5934251000000003E-2</v>
      </c>
      <c r="P6764">
        <v>9.1766497000000002E-2</v>
      </c>
      <c r="Q6764" t="str">
        <f t="shared" si="210"/>
        <v>&lt;01</v>
      </c>
      <c r="R6764" t="str">
        <f t="shared" si="211"/>
        <v>[zphK9WV8JB4]|&lt;01|Female|NEW_INFECTIONS_SUBNAT.T|CY2025Q3</v>
      </c>
    </row>
    <row r="6765" spans="4:18" x14ac:dyDescent="0.2">
      <c r="D6765" t="s">
        <v>81</v>
      </c>
      <c r="E6765" t="s">
        <v>82</v>
      </c>
      <c r="F6765" t="s">
        <v>83</v>
      </c>
      <c r="G6765" t="s">
        <v>275</v>
      </c>
      <c r="H6765" t="s">
        <v>275</v>
      </c>
      <c r="I6765" t="s">
        <v>33</v>
      </c>
      <c r="J6765" t="s">
        <v>34</v>
      </c>
      <c r="K6765" t="s">
        <v>30</v>
      </c>
      <c r="L6765" t="s">
        <v>31</v>
      </c>
      <c r="M6765" t="s">
        <v>220</v>
      </c>
      <c r="N6765">
        <v>2</v>
      </c>
      <c r="O6765">
        <v>4.2967126000000001E-2</v>
      </c>
      <c r="P6765">
        <v>9.1766497000000002E-2</v>
      </c>
      <c r="Q6765" t="str">
        <f t="shared" si="210"/>
        <v>01-09</v>
      </c>
      <c r="R6765" t="str">
        <f t="shared" si="211"/>
        <v>[zphK9WV8JB4]|01-09|Female|NEW_INFECTIONS_SUBNAT.T|CY2025Q3</v>
      </c>
    </row>
    <row r="6766" spans="4:18" x14ac:dyDescent="0.2">
      <c r="D6766" t="s">
        <v>81</v>
      </c>
      <c r="E6766" t="s">
        <v>82</v>
      </c>
      <c r="F6766" t="s">
        <v>83</v>
      </c>
      <c r="G6766" t="s">
        <v>275</v>
      </c>
      <c r="H6766" t="s">
        <v>275</v>
      </c>
      <c r="I6766" t="s">
        <v>36</v>
      </c>
      <c r="J6766" t="s">
        <v>37</v>
      </c>
      <c r="K6766" t="s">
        <v>30</v>
      </c>
      <c r="L6766" t="s">
        <v>31</v>
      </c>
      <c r="M6766" t="s">
        <v>220</v>
      </c>
      <c r="N6766">
        <v>0</v>
      </c>
      <c r="O6766">
        <v>0</v>
      </c>
      <c r="P6766">
        <v>9.1766497000000002E-2</v>
      </c>
      <c r="Q6766" t="str">
        <f t="shared" si="210"/>
        <v>10-14</v>
      </c>
      <c r="R6766" t="str">
        <f t="shared" si="211"/>
        <v>[zphK9WV8JB4]|10-14|Female|NEW_INFECTIONS_SUBNAT.T|CY2025Q3</v>
      </c>
    </row>
    <row r="6767" spans="4:18" x14ac:dyDescent="0.2">
      <c r="D6767" t="s">
        <v>81</v>
      </c>
      <c r="E6767" t="s">
        <v>82</v>
      </c>
      <c r="F6767" t="s">
        <v>83</v>
      </c>
      <c r="G6767" t="s">
        <v>275</v>
      </c>
      <c r="H6767" t="s">
        <v>275</v>
      </c>
      <c r="I6767" t="s">
        <v>38</v>
      </c>
      <c r="J6767" t="s">
        <v>39</v>
      </c>
      <c r="K6767" t="s">
        <v>30</v>
      </c>
      <c r="L6767" t="s">
        <v>31</v>
      </c>
      <c r="M6767" t="s">
        <v>220</v>
      </c>
      <c r="N6767">
        <v>41</v>
      </c>
      <c r="O6767">
        <v>9.5374364000000003E-2</v>
      </c>
      <c r="P6767">
        <v>9.1766497000000002E-2</v>
      </c>
      <c r="Q6767" t="str">
        <f t="shared" si="210"/>
        <v>15-24</v>
      </c>
      <c r="R6767" t="str">
        <f t="shared" si="211"/>
        <v>[zphK9WV8JB4]|15-24|Female|NEW_INFECTIONS_SUBNAT.T|CY2025Q3</v>
      </c>
    </row>
    <row r="6768" spans="4:18" x14ac:dyDescent="0.2">
      <c r="D6768" t="s">
        <v>81</v>
      </c>
      <c r="E6768" t="s">
        <v>82</v>
      </c>
      <c r="F6768" t="s">
        <v>83</v>
      </c>
      <c r="G6768" t="s">
        <v>275</v>
      </c>
      <c r="H6768" t="s">
        <v>275</v>
      </c>
      <c r="I6768" t="s">
        <v>41</v>
      </c>
      <c r="J6768" t="s">
        <v>42</v>
      </c>
      <c r="K6768" t="s">
        <v>30</v>
      </c>
      <c r="L6768" t="s">
        <v>31</v>
      </c>
      <c r="M6768" t="s">
        <v>220</v>
      </c>
      <c r="N6768">
        <v>42</v>
      </c>
      <c r="O6768">
        <v>9.4215170000000001E-2</v>
      </c>
      <c r="P6768">
        <v>9.1766497000000002E-2</v>
      </c>
      <c r="Q6768" t="str">
        <f t="shared" si="210"/>
        <v>25-34</v>
      </c>
      <c r="R6768" t="str">
        <f t="shared" si="211"/>
        <v>[zphK9WV8JB4]|25-34|Female|NEW_INFECTIONS_SUBNAT.T|CY2025Q3</v>
      </c>
    </row>
    <row r="6769" spans="4:18" x14ac:dyDescent="0.2">
      <c r="D6769" t="s">
        <v>81</v>
      </c>
      <c r="E6769" t="s">
        <v>82</v>
      </c>
      <c r="F6769" t="s">
        <v>83</v>
      </c>
      <c r="G6769" t="s">
        <v>275</v>
      </c>
      <c r="H6769" t="s">
        <v>275</v>
      </c>
      <c r="I6769" t="s">
        <v>43</v>
      </c>
      <c r="J6769" t="s">
        <v>44</v>
      </c>
      <c r="K6769" t="s">
        <v>30</v>
      </c>
      <c r="L6769" t="s">
        <v>31</v>
      </c>
      <c r="M6769" t="s">
        <v>220</v>
      </c>
      <c r="N6769">
        <v>24</v>
      </c>
      <c r="O6769">
        <v>9.1067845999999994E-2</v>
      </c>
      <c r="P6769">
        <v>9.1766497000000002E-2</v>
      </c>
      <c r="Q6769" t="str">
        <f t="shared" si="210"/>
        <v>35-49</v>
      </c>
      <c r="R6769" t="str">
        <f t="shared" si="211"/>
        <v>[zphK9WV8JB4]|35-49|Female|NEW_INFECTIONS_SUBNAT.T|CY2025Q3</v>
      </c>
    </row>
    <row r="6770" spans="4:18" x14ac:dyDescent="0.2">
      <c r="D6770" t="s">
        <v>81</v>
      </c>
      <c r="E6770" t="s">
        <v>82</v>
      </c>
      <c r="F6770" t="s">
        <v>83</v>
      </c>
      <c r="G6770" t="s">
        <v>275</v>
      </c>
      <c r="H6770" t="s">
        <v>275</v>
      </c>
      <c r="I6770" t="s">
        <v>45</v>
      </c>
      <c r="J6770" t="s">
        <v>46</v>
      </c>
      <c r="K6770" t="s">
        <v>30</v>
      </c>
      <c r="L6770" t="s">
        <v>31</v>
      </c>
      <c r="M6770" t="s">
        <v>220</v>
      </c>
      <c r="N6770">
        <v>4</v>
      </c>
      <c r="O6770">
        <v>9.1098147000000004E-2</v>
      </c>
      <c r="P6770">
        <v>9.1766497000000002E-2</v>
      </c>
      <c r="Q6770" t="str">
        <f t="shared" si="210"/>
        <v>50+</v>
      </c>
      <c r="R6770" t="str">
        <f t="shared" si="211"/>
        <v>[zphK9WV8JB4]|50+|Female|NEW_INFECTIONS_SUBNAT.T|CY2025Q3</v>
      </c>
    </row>
    <row r="6771" spans="4:18" x14ac:dyDescent="0.2">
      <c r="D6771" t="s">
        <v>81</v>
      </c>
      <c r="E6771" t="s">
        <v>82</v>
      </c>
      <c r="F6771" t="s">
        <v>83</v>
      </c>
      <c r="G6771" t="s">
        <v>275</v>
      </c>
      <c r="H6771" t="s">
        <v>275</v>
      </c>
      <c r="I6771" t="s">
        <v>28</v>
      </c>
      <c r="J6771" t="s">
        <v>29</v>
      </c>
      <c r="K6771" t="s">
        <v>48</v>
      </c>
      <c r="L6771" t="s">
        <v>49</v>
      </c>
      <c r="M6771" t="s">
        <v>220</v>
      </c>
      <c r="N6771">
        <v>9</v>
      </c>
      <c r="O6771">
        <v>8.5934127999999999E-2</v>
      </c>
      <c r="P6771">
        <v>9.1766497000000002E-2</v>
      </c>
      <c r="Q6771" t="str">
        <f t="shared" si="210"/>
        <v>&lt;01</v>
      </c>
      <c r="R6771" t="str">
        <f t="shared" si="211"/>
        <v>[zphK9WV8JB4]|&lt;01|Male|NEW_INFECTIONS_SUBNAT.T|CY2025Q3</v>
      </c>
    </row>
    <row r="6772" spans="4:18" x14ac:dyDescent="0.2">
      <c r="D6772" t="s">
        <v>81</v>
      </c>
      <c r="E6772" t="s">
        <v>82</v>
      </c>
      <c r="F6772" t="s">
        <v>83</v>
      </c>
      <c r="G6772" t="s">
        <v>275</v>
      </c>
      <c r="H6772" t="s">
        <v>275</v>
      </c>
      <c r="I6772" t="s">
        <v>33</v>
      </c>
      <c r="J6772" t="s">
        <v>34</v>
      </c>
      <c r="K6772" t="s">
        <v>48</v>
      </c>
      <c r="L6772" t="s">
        <v>49</v>
      </c>
      <c r="M6772" t="s">
        <v>220</v>
      </c>
      <c r="N6772">
        <v>2</v>
      </c>
      <c r="O6772">
        <v>4.2967063999999999E-2</v>
      </c>
      <c r="P6772">
        <v>9.1766497000000002E-2</v>
      </c>
      <c r="Q6772" t="str">
        <f t="shared" si="210"/>
        <v>01-09</v>
      </c>
      <c r="R6772" t="str">
        <f t="shared" si="211"/>
        <v>[zphK9WV8JB4]|01-09|Male|NEW_INFECTIONS_SUBNAT.T|CY2025Q3</v>
      </c>
    </row>
    <row r="6773" spans="4:18" x14ac:dyDescent="0.2">
      <c r="D6773" t="s">
        <v>81</v>
      </c>
      <c r="E6773" t="s">
        <v>82</v>
      </c>
      <c r="F6773" t="s">
        <v>83</v>
      </c>
      <c r="G6773" t="s">
        <v>275</v>
      </c>
      <c r="H6773" t="s">
        <v>275</v>
      </c>
      <c r="I6773" t="s">
        <v>36</v>
      </c>
      <c r="J6773" t="s">
        <v>37</v>
      </c>
      <c r="K6773" t="s">
        <v>48</v>
      </c>
      <c r="L6773" t="s">
        <v>49</v>
      </c>
      <c r="M6773" t="s">
        <v>220</v>
      </c>
      <c r="N6773">
        <v>0</v>
      </c>
      <c r="O6773">
        <v>0</v>
      </c>
      <c r="P6773">
        <v>9.1766497000000002E-2</v>
      </c>
      <c r="Q6773" t="str">
        <f t="shared" si="210"/>
        <v>10-14</v>
      </c>
      <c r="R6773" t="str">
        <f t="shared" si="211"/>
        <v>[zphK9WV8JB4]|10-14|Male|NEW_INFECTIONS_SUBNAT.T|CY2025Q3</v>
      </c>
    </row>
    <row r="6774" spans="4:18" x14ac:dyDescent="0.2">
      <c r="D6774" t="s">
        <v>81</v>
      </c>
      <c r="E6774" t="s">
        <v>82</v>
      </c>
      <c r="F6774" t="s">
        <v>83</v>
      </c>
      <c r="G6774" t="s">
        <v>275</v>
      </c>
      <c r="H6774" t="s">
        <v>275</v>
      </c>
      <c r="I6774" t="s">
        <v>38</v>
      </c>
      <c r="J6774" t="s">
        <v>39</v>
      </c>
      <c r="K6774" t="s">
        <v>48</v>
      </c>
      <c r="L6774" t="s">
        <v>49</v>
      </c>
      <c r="M6774" t="s">
        <v>220</v>
      </c>
      <c r="N6774">
        <v>7</v>
      </c>
      <c r="O6774">
        <v>9.5642577000000006E-2</v>
      </c>
      <c r="P6774">
        <v>9.1766497000000002E-2</v>
      </c>
      <c r="Q6774" t="str">
        <f t="shared" si="210"/>
        <v>15-24</v>
      </c>
      <c r="R6774" t="str">
        <f t="shared" si="211"/>
        <v>[zphK9WV8JB4]|15-24|Male|NEW_INFECTIONS_SUBNAT.T|CY2025Q3</v>
      </c>
    </row>
    <row r="6775" spans="4:18" x14ac:dyDescent="0.2">
      <c r="D6775" t="s">
        <v>81</v>
      </c>
      <c r="E6775" t="s">
        <v>82</v>
      </c>
      <c r="F6775" t="s">
        <v>83</v>
      </c>
      <c r="G6775" t="s">
        <v>275</v>
      </c>
      <c r="H6775" t="s">
        <v>275</v>
      </c>
      <c r="I6775" t="s">
        <v>41</v>
      </c>
      <c r="J6775" t="s">
        <v>42</v>
      </c>
      <c r="K6775" t="s">
        <v>48</v>
      </c>
      <c r="L6775" t="s">
        <v>49</v>
      </c>
      <c r="M6775" t="s">
        <v>220</v>
      </c>
      <c r="N6775">
        <v>25</v>
      </c>
      <c r="O6775">
        <v>9.5159093E-2</v>
      </c>
      <c r="P6775">
        <v>9.1766497000000002E-2</v>
      </c>
      <c r="Q6775" t="str">
        <f t="shared" si="210"/>
        <v>25-34</v>
      </c>
      <c r="R6775" t="str">
        <f t="shared" si="211"/>
        <v>[zphK9WV8JB4]|25-34|Male|NEW_INFECTIONS_SUBNAT.T|CY2025Q3</v>
      </c>
    </row>
    <row r="6776" spans="4:18" x14ac:dyDescent="0.2">
      <c r="D6776" t="s">
        <v>81</v>
      </c>
      <c r="E6776" t="s">
        <v>82</v>
      </c>
      <c r="F6776" t="s">
        <v>83</v>
      </c>
      <c r="G6776" t="s">
        <v>275</v>
      </c>
      <c r="H6776" t="s">
        <v>275</v>
      </c>
      <c r="I6776" t="s">
        <v>43</v>
      </c>
      <c r="J6776" t="s">
        <v>44</v>
      </c>
      <c r="K6776" t="s">
        <v>48</v>
      </c>
      <c r="L6776" t="s">
        <v>49</v>
      </c>
      <c r="M6776" t="s">
        <v>220</v>
      </c>
      <c r="N6776">
        <v>27</v>
      </c>
      <c r="O6776">
        <v>9.2979128999999994E-2</v>
      </c>
      <c r="P6776">
        <v>9.1766497000000002E-2</v>
      </c>
      <c r="Q6776" t="str">
        <f t="shared" si="210"/>
        <v>35-49</v>
      </c>
      <c r="R6776" t="str">
        <f t="shared" si="211"/>
        <v>[zphK9WV8JB4]|35-49|Male|NEW_INFECTIONS_SUBNAT.T|CY2025Q3</v>
      </c>
    </row>
    <row r="6777" spans="4:18" x14ac:dyDescent="0.2">
      <c r="D6777" t="s">
        <v>81</v>
      </c>
      <c r="E6777" t="s">
        <v>82</v>
      </c>
      <c r="F6777" t="s">
        <v>83</v>
      </c>
      <c r="G6777" t="s">
        <v>275</v>
      </c>
      <c r="H6777" t="s">
        <v>275</v>
      </c>
      <c r="I6777" t="s">
        <v>45</v>
      </c>
      <c r="J6777" t="s">
        <v>46</v>
      </c>
      <c r="K6777" t="s">
        <v>48</v>
      </c>
      <c r="L6777" t="s">
        <v>49</v>
      </c>
      <c r="M6777" t="s">
        <v>220</v>
      </c>
      <c r="N6777">
        <v>8</v>
      </c>
      <c r="O6777">
        <v>9.1321612999999996E-2</v>
      </c>
      <c r="P6777">
        <v>9.1766497000000002E-2</v>
      </c>
      <c r="Q6777" t="str">
        <f t="shared" si="210"/>
        <v>50+</v>
      </c>
      <c r="R6777" t="str">
        <f t="shared" si="211"/>
        <v>[zphK9WV8JB4]|50+|Male|NEW_INFECTIONS_SUBNAT.T|CY2025Q3</v>
      </c>
    </row>
    <row r="6778" spans="4:18" x14ac:dyDescent="0.2">
      <c r="D6778" t="s">
        <v>84</v>
      </c>
      <c r="E6778" t="s">
        <v>85</v>
      </c>
      <c r="F6778" t="s">
        <v>86</v>
      </c>
      <c r="G6778" t="s">
        <v>275</v>
      </c>
      <c r="H6778" t="s">
        <v>275</v>
      </c>
      <c r="I6778" t="s">
        <v>28</v>
      </c>
      <c r="J6778" t="s">
        <v>29</v>
      </c>
      <c r="K6778" t="s">
        <v>30</v>
      </c>
      <c r="L6778" t="s">
        <v>31</v>
      </c>
      <c r="M6778" t="s">
        <v>220</v>
      </c>
      <c r="N6778">
        <v>15</v>
      </c>
      <c r="O6778">
        <v>6.7507369999999997E-2</v>
      </c>
      <c r="P6778">
        <v>7.0670380000000005E-2</v>
      </c>
      <c r="Q6778" t="str">
        <f t="shared" si="210"/>
        <v>&lt;01</v>
      </c>
      <c r="R6778" t="str">
        <f t="shared" si="211"/>
        <v>[msW2zpIN7up]|&lt;01|Female|NEW_INFECTIONS_SUBNAT.T|CY2025Q3</v>
      </c>
    </row>
    <row r="6779" spans="4:18" x14ac:dyDescent="0.2">
      <c r="D6779" t="s">
        <v>84</v>
      </c>
      <c r="E6779" t="s">
        <v>85</v>
      </c>
      <c r="F6779" t="s">
        <v>86</v>
      </c>
      <c r="G6779" t="s">
        <v>275</v>
      </c>
      <c r="H6779" t="s">
        <v>275</v>
      </c>
      <c r="I6779" t="s">
        <v>33</v>
      </c>
      <c r="J6779" t="s">
        <v>34</v>
      </c>
      <c r="K6779" t="s">
        <v>30</v>
      </c>
      <c r="L6779" t="s">
        <v>31</v>
      </c>
      <c r="M6779" t="s">
        <v>220</v>
      </c>
      <c r="N6779">
        <v>4</v>
      </c>
      <c r="O6779">
        <v>3.3753684999999999E-2</v>
      </c>
      <c r="P6779">
        <v>7.0670380000000005E-2</v>
      </c>
      <c r="Q6779" t="str">
        <f t="shared" si="210"/>
        <v>01-09</v>
      </c>
      <c r="R6779" t="str">
        <f t="shared" si="211"/>
        <v>[msW2zpIN7up]|01-09|Female|NEW_INFECTIONS_SUBNAT.T|CY2025Q3</v>
      </c>
    </row>
    <row r="6780" spans="4:18" x14ac:dyDescent="0.2">
      <c r="D6780" t="s">
        <v>84</v>
      </c>
      <c r="E6780" t="s">
        <v>85</v>
      </c>
      <c r="F6780" t="s">
        <v>86</v>
      </c>
      <c r="G6780" t="s">
        <v>275</v>
      </c>
      <c r="H6780" t="s">
        <v>275</v>
      </c>
      <c r="I6780" t="s">
        <v>36</v>
      </c>
      <c r="J6780" t="s">
        <v>37</v>
      </c>
      <c r="K6780" t="s">
        <v>30</v>
      </c>
      <c r="L6780" t="s">
        <v>31</v>
      </c>
      <c r="M6780" t="s">
        <v>220</v>
      </c>
      <c r="N6780">
        <v>0</v>
      </c>
      <c r="O6780">
        <v>0</v>
      </c>
      <c r="P6780">
        <v>7.0670380000000005E-2</v>
      </c>
      <c r="Q6780" t="str">
        <f t="shared" si="210"/>
        <v>10-14</v>
      </c>
      <c r="R6780" t="str">
        <f t="shared" si="211"/>
        <v>[msW2zpIN7up]|10-14|Female|NEW_INFECTIONS_SUBNAT.T|CY2025Q3</v>
      </c>
    </row>
    <row r="6781" spans="4:18" x14ac:dyDescent="0.2">
      <c r="D6781" t="s">
        <v>84</v>
      </c>
      <c r="E6781" t="s">
        <v>85</v>
      </c>
      <c r="F6781" t="s">
        <v>86</v>
      </c>
      <c r="G6781" t="s">
        <v>275</v>
      </c>
      <c r="H6781" t="s">
        <v>275</v>
      </c>
      <c r="I6781" t="s">
        <v>38</v>
      </c>
      <c r="J6781" t="s">
        <v>39</v>
      </c>
      <c r="K6781" t="s">
        <v>30</v>
      </c>
      <c r="L6781" t="s">
        <v>31</v>
      </c>
      <c r="M6781" t="s">
        <v>220</v>
      </c>
      <c r="N6781">
        <v>56</v>
      </c>
      <c r="O6781">
        <v>7.4937111000000001E-2</v>
      </c>
      <c r="P6781">
        <v>7.0670380000000005E-2</v>
      </c>
      <c r="Q6781" t="str">
        <f t="shared" si="210"/>
        <v>15-24</v>
      </c>
      <c r="R6781" t="str">
        <f t="shared" si="211"/>
        <v>[msW2zpIN7up]|15-24|Female|NEW_INFECTIONS_SUBNAT.T|CY2025Q3</v>
      </c>
    </row>
    <row r="6782" spans="4:18" x14ac:dyDescent="0.2">
      <c r="D6782" t="s">
        <v>84</v>
      </c>
      <c r="E6782" t="s">
        <v>85</v>
      </c>
      <c r="F6782" t="s">
        <v>86</v>
      </c>
      <c r="G6782" t="s">
        <v>275</v>
      </c>
      <c r="H6782" t="s">
        <v>275</v>
      </c>
      <c r="I6782" t="s">
        <v>41</v>
      </c>
      <c r="J6782" t="s">
        <v>42</v>
      </c>
      <c r="K6782" t="s">
        <v>30</v>
      </c>
      <c r="L6782" t="s">
        <v>31</v>
      </c>
      <c r="M6782" t="s">
        <v>220</v>
      </c>
      <c r="N6782">
        <v>57</v>
      </c>
      <c r="O6782">
        <v>7.2556040000000002E-2</v>
      </c>
      <c r="P6782">
        <v>7.0670380000000005E-2</v>
      </c>
      <c r="Q6782" t="str">
        <f t="shared" si="210"/>
        <v>25-34</v>
      </c>
      <c r="R6782" t="str">
        <f t="shared" si="211"/>
        <v>[msW2zpIN7up]|25-34|Female|NEW_INFECTIONS_SUBNAT.T|CY2025Q3</v>
      </c>
    </row>
    <row r="6783" spans="4:18" x14ac:dyDescent="0.2">
      <c r="D6783" t="s">
        <v>84</v>
      </c>
      <c r="E6783" t="s">
        <v>85</v>
      </c>
      <c r="F6783" t="s">
        <v>86</v>
      </c>
      <c r="G6783" t="s">
        <v>275</v>
      </c>
      <c r="H6783" t="s">
        <v>275</v>
      </c>
      <c r="I6783" t="s">
        <v>43</v>
      </c>
      <c r="J6783" t="s">
        <v>44</v>
      </c>
      <c r="K6783" t="s">
        <v>30</v>
      </c>
      <c r="L6783" t="s">
        <v>31</v>
      </c>
      <c r="M6783" t="s">
        <v>220</v>
      </c>
      <c r="N6783">
        <v>28</v>
      </c>
      <c r="O6783">
        <v>6.6179031999999999E-2</v>
      </c>
      <c r="P6783">
        <v>7.0670380000000005E-2</v>
      </c>
      <c r="Q6783" t="str">
        <f t="shared" si="210"/>
        <v>35-49</v>
      </c>
      <c r="R6783" t="str">
        <f t="shared" si="211"/>
        <v>[msW2zpIN7up]|35-49|Female|NEW_INFECTIONS_SUBNAT.T|CY2025Q3</v>
      </c>
    </row>
    <row r="6784" spans="4:18" x14ac:dyDescent="0.2">
      <c r="D6784" t="s">
        <v>84</v>
      </c>
      <c r="E6784" t="s">
        <v>85</v>
      </c>
      <c r="F6784" t="s">
        <v>86</v>
      </c>
      <c r="G6784" t="s">
        <v>275</v>
      </c>
      <c r="H6784" t="s">
        <v>275</v>
      </c>
      <c r="I6784" t="s">
        <v>45</v>
      </c>
      <c r="J6784" t="s">
        <v>46</v>
      </c>
      <c r="K6784" t="s">
        <v>30</v>
      </c>
      <c r="L6784" t="s">
        <v>31</v>
      </c>
      <c r="M6784" t="s">
        <v>220</v>
      </c>
      <c r="N6784">
        <v>4</v>
      </c>
      <c r="O6784">
        <v>6.6696608000000004E-2</v>
      </c>
      <c r="P6784">
        <v>7.0670380000000005E-2</v>
      </c>
      <c r="Q6784" t="str">
        <f t="shared" si="210"/>
        <v>50+</v>
      </c>
      <c r="R6784" t="str">
        <f t="shared" si="211"/>
        <v>[msW2zpIN7up]|50+|Female|NEW_INFECTIONS_SUBNAT.T|CY2025Q3</v>
      </c>
    </row>
    <row r="6785" spans="4:18" x14ac:dyDescent="0.2">
      <c r="D6785" t="s">
        <v>84</v>
      </c>
      <c r="E6785" t="s">
        <v>85</v>
      </c>
      <c r="F6785" t="s">
        <v>86</v>
      </c>
      <c r="G6785" t="s">
        <v>275</v>
      </c>
      <c r="H6785" t="s">
        <v>275</v>
      </c>
      <c r="I6785" t="s">
        <v>28</v>
      </c>
      <c r="J6785" t="s">
        <v>29</v>
      </c>
      <c r="K6785" t="s">
        <v>48</v>
      </c>
      <c r="L6785" t="s">
        <v>49</v>
      </c>
      <c r="M6785" t="s">
        <v>220</v>
      </c>
      <c r="N6785">
        <v>16</v>
      </c>
      <c r="O6785">
        <v>6.7507336000000001E-2</v>
      </c>
      <c r="P6785">
        <v>7.0670380000000005E-2</v>
      </c>
      <c r="Q6785" t="str">
        <f t="shared" si="210"/>
        <v>&lt;01</v>
      </c>
      <c r="R6785" t="str">
        <f t="shared" si="211"/>
        <v>[msW2zpIN7up]|&lt;01|Male|NEW_INFECTIONS_SUBNAT.T|CY2025Q3</v>
      </c>
    </row>
    <row r="6786" spans="4:18" x14ac:dyDescent="0.2">
      <c r="D6786" t="s">
        <v>84</v>
      </c>
      <c r="E6786" t="s">
        <v>85</v>
      </c>
      <c r="F6786" t="s">
        <v>86</v>
      </c>
      <c r="G6786" t="s">
        <v>275</v>
      </c>
      <c r="H6786" t="s">
        <v>275</v>
      </c>
      <c r="I6786" t="s">
        <v>33</v>
      </c>
      <c r="J6786" t="s">
        <v>34</v>
      </c>
      <c r="K6786" t="s">
        <v>48</v>
      </c>
      <c r="L6786" t="s">
        <v>49</v>
      </c>
      <c r="M6786" t="s">
        <v>220</v>
      </c>
      <c r="N6786">
        <v>4</v>
      </c>
      <c r="O6786">
        <v>3.3753668000000001E-2</v>
      </c>
      <c r="P6786">
        <v>7.0670380000000005E-2</v>
      </c>
      <c r="Q6786" t="str">
        <f t="shared" si="210"/>
        <v>01-09</v>
      </c>
      <c r="R6786" t="str">
        <f t="shared" si="211"/>
        <v>[msW2zpIN7up]|01-09|Male|NEW_INFECTIONS_SUBNAT.T|CY2025Q3</v>
      </c>
    </row>
    <row r="6787" spans="4:18" x14ac:dyDescent="0.2">
      <c r="D6787" t="s">
        <v>84</v>
      </c>
      <c r="E6787" t="s">
        <v>85</v>
      </c>
      <c r="F6787" t="s">
        <v>86</v>
      </c>
      <c r="G6787" t="s">
        <v>275</v>
      </c>
      <c r="H6787" t="s">
        <v>275</v>
      </c>
      <c r="I6787" t="s">
        <v>36</v>
      </c>
      <c r="J6787" t="s">
        <v>37</v>
      </c>
      <c r="K6787" t="s">
        <v>48</v>
      </c>
      <c r="L6787" t="s">
        <v>49</v>
      </c>
      <c r="M6787" t="s">
        <v>220</v>
      </c>
      <c r="N6787">
        <v>0</v>
      </c>
      <c r="O6787">
        <v>0</v>
      </c>
      <c r="P6787">
        <v>7.0670380000000005E-2</v>
      </c>
      <c r="Q6787" t="str">
        <f t="shared" ref="Q6787:Q6850" si="212">SUBSTITUTE(SUBSTITUTE($I6787,CHAR(61),""),CHAR(34),"")</f>
        <v>10-14</v>
      </c>
      <c r="R6787" t="str">
        <f t="shared" ref="R6787:R6850" si="213">IF($D6787&lt;&gt;"","["&amp;$E6787&amp;"]"&amp;"|"&amp;$Q6787&amp;"|"&amp;$K6787&amp;"|"&amp;$G6787&amp;"|"&amp;IF($G6787="TX_CURR_SUBNAT.R","CY2023Q4",$M6787),"")</f>
        <v>[msW2zpIN7up]|10-14|Male|NEW_INFECTIONS_SUBNAT.T|CY2025Q3</v>
      </c>
    </row>
    <row r="6788" spans="4:18" x14ac:dyDescent="0.2">
      <c r="D6788" t="s">
        <v>84</v>
      </c>
      <c r="E6788" t="s">
        <v>85</v>
      </c>
      <c r="F6788" t="s">
        <v>86</v>
      </c>
      <c r="G6788" t="s">
        <v>275</v>
      </c>
      <c r="H6788" t="s">
        <v>275</v>
      </c>
      <c r="I6788" t="s">
        <v>38</v>
      </c>
      <c r="J6788" t="s">
        <v>39</v>
      </c>
      <c r="K6788" t="s">
        <v>48</v>
      </c>
      <c r="L6788" t="s">
        <v>49</v>
      </c>
      <c r="M6788" t="s">
        <v>220</v>
      </c>
      <c r="N6788">
        <v>9</v>
      </c>
      <c r="O6788">
        <v>7.5486622000000003E-2</v>
      </c>
      <c r="P6788">
        <v>7.0670380000000005E-2</v>
      </c>
      <c r="Q6788" t="str">
        <f t="shared" si="212"/>
        <v>15-24</v>
      </c>
      <c r="R6788" t="str">
        <f t="shared" si="213"/>
        <v>[msW2zpIN7up]|15-24|Male|NEW_INFECTIONS_SUBNAT.T|CY2025Q3</v>
      </c>
    </row>
    <row r="6789" spans="4:18" x14ac:dyDescent="0.2">
      <c r="D6789" t="s">
        <v>84</v>
      </c>
      <c r="E6789" t="s">
        <v>85</v>
      </c>
      <c r="F6789" t="s">
        <v>86</v>
      </c>
      <c r="G6789" t="s">
        <v>275</v>
      </c>
      <c r="H6789" t="s">
        <v>275</v>
      </c>
      <c r="I6789" t="s">
        <v>41</v>
      </c>
      <c r="J6789" t="s">
        <v>42</v>
      </c>
      <c r="K6789" t="s">
        <v>48</v>
      </c>
      <c r="L6789" t="s">
        <v>49</v>
      </c>
      <c r="M6789" t="s">
        <v>220</v>
      </c>
      <c r="N6789">
        <v>31</v>
      </c>
      <c r="O6789">
        <v>7.4670099000000004E-2</v>
      </c>
      <c r="P6789">
        <v>7.0670380000000005E-2</v>
      </c>
      <c r="Q6789" t="str">
        <f t="shared" si="212"/>
        <v>25-34</v>
      </c>
      <c r="R6789" t="str">
        <f t="shared" si="213"/>
        <v>[msW2zpIN7up]|25-34|Male|NEW_INFECTIONS_SUBNAT.T|CY2025Q3</v>
      </c>
    </row>
    <row r="6790" spans="4:18" x14ac:dyDescent="0.2">
      <c r="D6790" t="s">
        <v>84</v>
      </c>
      <c r="E6790" t="s">
        <v>85</v>
      </c>
      <c r="F6790" t="s">
        <v>86</v>
      </c>
      <c r="G6790" t="s">
        <v>275</v>
      </c>
      <c r="H6790" t="s">
        <v>275</v>
      </c>
      <c r="I6790" t="s">
        <v>43</v>
      </c>
      <c r="J6790" t="s">
        <v>44</v>
      </c>
      <c r="K6790" t="s">
        <v>48</v>
      </c>
      <c r="L6790" t="s">
        <v>49</v>
      </c>
      <c r="M6790" t="s">
        <v>220</v>
      </c>
      <c r="N6790">
        <v>33</v>
      </c>
      <c r="O6790">
        <v>7.0985927000000004E-2</v>
      </c>
      <c r="P6790">
        <v>7.0670380000000005E-2</v>
      </c>
      <c r="Q6790" t="str">
        <f t="shared" si="212"/>
        <v>35-49</v>
      </c>
      <c r="R6790" t="str">
        <f t="shared" si="213"/>
        <v>[msW2zpIN7up]|35-49|Male|NEW_INFECTIONS_SUBNAT.T|CY2025Q3</v>
      </c>
    </row>
    <row r="6791" spans="4:18" x14ac:dyDescent="0.2">
      <c r="D6791" t="s">
        <v>84</v>
      </c>
      <c r="E6791" t="s">
        <v>85</v>
      </c>
      <c r="F6791" t="s">
        <v>86</v>
      </c>
      <c r="G6791" t="s">
        <v>275</v>
      </c>
      <c r="H6791" t="s">
        <v>275</v>
      </c>
      <c r="I6791" t="s">
        <v>45</v>
      </c>
      <c r="J6791" t="s">
        <v>46</v>
      </c>
      <c r="K6791" t="s">
        <v>48</v>
      </c>
      <c r="L6791" t="s">
        <v>49</v>
      </c>
      <c r="M6791" t="s">
        <v>220</v>
      </c>
      <c r="N6791">
        <v>9</v>
      </c>
      <c r="O6791">
        <v>6.7905153999999995E-2</v>
      </c>
      <c r="P6791">
        <v>7.0670380000000005E-2</v>
      </c>
      <c r="Q6791" t="str">
        <f t="shared" si="212"/>
        <v>50+</v>
      </c>
      <c r="R6791" t="str">
        <f t="shared" si="213"/>
        <v>[msW2zpIN7up]|50+|Male|NEW_INFECTIONS_SUBNAT.T|CY2025Q3</v>
      </c>
    </row>
    <row r="6792" spans="4:18" x14ac:dyDescent="0.2">
      <c r="D6792" t="s">
        <v>87</v>
      </c>
      <c r="E6792" t="s">
        <v>88</v>
      </c>
      <c r="F6792" t="s">
        <v>89</v>
      </c>
      <c r="G6792" t="s">
        <v>275</v>
      </c>
      <c r="H6792" t="s">
        <v>275</v>
      </c>
      <c r="I6792" t="s">
        <v>28</v>
      </c>
      <c r="J6792" t="s">
        <v>29</v>
      </c>
      <c r="K6792" t="s">
        <v>30</v>
      </c>
      <c r="L6792" t="s">
        <v>31</v>
      </c>
      <c r="M6792" t="s">
        <v>220</v>
      </c>
      <c r="N6792">
        <v>73</v>
      </c>
      <c r="O6792">
        <v>2.2447109999999999E-2</v>
      </c>
      <c r="P6792">
        <v>3.1071524999999999E-2</v>
      </c>
      <c r="Q6792" t="str">
        <f t="shared" si="212"/>
        <v>&lt;01</v>
      </c>
      <c r="R6792" t="str">
        <f t="shared" si="213"/>
        <v>[ScR9iFKAasW]|&lt;01|Female|NEW_INFECTIONS_SUBNAT.T|CY2025Q3</v>
      </c>
    </row>
    <row r="6793" spans="4:18" x14ac:dyDescent="0.2">
      <c r="D6793" t="s">
        <v>87</v>
      </c>
      <c r="E6793" t="s">
        <v>88</v>
      </c>
      <c r="F6793" t="s">
        <v>89</v>
      </c>
      <c r="G6793" t="s">
        <v>275</v>
      </c>
      <c r="H6793" t="s">
        <v>275</v>
      </c>
      <c r="I6793" t="s">
        <v>33</v>
      </c>
      <c r="J6793" t="s">
        <v>34</v>
      </c>
      <c r="K6793" t="s">
        <v>30</v>
      </c>
      <c r="L6793" t="s">
        <v>31</v>
      </c>
      <c r="M6793" t="s">
        <v>220</v>
      </c>
      <c r="N6793">
        <v>18</v>
      </c>
      <c r="O6793">
        <v>1.1223555E-2</v>
      </c>
      <c r="P6793">
        <v>3.1071524999999999E-2</v>
      </c>
      <c r="Q6793" t="str">
        <f t="shared" si="212"/>
        <v>01-09</v>
      </c>
      <c r="R6793" t="str">
        <f t="shared" si="213"/>
        <v>[ScR9iFKAasW]|01-09|Female|NEW_INFECTIONS_SUBNAT.T|CY2025Q3</v>
      </c>
    </row>
    <row r="6794" spans="4:18" x14ac:dyDescent="0.2">
      <c r="D6794" t="s">
        <v>87</v>
      </c>
      <c r="E6794" t="s">
        <v>88</v>
      </c>
      <c r="F6794" t="s">
        <v>89</v>
      </c>
      <c r="G6794" t="s">
        <v>275</v>
      </c>
      <c r="H6794" t="s">
        <v>275</v>
      </c>
      <c r="I6794" t="s">
        <v>36</v>
      </c>
      <c r="J6794" t="s">
        <v>37</v>
      </c>
      <c r="K6794" t="s">
        <v>30</v>
      </c>
      <c r="L6794" t="s">
        <v>31</v>
      </c>
      <c r="M6794" t="s">
        <v>220</v>
      </c>
      <c r="N6794">
        <v>0</v>
      </c>
      <c r="O6794">
        <v>0</v>
      </c>
      <c r="P6794">
        <v>3.1071524999999999E-2</v>
      </c>
      <c r="Q6794" t="str">
        <f t="shared" si="212"/>
        <v>10-14</v>
      </c>
      <c r="R6794" t="str">
        <f t="shared" si="213"/>
        <v>[ScR9iFKAasW]|10-14|Female|NEW_INFECTIONS_SUBNAT.T|CY2025Q3</v>
      </c>
    </row>
    <row r="6795" spans="4:18" x14ac:dyDescent="0.2">
      <c r="D6795" t="s">
        <v>87</v>
      </c>
      <c r="E6795" t="s">
        <v>88</v>
      </c>
      <c r="F6795" t="s">
        <v>89</v>
      </c>
      <c r="G6795" t="s">
        <v>275</v>
      </c>
      <c r="H6795" t="s">
        <v>275</v>
      </c>
      <c r="I6795" t="s">
        <v>38</v>
      </c>
      <c r="J6795" t="s">
        <v>39</v>
      </c>
      <c r="K6795" t="s">
        <v>30</v>
      </c>
      <c r="L6795" t="s">
        <v>31</v>
      </c>
      <c r="M6795" t="s">
        <v>220</v>
      </c>
      <c r="N6795">
        <v>369</v>
      </c>
      <c r="O6795">
        <v>3.4311667999999997E-2</v>
      </c>
      <c r="P6795">
        <v>3.1071524999999999E-2</v>
      </c>
      <c r="Q6795" t="str">
        <f t="shared" si="212"/>
        <v>15-24</v>
      </c>
      <c r="R6795" t="str">
        <f t="shared" si="213"/>
        <v>[ScR9iFKAasW]|15-24|Female|NEW_INFECTIONS_SUBNAT.T|CY2025Q3</v>
      </c>
    </row>
    <row r="6796" spans="4:18" x14ac:dyDescent="0.2">
      <c r="D6796" t="s">
        <v>87</v>
      </c>
      <c r="E6796" t="s">
        <v>88</v>
      </c>
      <c r="F6796" t="s">
        <v>89</v>
      </c>
      <c r="G6796" t="s">
        <v>275</v>
      </c>
      <c r="H6796" t="s">
        <v>275</v>
      </c>
      <c r="I6796" t="s">
        <v>41</v>
      </c>
      <c r="J6796" t="s">
        <v>42</v>
      </c>
      <c r="K6796" t="s">
        <v>30</v>
      </c>
      <c r="L6796" t="s">
        <v>31</v>
      </c>
      <c r="M6796" t="s">
        <v>220</v>
      </c>
      <c r="N6796">
        <v>401</v>
      </c>
      <c r="O6796">
        <v>3.3006449E-2</v>
      </c>
      <c r="P6796">
        <v>3.1071524999999999E-2</v>
      </c>
      <c r="Q6796" t="str">
        <f t="shared" si="212"/>
        <v>25-34</v>
      </c>
      <c r="R6796" t="str">
        <f t="shared" si="213"/>
        <v>[ScR9iFKAasW]|25-34|Female|NEW_INFECTIONS_SUBNAT.T|CY2025Q3</v>
      </c>
    </row>
    <row r="6797" spans="4:18" x14ac:dyDescent="0.2">
      <c r="D6797" t="s">
        <v>87</v>
      </c>
      <c r="E6797" t="s">
        <v>88</v>
      </c>
      <c r="F6797" t="s">
        <v>89</v>
      </c>
      <c r="G6797" t="s">
        <v>275</v>
      </c>
      <c r="H6797" t="s">
        <v>275</v>
      </c>
      <c r="I6797" t="s">
        <v>43</v>
      </c>
      <c r="J6797" t="s">
        <v>44</v>
      </c>
      <c r="K6797" t="s">
        <v>30</v>
      </c>
      <c r="L6797" t="s">
        <v>31</v>
      </c>
      <c r="M6797" t="s">
        <v>220</v>
      </c>
      <c r="N6797">
        <v>171</v>
      </c>
      <c r="O6797">
        <v>3.4422863999999997E-2</v>
      </c>
      <c r="P6797">
        <v>3.1071524999999999E-2</v>
      </c>
      <c r="Q6797" t="str">
        <f t="shared" si="212"/>
        <v>35-49</v>
      </c>
      <c r="R6797" t="str">
        <f t="shared" si="213"/>
        <v>[ScR9iFKAasW]|35-49|Female|NEW_INFECTIONS_SUBNAT.T|CY2025Q3</v>
      </c>
    </row>
    <row r="6798" spans="4:18" x14ac:dyDescent="0.2">
      <c r="D6798" t="s">
        <v>87</v>
      </c>
      <c r="E6798" t="s">
        <v>88</v>
      </c>
      <c r="F6798" t="s">
        <v>89</v>
      </c>
      <c r="G6798" t="s">
        <v>275</v>
      </c>
      <c r="H6798" t="s">
        <v>275</v>
      </c>
      <c r="I6798" t="s">
        <v>45</v>
      </c>
      <c r="J6798" t="s">
        <v>46</v>
      </c>
      <c r="K6798" t="s">
        <v>30</v>
      </c>
      <c r="L6798" t="s">
        <v>31</v>
      </c>
      <c r="M6798" t="s">
        <v>220</v>
      </c>
      <c r="N6798">
        <v>20</v>
      </c>
      <c r="O6798">
        <v>4.4848303999999999E-2</v>
      </c>
      <c r="P6798">
        <v>3.1071524999999999E-2</v>
      </c>
      <c r="Q6798" t="str">
        <f t="shared" si="212"/>
        <v>50+</v>
      </c>
      <c r="R6798" t="str">
        <f t="shared" si="213"/>
        <v>[ScR9iFKAasW]|50+|Female|NEW_INFECTIONS_SUBNAT.T|CY2025Q3</v>
      </c>
    </row>
    <row r="6799" spans="4:18" x14ac:dyDescent="0.2">
      <c r="D6799" t="s">
        <v>87</v>
      </c>
      <c r="E6799" t="s">
        <v>88</v>
      </c>
      <c r="F6799" t="s">
        <v>89</v>
      </c>
      <c r="G6799" t="s">
        <v>275</v>
      </c>
      <c r="H6799" t="s">
        <v>275</v>
      </c>
      <c r="I6799" t="s">
        <v>28</v>
      </c>
      <c r="J6799" t="s">
        <v>29</v>
      </c>
      <c r="K6799" t="s">
        <v>48</v>
      </c>
      <c r="L6799" t="s">
        <v>49</v>
      </c>
      <c r="M6799" t="s">
        <v>220</v>
      </c>
      <c r="N6799">
        <v>73</v>
      </c>
      <c r="O6799">
        <v>2.2433247999999999E-2</v>
      </c>
      <c r="P6799">
        <v>3.1071524999999999E-2</v>
      </c>
      <c r="Q6799" t="str">
        <f t="shared" si="212"/>
        <v>&lt;01</v>
      </c>
      <c r="R6799" t="str">
        <f t="shared" si="213"/>
        <v>[ScR9iFKAasW]|&lt;01|Male|NEW_INFECTIONS_SUBNAT.T|CY2025Q3</v>
      </c>
    </row>
    <row r="6800" spans="4:18" x14ac:dyDescent="0.2">
      <c r="D6800" t="s">
        <v>87</v>
      </c>
      <c r="E6800" t="s">
        <v>88</v>
      </c>
      <c r="F6800" t="s">
        <v>89</v>
      </c>
      <c r="G6800" t="s">
        <v>275</v>
      </c>
      <c r="H6800" t="s">
        <v>275</v>
      </c>
      <c r="I6800" t="s">
        <v>33</v>
      </c>
      <c r="J6800" t="s">
        <v>34</v>
      </c>
      <c r="K6800" t="s">
        <v>48</v>
      </c>
      <c r="L6800" t="s">
        <v>49</v>
      </c>
      <c r="M6800" t="s">
        <v>220</v>
      </c>
      <c r="N6800">
        <v>18</v>
      </c>
      <c r="O6800">
        <v>1.1216624E-2</v>
      </c>
      <c r="P6800">
        <v>3.1071524999999999E-2</v>
      </c>
      <c r="Q6800" t="str">
        <f t="shared" si="212"/>
        <v>01-09</v>
      </c>
      <c r="R6800" t="str">
        <f t="shared" si="213"/>
        <v>[ScR9iFKAasW]|01-09|Male|NEW_INFECTIONS_SUBNAT.T|CY2025Q3</v>
      </c>
    </row>
    <row r="6801" spans="4:18" x14ac:dyDescent="0.2">
      <c r="D6801" t="s">
        <v>87</v>
      </c>
      <c r="E6801" t="s">
        <v>88</v>
      </c>
      <c r="F6801" t="s">
        <v>89</v>
      </c>
      <c r="G6801" t="s">
        <v>275</v>
      </c>
      <c r="H6801" t="s">
        <v>275</v>
      </c>
      <c r="I6801" t="s">
        <v>36</v>
      </c>
      <c r="J6801" t="s">
        <v>37</v>
      </c>
      <c r="K6801" t="s">
        <v>48</v>
      </c>
      <c r="L6801" t="s">
        <v>49</v>
      </c>
      <c r="M6801" t="s">
        <v>220</v>
      </c>
      <c r="N6801">
        <v>0</v>
      </c>
      <c r="O6801">
        <v>0</v>
      </c>
      <c r="P6801">
        <v>3.1071524999999999E-2</v>
      </c>
      <c r="Q6801" t="str">
        <f t="shared" si="212"/>
        <v>10-14</v>
      </c>
      <c r="R6801" t="str">
        <f t="shared" si="213"/>
        <v>[ScR9iFKAasW]|10-14|Male|NEW_INFECTIONS_SUBNAT.T|CY2025Q3</v>
      </c>
    </row>
    <row r="6802" spans="4:18" x14ac:dyDescent="0.2">
      <c r="D6802" t="s">
        <v>87</v>
      </c>
      <c r="E6802" t="s">
        <v>88</v>
      </c>
      <c r="F6802" t="s">
        <v>89</v>
      </c>
      <c r="G6802" t="s">
        <v>275</v>
      </c>
      <c r="H6802" t="s">
        <v>275</v>
      </c>
      <c r="I6802" t="s">
        <v>38</v>
      </c>
      <c r="J6802" t="s">
        <v>39</v>
      </c>
      <c r="K6802" t="s">
        <v>48</v>
      </c>
      <c r="L6802" t="s">
        <v>49</v>
      </c>
      <c r="M6802" t="s">
        <v>220</v>
      </c>
      <c r="N6802">
        <v>65</v>
      </c>
      <c r="O6802">
        <v>3.4313954000000001E-2</v>
      </c>
      <c r="P6802">
        <v>3.1071524999999999E-2</v>
      </c>
      <c r="Q6802" t="str">
        <f t="shared" si="212"/>
        <v>15-24</v>
      </c>
      <c r="R6802" t="str">
        <f t="shared" si="213"/>
        <v>[ScR9iFKAasW]|15-24|Male|NEW_INFECTIONS_SUBNAT.T|CY2025Q3</v>
      </c>
    </row>
    <row r="6803" spans="4:18" x14ac:dyDescent="0.2">
      <c r="D6803" t="s">
        <v>87</v>
      </c>
      <c r="E6803" t="s">
        <v>88</v>
      </c>
      <c r="F6803" t="s">
        <v>89</v>
      </c>
      <c r="G6803" t="s">
        <v>275</v>
      </c>
      <c r="H6803" t="s">
        <v>275</v>
      </c>
      <c r="I6803" t="s">
        <v>41</v>
      </c>
      <c r="J6803" t="s">
        <v>42</v>
      </c>
      <c r="K6803" t="s">
        <v>48</v>
      </c>
      <c r="L6803" t="s">
        <v>49</v>
      </c>
      <c r="M6803" t="s">
        <v>220</v>
      </c>
      <c r="N6803">
        <v>250</v>
      </c>
      <c r="O6803">
        <v>3.3190535E-2</v>
      </c>
      <c r="P6803">
        <v>3.1071524999999999E-2</v>
      </c>
      <c r="Q6803" t="str">
        <f t="shared" si="212"/>
        <v>25-34</v>
      </c>
      <c r="R6803" t="str">
        <f t="shared" si="213"/>
        <v>[ScR9iFKAasW]|25-34|Male|NEW_INFECTIONS_SUBNAT.T|CY2025Q3</v>
      </c>
    </row>
    <row r="6804" spans="4:18" x14ac:dyDescent="0.2">
      <c r="D6804" t="s">
        <v>87</v>
      </c>
      <c r="E6804" t="s">
        <v>88</v>
      </c>
      <c r="F6804" t="s">
        <v>89</v>
      </c>
      <c r="G6804" t="s">
        <v>275</v>
      </c>
      <c r="H6804" t="s">
        <v>275</v>
      </c>
      <c r="I6804" t="s">
        <v>43</v>
      </c>
      <c r="J6804" t="s">
        <v>44</v>
      </c>
      <c r="K6804" t="s">
        <v>48</v>
      </c>
      <c r="L6804" t="s">
        <v>49</v>
      </c>
      <c r="M6804" t="s">
        <v>220</v>
      </c>
      <c r="N6804">
        <v>239</v>
      </c>
      <c r="O6804">
        <v>3.2431357000000001E-2</v>
      </c>
      <c r="P6804">
        <v>3.1071524999999999E-2</v>
      </c>
      <c r="Q6804" t="str">
        <f t="shared" si="212"/>
        <v>35-49</v>
      </c>
      <c r="R6804" t="str">
        <f t="shared" si="213"/>
        <v>[ScR9iFKAasW]|35-49|Male|NEW_INFECTIONS_SUBNAT.T|CY2025Q3</v>
      </c>
    </row>
    <row r="6805" spans="4:18" x14ac:dyDescent="0.2">
      <c r="D6805" t="s">
        <v>87</v>
      </c>
      <c r="E6805" t="s">
        <v>88</v>
      </c>
      <c r="F6805" t="s">
        <v>89</v>
      </c>
      <c r="G6805" t="s">
        <v>275</v>
      </c>
      <c r="H6805" t="s">
        <v>275</v>
      </c>
      <c r="I6805" t="s">
        <v>45</v>
      </c>
      <c r="J6805" t="s">
        <v>46</v>
      </c>
      <c r="K6805" t="s">
        <v>48</v>
      </c>
      <c r="L6805" t="s">
        <v>49</v>
      </c>
      <c r="M6805" t="s">
        <v>220</v>
      </c>
      <c r="N6805">
        <v>46</v>
      </c>
      <c r="O6805">
        <v>4.0362956999999998E-2</v>
      </c>
      <c r="P6805">
        <v>3.1071524999999999E-2</v>
      </c>
      <c r="Q6805" t="str">
        <f t="shared" si="212"/>
        <v>50+</v>
      </c>
      <c r="R6805" t="str">
        <f t="shared" si="213"/>
        <v>[ScR9iFKAasW]|50+|Male|NEW_INFECTIONS_SUBNAT.T|CY2025Q3</v>
      </c>
    </row>
    <row r="6806" spans="4:18" x14ac:dyDescent="0.2">
      <c r="D6806" t="s">
        <v>90</v>
      </c>
      <c r="E6806" t="s">
        <v>91</v>
      </c>
      <c r="F6806" t="s">
        <v>92</v>
      </c>
      <c r="G6806" t="s">
        <v>275</v>
      </c>
      <c r="H6806" t="s">
        <v>275</v>
      </c>
      <c r="I6806" t="s">
        <v>28</v>
      </c>
      <c r="J6806" t="s">
        <v>29</v>
      </c>
      <c r="K6806" t="s">
        <v>30</v>
      </c>
      <c r="L6806" t="s">
        <v>31</v>
      </c>
      <c r="M6806" t="s">
        <v>220</v>
      </c>
      <c r="N6806">
        <v>13</v>
      </c>
      <c r="O6806">
        <v>5.9358243999999998E-2</v>
      </c>
      <c r="P6806">
        <v>6.8940089999999996E-2</v>
      </c>
      <c r="Q6806" t="str">
        <f t="shared" si="212"/>
        <v>&lt;01</v>
      </c>
      <c r="R6806" t="str">
        <f t="shared" si="213"/>
        <v>[kxuuIFpOXyO]|&lt;01|Female|NEW_INFECTIONS_SUBNAT.T|CY2025Q3</v>
      </c>
    </row>
    <row r="6807" spans="4:18" x14ac:dyDescent="0.2">
      <c r="D6807" t="s">
        <v>90</v>
      </c>
      <c r="E6807" t="s">
        <v>91</v>
      </c>
      <c r="F6807" t="s">
        <v>92</v>
      </c>
      <c r="G6807" t="s">
        <v>275</v>
      </c>
      <c r="H6807" t="s">
        <v>275</v>
      </c>
      <c r="I6807" t="s">
        <v>33</v>
      </c>
      <c r="J6807" t="s">
        <v>34</v>
      </c>
      <c r="K6807" t="s">
        <v>30</v>
      </c>
      <c r="L6807" t="s">
        <v>31</v>
      </c>
      <c r="M6807" t="s">
        <v>220</v>
      </c>
      <c r="N6807">
        <v>3</v>
      </c>
      <c r="O6807">
        <v>2.9679121999999999E-2</v>
      </c>
      <c r="P6807">
        <v>6.8940089999999996E-2</v>
      </c>
      <c r="Q6807" t="str">
        <f t="shared" si="212"/>
        <v>01-09</v>
      </c>
      <c r="R6807" t="str">
        <f t="shared" si="213"/>
        <v>[kxuuIFpOXyO]|01-09|Female|NEW_INFECTIONS_SUBNAT.T|CY2025Q3</v>
      </c>
    </row>
    <row r="6808" spans="4:18" x14ac:dyDescent="0.2">
      <c r="D6808" t="s">
        <v>90</v>
      </c>
      <c r="E6808" t="s">
        <v>91</v>
      </c>
      <c r="F6808" t="s">
        <v>92</v>
      </c>
      <c r="G6808" t="s">
        <v>275</v>
      </c>
      <c r="H6808" t="s">
        <v>275</v>
      </c>
      <c r="I6808" t="s">
        <v>36</v>
      </c>
      <c r="J6808" t="s">
        <v>37</v>
      </c>
      <c r="K6808" t="s">
        <v>30</v>
      </c>
      <c r="L6808" t="s">
        <v>31</v>
      </c>
      <c r="M6808" t="s">
        <v>220</v>
      </c>
      <c r="N6808">
        <v>0</v>
      </c>
      <c r="O6808">
        <v>0</v>
      </c>
      <c r="P6808">
        <v>6.8940089999999996E-2</v>
      </c>
      <c r="Q6808" t="str">
        <f t="shared" si="212"/>
        <v>10-14</v>
      </c>
      <c r="R6808" t="str">
        <f t="shared" si="213"/>
        <v>[kxuuIFpOXyO]|10-14|Female|NEW_INFECTIONS_SUBNAT.T|CY2025Q3</v>
      </c>
    </row>
    <row r="6809" spans="4:18" x14ac:dyDescent="0.2">
      <c r="D6809" t="s">
        <v>90</v>
      </c>
      <c r="E6809" t="s">
        <v>91</v>
      </c>
      <c r="F6809" t="s">
        <v>92</v>
      </c>
      <c r="G6809" t="s">
        <v>275</v>
      </c>
      <c r="H6809" t="s">
        <v>275</v>
      </c>
      <c r="I6809" t="s">
        <v>38</v>
      </c>
      <c r="J6809" t="s">
        <v>39</v>
      </c>
      <c r="K6809" t="s">
        <v>30</v>
      </c>
      <c r="L6809" t="s">
        <v>31</v>
      </c>
      <c r="M6809" t="s">
        <v>220</v>
      </c>
      <c r="N6809">
        <v>54</v>
      </c>
      <c r="O6809">
        <v>7.3674014999999995E-2</v>
      </c>
      <c r="P6809">
        <v>6.8940089999999996E-2</v>
      </c>
      <c r="Q6809" t="str">
        <f t="shared" si="212"/>
        <v>15-24</v>
      </c>
      <c r="R6809" t="str">
        <f t="shared" si="213"/>
        <v>[kxuuIFpOXyO]|15-24|Female|NEW_INFECTIONS_SUBNAT.T|CY2025Q3</v>
      </c>
    </row>
    <row r="6810" spans="4:18" x14ac:dyDescent="0.2">
      <c r="D6810" t="s">
        <v>90</v>
      </c>
      <c r="E6810" t="s">
        <v>91</v>
      </c>
      <c r="F6810" t="s">
        <v>92</v>
      </c>
      <c r="G6810" t="s">
        <v>275</v>
      </c>
      <c r="H6810" t="s">
        <v>275</v>
      </c>
      <c r="I6810" t="s">
        <v>41</v>
      </c>
      <c r="J6810" t="s">
        <v>42</v>
      </c>
      <c r="K6810" t="s">
        <v>30</v>
      </c>
      <c r="L6810" t="s">
        <v>31</v>
      </c>
      <c r="M6810" t="s">
        <v>220</v>
      </c>
      <c r="N6810">
        <v>55</v>
      </c>
      <c r="O6810">
        <v>7.2179682999999994E-2</v>
      </c>
      <c r="P6810">
        <v>6.8940089999999996E-2</v>
      </c>
      <c r="Q6810" t="str">
        <f t="shared" si="212"/>
        <v>25-34</v>
      </c>
      <c r="R6810" t="str">
        <f t="shared" si="213"/>
        <v>[kxuuIFpOXyO]|25-34|Female|NEW_INFECTIONS_SUBNAT.T|CY2025Q3</v>
      </c>
    </row>
    <row r="6811" spans="4:18" x14ac:dyDescent="0.2">
      <c r="D6811" t="s">
        <v>90</v>
      </c>
      <c r="E6811" t="s">
        <v>91</v>
      </c>
      <c r="F6811" t="s">
        <v>92</v>
      </c>
      <c r="G6811" t="s">
        <v>275</v>
      </c>
      <c r="H6811" t="s">
        <v>275</v>
      </c>
      <c r="I6811" t="s">
        <v>43</v>
      </c>
      <c r="J6811" t="s">
        <v>44</v>
      </c>
      <c r="K6811" t="s">
        <v>30</v>
      </c>
      <c r="L6811" t="s">
        <v>31</v>
      </c>
      <c r="M6811" t="s">
        <v>220</v>
      </c>
      <c r="N6811">
        <v>29</v>
      </c>
      <c r="O6811">
        <v>6.8525803999999996E-2</v>
      </c>
      <c r="P6811">
        <v>6.8940089999999996E-2</v>
      </c>
      <c r="Q6811" t="str">
        <f t="shared" si="212"/>
        <v>35-49</v>
      </c>
      <c r="R6811" t="str">
        <f t="shared" si="213"/>
        <v>[kxuuIFpOXyO]|35-49|Female|NEW_INFECTIONS_SUBNAT.T|CY2025Q3</v>
      </c>
    </row>
    <row r="6812" spans="4:18" x14ac:dyDescent="0.2">
      <c r="D6812" t="s">
        <v>90</v>
      </c>
      <c r="E6812" t="s">
        <v>91</v>
      </c>
      <c r="F6812" t="s">
        <v>92</v>
      </c>
      <c r="G6812" t="s">
        <v>275</v>
      </c>
      <c r="H6812" t="s">
        <v>275</v>
      </c>
      <c r="I6812" t="s">
        <v>45</v>
      </c>
      <c r="J6812" t="s">
        <v>46</v>
      </c>
      <c r="K6812" t="s">
        <v>30</v>
      </c>
      <c r="L6812" t="s">
        <v>31</v>
      </c>
      <c r="M6812" t="s">
        <v>220</v>
      </c>
      <c r="N6812">
        <v>5</v>
      </c>
      <c r="O6812">
        <v>6.8916788000000007E-2</v>
      </c>
      <c r="P6812">
        <v>6.8940089999999996E-2</v>
      </c>
      <c r="Q6812" t="str">
        <f t="shared" si="212"/>
        <v>50+</v>
      </c>
      <c r="R6812" t="str">
        <f t="shared" si="213"/>
        <v>[kxuuIFpOXyO]|50+|Female|NEW_INFECTIONS_SUBNAT.T|CY2025Q3</v>
      </c>
    </row>
    <row r="6813" spans="4:18" x14ac:dyDescent="0.2">
      <c r="D6813" t="s">
        <v>90</v>
      </c>
      <c r="E6813" t="s">
        <v>91</v>
      </c>
      <c r="F6813" t="s">
        <v>92</v>
      </c>
      <c r="G6813" t="s">
        <v>275</v>
      </c>
      <c r="H6813" t="s">
        <v>275</v>
      </c>
      <c r="I6813" t="s">
        <v>28</v>
      </c>
      <c r="J6813" t="s">
        <v>29</v>
      </c>
      <c r="K6813" t="s">
        <v>48</v>
      </c>
      <c r="L6813" t="s">
        <v>49</v>
      </c>
      <c r="M6813" t="s">
        <v>220</v>
      </c>
      <c r="N6813">
        <v>13</v>
      </c>
      <c r="O6813">
        <v>5.9356916000000003E-2</v>
      </c>
      <c r="P6813">
        <v>6.8940089999999996E-2</v>
      </c>
      <c r="Q6813" t="str">
        <f t="shared" si="212"/>
        <v>&lt;01</v>
      </c>
      <c r="R6813" t="str">
        <f t="shared" si="213"/>
        <v>[kxuuIFpOXyO]|&lt;01|Male|NEW_INFECTIONS_SUBNAT.T|CY2025Q3</v>
      </c>
    </row>
    <row r="6814" spans="4:18" x14ac:dyDescent="0.2">
      <c r="D6814" t="s">
        <v>90</v>
      </c>
      <c r="E6814" t="s">
        <v>91</v>
      </c>
      <c r="F6814" t="s">
        <v>92</v>
      </c>
      <c r="G6814" t="s">
        <v>275</v>
      </c>
      <c r="H6814" t="s">
        <v>275</v>
      </c>
      <c r="I6814" t="s">
        <v>33</v>
      </c>
      <c r="J6814" t="s">
        <v>34</v>
      </c>
      <c r="K6814" t="s">
        <v>48</v>
      </c>
      <c r="L6814" t="s">
        <v>49</v>
      </c>
      <c r="M6814" t="s">
        <v>220</v>
      </c>
      <c r="N6814">
        <v>3</v>
      </c>
      <c r="O6814">
        <v>2.9678458000000001E-2</v>
      </c>
      <c r="P6814">
        <v>6.8940089999999996E-2</v>
      </c>
      <c r="Q6814" t="str">
        <f t="shared" si="212"/>
        <v>01-09</v>
      </c>
      <c r="R6814" t="str">
        <f t="shared" si="213"/>
        <v>[kxuuIFpOXyO]|01-09|Male|NEW_INFECTIONS_SUBNAT.T|CY2025Q3</v>
      </c>
    </row>
    <row r="6815" spans="4:18" x14ac:dyDescent="0.2">
      <c r="D6815" t="s">
        <v>90</v>
      </c>
      <c r="E6815" t="s">
        <v>91</v>
      </c>
      <c r="F6815" t="s">
        <v>92</v>
      </c>
      <c r="G6815" t="s">
        <v>275</v>
      </c>
      <c r="H6815" t="s">
        <v>275</v>
      </c>
      <c r="I6815" t="s">
        <v>36</v>
      </c>
      <c r="J6815" t="s">
        <v>37</v>
      </c>
      <c r="K6815" t="s">
        <v>48</v>
      </c>
      <c r="L6815" t="s">
        <v>49</v>
      </c>
      <c r="M6815" t="s">
        <v>220</v>
      </c>
      <c r="N6815">
        <v>0</v>
      </c>
      <c r="O6815">
        <v>0</v>
      </c>
      <c r="P6815">
        <v>6.8940089999999996E-2</v>
      </c>
      <c r="Q6815" t="str">
        <f t="shared" si="212"/>
        <v>10-14</v>
      </c>
      <c r="R6815" t="str">
        <f t="shared" si="213"/>
        <v>[kxuuIFpOXyO]|10-14|Male|NEW_INFECTIONS_SUBNAT.T|CY2025Q3</v>
      </c>
    </row>
    <row r="6816" spans="4:18" x14ac:dyDescent="0.2">
      <c r="D6816" t="s">
        <v>90</v>
      </c>
      <c r="E6816" t="s">
        <v>91</v>
      </c>
      <c r="F6816" t="s">
        <v>92</v>
      </c>
      <c r="G6816" t="s">
        <v>275</v>
      </c>
      <c r="H6816" t="s">
        <v>275</v>
      </c>
      <c r="I6816" t="s">
        <v>38</v>
      </c>
      <c r="J6816" t="s">
        <v>39</v>
      </c>
      <c r="K6816" t="s">
        <v>48</v>
      </c>
      <c r="L6816" t="s">
        <v>49</v>
      </c>
      <c r="M6816" t="s">
        <v>220</v>
      </c>
      <c r="N6816">
        <v>9</v>
      </c>
      <c r="O6816">
        <v>7.4047004E-2</v>
      </c>
      <c r="P6816">
        <v>6.8940089999999996E-2</v>
      </c>
      <c r="Q6816" t="str">
        <f t="shared" si="212"/>
        <v>15-24</v>
      </c>
      <c r="R6816" t="str">
        <f t="shared" si="213"/>
        <v>[kxuuIFpOXyO]|15-24|Male|NEW_INFECTIONS_SUBNAT.T|CY2025Q3</v>
      </c>
    </row>
    <row r="6817" spans="4:18" x14ac:dyDescent="0.2">
      <c r="D6817" t="s">
        <v>90</v>
      </c>
      <c r="E6817" t="s">
        <v>91</v>
      </c>
      <c r="F6817" t="s">
        <v>92</v>
      </c>
      <c r="G6817" t="s">
        <v>275</v>
      </c>
      <c r="H6817" t="s">
        <v>275</v>
      </c>
      <c r="I6817" t="s">
        <v>41</v>
      </c>
      <c r="J6817" t="s">
        <v>42</v>
      </c>
      <c r="K6817" t="s">
        <v>48</v>
      </c>
      <c r="L6817" t="s">
        <v>49</v>
      </c>
      <c r="M6817" t="s">
        <v>220</v>
      </c>
      <c r="N6817">
        <v>33</v>
      </c>
      <c r="O6817">
        <v>7.3474271999999993E-2</v>
      </c>
      <c r="P6817">
        <v>6.8940089999999996E-2</v>
      </c>
      <c r="Q6817" t="str">
        <f t="shared" si="212"/>
        <v>25-34</v>
      </c>
      <c r="R6817" t="str">
        <f t="shared" si="213"/>
        <v>[kxuuIFpOXyO]|25-34|Male|NEW_INFECTIONS_SUBNAT.T|CY2025Q3</v>
      </c>
    </row>
    <row r="6818" spans="4:18" x14ac:dyDescent="0.2">
      <c r="D6818" t="s">
        <v>90</v>
      </c>
      <c r="E6818" t="s">
        <v>91</v>
      </c>
      <c r="F6818" t="s">
        <v>92</v>
      </c>
      <c r="G6818" t="s">
        <v>275</v>
      </c>
      <c r="H6818" t="s">
        <v>275</v>
      </c>
      <c r="I6818" t="s">
        <v>43</v>
      </c>
      <c r="J6818" t="s">
        <v>44</v>
      </c>
      <c r="K6818" t="s">
        <v>48</v>
      </c>
      <c r="L6818" t="s">
        <v>49</v>
      </c>
      <c r="M6818" t="s">
        <v>220</v>
      </c>
      <c r="N6818">
        <v>34</v>
      </c>
      <c r="O6818">
        <v>7.0895367000000001E-2</v>
      </c>
      <c r="P6818">
        <v>6.8940089999999996E-2</v>
      </c>
      <c r="Q6818" t="str">
        <f t="shared" si="212"/>
        <v>35-49</v>
      </c>
      <c r="R6818" t="str">
        <f t="shared" si="213"/>
        <v>[kxuuIFpOXyO]|35-49|Male|NEW_INFECTIONS_SUBNAT.T|CY2025Q3</v>
      </c>
    </row>
    <row r="6819" spans="4:18" x14ac:dyDescent="0.2">
      <c r="D6819" t="s">
        <v>90</v>
      </c>
      <c r="E6819" t="s">
        <v>91</v>
      </c>
      <c r="F6819" t="s">
        <v>92</v>
      </c>
      <c r="G6819" t="s">
        <v>275</v>
      </c>
      <c r="H6819" t="s">
        <v>275</v>
      </c>
      <c r="I6819" t="s">
        <v>45</v>
      </c>
      <c r="J6819" t="s">
        <v>46</v>
      </c>
      <c r="K6819" t="s">
        <v>48</v>
      </c>
      <c r="L6819" t="s">
        <v>49</v>
      </c>
      <c r="M6819" t="s">
        <v>220</v>
      </c>
      <c r="N6819">
        <v>10</v>
      </c>
      <c r="O6819">
        <v>6.9688366000000002E-2</v>
      </c>
      <c r="P6819">
        <v>6.8940089999999996E-2</v>
      </c>
      <c r="Q6819" t="str">
        <f t="shared" si="212"/>
        <v>50+</v>
      </c>
      <c r="R6819" t="str">
        <f t="shared" si="213"/>
        <v>[kxuuIFpOXyO]|50+|Male|NEW_INFECTIONS_SUBNAT.T|CY2025Q3</v>
      </c>
    </row>
    <row r="6820" spans="4:18" x14ac:dyDescent="0.2">
      <c r="D6820" t="s">
        <v>93</v>
      </c>
      <c r="E6820" t="s">
        <v>94</v>
      </c>
      <c r="F6820" t="s">
        <v>95</v>
      </c>
      <c r="G6820" t="s">
        <v>275</v>
      </c>
      <c r="H6820" t="s">
        <v>275</v>
      </c>
      <c r="I6820" t="s">
        <v>28</v>
      </c>
      <c r="J6820" t="s">
        <v>29</v>
      </c>
      <c r="K6820" t="s">
        <v>30</v>
      </c>
      <c r="L6820" t="s">
        <v>31</v>
      </c>
      <c r="M6820" t="s">
        <v>220</v>
      </c>
      <c r="N6820">
        <v>13</v>
      </c>
      <c r="O6820">
        <v>8.8687501000000002E-2</v>
      </c>
      <c r="P6820">
        <v>9.3015804999999993E-2</v>
      </c>
      <c r="Q6820" t="str">
        <f t="shared" si="212"/>
        <v>&lt;01</v>
      </c>
      <c r="R6820" t="str">
        <f t="shared" si="213"/>
        <v>[PekKUkKHAzY]|&lt;01|Female|NEW_INFECTIONS_SUBNAT.T|CY2025Q3</v>
      </c>
    </row>
    <row r="6821" spans="4:18" x14ac:dyDescent="0.2">
      <c r="D6821" t="s">
        <v>93</v>
      </c>
      <c r="E6821" t="s">
        <v>94</v>
      </c>
      <c r="F6821" t="s">
        <v>95</v>
      </c>
      <c r="G6821" t="s">
        <v>275</v>
      </c>
      <c r="H6821" t="s">
        <v>275</v>
      </c>
      <c r="I6821" t="s">
        <v>33</v>
      </c>
      <c r="J6821" t="s">
        <v>34</v>
      </c>
      <c r="K6821" t="s">
        <v>30</v>
      </c>
      <c r="L6821" t="s">
        <v>31</v>
      </c>
      <c r="M6821" t="s">
        <v>220</v>
      </c>
      <c r="N6821">
        <v>3</v>
      </c>
      <c r="O6821">
        <v>4.4343751000000001E-2</v>
      </c>
      <c r="P6821">
        <v>9.3015804999999993E-2</v>
      </c>
      <c r="Q6821" t="str">
        <f t="shared" si="212"/>
        <v>01-09</v>
      </c>
      <c r="R6821" t="str">
        <f t="shared" si="213"/>
        <v>[PekKUkKHAzY]|01-09|Female|NEW_INFECTIONS_SUBNAT.T|CY2025Q3</v>
      </c>
    </row>
    <row r="6822" spans="4:18" x14ac:dyDescent="0.2">
      <c r="D6822" t="s">
        <v>93</v>
      </c>
      <c r="E6822" t="s">
        <v>94</v>
      </c>
      <c r="F6822" t="s">
        <v>95</v>
      </c>
      <c r="G6822" t="s">
        <v>275</v>
      </c>
      <c r="H6822" t="s">
        <v>275</v>
      </c>
      <c r="I6822" t="s">
        <v>36</v>
      </c>
      <c r="J6822" t="s">
        <v>37</v>
      </c>
      <c r="K6822" t="s">
        <v>30</v>
      </c>
      <c r="L6822" t="s">
        <v>31</v>
      </c>
      <c r="M6822" t="s">
        <v>220</v>
      </c>
      <c r="N6822">
        <v>0</v>
      </c>
      <c r="O6822">
        <v>0</v>
      </c>
      <c r="P6822">
        <v>9.3015804999999993E-2</v>
      </c>
      <c r="Q6822" t="str">
        <f t="shared" si="212"/>
        <v>10-14</v>
      </c>
      <c r="R6822" t="str">
        <f t="shared" si="213"/>
        <v>[PekKUkKHAzY]|10-14|Female|NEW_INFECTIONS_SUBNAT.T|CY2025Q3</v>
      </c>
    </row>
    <row r="6823" spans="4:18" x14ac:dyDescent="0.2">
      <c r="D6823" t="s">
        <v>93</v>
      </c>
      <c r="E6823" t="s">
        <v>94</v>
      </c>
      <c r="F6823" t="s">
        <v>95</v>
      </c>
      <c r="G6823" t="s">
        <v>275</v>
      </c>
      <c r="H6823" t="s">
        <v>275</v>
      </c>
      <c r="I6823" t="s">
        <v>38</v>
      </c>
      <c r="J6823" t="s">
        <v>39</v>
      </c>
      <c r="K6823" t="s">
        <v>30</v>
      </c>
      <c r="L6823" t="s">
        <v>31</v>
      </c>
      <c r="M6823" t="s">
        <v>220</v>
      </c>
      <c r="N6823">
        <v>57</v>
      </c>
      <c r="O6823">
        <v>9.6866967999999998E-2</v>
      </c>
      <c r="P6823">
        <v>9.3015804999999993E-2</v>
      </c>
      <c r="Q6823" t="str">
        <f t="shared" si="212"/>
        <v>15-24</v>
      </c>
      <c r="R6823" t="str">
        <f t="shared" si="213"/>
        <v>[PekKUkKHAzY]|15-24|Female|NEW_INFECTIONS_SUBNAT.T|CY2025Q3</v>
      </c>
    </row>
    <row r="6824" spans="4:18" x14ac:dyDescent="0.2">
      <c r="D6824" t="s">
        <v>93</v>
      </c>
      <c r="E6824" t="s">
        <v>94</v>
      </c>
      <c r="F6824" t="s">
        <v>95</v>
      </c>
      <c r="G6824" t="s">
        <v>275</v>
      </c>
      <c r="H6824" t="s">
        <v>275</v>
      </c>
      <c r="I6824" t="s">
        <v>41</v>
      </c>
      <c r="J6824" t="s">
        <v>42</v>
      </c>
      <c r="K6824" t="s">
        <v>30</v>
      </c>
      <c r="L6824" t="s">
        <v>31</v>
      </c>
      <c r="M6824" t="s">
        <v>220</v>
      </c>
      <c r="N6824">
        <v>59</v>
      </c>
      <c r="O6824">
        <v>9.5146557000000007E-2</v>
      </c>
      <c r="P6824">
        <v>9.3015804999999993E-2</v>
      </c>
      <c r="Q6824" t="str">
        <f t="shared" si="212"/>
        <v>25-34</v>
      </c>
      <c r="R6824" t="str">
        <f t="shared" si="213"/>
        <v>[PekKUkKHAzY]|25-34|Female|NEW_INFECTIONS_SUBNAT.T|CY2025Q3</v>
      </c>
    </row>
    <row r="6825" spans="4:18" x14ac:dyDescent="0.2">
      <c r="D6825" t="s">
        <v>93</v>
      </c>
      <c r="E6825" t="s">
        <v>94</v>
      </c>
      <c r="F6825" t="s">
        <v>95</v>
      </c>
      <c r="G6825" t="s">
        <v>275</v>
      </c>
      <c r="H6825" t="s">
        <v>275</v>
      </c>
      <c r="I6825" t="s">
        <v>43</v>
      </c>
      <c r="J6825" t="s">
        <v>44</v>
      </c>
      <c r="K6825" t="s">
        <v>30</v>
      </c>
      <c r="L6825" t="s">
        <v>31</v>
      </c>
      <c r="M6825" t="s">
        <v>220</v>
      </c>
      <c r="N6825">
        <v>32</v>
      </c>
      <c r="O6825">
        <v>9.0637397999999994E-2</v>
      </c>
      <c r="P6825">
        <v>9.3015804999999993E-2</v>
      </c>
      <c r="Q6825" t="str">
        <f t="shared" si="212"/>
        <v>35-49</v>
      </c>
      <c r="R6825" t="str">
        <f t="shared" si="213"/>
        <v>[PekKUkKHAzY]|35-49|Female|NEW_INFECTIONS_SUBNAT.T|CY2025Q3</v>
      </c>
    </row>
    <row r="6826" spans="4:18" x14ac:dyDescent="0.2">
      <c r="D6826" t="s">
        <v>93</v>
      </c>
      <c r="E6826" t="s">
        <v>94</v>
      </c>
      <c r="F6826" t="s">
        <v>95</v>
      </c>
      <c r="G6826" t="s">
        <v>275</v>
      </c>
      <c r="H6826" t="s">
        <v>275</v>
      </c>
      <c r="I6826" t="s">
        <v>45</v>
      </c>
      <c r="J6826" t="s">
        <v>46</v>
      </c>
      <c r="K6826" t="s">
        <v>30</v>
      </c>
      <c r="L6826" t="s">
        <v>31</v>
      </c>
      <c r="M6826" t="s">
        <v>220</v>
      </c>
      <c r="N6826">
        <v>6</v>
      </c>
      <c r="O6826">
        <v>9.0816330000000001E-2</v>
      </c>
      <c r="P6826">
        <v>9.3015804999999993E-2</v>
      </c>
      <c r="Q6826" t="str">
        <f t="shared" si="212"/>
        <v>50+</v>
      </c>
      <c r="R6826" t="str">
        <f t="shared" si="213"/>
        <v>[PekKUkKHAzY]|50+|Female|NEW_INFECTIONS_SUBNAT.T|CY2025Q3</v>
      </c>
    </row>
    <row r="6827" spans="4:18" x14ac:dyDescent="0.2">
      <c r="D6827" t="s">
        <v>93</v>
      </c>
      <c r="E6827" t="s">
        <v>94</v>
      </c>
      <c r="F6827" t="s">
        <v>95</v>
      </c>
      <c r="G6827" t="s">
        <v>275</v>
      </c>
      <c r="H6827" t="s">
        <v>275</v>
      </c>
      <c r="I6827" t="s">
        <v>28</v>
      </c>
      <c r="J6827" t="s">
        <v>29</v>
      </c>
      <c r="K6827" t="s">
        <v>48</v>
      </c>
      <c r="L6827" t="s">
        <v>49</v>
      </c>
      <c r="M6827" t="s">
        <v>220</v>
      </c>
      <c r="N6827">
        <v>13</v>
      </c>
      <c r="O6827">
        <v>8.8687075000000004E-2</v>
      </c>
      <c r="P6827">
        <v>9.3015804999999993E-2</v>
      </c>
      <c r="Q6827" t="str">
        <f t="shared" si="212"/>
        <v>&lt;01</v>
      </c>
      <c r="R6827" t="str">
        <f t="shared" si="213"/>
        <v>[PekKUkKHAzY]|&lt;01|Male|NEW_INFECTIONS_SUBNAT.T|CY2025Q3</v>
      </c>
    </row>
    <row r="6828" spans="4:18" x14ac:dyDescent="0.2">
      <c r="D6828" t="s">
        <v>93</v>
      </c>
      <c r="E6828" t="s">
        <v>94</v>
      </c>
      <c r="F6828" t="s">
        <v>95</v>
      </c>
      <c r="G6828" t="s">
        <v>275</v>
      </c>
      <c r="H6828" t="s">
        <v>275</v>
      </c>
      <c r="I6828" t="s">
        <v>33</v>
      </c>
      <c r="J6828" t="s">
        <v>34</v>
      </c>
      <c r="K6828" t="s">
        <v>48</v>
      </c>
      <c r="L6828" t="s">
        <v>49</v>
      </c>
      <c r="M6828" t="s">
        <v>220</v>
      </c>
      <c r="N6828">
        <v>3</v>
      </c>
      <c r="O6828">
        <v>4.4343537000000002E-2</v>
      </c>
      <c r="P6828">
        <v>9.3015804999999993E-2</v>
      </c>
      <c r="Q6828" t="str">
        <f t="shared" si="212"/>
        <v>01-09</v>
      </c>
      <c r="R6828" t="str">
        <f t="shared" si="213"/>
        <v>[PekKUkKHAzY]|01-09|Male|NEW_INFECTIONS_SUBNAT.T|CY2025Q3</v>
      </c>
    </row>
    <row r="6829" spans="4:18" x14ac:dyDescent="0.2">
      <c r="D6829" t="s">
        <v>93</v>
      </c>
      <c r="E6829" t="s">
        <v>94</v>
      </c>
      <c r="F6829" t="s">
        <v>95</v>
      </c>
      <c r="G6829" t="s">
        <v>275</v>
      </c>
      <c r="H6829" t="s">
        <v>275</v>
      </c>
      <c r="I6829" t="s">
        <v>36</v>
      </c>
      <c r="J6829" t="s">
        <v>37</v>
      </c>
      <c r="K6829" t="s">
        <v>48</v>
      </c>
      <c r="L6829" t="s">
        <v>49</v>
      </c>
      <c r="M6829" t="s">
        <v>220</v>
      </c>
      <c r="N6829">
        <v>0</v>
      </c>
      <c r="O6829">
        <v>0</v>
      </c>
      <c r="P6829">
        <v>9.3015804999999993E-2</v>
      </c>
      <c r="Q6829" t="str">
        <f t="shared" si="212"/>
        <v>10-14</v>
      </c>
      <c r="R6829" t="str">
        <f t="shared" si="213"/>
        <v>[PekKUkKHAzY]|10-14|Male|NEW_INFECTIONS_SUBNAT.T|CY2025Q3</v>
      </c>
    </row>
    <row r="6830" spans="4:18" x14ac:dyDescent="0.2">
      <c r="D6830" t="s">
        <v>93</v>
      </c>
      <c r="E6830" t="s">
        <v>94</v>
      </c>
      <c r="F6830" t="s">
        <v>95</v>
      </c>
      <c r="G6830" t="s">
        <v>275</v>
      </c>
      <c r="H6830" t="s">
        <v>275</v>
      </c>
      <c r="I6830" t="s">
        <v>38</v>
      </c>
      <c r="J6830" t="s">
        <v>39</v>
      </c>
      <c r="K6830" t="s">
        <v>48</v>
      </c>
      <c r="L6830" t="s">
        <v>49</v>
      </c>
      <c r="M6830" t="s">
        <v>220</v>
      </c>
      <c r="N6830">
        <v>9</v>
      </c>
      <c r="O6830">
        <v>9.7268391999999995E-2</v>
      </c>
      <c r="P6830">
        <v>9.3015804999999993E-2</v>
      </c>
      <c r="Q6830" t="str">
        <f t="shared" si="212"/>
        <v>15-24</v>
      </c>
      <c r="R6830" t="str">
        <f t="shared" si="213"/>
        <v>[PekKUkKHAzY]|15-24|Male|NEW_INFECTIONS_SUBNAT.T|CY2025Q3</v>
      </c>
    </row>
    <row r="6831" spans="4:18" x14ac:dyDescent="0.2">
      <c r="D6831" t="s">
        <v>93</v>
      </c>
      <c r="E6831" t="s">
        <v>94</v>
      </c>
      <c r="F6831" t="s">
        <v>95</v>
      </c>
      <c r="G6831" t="s">
        <v>275</v>
      </c>
      <c r="H6831" t="s">
        <v>275</v>
      </c>
      <c r="I6831" t="s">
        <v>41</v>
      </c>
      <c r="J6831" t="s">
        <v>42</v>
      </c>
      <c r="K6831" t="s">
        <v>48</v>
      </c>
      <c r="L6831" t="s">
        <v>49</v>
      </c>
      <c r="M6831" t="s">
        <v>220</v>
      </c>
      <c r="N6831">
        <v>32</v>
      </c>
      <c r="O6831">
        <v>9.6678494000000004E-2</v>
      </c>
      <c r="P6831">
        <v>9.3015804999999993E-2</v>
      </c>
      <c r="Q6831" t="str">
        <f t="shared" si="212"/>
        <v>25-34</v>
      </c>
      <c r="R6831" t="str">
        <f t="shared" si="213"/>
        <v>[PekKUkKHAzY]|25-34|Male|NEW_INFECTIONS_SUBNAT.T|CY2025Q3</v>
      </c>
    </row>
    <row r="6832" spans="4:18" x14ac:dyDescent="0.2">
      <c r="D6832" t="s">
        <v>93</v>
      </c>
      <c r="E6832" t="s">
        <v>94</v>
      </c>
      <c r="F6832" t="s">
        <v>95</v>
      </c>
      <c r="G6832" t="s">
        <v>275</v>
      </c>
      <c r="H6832" t="s">
        <v>275</v>
      </c>
      <c r="I6832" t="s">
        <v>43</v>
      </c>
      <c r="J6832" t="s">
        <v>44</v>
      </c>
      <c r="K6832" t="s">
        <v>48</v>
      </c>
      <c r="L6832" t="s">
        <v>49</v>
      </c>
      <c r="M6832" t="s">
        <v>220</v>
      </c>
      <c r="N6832">
        <v>35</v>
      </c>
      <c r="O6832">
        <v>9.3908532000000003E-2</v>
      </c>
      <c r="P6832">
        <v>9.3015804999999993E-2</v>
      </c>
      <c r="Q6832" t="str">
        <f t="shared" si="212"/>
        <v>35-49</v>
      </c>
      <c r="R6832" t="str">
        <f t="shared" si="213"/>
        <v>[PekKUkKHAzY]|35-49|Male|NEW_INFECTIONS_SUBNAT.T|CY2025Q3</v>
      </c>
    </row>
    <row r="6833" spans="4:18" x14ac:dyDescent="0.2">
      <c r="D6833" t="s">
        <v>93</v>
      </c>
      <c r="E6833" t="s">
        <v>94</v>
      </c>
      <c r="F6833" t="s">
        <v>95</v>
      </c>
      <c r="G6833" t="s">
        <v>275</v>
      </c>
      <c r="H6833" t="s">
        <v>275</v>
      </c>
      <c r="I6833" t="s">
        <v>45</v>
      </c>
      <c r="J6833" t="s">
        <v>46</v>
      </c>
      <c r="K6833" t="s">
        <v>48</v>
      </c>
      <c r="L6833" t="s">
        <v>49</v>
      </c>
      <c r="M6833" t="s">
        <v>220</v>
      </c>
      <c r="N6833">
        <v>10</v>
      </c>
      <c r="O6833">
        <v>9.1292496000000001E-2</v>
      </c>
      <c r="P6833">
        <v>9.3015804999999993E-2</v>
      </c>
      <c r="Q6833" t="str">
        <f t="shared" si="212"/>
        <v>50+</v>
      </c>
      <c r="R6833" t="str">
        <f t="shared" si="213"/>
        <v>[PekKUkKHAzY]|50+|Male|NEW_INFECTIONS_SUBNAT.T|CY2025Q3</v>
      </c>
    </row>
    <row r="6834" spans="4:18" x14ac:dyDescent="0.2">
      <c r="D6834" t="s">
        <v>96</v>
      </c>
      <c r="E6834" t="s">
        <v>97</v>
      </c>
      <c r="F6834" t="s">
        <v>98</v>
      </c>
      <c r="G6834" t="s">
        <v>275</v>
      </c>
      <c r="H6834" t="s">
        <v>275</v>
      </c>
      <c r="I6834" t="s">
        <v>28</v>
      </c>
      <c r="J6834" t="s">
        <v>29</v>
      </c>
      <c r="K6834" t="s">
        <v>30</v>
      </c>
      <c r="L6834" t="s">
        <v>31</v>
      </c>
      <c r="M6834" t="s">
        <v>220</v>
      </c>
      <c r="N6834">
        <v>18</v>
      </c>
      <c r="O6834">
        <v>7.7999213999999997E-2</v>
      </c>
      <c r="P6834">
        <v>8.3044598999999997E-2</v>
      </c>
      <c r="Q6834" t="str">
        <f t="shared" si="212"/>
        <v>&lt;01</v>
      </c>
      <c r="R6834" t="str">
        <f t="shared" si="213"/>
        <v>[am530wpaGvr]|&lt;01|Female|NEW_INFECTIONS_SUBNAT.T|CY2025Q3</v>
      </c>
    </row>
    <row r="6835" spans="4:18" x14ac:dyDescent="0.2">
      <c r="D6835" t="s">
        <v>96</v>
      </c>
      <c r="E6835" t="s">
        <v>97</v>
      </c>
      <c r="F6835" t="s">
        <v>98</v>
      </c>
      <c r="G6835" t="s">
        <v>275</v>
      </c>
      <c r="H6835" t="s">
        <v>275</v>
      </c>
      <c r="I6835" t="s">
        <v>33</v>
      </c>
      <c r="J6835" t="s">
        <v>34</v>
      </c>
      <c r="K6835" t="s">
        <v>30</v>
      </c>
      <c r="L6835" t="s">
        <v>31</v>
      </c>
      <c r="M6835" t="s">
        <v>220</v>
      </c>
      <c r="N6835">
        <v>5</v>
      </c>
      <c r="O6835">
        <v>3.8999606999999999E-2</v>
      </c>
      <c r="P6835">
        <v>8.3044598999999997E-2</v>
      </c>
      <c r="Q6835" t="str">
        <f t="shared" si="212"/>
        <v>01-09</v>
      </c>
      <c r="R6835" t="str">
        <f t="shared" si="213"/>
        <v>[am530wpaGvr]|01-09|Female|NEW_INFECTIONS_SUBNAT.T|CY2025Q3</v>
      </c>
    </row>
    <row r="6836" spans="4:18" x14ac:dyDescent="0.2">
      <c r="D6836" t="s">
        <v>96</v>
      </c>
      <c r="E6836" t="s">
        <v>97</v>
      </c>
      <c r="F6836" t="s">
        <v>98</v>
      </c>
      <c r="G6836" t="s">
        <v>275</v>
      </c>
      <c r="H6836" t="s">
        <v>275</v>
      </c>
      <c r="I6836" t="s">
        <v>36</v>
      </c>
      <c r="J6836" t="s">
        <v>37</v>
      </c>
      <c r="K6836" t="s">
        <v>30</v>
      </c>
      <c r="L6836" t="s">
        <v>31</v>
      </c>
      <c r="M6836" t="s">
        <v>220</v>
      </c>
      <c r="N6836">
        <v>0</v>
      </c>
      <c r="O6836">
        <v>0</v>
      </c>
      <c r="P6836">
        <v>8.3044598999999997E-2</v>
      </c>
      <c r="Q6836" t="str">
        <f t="shared" si="212"/>
        <v>10-14</v>
      </c>
      <c r="R6836" t="str">
        <f t="shared" si="213"/>
        <v>[am530wpaGvr]|10-14|Female|NEW_INFECTIONS_SUBNAT.T|CY2025Q3</v>
      </c>
    </row>
    <row r="6837" spans="4:18" x14ac:dyDescent="0.2">
      <c r="D6837" t="s">
        <v>96</v>
      </c>
      <c r="E6837" t="s">
        <v>97</v>
      </c>
      <c r="F6837" t="s">
        <v>98</v>
      </c>
      <c r="G6837" t="s">
        <v>275</v>
      </c>
      <c r="H6837" t="s">
        <v>275</v>
      </c>
      <c r="I6837" t="s">
        <v>38</v>
      </c>
      <c r="J6837" t="s">
        <v>39</v>
      </c>
      <c r="K6837" t="s">
        <v>30</v>
      </c>
      <c r="L6837" t="s">
        <v>31</v>
      </c>
      <c r="M6837" t="s">
        <v>220</v>
      </c>
      <c r="N6837">
        <v>80</v>
      </c>
      <c r="O6837">
        <v>8.8232585000000002E-2</v>
      </c>
      <c r="P6837">
        <v>8.3044598999999997E-2</v>
      </c>
      <c r="Q6837" t="str">
        <f t="shared" si="212"/>
        <v>15-24</v>
      </c>
      <c r="R6837" t="str">
        <f t="shared" si="213"/>
        <v>[am530wpaGvr]|15-24|Female|NEW_INFECTIONS_SUBNAT.T|CY2025Q3</v>
      </c>
    </row>
    <row r="6838" spans="4:18" x14ac:dyDescent="0.2">
      <c r="D6838" t="s">
        <v>96</v>
      </c>
      <c r="E6838" t="s">
        <v>97</v>
      </c>
      <c r="F6838" t="s">
        <v>98</v>
      </c>
      <c r="G6838" t="s">
        <v>275</v>
      </c>
      <c r="H6838" t="s">
        <v>275</v>
      </c>
      <c r="I6838" t="s">
        <v>41</v>
      </c>
      <c r="J6838" t="s">
        <v>42</v>
      </c>
      <c r="K6838" t="s">
        <v>30</v>
      </c>
      <c r="L6838" t="s">
        <v>31</v>
      </c>
      <c r="M6838" t="s">
        <v>220</v>
      </c>
      <c r="N6838">
        <v>78</v>
      </c>
      <c r="O6838">
        <v>8.5409418000000001E-2</v>
      </c>
      <c r="P6838">
        <v>8.3044598999999997E-2</v>
      </c>
      <c r="Q6838" t="str">
        <f t="shared" si="212"/>
        <v>25-34</v>
      </c>
      <c r="R6838" t="str">
        <f t="shared" si="213"/>
        <v>[am530wpaGvr]|25-34|Female|NEW_INFECTIONS_SUBNAT.T|CY2025Q3</v>
      </c>
    </row>
    <row r="6839" spans="4:18" x14ac:dyDescent="0.2">
      <c r="D6839" t="s">
        <v>96</v>
      </c>
      <c r="E6839" t="s">
        <v>97</v>
      </c>
      <c r="F6839" t="s">
        <v>98</v>
      </c>
      <c r="G6839" t="s">
        <v>275</v>
      </c>
      <c r="H6839" t="s">
        <v>275</v>
      </c>
      <c r="I6839" t="s">
        <v>43</v>
      </c>
      <c r="J6839" t="s">
        <v>44</v>
      </c>
      <c r="K6839" t="s">
        <v>30</v>
      </c>
      <c r="L6839" t="s">
        <v>31</v>
      </c>
      <c r="M6839" t="s">
        <v>220</v>
      </c>
      <c r="N6839">
        <v>43</v>
      </c>
      <c r="O6839">
        <v>7.8795237000000004E-2</v>
      </c>
      <c r="P6839">
        <v>8.3044598999999997E-2</v>
      </c>
      <c r="Q6839" t="str">
        <f t="shared" si="212"/>
        <v>35-49</v>
      </c>
      <c r="R6839" t="str">
        <f t="shared" si="213"/>
        <v>[am530wpaGvr]|35-49|Female|NEW_INFECTIONS_SUBNAT.T|CY2025Q3</v>
      </c>
    </row>
    <row r="6840" spans="4:18" x14ac:dyDescent="0.2">
      <c r="D6840" t="s">
        <v>96</v>
      </c>
      <c r="E6840" t="s">
        <v>97</v>
      </c>
      <c r="F6840" t="s">
        <v>98</v>
      </c>
      <c r="G6840" t="s">
        <v>275</v>
      </c>
      <c r="H6840" t="s">
        <v>275</v>
      </c>
      <c r="I6840" t="s">
        <v>45</v>
      </c>
      <c r="J6840" t="s">
        <v>46</v>
      </c>
      <c r="K6840" t="s">
        <v>30</v>
      </c>
      <c r="L6840" t="s">
        <v>31</v>
      </c>
      <c r="M6840" t="s">
        <v>220</v>
      </c>
      <c r="N6840">
        <v>8</v>
      </c>
      <c r="O6840">
        <v>8.0088766000000006E-2</v>
      </c>
      <c r="P6840">
        <v>8.3044598999999997E-2</v>
      </c>
      <c r="Q6840" t="str">
        <f t="shared" si="212"/>
        <v>50+</v>
      </c>
      <c r="R6840" t="str">
        <f t="shared" si="213"/>
        <v>[am530wpaGvr]|50+|Female|NEW_INFECTIONS_SUBNAT.T|CY2025Q3</v>
      </c>
    </row>
    <row r="6841" spans="4:18" x14ac:dyDescent="0.2">
      <c r="D6841" t="s">
        <v>96</v>
      </c>
      <c r="E6841" t="s">
        <v>97</v>
      </c>
      <c r="F6841" t="s">
        <v>98</v>
      </c>
      <c r="G6841" t="s">
        <v>275</v>
      </c>
      <c r="H6841" t="s">
        <v>275</v>
      </c>
      <c r="I6841" t="s">
        <v>28</v>
      </c>
      <c r="J6841" t="s">
        <v>29</v>
      </c>
      <c r="K6841" t="s">
        <v>48</v>
      </c>
      <c r="L6841" t="s">
        <v>49</v>
      </c>
      <c r="M6841" t="s">
        <v>220</v>
      </c>
      <c r="N6841">
        <v>19</v>
      </c>
      <c r="O6841">
        <v>7.8002235000000003E-2</v>
      </c>
      <c r="P6841">
        <v>8.3044598999999997E-2</v>
      </c>
      <c r="Q6841" t="str">
        <f t="shared" si="212"/>
        <v>&lt;01</v>
      </c>
      <c r="R6841" t="str">
        <f t="shared" si="213"/>
        <v>[am530wpaGvr]|&lt;01|Male|NEW_INFECTIONS_SUBNAT.T|CY2025Q3</v>
      </c>
    </row>
    <row r="6842" spans="4:18" x14ac:dyDescent="0.2">
      <c r="D6842" t="s">
        <v>96</v>
      </c>
      <c r="E6842" t="s">
        <v>97</v>
      </c>
      <c r="F6842" t="s">
        <v>98</v>
      </c>
      <c r="G6842" t="s">
        <v>275</v>
      </c>
      <c r="H6842" t="s">
        <v>275</v>
      </c>
      <c r="I6842" t="s">
        <v>33</v>
      </c>
      <c r="J6842" t="s">
        <v>34</v>
      </c>
      <c r="K6842" t="s">
        <v>48</v>
      </c>
      <c r="L6842" t="s">
        <v>49</v>
      </c>
      <c r="M6842" t="s">
        <v>220</v>
      </c>
      <c r="N6842">
        <v>5</v>
      </c>
      <c r="O6842">
        <v>3.9001117000000002E-2</v>
      </c>
      <c r="P6842">
        <v>8.3044598999999997E-2</v>
      </c>
      <c r="Q6842" t="str">
        <f t="shared" si="212"/>
        <v>01-09</v>
      </c>
      <c r="R6842" t="str">
        <f t="shared" si="213"/>
        <v>[am530wpaGvr]|01-09|Male|NEW_INFECTIONS_SUBNAT.T|CY2025Q3</v>
      </c>
    </row>
    <row r="6843" spans="4:18" x14ac:dyDescent="0.2">
      <c r="D6843" t="s">
        <v>96</v>
      </c>
      <c r="E6843" t="s">
        <v>97</v>
      </c>
      <c r="F6843" t="s">
        <v>98</v>
      </c>
      <c r="G6843" t="s">
        <v>275</v>
      </c>
      <c r="H6843" t="s">
        <v>275</v>
      </c>
      <c r="I6843" t="s">
        <v>36</v>
      </c>
      <c r="J6843" t="s">
        <v>37</v>
      </c>
      <c r="K6843" t="s">
        <v>48</v>
      </c>
      <c r="L6843" t="s">
        <v>49</v>
      </c>
      <c r="M6843" t="s">
        <v>220</v>
      </c>
      <c r="N6843">
        <v>0</v>
      </c>
      <c r="O6843">
        <v>0</v>
      </c>
      <c r="P6843">
        <v>8.3044598999999997E-2</v>
      </c>
      <c r="Q6843" t="str">
        <f t="shared" si="212"/>
        <v>10-14</v>
      </c>
      <c r="R6843" t="str">
        <f t="shared" si="213"/>
        <v>[am530wpaGvr]|10-14|Male|NEW_INFECTIONS_SUBNAT.T|CY2025Q3</v>
      </c>
    </row>
    <row r="6844" spans="4:18" x14ac:dyDescent="0.2">
      <c r="D6844" t="s">
        <v>96</v>
      </c>
      <c r="E6844" t="s">
        <v>97</v>
      </c>
      <c r="F6844" t="s">
        <v>98</v>
      </c>
      <c r="G6844" t="s">
        <v>275</v>
      </c>
      <c r="H6844" t="s">
        <v>275</v>
      </c>
      <c r="I6844" t="s">
        <v>38</v>
      </c>
      <c r="J6844" t="s">
        <v>39</v>
      </c>
      <c r="K6844" t="s">
        <v>48</v>
      </c>
      <c r="L6844" t="s">
        <v>49</v>
      </c>
      <c r="M6844" t="s">
        <v>220</v>
      </c>
      <c r="N6844">
        <v>14</v>
      </c>
      <c r="O6844">
        <v>8.8877669000000006E-2</v>
      </c>
      <c r="P6844">
        <v>8.3044598999999997E-2</v>
      </c>
      <c r="Q6844" t="str">
        <f t="shared" si="212"/>
        <v>15-24</v>
      </c>
      <c r="R6844" t="str">
        <f t="shared" si="213"/>
        <v>[am530wpaGvr]|15-24|Male|NEW_INFECTIONS_SUBNAT.T|CY2025Q3</v>
      </c>
    </row>
    <row r="6845" spans="4:18" x14ac:dyDescent="0.2">
      <c r="D6845" t="s">
        <v>96</v>
      </c>
      <c r="E6845" t="s">
        <v>97</v>
      </c>
      <c r="F6845" t="s">
        <v>98</v>
      </c>
      <c r="G6845" t="s">
        <v>275</v>
      </c>
      <c r="H6845" t="s">
        <v>275</v>
      </c>
      <c r="I6845" t="s">
        <v>41</v>
      </c>
      <c r="J6845" t="s">
        <v>42</v>
      </c>
      <c r="K6845" t="s">
        <v>48</v>
      </c>
      <c r="L6845" t="s">
        <v>49</v>
      </c>
      <c r="M6845" t="s">
        <v>220</v>
      </c>
      <c r="N6845">
        <v>46</v>
      </c>
      <c r="O6845">
        <v>8.7946779000000003E-2</v>
      </c>
      <c r="P6845">
        <v>8.3044598999999997E-2</v>
      </c>
      <c r="Q6845" t="str">
        <f t="shared" si="212"/>
        <v>25-34</v>
      </c>
      <c r="R6845" t="str">
        <f t="shared" si="213"/>
        <v>[am530wpaGvr]|25-34|Male|NEW_INFECTIONS_SUBNAT.T|CY2025Q3</v>
      </c>
    </row>
    <row r="6846" spans="4:18" x14ac:dyDescent="0.2">
      <c r="D6846" t="s">
        <v>96</v>
      </c>
      <c r="E6846" t="s">
        <v>97</v>
      </c>
      <c r="F6846" t="s">
        <v>98</v>
      </c>
      <c r="G6846" t="s">
        <v>275</v>
      </c>
      <c r="H6846" t="s">
        <v>275</v>
      </c>
      <c r="I6846" t="s">
        <v>43</v>
      </c>
      <c r="J6846" t="s">
        <v>44</v>
      </c>
      <c r="K6846" t="s">
        <v>48</v>
      </c>
      <c r="L6846" t="s">
        <v>49</v>
      </c>
      <c r="M6846" t="s">
        <v>220</v>
      </c>
      <c r="N6846">
        <v>48</v>
      </c>
      <c r="O6846">
        <v>8.4110530000000003E-2</v>
      </c>
      <c r="P6846">
        <v>8.3044598999999997E-2</v>
      </c>
      <c r="Q6846" t="str">
        <f t="shared" si="212"/>
        <v>35-49</v>
      </c>
      <c r="R6846" t="str">
        <f t="shared" si="213"/>
        <v>[am530wpaGvr]|35-49|Male|NEW_INFECTIONS_SUBNAT.T|CY2025Q3</v>
      </c>
    </row>
    <row r="6847" spans="4:18" x14ac:dyDescent="0.2">
      <c r="D6847" t="s">
        <v>96</v>
      </c>
      <c r="E6847" t="s">
        <v>97</v>
      </c>
      <c r="F6847" t="s">
        <v>98</v>
      </c>
      <c r="G6847" t="s">
        <v>275</v>
      </c>
      <c r="H6847" t="s">
        <v>275</v>
      </c>
      <c r="I6847" t="s">
        <v>45</v>
      </c>
      <c r="J6847" t="s">
        <v>46</v>
      </c>
      <c r="K6847" t="s">
        <v>48</v>
      </c>
      <c r="L6847" t="s">
        <v>49</v>
      </c>
      <c r="M6847" t="s">
        <v>220</v>
      </c>
      <c r="N6847">
        <v>14</v>
      </c>
      <c r="O6847">
        <v>8.1673706999999998E-2</v>
      </c>
      <c r="P6847">
        <v>8.3044598999999997E-2</v>
      </c>
      <c r="Q6847" t="str">
        <f t="shared" si="212"/>
        <v>50+</v>
      </c>
      <c r="R6847" t="str">
        <f t="shared" si="213"/>
        <v>[am530wpaGvr]|50+|Male|NEW_INFECTIONS_SUBNAT.T|CY2025Q3</v>
      </c>
    </row>
    <row r="6848" spans="4:18" x14ac:dyDescent="0.2">
      <c r="D6848" t="s">
        <v>99</v>
      </c>
      <c r="E6848" t="s">
        <v>100</v>
      </c>
      <c r="F6848" t="s">
        <v>101</v>
      </c>
      <c r="G6848" t="s">
        <v>275</v>
      </c>
      <c r="H6848" t="s">
        <v>275</v>
      </c>
      <c r="I6848" t="s">
        <v>28</v>
      </c>
      <c r="J6848" t="s">
        <v>29</v>
      </c>
      <c r="K6848" t="s">
        <v>30</v>
      </c>
      <c r="L6848" t="s">
        <v>31</v>
      </c>
      <c r="M6848" t="s">
        <v>220</v>
      </c>
      <c r="N6848">
        <v>66</v>
      </c>
      <c r="O6848">
        <v>4.4215180999999999E-2</v>
      </c>
      <c r="P6848">
        <v>4.955772E-2</v>
      </c>
      <c r="Q6848" t="str">
        <f t="shared" si="212"/>
        <v>&lt;01</v>
      </c>
      <c r="R6848" t="str">
        <f t="shared" si="213"/>
        <v>[lLDyBx5XyUi]|&lt;01|Female|NEW_INFECTIONS_SUBNAT.T|CY2025Q3</v>
      </c>
    </row>
    <row r="6849" spans="4:18" x14ac:dyDescent="0.2">
      <c r="D6849" t="s">
        <v>99</v>
      </c>
      <c r="E6849" t="s">
        <v>100</v>
      </c>
      <c r="F6849" t="s">
        <v>101</v>
      </c>
      <c r="G6849" t="s">
        <v>275</v>
      </c>
      <c r="H6849" t="s">
        <v>275</v>
      </c>
      <c r="I6849" t="s">
        <v>33</v>
      </c>
      <c r="J6849" t="s">
        <v>34</v>
      </c>
      <c r="K6849" t="s">
        <v>30</v>
      </c>
      <c r="L6849" t="s">
        <v>31</v>
      </c>
      <c r="M6849" t="s">
        <v>220</v>
      </c>
      <c r="N6849">
        <v>17</v>
      </c>
      <c r="O6849">
        <v>2.210759E-2</v>
      </c>
      <c r="P6849">
        <v>4.955772E-2</v>
      </c>
      <c r="Q6849" t="str">
        <f t="shared" si="212"/>
        <v>01-09</v>
      </c>
      <c r="R6849" t="str">
        <f t="shared" si="213"/>
        <v>[lLDyBx5XyUi]|01-09|Female|NEW_INFECTIONS_SUBNAT.T|CY2025Q3</v>
      </c>
    </row>
    <row r="6850" spans="4:18" x14ac:dyDescent="0.2">
      <c r="D6850" t="s">
        <v>99</v>
      </c>
      <c r="E6850" t="s">
        <v>100</v>
      </c>
      <c r="F6850" t="s">
        <v>101</v>
      </c>
      <c r="G6850" t="s">
        <v>275</v>
      </c>
      <c r="H6850" t="s">
        <v>275</v>
      </c>
      <c r="I6850" t="s">
        <v>36</v>
      </c>
      <c r="J6850" t="s">
        <v>37</v>
      </c>
      <c r="K6850" t="s">
        <v>30</v>
      </c>
      <c r="L6850" t="s">
        <v>31</v>
      </c>
      <c r="M6850" t="s">
        <v>220</v>
      </c>
      <c r="N6850">
        <v>0</v>
      </c>
      <c r="O6850">
        <v>0</v>
      </c>
      <c r="P6850">
        <v>4.955772E-2</v>
      </c>
      <c r="Q6850" t="str">
        <f t="shared" si="212"/>
        <v>10-14</v>
      </c>
      <c r="R6850" t="str">
        <f t="shared" si="213"/>
        <v>[lLDyBx5XyUi]|10-14|Female|NEW_INFECTIONS_SUBNAT.T|CY2025Q3</v>
      </c>
    </row>
    <row r="6851" spans="4:18" x14ac:dyDescent="0.2">
      <c r="D6851" t="s">
        <v>99</v>
      </c>
      <c r="E6851" t="s">
        <v>100</v>
      </c>
      <c r="F6851" t="s">
        <v>101</v>
      </c>
      <c r="G6851" t="s">
        <v>275</v>
      </c>
      <c r="H6851" t="s">
        <v>275</v>
      </c>
      <c r="I6851" t="s">
        <v>38</v>
      </c>
      <c r="J6851" t="s">
        <v>39</v>
      </c>
      <c r="K6851" t="s">
        <v>30</v>
      </c>
      <c r="L6851" t="s">
        <v>31</v>
      </c>
      <c r="M6851" t="s">
        <v>220</v>
      </c>
      <c r="N6851">
        <v>202</v>
      </c>
      <c r="O6851">
        <v>5.4847346999999998E-2</v>
      </c>
      <c r="P6851">
        <v>4.955772E-2</v>
      </c>
      <c r="Q6851" t="str">
        <f t="shared" ref="Q6851:Q6914" si="214">SUBSTITUTE(SUBSTITUTE($I6851,CHAR(61),""),CHAR(34),"")</f>
        <v>15-24</v>
      </c>
      <c r="R6851" t="str">
        <f t="shared" ref="R6851:R6914" si="215">IF($D6851&lt;&gt;"","["&amp;$E6851&amp;"]"&amp;"|"&amp;$Q6851&amp;"|"&amp;$K6851&amp;"|"&amp;$G6851&amp;"|"&amp;IF($G6851="TX_CURR_SUBNAT.R","CY2023Q4",$M6851),"")</f>
        <v>[lLDyBx5XyUi]|15-24|Female|NEW_INFECTIONS_SUBNAT.T|CY2025Q3</v>
      </c>
    </row>
    <row r="6852" spans="4:18" x14ac:dyDescent="0.2">
      <c r="D6852" t="s">
        <v>99</v>
      </c>
      <c r="E6852" t="s">
        <v>100</v>
      </c>
      <c r="F6852" t="s">
        <v>101</v>
      </c>
      <c r="G6852" t="s">
        <v>275</v>
      </c>
      <c r="H6852" t="s">
        <v>275</v>
      </c>
      <c r="I6852" t="s">
        <v>41</v>
      </c>
      <c r="J6852" t="s">
        <v>42</v>
      </c>
      <c r="K6852" t="s">
        <v>30</v>
      </c>
      <c r="L6852" t="s">
        <v>31</v>
      </c>
      <c r="M6852" t="s">
        <v>220</v>
      </c>
      <c r="N6852">
        <v>196</v>
      </c>
      <c r="O6852">
        <v>5.2498734999999998E-2</v>
      </c>
      <c r="P6852">
        <v>4.955772E-2</v>
      </c>
      <c r="Q6852" t="str">
        <f t="shared" si="214"/>
        <v>25-34</v>
      </c>
      <c r="R6852" t="str">
        <f t="shared" si="215"/>
        <v>[lLDyBx5XyUi]|25-34|Female|NEW_INFECTIONS_SUBNAT.T|CY2025Q3</v>
      </c>
    </row>
    <row r="6853" spans="4:18" x14ac:dyDescent="0.2">
      <c r="D6853" t="s">
        <v>99</v>
      </c>
      <c r="E6853" t="s">
        <v>100</v>
      </c>
      <c r="F6853" t="s">
        <v>101</v>
      </c>
      <c r="G6853" t="s">
        <v>275</v>
      </c>
      <c r="H6853" t="s">
        <v>275</v>
      </c>
      <c r="I6853" t="s">
        <v>43</v>
      </c>
      <c r="J6853" t="s">
        <v>44</v>
      </c>
      <c r="K6853" t="s">
        <v>30</v>
      </c>
      <c r="L6853" t="s">
        <v>31</v>
      </c>
      <c r="M6853" t="s">
        <v>220</v>
      </c>
      <c r="N6853">
        <v>89</v>
      </c>
      <c r="O6853">
        <v>4.6983266000000003E-2</v>
      </c>
      <c r="P6853">
        <v>4.955772E-2</v>
      </c>
      <c r="Q6853" t="str">
        <f t="shared" si="214"/>
        <v>35-49</v>
      </c>
      <c r="R6853" t="str">
        <f t="shared" si="215"/>
        <v>[lLDyBx5XyUi]|35-49|Female|NEW_INFECTIONS_SUBNAT.T|CY2025Q3</v>
      </c>
    </row>
    <row r="6854" spans="4:18" x14ac:dyDescent="0.2">
      <c r="D6854" t="s">
        <v>99</v>
      </c>
      <c r="E6854" t="s">
        <v>100</v>
      </c>
      <c r="F6854" t="s">
        <v>101</v>
      </c>
      <c r="G6854" t="s">
        <v>275</v>
      </c>
      <c r="H6854" t="s">
        <v>275</v>
      </c>
      <c r="I6854" t="s">
        <v>45</v>
      </c>
      <c r="J6854" t="s">
        <v>46</v>
      </c>
      <c r="K6854" t="s">
        <v>30</v>
      </c>
      <c r="L6854" t="s">
        <v>31</v>
      </c>
      <c r="M6854" t="s">
        <v>220</v>
      </c>
      <c r="N6854">
        <v>15</v>
      </c>
      <c r="O6854">
        <v>4.9836062E-2</v>
      </c>
      <c r="P6854">
        <v>4.955772E-2</v>
      </c>
      <c r="Q6854" t="str">
        <f t="shared" si="214"/>
        <v>50+</v>
      </c>
      <c r="R6854" t="str">
        <f t="shared" si="215"/>
        <v>[lLDyBx5XyUi]|50+|Female|NEW_INFECTIONS_SUBNAT.T|CY2025Q3</v>
      </c>
    </row>
    <row r="6855" spans="4:18" x14ac:dyDescent="0.2">
      <c r="D6855" t="s">
        <v>99</v>
      </c>
      <c r="E6855" t="s">
        <v>100</v>
      </c>
      <c r="F6855" t="s">
        <v>101</v>
      </c>
      <c r="G6855" t="s">
        <v>275</v>
      </c>
      <c r="H6855" t="s">
        <v>275</v>
      </c>
      <c r="I6855" t="s">
        <v>28</v>
      </c>
      <c r="J6855" t="s">
        <v>29</v>
      </c>
      <c r="K6855" t="s">
        <v>48</v>
      </c>
      <c r="L6855" t="s">
        <v>49</v>
      </c>
      <c r="M6855" t="s">
        <v>220</v>
      </c>
      <c r="N6855">
        <v>66</v>
      </c>
      <c r="O6855">
        <v>4.4214189000000001E-2</v>
      </c>
      <c r="P6855">
        <v>4.955772E-2</v>
      </c>
      <c r="Q6855" t="str">
        <f t="shared" si="214"/>
        <v>&lt;01</v>
      </c>
      <c r="R6855" t="str">
        <f t="shared" si="215"/>
        <v>[lLDyBx5XyUi]|&lt;01|Male|NEW_INFECTIONS_SUBNAT.T|CY2025Q3</v>
      </c>
    </row>
    <row r="6856" spans="4:18" x14ac:dyDescent="0.2">
      <c r="D6856" t="s">
        <v>99</v>
      </c>
      <c r="E6856" t="s">
        <v>100</v>
      </c>
      <c r="F6856" t="s">
        <v>101</v>
      </c>
      <c r="G6856" t="s">
        <v>275</v>
      </c>
      <c r="H6856" t="s">
        <v>275</v>
      </c>
      <c r="I6856" t="s">
        <v>33</v>
      </c>
      <c r="J6856" t="s">
        <v>34</v>
      </c>
      <c r="K6856" t="s">
        <v>48</v>
      </c>
      <c r="L6856" t="s">
        <v>49</v>
      </c>
      <c r="M6856" t="s">
        <v>220</v>
      </c>
      <c r="N6856">
        <v>17</v>
      </c>
      <c r="O6856">
        <v>2.2107094000000001E-2</v>
      </c>
      <c r="P6856">
        <v>4.955772E-2</v>
      </c>
      <c r="Q6856" t="str">
        <f t="shared" si="214"/>
        <v>01-09</v>
      </c>
      <c r="R6856" t="str">
        <f t="shared" si="215"/>
        <v>[lLDyBx5XyUi]|01-09|Male|NEW_INFECTIONS_SUBNAT.T|CY2025Q3</v>
      </c>
    </row>
    <row r="6857" spans="4:18" x14ac:dyDescent="0.2">
      <c r="D6857" t="s">
        <v>99</v>
      </c>
      <c r="E6857" t="s">
        <v>100</v>
      </c>
      <c r="F6857" t="s">
        <v>101</v>
      </c>
      <c r="G6857" t="s">
        <v>275</v>
      </c>
      <c r="H6857" t="s">
        <v>275</v>
      </c>
      <c r="I6857" t="s">
        <v>36</v>
      </c>
      <c r="J6857" t="s">
        <v>37</v>
      </c>
      <c r="K6857" t="s">
        <v>48</v>
      </c>
      <c r="L6857" t="s">
        <v>49</v>
      </c>
      <c r="M6857" t="s">
        <v>220</v>
      </c>
      <c r="N6857">
        <v>0</v>
      </c>
      <c r="O6857">
        <v>0</v>
      </c>
      <c r="P6857">
        <v>4.955772E-2</v>
      </c>
      <c r="Q6857" t="str">
        <f t="shared" si="214"/>
        <v>10-14</v>
      </c>
      <c r="R6857" t="str">
        <f t="shared" si="215"/>
        <v>[lLDyBx5XyUi]|10-14|Male|NEW_INFECTIONS_SUBNAT.T|CY2025Q3</v>
      </c>
    </row>
    <row r="6858" spans="4:18" x14ac:dyDescent="0.2">
      <c r="D6858" t="s">
        <v>99</v>
      </c>
      <c r="E6858" t="s">
        <v>100</v>
      </c>
      <c r="F6858" t="s">
        <v>101</v>
      </c>
      <c r="G6858" t="s">
        <v>275</v>
      </c>
      <c r="H6858" t="s">
        <v>275</v>
      </c>
      <c r="I6858" t="s">
        <v>38</v>
      </c>
      <c r="J6858" t="s">
        <v>39</v>
      </c>
      <c r="K6858" t="s">
        <v>48</v>
      </c>
      <c r="L6858" t="s">
        <v>49</v>
      </c>
      <c r="M6858" t="s">
        <v>220</v>
      </c>
      <c r="N6858">
        <v>29</v>
      </c>
      <c r="O6858">
        <v>5.5460608000000002E-2</v>
      </c>
      <c r="P6858">
        <v>4.955772E-2</v>
      </c>
      <c r="Q6858" t="str">
        <f t="shared" si="214"/>
        <v>15-24</v>
      </c>
      <c r="R6858" t="str">
        <f t="shared" si="215"/>
        <v>[lLDyBx5XyUi]|15-24|Male|NEW_INFECTIONS_SUBNAT.T|CY2025Q3</v>
      </c>
    </row>
    <row r="6859" spans="4:18" x14ac:dyDescent="0.2">
      <c r="D6859" t="s">
        <v>99</v>
      </c>
      <c r="E6859" t="s">
        <v>100</v>
      </c>
      <c r="F6859" t="s">
        <v>101</v>
      </c>
      <c r="G6859" t="s">
        <v>275</v>
      </c>
      <c r="H6859" t="s">
        <v>275</v>
      </c>
      <c r="I6859" t="s">
        <v>41</v>
      </c>
      <c r="J6859" t="s">
        <v>42</v>
      </c>
      <c r="K6859" t="s">
        <v>48</v>
      </c>
      <c r="L6859" t="s">
        <v>49</v>
      </c>
      <c r="M6859" t="s">
        <v>220</v>
      </c>
      <c r="N6859">
        <v>99</v>
      </c>
      <c r="O6859">
        <v>5.4686209999999999E-2</v>
      </c>
      <c r="P6859">
        <v>4.955772E-2</v>
      </c>
      <c r="Q6859" t="str">
        <f t="shared" si="214"/>
        <v>25-34</v>
      </c>
      <c r="R6859" t="str">
        <f t="shared" si="215"/>
        <v>[lLDyBx5XyUi]|25-34|Male|NEW_INFECTIONS_SUBNAT.T|CY2025Q3</v>
      </c>
    </row>
    <row r="6860" spans="4:18" x14ac:dyDescent="0.2">
      <c r="D6860" t="s">
        <v>99</v>
      </c>
      <c r="E6860" t="s">
        <v>100</v>
      </c>
      <c r="F6860" t="s">
        <v>101</v>
      </c>
      <c r="G6860" t="s">
        <v>275</v>
      </c>
      <c r="H6860" t="s">
        <v>275</v>
      </c>
      <c r="I6860" t="s">
        <v>43</v>
      </c>
      <c r="J6860" t="s">
        <v>44</v>
      </c>
      <c r="K6860" t="s">
        <v>48</v>
      </c>
      <c r="L6860" t="s">
        <v>49</v>
      </c>
      <c r="M6860" t="s">
        <v>220</v>
      </c>
      <c r="N6860">
        <v>97</v>
      </c>
      <c r="O6860">
        <v>5.1538059999999997E-2</v>
      </c>
      <c r="P6860">
        <v>4.955772E-2</v>
      </c>
      <c r="Q6860" t="str">
        <f t="shared" si="214"/>
        <v>35-49</v>
      </c>
      <c r="R6860" t="str">
        <f t="shared" si="215"/>
        <v>[lLDyBx5XyUi]|35-49|Male|NEW_INFECTIONS_SUBNAT.T|CY2025Q3</v>
      </c>
    </row>
    <row r="6861" spans="4:18" x14ac:dyDescent="0.2">
      <c r="D6861" t="s">
        <v>99</v>
      </c>
      <c r="E6861" t="s">
        <v>100</v>
      </c>
      <c r="F6861" t="s">
        <v>101</v>
      </c>
      <c r="G6861" t="s">
        <v>275</v>
      </c>
      <c r="H6861" t="s">
        <v>275</v>
      </c>
      <c r="I6861" t="s">
        <v>45</v>
      </c>
      <c r="J6861" t="s">
        <v>46</v>
      </c>
      <c r="K6861" t="s">
        <v>48</v>
      </c>
      <c r="L6861" t="s">
        <v>49</v>
      </c>
      <c r="M6861" t="s">
        <v>220</v>
      </c>
      <c r="N6861">
        <v>29</v>
      </c>
      <c r="O6861">
        <v>5.0698425999999998E-2</v>
      </c>
      <c r="P6861">
        <v>4.955772E-2</v>
      </c>
      <c r="Q6861" t="str">
        <f t="shared" si="214"/>
        <v>50+</v>
      </c>
      <c r="R6861" t="str">
        <f t="shared" si="215"/>
        <v>[lLDyBx5XyUi]|50+|Male|NEW_INFECTIONS_SUBNAT.T|CY2025Q3</v>
      </c>
    </row>
    <row r="6862" spans="4:18" x14ac:dyDescent="0.2">
      <c r="D6862" t="s">
        <v>102</v>
      </c>
      <c r="E6862" t="s">
        <v>103</v>
      </c>
      <c r="F6862" t="s">
        <v>104</v>
      </c>
      <c r="G6862" t="s">
        <v>275</v>
      </c>
      <c r="H6862" t="s">
        <v>275</v>
      </c>
      <c r="I6862" t="s">
        <v>28</v>
      </c>
      <c r="J6862" t="s">
        <v>29</v>
      </c>
      <c r="K6862" t="s">
        <v>30</v>
      </c>
      <c r="L6862" t="s">
        <v>31</v>
      </c>
      <c r="M6862" t="s">
        <v>220</v>
      </c>
      <c r="N6862">
        <v>30</v>
      </c>
      <c r="O6862">
        <v>6.4614563E-2</v>
      </c>
      <c r="P6862">
        <v>6.7834226999999997E-2</v>
      </c>
      <c r="Q6862" t="str">
        <f t="shared" si="214"/>
        <v>&lt;01</v>
      </c>
      <c r="R6862" t="str">
        <f t="shared" si="215"/>
        <v>[TYnMSwzko3z]|&lt;01|Female|NEW_INFECTIONS_SUBNAT.T|CY2025Q3</v>
      </c>
    </row>
    <row r="6863" spans="4:18" x14ac:dyDescent="0.2">
      <c r="D6863" t="s">
        <v>102</v>
      </c>
      <c r="E6863" t="s">
        <v>103</v>
      </c>
      <c r="F6863" t="s">
        <v>104</v>
      </c>
      <c r="G6863" t="s">
        <v>275</v>
      </c>
      <c r="H6863" t="s">
        <v>275</v>
      </c>
      <c r="I6863" t="s">
        <v>33</v>
      </c>
      <c r="J6863" t="s">
        <v>34</v>
      </c>
      <c r="K6863" t="s">
        <v>30</v>
      </c>
      <c r="L6863" t="s">
        <v>31</v>
      </c>
      <c r="M6863" t="s">
        <v>220</v>
      </c>
      <c r="N6863">
        <v>8</v>
      </c>
      <c r="O6863">
        <v>3.2307282E-2</v>
      </c>
      <c r="P6863">
        <v>6.7834226999999997E-2</v>
      </c>
      <c r="Q6863" t="str">
        <f t="shared" si="214"/>
        <v>01-09</v>
      </c>
      <c r="R6863" t="str">
        <f t="shared" si="215"/>
        <v>[TYnMSwzko3z]|01-09|Female|NEW_INFECTIONS_SUBNAT.T|CY2025Q3</v>
      </c>
    </row>
    <row r="6864" spans="4:18" x14ac:dyDescent="0.2">
      <c r="D6864" t="s">
        <v>102</v>
      </c>
      <c r="E6864" t="s">
        <v>103</v>
      </c>
      <c r="F6864" t="s">
        <v>104</v>
      </c>
      <c r="G6864" t="s">
        <v>275</v>
      </c>
      <c r="H6864" t="s">
        <v>275</v>
      </c>
      <c r="I6864" t="s">
        <v>36</v>
      </c>
      <c r="J6864" t="s">
        <v>37</v>
      </c>
      <c r="K6864" t="s">
        <v>30</v>
      </c>
      <c r="L6864" t="s">
        <v>31</v>
      </c>
      <c r="M6864" t="s">
        <v>220</v>
      </c>
      <c r="N6864">
        <v>0</v>
      </c>
      <c r="O6864">
        <v>0</v>
      </c>
      <c r="P6864">
        <v>6.7834226999999997E-2</v>
      </c>
      <c r="Q6864" t="str">
        <f t="shared" si="214"/>
        <v>10-14</v>
      </c>
      <c r="R6864" t="str">
        <f t="shared" si="215"/>
        <v>[TYnMSwzko3z]|10-14|Female|NEW_INFECTIONS_SUBNAT.T|CY2025Q3</v>
      </c>
    </row>
    <row r="6865" spans="4:18" x14ac:dyDescent="0.2">
      <c r="D6865" t="s">
        <v>102</v>
      </c>
      <c r="E6865" t="s">
        <v>103</v>
      </c>
      <c r="F6865" t="s">
        <v>104</v>
      </c>
      <c r="G6865" t="s">
        <v>275</v>
      </c>
      <c r="H6865" t="s">
        <v>275</v>
      </c>
      <c r="I6865" t="s">
        <v>38</v>
      </c>
      <c r="J6865" t="s">
        <v>39</v>
      </c>
      <c r="K6865" t="s">
        <v>30</v>
      </c>
      <c r="L6865" t="s">
        <v>31</v>
      </c>
      <c r="M6865" t="s">
        <v>220</v>
      </c>
      <c r="N6865">
        <v>93</v>
      </c>
      <c r="O6865">
        <v>7.2563014999999995E-2</v>
      </c>
      <c r="P6865">
        <v>6.7834226999999997E-2</v>
      </c>
      <c r="Q6865" t="str">
        <f t="shared" si="214"/>
        <v>15-24</v>
      </c>
      <c r="R6865" t="str">
        <f t="shared" si="215"/>
        <v>[TYnMSwzko3z]|15-24|Female|NEW_INFECTIONS_SUBNAT.T|CY2025Q3</v>
      </c>
    </row>
    <row r="6866" spans="4:18" x14ac:dyDescent="0.2">
      <c r="D6866" t="s">
        <v>102</v>
      </c>
      <c r="E6866" t="s">
        <v>103</v>
      </c>
      <c r="F6866" t="s">
        <v>104</v>
      </c>
      <c r="G6866" t="s">
        <v>275</v>
      </c>
      <c r="H6866" t="s">
        <v>275</v>
      </c>
      <c r="I6866" t="s">
        <v>41</v>
      </c>
      <c r="J6866" t="s">
        <v>42</v>
      </c>
      <c r="K6866" t="s">
        <v>30</v>
      </c>
      <c r="L6866" t="s">
        <v>31</v>
      </c>
      <c r="M6866" t="s">
        <v>220</v>
      </c>
      <c r="N6866">
        <v>93</v>
      </c>
      <c r="O6866">
        <v>7.0174401999999997E-2</v>
      </c>
      <c r="P6866">
        <v>6.7834226999999997E-2</v>
      </c>
      <c r="Q6866" t="str">
        <f t="shared" si="214"/>
        <v>25-34</v>
      </c>
      <c r="R6866" t="str">
        <f t="shared" si="215"/>
        <v>[TYnMSwzko3z]|25-34|Female|NEW_INFECTIONS_SUBNAT.T|CY2025Q3</v>
      </c>
    </row>
    <row r="6867" spans="4:18" x14ac:dyDescent="0.2">
      <c r="D6867" t="s">
        <v>102</v>
      </c>
      <c r="E6867" t="s">
        <v>103</v>
      </c>
      <c r="F6867" t="s">
        <v>104</v>
      </c>
      <c r="G6867" t="s">
        <v>275</v>
      </c>
      <c r="H6867" t="s">
        <v>275</v>
      </c>
      <c r="I6867" t="s">
        <v>43</v>
      </c>
      <c r="J6867" t="s">
        <v>44</v>
      </c>
      <c r="K6867" t="s">
        <v>30</v>
      </c>
      <c r="L6867" t="s">
        <v>31</v>
      </c>
      <c r="M6867" t="s">
        <v>220</v>
      </c>
      <c r="N6867">
        <v>44</v>
      </c>
      <c r="O6867">
        <v>6.3712808999999995E-2</v>
      </c>
      <c r="P6867">
        <v>6.7834226999999997E-2</v>
      </c>
      <c r="Q6867" t="str">
        <f t="shared" si="214"/>
        <v>35-49</v>
      </c>
      <c r="R6867" t="str">
        <f t="shared" si="215"/>
        <v>[TYnMSwzko3z]|35-49|Female|NEW_INFECTIONS_SUBNAT.T|CY2025Q3</v>
      </c>
    </row>
    <row r="6868" spans="4:18" x14ac:dyDescent="0.2">
      <c r="D6868" t="s">
        <v>102</v>
      </c>
      <c r="E6868" t="s">
        <v>103</v>
      </c>
      <c r="F6868" t="s">
        <v>104</v>
      </c>
      <c r="G6868" t="s">
        <v>275</v>
      </c>
      <c r="H6868" t="s">
        <v>275</v>
      </c>
      <c r="I6868" t="s">
        <v>45</v>
      </c>
      <c r="J6868" t="s">
        <v>46</v>
      </c>
      <c r="K6868" t="s">
        <v>30</v>
      </c>
      <c r="L6868" t="s">
        <v>31</v>
      </c>
      <c r="M6868" t="s">
        <v>220</v>
      </c>
      <c r="N6868">
        <v>7</v>
      </c>
      <c r="O6868">
        <v>6.4960320000000002E-2</v>
      </c>
      <c r="P6868">
        <v>6.7834226999999997E-2</v>
      </c>
      <c r="Q6868" t="str">
        <f t="shared" si="214"/>
        <v>50+</v>
      </c>
      <c r="R6868" t="str">
        <f t="shared" si="215"/>
        <v>[TYnMSwzko3z]|50+|Female|NEW_INFECTIONS_SUBNAT.T|CY2025Q3</v>
      </c>
    </row>
    <row r="6869" spans="4:18" x14ac:dyDescent="0.2">
      <c r="D6869" t="s">
        <v>102</v>
      </c>
      <c r="E6869" t="s">
        <v>103</v>
      </c>
      <c r="F6869" t="s">
        <v>104</v>
      </c>
      <c r="G6869" t="s">
        <v>275</v>
      </c>
      <c r="H6869" t="s">
        <v>275</v>
      </c>
      <c r="I6869" t="s">
        <v>28</v>
      </c>
      <c r="J6869" t="s">
        <v>29</v>
      </c>
      <c r="K6869" t="s">
        <v>48</v>
      </c>
      <c r="L6869" t="s">
        <v>49</v>
      </c>
      <c r="M6869" t="s">
        <v>220</v>
      </c>
      <c r="N6869">
        <v>30</v>
      </c>
      <c r="O6869">
        <v>6.4613317000000003E-2</v>
      </c>
      <c r="P6869">
        <v>6.7834226999999997E-2</v>
      </c>
      <c r="Q6869" t="str">
        <f t="shared" si="214"/>
        <v>&lt;01</v>
      </c>
      <c r="R6869" t="str">
        <f t="shared" si="215"/>
        <v>[TYnMSwzko3z]|&lt;01|Male|NEW_INFECTIONS_SUBNAT.T|CY2025Q3</v>
      </c>
    </row>
    <row r="6870" spans="4:18" x14ac:dyDescent="0.2">
      <c r="D6870" t="s">
        <v>102</v>
      </c>
      <c r="E6870" t="s">
        <v>103</v>
      </c>
      <c r="F6870" t="s">
        <v>104</v>
      </c>
      <c r="G6870" t="s">
        <v>275</v>
      </c>
      <c r="H6870" t="s">
        <v>275</v>
      </c>
      <c r="I6870" t="s">
        <v>33</v>
      </c>
      <c r="J6870" t="s">
        <v>34</v>
      </c>
      <c r="K6870" t="s">
        <v>48</v>
      </c>
      <c r="L6870" t="s">
        <v>49</v>
      </c>
      <c r="M6870" t="s">
        <v>220</v>
      </c>
      <c r="N6870">
        <v>8</v>
      </c>
      <c r="O6870">
        <v>3.2306658000000002E-2</v>
      </c>
      <c r="P6870">
        <v>6.7834226999999997E-2</v>
      </c>
      <c r="Q6870" t="str">
        <f t="shared" si="214"/>
        <v>01-09</v>
      </c>
      <c r="R6870" t="str">
        <f t="shared" si="215"/>
        <v>[TYnMSwzko3z]|01-09|Male|NEW_INFECTIONS_SUBNAT.T|CY2025Q3</v>
      </c>
    </row>
    <row r="6871" spans="4:18" x14ac:dyDescent="0.2">
      <c r="D6871" t="s">
        <v>102</v>
      </c>
      <c r="E6871" t="s">
        <v>103</v>
      </c>
      <c r="F6871" t="s">
        <v>104</v>
      </c>
      <c r="G6871" t="s">
        <v>275</v>
      </c>
      <c r="H6871" t="s">
        <v>275</v>
      </c>
      <c r="I6871" t="s">
        <v>36</v>
      </c>
      <c r="J6871" t="s">
        <v>37</v>
      </c>
      <c r="K6871" t="s">
        <v>48</v>
      </c>
      <c r="L6871" t="s">
        <v>49</v>
      </c>
      <c r="M6871" t="s">
        <v>220</v>
      </c>
      <c r="N6871">
        <v>0</v>
      </c>
      <c r="O6871">
        <v>0</v>
      </c>
      <c r="P6871">
        <v>6.7834226999999997E-2</v>
      </c>
      <c r="Q6871" t="str">
        <f t="shared" si="214"/>
        <v>10-14</v>
      </c>
      <c r="R6871" t="str">
        <f t="shared" si="215"/>
        <v>[TYnMSwzko3z]|10-14|Male|NEW_INFECTIONS_SUBNAT.T|CY2025Q3</v>
      </c>
    </row>
    <row r="6872" spans="4:18" x14ac:dyDescent="0.2">
      <c r="D6872" t="s">
        <v>102</v>
      </c>
      <c r="E6872" t="s">
        <v>103</v>
      </c>
      <c r="F6872" t="s">
        <v>104</v>
      </c>
      <c r="G6872" t="s">
        <v>275</v>
      </c>
      <c r="H6872" t="s">
        <v>275</v>
      </c>
      <c r="I6872" t="s">
        <v>38</v>
      </c>
      <c r="J6872" t="s">
        <v>39</v>
      </c>
      <c r="K6872" t="s">
        <v>48</v>
      </c>
      <c r="L6872" t="s">
        <v>49</v>
      </c>
      <c r="M6872" t="s">
        <v>220</v>
      </c>
      <c r="N6872">
        <v>14</v>
      </c>
      <c r="O6872">
        <v>7.3136014999999999E-2</v>
      </c>
      <c r="P6872">
        <v>6.7834226999999997E-2</v>
      </c>
      <c r="Q6872" t="str">
        <f t="shared" si="214"/>
        <v>15-24</v>
      </c>
      <c r="R6872" t="str">
        <f t="shared" si="215"/>
        <v>[TYnMSwzko3z]|15-24|Male|NEW_INFECTIONS_SUBNAT.T|CY2025Q3</v>
      </c>
    </row>
    <row r="6873" spans="4:18" x14ac:dyDescent="0.2">
      <c r="D6873" t="s">
        <v>102</v>
      </c>
      <c r="E6873" t="s">
        <v>103</v>
      </c>
      <c r="F6873" t="s">
        <v>104</v>
      </c>
      <c r="G6873" t="s">
        <v>275</v>
      </c>
      <c r="H6873" t="s">
        <v>275</v>
      </c>
      <c r="I6873" t="s">
        <v>41</v>
      </c>
      <c r="J6873" t="s">
        <v>42</v>
      </c>
      <c r="K6873" t="s">
        <v>48</v>
      </c>
      <c r="L6873" t="s">
        <v>49</v>
      </c>
      <c r="M6873" t="s">
        <v>220</v>
      </c>
      <c r="N6873">
        <v>47</v>
      </c>
      <c r="O6873">
        <v>7.2437804999999994E-2</v>
      </c>
      <c r="P6873">
        <v>6.7834226999999997E-2</v>
      </c>
      <c r="Q6873" t="str">
        <f t="shared" si="214"/>
        <v>25-34</v>
      </c>
      <c r="R6873" t="str">
        <f t="shared" si="215"/>
        <v>[TYnMSwzko3z]|25-34|Male|NEW_INFECTIONS_SUBNAT.T|CY2025Q3</v>
      </c>
    </row>
    <row r="6874" spans="4:18" x14ac:dyDescent="0.2">
      <c r="D6874" t="s">
        <v>102</v>
      </c>
      <c r="E6874" t="s">
        <v>103</v>
      </c>
      <c r="F6874" t="s">
        <v>104</v>
      </c>
      <c r="G6874" t="s">
        <v>275</v>
      </c>
      <c r="H6874" t="s">
        <v>275</v>
      </c>
      <c r="I6874" t="s">
        <v>43</v>
      </c>
      <c r="J6874" t="s">
        <v>44</v>
      </c>
      <c r="K6874" t="s">
        <v>48</v>
      </c>
      <c r="L6874" t="s">
        <v>49</v>
      </c>
      <c r="M6874" t="s">
        <v>220</v>
      </c>
      <c r="N6874">
        <v>47</v>
      </c>
      <c r="O6874">
        <v>6.9031260999999997E-2</v>
      </c>
      <c r="P6874">
        <v>6.7834226999999997E-2</v>
      </c>
      <c r="Q6874" t="str">
        <f t="shared" si="214"/>
        <v>35-49</v>
      </c>
      <c r="R6874" t="str">
        <f t="shared" si="215"/>
        <v>[TYnMSwzko3z]|35-49|Male|NEW_INFECTIONS_SUBNAT.T|CY2025Q3</v>
      </c>
    </row>
    <row r="6875" spans="4:18" x14ac:dyDescent="0.2">
      <c r="D6875" t="s">
        <v>102</v>
      </c>
      <c r="E6875" t="s">
        <v>103</v>
      </c>
      <c r="F6875" t="s">
        <v>104</v>
      </c>
      <c r="G6875" t="s">
        <v>275</v>
      </c>
      <c r="H6875" t="s">
        <v>275</v>
      </c>
      <c r="I6875" t="s">
        <v>45</v>
      </c>
      <c r="J6875" t="s">
        <v>46</v>
      </c>
      <c r="K6875" t="s">
        <v>48</v>
      </c>
      <c r="L6875" t="s">
        <v>49</v>
      </c>
      <c r="M6875" t="s">
        <v>220</v>
      </c>
      <c r="N6875">
        <v>15</v>
      </c>
      <c r="O6875">
        <v>6.6601722000000002E-2</v>
      </c>
      <c r="P6875">
        <v>6.7834226999999997E-2</v>
      </c>
      <c r="Q6875" t="str">
        <f t="shared" si="214"/>
        <v>50+</v>
      </c>
      <c r="R6875" t="str">
        <f t="shared" si="215"/>
        <v>[TYnMSwzko3z]|50+|Male|NEW_INFECTIONS_SUBNAT.T|CY2025Q3</v>
      </c>
    </row>
    <row r="6876" spans="4:18" x14ac:dyDescent="0.2">
      <c r="D6876" t="s">
        <v>105</v>
      </c>
      <c r="E6876" t="s">
        <v>106</v>
      </c>
      <c r="F6876" t="s">
        <v>107</v>
      </c>
      <c r="G6876" t="s">
        <v>275</v>
      </c>
      <c r="H6876" t="s">
        <v>275</v>
      </c>
      <c r="I6876" t="s">
        <v>28</v>
      </c>
      <c r="J6876" t="s">
        <v>29</v>
      </c>
      <c r="K6876" t="s">
        <v>30</v>
      </c>
      <c r="L6876" t="s">
        <v>31</v>
      </c>
      <c r="M6876" t="s">
        <v>220</v>
      </c>
      <c r="N6876">
        <v>46</v>
      </c>
      <c r="O6876">
        <v>3.9222477999999998E-2</v>
      </c>
      <c r="P6876">
        <v>4.3155756000000003E-2</v>
      </c>
      <c r="Q6876" t="str">
        <f t="shared" si="214"/>
        <v>&lt;01</v>
      </c>
      <c r="R6876" t="str">
        <f t="shared" si="215"/>
        <v>[fyEoGEPERdI]|&lt;01|Female|NEW_INFECTIONS_SUBNAT.T|CY2025Q3</v>
      </c>
    </row>
    <row r="6877" spans="4:18" x14ac:dyDescent="0.2">
      <c r="D6877" t="s">
        <v>105</v>
      </c>
      <c r="E6877" t="s">
        <v>106</v>
      </c>
      <c r="F6877" t="s">
        <v>107</v>
      </c>
      <c r="G6877" t="s">
        <v>275</v>
      </c>
      <c r="H6877" t="s">
        <v>275</v>
      </c>
      <c r="I6877" t="s">
        <v>33</v>
      </c>
      <c r="J6877" t="s">
        <v>34</v>
      </c>
      <c r="K6877" t="s">
        <v>30</v>
      </c>
      <c r="L6877" t="s">
        <v>31</v>
      </c>
      <c r="M6877" t="s">
        <v>220</v>
      </c>
      <c r="N6877">
        <v>11</v>
      </c>
      <c r="O6877">
        <v>1.9611238999999999E-2</v>
      </c>
      <c r="P6877">
        <v>4.3155756000000003E-2</v>
      </c>
      <c r="Q6877" t="str">
        <f t="shared" si="214"/>
        <v>01-09</v>
      </c>
      <c r="R6877" t="str">
        <f t="shared" si="215"/>
        <v>[fyEoGEPERdI]|01-09|Female|NEW_INFECTIONS_SUBNAT.T|CY2025Q3</v>
      </c>
    </row>
    <row r="6878" spans="4:18" x14ac:dyDescent="0.2">
      <c r="D6878" t="s">
        <v>105</v>
      </c>
      <c r="E6878" t="s">
        <v>106</v>
      </c>
      <c r="F6878" t="s">
        <v>107</v>
      </c>
      <c r="G6878" t="s">
        <v>275</v>
      </c>
      <c r="H6878" t="s">
        <v>275</v>
      </c>
      <c r="I6878" t="s">
        <v>36</v>
      </c>
      <c r="J6878" t="s">
        <v>37</v>
      </c>
      <c r="K6878" t="s">
        <v>30</v>
      </c>
      <c r="L6878" t="s">
        <v>31</v>
      </c>
      <c r="M6878" t="s">
        <v>220</v>
      </c>
      <c r="N6878">
        <v>0</v>
      </c>
      <c r="O6878">
        <v>0</v>
      </c>
      <c r="P6878">
        <v>4.3155756000000003E-2</v>
      </c>
      <c r="Q6878" t="str">
        <f t="shared" si="214"/>
        <v>10-14</v>
      </c>
      <c r="R6878" t="str">
        <f t="shared" si="215"/>
        <v>[fyEoGEPERdI]|10-14|Female|NEW_INFECTIONS_SUBNAT.T|CY2025Q3</v>
      </c>
    </row>
    <row r="6879" spans="4:18" x14ac:dyDescent="0.2">
      <c r="D6879" t="s">
        <v>105</v>
      </c>
      <c r="E6879" t="s">
        <v>106</v>
      </c>
      <c r="F6879" t="s">
        <v>107</v>
      </c>
      <c r="G6879" t="s">
        <v>275</v>
      </c>
      <c r="H6879" t="s">
        <v>275</v>
      </c>
      <c r="I6879" t="s">
        <v>38</v>
      </c>
      <c r="J6879" t="s">
        <v>39</v>
      </c>
      <c r="K6879" t="s">
        <v>30</v>
      </c>
      <c r="L6879" t="s">
        <v>31</v>
      </c>
      <c r="M6879" t="s">
        <v>220</v>
      </c>
      <c r="N6879">
        <v>197</v>
      </c>
      <c r="O6879">
        <v>4.7432957999999997E-2</v>
      </c>
      <c r="P6879">
        <v>4.3155756000000003E-2</v>
      </c>
      <c r="Q6879" t="str">
        <f t="shared" si="214"/>
        <v>15-24</v>
      </c>
      <c r="R6879" t="str">
        <f t="shared" si="215"/>
        <v>[fyEoGEPERdI]|15-24|Female|NEW_INFECTIONS_SUBNAT.T|CY2025Q3</v>
      </c>
    </row>
    <row r="6880" spans="4:18" x14ac:dyDescent="0.2">
      <c r="D6880" t="s">
        <v>105</v>
      </c>
      <c r="E6880" t="s">
        <v>106</v>
      </c>
      <c r="F6880" t="s">
        <v>107</v>
      </c>
      <c r="G6880" t="s">
        <v>275</v>
      </c>
      <c r="H6880" t="s">
        <v>275</v>
      </c>
      <c r="I6880" t="s">
        <v>41</v>
      </c>
      <c r="J6880" t="s">
        <v>42</v>
      </c>
      <c r="K6880" t="s">
        <v>30</v>
      </c>
      <c r="L6880" t="s">
        <v>31</v>
      </c>
      <c r="M6880" t="s">
        <v>220</v>
      </c>
      <c r="N6880">
        <v>192</v>
      </c>
      <c r="O6880">
        <v>4.4455160000000001E-2</v>
      </c>
      <c r="P6880">
        <v>4.3155756000000003E-2</v>
      </c>
      <c r="Q6880" t="str">
        <f t="shared" si="214"/>
        <v>25-34</v>
      </c>
      <c r="R6880" t="str">
        <f t="shared" si="215"/>
        <v>[fyEoGEPERdI]|25-34|Female|NEW_INFECTIONS_SUBNAT.T|CY2025Q3</v>
      </c>
    </row>
    <row r="6881" spans="4:18" x14ac:dyDescent="0.2">
      <c r="D6881" t="s">
        <v>105</v>
      </c>
      <c r="E6881" t="s">
        <v>106</v>
      </c>
      <c r="F6881" t="s">
        <v>107</v>
      </c>
      <c r="G6881" t="s">
        <v>275</v>
      </c>
      <c r="H6881" t="s">
        <v>275</v>
      </c>
      <c r="I6881" t="s">
        <v>43</v>
      </c>
      <c r="J6881" t="s">
        <v>44</v>
      </c>
      <c r="K6881" t="s">
        <v>30</v>
      </c>
      <c r="L6881" t="s">
        <v>31</v>
      </c>
      <c r="M6881" t="s">
        <v>220</v>
      </c>
      <c r="N6881">
        <v>88</v>
      </c>
      <c r="O6881">
        <v>4.1967781000000003E-2</v>
      </c>
      <c r="P6881">
        <v>4.3155756000000003E-2</v>
      </c>
      <c r="Q6881" t="str">
        <f t="shared" si="214"/>
        <v>35-49</v>
      </c>
      <c r="R6881" t="str">
        <f t="shared" si="215"/>
        <v>[fyEoGEPERdI]|35-49|Female|NEW_INFECTIONS_SUBNAT.T|CY2025Q3</v>
      </c>
    </row>
    <row r="6882" spans="4:18" x14ac:dyDescent="0.2">
      <c r="D6882" t="s">
        <v>105</v>
      </c>
      <c r="E6882" t="s">
        <v>106</v>
      </c>
      <c r="F6882" t="s">
        <v>107</v>
      </c>
      <c r="G6882" t="s">
        <v>275</v>
      </c>
      <c r="H6882" t="s">
        <v>275</v>
      </c>
      <c r="I6882" t="s">
        <v>45</v>
      </c>
      <c r="J6882" t="s">
        <v>46</v>
      </c>
      <c r="K6882" t="s">
        <v>30</v>
      </c>
      <c r="L6882" t="s">
        <v>31</v>
      </c>
      <c r="M6882" t="s">
        <v>220</v>
      </c>
      <c r="N6882">
        <v>14</v>
      </c>
      <c r="O6882">
        <v>4.8520279999999999E-2</v>
      </c>
      <c r="P6882">
        <v>4.3155756000000003E-2</v>
      </c>
      <c r="Q6882" t="str">
        <f t="shared" si="214"/>
        <v>50+</v>
      </c>
      <c r="R6882" t="str">
        <f t="shared" si="215"/>
        <v>[fyEoGEPERdI]|50+|Female|NEW_INFECTIONS_SUBNAT.T|CY2025Q3</v>
      </c>
    </row>
    <row r="6883" spans="4:18" x14ac:dyDescent="0.2">
      <c r="D6883" t="s">
        <v>105</v>
      </c>
      <c r="E6883" t="s">
        <v>106</v>
      </c>
      <c r="F6883" t="s">
        <v>107</v>
      </c>
      <c r="G6883" t="s">
        <v>275</v>
      </c>
      <c r="H6883" t="s">
        <v>275</v>
      </c>
      <c r="I6883" t="s">
        <v>28</v>
      </c>
      <c r="J6883" t="s">
        <v>29</v>
      </c>
      <c r="K6883" t="s">
        <v>48</v>
      </c>
      <c r="L6883" t="s">
        <v>49</v>
      </c>
      <c r="M6883" t="s">
        <v>220</v>
      </c>
      <c r="N6883">
        <v>46</v>
      </c>
      <c r="O6883">
        <v>3.9154957999999997E-2</v>
      </c>
      <c r="P6883">
        <v>4.3155756000000003E-2</v>
      </c>
      <c r="Q6883" t="str">
        <f t="shared" si="214"/>
        <v>&lt;01</v>
      </c>
      <c r="R6883" t="str">
        <f t="shared" si="215"/>
        <v>[fyEoGEPERdI]|&lt;01|Male|NEW_INFECTIONS_SUBNAT.T|CY2025Q3</v>
      </c>
    </row>
    <row r="6884" spans="4:18" x14ac:dyDescent="0.2">
      <c r="D6884" t="s">
        <v>105</v>
      </c>
      <c r="E6884" t="s">
        <v>106</v>
      </c>
      <c r="F6884" t="s">
        <v>107</v>
      </c>
      <c r="G6884" t="s">
        <v>275</v>
      </c>
      <c r="H6884" t="s">
        <v>275</v>
      </c>
      <c r="I6884" t="s">
        <v>33</v>
      </c>
      <c r="J6884" t="s">
        <v>34</v>
      </c>
      <c r="K6884" t="s">
        <v>48</v>
      </c>
      <c r="L6884" t="s">
        <v>49</v>
      </c>
      <c r="M6884" t="s">
        <v>220</v>
      </c>
      <c r="N6884">
        <v>12</v>
      </c>
      <c r="O6884">
        <v>1.9577478999999998E-2</v>
      </c>
      <c r="P6884">
        <v>4.3155756000000003E-2</v>
      </c>
      <c r="Q6884" t="str">
        <f t="shared" si="214"/>
        <v>01-09</v>
      </c>
      <c r="R6884" t="str">
        <f t="shared" si="215"/>
        <v>[fyEoGEPERdI]|01-09|Male|NEW_INFECTIONS_SUBNAT.T|CY2025Q3</v>
      </c>
    </row>
    <row r="6885" spans="4:18" x14ac:dyDescent="0.2">
      <c r="D6885" t="s">
        <v>105</v>
      </c>
      <c r="E6885" t="s">
        <v>106</v>
      </c>
      <c r="F6885" t="s">
        <v>107</v>
      </c>
      <c r="G6885" t="s">
        <v>275</v>
      </c>
      <c r="H6885" t="s">
        <v>275</v>
      </c>
      <c r="I6885" t="s">
        <v>36</v>
      </c>
      <c r="J6885" t="s">
        <v>37</v>
      </c>
      <c r="K6885" t="s">
        <v>48</v>
      </c>
      <c r="L6885" t="s">
        <v>49</v>
      </c>
      <c r="M6885" t="s">
        <v>220</v>
      </c>
      <c r="N6885">
        <v>0</v>
      </c>
      <c r="O6885">
        <v>0</v>
      </c>
      <c r="P6885">
        <v>4.3155756000000003E-2</v>
      </c>
      <c r="Q6885" t="str">
        <f t="shared" si="214"/>
        <v>10-14</v>
      </c>
      <c r="R6885" t="str">
        <f t="shared" si="215"/>
        <v>[fyEoGEPERdI]|10-14|Male|NEW_INFECTIONS_SUBNAT.T|CY2025Q3</v>
      </c>
    </row>
    <row r="6886" spans="4:18" x14ac:dyDescent="0.2">
      <c r="D6886" t="s">
        <v>105</v>
      </c>
      <c r="E6886" t="s">
        <v>106</v>
      </c>
      <c r="F6886" t="s">
        <v>107</v>
      </c>
      <c r="G6886" t="s">
        <v>275</v>
      </c>
      <c r="H6886" t="s">
        <v>275</v>
      </c>
      <c r="I6886" t="s">
        <v>38</v>
      </c>
      <c r="J6886" t="s">
        <v>39</v>
      </c>
      <c r="K6886" t="s">
        <v>48</v>
      </c>
      <c r="L6886" t="s">
        <v>49</v>
      </c>
      <c r="M6886" t="s">
        <v>220</v>
      </c>
      <c r="N6886">
        <v>33</v>
      </c>
      <c r="O6886">
        <v>4.7773235999999997E-2</v>
      </c>
      <c r="P6886">
        <v>4.3155756000000003E-2</v>
      </c>
      <c r="Q6886" t="str">
        <f t="shared" si="214"/>
        <v>15-24</v>
      </c>
      <c r="R6886" t="str">
        <f t="shared" si="215"/>
        <v>[fyEoGEPERdI]|15-24|Male|NEW_INFECTIONS_SUBNAT.T|CY2025Q3</v>
      </c>
    </row>
    <row r="6887" spans="4:18" x14ac:dyDescent="0.2">
      <c r="D6887" t="s">
        <v>105</v>
      </c>
      <c r="E6887" t="s">
        <v>106</v>
      </c>
      <c r="F6887" t="s">
        <v>107</v>
      </c>
      <c r="G6887" t="s">
        <v>275</v>
      </c>
      <c r="H6887" t="s">
        <v>275</v>
      </c>
      <c r="I6887" t="s">
        <v>41</v>
      </c>
      <c r="J6887" t="s">
        <v>42</v>
      </c>
      <c r="K6887" t="s">
        <v>48</v>
      </c>
      <c r="L6887" t="s">
        <v>49</v>
      </c>
      <c r="M6887" t="s">
        <v>220</v>
      </c>
      <c r="N6887">
        <v>110</v>
      </c>
      <c r="O6887">
        <v>4.5878743999999999E-2</v>
      </c>
      <c r="P6887">
        <v>4.3155756000000003E-2</v>
      </c>
      <c r="Q6887" t="str">
        <f t="shared" si="214"/>
        <v>25-34</v>
      </c>
      <c r="R6887" t="str">
        <f t="shared" si="215"/>
        <v>[fyEoGEPERdI]|25-34|Male|NEW_INFECTIONS_SUBNAT.T|CY2025Q3</v>
      </c>
    </row>
    <row r="6888" spans="4:18" x14ac:dyDescent="0.2">
      <c r="D6888" t="s">
        <v>105</v>
      </c>
      <c r="E6888" t="s">
        <v>106</v>
      </c>
      <c r="F6888" t="s">
        <v>107</v>
      </c>
      <c r="G6888" t="s">
        <v>275</v>
      </c>
      <c r="H6888" t="s">
        <v>275</v>
      </c>
      <c r="I6888" t="s">
        <v>43</v>
      </c>
      <c r="J6888" t="s">
        <v>44</v>
      </c>
      <c r="K6888" t="s">
        <v>48</v>
      </c>
      <c r="L6888" t="s">
        <v>49</v>
      </c>
      <c r="M6888" t="s">
        <v>220</v>
      </c>
      <c r="N6888">
        <v>99</v>
      </c>
      <c r="O6888">
        <v>4.3621277E-2</v>
      </c>
      <c r="P6888">
        <v>4.3155756000000003E-2</v>
      </c>
      <c r="Q6888" t="str">
        <f t="shared" si="214"/>
        <v>35-49</v>
      </c>
      <c r="R6888" t="str">
        <f t="shared" si="215"/>
        <v>[fyEoGEPERdI]|35-49|Male|NEW_INFECTIONS_SUBNAT.T|CY2025Q3</v>
      </c>
    </row>
    <row r="6889" spans="4:18" x14ac:dyDescent="0.2">
      <c r="D6889" t="s">
        <v>105</v>
      </c>
      <c r="E6889" t="s">
        <v>106</v>
      </c>
      <c r="F6889" t="s">
        <v>107</v>
      </c>
      <c r="G6889" t="s">
        <v>275</v>
      </c>
      <c r="H6889" t="s">
        <v>275</v>
      </c>
      <c r="I6889" t="s">
        <v>45</v>
      </c>
      <c r="J6889" t="s">
        <v>46</v>
      </c>
      <c r="K6889" t="s">
        <v>48</v>
      </c>
      <c r="L6889" t="s">
        <v>49</v>
      </c>
      <c r="M6889" t="s">
        <v>220</v>
      </c>
      <c r="N6889">
        <v>27</v>
      </c>
      <c r="O6889">
        <v>4.8088727999999997E-2</v>
      </c>
      <c r="P6889">
        <v>4.3155756000000003E-2</v>
      </c>
      <c r="Q6889" t="str">
        <f t="shared" si="214"/>
        <v>50+</v>
      </c>
      <c r="R6889" t="str">
        <f t="shared" si="215"/>
        <v>[fyEoGEPERdI]|50+|Male|NEW_INFECTIONS_SUBNAT.T|CY2025Q3</v>
      </c>
    </row>
    <row r="6890" spans="4:18" x14ac:dyDescent="0.2">
      <c r="D6890" t="s">
        <v>108</v>
      </c>
      <c r="E6890" t="s">
        <v>109</v>
      </c>
      <c r="F6890" t="s">
        <v>110</v>
      </c>
      <c r="G6890" t="s">
        <v>275</v>
      </c>
      <c r="H6890" t="s">
        <v>275</v>
      </c>
      <c r="I6890" t="s">
        <v>28</v>
      </c>
      <c r="J6890" t="s">
        <v>29</v>
      </c>
      <c r="K6890" t="s">
        <v>30</v>
      </c>
      <c r="L6890" t="s">
        <v>31</v>
      </c>
      <c r="M6890" t="s">
        <v>220</v>
      </c>
      <c r="N6890">
        <v>42</v>
      </c>
      <c r="O6890">
        <v>4.4510004999999998E-2</v>
      </c>
      <c r="P6890">
        <v>4.3931131999999998E-2</v>
      </c>
      <c r="Q6890" t="str">
        <f t="shared" si="214"/>
        <v>&lt;01</v>
      </c>
      <c r="R6890" t="str">
        <f t="shared" si="215"/>
        <v>[umc2n1Z4wNv]|&lt;01|Female|NEW_INFECTIONS_SUBNAT.T|CY2025Q3</v>
      </c>
    </row>
    <row r="6891" spans="4:18" x14ac:dyDescent="0.2">
      <c r="D6891" t="s">
        <v>108</v>
      </c>
      <c r="E6891" t="s">
        <v>109</v>
      </c>
      <c r="F6891" t="s">
        <v>110</v>
      </c>
      <c r="G6891" t="s">
        <v>275</v>
      </c>
      <c r="H6891" t="s">
        <v>275</v>
      </c>
      <c r="I6891" t="s">
        <v>33</v>
      </c>
      <c r="J6891" t="s">
        <v>34</v>
      </c>
      <c r="K6891" t="s">
        <v>30</v>
      </c>
      <c r="L6891" t="s">
        <v>31</v>
      </c>
      <c r="M6891" t="s">
        <v>220</v>
      </c>
      <c r="N6891">
        <v>11</v>
      </c>
      <c r="O6891">
        <v>2.2255001999999999E-2</v>
      </c>
      <c r="P6891">
        <v>4.3931131999999998E-2</v>
      </c>
      <c r="Q6891" t="str">
        <f t="shared" si="214"/>
        <v>01-09</v>
      </c>
      <c r="R6891" t="str">
        <f t="shared" si="215"/>
        <v>[umc2n1Z4wNv]|01-09|Female|NEW_INFECTIONS_SUBNAT.T|CY2025Q3</v>
      </c>
    </row>
    <row r="6892" spans="4:18" x14ac:dyDescent="0.2">
      <c r="D6892" t="s">
        <v>108</v>
      </c>
      <c r="E6892" t="s">
        <v>109</v>
      </c>
      <c r="F6892" t="s">
        <v>110</v>
      </c>
      <c r="G6892" t="s">
        <v>275</v>
      </c>
      <c r="H6892" t="s">
        <v>275</v>
      </c>
      <c r="I6892" t="s">
        <v>36</v>
      </c>
      <c r="J6892" t="s">
        <v>37</v>
      </c>
      <c r="K6892" t="s">
        <v>30</v>
      </c>
      <c r="L6892" t="s">
        <v>31</v>
      </c>
      <c r="M6892" t="s">
        <v>220</v>
      </c>
      <c r="N6892">
        <v>0</v>
      </c>
      <c r="O6892">
        <v>0</v>
      </c>
      <c r="P6892">
        <v>4.3931131999999998E-2</v>
      </c>
      <c r="Q6892" t="str">
        <f t="shared" si="214"/>
        <v>10-14</v>
      </c>
      <c r="R6892" t="str">
        <f t="shared" si="215"/>
        <v>[umc2n1Z4wNv]|10-14|Female|NEW_INFECTIONS_SUBNAT.T|CY2025Q3</v>
      </c>
    </row>
    <row r="6893" spans="4:18" x14ac:dyDescent="0.2">
      <c r="D6893" t="s">
        <v>108</v>
      </c>
      <c r="E6893" t="s">
        <v>109</v>
      </c>
      <c r="F6893" t="s">
        <v>110</v>
      </c>
      <c r="G6893" t="s">
        <v>275</v>
      </c>
      <c r="H6893" t="s">
        <v>275</v>
      </c>
      <c r="I6893" t="s">
        <v>38</v>
      </c>
      <c r="J6893" t="s">
        <v>39</v>
      </c>
      <c r="K6893" t="s">
        <v>30</v>
      </c>
      <c r="L6893" t="s">
        <v>31</v>
      </c>
      <c r="M6893" t="s">
        <v>220</v>
      </c>
      <c r="N6893">
        <v>170</v>
      </c>
      <c r="O6893">
        <v>4.8424122999999999E-2</v>
      </c>
      <c r="P6893">
        <v>4.3931131999999998E-2</v>
      </c>
      <c r="Q6893" t="str">
        <f t="shared" si="214"/>
        <v>15-24</v>
      </c>
      <c r="R6893" t="str">
        <f t="shared" si="215"/>
        <v>[umc2n1Z4wNv]|15-24|Female|NEW_INFECTIONS_SUBNAT.T|CY2025Q3</v>
      </c>
    </row>
    <row r="6894" spans="4:18" x14ac:dyDescent="0.2">
      <c r="D6894" t="s">
        <v>108</v>
      </c>
      <c r="E6894" t="s">
        <v>109</v>
      </c>
      <c r="F6894" t="s">
        <v>110</v>
      </c>
      <c r="G6894" t="s">
        <v>275</v>
      </c>
      <c r="H6894" t="s">
        <v>275</v>
      </c>
      <c r="I6894" t="s">
        <v>41</v>
      </c>
      <c r="J6894" t="s">
        <v>42</v>
      </c>
      <c r="K6894" t="s">
        <v>30</v>
      </c>
      <c r="L6894" t="s">
        <v>31</v>
      </c>
      <c r="M6894" t="s">
        <v>220</v>
      </c>
      <c r="N6894">
        <v>162</v>
      </c>
      <c r="O6894">
        <v>4.4545135E-2</v>
      </c>
      <c r="P6894">
        <v>4.3931131999999998E-2</v>
      </c>
      <c r="Q6894" t="str">
        <f t="shared" si="214"/>
        <v>25-34</v>
      </c>
      <c r="R6894" t="str">
        <f t="shared" si="215"/>
        <v>[umc2n1Z4wNv]|25-34|Female|NEW_INFECTIONS_SUBNAT.T|CY2025Q3</v>
      </c>
    </row>
    <row r="6895" spans="4:18" x14ac:dyDescent="0.2">
      <c r="D6895" t="s">
        <v>108</v>
      </c>
      <c r="E6895" t="s">
        <v>109</v>
      </c>
      <c r="F6895" t="s">
        <v>110</v>
      </c>
      <c r="G6895" t="s">
        <v>275</v>
      </c>
      <c r="H6895" t="s">
        <v>275</v>
      </c>
      <c r="I6895" t="s">
        <v>43</v>
      </c>
      <c r="J6895" t="s">
        <v>44</v>
      </c>
      <c r="K6895" t="s">
        <v>30</v>
      </c>
      <c r="L6895" t="s">
        <v>31</v>
      </c>
      <c r="M6895" t="s">
        <v>220</v>
      </c>
      <c r="N6895">
        <v>78</v>
      </c>
      <c r="O6895">
        <v>3.5491875999999999E-2</v>
      </c>
      <c r="P6895">
        <v>4.3931131999999998E-2</v>
      </c>
      <c r="Q6895" t="str">
        <f t="shared" si="214"/>
        <v>35-49</v>
      </c>
      <c r="R6895" t="str">
        <f t="shared" si="215"/>
        <v>[umc2n1Z4wNv]|35-49|Female|NEW_INFECTIONS_SUBNAT.T|CY2025Q3</v>
      </c>
    </row>
    <row r="6896" spans="4:18" x14ac:dyDescent="0.2">
      <c r="D6896" t="s">
        <v>108</v>
      </c>
      <c r="E6896" t="s">
        <v>109</v>
      </c>
      <c r="F6896" t="s">
        <v>110</v>
      </c>
      <c r="G6896" t="s">
        <v>275</v>
      </c>
      <c r="H6896" t="s">
        <v>275</v>
      </c>
      <c r="I6896" t="s">
        <v>45</v>
      </c>
      <c r="J6896" t="s">
        <v>46</v>
      </c>
      <c r="K6896" t="s">
        <v>30</v>
      </c>
      <c r="L6896" t="s">
        <v>31</v>
      </c>
      <c r="M6896" t="s">
        <v>220</v>
      </c>
      <c r="N6896">
        <v>14</v>
      </c>
      <c r="O6896">
        <v>4.0511906E-2</v>
      </c>
      <c r="P6896">
        <v>4.3931131999999998E-2</v>
      </c>
      <c r="Q6896" t="str">
        <f t="shared" si="214"/>
        <v>50+</v>
      </c>
      <c r="R6896" t="str">
        <f t="shared" si="215"/>
        <v>[umc2n1Z4wNv]|50+|Female|NEW_INFECTIONS_SUBNAT.T|CY2025Q3</v>
      </c>
    </row>
    <row r="6897" spans="4:18" x14ac:dyDescent="0.2">
      <c r="D6897" t="s">
        <v>108</v>
      </c>
      <c r="E6897" t="s">
        <v>109</v>
      </c>
      <c r="F6897" t="s">
        <v>110</v>
      </c>
      <c r="G6897" t="s">
        <v>275</v>
      </c>
      <c r="H6897" t="s">
        <v>275</v>
      </c>
      <c r="I6897" t="s">
        <v>28</v>
      </c>
      <c r="J6897" t="s">
        <v>29</v>
      </c>
      <c r="K6897" t="s">
        <v>48</v>
      </c>
      <c r="L6897" t="s">
        <v>49</v>
      </c>
      <c r="M6897" t="s">
        <v>220</v>
      </c>
      <c r="N6897">
        <v>43</v>
      </c>
      <c r="O6897">
        <v>4.4512301999999997E-2</v>
      </c>
      <c r="P6897">
        <v>4.3931131999999998E-2</v>
      </c>
      <c r="Q6897" t="str">
        <f t="shared" si="214"/>
        <v>&lt;01</v>
      </c>
      <c r="R6897" t="str">
        <f t="shared" si="215"/>
        <v>[umc2n1Z4wNv]|&lt;01|Male|NEW_INFECTIONS_SUBNAT.T|CY2025Q3</v>
      </c>
    </row>
    <row r="6898" spans="4:18" x14ac:dyDescent="0.2">
      <c r="D6898" t="s">
        <v>108</v>
      </c>
      <c r="E6898" t="s">
        <v>109</v>
      </c>
      <c r="F6898" t="s">
        <v>110</v>
      </c>
      <c r="G6898" t="s">
        <v>275</v>
      </c>
      <c r="H6898" t="s">
        <v>275</v>
      </c>
      <c r="I6898" t="s">
        <v>33</v>
      </c>
      <c r="J6898" t="s">
        <v>34</v>
      </c>
      <c r="K6898" t="s">
        <v>48</v>
      </c>
      <c r="L6898" t="s">
        <v>49</v>
      </c>
      <c r="M6898" t="s">
        <v>220</v>
      </c>
      <c r="N6898">
        <v>11</v>
      </c>
      <c r="O6898">
        <v>2.2256150999999998E-2</v>
      </c>
      <c r="P6898">
        <v>4.3931131999999998E-2</v>
      </c>
      <c r="Q6898" t="str">
        <f t="shared" si="214"/>
        <v>01-09</v>
      </c>
      <c r="R6898" t="str">
        <f t="shared" si="215"/>
        <v>[umc2n1Z4wNv]|01-09|Male|NEW_INFECTIONS_SUBNAT.T|CY2025Q3</v>
      </c>
    </row>
    <row r="6899" spans="4:18" x14ac:dyDescent="0.2">
      <c r="D6899" t="s">
        <v>108</v>
      </c>
      <c r="E6899" t="s">
        <v>109</v>
      </c>
      <c r="F6899" t="s">
        <v>110</v>
      </c>
      <c r="G6899" t="s">
        <v>275</v>
      </c>
      <c r="H6899" t="s">
        <v>275</v>
      </c>
      <c r="I6899" t="s">
        <v>36</v>
      </c>
      <c r="J6899" t="s">
        <v>37</v>
      </c>
      <c r="K6899" t="s">
        <v>48</v>
      </c>
      <c r="L6899" t="s">
        <v>49</v>
      </c>
      <c r="M6899" t="s">
        <v>220</v>
      </c>
      <c r="N6899">
        <v>0</v>
      </c>
      <c r="O6899">
        <v>0</v>
      </c>
      <c r="P6899">
        <v>4.3931131999999998E-2</v>
      </c>
      <c r="Q6899" t="str">
        <f t="shared" si="214"/>
        <v>10-14</v>
      </c>
      <c r="R6899" t="str">
        <f t="shared" si="215"/>
        <v>[umc2n1Z4wNv]|10-14|Male|NEW_INFECTIONS_SUBNAT.T|CY2025Q3</v>
      </c>
    </row>
    <row r="6900" spans="4:18" x14ac:dyDescent="0.2">
      <c r="D6900" t="s">
        <v>108</v>
      </c>
      <c r="E6900" t="s">
        <v>109</v>
      </c>
      <c r="F6900" t="s">
        <v>110</v>
      </c>
      <c r="G6900" t="s">
        <v>275</v>
      </c>
      <c r="H6900" t="s">
        <v>275</v>
      </c>
      <c r="I6900" t="s">
        <v>38</v>
      </c>
      <c r="J6900" t="s">
        <v>39</v>
      </c>
      <c r="K6900" t="s">
        <v>48</v>
      </c>
      <c r="L6900" t="s">
        <v>49</v>
      </c>
      <c r="M6900" t="s">
        <v>220</v>
      </c>
      <c r="N6900">
        <v>29</v>
      </c>
      <c r="O6900">
        <v>4.9535448000000003E-2</v>
      </c>
      <c r="P6900">
        <v>4.3931131999999998E-2</v>
      </c>
      <c r="Q6900" t="str">
        <f t="shared" si="214"/>
        <v>15-24</v>
      </c>
      <c r="R6900" t="str">
        <f t="shared" si="215"/>
        <v>[umc2n1Z4wNv]|15-24|Male|NEW_INFECTIONS_SUBNAT.T|CY2025Q3</v>
      </c>
    </row>
    <row r="6901" spans="4:18" x14ac:dyDescent="0.2">
      <c r="D6901" t="s">
        <v>108</v>
      </c>
      <c r="E6901" t="s">
        <v>109</v>
      </c>
      <c r="F6901" t="s">
        <v>110</v>
      </c>
      <c r="G6901" t="s">
        <v>275</v>
      </c>
      <c r="H6901" t="s">
        <v>275</v>
      </c>
      <c r="I6901" t="s">
        <v>41</v>
      </c>
      <c r="J6901" t="s">
        <v>42</v>
      </c>
      <c r="K6901" t="s">
        <v>48</v>
      </c>
      <c r="L6901" t="s">
        <v>49</v>
      </c>
      <c r="M6901" t="s">
        <v>220</v>
      </c>
      <c r="N6901">
        <v>92</v>
      </c>
      <c r="O6901">
        <v>4.8146117000000002E-2</v>
      </c>
      <c r="P6901">
        <v>4.3931131999999998E-2</v>
      </c>
      <c r="Q6901" t="str">
        <f t="shared" si="214"/>
        <v>25-34</v>
      </c>
      <c r="R6901" t="str">
        <f t="shared" si="215"/>
        <v>[umc2n1Z4wNv]|25-34|Male|NEW_INFECTIONS_SUBNAT.T|CY2025Q3</v>
      </c>
    </row>
    <row r="6902" spans="4:18" x14ac:dyDescent="0.2">
      <c r="D6902" t="s">
        <v>108</v>
      </c>
      <c r="E6902" t="s">
        <v>109</v>
      </c>
      <c r="F6902" t="s">
        <v>110</v>
      </c>
      <c r="G6902" t="s">
        <v>275</v>
      </c>
      <c r="H6902" t="s">
        <v>275</v>
      </c>
      <c r="I6902" t="s">
        <v>43</v>
      </c>
      <c r="J6902" t="s">
        <v>44</v>
      </c>
      <c r="K6902" t="s">
        <v>48</v>
      </c>
      <c r="L6902" t="s">
        <v>49</v>
      </c>
      <c r="M6902" t="s">
        <v>220</v>
      </c>
      <c r="N6902">
        <v>86</v>
      </c>
      <c r="O6902">
        <v>4.2733684000000001E-2</v>
      </c>
      <c r="P6902">
        <v>4.3931131999999998E-2</v>
      </c>
      <c r="Q6902" t="str">
        <f t="shared" si="214"/>
        <v>35-49</v>
      </c>
      <c r="R6902" t="str">
        <f t="shared" si="215"/>
        <v>[umc2n1Z4wNv]|35-49|Male|NEW_INFECTIONS_SUBNAT.T|CY2025Q3</v>
      </c>
    </row>
    <row r="6903" spans="4:18" x14ac:dyDescent="0.2">
      <c r="D6903" t="s">
        <v>108</v>
      </c>
      <c r="E6903" t="s">
        <v>109</v>
      </c>
      <c r="F6903" t="s">
        <v>110</v>
      </c>
      <c r="G6903" t="s">
        <v>275</v>
      </c>
      <c r="H6903" t="s">
        <v>275</v>
      </c>
      <c r="I6903" t="s">
        <v>45</v>
      </c>
      <c r="J6903" t="s">
        <v>46</v>
      </c>
      <c r="K6903" t="s">
        <v>48</v>
      </c>
      <c r="L6903" t="s">
        <v>49</v>
      </c>
      <c r="M6903" t="s">
        <v>220</v>
      </c>
      <c r="N6903">
        <v>23</v>
      </c>
      <c r="O6903">
        <v>4.1054069999999998E-2</v>
      </c>
      <c r="P6903">
        <v>4.3931131999999998E-2</v>
      </c>
      <c r="Q6903" t="str">
        <f t="shared" si="214"/>
        <v>50+</v>
      </c>
      <c r="R6903" t="str">
        <f t="shared" si="215"/>
        <v>[umc2n1Z4wNv]|50+|Male|NEW_INFECTIONS_SUBNAT.T|CY2025Q3</v>
      </c>
    </row>
    <row r="6904" spans="4:18" x14ac:dyDescent="0.2">
      <c r="D6904" t="s">
        <v>111</v>
      </c>
      <c r="E6904" t="s">
        <v>112</v>
      </c>
      <c r="F6904" t="s">
        <v>113</v>
      </c>
      <c r="G6904" t="s">
        <v>275</v>
      </c>
      <c r="H6904" t="s">
        <v>275</v>
      </c>
      <c r="I6904" t="s">
        <v>28</v>
      </c>
      <c r="J6904" t="s">
        <v>29</v>
      </c>
      <c r="K6904" t="s">
        <v>30</v>
      </c>
      <c r="L6904" t="s">
        <v>31</v>
      </c>
      <c r="M6904" t="s">
        <v>220</v>
      </c>
      <c r="N6904">
        <v>29</v>
      </c>
      <c r="O6904">
        <v>4.1835442E-2</v>
      </c>
      <c r="P6904">
        <v>4.1663251999999998E-2</v>
      </c>
      <c r="Q6904" t="str">
        <f t="shared" si="214"/>
        <v>&lt;01</v>
      </c>
      <c r="R6904" t="str">
        <f t="shared" si="215"/>
        <v>[AZyWpGzhcaA]|&lt;01|Female|NEW_INFECTIONS_SUBNAT.T|CY2025Q3</v>
      </c>
    </row>
    <row r="6905" spans="4:18" x14ac:dyDescent="0.2">
      <c r="D6905" t="s">
        <v>111</v>
      </c>
      <c r="E6905" t="s">
        <v>112</v>
      </c>
      <c r="F6905" t="s">
        <v>113</v>
      </c>
      <c r="G6905" t="s">
        <v>275</v>
      </c>
      <c r="H6905" t="s">
        <v>275</v>
      </c>
      <c r="I6905" t="s">
        <v>33</v>
      </c>
      <c r="J6905" t="s">
        <v>34</v>
      </c>
      <c r="K6905" t="s">
        <v>30</v>
      </c>
      <c r="L6905" t="s">
        <v>31</v>
      </c>
      <c r="M6905" t="s">
        <v>220</v>
      </c>
      <c r="N6905">
        <v>7</v>
      </c>
      <c r="O6905">
        <v>2.0917721E-2</v>
      </c>
      <c r="P6905">
        <v>4.1663251999999998E-2</v>
      </c>
      <c r="Q6905" t="str">
        <f t="shared" si="214"/>
        <v>01-09</v>
      </c>
      <c r="R6905" t="str">
        <f t="shared" si="215"/>
        <v>[AZyWpGzhcaA]|01-09|Female|NEW_INFECTIONS_SUBNAT.T|CY2025Q3</v>
      </c>
    </row>
    <row r="6906" spans="4:18" x14ac:dyDescent="0.2">
      <c r="D6906" t="s">
        <v>111</v>
      </c>
      <c r="E6906" t="s">
        <v>112</v>
      </c>
      <c r="F6906" t="s">
        <v>113</v>
      </c>
      <c r="G6906" t="s">
        <v>275</v>
      </c>
      <c r="H6906" t="s">
        <v>275</v>
      </c>
      <c r="I6906" t="s">
        <v>36</v>
      </c>
      <c r="J6906" t="s">
        <v>37</v>
      </c>
      <c r="K6906" t="s">
        <v>30</v>
      </c>
      <c r="L6906" t="s">
        <v>31</v>
      </c>
      <c r="M6906" t="s">
        <v>220</v>
      </c>
      <c r="N6906">
        <v>0</v>
      </c>
      <c r="O6906">
        <v>0</v>
      </c>
      <c r="P6906">
        <v>4.1663251999999998E-2</v>
      </c>
      <c r="Q6906" t="str">
        <f t="shared" si="214"/>
        <v>10-14</v>
      </c>
      <c r="R6906" t="str">
        <f t="shared" si="215"/>
        <v>[AZyWpGzhcaA]|10-14|Female|NEW_INFECTIONS_SUBNAT.T|CY2025Q3</v>
      </c>
    </row>
    <row r="6907" spans="4:18" x14ac:dyDescent="0.2">
      <c r="D6907" t="s">
        <v>111</v>
      </c>
      <c r="E6907" t="s">
        <v>112</v>
      </c>
      <c r="F6907" t="s">
        <v>113</v>
      </c>
      <c r="G6907" t="s">
        <v>275</v>
      </c>
      <c r="H6907" t="s">
        <v>275</v>
      </c>
      <c r="I6907" t="s">
        <v>38</v>
      </c>
      <c r="J6907" t="s">
        <v>39</v>
      </c>
      <c r="K6907" t="s">
        <v>30</v>
      </c>
      <c r="L6907" t="s">
        <v>31</v>
      </c>
      <c r="M6907" t="s">
        <v>220</v>
      </c>
      <c r="N6907">
        <v>104</v>
      </c>
      <c r="O6907">
        <v>4.6117884999999997E-2</v>
      </c>
      <c r="P6907">
        <v>4.1663251999999998E-2</v>
      </c>
      <c r="Q6907" t="str">
        <f t="shared" si="214"/>
        <v>15-24</v>
      </c>
      <c r="R6907" t="str">
        <f t="shared" si="215"/>
        <v>[AZyWpGzhcaA]|15-24|Female|NEW_INFECTIONS_SUBNAT.T|CY2025Q3</v>
      </c>
    </row>
    <row r="6908" spans="4:18" x14ac:dyDescent="0.2">
      <c r="D6908" t="s">
        <v>111</v>
      </c>
      <c r="E6908" t="s">
        <v>112</v>
      </c>
      <c r="F6908" t="s">
        <v>113</v>
      </c>
      <c r="G6908" t="s">
        <v>275</v>
      </c>
      <c r="H6908" t="s">
        <v>275</v>
      </c>
      <c r="I6908" t="s">
        <v>41</v>
      </c>
      <c r="J6908" t="s">
        <v>42</v>
      </c>
      <c r="K6908" t="s">
        <v>30</v>
      </c>
      <c r="L6908" t="s">
        <v>31</v>
      </c>
      <c r="M6908" t="s">
        <v>220</v>
      </c>
      <c r="N6908">
        <v>102</v>
      </c>
      <c r="O6908">
        <v>4.2027467999999998E-2</v>
      </c>
      <c r="P6908">
        <v>4.1663251999999998E-2</v>
      </c>
      <c r="Q6908" t="str">
        <f t="shared" si="214"/>
        <v>25-34</v>
      </c>
      <c r="R6908" t="str">
        <f t="shared" si="215"/>
        <v>[AZyWpGzhcaA]|25-34|Female|NEW_INFECTIONS_SUBNAT.T|CY2025Q3</v>
      </c>
    </row>
    <row r="6909" spans="4:18" x14ac:dyDescent="0.2">
      <c r="D6909" t="s">
        <v>111</v>
      </c>
      <c r="E6909" t="s">
        <v>112</v>
      </c>
      <c r="F6909" t="s">
        <v>113</v>
      </c>
      <c r="G6909" t="s">
        <v>275</v>
      </c>
      <c r="H6909" t="s">
        <v>275</v>
      </c>
      <c r="I6909" t="s">
        <v>43</v>
      </c>
      <c r="J6909" t="s">
        <v>44</v>
      </c>
      <c r="K6909" t="s">
        <v>30</v>
      </c>
      <c r="L6909" t="s">
        <v>31</v>
      </c>
      <c r="M6909" t="s">
        <v>220</v>
      </c>
      <c r="N6909">
        <v>44</v>
      </c>
      <c r="O6909">
        <v>3.2991775000000001E-2</v>
      </c>
      <c r="P6909">
        <v>4.1663251999999998E-2</v>
      </c>
      <c r="Q6909" t="str">
        <f t="shared" si="214"/>
        <v>35-49</v>
      </c>
      <c r="R6909" t="str">
        <f t="shared" si="215"/>
        <v>[AZyWpGzhcaA]|35-49|Female|NEW_INFECTIONS_SUBNAT.T|CY2025Q3</v>
      </c>
    </row>
    <row r="6910" spans="4:18" x14ac:dyDescent="0.2">
      <c r="D6910" t="s">
        <v>111</v>
      </c>
      <c r="E6910" t="s">
        <v>112</v>
      </c>
      <c r="F6910" t="s">
        <v>113</v>
      </c>
      <c r="G6910" t="s">
        <v>275</v>
      </c>
      <c r="H6910" t="s">
        <v>275</v>
      </c>
      <c r="I6910" t="s">
        <v>45</v>
      </c>
      <c r="J6910" t="s">
        <v>46</v>
      </c>
      <c r="K6910" t="s">
        <v>30</v>
      </c>
      <c r="L6910" t="s">
        <v>31</v>
      </c>
      <c r="M6910" t="s">
        <v>220</v>
      </c>
      <c r="N6910">
        <v>8</v>
      </c>
      <c r="O6910">
        <v>3.8306635999999998E-2</v>
      </c>
      <c r="P6910">
        <v>4.1663251999999998E-2</v>
      </c>
      <c r="Q6910" t="str">
        <f t="shared" si="214"/>
        <v>50+</v>
      </c>
      <c r="R6910" t="str">
        <f t="shared" si="215"/>
        <v>[AZyWpGzhcaA]|50+|Female|NEW_INFECTIONS_SUBNAT.T|CY2025Q3</v>
      </c>
    </row>
    <row r="6911" spans="4:18" x14ac:dyDescent="0.2">
      <c r="D6911" t="s">
        <v>111</v>
      </c>
      <c r="E6911" t="s">
        <v>112</v>
      </c>
      <c r="F6911" t="s">
        <v>113</v>
      </c>
      <c r="G6911" t="s">
        <v>275</v>
      </c>
      <c r="H6911" t="s">
        <v>275</v>
      </c>
      <c r="I6911" t="s">
        <v>28</v>
      </c>
      <c r="J6911" t="s">
        <v>29</v>
      </c>
      <c r="K6911" t="s">
        <v>48</v>
      </c>
      <c r="L6911" t="s">
        <v>49</v>
      </c>
      <c r="M6911" t="s">
        <v>220</v>
      </c>
      <c r="N6911">
        <v>30</v>
      </c>
      <c r="O6911">
        <v>4.1836203000000002E-2</v>
      </c>
      <c r="P6911">
        <v>4.1663251999999998E-2</v>
      </c>
      <c r="Q6911" t="str">
        <f t="shared" si="214"/>
        <v>&lt;01</v>
      </c>
      <c r="R6911" t="str">
        <f t="shared" si="215"/>
        <v>[AZyWpGzhcaA]|&lt;01|Male|NEW_INFECTIONS_SUBNAT.T|CY2025Q3</v>
      </c>
    </row>
    <row r="6912" spans="4:18" x14ac:dyDescent="0.2">
      <c r="D6912" t="s">
        <v>111</v>
      </c>
      <c r="E6912" t="s">
        <v>112</v>
      </c>
      <c r="F6912" t="s">
        <v>113</v>
      </c>
      <c r="G6912" t="s">
        <v>275</v>
      </c>
      <c r="H6912" t="s">
        <v>275</v>
      </c>
      <c r="I6912" t="s">
        <v>33</v>
      </c>
      <c r="J6912" t="s">
        <v>34</v>
      </c>
      <c r="K6912" t="s">
        <v>48</v>
      </c>
      <c r="L6912" t="s">
        <v>49</v>
      </c>
      <c r="M6912" t="s">
        <v>220</v>
      </c>
      <c r="N6912">
        <v>8</v>
      </c>
      <c r="O6912">
        <v>2.0918101000000001E-2</v>
      </c>
      <c r="P6912">
        <v>4.1663251999999998E-2</v>
      </c>
      <c r="Q6912" t="str">
        <f t="shared" si="214"/>
        <v>01-09</v>
      </c>
      <c r="R6912" t="str">
        <f t="shared" si="215"/>
        <v>[AZyWpGzhcaA]|01-09|Male|NEW_INFECTIONS_SUBNAT.T|CY2025Q3</v>
      </c>
    </row>
    <row r="6913" spans="4:18" x14ac:dyDescent="0.2">
      <c r="D6913" t="s">
        <v>111</v>
      </c>
      <c r="E6913" t="s">
        <v>112</v>
      </c>
      <c r="F6913" t="s">
        <v>113</v>
      </c>
      <c r="G6913" t="s">
        <v>275</v>
      </c>
      <c r="H6913" t="s">
        <v>275</v>
      </c>
      <c r="I6913" t="s">
        <v>36</v>
      </c>
      <c r="J6913" t="s">
        <v>37</v>
      </c>
      <c r="K6913" t="s">
        <v>48</v>
      </c>
      <c r="L6913" t="s">
        <v>49</v>
      </c>
      <c r="M6913" t="s">
        <v>220</v>
      </c>
      <c r="N6913">
        <v>0</v>
      </c>
      <c r="O6913">
        <v>0</v>
      </c>
      <c r="P6913">
        <v>4.1663251999999998E-2</v>
      </c>
      <c r="Q6913" t="str">
        <f t="shared" si="214"/>
        <v>10-14</v>
      </c>
      <c r="R6913" t="str">
        <f t="shared" si="215"/>
        <v>[AZyWpGzhcaA]|10-14|Male|NEW_INFECTIONS_SUBNAT.T|CY2025Q3</v>
      </c>
    </row>
    <row r="6914" spans="4:18" x14ac:dyDescent="0.2">
      <c r="D6914" t="s">
        <v>111</v>
      </c>
      <c r="E6914" t="s">
        <v>112</v>
      </c>
      <c r="F6914" t="s">
        <v>113</v>
      </c>
      <c r="G6914" t="s">
        <v>275</v>
      </c>
      <c r="H6914" t="s">
        <v>275</v>
      </c>
      <c r="I6914" t="s">
        <v>38</v>
      </c>
      <c r="J6914" t="s">
        <v>39</v>
      </c>
      <c r="K6914" t="s">
        <v>48</v>
      </c>
      <c r="L6914" t="s">
        <v>49</v>
      </c>
      <c r="M6914" t="s">
        <v>220</v>
      </c>
      <c r="N6914">
        <v>18</v>
      </c>
      <c r="O6914">
        <v>4.6978946000000001E-2</v>
      </c>
      <c r="P6914">
        <v>4.1663251999999998E-2</v>
      </c>
      <c r="Q6914" t="str">
        <f t="shared" si="214"/>
        <v>15-24</v>
      </c>
      <c r="R6914" t="str">
        <f t="shared" si="215"/>
        <v>[AZyWpGzhcaA]|15-24|Male|NEW_INFECTIONS_SUBNAT.T|CY2025Q3</v>
      </c>
    </row>
    <row r="6915" spans="4:18" x14ac:dyDescent="0.2">
      <c r="D6915" t="s">
        <v>111</v>
      </c>
      <c r="E6915" t="s">
        <v>112</v>
      </c>
      <c r="F6915" t="s">
        <v>113</v>
      </c>
      <c r="G6915" t="s">
        <v>275</v>
      </c>
      <c r="H6915" t="s">
        <v>275</v>
      </c>
      <c r="I6915" t="s">
        <v>41</v>
      </c>
      <c r="J6915" t="s">
        <v>42</v>
      </c>
      <c r="K6915" t="s">
        <v>48</v>
      </c>
      <c r="L6915" t="s">
        <v>49</v>
      </c>
      <c r="M6915" t="s">
        <v>220</v>
      </c>
      <c r="N6915">
        <v>60</v>
      </c>
      <c r="O6915">
        <v>4.5678025999999997E-2</v>
      </c>
      <c r="P6915">
        <v>4.1663251999999998E-2</v>
      </c>
      <c r="Q6915" t="str">
        <f t="shared" ref="Q6915:Q6978" si="216">SUBSTITUTE(SUBSTITUTE($I6915,CHAR(61),""),CHAR(34),"")</f>
        <v>25-34</v>
      </c>
      <c r="R6915" t="str">
        <f t="shared" ref="R6915:R6978" si="217">IF($D6915&lt;&gt;"","["&amp;$E6915&amp;"]"&amp;"|"&amp;$Q6915&amp;"|"&amp;$K6915&amp;"|"&amp;$G6915&amp;"|"&amp;IF($G6915="TX_CURR_SUBNAT.R","CY2023Q4",$M6915),"")</f>
        <v>[AZyWpGzhcaA]|25-34|Male|NEW_INFECTIONS_SUBNAT.T|CY2025Q3</v>
      </c>
    </row>
    <row r="6916" spans="4:18" x14ac:dyDescent="0.2">
      <c r="D6916" t="s">
        <v>111</v>
      </c>
      <c r="E6916" t="s">
        <v>112</v>
      </c>
      <c r="F6916" t="s">
        <v>113</v>
      </c>
      <c r="G6916" t="s">
        <v>275</v>
      </c>
      <c r="H6916" t="s">
        <v>275</v>
      </c>
      <c r="I6916" t="s">
        <v>43</v>
      </c>
      <c r="J6916" t="s">
        <v>44</v>
      </c>
      <c r="K6916" t="s">
        <v>48</v>
      </c>
      <c r="L6916" t="s">
        <v>49</v>
      </c>
      <c r="M6916" t="s">
        <v>220</v>
      </c>
      <c r="N6916">
        <v>53</v>
      </c>
      <c r="O6916">
        <v>4.0096850000000003E-2</v>
      </c>
      <c r="P6916">
        <v>4.1663251999999998E-2</v>
      </c>
      <c r="Q6916" t="str">
        <f t="shared" si="216"/>
        <v>35-49</v>
      </c>
      <c r="R6916" t="str">
        <f t="shared" si="217"/>
        <v>[AZyWpGzhcaA]|35-49|Male|NEW_INFECTIONS_SUBNAT.T|CY2025Q3</v>
      </c>
    </row>
    <row r="6917" spans="4:18" x14ac:dyDescent="0.2">
      <c r="D6917" t="s">
        <v>111</v>
      </c>
      <c r="E6917" t="s">
        <v>112</v>
      </c>
      <c r="F6917" t="s">
        <v>113</v>
      </c>
      <c r="G6917" t="s">
        <v>275</v>
      </c>
      <c r="H6917" t="s">
        <v>275</v>
      </c>
      <c r="I6917" t="s">
        <v>45</v>
      </c>
      <c r="J6917" t="s">
        <v>46</v>
      </c>
      <c r="K6917" t="s">
        <v>48</v>
      </c>
      <c r="L6917" t="s">
        <v>49</v>
      </c>
      <c r="M6917" t="s">
        <v>220</v>
      </c>
      <c r="N6917">
        <v>14</v>
      </c>
      <c r="O6917">
        <v>4.0433128999999998E-2</v>
      </c>
      <c r="P6917">
        <v>4.1663251999999998E-2</v>
      </c>
      <c r="Q6917" t="str">
        <f t="shared" si="216"/>
        <v>50+</v>
      </c>
      <c r="R6917" t="str">
        <f t="shared" si="217"/>
        <v>[AZyWpGzhcaA]|50+|Male|NEW_INFECTIONS_SUBNAT.T|CY2025Q3</v>
      </c>
    </row>
    <row r="6918" spans="4:18" x14ac:dyDescent="0.2">
      <c r="D6918" t="s">
        <v>114</v>
      </c>
      <c r="E6918" t="s">
        <v>115</v>
      </c>
      <c r="F6918" t="s">
        <v>116</v>
      </c>
      <c r="G6918" t="s">
        <v>275</v>
      </c>
      <c r="H6918" t="s">
        <v>275</v>
      </c>
      <c r="I6918" t="s">
        <v>28</v>
      </c>
      <c r="J6918" t="s">
        <v>29</v>
      </c>
      <c r="K6918" t="s">
        <v>30</v>
      </c>
      <c r="L6918" t="s">
        <v>31</v>
      </c>
      <c r="M6918" t="s">
        <v>220</v>
      </c>
      <c r="N6918">
        <v>24</v>
      </c>
      <c r="O6918">
        <v>6.7772115999999993E-2</v>
      </c>
      <c r="P6918">
        <v>6.9260353999999996E-2</v>
      </c>
      <c r="Q6918" t="str">
        <f t="shared" si="216"/>
        <v>&lt;01</v>
      </c>
      <c r="R6918" t="str">
        <f t="shared" si="217"/>
        <v>[ir8wuHHzoSs]|&lt;01|Female|NEW_INFECTIONS_SUBNAT.T|CY2025Q3</v>
      </c>
    </row>
    <row r="6919" spans="4:18" x14ac:dyDescent="0.2">
      <c r="D6919" t="s">
        <v>114</v>
      </c>
      <c r="E6919" t="s">
        <v>115</v>
      </c>
      <c r="F6919" t="s">
        <v>116</v>
      </c>
      <c r="G6919" t="s">
        <v>275</v>
      </c>
      <c r="H6919" t="s">
        <v>275</v>
      </c>
      <c r="I6919" t="s">
        <v>33</v>
      </c>
      <c r="J6919" t="s">
        <v>34</v>
      </c>
      <c r="K6919" t="s">
        <v>30</v>
      </c>
      <c r="L6919" t="s">
        <v>31</v>
      </c>
      <c r="M6919" t="s">
        <v>220</v>
      </c>
      <c r="N6919">
        <v>6</v>
      </c>
      <c r="O6919">
        <v>3.3886057999999997E-2</v>
      </c>
      <c r="P6919">
        <v>6.9260353999999996E-2</v>
      </c>
      <c r="Q6919" t="str">
        <f t="shared" si="216"/>
        <v>01-09</v>
      </c>
      <c r="R6919" t="str">
        <f t="shared" si="217"/>
        <v>[ir8wuHHzoSs]|01-09|Female|NEW_INFECTIONS_SUBNAT.T|CY2025Q3</v>
      </c>
    </row>
    <row r="6920" spans="4:18" x14ac:dyDescent="0.2">
      <c r="D6920" t="s">
        <v>114</v>
      </c>
      <c r="E6920" t="s">
        <v>115</v>
      </c>
      <c r="F6920" t="s">
        <v>116</v>
      </c>
      <c r="G6920" t="s">
        <v>275</v>
      </c>
      <c r="H6920" t="s">
        <v>275</v>
      </c>
      <c r="I6920" t="s">
        <v>36</v>
      </c>
      <c r="J6920" t="s">
        <v>37</v>
      </c>
      <c r="K6920" t="s">
        <v>30</v>
      </c>
      <c r="L6920" t="s">
        <v>31</v>
      </c>
      <c r="M6920" t="s">
        <v>220</v>
      </c>
      <c r="N6920">
        <v>0</v>
      </c>
      <c r="O6920">
        <v>0</v>
      </c>
      <c r="P6920">
        <v>6.9260353999999996E-2</v>
      </c>
      <c r="Q6920" t="str">
        <f t="shared" si="216"/>
        <v>10-14</v>
      </c>
      <c r="R6920" t="str">
        <f t="shared" si="217"/>
        <v>[ir8wuHHzoSs]|10-14|Female|NEW_INFECTIONS_SUBNAT.T|CY2025Q3</v>
      </c>
    </row>
    <row r="6921" spans="4:18" x14ac:dyDescent="0.2">
      <c r="D6921" t="s">
        <v>114</v>
      </c>
      <c r="E6921" t="s">
        <v>115</v>
      </c>
      <c r="F6921" t="s">
        <v>116</v>
      </c>
      <c r="G6921" t="s">
        <v>275</v>
      </c>
      <c r="H6921" t="s">
        <v>275</v>
      </c>
      <c r="I6921" t="s">
        <v>38</v>
      </c>
      <c r="J6921" t="s">
        <v>39</v>
      </c>
      <c r="K6921" t="s">
        <v>30</v>
      </c>
      <c r="L6921" t="s">
        <v>31</v>
      </c>
      <c r="M6921" t="s">
        <v>220</v>
      </c>
      <c r="N6921">
        <v>88</v>
      </c>
      <c r="O6921">
        <v>7.5270324999999999E-2</v>
      </c>
      <c r="P6921">
        <v>6.9260353999999996E-2</v>
      </c>
      <c r="Q6921" t="str">
        <f t="shared" si="216"/>
        <v>15-24</v>
      </c>
      <c r="R6921" t="str">
        <f t="shared" si="217"/>
        <v>[ir8wuHHzoSs]|15-24|Female|NEW_INFECTIONS_SUBNAT.T|CY2025Q3</v>
      </c>
    </row>
    <row r="6922" spans="4:18" x14ac:dyDescent="0.2">
      <c r="D6922" t="s">
        <v>114</v>
      </c>
      <c r="E6922" t="s">
        <v>115</v>
      </c>
      <c r="F6922" t="s">
        <v>116</v>
      </c>
      <c r="G6922" t="s">
        <v>275</v>
      </c>
      <c r="H6922" t="s">
        <v>275</v>
      </c>
      <c r="I6922" t="s">
        <v>41</v>
      </c>
      <c r="J6922" t="s">
        <v>42</v>
      </c>
      <c r="K6922" t="s">
        <v>30</v>
      </c>
      <c r="L6922" t="s">
        <v>31</v>
      </c>
      <c r="M6922" t="s">
        <v>220</v>
      </c>
      <c r="N6922">
        <v>83</v>
      </c>
      <c r="O6922">
        <v>7.0548606E-2</v>
      </c>
      <c r="P6922">
        <v>6.9260353999999996E-2</v>
      </c>
      <c r="Q6922" t="str">
        <f t="shared" si="216"/>
        <v>25-34</v>
      </c>
      <c r="R6922" t="str">
        <f t="shared" si="217"/>
        <v>[ir8wuHHzoSs]|25-34|Female|NEW_INFECTIONS_SUBNAT.T|CY2025Q3</v>
      </c>
    </row>
    <row r="6923" spans="4:18" x14ac:dyDescent="0.2">
      <c r="D6923" t="s">
        <v>114</v>
      </c>
      <c r="E6923" t="s">
        <v>115</v>
      </c>
      <c r="F6923" t="s">
        <v>116</v>
      </c>
      <c r="G6923" t="s">
        <v>275</v>
      </c>
      <c r="H6923" t="s">
        <v>275</v>
      </c>
      <c r="I6923" t="s">
        <v>43</v>
      </c>
      <c r="J6923" t="s">
        <v>44</v>
      </c>
      <c r="K6923" t="s">
        <v>30</v>
      </c>
      <c r="L6923" t="s">
        <v>31</v>
      </c>
      <c r="M6923" t="s">
        <v>220</v>
      </c>
      <c r="N6923">
        <v>41</v>
      </c>
      <c r="O6923">
        <v>6.0413666999999997E-2</v>
      </c>
      <c r="P6923">
        <v>6.9260353999999996E-2</v>
      </c>
      <c r="Q6923" t="str">
        <f t="shared" si="216"/>
        <v>35-49</v>
      </c>
      <c r="R6923" t="str">
        <f t="shared" si="217"/>
        <v>[ir8wuHHzoSs]|35-49|Female|NEW_INFECTIONS_SUBNAT.T|CY2025Q3</v>
      </c>
    </row>
    <row r="6924" spans="4:18" x14ac:dyDescent="0.2">
      <c r="D6924" t="s">
        <v>114</v>
      </c>
      <c r="E6924" t="s">
        <v>115</v>
      </c>
      <c r="F6924" t="s">
        <v>116</v>
      </c>
      <c r="G6924" t="s">
        <v>275</v>
      </c>
      <c r="H6924" t="s">
        <v>275</v>
      </c>
      <c r="I6924" t="s">
        <v>45</v>
      </c>
      <c r="J6924" t="s">
        <v>46</v>
      </c>
      <c r="K6924" t="s">
        <v>30</v>
      </c>
      <c r="L6924" t="s">
        <v>31</v>
      </c>
      <c r="M6924" t="s">
        <v>220</v>
      </c>
      <c r="N6924">
        <v>7</v>
      </c>
      <c r="O6924">
        <v>6.2718472999999997E-2</v>
      </c>
      <c r="P6924">
        <v>6.9260353999999996E-2</v>
      </c>
      <c r="Q6924" t="str">
        <f t="shared" si="216"/>
        <v>50+</v>
      </c>
      <c r="R6924" t="str">
        <f t="shared" si="217"/>
        <v>[ir8wuHHzoSs]|50+|Female|NEW_INFECTIONS_SUBNAT.T|CY2025Q3</v>
      </c>
    </row>
    <row r="6925" spans="4:18" x14ac:dyDescent="0.2">
      <c r="D6925" t="s">
        <v>114</v>
      </c>
      <c r="E6925" t="s">
        <v>115</v>
      </c>
      <c r="F6925" t="s">
        <v>116</v>
      </c>
      <c r="G6925" t="s">
        <v>275</v>
      </c>
      <c r="H6925" t="s">
        <v>275</v>
      </c>
      <c r="I6925" t="s">
        <v>28</v>
      </c>
      <c r="J6925" t="s">
        <v>29</v>
      </c>
      <c r="K6925" t="s">
        <v>48</v>
      </c>
      <c r="L6925" t="s">
        <v>49</v>
      </c>
      <c r="M6925" t="s">
        <v>220</v>
      </c>
      <c r="N6925">
        <v>25</v>
      </c>
      <c r="O6925">
        <v>6.7772122000000004E-2</v>
      </c>
      <c r="P6925">
        <v>6.9260353999999996E-2</v>
      </c>
      <c r="Q6925" t="str">
        <f t="shared" si="216"/>
        <v>&lt;01</v>
      </c>
      <c r="R6925" t="str">
        <f t="shared" si="217"/>
        <v>[ir8wuHHzoSs]|&lt;01|Male|NEW_INFECTIONS_SUBNAT.T|CY2025Q3</v>
      </c>
    </row>
    <row r="6926" spans="4:18" x14ac:dyDescent="0.2">
      <c r="D6926" t="s">
        <v>114</v>
      </c>
      <c r="E6926" t="s">
        <v>115</v>
      </c>
      <c r="F6926" t="s">
        <v>116</v>
      </c>
      <c r="G6926" t="s">
        <v>275</v>
      </c>
      <c r="H6926" t="s">
        <v>275</v>
      </c>
      <c r="I6926" t="s">
        <v>33</v>
      </c>
      <c r="J6926" t="s">
        <v>34</v>
      </c>
      <c r="K6926" t="s">
        <v>48</v>
      </c>
      <c r="L6926" t="s">
        <v>49</v>
      </c>
      <c r="M6926" t="s">
        <v>220</v>
      </c>
      <c r="N6926">
        <v>6</v>
      </c>
      <c r="O6926">
        <v>3.3886061000000002E-2</v>
      </c>
      <c r="P6926">
        <v>6.9260353999999996E-2</v>
      </c>
      <c r="Q6926" t="str">
        <f t="shared" si="216"/>
        <v>01-09</v>
      </c>
      <c r="R6926" t="str">
        <f t="shared" si="217"/>
        <v>[ir8wuHHzoSs]|01-09|Male|NEW_INFECTIONS_SUBNAT.T|CY2025Q3</v>
      </c>
    </row>
    <row r="6927" spans="4:18" x14ac:dyDescent="0.2">
      <c r="D6927" t="s">
        <v>114</v>
      </c>
      <c r="E6927" t="s">
        <v>115</v>
      </c>
      <c r="F6927" t="s">
        <v>116</v>
      </c>
      <c r="G6927" t="s">
        <v>275</v>
      </c>
      <c r="H6927" t="s">
        <v>275</v>
      </c>
      <c r="I6927" t="s">
        <v>36</v>
      </c>
      <c r="J6927" t="s">
        <v>37</v>
      </c>
      <c r="K6927" t="s">
        <v>48</v>
      </c>
      <c r="L6927" t="s">
        <v>49</v>
      </c>
      <c r="M6927" t="s">
        <v>220</v>
      </c>
      <c r="N6927">
        <v>0</v>
      </c>
      <c r="O6927">
        <v>0</v>
      </c>
      <c r="P6927">
        <v>6.9260353999999996E-2</v>
      </c>
      <c r="Q6927" t="str">
        <f t="shared" si="216"/>
        <v>10-14</v>
      </c>
      <c r="R6927" t="str">
        <f t="shared" si="217"/>
        <v>[ir8wuHHzoSs]|10-14|Male|NEW_INFECTIONS_SUBNAT.T|CY2025Q3</v>
      </c>
    </row>
    <row r="6928" spans="4:18" x14ac:dyDescent="0.2">
      <c r="D6928" t="s">
        <v>114</v>
      </c>
      <c r="E6928" t="s">
        <v>115</v>
      </c>
      <c r="F6928" t="s">
        <v>116</v>
      </c>
      <c r="G6928" t="s">
        <v>275</v>
      </c>
      <c r="H6928" t="s">
        <v>275</v>
      </c>
      <c r="I6928" t="s">
        <v>38</v>
      </c>
      <c r="J6928" t="s">
        <v>39</v>
      </c>
      <c r="K6928" t="s">
        <v>48</v>
      </c>
      <c r="L6928" t="s">
        <v>49</v>
      </c>
      <c r="M6928" t="s">
        <v>220</v>
      </c>
      <c r="N6928">
        <v>14</v>
      </c>
      <c r="O6928">
        <v>7.6337904999999998E-2</v>
      </c>
      <c r="P6928">
        <v>6.9260353999999996E-2</v>
      </c>
      <c r="Q6928" t="str">
        <f t="shared" si="216"/>
        <v>15-24</v>
      </c>
      <c r="R6928" t="str">
        <f t="shared" si="217"/>
        <v>[ir8wuHHzoSs]|15-24|Male|NEW_INFECTIONS_SUBNAT.T|CY2025Q3</v>
      </c>
    </row>
    <row r="6929" spans="4:18" x14ac:dyDescent="0.2">
      <c r="D6929" t="s">
        <v>114</v>
      </c>
      <c r="E6929" t="s">
        <v>115</v>
      </c>
      <c r="F6929" t="s">
        <v>116</v>
      </c>
      <c r="G6929" t="s">
        <v>275</v>
      </c>
      <c r="H6929" t="s">
        <v>275</v>
      </c>
      <c r="I6929" t="s">
        <v>41</v>
      </c>
      <c r="J6929" t="s">
        <v>42</v>
      </c>
      <c r="K6929" t="s">
        <v>48</v>
      </c>
      <c r="L6929" t="s">
        <v>49</v>
      </c>
      <c r="M6929" t="s">
        <v>220</v>
      </c>
      <c r="N6929">
        <v>44</v>
      </c>
      <c r="O6929">
        <v>7.5033694999999997E-2</v>
      </c>
      <c r="P6929">
        <v>6.9260353999999996E-2</v>
      </c>
      <c r="Q6929" t="str">
        <f t="shared" si="216"/>
        <v>25-34</v>
      </c>
      <c r="R6929" t="str">
        <f t="shared" si="217"/>
        <v>[ir8wuHHzoSs]|25-34|Male|NEW_INFECTIONS_SUBNAT.T|CY2025Q3</v>
      </c>
    </row>
    <row r="6930" spans="4:18" x14ac:dyDescent="0.2">
      <c r="D6930" t="s">
        <v>114</v>
      </c>
      <c r="E6930" t="s">
        <v>115</v>
      </c>
      <c r="F6930" t="s">
        <v>116</v>
      </c>
      <c r="G6930" t="s">
        <v>275</v>
      </c>
      <c r="H6930" t="s">
        <v>275</v>
      </c>
      <c r="I6930" t="s">
        <v>43</v>
      </c>
      <c r="J6930" t="s">
        <v>44</v>
      </c>
      <c r="K6930" t="s">
        <v>48</v>
      </c>
      <c r="L6930" t="s">
        <v>49</v>
      </c>
      <c r="M6930" t="s">
        <v>220</v>
      </c>
      <c r="N6930">
        <v>43</v>
      </c>
      <c r="O6930">
        <v>6.8913716999999999E-2</v>
      </c>
      <c r="P6930">
        <v>6.9260353999999996E-2</v>
      </c>
      <c r="Q6930" t="str">
        <f t="shared" si="216"/>
        <v>35-49</v>
      </c>
      <c r="R6930" t="str">
        <f t="shared" si="217"/>
        <v>[ir8wuHHzoSs]|35-49|Male|NEW_INFECTIONS_SUBNAT.T|CY2025Q3</v>
      </c>
    </row>
    <row r="6931" spans="4:18" x14ac:dyDescent="0.2">
      <c r="D6931" t="s">
        <v>114</v>
      </c>
      <c r="E6931" t="s">
        <v>115</v>
      </c>
      <c r="F6931" t="s">
        <v>116</v>
      </c>
      <c r="G6931" t="s">
        <v>275</v>
      </c>
      <c r="H6931" t="s">
        <v>275</v>
      </c>
      <c r="I6931" t="s">
        <v>45</v>
      </c>
      <c r="J6931" t="s">
        <v>46</v>
      </c>
      <c r="K6931" t="s">
        <v>48</v>
      </c>
      <c r="L6931" t="s">
        <v>49</v>
      </c>
      <c r="M6931" t="s">
        <v>220</v>
      </c>
      <c r="N6931">
        <v>13</v>
      </c>
      <c r="O6931">
        <v>6.5350380999999999E-2</v>
      </c>
      <c r="P6931">
        <v>6.9260353999999996E-2</v>
      </c>
      <c r="Q6931" t="str">
        <f t="shared" si="216"/>
        <v>50+</v>
      </c>
      <c r="R6931" t="str">
        <f t="shared" si="217"/>
        <v>[ir8wuHHzoSs]|50+|Male|NEW_INFECTIONS_SUBNAT.T|CY2025Q3</v>
      </c>
    </row>
    <row r="6932" spans="4:18" x14ac:dyDescent="0.2">
      <c r="D6932" t="s">
        <v>117</v>
      </c>
      <c r="E6932" t="s">
        <v>118</v>
      </c>
      <c r="F6932" t="s">
        <v>119</v>
      </c>
      <c r="G6932" t="s">
        <v>275</v>
      </c>
      <c r="H6932" t="s">
        <v>275</v>
      </c>
      <c r="I6932" t="s">
        <v>28</v>
      </c>
      <c r="J6932" t="s">
        <v>29</v>
      </c>
      <c r="K6932" t="s">
        <v>30</v>
      </c>
      <c r="L6932" t="s">
        <v>31</v>
      </c>
      <c r="M6932" t="s">
        <v>220</v>
      </c>
      <c r="N6932">
        <v>22</v>
      </c>
      <c r="O6932">
        <v>5.4225924000000002E-2</v>
      </c>
      <c r="P6932">
        <v>5.4254795000000001E-2</v>
      </c>
      <c r="Q6932" t="str">
        <f t="shared" si="216"/>
        <v>&lt;01</v>
      </c>
      <c r="R6932" t="str">
        <f t="shared" si="217"/>
        <v>[oiPR2CiVJbf]|&lt;01|Female|NEW_INFECTIONS_SUBNAT.T|CY2025Q3</v>
      </c>
    </row>
    <row r="6933" spans="4:18" x14ac:dyDescent="0.2">
      <c r="D6933" t="s">
        <v>117</v>
      </c>
      <c r="E6933" t="s">
        <v>118</v>
      </c>
      <c r="F6933" t="s">
        <v>119</v>
      </c>
      <c r="G6933" t="s">
        <v>275</v>
      </c>
      <c r="H6933" t="s">
        <v>275</v>
      </c>
      <c r="I6933" t="s">
        <v>33</v>
      </c>
      <c r="J6933" t="s">
        <v>34</v>
      </c>
      <c r="K6933" t="s">
        <v>30</v>
      </c>
      <c r="L6933" t="s">
        <v>31</v>
      </c>
      <c r="M6933" t="s">
        <v>220</v>
      </c>
      <c r="N6933">
        <v>6</v>
      </c>
      <c r="O6933">
        <v>2.7112962000000001E-2</v>
      </c>
      <c r="P6933">
        <v>5.4254795000000001E-2</v>
      </c>
      <c r="Q6933" t="str">
        <f t="shared" si="216"/>
        <v>01-09</v>
      </c>
      <c r="R6933" t="str">
        <f t="shared" si="217"/>
        <v>[oiPR2CiVJbf]|01-09|Female|NEW_INFECTIONS_SUBNAT.T|CY2025Q3</v>
      </c>
    </row>
    <row r="6934" spans="4:18" x14ac:dyDescent="0.2">
      <c r="D6934" t="s">
        <v>117</v>
      </c>
      <c r="E6934" t="s">
        <v>118</v>
      </c>
      <c r="F6934" t="s">
        <v>119</v>
      </c>
      <c r="G6934" t="s">
        <v>275</v>
      </c>
      <c r="H6934" t="s">
        <v>275</v>
      </c>
      <c r="I6934" t="s">
        <v>36</v>
      </c>
      <c r="J6934" t="s">
        <v>37</v>
      </c>
      <c r="K6934" t="s">
        <v>30</v>
      </c>
      <c r="L6934" t="s">
        <v>31</v>
      </c>
      <c r="M6934" t="s">
        <v>220</v>
      </c>
      <c r="N6934">
        <v>0</v>
      </c>
      <c r="O6934">
        <v>0</v>
      </c>
      <c r="P6934">
        <v>5.4254795000000001E-2</v>
      </c>
      <c r="Q6934" t="str">
        <f t="shared" si="216"/>
        <v>10-14</v>
      </c>
      <c r="R6934" t="str">
        <f t="shared" si="217"/>
        <v>[oiPR2CiVJbf]|10-14|Female|NEW_INFECTIONS_SUBNAT.T|CY2025Q3</v>
      </c>
    </row>
    <row r="6935" spans="4:18" x14ac:dyDescent="0.2">
      <c r="D6935" t="s">
        <v>117</v>
      </c>
      <c r="E6935" t="s">
        <v>118</v>
      </c>
      <c r="F6935" t="s">
        <v>119</v>
      </c>
      <c r="G6935" t="s">
        <v>275</v>
      </c>
      <c r="H6935" t="s">
        <v>275</v>
      </c>
      <c r="I6935" t="s">
        <v>38</v>
      </c>
      <c r="J6935" t="s">
        <v>39</v>
      </c>
      <c r="K6935" t="s">
        <v>30</v>
      </c>
      <c r="L6935" t="s">
        <v>31</v>
      </c>
      <c r="M6935" t="s">
        <v>220</v>
      </c>
      <c r="N6935">
        <v>102</v>
      </c>
      <c r="O6935">
        <v>6.1460114000000003E-2</v>
      </c>
      <c r="P6935">
        <v>5.4254795000000001E-2</v>
      </c>
      <c r="Q6935" t="str">
        <f t="shared" si="216"/>
        <v>15-24</v>
      </c>
      <c r="R6935" t="str">
        <f t="shared" si="217"/>
        <v>[oiPR2CiVJbf]|15-24|Female|NEW_INFECTIONS_SUBNAT.T|CY2025Q3</v>
      </c>
    </row>
    <row r="6936" spans="4:18" x14ac:dyDescent="0.2">
      <c r="D6936" t="s">
        <v>117</v>
      </c>
      <c r="E6936" t="s">
        <v>118</v>
      </c>
      <c r="F6936" t="s">
        <v>119</v>
      </c>
      <c r="G6936" t="s">
        <v>275</v>
      </c>
      <c r="H6936" t="s">
        <v>275</v>
      </c>
      <c r="I6936" t="s">
        <v>41</v>
      </c>
      <c r="J6936" t="s">
        <v>42</v>
      </c>
      <c r="K6936" t="s">
        <v>30</v>
      </c>
      <c r="L6936" t="s">
        <v>31</v>
      </c>
      <c r="M6936" t="s">
        <v>220</v>
      </c>
      <c r="N6936">
        <v>97</v>
      </c>
      <c r="O6936">
        <v>5.5651676999999997E-2</v>
      </c>
      <c r="P6936">
        <v>5.4254795000000001E-2</v>
      </c>
      <c r="Q6936" t="str">
        <f t="shared" si="216"/>
        <v>25-34</v>
      </c>
      <c r="R6936" t="str">
        <f t="shared" si="217"/>
        <v>[oiPR2CiVJbf]|25-34|Female|NEW_INFECTIONS_SUBNAT.T|CY2025Q3</v>
      </c>
    </row>
    <row r="6937" spans="4:18" x14ac:dyDescent="0.2">
      <c r="D6937" t="s">
        <v>117</v>
      </c>
      <c r="E6937" t="s">
        <v>118</v>
      </c>
      <c r="F6937" t="s">
        <v>119</v>
      </c>
      <c r="G6937" t="s">
        <v>275</v>
      </c>
      <c r="H6937" t="s">
        <v>275</v>
      </c>
      <c r="I6937" t="s">
        <v>43</v>
      </c>
      <c r="J6937" t="s">
        <v>44</v>
      </c>
      <c r="K6937" t="s">
        <v>30</v>
      </c>
      <c r="L6937" t="s">
        <v>31</v>
      </c>
      <c r="M6937" t="s">
        <v>220</v>
      </c>
      <c r="N6937">
        <v>48</v>
      </c>
      <c r="O6937">
        <v>4.4685483999999998E-2</v>
      </c>
      <c r="P6937">
        <v>5.4254795000000001E-2</v>
      </c>
      <c r="Q6937" t="str">
        <f t="shared" si="216"/>
        <v>35-49</v>
      </c>
      <c r="R6937" t="str">
        <f t="shared" si="217"/>
        <v>[oiPR2CiVJbf]|35-49|Female|NEW_INFECTIONS_SUBNAT.T|CY2025Q3</v>
      </c>
    </row>
    <row r="6938" spans="4:18" x14ac:dyDescent="0.2">
      <c r="D6938" t="s">
        <v>117</v>
      </c>
      <c r="E6938" t="s">
        <v>118</v>
      </c>
      <c r="F6938" t="s">
        <v>119</v>
      </c>
      <c r="G6938" t="s">
        <v>275</v>
      </c>
      <c r="H6938" t="s">
        <v>275</v>
      </c>
      <c r="I6938" t="s">
        <v>45</v>
      </c>
      <c r="J6938" t="s">
        <v>46</v>
      </c>
      <c r="K6938" t="s">
        <v>30</v>
      </c>
      <c r="L6938" t="s">
        <v>31</v>
      </c>
      <c r="M6938" t="s">
        <v>220</v>
      </c>
      <c r="N6938">
        <v>9</v>
      </c>
      <c r="O6938">
        <v>4.8959104000000003E-2</v>
      </c>
      <c r="P6938">
        <v>5.4254795000000001E-2</v>
      </c>
      <c r="Q6938" t="str">
        <f t="shared" si="216"/>
        <v>50+</v>
      </c>
      <c r="R6938" t="str">
        <f t="shared" si="217"/>
        <v>[oiPR2CiVJbf]|50+|Female|NEW_INFECTIONS_SUBNAT.T|CY2025Q3</v>
      </c>
    </row>
    <row r="6939" spans="4:18" x14ac:dyDescent="0.2">
      <c r="D6939" t="s">
        <v>117</v>
      </c>
      <c r="E6939" t="s">
        <v>118</v>
      </c>
      <c r="F6939" t="s">
        <v>119</v>
      </c>
      <c r="G6939" t="s">
        <v>275</v>
      </c>
      <c r="H6939" t="s">
        <v>275</v>
      </c>
      <c r="I6939" t="s">
        <v>28</v>
      </c>
      <c r="J6939" t="s">
        <v>29</v>
      </c>
      <c r="K6939" t="s">
        <v>48</v>
      </c>
      <c r="L6939" t="s">
        <v>49</v>
      </c>
      <c r="M6939" t="s">
        <v>220</v>
      </c>
      <c r="N6939">
        <v>23</v>
      </c>
      <c r="O6939">
        <v>5.4230038000000001E-2</v>
      </c>
      <c r="P6939">
        <v>5.4254795000000001E-2</v>
      </c>
      <c r="Q6939" t="str">
        <f t="shared" si="216"/>
        <v>&lt;01</v>
      </c>
      <c r="R6939" t="str">
        <f t="shared" si="217"/>
        <v>[oiPR2CiVJbf]|&lt;01|Male|NEW_INFECTIONS_SUBNAT.T|CY2025Q3</v>
      </c>
    </row>
    <row r="6940" spans="4:18" x14ac:dyDescent="0.2">
      <c r="D6940" t="s">
        <v>117</v>
      </c>
      <c r="E6940" t="s">
        <v>118</v>
      </c>
      <c r="F6940" t="s">
        <v>119</v>
      </c>
      <c r="G6940" t="s">
        <v>275</v>
      </c>
      <c r="H6940" t="s">
        <v>275</v>
      </c>
      <c r="I6940" t="s">
        <v>33</v>
      </c>
      <c r="J6940" t="s">
        <v>34</v>
      </c>
      <c r="K6940" t="s">
        <v>48</v>
      </c>
      <c r="L6940" t="s">
        <v>49</v>
      </c>
      <c r="M6940" t="s">
        <v>220</v>
      </c>
      <c r="N6940">
        <v>6</v>
      </c>
      <c r="O6940">
        <v>2.7115019000000001E-2</v>
      </c>
      <c r="P6940">
        <v>5.4254795000000001E-2</v>
      </c>
      <c r="Q6940" t="str">
        <f t="shared" si="216"/>
        <v>01-09</v>
      </c>
      <c r="R6940" t="str">
        <f t="shared" si="217"/>
        <v>[oiPR2CiVJbf]|01-09|Male|NEW_INFECTIONS_SUBNAT.T|CY2025Q3</v>
      </c>
    </row>
    <row r="6941" spans="4:18" x14ac:dyDescent="0.2">
      <c r="D6941" t="s">
        <v>117</v>
      </c>
      <c r="E6941" t="s">
        <v>118</v>
      </c>
      <c r="F6941" t="s">
        <v>119</v>
      </c>
      <c r="G6941" t="s">
        <v>275</v>
      </c>
      <c r="H6941" t="s">
        <v>275</v>
      </c>
      <c r="I6941" t="s">
        <v>36</v>
      </c>
      <c r="J6941" t="s">
        <v>37</v>
      </c>
      <c r="K6941" t="s">
        <v>48</v>
      </c>
      <c r="L6941" t="s">
        <v>49</v>
      </c>
      <c r="M6941" t="s">
        <v>220</v>
      </c>
      <c r="N6941">
        <v>0</v>
      </c>
      <c r="O6941">
        <v>0</v>
      </c>
      <c r="P6941">
        <v>5.4254795000000001E-2</v>
      </c>
      <c r="Q6941" t="str">
        <f t="shared" si="216"/>
        <v>10-14</v>
      </c>
      <c r="R6941" t="str">
        <f t="shared" si="217"/>
        <v>[oiPR2CiVJbf]|10-14|Male|NEW_INFECTIONS_SUBNAT.T|CY2025Q3</v>
      </c>
    </row>
    <row r="6942" spans="4:18" x14ac:dyDescent="0.2">
      <c r="D6942" t="s">
        <v>117</v>
      </c>
      <c r="E6942" t="s">
        <v>118</v>
      </c>
      <c r="F6942" t="s">
        <v>119</v>
      </c>
      <c r="G6942" t="s">
        <v>275</v>
      </c>
      <c r="H6942" t="s">
        <v>275</v>
      </c>
      <c r="I6942" t="s">
        <v>38</v>
      </c>
      <c r="J6942" t="s">
        <v>39</v>
      </c>
      <c r="K6942" t="s">
        <v>48</v>
      </c>
      <c r="L6942" t="s">
        <v>49</v>
      </c>
      <c r="M6942" t="s">
        <v>220</v>
      </c>
      <c r="N6942">
        <v>18</v>
      </c>
      <c r="O6942">
        <v>6.2946447000000003E-2</v>
      </c>
      <c r="P6942">
        <v>5.4254795000000001E-2</v>
      </c>
      <c r="Q6942" t="str">
        <f t="shared" si="216"/>
        <v>15-24</v>
      </c>
      <c r="R6942" t="str">
        <f t="shared" si="217"/>
        <v>[oiPR2CiVJbf]|15-24|Male|NEW_INFECTIONS_SUBNAT.T|CY2025Q3</v>
      </c>
    </row>
    <row r="6943" spans="4:18" x14ac:dyDescent="0.2">
      <c r="D6943" t="s">
        <v>117</v>
      </c>
      <c r="E6943" t="s">
        <v>118</v>
      </c>
      <c r="F6943" t="s">
        <v>119</v>
      </c>
      <c r="G6943" t="s">
        <v>275</v>
      </c>
      <c r="H6943" t="s">
        <v>275</v>
      </c>
      <c r="I6943" t="s">
        <v>41</v>
      </c>
      <c r="J6943" t="s">
        <v>42</v>
      </c>
      <c r="K6943" t="s">
        <v>48</v>
      </c>
      <c r="L6943" t="s">
        <v>49</v>
      </c>
      <c r="M6943" t="s">
        <v>220</v>
      </c>
      <c r="N6943">
        <v>57</v>
      </c>
      <c r="O6943">
        <v>6.0438233000000001E-2</v>
      </c>
      <c r="P6943">
        <v>5.4254795000000001E-2</v>
      </c>
      <c r="Q6943" t="str">
        <f t="shared" si="216"/>
        <v>25-34</v>
      </c>
      <c r="R6943" t="str">
        <f t="shared" si="217"/>
        <v>[oiPR2CiVJbf]|25-34|Male|NEW_INFECTIONS_SUBNAT.T|CY2025Q3</v>
      </c>
    </row>
    <row r="6944" spans="4:18" x14ac:dyDescent="0.2">
      <c r="D6944" t="s">
        <v>117</v>
      </c>
      <c r="E6944" t="s">
        <v>118</v>
      </c>
      <c r="F6944" t="s">
        <v>119</v>
      </c>
      <c r="G6944" t="s">
        <v>275</v>
      </c>
      <c r="H6944" t="s">
        <v>275</v>
      </c>
      <c r="I6944" t="s">
        <v>43</v>
      </c>
      <c r="J6944" t="s">
        <v>44</v>
      </c>
      <c r="K6944" t="s">
        <v>48</v>
      </c>
      <c r="L6944" t="s">
        <v>49</v>
      </c>
      <c r="M6944" t="s">
        <v>220</v>
      </c>
      <c r="N6944">
        <v>51</v>
      </c>
      <c r="O6944">
        <v>5.1419975E-2</v>
      </c>
      <c r="P6944">
        <v>5.4254795000000001E-2</v>
      </c>
      <c r="Q6944" t="str">
        <f t="shared" si="216"/>
        <v>35-49</v>
      </c>
      <c r="R6944" t="str">
        <f t="shared" si="217"/>
        <v>[oiPR2CiVJbf]|35-49|Male|NEW_INFECTIONS_SUBNAT.T|CY2025Q3</v>
      </c>
    </row>
    <row r="6945" spans="4:18" x14ac:dyDescent="0.2">
      <c r="D6945" t="s">
        <v>117</v>
      </c>
      <c r="E6945" t="s">
        <v>118</v>
      </c>
      <c r="F6945" t="s">
        <v>119</v>
      </c>
      <c r="G6945" t="s">
        <v>275</v>
      </c>
      <c r="H6945" t="s">
        <v>275</v>
      </c>
      <c r="I6945" t="s">
        <v>45</v>
      </c>
      <c r="J6945" t="s">
        <v>46</v>
      </c>
      <c r="K6945" t="s">
        <v>48</v>
      </c>
      <c r="L6945" t="s">
        <v>49</v>
      </c>
      <c r="M6945" t="s">
        <v>220</v>
      </c>
      <c r="N6945">
        <v>15</v>
      </c>
      <c r="O6945">
        <v>5.0260277999999999E-2</v>
      </c>
      <c r="P6945">
        <v>5.4254795000000001E-2</v>
      </c>
      <c r="Q6945" t="str">
        <f t="shared" si="216"/>
        <v>50+</v>
      </c>
      <c r="R6945" t="str">
        <f t="shared" si="217"/>
        <v>[oiPR2CiVJbf]|50+|Male|NEW_INFECTIONS_SUBNAT.T|CY2025Q3</v>
      </c>
    </row>
    <row r="6946" spans="4:18" x14ac:dyDescent="0.2">
      <c r="D6946" t="s">
        <v>120</v>
      </c>
      <c r="E6946" t="s">
        <v>121</v>
      </c>
      <c r="F6946" t="s">
        <v>122</v>
      </c>
      <c r="G6946" t="s">
        <v>275</v>
      </c>
      <c r="H6946" t="s">
        <v>275</v>
      </c>
      <c r="I6946" t="s">
        <v>28</v>
      </c>
      <c r="J6946" t="s">
        <v>29</v>
      </c>
      <c r="K6946" t="s">
        <v>30</v>
      </c>
      <c r="L6946" t="s">
        <v>31</v>
      </c>
      <c r="M6946" t="s">
        <v>220</v>
      </c>
      <c r="N6946">
        <v>69</v>
      </c>
      <c r="O6946">
        <v>3.1174288000000001E-2</v>
      </c>
      <c r="P6946">
        <v>4.2422412999999999E-2</v>
      </c>
      <c r="Q6946" t="str">
        <f t="shared" si="216"/>
        <v>&lt;01</v>
      </c>
      <c r="R6946" t="str">
        <f t="shared" si="217"/>
        <v>[mxqa3CDFmIT]|&lt;01|Female|NEW_INFECTIONS_SUBNAT.T|CY2025Q3</v>
      </c>
    </row>
    <row r="6947" spans="4:18" x14ac:dyDescent="0.2">
      <c r="D6947" t="s">
        <v>120</v>
      </c>
      <c r="E6947" t="s">
        <v>121</v>
      </c>
      <c r="F6947" t="s">
        <v>122</v>
      </c>
      <c r="G6947" t="s">
        <v>275</v>
      </c>
      <c r="H6947" t="s">
        <v>275</v>
      </c>
      <c r="I6947" t="s">
        <v>33</v>
      </c>
      <c r="J6947" t="s">
        <v>34</v>
      </c>
      <c r="K6947" t="s">
        <v>30</v>
      </c>
      <c r="L6947" t="s">
        <v>31</v>
      </c>
      <c r="M6947" t="s">
        <v>220</v>
      </c>
      <c r="N6947">
        <v>17</v>
      </c>
      <c r="O6947">
        <v>1.5587144000000001E-2</v>
      </c>
      <c r="P6947">
        <v>4.2422412999999999E-2</v>
      </c>
      <c r="Q6947" t="str">
        <f t="shared" si="216"/>
        <v>01-09</v>
      </c>
      <c r="R6947" t="str">
        <f t="shared" si="217"/>
        <v>[mxqa3CDFmIT]|01-09|Female|NEW_INFECTIONS_SUBNAT.T|CY2025Q3</v>
      </c>
    </row>
    <row r="6948" spans="4:18" x14ac:dyDescent="0.2">
      <c r="D6948" t="s">
        <v>120</v>
      </c>
      <c r="E6948" t="s">
        <v>121</v>
      </c>
      <c r="F6948" t="s">
        <v>122</v>
      </c>
      <c r="G6948" t="s">
        <v>275</v>
      </c>
      <c r="H6948" t="s">
        <v>275</v>
      </c>
      <c r="I6948" t="s">
        <v>36</v>
      </c>
      <c r="J6948" t="s">
        <v>37</v>
      </c>
      <c r="K6948" t="s">
        <v>30</v>
      </c>
      <c r="L6948" t="s">
        <v>31</v>
      </c>
      <c r="M6948" t="s">
        <v>220</v>
      </c>
      <c r="N6948">
        <v>0</v>
      </c>
      <c r="O6948">
        <v>0</v>
      </c>
      <c r="P6948">
        <v>4.2422412999999999E-2</v>
      </c>
      <c r="Q6948" t="str">
        <f t="shared" si="216"/>
        <v>10-14</v>
      </c>
      <c r="R6948" t="str">
        <f t="shared" si="217"/>
        <v>[mxqa3CDFmIT]|10-14|Female|NEW_INFECTIONS_SUBNAT.T|CY2025Q3</v>
      </c>
    </row>
    <row r="6949" spans="4:18" x14ac:dyDescent="0.2">
      <c r="D6949" t="s">
        <v>120</v>
      </c>
      <c r="E6949" t="s">
        <v>121</v>
      </c>
      <c r="F6949" t="s">
        <v>122</v>
      </c>
      <c r="G6949" t="s">
        <v>275</v>
      </c>
      <c r="H6949" t="s">
        <v>275</v>
      </c>
      <c r="I6949" t="s">
        <v>38</v>
      </c>
      <c r="J6949" t="s">
        <v>39</v>
      </c>
      <c r="K6949" t="s">
        <v>30</v>
      </c>
      <c r="L6949" t="s">
        <v>31</v>
      </c>
      <c r="M6949" t="s">
        <v>220</v>
      </c>
      <c r="N6949">
        <v>378</v>
      </c>
      <c r="O6949">
        <v>4.8205235999999999E-2</v>
      </c>
      <c r="P6949">
        <v>4.2422412999999999E-2</v>
      </c>
      <c r="Q6949" t="str">
        <f t="shared" si="216"/>
        <v>15-24</v>
      </c>
      <c r="R6949" t="str">
        <f t="shared" si="217"/>
        <v>[mxqa3CDFmIT]|15-24|Female|NEW_INFECTIONS_SUBNAT.T|CY2025Q3</v>
      </c>
    </row>
    <row r="6950" spans="4:18" x14ac:dyDescent="0.2">
      <c r="D6950" t="s">
        <v>120</v>
      </c>
      <c r="E6950" t="s">
        <v>121</v>
      </c>
      <c r="F6950" t="s">
        <v>122</v>
      </c>
      <c r="G6950" t="s">
        <v>275</v>
      </c>
      <c r="H6950" t="s">
        <v>275</v>
      </c>
      <c r="I6950" t="s">
        <v>41</v>
      </c>
      <c r="J6950" t="s">
        <v>42</v>
      </c>
      <c r="K6950" t="s">
        <v>30</v>
      </c>
      <c r="L6950" t="s">
        <v>31</v>
      </c>
      <c r="M6950" t="s">
        <v>220</v>
      </c>
      <c r="N6950">
        <v>383</v>
      </c>
      <c r="O6950">
        <v>4.5351106000000002E-2</v>
      </c>
      <c r="P6950">
        <v>4.2422412999999999E-2</v>
      </c>
      <c r="Q6950" t="str">
        <f t="shared" si="216"/>
        <v>25-34</v>
      </c>
      <c r="R6950" t="str">
        <f t="shared" si="217"/>
        <v>[mxqa3CDFmIT]|25-34|Female|NEW_INFECTIONS_SUBNAT.T|CY2025Q3</v>
      </c>
    </row>
    <row r="6951" spans="4:18" x14ac:dyDescent="0.2">
      <c r="D6951" t="s">
        <v>120</v>
      </c>
      <c r="E6951" t="s">
        <v>121</v>
      </c>
      <c r="F6951" t="s">
        <v>122</v>
      </c>
      <c r="G6951" t="s">
        <v>275</v>
      </c>
      <c r="H6951" t="s">
        <v>275</v>
      </c>
      <c r="I6951" t="s">
        <v>43</v>
      </c>
      <c r="J6951" t="s">
        <v>44</v>
      </c>
      <c r="K6951" t="s">
        <v>30</v>
      </c>
      <c r="L6951" t="s">
        <v>31</v>
      </c>
      <c r="M6951" t="s">
        <v>220</v>
      </c>
      <c r="N6951">
        <v>150</v>
      </c>
      <c r="O6951">
        <v>3.9888057999999997E-2</v>
      </c>
      <c r="P6951">
        <v>4.2422412999999999E-2</v>
      </c>
      <c r="Q6951" t="str">
        <f t="shared" si="216"/>
        <v>35-49</v>
      </c>
      <c r="R6951" t="str">
        <f t="shared" si="217"/>
        <v>[mxqa3CDFmIT]|35-49|Female|NEW_INFECTIONS_SUBNAT.T|CY2025Q3</v>
      </c>
    </row>
    <row r="6952" spans="4:18" x14ac:dyDescent="0.2">
      <c r="D6952" t="s">
        <v>120</v>
      </c>
      <c r="E6952" t="s">
        <v>121</v>
      </c>
      <c r="F6952" t="s">
        <v>122</v>
      </c>
      <c r="G6952" t="s">
        <v>275</v>
      </c>
      <c r="H6952" t="s">
        <v>275</v>
      </c>
      <c r="I6952" t="s">
        <v>45</v>
      </c>
      <c r="J6952" t="s">
        <v>46</v>
      </c>
      <c r="K6952" t="s">
        <v>30</v>
      </c>
      <c r="L6952" t="s">
        <v>31</v>
      </c>
      <c r="M6952" t="s">
        <v>220</v>
      </c>
      <c r="N6952">
        <v>18</v>
      </c>
      <c r="O6952">
        <v>4.6482328000000003E-2</v>
      </c>
      <c r="P6952">
        <v>4.2422412999999999E-2</v>
      </c>
      <c r="Q6952" t="str">
        <f t="shared" si="216"/>
        <v>50+</v>
      </c>
      <c r="R6952" t="str">
        <f t="shared" si="217"/>
        <v>[mxqa3CDFmIT]|50+|Female|NEW_INFECTIONS_SUBNAT.T|CY2025Q3</v>
      </c>
    </row>
    <row r="6953" spans="4:18" x14ac:dyDescent="0.2">
      <c r="D6953" t="s">
        <v>120</v>
      </c>
      <c r="E6953" t="s">
        <v>121</v>
      </c>
      <c r="F6953" t="s">
        <v>122</v>
      </c>
      <c r="G6953" t="s">
        <v>275</v>
      </c>
      <c r="H6953" t="s">
        <v>275</v>
      </c>
      <c r="I6953" t="s">
        <v>28</v>
      </c>
      <c r="J6953" t="s">
        <v>29</v>
      </c>
      <c r="K6953" t="s">
        <v>48</v>
      </c>
      <c r="L6953" t="s">
        <v>49</v>
      </c>
      <c r="M6953" t="s">
        <v>220</v>
      </c>
      <c r="N6953">
        <v>69</v>
      </c>
      <c r="O6953">
        <v>3.1174016999999998E-2</v>
      </c>
      <c r="P6953">
        <v>4.2422412999999999E-2</v>
      </c>
      <c r="Q6953" t="str">
        <f t="shared" si="216"/>
        <v>&lt;01</v>
      </c>
      <c r="R6953" t="str">
        <f t="shared" si="217"/>
        <v>[mxqa3CDFmIT]|&lt;01|Male|NEW_INFECTIONS_SUBNAT.T|CY2025Q3</v>
      </c>
    </row>
    <row r="6954" spans="4:18" x14ac:dyDescent="0.2">
      <c r="D6954" t="s">
        <v>120</v>
      </c>
      <c r="E6954" t="s">
        <v>121</v>
      </c>
      <c r="F6954" t="s">
        <v>122</v>
      </c>
      <c r="G6954" t="s">
        <v>275</v>
      </c>
      <c r="H6954" t="s">
        <v>275</v>
      </c>
      <c r="I6954" t="s">
        <v>33</v>
      </c>
      <c r="J6954" t="s">
        <v>34</v>
      </c>
      <c r="K6954" t="s">
        <v>48</v>
      </c>
      <c r="L6954" t="s">
        <v>49</v>
      </c>
      <c r="M6954" t="s">
        <v>220</v>
      </c>
      <c r="N6954">
        <v>17</v>
      </c>
      <c r="O6954">
        <v>1.5587009000000001E-2</v>
      </c>
      <c r="P6954">
        <v>4.2422412999999999E-2</v>
      </c>
      <c r="Q6954" t="str">
        <f t="shared" si="216"/>
        <v>01-09</v>
      </c>
      <c r="R6954" t="str">
        <f t="shared" si="217"/>
        <v>[mxqa3CDFmIT]|01-09|Male|NEW_INFECTIONS_SUBNAT.T|CY2025Q3</v>
      </c>
    </row>
    <row r="6955" spans="4:18" x14ac:dyDescent="0.2">
      <c r="D6955" t="s">
        <v>120</v>
      </c>
      <c r="E6955" t="s">
        <v>121</v>
      </c>
      <c r="F6955" t="s">
        <v>122</v>
      </c>
      <c r="G6955" t="s">
        <v>275</v>
      </c>
      <c r="H6955" t="s">
        <v>275</v>
      </c>
      <c r="I6955" t="s">
        <v>36</v>
      </c>
      <c r="J6955" t="s">
        <v>37</v>
      </c>
      <c r="K6955" t="s">
        <v>48</v>
      </c>
      <c r="L6955" t="s">
        <v>49</v>
      </c>
      <c r="M6955" t="s">
        <v>220</v>
      </c>
      <c r="N6955">
        <v>0</v>
      </c>
      <c r="O6955">
        <v>0</v>
      </c>
      <c r="P6955">
        <v>4.2422412999999999E-2</v>
      </c>
      <c r="Q6955" t="str">
        <f t="shared" si="216"/>
        <v>10-14</v>
      </c>
      <c r="R6955" t="str">
        <f t="shared" si="217"/>
        <v>[mxqa3CDFmIT]|10-14|Male|NEW_INFECTIONS_SUBNAT.T|CY2025Q3</v>
      </c>
    </row>
    <row r="6956" spans="4:18" x14ac:dyDescent="0.2">
      <c r="D6956" t="s">
        <v>120</v>
      </c>
      <c r="E6956" t="s">
        <v>121</v>
      </c>
      <c r="F6956" t="s">
        <v>122</v>
      </c>
      <c r="G6956" t="s">
        <v>275</v>
      </c>
      <c r="H6956" t="s">
        <v>275</v>
      </c>
      <c r="I6956" t="s">
        <v>38</v>
      </c>
      <c r="J6956" t="s">
        <v>39</v>
      </c>
      <c r="K6956" t="s">
        <v>48</v>
      </c>
      <c r="L6956" t="s">
        <v>49</v>
      </c>
      <c r="M6956" t="s">
        <v>220</v>
      </c>
      <c r="N6956">
        <v>69</v>
      </c>
      <c r="O6956">
        <v>4.8967045000000001E-2</v>
      </c>
      <c r="P6956">
        <v>4.2422412999999999E-2</v>
      </c>
      <c r="Q6956" t="str">
        <f t="shared" si="216"/>
        <v>15-24</v>
      </c>
      <c r="R6956" t="str">
        <f t="shared" si="217"/>
        <v>[mxqa3CDFmIT]|15-24|Male|NEW_INFECTIONS_SUBNAT.T|CY2025Q3</v>
      </c>
    </row>
    <row r="6957" spans="4:18" x14ac:dyDescent="0.2">
      <c r="D6957" t="s">
        <v>120</v>
      </c>
      <c r="E6957" t="s">
        <v>121</v>
      </c>
      <c r="F6957" t="s">
        <v>122</v>
      </c>
      <c r="G6957" t="s">
        <v>275</v>
      </c>
      <c r="H6957" t="s">
        <v>275</v>
      </c>
      <c r="I6957" t="s">
        <v>41</v>
      </c>
      <c r="J6957" t="s">
        <v>42</v>
      </c>
      <c r="K6957" t="s">
        <v>48</v>
      </c>
      <c r="L6957" t="s">
        <v>49</v>
      </c>
      <c r="M6957" t="s">
        <v>220</v>
      </c>
      <c r="N6957">
        <v>244</v>
      </c>
      <c r="O6957">
        <v>4.7787893999999997E-2</v>
      </c>
      <c r="P6957">
        <v>4.2422412999999999E-2</v>
      </c>
      <c r="Q6957" t="str">
        <f t="shared" si="216"/>
        <v>25-34</v>
      </c>
      <c r="R6957" t="str">
        <f t="shared" si="217"/>
        <v>[mxqa3CDFmIT]|25-34|Male|NEW_INFECTIONS_SUBNAT.T|CY2025Q3</v>
      </c>
    </row>
    <row r="6958" spans="4:18" x14ac:dyDescent="0.2">
      <c r="D6958" t="s">
        <v>120</v>
      </c>
      <c r="E6958" t="s">
        <v>121</v>
      </c>
      <c r="F6958" t="s">
        <v>122</v>
      </c>
      <c r="G6958" t="s">
        <v>275</v>
      </c>
      <c r="H6958" t="s">
        <v>275</v>
      </c>
      <c r="I6958" t="s">
        <v>43</v>
      </c>
      <c r="J6958" t="s">
        <v>44</v>
      </c>
      <c r="K6958" t="s">
        <v>48</v>
      </c>
      <c r="L6958" t="s">
        <v>49</v>
      </c>
      <c r="M6958" t="s">
        <v>220</v>
      </c>
      <c r="N6958">
        <v>209</v>
      </c>
      <c r="O6958">
        <v>4.2794802999999999E-2</v>
      </c>
      <c r="P6958">
        <v>4.2422412999999999E-2</v>
      </c>
      <c r="Q6958" t="str">
        <f t="shared" si="216"/>
        <v>35-49</v>
      </c>
      <c r="R6958" t="str">
        <f t="shared" si="217"/>
        <v>[mxqa3CDFmIT]|35-49|Male|NEW_INFECTIONS_SUBNAT.T|CY2025Q3</v>
      </c>
    </row>
    <row r="6959" spans="4:18" x14ac:dyDescent="0.2">
      <c r="D6959" t="s">
        <v>120</v>
      </c>
      <c r="E6959" t="s">
        <v>121</v>
      </c>
      <c r="F6959" t="s">
        <v>122</v>
      </c>
      <c r="G6959" t="s">
        <v>275</v>
      </c>
      <c r="H6959" t="s">
        <v>275</v>
      </c>
      <c r="I6959" t="s">
        <v>45</v>
      </c>
      <c r="J6959" t="s">
        <v>46</v>
      </c>
      <c r="K6959" t="s">
        <v>48</v>
      </c>
      <c r="L6959" t="s">
        <v>49</v>
      </c>
      <c r="M6959" t="s">
        <v>220</v>
      </c>
      <c r="N6959">
        <v>40</v>
      </c>
      <c r="O6959">
        <v>4.5040285999999999E-2</v>
      </c>
      <c r="P6959">
        <v>4.2422412999999999E-2</v>
      </c>
      <c r="Q6959" t="str">
        <f t="shared" si="216"/>
        <v>50+</v>
      </c>
      <c r="R6959" t="str">
        <f t="shared" si="217"/>
        <v>[mxqa3CDFmIT]|50+|Male|NEW_INFECTIONS_SUBNAT.T|CY2025Q3</v>
      </c>
    </row>
    <row r="6960" spans="4:18" x14ac:dyDescent="0.2">
      <c r="D6960" t="s">
        <v>123</v>
      </c>
      <c r="E6960" t="s">
        <v>124</v>
      </c>
      <c r="F6960" t="s">
        <v>125</v>
      </c>
      <c r="G6960" t="s">
        <v>275</v>
      </c>
      <c r="H6960" t="s">
        <v>275</v>
      </c>
      <c r="I6960" t="s">
        <v>28</v>
      </c>
      <c r="J6960" t="s">
        <v>29</v>
      </c>
      <c r="K6960" t="s">
        <v>30</v>
      </c>
      <c r="L6960" t="s">
        <v>31</v>
      </c>
      <c r="M6960" t="s">
        <v>220</v>
      </c>
      <c r="N6960">
        <v>5</v>
      </c>
      <c r="O6960">
        <v>8.4715042000000004E-2</v>
      </c>
      <c r="P6960">
        <v>8.8202899000000001E-2</v>
      </c>
      <c r="Q6960" t="str">
        <f t="shared" si="216"/>
        <v>&lt;01</v>
      </c>
      <c r="R6960" t="str">
        <f t="shared" si="217"/>
        <v>[wNqJp8oRIcF]|&lt;01|Female|NEW_INFECTIONS_SUBNAT.T|CY2025Q3</v>
      </c>
    </row>
    <row r="6961" spans="4:18" x14ac:dyDescent="0.2">
      <c r="D6961" t="s">
        <v>123</v>
      </c>
      <c r="E6961" t="s">
        <v>124</v>
      </c>
      <c r="F6961" t="s">
        <v>125</v>
      </c>
      <c r="G6961" t="s">
        <v>275</v>
      </c>
      <c r="H6961" t="s">
        <v>275</v>
      </c>
      <c r="I6961" t="s">
        <v>33</v>
      </c>
      <c r="J6961" t="s">
        <v>34</v>
      </c>
      <c r="K6961" t="s">
        <v>30</v>
      </c>
      <c r="L6961" t="s">
        <v>31</v>
      </c>
      <c r="M6961" t="s">
        <v>220</v>
      </c>
      <c r="N6961">
        <v>1</v>
      </c>
      <c r="O6961">
        <v>4.2357521000000002E-2</v>
      </c>
      <c r="P6961">
        <v>8.8202899000000001E-2</v>
      </c>
      <c r="Q6961" t="str">
        <f t="shared" si="216"/>
        <v>01-09</v>
      </c>
      <c r="R6961" t="str">
        <f t="shared" si="217"/>
        <v>[wNqJp8oRIcF]|01-09|Female|NEW_INFECTIONS_SUBNAT.T|CY2025Q3</v>
      </c>
    </row>
    <row r="6962" spans="4:18" x14ac:dyDescent="0.2">
      <c r="D6962" t="s">
        <v>123</v>
      </c>
      <c r="E6962" t="s">
        <v>124</v>
      </c>
      <c r="F6962" t="s">
        <v>125</v>
      </c>
      <c r="G6962" t="s">
        <v>275</v>
      </c>
      <c r="H6962" t="s">
        <v>275</v>
      </c>
      <c r="I6962" t="s">
        <v>36</v>
      </c>
      <c r="J6962" t="s">
        <v>37</v>
      </c>
      <c r="K6962" t="s">
        <v>30</v>
      </c>
      <c r="L6962" t="s">
        <v>31</v>
      </c>
      <c r="M6962" t="s">
        <v>220</v>
      </c>
      <c r="N6962">
        <v>0</v>
      </c>
      <c r="O6962">
        <v>0</v>
      </c>
      <c r="P6962">
        <v>8.8202899000000001E-2</v>
      </c>
      <c r="Q6962" t="str">
        <f t="shared" si="216"/>
        <v>10-14</v>
      </c>
      <c r="R6962" t="str">
        <f t="shared" si="217"/>
        <v>[wNqJp8oRIcF]|10-14|Female|NEW_INFECTIONS_SUBNAT.T|CY2025Q3</v>
      </c>
    </row>
    <row r="6963" spans="4:18" x14ac:dyDescent="0.2">
      <c r="D6963" t="s">
        <v>123</v>
      </c>
      <c r="E6963" t="s">
        <v>124</v>
      </c>
      <c r="F6963" t="s">
        <v>125</v>
      </c>
      <c r="G6963" t="s">
        <v>275</v>
      </c>
      <c r="H6963" t="s">
        <v>275</v>
      </c>
      <c r="I6963" t="s">
        <v>38</v>
      </c>
      <c r="J6963" t="s">
        <v>39</v>
      </c>
      <c r="K6963" t="s">
        <v>30</v>
      </c>
      <c r="L6963" t="s">
        <v>31</v>
      </c>
      <c r="M6963" t="s">
        <v>220</v>
      </c>
      <c r="N6963">
        <v>21</v>
      </c>
      <c r="O6963">
        <v>9.4322619999999996E-2</v>
      </c>
      <c r="P6963">
        <v>8.8202899000000001E-2</v>
      </c>
      <c r="Q6963" t="str">
        <f t="shared" si="216"/>
        <v>15-24</v>
      </c>
      <c r="R6963" t="str">
        <f t="shared" si="217"/>
        <v>[wNqJp8oRIcF]|15-24|Female|NEW_INFECTIONS_SUBNAT.T|CY2025Q3</v>
      </c>
    </row>
    <row r="6964" spans="4:18" x14ac:dyDescent="0.2">
      <c r="D6964" t="s">
        <v>123</v>
      </c>
      <c r="E6964" t="s">
        <v>124</v>
      </c>
      <c r="F6964" t="s">
        <v>125</v>
      </c>
      <c r="G6964" t="s">
        <v>275</v>
      </c>
      <c r="H6964" t="s">
        <v>275</v>
      </c>
      <c r="I6964" t="s">
        <v>41</v>
      </c>
      <c r="J6964" t="s">
        <v>42</v>
      </c>
      <c r="K6964" t="s">
        <v>30</v>
      </c>
      <c r="L6964" t="s">
        <v>31</v>
      </c>
      <c r="M6964" t="s">
        <v>220</v>
      </c>
      <c r="N6964">
        <v>20</v>
      </c>
      <c r="O6964">
        <v>9.0221345999999994E-2</v>
      </c>
      <c r="P6964">
        <v>8.8202899000000001E-2</v>
      </c>
      <c r="Q6964" t="str">
        <f t="shared" si="216"/>
        <v>25-34</v>
      </c>
      <c r="R6964" t="str">
        <f t="shared" si="217"/>
        <v>[wNqJp8oRIcF]|25-34|Female|NEW_INFECTIONS_SUBNAT.T|CY2025Q3</v>
      </c>
    </row>
    <row r="6965" spans="4:18" x14ac:dyDescent="0.2">
      <c r="D6965" t="s">
        <v>123</v>
      </c>
      <c r="E6965" t="s">
        <v>124</v>
      </c>
      <c r="F6965" t="s">
        <v>125</v>
      </c>
      <c r="G6965" t="s">
        <v>275</v>
      </c>
      <c r="H6965" t="s">
        <v>275</v>
      </c>
      <c r="I6965" t="s">
        <v>43</v>
      </c>
      <c r="J6965" t="s">
        <v>44</v>
      </c>
      <c r="K6965" t="s">
        <v>30</v>
      </c>
      <c r="L6965" t="s">
        <v>31</v>
      </c>
      <c r="M6965" t="s">
        <v>220</v>
      </c>
      <c r="N6965">
        <v>10</v>
      </c>
      <c r="O6965">
        <v>8.0593490000000004E-2</v>
      </c>
      <c r="P6965">
        <v>8.8202899000000001E-2</v>
      </c>
      <c r="Q6965" t="str">
        <f t="shared" si="216"/>
        <v>35-49</v>
      </c>
      <c r="R6965" t="str">
        <f t="shared" si="217"/>
        <v>[wNqJp8oRIcF]|35-49|Female|NEW_INFECTIONS_SUBNAT.T|CY2025Q3</v>
      </c>
    </row>
    <row r="6966" spans="4:18" x14ac:dyDescent="0.2">
      <c r="D6966" t="s">
        <v>123</v>
      </c>
      <c r="E6966" t="s">
        <v>124</v>
      </c>
      <c r="F6966" t="s">
        <v>125</v>
      </c>
      <c r="G6966" t="s">
        <v>275</v>
      </c>
      <c r="H6966" t="s">
        <v>275</v>
      </c>
      <c r="I6966" t="s">
        <v>45</v>
      </c>
      <c r="J6966" t="s">
        <v>46</v>
      </c>
      <c r="K6966" t="s">
        <v>30</v>
      </c>
      <c r="L6966" t="s">
        <v>31</v>
      </c>
      <c r="M6966" t="s">
        <v>220</v>
      </c>
      <c r="N6966">
        <v>2</v>
      </c>
      <c r="O6966">
        <v>8.1229028999999994E-2</v>
      </c>
      <c r="P6966">
        <v>8.8202899000000001E-2</v>
      </c>
      <c r="Q6966" t="str">
        <f t="shared" si="216"/>
        <v>50+</v>
      </c>
      <c r="R6966" t="str">
        <f t="shared" si="217"/>
        <v>[wNqJp8oRIcF]|50+|Female|NEW_INFECTIONS_SUBNAT.T|CY2025Q3</v>
      </c>
    </row>
    <row r="6967" spans="4:18" x14ac:dyDescent="0.2">
      <c r="D6967" t="s">
        <v>123</v>
      </c>
      <c r="E6967" t="s">
        <v>124</v>
      </c>
      <c r="F6967" t="s">
        <v>125</v>
      </c>
      <c r="G6967" t="s">
        <v>275</v>
      </c>
      <c r="H6967" t="s">
        <v>275</v>
      </c>
      <c r="I6967" t="s">
        <v>28</v>
      </c>
      <c r="J6967" t="s">
        <v>29</v>
      </c>
      <c r="K6967" t="s">
        <v>48</v>
      </c>
      <c r="L6967" t="s">
        <v>49</v>
      </c>
      <c r="M6967" t="s">
        <v>220</v>
      </c>
      <c r="N6967">
        <v>5</v>
      </c>
      <c r="O6967">
        <v>8.4714386000000003E-2</v>
      </c>
      <c r="P6967">
        <v>8.8202899000000001E-2</v>
      </c>
      <c r="Q6967" t="str">
        <f t="shared" si="216"/>
        <v>&lt;01</v>
      </c>
      <c r="R6967" t="str">
        <f t="shared" si="217"/>
        <v>[wNqJp8oRIcF]|&lt;01|Male|NEW_INFECTIONS_SUBNAT.T|CY2025Q3</v>
      </c>
    </row>
    <row r="6968" spans="4:18" x14ac:dyDescent="0.2">
      <c r="D6968" t="s">
        <v>123</v>
      </c>
      <c r="E6968" t="s">
        <v>124</v>
      </c>
      <c r="F6968" t="s">
        <v>125</v>
      </c>
      <c r="G6968" t="s">
        <v>275</v>
      </c>
      <c r="H6968" t="s">
        <v>275</v>
      </c>
      <c r="I6968" t="s">
        <v>33</v>
      </c>
      <c r="J6968" t="s">
        <v>34</v>
      </c>
      <c r="K6968" t="s">
        <v>48</v>
      </c>
      <c r="L6968" t="s">
        <v>49</v>
      </c>
      <c r="M6968" t="s">
        <v>220</v>
      </c>
      <c r="N6968">
        <v>1</v>
      </c>
      <c r="O6968">
        <v>4.2357193000000001E-2</v>
      </c>
      <c r="P6968">
        <v>8.8202899000000001E-2</v>
      </c>
      <c r="Q6968" t="str">
        <f t="shared" si="216"/>
        <v>01-09</v>
      </c>
      <c r="R6968" t="str">
        <f t="shared" si="217"/>
        <v>[wNqJp8oRIcF]|01-09|Male|NEW_INFECTIONS_SUBNAT.T|CY2025Q3</v>
      </c>
    </row>
    <row r="6969" spans="4:18" x14ac:dyDescent="0.2">
      <c r="D6969" t="s">
        <v>123</v>
      </c>
      <c r="E6969" t="s">
        <v>124</v>
      </c>
      <c r="F6969" t="s">
        <v>125</v>
      </c>
      <c r="G6969" t="s">
        <v>275</v>
      </c>
      <c r="H6969" t="s">
        <v>275</v>
      </c>
      <c r="I6969" t="s">
        <v>36</v>
      </c>
      <c r="J6969" t="s">
        <v>37</v>
      </c>
      <c r="K6969" t="s">
        <v>48</v>
      </c>
      <c r="L6969" t="s">
        <v>49</v>
      </c>
      <c r="M6969" t="s">
        <v>220</v>
      </c>
      <c r="N6969">
        <v>0</v>
      </c>
      <c r="O6969">
        <v>0</v>
      </c>
      <c r="P6969">
        <v>8.8202899000000001E-2</v>
      </c>
      <c r="Q6969" t="str">
        <f t="shared" si="216"/>
        <v>10-14</v>
      </c>
      <c r="R6969" t="str">
        <f t="shared" si="217"/>
        <v>[wNqJp8oRIcF]|10-14|Male|NEW_INFECTIONS_SUBNAT.T|CY2025Q3</v>
      </c>
    </row>
    <row r="6970" spans="4:18" x14ac:dyDescent="0.2">
      <c r="D6970" t="s">
        <v>123</v>
      </c>
      <c r="E6970" t="s">
        <v>124</v>
      </c>
      <c r="F6970" t="s">
        <v>125</v>
      </c>
      <c r="G6970" t="s">
        <v>275</v>
      </c>
      <c r="H6970" t="s">
        <v>275</v>
      </c>
      <c r="I6970" t="s">
        <v>38</v>
      </c>
      <c r="J6970" t="s">
        <v>39</v>
      </c>
      <c r="K6970" t="s">
        <v>48</v>
      </c>
      <c r="L6970" t="s">
        <v>49</v>
      </c>
      <c r="M6970" t="s">
        <v>220</v>
      </c>
      <c r="N6970">
        <v>4</v>
      </c>
      <c r="O6970">
        <v>9.5226096999999996E-2</v>
      </c>
      <c r="P6970">
        <v>8.8202899000000001E-2</v>
      </c>
      <c r="Q6970" t="str">
        <f t="shared" si="216"/>
        <v>15-24</v>
      </c>
      <c r="R6970" t="str">
        <f t="shared" si="217"/>
        <v>[wNqJp8oRIcF]|15-24|Male|NEW_INFECTIONS_SUBNAT.T|CY2025Q3</v>
      </c>
    </row>
    <row r="6971" spans="4:18" x14ac:dyDescent="0.2">
      <c r="D6971" t="s">
        <v>123</v>
      </c>
      <c r="E6971" t="s">
        <v>124</v>
      </c>
      <c r="F6971" t="s">
        <v>125</v>
      </c>
      <c r="G6971" t="s">
        <v>275</v>
      </c>
      <c r="H6971" t="s">
        <v>275</v>
      </c>
      <c r="I6971" t="s">
        <v>41</v>
      </c>
      <c r="J6971" t="s">
        <v>42</v>
      </c>
      <c r="K6971" t="s">
        <v>48</v>
      </c>
      <c r="L6971" t="s">
        <v>49</v>
      </c>
      <c r="M6971" t="s">
        <v>220</v>
      </c>
      <c r="N6971">
        <v>12</v>
      </c>
      <c r="O6971">
        <v>9.3904899E-2</v>
      </c>
      <c r="P6971">
        <v>8.8202899000000001E-2</v>
      </c>
      <c r="Q6971" t="str">
        <f t="shared" si="216"/>
        <v>25-34</v>
      </c>
      <c r="R6971" t="str">
        <f t="shared" si="217"/>
        <v>[wNqJp8oRIcF]|25-34|Male|NEW_INFECTIONS_SUBNAT.T|CY2025Q3</v>
      </c>
    </row>
    <row r="6972" spans="4:18" x14ac:dyDescent="0.2">
      <c r="D6972" t="s">
        <v>123</v>
      </c>
      <c r="E6972" t="s">
        <v>124</v>
      </c>
      <c r="F6972" t="s">
        <v>125</v>
      </c>
      <c r="G6972" t="s">
        <v>275</v>
      </c>
      <c r="H6972" t="s">
        <v>275</v>
      </c>
      <c r="I6972" t="s">
        <v>43</v>
      </c>
      <c r="J6972" t="s">
        <v>44</v>
      </c>
      <c r="K6972" t="s">
        <v>48</v>
      </c>
      <c r="L6972" t="s">
        <v>49</v>
      </c>
      <c r="M6972" t="s">
        <v>220</v>
      </c>
      <c r="N6972">
        <v>11</v>
      </c>
      <c r="O6972">
        <v>8.7731662000000002E-2</v>
      </c>
      <c r="P6972">
        <v>8.8202899000000001E-2</v>
      </c>
      <c r="Q6972" t="str">
        <f t="shared" si="216"/>
        <v>35-49</v>
      </c>
      <c r="R6972" t="str">
        <f t="shared" si="217"/>
        <v>[wNqJp8oRIcF]|35-49|Male|NEW_INFECTIONS_SUBNAT.T|CY2025Q3</v>
      </c>
    </row>
    <row r="6973" spans="4:18" x14ac:dyDescent="0.2">
      <c r="D6973" t="s">
        <v>123</v>
      </c>
      <c r="E6973" t="s">
        <v>124</v>
      </c>
      <c r="F6973" t="s">
        <v>125</v>
      </c>
      <c r="G6973" t="s">
        <v>275</v>
      </c>
      <c r="H6973" t="s">
        <v>275</v>
      </c>
      <c r="I6973" t="s">
        <v>45</v>
      </c>
      <c r="J6973" t="s">
        <v>46</v>
      </c>
      <c r="K6973" t="s">
        <v>48</v>
      </c>
      <c r="L6973" t="s">
        <v>49</v>
      </c>
      <c r="M6973" t="s">
        <v>220</v>
      </c>
      <c r="N6973">
        <v>3</v>
      </c>
      <c r="O6973">
        <v>8.2425790999999998E-2</v>
      </c>
      <c r="P6973">
        <v>8.8202899000000001E-2</v>
      </c>
      <c r="Q6973" t="str">
        <f t="shared" si="216"/>
        <v>50+</v>
      </c>
      <c r="R6973" t="str">
        <f t="shared" si="217"/>
        <v>[wNqJp8oRIcF]|50+|Male|NEW_INFECTIONS_SUBNAT.T|CY2025Q3</v>
      </c>
    </row>
    <row r="6974" spans="4:18" x14ac:dyDescent="0.2">
      <c r="D6974" t="s">
        <v>126</v>
      </c>
      <c r="E6974" t="s">
        <v>127</v>
      </c>
      <c r="F6974" t="s">
        <v>128</v>
      </c>
      <c r="G6974" t="s">
        <v>275</v>
      </c>
      <c r="H6974" t="s">
        <v>275</v>
      </c>
      <c r="I6974" t="s">
        <v>28</v>
      </c>
      <c r="J6974" t="s">
        <v>29</v>
      </c>
      <c r="K6974" t="s">
        <v>30</v>
      </c>
      <c r="L6974" t="s">
        <v>31</v>
      </c>
      <c r="M6974" t="s">
        <v>220</v>
      </c>
      <c r="N6974">
        <v>40</v>
      </c>
      <c r="O6974">
        <v>4.8333966999999999E-2</v>
      </c>
      <c r="P6974">
        <v>5.0140500999999997E-2</v>
      </c>
      <c r="Q6974" t="str">
        <f t="shared" si="216"/>
        <v>&lt;01</v>
      </c>
      <c r="R6974" t="str">
        <f t="shared" si="217"/>
        <v>[ul0y9diGujK]|&lt;01|Female|NEW_INFECTIONS_SUBNAT.T|CY2025Q3</v>
      </c>
    </row>
    <row r="6975" spans="4:18" x14ac:dyDescent="0.2">
      <c r="D6975" t="s">
        <v>126</v>
      </c>
      <c r="E6975" t="s">
        <v>127</v>
      </c>
      <c r="F6975" t="s">
        <v>128</v>
      </c>
      <c r="G6975" t="s">
        <v>275</v>
      </c>
      <c r="H6975" t="s">
        <v>275</v>
      </c>
      <c r="I6975" t="s">
        <v>33</v>
      </c>
      <c r="J6975" t="s">
        <v>34</v>
      </c>
      <c r="K6975" t="s">
        <v>30</v>
      </c>
      <c r="L6975" t="s">
        <v>31</v>
      </c>
      <c r="M6975" t="s">
        <v>220</v>
      </c>
      <c r="N6975">
        <v>10</v>
      </c>
      <c r="O6975">
        <v>2.4166983999999999E-2</v>
      </c>
      <c r="P6975">
        <v>5.0140500999999997E-2</v>
      </c>
      <c r="Q6975" t="str">
        <f t="shared" si="216"/>
        <v>01-09</v>
      </c>
      <c r="R6975" t="str">
        <f t="shared" si="217"/>
        <v>[ul0y9diGujK]|01-09|Female|NEW_INFECTIONS_SUBNAT.T|CY2025Q3</v>
      </c>
    </row>
    <row r="6976" spans="4:18" x14ac:dyDescent="0.2">
      <c r="D6976" t="s">
        <v>126</v>
      </c>
      <c r="E6976" t="s">
        <v>127</v>
      </c>
      <c r="F6976" t="s">
        <v>128</v>
      </c>
      <c r="G6976" t="s">
        <v>275</v>
      </c>
      <c r="H6976" t="s">
        <v>275</v>
      </c>
      <c r="I6976" t="s">
        <v>36</v>
      </c>
      <c r="J6976" t="s">
        <v>37</v>
      </c>
      <c r="K6976" t="s">
        <v>30</v>
      </c>
      <c r="L6976" t="s">
        <v>31</v>
      </c>
      <c r="M6976" t="s">
        <v>220</v>
      </c>
      <c r="N6976">
        <v>0</v>
      </c>
      <c r="O6976">
        <v>0</v>
      </c>
      <c r="P6976">
        <v>5.0140500999999997E-2</v>
      </c>
      <c r="Q6976" t="str">
        <f t="shared" si="216"/>
        <v>10-14</v>
      </c>
      <c r="R6976" t="str">
        <f t="shared" si="217"/>
        <v>[ul0y9diGujK]|10-14|Female|NEW_INFECTIONS_SUBNAT.T|CY2025Q3</v>
      </c>
    </row>
    <row r="6977" spans="4:18" x14ac:dyDescent="0.2">
      <c r="D6977" t="s">
        <v>126</v>
      </c>
      <c r="E6977" t="s">
        <v>127</v>
      </c>
      <c r="F6977" t="s">
        <v>128</v>
      </c>
      <c r="G6977" t="s">
        <v>275</v>
      </c>
      <c r="H6977" t="s">
        <v>275</v>
      </c>
      <c r="I6977" t="s">
        <v>38</v>
      </c>
      <c r="J6977" t="s">
        <v>39</v>
      </c>
      <c r="K6977" t="s">
        <v>30</v>
      </c>
      <c r="L6977" t="s">
        <v>31</v>
      </c>
      <c r="M6977" t="s">
        <v>220</v>
      </c>
      <c r="N6977">
        <v>180</v>
      </c>
      <c r="O6977">
        <v>5.6082653000000003E-2</v>
      </c>
      <c r="P6977">
        <v>5.0140500999999997E-2</v>
      </c>
      <c r="Q6977" t="str">
        <f t="shared" si="216"/>
        <v>15-24</v>
      </c>
      <c r="R6977" t="str">
        <f t="shared" si="217"/>
        <v>[ul0y9diGujK]|15-24|Female|NEW_INFECTIONS_SUBNAT.T|CY2025Q3</v>
      </c>
    </row>
    <row r="6978" spans="4:18" x14ac:dyDescent="0.2">
      <c r="D6978" t="s">
        <v>126</v>
      </c>
      <c r="E6978" t="s">
        <v>127</v>
      </c>
      <c r="F6978" t="s">
        <v>128</v>
      </c>
      <c r="G6978" t="s">
        <v>275</v>
      </c>
      <c r="H6978" t="s">
        <v>275</v>
      </c>
      <c r="I6978" t="s">
        <v>41</v>
      </c>
      <c r="J6978" t="s">
        <v>42</v>
      </c>
      <c r="K6978" t="s">
        <v>30</v>
      </c>
      <c r="L6978" t="s">
        <v>31</v>
      </c>
      <c r="M6978" t="s">
        <v>220</v>
      </c>
      <c r="N6978">
        <v>170</v>
      </c>
      <c r="O6978">
        <v>5.1482646E-2</v>
      </c>
      <c r="P6978">
        <v>5.0140500999999997E-2</v>
      </c>
      <c r="Q6978" t="str">
        <f t="shared" si="216"/>
        <v>25-34</v>
      </c>
      <c r="R6978" t="str">
        <f t="shared" si="217"/>
        <v>[ul0y9diGujK]|25-34|Female|NEW_INFECTIONS_SUBNAT.T|CY2025Q3</v>
      </c>
    </row>
    <row r="6979" spans="4:18" x14ac:dyDescent="0.2">
      <c r="D6979" t="s">
        <v>126</v>
      </c>
      <c r="E6979" t="s">
        <v>127</v>
      </c>
      <c r="F6979" t="s">
        <v>128</v>
      </c>
      <c r="G6979" t="s">
        <v>275</v>
      </c>
      <c r="H6979" t="s">
        <v>275</v>
      </c>
      <c r="I6979" t="s">
        <v>43</v>
      </c>
      <c r="J6979" t="s">
        <v>44</v>
      </c>
      <c r="K6979" t="s">
        <v>30</v>
      </c>
      <c r="L6979" t="s">
        <v>31</v>
      </c>
      <c r="M6979" t="s">
        <v>220</v>
      </c>
      <c r="N6979">
        <v>88</v>
      </c>
      <c r="O6979">
        <v>4.2749761999999997E-2</v>
      </c>
      <c r="P6979">
        <v>5.0140500999999997E-2</v>
      </c>
      <c r="Q6979" t="str">
        <f t="shared" ref="Q6979:Q7042" si="218">SUBSTITUTE(SUBSTITUTE($I6979,CHAR(61),""),CHAR(34),"")</f>
        <v>35-49</v>
      </c>
      <c r="R6979" t="str">
        <f t="shared" ref="R6979:R7042" si="219">IF($D6979&lt;&gt;"","["&amp;$E6979&amp;"]"&amp;"|"&amp;$Q6979&amp;"|"&amp;$K6979&amp;"|"&amp;$G6979&amp;"|"&amp;IF($G6979="TX_CURR_SUBNAT.R","CY2023Q4",$M6979),"")</f>
        <v>[ul0y9diGujK]|35-49|Female|NEW_INFECTIONS_SUBNAT.T|CY2025Q3</v>
      </c>
    </row>
    <row r="6980" spans="4:18" x14ac:dyDescent="0.2">
      <c r="D6980" t="s">
        <v>126</v>
      </c>
      <c r="E6980" t="s">
        <v>127</v>
      </c>
      <c r="F6980" t="s">
        <v>128</v>
      </c>
      <c r="G6980" t="s">
        <v>275</v>
      </c>
      <c r="H6980" t="s">
        <v>275</v>
      </c>
      <c r="I6980" t="s">
        <v>45</v>
      </c>
      <c r="J6980" t="s">
        <v>46</v>
      </c>
      <c r="K6980" t="s">
        <v>30</v>
      </c>
      <c r="L6980" t="s">
        <v>31</v>
      </c>
      <c r="M6980" t="s">
        <v>220</v>
      </c>
      <c r="N6980">
        <v>15</v>
      </c>
      <c r="O6980">
        <v>4.6611057999999997E-2</v>
      </c>
      <c r="P6980">
        <v>5.0140500999999997E-2</v>
      </c>
      <c r="Q6980" t="str">
        <f t="shared" si="218"/>
        <v>50+</v>
      </c>
      <c r="R6980" t="str">
        <f t="shared" si="219"/>
        <v>[ul0y9diGujK]|50+|Female|NEW_INFECTIONS_SUBNAT.T|CY2025Q3</v>
      </c>
    </row>
    <row r="6981" spans="4:18" x14ac:dyDescent="0.2">
      <c r="D6981" t="s">
        <v>126</v>
      </c>
      <c r="E6981" t="s">
        <v>127</v>
      </c>
      <c r="F6981" t="s">
        <v>128</v>
      </c>
      <c r="G6981" t="s">
        <v>275</v>
      </c>
      <c r="H6981" t="s">
        <v>275</v>
      </c>
      <c r="I6981" t="s">
        <v>28</v>
      </c>
      <c r="J6981" t="s">
        <v>29</v>
      </c>
      <c r="K6981" t="s">
        <v>48</v>
      </c>
      <c r="L6981" t="s">
        <v>49</v>
      </c>
      <c r="M6981" t="s">
        <v>220</v>
      </c>
      <c r="N6981">
        <v>41</v>
      </c>
      <c r="O6981">
        <v>4.8333900999999999E-2</v>
      </c>
      <c r="P6981">
        <v>5.0140500999999997E-2</v>
      </c>
      <c r="Q6981" t="str">
        <f t="shared" si="218"/>
        <v>&lt;01</v>
      </c>
      <c r="R6981" t="str">
        <f t="shared" si="219"/>
        <v>[ul0y9diGujK]|&lt;01|Male|NEW_INFECTIONS_SUBNAT.T|CY2025Q3</v>
      </c>
    </row>
    <row r="6982" spans="4:18" x14ac:dyDescent="0.2">
      <c r="D6982" t="s">
        <v>126</v>
      </c>
      <c r="E6982" t="s">
        <v>127</v>
      </c>
      <c r="F6982" t="s">
        <v>128</v>
      </c>
      <c r="G6982" t="s">
        <v>275</v>
      </c>
      <c r="H6982" t="s">
        <v>275</v>
      </c>
      <c r="I6982" t="s">
        <v>33</v>
      </c>
      <c r="J6982" t="s">
        <v>34</v>
      </c>
      <c r="K6982" t="s">
        <v>48</v>
      </c>
      <c r="L6982" t="s">
        <v>49</v>
      </c>
      <c r="M6982" t="s">
        <v>220</v>
      </c>
      <c r="N6982">
        <v>10</v>
      </c>
      <c r="O6982">
        <v>2.416695E-2</v>
      </c>
      <c r="P6982">
        <v>5.0140500999999997E-2</v>
      </c>
      <c r="Q6982" t="str">
        <f t="shared" si="218"/>
        <v>01-09</v>
      </c>
      <c r="R6982" t="str">
        <f t="shared" si="219"/>
        <v>[ul0y9diGujK]|01-09|Male|NEW_INFECTIONS_SUBNAT.T|CY2025Q3</v>
      </c>
    </row>
    <row r="6983" spans="4:18" x14ac:dyDescent="0.2">
      <c r="D6983" t="s">
        <v>126</v>
      </c>
      <c r="E6983" t="s">
        <v>127</v>
      </c>
      <c r="F6983" t="s">
        <v>128</v>
      </c>
      <c r="G6983" t="s">
        <v>275</v>
      </c>
      <c r="H6983" t="s">
        <v>275</v>
      </c>
      <c r="I6983" t="s">
        <v>36</v>
      </c>
      <c r="J6983" t="s">
        <v>37</v>
      </c>
      <c r="K6983" t="s">
        <v>48</v>
      </c>
      <c r="L6983" t="s">
        <v>49</v>
      </c>
      <c r="M6983" t="s">
        <v>220</v>
      </c>
      <c r="N6983">
        <v>0</v>
      </c>
      <c r="O6983">
        <v>0</v>
      </c>
      <c r="P6983">
        <v>5.0140500999999997E-2</v>
      </c>
      <c r="Q6983" t="str">
        <f t="shared" si="218"/>
        <v>10-14</v>
      </c>
      <c r="R6983" t="str">
        <f t="shared" si="219"/>
        <v>[ul0y9diGujK]|10-14|Male|NEW_INFECTIONS_SUBNAT.T|CY2025Q3</v>
      </c>
    </row>
    <row r="6984" spans="4:18" x14ac:dyDescent="0.2">
      <c r="D6984" t="s">
        <v>126</v>
      </c>
      <c r="E6984" t="s">
        <v>127</v>
      </c>
      <c r="F6984" t="s">
        <v>128</v>
      </c>
      <c r="G6984" t="s">
        <v>275</v>
      </c>
      <c r="H6984" t="s">
        <v>275</v>
      </c>
      <c r="I6984" t="s">
        <v>38</v>
      </c>
      <c r="J6984" t="s">
        <v>39</v>
      </c>
      <c r="K6984" t="s">
        <v>48</v>
      </c>
      <c r="L6984" t="s">
        <v>49</v>
      </c>
      <c r="M6984" t="s">
        <v>220</v>
      </c>
      <c r="N6984">
        <v>30</v>
      </c>
      <c r="O6984">
        <v>5.7031226999999997E-2</v>
      </c>
      <c r="P6984">
        <v>5.0140500999999997E-2</v>
      </c>
      <c r="Q6984" t="str">
        <f t="shared" si="218"/>
        <v>15-24</v>
      </c>
      <c r="R6984" t="str">
        <f t="shared" si="219"/>
        <v>[ul0y9diGujK]|15-24|Male|NEW_INFECTIONS_SUBNAT.T|CY2025Q3</v>
      </c>
    </row>
    <row r="6985" spans="4:18" x14ac:dyDescent="0.2">
      <c r="D6985" t="s">
        <v>126</v>
      </c>
      <c r="E6985" t="s">
        <v>127</v>
      </c>
      <c r="F6985" t="s">
        <v>128</v>
      </c>
      <c r="G6985" t="s">
        <v>275</v>
      </c>
      <c r="H6985" t="s">
        <v>275</v>
      </c>
      <c r="I6985" t="s">
        <v>41</v>
      </c>
      <c r="J6985" t="s">
        <v>42</v>
      </c>
      <c r="K6985" t="s">
        <v>48</v>
      </c>
      <c r="L6985" t="s">
        <v>49</v>
      </c>
      <c r="M6985" t="s">
        <v>220</v>
      </c>
      <c r="N6985">
        <v>91</v>
      </c>
      <c r="O6985">
        <v>5.5265911000000001E-2</v>
      </c>
      <c r="P6985">
        <v>5.0140500999999997E-2</v>
      </c>
      <c r="Q6985" t="str">
        <f t="shared" si="218"/>
        <v>25-34</v>
      </c>
      <c r="R6985" t="str">
        <f t="shared" si="219"/>
        <v>[ul0y9diGujK]|25-34|Male|NEW_INFECTIONS_SUBNAT.T|CY2025Q3</v>
      </c>
    </row>
    <row r="6986" spans="4:18" x14ac:dyDescent="0.2">
      <c r="D6986" t="s">
        <v>126</v>
      </c>
      <c r="E6986" t="s">
        <v>127</v>
      </c>
      <c r="F6986" t="s">
        <v>128</v>
      </c>
      <c r="G6986" t="s">
        <v>275</v>
      </c>
      <c r="H6986" t="s">
        <v>275</v>
      </c>
      <c r="I6986" t="s">
        <v>43</v>
      </c>
      <c r="J6986" t="s">
        <v>44</v>
      </c>
      <c r="K6986" t="s">
        <v>48</v>
      </c>
      <c r="L6986" t="s">
        <v>49</v>
      </c>
      <c r="M6986" t="s">
        <v>220</v>
      </c>
      <c r="N6986">
        <v>90</v>
      </c>
      <c r="O6986">
        <v>4.9177367999999999E-2</v>
      </c>
      <c r="P6986">
        <v>5.0140500999999997E-2</v>
      </c>
      <c r="Q6986" t="str">
        <f t="shared" si="218"/>
        <v>35-49</v>
      </c>
      <c r="R6986" t="str">
        <f t="shared" si="219"/>
        <v>[ul0y9diGujK]|35-49|Male|NEW_INFECTIONS_SUBNAT.T|CY2025Q3</v>
      </c>
    </row>
    <row r="6987" spans="4:18" x14ac:dyDescent="0.2">
      <c r="D6987" t="s">
        <v>126</v>
      </c>
      <c r="E6987" t="s">
        <v>127</v>
      </c>
      <c r="F6987" t="s">
        <v>128</v>
      </c>
      <c r="G6987" t="s">
        <v>275</v>
      </c>
      <c r="H6987" t="s">
        <v>275</v>
      </c>
      <c r="I6987" t="s">
        <v>45</v>
      </c>
      <c r="J6987" t="s">
        <v>46</v>
      </c>
      <c r="K6987" t="s">
        <v>48</v>
      </c>
      <c r="L6987" t="s">
        <v>49</v>
      </c>
      <c r="M6987" t="s">
        <v>220</v>
      </c>
      <c r="N6987">
        <v>26</v>
      </c>
      <c r="O6987">
        <v>4.7442413000000003E-2</v>
      </c>
      <c r="P6987">
        <v>5.0140500999999997E-2</v>
      </c>
      <c r="Q6987" t="str">
        <f t="shared" si="218"/>
        <v>50+</v>
      </c>
      <c r="R6987" t="str">
        <f t="shared" si="219"/>
        <v>[ul0y9diGujK]|50+|Male|NEW_INFECTIONS_SUBNAT.T|CY2025Q3</v>
      </c>
    </row>
    <row r="6988" spans="4:18" x14ac:dyDescent="0.2">
      <c r="D6988" t="s">
        <v>129</v>
      </c>
      <c r="E6988" t="s">
        <v>130</v>
      </c>
      <c r="F6988" t="s">
        <v>131</v>
      </c>
      <c r="G6988" t="s">
        <v>275</v>
      </c>
      <c r="H6988" t="s">
        <v>275</v>
      </c>
      <c r="I6988" t="s">
        <v>28</v>
      </c>
      <c r="J6988" t="s">
        <v>29</v>
      </c>
      <c r="K6988" t="s">
        <v>30</v>
      </c>
      <c r="L6988" t="s">
        <v>31</v>
      </c>
      <c r="M6988" t="s">
        <v>220</v>
      </c>
      <c r="N6988">
        <v>29</v>
      </c>
      <c r="O6988">
        <v>5.5554639000000003E-2</v>
      </c>
      <c r="P6988">
        <v>5.7877035E-2</v>
      </c>
      <c r="Q6988" t="str">
        <f t="shared" si="218"/>
        <v>&lt;01</v>
      </c>
      <c r="R6988" t="str">
        <f t="shared" si="219"/>
        <v>[U8c0so51kT6]|&lt;01|Female|NEW_INFECTIONS_SUBNAT.T|CY2025Q3</v>
      </c>
    </row>
    <row r="6989" spans="4:18" x14ac:dyDescent="0.2">
      <c r="D6989" t="s">
        <v>129</v>
      </c>
      <c r="E6989" t="s">
        <v>130</v>
      </c>
      <c r="F6989" t="s">
        <v>131</v>
      </c>
      <c r="G6989" t="s">
        <v>275</v>
      </c>
      <c r="H6989" t="s">
        <v>275</v>
      </c>
      <c r="I6989" t="s">
        <v>33</v>
      </c>
      <c r="J6989" t="s">
        <v>34</v>
      </c>
      <c r="K6989" t="s">
        <v>30</v>
      </c>
      <c r="L6989" t="s">
        <v>31</v>
      </c>
      <c r="M6989" t="s">
        <v>220</v>
      </c>
      <c r="N6989">
        <v>7</v>
      </c>
      <c r="O6989">
        <v>2.7777320000000001E-2</v>
      </c>
      <c r="P6989">
        <v>5.7877035E-2</v>
      </c>
      <c r="Q6989" t="str">
        <f t="shared" si="218"/>
        <v>01-09</v>
      </c>
      <c r="R6989" t="str">
        <f t="shared" si="219"/>
        <v>[U8c0so51kT6]|01-09|Female|NEW_INFECTIONS_SUBNAT.T|CY2025Q3</v>
      </c>
    </row>
    <row r="6990" spans="4:18" x14ac:dyDescent="0.2">
      <c r="D6990" t="s">
        <v>129</v>
      </c>
      <c r="E6990" t="s">
        <v>130</v>
      </c>
      <c r="F6990" t="s">
        <v>131</v>
      </c>
      <c r="G6990" t="s">
        <v>275</v>
      </c>
      <c r="H6990" t="s">
        <v>275</v>
      </c>
      <c r="I6990" t="s">
        <v>36</v>
      </c>
      <c r="J6990" t="s">
        <v>37</v>
      </c>
      <c r="K6990" t="s">
        <v>30</v>
      </c>
      <c r="L6990" t="s">
        <v>31</v>
      </c>
      <c r="M6990" t="s">
        <v>220</v>
      </c>
      <c r="N6990">
        <v>0</v>
      </c>
      <c r="O6990">
        <v>0</v>
      </c>
      <c r="P6990">
        <v>5.7877035E-2</v>
      </c>
      <c r="Q6990" t="str">
        <f t="shared" si="218"/>
        <v>10-14</v>
      </c>
      <c r="R6990" t="str">
        <f t="shared" si="219"/>
        <v>[U8c0so51kT6]|10-14|Female|NEW_INFECTIONS_SUBNAT.T|CY2025Q3</v>
      </c>
    </row>
    <row r="6991" spans="4:18" x14ac:dyDescent="0.2">
      <c r="D6991" t="s">
        <v>129</v>
      </c>
      <c r="E6991" t="s">
        <v>130</v>
      </c>
      <c r="F6991" t="s">
        <v>131</v>
      </c>
      <c r="G6991" t="s">
        <v>275</v>
      </c>
      <c r="H6991" t="s">
        <v>275</v>
      </c>
      <c r="I6991" t="s">
        <v>38</v>
      </c>
      <c r="J6991" t="s">
        <v>39</v>
      </c>
      <c r="K6991" t="s">
        <v>30</v>
      </c>
      <c r="L6991" t="s">
        <v>31</v>
      </c>
      <c r="M6991" t="s">
        <v>220</v>
      </c>
      <c r="N6991">
        <v>105</v>
      </c>
      <c r="O6991">
        <v>6.3066364E-2</v>
      </c>
      <c r="P6991">
        <v>5.7877035E-2</v>
      </c>
      <c r="Q6991" t="str">
        <f t="shared" si="218"/>
        <v>15-24</v>
      </c>
      <c r="R6991" t="str">
        <f t="shared" si="219"/>
        <v>[U8c0so51kT6]|15-24|Female|NEW_INFECTIONS_SUBNAT.T|CY2025Q3</v>
      </c>
    </row>
    <row r="6992" spans="4:18" x14ac:dyDescent="0.2">
      <c r="D6992" t="s">
        <v>129</v>
      </c>
      <c r="E6992" t="s">
        <v>130</v>
      </c>
      <c r="F6992" t="s">
        <v>131</v>
      </c>
      <c r="G6992" t="s">
        <v>275</v>
      </c>
      <c r="H6992" t="s">
        <v>275</v>
      </c>
      <c r="I6992" t="s">
        <v>41</v>
      </c>
      <c r="J6992" t="s">
        <v>42</v>
      </c>
      <c r="K6992" t="s">
        <v>30</v>
      </c>
      <c r="L6992" t="s">
        <v>31</v>
      </c>
      <c r="M6992" t="s">
        <v>220</v>
      </c>
      <c r="N6992">
        <v>102</v>
      </c>
      <c r="O6992">
        <v>5.9370626000000003E-2</v>
      </c>
      <c r="P6992">
        <v>5.7877035E-2</v>
      </c>
      <c r="Q6992" t="str">
        <f t="shared" si="218"/>
        <v>25-34</v>
      </c>
      <c r="R6992" t="str">
        <f t="shared" si="219"/>
        <v>[U8c0so51kT6]|25-34|Female|NEW_INFECTIONS_SUBNAT.T|CY2025Q3</v>
      </c>
    </row>
    <row r="6993" spans="4:18" x14ac:dyDescent="0.2">
      <c r="D6993" t="s">
        <v>129</v>
      </c>
      <c r="E6993" t="s">
        <v>130</v>
      </c>
      <c r="F6993" t="s">
        <v>131</v>
      </c>
      <c r="G6993" t="s">
        <v>275</v>
      </c>
      <c r="H6993" t="s">
        <v>275</v>
      </c>
      <c r="I6993" t="s">
        <v>43</v>
      </c>
      <c r="J6993" t="s">
        <v>44</v>
      </c>
      <c r="K6993" t="s">
        <v>30</v>
      </c>
      <c r="L6993" t="s">
        <v>31</v>
      </c>
      <c r="M6993" t="s">
        <v>220</v>
      </c>
      <c r="N6993">
        <v>48</v>
      </c>
      <c r="O6993">
        <v>5.1278553999999997E-2</v>
      </c>
      <c r="P6993">
        <v>5.7877035E-2</v>
      </c>
      <c r="Q6993" t="str">
        <f t="shared" si="218"/>
        <v>35-49</v>
      </c>
      <c r="R6993" t="str">
        <f t="shared" si="219"/>
        <v>[U8c0so51kT6]|35-49|Female|NEW_INFECTIONS_SUBNAT.T|CY2025Q3</v>
      </c>
    </row>
    <row r="6994" spans="4:18" x14ac:dyDescent="0.2">
      <c r="D6994" t="s">
        <v>129</v>
      </c>
      <c r="E6994" t="s">
        <v>130</v>
      </c>
      <c r="F6994" t="s">
        <v>131</v>
      </c>
      <c r="G6994" t="s">
        <v>275</v>
      </c>
      <c r="H6994" t="s">
        <v>275</v>
      </c>
      <c r="I6994" t="s">
        <v>45</v>
      </c>
      <c r="J6994" t="s">
        <v>46</v>
      </c>
      <c r="K6994" t="s">
        <v>30</v>
      </c>
      <c r="L6994" t="s">
        <v>31</v>
      </c>
      <c r="M6994" t="s">
        <v>220</v>
      </c>
      <c r="N6994">
        <v>8</v>
      </c>
      <c r="O6994">
        <v>5.3341475999999999E-2</v>
      </c>
      <c r="P6994">
        <v>5.7877035E-2</v>
      </c>
      <c r="Q6994" t="str">
        <f t="shared" si="218"/>
        <v>50+</v>
      </c>
      <c r="R6994" t="str">
        <f t="shared" si="219"/>
        <v>[U8c0so51kT6]|50+|Female|NEW_INFECTIONS_SUBNAT.T|CY2025Q3</v>
      </c>
    </row>
    <row r="6995" spans="4:18" x14ac:dyDescent="0.2">
      <c r="D6995" t="s">
        <v>129</v>
      </c>
      <c r="E6995" t="s">
        <v>130</v>
      </c>
      <c r="F6995" t="s">
        <v>131</v>
      </c>
      <c r="G6995" t="s">
        <v>275</v>
      </c>
      <c r="H6995" t="s">
        <v>275</v>
      </c>
      <c r="I6995" t="s">
        <v>28</v>
      </c>
      <c r="J6995" t="s">
        <v>29</v>
      </c>
      <c r="K6995" t="s">
        <v>48</v>
      </c>
      <c r="L6995" t="s">
        <v>49</v>
      </c>
      <c r="M6995" t="s">
        <v>220</v>
      </c>
      <c r="N6995">
        <v>29</v>
      </c>
      <c r="O6995">
        <v>5.5552064999999998E-2</v>
      </c>
      <c r="P6995">
        <v>5.7877035E-2</v>
      </c>
      <c r="Q6995" t="str">
        <f t="shared" si="218"/>
        <v>&lt;01</v>
      </c>
      <c r="R6995" t="str">
        <f t="shared" si="219"/>
        <v>[U8c0so51kT6]|&lt;01|Male|NEW_INFECTIONS_SUBNAT.T|CY2025Q3</v>
      </c>
    </row>
    <row r="6996" spans="4:18" x14ac:dyDescent="0.2">
      <c r="D6996" t="s">
        <v>129</v>
      </c>
      <c r="E6996" t="s">
        <v>130</v>
      </c>
      <c r="F6996" t="s">
        <v>131</v>
      </c>
      <c r="G6996" t="s">
        <v>275</v>
      </c>
      <c r="H6996" t="s">
        <v>275</v>
      </c>
      <c r="I6996" t="s">
        <v>33</v>
      </c>
      <c r="J6996" t="s">
        <v>34</v>
      </c>
      <c r="K6996" t="s">
        <v>48</v>
      </c>
      <c r="L6996" t="s">
        <v>49</v>
      </c>
      <c r="M6996" t="s">
        <v>220</v>
      </c>
      <c r="N6996">
        <v>7</v>
      </c>
      <c r="O6996">
        <v>2.7776031999999999E-2</v>
      </c>
      <c r="P6996">
        <v>5.7877035E-2</v>
      </c>
      <c r="Q6996" t="str">
        <f t="shared" si="218"/>
        <v>01-09</v>
      </c>
      <c r="R6996" t="str">
        <f t="shared" si="219"/>
        <v>[U8c0so51kT6]|01-09|Male|NEW_INFECTIONS_SUBNAT.T|CY2025Q3</v>
      </c>
    </row>
    <row r="6997" spans="4:18" x14ac:dyDescent="0.2">
      <c r="D6997" t="s">
        <v>129</v>
      </c>
      <c r="E6997" t="s">
        <v>130</v>
      </c>
      <c r="F6997" t="s">
        <v>131</v>
      </c>
      <c r="G6997" t="s">
        <v>275</v>
      </c>
      <c r="H6997" t="s">
        <v>275</v>
      </c>
      <c r="I6997" t="s">
        <v>36</v>
      </c>
      <c r="J6997" t="s">
        <v>37</v>
      </c>
      <c r="K6997" t="s">
        <v>48</v>
      </c>
      <c r="L6997" t="s">
        <v>49</v>
      </c>
      <c r="M6997" t="s">
        <v>220</v>
      </c>
      <c r="N6997">
        <v>0</v>
      </c>
      <c r="O6997">
        <v>0</v>
      </c>
      <c r="P6997">
        <v>5.7877035E-2</v>
      </c>
      <c r="Q6997" t="str">
        <f t="shared" si="218"/>
        <v>10-14</v>
      </c>
      <c r="R6997" t="str">
        <f t="shared" si="219"/>
        <v>[U8c0so51kT6]|10-14|Male|NEW_INFECTIONS_SUBNAT.T|CY2025Q3</v>
      </c>
    </row>
    <row r="6998" spans="4:18" x14ac:dyDescent="0.2">
      <c r="D6998" t="s">
        <v>129</v>
      </c>
      <c r="E6998" t="s">
        <v>130</v>
      </c>
      <c r="F6998" t="s">
        <v>131</v>
      </c>
      <c r="G6998" t="s">
        <v>275</v>
      </c>
      <c r="H6998" t="s">
        <v>275</v>
      </c>
      <c r="I6998" t="s">
        <v>38</v>
      </c>
      <c r="J6998" t="s">
        <v>39</v>
      </c>
      <c r="K6998" t="s">
        <v>48</v>
      </c>
      <c r="L6998" t="s">
        <v>49</v>
      </c>
      <c r="M6998" t="s">
        <v>220</v>
      </c>
      <c r="N6998">
        <v>18</v>
      </c>
      <c r="O6998">
        <v>6.3876822999999999E-2</v>
      </c>
      <c r="P6998">
        <v>5.7877035E-2</v>
      </c>
      <c r="Q6998" t="str">
        <f t="shared" si="218"/>
        <v>15-24</v>
      </c>
      <c r="R6998" t="str">
        <f t="shared" si="219"/>
        <v>[U8c0so51kT6]|15-24|Male|NEW_INFECTIONS_SUBNAT.T|CY2025Q3</v>
      </c>
    </row>
    <row r="6999" spans="4:18" x14ac:dyDescent="0.2">
      <c r="D6999" t="s">
        <v>129</v>
      </c>
      <c r="E6999" t="s">
        <v>130</v>
      </c>
      <c r="F6999" t="s">
        <v>131</v>
      </c>
      <c r="G6999" t="s">
        <v>275</v>
      </c>
      <c r="H6999" t="s">
        <v>275</v>
      </c>
      <c r="I6999" t="s">
        <v>41</v>
      </c>
      <c r="J6999" t="s">
        <v>42</v>
      </c>
      <c r="K6999" t="s">
        <v>48</v>
      </c>
      <c r="L6999" t="s">
        <v>49</v>
      </c>
      <c r="M6999" t="s">
        <v>220</v>
      </c>
      <c r="N6999">
        <v>60</v>
      </c>
      <c r="O6999">
        <v>6.2544967000000007E-2</v>
      </c>
      <c r="P6999">
        <v>5.7877035E-2</v>
      </c>
      <c r="Q6999" t="str">
        <f t="shared" si="218"/>
        <v>25-34</v>
      </c>
      <c r="R6999" t="str">
        <f t="shared" si="219"/>
        <v>[U8c0so51kT6]|25-34|Male|NEW_INFECTIONS_SUBNAT.T|CY2025Q3</v>
      </c>
    </row>
    <row r="7000" spans="4:18" x14ac:dyDescent="0.2">
      <c r="D7000" t="s">
        <v>129</v>
      </c>
      <c r="E7000" t="s">
        <v>130</v>
      </c>
      <c r="F7000" t="s">
        <v>131</v>
      </c>
      <c r="G7000" t="s">
        <v>275</v>
      </c>
      <c r="H7000" t="s">
        <v>275</v>
      </c>
      <c r="I7000" t="s">
        <v>43</v>
      </c>
      <c r="J7000" t="s">
        <v>44</v>
      </c>
      <c r="K7000" t="s">
        <v>48</v>
      </c>
      <c r="L7000" t="s">
        <v>49</v>
      </c>
      <c r="M7000" t="s">
        <v>220</v>
      </c>
      <c r="N7000">
        <v>60</v>
      </c>
      <c r="O7000">
        <v>5.7586011999999999E-2</v>
      </c>
      <c r="P7000">
        <v>5.7877035E-2</v>
      </c>
      <c r="Q7000" t="str">
        <f t="shared" si="218"/>
        <v>35-49</v>
      </c>
      <c r="R7000" t="str">
        <f t="shared" si="219"/>
        <v>[U8c0so51kT6]|35-49|Male|NEW_INFECTIONS_SUBNAT.T|CY2025Q3</v>
      </c>
    </row>
    <row r="7001" spans="4:18" x14ac:dyDescent="0.2">
      <c r="D7001" t="s">
        <v>129</v>
      </c>
      <c r="E7001" t="s">
        <v>130</v>
      </c>
      <c r="F7001" t="s">
        <v>131</v>
      </c>
      <c r="G7001" t="s">
        <v>275</v>
      </c>
      <c r="H7001" t="s">
        <v>275</v>
      </c>
      <c r="I7001" t="s">
        <v>45</v>
      </c>
      <c r="J7001" t="s">
        <v>46</v>
      </c>
      <c r="K7001" t="s">
        <v>48</v>
      </c>
      <c r="L7001" t="s">
        <v>49</v>
      </c>
      <c r="M7001" t="s">
        <v>220</v>
      </c>
      <c r="N7001">
        <v>16</v>
      </c>
      <c r="O7001">
        <v>5.5016598999999999E-2</v>
      </c>
      <c r="P7001">
        <v>5.7877035E-2</v>
      </c>
      <c r="Q7001" t="str">
        <f t="shared" si="218"/>
        <v>50+</v>
      </c>
      <c r="R7001" t="str">
        <f t="shared" si="219"/>
        <v>[U8c0so51kT6]|50+|Male|NEW_INFECTIONS_SUBNAT.T|CY2025Q3</v>
      </c>
    </row>
    <row r="7002" spans="4:18" x14ac:dyDescent="0.2">
      <c r="D7002" t="s">
        <v>132</v>
      </c>
      <c r="E7002" t="s">
        <v>133</v>
      </c>
      <c r="F7002" t="s">
        <v>134</v>
      </c>
      <c r="G7002" t="s">
        <v>275</v>
      </c>
      <c r="H7002" t="s">
        <v>275</v>
      </c>
      <c r="I7002" t="s">
        <v>28</v>
      </c>
      <c r="J7002" t="s">
        <v>29</v>
      </c>
      <c r="K7002" t="s">
        <v>30</v>
      </c>
      <c r="L7002" t="s">
        <v>31</v>
      </c>
      <c r="M7002" t="s">
        <v>220</v>
      </c>
      <c r="N7002">
        <v>17</v>
      </c>
      <c r="O7002">
        <v>7.2093294000000002E-2</v>
      </c>
      <c r="P7002">
        <v>7.2502141000000006E-2</v>
      </c>
      <c r="Q7002" t="str">
        <f t="shared" si="218"/>
        <v>&lt;01</v>
      </c>
      <c r="R7002" t="str">
        <f t="shared" si="219"/>
        <v>[rpw540fmNUz]|&lt;01|Female|NEW_INFECTIONS_SUBNAT.T|CY2025Q3</v>
      </c>
    </row>
    <row r="7003" spans="4:18" x14ac:dyDescent="0.2">
      <c r="D7003" t="s">
        <v>132</v>
      </c>
      <c r="E7003" t="s">
        <v>133</v>
      </c>
      <c r="F7003" t="s">
        <v>134</v>
      </c>
      <c r="G7003" t="s">
        <v>275</v>
      </c>
      <c r="H7003" t="s">
        <v>275</v>
      </c>
      <c r="I7003" t="s">
        <v>33</v>
      </c>
      <c r="J7003" t="s">
        <v>34</v>
      </c>
      <c r="K7003" t="s">
        <v>30</v>
      </c>
      <c r="L7003" t="s">
        <v>31</v>
      </c>
      <c r="M7003" t="s">
        <v>220</v>
      </c>
      <c r="N7003">
        <v>4</v>
      </c>
      <c r="O7003">
        <v>3.6046647000000001E-2</v>
      </c>
      <c r="P7003">
        <v>7.2502141000000006E-2</v>
      </c>
      <c r="Q7003" t="str">
        <f t="shared" si="218"/>
        <v>01-09</v>
      </c>
      <c r="R7003" t="str">
        <f t="shared" si="219"/>
        <v>[rpw540fmNUz]|01-09|Female|NEW_INFECTIONS_SUBNAT.T|CY2025Q3</v>
      </c>
    </row>
    <row r="7004" spans="4:18" x14ac:dyDescent="0.2">
      <c r="D7004" t="s">
        <v>132</v>
      </c>
      <c r="E7004" t="s">
        <v>133</v>
      </c>
      <c r="F7004" t="s">
        <v>134</v>
      </c>
      <c r="G7004" t="s">
        <v>275</v>
      </c>
      <c r="H7004" t="s">
        <v>275</v>
      </c>
      <c r="I7004" t="s">
        <v>36</v>
      </c>
      <c r="J7004" t="s">
        <v>37</v>
      </c>
      <c r="K7004" t="s">
        <v>30</v>
      </c>
      <c r="L7004" t="s">
        <v>31</v>
      </c>
      <c r="M7004" t="s">
        <v>220</v>
      </c>
      <c r="N7004">
        <v>0</v>
      </c>
      <c r="O7004">
        <v>0</v>
      </c>
      <c r="P7004">
        <v>7.2502141000000006E-2</v>
      </c>
      <c r="Q7004" t="str">
        <f t="shared" si="218"/>
        <v>10-14</v>
      </c>
      <c r="R7004" t="str">
        <f t="shared" si="219"/>
        <v>[rpw540fmNUz]|10-14|Female|NEW_INFECTIONS_SUBNAT.T|CY2025Q3</v>
      </c>
    </row>
    <row r="7005" spans="4:18" x14ac:dyDescent="0.2">
      <c r="D7005" t="s">
        <v>132</v>
      </c>
      <c r="E7005" t="s">
        <v>133</v>
      </c>
      <c r="F7005" t="s">
        <v>134</v>
      </c>
      <c r="G7005" t="s">
        <v>275</v>
      </c>
      <c r="H7005" t="s">
        <v>275</v>
      </c>
      <c r="I7005" t="s">
        <v>38</v>
      </c>
      <c r="J7005" t="s">
        <v>39</v>
      </c>
      <c r="K7005" t="s">
        <v>30</v>
      </c>
      <c r="L7005" t="s">
        <v>31</v>
      </c>
      <c r="M7005" t="s">
        <v>220</v>
      </c>
      <c r="N7005">
        <v>58</v>
      </c>
      <c r="O7005">
        <v>7.8745023999999997E-2</v>
      </c>
      <c r="P7005">
        <v>7.2502141000000006E-2</v>
      </c>
      <c r="Q7005" t="str">
        <f t="shared" si="218"/>
        <v>15-24</v>
      </c>
      <c r="R7005" t="str">
        <f t="shared" si="219"/>
        <v>[rpw540fmNUz]|15-24|Female|NEW_INFECTIONS_SUBNAT.T|CY2025Q3</v>
      </c>
    </row>
    <row r="7006" spans="4:18" x14ac:dyDescent="0.2">
      <c r="D7006" t="s">
        <v>132</v>
      </c>
      <c r="E7006" t="s">
        <v>133</v>
      </c>
      <c r="F7006" t="s">
        <v>134</v>
      </c>
      <c r="G7006" t="s">
        <v>275</v>
      </c>
      <c r="H7006" t="s">
        <v>275</v>
      </c>
      <c r="I7006" t="s">
        <v>41</v>
      </c>
      <c r="J7006" t="s">
        <v>42</v>
      </c>
      <c r="K7006" t="s">
        <v>30</v>
      </c>
      <c r="L7006" t="s">
        <v>31</v>
      </c>
      <c r="M7006" t="s">
        <v>220</v>
      </c>
      <c r="N7006">
        <v>55</v>
      </c>
      <c r="O7006">
        <v>7.3400002000000006E-2</v>
      </c>
      <c r="P7006">
        <v>7.2502141000000006E-2</v>
      </c>
      <c r="Q7006" t="str">
        <f t="shared" si="218"/>
        <v>25-34</v>
      </c>
      <c r="R7006" t="str">
        <f t="shared" si="219"/>
        <v>[rpw540fmNUz]|25-34|Female|NEW_INFECTIONS_SUBNAT.T|CY2025Q3</v>
      </c>
    </row>
    <row r="7007" spans="4:18" x14ac:dyDescent="0.2">
      <c r="D7007" t="s">
        <v>132</v>
      </c>
      <c r="E7007" t="s">
        <v>133</v>
      </c>
      <c r="F7007" t="s">
        <v>134</v>
      </c>
      <c r="G7007" t="s">
        <v>275</v>
      </c>
      <c r="H7007" t="s">
        <v>275</v>
      </c>
      <c r="I7007" t="s">
        <v>43</v>
      </c>
      <c r="J7007" t="s">
        <v>44</v>
      </c>
      <c r="K7007" t="s">
        <v>30</v>
      </c>
      <c r="L7007" t="s">
        <v>31</v>
      </c>
      <c r="M7007" t="s">
        <v>220</v>
      </c>
      <c r="N7007">
        <v>26</v>
      </c>
      <c r="O7007">
        <v>6.1770433E-2</v>
      </c>
      <c r="P7007">
        <v>7.2502141000000006E-2</v>
      </c>
      <c r="Q7007" t="str">
        <f t="shared" si="218"/>
        <v>35-49</v>
      </c>
      <c r="R7007" t="str">
        <f t="shared" si="219"/>
        <v>[rpw540fmNUz]|35-49|Female|NEW_INFECTIONS_SUBNAT.T|CY2025Q3</v>
      </c>
    </row>
    <row r="7008" spans="4:18" x14ac:dyDescent="0.2">
      <c r="D7008" t="s">
        <v>132</v>
      </c>
      <c r="E7008" t="s">
        <v>133</v>
      </c>
      <c r="F7008" t="s">
        <v>134</v>
      </c>
      <c r="G7008" t="s">
        <v>275</v>
      </c>
      <c r="H7008" t="s">
        <v>275</v>
      </c>
      <c r="I7008" t="s">
        <v>45</v>
      </c>
      <c r="J7008" t="s">
        <v>46</v>
      </c>
      <c r="K7008" t="s">
        <v>30</v>
      </c>
      <c r="L7008" t="s">
        <v>31</v>
      </c>
      <c r="M7008" t="s">
        <v>220</v>
      </c>
      <c r="N7008">
        <v>5</v>
      </c>
      <c r="O7008">
        <v>6.1998322000000002E-2</v>
      </c>
      <c r="P7008">
        <v>7.2502141000000006E-2</v>
      </c>
      <c r="Q7008" t="str">
        <f t="shared" si="218"/>
        <v>50+</v>
      </c>
      <c r="R7008" t="str">
        <f t="shared" si="219"/>
        <v>[rpw540fmNUz]|50+|Female|NEW_INFECTIONS_SUBNAT.T|CY2025Q3</v>
      </c>
    </row>
    <row r="7009" spans="4:18" x14ac:dyDescent="0.2">
      <c r="D7009" t="s">
        <v>132</v>
      </c>
      <c r="E7009" t="s">
        <v>133</v>
      </c>
      <c r="F7009" t="s">
        <v>134</v>
      </c>
      <c r="G7009" t="s">
        <v>275</v>
      </c>
      <c r="H7009" t="s">
        <v>275</v>
      </c>
      <c r="I7009" t="s">
        <v>28</v>
      </c>
      <c r="J7009" t="s">
        <v>29</v>
      </c>
      <c r="K7009" t="s">
        <v>48</v>
      </c>
      <c r="L7009" t="s">
        <v>49</v>
      </c>
      <c r="M7009" t="s">
        <v>220</v>
      </c>
      <c r="N7009">
        <v>16</v>
      </c>
      <c r="O7009">
        <v>7.2087182E-2</v>
      </c>
      <c r="P7009">
        <v>7.2502141000000006E-2</v>
      </c>
      <c r="Q7009" t="str">
        <f t="shared" si="218"/>
        <v>&lt;01</v>
      </c>
      <c r="R7009" t="str">
        <f t="shared" si="219"/>
        <v>[rpw540fmNUz]|&lt;01|Male|NEW_INFECTIONS_SUBNAT.T|CY2025Q3</v>
      </c>
    </row>
    <row r="7010" spans="4:18" x14ac:dyDescent="0.2">
      <c r="D7010" t="s">
        <v>132</v>
      </c>
      <c r="E7010" t="s">
        <v>133</v>
      </c>
      <c r="F7010" t="s">
        <v>134</v>
      </c>
      <c r="G7010" t="s">
        <v>275</v>
      </c>
      <c r="H7010" t="s">
        <v>275</v>
      </c>
      <c r="I7010" t="s">
        <v>33</v>
      </c>
      <c r="J7010" t="s">
        <v>34</v>
      </c>
      <c r="K7010" t="s">
        <v>48</v>
      </c>
      <c r="L7010" t="s">
        <v>49</v>
      </c>
      <c r="M7010" t="s">
        <v>220</v>
      </c>
      <c r="N7010">
        <v>4</v>
      </c>
      <c r="O7010">
        <v>3.6043591E-2</v>
      </c>
      <c r="P7010">
        <v>7.2502141000000006E-2</v>
      </c>
      <c r="Q7010" t="str">
        <f t="shared" si="218"/>
        <v>01-09</v>
      </c>
      <c r="R7010" t="str">
        <f t="shared" si="219"/>
        <v>[rpw540fmNUz]|01-09|Male|NEW_INFECTIONS_SUBNAT.T|CY2025Q3</v>
      </c>
    </row>
    <row r="7011" spans="4:18" x14ac:dyDescent="0.2">
      <c r="D7011" t="s">
        <v>132</v>
      </c>
      <c r="E7011" t="s">
        <v>133</v>
      </c>
      <c r="F7011" t="s">
        <v>134</v>
      </c>
      <c r="G7011" t="s">
        <v>275</v>
      </c>
      <c r="H7011" t="s">
        <v>275</v>
      </c>
      <c r="I7011" t="s">
        <v>36</v>
      </c>
      <c r="J7011" t="s">
        <v>37</v>
      </c>
      <c r="K7011" t="s">
        <v>48</v>
      </c>
      <c r="L7011" t="s">
        <v>49</v>
      </c>
      <c r="M7011" t="s">
        <v>220</v>
      </c>
      <c r="N7011">
        <v>0</v>
      </c>
      <c r="O7011">
        <v>0</v>
      </c>
      <c r="P7011">
        <v>7.2502141000000006E-2</v>
      </c>
      <c r="Q7011" t="str">
        <f t="shared" si="218"/>
        <v>10-14</v>
      </c>
      <c r="R7011" t="str">
        <f t="shared" si="219"/>
        <v>[rpw540fmNUz]|10-14|Male|NEW_INFECTIONS_SUBNAT.T|CY2025Q3</v>
      </c>
    </row>
    <row r="7012" spans="4:18" x14ac:dyDescent="0.2">
      <c r="D7012" t="s">
        <v>132</v>
      </c>
      <c r="E7012" t="s">
        <v>133</v>
      </c>
      <c r="F7012" t="s">
        <v>134</v>
      </c>
      <c r="G7012" t="s">
        <v>275</v>
      </c>
      <c r="H7012" t="s">
        <v>275</v>
      </c>
      <c r="I7012" t="s">
        <v>38</v>
      </c>
      <c r="J7012" t="s">
        <v>39</v>
      </c>
      <c r="K7012" t="s">
        <v>48</v>
      </c>
      <c r="L7012" t="s">
        <v>49</v>
      </c>
      <c r="M7012" t="s">
        <v>220</v>
      </c>
      <c r="N7012">
        <v>9</v>
      </c>
      <c r="O7012">
        <v>7.9946707000000006E-2</v>
      </c>
      <c r="P7012">
        <v>7.2502141000000006E-2</v>
      </c>
      <c r="Q7012" t="str">
        <f t="shared" si="218"/>
        <v>15-24</v>
      </c>
      <c r="R7012" t="str">
        <f t="shared" si="219"/>
        <v>[rpw540fmNUz]|15-24|Male|NEW_INFECTIONS_SUBNAT.T|CY2025Q3</v>
      </c>
    </row>
    <row r="7013" spans="4:18" x14ac:dyDescent="0.2">
      <c r="D7013" t="s">
        <v>132</v>
      </c>
      <c r="E7013" t="s">
        <v>133</v>
      </c>
      <c r="F7013" t="s">
        <v>134</v>
      </c>
      <c r="G7013" t="s">
        <v>275</v>
      </c>
      <c r="H7013" t="s">
        <v>275</v>
      </c>
      <c r="I7013" t="s">
        <v>41</v>
      </c>
      <c r="J7013" t="s">
        <v>42</v>
      </c>
      <c r="K7013" t="s">
        <v>48</v>
      </c>
      <c r="L7013" t="s">
        <v>49</v>
      </c>
      <c r="M7013" t="s">
        <v>220</v>
      </c>
      <c r="N7013">
        <v>29</v>
      </c>
      <c r="O7013">
        <v>7.8147003000000007E-2</v>
      </c>
      <c r="P7013">
        <v>7.2502141000000006E-2</v>
      </c>
      <c r="Q7013" t="str">
        <f t="shared" si="218"/>
        <v>25-34</v>
      </c>
      <c r="R7013" t="str">
        <f t="shared" si="219"/>
        <v>[rpw540fmNUz]|25-34|Male|NEW_INFECTIONS_SUBNAT.T|CY2025Q3</v>
      </c>
    </row>
    <row r="7014" spans="4:18" x14ac:dyDescent="0.2">
      <c r="D7014" t="s">
        <v>132</v>
      </c>
      <c r="E7014" t="s">
        <v>133</v>
      </c>
      <c r="F7014" t="s">
        <v>134</v>
      </c>
      <c r="G7014" t="s">
        <v>275</v>
      </c>
      <c r="H7014" t="s">
        <v>275</v>
      </c>
      <c r="I7014" t="s">
        <v>43</v>
      </c>
      <c r="J7014" t="s">
        <v>44</v>
      </c>
      <c r="K7014" t="s">
        <v>48</v>
      </c>
      <c r="L7014" t="s">
        <v>49</v>
      </c>
      <c r="M7014" t="s">
        <v>220</v>
      </c>
      <c r="N7014">
        <v>30</v>
      </c>
      <c r="O7014">
        <v>7.0754856000000005E-2</v>
      </c>
      <c r="P7014">
        <v>7.2502141000000006E-2</v>
      </c>
      <c r="Q7014" t="str">
        <f t="shared" si="218"/>
        <v>35-49</v>
      </c>
      <c r="R7014" t="str">
        <f t="shared" si="219"/>
        <v>[rpw540fmNUz]|35-49|Male|NEW_INFECTIONS_SUBNAT.T|CY2025Q3</v>
      </c>
    </row>
    <row r="7015" spans="4:18" x14ac:dyDescent="0.2">
      <c r="D7015" t="s">
        <v>132</v>
      </c>
      <c r="E7015" t="s">
        <v>133</v>
      </c>
      <c r="F7015" t="s">
        <v>134</v>
      </c>
      <c r="G7015" t="s">
        <v>275</v>
      </c>
      <c r="H7015" t="s">
        <v>275</v>
      </c>
      <c r="I7015" t="s">
        <v>45</v>
      </c>
      <c r="J7015" t="s">
        <v>46</v>
      </c>
      <c r="K7015" t="s">
        <v>48</v>
      </c>
      <c r="L7015" t="s">
        <v>49</v>
      </c>
      <c r="M7015" t="s">
        <v>220</v>
      </c>
      <c r="N7015">
        <v>9</v>
      </c>
      <c r="O7015">
        <v>6.5120163999999994E-2</v>
      </c>
      <c r="P7015">
        <v>7.2502141000000006E-2</v>
      </c>
      <c r="Q7015" t="str">
        <f t="shared" si="218"/>
        <v>50+</v>
      </c>
      <c r="R7015" t="str">
        <f t="shared" si="219"/>
        <v>[rpw540fmNUz]|50+|Male|NEW_INFECTIONS_SUBNAT.T|CY2025Q3</v>
      </c>
    </row>
    <row r="7016" spans="4:18" x14ac:dyDescent="0.2">
      <c r="D7016" t="s">
        <v>135</v>
      </c>
      <c r="E7016" t="s">
        <v>136</v>
      </c>
      <c r="F7016" t="s">
        <v>137</v>
      </c>
      <c r="G7016" t="s">
        <v>275</v>
      </c>
      <c r="H7016" t="s">
        <v>275</v>
      </c>
      <c r="I7016" t="s">
        <v>28</v>
      </c>
      <c r="J7016" t="s">
        <v>29</v>
      </c>
      <c r="K7016" t="s">
        <v>30</v>
      </c>
      <c r="L7016" t="s">
        <v>31</v>
      </c>
      <c r="M7016" t="s">
        <v>220</v>
      </c>
      <c r="N7016">
        <v>6</v>
      </c>
      <c r="O7016">
        <v>9.8277164E-2</v>
      </c>
      <c r="P7016">
        <v>9.5029550000000004E-2</v>
      </c>
      <c r="Q7016" t="str">
        <f t="shared" si="218"/>
        <v>&lt;01</v>
      </c>
      <c r="R7016" t="str">
        <f t="shared" si="219"/>
        <v>[gwVYinjBAe9]|&lt;01|Female|NEW_INFECTIONS_SUBNAT.T|CY2025Q3</v>
      </c>
    </row>
    <row r="7017" spans="4:18" x14ac:dyDescent="0.2">
      <c r="D7017" t="s">
        <v>135</v>
      </c>
      <c r="E7017" t="s">
        <v>136</v>
      </c>
      <c r="F7017" t="s">
        <v>137</v>
      </c>
      <c r="G7017" t="s">
        <v>275</v>
      </c>
      <c r="H7017" t="s">
        <v>275</v>
      </c>
      <c r="I7017" t="s">
        <v>33</v>
      </c>
      <c r="J7017" t="s">
        <v>34</v>
      </c>
      <c r="K7017" t="s">
        <v>30</v>
      </c>
      <c r="L7017" t="s">
        <v>31</v>
      </c>
      <c r="M7017" t="s">
        <v>220</v>
      </c>
      <c r="N7017">
        <v>1</v>
      </c>
      <c r="O7017">
        <v>4.9138582E-2</v>
      </c>
      <c r="P7017">
        <v>9.5029550000000004E-2</v>
      </c>
      <c r="Q7017" t="str">
        <f t="shared" si="218"/>
        <v>01-09</v>
      </c>
      <c r="R7017" t="str">
        <f t="shared" si="219"/>
        <v>[gwVYinjBAe9]|01-09|Female|NEW_INFECTIONS_SUBNAT.T|CY2025Q3</v>
      </c>
    </row>
    <row r="7018" spans="4:18" x14ac:dyDescent="0.2">
      <c r="D7018" t="s">
        <v>135</v>
      </c>
      <c r="E7018" t="s">
        <v>136</v>
      </c>
      <c r="F7018" t="s">
        <v>137</v>
      </c>
      <c r="G7018" t="s">
        <v>275</v>
      </c>
      <c r="H7018" t="s">
        <v>275</v>
      </c>
      <c r="I7018" t="s">
        <v>36</v>
      </c>
      <c r="J7018" t="s">
        <v>37</v>
      </c>
      <c r="K7018" t="s">
        <v>30</v>
      </c>
      <c r="L7018" t="s">
        <v>31</v>
      </c>
      <c r="M7018" t="s">
        <v>220</v>
      </c>
      <c r="N7018">
        <v>0</v>
      </c>
      <c r="O7018">
        <v>0</v>
      </c>
      <c r="P7018">
        <v>9.5029550000000004E-2</v>
      </c>
      <c r="Q7018" t="str">
        <f t="shared" si="218"/>
        <v>10-14</v>
      </c>
      <c r="R7018" t="str">
        <f t="shared" si="219"/>
        <v>[gwVYinjBAe9]|10-14|Female|NEW_INFECTIONS_SUBNAT.T|CY2025Q3</v>
      </c>
    </row>
    <row r="7019" spans="4:18" x14ac:dyDescent="0.2">
      <c r="D7019" t="s">
        <v>135</v>
      </c>
      <c r="E7019" t="s">
        <v>136</v>
      </c>
      <c r="F7019" t="s">
        <v>137</v>
      </c>
      <c r="G7019" t="s">
        <v>275</v>
      </c>
      <c r="H7019" t="s">
        <v>275</v>
      </c>
      <c r="I7019" t="s">
        <v>38</v>
      </c>
      <c r="J7019" t="s">
        <v>39</v>
      </c>
      <c r="K7019" t="s">
        <v>30</v>
      </c>
      <c r="L7019" t="s">
        <v>31</v>
      </c>
      <c r="M7019" t="s">
        <v>220</v>
      </c>
      <c r="N7019">
        <v>22</v>
      </c>
      <c r="O7019">
        <v>9.9977063000000005E-2</v>
      </c>
      <c r="P7019">
        <v>9.5029550000000004E-2</v>
      </c>
      <c r="Q7019" t="str">
        <f t="shared" si="218"/>
        <v>15-24</v>
      </c>
      <c r="R7019" t="str">
        <f t="shared" si="219"/>
        <v>[gwVYinjBAe9]|15-24|Female|NEW_INFECTIONS_SUBNAT.T|CY2025Q3</v>
      </c>
    </row>
    <row r="7020" spans="4:18" x14ac:dyDescent="0.2">
      <c r="D7020" t="s">
        <v>135</v>
      </c>
      <c r="E7020" t="s">
        <v>136</v>
      </c>
      <c r="F7020" t="s">
        <v>137</v>
      </c>
      <c r="G7020" t="s">
        <v>275</v>
      </c>
      <c r="H7020" t="s">
        <v>275</v>
      </c>
      <c r="I7020" t="s">
        <v>41</v>
      </c>
      <c r="J7020" t="s">
        <v>42</v>
      </c>
      <c r="K7020" t="s">
        <v>30</v>
      </c>
      <c r="L7020" t="s">
        <v>31</v>
      </c>
      <c r="M7020" t="s">
        <v>220</v>
      </c>
      <c r="N7020">
        <v>20</v>
      </c>
      <c r="O7020">
        <v>9.5095241999999996E-2</v>
      </c>
      <c r="P7020">
        <v>9.5029550000000004E-2</v>
      </c>
      <c r="Q7020" t="str">
        <f t="shared" si="218"/>
        <v>25-34</v>
      </c>
      <c r="R7020" t="str">
        <f t="shared" si="219"/>
        <v>[gwVYinjBAe9]|25-34|Female|NEW_INFECTIONS_SUBNAT.T|CY2025Q3</v>
      </c>
    </row>
    <row r="7021" spans="4:18" x14ac:dyDescent="0.2">
      <c r="D7021" t="s">
        <v>135</v>
      </c>
      <c r="E7021" t="s">
        <v>136</v>
      </c>
      <c r="F7021" t="s">
        <v>137</v>
      </c>
      <c r="G7021" t="s">
        <v>275</v>
      </c>
      <c r="H7021" t="s">
        <v>275</v>
      </c>
      <c r="I7021" t="s">
        <v>43</v>
      </c>
      <c r="J7021" t="s">
        <v>44</v>
      </c>
      <c r="K7021" t="s">
        <v>30</v>
      </c>
      <c r="L7021" t="s">
        <v>31</v>
      </c>
      <c r="M7021" t="s">
        <v>220</v>
      </c>
      <c r="N7021">
        <v>10</v>
      </c>
      <c r="O7021">
        <v>8.2592313000000001E-2</v>
      </c>
      <c r="P7021">
        <v>9.5029550000000004E-2</v>
      </c>
      <c r="Q7021" t="str">
        <f t="shared" si="218"/>
        <v>35-49</v>
      </c>
      <c r="R7021" t="str">
        <f t="shared" si="219"/>
        <v>[gwVYinjBAe9]|35-49|Female|NEW_INFECTIONS_SUBNAT.T|CY2025Q3</v>
      </c>
    </row>
    <row r="7022" spans="4:18" x14ac:dyDescent="0.2">
      <c r="D7022" t="s">
        <v>135</v>
      </c>
      <c r="E7022" t="s">
        <v>136</v>
      </c>
      <c r="F7022" t="s">
        <v>137</v>
      </c>
      <c r="G7022" t="s">
        <v>275</v>
      </c>
      <c r="H7022" t="s">
        <v>275</v>
      </c>
      <c r="I7022" t="s">
        <v>45</v>
      </c>
      <c r="J7022" t="s">
        <v>46</v>
      </c>
      <c r="K7022" t="s">
        <v>30</v>
      </c>
      <c r="L7022" t="s">
        <v>31</v>
      </c>
      <c r="M7022" t="s">
        <v>220</v>
      </c>
      <c r="N7022">
        <v>2</v>
      </c>
      <c r="O7022">
        <v>8.2459604000000006E-2</v>
      </c>
      <c r="P7022">
        <v>9.5029550000000004E-2</v>
      </c>
      <c r="Q7022" t="str">
        <f t="shared" si="218"/>
        <v>50+</v>
      </c>
      <c r="R7022" t="str">
        <f t="shared" si="219"/>
        <v>[gwVYinjBAe9]|50+|Female|NEW_INFECTIONS_SUBNAT.T|CY2025Q3</v>
      </c>
    </row>
    <row r="7023" spans="4:18" x14ac:dyDescent="0.2">
      <c r="D7023" t="s">
        <v>135</v>
      </c>
      <c r="E7023" t="s">
        <v>136</v>
      </c>
      <c r="F7023" t="s">
        <v>137</v>
      </c>
      <c r="G7023" t="s">
        <v>275</v>
      </c>
      <c r="H7023" t="s">
        <v>275</v>
      </c>
      <c r="I7023" t="s">
        <v>28</v>
      </c>
      <c r="J7023" t="s">
        <v>29</v>
      </c>
      <c r="K7023" t="s">
        <v>48</v>
      </c>
      <c r="L7023" t="s">
        <v>49</v>
      </c>
      <c r="M7023" t="s">
        <v>220</v>
      </c>
      <c r="N7023">
        <v>6</v>
      </c>
      <c r="O7023">
        <v>9.8277167999999998E-2</v>
      </c>
      <c r="P7023">
        <v>9.5029550000000004E-2</v>
      </c>
      <c r="Q7023" t="str">
        <f t="shared" si="218"/>
        <v>&lt;01</v>
      </c>
      <c r="R7023" t="str">
        <f t="shared" si="219"/>
        <v>[gwVYinjBAe9]|&lt;01|Male|NEW_INFECTIONS_SUBNAT.T|CY2025Q3</v>
      </c>
    </row>
    <row r="7024" spans="4:18" x14ac:dyDescent="0.2">
      <c r="D7024" t="s">
        <v>135</v>
      </c>
      <c r="E7024" t="s">
        <v>136</v>
      </c>
      <c r="F7024" t="s">
        <v>137</v>
      </c>
      <c r="G7024" t="s">
        <v>275</v>
      </c>
      <c r="H7024" t="s">
        <v>275</v>
      </c>
      <c r="I7024" t="s">
        <v>33</v>
      </c>
      <c r="J7024" t="s">
        <v>34</v>
      </c>
      <c r="K7024" t="s">
        <v>48</v>
      </c>
      <c r="L7024" t="s">
        <v>49</v>
      </c>
      <c r="M7024" t="s">
        <v>220</v>
      </c>
      <c r="N7024">
        <v>1</v>
      </c>
      <c r="O7024">
        <v>4.9138583999999999E-2</v>
      </c>
      <c r="P7024">
        <v>9.5029550000000004E-2</v>
      </c>
      <c r="Q7024" t="str">
        <f t="shared" si="218"/>
        <v>01-09</v>
      </c>
      <c r="R7024" t="str">
        <f t="shared" si="219"/>
        <v>[gwVYinjBAe9]|01-09|Male|NEW_INFECTIONS_SUBNAT.T|CY2025Q3</v>
      </c>
    </row>
    <row r="7025" spans="4:18" x14ac:dyDescent="0.2">
      <c r="D7025" t="s">
        <v>135</v>
      </c>
      <c r="E7025" t="s">
        <v>136</v>
      </c>
      <c r="F7025" t="s">
        <v>137</v>
      </c>
      <c r="G7025" t="s">
        <v>275</v>
      </c>
      <c r="H7025" t="s">
        <v>275</v>
      </c>
      <c r="I7025" t="s">
        <v>36</v>
      </c>
      <c r="J7025" t="s">
        <v>37</v>
      </c>
      <c r="K7025" t="s">
        <v>48</v>
      </c>
      <c r="L7025" t="s">
        <v>49</v>
      </c>
      <c r="M7025" t="s">
        <v>220</v>
      </c>
      <c r="N7025">
        <v>0</v>
      </c>
      <c r="O7025">
        <v>0</v>
      </c>
      <c r="P7025">
        <v>9.5029550000000004E-2</v>
      </c>
      <c r="Q7025" t="str">
        <f t="shared" si="218"/>
        <v>10-14</v>
      </c>
      <c r="R7025" t="str">
        <f t="shared" si="219"/>
        <v>[gwVYinjBAe9]|10-14|Male|NEW_INFECTIONS_SUBNAT.T|CY2025Q3</v>
      </c>
    </row>
    <row r="7026" spans="4:18" x14ac:dyDescent="0.2">
      <c r="D7026" t="s">
        <v>135</v>
      </c>
      <c r="E7026" t="s">
        <v>136</v>
      </c>
      <c r="F7026" t="s">
        <v>137</v>
      </c>
      <c r="G7026" t="s">
        <v>275</v>
      </c>
      <c r="H7026" t="s">
        <v>275</v>
      </c>
      <c r="I7026" t="s">
        <v>38</v>
      </c>
      <c r="J7026" t="s">
        <v>39</v>
      </c>
      <c r="K7026" t="s">
        <v>48</v>
      </c>
      <c r="L7026" t="s">
        <v>49</v>
      </c>
      <c r="M7026" t="s">
        <v>220</v>
      </c>
      <c r="N7026">
        <v>4</v>
      </c>
      <c r="O7026">
        <v>0.101125745</v>
      </c>
      <c r="P7026">
        <v>9.5029550000000004E-2</v>
      </c>
      <c r="Q7026" t="str">
        <f t="shared" si="218"/>
        <v>15-24</v>
      </c>
      <c r="R7026" t="str">
        <f t="shared" si="219"/>
        <v>[gwVYinjBAe9]|15-24|Male|NEW_INFECTIONS_SUBNAT.T|CY2025Q3</v>
      </c>
    </row>
    <row r="7027" spans="4:18" x14ac:dyDescent="0.2">
      <c r="D7027" t="s">
        <v>135</v>
      </c>
      <c r="E7027" t="s">
        <v>136</v>
      </c>
      <c r="F7027" t="s">
        <v>137</v>
      </c>
      <c r="G7027" t="s">
        <v>275</v>
      </c>
      <c r="H7027" t="s">
        <v>275</v>
      </c>
      <c r="I7027" t="s">
        <v>41</v>
      </c>
      <c r="J7027" t="s">
        <v>42</v>
      </c>
      <c r="K7027" t="s">
        <v>48</v>
      </c>
      <c r="L7027" t="s">
        <v>49</v>
      </c>
      <c r="M7027" t="s">
        <v>220</v>
      </c>
      <c r="N7027">
        <v>12</v>
      </c>
      <c r="O7027">
        <v>9.9602051999999996E-2</v>
      </c>
      <c r="P7027">
        <v>9.5029550000000004E-2</v>
      </c>
      <c r="Q7027" t="str">
        <f t="shared" si="218"/>
        <v>25-34</v>
      </c>
      <c r="R7027" t="str">
        <f t="shared" si="219"/>
        <v>[gwVYinjBAe9]|25-34|Male|NEW_INFECTIONS_SUBNAT.T|CY2025Q3</v>
      </c>
    </row>
    <row r="7028" spans="4:18" x14ac:dyDescent="0.2">
      <c r="D7028" t="s">
        <v>135</v>
      </c>
      <c r="E7028" t="s">
        <v>136</v>
      </c>
      <c r="F7028" t="s">
        <v>137</v>
      </c>
      <c r="G7028" t="s">
        <v>275</v>
      </c>
      <c r="H7028" t="s">
        <v>275</v>
      </c>
      <c r="I7028" t="s">
        <v>43</v>
      </c>
      <c r="J7028" t="s">
        <v>44</v>
      </c>
      <c r="K7028" t="s">
        <v>48</v>
      </c>
      <c r="L7028" t="s">
        <v>49</v>
      </c>
      <c r="M7028" t="s">
        <v>220</v>
      </c>
      <c r="N7028">
        <v>11</v>
      </c>
      <c r="O7028">
        <v>9.2758171E-2</v>
      </c>
      <c r="P7028">
        <v>9.5029550000000004E-2</v>
      </c>
      <c r="Q7028" t="str">
        <f t="shared" si="218"/>
        <v>35-49</v>
      </c>
      <c r="R7028" t="str">
        <f t="shared" si="219"/>
        <v>[gwVYinjBAe9]|35-49|Male|NEW_INFECTIONS_SUBNAT.T|CY2025Q3</v>
      </c>
    </row>
    <row r="7029" spans="4:18" x14ac:dyDescent="0.2">
      <c r="D7029" t="s">
        <v>135</v>
      </c>
      <c r="E7029" t="s">
        <v>136</v>
      </c>
      <c r="F7029" t="s">
        <v>137</v>
      </c>
      <c r="G7029" t="s">
        <v>275</v>
      </c>
      <c r="H7029" t="s">
        <v>275</v>
      </c>
      <c r="I7029" t="s">
        <v>45</v>
      </c>
      <c r="J7029" t="s">
        <v>46</v>
      </c>
      <c r="K7029" t="s">
        <v>48</v>
      </c>
      <c r="L7029" t="s">
        <v>49</v>
      </c>
      <c r="M7029" t="s">
        <v>220</v>
      </c>
      <c r="N7029">
        <v>3</v>
      </c>
      <c r="O7029">
        <v>8.7328012999999996E-2</v>
      </c>
      <c r="P7029">
        <v>9.5029550000000004E-2</v>
      </c>
      <c r="Q7029" t="str">
        <f t="shared" si="218"/>
        <v>50+</v>
      </c>
      <c r="R7029" t="str">
        <f t="shared" si="219"/>
        <v>[gwVYinjBAe9]|50+|Male|NEW_INFECTIONS_SUBNAT.T|CY2025Q3</v>
      </c>
    </row>
    <row r="7030" spans="4:18" x14ac:dyDescent="0.2">
      <c r="D7030" t="s">
        <v>23</v>
      </c>
      <c r="E7030" t="s">
        <v>24</v>
      </c>
      <c r="F7030" t="s">
        <v>25</v>
      </c>
      <c r="G7030" t="s">
        <v>276</v>
      </c>
      <c r="H7030" t="s">
        <v>276</v>
      </c>
      <c r="I7030" t="s">
        <v>28</v>
      </c>
      <c r="J7030" t="s">
        <v>29</v>
      </c>
      <c r="K7030" t="s">
        <v>30</v>
      </c>
      <c r="L7030" t="s">
        <v>31</v>
      </c>
      <c r="M7030" t="s">
        <v>277</v>
      </c>
      <c r="N7030">
        <v>2</v>
      </c>
      <c r="O7030">
        <v>7.7167209E-2</v>
      </c>
      <c r="P7030">
        <v>7.0795269999999993E-2</v>
      </c>
      <c r="Q7030" t="str">
        <f t="shared" si="218"/>
        <v>&lt;01</v>
      </c>
      <c r="R7030" t="str">
        <f t="shared" si="219"/>
        <v>[GkIwZrXy1h2]|&lt;01|Female|PLHIV_Residents.T2|CY2026Q3</v>
      </c>
    </row>
    <row r="7031" spans="4:18" x14ac:dyDescent="0.2">
      <c r="D7031" t="s">
        <v>23</v>
      </c>
      <c r="E7031" t="s">
        <v>24</v>
      </c>
      <c r="F7031" t="s">
        <v>25</v>
      </c>
      <c r="G7031" t="s">
        <v>276</v>
      </c>
      <c r="H7031" t="s">
        <v>276</v>
      </c>
      <c r="I7031" t="s">
        <v>33</v>
      </c>
      <c r="J7031" t="s">
        <v>34</v>
      </c>
      <c r="K7031" t="s">
        <v>30</v>
      </c>
      <c r="L7031" t="s">
        <v>31</v>
      </c>
      <c r="M7031" t="s">
        <v>277</v>
      </c>
      <c r="N7031">
        <v>42</v>
      </c>
      <c r="O7031">
        <v>8.4393046999999999E-2</v>
      </c>
      <c r="P7031">
        <v>7.0795269999999993E-2</v>
      </c>
      <c r="Q7031" t="str">
        <f t="shared" si="218"/>
        <v>01-09</v>
      </c>
      <c r="R7031" t="str">
        <f t="shared" si="219"/>
        <v>[GkIwZrXy1h2]|01-09|Female|PLHIV_Residents.T2|CY2026Q3</v>
      </c>
    </row>
    <row r="7032" spans="4:18" x14ac:dyDescent="0.2">
      <c r="D7032" t="s">
        <v>23</v>
      </c>
      <c r="E7032" t="s">
        <v>24</v>
      </c>
      <c r="F7032" t="s">
        <v>25</v>
      </c>
      <c r="G7032" t="s">
        <v>276</v>
      </c>
      <c r="H7032" t="s">
        <v>276</v>
      </c>
      <c r="I7032" t="s">
        <v>36</v>
      </c>
      <c r="J7032" t="s">
        <v>37</v>
      </c>
      <c r="K7032" t="s">
        <v>30</v>
      </c>
      <c r="L7032" t="s">
        <v>31</v>
      </c>
      <c r="M7032" t="s">
        <v>277</v>
      </c>
      <c r="N7032">
        <v>59</v>
      </c>
      <c r="O7032">
        <v>0.10078245800000001</v>
      </c>
      <c r="P7032">
        <v>7.0795269999999993E-2</v>
      </c>
      <c r="Q7032" t="str">
        <f t="shared" si="218"/>
        <v>10-14</v>
      </c>
      <c r="R7032" t="str">
        <f t="shared" si="219"/>
        <v>[GkIwZrXy1h2]|10-14|Female|PLHIV_Residents.T2|CY2026Q3</v>
      </c>
    </row>
    <row r="7033" spans="4:18" x14ac:dyDescent="0.2">
      <c r="D7033" t="s">
        <v>23</v>
      </c>
      <c r="E7033" t="s">
        <v>24</v>
      </c>
      <c r="F7033" t="s">
        <v>25</v>
      </c>
      <c r="G7033" t="s">
        <v>276</v>
      </c>
      <c r="H7033" t="s">
        <v>276</v>
      </c>
      <c r="I7033" t="s">
        <v>38</v>
      </c>
      <c r="J7033" t="s">
        <v>39</v>
      </c>
      <c r="K7033" t="s">
        <v>30</v>
      </c>
      <c r="L7033" t="s">
        <v>31</v>
      </c>
      <c r="M7033" t="s">
        <v>277</v>
      </c>
      <c r="N7033">
        <v>244</v>
      </c>
      <c r="O7033">
        <v>9.3144657000000006E-2</v>
      </c>
      <c r="P7033">
        <v>7.0795269999999993E-2</v>
      </c>
      <c r="Q7033" t="str">
        <f t="shared" si="218"/>
        <v>15-24</v>
      </c>
      <c r="R7033" t="str">
        <f t="shared" si="219"/>
        <v>[GkIwZrXy1h2]|15-24|Female|PLHIV_Residents.T2|CY2026Q3</v>
      </c>
    </row>
    <row r="7034" spans="4:18" x14ac:dyDescent="0.2">
      <c r="D7034" t="s">
        <v>23</v>
      </c>
      <c r="E7034" t="s">
        <v>24</v>
      </c>
      <c r="F7034" t="s">
        <v>25</v>
      </c>
      <c r="G7034" t="s">
        <v>276</v>
      </c>
      <c r="H7034" t="s">
        <v>276</v>
      </c>
      <c r="I7034" t="s">
        <v>41</v>
      </c>
      <c r="J7034" t="s">
        <v>42</v>
      </c>
      <c r="K7034" t="s">
        <v>30</v>
      </c>
      <c r="L7034" t="s">
        <v>31</v>
      </c>
      <c r="M7034" t="s">
        <v>277</v>
      </c>
      <c r="N7034">
        <v>550</v>
      </c>
      <c r="O7034">
        <v>8.3903410999999997E-2</v>
      </c>
      <c r="P7034">
        <v>7.0795269999999993E-2</v>
      </c>
      <c r="Q7034" t="str">
        <f t="shared" si="218"/>
        <v>25-34</v>
      </c>
      <c r="R7034" t="str">
        <f t="shared" si="219"/>
        <v>[GkIwZrXy1h2]|25-34|Female|PLHIV_Residents.T2|CY2026Q3</v>
      </c>
    </row>
    <row r="7035" spans="4:18" x14ac:dyDescent="0.2">
      <c r="D7035" t="s">
        <v>23</v>
      </c>
      <c r="E7035" t="s">
        <v>24</v>
      </c>
      <c r="F7035" t="s">
        <v>25</v>
      </c>
      <c r="G7035" t="s">
        <v>276</v>
      </c>
      <c r="H7035" t="s">
        <v>276</v>
      </c>
      <c r="I7035" t="s">
        <v>43</v>
      </c>
      <c r="J7035" t="s">
        <v>44</v>
      </c>
      <c r="K7035" t="s">
        <v>30</v>
      </c>
      <c r="L7035" t="s">
        <v>31</v>
      </c>
      <c r="M7035" t="s">
        <v>277</v>
      </c>
      <c r="N7035">
        <v>1640</v>
      </c>
      <c r="O7035">
        <v>7.2701085999999998E-2</v>
      </c>
      <c r="P7035">
        <v>7.0795269999999993E-2</v>
      </c>
      <c r="Q7035" t="str">
        <f t="shared" si="218"/>
        <v>35-49</v>
      </c>
      <c r="R7035" t="str">
        <f t="shared" si="219"/>
        <v>[GkIwZrXy1h2]|35-49|Female|PLHIV_Residents.T2|CY2026Q3</v>
      </c>
    </row>
    <row r="7036" spans="4:18" x14ac:dyDescent="0.2">
      <c r="D7036" t="s">
        <v>23</v>
      </c>
      <c r="E7036" t="s">
        <v>24</v>
      </c>
      <c r="F7036" t="s">
        <v>25</v>
      </c>
      <c r="G7036" t="s">
        <v>276</v>
      </c>
      <c r="H7036" t="s">
        <v>276</v>
      </c>
      <c r="I7036" t="s">
        <v>45</v>
      </c>
      <c r="J7036" t="s">
        <v>46</v>
      </c>
      <c r="K7036" t="s">
        <v>30</v>
      </c>
      <c r="L7036" t="s">
        <v>31</v>
      </c>
      <c r="M7036" t="s">
        <v>277</v>
      </c>
      <c r="N7036">
        <v>986</v>
      </c>
      <c r="O7036">
        <v>7.477462E-2</v>
      </c>
      <c r="P7036">
        <v>7.0795269999999993E-2</v>
      </c>
      <c r="Q7036" t="str">
        <f t="shared" si="218"/>
        <v>50+</v>
      </c>
      <c r="R7036" t="str">
        <f t="shared" si="219"/>
        <v>[GkIwZrXy1h2]|50+|Female|PLHIV_Residents.T2|CY2026Q3</v>
      </c>
    </row>
    <row r="7037" spans="4:18" x14ac:dyDescent="0.2">
      <c r="D7037" t="s">
        <v>23</v>
      </c>
      <c r="E7037" t="s">
        <v>24</v>
      </c>
      <c r="F7037" t="s">
        <v>25</v>
      </c>
      <c r="G7037" t="s">
        <v>276</v>
      </c>
      <c r="H7037" t="s">
        <v>276</v>
      </c>
      <c r="I7037" t="s">
        <v>28</v>
      </c>
      <c r="J7037" t="s">
        <v>29</v>
      </c>
      <c r="K7037" t="s">
        <v>48</v>
      </c>
      <c r="L7037" t="s">
        <v>49</v>
      </c>
      <c r="M7037" t="s">
        <v>277</v>
      </c>
      <c r="N7037">
        <v>2</v>
      </c>
      <c r="O7037">
        <v>7.7176360999999999E-2</v>
      </c>
      <c r="P7037">
        <v>7.0795269999999993E-2</v>
      </c>
      <c r="Q7037" t="str">
        <f t="shared" si="218"/>
        <v>&lt;01</v>
      </c>
      <c r="R7037" t="str">
        <f t="shared" si="219"/>
        <v>[GkIwZrXy1h2]|&lt;01|Male|PLHIV_Residents.T2|CY2026Q3</v>
      </c>
    </row>
    <row r="7038" spans="4:18" x14ac:dyDescent="0.2">
      <c r="D7038" t="s">
        <v>23</v>
      </c>
      <c r="E7038" t="s">
        <v>24</v>
      </c>
      <c r="F7038" t="s">
        <v>25</v>
      </c>
      <c r="G7038" t="s">
        <v>276</v>
      </c>
      <c r="H7038" t="s">
        <v>276</v>
      </c>
      <c r="I7038" t="s">
        <v>33</v>
      </c>
      <c r="J7038" t="s">
        <v>34</v>
      </c>
      <c r="K7038" t="s">
        <v>48</v>
      </c>
      <c r="L7038" t="s">
        <v>49</v>
      </c>
      <c r="M7038" t="s">
        <v>277</v>
      </c>
      <c r="N7038">
        <v>42</v>
      </c>
      <c r="O7038">
        <v>8.4369742999999997E-2</v>
      </c>
      <c r="P7038">
        <v>7.0795269999999993E-2</v>
      </c>
      <c r="Q7038" t="str">
        <f t="shared" si="218"/>
        <v>01-09</v>
      </c>
      <c r="R7038" t="str">
        <f t="shared" si="219"/>
        <v>[GkIwZrXy1h2]|01-09|Male|PLHIV_Residents.T2|CY2026Q3</v>
      </c>
    </row>
    <row r="7039" spans="4:18" x14ac:dyDescent="0.2">
      <c r="D7039" t="s">
        <v>23</v>
      </c>
      <c r="E7039" t="s">
        <v>24</v>
      </c>
      <c r="F7039" t="s">
        <v>25</v>
      </c>
      <c r="G7039" t="s">
        <v>276</v>
      </c>
      <c r="H7039" t="s">
        <v>276</v>
      </c>
      <c r="I7039" t="s">
        <v>36</v>
      </c>
      <c r="J7039" t="s">
        <v>37</v>
      </c>
      <c r="K7039" t="s">
        <v>48</v>
      </c>
      <c r="L7039" t="s">
        <v>49</v>
      </c>
      <c r="M7039" t="s">
        <v>277</v>
      </c>
      <c r="N7039">
        <v>59</v>
      </c>
      <c r="O7039">
        <v>0.10075669900000001</v>
      </c>
      <c r="P7039">
        <v>7.0795269999999993E-2</v>
      </c>
      <c r="Q7039" t="str">
        <f t="shared" si="218"/>
        <v>10-14</v>
      </c>
      <c r="R7039" t="str">
        <f t="shared" si="219"/>
        <v>[GkIwZrXy1h2]|10-14|Male|PLHIV_Residents.T2|CY2026Q3</v>
      </c>
    </row>
    <row r="7040" spans="4:18" x14ac:dyDescent="0.2">
      <c r="D7040" t="s">
        <v>23</v>
      </c>
      <c r="E7040" t="s">
        <v>24</v>
      </c>
      <c r="F7040" t="s">
        <v>25</v>
      </c>
      <c r="G7040" t="s">
        <v>276</v>
      </c>
      <c r="H7040" t="s">
        <v>276</v>
      </c>
      <c r="I7040" t="s">
        <v>38</v>
      </c>
      <c r="J7040" t="s">
        <v>39</v>
      </c>
      <c r="K7040" t="s">
        <v>48</v>
      </c>
      <c r="L7040" t="s">
        <v>49</v>
      </c>
      <c r="M7040" t="s">
        <v>277</v>
      </c>
      <c r="N7040">
        <v>186</v>
      </c>
      <c r="O7040">
        <v>9.8688722000000006E-2</v>
      </c>
      <c r="P7040">
        <v>7.0795269999999993E-2</v>
      </c>
      <c r="Q7040" t="str">
        <f t="shared" si="218"/>
        <v>15-24</v>
      </c>
      <c r="R7040" t="str">
        <f t="shared" si="219"/>
        <v>[GkIwZrXy1h2]|15-24|Male|PLHIV_Residents.T2|CY2026Q3</v>
      </c>
    </row>
    <row r="7041" spans="4:18" x14ac:dyDescent="0.2">
      <c r="D7041" t="s">
        <v>23</v>
      </c>
      <c r="E7041" t="s">
        <v>24</v>
      </c>
      <c r="F7041" t="s">
        <v>25</v>
      </c>
      <c r="G7041" t="s">
        <v>276</v>
      </c>
      <c r="H7041" t="s">
        <v>276</v>
      </c>
      <c r="I7041" t="s">
        <v>41</v>
      </c>
      <c r="J7041" t="s">
        <v>42</v>
      </c>
      <c r="K7041" t="s">
        <v>48</v>
      </c>
      <c r="L7041" t="s">
        <v>49</v>
      </c>
      <c r="M7041" t="s">
        <v>277</v>
      </c>
      <c r="N7041">
        <v>240</v>
      </c>
      <c r="O7041">
        <v>9.6042136E-2</v>
      </c>
      <c r="P7041">
        <v>7.0795269999999993E-2</v>
      </c>
      <c r="Q7041" t="str">
        <f t="shared" si="218"/>
        <v>25-34</v>
      </c>
      <c r="R7041" t="str">
        <f t="shared" si="219"/>
        <v>[GkIwZrXy1h2]|25-34|Male|PLHIV_Residents.T2|CY2026Q3</v>
      </c>
    </row>
    <row r="7042" spans="4:18" x14ac:dyDescent="0.2">
      <c r="D7042" t="s">
        <v>23</v>
      </c>
      <c r="E7042" t="s">
        <v>24</v>
      </c>
      <c r="F7042" t="s">
        <v>25</v>
      </c>
      <c r="G7042" t="s">
        <v>276</v>
      </c>
      <c r="H7042" t="s">
        <v>276</v>
      </c>
      <c r="I7042" t="s">
        <v>43</v>
      </c>
      <c r="J7042" t="s">
        <v>44</v>
      </c>
      <c r="K7042" t="s">
        <v>48</v>
      </c>
      <c r="L7042" t="s">
        <v>49</v>
      </c>
      <c r="M7042" t="s">
        <v>277</v>
      </c>
      <c r="N7042">
        <v>886</v>
      </c>
      <c r="O7042">
        <v>7.7396354000000001E-2</v>
      </c>
      <c r="P7042">
        <v>7.0795269999999993E-2</v>
      </c>
      <c r="Q7042" t="str">
        <f t="shared" si="218"/>
        <v>35-49</v>
      </c>
      <c r="R7042" t="str">
        <f t="shared" si="219"/>
        <v>[GkIwZrXy1h2]|35-49|Male|PLHIV_Residents.T2|CY2026Q3</v>
      </c>
    </row>
    <row r="7043" spans="4:18" x14ac:dyDescent="0.2">
      <c r="D7043" t="s">
        <v>23</v>
      </c>
      <c r="E7043" t="s">
        <v>24</v>
      </c>
      <c r="F7043" t="s">
        <v>25</v>
      </c>
      <c r="G7043" t="s">
        <v>276</v>
      </c>
      <c r="H7043" t="s">
        <v>276</v>
      </c>
      <c r="I7043" t="s">
        <v>45</v>
      </c>
      <c r="J7043" t="s">
        <v>46</v>
      </c>
      <c r="K7043" t="s">
        <v>48</v>
      </c>
      <c r="L7043" t="s">
        <v>49</v>
      </c>
      <c r="M7043" t="s">
        <v>277</v>
      </c>
      <c r="N7043">
        <v>920</v>
      </c>
      <c r="O7043">
        <v>7.4236629999999998E-2</v>
      </c>
      <c r="P7043">
        <v>7.0795269999999993E-2</v>
      </c>
      <c r="Q7043" t="str">
        <f t="shared" ref="Q7043:Q7106" si="220">SUBSTITUTE(SUBSTITUTE($I7043,CHAR(61),""),CHAR(34),"")</f>
        <v>50+</v>
      </c>
      <c r="R7043" t="str">
        <f t="shared" ref="R7043:R7106" si="221">IF($D7043&lt;&gt;"","["&amp;$E7043&amp;"]"&amp;"|"&amp;$Q7043&amp;"|"&amp;$K7043&amp;"|"&amp;$G7043&amp;"|"&amp;IF($G7043="TX_CURR_SUBNAT.R","CY2023Q4",$M7043),"")</f>
        <v>[GkIwZrXy1h2]|50+|Male|PLHIV_Residents.T2|CY2026Q3</v>
      </c>
    </row>
    <row r="7044" spans="4:18" x14ac:dyDescent="0.2">
      <c r="D7044" t="s">
        <v>53</v>
      </c>
      <c r="E7044" t="s">
        <v>54</v>
      </c>
      <c r="F7044" t="s">
        <v>55</v>
      </c>
      <c r="G7044" t="s">
        <v>276</v>
      </c>
      <c r="H7044" t="s">
        <v>276</v>
      </c>
      <c r="I7044" t="s">
        <v>28</v>
      </c>
      <c r="J7044" t="s">
        <v>29</v>
      </c>
      <c r="K7044" t="s">
        <v>30</v>
      </c>
      <c r="L7044" t="s">
        <v>31</v>
      </c>
      <c r="M7044" t="s">
        <v>277</v>
      </c>
      <c r="N7044">
        <v>8</v>
      </c>
      <c r="O7044">
        <v>3.7250398999999997E-2</v>
      </c>
      <c r="P7044">
        <v>3.2474397000000002E-2</v>
      </c>
      <c r="Q7044" t="str">
        <f t="shared" si="220"/>
        <v>&lt;01</v>
      </c>
      <c r="R7044" t="str">
        <f t="shared" si="221"/>
        <v>[cPtvxaZqXIH]|&lt;01|Female|PLHIV_Residents.T2|CY2026Q3</v>
      </c>
    </row>
    <row r="7045" spans="4:18" x14ac:dyDescent="0.2">
      <c r="D7045" t="s">
        <v>53</v>
      </c>
      <c r="E7045" t="s">
        <v>54</v>
      </c>
      <c r="F7045" t="s">
        <v>55</v>
      </c>
      <c r="G7045" t="s">
        <v>276</v>
      </c>
      <c r="H7045" t="s">
        <v>276</v>
      </c>
      <c r="I7045" t="s">
        <v>33</v>
      </c>
      <c r="J7045" t="s">
        <v>34</v>
      </c>
      <c r="K7045" t="s">
        <v>30</v>
      </c>
      <c r="L7045" t="s">
        <v>31</v>
      </c>
      <c r="M7045" t="s">
        <v>277</v>
      </c>
      <c r="N7045">
        <v>131</v>
      </c>
      <c r="O7045">
        <v>4.6681371999999999E-2</v>
      </c>
      <c r="P7045">
        <v>3.2474397000000002E-2</v>
      </c>
      <c r="Q7045" t="str">
        <f t="shared" si="220"/>
        <v>01-09</v>
      </c>
      <c r="R7045" t="str">
        <f t="shared" si="221"/>
        <v>[cPtvxaZqXIH]|01-09|Female|PLHIV_Residents.T2|CY2026Q3</v>
      </c>
    </row>
    <row r="7046" spans="4:18" x14ac:dyDescent="0.2">
      <c r="D7046" t="s">
        <v>53</v>
      </c>
      <c r="E7046" t="s">
        <v>54</v>
      </c>
      <c r="F7046" t="s">
        <v>55</v>
      </c>
      <c r="G7046" t="s">
        <v>276</v>
      </c>
      <c r="H7046" t="s">
        <v>276</v>
      </c>
      <c r="I7046" t="s">
        <v>36</v>
      </c>
      <c r="J7046" t="s">
        <v>37</v>
      </c>
      <c r="K7046" t="s">
        <v>30</v>
      </c>
      <c r="L7046" t="s">
        <v>31</v>
      </c>
      <c r="M7046" t="s">
        <v>277</v>
      </c>
      <c r="N7046">
        <v>183</v>
      </c>
      <c r="O7046">
        <v>6.7348478000000003E-2</v>
      </c>
      <c r="P7046">
        <v>3.2474397000000002E-2</v>
      </c>
      <c r="Q7046" t="str">
        <f t="shared" si="220"/>
        <v>10-14</v>
      </c>
      <c r="R7046" t="str">
        <f t="shared" si="221"/>
        <v>[cPtvxaZqXIH]|10-14|Female|PLHIV_Residents.T2|CY2026Q3</v>
      </c>
    </row>
    <row r="7047" spans="4:18" x14ac:dyDescent="0.2">
      <c r="D7047" t="s">
        <v>53</v>
      </c>
      <c r="E7047" t="s">
        <v>54</v>
      </c>
      <c r="F7047" t="s">
        <v>55</v>
      </c>
      <c r="G7047" t="s">
        <v>276</v>
      </c>
      <c r="H7047" t="s">
        <v>276</v>
      </c>
      <c r="I7047" t="s">
        <v>38</v>
      </c>
      <c r="J7047" t="s">
        <v>39</v>
      </c>
      <c r="K7047" t="s">
        <v>30</v>
      </c>
      <c r="L7047" t="s">
        <v>31</v>
      </c>
      <c r="M7047" t="s">
        <v>277</v>
      </c>
      <c r="N7047">
        <v>779</v>
      </c>
      <c r="O7047">
        <v>6.0445549000000001E-2</v>
      </c>
      <c r="P7047">
        <v>3.2474397000000002E-2</v>
      </c>
      <c r="Q7047" t="str">
        <f t="shared" si="220"/>
        <v>15-24</v>
      </c>
      <c r="R7047" t="str">
        <f t="shared" si="221"/>
        <v>[cPtvxaZqXIH]|15-24|Female|PLHIV_Residents.T2|CY2026Q3</v>
      </c>
    </row>
    <row r="7048" spans="4:18" x14ac:dyDescent="0.2">
      <c r="D7048" t="s">
        <v>53</v>
      </c>
      <c r="E7048" t="s">
        <v>54</v>
      </c>
      <c r="F7048" t="s">
        <v>55</v>
      </c>
      <c r="G7048" t="s">
        <v>276</v>
      </c>
      <c r="H7048" t="s">
        <v>276</v>
      </c>
      <c r="I7048" t="s">
        <v>41</v>
      </c>
      <c r="J7048" t="s">
        <v>42</v>
      </c>
      <c r="K7048" t="s">
        <v>30</v>
      </c>
      <c r="L7048" t="s">
        <v>31</v>
      </c>
      <c r="M7048" t="s">
        <v>277</v>
      </c>
      <c r="N7048">
        <v>1761</v>
      </c>
      <c r="O7048">
        <v>4.8453715000000001E-2</v>
      </c>
      <c r="P7048">
        <v>3.2474397000000002E-2</v>
      </c>
      <c r="Q7048" t="str">
        <f t="shared" si="220"/>
        <v>25-34</v>
      </c>
      <c r="R7048" t="str">
        <f t="shared" si="221"/>
        <v>[cPtvxaZqXIH]|25-34|Female|PLHIV_Residents.T2|CY2026Q3</v>
      </c>
    </row>
    <row r="7049" spans="4:18" x14ac:dyDescent="0.2">
      <c r="D7049" t="s">
        <v>53</v>
      </c>
      <c r="E7049" t="s">
        <v>54</v>
      </c>
      <c r="F7049" t="s">
        <v>55</v>
      </c>
      <c r="G7049" t="s">
        <v>276</v>
      </c>
      <c r="H7049" t="s">
        <v>276</v>
      </c>
      <c r="I7049" t="s">
        <v>43</v>
      </c>
      <c r="J7049" t="s">
        <v>44</v>
      </c>
      <c r="K7049" t="s">
        <v>30</v>
      </c>
      <c r="L7049" t="s">
        <v>31</v>
      </c>
      <c r="M7049" t="s">
        <v>277</v>
      </c>
      <c r="N7049">
        <v>5071</v>
      </c>
      <c r="O7049">
        <v>3.4330925999999998E-2</v>
      </c>
      <c r="P7049">
        <v>3.2474397000000002E-2</v>
      </c>
      <c r="Q7049" t="str">
        <f t="shared" si="220"/>
        <v>35-49</v>
      </c>
      <c r="R7049" t="str">
        <f t="shared" si="221"/>
        <v>[cPtvxaZqXIH]|35-49|Female|PLHIV_Residents.T2|CY2026Q3</v>
      </c>
    </row>
    <row r="7050" spans="4:18" x14ac:dyDescent="0.2">
      <c r="D7050" t="s">
        <v>53</v>
      </c>
      <c r="E7050" t="s">
        <v>54</v>
      </c>
      <c r="F7050" t="s">
        <v>55</v>
      </c>
      <c r="G7050" t="s">
        <v>276</v>
      </c>
      <c r="H7050" t="s">
        <v>276</v>
      </c>
      <c r="I7050" t="s">
        <v>45</v>
      </c>
      <c r="J7050" t="s">
        <v>46</v>
      </c>
      <c r="K7050" t="s">
        <v>30</v>
      </c>
      <c r="L7050" t="s">
        <v>31</v>
      </c>
      <c r="M7050" t="s">
        <v>277</v>
      </c>
      <c r="N7050">
        <v>2774</v>
      </c>
      <c r="O7050">
        <v>4.2925801E-2</v>
      </c>
      <c r="P7050">
        <v>3.2474397000000002E-2</v>
      </c>
      <c r="Q7050" t="str">
        <f t="shared" si="220"/>
        <v>50+</v>
      </c>
      <c r="R7050" t="str">
        <f t="shared" si="221"/>
        <v>[cPtvxaZqXIH]|50+|Female|PLHIV_Residents.T2|CY2026Q3</v>
      </c>
    </row>
    <row r="7051" spans="4:18" x14ac:dyDescent="0.2">
      <c r="D7051" t="s">
        <v>53</v>
      </c>
      <c r="E7051" t="s">
        <v>54</v>
      </c>
      <c r="F7051" t="s">
        <v>55</v>
      </c>
      <c r="G7051" t="s">
        <v>276</v>
      </c>
      <c r="H7051" t="s">
        <v>276</v>
      </c>
      <c r="I7051" t="s">
        <v>28</v>
      </c>
      <c r="J7051" t="s">
        <v>29</v>
      </c>
      <c r="K7051" t="s">
        <v>48</v>
      </c>
      <c r="L7051" t="s">
        <v>49</v>
      </c>
      <c r="M7051" t="s">
        <v>277</v>
      </c>
      <c r="N7051">
        <v>8</v>
      </c>
      <c r="O7051">
        <v>3.7195911999999998E-2</v>
      </c>
      <c r="P7051">
        <v>3.2474397000000002E-2</v>
      </c>
      <c r="Q7051" t="str">
        <f t="shared" si="220"/>
        <v>&lt;01</v>
      </c>
      <c r="R7051" t="str">
        <f t="shared" si="221"/>
        <v>[cPtvxaZqXIH]|&lt;01|Male|PLHIV_Residents.T2|CY2026Q3</v>
      </c>
    </row>
    <row r="7052" spans="4:18" x14ac:dyDescent="0.2">
      <c r="D7052" t="s">
        <v>53</v>
      </c>
      <c r="E7052" t="s">
        <v>54</v>
      </c>
      <c r="F7052" t="s">
        <v>55</v>
      </c>
      <c r="G7052" t="s">
        <v>276</v>
      </c>
      <c r="H7052" t="s">
        <v>276</v>
      </c>
      <c r="I7052" t="s">
        <v>33</v>
      </c>
      <c r="J7052" t="s">
        <v>34</v>
      </c>
      <c r="K7052" t="s">
        <v>48</v>
      </c>
      <c r="L7052" t="s">
        <v>49</v>
      </c>
      <c r="M7052" t="s">
        <v>277</v>
      </c>
      <c r="N7052">
        <v>131</v>
      </c>
      <c r="O7052">
        <v>4.6551465E-2</v>
      </c>
      <c r="P7052">
        <v>3.2474397000000002E-2</v>
      </c>
      <c r="Q7052" t="str">
        <f t="shared" si="220"/>
        <v>01-09</v>
      </c>
      <c r="R7052" t="str">
        <f t="shared" si="221"/>
        <v>[cPtvxaZqXIH]|01-09|Male|PLHIV_Residents.T2|CY2026Q3</v>
      </c>
    </row>
    <row r="7053" spans="4:18" x14ac:dyDescent="0.2">
      <c r="D7053" t="s">
        <v>53</v>
      </c>
      <c r="E7053" t="s">
        <v>54</v>
      </c>
      <c r="F7053" t="s">
        <v>55</v>
      </c>
      <c r="G7053" t="s">
        <v>276</v>
      </c>
      <c r="H7053" t="s">
        <v>276</v>
      </c>
      <c r="I7053" t="s">
        <v>36</v>
      </c>
      <c r="J7053" t="s">
        <v>37</v>
      </c>
      <c r="K7053" t="s">
        <v>48</v>
      </c>
      <c r="L7053" t="s">
        <v>49</v>
      </c>
      <c r="M7053" t="s">
        <v>277</v>
      </c>
      <c r="N7053">
        <v>178</v>
      </c>
      <c r="O7053">
        <v>6.7286869999999999E-2</v>
      </c>
      <c r="P7053">
        <v>3.2474397000000002E-2</v>
      </c>
      <c r="Q7053" t="str">
        <f t="shared" si="220"/>
        <v>10-14</v>
      </c>
      <c r="R7053" t="str">
        <f t="shared" si="221"/>
        <v>[cPtvxaZqXIH]|10-14|Male|PLHIV_Residents.T2|CY2026Q3</v>
      </c>
    </row>
    <row r="7054" spans="4:18" x14ac:dyDescent="0.2">
      <c r="D7054" t="s">
        <v>53</v>
      </c>
      <c r="E7054" t="s">
        <v>54</v>
      </c>
      <c r="F7054" t="s">
        <v>55</v>
      </c>
      <c r="G7054" t="s">
        <v>276</v>
      </c>
      <c r="H7054" t="s">
        <v>276</v>
      </c>
      <c r="I7054" t="s">
        <v>38</v>
      </c>
      <c r="J7054" t="s">
        <v>39</v>
      </c>
      <c r="K7054" t="s">
        <v>48</v>
      </c>
      <c r="L7054" t="s">
        <v>49</v>
      </c>
      <c r="M7054" t="s">
        <v>277</v>
      </c>
      <c r="N7054">
        <v>562</v>
      </c>
      <c r="O7054">
        <v>7.0383003999999999E-2</v>
      </c>
      <c r="P7054">
        <v>3.2474397000000002E-2</v>
      </c>
      <c r="Q7054" t="str">
        <f t="shared" si="220"/>
        <v>15-24</v>
      </c>
      <c r="R7054" t="str">
        <f t="shared" si="221"/>
        <v>[cPtvxaZqXIH]|15-24|Male|PLHIV_Residents.T2|CY2026Q3</v>
      </c>
    </row>
    <row r="7055" spans="4:18" x14ac:dyDescent="0.2">
      <c r="D7055" t="s">
        <v>53</v>
      </c>
      <c r="E7055" t="s">
        <v>54</v>
      </c>
      <c r="F7055" t="s">
        <v>55</v>
      </c>
      <c r="G7055" t="s">
        <v>276</v>
      </c>
      <c r="H7055" t="s">
        <v>276</v>
      </c>
      <c r="I7055" t="s">
        <v>41</v>
      </c>
      <c r="J7055" t="s">
        <v>42</v>
      </c>
      <c r="K7055" t="s">
        <v>48</v>
      </c>
      <c r="L7055" t="s">
        <v>49</v>
      </c>
      <c r="M7055" t="s">
        <v>277</v>
      </c>
      <c r="N7055">
        <v>699</v>
      </c>
      <c r="O7055">
        <v>7.2189806999999995E-2</v>
      </c>
      <c r="P7055">
        <v>3.2474397000000002E-2</v>
      </c>
      <c r="Q7055" t="str">
        <f t="shared" si="220"/>
        <v>25-34</v>
      </c>
      <c r="R7055" t="str">
        <f t="shared" si="221"/>
        <v>[cPtvxaZqXIH]|25-34|Male|PLHIV_Residents.T2|CY2026Q3</v>
      </c>
    </row>
    <row r="7056" spans="4:18" x14ac:dyDescent="0.2">
      <c r="D7056" t="s">
        <v>53</v>
      </c>
      <c r="E7056" t="s">
        <v>54</v>
      </c>
      <c r="F7056" t="s">
        <v>55</v>
      </c>
      <c r="G7056" t="s">
        <v>276</v>
      </c>
      <c r="H7056" t="s">
        <v>276</v>
      </c>
      <c r="I7056" t="s">
        <v>43</v>
      </c>
      <c r="J7056" t="s">
        <v>44</v>
      </c>
      <c r="K7056" t="s">
        <v>48</v>
      </c>
      <c r="L7056" t="s">
        <v>49</v>
      </c>
      <c r="M7056" t="s">
        <v>277</v>
      </c>
      <c r="N7056">
        <v>2606</v>
      </c>
      <c r="O7056">
        <v>4.4740252000000001E-2</v>
      </c>
      <c r="P7056">
        <v>3.2474397000000002E-2</v>
      </c>
      <c r="Q7056" t="str">
        <f t="shared" si="220"/>
        <v>35-49</v>
      </c>
      <c r="R7056" t="str">
        <f t="shared" si="221"/>
        <v>[cPtvxaZqXIH]|35-49|Male|PLHIV_Residents.T2|CY2026Q3</v>
      </c>
    </row>
    <row r="7057" spans="4:18" x14ac:dyDescent="0.2">
      <c r="D7057" t="s">
        <v>53</v>
      </c>
      <c r="E7057" t="s">
        <v>54</v>
      </c>
      <c r="F7057" t="s">
        <v>55</v>
      </c>
      <c r="G7057" t="s">
        <v>276</v>
      </c>
      <c r="H7057" t="s">
        <v>276</v>
      </c>
      <c r="I7057" t="s">
        <v>45</v>
      </c>
      <c r="J7057" t="s">
        <v>46</v>
      </c>
      <c r="K7057" t="s">
        <v>48</v>
      </c>
      <c r="L7057" t="s">
        <v>49</v>
      </c>
      <c r="M7057" t="s">
        <v>277</v>
      </c>
      <c r="N7057">
        <v>2314</v>
      </c>
      <c r="O7057">
        <v>4.2533097999999998E-2</v>
      </c>
      <c r="P7057">
        <v>3.2474397000000002E-2</v>
      </c>
      <c r="Q7057" t="str">
        <f t="shared" si="220"/>
        <v>50+</v>
      </c>
      <c r="R7057" t="str">
        <f t="shared" si="221"/>
        <v>[cPtvxaZqXIH]|50+|Male|PLHIV_Residents.T2|CY2026Q3</v>
      </c>
    </row>
    <row r="7058" spans="4:18" x14ac:dyDescent="0.2">
      <c r="D7058" t="s">
        <v>60</v>
      </c>
      <c r="E7058" t="s">
        <v>61</v>
      </c>
      <c r="F7058" t="s">
        <v>62</v>
      </c>
      <c r="G7058" t="s">
        <v>276</v>
      </c>
      <c r="H7058" t="s">
        <v>276</v>
      </c>
      <c r="I7058" t="s">
        <v>28</v>
      </c>
      <c r="J7058" t="s">
        <v>29</v>
      </c>
      <c r="K7058" t="s">
        <v>30</v>
      </c>
      <c r="L7058" t="s">
        <v>31</v>
      </c>
      <c r="M7058" t="s">
        <v>277</v>
      </c>
      <c r="N7058">
        <v>6</v>
      </c>
      <c r="O7058">
        <v>8.4733525000000004E-2</v>
      </c>
      <c r="P7058">
        <v>8.1657768000000006E-2</v>
      </c>
      <c r="Q7058" t="str">
        <f t="shared" si="220"/>
        <v>&lt;01</v>
      </c>
      <c r="R7058" t="str">
        <f t="shared" si="221"/>
        <v>[E7zpfyBt7Tw]|&lt;01|Female|PLHIV_Residents.T2|CY2026Q3</v>
      </c>
    </row>
    <row r="7059" spans="4:18" x14ac:dyDescent="0.2">
      <c r="D7059" t="s">
        <v>60</v>
      </c>
      <c r="E7059" t="s">
        <v>61</v>
      </c>
      <c r="F7059" t="s">
        <v>62</v>
      </c>
      <c r="G7059" t="s">
        <v>276</v>
      </c>
      <c r="H7059" t="s">
        <v>276</v>
      </c>
      <c r="I7059" t="s">
        <v>33</v>
      </c>
      <c r="J7059" t="s">
        <v>34</v>
      </c>
      <c r="K7059" t="s">
        <v>30</v>
      </c>
      <c r="L7059" t="s">
        <v>31</v>
      </c>
      <c r="M7059" t="s">
        <v>277</v>
      </c>
      <c r="N7059">
        <v>108</v>
      </c>
      <c r="O7059">
        <v>8.7194037000000002E-2</v>
      </c>
      <c r="P7059">
        <v>8.1657768000000006E-2</v>
      </c>
      <c r="Q7059" t="str">
        <f t="shared" si="220"/>
        <v>01-09</v>
      </c>
      <c r="R7059" t="str">
        <f t="shared" si="221"/>
        <v>[E7zpfyBt7Tw]|01-09|Female|PLHIV_Residents.T2|CY2026Q3</v>
      </c>
    </row>
    <row r="7060" spans="4:18" x14ac:dyDescent="0.2">
      <c r="D7060" t="s">
        <v>60</v>
      </c>
      <c r="E7060" t="s">
        <v>61</v>
      </c>
      <c r="F7060" t="s">
        <v>62</v>
      </c>
      <c r="G7060" t="s">
        <v>276</v>
      </c>
      <c r="H7060" t="s">
        <v>276</v>
      </c>
      <c r="I7060" t="s">
        <v>36</v>
      </c>
      <c r="J7060" t="s">
        <v>37</v>
      </c>
      <c r="K7060" t="s">
        <v>30</v>
      </c>
      <c r="L7060" t="s">
        <v>31</v>
      </c>
      <c r="M7060" t="s">
        <v>277</v>
      </c>
      <c r="N7060">
        <v>152</v>
      </c>
      <c r="O7060">
        <v>9.3316258999999999E-2</v>
      </c>
      <c r="P7060">
        <v>8.1657768000000006E-2</v>
      </c>
      <c r="Q7060" t="str">
        <f t="shared" si="220"/>
        <v>10-14</v>
      </c>
      <c r="R7060" t="str">
        <f t="shared" si="221"/>
        <v>[E7zpfyBt7Tw]|10-14|Female|PLHIV_Residents.T2|CY2026Q3</v>
      </c>
    </row>
    <row r="7061" spans="4:18" x14ac:dyDescent="0.2">
      <c r="D7061" t="s">
        <v>60</v>
      </c>
      <c r="E7061" t="s">
        <v>61</v>
      </c>
      <c r="F7061" t="s">
        <v>62</v>
      </c>
      <c r="G7061" t="s">
        <v>276</v>
      </c>
      <c r="H7061" t="s">
        <v>276</v>
      </c>
      <c r="I7061" t="s">
        <v>38</v>
      </c>
      <c r="J7061" t="s">
        <v>39</v>
      </c>
      <c r="K7061" t="s">
        <v>30</v>
      </c>
      <c r="L7061" t="s">
        <v>31</v>
      </c>
      <c r="M7061" t="s">
        <v>277</v>
      </c>
      <c r="N7061">
        <v>663</v>
      </c>
      <c r="O7061">
        <v>9.9085263000000007E-2</v>
      </c>
      <c r="P7061">
        <v>8.1657768000000006E-2</v>
      </c>
      <c r="Q7061" t="str">
        <f t="shared" si="220"/>
        <v>15-24</v>
      </c>
      <c r="R7061" t="str">
        <f t="shared" si="221"/>
        <v>[E7zpfyBt7Tw]|15-24|Female|PLHIV_Residents.T2|CY2026Q3</v>
      </c>
    </row>
    <row r="7062" spans="4:18" x14ac:dyDescent="0.2">
      <c r="D7062" t="s">
        <v>60</v>
      </c>
      <c r="E7062" t="s">
        <v>61</v>
      </c>
      <c r="F7062" t="s">
        <v>62</v>
      </c>
      <c r="G7062" t="s">
        <v>276</v>
      </c>
      <c r="H7062" t="s">
        <v>276</v>
      </c>
      <c r="I7062" t="s">
        <v>41</v>
      </c>
      <c r="J7062" t="s">
        <v>42</v>
      </c>
      <c r="K7062" t="s">
        <v>30</v>
      </c>
      <c r="L7062" t="s">
        <v>31</v>
      </c>
      <c r="M7062" t="s">
        <v>277</v>
      </c>
      <c r="N7062">
        <v>1417</v>
      </c>
      <c r="O7062">
        <v>9.6054715999999998E-2</v>
      </c>
      <c r="P7062">
        <v>8.1657768000000006E-2</v>
      </c>
      <c r="Q7062" t="str">
        <f t="shared" si="220"/>
        <v>25-34</v>
      </c>
      <c r="R7062" t="str">
        <f t="shared" si="221"/>
        <v>[E7zpfyBt7Tw]|25-34|Female|PLHIV_Residents.T2|CY2026Q3</v>
      </c>
    </row>
    <row r="7063" spans="4:18" x14ac:dyDescent="0.2">
      <c r="D7063" t="s">
        <v>60</v>
      </c>
      <c r="E7063" t="s">
        <v>61</v>
      </c>
      <c r="F7063" t="s">
        <v>62</v>
      </c>
      <c r="G7063" t="s">
        <v>276</v>
      </c>
      <c r="H7063" t="s">
        <v>276</v>
      </c>
      <c r="I7063" t="s">
        <v>43</v>
      </c>
      <c r="J7063" t="s">
        <v>44</v>
      </c>
      <c r="K7063" t="s">
        <v>30</v>
      </c>
      <c r="L7063" t="s">
        <v>31</v>
      </c>
      <c r="M7063" t="s">
        <v>277</v>
      </c>
      <c r="N7063">
        <v>3969</v>
      </c>
      <c r="O7063">
        <v>8.0721818000000001E-2</v>
      </c>
      <c r="P7063">
        <v>8.1657768000000006E-2</v>
      </c>
      <c r="Q7063" t="str">
        <f t="shared" si="220"/>
        <v>35-49</v>
      </c>
      <c r="R7063" t="str">
        <f t="shared" si="221"/>
        <v>[E7zpfyBt7Tw]|35-49|Female|PLHIV_Residents.T2|CY2026Q3</v>
      </c>
    </row>
    <row r="7064" spans="4:18" x14ac:dyDescent="0.2">
      <c r="D7064" t="s">
        <v>60</v>
      </c>
      <c r="E7064" t="s">
        <v>61</v>
      </c>
      <c r="F7064" t="s">
        <v>62</v>
      </c>
      <c r="G7064" t="s">
        <v>276</v>
      </c>
      <c r="H7064" t="s">
        <v>276</v>
      </c>
      <c r="I7064" t="s">
        <v>45</v>
      </c>
      <c r="J7064" t="s">
        <v>46</v>
      </c>
      <c r="K7064" t="s">
        <v>30</v>
      </c>
      <c r="L7064" t="s">
        <v>31</v>
      </c>
      <c r="M7064" t="s">
        <v>277</v>
      </c>
      <c r="N7064">
        <v>2478</v>
      </c>
      <c r="O7064">
        <v>8.4194082000000003E-2</v>
      </c>
      <c r="P7064">
        <v>8.1657768000000006E-2</v>
      </c>
      <c r="Q7064" t="str">
        <f t="shared" si="220"/>
        <v>50+</v>
      </c>
      <c r="R7064" t="str">
        <f t="shared" si="221"/>
        <v>[E7zpfyBt7Tw]|50+|Female|PLHIV_Residents.T2|CY2026Q3</v>
      </c>
    </row>
    <row r="7065" spans="4:18" x14ac:dyDescent="0.2">
      <c r="D7065" t="s">
        <v>60</v>
      </c>
      <c r="E7065" t="s">
        <v>61</v>
      </c>
      <c r="F7065" t="s">
        <v>62</v>
      </c>
      <c r="G7065" t="s">
        <v>276</v>
      </c>
      <c r="H7065" t="s">
        <v>276</v>
      </c>
      <c r="I7065" t="s">
        <v>28</v>
      </c>
      <c r="J7065" t="s">
        <v>29</v>
      </c>
      <c r="K7065" t="s">
        <v>48</v>
      </c>
      <c r="L7065" t="s">
        <v>49</v>
      </c>
      <c r="M7065" t="s">
        <v>277</v>
      </c>
      <c r="N7065">
        <v>6</v>
      </c>
      <c r="O7065">
        <v>8.4758195999999994E-2</v>
      </c>
      <c r="P7065">
        <v>8.1657768000000006E-2</v>
      </c>
      <c r="Q7065" t="str">
        <f t="shared" si="220"/>
        <v>&lt;01</v>
      </c>
      <c r="R7065" t="str">
        <f t="shared" si="221"/>
        <v>[E7zpfyBt7Tw]|&lt;01|Male|PLHIV_Residents.T2|CY2026Q3</v>
      </c>
    </row>
    <row r="7066" spans="4:18" x14ac:dyDescent="0.2">
      <c r="D7066" t="s">
        <v>60</v>
      </c>
      <c r="E7066" t="s">
        <v>61</v>
      </c>
      <c r="F7066" t="s">
        <v>62</v>
      </c>
      <c r="G7066" t="s">
        <v>276</v>
      </c>
      <c r="H7066" t="s">
        <v>276</v>
      </c>
      <c r="I7066" t="s">
        <v>33</v>
      </c>
      <c r="J7066" t="s">
        <v>34</v>
      </c>
      <c r="K7066" t="s">
        <v>48</v>
      </c>
      <c r="L7066" t="s">
        <v>49</v>
      </c>
      <c r="M7066" t="s">
        <v>277</v>
      </c>
      <c r="N7066">
        <v>110</v>
      </c>
      <c r="O7066">
        <v>8.7219944999999993E-2</v>
      </c>
      <c r="P7066">
        <v>8.1657768000000006E-2</v>
      </c>
      <c r="Q7066" t="str">
        <f t="shared" si="220"/>
        <v>01-09</v>
      </c>
      <c r="R7066" t="str">
        <f t="shared" si="221"/>
        <v>[E7zpfyBt7Tw]|01-09|Male|PLHIV_Residents.T2|CY2026Q3</v>
      </c>
    </row>
    <row r="7067" spans="4:18" x14ac:dyDescent="0.2">
      <c r="D7067" t="s">
        <v>60</v>
      </c>
      <c r="E7067" t="s">
        <v>61</v>
      </c>
      <c r="F7067" t="s">
        <v>62</v>
      </c>
      <c r="G7067" t="s">
        <v>276</v>
      </c>
      <c r="H7067" t="s">
        <v>276</v>
      </c>
      <c r="I7067" t="s">
        <v>36</v>
      </c>
      <c r="J7067" t="s">
        <v>37</v>
      </c>
      <c r="K7067" t="s">
        <v>48</v>
      </c>
      <c r="L7067" t="s">
        <v>49</v>
      </c>
      <c r="M7067" t="s">
        <v>277</v>
      </c>
      <c r="N7067">
        <v>153</v>
      </c>
      <c r="O7067">
        <v>9.3312335999999996E-2</v>
      </c>
      <c r="P7067">
        <v>8.1657768000000006E-2</v>
      </c>
      <c r="Q7067" t="str">
        <f t="shared" si="220"/>
        <v>10-14</v>
      </c>
      <c r="R7067" t="str">
        <f t="shared" si="221"/>
        <v>[E7zpfyBt7Tw]|10-14|Male|PLHIV_Residents.T2|CY2026Q3</v>
      </c>
    </row>
    <row r="7068" spans="4:18" x14ac:dyDescent="0.2">
      <c r="D7068" t="s">
        <v>60</v>
      </c>
      <c r="E7068" t="s">
        <v>61</v>
      </c>
      <c r="F7068" t="s">
        <v>62</v>
      </c>
      <c r="G7068" t="s">
        <v>276</v>
      </c>
      <c r="H7068" t="s">
        <v>276</v>
      </c>
      <c r="I7068" t="s">
        <v>38</v>
      </c>
      <c r="J7068" t="s">
        <v>39</v>
      </c>
      <c r="K7068" t="s">
        <v>48</v>
      </c>
      <c r="L7068" t="s">
        <v>49</v>
      </c>
      <c r="M7068" t="s">
        <v>277</v>
      </c>
      <c r="N7068">
        <v>519</v>
      </c>
      <c r="O7068">
        <v>0.104328872</v>
      </c>
      <c r="P7068">
        <v>8.1657768000000006E-2</v>
      </c>
      <c r="Q7068" t="str">
        <f t="shared" si="220"/>
        <v>15-24</v>
      </c>
      <c r="R7068" t="str">
        <f t="shared" si="221"/>
        <v>[E7zpfyBt7Tw]|15-24|Male|PLHIV_Residents.T2|CY2026Q3</v>
      </c>
    </row>
    <row r="7069" spans="4:18" x14ac:dyDescent="0.2">
      <c r="D7069" t="s">
        <v>60</v>
      </c>
      <c r="E7069" t="s">
        <v>61</v>
      </c>
      <c r="F7069" t="s">
        <v>62</v>
      </c>
      <c r="G7069" t="s">
        <v>276</v>
      </c>
      <c r="H7069" t="s">
        <v>276</v>
      </c>
      <c r="I7069" t="s">
        <v>41</v>
      </c>
      <c r="J7069" t="s">
        <v>42</v>
      </c>
      <c r="K7069" t="s">
        <v>48</v>
      </c>
      <c r="L7069" t="s">
        <v>49</v>
      </c>
      <c r="M7069" t="s">
        <v>277</v>
      </c>
      <c r="N7069">
        <v>653</v>
      </c>
      <c r="O7069">
        <v>0.10954610200000001</v>
      </c>
      <c r="P7069">
        <v>8.1657768000000006E-2</v>
      </c>
      <c r="Q7069" t="str">
        <f t="shared" si="220"/>
        <v>25-34</v>
      </c>
      <c r="R7069" t="str">
        <f t="shared" si="221"/>
        <v>[E7zpfyBt7Tw]|25-34|Male|PLHIV_Residents.T2|CY2026Q3</v>
      </c>
    </row>
    <row r="7070" spans="4:18" x14ac:dyDescent="0.2">
      <c r="D7070" t="s">
        <v>60</v>
      </c>
      <c r="E7070" t="s">
        <v>61</v>
      </c>
      <c r="F7070" t="s">
        <v>62</v>
      </c>
      <c r="G7070" t="s">
        <v>276</v>
      </c>
      <c r="H7070" t="s">
        <v>276</v>
      </c>
      <c r="I7070" t="s">
        <v>43</v>
      </c>
      <c r="J7070" t="s">
        <v>44</v>
      </c>
      <c r="K7070" t="s">
        <v>48</v>
      </c>
      <c r="L7070" t="s">
        <v>49</v>
      </c>
      <c r="M7070" t="s">
        <v>277</v>
      </c>
      <c r="N7070">
        <v>2307</v>
      </c>
      <c r="O7070">
        <v>8.9948173000000006E-2</v>
      </c>
      <c r="P7070">
        <v>8.1657768000000006E-2</v>
      </c>
      <c r="Q7070" t="str">
        <f t="shared" si="220"/>
        <v>35-49</v>
      </c>
      <c r="R7070" t="str">
        <f t="shared" si="221"/>
        <v>[E7zpfyBt7Tw]|35-49|Male|PLHIV_Residents.T2|CY2026Q3</v>
      </c>
    </row>
    <row r="7071" spans="4:18" x14ac:dyDescent="0.2">
      <c r="D7071" t="s">
        <v>60</v>
      </c>
      <c r="E7071" t="s">
        <v>61</v>
      </c>
      <c r="F7071" t="s">
        <v>62</v>
      </c>
      <c r="G7071" t="s">
        <v>276</v>
      </c>
      <c r="H7071" t="s">
        <v>276</v>
      </c>
      <c r="I7071" t="s">
        <v>45</v>
      </c>
      <c r="J7071" t="s">
        <v>46</v>
      </c>
      <c r="K7071" t="s">
        <v>48</v>
      </c>
      <c r="L7071" t="s">
        <v>49</v>
      </c>
      <c r="M7071" t="s">
        <v>277</v>
      </c>
      <c r="N7071">
        <v>2271</v>
      </c>
      <c r="O7071">
        <v>8.1342491000000003E-2</v>
      </c>
      <c r="P7071">
        <v>8.1657768000000006E-2</v>
      </c>
      <c r="Q7071" t="str">
        <f t="shared" si="220"/>
        <v>50+</v>
      </c>
      <c r="R7071" t="str">
        <f t="shared" si="221"/>
        <v>[E7zpfyBt7Tw]|50+|Male|PLHIV_Residents.T2|CY2026Q3</v>
      </c>
    </row>
    <row r="7072" spans="4:18" x14ac:dyDescent="0.2">
      <c r="D7072" t="s">
        <v>63</v>
      </c>
      <c r="E7072" t="s">
        <v>64</v>
      </c>
      <c r="F7072" t="s">
        <v>65</v>
      </c>
      <c r="G7072" t="s">
        <v>276</v>
      </c>
      <c r="H7072" t="s">
        <v>276</v>
      </c>
      <c r="I7072" t="s">
        <v>28</v>
      </c>
      <c r="J7072" t="s">
        <v>29</v>
      </c>
      <c r="K7072" t="s">
        <v>30</v>
      </c>
      <c r="L7072" t="s">
        <v>31</v>
      </c>
      <c r="M7072" t="s">
        <v>277</v>
      </c>
      <c r="N7072">
        <v>4</v>
      </c>
      <c r="O7072">
        <v>7.9969472E-2</v>
      </c>
      <c r="P7072">
        <v>7.5847849999999994E-2</v>
      </c>
      <c r="Q7072" t="str">
        <f t="shared" si="220"/>
        <v>&lt;01</v>
      </c>
      <c r="R7072" t="str">
        <f t="shared" si="221"/>
        <v>[lPTyjLi4w3d]|&lt;01|Female|PLHIV_Residents.T2|CY2026Q3</v>
      </c>
    </row>
    <row r="7073" spans="4:18" x14ac:dyDescent="0.2">
      <c r="D7073" t="s">
        <v>63</v>
      </c>
      <c r="E7073" t="s">
        <v>64</v>
      </c>
      <c r="F7073" t="s">
        <v>65</v>
      </c>
      <c r="G7073" t="s">
        <v>276</v>
      </c>
      <c r="H7073" t="s">
        <v>276</v>
      </c>
      <c r="I7073" t="s">
        <v>33</v>
      </c>
      <c r="J7073" t="s">
        <v>34</v>
      </c>
      <c r="K7073" t="s">
        <v>30</v>
      </c>
      <c r="L7073" t="s">
        <v>31</v>
      </c>
      <c r="M7073" t="s">
        <v>277</v>
      </c>
      <c r="N7073">
        <v>67</v>
      </c>
      <c r="O7073">
        <v>8.2774719999999996E-2</v>
      </c>
      <c r="P7073">
        <v>7.5847849999999994E-2</v>
      </c>
      <c r="Q7073" t="str">
        <f t="shared" si="220"/>
        <v>01-09</v>
      </c>
      <c r="R7073" t="str">
        <f t="shared" si="221"/>
        <v>[lPTyjLi4w3d]|01-09|Female|PLHIV_Residents.T2|CY2026Q3</v>
      </c>
    </row>
    <row r="7074" spans="4:18" x14ac:dyDescent="0.2">
      <c r="D7074" t="s">
        <v>63</v>
      </c>
      <c r="E7074" t="s">
        <v>64</v>
      </c>
      <c r="F7074" t="s">
        <v>65</v>
      </c>
      <c r="G7074" t="s">
        <v>276</v>
      </c>
      <c r="H7074" t="s">
        <v>276</v>
      </c>
      <c r="I7074" t="s">
        <v>36</v>
      </c>
      <c r="J7074" t="s">
        <v>37</v>
      </c>
      <c r="K7074" t="s">
        <v>30</v>
      </c>
      <c r="L7074" t="s">
        <v>31</v>
      </c>
      <c r="M7074" t="s">
        <v>277</v>
      </c>
      <c r="N7074">
        <v>93</v>
      </c>
      <c r="O7074">
        <v>8.9948839000000003E-2</v>
      </c>
      <c r="P7074">
        <v>7.5847849999999994E-2</v>
      </c>
      <c r="Q7074" t="str">
        <f t="shared" si="220"/>
        <v>10-14</v>
      </c>
      <c r="R7074" t="str">
        <f t="shared" si="221"/>
        <v>[lPTyjLi4w3d]|10-14|Female|PLHIV_Residents.T2|CY2026Q3</v>
      </c>
    </row>
    <row r="7075" spans="4:18" x14ac:dyDescent="0.2">
      <c r="D7075" t="s">
        <v>63</v>
      </c>
      <c r="E7075" t="s">
        <v>64</v>
      </c>
      <c r="F7075" t="s">
        <v>65</v>
      </c>
      <c r="G7075" t="s">
        <v>276</v>
      </c>
      <c r="H7075" t="s">
        <v>276</v>
      </c>
      <c r="I7075" t="s">
        <v>38</v>
      </c>
      <c r="J7075" t="s">
        <v>39</v>
      </c>
      <c r="K7075" t="s">
        <v>30</v>
      </c>
      <c r="L7075" t="s">
        <v>31</v>
      </c>
      <c r="M7075" t="s">
        <v>277</v>
      </c>
      <c r="N7075">
        <v>382</v>
      </c>
      <c r="O7075">
        <v>9.2925604999999994E-2</v>
      </c>
      <c r="P7075">
        <v>7.5847849999999994E-2</v>
      </c>
      <c r="Q7075" t="str">
        <f t="shared" si="220"/>
        <v>15-24</v>
      </c>
      <c r="R7075" t="str">
        <f t="shared" si="221"/>
        <v>[lPTyjLi4w3d]|15-24|Female|PLHIV_Residents.T2|CY2026Q3</v>
      </c>
    </row>
    <row r="7076" spans="4:18" x14ac:dyDescent="0.2">
      <c r="D7076" t="s">
        <v>63</v>
      </c>
      <c r="E7076" t="s">
        <v>64</v>
      </c>
      <c r="F7076" t="s">
        <v>65</v>
      </c>
      <c r="G7076" t="s">
        <v>276</v>
      </c>
      <c r="H7076" t="s">
        <v>276</v>
      </c>
      <c r="I7076" t="s">
        <v>41</v>
      </c>
      <c r="J7076" t="s">
        <v>42</v>
      </c>
      <c r="K7076" t="s">
        <v>30</v>
      </c>
      <c r="L7076" t="s">
        <v>31</v>
      </c>
      <c r="M7076" t="s">
        <v>277</v>
      </c>
      <c r="N7076">
        <v>861</v>
      </c>
      <c r="O7076">
        <v>8.8587211999999999E-2</v>
      </c>
      <c r="P7076">
        <v>7.5847849999999994E-2</v>
      </c>
      <c r="Q7076" t="str">
        <f t="shared" si="220"/>
        <v>25-34</v>
      </c>
      <c r="R7076" t="str">
        <f t="shared" si="221"/>
        <v>[lPTyjLi4w3d]|25-34|Female|PLHIV_Residents.T2|CY2026Q3</v>
      </c>
    </row>
    <row r="7077" spans="4:18" x14ac:dyDescent="0.2">
      <c r="D7077" t="s">
        <v>63</v>
      </c>
      <c r="E7077" t="s">
        <v>64</v>
      </c>
      <c r="F7077" t="s">
        <v>65</v>
      </c>
      <c r="G7077" t="s">
        <v>276</v>
      </c>
      <c r="H7077" t="s">
        <v>276</v>
      </c>
      <c r="I7077" t="s">
        <v>43</v>
      </c>
      <c r="J7077" t="s">
        <v>44</v>
      </c>
      <c r="K7077" t="s">
        <v>30</v>
      </c>
      <c r="L7077" t="s">
        <v>31</v>
      </c>
      <c r="M7077" t="s">
        <v>277</v>
      </c>
      <c r="N7077">
        <v>2544</v>
      </c>
      <c r="O7077">
        <v>7.7874234000000001E-2</v>
      </c>
      <c r="P7077">
        <v>7.5847849999999994E-2</v>
      </c>
      <c r="Q7077" t="str">
        <f t="shared" si="220"/>
        <v>35-49</v>
      </c>
      <c r="R7077" t="str">
        <f t="shared" si="221"/>
        <v>[lPTyjLi4w3d]|35-49|Female|PLHIV_Residents.T2|CY2026Q3</v>
      </c>
    </row>
    <row r="7078" spans="4:18" x14ac:dyDescent="0.2">
      <c r="D7078" t="s">
        <v>63</v>
      </c>
      <c r="E7078" t="s">
        <v>64</v>
      </c>
      <c r="F7078" t="s">
        <v>65</v>
      </c>
      <c r="G7078" t="s">
        <v>276</v>
      </c>
      <c r="H7078" t="s">
        <v>276</v>
      </c>
      <c r="I7078" t="s">
        <v>45</v>
      </c>
      <c r="J7078" t="s">
        <v>46</v>
      </c>
      <c r="K7078" t="s">
        <v>30</v>
      </c>
      <c r="L7078" t="s">
        <v>31</v>
      </c>
      <c r="M7078" t="s">
        <v>277</v>
      </c>
      <c r="N7078">
        <v>1456</v>
      </c>
      <c r="O7078">
        <v>8.0094079999999998E-2</v>
      </c>
      <c r="P7078">
        <v>7.5847849999999994E-2</v>
      </c>
      <c r="Q7078" t="str">
        <f t="shared" si="220"/>
        <v>50+</v>
      </c>
      <c r="R7078" t="str">
        <f t="shared" si="221"/>
        <v>[lPTyjLi4w3d]|50+|Female|PLHIV_Residents.T2|CY2026Q3</v>
      </c>
    </row>
    <row r="7079" spans="4:18" x14ac:dyDescent="0.2">
      <c r="D7079" t="s">
        <v>63</v>
      </c>
      <c r="E7079" t="s">
        <v>64</v>
      </c>
      <c r="F7079" t="s">
        <v>65</v>
      </c>
      <c r="G7079" t="s">
        <v>276</v>
      </c>
      <c r="H7079" t="s">
        <v>276</v>
      </c>
      <c r="I7079" t="s">
        <v>28</v>
      </c>
      <c r="J7079" t="s">
        <v>29</v>
      </c>
      <c r="K7079" t="s">
        <v>48</v>
      </c>
      <c r="L7079" t="s">
        <v>49</v>
      </c>
      <c r="M7079" t="s">
        <v>277</v>
      </c>
      <c r="N7079">
        <v>4</v>
      </c>
      <c r="O7079">
        <v>7.9952504999999993E-2</v>
      </c>
      <c r="P7079">
        <v>7.5847849999999994E-2</v>
      </c>
      <c r="Q7079" t="str">
        <f t="shared" si="220"/>
        <v>&lt;01</v>
      </c>
      <c r="R7079" t="str">
        <f t="shared" si="221"/>
        <v>[lPTyjLi4w3d]|&lt;01|Male|PLHIV_Residents.T2|CY2026Q3</v>
      </c>
    </row>
    <row r="7080" spans="4:18" x14ac:dyDescent="0.2">
      <c r="D7080" t="s">
        <v>63</v>
      </c>
      <c r="E7080" t="s">
        <v>64</v>
      </c>
      <c r="F7080" t="s">
        <v>65</v>
      </c>
      <c r="G7080" t="s">
        <v>276</v>
      </c>
      <c r="H7080" t="s">
        <v>276</v>
      </c>
      <c r="I7080" t="s">
        <v>33</v>
      </c>
      <c r="J7080" t="s">
        <v>34</v>
      </c>
      <c r="K7080" t="s">
        <v>48</v>
      </c>
      <c r="L7080" t="s">
        <v>49</v>
      </c>
      <c r="M7080" t="s">
        <v>277</v>
      </c>
      <c r="N7080">
        <v>67</v>
      </c>
      <c r="O7080">
        <v>8.2729594000000004E-2</v>
      </c>
      <c r="P7080">
        <v>7.5847849999999994E-2</v>
      </c>
      <c r="Q7080" t="str">
        <f t="shared" si="220"/>
        <v>01-09</v>
      </c>
      <c r="R7080" t="str">
        <f t="shared" si="221"/>
        <v>[lPTyjLi4w3d]|01-09|Male|PLHIV_Residents.T2|CY2026Q3</v>
      </c>
    </row>
    <row r="7081" spans="4:18" x14ac:dyDescent="0.2">
      <c r="D7081" t="s">
        <v>63</v>
      </c>
      <c r="E7081" t="s">
        <v>64</v>
      </c>
      <c r="F7081" t="s">
        <v>65</v>
      </c>
      <c r="G7081" t="s">
        <v>276</v>
      </c>
      <c r="H7081" t="s">
        <v>276</v>
      </c>
      <c r="I7081" t="s">
        <v>36</v>
      </c>
      <c r="J7081" t="s">
        <v>37</v>
      </c>
      <c r="K7081" t="s">
        <v>48</v>
      </c>
      <c r="L7081" t="s">
        <v>49</v>
      </c>
      <c r="M7081" t="s">
        <v>277</v>
      </c>
      <c r="N7081">
        <v>92</v>
      </c>
      <c r="O7081">
        <v>8.9932207E-2</v>
      </c>
      <c r="P7081">
        <v>7.5847849999999994E-2</v>
      </c>
      <c r="Q7081" t="str">
        <f t="shared" si="220"/>
        <v>10-14</v>
      </c>
      <c r="R7081" t="str">
        <f t="shared" si="221"/>
        <v>[lPTyjLi4w3d]|10-14|Male|PLHIV_Residents.T2|CY2026Q3</v>
      </c>
    </row>
    <row r="7082" spans="4:18" x14ac:dyDescent="0.2">
      <c r="D7082" t="s">
        <v>63</v>
      </c>
      <c r="E7082" t="s">
        <v>64</v>
      </c>
      <c r="F7082" t="s">
        <v>65</v>
      </c>
      <c r="G7082" t="s">
        <v>276</v>
      </c>
      <c r="H7082" t="s">
        <v>276</v>
      </c>
      <c r="I7082" t="s">
        <v>38</v>
      </c>
      <c r="J7082" t="s">
        <v>39</v>
      </c>
      <c r="K7082" t="s">
        <v>48</v>
      </c>
      <c r="L7082" t="s">
        <v>49</v>
      </c>
      <c r="M7082" t="s">
        <v>277</v>
      </c>
      <c r="N7082">
        <v>293</v>
      </c>
      <c r="O7082">
        <v>9.5771413E-2</v>
      </c>
      <c r="P7082">
        <v>7.5847849999999994E-2</v>
      </c>
      <c r="Q7082" t="str">
        <f t="shared" si="220"/>
        <v>15-24</v>
      </c>
      <c r="R7082" t="str">
        <f t="shared" si="221"/>
        <v>[lPTyjLi4w3d]|15-24|Male|PLHIV_Residents.T2|CY2026Q3</v>
      </c>
    </row>
    <row r="7083" spans="4:18" x14ac:dyDescent="0.2">
      <c r="D7083" t="s">
        <v>63</v>
      </c>
      <c r="E7083" t="s">
        <v>64</v>
      </c>
      <c r="F7083" t="s">
        <v>65</v>
      </c>
      <c r="G7083" t="s">
        <v>276</v>
      </c>
      <c r="H7083" t="s">
        <v>276</v>
      </c>
      <c r="I7083" t="s">
        <v>41</v>
      </c>
      <c r="J7083" t="s">
        <v>42</v>
      </c>
      <c r="K7083" t="s">
        <v>48</v>
      </c>
      <c r="L7083" t="s">
        <v>49</v>
      </c>
      <c r="M7083" t="s">
        <v>277</v>
      </c>
      <c r="N7083">
        <v>384</v>
      </c>
      <c r="O7083">
        <v>0.102378208</v>
      </c>
      <c r="P7083">
        <v>7.5847849999999994E-2</v>
      </c>
      <c r="Q7083" t="str">
        <f t="shared" si="220"/>
        <v>25-34</v>
      </c>
      <c r="R7083" t="str">
        <f t="shared" si="221"/>
        <v>[lPTyjLi4w3d]|25-34|Male|PLHIV_Residents.T2|CY2026Q3</v>
      </c>
    </row>
    <row r="7084" spans="4:18" x14ac:dyDescent="0.2">
      <c r="D7084" t="s">
        <v>63</v>
      </c>
      <c r="E7084" t="s">
        <v>64</v>
      </c>
      <c r="F7084" t="s">
        <v>65</v>
      </c>
      <c r="G7084" t="s">
        <v>276</v>
      </c>
      <c r="H7084" t="s">
        <v>276</v>
      </c>
      <c r="I7084" t="s">
        <v>43</v>
      </c>
      <c r="J7084" t="s">
        <v>44</v>
      </c>
      <c r="K7084" t="s">
        <v>48</v>
      </c>
      <c r="L7084" t="s">
        <v>49</v>
      </c>
      <c r="M7084" t="s">
        <v>277</v>
      </c>
      <c r="N7084">
        <v>1498</v>
      </c>
      <c r="O7084">
        <v>8.2980438000000004E-2</v>
      </c>
      <c r="P7084">
        <v>7.5847849999999994E-2</v>
      </c>
      <c r="Q7084" t="str">
        <f t="shared" si="220"/>
        <v>35-49</v>
      </c>
      <c r="R7084" t="str">
        <f t="shared" si="221"/>
        <v>[lPTyjLi4w3d]|35-49|Male|PLHIV_Residents.T2|CY2026Q3</v>
      </c>
    </row>
    <row r="7085" spans="4:18" x14ac:dyDescent="0.2">
      <c r="D7085" t="s">
        <v>63</v>
      </c>
      <c r="E7085" t="s">
        <v>64</v>
      </c>
      <c r="F7085" t="s">
        <v>65</v>
      </c>
      <c r="G7085" t="s">
        <v>276</v>
      </c>
      <c r="H7085" t="s">
        <v>276</v>
      </c>
      <c r="I7085" t="s">
        <v>45</v>
      </c>
      <c r="J7085" t="s">
        <v>46</v>
      </c>
      <c r="K7085" t="s">
        <v>48</v>
      </c>
      <c r="L7085" t="s">
        <v>49</v>
      </c>
      <c r="M7085" t="s">
        <v>277</v>
      </c>
      <c r="N7085">
        <v>1417</v>
      </c>
      <c r="O7085">
        <v>7.6251154000000002E-2</v>
      </c>
      <c r="P7085">
        <v>7.5847849999999994E-2</v>
      </c>
      <c r="Q7085" t="str">
        <f t="shared" si="220"/>
        <v>50+</v>
      </c>
      <c r="R7085" t="str">
        <f t="shared" si="221"/>
        <v>[lPTyjLi4w3d]|50+|Male|PLHIV_Residents.T2|CY2026Q3</v>
      </c>
    </row>
    <row r="7086" spans="4:18" x14ac:dyDescent="0.2">
      <c r="D7086" t="s">
        <v>66</v>
      </c>
      <c r="E7086" t="s">
        <v>67</v>
      </c>
      <c r="F7086" t="s">
        <v>68</v>
      </c>
      <c r="G7086" t="s">
        <v>276</v>
      </c>
      <c r="H7086" t="s">
        <v>276</v>
      </c>
      <c r="I7086" t="s">
        <v>28</v>
      </c>
      <c r="J7086" t="s">
        <v>29</v>
      </c>
      <c r="K7086" t="s">
        <v>30</v>
      </c>
      <c r="L7086" t="s">
        <v>31</v>
      </c>
      <c r="M7086" t="s">
        <v>277</v>
      </c>
      <c r="N7086">
        <v>22</v>
      </c>
      <c r="O7086">
        <v>3.1312793999999998E-2</v>
      </c>
      <c r="P7086">
        <v>2.7822327000000001E-2</v>
      </c>
      <c r="Q7086" t="str">
        <f t="shared" si="220"/>
        <v>&lt;01</v>
      </c>
      <c r="R7086" t="str">
        <f t="shared" si="221"/>
        <v>[vA4NcHxfMBq]|&lt;01|Female|PLHIV_Residents.T2|CY2026Q3</v>
      </c>
    </row>
    <row r="7087" spans="4:18" x14ac:dyDescent="0.2">
      <c r="D7087" t="s">
        <v>66</v>
      </c>
      <c r="E7087" t="s">
        <v>67</v>
      </c>
      <c r="F7087" t="s">
        <v>68</v>
      </c>
      <c r="G7087" t="s">
        <v>276</v>
      </c>
      <c r="H7087" t="s">
        <v>276</v>
      </c>
      <c r="I7087" t="s">
        <v>33</v>
      </c>
      <c r="J7087" t="s">
        <v>34</v>
      </c>
      <c r="K7087" t="s">
        <v>30</v>
      </c>
      <c r="L7087" t="s">
        <v>31</v>
      </c>
      <c r="M7087" t="s">
        <v>277</v>
      </c>
      <c r="N7087">
        <v>361</v>
      </c>
      <c r="O7087">
        <v>3.5594468999999997E-2</v>
      </c>
      <c r="P7087">
        <v>2.7822327000000001E-2</v>
      </c>
      <c r="Q7087" t="str">
        <f t="shared" si="220"/>
        <v>01-09</v>
      </c>
      <c r="R7087" t="str">
        <f t="shared" si="221"/>
        <v>[vA4NcHxfMBq]|01-09|Female|PLHIV_Residents.T2|CY2026Q3</v>
      </c>
    </row>
    <row r="7088" spans="4:18" x14ac:dyDescent="0.2">
      <c r="D7088" t="s">
        <v>66</v>
      </c>
      <c r="E7088" t="s">
        <v>67</v>
      </c>
      <c r="F7088" t="s">
        <v>68</v>
      </c>
      <c r="G7088" t="s">
        <v>276</v>
      </c>
      <c r="H7088" t="s">
        <v>276</v>
      </c>
      <c r="I7088" t="s">
        <v>36</v>
      </c>
      <c r="J7088" t="s">
        <v>37</v>
      </c>
      <c r="K7088" t="s">
        <v>30</v>
      </c>
      <c r="L7088" t="s">
        <v>31</v>
      </c>
      <c r="M7088" t="s">
        <v>277</v>
      </c>
      <c r="N7088">
        <v>474</v>
      </c>
      <c r="O7088">
        <v>4.6142403999999998E-2</v>
      </c>
      <c r="P7088">
        <v>2.7822327000000001E-2</v>
      </c>
      <c r="Q7088" t="str">
        <f t="shared" si="220"/>
        <v>10-14</v>
      </c>
      <c r="R7088" t="str">
        <f t="shared" si="221"/>
        <v>[vA4NcHxfMBq]|10-14|Female|PLHIV_Residents.T2|CY2026Q3</v>
      </c>
    </row>
    <row r="7089" spans="4:18" x14ac:dyDescent="0.2">
      <c r="D7089" t="s">
        <v>66</v>
      </c>
      <c r="E7089" t="s">
        <v>67</v>
      </c>
      <c r="F7089" t="s">
        <v>68</v>
      </c>
      <c r="G7089" t="s">
        <v>276</v>
      </c>
      <c r="H7089" t="s">
        <v>276</v>
      </c>
      <c r="I7089" t="s">
        <v>38</v>
      </c>
      <c r="J7089" t="s">
        <v>39</v>
      </c>
      <c r="K7089" t="s">
        <v>30</v>
      </c>
      <c r="L7089" t="s">
        <v>31</v>
      </c>
      <c r="M7089" t="s">
        <v>277</v>
      </c>
      <c r="N7089">
        <v>2112</v>
      </c>
      <c r="O7089">
        <v>5.4415804999999998E-2</v>
      </c>
      <c r="P7089">
        <v>2.7822327000000001E-2</v>
      </c>
      <c r="Q7089" t="str">
        <f t="shared" si="220"/>
        <v>15-24</v>
      </c>
      <c r="R7089" t="str">
        <f t="shared" si="221"/>
        <v>[vA4NcHxfMBq]|15-24|Female|PLHIV_Residents.T2|CY2026Q3</v>
      </c>
    </row>
    <row r="7090" spans="4:18" x14ac:dyDescent="0.2">
      <c r="D7090" t="s">
        <v>66</v>
      </c>
      <c r="E7090" t="s">
        <v>67</v>
      </c>
      <c r="F7090" t="s">
        <v>68</v>
      </c>
      <c r="G7090" t="s">
        <v>276</v>
      </c>
      <c r="H7090" t="s">
        <v>276</v>
      </c>
      <c r="I7090" t="s">
        <v>41</v>
      </c>
      <c r="J7090" t="s">
        <v>42</v>
      </c>
      <c r="K7090" t="s">
        <v>30</v>
      </c>
      <c r="L7090" t="s">
        <v>31</v>
      </c>
      <c r="M7090" t="s">
        <v>277</v>
      </c>
      <c r="N7090">
        <v>5243</v>
      </c>
      <c r="O7090">
        <v>4.5044153000000003E-2</v>
      </c>
      <c r="P7090">
        <v>2.7822327000000001E-2</v>
      </c>
      <c r="Q7090" t="str">
        <f t="shared" si="220"/>
        <v>25-34</v>
      </c>
      <c r="R7090" t="str">
        <f t="shared" si="221"/>
        <v>[vA4NcHxfMBq]|25-34|Female|PLHIV_Residents.T2|CY2026Q3</v>
      </c>
    </row>
    <row r="7091" spans="4:18" x14ac:dyDescent="0.2">
      <c r="D7091" t="s">
        <v>66</v>
      </c>
      <c r="E7091" t="s">
        <v>67</v>
      </c>
      <c r="F7091" t="s">
        <v>68</v>
      </c>
      <c r="G7091" t="s">
        <v>276</v>
      </c>
      <c r="H7091" t="s">
        <v>276</v>
      </c>
      <c r="I7091" t="s">
        <v>43</v>
      </c>
      <c r="J7091" t="s">
        <v>44</v>
      </c>
      <c r="K7091" t="s">
        <v>30</v>
      </c>
      <c r="L7091" t="s">
        <v>31</v>
      </c>
      <c r="M7091" t="s">
        <v>277</v>
      </c>
      <c r="N7091">
        <v>14547</v>
      </c>
      <c r="O7091">
        <v>3.0296305999999999E-2</v>
      </c>
      <c r="P7091">
        <v>2.7822327000000001E-2</v>
      </c>
      <c r="Q7091" t="str">
        <f t="shared" si="220"/>
        <v>35-49</v>
      </c>
      <c r="R7091" t="str">
        <f t="shared" si="221"/>
        <v>[vA4NcHxfMBq]|35-49|Female|PLHIV_Residents.T2|CY2026Q3</v>
      </c>
    </row>
    <row r="7092" spans="4:18" x14ac:dyDescent="0.2">
      <c r="D7092" t="s">
        <v>66</v>
      </c>
      <c r="E7092" t="s">
        <v>67</v>
      </c>
      <c r="F7092" t="s">
        <v>68</v>
      </c>
      <c r="G7092" t="s">
        <v>276</v>
      </c>
      <c r="H7092" t="s">
        <v>276</v>
      </c>
      <c r="I7092" t="s">
        <v>45</v>
      </c>
      <c r="J7092" t="s">
        <v>46</v>
      </c>
      <c r="K7092" t="s">
        <v>30</v>
      </c>
      <c r="L7092" t="s">
        <v>31</v>
      </c>
      <c r="M7092" t="s">
        <v>277</v>
      </c>
      <c r="N7092">
        <v>7612</v>
      </c>
      <c r="O7092">
        <v>4.1092149000000001E-2</v>
      </c>
      <c r="P7092">
        <v>2.7822327000000001E-2</v>
      </c>
      <c r="Q7092" t="str">
        <f t="shared" si="220"/>
        <v>50+</v>
      </c>
      <c r="R7092" t="str">
        <f t="shared" si="221"/>
        <v>[vA4NcHxfMBq]|50+|Female|PLHIV_Residents.T2|CY2026Q3</v>
      </c>
    </row>
    <row r="7093" spans="4:18" x14ac:dyDescent="0.2">
      <c r="D7093" t="s">
        <v>66</v>
      </c>
      <c r="E7093" t="s">
        <v>67</v>
      </c>
      <c r="F7093" t="s">
        <v>68</v>
      </c>
      <c r="G7093" t="s">
        <v>276</v>
      </c>
      <c r="H7093" t="s">
        <v>276</v>
      </c>
      <c r="I7093" t="s">
        <v>28</v>
      </c>
      <c r="J7093" t="s">
        <v>29</v>
      </c>
      <c r="K7093" t="s">
        <v>48</v>
      </c>
      <c r="L7093" t="s">
        <v>49</v>
      </c>
      <c r="M7093" t="s">
        <v>277</v>
      </c>
      <c r="N7093">
        <v>22</v>
      </c>
      <c r="O7093">
        <v>3.1311448999999998E-2</v>
      </c>
      <c r="P7093">
        <v>2.7822327000000001E-2</v>
      </c>
      <c r="Q7093" t="str">
        <f t="shared" si="220"/>
        <v>&lt;01</v>
      </c>
      <c r="R7093" t="str">
        <f t="shared" si="221"/>
        <v>[vA4NcHxfMBq]|&lt;01|Male|PLHIV_Residents.T2|CY2026Q3</v>
      </c>
    </row>
    <row r="7094" spans="4:18" x14ac:dyDescent="0.2">
      <c r="D7094" t="s">
        <v>66</v>
      </c>
      <c r="E7094" t="s">
        <v>67</v>
      </c>
      <c r="F7094" t="s">
        <v>68</v>
      </c>
      <c r="G7094" t="s">
        <v>276</v>
      </c>
      <c r="H7094" t="s">
        <v>276</v>
      </c>
      <c r="I7094" t="s">
        <v>33</v>
      </c>
      <c r="J7094" t="s">
        <v>34</v>
      </c>
      <c r="K7094" t="s">
        <v>48</v>
      </c>
      <c r="L7094" t="s">
        <v>49</v>
      </c>
      <c r="M7094" t="s">
        <v>277</v>
      </c>
      <c r="N7094">
        <v>363</v>
      </c>
      <c r="O7094">
        <v>3.5575658000000003E-2</v>
      </c>
      <c r="P7094">
        <v>2.7822327000000001E-2</v>
      </c>
      <c r="Q7094" t="str">
        <f t="shared" si="220"/>
        <v>01-09</v>
      </c>
      <c r="R7094" t="str">
        <f t="shared" si="221"/>
        <v>[vA4NcHxfMBq]|01-09|Male|PLHIV_Residents.T2|CY2026Q3</v>
      </c>
    </row>
    <row r="7095" spans="4:18" x14ac:dyDescent="0.2">
      <c r="D7095" t="s">
        <v>66</v>
      </c>
      <c r="E7095" t="s">
        <v>67</v>
      </c>
      <c r="F7095" t="s">
        <v>68</v>
      </c>
      <c r="G7095" t="s">
        <v>276</v>
      </c>
      <c r="H7095" t="s">
        <v>276</v>
      </c>
      <c r="I7095" t="s">
        <v>36</v>
      </c>
      <c r="J7095" t="s">
        <v>37</v>
      </c>
      <c r="K7095" t="s">
        <v>48</v>
      </c>
      <c r="L7095" t="s">
        <v>49</v>
      </c>
      <c r="M7095" t="s">
        <v>277</v>
      </c>
      <c r="N7095">
        <v>464</v>
      </c>
      <c r="O7095">
        <v>4.6232151999999999E-2</v>
      </c>
      <c r="P7095">
        <v>2.7822327000000001E-2</v>
      </c>
      <c r="Q7095" t="str">
        <f t="shared" si="220"/>
        <v>10-14</v>
      </c>
      <c r="R7095" t="str">
        <f t="shared" si="221"/>
        <v>[vA4NcHxfMBq]|10-14|Male|PLHIV_Residents.T2|CY2026Q3</v>
      </c>
    </row>
    <row r="7096" spans="4:18" x14ac:dyDescent="0.2">
      <c r="D7096" t="s">
        <v>66</v>
      </c>
      <c r="E7096" t="s">
        <v>67</v>
      </c>
      <c r="F7096" t="s">
        <v>68</v>
      </c>
      <c r="G7096" t="s">
        <v>276</v>
      </c>
      <c r="H7096" t="s">
        <v>276</v>
      </c>
      <c r="I7096" t="s">
        <v>38</v>
      </c>
      <c r="J7096" t="s">
        <v>39</v>
      </c>
      <c r="K7096" t="s">
        <v>48</v>
      </c>
      <c r="L7096" t="s">
        <v>49</v>
      </c>
      <c r="M7096" t="s">
        <v>277</v>
      </c>
      <c r="N7096">
        <v>1486</v>
      </c>
      <c r="O7096">
        <v>6.2019955000000002E-2</v>
      </c>
      <c r="P7096">
        <v>2.7822327000000001E-2</v>
      </c>
      <c r="Q7096" t="str">
        <f t="shared" si="220"/>
        <v>15-24</v>
      </c>
      <c r="R7096" t="str">
        <f t="shared" si="221"/>
        <v>[vA4NcHxfMBq]|15-24|Male|PLHIV_Residents.T2|CY2026Q3</v>
      </c>
    </row>
    <row r="7097" spans="4:18" x14ac:dyDescent="0.2">
      <c r="D7097" t="s">
        <v>66</v>
      </c>
      <c r="E7097" t="s">
        <v>67</v>
      </c>
      <c r="F7097" t="s">
        <v>68</v>
      </c>
      <c r="G7097" t="s">
        <v>276</v>
      </c>
      <c r="H7097" t="s">
        <v>276</v>
      </c>
      <c r="I7097" t="s">
        <v>41</v>
      </c>
      <c r="J7097" t="s">
        <v>42</v>
      </c>
      <c r="K7097" t="s">
        <v>48</v>
      </c>
      <c r="L7097" t="s">
        <v>49</v>
      </c>
      <c r="M7097" t="s">
        <v>277</v>
      </c>
      <c r="N7097">
        <v>2167</v>
      </c>
      <c r="O7097">
        <v>6.821526E-2</v>
      </c>
      <c r="P7097">
        <v>2.7822327000000001E-2</v>
      </c>
      <c r="Q7097" t="str">
        <f t="shared" si="220"/>
        <v>25-34</v>
      </c>
      <c r="R7097" t="str">
        <f t="shared" si="221"/>
        <v>[vA4NcHxfMBq]|25-34|Male|PLHIV_Residents.T2|CY2026Q3</v>
      </c>
    </row>
    <row r="7098" spans="4:18" x14ac:dyDescent="0.2">
      <c r="D7098" t="s">
        <v>66</v>
      </c>
      <c r="E7098" t="s">
        <v>67</v>
      </c>
      <c r="F7098" t="s">
        <v>68</v>
      </c>
      <c r="G7098" t="s">
        <v>276</v>
      </c>
      <c r="H7098" t="s">
        <v>276</v>
      </c>
      <c r="I7098" t="s">
        <v>43</v>
      </c>
      <c r="J7098" t="s">
        <v>44</v>
      </c>
      <c r="K7098" t="s">
        <v>48</v>
      </c>
      <c r="L7098" t="s">
        <v>49</v>
      </c>
      <c r="M7098" t="s">
        <v>277</v>
      </c>
      <c r="N7098">
        <v>8079</v>
      </c>
      <c r="O7098">
        <v>3.9968022999999998E-2</v>
      </c>
      <c r="P7098">
        <v>2.7822327000000001E-2</v>
      </c>
      <c r="Q7098" t="str">
        <f t="shared" si="220"/>
        <v>35-49</v>
      </c>
      <c r="R7098" t="str">
        <f t="shared" si="221"/>
        <v>[vA4NcHxfMBq]|35-49|Male|PLHIV_Residents.T2|CY2026Q3</v>
      </c>
    </row>
    <row r="7099" spans="4:18" x14ac:dyDescent="0.2">
      <c r="D7099" t="s">
        <v>66</v>
      </c>
      <c r="E7099" t="s">
        <v>67</v>
      </c>
      <c r="F7099" t="s">
        <v>68</v>
      </c>
      <c r="G7099" t="s">
        <v>276</v>
      </c>
      <c r="H7099" t="s">
        <v>276</v>
      </c>
      <c r="I7099" t="s">
        <v>45</v>
      </c>
      <c r="J7099" t="s">
        <v>46</v>
      </c>
      <c r="K7099" t="s">
        <v>48</v>
      </c>
      <c r="L7099" t="s">
        <v>49</v>
      </c>
      <c r="M7099" t="s">
        <v>277</v>
      </c>
      <c r="N7099">
        <v>7012</v>
      </c>
      <c r="O7099">
        <v>3.9430594999999999E-2</v>
      </c>
      <c r="P7099">
        <v>2.7822327000000001E-2</v>
      </c>
      <c r="Q7099" t="str">
        <f t="shared" si="220"/>
        <v>50+</v>
      </c>
      <c r="R7099" t="str">
        <f t="shared" si="221"/>
        <v>[vA4NcHxfMBq]|50+|Male|PLHIV_Residents.T2|CY2026Q3</v>
      </c>
    </row>
    <row r="7100" spans="4:18" x14ac:dyDescent="0.2">
      <c r="D7100" t="s">
        <v>69</v>
      </c>
      <c r="E7100" t="s">
        <v>70</v>
      </c>
      <c r="F7100" t="s">
        <v>71</v>
      </c>
      <c r="G7100" t="s">
        <v>276</v>
      </c>
      <c r="H7100" t="s">
        <v>276</v>
      </c>
      <c r="I7100" t="s">
        <v>28</v>
      </c>
      <c r="J7100" t="s">
        <v>29</v>
      </c>
      <c r="K7100" t="s">
        <v>30</v>
      </c>
      <c r="L7100" t="s">
        <v>31</v>
      </c>
      <c r="M7100" t="s">
        <v>277</v>
      </c>
      <c r="N7100">
        <v>0</v>
      </c>
      <c r="O7100">
        <v>3.5252244000000002E-2</v>
      </c>
      <c r="P7100">
        <v>2.9993682000000001E-2</v>
      </c>
      <c r="Q7100" t="str">
        <f t="shared" si="220"/>
        <v>&lt;01</v>
      </c>
      <c r="R7100" t="str">
        <f t="shared" si="221"/>
        <v>[ZCjuwgaMB9u]|&lt;01|Female|PLHIV_Residents.T2|CY2026Q3</v>
      </c>
    </row>
    <row r="7101" spans="4:18" x14ac:dyDescent="0.2">
      <c r="D7101" t="s">
        <v>69</v>
      </c>
      <c r="E7101" t="s">
        <v>70</v>
      </c>
      <c r="F7101" t="s">
        <v>71</v>
      </c>
      <c r="G7101" t="s">
        <v>276</v>
      </c>
      <c r="H7101" t="s">
        <v>276</v>
      </c>
      <c r="I7101" t="s">
        <v>33</v>
      </c>
      <c r="J7101" t="s">
        <v>34</v>
      </c>
      <c r="K7101" t="s">
        <v>30</v>
      </c>
      <c r="L7101" t="s">
        <v>31</v>
      </c>
      <c r="M7101" t="s">
        <v>277</v>
      </c>
      <c r="N7101">
        <v>6</v>
      </c>
      <c r="O7101">
        <v>4.0346022000000002E-2</v>
      </c>
      <c r="P7101">
        <v>2.9993682000000001E-2</v>
      </c>
      <c r="Q7101" t="str">
        <f t="shared" si="220"/>
        <v>01-09</v>
      </c>
      <c r="R7101" t="str">
        <f t="shared" si="221"/>
        <v>[ZCjuwgaMB9u]|01-09|Female|PLHIV_Residents.T2|CY2026Q3</v>
      </c>
    </row>
    <row r="7102" spans="4:18" x14ac:dyDescent="0.2">
      <c r="D7102" t="s">
        <v>69</v>
      </c>
      <c r="E7102" t="s">
        <v>70</v>
      </c>
      <c r="F7102" t="s">
        <v>71</v>
      </c>
      <c r="G7102" t="s">
        <v>276</v>
      </c>
      <c r="H7102" t="s">
        <v>276</v>
      </c>
      <c r="I7102" t="s">
        <v>36</v>
      </c>
      <c r="J7102" t="s">
        <v>37</v>
      </c>
      <c r="K7102" t="s">
        <v>30</v>
      </c>
      <c r="L7102" t="s">
        <v>31</v>
      </c>
      <c r="M7102" t="s">
        <v>277</v>
      </c>
      <c r="N7102">
        <v>8</v>
      </c>
      <c r="O7102">
        <v>5.4295080000000003E-2</v>
      </c>
      <c r="P7102">
        <v>2.9993682000000001E-2</v>
      </c>
      <c r="Q7102" t="str">
        <f t="shared" si="220"/>
        <v>10-14</v>
      </c>
      <c r="R7102" t="str">
        <f t="shared" si="221"/>
        <v>[ZCjuwgaMB9u]|10-14|Female|PLHIV_Residents.T2|CY2026Q3</v>
      </c>
    </row>
    <row r="7103" spans="4:18" x14ac:dyDescent="0.2">
      <c r="D7103" t="s">
        <v>69</v>
      </c>
      <c r="E7103" t="s">
        <v>70</v>
      </c>
      <c r="F7103" t="s">
        <v>71</v>
      </c>
      <c r="G7103" t="s">
        <v>276</v>
      </c>
      <c r="H7103" t="s">
        <v>276</v>
      </c>
      <c r="I7103" t="s">
        <v>38</v>
      </c>
      <c r="J7103" t="s">
        <v>39</v>
      </c>
      <c r="K7103" t="s">
        <v>30</v>
      </c>
      <c r="L7103" t="s">
        <v>31</v>
      </c>
      <c r="M7103" t="s">
        <v>277</v>
      </c>
      <c r="N7103">
        <v>37</v>
      </c>
      <c r="O7103">
        <v>5.7393785000000003E-2</v>
      </c>
      <c r="P7103">
        <v>2.9993682000000001E-2</v>
      </c>
      <c r="Q7103" t="str">
        <f t="shared" si="220"/>
        <v>15-24</v>
      </c>
      <c r="R7103" t="str">
        <f t="shared" si="221"/>
        <v>[ZCjuwgaMB9u]|15-24|Female|PLHIV_Residents.T2|CY2026Q3</v>
      </c>
    </row>
    <row r="7104" spans="4:18" x14ac:dyDescent="0.2">
      <c r="D7104" t="s">
        <v>69</v>
      </c>
      <c r="E7104" t="s">
        <v>70</v>
      </c>
      <c r="F7104" t="s">
        <v>71</v>
      </c>
      <c r="G7104" t="s">
        <v>276</v>
      </c>
      <c r="H7104" t="s">
        <v>276</v>
      </c>
      <c r="I7104" t="s">
        <v>41</v>
      </c>
      <c r="J7104" t="s">
        <v>42</v>
      </c>
      <c r="K7104" t="s">
        <v>30</v>
      </c>
      <c r="L7104" t="s">
        <v>31</v>
      </c>
      <c r="M7104" t="s">
        <v>277</v>
      </c>
      <c r="N7104">
        <v>94</v>
      </c>
      <c r="O7104">
        <v>4.9228923000000001E-2</v>
      </c>
      <c r="P7104">
        <v>2.9993682000000001E-2</v>
      </c>
      <c r="Q7104" t="str">
        <f t="shared" si="220"/>
        <v>25-34</v>
      </c>
      <c r="R7104" t="str">
        <f t="shared" si="221"/>
        <v>[ZCjuwgaMB9u]|25-34|Female|PLHIV_Residents.T2|CY2026Q3</v>
      </c>
    </row>
    <row r="7105" spans="4:18" x14ac:dyDescent="0.2">
      <c r="D7105" t="s">
        <v>69</v>
      </c>
      <c r="E7105" t="s">
        <v>70</v>
      </c>
      <c r="F7105" t="s">
        <v>71</v>
      </c>
      <c r="G7105" t="s">
        <v>276</v>
      </c>
      <c r="H7105" t="s">
        <v>276</v>
      </c>
      <c r="I7105" t="s">
        <v>43</v>
      </c>
      <c r="J7105" t="s">
        <v>44</v>
      </c>
      <c r="K7105" t="s">
        <v>30</v>
      </c>
      <c r="L7105" t="s">
        <v>31</v>
      </c>
      <c r="M7105" t="s">
        <v>277</v>
      </c>
      <c r="N7105">
        <v>278</v>
      </c>
      <c r="O7105">
        <v>3.4112677000000001E-2</v>
      </c>
      <c r="P7105">
        <v>2.9993682000000001E-2</v>
      </c>
      <c r="Q7105" t="str">
        <f t="shared" si="220"/>
        <v>35-49</v>
      </c>
      <c r="R7105" t="str">
        <f t="shared" si="221"/>
        <v>[ZCjuwgaMB9u]|35-49|Female|PLHIV_Residents.T2|CY2026Q3</v>
      </c>
    </row>
    <row r="7106" spans="4:18" x14ac:dyDescent="0.2">
      <c r="D7106" t="s">
        <v>69</v>
      </c>
      <c r="E7106" t="s">
        <v>70</v>
      </c>
      <c r="F7106" t="s">
        <v>71</v>
      </c>
      <c r="G7106" t="s">
        <v>276</v>
      </c>
      <c r="H7106" t="s">
        <v>276</v>
      </c>
      <c r="I7106" t="s">
        <v>45</v>
      </c>
      <c r="J7106" t="s">
        <v>46</v>
      </c>
      <c r="K7106" t="s">
        <v>30</v>
      </c>
      <c r="L7106" t="s">
        <v>31</v>
      </c>
      <c r="M7106" t="s">
        <v>277</v>
      </c>
      <c r="N7106">
        <v>149</v>
      </c>
      <c r="O7106">
        <v>4.1239624000000003E-2</v>
      </c>
      <c r="P7106">
        <v>2.9993682000000001E-2</v>
      </c>
      <c r="Q7106" t="str">
        <f t="shared" si="220"/>
        <v>50+</v>
      </c>
      <c r="R7106" t="str">
        <f t="shared" si="221"/>
        <v>[ZCjuwgaMB9u]|50+|Female|PLHIV_Residents.T2|CY2026Q3</v>
      </c>
    </row>
    <row r="7107" spans="4:18" x14ac:dyDescent="0.2">
      <c r="D7107" t="s">
        <v>69</v>
      </c>
      <c r="E7107" t="s">
        <v>70</v>
      </c>
      <c r="F7107" t="s">
        <v>71</v>
      </c>
      <c r="G7107" t="s">
        <v>276</v>
      </c>
      <c r="H7107" t="s">
        <v>276</v>
      </c>
      <c r="I7107" t="s">
        <v>28</v>
      </c>
      <c r="J7107" t="s">
        <v>29</v>
      </c>
      <c r="K7107" t="s">
        <v>48</v>
      </c>
      <c r="L7107" t="s">
        <v>49</v>
      </c>
      <c r="M7107" t="s">
        <v>277</v>
      </c>
      <c r="N7107">
        <v>0</v>
      </c>
      <c r="O7107">
        <v>3.5317038000000002E-2</v>
      </c>
      <c r="P7107">
        <v>2.9993682000000001E-2</v>
      </c>
      <c r="Q7107" t="str">
        <f t="shared" ref="Q7107:Q7170" si="222">SUBSTITUTE(SUBSTITUTE($I7107,CHAR(61),""),CHAR(34),"")</f>
        <v>&lt;01</v>
      </c>
      <c r="R7107" t="str">
        <f t="shared" ref="R7107:R7170" si="223">IF($D7107&lt;&gt;"","["&amp;$E7107&amp;"]"&amp;"|"&amp;$Q7107&amp;"|"&amp;$K7107&amp;"|"&amp;$G7107&amp;"|"&amp;IF($G7107="TX_CURR_SUBNAT.R","CY2023Q4",$M7107),"")</f>
        <v>[ZCjuwgaMB9u]|&lt;01|Male|PLHIV_Residents.T2|CY2026Q3</v>
      </c>
    </row>
    <row r="7108" spans="4:18" x14ac:dyDescent="0.2">
      <c r="D7108" t="s">
        <v>69</v>
      </c>
      <c r="E7108" t="s">
        <v>70</v>
      </c>
      <c r="F7108" t="s">
        <v>71</v>
      </c>
      <c r="G7108" t="s">
        <v>276</v>
      </c>
      <c r="H7108" t="s">
        <v>276</v>
      </c>
      <c r="I7108" t="s">
        <v>33</v>
      </c>
      <c r="J7108" t="s">
        <v>34</v>
      </c>
      <c r="K7108" t="s">
        <v>48</v>
      </c>
      <c r="L7108" t="s">
        <v>49</v>
      </c>
      <c r="M7108" t="s">
        <v>277</v>
      </c>
      <c r="N7108">
        <v>6</v>
      </c>
      <c r="O7108">
        <v>4.0465590000000003E-2</v>
      </c>
      <c r="P7108">
        <v>2.9993682000000001E-2</v>
      </c>
      <c r="Q7108" t="str">
        <f t="shared" si="222"/>
        <v>01-09</v>
      </c>
      <c r="R7108" t="str">
        <f t="shared" si="223"/>
        <v>[ZCjuwgaMB9u]|01-09|Male|PLHIV_Residents.T2|CY2026Q3</v>
      </c>
    </row>
    <row r="7109" spans="4:18" x14ac:dyDescent="0.2">
      <c r="D7109" t="s">
        <v>69</v>
      </c>
      <c r="E7109" t="s">
        <v>70</v>
      </c>
      <c r="F7109" t="s">
        <v>71</v>
      </c>
      <c r="G7109" t="s">
        <v>276</v>
      </c>
      <c r="H7109" t="s">
        <v>276</v>
      </c>
      <c r="I7109" t="s">
        <v>36</v>
      </c>
      <c r="J7109" t="s">
        <v>37</v>
      </c>
      <c r="K7109" t="s">
        <v>48</v>
      </c>
      <c r="L7109" t="s">
        <v>49</v>
      </c>
      <c r="M7109" t="s">
        <v>277</v>
      </c>
      <c r="N7109">
        <v>8</v>
      </c>
      <c r="O7109">
        <v>5.4256151000000002E-2</v>
      </c>
      <c r="P7109">
        <v>2.9993682000000001E-2</v>
      </c>
      <c r="Q7109" t="str">
        <f t="shared" si="222"/>
        <v>10-14</v>
      </c>
      <c r="R7109" t="str">
        <f t="shared" si="223"/>
        <v>[ZCjuwgaMB9u]|10-14|Male|PLHIV_Residents.T2|CY2026Q3</v>
      </c>
    </row>
    <row r="7110" spans="4:18" x14ac:dyDescent="0.2">
      <c r="D7110" t="s">
        <v>69</v>
      </c>
      <c r="E7110" t="s">
        <v>70</v>
      </c>
      <c r="F7110" t="s">
        <v>71</v>
      </c>
      <c r="G7110" t="s">
        <v>276</v>
      </c>
      <c r="H7110" t="s">
        <v>276</v>
      </c>
      <c r="I7110" t="s">
        <v>38</v>
      </c>
      <c r="J7110" t="s">
        <v>39</v>
      </c>
      <c r="K7110" t="s">
        <v>48</v>
      </c>
      <c r="L7110" t="s">
        <v>49</v>
      </c>
      <c r="M7110" t="s">
        <v>277</v>
      </c>
      <c r="N7110">
        <v>28</v>
      </c>
      <c r="O7110">
        <v>7.0184265999999995E-2</v>
      </c>
      <c r="P7110">
        <v>2.9993682000000001E-2</v>
      </c>
      <c r="Q7110" t="str">
        <f t="shared" si="222"/>
        <v>15-24</v>
      </c>
      <c r="R7110" t="str">
        <f t="shared" si="223"/>
        <v>[ZCjuwgaMB9u]|15-24|Male|PLHIV_Residents.T2|CY2026Q3</v>
      </c>
    </row>
    <row r="7111" spans="4:18" x14ac:dyDescent="0.2">
      <c r="D7111" t="s">
        <v>69</v>
      </c>
      <c r="E7111" t="s">
        <v>70</v>
      </c>
      <c r="F7111" t="s">
        <v>71</v>
      </c>
      <c r="G7111" t="s">
        <v>276</v>
      </c>
      <c r="H7111" t="s">
        <v>276</v>
      </c>
      <c r="I7111" t="s">
        <v>41</v>
      </c>
      <c r="J7111" t="s">
        <v>42</v>
      </c>
      <c r="K7111" t="s">
        <v>48</v>
      </c>
      <c r="L7111" t="s">
        <v>49</v>
      </c>
      <c r="M7111" t="s">
        <v>277</v>
      </c>
      <c r="N7111">
        <v>47</v>
      </c>
      <c r="O7111">
        <v>7.4379175000000006E-2</v>
      </c>
      <c r="P7111">
        <v>2.9993682000000001E-2</v>
      </c>
      <c r="Q7111" t="str">
        <f t="shared" si="222"/>
        <v>25-34</v>
      </c>
      <c r="R7111" t="str">
        <f t="shared" si="223"/>
        <v>[ZCjuwgaMB9u]|25-34|Male|PLHIV_Residents.T2|CY2026Q3</v>
      </c>
    </row>
    <row r="7112" spans="4:18" x14ac:dyDescent="0.2">
      <c r="D7112" t="s">
        <v>69</v>
      </c>
      <c r="E7112" t="s">
        <v>70</v>
      </c>
      <c r="F7112" t="s">
        <v>71</v>
      </c>
      <c r="G7112" t="s">
        <v>276</v>
      </c>
      <c r="H7112" t="s">
        <v>276</v>
      </c>
      <c r="I7112" t="s">
        <v>43</v>
      </c>
      <c r="J7112" t="s">
        <v>44</v>
      </c>
      <c r="K7112" t="s">
        <v>48</v>
      </c>
      <c r="L7112" t="s">
        <v>49</v>
      </c>
      <c r="M7112" t="s">
        <v>277</v>
      </c>
      <c r="N7112">
        <v>164</v>
      </c>
      <c r="O7112">
        <v>4.9745945E-2</v>
      </c>
      <c r="P7112">
        <v>2.9993682000000001E-2</v>
      </c>
      <c r="Q7112" t="str">
        <f t="shared" si="222"/>
        <v>35-49</v>
      </c>
      <c r="R7112" t="str">
        <f t="shared" si="223"/>
        <v>[ZCjuwgaMB9u]|35-49|Male|PLHIV_Residents.T2|CY2026Q3</v>
      </c>
    </row>
    <row r="7113" spans="4:18" x14ac:dyDescent="0.2">
      <c r="D7113" t="s">
        <v>69</v>
      </c>
      <c r="E7113" t="s">
        <v>70</v>
      </c>
      <c r="F7113" t="s">
        <v>71</v>
      </c>
      <c r="G7113" t="s">
        <v>276</v>
      </c>
      <c r="H7113" t="s">
        <v>276</v>
      </c>
      <c r="I7113" t="s">
        <v>45</v>
      </c>
      <c r="J7113" t="s">
        <v>46</v>
      </c>
      <c r="K7113" t="s">
        <v>48</v>
      </c>
      <c r="L7113" t="s">
        <v>49</v>
      </c>
      <c r="M7113" t="s">
        <v>277</v>
      </c>
      <c r="N7113">
        <v>127</v>
      </c>
      <c r="O7113">
        <v>4.4614254999999998E-2</v>
      </c>
      <c r="P7113">
        <v>2.9993682000000001E-2</v>
      </c>
      <c r="Q7113" t="str">
        <f t="shared" si="222"/>
        <v>50+</v>
      </c>
      <c r="R7113" t="str">
        <f t="shared" si="223"/>
        <v>[ZCjuwgaMB9u]|50+|Male|PLHIV_Residents.T2|CY2026Q3</v>
      </c>
    </row>
    <row r="7114" spans="4:18" x14ac:dyDescent="0.2">
      <c r="D7114" t="s">
        <v>72</v>
      </c>
      <c r="E7114" t="s">
        <v>73</v>
      </c>
      <c r="F7114" t="s">
        <v>74</v>
      </c>
      <c r="G7114" t="s">
        <v>276</v>
      </c>
      <c r="H7114" t="s">
        <v>276</v>
      </c>
      <c r="I7114" t="s">
        <v>28</v>
      </c>
      <c r="J7114" t="s">
        <v>29</v>
      </c>
      <c r="K7114" t="s">
        <v>30</v>
      </c>
      <c r="L7114" t="s">
        <v>31</v>
      </c>
      <c r="M7114" t="s">
        <v>277</v>
      </c>
      <c r="N7114">
        <v>9</v>
      </c>
      <c r="O7114">
        <v>7.6819437000000004E-2</v>
      </c>
      <c r="P7114">
        <v>7.5262835E-2</v>
      </c>
      <c r="Q7114" t="str">
        <f t="shared" si="222"/>
        <v>&lt;01</v>
      </c>
      <c r="R7114" t="str">
        <f t="shared" si="223"/>
        <v>[JQKLKuVuY61]|&lt;01|Female|PLHIV_Residents.T2|CY2026Q3</v>
      </c>
    </row>
    <row r="7115" spans="4:18" x14ac:dyDescent="0.2">
      <c r="D7115" t="s">
        <v>72</v>
      </c>
      <c r="E7115" t="s">
        <v>73</v>
      </c>
      <c r="F7115" t="s">
        <v>74</v>
      </c>
      <c r="G7115" t="s">
        <v>276</v>
      </c>
      <c r="H7115" t="s">
        <v>276</v>
      </c>
      <c r="I7115" t="s">
        <v>33</v>
      </c>
      <c r="J7115" t="s">
        <v>34</v>
      </c>
      <c r="K7115" t="s">
        <v>30</v>
      </c>
      <c r="L7115" t="s">
        <v>31</v>
      </c>
      <c r="M7115" t="s">
        <v>277</v>
      </c>
      <c r="N7115">
        <v>159</v>
      </c>
      <c r="O7115">
        <v>7.8495717000000007E-2</v>
      </c>
      <c r="P7115">
        <v>7.5262835E-2</v>
      </c>
      <c r="Q7115" t="str">
        <f t="shared" si="222"/>
        <v>01-09</v>
      </c>
      <c r="R7115" t="str">
        <f t="shared" si="223"/>
        <v>[JQKLKuVuY61]|01-09|Female|PLHIV_Residents.T2|CY2026Q3</v>
      </c>
    </row>
    <row r="7116" spans="4:18" x14ac:dyDescent="0.2">
      <c r="D7116" t="s">
        <v>72</v>
      </c>
      <c r="E7116" t="s">
        <v>73</v>
      </c>
      <c r="F7116" t="s">
        <v>74</v>
      </c>
      <c r="G7116" t="s">
        <v>276</v>
      </c>
      <c r="H7116" t="s">
        <v>276</v>
      </c>
      <c r="I7116" t="s">
        <v>36</v>
      </c>
      <c r="J7116" t="s">
        <v>37</v>
      </c>
      <c r="K7116" t="s">
        <v>30</v>
      </c>
      <c r="L7116" t="s">
        <v>31</v>
      </c>
      <c r="M7116" t="s">
        <v>277</v>
      </c>
      <c r="N7116">
        <v>223</v>
      </c>
      <c r="O7116">
        <v>8.3197937E-2</v>
      </c>
      <c r="P7116">
        <v>7.5262835E-2</v>
      </c>
      <c r="Q7116" t="str">
        <f t="shared" si="222"/>
        <v>10-14</v>
      </c>
      <c r="R7116" t="str">
        <f t="shared" si="223"/>
        <v>[JQKLKuVuY61]|10-14|Female|PLHIV_Residents.T2|CY2026Q3</v>
      </c>
    </row>
    <row r="7117" spans="4:18" x14ac:dyDescent="0.2">
      <c r="D7117" t="s">
        <v>72</v>
      </c>
      <c r="E7117" t="s">
        <v>73</v>
      </c>
      <c r="F7117" t="s">
        <v>74</v>
      </c>
      <c r="G7117" t="s">
        <v>276</v>
      </c>
      <c r="H7117" t="s">
        <v>276</v>
      </c>
      <c r="I7117" t="s">
        <v>38</v>
      </c>
      <c r="J7117" t="s">
        <v>39</v>
      </c>
      <c r="K7117" t="s">
        <v>30</v>
      </c>
      <c r="L7117" t="s">
        <v>31</v>
      </c>
      <c r="M7117" t="s">
        <v>277</v>
      </c>
      <c r="N7117">
        <v>878</v>
      </c>
      <c r="O7117">
        <v>8.9075087999999997E-2</v>
      </c>
      <c r="P7117">
        <v>7.5262835E-2</v>
      </c>
      <c r="Q7117" t="str">
        <f t="shared" si="222"/>
        <v>15-24</v>
      </c>
      <c r="R7117" t="str">
        <f t="shared" si="223"/>
        <v>[JQKLKuVuY61]|15-24|Female|PLHIV_Residents.T2|CY2026Q3</v>
      </c>
    </row>
    <row r="7118" spans="4:18" x14ac:dyDescent="0.2">
      <c r="D7118" t="s">
        <v>72</v>
      </c>
      <c r="E7118" t="s">
        <v>73</v>
      </c>
      <c r="F7118" t="s">
        <v>74</v>
      </c>
      <c r="G7118" t="s">
        <v>276</v>
      </c>
      <c r="H7118" t="s">
        <v>276</v>
      </c>
      <c r="I7118" t="s">
        <v>41</v>
      </c>
      <c r="J7118" t="s">
        <v>42</v>
      </c>
      <c r="K7118" t="s">
        <v>30</v>
      </c>
      <c r="L7118" t="s">
        <v>31</v>
      </c>
      <c r="M7118" t="s">
        <v>277</v>
      </c>
      <c r="N7118">
        <v>1943</v>
      </c>
      <c r="O7118">
        <v>8.5137178999999993E-2</v>
      </c>
      <c r="P7118">
        <v>7.5262835E-2</v>
      </c>
      <c r="Q7118" t="str">
        <f t="shared" si="222"/>
        <v>25-34</v>
      </c>
      <c r="R7118" t="str">
        <f t="shared" si="223"/>
        <v>[JQKLKuVuY61]|25-34|Female|PLHIV_Residents.T2|CY2026Q3</v>
      </c>
    </row>
    <row r="7119" spans="4:18" x14ac:dyDescent="0.2">
      <c r="D7119" t="s">
        <v>72</v>
      </c>
      <c r="E7119" t="s">
        <v>73</v>
      </c>
      <c r="F7119" t="s">
        <v>74</v>
      </c>
      <c r="G7119" t="s">
        <v>276</v>
      </c>
      <c r="H7119" t="s">
        <v>276</v>
      </c>
      <c r="I7119" t="s">
        <v>43</v>
      </c>
      <c r="J7119" t="s">
        <v>44</v>
      </c>
      <c r="K7119" t="s">
        <v>30</v>
      </c>
      <c r="L7119" t="s">
        <v>31</v>
      </c>
      <c r="M7119" t="s">
        <v>277</v>
      </c>
      <c r="N7119">
        <v>5992</v>
      </c>
      <c r="O7119">
        <v>7.6871703999999999E-2</v>
      </c>
      <c r="P7119">
        <v>7.5262835E-2</v>
      </c>
      <c r="Q7119" t="str">
        <f t="shared" si="222"/>
        <v>35-49</v>
      </c>
      <c r="R7119" t="str">
        <f t="shared" si="223"/>
        <v>[JQKLKuVuY61]|35-49|Female|PLHIV_Residents.T2|CY2026Q3</v>
      </c>
    </row>
    <row r="7120" spans="4:18" x14ac:dyDescent="0.2">
      <c r="D7120" t="s">
        <v>72</v>
      </c>
      <c r="E7120" t="s">
        <v>73</v>
      </c>
      <c r="F7120" t="s">
        <v>74</v>
      </c>
      <c r="G7120" t="s">
        <v>276</v>
      </c>
      <c r="H7120" t="s">
        <v>276</v>
      </c>
      <c r="I7120" t="s">
        <v>45</v>
      </c>
      <c r="J7120" t="s">
        <v>46</v>
      </c>
      <c r="K7120" t="s">
        <v>30</v>
      </c>
      <c r="L7120" t="s">
        <v>31</v>
      </c>
      <c r="M7120" t="s">
        <v>277</v>
      </c>
      <c r="N7120">
        <v>3348</v>
      </c>
      <c r="O7120">
        <v>8.1139681000000005E-2</v>
      </c>
      <c r="P7120">
        <v>7.5262835E-2</v>
      </c>
      <c r="Q7120" t="str">
        <f t="shared" si="222"/>
        <v>50+</v>
      </c>
      <c r="R7120" t="str">
        <f t="shared" si="223"/>
        <v>[JQKLKuVuY61]|50+|Female|PLHIV_Residents.T2|CY2026Q3</v>
      </c>
    </row>
    <row r="7121" spans="4:18" x14ac:dyDescent="0.2">
      <c r="D7121" t="s">
        <v>72</v>
      </c>
      <c r="E7121" t="s">
        <v>73</v>
      </c>
      <c r="F7121" t="s">
        <v>74</v>
      </c>
      <c r="G7121" t="s">
        <v>276</v>
      </c>
      <c r="H7121" t="s">
        <v>276</v>
      </c>
      <c r="I7121" t="s">
        <v>28</v>
      </c>
      <c r="J7121" t="s">
        <v>29</v>
      </c>
      <c r="K7121" t="s">
        <v>48</v>
      </c>
      <c r="L7121" t="s">
        <v>49</v>
      </c>
      <c r="M7121" t="s">
        <v>277</v>
      </c>
      <c r="N7121">
        <v>9</v>
      </c>
      <c r="O7121">
        <v>7.6817741999999994E-2</v>
      </c>
      <c r="P7121">
        <v>7.5262835E-2</v>
      </c>
      <c r="Q7121" t="str">
        <f t="shared" si="222"/>
        <v>&lt;01</v>
      </c>
      <c r="R7121" t="str">
        <f t="shared" si="223"/>
        <v>[JQKLKuVuY61]|&lt;01|Male|PLHIV_Residents.T2|CY2026Q3</v>
      </c>
    </row>
    <row r="7122" spans="4:18" x14ac:dyDescent="0.2">
      <c r="D7122" t="s">
        <v>72</v>
      </c>
      <c r="E7122" t="s">
        <v>73</v>
      </c>
      <c r="F7122" t="s">
        <v>74</v>
      </c>
      <c r="G7122" t="s">
        <v>276</v>
      </c>
      <c r="H7122" t="s">
        <v>276</v>
      </c>
      <c r="I7122" t="s">
        <v>33</v>
      </c>
      <c r="J7122" t="s">
        <v>34</v>
      </c>
      <c r="K7122" t="s">
        <v>48</v>
      </c>
      <c r="L7122" t="s">
        <v>49</v>
      </c>
      <c r="M7122" t="s">
        <v>277</v>
      </c>
      <c r="N7122">
        <v>160</v>
      </c>
      <c r="O7122">
        <v>7.8482620000000003E-2</v>
      </c>
      <c r="P7122">
        <v>7.5262835E-2</v>
      </c>
      <c r="Q7122" t="str">
        <f t="shared" si="222"/>
        <v>01-09</v>
      </c>
      <c r="R7122" t="str">
        <f t="shared" si="223"/>
        <v>[JQKLKuVuY61]|01-09|Male|PLHIV_Residents.T2|CY2026Q3</v>
      </c>
    </row>
    <row r="7123" spans="4:18" x14ac:dyDescent="0.2">
      <c r="D7123" t="s">
        <v>72</v>
      </c>
      <c r="E7123" t="s">
        <v>73</v>
      </c>
      <c r="F7123" t="s">
        <v>74</v>
      </c>
      <c r="G7123" t="s">
        <v>276</v>
      </c>
      <c r="H7123" t="s">
        <v>276</v>
      </c>
      <c r="I7123" t="s">
        <v>36</v>
      </c>
      <c r="J7123" t="s">
        <v>37</v>
      </c>
      <c r="K7123" t="s">
        <v>48</v>
      </c>
      <c r="L7123" t="s">
        <v>49</v>
      </c>
      <c r="M7123" t="s">
        <v>277</v>
      </c>
      <c r="N7123">
        <v>222</v>
      </c>
      <c r="O7123">
        <v>8.3189579999999999E-2</v>
      </c>
      <c r="P7123">
        <v>7.5262835E-2</v>
      </c>
      <c r="Q7123" t="str">
        <f t="shared" si="222"/>
        <v>10-14</v>
      </c>
      <c r="R7123" t="str">
        <f t="shared" si="223"/>
        <v>[JQKLKuVuY61]|10-14|Male|PLHIV_Residents.T2|CY2026Q3</v>
      </c>
    </row>
    <row r="7124" spans="4:18" x14ac:dyDescent="0.2">
      <c r="D7124" t="s">
        <v>72</v>
      </c>
      <c r="E7124" t="s">
        <v>73</v>
      </c>
      <c r="F7124" t="s">
        <v>74</v>
      </c>
      <c r="G7124" t="s">
        <v>276</v>
      </c>
      <c r="H7124" t="s">
        <v>276</v>
      </c>
      <c r="I7124" t="s">
        <v>38</v>
      </c>
      <c r="J7124" t="s">
        <v>39</v>
      </c>
      <c r="K7124" t="s">
        <v>48</v>
      </c>
      <c r="L7124" t="s">
        <v>49</v>
      </c>
      <c r="M7124" t="s">
        <v>277</v>
      </c>
      <c r="N7124">
        <v>656</v>
      </c>
      <c r="O7124">
        <v>9.1617799E-2</v>
      </c>
      <c r="P7124">
        <v>7.5262835E-2</v>
      </c>
      <c r="Q7124" t="str">
        <f t="shared" si="222"/>
        <v>15-24</v>
      </c>
      <c r="R7124" t="str">
        <f t="shared" si="223"/>
        <v>[JQKLKuVuY61]|15-24|Male|PLHIV_Residents.T2|CY2026Q3</v>
      </c>
    </row>
    <row r="7125" spans="4:18" x14ac:dyDescent="0.2">
      <c r="D7125" t="s">
        <v>72</v>
      </c>
      <c r="E7125" t="s">
        <v>73</v>
      </c>
      <c r="F7125" t="s">
        <v>74</v>
      </c>
      <c r="G7125" t="s">
        <v>276</v>
      </c>
      <c r="H7125" t="s">
        <v>276</v>
      </c>
      <c r="I7125" t="s">
        <v>41</v>
      </c>
      <c r="J7125" t="s">
        <v>42</v>
      </c>
      <c r="K7125" t="s">
        <v>48</v>
      </c>
      <c r="L7125" t="s">
        <v>49</v>
      </c>
      <c r="M7125" t="s">
        <v>277</v>
      </c>
      <c r="N7125">
        <v>798</v>
      </c>
      <c r="O7125">
        <v>0.101124468</v>
      </c>
      <c r="P7125">
        <v>7.5262835E-2</v>
      </c>
      <c r="Q7125" t="str">
        <f t="shared" si="222"/>
        <v>25-34</v>
      </c>
      <c r="R7125" t="str">
        <f t="shared" si="223"/>
        <v>[JQKLKuVuY61]|25-34|Male|PLHIV_Residents.T2|CY2026Q3</v>
      </c>
    </row>
    <row r="7126" spans="4:18" x14ac:dyDescent="0.2">
      <c r="D7126" t="s">
        <v>72</v>
      </c>
      <c r="E7126" t="s">
        <v>73</v>
      </c>
      <c r="F7126" t="s">
        <v>74</v>
      </c>
      <c r="G7126" t="s">
        <v>276</v>
      </c>
      <c r="H7126" t="s">
        <v>276</v>
      </c>
      <c r="I7126" t="s">
        <v>43</v>
      </c>
      <c r="J7126" t="s">
        <v>44</v>
      </c>
      <c r="K7126" t="s">
        <v>48</v>
      </c>
      <c r="L7126" t="s">
        <v>49</v>
      </c>
      <c r="M7126" t="s">
        <v>277</v>
      </c>
      <c r="N7126">
        <v>3129</v>
      </c>
      <c r="O7126">
        <v>8.1714543000000001E-2</v>
      </c>
      <c r="P7126">
        <v>7.5262835E-2</v>
      </c>
      <c r="Q7126" t="str">
        <f t="shared" si="222"/>
        <v>35-49</v>
      </c>
      <c r="R7126" t="str">
        <f t="shared" si="223"/>
        <v>[JQKLKuVuY61]|35-49|Male|PLHIV_Residents.T2|CY2026Q3</v>
      </c>
    </row>
    <row r="7127" spans="4:18" x14ac:dyDescent="0.2">
      <c r="D7127" t="s">
        <v>72</v>
      </c>
      <c r="E7127" t="s">
        <v>73</v>
      </c>
      <c r="F7127" t="s">
        <v>74</v>
      </c>
      <c r="G7127" t="s">
        <v>276</v>
      </c>
      <c r="H7127" t="s">
        <v>276</v>
      </c>
      <c r="I7127" t="s">
        <v>45</v>
      </c>
      <c r="J7127" t="s">
        <v>46</v>
      </c>
      <c r="K7127" t="s">
        <v>48</v>
      </c>
      <c r="L7127" t="s">
        <v>49</v>
      </c>
      <c r="M7127" t="s">
        <v>277</v>
      </c>
      <c r="N7127">
        <v>3028</v>
      </c>
      <c r="O7127">
        <v>7.9822729999999995E-2</v>
      </c>
      <c r="P7127">
        <v>7.5262835E-2</v>
      </c>
      <c r="Q7127" t="str">
        <f t="shared" si="222"/>
        <v>50+</v>
      </c>
      <c r="R7127" t="str">
        <f t="shared" si="223"/>
        <v>[JQKLKuVuY61]|50+|Male|PLHIV_Residents.T2|CY2026Q3</v>
      </c>
    </row>
    <row r="7128" spans="4:18" x14ac:dyDescent="0.2">
      <c r="D7128" t="s">
        <v>75</v>
      </c>
      <c r="E7128" t="s">
        <v>76</v>
      </c>
      <c r="F7128" t="s">
        <v>77</v>
      </c>
      <c r="G7128" t="s">
        <v>276</v>
      </c>
      <c r="H7128" t="s">
        <v>276</v>
      </c>
      <c r="I7128" t="s">
        <v>28</v>
      </c>
      <c r="J7128" t="s">
        <v>29</v>
      </c>
      <c r="K7128" t="s">
        <v>30</v>
      </c>
      <c r="L7128" t="s">
        <v>31</v>
      </c>
      <c r="M7128" t="s">
        <v>277</v>
      </c>
      <c r="N7128">
        <v>6</v>
      </c>
      <c r="O7128">
        <v>8.5592954999999998E-2</v>
      </c>
      <c r="P7128">
        <v>8.2281466999999997E-2</v>
      </c>
      <c r="Q7128" t="str">
        <f t="shared" si="222"/>
        <v>&lt;01</v>
      </c>
      <c r="R7128" t="str">
        <f t="shared" si="223"/>
        <v>[YCKiBAp8QAg]|&lt;01|Female|PLHIV_Residents.T2|CY2026Q3</v>
      </c>
    </row>
    <row r="7129" spans="4:18" x14ac:dyDescent="0.2">
      <c r="D7129" t="s">
        <v>75</v>
      </c>
      <c r="E7129" t="s">
        <v>76</v>
      </c>
      <c r="F7129" t="s">
        <v>77</v>
      </c>
      <c r="G7129" t="s">
        <v>276</v>
      </c>
      <c r="H7129" t="s">
        <v>276</v>
      </c>
      <c r="I7129" t="s">
        <v>33</v>
      </c>
      <c r="J7129" t="s">
        <v>34</v>
      </c>
      <c r="K7129" t="s">
        <v>30</v>
      </c>
      <c r="L7129" t="s">
        <v>31</v>
      </c>
      <c r="M7129" t="s">
        <v>277</v>
      </c>
      <c r="N7129">
        <v>112</v>
      </c>
      <c r="O7129">
        <v>8.8181622000000001E-2</v>
      </c>
      <c r="P7129">
        <v>8.2281466999999997E-2</v>
      </c>
      <c r="Q7129" t="str">
        <f t="shared" si="222"/>
        <v>01-09</v>
      </c>
      <c r="R7129" t="str">
        <f t="shared" si="223"/>
        <v>[YCKiBAp8QAg]|01-09|Female|PLHIV_Residents.T2|CY2026Q3</v>
      </c>
    </row>
    <row r="7130" spans="4:18" x14ac:dyDescent="0.2">
      <c r="D7130" t="s">
        <v>75</v>
      </c>
      <c r="E7130" t="s">
        <v>76</v>
      </c>
      <c r="F7130" t="s">
        <v>77</v>
      </c>
      <c r="G7130" t="s">
        <v>276</v>
      </c>
      <c r="H7130" t="s">
        <v>276</v>
      </c>
      <c r="I7130" t="s">
        <v>36</v>
      </c>
      <c r="J7130" t="s">
        <v>37</v>
      </c>
      <c r="K7130" t="s">
        <v>30</v>
      </c>
      <c r="L7130" t="s">
        <v>31</v>
      </c>
      <c r="M7130" t="s">
        <v>277</v>
      </c>
      <c r="N7130">
        <v>154</v>
      </c>
      <c r="O7130">
        <v>9.4462722999999998E-2</v>
      </c>
      <c r="P7130">
        <v>8.2281466999999997E-2</v>
      </c>
      <c r="Q7130" t="str">
        <f t="shared" si="222"/>
        <v>10-14</v>
      </c>
      <c r="R7130" t="str">
        <f t="shared" si="223"/>
        <v>[YCKiBAp8QAg]|10-14|Female|PLHIV_Residents.T2|CY2026Q3</v>
      </c>
    </row>
    <row r="7131" spans="4:18" x14ac:dyDescent="0.2">
      <c r="D7131" t="s">
        <v>75</v>
      </c>
      <c r="E7131" t="s">
        <v>76</v>
      </c>
      <c r="F7131" t="s">
        <v>77</v>
      </c>
      <c r="G7131" t="s">
        <v>276</v>
      </c>
      <c r="H7131" t="s">
        <v>276</v>
      </c>
      <c r="I7131" t="s">
        <v>38</v>
      </c>
      <c r="J7131" t="s">
        <v>39</v>
      </c>
      <c r="K7131" t="s">
        <v>30</v>
      </c>
      <c r="L7131" t="s">
        <v>31</v>
      </c>
      <c r="M7131" t="s">
        <v>277</v>
      </c>
      <c r="N7131">
        <v>620</v>
      </c>
      <c r="O7131">
        <v>9.9649929999999998E-2</v>
      </c>
      <c r="P7131">
        <v>8.2281466999999997E-2</v>
      </c>
      <c r="Q7131" t="str">
        <f t="shared" si="222"/>
        <v>15-24</v>
      </c>
      <c r="R7131" t="str">
        <f t="shared" si="223"/>
        <v>[YCKiBAp8QAg]|15-24|Female|PLHIV_Residents.T2|CY2026Q3</v>
      </c>
    </row>
    <row r="7132" spans="4:18" x14ac:dyDescent="0.2">
      <c r="D7132" t="s">
        <v>75</v>
      </c>
      <c r="E7132" t="s">
        <v>76</v>
      </c>
      <c r="F7132" t="s">
        <v>77</v>
      </c>
      <c r="G7132" t="s">
        <v>276</v>
      </c>
      <c r="H7132" t="s">
        <v>276</v>
      </c>
      <c r="I7132" t="s">
        <v>41</v>
      </c>
      <c r="J7132" t="s">
        <v>42</v>
      </c>
      <c r="K7132" t="s">
        <v>30</v>
      </c>
      <c r="L7132" t="s">
        <v>31</v>
      </c>
      <c r="M7132" t="s">
        <v>277</v>
      </c>
      <c r="N7132">
        <v>1380</v>
      </c>
      <c r="O7132">
        <v>9.3990604000000005E-2</v>
      </c>
      <c r="P7132">
        <v>8.2281466999999997E-2</v>
      </c>
      <c r="Q7132" t="str">
        <f t="shared" si="222"/>
        <v>25-34</v>
      </c>
      <c r="R7132" t="str">
        <f t="shared" si="223"/>
        <v>[YCKiBAp8QAg]|25-34|Female|PLHIV_Residents.T2|CY2026Q3</v>
      </c>
    </row>
    <row r="7133" spans="4:18" x14ac:dyDescent="0.2">
      <c r="D7133" t="s">
        <v>75</v>
      </c>
      <c r="E7133" t="s">
        <v>76</v>
      </c>
      <c r="F7133" t="s">
        <v>77</v>
      </c>
      <c r="G7133" t="s">
        <v>276</v>
      </c>
      <c r="H7133" t="s">
        <v>276</v>
      </c>
      <c r="I7133" t="s">
        <v>43</v>
      </c>
      <c r="J7133" t="s">
        <v>44</v>
      </c>
      <c r="K7133" t="s">
        <v>30</v>
      </c>
      <c r="L7133" t="s">
        <v>31</v>
      </c>
      <c r="M7133" t="s">
        <v>277</v>
      </c>
      <c r="N7133">
        <v>4022</v>
      </c>
      <c r="O7133">
        <v>8.3154172999999998E-2</v>
      </c>
      <c r="P7133">
        <v>8.2281466999999997E-2</v>
      </c>
      <c r="Q7133" t="str">
        <f t="shared" si="222"/>
        <v>35-49</v>
      </c>
      <c r="R7133" t="str">
        <f t="shared" si="223"/>
        <v>[YCKiBAp8QAg]|35-49|Female|PLHIV_Residents.T2|CY2026Q3</v>
      </c>
    </row>
    <row r="7134" spans="4:18" x14ac:dyDescent="0.2">
      <c r="D7134" t="s">
        <v>75</v>
      </c>
      <c r="E7134" t="s">
        <v>76</v>
      </c>
      <c r="F7134" t="s">
        <v>77</v>
      </c>
      <c r="G7134" t="s">
        <v>276</v>
      </c>
      <c r="H7134" t="s">
        <v>276</v>
      </c>
      <c r="I7134" t="s">
        <v>45</v>
      </c>
      <c r="J7134" t="s">
        <v>46</v>
      </c>
      <c r="K7134" t="s">
        <v>30</v>
      </c>
      <c r="L7134" t="s">
        <v>31</v>
      </c>
      <c r="M7134" t="s">
        <v>277</v>
      </c>
      <c r="N7134">
        <v>2134</v>
      </c>
      <c r="O7134">
        <v>8.4965226000000005E-2</v>
      </c>
      <c r="P7134">
        <v>8.2281466999999997E-2</v>
      </c>
      <c r="Q7134" t="str">
        <f t="shared" si="222"/>
        <v>50+</v>
      </c>
      <c r="R7134" t="str">
        <f t="shared" si="223"/>
        <v>[YCKiBAp8QAg]|50+|Female|PLHIV_Residents.T2|CY2026Q3</v>
      </c>
    </row>
    <row r="7135" spans="4:18" x14ac:dyDescent="0.2">
      <c r="D7135" t="s">
        <v>75</v>
      </c>
      <c r="E7135" t="s">
        <v>76</v>
      </c>
      <c r="F7135" t="s">
        <v>77</v>
      </c>
      <c r="G7135" t="s">
        <v>276</v>
      </c>
      <c r="H7135" t="s">
        <v>276</v>
      </c>
      <c r="I7135" t="s">
        <v>28</v>
      </c>
      <c r="J7135" t="s">
        <v>29</v>
      </c>
      <c r="K7135" t="s">
        <v>48</v>
      </c>
      <c r="L7135" t="s">
        <v>49</v>
      </c>
      <c r="M7135" t="s">
        <v>277</v>
      </c>
      <c r="N7135">
        <v>6</v>
      </c>
      <c r="O7135">
        <v>8.5589991000000004E-2</v>
      </c>
      <c r="P7135">
        <v>8.2281466999999997E-2</v>
      </c>
      <c r="Q7135" t="str">
        <f t="shared" si="222"/>
        <v>&lt;01</v>
      </c>
      <c r="R7135" t="str">
        <f t="shared" si="223"/>
        <v>[YCKiBAp8QAg]|&lt;01|Male|PLHIV_Residents.T2|CY2026Q3</v>
      </c>
    </row>
    <row r="7136" spans="4:18" x14ac:dyDescent="0.2">
      <c r="D7136" t="s">
        <v>75</v>
      </c>
      <c r="E7136" t="s">
        <v>76</v>
      </c>
      <c r="F7136" t="s">
        <v>77</v>
      </c>
      <c r="G7136" t="s">
        <v>276</v>
      </c>
      <c r="H7136" t="s">
        <v>276</v>
      </c>
      <c r="I7136" t="s">
        <v>33</v>
      </c>
      <c r="J7136" t="s">
        <v>34</v>
      </c>
      <c r="K7136" t="s">
        <v>48</v>
      </c>
      <c r="L7136" t="s">
        <v>49</v>
      </c>
      <c r="M7136" t="s">
        <v>277</v>
      </c>
      <c r="N7136">
        <v>113</v>
      </c>
      <c r="O7136">
        <v>8.8175180000000006E-2</v>
      </c>
      <c r="P7136">
        <v>8.2281466999999997E-2</v>
      </c>
      <c r="Q7136" t="str">
        <f t="shared" si="222"/>
        <v>01-09</v>
      </c>
      <c r="R7136" t="str">
        <f t="shared" si="223"/>
        <v>[YCKiBAp8QAg]|01-09|Male|PLHIV_Residents.T2|CY2026Q3</v>
      </c>
    </row>
    <row r="7137" spans="4:18" x14ac:dyDescent="0.2">
      <c r="D7137" t="s">
        <v>75</v>
      </c>
      <c r="E7137" t="s">
        <v>76</v>
      </c>
      <c r="F7137" t="s">
        <v>77</v>
      </c>
      <c r="G7137" t="s">
        <v>276</v>
      </c>
      <c r="H7137" t="s">
        <v>276</v>
      </c>
      <c r="I7137" t="s">
        <v>36</v>
      </c>
      <c r="J7137" t="s">
        <v>37</v>
      </c>
      <c r="K7137" t="s">
        <v>48</v>
      </c>
      <c r="L7137" t="s">
        <v>49</v>
      </c>
      <c r="M7137" t="s">
        <v>277</v>
      </c>
      <c r="N7137">
        <v>154</v>
      </c>
      <c r="O7137">
        <v>9.4456516000000004E-2</v>
      </c>
      <c r="P7137">
        <v>8.2281466999999997E-2</v>
      </c>
      <c r="Q7137" t="str">
        <f t="shared" si="222"/>
        <v>10-14</v>
      </c>
      <c r="R7137" t="str">
        <f t="shared" si="223"/>
        <v>[YCKiBAp8QAg]|10-14|Male|PLHIV_Residents.T2|CY2026Q3</v>
      </c>
    </row>
    <row r="7138" spans="4:18" x14ac:dyDescent="0.2">
      <c r="D7138" t="s">
        <v>75</v>
      </c>
      <c r="E7138" t="s">
        <v>76</v>
      </c>
      <c r="F7138" t="s">
        <v>77</v>
      </c>
      <c r="G7138" t="s">
        <v>276</v>
      </c>
      <c r="H7138" t="s">
        <v>276</v>
      </c>
      <c r="I7138" t="s">
        <v>38</v>
      </c>
      <c r="J7138" t="s">
        <v>39</v>
      </c>
      <c r="K7138" t="s">
        <v>48</v>
      </c>
      <c r="L7138" t="s">
        <v>49</v>
      </c>
      <c r="M7138" t="s">
        <v>277</v>
      </c>
      <c r="N7138">
        <v>463</v>
      </c>
      <c r="O7138">
        <v>0.102287344</v>
      </c>
      <c r="P7138">
        <v>8.2281466999999997E-2</v>
      </c>
      <c r="Q7138" t="str">
        <f t="shared" si="222"/>
        <v>15-24</v>
      </c>
      <c r="R7138" t="str">
        <f t="shared" si="223"/>
        <v>[YCKiBAp8QAg]|15-24|Male|PLHIV_Residents.T2|CY2026Q3</v>
      </c>
    </row>
    <row r="7139" spans="4:18" x14ac:dyDescent="0.2">
      <c r="D7139" t="s">
        <v>75</v>
      </c>
      <c r="E7139" t="s">
        <v>76</v>
      </c>
      <c r="F7139" t="s">
        <v>77</v>
      </c>
      <c r="G7139" t="s">
        <v>276</v>
      </c>
      <c r="H7139" t="s">
        <v>276</v>
      </c>
      <c r="I7139" t="s">
        <v>41</v>
      </c>
      <c r="J7139" t="s">
        <v>42</v>
      </c>
      <c r="K7139" t="s">
        <v>48</v>
      </c>
      <c r="L7139" t="s">
        <v>49</v>
      </c>
      <c r="M7139" t="s">
        <v>277</v>
      </c>
      <c r="N7139">
        <v>568</v>
      </c>
      <c r="O7139">
        <v>0.106853924</v>
      </c>
      <c r="P7139">
        <v>8.2281466999999997E-2</v>
      </c>
      <c r="Q7139" t="str">
        <f t="shared" si="222"/>
        <v>25-34</v>
      </c>
      <c r="R7139" t="str">
        <f t="shared" si="223"/>
        <v>[YCKiBAp8QAg]|25-34|Male|PLHIV_Residents.T2|CY2026Q3</v>
      </c>
    </row>
    <row r="7140" spans="4:18" x14ac:dyDescent="0.2">
      <c r="D7140" t="s">
        <v>75</v>
      </c>
      <c r="E7140" t="s">
        <v>76</v>
      </c>
      <c r="F7140" t="s">
        <v>77</v>
      </c>
      <c r="G7140" t="s">
        <v>276</v>
      </c>
      <c r="H7140" t="s">
        <v>276</v>
      </c>
      <c r="I7140" t="s">
        <v>43</v>
      </c>
      <c r="J7140" t="s">
        <v>44</v>
      </c>
      <c r="K7140" t="s">
        <v>48</v>
      </c>
      <c r="L7140" t="s">
        <v>49</v>
      </c>
      <c r="M7140" t="s">
        <v>277</v>
      </c>
      <c r="N7140">
        <v>2123</v>
      </c>
      <c r="O7140">
        <v>8.9026587000000004E-2</v>
      </c>
      <c r="P7140">
        <v>8.2281466999999997E-2</v>
      </c>
      <c r="Q7140" t="str">
        <f t="shared" si="222"/>
        <v>35-49</v>
      </c>
      <c r="R7140" t="str">
        <f t="shared" si="223"/>
        <v>[YCKiBAp8QAg]|35-49|Male|PLHIV_Residents.T2|CY2026Q3</v>
      </c>
    </row>
    <row r="7141" spans="4:18" x14ac:dyDescent="0.2">
      <c r="D7141" t="s">
        <v>75</v>
      </c>
      <c r="E7141" t="s">
        <v>76</v>
      </c>
      <c r="F7141" t="s">
        <v>77</v>
      </c>
      <c r="G7141" t="s">
        <v>276</v>
      </c>
      <c r="H7141" t="s">
        <v>276</v>
      </c>
      <c r="I7141" t="s">
        <v>45</v>
      </c>
      <c r="J7141" t="s">
        <v>46</v>
      </c>
      <c r="K7141" t="s">
        <v>48</v>
      </c>
      <c r="L7141" t="s">
        <v>49</v>
      </c>
      <c r="M7141" t="s">
        <v>277</v>
      </c>
      <c r="N7141">
        <v>2029</v>
      </c>
      <c r="O7141">
        <v>8.3559142000000003E-2</v>
      </c>
      <c r="P7141">
        <v>8.2281466999999997E-2</v>
      </c>
      <c r="Q7141" t="str">
        <f t="shared" si="222"/>
        <v>50+</v>
      </c>
      <c r="R7141" t="str">
        <f t="shared" si="223"/>
        <v>[YCKiBAp8QAg]|50+|Male|PLHIV_Residents.T2|CY2026Q3</v>
      </c>
    </row>
    <row r="7142" spans="4:18" x14ac:dyDescent="0.2">
      <c r="D7142" t="s">
        <v>78</v>
      </c>
      <c r="E7142" t="s">
        <v>79</v>
      </c>
      <c r="F7142" t="s">
        <v>80</v>
      </c>
      <c r="G7142" t="s">
        <v>276</v>
      </c>
      <c r="H7142" t="s">
        <v>276</v>
      </c>
      <c r="I7142" t="s">
        <v>28</v>
      </c>
      <c r="J7142" t="s">
        <v>29</v>
      </c>
      <c r="K7142" t="s">
        <v>30</v>
      </c>
      <c r="L7142" t="s">
        <v>31</v>
      </c>
      <c r="M7142" t="s">
        <v>277</v>
      </c>
      <c r="N7142">
        <v>2</v>
      </c>
      <c r="O7142">
        <v>0.101364554</v>
      </c>
      <c r="P7142">
        <v>9.8105042000000003E-2</v>
      </c>
      <c r="Q7142" t="str">
        <f t="shared" si="222"/>
        <v>&lt;01</v>
      </c>
      <c r="R7142" t="str">
        <f t="shared" si="223"/>
        <v>[fiRkU6gEjLz]|&lt;01|Female|PLHIV_Residents.T2|CY2026Q3</v>
      </c>
    </row>
    <row r="7143" spans="4:18" x14ac:dyDescent="0.2">
      <c r="D7143" t="s">
        <v>78</v>
      </c>
      <c r="E7143" t="s">
        <v>79</v>
      </c>
      <c r="F7143" t="s">
        <v>80</v>
      </c>
      <c r="G7143" t="s">
        <v>276</v>
      </c>
      <c r="H7143" t="s">
        <v>276</v>
      </c>
      <c r="I7143" t="s">
        <v>33</v>
      </c>
      <c r="J7143" t="s">
        <v>34</v>
      </c>
      <c r="K7143" t="s">
        <v>30</v>
      </c>
      <c r="L7143" t="s">
        <v>31</v>
      </c>
      <c r="M7143" t="s">
        <v>277</v>
      </c>
      <c r="N7143">
        <v>39</v>
      </c>
      <c r="O7143">
        <v>0.104494192</v>
      </c>
      <c r="P7143">
        <v>9.8105042000000003E-2</v>
      </c>
      <c r="Q7143" t="str">
        <f t="shared" si="222"/>
        <v>01-09</v>
      </c>
      <c r="R7143" t="str">
        <f t="shared" si="223"/>
        <v>[fiRkU6gEjLz]|01-09|Female|PLHIV_Residents.T2|CY2026Q3</v>
      </c>
    </row>
    <row r="7144" spans="4:18" x14ac:dyDescent="0.2">
      <c r="D7144" t="s">
        <v>78</v>
      </c>
      <c r="E7144" t="s">
        <v>79</v>
      </c>
      <c r="F7144" t="s">
        <v>80</v>
      </c>
      <c r="G7144" t="s">
        <v>276</v>
      </c>
      <c r="H7144" t="s">
        <v>276</v>
      </c>
      <c r="I7144" t="s">
        <v>36</v>
      </c>
      <c r="J7144" t="s">
        <v>37</v>
      </c>
      <c r="K7144" t="s">
        <v>30</v>
      </c>
      <c r="L7144" t="s">
        <v>31</v>
      </c>
      <c r="M7144" t="s">
        <v>277</v>
      </c>
      <c r="N7144">
        <v>53</v>
      </c>
      <c r="O7144">
        <v>0.11215684300000001</v>
      </c>
      <c r="P7144">
        <v>9.8105042000000003E-2</v>
      </c>
      <c r="Q7144" t="str">
        <f t="shared" si="222"/>
        <v>10-14</v>
      </c>
      <c r="R7144" t="str">
        <f t="shared" si="223"/>
        <v>[fiRkU6gEjLz]|10-14|Female|PLHIV_Residents.T2|CY2026Q3</v>
      </c>
    </row>
    <row r="7145" spans="4:18" x14ac:dyDescent="0.2">
      <c r="D7145" t="s">
        <v>78</v>
      </c>
      <c r="E7145" t="s">
        <v>79</v>
      </c>
      <c r="F7145" t="s">
        <v>80</v>
      </c>
      <c r="G7145" t="s">
        <v>276</v>
      </c>
      <c r="H7145" t="s">
        <v>276</v>
      </c>
      <c r="I7145" t="s">
        <v>38</v>
      </c>
      <c r="J7145" t="s">
        <v>39</v>
      </c>
      <c r="K7145" t="s">
        <v>30</v>
      </c>
      <c r="L7145" t="s">
        <v>31</v>
      </c>
      <c r="M7145" t="s">
        <v>277</v>
      </c>
      <c r="N7145">
        <v>215</v>
      </c>
      <c r="O7145">
        <v>0.110754569</v>
      </c>
      <c r="P7145">
        <v>9.8105042000000003E-2</v>
      </c>
      <c r="Q7145" t="str">
        <f t="shared" si="222"/>
        <v>15-24</v>
      </c>
      <c r="R7145" t="str">
        <f t="shared" si="223"/>
        <v>[fiRkU6gEjLz]|15-24|Female|PLHIV_Residents.T2|CY2026Q3</v>
      </c>
    </row>
    <row r="7146" spans="4:18" x14ac:dyDescent="0.2">
      <c r="D7146" t="s">
        <v>78</v>
      </c>
      <c r="E7146" t="s">
        <v>79</v>
      </c>
      <c r="F7146" t="s">
        <v>80</v>
      </c>
      <c r="G7146" t="s">
        <v>276</v>
      </c>
      <c r="H7146" t="s">
        <v>276</v>
      </c>
      <c r="I7146" t="s">
        <v>41</v>
      </c>
      <c r="J7146" t="s">
        <v>42</v>
      </c>
      <c r="K7146" t="s">
        <v>30</v>
      </c>
      <c r="L7146" t="s">
        <v>31</v>
      </c>
      <c r="M7146" t="s">
        <v>277</v>
      </c>
      <c r="N7146">
        <v>485</v>
      </c>
      <c r="O7146">
        <v>0.108116696</v>
      </c>
      <c r="P7146">
        <v>9.8105042000000003E-2</v>
      </c>
      <c r="Q7146" t="str">
        <f t="shared" si="222"/>
        <v>25-34</v>
      </c>
      <c r="R7146" t="str">
        <f t="shared" si="223"/>
        <v>[fiRkU6gEjLz]|25-34|Female|PLHIV_Residents.T2|CY2026Q3</v>
      </c>
    </row>
    <row r="7147" spans="4:18" x14ac:dyDescent="0.2">
      <c r="D7147" t="s">
        <v>78</v>
      </c>
      <c r="E7147" t="s">
        <v>79</v>
      </c>
      <c r="F7147" t="s">
        <v>80</v>
      </c>
      <c r="G7147" t="s">
        <v>276</v>
      </c>
      <c r="H7147" t="s">
        <v>276</v>
      </c>
      <c r="I7147" t="s">
        <v>43</v>
      </c>
      <c r="J7147" t="s">
        <v>44</v>
      </c>
      <c r="K7147" t="s">
        <v>30</v>
      </c>
      <c r="L7147" t="s">
        <v>31</v>
      </c>
      <c r="M7147" t="s">
        <v>277</v>
      </c>
      <c r="N7147">
        <v>1499</v>
      </c>
      <c r="O7147">
        <v>9.9512075000000005E-2</v>
      </c>
      <c r="P7147">
        <v>9.8105042000000003E-2</v>
      </c>
      <c r="Q7147" t="str">
        <f t="shared" si="222"/>
        <v>35-49</v>
      </c>
      <c r="R7147" t="str">
        <f t="shared" si="223"/>
        <v>[fiRkU6gEjLz]|35-49|Female|PLHIV_Residents.T2|CY2026Q3</v>
      </c>
    </row>
    <row r="7148" spans="4:18" x14ac:dyDescent="0.2">
      <c r="D7148" t="s">
        <v>78</v>
      </c>
      <c r="E7148" t="s">
        <v>79</v>
      </c>
      <c r="F7148" t="s">
        <v>80</v>
      </c>
      <c r="G7148" t="s">
        <v>276</v>
      </c>
      <c r="H7148" t="s">
        <v>276</v>
      </c>
      <c r="I7148" t="s">
        <v>45</v>
      </c>
      <c r="J7148" t="s">
        <v>46</v>
      </c>
      <c r="K7148" t="s">
        <v>30</v>
      </c>
      <c r="L7148" t="s">
        <v>31</v>
      </c>
      <c r="M7148" t="s">
        <v>277</v>
      </c>
      <c r="N7148">
        <v>874</v>
      </c>
      <c r="O7148">
        <v>0.102893784</v>
      </c>
      <c r="P7148">
        <v>9.8105042000000003E-2</v>
      </c>
      <c r="Q7148" t="str">
        <f t="shared" si="222"/>
        <v>50+</v>
      </c>
      <c r="R7148" t="str">
        <f t="shared" si="223"/>
        <v>[fiRkU6gEjLz]|50+|Female|PLHIV_Residents.T2|CY2026Q3</v>
      </c>
    </row>
    <row r="7149" spans="4:18" x14ac:dyDescent="0.2">
      <c r="D7149" t="s">
        <v>78</v>
      </c>
      <c r="E7149" t="s">
        <v>79</v>
      </c>
      <c r="F7149" t="s">
        <v>80</v>
      </c>
      <c r="G7149" t="s">
        <v>276</v>
      </c>
      <c r="H7149" t="s">
        <v>276</v>
      </c>
      <c r="I7149" t="s">
        <v>28</v>
      </c>
      <c r="J7149" t="s">
        <v>29</v>
      </c>
      <c r="K7149" t="s">
        <v>48</v>
      </c>
      <c r="L7149" t="s">
        <v>49</v>
      </c>
      <c r="M7149" t="s">
        <v>277</v>
      </c>
      <c r="N7149">
        <v>2</v>
      </c>
      <c r="O7149">
        <v>0.10135261800000001</v>
      </c>
      <c r="P7149">
        <v>9.8105042000000003E-2</v>
      </c>
      <c r="Q7149" t="str">
        <f t="shared" si="222"/>
        <v>&lt;01</v>
      </c>
      <c r="R7149" t="str">
        <f t="shared" si="223"/>
        <v>[fiRkU6gEjLz]|&lt;01|Male|PLHIV_Residents.T2|CY2026Q3</v>
      </c>
    </row>
    <row r="7150" spans="4:18" x14ac:dyDescent="0.2">
      <c r="D7150" t="s">
        <v>78</v>
      </c>
      <c r="E7150" t="s">
        <v>79</v>
      </c>
      <c r="F7150" t="s">
        <v>80</v>
      </c>
      <c r="G7150" t="s">
        <v>276</v>
      </c>
      <c r="H7150" t="s">
        <v>276</v>
      </c>
      <c r="I7150" t="s">
        <v>33</v>
      </c>
      <c r="J7150" t="s">
        <v>34</v>
      </c>
      <c r="K7150" t="s">
        <v>48</v>
      </c>
      <c r="L7150" t="s">
        <v>49</v>
      </c>
      <c r="M7150" t="s">
        <v>277</v>
      </c>
      <c r="N7150">
        <v>39</v>
      </c>
      <c r="O7150">
        <v>0.104477581</v>
      </c>
      <c r="P7150">
        <v>9.8105042000000003E-2</v>
      </c>
      <c r="Q7150" t="str">
        <f t="shared" si="222"/>
        <v>01-09</v>
      </c>
      <c r="R7150" t="str">
        <f t="shared" si="223"/>
        <v>[fiRkU6gEjLz]|01-09|Male|PLHIV_Residents.T2|CY2026Q3</v>
      </c>
    </row>
    <row r="7151" spans="4:18" x14ac:dyDescent="0.2">
      <c r="D7151" t="s">
        <v>78</v>
      </c>
      <c r="E7151" t="s">
        <v>79</v>
      </c>
      <c r="F7151" t="s">
        <v>80</v>
      </c>
      <c r="G7151" t="s">
        <v>276</v>
      </c>
      <c r="H7151" t="s">
        <v>276</v>
      </c>
      <c r="I7151" t="s">
        <v>36</v>
      </c>
      <c r="J7151" t="s">
        <v>37</v>
      </c>
      <c r="K7151" t="s">
        <v>48</v>
      </c>
      <c r="L7151" t="s">
        <v>49</v>
      </c>
      <c r="M7151" t="s">
        <v>277</v>
      </c>
      <c r="N7151">
        <v>53</v>
      </c>
      <c r="O7151">
        <v>0.112151293</v>
      </c>
      <c r="P7151">
        <v>9.8105042000000003E-2</v>
      </c>
      <c r="Q7151" t="str">
        <f t="shared" si="222"/>
        <v>10-14</v>
      </c>
      <c r="R7151" t="str">
        <f t="shared" si="223"/>
        <v>[fiRkU6gEjLz]|10-14|Male|PLHIV_Residents.T2|CY2026Q3</v>
      </c>
    </row>
    <row r="7152" spans="4:18" x14ac:dyDescent="0.2">
      <c r="D7152" t="s">
        <v>78</v>
      </c>
      <c r="E7152" t="s">
        <v>79</v>
      </c>
      <c r="F7152" t="s">
        <v>80</v>
      </c>
      <c r="G7152" t="s">
        <v>276</v>
      </c>
      <c r="H7152" t="s">
        <v>276</v>
      </c>
      <c r="I7152" t="s">
        <v>38</v>
      </c>
      <c r="J7152" t="s">
        <v>39</v>
      </c>
      <c r="K7152" t="s">
        <v>48</v>
      </c>
      <c r="L7152" t="s">
        <v>49</v>
      </c>
      <c r="M7152" t="s">
        <v>277</v>
      </c>
      <c r="N7152">
        <v>163</v>
      </c>
      <c r="O7152">
        <v>0.114294462</v>
      </c>
      <c r="P7152">
        <v>9.8105042000000003E-2</v>
      </c>
      <c r="Q7152" t="str">
        <f t="shared" si="222"/>
        <v>15-24</v>
      </c>
      <c r="R7152" t="str">
        <f t="shared" si="223"/>
        <v>[fiRkU6gEjLz]|15-24|Male|PLHIV_Residents.T2|CY2026Q3</v>
      </c>
    </row>
    <row r="7153" spans="4:18" x14ac:dyDescent="0.2">
      <c r="D7153" t="s">
        <v>78</v>
      </c>
      <c r="E7153" t="s">
        <v>79</v>
      </c>
      <c r="F7153" t="s">
        <v>80</v>
      </c>
      <c r="G7153" t="s">
        <v>276</v>
      </c>
      <c r="H7153" t="s">
        <v>276</v>
      </c>
      <c r="I7153" t="s">
        <v>41</v>
      </c>
      <c r="J7153" t="s">
        <v>42</v>
      </c>
      <c r="K7153" t="s">
        <v>48</v>
      </c>
      <c r="L7153" t="s">
        <v>49</v>
      </c>
      <c r="M7153" t="s">
        <v>277</v>
      </c>
      <c r="N7153">
        <v>212</v>
      </c>
      <c r="O7153">
        <v>0.119427491</v>
      </c>
      <c r="P7153">
        <v>9.8105042000000003E-2</v>
      </c>
      <c r="Q7153" t="str">
        <f t="shared" si="222"/>
        <v>25-34</v>
      </c>
      <c r="R7153" t="str">
        <f t="shared" si="223"/>
        <v>[fiRkU6gEjLz]|25-34|Male|PLHIV_Residents.T2|CY2026Q3</v>
      </c>
    </row>
    <row r="7154" spans="4:18" x14ac:dyDescent="0.2">
      <c r="D7154" t="s">
        <v>78</v>
      </c>
      <c r="E7154" t="s">
        <v>79</v>
      </c>
      <c r="F7154" t="s">
        <v>80</v>
      </c>
      <c r="G7154" t="s">
        <v>276</v>
      </c>
      <c r="H7154" t="s">
        <v>276</v>
      </c>
      <c r="I7154" t="s">
        <v>43</v>
      </c>
      <c r="J7154" t="s">
        <v>44</v>
      </c>
      <c r="K7154" t="s">
        <v>48</v>
      </c>
      <c r="L7154" t="s">
        <v>49</v>
      </c>
      <c r="M7154" t="s">
        <v>277</v>
      </c>
      <c r="N7154">
        <v>822</v>
      </c>
      <c r="O7154">
        <v>0.10406327</v>
      </c>
      <c r="P7154">
        <v>9.8105042000000003E-2</v>
      </c>
      <c r="Q7154" t="str">
        <f t="shared" si="222"/>
        <v>35-49</v>
      </c>
      <c r="R7154" t="str">
        <f t="shared" si="223"/>
        <v>[fiRkU6gEjLz]|35-49|Male|PLHIV_Residents.T2|CY2026Q3</v>
      </c>
    </row>
    <row r="7155" spans="4:18" x14ac:dyDescent="0.2">
      <c r="D7155" t="s">
        <v>78</v>
      </c>
      <c r="E7155" t="s">
        <v>79</v>
      </c>
      <c r="F7155" t="s">
        <v>80</v>
      </c>
      <c r="G7155" t="s">
        <v>276</v>
      </c>
      <c r="H7155" t="s">
        <v>276</v>
      </c>
      <c r="I7155" t="s">
        <v>45</v>
      </c>
      <c r="J7155" t="s">
        <v>46</v>
      </c>
      <c r="K7155" t="s">
        <v>48</v>
      </c>
      <c r="L7155" t="s">
        <v>49</v>
      </c>
      <c r="M7155" t="s">
        <v>277</v>
      </c>
      <c r="N7155">
        <v>782</v>
      </c>
      <c r="O7155">
        <v>0.100617266</v>
      </c>
      <c r="P7155">
        <v>9.8105042000000003E-2</v>
      </c>
      <c r="Q7155" t="str">
        <f t="shared" si="222"/>
        <v>50+</v>
      </c>
      <c r="R7155" t="str">
        <f t="shared" si="223"/>
        <v>[fiRkU6gEjLz]|50+|Male|PLHIV_Residents.T2|CY2026Q3</v>
      </c>
    </row>
    <row r="7156" spans="4:18" x14ac:dyDescent="0.2">
      <c r="D7156" t="s">
        <v>81</v>
      </c>
      <c r="E7156" t="s">
        <v>82</v>
      </c>
      <c r="F7156" t="s">
        <v>83</v>
      </c>
      <c r="G7156" t="s">
        <v>276</v>
      </c>
      <c r="H7156" t="s">
        <v>276</v>
      </c>
      <c r="I7156" t="s">
        <v>28</v>
      </c>
      <c r="J7156" t="s">
        <v>29</v>
      </c>
      <c r="K7156" t="s">
        <v>30</v>
      </c>
      <c r="L7156" t="s">
        <v>31</v>
      </c>
      <c r="M7156" t="s">
        <v>277</v>
      </c>
      <c r="N7156">
        <v>6</v>
      </c>
      <c r="O7156">
        <v>8.8487824000000007E-2</v>
      </c>
      <c r="P7156">
        <v>8.5279726E-2</v>
      </c>
      <c r="Q7156" t="str">
        <f t="shared" si="222"/>
        <v>&lt;01</v>
      </c>
      <c r="R7156" t="str">
        <f t="shared" si="223"/>
        <v>[zphK9WV8JB4]|&lt;01|Female|PLHIV_Residents.T2|CY2026Q3</v>
      </c>
    </row>
    <row r="7157" spans="4:18" x14ac:dyDescent="0.2">
      <c r="D7157" t="s">
        <v>81</v>
      </c>
      <c r="E7157" t="s">
        <v>82</v>
      </c>
      <c r="F7157" t="s">
        <v>83</v>
      </c>
      <c r="G7157" t="s">
        <v>276</v>
      </c>
      <c r="H7157" t="s">
        <v>276</v>
      </c>
      <c r="I7157" t="s">
        <v>33</v>
      </c>
      <c r="J7157" t="s">
        <v>34</v>
      </c>
      <c r="K7157" t="s">
        <v>30</v>
      </c>
      <c r="L7157" t="s">
        <v>31</v>
      </c>
      <c r="M7157" t="s">
        <v>277</v>
      </c>
      <c r="N7157">
        <v>108</v>
      </c>
      <c r="O7157">
        <v>9.1917192999999994E-2</v>
      </c>
      <c r="P7157">
        <v>8.5279726E-2</v>
      </c>
      <c r="Q7157" t="str">
        <f t="shared" si="222"/>
        <v>01-09</v>
      </c>
      <c r="R7157" t="str">
        <f t="shared" si="223"/>
        <v>[zphK9WV8JB4]|01-09|Female|PLHIV_Residents.T2|CY2026Q3</v>
      </c>
    </row>
    <row r="7158" spans="4:18" x14ac:dyDescent="0.2">
      <c r="D7158" t="s">
        <v>81</v>
      </c>
      <c r="E7158" t="s">
        <v>82</v>
      </c>
      <c r="F7158" t="s">
        <v>83</v>
      </c>
      <c r="G7158" t="s">
        <v>276</v>
      </c>
      <c r="H7158" t="s">
        <v>276</v>
      </c>
      <c r="I7158" t="s">
        <v>36</v>
      </c>
      <c r="J7158" t="s">
        <v>37</v>
      </c>
      <c r="K7158" t="s">
        <v>30</v>
      </c>
      <c r="L7158" t="s">
        <v>31</v>
      </c>
      <c r="M7158" t="s">
        <v>277</v>
      </c>
      <c r="N7158">
        <v>147</v>
      </c>
      <c r="O7158">
        <v>0.100399723</v>
      </c>
      <c r="P7158">
        <v>8.5279726E-2</v>
      </c>
      <c r="Q7158" t="str">
        <f t="shared" si="222"/>
        <v>10-14</v>
      </c>
      <c r="R7158" t="str">
        <f t="shared" si="223"/>
        <v>[zphK9WV8JB4]|10-14|Female|PLHIV_Residents.T2|CY2026Q3</v>
      </c>
    </row>
    <row r="7159" spans="4:18" x14ac:dyDescent="0.2">
      <c r="D7159" t="s">
        <v>81</v>
      </c>
      <c r="E7159" t="s">
        <v>82</v>
      </c>
      <c r="F7159" t="s">
        <v>83</v>
      </c>
      <c r="G7159" t="s">
        <v>276</v>
      </c>
      <c r="H7159" t="s">
        <v>276</v>
      </c>
      <c r="I7159" t="s">
        <v>38</v>
      </c>
      <c r="J7159" t="s">
        <v>39</v>
      </c>
      <c r="K7159" t="s">
        <v>30</v>
      </c>
      <c r="L7159" t="s">
        <v>31</v>
      </c>
      <c r="M7159" t="s">
        <v>277</v>
      </c>
      <c r="N7159">
        <v>616</v>
      </c>
      <c r="O7159">
        <v>0.100044548</v>
      </c>
      <c r="P7159">
        <v>8.5279726E-2</v>
      </c>
      <c r="Q7159" t="str">
        <f t="shared" si="222"/>
        <v>15-24</v>
      </c>
      <c r="R7159" t="str">
        <f t="shared" si="223"/>
        <v>[zphK9WV8JB4]|15-24|Female|PLHIV_Residents.T2|CY2026Q3</v>
      </c>
    </row>
    <row r="7160" spans="4:18" x14ac:dyDescent="0.2">
      <c r="D7160" t="s">
        <v>81</v>
      </c>
      <c r="E7160" t="s">
        <v>82</v>
      </c>
      <c r="F7160" t="s">
        <v>83</v>
      </c>
      <c r="G7160" t="s">
        <v>276</v>
      </c>
      <c r="H7160" t="s">
        <v>276</v>
      </c>
      <c r="I7160" t="s">
        <v>41</v>
      </c>
      <c r="J7160" t="s">
        <v>42</v>
      </c>
      <c r="K7160" t="s">
        <v>30</v>
      </c>
      <c r="L7160" t="s">
        <v>31</v>
      </c>
      <c r="M7160" t="s">
        <v>277</v>
      </c>
      <c r="N7160">
        <v>1429</v>
      </c>
      <c r="O7160">
        <v>9.4989306999999995E-2</v>
      </c>
      <c r="P7160">
        <v>8.5279726E-2</v>
      </c>
      <c r="Q7160" t="str">
        <f t="shared" si="222"/>
        <v>25-34</v>
      </c>
      <c r="R7160" t="str">
        <f t="shared" si="223"/>
        <v>[zphK9WV8JB4]|25-34|Female|PLHIV_Residents.T2|CY2026Q3</v>
      </c>
    </row>
    <row r="7161" spans="4:18" x14ac:dyDescent="0.2">
      <c r="D7161" t="s">
        <v>81</v>
      </c>
      <c r="E7161" t="s">
        <v>82</v>
      </c>
      <c r="F7161" t="s">
        <v>83</v>
      </c>
      <c r="G7161" t="s">
        <v>276</v>
      </c>
      <c r="H7161" t="s">
        <v>276</v>
      </c>
      <c r="I7161" t="s">
        <v>43</v>
      </c>
      <c r="J7161" t="s">
        <v>44</v>
      </c>
      <c r="K7161" t="s">
        <v>30</v>
      </c>
      <c r="L7161" t="s">
        <v>31</v>
      </c>
      <c r="M7161" t="s">
        <v>277</v>
      </c>
      <c r="N7161">
        <v>4439</v>
      </c>
      <c r="O7161">
        <v>8.6360328E-2</v>
      </c>
      <c r="P7161">
        <v>8.5279726E-2</v>
      </c>
      <c r="Q7161" t="str">
        <f t="shared" si="222"/>
        <v>35-49</v>
      </c>
      <c r="R7161" t="str">
        <f t="shared" si="223"/>
        <v>[zphK9WV8JB4]|35-49|Female|PLHIV_Residents.T2|CY2026Q3</v>
      </c>
    </row>
    <row r="7162" spans="4:18" x14ac:dyDescent="0.2">
      <c r="D7162" t="s">
        <v>81</v>
      </c>
      <c r="E7162" t="s">
        <v>82</v>
      </c>
      <c r="F7162" t="s">
        <v>83</v>
      </c>
      <c r="G7162" t="s">
        <v>276</v>
      </c>
      <c r="H7162" t="s">
        <v>276</v>
      </c>
      <c r="I7162" t="s">
        <v>45</v>
      </c>
      <c r="J7162" t="s">
        <v>46</v>
      </c>
      <c r="K7162" t="s">
        <v>30</v>
      </c>
      <c r="L7162" t="s">
        <v>31</v>
      </c>
      <c r="M7162" t="s">
        <v>277</v>
      </c>
      <c r="N7162">
        <v>2676</v>
      </c>
      <c r="O7162">
        <v>9.1003836000000005E-2</v>
      </c>
      <c r="P7162">
        <v>8.5279726E-2</v>
      </c>
      <c r="Q7162" t="str">
        <f t="shared" si="222"/>
        <v>50+</v>
      </c>
      <c r="R7162" t="str">
        <f t="shared" si="223"/>
        <v>[zphK9WV8JB4]|50+|Female|PLHIV_Residents.T2|CY2026Q3</v>
      </c>
    </row>
    <row r="7163" spans="4:18" x14ac:dyDescent="0.2">
      <c r="D7163" t="s">
        <v>81</v>
      </c>
      <c r="E7163" t="s">
        <v>82</v>
      </c>
      <c r="F7163" t="s">
        <v>83</v>
      </c>
      <c r="G7163" t="s">
        <v>276</v>
      </c>
      <c r="H7163" t="s">
        <v>276</v>
      </c>
      <c r="I7163" t="s">
        <v>28</v>
      </c>
      <c r="J7163" t="s">
        <v>29</v>
      </c>
      <c r="K7163" t="s">
        <v>48</v>
      </c>
      <c r="L7163" t="s">
        <v>49</v>
      </c>
      <c r="M7163" t="s">
        <v>277</v>
      </c>
      <c r="N7163">
        <v>6</v>
      </c>
      <c r="O7163">
        <v>8.8490163999999996E-2</v>
      </c>
      <c r="P7163">
        <v>8.5279726E-2</v>
      </c>
      <c r="Q7163" t="str">
        <f t="shared" si="222"/>
        <v>&lt;01</v>
      </c>
      <c r="R7163" t="str">
        <f t="shared" si="223"/>
        <v>[zphK9WV8JB4]|&lt;01|Male|PLHIV_Residents.T2|CY2026Q3</v>
      </c>
    </row>
    <row r="7164" spans="4:18" x14ac:dyDescent="0.2">
      <c r="D7164" t="s">
        <v>81</v>
      </c>
      <c r="E7164" t="s">
        <v>82</v>
      </c>
      <c r="F7164" t="s">
        <v>83</v>
      </c>
      <c r="G7164" t="s">
        <v>276</v>
      </c>
      <c r="H7164" t="s">
        <v>276</v>
      </c>
      <c r="I7164" t="s">
        <v>33</v>
      </c>
      <c r="J7164" t="s">
        <v>34</v>
      </c>
      <c r="K7164" t="s">
        <v>48</v>
      </c>
      <c r="L7164" t="s">
        <v>49</v>
      </c>
      <c r="M7164" t="s">
        <v>277</v>
      </c>
      <c r="N7164">
        <v>109</v>
      </c>
      <c r="O7164">
        <v>9.1914851000000006E-2</v>
      </c>
      <c r="P7164">
        <v>8.5279726E-2</v>
      </c>
      <c r="Q7164" t="str">
        <f t="shared" si="222"/>
        <v>01-09</v>
      </c>
      <c r="R7164" t="str">
        <f t="shared" si="223"/>
        <v>[zphK9WV8JB4]|01-09|Male|PLHIV_Residents.T2|CY2026Q3</v>
      </c>
    </row>
    <row r="7165" spans="4:18" x14ac:dyDescent="0.2">
      <c r="D7165" t="s">
        <v>81</v>
      </c>
      <c r="E7165" t="s">
        <v>82</v>
      </c>
      <c r="F7165" t="s">
        <v>83</v>
      </c>
      <c r="G7165" t="s">
        <v>276</v>
      </c>
      <c r="H7165" t="s">
        <v>276</v>
      </c>
      <c r="I7165" t="s">
        <v>36</v>
      </c>
      <c r="J7165" t="s">
        <v>37</v>
      </c>
      <c r="K7165" t="s">
        <v>48</v>
      </c>
      <c r="L7165" t="s">
        <v>49</v>
      </c>
      <c r="M7165" t="s">
        <v>277</v>
      </c>
      <c r="N7165">
        <v>147</v>
      </c>
      <c r="O7165">
        <v>0.100392114</v>
      </c>
      <c r="P7165">
        <v>8.5279726E-2</v>
      </c>
      <c r="Q7165" t="str">
        <f t="shared" si="222"/>
        <v>10-14</v>
      </c>
      <c r="R7165" t="str">
        <f t="shared" si="223"/>
        <v>[zphK9WV8JB4]|10-14|Male|PLHIV_Residents.T2|CY2026Q3</v>
      </c>
    </row>
    <row r="7166" spans="4:18" x14ac:dyDescent="0.2">
      <c r="D7166" t="s">
        <v>81</v>
      </c>
      <c r="E7166" t="s">
        <v>82</v>
      </c>
      <c r="F7166" t="s">
        <v>83</v>
      </c>
      <c r="G7166" t="s">
        <v>276</v>
      </c>
      <c r="H7166" t="s">
        <v>276</v>
      </c>
      <c r="I7166" t="s">
        <v>38</v>
      </c>
      <c r="J7166" t="s">
        <v>39</v>
      </c>
      <c r="K7166" t="s">
        <v>48</v>
      </c>
      <c r="L7166" t="s">
        <v>49</v>
      </c>
      <c r="M7166" t="s">
        <v>277</v>
      </c>
      <c r="N7166">
        <v>471</v>
      </c>
      <c r="O7166">
        <v>0.105431995</v>
      </c>
      <c r="P7166">
        <v>8.5279726E-2</v>
      </c>
      <c r="Q7166" t="str">
        <f t="shared" si="222"/>
        <v>15-24</v>
      </c>
      <c r="R7166" t="str">
        <f t="shared" si="223"/>
        <v>[zphK9WV8JB4]|15-24|Male|PLHIV_Residents.T2|CY2026Q3</v>
      </c>
    </row>
    <row r="7167" spans="4:18" x14ac:dyDescent="0.2">
      <c r="D7167" t="s">
        <v>81</v>
      </c>
      <c r="E7167" t="s">
        <v>82</v>
      </c>
      <c r="F7167" t="s">
        <v>83</v>
      </c>
      <c r="G7167" t="s">
        <v>276</v>
      </c>
      <c r="H7167" t="s">
        <v>276</v>
      </c>
      <c r="I7167" t="s">
        <v>41</v>
      </c>
      <c r="J7167" t="s">
        <v>42</v>
      </c>
      <c r="K7167" t="s">
        <v>48</v>
      </c>
      <c r="L7167" t="s">
        <v>49</v>
      </c>
      <c r="M7167" t="s">
        <v>277</v>
      </c>
      <c r="N7167">
        <v>641</v>
      </c>
      <c r="O7167">
        <v>0.109961225</v>
      </c>
      <c r="P7167">
        <v>8.5279726E-2</v>
      </c>
      <c r="Q7167" t="str">
        <f t="shared" si="222"/>
        <v>25-34</v>
      </c>
      <c r="R7167" t="str">
        <f t="shared" si="223"/>
        <v>[zphK9WV8JB4]|25-34|Male|PLHIV_Residents.T2|CY2026Q3</v>
      </c>
    </row>
    <row r="7168" spans="4:18" x14ac:dyDescent="0.2">
      <c r="D7168" t="s">
        <v>81</v>
      </c>
      <c r="E7168" t="s">
        <v>82</v>
      </c>
      <c r="F7168" t="s">
        <v>83</v>
      </c>
      <c r="G7168" t="s">
        <v>276</v>
      </c>
      <c r="H7168" t="s">
        <v>276</v>
      </c>
      <c r="I7168" t="s">
        <v>43</v>
      </c>
      <c r="J7168" t="s">
        <v>44</v>
      </c>
      <c r="K7168" t="s">
        <v>48</v>
      </c>
      <c r="L7168" t="s">
        <v>49</v>
      </c>
      <c r="M7168" t="s">
        <v>277</v>
      </c>
      <c r="N7168">
        <v>2474</v>
      </c>
      <c r="O7168">
        <v>9.2914279000000002E-2</v>
      </c>
      <c r="P7168">
        <v>8.5279726E-2</v>
      </c>
      <c r="Q7168" t="str">
        <f t="shared" si="222"/>
        <v>35-49</v>
      </c>
      <c r="R7168" t="str">
        <f t="shared" si="223"/>
        <v>[zphK9WV8JB4]|35-49|Male|PLHIV_Residents.T2|CY2026Q3</v>
      </c>
    </row>
    <row r="7169" spans="4:18" x14ac:dyDescent="0.2">
      <c r="D7169" t="s">
        <v>81</v>
      </c>
      <c r="E7169" t="s">
        <v>82</v>
      </c>
      <c r="F7169" t="s">
        <v>83</v>
      </c>
      <c r="G7169" t="s">
        <v>276</v>
      </c>
      <c r="H7169" t="s">
        <v>276</v>
      </c>
      <c r="I7169" t="s">
        <v>45</v>
      </c>
      <c r="J7169" t="s">
        <v>46</v>
      </c>
      <c r="K7169" t="s">
        <v>48</v>
      </c>
      <c r="L7169" t="s">
        <v>49</v>
      </c>
      <c r="M7169" t="s">
        <v>277</v>
      </c>
      <c r="N7169">
        <v>2442</v>
      </c>
      <c r="O7169">
        <v>8.5699115000000006E-2</v>
      </c>
      <c r="P7169">
        <v>8.5279726E-2</v>
      </c>
      <c r="Q7169" t="str">
        <f t="shared" si="222"/>
        <v>50+</v>
      </c>
      <c r="R7169" t="str">
        <f t="shared" si="223"/>
        <v>[zphK9WV8JB4]|50+|Male|PLHIV_Residents.T2|CY2026Q3</v>
      </c>
    </row>
    <row r="7170" spans="4:18" x14ac:dyDescent="0.2">
      <c r="D7170" t="s">
        <v>84</v>
      </c>
      <c r="E7170" t="s">
        <v>85</v>
      </c>
      <c r="F7170" t="s">
        <v>86</v>
      </c>
      <c r="G7170" t="s">
        <v>276</v>
      </c>
      <c r="H7170" t="s">
        <v>276</v>
      </c>
      <c r="I7170" t="s">
        <v>28</v>
      </c>
      <c r="J7170" t="s">
        <v>29</v>
      </c>
      <c r="K7170" t="s">
        <v>30</v>
      </c>
      <c r="L7170" t="s">
        <v>31</v>
      </c>
      <c r="M7170" t="s">
        <v>277</v>
      </c>
      <c r="N7170">
        <v>10</v>
      </c>
      <c r="O7170">
        <v>6.9892863999999999E-2</v>
      </c>
      <c r="P7170">
        <v>6.8065308000000005E-2</v>
      </c>
      <c r="Q7170" t="str">
        <f t="shared" si="222"/>
        <v>&lt;01</v>
      </c>
      <c r="R7170" t="str">
        <f t="shared" si="223"/>
        <v>[msW2zpIN7up]|&lt;01|Female|PLHIV_Residents.T2|CY2026Q3</v>
      </c>
    </row>
    <row r="7171" spans="4:18" x14ac:dyDescent="0.2">
      <c r="D7171" t="s">
        <v>84</v>
      </c>
      <c r="E7171" t="s">
        <v>85</v>
      </c>
      <c r="F7171" t="s">
        <v>86</v>
      </c>
      <c r="G7171" t="s">
        <v>276</v>
      </c>
      <c r="H7171" t="s">
        <v>276</v>
      </c>
      <c r="I7171" t="s">
        <v>33</v>
      </c>
      <c r="J7171" t="s">
        <v>34</v>
      </c>
      <c r="K7171" t="s">
        <v>30</v>
      </c>
      <c r="L7171" t="s">
        <v>31</v>
      </c>
      <c r="M7171" t="s">
        <v>277</v>
      </c>
      <c r="N7171">
        <v>172</v>
      </c>
      <c r="O7171">
        <v>7.2495748999999998E-2</v>
      </c>
      <c r="P7171">
        <v>6.8065308000000005E-2</v>
      </c>
      <c r="Q7171" t="str">
        <f t="shared" ref="Q7171:Q7234" si="224">SUBSTITUTE(SUBSTITUTE($I7171,CHAR(61),""),CHAR(34),"")</f>
        <v>01-09</v>
      </c>
      <c r="R7171" t="str">
        <f t="shared" ref="R7171:R7234" si="225">IF($D7171&lt;&gt;"","["&amp;$E7171&amp;"]"&amp;"|"&amp;$Q7171&amp;"|"&amp;$K7171&amp;"|"&amp;$G7171&amp;"|"&amp;IF($G7171="TX_CURR_SUBNAT.R","CY2023Q4",$M7171),"")</f>
        <v>[msW2zpIN7up]|01-09|Female|PLHIV_Residents.T2|CY2026Q3</v>
      </c>
    </row>
    <row r="7172" spans="4:18" x14ac:dyDescent="0.2">
      <c r="D7172" t="s">
        <v>84</v>
      </c>
      <c r="E7172" t="s">
        <v>85</v>
      </c>
      <c r="F7172" t="s">
        <v>86</v>
      </c>
      <c r="G7172" t="s">
        <v>276</v>
      </c>
      <c r="H7172" t="s">
        <v>276</v>
      </c>
      <c r="I7172" t="s">
        <v>36</v>
      </c>
      <c r="J7172" t="s">
        <v>37</v>
      </c>
      <c r="K7172" t="s">
        <v>30</v>
      </c>
      <c r="L7172" t="s">
        <v>31</v>
      </c>
      <c r="M7172" t="s">
        <v>277</v>
      </c>
      <c r="N7172">
        <v>233</v>
      </c>
      <c r="O7172">
        <v>7.8847382999999993E-2</v>
      </c>
      <c r="P7172">
        <v>6.8065308000000005E-2</v>
      </c>
      <c r="Q7172" t="str">
        <f t="shared" si="224"/>
        <v>10-14</v>
      </c>
      <c r="R7172" t="str">
        <f t="shared" si="225"/>
        <v>[msW2zpIN7up]|10-14|Female|PLHIV_Residents.T2|CY2026Q3</v>
      </c>
    </row>
    <row r="7173" spans="4:18" x14ac:dyDescent="0.2">
      <c r="D7173" t="s">
        <v>84</v>
      </c>
      <c r="E7173" t="s">
        <v>85</v>
      </c>
      <c r="F7173" t="s">
        <v>86</v>
      </c>
      <c r="G7173" t="s">
        <v>276</v>
      </c>
      <c r="H7173" t="s">
        <v>276</v>
      </c>
      <c r="I7173" t="s">
        <v>38</v>
      </c>
      <c r="J7173" t="s">
        <v>39</v>
      </c>
      <c r="K7173" t="s">
        <v>30</v>
      </c>
      <c r="L7173" t="s">
        <v>31</v>
      </c>
      <c r="M7173" t="s">
        <v>277</v>
      </c>
      <c r="N7173">
        <v>918</v>
      </c>
      <c r="O7173">
        <v>8.6286045000000006E-2</v>
      </c>
      <c r="P7173">
        <v>6.8065308000000005E-2</v>
      </c>
      <c r="Q7173" t="str">
        <f t="shared" si="224"/>
        <v>15-24</v>
      </c>
      <c r="R7173" t="str">
        <f t="shared" si="225"/>
        <v>[msW2zpIN7up]|15-24|Female|PLHIV_Residents.T2|CY2026Q3</v>
      </c>
    </row>
    <row r="7174" spans="4:18" x14ac:dyDescent="0.2">
      <c r="D7174" t="s">
        <v>84</v>
      </c>
      <c r="E7174" t="s">
        <v>85</v>
      </c>
      <c r="F7174" t="s">
        <v>86</v>
      </c>
      <c r="G7174" t="s">
        <v>276</v>
      </c>
      <c r="H7174" t="s">
        <v>276</v>
      </c>
      <c r="I7174" t="s">
        <v>41</v>
      </c>
      <c r="J7174" t="s">
        <v>42</v>
      </c>
      <c r="K7174" t="s">
        <v>30</v>
      </c>
      <c r="L7174" t="s">
        <v>31</v>
      </c>
      <c r="M7174" t="s">
        <v>277</v>
      </c>
      <c r="N7174">
        <v>2107</v>
      </c>
      <c r="O7174">
        <v>8.0308326999999999E-2</v>
      </c>
      <c r="P7174">
        <v>6.8065308000000005E-2</v>
      </c>
      <c r="Q7174" t="str">
        <f t="shared" si="224"/>
        <v>25-34</v>
      </c>
      <c r="R7174" t="str">
        <f t="shared" si="225"/>
        <v>[msW2zpIN7up]|25-34|Female|PLHIV_Residents.T2|CY2026Q3</v>
      </c>
    </row>
    <row r="7175" spans="4:18" x14ac:dyDescent="0.2">
      <c r="D7175" t="s">
        <v>84</v>
      </c>
      <c r="E7175" t="s">
        <v>85</v>
      </c>
      <c r="F7175" t="s">
        <v>86</v>
      </c>
      <c r="G7175" t="s">
        <v>276</v>
      </c>
      <c r="H7175" t="s">
        <v>276</v>
      </c>
      <c r="I7175" t="s">
        <v>43</v>
      </c>
      <c r="J7175" t="s">
        <v>44</v>
      </c>
      <c r="K7175" t="s">
        <v>30</v>
      </c>
      <c r="L7175" t="s">
        <v>31</v>
      </c>
      <c r="M7175" t="s">
        <v>277</v>
      </c>
      <c r="N7175">
        <v>6163</v>
      </c>
      <c r="O7175">
        <v>6.7542103000000006E-2</v>
      </c>
      <c r="P7175">
        <v>6.8065308000000005E-2</v>
      </c>
      <c r="Q7175" t="str">
        <f t="shared" si="224"/>
        <v>35-49</v>
      </c>
      <c r="R7175" t="str">
        <f t="shared" si="225"/>
        <v>[msW2zpIN7up]|35-49|Female|PLHIV_Residents.T2|CY2026Q3</v>
      </c>
    </row>
    <row r="7176" spans="4:18" x14ac:dyDescent="0.2">
      <c r="D7176" t="s">
        <v>84</v>
      </c>
      <c r="E7176" t="s">
        <v>85</v>
      </c>
      <c r="F7176" t="s">
        <v>86</v>
      </c>
      <c r="G7176" t="s">
        <v>276</v>
      </c>
      <c r="H7176" t="s">
        <v>276</v>
      </c>
      <c r="I7176" t="s">
        <v>45</v>
      </c>
      <c r="J7176" t="s">
        <v>46</v>
      </c>
      <c r="K7176" t="s">
        <v>30</v>
      </c>
      <c r="L7176" t="s">
        <v>31</v>
      </c>
      <c r="M7176" t="s">
        <v>277</v>
      </c>
      <c r="N7176">
        <v>3299</v>
      </c>
      <c r="O7176">
        <v>7.1303193000000001E-2</v>
      </c>
      <c r="P7176">
        <v>6.8065308000000005E-2</v>
      </c>
      <c r="Q7176" t="str">
        <f t="shared" si="224"/>
        <v>50+</v>
      </c>
      <c r="R7176" t="str">
        <f t="shared" si="225"/>
        <v>[msW2zpIN7up]|50+|Female|PLHIV_Residents.T2|CY2026Q3</v>
      </c>
    </row>
    <row r="7177" spans="4:18" x14ac:dyDescent="0.2">
      <c r="D7177" t="s">
        <v>84</v>
      </c>
      <c r="E7177" t="s">
        <v>85</v>
      </c>
      <c r="F7177" t="s">
        <v>86</v>
      </c>
      <c r="G7177" t="s">
        <v>276</v>
      </c>
      <c r="H7177" t="s">
        <v>276</v>
      </c>
      <c r="I7177" t="s">
        <v>28</v>
      </c>
      <c r="J7177" t="s">
        <v>29</v>
      </c>
      <c r="K7177" t="s">
        <v>48</v>
      </c>
      <c r="L7177" t="s">
        <v>49</v>
      </c>
      <c r="M7177" t="s">
        <v>277</v>
      </c>
      <c r="N7177">
        <v>10</v>
      </c>
      <c r="O7177">
        <v>6.9899286000000005E-2</v>
      </c>
      <c r="P7177">
        <v>6.8065308000000005E-2</v>
      </c>
      <c r="Q7177" t="str">
        <f t="shared" si="224"/>
        <v>&lt;01</v>
      </c>
      <c r="R7177" t="str">
        <f t="shared" si="225"/>
        <v>[msW2zpIN7up]|&lt;01|Male|PLHIV_Residents.T2|CY2026Q3</v>
      </c>
    </row>
    <row r="7178" spans="4:18" x14ac:dyDescent="0.2">
      <c r="D7178" t="s">
        <v>84</v>
      </c>
      <c r="E7178" t="s">
        <v>85</v>
      </c>
      <c r="F7178" t="s">
        <v>86</v>
      </c>
      <c r="G7178" t="s">
        <v>276</v>
      </c>
      <c r="H7178" t="s">
        <v>276</v>
      </c>
      <c r="I7178" t="s">
        <v>33</v>
      </c>
      <c r="J7178" t="s">
        <v>34</v>
      </c>
      <c r="K7178" t="s">
        <v>48</v>
      </c>
      <c r="L7178" t="s">
        <v>49</v>
      </c>
      <c r="M7178" t="s">
        <v>277</v>
      </c>
      <c r="N7178">
        <v>174</v>
      </c>
      <c r="O7178">
        <v>7.2497694000000001E-2</v>
      </c>
      <c r="P7178">
        <v>6.8065308000000005E-2</v>
      </c>
      <c r="Q7178" t="str">
        <f t="shared" si="224"/>
        <v>01-09</v>
      </c>
      <c r="R7178" t="str">
        <f t="shared" si="225"/>
        <v>[msW2zpIN7up]|01-09|Male|PLHIV_Residents.T2|CY2026Q3</v>
      </c>
    </row>
    <row r="7179" spans="4:18" x14ac:dyDescent="0.2">
      <c r="D7179" t="s">
        <v>84</v>
      </c>
      <c r="E7179" t="s">
        <v>85</v>
      </c>
      <c r="F7179" t="s">
        <v>86</v>
      </c>
      <c r="G7179" t="s">
        <v>276</v>
      </c>
      <c r="H7179" t="s">
        <v>276</v>
      </c>
      <c r="I7179" t="s">
        <v>36</v>
      </c>
      <c r="J7179" t="s">
        <v>37</v>
      </c>
      <c r="K7179" t="s">
        <v>48</v>
      </c>
      <c r="L7179" t="s">
        <v>49</v>
      </c>
      <c r="M7179" t="s">
        <v>277</v>
      </c>
      <c r="N7179">
        <v>234</v>
      </c>
      <c r="O7179">
        <v>7.8843602999999998E-2</v>
      </c>
      <c r="P7179">
        <v>6.8065308000000005E-2</v>
      </c>
      <c r="Q7179" t="str">
        <f t="shared" si="224"/>
        <v>10-14</v>
      </c>
      <c r="R7179" t="str">
        <f t="shared" si="225"/>
        <v>[msW2zpIN7up]|10-14|Male|PLHIV_Residents.T2|CY2026Q3</v>
      </c>
    </row>
    <row r="7180" spans="4:18" x14ac:dyDescent="0.2">
      <c r="D7180" t="s">
        <v>84</v>
      </c>
      <c r="E7180" t="s">
        <v>85</v>
      </c>
      <c r="F7180" t="s">
        <v>86</v>
      </c>
      <c r="G7180" t="s">
        <v>276</v>
      </c>
      <c r="H7180" t="s">
        <v>276</v>
      </c>
      <c r="I7180" t="s">
        <v>38</v>
      </c>
      <c r="J7180" t="s">
        <v>39</v>
      </c>
      <c r="K7180" t="s">
        <v>48</v>
      </c>
      <c r="L7180" t="s">
        <v>49</v>
      </c>
      <c r="M7180" t="s">
        <v>277</v>
      </c>
      <c r="N7180">
        <v>664</v>
      </c>
      <c r="O7180">
        <v>8.7861390999999997E-2</v>
      </c>
      <c r="P7180">
        <v>6.8065308000000005E-2</v>
      </c>
      <c r="Q7180" t="str">
        <f t="shared" si="224"/>
        <v>15-24</v>
      </c>
      <c r="R7180" t="str">
        <f t="shared" si="225"/>
        <v>[msW2zpIN7up]|15-24|Male|PLHIV_Residents.T2|CY2026Q3</v>
      </c>
    </row>
    <row r="7181" spans="4:18" x14ac:dyDescent="0.2">
      <c r="D7181" t="s">
        <v>84</v>
      </c>
      <c r="E7181" t="s">
        <v>85</v>
      </c>
      <c r="F7181" t="s">
        <v>86</v>
      </c>
      <c r="G7181" t="s">
        <v>276</v>
      </c>
      <c r="H7181" t="s">
        <v>276</v>
      </c>
      <c r="I7181" t="s">
        <v>41</v>
      </c>
      <c r="J7181" t="s">
        <v>42</v>
      </c>
      <c r="K7181" t="s">
        <v>48</v>
      </c>
      <c r="L7181" t="s">
        <v>49</v>
      </c>
      <c r="M7181" t="s">
        <v>277</v>
      </c>
      <c r="N7181">
        <v>759</v>
      </c>
      <c r="O7181">
        <v>9.8889485999999999E-2</v>
      </c>
      <c r="P7181">
        <v>6.8065308000000005E-2</v>
      </c>
      <c r="Q7181" t="str">
        <f t="shared" si="224"/>
        <v>25-34</v>
      </c>
      <c r="R7181" t="str">
        <f t="shared" si="225"/>
        <v>[msW2zpIN7up]|25-34|Male|PLHIV_Residents.T2|CY2026Q3</v>
      </c>
    </row>
    <row r="7182" spans="4:18" x14ac:dyDescent="0.2">
      <c r="D7182" t="s">
        <v>84</v>
      </c>
      <c r="E7182" t="s">
        <v>85</v>
      </c>
      <c r="F7182" t="s">
        <v>86</v>
      </c>
      <c r="G7182" t="s">
        <v>276</v>
      </c>
      <c r="H7182" t="s">
        <v>276</v>
      </c>
      <c r="I7182" t="s">
        <v>43</v>
      </c>
      <c r="J7182" t="s">
        <v>44</v>
      </c>
      <c r="K7182" t="s">
        <v>48</v>
      </c>
      <c r="L7182" t="s">
        <v>49</v>
      </c>
      <c r="M7182" t="s">
        <v>277</v>
      </c>
      <c r="N7182">
        <v>2892</v>
      </c>
      <c r="O7182">
        <v>7.7420554000000003E-2</v>
      </c>
      <c r="P7182">
        <v>6.8065308000000005E-2</v>
      </c>
      <c r="Q7182" t="str">
        <f t="shared" si="224"/>
        <v>35-49</v>
      </c>
      <c r="R7182" t="str">
        <f t="shared" si="225"/>
        <v>[msW2zpIN7up]|35-49|Male|PLHIV_Residents.T2|CY2026Q3</v>
      </c>
    </row>
    <row r="7183" spans="4:18" x14ac:dyDescent="0.2">
      <c r="D7183" t="s">
        <v>84</v>
      </c>
      <c r="E7183" t="s">
        <v>85</v>
      </c>
      <c r="F7183" t="s">
        <v>86</v>
      </c>
      <c r="G7183" t="s">
        <v>276</v>
      </c>
      <c r="H7183" t="s">
        <v>276</v>
      </c>
      <c r="I7183" t="s">
        <v>45</v>
      </c>
      <c r="J7183" t="s">
        <v>46</v>
      </c>
      <c r="K7183" t="s">
        <v>48</v>
      </c>
      <c r="L7183" t="s">
        <v>49</v>
      </c>
      <c r="M7183" t="s">
        <v>277</v>
      </c>
      <c r="N7183">
        <v>2627</v>
      </c>
      <c r="O7183">
        <v>7.2013615000000003E-2</v>
      </c>
      <c r="P7183">
        <v>6.8065308000000005E-2</v>
      </c>
      <c r="Q7183" t="str">
        <f t="shared" si="224"/>
        <v>50+</v>
      </c>
      <c r="R7183" t="str">
        <f t="shared" si="225"/>
        <v>[msW2zpIN7up]|50+|Male|PLHIV_Residents.T2|CY2026Q3</v>
      </c>
    </row>
    <row r="7184" spans="4:18" x14ac:dyDescent="0.2">
      <c r="D7184" t="s">
        <v>87</v>
      </c>
      <c r="E7184" t="s">
        <v>88</v>
      </c>
      <c r="F7184" t="s">
        <v>89</v>
      </c>
      <c r="G7184" t="s">
        <v>276</v>
      </c>
      <c r="H7184" t="s">
        <v>276</v>
      </c>
      <c r="I7184" t="s">
        <v>28</v>
      </c>
      <c r="J7184" t="s">
        <v>29</v>
      </c>
      <c r="K7184" t="s">
        <v>30</v>
      </c>
      <c r="L7184" t="s">
        <v>31</v>
      </c>
      <c r="M7184" t="s">
        <v>277</v>
      </c>
      <c r="N7184">
        <v>58</v>
      </c>
      <c r="O7184">
        <v>2.3133023999999999E-2</v>
      </c>
      <c r="P7184">
        <v>2.036425E-2</v>
      </c>
      <c r="Q7184" t="str">
        <f t="shared" si="224"/>
        <v>&lt;01</v>
      </c>
      <c r="R7184" t="str">
        <f t="shared" si="225"/>
        <v>[ScR9iFKAasW]|&lt;01|Female|PLHIV_Residents.T2|CY2026Q3</v>
      </c>
    </row>
    <row r="7185" spans="4:18" x14ac:dyDescent="0.2">
      <c r="D7185" t="s">
        <v>87</v>
      </c>
      <c r="E7185" t="s">
        <v>88</v>
      </c>
      <c r="F7185" t="s">
        <v>89</v>
      </c>
      <c r="G7185" t="s">
        <v>276</v>
      </c>
      <c r="H7185" t="s">
        <v>276</v>
      </c>
      <c r="I7185" t="s">
        <v>33</v>
      </c>
      <c r="J7185" t="s">
        <v>34</v>
      </c>
      <c r="K7185" t="s">
        <v>30</v>
      </c>
      <c r="L7185" t="s">
        <v>31</v>
      </c>
      <c r="M7185" t="s">
        <v>277</v>
      </c>
      <c r="N7185">
        <v>937</v>
      </c>
      <c r="O7185">
        <v>2.6807352E-2</v>
      </c>
      <c r="P7185">
        <v>2.036425E-2</v>
      </c>
      <c r="Q7185" t="str">
        <f t="shared" si="224"/>
        <v>01-09</v>
      </c>
      <c r="R7185" t="str">
        <f t="shared" si="225"/>
        <v>[ScR9iFKAasW]|01-09|Female|PLHIV_Residents.T2|CY2026Q3</v>
      </c>
    </row>
    <row r="7186" spans="4:18" x14ac:dyDescent="0.2">
      <c r="D7186" t="s">
        <v>87</v>
      </c>
      <c r="E7186" t="s">
        <v>88</v>
      </c>
      <c r="F7186" t="s">
        <v>89</v>
      </c>
      <c r="G7186" t="s">
        <v>276</v>
      </c>
      <c r="H7186" t="s">
        <v>276</v>
      </c>
      <c r="I7186" t="s">
        <v>36</v>
      </c>
      <c r="J7186" t="s">
        <v>37</v>
      </c>
      <c r="K7186" t="s">
        <v>30</v>
      </c>
      <c r="L7186" t="s">
        <v>31</v>
      </c>
      <c r="M7186" t="s">
        <v>277</v>
      </c>
      <c r="N7186">
        <v>1148</v>
      </c>
      <c r="O7186">
        <v>3.5984750000000003E-2</v>
      </c>
      <c r="P7186">
        <v>2.036425E-2</v>
      </c>
      <c r="Q7186" t="str">
        <f t="shared" si="224"/>
        <v>10-14</v>
      </c>
      <c r="R7186" t="str">
        <f t="shared" si="225"/>
        <v>[ScR9iFKAasW]|10-14|Female|PLHIV_Residents.T2|CY2026Q3</v>
      </c>
    </row>
    <row r="7187" spans="4:18" x14ac:dyDescent="0.2">
      <c r="D7187" t="s">
        <v>87</v>
      </c>
      <c r="E7187" t="s">
        <v>88</v>
      </c>
      <c r="F7187" t="s">
        <v>89</v>
      </c>
      <c r="G7187" t="s">
        <v>276</v>
      </c>
      <c r="H7187" t="s">
        <v>276</v>
      </c>
      <c r="I7187" t="s">
        <v>38</v>
      </c>
      <c r="J7187" t="s">
        <v>39</v>
      </c>
      <c r="K7187" t="s">
        <v>30</v>
      </c>
      <c r="L7187" t="s">
        <v>31</v>
      </c>
      <c r="M7187" t="s">
        <v>277</v>
      </c>
      <c r="N7187">
        <v>5206</v>
      </c>
      <c r="O7187">
        <v>4.9217024999999998E-2</v>
      </c>
      <c r="P7187">
        <v>2.036425E-2</v>
      </c>
      <c r="Q7187" t="str">
        <f t="shared" si="224"/>
        <v>15-24</v>
      </c>
      <c r="R7187" t="str">
        <f t="shared" si="225"/>
        <v>[ScR9iFKAasW]|15-24|Female|PLHIV_Residents.T2|CY2026Q3</v>
      </c>
    </row>
    <row r="7188" spans="4:18" x14ac:dyDescent="0.2">
      <c r="D7188" t="s">
        <v>87</v>
      </c>
      <c r="E7188" t="s">
        <v>88</v>
      </c>
      <c r="F7188" t="s">
        <v>89</v>
      </c>
      <c r="G7188" t="s">
        <v>276</v>
      </c>
      <c r="H7188" t="s">
        <v>276</v>
      </c>
      <c r="I7188" t="s">
        <v>41</v>
      </c>
      <c r="J7188" t="s">
        <v>42</v>
      </c>
      <c r="K7188" t="s">
        <v>30</v>
      </c>
      <c r="L7188" t="s">
        <v>31</v>
      </c>
      <c r="M7188" t="s">
        <v>277</v>
      </c>
      <c r="N7188">
        <v>14339</v>
      </c>
      <c r="O7188">
        <v>3.7920710000000003E-2</v>
      </c>
      <c r="P7188">
        <v>2.036425E-2</v>
      </c>
      <c r="Q7188" t="str">
        <f t="shared" si="224"/>
        <v>25-34</v>
      </c>
      <c r="R7188" t="str">
        <f t="shared" si="225"/>
        <v>[ScR9iFKAasW]|25-34|Female|PLHIV_Residents.T2|CY2026Q3</v>
      </c>
    </row>
    <row r="7189" spans="4:18" x14ac:dyDescent="0.2">
      <c r="D7189" t="s">
        <v>87</v>
      </c>
      <c r="E7189" t="s">
        <v>88</v>
      </c>
      <c r="F7189" t="s">
        <v>89</v>
      </c>
      <c r="G7189" t="s">
        <v>276</v>
      </c>
      <c r="H7189" t="s">
        <v>276</v>
      </c>
      <c r="I7189" t="s">
        <v>43</v>
      </c>
      <c r="J7189" t="s">
        <v>44</v>
      </c>
      <c r="K7189" t="s">
        <v>30</v>
      </c>
      <c r="L7189" t="s">
        <v>31</v>
      </c>
      <c r="M7189" t="s">
        <v>277</v>
      </c>
      <c r="N7189">
        <v>39678</v>
      </c>
      <c r="O7189">
        <v>2.3784036000000001E-2</v>
      </c>
      <c r="P7189">
        <v>2.036425E-2</v>
      </c>
      <c r="Q7189" t="str">
        <f t="shared" si="224"/>
        <v>35-49</v>
      </c>
      <c r="R7189" t="str">
        <f t="shared" si="225"/>
        <v>[ScR9iFKAasW]|35-49|Female|PLHIV_Residents.T2|CY2026Q3</v>
      </c>
    </row>
    <row r="7190" spans="4:18" x14ac:dyDescent="0.2">
      <c r="D7190" t="s">
        <v>87</v>
      </c>
      <c r="E7190" t="s">
        <v>88</v>
      </c>
      <c r="F7190" t="s">
        <v>89</v>
      </c>
      <c r="G7190" t="s">
        <v>276</v>
      </c>
      <c r="H7190" t="s">
        <v>276</v>
      </c>
      <c r="I7190" t="s">
        <v>45</v>
      </c>
      <c r="J7190" t="s">
        <v>46</v>
      </c>
      <c r="K7190" t="s">
        <v>30</v>
      </c>
      <c r="L7190" t="s">
        <v>31</v>
      </c>
      <c r="M7190" t="s">
        <v>277</v>
      </c>
      <c r="N7190">
        <v>16685</v>
      </c>
      <c r="O7190">
        <v>3.8241733E-2</v>
      </c>
      <c r="P7190">
        <v>2.036425E-2</v>
      </c>
      <c r="Q7190" t="str">
        <f t="shared" si="224"/>
        <v>50+</v>
      </c>
      <c r="R7190" t="str">
        <f t="shared" si="225"/>
        <v>[ScR9iFKAasW]|50+|Female|PLHIV_Residents.T2|CY2026Q3</v>
      </c>
    </row>
    <row r="7191" spans="4:18" x14ac:dyDescent="0.2">
      <c r="D7191" t="s">
        <v>87</v>
      </c>
      <c r="E7191" t="s">
        <v>88</v>
      </c>
      <c r="F7191" t="s">
        <v>89</v>
      </c>
      <c r="G7191" t="s">
        <v>276</v>
      </c>
      <c r="H7191" t="s">
        <v>276</v>
      </c>
      <c r="I7191" t="s">
        <v>28</v>
      </c>
      <c r="J7191" t="s">
        <v>29</v>
      </c>
      <c r="K7191" t="s">
        <v>48</v>
      </c>
      <c r="L7191" t="s">
        <v>49</v>
      </c>
      <c r="M7191" t="s">
        <v>277</v>
      </c>
      <c r="N7191">
        <v>59</v>
      </c>
      <c r="O7191">
        <v>2.3113324000000001E-2</v>
      </c>
      <c r="P7191">
        <v>2.036425E-2</v>
      </c>
      <c r="Q7191" t="str">
        <f t="shared" si="224"/>
        <v>&lt;01</v>
      </c>
      <c r="R7191" t="str">
        <f t="shared" si="225"/>
        <v>[ScR9iFKAasW]|&lt;01|Male|PLHIV_Residents.T2|CY2026Q3</v>
      </c>
    </row>
    <row r="7192" spans="4:18" x14ac:dyDescent="0.2">
      <c r="D7192" t="s">
        <v>87</v>
      </c>
      <c r="E7192" t="s">
        <v>88</v>
      </c>
      <c r="F7192" t="s">
        <v>89</v>
      </c>
      <c r="G7192" t="s">
        <v>276</v>
      </c>
      <c r="H7192" t="s">
        <v>276</v>
      </c>
      <c r="I7192" t="s">
        <v>33</v>
      </c>
      <c r="J7192" t="s">
        <v>34</v>
      </c>
      <c r="K7192" t="s">
        <v>48</v>
      </c>
      <c r="L7192" t="s">
        <v>49</v>
      </c>
      <c r="M7192" t="s">
        <v>277</v>
      </c>
      <c r="N7192">
        <v>942</v>
      </c>
      <c r="O7192">
        <v>2.6769958999999999E-2</v>
      </c>
      <c r="P7192">
        <v>2.036425E-2</v>
      </c>
      <c r="Q7192" t="str">
        <f t="shared" si="224"/>
        <v>01-09</v>
      </c>
      <c r="R7192" t="str">
        <f t="shared" si="225"/>
        <v>[ScR9iFKAasW]|01-09|Male|PLHIV_Residents.T2|CY2026Q3</v>
      </c>
    </row>
    <row r="7193" spans="4:18" x14ac:dyDescent="0.2">
      <c r="D7193" t="s">
        <v>87</v>
      </c>
      <c r="E7193" t="s">
        <v>88</v>
      </c>
      <c r="F7193" t="s">
        <v>89</v>
      </c>
      <c r="G7193" t="s">
        <v>276</v>
      </c>
      <c r="H7193" t="s">
        <v>276</v>
      </c>
      <c r="I7193" t="s">
        <v>36</v>
      </c>
      <c r="J7193" t="s">
        <v>37</v>
      </c>
      <c r="K7193" t="s">
        <v>48</v>
      </c>
      <c r="L7193" t="s">
        <v>49</v>
      </c>
      <c r="M7193" t="s">
        <v>277</v>
      </c>
      <c r="N7193">
        <v>1126</v>
      </c>
      <c r="O7193">
        <v>3.6042770000000002E-2</v>
      </c>
      <c r="P7193">
        <v>2.036425E-2</v>
      </c>
      <c r="Q7193" t="str">
        <f t="shared" si="224"/>
        <v>10-14</v>
      </c>
      <c r="R7193" t="str">
        <f t="shared" si="225"/>
        <v>[ScR9iFKAasW]|10-14|Male|PLHIV_Residents.T2|CY2026Q3</v>
      </c>
    </row>
    <row r="7194" spans="4:18" x14ac:dyDescent="0.2">
      <c r="D7194" t="s">
        <v>87</v>
      </c>
      <c r="E7194" t="s">
        <v>88</v>
      </c>
      <c r="F7194" t="s">
        <v>89</v>
      </c>
      <c r="G7194" t="s">
        <v>276</v>
      </c>
      <c r="H7194" t="s">
        <v>276</v>
      </c>
      <c r="I7194" t="s">
        <v>38</v>
      </c>
      <c r="J7194" t="s">
        <v>39</v>
      </c>
      <c r="K7194" t="s">
        <v>48</v>
      </c>
      <c r="L7194" t="s">
        <v>49</v>
      </c>
      <c r="M7194" t="s">
        <v>277</v>
      </c>
      <c r="N7194">
        <v>3631</v>
      </c>
      <c r="O7194">
        <v>5.7375529000000002E-2</v>
      </c>
      <c r="P7194">
        <v>2.036425E-2</v>
      </c>
      <c r="Q7194" t="str">
        <f t="shared" si="224"/>
        <v>15-24</v>
      </c>
      <c r="R7194" t="str">
        <f t="shared" si="225"/>
        <v>[ScR9iFKAasW]|15-24|Male|PLHIV_Residents.T2|CY2026Q3</v>
      </c>
    </row>
    <row r="7195" spans="4:18" x14ac:dyDescent="0.2">
      <c r="D7195" t="s">
        <v>87</v>
      </c>
      <c r="E7195" t="s">
        <v>88</v>
      </c>
      <c r="F7195" t="s">
        <v>89</v>
      </c>
      <c r="G7195" t="s">
        <v>276</v>
      </c>
      <c r="H7195" t="s">
        <v>276</v>
      </c>
      <c r="I7195" t="s">
        <v>41</v>
      </c>
      <c r="J7195" t="s">
        <v>42</v>
      </c>
      <c r="K7195" t="s">
        <v>48</v>
      </c>
      <c r="L7195" t="s">
        <v>49</v>
      </c>
      <c r="M7195" t="s">
        <v>277</v>
      </c>
      <c r="N7195">
        <v>6016</v>
      </c>
      <c r="O7195">
        <v>6.2300702999999999E-2</v>
      </c>
      <c r="P7195">
        <v>2.036425E-2</v>
      </c>
      <c r="Q7195" t="str">
        <f t="shared" si="224"/>
        <v>25-34</v>
      </c>
      <c r="R7195" t="str">
        <f t="shared" si="225"/>
        <v>[ScR9iFKAasW]|25-34|Male|PLHIV_Residents.T2|CY2026Q3</v>
      </c>
    </row>
    <row r="7196" spans="4:18" x14ac:dyDescent="0.2">
      <c r="D7196" t="s">
        <v>87</v>
      </c>
      <c r="E7196" t="s">
        <v>88</v>
      </c>
      <c r="F7196" t="s">
        <v>89</v>
      </c>
      <c r="G7196" t="s">
        <v>276</v>
      </c>
      <c r="H7196" t="s">
        <v>276</v>
      </c>
      <c r="I7196" t="s">
        <v>43</v>
      </c>
      <c r="J7196" t="s">
        <v>44</v>
      </c>
      <c r="K7196" t="s">
        <v>48</v>
      </c>
      <c r="L7196" t="s">
        <v>49</v>
      </c>
      <c r="M7196" t="s">
        <v>277</v>
      </c>
      <c r="N7196">
        <v>23111</v>
      </c>
      <c r="O7196">
        <v>3.0836843999999999E-2</v>
      </c>
      <c r="P7196">
        <v>2.036425E-2</v>
      </c>
      <c r="Q7196" t="str">
        <f t="shared" si="224"/>
        <v>35-49</v>
      </c>
      <c r="R7196" t="str">
        <f t="shared" si="225"/>
        <v>[ScR9iFKAasW]|35-49|Male|PLHIV_Residents.T2|CY2026Q3</v>
      </c>
    </row>
    <row r="7197" spans="4:18" x14ac:dyDescent="0.2">
      <c r="D7197" t="s">
        <v>87</v>
      </c>
      <c r="E7197" t="s">
        <v>88</v>
      </c>
      <c r="F7197" t="s">
        <v>89</v>
      </c>
      <c r="G7197" t="s">
        <v>276</v>
      </c>
      <c r="H7197" t="s">
        <v>276</v>
      </c>
      <c r="I7197" t="s">
        <v>45</v>
      </c>
      <c r="J7197" t="s">
        <v>46</v>
      </c>
      <c r="K7197" t="s">
        <v>48</v>
      </c>
      <c r="L7197" t="s">
        <v>49</v>
      </c>
      <c r="M7197" t="s">
        <v>277</v>
      </c>
      <c r="N7197">
        <v>16497</v>
      </c>
      <c r="O7197">
        <v>3.5789913E-2</v>
      </c>
      <c r="P7197">
        <v>2.036425E-2</v>
      </c>
      <c r="Q7197" t="str">
        <f t="shared" si="224"/>
        <v>50+</v>
      </c>
      <c r="R7197" t="str">
        <f t="shared" si="225"/>
        <v>[ScR9iFKAasW]|50+|Male|PLHIV_Residents.T2|CY2026Q3</v>
      </c>
    </row>
    <row r="7198" spans="4:18" x14ac:dyDescent="0.2">
      <c r="D7198" t="s">
        <v>90</v>
      </c>
      <c r="E7198" t="s">
        <v>91</v>
      </c>
      <c r="F7198" t="s">
        <v>92</v>
      </c>
      <c r="G7198" t="s">
        <v>276</v>
      </c>
      <c r="H7198" t="s">
        <v>276</v>
      </c>
      <c r="I7198" t="s">
        <v>28</v>
      </c>
      <c r="J7198" t="s">
        <v>29</v>
      </c>
      <c r="K7198" t="s">
        <v>30</v>
      </c>
      <c r="L7198" t="s">
        <v>31</v>
      </c>
      <c r="M7198" t="s">
        <v>277</v>
      </c>
      <c r="N7198">
        <v>8</v>
      </c>
      <c r="O7198">
        <v>6.5530617999999999E-2</v>
      </c>
      <c r="P7198">
        <v>5.9140285000000001E-2</v>
      </c>
      <c r="Q7198" t="str">
        <f t="shared" si="224"/>
        <v>&lt;01</v>
      </c>
      <c r="R7198" t="str">
        <f t="shared" si="225"/>
        <v>[kxuuIFpOXyO]|&lt;01|Female|PLHIV_Residents.T2|CY2026Q3</v>
      </c>
    </row>
    <row r="7199" spans="4:18" x14ac:dyDescent="0.2">
      <c r="D7199" t="s">
        <v>90</v>
      </c>
      <c r="E7199" t="s">
        <v>91</v>
      </c>
      <c r="F7199" t="s">
        <v>92</v>
      </c>
      <c r="G7199" t="s">
        <v>276</v>
      </c>
      <c r="H7199" t="s">
        <v>276</v>
      </c>
      <c r="I7199" t="s">
        <v>33</v>
      </c>
      <c r="J7199" t="s">
        <v>34</v>
      </c>
      <c r="K7199" t="s">
        <v>30</v>
      </c>
      <c r="L7199" t="s">
        <v>31</v>
      </c>
      <c r="M7199" t="s">
        <v>277</v>
      </c>
      <c r="N7199">
        <v>146</v>
      </c>
      <c r="O7199">
        <v>7.3184800999999994E-2</v>
      </c>
      <c r="P7199">
        <v>5.9140285000000001E-2</v>
      </c>
      <c r="Q7199" t="str">
        <f t="shared" si="224"/>
        <v>01-09</v>
      </c>
      <c r="R7199" t="str">
        <f t="shared" si="225"/>
        <v>[kxuuIFpOXyO]|01-09|Female|PLHIV_Residents.T2|CY2026Q3</v>
      </c>
    </row>
    <row r="7200" spans="4:18" x14ac:dyDescent="0.2">
      <c r="D7200" t="s">
        <v>90</v>
      </c>
      <c r="E7200" t="s">
        <v>91</v>
      </c>
      <c r="F7200" t="s">
        <v>92</v>
      </c>
      <c r="G7200" t="s">
        <v>276</v>
      </c>
      <c r="H7200" t="s">
        <v>276</v>
      </c>
      <c r="I7200" t="s">
        <v>36</v>
      </c>
      <c r="J7200" t="s">
        <v>37</v>
      </c>
      <c r="K7200" t="s">
        <v>30</v>
      </c>
      <c r="L7200" t="s">
        <v>31</v>
      </c>
      <c r="M7200" t="s">
        <v>277</v>
      </c>
      <c r="N7200">
        <v>199</v>
      </c>
      <c r="O7200">
        <v>9.0346812999999998E-2</v>
      </c>
      <c r="P7200">
        <v>5.9140285000000001E-2</v>
      </c>
      <c r="Q7200" t="str">
        <f t="shared" si="224"/>
        <v>10-14</v>
      </c>
      <c r="R7200" t="str">
        <f t="shared" si="225"/>
        <v>[kxuuIFpOXyO]|10-14|Female|PLHIV_Residents.T2|CY2026Q3</v>
      </c>
    </row>
    <row r="7201" spans="4:18" x14ac:dyDescent="0.2">
      <c r="D7201" t="s">
        <v>90</v>
      </c>
      <c r="E7201" t="s">
        <v>91</v>
      </c>
      <c r="F7201" t="s">
        <v>92</v>
      </c>
      <c r="G7201" t="s">
        <v>276</v>
      </c>
      <c r="H7201" t="s">
        <v>276</v>
      </c>
      <c r="I7201" t="s">
        <v>38</v>
      </c>
      <c r="J7201" t="s">
        <v>39</v>
      </c>
      <c r="K7201" t="s">
        <v>30</v>
      </c>
      <c r="L7201" t="s">
        <v>31</v>
      </c>
      <c r="M7201" t="s">
        <v>277</v>
      </c>
      <c r="N7201">
        <v>817</v>
      </c>
      <c r="O7201">
        <v>8.4491011000000005E-2</v>
      </c>
      <c r="P7201">
        <v>5.9140285000000001E-2</v>
      </c>
      <c r="Q7201" t="str">
        <f t="shared" si="224"/>
        <v>15-24</v>
      </c>
      <c r="R7201" t="str">
        <f t="shared" si="225"/>
        <v>[kxuuIFpOXyO]|15-24|Female|PLHIV_Residents.T2|CY2026Q3</v>
      </c>
    </row>
    <row r="7202" spans="4:18" x14ac:dyDescent="0.2">
      <c r="D7202" t="s">
        <v>90</v>
      </c>
      <c r="E7202" t="s">
        <v>91</v>
      </c>
      <c r="F7202" t="s">
        <v>92</v>
      </c>
      <c r="G7202" t="s">
        <v>276</v>
      </c>
      <c r="H7202" t="s">
        <v>276</v>
      </c>
      <c r="I7202" t="s">
        <v>41</v>
      </c>
      <c r="J7202" t="s">
        <v>42</v>
      </c>
      <c r="K7202" t="s">
        <v>30</v>
      </c>
      <c r="L7202" t="s">
        <v>31</v>
      </c>
      <c r="M7202" t="s">
        <v>277</v>
      </c>
      <c r="N7202">
        <v>1916</v>
      </c>
      <c r="O7202">
        <v>7.4193787999999997E-2</v>
      </c>
      <c r="P7202">
        <v>5.9140285000000001E-2</v>
      </c>
      <c r="Q7202" t="str">
        <f t="shared" si="224"/>
        <v>25-34</v>
      </c>
      <c r="R7202" t="str">
        <f t="shared" si="225"/>
        <v>[kxuuIFpOXyO]|25-34|Female|PLHIV_Residents.T2|CY2026Q3</v>
      </c>
    </row>
    <row r="7203" spans="4:18" x14ac:dyDescent="0.2">
      <c r="D7203" t="s">
        <v>90</v>
      </c>
      <c r="E7203" t="s">
        <v>91</v>
      </c>
      <c r="F7203" t="s">
        <v>92</v>
      </c>
      <c r="G7203" t="s">
        <v>276</v>
      </c>
      <c r="H7203" t="s">
        <v>276</v>
      </c>
      <c r="I7203" t="s">
        <v>43</v>
      </c>
      <c r="J7203" t="s">
        <v>44</v>
      </c>
      <c r="K7203" t="s">
        <v>30</v>
      </c>
      <c r="L7203" t="s">
        <v>31</v>
      </c>
      <c r="M7203" t="s">
        <v>277</v>
      </c>
      <c r="N7203">
        <v>5695</v>
      </c>
      <c r="O7203">
        <v>6.0047229000000001E-2</v>
      </c>
      <c r="P7203">
        <v>5.9140285000000001E-2</v>
      </c>
      <c r="Q7203" t="str">
        <f t="shared" si="224"/>
        <v>35-49</v>
      </c>
      <c r="R7203" t="str">
        <f t="shared" si="225"/>
        <v>[kxuuIFpOXyO]|35-49|Female|PLHIV_Residents.T2|CY2026Q3</v>
      </c>
    </row>
    <row r="7204" spans="4:18" x14ac:dyDescent="0.2">
      <c r="D7204" t="s">
        <v>90</v>
      </c>
      <c r="E7204" t="s">
        <v>91</v>
      </c>
      <c r="F7204" t="s">
        <v>92</v>
      </c>
      <c r="G7204" t="s">
        <v>276</v>
      </c>
      <c r="H7204" t="s">
        <v>276</v>
      </c>
      <c r="I7204" t="s">
        <v>45</v>
      </c>
      <c r="J7204" t="s">
        <v>46</v>
      </c>
      <c r="K7204" t="s">
        <v>30</v>
      </c>
      <c r="L7204" t="s">
        <v>31</v>
      </c>
      <c r="M7204" t="s">
        <v>277</v>
      </c>
      <c r="N7204">
        <v>3169</v>
      </c>
      <c r="O7204">
        <v>6.5787494000000002E-2</v>
      </c>
      <c r="P7204">
        <v>5.9140285000000001E-2</v>
      </c>
      <c r="Q7204" t="str">
        <f t="shared" si="224"/>
        <v>50+</v>
      </c>
      <c r="R7204" t="str">
        <f t="shared" si="225"/>
        <v>[kxuuIFpOXyO]|50+|Female|PLHIV_Residents.T2|CY2026Q3</v>
      </c>
    </row>
    <row r="7205" spans="4:18" x14ac:dyDescent="0.2">
      <c r="D7205" t="s">
        <v>90</v>
      </c>
      <c r="E7205" t="s">
        <v>91</v>
      </c>
      <c r="F7205" t="s">
        <v>92</v>
      </c>
      <c r="G7205" t="s">
        <v>276</v>
      </c>
      <c r="H7205" t="s">
        <v>276</v>
      </c>
      <c r="I7205" t="s">
        <v>28</v>
      </c>
      <c r="J7205" t="s">
        <v>29</v>
      </c>
      <c r="K7205" t="s">
        <v>48</v>
      </c>
      <c r="L7205" t="s">
        <v>49</v>
      </c>
      <c r="M7205" t="s">
        <v>277</v>
      </c>
      <c r="N7205">
        <v>9</v>
      </c>
      <c r="O7205">
        <v>6.5474202999999995E-2</v>
      </c>
      <c r="P7205">
        <v>5.9140285000000001E-2</v>
      </c>
      <c r="Q7205" t="str">
        <f t="shared" si="224"/>
        <v>&lt;01</v>
      </c>
      <c r="R7205" t="str">
        <f t="shared" si="225"/>
        <v>[kxuuIFpOXyO]|&lt;01|Male|PLHIV_Residents.T2|CY2026Q3</v>
      </c>
    </row>
    <row r="7206" spans="4:18" x14ac:dyDescent="0.2">
      <c r="D7206" t="s">
        <v>90</v>
      </c>
      <c r="E7206" t="s">
        <v>91</v>
      </c>
      <c r="F7206" t="s">
        <v>92</v>
      </c>
      <c r="G7206" t="s">
        <v>276</v>
      </c>
      <c r="H7206" t="s">
        <v>276</v>
      </c>
      <c r="I7206" t="s">
        <v>33</v>
      </c>
      <c r="J7206" t="s">
        <v>34</v>
      </c>
      <c r="K7206" t="s">
        <v>48</v>
      </c>
      <c r="L7206" t="s">
        <v>49</v>
      </c>
      <c r="M7206" t="s">
        <v>277</v>
      </c>
      <c r="N7206">
        <v>147</v>
      </c>
      <c r="O7206">
        <v>7.3103427999999998E-2</v>
      </c>
      <c r="P7206">
        <v>5.9140285000000001E-2</v>
      </c>
      <c r="Q7206" t="str">
        <f t="shared" si="224"/>
        <v>01-09</v>
      </c>
      <c r="R7206" t="str">
        <f t="shared" si="225"/>
        <v>[kxuuIFpOXyO]|01-09|Male|PLHIV_Residents.T2|CY2026Q3</v>
      </c>
    </row>
    <row r="7207" spans="4:18" x14ac:dyDescent="0.2">
      <c r="D7207" t="s">
        <v>90</v>
      </c>
      <c r="E7207" t="s">
        <v>91</v>
      </c>
      <c r="F7207" t="s">
        <v>92</v>
      </c>
      <c r="G7207" t="s">
        <v>276</v>
      </c>
      <c r="H7207" t="s">
        <v>276</v>
      </c>
      <c r="I7207" t="s">
        <v>36</v>
      </c>
      <c r="J7207" t="s">
        <v>37</v>
      </c>
      <c r="K7207" t="s">
        <v>48</v>
      </c>
      <c r="L7207" t="s">
        <v>49</v>
      </c>
      <c r="M7207" t="s">
        <v>277</v>
      </c>
      <c r="N7207">
        <v>198</v>
      </c>
      <c r="O7207">
        <v>9.0327589E-2</v>
      </c>
      <c r="P7207">
        <v>5.9140285000000001E-2</v>
      </c>
      <c r="Q7207" t="str">
        <f t="shared" si="224"/>
        <v>10-14</v>
      </c>
      <c r="R7207" t="str">
        <f t="shared" si="225"/>
        <v>[kxuuIFpOXyO]|10-14|Male|PLHIV_Residents.T2|CY2026Q3</v>
      </c>
    </row>
    <row r="7208" spans="4:18" x14ac:dyDescent="0.2">
      <c r="D7208" t="s">
        <v>90</v>
      </c>
      <c r="E7208" t="s">
        <v>91</v>
      </c>
      <c r="F7208" t="s">
        <v>92</v>
      </c>
      <c r="G7208" t="s">
        <v>276</v>
      </c>
      <c r="H7208" t="s">
        <v>276</v>
      </c>
      <c r="I7208" t="s">
        <v>38</v>
      </c>
      <c r="J7208" t="s">
        <v>39</v>
      </c>
      <c r="K7208" t="s">
        <v>48</v>
      </c>
      <c r="L7208" t="s">
        <v>49</v>
      </c>
      <c r="M7208" t="s">
        <v>277</v>
      </c>
      <c r="N7208">
        <v>621</v>
      </c>
      <c r="O7208">
        <v>9.0540780000000001E-2</v>
      </c>
      <c r="P7208">
        <v>5.9140285000000001E-2</v>
      </c>
      <c r="Q7208" t="str">
        <f t="shared" si="224"/>
        <v>15-24</v>
      </c>
      <c r="R7208" t="str">
        <f t="shared" si="225"/>
        <v>[kxuuIFpOXyO]|15-24|Male|PLHIV_Residents.T2|CY2026Q3</v>
      </c>
    </row>
    <row r="7209" spans="4:18" x14ac:dyDescent="0.2">
      <c r="D7209" t="s">
        <v>90</v>
      </c>
      <c r="E7209" t="s">
        <v>91</v>
      </c>
      <c r="F7209" t="s">
        <v>92</v>
      </c>
      <c r="G7209" t="s">
        <v>276</v>
      </c>
      <c r="H7209" t="s">
        <v>276</v>
      </c>
      <c r="I7209" t="s">
        <v>41</v>
      </c>
      <c r="J7209" t="s">
        <v>42</v>
      </c>
      <c r="K7209" t="s">
        <v>48</v>
      </c>
      <c r="L7209" t="s">
        <v>49</v>
      </c>
      <c r="M7209" t="s">
        <v>277</v>
      </c>
      <c r="N7209">
        <v>836</v>
      </c>
      <c r="O7209">
        <v>8.8007893000000004E-2</v>
      </c>
      <c r="P7209">
        <v>5.9140285000000001E-2</v>
      </c>
      <c r="Q7209" t="str">
        <f t="shared" si="224"/>
        <v>25-34</v>
      </c>
      <c r="R7209" t="str">
        <f t="shared" si="225"/>
        <v>[kxuuIFpOXyO]|25-34|Male|PLHIV_Residents.T2|CY2026Q3</v>
      </c>
    </row>
    <row r="7210" spans="4:18" x14ac:dyDescent="0.2">
      <c r="D7210" t="s">
        <v>90</v>
      </c>
      <c r="E7210" t="s">
        <v>91</v>
      </c>
      <c r="F7210" t="s">
        <v>92</v>
      </c>
      <c r="G7210" t="s">
        <v>276</v>
      </c>
      <c r="H7210" t="s">
        <v>276</v>
      </c>
      <c r="I7210" t="s">
        <v>43</v>
      </c>
      <c r="J7210" t="s">
        <v>44</v>
      </c>
      <c r="K7210" t="s">
        <v>48</v>
      </c>
      <c r="L7210" t="s">
        <v>49</v>
      </c>
      <c r="M7210" t="s">
        <v>277</v>
      </c>
      <c r="N7210">
        <v>3167</v>
      </c>
      <c r="O7210">
        <v>6.6464482000000005E-2</v>
      </c>
      <c r="P7210">
        <v>5.9140285000000001E-2</v>
      </c>
      <c r="Q7210" t="str">
        <f t="shared" si="224"/>
        <v>35-49</v>
      </c>
      <c r="R7210" t="str">
        <f t="shared" si="225"/>
        <v>[kxuuIFpOXyO]|35-49|Male|PLHIV_Residents.T2|CY2026Q3</v>
      </c>
    </row>
    <row r="7211" spans="4:18" x14ac:dyDescent="0.2">
      <c r="D7211" t="s">
        <v>90</v>
      </c>
      <c r="E7211" t="s">
        <v>91</v>
      </c>
      <c r="F7211" t="s">
        <v>92</v>
      </c>
      <c r="G7211" t="s">
        <v>276</v>
      </c>
      <c r="H7211" t="s">
        <v>276</v>
      </c>
      <c r="I7211" t="s">
        <v>45</v>
      </c>
      <c r="J7211" t="s">
        <v>46</v>
      </c>
      <c r="K7211" t="s">
        <v>48</v>
      </c>
      <c r="L7211" t="s">
        <v>49</v>
      </c>
      <c r="M7211" t="s">
        <v>277</v>
      </c>
      <c r="N7211">
        <v>2958</v>
      </c>
      <c r="O7211">
        <v>5.9971188000000002E-2</v>
      </c>
      <c r="P7211">
        <v>5.9140285000000001E-2</v>
      </c>
      <c r="Q7211" t="str">
        <f t="shared" si="224"/>
        <v>50+</v>
      </c>
      <c r="R7211" t="str">
        <f t="shared" si="225"/>
        <v>[kxuuIFpOXyO]|50+|Male|PLHIV_Residents.T2|CY2026Q3</v>
      </c>
    </row>
    <row r="7212" spans="4:18" x14ac:dyDescent="0.2">
      <c r="D7212" t="s">
        <v>93</v>
      </c>
      <c r="E7212" t="s">
        <v>94</v>
      </c>
      <c r="F7212" t="s">
        <v>95</v>
      </c>
      <c r="G7212" t="s">
        <v>276</v>
      </c>
      <c r="H7212" t="s">
        <v>276</v>
      </c>
      <c r="I7212" t="s">
        <v>28</v>
      </c>
      <c r="J7212" t="s">
        <v>29</v>
      </c>
      <c r="K7212" t="s">
        <v>30</v>
      </c>
      <c r="L7212" t="s">
        <v>31</v>
      </c>
      <c r="M7212" t="s">
        <v>277</v>
      </c>
      <c r="N7212">
        <v>9</v>
      </c>
      <c r="O7212">
        <v>9.3588046999999994E-2</v>
      </c>
      <c r="P7212">
        <v>8.7940538999999998E-2</v>
      </c>
      <c r="Q7212" t="str">
        <f t="shared" si="224"/>
        <v>&lt;01</v>
      </c>
      <c r="R7212" t="str">
        <f t="shared" si="225"/>
        <v>[PekKUkKHAzY]|&lt;01|Female|PLHIV_Residents.T2|CY2026Q3</v>
      </c>
    </row>
    <row r="7213" spans="4:18" x14ac:dyDescent="0.2">
      <c r="D7213" t="s">
        <v>93</v>
      </c>
      <c r="E7213" t="s">
        <v>94</v>
      </c>
      <c r="F7213" t="s">
        <v>95</v>
      </c>
      <c r="G7213" t="s">
        <v>276</v>
      </c>
      <c r="H7213" t="s">
        <v>276</v>
      </c>
      <c r="I7213" t="s">
        <v>33</v>
      </c>
      <c r="J7213" t="s">
        <v>34</v>
      </c>
      <c r="K7213" t="s">
        <v>30</v>
      </c>
      <c r="L7213" t="s">
        <v>31</v>
      </c>
      <c r="M7213" t="s">
        <v>277</v>
      </c>
      <c r="N7213">
        <v>161</v>
      </c>
      <c r="O7213">
        <v>9.9149266E-2</v>
      </c>
      <c r="P7213">
        <v>8.7940538999999998E-2</v>
      </c>
      <c r="Q7213" t="str">
        <f t="shared" si="224"/>
        <v>01-09</v>
      </c>
      <c r="R7213" t="str">
        <f t="shared" si="225"/>
        <v>[PekKUkKHAzY]|01-09|Female|PLHIV_Residents.T2|CY2026Q3</v>
      </c>
    </row>
    <row r="7214" spans="4:18" x14ac:dyDescent="0.2">
      <c r="D7214" t="s">
        <v>93</v>
      </c>
      <c r="E7214" t="s">
        <v>94</v>
      </c>
      <c r="F7214" t="s">
        <v>95</v>
      </c>
      <c r="G7214" t="s">
        <v>276</v>
      </c>
      <c r="H7214" t="s">
        <v>276</v>
      </c>
      <c r="I7214" t="s">
        <v>36</v>
      </c>
      <c r="J7214" t="s">
        <v>37</v>
      </c>
      <c r="K7214" t="s">
        <v>30</v>
      </c>
      <c r="L7214" t="s">
        <v>31</v>
      </c>
      <c r="M7214" t="s">
        <v>277</v>
      </c>
      <c r="N7214">
        <v>217</v>
      </c>
      <c r="O7214">
        <v>0.111964644</v>
      </c>
      <c r="P7214">
        <v>8.7940538999999998E-2</v>
      </c>
      <c r="Q7214" t="str">
        <f t="shared" si="224"/>
        <v>10-14</v>
      </c>
      <c r="R7214" t="str">
        <f t="shared" si="225"/>
        <v>[PekKUkKHAzY]|10-14|Female|PLHIV_Residents.T2|CY2026Q3</v>
      </c>
    </row>
    <row r="7215" spans="4:18" x14ac:dyDescent="0.2">
      <c r="D7215" t="s">
        <v>93</v>
      </c>
      <c r="E7215" t="s">
        <v>94</v>
      </c>
      <c r="F7215" t="s">
        <v>95</v>
      </c>
      <c r="G7215" t="s">
        <v>276</v>
      </c>
      <c r="H7215" t="s">
        <v>276</v>
      </c>
      <c r="I7215" t="s">
        <v>38</v>
      </c>
      <c r="J7215" t="s">
        <v>39</v>
      </c>
      <c r="K7215" t="s">
        <v>30</v>
      </c>
      <c r="L7215" t="s">
        <v>31</v>
      </c>
      <c r="M7215" t="s">
        <v>277</v>
      </c>
      <c r="N7215">
        <v>877</v>
      </c>
      <c r="O7215">
        <v>0.10508576</v>
      </c>
      <c r="P7215">
        <v>8.7940538999999998E-2</v>
      </c>
      <c r="Q7215" t="str">
        <f t="shared" si="224"/>
        <v>15-24</v>
      </c>
      <c r="R7215" t="str">
        <f t="shared" si="225"/>
        <v>[PekKUkKHAzY]|15-24|Female|PLHIV_Residents.T2|CY2026Q3</v>
      </c>
    </row>
    <row r="7216" spans="4:18" x14ac:dyDescent="0.2">
      <c r="D7216" t="s">
        <v>93</v>
      </c>
      <c r="E7216" t="s">
        <v>94</v>
      </c>
      <c r="F7216" t="s">
        <v>95</v>
      </c>
      <c r="G7216" t="s">
        <v>276</v>
      </c>
      <c r="H7216" t="s">
        <v>276</v>
      </c>
      <c r="I7216" t="s">
        <v>41</v>
      </c>
      <c r="J7216" t="s">
        <v>42</v>
      </c>
      <c r="K7216" t="s">
        <v>30</v>
      </c>
      <c r="L7216" t="s">
        <v>31</v>
      </c>
      <c r="M7216" t="s">
        <v>277</v>
      </c>
      <c r="N7216">
        <v>2047</v>
      </c>
      <c r="O7216">
        <v>0.100124853</v>
      </c>
      <c r="P7216">
        <v>8.7940538999999998E-2</v>
      </c>
      <c r="Q7216" t="str">
        <f t="shared" si="224"/>
        <v>25-34</v>
      </c>
      <c r="R7216" t="str">
        <f t="shared" si="225"/>
        <v>[PekKUkKHAzY]|25-34|Female|PLHIV_Residents.T2|CY2026Q3</v>
      </c>
    </row>
    <row r="7217" spans="4:18" x14ac:dyDescent="0.2">
      <c r="D7217" t="s">
        <v>93</v>
      </c>
      <c r="E7217" t="s">
        <v>94</v>
      </c>
      <c r="F7217" t="s">
        <v>95</v>
      </c>
      <c r="G7217" t="s">
        <v>276</v>
      </c>
      <c r="H7217" t="s">
        <v>276</v>
      </c>
      <c r="I7217" t="s">
        <v>43</v>
      </c>
      <c r="J7217" t="s">
        <v>44</v>
      </c>
      <c r="K7217" t="s">
        <v>30</v>
      </c>
      <c r="L7217" t="s">
        <v>31</v>
      </c>
      <c r="M7217" t="s">
        <v>277</v>
      </c>
      <c r="N7217">
        <v>6300</v>
      </c>
      <c r="O7217">
        <v>8.9259235000000006E-2</v>
      </c>
      <c r="P7217">
        <v>8.7940538999999998E-2</v>
      </c>
      <c r="Q7217" t="str">
        <f t="shared" si="224"/>
        <v>35-49</v>
      </c>
      <c r="R7217" t="str">
        <f t="shared" si="225"/>
        <v>[PekKUkKHAzY]|35-49|Female|PLHIV_Residents.T2|CY2026Q3</v>
      </c>
    </row>
    <row r="7218" spans="4:18" x14ac:dyDescent="0.2">
      <c r="D7218" t="s">
        <v>93</v>
      </c>
      <c r="E7218" t="s">
        <v>94</v>
      </c>
      <c r="F7218" t="s">
        <v>95</v>
      </c>
      <c r="G7218" t="s">
        <v>276</v>
      </c>
      <c r="H7218" t="s">
        <v>276</v>
      </c>
      <c r="I7218" t="s">
        <v>45</v>
      </c>
      <c r="J7218" t="s">
        <v>46</v>
      </c>
      <c r="K7218" t="s">
        <v>30</v>
      </c>
      <c r="L7218" t="s">
        <v>31</v>
      </c>
      <c r="M7218" t="s">
        <v>277</v>
      </c>
      <c r="N7218">
        <v>3790</v>
      </c>
      <c r="O7218">
        <v>9.2814669000000002E-2</v>
      </c>
      <c r="P7218">
        <v>8.7940538999999998E-2</v>
      </c>
      <c r="Q7218" t="str">
        <f t="shared" si="224"/>
        <v>50+</v>
      </c>
      <c r="R7218" t="str">
        <f t="shared" si="225"/>
        <v>[PekKUkKHAzY]|50+|Female|PLHIV_Residents.T2|CY2026Q3</v>
      </c>
    </row>
    <row r="7219" spans="4:18" x14ac:dyDescent="0.2">
      <c r="D7219" t="s">
        <v>93</v>
      </c>
      <c r="E7219" t="s">
        <v>94</v>
      </c>
      <c r="F7219" t="s">
        <v>95</v>
      </c>
      <c r="G7219" t="s">
        <v>276</v>
      </c>
      <c r="H7219" t="s">
        <v>276</v>
      </c>
      <c r="I7219" t="s">
        <v>28</v>
      </c>
      <c r="J7219" t="s">
        <v>29</v>
      </c>
      <c r="K7219" t="s">
        <v>48</v>
      </c>
      <c r="L7219" t="s">
        <v>49</v>
      </c>
      <c r="M7219" t="s">
        <v>277</v>
      </c>
      <c r="N7219">
        <v>9</v>
      </c>
      <c r="O7219">
        <v>9.3573975000000004E-2</v>
      </c>
      <c r="P7219">
        <v>8.7940538999999998E-2</v>
      </c>
      <c r="Q7219" t="str">
        <f t="shared" si="224"/>
        <v>&lt;01</v>
      </c>
      <c r="R7219" t="str">
        <f t="shared" si="225"/>
        <v>[PekKUkKHAzY]|&lt;01|Male|PLHIV_Residents.T2|CY2026Q3</v>
      </c>
    </row>
    <row r="7220" spans="4:18" x14ac:dyDescent="0.2">
      <c r="D7220" t="s">
        <v>93</v>
      </c>
      <c r="E7220" t="s">
        <v>94</v>
      </c>
      <c r="F7220" t="s">
        <v>95</v>
      </c>
      <c r="G7220" t="s">
        <v>276</v>
      </c>
      <c r="H7220" t="s">
        <v>276</v>
      </c>
      <c r="I7220" t="s">
        <v>33</v>
      </c>
      <c r="J7220" t="s">
        <v>34</v>
      </c>
      <c r="K7220" t="s">
        <v>48</v>
      </c>
      <c r="L7220" t="s">
        <v>49</v>
      </c>
      <c r="M7220" t="s">
        <v>277</v>
      </c>
      <c r="N7220">
        <v>162</v>
      </c>
      <c r="O7220">
        <v>9.9110746999999999E-2</v>
      </c>
      <c r="P7220">
        <v>8.7940538999999998E-2</v>
      </c>
      <c r="Q7220" t="str">
        <f t="shared" si="224"/>
        <v>01-09</v>
      </c>
      <c r="R7220" t="str">
        <f t="shared" si="225"/>
        <v>[PekKUkKHAzY]|01-09|Male|PLHIV_Residents.T2|CY2026Q3</v>
      </c>
    </row>
    <row r="7221" spans="4:18" x14ac:dyDescent="0.2">
      <c r="D7221" t="s">
        <v>93</v>
      </c>
      <c r="E7221" t="s">
        <v>94</v>
      </c>
      <c r="F7221" t="s">
        <v>95</v>
      </c>
      <c r="G7221" t="s">
        <v>276</v>
      </c>
      <c r="H7221" t="s">
        <v>276</v>
      </c>
      <c r="I7221" t="s">
        <v>36</v>
      </c>
      <c r="J7221" t="s">
        <v>37</v>
      </c>
      <c r="K7221" t="s">
        <v>48</v>
      </c>
      <c r="L7221" t="s">
        <v>49</v>
      </c>
      <c r="M7221" t="s">
        <v>277</v>
      </c>
      <c r="N7221">
        <v>216</v>
      </c>
      <c r="O7221">
        <v>0.111946816</v>
      </c>
      <c r="P7221">
        <v>8.7940538999999998E-2</v>
      </c>
      <c r="Q7221" t="str">
        <f t="shared" si="224"/>
        <v>10-14</v>
      </c>
      <c r="R7221" t="str">
        <f t="shared" si="225"/>
        <v>[PekKUkKHAzY]|10-14|Male|PLHIV_Residents.T2|CY2026Q3</v>
      </c>
    </row>
    <row r="7222" spans="4:18" x14ac:dyDescent="0.2">
      <c r="D7222" t="s">
        <v>93</v>
      </c>
      <c r="E7222" t="s">
        <v>94</v>
      </c>
      <c r="F7222" t="s">
        <v>95</v>
      </c>
      <c r="G7222" t="s">
        <v>276</v>
      </c>
      <c r="H7222" t="s">
        <v>276</v>
      </c>
      <c r="I7222" t="s">
        <v>38</v>
      </c>
      <c r="J7222" t="s">
        <v>39</v>
      </c>
      <c r="K7222" t="s">
        <v>48</v>
      </c>
      <c r="L7222" t="s">
        <v>49</v>
      </c>
      <c r="M7222" t="s">
        <v>277</v>
      </c>
      <c r="N7222">
        <v>647</v>
      </c>
      <c r="O7222">
        <v>0.10937187600000001</v>
      </c>
      <c r="P7222">
        <v>8.7940538999999998E-2</v>
      </c>
      <c r="Q7222" t="str">
        <f t="shared" si="224"/>
        <v>15-24</v>
      </c>
      <c r="R7222" t="str">
        <f t="shared" si="225"/>
        <v>[PekKUkKHAzY]|15-24|Male|PLHIV_Residents.T2|CY2026Q3</v>
      </c>
    </row>
    <row r="7223" spans="4:18" x14ac:dyDescent="0.2">
      <c r="D7223" t="s">
        <v>93</v>
      </c>
      <c r="E7223" t="s">
        <v>94</v>
      </c>
      <c r="F7223" t="s">
        <v>95</v>
      </c>
      <c r="G7223" t="s">
        <v>276</v>
      </c>
      <c r="H7223" t="s">
        <v>276</v>
      </c>
      <c r="I7223" t="s">
        <v>41</v>
      </c>
      <c r="J7223" t="s">
        <v>42</v>
      </c>
      <c r="K7223" t="s">
        <v>48</v>
      </c>
      <c r="L7223" t="s">
        <v>49</v>
      </c>
      <c r="M7223" t="s">
        <v>277</v>
      </c>
      <c r="N7223">
        <v>806</v>
      </c>
      <c r="O7223">
        <v>0.108391811</v>
      </c>
      <c r="P7223">
        <v>8.7940538999999998E-2</v>
      </c>
      <c r="Q7223" t="str">
        <f t="shared" si="224"/>
        <v>25-34</v>
      </c>
      <c r="R7223" t="str">
        <f t="shared" si="225"/>
        <v>[PekKUkKHAzY]|25-34|Male|PLHIV_Residents.T2|CY2026Q3</v>
      </c>
    </row>
    <row r="7224" spans="4:18" x14ac:dyDescent="0.2">
      <c r="D7224" t="s">
        <v>93</v>
      </c>
      <c r="E7224" t="s">
        <v>94</v>
      </c>
      <c r="F7224" t="s">
        <v>95</v>
      </c>
      <c r="G7224" t="s">
        <v>276</v>
      </c>
      <c r="H7224" t="s">
        <v>276</v>
      </c>
      <c r="I7224" t="s">
        <v>43</v>
      </c>
      <c r="J7224" t="s">
        <v>44</v>
      </c>
      <c r="K7224" t="s">
        <v>48</v>
      </c>
      <c r="L7224" t="s">
        <v>49</v>
      </c>
      <c r="M7224" t="s">
        <v>277</v>
      </c>
      <c r="N7224">
        <v>3098</v>
      </c>
      <c r="O7224">
        <v>9.1713083000000001E-2</v>
      </c>
      <c r="P7224">
        <v>8.7940538999999998E-2</v>
      </c>
      <c r="Q7224" t="str">
        <f t="shared" si="224"/>
        <v>35-49</v>
      </c>
      <c r="R7224" t="str">
        <f t="shared" si="225"/>
        <v>[PekKUkKHAzY]|35-49|Male|PLHIV_Residents.T2|CY2026Q3</v>
      </c>
    </row>
    <row r="7225" spans="4:18" x14ac:dyDescent="0.2">
      <c r="D7225" t="s">
        <v>93</v>
      </c>
      <c r="E7225" t="s">
        <v>94</v>
      </c>
      <c r="F7225" t="s">
        <v>95</v>
      </c>
      <c r="G7225" t="s">
        <v>276</v>
      </c>
      <c r="H7225" t="s">
        <v>276</v>
      </c>
      <c r="I7225" t="s">
        <v>45</v>
      </c>
      <c r="J7225" t="s">
        <v>46</v>
      </c>
      <c r="K7225" t="s">
        <v>48</v>
      </c>
      <c r="L7225" t="s">
        <v>49</v>
      </c>
      <c r="M7225" t="s">
        <v>277</v>
      </c>
      <c r="N7225">
        <v>2945</v>
      </c>
      <c r="O7225">
        <v>8.7842974000000004E-2</v>
      </c>
      <c r="P7225">
        <v>8.7940538999999998E-2</v>
      </c>
      <c r="Q7225" t="str">
        <f t="shared" si="224"/>
        <v>50+</v>
      </c>
      <c r="R7225" t="str">
        <f t="shared" si="225"/>
        <v>[PekKUkKHAzY]|50+|Male|PLHIV_Residents.T2|CY2026Q3</v>
      </c>
    </row>
    <row r="7226" spans="4:18" x14ac:dyDescent="0.2">
      <c r="D7226" t="s">
        <v>96</v>
      </c>
      <c r="E7226" t="s">
        <v>97</v>
      </c>
      <c r="F7226" t="s">
        <v>98</v>
      </c>
      <c r="G7226" t="s">
        <v>276</v>
      </c>
      <c r="H7226" t="s">
        <v>276</v>
      </c>
      <c r="I7226" t="s">
        <v>28</v>
      </c>
      <c r="J7226" t="s">
        <v>29</v>
      </c>
      <c r="K7226" t="s">
        <v>30</v>
      </c>
      <c r="L7226" t="s">
        <v>31</v>
      </c>
      <c r="M7226" t="s">
        <v>277</v>
      </c>
      <c r="N7226">
        <v>13</v>
      </c>
      <c r="O7226">
        <v>8.2124296999999999E-2</v>
      </c>
      <c r="P7226">
        <v>7.6946952999999998E-2</v>
      </c>
      <c r="Q7226" t="str">
        <f t="shared" si="224"/>
        <v>&lt;01</v>
      </c>
      <c r="R7226" t="str">
        <f t="shared" si="225"/>
        <v>[am530wpaGvr]|&lt;01|Female|PLHIV_Residents.T2|CY2026Q3</v>
      </c>
    </row>
    <row r="7227" spans="4:18" x14ac:dyDescent="0.2">
      <c r="D7227" t="s">
        <v>96</v>
      </c>
      <c r="E7227" t="s">
        <v>97</v>
      </c>
      <c r="F7227" t="s">
        <v>98</v>
      </c>
      <c r="G7227" t="s">
        <v>276</v>
      </c>
      <c r="H7227" t="s">
        <v>276</v>
      </c>
      <c r="I7227" t="s">
        <v>33</v>
      </c>
      <c r="J7227" t="s">
        <v>34</v>
      </c>
      <c r="K7227" t="s">
        <v>30</v>
      </c>
      <c r="L7227" t="s">
        <v>31</v>
      </c>
      <c r="M7227" t="s">
        <v>277</v>
      </c>
      <c r="N7227">
        <v>226</v>
      </c>
      <c r="O7227">
        <v>8.5751722000000002E-2</v>
      </c>
      <c r="P7227">
        <v>7.6946952999999998E-2</v>
      </c>
      <c r="Q7227" t="str">
        <f t="shared" si="224"/>
        <v>01-09</v>
      </c>
      <c r="R7227" t="str">
        <f t="shared" si="225"/>
        <v>[am530wpaGvr]|01-09|Female|PLHIV_Residents.T2|CY2026Q3</v>
      </c>
    </row>
    <row r="7228" spans="4:18" x14ac:dyDescent="0.2">
      <c r="D7228" t="s">
        <v>96</v>
      </c>
      <c r="E7228" t="s">
        <v>97</v>
      </c>
      <c r="F7228" t="s">
        <v>98</v>
      </c>
      <c r="G7228" t="s">
        <v>276</v>
      </c>
      <c r="H7228" t="s">
        <v>276</v>
      </c>
      <c r="I7228" t="s">
        <v>36</v>
      </c>
      <c r="J7228" t="s">
        <v>37</v>
      </c>
      <c r="K7228" t="s">
        <v>30</v>
      </c>
      <c r="L7228" t="s">
        <v>31</v>
      </c>
      <c r="M7228" t="s">
        <v>277</v>
      </c>
      <c r="N7228">
        <v>307</v>
      </c>
      <c r="O7228">
        <v>9.4252743999999999E-2</v>
      </c>
      <c r="P7228">
        <v>7.6946952999999998E-2</v>
      </c>
      <c r="Q7228" t="str">
        <f t="shared" si="224"/>
        <v>10-14</v>
      </c>
      <c r="R7228" t="str">
        <f t="shared" si="225"/>
        <v>[am530wpaGvr]|10-14|Female|PLHIV_Residents.T2|CY2026Q3</v>
      </c>
    </row>
    <row r="7229" spans="4:18" x14ac:dyDescent="0.2">
      <c r="D7229" t="s">
        <v>96</v>
      </c>
      <c r="E7229" t="s">
        <v>97</v>
      </c>
      <c r="F7229" t="s">
        <v>98</v>
      </c>
      <c r="G7229" t="s">
        <v>276</v>
      </c>
      <c r="H7229" t="s">
        <v>276</v>
      </c>
      <c r="I7229" t="s">
        <v>38</v>
      </c>
      <c r="J7229" t="s">
        <v>39</v>
      </c>
      <c r="K7229" t="s">
        <v>30</v>
      </c>
      <c r="L7229" t="s">
        <v>31</v>
      </c>
      <c r="M7229" t="s">
        <v>277</v>
      </c>
      <c r="N7229">
        <v>1262</v>
      </c>
      <c r="O7229">
        <v>9.4986773999999996E-2</v>
      </c>
      <c r="P7229">
        <v>7.6946952999999998E-2</v>
      </c>
      <c r="Q7229" t="str">
        <f t="shared" si="224"/>
        <v>15-24</v>
      </c>
      <c r="R7229" t="str">
        <f t="shared" si="225"/>
        <v>[am530wpaGvr]|15-24|Female|PLHIV_Residents.T2|CY2026Q3</v>
      </c>
    </row>
    <row r="7230" spans="4:18" x14ac:dyDescent="0.2">
      <c r="D7230" t="s">
        <v>96</v>
      </c>
      <c r="E7230" t="s">
        <v>97</v>
      </c>
      <c r="F7230" t="s">
        <v>98</v>
      </c>
      <c r="G7230" t="s">
        <v>276</v>
      </c>
      <c r="H7230" t="s">
        <v>276</v>
      </c>
      <c r="I7230" t="s">
        <v>41</v>
      </c>
      <c r="J7230" t="s">
        <v>42</v>
      </c>
      <c r="K7230" t="s">
        <v>30</v>
      </c>
      <c r="L7230" t="s">
        <v>31</v>
      </c>
      <c r="M7230" t="s">
        <v>277</v>
      </c>
      <c r="N7230">
        <v>2842</v>
      </c>
      <c r="O7230">
        <v>9.1546404999999997E-2</v>
      </c>
      <c r="P7230">
        <v>7.6946952999999998E-2</v>
      </c>
      <c r="Q7230" t="str">
        <f t="shared" si="224"/>
        <v>25-34</v>
      </c>
      <c r="R7230" t="str">
        <f t="shared" si="225"/>
        <v>[am530wpaGvr]|25-34|Female|PLHIV_Residents.T2|CY2026Q3</v>
      </c>
    </row>
    <row r="7231" spans="4:18" x14ac:dyDescent="0.2">
      <c r="D7231" t="s">
        <v>96</v>
      </c>
      <c r="E7231" t="s">
        <v>97</v>
      </c>
      <c r="F7231" t="s">
        <v>98</v>
      </c>
      <c r="G7231" t="s">
        <v>276</v>
      </c>
      <c r="H7231" t="s">
        <v>276</v>
      </c>
      <c r="I7231" t="s">
        <v>43</v>
      </c>
      <c r="J7231" t="s">
        <v>44</v>
      </c>
      <c r="K7231" t="s">
        <v>30</v>
      </c>
      <c r="L7231" t="s">
        <v>31</v>
      </c>
      <c r="M7231" t="s">
        <v>277</v>
      </c>
      <c r="N7231">
        <v>8681</v>
      </c>
      <c r="O7231">
        <v>7.8245776000000003E-2</v>
      </c>
      <c r="P7231">
        <v>7.6946952999999998E-2</v>
      </c>
      <c r="Q7231" t="str">
        <f t="shared" si="224"/>
        <v>35-49</v>
      </c>
      <c r="R7231" t="str">
        <f t="shared" si="225"/>
        <v>[am530wpaGvr]|35-49|Female|PLHIV_Residents.T2|CY2026Q3</v>
      </c>
    </row>
    <row r="7232" spans="4:18" x14ac:dyDescent="0.2">
      <c r="D7232" t="s">
        <v>96</v>
      </c>
      <c r="E7232" t="s">
        <v>97</v>
      </c>
      <c r="F7232" t="s">
        <v>98</v>
      </c>
      <c r="G7232" t="s">
        <v>276</v>
      </c>
      <c r="H7232" t="s">
        <v>276</v>
      </c>
      <c r="I7232" t="s">
        <v>45</v>
      </c>
      <c r="J7232" t="s">
        <v>46</v>
      </c>
      <c r="K7232" t="s">
        <v>30</v>
      </c>
      <c r="L7232" t="s">
        <v>31</v>
      </c>
      <c r="M7232" t="s">
        <v>277</v>
      </c>
      <c r="N7232">
        <v>5179</v>
      </c>
      <c r="O7232">
        <v>8.2111590999999998E-2</v>
      </c>
      <c r="P7232">
        <v>7.6946952999999998E-2</v>
      </c>
      <c r="Q7232" t="str">
        <f t="shared" si="224"/>
        <v>50+</v>
      </c>
      <c r="R7232" t="str">
        <f t="shared" si="225"/>
        <v>[am530wpaGvr]|50+|Female|PLHIV_Residents.T2|CY2026Q3</v>
      </c>
    </row>
    <row r="7233" spans="4:18" x14ac:dyDescent="0.2">
      <c r="D7233" t="s">
        <v>96</v>
      </c>
      <c r="E7233" t="s">
        <v>97</v>
      </c>
      <c r="F7233" t="s">
        <v>98</v>
      </c>
      <c r="G7233" t="s">
        <v>276</v>
      </c>
      <c r="H7233" t="s">
        <v>276</v>
      </c>
      <c r="I7233" t="s">
        <v>28</v>
      </c>
      <c r="J7233" t="s">
        <v>29</v>
      </c>
      <c r="K7233" t="s">
        <v>48</v>
      </c>
      <c r="L7233" t="s">
        <v>49</v>
      </c>
      <c r="M7233" t="s">
        <v>277</v>
      </c>
      <c r="N7233">
        <v>13</v>
      </c>
      <c r="O7233">
        <v>8.2168784999999994E-2</v>
      </c>
      <c r="P7233">
        <v>7.6946952999999998E-2</v>
      </c>
      <c r="Q7233" t="str">
        <f t="shared" si="224"/>
        <v>&lt;01</v>
      </c>
      <c r="R7233" t="str">
        <f t="shared" si="225"/>
        <v>[am530wpaGvr]|&lt;01|Male|PLHIV_Residents.T2|CY2026Q3</v>
      </c>
    </row>
    <row r="7234" spans="4:18" x14ac:dyDescent="0.2">
      <c r="D7234" t="s">
        <v>96</v>
      </c>
      <c r="E7234" t="s">
        <v>97</v>
      </c>
      <c r="F7234" t="s">
        <v>98</v>
      </c>
      <c r="G7234" t="s">
        <v>276</v>
      </c>
      <c r="H7234" t="s">
        <v>276</v>
      </c>
      <c r="I7234" t="s">
        <v>33</v>
      </c>
      <c r="J7234" t="s">
        <v>34</v>
      </c>
      <c r="K7234" t="s">
        <v>48</v>
      </c>
      <c r="L7234" t="s">
        <v>49</v>
      </c>
      <c r="M7234" t="s">
        <v>277</v>
      </c>
      <c r="N7234">
        <v>231</v>
      </c>
      <c r="O7234">
        <v>8.5810805000000004E-2</v>
      </c>
      <c r="P7234">
        <v>7.6946952999999998E-2</v>
      </c>
      <c r="Q7234" t="str">
        <f t="shared" si="224"/>
        <v>01-09</v>
      </c>
      <c r="R7234" t="str">
        <f t="shared" si="225"/>
        <v>[am530wpaGvr]|01-09|Male|PLHIV_Residents.T2|CY2026Q3</v>
      </c>
    </row>
    <row r="7235" spans="4:18" x14ac:dyDescent="0.2">
      <c r="D7235" t="s">
        <v>96</v>
      </c>
      <c r="E7235" t="s">
        <v>97</v>
      </c>
      <c r="F7235" t="s">
        <v>98</v>
      </c>
      <c r="G7235" t="s">
        <v>276</v>
      </c>
      <c r="H7235" t="s">
        <v>276</v>
      </c>
      <c r="I7235" t="s">
        <v>36</v>
      </c>
      <c r="J7235" t="s">
        <v>37</v>
      </c>
      <c r="K7235" t="s">
        <v>48</v>
      </c>
      <c r="L7235" t="s">
        <v>49</v>
      </c>
      <c r="M7235" t="s">
        <v>277</v>
      </c>
      <c r="N7235">
        <v>314</v>
      </c>
      <c r="O7235">
        <v>9.4262398999999997E-2</v>
      </c>
      <c r="P7235">
        <v>7.6946952999999998E-2</v>
      </c>
      <c r="Q7235" t="str">
        <f t="shared" ref="Q7235:Q7298" si="226">SUBSTITUTE(SUBSTITUTE($I7235,CHAR(61),""),CHAR(34),"")</f>
        <v>10-14</v>
      </c>
      <c r="R7235" t="str">
        <f t="shared" ref="R7235:R7298" si="227">IF($D7235&lt;&gt;"","["&amp;$E7235&amp;"]"&amp;"|"&amp;$Q7235&amp;"|"&amp;$K7235&amp;"|"&amp;$G7235&amp;"|"&amp;IF($G7235="TX_CURR_SUBNAT.R","CY2023Q4",$M7235),"")</f>
        <v>[am530wpaGvr]|10-14|Male|PLHIV_Residents.T2|CY2026Q3</v>
      </c>
    </row>
    <row r="7236" spans="4:18" x14ac:dyDescent="0.2">
      <c r="D7236" t="s">
        <v>96</v>
      </c>
      <c r="E7236" t="s">
        <v>97</v>
      </c>
      <c r="F7236" t="s">
        <v>98</v>
      </c>
      <c r="G7236" t="s">
        <v>276</v>
      </c>
      <c r="H7236" t="s">
        <v>276</v>
      </c>
      <c r="I7236" t="s">
        <v>38</v>
      </c>
      <c r="J7236" t="s">
        <v>39</v>
      </c>
      <c r="K7236" t="s">
        <v>48</v>
      </c>
      <c r="L7236" t="s">
        <v>49</v>
      </c>
      <c r="M7236" t="s">
        <v>277</v>
      </c>
      <c r="N7236">
        <v>941</v>
      </c>
      <c r="O7236">
        <v>9.8408398999999994E-2</v>
      </c>
      <c r="P7236">
        <v>7.6946952999999998E-2</v>
      </c>
      <c r="Q7236" t="str">
        <f t="shared" si="226"/>
        <v>15-24</v>
      </c>
      <c r="R7236" t="str">
        <f t="shared" si="227"/>
        <v>[am530wpaGvr]|15-24|Male|PLHIV_Residents.T2|CY2026Q3</v>
      </c>
    </row>
    <row r="7237" spans="4:18" x14ac:dyDescent="0.2">
      <c r="D7237" t="s">
        <v>96</v>
      </c>
      <c r="E7237" t="s">
        <v>97</v>
      </c>
      <c r="F7237" t="s">
        <v>98</v>
      </c>
      <c r="G7237" t="s">
        <v>276</v>
      </c>
      <c r="H7237" t="s">
        <v>276</v>
      </c>
      <c r="I7237" t="s">
        <v>41</v>
      </c>
      <c r="J7237" t="s">
        <v>42</v>
      </c>
      <c r="K7237" t="s">
        <v>48</v>
      </c>
      <c r="L7237" t="s">
        <v>49</v>
      </c>
      <c r="M7237" t="s">
        <v>277</v>
      </c>
      <c r="N7237">
        <v>1126</v>
      </c>
      <c r="O7237">
        <v>0.102507133</v>
      </c>
      <c r="P7237">
        <v>7.6946952999999998E-2</v>
      </c>
      <c r="Q7237" t="str">
        <f t="shared" si="226"/>
        <v>25-34</v>
      </c>
      <c r="R7237" t="str">
        <f t="shared" si="227"/>
        <v>[am530wpaGvr]|25-34|Male|PLHIV_Residents.T2|CY2026Q3</v>
      </c>
    </row>
    <row r="7238" spans="4:18" x14ac:dyDescent="0.2">
      <c r="D7238" t="s">
        <v>96</v>
      </c>
      <c r="E7238" t="s">
        <v>97</v>
      </c>
      <c r="F7238" t="s">
        <v>98</v>
      </c>
      <c r="G7238" t="s">
        <v>276</v>
      </c>
      <c r="H7238" t="s">
        <v>276</v>
      </c>
      <c r="I7238" t="s">
        <v>43</v>
      </c>
      <c r="J7238" t="s">
        <v>44</v>
      </c>
      <c r="K7238" t="s">
        <v>48</v>
      </c>
      <c r="L7238" t="s">
        <v>49</v>
      </c>
      <c r="M7238" t="s">
        <v>277</v>
      </c>
      <c r="N7238">
        <v>4125</v>
      </c>
      <c r="O7238">
        <v>8.1015078000000004E-2</v>
      </c>
      <c r="P7238">
        <v>7.6946952999999998E-2</v>
      </c>
      <c r="Q7238" t="str">
        <f t="shared" si="226"/>
        <v>35-49</v>
      </c>
      <c r="R7238" t="str">
        <f t="shared" si="227"/>
        <v>[am530wpaGvr]|35-49|Male|PLHIV_Residents.T2|CY2026Q3</v>
      </c>
    </row>
    <row r="7239" spans="4:18" x14ac:dyDescent="0.2">
      <c r="D7239" t="s">
        <v>96</v>
      </c>
      <c r="E7239" t="s">
        <v>97</v>
      </c>
      <c r="F7239" t="s">
        <v>98</v>
      </c>
      <c r="G7239" t="s">
        <v>276</v>
      </c>
      <c r="H7239" t="s">
        <v>276</v>
      </c>
      <c r="I7239" t="s">
        <v>45</v>
      </c>
      <c r="J7239" t="s">
        <v>46</v>
      </c>
      <c r="K7239" t="s">
        <v>48</v>
      </c>
      <c r="L7239" t="s">
        <v>49</v>
      </c>
      <c r="M7239" t="s">
        <v>277</v>
      </c>
      <c r="N7239">
        <v>3813</v>
      </c>
      <c r="O7239">
        <v>7.4873809999999999E-2</v>
      </c>
      <c r="P7239">
        <v>7.6946952999999998E-2</v>
      </c>
      <c r="Q7239" t="str">
        <f t="shared" si="226"/>
        <v>50+</v>
      </c>
      <c r="R7239" t="str">
        <f t="shared" si="227"/>
        <v>[am530wpaGvr]|50+|Male|PLHIV_Residents.T2|CY2026Q3</v>
      </c>
    </row>
    <row r="7240" spans="4:18" x14ac:dyDescent="0.2">
      <c r="D7240" t="s">
        <v>99</v>
      </c>
      <c r="E7240" t="s">
        <v>100</v>
      </c>
      <c r="F7240" t="s">
        <v>101</v>
      </c>
      <c r="G7240" t="s">
        <v>276</v>
      </c>
      <c r="H7240" t="s">
        <v>276</v>
      </c>
      <c r="I7240" t="s">
        <v>28</v>
      </c>
      <c r="J7240" t="s">
        <v>29</v>
      </c>
      <c r="K7240" t="s">
        <v>30</v>
      </c>
      <c r="L7240" t="s">
        <v>31</v>
      </c>
      <c r="M7240" t="s">
        <v>277</v>
      </c>
      <c r="N7240">
        <v>36</v>
      </c>
      <c r="O7240">
        <v>4.9531327E-2</v>
      </c>
      <c r="P7240">
        <v>4.4531741999999999E-2</v>
      </c>
      <c r="Q7240" t="str">
        <f t="shared" si="226"/>
        <v>&lt;01</v>
      </c>
      <c r="R7240" t="str">
        <f t="shared" si="227"/>
        <v>[lLDyBx5XyUi]|&lt;01|Female|PLHIV_Residents.T2|CY2026Q3</v>
      </c>
    </row>
    <row r="7241" spans="4:18" x14ac:dyDescent="0.2">
      <c r="D7241" t="s">
        <v>99</v>
      </c>
      <c r="E7241" t="s">
        <v>100</v>
      </c>
      <c r="F7241" t="s">
        <v>101</v>
      </c>
      <c r="G7241" t="s">
        <v>276</v>
      </c>
      <c r="H7241" t="s">
        <v>276</v>
      </c>
      <c r="I7241" t="s">
        <v>33</v>
      </c>
      <c r="J7241" t="s">
        <v>34</v>
      </c>
      <c r="K7241" t="s">
        <v>30</v>
      </c>
      <c r="L7241" t="s">
        <v>31</v>
      </c>
      <c r="M7241" t="s">
        <v>277</v>
      </c>
      <c r="N7241">
        <v>666</v>
      </c>
      <c r="O7241">
        <v>5.4088573000000001E-2</v>
      </c>
      <c r="P7241">
        <v>4.4531741999999999E-2</v>
      </c>
      <c r="Q7241" t="str">
        <f t="shared" si="226"/>
        <v>01-09</v>
      </c>
      <c r="R7241" t="str">
        <f t="shared" si="227"/>
        <v>[lLDyBx5XyUi]|01-09|Female|PLHIV_Residents.T2|CY2026Q3</v>
      </c>
    </row>
    <row r="7242" spans="4:18" x14ac:dyDescent="0.2">
      <c r="D7242" t="s">
        <v>99</v>
      </c>
      <c r="E7242" t="s">
        <v>100</v>
      </c>
      <c r="F7242" t="s">
        <v>101</v>
      </c>
      <c r="G7242" t="s">
        <v>276</v>
      </c>
      <c r="H7242" t="s">
        <v>276</v>
      </c>
      <c r="I7242" t="s">
        <v>36</v>
      </c>
      <c r="J7242" t="s">
        <v>37</v>
      </c>
      <c r="K7242" t="s">
        <v>30</v>
      </c>
      <c r="L7242" t="s">
        <v>31</v>
      </c>
      <c r="M7242" t="s">
        <v>277</v>
      </c>
      <c r="N7242">
        <v>884</v>
      </c>
      <c r="O7242">
        <v>6.3318570000000005E-2</v>
      </c>
      <c r="P7242">
        <v>4.4531741999999999E-2</v>
      </c>
      <c r="Q7242" t="str">
        <f t="shared" si="226"/>
        <v>10-14</v>
      </c>
      <c r="R7242" t="str">
        <f t="shared" si="227"/>
        <v>[lLDyBx5XyUi]|10-14|Female|PLHIV_Residents.T2|CY2026Q3</v>
      </c>
    </row>
    <row r="7243" spans="4:18" x14ac:dyDescent="0.2">
      <c r="D7243" t="s">
        <v>99</v>
      </c>
      <c r="E7243" t="s">
        <v>100</v>
      </c>
      <c r="F7243" t="s">
        <v>101</v>
      </c>
      <c r="G7243" t="s">
        <v>276</v>
      </c>
      <c r="H7243" t="s">
        <v>276</v>
      </c>
      <c r="I7243" t="s">
        <v>38</v>
      </c>
      <c r="J7243" t="s">
        <v>39</v>
      </c>
      <c r="K7243" t="s">
        <v>30</v>
      </c>
      <c r="L7243" t="s">
        <v>31</v>
      </c>
      <c r="M7243" t="s">
        <v>277</v>
      </c>
      <c r="N7243">
        <v>3346</v>
      </c>
      <c r="O7243">
        <v>7.0526115E-2</v>
      </c>
      <c r="P7243">
        <v>4.4531741999999999E-2</v>
      </c>
      <c r="Q7243" t="str">
        <f t="shared" si="226"/>
        <v>15-24</v>
      </c>
      <c r="R7243" t="str">
        <f t="shared" si="227"/>
        <v>[lLDyBx5XyUi]|15-24|Female|PLHIV_Residents.T2|CY2026Q3</v>
      </c>
    </row>
    <row r="7244" spans="4:18" x14ac:dyDescent="0.2">
      <c r="D7244" t="s">
        <v>99</v>
      </c>
      <c r="E7244" t="s">
        <v>100</v>
      </c>
      <c r="F7244" t="s">
        <v>101</v>
      </c>
      <c r="G7244" t="s">
        <v>276</v>
      </c>
      <c r="H7244" t="s">
        <v>276</v>
      </c>
      <c r="I7244" t="s">
        <v>41</v>
      </c>
      <c r="J7244" t="s">
        <v>42</v>
      </c>
      <c r="K7244" t="s">
        <v>30</v>
      </c>
      <c r="L7244" t="s">
        <v>31</v>
      </c>
      <c r="M7244" t="s">
        <v>277</v>
      </c>
      <c r="N7244">
        <v>7681</v>
      </c>
      <c r="O7244">
        <v>5.9140731000000002E-2</v>
      </c>
      <c r="P7244">
        <v>4.4531741999999999E-2</v>
      </c>
      <c r="Q7244" t="str">
        <f t="shared" si="226"/>
        <v>25-34</v>
      </c>
      <c r="R7244" t="str">
        <f t="shared" si="227"/>
        <v>[lLDyBx5XyUi]|25-34|Female|PLHIV_Residents.T2|CY2026Q3</v>
      </c>
    </row>
    <row r="7245" spans="4:18" x14ac:dyDescent="0.2">
      <c r="D7245" t="s">
        <v>99</v>
      </c>
      <c r="E7245" t="s">
        <v>100</v>
      </c>
      <c r="F7245" t="s">
        <v>101</v>
      </c>
      <c r="G7245" t="s">
        <v>276</v>
      </c>
      <c r="H7245" t="s">
        <v>276</v>
      </c>
      <c r="I7245" t="s">
        <v>43</v>
      </c>
      <c r="J7245" t="s">
        <v>44</v>
      </c>
      <c r="K7245" t="s">
        <v>30</v>
      </c>
      <c r="L7245" t="s">
        <v>31</v>
      </c>
      <c r="M7245" t="s">
        <v>277</v>
      </c>
      <c r="N7245">
        <v>20538</v>
      </c>
      <c r="O7245">
        <v>4.4970529000000002E-2</v>
      </c>
      <c r="P7245">
        <v>4.4531741999999999E-2</v>
      </c>
      <c r="Q7245" t="str">
        <f t="shared" si="226"/>
        <v>35-49</v>
      </c>
      <c r="R7245" t="str">
        <f t="shared" si="227"/>
        <v>[lLDyBx5XyUi]|35-49|Female|PLHIV_Residents.T2|CY2026Q3</v>
      </c>
    </row>
    <row r="7246" spans="4:18" x14ac:dyDescent="0.2">
      <c r="D7246" t="s">
        <v>99</v>
      </c>
      <c r="E7246" t="s">
        <v>100</v>
      </c>
      <c r="F7246" t="s">
        <v>101</v>
      </c>
      <c r="G7246" t="s">
        <v>276</v>
      </c>
      <c r="H7246" t="s">
        <v>276</v>
      </c>
      <c r="I7246" t="s">
        <v>45</v>
      </c>
      <c r="J7246" t="s">
        <v>46</v>
      </c>
      <c r="K7246" t="s">
        <v>30</v>
      </c>
      <c r="L7246" t="s">
        <v>31</v>
      </c>
      <c r="M7246" t="s">
        <v>277</v>
      </c>
      <c r="N7246">
        <v>11383</v>
      </c>
      <c r="O7246">
        <v>4.9933199999999997E-2</v>
      </c>
      <c r="P7246">
        <v>4.4531741999999999E-2</v>
      </c>
      <c r="Q7246" t="str">
        <f t="shared" si="226"/>
        <v>50+</v>
      </c>
      <c r="R7246" t="str">
        <f t="shared" si="227"/>
        <v>[lLDyBx5XyUi]|50+|Female|PLHIV_Residents.T2|CY2026Q3</v>
      </c>
    </row>
    <row r="7247" spans="4:18" x14ac:dyDescent="0.2">
      <c r="D7247" t="s">
        <v>99</v>
      </c>
      <c r="E7247" t="s">
        <v>100</v>
      </c>
      <c r="F7247" t="s">
        <v>101</v>
      </c>
      <c r="G7247" t="s">
        <v>276</v>
      </c>
      <c r="H7247" t="s">
        <v>276</v>
      </c>
      <c r="I7247" t="s">
        <v>28</v>
      </c>
      <c r="J7247" t="s">
        <v>29</v>
      </c>
      <c r="K7247" t="s">
        <v>48</v>
      </c>
      <c r="L7247" t="s">
        <v>49</v>
      </c>
      <c r="M7247" t="s">
        <v>277</v>
      </c>
      <c r="N7247">
        <v>36</v>
      </c>
      <c r="O7247">
        <v>4.9515361000000001E-2</v>
      </c>
      <c r="P7247">
        <v>4.4531741999999999E-2</v>
      </c>
      <c r="Q7247" t="str">
        <f t="shared" si="226"/>
        <v>&lt;01</v>
      </c>
      <c r="R7247" t="str">
        <f t="shared" si="227"/>
        <v>[lLDyBx5XyUi]|&lt;01|Male|PLHIV_Residents.T2|CY2026Q3</v>
      </c>
    </row>
    <row r="7248" spans="4:18" x14ac:dyDescent="0.2">
      <c r="D7248" t="s">
        <v>99</v>
      </c>
      <c r="E7248" t="s">
        <v>100</v>
      </c>
      <c r="F7248" t="s">
        <v>101</v>
      </c>
      <c r="G7248" t="s">
        <v>276</v>
      </c>
      <c r="H7248" t="s">
        <v>276</v>
      </c>
      <c r="I7248" t="s">
        <v>33</v>
      </c>
      <c r="J7248" t="s">
        <v>34</v>
      </c>
      <c r="K7248" t="s">
        <v>48</v>
      </c>
      <c r="L7248" t="s">
        <v>49</v>
      </c>
      <c r="M7248" t="s">
        <v>277</v>
      </c>
      <c r="N7248">
        <v>674</v>
      </c>
      <c r="O7248">
        <v>5.4080235999999997E-2</v>
      </c>
      <c r="P7248">
        <v>4.4531741999999999E-2</v>
      </c>
      <c r="Q7248" t="str">
        <f t="shared" si="226"/>
        <v>01-09</v>
      </c>
      <c r="R7248" t="str">
        <f t="shared" si="227"/>
        <v>[lLDyBx5XyUi]|01-09|Male|PLHIV_Residents.T2|CY2026Q3</v>
      </c>
    </row>
    <row r="7249" spans="4:18" x14ac:dyDescent="0.2">
      <c r="D7249" t="s">
        <v>99</v>
      </c>
      <c r="E7249" t="s">
        <v>100</v>
      </c>
      <c r="F7249" t="s">
        <v>101</v>
      </c>
      <c r="G7249" t="s">
        <v>276</v>
      </c>
      <c r="H7249" t="s">
        <v>276</v>
      </c>
      <c r="I7249" t="s">
        <v>36</v>
      </c>
      <c r="J7249" t="s">
        <v>37</v>
      </c>
      <c r="K7249" t="s">
        <v>48</v>
      </c>
      <c r="L7249" t="s">
        <v>49</v>
      </c>
      <c r="M7249" t="s">
        <v>277</v>
      </c>
      <c r="N7249">
        <v>896</v>
      </c>
      <c r="O7249">
        <v>6.3319478999999998E-2</v>
      </c>
      <c r="P7249">
        <v>4.4531741999999999E-2</v>
      </c>
      <c r="Q7249" t="str">
        <f t="shared" si="226"/>
        <v>10-14</v>
      </c>
      <c r="R7249" t="str">
        <f t="shared" si="227"/>
        <v>[lLDyBx5XyUi]|10-14|Male|PLHIV_Residents.T2|CY2026Q3</v>
      </c>
    </row>
    <row r="7250" spans="4:18" x14ac:dyDescent="0.2">
      <c r="D7250" t="s">
        <v>99</v>
      </c>
      <c r="E7250" t="s">
        <v>100</v>
      </c>
      <c r="F7250" t="s">
        <v>101</v>
      </c>
      <c r="G7250" t="s">
        <v>276</v>
      </c>
      <c r="H7250" t="s">
        <v>276</v>
      </c>
      <c r="I7250" t="s">
        <v>38</v>
      </c>
      <c r="J7250" t="s">
        <v>39</v>
      </c>
      <c r="K7250" t="s">
        <v>48</v>
      </c>
      <c r="L7250" t="s">
        <v>49</v>
      </c>
      <c r="M7250" t="s">
        <v>277</v>
      </c>
      <c r="N7250">
        <v>2290</v>
      </c>
      <c r="O7250">
        <v>7.0764814999999995E-2</v>
      </c>
      <c r="P7250">
        <v>4.4531741999999999E-2</v>
      </c>
      <c r="Q7250" t="str">
        <f t="shared" si="226"/>
        <v>15-24</v>
      </c>
      <c r="R7250" t="str">
        <f t="shared" si="227"/>
        <v>[lLDyBx5XyUi]|15-24|Male|PLHIV_Residents.T2|CY2026Q3</v>
      </c>
    </row>
    <row r="7251" spans="4:18" x14ac:dyDescent="0.2">
      <c r="D7251" t="s">
        <v>99</v>
      </c>
      <c r="E7251" t="s">
        <v>100</v>
      </c>
      <c r="F7251" t="s">
        <v>101</v>
      </c>
      <c r="G7251" t="s">
        <v>276</v>
      </c>
      <c r="H7251" t="s">
        <v>276</v>
      </c>
      <c r="I7251" t="s">
        <v>41</v>
      </c>
      <c r="J7251" t="s">
        <v>42</v>
      </c>
      <c r="K7251" t="s">
        <v>48</v>
      </c>
      <c r="L7251" t="s">
        <v>49</v>
      </c>
      <c r="M7251" t="s">
        <v>277</v>
      </c>
      <c r="N7251">
        <v>2361</v>
      </c>
      <c r="O7251">
        <v>7.8481112000000006E-2</v>
      </c>
      <c r="P7251">
        <v>4.4531741999999999E-2</v>
      </c>
      <c r="Q7251" t="str">
        <f t="shared" si="226"/>
        <v>25-34</v>
      </c>
      <c r="R7251" t="str">
        <f t="shared" si="227"/>
        <v>[lLDyBx5XyUi]|25-34|Male|PLHIV_Residents.T2|CY2026Q3</v>
      </c>
    </row>
    <row r="7252" spans="4:18" x14ac:dyDescent="0.2">
      <c r="D7252" t="s">
        <v>99</v>
      </c>
      <c r="E7252" t="s">
        <v>100</v>
      </c>
      <c r="F7252" t="s">
        <v>101</v>
      </c>
      <c r="G7252" t="s">
        <v>276</v>
      </c>
      <c r="H7252" t="s">
        <v>276</v>
      </c>
      <c r="I7252" t="s">
        <v>43</v>
      </c>
      <c r="J7252" t="s">
        <v>44</v>
      </c>
      <c r="K7252" t="s">
        <v>48</v>
      </c>
      <c r="L7252" t="s">
        <v>49</v>
      </c>
      <c r="M7252" t="s">
        <v>277</v>
      </c>
      <c r="N7252">
        <v>8169</v>
      </c>
      <c r="O7252">
        <v>5.4185914000000002E-2</v>
      </c>
      <c r="P7252">
        <v>4.4531741999999999E-2</v>
      </c>
      <c r="Q7252" t="str">
        <f t="shared" si="226"/>
        <v>35-49</v>
      </c>
      <c r="R7252" t="str">
        <f t="shared" si="227"/>
        <v>[lLDyBx5XyUi]|35-49|Male|PLHIV_Residents.T2|CY2026Q3</v>
      </c>
    </row>
    <row r="7253" spans="4:18" x14ac:dyDescent="0.2">
      <c r="D7253" t="s">
        <v>99</v>
      </c>
      <c r="E7253" t="s">
        <v>100</v>
      </c>
      <c r="F7253" t="s">
        <v>101</v>
      </c>
      <c r="G7253" t="s">
        <v>276</v>
      </c>
      <c r="H7253" t="s">
        <v>276</v>
      </c>
      <c r="I7253" t="s">
        <v>45</v>
      </c>
      <c r="J7253" t="s">
        <v>46</v>
      </c>
      <c r="K7253" t="s">
        <v>48</v>
      </c>
      <c r="L7253" t="s">
        <v>49</v>
      </c>
      <c r="M7253" t="s">
        <v>277</v>
      </c>
      <c r="N7253">
        <v>7836</v>
      </c>
      <c r="O7253">
        <v>4.9446708999999998E-2</v>
      </c>
      <c r="P7253">
        <v>4.4531741999999999E-2</v>
      </c>
      <c r="Q7253" t="str">
        <f t="shared" si="226"/>
        <v>50+</v>
      </c>
      <c r="R7253" t="str">
        <f t="shared" si="227"/>
        <v>[lLDyBx5XyUi]|50+|Male|PLHIV_Residents.T2|CY2026Q3</v>
      </c>
    </row>
    <row r="7254" spans="4:18" x14ac:dyDescent="0.2">
      <c r="D7254" t="s">
        <v>102</v>
      </c>
      <c r="E7254" t="s">
        <v>103</v>
      </c>
      <c r="F7254" t="s">
        <v>104</v>
      </c>
      <c r="G7254" t="s">
        <v>276</v>
      </c>
      <c r="H7254" t="s">
        <v>276</v>
      </c>
      <c r="I7254" t="s">
        <v>28</v>
      </c>
      <c r="J7254" t="s">
        <v>29</v>
      </c>
      <c r="K7254" t="s">
        <v>30</v>
      </c>
      <c r="L7254" t="s">
        <v>31</v>
      </c>
      <c r="M7254" t="s">
        <v>277</v>
      </c>
      <c r="N7254">
        <v>16</v>
      </c>
      <c r="O7254">
        <v>6.9679052000000005E-2</v>
      </c>
      <c r="P7254">
        <v>6.5411874999999994E-2</v>
      </c>
      <c r="Q7254" t="str">
        <f t="shared" si="226"/>
        <v>&lt;01</v>
      </c>
      <c r="R7254" t="str">
        <f t="shared" si="227"/>
        <v>[TYnMSwzko3z]|&lt;01|Female|PLHIV_Residents.T2|CY2026Q3</v>
      </c>
    </row>
    <row r="7255" spans="4:18" x14ac:dyDescent="0.2">
      <c r="D7255" t="s">
        <v>102</v>
      </c>
      <c r="E7255" t="s">
        <v>103</v>
      </c>
      <c r="F7255" t="s">
        <v>104</v>
      </c>
      <c r="G7255" t="s">
        <v>276</v>
      </c>
      <c r="H7255" t="s">
        <v>276</v>
      </c>
      <c r="I7255" t="s">
        <v>33</v>
      </c>
      <c r="J7255" t="s">
        <v>34</v>
      </c>
      <c r="K7255" t="s">
        <v>30</v>
      </c>
      <c r="L7255" t="s">
        <v>31</v>
      </c>
      <c r="M7255" t="s">
        <v>277</v>
      </c>
      <c r="N7255">
        <v>300</v>
      </c>
      <c r="O7255">
        <v>7.5352480999999999E-2</v>
      </c>
      <c r="P7255">
        <v>6.5411874999999994E-2</v>
      </c>
      <c r="Q7255" t="str">
        <f t="shared" si="226"/>
        <v>01-09</v>
      </c>
      <c r="R7255" t="str">
        <f t="shared" si="227"/>
        <v>[TYnMSwzko3z]|01-09|Female|PLHIV_Residents.T2|CY2026Q3</v>
      </c>
    </row>
    <row r="7256" spans="4:18" x14ac:dyDescent="0.2">
      <c r="D7256" t="s">
        <v>102</v>
      </c>
      <c r="E7256" t="s">
        <v>103</v>
      </c>
      <c r="F7256" t="s">
        <v>104</v>
      </c>
      <c r="G7256" t="s">
        <v>276</v>
      </c>
      <c r="H7256" t="s">
        <v>276</v>
      </c>
      <c r="I7256" t="s">
        <v>36</v>
      </c>
      <c r="J7256" t="s">
        <v>37</v>
      </c>
      <c r="K7256" t="s">
        <v>30</v>
      </c>
      <c r="L7256" t="s">
        <v>31</v>
      </c>
      <c r="M7256" t="s">
        <v>277</v>
      </c>
      <c r="N7256">
        <v>408</v>
      </c>
      <c r="O7256">
        <v>8.7041068999999999E-2</v>
      </c>
      <c r="P7256">
        <v>6.5411874999999994E-2</v>
      </c>
      <c r="Q7256" t="str">
        <f t="shared" si="226"/>
        <v>10-14</v>
      </c>
      <c r="R7256" t="str">
        <f t="shared" si="227"/>
        <v>[TYnMSwzko3z]|10-14|Female|PLHIV_Residents.T2|CY2026Q3</v>
      </c>
    </row>
    <row r="7257" spans="4:18" x14ac:dyDescent="0.2">
      <c r="D7257" t="s">
        <v>102</v>
      </c>
      <c r="E7257" t="s">
        <v>103</v>
      </c>
      <c r="F7257" t="s">
        <v>104</v>
      </c>
      <c r="G7257" t="s">
        <v>276</v>
      </c>
      <c r="H7257" t="s">
        <v>276</v>
      </c>
      <c r="I7257" t="s">
        <v>38</v>
      </c>
      <c r="J7257" t="s">
        <v>39</v>
      </c>
      <c r="K7257" t="s">
        <v>30</v>
      </c>
      <c r="L7257" t="s">
        <v>31</v>
      </c>
      <c r="M7257" t="s">
        <v>277</v>
      </c>
      <c r="N7257">
        <v>1530</v>
      </c>
      <c r="O7257">
        <v>8.4647337000000003E-2</v>
      </c>
      <c r="P7257">
        <v>6.5411874999999994E-2</v>
      </c>
      <c r="Q7257" t="str">
        <f t="shared" si="226"/>
        <v>15-24</v>
      </c>
      <c r="R7257" t="str">
        <f t="shared" si="227"/>
        <v>[TYnMSwzko3z]|15-24|Female|PLHIV_Residents.T2|CY2026Q3</v>
      </c>
    </row>
    <row r="7258" spans="4:18" x14ac:dyDescent="0.2">
      <c r="D7258" t="s">
        <v>102</v>
      </c>
      <c r="E7258" t="s">
        <v>103</v>
      </c>
      <c r="F7258" t="s">
        <v>104</v>
      </c>
      <c r="G7258" t="s">
        <v>276</v>
      </c>
      <c r="H7258" t="s">
        <v>276</v>
      </c>
      <c r="I7258" t="s">
        <v>41</v>
      </c>
      <c r="J7258" t="s">
        <v>42</v>
      </c>
      <c r="K7258" t="s">
        <v>30</v>
      </c>
      <c r="L7258" t="s">
        <v>31</v>
      </c>
      <c r="M7258" t="s">
        <v>277</v>
      </c>
      <c r="N7258">
        <v>3480</v>
      </c>
      <c r="O7258">
        <v>7.6349893000000002E-2</v>
      </c>
      <c r="P7258">
        <v>6.5411874999999994E-2</v>
      </c>
      <c r="Q7258" t="str">
        <f t="shared" si="226"/>
        <v>25-34</v>
      </c>
      <c r="R7258" t="str">
        <f t="shared" si="227"/>
        <v>[TYnMSwzko3z]|25-34|Female|PLHIV_Residents.T2|CY2026Q3</v>
      </c>
    </row>
    <row r="7259" spans="4:18" x14ac:dyDescent="0.2">
      <c r="D7259" t="s">
        <v>102</v>
      </c>
      <c r="E7259" t="s">
        <v>103</v>
      </c>
      <c r="F7259" t="s">
        <v>104</v>
      </c>
      <c r="G7259" t="s">
        <v>276</v>
      </c>
      <c r="H7259" t="s">
        <v>276</v>
      </c>
      <c r="I7259" t="s">
        <v>43</v>
      </c>
      <c r="J7259" t="s">
        <v>44</v>
      </c>
      <c r="K7259" t="s">
        <v>30</v>
      </c>
      <c r="L7259" t="s">
        <v>31</v>
      </c>
      <c r="M7259" t="s">
        <v>277</v>
      </c>
      <c r="N7259">
        <v>9718</v>
      </c>
      <c r="O7259">
        <v>6.5217365999999999E-2</v>
      </c>
      <c r="P7259">
        <v>6.5411874999999994E-2</v>
      </c>
      <c r="Q7259" t="str">
        <f t="shared" si="226"/>
        <v>35-49</v>
      </c>
      <c r="R7259" t="str">
        <f t="shared" si="227"/>
        <v>[TYnMSwzko3z]|35-49|Female|PLHIV_Residents.T2|CY2026Q3</v>
      </c>
    </row>
    <row r="7260" spans="4:18" x14ac:dyDescent="0.2">
      <c r="D7260" t="s">
        <v>102</v>
      </c>
      <c r="E7260" t="s">
        <v>103</v>
      </c>
      <c r="F7260" t="s">
        <v>104</v>
      </c>
      <c r="G7260" t="s">
        <v>276</v>
      </c>
      <c r="H7260" t="s">
        <v>276</v>
      </c>
      <c r="I7260" t="s">
        <v>45</v>
      </c>
      <c r="J7260" t="s">
        <v>46</v>
      </c>
      <c r="K7260" t="s">
        <v>30</v>
      </c>
      <c r="L7260" t="s">
        <v>31</v>
      </c>
      <c r="M7260" t="s">
        <v>277</v>
      </c>
      <c r="N7260">
        <v>5306</v>
      </c>
      <c r="O7260">
        <v>6.9734394000000005E-2</v>
      </c>
      <c r="P7260">
        <v>6.5411874999999994E-2</v>
      </c>
      <c r="Q7260" t="str">
        <f t="shared" si="226"/>
        <v>50+</v>
      </c>
      <c r="R7260" t="str">
        <f t="shared" si="227"/>
        <v>[TYnMSwzko3z]|50+|Female|PLHIV_Residents.T2|CY2026Q3</v>
      </c>
    </row>
    <row r="7261" spans="4:18" x14ac:dyDescent="0.2">
      <c r="D7261" t="s">
        <v>102</v>
      </c>
      <c r="E7261" t="s">
        <v>103</v>
      </c>
      <c r="F7261" t="s">
        <v>104</v>
      </c>
      <c r="G7261" t="s">
        <v>276</v>
      </c>
      <c r="H7261" t="s">
        <v>276</v>
      </c>
      <c r="I7261" t="s">
        <v>28</v>
      </c>
      <c r="J7261" t="s">
        <v>29</v>
      </c>
      <c r="K7261" t="s">
        <v>48</v>
      </c>
      <c r="L7261" t="s">
        <v>49</v>
      </c>
      <c r="M7261" t="s">
        <v>277</v>
      </c>
      <c r="N7261">
        <v>16</v>
      </c>
      <c r="O7261">
        <v>6.9648386000000007E-2</v>
      </c>
      <c r="P7261">
        <v>6.5411874999999994E-2</v>
      </c>
      <c r="Q7261" t="str">
        <f t="shared" si="226"/>
        <v>&lt;01</v>
      </c>
      <c r="R7261" t="str">
        <f t="shared" si="227"/>
        <v>[TYnMSwzko3z]|&lt;01|Male|PLHIV_Residents.T2|CY2026Q3</v>
      </c>
    </row>
    <row r="7262" spans="4:18" x14ac:dyDescent="0.2">
      <c r="D7262" t="s">
        <v>102</v>
      </c>
      <c r="E7262" t="s">
        <v>103</v>
      </c>
      <c r="F7262" t="s">
        <v>104</v>
      </c>
      <c r="G7262" t="s">
        <v>276</v>
      </c>
      <c r="H7262" t="s">
        <v>276</v>
      </c>
      <c r="I7262" t="s">
        <v>33</v>
      </c>
      <c r="J7262" t="s">
        <v>34</v>
      </c>
      <c r="K7262" t="s">
        <v>48</v>
      </c>
      <c r="L7262" t="s">
        <v>49</v>
      </c>
      <c r="M7262" t="s">
        <v>277</v>
      </c>
      <c r="N7262">
        <v>302</v>
      </c>
      <c r="O7262">
        <v>7.5316233999999996E-2</v>
      </c>
      <c r="P7262">
        <v>6.5411874999999994E-2</v>
      </c>
      <c r="Q7262" t="str">
        <f t="shared" si="226"/>
        <v>01-09</v>
      </c>
      <c r="R7262" t="str">
        <f t="shared" si="227"/>
        <v>[TYnMSwzko3z]|01-09|Male|PLHIV_Residents.T2|CY2026Q3</v>
      </c>
    </row>
    <row r="7263" spans="4:18" x14ac:dyDescent="0.2">
      <c r="D7263" t="s">
        <v>102</v>
      </c>
      <c r="E7263" t="s">
        <v>103</v>
      </c>
      <c r="F7263" t="s">
        <v>104</v>
      </c>
      <c r="G7263" t="s">
        <v>276</v>
      </c>
      <c r="H7263" t="s">
        <v>276</v>
      </c>
      <c r="I7263" t="s">
        <v>36</v>
      </c>
      <c r="J7263" t="s">
        <v>37</v>
      </c>
      <c r="K7263" t="s">
        <v>48</v>
      </c>
      <c r="L7263" t="s">
        <v>49</v>
      </c>
      <c r="M7263" t="s">
        <v>277</v>
      </c>
      <c r="N7263">
        <v>408</v>
      </c>
      <c r="O7263">
        <v>8.7030015000000002E-2</v>
      </c>
      <c r="P7263">
        <v>6.5411874999999994E-2</v>
      </c>
      <c r="Q7263" t="str">
        <f t="shared" si="226"/>
        <v>10-14</v>
      </c>
      <c r="R7263" t="str">
        <f t="shared" si="227"/>
        <v>[TYnMSwzko3z]|10-14|Male|PLHIV_Residents.T2|CY2026Q3</v>
      </c>
    </row>
    <row r="7264" spans="4:18" x14ac:dyDescent="0.2">
      <c r="D7264" t="s">
        <v>102</v>
      </c>
      <c r="E7264" t="s">
        <v>103</v>
      </c>
      <c r="F7264" t="s">
        <v>104</v>
      </c>
      <c r="G7264" t="s">
        <v>276</v>
      </c>
      <c r="H7264" t="s">
        <v>276</v>
      </c>
      <c r="I7264" t="s">
        <v>38</v>
      </c>
      <c r="J7264" t="s">
        <v>39</v>
      </c>
      <c r="K7264" t="s">
        <v>48</v>
      </c>
      <c r="L7264" t="s">
        <v>49</v>
      </c>
      <c r="M7264" t="s">
        <v>277</v>
      </c>
      <c r="N7264">
        <v>1056</v>
      </c>
      <c r="O7264">
        <v>8.7634365000000006E-2</v>
      </c>
      <c r="P7264">
        <v>6.5411874999999994E-2</v>
      </c>
      <c r="Q7264" t="str">
        <f t="shared" si="226"/>
        <v>15-24</v>
      </c>
      <c r="R7264" t="str">
        <f t="shared" si="227"/>
        <v>[TYnMSwzko3z]|15-24|Male|PLHIV_Residents.T2|CY2026Q3</v>
      </c>
    </row>
    <row r="7265" spans="4:18" x14ac:dyDescent="0.2">
      <c r="D7265" t="s">
        <v>102</v>
      </c>
      <c r="E7265" t="s">
        <v>103</v>
      </c>
      <c r="F7265" t="s">
        <v>104</v>
      </c>
      <c r="G7265" t="s">
        <v>276</v>
      </c>
      <c r="H7265" t="s">
        <v>276</v>
      </c>
      <c r="I7265" t="s">
        <v>41</v>
      </c>
      <c r="J7265" t="s">
        <v>42</v>
      </c>
      <c r="K7265" t="s">
        <v>48</v>
      </c>
      <c r="L7265" t="s">
        <v>49</v>
      </c>
      <c r="M7265" t="s">
        <v>277</v>
      </c>
      <c r="N7265">
        <v>1083</v>
      </c>
      <c r="O7265">
        <v>9.0342969999999995E-2</v>
      </c>
      <c r="P7265">
        <v>6.5411874999999994E-2</v>
      </c>
      <c r="Q7265" t="str">
        <f t="shared" si="226"/>
        <v>25-34</v>
      </c>
      <c r="R7265" t="str">
        <f t="shared" si="227"/>
        <v>[TYnMSwzko3z]|25-34|Male|PLHIV_Residents.T2|CY2026Q3</v>
      </c>
    </row>
    <row r="7266" spans="4:18" x14ac:dyDescent="0.2">
      <c r="D7266" t="s">
        <v>102</v>
      </c>
      <c r="E7266" t="s">
        <v>103</v>
      </c>
      <c r="F7266" t="s">
        <v>104</v>
      </c>
      <c r="G7266" t="s">
        <v>276</v>
      </c>
      <c r="H7266" t="s">
        <v>276</v>
      </c>
      <c r="I7266" t="s">
        <v>43</v>
      </c>
      <c r="J7266" t="s">
        <v>44</v>
      </c>
      <c r="K7266" t="s">
        <v>48</v>
      </c>
      <c r="L7266" t="s">
        <v>49</v>
      </c>
      <c r="M7266" t="s">
        <v>277</v>
      </c>
      <c r="N7266">
        <v>3766</v>
      </c>
      <c r="O7266">
        <v>7.4808451999999998E-2</v>
      </c>
      <c r="P7266">
        <v>6.5411874999999994E-2</v>
      </c>
      <c r="Q7266" t="str">
        <f t="shared" si="226"/>
        <v>35-49</v>
      </c>
      <c r="R7266" t="str">
        <f t="shared" si="227"/>
        <v>[TYnMSwzko3z]|35-49|Male|PLHIV_Residents.T2|CY2026Q3</v>
      </c>
    </row>
    <row r="7267" spans="4:18" x14ac:dyDescent="0.2">
      <c r="D7267" t="s">
        <v>102</v>
      </c>
      <c r="E7267" t="s">
        <v>103</v>
      </c>
      <c r="F7267" t="s">
        <v>104</v>
      </c>
      <c r="G7267" t="s">
        <v>276</v>
      </c>
      <c r="H7267" t="s">
        <v>276</v>
      </c>
      <c r="I7267" t="s">
        <v>45</v>
      </c>
      <c r="J7267" t="s">
        <v>46</v>
      </c>
      <c r="K7267" t="s">
        <v>48</v>
      </c>
      <c r="L7267" t="s">
        <v>49</v>
      </c>
      <c r="M7267" t="s">
        <v>277</v>
      </c>
      <c r="N7267">
        <v>3697</v>
      </c>
      <c r="O7267">
        <v>7.1178736000000006E-2</v>
      </c>
      <c r="P7267">
        <v>6.5411874999999994E-2</v>
      </c>
      <c r="Q7267" t="str">
        <f t="shared" si="226"/>
        <v>50+</v>
      </c>
      <c r="R7267" t="str">
        <f t="shared" si="227"/>
        <v>[TYnMSwzko3z]|50+|Male|PLHIV_Residents.T2|CY2026Q3</v>
      </c>
    </row>
    <row r="7268" spans="4:18" x14ac:dyDescent="0.2">
      <c r="D7268" t="s">
        <v>105</v>
      </c>
      <c r="E7268" t="s">
        <v>106</v>
      </c>
      <c r="F7268" t="s">
        <v>107</v>
      </c>
      <c r="G7268" t="s">
        <v>276</v>
      </c>
      <c r="H7268" t="s">
        <v>276</v>
      </c>
      <c r="I7268" t="s">
        <v>28</v>
      </c>
      <c r="J7268" t="s">
        <v>29</v>
      </c>
      <c r="K7268" t="s">
        <v>30</v>
      </c>
      <c r="L7268" t="s">
        <v>31</v>
      </c>
      <c r="M7268" t="s">
        <v>277</v>
      </c>
      <c r="N7268">
        <v>33</v>
      </c>
      <c r="O7268">
        <v>4.0119415999999998E-2</v>
      </c>
      <c r="P7268">
        <v>3.6495057999999997E-2</v>
      </c>
      <c r="Q7268" t="str">
        <f t="shared" si="226"/>
        <v>&lt;01</v>
      </c>
      <c r="R7268" t="str">
        <f t="shared" si="227"/>
        <v>[fyEoGEPERdI]|&lt;01|Female|PLHIV_Residents.T2|CY2026Q3</v>
      </c>
    </row>
    <row r="7269" spans="4:18" x14ac:dyDescent="0.2">
      <c r="D7269" t="s">
        <v>105</v>
      </c>
      <c r="E7269" t="s">
        <v>106</v>
      </c>
      <c r="F7269" t="s">
        <v>107</v>
      </c>
      <c r="G7269" t="s">
        <v>276</v>
      </c>
      <c r="H7269" t="s">
        <v>276</v>
      </c>
      <c r="I7269" t="s">
        <v>33</v>
      </c>
      <c r="J7269" t="s">
        <v>34</v>
      </c>
      <c r="K7269" t="s">
        <v>30</v>
      </c>
      <c r="L7269" t="s">
        <v>31</v>
      </c>
      <c r="M7269" t="s">
        <v>277</v>
      </c>
      <c r="N7269">
        <v>555</v>
      </c>
      <c r="O7269">
        <v>4.3619141E-2</v>
      </c>
      <c r="P7269">
        <v>3.6495057999999997E-2</v>
      </c>
      <c r="Q7269" t="str">
        <f t="shared" si="226"/>
        <v>01-09</v>
      </c>
      <c r="R7269" t="str">
        <f t="shared" si="227"/>
        <v>[fyEoGEPERdI]|01-09|Female|PLHIV_Residents.T2|CY2026Q3</v>
      </c>
    </row>
    <row r="7270" spans="4:18" x14ac:dyDescent="0.2">
      <c r="D7270" t="s">
        <v>105</v>
      </c>
      <c r="E7270" t="s">
        <v>106</v>
      </c>
      <c r="F7270" t="s">
        <v>107</v>
      </c>
      <c r="G7270" t="s">
        <v>276</v>
      </c>
      <c r="H7270" t="s">
        <v>276</v>
      </c>
      <c r="I7270" t="s">
        <v>36</v>
      </c>
      <c r="J7270" t="s">
        <v>37</v>
      </c>
      <c r="K7270" t="s">
        <v>30</v>
      </c>
      <c r="L7270" t="s">
        <v>31</v>
      </c>
      <c r="M7270" t="s">
        <v>277</v>
      </c>
      <c r="N7270">
        <v>720</v>
      </c>
      <c r="O7270">
        <v>5.1597232E-2</v>
      </c>
      <c r="P7270">
        <v>3.6495057999999997E-2</v>
      </c>
      <c r="Q7270" t="str">
        <f t="shared" si="226"/>
        <v>10-14</v>
      </c>
      <c r="R7270" t="str">
        <f t="shared" si="227"/>
        <v>[fyEoGEPERdI]|10-14|Female|PLHIV_Residents.T2|CY2026Q3</v>
      </c>
    </row>
    <row r="7271" spans="4:18" x14ac:dyDescent="0.2">
      <c r="D7271" t="s">
        <v>105</v>
      </c>
      <c r="E7271" t="s">
        <v>106</v>
      </c>
      <c r="F7271" t="s">
        <v>107</v>
      </c>
      <c r="G7271" t="s">
        <v>276</v>
      </c>
      <c r="H7271" t="s">
        <v>276</v>
      </c>
      <c r="I7271" t="s">
        <v>38</v>
      </c>
      <c r="J7271" t="s">
        <v>39</v>
      </c>
      <c r="K7271" t="s">
        <v>30</v>
      </c>
      <c r="L7271" t="s">
        <v>31</v>
      </c>
      <c r="M7271" t="s">
        <v>277</v>
      </c>
      <c r="N7271">
        <v>3194</v>
      </c>
      <c r="O7271">
        <v>6.3062206999999995E-2</v>
      </c>
      <c r="P7271">
        <v>3.6495057999999997E-2</v>
      </c>
      <c r="Q7271" t="str">
        <f t="shared" si="226"/>
        <v>15-24</v>
      </c>
      <c r="R7271" t="str">
        <f t="shared" si="227"/>
        <v>[fyEoGEPERdI]|15-24|Female|PLHIV_Residents.T2|CY2026Q3</v>
      </c>
    </row>
    <row r="7272" spans="4:18" x14ac:dyDescent="0.2">
      <c r="D7272" t="s">
        <v>105</v>
      </c>
      <c r="E7272" t="s">
        <v>106</v>
      </c>
      <c r="F7272" t="s">
        <v>107</v>
      </c>
      <c r="G7272" t="s">
        <v>276</v>
      </c>
      <c r="H7272" t="s">
        <v>276</v>
      </c>
      <c r="I7272" t="s">
        <v>41</v>
      </c>
      <c r="J7272" t="s">
        <v>42</v>
      </c>
      <c r="K7272" t="s">
        <v>30</v>
      </c>
      <c r="L7272" t="s">
        <v>31</v>
      </c>
      <c r="M7272" t="s">
        <v>277</v>
      </c>
      <c r="N7272">
        <v>7694</v>
      </c>
      <c r="O7272">
        <v>5.0082880000000003E-2</v>
      </c>
      <c r="P7272">
        <v>3.6495057999999997E-2</v>
      </c>
      <c r="Q7272" t="str">
        <f t="shared" si="226"/>
        <v>25-34</v>
      </c>
      <c r="R7272" t="str">
        <f t="shared" si="227"/>
        <v>[fyEoGEPERdI]|25-34|Female|PLHIV_Residents.T2|CY2026Q3</v>
      </c>
    </row>
    <row r="7273" spans="4:18" x14ac:dyDescent="0.2">
      <c r="D7273" t="s">
        <v>105</v>
      </c>
      <c r="E7273" t="s">
        <v>106</v>
      </c>
      <c r="F7273" t="s">
        <v>107</v>
      </c>
      <c r="G7273" t="s">
        <v>276</v>
      </c>
      <c r="H7273" t="s">
        <v>276</v>
      </c>
      <c r="I7273" t="s">
        <v>43</v>
      </c>
      <c r="J7273" t="s">
        <v>44</v>
      </c>
      <c r="K7273" t="s">
        <v>30</v>
      </c>
      <c r="L7273" t="s">
        <v>31</v>
      </c>
      <c r="M7273" t="s">
        <v>277</v>
      </c>
      <c r="N7273">
        <v>21327</v>
      </c>
      <c r="O7273">
        <v>3.7858185000000003E-2</v>
      </c>
      <c r="P7273">
        <v>3.6495057999999997E-2</v>
      </c>
      <c r="Q7273" t="str">
        <f t="shared" si="226"/>
        <v>35-49</v>
      </c>
      <c r="R7273" t="str">
        <f t="shared" si="227"/>
        <v>[fyEoGEPERdI]|35-49|Female|PLHIV_Residents.T2|CY2026Q3</v>
      </c>
    </row>
    <row r="7274" spans="4:18" x14ac:dyDescent="0.2">
      <c r="D7274" t="s">
        <v>105</v>
      </c>
      <c r="E7274" t="s">
        <v>106</v>
      </c>
      <c r="F7274" t="s">
        <v>107</v>
      </c>
      <c r="G7274" t="s">
        <v>276</v>
      </c>
      <c r="H7274" t="s">
        <v>276</v>
      </c>
      <c r="I7274" t="s">
        <v>45</v>
      </c>
      <c r="J7274" t="s">
        <v>46</v>
      </c>
      <c r="K7274" t="s">
        <v>30</v>
      </c>
      <c r="L7274" t="s">
        <v>31</v>
      </c>
      <c r="M7274" t="s">
        <v>277</v>
      </c>
      <c r="N7274">
        <v>11301</v>
      </c>
      <c r="O7274">
        <v>4.5659700999999997E-2</v>
      </c>
      <c r="P7274">
        <v>3.6495057999999997E-2</v>
      </c>
      <c r="Q7274" t="str">
        <f t="shared" si="226"/>
        <v>50+</v>
      </c>
      <c r="R7274" t="str">
        <f t="shared" si="227"/>
        <v>[fyEoGEPERdI]|50+|Female|PLHIV_Residents.T2|CY2026Q3</v>
      </c>
    </row>
    <row r="7275" spans="4:18" x14ac:dyDescent="0.2">
      <c r="D7275" t="s">
        <v>105</v>
      </c>
      <c r="E7275" t="s">
        <v>106</v>
      </c>
      <c r="F7275" t="s">
        <v>107</v>
      </c>
      <c r="G7275" t="s">
        <v>276</v>
      </c>
      <c r="H7275" t="s">
        <v>276</v>
      </c>
      <c r="I7275" t="s">
        <v>28</v>
      </c>
      <c r="J7275" t="s">
        <v>29</v>
      </c>
      <c r="K7275" t="s">
        <v>48</v>
      </c>
      <c r="L7275" t="s">
        <v>49</v>
      </c>
      <c r="M7275" t="s">
        <v>277</v>
      </c>
      <c r="N7275">
        <v>33</v>
      </c>
      <c r="O7275">
        <v>4.0102106999999998E-2</v>
      </c>
      <c r="P7275">
        <v>3.6495057999999997E-2</v>
      </c>
      <c r="Q7275" t="str">
        <f t="shared" si="226"/>
        <v>&lt;01</v>
      </c>
      <c r="R7275" t="str">
        <f t="shared" si="227"/>
        <v>[fyEoGEPERdI]|&lt;01|Male|PLHIV_Residents.T2|CY2026Q3</v>
      </c>
    </row>
    <row r="7276" spans="4:18" x14ac:dyDescent="0.2">
      <c r="D7276" t="s">
        <v>105</v>
      </c>
      <c r="E7276" t="s">
        <v>106</v>
      </c>
      <c r="F7276" t="s">
        <v>107</v>
      </c>
      <c r="G7276" t="s">
        <v>276</v>
      </c>
      <c r="H7276" t="s">
        <v>276</v>
      </c>
      <c r="I7276" t="s">
        <v>33</v>
      </c>
      <c r="J7276" t="s">
        <v>34</v>
      </c>
      <c r="K7276" t="s">
        <v>48</v>
      </c>
      <c r="L7276" t="s">
        <v>49</v>
      </c>
      <c r="M7276" t="s">
        <v>277</v>
      </c>
      <c r="N7276">
        <v>565</v>
      </c>
      <c r="O7276">
        <v>4.3617073999999999E-2</v>
      </c>
      <c r="P7276">
        <v>3.6495057999999997E-2</v>
      </c>
      <c r="Q7276" t="str">
        <f t="shared" si="226"/>
        <v>01-09</v>
      </c>
      <c r="R7276" t="str">
        <f t="shared" si="227"/>
        <v>[fyEoGEPERdI]|01-09|Male|PLHIV_Residents.T2|CY2026Q3</v>
      </c>
    </row>
    <row r="7277" spans="4:18" x14ac:dyDescent="0.2">
      <c r="D7277" t="s">
        <v>105</v>
      </c>
      <c r="E7277" t="s">
        <v>106</v>
      </c>
      <c r="F7277" t="s">
        <v>107</v>
      </c>
      <c r="G7277" t="s">
        <v>276</v>
      </c>
      <c r="H7277" t="s">
        <v>276</v>
      </c>
      <c r="I7277" t="s">
        <v>36</v>
      </c>
      <c r="J7277" t="s">
        <v>37</v>
      </c>
      <c r="K7277" t="s">
        <v>48</v>
      </c>
      <c r="L7277" t="s">
        <v>49</v>
      </c>
      <c r="M7277" t="s">
        <v>277</v>
      </c>
      <c r="N7277">
        <v>729</v>
      </c>
      <c r="O7277">
        <v>5.1828951999999998E-2</v>
      </c>
      <c r="P7277">
        <v>3.6495057999999997E-2</v>
      </c>
      <c r="Q7277" t="str">
        <f t="shared" si="226"/>
        <v>10-14</v>
      </c>
      <c r="R7277" t="str">
        <f t="shared" si="227"/>
        <v>[fyEoGEPERdI]|10-14|Male|PLHIV_Residents.T2|CY2026Q3</v>
      </c>
    </row>
    <row r="7278" spans="4:18" x14ac:dyDescent="0.2">
      <c r="D7278" t="s">
        <v>105</v>
      </c>
      <c r="E7278" t="s">
        <v>106</v>
      </c>
      <c r="F7278" t="s">
        <v>107</v>
      </c>
      <c r="G7278" t="s">
        <v>276</v>
      </c>
      <c r="H7278" t="s">
        <v>276</v>
      </c>
      <c r="I7278" t="s">
        <v>38</v>
      </c>
      <c r="J7278" t="s">
        <v>39</v>
      </c>
      <c r="K7278" t="s">
        <v>48</v>
      </c>
      <c r="L7278" t="s">
        <v>49</v>
      </c>
      <c r="M7278" t="s">
        <v>277</v>
      </c>
      <c r="N7278">
        <v>2261</v>
      </c>
      <c r="O7278">
        <v>6.8412896000000001E-2</v>
      </c>
      <c r="P7278">
        <v>3.6495057999999997E-2</v>
      </c>
      <c r="Q7278" t="str">
        <f t="shared" si="226"/>
        <v>15-24</v>
      </c>
      <c r="R7278" t="str">
        <f t="shared" si="227"/>
        <v>[fyEoGEPERdI]|15-24|Male|PLHIV_Residents.T2|CY2026Q3</v>
      </c>
    </row>
    <row r="7279" spans="4:18" x14ac:dyDescent="0.2">
      <c r="D7279" t="s">
        <v>105</v>
      </c>
      <c r="E7279" t="s">
        <v>106</v>
      </c>
      <c r="F7279" t="s">
        <v>107</v>
      </c>
      <c r="G7279" t="s">
        <v>276</v>
      </c>
      <c r="H7279" t="s">
        <v>276</v>
      </c>
      <c r="I7279" t="s">
        <v>41</v>
      </c>
      <c r="J7279" t="s">
        <v>42</v>
      </c>
      <c r="K7279" t="s">
        <v>48</v>
      </c>
      <c r="L7279" t="s">
        <v>49</v>
      </c>
      <c r="M7279" t="s">
        <v>277</v>
      </c>
      <c r="N7279">
        <v>2971</v>
      </c>
      <c r="O7279">
        <v>6.9685141000000006E-2</v>
      </c>
      <c r="P7279">
        <v>3.6495057999999997E-2</v>
      </c>
      <c r="Q7279" t="str">
        <f t="shared" si="226"/>
        <v>25-34</v>
      </c>
      <c r="R7279" t="str">
        <f t="shared" si="227"/>
        <v>[fyEoGEPERdI]|25-34|Male|PLHIV_Residents.T2|CY2026Q3</v>
      </c>
    </row>
    <row r="7280" spans="4:18" x14ac:dyDescent="0.2">
      <c r="D7280" t="s">
        <v>105</v>
      </c>
      <c r="E7280" t="s">
        <v>106</v>
      </c>
      <c r="F7280" t="s">
        <v>107</v>
      </c>
      <c r="G7280" t="s">
        <v>276</v>
      </c>
      <c r="H7280" t="s">
        <v>276</v>
      </c>
      <c r="I7280" t="s">
        <v>43</v>
      </c>
      <c r="J7280" t="s">
        <v>44</v>
      </c>
      <c r="K7280" t="s">
        <v>48</v>
      </c>
      <c r="L7280" t="s">
        <v>49</v>
      </c>
      <c r="M7280" t="s">
        <v>277</v>
      </c>
      <c r="N7280">
        <v>10100</v>
      </c>
      <c r="O7280">
        <v>4.4334012999999999E-2</v>
      </c>
      <c r="P7280">
        <v>3.6495057999999997E-2</v>
      </c>
      <c r="Q7280" t="str">
        <f t="shared" si="226"/>
        <v>35-49</v>
      </c>
      <c r="R7280" t="str">
        <f t="shared" si="227"/>
        <v>[fyEoGEPERdI]|35-49|Male|PLHIV_Residents.T2|CY2026Q3</v>
      </c>
    </row>
    <row r="7281" spans="4:18" x14ac:dyDescent="0.2">
      <c r="D7281" t="s">
        <v>105</v>
      </c>
      <c r="E7281" t="s">
        <v>106</v>
      </c>
      <c r="F7281" t="s">
        <v>107</v>
      </c>
      <c r="G7281" t="s">
        <v>276</v>
      </c>
      <c r="H7281" t="s">
        <v>276</v>
      </c>
      <c r="I7281" t="s">
        <v>45</v>
      </c>
      <c r="J7281" t="s">
        <v>46</v>
      </c>
      <c r="K7281" t="s">
        <v>48</v>
      </c>
      <c r="L7281" t="s">
        <v>49</v>
      </c>
      <c r="M7281" t="s">
        <v>277</v>
      </c>
      <c r="N7281">
        <v>8528</v>
      </c>
      <c r="O7281">
        <v>4.0750170000000002E-2</v>
      </c>
      <c r="P7281">
        <v>3.6495057999999997E-2</v>
      </c>
      <c r="Q7281" t="str">
        <f t="shared" si="226"/>
        <v>50+</v>
      </c>
      <c r="R7281" t="str">
        <f t="shared" si="227"/>
        <v>[fyEoGEPERdI]|50+|Male|PLHIV_Residents.T2|CY2026Q3</v>
      </c>
    </row>
    <row r="7282" spans="4:18" x14ac:dyDescent="0.2">
      <c r="D7282" t="s">
        <v>108</v>
      </c>
      <c r="E7282" t="s">
        <v>109</v>
      </c>
      <c r="F7282" t="s">
        <v>110</v>
      </c>
      <c r="G7282" t="s">
        <v>276</v>
      </c>
      <c r="H7282" t="s">
        <v>276</v>
      </c>
      <c r="I7282" t="s">
        <v>28</v>
      </c>
      <c r="J7282" t="s">
        <v>29</v>
      </c>
      <c r="K7282" t="s">
        <v>30</v>
      </c>
      <c r="L7282" t="s">
        <v>31</v>
      </c>
      <c r="M7282" t="s">
        <v>277</v>
      </c>
      <c r="N7282">
        <v>29</v>
      </c>
      <c r="O7282">
        <v>4.9072379999999999E-2</v>
      </c>
      <c r="P7282">
        <v>4.4222629999999999E-2</v>
      </c>
      <c r="Q7282" t="str">
        <f t="shared" si="226"/>
        <v>&lt;01</v>
      </c>
      <c r="R7282" t="str">
        <f t="shared" si="227"/>
        <v>[umc2n1Z4wNv]|&lt;01|Female|PLHIV_Residents.T2|CY2026Q3</v>
      </c>
    </row>
    <row r="7283" spans="4:18" x14ac:dyDescent="0.2">
      <c r="D7283" t="s">
        <v>108</v>
      </c>
      <c r="E7283" t="s">
        <v>109</v>
      </c>
      <c r="F7283" t="s">
        <v>110</v>
      </c>
      <c r="G7283" t="s">
        <v>276</v>
      </c>
      <c r="H7283" t="s">
        <v>276</v>
      </c>
      <c r="I7283" t="s">
        <v>33</v>
      </c>
      <c r="J7283" t="s">
        <v>34</v>
      </c>
      <c r="K7283" t="s">
        <v>30</v>
      </c>
      <c r="L7283" t="s">
        <v>31</v>
      </c>
      <c r="M7283" t="s">
        <v>277</v>
      </c>
      <c r="N7283">
        <v>482</v>
      </c>
      <c r="O7283">
        <v>5.5601076999999999E-2</v>
      </c>
      <c r="P7283">
        <v>4.4222629999999999E-2</v>
      </c>
      <c r="Q7283" t="str">
        <f t="shared" si="226"/>
        <v>01-09</v>
      </c>
      <c r="R7283" t="str">
        <f t="shared" si="227"/>
        <v>[umc2n1Z4wNv]|01-09|Female|PLHIV_Residents.T2|CY2026Q3</v>
      </c>
    </row>
    <row r="7284" spans="4:18" x14ac:dyDescent="0.2">
      <c r="D7284" t="s">
        <v>108</v>
      </c>
      <c r="E7284" t="s">
        <v>109</v>
      </c>
      <c r="F7284" t="s">
        <v>110</v>
      </c>
      <c r="G7284" t="s">
        <v>276</v>
      </c>
      <c r="H7284" t="s">
        <v>276</v>
      </c>
      <c r="I7284" t="s">
        <v>36</v>
      </c>
      <c r="J7284" t="s">
        <v>37</v>
      </c>
      <c r="K7284" t="s">
        <v>30</v>
      </c>
      <c r="L7284" t="s">
        <v>31</v>
      </c>
      <c r="M7284" t="s">
        <v>277</v>
      </c>
      <c r="N7284">
        <v>606</v>
      </c>
      <c r="O7284">
        <v>7.1431783999999998E-2</v>
      </c>
      <c r="P7284">
        <v>4.4222629999999999E-2</v>
      </c>
      <c r="Q7284" t="str">
        <f t="shared" si="226"/>
        <v>10-14</v>
      </c>
      <c r="R7284" t="str">
        <f t="shared" si="227"/>
        <v>[umc2n1Z4wNv]|10-14|Female|PLHIV_Residents.T2|CY2026Q3</v>
      </c>
    </row>
    <row r="7285" spans="4:18" x14ac:dyDescent="0.2">
      <c r="D7285" t="s">
        <v>108</v>
      </c>
      <c r="E7285" t="s">
        <v>109</v>
      </c>
      <c r="F7285" t="s">
        <v>110</v>
      </c>
      <c r="G7285" t="s">
        <v>276</v>
      </c>
      <c r="H7285" t="s">
        <v>276</v>
      </c>
      <c r="I7285" t="s">
        <v>38</v>
      </c>
      <c r="J7285" t="s">
        <v>39</v>
      </c>
      <c r="K7285" t="s">
        <v>30</v>
      </c>
      <c r="L7285" t="s">
        <v>31</v>
      </c>
      <c r="M7285" t="s">
        <v>277</v>
      </c>
      <c r="N7285">
        <v>2851</v>
      </c>
      <c r="O7285">
        <v>7.4222521E-2</v>
      </c>
      <c r="P7285">
        <v>4.4222629999999999E-2</v>
      </c>
      <c r="Q7285" t="str">
        <f t="shared" si="226"/>
        <v>15-24</v>
      </c>
      <c r="R7285" t="str">
        <f t="shared" si="227"/>
        <v>[umc2n1Z4wNv]|15-24|Female|PLHIV_Residents.T2|CY2026Q3</v>
      </c>
    </row>
    <row r="7286" spans="4:18" x14ac:dyDescent="0.2">
      <c r="D7286" t="s">
        <v>108</v>
      </c>
      <c r="E7286" t="s">
        <v>109</v>
      </c>
      <c r="F7286" t="s">
        <v>110</v>
      </c>
      <c r="G7286" t="s">
        <v>276</v>
      </c>
      <c r="H7286" t="s">
        <v>276</v>
      </c>
      <c r="I7286" t="s">
        <v>41</v>
      </c>
      <c r="J7286" t="s">
        <v>42</v>
      </c>
      <c r="K7286" t="s">
        <v>30</v>
      </c>
      <c r="L7286" t="s">
        <v>31</v>
      </c>
      <c r="M7286" t="s">
        <v>277</v>
      </c>
      <c r="N7286">
        <v>6822</v>
      </c>
      <c r="O7286">
        <v>5.9196472E-2</v>
      </c>
      <c r="P7286">
        <v>4.4222629999999999E-2</v>
      </c>
      <c r="Q7286" t="str">
        <f t="shared" si="226"/>
        <v>25-34</v>
      </c>
      <c r="R7286" t="str">
        <f t="shared" si="227"/>
        <v>[umc2n1Z4wNv]|25-34|Female|PLHIV_Residents.T2|CY2026Q3</v>
      </c>
    </row>
    <row r="7287" spans="4:18" x14ac:dyDescent="0.2">
      <c r="D7287" t="s">
        <v>108</v>
      </c>
      <c r="E7287" t="s">
        <v>109</v>
      </c>
      <c r="F7287" t="s">
        <v>110</v>
      </c>
      <c r="G7287" t="s">
        <v>276</v>
      </c>
      <c r="H7287" t="s">
        <v>276</v>
      </c>
      <c r="I7287" t="s">
        <v>43</v>
      </c>
      <c r="J7287" t="s">
        <v>44</v>
      </c>
      <c r="K7287" t="s">
        <v>30</v>
      </c>
      <c r="L7287" t="s">
        <v>31</v>
      </c>
      <c r="M7287" t="s">
        <v>277</v>
      </c>
      <c r="N7287">
        <v>19760</v>
      </c>
      <c r="O7287">
        <v>4.4023634999999998E-2</v>
      </c>
      <c r="P7287">
        <v>4.4222629999999999E-2</v>
      </c>
      <c r="Q7287" t="str">
        <f t="shared" si="226"/>
        <v>35-49</v>
      </c>
      <c r="R7287" t="str">
        <f t="shared" si="227"/>
        <v>[umc2n1Z4wNv]|35-49|Female|PLHIV_Residents.T2|CY2026Q3</v>
      </c>
    </row>
    <row r="7288" spans="4:18" x14ac:dyDescent="0.2">
      <c r="D7288" t="s">
        <v>108</v>
      </c>
      <c r="E7288" t="s">
        <v>109</v>
      </c>
      <c r="F7288" t="s">
        <v>110</v>
      </c>
      <c r="G7288" t="s">
        <v>276</v>
      </c>
      <c r="H7288" t="s">
        <v>276</v>
      </c>
      <c r="I7288" t="s">
        <v>45</v>
      </c>
      <c r="J7288" t="s">
        <v>46</v>
      </c>
      <c r="K7288" t="s">
        <v>30</v>
      </c>
      <c r="L7288" t="s">
        <v>31</v>
      </c>
      <c r="M7288" t="s">
        <v>277</v>
      </c>
      <c r="N7288">
        <v>11362</v>
      </c>
      <c r="O7288">
        <v>4.8115766999999997E-2</v>
      </c>
      <c r="P7288">
        <v>4.4222629999999999E-2</v>
      </c>
      <c r="Q7288" t="str">
        <f t="shared" si="226"/>
        <v>50+</v>
      </c>
      <c r="R7288" t="str">
        <f t="shared" si="227"/>
        <v>[umc2n1Z4wNv]|50+|Female|PLHIV_Residents.T2|CY2026Q3</v>
      </c>
    </row>
    <row r="7289" spans="4:18" x14ac:dyDescent="0.2">
      <c r="D7289" t="s">
        <v>108</v>
      </c>
      <c r="E7289" t="s">
        <v>109</v>
      </c>
      <c r="F7289" t="s">
        <v>110</v>
      </c>
      <c r="G7289" t="s">
        <v>276</v>
      </c>
      <c r="H7289" t="s">
        <v>276</v>
      </c>
      <c r="I7289" t="s">
        <v>28</v>
      </c>
      <c r="J7289" t="s">
        <v>29</v>
      </c>
      <c r="K7289" t="s">
        <v>48</v>
      </c>
      <c r="L7289" t="s">
        <v>49</v>
      </c>
      <c r="M7289" t="s">
        <v>277</v>
      </c>
      <c r="N7289">
        <v>30</v>
      </c>
      <c r="O7289">
        <v>4.9127542000000003E-2</v>
      </c>
      <c r="P7289">
        <v>4.4222629999999999E-2</v>
      </c>
      <c r="Q7289" t="str">
        <f t="shared" si="226"/>
        <v>&lt;01</v>
      </c>
      <c r="R7289" t="str">
        <f t="shared" si="227"/>
        <v>[umc2n1Z4wNv]|&lt;01|Male|PLHIV_Residents.T2|CY2026Q3</v>
      </c>
    </row>
    <row r="7290" spans="4:18" x14ac:dyDescent="0.2">
      <c r="D7290" t="s">
        <v>108</v>
      </c>
      <c r="E7290" t="s">
        <v>109</v>
      </c>
      <c r="F7290" t="s">
        <v>110</v>
      </c>
      <c r="G7290" t="s">
        <v>276</v>
      </c>
      <c r="H7290" t="s">
        <v>276</v>
      </c>
      <c r="I7290" t="s">
        <v>33</v>
      </c>
      <c r="J7290" t="s">
        <v>34</v>
      </c>
      <c r="K7290" t="s">
        <v>48</v>
      </c>
      <c r="L7290" t="s">
        <v>49</v>
      </c>
      <c r="M7290" t="s">
        <v>277</v>
      </c>
      <c r="N7290">
        <v>493</v>
      </c>
      <c r="O7290">
        <v>5.5696168999999997E-2</v>
      </c>
      <c r="P7290">
        <v>4.4222629999999999E-2</v>
      </c>
      <c r="Q7290" t="str">
        <f t="shared" si="226"/>
        <v>01-09</v>
      </c>
      <c r="R7290" t="str">
        <f t="shared" si="227"/>
        <v>[umc2n1Z4wNv]|01-09|Male|PLHIV_Residents.T2|CY2026Q3</v>
      </c>
    </row>
    <row r="7291" spans="4:18" x14ac:dyDescent="0.2">
      <c r="D7291" t="s">
        <v>108</v>
      </c>
      <c r="E7291" t="s">
        <v>109</v>
      </c>
      <c r="F7291" t="s">
        <v>110</v>
      </c>
      <c r="G7291" t="s">
        <v>276</v>
      </c>
      <c r="H7291" t="s">
        <v>276</v>
      </c>
      <c r="I7291" t="s">
        <v>36</v>
      </c>
      <c r="J7291" t="s">
        <v>37</v>
      </c>
      <c r="K7291" t="s">
        <v>48</v>
      </c>
      <c r="L7291" t="s">
        <v>49</v>
      </c>
      <c r="M7291" t="s">
        <v>277</v>
      </c>
      <c r="N7291">
        <v>621</v>
      </c>
      <c r="O7291">
        <v>7.1453402999999999E-2</v>
      </c>
      <c r="P7291">
        <v>4.4222629999999999E-2</v>
      </c>
      <c r="Q7291" t="str">
        <f t="shared" si="226"/>
        <v>10-14</v>
      </c>
      <c r="R7291" t="str">
        <f t="shared" si="227"/>
        <v>[umc2n1Z4wNv]|10-14|Male|PLHIV_Residents.T2|CY2026Q3</v>
      </c>
    </row>
    <row r="7292" spans="4:18" x14ac:dyDescent="0.2">
      <c r="D7292" t="s">
        <v>108</v>
      </c>
      <c r="E7292" t="s">
        <v>109</v>
      </c>
      <c r="F7292" t="s">
        <v>110</v>
      </c>
      <c r="G7292" t="s">
        <v>276</v>
      </c>
      <c r="H7292" t="s">
        <v>276</v>
      </c>
      <c r="I7292" t="s">
        <v>38</v>
      </c>
      <c r="J7292" t="s">
        <v>39</v>
      </c>
      <c r="K7292" t="s">
        <v>48</v>
      </c>
      <c r="L7292" t="s">
        <v>49</v>
      </c>
      <c r="M7292" t="s">
        <v>277</v>
      </c>
      <c r="N7292">
        <v>2023</v>
      </c>
      <c r="O7292">
        <v>7.7394267000000003E-2</v>
      </c>
      <c r="P7292">
        <v>4.4222629999999999E-2</v>
      </c>
      <c r="Q7292" t="str">
        <f t="shared" si="226"/>
        <v>15-24</v>
      </c>
      <c r="R7292" t="str">
        <f t="shared" si="227"/>
        <v>[umc2n1Z4wNv]|15-24|Male|PLHIV_Residents.T2|CY2026Q3</v>
      </c>
    </row>
    <row r="7293" spans="4:18" x14ac:dyDescent="0.2">
      <c r="D7293" t="s">
        <v>108</v>
      </c>
      <c r="E7293" t="s">
        <v>109</v>
      </c>
      <c r="F7293" t="s">
        <v>110</v>
      </c>
      <c r="G7293" t="s">
        <v>276</v>
      </c>
      <c r="H7293" t="s">
        <v>276</v>
      </c>
      <c r="I7293" t="s">
        <v>41</v>
      </c>
      <c r="J7293" t="s">
        <v>42</v>
      </c>
      <c r="K7293" t="s">
        <v>48</v>
      </c>
      <c r="L7293" t="s">
        <v>49</v>
      </c>
      <c r="M7293" t="s">
        <v>277</v>
      </c>
      <c r="N7293">
        <v>2536</v>
      </c>
      <c r="O7293">
        <v>7.6581313999999998E-2</v>
      </c>
      <c r="P7293">
        <v>4.4222629999999999E-2</v>
      </c>
      <c r="Q7293" t="str">
        <f t="shared" si="226"/>
        <v>25-34</v>
      </c>
      <c r="R7293" t="str">
        <f t="shared" si="227"/>
        <v>[umc2n1Z4wNv]|25-34|Male|PLHIV_Residents.T2|CY2026Q3</v>
      </c>
    </row>
    <row r="7294" spans="4:18" x14ac:dyDescent="0.2">
      <c r="D7294" t="s">
        <v>108</v>
      </c>
      <c r="E7294" t="s">
        <v>109</v>
      </c>
      <c r="F7294" t="s">
        <v>110</v>
      </c>
      <c r="G7294" t="s">
        <v>276</v>
      </c>
      <c r="H7294" t="s">
        <v>276</v>
      </c>
      <c r="I7294" t="s">
        <v>43</v>
      </c>
      <c r="J7294" t="s">
        <v>44</v>
      </c>
      <c r="K7294" t="s">
        <v>48</v>
      </c>
      <c r="L7294" t="s">
        <v>49</v>
      </c>
      <c r="M7294" t="s">
        <v>277</v>
      </c>
      <c r="N7294">
        <v>8735</v>
      </c>
      <c r="O7294">
        <v>5.0938741000000003E-2</v>
      </c>
      <c r="P7294">
        <v>4.4222629999999999E-2</v>
      </c>
      <c r="Q7294" t="str">
        <f t="shared" si="226"/>
        <v>35-49</v>
      </c>
      <c r="R7294" t="str">
        <f t="shared" si="227"/>
        <v>[umc2n1Z4wNv]|35-49|Male|PLHIV_Residents.T2|CY2026Q3</v>
      </c>
    </row>
    <row r="7295" spans="4:18" x14ac:dyDescent="0.2">
      <c r="D7295" t="s">
        <v>108</v>
      </c>
      <c r="E7295" t="s">
        <v>109</v>
      </c>
      <c r="F7295" t="s">
        <v>110</v>
      </c>
      <c r="G7295" t="s">
        <v>276</v>
      </c>
      <c r="H7295" t="s">
        <v>276</v>
      </c>
      <c r="I7295" t="s">
        <v>45</v>
      </c>
      <c r="J7295" t="s">
        <v>46</v>
      </c>
      <c r="K7295" t="s">
        <v>48</v>
      </c>
      <c r="L7295" t="s">
        <v>49</v>
      </c>
      <c r="M7295" t="s">
        <v>277</v>
      </c>
      <c r="N7295">
        <v>7484</v>
      </c>
      <c r="O7295">
        <v>5.0194941E-2</v>
      </c>
      <c r="P7295">
        <v>4.4222629999999999E-2</v>
      </c>
      <c r="Q7295" t="str">
        <f t="shared" si="226"/>
        <v>50+</v>
      </c>
      <c r="R7295" t="str">
        <f t="shared" si="227"/>
        <v>[umc2n1Z4wNv]|50+|Male|PLHIV_Residents.T2|CY2026Q3</v>
      </c>
    </row>
    <row r="7296" spans="4:18" x14ac:dyDescent="0.2">
      <c r="D7296" t="s">
        <v>111</v>
      </c>
      <c r="E7296" t="s">
        <v>112</v>
      </c>
      <c r="F7296" t="s">
        <v>113</v>
      </c>
      <c r="G7296" t="s">
        <v>276</v>
      </c>
      <c r="H7296" t="s">
        <v>276</v>
      </c>
      <c r="I7296" t="s">
        <v>28</v>
      </c>
      <c r="J7296" t="s">
        <v>29</v>
      </c>
      <c r="K7296" t="s">
        <v>30</v>
      </c>
      <c r="L7296" t="s">
        <v>31</v>
      </c>
      <c r="M7296" t="s">
        <v>277</v>
      </c>
      <c r="N7296">
        <v>19</v>
      </c>
      <c r="O7296">
        <v>4.6051626999999998E-2</v>
      </c>
      <c r="P7296">
        <v>4.1910399000000001E-2</v>
      </c>
      <c r="Q7296" t="str">
        <f t="shared" si="226"/>
        <v>&lt;01</v>
      </c>
      <c r="R7296" t="str">
        <f t="shared" si="227"/>
        <v>[AZyWpGzhcaA]|&lt;01|Female|PLHIV_Residents.T2|CY2026Q3</v>
      </c>
    </row>
    <row r="7297" spans="4:18" x14ac:dyDescent="0.2">
      <c r="D7297" t="s">
        <v>111</v>
      </c>
      <c r="E7297" t="s">
        <v>112</v>
      </c>
      <c r="F7297" t="s">
        <v>113</v>
      </c>
      <c r="G7297" t="s">
        <v>276</v>
      </c>
      <c r="H7297" t="s">
        <v>276</v>
      </c>
      <c r="I7297" t="s">
        <v>33</v>
      </c>
      <c r="J7297" t="s">
        <v>34</v>
      </c>
      <c r="K7297" t="s">
        <v>30</v>
      </c>
      <c r="L7297" t="s">
        <v>31</v>
      </c>
      <c r="M7297" t="s">
        <v>277</v>
      </c>
      <c r="N7297">
        <v>330</v>
      </c>
      <c r="O7297">
        <v>5.0364974E-2</v>
      </c>
      <c r="P7297">
        <v>4.1910399000000001E-2</v>
      </c>
      <c r="Q7297" t="str">
        <f t="shared" si="226"/>
        <v>01-09</v>
      </c>
      <c r="R7297" t="str">
        <f t="shared" si="227"/>
        <v>[AZyWpGzhcaA]|01-09|Female|PLHIV_Residents.T2|CY2026Q3</v>
      </c>
    </row>
    <row r="7298" spans="4:18" x14ac:dyDescent="0.2">
      <c r="D7298" t="s">
        <v>111</v>
      </c>
      <c r="E7298" t="s">
        <v>112</v>
      </c>
      <c r="F7298" t="s">
        <v>113</v>
      </c>
      <c r="G7298" t="s">
        <v>276</v>
      </c>
      <c r="H7298" t="s">
        <v>276</v>
      </c>
      <c r="I7298" t="s">
        <v>36</v>
      </c>
      <c r="J7298" t="s">
        <v>37</v>
      </c>
      <c r="K7298" t="s">
        <v>30</v>
      </c>
      <c r="L7298" t="s">
        <v>31</v>
      </c>
      <c r="M7298" t="s">
        <v>277</v>
      </c>
      <c r="N7298">
        <v>449</v>
      </c>
      <c r="O7298">
        <v>6.0044571999999997E-2</v>
      </c>
      <c r="P7298">
        <v>4.1910399000000001E-2</v>
      </c>
      <c r="Q7298" t="str">
        <f t="shared" si="226"/>
        <v>10-14</v>
      </c>
      <c r="R7298" t="str">
        <f t="shared" si="227"/>
        <v>[AZyWpGzhcaA]|10-14|Female|PLHIV_Residents.T2|CY2026Q3</v>
      </c>
    </row>
    <row r="7299" spans="4:18" x14ac:dyDescent="0.2">
      <c r="D7299" t="s">
        <v>111</v>
      </c>
      <c r="E7299" t="s">
        <v>112</v>
      </c>
      <c r="F7299" t="s">
        <v>113</v>
      </c>
      <c r="G7299" t="s">
        <v>276</v>
      </c>
      <c r="H7299" t="s">
        <v>276</v>
      </c>
      <c r="I7299" t="s">
        <v>38</v>
      </c>
      <c r="J7299" t="s">
        <v>39</v>
      </c>
      <c r="K7299" t="s">
        <v>30</v>
      </c>
      <c r="L7299" t="s">
        <v>31</v>
      </c>
      <c r="M7299" t="s">
        <v>277</v>
      </c>
      <c r="N7299">
        <v>1862</v>
      </c>
      <c r="O7299">
        <v>6.6604714999999995E-2</v>
      </c>
      <c r="P7299">
        <v>4.1910399000000001E-2</v>
      </c>
      <c r="Q7299" t="str">
        <f t="shared" ref="Q7299:Q7362" si="228">SUBSTITUTE(SUBSTITUTE($I7299,CHAR(61),""),CHAR(34),"")</f>
        <v>15-24</v>
      </c>
      <c r="R7299" t="str">
        <f t="shared" ref="R7299:R7362" si="229">IF($D7299&lt;&gt;"","["&amp;$E7299&amp;"]"&amp;"|"&amp;$Q7299&amp;"|"&amp;$K7299&amp;"|"&amp;$G7299&amp;"|"&amp;IF($G7299="TX_CURR_SUBNAT.R","CY2023Q4",$M7299),"")</f>
        <v>[AZyWpGzhcaA]|15-24|Female|PLHIV_Residents.T2|CY2026Q3</v>
      </c>
    </row>
    <row r="7300" spans="4:18" x14ac:dyDescent="0.2">
      <c r="D7300" t="s">
        <v>111</v>
      </c>
      <c r="E7300" t="s">
        <v>112</v>
      </c>
      <c r="F7300" t="s">
        <v>113</v>
      </c>
      <c r="G7300" t="s">
        <v>276</v>
      </c>
      <c r="H7300" t="s">
        <v>276</v>
      </c>
      <c r="I7300" t="s">
        <v>41</v>
      </c>
      <c r="J7300" t="s">
        <v>42</v>
      </c>
      <c r="K7300" t="s">
        <v>30</v>
      </c>
      <c r="L7300" t="s">
        <v>31</v>
      </c>
      <c r="M7300" t="s">
        <v>277</v>
      </c>
      <c r="N7300">
        <v>4204</v>
      </c>
      <c r="O7300">
        <v>5.7922422000000001E-2</v>
      </c>
      <c r="P7300">
        <v>4.1910399000000001E-2</v>
      </c>
      <c r="Q7300" t="str">
        <f t="shared" si="228"/>
        <v>25-34</v>
      </c>
      <c r="R7300" t="str">
        <f t="shared" si="229"/>
        <v>[AZyWpGzhcaA]|25-34|Female|PLHIV_Residents.T2|CY2026Q3</v>
      </c>
    </row>
    <row r="7301" spans="4:18" x14ac:dyDescent="0.2">
      <c r="D7301" t="s">
        <v>111</v>
      </c>
      <c r="E7301" t="s">
        <v>112</v>
      </c>
      <c r="F7301" t="s">
        <v>113</v>
      </c>
      <c r="G7301" t="s">
        <v>276</v>
      </c>
      <c r="H7301" t="s">
        <v>276</v>
      </c>
      <c r="I7301" t="s">
        <v>43</v>
      </c>
      <c r="J7301" t="s">
        <v>44</v>
      </c>
      <c r="K7301" t="s">
        <v>30</v>
      </c>
      <c r="L7301" t="s">
        <v>31</v>
      </c>
      <c r="M7301" t="s">
        <v>277</v>
      </c>
      <c r="N7301">
        <v>11517</v>
      </c>
      <c r="O7301">
        <v>4.2204338000000001E-2</v>
      </c>
      <c r="P7301">
        <v>4.1910399000000001E-2</v>
      </c>
      <c r="Q7301" t="str">
        <f t="shared" si="228"/>
        <v>35-49</v>
      </c>
      <c r="R7301" t="str">
        <f t="shared" si="229"/>
        <v>[AZyWpGzhcaA]|35-49|Female|PLHIV_Residents.T2|CY2026Q3</v>
      </c>
    </row>
    <row r="7302" spans="4:18" x14ac:dyDescent="0.2">
      <c r="D7302" t="s">
        <v>111</v>
      </c>
      <c r="E7302" t="s">
        <v>112</v>
      </c>
      <c r="F7302" t="s">
        <v>113</v>
      </c>
      <c r="G7302" t="s">
        <v>276</v>
      </c>
      <c r="H7302" t="s">
        <v>276</v>
      </c>
      <c r="I7302" t="s">
        <v>45</v>
      </c>
      <c r="J7302" t="s">
        <v>46</v>
      </c>
      <c r="K7302" t="s">
        <v>30</v>
      </c>
      <c r="L7302" t="s">
        <v>31</v>
      </c>
      <c r="M7302" t="s">
        <v>277</v>
      </c>
      <c r="N7302">
        <v>6316</v>
      </c>
      <c r="O7302">
        <v>4.744698E-2</v>
      </c>
      <c r="P7302">
        <v>4.1910399000000001E-2</v>
      </c>
      <c r="Q7302" t="str">
        <f t="shared" si="228"/>
        <v>50+</v>
      </c>
      <c r="R7302" t="str">
        <f t="shared" si="229"/>
        <v>[AZyWpGzhcaA]|50+|Female|PLHIV_Residents.T2|CY2026Q3</v>
      </c>
    </row>
    <row r="7303" spans="4:18" x14ac:dyDescent="0.2">
      <c r="D7303" t="s">
        <v>111</v>
      </c>
      <c r="E7303" t="s">
        <v>112</v>
      </c>
      <c r="F7303" t="s">
        <v>113</v>
      </c>
      <c r="G7303" t="s">
        <v>276</v>
      </c>
      <c r="H7303" t="s">
        <v>276</v>
      </c>
      <c r="I7303" t="s">
        <v>28</v>
      </c>
      <c r="J7303" t="s">
        <v>29</v>
      </c>
      <c r="K7303" t="s">
        <v>48</v>
      </c>
      <c r="L7303" t="s">
        <v>49</v>
      </c>
      <c r="M7303" t="s">
        <v>277</v>
      </c>
      <c r="N7303">
        <v>19</v>
      </c>
      <c r="O7303">
        <v>4.6061858999999997E-2</v>
      </c>
      <c r="P7303">
        <v>4.1910399000000001E-2</v>
      </c>
      <c r="Q7303" t="str">
        <f t="shared" si="228"/>
        <v>&lt;01</v>
      </c>
      <c r="R7303" t="str">
        <f t="shared" si="229"/>
        <v>[AZyWpGzhcaA]|&lt;01|Male|PLHIV_Residents.T2|CY2026Q3</v>
      </c>
    </row>
    <row r="7304" spans="4:18" x14ac:dyDescent="0.2">
      <c r="D7304" t="s">
        <v>111</v>
      </c>
      <c r="E7304" t="s">
        <v>112</v>
      </c>
      <c r="F7304" t="s">
        <v>113</v>
      </c>
      <c r="G7304" t="s">
        <v>276</v>
      </c>
      <c r="H7304" t="s">
        <v>276</v>
      </c>
      <c r="I7304" t="s">
        <v>33</v>
      </c>
      <c r="J7304" t="s">
        <v>34</v>
      </c>
      <c r="K7304" t="s">
        <v>48</v>
      </c>
      <c r="L7304" t="s">
        <v>49</v>
      </c>
      <c r="M7304" t="s">
        <v>277</v>
      </c>
      <c r="N7304">
        <v>335</v>
      </c>
      <c r="O7304">
        <v>5.0385073000000002E-2</v>
      </c>
      <c r="P7304">
        <v>4.1910399000000001E-2</v>
      </c>
      <c r="Q7304" t="str">
        <f t="shared" si="228"/>
        <v>01-09</v>
      </c>
      <c r="R7304" t="str">
        <f t="shared" si="229"/>
        <v>[AZyWpGzhcaA]|01-09|Male|PLHIV_Residents.T2|CY2026Q3</v>
      </c>
    </row>
    <row r="7305" spans="4:18" x14ac:dyDescent="0.2">
      <c r="D7305" t="s">
        <v>111</v>
      </c>
      <c r="E7305" t="s">
        <v>112</v>
      </c>
      <c r="F7305" t="s">
        <v>113</v>
      </c>
      <c r="G7305" t="s">
        <v>276</v>
      </c>
      <c r="H7305" t="s">
        <v>276</v>
      </c>
      <c r="I7305" t="s">
        <v>36</v>
      </c>
      <c r="J7305" t="s">
        <v>37</v>
      </c>
      <c r="K7305" t="s">
        <v>48</v>
      </c>
      <c r="L7305" t="s">
        <v>49</v>
      </c>
      <c r="M7305" t="s">
        <v>277</v>
      </c>
      <c r="N7305">
        <v>456</v>
      </c>
      <c r="O7305">
        <v>6.0047347000000001E-2</v>
      </c>
      <c r="P7305">
        <v>4.1910399000000001E-2</v>
      </c>
      <c r="Q7305" t="str">
        <f t="shared" si="228"/>
        <v>10-14</v>
      </c>
      <c r="R7305" t="str">
        <f t="shared" si="229"/>
        <v>[AZyWpGzhcaA]|10-14|Male|PLHIV_Residents.T2|CY2026Q3</v>
      </c>
    </row>
    <row r="7306" spans="4:18" x14ac:dyDescent="0.2">
      <c r="D7306" t="s">
        <v>111</v>
      </c>
      <c r="E7306" t="s">
        <v>112</v>
      </c>
      <c r="F7306" t="s">
        <v>113</v>
      </c>
      <c r="G7306" t="s">
        <v>276</v>
      </c>
      <c r="H7306" t="s">
        <v>276</v>
      </c>
      <c r="I7306" t="s">
        <v>38</v>
      </c>
      <c r="J7306" t="s">
        <v>39</v>
      </c>
      <c r="K7306" t="s">
        <v>48</v>
      </c>
      <c r="L7306" t="s">
        <v>49</v>
      </c>
      <c r="M7306" t="s">
        <v>277</v>
      </c>
      <c r="N7306">
        <v>1375</v>
      </c>
      <c r="O7306">
        <v>7.0195129999999994E-2</v>
      </c>
      <c r="P7306">
        <v>4.1910399000000001E-2</v>
      </c>
      <c r="Q7306" t="str">
        <f t="shared" si="228"/>
        <v>15-24</v>
      </c>
      <c r="R7306" t="str">
        <f t="shared" si="229"/>
        <v>[AZyWpGzhcaA]|15-24|Male|PLHIV_Residents.T2|CY2026Q3</v>
      </c>
    </row>
    <row r="7307" spans="4:18" x14ac:dyDescent="0.2">
      <c r="D7307" t="s">
        <v>111</v>
      </c>
      <c r="E7307" t="s">
        <v>112</v>
      </c>
      <c r="F7307" t="s">
        <v>113</v>
      </c>
      <c r="G7307" t="s">
        <v>276</v>
      </c>
      <c r="H7307" t="s">
        <v>276</v>
      </c>
      <c r="I7307" t="s">
        <v>41</v>
      </c>
      <c r="J7307" t="s">
        <v>42</v>
      </c>
      <c r="K7307" t="s">
        <v>48</v>
      </c>
      <c r="L7307" t="s">
        <v>49</v>
      </c>
      <c r="M7307" t="s">
        <v>277</v>
      </c>
      <c r="N7307">
        <v>1624</v>
      </c>
      <c r="O7307">
        <v>7.4501887000000003E-2</v>
      </c>
      <c r="P7307">
        <v>4.1910399000000001E-2</v>
      </c>
      <c r="Q7307" t="str">
        <f t="shared" si="228"/>
        <v>25-34</v>
      </c>
      <c r="R7307" t="str">
        <f t="shared" si="229"/>
        <v>[AZyWpGzhcaA]|25-34|Male|PLHIV_Residents.T2|CY2026Q3</v>
      </c>
    </row>
    <row r="7308" spans="4:18" x14ac:dyDescent="0.2">
      <c r="D7308" t="s">
        <v>111</v>
      </c>
      <c r="E7308" t="s">
        <v>112</v>
      </c>
      <c r="F7308" t="s">
        <v>113</v>
      </c>
      <c r="G7308" t="s">
        <v>276</v>
      </c>
      <c r="H7308" t="s">
        <v>276</v>
      </c>
      <c r="I7308" t="s">
        <v>43</v>
      </c>
      <c r="J7308" t="s">
        <v>44</v>
      </c>
      <c r="K7308" t="s">
        <v>48</v>
      </c>
      <c r="L7308" t="s">
        <v>49</v>
      </c>
      <c r="M7308" t="s">
        <v>277</v>
      </c>
      <c r="N7308">
        <v>5395</v>
      </c>
      <c r="O7308">
        <v>5.0688232999999999E-2</v>
      </c>
      <c r="P7308">
        <v>4.1910399000000001E-2</v>
      </c>
      <c r="Q7308" t="str">
        <f t="shared" si="228"/>
        <v>35-49</v>
      </c>
      <c r="R7308" t="str">
        <f t="shared" si="229"/>
        <v>[AZyWpGzhcaA]|35-49|Male|PLHIV_Residents.T2|CY2026Q3</v>
      </c>
    </row>
    <row r="7309" spans="4:18" x14ac:dyDescent="0.2">
      <c r="D7309" t="s">
        <v>111</v>
      </c>
      <c r="E7309" t="s">
        <v>112</v>
      </c>
      <c r="F7309" t="s">
        <v>113</v>
      </c>
      <c r="G7309" t="s">
        <v>276</v>
      </c>
      <c r="H7309" t="s">
        <v>276</v>
      </c>
      <c r="I7309" t="s">
        <v>45</v>
      </c>
      <c r="J7309" t="s">
        <v>46</v>
      </c>
      <c r="K7309" t="s">
        <v>48</v>
      </c>
      <c r="L7309" t="s">
        <v>49</v>
      </c>
      <c r="M7309" t="s">
        <v>277</v>
      </c>
      <c r="N7309">
        <v>4465</v>
      </c>
      <c r="O7309">
        <v>4.4738398999999998E-2</v>
      </c>
      <c r="P7309">
        <v>4.1910399000000001E-2</v>
      </c>
      <c r="Q7309" t="str">
        <f t="shared" si="228"/>
        <v>50+</v>
      </c>
      <c r="R7309" t="str">
        <f t="shared" si="229"/>
        <v>[AZyWpGzhcaA]|50+|Male|PLHIV_Residents.T2|CY2026Q3</v>
      </c>
    </row>
    <row r="7310" spans="4:18" x14ac:dyDescent="0.2">
      <c r="D7310" t="s">
        <v>114</v>
      </c>
      <c r="E7310" t="s">
        <v>115</v>
      </c>
      <c r="F7310" t="s">
        <v>116</v>
      </c>
      <c r="G7310" t="s">
        <v>276</v>
      </c>
      <c r="H7310" t="s">
        <v>276</v>
      </c>
      <c r="I7310" t="s">
        <v>28</v>
      </c>
      <c r="J7310" t="s">
        <v>29</v>
      </c>
      <c r="K7310" t="s">
        <v>30</v>
      </c>
      <c r="L7310" t="s">
        <v>31</v>
      </c>
      <c r="M7310" t="s">
        <v>277</v>
      </c>
      <c r="N7310">
        <v>15</v>
      </c>
      <c r="O7310">
        <v>7.1042560000000005E-2</v>
      </c>
      <c r="P7310">
        <v>6.8069939999999995E-2</v>
      </c>
      <c r="Q7310" t="str">
        <f t="shared" si="228"/>
        <v>&lt;01</v>
      </c>
      <c r="R7310" t="str">
        <f t="shared" si="229"/>
        <v>[ir8wuHHzoSs]|&lt;01|Female|PLHIV_Residents.T2|CY2026Q3</v>
      </c>
    </row>
    <row r="7311" spans="4:18" x14ac:dyDescent="0.2">
      <c r="D7311" t="s">
        <v>114</v>
      </c>
      <c r="E7311" t="s">
        <v>115</v>
      </c>
      <c r="F7311" t="s">
        <v>116</v>
      </c>
      <c r="G7311" t="s">
        <v>276</v>
      </c>
      <c r="H7311" t="s">
        <v>276</v>
      </c>
      <c r="I7311" t="s">
        <v>33</v>
      </c>
      <c r="J7311" t="s">
        <v>34</v>
      </c>
      <c r="K7311" t="s">
        <v>30</v>
      </c>
      <c r="L7311" t="s">
        <v>31</v>
      </c>
      <c r="M7311" t="s">
        <v>277</v>
      </c>
      <c r="N7311">
        <v>278</v>
      </c>
      <c r="O7311">
        <v>7.4655452999999997E-2</v>
      </c>
      <c r="P7311">
        <v>6.8069939999999995E-2</v>
      </c>
      <c r="Q7311" t="str">
        <f t="shared" si="228"/>
        <v>01-09</v>
      </c>
      <c r="R7311" t="str">
        <f t="shared" si="229"/>
        <v>[ir8wuHHzoSs]|01-09|Female|PLHIV_Residents.T2|CY2026Q3</v>
      </c>
    </row>
    <row r="7312" spans="4:18" x14ac:dyDescent="0.2">
      <c r="D7312" t="s">
        <v>114</v>
      </c>
      <c r="E7312" t="s">
        <v>115</v>
      </c>
      <c r="F7312" t="s">
        <v>116</v>
      </c>
      <c r="G7312" t="s">
        <v>276</v>
      </c>
      <c r="H7312" t="s">
        <v>276</v>
      </c>
      <c r="I7312" t="s">
        <v>36</v>
      </c>
      <c r="J7312" t="s">
        <v>37</v>
      </c>
      <c r="K7312" t="s">
        <v>30</v>
      </c>
      <c r="L7312" t="s">
        <v>31</v>
      </c>
      <c r="M7312" t="s">
        <v>277</v>
      </c>
      <c r="N7312">
        <v>380</v>
      </c>
      <c r="O7312">
        <v>8.2990387999999998E-2</v>
      </c>
      <c r="P7312">
        <v>6.8069939999999995E-2</v>
      </c>
      <c r="Q7312" t="str">
        <f t="shared" si="228"/>
        <v>10-14</v>
      </c>
      <c r="R7312" t="str">
        <f t="shared" si="229"/>
        <v>[ir8wuHHzoSs]|10-14|Female|PLHIV_Residents.T2|CY2026Q3</v>
      </c>
    </row>
    <row r="7313" spans="4:18" x14ac:dyDescent="0.2">
      <c r="D7313" t="s">
        <v>114</v>
      </c>
      <c r="E7313" t="s">
        <v>115</v>
      </c>
      <c r="F7313" t="s">
        <v>116</v>
      </c>
      <c r="G7313" t="s">
        <v>276</v>
      </c>
      <c r="H7313" t="s">
        <v>276</v>
      </c>
      <c r="I7313" t="s">
        <v>38</v>
      </c>
      <c r="J7313" t="s">
        <v>39</v>
      </c>
      <c r="K7313" t="s">
        <v>30</v>
      </c>
      <c r="L7313" t="s">
        <v>31</v>
      </c>
      <c r="M7313" t="s">
        <v>277</v>
      </c>
      <c r="N7313">
        <v>1520</v>
      </c>
      <c r="O7313">
        <v>8.8362142000000005E-2</v>
      </c>
      <c r="P7313">
        <v>6.8069939999999995E-2</v>
      </c>
      <c r="Q7313" t="str">
        <f t="shared" si="228"/>
        <v>15-24</v>
      </c>
      <c r="R7313" t="str">
        <f t="shared" si="229"/>
        <v>[ir8wuHHzoSs]|15-24|Female|PLHIV_Residents.T2|CY2026Q3</v>
      </c>
    </row>
    <row r="7314" spans="4:18" x14ac:dyDescent="0.2">
      <c r="D7314" t="s">
        <v>114</v>
      </c>
      <c r="E7314" t="s">
        <v>115</v>
      </c>
      <c r="F7314" t="s">
        <v>116</v>
      </c>
      <c r="G7314" t="s">
        <v>276</v>
      </c>
      <c r="H7314" t="s">
        <v>276</v>
      </c>
      <c r="I7314" t="s">
        <v>41</v>
      </c>
      <c r="J7314" t="s">
        <v>42</v>
      </c>
      <c r="K7314" t="s">
        <v>30</v>
      </c>
      <c r="L7314" t="s">
        <v>31</v>
      </c>
      <c r="M7314" t="s">
        <v>277</v>
      </c>
      <c r="N7314">
        <v>3333</v>
      </c>
      <c r="O7314">
        <v>8.3479374999999995E-2</v>
      </c>
      <c r="P7314">
        <v>6.8069939999999995E-2</v>
      </c>
      <c r="Q7314" t="str">
        <f t="shared" si="228"/>
        <v>25-34</v>
      </c>
      <c r="R7314" t="str">
        <f t="shared" si="229"/>
        <v>[ir8wuHHzoSs]|25-34|Female|PLHIV_Residents.T2|CY2026Q3</v>
      </c>
    </row>
    <row r="7315" spans="4:18" x14ac:dyDescent="0.2">
      <c r="D7315" t="s">
        <v>114</v>
      </c>
      <c r="E7315" t="s">
        <v>115</v>
      </c>
      <c r="F7315" t="s">
        <v>116</v>
      </c>
      <c r="G7315" t="s">
        <v>276</v>
      </c>
      <c r="H7315" t="s">
        <v>276</v>
      </c>
      <c r="I7315" t="s">
        <v>43</v>
      </c>
      <c r="J7315" t="s">
        <v>44</v>
      </c>
      <c r="K7315" t="s">
        <v>30</v>
      </c>
      <c r="L7315" t="s">
        <v>31</v>
      </c>
      <c r="M7315" t="s">
        <v>277</v>
      </c>
      <c r="N7315">
        <v>9387</v>
      </c>
      <c r="O7315">
        <v>6.6552526000000001E-2</v>
      </c>
      <c r="P7315">
        <v>6.8069939999999995E-2</v>
      </c>
      <c r="Q7315" t="str">
        <f t="shared" si="228"/>
        <v>35-49</v>
      </c>
      <c r="R7315" t="str">
        <f t="shared" si="229"/>
        <v>[ir8wuHHzoSs]|35-49|Female|PLHIV_Residents.T2|CY2026Q3</v>
      </c>
    </row>
    <row r="7316" spans="4:18" x14ac:dyDescent="0.2">
      <c r="D7316" t="s">
        <v>114</v>
      </c>
      <c r="E7316" t="s">
        <v>115</v>
      </c>
      <c r="F7316" t="s">
        <v>116</v>
      </c>
      <c r="G7316" t="s">
        <v>276</v>
      </c>
      <c r="H7316" t="s">
        <v>276</v>
      </c>
      <c r="I7316" t="s">
        <v>45</v>
      </c>
      <c r="J7316" t="s">
        <v>46</v>
      </c>
      <c r="K7316" t="s">
        <v>30</v>
      </c>
      <c r="L7316" t="s">
        <v>31</v>
      </c>
      <c r="M7316" t="s">
        <v>277</v>
      </c>
      <c r="N7316">
        <v>5512</v>
      </c>
      <c r="O7316">
        <v>7.0345284999999994E-2</v>
      </c>
      <c r="P7316">
        <v>6.8069939999999995E-2</v>
      </c>
      <c r="Q7316" t="str">
        <f t="shared" si="228"/>
        <v>50+</v>
      </c>
      <c r="R7316" t="str">
        <f t="shared" si="229"/>
        <v>[ir8wuHHzoSs]|50+|Female|PLHIV_Residents.T2|CY2026Q3</v>
      </c>
    </row>
    <row r="7317" spans="4:18" x14ac:dyDescent="0.2">
      <c r="D7317" t="s">
        <v>114</v>
      </c>
      <c r="E7317" t="s">
        <v>115</v>
      </c>
      <c r="F7317" t="s">
        <v>116</v>
      </c>
      <c r="G7317" t="s">
        <v>276</v>
      </c>
      <c r="H7317" t="s">
        <v>276</v>
      </c>
      <c r="I7317" t="s">
        <v>28</v>
      </c>
      <c r="J7317" t="s">
        <v>29</v>
      </c>
      <c r="K7317" t="s">
        <v>48</v>
      </c>
      <c r="L7317" t="s">
        <v>49</v>
      </c>
      <c r="M7317" t="s">
        <v>277</v>
      </c>
      <c r="N7317">
        <v>16</v>
      </c>
      <c r="O7317">
        <v>7.1058858000000003E-2</v>
      </c>
      <c r="P7317">
        <v>6.8069939999999995E-2</v>
      </c>
      <c r="Q7317" t="str">
        <f t="shared" si="228"/>
        <v>&lt;01</v>
      </c>
      <c r="R7317" t="str">
        <f t="shared" si="229"/>
        <v>[ir8wuHHzoSs]|&lt;01|Male|PLHIV_Residents.T2|CY2026Q3</v>
      </c>
    </row>
    <row r="7318" spans="4:18" x14ac:dyDescent="0.2">
      <c r="D7318" t="s">
        <v>114</v>
      </c>
      <c r="E7318" t="s">
        <v>115</v>
      </c>
      <c r="F7318" t="s">
        <v>116</v>
      </c>
      <c r="G7318" t="s">
        <v>276</v>
      </c>
      <c r="H7318" t="s">
        <v>276</v>
      </c>
      <c r="I7318" t="s">
        <v>33</v>
      </c>
      <c r="J7318" t="s">
        <v>34</v>
      </c>
      <c r="K7318" t="s">
        <v>48</v>
      </c>
      <c r="L7318" t="s">
        <v>49</v>
      </c>
      <c r="M7318" t="s">
        <v>277</v>
      </c>
      <c r="N7318">
        <v>284</v>
      </c>
      <c r="O7318">
        <v>7.4699193999999997E-2</v>
      </c>
      <c r="P7318">
        <v>6.8069939999999995E-2</v>
      </c>
      <c r="Q7318" t="str">
        <f t="shared" si="228"/>
        <v>01-09</v>
      </c>
      <c r="R7318" t="str">
        <f t="shared" si="229"/>
        <v>[ir8wuHHzoSs]|01-09|Male|PLHIV_Residents.T2|CY2026Q3</v>
      </c>
    </row>
    <row r="7319" spans="4:18" x14ac:dyDescent="0.2">
      <c r="D7319" t="s">
        <v>114</v>
      </c>
      <c r="E7319" t="s">
        <v>115</v>
      </c>
      <c r="F7319" t="s">
        <v>116</v>
      </c>
      <c r="G7319" t="s">
        <v>276</v>
      </c>
      <c r="H7319" t="s">
        <v>276</v>
      </c>
      <c r="I7319" t="s">
        <v>36</v>
      </c>
      <c r="J7319" t="s">
        <v>37</v>
      </c>
      <c r="K7319" t="s">
        <v>48</v>
      </c>
      <c r="L7319" t="s">
        <v>49</v>
      </c>
      <c r="M7319" t="s">
        <v>277</v>
      </c>
      <c r="N7319">
        <v>392</v>
      </c>
      <c r="O7319">
        <v>8.3004944999999997E-2</v>
      </c>
      <c r="P7319">
        <v>6.8069939999999995E-2</v>
      </c>
      <c r="Q7319" t="str">
        <f t="shared" si="228"/>
        <v>10-14</v>
      </c>
      <c r="R7319" t="str">
        <f t="shared" si="229"/>
        <v>[ir8wuHHzoSs]|10-14|Male|PLHIV_Residents.T2|CY2026Q3</v>
      </c>
    </row>
    <row r="7320" spans="4:18" x14ac:dyDescent="0.2">
      <c r="D7320" t="s">
        <v>114</v>
      </c>
      <c r="E7320" t="s">
        <v>115</v>
      </c>
      <c r="F7320" t="s">
        <v>116</v>
      </c>
      <c r="G7320" t="s">
        <v>276</v>
      </c>
      <c r="H7320" t="s">
        <v>276</v>
      </c>
      <c r="I7320" t="s">
        <v>38</v>
      </c>
      <c r="J7320" t="s">
        <v>39</v>
      </c>
      <c r="K7320" t="s">
        <v>48</v>
      </c>
      <c r="L7320" t="s">
        <v>49</v>
      </c>
      <c r="M7320" t="s">
        <v>277</v>
      </c>
      <c r="N7320">
        <v>1086</v>
      </c>
      <c r="O7320">
        <v>8.9272248999999998E-2</v>
      </c>
      <c r="P7320">
        <v>6.8069939999999995E-2</v>
      </c>
      <c r="Q7320" t="str">
        <f t="shared" si="228"/>
        <v>15-24</v>
      </c>
      <c r="R7320" t="str">
        <f t="shared" si="229"/>
        <v>[ir8wuHHzoSs]|15-24|Male|PLHIV_Residents.T2|CY2026Q3</v>
      </c>
    </row>
    <row r="7321" spans="4:18" x14ac:dyDescent="0.2">
      <c r="D7321" t="s">
        <v>114</v>
      </c>
      <c r="E7321" t="s">
        <v>115</v>
      </c>
      <c r="F7321" t="s">
        <v>116</v>
      </c>
      <c r="G7321" t="s">
        <v>276</v>
      </c>
      <c r="H7321" t="s">
        <v>276</v>
      </c>
      <c r="I7321" t="s">
        <v>41</v>
      </c>
      <c r="J7321" t="s">
        <v>42</v>
      </c>
      <c r="K7321" t="s">
        <v>48</v>
      </c>
      <c r="L7321" t="s">
        <v>49</v>
      </c>
      <c r="M7321" t="s">
        <v>277</v>
      </c>
      <c r="N7321">
        <v>1110</v>
      </c>
      <c r="O7321">
        <v>9.6230525999999997E-2</v>
      </c>
      <c r="P7321">
        <v>6.8069939999999995E-2</v>
      </c>
      <c r="Q7321" t="str">
        <f t="shared" si="228"/>
        <v>25-34</v>
      </c>
      <c r="R7321" t="str">
        <f t="shared" si="229"/>
        <v>[ir8wuHHzoSs]|25-34|Male|PLHIV_Residents.T2|CY2026Q3</v>
      </c>
    </row>
    <row r="7322" spans="4:18" x14ac:dyDescent="0.2">
      <c r="D7322" t="s">
        <v>114</v>
      </c>
      <c r="E7322" t="s">
        <v>115</v>
      </c>
      <c r="F7322" t="s">
        <v>116</v>
      </c>
      <c r="G7322" t="s">
        <v>276</v>
      </c>
      <c r="H7322" t="s">
        <v>276</v>
      </c>
      <c r="I7322" t="s">
        <v>43</v>
      </c>
      <c r="J7322" t="s">
        <v>44</v>
      </c>
      <c r="K7322" t="s">
        <v>48</v>
      </c>
      <c r="L7322" t="s">
        <v>49</v>
      </c>
      <c r="M7322" t="s">
        <v>277</v>
      </c>
      <c r="N7322">
        <v>3804</v>
      </c>
      <c r="O7322">
        <v>7.6585977999999999E-2</v>
      </c>
      <c r="P7322">
        <v>6.8069939999999995E-2</v>
      </c>
      <c r="Q7322" t="str">
        <f t="shared" si="228"/>
        <v>35-49</v>
      </c>
      <c r="R7322" t="str">
        <f t="shared" si="229"/>
        <v>[ir8wuHHzoSs]|35-49|Male|PLHIV_Residents.T2|CY2026Q3</v>
      </c>
    </row>
    <row r="7323" spans="4:18" x14ac:dyDescent="0.2">
      <c r="D7323" t="s">
        <v>114</v>
      </c>
      <c r="E7323" t="s">
        <v>115</v>
      </c>
      <c r="F7323" t="s">
        <v>116</v>
      </c>
      <c r="G7323" t="s">
        <v>276</v>
      </c>
      <c r="H7323" t="s">
        <v>276</v>
      </c>
      <c r="I7323" t="s">
        <v>45</v>
      </c>
      <c r="J7323" t="s">
        <v>46</v>
      </c>
      <c r="K7323" t="s">
        <v>48</v>
      </c>
      <c r="L7323" t="s">
        <v>49</v>
      </c>
      <c r="M7323" t="s">
        <v>277</v>
      </c>
      <c r="N7323">
        <v>3583</v>
      </c>
      <c r="O7323">
        <v>7.0759711000000003E-2</v>
      </c>
      <c r="P7323">
        <v>6.8069939999999995E-2</v>
      </c>
      <c r="Q7323" t="str">
        <f t="shared" si="228"/>
        <v>50+</v>
      </c>
      <c r="R7323" t="str">
        <f t="shared" si="229"/>
        <v>[ir8wuHHzoSs]|50+|Male|PLHIV_Residents.T2|CY2026Q3</v>
      </c>
    </row>
    <row r="7324" spans="4:18" x14ac:dyDescent="0.2">
      <c r="D7324" t="s">
        <v>117</v>
      </c>
      <c r="E7324" t="s">
        <v>118</v>
      </c>
      <c r="F7324" t="s">
        <v>119</v>
      </c>
      <c r="G7324" t="s">
        <v>276</v>
      </c>
      <c r="H7324" t="s">
        <v>276</v>
      </c>
      <c r="I7324" t="s">
        <v>28</v>
      </c>
      <c r="J7324" t="s">
        <v>29</v>
      </c>
      <c r="K7324" t="s">
        <v>30</v>
      </c>
      <c r="L7324" t="s">
        <v>31</v>
      </c>
      <c r="M7324" t="s">
        <v>277</v>
      </c>
      <c r="N7324">
        <v>17</v>
      </c>
      <c r="O7324">
        <v>5.7797003999999999E-2</v>
      </c>
      <c r="P7324">
        <v>5.4573323E-2</v>
      </c>
      <c r="Q7324" t="str">
        <f t="shared" si="228"/>
        <v>&lt;01</v>
      </c>
      <c r="R7324" t="str">
        <f t="shared" si="229"/>
        <v>[oiPR2CiVJbf]|&lt;01|Female|PLHIV_Residents.T2|CY2026Q3</v>
      </c>
    </row>
    <row r="7325" spans="4:18" x14ac:dyDescent="0.2">
      <c r="D7325" t="s">
        <v>117</v>
      </c>
      <c r="E7325" t="s">
        <v>118</v>
      </c>
      <c r="F7325" t="s">
        <v>119</v>
      </c>
      <c r="G7325" t="s">
        <v>276</v>
      </c>
      <c r="H7325" t="s">
        <v>276</v>
      </c>
      <c r="I7325" t="s">
        <v>33</v>
      </c>
      <c r="J7325" t="s">
        <v>34</v>
      </c>
      <c r="K7325" t="s">
        <v>30</v>
      </c>
      <c r="L7325" t="s">
        <v>31</v>
      </c>
      <c r="M7325" t="s">
        <v>277</v>
      </c>
      <c r="N7325">
        <v>284</v>
      </c>
      <c r="O7325">
        <v>6.1275443999999998E-2</v>
      </c>
      <c r="P7325">
        <v>5.4573323E-2</v>
      </c>
      <c r="Q7325" t="str">
        <f t="shared" si="228"/>
        <v>01-09</v>
      </c>
      <c r="R7325" t="str">
        <f t="shared" si="229"/>
        <v>[oiPR2CiVJbf]|01-09|Female|PLHIV_Residents.T2|CY2026Q3</v>
      </c>
    </row>
    <row r="7326" spans="4:18" x14ac:dyDescent="0.2">
      <c r="D7326" t="s">
        <v>117</v>
      </c>
      <c r="E7326" t="s">
        <v>118</v>
      </c>
      <c r="F7326" t="s">
        <v>119</v>
      </c>
      <c r="G7326" t="s">
        <v>276</v>
      </c>
      <c r="H7326" t="s">
        <v>276</v>
      </c>
      <c r="I7326" t="s">
        <v>36</v>
      </c>
      <c r="J7326" t="s">
        <v>37</v>
      </c>
      <c r="K7326" t="s">
        <v>30</v>
      </c>
      <c r="L7326" t="s">
        <v>31</v>
      </c>
      <c r="M7326" t="s">
        <v>277</v>
      </c>
      <c r="N7326">
        <v>359</v>
      </c>
      <c r="O7326">
        <v>7.0691571999999994E-2</v>
      </c>
      <c r="P7326">
        <v>5.4573323E-2</v>
      </c>
      <c r="Q7326" t="str">
        <f t="shared" si="228"/>
        <v>10-14</v>
      </c>
      <c r="R7326" t="str">
        <f t="shared" si="229"/>
        <v>[oiPR2CiVJbf]|10-14|Female|PLHIV_Residents.T2|CY2026Q3</v>
      </c>
    </row>
    <row r="7327" spans="4:18" x14ac:dyDescent="0.2">
      <c r="D7327" t="s">
        <v>117</v>
      </c>
      <c r="E7327" t="s">
        <v>118</v>
      </c>
      <c r="F7327" t="s">
        <v>119</v>
      </c>
      <c r="G7327" t="s">
        <v>276</v>
      </c>
      <c r="H7327" t="s">
        <v>276</v>
      </c>
      <c r="I7327" t="s">
        <v>38</v>
      </c>
      <c r="J7327" t="s">
        <v>39</v>
      </c>
      <c r="K7327" t="s">
        <v>30</v>
      </c>
      <c r="L7327" t="s">
        <v>31</v>
      </c>
      <c r="M7327" t="s">
        <v>277</v>
      </c>
      <c r="N7327">
        <v>1702</v>
      </c>
      <c r="O7327">
        <v>8.0190628E-2</v>
      </c>
      <c r="P7327">
        <v>5.4573323E-2</v>
      </c>
      <c r="Q7327" t="str">
        <f t="shared" si="228"/>
        <v>15-24</v>
      </c>
      <c r="R7327" t="str">
        <f t="shared" si="229"/>
        <v>[oiPR2CiVJbf]|15-24|Female|PLHIV_Residents.T2|CY2026Q3</v>
      </c>
    </row>
    <row r="7328" spans="4:18" x14ac:dyDescent="0.2">
      <c r="D7328" t="s">
        <v>117</v>
      </c>
      <c r="E7328" t="s">
        <v>118</v>
      </c>
      <c r="F7328" t="s">
        <v>119</v>
      </c>
      <c r="G7328" t="s">
        <v>276</v>
      </c>
      <c r="H7328" t="s">
        <v>276</v>
      </c>
      <c r="I7328" t="s">
        <v>41</v>
      </c>
      <c r="J7328" t="s">
        <v>42</v>
      </c>
      <c r="K7328" t="s">
        <v>30</v>
      </c>
      <c r="L7328" t="s">
        <v>31</v>
      </c>
      <c r="M7328" t="s">
        <v>277</v>
      </c>
      <c r="N7328">
        <v>4117</v>
      </c>
      <c r="O7328">
        <v>6.9564867000000002E-2</v>
      </c>
      <c r="P7328">
        <v>5.4573323E-2</v>
      </c>
      <c r="Q7328" t="str">
        <f t="shared" si="228"/>
        <v>25-34</v>
      </c>
      <c r="R7328" t="str">
        <f t="shared" si="229"/>
        <v>[oiPR2CiVJbf]|25-34|Female|PLHIV_Residents.T2|CY2026Q3</v>
      </c>
    </row>
    <row r="7329" spans="4:18" x14ac:dyDescent="0.2">
      <c r="D7329" t="s">
        <v>117</v>
      </c>
      <c r="E7329" t="s">
        <v>118</v>
      </c>
      <c r="F7329" t="s">
        <v>119</v>
      </c>
      <c r="G7329" t="s">
        <v>276</v>
      </c>
      <c r="H7329" t="s">
        <v>276</v>
      </c>
      <c r="I7329" t="s">
        <v>43</v>
      </c>
      <c r="J7329" t="s">
        <v>44</v>
      </c>
      <c r="K7329" t="s">
        <v>30</v>
      </c>
      <c r="L7329" t="s">
        <v>31</v>
      </c>
      <c r="M7329" t="s">
        <v>277</v>
      </c>
      <c r="N7329">
        <v>11706</v>
      </c>
      <c r="O7329">
        <v>5.3017580000000002E-2</v>
      </c>
      <c r="P7329">
        <v>5.4573323E-2</v>
      </c>
      <c r="Q7329" t="str">
        <f t="shared" si="228"/>
        <v>35-49</v>
      </c>
      <c r="R7329" t="str">
        <f t="shared" si="229"/>
        <v>[oiPR2CiVJbf]|35-49|Female|PLHIV_Residents.T2|CY2026Q3</v>
      </c>
    </row>
    <row r="7330" spans="4:18" x14ac:dyDescent="0.2">
      <c r="D7330" t="s">
        <v>117</v>
      </c>
      <c r="E7330" t="s">
        <v>118</v>
      </c>
      <c r="F7330" t="s">
        <v>119</v>
      </c>
      <c r="G7330" t="s">
        <v>276</v>
      </c>
      <c r="H7330" t="s">
        <v>276</v>
      </c>
      <c r="I7330" t="s">
        <v>45</v>
      </c>
      <c r="J7330" t="s">
        <v>46</v>
      </c>
      <c r="K7330" t="s">
        <v>30</v>
      </c>
      <c r="L7330" t="s">
        <v>31</v>
      </c>
      <c r="M7330" t="s">
        <v>277</v>
      </c>
      <c r="N7330">
        <v>7246</v>
      </c>
      <c r="O7330">
        <v>5.8742853999999997E-2</v>
      </c>
      <c r="P7330">
        <v>5.4573323E-2</v>
      </c>
      <c r="Q7330" t="str">
        <f t="shared" si="228"/>
        <v>50+</v>
      </c>
      <c r="R7330" t="str">
        <f t="shared" si="229"/>
        <v>[oiPR2CiVJbf]|50+|Female|PLHIV_Residents.T2|CY2026Q3</v>
      </c>
    </row>
    <row r="7331" spans="4:18" x14ac:dyDescent="0.2">
      <c r="D7331" t="s">
        <v>117</v>
      </c>
      <c r="E7331" t="s">
        <v>118</v>
      </c>
      <c r="F7331" t="s">
        <v>119</v>
      </c>
      <c r="G7331" t="s">
        <v>276</v>
      </c>
      <c r="H7331" t="s">
        <v>276</v>
      </c>
      <c r="I7331" t="s">
        <v>28</v>
      </c>
      <c r="J7331" t="s">
        <v>29</v>
      </c>
      <c r="K7331" t="s">
        <v>48</v>
      </c>
      <c r="L7331" t="s">
        <v>49</v>
      </c>
      <c r="M7331" t="s">
        <v>277</v>
      </c>
      <c r="N7331">
        <v>18</v>
      </c>
      <c r="O7331">
        <v>5.7822923999999998E-2</v>
      </c>
      <c r="P7331">
        <v>5.4573323E-2</v>
      </c>
      <c r="Q7331" t="str">
        <f t="shared" si="228"/>
        <v>&lt;01</v>
      </c>
      <c r="R7331" t="str">
        <f t="shared" si="229"/>
        <v>[oiPR2CiVJbf]|&lt;01|Male|PLHIV_Residents.T2|CY2026Q3</v>
      </c>
    </row>
    <row r="7332" spans="4:18" x14ac:dyDescent="0.2">
      <c r="D7332" t="s">
        <v>117</v>
      </c>
      <c r="E7332" t="s">
        <v>118</v>
      </c>
      <c r="F7332" t="s">
        <v>119</v>
      </c>
      <c r="G7332" t="s">
        <v>276</v>
      </c>
      <c r="H7332" t="s">
        <v>276</v>
      </c>
      <c r="I7332" t="s">
        <v>33</v>
      </c>
      <c r="J7332" t="s">
        <v>34</v>
      </c>
      <c r="K7332" t="s">
        <v>48</v>
      </c>
      <c r="L7332" t="s">
        <v>49</v>
      </c>
      <c r="M7332" t="s">
        <v>277</v>
      </c>
      <c r="N7332">
        <v>292</v>
      </c>
      <c r="O7332">
        <v>6.1348751999999999E-2</v>
      </c>
      <c r="P7332">
        <v>5.4573323E-2</v>
      </c>
      <c r="Q7332" t="str">
        <f t="shared" si="228"/>
        <v>01-09</v>
      </c>
      <c r="R7332" t="str">
        <f t="shared" si="229"/>
        <v>[oiPR2CiVJbf]|01-09|Male|PLHIV_Residents.T2|CY2026Q3</v>
      </c>
    </row>
    <row r="7333" spans="4:18" x14ac:dyDescent="0.2">
      <c r="D7333" t="s">
        <v>117</v>
      </c>
      <c r="E7333" t="s">
        <v>118</v>
      </c>
      <c r="F7333" t="s">
        <v>119</v>
      </c>
      <c r="G7333" t="s">
        <v>276</v>
      </c>
      <c r="H7333" t="s">
        <v>276</v>
      </c>
      <c r="I7333" t="s">
        <v>36</v>
      </c>
      <c r="J7333" t="s">
        <v>37</v>
      </c>
      <c r="K7333" t="s">
        <v>48</v>
      </c>
      <c r="L7333" t="s">
        <v>49</v>
      </c>
      <c r="M7333" t="s">
        <v>277</v>
      </c>
      <c r="N7333">
        <v>371</v>
      </c>
      <c r="O7333">
        <v>7.0714764999999999E-2</v>
      </c>
      <c r="P7333">
        <v>5.4573323E-2</v>
      </c>
      <c r="Q7333" t="str">
        <f t="shared" si="228"/>
        <v>10-14</v>
      </c>
      <c r="R7333" t="str">
        <f t="shared" si="229"/>
        <v>[oiPR2CiVJbf]|10-14|Male|PLHIV_Residents.T2|CY2026Q3</v>
      </c>
    </row>
    <row r="7334" spans="4:18" x14ac:dyDescent="0.2">
      <c r="D7334" t="s">
        <v>117</v>
      </c>
      <c r="E7334" t="s">
        <v>118</v>
      </c>
      <c r="F7334" t="s">
        <v>119</v>
      </c>
      <c r="G7334" t="s">
        <v>276</v>
      </c>
      <c r="H7334" t="s">
        <v>276</v>
      </c>
      <c r="I7334" t="s">
        <v>38</v>
      </c>
      <c r="J7334" t="s">
        <v>39</v>
      </c>
      <c r="K7334" t="s">
        <v>48</v>
      </c>
      <c r="L7334" t="s">
        <v>49</v>
      </c>
      <c r="M7334" t="s">
        <v>277</v>
      </c>
      <c r="N7334">
        <v>1263</v>
      </c>
      <c r="O7334">
        <v>8.1619568000000003E-2</v>
      </c>
      <c r="P7334">
        <v>5.4573323E-2</v>
      </c>
      <c r="Q7334" t="str">
        <f t="shared" si="228"/>
        <v>15-24</v>
      </c>
      <c r="R7334" t="str">
        <f t="shared" si="229"/>
        <v>[oiPR2CiVJbf]|15-24|Male|PLHIV_Residents.T2|CY2026Q3</v>
      </c>
    </row>
    <row r="7335" spans="4:18" x14ac:dyDescent="0.2">
      <c r="D7335" t="s">
        <v>117</v>
      </c>
      <c r="E7335" t="s">
        <v>118</v>
      </c>
      <c r="F7335" t="s">
        <v>119</v>
      </c>
      <c r="G7335" t="s">
        <v>276</v>
      </c>
      <c r="H7335" t="s">
        <v>276</v>
      </c>
      <c r="I7335" t="s">
        <v>41</v>
      </c>
      <c r="J7335" t="s">
        <v>42</v>
      </c>
      <c r="K7335" t="s">
        <v>48</v>
      </c>
      <c r="L7335" t="s">
        <v>49</v>
      </c>
      <c r="M7335" t="s">
        <v>277</v>
      </c>
      <c r="N7335">
        <v>1710</v>
      </c>
      <c r="O7335">
        <v>8.5297279000000004E-2</v>
      </c>
      <c r="P7335">
        <v>5.4573323E-2</v>
      </c>
      <c r="Q7335" t="str">
        <f t="shared" si="228"/>
        <v>25-34</v>
      </c>
      <c r="R7335" t="str">
        <f t="shared" si="229"/>
        <v>[oiPR2CiVJbf]|25-34|Male|PLHIV_Residents.T2|CY2026Q3</v>
      </c>
    </row>
    <row r="7336" spans="4:18" x14ac:dyDescent="0.2">
      <c r="D7336" t="s">
        <v>117</v>
      </c>
      <c r="E7336" t="s">
        <v>118</v>
      </c>
      <c r="F7336" t="s">
        <v>119</v>
      </c>
      <c r="G7336" t="s">
        <v>276</v>
      </c>
      <c r="H7336" t="s">
        <v>276</v>
      </c>
      <c r="I7336" t="s">
        <v>43</v>
      </c>
      <c r="J7336" t="s">
        <v>44</v>
      </c>
      <c r="K7336" t="s">
        <v>48</v>
      </c>
      <c r="L7336" t="s">
        <v>49</v>
      </c>
      <c r="M7336" t="s">
        <v>277</v>
      </c>
      <c r="N7336">
        <v>5625</v>
      </c>
      <c r="O7336">
        <v>6.3507734999999996E-2</v>
      </c>
      <c r="P7336">
        <v>5.4573323E-2</v>
      </c>
      <c r="Q7336" t="str">
        <f t="shared" si="228"/>
        <v>35-49</v>
      </c>
      <c r="R7336" t="str">
        <f t="shared" si="229"/>
        <v>[oiPR2CiVJbf]|35-49|Male|PLHIV_Residents.T2|CY2026Q3</v>
      </c>
    </row>
    <row r="7337" spans="4:18" x14ac:dyDescent="0.2">
      <c r="D7337" t="s">
        <v>117</v>
      </c>
      <c r="E7337" t="s">
        <v>118</v>
      </c>
      <c r="F7337" t="s">
        <v>119</v>
      </c>
      <c r="G7337" t="s">
        <v>276</v>
      </c>
      <c r="H7337" t="s">
        <v>276</v>
      </c>
      <c r="I7337" t="s">
        <v>45</v>
      </c>
      <c r="J7337" t="s">
        <v>46</v>
      </c>
      <c r="K7337" t="s">
        <v>48</v>
      </c>
      <c r="L7337" t="s">
        <v>49</v>
      </c>
      <c r="M7337" t="s">
        <v>277</v>
      </c>
      <c r="N7337">
        <v>5006</v>
      </c>
      <c r="O7337">
        <v>5.5171464000000003E-2</v>
      </c>
      <c r="P7337">
        <v>5.4573323E-2</v>
      </c>
      <c r="Q7337" t="str">
        <f t="shared" si="228"/>
        <v>50+</v>
      </c>
      <c r="R7337" t="str">
        <f t="shared" si="229"/>
        <v>[oiPR2CiVJbf]|50+|Male|PLHIV_Residents.T2|CY2026Q3</v>
      </c>
    </row>
    <row r="7338" spans="4:18" x14ac:dyDescent="0.2">
      <c r="D7338" t="s">
        <v>120</v>
      </c>
      <c r="E7338" t="s">
        <v>121</v>
      </c>
      <c r="F7338" t="s">
        <v>122</v>
      </c>
      <c r="G7338" t="s">
        <v>276</v>
      </c>
      <c r="H7338" t="s">
        <v>276</v>
      </c>
      <c r="I7338" t="s">
        <v>28</v>
      </c>
      <c r="J7338" t="s">
        <v>29</v>
      </c>
      <c r="K7338" t="s">
        <v>30</v>
      </c>
      <c r="L7338" t="s">
        <v>31</v>
      </c>
      <c r="M7338" t="s">
        <v>277</v>
      </c>
      <c r="N7338">
        <v>57</v>
      </c>
      <c r="O7338">
        <v>3.3242888999999998E-2</v>
      </c>
      <c r="P7338">
        <v>3.0189318E-2</v>
      </c>
      <c r="Q7338" t="str">
        <f t="shared" si="228"/>
        <v>&lt;01</v>
      </c>
      <c r="R7338" t="str">
        <f t="shared" si="229"/>
        <v>[mxqa3CDFmIT]|&lt;01|Female|PLHIV_Residents.T2|CY2026Q3</v>
      </c>
    </row>
    <row r="7339" spans="4:18" x14ac:dyDescent="0.2">
      <c r="D7339" t="s">
        <v>120</v>
      </c>
      <c r="E7339" t="s">
        <v>121</v>
      </c>
      <c r="F7339" t="s">
        <v>122</v>
      </c>
      <c r="G7339" t="s">
        <v>276</v>
      </c>
      <c r="H7339" t="s">
        <v>276</v>
      </c>
      <c r="I7339" t="s">
        <v>33</v>
      </c>
      <c r="J7339" t="s">
        <v>34</v>
      </c>
      <c r="K7339" t="s">
        <v>30</v>
      </c>
      <c r="L7339" t="s">
        <v>31</v>
      </c>
      <c r="M7339" t="s">
        <v>277</v>
      </c>
      <c r="N7339">
        <v>905</v>
      </c>
      <c r="O7339">
        <v>3.5693792000000002E-2</v>
      </c>
      <c r="P7339">
        <v>3.0189318E-2</v>
      </c>
      <c r="Q7339" t="str">
        <f t="shared" si="228"/>
        <v>01-09</v>
      </c>
      <c r="R7339" t="str">
        <f t="shared" si="229"/>
        <v>[mxqa3CDFmIT]|01-09|Female|PLHIV_Residents.T2|CY2026Q3</v>
      </c>
    </row>
    <row r="7340" spans="4:18" x14ac:dyDescent="0.2">
      <c r="D7340" t="s">
        <v>120</v>
      </c>
      <c r="E7340" t="s">
        <v>121</v>
      </c>
      <c r="F7340" t="s">
        <v>122</v>
      </c>
      <c r="G7340" t="s">
        <v>276</v>
      </c>
      <c r="H7340" t="s">
        <v>276</v>
      </c>
      <c r="I7340" t="s">
        <v>36</v>
      </c>
      <c r="J7340" t="s">
        <v>37</v>
      </c>
      <c r="K7340" t="s">
        <v>30</v>
      </c>
      <c r="L7340" t="s">
        <v>31</v>
      </c>
      <c r="M7340" t="s">
        <v>277</v>
      </c>
      <c r="N7340">
        <v>1063</v>
      </c>
      <c r="O7340">
        <v>4.2956765000000001E-2</v>
      </c>
      <c r="P7340">
        <v>3.0189318E-2</v>
      </c>
      <c r="Q7340" t="str">
        <f t="shared" si="228"/>
        <v>10-14</v>
      </c>
      <c r="R7340" t="str">
        <f t="shared" si="229"/>
        <v>[mxqa3CDFmIT]|10-14|Female|PLHIV_Residents.T2|CY2026Q3</v>
      </c>
    </row>
    <row r="7341" spans="4:18" x14ac:dyDescent="0.2">
      <c r="D7341" t="s">
        <v>120</v>
      </c>
      <c r="E7341" t="s">
        <v>121</v>
      </c>
      <c r="F7341" t="s">
        <v>122</v>
      </c>
      <c r="G7341" t="s">
        <v>276</v>
      </c>
      <c r="H7341" t="s">
        <v>276</v>
      </c>
      <c r="I7341" t="s">
        <v>38</v>
      </c>
      <c r="J7341" t="s">
        <v>39</v>
      </c>
      <c r="K7341" t="s">
        <v>30</v>
      </c>
      <c r="L7341" t="s">
        <v>31</v>
      </c>
      <c r="M7341" t="s">
        <v>277</v>
      </c>
      <c r="N7341">
        <v>5296</v>
      </c>
      <c r="O7341">
        <v>5.7369647000000003E-2</v>
      </c>
      <c r="P7341">
        <v>3.0189318E-2</v>
      </c>
      <c r="Q7341" t="str">
        <f t="shared" si="228"/>
        <v>15-24</v>
      </c>
      <c r="R7341" t="str">
        <f t="shared" si="229"/>
        <v>[mxqa3CDFmIT]|15-24|Female|PLHIV_Residents.T2|CY2026Q3</v>
      </c>
    </row>
    <row r="7342" spans="4:18" x14ac:dyDescent="0.2">
      <c r="D7342" t="s">
        <v>120</v>
      </c>
      <c r="E7342" t="s">
        <v>121</v>
      </c>
      <c r="F7342" t="s">
        <v>122</v>
      </c>
      <c r="G7342" t="s">
        <v>276</v>
      </c>
      <c r="H7342" t="s">
        <v>276</v>
      </c>
      <c r="I7342" t="s">
        <v>41</v>
      </c>
      <c r="J7342" t="s">
        <v>42</v>
      </c>
      <c r="K7342" t="s">
        <v>30</v>
      </c>
      <c r="L7342" t="s">
        <v>31</v>
      </c>
      <c r="M7342" t="s">
        <v>277</v>
      </c>
      <c r="N7342">
        <v>14656</v>
      </c>
      <c r="O7342">
        <v>4.7524566999999997E-2</v>
      </c>
      <c r="P7342">
        <v>3.0189318E-2</v>
      </c>
      <c r="Q7342" t="str">
        <f t="shared" si="228"/>
        <v>25-34</v>
      </c>
      <c r="R7342" t="str">
        <f t="shared" si="229"/>
        <v>[mxqa3CDFmIT]|25-34|Female|PLHIV_Residents.T2|CY2026Q3</v>
      </c>
    </row>
    <row r="7343" spans="4:18" x14ac:dyDescent="0.2">
      <c r="D7343" t="s">
        <v>120</v>
      </c>
      <c r="E7343" t="s">
        <v>121</v>
      </c>
      <c r="F7343" t="s">
        <v>122</v>
      </c>
      <c r="G7343" t="s">
        <v>276</v>
      </c>
      <c r="H7343" t="s">
        <v>276</v>
      </c>
      <c r="I7343" t="s">
        <v>43</v>
      </c>
      <c r="J7343" t="s">
        <v>44</v>
      </c>
      <c r="K7343" t="s">
        <v>30</v>
      </c>
      <c r="L7343" t="s">
        <v>31</v>
      </c>
      <c r="M7343" t="s">
        <v>277</v>
      </c>
      <c r="N7343">
        <v>37735</v>
      </c>
      <c r="O7343">
        <v>3.1977620999999998E-2</v>
      </c>
      <c r="P7343">
        <v>3.0189318E-2</v>
      </c>
      <c r="Q7343" t="str">
        <f t="shared" si="228"/>
        <v>35-49</v>
      </c>
      <c r="R7343" t="str">
        <f t="shared" si="229"/>
        <v>[mxqa3CDFmIT]|35-49|Female|PLHIV_Residents.T2|CY2026Q3</v>
      </c>
    </row>
    <row r="7344" spans="4:18" x14ac:dyDescent="0.2">
      <c r="D7344" t="s">
        <v>120</v>
      </c>
      <c r="E7344" t="s">
        <v>121</v>
      </c>
      <c r="F7344" t="s">
        <v>122</v>
      </c>
      <c r="G7344" t="s">
        <v>276</v>
      </c>
      <c r="H7344" t="s">
        <v>276</v>
      </c>
      <c r="I7344" t="s">
        <v>45</v>
      </c>
      <c r="J7344" t="s">
        <v>46</v>
      </c>
      <c r="K7344" t="s">
        <v>30</v>
      </c>
      <c r="L7344" t="s">
        <v>31</v>
      </c>
      <c r="M7344" t="s">
        <v>277</v>
      </c>
      <c r="N7344">
        <v>16100</v>
      </c>
      <c r="O7344">
        <v>3.7418137999999997E-2</v>
      </c>
      <c r="P7344">
        <v>3.0189318E-2</v>
      </c>
      <c r="Q7344" t="str">
        <f t="shared" si="228"/>
        <v>50+</v>
      </c>
      <c r="R7344" t="str">
        <f t="shared" si="229"/>
        <v>[mxqa3CDFmIT]|50+|Female|PLHIV_Residents.T2|CY2026Q3</v>
      </c>
    </row>
    <row r="7345" spans="4:18" x14ac:dyDescent="0.2">
      <c r="D7345" t="s">
        <v>120</v>
      </c>
      <c r="E7345" t="s">
        <v>121</v>
      </c>
      <c r="F7345" t="s">
        <v>122</v>
      </c>
      <c r="G7345" t="s">
        <v>276</v>
      </c>
      <c r="H7345" t="s">
        <v>276</v>
      </c>
      <c r="I7345" t="s">
        <v>28</v>
      </c>
      <c r="J7345" t="s">
        <v>29</v>
      </c>
      <c r="K7345" t="s">
        <v>48</v>
      </c>
      <c r="L7345" t="s">
        <v>49</v>
      </c>
      <c r="M7345" t="s">
        <v>277</v>
      </c>
      <c r="N7345">
        <v>57</v>
      </c>
      <c r="O7345">
        <v>3.3239628E-2</v>
      </c>
      <c r="P7345">
        <v>3.0189318E-2</v>
      </c>
      <c r="Q7345" t="str">
        <f t="shared" si="228"/>
        <v>&lt;01</v>
      </c>
      <c r="R7345" t="str">
        <f t="shared" si="229"/>
        <v>[mxqa3CDFmIT]|&lt;01|Male|PLHIV_Residents.T2|CY2026Q3</v>
      </c>
    </row>
    <row r="7346" spans="4:18" x14ac:dyDescent="0.2">
      <c r="D7346" t="s">
        <v>120</v>
      </c>
      <c r="E7346" t="s">
        <v>121</v>
      </c>
      <c r="F7346" t="s">
        <v>122</v>
      </c>
      <c r="G7346" t="s">
        <v>276</v>
      </c>
      <c r="H7346" t="s">
        <v>276</v>
      </c>
      <c r="I7346" t="s">
        <v>33</v>
      </c>
      <c r="J7346" t="s">
        <v>34</v>
      </c>
      <c r="K7346" t="s">
        <v>48</v>
      </c>
      <c r="L7346" t="s">
        <v>49</v>
      </c>
      <c r="M7346" t="s">
        <v>277</v>
      </c>
      <c r="N7346">
        <v>914</v>
      </c>
      <c r="O7346">
        <v>3.5684541E-2</v>
      </c>
      <c r="P7346">
        <v>3.0189318E-2</v>
      </c>
      <c r="Q7346" t="str">
        <f t="shared" si="228"/>
        <v>01-09</v>
      </c>
      <c r="R7346" t="str">
        <f t="shared" si="229"/>
        <v>[mxqa3CDFmIT]|01-09|Male|PLHIV_Residents.T2|CY2026Q3</v>
      </c>
    </row>
    <row r="7347" spans="4:18" x14ac:dyDescent="0.2">
      <c r="D7347" t="s">
        <v>120</v>
      </c>
      <c r="E7347" t="s">
        <v>121</v>
      </c>
      <c r="F7347" t="s">
        <v>122</v>
      </c>
      <c r="G7347" t="s">
        <v>276</v>
      </c>
      <c r="H7347" t="s">
        <v>276</v>
      </c>
      <c r="I7347" t="s">
        <v>36</v>
      </c>
      <c r="J7347" t="s">
        <v>37</v>
      </c>
      <c r="K7347" t="s">
        <v>48</v>
      </c>
      <c r="L7347" t="s">
        <v>49</v>
      </c>
      <c r="M7347" t="s">
        <v>277</v>
      </c>
      <c r="N7347">
        <v>1064</v>
      </c>
      <c r="O7347">
        <v>4.2914171000000001E-2</v>
      </c>
      <c r="P7347">
        <v>3.0189318E-2</v>
      </c>
      <c r="Q7347" t="str">
        <f t="shared" si="228"/>
        <v>10-14</v>
      </c>
      <c r="R7347" t="str">
        <f t="shared" si="229"/>
        <v>[mxqa3CDFmIT]|10-14|Male|PLHIV_Residents.T2|CY2026Q3</v>
      </c>
    </row>
    <row r="7348" spans="4:18" x14ac:dyDescent="0.2">
      <c r="D7348" t="s">
        <v>120</v>
      </c>
      <c r="E7348" t="s">
        <v>121</v>
      </c>
      <c r="F7348" t="s">
        <v>122</v>
      </c>
      <c r="G7348" t="s">
        <v>276</v>
      </c>
      <c r="H7348" t="s">
        <v>276</v>
      </c>
      <c r="I7348" t="s">
        <v>38</v>
      </c>
      <c r="J7348" t="s">
        <v>39</v>
      </c>
      <c r="K7348" t="s">
        <v>48</v>
      </c>
      <c r="L7348" t="s">
        <v>49</v>
      </c>
      <c r="M7348" t="s">
        <v>277</v>
      </c>
      <c r="N7348">
        <v>3690</v>
      </c>
      <c r="O7348">
        <v>6.4256369999999993E-2</v>
      </c>
      <c r="P7348">
        <v>3.0189318E-2</v>
      </c>
      <c r="Q7348" t="str">
        <f t="shared" si="228"/>
        <v>15-24</v>
      </c>
      <c r="R7348" t="str">
        <f t="shared" si="229"/>
        <v>[mxqa3CDFmIT]|15-24|Male|PLHIV_Residents.T2|CY2026Q3</v>
      </c>
    </row>
    <row r="7349" spans="4:18" x14ac:dyDescent="0.2">
      <c r="D7349" t="s">
        <v>120</v>
      </c>
      <c r="E7349" t="s">
        <v>121</v>
      </c>
      <c r="F7349" t="s">
        <v>122</v>
      </c>
      <c r="G7349" t="s">
        <v>276</v>
      </c>
      <c r="H7349" t="s">
        <v>276</v>
      </c>
      <c r="I7349" t="s">
        <v>41</v>
      </c>
      <c r="J7349" t="s">
        <v>42</v>
      </c>
      <c r="K7349" t="s">
        <v>48</v>
      </c>
      <c r="L7349" t="s">
        <v>49</v>
      </c>
      <c r="M7349" t="s">
        <v>277</v>
      </c>
      <c r="N7349">
        <v>6472</v>
      </c>
      <c r="O7349">
        <v>6.6651390000000005E-2</v>
      </c>
      <c r="P7349">
        <v>3.0189318E-2</v>
      </c>
      <c r="Q7349" t="str">
        <f t="shared" si="228"/>
        <v>25-34</v>
      </c>
      <c r="R7349" t="str">
        <f t="shared" si="229"/>
        <v>[mxqa3CDFmIT]|25-34|Male|PLHIV_Residents.T2|CY2026Q3</v>
      </c>
    </row>
    <row r="7350" spans="4:18" x14ac:dyDescent="0.2">
      <c r="D7350" t="s">
        <v>120</v>
      </c>
      <c r="E7350" t="s">
        <v>121</v>
      </c>
      <c r="F7350" t="s">
        <v>122</v>
      </c>
      <c r="G7350" t="s">
        <v>276</v>
      </c>
      <c r="H7350" t="s">
        <v>276</v>
      </c>
      <c r="I7350" t="s">
        <v>43</v>
      </c>
      <c r="J7350" t="s">
        <v>44</v>
      </c>
      <c r="K7350" t="s">
        <v>48</v>
      </c>
      <c r="L7350" t="s">
        <v>49</v>
      </c>
      <c r="M7350" t="s">
        <v>277</v>
      </c>
      <c r="N7350">
        <v>22464</v>
      </c>
      <c r="O7350">
        <v>3.8823196999999997E-2</v>
      </c>
      <c r="P7350">
        <v>3.0189318E-2</v>
      </c>
      <c r="Q7350" t="str">
        <f t="shared" si="228"/>
        <v>35-49</v>
      </c>
      <c r="R7350" t="str">
        <f t="shared" si="229"/>
        <v>[mxqa3CDFmIT]|35-49|Male|PLHIV_Residents.T2|CY2026Q3</v>
      </c>
    </row>
    <row r="7351" spans="4:18" x14ac:dyDescent="0.2">
      <c r="D7351" t="s">
        <v>120</v>
      </c>
      <c r="E7351" t="s">
        <v>121</v>
      </c>
      <c r="F7351" t="s">
        <v>122</v>
      </c>
      <c r="G7351" t="s">
        <v>276</v>
      </c>
      <c r="H7351" t="s">
        <v>276</v>
      </c>
      <c r="I7351" t="s">
        <v>45</v>
      </c>
      <c r="J7351" t="s">
        <v>46</v>
      </c>
      <c r="K7351" t="s">
        <v>48</v>
      </c>
      <c r="L7351" t="s">
        <v>49</v>
      </c>
      <c r="M7351" t="s">
        <v>277</v>
      </c>
      <c r="N7351">
        <v>15898</v>
      </c>
      <c r="O7351">
        <v>3.6540450000000002E-2</v>
      </c>
      <c r="P7351">
        <v>3.0189318E-2</v>
      </c>
      <c r="Q7351" t="str">
        <f t="shared" si="228"/>
        <v>50+</v>
      </c>
      <c r="R7351" t="str">
        <f t="shared" si="229"/>
        <v>[mxqa3CDFmIT]|50+|Male|PLHIV_Residents.T2|CY2026Q3</v>
      </c>
    </row>
    <row r="7352" spans="4:18" x14ac:dyDescent="0.2">
      <c r="D7352" t="s">
        <v>123</v>
      </c>
      <c r="E7352" t="s">
        <v>124</v>
      </c>
      <c r="F7352" t="s">
        <v>125</v>
      </c>
      <c r="G7352" t="s">
        <v>276</v>
      </c>
      <c r="H7352" t="s">
        <v>276</v>
      </c>
      <c r="I7352" t="s">
        <v>28</v>
      </c>
      <c r="J7352" t="s">
        <v>29</v>
      </c>
      <c r="K7352" t="s">
        <v>30</v>
      </c>
      <c r="L7352" t="s">
        <v>31</v>
      </c>
      <c r="M7352" t="s">
        <v>277</v>
      </c>
      <c r="N7352">
        <v>3</v>
      </c>
      <c r="O7352">
        <v>8.9331260999999995E-2</v>
      </c>
      <c r="P7352">
        <v>8.5919528999999994E-2</v>
      </c>
      <c r="Q7352" t="str">
        <f t="shared" si="228"/>
        <v>&lt;01</v>
      </c>
      <c r="R7352" t="str">
        <f t="shared" si="229"/>
        <v>[wNqJp8oRIcF]|&lt;01|Female|PLHIV_Residents.T2|CY2026Q3</v>
      </c>
    </row>
    <row r="7353" spans="4:18" x14ac:dyDescent="0.2">
      <c r="D7353" t="s">
        <v>123</v>
      </c>
      <c r="E7353" t="s">
        <v>124</v>
      </c>
      <c r="F7353" t="s">
        <v>125</v>
      </c>
      <c r="G7353" t="s">
        <v>276</v>
      </c>
      <c r="H7353" t="s">
        <v>276</v>
      </c>
      <c r="I7353" t="s">
        <v>33</v>
      </c>
      <c r="J7353" t="s">
        <v>34</v>
      </c>
      <c r="K7353" t="s">
        <v>30</v>
      </c>
      <c r="L7353" t="s">
        <v>31</v>
      </c>
      <c r="M7353" t="s">
        <v>277</v>
      </c>
      <c r="N7353">
        <v>57</v>
      </c>
      <c r="O7353">
        <v>9.4087433999999998E-2</v>
      </c>
      <c r="P7353">
        <v>8.5919528999999994E-2</v>
      </c>
      <c r="Q7353" t="str">
        <f t="shared" si="228"/>
        <v>01-09</v>
      </c>
      <c r="R7353" t="str">
        <f t="shared" si="229"/>
        <v>[wNqJp8oRIcF]|01-09|Female|PLHIV_Residents.T2|CY2026Q3</v>
      </c>
    </row>
    <row r="7354" spans="4:18" x14ac:dyDescent="0.2">
      <c r="D7354" t="s">
        <v>123</v>
      </c>
      <c r="E7354" t="s">
        <v>124</v>
      </c>
      <c r="F7354" t="s">
        <v>125</v>
      </c>
      <c r="G7354" t="s">
        <v>276</v>
      </c>
      <c r="H7354" t="s">
        <v>276</v>
      </c>
      <c r="I7354" t="s">
        <v>36</v>
      </c>
      <c r="J7354" t="s">
        <v>37</v>
      </c>
      <c r="K7354" t="s">
        <v>30</v>
      </c>
      <c r="L7354" t="s">
        <v>31</v>
      </c>
      <c r="M7354" t="s">
        <v>277</v>
      </c>
      <c r="N7354">
        <v>73</v>
      </c>
      <c r="O7354">
        <v>0.105048012</v>
      </c>
      <c r="P7354">
        <v>8.5919528999999994E-2</v>
      </c>
      <c r="Q7354" t="str">
        <f t="shared" si="228"/>
        <v>10-14</v>
      </c>
      <c r="R7354" t="str">
        <f t="shared" si="229"/>
        <v>[wNqJp8oRIcF]|10-14|Female|PLHIV_Residents.T2|CY2026Q3</v>
      </c>
    </row>
    <row r="7355" spans="4:18" x14ac:dyDescent="0.2">
      <c r="D7355" t="s">
        <v>123</v>
      </c>
      <c r="E7355" t="s">
        <v>124</v>
      </c>
      <c r="F7355" t="s">
        <v>125</v>
      </c>
      <c r="G7355" t="s">
        <v>276</v>
      </c>
      <c r="H7355" t="s">
        <v>276</v>
      </c>
      <c r="I7355" t="s">
        <v>38</v>
      </c>
      <c r="J7355" t="s">
        <v>39</v>
      </c>
      <c r="K7355" t="s">
        <v>30</v>
      </c>
      <c r="L7355" t="s">
        <v>31</v>
      </c>
      <c r="M7355" t="s">
        <v>277</v>
      </c>
      <c r="N7355">
        <v>314</v>
      </c>
      <c r="O7355">
        <v>0.104252158</v>
      </c>
      <c r="P7355">
        <v>8.5919528999999994E-2</v>
      </c>
      <c r="Q7355" t="str">
        <f t="shared" si="228"/>
        <v>15-24</v>
      </c>
      <c r="R7355" t="str">
        <f t="shared" si="229"/>
        <v>[wNqJp8oRIcF]|15-24|Female|PLHIV_Residents.T2|CY2026Q3</v>
      </c>
    </row>
    <row r="7356" spans="4:18" x14ac:dyDescent="0.2">
      <c r="D7356" t="s">
        <v>123</v>
      </c>
      <c r="E7356" t="s">
        <v>124</v>
      </c>
      <c r="F7356" t="s">
        <v>125</v>
      </c>
      <c r="G7356" t="s">
        <v>276</v>
      </c>
      <c r="H7356" t="s">
        <v>276</v>
      </c>
      <c r="I7356" t="s">
        <v>41</v>
      </c>
      <c r="J7356" t="s">
        <v>42</v>
      </c>
      <c r="K7356" t="s">
        <v>30</v>
      </c>
      <c r="L7356" t="s">
        <v>31</v>
      </c>
      <c r="M7356" t="s">
        <v>277</v>
      </c>
      <c r="N7356">
        <v>757</v>
      </c>
      <c r="O7356">
        <v>9.8073148999999998E-2</v>
      </c>
      <c r="P7356">
        <v>8.5919528999999994E-2</v>
      </c>
      <c r="Q7356" t="str">
        <f t="shared" si="228"/>
        <v>25-34</v>
      </c>
      <c r="R7356" t="str">
        <f t="shared" si="229"/>
        <v>[wNqJp8oRIcF]|25-34|Female|PLHIV_Residents.T2|CY2026Q3</v>
      </c>
    </row>
    <row r="7357" spans="4:18" x14ac:dyDescent="0.2">
      <c r="D7357" t="s">
        <v>123</v>
      </c>
      <c r="E7357" t="s">
        <v>124</v>
      </c>
      <c r="F7357" t="s">
        <v>125</v>
      </c>
      <c r="G7357" t="s">
        <v>276</v>
      </c>
      <c r="H7357" t="s">
        <v>276</v>
      </c>
      <c r="I7357" t="s">
        <v>43</v>
      </c>
      <c r="J7357" t="s">
        <v>44</v>
      </c>
      <c r="K7357" t="s">
        <v>30</v>
      </c>
      <c r="L7357" t="s">
        <v>31</v>
      </c>
      <c r="M7357" t="s">
        <v>277</v>
      </c>
      <c r="N7357">
        <v>2072</v>
      </c>
      <c r="O7357">
        <v>8.4141299000000003E-2</v>
      </c>
      <c r="P7357">
        <v>8.5919528999999994E-2</v>
      </c>
      <c r="Q7357" t="str">
        <f t="shared" si="228"/>
        <v>35-49</v>
      </c>
      <c r="R7357" t="str">
        <f t="shared" si="229"/>
        <v>[wNqJp8oRIcF]|35-49|Female|PLHIV_Residents.T2|CY2026Q3</v>
      </c>
    </row>
    <row r="7358" spans="4:18" x14ac:dyDescent="0.2">
      <c r="D7358" t="s">
        <v>123</v>
      </c>
      <c r="E7358" t="s">
        <v>124</v>
      </c>
      <c r="F7358" t="s">
        <v>125</v>
      </c>
      <c r="G7358" t="s">
        <v>276</v>
      </c>
      <c r="H7358" t="s">
        <v>276</v>
      </c>
      <c r="I7358" t="s">
        <v>45</v>
      </c>
      <c r="J7358" t="s">
        <v>46</v>
      </c>
      <c r="K7358" t="s">
        <v>30</v>
      </c>
      <c r="L7358" t="s">
        <v>31</v>
      </c>
      <c r="M7358" t="s">
        <v>277</v>
      </c>
      <c r="N7358">
        <v>1118</v>
      </c>
      <c r="O7358">
        <v>8.7569247000000003E-2</v>
      </c>
      <c r="P7358">
        <v>8.5919528999999994E-2</v>
      </c>
      <c r="Q7358" t="str">
        <f t="shared" si="228"/>
        <v>50+</v>
      </c>
      <c r="R7358" t="str">
        <f t="shared" si="229"/>
        <v>[wNqJp8oRIcF]|50+|Female|PLHIV_Residents.T2|CY2026Q3</v>
      </c>
    </row>
    <row r="7359" spans="4:18" x14ac:dyDescent="0.2">
      <c r="D7359" t="s">
        <v>123</v>
      </c>
      <c r="E7359" t="s">
        <v>124</v>
      </c>
      <c r="F7359" t="s">
        <v>125</v>
      </c>
      <c r="G7359" t="s">
        <v>276</v>
      </c>
      <c r="H7359" t="s">
        <v>276</v>
      </c>
      <c r="I7359" t="s">
        <v>28</v>
      </c>
      <c r="J7359" t="s">
        <v>29</v>
      </c>
      <c r="K7359" t="s">
        <v>48</v>
      </c>
      <c r="L7359" t="s">
        <v>49</v>
      </c>
      <c r="M7359" t="s">
        <v>277</v>
      </c>
      <c r="N7359">
        <v>3</v>
      </c>
      <c r="O7359">
        <v>8.9319936000000003E-2</v>
      </c>
      <c r="P7359">
        <v>8.5919528999999994E-2</v>
      </c>
      <c r="Q7359" t="str">
        <f t="shared" si="228"/>
        <v>&lt;01</v>
      </c>
      <c r="R7359" t="str">
        <f t="shared" si="229"/>
        <v>[wNqJp8oRIcF]|&lt;01|Male|PLHIV_Residents.T2|CY2026Q3</v>
      </c>
    </row>
    <row r="7360" spans="4:18" x14ac:dyDescent="0.2">
      <c r="D7360" t="s">
        <v>123</v>
      </c>
      <c r="E7360" t="s">
        <v>124</v>
      </c>
      <c r="F7360" t="s">
        <v>125</v>
      </c>
      <c r="G7360" t="s">
        <v>276</v>
      </c>
      <c r="H7360" t="s">
        <v>276</v>
      </c>
      <c r="I7360" t="s">
        <v>33</v>
      </c>
      <c r="J7360" t="s">
        <v>34</v>
      </c>
      <c r="K7360" t="s">
        <v>48</v>
      </c>
      <c r="L7360" t="s">
        <v>49</v>
      </c>
      <c r="M7360" t="s">
        <v>277</v>
      </c>
      <c r="N7360">
        <v>57</v>
      </c>
      <c r="O7360">
        <v>9.4066359000000002E-2</v>
      </c>
      <c r="P7360">
        <v>8.5919528999999994E-2</v>
      </c>
      <c r="Q7360" t="str">
        <f t="shared" si="228"/>
        <v>01-09</v>
      </c>
      <c r="R7360" t="str">
        <f t="shared" si="229"/>
        <v>[wNqJp8oRIcF]|01-09|Male|PLHIV_Residents.T2|CY2026Q3</v>
      </c>
    </row>
    <row r="7361" spans="4:18" x14ac:dyDescent="0.2">
      <c r="D7361" t="s">
        <v>123</v>
      </c>
      <c r="E7361" t="s">
        <v>124</v>
      </c>
      <c r="F7361" t="s">
        <v>125</v>
      </c>
      <c r="G7361" t="s">
        <v>276</v>
      </c>
      <c r="H7361" t="s">
        <v>276</v>
      </c>
      <c r="I7361" t="s">
        <v>36</v>
      </c>
      <c r="J7361" t="s">
        <v>37</v>
      </c>
      <c r="K7361" t="s">
        <v>48</v>
      </c>
      <c r="L7361" t="s">
        <v>49</v>
      </c>
      <c r="M7361" t="s">
        <v>277</v>
      </c>
      <c r="N7361">
        <v>73</v>
      </c>
      <c r="O7361">
        <v>0.105037861</v>
      </c>
      <c r="P7361">
        <v>8.5919528999999994E-2</v>
      </c>
      <c r="Q7361" t="str">
        <f t="shared" si="228"/>
        <v>10-14</v>
      </c>
      <c r="R7361" t="str">
        <f t="shared" si="229"/>
        <v>[wNqJp8oRIcF]|10-14|Male|PLHIV_Residents.T2|CY2026Q3</v>
      </c>
    </row>
    <row r="7362" spans="4:18" x14ac:dyDescent="0.2">
      <c r="D7362" t="s">
        <v>123</v>
      </c>
      <c r="E7362" t="s">
        <v>124</v>
      </c>
      <c r="F7362" t="s">
        <v>125</v>
      </c>
      <c r="G7362" t="s">
        <v>276</v>
      </c>
      <c r="H7362" t="s">
        <v>276</v>
      </c>
      <c r="I7362" t="s">
        <v>38</v>
      </c>
      <c r="J7362" t="s">
        <v>39</v>
      </c>
      <c r="K7362" t="s">
        <v>48</v>
      </c>
      <c r="L7362" t="s">
        <v>49</v>
      </c>
      <c r="M7362" t="s">
        <v>277</v>
      </c>
      <c r="N7362">
        <v>222</v>
      </c>
      <c r="O7362">
        <v>0.109541376</v>
      </c>
      <c r="P7362">
        <v>8.5919528999999994E-2</v>
      </c>
      <c r="Q7362" t="str">
        <f t="shared" si="228"/>
        <v>15-24</v>
      </c>
      <c r="R7362" t="str">
        <f t="shared" si="229"/>
        <v>[wNqJp8oRIcF]|15-24|Male|PLHIV_Residents.T2|CY2026Q3</v>
      </c>
    </row>
    <row r="7363" spans="4:18" x14ac:dyDescent="0.2">
      <c r="D7363" t="s">
        <v>123</v>
      </c>
      <c r="E7363" t="s">
        <v>124</v>
      </c>
      <c r="F7363" t="s">
        <v>125</v>
      </c>
      <c r="G7363" t="s">
        <v>276</v>
      </c>
      <c r="H7363" t="s">
        <v>276</v>
      </c>
      <c r="I7363" t="s">
        <v>41</v>
      </c>
      <c r="J7363" t="s">
        <v>42</v>
      </c>
      <c r="K7363" t="s">
        <v>48</v>
      </c>
      <c r="L7363" t="s">
        <v>49</v>
      </c>
      <c r="M7363" t="s">
        <v>277</v>
      </c>
      <c r="N7363">
        <v>299</v>
      </c>
      <c r="O7363">
        <v>0.108803809</v>
      </c>
      <c r="P7363">
        <v>8.5919528999999994E-2</v>
      </c>
      <c r="Q7363" t="str">
        <f t="shared" ref="Q7363:Q7426" si="230">SUBSTITUTE(SUBSTITUTE($I7363,CHAR(61),""),CHAR(34),"")</f>
        <v>25-34</v>
      </c>
      <c r="R7363" t="str">
        <f t="shared" ref="R7363:R7426" si="231">IF($D7363&lt;&gt;"","["&amp;$E7363&amp;"]"&amp;"|"&amp;$Q7363&amp;"|"&amp;$K7363&amp;"|"&amp;$G7363&amp;"|"&amp;IF($G7363="TX_CURR_SUBNAT.R","CY2023Q4",$M7363),"")</f>
        <v>[wNqJp8oRIcF]|25-34|Male|PLHIV_Residents.T2|CY2026Q3</v>
      </c>
    </row>
    <row r="7364" spans="4:18" x14ac:dyDescent="0.2">
      <c r="D7364" t="s">
        <v>123</v>
      </c>
      <c r="E7364" t="s">
        <v>124</v>
      </c>
      <c r="F7364" t="s">
        <v>125</v>
      </c>
      <c r="G7364" t="s">
        <v>276</v>
      </c>
      <c r="H7364" t="s">
        <v>276</v>
      </c>
      <c r="I7364" t="s">
        <v>43</v>
      </c>
      <c r="J7364" t="s">
        <v>44</v>
      </c>
      <c r="K7364" t="s">
        <v>48</v>
      </c>
      <c r="L7364" t="s">
        <v>49</v>
      </c>
      <c r="M7364" t="s">
        <v>277</v>
      </c>
      <c r="N7364">
        <v>1031</v>
      </c>
      <c r="O7364">
        <v>9.3300236999999994E-2</v>
      </c>
      <c r="P7364">
        <v>8.5919528999999994E-2</v>
      </c>
      <c r="Q7364" t="str">
        <f t="shared" si="230"/>
        <v>35-49</v>
      </c>
      <c r="R7364" t="str">
        <f t="shared" si="231"/>
        <v>[wNqJp8oRIcF]|35-49|Male|PLHIV_Residents.T2|CY2026Q3</v>
      </c>
    </row>
    <row r="7365" spans="4:18" x14ac:dyDescent="0.2">
      <c r="D7365" t="s">
        <v>123</v>
      </c>
      <c r="E7365" t="s">
        <v>124</v>
      </c>
      <c r="F7365" t="s">
        <v>125</v>
      </c>
      <c r="G7365" t="s">
        <v>276</v>
      </c>
      <c r="H7365" t="s">
        <v>276</v>
      </c>
      <c r="I7365" t="s">
        <v>45</v>
      </c>
      <c r="J7365" t="s">
        <v>46</v>
      </c>
      <c r="K7365" t="s">
        <v>48</v>
      </c>
      <c r="L7365" t="s">
        <v>49</v>
      </c>
      <c r="M7365" t="s">
        <v>277</v>
      </c>
      <c r="N7365">
        <v>862</v>
      </c>
      <c r="O7365">
        <v>9.1035311999999993E-2</v>
      </c>
      <c r="P7365">
        <v>8.5919528999999994E-2</v>
      </c>
      <c r="Q7365" t="str">
        <f t="shared" si="230"/>
        <v>50+</v>
      </c>
      <c r="R7365" t="str">
        <f t="shared" si="231"/>
        <v>[wNqJp8oRIcF]|50+|Male|PLHIV_Residents.T2|CY2026Q3</v>
      </c>
    </row>
    <row r="7366" spans="4:18" x14ac:dyDescent="0.2">
      <c r="D7366" t="s">
        <v>126</v>
      </c>
      <c r="E7366" t="s">
        <v>127</v>
      </c>
      <c r="F7366" t="s">
        <v>128</v>
      </c>
      <c r="G7366" t="s">
        <v>276</v>
      </c>
      <c r="H7366" t="s">
        <v>276</v>
      </c>
      <c r="I7366" t="s">
        <v>28</v>
      </c>
      <c r="J7366" t="s">
        <v>29</v>
      </c>
      <c r="K7366" t="s">
        <v>30</v>
      </c>
      <c r="L7366" t="s">
        <v>31</v>
      </c>
      <c r="M7366" t="s">
        <v>277</v>
      </c>
      <c r="N7366">
        <v>31</v>
      </c>
      <c r="O7366">
        <v>5.3128502000000001E-2</v>
      </c>
      <c r="P7366">
        <v>4.8537746E-2</v>
      </c>
      <c r="Q7366" t="str">
        <f t="shared" si="230"/>
        <v>&lt;01</v>
      </c>
      <c r="R7366" t="str">
        <f t="shared" si="231"/>
        <v>[ul0y9diGujK]|&lt;01|Female|PLHIV_Residents.T2|CY2026Q3</v>
      </c>
    </row>
    <row r="7367" spans="4:18" x14ac:dyDescent="0.2">
      <c r="D7367" t="s">
        <v>126</v>
      </c>
      <c r="E7367" t="s">
        <v>127</v>
      </c>
      <c r="F7367" t="s">
        <v>128</v>
      </c>
      <c r="G7367" t="s">
        <v>276</v>
      </c>
      <c r="H7367" t="s">
        <v>276</v>
      </c>
      <c r="I7367" t="s">
        <v>33</v>
      </c>
      <c r="J7367" t="s">
        <v>34</v>
      </c>
      <c r="K7367" t="s">
        <v>30</v>
      </c>
      <c r="L7367" t="s">
        <v>31</v>
      </c>
      <c r="M7367" t="s">
        <v>277</v>
      </c>
      <c r="N7367">
        <v>518</v>
      </c>
      <c r="O7367">
        <v>5.8620463999999997E-2</v>
      </c>
      <c r="P7367">
        <v>4.8537746E-2</v>
      </c>
      <c r="Q7367" t="str">
        <f t="shared" si="230"/>
        <v>01-09</v>
      </c>
      <c r="R7367" t="str">
        <f t="shared" si="231"/>
        <v>[ul0y9diGujK]|01-09|Female|PLHIV_Residents.T2|CY2026Q3</v>
      </c>
    </row>
    <row r="7368" spans="4:18" x14ac:dyDescent="0.2">
      <c r="D7368" t="s">
        <v>126</v>
      </c>
      <c r="E7368" t="s">
        <v>127</v>
      </c>
      <c r="F7368" t="s">
        <v>128</v>
      </c>
      <c r="G7368" t="s">
        <v>276</v>
      </c>
      <c r="H7368" t="s">
        <v>276</v>
      </c>
      <c r="I7368" t="s">
        <v>36</v>
      </c>
      <c r="J7368" t="s">
        <v>37</v>
      </c>
      <c r="K7368" t="s">
        <v>30</v>
      </c>
      <c r="L7368" t="s">
        <v>31</v>
      </c>
      <c r="M7368" t="s">
        <v>277</v>
      </c>
      <c r="N7368">
        <v>675</v>
      </c>
      <c r="O7368">
        <v>7.2268405999999993E-2</v>
      </c>
      <c r="P7368">
        <v>4.8537746E-2</v>
      </c>
      <c r="Q7368" t="str">
        <f t="shared" si="230"/>
        <v>10-14</v>
      </c>
      <c r="R7368" t="str">
        <f t="shared" si="231"/>
        <v>[ul0y9diGujK]|10-14|Female|PLHIV_Residents.T2|CY2026Q3</v>
      </c>
    </row>
    <row r="7369" spans="4:18" x14ac:dyDescent="0.2">
      <c r="D7369" t="s">
        <v>126</v>
      </c>
      <c r="E7369" t="s">
        <v>127</v>
      </c>
      <c r="F7369" t="s">
        <v>128</v>
      </c>
      <c r="G7369" t="s">
        <v>276</v>
      </c>
      <c r="H7369" t="s">
        <v>276</v>
      </c>
      <c r="I7369" t="s">
        <v>38</v>
      </c>
      <c r="J7369" t="s">
        <v>39</v>
      </c>
      <c r="K7369" t="s">
        <v>30</v>
      </c>
      <c r="L7369" t="s">
        <v>31</v>
      </c>
      <c r="M7369" t="s">
        <v>277</v>
      </c>
      <c r="N7369">
        <v>3104</v>
      </c>
      <c r="O7369">
        <v>7.4975402999999996E-2</v>
      </c>
      <c r="P7369">
        <v>4.8537746E-2</v>
      </c>
      <c r="Q7369" t="str">
        <f t="shared" si="230"/>
        <v>15-24</v>
      </c>
      <c r="R7369" t="str">
        <f t="shared" si="231"/>
        <v>[ul0y9diGujK]|15-24|Female|PLHIV_Residents.T2|CY2026Q3</v>
      </c>
    </row>
    <row r="7370" spans="4:18" x14ac:dyDescent="0.2">
      <c r="D7370" t="s">
        <v>126</v>
      </c>
      <c r="E7370" t="s">
        <v>127</v>
      </c>
      <c r="F7370" t="s">
        <v>128</v>
      </c>
      <c r="G7370" t="s">
        <v>276</v>
      </c>
      <c r="H7370" t="s">
        <v>276</v>
      </c>
      <c r="I7370" t="s">
        <v>41</v>
      </c>
      <c r="J7370" t="s">
        <v>42</v>
      </c>
      <c r="K7370" t="s">
        <v>30</v>
      </c>
      <c r="L7370" t="s">
        <v>31</v>
      </c>
      <c r="M7370" t="s">
        <v>277</v>
      </c>
      <c r="N7370">
        <v>7162</v>
      </c>
      <c r="O7370">
        <v>6.5060171999999999E-2</v>
      </c>
      <c r="P7370">
        <v>4.8537746E-2</v>
      </c>
      <c r="Q7370" t="str">
        <f t="shared" si="230"/>
        <v>25-34</v>
      </c>
      <c r="R7370" t="str">
        <f t="shared" si="231"/>
        <v>[ul0y9diGujK]|25-34|Female|PLHIV_Residents.T2|CY2026Q3</v>
      </c>
    </row>
    <row r="7371" spans="4:18" x14ac:dyDescent="0.2">
      <c r="D7371" t="s">
        <v>126</v>
      </c>
      <c r="E7371" t="s">
        <v>127</v>
      </c>
      <c r="F7371" t="s">
        <v>128</v>
      </c>
      <c r="G7371" t="s">
        <v>276</v>
      </c>
      <c r="H7371" t="s">
        <v>276</v>
      </c>
      <c r="I7371" t="s">
        <v>43</v>
      </c>
      <c r="J7371" t="s">
        <v>44</v>
      </c>
      <c r="K7371" t="s">
        <v>30</v>
      </c>
      <c r="L7371" t="s">
        <v>31</v>
      </c>
      <c r="M7371" t="s">
        <v>277</v>
      </c>
      <c r="N7371">
        <v>21067</v>
      </c>
      <c r="O7371">
        <v>4.8034773000000003E-2</v>
      </c>
      <c r="P7371">
        <v>4.8537746E-2</v>
      </c>
      <c r="Q7371" t="str">
        <f t="shared" si="230"/>
        <v>35-49</v>
      </c>
      <c r="R7371" t="str">
        <f t="shared" si="231"/>
        <v>[ul0y9diGujK]|35-49|Female|PLHIV_Residents.T2|CY2026Q3</v>
      </c>
    </row>
    <row r="7372" spans="4:18" x14ac:dyDescent="0.2">
      <c r="D7372" t="s">
        <v>126</v>
      </c>
      <c r="E7372" t="s">
        <v>127</v>
      </c>
      <c r="F7372" t="s">
        <v>128</v>
      </c>
      <c r="G7372" t="s">
        <v>276</v>
      </c>
      <c r="H7372" t="s">
        <v>276</v>
      </c>
      <c r="I7372" t="s">
        <v>45</v>
      </c>
      <c r="J7372" t="s">
        <v>46</v>
      </c>
      <c r="K7372" t="s">
        <v>30</v>
      </c>
      <c r="L7372" t="s">
        <v>31</v>
      </c>
      <c r="M7372" t="s">
        <v>277</v>
      </c>
      <c r="N7372">
        <v>12524</v>
      </c>
      <c r="O7372">
        <v>5.1093636999999997E-2</v>
      </c>
      <c r="P7372">
        <v>4.8537746E-2</v>
      </c>
      <c r="Q7372" t="str">
        <f t="shared" si="230"/>
        <v>50+</v>
      </c>
      <c r="R7372" t="str">
        <f t="shared" si="231"/>
        <v>[ul0y9diGujK]|50+|Female|PLHIV_Residents.T2|CY2026Q3</v>
      </c>
    </row>
    <row r="7373" spans="4:18" x14ac:dyDescent="0.2">
      <c r="D7373" t="s">
        <v>126</v>
      </c>
      <c r="E7373" t="s">
        <v>127</v>
      </c>
      <c r="F7373" t="s">
        <v>128</v>
      </c>
      <c r="G7373" t="s">
        <v>276</v>
      </c>
      <c r="H7373" t="s">
        <v>276</v>
      </c>
      <c r="I7373" t="s">
        <v>28</v>
      </c>
      <c r="J7373" t="s">
        <v>29</v>
      </c>
      <c r="K7373" t="s">
        <v>48</v>
      </c>
      <c r="L7373" t="s">
        <v>49</v>
      </c>
      <c r="M7373" t="s">
        <v>277</v>
      </c>
      <c r="N7373">
        <v>31</v>
      </c>
      <c r="O7373">
        <v>5.3148828000000002E-2</v>
      </c>
      <c r="P7373">
        <v>4.8537746E-2</v>
      </c>
      <c r="Q7373" t="str">
        <f t="shared" si="230"/>
        <v>&lt;01</v>
      </c>
      <c r="R7373" t="str">
        <f t="shared" si="231"/>
        <v>[ul0y9diGujK]|&lt;01|Male|PLHIV_Residents.T2|CY2026Q3</v>
      </c>
    </row>
    <row r="7374" spans="4:18" x14ac:dyDescent="0.2">
      <c r="D7374" t="s">
        <v>126</v>
      </c>
      <c r="E7374" t="s">
        <v>127</v>
      </c>
      <c r="F7374" t="s">
        <v>128</v>
      </c>
      <c r="G7374" t="s">
        <v>276</v>
      </c>
      <c r="H7374" t="s">
        <v>276</v>
      </c>
      <c r="I7374" t="s">
        <v>33</v>
      </c>
      <c r="J7374" t="s">
        <v>34</v>
      </c>
      <c r="K7374" t="s">
        <v>48</v>
      </c>
      <c r="L7374" t="s">
        <v>49</v>
      </c>
      <c r="M7374" t="s">
        <v>277</v>
      </c>
      <c r="N7374">
        <v>526</v>
      </c>
      <c r="O7374">
        <v>5.8661764999999998E-2</v>
      </c>
      <c r="P7374">
        <v>4.8537746E-2</v>
      </c>
      <c r="Q7374" t="str">
        <f t="shared" si="230"/>
        <v>01-09</v>
      </c>
      <c r="R7374" t="str">
        <f t="shared" si="231"/>
        <v>[ul0y9diGujK]|01-09|Male|PLHIV_Residents.T2|CY2026Q3</v>
      </c>
    </row>
    <row r="7375" spans="4:18" x14ac:dyDescent="0.2">
      <c r="D7375" t="s">
        <v>126</v>
      </c>
      <c r="E7375" t="s">
        <v>127</v>
      </c>
      <c r="F7375" t="s">
        <v>128</v>
      </c>
      <c r="G7375" t="s">
        <v>276</v>
      </c>
      <c r="H7375" t="s">
        <v>276</v>
      </c>
      <c r="I7375" t="s">
        <v>36</v>
      </c>
      <c r="J7375" t="s">
        <v>37</v>
      </c>
      <c r="K7375" t="s">
        <v>48</v>
      </c>
      <c r="L7375" t="s">
        <v>49</v>
      </c>
      <c r="M7375" t="s">
        <v>277</v>
      </c>
      <c r="N7375">
        <v>686</v>
      </c>
      <c r="O7375">
        <v>7.2274188000000003E-2</v>
      </c>
      <c r="P7375">
        <v>4.8537746E-2</v>
      </c>
      <c r="Q7375" t="str">
        <f t="shared" si="230"/>
        <v>10-14</v>
      </c>
      <c r="R7375" t="str">
        <f t="shared" si="231"/>
        <v>[ul0y9diGujK]|10-14|Male|PLHIV_Residents.T2|CY2026Q3</v>
      </c>
    </row>
    <row r="7376" spans="4:18" x14ac:dyDescent="0.2">
      <c r="D7376" t="s">
        <v>126</v>
      </c>
      <c r="E7376" t="s">
        <v>127</v>
      </c>
      <c r="F7376" t="s">
        <v>128</v>
      </c>
      <c r="G7376" t="s">
        <v>276</v>
      </c>
      <c r="H7376" t="s">
        <v>276</v>
      </c>
      <c r="I7376" t="s">
        <v>38</v>
      </c>
      <c r="J7376" t="s">
        <v>39</v>
      </c>
      <c r="K7376" t="s">
        <v>48</v>
      </c>
      <c r="L7376" t="s">
        <v>49</v>
      </c>
      <c r="M7376" t="s">
        <v>277</v>
      </c>
      <c r="N7376">
        <v>2236</v>
      </c>
      <c r="O7376">
        <v>8.1765689000000003E-2</v>
      </c>
      <c r="P7376">
        <v>4.8537746E-2</v>
      </c>
      <c r="Q7376" t="str">
        <f t="shared" si="230"/>
        <v>15-24</v>
      </c>
      <c r="R7376" t="str">
        <f t="shared" si="231"/>
        <v>[ul0y9diGujK]|15-24|Male|PLHIV_Residents.T2|CY2026Q3</v>
      </c>
    </row>
    <row r="7377" spans="4:18" x14ac:dyDescent="0.2">
      <c r="D7377" t="s">
        <v>126</v>
      </c>
      <c r="E7377" t="s">
        <v>127</v>
      </c>
      <c r="F7377" t="s">
        <v>128</v>
      </c>
      <c r="G7377" t="s">
        <v>276</v>
      </c>
      <c r="H7377" t="s">
        <v>276</v>
      </c>
      <c r="I7377" t="s">
        <v>41</v>
      </c>
      <c r="J7377" t="s">
        <v>42</v>
      </c>
      <c r="K7377" t="s">
        <v>48</v>
      </c>
      <c r="L7377" t="s">
        <v>49</v>
      </c>
      <c r="M7377" t="s">
        <v>277</v>
      </c>
      <c r="N7377">
        <v>2684</v>
      </c>
      <c r="O7377">
        <v>8.4084296000000003E-2</v>
      </c>
      <c r="P7377">
        <v>4.8537746E-2</v>
      </c>
      <c r="Q7377" t="str">
        <f t="shared" si="230"/>
        <v>25-34</v>
      </c>
      <c r="R7377" t="str">
        <f t="shared" si="231"/>
        <v>[ul0y9diGujK]|25-34|Male|PLHIV_Residents.T2|CY2026Q3</v>
      </c>
    </row>
    <row r="7378" spans="4:18" x14ac:dyDescent="0.2">
      <c r="D7378" t="s">
        <v>126</v>
      </c>
      <c r="E7378" t="s">
        <v>127</v>
      </c>
      <c r="F7378" t="s">
        <v>128</v>
      </c>
      <c r="G7378" t="s">
        <v>276</v>
      </c>
      <c r="H7378" t="s">
        <v>276</v>
      </c>
      <c r="I7378" t="s">
        <v>43</v>
      </c>
      <c r="J7378" t="s">
        <v>44</v>
      </c>
      <c r="K7378" t="s">
        <v>48</v>
      </c>
      <c r="L7378" t="s">
        <v>49</v>
      </c>
      <c r="M7378" t="s">
        <v>277</v>
      </c>
      <c r="N7378">
        <v>9344</v>
      </c>
      <c r="O7378">
        <v>5.6428535000000002E-2</v>
      </c>
      <c r="P7378">
        <v>4.8537746E-2</v>
      </c>
      <c r="Q7378" t="str">
        <f t="shared" si="230"/>
        <v>35-49</v>
      </c>
      <c r="R7378" t="str">
        <f t="shared" si="231"/>
        <v>[ul0y9diGujK]|35-49|Male|PLHIV_Residents.T2|CY2026Q3</v>
      </c>
    </row>
    <row r="7379" spans="4:18" x14ac:dyDescent="0.2">
      <c r="D7379" t="s">
        <v>126</v>
      </c>
      <c r="E7379" t="s">
        <v>127</v>
      </c>
      <c r="F7379" t="s">
        <v>128</v>
      </c>
      <c r="G7379" t="s">
        <v>276</v>
      </c>
      <c r="H7379" t="s">
        <v>276</v>
      </c>
      <c r="I7379" t="s">
        <v>45</v>
      </c>
      <c r="J7379" t="s">
        <v>46</v>
      </c>
      <c r="K7379" t="s">
        <v>48</v>
      </c>
      <c r="L7379" t="s">
        <v>49</v>
      </c>
      <c r="M7379" t="s">
        <v>277</v>
      </c>
      <c r="N7379">
        <v>8817</v>
      </c>
      <c r="O7379">
        <v>5.0501918E-2</v>
      </c>
      <c r="P7379">
        <v>4.8537746E-2</v>
      </c>
      <c r="Q7379" t="str">
        <f t="shared" si="230"/>
        <v>50+</v>
      </c>
      <c r="R7379" t="str">
        <f t="shared" si="231"/>
        <v>[ul0y9diGujK]|50+|Male|PLHIV_Residents.T2|CY2026Q3</v>
      </c>
    </row>
    <row r="7380" spans="4:18" x14ac:dyDescent="0.2">
      <c r="D7380" t="s">
        <v>129</v>
      </c>
      <c r="E7380" t="s">
        <v>130</v>
      </c>
      <c r="F7380" t="s">
        <v>131</v>
      </c>
      <c r="G7380" t="s">
        <v>276</v>
      </c>
      <c r="H7380" t="s">
        <v>276</v>
      </c>
      <c r="I7380" t="s">
        <v>28</v>
      </c>
      <c r="J7380" t="s">
        <v>29</v>
      </c>
      <c r="K7380" t="s">
        <v>30</v>
      </c>
      <c r="L7380" t="s">
        <v>31</v>
      </c>
      <c r="M7380" t="s">
        <v>277</v>
      </c>
      <c r="N7380">
        <v>18</v>
      </c>
      <c r="O7380">
        <v>5.8156138000000003E-2</v>
      </c>
      <c r="P7380">
        <v>5.4747307000000002E-2</v>
      </c>
      <c r="Q7380" t="str">
        <f t="shared" si="230"/>
        <v>&lt;01</v>
      </c>
      <c r="R7380" t="str">
        <f t="shared" si="231"/>
        <v>[U8c0so51kT6]|&lt;01|Female|PLHIV_Residents.T2|CY2026Q3</v>
      </c>
    </row>
    <row r="7381" spans="4:18" x14ac:dyDescent="0.2">
      <c r="D7381" t="s">
        <v>129</v>
      </c>
      <c r="E7381" t="s">
        <v>130</v>
      </c>
      <c r="F7381" t="s">
        <v>131</v>
      </c>
      <c r="G7381" t="s">
        <v>276</v>
      </c>
      <c r="H7381" t="s">
        <v>276</v>
      </c>
      <c r="I7381" t="s">
        <v>33</v>
      </c>
      <c r="J7381" t="s">
        <v>34</v>
      </c>
      <c r="K7381" t="s">
        <v>30</v>
      </c>
      <c r="L7381" t="s">
        <v>31</v>
      </c>
      <c r="M7381" t="s">
        <v>277</v>
      </c>
      <c r="N7381">
        <v>332</v>
      </c>
      <c r="O7381">
        <v>6.0446182000000001E-2</v>
      </c>
      <c r="P7381">
        <v>5.4747307000000002E-2</v>
      </c>
      <c r="Q7381" t="str">
        <f t="shared" si="230"/>
        <v>01-09</v>
      </c>
      <c r="R7381" t="str">
        <f t="shared" si="231"/>
        <v>[U8c0so51kT6]|01-09|Female|PLHIV_Residents.T2|CY2026Q3</v>
      </c>
    </row>
    <row r="7382" spans="4:18" x14ac:dyDescent="0.2">
      <c r="D7382" t="s">
        <v>129</v>
      </c>
      <c r="E7382" t="s">
        <v>130</v>
      </c>
      <c r="F7382" t="s">
        <v>131</v>
      </c>
      <c r="G7382" t="s">
        <v>276</v>
      </c>
      <c r="H7382" t="s">
        <v>276</v>
      </c>
      <c r="I7382" t="s">
        <v>36</v>
      </c>
      <c r="J7382" t="s">
        <v>37</v>
      </c>
      <c r="K7382" t="s">
        <v>30</v>
      </c>
      <c r="L7382" t="s">
        <v>31</v>
      </c>
      <c r="M7382" t="s">
        <v>277</v>
      </c>
      <c r="N7382">
        <v>439</v>
      </c>
      <c r="O7382">
        <v>6.5823470999999995E-2</v>
      </c>
      <c r="P7382">
        <v>5.4747307000000002E-2</v>
      </c>
      <c r="Q7382" t="str">
        <f t="shared" si="230"/>
        <v>10-14</v>
      </c>
      <c r="R7382" t="str">
        <f t="shared" si="231"/>
        <v>[U8c0so51kT6]|10-14|Female|PLHIV_Residents.T2|CY2026Q3</v>
      </c>
    </row>
    <row r="7383" spans="4:18" x14ac:dyDescent="0.2">
      <c r="D7383" t="s">
        <v>129</v>
      </c>
      <c r="E7383" t="s">
        <v>130</v>
      </c>
      <c r="F7383" t="s">
        <v>131</v>
      </c>
      <c r="G7383" t="s">
        <v>276</v>
      </c>
      <c r="H7383" t="s">
        <v>276</v>
      </c>
      <c r="I7383" t="s">
        <v>38</v>
      </c>
      <c r="J7383" t="s">
        <v>39</v>
      </c>
      <c r="K7383" t="s">
        <v>30</v>
      </c>
      <c r="L7383" t="s">
        <v>31</v>
      </c>
      <c r="M7383" t="s">
        <v>277</v>
      </c>
      <c r="N7383">
        <v>1746</v>
      </c>
      <c r="O7383">
        <v>7.5246463999999999E-2</v>
      </c>
      <c r="P7383">
        <v>5.4747307000000002E-2</v>
      </c>
      <c r="Q7383" t="str">
        <f t="shared" si="230"/>
        <v>15-24</v>
      </c>
      <c r="R7383" t="str">
        <f t="shared" si="231"/>
        <v>[U8c0so51kT6]|15-24|Female|PLHIV_Residents.T2|CY2026Q3</v>
      </c>
    </row>
    <row r="7384" spans="4:18" x14ac:dyDescent="0.2">
      <c r="D7384" t="s">
        <v>129</v>
      </c>
      <c r="E7384" t="s">
        <v>130</v>
      </c>
      <c r="F7384" t="s">
        <v>131</v>
      </c>
      <c r="G7384" t="s">
        <v>276</v>
      </c>
      <c r="H7384" t="s">
        <v>276</v>
      </c>
      <c r="I7384" t="s">
        <v>41</v>
      </c>
      <c r="J7384" t="s">
        <v>42</v>
      </c>
      <c r="K7384" t="s">
        <v>30</v>
      </c>
      <c r="L7384" t="s">
        <v>31</v>
      </c>
      <c r="M7384" t="s">
        <v>277</v>
      </c>
      <c r="N7384">
        <v>4063</v>
      </c>
      <c r="O7384">
        <v>7.0077735000000002E-2</v>
      </c>
      <c r="P7384">
        <v>5.4747307000000002E-2</v>
      </c>
      <c r="Q7384" t="str">
        <f t="shared" si="230"/>
        <v>25-34</v>
      </c>
      <c r="R7384" t="str">
        <f t="shared" si="231"/>
        <v>[U8c0so51kT6]|25-34|Female|PLHIV_Residents.T2|CY2026Q3</v>
      </c>
    </row>
    <row r="7385" spans="4:18" x14ac:dyDescent="0.2">
      <c r="D7385" t="s">
        <v>129</v>
      </c>
      <c r="E7385" t="s">
        <v>130</v>
      </c>
      <c r="F7385" t="s">
        <v>131</v>
      </c>
      <c r="G7385" t="s">
        <v>276</v>
      </c>
      <c r="H7385" t="s">
        <v>276</v>
      </c>
      <c r="I7385" t="s">
        <v>43</v>
      </c>
      <c r="J7385" t="s">
        <v>44</v>
      </c>
      <c r="K7385" t="s">
        <v>30</v>
      </c>
      <c r="L7385" t="s">
        <v>31</v>
      </c>
      <c r="M7385" t="s">
        <v>277</v>
      </c>
      <c r="N7385">
        <v>11264</v>
      </c>
      <c r="O7385">
        <v>5.5358243000000001E-2</v>
      </c>
      <c r="P7385">
        <v>5.4747307000000002E-2</v>
      </c>
      <c r="Q7385" t="str">
        <f t="shared" si="230"/>
        <v>35-49</v>
      </c>
      <c r="R7385" t="str">
        <f t="shared" si="231"/>
        <v>[U8c0so51kT6]|35-49|Female|PLHIV_Residents.T2|CY2026Q3</v>
      </c>
    </row>
    <row r="7386" spans="4:18" x14ac:dyDescent="0.2">
      <c r="D7386" t="s">
        <v>129</v>
      </c>
      <c r="E7386" t="s">
        <v>130</v>
      </c>
      <c r="F7386" t="s">
        <v>131</v>
      </c>
      <c r="G7386" t="s">
        <v>276</v>
      </c>
      <c r="H7386" t="s">
        <v>276</v>
      </c>
      <c r="I7386" t="s">
        <v>45</v>
      </c>
      <c r="J7386" t="s">
        <v>46</v>
      </c>
      <c r="K7386" t="s">
        <v>30</v>
      </c>
      <c r="L7386" t="s">
        <v>31</v>
      </c>
      <c r="M7386" t="s">
        <v>277</v>
      </c>
      <c r="N7386">
        <v>6212</v>
      </c>
      <c r="O7386">
        <v>5.8406719000000003E-2</v>
      </c>
      <c r="P7386">
        <v>5.4747307000000002E-2</v>
      </c>
      <c r="Q7386" t="str">
        <f t="shared" si="230"/>
        <v>50+</v>
      </c>
      <c r="R7386" t="str">
        <f t="shared" si="231"/>
        <v>[U8c0so51kT6]|50+|Female|PLHIV_Residents.T2|CY2026Q3</v>
      </c>
    </row>
    <row r="7387" spans="4:18" x14ac:dyDescent="0.2">
      <c r="D7387" t="s">
        <v>129</v>
      </c>
      <c r="E7387" t="s">
        <v>130</v>
      </c>
      <c r="F7387" t="s">
        <v>131</v>
      </c>
      <c r="G7387" t="s">
        <v>276</v>
      </c>
      <c r="H7387" t="s">
        <v>276</v>
      </c>
      <c r="I7387" t="s">
        <v>28</v>
      </c>
      <c r="J7387" t="s">
        <v>29</v>
      </c>
      <c r="K7387" t="s">
        <v>48</v>
      </c>
      <c r="L7387" t="s">
        <v>49</v>
      </c>
      <c r="M7387" t="s">
        <v>277</v>
      </c>
      <c r="N7387">
        <v>19</v>
      </c>
      <c r="O7387">
        <v>5.8147035999999999E-2</v>
      </c>
      <c r="P7387">
        <v>5.4747307000000002E-2</v>
      </c>
      <c r="Q7387" t="str">
        <f t="shared" si="230"/>
        <v>&lt;01</v>
      </c>
      <c r="R7387" t="str">
        <f t="shared" si="231"/>
        <v>[U8c0so51kT6]|&lt;01|Male|PLHIV_Residents.T2|CY2026Q3</v>
      </c>
    </row>
    <row r="7388" spans="4:18" x14ac:dyDescent="0.2">
      <c r="D7388" t="s">
        <v>129</v>
      </c>
      <c r="E7388" t="s">
        <v>130</v>
      </c>
      <c r="F7388" t="s">
        <v>131</v>
      </c>
      <c r="G7388" t="s">
        <v>276</v>
      </c>
      <c r="H7388" t="s">
        <v>276</v>
      </c>
      <c r="I7388" t="s">
        <v>33</v>
      </c>
      <c r="J7388" t="s">
        <v>34</v>
      </c>
      <c r="K7388" t="s">
        <v>48</v>
      </c>
      <c r="L7388" t="s">
        <v>49</v>
      </c>
      <c r="M7388" t="s">
        <v>277</v>
      </c>
      <c r="N7388">
        <v>336</v>
      </c>
      <c r="O7388">
        <v>6.0439015999999998E-2</v>
      </c>
      <c r="P7388">
        <v>5.4747307000000002E-2</v>
      </c>
      <c r="Q7388" t="str">
        <f t="shared" si="230"/>
        <v>01-09</v>
      </c>
      <c r="R7388" t="str">
        <f t="shared" si="231"/>
        <v>[U8c0so51kT6]|01-09|Male|PLHIV_Residents.T2|CY2026Q3</v>
      </c>
    </row>
    <row r="7389" spans="4:18" x14ac:dyDescent="0.2">
      <c r="D7389" t="s">
        <v>129</v>
      </c>
      <c r="E7389" t="s">
        <v>130</v>
      </c>
      <c r="F7389" t="s">
        <v>131</v>
      </c>
      <c r="G7389" t="s">
        <v>276</v>
      </c>
      <c r="H7389" t="s">
        <v>276</v>
      </c>
      <c r="I7389" t="s">
        <v>36</v>
      </c>
      <c r="J7389" t="s">
        <v>37</v>
      </c>
      <c r="K7389" t="s">
        <v>48</v>
      </c>
      <c r="L7389" t="s">
        <v>49</v>
      </c>
      <c r="M7389" t="s">
        <v>277</v>
      </c>
      <c r="N7389">
        <v>444</v>
      </c>
      <c r="O7389">
        <v>6.5822951000000005E-2</v>
      </c>
      <c r="P7389">
        <v>5.4747307000000002E-2</v>
      </c>
      <c r="Q7389" t="str">
        <f t="shared" si="230"/>
        <v>10-14</v>
      </c>
      <c r="R7389" t="str">
        <f t="shared" si="231"/>
        <v>[U8c0so51kT6]|10-14|Male|PLHIV_Residents.T2|CY2026Q3</v>
      </c>
    </row>
    <row r="7390" spans="4:18" x14ac:dyDescent="0.2">
      <c r="D7390" t="s">
        <v>129</v>
      </c>
      <c r="E7390" t="s">
        <v>130</v>
      </c>
      <c r="F7390" t="s">
        <v>131</v>
      </c>
      <c r="G7390" t="s">
        <v>276</v>
      </c>
      <c r="H7390" t="s">
        <v>276</v>
      </c>
      <c r="I7390" t="s">
        <v>38</v>
      </c>
      <c r="J7390" t="s">
        <v>39</v>
      </c>
      <c r="K7390" t="s">
        <v>48</v>
      </c>
      <c r="L7390" t="s">
        <v>49</v>
      </c>
      <c r="M7390" t="s">
        <v>277</v>
      </c>
      <c r="N7390">
        <v>1264</v>
      </c>
      <c r="O7390">
        <v>7.7390139999999996E-2</v>
      </c>
      <c r="P7390">
        <v>5.4747307000000002E-2</v>
      </c>
      <c r="Q7390" t="str">
        <f t="shared" si="230"/>
        <v>15-24</v>
      </c>
      <c r="R7390" t="str">
        <f t="shared" si="231"/>
        <v>[U8c0so51kT6]|15-24|Male|PLHIV_Residents.T2|CY2026Q3</v>
      </c>
    </row>
    <row r="7391" spans="4:18" x14ac:dyDescent="0.2">
      <c r="D7391" t="s">
        <v>129</v>
      </c>
      <c r="E7391" t="s">
        <v>130</v>
      </c>
      <c r="F7391" t="s">
        <v>131</v>
      </c>
      <c r="G7391" t="s">
        <v>276</v>
      </c>
      <c r="H7391" t="s">
        <v>276</v>
      </c>
      <c r="I7391" t="s">
        <v>41</v>
      </c>
      <c r="J7391" t="s">
        <v>42</v>
      </c>
      <c r="K7391" t="s">
        <v>48</v>
      </c>
      <c r="L7391" t="s">
        <v>49</v>
      </c>
      <c r="M7391" t="s">
        <v>277</v>
      </c>
      <c r="N7391">
        <v>1572</v>
      </c>
      <c r="O7391">
        <v>8.7097337999999996E-2</v>
      </c>
      <c r="P7391">
        <v>5.4747307000000002E-2</v>
      </c>
      <c r="Q7391" t="str">
        <f t="shared" si="230"/>
        <v>25-34</v>
      </c>
      <c r="R7391" t="str">
        <f t="shared" si="231"/>
        <v>[U8c0so51kT6]|25-34|Male|PLHIV_Residents.T2|CY2026Q3</v>
      </c>
    </row>
    <row r="7392" spans="4:18" x14ac:dyDescent="0.2">
      <c r="D7392" t="s">
        <v>129</v>
      </c>
      <c r="E7392" t="s">
        <v>130</v>
      </c>
      <c r="F7392" t="s">
        <v>131</v>
      </c>
      <c r="G7392" t="s">
        <v>276</v>
      </c>
      <c r="H7392" t="s">
        <v>276</v>
      </c>
      <c r="I7392" t="s">
        <v>43</v>
      </c>
      <c r="J7392" t="s">
        <v>44</v>
      </c>
      <c r="K7392" t="s">
        <v>48</v>
      </c>
      <c r="L7392" t="s">
        <v>49</v>
      </c>
      <c r="M7392" t="s">
        <v>277</v>
      </c>
      <c r="N7392">
        <v>5685</v>
      </c>
      <c r="O7392">
        <v>6.3182263000000002E-2</v>
      </c>
      <c r="P7392">
        <v>5.4747307000000002E-2</v>
      </c>
      <c r="Q7392" t="str">
        <f t="shared" si="230"/>
        <v>35-49</v>
      </c>
      <c r="R7392" t="str">
        <f t="shared" si="231"/>
        <v>[U8c0so51kT6]|35-49|Male|PLHIV_Residents.T2|CY2026Q3</v>
      </c>
    </row>
    <row r="7393" spans="4:18" x14ac:dyDescent="0.2">
      <c r="D7393" t="s">
        <v>129</v>
      </c>
      <c r="E7393" t="s">
        <v>130</v>
      </c>
      <c r="F7393" t="s">
        <v>131</v>
      </c>
      <c r="G7393" t="s">
        <v>276</v>
      </c>
      <c r="H7393" t="s">
        <v>276</v>
      </c>
      <c r="I7393" t="s">
        <v>45</v>
      </c>
      <c r="J7393" t="s">
        <v>46</v>
      </c>
      <c r="K7393" t="s">
        <v>48</v>
      </c>
      <c r="L7393" t="s">
        <v>49</v>
      </c>
      <c r="M7393" t="s">
        <v>277</v>
      </c>
      <c r="N7393">
        <v>5199</v>
      </c>
      <c r="O7393">
        <v>5.5970167000000001E-2</v>
      </c>
      <c r="P7393">
        <v>5.4747307000000002E-2</v>
      </c>
      <c r="Q7393" t="str">
        <f t="shared" si="230"/>
        <v>50+</v>
      </c>
      <c r="R7393" t="str">
        <f t="shared" si="231"/>
        <v>[U8c0so51kT6]|50+|Male|PLHIV_Residents.T2|CY2026Q3</v>
      </c>
    </row>
    <row r="7394" spans="4:18" x14ac:dyDescent="0.2">
      <c r="D7394" t="s">
        <v>132</v>
      </c>
      <c r="E7394" t="s">
        <v>133</v>
      </c>
      <c r="F7394" t="s">
        <v>134</v>
      </c>
      <c r="G7394" t="s">
        <v>276</v>
      </c>
      <c r="H7394" t="s">
        <v>276</v>
      </c>
      <c r="I7394" t="s">
        <v>28</v>
      </c>
      <c r="J7394" t="s">
        <v>29</v>
      </c>
      <c r="K7394" t="s">
        <v>30</v>
      </c>
      <c r="L7394" t="s">
        <v>31</v>
      </c>
      <c r="M7394" t="s">
        <v>277</v>
      </c>
      <c r="N7394">
        <v>10</v>
      </c>
      <c r="O7394">
        <v>7.4084897999999996E-2</v>
      </c>
      <c r="P7394">
        <v>7.4260777E-2</v>
      </c>
      <c r="Q7394" t="str">
        <f t="shared" si="230"/>
        <v>&lt;01</v>
      </c>
      <c r="R7394" t="str">
        <f t="shared" si="231"/>
        <v>[rpw540fmNUz]|&lt;01|Female|PLHIV_Residents.T2|CY2026Q3</v>
      </c>
    </row>
    <row r="7395" spans="4:18" x14ac:dyDescent="0.2">
      <c r="D7395" t="s">
        <v>132</v>
      </c>
      <c r="E7395" t="s">
        <v>133</v>
      </c>
      <c r="F7395" t="s">
        <v>134</v>
      </c>
      <c r="G7395" t="s">
        <v>276</v>
      </c>
      <c r="H7395" t="s">
        <v>276</v>
      </c>
      <c r="I7395" t="s">
        <v>33</v>
      </c>
      <c r="J7395" t="s">
        <v>34</v>
      </c>
      <c r="K7395" t="s">
        <v>30</v>
      </c>
      <c r="L7395" t="s">
        <v>31</v>
      </c>
      <c r="M7395" t="s">
        <v>277</v>
      </c>
      <c r="N7395">
        <v>190</v>
      </c>
      <c r="O7395">
        <v>7.6110200000000003E-2</v>
      </c>
      <c r="P7395">
        <v>7.4260777E-2</v>
      </c>
      <c r="Q7395" t="str">
        <f t="shared" si="230"/>
        <v>01-09</v>
      </c>
      <c r="R7395" t="str">
        <f t="shared" si="231"/>
        <v>[rpw540fmNUz]|01-09|Female|PLHIV_Residents.T2|CY2026Q3</v>
      </c>
    </row>
    <row r="7396" spans="4:18" x14ac:dyDescent="0.2">
      <c r="D7396" t="s">
        <v>132</v>
      </c>
      <c r="E7396" t="s">
        <v>133</v>
      </c>
      <c r="F7396" t="s">
        <v>134</v>
      </c>
      <c r="G7396" t="s">
        <v>276</v>
      </c>
      <c r="H7396" t="s">
        <v>276</v>
      </c>
      <c r="I7396" t="s">
        <v>36</v>
      </c>
      <c r="J7396" t="s">
        <v>37</v>
      </c>
      <c r="K7396" t="s">
        <v>30</v>
      </c>
      <c r="L7396" t="s">
        <v>31</v>
      </c>
      <c r="M7396" t="s">
        <v>277</v>
      </c>
      <c r="N7396">
        <v>259</v>
      </c>
      <c r="O7396">
        <v>8.1146256E-2</v>
      </c>
      <c r="P7396">
        <v>7.4260777E-2</v>
      </c>
      <c r="Q7396" t="str">
        <f t="shared" si="230"/>
        <v>10-14</v>
      </c>
      <c r="R7396" t="str">
        <f t="shared" si="231"/>
        <v>[rpw540fmNUz]|10-14|Female|PLHIV_Residents.T2|CY2026Q3</v>
      </c>
    </row>
    <row r="7397" spans="4:18" x14ac:dyDescent="0.2">
      <c r="D7397" t="s">
        <v>132</v>
      </c>
      <c r="E7397" t="s">
        <v>133</v>
      </c>
      <c r="F7397" t="s">
        <v>134</v>
      </c>
      <c r="G7397" t="s">
        <v>276</v>
      </c>
      <c r="H7397" t="s">
        <v>276</v>
      </c>
      <c r="I7397" t="s">
        <v>38</v>
      </c>
      <c r="J7397" t="s">
        <v>39</v>
      </c>
      <c r="K7397" t="s">
        <v>30</v>
      </c>
      <c r="L7397" t="s">
        <v>31</v>
      </c>
      <c r="M7397" t="s">
        <v>277</v>
      </c>
      <c r="N7397">
        <v>1012</v>
      </c>
      <c r="O7397">
        <v>9.1607813999999996E-2</v>
      </c>
      <c r="P7397">
        <v>7.4260777E-2</v>
      </c>
      <c r="Q7397" t="str">
        <f t="shared" si="230"/>
        <v>15-24</v>
      </c>
      <c r="R7397" t="str">
        <f t="shared" si="231"/>
        <v>[rpw540fmNUz]|15-24|Female|PLHIV_Residents.T2|CY2026Q3</v>
      </c>
    </row>
    <row r="7398" spans="4:18" x14ac:dyDescent="0.2">
      <c r="D7398" t="s">
        <v>132</v>
      </c>
      <c r="E7398" t="s">
        <v>133</v>
      </c>
      <c r="F7398" t="s">
        <v>134</v>
      </c>
      <c r="G7398" t="s">
        <v>276</v>
      </c>
      <c r="H7398" t="s">
        <v>276</v>
      </c>
      <c r="I7398" t="s">
        <v>41</v>
      </c>
      <c r="J7398" t="s">
        <v>42</v>
      </c>
      <c r="K7398" t="s">
        <v>30</v>
      </c>
      <c r="L7398" t="s">
        <v>31</v>
      </c>
      <c r="M7398" t="s">
        <v>277</v>
      </c>
      <c r="N7398">
        <v>2281</v>
      </c>
      <c r="O7398">
        <v>8.7232443000000007E-2</v>
      </c>
      <c r="P7398">
        <v>7.4260777E-2</v>
      </c>
      <c r="Q7398" t="str">
        <f t="shared" si="230"/>
        <v>25-34</v>
      </c>
      <c r="R7398" t="str">
        <f t="shared" si="231"/>
        <v>[rpw540fmNUz]|25-34|Female|PLHIV_Residents.T2|CY2026Q3</v>
      </c>
    </row>
    <row r="7399" spans="4:18" x14ac:dyDescent="0.2">
      <c r="D7399" t="s">
        <v>132</v>
      </c>
      <c r="E7399" t="s">
        <v>133</v>
      </c>
      <c r="F7399" t="s">
        <v>134</v>
      </c>
      <c r="G7399" t="s">
        <v>276</v>
      </c>
      <c r="H7399" t="s">
        <v>276</v>
      </c>
      <c r="I7399" t="s">
        <v>43</v>
      </c>
      <c r="J7399" t="s">
        <v>44</v>
      </c>
      <c r="K7399" t="s">
        <v>30</v>
      </c>
      <c r="L7399" t="s">
        <v>31</v>
      </c>
      <c r="M7399" t="s">
        <v>277</v>
      </c>
      <c r="N7399">
        <v>6092</v>
      </c>
      <c r="O7399">
        <v>7.0527385999999997E-2</v>
      </c>
      <c r="P7399">
        <v>7.4260777E-2</v>
      </c>
      <c r="Q7399" t="str">
        <f t="shared" si="230"/>
        <v>35-49</v>
      </c>
      <c r="R7399" t="str">
        <f t="shared" si="231"/>
        <v>[rpw540fmNUz]|35-49|Female|PLHIV_Residents.T2|CY2026Q3</v>
      </c>
    </row>
    <row r="7400" spans="4:18" x14ac:dyDescent="0.2">
      <c r="D7400" t="s">
        <v>132</v>
      </c>
      <c r="E7400" t="s">
        <v>133</v>
      </c>
      <c r="F7400" t="s">
        <v>134</v>
      </c>
      <c r="G7400" t="s">
        <v>276</v>
      </c>
      <c r="H7400" t="s">
        <v>276</v>
      </c>
      <c r="I7400" t="s">
        <v>45</v>
      </c>
      <c r="J7400" t="s">
        <v>46</v>
      </c>
      <c r="K7400" t="s">
        <v>30</v>
      </c>
      <c r="L7400" t="s">
        <v>31</v>
      </c>
      <c r="M7400" t="s">
        <v>277</v>
      </c>
      <c r="N7400">
        <v>3670</v>
      </c>
      <c r="O7400">
        <v>7.7158189000000002E-2</v>
      </c>
      <c r="P7400">
        <v>7.4260777E-2</v>
      </c>
      <c r="Q7400" t="str">
        <f t="shared" si="230"/>
        <v>50+</v>
      </c>
      <c r="R7400" t="str">
        <f t="shared" si="231"/>
        <v>[rpw540fmNUz]|50+|Female|PLHIV_Residents.T2|CY2026Q3</v>
      </c>
    </row>
    <row r="7401" spans="4:18" x14ac:dyDescent="0.2">
      <c r="D7401" t="s">
        <v>132</v>
      </c>
      <c r="E7401" t="s">
        <v>133</v>
      </c>
      <c r="F7401" t="s">
        <v>134</v>
      </c>
      <c r="G7401" t="s">
        <v>276</v>
      </c>
      <c r="H7401" t="s">
        <v>276</v>
      </c>
      <c r="I7401" t="s">
        <v>28</v>
      </c>
      <c r="J7401" t="s">
        <v>29</v>
      </c>
      <c r="K7401" t="s">
        <v>48</v>
      </c>
      <c r="L7401" t="s">
        <v>49</v>
      </c>
      <c r="M7401" t="s">
        <v>277</v>
      </c>
      <c r="N7401">
        <v>10</v>
      </c>
      <c r="O7401">
        <v>7.4071163999999995E-2</v>
      </c>
      <c r="P7401">
        <v>7.4260777E-2</v>
      </c>
      <c r="Q7401" t="str">
        <f t="shared" si="230"/>
        <v>&lt;01</v>
      </c>
      <c r="R7401" t="str">
        <f t="shared" si="231"/>
        <v>[rpw540fmNUz]|&lt;01|Male|PLHIV_Residents.T2|CY2026Q3</v>
      </c>
    </row>
    <row r="7402" spans="4:18" x14ac:dyDescent="0.2">
      <c r="D7402" t="s">
        <v>132</v>
      </c>
      <c r="E7402" t="s">
        <v>133</v>
      </c>
      <c r="F7402" t="s">
        <v>134</v>
      </c>
      <c r="G7402" t="s">
        <v>276</v>
      </c>
      <c r="H7402" t="s">
        <v>276</v>
      </c>
      <c r="I7402" t="s">
        <v>33</v>
      </c>
      <c r="J7402" t="s">
        <v>34</v>
      </c>
      <c r="K7402" t="s">
        <v>48</v>
      </c>
      <c r="L7402" t="s">
        <v>49</v>
      </c>
      <c r="M7402" t="s">
        <v>277</v>
      </c>
      <c r="N7402">
        <v>190</v>
      </c>
      <c r="O7402">
        <v>7.6083327000000006E-2</v>
      </c>
      <c r="P7402">
        <v>7.4260777E-2</v>
      </c>
      <c r="Q7402" t="str">
        <f t="shared" si="230"/>
        <v>01-09</v>
      </c>
      <c r="R7402" t="str">
        <f t="shared" si="231"/>
        <v>[rpw540fmNUz]|01-09|Male|PLHIV_Residents.T2|CY2026Q3</v>
      </c>
    </row>
    <row r="7403" spans="4:18" x14ac:dyDescent="0.2">
      <c r="D7403" t="s">
        <v>132</v>
      </c>
      <c r="E7403" t="s">
        <v>133</v>
      </c>
      <c r="F7403" t="s">
        <v>134</v>
      </c>
      <c r="G7403" t="s">
        <v>276</v>
      </c>
      <c r="H7403" t="s">
        <v>276</v>
      </c>
      <c r="I7403" t="s">
        <v>36</v>
      </c>
      <c r="J7403" t="s">
        <v>37</v>
      </c>
      <c r="K7403" t="s">
        <v>48</v>
      </c>
      <c r="L7403" t="s">
        <v>49</v>
      </c>
      <c r="M7403" t="s">
        <v>277</v>
      </c>
      <c r="N7403">
        <v>259</v>
      </c>
      <c r="O7403">
        <v>8.1139992999999994E-2</v>
      </c>
      <c r="P7403">
        <v>7.4260777E-2</v>
      </c>
      <c r="Q7403" t="str">
        <f t="shared" si="230"/>
        <v>10-14</v>
      </c>
      <c r="R7403" t="str">
        <f t="shared" si="231"/>
        <v>[rpw540fmNUz]|10-14|Male|PLHIV_Residents.T2|CY2026Q3</v>
      </c>
    </row>
    <row r="7404" spans="4:18" x14ac:dyDescent="0.2">
      <c r="D7404" t="s">
        <v>132</v>
      </c>
      <c r="E7404" t="s">
        <v>133</v>
      </c>
      <c r="F7404" t="s">
        <v>134</v>
      </c>
      <c r="G7404" t="s">
        <v>276</v>
      </c>
      <c r="H7404" t="s">
        <v>276</v>
      </c>
      <c r="I7404" t="s">
        <v>38</v>
      </c>
      <c r="J7404" t="s">
        <v>39</v>
      </c>
      <c r="K7404" t="s">
        <v>48</v>
      </c>
      <c r="L7404" t="s">
        <v>49</v>
      </c>
      <c r="M7404" t="s">
        <v>277</v>
      </c>
      <c r="N7404">
        <v>709</v>
      </c>
      <c r="O7404">
        <v>9.2140290999999999E-2</v>
      </c>
      <c r="P7404">
        <v>7.4260777E-2</v>
      </c>
      <c r="Q7404" t="str">
        <f t="shared" si="230"/>
        <v>15-24</v>
      </c>
      <c r="R7404" t="str">
        <f t="shared" si="231"/>
        <v>[rpw540fmNUz]|15-24|Male|PLHIV_Residents.T2|CY2026Q3</v>
      </c>
    </row>
    <row r="7405" spans="4:18" x14ac:dyDescent="0.2">
      <c r="D7405" t="s">
        <v>132</v>
      </c>
      <c r="E7405" t="s">
        <v>133</v>
      </c>
      <c r="F7405" t="s">
        <v>134</v>
      </c>
      <c r="G7405" t="s">
        <v>276</v>
      </c>
      <c r="H7405" t="s">
        <v>276</v>
      </c>
      <c r="I7405" t="s">
        <v>41</v>
      </c>
      <c r="J7405" t="s">
        <v>42</v>
      </c>
      <c r="K7405" t="s">
        <v>48</v>
      </c>
      <c r="L7405" t="s">
        <v>49</v>
      </c>
      <c r="M7405" t="s">
        <v>277</v>
      </c>
      <c r="N7405">
        <v>776</v>
      </c>
      <c r="O7405">
        <v>0.105004132</v>
      </c>
      <c r="P7405">
        <v>7.4260777E-2</v>
      </c>
      <c r="Q7405" t="str">
        <f t="shared" si="230"/>
        <v>25-34</v>
      </c>
      <c r="R7405" t="str">
        <f t="shared" si="231"/>
        <v>[rpw540fmNUz]|25-34|Male|PLHIV_Residents.T2|CY2026Q3</v>
      </c>
    </row>
    <row r="7406" spans="4:18" x14ac:dyDescent="0.2">
      <c r="D7406" t="s">
        <v>132</v>
      </c>
      <c r="E7406" t="s">
        <v>133</v>
      </c>
      <c r="F7406" t="s">
        <v>134</v>
      </c>
      <c r="G7406" t="s">
        <v>276</v>
      </c>
      <c r="H7406" t="s">
        <v>276</v>
      </c>
      <c r="I7406" t="s">
        <v>43</v>
      </c>
      <c r="J7406" t="s">
        <v>44</v>
      </c>
      <c r="K7406" t="s">
        <v>48</v>
      </c>
      <c r="L7406" t="s">
        <v>49</v>
      </c>
      <c r="M7406" t="s">
        <v>277</v>
      </c>
      <c r="N7406">
        <v>2670</v>
      </c>
      <c r="O7406">
        <v>8.6767630999999998E-2</v>
      </c>
      <c r="P7406">
        <v>7.4260777E-2</v>
      </c>
      <c r="Q7406" t="str">
        <f t="shared" si="230"/>
        <v>35-49</v>
      </c>
      <c r="R7406" t="str">
        <f t="shared" si="231"/>
        <v>[rpw540fmNUz]|35-49|Male|PLHIV_Residents.T2|CY2026Q3</v>
      </c>
    </row>
    <row r="7407" spans="4:18" x14ac:dyDescent="0.2">
      <c r="D7407" t="s">
        <v>132</v>
      </c>
      <c r="E7407" t="s">
        <v>133</v>
      </c>
      <c r="F7407" t="s">
        <v>134</v>
      </c>
      <c r="G7407" t="s">
        <v>276</v>
      </c>
      <c r="H7407" t="s">
        <v>276</v>
      </c>
      <c r="I7407" t="s">
        <v>45</v>
      </c>
      <c r="J7407" t="s">
        <v>46</v>
      </c>
      <c r="K7407" t="s">
        <v>48</v>
      </c>
      <c r="L7407" t="s">
        <v>49</v>
      </c>
      <c r="M7407" t="s">
        <v>277</v>
      </c>
      <c r="N7407">
        <v>2562</v>
      </c>
      <c r="O7407">
        <v>7.8825593999999999E-2</v>
      </c>
      <c r="P7407">
        <v>7.4260777E-2</v>
      </c>
      <c r="Q7407" t="str">
        <f t="shared" si="230"/>
        <v>50+</v>
      </c>
      <c r="R7407" t="str">
        <f t="shared" si="231"/>
        <v>[rpw540fmNUz]|50+|Male|PLHIV_Residents.T2|CY2026Q3</v>
      </c>
    </row>
    <row r="7408" spans="4:18" x14ac:dyDescent="0.2">
      <c r="D7408" t="s">
        <v>135</v>
      </c>
      <c r="E7408" t="s">
        <v>136</v>
      </c>
      <c r="F7408" t="s">
        <v>137</v>
      </c>
      <c r="G7408" t="s">
        <v>276</v>
      </c>
      <c r="H7408" t="s">
        <v>276</v>
      </c>
      <c r="I7408" t="s">
        <v>28</v>
      </c>
      <c r="J7408" t="s">
        <v>29</v>
      </c>
      <c r="K7408" t="s">
        <v>30</v>
      </c>
      <c r="L7408" t="s">
        <v>31</v>
      </c>
      <c r="M7408" t="s">
        <v>277</v>
      </c>
      <c r="N7408">
        <v>4</v>
      </c>
      <c r="O7408">
        <v>0.10236756</v>
      </c>
      <c r="P7408">
        <v>9.5975126999999993E-2</v>
      </c>
      <c r="Q7408" t="str">
        <f t="shared" si="230"/>
        <v>&lt;01</v>
      </c>
      <c r="R7408" t="str">
        <f t="shared" si="231"/>
        <v>[gwVYinjBAe9]|&lt;01|Female|PLHIV_Residents.T2|CY2026Q3</v>
      </c>
    </row>
    <row r="7409" spans="4:18" x14ac:dyDescent="0.2">
      <c r="D7409" t="s">
        <v>135</v>
      </c>
      <c r="E7409" t="s">
        <v>136</v>
      </c>
      <c r="F7409" t="s">
        <v>137</v>
      </c>
      <c r="G7409" t="s">
        <v>276</v>
      </c>
      <c r="H7409" t="s">
        <v>276</v>
      </c>
      <c r="I7409" t="s">
        <v>33</v>
      </c>
      <c r="J7409" t="s">
        <v>34</v>
      </c>
      <c r="K7409" t="s">
        <v>30</v>
      </c>
      <c r="L7409" t="s">
        <v>31</v>
      </c>
      <c r="M7409" t="s">
        <v>277</v>
      </c>
      <c r="N7409">
        <v>64</v>
      </c>
      <c r="O7409">
        <v>0.10616499</v>
      </c>
      <c r="P7409">
        <v>9.5975126999999993E-2</v>
      </c>
      <c r="Q7409" t="str">
        <f t="shared" si="230"/>
        <v>01-09</v>
      </c>
      <c r="R7409" t="str">
        <f t="shared" si="231"/>
        <v>[gwVYinjBAe9]|01-09|Female|PLHIV_Residents.T2|CY2026Q3</v>
      </c>
    </row>
    <row r="7410" spans="4:18" x14ac:dyDescent="0.2">
      <c r="D7410" t="s">
        <v>135</v>
      </c>
      <c r="E7410" t="s">
        <v>136</v>
      </c>
      <c r="F7410" t="s">
        <v>137</v>
      </c>
      <c r="G7410" t="s">
        <v>276</v>
      </c>
      <c r="H7410" t="s">
        <v>276</v>
      </c>
      <c r="I7410" t="s">
        <v>36</v>
      </c>
      <c r="J7410" t="s">
        <v>37</v>
      </c>
      <c r="K7410" t="s">
        <v>30</v>
      </c>
      <c r="L7410" t="s">
        <v>31</v>
      </c>
      <c r="M7410" t="s">
        <v>277</v>
      </c>
      <c r="N7410">
        <v>85</v>
      </c>
      <c r="O7410">
        <v>0.11493442500000001</v>
      </c>
      <c r="P7410">
        <v>9.5975126999999993E-2</v>
      </c>
      <c r="Q7410" t="str">
        <f t="shared" si="230"/>
        <v>10-14</v>
      </c>
      <c r="R7410" t="str">
        <f t="shared" si="231"/>
        <v>[gwVYinjBAe9]|10-14|Female|PLHIV_Residents.T2|CY2026Q3</v>
      </c>
    </row>
    <row r="7411" spans="4:18" x14ac:dyDescent="0.2">
      <c r="D7411" t="s">
        <v>135</v>
      </c>
      <c r="E7411" t="s">
        <v>136</v>
      </c>
      <c r="F7411" t="s">
        <v>137</v>
      </c>
      <c r="G7411" t="s">
        <v>276</v>
      </c>
      <c r="H7411" t="s">
        <v>276</v>
      </c>
      <c r="I7411" t="s">
        <v>38</v>
      </c>
      <c r="J7411" t="s">
        <v>39</v>
      </c>
      <c r="K7411" t="s">
        <v>30</v>
      </c>
      <c r="L7411" t="s">
        <v>31</v>
      </c>
      <c r="M7411" t="s">
        <v>277</v>
      </c>
      <c r="N7411">
        <v>342</v>
      </c>
      <c r="O7411">
        <v>0.116319114</v>
      </c>
      <c r="P7411">
        <v>9.5975126999999993E-2</v>
      </c>
      <c r="Q7411" t="str">
        <f t="shared" si="230"/>
        <v>15-24</v>
      </c>
      <c r="R7411" t="str">
        <f t="shared" si="231"/>
        <v>[gwVYinjBAe9]|15-24|Female|PLHIV_Residents.T2|CY2026Q3</v>
      </c>
    </row>
    <row r="7412" spans="4:18" x14ac:dyDescent="0.2">
      <c r="D7412" t="s">
        <v>135</v>
      </c>
      <c r="E7412" t="s">
        <v>136</v>
      </c>
      <c r="F7412" t="s">
        <v>137</v>
      </c>
      <c r="G7412" t="s">
        <v>276</v>
      </c>
      <c r="H7412" t="s">
        <v>276</v>
      </c>
      <c r="I7412" t="s">
        <v>41</v>
      </c>
      <c r="J7412" t="s">
        <v>42</v>
      </c>
      <c r="K7412" t="s">
        <v>30</v>
      </c>
      <c r="L7412" t="s">
        <v>31</v>
      </c>
      <c r="M7412" t="s">
        <v>277</v>
      </c>
      <c r="N7412">
        <v>773</v>
      </c>
      <c r="O7412">
        <v>0.110047935</v>
      </c>
      <c r="P7412">
        <v>9.5975126999999993E-2</v>
      </c>
      <c r="Q7412" t="str">
        <f t="shared" si="230"/>
        <v>25-34</v>
      </c>
      <c r="R7412" t="str">
        <f t="shared" si="231"/>
        <v>[gwVYinjBAe9]|25-34|Female|PLHIV_Residents.T2|CY2026Q3</v>
      </c>
    </row>
    <row r="7413" spans="4:18" x14ac:dyDescent="0.2">
      <c r="D7413" t="s">
        <v>135</v>
      </c>
      <c r="E7413" t="s">
        <v>136</v>
      </c>
      <c r="F7413" t="s">
        <v>137</v>
      </c>
      <c r="G7413" t="s">
        <v>276</v>
      </c>
      <c r="H7413" t="s">
        <v>276</v>
      </c>
      <c r="I7413" t="s">
        <v>43</v>
      </c>
      <c r="J7413" t="s">
        <v>44</v>
      </c>
      <c r="K7413" t="s">
        <v>30</v>
      </c>
      <c r="L7413" t="s">
        <v>31</v>
      </c>
      <c r="M7413" t="s">
        <v>277</v>
      </c>
      <c r="N7413">
        <v>2218</v>
      </c>
      <c r="O7413">
        <v>9.7620958999999993E-2</v>
      </c>
      <c r="P7413">
        <v>9.5975126999999993E-2</v>
      </c>
      <c r="Q7413" t="str">
        <f t="shared" si="230"/>
        <v>35-49</v>
      </c>
      <c r="R7413" t="str">
        <f t="shared" si="231"/>
        <v>[gwVYinjBAe9]|35-49|Female|PLHIV_Residents.T2|CY2026Q3</v>
      </c>
    </row>
    <row r="7414" spans="4:18" x14ac:dyDescent="0.2">
      <c r="D7414" t="s">
        <v>135</v>
      </c>
      <c r="E7414" t="s">
        <v>136</v>
      </c>
      <c r="F7414" t="s">
        <v>137</v>
      </c>
      <c r="G7414" t="s">
        <v>276</v>
      </c>
      <c r="H7414" t="s">
        <v>276</v>
      </c>
      <c r="I7414" t="s">
        <v>45</v>
      </c>
      <c r="J7414" t="s">
        <v>46</v>
      </c>
      <c r="K7414" t="s">
        <v>30</v>
      </c>
      <c r="L7414" t="s">
        <v>31</v>
      </c>
      <c r="M7414" t="s">
        <v>277</v>
      </c>
      <c r="N7414">
        <v>1248</v>
      </c>
      <c r="O7414">
        <v>9.8716818999999997E-2</v>
      </c>
      <c r="P7414">
        <v>9.5975126999999993E-2</v>
      </c>
      <c r="Q7414" t="str">
        <f t="shared" si="230"/>
        <v>50+</v>
      </c>
      <c r="R7414" t="str">
        <f t="shared" si="231"/>
        <v>[gwVYinjBAe9]|50+|Female|PLHIV_Residents.T2|CY2026Q3</v>
      </c>
    </row>
    <row r="7415" spans="4:18" x14ac:dyDescent="0.2">
      <c r="D7415" t="s">
        <v>135</v>
      </c>
      <c r="E7415" t="s">
        <v>136</v>
      </c>
      <c r="F7415" t="s">
        <v>137</v>
      </c>
      <c r="G7415" t="s">
        <v>276</v>
      </c>
      <c r="H7415" t="s">
        <v>276</v>
      </c>
      <c r="I7415" t="s">
        <v>28</v>
      </c>
      <c r="J7415" t="s">
        <v>29</v>
      </c>
      <c r="K7415" t="s">
        <v>48</v>
      </c>
      <c r="L7415" t="s">
        <v>49</v>
      </c>
      <c r="M7415" t="s">
        <v>277</v>
      </c>
      <c r="N7415">
        <v>4</v>
      </c>
      <c r="O7415">
        <v>0.102374719</v>
      </c>
      <c r="P7415">
        <v>9.5975126999999993E-2</v>
      </c>
      <c r="Q7415" t="str">
        <f t="shared" si="230"/>
        <v>&lt;01</v>
      </c>
      <c r="R7415" t="str">
        <f t="shared" si="231"/>
        <v>[gwVYinjBAe9]|&lt;01|Male|PLHIV_Residents.T2|CY2026Q3</v>
      </c>
    </row>
    <row r="7416" spans="4:18" x14ac:dyDescent="0.2">
      <c r="D7416" t="s">
        <v>135</v>
      </c>
      <c r="E7416" t="s">
        <v>136</v>
      </c>
      <c r="F7416" t="s">
        <v>137</v>
      </c>
      <c r="G7416" t="s">
        <v>276</v>
      </c>
      <c r="H7416" t="s">
        <v>276</v>
      </c>
      <c r="I7416" t="s">
        <v>33</v>
      </c>
      <c r="J7416" t="s">
        <v>34</v>
      </c>
      <c r="K7416" t="s">
        <v>48</v>
      </c>
      <c r="L7416" t="s">
        <v>49</v>
      </c>
      <c r="M7416" t="s">
        <v>277</v>
      </c>
      <c r="N7416">
        <v>66</v>
      </c>
      <c r="O7416">
        <v>0.106195731</v>
      </c>
      <c r="P7416">
        <v>9.5975126999999993E-2</v>
      </c>
      <c r="Q7416" t="str">
        <f t="shared" si="230"/>
        <v>01-09</v>
      </c>
      <c r="R7416" t="str">
        <f t="shared" si="231"/>
        <v>[gwVYinjBAe9]|01-09|Male|PLHIV_Residents.T2|CY2026Q3</v>
      </c>
    </row>
    <row r="7417" spans="4:18" x14ac:dyDescent="0.2">
      <c r="D7417" t="s">
        <v>135</v>
      </c>
      <c r="E7417" t="s">
        <v>136</v>
      </c>
      <c r="F7417" t="s">
        <v>137</v>
      </c>
      <c r="G7417" t="s">
        <v>276</v>
      </c>
      <c r="H7417" t="s">
        <v>276</v>
      </c>
      <c r="I7417" t="s">
        <v>36</v>
      </c>
      <c r="J7417" t="s">
        <v>37</v>
      </c>
      <c r="K7417" t="s">
        <v>48</v>
      </c>
      <c r="L7417" t="s">
        <v>49</v>
      </c>
      <c r="M7417" t="s">
        <v>277</v>
      </c>
      <c r="N7417">
        <v>88</v>
      </c>
      <c r="O7417">
        <v>0.11494842299999999</v>
      </c>
      <c r="P7417">
        <v>9.5975126999999993E-2</v>
      </c>
      <c r="Q7417" t="str">
        <f t="shared" si="230"/>
        <v>10-14</v>
      </c>
      <c r="R7417" t="str">
        <f t="shared" si="231"/>
        <v>[gwVYinjBAe9]|10-14|Male|PLHIV_Residents.T2|CY2026Q3</v>
      </c>
    </row>
    <row r="7418" spans="4:18" x14ac:dyDescent="0.2">
      <c r="D7418" t="s">
        <v>135</v>
      </c>
      <c r="E7418" t="s">
        <v>136</v>
      </c>
      <c r="F7418" t="s">
        <v>137</v>
      </c>
      <c r="G7418" t="s">
        <v>276</v>
      </c>
      <c r="H7418" t="s">
        <v>276</v>
      </c>
      <c r="I7418" t="s">
        <v>38</v>
      </c>
      <c r="J7418" t="s">
        <v>39</v>
      </c>
      <c r="K7418" t="s">
        <v>48</v>
      </c>
      <c r="L7418" t="s">
        <v>49</v>
      </c>
      <c r="M7418" t="s">
        <v>277</v>
      </c>
      <c r="N7418">
        <v>253</v>
      </c>
      <c r="O7418">
        <v>0.116393737</v>
      </c>
      <c r="P7418">
        <v>9.5975126999999993E-2</v>
      </c>
      <c r="Q7418" t="str">
        <f t="shared" si="230"/>
        <v>15-24</v>
      </c>
      <c r="R7418" t="str">
        <f t="shared" si="231"/>
        <v>[gwVYinjBAe9]|15-24|Male|PLHIV_Residents.T2|CY2026Q3</v>
      </c>
    </row>
    <row r="7419" spans="4:18" x14ac:dyDescent="0.2">
      <c r="D7419" t="s">
        <v>135</v>
      </c>
      <c r="E7419" t="s">
        <v>136</v>
      </c>
      <c r="F7419" t="s">
        <v>137</v>
      </c>
      <c r="G7419" t="s">
        <v>276</v>
      </c>
      <c r="H7419" t="s">
        <v>276</v>
      </c>
      <c r="I7419" t="s">
        <v>41</v>
      </c>
      <c r="J7419" t="s">
        <v>42</v>
      </c>
      <c r="K7419" t="s">
        <v>48</v>
      </c>
      <c r="L7419" t="s">
        <v>49</v>
      </c>
      <c r="M7419" t="s">
        <v>277</v>
      </c>
      <c r="N7419">
        <v>305</v>
      </c>
      <c r="O7419">
        <v>0.119763789</v>
      </c>
      <c r="P7419">
        <v>9.5975126999999993E-2</v>
      </c>
      <c r="Q7419" t="str">
        <f t="shared" si="230"/>
        <v>25-34</v>
      </c>
      <c r="R7419" t="str">
        <f t="shared" si="231"/>
        <v>[gwVYinjBAe9]|25-34|Male|PLHIV_Residents.T2|CY2026Q3</v>
      </c>
    </row>
    <row r="7420" spans="4:18" x14ac:dyDescent="0.2">
      <c r="D7420" t="s">
        <v>135</v>
      </c>
      <c r="E7420" t="s">
        <v>136</v>
      </c>
      <c r="F7420" t="s">
        <v>137</v>
      </c>
      <c r="G7420" t="s">
        <v>276</v>
      </c>
      <c r="H7420" t="s">
        <v>276</v>
      </c>
      <c r="I7420" t="s">
        <v>43</v>
      </c>
      <c r="J7420" t="s">
        <v>44</v>
      </c>
      <c r="K7420" t="s">
        <v>48</v>
      </c>
      <c r="L7420" t="s">
        <v>49</v>
      </c>
      <c r="M7420" t="s">
        <v>277</v>
      </c>
      <c r="N7420">
        <v>1067</v>
      </c>
      <c r="O7420">
        <v>9.8515034000000001E-2</v>
      </c>
      <c r="P7420">
        <v>9.5975126999999993E-2</v>
      </c>
      <c r="Q7420" t="str">
        <f t="shared" si="230"/>
        <v>35-49</v>
      </c>
      <c r="R7420" t="str">
        <f t="shared" si="231"/>
        <v>[gwVYinjBAe9]|35-49|Male|PLHIV_Residents.T2|CY2026Q3</v>
      </c>
    </row>
    <row r="7421" spans="4:18" x14ac:dyDescent="0.2">
      <c r="D7421" t="s">
        <v>135</v>
      </c>
      <c r="E7421" t="s">
        <v>136</v>
      </c>
      <c r="F7421" t="s">
        <v>137</v>
      </c>
      <c r="G7421" t="s">
        <v>276</v>
      </c>
      <c r="H7421" t="s">
        <v>276</v>
      </c>
      <c r="I7421" t="s">
        <v>45</v>
      </c>
      <c r="J7421" t="s">
        <v>46</v>
      </c>
      <c r="K7421" t="s">
        <v>48</v>
      </c>
      <c r="L7421" t="s">
        <v>49</v>
      </c>
      <c r="M7421" t="s">
        <v>277</v>
      </c>
      <c r="N7421">
        <v>993</v>
      </c>
      <c r="O7421">
        <v>9.0743321000000002E-2</v>
      </c>
      <c r="P7421">
        <v>9.5975126999999993E-2</v>
      </c>
      <c r="Q7421" t="str">
        <f t="shared" si="230"/>
        <v>50+</v>
      </c>
      <c r="R7421" t="str">
        <f t="shared" si="231"/>
        <v>[gwVYinjBAe9]|50+|Male|PLHIV_Residents.T2|CY2026Q3</v>
      </c>
    </row>
    <row r="7422" spans="4:18" x14ac:dyDescent="0.2">
      <c r="D7422" t="s">
        <v>23</v>
      </c>
      <c r="E7422" t="s">
        <v>24</v>
      </c>
      <c r="F7422" t="s">
        <v>25</v>
      </c>
      <c r="G7422" t="s">
        <v>278</v>
      </c>
      <c r="H7422" t="s">
        <v>278</v>
      </c>
      <c r="I7422" t="s">
        <v>28</v>
      </c>
      <c r="J7422" t="s">
        <v>29</v>
      </c>
      <c r="K7422" t="s">
        <v>30</v>
      </c>
      <c r="L7422" t="s">
        <v>31</v>
      </c>
      <c r="M7422" t="s">
        <v>277</v>
      </c>
      <c r="N7422">
        <v>3</v>
      </c>
      <c r="O7422">
        <v>3.7465725999999998E-2</v>
      </c>
      <c r="P7422">
        <v>2.9938584000000001E-2</v>
      </c>
      <c r="Q7422" t="str">
        <f t="shared" si="230"/>
        <v>&lt;01</v>
      </c>
      <c r="R7422" t="str">
        <f t="shared" si="231"/>
        <v>[GkIwZrXy1h2]|&lt;01|Female|PLHIV_Attend.T2|CY2026Q3</v>
      </c>
    </row>
    <row r="7423" spans="4:18" x14ac:dyDescent="0.2">
      <c r="D7423" t="s">
        <v>23</v>
      </c>
      <c r="E7423" t="s">
        <v>24</v>
      </c>
      <c r="F7423" t="s">
        <v>25</v>
      </c>
      <c r="G7423" t="s">
        <v>278</v>
      </c>
      <c r="H7423" t="s">
        <v>278</v>
      </c>
      <c r="I7423" t="s">
        <v>33</v>
      </c>
      <c r="J7423" t="s">
        <v>34</v>
      </c>
      <c r="K7423" t="s">
        <v>30</v>
      </c>
      <c r="L7423" t="s">
        <v>31</v>
      </c>
      <c r="M7423" t="s">
        <v>277</v>
      </c>
      <c r="N7423">
        <v>46</v>
      </c>
      <c r="O7423">
        <v>4.6024883000000003E-2</v>
      </c>
      <c r="P7423">
        <v>2.9938584000000001E-2</v>
      </c>
      <c r="Q7423" t="str">
        <f t="shared" si="230"/>
        <v>01-09</v>
      </c>
      <c r="R7423" t="str">
        <f t="shared" si="231"/>
        <v>[GkIwZrXy1h2]|01-09|Female|PLHIV_Attend.T2|CY2026Q3</v>
      </c>
    </row>
    <row r="7424" spans="4:18" x14ac:dyDescent="0.2">
      <c r="D7424" t="s">
        <v>23</v>
      </c>
      <c r="E7424" t="s">
        <v>24</v>
      </c>
      <c r="F7424" t="s">
        <v>25</v>
      </c>
      <c r="G7424" t="s">
        <v>278</v>
      </c>
      <c r="H7424" t="s">
        <v>278</v>
      </c>
      <c r="I7424" t="s">
        <v>36</v>
      </c>
      <c r="J7424" t="s">
        <v>37</v>
      </c>
      <c r="K7424" t="s">
        <v>30</v>
      </c>
      <c r="L7424" t="s">
        <v>31</v>
      </c>
      <c r="M7424" t="s">
        <v>277</v>
      </c>
      <c r="N7424">
        <v>64</v>
      </c>
      <c r="O7424">
        <v>6.5142119999999998E-2</v>
      </c>
      <c r="P7424">
        <v>2.9938584000000001E-2</v>
      </c>
      <c r="Q7424" t="str">
        <f t="shared" si="230"/>
        <v>10-14</v>
      </c>
      <c r="R7424" t="str">
        <f t="shared" si="231"/>
        <v>[GkIwZrXy1h2]|10-14|Female|PLHIV_Attend.T2|CY2026Q3</v>
      </c>
    </row>
    <row r="7425" spans="4:18" x14ac:dyDescent="0.2">
      <c r="D7425" t="s">
        <v>23</v>
      </c>
      <c r="E7425" t="s">
        <v>24</v>
      </c>
      <c r="F7425" t="s">
        <v>25</v>
      </c>
      <c r="G7425" t="s">
        <v>278</v>
      </c>
      <c r="H7425" t="s">
        <v>278</v>
      </c>
      <c r="I7425" t="s">
        <v>38</v>
      </c>
      <c r="J7425" t="s">
        <v>39</v>
      </c>
      <c r="K7425" t="s">
        <v>30</v>
      </c>
      <c r="L7425" t="s">
        <v>31</v>
      </c>
      <c r="M7425" t="s">
        <v>277</v>
      </c>
      <c r="N7425">
        <v>267</v>
      </c>
      <c r="O7425">
        <v>5.9310224000000002E-2</v>
      </c>
      <c r="P7425">
        <v>2.9938584000000001E-2</v>
      </c>
      <c r="Q7425" t="str">
        <f t="shared" si="230"/>
        <v>15-24</v>
      </c>
      <c r="R7425" t="str">
        <f t="shared" si="231"/>
        <v>[GkIwZrXy1h2]|15-24|Female|PLHIV_Attend.T2|CY2026Q3</v>
      </c>
    </row>
    <row r="7426" spans="4:18" x14ac:dyDescent="0.2">
      <c r="D7426" t="s">
        <v>23</v>
      </c>
      <c r="E7426" t="s">
        <v>24</v>
      </c>
      <c r="F7426" t="s">
        <v>25</v>
      </c>
      <c r="G7426" t="s">
        <v>278</v>
      </c>
      <c r="H7426" t="s">
        <v>278</v>
      </c>
      <c r="I7426" t="s">
        <v>41</v>
      </c>
      <c r="J7426" t="s">
        <v>42</v>
      </c>
      <c r="K7426" t="s">
        <v>30</v>
      </c>
      <c r="L7426" t="s">
        <v>31</v>
      </c>
      <c r="M7426" t="s">
        <v>277</v>
      </c>
      <c r="N7426">
        <v>600</v>
      </c>
      <c r="O7426">
        <v>4.9458596000000001E-2</v>
      </c>
      <c r="P7426">
        <v>2.9938584000000001E-2</v>
      </c>
      <c r="Q7426" t="str">
        <f t="shared" si="230"/>
        <v>25-34</v>
      </c>
      <c r="R7426" t="str">
        <f t="shared" si="231"/>
        <v>[GkIwZrXy1h2]|25-34|Female|PLHIV_Attend.T2|CY2026Q3</v>
      </c>
    </row>
    <row r="7427" spans="4:18" x14ac:dyDescent="0.2">
      <c r="D7427" t="s">
        <v>23</v>
      </c>
      <c r="E7427" t="s">
        <v>24</v>
      </c>
      <c r="F7427" t="s">
        <v>25</v>
      </c>
      <c r="G7427" t="s">
        <v>278</v>
      </c>
      <c r="H7427" t="s">
        <v>278</v>
      </c>
      <c r="I7427" t="s">
        <v>43</v>
      </c>
      <c r="J7427" t="s">
        <v>44</v>
      </c>
      <c r="K7427" t="s">
        <v>30</v>
      </c>
      <c r="L7427" t="s">
        <v>31</v>
      </c>
      <c r="M7427" t="s">
        <v>277</v>
      </c>
      <c r="N7427">
        <v>1797</v>
      </c>
      <c r="O7427">
        <v>3.5025749000000002E-2</v>
      </c>
      <c r="P7427">
        <v>2.9938584000000001E-2</v>
      </c>
      <c r="Q7427" t="str">
        <f t="shared" ref="Q7427:Q7490" si="232">SUBSTITUTE(SUBSTITUTE($I7427,CHAR(61),""),CHAR(34),"")</f>
        <v>35-49</v>
      </c>
      <c r="R7427" t="str">
        <f t="shared" ref="R7427:R7490" si="233">IF($D7427&lt;&gt;"","["&amp;$E7427&amp;"]"&amp;"|"&amp;$Q7427&amp;"|"&amp;$K7427&amp;"|"&amp;$G7427&amp;"|"&amp;IF($G7427="TX_CURR_SUBNAT.R","CY2023Q4",$M7427),"")</f>
        <v>[GkIwZrXy1h2]|35-49|Female|PLHIV_Attend.T2|CY2026Q3</v>
      </c>
    </row>
    <row r="7428" spans="4:18" x14ac:dyDescent="0.2">
      <c r="D7428" t="s">
        <v>23</v>
      </c>
      <c r="E7428" t="s">
        <v>24</v>
      </c>
      <c r="F7428" t="s">
        <v>25</v>
      </c>
      <c r="G7428" t="s">
        <v>278</v>
      </c>
      <c r="H7428" t="s">
        <v>278</v>
      </c>
      <c r="I7428" t="s">
        <v>45</v>
      </c>
      <c r="J7428" t="s">
        <v>46</v>
      </c>
      <c r="K7428" t="s">
        <v>30</v>
      </c>
      <c r="L7428" t="s">
        <v>31</v>
      </c>
      <c r="M7428" t="s">
        <v>277</v>
      </c>
      <c r="N7428">
        <v>1060</v>
      </c>
      <c r="O7428">
        <v>4.0845853000000001E-2</v>
      </c>
      <c r="P7428">
        <v>2.9938584000000001E-2</v>
      </c>
      <c r="Q7428" t="str">
        <f t="shared" si="232"/>
        <v>50+</v>
      </c>
      <c r="R7428" t="str">
        <f t="shared" si="233"/>
        <v>[GkIwZrXy1h2]|50+|Female|PLHIV_Attend.T2|CY2026Q3</v>
      </c>
    </row>
    <row r="7429" spans="4:18" x14ac:dyDescent="0.2">
      <c r="D7429" t="s">
        <v>23</v>
      </c>
      <c r="E7429" t="s">
        <v>24</v>
      </c>
      <c r="F7429" t="s">
        <v>25</v>
      </c>
      <c r="G7429" t="s">
        <v>278</v>
      </c>
      <c r="H7429" t="s">
        <v>278</v>
      </c>
      <c r="I7429" t="s">
        <v>28</v>
      </c>
      <c r="J7429" t="s">
        <v>29</v>
      </c>
      <c r="K7429" t="s">
        <v>48</v>
      </c>
      <c r="L7429" t="s">
        <v>49</v>
      </c>
      <c r="M7429" t="s">
        <v>277</v>
      </c>
      <c r="N7429">
        <v>3</v>
      </c>
      <c r="O7429">
        <v>3.7330796999999999E-2</v>
      </c>
      <c r="P7429">
        <v>2.9938584000000001E-2</v>
      </c>
      <c r="Q7429" t="str">
        <f t="shared" si="232"/>
        <v>&lt;01</v>
      </c>
      <c r="R7429" t="str">
        <f t="shared" si="233"/>
        <v>[GkIwZrXy1h2]|&lt;01|Male|PLHIV_Attend.T2|CY2026Q3</v>
      </c>
    </row>
    <row r="7430" spans="4:18" x14ac:dyDescent="0.2">
      <c r="D7430" t="s">
        <v>23</v>
      </c>
      <c r="E7430" t="s">
        <v>24</v>
      </c>
      <c r="F7430" t="s">
        <v>25</v>
      </c>
      <c r="G7430" t="s">
        <v>278</v>
      </c>
      <c r="H7430" t="s">
        <v>278</v>
      </c>
      <c r="I7430" t="s">
        <v>33</v>
      </c>
      <c r="J7430" t="s">
        <v>34</v>
      </c>
      <c r="K7430" t="s">
        <v>48</v>
      </c>
      <c r="L7430" t="s">
        <v>49</v>
      </c>
      <c r="M7430" t="s">
        <v>277</v>
      </c>
      <c r="N7430">
        <v>46</v>
      </c>
      <c r="O7430">
        <v>4.5829238000000001E-2</v>
      </c>
      <c r="P7430">
        <v>2.9938584000000001E-2</v>
      </c>
      <c r="Q7430" t="str">
        <f t="shared" si="232"/>
        <v>01-09</v>
      </c>
      <c r="R7430" t="str">
        <f t="shared" si="233"/>
        <v>[GkIwZrXy1h2]|01-09|Male|PLHIV_Attend.T2|CY2026Q3</v>
      </c>
    </row>
    <row r="7431" spans="4:18" x14ac:dyDescent="0.2">
      <c r="D7431" t="s">
        <v>23</v>
      </c>
      <c r="E7431" t="s">
        <v>24</v>
      </c>
      <c r="F7431" t="s">
        <v>25</v>
      </c>
      <c r="G7431" t="s">
        <v>278</v>
      </c>
      <c r="H7431" t="s">
        <v>278</v>
      </c>
      <c r="I7431" t="s">
        <v>36</v>
      </c>
      <c r="J7431" t="s">
        <v>37</v>
      </c>
      <c r="K7431" t="s">
        <v>48</v>
      </c>
      <c r="L7431" t="s">
        <v>49</v>
      </c>
      <c r="M7431" t="s">
        <v>277</v>
      </c>
      <c r="N7431">
        <v>64</v>
      </c>
      <c r="O7431">
        <v>6.4948625999999995E-2</v>
      </c>
      <c r="P7431">
        <v>2.9938584000000001E-2</v>
      </c>
      <c r="Q7431" t="str">
        <f t="shared" si="232"/>
        <v>10-14</v>
      </c>
      <c r="R7431" t="str">
        <f t="shared" si="233"/>
        <v>[GkIwZrXy1h2]|10-14|Male|PLHIV_Attend.T2|CY2026Q3</v>
      </c>
    </row>
    <row r="7432" spans="4:18" x14ac:dyDescent="0.2">
      <c r="D7432" t="s">
        <v>23</v>
      </c>
      <c r="E7432" t="s">
        <v>24</v>
      </c>
      <c r="F7432" t="s">
        <v>25</v>
      </c>
      <c r="G7432" t="s">
        <v>278</v>
      </c>
      <c r="H7432" t="s">
        <v>278</v>
      </c>
      <c r="I7432" t="s">
        <v>38</v>
      </c>
      <c r="J7432" t="s">
        <v>39</v>
      </c>
      <c r="K7432" t="s">
        <v>48</v>
      </c>
      <c r="L7432" t="s">
        <v>49</v>
      </c>
      <c r="M7432" t="s">
        <v>277</v>
      </c>
      <c r="N7432">
        <v>202</v>
      </c>
      <c r="O7432">
        <v>6.8182005000000004E-2</v>
      </c>
      <c r="P7432">
        <v>2.9938584000000001E-2</v>
      </c>
      <c r="Q7432" t="str">
        <f t="shared" si="232"/>
        <v>15-24</v>
      </c>
      <c r="R7432" t="str">
        <f t="shared" si="233"/>
        <v>[GkIwZrXy1h2]|15-24|Male|PLHIV_Attend.T2|CY2026Q3</v>
      </c>
    </row>
    <row r="7433" spans="4:18" x14ac:dyDescent="0.2">
      <c r="D7433" t="s">
        <v>23</v>
      </c>
      <c r="E7433" t="s">
        <v>24</v>
      </c>
      <c r="F7433" t="s">
        <v>25</v>
      </c>
      <c r="G7433" t="s">
        <v>278</v>
      </c>
      <c r="H7433" t="s">
        <v>278</v>
      </c>
      <c r="I7433" t="s">
        <v>41</v>
      </c>
      <c r="J7433" t="s">
        <v>42</v>
      </c>
      <c r="K7433" t="s">
        <v>48</v>
      </c>
      <c r="L7433" t="s">
        <v>49</v>
      </c>
      <c r="M7433" t="s">
        <v>277</v>
      </c>
      <c r="N7433">
        <v>260</v>
      </c>
      <c r="O7433">
        <v>7.1395792999999999E-2</v>
      </c>
      <c r="P7433">
        <v>2.9938584000000001E-2</v>
      </c>
      <c r="Q7433" t="str">
        <f t="shared" si="232"/>
        <v>25-34</v>
      </c>
      <c r="R7433" t="str">
        <f t="shared" si="233"/>
        <v>[GkIwZrXy1h2]|25-34|Male|PLHIV_Attend.T2|CY2026Q3</v>
      </c>
    </row>
    <row r="7434" spans="4:18" x14ac:dyDescent="0.2">
      <c r="D7434" t="s">
        <v>23</v>
      </c>
      <c r="E7434" t="s">
        <v>24</v>
      </c>
      <c r="F7434" t="s">
        <v>25</v>
      </c>
      <c r="G7434" t="s">
        <v>278</v>
      </c>
      <c r="H7434" t="s">
        <v>278</v>
      </c>
      <c r="I7434" t="s">
        <v>43</v>
      </c>
      <c r="J7434" t="s">
        <v>44</v>
      </c>
      <c r="K7434" t="s">
        <v>48</v>
      </c>
      <c r="L7434" t="s">
        <v>49</v>
      </c>
      <c r="M7434" t="s">
        <v>277</v>
      </c>
      <c r="N7434">
        <v>954</v>
      </c>
      <c r="O7434">
        <v>4.6119464999999998E-2</v>
      </c>
      <c r="P7434">
        <v>2.9938584000000001E-2</v>
      </c>
      <c r="Q7434" t="str">
        <f t="shared" si="232"/>
        <v>35-49</v>
      </c>
      <c r="R7434" t="str">
        <f t="shared" si="233"/>
        <v>[GkIwZrXy1h2]|35-49|Male|PLHIV_Attend.T2|CY2026Q3</v>
      </c>
    </row>
    <row r="7435" spans="4:18" x14ac:dyDescent="0.2">
      <c r="D7435" t="s">
        <v>23</v>
      </c>
      <c r="E7435" t="s">
        <v>24</v>
      </c>
      <c r="F7435" t="s">
        <v>25</v>
      </c>
      <c r="G7435" t="s">
        <v>278</v>
      </c>
      <c r="H7435" t="s">
        <v>278</v>
      </c>
      <c r="I7435" t="s">
        <v>45</v>
      </c>
      <c r="J7435" t="s">
        <v>46</v>
      </c>
      <c r="K7435" t="s">
        <v>48</v>
      </c>
      <c r="L7435" t="s">
        <v>49</v>
      </c>
      <c r="M7435" t="s">
        <v>277</v>
      </c>
      <c r="N7435">
        <v>979</v>
      </c>
      <c r="O7435">
        <v>3.9920899000000003E-2</v>
      </c>
      <c r="P7435">
        <v>2.9938584000000001E-2</v>
      </c>
      <c r="Q7435" t="str">
        <f t="shared" si="232"/>
        <v>50+</v>
      </c>
      <c r="R7435" t="str">
        <f t="shared" si="233"/>
        <v>[GkIwZrXy1h2]|50+|Male|PLHIV_Attend.T2|CY2026Q3</v>
      </c>
    </row>
    <row r="7436" spans="4:18" x14ac:dyDescent="0.2">
      <c r="D7436" t="s">
        <v>53</v>
      </c>
      <c r="E7436" t="s">
        <v>54</v>
      </c>
      <c r="F7436" t="s">
        <v>55</v>
      </c>
      <c r="G7436" t="s">
        <v>278</v>
      </c>
      <c r="H7436" t="s">
        <v>278</v>
      </c>
      <c r="I7436" t="s">
        <v>28</v>
      </c>
      <c r="J7436" t="s">
        <v>29</v>
      </c>
      <c r="K7436" t="s">
        <v>30</v>
      </c>
      <c r="L7436" t="s">
        <v>31</v>
      </c>
      <c r="M7436" t="s">
        <v>277</v>
      </c>
      <c r="N7436">
        <v>7</v>
      </c>
      <c r="O7436">
        <v>2.5168917999999998E-2</v>
      </c>
      <c r="P7436">
        <v>1.6440660999999999E-2</v>
      </c>
      <c r="Q7436" t="str">
        <f t="shared" si="232"/>
        <v>&lt;01</v>
      </c>
      <c r="R7436" t="str">
        <f t="shared" si="233"/>
        <v>[cPtvxaZqXIH]|&lt;01|Female|PLHIV_Attend.T2|CY2026Q3</v>
      </c>
    </row>
    <row r="7437" spans="4:18" x14ac:dyDescent="0.2">
      <c r="D7437" t="s">
        <v>53</v>
      </c>
      <c r="E7437" t="s">
        <v>54</v>
      </c>
      <c r="F7437" t="s">
        <v>55</v>
      </c>
      <c r="G7437" t="s">
        <v>278</v>
      </c>
      <c r="H7437" t="s">
        <v>278</v>
      </c>
      <c r="I7437" t="s">
        <v>33</v>
      </c>
      <c r="J7437" t="s">
        <v>34</v>
      </c>
      <c r="K7437" t="s">
        <v>30</v>
      </c>
      <c r="L7437" t="s">
        <v>31</v>
      </c>
      <c r="M7437" t="s">
        <v>277</v>
      </c>
      <c r="N7437">
        <v>128</v>
      </c>
      <c r="O7437">
        <v>3.6676741999999998E-2</v>
      </c>
      <c r="P7437">
        <v>1.6440660999999999E-2</v>
      </c>
      <c r="Q7437" t="str">
        <f t="shared" si="232"/>
        <v>01-09</v>
      </c>
      <c r="R7437" t="str">
        <f t="shared" si="233"/>
        <v>[cPtvxaZqXIH]|01-09|Female|PLHIV_Attend.T2|CY2026Q3</v>
      </c>
    </row>
    <row r="7438" spans="4:18" x14ac:dyDescent="0.2">
      <c r="D7438" t="s">
        <v>53</v>
      </c>
      <c r="E7438" t="s">
        <v>54</v>
      </c>
      <c r="F7438" t="s">
        <v>55</v>
      </c>
      <c r="G7438" t="s">
        <v>278</v>
      </c>
      <c r="H7438" t="s">
        <v>278</v>
      </c>
      <c r="I7438" t="s">
        <v>36</v>
      </c>
      <c r="J7438" t="s">
        <v>37</v>
      </c>
      <c r="K7438" t="s">
        <v>30</v>
      </c>
      <c r="L7438" t="s">
        <v>31</v>
      </c>
      <c r="M7438" t="s">
        <v>277</v>
      </c>
      <c r="N7438">
        <v>178</v>
      </c>
      <c r="O7438">
        <v>6.0479748E-2</v>
      </c>
      <c r="P7438">
        <v>1.6440660999999999E-2</v>
      </c>
      <c r="Q7438" t="str">
        <f t="shared" si="232"/>
        <v>10-14</v>
      </c>
      <c r="R7438" t="str">
        <f t="shared" si="233"/>
        <v>[cPtvxaZqXIH]|10-14|Female|PLHIV_Attend.T2|CY2026Q3</v>
      </c>
    </row>
    <row r="7439" spans="4:18" x14ac:dyDescent="0.2">
      <c r="D7439" t="s">
        <v>53</v>
      </c>
      <c r="E7439" t="s">
        <v>54</v>
      </c>
      <c r="F7439" t="s">
        <v>55</v>
      </c>
      <c r="G7439" t="s">
        <v>278</v>
      </c>
      <c r="H7439" t="s">
        <v>278</v>
      </c>
      <c r="I7439" t="s">
        <v>38</v>
      </c>
      <c r="J7439" t="s">
        <v>39</v>
      </c>
      <c r="K7439" t="s">
        <v>30</v>
      </c>
      <c r="L7439" t="s">
        <v>31</v>
      </c>
      <c r="M7439" t="s">
        <v>277</v>
      </c>
      <c r="N7439">
        <v>758</v>
      </c>
      <c r="O7439">
        <v>5.2414036999999997E-2</v>
      </c>
      <c r="P7439">
        <v>1.6440660999999999E-2</v>
      </c>
      <c r="Q7439" t="str">
        <f t="shared" si="232"/>
        <v>15-24</v>
      </c>
      <c r="R7439" t="str">
        <f t="shared" si="233"/>
        <v>[cPtvxaZqXIH]|15-24|Female|PLHIV_Attend.T2|CY2026Q3</v>
      </c>
    </row>
    <row r="7440" spans="4:18" x14ac:dyDescent="0.2">
      <c r="D7440" t="s">
        <v>53</v>
      </c>
      <c r="E7440" t="s">
        <v>54</v>
      </c>
      <c r="F7440" t="s">
        <v>55</v>
      </c>
      <c r="G7440" t="s">
        <v>278</v>
      </c>
      <c r="H7440" t="s">
        <v>278</v>
      </c>
      <c r="I7440" t="s">
        <v>41</v>
      </c>
      <c r="J7440" t="s">
        <v>42</v>
      </c>
      <c r="K7440" t="s">
        <v>30</v>
      </c>
      <c r="L7440" t="s">
        <v>31</v>
      </c>
      <c r="M7440" t="s">
        <v>277</v>
      </c>
      <c r="N7440">
        <v>1714</v>
      </c>
      <c r="O7440">
        <v>3.8503398000000001E-2</v>
      </c>
      <c r="P7440">
        <v>1.6440660999999999E-2</v>
      </c>
      <c r="Q7440" t="str">
        <f t="shared" si="232"/>
        <v>25-34</v>
      </c>
      <c r="R7440" t="str">
        <f t="shared" si="233"/>
        <v>[cPtvxaZqXIH]|25-34|Female|PLHIV_Attend.T2|CY2026Q3</v>
      </c>
    </row>
    <row r="7441" spans="4:18" x14ac:dyDescent="0.2">
      <c r="D7441" t="s">
        <v>53</v>
      </c>
      <c r="E7441" t="s">
        <v>54</v>
      </c>
      <c r="F7441" t="s">
        <v>55</v>
      </c>
      <c r="G7441" t="s">
        <v>278</v>
      </c>
      <c r="H7441" t="s">
        <v>278</v>
      </c>
      <c r="I7441" t="s">
        <v>43</v>
      </c>
      <c r="J7441" t="s">
        <v>44</v>
      </c>
      <c r="K7441" t="s">
        <v>30</v>
      </c>
      <c r="L7441" t="s">
        <v>31</v>
      </c>
      <c r="M7441" t="s">
        <v>277</v>
      </c>
      <c r="N7441">
        <v>4955</v>
      </c>
      <c r="O7441">
        <v>2.2332343000000001E-2</v>
      </c>
      <c r="P7441">
        <v>1.6440660999999999E-2</v>
      </c>
      <c r="Q7441" t="str">
        <f t="shared" si="232"/>
        <v>35-49</v>
      </c>
      <c r="R7441" t="str">
        <f t="shared" si="233"/>
        <v>[cPtvxaZqXIH]|35-49|Female|PLHIV_Attend.T2|CY2026Q3</v>
      </c>
    </row>
    <row r="7442" spans="4:18" x14ac:dyDescent="0.2">
      <c r="D7442" t="s">
        <v>53</v>
      </c>
      <c r="E7442" t="s">
        <v>54</v>
      </c>
      <c r="F7442" t="s">
        <v>55</v>
      </c>
      <c r="G7442" t="s">
        <v>278</v>
      </c>
      <c r="H7442" t="s">
        <v>278</v>
      </c>
      <c r="I7442" t="s">
        <v>45</v>
      </c>
      <c r="J7442" t="s">
        <v>46</v>
      </c>
      <c r="K7442" t="s">
        <v>30</v>
      </c>
      <c r="L7442" t="s">
        <v>31</v>
      </c>
      <c r="M7442" t="s">
        <v>277</v>
      </c>
      <c r="N7442">
        <v>2698</v>
      </c>
      <c r="O7442">
        <v>3.3180657000000002E-2</v>
      </c>
      <c r="P7442">
        <v>1.6440660999999999E-2</v>
      </c>
      <c r="Q7442" t="str">
        <f t="shared" si="232"/>
        <v>50+</v>
      </c>
      <c r="R7442" t="str">
        <f t="shared" si="233"/>
        <v>[cPtvxaZqXIH]|50+|Female|PLHIV_Attend.T2|CY2026Q3</v>
      </c>
    </row>
    <row r="7443" spans="4:18" x14ac:dyDescent="0.2">
      <c r="D7443" t="s">
        <v>53</v>
      </c>
      <c r="E7443" t="s">
        <v>54</v>
      </c>
      <c r="F7443" t="s">
        <v>55</v>
      </c>
      <c r="G7443" t="s">
        <v>278</v>
      </c>
      <c r="H7443" t="s">
        <v>278</v>
      </c>
      <c r="I7443" t="s">
        <v>28</v>
      </c>
      <c r="J7443" t="s">
        <v>29</v>
      </c>
      <c r="K7443" t="s">
        <v>48</v>
      </c>
      <c r="L7443" t="s">
        <v>49</v>
      </c>
      <c r="M7443" t="s">
        <v>277</v>
      </c>
      <c r="N7443">
        <v>7</v>
      </c>
      <c r="O7443">
        <v>2.5093520000000001E-2</v>
      </c>
      <c r="P7443">
        <v>1.6440660999999999E-2</v>
      </c>
      <c r="Q7443" t="str">
        <f t="shared" si="232"/>
        <v>&lt;01</v>
      </c>
      <c r="R7443" t="str">
        <f t="shared" si="233"/>
        <v>[cPtvxaZqXIH]|&lt;01|Male|PLHIV_Attend.T2|CY2026Q3</v>
      </c>
    </row>
    <row r="7444" spans="4:18" x14ac:dyDescent="0.2">
      <c r="D7444" t="s">
        <v>53</v>
      </c>
      <c r="E7444" t="s">
        <v>54</v>
      </c>
      <c r="F7444" t="s">
        <v>55</v>
      </c>
      <c r="G7444" t="s">
        <v>278</v>
      </c>
      <c r="H7444" t="s">
        <v>278</v>
      </c>
      <c r="I7444" t="s">
        <v>33</v>
      </c>
      <c r="J7444" t="s">
        <v>34</v>
      </c>
      <c r="K7444" t="s">
        <v>48</v>
      </c>
      <c r="L7444" t="s">
        <v>49</v>
      </c>
      <c r="M7444" t="s">
        <v>277</v>
      </c>
      <c r="N7444">
        <v>128</v>
      </c>
      <c r="O7444">
        <v>3.6526283E-2</v>
      </c>
      <c r="P7444">
        <v>1.6440660999999999E-2</v>
      </c>
      <c r="Q7444" t="str">
        <f t="shared" si="232"/>
        <v>01-09</v>
      </c>
      <c r="R7444" t="str">
        <f t="shared" si="233"/>
        <v>[cPtvxaZqXIH]|01-09|Male|PLHIV_Attend.T2|CY2026Q3</v>
      </c>
    </row>
    <row r="7445" spans="4:18" x14ac:dyDescent="0.2">
      <c r="D7445" t="s">
        <v>53</v>
      </c>
      <c r="E7445" t="s">
        <v>54</v>
      </c>
      <c r="F7445" t="s">
        <v>55</v>
      </c>
      <c r="G7445" t="s">
        <v>278</v>
      </c>
      <c r="H7445" t="s">
        <v>278</v>
      </c>
      <c r="I7445" t="s">
        <v>36</v>
      </c>
      <c r="J7445" t="s">
        <v>37</v>
      </c>
      <c r="K7445" t="s">
        <v>48</v>
      </c>
      <c r="L7445" t="s">
        <v>49</v>
      </c>
      <c r="M7445" t="s">
        <v>277</v>
      </c>
      <c r="N7445">
        <v>174</v>
      </c>
      <c r="O7445">
        <v>6.041444E-2</v>
      </c>
      <c r="P7445">
        <v>1.6440660999999999E-2</v>
      </c>
      <c r="Q7445" t="str">
        <f t="shared" si="232"/>
        <v>10-14</v>
      </c>
      <c r="R7445" t="str">
        <f t="shared" si="233"/>
        <v>[cPtvxaZqXIH]|10-14|Male|PLHIV_Attend.T2|CY2026Q3</v>
      </c>
    </row>
    <row r="7446" spans="4:18" x14ac:dyDescent="0.2">
      <c r="D7446" t="s">
        <v>53</v>
      </c>
      <c r="E7446" t="s">
        <v>54</v>
      </c>
      <c r="F7446" t="s">
        <v>55</v>
      </c>
      <c r="G7446" t="s">
        <v>278</v>
      </c>
      <c r="H7446" t="s">
        <v>278</v>
      </c>
      <c r="I7446" t="s">
        <v>38</v>
      </c>
      <c r="J7446" t="s">
        <v>39</v>
      </c>
      <c r="K7446" t="s">
        <v>48</v>
      </c>
      <c r="L7446" t="s">
        <v>49</v>
      </c>
      <c r="M7446" t="s">
        <v>277</v>
      </c>
      <c r="N7446">
        <v>547</v>
      </c>
      <c r="O7446">
        <v>6.2000382999999999E-2</v>
      </c>
      <c r="P7446">
        <v>1.6440660999999999E-2</v>
      </c>
      <c r="Q7446" t="str">
        <f t="shared" si="232"/>
        <v>15-24</v>
      </c>
      <c r="R7446" t="str">
        <f t="shared" si="233"/>
        <v>[cPtvxaZqXIH]|15-24|Male|PLHIV_Attend.T2|CY2026Q3</v>
      </c>
    </row>
    <row r="7447" spans="4:18" x14ac:dyDescent="0.2">
      <c r="D7447" t="s">
        <v>53</v>
      </c>
      <c r="E7447" t="s">
        <v>54</v>
      </c>
      <c r="F7447" t="s">
        <v>55</v>
      </c>
      <c r="G7447" t="s">
        <v>278</v>
      </c>
      <c r="H7447" t="s">
        <v>278</v>
      </c>
      <c r="I7447" t="s">
        <v>41</v>
      </c>
      <c r="J7447" t="s">
        <v>42</v>
      </c>
      <c r="K7447" t="s">
        <v>48</v>
      </c>
      <c r="L7447" t="s">
        <v>49</v>
      </c>
      <c r="M7447" t="s">
        <v>277</v>
      </c>
      <c r="N7447">
        <v>680</v>
      </c>
      <c r="O7447">
        <v>6.3740483000000001E-2</v>
      </c>
      <c r="P7447">
        <v>1.6440660999999999E-2</v>
      </c>
      <c r="Q7447" t="str">
        <f t="shared" si="232"/>
        <v>25-34</v>
      </c>
      <c r="R7447" t="str">
        <f t="shared" si="233"/>
        <v>[cPtvxaZqXIH]|25-34|Male|PLHIV_Attend.T2|CY2026Q3</v>
      </c>
    </row>
    <row r="7448" spans="4:18" x14ac:dyDescent="0.2">
      <c r="D7448" t="s">
        <v>53</v>
      </c>
      <c r="E7448" t="s">
        <v>54</v>
      </c>
      <c r="F7448" t="s">
        <v>55</v>
      </c>
      <c r="G7448" t="s">
        <v>278</v>
      </c>
      <c r="H7448" t="s">
        <v>278</v>
      </c>
      <c r="I7448" t="s">
        <v>43</v>
      </c>
      <c r="J7448" t="s">
        <v>44</v>
      </c>
      <c r="K7448" t="s">
        <v>48</v>
      </c>
      <c r="L7448" t="s">
        <v>49</v>
      </c>
      <c r="M7448" t="s">
        <v>277</v>
      </c>
      <c r="N7448">
        <v>2528</v>
      </c>
      <c r="O7448">
        <v>3.4444820000000001E-2</v>
      </c>
      <c r="P7448">
        <v>1.6440660999999999E-2</v>
      </c>
      <c r="Q7448" t="str">
        <f t="shared" si="232"/>
        <v>35-49</v>
      </c>
      <c r="R7448" t="str">
        <f t="shared" si="233"/>
        <v>[cPtvxaZqXIH]|35-49|Male|PLHIV_Attend.T2|CY2026Q3</v>
      </c>
    </row>
    <row r="7449" spans="4:18" x14ac:dyDescent="0.2">
      <c r="D7449" t="s">
        <v>53</v>
      </c>
      <c r="E7449" t="s">
        <v>54</v>
      </c>
      <c r="F7449" t="s">
        <v>55</v>
      </c>
      <c r="G7449" t="s">
        <v>278</v>
      </c>
      <c r="H7449" t="s">
        <v>278</v>
      </c>
      <c r="I7449" t="s">
        <v>45</v>
      </c>
      <c r="J7449" t="s">
        <v>46</v>
      </c>
      <c r="K7449" t="s">
        <v>48</v>
      </c>
      <c r="L7449" t="s">
        <v>49</v>
      </c>
      <c r="M7449" t="s">
        <v>277</v>
      </c>
      <c r="N7449">
        <v>2252</v>
      </c>
      <c r="O7449">
        <v>3.2174174999999999E-2</v>
      </c>
      <c r="P7449">
        <v>1.6440660999999999E-2</v>
      </c>
      <c r="Q7449" t="str">
        <f t="shared" si="232"/>
        <v>50+</v>
      </c>
      <c r="R7449" t="str">
        <f t="shared" si="233"/>
        <v>[cPtvxaZqXIH]|50+|Male|PLHIV_Attend.T2|CY2026Q3</v>
      </c>
    </row>
    <row r="7450" spans="4:18" x14ac:dyDescent="0.2">
      <c r="D7450" t="s">
        <v>60</v>
      </c>
      <c r="E7450" t="s">
        <v>61</v>
      </c>
      <c r="F7450" t="s">
        <v>62</v>
      </c>
      <c r="G7450" t="s">
        <v>278</v>
      </c>
      <c r="H7450" t="s">
        <v>278</v>
      </c>
      <c r="I7450" t="s">
        <v>28</v>
      </c>
      <c r="J7450" t="s">
        <v>29</v>
      </c>
      <c r="K7450" t="s">
        <v>30</v>
      </c>
      <c r="L7450" t="s">
        <v>31</v>
      </c>
      <c r="M7450" t="s">
        <v>277</v>
      </c>
      <c r="N7450">
        <v>5</v>
      </c>
      <c r="O7450">
        <v>2.9862267000000001E-2</v>
      </c>
      <c r="P7450">
        <v>2.4539657999999999E-2</v>
      </c>
      <c r="Q7450" t="str">
        <f t="shared" si="232"/>
        <v>&lt;01</v>
      </c>
      <c r="R7450" t="str">
        <f t="shared" si="233"/>
        <v>[E7zpfyBt7Tw]|&lt;01|Female|PLHIV_Attend.T2|CY2026Q3</v>
      </c>
    </row>
    <row r="7451" spans="4:18" x14ac:dyDescent="0.2">
      <c r="D7451" t="s">
        <v>60</v>
      </c>
      <c r="E7451" t="s">
        <v>61</v>
      </c>
      <c r="F7451" t="s">
        <v>62</v>
      </c>
      <c r="G7451" t="s">
        <v>278</v>
      </c>
      <c r="H7451" t="s">
        <v>278</v>
      </c>
      <c r="I7451" t="s">
        <v>33</v>
      </c>
      <c r="J7451" t="s">
        <v>34</v>
      </c>
      <c r="K7451" t="s">
        <v>30</v>
      </c>
      <c r="L7451" t="s">
        <v>31</v>
      </c>
      <c r="M7451" t="s">
        <v>277</v>
      </c>
      <c r="N7451">
        <v>91</v>
      </c>
      <c r="O7451">
        <v>3.5624006E-2</v>
      </c>
      <c r="P7451">
        <v>2.4539657999999999E-2</v>
      </c>
      <c r="Q7451" t="str">
        <f t="shared" si="232"/>
        <v>01-09</v>
      </c>
      <c r="R7451" t="str">
        <f t="shared" si="233"/>
        <v>[E7zpfyBt7Tw]|01-09|Female|PLHIV_Attend.T2|CY2026Q3</v>
      </c>
    </row>
    <row r="7452" spans="4:18" x14ac:dyDescent="0.2">
      <c r="D7452" t="s">
        <v>60</v>
      </c>
      <c r="E7452" t="s">
        <v>61</v>
      </c>
      <c r="F7452" t="s">
        <v>62</v>
      </c>
      <c r="G7452" t="s">
        <v>278</v>
      </c>
      <c r="H7452" t="s">
        <v>278</v>
      </c>
      <c r="I7452" t="s">
        <v>36</v>
      </c>
      <c r="J7452" t="s">
        <v>37</v>
      </c>
      <c r="K7452" t="s">
        <v>30</v>
      </c>
      <c r="L7452" t="s">
        <v>31</v>
      </c>
      <c r="M7452" t="s">
        <v>277</v>
      </c>
      <c r="N7452">
        <v>128</v>
      </c>
      <c r="O7452">
        <v>4.8414101000000001E-2</v>
      </c>
      <c r="P7452">
        <v>2.4539657999999999E-2</v>
      </c>
      <c r="Q7452" t="str">
        <f t="shared" si="232"/>
        <v>10-14</v>
      </c>
      <c r="R7452" t="str">
        <f t="shared" si="233"/>
        <v>[E7zpfyBt7Tw]|10-14|Female|PLHIV_Attend.T2|CY2026Q3</v>
      </c>
    </row>
    <row r="7453" spans="4:18" x14ac:dyDescent="0.2">
      <c r="D7453" t="s">
        <v>60</v>
      </c>
      <c r="E7453" t="s">
        <v>61</v>
      </c>
      <c r="F7453" t="s">
        <v>62</v>
      </c>
      <c r="G7453" t="s">
        <v>278</v>
      </c>
      <c r="H7453" t="s">
        <v>278</v>
      </c>
      <c r="I7453" t="s">
        <v>38</v>
      </c>
      <c r="J7453" t="s">
        <v>39</v>
      </c>
      <c r="K7453" t="s">
        <v>30</v>
      </c>
      <c r="L7453" t="s">
        <v>31</v>
      </c>
      <c r="M7453" t="s">
        <v>277</v>
      </c>
      <c r="N7453">
        <v>554</v>
      </c>
      <c r="O7453">
        <v>5.2140106999999998E-2</v>
      </c>
      <c r="P7453">
        <v>2.4539657999999999E-2</v>
      </c>
      <c r="Q7453" t="str">
        <f t="shared" si="232"/>
        <v>15-24</v>
      </c>
      <c r="R7453" t="str">
        <f t="shared" si="233"/>
        <v>[E7zpfyBt7Tw]|15-24|Female|PLHIV_Attend.T2|CY2026Q3</v>
      </c>
    </row>
    <row r="7454" spans="4:18" x14ac:dyDescent="0.2">
      <c r="D7454" t="s">
        <v>60</v>
      </c>
      <c r="E7454" t="s">
        <v>61</v>
      </c>
      <c r="F7454" t="s">
        <v>62</v>
      </c>
      <c r="G7454" t="s">
        <v>278</v>
      </c>
      <c r="H7454" t="s">
        <v>278</v>
      </c>
      <c r="I7454" t="s">
        <v>41</v>
      </c>
      <c r="J7454" t="s">
        <v>42</v>
      </c>
      <c r="K7454" t="s">
        <v>30</v>
      </c>
      <c r="L7454" t="s">
        <v>31</v>
      </c>
      <c r="M7454" t="s">
        <v>277</v>
      </c>
      <c r="N7454">
        <v>1189</v>
      </c>
      <c r="O7454">
        <v>4.2852976000000001E-2</v>
      </c>
      <c r="P7454">
        <v>2.4539657999999999E-2</v>
      </c>
      <c r="Q7454" t="str">
        <f t="shared" si="232"/>
        <v>25-34</v>
      </c>
      <c r="R7454" t="str">
        <f t="shared" si="233"/>
        <v>[E7zpfyBt7Tw]|25-34|Female|PLHIV_Attend.T2|CY2026Q3</v>
      </c>
    </row>
    <row r="7455" spans="4:18" x14ac:dyDescent="0.2">
      <c r="D7455" t="s">
        <v>60</v>
      </c>
      <c r="E7455" t="s">
        <v>61</v>
      </c>
      <c r="F7455" t="s">
        <v>62</v>
      </c>
      <c r="G7455" t="s">
        <v>278</v>
      </c>
      <c r="H7455" t="s">
        <v>278</v>
      </c>
      <c r="I7455" t="s">
        <v>43</v>
      </c>
      <c r="J7455" t="s">
        <v>44</v>
      </c>
      <c r="K7455" t="s">
        <v>30</v>
      </c>
      <c r="L7455" t="s">
        <v>31</v>
      </c>
      <c r="M7455" t="s">
        <v>277</v>
      </c>
      <c r="N7455">
        <v>3349</v>
      </c>
      <c r="O7455">
        <v>3.0611768000000001E-2</v>
      </c>
      <c r="P7455">
        <v>2.4539657999999999E-2</v>
      </c>
      <c r="Q7455" t="str">
        <f t="shared" si="232"/>
        <v>35-49</v>
      </c>
      <c r="R7455" t="str">
        <f t="shared" si="233"/>
        <v>[E7zpfyBt7Tw]|35-49|Female|PLHIV_Attend.T2|CY2026Q3</v>
      </c>
    </row>
    <row r="7456" spans="4:18" x14ac:dyDescent="0.2">
      <c r="D7456" t="s">
        <v>60</v>
      </c>
      <c r="E7456" t="s">
        <v>61</v>
      </c>
      <c r="F7456" t="s">
        <v>62</v>
      </c>
      <c r="G7456" t="s">
        <v>278</v>
      </c>
      <c r="H7456" t="s">
        <v>278</v>
      </c>
      <c r="I7456" t="s">
        <v>45</v>
      </c>
      <c r="J7456" t="s">
        <v>46</v>
      </c>
      <c r="K7456" t="s">
        <v>30</v>
      </c>
      <c r="L7456" t="s">
        <v>31</v>
      </c>
      <c r="M7456" t="s">
        <v>277</v>
      </c>
      <c r="N7456">
        <v>2065</v>
      </c>
      <c r="O7456">
        <v>3.6524183000000002E-2</v>
      </c>
      <c r="P7456">
        <v>2.4539657999999999E-2</v>
      </c>
      <c r="Q7456" t="str">
        <f t="shared" si="232"/>
        <v>50+</v>
      </c>
      <c r="R7456" t="str">
        <f t="shared" si="233"/>
        <v>[E7zpfyBt7Tw]|50+|Female|PLHIV_Attend.T2|CY2026Q3</v>
      </c>
    </row>
    <row r="7457" spans="4:18" x14ac:dyDescent="0.2">
      <c r="D7457" t="s">
        <v>60</v>
      </c>
      <c r="E7457" t="s">
        <v>61</v>
      </c>
      <c r="F7457" t="s">
        <v>62</v>
      </c>
      <c r="G7457" t="s">
        <v>278</v>
      </c>
      <c r="H7457" t="s">
        <v>278</v>
      </c>
      <c r="I7457" t="s">
        <v>28</v>
      </c>
      <c r="J7457" t="s">
        <v>29</v>
      </c>
      <c r="K7457" t="s">
        <v>48</v>
      </c>
      <c r="L7457" t="s">
        <v>49</v>
      </c>
      <c r="M7457" t="s">
        <v>277</v>
      </c>
      <c r="N7457">
        <v>5</v>
      </c>
      <c r="O7457">
        <v>2.9908069999999998E-2</v>
      </c>
      <c r="P7457">
        <v>2.4539657999999999E-2</v>
      </c>
      <c r="Q7457" t="str">
        <f t="shared" si="232"/>
        <v>&lt;01</v>
      </c>
      <c r="R7457" t="str">
        <f t="shared" si="233"/>
        <v>[E7zpfyBt7Tw]|&lt;01|Male|PLHIV_Attend.T2|CY2026Q3</v>
      </c>
    </row>
    <row r="7458" spans="4:18" x14ac:dyDescent="0.2">
      <c r="D7458" t="s">
        <v>60</v>
      </c>
      <c r="E7458" t="s">
        <v>61</v>
      </c>
      <c r="F7458" t="s">
        <v>62</v>
      </c>
      <c r="G7458" t="s">
        <v>278</v>
      </c>
      <c r="H7458" t="s">
        <v>278</v>
      </c>
      <c r="I7458" t="s">
        <v>33</v>
      </c>
      <c r="J7458" t="s">
        <v>34</v>
      </c>
      <c r="K7458" t="s">
        <v>48</v>
      </c>
      <c r="L7458" t="s">
        <v>49</v>
      </c>
      <c r="M7458" t="s">
        <v>277</v>
      </c>
      <c r="N7458">
        <v>92</v>
      </c>
      <c r="O7458">
        <v>3.5669555999999998E-2</v>
      </c>
      <c r="P7458">
        <v>2.4539657999999999E-2</v>
      </c>
      <c r="Q7458" t="str">
        <f t="shared" si="232"/>
        <v>01-09</v>
      </c>
      <c r="R7458" t="str">
        <f t="shared" si="233"/>
        <v>[E7zpfyBt7Tw]|01-09|Male|PLHIV_Attend.T2|CY2026Q3</v>
      </c>
    </row>
    <row r="7459" spans="4:18" x14ac:dyDescent="0.2">
      <c r="D7459" t="s">
        <v>60</v>
      </c>
      <c r="E7459" t="s">
        <v>61</v>
      </c>
      <c r="F7459" t="s">
        <v>62</v>
      </c>
      <c r="G7459" t="s">
        <v>278</v>
      </c>
      <c r="H7459" t="s">
        <v>278</v>
      </c>
      <c r="I7459" t="s">
        <v>36</v>
      </c>
      <c r="J7459" t="s">
        <v>37</v>
      </c>
      <c r="K7459" t="s">
        <v>48</v>
      </c>
      <c r="L7459" t="s">
        <v>49</v>
      </c>
      <c r="M7459" t="s">
        <v>277</v>
      </c>
      <c r="N7459">
        <v>128</v>
      </c>
      <c r="O7459">
        <v>4.8420457E-2</v>
      </c>
      <c r="P7459">
        <v>2.4539657999999999E-2</v>
      </c>
      <c r="Q7459" t="str">
        <f t="shared" si="232"/>
        <v>10-14</v>
      </c>
      <c r="R7459" t="str">
        <f t="shared" si="233"/>
        <v>[E7zpfyBt7Tw]|10-14|Male|PLHIV_Attend.T2|CY2026Q3</v>
      </c>
    </row>
    <row r="7460" spans="4:18" x14ac:dyDescent="0.2">
      <c r="D7460" t="s">
        <v>60</v>
      </c>
      <c r="E7460" t="s">
        <v>61</v>
      </c>
      <c r="F7460" t="s">
        <v>62</v>
      </c>
      <c r="G7460" t="s">
        <v>278</v>
      </c>
      <c r="H7460" t="s">
        <v>278</v>
      </c>
      <c r="I7460" t="s">
        <v>38</v>
      </c>
      <c r="J7460" t="s">
        <v>39</v>
      </c>
      <c r="K7460" t="s">
        <v>48</v>
      </c>
      <c r="L7460" t="s">
        <v>49</v>
      </c>
      <c r="M7460" t="s">
        <v>277</v>
      </c>
      <c r="N7460">
        <v>432</v>
      </c>
      <c r="O7460">
        <v>6.2629598999999994E-2</v>
      </c>
      <c r="P7460">
        <v>2.4539657999999999E-2</v>
      </c>
      <c r="Q7460" t="str">
        <f t="shared" si="232"/>
        <v>15-24</v>
      </c>
      <c r="R7460" t="str">
        <f t="shared" si="233"/>
        <v>[E7zpfyBt7Tw]|15-24|Male|PLHIV_Attend.T2|CY2026Q3</v>
      </c>
    </row>
    <row r="7461" spans="4:18" x14ac:dyDescent="0.2">
      <c r="D7461" t="s">
        <v>60</v>
      </c>
      <c r="E7461" t="s">
        <v>61</v>
      </c>
      <c r="F7461" t="s">
        <v>62</v>
      </c>
      <c r="G7461" t="s">
        <v>278</v>
      </c>
      <c r="H7461" t="s">
        <v>278</v>
      </c>
      <c r="I7461" t="s">
        <v>41</v>
      </c>
      <c r="J7461" t="s">
        <v>42</v>
      </c>
      <c r="K7461" t="s">
        <v>48</v>
      </c>
      <c r="L7461" t="s">
        <v>49</v>
      </c>
      <c r="M7461" t="s">
        <v>277</v>
      </c>
      <c r="N7461">
        <v>546</v>
      </c>
      <c r="O7461">
        <v>6.8091918000000001E-2</v>
      </c>
      <c r="P7461">
        <v>2.4539657999999999E-2</v>
      </c>
      <c r="Q7461" t="str">
        <f t="shared" si="232"/>
        <v>25-34</v>
      </c>
      <c r="R7461" t="str">
        <f t="shared" si="233"/>
        <v>[E7zpfyBt7Tw]|25-34|Male|PLHIV_Attend.T2|CY2026Q3</v>
      </c>
    </row>
    <row r="7462" spans="4:18" x14ac:dyDescent="0.2">
      <c r="D7462" t="s">
        <v>60</v>
      </c>
      <c r="E7462" t="s">
        <v>61</v>
      </c>
      <c r="F7462" t="s">
        <v>62</v>
      </c>
      <c r="G7462" t="s">
        <v>278</v>
      </c>
      <c r="H7462" t="s">
        <v>278</v>
      </c>
      <c r="I7462" t="s">
        <v>43</v>
      </c>
      <c r="J7462" t="s">
        <v>44</v>
      </c>
      <c r="K7462" t="s">
        <v>48</v>
      </c>
      <c r="L7462" t="s">
        <v>49</v>
      </c>
      <c r="M7462" t="s">
        <v>277</v>
      </c>
      <c r="N7462">
        <v>1927</v>
      </c>
      <c r="O7462">
        <v>4.0470223999999999E-2</v>
      </c>
      <c r="P7462">
        <v>2.4539657999999999E-2</v>
      </c>
      <c r="Q7462" t="str">
        <f t="shared" si="232"/>
        <v>35-49</v>
      </c>
      <c r="R7462" t="str">
        <f t="shared" si="233"/>
        <v>[E7zpfyBt7Tw]|35-49|Male|PLHIV_Attend.T2|CY2026Q3</v>
      </c>
    </row>
    <row r="7463" spans="4:18" x14ac:dyDescent="0.2">
      <c r="D7463" t="s">
        <v>60</v>
      </c>
      <c r="E7463" t="s">
        <v>61</v>
      </c>
      <c r="F7463" t="s">
        <v>62</v>
      </c>
      <c r="G7463" t="s">
        <v>278</v>
      </c>
      <c r="H7463" t="s">
        <v>278</v>
      </c>
      <c r="I7463" t="s">
        <v>45</v>
      </c>
      <c r="J7463" t="s">
        <v>46</v>
      </c>
      <c r="K7463" t="s">
        <v>48</v>
      </c>
      <c r="L7463" t="s">
        <v>49</v>
      </c>
      <c r="M7463" t="s">
        <v>277</v>
      </c>
      <c r="N7463">
        <v>1892</v>
      </c>
      <c r="O7463">
        <v>3.7093422000000001E-2</v>
      </c>
      <c r="P7463">
        <v>2.4539657999999999E-2</v>
      </c>
      <c r="Q7463" t="str">
        <f t="shared" si="232"/>
        <v>50+</v>
      </c>
      <c r="R7463" t="str">
        <f t="shared" si="233"/>
        <v>[E7zpfyBt7Tw]|50+|Male|PLHIV_Attend.T2|CY2026Q3</v>
      </c>
    </row>
    <row r="7464" spans="4:18" x14ac:dyDescent="0.2">
      <c r="D7464" t="s">
        <v>63</v>
      </c>
      <c r="E7464" t="s">
        <v>64</v>
      </c>
      <c r="F7464" t="s">
        <v>65</v>
      </c>
      <c r="G7464" t="s">
        <v>278</v>
      </c>
      <c r="H7464" t="s">
        <v>278</v>
      </c>
      <c r="I7464" t="s">
        <v>28</v>
      </c>
      <c r="J7464" t="s">
        <v>29</v>
      </c>
      <c r="K7464" t="s">
        <v>30</v>
      </c>
      <c r="L7464" t="s">
        <v>31</v>
      </c>
      <c r="M7464" t="s">
        <v>277</v>
      </c>
      <c r="N7464">
        <v>4</v>
      </c>
      <c r="O7464">
        <v>2.8913008E-2</v>
      </c>
      <c r="P7464">
        <v>2.2607888E-2</v>
      </c>
      <c r="Q7464" t="str">
        <f t="shared" si="232"/>
        <v>&lt;01</v>
      </c>
      <c r="R7464" t="str">
        <f t="shared" si="233"/>
        <v>[lPTyjLi4w3d]|&lt;01|Female|PLHIV_Attend.T2|CY2026Q3</v>
      </c>
    </row>
    <row r="7465" spans="4:18" x14ac:dyDescent="0.2">
      <c r="D7465" t="s">
        <v>63</v>
      </c>
      <c r="E7465" t="s">
        <v>64</v>
      </c>
      <c r="F7465" t="s">
        <v>65</v>
      </c>
      <c r="G7465" t="s">
        <v>278</v>
      </c>
      <c r="H7465" t="s">
        <v>278</v>
      </c>
      <c r="I7465" t="s">
        <v>33</v>
      </c>
      <c r="J7465" t="s">
        <v>34</v>
      </c>
      <c r="K7465" t="s">
        <v>30</v>
      </c>
      <c r="L7465" t="s">
        <v>31</v>
      </c>
      <c r="M7465" t="s">
        <v>277</v>
      </c>
      <c r="N7465">
        <v>70</v>
      </c>
      <c r="O7465">
        <v>3.5358516E-2</v>
      </c>
      <c r="P7465">
        <v>2.2607888E-2</v>
      </c>
      <c r="Q7465" t="str">
        <f t="shared" si="232"/>
        <v>01-09</v>
      </c>
      <c r="R7465" t="str">
        <f t="shared" si="233"/>
        <v>[lPTyjLi4w3d]|01-09|Female|PLHIV_Attend.T2|CY2026Q3</v>
      </c>
    </row>
    <row r="7466" spans="4:18" x14ac:dyDescent="0.2">
      <c r="D7466" t="s">
        <v>63</v>
      </c>
      <c r="E7466" t="s">
        <v>64</v>
      </c>
      <c r="F7466" t="s">
        <v>65</v>
      </c>
      <c r="G7466" t="s">
        <v>278</v>
      </c>
      <c r="H7466" t="s">
        <v>278</v>
      </c>
      <c r="I7466" t="s">
        <v>36</v>
      </c>
      <c r="J7466" t="s">
        <v>37</v>
      </c>
      <c r="K7466" t="s">
        <v>30</v>
      </c>
      <c r="L7466" t="s">
        <v>31</v>
      </c>
      <c r="M7466" t="s">
        <v>277</v>
      </c>
      <c r="N7466">
        <v>96</v>
      </c>
      <c r="O7466">
        <v>4.9702096000000001E-2</v>
      </c>
      <c r="P7466">
        <v>2.2607888E-2</v>
      </c>
      <c r="Q7466" t="str">
        <f t="shared" si="232"/>
        <v>10-14</v>
      </c>
      <c r="R7466" t="str">
        <f t="shared" si="233"/>
        <v>[lPTyjLi4w3d]|10-14|Female|PLHIV_Attend.T2|CY2026Q3</v>
      </c>
    </row>
    <row r="7467" spans="4:18" x14ac:dyDescent="0.2">
      <c r="D7467" t="s">
        <v>63</v>
      </c>
      <c r="E7467" t="s">
        <v>64</v>
      </c>
      <c r="F7467" t="s">
        <v>65</v>
      </c>
      <c r="G7467" t="s">
        <v>278</v>
      </c>
      <c r="H7467" t="s">
        <v>278</v>
      </c>
      <c r="I7467" t="s">
        <v>38</v>
      </c>
      <c r="J7467" t="s">
        <v>39</v>
      </c>
      <c r="K7467" t="s">
        <v>30</v>
      </c>
      <c r="L7467" t="s">
        <v>31</v>
      </c>
      <c r="M7467" t="s">
        <v>277</v>
      </c>
      <c r="N7467">
        <v>398</v>
      </c>
      <c r="O7467">
        <v>5.2892680999999997E-2</v>
      </c>
      <c r="P7467">
        <v>2.2607888E-2</v>
      </c>
      <c r="Q7467" t="str">
        <f t="shared" si="232"/>
        <v>15-24</v>
      </c>
      <c r="R7467" t="str">
        <f t="shared" si="233"/>
        <v>[lPTyjLi4w3d]|15-24|Female|PLHIV_Attend.T2|CY2026Q3</v>
      </c>
    </row>
    <row r="7468" spans="4:18" x14ac:dyDescent="0.2">
      <c r="D7468" t="s">
        <v>63</v>
      </c>
      <c r="E7468" t="s">
        <v>64</v>
      </c>
      <c r="F7468" t="s">
        <v>65</v>
      </c>
      <c r="G7468" t="s">
        <v>278</v>
      </c>
      <c r="H7468" t="s">
        <v>278</v>
      </c>
      <c r="I7468" t="s">
        <v>41</v>
      </c>
      <c r="J7468" t="s">
        <v>42</v>
      </c>
      <c r="K7468" t="s">
        <v>30</v>
      </c>
      <c r="L7468" t="s">
        <v>31</v>
      </c>
      <c r="M7468" t="s">
        <v>277</v>
      </c>
      <c r="N7468">
        <v>896</v>
      </c>
      <c r="O7468">
        <v>4.2837819999999999E-2</v>
      </c>
      <c r="P7468">
        <v>2.2607888E-2</v>
      </c>
      <c r="Q7468" t="str">
        <f t="shared" si="232"/>
        <v>25-34</v>
      </c>
      <c r="R7468" t="str">
        <f t="shared" si="233"/>
        <v>[lPTyjLi4w3d]|25-34|Female|PLHIV_Attend.T2|CY2026Q3</v>
      </c>
    </row>
    <row r="7469" spans="4:18" x14ac:dyDescent="0.2">
      <c r="D7469" t="s">
        <v>63</v>
      </c>
      <c r="E7469" t="s">
        <v>64</v>
      </c>
      <c r="F7469" t="s">
        <v>65</v>
      </c>
      <c r="G7469" t="s">
        <v>278</v>
      </c>
      <c r="H7469" t="s">
        <v>278</v>
      </c>
      <c r="I7469" t="s">
        <v>43</v>
      </c>
      <c r="J7469" t="s">
        <v>44</v>
      </c>
      <c r="K7469" t="s">
        <v>30</v>
      </c>
      <c r="L7469" t="s">
        <v>31</v>
      </c>
      <c r="M7469" t="s">
        <v>277</v>
      </c>
      <c r="N7469">
        <v>2655</v>
      </c>
      <c r="O7469">
        <v>2.8058762000000001E-2</v>
      </c>
      <c r="P7469">
        <v>2.2607888E-2</v>
      </c>
      <c r="Q7469" t="str">
        <f t="shared" si="232"/>
        <v>35-49</v>
      </c>
      <c r="R7469" t="str">
        <f t="shared" si="233"/>
        <v>[lPTyjLi4w3d]|35-49|Female|PLHIV_Attend.T2|CY2026Q3</v>
      </c>
    </row>
    <row r="7470" spans="4:18" x14ac:dyDescent="0.2">
      <c r="D7470" t="s">
        <v>63</v>
      </c>
      <c r="E7470" t="s">
        <v>64</v>
      </c>
      <c r="F7470" t="s">
        <v>65</v>
      </c>
      <c r="G7470" t="s">
        <v>278</v>
      </c>
      <c r="H7470" t="s">
        <v>278</v>
      </c>
      <c r="I7470" t="s">
        <v>45</v>
      </c>
      <c r="J7470" t="s">
        <v>46</v>
      </c>
      <c r="K7470" t="s">
        <v>30</v>
      </c>
      <c r="L7470" t="s">
        <v>31</v>
      </c>
      <c r="M7470" t="s">
        <v>277</v>
      </c>
      <c r="N7470">
        <v>1513</v>
      </c>
      <c r="O7470">
        <v>3.6957192999999999E-2</v>
      </c>
      <c r="P7470">
        <v>2.2607888E-2</v>
      </c>
      <c r="Q7470" t="str">
        <f t="shared" si="232"/>
        <v>50+</v>
      </c>
      <c r="R7470" t="str">
        <f t="shared" si="233"/>
        <v>[lPTyjLi4w3d]|50+|Female|PLHIV_Attend.T2|CY2026Q3</v>
      </c>
    </row>
    <row r="7471" spans="4:18" x14ac:dyDescent="0.2">
      <c r="D7471" t="s">
        <v>63</v>
      </c>
      <c r="E7471" t="s">
        <v>64</v>
      </c>
      <c r="F7471" t="s">
        <v>65</v>
      </c>
      <c r="G7471" t="s">
        <v>278</v>
      </c>
      <c r="H7471" t="s">
        <v>278</v>
      </c>
      <c r="I7471" t="s">
        <v>28</v>
      </c>
      <c r="J7471" t="s">
        <v>29</v>
      </c>
      <c r="K7471" t="s">
        <v>48</v>
      </c>
      <c r="L7471" t="s">
        <v>49</v>
      </c>
      <c r="M7471" t="s">
        <v>277</v>
      </c>
      <c r="N7471">
        <v>4</v>
      </c>
      <c r="O7471">
        <v>2.8982263000000001E-2</v>
      </c>
      <c r="P7471">
        <v>2.2607888E-2</v>
      </c>
      <c r="Q7471" t="str">
        <f t="shared" si="232"/>
        <v>&lt;01</v>
      </c>
      <c r="R7471" t="str">
        <f t="shared" si="233"/>
        <v>[lPTyjLi4w3d]|&lt;01|Male|PLHIV_Attend.T2|CY2026Q3</v>
      </c>
    </row>
    <row r="7472" spans="4:18" x14ac:dyDescent="0.2">
      <c r="D7472" t="s">
        <v>63</v>
      </c>
      <c r="E7472" t="s">
        <v>64</v>
      </c>
      <c r="F7472" t="s">
        <v>65</v>
      </c>
      <c r="G7472" t="s">
        <v>278</v>
      </c>
      <c r="H7472" t="s">
        <v>278</v>
      </c>
      <c r="I7472" t="s">
        <v>33</v>
      </c>
      <c r="J7472" t="s">
        <v>34</v>
      </c>
      <c r="K7472" t="s">
        <v>48</v>
      </c>
      <c r="L7472" t="s">
        <v>49</v>
      </c>
      <c r="M7472" t="s">
        <v>277</v>
      </c>
      <c r="N7472">
        <v>70</v>
      </c>
      <c r="O7472">
        <v>3.5406097999999997E-2</v>
      </c>
      <c r="P7472">
        <v>2.2607888E-2</v>
      </c>
      <c r="Q7472" t="str">
        <f t="shared" si="232"/>
        <v>01-09</v>
      </c>
      <c r="R7472" t="str">
        <f t="shared" si="233"/>
        <v>[lPTyjLi4w3d]|01-09|Male|PLHIV_Attend.T2|CY2026Q3</v>
      </c>
    </row>
    <row r="7473" spans="4:18" x14ac:dyDescent="0.2">
      <c r="D7473" t="s">
        <v>63</v>
      </c>
      <c r="E7473" t="s">
        <v>64</v>
      </c>
      <c r="F7473" t="s">
        <v>65</v>
      </c>
      <c r="G7473" t="s">
        <v>278</v>
      </c>
      <c r="H7473" t="s">
        <v>278</v>
      </c>
      <c r="I7473" t="s">
        <v>36</v>
      </c>
      <c r="J7473" t="s">
        <v>37</v>
      </c>
      <c r="K7473" t="s">
        <v>48</v>
      </c>
      <c r="L7473" t="s">
        <v>49</v>
      </c>
      <c r="M7473" t="s">
        <v>277</v>
      </c>
      <c r="N7473">
        <v>95</v>
      </c>
      <c r="O7473">
        <v>4.9696035E-2</v>
      </c>
      <c r="P7473">
        <v>2.2607888E-2</v>
      </c>
      <c r="Q7473" t="str">
        <f t="shared" si="232"/>
        <v>10-14</v>
      </c>
      <c r="R7473" t="str">
        <f t="shared" si="233"/>
        <v>[lPTyjLi4w3d]|10-14|Male|PLHIV_Attend.T2|CY2026Q3</v>
      </c>
    </row>
    <row r="7474" spans="4:18" x14ac:dyDescent="0.2">
      <c r="D7474" t="s">
        <v>63</v>
      </c>
      <c r="E7474" t="s">
        <v>64</v>
      </c>
      <c r="F7474" t="s">
        <v>65</v>
      </c>
      <c r="G7474" t="s">
        <v>278</v>
      </c>
      <c r="H7474" t="s">
        <v>278</v>
      </c>
      <c r="I7474" t="s">
        <v>38</v>
      </c>
      <c r="J7474" t="s">
        <v>39</v>
      </c>
      <c r="K7474" t="s">
        <v>48</v>
      </c>
      <c r="L7474" t="s">
        <v>49</v>
      </c>
      <c r="M7474" t="s">
        <v>277</v>
      </c>
      <c r="N7474">
        <v>305</v>
      </c>
      <c r="O7474">
        <v>6.1460204999999997E-2</v>
      </c>
      <c r="P7474">
        <v>2.2607888E-2</v>
      </c>
      <c r="Q7474" t="str">
        <f t="shared" si="232"/>
        <v>15-24</v>
      </c>
      <c r="R7474" t="str">
        <f t="shared" si="233"/>
        <v>[lPTyjLi4w3d]|15-24|Male|PLHIV_Attend.T2|CY2026Q3</v>
      </c>
    </row>
    <row r="7475" spans="4:18" x14ac:dyDescent="0.2">
      <c r="D7475" t="s">
        <v>63</v>
      </c>
      <c r="E7475" t="s">
        <v>64</v>
      </c>
      <c r="F7475" t="s">
        <v>65</v>
      </c>
      <c r="G7475" t="s">
        <v>278</v>
      </c>
      <c r="H7475" t="s">
        <v>278</v>
      </c>
      <c r="I7475" t="s">
        <v>41</v>
      </c>
      <c r="J7475" t="s">
        <v>42</v>
      </c>
      <c r="K7475" t="s">
        <v>48</v>
      </c>
      <c r="L7475" t="s">
        <v>49</v>
      </c>
      <c r="M7475" t="s">
        <v>277</v>
      </c>
      <c r="N7475">
        <v>398</v>
      </c>
      <c r="O7475">
        <v>6.7959439999999996E-2</v>
      </c>
      <c r="P7475">
        <v>2.2607888E-2</v>
      </c>
      <c r="Q7475" t="str">
        <f t="shared" si="232"/>
        <v>25-34</v>
      </c>
      <c r="R7475" t="str">
        <f t="shared" si="233"/>
        <v>[lPTyjLi4w3d]|25-34|Male|PLHIV_Attend.T2|CY2026Q3</v>
      </c>
    </row>
    <row r="7476" spans="4:18" x14ac:dyDescent="0.2">
      <c r="D7476" t="s">
        <v>63</v>
      </c>
      <c r="E7476" t="s">
        <v>64</v>
      </c>
      <c r="F7476" t="s">
        <v>65</v>
      </c>
      <c r="G7476" t="s">
        <v>278</v>
      </c>
      <c r="H7476" t="s">
        <v>278</v>
      </c>
      <c r="I7476" t="s">
        <v>43</v>
      </c>
      <c r="J7476" t="s">
        <v>44</v>
      </c>
      <c r="K7476" t="s">
        <v>48</v>
      </c>
      <c r="L7476" t="s">
        <v>49</v>
      </c>
      <c r="M7476" t="s">
        <v>277</v>
      </c>
      <c r="N7476">
        <v>1531</v>
      </c>
      <c r="O7476">
        <v>3.8021272000000002E-2</v>
      </c>
      <c r="P7476">
        <v>2.2607888E-2</v>
      </c>
      <c r="Q7476" t="str">
        <f t="shared" si="232"/>
        <v>35-49</v>
      </c>
      <c r="R7476" t="str">
        <f t="shared" si="233"/>
        <v>[lPTyjLi4w3d]|35-49|Male|PLHIV_Attend.T2|CY2026Q3</v>
      </c>
    </row>
    <row r="7477" spans="4:18" x14ac:dyDescent="0.2">
      <c r="D7477" t="s">
        <v>63</v>
      </c>
      <c r="E7477" t="s">
        <v>64</v>
      </c>
      <c r="F7477" t="s">
        <v>65</v>
      </c>
      <c r="G7477" t="s">
        <v>278</v>
      </c>
      <c r="H7477" t="s">
        <v>278</v>
      </c>
      <c r="I7477" t="s">
        <v>45</v>
      </c>
      <c r="J7477" t="s">
        <v>46</v>
      </c>
      <c r="K7477" t="s">
        <v>48</v>
      </c>
      <c r="L7477" t="s">
        <v>49</v>
      </c>
      <c r="M7477" t="s">
        <v>277</v>
      </c>
      <c r="N7477">
        <v>1454</v>
      </c>
      <c r="O7477">
        <v>3.6159205999999999E-2</v>
      </c>
      <c r="P7477">
        <v>2.2607888E-2</v>
      </c>
      <c r="Q7477" t="str">
        <f t="shared" si="232"/>
        <v>50+</v>
      </c>
      <c r="R7477" t="str">
        <f t="shared" si="233"/>
        <v>[lPTyjLi4w3d]|50+|Male|PLHIV_Attend.T2|CY2026Q3</v>
      </c>
    </row>
    <row r="7478" spans="4:18" x14ac:dyDescent="0.2">
      <c r="D7478" t="s">
        <v>66</v>
      </c>
      <c r="E7478" t="s">
        <v>67</v>
      </c>
      <c r="F7478" t="s">
        <v>68</v>
      </c>
      <c r="G7478" t="s">
        <v>278</v>
      </c>
      <c r="H7478" t="s">
        <v>278</v>
      </c>
      <c r="I7478" t="s">
        <v>28</v>
      </c>
      <c r="J7478" t="s">
        <v>29</v>
      </c>
      <c r="K7478" t="s">
        <v>30</v>
      </c>
      <c r="L7478" t="s">
        <v>31</v>
      </c>
      <c r="M7478" t="s">
        <v>277</v>
      </c>
      <c r="N7478">
        <v>22</v>
      </c>
      <c r="O7478">
        <v>1.9958956E-2</v>
      </c>
      <c r="P7478">
        <v>1.4746512999999999E-2</v>
      </c>
      <c r="Q7478" t="str">
        <f t="shared" si="232"/>
        <v>&lt;01</v>
      </c>
      <c r="R7478" t="str">
        <f t="shared" si="233"/>
        <v>[vA4NcHxfMBq]|&lt;01|Female|PLHIV_Attend.T2|CY2026Q3</v>
      </c>
    </row>
    <row r="7479" spans="4:18" x14ac:dyDescent="0.2">
      <c r="D7479" t="s">
        <v>66</v>
      </c>
      <c r="E7479" t="s">
        <v>67</v>
      </c>
      <c r="F7479" t="s">
        <v>68</v>
      </c>
      <c r="G7479" t="s">
        <v>278</v>
      </c>
      <c r="H7479" t="s">
        <v>278</v>
      </c>
      <c r="I7479" t="s">
        <v>33</v>
      </c>
      <c r="J7479" t="s">
        <v>34</v>
      </c>
      <c r="K7479" t="s">
        <v>30</v>
      </c>
      <c r="L7479" t="s">
        <v>31</v>
      </c>
      <c r="M7479" t="s">
        <v>277</v>
      </c>
      <c r="N7479">
        <v>373</v>
      </c>
      <c r="O7479">
        <v>2.5016581E-2</v>
      </c>
      <c r="P7479">
        <v>1.4746512999999999E-2</v>
      </c>
      <c r="Q7479" t="str">
        <f t="shared" si="232"/>
        <v>01-09</v>
      </c>
      <c r="R7479" t="str">
        <f t="shared" si="233"/>
        <v>[vA4NcHxfMBq]|01-09|Female|PLHIV_Attend.T2|CY2026Q3</v>
      </c>
    </row>
    <row r="7480" spans="4:18" x14ac:dyDescent="0.2">
      <c r="D7480" t="s">
        <v>66</v>
      </c>
      <c r="E7480" t="s">
        <v>67</v>
      </c>
      <c r="F7480" t="s">
        <v>68</v>
      </c>
      <c r="G7480" t="s">
        <v>278</v>
      </c>
      <c r="H7480" t="s">
        <v>278</v>
      </c>
      <c r="I7480" t="s">
        <v>36</v>
      </c>
      <c r="J7480" t="s">
        <v>37</v>
      </c>
      <c r="K7480" t="s">
        <v>30</v>
      </c>
      <c r="L7480" t="s">
        <v>31</v>
      </c>
      <c r="M7480" t="s">
        <v>277</v>
      </c>
      <c r="N7480">
        <v>491</v>
      </c>
      <c r="O7480">
        <v>3.6986009E-2</v>
      </c>
      <c r="P7480">
        <v>1.4746512999999999E-2</v>
      </c>
      <c r="Q7480" t="str">
        <f t="shared" si="232"/>
        <v>10-14</v>
      </c>
      <c r="R7480" t="str">
        <f t="shared" si="233"/>
        <v>[vA4NcHxfMBq]|10-14|Female|PLHIV_Attend.T2|CY2026Q3</v>
      </c>
    </row>
    <row r="7481" spans="4:18" x14ac:dyDescent="0.2">
      <c r="D7481" t="s">
        <v>66</v>
      </c>
      <c r="E7481" t="s">
        <v>67</v>
      </c>
      <c r="F7481" t="s">
        <v>68</v>
      </c>
      <c r="G7481" t="s">
        <v>278</v>
      </c>
      <c r="H7481" t="s">
        <v>278</v>
      </c>
      <c r="I7481" t="s">
        <v>38</v>
      </c>
      <c r="J7481" t="s">
        <v>39</v>
      </c>
      <c r="K7481" t="s">
        <v>30</v>
      </c>
      <c r="L7481" t="s">
        <v>31</v>
      </c>
      <c r="M7481" t="s">
        <v>277</v>
      </c>
      <c r="N7481">
        <v>2185</v>
      </c>
      <c r="O7481">
        <v>4.7793866999999997E-2</v>
      </c>
      <c r="P7481">
        <v>1.4746512999999999E-2</v>
      </c>
      <c r="Q7481" t="str">
        <f t="shared" si="232"/>
        <v>15-24</v>
      </c>
      <c r="R7481" t="str">
        <f t="shared" si="233"/>
        <v>[vA4NcHxfMBq]|15-24|Female|PLHIV_Attend.T2|CY2026Q3</v>
      </c>
    </row>
    <row r="7482" spans="4:18" x14ac:dyDescent="0.2">
      <c r="D7482" t="s">
        <v>66</v>
      </c>
      <c r="E7482" t="s">
        <v>67</v>
      </c>
      <c r="F7482" t="s">
        <v>68</v>
      </c>
      <c r="G7482" t="s">
        <v>278</v>
      </c>
      <c r="H7482" t="s">
        <v>278</v>
      </c>
      <c r="I7482" t="s">
        <v>41</v>
      </c>
      <c r="J7482" t="s">
        <v>42</v>
      </c>
      <c r="K7482" t="s">
        <v>30</v>
      </c>
      <c r="L7482" t="s">
        <v>31</v>
      </c>
      <c r="M7482" t="s">
        <v>277</v>
      </c>
      <c r="N7482">
        <v>5396</v>
      </c>
      <c r="O7482">
        <v>3.7415445999999998E-2</v>
      </c>
      <c r="P7482">
        <v>1.4746512999999999E-2</v>
      </c>
      <c r="Q7482" t="str">
        <f t="shared" si="232"/>
        <v>25-34</v>
      </c>
      <c r="R7482" t="str">
        <f t="shared" si="233"/>
        <v>[vA4NcHxfMBq]|25-34|Female|PLHIV_Attend.T2|CY2026Q3</v>
      </c>
    </row>
    <row r="7483" spans="4:18" x14ac:dyDescent="0.2">
      <c r="D7483" t="s">
        <v>66</v>
      </c>
      <c r="E7483" t="s">
        <v>67</v>
      </c>
      <c r="F7483" t="s">
        <v>68</v>
      </c>
      <c r="G7483" t="s">
        <v>278</v>
      </c>
      <c r="H7483" t="s">
        <v>278</v>
      </c>
      <c r="I7483" t="s">
        <v>43</v>
      </c>
      <c r="J7483" t="s">
        <v>44</v>
      </c>
      <c r="K7483" t="s">
        <v>30</v>
      </c>
      <c r="L7483" t="s">
        <v>31</v>
      </c>
      <c r="M7483" t="s">
        <v>277</v>
      </c>
      <c r="N7483">
        <v>15023</v>
      </c>
      <c r="O7483">
        <v>2.0553628000000001E-2</v>
      </c>
      <c r="P7483">
        <v>1.4746512999999999E-2</v>
      </c>
      <c r="Q7483" t="str">
        <f t="shared" si="232"/>
        <v>35-49</v>
      </c>
      <c r="R7483" t="str">
        <f t="shared" si="233"/>
        <v>[vA4NcHxfMBq]|35-49|Female|PLHIV_Attend.T2|CY2026Q3</v>
      </c>
    </row>
    <row r="7484" spans="4:18" x14ac:dyDescent="0.2">
      <c r="D7484" t="s">
        <v>66</v>
      </c>
      <c r="E7484" t="s">
        <v>67</v>
      </c>
      <c r="F7484" t="s">
        <v>68</v>
      </c>
      <c r="G7484" t="s">
        <v>278</v>
      </c>
      <c r="H7484" t="s">
        <v>278</v>
      </c>
      <c r="I7484" t="s">
        <v>45</v>
      </c>
      <c r="J7484" t="s">
        <v>46</v>
      </c>
      <c r="K7484" t="s">
        <v>30</v>
      </c>
      <c r="L7484" t="s">
        <v>31</v>
      </c>
      <c r="M7484" t="s">
        <v>277</v>
      </c>
      <c r="N7484">
        <v>7851</v>
      </c>
      <c r="O7484">
        <v>3.3050677000000001E-2</v>
      </c>
      <c r="P7484">
        <v>1.4746512999999999E-2</v>
      </c>
      <c r="Q7484" t="str">
        <f t="shared" si="232"/>
        <v>50+</v>
      </c>
      <c r="R7484" t="str">
        <f t="shared" si="233"/>
        <v>[vA4NcHxfMBq]|50+|Female|PLHIV_Attend.T2|CY2026Q3</v>
      </c>
    </row>
    <row r="7485" spans="4:18" x14ac:dyDescent="0.2">
      <c r="D7485" t="s">
        <v>66</v>
      </c>
      <c r="E7485" t="s">
        <v>67</v>
      </c>
      <c r="F7485" t="s">
        <v>68</v>
      </c>
      <c r="G7485" t="s">
        <v>278</v>
      </c>
      <c r="H7485" t="s">
        <v>278</v>
      </c>
      <c r="I7485" t="s">
        <v>28</v>
      </c>
      <c r="J7485" t="s">
        <v>29</v>
      </c>
      <c r="K7485" t="s">
        <v>48</v>
      </c>
      <c r="L7485" t="s">
        <v>49</v>
      </c>
      <c r="M7485" t="s">
        <v>277</v>
      </c>
      <c r="N7485">
        <v>23</v>
      </c>
      <c r="O7485">
        <v>1.9974092999999998E-2</v>
      </c>
      <c r="P7485">
        <v>1.4746512999999999E-2</v>
      </c>
      <c r="Q7485" t="str">
        <f t="shared" si="232"/>
        <v>&lt;01</v>
      </c>
      <c r="R7485" t="str">
        <f t="shared" si="233"/>
        <v>[vA4NcHxfMBq]|&lt;01|Male|PLHIV_Attend.T2|CY2026Q3</v>
      </c>
    </row>
    <row r="7486" spans="4:18" x14ac:dyDescent="0.2">
      <c r="D7486" t="s">
        <v>66</v>
      </c>
      <c r="E7486" t="s">
        <v>67</v>
      </c>
      <c r="F7486" t="s">
        <v>68</v>
      </c>
      <c r="G7486" t="s">
        <v>278</v>
      </c>
      <c r="H7486" t="s">
        <v>278</v>
      </c>
      <c r="I7486" t="s">
        <v>33</v>
      </c>
      <c r="J7486" t="s">
        <v>34</v>
      </c>
      <c r="K7486" t="s">
        <v>48</v>
      </c>
      <c r="L7486" t="s">
        <v>49</v>
      </c>
      <c r="M7486" t="s">
        <v>277</v>
      </c>
      <c r="N7486">
        <v>375</v>
      </c>
      <c r="O7486">
        <v>2.5022630000000001E-2</v>
      </c>
      <c r="P7486">
        <v>1.4746512999999999E-2</v>
      </c>
      <c r="Q7486" t="str">
        <f t="shared" si="232"/>
        <v>01-09</v>
      </c>
      <c r="R7486" t="str">
        <f t="shared" si="233"/>
        <v>[vA4NcHxfMBq]|01-09|Male|PLHIV_Attend.T2|CY2026Q3</v>
      </c>
    </row>
    <row r="7487" spans="4:18" x14ac:dyDescent="0.2">
      <c r="D7487" t="s">
        <v>66</v>
      </c>
      <c r="E7487" t="s">
        <v>67</v>
      </c>
      <c r="F7487" t="s">
        <v>68</v>
      </c>
      <c r="G7487" t="s">
        <v>278</v>
      </c>
      <c r="H7487" t="s">
        <v>278</v>
      </c>
      <c r="I7487" t="s">
        <v>36</v>
      </c>
      <c r="J7487" t="s">
        <v>37</v>
      </c>
      <c r="K7487" t="s">
        <v>48</v>
      </c>
      <c r="L7487" t="s">
        <v>49</v>
      </c>
      <c r="M7487" t="s">
        <v>277</v>
      </c>
      <c r="N7487">
        <v>481</v>
      </c>
      <c r="O7487">
        <v>3.7112337000000002E-2</v>
      </c>
      <c r="P7487">
        <v>1.4746512999999999E-2</v>
      </c>
      <c r="Q7487" t="str">
        <f t="shared" si="232"/>
        <v>10-14</v>
      </c>
      <c r="R7487" t="str">
        <f t="shared" si="233"/>
        <v>[vA4NcHxfMBq]|10-14|Male|PLHIV_Attend.T2|CY2026Q3</v>
      </c>
    </row>
    <row r="7488" spans="4:18" x14ac:dyDescent="0.2">
      <c r="D7488" t="s">
        <v>66</v>
      </c>
      <c r="E7488" t="s">
        <v>67</v>
      </c>
      <c r="F7488" t="s">
        <v>68</v>
      </c>
      <c r="G7488" t="s">
        <v>278</v>
      </c>
      <c r="H7488" t="s">
        <v>278</v>
      </c>
      <c r="I7488" t="s">
        <v>38</v>
      </c>
      <c r="J7488" t="s">
        <v>39</v>
      </c>
      <c r="K7488" t="s">
        <v>48</v>
      </c>
      <c r="L7488" t="s">
        <v>49</v>
      </c>
      <c r="M7488" t="s">
        <v>277</v>
      </c>
      <c r="N7488">
        <v>1543</v>
      </c>
      <c r="O7488">
        <v>5.6484044999999997E-2</v>
      </c>
      <c r="P7488">
        <v>1.4746512999999999E-2</v>
      </c>
      <c r="Q7488" t="str">
        <f t="shared" si="232"/>
        <v>15-24</v>
      </c>
      <c r="R7488" t="str">
        <f t="shared" si="233"/>
        <v>[vA4NcHxfMBq]|15-24|Male|PLHIV_Attend.T2|CY2026Q3</v>
      </c>
    </row>
    <row r="7489" spans="4:18" x14ac:dyDescent="0.2">
      <c r="D7489" t="s">
        <v>66</v>
      </c>
      <c r="E7489" t="s">
        <v>67</v>
      </c>
      <c r="F7489" t="s">
        <v>68</v>
      </c>
      <c r="G7489" t="s">
        <v>278</v>
      </c>
      <c r="H7489" t="s">
        <v>278</v>
      </c>
      <c r="I7489" t="s">
        <v>41</v>
      </c>
      <c r="J7489" t="s">
        <v>42</v>
      </c>
      <c r="K7489" t="s">
        <v>48</v>
      </c>
      <c r="L7489" t="s">
        <v>49</v>
      </c>
      <c r="M7489" t="s">
        <v>277</v>
      </c>
      <c r="N7489">
        <v>2237</v>
      </c>
      <c r="O7489">
        <v>6.3141804999999995E-2</v>
      </c>
      <c r="P7489">
        <v>1.4746512999999999E-2</v>
      </c>
      <c r="Q7489" t="str">
        <f t="shared" si="232"/>
        <v>25-34</v>
      </c>
      <c r="R7489" t="str">
        <f t="shared" si="233"/>
        <v>[vA4NcHxfMBq]|25-34|Male|PLHIV_Attend.T2|CY2026Q3</v>
      </c>
    </row>
    <row r="7490" spans="4:18" x14ac:dyDescent="0.2">
      <c r="D7490" t="s">
        <v>66</v>
      </c>
      <c r="E7490" t="s">
        <v>67</v>
      </c>
      <c r="F7490" t="s">
        <v>68</v>
      </c>
      <c r="G7490" t="s">
        <v>278</v>
      </c>
      <c r="H7490" t="s">
        <v>278</v>
      </c>
      <c r="I7490" t="s">
        <v>43</v>
      </c>
      <c r="J7490" t="s">
        <v>44</v>
      </c>
      <c r="K7490" t="s">
        <v>48</v>
      </c>
      <c r="L7490" t="s">
        <v>49</v>
      </c>
      <c r="M7490" t="s">
        <v>277</v>
      </c>
      <c r="N7490">
        <v>8306</v>
      </c>
      <c r="O7490">
        <v>3.2970879000000002E-2</v>
      </c>
      <c r="P7490">
        <v>1.4746512999999999E-2</v>
      </c>
      <c r="Q7490" t="str">
        <f t="shared" si="232"/>
        <v>35-49</v>
      </c>
      <c r="R7490" t="str">
        <f t="shared" si="233"/>
        <v>[vA4NcHxfMBq]|35-49|Male|PLHIV_Attend.T2|CY2026Q3</v>
      </c>
    </row>
    <row r="7491" spans="4:18" x14ac:dyDescent="0.2">
      <c r="D7491" t="s">
        <v>66</v>
      </c>
      <c r="E7491" t="s">
        <v>67</v>
      </c>
      <c r="F7491" t="s">
        <v>68</v>
      </c>
      <c r="G7491" t="s">
        <v>278</v>
      </c>
      <c r="H7491" t="s">
        <v>278</v>
      </c>
      <c r="I7491" t="s">
        <v>45</v>
      </c>
      <c r="J7491" t="s">
        <v>46</v>
      </c>
      <c r="K7491" t="s">
        <v>48</v>
      </c>
      <c r="L7491" t="s">
        <v>49</v>
      </c>
      <c r="M7491" t="s">
        <v>277</v>
      </c>
      <c r="N7491">
        <v>7232</v>
      </c>
      <c r="O7491">
        <v>3.1165095E-2</v>
      </c>
      <c r="P7491">
        <v>1.4746512999999999E-2</v>
      </c>
      <c r="Q7491" t="str">
        <f t="shared" ref="Q7491:Q7554" si="234">SUBSTITUTE(SUBSTITUTE($I7491,CHAR(61),""),CHAR(34),"")</f>
        <v>50+</v>
      </c>
      <c r="R7491" t="str">
        <f t="shared" ref="R7491:R7554" si="235">IF($D7491&lt;&gt;"","["&amp;$E7491&amp;"]"&amp;"|"&amp;$Q7491&amp;"|"&amp;$K7491&amp;"|"&amp;$G7491&amp;"|"&amp;IF($G7491="TX_CURR_SUBNAT.R","CY2023Q4",$M7491),"")</f>
        <v>[vA4NcHxfMBq]|50+|Male|PLHIV_Attend.T2|CY2026Q3</v>
      </c>
    </row>
    <row r="7492" spans="4:18" x14ac:dyDescent="0.2">
      <c r="D7492" t="s">
        <v>69</v>
      </c>
      <c r="E7492" t="s">
        <v>70</v>
      </c>
      <c r="F7492" t="s">
        <v>71</v>
      </c>
      <c r="G7492" t="s">
        <v>278</v>
      </c>
      <c r="H7492" t="s">
        <v>278</v>
      </c>
      <c r="I7492" t="s">
        <v>28</v>
      </c>
      <c r="J7492" t="s">
        <v>29</v>
      </c>
      <c r="K7492" t="s">
        <v>30</v>
      </c>
      <c r="L7492" t="s">
        <v>31</v>
      </c>
      <c r="M7492" t="s">
        <v>277</v>
      </c>
      <c r="N7492">
        <v>0</v>
      </c>
      <c r="O7492">
        <v>3.5252244000000002E-2</v>
      </c>
      <c r="P7492">
        <v>2.9993682000000001E-2</v>
      </c>
      <c r="Q7492" t="str">
        <f t="shared" si="234"/>
        <v>&lt;01</v>
      </c>
      <c r="R7492" t="str">
        <f t="shared" si="235"/>
        <v>[ZCjuwgaMB9u]|&lt;01|Female|PLHIV_Attend.T2|CY2026Q3</v>
      </c>
    </row>
    <row r="7493" spans="4:18" x14ac:dyDescent="0.2">
      <c r="D7493" t="s">
        <v>69</v>
      </c>
      <c r="E7493" t="s">
        <v>70</v>
      </c>
      <c r="F7493" t="s">
        <v>71</v>
      </c>
      <c r="G7493" t="s">
        <v>278</v>
      </c>
      <c r="H7493" t="s">
        <v>278</v>
      </c>
      <c r="I7493" t="s">
        <v>33</v>
      </c>
      <c r="J7493" t="s">
        <v>34</v>
      </c>
      <c r="K7493" t="s">
        <v>30</v>
      </c>
      <c r="L7493" t="s">
        <v>31</v>
      </c>
      <c r="M7493" t="s">
        <v>277</v>
      </c>
      <c r="N7493">
        <v>6</v>
      </c>
      <c r="O7493">
        <v>4.0346022000000002E-2</v>
      </c>
      <c r="P7493">
        <v>2.9993682000000001E-2</v>
      </c>
      <c r="Q7493" t="str">
        <f t="shared" si="234"/>
        <v>01-09</v>
      </c>
      <c r="R7493" t="str">
        <f t="shared" si="235"/>
        <v>[ZCjuwgaMB9u]|01-09|Female|PLHIV_Attend.T2|CY2026Q3</v>
      </c>
    </row>
    <row r="7494" spans="4:18" x14ac:dyDescent="0.2">
      <c r="D7494" t="s">
        <v>69</v>
      </c>
      <c r="E7494" t="s">
        <v>70</v>
      </c>
      <c r="F7494" t="s">
        <v>71</v>
      </c>
      <c r="G7494" t="s">
        <v>278</v>
      </c>
      <c r="H7494" t="s">
        <v>278</v>
      </c>
      <c r="I7494" t="s">
        <v>36</v>
      </c>
      <c r="J7494" t="s">
        <v>37</v>
      </c>
      <c r="K7494" t="s">
        <v>30</v>
      </c>
      <c r="L7494" t="s">
        <v>31</v>
      </c>
      <c r="M7494" t="s">
        <v>277</v>
      </c>
      <c r="N7494">
        <v>8</v>
      </c>
      <c r="O7494">
        <v>5.4295080000000003E-2</v>
      </c>
      <c r="P7494">
        <v>2.9993682000000001E-2</v>
      </c>
      <c r="Q7494" t="str">
        <f t="shared" si="234"/>
        <v>10-14</v>
      </c>
      <c r="R7494" t="str">
        <f t="shared" si="235"/>
        <v>[ZCjuwgaMB9u]|10-14|Female|PLHIV_Attend.T2|CY2026Q3</v>
      </c>
    </row>
    <row r="7495" spans="4:18" x14ac:dyDescent="0.2">
      <c r="D7495" t="s">
        <v>69</v>
      </c>
      <c r="E7495" t="s">
        <v>70</v>
      </c>
      <c r="F7495" t="s">
        <v>71</v>
      </c>
      <c r="G7495" t="s">
        <v>278</v>
      </c>
      <c r="H7495" t="s">
        <v>278</v>
      </c>
      <c r="I7495" t="s">
        <v>38</v>
      </c>
      <c r="J7495" t="s">
        <v>39</v>
      </c>
      <c r="K7495" t="s">
        <v>30</v>
      </c>
      <c r="L7495" t="s">
        <v>31</v>
      </c>
      <c r="M7495" t="s">
        <v>277</v>
      </c>
      <c r="N7495">
        <v>37</v>
      </c>
      <c r="O7495">
        <v>5.7393785000000003E-2</v>
      </c>
      <c r="P7495">
        <v>2.9993682000000001E-2</v>
      </c>
      <c r="Q7495" t="str">
        <f t="shared" si="234"/>
        <v>15-24</v>
      </c>
      <c r="R7495" t="str">
        <f t="shared" si="235"/>
        <v>[ZCjuwgaMB9u]|15-24|Female|PLHIV_Attend.T2|CY2026Q3</v>
      </c>
    </row>
    <row r="7496" spans="4:18" x14ac:dyDescent="0.2">
      <c r="D7496" t="s">
        <v>69</v>
      </c>
      <c r="E7496" t="s">
        <v>70</v>
      </c>
      <c r="F7496" t="s">
        <v>71</v>
      </c>
      <c r="G7496" t="s">
        <v>278</v>
      </c>
      <c r="H7496" t="s">
        <v>278</v>
      </c>
      <c r="I7496" t="s">
        <v>41</v>
      </c>
      <c r="J7496" t="s">
        <v>42</v>
      </c>
      <c r="K7496" t="s">
        <v>30</v>
      </c>
      <c r="L7496" t="s">
        <v>31</v>
      </c>
      <c r="M7496" t="s">
        <v>277</v>
      </c>
      <c r="N7496">
        <v>94</v>
      </c>
      <c r="O7496">
        <v>4.9228923000000001E-2</v>
      </c>
      <c r="P7496">
        <v>2.9993682000000001E-2</v>
      </c>
      <c r="Q7496" t="str">
        <f t="shared" si="234"/>
        <v>25-34</v>
      </c>
      <c r="R7496" t="str">
        <f t="shared" si="235"/>
        <v>[ZCjuwgaMB9u]|25-34|Female|PLHIV_Attend.T2|CY2026Q3</v>
      </c>
    </row>
    <row r="7497" spans="4:18" x14ac:dyDescent="0.2">
      <c r="D7497" t="s">
        <v>69</v>
      </c>
      <c r="E7497" t="s">
        <v>70</v>
      </c>
      <c r="F7497" t="s">
        <v>71</v>
      </c>
      <c r="G7497" t="s">
        <v>278</v>
      </c>
      <c r="H7497" t="s">
        <v>278</v>
      </c>
      <c r="I7497" t="s">
        <v>43</v>
      </c>
      <c r="J7497" t="s">
        <v>44</v>
      </c>
      <c r="K7497" t="s">
        <v>30</v>
      </c>
      <c r="L7497" t="s">
        <v>31</v>
      </c>
      <c r="M7497" t="s">
        <v>277</v>
      </c>
      <c r="N7497">
        <v>279</v>
      </c>
      <c r="O7497">
        <v>3.4112677000000001E-2</v>
      </c>
      <c r="P7497">
        <v>2.9993682000000001E-2</v>
      </c>
      <c r="Q7497" t="str">
        <f t="shared" si="234"/>
        <v>35-49</v>
      </c>
      <c r="R7497" t="str">
        <f t="shared" si="235"/>
        <v>[ZCjuwgaMB9u]|35-49|Female|PLHIV_Attend.T2|CY2026Q3</v>
      </c>
    </row>
    <row r="7498" spans="4:18" x14ac:dyDescent="0.2">
      <c r="D7498" t="s">
        <v>69</v>
      </c>
      <c r="E7498" t="s">
        <v>70</v>
      </c>
      <c r="F7498" t="s">
        <v>71</v>
      </c>
      <c r="G7498" t="s">
        <v>278</v>
      </c>
      <c r="H7498" t="s">
        <v>278</v>
      </c>
      <c r="I7498" t="s">
        <v>45</v>
      </c>
      <c r="J7498" t="s">
        <v>46</v>
      </c>
      <c r="K7498" t="s">
        <v>30</v>
      </c>
      <c r="L7498" t="s">
        <v>31</v>
      </c>
      <c r="M7498" t="s">
        <v>277</v>
      </c>
      <c r="N7498">
        <v>149</v>
      </c>
      <c r="O7498">
        <v>4.1239624000000003E-2</v>
      </c>
      <c r="P7498">
        <v>2.9993682000000001E-2</v>
      </c>
      <c r="Q7498" t="str">
        <f t="shared" si="234"/>
        <v>50+</v>
      </c>
      <c r="R7498" t="str">
        <f t="shared" si="235"/>
        <v>[ZCjuwgaMB9u]|50+|Female|PLHIV_Attend.T2|CY2026Q3</v>
      </c>
    </row>
    <row r="7499" spans="4:18" x14ac:dyDescent="0.2">
      <c r="D7499" t="s">
        <v>69</v>
      </c>
      <c r="E7499" t="s">
        <v>70</v>
      </c>
      <c r="F7499" t="s">
        <v>71</v>
      </c>
      <c r="G7499" t="s">
        <v>278</v>
      </c>
      <c r="H7499" t="s">
        <v>278</v>
      </c>
      <c r="I7499" t="s">
        <v>28</v>
      </c>
      <c r="J7499" t="s">
        <v>29</v>
      </c>
      <c r="K7499" t="s">
        <v>48</v>
      </c>
      <c r="L7499" t="s">
        <v>49</v>
      </c>
      <c r="M7499" t="s">
        <v>277</v>
      </c>
      <c r="N7499">
        <v>0</v>
      </c>
      <c r="O7499">
        <v>3.5317038000000002E-2</v>
      </c>
      <c r="P7499">
        <v>2.9993682000000001E-2</v>
      </c>
      <c r="Q7499" t="str">
        <f t="shared" si="234"/>
        <v>&lt;01</v>
      </c>
      <c r="R7499" t="str">
        <f t="shared" si="235"/>
        <v>[ZCjuwgaMB9u]|&lt;01|Male|PLHIV_Attend.T2|CY2026Q3</v>
      </c>
    </row>
    <row r="7500" spans="4:18" x14ac:dyDescent="0.2">
      <c r="D7500" t="s">
        <v>69</v>
      </c>
      <c r="E7500" t="s">
        <v>70</v>
      </c>
      <c r="F7500" t="s">
        <v>71</v>
      </c>
      <c r="G7500" t="s">
        <v>278</v>
      </c>
      <c r="H7500" t="s">
        <v>278</v>
      </c>
      <c r="I7500" t="s">
        <v>33</v>
      </c>
      <c r="J7500" t="s">
        <v>34</v>
      </c>
      <c r="K7500" t="s">
        <v>48</v>
      </c>
      <c r="L7500" t="s">
        <v>49</v>
      </c>
      <c r="M7500" t="s">
        <v>277</v>
      </c>
      <c r="N7500">
        <v>6</v>
      </c>
      <c r="O7500">
        <v>4.0465590000000003E-2</v>
      </c>
      <c r="P7500">
        <v>2.9993682000000001E-2</v>
      </c>
      <c r="Q7500" t="str">
        <f t="shared" si="234"/>
        <v>01-09</v>
      </c>
      <c r="R7500" t="str">
        <f t="shared" si="235"/>
        <v>[ZCjuwgaMB9u]|01-09|Male|PLHIV_Attend.T2|CY2026Q3</v>
      </c>
    </row>
    <row r="7501" spans="4:18" x14ac:dyDescent="0.2">
      <c r="D7501" t="s">
        <v>69</v>
      </c>
      <c r="E7501" t="s">
        <v>70</v>
      </c>
      <c r="F7501" t="s">
        <v>71</v>
      </c>
      <c r="G7501" t="s">
        <v>278</v>
      </c>
      <c r="H7501" t="s">
        <v>278</v>
      </c>
      <c r="I7501" t="s">
        <v>36</v>
      </c>
      <c r="J7501" t="s">
        <v>37</v>
      </c>
      <c r="K7501" t="s">
        <v>48</v>
      </c>
      <c r="L7501" t="s">
        <v>49</v>
      </c>
      <c r="M7501" t="s">
        <v>277</v>
      </c>
      <c r="N7501">
        <v>8</v>
      </c>
      <c r="O7501">
        <v>5.4256151000000002E-2</v>
      </c>
      <c r="P7501">
        <v>2.9993682000000001E-2</v>
      </c>
      <c r="Q7501" t="str">
        <f t="shared" si="234"/>
        <v>10-14</v>
      </c>
      <c r="R7501" t="str">
        <f t="shared" si="235"/>
        <v>[ZCjuwgaMB9u]|10-14|Male|PLHIV_Attend.T2|CY2026Q3</v>
      </c>
    </row>
    <row r="7502" spans="4:18" x14ac:dyDescent="0.2">
      <c r="D7502" t="s">
        <v>69</v>
      </c>
      <c r="E7502" t="s">
        <v>70</v>
      </c>
      <c r="F7502" t="s">
        <v>71</v>
      </c>
      <c r="G7502" t="s">
        <v>278</v>
      </c>
      <c r="H7502" t="s">
        <v>278</v>
      </c>
      <c r="I7502" t="s">
        <v>38</v>
      </c>
      <c r="J7502" t="s">
        <v>39</v>
      </c>
      <c r="K7502" t="s">
        <v>48</v>
      </c>
      <c r="L7502" t="s">
        <v>49</v>
      </c>
      <c r="M7502" t="s">
        <v>277</v>
      </c>
      <c r="N7502">
        <v>28</v>
      </c>
      <c r="O7502">
        <v>7.0184265999999995E-2</v>
      </c>
      <c r="P7502">
        <v>2.9993682000000001E-2</v>
      </c>
      <c r="Q7502" t="str">
        <f t="shared" si="234"/>
        <v>15-24</v>
      </c>
      <c r="R7502" t="str">
        <f t="shared" si="235"/>
        <v>[ZCjuwgaMB9u]|15-24|Male|PLHIV_Attend.T2|CY2026Q3</v>
      </c>
    </row>
    <row r="7503" spans="4:18" x14ac:dyDescent="0.2">
      <c r="D7503" t="s">
        <v>69</v>
      </c>
      <c r="E7503" t="s">
        <v>70</v>
      </c>
      <c r="F7503" t="s">
        <v>71</v>
      </c>
      <c r="G7503" t="s">
        <v>278</v>
      </c>
      <c r="H7503" t="s">
        <v>278</v>
      </c>
      <c r="I7503" t="s">
        <v>41</v>
      </c>
      <c r="J7503" t="s">
        <v>42</v>
      </c>
      <c r="K7503" t="s">
        <v>48</v>
      </c>
      <c r="L7503" t="s">
        <v>49</v>
      </c>
      <c r="M7503" t="s">
        <v>277</v>
      </c>
      <c r="N7503">
        <v>47</v>
      </c>
      <c r="O7503">
        <v>7.4379175000000006E-2</v>
      </c>
      <c r="P7503">
        <v>2.9993682000000001E-2</v>
      </c>
      <c r="Q7503" t="str">
        <f t="shared" si="234"/>
        <v>25-34</v>
      </c>
      <c r="R7503" t="str">
        <f t="shared" si="235"/>
        <v>[ZCjuwgaMB9u]|25-34|Male|PLHIV_Attend.T2|CY2026Q3</v>
      </c>
    </row>
    <row r="7504" spans="4:18" x14ac:dyDescent="0.2">
      <c r="D7504" t="s">
        <v>69</v>
      </c>
      <c r="E7504" t="s">
        <v>70</v>
      </c>
      <c r="F7504" t="s">
        <v>71</v>
      </c>
      <c r="G7504" t="s">
        <v>278</v>
      </c>
      <c r="H7504" t="s">
        <v>278</v>
      </c>
      <c r="I7504" t="s">
        <v>43</v>
      </c>
      <c r="J7504" t="s">
        <v>44</v>
      </c>
      <c r="K7504" t="s">
        <v>48</v>
      </c>
      <c r="L7504" t="s">
        <v>49</v>
      </c>
      <c r="M7504" t="s">
        <v>277</v>
      </c>
      <c r="N7504">
        <v>164</v>
      </c>
      <c r="O7504">
        <v>4.9745945E-2</v>
      </c>
      <c r="P7504">
        <v>2.9993682000000001E-2</v>
      </c>
      <c r="Q7504" t="str">
        <f t="shared" si="234"/>
        <v>35-49</v>
      </c>
      <c r="R7504" t="str">
        <f t="shared" si="235"/>
        <v>[ZCjuwgaMB9u]|35-49|Male|PLHIV_Attend.T2|CY2026Q3</v>
      </c>
    </row>
    <row r="7505" spans="4:18" x14ac:dyDescent="0.2">
      <c r="D7505" t="s">
        <v>69</v>
      </c>
      <c r="E7505" t="s">
        <v>70</v>
      </c>
      <c r="F7505" t="s">
        <v>71</v>
      </c>
      <c r="G7505" t="s">
        <v>278</v>
      </c>
      <c r="H7505" t="s">
        <v>278</v>
      </c>
      <c r="I7505" t="s">
        <v>45</v>
      </c>
      <c r="J7505" t="s">
        <v>46</v>
      </c>
      <c r="K7505" t="s">
        <v>48</v>
      </c>
      <c r="L7505" t="s">
        <v>49</v>
      </c>
      <c r="M7505" t="s">
        <v>277</v>
      </c>
      <c r="N7505">
        <v>127</v>
      </c>
      <c r="O7505">
        <v>4.4614254999999998E-2</v>
      </c>
      <c r="P7505">
        <v>2.9993682000000001E-2</v>
      </c>
      <c r="Q7505" t="str">
        <f t="shared" si="234"/>
        <v>50+</v>
      </c>
      <c r="R7505" t="str">
        <f t="shared" si="235"/>
        <v>[ZCjuwgaMB9u]|50+|Male|PLHIV_Attend.T2|CY2026Q3</v>
      </c>
    </row>
    <row r="7506" spans="4:18" x14ac:dyDescent="0.2">
      <c r="D7506" t="s">
        <v>72</v>
      </c>
      <c r="E7506" t="s">
        <v>73</v>
      </c>
      <c r="F7506" t="s">
        <v>74</v>
      </c>
      <c r="G7506" t="s">
        <v>278</v>
      </c>
      <c r="H7506" t="s">
        <v>278</v>
      </c>
      <c r="I7506" t="s">
        <v>28</v>
      </c>
      <c r="J7506" t="s">
        <v>29</v>
      </c>
      <c r="K7506" t="s">
        <v>30</v>
      </c>
      <c r="L7506" t="s">
        <v>31</v>
      </c>
      <c r="M7506" t="s">
        <v>277</v>
      </c>
      <c r="N7506">
        <v>9</v>
      </c>
      <c r="O7506">
        <v>2.2957093000000001E-2</v>
      </c>
      <c r="P7506">
        <v>1.6837193E-2</v>
      </c>
      <c r="Q7506" t="str">
        <f t="shared" si="234"/>
        <v>&lt;01</v>
      </c>
      <c r="R7506" t="str">
        <f t="shared" si="235"/>
        <v>[JQKLKuVuY61]|&lt;01|Female|PLHIV_Attend.T2|CY2026Q3</v>
      </c>
    </row>
    <row r="7507" spans="4:18" x14ac:dyDescent="0.2">
      <c r="D7507" t="s">
        <v>72</v>
      </c>
      <c r="E7507" t="s">
        <v>73</v>
      </c>
      <c r="F7507" t="s">
        <v>74</v>
      </c>
      <c r="G7507" t="s">
        <v>278</v>
      </c>
      <c r="H7507" t="s">
        <v>278</v>
      </c>
      <c r="I7507" t="s">
        <v>33</v>
      </c>
      <c r="J7507" t="s">
        <v>34</v>
      </c>
      <c r="K7507" t="s">
        <v>30</v>
      </c>
      <c r="L7507" t="s">
        <v>31</v>
      </c>
      <c r="M7507" t="s">
        <v>277</v>
      </c>
      <c r="N7507">
        <v>162</v>
      </c>
      <c r="O7507">
        <v>2.8090648999999999E-2</v>
      </c>
      <c r="P7507">
        <v>1.6837193E-2</v>
      </c>
      <c r="Q7507" t="str">
        <f t="shared" si="234"/>
        <v>01-09</v>
      </c>
      <c r="R7507" t="str">
        <f t="shared" si="235"/>
        <v>[JQKLKuVuY61]|01-09|Female|PLHIV_Attend.T2|CY2026Q3</v>
      </c>
    </row>
    <row r="7508" spans="4:18" x14ac:dyDescent="0.2">
      <c r="D7508" t="s">
        <v>72</v>
      </c>
      <c r="E7508" t="s">
        <v>73</v>
      </c>
      <c r="F7508" t="s">
        <v>74</v>
      </c>
      <c r="G7508" t="s">
        <v>278</v>
      </c>
      <c r="H7508" t="s">
        <v>278</v>
      </c>
      <c r="I7508" t="s">
        <v>36</v>
      </c>
      <c r="J7508" t="s">
        <v>37</v>
      </c>
      <c r="K7508" t="s">
        <v>30</v>
      </c>
      <c r="L7508" t="s">
        <v>31</v>
      </c>
      <c r="M7508" t="s">
        <v>277</v>
      </c>
      <c r="N7508">
        <v>227</v>
      </c>
      <c r="O7508">
        <v>3.9604153000000003E-2</v>
      </c>
      <c r="P7508">
        <v>1.6837193E-2</v>
      </c>
      <c r="Q7508" t="str">
        <f t="shared" si="234"/>
        <v>10-14</v>
      </c>
      <c r="R7508" t="str">
        <f t="shared" si="235"/>
        <v>[JQKLKuVuY61]|10-14|Female|PLHIV_Attend.T2|CY2026Q3</v>
      </c>
    </row>
    <row r="7509" spans="4:18" x14ac:dyDescent="0.2">
      <c r="D7509" t="s">
        <v>72</v>
      </c>
      <c r="E7509" t="s">
        <v>73</v>
      </c>
      <c r="F7509" t="s">
        <v>74</v>
      </c>
      <c r="G7509" t="s">
        <v>278</v>
      </c>
      <c r="H7509" t="s">
        <v>278</v>
      </c>
      <c r="I7509" t="s">
        <v>38</v>
      </c>
      <c r="J7509" t="s">
        <v>39</v>
      </c>
      <c r="K7509" t="s">
        <v>30</v>
      </c>
      <c r="L7509" t="s">
        <v>31</v>
      </c>
      <c r="M7509" t="s">
        <v>277</v>
      </c>
      <c r="N7509">
        <v>897</v>
      </c>
      <c r="O7509">
        <v>4.8795323000000002E-2</v>
      </c>
      <c r="P7509">
        <v>1.6837193E-2</v>
      </c>
      <c r="Q7509" t="str">
        <f t="shared" si="234"/>
        <v>15-24</v>
      </c>
      <c r="R7509" t="str">
        <f t="shared" si="235"/>
        <v>[JQKLKuVuY61]|15-24|Female|PLHIV_Attend.T2|CY2026Q3</v>
      </c>
    </row>
    <row r="7510" spans="4:18" x14ac:dyDescent="0.2">
      <c r="D7510" t="s">
        <v>72</v>
      </c>
      <c r="E7510" t="s">
        <v>73</v>
      </c>
      <c r="F7510" t="s">
        <v>74</v>
      </c>
      <c r="G7510" t="s">
        <v>278</v>
      </c>
      <c r="H7510" t="s">
        <v>278</v>
      </c>
      <c r="I7510" t="s">
        <v>41</v>
      </c>
      <c r="J7510" t="s">
        <v>42</v>
      </c>
      <c r="K7510" t="s">
        <v>30</v>
      </c>
      <c r="L7510" t="s">
        <v>31</v>
      </c>
      <c r="M7510" t="s">
        <v>277</v>
      </c>
      <c r="N7510">
        <v>1992</v>
      </c>
      <c r="O7510">
        <v>4.0627017000000001E-2</v>
      </c>
      <c r="P7510">
        <v>1.6837193E-2</v>
      </c>
      <c r="Q7510" t="str">
        <f t="shared" si="234"/>
        <v>25-34</v>
      </c>
      <c r="R7510" t="str">
        <f t="shared" si="235"/>
        <v>[JQKLKuVuY61]|25-34|Female|PLHIV_Attend.T2|CY2026Q3</v>
      </c>
    </row>
    <row r="7511" spans="4:18" x14ac:dyDescent="0.2">
      <c r="D7511" t="s">
        <v>72</v>
      </c>
      <c r="E7511" t="s">
        <v>73</v>
      </c>
      <c r="F7511" t="s">
        <v>74</v>
      </c>
      <c r="G7511" t="s">
        <v>278</v>
      </c>
      <c r="H7511" t="s">
        <v>278</v>
      </c>
      <c r="I7511" t="s">
        <v>43</v>
      </c>
      <c r="J7511" t="s">
        <v>44</v>
      </c>
      <c r="K7511" t="s">
        <v>30</v>
      </c>
      <c r="L7511" t="s">
        <v>31</v>
      </c>
      <c r="M7511" t="s">
        <v>277</v>
      </c>
      <c r="N7511">
        <v>6187</v>
      </c>
      <c r="O7511">
        <v>2.3105115999999998E-2</v>
      </c>
      <c r="P7511">
        <v>1.6837193E-2</v>
      </c>
      <c r="Q7511" t="str">
        <f t="shared" si="234"/>
        <v>35-49</v>
      </c>
      <c r="R7511" t="str">
        <f t="shared" si="235"/>
        <v>[JQKLKuVuY61]|35-49|Female|PLHIV_Attend.T2|CY2026Q3</v>
      </c>
    </row>
    <row r="7512" spans="4:18" x14ac:dyDescent="0.2">
      <c r="D7512" t="s">
        <v>72</v>
      </c>
      <c r="E7512" t="s">
        <v>73</v>
      </c>
      <c r="F7512" t="s">
        <v>74</v>
      </c>
      <c r="G7512" t="s">
        <v>278</v>
      </c>
      <c r="H7512" t="s">
        <v>278</v>
      </c>
      <c r="I7512" t="s">
        <v>45</v>
      </c>
      <c r="J7512" t="s">
        <v>46</v>
      </c>
      <c r="K7512" t="s">
        <v>30</v>
      </c>
      <c r="L7512" t="s">
        <v>31</v>
      </c>
      <c r="M7512" t="s">
        <v>277</v>
      </c>
      <c r="N7512">
        <v>3439</v>
      </c>
      <c r="O7512">
        <v>3.5006800999999997E-2</v>
      </c>
      <c r="P7512">
        <v>1.6837193E-2</v>
      </c>
      <c r="Q7512" t="str">
        <f t="shared" si="234"/>
        <v>50+</v>
      </c>
      <c r="R7512" t="str">
        <f t="shared" si="235"/>
        <v>[JQKLKuVuY61]|50+|Female|PLHIV_Attend.T2|CY2026Q3</v>
      </c>
    </row>
    <row r="7513" spans="4:18" x14ac:dyDescent="0.2">
      <c r="D7513" t="s">
        <v>72</v>
      </c>
      <c r="E7513" t="s">
        <v>73</v>
      </c>
      <c r="F7513" t="s">
        <v>74</v>
      </c>
      <c r="G7513" t="s">
        <v>278</v>
      </c>
      <c r="H7513" t="s">
        <v>278</v>
      </c>
      <c r="I7513" t="s">
        <v>28</v>
      </c>
      <c r="J7513" t="s">
        <v>29</v>
      </c>
      <c r="K7513" t="s">
        <v>48</v>
      </c>
      <c r="L7513" t="s">
        <v>49</v>
      </c>
      <c r="M7513" t="s">
        <v>277</v>
      </c>
      <c r="N7513">
        <v>9</v>
      </c>
      <c r="O7513">
        <v>2.2942139E-2</v>
      </c>
      <c r="P7513">
        <v>1.6837193E-2</v>
      </c>
      <c r="Q7513" t="str">
        <f t="shared" si="234"/>
        <v>&lt;01</v>
      </c>
      <c r="R7513" t="str">
        <f t="shared" si="235"/>
        <v>[JQKLKuVuY61]|&lt;01|Male|PLHIV_Attend.T2|CY2026Q3</v>
      </c>
    </row>
    <row r="7514" spans="4:18" x14ac:dyDescent="0.2">
      <c r="D7514" t="s">
        <v>72</v>
      </c>
      <c r="E7514" t="s">
        <v>73</v>
      </c>
      <c r="F7514" t="s">
        <v>74</v>
      </c>
      <c r="G7514" t="s">
        <v>278</v>
      </c>
      <c r="H7514" t="s">
        <v>278</v>
      </c>
      <c r="I7514" t="s">
        <v>33</v>
      </c>
      <c r="J7514" t="s">
        <v>34</v>
      </c>
      <c r="K7514" t="s">
        <v>48</v>
      </c>
      <c r="L7514" t="s">
        <v>49</v>
      </c>
      <c r="M7514" t="s">
        <v>277</v>
      </c>
      <c r="N7514">
        <v>163</v>
      </c>
      <c r="O7514">
        <v>2.8060196999999999E-2</v>
      </c>
      <c r="P7514">
        <v>1.6837193E-2</v>
      </c>
      <c r="Q7514" t="str">
        <f t="shared" si="234"/>
        <v>01-09</v>
      </c>
      <c r="R7514" t="str">
        <f t="shared" si="235"/>
        <v>[JQKLKuVuY61]|01-09|Male|PLHIV_Attend.T2|CY2026Q3</v>
      </c>
    </row>
    <row r="7515" spans="4:18" x14ac:dyDescent="0.2">
      <c r="D7515" t="s">
        <v>72</v>
      </c>
      <c r="E7515" t="s">
        <v>73</v>
      </c>
      <c r="F7515" t="s">
        <v>74</v>
      </c>
      <c r="G7515" t="s">
        <v>278</v>
      </c>
      <c r="H7515" t="s">
        <v>278</v>
      </c>
      <c r="I7515" t="s">
        <v>36</v>
      </c>
      <c r="J7515" t="s">
        <v>37</v>
      </c>
      <c r="K7515" t="s">
        <v>48</v>
      </c>
      <c r="L7515" t="s">
        <v>49</v>
      </c>
      <c r="M7515" t="s">
        <v>277</v>
      </c>
      <c r="N7515">
        <v>226</v>
      </c>
      <c r="O7515">
        <v>3.9604725E-2</v>
      </c>
      <c r="P7515">
        <v>1.6837193E-2</v>
      </c>
      <c r="Q7515" t="str">
        <f t="shared" si="234"/>
        <v>10-14</v>
      </c>
      <c r="R7515" t="str">
        <f t="shared" si="235"/>
        <v>[JQKLKuVuY61]|10-14|Male|PLHIV_Attend.T2|CY2026Q3</v>
      </c>
    </row>
    <row r="7516" spans="4:18" x14ac:dyDescent="0.2">
      <c r="D7516" t="s">
        <v>72</v>
      </c>
      <c r="E7516" t="s">
        <v>73</v>
      </c>
      <c r="F7516" t="s">
        <v>74</v>
      </c>
      <c r="G7516" t="s">
        <v>278</v>
      </c>
      <c r="H7516" t="s">
        <v>278</v>
      </c>
      <c r="I7516" t="s">
        <v>38</v>
      </c>
      <c r="J7516" t="s">
        <v>39</v>
      </c>
      <c r="K7516" t="s">
        <v>48</v>
      </c>
      <c r="L7516" t="s">
        <v>49</v>
      </c>
      <c r="M7516" t="s">
        <v>277</v>
      </c>
      <c r="N7516">
        <v>669</v>
      </c>
      <c r="O7516">
        <v>5.3690549999999997E-2</v>
      </c>
      <c r="P7516">
        <v>1.6837193E-2</v>
      </c>
      <c r="Q7516" t="str">
        <f t="shared" si="234"/>
        <v>15-24</v>
      </c>
      <c r="R7516" t="str">
        <f t="shared" si="235"/>
        <v>[JQKLKuVuY61]|15-24|Male|PLHIV_Attend.T2|CY2026Q3</v>
      </c>
    </row>
    <row r="7517" spans="4:18" x14ac:dyDescent="0.2">
      <c r="D7517" t="s">
        <v>72</v>
      </c>
      <c r="E7517" t="s">
        <v>73</v>
      </c>
      <c r="F7517" t="s">
        <v>74</v>
      </c>
      <c r="G7517" t="s">
        <v>278</v>
      </c>
      <c r="H7517" t="s">
        <v>278</v>
      </c>
      <c r="I7517" t="s">
        <v>41</v>
      </c>
      <c r="J7517" t="s">
        <v>42</v>
      </c>
      <c r="K7517" t="s">
        <v>48</v>
      </c>
      <c r="L7517" t="s">
        <v>49</v>
      </c>
      <c r="M7517" t="s">
        <v>277</v>
      </c>
      <c r="N7517">
        <v>818</v>
      </c>
      <c r="O7517">
        <v>6.5353813999999996E-2</v>
      </c>
      <c r="P7517">
        <v>1.6837193E-2</v>
      </c>
      <c r="Q7517" t="str">
        <f t="shared" si="234"/>
        <v>25-34</v>
      </c>
      <c r="R7517" t="str">
        <f t="shared" si="235"/>
        <v>[JQKLKuVuY61]|25-34|Male|PLHIV_Attend.T2|CY2026Q3</v>
      </c>
    </row>
    <row r="7518" spans="4:18" x14ac:dyDescent="0.2">
      <c r="D7518" t="s">
        <v>72</v>
      </c>
      <c r="E7518" t="s">
        <v>73</v>
      </c>
      <c r="F7518" t="s">
        <v>74</v>
      </c>
      <c r="G7518" t="s">
        <v>278</v>
      </c>
      <c r="H7518" t="s">
        <v>278</v>
      </c>
      <c r="I7518" t="s">
        <v>43</v>
      </c>
      <c r="J7518" t="s">
        <v>44</v>
      </c>
      <c r="K7518" t="s">
        <v>48</v>
      </c>
      <c r="L7518" t="s">
        <v>49</v>
      </c>
      <c r="M7518" t="s">
        <v>277</v>
      </c>
      <c r="N7518">
        <v>3171</v>
      </c>
      <c r="O7518">
        <v>3.7061507E-2</v>
      </c>
      <c r="P7518">
        <v>1.6837193E-2</v>
      </c>
      <c r="Q7518" t="str">
        <f t="shared" si="234"/>
        <v>35-49</v>
      </c>
      <c r="R7518" t="str">
        <f t="shared" si="235"/>
        <v>[JQKLKuVuY61]|35-49|Male|PLHIV_Attend.T2|CY2026Q3</v>
      </c>
    </row>
    <row r="7519" spans="4:18" x14ac:dyDescent="0.2">
      <c r="D7519" t="s">
        <v>72</v>
      </c>
      <c r="E7519" t="s">
        <v>73</v>
      </c>
      <c r="F7519" t="s">
        <v>74</v>
      </c>
      <c r="G7519" t="s">
        <v>278</v>
      </c>
      <c r="H7519" t="s">
        <v>278</v>
      </c>
      <c r="I7519" t="s">
        <v>45</v>
      </c>
      <c r="J7519" t="s">
        <v>46</v>
      </c>
      <c r="K7519" t="s">
        <v>48</v>
      </c>
      <c r="L7519" t="s">
        <v>49</v>
      </c>
      <c r="M7519" t="s">
        <v>277</v>
      </c>
      <c r="N7519">
        <v>3075</v>
      </c>
      <c r="O7519">
        <v>3.2553341E-2</v>
      </c>
      <c r="P7519">
        <v>1.6837193E-2</v>
      </c>
      <c r="Q7519" t="str">
        <f t="shared" si="234"/>
        <v>50+</v>
      </c>
      <c r="R7519" t="str">
        <f t="shared" si="235"/>
        <v>[JQKLKuVuY61]|50+|Male|PLHIV_Attend.T2|CY2026Q3</v>
      </c>
    </row>
    <row r="7520" spans="4:18" x14ac:dyDescent="0.2">
      <c r="D7520" t="s">
        <v>75</v>
      </c>
      <c r="E7520" t="s">
        <v>76</v>
      </c>
      <c r="F7520" t="s">
        <v>77</v>
      </c>
      <c r="G7520" t="s">
        <v>278</v>
      </c>
      <c r="H7520" t="s">
        <v>278</v>
      </c>
      <c r="I7520" t="s">
        <v>28</v>
      </c>
      <c r="J7520" t="s">
        <v>29</v>
      </c>
      <c r="K7520" t="s">
        <v>30</v>
      </c>
      <c r="L7520" t="s">
        <v>31</v>
      </c>
      <c r="M7520" t="s">
        <v>277</v>
      </c>
      <c r="N7520">
        <v>7</v>
      </c>
      <c r="O7520">
        <v>2.6150435999999999E-2</v>
      </c>
      <c r="P7520">
        <v>2.1109855E-2</v>
      </c>
      <c r="Q7520" t="str">
        <f t="shared" si="234"/>
        <v>&lt;01</v>
      </c>
      <c r="R7520" t="str">
        <f t="shared" si="235"/>
        <v>[YCKiBAp8QAg]|&lt;01|Female|PLHIV_Attend.T2|CY2026Q3</v>
      </c>
    </row>
    <row r="7521" spans="4:18" x14ac:dyDescent="0.2">
      <c r="D7521" t="s">
        <v>75</v>
      </c>
      <c r="E7521" t="s">
        <v>76</v>
      </c>
      <c r="F7521" t="s">
        <v>77</v>
      </c>
      <c r="G7521" t="s">
        <v>278</v>
      </c>
      <c r="H7521" t="s">
        <v>278</v>
      </c>
      <c r="I7521" t="s">
        <v>33</v>
      </c>
      <c r="J7521" t="s">
        <v>34</v>
      </c>
      <c r="K7521" t="s">
        <v>30</v>
      </c>
      <c r="L7521" t="s">
        <v>31</v>
      </c>
      <c r="M7521" t="s">
        <v>277</v>
      </c>
      <c r="N7521">
        <v>124</v>
      </c>
      <c r="O7521">
        <v>3.1960653999999998E-2</v>
      </c>
      <c r="P7521">
        <v>2.1109855E-2</v>
      </c>
      <c r="Q7521" t="str">
        <f t="shared" si="234"/>
        <v>01-09</v>
      </c>
      <c r="R7521" t="str">
        <f t="shared" si="235"/>
        <v>[YCKiBAp8QAg]|01-09|Female|PLHIV_Attend.T2|CY2026Q3</v>
      </c>
    </row>
    <row r="7522" spans="4:18" x14ac:dyDescent="0.2">
      <c r="D7522" t="s">
        <v>75</v>
      </c>
      <c r="E7522" t="s">
        <v>76</v>
      </c>
      <c r="F7522" t="s">
        <v>77</v>
      </c>
      <c r="G7522" t="s">
        <v>278</v>
      </c>
      <c r="H7522" t="s">
        <v>278</v>
      </c>
      <c r="I7522" t="s">
        <v>36</v>
      </c>
      <c r="J7522" t="s">
        <v>37</v>
      </c>
      <c r="K7522" t="s">
        <v>30</v>
      </c>
      <c r="L7522" t="s">
        <v>31</v>
      </c>
      <c r="M7522" t="s">
        <v>277</v>
      </c>
      <c r="N7522">
        <v>171</v>
      </c>
      <c r="O7522">
        <v>4.4467714999999998E-2</v>
      </c>
      <c r="P7522">
        <v>2.1109855E-2</v>
      </c>
      <c r="Q7522" t="str">
        <f t="shared" si="234"/>
        <v>10-14</v>
      </c>
      <c r="R7522" t="str">
        <f t="shared" si="235"/>
        <v>[YCKiBAp8QAg]|10-14|Female|PLHIV_Attend.T2|CY2026Q3</v>
      </c>
    </row>
    <row r="7523" spans="4:18" x14ac:dyDescent="0.2">
      <c r="D7523" t="s">
        <v>75</v>
      </c>
      <c r="E7523" t="s">
        <v>76</v>
      </c>
      <c r="F7523" t="s">
        <v>77</v>
      </c>
      <c r="G7523" t="s">
        <v>278</v>
      </c>
      <c r="H7523" t="s">
        <v>278</v>
      </c>
      <c r="I7523" t="s">
        <v>38</v>
      </c>
      <c r="J7523" t="s">
        <v>39</v>
      </c>
      <c r="K7523" t="s">
        <v>30</v>
      </c>
      <c r="L7523" t="s">
        <v>31</v>
      </c>
      <c r="M7523" t="s">
        <v>277</v>
      </c>
      <c r="N7523">
        <v>692</v>
      </c>
      <c r="O7523">
        <v>5.1457129999999997E-2</v>
      </c>
      <c r="P7523">
        <v>2.1109855E-2</v>
      </c>
      <c r="Q7523" t="str">
        <f t="shared" si="234"/>
        <v>15-24</v>
      </c>
      <c r="R7523" t="str">
        <f t="shared" si="235"/>
        <v>[YCKiBAp8QAg]|15-24|Female|PLHIV_Attend.T2|CY2026Q3</v>
      </c>
    </row>
    <row r="7524" spans="4:18" x14ac:dyDescent="0.2">
      <c r="D7524" t="s">
        <v>75</v>
      </c>
      <c r="E7524" t="s">
        <v>76</v>
      </c>
      <c r="F7524" t="s">
        <v>77</v>
      </c>
      <c r="G7524" t="s">
        <v>278</v>
      </c>
      <c r="H7524" t="s">
        <v>278</v>
      </c>
      <c r="I7524" t="s">
        <v>41</v>
      </c>
      <c r="J7524" t="s">
        <v>42</v>
      </c>
      <c r="K7524" t="s">
        <v>30</v>
      </c>
      <c r="L7524" t="s">
        <v>31</v>
      </c>
      <c r="M7524" t="s">
        <v>277</v>
      </c>
      <c r="N7524">
        <v>1540</v>
      </c>
      <c r="O7524">
        <v>4.1169861000000002E-2</v>
      </c>
      <c r="P7524">
        <v>2.1109855E-2</v>
      </c>
      <c r="Q7524" t="str">
        <f t="shared" si="234"/>
        <v>25-34</v>
      </c>
      <c r="R7524" t="str">
        <f t="shared" si="235"/>
        <v>[YCKiBAp8QAg]|25-34|Female|PLHIV_Attend.T2|CY2026Q3</v>
      </c>
    </row>
    <row r="7525" spans="4:18" x14ac:dyDescent="0.2">
      <c r="D7525" t="s">
        <v>75</v>
      </c>
      <c r="E7525" t="s">
        <v>76</v>
      </c>
      <c r="F7525" t="s">
        <v>77</v>
      </c>
      <c r="G7525" t="s">
        <v>278</v>
      </c>
      <c r="H7525" t="s">
        <v>278</v>
      </c>
      <c r="I7525" t="s">
        <v>43</v>
      </c>
      <c r="J7525" t="s">
        <v>44</v>
      </c>
      <c r="K7525" t="s">
        <v>30</v>
      </c>
      <c r="L7525" t="s">
        <v>31</v>
      </c>
      <c r="M7525" t="s">
        <v>277</v>
      </c>
      <c r="N7525">
        <v>4521</v>
      </c>
      <c r="O7525">
        <v>2.5510933999999999E-2</v>
      </c>
      <c r="P7525">
        <v>2.1109855E-2</v>
      </c>
      <c r="Q7525" t="str">
        <f t="shared" si="234"/>
        <v>35-49</v>
      </c>
      <c r="R7525" t="str">
        <f t="shared" si="235"/>
        <v>[YCKiBAp8QAg]|35-49|Female|PLHIV_Attend.T2|CY2026Q3</v>
      </c>
    </row>
    <row r="7526" spans="4:18" x14ac:dyDescent="0.2">
      <c r="D7526" t="s">
        <v>75</v>
      </c>
      <c r="E7526" t="s">
        <v>76</v>
      </c>
      <c r="F7526" t="s">
        <v>77</v>
      </c>
      <c r="G7526" t="s">
        <v>278</v>
      </c>
      <c r="H7526" t="s">
        <v>278</v>
      </c>
      <c r="I7526" t="s">
        <v>45</v>
      </c>
      <c r="J7526" t="s">
        <v>46</v>
      </c>
      <c r="K7526" t="s">
        <v>30</v>
      </c>
      <c r="L7526" t="s">
        <v>31</v>
      </c>
      <c r="M7526" t="s">
        <v>277</v>
      </c>
      <c r="N7526">
        <v>2416</v>
      </c>
      <c r="O7526">
        <v>3.8316413000000001E-2</v>
      </c>
      <c r="P7526">
        <v>2.1109855E-2</v>
      </c>
      <c r="Q7526" t="str">
        <f t="shared" si="234"/>
        <v>50+</v>
      </c>
      <c r="R7526" t="str">
        <f t="shared" si="235"/>
        <v>[YCKiBAp8QAg]|50+|Female|PLHIV_Attend.T2|CY2026Q3</v>
      </c>
    </row>
    <row r="7527" spans="4:18" x14ac:dyDescent="0.2">
      <c r="D7527" t="s">
        <v>75</v>
      </c>
      <c r="E7527" t="s">
        <v>76</v>
      </c>
      <c r="F7527" t="s">
        <v>77</v>
      </c>
      <c r="G7527" t="s">
        <v>278</v>
      </c>
      <c r="H7527" t="s">
        <v>278</v>
      </c>
      <c r="I7527" t="s">
        <v>28</v>
      </c>
      <c r="J7527" t="s">
        <v>29</v>
      </c>
      <c r="K7527" t="s">
        <v>48</v>
      </c>
      <c r="L7527" t="s">
        <v>49</v>
      </c>
      <c r="M7527" t="s">
        <v>277</v>
      </c>
      <c r="N7527">
        <v>7</v>
      </c>
      <c r="O7527">
        <v>2.6180973E-2</v>
      </c>
      <c r="P7527">
        <v>2.1109855E-2</v>
      </c>
      <c r="Q7527" t="str">
        <f t="shared" si="234"/>
        <v>&lt;01</v>
      </c>
      <c r="R7527" t="str">
        <f t="shared" si="235"/>
        <v>[YCKiBAp8QAg]|&lt;01|Male|PLHIV_Attend.T2|CY2026Q3</v>
      </c>
    </row>
    <row r="7528" spans="4:18" x14ac:dyDescent="0.2">
      <c r="D7528" t="s">
        <v>75</v>
      </c>
      <c r="E7528" t="s">
        <v>76</v>
      </c>
      <c r="F7528" t="s">
        <v>77</v>
      </c>
      <c r="G7528" t="s">
        <v>278</v>
      </c>
      <c r="H7528" t="s">
        <v>278</v>
      </c>
      <c r="I7528" t="s">
        <v>33</v>
      </c>
      <c r="J7528" t="s">
        <v>34</v>
      </c>
      <c r="K7528" t="s">
        <v>48</v>
      </c>
      <c r="L7528" t="s">
        <v>49</v>
      </c>
      <c r="M7528" t="s">
        <v>277</v>
      </c>
      <c r="N7528">
        <v>126</v>
      </c>
      <c r="O7528">
        <v>3.1971300000000001E-2</v>
      </c>
      <c r="P7528">
        <v>2.1109855E-2</v>
      </c>
      <c r="Q7528" t="str">
        <f t="shared" si="234"/>
        <v>01-09</v>
      </c>
      <c r="R7528" t="str">
        <f t="shared" si="235"/>
        <v>[YCKiBAp8QAg]|01-09|Male|PLHIV_Attend.T2|CY2026Q3</v>
      </c>
    </row>
    <row r="7529" spans="4:18" x14ac:dyDescent="0.2">
      <c r="D7529" t="s">
        <v>75</v>
      </c>
      <c r="E7529" t="s">
        <v>76</v>
      </c>
      <c r="F7529" t="s">
        <v>77</v>
      </c>
      <c r="G7529" t="s">
        <v>278</v>
      </c>
      <c r="H7529" t="s">
        <v>278</v>
      </c>
      <c r="I7529" t="s">
        <v>36</v>
      </c>
      <c r="J7529" t="s">
        <v>37</v>
      </c>
      <c r="K7529" t="s">
        <v>48</v>
      </c>
      <c r="L7529" t="s">
        <v>49</v>
      </c>
      <c r="M7529" t="s">
        <v>277</v>
      </c>
      <c r="N7529">
        <v>171</v>
      </c>
      <c r="O7529">
        <v>4.4463334E-2</v>
      </c>
      <c r="P7529">
        <v>2.1109855E-2</v>
      </c>
      <c r="Q7529" t="str">
        <f t="shared" si="234"/>
        <v>10-14</v>
      </c>
      <c r="R7529" t="str">
        <f t="shared" si="235"/>
        <v>[YCKiBAp8QAg]|10-14|Male|PLHIV_Attend.T2|CY2026Q3</v>
      </c>
    </row>
    <row r="7530" spans="4:18" x14ac:dyDescent="0.2">
      <c r="D7530" t="s">
        <v>75</v>
      </c>
      <c r="E7530" t="s">
        <v>76</v>
      </c>
      <c r="F7530" t="s">
        <v>77</v>
      </c>
      <c r="G7530" t="s">
        <v>278</v>
      </c>
      <c r="H7530" t="s">
        <v>278</v>
      </c>
      <c r="I7530" t="s">
        <v>38</v>
      </c>
      <c r="J7530" t="s">
        <v>39</v>
      </c>
      <c r="K7530" t="s">
        <v>48</v>
      </c>
      <c r="L7530" t="s">
        <v>49</v>
      </c>
      <c r="M7530" t="s">
        <v>277</v>
      </c>
      <c r="N7530">
        <v>517</v>
      </c>
      <c r="O7530">
        <v>5.8367813999999997E-2</v>
      </c>
      <c r="P7530">
        <v>2.1109855E-2</v>
      </c>
      <c r="Q7530" t="str">
        <f t="shared" si="234"/>
        <v>15-24</v>
      </c>
      <c r="R7530" t="str">
        <f t="shared" si="235"/>
        <v>[YCKiBAp8QAg]|15-24|Male|PLHIV_Attend.T2|CY2026Q3</v>
      </c>
    </row>
    <row r="7531" spans="4:18" x14ac:dyDescent="0.2">
      <c r="D7531" t="s">
        <v>75</v>
      </c>
      <c r="E7531" t="s">
        <v>76</v>
      </c>
      <c r="F7531" t="s">
        <v>77</v>
      </c>
      <c r="G7531" t="s">
        <v>278</v>
      </c>
      <c r="H7531" t="s">
        <v>278</v>
      </c>
      <c r="I7531" t="s">
        <v>41</v>
      </c>
      <c r="J7531" t="s">
        <v>42</v>
      </c>
      <c r="K7531" t="s">
        <v>48</v>
      </c>
      <c r="L7531" t="s">
        <v>49</v>
      </c>
      <c r="M7531" t="s">
        <v>277</v>
      </c>
      <c r="N7531">
        <v>633</v>
      </c>
      <c r="O7531">
        <v>6.6348868000000005E-2</v>
      </c>
      <c r="P7531">
        <v>2.1109855E-2</v>
      </c>
      <c r="Q7531" t="str">
        <f t="shared" si="234"/>
        <v>25-34</v>
      </c>
      <c r="R7531" t="str">
        <f t="shared" si="235"/>
        <v>[YCKiBAp8QAg]|25-34|Male|PLHIV_Attend.T2|CY2026Q3</v>
      </c>
    </row>
    <row r="7532" spans="4:18" x14ac:dyDescent="0.2">
      <c r="D7532" t="s">
        <v>75</v>
      </c>
      <c r="E7532" t="s">
        <v>76</v>
      </c>
      <c r="F7532" t="s">
        <v>77</v>
      </c>
      <c r="G7532" t="s">
        <v>278</v>
      </c>
      <c r="H7532" t="s">
        <v>278</v>
      </c>
      <c r="I7532" t="s">
        <v>43</v>
      </c>
      <c r="J7532" t="s">
        <v>44</v>
      </c>
      <c r="K7532" t="s">
        <v>48</v>
      </c>
      <c r="L7532" t="s">
        <v>49</v>
      </c>
      <c r="M7532" t="s">
        <v>277</v>
      </c>
      <c r="N7532">
        <v>2350</v>
      </c>
      <c r="O7532">
        <v>3.7355368E-2</v>
      </c>
      <c r="P7532">
        <v>2.1109855E-2</v>
      </c>
      <c r="Q7532" t="str">
        <f t="shared" si="234"/>
        <v>35-49</v>
      </c>
      <c r="R7532" t="str">
        <f t="shared" si="235"/>
        <v>[YCKiBAp8QAg]|35-49|Male|PLHIV_Attend.T2|CY2026Q3</v>
      </c>
    </row>
    <row r="7533" spans="4:18" x14ac:dyDescent="0.2">
      <c r="D7533" t="s">
        <v>75</v>
      </c>
      <c r="E7533" t="s">
        <v>76</v>
      </c>
      <c r="F7533" t="s">
        <v>77</v>
      </c>
      <c r="G7533" t="s">
        <v>278</v>
      </c>
      <c r="H7533" t="s">
        <v>278</v>
      </c>
      <c r="I7533" t="s">
        <v>45</v>
      </c>
      <c r="J7533" t="s">
        <v>46</v>
      </c>
      <c r="K7533" t="s">
        <v>48</v>
      </c>
      <c r="L7533" t="s">
        <v>49</v>
      </c>
      <c r="M7533" t="s">
        <v>277</v>
      </c>
      <c r="N7533">
        <v>2254</v>
      </c>
      <c r="O7533">
        <v>3.57465E-2</v>
      </c>
      <c r="P7533">
        <v>2.1109855E-2</v>
      </c>
      <c r="Q7533" t="str">
        <f t="shared" si="234"/>
        <v>50+</v>
      </c>
      <c r="R7533" t="str">
        <f t="shared" si="235"/>
        <v>[YCKiBAp8QAg]|50+|Male|PLHIV_Attend.T2|CY2026Q3</v>
      </c>
    </row>
    <row r="7534" spans="4:18" x14ac:dyDescent="0.2">
      <c r="D7534" t="s">
        <v>78</v>
      </c>
      <c r="E7534" t="s">
        <v>79</v>
      </c>
      <c r="F7534" t="s">
        <v>80</v>
      </c>
      <c r="G7534" t="s">
        <v>278</v>
      </c>
      <c r="H7534" t="s">
        <v>278</v>
      </c>
      <c r="I7534" t="s">
        <v>28</v>
      </c>
      <c r="J7534" t="s">
        <v>29</v>
      </c>
      <c r="K7534" t="s">
        <v>30</v>
      </c>
      <c r="L7534" t="s">
        <v>31</v>
      </c>
      <c r="M7534" t="s">
        <v>277</v>
      </c>
      <c r="N7534">
        <v>2</v>
      </c>
      <c r="O7534">
        <v>3.2878797000000001E-2</v>
      </c>
      <c r="P7534">
        <v>2.5584326000000001E-2</v>
      </c>
      <c r="Q7534" t="str">
        <f t="shared" si="234"/>
        <v>&lt;01</v>
      </c>
      <c r="R7534" t="str">
        <f t="shared" si="235"/>
        <v>[fiRkU6gEjLz]|&lt;01|Female|PLHIV_Attend.T2|CY2026Q3</v>
      </c>
    </row>
    <row r="7535" spans="4:18" x14ac:dyDescent="0.2">
      <c r="D7535" t="s">
        <v>78</v>
      </c>
      <c r="E7535" t="s">
        <v>79</v>
      </c>
      <c r="F7535" t="s">
        <v>80</v>
      </c>
      <c r="G7535" t="s">
        <v>278</v>
      </c>
      <c r="H7535" t="s">
        <v>278</v>
      </c>
      <c r="I7535" t="s">
        <v>33</v>
      </c>
      <c r="J7535" t="s">
        <v>34</v>
      </c>
      <c r="K7535" t="s">
        <v>30</v>
      </c>
      <c r="L7535" t="s">
        <v>31</v>
      </c>
      <c r="M7535" t="s">
        <v>277</v>
      </c>
      <c r="N7535">
        <v>40</v>
      </c>
      <c r="O7535">
        <v>3.8976128999999998E-2</v>
      </c>
      <c r="P7535">
        <v>2.5584326000000001E-2</v>
      </c>
      <c r="Q7535" t="str">
        <f t="shared" si="234"/>
        <v>01-09</v>
      </c>
      <c r="R7535" t="str">
        <f t="shared" si="235"/>
        <v>[fiRkU6gEjLz]|01-09|Female|PLHIV_Attend.T2|CY2026Q3</v>
      </c>
    </row>
    <row r="7536" spans="4:18" x14ac:dyDescent="0.2">
      <c r="D7536" t="s">
        <v>78</v>
      </c>
      <c r="E7536" t="s">
        <v>79</v>
      </c>
      <c r="F7536" t="s">
        <v>80</v>
      </c>
      <c r="G7536" t="s">
        <v>278</v>
      </c>
      <c r="H7536" t="s">
        <v>278</v>
      </c>
      <c r="I7536" t="s">
        <v>36</v>
      </c>
      <c r="J7536" t="s">
        <v>37</v>
      </c>
      <c r="K7536" t="s">
        <v>30</v>
      </c>
      <c r="L7536" t="s">
        <v>31</v>
      </c>
      <c r="M7536" t="s">
        <v>277</v>
      </c>
      <c r="N7536">
        <v>55</v>
      </c>
      <c r="O7536">
        <v>5.2650104000000003E-2</v>
      </c>
      <c r="P7536">
        <v>2.5584326000000001E-2</v>
      </c>
      <c r="Q7536" t="str">
        <f t="shared" si="234"/>
        <v>10-14</v>
      </c>
      <c r="R7536" t="str">
        <f t="shared" si="235"/>
        <v>[fiRkU6gEjLz]|10-14|Female|PLHIV_Attend.T2|CY2026Q3</v>
      </c>
    </row>
    <row r="7537" spans="4:18" x14ac:dyDescent="0.2">
      <c r="D7537" t="s">
        <v>78</v>
      </c>
      <c r="E7537" t="s">
        <v>79</v>
      </c>
      <c r="F7537" t="s">
        <v>80</v>
      </c>
      <c r="G7537" t="s">
        <v>278</v>
      </c>
      <c r="H7537" t="s">
        <v>278</v>
      </c>
      <c r="I7537" t="s">
        <v>38</v>
      </c>
      <c r="J7537" t="s">
        <v>39</v>
      </c>
      <c r="K7537" t="s">
        <v>30</v>
      </c>
      <c r="L7537" t="s">
        <v>31</v>
      </c>
      <c r="M7537" t="s">
        <v>277</v>
      </c>
      <c r="N7537">
        <v>222</v>
      </c>
      <c r="O7537">
        <v>5.4541913999999997E-2</v>
      </c>
      <c r="P7537">
        <v>2.5584326000000001E-2</v>
      </c>
      <c r="Q7537" t="str">
        <f t="shared" si="234"/>
        <v>15-24</v>
      </c>
      <c r="R7537" t="str">
        <f t="shared" si="235"/>
        <v>[fiRkU6gEjLz]|15-24|Female|PLHIV_Attend.T2|CY2026Q3</v>
      </c>
    </row>
    <row r="7538" spans="4:18" x14ac:dyDescent="0.2">
      <c r="D7538" t="s">
        <v>78</v>
      </c>
      <c r="E7538" t="s">
        <v>79</v>
      </c>
      <c r="F7538" t="s">
        <v>80</v>
      </c>
      <c r="G7538" t="s">
        <v>278</v>
      </c>
      <c r="H7538" t="s">
        <v>278</v>
      </c>
      <c r="I7538" t="s">
        <v>41</v>
      </c>
      <c r="J7538" t="s">
        <v>42</v>
      </c>
      <c r="K7538" t="s">
        <v>30</v>
      </c>
      <c r="L7538" t="s">
        <v>31</v>
      </c>
      <c r="M7538" t="s">
        <v>277</v>
      </c>
      <c r="N7538">
        <v>503</v>
      </c>
      <c r="O7538">
        <v>4.6803193E-2</v>
      </c>
      <c r="P7538">
        <v>2.5584326000000001E-2</v>
      </c>
      <c r="Q7538" t="str">
        <f t="shared" si="234"/>
        <v>25-34</v>
      </c>
      <c r="R7538" t="str">
        <f t="shared" si="235"/>
        <v>[fiRkU6gEjLz]|25-34|Female|PLHIV_Attend.T2|CY2026Q3</v>
      </c>
    </row>
    <row r="7539" spans="4:18" x14ac:dyDescent="0.2">
      <c r="D7539" t="s">
        <v>78</v>
      </c>
      <c r="E7539" t="s">
        <v>79</v>
      </c>
      <c r="F7539" t="s">
        <v>80</v>
      </c>
      <c r="G7539" t="s">
        <v>278</v>
      </c>
      <c r="H7539" t="s">
        <v>278</v>
      </c>
      <c r="I7539" t="s">
        <v>43</v>
      </c>
      <c r="J7539" t="s">
        <v>44</v>
      </c>
      <c r="K7539" t="s">
        <v>30</v>
      </c>
      <c r="L7539" t="s">
        <v>31</v>
      </c>
      <c r="M7539" t="s">
        <v>277</v>
      </c>
      <c r="N7539">
        <v>1563</v>
      </c>
      <c r="O7539">
        <v>3.1548209000000001E-2</v>
      </c>
      <c r="P7539">
        <v>2.5584326000000001E-2</v>
      </c>
      <c r="Q7539" t="str">
        <f t="shared" si="234"/>
        <v>35-49</v>
      </c>
      <c r="R7539" t="str">
        <f t="shared" si="235"/>
        <v>[fiRkU6gEjLz]|35-49|Female|PLHIV_Attend.T2|CY2026Q3</v>
      </c>
    </row>
    <row r="7540" spans="4:18" x14ac:dyDescent="0.2">
      <c r="D7540" t="s">
        <v>78</v>
      </c>
      <c r="E7540" t="s">
        <v>79</v>
      </c>
      <c r="F7540" t="s">
        <v>80</v>
      </c>
      <c r="G7540" t="s">
        <v>278</v>
      </c>
      <c r="H7540" t="s">
        <v>278</v>
      </c>
      <c r="I7540" t="s">
        <v>45</v>
      </c>
      <c r="J7540" t="s">
        <v>46</v>
      </c>
      <c r="K7540" t="s">
        <v>30</v>
      </c>
      <c r="L7540" t="s">
        <v>31</v>
      </c>
      <c r="M7540" t="s">
        <v>277</v>
      </c>
      <c r="N7540">
        <v>894</v>
      </c>
      <c r="O7540">
        <v>3.8803300999999998E-2</v>
      </c>
      <c r="P7540">
        <v>2.5584326000000001E-2</v>
      </c>
      <c r="Q7540" t="str">
        <f t="shared" si="234"/>
        <v>50+</v>
      </c>
      <c r="R7540" t="str">
        <f t="shared" si="235"/>
        <v>[fiRkU6gEjLz]|50+|Female|PLHIV_Attend.T2|CY2026Q3</v>
      </c>
    </row>
    <row r="7541" spans="4:18" x14ac:dyDescent="0.2">
      <c r="D7541" t="s">
        <v>78</v>
      </c>
      <c r="E7541" t="s">
        <v>79</v>
      </c>
      <c r="F7541" t="s">
        <v>80</v>
      </c>
      <c r="G7541" t="s">
        <v>278</v>
      </c>
      <c r="H7541" t="s">
        <v>278</v>
      </c>
      <c r="I7541" t="s">
        <v>28</v>
      </c>
      <c r="J7541" t="s">
        <v>29</v>
      </c>
      <c r="K7541" t="s">
        <v>48</v>
      </c>
      <c r="L7541" t="s">
        <v>49</v>
      </c>
      <c r="M7541" t="s">
        <v>277</v>
      </c>
      <c r="N7541">
        <v>2</v>
      </c>
      <c r="O7541">
        <v>3.2928601000000002E-2</v>
      </c>
      <c r="P7541">
        <v>2.5584326000000001E-2</v>
      </c>
      <c r="Q7541" t="str">
        <f t="shared" si="234"/>
        <v>&lt;01</v>
      </c>
      <c r="R7541" t="str">
        <f t="shared" si="235"/>
        <v>[fiRkU6gEjLz]|&lt;01|Male|PLHIV_Attend.T2|CY2026Q3</v>
      </c>
    </row>
    <row r="7542" spans="4:18" x14ac:dyDescent="0.2">
      <c r="D7542" t="s">
        <v>78</v>
      </c>
      <c r="E7542" t="s">
        <v>79</v>
      </c>
      <c r="F7542" t="s">
        <v>80</v>
      </c>
      <c r="G7542" t="s">
        <v>278</v>
      </c>
      <c r="H7542" t="s">
        <v>278</v>
      </c>
      <c r="I7542" t="s">
        <v>33</v>
      </c>
      <c r="J7542" t="s">
        <v>34</v>
      </c>
      <c r="K7542" t="s">
        <v>48</v>
      </c>
      <c r="L7542" t="s">
        <v>49</v>
      </c>
      <c r="M7542" t="s">
        <v>277</v>
      </c>
      <c r="N7542">
        <v>41</v>
      </c>
      <c r="O7542">
        <v>3.9002920000000003E-2</v>
      </c>
      <c r="P7542">
        <v>2.5584326000000001E-2</v>
      </c>
      <c r="Q7542" t="str">
        <f t="shared" si="234"/>
        <v>01-09</v>
      </c>
      <c r="R7542" t="str">
        <f t="shared" si="235"/>
        <v>[fiRkU6gEjLz]|01-09|Male|PLHIV_Attend.T2|CY2026Q3</v>
      </c>
    </row>
    <row r="7543" spans="4:18" x14ac:dyDescent="0.2">
      <c r="D7543" t="s">
        <v>78</v>
      </c>
      <c r="E7543" t="s">
        <v>79</v>
      </c>
      <c r="F7543" t="s">
        <v>80</v>
      </c>
      <c r="G7543" t="s">
        <v>278</v>
      </c>
      <c r="H7543" t="s">
        <v>278</v>
      </c>
      <c r="I7543" t="s">
        <v>36</v>
      </c>
      <c r="J7543" t="s">
        <v>37</v>
      </c>
      <c r="K7543" t="s">
        <v>48</v>
      </c>
      <c r="L7543" t="s">
        <v>49</v>
      </c>
      <c r="M7543" t="s">
        <v>277</v>
      </c>
      <c r="N7543">
        <v>55</v>
      </c>
      <c r="O7543">
        <v>5.2628582E-2</v>
      </c>
      <c r="P7543">
        <v>2.5584326000000001E-2</v>
      </c>
      <c r="Q7543" t="str">
        <f t="shared" si="234"/>
        <v>10-14</v>
      </c>
      <c r="R7543" t="str">
        <f t="shared" si="235"/>
        <v>[fiRkU6gEjLz]|10-14|Male|PLHIV_Attend.T2|CY2026Q3</v>
      </c>
    </row>
    <row r="7544" spans="4:18" x14ac:dyDescent="0.2">
      <c r="D7544" t="s">
        <v>78</v>
      </c>
      <c r="E7544" t="s">
        <v>79</v>
      </c>
      <c r="F7544" t="s">
        <v>80</v>
      </c>
      <c r="G7544" t="s">
        <v>278</v>
      </c>
      <c r="H7544" t="s">
        <v>278</v>
      </c>
      <c r="I7544" t="s">
        <v>38</v>
      </c>
      <c r="J7544" t="s">
        <v>39</v>
      </c>
      <c r="K7544" t="s">
        <v>48</v>
      </c>
      <c r="L7544" t="s">
        <v>49</v>
      </c>
      <c r="M7544" t="s">
        <v>277</v>
      </c>
      <c r="N7544">
        <v>168</v>
      </c>
      <c r="O7544">
        <v>6.0477163E-2</v>
      </c>
      <c r="P7544">
        <v>2.5584326000000001E-2</v>
      </c>
      <c r="Q7544" t="str">
        <f t="shared" si="234"/>
        <v>15-24</v>
      </c>
      <c r="R7544" t="str">
        <f t="shared" si="235"/>
        <v>[fiRkU6gEjLz]|15-24|Male|PLHIV_Attend.T2|CY2026Q3</v>
      </c>
    </row>
    <row r="7545" spans="4:18" x14ac:dyDescent="0.2">
      <c r="D7545" t="s">
        <v>78</v>
      </c>
      <c r="E7545" t="s">
        <v>79</v>
      </c>
      <c r="F7545" t="s">
        <v>80</v>
      </c>
      <c r="G7545" t="s">
        <v>278</v>
      </c>
      <c r="H7545" t="s">
        <v>278</v>
      </c>
      <c r="I7545" t="s">
        <v>41</v>
      </c>
      <c r="J7545" t="s">
        <v>42</v>
      </c>
      <c r="K7545" t="s">
        <v>48</v>
      </c>
      <c r="L7545" t="s">
        <v>49</v>
      </c>
      <c r="M7545" t="s">
        <v>277</v>
      </c>
      <c r="N7545">
        <v>217</v>
      </c>
      <c r="O7545">
        <v>7.0009246999999997E-2</v>
      </c>
      <c r="P7545">
        <v>2.5584326000000001E-2</v>
      </c>
      <c r="Q7545" t="str">
        <f t="shared" si="234"/>
        <v>25-34</v>
      </c>
      <c r="R7545" t="str">
        <f t="shared" si="235"/>
        <v>[fiRkU6gEjLz]|25-34|Male|PLHIV_Attend.T2|CY2026Q3</v>
      </c>
    </row>
    <row r="7546" spans="4:18" x14ac:dyDescent="0.2">
      <c r="D7546" t="s">
        <v>78</v>
      </c>
      <c r="E7546" t="s">
        <v>79</v>
      </c>
      <c r="F7546" t="s">
        <v>80</v>
      </c>
      <c r="G7546" t="s">
        <v>278</v>
      </c>
      <c r="H7546" t="s">
        <v>278</v>
      </c>
      <c r="I7546" t="s">
        <v>43</v>
      </c>
      <c r="J7546" t="s">
        <v>44</v>
      </c>
      <c r="K7546" t="s">
        <v>48</v>
      </c>
      <c r="L7546" t="s">
        <v>49</v>
      </c>
      <c r="M7546" t="s">
        <v>277</v>
      </c>
      <c r="N7546">
        <v>832</v>
      </c>
      <c r="O7546">
        <v>4.2527825999999998E-2</v>
      </c>
      <c r="P7546">
        <v>2.5584326000000001E-2</v>
      </c>
      <c r="Q7546" t="str">
        <f t="shared" si="234"/>
        <v>35-49</v>
      </c>
      <c r="R7546" t="str">
        <f t="shared" si="235"/>
        <v>[fiRkU6gEjLz]|35-49|Male|PLHIV_Attend.T2|CY2026Q3</v>
      </c>
    </row>
    <row r="7547" spans="4:18" x14ac:dyDescent="0.2">
      <c r="D7547" t="s">
        <v>78</v>
      </c>
      <c r="E7547" t="s">
        <v>79</v>
      </c>
      <c r="F7547" t="s">
        <v>80</v>
      </c>
      <c r="G7547" t="s">
        <v>278</v>
      </c>
      <c r="H7547" t="s">
        <v>278</v>
      </c>
      <c r="I7547" t="s">
        <v>45</v>
      </c>
      <c r="J7547" t="s">
        <v>46</v>
      </c>
      <c r="K7547" t="s">
        <v>48</v>
      </c>
      <c r="L7547" t="s">
        <v>49</v>
      </c>
      <c r="M7547" t="s">
        <v>277</v>
      </c>
      <c r="N7547">
        <v>794</v>
      </c>
      <c r="O7547">
        <v>3.9269867999999999E-2</v>
      </c>
      <c r="P7547">
        <v>2.5584326000000001E-2</v>
      </c>
      <c r="Q7547" t="str">
        <f t="shared" si="234"/>
        <v>50+</v>
      </c>
      <c r="R7547" t="str">
        <f t="shared" si="235"/>
        <v>[fiRkU6gEjLz]|50+|Male|PLHIV_Attend.T2|CY2026Q3</v>
      </c>
    </row>
    <row r="7548" spans="4:18" x14ac:dyDescent="0.2">
      <c r="D7548" t="s">
        <v>81</v>
      </c>
      <c r="E7548" t="s">
        <v>82</v>
      </c>
      <c r="F7548" t="s">
        <v>83</v>
      </c>
      <c r="G7548" t="s">
        <v>278</v>
      </c>
      <c r="H7548" t="s">
        <v>278</v>
      </c>
      <c r="I7548" t="s">
        <v>28</v>
      </c>
      <c r="J7548" t="s">
        <v>29</v>
      </c>
      <c r="K7548" t="s">
        <v>30</v>
      </c>
      <c r="L7548" t="s">
        <v>31</v>
      </c>
      <c r="M7548" t="s">
        <v>277</v>
      </c>
      <c r="N7548">
        <v>6</v>
      </c>
      <c r="O7548">
        <v>2.8015070999999999E-2</v>
      </c>
      <c r="P7548">
        <v>2.0156045000000001E-2</v>
      </c>
      <c r="Q7548" t="str">
        <f t="shared" si="234"/>
        <v>&lt;01</v>
      </c>
      <c r="R7548" t="str">
        <f t="shared" si="235"/>
        <v>[zphK9WV8JB4]|&lt;01|Female|PLHIV_Attend.T2|CY2026Q3</v>
      </c>
    </row>
    <row r="7549" spans="4:18" x14ac:dyDescent="0.2">
      <c r="D7549" t="s">
        <v>81</v>
      </c>
      <c r="E7549" t="s">
        <v>82</v>
      </c>
      <c r="F7549" t="s">
        <v>83</v>
      </c>
      <c r="G7549" t="s">
        <v>278</v>
      </c>
      <c r="H7549" t="s">
        <v>278</v>
      </c>
      <c r="I7549" t="s">
        <v>33</v>
      </c>
      <c r="J7549" t="s">
        <v>34</v>
      </c>
      <c r="K7549" t="s">
        <v>30</v>
      </c>
      <c r="L7549" t="s">
        <v>31</v>
      </c>
      <c r="M7549" t="s">
        <v>277</v>
      </c>
      <c r="N7549">
        <v>102</v>
      </c>
      <c r="O7549">
        <v>3.3251453E-2</v>
      </c>
      <c r="P7549">
        <v>2.0156045000000001E-2</v>
      </c>
      <c r="Q7549" t="str">
        <f t="shared" si="234"/>
        <v>01-09</v>
      </c>
      <c r="R7549" t="str">
        <f t="shared" si="235"/>
        <v>[zphK9WV8JB4]|01-09|Female|PLHIV_Attend.T2|CY2026Q3</v>
      </c>
    </row>
    <row r="7550" spans="4:18" x14ac:dyDescent="0.2">
      <c r="D7550" t="s">
        <v>81</v>
      </c>
      <c r="E7550" t="s">
        <v>82</v>
      </c>
      <c r="F7550" t="s">
        <v>83</v>
      </c>
      <c r="G7550" t="s">
        <v>278</v>
      </c>
      <c r="H7550" t="s">
        <v>278</v>
      </c>
      <c r="I7550" t="s">
        <v>36</v>
      </c>
      <c r="J7550" t="s">
        <v>37</v>
      </c>
      <c r="K7550" t="s">
        <v>30</v>
      </c>
      <c r="L7550" t="s">
        <v>31</v>
      </c>
      <c r="M7550" t="s">
        <v>277</v>
      </c>
      <c r="N7550">
        <v>138</v>
      </c>
      <c r="O7550">
        <v>4.6108690000000001E-2</v>
      </c>
      <c r="P7550">
        <v>2.0156045000000001E-2</v>
      </c>
      <c r="Q7550" t="str">
        <f t="shared" si="234"/>
        <v>10-14</v>
      </c>
      <c r="R7550" t="str">
        <f t="shared" si="235"/>
        <v>[zphK9WV8JB4]|10-14|Female|PLHIV_Attend.T2|CY2026Q3</v>
      </c>
    </row>
    <row r="7551" spans="4:18" x14ac:dyDescent="0.2">
      <c r="D7551" t="s">
        <v>81</v>
      </c>
      <c r="E7551" t="s">
        <v>82</v>
      </c>
      <c r="F7551" t="s">
        <v>83</v>
      </c>
      <c r="G7551" t="s">
        <v>278</v>
      </c>
      <c r="H7551" t="s">
        <v>278</v>
      </c>
      <c r="I7551" t="s">
        <v>38</v>
      </c>
      <c r="J7551" t="s">
        <v>39</v>
      </c>
      <c r="K7551" t="s">
        <v>30</v>
      </c>
      <c r="L7551" t="s">
        <v>31</v>
      </c>
      <c r="M7551" t="s">
        <v>277</v>
      </c>
      <c r="N7551">
        <v>580</v>
      </c>
      <c r="O7551">
        <v>5.1712919000000003E-2</v>
      </c>
      <c r="P7551">
        <v>2.0156045000000001E-2</v>
      </c>
      <c r="Q7551" t="str">
        <f t="shared" si="234"/>
        <v>15-24</v>
      </c>
      <c r="R7551" t="str">
        <f t="shared" si="235"/>
        <v>[zphK9WV8JB4]|15-24|Female|PLHIV_Attend.T2|CY2026Q3</v>
      </c>
    </row>
    <row r="7552" spans="4:18" x14ac:dyDescent="0.2">
      <c r="D7552" t="s">
        <v>81</v>
      </c>
      <c r="E7552" t="s">
        <v>82</v>
      </c>
      <c r="F7552" t="s">
        <v>83</v>
      </c>
      <c r="G7552" t="s">
        <v>278</v>
      </c>
      <c r="H7552" t="s">
        <v>278</v>
      </c>
      <c r="I7552" t="s">
        <v>41</v>
      </c>
      <c r="J7552" t="s">
        <v>42</v>
      </c>
      <c r="K7552" t="s">
        <v>30</v>
      </c>
      <c r="L7552" t="s">
        <v>31</v>
      </c>
      <c r="M7552" t="s">
        <v>277</v>
      </c>
      <c r="N7552">
        <v>1359</v>
      </c>
      <c r="O7552">
        <v>4.4912987000000001E-2</v>
      </c>
      <c r="P7552">
        <v>2.0156045000000001E-2</v>
      </c>
      <c r="Q7552" t="str">
        <f t="shared" si="234"/>
        <v>25-34</v>
      </c>
      <c r="R7552" t="str">
        <f t="shared" si="235"/>
        <v>[zphK9WV8JB4]|25-34|Female|PLHIV_Attend.T2|CY2026Q3</v>
      </c>
    </row>
    <row r="7553" spans="4:18" x14ac:dyDescent="0.2">
      <c r="D7553" t="s">
        <v>81</v>
      </c>
      <c r="E7553" t="s">
        <v>82</v>
      </c>
      <c r="F7553" t="s">
        <v>83</v>
      </c>
      <c r="G7553" t="s">
        <v>278</v>
      </c>
      <c r="H7553" t="s">
        <v>278</v>
      </c>
      <c r="I7553" t="s">
        <v>43</v>
      </c>
      <c r="J7553" t="s">
        <v>44</v>
      </c>
      <c r="K7553" t="s">
        <v>30</v>
      </c>
      <c r="L7553" t="s">
        <v>31</v>
      </c>
      <c r="M7553" t="s">
        <v>277</v>
      </c>
      <c r="N7553">
        <v>4214</v>
      </c>
      <c r="O7553">
        <v>2.7105740999999999E-2</v>
      </c>
      <c r="P7553">
        <v>2.0156045000000001E-2</v>
      </c>
      <c r="Q7553" t="str">
        <f t="shared" si="234"/>
        <v>35-49</v>
      </c>
      <c r="R7553" t="str">
        <f t="shared" si="235"/>
        <v>[zphK9WV8JB4]|35-49|Female|PLHIV_Attend.T2|CY2026Q3</v>
      </c>
    </row>
    <row r="7554" spans="4:18" x14ac:dyDescent="0.2">
      <c r="D7554" t="s">
        <v>81</v>
      </c>
      <c r="E7554" t="s">
        <v>82</v>
      </c>
      <c r="F7554" t="s">
        <v>83</v>
      </c>
      <c r="G7554" t="s">
        <v>278</v>
      </c>
      <c r="H7554" t="s">
        <v>278</v>
      </c>
      <c r="I7554" t="s">
        <v>45</v>
      </c>
      <c r="J7554" t="s">
        <v>46</v>
      </c>
      <c r="K7554" t="s">
        <v>30</v>
      </c>
      <c r="L7554" t="s">
        <v>31</v>
      </c>
      <c r="M7554" t="s">
        <v>277</v>
      </c>
      <c r="N7554">
        <v>2452</v>
      </c>
      <c r="O7554">
        <v>3.4519703999999998E-2</v>
      </c>
      <c r="P7554">
        <v>2.0156045000000001E-2</v>
      </c>
      <c r="Q7554" t="str">
        <f t="shared" si="234"/>
        <v>50+</v>
      </c>
      <c r="R7554" t="str">
        <f t="shared" si="235"/>
        <v>[zphK9WV8JB4]|50+|Female|PLHIV_Attend.T2|CY2026Q3</v>
      </c>
    </row>
    <row r="7555" spans="4:18" x14ac:dyDescent="0.2">
      <c r="D7555" t="s">
        <v>81</v>
      </c>
      <c r="E7555" t="s">
        <v>82</v>
      </c>
      <c r="F7555" t="s">
        <v>83</v>
      </c>
      <c r="G7555" t="s">
        <v>278</v>
      </c>
      <c r="H7555" t="s">
        <v>278</v>
      </c>
      <c r="I7555" t="s">
        <v>28</v>
      </c>
      <c r="J7555" t="s">
        <v>29</v>
      </c>
      <c r="K7555" t="s">
        <v>48</v>
      </c>
      <c r="L7555" t="s">
        <v>49</v>
      </c>
      <c r="M7555" t="s">
        <v>277</v>
      </c>
      <c r="N7555">
        <v>6</v>
      </c>
      <c r="O7555">
        <v>2.7997300999999999E-2</v>
      </c>
      <c r="P7555">
        <v>2.0156045000000001E-2</v>
      </c>
      <c r="Q7555" t="str">
        <f t="shared" ref="Q7555:Q7618" si="236">SUBSTITUTE(SUBSTITUTE($I7555,CHAR(61),""),CHAR(34),"")</f>
        <v>&lt;01</v>
      </c>
      <c r="R7555" t="str">
        <f t="shared" ref="R7555:R7618" si="237">IF($D7555&lt;&gt;"","["&amp;$E7555&amp;"]"&amp;"|"&amp;$Q7555&amp;"|"&amp;$K7555&amp;"|"&amp;$G7555&amp;"|"&amp;IF($G7555="TX_CURR_SUBNAT.R","CY2023Q4",$M7555),"")</f>
        <v>[zphK9WV8JB4]|&lt;01|Male|PLHIV_Attend.T2|CY2026Q3</v>
      </c>
    </row>
    <row r="7556" spans="4:18" x14ac:dyDescent="0.2">
      <c r="D7556" t="s">
        <v>81</v>
      </c>
      <c r="E7556" t="s">
        <v>82</v>
      </c>
      <c r="F7556" t="s">
        <v>83</v>
      </c>
      <c r="G7556" t="s">
        <v>278</v>
      </c>
      <c r="H7556" t="s">
        <v>278</v>
      </c>
      <c r="I7556" t="s">
        <v>33</v>
      </c>
      <c r="J7556" t="s">
        <v>34</v>
      </c>
      <c r="K7556" t="s">
        <v>48</v>
      </c>
      <c r="L7556" t="s">
        <v>49</v>
      </c>
      <c r="M7556" t="s">
        <v>277</v>
      </c>
      <c r="N7556">
        <v>103</v>
      </c>
      <c r="O7556">
        <v>3.3217340999999997E-2</v>
      </c>
      <c r="P7556">
        <v>2.0156045000000001E-2</v>
      </c>
      <c r="Q7556" t="str">
        <f t="shared" si="236"/>
        <v>01-09</v>
      </c>
      <c r="R7556" t="str">
        <f t="shared" si="237"/>
        <v>[zphK9WV8JB4]|01-09|Male|PLHIV_Attend.T2|CY2026Q3</v>
      </c>
    </row>
    <row r="7557" spans="4:18" x14ac:dyDescent="0.2">
      <c r="D7557" t="s">
        <v>81</v>
      </c>
      <c r="E7557" t="s">
        <v>82</v>
      </c>
      <c r="F7557" t="s">
        <v>83</v>
      </c>
      <c r="G7557" t="s">
        <v>278</v>
      </c>
      <c r="H7557" t="s">
        <v>278</v>
      </c>
      <c r="I7557" t="s">
        <v>36</v>
      </c>
      <c r="J7557" t="s">
        <v>37</v>
      </c>
      <c r="K7557" t="s">
        <v>48</v>
      </c>
      <c r="L7557" t="s">
        <v>49</v>
      </c>
      <c r="M7557" t="s">
        <v>277</v>
      </c>
      <c r="N7557">
        <v>137</v>
      </c>
      <c r="O7557">
        <v>4.6084791999999999E-2</v>
      </c>
      <c r="P7557">
        <v>2.0156045000000001E-2</v>
      </c>
      <c r="Q7557" t="str">
        <f t="shared" si="236"/>
        <v>10-14</v>
      </c>
      <c r="R7557" t="str">
        <f t="shared" si="237"/>
        <v>[zphK9WV8JB4]|10-14|Male|PLHIV_Attend.T2|CY2026Q3</v>
      </c>
    </row>
    <row r="7558" spans="4:18" x14ac:dyDescent="0.2">
      <c r="D7558" t="s">
        <v>81</v>
      </c>
      <c r="E7558" t="s">
        <v>82</v>
      </c>
      <c r="F7558" t="s">
        <v>83</v>
      </c>
      <c r="G7558" t="s">
        <v>278</v>
      </c>
      <c r="H7558" t="s">
        <v>278</v>
      </c>
      <c r="I7558" t="s">
        <v>38</v>
      </c>
      <c r="J7558" t="s">
        <v>39</v>
      </c>
      <c r="K7558" t="s">
        <v>48</v>
      </c>
      <c r="L7558" t="s">
        <v>49</v>
      </c>
      <c r="M7558" t="s">
        <v>277</v>
      </c>
      <c r="N7558">
        <v>439</v>
      </c>
      <c r="O7558">
        <v>5.9669295999999997E-2</v>
      </c>
      <c r="P7558">
        <v>2.0156045000000001E-2</v>
      </c>
      <c r="Q7558" t="str">
        <f t="shared" si="236"/>
        <v>15-24</v>
      </c>
      <c r="R7558" t="str">
        <f t="shared" si="237"/>
        <v>[zphK9WV8JB4]|15-24|Male|PLHIV_Attend.T2|CY2026Q3</v>
      </c>
    </row>
    <row r="7559" spans="4:18" x14ac:dyDescent="0.2">
      <c r="D7559" t="s">
        <v>81</v>
      </c>
      <c r="E7559" t="s">
        <v>82</v>
      </c>
      <c r="F7559" t="s">
        <v>83</v>
      </c>
      <c r="G7559" t="s">
        <v>278</v>
      </c>
      <c r="H7559" t="s">
        <v>278</v>
      </c>
      <c r="I7559" t="s">
        <v>41</v>
      </c>
      <c r="J7559" t="s">
        <v>42</v>
      </c>
      <c r="K7559" t="s">
        <v>48</v>
      </c>
      <c r="L7559" t="s">
        <v>49</v>
      </c>
      <c r="M7559" t="s">
        <v>277</v>
      </c>
      <c r="N7559">
        <v>601</v>
      </c>
      <c r="O7559">
        <v>6.9341555999999999E-2</v>
      </c>
      <c r="P7559">
        <v>2.0156045000000001E-2</v>
      </c>
      <c r="Q7559" t="str">
        <f t="shared" si="236"/>
        <v>25-34</v>
      </c>
      <c r="R7559" t="str">
        <f t="shared" si="237"/>
        <v>[zphK9WV8JB4]|25-34|Male|PLHIV_Attend.T2|CY2026Q3</v>
      </c>
    </row>
    <row r="7560" spans="4:18" x14ac:dyDescent="0.2">
      <c r="D7560" t="s">
        <v>81</v>
      </c>
      <c r="E7560" t="s">
        <v>82</v>
      </c>
      <c r="F7560" t="s">
        <v>83</v>
      </c>
      <c r="G7560" t="s">
        <v>278</v>
      </c>
      <c r="H7560" t="s">
        <v>278</v>
      </c>
      <c r="I7560" t="s">
        <v>43</v>
      </c>
      <c r="J7560" t="s">
        <v>44</v>
      </c>
      <c r="K7560" t="s">
        <v>48</v>
      </c>
      <c r="L7560" t="s">
        <v>49</v>
      </c>
      <c r="M7560" t="s">
        <v>277</v>
      </c>
      <c r="N7560">
        <v>2300</v>
      </c>
      <c r="O7560">
        <v>3.9543317000000001E-2</v>
      </c>
      <c r="P7560">
        <v>2.0156045000000001E-2</v>
      </c>
      <c r="Q7560" t="str">
        <f t="shared" si="236"/>
        <v>35-49</v>
      </c>
      <c r="R7560" t="str">
        <f t="shared" si="237"/>
        <v>[zphK9WV8JB4]|35-49|Male|PLHIV_Attend.T2|CY2026Q3</v>
      </c>
    </row>
    <row r="7561" spans="4:18" x14ac:dyDescent="0.2">
      <c r="D7561" t="s">
        <v>81</v>
      </c>
      <c r="E7561" t="s">
        <v>82</v>
      </c>
      <c r="F7561" t="s">
        <v>83</v>
      </c>
      <c r="G7561" t="s">
        <v>278</v>
      </c>
      <c r="H7561" t="s">
        <v>278</v>
      </c>
      <c r="I7561" t="s">
        <v>45</v>
      </c>
      <c r="J7561" t="s">
        <v>46</v>
      </c>
      <c r="K7561" t="s">
        <v>48</v>
      </c>
      <c r="L7561" t="s">
        <v>49</v>
      </c>
      <c r="M7561" t="s">
        <v>277</v>
      </c>
      <c r="N7561">
        <v>2226</v>
      </c>
      <c r="O7561">
        <v>3.3929835999999998E-2</v>
      </c>
      <c r="P7561">
        <v>2.0156045000000001E-2</v>
      </c>
      <c r="Q7561" t="str">
        <f t="shared" si="236"/>
        <v>50+</v>
      </c>
      <c r="R7561" t="str">
        <f t="shared" si="237"/>
        <v>[zphK9WV8JB4]|50+|Male|PLHIV_Attend.T2|CY2026Q3</v>
      </c>
    </row>
    <row r="7562" spans="4:18" x14ac:dyDescent="0.2">
      <c r="D7562" t="s">
        <v>84</v>
      </c>
      <c r="E7562" t="s">
        <v>85</v>
      </c>
      <c r="F7562" t="s">
        <v>86</v>
      </c>
      <c r="G7562" t="s">
        <v>278</v>
      </c>
      <c r="H7562" t="s">
        <v>278</v>
      </c>
      <c r="I7562" t="s">
        <v>28</v>
      </c>
      <c r="J7562" t="s">
        <v>29</v>
      </c>
      <c r="K7562" t="s">
        <v>30</v>
      </c>
      <c r="L7562" t="s">
        <v>31</v>
      </c>
      <c r="M7562" t="s">
        <v>277</v>
      </c>
      <c r="N7562">
        <v>9</v>
      </c>
      <c r="O7562">
        <v>2.2139315E-2</v>
      </c>
      <c r="P7562">
        <v>1.5249982E-2</v>
      </c>
      <c r="Q7562" t="str">
        <f t="shared" si="236"/>
        <v>&lt;01</v>
      </c>
      <c r="R7562" t="str">
        <f t="shared" si="237"/>
        <v>[msW2zpIN7up]|&lt;01|Female|PLHIV_Attend.T2|CY2026Q3</v>
      </c>
    </row>
    <row r="7563" spans="4:18" x14ac:dyDescent="0.2">
      <c r="D7563" t="s">
        <v>84</v>
      </c>
      <c r="E7563" t="s">
        <v>85</v>
      </c>
      <c r="F7563" t="s">
        <v>86</v>
      </c>
      <c r="G7563" t="s">
        <v>278</v>
      </c>
      <c r="H7563" t="s">
        <v>278</v>
      </c>
      <c r="I7563" t="s">
        <v>33</v>
      </c>
      <c r="J7563" t="s">
        <v>34</v>
      </c>
      <c r="K7563" t="s">
        <v>30</v>
      </c>
      <c r="L7563" t="s">
        <v>31</v>
      </c>
      <c r="M7563" t="s">
        <v>277</v>
      </c>
      <c r="N7563">
        <v>161</v>
      </c>
      <c r="O7563">
        <v>2.8693242000000001E-2</v>
      </c>
      <c r="P7563">
        <v>1.5249982E-2</v>
      </c>
      <c r="Q7563" t="str">
        <f t="shared" si="236"/>
        <v>01-09</v>
      </c>
      <c r="R7563" t="str">
        <f t="shared" si="237"/>
        <v>[msW2zpIN7up]|01-09|Female|PLHIV_Attend.T2|CY2026Q3</v>
      </c>
    </row>
    <row r="7564" spans="4:18" x14ac:dyDescent="0.2">
      <c r="D7564" t="s">
        <v>84</v>
      </c>
      <c r="E7564" t="s">
        <v>85</v>
      </c>
      <c r="F7564" t="s">
        <v>86</v>
      </c>
      <c r="G7564" t="s">
        <v>278</v>
      </c>
      <c r="H7564" t="s">
        <v>278</v>
      </c>
      <c r="I7564" t="s">
        <v>36</v>
      </c>
      <c r="J7564" t="s">
        <v>37</v>
      </c>
      <c r="K7564" t="s">
        <v>30</v>
      </c>
      <c r="L7564" t="s">
        <v>31</v>
      </c>
      <c r="M7564" t="s">
        <v>277</v>
      </c>
      <c r="N7564">
        <v>219</v>
      </c>
      <c r="O7564">
        <v>4.2279714000000003E-2</v>
      </c>
      <c r="P7564">
        <v>1.5249982E-2</v>
      </c>
      <c r="Q7564" t="str">
        <f t="shared" si="236"/>
        <v>10-14</v>
      </c>
      <c r="R7564" t="str">
        <f t="shared" si="237"/>
        <v>[msW2zpIN7up]|10-14|Female|PLHIV_Attend.T2|CY2026Q3</v>
      </c>
    </row>
    <row r="7565" spans="4:18" x14ac:dyDescent="0.2">
      <c r="D7565" t="s">
        <v>84</v>
      </c>
      <c r="E7565" t="s">
        <v>85</v>
      </c>
      <c r="F7565" t="s">
        <v>86</v>
      </c>
      <c r="G7565" t="s">
        <v>278</v>
      </c>
      <c r="H7565" t="s">
        <v>278</v>
      </c>
      <c r="I7565" t="s">
        <v>38</v>
      </c>
      <c r="J7565" t="s">
        <v>39</v>
      </c>
      <c r="K7565" t="s">
        <v>30</v>
      </c>
      <c r="L7565" t="s">
        <v>31</v>
      </c>
      <c r="M7565" t="s">
        <v>277</v>
      </c>
      <c r="N7565">
        <v>864</v>
      </c>
      <c r="O7565">
        <v>4.9367807E-2</v>
      </c>
      <c r="P7565">
        <v>1.5249982E-2</v>
      </c>
      <c r="Q7565" t="str">
        <f t="shared" si="236"/>
        <v>15-24</v>
      </c>
      <c r="R7565" t="str">
        <f t="shared" si="237"/>
        <v>[msW2zpIN7up]|15-24|Female|PLHIV_Attend.T2|CY2026Q3</v>
      </c>
    </row>
    <row r="7566" spans="4:18" x14ac:dyDescent="0.2">
      <c r="D7566" t="s">
        <v>84</v>
      </c>
      <c r="E7566" t="s">
        <v>85</v>
      </c>
      <c r="F7566" t="s">
        <v>86</v>
      </c>
      <c r="G7566" t="s">
        <v>278</v>
      </c>
      <c r="H7566" t="s">
        <v>278</v>
      </c>
      <c r="I7566" t="s">
        <v>41</v>
      </c>
      <c r="J7566" t="s">
        <v>42</v>
      </c>
      <c r="K7566" t="s">
        <v>30</v>
      </c>
      <c r="L7566" t="s">
        <v>31</v>
      </c>
      <c r="M7566" t="s">
        <v>277</v>
      </c>
      <c r="N7566">
        <v>1985</v>
      </c>
      <c r="O7566">
        <v>3.7860588000000001E-2</v>
      </c>
      <c r="P7566">
        <v>1.5249982E-2</v>
      </c>
      <c r="Q7566" t="str">
        <f t="shared" si="236"/>
        <v>25-34</v>
      </c>
      <c r="R7566" t="str">
        <f t="shared" si="237"/>
        <v>[msW2zpIN7up]|25-34|Female|PLHIV_Attend.T2|CY2026Q3</v>
      </c>
    </row>
    <row r="7567" spans="4:18" x14ac:dyDescent="0.2">
      <c r="D7567" t="s">
        <v>84</v>
      </c>
      <c r="E7567" t="s">
        <v>85</v>
      </c>
      <c r="F7567" t="s">
        <v>86</v>
      </c>
      <c r="G7567" t="s">
        <v>278</v>
      </c>
      <c r="H7567" t="s">
        <v>278</v>
      </c>
      <c r="I7567" t="s">
        <v>43</v>
      </c>
      <c r="J7567" t="s">
        <v>44</v>
      </c>
      <c r="K7567" t="s">
        <v>30</v>
      </c>
      <c r="L7567" t="s">
        <v>31</v>
      </c>
      <c r="M7567" t="s">
        <v>277</v>
      </c>
      <c r="N7567">
        <v>5858</v>
      </c>
      <c r="O7567">
        <v>2.1696380000000001E-2</v>
      </c>
      <c r="P7567">
        <v>1.5249982E-2</v>
      </c>
      <c r="Q7567" t="str">
        <f t="shared" si="236"/>
        <v>35-49</v>
      </c>
      <c r="R7567" t="str">
        <f t="shared" si="237"/>
        <v>[msW2zpIN7up]|35-49|Female|PLHIV_Attend.T2|CY2026Q3</v>
      </c>
    </row>
    <row r="7568" spans="4:18" x14ac:dyDescent="0.2">
      <c r="D7568" t="s">
        <v>84</v>
      </c>
      <c r="E7568" t="s">
        <v>85</v>
      </c>
      <c r="F7568" t="s">
        <v>86</v>
      </c>
      <c r="G7568" t="s">
        <v>278</v>
      </c>
      <c r="H7568" t="s">
        <v>278</v>
      </c>
      <c r="I7568" t="s">
        <v>45</v>
      </c>
      <c r="J7568" t="s">
        <v>46</v>
      </c>
      <c r="K7568" t="s">
        <v>30</v>
      </c>
      <c r="L7568" t="s">
        <v>31</v>
      </c>
      <c r="M7568" t="s">
        <v>277</v>
      </c>
      <c r="N7568">
        <v>3137</v>
      </c>
      <c r="O7568">
        <v>3.4520157000000003E-2</v>
      </c>
      <c r="P7568">
        <v>1.5249982E-2</v>
      </c>
      <c r="Q7568" t="str">
        <f t="shared" si="236"/>
        <v>50+</v>
      </c>
      <c r="R7568" t="str">
        <f t="shared" si="237"/>
        <v>[msW2zpIN7up]|50+|Female|PLHIV_Attend.T2|CY2026Q3</v>
      </c>
    </row>
    <row r="7569" spans="4:18" x14ac:dyDescent="0.2">
      <c r="D7569" t="s">
        <v>84</v>
      </c>
      <c r="E7569" t="s">
        <v>85</v>
      </c>
      <c r="F7569" t="s">
        <v>86</v>
      </c>
      <c r="G7569" t="s">
        <v>278</v>
      </c>
      <c r="H7569" t="s">
        <v>278</v>
      </c>
      <c r="I7569" t="s">
        <v>28</v>
      </c>
      <c r="J7569" t="s">
        <v>29</v>
      </c>
      <c r="K7569" t="s">
        <v>48</v>
      </c>
      <c r="L7569" t="s">
        <v>49</v>
      </c>
      <c r="M7569" t="s">
        <v>277</v>
      </c>
      <c r="N7569">
        <v>9</v>
      </c>
      <c r="O7569">
        <v>2.2148050999999998E-2</v>
      </c>
      <c r="P7569">
        <v>1.5249982E-2</v>
      </c>
      <c r="Q7569" t="str">
        <f t="shared" si="236"/>
        <v>&lt;01</v>
      </c>
      <c r="R7569" t="str">
        <f t="shared" si="237"/>
        <v>[msW2zpIN7up]|&lt;01|Male|PLHIV_Attend.T2|CY2026Q3</v>
      </c>
    </row>
    <row r="7570" spans="4:18" x14ac:dyDescent="0.2">
      <c r="D7570" t="s">
        <v>84</v>
      </c>
      <c r="E7570" t="s">
        <v>85</v>
      </c>
      <c r="F7570" t="s">
        <v>86</v>
      </c>
      <c r="G7570" t="s">
        <v>278</v>
      </c>
      <c r="H7570" t="s">
        <v>278</v>
      </c>
      <c r="I7570" t="s">
        <v>33</v>
      </c>
      <c r="J7570" t="s">
        <v>34</v>
      </c>
      <c r="K7570" t="s">
        <v>48</v>
      </c>
      <c r="L7570" t="s">
        <v>49</v>
      </c>
      <c r="M7570" t="s">
        <v>277</v>
      </c>
      <c r="N7570">
        <v>163</v>
      </c>
      <c r="O7570">
        <v>2.8694226999999999E-2</v>
      </c>
      <c r="P7570">
        <v>1.5249982E-2</v>
      </c>
      <c r="Q7570" t="str">
        <f t="shared" si="236"/>
        <v>01-09</v>
      </c>
      <c r="R7570" t="str">
        <f t="shared" si="237"/>
        <v>[msW2zpIN7up]|01-09|Male|PLHIV_Attend.T2|CY2026Q3</v>
      </c>
    </row>
    <row r="7571" spans="4:18" x14ac:dyDescent="0.2">
      <c r="D7571" t="s">
        <v>84</v>
      </c>
      <c r="E7571" t="s">
        <v>85</v>
      </c>
      <c r="F7571" t="s">
        <v>86</v>
      </c>
      <c r="G7571" t="s">
        <v>278</v>
      </c>
      <c r="H7571" t="s">
        <v>278</v>
      </c>
      <c r="I7571" t="s">
        <v>36</v>
      </c>
      <c r="J7571" t="s">
        <v>37</v>
      </c>
      <c r="K7571" t="s">
        <v>48</v>
      </c>
      <c r="L7571" t="s">
        <v>49</v>
      </c>
      <c r="M7571" t="s">
        <v>277</v>
      </c>
      <c r="N7571">
        <v>220</v>
      </c>
      <c r="O7571">
        <v>4.2275042999999998E-2</v>
      </c>
      <c r="P7571">
        <v>1.5249982E-2</v>
      </c>
      <c r="Q7571" t="str">
        <f t="shared" si="236"/>
        <v>10-14</v>
      </c>
      <c r="R7571" t="str">
        <f t="shared" si="237"/>
        <v>[msW2zpIN7up]|10-14|Male|PLHIV_Attend.T2|CY2026Q3</v>
      </c>
    </row>
    <row r="7572" spans="4:18" x14ac:dyDescent="0.2">
      <c r="D7572" t="s">
        <v>84</v>
      </c>
      <c r="E7572" t="s">
        <v>85</v>
      </c>
      <c r="F7572" t="s">
        <v>86</v>
      </c>
      <c r="G7572" t="s">
        <v>278</v>
      </c>
      <c r="H7572" t="s">
        <v>278</v>
      </c>
      <c r="I7572" t="s">
        <v>38</v>
      </c>
      <c r="J7572" t="s">
        <v>39</v>
      </c>
      <c r="K7572" t="s">
        <v>48</v>
      </c>
      <c r="L7572" t="s">
        <v>49</v>
      </c>
      <c r="M7572" t="s">
        <v>277</v>
      </c>
      <c r="N7572">
        <v>626</v>
      </c>
      <c r="O7572">
        <v>5.2454528E-2</v>
      </c>
      <c r="P7572">
        <v>1.5249982E-2</v>
      </c>
      <c r="Q7572" t="str">
        <f t="shared" si="236"/>
        <v>15-24</v>
      </c>
      <c r="R7572" t="str">
        <f t="shared" si="237"/>
        <v>[msW2zpIN7up]|15-24|Male|PLHIV_Attend.T2|CY2026Q3</v>
      </c>
    </row>
    <row r="7573" spans="4:18" x14ac:dyDescent="0.2">
      <c r="D7573" t="s">
        <v>84</v>
      </c>
      <c r="E7573" t="s">
        <v>85</v>
      </c>
      <c r="F7573" t="s">
        <v>86</v>
      </c>
      <c r="G7573" t="s">
        <v>278</v>
      </c>
      <c r="H7573" t="s">
        <v>278</v>
      </c>
      <c r="I7573" t="s">
        <v>41</v>
      </c>
      <c r="J7573" t="s">
        <v>42</v>
      </c>
      <c r="K7573" t="s">
        <v>48</v>
      </c>
      <c r="L7573" t="s">
        <v>49</v>
      </c>
      <c r="M7573" t="s">
        <v>277</v>
      </c>
      <c r="N7573">
        <v>721</v>
      </c>
      <c r="O7573">
        <v>6.2238289000000002E-2</v>
      </c>
      <c r="P7573">
        <v>1.5249982E-2</v>
      </c>
      <c r="Q7573" t="str">
        <f t="shared" si="236"/>
        <v>25-34</v>
      </c>
      <c r="R7573" t="str">
        <f t="shared" si="237"/>
        <v>[msW2zpIN7up]|25-34|Male|PLHIV_Attend.T2|CY2026Q3</v>
      </c>
    </row>
    <row r="7574" spans="4:18" x14ac:dyDescent="0.2">
      <c r="D7574" t="s">
        <v>84</v>
      </c>
      <c r="E7574" t="s">
        <v>85</v>
      </c>
      <c r="F7574" t="s">
        <v>86</v>
      </c>
      <c r="G7574" t="s">
        <v>278</v>
      </c>
      <c r="H7574" t="s">
        <v>278</v>
      </c>
      <c r="I7574" t="s">
        <v>43</v>
      </c>
      <c r="J7574" t="s">
        <v>44</v>
      </c>
      <c r="K7574" t="s">
        <v>48</v>
      </c>
      <c r="L7574" t="s">
        <v>49</v>
      </c>
      <c r="M7574" t="s">
        <v>277</v>
      </c>
      <c r="N7574">
        <v>2734</v>
      </c>
      <c r="O7574">
        <v>3.3328149000000001E-2</v>
      </c>
      <c r="P7574">
        <v>1.5249982E-2</v>
      </c>
      <c r="Q7574" t="str">
        <f t="shared" si="236"/>
        <v>35-49</v>
      </c>
      <c r="R7574" t="str">
        <f t="shared" si="237"/>
        <v>[msW2zpIN7up]|35-49|Male|PLHIV_Attend.T2|CY2026Q3</v>
      </c>
    </row>
    <row r="7575" spans="4:18" x14ac:dyDescent="0.2">
      <c r="D7575" t="s">
        <v>84</v>
      </c>
      <c r="E7575" t="s">
        <v>85</v>
      </c>
      <c r="F7575" t="s">
        <v>86</v>
      </c>
      <c r="G7575" t="s">
        <v>278</v>
      </c>
      <c r="H7575" t="s">
        <v>278</v>
      </c>
      <c r="I7575" t="s">
        <v>45</v>
      </c>
      <c r="J7575" t="s">
        <v>46</v>
      </c>
      <c r="K7575" t="s">
        <v>48</v>
      </c>
      <c r="L7575" t="s">
        <v>49</v>
      </c>
      <c r="M7575" t="s">
        <v>277</v>
      </c>
      <c r="N7575">
        <v>2501</v>
      </c>
      <c r="O7575">
        <v>3.3196090999999997E-2</v>
      </c>
      <c r="P7575">
        <v>1.5249982E-2</v>
      </c>
      <c r="Q7575" t="str">
        <f t="shared" si="236"/>
        <v>50+</v>
      </c>
      <c r="R7575" t="str">
        <f t="shared" si="237"/>
        <v>[msW2zpIN7up]|50+|Male|PLHIV_Attend.T2|CY2026Q3</v>
      </c>
    </row>
    <row r="7576" spans="4:18" x14ac:dyDescent="0.2">
      <c r="D7576" t="s">
        <v>87</v>
      </c>
      <c r="E7576" t="s">
        <v>88</v>
      </c>
      <c r="F7576" t="s">
        <v>89</v>
      </c>
      <c r="G7576" t="s">
        <v>278</v>
      </c>
      <c r="H7576" t="s">
        <v>278</v>
      </c>
      <c r="I7576" t="s">
        <v>28</v>
      </c>
      <c r="J7576" t="s">
        <v>29</v>
      </c>
      <c r="K7576" t="s">
        <v>30</v>
      </c>
      <c r="L7576" t="s">
        <v>31</v>
      </c>
      <c r="M7576" t="s">
        <v>277</v>
      </c>
      <c r="N7576">
        <v>56</v>
      </c>
      <c r="O7576">
        <v>1.5150456E-2</v>
      </c>
      <c r="P7576">
        <v>1.0232399999999999E-2</v>
      </c>
      <c r="Q7576" t="str">
        <f t="shared" si="236"/>
        <v>&lt;01</v>
      </c>
      <c r="R7576" t="str">
        <f t="shared" si="237"/>
        <v>[ScR9iFKAasW]|&lt;01|Female|PLHIV_Attend.T2|CY2026Q3</v>
      </c>
    </row>
    <row r="7577" spans="4:18" x14ac:dyDescent="0.2">
      <c r="D7577" t="s">
        <v>87</v>
      </c>
      <c r="E7577" t="s">
        <v>88</v>
      </c>
      <c r="F7577" t="s">
        <v>89</v>
      </c>
      <c r="G7577" t="s">
        <v>278</v>
      </c>
      <c r="H7577" t="s">
        <v>278</v>
      </c>
      <c r="I7577" t="s">
        <v>33</v>
      </c>
      <c r="J7577" t="s">
        <v>34</v>
      </c>
      <c r="K7577" t="s">
        <v>30</v>
      </c>
      <c r="L7577" t="s">
        <v>31</v>
      </c>
      <c r="M7577" t="s">
        <v>277</v>
      </c>
      <c r="N7577">
        <v>908</v>
      </c>
      <c r="O7577">
        <v>1.9370457000000001E-2</v>
      </c>
      <c r="P7577">
        <v>1.0232399999999999E-2</v>
      </c>
      <c r="Q7577" t="str">
        <f t="shared" si="236"/>
        <v>01-09</v>
      </c>
      <c r="R7577" t="str">
        <f t="shared" si="237"/>
        <v>[ScR9iFKAasW]|01-09|Female|PLHIV_Attend.T2|CY2026Q3</v>
      </c>
    </row>
    <row r="7578" spans="4:18" x14ac:dyDescent="0.2">
      <c r="D7578" t="s">
        <v>87</v>
      </c>
      <c r="E7578" t="s">
        <v>88</v>
      </c>
      <c r="F7578" t="s">
        <v>89</v>
      </c>
      <c r="G7578" t="s">
        <v>278</v>
      </c>
      <c r="H7578" t="s">
        <v>278</v>
      </c>
      <c r="I7578" t="s">
        <v>36</v>
      </c>
      <c r="J7578" t="s">
        <v>37</v>
      </c>
      <c r="K7578" t="s">
        <v>30</v>
      </c>
      <c r="L7578" t="s">
        <v>31</v>
      </c>
      <c r="M7578" t="s">
        <v>277</v>
      </c>
      <c r="N7578">
        <v>1111</v>
      </c>
      <c r="O7578">
        <v>2.9744387000000001E-2</v>
      </c>
      <c r="P7578">
        <v>1.0232399999999999E-2</v>
      </c>
      <c r="Q7578" t="str">
        <f t="shared" si="236"/>
        <v>10-14</v>
      </c>
      <c r="R7578" t="str">
        <f t="shared" si="237"/>
        <v>[ScR9iFKAasW]|10-14|Female|PLHIV_Attend.T2|CY2026Q3</v>
      </c>
    </row>
    <row r="7579" spans="4:18" x14ac:dyDescent="0.2">
      <c r="D7579" t="s">
        <v>87</v>
      </c>
      <c r="E7579" t="s">
        <v>88</v>
      </c>
      <c r="F7579" t="s">
        <v>89</v>
      </c>
      <c r="G7579" t="s">
        <v>278</v>
      </c>
      <c r="H7579" t="s">
        <v>278</v>
      </c>
      <c r="I7579" t="s">
        <v>38</v>
      </c>
      <c r="J7579" t="s">
        <v>39</v>
      </c>
      <c r="K7579" t="s">
        <v>30</v>
      </c>
      <c r="L7579" t="s">
        <v>31</v>
      </c>
      <c r="M7579" t="s">
        <v>277</v>
      </c>
      <c r="N7579">
        <v>5054</v>
      </c>
      <c r="O7579">
        <v>4.5900908999999997E-2</v>
      </c>
      <c r="P7579">
        <v>1.0232399999999999E-2</v>
      </c>
      <c r="Q7579" t="str">
        <f t="shared" si="236"/>
        <v>15-24</v>
      </c>
      <c r="R7579" t="str">
        <f t="shared" si="237"/>
        <v>[ScR9iFKAasW]|15-24|Female|PLHIV_Attend.T2|CY2026Q3</v>
      </c>
    </row>
    <row r="7580" spans="4:18" x14ac:dyDescent="0.2">
      <c r="D7580" t="s">
        <v>87</v>
      </c>
      <c r="E7580" t="s">
        <v>88</v>
      </c>
      <c r="F7580" t="s">
        <v>89</v>
      </c>
      <c r="G7580" t="s">
        <v>278</v>
      </c>
      <c r="H7580" t="s">
        <v>278</v>
      </c>
      <c r="I7580" t="s">
        <v>41</v>
      </c>
      <c r="J7580" t="s">
        <v>42</v>
      </c>
      <c r="K7580" t="s">
        <v>30</v>
      </c>
      <c r="L7580" t="s">
        <v>31</v>
      </c>
      <c r="M7580" t="s">
        <v>277</v>
      </c>
      <c r="N7580">
        <v>13974</v>
      </c>
      <c r="O7580">
        <v>3.4130516999999999E-2</v>
      </c>
      <c r="P7580">
        <v>1.0232399999999999E-2</v>
      </c>
      <c r="Q7580" t="str">
        <f t="shared" si="236"/>
        <v>25-34</v>
      </c>
      <c r="R7580" t="str">
        <f t="shared" si="237"/>
        <v>[ScR9iFKAasW]|25-34|Female|PLHIV_Attend.T2|CY2026Q3</v>
      </c>
    </row>
    <row r="7581" spans="4:18" x14ac:dyDescent="0.2">
      <c r="D7581" t="s">
        <v>87</v>
      </c>
      <c r="E7581" t="s">
        <v>88</v>
      </c>
      <c r="F7581" t="s">
        <v>89</v>
      </c>
      <c r="G7581" t="s">
        <v>278</v>
      </c>
      <c r="H7581" t="s">
        <v>278</v>
      </c>
      <c r="I7581" t="s">
        <v>43</v>
      </c>
      <c r="J7581" t="s">
        <v>44</v>
      </c>
      <c r="K7581" t="s">
        <v>30</v>
      </c>
      <c r="L7581" t="s">
        <v>31</v>
      </c>
      <c r="M7581" t="s">
        <v>277</v>
      </c>
      <c r="N7581">
        <v>38550</v>
      </c>
      <c r="O7581">
        <v>1.6639853999999999E-2</v>
      </c>
      <c r="P7581">
        <v>1.0232399999999999E-2</v>
      </c>
      <c r="Q7581" t="str">
        <f t="shared" si="236"/>
        <v>35-49</v>
      </c>
      <c r="R7581" t="str">
        <f t="shared" si="237"/>
        <v>[ScR9iFKAasW]|35-49|Female|PLHIV_Attend.T2|CY2026Q3</v>
      </c>
    </row>
    <row r="7582" spans="4:18" x14ac:dyDescent="0.2">
      <c r="D7582" t="s">
        <v>87</v>
      </c>
      <c r="E7582" t="s">
        <v>88</v>
      </c>
      <c r="F7582" t="s">
        <v>89</v>
      </c>
      <c r="G7582" t="s">
        <v>278</v>
      </c>
      <c r="H7582" t="s">
        <v>278</v>
      </c>
      <c r="I7582" t="s">
        <v>45</v>
      </c>
      <c r="J7582" t="s">
        <v>46</v>
      </c>
      <c r="K7582" t="s">
        <v>30</v>
      </c>
      <c r="L7582" t="s">
        <v>31</v>
      </c>
      <c r="M7582" t="s">
        <v>277</v>
      </c>
      <c r="N7582">
        <v>16057</v>
      </c>
      <c r="O7582">
        <v>3.1049138E-2</v>
      </c>
      <c r="P7582">
        <v>1.0232399999999999E-2</v>
      </c>
      <c r="Q7582" t="str">
        <f t="shared" si="236"/>
        <v>50+</v>
      </c>
      <c r="R7582" t="str">
        <f t="shared" si="237"/>
        <v>[ScR9iFKAasW]|50+|Female|PLHIV_Attend.T2|CY2026Q3</v>
      </c>
    </row>
    <row r="7583" spans="4:18" x14ac:dyDescent="0.2">
      <c r="D7583" t="s">
        <v>87</v>
      </c>
      <c r="E7583" t="s">
        <v>88</v>
      </c>
      <c r="F7583" t="s">
        <v>89</v>
      </c>
      <c r="G7583" t="s">
        <v>278</v>
      </c>
      <c r="H7583" t="s">
        <v>278</v>
      </c>
      <c r="I7583" t="s">
        <v>28</v>
      </c>
      <c r="J7583" t="s">
        <v>29</v>
      </c>
      <c r="K7583" t="s">
        <v>48</v>
      </c>
      <c r="L7583" t="s">
        <v>49</v>
      </c>
      <c r="M7583" t="s">
        <v>277</v>
      </c>
      <c r="N7583">
        <v>57</v>
      </c>
      <c r="O7583">
        <v>1.5149285E-2</v>
      </c>
      <c r="P7583">
        <v>1.0232399999999999E-2</v>
      </c>
      <c r="Q7583" t="str">
        <f t="shared" si="236"/>
        <v>&lt;01</v>
      </c>
      <c r="R7583" t="str">
        <f t="shared" si="237"/>
        <v>[ScR9iFKAasW]|&lt;01|Male|PLHIV_Attend.T2|CY2026Q3</v>
      </c>
    </row>
    <row r="7584" spans="4:18" x14ac:dyDescent="0.2">
      <c r="D7584" t="s">
        <v>87</v>
      </c>
      <c r="E7584" t="s">
        <v>88</v>
      </c>
      <c r="F7584" t="s">
        <v>89</v>
      </c>
      <c r="G7584" t="s">
        <v>278</v>
      </c>
      <c r="H7584" t="s">
        <v>278</v>
      </c>
      <c r="I7584" t="s">
        <v>33</v>
      </c>
      <c r="J7584" t="s">
        <v>34</v>
      </c>
      <c r="K7584" t="s">
        <v>48</v>
      </c>
      <c r="L7584" t="s">
        <v>49</v>
      </c>
      <c r="M7584" t="s">
        <v>277</v>
      </c>
      <c r="N7584">
        <v>913</v>
      </c>
      <c r="O7584">
        <v>1.9342585999999998E-2</v>
      </c>
      <c r="P7584">
        <v>1.0232399999999999E-2</v>
      </c>
      <c r="Q7584" t="str">
        <f t="shared" si="236"/>
        <v>01-09</v>
      </c>
      <c r="R7584" t="str">
        <f t="shared" si="237"/>
        <v>[ScR9iFKAasW]|01-09|Male|PLHIV_Attend.T2|CY2026Q3</v>
      </c>
    </row>
    <row r="7585" spans="4:18" x14ac:dyDescent="0.2">
      <c r="D7585" t="s">
        <v>87</v>
      </c>
      <c r="E7585" t="s">
        <v>88</v>
      </c>
      <c r="F7585" t="s">
        <v>89</v>
      </c>
      <c r="G7585" t="s">
        <v>278</v>
      </c>
      <c r="H7585" t="s">
        <v>278</v>
      </c>
      <c r="I7585" t="s">
        <v>36</v>
      </c>
      <c r="J7585" t="s">
        <v>37</v>
      </c>
      <c r="K7585" t="s">
        <v>48</v>
      </c>
      <c r="L7585" t="s">
        <v>49</v>
      </c>
      <c r="M7585" t="s">
        <v>277</v>
      </c>
      <c r="N7585">
        <v>1089</v>
      </c>
      <c r="O7585">
        <v>2.9627496999999999E-2</v>
      </c>
      <c r="P7585">
        <v>1.0232399999999999E-2</v>
      </c>
      <c r="Q7585" t="str">
        <f t="shared" si="236"/>
        <v>10-14</v>
      </c>
      <c r="R7585" t="str">
        <f t="shared" si="237"/>
        <v>[ScR9iFKAasW]|10-14|Male|PLHIV_Attend.T2|CY2026Q3</v>
      </c>
    </row>
    <row r="7586" spans="4:18" x14ac:dyDescent="0.2">
      <c r="D7586" t="s">
        <v>87</v>
      </c>
      <c r="E7586" t="s">
        <v>88</v>
      </c>
      <c r="F7586" t="s">
        <v>89</v>
      </c>
      <c r="G7586" t="s">
        <v>278</v>
      </c>
      <c r="H7586" t="s">
        <v>278</v>
      </c>
      <c r="I7586" t="s">
        <v>38</v>
      </c>
      <c r="J7586" t="s">
        <v>39</v>
      </c>
      <c r="K7586" t="s">
        <v>48</v>
      </c>
      <c r="L7586" t="s">
        <v>49</v>
      </c>
      <c r="M7586" t="s">
        <v>277</v>
      </c>
      <c r="N7586">
        <v>3520</v>
      </c>
      <c r="O7586">
        <v>5.3816199000000002E-2</v>
      </c>
      <c r="P7586">
        <v>1.0232399999999999E-2</v>
      </c>
      <c r="Q7586" t="str">
        <f t="shared" si="236"/>
        <v>15-24</v>
      </c>
      <c r="R7586" t="str">
        <f t="shared" si="237"/>
        <v>[ScR9iFKAasW]|15-24|Male|PLHIV_Attend.T2|CY2026Q3</v>
      </c>
    </row>
    <row r="7587" spans="4:18" x14ac:dyDescent="0.2">
      <c r="D7587" t="s">
        <v>87</v>
      </c>
      <c r="E7587" t="s">
        <v>88</v>
      </c>
      <c r="F7587" t="s">
        <v>89</v>
      </c>
      <c r="G7587" t="s">
        <v>278</v>
      </c>
      <c r="H7587" t="s">
        <v>278</v>
      </c>
      <c r="I7587" t="s">
        <v>41</v>
      </c>
      <c r="J7587" t="s">
        <v>42</v>
      </c>
      <c r="K7587" t="s">
        <v>48</v>
      </c>
      <c r="L7587" t="s">
        <v>49</v>
      </c>
      <c r="M7587" t="s">
        <v>277</v>
      </c>
      <c r="N7587">
        <v>5873</v>
      </c>
      <c r="O7587">
        <v>6.0495673E-2</v>
      </c>
      <c r="P7587">
        <v>1.0232399999999999E-2</v>
      </c>
      <c r="Q7587" t="str">
        <f t="shared" si="236"/>
        <v>25-34</v>
      </c>
      <c r="R7587" t="str">
        <f t="shared" si="237"/>
        <v>[ScR9iFKAasW]|25-34|Male|PLHIV_Attend.T2|CY2026Q3</v>
      </c>
    </row>
    <row r="7588" spans="4:18" x14ac:dyDescent="0.2">
      <c r="D7588" t="s">
        <v>87</v>
      </c>
      <c r="E7588" t="s">
        <v>88</v>
      </c>
      <c r="F7588" t="s">
        <v>89</v>
      </c>
      <c r="G7588" t="s">
        <v>278</v>
      </c>
      <c r="H7588" t="s">
        <v>278</v>
      </c>
      <c r="I7588" t="s">
        <v>43</v>
      </c>
      <c r="J7588" t="s">
        <v>44</v>
      </c>
      <c r="K7588" t="s">
        <v>48</v>
      </c>
      <c r="L7588" t="s">
        <v>49</v>
      </c>
      <c r="M7588" t="s">
        <v>277</v>
      </c>
      <c r="N7588">
        <v>22556</v>
      </c>
      <c r="O7588">
        <v>2.7291096000000001E-2</v>
      </c>
      <c r="P7588">
        <v>1.0232399999999999E-2</v>
      </c>
      <c r="Q7588" t="str">
        <f t="shared" si="236"/>
        <v>35-49</v>
      </c>
      <c r="R7588" t="str">
        <f t="shared" si="237"/>
        <v>[ScR9iFKAasW]|35-49|Male|PLHIV_Attend.T2|CY2026Q3</v>
      </c>
    </row>
    <row r="7589" spans="4:18" x14ac:dyDescent="0.2">
      <c r="D7589" t="s">
        <v>87</v>
      </c>
      <c r="E7589" t="s">
        <v>88</v>
      </c>
      <c r="F7589" t="s">
        <v>89</v>
      </c>
      <c r="G7589" t="s">
        <v>278</v>
      </c>
      <c r="H7589" t="s">
        <v>278</v>
      </c>
      <c r="I7589" t="s">
        <v>45</v>
      </c>
      <c r="J7589" t="s">
        <v>46</v>
      </c>
      <c r="K7589" t="s">
        <v>48</v>
      </c>
      <c r="L7589" t="s">
        <v>49</v>
      </c>
      <c r="M7589" t="s">
        <v>277</v>
      </c>
      <c r="N7589">
        <v>16019</v>
      </c>
      <c r="O7589">
        <v>2.9139253E-2</v>
      </c>
      <c r="P7589">
        <v>1.0232399999999999E-2</v>
      </c>
      <c r="Q7589" t="str">
        <f t="shared" si="236"/>
        <v>50+</v>
      </c>
      <c r="R7589" t="str">
        <f t="shared" si="237"/>
        <v>[ScR9iFKAasW]|50+|Male|PLHIV_Attend.T2|CY2026Q3</v>
      </c>
    </row>
    <row r="7590" spans="4:18" x14ac:dyDescent="0.2">
      <c r="D7590" t="s">
        <v>90</v>
      </c>
      <c r="E7590" t="s">
        <v>91</v>
      </c>
      <c r="F7590" t="s">
        <v>92</v>
      </c>
      <c r="G7590" t="s">
        <v>278</v>
      </c>
      <c r="H7590" t="s">
        <v>278</v>
      </c>
      <c r="I7590" t="s">
        <v>28</v>
      </c>
      <c r="J7590" t="s">
        <v>29</v>
      </c>
      <c r="K7590" t="s">
        <v>30</v>
      </c>
      <c r="L7590" t="s">
        <v>31</v>
      </c>
      <c r="M7590" t="s">
        <v>277</v>
      </c>
      <c r="N7590">
        <v>9</v>
      </c>
      <c r="O7590">
        <v>2.8787503999999998E-2</v>
      </c>
      <c r="P7590">
        <v>2.0493477E-2</v>
      </c>
      <c r="Q7590" t="str">
        <f t="shared" si="236"/>
        <v>&lt;01</v>
      </c>
      <c r="R7590" t="str">
        <f t="shared" si="237"/>
        <v>[kxuuIFpOXyO]|&lt;01|Female|PLHIV_Attend.T2|CY2026Q3</v>
      </c>
    </row>
    <row r="7591" spans="4:18" x14ac:dyDescent="0.2">
      <c r="D7591" t="s">
        <v>90</v>
      </c>
      <c r="E7591" t="s">
        <v>91</v>
      </c>
      <c r="F7591" t="s">
        <v>92</v>
      </c>
      <c r="G7591" t="s">
        <v>278</v>
      </c>
      <c r="H7591" t="s">
        <v>278</v>
      </c>
      <c r="I7591" t="s">
        <v>33</v>
      </c>
      <c r="J7591" t="s">
        <v>34</v>
      </c>
      <c r="K7591" t="s">
        <v>30</v>
      </c>
      <c r="L7591" t="s">
        <v>31</v>
      </c>
      <c r="M7591" t="s">
        <v>277</v>
      </c>
      <c r="N7591">
        <v>161</v>
      </c>
      <c r="O7591">
        <v>3.8603134999999997E-2</v>
      </c>
      <c r="P7591">
        <v>2.0493477E-2</v>
      </c>
      <c r="Q7591" t="str">
        <f t="shared" si="236"/>
        <v>01-09</v>
      </c>
      <c r="R7591" t="str">
        <f t="shared" si="237"/>
        <v>[kxuuIFpOXyO]|01-09|Female|PLHIV_Attend.T2|CY2026Q3</v>
      </c>
    </row>
    <row r="7592" spans="4:18" x14ac:dyDescent="0.2">
      <c r="D7592" t="s">
        <v>90</v>
      </c>
      <c r="E7592" t="s">
        <v>91</v>
      </c>
      <c r="F7592" t="s">
        <v>92</v>
      </c>
      <c r="G7592" t="s">
        <v>278</v>
      </c>
      <c r="H7592" t="s">
        <v>278</v>
      </c>
      <c r="I7592" t="s">
        <v>36</v>
      </c>
      <c r="J7592" t="s">
        <v>37</v>
      </c>
      <c r="K7592" t="s">
        <v>30</v>
      </c>
      <c r="L7592" t="s">
        <v>31</v>
      </c>
      <c r="M7592" t="s">
        <v>277</v>
      </c>
      <c r="N7592">
        <v>219</v>
      </c>
      <c r="O7592">
        <v>5.9349397999999998E-2</v>
      </c>
      <c r="P7592">
        <v>2.0493477E-2</v>
      </c>
      <c r="Q7592" t="str">
        <f t="shared" si="236"/>
        <v>10-14</v>
      </c>
      <c r="R7592" t="str">
        <f t="shared" si="237"/>
        <v>[kxuuIFpOXyO]|10-14|Female|PLHIV_Attend.T2|CY2026Q3</v>
      </c>
    </row>
    <row r="7593" spans="4:18" x14ac:dyDescent="0.2">
      <c r="D7593" t="s">
        <v>90</v>
      </c>
      <c r="E7593" t="s">
        <v>91</v>
      </c>
      <c r="F7593" t="s">
        <v>92</v>
      </c>
      <c r="G7593" t="s">
        <v>278</v>
      </c>
      <c r="H7593" t="s">
        <v>278</v>
      </c>
      <c r="I7593" t="s">
        <v>38</v>
      </c>
      <c r="J7593" t="s">
        <v>39</v>
      </c>
      <c r="K7593" t="s">
        <v>30</v>
      </c>
      <c r="L7593" t="s">
        <v>31</v>
      </c>
      <c r="M7593" t="s">
        <v>277</v>
      </c>
      <c r="N7593">
        <v>898</v>
      </c>
      <c r="O7593">
        <v>5.4638001999999998E-2</v>
      </c>
      <c r="P7593">
        <v>2.0493477E-2</v>
      </c>
      <c r="Q7593" t="str">
        <f t="shared" si="236"/>
        <v>15-24</v>
      </c>
      <c r="R7593" t="str">
        <f t="shared" si="237"/>
        <v>[kxuuIFpOXyO]|15-24|Female|PLHIV_Attend.T2|CY2026Q3</v>
      </c>
    </row>
    <row r="7594" spans="4:18" x14ac:dyDescent="0.2">
      <c r="D7594" t="s">
        <v>90</v>
      </c>
      <c r="E7594" t="s">
        <v>91</v>
      </c>
      <c r="F7594" t="s">
        <v>92</v>
      </c>
      <c r="G7594" t="s">
        <v>278</v>
      </c>
      <c r="H7594" t="s">
        <v>278</v>
      </c>
      <c r="I7594" t="s">
        <v>41</v>
      </c>
      <c r="J7594" t="s">
        <v>42</v>
      </c>
      <c r="K7594" t="s">
        <v>30</v>
      </c>
      <c r="L7594" t="s">
        <v>31</v>
      </c>
      <c r="M7594" t="s">
        <v>277</v>
      </c>
      <c r="N7594">
        <v>2099</v>
      </c>
      <c r="O7594">
        <v>4.2372302000000001E-2</v>
      </c>
      <c r="P7594">
        <v>2.0493477E-2</v>
      </c>
      <c r="Q7594" t="str">
        <f t="shared" si="236"/>
        <v>25-34</v>
      </c>
      <c r="R7594" t="str">
        <f t="shared" si="237"/>
        <v>[kxuuIFpOXyO]|25-34|Female|PLHIV_Attend.T2|CY2026Q3</v>
      </c>
    </row>
    <row r="7595" spans="4:18" x14ac:dyDescent="0.2">
      <c r="D7595" t="s">
        <v>90</v>
      </c>
      <c r="E7595" t="s">
        <v>91</v>
      </c>
      <c r="F7595" t="s">
        <v>92</v>
      </c>
      <c r="G7595" t="s">
        <v>278</v>
      </c>
      <c r="H7595" t="s">
        <v>278</v>
      </c>
      <c r="I7595" t="s">
        <v>43</v>
      </c>
      <c r="J7595" t="s">
        <v>44</v>
      </c>
      <c r="K7595" t="s">
        <v>30</v>
      </c>
      <c r="L7595" t="s">
        <v>31</v>
      </c>
      <c r="M7595" t="s">
        <v>277</v>
      </c>
      <c r="N7595">
        <v>6314</v>
      </c>
      <c r="O7595">
        <v>2.5694244000000001E-2</v>
      </c>
      <c r="P7595">
        <v>2.0493477E-2</v>
      </c>
      <c r="Q7595" t="str">
        <f t="shared" si="236"/>
        <v>35-49</v>
      </c>
      <c r="R7595" t="str">
        <f t="shared" si="237"/>
        <v>[kxuuIFpOXyO]|35-49|Female|PLHIV_Attend.T2|CY2026Q3</v>
      </c>
    </row>
    <row r="7596" spans="4:18" x14ac:dyDescent="0.2">
      <c r="D7596" t="s">
        <v>90</v>
      </c>
      <c r="E7596" t="s">
        <v>91</v>
      </c>
      <c r="F7596" t="s">
        <v>92</v>
      </c>
      <c r="G7596" t="s">
        <v>278</v>
      </c>
      <c r="H7596" t="s">
        <v>278</v>
      </c>
      <c r="I7596" t="s">
        <v>45</v>
      </c>
      <c r="J7596" t="s">
        <v>46</v>
      </c>
      <c r="K7596" t="s">
        <v>30</v>
      </c>
      <c r="L7596" t="s">
        <v>31</v>
      </c>
      <c r="M7596" t="s">
        <v>277</v>
      </c>
      <c r="N7596">
        <v>3494</v>
      </c>
      <c r="O7596">
        <v>3.6358829000000002E-2</v>
      </c>
      <c r="P7596">
        <v>2.0493477E-2</v>
      </c>
      <c r="Q7596" t="str">
        <f t="shared" si="236"/>
        <v>50+</v>
      </c>
      <c r="R7596" t="str">
        <f t="shared" si="237"/>
        <v>[kxuuIFpOXyO]|50+|Female|PLHIV_Attend.T2|CY2026Q3</v>
      </c>
    </row>
    <row r="7597" spans="4:18" x14ac:dyDescent="0.2">
      <c r="D7597" t="s">
        <v>90</v>
      </c>
      <c r="E7597" t="s">
        <v>91</v>
      </c>
      <c r="F7597" t="s">
        <v>92</v>
      </c>
      <c r="G7597" t="s">
        <v>278</v>
      </c>
      <c r="H7597" t="s">
        <v>278</v>
      </c>
      <c r="I7597" t="s">
        <v>28</v>
      </c>
      <c r="J7597" t="s">
        <v>29</v>
      </c>
      <c r="K7597" t="s">
        <v>48</v>
      </c>
      <c r="L7597" t="s">
        <v>49</v>
      </c>
      <c r="M7597" t="s">
        <v>277</v>
      </c>
      <c r="N7597">
        <v>9</v>
      </c>
      <c r="O7597">
        <v>2.8724858999999998E-2</v>
      </c>
      <c r="P7597">
        <v>2.0493477E-2</v>
      </c>
      <c r="Q7597" t="str">
        <f t="shared" si="236"/>
        <v>&lt;01</v>
      </c>
      <c r="R7597" t="str">
        <f t="shared" si="237"/>
        <v>[kxuuIFpOXyO]|&lt;01|Male|PLHIV_Attend.T2|CY2026Q3</v>
      </c>
    </row>
    <row r="7598" spans="4:18" x14ac:dyDescent="0.2">
      <c r="D7598" t="s">
        <v>90</v>
      </c>
      <c r="E7598" t="s">
        <v>91</v>
      </c>
      <c r="F7598" t="s">
        <v>92</v>
      </c>
      <c r="G7598" t="s">
        <v>278</v>
      </c>
      <c r="H7598" t="s">
        <v>278</v>
      </c>
      <c r="I7598" t="s">
        <v>33</v>
      </c>
      <c r="J7598" t="s">
        <v>34</v>
      </c>
      <c r="K7598" t="s">
        <v>48</v>
      </c>
      <c r="L7598" t="s">
        <v>49</v>
      </c>
      <c r="M7598" t="s">
        <v>277</v>
      </c>
      <c r="N7598">
        <v>162</v>
      </c>
      <c r="O7598">
        <v>3.8509336999999998E-2</v>
      </c>
      <c r="P7598">
        <v>2.0493477E-2</v>
      </c>
      <c r="Q7598" t="str">
        <f t="shared" si="236"/>
        <v>01-09</v>
      </c>
      <c r="R7598" t="str">
        <f t="shared" si="237"/>
        <v>[kxuuIFpOXyO]|01-09|Male|PLHIV_Attend.T2|CY2026Q3</v>
      </c>
    </row>
    <row r="7599" spans="4:18" x14ac:dyDescent="0.2">
      <c r="D7599" t="s">
        <v>90</v>
      </c>
      <c r="E7599" t="s">
        <v>91</v>
      </c>
      <c r="F7599" t="s">
        <v>92</v>
      </c>
      <c r="G7599" t="s">
        <v>278</v>
      </c>
      <c r="H7599" t="s">
        <v>278</v>
      </c>
      <c r="I7599" t="s">
        <v>36</v>
      </c>
      <c r="J7599" t="s">
        <v>37</v>
      </c>
      <c r="K7599" t="s">
        <v>48</v>
      </c>
      <c r="L7599" t="s">
        <v>49</v>
      </c>
      <c r="M7599" t="s">
        <v>277</v>
      </c>
      <c r="N7599">
        <v>218</v>
      </c>
      <c r="O7599">
        <v>5.9334310000000001E-2</v>
      </c>
      <c r="P7599">
        <v>2.0493477E-2</v>
      </c>
      <c r="Q7599" t="str">
        <f t="shared" si="236"/>
        <v>10-14</v>
      </c>
      <c r="R7599" t="str">
        <f t="shared" si="237"/>
        <v>[kxuuIFpOXyO]|10-14|Male|PLHIV_Attend.T2|CY2026Q3</v>
      </c>
    </row>
    <row r="7600" spans="4:18" x14ac:dyDescent="0.2">
      <c r="D7600" t="s">
        <v>90</v>
      </c>
      <c r="E7600" t="s">
        <v>91</v>
      </c>
      <c r="F7600" t="s">
        <v>92</v>
      </c>
      <c r="G7600" t="s">
        <v>278</v>
      </c>
      <c r="H7600" t="s">
        <v>278</v>
      </c>
      <c r="I7600" t="s">
        <v>38</v>
      </c>
      <c r="J7600" t="s">
        <v>39</v>
      </c>
      <c r="K7600" t="s">
        <v>48</v>
      </c>
      <c r="L7600" t="s">
        <v>49</v>
      </c>
      <c r="M7600" t="s">
        <v>277</v>
      </c>
      <c r="N7600">
        <v>679</v>
      </c>
      <c r="O7600">
        <v>6.5031405E-2</v>
      </c>
      <c r="P7600">
        <v>2.0493477E-2</v>
      </c>
      <c r="Q7600" t="str">
        <f t="shared" si="236"/>
        <v>15-24</v>
      </c>
      <c r="R7600" t="str">
        <f t="shared" si="237"/>
        <v>[kxuuIFpOXyO]|15-24|Male|PLHIV_Attend.T2|CY2026Q3</v>
      </c>
    </row>
    <row r="7601" spans="4:18" x14ac:dyDescent="0.2">
      <c r="D7601" t="s">
        <v>90</v>
      </c>
      <c r="E7601" t="s">
        <v>91</v>
      </c>
      <c r="F7601" t="s">
        <v>92</v>
      </c>
      <c r="G7601" t="s">
        <v>278</v>
      </c>
      <c r="H7601" t="s">
        <v>278</v>
      </c>
      <c r="I7601" t="s">
        <v>41</v>
      </c>
      <c r="J7601" t="s">
        <v>42</v>
      </c>
      <c r="K7601" t="s">
        <v>48</v>
      </c>
      <c r="L7601" t="s">
        <v>49</v>
      </c>
      <c r="M7601" t="s">
        <v>277</v>
      </c>
      <c r="N7601">
        <v>906</v>
      </c>
      <c r="O7601">
        <v>6.6813417999999999E-2</v>
      </c>
      <c r="P7601">
        <v>2.0493477E-2</v>
      </c>
      <c r="Q7601" t="str">
        <f t="shared" si="236"/>
        <v>25-34</v>
      </c>
      <c r="R7601" t="str">
        <f t="shared" si="237"/>
        <v>[kxuuIFpOXyO]|25-34|Male|PLHIV_Attend.T2|CY2026Q3</v>
      </c>
    </row>
    <row r="7602" spans="4:18" x14ac:dyDescent="0.2">
      <c r="D7602" t="s">
        <v>90</v>
      </c>
      <c r="E7602" t="s">
        <v>91</v>
      </c>
      <c r="F7602" t="s">
        <v>92</v>
      </c>
      <c r="G7602" t="s">
        <v>278</v>
      </c>
      <c r="H7602" t="s">
        <v>278</v>
      </c>
      <c r="I7602" t="s">
        <v>43</v>
      </c>
      <c r="J7602" t="s">
        <v>44</v>
      </c>
      <c r="K7602" t="s">
        <v>48</v>
      </c>
      <c r="L7602" t="s">
        <v>49</v>
      </c>
      <c r="M7602" t="s">
        <v>277</v>
      </c>
      <c r="N7602">
        <v>3416</v>
      </c>
      <c r="O7602">
        <v>3.698398E-2</v>
      </c>
      <c r="P7602">
        <v>2.0493477E-2</v>
      </c>
      <c r="Q7602" t="str">
        <f t="shared" si="236"/>
        <v>35-49</v>
      </c>
      <c r="R7602" t="str">
        <f t="shared" si="237"/>
        <v>[kxuuIFpOXyO]|35-49|Male|PLHIV_Attend.T2|CY2026Q3</v>
      </c>
    </row>
    <row r="7603" spans="4:18" x14ac:dyDescent="0.2">
      <c r="D7603" t="s">
        <v>90</v>
      </c>
      <c r="E7603" t="s">
        <v>91</v>
      </c>
      <c r="F7603" t="s">
        <v>92</v>
      </c>
      <c r="G7603" t="s">
        <v>278</v>
      </c>
      <c r="H7603" t="s">
        <v>278</v>
      </c>
      <c r="I7603" t="s">
        <v>45</v>
      </c>
      <c r="J7603" t="s">
        <v>46</v>
      </c>
      <c r="K7603" t="s">
        <v>48</v>
      </c>
      <c r="L7603" t="s">
        <v>49</v>
      </c>
      <c r="M7603" t="s">
        <v>277</v>
      </c>
      <c r="N7603">
        <v>3204</v>
      </c>
      <c r="O7603">
        <v>3.4654778999999997E-2</v>
      </c>
      <c r="P7603">
        <v>2.0493477E-2</v>
      </c>
      <c r="Q7603" t="str">
        <f t="shared" si="236"/>
        <v>50+</v>
      </c>
      <c r="R7603" t="str">
        <f t="shared" si="237"/>
        <v>[kxuuIFpOXyO]|50+|Male|PLHIV_Attend.T2|CY2026Q3</v>
      </c>
    </row>
    <row r="7604" spans="4:18" x14ac:dyDescent="0.2">
      <c r="D7604" t="s">
        <v>93</v>
      </c>
      <c r="E7604" t="s">
        <v>94</v>
      </c>
      <c r="F7604" t="s">
        <v>95</v>
      </c>
      <c r="G7604" t="s">
        <v>278</v>
      </c>
      <c r="H7604" t="s">
        <v>278</v>
      </c>
      <c r="I7604" t="s">
        <v>28</v>
      </c>
      <c r="J7604" t="s">
        <v>29</v>
      </c>
      <c r="K7604" t="s">
        <v>30</v>
      </c>
      <c r="L7604" t="s">
        <v>31</v>
      </c>
      <c r="M7604" t="s">
        <v>277</v>
      </c>
      <c r="N7604">
        <v>11</v>
      </c>
      <c r="O7604">
        <v>3.0709825E-2</v>
      </c>
      <c r="P7604">
        <v>2.3344185E-2</v>
      </c>
      <c r="Q7604" t="str">
        <f t="shared" si="236"/>
        <v>&lt;01</v>
      </c>
      <c r="R7604" t="str">
        <f t="shared" si="237"/>
        <v>[PekKUkKHAzY]|&lt;01|Female|PLHIV_Attend.T2|CY2026Q3</v>
      </c>
    </row>
    <row r="7605" spans="4:18" x14ac:dyDescent="0.2">
      <c r="D7605" t="s">
        <v>93</v>
      </c>
      <c r="E7605" t="s">
        <v>94</v>
      </c>
      <c r="F7605" t="s">
        <v>95</v>
      </c>
      <c r="G7605" t="s">
        <v>278</v>
      </c>
      <c r="H7605" t="s">
        <v>278</v>
      </c>
      <c r="I7605" t="s">
        <v>33</v>
      </c>
      <c r="J7605" t="s">
        <v>34</v>
      </c>
      <c r="K7605" t="s">
        <v>30</v>
      </c>
      <c r="L7605" t="s">
        <v>31</v>
      </c>
      <c r="M7605" t="s">
        <v>277</v>
      </c>
      <c r="N7605">
        <v>185</v>
      </c>
      <c r="O7605">
        <v>3.8451008000000002E-2</v>
      </c>
      <c r="P7605">
        <v>2.3344185E-2</v>
      </c>
      <c r="Q7605" t="str">
        <f t="shared" si="236"/>
        <v>01-09</v>
      </c>
      <c r="R7605" t="str">
        <f t="shared" si="237"/>
        <v>[PekKUkKHAzY]|01-09|Female|PLHIV_Attend.T2|CY2026Q3</v>
      </c>
    </row>
    <row r="7606" spans="4:18" x14ac:dyDescent="0.2">
      <c r="D7606" t="s">
        <v>93</v>
      </c>
      <c r="E7606" t="s">
        <v>94</v>
      </c>
      <c r="F7606" t="s">
        <v>95</v>
      </c>
      <c r="G7606" t="s">
        <v>278</v>
      </c>
      <c r="H7606" t="s">
        <v>278</v>
      </c>
      <c r="I7606" t="s">
        <v>36</v>
      </c>
      <c r="J7606" t="s">
        <v>37</v>
      </c>
      <c r="K7606" t="s">
        <v>30</v>
      </c>
      <c r="L7606" t="s">
        <v>31</v>
      </c>
      <c r="M7606" t="s">
        <v>277</v>
      </c>
      <c r="N7606">
        <v>250</v>
      </c>
      <c r="O7606">
        <v>5.4349456999999997E-2</v>
      </c>
      <c r="P7606">
        <v>2.3344185E-2</v>
      </c>
      <c r="Q7606" t="str">
        <f t="shared" si="236"/>
        <v>10-14</v>
      </c>
      <c r="R7606" t="str">
        <f t="shared" si="237"/>
        <v>[PekKUkKHAzY]|10-14|Female|PLHIV_Attend.T2|CY2026Q3</v>
      </c>
    </row>
    <row r="7607" spans="4:18" x14ac:dyDescent="0.2">
      <c r="D7607" t="s">
        <v>93</v>
      </c>
      <c r="E7607" t="s">
        <v>94</v>
      </c>
      <c r="F7607" t="s">
        <v>95</v>
      </c>
      <c r="G7607" t="s">
        <v>278</v>
      </c>
      <c r="H7607" t="s">
        <v>278</v>
      </c>
      <c r="I7607" t="s">
        <v>38</v>
      </c>
      <c r="J7607" t="s">
        <v>39</v>
      </c>
      <c r="K7607" t="s">
        <v>30</v>
      </c>
      <c r="L7607" t="s">
        <v>31</v>
      </c>
      <c r="M7607" t="s">
        <v>277</v>
      </c>
      <c r="N7607">
        <v>1003</v>
      </c>
      <c r="O7607">
        <v>5.3501611999999997E-2</v>
      </c>
      <c r="P7607">
        <v>2.3344185E-2</v>
      </c>
      <c r="Q7607" t="str">
        <f t="shared" si="236"/>
        <v>15-24</v>
      </c>
      <c r="R7607" t="str">
        <f t="shared" si="237"/>
        <v>[PekKUkKHAzY]|15-24|Female|PLHIV_Attend.T2|CY2026Q3</v>
      </c>
    </row>
    <row r="7608" spans="4:18" x14ac:dyDescent="0.2">
      <c r="D7608" t="s">
        <v>93</v>
      </c>
      <c r="E7608" t="s">
        <v>94</v>
      </c>
      <c r="F7608" t="s">
        <v>95</v>
      </c>
      <c r="G7608" t="s">
        <v>278</v>
      </c>
      <c r="H7608" t="s">
        <v>278</v>
      </c>
      <c r="I7608" t="s">
        <v>41</v>
      </c>
      <c r="J7608" t="s">
        <v>42</v>
      </c>
      <c r="K7608" t="s">
        <v>30</v>
      </c>
      <c r="L7608" t="s">
        <v>31</v>
      </c>
      <c r="M7608" t="s">
        <v>277</v>
      </c>
      <c r="N7608">
        <v>2334</v>
      </c>
      <c r="O7608">
        <v>4.4018109999999999E-2</v>
      </c>
      <c r="P7608">
        <v>2.3344185E-2</v>
      </c>
      <c r="Q7608" t="str">
        <f t="shared" si="236"/>
        <v>25-34</v>
      </c>
      <c r="R7608" t="str">
        <f t="shared" si="237"/>
        <v>[PekKUkKHAzY]|25-34|Female|PLHIV_Attend.T2|CY2026Q3</v>
      </c>
    </row>
    <row r="7609" spans="4:18" x14ac:dyDescent="0.2">
      <c r="D7609" t="s">
        <v>93</v>
      </c>
      <c r="E7609" t="s">
        <v>94</v>
      </c>
      <c r="F7609" t="s">
        <v>95</v>
      </c>
      <c r="G7609" t="s">
        <v>278</v>
      </c>
      <c r="H7609" t="s">
        <v>278</v>
      </c>
      <c r="I7609" t="s">
        <v>43</v>
      </c>
      <c r="J7609" t="s">
        <v>44</v>
      </c>
      <c r="K7609" t="s">
        <v>30</v>
      </c>
      <c r="L7609" t="s">
        <v>31</v>
      </c>
      <c r="M7609" t="s">
        <v>277</v>
      </c>
      <c r="N7609">
        <v>7162</v>
      </c>
      <c r="O7609">
        <v>2.7823237000000001E-2</v>
      </c>
      <c r="P7609">
        <v>2.3344185E-2</v>
      </c>
      <c r="Q7609" t="str">
        <f t="shared" si="236"/>
        <v>35-49</v>
      </c>
      <c r="R7609" t="str">
        <f t="shared" si="237"/>
        <v>[PekKUkKHAzY]|35-49|Female|PLHIV_Attend.T2|CY2026Q3</v>
      </c>
    </row>
    <row r="7610" spans="4:18" x14ac:dyDescent="0.2">
      <c r="D7610" t="s">
        <v>93</v>
      </c>
      <c r="E7610" t="s">
        <v>94</v>
      </c>
      <c r="F7610" t="s">
        <v>95</v>
      </c>
      <c r="G7610" t="s">
        <v>278</v>
      </c>
      <c r="H7610" t="s">
        <v>278</v>
      </c>
      <c r="I7610" t="s">
        <v>45</v>
      </c>
      <c r="J7610" t="s">
        <v>46</v>
      </c>
      <c r="K7610" t="s">
        <v>30</v>
      </c>
      <c r="L7610" t="s">
        <v>31</v>
      </c>
      <c r="M7610" t="s">
        <v>277</v>
      </c>
      <c r="N7610">
        <v>4219</v>
      </c>
      <c r="O7610">
        <v>3.8179853E-2</v>
      </c>
      <c r="P7610">
        <v>2.3344185E-2</v>
      </c>
      <c r="Q7610" t="str">
        <f t="shared" si="236"/>
        <v>50+</v>
      </c>
      <c r="R7610" t="str">
        <f t="shared" si="237"/>
        <v>[PekKUkKHAzY]|50+|Female|PLHIV_Attend.T2|CY2026Q3</v>
      </c>
    </row>
    <row r="7611" spans="4:18" x14ac:dyDescent="0.2">
      <c r="D7611" t="s">
        <v>93</v>
      </c>
      <c r="E7611" t="s">
        <v>94</v>
      </c>
      <c r="F7611" t="s">
        <v>95</v>
      </c>
      <c r="G7611" t="s">
        <v>278</v>
      </c>
      <c r="H7611" t="s">
        <v>278</v>
      </c>
      <c r="I7611" t="s">
        <v>28</v>
      </c>
      <c r="J7611" t="s">
        <v>29</v>
      </c>
      <c r="K7611" t="s">
        <v>48</v>
      </c>
      <c r="L7611" t="s">
        <v>49</v>
      </c>
      <c r="M7611" t="s">
        <v>277</v>
      </c>
      <c r="N7611">
        <v>11</v>
      </c>
      <c r="O7611">
        <v>3.0703423000000001E-2</v>
      </c>
      <c r="P7611">
        <v>2.3344185E-2</v>
      </c>
      <c r="Q7611" t="str">
        <f t="shared" si="236"/>
        <v>&lt;01</v>
      </c>
      <c r="R7611" t="str">
        <f t="shared" si="237"/>
        <v>[PekKUkKHAzY]|&lt;01|Male|PLHIV_Attend.T2|CY2026Q3</v>
      </c>
    </row>
    <row r="7612" spans="4:18" x14ac:dyDescent="0.2">
      <c r="D7612" t="s">
        <v>93</v>
      </c>
      <c r="E7612" t="s">
        <v>94</v>
      </c>
      <c r="F7612" t="s">
        <v>95</v>
      </c>
      <c r="G7612" t="s">
        <v>278</v>
      </c>
      <c r="H7612" t="s">
        <v>278</v>
      </c>
      <c r="I7612" t="s">
        <v>33</v>
      </c>
      <c r="J7612" t="s">
        <v>34</v>
      </c>
      <c r="K7612" t="s">
        <v>48</v>
      </c>
      <c r="L7612" t="s">
        <v>49</v>
      </c>
      <c r="M7612" t="s">
        <v>277</v>
      </c>
      <c r="N7612">
        <v>186</v>
      </c>
      <c r="O7612">
        <v>3.8473473000000001E-2</v>
      </c>
      <c r="P7612">
        <v>2.3344185E-2</v>
      </c>
      <c r="Q7612" t="str">
        <f t="shared" si="236"/>
        <v>01-09</v>
      </c>
      <c r="R7612" t="str">
        <f t="shared" si="237"/>
        <v>[PekKUkKHAzY]|01-09|Male|PLHIV_Attend.T2|CY2026Q3</v>
      </c>
    </row>
    <row r="7613" spans="4:18" x14ac:dyDescent="0.2">
      <c r="D7613" t="s">
        <v>93</v>
      </c>
      <c r="E7613" t="s">
        <v>94</v>
      </c>
      <c r="F7613" t="s">
        <v>95</v>
      </c>
      <c r="G7613" t="s">
        <v>278</v>
      </c>
      <c r="H7613" t="s">
        <v>278</v>
      </c>
      <c r="I7613" t="s">
        <v>36</v>
      </c>
      <c r="J7613" t="s">
        <v>37</v>
      </c>
      <c r="K7613" t="s">
        <v>48</v>
      </c>
      <c r="L7613" t="s">
        <v>49</v>
      </c>
      <c r="M7613" t="s">
        <v>277</v>
      </c>
      <c r="N7613">
        <v>249</v>
      </c>
      <c r="O7613">
        <v>5.4460003999999999E-2</v>
      </c>
      <c r="P7613">
        <v>2.3344185E-2</v>
      </c>
      <c r="Q7613" t="str">
        <f t="shared" si="236"/>
        <v>10-14</v>
      </c>
      <c r="R7613" t="str">
        <f t="shared" si="237"/>
        <v>[PekKUkKHAzY]|10-14|Male|PLHIV_Attend.T2|CY2026Q3</v>
      </c>
    </row>
    <row r="7614" spans="4:18" x14ac:dyDescent="0.2">
      <c r="D7614" t="s">
        <v>93</v>
      </c>
      <c r="E7614" t="s">
        <v>94</v>
      </c>
      <c r="F7614" t="s">
        <v>95</v>
      </c>
      <c r="G7614" t="s">
        <v>278</v>
      </c>
      <c r="H7614" t="s">
        <v>278</v>
      </c>
      <c r="I7614" t="s">
        <v>38</v>
      </c>
      <c r="J7614" t="s">
        <v>39</v>
      </c>
      <c r="K7614" t="s">
        <v>48</v>
      </c>
      <c r="L7614" t="s">
        <v>49</v>
      </c>
      <c r="M7614" t="s">
        <v>277</v>
      </c>
      <c r="N7614">
        <v>735</v>
      </c>
      <c r="O7614">
        <v>6.0118554999999997E-2</v>
      </c>
      <c r="P7614">
        <v>2.3344185E-2</v>
      </c>
      <c r="Q7614" t="str">
        <f t="shared" si="236"/>
        <v>15-24</v>
      </c>
      <c r="R7614" t="str">
        <f t="shared" si="237"/>
        <v>[PekKUkKHAzY]|15-24|Male|PLHIV_Attend.T2|CY2026Q3</v>
      </c>
    </row>
    <row r="7615" spans="4:18" x14ac:dyDescent="0.2">
      <c r="D7615" t="s">
        <v>93</v>
      </c>
      <c r="E7615" t="s">
        <v>94</v>
      </c>
      <c r="F7615" t="s">
        <v>95</v>
      </c>
      <c r="G7615" t="s">
        <v>278</v>
      </c>
      <c r="H7615" t="s">
        <v>278</v>
      </c>
      <c r="I7615" t="s">
        <v>41</v>
      </c>
      <c r="J7615" t="s">
        <v>42</v>
      </c>
      <c r="K7615" t="s">
        <v>48</v>
      </c>
      <c r="L7615" t="s">
        <v>49</v>
      </c>
      <c r="M7615" t="s">
        <v>277</v>
      </c>
      <c r="N7615">
        <v>901</v>
      </c>
      <c r="O7615">
        <v>6.7504625999999998E-2</v>
      </c>
      <c r="P7615">
        <v>2.3344185E-2</v>
      </c>
      <c r="Q7615" t="str">
        <f t="shared" si="236"/>
        <v>25-34</v>
      </c>
      <c r="R7615" t="str">
        <f t="shared" si="237"/>
        <v>[PekKUkKHAzY]|25-34|Male|PLHIV_Attend.T2|CY2026Q3</v>
      </c>
    </row>
    <row r="7616" spans="4:18" x14ac:dyDescent="0.2">
      <c r="D7616" t="s">
        <v>93</v>
      </c>
      <c r="E7616" t="s">
        <v>94</v>
      </c>
      <c r="F7616" t="s">
        <v>95</v>
      </c>
      <c r="G7616" t="s">
        <v>278</v>
      </c>
      <c r="H7616" t="s">
        <v>278</v>
      </c>
      <c r="I7616" t="s">
        <v>43</v>
      </c>
      <c r="J7616" t="s">
        <v>44</v>
      </c>
      <c r="K7616" t="s">
        <v>48</v>
      </c>
      <c r="L7616" t="s">
        <v>49</v>
      </c>
      <c r="M7616" t="s">
        <v>277</v>
      </c>
      <c r="N7616">
        <v>3413</v>
      </c>
      <c r="O7616">
        <v>3.9975357000000003E-2</v>
      </c>
      <c r="P7616">
        <v>2.3344185E-2</v>
      </c>
      <c r="Q7616" t="str">
        <f t="shared" si="236"/>
        <v>35-49</v>
      </c>
      <c r="R7616" t="str">
        <f t="shared" si="237"/>
        <v>[PekKUkKHAzY]|35-49|Male|PLHIV_Attend.T2|CY2026Q3</v>
      </c>
    </row>
    <row r="7617" spans="4:18" x14ac:dyDescent="0.2">
      <c r="D7617" t="s">
        <v>93</v>
      </c>
      <c r="E7617" t="s">
        <v>94</v>
      </c>
      <c r="F7617" t="s">
        <v>95</v>
      </c>
      <c r="G7617" t="s">
        <v>278</v>
      </c>
      <c r="H7617" t="s">
        <v>278</v>
      </c>
      <c r="I7617" t="s">
        <v>45</v>
      </c>
      <c r="J7617" t="s">
        <v>46</v>
      </c>
      <c r="K7617" t="s">
        <v>48</v>
      </c>
      <c r="L7617" t="s">
        <v>49</v>
      </c>
      <c r="M7617" t="s">
        <v>277</v>
      </c>
      <c r="N7617">
        <v>3246</v>
      </c>
      <c r="O7617">
        <v>3.5758519000000002E-2</v>
      </c>
      <c r="P7617">
        <v>2.3344185E-2</v>
      </c>
      <c r="Q7617" t="str">
        <f t="shared" si="236"/>
        <v>50+</v>
      </c>
      <c r="R7617" t="str">
        <f t="shared" si="237"/>
        <v>[PekKUkKHAzY]|50+|Male|PLHIV_Attend.T2|CY2026Q3</v>
      </c>
    </row>
    <row r="7618" spans="4:18" x14ac:dyDescent="0.2">
      <c r="D7618" t="s">
        <v>96</v>
      </c>
      <c r="E7618" t="s">
        <v>97</v>
      </c>
      <c r="F7618" t="s">
        <v>98</v>
      </c>
      <c r="G7618" t="s">
        <v>278</v>
      </c>
      <c r="H7618" t="s">
        <v>278</v>
      </c>
      <c r="I7618" t="s">
        <v>28</v>
      </c>
      <c r="J7618" t="s">
        <v>29</v>
      </c>
      <c r="K7618" t="s">
        <v>30</v>
      </c>
      <c r="L7618" t="s">
        <v>31</v>
      </c>
      <c r="M7618" t="s">
        <v>277</v>
      </c>
      <c r="N7618">
        <v>16</v>
      </c>
      <c r="O7618">
        <v>2.7468637000000001E-2</v>
      </c>
      <c r="P7618">
        <v>1.9917873999999999E-2</v>
      </c>
      <c r="Q7618" t="str">
        <f t="shared" si="236"/>
        <v>&lt;01</v>
      </c>
      <c r="R7618" t="str">
        <f t="shared" si="237"/>
        <v>[am530wpaGvr]|&lt;01|Female|PLHIV_Attend.T2|CY2026Q3</v>
      </c>
    </row>
    <row r="7619" spans="4:18" x14ac:dyDescent="0.2">
      <c r="D7619" t="s">
        <v>96</v>
      </c>
      <c r="E7619" t="s">
        <v>97</v>
      </c>
      <c r="F7619" t="s">
        <v>98</v>
      </c>
      <c r="G7619" t="s">
        <v>278</v>
      </c>
      <c r="H7619" t="s">
        <v>278</v>
      </c>
      <c r="I7619" t="s">
        <v>33</v>
      </c>
      <c r="J7619" t="s">
        <v>34</v>
      </c>
      <c r="K7619" t="s">
        <v>30</v>
      </c>
      <c r="L7619" t="s">
        <v>31</v>
      </c>
      <c r="M7619" t="s">
        <v>277</v>
      </c>
      <c r="N7619">
        <v>272</v>
      </c>
      <c r="O7619">
        <v>3.3141315999999997E-2</v>
      </c>
      <c r="P7619">
        <v>1.9917873999999999E-2</v>
      </c>
      <c r="Q7619" t="str">
        <f t="shared" ref="Q7619:Q7682" si="238">SUBSTITUTE(SUBSTITUTE($I7619,CHAR(61),""),CHAR(34),"")</f>
        <v>01-09</v>
      </c>
      <c r="R7619" t="str">
        <f t="shared" ref="R7619:R7682" si="239">IF($D7619&lt;&gt;"","["&amp;$E7619&amp;"]"&amp;"|"&amp;$Q7619&amp;"|"&amp;$K7619&amp;"|"&amp;$G7619&amp;"|"&amp;IF($G7619="TX_CURR_SUBNAT.R","CY2023Q4",$M7619),"")</f>
        <v>[am530wpaGvr]|01-09|Female|PLHIV_Attend.T2|CY2026Q3</v>
      </c>
    </row>
    <row r="7620" spans="4:18" x14ac:dyDescent="0.2">
      <c r="D7620" t="s">
        <v>96</v>
      </c>
      <c r="E7620" t="s">
        <v>97</v>
      </c>
      <c r="F7620" t="s">
        <v>98</v>
      </c>
      <c r="G7620" t="s">
        <v>278</v>
      </c>
      <c r="H7620" t="s">
        <v>278</v>
      </c>
      <c r="I7620" t="s">
        <v>36</v>
      </c>
      <c r="J7620" t="s">
        <v>37</v>
      </c>
      <c r="K7620" t="s">
        <v>30</v>
      </c>
      <c r="L7620" t="s">
        <v>31</v>
      </c>
      <c r="M7620" t="s">
        <v>277</v>
      </c>
      <c r="N7620">
        <v>370</v>
      </c>
      <c r="O7620">
        <v>4.3950563999999998E-2</v>
      </c>
      <c r="P7620">
        <v>1.9917873999999999E-2</v>
      </c>
      <c r="Q7620" t="str">
        <f t="shared" si="238"/>
        <v>10-14</v>
      </c>
      <c r="R7620" t="str">
        <f t="shared" si="239"/>
        <v>[am530wpaGvr]|10-14|Female|PLHIV_Attend.T2|CY2026Q3</v>
      </c>
    </row>
    <row r="7621" spans="4:18" x14ac:dyDescent="0.2">
      <c r="D7621" t="s">
        <v>96</v>
      </c>
      <c r="E7621" t="s">
        <v>97</v>
      </c>
      <c r="F7621" t="s">
        <v>98</v>
      </c>
      <c r="G7621" t="s">
        <v>278</v>
      </c>
      <c r="H7621" t="s">
        <v>278</v>
      </c>
      <c r="I7621" t="s">
        <v>38</v>
      </c>
      <c r="J7621" t="s">
        <v>39</v>
      </c>
      <c r="K7621" t="s">
        <v>30</v>
      </c>
      <c r="L7621" t="s">
        <v>31</v>
      </c>
      <c r="M7621" t="s">
        <v>277</v>
      </c>
      <c r="N7621">
        <v>1505</v>
      </c>
      <c r="O7621">
        <v>5.2034223999999997E-2</v>
      </c>
      <c r="P7621">
        <v>1.9917873999999999E-2</v>
      </c>
      <c r="Q7621" t="str">
        <f t="shared" si="238"/>
        <v>15-24</v>
      </c>
      <c r="R7621" t="str">
        <f t="shared" si="239"/>
        <v>[am530wpaGvr]|15-24|Female|PLHIV_Attend.T2|CY2026Q3</v>
      </c>
    </row>
    <row r="7622" spans="4:18" x14ac:dyDescent="0.2">
      <c r="D7622" t="s">
        <v>96</v>
      </c>
      <c r="E7622" t="s">
        <v>97</v>
      </c>
      <c r="F7622" t="s">
        <v>98</v>
      </c>
      <c r="G7622" t="s">
        <v>278</v>
      </c>
      <c r="H7622" t="s">
        <v>278</v>
      </c>
      <c r="I7622" t="s">
        <v>41</v>
      </c>
      <c r="J7622" t="s">
        <v>42</v>
      </c>
      <c r="K7622" t="s">
        <v>30</v>
      </c>
      <c r="L7622" t="s">
        <v>31</v>
      </c>
      <c r="M7622" t="s">
        <v>277</v>
      </c>
      <c r="N7622">
        <v>3390</v>
      </c>
      <c r="O7622">
        <v>4.2652492E-2</v>
      </c>
      <c r="P7622">
        <v>1.9917873999999999E-2</v>
      </c>
      <c r="Q7622" t="str">
        <f t="shared" si="238"/>
        <v>25-34</v>
      </c>
      <c r="R7622" t="str">
        <f t="shared" si="239"/>
        <v>[am530wpaGvr]|25-34|Female|PLHIV_Attend.T2|CY2026Q3</v>
      </c>
    </row>
    <row r="7623" spans="4:18" x14ac:dyDescent="0.2">
      <c r="D7623" t="s">
        <v>96</v>
      </c>
      <c r="E7623" t="s">
        <v>97</v>
      </c>
      <c r="F7623" t="s">
        <v>98</v>
      </c>
      <c r="G7623" t="s">
        <v>278</v>
      </c>
      <c r="H7623" t="s">
        <v>278</v>
      </c>
      <c r="I7623" t="s">
        <v>43</v>
      </c>
      <c r="J7623" t="s">
        <v>44</v>
      </c>
      <c r="K7623" t="s">
        <v>30</v>
      </c>
      <c r="L7623" t="s">
        <v>31</v>
      </c>
      <c r="M7623" t="s">
        <v>277</v>
      </c>
      <c r="N7623">
        <v>10221</v>
      </c>
      <c r="O7623">
        <v>2.4807777999999999E-2</v>
      </c>
      <c r="P7623">
        <v>1.9917873999999999E-2</v>
      </c>
      <c r="Q7623" t="str">
        <f t="shared" si="238"/>
        <v>35-49</v>
      </c>
      <c r="R7623" t="str">
        <f t="shared" si="239"/>
        <v>[am530wpaGvr]|35-49|Female|PLHIV_Attend.T2|CY2026Q3</v>
      </c>
    </row>
    <row r="7624" spans="4:18" x14ac:dyDescent="0.2">
      <c r="D7624" t="s">
        <v>96</v>
      </c>
      <c r="E7624" t="s">
        <v>97</v>
      </c>
      <c r="F7624" t="s">
        <v>98</v>
      </c>
      <c r="G7624" t="s">
        <v>278</v>
      </c>
      <c r="H7624" t="s">
        <v>278</v>
      </c>
      <c r="I7624" t="s">
        <v>45</v>
      </c>
      <c r="J7624" t="s">
        <v>46</v>
      </c>
      <c r="K7624" t="s">
        <v>30</v>
      </c>
      <c r="L7624" t="s">
        <v>31</v>
      </c>
      <c r="M7624" t="s">
        <v>277</v>
      </c>
      <c r="N7624">
        <v>6021</v>
      </c>
      <c r="O7624">
        <v>3.2961572000000001E-2</v>
      </c>
      <c r="P7624">
        <v>1.9917873999999999E-2</v>
      </c>
      <c r="Q7624" t="str">
        <f t="shared" si="238"/>
        <v>50+</v>
      </c>
      <c r="R7624" t="str">
        <f t="shared" si="239"/>
        <v>[am530wpaGvr]|50+|Female|PLHIV_Attend.T2|CY2026Q3</v>
      </c>
    </row>
    <row r="7625" spans="4:18" x14ac:dyDescent="0.2">
      <c r="D7625" t="s">
        <v>96</v>
      </c>
      <c r="E7625" t="s">
        <v>97</v>
      </c>
      <c r="F7625" t="s">
        <v>98</v>
      </c>
      <c r="G7625" t="s">
        <v>278</v>
      </c>
      <c r="H7625" t="s">
        <v>278</v>
      </c>
      <c r="I7625" t="s">
        <v>28</v>
      </c>
      <c r="J7625" t="s">
        <v>29</v>
      </c>
      <c r="K7625" t="s">
        <v>48</v>
      </c>
      <c r="L7625" t="s">
        <v>49</v>
      </c>
      <c r="M7625" t="s">
        <v>277</v>
      </c>
      <c r="N7625">
        <v>16</v>
      </c>
      <c r="O7625">
        <v>2.7347775000000001E-2</v>
      </c>
      <c r="P7625">
        <v>1.9917873999999999E-2</v>
      </c>
      <c r="Q7625" t="str">
        <f t="shared" si="238"/>
        <v>&lt;01</v>
      </c>
      <c r="R7625" t="str">
        <f t="shared" si="239"/>
        <v>[am530wpaGvr]|&lt;01|Male|PLHIV_Attend.T2|CY2026Q3</v>
      </c>
    </row>
    <row r="7626" spans="4:18" x14ac:dyDescent="0.2">
      <c r="D7626" t="s">
        <v>96</v>
      </c>
      <c r="E7626" t="s">
        <v>97</v>
      </c>
      <c r="F7626" t="s">
        <v>98</v>
      </c>
      <c r="G7626" t="s">
        <v>278</v>
      </c>
      <c r="H7626" t="s">
        <v>278</v>
      </c>
      <c r="I7626" t="s">
        <v>33</v>
      </c>
      <c r="J7626" t="s">
        <v>34</v>
      </c>
      <c r="K7626" t="s">
        <v>48</v>
      </c>
      <c r="L7626" t="s">
        <v>49</v>
      </c>
      <c r="M7626" t="s">
        <v>277</v>
      </c>
      <c r="N7626">
        <v>278</v>
      </c>
      <c r="O7626">
        <v>3.3006925999999999E-2</v>
      </c>
      <c r="P7626">
        <v>1.9917873999999999E-2</v>
      </c>
      <c r="Q7626" t="str">
        <f t="shared" si="238"/>
        <v>01-09</v>
      </c>
      <c r="R7626" t="str">
        <f t="shared" si="239"/>
        <v>[am530wpaGvr]|01-09|Male|PLHIV_Attend.T2|CY2026Q3</v>
      </c>
    </row>
    <row r="7627" spans="4:18" x14ac:dyDescent="0.2">
      <c r="D7627" t="s">
        <v>96</v>
      </c>
      <c r="E7627" t="s">
        <v>97</v>
      </c>
      <c r="F7627" t="s">
        <v>98</v>
      </c>
      <c r="G7627" t="s">
        <v>278</v>
      </c>
      <c r="H7627" t="s">
        <v>278</v>
      </c>
      <c r="I7627" t="s">
        <v>36</v>
      </c>
      <c r="J7627" t="s">
        <v>37</v>
      </c>
      <c r="K7627" t="s">
        <v>48</v>
      </c>
      <c r="L7627" t="s">
        <v>49</v>
      </c>
      <c r="M7627" t="s">
        <v>277</v>
      </c>
      <c r="N7627">
        <v>378</v>
      </c>
      <c r="O7627">
        <v>4.3890444000000001E-2</v>
      </c>
      <c r="P7627">
        <v>1.9917873999999999E-2</v>
      </c>
      <c r="Q7627" t="str">
        <f t="shared" si="238"/>
        <v>10-14</v>
      </c>
      <c r="R7627" t="str">
        <f t="shared" si="239"/>
        <v>[am530wpaGvr]|10-14|Male|PLHIV_Attend.T2|CY2026Q3</v>
      </c>
    </row>
    <row r="7628" spans="4:18" x14ac:dyDescent="0.2">
      <c r="D7628" t="s">
        <v>96</v>
      </c>
      <c r="E7628" t="s">
        <v>97</v>
      </c>
      <c r="F7628" t="s">
        <v>98</v>
      </c>
      <c r="G7628" t="s">
        <v>278</v>
      </c>
      <c r="H7628" t="s">
        <v>278</v>
      </c>
      <c r="I7628" t="s">
        <v>38</v>
      </c>
      <c r="J7628" t="s">
        <v>39</v>
      </c>
      <c r="K7628" t="s">
        <v>48</v>
      </c>
      <c r="L7628" t="s">
        <v>49</v>
      </c>
      <c r="M7628" t="s">
        <v>277</v>
      </c>
      <c r="N7628">
        <v>1110</v>
      </c>
      <c r="O7628">
        <v>5.6811983000000003E-2</v>
      </c>
      <c r="P7628">
        <v>1.9917873999999999E-2</v>
      </c>
      <c r="Q7628" t="str">
        <f t="shared" si="238"/>
        <v>15-24</v>
      </c>
      <c r="R7628" t="str">
        <f t="shared" si="239"/>
        <v>[am530wpaGvr]|15-24|Male|PLHIV_Attend.T2|CY2026Q3</v>
      </c>
    </row>
    <row r="7629" spans="4:18" x14ac:dyDescent="0.2">
      <c r="D7629" t="s">
        <v>96</v>
      </c>
      <c r="E7629" t="s">
        <v>97</v>
      </c>
      <c r="F7629" t="s">
        <v>98</v>
      </c>
      <c r="G7629" t="s">
        <v>278</v>
      </c>
      <c r="H7629" t="s">
        <v>278</v>
      </c>
      <c r="I7629" t="s">
        <v>41</v>
      </c>
      <c r="J7629" t="s">
        <v>42</v>
      </c>
      <c r="K7629" t="s">
        <v>48</v>
      </c>
      <c r="L7629" t="s">
        <v>49</v>
      </c>
      <c r="M7629" t="s">
        <v>277</v>
      </c>
      <c r="N7629">
        <v>1300</v>
      </c>
      <c r="O7629">
        <v>6.7304005E-2</v>
      </c>
      <c r="P7629">
        <v>1.9917873999999999E-2</v>
      </c>
      <c r="Q7629" t="str">
        <f t="shared" si="238"/>
        <v>25-34</v>
      </c>
      <c r="R7629" t="str">
        <f t="shared" si="239"/>
        <v>[am530wpaGvr]|25-34|Male|PLHIV_Attend.T2|CY2026Q3</v>
      </c>
    </row>
    <row r="7630" spans="4:18" x14ac:dyDescent="0.2">
      <c r="D7630" t="s">
        <v>96</v>
      </c>
      <c r="E7630" t="s">
        <v>97</v>
      </c>
      <c r="F7630" t="s">
        <v>98</v>
      </c>
      <c r="G7630" t="s">
        <v>278</v>
      </c>
      <c r="H7630" t="s">
        <v>278</v>
      </c>
      <c r="I7630" t="s">
        <v>43</v>
      </c>
      <c r="J7630" t="s">
        <v>44</v>
      </c>
      <c r="K7630" t="s">
        <v>48</v>
      </c>
      <c r="L7630" t="s">
        <v>49</v>
      </c>
      <c r="M7630" t="s">
        <v>277</v>
      </c>
      <c r="N7630">
        <v>4704</v>
      </c>
      <c r="O7630">
        <v>3.737178E-2</v>
      </c>
      <c r="P7630">
        <v>1.9917873999999999E-2</v>
      </c>
      <c r="Q7630" t="str">
        <f t="shared" si="238"/>
        <v>35-49</v>
      </c>
      <c r="R7630" t="str">
        <f t="shared" si="239"/>
        <v>[am530wpaGvr]|35-49|Male|PLHIV_Attend.T2|CY2026Q3</v>
      </c>
    </row>
    <row r="7631" spans="4:18" x14ac:dyDescent="0.2">
      <c r="D7631" t="s">
        <v>96</v>
      </c>
      <c r="E7631" t="s">
        <v>97</v>
      </c>
      <c r="F7631" t="s">
        <v>98</v>
      </c>
      <c r="G7631" t="s">
        <v>278</v>
      </c>
      <c r="H7631" t="s">
        <v>278</v>
      </c>
      <c r="I7631" t="s">
        <v>45</v>
      </c>
      <c r="J7631" t="s">
        <v>46</v>
      </c>
      <c r="K7631" t="s">
        <v>48</v>
      </c>
      <c r="L7631" t="s">
        <v>49</v>
      </c>
      <c r="M7631" t="s">
        <v>277</v>
      </c>
      <c r="N7631">
        <v>4370</v>
      </c>
      <c r="O7631">
        <v>3.3608235E-2</v>
      </c>
      <c r="P7631">
        <v>1.9917873999999999E-2</v>
      </c>
      <c r="Q7631" t="str">
        <f t="shared" si="238"/>
        <v>50+</v>
      </c>
      <c r="R7631" t="str">
        <f t="shared" si="239"/>
        <v>[am530wpaGvr]|50+|Male|PLHIV_Attend.T2|CY2026Q3</v>
      </c>
    </row>
    <row r="7632" spans="4:18" x14ac:dyDescent="0.2">
      <c r="D7632" t="s">
        <v>99</v>
      </c>
      <c r="E7632" t="s">
        <v>100</v>
      </c>
      <c r="F7632" t="s">
        <v>101</v>
      </c>
      <c r="G7632" t="s">
        <v>278</v>
      </c>
      <c r="H7632" t="s">
        <v>278</v>
      </c>
      <c r="I7632" t="s">
        <v>28</v>
      </c>
      <c r="J7632" t="s">
        <v>29</v>
      </c>
      <c r="K7632" t="s">
        <v>30</v>
      </c>
      <c r="L7632" t="s">
        <v>31</v>
      </c>
      <c r="M7632" t="s">
        <v>277</v>
      </c>
      <c r="N7632">
        <v>34</v>
      </c>
      <c r="O7632">
        <v>2.1903025E-2</v>
      </c>
      <c r="P7632">
        <v>1.2650036E-2</v>
      </c>
      <c r="Q7632" t="str">
        <f t="shared" si="238"/>
        <v>&lt;01</v>
      </c>
      <c r="R7632" t="str">
        <f t="shared" si="239"/>
        <v>[lLDyBx5XyUi]|&lt;01|Female|PLHIV_Attend.T2|CY2026Q3</v>
      </c>
    </row>
    <row r="7633" spans="4:18" x14ac:dyDescent="0.2">
      <c r="D7633" t="s">
        <v>99</v>
      </c>
      <c r="E7633" t="s">
        <v>100</v>
      </c>
      <c r="F7633" t="s">
        <v>101</v>
      </c>
      <c r="G7633" t="s">
        <v>278</v>
      </c>
      <c r="H7633" t="s">
        <v>278</v>
      </c>
      <c r="I7633" t="s">
        <v>33</v>
      </c>
      <c r="J7633" t="s">
        <v>34</v>
      </c>
      <c r="K7633" t="s">
        <v>30</v>
      </c>
      <c r="L7633" t="s">
        <v>31</v>
      </c>
      <c r="M7633" t="s">
        <v>277</v>
      </c>
      <c r="N7633">
        <v>633</v>
      </c>
      <c r="O7633">
        <v>2.9125531E-2</v>
      </c>
      <c r="P7633">
        <v>1.2650036E-2</v>
      </c>
      <c r="Q7633" t="str">
        <f t="shared" si="238"/>
        <v>01-09</v>
      </c>
      <c r="R7633" t="str">
        <f t="shared" si="239"/>
        <v>[lLDyBx5XyUi]|01-09|Female|PLHIV_Attend.T2|CY2026Q3</v>
      </c>
    </row>
    <row r="7634" spans="4:18" x14ac:dyDescent="0.2">
      <c r="D7634" t="s">
        <v>99</v>
      </c>
      <c r="E7634" t="s">
        <v>100</v>
      </c>
      <c r="F7634" t="s">
        <v>101</v>
      </c>
      <c r="G7634" t="s">
        <v>278</v>
      </c>
      <c r="H7634" t="s">
        <v>278</v>
      </c>
      <c r="I7634" t="s">
        <v>36</v>
      </c>
      <c r="J7634" t="s">
        <v>37</v>
      </c>
      <c r="K7634" t="s">
        <v>30</v>
      </c>
      <c r="L7634" t="s">
        <v>31</v>
      </c>
      <c r="M7634" t="s">
        <v>277</v>
      </c>
      <c r="N7634">
        <v>840</v>
      </c>
      <c r="O7634">
        <v>4.2616280999999999E-2</v>
      </c>
      <c r="P7634">
        <v>1.2650036E-2</v>
      </c>
      <c r="Q7634" t="str">
        <f t="shared" si="238"/>
        <v>10-14</v>
      </c>
      <c r="R7634" t="str">
        <f t="shared" si="239"/>
        <v>[lLDyBx5XyUi]|10-14|Female|PLHIV_Attend.T2|CY2026Q3</v>
      </c>
    </row>
    <row r="7635" spans="4:18" x14ac:dyDescent="0.2">
      <c r="D7635" t="s">
        <v>99</v>
      </c>
      <c r="E7635" t="s">
        <v>100</v>
      </c>
      <c r="F7635" t="s">
        <v>101</v>
      </c>
      <c r="G7635" t="s">
        <v>278</v>
      </c>
      <c r="H7635" t="s">
        <v>278</v>
      </c>
      <c r="I7635" t="s">
        <v>38</v>
      </c>
      <c r="J7635" t="s">
        <v>39</v>
      </c>
      <c r="K7635" t="s">
        <v>30</v>
      </c>
      <c r="L7635" t="s">
        <v>31</v>
      </c>
      <c r="M7635" t="s">
        <v>277</v>
      </c>
      <c r="N7635">
        <v>3186</v>
      </c>
      <c r="O7635">
        <v>4.9486291000000002E-2</v>
      </c>
      <c r="P7635">
        <v>1.2650036E-2</v>
      </c>
      <c r="Q7635" t="str">
        <f t="shared" si="238"/>
        <v>15-24</v>
      </c>
      <c r="R7635" t="str">
        <f t="shared" si="239"/>
        <v>[lLDyBx5XyUi]|15-24|Female|PLHIV_Attend.T2|CY2026Q3</v>
      </c>
    </row>
    <row r="7636" spans="4:18" x14ac:dyDescent="0.2">
      <c r="D7636" t="s">
        <v>99</v>
      </c>
      <c r="E7636" t="s">
        <v>100</v>
      </c>
      <c r="F7636" t="s">
        <v>101</v>
      </c>
      <c r="G7636" t="s">
        <v>278</v>
      </c>
      <c r="H7636" t="s">
        <v>278</v>
      </c>
      <c r="I7636" t="s">
        <v>41</v>
      </c>
      <c r="J7636" t="s">
        <v>42</v>
      </c>
      <c r="K7636" t="s">
        <v>30</v>
      </c>
      <c r="L7636" t="s">
        <v>31</v>
      </c>
      <c r="M7636" t="s">
        <v>277</v>
      </c>
      <c r="N7636">
        <v>7307</v>
      </c>
      <c r="O7636">
        <v>3.6567534999999998E-2</v>
      </c>
      <c r="P7636">
        <v>1.2650036E-2</v>
      </c>
      <c r="Q7636" t="str">
        <f t="shared" si="238"/>
        <v>25-34</v>
      </c>
      <c r="R7636" t="str">
        <f t="shared" si="239"/>
        <v>[lLDyBx5XyUi]|25-34|Female|PLHIV_Attend.T2|CY2026Q3</v>
      </c>
    </row>
    <row r="7637" spans="4:18" x14ac:dyDescent="0.2">
      <c r="D7637" t="s">
        <v>99</v>
      </c>
      <c r="E7637" t="s">
        <v>100</v>
      </c>
      <c r="F7637" t="s">
        <v>101</v>
      </c>
      <c r="G7637" t="s">
        <v>278</v>
      </c>
      <c r="H7637" t="s">
        <v>278</v>
      </c>
      <c r="I7637" t="s">
        <v>43</v>
      </c>
      <c r="J7637" t="s">
        <v>44</v>
      </c>
      <c r="K7637" t="s">
        <v>30</v>
      </c>
      <c r="L7637" t="s">
        <v>31</v>
      </c>
      <c r="M7637" t="s">
        <v>277</v>
      </c>
      <c r="N7637">
        <v>19621</v>
      </c>
      <c r="O7637">
        <v>1.9722831999999999E-2</v>
      </c>
      <c r="P7637">
        <v>1.2650036E-2</v>
      </c>
      <c r="Q7637" t="str">
        <f t="shared" si="238"/>
        <v>35-49</v>
      </c>
      <c r="R7637" t="str">
        <f t="shared" si="239"/>
        <v>[lLDyBx5XyUi]|35-49|Female|PLHIV_Attend.T2|CY2026Q3</v>
      </c>
    </row>
    <row r="7638" spans="4:18" x14ac:dyDescent="0.2">
      <c r="D7638" t="s">
        <v>99</v>
      </c>
      <c r="E7638" t="s">
        <v>100</v>
      </c>
      <c r="F7638" t="s">
        <v>101</v>
      </c>
      <c r="G7638" t="s">
        <v>278</v>
      </c>
      <c r="H7638" t="s">
        <v>278</v>
      </c>
      <c r="I7638" t="s">
        <v>45</v>
      </c>
      <c r="J7638" t="s">
        <v>46</v>
      </c>
      <c r="K7638" t="s">
        <v>30</v>
      </c>
      <c r="L7638" t="s">
        <v>31</v>
      </c>
      <c r="M7638" t="s">
        <v>277</v>
      </c>
      <c r="N7638">
        <v>10879</v>
      </c>
      <c r="O7638">
        <v>2.9888792000000001E-2</v>
      </c>
      <c r="P7638">
        <v>1.2650036E-2</v>
      </c>
      <c r="Q7638" t="str">
        <f t="shared" si="238"/>
        <v>50+</v>
      </c>
      <c r="R7638" t="str">
        <f t="shared" si="239"/>
        <v>[lLDyBx5XyUi]|50+|Female|PLHIV_Attend.T2|CY2026Q3</v>
      </c>
    </row>
    <row r="7639" spans="4:18" x14ac:dyDescent="0.2">
      <c r="D7639" t="s">
        <v>99</v>
      </c>
      <c r="E7639" t="s">
        <v>100</v>
      </c>
      <c r="F7639" t="s">
        <v>101</v>
      </c>
      <c r="G7639" t="s">
        <v>278</v>
      </c>
      <c r="H7639" t="s">
        <v>278</v>
      </c>
      <c r="I7639" t="s">
        <v>28</v>
      </c>
      <c r="J7639" t="s">
        <v>29</v>
      </c>
      <c r="K7639" t="s">
        <v>48</v>
      </c>
      <c r="L7639" t="s">
        <v>49</v>
      </c>
      <c r="M7639" t="s">
        <v>277</v>
      </c>
      <c r="N7639">
        <v>34</v>
      </c>
      <c r="O7639">
        <v>2.1874074E-2</v>
      </c>
      <c r="P7639">
        <v>1.2650036E-2</v>
      </c>
      <c r="Q7639" t="str">
        <f t="shared" si="238"/>
        <v>&lt;01</v>
      </c>
      <c r="R7639" t="str">
        <f t="shared" si="239"/>
        <v>[lLDyBx5XyUi]|&lt;01|Male|PLHIV_Attend.T2|CY2026Q3</v>
      </c>
    </row>
    <row r="7640" spans="4:18" x14ac:dyDescent="0.2">
      <c r="D7640" t="s">
        <v>99</v>
      </c>
      <c r="E7640" t="s">
        <v>100</v>
      </c>
      <c r="F7640" t="s">
        <v>101</v>
      </c>
      <c r="G7640" t="s">
        <v>278</v>
      </c>
      <c r="H7640" t="s">
        <v>278</v>
      </c>
      <c r="I7640" t="s">
        <v>33</v>
      </c>
      <c r="J7640" t="s">
        <v>34</v>
      </c>
      <c r="K7640" t="s">
        <v>48</v>
      </c>
      <c r="L7640" t="s">
        <v>49</v>
      </c>
      <c r="M7640" t="s">
        <v>277</v>
      </c>
      <c r="N7640">
        <v>640</v>
      </c>
      <c r="O7640">
        <v>2.9106578000000001E-2</v>
      </c>
      <c r="P7640">
        <v>1.2650036E-2</v>
      </c>
      <c r="Q7640" t="str">
        <f t="shared" si="238"/>
        <v>01-09</v>
      </c>
      <c r="R7640" t="str">
        <f t="shared" si="239"/>
        <v>[lLDyBx5XyUi]|01-09|Male|PLHIV_Attend.T2|CY2026Q3</v>
      </c>
    </row>
    <row r="7641" spans="4:18" x14ac:dyDescent="0.2">
      <c r="D7641" t="s">
        <v>99</v>
      </c>
      <c r="E7641" t="s">
        <v>100</v>
      </c>
      <c r="F7641" t="s">
        <v>101</v>
      </c>
      <c r="G7641" t="s">
        <v>278</v>
      </c>
      <c r="H7641" t="s">
        <v>278</v>
      </c>
      <c r="I7641" t="s">
        <v>36</v>
      </c>
      <c r="J7641" t="s">
        <v>37</v>
      </c>
      <c r="K7641" t="s">
        <v>48</v>
      </c>
      <c r="L7641" t="s">
        <v>49</v>
      </c>
      <c r="M7641" t="s">
        <v>277</v>
      </c>
      <c r="N7641">
        <v>851</v>
      </c>
      <c r="O7641">
        <v>4.2612022999999999E-2</v>
      </c>
      <c r="P7641">
        <v>1.2650036E-2</v>
      </c>
      <c r="Q7641" t="str">
        <f t="shared" si="238"/>
        <v>10-14</v>
      </c>
      <c r="R7641" t="str">
        <f t="shared" si="239"/>
        <v>[lLDyBx5XyUi]|10-14|Male|PLHIV_Attend.T2|CY2026Q3</v>
      </c>
    </row>
    <row r="7642" spans="4:18" x14ac:dyDescent="0.2">
      <c r="D7642" t="s">
        <v>99</v>
      </c>
      <c r="E7642" t="s">
        <v>100</v>
      </c>
      <c r="F7642" t="s">
        <v>101</v>
      </c>
      <c r="G7642" t="s">
        <v>278</v>
      </c>
      <c r="H7642" t="s">
        <v>278</v>
      </c>
      <c r="I7642" t="s">
        <v>38</v>
      </c>
      <c r="J7642" t="s">
        <v>39</v>
      </c>
      <c r="K7642" t="s">
        <v>48</v>
      </c>
      <c r="L7642" t="s">
        <v>49</v>
      </c>
      <c r="M7642" t="s">
        <v>277</v>
      </c>
      <c r="N7642">
        <v>2184</v>
      </c>
      <c r="O7642">
        <v>5.1575010999999997E-2</v>
      </c>
      <c r="P7642">
        <v>1.2650036E-2</v>
      </c>
      <c r="Q7642" t="str">
        <f t="shared" si="238"/>
        <v>15-24</v>
      </c>
      <c r="R7642" t="str">
        <f t="shared" si="239"/>
        <v>[lLDyBx5XyUi]|15-24|Male|PLHIV_Attend.T2|CY2026Q3</v>
      </c>
    </row>
    <row r="7643" spans="4:18" x14ac:dyDescent="0.2">
      <c r="D7643" t="s">
        <v>99</v>
      </c>
      <c r="E7643" t="s">
        <v>100</v>
      </c>
      <c r="F7643" t="s">
        <v>101</v>
      </c>
      <c r="G7643" t="s">
        <v>278</v>
      </c>
      <c r="H7643" t="s">
        <v>278</v>
      </c>
      <c r="I7643" t="s">
        <v>41</v>
      </c>
      <c r="J7643" t="s">
        <v>42</v>
      </c>
      <c r="K7643" t="s">
        <v>48</v>
      </c>
      <c r="L7643" t="s">
        <v>49</v>
      </c>
      <c r="M7643" t="s">
        <v>277</v>
      </c>
      <c r="N7643">
        <v>2254</v>
      </c>
      <c r="O7643">
        <v>6.0612470000000002E-2</v>
      </c>
      <c r="P7643">
        <v>1.2650036E-2</v>
      </c>
      <c r="Q7643" t="str">
        <f t="shared" si="238"/>
        <v>25-34</v>
      </c>
      <c r="R7643" t="str">
        <f t="shared" si="239"/>
        <v>[lLDyBx5XyUi]|25-34|Male|PLHIV_Attend.T2|CY2026Q3</v>
      </c>
    </row>
    <row r="7644" spans="4:18" x14ac:dyDescent="0.2">
      <c r="D7644" t="s">
        <v>99</v>
      </c>
      <c r="E7644" t="s">
        <v>100</v>
      </c>
      <c r="F7644" t="s">
        <v>101</v>
      </c>
      <c r="G7644" t="s">
        <v>278</v>
      </c>
      <c r="H7644" t="s">
        <v>278</v>
      </c>
      <c r="I7644" t="s">
        <v>43</v>
      </c>
      <c r="J7644" t="s">
        <v>44</v>
      </c>
      <c r="K7644" t="s">
        <v>48</v>
      </c>
      <c r="L7644" t="s">
        <v>49</v>
      </c>
      <c r="M7644" t="s">
        <v>277</v>
      </c>
      <c r="N7644">
        <v>7781</v>
      </c>
      <c r="O7644">
        <v>3.3159300000000003E-2</v>
      </c>
      <c r="P7644">
        <v>1.2650036E-2</v>
      </c>
      <c r="Q7644" t="str">
        <f t="shared" si="238"/>
        <v>35-49</v>
      </c>
      <c r="R7644" t="str">
        <f t="shared" si="239"/>
        <v>[lLDyBx5XyUi]|35-49|Male|PLHIV_Attend.T2|CY2026Q3</v>
      </c>
    </row>
    <row r="7645" spans="4:18" x14ac:dyDescent="0.2">
      <c r="D7645" t="s">
        <v>99</v>
      </c>
      <c r="E7645" t="s">
        <v>100</v>
      </c>
      <c r="F7645" t="s">
        <v>101</v>
      </c>
      <c r="G7645" t="s">
        <v>278</v>
      </c>
      <c r="H7645" t="s">
        <v>278</v>
      </c>
      <c r="I7645" t="s">
        <v>45</v>
      </c>
      <c r="J7645" t="s">
        <v>46</v>
      </c>
      <c r="K7645" t="s">
        <v>48</v>
      </c>
      <c r="L7645" t="s">
        <v>49</v>
      </c>
      <c r="M7645" t="s">
        <v>277</v>
      </c>
      <c r="N7645">
        <v>7468</v>
      </c>
      <c r="O7645">
        <v>2.9264142E-2</v>
      </c>
      <c r="P7645">
        <v>1.2650036E-2</v>
      </c>
      <c r="Q7645" t="str">
        <f t="shared" si="238"/>
        <v>50+</v>
      </c>
      <c r="R7645" t="str">
        <f t="shared" si="239"/>
        <v>[lLDyBx5XyUi]|50+|Male|PLHIV_Attend.T2|CY2026Q3</v>
      </c>
    </row>
    <row r="7646" spans="4:18" x14ac:dyDescent="0.2">
      <c r="D7646" t="s">
        <v>102</v>
      </c>
      <c r="E7646" t="s">
        <v>103</v>
      </c>
      <c r="F7646" t="s">
        <v>104</v>
      </c>
      <c r="G7646" t="s">
        <v>278</v>
      </c>
      <c r="H7646" t="s">
        <v>278</v>
      </c>
      <c r="I7646" t="s">
        <v>28</v>
      </c>
      <c r="J7646" t="s">
        <v>29</v>
      </c>
      <c r="K7646" t="s">
        <v>30</v>
      </c>
      <c r="L7646" t="s">
        <v>31</v>
      </c>
      <c r="M7646" t="s">
        <v>277</v>
      </c>
      <c r="N7646">
        <v>18</v>
      </c>
      <c r="O7646">
        <v>2.5599070000000002E-2</v>
      </c>
      <c r="P7646">
        <v>1.6888566000000001E-2</v>
      </c>
      <c r="Q7646" t="str">
        <f t="shared" si="238"/>
        <v>&lt;01</v>
      </c>
      <c r="R7646" t="str">
        <f t="shared" si="239"/>
        <v>[TYnMSwzko3z]|&lt;01|Female|PLHIV_Attend.T2|CY2026Q3</v>
      </c>
    </row>
    <row r="7647" spans="4:18" x14ac:dyDescent="0.2">
      <c r="D7647" t="s">
        <v>102</v>
      </c>
      <c r="E7647" t="s">
        <v>103</v>
      </c>
      <c r="F7647" t="s">
        <v>104</v>
      </c>
      <c r="G7647" t="s">
        <v>278</v>
      </c>
      <c r="H7647" t="s">
        <v>278</v>
      </c>
      <c r="I7647" t="s">
        <v>33</v>
      </c>
      <c r="J7647" t="s">
        <v>34</v>
      </c>
      <c r="K7647" t="s">
        <v>30</v>
      </c>
      <c r="L7647" t="s">
        <v>31</v>
      </c>
      <c r="M7647" t="s">
        <v>277</v>
      </c>
      <c r="N7647">
        <v>339</v>
      </c>
      <c r="O7647">
        <v>3.4087066999999999E-2</v>
      </c>
      <c r="P7647">
        <v>1.6888566000000001E-2</v>
      </c>
      <c r="Q7647" t="str">
        <f t="shared" si="238"/>
        <v>01-09</v>
      </c>
      <c r="R7647" t="str">
        <f t="shared" si="239"/>
        <v>[TYnMSwzko3z]|01-09|Female|PLHIV_Attend.T2|CY2026Q3</v>
      </c>
    </row>
    <row r="7648" spans="4:18" x14ac:dyDescent="0.2">
      <c r="D7648" t="s">
        <v>102</v>
      </c>
      <c r="E7648" t="s">
        <v>103</v>
      </c>
      <c r="F7648" t="s">
        <v>104</v>
      </c>
      <c r="G7648" t="s">
        <v>278</v>
      </c>
      <c r="H7648" t="s">
        <v>278</v>
      </c>
      <c r="I7648" t="s">
        <v>36</v>
      </c>
      <c r="J7648" t="s">
        <v>37</v>
      </c>
      <c r="K7648" t="s">
        <v>30</v>
      </c>
      <c r="L7648" t="s">
        <v>31</v>
      </c>
      <c r="M7648" t="s">
        <v>277</v>
      </c>
      <c r="N7648">
        <v>460</v>
      </c>
      <c r="O7648">
        <v>5.0181091999999997E-2</v>
      </c>
      <c r="P7648">
        <v>1.6888566000000001E-2</v>
      </c>
      <c r="Q7648" t="str">
        <f t="shared" si="238"/>
        <v>10-14</v>
      </c>
      <c r="R7648" t="str">
        <f t="shared" si="239"/>
        <v>[TYnMSwzko3z]|10-14|Female|PLHIV_Attend.T2|CY2026Q3</v>
      </c>
    </row>
    <row r="7649" spans="4:18" x14ac:dyDescent="0.2">
      <c r="D7649" t="s">
        <v>102</v>
      </c>
      <c r="E7649" t="s">
        <v>103</v>
      </c>
      <c r="F7649" t="s">
        <v>104</v>
      </c>
      <c r="G7649" t="s">
        <v>278</v>
      </c>
      <c r="H7649" t="s">
        <v>278</v>
      </c>
      <c r="I7649" t="s">
        <v>38</v>
      </c>
      <c r="J7649" t="s">
        <v>39</v>
      </c>
      <c r="K7649" t="s">
        <v>30</v>
      </c>
      <c r="L7649" t="s">
        <v>31</v>
      </c>
      <c r="M7649" t="s">
        <v>277</v>
      </c>
      <c r="N7649">
        <v>1739</v>
      </c>
      <c r="O7649">
        <v>5.1466650000000003E-2</v>
      </c>
      <c r="P7649">
        <v>1.6888566000000001E-2</v>
      </c>
      <c r="Q7649" t="str">
        <f t="shared" si="238"/>
        <v>15-24</v>
      </c>
      <c r="R7649" t="str">
        <f t="shared" si="239"/>
        <v>[TYnMSwzko3z]|15-24|Female|PLHIV_Attend.T2|CY2026Q3</v>
      </c>
    </row>
    <row r="7650" spans="4:18" x14ac:dyDescent="0.2">
      <c r="D7650" t="s">
        <v>102</v>
      </c>
      <c r="E7650" t="s">
        <v>103</v>
      </c>
      <c r="F7650" t="s">
        <v>104</v>
      </c>
      <c r="G7650" t="s">
        <v>278</v>
      </c>
      <c r="H7650" t="s">
        <v>278</v>
      </c>
      <c r="I7650" t="s">
        <v>41</v>
      </c>
      <c r="J7650" t="s">
        <v>42</v>
      </c>
      <c r="K7650" t="s">
        <v>30</v>
      </c>
      <c r="L7650" t="s">
        <v>31</v>
      </c>
      <c r="M7650" t="s">
        <v>277</v>
      </c>
      <c r="N7650">
        <v>3951</v>
      </c>
      <c r="O7650">
        <v>3.8323756E-2</v>
      </c>
      <c r="P7650">
        <v>1.6888566000000001E-2</v>
      </c>
      <c r="Q7650" t="str">
        <f t="shared" si="238"/>
        <v>25-34</v>
      </c>
      <c r="R7650" t="str">
        <f t="shared" si="239"/>
        <v>[TYnMSwzko3z]|25-34|Female|PLHIV_Attend.T2|CY2026Q3</v>
      </c>
    </row>
    <row r="7651" spans="4:18" x14ac:dyDescent="0.2">
      <c r="D7651" t="s">
        <v>102</v>
      </c>
      <c r="E7651" t="s">
        <v>103</v>
      </c>
      <c r="F7651" t="s">
        <v>104</v>
      </c>
      <c r="G7651" t="s">
        <v>278</v>
      </c>
      <c r="H7651" t="s">
        <v>278</v>
      </c>
      <c r="I7651" t="s">
        <v>43</v>
      </c>
      <c r="J7651" t="s">
        <v>44</v>
      </c>
      <c r="K7651" t="s">
        <v>30</v>
      </c>
      <c r="L7651" t="s">
        <v>31</v>
      </c>
      <c r="M7651" t="s">
        <v>277</v>
      </c>
      <c r="N7651">
        <v>11075</v>
      </c>
      <c r="O7651">
        <v>2.2536720999999999E-2</v>
      </c>
      <c r="P7651">
        <v>1.6888566000000001E-2</v>
      </c>
      <c r="Q7651" t="str">
        <f t="shared" si="238"/>
        <v>35-49</v>
      </c>
      <c r="R7651" t="str">
        <f t="shared" si="239"/>
        <v>[TYnMSwzko3z]|35-49|Female|PLHIV_Attend.T2|CY2026Q3</v>
      </c>
    </row>
    <row r="7652" spans="4:18" x14ac:dyDescent="0.2">
      <c r="D7652" t="s">
        <v>102</v>
      </c>
      <c r="E7652" t="s">
        <v>103</v>
      </c>
      <c r="F7652" t="s">
        <v>104</v>
      </c>
      <c r="G7652" t="s">
        <v>278</v>
      </c>
      <c r="H7652" t="s">
        <v>278</v>
      </c>
      <c r="I7652" t="s">
        <v>45</v>
      </c>
      <c r="J7652" t="s">
        <v>46</v>
      </c>
      <c r="K7652" t="s">
        <v>30</v>
      </c>
      <c r="L7652" t="s">
        <v>31</v>
      </c>
      <c r="M7652" t="s">
        <v>277</v>
      </c>
      <c r="N7652">
        <v>6061</v>
      </c>
      <c r="O7652">
        <v>3.3819050000000003E-2</v>
      </c>
      <c r="P7652">
        <v>1.6888566000000001E-2</v>
      </c>
      <c r="Q7652" t="str">
        <f t="shared" si="238"/>
        <v>50+</v>
      </c>
      <c r="R7652" t="str">
        <f t="shared" si="239"/>
        <v>[TYnMSwzko3z]|50+|Female|PLHIV_Attend.T2|CY2026Q3</v>
      </c>
    </row>
    <row r="7653" spans="4:18" x14ac:dyDescent="0.2">
      <c r="D7653" t="s">
        <v>102</v>
      </c>
      <c r="E7653" t="s">
        <v>103</v>
      </c>
      <c r="F7653" t="s">
        <v>104</v>
      </c>
      <c r="G7653" t="s">
        <v>278</v>
      </c>
      <c r="H7653" t="s">
        <v>278</v>
      </c>
      <c r="I7653" t="s">
        <v>28</v>
      </c>
      <c r="J7653" t="s">
        <v>29</v>
      </c>
      <c r="K7653" t="s">
        <v>48</v>
      </c>
      <c r="L7653" t="s">
        <v>49</v>
      </c>
      <c r="M7653" t="s">
        <v>277</v>
      </c>
      <c r="N7653">
        <v>19</v>
      </c>
      <c r="O7653">
        <v>2.5561293999999998E-2</v>
      </c>
      <c r="P7653">
        <v>1.6888566000000001E-2</v>
      </c>
      <c r="Q7653" t="str">
        <f t="shared" si="238"/>
        <v>&lt;01</v>
      </c>
      <c r="R7653" t="str">
        <f t="shared" si="239"/>
        <v>[TYnMSwzko3z]|&lt;01|Male|PLHIV_Attend.T2|CY2026Q3</v>
      </c>
    </row>
    <row r="7654" spans="4:18" x14ac:dyDescent="0.2">
      <c r="D7654" t="s">
        <v>102</v>
      </c>
      <c r="E7654" t="s">
        <v>103</v>
      </c>
      <c r="F7654" t="s">
        <v>104</v>
      </c>
      <c r="G7654" t="s">
        <v>278</v>
      </c>
      <c r="H7654" t="s">
        <v>278</v>
      </c>
      <c r="I7654" t="s">
        <v>33</v>
      </c>
      <c r="J7654" t="s">
        <v>34</v>
      </c>
      <c r="K7654" t="s">
        <v>48</v>
      </c>
      <c r="L7654" t="s">
        <v>49</v>
      </c>
      <c r="M7654" t="s">
        <v>277</v>
      </c>
      <c r="N7654">
        <v>341</v>
      </c>
      <c r="O7654">
        <v>3.4011922999999999E-2</v>
      </c>
      <c r="P7654">
        <v>1.6888566000000001E-2</v>
      </c>
      <c r="Q7654" t="str">
        <f t="shared" si="238"/>
        <v>01-09</v>
      </c>
      <c r="R7654" t="str">
        <f t="shared" si="239"/>
        <v>[TYnMSwzko3z]|01-09|Male|PLHIV_Attend.T2|CY2026Q3</v>
      </c>
    </row>
    <row r="7655" spans="4:18" x14ac:dyDescent="0.2">
      <c r="D7655" t="s">
        <v>102</v>
      </c>
      <c r="E7655" t="s">
        <v>103</v>
      </c>
      <c r="F7655" t="s">
        <v>104</v>
      </c>
      <c r="G7655" t="s">
        <v>278</v>
      </c>
      <c r="H7655" t="s">
        <v>278</v>
      </c>
      <c r="I7655" t="s">
        <v>36</v>
      </c>
      <c r="J7655" t="s">
        <v>37</v>
      </c>
      <c r="K7655" t="s">
        <v>48</v>
      </c>
      <c r="L7655" t="s">
        <v>49</v>
      </c>
      <c r="M7655" t="s">
        <v>277</v>
      </c>
      <c r="N7655">
        <v>461</v>
      </c>
      <c r="O7655">
        <v>5.0056826999999998E-2</v>
      </c>
      <c r="P7655">
        <v>1.6888566000000001E-2</v>
      </c>
      <c r="Q7655" t="str">
        <f t="shared" si="238"/>
        <v>10-14</v>
      </c>
      <c r="R7655" t="str">
        <f t="shared" si="239"/>
        <v>[TYnMSwzko3z]|10-14|Male|PLHIV_Attend.T2|CY2026Q3</v>
      </c>
    </row>
    <row r="7656" spans="4:18" x14ac:dyDescent="0.2">
      <c r="D7656" t="s">
        <v>102</v>
      </c>
      <c r="E7656" t="s">
        <v>103</v>
      </c>
      <c r="F7656" t="s">
        <v>104</v>
      </c>
      <c r="G7656" t="s">
        <v>278</v>
      </c>
      <c r="H7656" t="s">
        <v>278</v>
      </c>
      <c r="I7656" t="s">
        <v>38</v>
      </c>
      <c r="J7656" t="s">
        <v>39</v>
      </c>
      <c r="K7656" t="s">
        <v>48</v>
      </c>
      <c r="L7656" t="s">
        <v>49</v>
      </c>
      <c r="M7656" t="s">
        <v>277</v>
      </c>
      <c r="N7656">
        <v>1203</v>
      </c>
      <c r="O7656">
        <v>5.4991518000000003E-2</v>
      </c>
      <c r="P7656">
        <v>1.6888566000000001E-2</v>
      </c>
      <c r="Q7656" t="str">
        <f t="shared" si="238"/>
        <v>15-24</v>
      </c>
      <c r="R7656" t="str">
        <f t="shared" si="239"/>
        <v>[TYnMSwzko3z]|15-24|Male|PLHIV_Attend.T2|CY2026Q3</v>
      </c>
    </row>
    <row r="7657" spans="4:18" x14ac:dyDescent="0.2">
      <c r="D7657" t="s">
        <v>102</v>
      </c>
      <c r="E7657" t="s">
        <v>103</v>
      </c>
      <c r="F7657" t="s">
        <v>104</v>
      </c>
      <c r="G7657" t="s">
        <v>278</v>
      </c>
      <c r="H7657" t="s">
        <v>278</v>
      </c>
      <c r="I7657" t="s">
        <v>41</v>
      </c>
      <c r="J7657" t="s">
        <v>42</v>
      </c>
      <c r="K7657" t="s">
        <v>48</v>
      </c>
      <c r="L7657" t="s">
        <v>49</v>
      </c>
      <c r="M7657" t="s">
        <v>277</v>
      </c>
      <c r="N7657">
        <v>1241</v>
      </c>
      <c r="O7657">
        <v>6.1440934000000003E-2</v>
      </c>
      <c r="P7657">
        <v>1.6888566000000001E-2</v>
      </c>
      <c r="Q7657" t="str">
        <f t="shared" si="238"/>
        <v>25-34</v>
      </c>
      <c r="R7657" t="str">
        <f t="shared" si="239"/>
        <v>[TYnMSwzko3z]|25-34|Male|PLHIV_Attend.T2|CY2026Q3</v>
      </c>
    </row>
    <row r="7658" spans="4:18" x14ac:dyDescent="0.2">
      <c r="D7658" t="s">
        <v>102</v>
      </c>
      <c r="E7658" t="s">
        <v>103</v>
      </c>
      <c r="F7658" t="s">
        <v>104</v>
      </c>
      <c r="G7658" t="s">
        <v>278</v>
      </c>
      <c r="H7658" t="s">
        <v>278</v>
      </c>
      <c r="I7658" t="s">
        <v>43</v>
      </c>
      <c r="J7658" t="s">
        <v>44</v>
      </c>
      <c r="K7658" t="s">
        <v>48</v>
      </c>
      <c r="L7658" t="s">
        <v>49</v>
      </c>
      <c r="M7658" t="s">
        <v>277</v>
      </c>
      <c r="N7658">
        <v>4286</v>
      </c>
      <c r="O7658">
        <v>3.5812983E-2</v>
      </c>
      <c r="P7658">
        <v>1.6888566000000001E-2</v>
      </c>
      <c r="Q7658" t="str">
        <f t="shared" si="238"/>
        <v>35-49</v>
      </c>
      <c r="R7658" t="str">
        <f t="shared" si="239"/>
        <v>[TYnMSwzko3z]|35-49|Male|PLHIV_Attend.T2|CY2026Q3</v>
      </c>
    </row>
    <row r="7659" spans="4:18" x14ac:dyDescent="0.2">
      <c r="D7659" t="s">
        <v>102</v>
      </c>
      <c r="E7659" t="s">
        <v>103</v>
      </c>
      <c r="F7659" t="s">
        <v>104</v>
      </c>
      <c r="G7659" t="s">
        <v>278</v>
      </c>
      <c r="H7659" t="s">
        <v>278</v>
      </c>
      <c r="I7659" t="s">
        <v>45</v>
      </c>
      <c r="J7659" t="s">
        <v>46</v>
      </c>
      <c r="K7659" t="s">
        <v>48</v>
      </c>
      <c r="L7659" t="s">
        <v>49</v>
      </c>
      <c r="M7659" t="s">
        <v>277</v>
      </c>
      <c r="N7659">
        <v>4186</v>
      </c>
      <c r="O7659">
        <v>3.1855546999999998E-2</v>
      </c>
      <c r="P7659">
        <v>1.6888566000000001E-2</v>
      </c>
      <c r="Q7659" t="str">
        <f t="shared" si="238"/>
        <v>50+</v>
      </c>
      <c r="R7659" t="str">
        <f t="shared" si="239"/>
        <v>[TYnMSwzko3z]|50+|Male|PLHIV_Attend.T2|CY2026Q3</v>
      </c>
    </row>
    <row r="7660" spans="4:18" x14ac:dyDescent="0.2">
      <c r="D7660" t="s">
        <v>105</v>
      </c>
      <c r="E7660" t="s">
        <v>106</v>
      </c>
      <c r="F7660" t="s">
        <v>107</v>
      </c>
      <c r="G7660" t="s">
        <v>278</v>
      </c>
      <c r="H7660" t="s">
        <v>278</v>
      </c>
      <c r="I7660" t="s">
        <v>28</v>
      </c>
      <c r="J7660" t="s">
        <v>29</v>
      </c>
      <c r="K7660" t="s">
        <v>30</v>
      </c>
      <c r="L7660" t="s">
        <v>31</v>
      </c>
      <c r="M7660" t="s">
        <v>277</v>
      </c>
      <c r="N7660">
        <v>32</v>
      </c>
      <c r="O7660">
        <v>1.6191732E-2</v>
      </c>
      <c r="P7660">
        <v>1.0757289E-2</v>
      </c>
      <c r="Q7660" t="str">
        <f t="shared" si="238"/>
        <v>&lt;01</v>
      </c>
      <c r="R7660" t="str">
        <f t="shared" si="239"/>
        <v>[fyEoGEPERdI]|&lt;01|Female|PLHIV_Attend.T2|CY2026Q3</v>
      </c>
    </row>
    <row r="7661" spans="4:18" x14ac:dyDescent="0.2">
      <c r="D7661" t="s">
        <v>105</v>
      </c>
      <c r="E7661" t="s">
        <v>106</v>
      </c>
      <c r="F7661" t="s">
        <v>107</v>
      </c>
      <c r="G7661" t="s">
        <v>278</v>
      </c>
      <c r="H7661" t="s">
        <v>278</v>
      </c>
      <c r="I7661" t="s">
        <v>33</v>
      </c>
      <c r="J7661" t="s">
        <v>34</v>
      </c>
      <c r="K7661" t="s">
        <v>30</v>
      </c>
      <c r="L7661" t="s">
        <v>31</v>
      </c>
      <c r="M7661" t="s">
        <v>277</v>
      </c>
      <c r="N7661">
        <v>550</v>
      </c>
      <c r="O7661">
        <v>2.0343983999999999E-2</v>
      </c>
      <c r="P7661">
        <v>1.0757289E-2</v>
      </c>
      <c r="Q7661" t="str">
        <f t="shared" si="238"/>
        <v>01-09</v>
      </c>
      <c r="R7661" t="str">
        <f t="shared" si="239"/>
        <v>[fyEoGEPERdI]|01-09|Female|PLHIV_Attend.T2|CY2026Q3</v>
      </c>
    </row>
    <row r="7662" spans="4:18" x14ac:dyDescent="0.2">
      <c r="D7662" t="s">
        <v>105</v>
      </c>
      <c r="E7662" t="s">
        <v>106</v>
      </c>
      <c r="F7662" t="s">
        <v>107</v>
      </c>
      <c r="G7662" t="s">
        <v>278</v>
      </c>
      <c r="H7662" t="s">
        <v>278</v>
      </c>
      <c r="I7662" t="s">
        <v>36</v>
      </c>
      <c r="J7662" t="s">
        <v>37</v>
      </c>
      <c r="K7662" t="s">
        <v>30</v>
      </c>
      <c r="L7662" t="s">
        <v>31</v>
      </c>
      <c r="M7662" t="s">
        <v>277</v>
      </c>
      <c r="N7662">
        <v>712</v>
      </c>
      <c r="O7662">
        <v>2.9893676000000001E-2</v>
      </c>
      <c r="P7662">
        <v>1.0757289E-2</v>
      </c>
      <c r="Q7662" t="str">
        <f t="shared" si="238"/>
        <v>10-14</v>
      </c>
      <c r="R7662" t="str">
        <f t="shared" si="239"/>
        <v>[fyEoGEPERdI]|10-14|Female|PLHIV_Attend.T2|CY2026Q3</v>
      </c>
    </row>
    <row r="7663" spans="4:18" x14ac:dyDescent="0.2">
      <c r="D7663" t="s">
        <v>105</v>
      </c>
      <c r="E7663" t="s">
        <v>106</v>
      </c>
      <c r="F7663" t="s">
        <v>107</v>
      </c>
      <c r="G7663" t="s">
        <v>278</v>
      </c>
      <c r="H7663" t="s">
        <v>278</v>
      </c>
      <c r="I7663" t="s">
        <v>38</v>
      </c>
      <c r="J7663" t="s">
        <v>39</v>
      </c>
      <c r="K7663" t="s">
        <v>30</v>
      </c>
      <c r="L7663" t="s">
        <v>31</v>
      </c>
      <c r="M7663" t="s">
        <v>277</v>
      </c>
      <c r="N7663">
        <v>3167</v>
      </c>
      <c r="O7663">
        <v>4.8372726999999997E-2</v>
      </c>
      <c r="P7663">
        <v>1.0757289E-2</v>
      </c>
      <c r="Q7663" t="str">
        <f t="shared" si="238"/>
        <v>15-24</v>
      </c>
      <c r="R7663" t="str">
        <f t="shared" si="239"/>
        <v>[fyEoGEPERdI]|15-24|Female|PLHIV_Attend.T2|CY2026Q3</v>
      </c>
    </row>
    <row r="7664" spans="4:18" x14ac:dyDescent="0.2">
      <c r="D7664" t="s">
        <v>105</v>
      </c>
      <c r="E7664" t="s">
        <v>106</v>
      </c>
      <c r="F7664" t="s">
        <v>107</v>
      </c>
      <c r="G7664" t="s">
        <v>278</v>
      </c>
      <c r="H7664" t="s">
        <v>278</v>
      </c>
      <c r="I7664" t="s">
        <v>41</v>
      </c>
      <c r="J7664" t="s">
        <v>42</v>
      </c>
      <c r="K7664" t="s">
        <v>30</v>
      </c>
      <c r="L7664" t="s">
        <v>31</v>
      </c>
      <c r="M7664" t="s">
        <v>277</v>
      </c>
      <c r="N7664">
        <v>7639</v>
      </c>
      <c r="O7664">
        <v>3.3934983000000002E-2</v>
      </c>
      <c r="P7664">
        <v>1.0757289E-2</v>
      </c>
      <c r="Q7664" t="str">
        <f t="shared" si="238"/>
        <v>25-34</v>
      </c>
      <c r="R7664" t="str">
        <f t="shared" si="239"/>
        <v>[fyEoGEPERdI]|25-34|Female|PLHIV_Attend.T2|CY2026Q3</v>
      </c>
    </row>
    <row r="7665" spans="4:18" x14ac:dyDescent="0.2">
      <c r="D7665" t="s">
        <v>105</v>
      </c>
      <c r="E7665" t="s">
        <v>106</v>
      </c>
      <c r="F7665" t="s">
        <v>107</v>
      </c>
      <c r="G7665" t="s">
        <v>278</v>
      </c>
      <c r="H7665" t="s">
        <v>278</v>
      </c>
      <c r="I7665" t="s">
        <v>43</v>
      </c>
      <c r="J7665" t="s">
        <v>44</v>
      </c>
      <c r="K7665" t="s">
        <v>30</v>
      </c>
      <c r="L7665" t="s">
        <v>31</v>
      </c>
      <c r="M7665" t="s">
        <v>277</v>
      </c>
      <c r="N7665">
        <v>21019</v>
      </c>
      <c r="O7665">
        <v>1.7351433999999999E-2</v>
      </c>
      <c r="P7665">
        <v>1.0757289E-2</v>
      </c>
      <c r="Q7665" t="str">
        <f t="shared" si="238"/>
        <v>35-49</v>
      </c>
      <c r="R7665" t="str">
        <f t="shared" si="239"/>
        <v>[fyEoGEPERdI]|35-49|Female|PLHIV_Attend.T2|CY2026Q3</v>
      </c>
    </row>
    <row r="7666" spans="4:18" x14ac:dyDescent="0.2">
      <c r="D7666" t="s">
        <v>105</v>
      </c>
      <c r="E7666" t="s">
        <v>106</v>
      </c>
      <c r="F7666" t="s">
        <v>107</v>
      </c>
      <c r="G7666" t="s">
        <v>278</v>
      </c>
      <c r="H7666" t="s">
        <v>278</v>
      </c>
      <c r="I7666" t="s">
        <v>45</v>
      </c>
      <c r="J7666" t="s">
        <v>46</v>
      </c>
      <c r="K7666" t="s">
        <v>30</v>
      </c>
      <c r="L7666" t="s">
        <v>31</v>
      </c>
      <c r="M7666" t="s">
        <v>277</v>
      </c>
      <c r="N7666">
        <v>11156</v>
      </c>
      <c r="O7666">
        <v>2.8243639000000001E-2</v>
      </c>
      <c r="P7666">
        <v>1.0757289E-2</v>
      </c>
      <c r="Q7666" t="str">
        <f t="shared" si="238"/>
        <v>50+</v>
      </c>
      <c r="R7666" t="str">
        <f t="shared" si="239"/>
        <v>[fyEoGEPERdI]|50+|Female|PLHIV_Attend.T2|CY2026Q3</v>
      </c>
    </row>
    <row r="7667" spans="4:18" x14ac:dyDescent="0.2">
      <c r="D7667" t="s">
        <v>105</v>
      </c>
      <c r="E7667" t="s">
        <v>106</v>
      </c>
      <c r="F7667" t="s">
        <v>107</v>
      </c>
      <c r="G7667" t="s">
        <v>278</v>
      </c>
      <c r="H7667" t="s">
        <v>278</v>
      </c>
      <c r="I7667" t="s">
        <v>28</v>
      </c>
      <c r="J7667" t="s">
        <v>29</v>
      </c>
      <c r="K7667" t="s">
        <v>48</v>
      </c>
      <c r="L7667" t="s">
        <v>49</v>
      </c>
      <c r="M7667" t="s">
        <v>277</v>
      </c>
      <c r="N7667">
        <v>33</v>
      </c>
      <c r="O7667">
        <v>1.6206469000000001E-2</v>
      </c>
      <c r="P7667">
        <v>1.0757289E-2</v>
      </c>
      <c r="Q7667" t="str">
        <f t="shared" si="238"/>
        <v>&lt;01</v>
      </c>
      <c r="R7667" t="str">
        <f t="shared" si="239"/>
        <v>[fyEoGEPERdI]|&lt;01|Male|PLHIV_Attend.T2|CY2026Q3</v>
      </c>
    </row>
    <row r="7668" spans="4:18" x14ac:dyDescent="0.2">
      <c r="D7668" t="s">
        <v>105</v>
      </c>
      <c r="E7668" t="s">
        <v>106</v>
      </c>
      <c r="F7668" t="s">
        <v>107</v>
      </c>
      <c r="G7668" t="s">
        <v>278</v>
      </c>
      <c r="H7668" t="s">
        <v>278</v>
      </c>
      <c r="I7668" t="s">
        <v>33</v>
      </c>
      <c r="J7668" t="s">
        <v>34</v>
      </c>
      <c r="K7668" t="s">
        <v>48</v>
      </c>
      <c r="L7668" t="s">
        <v>49</v>
      </c>
      <c r="M7668" t="s">
        <v>277</v>
      </c>
      <c r="N7668">
        <v>560</v>
      </c>
      <c r="O7668">
        <v>2.0373552999999999E-2</v>
      </c>
      <c r="P7668">
        <v>1.0757289E-2</v>
      </c>
      <c r="Q7668" t="str">
        <f t="shared" si="238"/>
        <v>01-09</v>
      </c>
      <c r="R7668" t="str">
        <f t="shared" si="239"/>
        <v>[fyEoGEPERdI]|01-09|Male|PLHIV_Attend.T2|CY2026Q3</v>
      </c>
    </row>
    <row r="7669" spans="4:18" x14ac:dyDescent="0.2">
      <c r="D7669" t="s">
        <v>105</v>
      </c>
      <c r="E7669" t="s">
        <v>106</v>
      </c>
      <c r="F7669" t="s">
        <v>107</v>
      </c>
      <c r="G7669" t="s">
        <v>278</v>
      </c>
      <c r="H7669" t="s">
        <v>278</v>
      </c>
      <c r="I7669" t="s">
        <v>36</v>
      </c>
      <c r="J7669" t="s">
        <v>37</v>
      </c>
      <c r="K7669" t="s">
        <v>48</v>
      </c>
      <c r="L7669" t="s">
        <v>49</v>
      </c>
      <c r="M7669" t="s">
        <v>277</v>
      </c>
      <c r="N7669">
        <v>722</v>
      </c>
      <c r="O7669">
        <v>2.9970258999999999E-2</v>
      </c>
      <c r="P7669">
        <v>1.0757289E-2</v>
      </c>
      <c r="Q7669" t="str">
        <f t="shared" si="238"/>
        <v>10-14</v>
      </c>
      <c r="R7669" t="str">
        <f t="shared" si="239"/>
        <v>[fyEoGEPERdI]|10-14|Male|PLHIV_Attend.T2|CY2026Q3</v>
      </c>
    </row>
    <row r="7670" spans="4:18" x14ac:dyDescent="0.2">
      <c r="D7670" t="s">
        <v>105</v>
      </c>
      <c r="E7670" t="s">
        <v>106</v>
      </c>
      <c r="F7670" t="s">
        <v>107</v>
      </c>
      <c r="G7670" t="s">
        <v>278</v>
      </c>
      <c r="H7670" t="s">
        <v>278</v>
      </c>
      <c r="I7670" t="s">
        <v>38</v>
      </c>
      <c r="J7670" t="s">
        <v>39</v>
      </c>
      <c r="K7670" t="s">
        <v>48</v>
      </c>
      <c r="L7670" t="s">
        <v>49</v>
      </c>
      <c r="M7670" t="s">
        <v>277</v>
      </c>
      <c r="N7670">
        <v>2248</v>
      </c>
      <c r="O7670">
        <v>5.2997166999999998E-2</v>
      </c>
      <c r="P7670">
        <v>1.0757289E-2</v>
      </c>
      <c r="Q7670" t="str">
        <f t="shared" si="238"/>
        <v>15-24</v>
      </c>
      <c r="R7670" t="str">
        <f t="shared" si="239"/>
        <v>[fyEoGEPERdI]|15-24|Male|PLHIV_Attend.T2|CY2026Q3</v>
      </c>
    </row>
    <row r="7671" spans="4:18" x14ac:dyDescent="0.2">
      <c r="D7671" t="s">
        <v>105</v>
      </c>
      <c r="E7671" t="s">
        <v>106</v>
      </c>
      <c r="F7671" t="s">
        <v>107</v>
      </c>
      <c r="G7671" t="s">
        <v>278</v>
      </c>
      <c r="H7671" t="s">
        <v>278</v>
      </c>
      <c r="I7671" t="s">
        <v>41</v>
      </c>
      <c r="J7671" t="s">
        <v>42</v>
      </c>
      <c r="K7671" t="s">
        <v>48</v>
      </c>
      <c r="L7671" t="s">
        <v>49</v>
      </c>
      <c r="M7671" t="s">
        <v>277</v>
      </c>
      <c r="N7671">
        <v>2966</v>
      </c>
      <c r="O7671">
        <v>5.9303890999999997E-2</v>
      </c>
      <c r="P7671">
        <v>1.0757289E-2</v>
      </c>
      <c r="Q7671" t="str">
        <f t="shared" si="238"/>
        <v>25-34</v>
      </c>
      <c r="R7671" t="str">
        <f t="shared" si="239"/>
        <v>[fyEoGEPERdI]|25-34|Male|PLHIV_Attend.T2|CY2026Q3</v>
      </c>
    </row>
    <row r="7672" spans="4:18" x14ac:dyDescent="0.2">
      <c r="D7672" t="s">
        <v>105</v>
      </c>
      <c r="E7672" t="s">
        <v>106</v>
      </c>
      <c r="F7672" t="s">
        <v>107</v>
      </c>
      <c r="G7672" t="s">
        <v>278</v>
      </c>
      <c r="H7672" t="s">
        <v>278</v>
      </c>
      <c r="I7672" t="s">
        <v>43</v>
      </c>
      <c r="J7672" t="s">
        <v>44</v>
      </c>
      <c r="K7672" t="s">
        <v>48</v>
      </c>
      <c r="L7672" t="s">
        <v>49</v>
      </c>
      <c r="M7672" t="s">
        <v>277</v>
      </c>
      <c r="N7672">
        <v>10108</v>
      </c>
      <c r="O7672">
        <v>2.8755714000000002E-2</v>
      </c>
      <c r="P7672">
        <v>1.0757289E-2</v>
      </c>
      <c r="Q7672" t="str">
        <f t="shared" si="238"/>
        <v>35-49</v>
      </c>
      <c r="R7672" t="str">
        <f t="shared" si="239"/>
        <v>[fyEoGEPERdI]|35-49|Male|PLHIV_Attend.T2|CY2026Q3</v>
      </c>
    </row>
    <row r="7673" spans="4:18" x14ac:dyDescent="0.2">
      <c r="D7673" t="s">
        <v>105</v>
      </c>
      <c r="E7673" t="s">
        <v>106</v>
      </c>
      <c r="F7673" t="s">
        <v>107</v>
      </c>
      <c r="G7673" t="s">
        <v>278</v>
      </c>
      <c r="H7673" t="s">
        <v>278</v>
      </c>
      <c r="I7673" t="s">
        <v>45</v>
      </c>
      <c r="J7673" t="s">
        <v>46</v>
      </c>
      <c r="K7673" t="s">
        <v>48</v>
      </c>
      <c r="L7673" t="s">
        <v>49</v>
      </c>
      <c r="M7673" t="s">
        <v>277</v>
      </c>
      <c r="N7673">
        <v>8454</v>
      </c>
      <c r="O7673">
        <v>2.7652113999999998E-2</v>
      </c>
      <c r="P7673">
        <v>1.0757289E-2</v>
      </c>
      <c r="Q7673" t="str">
        <f t="shared" si="238"/>
        <v>50+</v>
      </c>
      <c r="R7673" t="str">
        <f t="shared" si="239"/>
        <v>[fyEoGEPERdI]|50+|Male|PLHIV_Attend.T2|CY2026Q3</v>
      </c>
    </row>
    <row r="7674" spans="4:18" x14ac:dyDescent="0.2">
      <c r="D7674" t="s">
        <v>108</v>
      </c>
      <c r="E7674" t="s">
        <v>109</v>
      </c>
      <c r="F7674" t="s">
        <v>110</v>
      </c>
      <c r="G7674" t="s">
        <v>278</v>
      </c>
      <c r="H7674" t="s">
        <v>278</v>
      </c>
      <c r="I7674" t="s">
        <v>28</v>
      </c>
      <c r="J7674" t="s">
        <v>29</v>
      </c>
      <c r="K7674" t="s">
        <v>30</v>
      </c>
      <c r="L7674" t="s">
        <v>31</v>
      </c>
      <c r="M7674" t="s">
        <v>277</v>
      </c>
      <c r="N7674">
        <v>28</v>
      </c>
      <c r="O7674">
        <v>1.8415095999999999E-2</v>
      </c>
      <c r="P7674">
        <v>8.9942300000000006E-3</v>
      </c>
      <c r="Q7674" t="str">
        <f t="shared" si="238"/>
        <v>&lt;01</v>
      </c>
      <c r="R7674" t="str">
        <f t="shared" si="239"/>
        <v>[umc2n1Z4wNv]|&lt;01|Female|PLHIV_Attend.T2|CY2026Q3</v>
      </c>
    </row>
    <row r="7675" spans="4:18" x14ac:dyDescent="0.2">
      <c r="D7675" t="s">
        <v>108</v>
      </c>
      <c r="E7675" t="s">
        <v>109</v>
      </c>
      <c r="F7675" t="s">
        <v>110</v>
      </c>
      <c r="G7675" t="s">
        <v>278</v>
      </c>
      <c r="H7675" t="s">
        <v>278</v>
      </c>
      <c r="I7675" t="s">
        <v>33</v>
      </c>
      <c r="J7675" t="s">
        <v>34</v>
      </c>
      <c r="K7675" t="s">
        <v>30</v>
      </c>
      <c r="L7675" t="s">
        <v>31</v>
      </c>
      <c r="M7675" t="s">
        <v>277</v>
      </c>
      <c r="N7675">
        <v>465</v>
      </c>
      <c r="O7675">
        <v>2.8156629999999998E-2</v>
      </c>
      <c r="P7675">
        <v>8.9942300000000006E-3</v>
      </c>
      <c r="Q7675" t="str">
        <f t="shared" si="238"/>
        <v>01-09</v>
      </c>
      <c r="R7675" t="str">
        <f t="shared" si="239"/>
        <v>[umc2n1Z4wNv]|01-09|Female|PLHIV_Attend.T2|CY2026Q3</v>
      </c>
    </row>
    <row r="7676" spans="4:18" x14ac:dyDescent="0.2">
      <c r="D7676" t="s">
        <v>108</v>
      </c>
      <c r="E7676" t="s">
        <v>109</v>
      </c>
      <c r="F7676" t="s">
        <v>110</v>
      </c>
      <c r="G7676" t="s">
        <v>278</v>
      </c>
      <c r="H7676" t="s">
        <v>278</v>
      </c>
      <c r="I7676" t="s">
        <v>36</v>
      </c>
      <c r="J7676" t="s">
        <v>37</v>
      </c>
      <c r="K7676" t="s">
        <v>30</v>
      </c>
      <c r="L7676" t="s">
        <v>31</v>
      </c>
      <c r="M7676" t="s">
        <v>277</v>
      </c>
      <c r="N7676">
        <v>587</v>
      </c>
      <c r="O7676">
        <v>4.9043176000000001E-2</v>
      </c>
      <c r="P7676">
        <v>8.9942300000000006E-3</v>
      </c>
      <c r="Q7676" t="str">
        <f t="shared" si="238"/>
        <v>10-14</v>
      </c>
      <c r="R7676" t="str">
        <f t="shared" si="239"/>
        <v>[umc2n1Z4wNv]|10-14|Female|PLHIV_Attend.T2|CY2026Q3</v>
      </c>
    </row>
    <row r="7677" spans="4:18" x14ac:dyDescent="0.2">
      <c r="D7677" t="s">
        <v>108</v>
      </c>
      <c r="E7677" t="s">
        <v>109</v>
      </c>
      <c r="F7677" t="s">
        <v>110</v>
      </c>
      <c r="G7677" t="s">
        <v>278</v>
      </c>
      <c r="H7677" t="s">
        <v>278</v>
      </c>
      <c r="I7677" t="s">
        <v>38</v>
      </c>
      <c r="J7677" t="s">
        <v>39</v>
      </c>
      <c r="K7677" t="s">
        <v>30</v>
      </c>
      <c r="L7677" t="s">
        <v>31</v>
      </c>
      <c r="M7677" t="s">
        <v>277</v>
      </c>
      <c r="N7677">
        <v>2738</v>
      </c>
      <c r="O7677">
        <v>5.1497598999999998E-2</v>
      </c>
      <c r="P7677">
        <v>8.9942300000000006E-3</v>
      </c>
      <c r="Q7677" t="str">
        <f t="shared" si="238"/>
        <v>15-24</v>
      </c>
      <c r="R7677" t="str">
        <f t="shared" si="239"/>
        <v>[umc2n1Z4wNv]|15-24|Female|PLHIV_Attend.T2|CY2026Q3</v>
      </c>
    </row>
    <row r="7678" spans="4:18" x14ac:dyDescent="0.2">
      <c r="D7678" t="s">
        <v>108</v>
      </c>
      <c r="E7678" t="s">
        <v>109</v>
      </c>
      <c r="F7678" t="s">
        <v>110</v>
      </c>
      <c r="G7678" t="s">
        <v>278</v>
      </c>
      <c r="H7678" t="s">
        <v>278</v>
      </c>
      <c r="I7678" t="s">
        <v>41</v>
      </c>
      <c r="J7678" t="s">
        <v>42</v>
      </c>
      <c r="K7678" t="s">
        <v>30</v>
      </c>
      <c r="L7678" t="s">
        <v>31</v>
      </c>
      <c r="M7678" t="s">
        <v>277</v>
      </c>
      <c r="N7678">
        <v>6531</v>
      </c>
      <c r="O7678">
        <v>3.3332364000000003E-2</v>
      </c>
      <c r="P7678">
        <v>8.9942300000000006E-3</v>
      </c>
      <c r="Q7678" t="str">
        <f t="shared" si="238"/>
        <v>25-34</v>
      </c>
      <c r="R7678" t="str">
        <f t="shared" si="239"/>
        <v>[umc2n1Z4wNv]|25-34|Female|PLHIV_Attend.T2|CY2026Q3</v>
      </c>
    </row>
    <row r="7679" spans="4:18" x14ac:dyDescent="0.2">
      <c r="D7679" t="s">
        <v>108</v>
      </c>
      <c r="E7679" t="s">
        <v>109</v>
      </c>
      <c r="F7679" t="s">
        <v>110</v>
      </c>
      <c r="G7679" t="s">
        <v>278</v>
      </c>
      <c r="H7679" t="s">
        <v>278</v>
      </c>
      <c r="I7679" t="s">
        <v>43</v>
      </c>
      <c r="J7679" t="s">
        <v>44</v>
      </c>
      <c r="K7679" t="s">
        <v>30</v>
      </c>
      <c r="L7679" t="s">
        <v>31</v>
      </c>
      <c r="M7679" t="s">
        <v>277</v>
      </c>
      <c r="N7679">
        <v>18816</v>
      </c>
      <c r="O7679">
        <v>1.7288188999999999E-2</v>
      </c>
      <c r="P7679">
        <v>8.9942300000000006E-3</v>
      </c>
      <c r="Q7679" t="str">
        <f t="shared" si="238"/>
        <v>35-49</v>
      </c>
      <c r="R7679" t="str">
        <f t="shared" si="239"/>
        <v>[umc2n1Z4wNv]|35-49|Female|PLHIV_Attend.T2|CY2026Q3</v>
      </c>
    </row>
    <row r="7680" spans="4:18" x14ac:dyDescent="0.2">
      <c r="D7680" t="s">
        <v>108</v>
      </c>
      <c r="E7680" t="s">
        <v>109</v>
      </c>
      <c r="F7680" t="s">
        <v>110</v>
      </c>
      <c r="G7680" t="s">
        <v>278</v>
      </c>
      <c r="H7680" t="s">
        <v>278</v>
      </c>
      <c r="I7680" t="s">
        <v>45</v>
      </c>
      <c r="J7680" t="s">
        <v>46</v>
      </c>
      <c r="K7680" t="s">
        <v>30</v>
      </c>
      <c r="L7680" t="s">
        <v>31</v>
      </c>
      <c r="M7680" t="s">
        <v>277</v>
      </c>
      <c r="N7680">
        <v>10858</v>
      </c>
      <c r="O7680">
        <v>2.6711921E-2</v>
      </c>
      <c r="P7680">
        <v>8.9942300000000006E-3</v>
      </c>
      <c r="Q7680" t="str">
        <f t="shared" si="238"/>
        <v>50+</v>
      </c>
      <c r="R7680" t="str">
        <f t="shared" si="239"/>
        <v>[umc2n1Z4wNv]|50+|Female|PLHIV_Attend.T2|CY2026Q3</v>
      </c>
    </row>
    <row r="7681" spans="4:18" x14ac:dyDescent="0.2">
      <c r="D7681" t="s">
        <v>108</v>
      </c>
      <c r="E7681" t="s">
        <v>109</v>
      </c>
      <c r="F7681" t="s">
        <v>110</v>
      </c>
      <c r="G7681" t="s">
        <v>278</v>
      </c>
      <c r="H7681" t="s">
        <v>278</v>
      </c>
      <c r="I7681" t="s">
        <v>28</v>
      </c>
      <c r="J7681" t="s">
        <v>29</v>
      </c>
      <c r="K7681" t="s">
        <v>48</v>
      </c>
      <c r="L7681" t="s">
        <v>49</v>
      </c>
      <c r="M7681" t="s">
        <v>277</v>
      </c>
      <c r="N7681">
        <v>29</v>
      </c>
      <c r="O7681">
        <v>1.8507888E-2</v>
      </c>
      <c r="P7681">
        <v>8.9942300000000006E-3</v>
      </c>
      <c r="Q7681" t="str">
        <f t="shared" si="238"/>
        <v>&lt;01</v>
      </c>
      <c r="R7681" t="str">
        <f t="shared" si="239"/>
        <v>[umc2n1Z4wNv]|&lt;01|Male|PLHIV_Attend.T2|CY2026Q3</v>
      </c>
    </row>
    <row r="7682" spans="4:18" x14ac:dyDescent="0.2">
      <c r="D7682" t="s">
        <v>108</v>
      </c>
      <c r="E7682" t="s">
        <v>109</v>
      </c>
      <c r="F7682" t="s">
        <v>110</v>
      </c>
      <c r="G7682" t="s">
        <v>278</v>
      </c>
      <c r="H7682" t="s">
        <v>278</v>
      </c>
      <c r="I7682" t="s">
        <v>33</v>
      </c>
      <c r="J7682" t="s">
        <v>34</v>
      </c>
      <c r="K7682" t="s">
        <v>48</v>
      </c>
      <c r="L7682" t="s">
        <v>49</v>
      </c>
      <c r="M7682" t="s">
        <v>277</v>
      </c>
      <c r="N7682">
        <v>475</v>
      </c>
      <c r="O7682">
        <v>2.8289267999999999E-2</v>
      </c>
      <c r="P7682">
        <v>8.9942300000000006E-3</v>
      </c>
      <c r="Q7682" t="str">
        <f t="shared" si="238"/>
        <v>01-09</v>
      </c>
      <c r="R7682" t="str">
        <f t="shared" si="239"/>
        <v>[umc2n1Z4wNv]|01-09|Male|PLHIV_Attend.T2|CY2026Q3</v>
      </c>
    </row>
    <row r="7683" spans="4:18" x14ac:dyDescent="0.2">
      <c r="D7683" t="s">
        <v>108</v>
      </c>
      <c r="E7683" t="s">
        <v>109</v>
      </c>
      <c r="F7683" t="s">
        <v>110</v>
      </c>
      <c r="G7683" t="s">
        <v>278</v>
      </c>
      <c r="H7683" t="s">
        <v>278</v>
      </c>
      <c r="I7683" t="s">
        <v>36</v>
      </c>
      <c r="J7683" t="s">
        <v>37</v>
      </c>
      <c r="K7683" t="s">
        <v>48</v>
      </c>
      <c r="L7683" t="s">
        <v>49</v>
      </c>
      <c r="M7683" t="s">
        <v>277</v>
      </c>
      <c r="N7683">
        <v>601</v>
      </c>
      <c r="O7683">
        <v>4.9080215000000003E-2</v>
      </c>
      <c r="P7683">
        <v>8.9942300000000006E-3</v>
      </c>
      <c r="Q7683" t="str">
        <f t="shared" ref="Q7683:Q7746" si="240">SUBSTITUTE(SUBSTITUTE($I7683,CHAR(61),""),CHAR(34),"")</f>
        <v>10-14</v>
      </c>
      <c r="R7683" t="str">
        <f t="shared" ref="R7683:R7746" si="241">IF($D7683&lt;&gt;"","["&amp;$E7683&amp;"]"&amp;"|"&amp;$Q7683&amp;"|"&amp;$K7683&amp;"|"&amp;$G7683&amp;"|"&amp;IF($G7683="TX_CURR_SUBNAT.R","CY2023Q4",$M7683),"")</f>
        <v>[umc2n1Z4wNv]|10-14|Male|PLHIV_Attend.T2|CY2026Q3</v>
      </c>
    </row>
    <row r="7684" spans="4:18" x14ac:dyDescent="0.2">
      <c r="D7684" t="s">
        <v>108</v>
      </c>
      <c r="E7684" t="s">
        <v>109</v>
      </c>
      <c r="F7684" t="s">
        <v>110</v>
      </c>
      <c r="G7684" t="s">
        <v>278</v>
      </c>
      <c r="H7684" t="s">
        <v>278</v>
      </c>
      <c r="I7684" t="s">
        <v>38</v>
      </c>
      <c r="J7684" t="s">
        <v>39</v>
      </c>
      <c r="K7684" t="s">
        <v>48</v>
      </c>
      <c r="L7684" t="s">
        <v>49</v>
      </c>
      <c r="M7684" t="s">
        <v>277</v>
      </c>
      <c r="N7684">
        <v>1950</v>
      </c>
      <c r="O7684">
        <v>5.8627944000000001E-2</v>
      </c>
      <c r="P7684">
        <v>8.9942300000000006E-3</v>
      </c>
      <c r="Q7684" t="str">
        <f t="shared" si="240"/>
        <v>15-24</v>
      </c>
      <c r="R7684" t="str">
        <f t="shared" si="241"/>
        <v>[umc2n1Z4wNv]|15-24|Male|PLHIV_Attend.T2|CY2026Q3</v>
      </c>
    </row>
    <row r="7685" spans="4:18" x14ac:dyDescent="0.2">
      <c r="D7685" t="s">
        <v>108</v>
      </c>
      <c r="E7685" t="s">
        <v>109</v>
      </c>
      <c r="F7685" t="s">
        <v>110</v>
      </c>
      <c r="G7685" t="s">
        <v>278</v>
      </c>
      <c r="H7685" t="s">
        <v>278</v>
      </c>
      <c r="I7685" t="s">
        <v>41</v>
      </c>
      <c r="J7685" t="s">
        <v>42</v>
      </c>
      <c r="K7685" t="s">
        <v>48</v>
      </c>
      <c r="L7685" t="s">
        <v>49</v>
      </c>
      <c r="M7685" t="s">
        <v>277</v>
      </c>
      <c r="N7685">
        <v>2435</v>
      </c>
      <c r="O7685">
        <v>5.8773870999999998E-2</v>
      </c>
      <c r="P7685">
        <v>8.9942300000000006E-3</v>
      </c>
      <c r="Q7685" t="str">
        <f t="shared" si="240"/>
        <v>25-34</v>
      </c>
      <c r="R7685" t="str">
        <f t="shared" si="241"/>
        <v>[umc2n1Z4wNv]|25-34|Male|PLHIV_Attend.T2|CY2026Q3</v>
      </c>
    </row>
    <row r="7686" spans="4:18" x14ac:dyDescent="0.2">
      <c r="D7686" t="s">
        <v>108</v>
      </c>
      <c r="E7686" t="s">
        <v>109</v>
      </c>
      <c r="F7686" t="s">
        <v>110</v>
      </c>
      <c r="G7686" t="s">
        <v>278</v>
      </c>
      <c r="H7686" t="s">
        <v>278</v>
      </c>
      <c r="I7686" t="s">
        <v>43</v>
      </c>
      <c r="J7686" t="s">
        <v>44</v>
      </c>
      <c r="K7686" t="s">
        <v>48</v>
      </c>
      <c r="L7686" t="s">
        <v>49</v>
      </c>
      <c r="M7686" t="s">
        <v>277</v>
      </c>
      <c r="N7686">
        <v>8401</v>
      </c>
      <c r="O7686">
        <v>2.7523039999999999E-2</v>
      </c>
      <c r="P7686">
        <v>8.9942300000000006E-3</v>
      </c>
      <c r="Q7686" t="str">
        <f t="shared" si="240"/>
        <v>35-49</v>
      </c>
      <c r="R7686" t="str">
        <f t="shared" si="241"/>
        <v>[umc2n1Z4wNv]|35-49|Male|PLHIV_Attend.T2|CY2026Q3</v>
      </c>
    </row>
    <row r="7687" spans="4:18" x14ac:dyDescent="0.2">
      <c r="D7687" t="s">
        <v>108</v>
      </c>
      <c r="E7687" t="s">
        <v>109</v>
      </c>
      <c r="F7687" t="s">
        <v>110</v>
      </c>
      <c r="G7687" t="s">
        <v>278</v>
      </c>
      <c r="H7687" t="s">
        <v>278</v>
      </c>
      <c r="I7687" t="s">
        <v>45</v>
      </c>
      <c r="J7687" t="s">
        <v>46</v>
      </c>
      <c r="K7687" t="s">
        <v>48</v>
      </c>
      <c r="L7687" t="s">
        <v>49</v>
      </c>
      <c r="M7687" t="s">
        <v>277</v>
      </c>
      <c r="N7687">
        <v>7199</v>
      </c>
      <c r="O7687">
        <v>2.6852582999999999E-2</v>
      </c>
      <c r="P7687">
        <v>8.9942300000000006E-3</v>
      </c>
      <c r="Q7687" t="str">
        <f t="shared" si="240"/>
        <v>50+</v>
      </c>
      <c r="R7687" t="str">
        <f t="shared" si="241"/>
        <v>[umc2n1Z4wNv]|50+|Male|PLHIV_Attend.T2|CY2026Q3</v>
      </c>
    </row>
    <row r="7688" spans="4:18" x14ac:dyDescent="0.2">
      <c r="D7688" t="s">
        <v>111</v>
      </c>
      <c r="E7688" t="s">
        <v>112</v>
      </c>
      <c r="F7688" t="s">
        <v>113</v>
      </c>
      <c r="G7688" t="s">
        <v>278</v>
      </c>
      <c r="H7688" t="s">
        <v>278</v>
      </c>
      <c r="I7688" t="s">
        <v>28</v>
      </c>
      <c r="J7688" t="s">
        <v>29</v>
      </c>
      <c r="K7688" t="s">
        <v>30</v>
      </c>
      <c r="L7688" t="s">
        <v>31</v>
      </c>
      <c r="M7688" t="s">
        <v>277</v>
      </c>
      <c r="N7688">
        <v>16</v>
      </c>
      <c r="O7688">
        <v>1.8640008999999999E-2</v>
      </c>
      <c r="P7688">
        <v>1.0154804999999999E-2</v>
      </c>
      <c r="Q7688" t="str">
        <f t="shared" si="240"/>
        <v>&lt;01</v>
      </c>
      <c r="R7688" t="str">
        <f t="shared" si="241"/>
        <v>[AZyWpGzhcaA]|&lt;01|Female|PLHIV_Attend.T2|CY2026Q3</v>
      </c>
    </row>
    <row r="7689" spans="4:18" x14ac:dyDescent="0.2">
      <c r="D7689" t="s">
        <v>111</v>
      </c>
      <c r="E7689" t="s">
        <v>112</v>
      </c>
      <c r="F7689" t="s">
        <v>113</v>
      </c>
      <c r="G7689" t="s">
        <v>278</v>
      </c>
      <c r="H7689" t="s">
        <v>278</v>
      </c>
      <c r="I7689" t="s">
        <v>33</v>
      </c>
      <c r="J7689" t="s">
        <v>34</v>
      </c>
      <c r="K7689" t="s">
        <v>30</v>
      </c>
      <c r="L7689" t="s">
        <v>31</v>
      </c>
      <c r="M7689" t="s">
        <v>277</v>
      </c>
      <c r="N7689">
        <v>281</v>
      </c>
      <c r="O7689">
        <v>2.6423134000000001E-2</v>
      </c>
      <c r="P7689">
        <v>1.0154804999999999E-2</v>
      </c>
      <c r="Q7689" t="str">
        <f t="shared" si="240"/>
        <v>01-09</v>
      </c>
      <c r="R7689" t="str">
        <f t="shared" si="241"/>
        <v>[AZyWpGzhcaA]|01-09|Female|PLHIV_Attend.T2|CY2026Q3</v>
      </c>
    </row>
    <row r="7690" spans="4:18" x14ac:dyDescent="0.2">
      <c r="D7690" t="s">
        <v>111</v>
      </c>
      <c r="E7690" t="s">
        <v>112</v>
      </c>
      <c r="F7690" t="s">
        <v>113</v>
      </c>
      <c r="G7690" t="s">
        <v>278</v>
      </c>
      <c r="H7690" t="s">
        <v>278</v>
      </c>
      <c r="I7690" t="s">
        <v>36</v>
      </c>
      <c r="J7690" t="s">
        <v>37</v>
      </c>
      <c r="K7690" t="s">
        <v>30</v>
      </c>
      <c r="L7690" t="s">
        <v>31</v>
      </c>
      <c r="M7690" t="s">
        <v>277</v>
      </c>
      <c r="N7690">
        <v>383</v>
      </c>
      <c r="O7690">
        <v>4.1881807E-2</v>
      </c>
      <c r="P7690">
        <v>1.0154804999999999E-2</v>
      </c>
      <c r="Q7690" t="str">
        <f t="shared" si="240"/>
        <v>10-14</v>
      </c>
      <c r="R7690" t="str">
        <f t="shared" si="241"/>
        <v>[AZyWpGzhcaA]|10-14|Female|PLHIV_Attend.T2|CY2026Q3</v>
      </c>
    </row>
    <row r="7691" spans="4:18" x14ac:dyDescent="0.2">
      <c r="D7691" t="s">
        <v>111</v>
      </c>
      <c r="E7691" t="s">
        <v>112</v>
      </c>
      <c r="F7691" t="s">
        <v>113</v>
      </c>
      <c r="G7691" t="s">
        <v>278</v>
      </c>
      <c r="H7691" t="s">
        <v>278</v>
      </c>
      <c r="I7691" t="s">
        <v>38</v>
      </c>
      <c r="J7691" t="s">
        <v>39</v>
      </c>
      <c r="K7691" t="s">
        <v>30</v>
      </c>
      <c r="L7691" t="s">
        <v>31</v>
      </c>
      <c r="M7691" t="s">
        <v>277</v>
      </c>
      <c r="N7691">
        <v>1590</v>
      </c>
      <c r="O7691">
        <v>4.9677337000000002E-2</v>
      </c>
      <c r="P7691">
        <v>1.0154804999999999E-2</v>
      </c>
      <c r="Q7691" t="str">
        <f t="shared" si="240"/>
        <v>15-24</v>
      </c>
      <c r="R7691" t="str">
        <f t="shared" si="241"/>
        <v>[AZyWpGzhcaA]|15-24|Female|PLHIV_Attend.T2|CY2026Q3</v>
      </c>
    </row>
    <row r="7692" spans="4:18" x14ac:dyDescent="0.2">
      <c r="D7692" t="s">
        <v>111</v>
      </c>
      <c r="E7692" t="s">
        <v>112</v>
      </c>
      <c r="F7692" t="s">
        <v>113</v>
      </c>
      <c r="G7692" t="s">
        <v>278</v>
      </c>
      <c r="H7692" t="s">
        <v>278</v>
      </c>
      <c r="I7692" t="s">
        <v>41</v>
      </c>
      <c r="J7692" t="s">
        <v>42</v>
      </c>
      <c r="K7692" t="s">
        <v>30</v>
      </c>
      <c r="L7692" t="s">
        <v>31</v>
      </c>
      <c r="M7692" t="s">
        <v>277</v>
      </c>
      <c r="N7692">
        <v>3590</v>
      </c>
      <c r="O7692">
        <v>3.3100671999999998E-2</v>
      </c>
      <c r="P7692">
        <v>1.0154804999999999E-2</v>
      </c>
      <c r="Q7692" t="str">
        <f t="shared" si="240"/>
        <v>25-34</v>
      </c>
      <c r="R7692" t="str">
        <f t="shared" si="241"/>
        <v>[AZyWpGzhcaA]|25-34|Female|PLHIV_Attend.T2|CY2026Q3</v>
      </c>
    </row>
    <row r="7693" spans="4:18" x14ac:dyDescent="0.2">
      <c r="D7693" t="s">
        <v>111</v>
      </c>
      <c r="E7693" t="s">
        <v>112</v>
      </c>
      <c r="F7693" t="s">
        <v>113</v>
      </c>
      <c r="G7693" t="s">
        <v>278</v>
      </c>
      <c r="H7693" t="s">
        <v>278</v>
      </c>
      <c r="I7693" t="s">
        <v>43</v>
      </c>
      <c r="J7693" t="s">
        <v>44</v>
      </c>
      <c r="K7693" t="s">
        <v>30</v>
      </c>
      <c r="L7693" t="s">
        <v>31</v>
      </c>
      <c r="M7693" t="s">
        <v>277</v>
      </c>
      <c r="N7693">
        <v>9811</v>
      </c>
      <c r="O7693">
        <v>1.7946757000000001E-2</v>
      </c>
      <c r="P7693">
        <v>1.0154804999999999E-2</v>
      </c>
      <c r="Q7693" t="str">
        <f t="shared" si="240"/>
        <v>35-49</v>
      </c>
      <c r="R7693" t="str">
        <f t="shared" si="241"/>
        <v>[AZyWpGzhcaA]|35-49|Female|PLHIV_Attend.T2|CY2026Q3</v>
      </c>
    </row>
    <row r="7694" spans="4:18" x14ac:dyDescent="0.2">
      <c r="D7694" t="s">
        <v>111</v>
      </c>
      <c r="E7694" t="s">
        <v>112</v>
      </c>
      <c r="F7694" t="s">
        <v>113</v>
      </c>
      <c r="G7694" t="s">
        <v>278</v>
      </c>
      <c r="H7694" t="s">
        <v>278</v>
      </c>
      <c r="I7694" t="s">
        <v>45</v>
      </c>
      <c r="J7694" t="s">
        <v>46</v>
      </c>
      <c r="K7694" t="s">
        <v>30</v>
      </c>
      <c r="L7694" t="s">
        <v>31</v>
      </c>
      <c r="M7694" t="s">
        <v>277</v>
      </c>
      <c r="N7694">
        <v>5413</v>
      </c>
      <c r="O7694">
        <v>2.7693247000000001E-2</v>
      </c>
      <c r="P7694">
        <v>1.0154804999999999E-2</v>
      </c>
      <c r="Q7694" t="str">
        <f t="shared" si="240"/>
        <v>50+</v>
      </c>
      <c r="R7694" t="str">
        <f t="shared" si="241"/>
        <v>[AZyWpGzhcaA]|50+|Female|PLHIV_Attend.T2|CY2026Q3</v>
      </c>
    </row>
    <row r="7695" spans="4:18" x14ac:dyDescent="0.2">
      <c r="D7695" t="s">
        <v>111</v>
      </c>
      <c r="E7695" t="s">
        <v>112</v>
      </c>
      <c r="F7695" t="s">
        <v>113</v>
      </c>
      <c r="G7695" t="s">
        <v>278</v>
      </c>
      <c r="H7695" t="s">
        <v>278</v>
      </c>
      <c r="I7695" t="s">
        <v>28</v>
      </c>
      <c r="J7695" t="s">
        <v>29</v>
      </c>
      <c r="K7695" t="s">
        <v>48</v>
      </c>
      <c r="L7695" t="s">
        <v>49</v>
      </c>
      <c r="M7695" t="s">
        <v>277</v>
      </c>
      <c r="N7695">
        <v>16</v>
      </c>
      <c r="O7695">
        <v>1.8660759999999998E-2</v>
      </c>
      <c r="P7695">
        <v>1.0154804999999999E-2</v>
      </c>
      <c r="Q7695" t="str">
        <f t="shared" si="240"/>
        <v>&lt;01</v>
      </c>
      <c r="R7695" t="str">
        <f t="shared" si="241"/>
        <v>[AZyWpGzhcaA]|&lt;01|Male|PLHIV_Attend.T2|CY2026Q3</v>
      </c>
    </row>
    <row r="7696" spans="4:18" x14ac:dyDescent="0.2">
      <c r="D7696" t="s">
        <v>111</v>
      </c>
      <c r="E7696" t="s">
        <v>112</v>
      </c>
      <c r="F7696" t="s">
        <v>113</v>
      </c>
      <c r="G7696" t="s">
        <v>278</v>
      </c>
      <c r="H7696" t="s">
        <v>278</v>
      </c>
      <c r="I7696" t="s">
        <v>33</v>
      </c>
      <c r="J7696" t="s">
        <v>34</v>
      </c>
      <c r="K7696" t="s">
        <v>48</v>
      </c>
      <c r="L7696" t="s">
        <v>49</v>
      </c>
      <c r="M7696" t="s">
        <v>277</v>
      </c>
      <c r="N7696">
        <v>286</v>
      </c>
      <c r="O7696">
        <v>2.6454038999999999E-2</v>
      </c>
      <c r="P7696">
        <v>1.0154804999999999E-2</v>
      </c>
      <c r="Q7696" t="str">
        <f t="shared" si="240"/>
        <v>01-09</v>
      </c>
      <c r="R7696" t="str">
        <f t="shared" si="241"/>
        <v>[AZyWpGzhcaA]|01-09|Male|PLHIV_Attend.T2|CY2026Q3</v>
      </c>
    </row>
    <row r="7697" spans="4:18" x14ac:dyDescent="0.2">
      <c r="D7697" t="s">
        <v>111</v>
      </c>
      <c r="E7697" t="s">
        <v>112</v>
      </c>
      <c r="F7697" t="s">
        <v>113</v>
      </c>
      <c r="G7697" t="s">
        <v>278</v>
      </c>
      <c r="H7697" t="s">
        <v>278</v>
      </c>
      <c r="I7697" t="s">
        <v>36</v>
      </c>
      <c r="J7697" t="s">
        <v>37</v>
      </c>
      <c r="K7697" t="s">
        <v>48</v>
      </c>
      <c r="L7697" t="s">
        <v>49</v>
      </c>
      <c r="M7697" t="s">
        <v>277</v>
      </c>
      <c r="N7697">
        <v>389</v>
      </c>
      <c r="O7697">
        <v>4.1880532999999998E-2</v>
      </c>
      <c r="P7697">
        <v>1.0154804999999999E-2</v>
      </c>
      <c r="Q7697" t="str">
        <f t="shared" si="240"/>
        <v>10-14</v>
      </c>
      <c r="R7697" t="str">
        <f t="shared" si="241"/>
        <v>[AZyWpGzhcaA]|10-14|Male|PLHIV_Attend.T2|CY2026Q3</v>
      </c>
    </row>
    <row r="7698" spans="4:18" x14ac:dyDescent="0.2">
      <c r="D7698" t="s">
        <v>111</v>
      </c>
      <c r="E7698" t="s">
        <v>112</v>
      </c>
      <c r="F7698" t="s">
        <v>113</v>
      </c>
      <c r="G7698" t="s">
        <v>278</v>
      </c>
      <c r="H7698" t="s">
        <v>278</v>
      </c>
      <c r="I7698" t="s">
        <v>38</v>
      </c>
      <c r="J7698" t="s">
        <v>39</v>
      </c>
      <c r="K7698" t="s">
        <v>48</v>
      </c>
      <c r="L7698" t="s">
        <v>49</v>
      </c>
      <c r="M7698" t="s">
        <v>277</v>
      </c>
      <c r="N7698">
        <v>1174</v>
      </c>
      <c r="O7698">
        <v>5.3785575000000002E-2</v>
      </c>
      <c r="P7698">
        <v>1.0154804999999999E-2</v>
      </c>
      <c r="Q7698" t="str">
        <f t="shared" si="240"/>
        <v>15-24</v>
      </c>
      <c r="R7698" t="str">
        <f t="shared" si="241"/>
        <v>[AZyWpGzhcaA]|15-24|Male|PLHIV_Attend.T2|CY2026Q3</v>
      </c>
    </row>
    <row r="7699" spans="4:18" x14ac:dyDescent="0.2">
      <c r="D7699" t="s">
        <v>111</v>
      </c>
      <c r="E7699" t="s">
        <v>112</v>
      </c>
      <c r="F7699" t="s">
        <v>113</v>
      </c>
      <c r="G7699" t="s">
        <v>278</v>
      </c>
      <c r="H7699" t="s">
        <v>278</v>
      </c>
      <c r="I7699" t="s">
        <v>41</v>
      </c>
      <c r="J7699" t="s">
        <v>42</v>
      </c>
      <c r="K7699" t="s">
        <v>48</v>
      </c>
      <c r="L7699" t="s">
        <v>49</v>
      </c>
      <c r="M7699" t="s">
        <v>277</v>
      </c>
      <c r="N7699">
        <v>1387</v>
      </c>
      <c r="O7699">
        <v>5.7612365999999998E-2</v>
      </c>
      <c r="P7699">
        <v>1.0154804999999999E-2</v>
      </c>
      <c r="Q7699" t="str">
        <f t="shared" si="240"/>
        <v>25-34</v>
      </c>
      <c r="R7699" t="str">
        <f t="shared" si="241"/>
        <v>[AZyWpGzhcaA]|25-34|Male|PLHIV_Attend.T2|CY2026Q3</v>
      </c>
    </row>
    <row r="7700" spans="4:18" x14ac:dyDescent="0.2">
      <c r="D7700" t="s">
        <v>111</v>
      </c>
      <c r="E7700" t="s">
        <v>112</v>
      </c>
      <c r="F7700" t="s">
        <v>113</v>
      </c>
      <c r="G7700" t="s">
        <v>278</v>
      </c>
      <c r="H7700" t="s">
        <v>278</v>
      </c>
      <c r="I7700" t="s">
        <v>43</v>
      </c>
      <c r="J7700" t="s">
        <v>44</v>
      </c>
      <c r="K7700" t="s">
        <v>48</v>
      </c>
      <c r="L7700" t="s">
        <v>49</v>
      </c>
      <c r="M7700" t="s">
        <v>277</v>
      </c>
      <c r="N7700">
        <v>4628</v>
      </c>
      <c r="O7700">
        <v>2.8159238999999999E-2</v>
      </c>
      <c r="P7700">
        <v>1.0154804999999999E-2</v>
      </c>
      <c r="Q7700" t="str">
        <f t="shared" si="240"/>
        <v>35-49</v>
      </c>
      <c r="R7700" t="str">
        <f t="shared" si="241"/>
        <v>[AZyWpGzhcaA]|35-49|Male|PLHIV_Attend.T2|CY2026Q3</v>
      </c>
    </row>
    <row r="7701" spans="4:18" x14ac:dyDescent="0.2">
      <c r="D7701" t="s">
        <v>111</v>
      </c>
      <c r="E7701" t="s">
        <v>112</v>
      </c>
      <c r="F7701" t="s">
        <v>113</v>
      </c>
      <c r="G7701" t="s">
        <v>278</v>
      </c>
      <c r="H7701" t="s">
        <v>278</v>
      </c>
      <c r="I7701" t="s">
        <v>45</v>
      </c>
      <c r="J7701" t="s">
        <v>46</v>
      </c>
      <c r="K7701" t="s">
        <v>48</v>
      </c>
      <c r="L7701" t="s">
        <v>49</v>
      </c>
      <c r="M7701" t="s">
        <v>277</v>
      </c>
      <c r="N7701">
        <v>3831</v>
      </c>
      <c r="O7701">
        <v>2.8764830000000002E-2</v>
      </c>
      <c r="P7701">
        <v>1.0154804999999999E-2</v>
      </c>
      <c r="Q7701" t="str">
        <f t="shared" si="240"/>
        <v>50+</v>
      </c>
      <c r="R7701" t="str">
        <f t="shared" si="241"/>
        <v>[AZyWpGzhcaA]|50+|Male|PLHIV_Attend.T2|CY2026Q3</v>
      </c>
    </row>
    <row r="7702" spans="4:18" x14ac:dyDescent="0.2">
      <c r="D7702" t="s">
        <v>114</v>
      </c>
      <c r="E7702" t="s">
        <v>115</v>
      </c>
      <c r="F7702" t="s">
        <v>116</v>
      </c>
      <c r="G7702" t="s">
        <v>278</v>
      </c>
      <c r="H7702" t="s">
        <v>278</v>
      </c>
      <c r="I7702" t="s">
        <v>28</v>
      </c>
      <c r="J7702" t="s">
        <v>29</v>
      </c>
      <c r="K7702" t="s">
        <v>30</v>
      </c>
      <c r="L7702" t="s">
        <v>31</v>
      </c>
      <c r="M7702" t="s">
        <v>277</v>
      </c>
      <c r="N7702">
        <v>12</v>
      </c>
      <c r="O7702">
        <v>2.4646356000000001E-2</v>
      </c>
      <c r="P7702">
        <v>1.6548897999999999E-2</v>
      </c>
      <c r="Q7702" t="str">
        <f t="shared" si="240"/>
        <v>&lt;01</v>
      </c>
      <c r="R7702" t="str">
        <f t="shared" si="241"/>
        <v>[ir8wuHHzoSs]|&lt;01|Female|PLHIV_Attend.T2|CY2026Q3</v>
      </c>
    </row>
    <row r="7703" spans="4:18" x14ac:dyDescent="0.2">
      <c r="D7703" t="s">
        <v>114</v>
      </c>
      <c r="E7703" t="s">
        <v>115</v>
      </c>
      <c r="F7703" t="s">
        <v>116</v>
      </c>
      <c r="G7703" t="s">
        <v>278</v>
      </c>
      <c r="H7703" t="s">
        <v>278</v>
      </c>
      <c r="I7703" t="s">
        <v>33</v>
      </c>
      <c r="J7703" t="s">
        <v>34</v>
      </c>
      <c r="K7703" t="s">
        <v>30</v>
      </c>
      <c r="L7703" t="s">
        <v>31</v>
      </c>
      <c r="M7703" t="s">
        <v>277</v>
      </c>
      <c r="N7703">
        <v>222</v>
      </c>
      <c r="O7703">
        <v>3.3111584999999999E-2</v>
      </c>
      <c r="P7703">
        <v>1.6548897999999999E-2</v>
      </c>
      <c r="Q7703" t="str">
        <f t="shared" si="240"/>
        <v>01-09</v>
      </c>
      <c r="R7703" t="str">
        <f t="shared" si="241"/>
        <v>[ir8wuHHzoSs]|01-09|Female|PLHIV_Attend.T2|CY2026Q3</v>
      </c>
    </row>
    <row r="7704" spans="4:18" x14ac:dyDescent="0.2">
      <c r="D7704" t="s">
        <v>114</v>
      </c>
      <c r="E7704" t="s">
        <v>115</v>
      </c>
      <c r="F7704" t="s">
        <v>116</v>
      </c>
      <c r="G7704" t="s">
        <v>278</v>
      </c>
      <c r="H7704" t="s">
        <v>278</v>
      </c>
      <c r="I7704" t="s">
        <v>36</v>
      </c>
      <c r="J7704" t="s">
        <v>37</v>
      </c>
      <c r="K7704" t="s">
        <v>30</v>
      </c>
      <c r="L7704" t="s">
        <v>31</v>
      </c>
      <c r="M7704" t="s">
        <v>277</v>
      </c>
      <c r="N7704">
        <v>303</v>
      </c>
      <c r="O7704">
        <v>4.9678356E-2</v>
      </c>
      <c r="P7704">
        <v>1.6548897999999999E-2</v>
      </c>
      <c r="Q7704" t="str">
        <f t="shared" si="240"/>
        <v>10-14</v>
      </c>
      <c r="R7704" t="str">
        <f t="shared" si="241"/>
        <v>[ir8wuHHzoSs]|10-14|Female|PLHIV_Attend.T2|CY2026Q3</v>
      </c>
    </row>
    <row r="7705" spans="4:18" x14ac:dyDescent="0.2">
      <c r="D7705" t="s">
        <v>114</v>
      </c>
      <c r="E7705" t="s">
        <v>115</v>
      </c>
      <c r="F7705" t="s">
        <v>116</v>
      </c>
      <c r="G7705" t="s">
        <v>278</v>
      </c>
      <c r="H7705" t="s">
        <v>278</v>
      </c>
      <c r="I7705" t="s">
        <v>38</v>
      </c>
      <c r="J7705" t="s">
        <v>39</v>
      </c>
      <c r="K7705" t="s">
        <v>30</v>
      </c>
      <c r="L7705" t="s">
        <v>31</v>
      </c>
      <c r="M7705" t="s">
        <v>277</v>
      </c>
      <c r="N7705">
        <v>1209</v>
      </c>
      <c r="O7705">
        <v>5.1898654000000002E-2</v>
      </c>
      <c r="P7705">
        <v>1.6548897999999999E-2</v>
      </c>
      <c r="Q7705" t="str">
        <f t="shared" si="240"/>
        <v>15-24</v>
      </c>
      <c r="R7705" t="str">
        <f t="shared" si="241"/>
        <v>[ir8wuHHzoSs]|15-24|Female|PLHIV_Attend.T2|CY2026Q3</v>
      </c>
    </row>
    <row r="7706" spans="4:18" x14ac:dyDescent="0.2">
      <c r="D7706" t="s">
        <v>114</v>
      </c>
      <c r="E7706" t="s">
        <v>115</v>
      </c>
      <c r="F7706" t="s">
        <v>116</v>
      </c>
      <c r="G7706" t="s">
        <v>278</v>
      </c>
      <c r="H7706" t="s">
        <v>278</v>
      </c>
      <c r="I7706" t="s">
        <v>41</v>
      </c>
      <c r="J7706" t="s">
        <v>42</v>
      </c>
      <c r="K7706" t="s">
        <v>30</v>
      </c>
      <c r="L7706" t="s">
        <v>31</v>
      </c>
      <c r="M7706" t="s">
        <v>277</v>
      </c>
      <c r="N7706">
        <v>2657</v>
      </c>
      <c r="O7706">
        <v>3.8178176000000001E-2</v>
      </c>
      <c r="P7706">
        <v>1.6548897999999999E-2</v>
      </c>
      <c r="Q7706" t="str">
        <f t="shared" si="240"/>
        <v>25-34</v>
      </c>
      <c r="R7706" t="str">
        <f t="shared" si="241"/>
        <v>[ir8wuHHzoSs]|25-34|Female|PLHIV_Attend.T2|CY2026Q3</v>
      </c>
    </row>
    <row r="7707" spans="4:18" x14ac:dyDescent="0.2">
      <c r="D7707" t="s">
        <v>114</v>
      </c>
      <c r="E7707" t="s">
        <v>115</v>
      </c>
      <c r="F7707" t="s">
        <v>116</v>
      </c>
      <c r="G7707" t="s">
        <v>278</v>
      </c>
      <c r="H7707" t="s">
        <v>278</v>
      </c>
      <c r="I7707" t="s">
        <v>43</v>
      </c>
      <c r="J7707" t="s">
        <v>44</v>
      </c>
      <c r="K7707" t="s">
        <v>30</v>
      </c>
      <c r="L7707" t="s">
        <v>31</v>
      </c>
      <c r="M7707" t="s">
        <v>277</v>
      </c>
      <c r="N7707">
        <v>7488</v>
      </c>
      <c r="O7707">
        <v>2.2483258999999998E-2</v>
      </c>
      <c r="P7707">
        <v>1.6548897999999999E-2</v>
      </c>
      <c r="Q7707" t="str">
        <f t="shared" si="240"/>
        <v>35-49</v>
      </c>
      <c r="R7707" t="str">
        <f t="shared" si="241"/>
        <v>[ir8wuHHzoSs]|35-49|Female|PLHIV_Attend.T2|CY2026Q3</v>
      </c>
    </row>
    <row r="7708" spans="4:18" x14ac:dyDescent="0.2">
      <c r="D7708" t="s">
        <v>114</v>
      </c>
      <c r="E7708" t="s">
        <v>115</v>
      </c>
      <c r="F7708" t="s">
        <v>116</v>
      </c>
      <c r="G7708" t="s">
        <v>278</v>
      </c>
      <c r="H7708" t="s">
        <v>278</v>
      </c>
      <c r="I7708" t="s">
        <v>45</v>
      </c>
      <c r="J7708" t="s">
        <v>46</v>
      </c>
      <c r="K7708" t="s">
        <v>30</v>
      </c>
      <c r="L7708" t="s">
        <v>31</v>
      </c>
      <c r="M7708" t="s">
        <v>277</v>
      </c>
      <c r="N7708">
        <v>4388</v>
      </c>
      <c r="O7708">
        <v>3.0341441E-2</v>
      </c>
      <c r="P7708">
        <v>1.6548897999999999E-2</v>
      </c>
      <c r="Q7708" t="str">
        <f t="shared" si="240"/>
        <v>50+</v>
      </c>
      <c r="R7708" t="str">
        <f t="shared" si="241"/>
        <v>[ir8wuHHzoSs]|50+|Female|PLHIV_Attend.T2|CY2026Q3</v>
      </c>
    </row>
    <row r="7709" spans="4:18" x14ac:dyDescent="0.2">
      <c r="D7709" t="s">
        <v>114</v>
      </c>
      <c r="E7709" t="s">
        <v>115</v>
      </c>
      <c r="F7709" t="s">
        <v>116</v>
      </c>
      <c r="G7709" t="s">
        <v>278</v>
      </c>
      <c r="H7709" t="s">
        <v>278</v>
      </c>
      <c r="I7709" t="s">
        <v>28</v>
      </c>
      <c r="J7709" t="s">
        <v>29</v>
      </c>
      <c r="K7709" t="s">
        <v>48</v>
      </c>
      <c r="L7709" t="s">
        <v>49</v>
      </c>
      <c r="M7709" t="s">
        <v>277</v>
      </c>
      <c r="N7709">
        <v>12</v>
      </c>
      <c r="O7709">
        <v>2.4696177E-2</v>
      </c>
      <c r="P7709">
        <v>1.6548897999999999E-2</v>
      </c>
      <c r="Q7709" t="str">
        <f t="shared" si="240"/>
        <v>&lt;01</v>
      </c>
      <c r="R7709" t="str">
        <f t="shared" si="241"/>
        <v>[ir8wuHHzoSs]|&lt;01|Male|PLHIV_Attend.T2|CY2026Q3</v>
      </c>
    </row>
    <row r="7710" spans="4:18" x14ac:dyDescent="0.2">
      <c r="D7710" t="s">
        <v>114</v>
      </c>
      <c r="E7710" t="s">
        <v>115</v>
      </c>
      <c r="F7710" t="s">
        <v>116</v>
      </c>
      <c r="G7710" t="s">
        <v>278</v>
      </c>
      <c r="H7710" t="s">
        <v>278</v>
      </c>
      <c r="I7710" t="s">
        <v>33</v>
      </c>
      <c r="J7710" t="s">
        <v>34</v>
      </c>
      <c r="K7710" t="s">
        <v>48</v>
      </c>
      <c r="L7710" t="s">
        <v>49</v>
      </c>
      <c r="M7710" t="s">
        <v>277</v>
      </c>
      <c r="N7710">
        <v>226</v>
      </c>
      <c r="O7710">
        <v>3.320298E-2</v>
      </c>
      <c r="P7710">
        <v>1.6548897999999999E-2</v>
      </c>
      <c r="Q7710" t="str">
        <f t="shared" si="240"/>
        <v>01-09</v>
      </c>
      <c r="R7710" t="str">
        <f t="shared" si="241"/>
        <v>[ir8wuHHzoSs]|01-09|Male|PLHIV_Attend.T2|CY2026Q3</v>
      </c>
    </row>
    <row r="7711" spans="4:18" x14ac:dyDescent="0.2">
      <c r="D7711" t="s">
        <v>114</v>
      </c>
      <c r="E7711" t="s">
        <v>115</v>
      </c>
      <c r="F7711" t="s">
        <v>116</v>
      </c>
      <c r="G7711" t="s">
        <v>278</v>
      </c>
      <c r="H7711" t="s">
        <v>278</v>
      </c>
      <c r="I7711" t="s">
        <v>36</v>
      </c>
      <c r="J7711" t="s">
        <v>37</v>
      </c>
      <c r="K7711" t="s">
        <v>48</v>
      </c>
      <c r="L7711" t="s">
        <v>49</v>
      </c>
      <c r="M7711" t="s">
        <v>277</v>
      </c>
      <c r="N7711">
        <v>312</v>
      </c>
      <c r="O7711">
        <v>4.9716944999999999E-2</v>
      </c>
      <c r="P7711">
        <v>1.6548897999999999E-2</v>
      </c>
      <c r="Q7711" t="str">
        <f t="shared" si="240"/>
        <v>10-14</v>
      </c>
      <c r="R7711" t="str">
        <f t="shared" si="241"/>
        <v>[ir8wuHHzoSs]|10-14|Male|PLHIV_Attend.T2|CY2026Q3</v>
      </c>
    </row>
    <row r="7712" spans="4:18" x14ac:dyDescent="0.2">
      <c r="D7712" t="s">
        <v>114</v>
      </c>
      <c r="E7712" t="s">
        <v>115</v>
      </c>
      <c r="F7712" t="s">
        <v>116</v>
      </c>
      <c r="G7712" t="s">
        <v>278</v>
      </c>
      <c r="H7712" t="s">
        <v>278</v>
      </c>
      <c r="I7712" t="s">
        <v>38</v>
      </c>
      <c r="J7712" t="s">
        <v>39</v>
      </c>
      <c r="K7712" t="s">
        <v>48</v>
      </c>
      <c r="L7712" t="s">
        <v>49</v>
      </c>
      <c r="M7712" t="s">
        <v>277</v>
      </c>
      <c r="N7712">
        <v>863</v>
      </c>
      <c r="O7712">
        <v>5.4973064000000002E-2</v>
      </c>
      <c r="P7712">
        <v>1.6548897999999999E-2</v>
      </c>
      <c r="Q7712" t="str">
        <f t="shared" si="240"/>
        <v>15-24</v>
      </c>
      <c r="R7712" t="str">
        <f t="shared" si="241"/>
        <v>[ir8wuHHzoSs]|15-24|Male|PLHIV_Attend.T2|CY2026Q3</v>
      </c>
    </row>
    <row r="7713" spans="4:18" x14ac:dyDescent="0.2">
      <c r="D7713" t="s">
        <v>114</v>
      </c>
      <c r="E7713" t="s">
        <v>115</v>
      </c>
      <c r="F7713" t="s">
        <v>116</v>
      </c>
      <c r="G7713" t="s">
        <v>278</v>
      </c>
      <c r="H7713" t="s">
        <v>278</v>
      </c>
      <c r="I7713" t="s">
        <v>41</v>
      </c>
      <c r="J7713" t="s">
        <v>42</v>
      </c>
      <c r="K7713" t="s">
        <v>48</v>
      </c>
      <c r="L7713" t="s">
        <v>49</v>
      </c>
      <c r="M7713" t="s">
        <v>277</v>
      </c>
      <c r="N7713">
        <v>885</v>
      </c>
      <c r="O7713">
        <v>6.2766100000000005E-2</v>
      </c>
      <c r="P7713">
        <v>1.6548897999999999E-2</v>
      </c>
      <c r="Q7713" t="str">
        <f t="shared" si="240"/>
        <v>25-34</v>
      </c>
      <c r="R7713" t="str">
        <f t="shared" si="241"/>
        <v>[ir8wuHHzoSs]|25-34|Male|PLHIV_Attend.T2|CY2026Q3</v>
      </c>
    </row>
    <row r="7714" spans="4:18" x14ac:dyDescent="0.2">
      <c r="D7714" t="s">
        <v>114</v>
      </c>
      <c r="E7714" t="s">
        <v>115</v>
      </c>
      <c r="F7714" t="s">
        <v>116</v>
      </c>
      <c r="G7714" t="s">
        <v>278</v>
      </c>
      <c r="H7714" t="s">
        <v>278</v>
      </c>
      <c r="I7714" t="s">
        <v>43</v>
      </c>
      <c r="J7714" t="s">
        <v>44</v>
      </c>
      <c r="K7714" t="s">
        <v>48</v>
      </c>
      <c r="L7714" t="s">
        <v>49</v>
      </c>
      <c r="M7714" t="s">
        <v>277</v>
      </c>
      <c r="N7714">
        <v>3033</v>
      </c>
      <c r="O7714">
        <v>3.4588754999999999E-2</v>
      </c>
      <c r="P7714">
        <v>1.6548897999999999E-2</v>
      </c>
      <c r="Q7714" t="str">
        <f t="shared" si="240"/>
        <v>35-49</v>
      </c>
      <c r="R7714" t="str">
        <f t="shared" si="241"/>
        <v>[ir8wuHHzoSs]|35-49|Male|PLHIV_Attend.T2|CY2026Q3</v>
      </c>
    </row>
    <row r="7715" spans="4:18" x14ac:dyDescent="0.2">
      <c r="D7715" t="s">
        <v>114</v>
      </c>
      <c r="E7715" t="s">
        <v>115</v>
      </c>
      <c r="F7715" t="s">
        <v>116</v>
      </c>
      <c r="G7715" t="s">
        <v>278</v>
      </c>
      <c r="H7715" t="s">
        <v>278</v>
      </c>
      <c r="I7715" t="s">
        <v>45</v>
      </c>
      <c r="J7715" t="s">
        <v>46</v>
      </c>
      <c r="K7715" t="s">
        <v>48</v>
      </c>
      <c r="L7715" t="s">
        <v>49</v>
      </c>
      <c r="M7715" t="s">
        <v>277</v>
      </c>
      <c r="N7715">
        <v>2858</v>
      </c>
      <c r="O7715">
        <v>3.1083751E-2</v>
      </c>
      <c r="P7715">
        <v>1.6548897999999999E-2</v>
      </c>
      <c r="Q7715" t="str">
        <f t="shared" si="240"/>
        <v>50+</v>
      </c>
      <c r="R7715" t="str">
        <f t="shared" si="241"/>
        <v>[ir8wuHHzoSs]|50+|Male|PLHIV_Attend.T2|CY2026Q3</v>
      </c>
    </row>
    <row r="7716" spans="4:18" x14ac:dyDescent="0.2">
      <c r="D7716" t="s">
        <v>117</v>
      </c>
      <c r="E7716" t="s">
        <v>118</v>
      </c>
      <c r="F7716" t="s">
        <v>119</v>
      </c>
      <c r="G7716" t="s">
        <v>278</v>
      </c>
      <c r="H7716" t="s">
        <v>278</v>
      </c>
      <c r="I7716" t="s">
        <v>28</v>
      </c>
      <c r="J7716" t="s">
        <v>29</v>
      </c>
      <c r="K7716" t="s">
        <v>30</v>
      </c>
      <c r="L7716" t="s">
        <v>31</v>
      </c>
      <c r="M7716" t="s">
        <v>277</v>
      </c>
      <c r="N7716">
        <v>21</v>
      </c>
      <c r="O7716">
        <v>1.9478608000000001E-2</v>
      </c>
      <c r="P7716">
        <v>1.3069791000000001E-2</v>
      </c>
      <c r="Q7716" t="str">
        <f t="shared" si="240"/>
        <v>&lt;01</v>
      </c>
      <c r="R7716" t="str">
        <f t="shared" si="241"/>
        <v>[oiPR2CiVJbf]|&lt;01|Female|PLHIV_Attend.T2|CY2026Q3</v>
      </c>
    </row>
    <row r="7717" spans="4:18" x14ac:dyDescent="0.2">
      <c r="D7717" t="s">
        <v>117</v>
      </c>
      <c r="E7717" t="s">
        <v>118</v>
      </c>
      <c r="F7717" t="s">
        <v>119</v>
      </c>
      <c r="G7717" t="s">
        <v>278</v>
      </c>
      <c r="H7717" t="s">
        <v>278</v>
      </c>
      <c r="I7717" t="s">
        <v>33</v>
      </c>
      <c r="J7717" t="s">
        <v>34</v>
      </c>
      <c r="K7717" t="s">
        <v>30</v>
      </c>
      <c r="L7717" t="s">
        <v>31</v>
      </c>
      <c r="M7717" t="s">
        <v>277</v>
      </c>
      <c r="N7717">
        <v>346</v>
      </c>
      <c r="O7717">
        <v>2.5313417000000001E-2</v>
      </c>
      <c r="P7717">
        <v>1.3069791000000001E-2</v>
      </c>
      <c r="Q7717" t="str">
        <f t="shared" si="240"/>
        <v>01-09</v>
      </c>
      <c r="R7717" t="str">
        <f t="shared" si="241"/>
        <v>[oiPR2CiVJbf]|01-09|Female|PLHIV_Attend.T2|CY2026Q3</v>
      </c>
    </row>
    <row r="7718" spans="4:18" x14ac:dyDescent="0.2">
      <c r="D7718" t="s">
        <v>117</v>
      </c>
      <c r="E7718" t="s">
        <v>118</v>
      </c>
      <c r="F7718" t="s">
        <v>119</v>
      </c>
      <c r="G7718" t="s">
        <v>278</v>
      </c>
      <c r="H7718" t="s">
        <v>278</v>
      </c>
      <c r="I7718" t="s">
        <v>36</v>
      </c>
      <c r="J7718" t="s">
        <v>37</v>
      </c>
      <c r="K7718" t="s">
        <v>30</v>
      </c>
      <c r="L7718" t="s">
        <v>31</v>
      </c>
      <c r="M7718" t="s">
        <v>277</v>
      </c>
      <c r="N7718">
        <v>438</v>
      </c>
      <c r="O7718">
        <v>3.8649620000000003E-2</v>
      </c>
      <c r="P7718">
        <v>1.3069791000000001E-2</v>
      </c>
      <c r="Q7718" t="str">
        <f t="shared" si="240"/>
        <v>10-14</v>
      </c>
      <c r="R7718" t="str">
        <f t="shared" si="241"/>
        <v>[oiPR2CiVJbf]|10-14|Female|PLHIV_Attend.T2|CY2026Q3</v>
      </c>
    </row>
    <row r="7719" spans="4:18" x14ac:dyDescent="0.2">
      <c r="D7719" t="s">
        <v>117</v>
      </c>
      <c r="E7719" t="s">
        <v>118</v>
      </c>
      <c r="F7719" t="s">
        <v>119</v>
      </c>
      <c r="G7719" t="s">
        <v>278</v>
      </c>
      <c r="H7719" t="s">
        <v>278</v>
      </c>
      <c r="I7719" t="s">
        <v>38</v>
      </c>
      <c r="J7719" t="s">
        <v>39</v>
      </c>
      <c r="K7719" t="s">
        <v>30</v>
      </c>
      <c r="L7719" t="s">
        <v>31</v>
      </c>
      <c r="M7719" t="s">
        <v>277</v>
      </c>
      <c r="N7719">
        <v>2060</v>
      </c>
      <c r="O7719">
        <v>5.1496373999999998E-2</v>
      </c>
      <c r="P7719">
        <v>1.3069791000000001E-2</v>
      </c>
      <c r="Q7719" t="str">
        <f t="shared" si="240"/>
        <v>15-24</v>
      </c>
      <c r="R7719" t="str">
        <f t="shared" si="241"/>
        <v>[oiPR2CiVJbf]|15-24|Female|PLHIV_Attend.T2|CY2026Q3</v>
      </c>
    </row>
    <row r="7720" spans="4:18" x14ac:dyDescent="0.2">
      <c r="D7720" t="s">
        <v>117</v>
      </c>
      <c r="E7720" t="s">
        <v>118</v>
      </c>
      <c r="F7720" t="s">
        <v>119</v>
      </c>
      <c r="G7720" t="s">
        <v>278</v>
      </c>
      <c r="H7720" t="s">
        <v>278</v>
      </c>
      <c r="I7720" t="s">
        <v>41</v>
      </c>
      <c r="J7720" t="s">
        <v>42</v>
      </c>
      <c r="K7720" t="s">
        <v>30</v>
      </c>
      <c r="L7720" t="s">
        <v>31</v>
      </c>
      <c r="M7720" t="s">
        <v>277</v>
      </c>
      <c r="N7720">
        <v>4972</v>
      </c>
      <c r="O7720">
        <v>3.4781383999999999E-2</v>
      </c>
      <c r="P7720">
        <v>1.3069791000000001E-2</v>
      </c>
      <c r="Q7720" t="str">
        <f t="shared" si="240"/>
        <v>25-34</v>
      </c>
      <c r="R7720" t="str">
        <f t="shared" si="241"/>
        <v>[oiPR2CiVJbf]|25-34|Female|PLHIV_Attend.T2|CY2026Q3</v>
      </c>
    </row>
    <row r="7721" spans="4:18" x14ac:dyDescent="0.2">
      <c r="D7721" t="s">
        <v>117</v>
      </c>
      <c r="E7721" t="s">
        <v>118</v>
      </c>
      <c r="F7721" t="s">
        <v>119</v>
      </c>
      <c r="G7721" t="s">
        <v>278</v>
      </c>
      <c r="H7721" t="s">
        <v>278</v>
      </c>
      <c r="I7721" t="s">
        <v>43</v>
      </c>
      <c r="J7721" t="s">
        <v>44</v>
      </c>
      <c r="K7721" t="s">
        <v>30</v>
      </c>
      <c r="L7721" t="s">
        <v>31</v>
      </c>
      <c r="M7721" t="s">
        <v>277</v>
      </c>
      <c r="N7721">
        <v>14088</v>
      </c>
      <c r="O7721">
        <v>1.9484079000000001E-2</v>
      </c>
      <c r="P7721">
        <v>1.3069791000000001E-2</v>
      </c>
      <c r="Q7721" t="str">
        <f t="shared" si="240"/>
        <v>35-49</v>
      </c>
      <c r="R7721" t="str">
        <f t="shared" si="241"/>
        <v>[oiPR2CiVJbf]|35-49|Female|PLHIV_Attend.T2|CY2026Q3</v>
      </c>
    </row>
    <row r="7722" spans="4:18" x14ac:dyDescent="0.2">
      <c r="D7722" t="s">
        <v>117</v>
      </c>
      <c r="E7722" t="s">
        <v>118</v>
      </c>
      <c r="F7722" t="s">
        <v>119</v>
      </c>
      <c r="G7722" t="s">
        <v>278</v>
      </c>
      <c r="H7722" t="s">
        <v>278</v>
      </c>
      <c r="I7722" t="s">
        <v>45</v>
      </c>
      <c r="J7722" t="s">
        <v>46</v>
      </c>
      <c r="K7722" t="s">
        <v>30</v>
      </c>
      <c r="L7722" t="s">
        <v>31</v>
      </c>
      <c r="M7722" t="s">
        <v>277</v>
      </c>
      <c r="N7722">
        <v>8581</v>
      </c>
      <c r="O7722">
        <v>2.5555932999999999E-2</v>
      </c>
      <c r="P7722">
        <v>1.3069791000000001E-2</v>
      </c>
      <c r="Q7722" t="str">
        <f t="shared" si="240"/>
        <v>50+</v>
      </c>
      <c r="R7722" t="str">
        <f t="shared" si="241"/>
        <v>[oiPR2CiVJbf]|50+|Female|PLHIV_Attend.T2|CY2026Q3</v>
      </c>
    </row>
    <row r="7723" spans="4:18" x14ac:dyDescent="0.2">
      <c r="D7723" t="s">
        <v>117</v>
      </c>
      <c r="E7723" t="s">
        <v>118</v>
      </c>
      <c r="F7723" t="s">
        <v>119</v>
      </c>
      <c r="G7723" t="s">
        <v>278</v>
      </c>
      <c r="H7723" t="s">
        <v>278</v>
      </c>
      <c r="I7723" t="s">
        <v>28</v>
      </c>
      <c r="J7723" t="s">
        <v>29</v>
      </c>
      <c r="K7723" t="s">
        <v>48</v>
      </c>
      <c r="L7723" t="s">
        <v>49</v>
      </c>
      <c r="M7723" t="s">
        <v>277</v>
      </c>
      <c r="N7723">
        <v>21</v>
      </c>
      <c r="O7723">
        <v>1.9502292000000001E-2</v>
      </c>
      <c r="P7723">
        <v>1.3069791000000001E-2</v>
      </c>
      <c r="Q7723" t="str">
        <f t="shared" si="240"/>
        <v>&lt;01</v>
      </c>
      <c r="R7723" t="str">
        <f t="shared" si="241"/>
        <v>[oiPR2CiVJbf]|&lt;01|Male|PLHIV_Attend.T2|CY2026Q3</v>
      </c>
    </row>
    <row r="7724" spans="4:18" x14ac:dyDescent="0.2">
      <c r="D7724" t="s">
        <v>117</v>
      </c>
      <c r="E7724" t="s">
        <v>118</v>
      </c>
      <c r="F7724" t="s">
        <v>119</v>
      </c>
      <c r="G7724" t="s">
        <v>278</v>
      </c>
      <c r="H7724" t="s">
        <v>278</v>
      </c>
      <c r="I7724" t="s">
        <v>33</v>
      </c>
      <c r="J7724" t="s">
        <v>34</v>
      </c>
      <c r="K7724" t="s">
        <v>48</v>
      </c>
      <c r="L7724" t="s">
        <v>49</v>
      </c>
      <c r="M7724" t="s">
        <v>277</v>
      </c>
      <c r="N7724">
        <v>355</v>
      </c>
      <c r="O7724">
        <v>2.5387496999999998E-2</v>
      </c>
      <c r="P7724">
        <v>1.3069791000000001E-2</v>
      </c>
      <c r="Q7724" t="str">
        <f t="shared" si="240"/>
        <v>01-09</v>
      </c>
      <c r="R7724" t="str">
        <f t="shared" si="241"/>
        <v>[oiPR2CiVJbf]|01-09|Male|PLHIV_Attend.T2|CY2026Q3</v>
      </c>
    </row>
    <row r="7725" spans="4:18" x14ac:dyDescent="0.2">
      <c r="D7725" t="s">
        <v>117</v>
      </c>
      <c r="E7725" t="s">
        <v>118</v>
      </c>
      <c r="F7725" t="s">
        <v>119</v>
      </c>
      <c r="G7725" t="s">
        <v>278</v>
      </c>
      <c r="H7725" t="s">
        <v>278</v>
      </c>
      <c r="I7725" t="s">
        <v>36</v>
      </c>
      <c r="J7725" t="s">
        <v>37</v>
      </c>
      <c r="K7725" t="s">
        <v>48</v>
      </c>
      <c r="L7725" t="s">
        <v>49</v>
      </c>
      <c r="M7725" t="s">
        <v>277</v>
      </c>
      <c r="N7725">
        <v>451</v>
      </c>
      <c r="O7725">
        <v>3.8675992999999999E-2</v>
      </c>
      <c r="P7725">
        <v>1.3069791000000001E-2</v>
      </c>
      <c r="Q7725" t="str">
        <f t="shared" si="240"/>
        <v>10-14</v>
      </c>
      <c r="R7725" t="str">
        <f t="shared" si="241"/>
        <v>[oiPR2CiVJbf]|10-14|Male|PLHIV_Attend.T2|CY2026Q3</v>
      </c>
    </row>
    <row r="7726" spans="4:18" x14ac:dyDescent="0.2">
      <c r="D7726" t="s">
        <v>117</v>
      </c>
      <c r="E7726" t="s">
        <v>118</v>
      </c>
      <c r="F7726" t="s">
        <v>119</v>
      </c>
      <c r="G7726" t="s">
        <v>278</v>
      </c>
      <c r="H7726" t="s">
        <v>278</v>
      </c>
      <c r="I7726" t="s">
        <v>38</v>
      </c>
      <c r="J7726" t="s">
        <v>39</v>
      </c>
      <c r="K7726" t="s">
        <v>48</v>
      </c>
      <c r="L7726" t="s">
        <v>49</v>
      </c>
      <c r="M7726" t="s">
        <v>277</v>
      </c>
      <c r="N7726">
        <v>1516</v>
      </c>
      <c r="O7726">
        <v>5.7610547999999998E-2</v>
      </c>
      <c r="P7726">
        <v>1.3069791000000001E-2</v>
      </c>
      <c r="Q7726" t="str">
        <f t="shared" si="240"/>
        <v>15-24</v>
      </c>
      <c r="R7726" t="str">
        <f t="shared" si="241"/>
        <v>[oiPR2CiVJbf]|15-24|Male|PLHIV_Attend.T2|CY2026Q3</v>
      </c>
    </row>
    <row r="7727" spans="4:18" x14ac:dyDescent="0.2">
      <c r="D7727" t="s">
        <v>117</v>
      </c>
      <c r="E7727" t="s">
        <v>118</v>
      </c>
      <c r="F7727" t="s">
        <v>119</v>
      </c>
      <c r="G7727" t="s">
        <v>278</v>
      </c>
      <c r="H7727" t="s">
        <v>278</v>
      </c>
      <c r="I7727" t="s">
        <v>41</v>
      </c>
      <c r="J7727" t="s">
        <v>42</v>
      </c>
      <c r="K7727" t="s">
        <v>48</v>
      </c>
      <c r="L7727" t="s">
        <v>49</v>
      </c>
      <c r="M7727" t="s">
        <v>277</v>
      </c>
      <c r="N7727">
        <v>2030</v>
      </c>
      <c r="O7727">
        <v>6.0696244000000003E-2</v>
      </c>
      <c r="P7727">
        <v>1.3069791000000001E-2</v>
      </c>
      <c r="Q7727" t="str">
        <f t="shared" si="240"/>
        <v>25-34</v>
      </c>
      <c r="R7727" t="str">
        <f t="shared" si="241"/>
        <v>[oiPR2CiVJbf]|25-34|Male|PLHIV_Attend.T2|CY2026Q3</v>
      </c>
    </row>
    <row r="7728" spans="4:18" x14ac:dyDescent="0.2">
      <c r="D7728" t="s">
        <v>117</v>
      </c>
      <c r="E7728" t="s">
        <v>118</v>
      </c>
      <c r="F7728" t="s">
        <v>119</v>
      </c>
      <c r="G7728" t="s">
        <v>278</v>
      </c>
      <c r="H7728" t="s">
        <v>278</v>
      </c>
      <c r="I7728" t="s">
        <v>43</v>
      </c>
      <c r="J7728" t="s">
        <v>44</v>
      </c>
      <c r="K7728" t="s">
        <v>48</v>
      </c>
      <c r="L7728" t="s">
        <v>49</v>
      </c>
      <c r="M7728" t="s">
        <v>277</v>
      </c>
      <c r="N7728">
        <v>6786</v>
      </c>
      <c r="O7728">
        <v>3.1311350000000002E-2</v>
      </c>
      <c r="P7728">
        <v>1.3069791000000001E-2</v>
      </c>
      <c r="Q7728" t="str">
        <f t="shared" si="240"/>
        <v>35-49</v>
      </c>
      <c r="R7728" t="str">
        <f t="shared" si="241"/>
        <v>[oiPR2CiVJbf]|35-49|Male|PLHIV_Attend.T2|CY2026Q3</v>
      </c>
    </row>
    <row r="7729" spans="4:18" x14ac:dyDescent="0.2">
      <c r="D7729" t="s">
        <v>117</v>
      </c>
      <c r="E7729" t="s">
        <v>118</v>
      </c>
      <c r="F7729" t="s">
        <v>119</v>
      </c>
      <c r="G7729" t="s">
        <v>278</v>
      </c>
      <c r="H7729" t="s">
        <v>278</v>
      </c>
      <c r="I7729" t="s">
        <v>45</v>
      </c>
      <c r="J7729" t="s">
        <v>46</v>
      </c>
      <c r="K7729" t="s">
        <v>48</v>
      </c>
      <c r="L7729" t="s">
        <v>49</v>
      </c>
      <c r="M7729" t="s">
        <v>277</v>
      </c>
      <c r="N7729">
        <v>5992</v>
      </c>
      <c r="O7729">
        <v>2.7485531000000001E-2</v>
      </c>
      <c r="P7729">
        <v>1.3069791000000001E-2</v>
      </c>
      <c r="Q7729" t="str">
        <f t="shared" si="240"/>
        <v>50+</v>
      </c>
      <c r="R7729" t="str">
        <f t="shared" si="241"/>
        <v>[oiPR2CiVJbf]|50+|Male|PLHIV_Attend.T2|CY2026Q3</v>
      </c>
    </row>
    <row r="7730" spans="4:18" x14ac:dyDescent="0.2">
      <c r="D7730" t="s">
        <v>120</v>
      </c>
      <c r="E7730" t="s">
        <v>121</v>
      </c>
      <c r="F7730" t="s">
        <v>122</v>
      </c>
      <c r="G7730" t="s">
        <v>278</v>
      </c>
      <c r="H7730" t="s">
        <v>278</v>
      </c>
      <c r="I7730" t="s">
        <v>28</v>
      </c>
      <c r="J7730" t="s">
        <v>29</v>
      </c>
      <c r="K7730" t="s">
        <v>30</v>
      </c>
      <c r="L7730" t="s">
        <v>31</v>
      </c>
      <c r="M7730" t="s">
        <v>277</v>
      </c>
      <c r="N7730">
        <v>58</v>
      </c>
      <c r="O7730">
        <v>1.644027E-2</v>
      </c>
      <c r="P7730">
        <v>1.3260816999999999E-2</v>
      </c>
      <c r="Q7730" t="str">
        <f t="shared" si="240"/>
        <v>&lt;01</v>
      </c>
      <c r="R7730" t="str">
        <f t="shared" si="241"/>
        <v>[mxqa3CDFmIT]|&lt;01|Female|PLHIV_Attend.T2|CY2026Q3</v>
      </c>
    </row>
    <row r="7731" spans="4:18" x14ac:dyDescent="0.2">
      <c r="D7731" t="s">
        <v>120</v>
      </c>
      <c r="E7731" t="s">
        <v>121</v>
      </c>
      <c r="F7731" t="s">
        <v>122</v>
      </c>
      <c r="G7731" t="s">
        <v>278</v>
      </c>
      <c r="H7731" t="s">
        <v>278</v>
      </c>
      <c r="I7731" t="s">
        <v>33</v>
      </c>
      <c r="J7731" t="s">
        <v>34</v>
      </c>
      <c r="K7731" t="s">
        <v>30</v>
      </c>
      <c r="L7731" t="s">
        <v>31</v>
      </c>
      <c r="M7731" t="s">
        <v>277</v>
      </c>
      <c r="N7731">
        <v>938</v>
      </c>
      <c r="O7731">
        <v>2.1395931E-2</v>
      </c>
      <c r="P7731">
        <v>1.3260816999999999E-2</v>
      </c>
      <c r="Q7731" t="str">
        <f t="shared" si="240"/>
        <v>01-09</v>
      </c>
      <c r="R7731" t="str">
        <f t="shared" si="241"/>
        <v>[mxqa3CDFmIT]|01-09|Female|PLHIV_Attend.T2|CY2026Q3</v>
      </c>
    </row>
    <row r="7732" spans="4:18" x14ac:dyDescent="0.2">
      <c r="D7732" t="s">
        <v>120</v>
      </c>
      <c r="E7732" t="s">
        <v>121</v>
      </c>
      <c r="F7732" t="s">
        <v>122</v>
      </c>
      <c r="G7732" t="s">
        <v>278</v>
      </c>
      <c r="H7732" t="s">
        <v>278</v>
      </c>
      <c r="I7732" t="s">
        <v>36</v>
      </c>
      <c r="J7732" t="s">
        <v>37</v>
      </c>
      <c r="K7732" t="s">
        <v>30</v>
      </c>
      <c r="L7732" t="s">
        <v>31</v>
      </c>
      <c r="M7732" t="s">
        <v>277</v>
      </c>
      <c r="N7732">
        <v>1109</v>
      </c>
      <c r="O7732">
        <v>3.3387762000000001E-2</v>
      </c>
      <c r="P7732">
        <v>1.3260816999999999E-2</v>
      </c>
      <c r="Q7732" t="str">
        <f t="shared" si="240"/>
        <v>10-14</v>
      </c>
      <c r="R7732" t="str">
        <f t="shared" si="241"/>
        <v>[mxqa3CDFmIT]|10-14|Female|PLHIV_Attend.T2|CY2026Q3</v>
      </c>
    </row>
    <row r="7733" spans="4:18" x14ac:dyDescent="0.2">
      <c r="D7733" t="s">
        <v>120</v>
      </c>
      <c r="E7733" t="s">
        <v>121</v>
      </c>
      <c r="F7733" t="s">
        <v>122</v>
      </c>
      <c r="G7733" t="s">
        <v>278</v>
      </c>
      <c r="H7733" t="s">
        <v>278</v>
      </c>
      <c r="I7733" t="s">
        <v>38</v>
      </c>
      <c r="J7733" t="s">
        <v>39</v>
      </c>
      <c r="K7733" t="s">
        <v>30</v>
      </c>
      <c r="L7733" t="s">
        <v>31</v>
      </c>
      <c r="M7733" t="s">
        <v>277</v>
      </c>
      <c r="N7733">
        <v>5487</v>
      </c>
      <c r="O7733">
        <v>4.8399348000000002E-2</v>
      </c>
      <c r="P7733">
        <v>1.3260816999999999E-2</v>
      </c>
      <c r="Q7733" t="str">
        <f t="shared" si="240"/>
        <v>15-24</v>
      </c>
      <c r="R7733" t="str">
        <f t="shared" si="241"/>
        <v>[mxqa3CDFmIT]|15-24|Female|PLHIV_Attend.T2|CY2026Q3</v>
      </c>
    </row>
    <row r="7734" spans="4:18" x14ac:dyDescent="0.2">
      <c r="D7734" t="s">
        <v>120</v>
      </c>
      <c r="E7734" t="s">
        <v>121</v>
      </c>
      <c r="F7734" t="s">
        <v>122</v>
      </c>
      <c r="G7734" t="s">
        <v>278</v>
      </c>
      <c r="H7734" t="s">
        <v>278</v>
      </c>
      <c r="I7734" t="s">
        <v>41</v>
      </c>
      <c r="J7734" t="s">
        <v>42</v>
      </c>
      <c r="K7734" t="s">
        <v>30</v>
      </c>
      <c r="L7734" t="s">
        <v>31</v>
      </c>
      <c r="M7734" t="s">
        <v>277</v>
      </c>
      <c r="N7734">
        <v>15053</v>
      </c>
      <c r="O7734">
        <v>3.462208E-2</v>
      </c>
      <c r="P7734">
        <v>1.3260816999999999E-2</v>
      </c>
      <c r="Q7734" t="str">
        <f t="shared" si="240"/>
        <v>25-34</v>
      </c>
      <c r="R7734" t="str">
        <f t="shared" si="241"/>
        <v>[mxqa3CDFmIT]|25-34|Female|PLHIV_Attend.T2|CY2026Q3</v>
      </c>
    </row>
    <row r="7735" spans="4:18" x14ac:dyDescent="0.2">
      <c r="D7735" t="s">
        <v>120</v>
      </c>
      <c r="E7735" t="s">
        <v>121</v>
      </c>
      <c r="F7735" t="s">
        <v>122</v>
      </c>
      <c r="G7735" t="s">
        <v>278</v>
      </c>
      <c r="H7735" t="s">
        <v>278</v>
      </c>
      <c r="I7735" t="s">
        <v>43</v>
      </c>
      <c r="J7735" t="s">
        <v>44</v>
      </c>
      <c r="K7735" t="s">
        <v>30</v>
      </c>
      <c r="L7735" t="s">
        <v>31</v>
      </c>
      <c r="M7735" t="s">
        <v>277</v>
      </c>
      <c r="N7735">
        <v>38792</v>
      </c>
      <c r="O7735">
        <v>1.6520019E-2</v>
      </c>
      <c r="P7735">
        <v>1.3260816999999999E-2</v>
      </c>
      <c r="Q7735" t="str">
        <f t="shared" si="240"/>
        <v>35-49</v>
      </c>
      <c r="R7735" t="str">
        <f t="shared" si="241"/>
        <v>[mxqa3CDFmIT]|35-49|Female|PLHIV_Attend.T2|CY2026Q3</v>
      </c>
    </row>
    <row r="7736" spans="4:18" x14ac:dyDescent="0.2">
      <c r="D7736" t="s">
        <v>120</v>
      </c>
      <c r="E7736" t="s">
        <v>121</v>
      </c>
      <c r="F7736" t="s">
        <v>122</v>
      </c>
      <c r="G7736" t="s">
        <v>278</v>
      </c>
      <c r="H7736" t="s">
        <v>278</v>
      </c>
      <c r="I7736" t="s">
        <v>45</v>
      </c>
      <c r="J7736" t="s">
        <v>46</v>
      </c>
      <c r="K7736" t="s">
        <v>30</v>
      </c>
      <c r="L7736" t="s">
        <v>31</v>
      </c>
      <c r="M7736" t="s">
        <v>277</v>
      </c>
      <c r="N7736">
        <v>17010</v>
      </c>
      <c r="O7736">
        <v>2.9739534000000001E-2</v>
      </c>
      <c r="P7736">
        <v>1.3260816999999999E-2</v>
      </c>
      <c r="Q7736" t="str">
        <f t="shared" si="240"/>
        <v>50+</v>
      </c>
      <c r="R7736" t="str">
        <f t="shared" si="241"/>
        <v>[mxqa3CDFmIT]|50+|Female|PLHIV_Attend.T2|CY2026Q3</v>
      </c>
    </row>
    <row r="7737" spans="4:18" x14ac:dyDescent="0.2">
      <c r="D7737" t="s">
        <v>120</v>
      </c>
      <c r="E7737" t="s">
        <v>121</v>
      </c>
      <c r="F7737" t="s">
        <v>122</v>
      </c>
      <c r="G7737" t="s">
        <v>278</v>
      </c>
      <c r="H7737" t="s">
        <v>278</v>
      </c>
      <c r="I7737" t="s">
        <v>28</v>
      </c>
      <c r="J7737" t="s">
        <v>29</v>
      </c>
      <c r="K7737" t="s">
        <v>48</v>
      </c>
      <c r="L7737" t="s">
        <v>49</v>
      </c>
      <c r="M7737" t="s">
        <v>277</v>
      </c>
      <c r="N7737">
        <v>59</v>
      </c>
      <c r="O7737">
        <v>1.6424965E-2</v>
      </c>
      <c r="P7737">
        <v>1.3260816999999999E-2</v>
      </c>
      <c r="Q7737" t="str">
        <f t="shared" si="240"/>
        <v>&lt;01</v>
      </c>
      <c r="R7737" t="str">
        <f t="shared" si="241"/>
        <v>[mxqa3CDFmIT]|&lt;01|Male|PLHIV_Attend.T2|CY2026Q3</v>
      </c>
    </row>
    <row r="7738" spans="4:18" x14ac:dyDescent="0.2">
      <c r="D7738" t="s">
        <v>120</v>
      </c>
      <c r="E7738" t="s">
        <v>121</v>
      </c>
      <c r="F7738" t="s">
        <v>122</v>
      </c>
      <c r="G7738" t="s">
        <v>278</v>
      </c>
      <c r="H7738" t="s">
        <v>278</v>
      </c>
      <c r="I7738" t="s">
        <v>33</v>
      </c>
      <c r="J7738" t="s">
        <v>34</v>
      </c>
      <c r="K7738" t="s">
        <v>48</v>
      </c>
      <c r="L7738" t="s">
        <v>49</v>
      </c>
      <c r="M7738" t="s">
        <v>277</v>
      </c>
      <c r="N7738">
        <v>948</v>
      </c>
      <c r="O7738">
        <v>2.1387585000000001E-2</v>
      </c>
      <c r="P7738">
        <v>1.3260816999999999E-2</v>
      </c>
      <c r="Q7738" t="str">
        <f t="shared" si="240"/>
        <v>01-09</v>
      </c>
      <c r="R7738" t="str">
        <f t="shared" si="241"/>
        <v>[mxqa3CDFmIT]|01-09|Male|PLHIV_Attend.T2|CY2026Q3</v>
      </c>
    </row>
    <row r="7739" spans="4:18" x14ac:dyDescent="0.2">
      <c r="D7739" t="s">
        <v>120</v>
      </c>
      <c r="E7739" t="s">
        <v>121</v>
      </c>
      <c r="F7739" t="s">
        <v>122</v>
      </c>
      <c r="G7739" t="s">
        <v>278</v>
      </c>
      <c r="H7739" t="s">
        <v>278</v>
      </c>
      <c r="I7739" t="s">
        <v>36</v>
      </c>
      <c r="J7739" t="s">
        <v>37</v>
      </c>
      <c r="K7739" t="s">
        <v>48</v>
      </c>
      <c r="L7739" t="s">
        <v>49</v>
      </c>
      <c r="M7739" t="s">
        <v>277</v>
      </c>
      <c r="N7739">
        <v>1111</v>
      </c>
      <c r="O7739">
        <v>3.3387594E-2</v>
      </c>
      <c r="P7739">
        <v>1.3260816999999999E-2</v>
      </c>
      <c r="Q7739" t="str">
        <f t="shared" si="240"/>
        <v>10-14</v>
      </c>
      <c r="R7739" t="str">
        <f t="shared" si="241"/>
        <v>[mxqa3CDFmIT]|10-14|Male|PLHIV_Attend.T2|CY2026Q3</v>
      </c>
    </row>
    <row r="7740" spans="4:18" x14ac:dyDescent="0.2">
      <c r="D7740" t="s">
        <v>120</v>
      </c>
      <c r="E7740" t="s">
        <v>121</v>
      </c>
      <c r="F7740" t="s">
        <v>122</v>
      </c>
      <c r="G7740" t="s">
        <v>278</v>
      </c>
      <c r="H7740" t="s">
        <v>278</v>
      </c>
      <c r="I7740" t="s">
        <v>38</v>
      </c>
      <c r="J7740" t="s">
        <v>39</v>
      </c>
      <c r="K7740" t="s">
        <v>48</v>
      </c>
      <c r="L7740" t="s">
        <v>49</v>
      </c>
      <c r="M7740" t="s">
        <v>277</v>
      </c>
      <c r="N7740">
        <v>3838</v>
      </c>
      <c r="O7740">
        <v>5.8434912999999998E-2</v>
      </c>
      <c r="P7740">
        <v>1.3260816999999999E-2</v>
      </c>
      <c r="Q7740" t="str">
        <f t="shared" si="240"/>
        <v>15-24</v>
      </c>
      <c r="R7740" t="str">
        <f t="shared" si="241"/>
        <v>[mxqa3CDFmIT]|15-24|Male|PLHIV_Attend.T2|CY2026Q3</v>
      </c>
    </row>
    <row r="7741" spans="4:18" x14ac:dyDescent="0.2">
      <c r="D7741" t="s">
        <v>120</v>
      </c>
      <c r="E7741" t="s">
        <v>121</v>
      </c>
      <c r="F7741" t="s">
        <v>122</v>
      </c>
      <c r="G7741" t="s">
        <v>278</v>
      </c>
      <c r="H7741" t="s">
        <v>278</v>
      </c>
      <c r="I7741" t="s">
        <v>41</v>
      </c>
      <c r="J7741" t="s">
        <v>42</v>
      </c>
      <c r="K7741" t="s">
        <v>48</v>
      </c>
      <c r="L7741" t="s">
        <v>49</v>
      </c>
      <c r="M7741" t="s">
        <v>277</v>
      </c>
      <c r="N7741">
        <v>6619</v>
      </c>
      <c r="O7741">
        <v>6.0646830999999998E-2</v>
      </c>
      <c r="P7741">
        <v>1.3260816999999999E-2</v>
      </c>
      <c r="Q7741" t="str">
        <f t="shared" si="240"/>
        <v>25-34</v>
      </c>
      <c r="R7741" t="str">
        <f t="shared" si="241"/>
        <v>[mxqa3CDFmIT]|25-34|Male|PLHIV_Attend.T2|CY2026Q3</v>
      </c>
    </row>
    <row r="7742" spans="4:18" x14ac:dyDescent="0.2">
      <c r="D7742" t="s">
        <v>120</v>
      </c>
      <c r="E7742" t="s">
        <v>121</v>
      </c>
      <c r="F7742" t="s">
        <v>122</v>
      </c>
      <c r="G7742" t="s">
        <v>278</v>
      </c>
      <c r="H7742" t="s">
        <v>278</v>
      </c>
      <c r="I7742" t="s">
        <v>43</v>
      </c>
      <c r="J7742" t="s">
        <v>44</v>
      </c>
      <c r="K7742" t="s">
        <v>48</v>
      </c>
      <c r="L7742" t="s">
        <v>49</v>
      </c>
      <c r="M7742" t="s">
        <v>277</v>
      </c>
      <c r="N7742">
        <v>23107</v>
      </c>
      <c r="O7742">
        <v>2.9254733000000002E-2</v>
      </c>
      <c r="P7742">
        <v>1.3260816999999999E-2</v>
      </c>
      <c r="Q7742" t="str">
        <f t="shared" si="240"/>
        <v>35-49</v>
      </c>
      <c r="R7742" t="str">
        <f t="shared" si="241"/>
        <v>[mxqa3CDFmIT]|35-49|Male|PLHIV_Attend.T2|CY2026Q3</v>
      </c>
    </row>
    <row r="7743" spans="4:18" x14ac:dyDescent="0.2">
      <c r="D7743" t="s">
        <v>120</v>
      </c>
      <c r="E7743" t="s">
        <v>121</v>
      </c>
      <c r="F7743" t="s">
        <v>122</v>
      </c>
      <c r="G7743" t="s">
        <v>278</v>
      </c>
      <c r="H7743" t="s">
        <v>278</v>
      </c>
      <c r="I7743" t="s">
        <v>45</v>
      </c>
      <c r="J7743" t="s">
        <v>46</v>
      </c>
      <c r="K7743" t="s">
        <v>48</v>
      </c>
      <c r="L7743" t="s">
        <v>49</v>
      </c>
      <c r="M7743" t="s">
        <v>277</v>
      </c>
      <c r="N7743">
        <v>16567</v>
      </c>
      <c r="O7743">
        <v>2.8446017000000001E-2</v>
      </c>
      <c r="P7743">
        <v>1.3260816999999999E-2</v>
      </c>
      <c r="Q7743" t="str">
        <f t="shared" si="240"/>
        <v>50+</v>
      </c>
      <c r="R7743" t="str">
        <f t="shared" si="241"/>
        <v>[mxqa3CDFmIT]|50+|Male|PLHIV_Attend.T2|CY2026Q3</v>
      </c>
    </row>
    <row r="7744" spans="4:18" x14ac:dyDescent="0.2">
      <c r="D7744" t="s">
        <v>123</v>
      </c>
      <c r="E7744" t="s">
        <v>124</v>
      </c>
      <c r="F7744" t="s">
        <v>125</v>
      </c>
      <c r="G7744" t="s">
        <v>278</v>
      </c>
      <c r="H7744" t="s">
        <v>278</v>
      </c>
      <c r="I7744" t="s">
        <v>28</v>
      </c>
      <c r="J7744" t="s">
        <v>29</v>
      </c>
      <c r="K7744" t="s">
        <v>30</v>
      </c>
      <c r="L7744" t="s">
        <v>31</v>
      </c>
      <c r="M7744" t="s">
        <v>277</v>
      </c>
      <c r="N7744">
        <v>4</v>
      </c>
      <c r="O7744">
        <v>2.6433425E-2</v>
      </c>
      <c r="P7744">
        <v>2.0078696E-2</v>
      </c>
      <c r="Q7744" t="str">
        <f t="shared" si="240"/>
        <v>&lt;01</v>
      </c>
      <c r="R7744" t="str">
        <f t="shared" si="241"/>
        <v>[wNqJp8oRIcF]|&lt;01|Female|PLHIV_Attend.T2|CY2026Q3</v>
      </c>
    </row>
    <row r="7745" spans="4:18" x14ac:dyDescent="0.2">
      <c r="D7745" t="s">
        <v>123</v>
      </c>
      <c r="E7745" t="s">
        <v>124</v>
      </c>
      <c r="F7745" t="s">
        <v>125</v>
      </c>
      <c r="G7745" t="s">
        <v>278</v>
      </c>
      <c r="H7745" t="s">
        <v>278</v>
      </c>
      <c r="I7745" t="s">
        <v>33</v>
      </c>
      <c r="J7745" t="s">
        <v>34</v>
      </c>
      <c r="K7745" t="s">
        <v>30</v>
      </c>
      <c r="L7745" t="s">
        <v>31</v>
      </c>
      <c r="M7745" t="s">
        <v>277</v>
      </c>
      <c r="N7745">
        <v>72</v>
      </c>
      <c r="O7745">
        <v>3.3683400000000002E-2</v>
      </c>
      <c r="P7745">
        <v>2.0078696E-2</v>
      </c>
      <c r="Q7745" t="str">
        <f t="shared" si="240"/>
        <v>01-09</v>
      </c>
      <c r="R7745" t="str">
        <f t="shared" si="241"/>
        <v>[wNqJp8oRIcF]|01-09|Female|PLHIV_Attend.T2|CY2026Q3</v>
      </c>
    </row>
    <row r="7746" spans="4:18" x14ac:dyDescent="0.2">
      <c r="D7746" t="s">
        <v>123</v>
      </c>
      <c r="E7746" t="s">
        <v>124</v>
      </c>
      <c r="F7746" t="s">
        <v>125</v>
      </c>
      <c r="G7746" t="s">
        <v>278</v>
      </c>
      <c r="H7746" t="s">
        <v>278</v>
      </c>
      <c r="I7746" t="s">
        <v>36</v>
      </c>
      <c r="J7746" t="s">
        <v>37</v>
      </c>
      <c r="K7746" t="s">
        <v>30</v>
      </c>
      <c r="L7746" t="s">
        <v>31</v>
      </c>
      <c r="M7746" t="s">
        <v>277</v>
      </c>
      <c r="N7746">
        <v>93</v>
      </c>
      <c r="O7746">
        <v>4.8932170999999997E-2</v>
      </c>
      <c r="P7746">
        <v>2.0078696E-2</v>
      </c>
      <c r="Q7746" t="str">
        <f t="shared" si="240"/>
        <v>10-14</v>
      </c>
      <c r="R7746" t="str">
        <f t="shared" si="241"/>
        <v>[wNqJp8oRIcF]|10-14|Female|PLHIV_Attend.T2|CY2026Q3</v>
      </c>
    </row>
    <row r="7747" spans="4:18" x14ac:dyDescent="0.2">
      <c r="D7747" t="s">
        <v>123</v>
      </c>
      <c r="E7747" t="s">
        <v>124</v>
      </c>
      <c r="F7747" t="s">
        <v>125</v>
      </c>
      <c r="G7747" t="s">
        <v>278</v>
      </c>
      <c r="H7747" t="s">
        <v>278</v>
      </c>
      <c r="I7747" t="s">
        <v>38</v>
      </c>
      <c r="J7747" t="s">
        <v>39</v>
      </c>
      <c r="K7747" t="s">
        <v>30</v>
      </c>
      <c r="L7747" t="s">
        <v>31</v>
      </c>
      <c r="M7747" t="s">
        <v>277</v>
      </c>
      <c r="N7747">
        <v>397</v>
      </c>
      <c r="O7747">
        <v>5.2067290000000002E-2</v>
      </c>
      <c r="P7747">
        <v>2.0078696E-2</v>
      </c>
      <c r="Q7747" t="str">
        <f t="shared" ref="Q7747:Q7810" si="242">SUBSTITUTE(SUBSTITUTE($I7747,CHAR(61),""),CHAR(34),"")</f>
        <v>15-24</v>
      </c>
      <c r="R7747" t="str">
        <f t="shared" ref="R7747:R7810" si="243">IF($D7747&lt;&gt;"","["&amp;$E7747&amp;"]"&amp;"|"&amp;$Q7747&amp;"|"&amp;$K7747&amp;"|"&amp;$G7747&amp;"|"&amp;IF($G7747="TX_CURR_SUBNAT.R","CY2023Q4",$M7747),"")</f>
        <v>[wNqJp8oRIcF]|15-24|Female|PLHIV_Attend.T2|CY2026Q3</v>
      </c>
    </row>
    <row r="7748" spans="4:18" x14ac:dyDescent="0.2">
      <c r="D7748" t="s">
        <v>123</v>
      </c>
      <c r="E7748" t="s">
        <v>124</v>
      </c>
      <c r="F7748" t="s">
        <v>125</v>
      </c>
      <c r="G7748" t="s">
        <v>278</v>
      </c>
      <c r="H7748" t="s">
        <v>278</v>
      </c>
      <c r="I7748" t="s">
        <v>41</v>
      </c>
      <c r="J7748" t="s">
        <v>42</v>
      </c>
      <c r="K7748" t="s">
        <v>30</v>
      </c>
      <c r="L7748" t="s">
        <v>31</v>
      </c>
      <c r="M7748" t="s">
        <v>277</v>
      </c>
      <c r="N7748">
        <v>950</v>
      </c>
      <c r="O7748">
        <v>4.1327767000000001E-2</v>
      </c>
      <c r="P7748">
        <v>2.0078696E-2</v>
      </c>
      <c r="Q7748" t="str">
        <f t="shared" si="242"/>
        <v>25-34</v>
      </c>
      <c r="R7748" t="str">
        <f t="shared" si="243"/>
        <v>[wNqJp8oRIcF]|25-34|Female|PLHIV_Attend.T2|CY2026Q3</v>
      </c>
    </row>
    <row r="7749" spans="4:18" x14ac:dyDescent="0.2">
      <c r="D7749" t="s">
        <v>123</v>
      </c>
      <c r="E7749" t="s">
        <v>124</v>
      </c>
      <c r="F7749" t="s">
        <v>125</v>
      </c>
      <c r="G7749" t="s">
        <v>278</v>
      </c>
      <c r="H7749" t="s">
        <v>278</v>
      </c>
      <c r="I7749" t="s">
        <v>43</v>
      </c>
      <c r="J7749" t="s">
        <v>44</v>
      </c>
      <c r="K7749" t="s">
        <v>30</v>
      </c>
      <c r="L7749" t="s">
        <v>31</v>
      </c>
      <c r="M7749" t="s">
        <v>277</v>
      </c>
      <c r="N7749">
        <v>2618</v>
      </c>
      <c r="O7749">
        <v>2.4379670999999999E-2</v>
      </c>
      <c r="P7749">
        <v>2.0078696E-2</v>
      </c>
      <c r="Q7749" t="str">
        <f t="shared" si="242"/>
        <v>35-49</v>
      </c>
      <c r="R7749" t="str">
        <f t="shared" si="243"/>
        <v>[wNqJp8oRIcF]|35-49|Female|PLHIV_Attend.T2|CY2026Q3</v>
      </c>
    </row>
    <row r="7750" spans="4:18" x14ac:dyDescent="0.2">
      <c r="D7750" t="s">
        <v>123</v>
      </c>
      <c r="E7750" t="s">
        <v>124</v>
      </c>
      <c r="F7750" t="s">
        <v>125</v>
      </c>
      <c r="G7750" t="s">
        <v>278</v>
      </c>
      <c r="H7750" t="s">
        <v>278</v>
      </c>
      <c r="I7750" t="s">
        <v>45</v>
      </c>
      <c r="J7750" t="s">
        <v>46</v>
      </c>
      <c r="K7750" t="s">
        <v>30</v>
      </c>
      <c r="L7750" t="s">
        <v>31</v>
      </c>
      <c r="M7750" t="s">
        <v>277</v>
      </c>
      <c r="N7750">
        <v>1419</v>
      </c>
      <c r="O7750">
        <v>3.3688761999999997E-2</v>
      </c>
      <c r="P7750">
        <v>2.0078696E-2</v>
      </c>
      <c r="Q7750" t="str">
        <f t="shared" si="242"/>
        <v>50+</v>
      </c>
      <c r="R7750" t="str">
        <f t="shared" si="243"/>
        <v>[wNqJp8oRIcF]|50+|Female|PLHIV_Attend.T2|CY2026Q3</v>
      </c>
    </row>
    <row r="7751" spans="4:18" x14ac:dyDescent="0.2">
      <c r="D7751" t="s">
        <v>123</v>
      </c>
      <c r="E7751" t="s">
        <v>124</v>
      </c>
      <c r="F7751" t="s">
        <v>125</v>
      </c>
      <c r="G7751" t="s">
        <v>278</v>
      </c>
      <c r="H7751" t="s">
        <v>278</v>
      </c>
      <c r="I7751" t="s">
        <v>28</v>
      </c>
      <c r="J7751" t="s">
        <v>29</v>
      </c>
      <c r="K7751" t="s">
        <v>48</v>
      </c>
      <c r="L7751" t="s">
        <v>49</v>
      </c>
      <c r="M7751" t="s">
        <v>277</v>
      </c>
      <c r="N7751">
        <v>4</v>
      </c>
      <c r="O7751">
        <v>2.6408457E-2</v>
      </c>
      <c r="P7751">
        <v>2.0078696E-2</v>
      </c>
      <c r="Q7751" t="str">
        <f t="shared" si="242"/>
        <v>&lt;01</v>
      </c>
      <c r="R7751" t="str">
        <f t="shared" si="243"/>
        <v>[wNqJp8oRIcF]|&lt;01|Male|PLHIV_Attend.T2|CY2026Q3</v>
      </c>
    </row>
    <row r="7752" spans="4:18" x14ac:dyDescent="0.2">
      <c r="D7752" t="s">
        <v>123</v>
      </c>
      <c r="E7752" t="s">
        <v>124</v>
      </c>
      <c r="F7752" t="s">
        <v>125</v>
      </c>
      <c r="G7752" t="s">
        <v>278</v>
      </c>
      <c r="H7752" t="s">
        <v>278</v>
      </c>
      <c r="I7752" t="s">
        <v>33</v>
      </c>
      <c r="J7752" t="s">
        <v>34</v>
      </c>
      <c r="K7752" t="s">
        <v>48</v>
      </c>
      <c r="L7752" t="s">
        <v>49</v>
      </c>
      <c r="M7752" t="s">
        <v>277</v>
      </c>
      <c r="N7752">
        <v>73</v>
      </c>
      <c r="O7752">
        <v>3.3645643000000003E-2</v>
      </c>
      <c r="P7752">
        <v>2.0078696E-2</v>
      </c>
      <c r="Q7752" t="str">
        <f t="shared" si="242"/>
        <v>01-09</v>
      </c>
      <c r="R7752" t="str">
        <f t="shared" si="243"/>
        <v>[wNqJp8oRIcF]|01-09|Male|PLHIV_Attend.T2|CY2026Q3</v>
      </c>
    </row>
    <row r="7753" spans="4:18" x14ac:dyDescent="0.2">
      <c r="D7753" t="s">
        <v>123</v>
      </c>
      <c r="E7753" t="s">
        <v>124</v>
      </c>
      <c r="F7753" t="s">
        <v>125</v>
      </c>
      <c r="G7753" t="s">
        <v>278</v>
      </c>
      <c r="H7753" t="s">
        <v>278</v>
      </c>
      <c r="I7753" t="s">
        <v>36</v>
      </c>
      <c r="J7753" t="s">
        <v>37</v>
      </c>
      <c r="K7753" t="s">
        <v>48</v>
      </c>
      <c r="L7753" t="s">
        <v>49</v>
      </c>
      <c r="M7753" t="s">
        <v>277</v>
      </c>
      <c r="N7753">
        <v>94</v>
      </c>
      <c r="O7753">
        <v>4.8866410999999998E-2</v>
      </c>
      <c r="P7753">
        <v>2.0078696E-2</v>
      </c>
      <c r="Q7753" t="str">
        <f t="shared" si="242"/>
        <v>10-14</v>
      </c>
      <c r="R7753" t="str">
        <f t="shared" si="243"/>
        <v>[wNqJp8oRIcF]|10-14|Male|PLHIV_Attend.T2|CY2026Q3</v>
      </c>
    </row>
    <row r="7754" spans="4:18" x14ac:dyDescent="0.2">
      <c r="D7754" t="s">
        <v>123</v>
      </c>
      <c r="E7754" t="s">
        <v>124</v>
      </c>
      <c r="F7754" t="s">
        <v>125</v>
      </c>
      <c r="G7754" t="s">
        <v>278</v>
      </c>
      <c r="H7754" t="s">
        <v>278</v>
      </c>
      <c r="I7754" t="s">
        <v>38</v>
      </c>
      <c r="J7754" t="s">
        <v>39</v>
      </c>
      <c r="K7754" t="s">
        <v>48</v>
      </c>
      <c r="L7754" t="s">
        <v>49</v>
      </c>
      <c r="M7754" t="s">
        <v>277</v>
      </c>
      <c r="N7754">
        <v>281</v>
      </c>
      <c r="O7754">
        <v>5.8782156000000002E-2</v>
      </c>
      <c r="P7754">
        <v>2.0078696E-2</v>
      </c>
      <c r="Q7754" t="str">
        <f t="shared" si="242"/>
        <v>15-24</v>
      </c>
      <c r="R7754" t="str">
        <f t="shared" si="243"/>
        <v>[wNqJp8oRIcF]|15-24|Male|PLHIV_Attend.T2|CY2026Q3</v>
      </c>
    </row>
    <row r="7755" spans="4:18" x14ac:dyDescent="0.2">
      <c r="D7755" t="s">
        <v>123</v>
      </c>
      <c r="E7755" t="s">
        <v>124</v>
      </c>
      <c r="F7755" t="s">
        <v>125</v>
      </c>
      <c r="G7755" t="s">
        <v>278</v>
      </c>
      <c r="H7755" t="s">
        <v>278</v>
      </c>
      <c r="I7755" t="s">
        <v>41</v>
      </c>
      <c r="J7755" t="s">
        <v>42</v>
      </c>
      <c r="K7755" t="s">
        <v>48</v>
      </c>
      <c r="L7755" t="s">
        <v>49</v>
      </c>
      <c r="M7755" t="s">
        <v>277</v>
      </c>
      <c r="N7755">
        <v>372</v>
      </c>
      <c r="O7755">
        <v>6.5345479999999997E-2</v>
      </c>
      <c r="P7755">
        <v>2.0078696E-2</v>
      </c>
      <c r="Q7755" t="str">
        <f t="shared" si="242"/>
        <v>25-34</v>
      </c>
      <c r="R7755" t="str">
        <f t="shared" si="243"/>
        <v>[wNqJp8oRIcF]|25-34|Male|PLHIV_Attend.T2|CY2026Q3</v>
      </c>
    </row>
    <row r="7756" spans="4:18" x14ac:dyDescent="0.2">
      <c r="D7756" t="s">
        <v>123</v>
      </c>
      <c r="E7756" t="s">
        <v>124</v>
      </c>
      <c r="F7756" t="s">
        <v>125</v>
      </c>
      <c r="G7756" t="s">
        <v>278</v>
      </c>
      <c r="H7756" t="s">
        <v>278</v>
      </c>
      <c r="I7756" t="s">
        <v>43</v>
      </c>
      <c r="J7756" t="s">
        <v>44</v>
      </c>
      <c r="K7756" t="s">
        <v>48</v>
      </c>
      <c r="L7756" t="s">
        <v>49</v>
      </c>
      <c r="M7756" t="s">
        <v>277</v>
      </c>
      <c r="N7756">
        <v>1291</v>
      </c>
      <c r="O7756">
        <v>3.6779075000000001E-2</v>
      </c>
      <c r="P7756">
        <v>2.0078696E-2</v>
      </c>
      <c r="Q7756" t="str">
        <f t="shared" si="242"/>
        <v>35-49</v>
      </c>
      <c r="R7756" t="str">
        <f t="shared" si="243"/>
        <v>[wNqJp8oRIcF]|35-49|Male|PLHIV_Attend.T2|CY2026Q3</v>
      </c>
    </row>
    <row r="7757" spans="4:18" x14ac:dyDescent="0.2">
      <c r="D7757" t="s">
        <v>123</v>
      </c>
      <c r="E7757" t="s">
        <v>124</v>
      </c>
      <c r="F7757" t="s">
        <v>125</v>
      </c>
      <c r="G7757" t="s">
        <v>278</v>
      </c>
      <c r="H7757" t="s">
        <v>278</v>
      </c>
      <c r="I7757" t="s">
        <v>45</v>
      </c>
      <c r="J7757" t="s">
        <v>46</v>
      </c>
      <c r="K7757" t="s">
        <v>48</v>
      </c>
      <c r="L7757" t="s">
        <v>49</v>
      </c>
      <c r="M7757" t="s">
        <v>277</v>
      </c>
      <c r="N7757">
        <v>1101</v>
      </c>
      <c r="O7757">
        <v>3.5805019E-2</v>
      </c>
      <c r="P7757">
        <v>2.0078696E-2</v>
      </c>
      <c r="Q7757" t="str">
        <f t="shared" si="242"/>
        <v>50+</v>
      </c>
      <c r="R7757" t="str">
        <f t="shared" si="243"/>
        <v>[wNqJp8oRIcF]|50+|Male|PLHIV_Attend.T2|CY2026Q3</v>
      </c>
    </row>
    <row r="7758" spans="4:18" x14ac:dyDescent="0.2">
      <c r="D7758" t="s">
        <v>126</v>
      </c>
      <c r="E7758" t="s">
        <v>127</v>
      </c>
      <c r="F7758" t="s">
        <v>128</v>
      </c>
      <c r="G7758" t="s">
        <v>278</v>
      </c>
      <c r="H7758" t="s">
        <v>278</v>
      </c>
      <c r="I7758" t="s">
        <v>28</v>
      </c>
      <c r="J7758" t="s">
        <v>29</v>
      </c>
      <c r="K7758" t="s">
        <v>30</v>
      </c>
      <c r="L7758" t="s">
        <v>31</v>
      </c>
      <c r="M7758" t="s">
        <v>277</v>
      </c>
      <c r="N7758">
        <v>28</v>
      </c>
      <c r="O7758">
        <v>2.0978499000000001E-2</v>
      </c>
      <c r="P7758">
        <v>1.234065E-2</v>
      </c>
      <c r="Q7758" t="str">
        <f t="shared" si="242"/>
        <v>&lt;01</v>
      </c>
      <c r="R7758" t="str">
        <f t="shared" si="243"/>
        <v>[ul0y9diGujK]|&lt;01|Female|PLHIV_Attend.T2|CY2026Q3</v>
      </c>
    </row>
    <row r="7759" spans="4:18" x14ac:dyDescent="0.2">
      <c r="D7759" t="s">
        <v>126</v>
      </c>
      <c r="E7759" t="s">
        <v>127</v>
      </c>
      <c r="F7759" t="s">
        <v>128</v>
      </c>
      <c r="G7759" t="s">
        <v>278</v>
      </c>
      <c r="H7759" t="s">
        <v>278</v>
      </c>
      <c r="I7759" t="s">
        <v>33</v>
      </c>
      <c r="J7759" t="s">
        <v>34</v>
      </c>
      <c r="K7759" t="s">
        <v>30</v>
      </c>
      <c r="L7759" t="s">
        <v>31</v>
      </c>
      <c r="M7759" t="s">
        <v>277</v>
      </c>
      <c r="N7759">
        <v>465</v>
      </c>
      <c r="O7759">
        <v>3.0312776E-2</v>
      </c>
      <c r="P7759">
        <v>1.234065E-2</v>
      </c>
      <c r="Q7759" t="str">
        <f t="shared" si="242"/>
        <v>01-09</v>
      </c>
      <c r="R7759" t="str">
        <f t="shared" si="243"/>
        <v>[ul0y9diGujK]|01-09|Female|PLHIV_Attend.T2|CY2026Q3</v>
      </c>
    </row>
    <row r="7760" spans="4:18" x14ac:dyDescent="0.2">
      <c r="D7760" t="s">
        <v>126</v>
      </c>
      <c r="E7760" t="s">
        <v>127</v>
      </c>
      <c r="F7760" t="s">
        <v>128</v>
      </c>
      <c r="G7760" t="s">
        <v>278</v>
      </c>
      <c r="H7760" t="s">
        <v>278</v>
      </c>
      <c r="I7760" t="s">
        <v>36</v>
      </c>
      <c r="J7760" t="s">
        <v>37</v>
      </c>
      <c r="K7760" t="s">
        <v>30</v>
      </c>
      <c r="L7760" t="s">
        <v>31</v>
      </c>
      <c r="M7760" t="s">
        <v>277</v>
      </c>
      <c r="N7760">
        <v>605</v>
      </c>
      <c r="O7760">
        <v>5.0391005000000003E-2</v>
      </c>
      <c r="P7760">
        <v>1.234065E-2</v>
      </c>
      <c r="Q7760" t="str">
        <f t="shared" si="242"/>
        <v>10-14</v>
      </c>
      <c r="R7760" t="str">
        <f t="shared" si="243"/>
        <v>[ul0y9diGujK]|10-14|Female|PLHIV_Attend.T2|CY2026Q3</v>
      </c>
    </row>
    <row r="7761" spans="4:18" x14ac:dyDescent="0.2">
      <c r="D7761" t="s">
        <v>126</v>
      </c>
      <c r="E7761" t="s">
        <v>127</v>
      </c>
      <c r="F7761" t="s">
        <v>128</v>
      </c>
      <c r="G7761" t="s">
        <v>278</v>
      </c>
      <c r="H7761" t="s">
        <v>278</v>
      </c>
      <c r="I7761" t="s">
        <v>38</v>
      </c>
      <c r="J7761" t="s">
        <v>39</v>
      </c>
      <c r="K7761" t="s">
        <v>30</v>
      </c>
      <c r="L7761" t="s">
        <v>31</v>
      </c>
      <c r="M7761" t="s">
        <v>277</v>
      </c>
      <c r="N7761">
        <v>2776</v>
      </c>
      <c r="O7761">
        <v>5.2004473000000002E-2</v>
      </c>
      <c r="P7761">
        <v>1.234065E-2</v>
      </c>
      <c r="Q7761" t="str">
        <f t="shared" si="242"/>
        <v>15-24</v>
      </c>
      <c r="R7761" t="str">
        <f t="shared" si="243"/>
        <v>[ul0y9diGujK]|15-24|Female|PLHIV_Attend.T2|CY2026Q3</v>
      </c>
    </row>
    <row r="7762" spans="4:18" x14ac:dyDescent="0.2">
      <c r="D7762" t="s">
        <v>126</v>
      </c>
      <c r="E7762" t="s">
        <v>127</v>
      </c>
      <c r="F7762" t="s">
        <v>128</v>
      </c>
      <c r="G7762" t="s">
        <v>278</v>
      </c>
      <c r="H7762" t="s">
        <v>278</v>
      </c>
      <c r="I7762" t="s">
        <v>41</v>
      </c>
      <c r="J7762" t="s">
        <v>42</v>
      </c>
      <c r="K7762" t="s">
        <v>30</v>
      </c>
      <c r="L7762" t="s">
        <v>31</v>
      </c>
      <c r="M7762" t="s">
        <v>277</v>
      </c>
      <c r="N7762">
        <v>6427</v>
      </c>
      <c r="O7762">
        <v>3.5430801999999997E-2</v>
      </c>
      <c r="P7762">
        <v>1.234065E-2</v>
      </c>
      <c r="Q7762" t="str">
        <f t="shared" si="242"/>
        <v>25-34</v>
      </c>
      <c r="R7762" t="str">
        <f t="shared" si="243"/>
        <v>[ul0y9diGujK]|25-34|Female|PLHIV_Attend.T2|CY2026Q3</v>
      </c>
    </row>
    <row r="7763" spans="4:18" x14ac:dyDescent="0.2">
      <c r="D7763" t="s">
        <v>126</v>
      </c>
      <c r="E7763" t="s">
        <v>127</v>
      </c>
      <c r="F7763" t="s">
        <v>128</v>
      </c>
      <c r="G7763" t="s">
        <v>278</v>
      </c>
      <c r="H7763" t="s">
        <v>278</v>
      </c>
      <c r="I7763" t="s">
        <v>43</v>
      </c>
      <c r="J7763" t="s">
        <v>44</v>
      </c>
      <c r="K7763" t="s">
        <v>30</v>
      </c>
      <c r="L7763" t="s">
        <v>31</v>
      </c>
      <c r="M7763" t="s">
        <v>277</v>
      </c>
      <c r="N7763">
        <v>18792</v>
      </c>
      <c r="O7763">
        <v>1.8743295E-2</v>
      </c>
      <c r="P7763">
        <v>1.234065E-2</v>
      </c>
      <c r="Q7763" t="str">
        <f t="shared" si="242"/>
        <v>35-49</v>
      </c>
      <c r="R7763" t="str">
        <f t="shared" si="243"/>
        <v>[ul0y9diGujK]|35-49|Female|PLHIV_Attend.T2|CY2026Q3</v>
      </c>
    </row>
    <row r="7764" spans="4:18" x14ac:dyDescent="0.2">
      <c r="D7764" t="s">
        <v>126</v>
      </c>
      <c r="E7764" t="s">
        <v>127</v>
      </c>
      <c r="F7764" t="s">
        <v>128</v>
      </c>
      <c r="G7764" t="s">
        <v>278</v>
      </c>
      <c r="H7764" t="s">
        <v>278</v>
      </c>
      <c r="I7764" t="s">
        <v>45</v>
      </c>
      <c r="J7764" t="s">
        <v>46</v>
      </c>
      <c r="K7764" t="s">
        <v>30</v>
      </c>
      <c r="L7764" t="s">
        <v>31</v>
      </c>
      <c r="M7764" t="s">
        <v>277</v>
      </c>
      <c r="N7764">
        <v>11169</v>
      </c>
      <c r="O7764">
        <v>2.6389033999999999E-2</v>
      </c>
      <c r="P7764">
        <v>1.234065E-2</v>
      </c>
      <c r="Q7764" t="str">
        <f t="shared" si="242"/>
        <v>50+</v>
      </c>
      <c r="R7764" t="str">
        <f t="shared" si="243"/>
        <v>[ul0y9diGujK]|50+|Female|PLHIV_Attend.T2|CY2026Q3</v>
      </c>
    </row>
    <row r="7765" spans="4:18" x14ac:dyDescent="0.2">
      <c r="D7765" t="s">
        <v>126</v>
      </c>
      <c r="E7765" t="s">
        <v>127</v>
      </c>
      <c r="F7765" t="s">
        <v>128</v>
      </c>
      <c r="G7765" t="s">
        <v>278</v>
      </c>
      <c r="H7765" t="s">
        <v>278</v>
      </c>
      <c r="I7765" t="s">
        <v>28</v>
      </c>
      <c r="J7765" t="s">
        <v>29</v>
      </c>
      <c r="K7765" t="s">
        <v>48</v>
      </c>
      <c r="L7765" t="s">
        <v>49</v>
      </c>
      <c r="M7765" t="s">
        <v>277</v>
      </c>
      <c r="N7765">
        <v>28</v>
      </c>
      <c r="O7765">
        <v>2.1019066999999999E-2</v>
      </c>
      <c r="P7765">
        <v>1.234065E-2</v>
      </c>
      <c r="Q7765" t="str">
        <f t="shared" si="242"/>
        <v>&lt;01</v>
      </c>
      <c r="R7765" t="str">
        <f t="shared" si="243"/>
        <v>[ul0y9diGujK]|&lt;01|Male|PLHIV_Attend.T2|CY2026Q3</v>
      </c>
    </row>
    <row r="7766" spans="4:18" x14ac:dyDescent="0.2">
      <c r="D7766" t="s">
        <v>126</v>
      </c>
      <c r="E7766" t="s">
        <v>127</v>
      </c>
      <c r="F7766" t="s">
        <v>128</v>
      </c>
      <c r="G7766" t="s">
        <v>278</v>
      </c>
      <c r="H7766" t="s">
        <v>278</v>
      </c>
      <c r="I7766" t="s">
        <v>33</v>
      </c>
      <c r="J7766" t="s">
        <v>34</v>
      </c>
      <c r="K7766" t="s">
        <v>48</v>
      </c>
      <c r="L7766" t="s">
        <v>49</v>
      </c>
      <c r="M7766" t="s">
        <v>277</v>
      </c>
      <c r="N7766">
        <v>473</v>
      </c>
      <c r="O7766">
        <v>3.0375230999999999E-2</v>
      </c>
      <c r="P7766">
        <v>1.234065E-2</v>
      </c>
      <c r="Q7766" t="str">
        <f t="shared" si="242"/>
        <v>01-09</v>
      </c>
      <c r="R7766" t="str">
        <f t="shared" si="243"/>
        <v>[ul0y9diGujK]|01-09|Male|PLHIV_Attend.T2|CY2026Q3</v>
      </c>
    </row>
    <row r="7767" spans="4:18" x14ac:dyDescent="0.2">
      <c r="D7767" t="s">
        <v>126</v>
      </c>
      <c r="E7767" t="s">
        <v>127</v>
      </c>
      <c r="F7767" t="s">
        <v>128</v>
      </c>
      <c r="G7767" t="s">
        <v>278</v>
      </c>
      <c r="H7767" t="s">
        <v>278</v>
      </c>
      <c r="I7767" t="s">
        <v>36</v>
      </c>
      <c r="J7767" t="s">
        <v>37</v>
      </c>
      <c r="K7767" t="s">
        <v>48</v>
      </c>
      <c r="L7767" t="s">
        <v>49</v>
      </c>
      <c r="M7767" t="s">
        <v>277</v>
      </c>
      <c r="N7767">
        <v>615</v>
      </c>
      <c r="O7767">
        <v>5.0393621999999999E-2</v>
      </c>
      <c r="P7767">
        <v>1.234065E-2</v>
      </c>
      <c r="Q7767" t="str">
        <f t="shared" si="242"/>
        <v>10-14</v>
      </c>
      <c r="R7767" t="str">
        <f t="shared" si="243"/>
        <v>[ul0y9diGujK]|10-14|Male|PLHIV_Attend.T2|CY2026Q3</v>
      </c>
    </row>
    <row r="7768" spans="4:18" x14ac:dyDescent="0.2">
      <c r="D7768" t="s">
        <v>126</v>
      </c>
      <c r="E7768" t="s">
        <v>127</v>
      </c>
      <c r="F7768" t="s">
        <v>128</v>
      </c>
      <c r="G7768" t="s">
        <v>278</v>
      </c>
      <c r="H7768" t="s">
        <v>278</v>
      </c>
      <c r="I7768" t="s">
        <v>38</v>
      </c>
      <c r="J7768" t="s">
        <v>39</v>
      </c>
      <c r="K7768" t="s">
        <v>48</v>
      </c>
      <c r="L7768" t="s">
        <v>49</v>
      </c>
      <c r="M7768" t="s">
        <v>277</v>
      </c>
      <c r="N7768">
        <v>2001</v>
      </c>
      <c r="O7768">
        <v>5.9923535999999999E-2</v>
      </c>
      <c r="P7768">
        <v>1.234065E-2</v>
      </c>
      <c r="Q7768" t="str">
        <f t="shared" si="242"/>
        <v>15-24</v>
      </c>
      <c r="R7768" t="str">
        <f t="shared" si="243"/>
        <v>[ul0y9diGujK]|15-24|Male|PLHIV_Attend.T2|CY2026Q3</v>
      </c>
    </row>
    <row r="7769" spans="4:18" x14ac:dyDescent="0.2">
      <c r="D7769" t="s">
        <v>126</v>
      </c>
      <c r="E7769" t="s">
        <v>127</v>
      </c>
      <c r="F7769" t="s">
        <v>128</v>
      </c>
      <c r="G7769" t="s">
        <v>278</v>
      </c>
      <c r="H7769" t="s">
        <v>278</v>
      </c>
      <c r="I7769" t="s">
        <v>41</v>
      </c>
      <c r="J7769" t="s">
        <v>42</v>
      </c>
      <c r="K7769" t="s">
        <v>48</v>
      </c>
      <c r="L7769" t="s">
        <v>49</v>
      </c>
      <c r="M7769" t="s">
        <v>277</v>
      </c>
      <c r="N7769">
        <v>2418</v>
      </c>
      <c r="O7769">
        <v>6.2095141E-2</v>
      </c>
      <c r="P7769">
        <v>1.234065E-2</v>
      </c>
      <c r="Q7769" t="str">
        <f t="shared" si="242"/>
        <v>25-34</v>
      </c>
      <c r="R7769" t="str">
        <f t="shared" si="243"/>
        <v>[ul0y9diGujK]|25-34|Male|PLHIV_Attend.T2|CY2026Q3</v>
      </c>
    </row>
    <row r="7770" spans="4:18" x14ac:dyDescent="0.2">
      <c r="D7770" t="s">
        <v>126</v>
      </c>
      <c r="E7770" t="s">
        <v>127</v>
      </c>
      <c r="F7770" t="s">
        <v>128</v>
      </c>
      <c r="G7770" t="s">
        <v>278</v>
      </c>
      <c r="H7770" t="s">
        <v>278</v>
      </c>
      <c r="I7770" t="s">
        <v>43</v>
      </c>
      <c r="J7770" t="s">
        <v>44</v>
      </c>
      <c r="K7770" t="s">
        <v>48</v>
      </c>
      <c r="L7770" t="s">
        <v>49</v>
      </c>
      <c r="M7770" t="s">
        <v>277</v>
      </c>
      <c r="N7770">
        <v>8444</v>
      </c>
      <c r="O7770">
        <v>3.0020991E-2</v>
      </c>
      <c r="P7770">
        <v>1.234065E-2</v>
      </c>
      <c r="Q7770" t="str">
        <f t="shared" si="242"/>
        <v>35-49</v>
      </c>
      <c r="R7770" t="str">
        <f t="shared" si="243"/>
        <v>[ul0y9diGujK]|35-49|Male|PLHIV_Attend.T2|CY2026Q3</v>
      </c>
    </row>
    <row r="7771" spans="4:18" x14ac:dyDescent="0.2">
      <c r="D7771" t="s">
        <v>126</v>
      </c>
      <c r="E7771" t="s">
        <v>127</v>
      </c>
      <c r="F7771" t="s">
        <v>128</v>
      </c>
      <c r="G7771" t="s">
        <v>278</v>
      </c>
      <c r="H7771" t="s">
        <v>278</v>
      </c>
      <c r="I7771" t="s">
        <v>45</v>
      </c>
      <c r="J7771" t="s">
        <v>46</v>
      </c>
      <c r="K7771" t="s">
        <v>48</v>
      </c>
      <c r="L7771" t="s">
        <v>49</v>
      </c>
      <c r="M7771" t="s">
        <v>277</v>
      </c>
      <c r="N7771">
        <v>7911</v>
      </c>
      <c r="O7771">
        <v>2.7430772999999999E-2</v>
      </c>
      <c r="P7771">
        <v>1.234065E-2</v>
      </c>
      <c r="Q7771" t="str">
        <f t="shared" si="242"/>
        <v>50+</v>
      </c>
      <c r="R7771" t="str">
        <f t="shared" si="243"/>
        <v>[ul0y9diGujK]|50+|Male|PLHIV_Attend.T2|CY2026Q3</v>
      </c>
    </row>
    <row r="7772" spans="4:18" x14ac:dyDescent="0.2">
      <c r="D7772" t="s">
        <v>129</v>
      </c>
      <c r="E7772" t="s">
        <v>130</v>
      </c>
      <c r="F7772" t="s">
        <v>131</v>
      </c>
      <c r="G7772" t="s">
        <v>278</v>
      </c>
      <c r="H7772" t="s">
        <v>278</v>
      </c>
      <c r="I7772" t="s">
        <v>28</v>
      </c>
      <c r="J7772" t="s">
        <v>29</v>
      </c>
      <c r="K7772" t="s">
        <v>30</v>
      </c>
      <c r="L7772" t="s">
        <v>31</v>
      </c>
      <c r="M7772" t="s">
        <v>277</v>
      </c>
      <c r="N7772">
        <v>16</v>
      </c>
      <c r="O7772">
        <v>1.965751E-2</v>
      </c>
      <c r="P7772">
        <v>1.2442307999999999E-2</v>
      </c>
      <c r="Q7772" t="str">
        <f t="shared" si="242"/>
        <v>&lt;01</v>
      </c>
      <c r="R7772" t="str">
        <f t="shared" si="243"/>
        <v>[U8c0so51kT6]|&lt;01|Female|PLHIV_Attend.T2|CY2026Q3</v>
      </c>
    </row>
    <row r="7773" spans="4:18" x14ac:dyDescent="0.2">
      <c r="D7773" t="s">
        <v>129</v>
      </c>
      <c r="E7773" t="s">
        <v>130</v>
      </c>
      <c r="F7773" t="s">
        <v>131</v>
      </c>
      <c r="G7773" t="s">
        <v>278</v>
      </c>
      <c r="H7773" t="s">
        <v>278</v>
      </c>
      <c r="I7773" t="s">
        <v>33</v>
      </c>
      <c r="J7773" t="s">
        <v>34</v>
      </c>
      <c r="K7773" t="s">
        <v>30</v>
      </c>
      <c r="L7773" t="s">
        <v>31</v>
      </c>
      <c r="M7773" t="s">
        <v>277</v>
      </c>
      <c r="N7773">
        <v>295</v>
      </c>
      <c r="O7773">
        <v>2.5420462000000001E-2</v>
      </c>
      <c r="P7773">
        <v>1.2442307999999999E-2</v>
      </c>
      <c r="Q7773" t="str">
        <f t="shared" si="242"/>
        <v>01-09</v>
      </c>
      <c r="R7773" t="str">
        <f t="shared" si="243"/>
        <v>[U8c0so51kT6]|01-09|Female|PLHIV_Attend.T2|CY2026Q3</v>
      </c>
    </row>
    <row r="7774" spans="4:18" x14ac:dyDescent="0.2">
      <c r="D7774" t="s">
        <v>129</v>
      </c>
      <c r="E7774" t="s">
        <v>130</v>
      </c>
      <c r="F7774" t="s">
        <v>131</v>
      </c>
      <c r="G7774" t="s">
        <v>278</v>
      </c>
      <c r="H7774" t="s">
        <v>278</v>
      </c>
      <c r="I7774" t="s">
        <v>36</v>
      </c>
      <c r="J7774" t="s">
        <v>37</v>
      </c>
      <c r="K7774" t="s">
        <v>30</v>
      </c>
      <c r="L7774" t="s">
        <v>31</v>
      </c>
      <c r="M7774" t="s">
        <v>277</v>
      </c>
      <c r="N7774">
        <v>389</v>
      </c>
      <c r="O7774">
        <v>3.6965850000000001E-2</v>
      </c>
      <c r="P7774">
        <v>1.2442307999999999E-2</v>
      </c>
      <c r="Q7774" t="str">
        <f t="shared" si="242"/>
        <v>10-14</v>
      </c>
      <c r="R7774" t="str">
        <f t="shared" si="243"/>
        <v>[U8c0so51kT6]|10-14|Female|PLHIV_Attend.T2|CY2026Q3</v>
      </c>
    </row>
    <row r="7775" spans="4:18" x14ac:dyDescent="0.2">
      <c r="D7775" t="s">
        <v>129</v>
      </c>
      <c r="E7775" t="s">
        <v>130</v>
      </c>
      <c r="F7775" t="s">
        <v>131</v>
      </c>
      <c r="G7775" t="s">
        <v>278</v>
      </c>
      <c r="H7775" t="s">
        <v>278</v>
      </c>
      <c r="I7775" t="s">
        <v>38</v>
      </c>
      <c r="J7775" t="s">
        <v>39</v>
      </c>
      <c r="K7775" t="s">
        <v>30</v>
      </c>
      <c r="L7775" t="s">
        <v>31</v>
      </c>
      <c r="M7775" t="s">
        <v>277</v>
      </c>
      <c r="N7775">
        <v>1554</v>
      </c>
      <c r="O7775">
        <v>4.8152355000000001E-2</v>
      </c>
      <c r="P7775">
        <v>1.2442307999999999E-2</v>
      </c>
      <c r="Q7775" t="str">
        <f t="shared" si="242"/>
        <v>15-24</v>
      </c>
      <c r="R7775" t="str">
        <f t="shared" si="243"/>
        <v>[U8c0so51kT6]|15-24|Female|PLHIV_Attend.T2|CY2026Q3</v>
      </c>
    </row>
    <row r="7776" spans="4:18" x14ac:dyDescent="0.2">
      <c r="D7776" t="s">
        <v>129</v>
      </c>
      <c r="E7776" t="s">
        <v>130</v>
      </c>
      <c r="F7776" t="s">
        <v>131</v>
      </c>
      <c r="G7776" t="s">
        <v>278</v>
      </c>
      <c r="H7776" t="s">
        <v>278</v>
      </c>
      <c r="I7776" t="s">
        <v>41</v>
      </c>
      <c r="J7776" t="s">
        <v>42</v>
      </c>
      <c r="K7776" t="s">
        <v>30</v>
      </c>
      <c r="L7776" t="s">
        <v>31</v>
      </c>
      <c r="M7776" t="s">
        <v>277</v>
      </c>
      <c r="N7776">
        <v>3616</v>
      </c>
      <c r="O7776">
        <v>3.5893772999999997E-2</v>
      </c>
      <c r="P7776">
        <v>1.2442307999999999E-2</v>
      </c>
      <c r="Q7776" t="str">
        <f t="shared" si="242"/>
        <v>25-34</v>
      </c>
      <c r="R7776" t="str">
        <f t="shared" si="243"/>
        <v>[U8c0so51kT6]|25-34|Female|PLHIV_Attend.T2|CY2026Q3</v>
      </c>
    </row>
    <row r="7777" spans="4:18" x14ac:dyDescent="0.2">
      <c r="D7777" t="s">
        <v>129</v>
      </c>
      <c r="E7777" t="s">
        <v>130</v>
      </c>
      <c r="F7777" t="s">
        <v>131</v>
      </c>
      <c r="G7777" t="s">
        <v>278</v>
      </c>
      <c r="H7777" t="s">
        <v>278</v>
      </c>
      <c r="I7777" t="s">
        <v>43</v>
      </c>
      <c r="J7777" t="s">
        <v>44</v>
      </c>
      <c r="K7777" t="s">
        <v>30</v>
      </c>
      <c r="L7777" t="s">
        <v>31</v>
      </c>
      <c r="M7777" t="s">
        <v>277</v>
      </c>
      <c r="N7777">
        <v>10042</v>
      </c>
      <c r="O7777">
        <v>1.9273904000000001E-2</v>
      </c>
      <c r="P7777">
        <v>1.2442307999999999E-2</v>
      </c>
      <c r="Q7777" t="str">
        <f t="shared" si="242"/>
        <v>35-49</v>
      </c>
      <c r="R7777" t="str">
        <f t="shared" si="243"/>
        <v>[U8c0so51kT6]|35-49|Female|PLHIV_Attend.T2|CY2026Q3</v>
      </c>
    </row>
    <row r="7778" spans="4:18" x14ac:dyDescent="0.2">
      <c r="D7778" t="s">
        <v>129</v>
      </c>
      <c r="E7778" t="s">
        <v>130</v>
      </c>
      <c r="F7778" t="s">
        <v>131</v>
      </c>
      <c r="G7778" t="s">
        <v>278</v>
      </c>
      <c r="H7778" t="s">
        <v>278</v>
      </c>
      <c r="I7778" t="s">
        <v>45</v>
      </c>
      <c r="J7778" t="s">
        <v>46</v>
      </c>
      <c r="K7778" t="s">
        <v>30</v>
      </c>
      <c r="L7778" t="s">
        <v>31</v>
      </c>
      <c r="M7778" t="s">
        <v>277</v>
      </c>
      <c r="N7778">
        <v>5554</v>
      </c>
      <c r="O7778">
        <v>2.9474945999999998E-2</v>
      </c>
      <c r="P7778">
        <v>1.2442307999999999E-2</v>
      </c>
      <c r="Q7778" t="str">
        <f t="shared" si="242"/>
        <v>50+</v>
      </c>
      <c r="R7778" t="str">
        <f t="shared" si="243"/>
        <v>[U8c0so51kT6]|50+|Female|PLHIV_Attend.T2|CY2026Q3</v>
      </c>
    </row>
    <row r="7779" spans="4:18" x14ac:dyDescent="0.2">
      <c r="D7779" t="s">
        <v>129</v>
      </c>
      <c r="E7779" t="s">
        <v>130</v>
      </c>
      <c r="F7779" t="s">
        <v>131</v>
      </c>
      <c r="G7779" t="s">
        <v>278</v>
      </c>
      <c r="H7779" t="s">
        <v>278</v>
      </c>
      <c r="I7779" t="s">
        <v>28</v>
      </c>
      <c r="J7779" t="s">
        <v>29</v>
      </c>
      <c r="K7779" t="s">
        <v>48</v>
      </c>
      <c r="L7779" t="s">
        <v>49</v>
      </c>
      <c r="M7779" t="s">
        <v>277</v>
      </c>
      <c r="N7779">
        <v>17</v>
      </c>
      <c r="O7779">
        <v>1.9625440000000001E-2</v>
      </c>
      <c r="P7779">
        <v>1.2442307999999999E-2</v>
      </c>
      <c r="Q7779" t="str">
        <f t="shared" si="242"/>
        <v>&lt;01</v>
      </c>
      <c r="R7779" t="str">
        <f t="shared" si="243"/>
        <v>[U8c0so51kT6]|&lt;01|Male|PLHIV_Attend.T2|CY2026Q3</v>
      </c>
    </row>
    <row r="7780" spans="4:18" x14ac:dyDescent="0.2">
      <c r="D7780" t="s">
        <v>129</v>
      </c>
      <c r="E7780" t="s">
        <v>130</v>
      </c>
      <c r="F7780" t="s">
        <v>131</v>
      </c>
      <c r="G7780" t="s">
        <v>278</v>
      </c>
      <c r="H7780" t="s">
        <v>278</v>
      </c>
      <c r="I7780" t="s">
        <v>33</v>
      </c>
      <c r="J7780" t="s">
        <v>34</v>
      </c>
      <c r="K7780" t="s">
        <v>48</v>
      </c>
      <c r="L7780" t="s">
        <v>49</v>
      </c>
      <c r="M7780" t="s">
        <v>277</v>
      </c>
      <c r="N7780">
        <v>298</v>
      </c>
      <c r="O7780">
        <v>2.5396210999999998E-2</v>
      </c>
      <c r="P7780">
        <v>1.2442307999999999E-2</v>
      </c>
      <c r="Q7780" t="str">
        <f t="shared" si="242"/>
        <v>01-09</v>
      </c>
      <c r="R7780" t="str">
        <f t="shared" si="243"/>
        <v>[U8c0so51kT6]|01-09|Male|PLHIV_Attend.T2|CY2026Q3</v>
      </c>
    </row>
    <row r="7781" spans="4:18" x14ac:dyDescent="0.2">
      <c r="D7781" t="s">
        <v>129</v>
      </c>
      <c r="E7781" t="s">
        <v>130</v>
      </c>
      <c r="F7781" t="s">
        <v>131</v>
      </c>
      <c r="G7781" t="s">
        <v>278</v>
      </c>
      <c r="H7781" t="s">
        <v>278</v>
      </c>
      <c r="I7781" t="s">
        <v>36</v>
      </c>
      <c r="J7781" t="s">
        <v>37</v>
      </c>
      <c r="K7781" t="s">
        <v>48</v>
      </c>
      <c r="L7781" t="s">
        <v>49</v>
      </c>
      <c r="M7781" t="s">
        <v>277</v>
      </c>
      <c r="N7781">
        <v>394</v>
      </c>
      <c r="O7781">
        <v>3.6960501E-2</v>
      </c>
      <c r="P7781">
        <v>1.2442307999999999E-2</v>
      </c>
      <c r="Q7781" t="str">
        <f t="shared" si="242"/>
        <v>10-14</v>
      </c>
      <c r="R7781" t="str">
        <f t="shared" si="243"/>
        <v>[U8c0so51kT6]|10-14|Male|PLHIV_Attend.T2|CY2026Q3</v>
      </c>
    </row>
    <row r="7782" spans="4:18" x14ac:dyDescent="0.2">
      <c r="D7782" t="s">
        <v>129</v>
      </c>
      <c r="E7782" t="s">
        <v>130</v>
      </c>
      <c r="F7782" t="s">
        <v>131</v>
      </c>
      <c r="G7782" t="s">
        <v>278</v>
      </c>
      <c r="H7782" t="s">
        <v>278</v>
      </c>
      <c r="I7782" t="s">
        <v>38</v>
      </c>
      <c r="J7782" t="s">
        <v>39</v>
      </c>
      <c r="K7782" t="s">
        <v>48</v>
      </c>
      <c r="L7782" t="s">
        <v>49</v>
      </c>
      <c r="M7782" t="s">
        <v>277</v>
      </c>
      <c r="N7782">
        <v>1125</v>
      </c>
      <c r="O7782">
        <v>5.3842137999999998E-2</v>
      </c>
      <c r="P7782">
        <v>1.2442307999999999E-2</v>
      </c>
      <c r="Q7782" t="str">
        <f t="shared" si="242"/>
        <v>15-24</v>
      </c>
      <c r="R7782" t="str">
        <f t="shared" si="243"/>
        <v>[U8c0so51kT6]|15-24|Male|PLHIV_Attend.T2|CY2026Q3</v>
      </c>
    </row>
    <row r="7783" spans="4:18" x14ac:dyDescent="0.2">
      <c r="D7783" t="s">
        <v>129</v>
      </c>
      <c r="E7783" t="s">
        <v>130</v>
      </c>
      <c r="F7783" t="s">
        <v>131</v>
      </c>
      <c r="G7783" t="s">
        <v>278</v>
      </c>
      <c r="H7783" t="s">
        <v>278</v>
      </c>
      <c r="I7783" t="s">
        <v>41</v>
      </c>
      <c r="J7783" t="s">
        <v>42</v>
      </c>
      <c r="K7783" t="s">
        <v>48</v>
      </c>
      <c r="L7783" t="s">
        <v>49</v>
      </c>
      <c r="M7783" t="s">
        <v>277</v>
      </c>
      <c r="N7783">
        <v>1397</v>
      </c>
      <c r="O7783">
        <v>6.2468153999999998E-2</v>
      </c>
      <c r="P7783">
        <v>1.2442307999999999E-2</v>
      </c>
      <c r="Q7783" t="str">
        <f t="shared" si="242"/>
        <v>25-34</v>
      </c>
      <c r="R7783" t="str">
        <f t="shared" si="243"/>
        <v>[U8c0so51kT6]|25-34|Male|PLHIV_Attend.T2|CY2026Q3</v>
      </c>
    </row>
    <row r="7784" spans="4:18" x14ac:dyDescent="0.2">
      <c r="D7784" t="s">
        <v>129</v>
      </c>
      <c r="E7784" t="s">
        <v>130</v>
      </c>
      <c r="F7784" t="s">
        <v>131</v>
      </c>
      <c r="G7784" t="s">
        <v>278</v>
      </c>
      <c r="H7784" t="s">
        <v>278</v>
      </c>
      <c r="I7784" t="s">
        <v>43</v>
      </c>
      <c r="J7784" t="s">
        <v>44</v>
      </c>
      <c r="K7784" t="s">
        <v>48</v>
      </c>
      <c r="L7784" t="s">
        <v>49</v>
      </c>
      <c r="M7784" t="s">
        <v>277</v>
      </c>
      <c r="N7784">
        <v>5039</v>
      </c>
      <c r="O7784">
        <v>3.1467225000000001E-2</v>
      </c>
      <c r="P7784">
        <v>1.2442307999999999E-2</v>
      </c>
      <c r="Q7784" t="str">
        <f t="shared" si="242"/>
        <v>35-49</v>
      </c>
      <c r="R7784" t="str">
        <f t="shared" si="243"/>
        <v>[U8c0so51kT6]|35-49|Male|PLHIV_Attend.T2|CY2026Q3</v>
      </c>
    </row>
    <row r="7785" spans="4:18" x14ac:dyDescent="0.2">
      <c r="D7785" t="s">
        <v>129</v>
      </c>
      <c r="E7785" t="s">
        <v>130</v>
      </c>
      <c r="F7785" t="s">
        <v>131</v>
      </c>
      <c r="G7785" t="s">
        <v>278</v>
      </c>
      <c r="H7785" t="s">
        <v>278</v>
      </c>
      <c r="I7785" t="s">
        <v>45</v>
      </c>
      <c r="J7785" t="s">
        <v>46</v>
      </c>
      <c r="K7785" t="s">
        <v>48</v>
      </c>
      <c r="L7785" t="s">
        <v>49</v>
      </c>
      <c r="M7785" t="s">
        <v>277</v>
      </c>
      <c r="N7785">
        <v>4617</v>
      </c>
      <c r="O7785">
        <v>2.9080818000000001E-2</v>
      </c>
      <c r="P7785">
        <v>1.2442307999999999E-2</v>
      </c>
      <c r="Q7785" t="str">
        <f t="shared" si="242"/>
        <v>50+</v>
      </c>
      <c r="R7785" t="str">
        <f t="shared" si="243"/>
        <v>[U8c0so51kT6]|50+|Male|PLHIV_Attend.T2|CY2026Q3</v>
      </c>
    </row>
    <row r="7786" spans="4:18" x14ac:dyDescent="0.2">
      <c r="D7786" t="s">
        <v>132</v>
      </c>
      <c r="E7786" t="s">
        <v>133</v>
      </c>
      <c r="F7786" t="s">
        <v>134</v>
      </c>
      <c r="G7786" t="s">
        <v>278</v>
      </c>
      <c r="H7786" t="s">
        <v>278</v>
      </c>
      <c r="I7786" t="s">
        <v>28</v>
      </c>
      <c r="J7786" t="s">
        <v>29</v>
      </c>
      <c r="K7786" t="s">
        <v>30</v>
      </c>
      <c r="L7786" t="s">
        <v>31</v>
      </c>
      <c r="M7786" t="s">
        <v>277</v>
      </c>
      <c r="N7786">
        <v>12</v>
      </c>
      <c r="O7786">
        <v>2.4987232000000002E-2</v>
      </c>
      <c r="P7786">
        <v>1.9118684E-2</v>
      </c>
      <c r="Q7786" t="str">
        <f t="shared" si="242"/>
        <v>&lt;01</v>
      </c>
      <c r="R7786" t="str">
        <f t="shared" si="243"/>
        <v>[rpw540fmNUz]|&lt;01|Female|PLHIV_Attend.T2|CY2026Q3</v>
      </c>
    </row>
    <row r="7787" spans="4:18" x14ac:dyDescent="0.2">
      <c r="D7787" t="s">
        <v>132</v>
      </c>
      <c r="E7787" t="s">
        <v>133</v>
      </c>
      <c r="F7787" t="s">
        <v>134</v>
      </c>
      <c r="G7787" t="s">
        <v>278</v>
      </c>
      <c r="H7787" t="s">
        <v>278</v>
      </c>
      <c r="I7787" t="s">
        <v>33</v>
      </c>
      <c r="J7787" t="s">
        <v>34</v>
      </c>
      <c r="K7787" t="s">
        <v>30</v>
      </c>
      <c r="L7787" t="s">
        <v>31</v>
      </c>
      <c r="M7787" t="s">
        <v>277</v>
      </c>
      <c r="N7787">
        <v>222</v>
      </c>
      <c r="O7787">
        <v>3.1104926000000001E-2</v>
      </c>
      <c r="P7787">
        <v>1.9118684E-2</v>
      </c>
      <c r="Q7787" t="str">
        <f t="shared" si="242"/>
        <v>01-09</v>
      </c>
      <c r="R7787" t="str">
        <f t="shared" si="243"/>
        <v>[rpw540fmNUz]|01-09|Female|PLHIV_Attend.T2|CY2026Q3</v>
      </c>
    </row>
    <row r="7788" spans="4:18" x14ac:dyDescent="0.2">
      <c r="D7788" t="s">
        <v>132</v>
      </c>
      <c r="E7788" t="s">
        <v>133</v>
      </c>
      <c r="F7788" t="s">
        <v>134</v>
      </c>
      <c r="G7788" t="s">
        <v>278</v>
      </c>
      <c r="H7788" t="s">
        <v>278</v>
      </c>
      <c r="I7788" t="s">
        <v>36</v>
      </c>
      <c r="J7788" t="s">
        <v>37</v>
      </c>
      <c r="K7788" t="s">
        <v>30</v>
      </c>
      <c r="L7788" t="s">
        <v>31</v>
      </c>
      <c r="M7788" t="s">
        <v>277</v>
      </c>
      <c r="N7788">
        <v>300</v>
      </c>
      <c r="O7788">
        <v>4.3258718000000002E-2</v>
      </c>
      <c r="P7788">
        <v>1.9118684E-2</v>
      </c>
      <c r="Q7788" t="str">
        <f t="shared" si="242"/>
        <v>10-14</v>
      </c>
      <c r="R7788" t="str">
        <f t="shared" si="243"/>
        <v>[rpw540fmNUz]|10-14|Female|PLHIV_Attend.T2|CY2026Q3</v>
      </c>
    </row>
    <row r="7789" spans="4:18" x14ac:dyDescent="0.2">
      <c r="D7789" t="s">
        <v>132</v>
      </c>
      <c r="E7789" t="s">
        <v>133</v>
      </c>
      <c r="F7789" t="s">
        <v>134</v>
      </c>
      <c r="G7789" t="s">
        <v>278</v>
      </c>
      <c r="H7789" t="s">
        <v>278</v>
      </c>
      <c r="I7789" t="s">
        <v>38</v>
      </c>
      <c r="J7789" t="s">
        <v>39</v>
      </c>
      <c r="K7789" t="s">
        <v>30</v>
      </c>
      <c r="L7789" t="s">
        <v>31</v>
      </c>
      <c r="M7789" t="s">
        <v>277</v>
      </c>
      <c r="N7789">
        <v>1187</v>
      </c>
      <c r="O7789">
        <v>5.0799161000000002E-2</v>
      </c>
      <c r="P7789">
        <v>1.9118684E-2</v>
      </c>
      <c r="Q7789" t="str">
        <f t="shared" si="242"/>
        <v>15-24</v>
      </c>
      <c r="R7789" t="str">
        <f t="shared" si="243"/>
        <v>[rpw540fmNUz]|15-24|Female|PLHIV_Attend.T2|CY2026Q3</v>
      </c>
    </row>
    <row r="7790" spans="4:18" x14ac:dyDescent="0.2">
      <c r="D7790" t="s">
        <v>132</v>
      </c>
      <c r="E7790" t="s">
        <v>133</v>
      </c>
      <c r="F7790" t="s">
        <v>134</v>
      </c>
      <c r="G7790" t="s">
        <v>278</v>
      </c>
      <c r="H7790" t="s">
        <v>278</v>
      </c>
      <c r="I7790" t="s">
        <v>41</v>
      </c>
      <c r="J7790" t="s">
        <v>42</v>
      </c>
      <c r="K7790" t="s">
        <v>30</v>
      </c>
      <c r="L7790" t="s">
        <v>31</v>
      </c>
      <c r="M7790" t="s">
        <v>277</v>
      </c>
      <c r="N7790">
        <v>2689</v>
      </c>
      <c r="O7790">
        <v>3.8417249000000001E-2</v>
      </c>
      <c r="P7790">
        <v>1.9118684E-2</v>
      </c>
      <c r="Q7790" t="str">
        <f t="shared" si="242"/>
        <v>25-34</v>
      </c>
      <c r="R7790" t="str">
        <f t="shared" si="243"/>
        <v>[rpw540fmNUz]|25-34|Female|PLHIV_Attend.T2|CY2026Q3</v>
      </c>
    </row>
    <row r="7791" spans="4:18" x14ac:dyDescent="0.2">
      <c r="D7791" t="s">
        <v>132</v>
      </c>
      <c r="E7791" t="s">
        <v>133</v>
      </c>
      <c r="F7791" t="s">
        <v>134</v>
      </c>
      <c r="G7791" t="s">
        <v>278</v>
      </c>
      <c r="H7791" t="s">
        <v>278</v>
      </c>
      <c r="I7791" t="s">
        <v>43</v>
      </c>
      <c r="J7791" t="s">
        <v>44</v>
      </c>
      <c r="K7791" t="s">
        <v>30</v>
      </c>
      <c r="L7791" t="s">
        <v>31</v>
      </c>
      <c r="M7791" t="s">
        <v>277</v>
      </c>
      <c r="N7791">
        <v>7262</v>
      </c>
      <c r="O7791">
        <v>2.5301153999999999E-2</v>
      </c>
      <c r="P7791">
        <v>1.9118684E-2</v>
      </c>
      <c r="Q7791" t="str">
        <f t="shared" si="242"/>
        <v>35-49</v>
      </c>
      <c r="R7791" t="str">
        <f t="shared" si="243"/>
        <v>[rpw540fmNUz]|35-49|Female|PLHIV_Attend.T2|CY2026Q3</v>
      </c>
    </row>
    <row r="7792" spans="4:18" x14ac:dyDescent="0.2">
      <c r="D7792" t="s">
        <v>132</v>
      </c>
      <c r="E7792" t="s">
        <v>133</v>
      </c>
      <c r="F7792" t="s">
        <v>134</v>
      </c>
      <c r="G7792" t="s">
        <v>278</v>
      </c>
      <c r="H7792" t="s">
        <v>278</v>
      </c>
      <c r="I7792" t="s">
        <v>45</v>
      </c>
      <c r="J7792" t="s">
        <v>46</v>
      </c>
      <c r="K7792" t="s">
        <v>30</v>
      </c>
      <c r="L7792" t="s">
        <v>31</v>
      </c>
      <c r="M7792" t="s">
        <v>277</v>
      </c>
      <c r="N7792">
        <v>4343</v>
      </c>
      <c r="O7792">
        <v>3.2002616999999997E-2</v>
      </c>
      <c r="P7792">
        <v>1.9118684E-2</v>
      </c>
      <c r="Q7792" t="str">
        <f t="shared" si="242"/>
        <v>50+</v>
      </c>
      <c r="R7792" t="str">
        <f t="shared" si="243"/>
        <v>[rpw540fmNUz]|50+|Female|PLHIV_Attend.T2|CY2026Q3</v>
      </c>
    </row>
    <row r="7793" spans="4:18" x14ac:dyDescent="0.2">
      <c r="D7793" t="s">
        <v>132</v>
      </c>
      <c r="E7793" t="s">
        <v>133</v>
      </c>
      <c r="F7793" t="s">
        <v>134</v>
      </c>
      <c r="G7793" t="s">
        <v>278</v>
      </c>
      <c r="H7793" t="s">
        <v>278</v>
      </c>
      <c r="I7793" t="s">
        <v>28</v>
      </c>
      <c r="J7793" t="s">
        <v>29</v>
      </c>
      <c r="K7793" t="s">
        <v>48</v>
      </c>
      <c r="L7793" t="s">
        <v>49</v>
      </c>
      <c r="M7793" t="s">
        <v>277</v>
      </c>
      <c r="N7793">
        <v>12</v>
      </c>
      <c r="O7793">
        <v>2.4985738E-2</v>
      </c>
      <c r="P7793">
        <v>1.9118684E-2</v>
      </c>
      <c r="Q7793" t="str">
        <f t="shared" si="242"/>
        <v>&lt;01</v>
      </c>
      <c r="R7793" t="str">
        <f t="shared" si="243"/>
        <v>[rpw540fmNUz]|&lt;01|Male|PLHIV_Attend.T2|CY2026Q3</v>
      </c>
    </row>
    <row r="7794" spans="4:18" x14ac:dyDescent="0.2">
      <c r="D7794" t="s">
        <v>132</v>
      </c>
      <c r="E7794" t="s">
        <v>133</v>
      </c>
      <c r="F7794" t="s">
        <v>134</v>
      </c>
      <c r="G7794" t="s">
        <v>278</v>
      </c>
      <c r="H7794" t="s">
        <v>278</v>
      </c>
      <c r="I7794" t="s">
        <v>33</v>
      </c>
      <c r="J7794" t="s">
        <v>34</v>
      </c>
      <c r="K7794" t="s">
        <v>48</v>
      </c>
      <c r="L7794" t="s">
        <v>49</v>
      </c>
      <c r="M7794" t="s">
        <v>277</v>
      </c>
      <c r="N7794">
        <v>222</v>
      </c>
      <c r="O7794">
        <v>3.1078999999999999E-2</v>
      </c>
      <c r="P7794">
        <v>1.9118684E-2</v>
      </c>
      <c r="Q7794" t="str">
        <f t="shared" si="242"/>
        <v>01-09</v>
      </c>
      <c r="R7794" t="str">
        <f t="shared" si="243"/>
        <v>[rpw540fmNUz]|01-09|Male|PLHIV_Attend.T2|CY2026Q3</v>
      </c>
    </row>
    <row r="7795" spans="4:18" x14ac:dyDescent="0.2">
      <c r="D7795" t="s">
        <v>132</v>
      </c>
      <c r="E7795" t="s">
        <v>133</v>
      </c>
      <c r="F7795" t="s">
        <v>134</v>
      </c>
      <c r="G7795" t="s">
        <v>278</v>
      </c>
      <c r="H7795" t="s">
        <v>278</v>
      </c>
      <c r="I7795" t="s">
        <v>36</v>
      </c>
      <c r="J7795" t="s">
        <v>37</v>
      </c>
      <c r="K7795" t="s">
        <v>48</v>
      </c>
      <c r="L7795" t="s">
        <v>49</v>
      </c>
      <c r="M7795" t="s">
        <v>277</v>
      </c>
      <c r="N7795">
        <v>300</v>
      </c>
      <c r="O7795">
        <v>4.3268516E-2</v>
      </c>
      <c r="P7795">
        <v>1.9118684E-2</v>
      </c>
      <c r="Q7795" t="str">
        <f t="shared" si="242"/>
        <v>10-14</v>
      </c>
      <c r="R7795" t="str">
        <f t="shared" si="243"/>
        <v>[rpw540fmNUz]|10-14|Male|PLHIV_Attend.T2|CY2026Q3</v>
      </c>
    </row>
    <row r="7796" spans="4:18" x14ac:dyDescent="0.2">
      <c r="D7796" t="s">
        <v>132</v>
      </c>
      <c r="E7796" t="s">
        <v>133</v>
      </c>
      <c r="F7796" t="s">
        <v>134</v>
      </c>
      <c r="G7796" t="s">
        <v>278</v>
      </c>
      <c r="H7796" t="s">
        <v>278</v>
      </c>
      <c r="I7796" t="s">
        <v>38</v>
      </c>
      <c r="J7796" t="s">
        <v>39</v>
      </c>
      <c r="K7796" t="s">
        <v>48</v>
      </c>
      <c r="L7796" t="s">
        <v>49</v>
      </c>
      <c r="M7796" t="s">
        <v>277</v>
      </c>
      <c r="N7796">
        <v>837</v>
      </c>
      <c r="O7796">
        <v>5.4102065999999997E-2</v>
      </c>
      <c r="P7796">
        <v>1.9118684E-2</v>
      </c>
      <c r="Q7796" t="str">
        <f t="shared" si="242"/>
        <v>15-24</v>
      </c>
      <c r="R7796" t="str">
        <f t="shared" si="243"/>
        <v>[rpw540fmNUz]|15-24|Male|PLHIV_Attend.T2|CY2026Q3</v>
      </c>
    </row>
    <row r="7797" spans="4:18" x14ac:dyDescent="0.2">
      <c r="D7797" t="s">
        <v>132</v>
      </c>
      <c r="E7797" t="s">
        <v>133</v>
      </c>
      <c r="F7797" t="s">
        <v>134</v>
      </c>
      <c r="G7797" t="s">
        <v>278</v>
      </c>
      <c r="H7797" t="s">
        <v>278</v>
      </c>
      <c r="I7797" t="s">
        <v>41</v>
      </c>
      <c r="J7797" t="s">
        <v>42</v>
      </c>
      <c r="K7797" t="s">
        <v>48</v>
      </c>
      <c r="L7797" t="s">
        <v>49</v>
      </c>
      <c r="M7797" t="s">
        <v>277</v>
      </c>
      <c r="N7797">
        <v>933</v>
      </c>
      <c r="O7797">
        <v>6.3139323999999997E-2</v>
      </c>
      <c r="P7797">
        <v>1.9118684E-2</v>
      </c>
      <c r="Q7797" t="str">
        <f t="shared" si="242"/>
        <v>25-34</v>
      </c>
      <c r="R7797" t="str">
        <f t="shared" si="243"/>
        <v>[rpw540fmNUz]|25-34|Male|PLHIV_Attend.T2|CY2026Q3</v>
      </c>
    </row>
    <row r="7798" spans="4:18" x14ac:dyDescent="0.2">
      <c r="D7798" t="s">
        <v>132</v>
      </c>
      <c r="E7798" t="s">
        <v>133</v>
      </c>
      <c r="F7798" t="s">
        <v>134</v>
      </c>
      <c r="G7798" t="s">
        <v>278</v>
      </c>
      <c r="H7798" t="s">
        <v>278</v>
      </c>
      <c r="I7798" t="s">
        <v>43</v>
      </c>
      <c r="J7798" t="s">
        <v>44</v>
      </c>
      <c r="K7798" t="s">
        <v>48</v>
      </c>
      <c r="L7798" t="s">
        <v>49</v>
      </c>
      <c r="M7798" t="s">
        <v>277</v>
      </c>
      <c r="N7798">
        <v>3224</v>
      </c>
      <c r="O7798">
        <v>3.6173306000000002E-2</v>
      </c>
      <c r="P7798">
        <v>1.9118684E-2</v>
      </c>
      <c r="Q7798" t="str">
        <f t="shared" si="242"/>
        <v>35-49</v>
      </c>
      <c r="R7798" t="str">
        <f t="shared" si="243"/>
        <v>[rpw540fmNUz]|35-49|Male|PLHIV_Attend.T2|CY2026Q3</v>
      </c>
    </row>
    <row r="7799" spans="4:18" x14ac:dyDescent="0.2">
      <c r="D7799" t="s">
        <v>132</v>
      </c>
      <c r="E7799" t="s">
        <v>133</v>
      </c>
      <c r="F7799" t="s">
        <v>134</v>
      </c>
      <c r="G7799" t="s">
        <v>278</v>
      </c>
      <c r="H7799" t="s">
        <v>278</v>
      </c>
      <c r="I7799" t="s">
        <v>45</v>
      </c>
      <c r="J7799" t="s">
        <v>46</v>
      </c>
      <c r="K7799" t="s">
        <v>48</v>
      </c>
      <c r="L7799" t="s">
        <v>49</v>
      </c>
      <c r="M7799" t="s">
        <v>277</v>
      </c>
      <c r="N7799">
        <v>3078</v>
      </c>
      <c r="O7799">
        <v>3.2784290000000001E-2</v>
      </c>
      <c r="P7799">
        <v>1.9118684E-2</v>
      </c>
      <c r="Q7799" t="str">
        <f t="shared" si="242"/>
        <v>50+</v>
      </c>
      <c r="R7799" t="str">
        <f t="shared" si="243"/>
        <v>[rpw540fmNUz]|50+|Male|PLHIV_Attend.T2|CY2026Q3</v>
      </c>
    </row>
    <row r="7800" spans="4:18" x14ac:dyDescent="0.2">
      <c r="D7800" t="s">
        <v>135</v>
      </c>
      <c r="E7800" t="s">
        <v>136</v>
      </c>
      <c r="F7800" t="s">
        <v>137</v>
      </c>
      <c r="G7800" t="s">
        <v>278</v>
      </c>
      <c r="H7800" t="s">
        <v>278</v>
      </c>
      <c r="I7800" t="s">
        <v>28</v>
      </c>
      <c r="J7800" t="s">
        <v>29</v>
      </c>
      <c r="K7800" t="s">
        <v>30</v>
      </c>
      <c r="L7800" t="s">
        <v>31</v>
      </c>
      <c r="M7800" t="s">
        <v>277</v>
      </c>
      <c r="N7800">
        <v>5</v>
      </c>
      <c r="O7800">
        <v>2.5055078000000001E-2</v>
      </c>
      <c r="P7800">
        <v>1.7879241000000001E-2</v>
      </c>
      <c r="Q7800" t="str">
        <f t="shared" si="242"/>
        <v>&lt;01</v>
      </c>
      <c r="R7800" t="str">
        <f t="shared" si="243"/>
        <v>[gwVYinjBAe9]|&lt;01|Female|PLHIV_Attend.T2|CY2026Q3</v>
      </c>
    </row>
    <row r="7801" spans="4:18" x14ac:dyDescent="0.2">
      <c r="D7801" t="s">
        <v>135</v>
      </c>
      <c r="E7801" t="s">
        <v>136</v>
      </c>
      <c r="F7801" t="s">
        <v>137</v>
      </c>
      <c r="G7801" t="s">
        <v>278</v>
      </c>
      <c r="H7801" t="s">
        <v>278</v>
      </c>
      <c r="I7801" t="s">
        <v>33</v>
      </c>
      <c r="J7801" t="s">
        <v>34</v>
      </c>
      <c r="K7801" t="s">
        <v>30</v>
      </c>
      <c r="L7801" t="s">
        <v>31</v>
      </c>
      <c r="M7801" t="s">
        <v>277</v>
      </c>
      <c r="N7801">
        <v>81</v>
      </c>
      <c r="O7801">
        <v>3.1912554000000003E-2</v>
      </c>
      <c r="P7801">
        <v>1.7879241000000001E-2</v>
      </c>
      <c r="Q7801" t="str">
        <f t="shared" si="242"/>
        <v>01-09</v>
      </c>
      <c r="R7801" t="str">
        <f t="shared" si="243"/>
        <v>[gwVYinjBAe9]|01-09|Female|PLHIV_Attend.T2|CY2026Q3</v>
      </c>
    </row>
    <row r="7802" spans="4:18" x14ac:dyDescent="0.2">
      <c r="D7802" t="s">
        <v>135</v>
      </c>
      <c r="E7802" t="s">
        <v>136</v>
      </c>
      <c r="F7802" t="s">
        <v>137</v>
      </c>
      <c r="G7802" t="s">
        <v>278</v>
      </c>
      <c r="H7802" t="s">
        <v>278</v>
      </c>
      <c r="I7802" t="s">
        <v>36</v>
      </c>
      <c r="J7802" t="s">
        <v>37</v>
      </c>
      <c r="K7802" t="s">
        <v>30</v>
      </c>
      <c r="L7802" t="s">
        <v>31</v>
      </c>
      <c r="M7802" t="s">
        <v>277</v>
      </c>
      <c r="N7802">
        <v>108</v>
      </c>
      <c r="O7802">
        <v>4.5704120000000001E-2</v>
      </c>
      <c r="P7802">
        <v>1.7879241000000001E-2</v>
      </c>
      <c r="Q7802" t="str">
        <f t="shared" si="242"/>
        <v>10-14</v>
      </c>
      <c r="R7802" t="str">
        <f t="shared" si="243"/>
        <v>[gwVYinjBAe9]|10-14|Female|PLHIV_Attend.T2|CY2026Q3</v>
      </c>
    </row>
    <row r="7803" spans="4:18" x14ac:dyDescent="0.2">
      <c r="D7803" t="s">
        <v>135</v>
      </c>
      <c r="E7803" t="s">
        <v>136</v>
      </c>
      <c r="F7803" t="s">
        <v>137</v>
      </c>
      <c r="G7803" t="s">
        <v>278</v>
      </c>
      <c r="H7803" t="s">
        <v>278</v>
      </c>
      <c r="I7803" t="s">
        <v>38</v>
      </c>
      <c r="J7803" t="s">
        <v>39</v>
      </c>
      <c r="K7803" t="s">
        <v>30</v>
      </c>
      <c r="L7803" t="s">
        <v>31</v>
      </c>
      <c r="M7803" t="s">
        <v>277</v>
      </c>
      <c r="N7803">
        <v>437</v>
      </c>
      <c r="O7803">
        <v>5.1015970000000001E-2</v>
      </c>
      <c r="P7803">
        <v>1.7879241000000001E-2</v>
      </c>
      <c r="Q7803" t="str">
        <f t="shared" si="242"/>
        <v>15-24</v>
      </c>
      <c r="R7803" t="str">
        <f t="shared" si="243"/>
        <v>[gwVYinjBAe9]|15-24|Female|PLHIV_Attend.T2|CY2026Q3</v>
      </c>
    </row>
    <row r="7804" spans="4:18" x14ac:dyDescent="0.2">
      <c r="D7804" t="s">
        <v>135</v>
      </c>
      <c r="E7804" t="s">
        <v>136</v>
      </c>
      <c r="F7804" t="s">
        <v>137</v>
      </c>
      <c r="G7804" t="s">
        <v>278</v>
      </c>
      <c r="H7804" t="s">
        <v>278</v>
      </c>
      <c r="I7804" t="s">
        <v>41</v>
      </c>
      <c r="J7804" t="s">
        <v>42</v>
      </c>
      <c r="K7804" t="s">
        <v>30</v>
      </c>
      <c r="L7804" t="s">
        <v>31</v>
      </c>
      <c r="M7804" t="s">
        <v>277</v>
      </c>
      <c r="N7804">
        <v>991</v>
      </c>
      <c r="O7804">
        <v>3.8806553000000001E-2</v>
      </c>
      <c r="P7804">
        <v>1.7879241000000001E-2</v>
      </c>
      <c r="Q7804" t="str">
        <f t="shared" si="242"/>
        <v>25-34</v>
      </c>
      <c r="R7804" t="str">
        <f t="shared" si="243"/>
        <v>[gwVYinjBAe9]|25-34|Female|PLHIV_Attend.T2|CY2026Q3</v>
      </c>
    </row>
    <row r="7805" spans="4:18" x14ac:dyDescent="0.2">
      <c r="D7805" t="s">
        <v>135</v>
      </c>
      <c r="E7805" t="s">
        <v>136</v>
      </c>
      <c r="F7805" t="s">
        <v>137</v>
      </c>
      <c r="G7805" t="s">
        <v>278</v>
      </c>
      <c r="H7805" t="s">
        <v>278</v>
      </c>
      <c r="I7805" t="s">
        <v>43</v>
      </c>
      <c r="J7805" t="s">
        <v>44</v>
      </c>
      <c r="K7805" t="s">
        <v>30</v>
      </c>
      <c r="L7805" t="s">
        <v>31</v>
      </c>
      <c r="M7805" t="s">
        <v>277</v>
      </c>
      <c r="N7805">
        <v>2846</v>
      </c>
      <c r="O7805">
        <v>2.3737357000000001E-2</v>
      </c>
      <c r="P7805">
        <v>1.7879241000000001E-2</v>
      </c>
      <c r="Q7805" t="str">
        <f t="shared" si="242"/>
        <v>35-49</v>
      </c>
      <c r="R7805" t="str">
        <f t="shared" si="243"/>
        <v>[gwVYinjBAe9]|35-49|Female|PLHIV_Attend.T2|CY2026Q3</v>
      </c>
    </row>
    <row r="7806" spans="4:18" x14ac:dyDescent="0.2">
      <c r="D7806" t="s">
        <v>135</v>
      </c>
      <c r="E7806" t="s">
        <v>136</v>
      </c>
      <c r="F7806" t="s">
        <v>137</v>
      </c>
      <c r="G7806" t="s">
        <v>278</v>
      </c>
      <c r="H7806" t="s">
        <v>278</v>
      </c>
      <c r="I7806" t="s">
        <v>45</v>
      </c>
      <c r="J7806" t="s">
        <v>46</v>
      </c>
      <c r="K7806" t="s">
        <v>30</v>
      </c>
      <c r="L7806" t="s">
        <v>31</v>
      </c>
      <c r="M7806" t="s">
        <v>277</v>
      </c>
      <c r="N7806">
        <v>1610</v>
      </c>
      <c r="O7806">
        <v>3.3610284999999997E-2</v>
      </c>
      <c r="P7806">
        <v>1.7879241000000001E-2</v>
      </c>
      <c r="Q7806" t="str">
        <f t="shared" si="242"/>
        <v>50+</v>
      </c>
      <c r="R7806" t="str">
        <f t="shared" si="243"/>
        <v>[gwVYinjBAe9]|50+|Female|PLHIV_Attend.T2|CY2026Q3</v>
      </c>
    </row>
    <row r="7807" spans="4:18" x14ac:dyDescent="0.2">
      <c r="D7807" t="s">
        <v>135</v>
      </c>
      <c r="E7807" t="s">
        <v>136</v>
      </c>
      <c r="F7807" t="s">
        <v>137</v>
      </c>
      <c r="G7807" t="s">
        <v>278</v>
      </c>
      <c r="H7807" t="s">
        <v>278</v>
      </c>
      <c r="I7807" t="s">
        <v>28</v>
      </c>
      <c r="J7807" t="s">
        <v>29</v>
      </c>
      <c r="K7807" t="s">
        <v>48</v>
      </c>
      <c r="L7807" t="s">
        <v>49</v>
      </c>
      <c r="M7807" t="s">
        <v>277</v>
      </c>
      <c r="N7807">
        <v>5</v>
      </c>
      <c r="O7807">
        <v>2.5076898E-2</v>
      </c>
      <c r="P7807">
        <v>1.7879241000000001E-2</v>
      </c>
      <c r="Q7807" t="str">
        <f t="shared" si="242"/>
        <v>&lt;01</v>
      </c>
      <c r="R7807" t="str">
        <f t="shared" si="243"/>
        <v>[gwVYinjBAe9]|&lt;01|Male|PLHIV_Attend.T2|CY2026Q3</v>
      </c>
    </row>
    <row r="7808" spans="4:18" x14ac:dyDescent="0.2">
      <c r="D7808" t="s">
        <v>135</v>
      </c>
      <c r="E7808" t="s">
        <v>136</v>
      </c>
      <c r="F7808" t="s">
        <v>137</v>
      </c>
      <c r="G7808" t="s">
        <v>278</v>
      </c>
      <c r="H7808" t="s">
        <v>278</v>
      </c>
      <c r="I7808" t="s">
        <v>33</v>
      </c>
      <c r="J7808" t="s">
        <v>34</v>
      </c>
      <c r="K7808" t="s">
        <v>48</v>
      </c>
      <c r="L7808" t="s">
        <v>49</v>
      </c>
      <c r="M7808" t="s">
        <v>277</v>
      </c>
      <c r="N7808">
        <v>83</v>
      </c>
      <c r="O7808">
        <v>3.1974759999999998E-2</v>
      </c>
      <c r="P7808">
        <v>1.7879241000000001E-2</v>
      </c>
      <c r="Q7808" t="str">
        <f t="shared" si="242"/>
        <v>01-09</v>
      </c>
      <c r="R7808" t="str">
        <f t="shared" si="243"/>
        <v>[gwVYinjBAe9]|01-09|Male|PLHIV_Attend.T2|CY2026Q3</v>
      </c>
    </row>
    <row r="7809" spans="4:18" x14ac:dyDescent="0.2">
      <c r="D7809" t="s">
        <v>135</v>
      </c>
      <c r="E7809" t="s">
        <v>136</v>
      </c>
      <c r="F7809" t="s">
        <v>137</v>
      </c>
      <c r="G7809" t="s">
        <v>278</v>
      </c>
      <c r="H7809" t="s">
        <v>278</v>
      </c>
      <c r="I7809" t="s">
        <v>36</v>
      </c>
      <c r="J7809" t="s">
        <v>37</v>
      </c>
      <c r="K7809" t="s">
        <v>48</v>
      </c>
      <c r="L7809" t="s">
        <v>49</v>
      </c>
      <c r="M7809" t="s">
        <v>277</v>
      </c>
      <c r="N7809">
        <v>111</v>
      </c>
      <c r="O7809">
        <v>4.577871E-2</v>
      </c>
      <c r="P7809">
        <v>1.7879241000000001E-2</v>
      </c>
      <c r="Q7809" t="str">
        <f t="shared" si="242"/>
        <v>10-14</v>
      </c>
      <c r="R7809" t="str">
        <f t="shared" si="243"/>
        <v>[gwVYinjBAe9]|10-14|Male|PLHIV_Attend.T2|CY2026Q3</v>
      </c>
    </row>
    <row r="7810" spans="4:18" x14ac:dyDescent="0.2">
      <c r="D7810" t="s">
        <v>135</v>
      </c>
      <c r="E7810" t="s">
        <v>136</v>
      </c>
      <c r="F7810" t="s">
        <v>137</v>
      </c>
      <c r="G7810" t="s">
        <v>278</v>
      </c>
      <c r="H7810" t="s">
        <v>278</v>
      </c>
      <c r="I7810" t="s">
        <v>38</v>
      </c>
      <c r="J7810" t="s">
        <v>39</v>
      </c>
      <c r="K7810" t="s">
        <v>48</v>
      </c>
      <c r="L7810" t="s">
        <v>49</v>
      </c>
      <c r="M7810" t="s">
        <v>277</v>
      </c>
      <c r="N7810">
        <v>320</v>
      </c>
      <c r="O7810">
        <v>5.5221144999999999E-2</v>
      </c>
      <c r="P7810">
        <v>1.7879241000000001E-2</v>
      </c>
      <c r="Q7810" t="str">
        <f t="shared" si="242"/>
        <v>15-24</v>
      </c>
      <c r="R7810" t="str">
        <f t="shared" si="243"/>
        <v>[gwVYinjBAe9]|15-24|Male|PLHIV_Attend.T2|CY2026Q3</v>
      </c>
    </row>
    <row r="7811" spans="4:18" x14ac:dyDescent="0.2">
      <c r="D7811" t="s">
        <v>135</v>
      </c>
      <c r="E7811" t="s">
        <v>136</v>
      </c>
      <c r="F7811" t="s">
        <v>137</v>
      </c>
      <c r="G7811" t="s">
        <v>278</v>
      </c>
      <c r="H7811" t="s">
        <v>278</v>
      </c>
      <c r="I7811" t="s">
        <v>41</v>
      </c>
      <c r="J7811" t="s">
        <v>42</v>
      </c>
      <c r="K7811" t="s">
        <v>48</v>
      </c>
      <c r="L7811" t="s">
        <v>49</v>
      </c>
      <c r="M7811" t="s">
        <v>277</v>
      </c>
      <c r="N7811">
        <v>379</v>
      </c>
      <c r="O7811">
        <v>6.2945580000000001E-2</v>
      </c>
      <c r="P7811">
        <v>1.7879241000000001E-2</v>
      </c>
      <c r="Q7811" t="str">
        <f t="shared" ref="Q7811:Q7874" si="244">SUBSTITUTE(SUBSTITUTE($I7811,CHAR(61),""),CHAR(34),"")</f>
        <v>25-34</v>
      </c>
      <c r="R7811" t="str">
        <f t="shared" ref="R7811:R7874" si="245">IF($D7811&lt;&gt;"","["&amp;$E7811&amp;"]"&amp;"|"&amp;$Q7811&amp;"|"&amp;$K7811&amp;"|"&amp;$G7811&amp;"|"&amp;IF($G7811="TX_CURR_SUBNAT.R","CY2023Q4",$M7811),"")</f>
        <v>[gwVYinjBAe9]|25-34|Male|PLHIV_Attend.T2|CY2026Q3</v>
      </c>
    </row>
    <row r="7812" spans="4:18" x14ac:dyDescent="0.2">
      <c r="D7812" t="s">
        <v>135</v>
      </c>
      <c r="E7812" t="s">
        <v>136</v>
      </c>
      <c r="F7812" t="s">
        <v>137</v>
      </c>
      <c r="G7812" t="s">
        <v>278</v>
      </c>
      <c r="H7812" t="s">
        <v>278</v>
      </c>
      <c r="I7812" t="s">
        <v>43</v>
      </c>
      <c r="J7812" t="s">
        <v>44</v>
      </c>
      <c r="K7812" t="s">
        <v>48</v>
      </c>
      <c r="L7812" t="s">
        <v>49</v>
      </c>
      <c r="M7812" t="s">
        <v>277</v>
      </c>
      <c r="N7812">
        <v>1321</v>
      </c>
      <c r="O7812">
        <v>3.5132231E-2</v>
      </c>
      <c r="P7812">
        <v>1.7879241000000001E-2</v>
      </c>
      <c r="Q7812" t="str">
        <f t="shared" si="244"/>
        <v>35-49</v>
      </c>
      <c r="R7812" t="str">
        <f t="shared" si="245"/>
        <v>[gwVYinjBAe9]|35-49|Male|PLHIV_Attend.T2|CY2026Q3</v>
      </c>
    </row>
    <row r="7813" spans="4:18" x14ac:dyDescent="0.2">
      <c r="D7813" t="s">
        <v>135</v>
      </c>
      <c r="E7813" t="s">
        <v>136</v>
      </c>
      <c r="F7813" t="s">
        <v>137</v>
      </c>
      <c r="G7813" t="s">
        <v>278</v>
      </c>
      <c r="H7813" t="s">
        <v>278</v>
      </c>
      <c r="I7813" t="s">
        <v>45</v>
      </c>
      <c r="J7813" t="s">
        <v>46</v>
      </c>
      <c r="K7813" t="s">
        <v>48</v>
      </c>
      <c r="L7813" t="s">
        <v>49</v>
      </c>
      <c r="M7813" t="s">
        <v>277</v>
      </c>
      <c r="N7813">
        <v>1225</v>
      </c>
      <c r="O7813">
        <v>3.4215541000000002E-2</v>
      </c>
      <c r="P7813">
        <v>1.7879241000000001E-2</v>
      </c>
      <c r="Q7813" t="str">
        <f t="shared" si="244"/>
        <v>50+</v>
      </c>
      <c r="R7813" t="str">
        <f t="shared" si="245"/>
        <v>[gwVYinjBAe9]|50+|Male|PLHIV_Attend.T2|CY2026Q3</v>
      </c>
    </row>
    <row r="7814" spans="4:18" x14ac:dyDescent="0.2">
      <c r="D7814" t="s">
        <v>23</v>
      </c>
      <c r="E7814" t="s">
        <v>24</v>
      </c>
      <c r="F7814" t="s">
        <v>25</v>
      </c>
      <c r="G7814" t="s">
        <v>279</v>
      </c>
      <c r="H7814" t="s">
        <v>279</v>
      </c>
      <c r="I7814" t="s">
        <v>28</v>
      </c>
      <c r="J7814" t="s">
        <v>29</v>
      </c>
      <c r="K7814" t="s">
        <v>30</v>
      </c>
      <c r="L7814" t="s">
        <v>31</v>
      </c>
      <c r="M7814" t="s">
        <v>277</v>
      </c>
      <c r="N7814">
        <v>3</v>
      </c>
      <c r="O7814">
        <v>7.1859512E-2</v>
      </c>
      <c r="P7814">
        <v>7.8695534999999997E-2</v>
      </c>
      <c r="Q7814" t="str">
        <f t="shared" si="244"/>
        <v>&lt;01</v>
      </c>
      <c r="R7814" t="str">
        <f t="shared" si="245"/>
        <v>[GkIwZrXy1h2]|&lt;01|Female|NEW_INFECTIONS_SUBNAT.T2|CY2026Q3</v>
      </c>
    </row>
    <row r="7815" spans="4:18" x14ac:dyDescent="0.2">
      <c r="D7815" t="s">
        <v>23</v>
      </c>
      <c r="E7815" t="s">
        <v>24</v>
      </c>
      <c r="F7815" t="s">
        <v>25</v>
      </c>
      <c r="G7815" t="s">
        <v>279</v>
      </c>
      <c r="H7815" t="s">
        <v>279</v>
      </c>
      <c r="I7815" t="s">
        <v>33</v>
      </c>
      <c r="J7815" t="s">
        <v>34</v>
      </c>
      <c r="K7815" t="s">
        <v>30</v>
      </c>
      <c r="L7815" t="s">
        <v>31</v>
      </c>
      <c r="M7815" t="s">
        <v>277</v>
      </c>
      <c r="N7815">
        <v>1</v>
      </c>
      <c r="O7815">
        <v>3.5929756E-2</v>
      </c>
      <c r="P7815">
        <v>7.8695534999999997E-2</v>
      </c>
      <c r="Q7815" t="str">
        <f t="shared" si="244"/>
        <v>01-09</v>
      </c>
      <c r="R7815" t="str">
        <f t="shared" si="245"/>
        <v>[GkIwZrXy1h2]|01-09|Female|NEW_INFECTIONS_SUBNAT.T2|CY2026Q3</v>
      </c>
    </row>
    <row r="7816" spans="4:18" x14ac:dyDescent="0.2">
      <c r="D7816" t="s">
        <v>23</v>
      </c>
      <c r="E7816" t="s">
        <v>24</v>
      </c>
      <c r="F7816" t="s">
        <v>25</v>
      </c>
      <c r="G7816" t="s">
        <v>279</v>
      </c>
      <c r="H7816" t="s">
        <v>279</v>
      </c>
      <c r="I7816" t="s">
        <v>36</v>
      </c>
      <c r="J7816" t="s">
        <v>37</v>
      </c>
      <c r="K7816" t="s">
        <v>30</v>
      </c>
      <c r="L7816" t="s">
        <v>31</v>
      </c>
      <c r="M7816" t="s">
        <v>277</v>
      </c>
      <c r="N7816">
        <v>0</v>
      </c>
      <c r="O7816">
        <v>0</v>
      </c>
      <c r="P7816">
        <v>7.8695534999999997E-2</v>
      </c>
      <c r="Q7816" t="str">
        <f t="shared" si="244"/>
        <v>10-14</v>
      </c>
      <c r="R7816" t="str">
        <f t="shared" si="245"/>
        <v>[GkIwZrXy1h2]|10-14|Female|NEW_INFECTIONS_SUBNAT.T2|CY2026Q3</v>
      </c>
    </row>
    <row r="7817" spans="4:18" x14ac:dyDescent="0.2">
      <c r="D7817" t="s">
        <v>23</v>
      </c>
      <c r="E7817" t="s">
        <v>24</v>
      </c>
      <c r="F7817" t="s">
        <v>25</v>
      </c>
      <c r="G7817" t="s">
        <v>279</v>
      </c>
      <c r="H7817" t="s">
        <v>279</v>
      </c>
      <c r="I7817" t="s">
        <v>38</v>
      </c>
      <c r="J7817" t="s">
        <v>39</v>
      </c>
      <c r="K7817" t="s">
        <v>30</v>
      </c>
      <c r="L7817" t="s">
        <v>31</v>
      </c>
      <c r="M7817" t="s">
        <v>277</v>
      </c>
      <c r="N7817">
        <v>15</v>
      </c>
      <c r="O7817">
        <v>8.2551734000000002E-2</v>
      </c>
      <c r="P7817">
        <v>7.8695534999999997E-2</v>
      </c>
      <c r="Q7817" t="str">
        <f t="shared" si="244"/>
        <v>15-24</v>
      </c>
      <c r="R7817" t="str">
        <f t="shared" si="245"/>
        <v>[GkIwZrXy1h2]|15-24|Female|NEW_INFECTIONS_SUBNAT.T2|CY2026Q3</v>
      </c>
    </row>
    <row r="7818" spans="4:18" x14ac:dyDescent="0.2">
      <c r="D7818" t="s">
        <v>23</v>
      </c>
      <c r="E7818" t="s">
        <v>24</v>
      </c>
      <c r="F7818" t="s">
        <v>25</v>
      </c>
      <c r="G7818" t="s">
        <v>279</v>
      </c>
      <c r="H7818" t="s">
        <v>279</v>
      </c>
      <c r="I7818" t="s">
        <v>41</v>
      </c>
      <c r="J7818" t="s">
        <v>42</v>
      </c>
      <c r="K7818" t="s">
        <v>30</v>
      </c>
      <c r="L7818" t="s">
        <v>31</v>
      </c>
      <c r="M7818" t="s">
        <v>277</v>
      </c>
      <c r="N7818">
        <v>15</v>
      </c>
      <c r="O7818">
        <v>8.1365283999999996E-2</v>
      </c>
      <c r="P7818">
        <v>7.8695534999999997E-2</v>
      </c>
      <c r="Q7818" t="str">
        <f t="shared" si="244"/>
        <v>25-34</v>
      </c>
      <c r="R7818" t="str">
        <f t="shared" si="245"/>
        <v>[GkIwZrXy1h2]|25-34|Female|NEW_INFECTIONS_SUBNAT.T2|CY2026Q3</v>
      </c>
    </row>
    <row r="7819" spans="4:18" x14ac:dyDescent="0.2">
      <c r="D7819" t="s">
        <v>23</v>
      </c>
      <c r="E7819" t="s">
        <v>24</v>
      </c>
      <c r="F7819" t="s">
        <v>25</v>
      </c>
      <c r="G7819" t="s">
        <v>279</v>
      </c>
      <c r="H7819" t="s">
        <v>279</v>
      </c>
      <c r="I7819" t="s">
        <v>43</v>
      </c>
      <c r="J7819" t="s">
        <v>44</v>
      </c>
      <c r="K7819" t="s">
        <v>30</v>
      </c>
      <c r="L7819" t="s">
        <v>31</v>
      </c>
      <c r="M7819" t="s">
        <v>277</v>
      </c>
      <c r="N7819">
        <v>8</v>
      </c>
      <c r="O7819">
        <v>7.8119926000000006E-2</v>
      </c>
      <c r="P7819">
        <v>7.8695534999999997E-2</v>
      </c>
      <c r="Q7819" t="str">
        <f t="shared" si="244"/>
        <v>35-49</v>
      </c>
      <c r="R7819" t="str">
        <f t="shared" si="245"/>
        <v>[GkIwZrXy1h2]|35-49|Female|NEW_INFECTIONS_SUBNAT.T2|CY2026Q3</v>
      </c>
    </row>
    <row r="7820" spans="4:18" x14ac:dyDescent="0.2">
      <c r="D7820" t="s">
        <v>23</v>
      </c>
      <c r="E7820" t="s">
        <v>24</v>
      </c>
      <c r="F7820" t="s">
        <v>25</v>
      </c>
      <c r="G7820" t="s">
        <v>279</v>
      </c>
      <c r="H7820" t="s">
        <v>279</v>
      </c>
      <c r="I7820" t="s">
        <v>45</v>
      </c>
      <c r="J7820" t="s">
        <v>46</v>
      </c>
      <c r="K7820" t="s">
        <v>30</v>
      </c>
      <c r="L7820" t="s">
        <v>31</v>
      </c>
      <c r="M7820" t="s">
        <v>277</v>
      </c>
      <c r="N7820">
        <v>1</v>
      </c>
      <c r="O7820">
        <v>7.7830969999999999E-2</v>
      </c>
      <c r="P7820">
        <v>7.8695534999999997E-2</v>
      </c>
      <c r="Q7820" t="str">
        <f t="shared" si="244"/>
        <v>50+</v>
      </c>
      <c r="R7820" t="str">
        <f t="shared" si="245"/>
        <v>[GkIwZrXy1h2]|50+|Female|NEW_INFECTIONS_SUBNAT.T2|CY2026Q3</v>
      </c>
    </row>
    <row r="7821" spans="4:18" x14ac:dyDescent="0.2">
      <c r="D7821" t="s">
        <v>23</v>
      </c>
      <c r="E7821" t="s">
        <v>24</v>
      </c>
      <c r="F7821" t="s">
        <v>25</v>
      </c>
      <c r="G7821" t="s">
        <v>279</v>
      </c>
      <c r="H7821" t="s">
        <v>279</v>
      </c>
      <c r="I7821" t="s">
        <v>28</v>
      </c>
      <c r="J7821" t="s">
        <v>29</v>
      </c>
      <c r="K7821" t="s">
        <v>48</v>
      </c>
      <c r="L7821" t="s">
        <v>49</v>
      </c>
      <c r="M7821" t="s">
        <v>277</v>
      </c>
      <c r="N7821">
        <v>3</v>
      </c>
      <c r="O7821">
        <v>7.18607E-2</v>
      </c>
      <c r="P7821">
        <v>7.8695534999999997E-2</v>
      </c>
      <c r="Q7821" t="str">
        <f t="shared" si="244"/>
        <v>&lt;01</v>
      </c>
      <c r="R7821" t="str">
        <f t="shared" si="245"/>
        <v>[GkIwZrXy1h2]|&lt;01|Male|NEW_INFECTIONS_SUBNAT.T2|CY2026Q3</v>
      </c>
    </row>
    <row r="7822" spans="4:18" x14ac:dyDescent="0.2">
      <c r="D7822" t="s">
        <v>23</v>
      </c>
      <c r="E7822" t="s">
        <v>24</v>
      </c>
      <c r="F7822" t="s">
        <v>25</v>
      </c>
      <c r="G7822" t="s">
        <v>279</v>
      </c>
      <c r="H7822" t="s">
        <v>279</v>
      </c>
      <c r="I7822" t="s">
        <v>33</v>
      </c>
      <c r="J7822" t="s">
        <v>34</v>
      </c>
      <c r="K7822" t="s">
        <v>48</v>
      </c>
      <c r="L7822" t="s">
        <v>49</v>
      </c>
      <c r="M7822" t="s">
        <v>277</v>
      </c>
      <c r="N7822">
        <v>1</v>
      </c>
      <c r="O7822">
        <v>3.593035E-2</v>
      </c>
      <c r="P7822">
        <v>7.8695534999999997E-2</v>
      </c>
      <c r="Q7822" t="str">
        <f t="shared" si="244"/>
        <v>01-09</v>
      </c>
      <c r="R7822" t="str">
        <f t="shared" si="245"/>
        <v>[GkIwZrXy1h2]|01-09|Male|NEW_INFECTIONS_SUBNAT.T2|CY2026Q3</v>
      </c>
    </row>
    <row r="7823" spans="4:18" x14ac:dyDescent="0.2">
      <c r="D7823" t="s">
        <v>23</v>
      </c>
      <c r="E7823" t="s">
        <v>24</v>
      </c>
      <c r="F7823" t="s">
        <v>25</v>
      </c>
      <c r="G7823" t="s">
        <v>279</v>
      </c>
      <c r="H7823" t="s">
        <v>279</v>
      </c>
      <c r="I7823" t="s">
        <v>36</v>
      </c>
      <c r="J7823" t="s">
        <v>37</v>
      </c>
      <c r="K7823" t="s">
        <v>48</v>
      </c>
      <c r="L7823" t="s">
        <v>49</v>
      </c>
      <c r="M7823" t="s">
        <v>277</v>
      </c>
      <c r="N7823">
        <v>0</v>
      </c>
      <c r="O7823">
        <v>0</v>
      </c>
      <c r="P7823">
        <v>7.8695534999999997E-2</v>
      </c>
      <c r="Q7823" t="str">
        <f t="shared" si="244"/>
        <v>10-14</v>
      </c>
      <c r="R7823" t="str">
        <f t="shared" si="245"/>
        <v>[GkIwZrXy1h2]|10-14|Male|NEW_INFECTIONS_SUBNAT.T2|CY2026Q3</v>
      </c>
    </row>
    <row r="7824" spans="4:18" x14ac:dyDescent="0.2">
      <c r="D7824" t="s">
        <v>23</v>
      </c>
      <c r="E7824" t="s">
        <v>24</v>
      </c>
      <c r="F7824" t="s">
        <v>25</v>
      </c>
      <c r="G7824" t="s">
        <v>279</v>
      </c>
      <c r="H7824" t="s">
        <v>279</v>
      </c>
      <c r="I7824" t="s">
        <v>38</v>
      </c>
      <c r="J7824" t="s">
        <v>39</v>
      </c>
      <c r="K7824" t="s">
        <v>48</v>
      </c>
      <c r="L7824" t="s">
        <v>49</v>
      </c>
      <c r="M7824" t="s">
        <v>277</v>
      </c>
      <c r="N7824">
        <v>2</v>
      </c>
      <c r="O7824">
        <v>8.2822198999999999E-2</v>
      </c>
      <c r="P7824">
        <v>7.8695534999999997E-2</v>
      </c>
      <c r="Q7824" t="str">
        <f t="shared" si="244"/>
        <v>15-24</v>
      </c>
      <c r="R7824" t="str">
        <f t="shared" si="245"/>
        <v>[GkIwZrXy1h2]|15-24|Male|NEW_INFECTIONS_SUBNAT.T2|CY2026Q3</v>
      </c>
    </row>
    <row r="7825" spans="4:18" x14ac:dyDescent="0.2">
      <c r="D7825" t="s">
        <v>23</v>
      </c>
      <c r="E7825" t="s">
        <v>24</v>
      </c>
      <c r="F7825" t="s">
        <v>25</v>
      </c>
      <c r="G7825" t="s">
        <v>279</v>
      </c>
      <c r="H7825" t="s">
        <v>279</v>
      </c>
      <c r="I7825" t="s">
        <v>41</v>
      </c>
      <c r="J7825" t="s">
        <v>42</v>
      </c>
      <c r="K7825" t="s">
        <v>48</v>
      </c>
      <c r="L7825" t="s">
        <v>49</v>
      </c>
      <c r="M7825" t="s">
        <v>277</v>
      </c>
      <c r="N7825">
        <v>8</v>
      </c>
      <c r="O7825">
        <v>8.2382701000000003E-2</v>
      </c>
      <c r="P7825">
        <v>7.8695534999999997E-2</v>
      </c>
      <c r="Q7825" t="str">
        <f t="shared" si="244"/>
        <v>25-34</v>
      </c>
      <c r="R7825" t="str">
        <f t="shared" si="245"/>
        <v>[GkIwZrXy1h2]|25-34|Male|NEW_INFECTIONS_SUBNAT.T2|CY2026Q3</v>
      </c>
    </row>
    <row r="7826" spans="4:18" x14ac:dyDescent="0.2">
      <c r="D7826" t="s">
        <v>23</v>
      </c>
      <c r="E7826" t="s">
        <v>24</v>
      </c>
      <c r="F7826" t="s">
        <v>25</v>
      </c>
      <c r="G7826" t="s">
        <v>279</v>
      </c>
      <c r="H7826" t="s">
        <v>279</v>
      </c>
      <c r="I7826" t="s">
        <v>43</v>
      </c>
      <c r="J7826" t="s">
        <v>44</v>
      </c>
      <c r="K7826" t="s">
        <v>48</v>
      </c>
      <c r="L7826" t="s">
        <v>49</v>
      </c>
      <c r="M7826" t="s">
        <v>277</v>
      </c>
      <c r="N7826">
        <v>9</v>
      </c>
      <c r="O7826">
        <v>8.0241136000000005E-2</v>
      </c>
      <c r="P7826">
        <v>7.8695534999999997E-2</v>
      </c>
      <c r="Q7826" t="str">
        <f t="shared" si="244"/>
        <v>35-49</v>
      </c>
      <c r="R7826" t="str">
        <f t="shared" si="245"/>
        <v>[GkIwZrXy1h2]|35-49|Male|NEW_INFECTIONS_SUBNAT.T2|CY2026Q3</v>
      </c>
    </row>
    <row r="7827" spans="4:18" x14ac:dyDescent="0.2">
      <c r="D7827" t="s">
        <v>23</v>
      </c>
      <c r="E7827" t="s">
        <v>24</v>
      </c>
      <c r="F7827" t="s">
        <v>25</v>
      </c>
      <c r="G7827" t="s">
        <v>279</v>
      </c>
      <c r="H7827" t="s">
        <v>279</v>
      </c>
      <c r="I7827" t="s">
        <v>45</v>
      </c>
      <c r="J7827" t="s">
        <v>46</v>
      </c>
      <c r="K7827" t="s">
        <v>48</v>
      </c>
      <c r="L7827" t="s">
        <v>49</v>
      </c>
      <c r="M7827" t="s">
        <v>277</v>
      </c>
      <c r="N7827">
        <v>3</v>
      </c>
      <c r="O7827">
        <v>7.8291791999999999E-2</v>
      </c>
      <c r="P7827">
        <v>7.8695534999999997E-2</v>
      </c>
      <c r="Q7827" t="str">
        <f t="shared" si="244"/>
        <v>50+</v>
      </c>
      <c r="R7827" t="str">
        <f t="shared" si="245"/>
        <v>[GkIwZrXy1h2]|50+|Male|NEW_INFECTIONS_SUBNAT.T2|CY2026Q3</v>
      </c>
    </row>
    <row r="7828" spans="4:18" x14ac:dyDescent="0.2">
      <c r="D7828" t="s">
        <v>53</v>
      </c>
      <c r="E7828" t="s">
        <v>54</v>
      </c>
      <c r="F7828" t="s">
        <v>55</v>
      </c>
      <c r="G7828" t="s">
        <v>279</v>
      </c>
      <c r="H7828" t="s">
        <v>279</v>
      </c>
      <c r="I7828" t="s">
        <v>28</v>
      </c>
      <c r="J7828" t="s">
        <v>29</v>
      </c>
      <c r="K7828" t="s">
        <v>30</v>
      </c>
      <c r="L7828" t="s">
        <v>31</v>
      </c>
      <c r="M7828" t="s">
        <v>277</v>
      </c>
      <c r="N7828">
        <v>10</v>
      </c>
      <c r="O7828">
        <v>3.2399285999999999E-2</v>
      </c>
      <c r="P7828">
        <v>4.2214060999999997E-2</v>
      </c>
      <c r="Q7828" t="str">
        <f t="shared" si="244"/>
        <v>&lt;01</v>
      </c>
      <c r="R7828" t="str">
        <f t="shared" si="245"/>
        <v>[cPtvxaZqXIH]|&lt;01|Female|NEW_INFECTIONS_SUBNAT.T2|CY2026Q3</v>
      </c>
    </row>
    <row r="7829" spans="4:18" x14ac:dyDescent="0.2">
      <c r="D7829" t="s">
        <v>53</v>
      </c>
      <c r="E7829" t="s">
        <v>54</v>
      </c>
      <c r="F7829" t="s">
        <v>55</v>
      </c>
      <c r="G7829" t="s">
        <v>279</v>
      </c>
      <c r="H7829" t="s">
        <v>279</v>
      </c>
      <c r="I7829" t="s">
        <v>33</v>
      </c>
      <c r="J7829" t="s">
        <v>34</v>
      </c>
      <c r="K7829" t="s">
        <v>30</v>
      </c>
      <c r="L7829" t="s">
        <v>31</v>
      </c>
      <c r="M7829" t="s">
        <v>277</v>
      </c>
      <c r="N7829">
        <v>2</v>
      </c>
      <c r="O7829">
        <v>1.6199643E-2</v>
      </c>
      <c r="P7829">
        <v>4.2214060999999997E-2</v>
      </c>
      <c r="Q7829" t="str">
        <f t="shared" si="244"/>
        <v>01-09</v>
      </c>
      <c r="R7829" t="str">
        <f t="shared" si="245"/>
        <v>[cPtvxaZqXIH]|01-09|Female|NEW_INFECTIONS_SUBNAT.T2|CY2026Q3</v>
      </c>
    </row>
    <row r="7830" spans="4:18" x14ac:dyDescent="0.2">
      <c r="D7830" t="s">
        <v>53</v>
      </c>
      <c r="E7830" t="s">
        <v>54</v>
      </c>
      <c r="F7830" t="s">
        <v>55</v>
      </c>
      <c r="G7830" t="s">
        <v>279</v>
      </c>
      <c r="H7830" t="s">
        <v>279</v>
      </c>
      <c r="I7830" t="s">
        <v>36</v>
      </c>
      <c r="J7830" t="s">
        <v>37</v>
      </c>
      <c r="K7830" t="s">
        <v>30</v>
      </c>
      <c r="L7830" t="s">
        <v>31</v>
      </c>
      <c r="M7830" t="s">
        <v>277</v>
      </c>
      <c r="N7830">
        <v>0</v>
      </c>
      <c r="O7830">
        <v>0</v>
      </c>
      <c r="P7830">
        <v>4.2214060999999997E-2</v>
      </c>
      <c r="Q7830" t="str">
        <f t="shared" si="244"/>
        <v>10-14</v>
      </c>
      <c r="R7830" t="str">
        <f t="shared" si="245"/>
        <v>[cPtvxaZqXIH]|10-14|Female|NEW_INFECTIONS_SUBNAT.T2|CY2026Q3</v>
      </c>
    </row>
    <row r="7831" spans="4:18" x14ac:dyDescent="0.2">
      <c r="D7831" t="s">
        <v>53</v>
      </c>
      <c r="E7831" t="s">
        <v>54</v>
      </c>
      <c r="F7831" t="s">
        <v>55</v>
      </c>
      <c r="G7831" t="s">
        <v>279</v>
      </c>
      <c r="H7831" t="s">
        <v>279</v>
      </c>
      <c r="I7831" t="s">
        <v>38</v>
      </c>
      <c r="J7831" t="s">
        <v>39</v>
      </c>
      <c r="K7831" t="s">
        <v>30</v>
      </c>
      <c r="L7831" t="s">
        <v>31</v>
      </c>
      <c r="M7831" t="s">
        <v>277</v>
      </c>
      <c r="N7831">
        <v>48</v>
      </c>
      <c r="O7831">
        <v>4.6479901999999997E-2</v>
      </c>
      <c r="P7831">
        <v>4.2214060999999997E-2</v>
      </c>
      <c r="Q7831" t="str">
        <f t="shared" si="244"/>
        <v>15-24</v>
      </c>
      <c r="R7831" t="str">
        <f t="shared" si="245"/>
        <v>[cPtvxaZqXIH]|15-24|Female|NEW_INFECTIONS_SUBNAT.T2|CY2026Q3</v>
      </c>
    </row>
    <row r="7832" spans="4:18" x14ac:dyDescent="0.2">
      <c r="D7832" t="s">
        <v>53</v>
      </c>
      <c r="E7832" t="s">
        <v>54</v>
      </c>
      <c r="F7832" t="s">
        <v>55</v>
      </c>
      <c r="G7832" t="s">
        <v>279</v>
      </c>
      <c r="H7832" t="s">
        <v>279</v>
      </c>
      <c r="I7832" t="s">
        <v>41</v>
      </c>
      <c r="J7832" t="s">
        <v>42</v>
      </c>
      <c r="K7832" t="s">
        <v>30</v>
      </c>
      <c r="L7832" t="s">
        <v>31</v>
      </c>
      <c r="M7832" t="s">
        <v>277</v>
      </c>
      <c r="N7832">
        <v>46</v>
      </c>
      <c r="O7832">
        <v>4.5341023000000001E-2</v>
      </c>
      <c r="P7832">
        <v>4.2214060999999997E-2</v>
      </c>
      <c r="Q7832" t="str">
        <f t="shared" si="244"/>
        <v>25-34</v>
      </c>
      <c r="R7832" t="str">
        <f t="shared" si="245"/>
        <v>[cPtvxaZqXIH]|25-34|Female|NEW_INFECTIONS_SUBNAT.T2|CY2026Q3</v>
      </c>
    </row>
    <row r="7833" spans="4:18" x14ac:dyDescent="0.2">
      <c r="D7833" t="s">
        <v>53</v>
      </c>
      <c r="E7833" t="s">
        <v>54</v>
      </c>
      <c r="F7833" t="s">
        <v>55</v>
      </c>
      <c r="G7833" t="s">
        <v>279</v>
      </c>
      <c r="H7833" t="s">
        <v>279</v>
      </c>
      <c r="I7833" t="s">
        <v>43</v>
      </c>
      <c r="J7833" t="s">
        <v>44</v>
      </c>
      <c r="K7833" t="s">
        <v>30</v>
      </c>
      <c r="L7833" t="s">
        <v>31</v>
      </c>
      <c r="M7833" t="s">
        <v>277</v>
      </c>
      <c r="N7833">
        <v>23</v>
      </c>
      <c r="O7833">
        <v>4.2682725999999997E-2</v>
      </c>
      <c r="P7833">
        <v>4.2214060999999997E-2</v>
      </c>
      <c r="Q7833" t="str">
        <f t="shared" si="244"/>
        <v>35-49</v>
      </c>
      <c r="R7833" t="str">
        <f t="shared" si="245"/>
        <v>[cPtvxaZqXIH]|35-49|Female|NEW_INFECTIONS_SUBNAT.T2|CY2026Q3</v>
      </c>
    </row>
    <row r="7834" spans="4:18" x14ac:dyDescent="0.2">
      <c r="D7834" t="s">
        <v>53</v>
      </c>
      <c r="E7834" t="s">
        <v>54</v>
      </c>
      <c r="F7834" t="s">
        <v>55</v>
      </c>
      <c r="G7834" t="s">
        <v>279</v>
      </c>
      <c r="H7834" t="s">
        <v>279</v>
      </c>
      <c r="I7834" t="s">
        <v>45</v>
      </c>
      <c r="J7834" t="s">
        <v>46</v>
      </c>
      <c r="K7834" t="s">
        <v>30</v>
      </c>
      <c r="L7834" t="s">
        <v>31</v>
      </c>
      <c r="M7834" t="s">
        <v>277</v>
      </c>
      <c r="N7834">
        <v>4</v>
      </c>
      <c r="O7834">
        <v>4.4323135E-2</v>
      </c>
      <c r="P7834">
        <v>4.2214060999999997E-2</v>
      </c>
      <c r="Q7834" t="str">
        <f t="shared" si="244"/>
        <v>50+</v>
      </c>
      <c r="R7834" t="str">
        <f t="shared" si="245"/>
        <v>[cPtvxaZqXIH]|50+|Female|NEW_INFECTIONS_SUBNAT.T2|CY2026Q3</v>
      </c>
    </row>
    <row r="7835" spans="4:18" x14ac:dyDescent="0.2">
      <c r="D7835" t="s">
        <v>53</v>
      </c>
      <c r="E7835" t="s">
        <v>54</v>
      </c>
      <c r="F7835" t="s">
        <v>55</v>
      </c>
      <c r="G7835" t="s">
        <v>279</v>
      </c>
      <c r="H7835" t="s">
        <v>279</v>
      </c>
      <c r="I7835" t="s">
        <v>28</v>
      </c>
      <c r="J7835" t="s">
        <v>29</v>
      </c>
      <c r="K7835" t="s">
        <v>48</v>
      </c>
      <c r="L7835" t="s">
        <v>49</v>
      </c>
      <c r="M7835" t="s">
        <v>277</v>
      </c>
      <c r="N7835">
        <v>10</v>
      </c>
      <c r="O7835">
        <v>3.2399463000000003E-2</v>
      </c>
      <c r="P7835">
        <v>4.2214060999999997E-2</v>
      </c>
      <c r="Q7835" t="str">
        <f t="shared" si="244"/>
        <v>&lt;01</v>
      </c>
      <c r="R7835" t="str">
        <f t="shared" si="245"/>
        <v>[cPtvxaZqXIH]|&lt;01|Male|NEW_INFECTIONS_SUBNAT.T2|CY2026Q3</v>
      </c>
    </row>
    <row r="7836" spans="4:18" x14ac:dyDescent="0.2">
      <c r="D7836" t="s">
        <v>53</v>
      </c>
      <c r="E7836" t="s">
        <v>54</v>
      </c>
      <c r="F7836" t="s">
        <v>55</v>
      </c>
      <c r="G7836" t="s">
        <v>279</v>
      </c>
      <c r="H7836" t="s">
        <v>279</v>
      </c>
      <c r="I7836" t="s">
        <v>33</v>
      </c>
      <c r="J7836" t="s">
        <v>34</v>
      </c>
      <c r="K7836" t="s">
        <v>48</v>
      </c>
      <c r="L7836" t="s">
        <v>49</v>
      </c>
      <c r="M7836" t="s">
        <v>277</v>
      </c>
      <c r="N7836">
        <v>2</v>
      </c>
      <c r="O7836">
        <v>1.6199732000000001E-2</v>
      </c>
      <c r="P7836">
        <v>4.2214060999999997E-2</v>
      </c>
      <c r="Q7836" t="str">
        <f t="shared" si="244"/>
        <v>01-09</v>
      </c>
      <c r="R7836" t="str">
        <f t="shared" si="245"/>
        <v>[cPtvxaZqXIH]|01-09|Male|NEW_INFECTIONS_SUBNAT.T2|CY2026Q3</v>
      </c>
    </row>
    <row r="7837" spans="4:18" x14ac:dyDescent="0.2">
      <c r="D7837" t="s">
        <v>53</v>
      </c>
      <c r="E7837" t="s">
        <v>54</v>
      </c>
      <c r="F7837" t="s">
        <v>55</v>
      </c>
      <c r="G7837" t="s">
        <v>279</v>
      </c>
      <c r="H7837" t="s">
        <v>279</v>
      </c>
      <c r="I7837" t="s">
        <v>36</v>
      </c>
      <c r="J7837" t="s">
        <v>37</v>
      </c>
      <c r="K7837" t="s">
        <v>48</v>
      </c>
      <c r="L7837" t="s">
        <v>49</v>
      </c>
      <c r="M7837" t="s">
        <v>277</v>
      </c>
      <c r="N7837">
        <v>0</v>
      </c>
      <c r="O7837">
        <v>0</v>
      </c>
      <c r="P7837">
        <v>4.2214060999999997E-2</v>
      </c>
      <c r="Q7837" t="str">
        <f t="shared" si="244"/>
        <v>10-14</v>
      </c>
      <c r="R7837" t="str">
        <f t="shared" si="245"/>
        <v>[cPtvxaZqXIH]|10-14|Male|NEW_INFECTIONS_SUBNAT.T2|CY2026Q3</v>
      </c>
    </row>
    <row r="7838" spans="4:18" x14ac:dyDescent="0.2">
      <c r="D7838" t="s">
        <v>53</v>
      </c>
      <c r="E7838" t="s">
        <v>54</v>
      </c>
      <c r="F7838" t="s">
        <v>55</v>
      </c>
      <c r="G7838" t="s">
        <v>279</v>
      </c>
      <c r="H7838" t="s">
        <v>279</v>
      </c>
      <c r="I7838" t="s">
        <v>38</v>
      </c>
      <c r="J7838" t="s">
        <v>39</v>
      </c>
      <c r="K7838" t="s">
        <v>48</v>
      </c>
      <c r="L7838" t="s">
        <v>49</v>
      </c>
      <c r="M7838" t="s">
        <v>277</v>
      </c>
      <c r="N7838">
        <v>7</v>
      </c>
      <c r="O7838">
        <v>4.6666353000000001E-2</v>
      </c>
      <c r="P7838">
        <v>4.2214060999999997E-2</v>
      </c>
      <c r="Q7838" t="str">
        <f t="shared" si="244"/>
        <v>15-24</v>
      </c>
      <c r="R7838" t="str">
        <f t="shared" si="245"/>
        <v>[cPtvxaZqXIH]|15-24|Male|NEW_INFECTIONS_SUBNAT.T2|CY2026Q3</v>
      </c>
    </row>
    <row r="7839" spans="4:18" x14ac:dyDescent="0.2">
      <c r="D7839" t="s">
        <v>53</v>
      </c>
      <c r="E7839" t="s">
        <v>54</v>
      </c>
      <c r="F7839" t="s">
        <v>55</v>
      </c>
      <c r="G7839" t="s">
        <v>279</v>
      </c>
      <c r="H7839" t="s">
        <v>279</v>
      </c>
      <c r="I7839" t="s">
        <v>41</v>
      </c>
      <c r="J7839" t="s">
        <v>42</v>
      </c>
      <c r="K7839" t="s">
        <v>48</v>
      </c>
      <c r="L7839" t="s">
        <v>49</v>
      </c>
      <c r="M7839" t="s">
        <v>277</v>
      </c>
      <c r="N7839">
        <v>26</v>
      </c>
      <c r="O7839">
        <v>4.6157902000000001E-2</v>
      </c>
      <c r="P7839">
        <v>4.2214060999999997E-2</v>
      </c>
      <c r="Q7839" t="str">
        <f t="shared" si="244"/>
        <v>25-34</v>
      </c>
      <c r="R7839" t="str">
        <f t="shared" si="245"/>
        <v>[cPtvxaZqXIH]|25-34|Male|NEW_INFECTIONS_SUBNAT.T2|CY2026Q3</v>
      </c>
    </row>
    <row r="7840" spans="4:18" x14ac:dyDescent="0.2">
      <c r="D7840" t="s">
        <v>53</v>
      </c>
      <c r="E7840" t="s">
        <v>54</v>
      </c>
      <c r="F7840" t="s">
        <v>55</v>
      </c>
      <c r="G7840" t="s">
        <v>279</v>
      </c>
      <c r="H7840" t="s">
        <v>279</v>
      </c>
      <c r="I7840" t="s">
        <v>43</v>
      </c>
      <c r="J7840" t="s">
        <v>44</v>
      </c>
      <c r="K7840" t="s">
        <v>48</v>
      </c>
      <c r="L7840" t="s">
        <v>49</v>
      </c>
      <c r="M7840" t="s">
        <v>277</v>
      </c>
      <c r="N7840">
        <v>26</v>
      </c>
      <c r="O7840">
        <v>4.4281387999999998E-2</v>
      </c>
      <c r="P7840">
        <v>4.2214060999999997E-2</v>
      </c>
      <c r="Q7840" t="str">
        <f t="shared" si="244"/>
        <v>35-49</v>
      </c>
      <c r="R7840" t="str">
        <f t="shared" si="245"/>
        <v>[cPtvxaZqXIH]|35-49|Male|NEW_INFECTIONS_SUBNAT.T2|CY2026Q3</v>
      </c>
    </row>
    <row r="7841" spans="4:18" x14ac:dyDescent="0.2">
      <c r="D7841" t="s">
        <v>53</v>
      </c>
      <c r="E7841" t="s">
        <v>54</v>
      </c>
      <c r="F7841" t="s">
        <v>55</v>
      </c>
      <c r="G7841" t="s">
        <v>279</v>
      </c>
      <c r="H7841" t="s">
        <v>279</v>
      </c>
      <c r="I7841" t="s">
        <v>45</v>
      </c>
      <c r="J7841" t="s">
        <v>46</v>
      </c>
      <c r="K7841" t="s">
        <v>48</v>
      </c>
      <c r="L7841" t="s">
        <v>49</v>
      </c>
      <c r="M7841" t="s">
        <v>277</v>
      </c>
      <c r="N7841">
        <v>7</v>
      </c>
      <c r="O7841">
        <v>4.4169818999999999E-2</v>
      </c>
      <c r="P7841">
        <v>4.2214060999999997E-2</v>
      </c>
      <c r="Q7841" t="str">
        <f t="shared" si="244"/>
        <v>50+</v>
      </c>
      <c r="R7841" t="str">
        <f t="shared" si="245"/>
        <v>[cPtvxaZqXIH]|50+|Male|NEW_INFECTIONS_SUBNAT.T2|CY2026Q3</v>
      </c>
    </row>
    <row r="7842" spans="4:18" x14ac:dyDescent="0.2">
      <c r="D7842" t="s">
        <v>60</v>
      </c>
      <c r="E7842" t="s">
        <v>61</v>
      </c>
      <c r="F7842" t="s">
        <v>62</v>
      </c>
      <c r="G7842" t="s">
        <v>279</v>
      </c>
      <c r="H7842" t="s">
        <v>279</v>
      </c>
      <c r="I7842" t="s">
        <v>28</v>
      </c>
      <c r="J7842" t="s">
        <v>29</v>
      </c>
      <c r="K7842" t="s">
        <v>30</v>
      </c>
      <c r="L7842" t="s">
        <v>31</v>
      </c>
      <c r="M7842" t="s">
        <v>277</v>
      </c>
      <c r="N7842">
        <v>8</v>
      </c>
      <c r="O7842">
        <v>8.2217313E-2</v>
      </c>
      <c r="P7842">
        <v>8.4529418999999995E-2</v>
      </c>
      <c r="Q7842" t="str">
        <f t="shared" si="244"/>
        <v>&lt;01</v>
      </c>
      <c r="R7842" t="str">
        <f t="shared" si="245"/>
        <v>[E7zpfyBt7Tw]|&lt;01|Female|NEW_INFECTIONS_SUBNAT.T2|CY2026Q3</v>
      </c>
    </row>
    <row r="7843" spans="4:18" x14ac:dyDescent="0.2">
      <c r="D7843" t="s">
        <v>60</v>
      </c>
      <c r="E7843" t="s">
        <v>61</v>
      </c>
      <c r="F7843" t="s">
        <v>62</v>
      </c>
      <c r="G7843" t="s">
        <v>279</v>
      </c>
      <c r="H7843" t="s">
        <v>279</v>
      </c>
      <c r="I7843" t="s">
        <v>33</v>
      </c>
      <c r="J7843" t="s">
        <v>34</v>
      </c>
      <c r="K7843" t="s">
        <v>30</v>
      </c>
      <c r="L7843" t="s">
        <v>31</v>
      </c>
      <c r="M7843" t="s">
        <v>277</v>
      </c>
      <c r="N7843">
        <v>2</v>
      </c>
      <c r="O7843">
        <v>4.1108657E-2</v>
      </c>
      <c r="P7843">
        <v>8.4529418999999995E-2</v>
      </c>
      <c r="Q7843" t="str">
        <f t="shared" si="244"/>
        <v>01-09</v>
      </c>
      <c r="R7843" t="str">
        <f t="shared" si="245"/>
        <v>[E7zpfyBt7Tw]|01-09|Female|NEW_INFECTIONS_SUBNAT.T2|CY2026Q3</v>
      </c>
    </row>
    <row r="7844" spans="4:18" x14ac:dyDescent="0.2">
      <c r="D7844" t="s">
        <v>60</v>
      </c>
      <c r="E7844" t="s">
        <v>61</v>
      </c>
      <c r="F7844" t="s">
        <v>62</v>
      </c>
      <c r="G7844" t="s">
        <v>279</v>
      </c>
      <c r="H7844" t="s">
        <v>279</v>
      </c>
      <c r="I7844" t="s">
        <v>36</v>
      </c>
      <c r="J7844" t="s">
        <v>37</v>
      </c>
      <c r="K7844" t="s">
        <v>30</v>
      </c>
      <c r="L7844" t="s">
        <v>31</v>
      </c>
      <c r="M7844" t="s">
        <v>277</v>
      </c>
      <c r="N7844">
        <v>0</v>
      </c>
      <c r="O7844">
        <v>0</v>
      </c>
      <c r="P7844">
        <v>8.4529418999999995E-2</v>
      </c>
      <c r="Q7844" t="str">
        <f t="shared" si="244"/>
        <v>10-14</v>
      </c>
      <c r="R7844" t="str">
        <f t="shared" si="245"/>
        <v>[E7zpfyBt7Tw]|10-14|Female|NEW_INFECTIONS_SUBNAT.T2|CY2026Q3</v>
      </c>
    </row>
    <row r="7845" spans="4:18" x14ac:dyDescent="0.2">
      <c r="D7845" t="s">
        <v>60</v>
      </c>
      <c r="E7845" t="s">
        <v>61</v>
      </c>
      <c r="F7845" t="s">
        <v>62</v>
      </c>
      <c r="G7845" t="s">
        <v>279</v>
      </c>
      <c r="H7845" t="s">
        <v>279</v>
      </c>
      <c r="I7845" t="s">
        <v>38</v>
      </c>
      <c r="J7845" t="s">
        <v>39</v>
      </c>
      <c r="K7845" t="s">
        <v>30</v>
      </c>
      <c r="L7845" t="s">
        <v>31</v>
      </c>
      <c r="M7845" t="s">
        <v>277</v>
      </c>
      <c r="N7845">
        <v>41</v>
      </c>
      <c r="O7845">
        <v>8.9877194999999993E-2</v>
      </c>
      <c r="P7845">
        <v>8.4529418999999995E-2</v>
      </c>
      <c r="Q7845" t="str">
        <f t="shared" si="244"/>
        <v>15-24</v>
      </c>
      <c r="R7845" t="str">
        <f t="shared" si="245"/>
        <v>[E7zpfyBt7Tw]|15-24|Female|NEW_INFECTIONS_SUBNAT.T2|CY2026Q3</v>
      </c>
    </row>
    <row r="7846" spans="4:18" x14ac:dyDescent="0.2">
      <c r="D7846" t="s">
        <v>60</v>
      </c>
      <c r="E7846" t="s">
        <v>61</v>
      </c>
      <c r="F7846" t="s">
        <v>62</v>
      </c>
      <c r="G7846" t="s">
        <v>279</v>
      </c>
      <c r="H7846" t="s">
        <v>279</v>
      </c>
      <c r="I7846" t="s">
        <v>41</v>
      </c>
      <c r="J7846" t="s">
        <v>42</v>
      </c>
      <c r="K7846" t="s">
        <v>30</v>
      </c>
      <c r="L7846" t="s">
        <v>31</v>
      </c>
      <c r="M7846" t="s">
        <v>277</v>
      </c>
      <c r="N7846">
        <v>36</v>
      </c>
      <c r="O7846">
        <v>8.6339226000000005E-2</v>
      </c>
      <c r="P7846">
        <v>8.4529418999999995E-2</v>
      </c>
      <c r="Q7846" t="str">
        <f t="shared" si="244"/>
        <v>25-34</v>
      </c>
      <c r="R7846" t="str">
        <f t="shared" si="245"/>
        <v>[E7zpfyBt7Tw]|25-34|Female|NEW_INFECTIONS_SUBNAT.T2|CY2026Q3</v>
      </c>
    </row>
    <row r="7847" spans="4:18" x14ac:dyDescent="0.2">
      <c r="D7847" t="s">
        <v>60</v>
      </c>
      <c r="E7847" t="s">
        <v>61</v>
      </c>
      <c r="F7847" t="s">
        <v>62</v>
      </c>
      <c r="G7847" t="s">
        <v>279</v>
      </c>
      <c r="H7847" t="s">
        <v>279</v>
      </c>
      <c r="I7847" t="s">
        <v>43</v>
      </c>
      <c r="J7847" t="s">
        <v>44</v>
      </c>
      <c r="K7847" t="s">
        <v>30</v>
      </c>
      <c r="L7847" t="s">
        <v>31</v>
      </c>
      <c r="M7847" t="s">
        <v>277</v>
      </c>
      <c r="N7847">
        <v>19</v>
      </c>
      <c r="O7847">
        <v>7.8248814999999999E-2</v>
      </c>
      <c r="P7847">
        <v>8.4529418999999995E-2</v>
      </c>
      <c r="Q7847" t="str">
        <f t="shared" si="244"/>
        <v>35-49</v>
      </c>
      <c r="R7847" t="str">
        <f t="shared" si="245"/>
        <v>[E7zpfyBt7Tw]|35-49|Female|NEW_INFECTIONS_SUBNAT.T2|CY2026Q3</v>
      </c>
    </row>
    <row r="7848" spans="4:18" x14ac:dyDescent="0.2">
      <c r="D7848" t="s">
        <v>60</v>
      </c>
      <c r="E7848" t="s">
        <v>61</v>
      </c>
      <c r="F7848" t="s">
        <v>62</v>
      </c>
      <c r="G7848" t="s">
        <v>279</v>
      </c>
      <c r="H7848" t="s">
        <v>279</v>
      </c>
      <c r="I7848" t="s">
        <v>45</v>
      </c>
      <c r="J7848" t="s">
        <v>46</v>
      </c>
      <c r="K7848" t="s">
        <v>30</v>
      </c>
      <c r="L7848" t="s">
        <v>31</v>
      </c>
      <c r="M7848" t="s">
        <v>277</v>
      </c>
      <c r="N7848">
        <v>4</v>
      </c>
      <c r="O7848">
        <v>7.8613116999999996E-2</v>
      </c>
      <c r="P7848">
        <v>8.4529418999999995E-2</v>
      </c>
      <c r="Q7848" t="str">
        <f t="shared" si="244"/>
        <v>50+</v>
      </c>
      <c r="R7848" t="str">
        <f t="shared" si="245"/>
        <v>[E7zpfyBt7Tw]|50+|Female|NEW_INFECTIONS_SUBNAT.T2|CY2026Q3</v>
      </c>
    </row>
    <row r="7849" spans="4:18" x14ac:dyDescent="0.2">
      <c r="D7849" t="s">
        <v>60</v>
      </c>
      <c r="E7849" t="s">
        <v>61</v>
      </c>
      <c r="F7849" t="s">
        <v>62</v>
      </c>
      <c r="G7849" t="s">
        <v>279</v>
      </c>
      <c r="H7849" t="s">
        <v>279</v>
      </c>
      <c r="I7849" t="s">
        <v>28</v>
      </c>
      <c r="J7849" t="s">
        <v>29</v>
      </c>
      <c r="K7849" t="s">
        <v>48</v>
      </c>
      <c r="L7849" t="s">
        <v>49</v>
      </c>
      <c r="M7849" t="s">
        <v>277</v>
      </c>
      <c r="N7849">
        <v>8</v>
      </c>
      <c r="O7849">
        <v>8.2222033E-2</v>
      </c>
      <c r="P7849">
        <v>8.4529418999999995E-2</v>
      </c>
      <c r="Q7849" t="str">
        <f t="shared" si="244"/>
        <v>&lt;01</v>
      </c>
      <c r="R7849" t="str">
        <f t="shared" si="245"/>
        <v>[E7zpfyBt7Tw]|&lt;01|Male|NEW_INFECTIONS_SUBNAT.T2|CY2026Q3</v>
      </c>
    </row>
    <row r="7850" spans="4:18" x14ac:dyDescent="0.2">
      <c r="D7850" t="s">
        <v>60</v>
      </c>
      <c r="E7850" t="s">
        <v>61</v>
      </c>
      <c r="F7850" t="s">
        <v>62</v>
      </c>
      <c r="G7850" t="s">
        <v>279</v>
      </c>
      <c r="H7850" t="s">
        <v>279</v>
      </c>
      <c r="I7850" t="s">
        <v>33</v>
      </c>
      <c r="J7850" t="s">
        <v>34</v>
      </c>
      <c r="K7850" t="s">
        <v>48</v>
      </c>
      <c r="L7850" t="s">
        <v>49</v>
      </c>
      <c r="M7850" t="s">
        <v>277</v>
      </c>
      <c r="N7850">
        <v>2</v>
      </c>
      <c r="O7850">
        <v>4.1111016E-2</v>
      </c>
      <c r="P7850">
        <v>8.4529418999999995E-2</v>
      </c>
      <c r="Q7850" t="str">
        <f t="shared" si="244"/>
        <v>01-09</v>
      </c>
      <c r="R7850" t="str">
        <f t="shared" si="245"/>
        <v>[E7zpfyBt7Tw]|01-09|Male|NEW_INFECTIONS_SUBNAT.T2|CY2026Q3</v>
      </c>
    </row>
    <row r="7851" spans="4:18" x14ac:dyDescent="0.2">
      <c r="D7851" t="s">
        <v>60</v>
      </c>
      <c r="E7851" t="s">
        <v>61</v>
      </c>
      <c r="F7851" t="s">
        <v>62</v>
      </c>
      <c r="G7851" t="s">
        <v>279</v>
      </c>
      <c r="H7851" t="s">
        <v>279</v>
      </c>
      <c r="I7851" t="s">
        <v>36</v>
      </c>
      <c r="J7851" t="s">
        <v>37</v>
      </c>
      <c r="K7851" t="s">
        <v>48</v>
      </c>
      <c r="L7851" t="s">
        <v>49</v>
      </c>
      <c r="M7851" t="s">
        <v>277</v>
      </c>
      <c r="N7851">
        <v>0</v>
      </c>
      <c r="O7851">
        <v>0</v>
      </c>
      <c r="P7851">
        <v>8.4529418999999995E-2</v>
      </c>
      <c r="Q7851" t="str">
        <f t="shared" si="244"/>
        <v>10-14</v>
      </c>
      <c r="R7851" t="str">
        <f t="shared" si="245"/>
        <v>[E7zpfyBt7Tw]|10-14|Male|NEW_INFECTIONS_SUBNAT.T2|CY2026Q3</v>
      </c>
    </row>
    <row r="7852" spans="4:18" x14ac:dyDescent="0.2">
      <c r="D7852" t="s">
        <v>60</v>
      </c>
      <c r="E7852" t="s">
        <v>61</v>
      </c>
      <c r="F7852" t="s">
        <v>62</v>
      </c>
      <c r="G7852" t="s">
        <v>279</v>
      </c>
      <c r="H7852" t="s">
        <v>279</v>
      </c>
      <c r="I7852" t="s">
        <v>38</v>
      </c>
      <c r="J7852" t="s">
        <v>39</v>
      </c>
      <c r="K7852" t="s">
        <v>48</v>
      </c>
      <c r="L7852" t="s">
        <v>49</v>
      </c>
      <c r="M7852" t="s">
        <v>277</v>
      </c>
      <c r="N7852">
        <v>7</v>
      </c>
      <c r="O7852">
        <v>9.0484645000000002E-2</v>
      </c>
      <c r="P7852">
        <v>8.4529418999999995E-2</v>
      </c>
      <c r="Q7852" t="str">
        <f t="shared" si="244"/>
        <v>15-24</v>
      </c>
      <c r="R7852" t="str">
        <f t="shared" si="245"/>
        <v>[E7zpfyBt7Tw]|15-24|Male|NEW_INFECTIONS_SUBNAT.T2|CY2026Q3</v>
      </c>
    </row>
    <row r="7853" spans="4:18" x14ac:dyDescent="0.2">
      <c r="D7853" t="s">
        <v>60</v>
      </c>
      <c r="E7853" t="s">
        <v>61</v>
      </c>
      <c r="F7853" t="s">
        <v>62</v>
      </c>
      <c r="G7853" t="s">
        <v>279</v>
      </c>
      <c r="H7853" t="s">
        <v>279</v>
      </c>
      <c r="I7853" t="s">
        <v>41</v>
      </c>
      <c r="J7853" t="s">
        <v>42</v>
      </c>
      <c r="K7853" t="s">
        <v>48</v>
      </c>
      <c r="L7853" t="s">
        <v>49</v>
      </c>
      <c r="M7853" t="s">
        <v>277</v>
      </c>
      <c r="N7853">
        <v>21</v>
      </c>
      <c r="O7853">
        <v>8.9086515000000005E-2</v>
      </c>
      <c r="P7853">
        <v>8.4529418999999995E-2</v>
      </c>
      <c r="Q7853" t="str">
        <f t="shared" si="244"/>
        <v>25-34</v>
      </c>
      <c r="R7853" t="str">
        <f t="shared" si="245"/>
        <v>[E7zpfyBt7Tw]|25-34|Male|NEW_INFECTIONS_SUBNAT.T2|CY2026Q3</v>
      </c>
    </row>
    <row r="7854" spans="4:18" x14ac:dyDescent="0.2">
      <c r="D7854" t="s">
        <v>60</v>
      </c>
      <c r="E7854" t="s">
        <v>61</v>
      </c>
      <c r="F7854" t="s">
        <v>62</v>
      </c>
      <c r="G7854" t="s">
        <v>279</v>
      </c>
      <c r="H7854" t="s">
        <v>279</v>
      </c>
      <c r="I7854" t="s">
        <v>43</v>
      </c>
      <c r="J7854" t="s">
        <v>44</v>
      </c>
      <c r="K7854" t="s">
        <v>48</v>
      </c>
      <c r="L7854" t="s">
        <v>49</v>
      </c>
      <c r="M7854" t="s">
        <v>277</v>
      </c>
      <c r="N7854">
        <v>21</v>
      </c>
      <c r="O7854">
        <v>8.3178088999999997E-2</v>
      </c>
      <c r="P7854">
        <v>8.4529418999999995E-2</v>
      </c>
      <c r="Q7854" t="str">
        <f t="shared" si="244"/>
        <v>35-49</v>
      </c>
      <c r="R7854" t="str">
        <f t="shared" si="245"/>
        <v>[E7zpfyBt7Tw]|35-49|Male|NEW_INFECTIONS_SUBNAT.T2|CY2026Q3</v>
      </c>
    </row>
    <row r="7855" spans="4:18" x14ac:dyDescent="0.2">
      <c r="D7855" t="s">
        <v>60</v>
      </c>
      <c r="E7855" t="s">
        <v>61</v>
      </c>
      <c r="F7855" t="s">
        <v>62</v>
      </c>
      <c r="G7855" t="s">
        <v>279</v>
      </c>
      <c r="H7855" t="s">
        <v>279</v>
      </c>
      <c r="I7855" t="s">
        <v>45</v>
      </c>
      <c r="J7855" t="s">
        <v>46</v>
      </c>
      <c r="K7855" t="s">
        <v>48</v>
      </c>
      <c r="L7855" t="s">
        <v>49</v>
      </c>
      <c r="M7855" t="s">
        <v>277</v>
      </c>
      <c r="N7855">
        <v>7</v>
      </c>
      <c r="O7855">
        <v>7.8263971000000002E-2</v>
      </c>
      <c r="P7855">
        <v>8.4529418999999995E-2</v>
      </c>
      <c r="Q7855" t="str">
        <f t="shared" si="244"/>
        <v>50+</v>
      </c>
      <c r="R7855" t="str">
        <f t="shared" si="245"/>
        <v>[E7zpfyBt7Tw]|50+|Male|NEW_INFECTIONS_SUBNAT.T2|CY2026Q3</v>
      </c>
    </row>
    <row r="7856" spans="4:18" x14ac:dyDescent="0.2">
      <c r="D7856" t="s">
        <v>63</v>
      </c>
      <c r="E7856" t="s">
        <v>64</v>
      </c>
      <c r="F7856" t="s">
        <v>65</v>
      </c>
      <c r="G7856" t="s">
        <v>279</v>
      </c>
      <c r="H7856" t="s">
        <v>279</v>
      </c>
      <c r="I7856" t="s">
        <v>28</v>
      </c>
      <c r="J7856" t="s">
        <v>29</v>
      </c>
      <c r="K7856" t="s">
        <v>30</v>
      </c>
      <c r="L7856" t="s">
        <v>31</v>
      </c>
      <c r="M7856" t="s">
        <v>277</v>
      </c>
      <c r="N7856">
        <v>5</v>
      </c>
      <c r="O7856">
        <v>7.6555597000000003E-2</v>
      </c>
      <c r="P7856">
        <v>8.0721336000000005E-2</v>
      </c>
      <c r="Q7856" t="str">
        <f t="shared" si="244"/>
        <v>&lt;01</v>
      </c>
      <c r="R7856" t="str">
        <f t="shared" si="245"/>
        <v>[lPTyjLi4w3d]|&lt;01|Female|NEW_INFECTIONS_SUBNAT.T2|CY2026Q3</v>
      </c>
    </row>
    <row r="7857" spans="4:18" x14ac:dyDescent="0.2">
      <c r="D7857" t="s">
        <v>63</v>
      </c>
      <c r="E7857" t="s">
        <v>64</v>
      </c>
      <c r="F7857" t="s">
        <v>65</v>
      </c>
      <c r="G7857" t="s">
        <v>279</v>
      </c>
      <c r="H7857" t="s">
        <v>279</v>
      </c>
      <c r="I7857" t="s">
        <v>33</v>
      </c>
      <c r="J7857" t="s">
        <v>34</v>
      </c>
      <c r="K7857" t="s">
        <v>30</v>
      </c>
      <c r="L7857" t="s">
        <v>31</v>
      </c>
      <c r="M7857" t="s">
        <v>277</v>
      </c>
      <c r="N7857">
        <v>1</v>
      </c>
      <c r="O7857">
        <v>3.8277798000000002E-2</v>
      </c>
      <c r="P7857">
        <v>8.0721336000000005E-2</v>
      </c>
      <c r="Q7857" t="str">
        <f t="shared" si="244"/>
        <v>01-09</v>
      </c>
      <c r="R7857" t="str">
        <f t="shared" si="245"/>
        <v>[lPTyjLi4w3d]|01-09|Female|NEW_INFECTIONS_SUBNAT.T2|CY2026Q3</v>
      </c>
    </row>
    <row r="7858" spans="4:18" x14ac:dyDescent="0.2">
      <c r="D7858" t="s">
        <v>63</v>
      </c>
      <c r="E7858" t="s">
        <v>64</v>
      </c>
      <c r="F7858" t="s">
        <v>65</v>
      </c>
      <c r="G7858" t="s">
        <v>279</v>
      </c>
      <c r="H7858" t="s">
        <v>279</v>
      </c>
      <c r="I7858" t="s">
        <v>36</v>
      </c>
      <c r="J7858" t="s">
        <v>37</v>
      </c>
      <c r="K7858" t="s">
        <v>30</v>
      </c>
      <c r="L7858" t="s">
        <v>31</v>
      </c>
      <c r="M7858" t="s">
        <v>277</v>
      </c>
      <c r="N7858">
        <v>0</v>
      </c>
      <c r="O7858">
        <v>0</v>
      </c>
      <c r="P7858">
        <v>8.0721336000000005E-2</v>
      </c>
      <c r="Q7858" t="str">
        <f t="shared" si="244"/>
        <v>10-14</v>
      </c>
      <c r="R7858" t="str">
        <f t="shared" si="245"/>
        <v>[lPTyjLi4w3d]|10-14|Female|NEW_INFECTIONS_SUBNAT.T2|CY2026Q3</v>
      </c>
    </row>
    <row r="7859" spans="4:18" x14ac:dyDescent="0.2">
      <c r="D7859" t="s">
        <v>63</v>
      </c>
      <c r="E7859" t="s">
        <v>64</v>
      </c>
      <c r="F7859" t="s">
        <v>65</v>
      </c>
      <c r="G7859" t="s">
        <v>279</v>
      </c>
      <c r="H7859" t="s">
        <v>279</v>
      </c>
      <c r="I7859" t="s">
        <v>38</v>
      </c>
      <c r="J7859" t="s">
        <v>39</v>
      </c>
      <c r="K7859" t="s">
        <v>30</v>
      </c>
      <c r="L7859" t="s">
        <v>31</v>
      </c>
      <c r="M7859" t="s">
        <v>277</v>
      </c>
      <c r="N7859">
        <v>24</v>
      </c>
      <c r="O7859">
        <v>8.5237253999999998E-2</v>
      </c>
      <c r="P7859">
        <v>8.0721336000000005E-2</v>
      </c>
      <c r="Q7859" t="str">
        <f t="shared" si="244"/>
        <v>15-24</v>
      </c>
      <c r="R7859" t="str">
        <f t="shared" si="245"/>
        <v>[lPTyjLi4w3d]|15-24|Female|NEW_INFECTIONS_SUBNAT.T2|CY2026Q3</v>
      </c>
    </row>
    <row r="7860" spans="4:18" x14ac:dyDescent="0.2">
      <c r="D7860" t="s">
        <v>63</v>
      </c>
      <c r="E7860" t="s">
        <v>64</v>
      </c>
      <c r="F7860" t="s">
        <v>65</v>
      </c>
      <c r="G7860" t="s">
        <v>279</v>
      </c>
      <c r="H7860" t="s">
        <v>279</v>
      </c>
      <c r="I7860" t="s">
        <v>41</v>
      </c>
      <c r="J7860" t="s">
        <v>42</v>
      </c>
      <c r="K7860" t="s">
        <v>30</v>
      </c>
      <c r="L7860" t="s">
        <v>31</v>
      </c>
      <c r="M7860" t="s">
        <v>277</v>
      </c>
      <c r="N7860">
        <v>23</v>
      </c>
      <c r="O7860">
        <v>8.3153415999999994E-2</v>
      </c>
      <c r="P7860">
        <v>8.0721336000000005E-2</v>
      </c>
      <c r="Q7860" t="str">
        <f t="shared" si="244"/>
        <v>25-34</v>
      </c>
      <c r="R7860" t="str">
        <f t="shared" si="245"/>
        <v>[lPTyjLi4w3d]|25-34|Female|NEW_INFECTIONS_SUBNAT.T2|CY2026Q3</v>
      </c>
    </row>
    <row r="7861" spans="4:18" x14ac:dyDescent="0.2">
      <c r="D7861" t="s">
        <v>63</v>
      </c>
      <c r="E7861" t="s">
        <v>64</v>
      </c>
      <c r="F7861" t="s">
        <v>65</v>
      </c>
      <c r="G7861" t="s">
        <v>279</v>
      </c>
      <c r="H7861" t="s">
        <v>279</v>
      </c>
      <c r="I7861" t="s">
        <v>43</v>
      </c>
      <c r="J7861" t="s">
        <v>44</v>
      </c>
      <c r="K7861" t="s">
        <v>30</v>
      </c>
      <c r="L7861" t="s">
        <v>31</v>
      </c>
      <c r="M7861" t="s">
        <v>277</v>
      </c>
      <c r="N7861">
        <v>12</v>
      </c>
      <c r="O7861">
        <v>7.7368403000000002E-2</v>
      </c>
      <c r="P7861">
        <v>8.0721336000000005E-2</v>
      </c>
      <c r="Q7861" t="str">
        <f t="shared" si="244"/>
        <v>35-49</v>
      </c>
      <c r="R7861" t="str">
        <f t="shared" si="245"/>
        <v>[lPTyjLi4w3d]|35-49|Female|NEW_INFECTIONS_SUBNAT.T2|CY2026Q3</v>
      </c>
    </row>
    <row r="7862" spans="4:18" x14ac:dyDescent="0.2">
      <c r="D7862" t="s">
        <v>63</v>
      </c>
      <c r="E7862" t="s">
        <v>64</v>
      </c>
      <c r="F7862" t="s">
        <v>65</v>
      </c>
      <c r="G7862" t="s">
        <v>279</v>
      </c>
      <c r="H7862" t="s">
        <v>279</v>
      </c>
      <c r="I7862" t="s">
        <v>45</v>
      </c>
      <c r="J7862" t="s">
        <v>46</v>
      </c>
      <c r="K7862" t="s">
        <v>30</v>
      </c>
      <c r="L7862" t="s">
        <v>31</v>
      </c>
      <c r="M7862" t="s">
        <v>277</v>
      </c>
      <c r="N7862">
        <v>2</v>
      </c>
      <c r="O7862">
        <v>7.7123071000000001E-2</v>
      </c>
      <c r="P7862">
        <v>8.0721336000000005E-2</v>
      </c>
      <c r="Q7862" t="str">
        <f t="shared" si="244"/>
        <v>50+</v>
      </c>
      <c r="R7862" t="str">
        <f t="shared" si="245"/>
        <v>[lPTyjLi4w3d]|50+|Female|NEW_INFECTIONS_SUBNAT.T2|CY2026Q3</v>
      </c>
    </row>
    <row r="7863" spans="4:18" x14ac:dyDescent="0.2">
      <c r="D7863" t="s">
        <v>63</v>
      </c>
      <c r="E7863" t="s">
        <v>64</v>
      </c>
      <c r="F7863" t="s">
        <v>65</v>
      </c>
      <c r="G7863" t="s">
        <v>279</v>
      </c>
      <c r="H7863" t="s">
        <v>279</v>
      </c>
      <c r="I7863" t="s">
        <v>28</v>
      </c>
      <c r="J7863" t="s">
        <v>29</v>
      </c>
      <c r="K7863" t="s">
        <v>48</v>
      </c>
      <c r="L7863" t="s">
        <v>49</v>
      </c>
      <c r="M7863" t="s">
        <v>277</v>
      </c>
      <c r="N7863">
        <v>5</v>
      </c>
      <c r="O7863">
        <v>7.6555366E-2</v>
      </c>
      <c r="P7863">
        <v>8.0721336000000005E-2</v>
      </c>
      <c r="Q7863" t="str">
        <f t="shared" si="244"/>
        <v>&lt;01</v>
      </c>
      <c r="R7863" t="str">
        <f t="shared" si="245"/>
        <v>[lPTyjLi4w3d]|&lt;01|Male|NEW_INFECTIONS_SUBNAT.T2|CY2026Q3</v>
      </c>
    </row>
    <row r="7864" spans="4:18" x14ac:dyDescent="0.2">
      <c r="D7864" t="s">
        <v>63</v>
      </c>
      <c r="E7864" t="s">
        <v>64</v>
      </c>
      <c r="F7864" t="s">
        <v>65</v>
      </c>
      <c r="G7864" t="s">
        <v>279</v>
      </c>
      <c r="H7864" t="s">
        <v>279</v>
      </c>
      <c r="I7864" t="s">
        <v>33</v>
      </c>
      <c r="J7864" t="s">
        <v>34</v>
      </c>
      <c r="K7864" t="s">
        <v>48</v>
      </c>
      <c r="L7864" t="s">
        <v>49</v>
      </c>
      <c r="M7864" t="s">
        <v>277</v>
      </c>
      <c r="N7864">
        <v>1</v>
      </c>
      <c r="O7864">
        <v>3.8277683E-2</v>
      </c>
      <c r="P7864">
        <v>8.0721336000000005E-2</v>
      </c>
      <c r="Q7864" t="str">
        <f t="shared" si="244"/>
        <v>01-09</v>
      </c>
      <c r="R7864" t="str">
        <f t="shared" si="245"/>
        <v>[lPTyjLi4w3d]|01-09|Male|NEW_INFECTIONS_SUBNAT.T2|CY2026Q3</v>
      </c>
    </row>
    <row r="7865" spans="4:18" x14ac:dyDescent="0.2">
      <c r="D7865" t="s">
        <v>63</v>
      </c>
      <c r="E7865" t="s">
        <v>64</v>
      </c>
      <c r="F7865" t="s">
        <v>65</v>
      </c>
      <c r="G7865" t="s">
        <v>279</v>
      </c>
      <c r="H7865" t="s">
        <v>279</v>
      </c>
      <c r="I7865" t="s">
        <v>36</v>
      </c>
      <c r="J7865" t="s">
        <v>37</v>
      </c>
      <c r="K7865" t="s">
        <v>48</v>
      </c>
      <c r="L7865" t="s">
        <v>49</v>
      </c>
      <c r="M7865" t="s">
        <v>277</v>
      </c>
      <c r="N7865">
        <v>0</v>
      </c>
      <c r="O7865">
        <v>0</v>
      </c>
      <c r="P7865">
        <v>8.0721336000000005E-2</v>
      </c>
      <c r="Q7865" t="str">
        <f t="shared" si="244"/>
        <v>10-14</v>
      </c>
      <c r="R7865" t="str">
        <f t="shared" si="245"/>
        <v>[lPTyjLi4w3d]|10-14|Male|NEW_INFECTIONS_SUBNAT.T2|CY2026Q3</v>
      </c>
    </row>
    <row r="7866" spans="4:18" x14ac:dyDescent="0.2">
      <c r="D7866" t="s">
        <v>63</v>
      </c>
      <c r="E7866" t="s">
        <v>64</v>
      </c>
      <c r="F7866" t="s">
        <v>65</v>
      </c>
      <c r="G7866" t="s">
        <v>279</v>
      </c>
      <c r="H7866" t="s">
        <v>279</v>
      </c>
      <c r="I7866" t="s">
        <v>38</v>
      </c>
      <c r="J7866" t="s">
        <v>39</v>
      </c>
      <c r="K7866" t="s">
        <v>48</v>
      </c>
      <c r="L7866" t="s">
        <v>49</v>
      </c>
      <c r="M7866" t="s">
        <v>277</v>
      </c>
      <c r="N7866">
        <v>4</v>
      </c>
      <c r="O7866">
        <v>8.5663258000000006E-2</v>
      </c>
      <c r="P7866">
        <v>8.0721336000000005E-2</v>
      </c>
      <c r="Q7866" t="str">
        <f t="shared" si="244"/>
        <v>15-24</v>
      </c>
      <c r="R7866" t="str">
        <f t="shared" si="245"/>
        <v>[lPTyjLi4w3d]|15-24|Male|NEW_INFECTIONS_SUBNAT.T2|CY2026Q3</v>
      </c>
    </row>
    <row r="7867" spans="4:18" x14ac:dyDescent="0.2">
      <c r="D7867" t="s">
        <v>63</v>
      </c>
      <c r="E7867" t="s">
        <v>64</v>
      </c>
      <c r="F7867" t="s">
        <v>65</v>
      </c>
      <c r="G7867" t="s">
        <v>279</v>
      </c>
      <c r="H7867" t="s">
        <v>279</v>
      </c>
      <c r="I7867" t="s">
        <v>41</v>
      </c>
      <c r="J7867" t="s">
        <v>42</v>
      </c>
      <c r="K7867" t="s">
        <v>48</v>
      </c>
      <c r="L7867" t="s">
        <v>49</v>
      </c>
      <c r="M7867" t="s">
        <v>277</v>
      </c>
      <c r="N7867">
        <v>13</v>
      </c>
      <c r="O7867">
        <v>8.4838021E-2</v>
      </c>
      <c r="P7867">
        <v>8.0721336000000005E-2</v>
      </c>
      <c r="Q7867" t="str">
        <f t="shared" si="244"/>
        <v>25-34</v>
      </c>
      <c r="R7867" t="str">
        <f t="shared" si="245"/>
        <v>[lPTyjLi4w3d]|25-34|Male|NEW_INFECTIONS_SUBNAT.T2|CY2026Q3</v>
      </c>
    </row>
    <row r="7868" spans="4:18" x14ac:dyDescent="0.2">
      <c r="D7868" t="s">
        <v>63</v>
      </c>
      <c r="E7868" t="s">
        <v>64</v>
      </c>
      <c r="F7868" t="s">
        <v>65</v>
      </c>
      <c r="G7868" t="s">
        <v>279</v>
      </c>
      <c r="H7868" t="s">
        <v>279</v>
      </c>
      <c r="I7868" t="s">
        <v>43</v>
      </c>
      <c r="J7868" t="s">
        <v>44</v>
      </c>
      <c r="K7868" t="s">
        <v>48</v>
      </c>
      <c r="L7868" t="s">
        <v>49</v>
      </c>
      <c r="M7868" t="s">
        <v>277</v>
      </c>
      <c r="N7868">
        <v>14</v>
      </c>
      <c r="O7868">
        <v>8.1012277999999993E-2</v>
      </c>
      <c r="P7868">
        <v>8.0721336000000005E-2</v>
      </c>
      <c r="Q7868" t="str">
        <f t="shared" si="244"/>
        <v>35-49</v>
      </c>
      <c r="R7868" t="str">
        <f t="shared" si="245"/>
        <v>[lPTyjLi4w3d]|35-49|Male|NEW_INFECTIONS_SUBNAT.T2|CY2026Q3</v>
      </c>
    </row>
    <row r="7869" spans="4:18" x14ac:dyDescent="0.2">
      <c r="D7869" t="s">
        <v>63</v>
      </c>
      <c r="E7869" t="s">
        <v>64</v>
      </c>
      <c r="F7869" t="s">
        <v>65</v>
      </c>
      <c r="G7869" t="s">
        <v>279</v>
      </c>
      <c r="H7869" t="s">
        <v>279</v>
      </c>
      <c r="I7869" t="s">
        <v>45</v>
      </c>
      <c r="J7869" t="s">
        <v>46</v>
      </c>
      <c r="K7869" t="s">
        <v>48</v>
      </c>
      <c r="L7869" t="s">
        <v>49</v>
      </c>
      <c r="M7869" t="s">
        <v>277</v>
      </c>
      <c r="N7869">
        <v>4</v>
      </c>
      <c r="O7869">
        <v>7.7609869999999997E-2</v>
      </c>
      <c r="P7869">
        <v>8.0721336000000005E-2</v>
      </c>
      <c r="Q7869" t="str">
        <f t="shared" si="244"/>
        <v>50+</v>
      </c>
      <c r="R7869" t="str">
        <f t="shared" si="245"/>
        <v>[lPTyjLi4w3d]|50+|Male|NEW_INFECTIONS_SUBNAT.T2|CY2026Q3</v>
      </c>
    </row>
    <row r="7870" spans="4:18" x14ac:dyDescent="0.2">
      <c r="D7870" t="s">
        <v>66</v>
      </c>
      <c r="E7870" t="s">
        <v>67</v>
      </c>
      <c r="F7870" t="s">
        <v>68</v>
      </c>
      <c r="G7870" t="s">
        <v>279</v>
      </c>
      <c r="H7870" t="s">
        <v>279</v>
      </c>
      <c r="I7870" t="s">
        <v>28</v>
      </c>
      <c r="J7870" t="s">
        <v>29</v>
      </c>
      <c r="K7870" t="s">
        <v>30</v>
      </c>
      <c r="L7870" t="s">
        <v>31</v>
      </c>
      <c r="M7870" t="s">
        <v>277</v>
      </c>
      <c r="N7870">
        <v>26</v>
      </c>
      <c r="O7870">
        <v>2.8603638000000001E-2</v>
      </c>
      <c r="P7870">
        <v>4.0517160000000003E-2</v>
      </c>
      <c r="Q7870" t="str">
        <f t="shared" si="244"/>
        <v>&lt;01</v>
      </c>
      <c r="R7870" t="str">
        <f t="shared" si="245"/>
        <v>[vA4NcHxfMBq]|&lt;01|Female|NEW_INFECTIONS_SUBNAT.T2|CY2026Q3</v>
      </c>
    </row>
    <row r="7871" spans="4:18" x14ac:dyDescent="0.2">
      <c r="D7871" t="s">
        <v>66</v>
      </c>
      <c r="E7871" t="s">
        <v>67</v>
      </c>
      <c r="F7871" t="s">
        <v>68</v>
      </c>
      <c r="G7871" t="s">
        <v>279</v>
      </c>
      <c r="H7871" t="s">
        <v>279</v>
      </c>
      <c r="I7871" t="s">
        <v>33</v>
      </c>
      <c r="J7871" t="s">
        <v>34</v>
      </c>
      <c r="K7871" t="s">
        <v>30</v>
      </c>
      <c r="L7871" t="s">
        <v>31</v>
      </c>
      <c r="M7871" t="s">
        <v>277</v>
      </c>
      <c r="N7871">
        <v>7</v>
      </c>
      <c r="O7871">
        <v>1.4301819E-2</v>
      </c>
      <c r="P7871">
        <v>4.0517160000000003E-2</v>
      </c>
      <c r="Q7871" t="str">
        <f t="shared" si="244"/>
        <v>01-09</v>
      </c>
      <c r="R7871" t="str">
        <f t="shared" si="245"/>
        <v>[vA4NcHxfMBq]|01-09|Female|NEW_INFECTIONS_SUBNAT.T2|CY2026Q3</v>
      </c>
    </row>
    <row r="7872" spans="4:18" x14ac:dyDescent="0.2">
      <c r="D7872" t="s">
        <v>66</v>
      </c>
      <c r="E7872" t="s">
        <v>67</v>
      </c>
      <c r="F7872" t="s">
        <v>68</v>
      </c>
      <c r="G7872" t="s">
        <v>279</v>
      </c>
      <c r="H7872" t="s">
        <v>279</v>
      </c>
      <c r="I7872" t="s">
        <v>36</v>
      </c>
      <c r="J7872" t="s">
        <v>37</v>
      </c>
      <c r="K7872" t="s">
        <v>30</v>
      </c>
      <c r="L7872" t="s">
        <v>31</v>
      </c>
      <c r="M7872" t="s">
        <v>277</v>
      </c>
      <c r="N7872">
        <v>0</v>
      </c>
      <c r="O7872">
        <v>0</v>
      </c>
      <c r="P7872">
        <v>4.0517160000000003E-2</v>
      </c>
      <c r="Q7872" t="str">
        <f t="shared" si="244"/>
        <v>10-14</v>
      </c>
      <c r="R7872" t="str">
        <f t="shared" si="245"/>
        <v>[vA4NcHxfMBq]|10-14|Female|NEW_INFECTIONS_SUBNAT.T2|CY2026Q3</v>
      </c>
    </row>
    <row r="7873" spans="4:18" x14ac:dyDescent="0.2">
      <c r="D7873" t="s">
        <v>66</v>
      </c>
      <c r="E7873" t="s">
        <v>67</v>
      </c>
      <c r="F7873" t="s">
        <v>68</v>
      </c>
      <c r="G7873" t="s">
        <v>279</v>
      </c>
      <c r="H7873" t="s">
        <v>279</v>
      </c>
      <c r="I7873" t="s">
        <v>38</v>
      </c>
      <c r="J7873" t="s">
        <v>39</v>
      </c>
      <c r="K7873" t="s">
        <v>30</v>
      </c>
      <c r="L7873" t="s">
        <v>31</v>
      </c>
      <c r="M7873" t="s">
        <v>277</v>
      </c>
      <c r="N7873">
        <v>140</v>
      </c>
      <c r="O7873">
        <v>4.4994007000000003E-2</v>
      </c>
      <c r="P7873">
        <v>4.0517160000000003E-2</v>
      </c>
      <c r="Q7873" t="str">
        <f t="shared" si="244"/>
        <v>15-24</v>
      </c>
      <c r="R7873" t="str">
        <f t="shared" si="245"/>
        <v>[vA4NcHxfMBq]|15-24|Female|NEW_INFECTIONS_SUBNAT.T2|CY2026Q3</v>
      </c>
    </row>
    <row r="7874" spans="4:18" x14ac:dyDescent="0.2">
      <c r="D7874" t="s">
        <v>66</v>
      </c>
      <c r="E7874" t="s">
        <v>67</v>
      </c>
      <c r="F7874" t="s">
        <v>68</v>
      </c>
      <c r="G7874" t="s">
        <v>279</v>
      </c>
      <c r="H7874" t="s">
        <v>279</v>
      </c>
      <c r="I7874" t="s">
        <v>41</v>
      </c>
      <c r="J7874" t="s">
        <v>42</v>
      </c>
      <c r="K7874" t="s">
        <v>30</v>
      </c>
      <c r="L7874" t="s">
        <v>31</v>
      </c>
      <c r="M7874" t="s">
        <v>277</v>
      </c>
      <c r="N7874">
        <v>141</v>
      </c>
      <c r="O7874">
        <v>4.3697288000000001E-2</v>
      </c>
      <c r="P7874">
        <v>4.0517160000000003E-2</v>
      </c>
      <c r="Q7874" t="str">
        <f t="shared" si="244"/>
        <v>25-34</v>
      </c>
      <c r="R7874" t="str">
        <f t="shared" si="245"/>
        <v>[vA4NcHxfMBq]|25-34|Female|NEW_INFECTIONS_SUBNAT.T2|CY2026Q3</v>
      </c>
    </row>
    <row r="7875" spans="4:18" x14ac:dyDescent="0.2">
      <c r="D7875" t="s">
        <v>66</v>
      </c>
      <c r="E7875" t="s">
        <v>67</v>
      </c>
      <c r="F7875" t="s">
        <v>68</v>
      </c>
      <c r="G7875" t="s">
        <v>279</v>
      </c>
      <c r="H7875" t="s">
        <v>279</v>
      </c>
      <c r="I7875" t="s">
        <v>43</v>
      </c>
      <c r="J7875" t="s">
        <v>44</v>
      </c>
      <c r="K7875" t="s">
        <v>30</v>
      </c>
      <c r="L7875" t="s">
        <v>31</v>
      </c>
      <c r="M7875" t="s">
        <v>277</v>
      </c>
      <c r="N7875">
        <v>66</v>
      </c>
      <c r="O7875">
        <v>4.2928875999999998E-2</v>
      </c>
      <c r="P7875">
        <v>4.0517160000000003E-2</v>
      </c>
      <c r="Q7875" t="str">
        <f t="shared" ref="Q7875:Q7938" si="246">SUBSTITUTE(SUBSTITUTE($I7875,CHAR(61),""),CHAR(34),"")</f>
        <v>35-49</v>
      </c>
      <c r="R7875" t="str">
        <f t="shared" ref="R7875:R7938" si="247">IF($D7875&lt;&gt;"","["&amp;$E7875&amp;"]"&amp;"|"&amp;$Q7875&amp;"|"&amp;$K7875&amp;"|"&amp;$G7875&amp;"|"&amp;IF($G7875="TX_CURR_SUBNAT.R","CY2023Q4",$M7875),"")</f>
        <v>[vA4NcHxfMBq]|35-49|Female|NEW_INFECTIONS_SUBNAT.T2|CY2026Q3</v>
      </c>
    </row>
    <row r="7876" spans="4:18" x14ac:dyDescent="0.2">
      <c r="D7876" t="s">
        <v>66</v>
      </c>
      <c r="E7876" t="s">
        <v>67</v>
      </c>
      <c r="F7876" t="s">
        <v>68</v>
      </c>
      <c r="G7876" t="s">
        <v>279</v>
      </c>
      <c r="H7876" t="s">
        <v>279</v>
      </c>
      <c r="I7876" t="s">
        <v>45</v>
      </c>
      <c r="J7876" t="s">
        <v>46</v>
      </c>
      <c r="K7876" t="s">
        <v>30</v>
      </c>
      <c r="L7876" t="s">
        <v>31</v>
      </c>
      <c r="M7876" t="s">
        <v>277</v>
      </c>
      <c r="N7876">
        <v>11</v>
      </c>
      <c r="O7876">
        <v>4.9702198000000003E-2</v>
      </c>
      <c r="P7876">
        <v>4.0517160000000003E-2</v>
      </c>
      <c r="Q7876" t="str">
        <f t="shared" si="246"/>
        <v>50+</v>
      </c>
      <c r="R7876" t="str">
        <f t="shared" si="247"/>
        <v>[vA4NcHxfMBq]|50+|Female|NEW_INFECTIONS_SUBNAT.T2|CY2026Q3</v>
      </c>
    </row>
    <row r="7877" spans="4:18" x14ac:dyDescent="0.2">
      <c r="D7877" t="s">
        <v>66</v>
      </c>
      <c r="E7877" t="s">
        <v>67</v>
      </c>
      <c r="F7877" t="s">
        <v>68</v>
      </c>
      <c r="G7877" t="s">
        <v>279</v>
      </c>
      <c r="H7877" t="s">
        <v>279</v>
      </c>
      <c r="I7877" t="s">
        <v>28</v>
      </c>
      <c r="J7877" t="s">
        <v>29</v>
      </c>
      <c r="K7877" t="s">
        <v>48</v>
      </c>
      <c r="L7877" t="s">
        <v>49</v>
      </c>
      <c r="M7877" t="s">
        <v>277</v>
      </c>
      <c r="N7877">
        <v>27</v>
      </c>
      <c r="O7877">
        <v>2.8641488E-2</v>
      </c>
      <c r="P7877">
        <v>4.0517160000000003E-2</v>
      </c>
      <c r="Q7877" t="str">
        <f t="shared" si="246"/>
        <v>&lt;01</v>
      </c>
      <c r="R7877" t="str">
        <f t="shared" si="247"/>
        <v>[vA4NcHxfMBq]|&lt;01|Male|NEW_INFECTIONS_SUBNAT.T2|CY2026Q3</v>
      </c>
    </row>
    <row r="7878" spans="4:18" x14ac:dyDescent="0.2">
      <c r="D7878" t="s">
        <v>66</v>
      </c>
      <c r="E7878" t="s">
        <v>67</v>
      </c>
      <c r="F7878" t="s">
        <v>68</v>
      </c>
      <c r="G7878" t="s">
        <v>279</v>
      </c>
      <c r="H7878" t="s">
        <v>279</v>
      </c>
      <c r="I7878" t="s">
        <v>33</v>
      </c>
      <c r="J7878" t="s">
        <v>34</v>
      </c>
      <c r="K7878" t="s">
        <v>48</v>
      </c>
      <c r="L7878" t="s">
        <v>49</v>
      </c>
      <c r="M7878" t="s">
        <v>277</v>
      </c>
      <c r="N7878">
        <v>7</v>
      </c>
      <c r="O7878">
        <v>1.4320744E-2</v>
      </c>
      <c r="P7878">
        <v>4.0517160000000003E-2</v>
      </c>
      <c r="Q7878" t="str">
        <f t="shared" si="246"/>
        <v>01-09</v>
      </c>
      <c r="R7878" t="str">
        <f t="shared" si="247"/>
        <v>[vA4NcHxfMBq]|01-09|Male|NEW_INFECTIONS_SUBNAT.T2|CY2026Q3</v>
      </c>
    </row>
    <row r="7879" spans="4:18" x14ac:dyDescent="0.2">
      <c r="D7879" t="s">
        <v>66</v>
      </c>
      <c r="E7879" t="s">
        <v>67</v>
      </c>
      <c r="F7879" t="s">
        <v>68</v>
      </c>
      <c r="G7879" t="s">
        <v>279</v>
      </c>
      <c r="H7879" t="s">
        <v>279</v>
      </c>
      <c r="I7879" t="s">
        <v>36</v>
      </c>
      <c r="J7879" t="s">
        <v>37</v>
      </c>
      <c r="K7879" t="s">
        <v>48</v>
      </c>
      <c r="L7879" t="s">
        <v>49</v>
      </c>
      <c r="M7879" t="s">
        <v>277</v>
      </c>
      <c r="N7879">
        <v>0</v>
      </c>
      <c r="O7879">
        <v>0</v>
      </c>
      <c r="P7879">
        <v>4.0517160000000003E-2</v>
      </c>
      <c r="Q7879" t="str">
        <f t="shared" si="246"/>
        <v>10-14</v>
      </c>
      <c r="R7879" t="str">
        <f t="shared" si="247"/>
        <v>[vA4NcHxfMBq]|10-14|Male|NEW_INFECTIONS_SUBNAT.T2|CY2026Q3</v>
      </c>
    </row>
    <row r="7880" spans="4:18" x14ac:dyDescent="0.2">
      <c r="D7880" t="s">
        <v>66</v>
      </c>
      <c r="E7880" t="s">
        <v>67</v>
      </c>
      <c r="F7880" t="s">
        <v>68</v>
      </c>
      <c r="G7880" t="s">
        <v>279</v>
      </c>
      <c r="H7880" t="s">
        <v>279</v>
      </c>
      <c r="I7880" t="s">
        <v>38</v>
      </c>
      <c r="J7880" t="s">
        <v>39</v>
      </c>
      <c r="K7880" t="s">
        <v>48</v>
      </c>
      <c r="L7880" t="s">
        <v>49</v>
      </c>
      <c r="M7880" t="s">
        <v>277</v>
      </c>
      <c r="N7880">
        <v>22</v>
      </c>
      <c r="O7880">
        <v>4.5293739999999999E-2</v>
      </c>
      <c r="P7880">
        <v>4.0517160000000003E-2</v>
      </c>
      <c r="Q7880" t="str">
        <f t="shared" si="246"/>
        <v>15-24</v>
      </c>
      <c r="R7880" t="str">
        <f t="shared" si="247"/>
        <v>[vA4NcHxfMBq]|15-24|Male|NEW_INFECTIONS_SUBNAT.T2|CY2026Q3</v>
      </c>
    </row>
    <row r="7881" spans="4:18" x14ac:dyDescent="0.2">
      <c r="D7881" t="s">
        <v>66</v>
      </c>
      <c r="E7881" t="s">
        <v>67</v>
      </c>
      <c r="F7881" t="s">
        <v>68</v>
      </c>
      <c r="G7881" t="s">
        <v>279</v>
      </c>
      <c r="H7881" t="s">
        <v>279</v>
      </c>
      <c r="I7881" t="s">
        <v>41</v>
      </c>
      <c r="J7881" t="s">
        <v>42</v>
      </c>
      <c r="K7881" t="s">
        <v>48</v>
      </c>
      <c r="L7881" t="s">
        <v>49</v>
      </c>
      <c r="M7881" t="s">
        <v>277</v>
      </c>
      <c r="N7881">
        <v>81</v>
      </c>
      <c r="O7881">
        <v>4.4497433000000003E-2</v>
      </c>
      <c r="P7881">
        <v>4.0517160000000003E-2</v>
      </c>
      <c r="Q7881" t="str">
        <f t="shared" si="246"/>
        <v>25-34</v>
      </c>
      <c r="R7881" t="str">
        <f t="shared" si="247"/>
        <v>[vA4NcHxfMBq]|25-34|Male|NEW_INFECTIONS_SUBNAT.T2|CY2026Q3</v>
      </c>
    </row>
    <row r="7882" spans="4:18" x14ac:dyDescent="0.2">
      <c r="D7882" t="s">
        <v>66</v>
      </c>
      <c r="E7882" t="s">
        <v>67</v>
      </c>
      <c r="F7882" t="s">
        <v>68</v>
      </c>
      <c r="G7882" t="s">
        <v>279</v>
      </c>
      <c r="H7882" t="s">
        <v>279</v>
      </c>
      <c r="I7882" t="s">
        <v>43</v>
      </c>
      <c r="J7882" t="s">
        <v>44</v>
      </c>
      <c r="K7882" t="s">
        <v>48</v>
      </c>
      <c r="L7882" t="s">
        <v>49</v>
      </c>
      <c r="M7882" t="s">
        <v>277</v>
      </c>
      <c r="N7882">
        <v>79</v>
      </c>
      <c r="O7882">
        <v>4.2604542000000002E-2</v>
      </c>
      <c r="P7882">
        <v>4.0517160000000003E-2</v>
      </c>
      <c r="Q7882" t="str">
        <f t="shared" si="246"/>
        <v>35-49</v>
      </c>
      <c r="R7882" t="str">
        <f t="shared" si="247"/>
        <v>[vA4NcHxfMBq]|35-49|Male|NEW_INFECTIONS_SUBNAT.T2|CY2026Q3</v>
      </c>
    </row>
    <row r="7883" spans="4:18" x14ac:dyDescent="0.2">
      <c r="D7883" t="s">
        <v>66</v>
      </c>
      <c r="E7883" t="s">
        <v>67</v>
      </c>
      <c r="F7883" t="s">
        <v>68</v>
      </c>
      <c r="G7883" t="s">
        <v>279</v>
      </c>
      <c r="H7883" t="s">
        <v>279</v>
      </c>
      <c r="I7883" t="s">
        <v>45</v>
      </c>
      <c r="J7883" t="s">
        <v>46</v>
      </c>
      <c r="K7883" t="s">
        <v>48</v>
      </c>
      <c r="L7883" t="s">
        <v>49</v>
      </c>
      <c r="M7883" t="s">
        <v>277</v>
      </c>
      <c r="N7883">
        <v>22</v>
      </c>
      <c r="O7883">
        <v>4.7788365999999999E-2</v>
      </c>
      <c r="P7883">
        <v>4.0517160000000003E-2</v>
      </c>
      <c r="Q7883" t="str">
        <f t="shared" si="246"/>
        <v>50+</v>
      </c>
      <c r="R7883" t="str">
        <f t="shared" si="247"/>
        <v>[vA4NcHxfMBq]|50+|Male|NEW_INFECTIONS_SUBNAT.T2|CY2026Q3</v>
      </c>
    </row>
    <row r="7884" spans="4:18" x14ac:dyDescent="0.2">
      <c r="D7884" t="s">
        <v>69</v>
      </c>
      <c r="E7884" t="s">
        <v>70</v>
      </c>
      <c r="F7884" t="s">
        <v>71</v>
      </c>
      <c r="G7884" t="s">
        <v>279</v>
      </c>
      <c r="H7884" t="s">
        <v>279</v>
      </c>
      <c r="I7884" t="s">
        <v>28</v>
      </c>
      <c r="J7884" t="s">
        <v>29</v>
      </c>
      <c r="K7884" t="s">
        <v>30</v>
      </c>
      <c r="L7884" t="s">
        <v>31</v>
      </c>
      <c r="M7884" t="s">
        <v>277</v>
      </c>
      <c r="N7884">
        <v>0</v>
      </c>
      <c r="O7884">
        <v>3.1544107000000002E-2</v>
      </c>
      <c r="P7884">
        <v>4.5102536999999998E-2</v>
      </c>
      <c r="Q7884" t="str">
        <f t="shared" si="246"/>
        <v>&lt;01</v>
      </c>
      <c r="R7884" t="str">
        <f t="shared" si="247"/>
        <v>[ZCjuwgaMB9u]|&lt;01|Female|NEW_INFECTIONS_SUBNAT.T2|CY2026Q3</v>
      </c>
    </row>
    <row r="7885" spans="4:18" x14ac:dyDescent="0.2">
      <c r="D7885" t="s">
        <v>69</v>
      </c>
      <c r="E7885" t="s">
        <v>70</v>
      </c>
      <c r="F7885" t="s">
        <v>71</v>
      </c>
      <c r="G7885" t="s">
        <v>279</v>
      </c>
      <c r="H7885" t="s">
        <v>279</v>
      </c>
      <c r="I7885" t="s">
        <v>33</v>
      </c>
      <c r="J7885" t="s">
        <v>34</v>
      </c>
      <c r="K7885" t="s">
        <v>30</v>
      </c>
      <c r="L7885" t="s">
        <v>31</v>
      </c>
      <c r="M7885" t="s">
        <v>277</v>
      </c>
      <c r="N7885">
        <v>0</v>
      </c>
      <c r="O7885">
        <v>1.5772054000000001E-2</v>
      </c>
      <c r="P7885">
        <v>4.5102536999999998E-2</v>
      </c>
      <c r="Q7885" t="str">
        <f t="shared" si="246"/>
        <v>01-09</v>
      </c>
      <c r="R7885" t="str">
        <f t="shared" si="247"/>
        <v>[ZCjuwgaMB9u]|01-09|Female|NEW_INFECTIONS_SUBNAT.T2|CY2026Q3</v>
      </c>
    </row>
    <row r="7886" spans="4:18" x14ac:dyDescent="0.2">
      <c r="D7886" t="s">
        <v>69</v>
      </c>
      <c r="E7886" t="s">
        <v>70</v>
      </c>
      <c r="F7886" t="s">
        <v>71</v>
      </c>
      <c r="G7886" t="s">
        <v>279</v>
      </c>
      <c r="H7886" t="s">
        <v>279</v>
      </c>
      <c r="I7886" t="s">
        <v>36</v>
      </c>
      <c r="J7886" t="s">
        <v>37</v>
      </c>
      <c r="K7886" t="s">
        <v>30</v>
      </c>
      <c r="L7886" t="s">
        <v>31</v>
      </c>
      <c r="M7886" t="s">
        <v>277</v>
      </c>
      <c r="N7886">
        <v>0</v>
      </c>
      <c r="O7886">
        <v>0</v>
      </c>
      <c r="P7886">
        <v>4.5102536999999998E-2</v>
      </c>
      <c r="Q7886" t="str">
        <f t="shared" si="246"/>
        <v>10-14</v>
      </c>
      <c r="R7886" t="str">
        <f t="shared" si="247"/>
        <v>[ZCjuwgaMB9u]|10-14|Female|NEW_INFECTIONS_SUBNAT.T2|CY2026Q3</v>
      </c>
    </row>
    <row r="7887" spans="4:18" x14ac:dyDescent="0.2">
      <c r="D7887" t="s">
        <v>69</v>
      </c>
      <c r="E7887" t="s">
        <v>70</v>
      </c>
      <c r="F7887" t="s">
        <v>71</v>
      </c>
      <c r="G7887" t="s">
        <v>279</v>
      </c>
      <c r="H7887" t="s">
        <v>279</v>
      </c>
      <c r="I7887" t="s">
        <v>38</v>
      </c>
      <c r="J7887" t="s">
        <v>39</v>
      </c>
      <c r="K7887" t="s">
        <v>30</v>
      </c>
      <c r="L7887" t="s">
        <v>31</v>
      </c>
      <c r="M7887" t="s">
        <v>277</v>
      </c>
      <c r="N7887">
        <v>2</v>
      </c>
      <c r="O7887">
        <v>4.9865261000000001E-2</v>
      </c>
      <c r="P7887">
        <v>4.5102536999999998E-2</v>
      </c>
      <c r="Q7887" t="str">
        <f t="shared" si="246"/>
        <v>15-24</v>
      </c>
      <c r="R7887" t="str">
        <f t="shared" si="247"/>
        <v>[ZCjuwgaMB9u]|15-24|Female|NEW_INFECTIONS_SUBNAT.T2|CY2026Q3</v>
      </c>
    </row>
    <row r="7888" spans="4:18" x14ac:dyDescent="0.2">
      <c r="D7888" t="s">
        <v>69</v>
      </c>
      <c r="E7888" t="s">
        <v>70</v>
      </c>
      <c r="F7888" t="s">
        <v>71</v>
      </c>
      <c r="G7888" t="s">
        <v>279</v>
      </c>
      <c r="H7888" t="s">
        <v>279</v>
      </c>
      <c r="I7888" t="s">
        <v>41</v>
      </c>
      <c r="J7888" t="s">
        <v>42</v>
      </c>
      <c r="K7888" t="s">
        <v>30</v>
      </c>
      <c r="L7888" t="s">
        <v>31</v>
      </c>
      <c r="M7888" t="s">
        <v>277</v>
      </c>
      <c r="N7888">
        <v>2</v>
      </c>
      <c r="O7888">
        <v>4.8481927000000001E-2</v>
      </c>
      <c r="P7888">
        <v>4.5102536999999998E-2</v>
      </c>
      <c r="Q7888" t="str">
        <f t="shared" si="246"/>
        <v>25-34</v>
      </c>
      <c r="R7888" t="str">
        <f t="shared" si="247"/>
        <v>[ZCjuwgaMB9u]|25-34|Female|NEW_INFECTIONS_SUBNAT.T2|CY2026Q3</v>
      </c>
    </row>
    <row r="7889" spans="4:18" x14ac:dyDescent="0.2">
      <c r="D7889" t="s">
        <v>69</v>
      </c>
      <c r="E7889" t="s">
        <v>70</v>
      </c>
      <c r="F7889" t="s">
        <v>71</v>
      </c>
      <c r="G7889" t="s">
        <v>279</v>
      </c>
      <c r="H7889" t="s">
        <v>279</v>
      </c>
      <c r="I7889" t="s">
        <v>43</v>
      </c>
      <c r="J7889" t="s">
        <v>44</v>
      </c>
      <c r="K7889" t="s">
        <v>30</v>
      </c>
      <c r="L7889" t="s">
        <v>31</v>
      </c>
      <c r="M7889" t="s">
        <v>277</v>
      </c>
      <c r="N7889">
        <v>1</v>
      </c>
      <c r="O7889">
        <v>4.5388373000000003E-2</v>
      </c>
      <c r="P7889">
        <v>4.5102536999999998E-2</v>
      </c>
      <c r="Q7889" t="str">
        <f t="shared" si="246"/>
        <v>35-49</v>
      </c>
      <c r="R7889" t="str">
        <f t="shared" si="247"/>
        <v>[ZCjuwgaMB9u]|35-49|Female|NEW_INFECTIONS_SUBNAT.T2|CY2026Q3</v>
      </c>
    </row>
    <row r="7890" spans="4:18" x14ac:dyDescent="0.2">
      <c r="D7890" t="s">
        <v>69</v>
      </c>
      <c r="E7890" t="s">
        <v>70</v>
      </c>
      <c r="F7890" t="s">
        <v>71</v>
      </c>
      <c r="G7890" t="s">
        <v>279</v>
      </c>
      <c r="H7890" t="s">
        <v>279</v>
      </c>
      <c r="I7890" t="s">
        <v>45</v>
      </c>
      <c r="J7890" t="s">
        <v>46</v>
      </c>
      <c r="K7890" t="s">
        <v>30</v>
      </c>
      <c r="L7890" t="s">
        <v>31</v>
      </c>
      <c r="M7890" t="s">
        <v>277</v>
      </c>
      <c r="N7890">
        <v>0</v>
      </c>
      <c r="O7890">
        <v>4.7647489000000001E-2</v>
      </c>
      <c r="P7890">
        <v>4.5102536999999998E-2</v>
      </c>
      <c r="Q7890" t="str">
        <f t="shared" si="246"/>
        <v>50+</v>
      </c>
      <c r="R7890" t="str">
        <f t="shared" si="247"/>
        <v>[ZCjuwgaMB9u]|50+|Female|NEW_INFECTIONS_SUBNAT.T2|CY2026Q3</v>
      </c>
    </row>
    <row r="7891" spans="4:18" x14ac:dyDescent="0.2">
      <c r="D7891" t="s">
        <v>69</v>
      </c>
      <c r="E7891" t="s">
        <v>70</v>
      </c>
      <c r="F7891" t="s">
        <v>71</v>
      </c>
      <c r="G7891" t="s">
        <v>279</v>
      </c>
      <c r="H7891" t="s">
        <v>279</v>
      </c>
      <c r="I7891" t="s">
        <v>28</v>
      </c>
      <c r="J7891" t="s">
        <v>29</v>
      </c>
      <c r="K7891" t="s">
        <v>48</v>
      </c>
      <c r="L7891" t="s">
        <v>49</v>
      </c>
      <c r="M7891" t="s">
        <v>277</v>
      </c>
      <c r="N7891">
        <v>0</v>
      </c>
      <c r="O7891">
        <v>3.1549654000000003E-2</v>
      </c>
      <c r="P7891">
        <v>4.5102536999999998E-2</v>
      </c>
      <c r="Q7891" t="str">
        <f t="shared" si="246"/>
        <v>&lt;01</v>
      </c>
      <c r="R7891" t="str">
        <f t="shared" si="247"/>
        <v>[ZCjuwgaMB9u]|&lt;01|Male|NEW_INFECTIONS_SUBNAT.T2|CY2026Q3</v>
      </c>
    </row>
    <row r="7892" spans="4:18" x14ac:dyDescent="0.2">
      <c r="D7892" t="s">
        <v>69</v>
      </c>
      <c r="E7892" t="s">
        <v>70</v>
      </c>
      <c r="F7892" t="s">
        <v>71</v>
      </c>
      <c r="G7892" t="s">
        <v>279</v>
      </c>
      <c r="H7892" t="s">
        <v>279</v>
      </c>
      <c r="I7892" t="s">
        <v>33</v>
      </c>
      <c r="J7892" t="s">
        <v>34</v>
      </c>
      <c r="K7892" t="s">
        <v>48</v>
      </c>
      <c r="L7892" t="s">
        <v>49</v>
      </c>
      <c r="M7892" t="s">
        <v>277</v>
      </c>
      <c r="N7892">
        <v>0</v>
      </c>
      <c r="O7892">
        <v>1.5774827000000002E-2</v>
      </c>
      <c r="P7892">
        <v>4.5102536999999998E-2</v>
      </c>
      <c r="Q7892" t="str">
        <f t="shared" si="246"/>
        <v>01-09</v>
      </c>
      <c r="R7892" t="str">
        <f t="shared" si="247"/>
        <v>[ZCjuwgaMB9u]|01-09|Male|NEW_INFECTIONS_SUBNAT.T2|CY2026Q3</v>
      </c>
    </row>
    <row r="7893" spans="4:18" x14ac:dyDescent="0.2">
      <c r="D7893" t="s">
        <v>69</v>
      </c>
      <c r="E7893" t="s">
        <v>70</v>
      </c>
      <c r="F7893" t="s">
        <v>71</v>
      </c>
      <c r="G7893" t="s">
        <v>279</v>
      </c>
      <c r="H7893" t="s">
        <v>279</v>
      </c>
      <c r="I7893" t="s">
        <v>36</v>
      </c>
      <c r="J7893" t="s">
        <v>37</v>
      </c>
      <c r="K7893" t="s">
        <v>48</v>
      </c>
      <c r="L7893" t="s">
        <v>49</v>
      </c>
      <c r="M7893" t="s">
        <v>277</v>
      </c>
      <c r="N7893">
        <v>0</v>
      </c>
      <c r="O7893">
        <v>0</v>
      </c>
      <c r="P7893">
        <v>4.5102536999999998E-2</v>
      </c>
      <c r="Q7893" t="str">
        <f t="shared" si="246"/>
        <v>10-14</v>
      </c>
      <c r="R7893" t="str">
        <f t="shared" si="247"/>
        <v>[ZCjuwgaMB9u]|10-14|Male|NEW_INFECTIONS_SUBNAT.T2|CY2026Q3</v>
      </c>
    </row>
    <row r="7894" spans="4:18" x14ac:dyDescent="0.2">
      <c r="D7894" t="s">
        <v>69</v>
      </c>
      <c r="E7894" t="s">
        <v>70</v>
      </c>
      <c r="F7894" t="s">
        <v>71</v>
      </c>
      <c r="G7894" t="s">
        <v>279</v>
      </c>
      <c r="H7894" t="s">
        <v>279</v>
      </c>
      <c r="I7894" t="s">
        <v>38</v>
      </c>
      <c r="J7894" t="s">
        <v>39</v>
      </c>
      <c r="K7894" t="s">
        <v>48</v>
      </c>
      <c r="L7894" t="s">
        <v>49</v>
      </c>
      <c r="M7894" t="s">
        <v>277</v>
      </c>
      <c r="N7894">
        <v>0</v>
      </c>
      <c r="O7894">
        <v>5.0185869000000001E-2</v>
      </c>
      <c r="P7894">
        <v>4.5102536999999998E-2</v>
      </c>
      <c r="Q7894" t="str">
        <f t="shared" si="246"/>
        <v>15-24</v>
      </c>
      <c r="R7894" t="str">
        <f t="shared" si="247"/>
        <v>[ZCjuwgaMB9u]|15-24|Male|NEW_INFECTIONS_SUBNAT.T2|CY2026Q3</v>
      </c>
    </row>
    <row r="7895" spans="4:18" x14ac:dyDescent="0.2">
      <c r="D7895" t="s">
        <v>69</v>
      </c>
      <c r="E7895" t="s">
        <v>70</v>
      </c>
      <c r="F7895" t="s">
        <v>71</v>
      </c>
      <c r="G7895" t="s">
        <v>279</v>
      </c>
      <c r="H7895" t="s">
        <v>279</v>
      </c>
      <c r="I7895" t="s">
        <v>41</v>
      </c>
      <c r="J7895" t="s">
        <v>42</v>
      </c>
      <c r="K7895" t="s">
        <v>48</v>
      </c>
      <c r="L7895" t="s">
        <v>49</v>
      </c>
      <c r="M7895" t="s">
        <v>277</v>
      </c>
      <c r="N7895">
        <v>2</v>
      </c>
      <c r="O7895">
        <v>4.9418867999999998E-2</v>
      </c>
      <c r="P7895">
        <v>4.5102536999999998E-2</v>
      </c>
      <c r="Q7895" t="str">
        <f t="shared" si="246"/>
        <v>25-34</v>
      </c>
      <c r="R7895" t="str">
        <f t="shared" si="247"/>
        <v>[ZCjuwgaMB9u]|25-34|Male|NEW_INFECTIONS_SUBNAT.T2|CY2026Q3</v>
      </c>
    </row>
    <row r="7896" spans="4:18" x14ac:dyDescent="0.2">
      <c r="D7896" t="s">
        <v>69</v>
      </c>
      <c r="E7896" t="s">
        <v>70</v>
      </c>
      <c r="F7896" t="s">
        <v>71</v>
      </c>
      <c r="G7896" t="s">
        <v>279</v>
      </c>
      <c r="H7896" t="s">
        <v>279</v>
      </c>
      <c r="I7896" t="s">
        <v>43</v>
      </c>
      <c r="J7896" t="s">
        <v>44</v>
      </c>
      <c r="K7896" t="s">
        <v>48</v>
      </c>
      <c r="L7896" t="s">
        <v>49</v>
      </c>
      <c r="M7896" t="s">
        <v>277</v>
      </c>
      <c r="N7896">
        <v>1</v>
      </c>
      <c r="O7896">
        <v>4.6666013999999999E-2</v>
      </c>
      <c r="P7896">
        <v>4.5102536999999998E-2</v>
      </c>
      <c r="Q7896" t="str">
        <f t="shared" si="246"/>
        <v>35-49</v>
      </c>
      <c r="R7896" t="str">
        <f t="shared" si="247"/>
        <v>[ZCjuwgaMB9u]|35-49|Male|NEW_INFECTIONS_SUBNAT.T2|CY2026Q3</v>
      </c>
    </row>
    <row r="7897" spans="4:18" x14ac:dyDescent="0.2">
      <c r="D7897" t="s">
        <v>69</v>
      </c>
      <c r="E7897" t="s">
        <v>70</v>
      </c>
      <c r="F7897" t="s">
        <v>71</v>
      </c>
      <c r="G7897" t="s">
        <v>279</v>
      </c>
      <c r="H7897" t="s">
        <v>279</v>
      </c>
      <c r="I7897" t="s">
        <v>45</v>
      </c>
      <c r="J7897" t="s">
        <v>46</v>
      </c>
      <c r="K7897" t="s">
        <v>48</v>
      </c>
      <c r="L7897" t="s">
        <v>49</v>
      </c>
      <c r="M7897" t="s">
        <v>277</v>
      </c>
      <c r="N7897">
        <v>0</v>
      </c>
      <c r="O7897">
        <v>4.7136725999999997E-2</v>
      </c>
      <c r="P7897">
        <v>4.5102536999999998E-2</v>
      </c>
      <c r="Q7897" t="str">
        <f t="shared" si="246"/>
        <v>50+</v>
      </c>
      <c r="R7897" t="str">
        <f t="shared" si="247"/>
        <v>[ZCjuwgaMB9u]|50+|Male|NEW_INFECTIONS_SUBNAT.T2|CY2026Q3</v>
      </c>
    </row>
    <row r="7898" spans="4:18" x14ac:dyDescent="0.2">
      <c r="D7898" t="s">
        <v>72</v>
      </c>
      <c r="E7898" t="s">
        <v>73</v>
      </c>
      <c r="F7898" t="s">
        <v>74</v>
      </c>
      <c r="G7898" t="s">
        <v>279</v>
      </c>
      <c r="H7898" t="s">
        <v>279</v>
      </c>
      <c r="I7898" t="s">
        <v>28</v>
      </c>
      <c r="J7898" t="s">
        <v>29</v>
      </c>
      <c r="K7898" t="s">
        <v>30</v>
      </c>
      <c r="L7898" t="s">
        <v>31</v>
      </c>
      <c r="M7898" t="s">
        <v>277</v>
      </c>
      <c r="N7898">
        <v>12</v>
      </c>
      <c r="O7898">
        <v>7.5968450000000007E-2</v>
      </c>
      <c r="P7898">
        <v>7.9492588000000003E-2</v>
      </c>
      <c r="Q7898" t="str">
        <f t="shared" si="246"/>
        <v>&lt;01</v>
      </c>
      <c r="R7898" t="str">
        <f t="shared" si="247"/>
        <v>[JQKLKuVuY61]|&lt;01|Female|NEW_INFECTIONS_SUBNAT.T2|CY2026Q3</v>
      </c>
    </row>
    <row r="7899" spans="4:18" x14ac:dyDescent="0.2">
      <c r="D7899" t="s">
        <v>72</v>
      </c>
      <c r="E7899" t="s">
        <v>73</v>
      </c>
      <c r="F7899" t="s">
        <v>74</v>
      </c>
      <c r="G7899" t="s">
        <v>279</v>
      </c>
      <c r="H7899" t="s">
        <v>279</v>
      </c>
      <c r="I7899" t="s">
        <v>33</v>
      </c>
      <c r="J7899" t="s">
        <v>34</v>
      </c>
      <c r="K7899" t="s">
        <v>30</v>
      </c>
      <c r="L7899" t="s">
        <v>31</v>
      </c>
      <c r="M7899" t="s">
        <v>277</v>
      </c>
      <c r="N7899">
        <v>3</v>
      </c>
      <c r="O7899">
        <v>3.7984225000000003E-2</v>
      </c>
      <c r="P7899">
        <v>7.9492588000000003E-2</v>
      </c>
      <c r="Q7899" t="str">
        <f t="shared" si="246"/>
        <v>01-09</v>
      </c>
      <c r="R7899" t="str">
        <f t="shared" si="247"/>
        <v>[JQKLKuVuY61]|01-09|Female|NEW_INFECTIONS_SUBNAT.T2|CY2026Q3</v>
      </c>
    </row>
    <row r="7900" spans="4:18" x14ac:dyDescent="0.2">
      <c r="D7900" t="s">
        <v>72</v>
      </c>
      <c r="E7900" t="s">
        <v>73</v>
      </c>
      <c r="F7900" t="s">
        <v>74</v>
      </c>
      <c r="G7900" t="s">
        <v>279</v>
      </c>
      <c r="H7900" t="s">
        <v>279</v>
      </c>
      <c r="I7900" t="s">
        <v>36</v>
      </c>
      <c r="J7900" t="s">
        <v>37</v>
      </c>
      <c r="K7900" t="s">
        <v>30</v>
      </c>
      <c r="L7900" t="s">
        <v>31</v>
      </c>
      <c r="M7900" t="s">
        <v>277</v>
      </c>
      <c r="N7900">
        <v>0</v>
      </c>
      <c r="O7900">
        <v>0</v>
      </c>
      <c r="P7900">
        <v>7.9492588000000003E-2</v>
      </c>
      <c r="Q7900" t="str">
        <f t="shared" si="246"/>
        <v>10-14</v>
      </c>
      <c r="R7900" t="str">
        <f t="shared" si="247"/>
        <v>[JQKLKuVuY61]|10-14|Female|NEW_INFECTIONS_SUBNAT.T2|CY2026Q3</v>
      </c>
    </row>
    <row r="7901" spans="4:18" x14ac:dyDescent="0.2">
      <c r="D7901" t="s">
        <v>72</v>
      </c>
      <c r="E7901" t="s">
        <v>73</v>
      </c>
      <c r="F7901" t="s">
        <v>74</v>
      </c>
      <c r="G7901" t="s">
        <v>279</v>
      </c>
      <c r="H7901" t="s">
        <v>279</v>
      </c>
      <c r="I7901" t="s">
        <v>38</v>
      </c>
      <c r="J7901" t="s">
        <v>39</v>
      </c>
      <c r="K7901" t="s">
        <v>30</v>
      </c>
      <c r="L7901" t="s">
        <v>31</v>
      </c>
      <c r="M7901" t="s">
        <v>277</v>
      </c>
      <c r="N7901">
        <v>52</v>
      </c>
      <c r="O7901">
        <v>8.2687686999999996E-2</v>
      </c>
      <c r="P7901">
        <v>7.9492588000000003E-2</v>
      </c>
      <c r="Q7901" t="str">
        <f t="shared" si="246"/>
        <v>15-24</v>
      </c>
      <c r="R7901" t="str">
        <f t="shared" si="247"/>
        <v>[JQKLKuVuY61]|15-24|Female|NEW_INFECTIONS_SUBNAT.T2|CY2026Q3</v>
      </c>
    </row>
    <row r="7902" spans="4:18" x14ac:dyDescent="0.2">
      <c r="D7902" t="s">
        <v>72</v>
      </c>
      <c r="E7902" t="s">
        <v>73</v>
      </c>
      <c r="F7902" t="s">
        <v>74</v>
      </c>
      <c r="G7902" t="s">
        <v>279</v>
      </c>
      <c r="H7902" t="s">
        <v>279</v>
      </c>
      <c r="I7902" t="s">
        <v>41</v>
      </c>
      <c r="J7902" t="s">
        <v>42</v>
      </c>
      <c r="K7902" t="s">
        <v>30</v>
      </c>
      <c r="L7902" t="s">
        <v>31</v>
      </c>
      <c r="M7902" t="s">
        <v>277</v>
      </c>
      <c r="N7902">
        <v>52</v>
      </c>
      <c r="O7902">
        <v>8.1477575999999996E-2</v>
      </c>
      <c r="P7902">
        <v>7.9492588000000003E-2</v>
      </c>
      <c r="Q7902" t="str">
        <f t="shared" si="246"/>
        <v>25-34</v>
      </c>
      <c r="R7902" t="str">
        <f t="shared" si="247"/>
        <v>[JQKLKuVuY61]|25-34|Female|NEW_INFECTIONS_SUBNAT.T2|CY2026Q3</v>
      </c>
    </row>
    <row r="7903" spans="4:18" x14ac:dyDescent="0.2">
      <c r="D7903" t="s">
        <v>72</v>
      </c>
      <c r="E7903" t="s">
        <v>73</v>
      </c>
      <c r="F7903" t="s">
        <v>74</v>
      </c>
      <c r="G7903" t="s">
        <v>279</v>
      </c>
      <c r="H7903" t="s">
        <v>279</v>
      </c>
      <c r="I7903" t="s">
        <v>43</v>
      </c>
      <c r="J7903" t="s">
        <v>44</v>
      </c>
      <c r="K7903" t="s">
        <v>30</v>
      </c>
      <c r="L7903" t="s">
        <v>31</v>
      </c>
      <c r="M7903" t="s">
        <v>277</v>
      </c>
      <c r="N7903">
        <v>29</v>
      </c>
      <c r="O7903">
        <v>7.7871181999999997E-2</v>
      </c>
      <c r="P7903">
        <v>7.9492588000000003E-2</v>
      </c>
      <c r="Q7903" t="str">
        <f t="shared" si="246"/>
        <v>35-49</v>
      </c>
      <c r="R7903" t="str">
        <f t="shared" si="247"/>
        <v>[JQKLKuVuY61]|35-49|Female|NEW_INFECTIONS_SUBNAT.T2|CY2026Q3</v>
      </c>
    </row>
    <row r="7904" spans="4:18" x14ac:dyDescent="0.2">
      <c r="D7904" t="s">
        <v>72</v>
      </c>
      <c r="E7904" t="s">
        <v>73</v>
      </c>
      <c r="F7904" t="s">
        <v>74</v>
      </c>
      <c r="G7904" t="s">
        <v>279</v>
      </c>
      <c r="H7904" t="s">
        <v>279</v>
      </c>
      <c r="I7904" t="s">
        <v>45</v>
      </c>
      <c r="J7904" t="s">
        <v>46</v>
      </c>
      <c r="K7904" t="s">
        <v>30</v>
      </c>
      <c r="L7904" t="s">
        <v>31</v>
      </c>
      <c r="M7904" t="s">
        <v>277</v>
      </c>
      <c r="N7904">
        <v>5</v>
      </c>
      <c r="O7904">
        <v>7.7263838000000001E-2</v>
      </c>
      <c r="P7904">
        <v>7.9492588000000003E-2</v>
      </c>
      <c r="Q7904" t="str">
        <f t="shared" si="246"/>
        <v>50+</v>
      </c>
      <c r="R7904" t="str">
        <f t="shared" si="247"/>
        <v>[JQKLKuVuY61]|50+|Female|NEW_INFECTIONS_SUBNAT.T2|CY2026Q3</v>
      </c>
    </row>
    <row r="7905" spans="4:18" x14ac:dyDescent="0.2">
      <c r="D7905" t="s">
        <v>72</v>
      </c>
      <c r="E7905" t="s">
        <v>73</v>
      </c>
      <c r="F7905" t="s">
        <v>74</v>
      </c>
      <c r="G7905" t="s">
        <v>279</v>
      </c>
      <c r="H7905" t="s">
        <v>279</v>
      </c>
      <c r="I7905" t="s">
        <v>28</v>
      </c>
      <c r="J7905" t="s">
        <v>29</v>
      </c>
      <c r="K7905" t="s">
        <v>48</v>
      </c>
      <c r="L7905" t="s">
        <v>49</v>
      </c>
      <c r="M7905" t="s">
        <v>277</v>
      </c>
      <c r="N7905">
        <v>12</v>
      </c>
      <c r="O7905">
        <v>7.5967781999999998E-2</v>
      </c>
      <c r="P7905">
        <v>7.9492588000000003E-2</v>
      </c>
      <c r="Q7905" t="str">
        <f t="shared" si="246"/>
        <v>&lt;01</v>
      </c>
      <c r="R7905" t="str">
        <f t="shared" si="247"/>
        <v>[JQKLKuVuY61]|&lt;01|Male|NEW_INFECTIONS_SUBNAT.T2|CY2026Q3</v>
      </c>
    </row>
    <row r="7906" spans="4:18" x14ac:dyDescent="0.2">
      <c r="D7906" t="s">
        <v>72</v>
      </c>
      <c r="E7906" t="s">
        <v>73</v>
      </c>
      <c r="F7906" t="s">
        <v>74</v>
      </c>
      <c r="G7906" t="s">
        <v>279</v>
      </c>
      <c r="H7906" t="s">
        <v>279</v>
      </c>
      <c r="I7906" t="s">
        <v>33</v>
      </c>
      <c r="J7906" t="s">
        <v>34</v>
      </c>
      <c r="K7906" t="s">
        <v>48</v>
      </c>
      <c r="L7906" t="s">
        <v>49</v>
      </c>
      <c r="M7906" t="s">
        <v>277</v>
      </c>
      <c r="N7906">
        <v>3</v>
      </c>
      <c r="O7906">
        <v>3.7983890999999999E-2</v>
      </c>
      <c r="P7906">
        <v>7.9492588000000003E-2</v>
      </c>
      <c r="Q7906" t="str">
        <f t="shared" si="246"/>
        <v>01-09</v>
      </c>
      <c r="R7906" t="str">
        <f t="shared" si="247"/>
        <v>[JQKLKuVuY61]|01-09|Male|NEW_INFECTIONS_SUBNAT.T2|CY2026Q3</v>
      </c>
    </row>
    <row r="7907" spans="4:18" x14ac:dyDescent="0.2">
      <c r="D7907" t="s">
        <v>72</v>
      </c>
      <c r="E7907" t="s">
        <v>73</v>
      </c>
      <c r="F7907" t="s">
        <v>74</v>
      </c>
      <c r="G7907" t="s">
        <v>279</v>
      </c>
      <c r="H7907" t="s">
        <v>279</v>
      </c>
      <c r="I7907" t="s">
        <v>36</v>
      </c>
      <c r="J7907" t="s">
        <v>37</v>
      </c>
      <c r="K7907" t="s">
        <v>48</v>
      </c>
      <c r="L7907" t="s">
        <v>49</v>
      </c>
      <c r="M7907" t="s">
        <v>277</v>
      </c>
      <c r="N7907">
        <v>0</v>
      </c>
      <c r="O7907">
        <v>0</v>
      </c>
      <c r="P7907">
        <v>7.9492588000000003E-2</v>
      </c>
      <c r="Q7907" t="str">
        <f t="shared" si="246"/>
        <v>10-14</v>
      </c>
      <c r="R7907" t="str">
        <f t="shared" si="247"/>
        <v>[JQKLKuVuY61]|10-14|Male|NEW_INFECTIONS_SUBNAT.T2|CY2026Q3</v>
      </c>
    </row>
    <row r="7908" spans="4:18" x14ac:dyDescent="0.2">
      <c r="D7908" t="s">
        <v>72</v>
      </c>
      <c r="E7908" t="s">
        <v>73</v>
      </c>
      <c r="F7908" t="s">
        <v>74</v>
      </c>
      <c r="G7908" t="s">
        <v>279</v>
      </c>
      <c r="H7908" t="s">
        <v>279</v>
      </c>
      <c r="I7908" t="s">
        <v>38</v>
      </c>
      <c r="J7908" t="s">
        <v>39</v>
      </c>
      <c r="K7908" t="s">
        <v>48</v>
      </c>
      <c r="L7908" t="s">
        <v>49</v>
      </c>
      <c r="M7908" t="s">
        <v>277</v>
      </c>
      <c r="N7908">
        <v>9</v>
      </c>
      <c r="O7908">
        <v>8.2981579999999999E-2</v>
      </c>
      <c r="P7908">
        <v>7.9492588000000003E-2</v>
      </c>
      <c r="Q7908" t="str">
        <f t="shared" si="246"/>
        <v>15-24</v>
      </c>
      <c r="R7908" t="str">
        <f t="shared" si="247"/>
        <v>[JQKLKuVuY61]|15-24|Male|NEW_INFECTIONS_SUBNAT.T2|CY2026Q3</v>
      </c>
    </row>
    <row r="7909" spans="4:18" x14ac:dyDescent="0.2">
      <c r="D7909" t="s">
        <v>72</v>
      </c>
      <c r="E7909" t="s">
        <v>73</v>
      </c>
      <c r="F7909" t="s">
        <v>74</v>
      </c>
      <c r="G7909" t="s">
        <v>279</v>
      </c>
      <c r="H7909" t="s">
        <v>279</v>
      </c>
      <c r="I7909" t="s">
        <v>41</v>
      </c>
      <c r="J7909" t="s">
        <v>42</v>
      </c>
      <c r="K7909" t="s">
        <v>48</v>
      </c>
      <c r="L7909" t="s">
        <v>49</v>
      </c>
      <c r="M7909" t="s">
        <v>277</v>
      </c>
      <c r="N7909">
        <v>32</v>
      </c>
      <c r="O7909">
        <v>8.2561836E-2</v>
      </c>
      <c r="P7909">
        <v>7.9492588000000003E-2</v>
      </c>
      <c r="Q7909" t="str">
        <f t="shared" si="246"/>
        <v>25-34</v>
      </c>
      <c r="R7909" t="str">
        <f t="shared" si="247"/>
        <v>[JQKLKuVuY61]|25-34|Male|NEW_INFECTIONS_SUBNAT.T2|CY2026Q3</v>
      </c>
    </row>
    <row r="7910" spans="4:18" x14ac:dyDescent="0.2">
      <c r="D7910" t="s">
        <v>72</v>
      </c>
      <c r="E7910" t="s">
        <v>73</v>
      </c>
      <c r="F7910" t="s">
        <v>74</v>
      </c>
      <c r="G7910" t="s">
        <v>279</v>
      </c>
      <c r="H7910" t="s">
        <v>279</v>
      </c>
      <c r="I7910" t="s">
        <v>43</v>
      </c>
      <c r="J7910" t="s">
        <v>44</v>
      </c>
      <c r="K7910" t="s">
        <v>48</v>
      </c>
      <c r="L7910" t="s">
        <v>49</v>
      </c>
      <c r="M7910" t="s">
        <v>277</v>
      </c>
      <c r="N7910">
        <v>34</v>
      </c>
      <c r="O7910">
        <v>8.0495611999999994E-2</v>
      </c>
      <c r="P7910">
        <v>7.9492588000000003E-2</v>
      </c>
      <c r="Q7910" t="str">
        <f t="shared" si="246"/>
        <v>35-49</v>
      </c>
      <c r="R7910" t="str">
        <f t="shared" si="247"/>
        <v>[JQKLKuVuY61]|35-49|Male|NEW_INFECTIONS_SUBNAT.T2|CY2026Q3</v>
      </c>
    </row>
    <row r="7911" spans="4:18" x14ac:dyDescent="0.2">
      <c r="D7911" t="s">
        <v>72</v>
      </c>
      <c r="E7911" t="s">
        <v>73</v>
      </c>
      <c r="F7911" t="s">
        <v>74</v>
      </c>
      <c r="G7911" t="s">
        <v>279</v>
      </c>
      <c r="H7911" t="s">
        <v>279</v>
      </c>
      <c r="I7911" t="s">
        <v>45</v>
      </c>
      <c r="J7911" t="s">
        <v>46</v>
      </c>
      <c r="K7911" t="s">
        <v>48</v>
      </c>
      <c r="L7911" t="s">
        <v>49</v>
      </c>
      <c r="M7911" t="s">
        <v>277</v>
      </c>
      <c r="N7911">
        <v>11</v>
      </c>
      <c r="O7911">
        <v>7.8404795999999999E-2</v>
      </c>
      <c r="P7911">
        <v>7.9492588000000003E-2</v>
      </c>
      <c r="Q7911" t="str">
        <f t="shared" si="246"/>
        <v>50+</v>
      </c>
      <c r="R7911" t="str">
        <f t="shared" si="247"/>
        <v>[JQKLKuVuY61]|50+|Male|NEW_INFECTIONS_SUBNAT.T2|CY2026Q3</v>
      </c>
    </row>
    <row r="7912" spans="4:18" x14ac:dyDescent="0.2">
      <c r="D7912" t="s">
        <v>75</v>
      </c>
      <c r="E7912" t="s">
        <v>76</v>
      </c>
      <c r="F7912" t="s">
        <v>77</v>
      </c>
      <c r="G7912" t="s">
        <v>279</v>
      </c>
      <c r="H7912" t="s">
        <v>279</v>
      </c>
      <c r="I7912" t="s">
        <v>28</v>
      </c>
      <c r="J7912" t="s">
        <v>29</v>
      </c>
      <c r="K7912" t="s">
        <v>30</v>
      </c>
      <c r="L7912" t="s">
        <v>31</v>
      </c>
      <c r="M7912" t="s">
        <v>277</v>
      </c>
      <c r="N7912">
        <v>9</v>
      </c>
      <c r="O7912">
        <v>8.3188351999999993E-2</v>
      </c>
      <c r="P7912">
        <v>8.6699350999999994E-2</v>
      </c>
      <c r="Q7912" t="str">
        <f t="shared" si="246"/>
        <v>&lt;01</v>
      </c>
      <c r="R7912" t="str">
        <f t="shared" si="247"/>
        <v>[YCKiBAp8QAg]|&lt;01|Female|NEW_INFECTIONS_SUBNAT.T2|CY2026Q3</v>
      </c>
    </row>
    <row r="7913" spans="4:18" x14ac:dyDescent="0.2">
      <c r="D7913" t="s">
        <v>75</v>
      </c>
      <c r="E7913" t="s">
        <v>76</v>
      </c>
      <c r="F7913" t="s">
        <v>77</v>
      </c>
      <c r="G7913" t="s">
        <v>279</v>
      </c>
      <c r="H7913" t="s">
        <v>279</v>
      </c>
      <c r="I7913" t="s">
        <v>33</v>
      </c>
      <c r="J7913" t="s">
        <v>34</v>
      </c>
      <c r="K7913" t="s">
        <v>30</v>
      </c>
      <c r="L7913" t="s">
        <v>31</v>
      </c>
      <c r="M7913" t="s">
        <v>277</v>
      </c>
      <c r="N7913">
        <v>2</v>
      </c>
      <c r="O7913">
        <v>4.1594175999999997E-2</v>
      </c>
      <c r="P7913">
        <v>8.6699350999999994E-2</v>
      </c>
      <c r="Q7913" t="str">
        <f t="shared" si="246"/>
        <v>01-09</v>
      </c>
      <c r="R7913" t="str">
        <f t="shared" si="247"/>
        <v>[YCKiBAp8QAg]|01-09|Female|NEW_INFECTIONS_SUBNAT.T2|CY2026Q3</v>
      </c>
    </row>
    <row r="7914" spans="4:18" x14ac:dyDescent="0.2">
      <c r="D7914" t="s">
        <v>75</v>
      </c>
      <c r="E7914" t="s">
        <v>76</v>
      </c>
      <c r="F7914" t="s">
        <v>77</v>
      </c>
      <c r="G7914" t="s">
        <v>279</v>
      </c>
      <c r="H7914" t="s">
        <v>279</v>
      </c>
      <c r="I7914" t="s">
        <v>36</v>
      </c>
      <c r="J7914" t="s">
        <v>37</v>
      </c>
      <c r="K7914" t="s">
        <v>30</v>
      </c>
      <c r="L7914" t="s">
        <v>31</v>
      </c>
      <c r="M7914" t="s">
        <v>277</v>
      </c>
      <c r="N7914">
        <v>0</v>
      </c>
      <c r="O7914">
        <v>0</v>
      </c>
      <c r="P7914">
        <v>8.6699350999999994E-2</v>
      </c>
      <c r="Q7914" t="str">
        <f t="shared" si="246"/>
        <v>10-14</v>
      </c>
      <c r="R7914" t="str">
        <f t="shared" si="247"/>
        <v>[YCKiBAp8QAg]|10-14|Female|NEW_INFECTIONS_SUBNAT.T2|CY2026Q3</v>
      </c>
    </row>
    <row r="7915" spans="4:18" x14ac:dyDescent="0.2">
      <c r="D7915" t="s">
        <v>75</v>
      </c>
      <c r="E7915" t="s">
        <v>76</v>
      </c>
      <c r="F7915" t="s">
        <v>77</v>
      </c>
      <c r="G7915" t="s">
        <v>279</v>
      </c>
      <c r="H7915" t="s">
        <v>279</v>
      </c>
      <c r="I7915" t="s">
        <v>38</v>
      </c>
      <c r="J7915" t="s">
        <v>39</v>
      </c>
      <c r="K7915" t="s">
        <v>30</v>
      </c>
      <c r="L7915" t="s">
        <v>31</v>
      </c>
      <c r="M7915" t="s">
        <v>277</v>
      </c>
      <c r="N7915">
        <v>38</v>
      </c>
      <c r="O7915">
        <v>9.1120321000000004E-2</v>
      </c>
      <c r="P7915">
        <v>8.6699350999999994E-2</v>
      </c>
      <c r="Q7915" t="str">
        <f t="shared" si="246"/>
        <v>15-24</v>
      </c>
      <c r="R7915" t="str">
        <f t="shared" si="247"/>
        <v>[YCKiBAp8QAg]|15-24|Female|NEW_INFECTIONS_SUBNAT.T2|CY2026Q3</v>
      </c>
    </row>
    <row r="7916" spans="4:18" x14ac:dyDescent="0.2">
      <c r="D7916" t="s">
        <v>75</v>
      </c>
      <c r="E7916" t="s">
        <v>76</v>
      </c>
      <c r="F7916" t="s">
        <v>77</v>
      </c>
      <c r="G7916" t="s">
        <v>279</v>
      </c>
      <c r="H7916" t="s">
        <v>279</v>
      </c>
      <c r="I7916" t="s">
        <v>41</v>
      </c>
      <c r="J7916" t="s">
        <v>42</v>
      </c>
      <c r="K7916" t="s">
        <v>30</v>
      </c>
      <c r="L7916" t="s">
        <v>31</v>
      </c>
      <c r="M7916" t="s">
        <v>277</v>
      </c>
      <c r="N7916">
        <v>37</v>
      </c>
      <c r="O7916">
        <v>8.8989787000000001E-2</v>
      </c>
      <c r="P7916">
        <v>8.6699350999999994E-2</v>
      </c>
      <c r="Q7916" t="str">
        <f t="shared" si="246"/>
        <v>25-34</v>
      </c>
      <c r="R7916" t="str">
        <f t="shared" si="247"/>
        <v>[YCKiBAp8QAg]|25-34|Female|NEW_INFECTIONS_SUBNAT.T2|CY2026Q3</v>
      </c>
    </row>
    <row r="7917" spans="4:18" x14ac:dyDescent="0.2">
      <c r="D7917" t="s">
        <v>75</v>
      </c>
      <c r="E7917" t="s">
        <v>76</v>
      </c>
      <c r="F7917" t="s">
        <v>77</v>
      </c>
      <c r="G7917" t="s">
        <v>279</v>
      </c>
      <c r="H7917" t="s">
        <v>279</v>
      </c>
      <c r="I7917" t="s">
        <v>43</v>
      </c>
      <c r="J7917" t="s">
        <v>44</v>
      </c>
      <c r="K7917" t="s">
        <v>30</v>
      </c>
      <c r="L7917" t="s">
        <v>31</v>
      </c>
      <c r="M7917" t="s">
        <v>277</v>
      </c>
      <c r="N7917">
        <v>19</v>
      </c>
      <c r="O7917">
        <v>8.2805878999999999E-2</v>
      </c>
      <c r="P7917">
        <v>8.6699350999999994E-2</v>
      </c>
      <c r="Q7917" t="str">
        <f t="shared" si="246"/>
        <v>35-49</v>
      </c>
      <c r="R7917" t="str">
        <f t="shared" si="247"/>
        <v>[YCKiBAp8QAg]|35-49|Female|NEW_INFECTIONS_SUBNAT.T2|CY2026Q3</v>
      </c>
    </row>
    <row r="7918" spans="4:18" x14ac:dyDescent="0.2">
      <c r="D7918" t="s">
        <v>75</v>
      </c>
      <c r="E7918" t="s">
        <v>76</v>
      </c>
      <c r="F7918" t="s">
        <v>77</v>
      </c>
      <c r="G7918" t="s">
        <v>279</v>
      </c>
      <c r="H7918" t="s">
        <v>279</v>
      </c>
      <c r="I7918" t="s">
        <v>45</v>
      </c>
      <c r="J7918" t="s">
        <v>46</v>
      </c>
      <c r="K7918" t="s">
        <v>30</v>
      </c>
      <c r="L7918" t="s">
        <v>31</v>
      </c>
      <c r="M7918" t="s">
        <v>277</v>
      </c>
      <c r="N7918">
        <v>3</v>
      </c>
      <c r="O7918">
        <v>8.1947592E-2</v>
      </c>
      <c r="P7918">
        <v>8.6699350999999994E-2</v>
      </c>
      <c r="Q7918" t="str">
        <f t="shared" si="246"/>
        <v>50+</v>
      </c>
      <c r="R7918" t="str">
        <f t="shared" si="247"/>
        <v>[YCKiBAp8QAg]|50+|Female|NEW_INFECTIONS_SUBNAT.T2|CY2026Q3</v>
      </c>
    </row>
    <row r="7919" spans="4:18" x14ac:dyDescent="0.2">
      <c r="D7919" t="s">
        <v>75</v>
      </c>
      <c r="E7919" t="s">
        <v>76</v>
      </c>
      <c r="F7919" t="s">
        <v>77</v>
      </c>
      <c r="G7919" t="s">
        <v>279</v>
      </c>
      <c r="H7919" t="s">
        <v>279</v>
      </c>
      <c r="I7919" t="s">
        <v>28</v>
      </c>
      <c r="J7919" t="s">
        <v>29</v>
      </c>
      <c r="K7919" t="s">
        <v>48</v>
      </c>
      <c r="L7919" t="s">
        <v>49</v>
      </c>
      <c r="M7919" t="s">
        <v>277</v>
      </c>
      <c r="N7919">
        <v>9</v>
      </c>
      <c r="O7919">
        <v>8.3187469999999999E-2</v>
      </c>
      <c r="P7919">
        <v>8.6699350999999994E-2</v>
      </c>
      <c r="Q7919" t="str">
        <f t="shared" si="246"/>
        <v>&lt;01</v>
      </c>
      <c r="R7919" t="str">
        <f t="shared" si="247"/>
        <v>[YCKiBAp8QAg]|&lt;01|Male|NEW_INFECTIONS_SUBNAT.T2|CY2026Q3</v>
      </c>
    </row>
    <row r="7920" spans="4:18" x14ac:dyDescent="0.2">
      <c r="D7920" t="s">
        <v>75</v>
      </c>
      <c r="E7920" t="s">
        <v>76</v>
      </c>
      <c r="F7920" t="s">
        <v>77</v>
      </c>
      <c r="G7920" t="s">
        <v>279</v>
      </c>
      <c r="H7920" t="s">
        <v>279</v>
      </c>
      <c r="I7920" t="s">
        <v>33</v>
      </c>
      <c r="J7920" t="s">
        <v>34</v>
      </c>
      <c r="K7920" t="s">
        <v>48</v>
      </c>
      <c r="L7920" t="s">
        <v>49</v>
      </c>
      <c r="M7920" t="s">
        <v>277</v>
      </c>
      <c r="N7920">
        <v>2</v>
      </c>
      <c r="O7920">
        <v>4.1593735E-2</v>
      </c>
      <c r="P7920">
        <v>8.6699350999999994E-2</v>
      </c>
      <c r="Q7920" t="str">
        <f t="shared" si="246"/>
        <v>01-09</v>
      </c>
      <c r="R7920" t="str">
        <f t="shared" si="247"/>
        <v>[YCKiBAp8QAg]|01-09|Male|NEW_INFECTIONS_SUBNAT.T2|CY2026Q3</v>
      </c>
    </row>
    <row r="7921" spans="4:18" x14ac:dyDescent="0.2">
      <c r="D7921" t="s">
        <v>75</v>
      </c>
      <c r="E7921" t="s">
        <v>76</v>
      </c>
      <c r="F7921" t="s">
        <v>77</v>
      </c>
      <c r="G7921" t="s">
        <v>279</v>
      </c>
      <c r="H7921" t="s">
        <v>279</v>
      </c>
      <c r="I7921" t="s">
        <v>36</v>
      </c>
      <c r="J7921" t="s">
        <v>37</v>
      </c>
      <c r="K7921" t="s">
        <v>48</v>
      </c>
      <c r="L7921" t="s">
        <v>49</v>
      </c>
      <c r="M7921" t="s">
        <v>277</v>
      </c>
      <c r="N7921">
        <v>0</v>
      </c>
      <c r="O7921">
        <v>0</v>
      </c>
      <c r="P7921">
        <v>8.6699350999999994E-2</v>
      </c>
      <c r="Q7921" t="str">
        <f t="shared" si="246"/>
        <v>10-14</v>
      </c>
      <c r="R7921" t="str">
        <f t="shared" si="247"/>
        <v>[YCKiBAp8QAg]|10-14|Male|NEW_INFECTIONS_SUBNAT.T2|CY2026Q3</v>
      </c>
    </row>
    <row r="7922" spans="4:18" x14ac:dyDescent="0.2">
      <c r="D7922" t="s">
        <v>75</v>
      </c>
      <c r="E7922" t="s">
        <v>76</v>
      </c>
      <c r="F7922" t="s">
        <v>77</v>
      </c>
      <c r="G7922" t="s">
        <v>279</v>
      </c>
      <c r="H7922" t="s">
        <v>279</v>
      </c>
      <c r="I7922" t="s">
        <v>38</v>
      </c>
      <c r="J7922" t="s">
        <v>39</v>
      </c>
      <c r="K7922" t="s">
        <v>48</v>
      </c>
      <c r="L7922" t="s">
        <v>49</v>
      </c>
      <c r="M7922" t="s">
        <v>277</v>
      </c>
      <c r="N7922">
        <v>6</v>
      </c>
      <c r="O7922">
        <v>9.1610230000000001E-2</v>
      </c>
      <c r="P7922">
        <v>8.6699350999999994E-2</v>
      </c>
      <c r="Q7922" t="str">
        <f t="shared" si="246"/>
        <v>15-24</v>
      </c>
      <c r="R7922" t="str">
        <f t="shared" si="247"/>
        <v>[YCKiBAp8QAg]|15-24|Male|NEW_INFECTIONS_SUBNAT.T2|CY2026Q3</v>
      </c>
    </row>
    <row r="7923" spans="4:18" x14ac:dyDescent="0.2">
      <c r="D7923" t="s">
        <v>75</v>
      </c>
      <c r="E7923" t="s">
        <v>76</v>
      </c>
      <c r="F7923" t="s">
        <v>77</v>
      </c>
      <c r="G7923" t="s">
        <v>279</v>
      </c>
      <c r="H7923" t="s">
        <v>279</v>
      </c>
      <c r="I7923" t="s">
        <v>41</v>
      </c>
      <c r="J7923" t="s">
        <v>42</v>
      </c>
      <c r="K7923" t="s">
        <v>48</v>
      </c>
      <c r="L7923" t="s">
        <v>49</v>
      </c>
      <c r="M7923" t="s">
        <v>277</v>
      </c>
      <c r="N7923">
        <v>21</v>
      </c>
      <c r="O7923">
        <v>9.0870596999999997E-2</v>
      </c>
      <c r="P7923">
        <v>8.6699350999999994E-2</v>
      </c>
      <c r="Q7923" t="str">
        <f t="shared" si="246"/>
        <v>25-34</v>
      </c>
      <c r="R7923" t="str">
        <f t="shared" si="247"/>
        <v>[YCKiBAp8QAg]|25-34|Male|NEW_INFECTIONS_SUBNAT.T2|CY2026Q3</v>
      </c>
    </row>
    <row r="7924" spans="4:18" x14ac:dyDescent="0.2">
      <c r="D7924" t="s">
        <v>75</v>
      </c>
      <c r="E7924" t="s">
        <v>76</v>
      </c>
      <c r="F7924" t="s">
        <v>77</v>
      </c>
      <c r="G7924" t="s">
        <v>279</v>
      </c>
      <c r="H7924" t="s">
        <v>279</v>
      </c>
      <c r="I7924" t="s">
        <v>43</v>
      </c>
      <c r="J7924" t="s">
        <v>44</v>
      </c>
      <c r="K7924" t="s">
        <v>48</v>
      </c>
      <c r="L7924" t="s">
        <v>49</v>
      </c>
      <c r="M7924" t="s">
        <v>277</v>
      </c>
      <c r="N7924">
        <v>22</v>
      </c>
      <c r="O7924">
        <v>8.7134725999999996E-2</v>
      </c>
      <c r="P7924">
        <v>8.6699350999999994E-2</v>
      </c>
      <c r="Q7924" t="str">
        <f t="shared" si="246"/>
        <v>35-49</v>
      </c>
      <c r="R7924" t="str">
        <f t="shared" si="247"/>
        <v>[YCKiBAp8QAg]|35-49|Male|NEW_INFECTIONS_SUBNAT.T2|CY2026Q3</v>
      </c>
    </row>
    <row r="7925" spans="4:18" x14ac:dyDescent="0.2">
      <c r="D7925" t="s">
        <v>75</v>
      </c>
      <c r="E7925" t="s">
        <v>76</v>
      </c>
      <c r="F7925" t="s">
        <v>77</v>
      </c>
      <c r="G7925" t="s">
        <v>279</v>
      </c>
      <c r="H7925" t="s">
        <v>279</v>
      </c>
      <c r="I7925" t="s">
        <v>45</v>
      </c>
      <c r="J7925" t="s">
        <v>46</v>
      </c>
      <c r="K7925" t="s">
        <v>48</v>
      </c>
      <c r="L7925" t="s">
        <v>49</v>
      </c>
      <c r="M7925" t="s">
        <v>277</v>
      </c>
      <c r="N7925">
        <v>7</v>
      </c>
      <c r="O7925">
        <v>8.3394220000000005E-2</v>
      </c>
      <c r="P7925">
        <v>8.6699350999999994E-2</v>
      </c>
      <c r="Q7925" t="str">
        <f t="shared" si="246"/>
        <v>50+</v>
      </c>
      <c r="R7925" t="str">
        <f t="shared" si="247"/>
        <v>[YCKiBAp8QAg]|50+|Male|NEW_INFECTIONS_SUBNAT.T2|CY2026Q3</v>
      </c>
    </row>
    <row r="7926" spans="4:18" x14ac:dyDescent="0.2">
      <c r="D7926" t="s">
        <v>78</v>
      </c>
      <c r="E7926" t="s">
        <v>79</v>
      </c>
      <c r="F7926" t="s">
        <v>80</v>
      </c>
      <c r="G7926" t="s">
        <v>279</v>
      </c>
      <c r="H7926" t="s">
        <v>279</v>
      </c>
      <c r="I7926" t="s">
        <v>28</v>
      </c>
      <c r="J7926" t="s">
        <v>29</v>
      </c>
      <c r="K7926" t="s">
        <v>30</v>
      </c>
      <c r="L7926" t="s">
        <v>31</v>
      </c>
      <c r="M7926" t="s">
        <v>277</v>
      </c>
      <c r="N7926">
        <v>3</v>
      </c>
      <c r="O7926">
        <v>9.8951963000000004E-2</v>
      </c>
      <c r="P7926">
        <v>0.102386225</v>
      </c>
      <c r="Q7926" t="str">
        <f t="shared" si="246"/>
        <v>&lt;01</v>
      </c>
      <c r="R7926" t="str">
        <f t="shared" si="247"/>
        <v>[fiRkU6gEjLz]|&lt;01|Female|NEW_INFECTIONS_SUBNAT.T2|CY2026Q3</v>
      </c>
    </row>
    <row r="7927" spans="4:18" x14ac:dyDescent="0.2">
      <c r="D7927" t="s">
        <v>78</v>
      </c>
      <c r="E7927" t="s">
        <v>79</v>
      </c>
      <c r="F7927" t="s">
        <v>80</v>
      </c>
      <c r="G7927" t="s">
        <v>279</v>
      </c>
      <c r="H7927" t="s">
        <v>279</v>
      </c>
      <c r="I7927" t="s">
        <v>33</v>
      </c>
      <c r="J7927" t="s">
        <v>34</v>
      </c>
      <c r="K7927" t="s">
        <v>30</v>
      </c>
      <c r="L7927" t="s">
        <v>31</v>
      </c>
      <c r="M7927" t="s">
        <v>277</v>
      </c>
      <c r="N7927">
        <v>1</v>
      </c>
      <c r="O7927">
        <v>4.9475981000000002E-2</v>
      </c>
      <c r="P7927">
        <v>0.102386225</v>
      </c>
      <c r="Q7927" t="str">
        <f t="shared" si="246"/>
        <v>01-09</v>
      </c>
      <c r="R7927" t="str">
        <f t="shared" si="247"/>
        <v>[fiRkU6gEjLz]|01-09|Female|NEW_INFECTIONS_SUBNAT.T2|CY2026Q3</v>
      </c>
    </row>
    <row r="7928" spans="4:18" x14ac:dyDescent="0.2">
      <c r="D7928" t="s">
        <v>78</v>
      </c>
      <c r="E7928" t="s">
        <v>79</v>
      </c>
      <c r="F7928" t="s">
        <v>80</v>
      </c>
      <c r="G7928" t="s">
        <v>279</v>
      </c>
      <c r="H7928" t="s">
        <v>279</v>
      </c>
      <c r="I7928" t="s">
        <v>36</v>
      </c>
      <c r="J7928" t="s">
        <v>37</v>
      </c>
      <c r="K7928" t="s">
        <v>30</v>
      </c>
      <c r="L7928" t="s">
        <v>31</v>
      </c>
      <c r="M7928" t="s">
        <v>277</v>
      </c>
      <c r="N7928">
        <v>0</v>
      </c>
      <c r="O7928">
        <v>0</v>
      </c>
      <c r="P7928">
        <v>0.102386225</v>
      </c>
      <c r="Q7928" t="str">
        <f t="shared" si="246"/>
        <v>10-14</v>
      </c>
      <c r="R7928" t="str">
        <f t="shared" si="247"/>
        <v>[fiRkU6gEjLz]|10-14|Female|NEW_INFECTIONS_SUBNAT.T2|CY2026Q3</v>
      </c>
    </row>
    <row r="7929" spans="4:18" x14ac:dyDescent="0.2">
      <c r="D7929" t="s">
        <v>78</v>
      </c>
      <c r="E7929" t="s">
        <v>79</v>
      </c>
      <c r="F7929" t="s">
        <v>80</v>
      </c>
      <c r="G7929" t="s">
        <v>279</v>
      </c>
      <c r="H7929" t="s">
        <v>279</v>
      </c>
      <c r="I7929" t="s">
        <v>38</v>
      </c>
      <c r="J7929" t="s">
        <v>39</v>
      </c>
      <c r="K7929" t="s">
        <v>30</v>
      </c>
      <c r="L7929" t="s">
        <v>31</v>
      </c>
      <c r="M7929" t="s">
        <v>277</v>
      </c>
      <c r="N7929">
        <v>13</v>
      </c>
      <c r="O7929">
        <v>0.105420389</v>
      </c>
      <c r="P7929">
        <v>0.102386225</v>
      </c>
      <c r="Q7929" t="str">
        <f t="shared" si="246"/>
        <v>15-24</v>
      </c>
      <c r="R7929" t="str">
        <f t="shared" si="247"/>
        <v>[fiRkU6gEjLz]|15-24|Female|NEW_INFECTIONS_SUBNAT.T2|CY2026Q3</v>
      </c>
    </row>
    <row r="7930" spans="4:18" x14ac:dyDescent="0.2">
      <c r="D7930" t="s">
        <v>78</v>
      </c>
      <c r="E7930" t="s">
        <v>79</v>
      </c>
      <c r="F7930" t="s">
        <v>80</v>
      </c>
      <c r="G7930" t="s">
        <v>279</v>
      </c>
      <c r="H7930" t="s">
        <v>279</v>
      </c>
      <c r="I7930" t="s">
        <v>41</v>
      </c>
      <c r="J7930" t="s">
        <v>42</v>
      </c>
      <c r="K7930" t="s">
        <v>30</v>
      </c>
      <c r="L7930" t="s">
        <v>31</v>
      </c>
      <c r="M7930" t="s">
        <v>277</v>
      </c>
      <c r="N7930">
        <v>14</v>
      </c>
      <c r="O7930">
        <v>0.1044123</v>
      </c>
      <c r="P7930">
        <v>0.102386225</v>
      </c>
      <c r="Q7930" t="str">
        <f t="shared" si="246"/>
        <v>25-34</v>
      </c>
      <c r="R7930" t="str">
        <f t="shared" si="247"/>
        <v>[fiRkU6gEjLz]|25-34|Female|NEW_INFECTIONS_SUBNAT.T2|CY2026Q3</v>
      </c>
    </row>
    <row r="7931" spans="4:18" x14ac:dyDescent="0.2">
      <c r="D7931" t="s">
        <v>78</v>
      </c>
      <c r="E7931" t="s">
        <v>79</v>
      </c>
      <c r="F7931" t="s">
        <v>80</v>
      </c>
      <c r="G7931" t="s">
        <v>279</v>
      </c>
      <c r="H7931" t="s">
        <v>279</v>
      </c>
      <c r="I7931" t="s">
        <v>43</v>
      </c>
      <c r="J7931" t="s">
        <v>44</v>
      </c>
      <c r="K7931" t="s">
        <v>30</v>
      </c>
      <c r="L7931" t="s">
        <v>31</v>
      </c>
      <c r="M7931" t="s">
        <v>277</v>
      </c>
      <c r="N7931">
        <v>8</v>
      </c>
      <c r="O7931">
        <v>0.10141557599999999</v>
      </c>
      <c r="P7931">
        <v>0.102386225</v>
      </c>
      <c r="Q7931" t="str">
        <f t="shared" si="246"/>
        <v>35-49</v>
      </c>
      <c r="R7931" t="str">
        <f t="shared" si="247"/>
        <v>[fiRkU6gEjLz]|35-49|Female|NEW_INFECTIONS_SUBNAT.T2|CY2026Q3</v>
      </c>
    </row>
    <row r="7932" spans="4:18" x14ac:dyDescent="0.2">
      <c r="D7932" t="s">
        <v>78</v>
      </c>
      <c r="E7932" t="s">
        <v>79</v>
      </c>
      <c r="F7932" t="s">
        <v>80</v>
      </c>
      <c r="G7932" t="s">
        <v>279</v>
      </c>
      <c r="H7932" t="s">
        <v>279</v>
      </c>
      <c r="I7932" t="s">
        <v>45</v>
      </c>
      <c r="J7932" t="s">
        <v>46</v>
      </c>
      <c r="K7932" t="s">
        <v>30</v>
      </c>
      <c r="L7932" t="s">
        <v>31</v>
      </c>
      <c r="M7932" t="s">
        <v>277</v>
      </c>
      <c r="N7932">
        <v>1</v>
      </c>
      <c r="O7932">
        <v>0.100953508</v>
      </c>
      <c r="P7932">
        <v>0.102386225</v>
      </c>
      <c r="Q7932" t="str">
        <f t="shared" si="246"/>
        <v>50+</v>
      </c>
      <c r="R7932" t="str">
        <f t="shared" si="247"/>
        <v>[fiRkU6gEjLz]|50+|Female|NEW_INFECTIONS_SUBNAT.T2|CY2026Q3</v>
      </c>
    </row>
    <row r="7933" spans="4:18" x14ac:dyDescent="0.2">
      <c r="D7933" t="s">
        <v>78</v>
      </c>
      <c r="E7933" t="s">
        <v>79</v>
      </c>
      <c r="F7933" t="s">
        <v>80</v>
      </c>
      <c r="G7933" t="s">
        <v>279</v>
      </c>
      <c r="H7933" t="s">
        <v>279</v>
      </c>
      <c r="I7933" t="s">
        <v>28</v>
      </c>
      <c r="J7933" t="s">
        <v>29</v>
      </c>
      <c r="K7933" t="s">
        <v>48</v>
      </c>
      <c r="L7933" t="s">
        <v>49</v>
      </c>
      <c r="M7933" t="s">
        <v>277</v>
      </c>
      <c r="N7933">
        <v>3</v>
      </c>
      <c r="O7933">
        <v>9.8951510000000006E-2</v>
      </c>
      <c r="P7933">
        <v>0.102386225</v>
      </c>
      <c r="Q7933" t="str">
        <f t="shared" si="246"/>
        <v>&lt;01</v>
      </c>
      <c r="R7933" t="str">
        <f t="shared" si="247"/>
        <v>[fiRkU6gEjLz]|&lt;01|Male|NEW_INFECTIONS_SUBNAT.T2|CY2026Q3</v>
      </c>
    </row>
    <row r="7934" spans="4:18" x14ac:dyDescent="0.2">
      <c r="D7934" t="s">
        <v>78</v>
      </c>
      <c r="E7934" t="s">
        <v>79</v>
      </c>
      <c r="F7934" t="s">
        <v>80</v>
      </c>
      <c r="G7934" t="s">
        <v>279</v>
      </c>
      <c r="H7934" t="s">
        <v>279</v>
      </c>
      <c r="I7934" t="s">
        <v>33</v>
      </c>
      <c r="J7934" t="s">
        <v>34</v>
      </c>
      <c r="K7934" t="s">
        <v>48</v>
      </c>
      <c r="L7934" t="s">
        <v>49</v>
      </c>
      <c r="M7934" t="s">
        <v>277</v>
      </c>
      <c r="N7934">
        <v>1</v>
      </c>
      <c r="O7934">
        <v>4.9475755000000003E-2</v>
      </c>
      <c r="P7934">
        <v>0.102386225</v>
      </c>
      <c r="Q7934" t="str">
        <f t="shared" si="246"/>
        <v>01-09</v>
      </c>
      <c r="R7934" t="str">
        <f t="shared" si="247"/>
        <v>[fiRkU6gEjLz]|01-09|Male|NEW_INFECTIONS_SUBNAT.T2|CY2026Q3</v>
      </c>
    </row>
    <row r="7935" spans="4:18" x14ac:dyDescent="0.2">
      <c r="D7935" t="s">
        <v>78</v>
      </c>
      <c r="E7935" t="s">
        <v>79</v>
      </c>
      <c r="F7935" t="s">
        <v>80</v>
      </c>
      <c r="G7935" t="s">
        <v>279</v>
      </c>
      <c r="H7935" t="s">
        <v>279</v>
      </c>
      <c r="I7935" t="s">
        <v>36</v>
      </c>
      <c r="J7935" t="s">
        <v>37</v>
      </c>
      <c r="K7935" t="s">
        <v>48</v>
      </c>
      <c r="L7935" t="s">
        <v>49</v>
      </c>
      <c r="M7935" t="s">
        <v>277</v>
      </c>
      <c r="N7935">
        <v>0</v>
      </c>
      <c r="O7935">
        <v>0</v>
      </c>
      <c r="P7935">
        <v>0.102386225</v>
      </c>
      <c r="Q7935" t="str">
        <f t="shared" si="246"/>
        <v>10-14</v>
      </c>
      <c r="R7935" t="str">
        <f t="shared" si="247"/>
        <v>[fiRkU6gEjLz]|10-14|Male|NEW_INFECTIONS_SUBNAT.T2|CY2026Q3</v>
      </c>
    </row>
    <row r="7936" spans="4:18" x14ac:dyDescent="0.2">
      <c r="D7936" t="s">
        <v>78</v>
      </c>
      <c r="E7936" t="s">
        <v>79</v>
      </c>
      <c r="F7936" t="s">
        <v>80</v>
      </c>
      <c r="G7936" t="s">
        <v>279</v>
      </c>
      <c r="H7936" t="s">
        <v>279</v>
      </c>
      <c r="I7936" t="s">
        <v>38</v>
      </c>
      <c r="J7936" t="s">
        <v>39</v>
      </c>
      <c r="K7936" t="s">
        <v>48</v>
      </c>
      <c r="L7936" t="s">
        <v>49</v>
      </c>
      <c r="M7936" t="s">
        <v>277</v>
      </c>
      <c r="N7936">
        <v>2</v>
      </c>
      <c r="O7936">
        <v>0.10565684</v>
      </c>
      <c r="P7936">
        <v>0.102386225</v>
      </c>
      <c r="Q7936" t="str">
        <f t="shared" si="246"/>
        <v>15-24</v>
      </c>
      <c r="R7936" t="str">
        <f t="shared" si="247"/>
        <v>[fiRkU6gEjLz]|15-24|Male|NEW_INFECTIONS_SUBNAT.T2|CY2026Q3</v>
      </c>
    </row>
    <row r="7937" spans="4:18" x14ac:dyDescent="0.2">
      <c r="D7937" t="s">
        <v>78</v>
      </c>
      <c r="E7937" t="s">
        <v>79</v>
      </c>
      <c r="F7937" t="s">
        <v>80</v>
      </c>
      <c r="G7937" t="s">
        <v>279</v>
      </c>
      <c r="H7937" t="s">
        <v>279</v>
      </c>
      <c r="I7937" t="s">
        <v>41</v>
      </c>
      <c r="J7937" t="s">
        <v>42</v>
      </c>
      <c r="K7937" t="s">
        <v>48</v>
      </c>
      <c r="L7937" t="s">
        <v>49</v>
      </c>
      <c r="M7937" t="s">
        <v>277</v>
      </c>
      <c r="N7937">
        <v>8</v>
      </c>
      <c r="O7937">
        <v>0.10528747400000001</v>
      </c>
      <c r="P7937">
        <v>0.102386225</v>
      </c>
      <c r="Q7937" t="str">
        <f t="shared" si="246"/>
        <v>25-34</v>
      </c>
      <c r="R7937" t="str">
        <f t="shared" si="247"/>
        <v>[fiRkU6gEjLz]|25-34|Male|NEW_INFECTIONS_SUBNAT.T2|CY2026Q3</v>
      </c>
    </row>
    <row r="7938" spans="4:18" x14ac:dyDescent="0.2">
      <c r="D7938" t="s">
        <v>78</v>
      </c>
      <c r="E7938" t="s">
        <v>79</v>
      </c>
      <c r="F7938" t="s">
        <v>80</v>
      </c>
      <c r="G7938" t="s">
        <v>279</v>
      </c>
      <c r="H7938" t="s">
        <v>279</v>
      </c>
      <c r="I7938" t="s">
        <v>43</v>
      </c>
      <c r="J7938" t="s">
        <v>44</v>
      </c>
      <c r="K7938" t="s">
        <v>48</v>
      </c>
      <c r="L7938" t="s">
        <v>49</v>
      </c>
      <c r="M7938" t="s">
        <v>277</v>
      </c>
      <c r="N7938">
        <v>8</v>
      </c>
      <c r="O7938">
        <v>0.10340120899999999</v>
      </c>
      <c r="P7938">
        <v>0.102386225</v>
      </c>
      <c r="Q7938" t="str">
        <f t="shared" si="246"/>
        <v>35-49</v>
      </c>
      <c r="R7938" t="str">
        <f t="shared" si="247"/>
        <v>[fiRkU6gEjLz]|35-49|Male|NEW_INFECTIONS_SUBNAT.T2|CY2026Q3</v>
      </c>
    </row>
    <row r="7939" spans="4:18" x14ac:dyDescent="0.2">
      <c r="D7939" t="s">
        <v>78</v>
      </c>
      <c r="E7939" t="s">
        <v>79</v>
      </c>
      <c r="F7939" t="s">
        <v>80</v>
      </c>
      <c r="G7939" t="s">
        <v>279</v>
      </c>
      <c r="H7939" t="s">
        <v>279</v>
      </c>
      <c r="I7939" t="s">
        <v>45</v>
      </c>
      <c r="J7939" t="s">
        <v>46</v>
      </c>
      <c r="K7939" t="s">
        <v>48</v>
      </c>
      <c r="L7939" t="s">
        <v>49</v>
      </c>
      <c r="M7939" t="s">
        <v>277</v>
      </c>
      <c r="N7939">
        <v>3</v>
      </c>
      <c r="O7939">
        <v>0.101356577</v>
      </c>
      <c r="P7939">
        <v>0.102386225</v>
      </c>
      <c r="Q7939" t="str">
        <f t="shared" ref="Q7939:Q8002" si="248">SUBSTITUTE(SUBSTITUTE($I7939,CHAR(61),""),CHAR(34),"")</f>
        <v>50+</v>
      </c>
      <c r="R7939" t="str">
        <f t="shared" ref="R7939:R8002" si="249">IF($D7939&lt;&gt;"","["&amp;$E7939&amp;"]"&amp;"|"&amp;$Q7939&amp;"|"&amp;$K7939&amp;"|"&amp;$G7939&amp;"|"&amp;IF($G7939="TX_CURR_SUBNAT.R","CY2023Q4",$M7939),"")</f>
        <v>[fiRkU6gEjLz]|50+|Male|NEW_INFECTIONS_SUBNAT.T2|CY2026Q3</v>
      </c>
    </row>
    <row r="7940" spans="4:18" x14ac:dyDescent="0.2">
      <c r="D7940" t="s">
        <v>81</v>
      </c>
      <c r="E7940" t="s">
        <v>82</v>
      </c>
      <c r="F7940" t="s">
        <v>83</v>
      </c>
      <c r="G7940" t="s">
        <v>279</v>
      </c>
      <c r="H7940" t="s">
        <v>279</v>
      </c>
      <c r="I7940" t="s">
        <v>28</v>
      </c>
      <c r="J7940" t="s">
        <v>29</v>
      </c>
      <c r="K7940" t="s">
        <v>30</v>
      </c>
      <c r="L7940" t="s">
        <v>31</v>
      </c>
      <c r="M7940" t="s">
        <v>277</v>
      </c>
      <c r="N7940">
        <v>8</v>
      </c>
      <c r="O7940">
        <v>8.5983669999999998E-2</v>
      </c>
      <c r="P7940">
        <v>9.1910616000000001E-2</v>
      </c>
      <c r="Q7940" t="str">
        <f t="shared" si="248"/>
        <v>&lt;01</v>
      </c>
      <c r="R7940" t="str">
        <f t="shared" si="249"/>
        <v>[zphK9WV8JB4]|&lt;01|Female|NEW_INFECTIONS_SUBNAT.T2|CY2026Q3</v>
      </c>
    </row>
    <row r="7941" spans="4:18" x14ac:dyDescent="0.2">
      <c r="D7941" t="s">
        <v>81</v>
      </c>
      <c r="E7941" t="s">
        <v>82</v>
      </c>
      <c r="F7941" t="s">
        <v>83</v>
      </c>
      <c r="G7941" t="s">
        <v>279</v>
      </c>
      <c r="H7941" t="s">
        <v>279</v>
      </c>
      <c r="I7941" t="s">
        <v>33</v>
      </c>
      <c r="J7941" t="s">
        <v>34</v>
      </c>
      <c r="K7941" t="s">
        <v>30</v>
      </c>
      <c r="L7941" t="s">
        <v>31</v>
      </c>
      <c r="M7941" t="s">
        <v>277</v>
      </c>
      <c r="N7941">
        <v>2</v>
      </c>
      <c r="O7941">
        <v>4.2991834999999999E-2</v>
      </c>
      <c r="P7941">
        <v>9.1910616000000001E-2</v>
      </c>
      <c r="Q7941" t="str">
        <f t="shared" si="248"/>
        <v>01-09</v>
      </c>
      <c r="R7941" t="str">
        <f t="shared" si="249"/>
        <v>[zphK9WV8JB4]|01-09|Female|NEW_INFECTIONS_SUBNAT.T2|CY2026Q3</v>
      </c>
    </row>
    <row r="7942" spans="4:18" x14ac:dyDescent="0.2">
      <c r="D7942" t="s">
        <v>81</v>
      </c>
      <c r="E7942" t="s">
        <v>82</v>
      </c>
      <c r="F7942" t="s">
        <v>83</v>
      </c>
      <c r="G7942" t="s">
        <v>279</v>
      </c>
      <c r="H7942" t="s">
        <v>279</v>
      </c>
      <c r="I7942" t="s">
        <v>36</v>
      </c>
      <c r="J7942" t="s">
        <v>37</v>
      </c>
      <c r="K7942" t="s">
        <v>30</v>
      </c>
      <c r="L7942" t="s">
        <v>31</v>
      </c>
      <c r="M7942" t="s">
        <v>277</v>
      </c>
      <c r="N7942">
        <v>0</v>
      </c>
      <c r="O7942">
        <v>0</v>
      </c>
      <c r="P7942">
        <v>9.1910616000000001E-2</v>
      </c>
      <c r="Q7942" t="str">
        <f t="shared" si="248"/>
        <v>10-14</v>
      </c>
      <c r="R7942" t="str">
        <f t="shared" si="249"/>
        <v>[zphK9WV8JB4]|10-14|Female|NEW_INFECTIONS_SUBNAT.T2|CY2026Q3</v>
      </c>
    </row>
    <row r="7943" spans="4:18" x14ac:dyDescent="0.2">
      <c r="D7943" t="s">
        <v>81</v>
      </c>
      <c r="E7943" t="s">
        <v>82</v>
      </c>
      <c r="F7943" t="s">
        <v>83</v>
      </c>
      <c r="G7943" t="s">
        <v>279</v>
      </c>
      <c r="H7943" t="s">
        <v>279</v>
      </c>
      <c r="I7943" t="s">
        <v>38</v>
      </c>
      <c r="J7943" t="s">
        <v>39</v>
      </c>
      <c r="K7943" t="s">
        <v>30</v>
      </c>
      <c r="L7943" t="s">
        <v>31</v>
      </c>
      <c r="M7943" t="s">
        <v>277</v>
      </c>
      <c r="N7943">
        <v>38</v>
      </c>
      <c r="O7943">
        <v>9.5549868999999996E-2</v>
      </c>
      <c r="P7943">
        <v>9.1910616000000001E-2</v>
      </c>
      <c r="Q7943" t="str">
        <f t="shared" si="248"/>
        <v>15-24</v>
      </c>
      <c r="R7943" t="str">
        <f t="shared" si="249"/>
        <v>[zphK9WV8JB4]|15-24|Female|NEW_INFECTIONS_SUBNAT.T2|CY2026Q3</v>
      </c>
    </row>
    <row r="7944" spans="4:18" x14ac:dyDescent="0.2">
      <c r="D7944" t="s">
        <v>81</v>
      </c>
      <c r="E7944" t="s">
        <v>82</v>
      </c>
      <c r="F7944" t="s">
        <v>83</v>
      </c>
      <c r="G7944" t="s">
        <v>279</v>
      </c>
      <c r="H7944" t="s">
        <v>279</v>
      </c>
      <c r="I7944" t="s">
        <v>41</v>
      </c>
      <c r="J7944" t="s">
        <v>42</v>
      </c>
      <c r="K7944" t="s">
        <v>30</v>
      </c>
      <c r="L7944" t="s">
        <v>31</v>
      </c>
      <c r="M7944" t="s">
        <v>277</v>
      </c>
      <c r="N7944">
        <v>40</v>
      </c>
      <c r="O7944">
        <v>9.4514571000000006E-2</v>
      </c>
      <c r="P7944">
        <v>9.1910616000000001E-2</v>
      </c>
      <c r="Q7944" t="str">
        <f t="shared" si="248"/>
        <v>25-34</v>
      </c>
      <c r="R7944" t="str">
        <f t="shared" si="249"/>
        <v>[zphK9WV8JB4]|25-34|Female|NEW_INFECTIONS_SUBNAT.T2|CY2026Q3</v>
      </c>
    </row>
    <row r="7945" spans="4:18" x14ac:dyDescent="0.2">
      <c r="D7945" t="s">
        <v>81</v>
      </c>
      <c r="E7945" t="s">
        <v>82</v>
      </c>
      <c r="F7945" t="s">
        <v>83</v>
      </c>
      <c r="G7945" t="s">
        <v>279</v>
      </c>
      <c r="H7945" t="s">
        <v>279</v>
      </c>
      <c r="I7945" t="s">
        <v>43</v>
      </c>
      <c r="J7945" t="s">
        <v>44</v>
      </c>
      <c r="K7945" t="s">
        <v>30</v>
      </c>
      <c r="L7945" t="s">
        <v>31</v>
      </c>
      <c r="M7945" t="s">
        <v>277</v>
      </c>
      <c r="N7945">
        <v>22</v>
      </c>
      <c r="O7945">
        <v>9.1482000999999993E-2</v>
      </c>
      <c r="P7945">
        <v>9.1910616000000001E-2</v>
      </c>
      <c r="Q7945" t="str">
        <f t="shared" si="248"/>
        <v>35-49</v>
      </c>
      <c r="R7945" t="str">
        <f t="shared" si="249"/>
        <v>[zphK9WV8JB4]|35-49|Female|NEW_INFECTIONS_SUBNAT.T2|CY2026Q3</v>
      </c>
    </row>
    <row r="7946" spans="4:18" x14ac:dyDescent="0.2">
      <c r="D7946" t="s">
        <v>81</v>
      </c>
      <c r="E7946" t="s">
        <v>82</v>
      </c>
      <c r="F7946" t="s">
        <v>83</v>
      </c>
      <c r="G7946" t="s">
        <v>279</v>
      </c>
      <c r="H7946" t="s">
        <v>279</v>
      </c>
      <c r="I7946" t="s">
        <v>45</v>
      </c>
      <c r="J7946" t="s">
        <v>46</v>
      </c>
      <c r="K7946" t="s">
        <v>30</v>
      </c>
      <c r="L7946" t="s">
        <v>31</v>
      </c>
      <c r="M7946" t="s">
        <v>277</v>
      </c>
      <c r="N7946">
        <v>4</v>
      </c>
      <c r="O7946">
        <v>9.1040490000000002E-2</v>
      </c>
      <c r="P7946">
        <v>9.1910616000000001E-2</v>
      </c>
      <c r="Q7946" t="str">
        <f t="shared" si="248"/>
        <v>50+</v>
      </c>
      <c r="R7946" t="str">
        <f t="shared" si="249"/>
        <v>[zphK9WV8JB4]|50+|Female|NEW_INFECTIONS_SUBNAT.T2|CY2026Q3</v>
      </c>
    </row>
    <row r="7947" spans="4:18" x14ac:dyDescent="0.2">
      <c r="D7947" t="s">
        <v>81</v>
      </c>
      <c r="E7947" t="s">
        <v>82</v>
      </c>
      <c r="F7947" t="s">
        <v>83</v>
      </c>
      <c r="G7947" t="s">
        <v>279</v>
      </c>
      <c r="H7947" t="s">
        <v>279</v>
      </c>
      <c r="I7947" t="s">
        <v>28</v>
      </c>
      <c r="J7947" t="s">
        <v>29</v>
      </c>
      <c r="K7947" t="s">
        <v>48</v>
      </c>
      <c r="L7947" t="s">
        <v>49</v>
      </c>
      <c r="M7947" t="s">
        <v>277</v>
      </c>
      <c r="N7947">
        <v>8</v>
      </c>
      <c r="O7947">
        <v>8.5983562999999999E-2</v>
      </c>
      <c r="P7947">
        <v>9.1910616000000001E-2</v>
      </c>
      <c r="Q7947" t="str">
        <f t="shared" si="248"/>
        <v>&lt;01</v>
      </c>
      <c r="R7947" t="str">
        <f t="shared" si="249"/>
        <v>[zphK9WV8JB4]|&lt;01|Male|NEW_INFECTIONS_SUBNAT.T2|CY2026Q3</v>
      </c>
    </row>
    <row r="7948" spans="4:18" x14ac:dyDescent="0.2">
      <c r="D7948" t="s">
        <v>81</v>
      </c>
      <c r="E7948" t="s">
        <v>82</v>
      </c>
      <c r="F7948" t="s">
        <v>83</v>
      </c>
      <c r="G7948" t="s">
        <v>279</v>
      </c>
      <c r="H7948" t="s">
        <v>279</v>
      </c>
      <c r="I7948" t="s">
        <v>33</v>
      </c>
      <c r="J7948" t="s">
        <v>34</v>
      </c>
      <c r="K7948" t="s">
        <v>48</v>
      </c>
      <c r="L7948" t="s">
        <v>49</v>
      </c>
      <c r="M7948" t="s">
        <v>277</v>
      </c>
      <c r="N7948">
        <v>2</v>
      </c>
      <c r="O7948">
        <v>4.2991781E-2</v>
      </c>
      <c r="P7948">
        <v>9.1910616000000001E-2</v>
      </c>
      <c r="Q7948" t="str">
        <f t="shared" si="248"/>
        <v>01-09</v>
      </c>
      <c r="R7948" t="str">
        <f t="shared" si="249"/>
        <v>[zphK9WV8JB4]|01-09|Male|NEW_INFECTIONS_SUBNAT.T2|CY2026Q3</v>
      </c>
    </row>
    <row r="7949" spans="4:18" x14ac:dyDescent="0.2">
      <c r="D7949" t="s">
        <v>81</v>
      </c>
      <c r="E7949" t="s">
        <v>82</v>
      </c>
      <c r="F7949" t="s">
        <v>83</v>
      </c>
      <c r="G7949" t="s">
        <v>279</v>
      </c>
      <c r="H7949" t="s">
        <v>279</v>
      </c>
      <c r="I7949" t="s">
        <v>36</v>
      </c>
      <c r="J7949" t="s">
        <v>37</v>
      </c>
      <c r="K7949" t="s">
        <v>48</v>
      </c>
      <c r="L7949" t="s">
        <v>49</v>
      </c>
      <c r="M7949" t="s">
        <v>277</v>
      </c>
      <c r="N7949">
        <v>0</v>
      </c>
      <c r="O7949">
        <v>0</v>
      </c>
      <c r="P7949">
        <v>9.1910616000000001E-2</v>
      </c>
      <c r="Q7949" t="str">
        <f t="shared" si="248"/>
        <v>10-14</v>
      </c>
      <c r="R7949" t="str">
        <f t="shared" si="249"/>
        <v>[zphK9WV8JB4]|10-14|Male|NEW_INFECTIONS_SUBNAT.T2|CY2026Q3</v>
      </c>
    </row>
    <row r="7950" spans="4:18" x14ac:dyDescent="0.2">
      <c r="D7950" t="s">
        <v>81</v>
      </c>
      <c r="E7950" t="s">
        <v>82</v>
      </c>
      <c r="F7950" t="s">
        <v>83</v>
      </c>
      <c r="G7950" t="s">
        <v>279</v>
      </c>
      <c r="H7950" t="s">
        <v>279</v>
      </c>
      <c r="I7950" t="s">
        <v>38</v>
      </c>
      <c r="J7950" t="s">
        <v>39</v>
      </c>
      <c r="K7950" t="s">
        <v>48</v>
      </c>
      <c r="L7950" t="s">
        <v>49</v>
      </c>
      <c r="M7950" t="s">
        <v>277</v>
      </c>
      <c r="N7950">
        <v>7</v>
      </c>
      <c r="O7950">
        <v>9.5791606000000001E-2</v>
      </c>
      <c r="P7950">
        <v>9.1910616000000001E-2</v>
      </c>
      <c r="Q7950" t="str">
        <f t="shared" si="248"/>
        <v>15-24</v>
      </c>
      <c r="R7950" t="str">
        <f t="shared" si="249"/>
        <v>[zphK9WV8JB4]|15-24|Male|NEW_INFECTIONS_SUBNAT.T2|CY2026Q3</v>
      </c>
    </row>
    <row r="7951" spans="4:18" x14ac:dyDescent="0.2">
      <c r="D7951" t="s">
        <v>81</v>
      </c>
      <c r="E7951" t="s">
        <v>82</v>
      </c>
      <c r="F7951" t="s">
        <v>83</v>
      </c>
      <c r="G7951" t="s">
        <v>279</v>
      </c>
      <c r="H7951" t="s">
        <v>279</v>
      </c>
      <c r="I7951" t="s">
        <v>41</v>
      </c>
      <c r="J7951" t="s">
        <v>42</v>
      </c>
      <c r="K7951" t="s">
        <v>48</v>
      </c>
      <c r="L7951" t="s">
        <v>49</v>
      </c>
      <c r="M7951" t="s">
        <v>277</v>
      </c>
      <c r="N7951">
        <v>24</v>
      </c>
      <c r="O7951">
        <v>9.5375083999999999E-2</v>
      </c>
      <c r="P7951">
        <v>9.1910616000000001E-2</v>
      </c>
      <c r="Q7951" t="str">
        <f t="shared" si="248"/>
        <v>25-34</v>
      </c>
      <c r="R7951" t="str">
        <f t="shared" si="249"/>
        <v>[zphK9WV8JB4]|25-34|Male|NEW_INFECTIONS_SUBNAT.T2|CY2026Q3</v>
      </c>
    </row>
    <row r="7952" spans="4:18" x14ac:dyDescent="0.2">
      <c r="D7952" t="s">
        <v>81</v>
      </c>
      <c r="E7952" t="s">
        <v>82</v>
      </c>
      <c r="F7952" t="s">
        <v>83</v>
      </c>
      <c r="G7952" t="s">
        <v>279</v>
      </c>
      <c r="H7952" t="s">
        <v>279</v>
      </c>
      <c r="I7952" t="s">
        <v>43</v>
      </c>
      <c r="J7952" t="s">
        <v>44</v>
      </c>
      <c r="K7952" t="s">
        <v>48</v>
      </c>
      <c r="L7952" t="s">
        <v>49</v>
      </c>
      <c r="M7952" t="s">
        <v>277</v>
      </c>
      <c r="N7952">
        <v>25</v>
      </c>
      <c r="O7952">
        <v>9.3348387000000005E-2</v>
      </c>
      <c r="P7952">
        <v>9.1910616000000001E-2</v>
      </c>
      <c r="Q7952" t="str">
        <f t="shared" si="248"/>
        <v>35-49</v>
      </c>
      <c r="R7952" t="str">
        <f t="shared" si="249"/>
        <v>[zphK9WV8JB4]|35-49|Male|NEW_INFECTIONS_SUBNAT.T2|CY2026Q3</v>
      </c>
    </row>
    <row r="7953" spans="4:18" x14ac:dyDescent="0.2">
      <c r="D7953" t="s">
        <v>81</v>
      </c>
      <c r="E7953" t="s">
        <v>82</v>
      </c>
      <c r="F7953" t="s">
        <v>83</v>
      </c>
      <c r="G7953" t="s">
        <v>279</v>
      </c>
      <c r="H7953" t="s">
        <v>279</v>
      </c>
      <c r="I7953" t="s">
        <v>45</v>
      </c>
      <c r="J7953" t="s">
        <v>46</v>
      </c>
      <c r="K7953" t="s">
        <v>48</v>
      </c>
      <c r="L7953" t="s">
        <v>49</v>
      </c>
      <c r="M7953" t="s">
        <v>277</v>
      </c>
      <c r="N7953">
        <v>8</v>
      </c>
      <c r="O7953">
        <v>9.1453039999999999E-2</v>
      </c>
      <c r="P7953">
        <v>9.1910616000000001E-2</v>
      </c>
      <c r="Q7953" t="str">
        <f t="shared" si="248"/>
        <v>50+</v>
      </c>
      <c r="R7953" t="str">
        <f t="shared" si="249"/>
        <v>[zphK9WV8JB4]|50+|Male|NEW_INFECTIONS_SUBNAT.T2|CY2026Q3</v>
      </c>
    </row>
    <row r="7954" spans="4:18" x14ac:dyDescent="0.2">
      <c r="D7954" t="s">
        <v>84</v>
      </c>
      <c r="E7954" t="s">
        <v>85</v>
      </c>
      <c r="F7954" t="s">
        <v>86</v>
      </c>
      <c r="G7954" t="s">
        <v>279</v>
      </c>
      <c r="H7954" t="s">
        <v>279</v>
      </c>
      <c r="I7954" t="s">
        <v>28</v>
      </c>
      <c r="J7954" t="s">
        <v>29</v>
      </c>
      <c r="K7954" t="s">
        <v>30</v>
      </c>
      <c r="L7954" t="s">
        <v>31</v>
      </c>
      <c r="M7954" t="s">
        <v>277</v>
      </c>
      <c r="N7954">
        <v>14</v>
      </c>
      <c r="O7954">
        <v>6.7523697999999993E-2</v>
      </c>
      <c r="P7954">
        <v>7.0888279999999998E-2</v>
      </c>
      <c r="Q7954" t="str">
        <f t="shared" si="248"/>
        <v>&lt;01</v>
      </c>
      <c r="R7954" t="str">
        <f t="shared" si="249"/>
        <v>[msW2zpIN7up]|&lt;01|Female|NEW_INFECTIONS_SUBNAT.T2|CY2026Q3</v>
      </c>
    </row>
    <row r="7955" spans="4:18" x14ac:dyDescent="0.2">
      <c r="D7955" t="s">
        <v>84</v>
      </c>
      <c r="E7955" t="s">
        <v>85</v>
      </c>
      <c r="F7955" t="s">
        <v>86</v>
      </c>
      <c r="G7955" t="s">
        <v>279</v>
      </c>
      <c r="H7955" t="s">
        <v>279</v>
      </c>
      <c r="I7955" t="s">
        <v>33</v>
      </c>
      <c r="J7955" t="s">
        <v>34</v>
      </c>
      <c r="K7955" t="s">
        <v>30</v>
      </c>
      <c r="L7955" t="s">
        <v>31</v>
      </c>
      <c r="M7955" t="s">
        <v>277</v>
      </c>
      <c r="N7955">
        <v>4</v>
      </c>
      <c r="O7955">
        <v>3.3761848999999997E-2</v>
      </c>
      <c r="P7955">
        <v>7.0888279999999998E-2</v>
      </c>
      <c r="Q7955" t="str">
        <f t="shared" si="248"/>
        <v>01-09</v>
      </c>
      <c r="R7955" t="str">
        <f t="shared" si="249"/>
        <v>[msW2zpIN7up]|01-09|Female|NEW_INFECTIONS_SUBNAT.T2|CY2026Q3</v>
      </c>
    </row>
    <row r="7956" spans="4:18" x14ac:dyDescent="0.2">
      <c r="D7956" t="s">
        <v>84</v>
      </c>
      <c r="E7956" t="s">
        <v>85</v>
      </c>
      <c r="F7956" t="s">
        <v>86</v>
      </c>
      <c r="G7956" t="s">
        <v>279</v>
      </c>
      <c r="H7956" t="s">
        <v>279</v>
      </c>
      <c r="I7956" t="s">
        <v>36</v>
      </c>
      <c r="J7956" t="s">
        <v>37</v>
      </c>
      <c r="K7956" t="s">
        <v>30</v>
      </c>
      <c r="L7956" t="s">
        <v>31</v>
      </c>
      <c r="M7956" t="s">
        <v>277</v>
      </c>
      <c r="N7956">
        <v>0</v>
      </c>
      <c r="O7956">
        <v>0</v>
      </c>
      <c r="P7956">
        <v>7.0888279999999998E-2</v>
      </c>
      <c r="Q7956" t="str">
        <f t="shared" si="248"/>
        <v>10-14</v>
      </c>
      <c r="R7956" t="str">
        <f t="shared" si="249"/>
        <v>[msW2zpIN7up]|10-14|Female|NEW_INFECTIONS_SUBNAT.T2|CY2026Q3</v>
      </c>
    </row>
    <row r="7957" spans="4:18" x14ac:dyDescent="0.2">
      <c r="D7957" t="s">
        <v>84</v>
      </c>
      <c r="E7957" t="s">
        <v>85</v>
      </c>
      <c r="F7957" t="s">
        <v>86</v>
      </c>
      <c r="G7957" t="s">
        <v>279</v>
      </c>
      <c r="H7957" t="s">
        <v>279</v>
      </c>
      <c r="I7957" t="s">
        <v>38</v>
      </c>
      <c r="J7957" t="s">
        <v>39</v>
      </c>
      <c r="K7957" t="s">
        <v>30</v>
      </c>
      <c r="L7957" t="s">
        <v>31</v>
      </c>
      <c r="M7957" t="s">
        <v>277</v>
      </c>
      <c r="N7957">
        <v>53</v>
      </c>
      <c r="O7957">
        <v>7.5137310999999998E-2</v>
      </c>
      <c r="P7957">
        <v>7.0888279999999998E-2</v>
      </c>
      <c r="Q7957" t="str">
        <f t="shared" si="248"/>
        <v>15-24</v>
      </c>
      <c r="R7957" t="str">
        <f t="shared" si="249"/>
        <v>[msW2zpIN7up]|15-24|Female|NEW_INFECTIONS_SUBNAT.T2|CY2026Q3</v>
      </c>
    </row>
    <row r="7958" spans="4:18" x14ac:dyDescent="0.2">
      <c r="D7958" t="s">
        <v>84</v>
      </c>
      <c r="E7958" t="s">
        <v>85</v>
      </c>
      <c r="F7958" t="s">
        <v>86</v>
      </c>
      <c r="G7958" t="s">
        <v>279</v>
      </c>
      <c r="H7958" t="s">
        <v>279</v>
      </c>
      <c r="I7958" t="s">
        <v>41</v>
      </c>
      <c r="J7958" t="s">
        <v>42</v>
      </c>
      <c r="K7958" t="s">
        <v>30</v>
      </c>
      <c r="L7958" t="s">
        <v>31</v>
      </c>
      <c r="M7958" t="s">
        <v>277</v>
      </c>
      <c r="N7958">
        <v>54</v>
      </c>
      <c r="O7958">
        <v>7.3007937999999994E-2</v>
      </c>
      <c r="P7958">
        <v>7.0888279999999998E-2</v>
      </c>
      <c r="Q7958" t="str">
        <f t="shared" si="248"/>
        <v>25-34</v>
      </c>
      <c r="R7958" t="str">
        <f t="shared" si="249"/>
        <v>[msW2zpIN7up]|25-34|Female|NEW_INFECTIONS_SUBNAT.T2|CY2026Q3</v>
      </c>
    </row>
    <row r="7959" spans="4:18" x14ac:dyDescent="0.2">
      <c r="D7959" t="s">
        <v>84</v>
      </c>
      <c r="E7959" t="s">
        <v>85</v>
      </c>
      <c r="F7959" t="s">
        <v>86</v>
      </c>
      <c r="G7959" t="s">
        <v>279</v>
      </c>
      <c r="H7959" t="s">
        <v>279</v>
      </c>
      <c r="I7959" t="s">
        <v>43</v>
      </c>
      <c r="J7959" t="s">
        <v>44</v>
      </c>
      <c r="K7959" t="s">
        <v>30</v>
      </c>
      <c r="L7959" t="s">
        <v>31</v>
      </c>
      <c r="M7959" t="s">
        <v>277</v>
      </c>
      <c r="N7959">
        <v>27</v>
      </c>
      <c r="O7959">
        <v>6.6800349999999994E-2</v>
      </c>
      <c r="P7959">
        <v>7.0888279999999998E-2</v>
      </c>
      <c r="Q7959" t="str">
        <f t="shared" si="248"/>
        <v>35-49</v>
      </c>
      <c r="R7959" t="str">
        <f t="shared" si="249"/>
        <v>[msW2zpIN7up]|35-49|Female|NEW_INFECTIONS_SUBNAT.T2|CY2026Q3</v>
      </c>
    </row>
    <row r="7960" spans="4:18" x14ac:dyDescent="0.2">
      <c r="D7960" t="s">
        <v>84</v>
      </c>
      <c r="E7960" t="s">
        <v>85</v>
      </c>
      <c r="F7960" t="s">
        <v>86</v>
      </c>
      <c r="G7960" t="s">
        <v>279</v>
      </c>
      <c r="H7960" t="s">
        <v>279</v>
      </c>
      <c r="I7960" t="s">
        <v>45</v>
      </c>
      <c r="J7960" t="s">
        <v>46</v>
      </c>
      <c r="K7960" t="s">
        <v>30</v>
      </c>
      <c r="L7960" t="s">
        <v>31</v>
      </c>
      <c r="M7960" t="s">
        <v>277</v>
      </c>
      <c r="N7960">
        <v>4</v>
      </c>
      <c r="O7960">
        <v>6.6259607999999998E-2</v>
      </c>
      <c r="P7960">
        <v>7.0888279999999998E-2</v>
      </c>
      <c r="Q7960" t="str">
        <f t="shared" si="248"/>
        <v>50+</v>
      </c>
      <c r="R7960" t="str">
        <f t="shared" si="249"/>
        <v>[msW2zpIN7up]|50+|Female|NEW_INFECTIONS_SUBNAT.T2|CY2026Q3</v>
      </c>
    </row>
    <row r="7961" spans="4:18" x14ac:dyDescent="0.2">
      <c r="D7961" t="s">
        <v>84</v>
      </c>
      <c r="E7961" t="s">
        <v>85</v>
      </c>
      <c r="F7961" t="s">
        <v>86</v>
      </c>
      <c r="G7961" t="s">
        <v>279</v>
      </c>
      <c r="H7961" t="s">
        <v>279</v>
      </c>
      <c r="I7961" t="s">
        <v>28</v>
      </c>
      <c r="J7961" t="s">
        <v>29</v>
      </c>
      <c r="K7961" t="s">
        <v>48</v>
      </c>
      <c r="L7961" t="s">
        <v>49</v>
      </c>
      <c r="M7961" t="s">
        <v>277</v>
      </c>
      <c r="N7961">
        <v>15</v>
      </c>
      <c r="O7961">
        <v>6.7523690999999997E-2</v>
      </c>
      <c r="P7961">
        <v>7.0888279999999998E-2</v>
      </c>
      <c r="Q7961" t="str">
        <f t="shared" si="248"/>
        <v>&lt;01</v>
      </c>
      <c r="R7961" t="str">
        <f t="shared" si="249"/>
        <v>[msW2zpIN7up]|&lt;01|Male|NEW_INFECTIONS_SUBNAT.T2|CY2026Q3</v>
      </c>
    </row>
    <row r="7962" spans="4:18" x14ac:dyDescent="0.2">
      <c r="D7962" t="s">
        <v>84</v>
      </c>
      <c r="E7962" t="s">
        <v>85</v>
      </c>
      <c r="F7962" t="s">
        <v>86</v>
      </c>
      <c r="G7962" t="s">
        <v>279</v>
      </c>
      <c r="H7962" t="s">
        <v>279</v>
      </c>
      <c r="I7962" t="s">
        <v>33</v>
      </c>
      <c r="J7962" t="s">
        <v>34</v>
      </c>
      <c r="K7962" t="s">
        <v>48</v>
      </c>
      <c r="L7962" t="s">
        <v>49</v>
      </c>
      <c r="M7962" t="s">
        <v>277</v>
      </c>
      <c r="N7962">
        <v>4</v>
      </c>
      <c r="O7962">
        <v>3.3761844999999999E-2</v>
      </c>
      <c r="P7962">
        <v>7.0888279999999998E-2</v>
      </c>
      <c r="Q7962" t="str">
        <f t="shared" si="248"/>
        <v>01-09</v>
      </c>
      <c r="R7962" t="str">
        <f t="shared" si="249"/>
        <v>[msW2zpIN7up]|01-09|Male|NEW_INFECTIONS_SUBNAT.T2|CY2026Q3</v>
      </c>
    </row>
    <row r="7963" spans="4:18" x14ac:dyDescent="0.2">
      <c r="D7963" t="s">
        <v>84</v>
      </c>
      <c r="E7963" t="s">
        <v>85</v>
      </c>
      <c r="F7963" t="s">
        <v>86</v>
      </c>
      <c r="G7963" t="s">
        <v>279</v>
      </c>
      <c r="H7963" t="s">
        <v>279</v>
      </c>
      <c r="I7963" t="s">
        <v>36</v>
      </c>
      <c r="J7963" t="s">
        <v>37</v>
      </c>
      <c r="K7963" t="s">
        <v>48</v>
      </c>
      <c r="L7963" t="s">
        <v>49</v>
      </c>
      <c r="M7963" t="s">
        <v>277</v>
      </c>
      <c r="N7963">
        <v>0</v>
      </c>
      <c r="O7963">
        <v>0</v>
      </c>
      <c r="P7963">
        <v>7.0888279999999998E-2</v>
      </c>
      <c r="Q7963" t="str">
        <f t="shared" si="248"/>
        <v>10-14</v>
      </c>
      <c r="R7963" t="str">
        <f t="shared" si="249"/>
        <v>[msW2zpIN7up]|10-14|Male|NEW_INFECTIONS_SUBNAT.T2|CY2026Q3</v>
      </c>
    </row>
    <row r="7964" spans="4:18" x14ac:dyDescent="0.2">
      <c r="D7964" t="s">
        <v>84</v>
      </c>
      <c r="E7964" t="s">
        <v>85</v>
      </c>
      <c r="F7964" t="s">
        <v>86</v>
      </c>
      <c r="G7964" t="s">
        <v>279</v>
      </c>
      <c r="H7964" t="s">
        <v>279</v>
      </c>
      <c r="I7964" t="s">
        <v>38</v>
      </c>
      <c r="J7964" t="s">
        <v>39</v>
      </c>
      <c r="K7964" t="s">
        <v>48</v>
      </c>
      <c r="L7964" t="s">
        <v>49</v>
      </c>
      <c r="M7964" t="s">
        <v>277</v>
      </c>
      <c r="N7964">
        <v>9</v>
      </c>
      <c r="O7964">
        <v>7.5610384000000003E-2</v>
      </c>
      <c r="P7964">
        <v>7.0888279999999998E-2</v>
      </c>
      <c r="Q7964" t="str">
        <f t="shared" si="248"/>
        <v>15-24</v>
      </c>
      <c r="R7964" t="str">
        <f t="shared" si="249"/>
        <v>[msW2zpIN7up]|15-24|Male|NEW_INFECTIONS_SUBNAT.T2|CY2026Q3</v>
      </c>
    </row>
    <row r="7965" spans="4:18" x14ac:dyDescent="0.2">
      <c r="D7965" t="s">
        <v>84</v>
      </c>
      <c r="E7965" t="s">
        <v>85</v>
      </c>
      <c r="F7965" t="s">
        <v>86</v>
      </c>
      <c r="G7965" t="s">
        <v>279</v>
      </c>
      <c r="H7965" t="s">
        <v>279</v>
      </c>
      <c r="I7965" t="s">
        <v>41</v>
      </c>
      <c r="J7965" t="s">
        <v>42</v>
      </c>
      <c r="K7965" t="s">
        <v>48</v>
      </c>
      <c r="L7965" t="s">
        <v>49</v>
      </c>
      <c r="M7965" t="s">
        <v>277</v>
      </c>
      <c r="N7965">
        <v>30</v>
      </c>
      <c r="O7965">
        <v>7.4910794000000003E-2</v>
      </c>
      <c r="P7965">
        <v>7.0888279999999998E-2</v>
      </c>
      <c r="Q7965" t="str">
        <f t="shared" si="248"/>
        <v>25-34</v>
      </c>
      <c r="R7965" t="str">
        <f t="shared" si="249"/>
        <v>[msW2zpIN7up]|25-34|Male|NEW_INFECTIONS_SUBNAT.T2|CY2026Q3</v>
      </c>
    </row>
    <row r="7966" spans="4:18" x14ac:dyDescent="0.2">
      <c r="D7966" t="s">
        <v>84</v>
      </c>
      <c r="E7966" t="s">
        <v>85</v>
      </c>
      <c r="F7966" t="s">
        <v>86</v>
      </c>
      <c r="G7966" t="s">
        <v>279</v>
      </c>
      <c r="H7966" t="s">
        <v>279</v>
      </c>
      <c r="I7966" t="s">
        <v>43</v>
      </c>
      <c r="J7966" t="s">
        <v>44</v>
      </c>
      <c r="K7966" t="s">
        <v>48</v>
      </c>
      <c r="L7966" t="s">
        <v>49</v>
      </c>
      <c r="M7966" t="s">
        <v>277</v>
      </c>
      <c r="N7966">
        <v>32</v>
      </c>
      <c r="O7966">
        <v>7.1496187000000003E-2</v>
      </c>
      <c r="P7966">
        <v>7.0888279999999998E-2</v>
      </c>
      <c r="Q7966" t="str">
        <f t="shared" si="248"/>
        <v>35-49</v>
      </c>
      <c r="R7966" t="str">
        <f t="shared" si="249"/>
        <v>[msW2zpIN7up]|35-49|Male|NEW_INFECTIONS_SUBNAT.T2|CY2026Q3</v>
      </c>
    </row>
    <row r="7967" spans="4:18" x14ac:dyDescent="0.2">
      <c r="D7967" t="s">
        <v>84</v>
      </c>
      <c r="E7967" t="s">
        <v>85</v>
      </c>
      <c r="F7967" t="s">
        <v>86</v>
      </c>
      <c r="G7967" t="s">
        <v>279</v>
      </c>
      <c r="H7967" t="s">
        <v>279</v>
      </c>
      <c r="I7967" t="s">
        <v>45</v>
      </c>
      <c r="J7967" t="s">
        <v>46</v>
      </c>
      <c r="K7967" t="s">
        <v>48</v>
      </c>
      <c r="L7967" t="s">
        <v>49</v>
      </c>
      <c r="M7967" t="s">
        <v>277</v>
      </c>
      <c r="N7967">
        <v>9</v>
      </c>
      <c r="O7967">
        <v>6.7901356999999996E-2</v>
      </c>
      <c r="P7967">
        <v>7.0888279999999998E-2</v>
      </c>
      <c r="Q7967" t="str">
        <f t="shared" si="248"/>
        <v>50+</v>
      </c>
      <c r="R7967" t="str">
        <f t="shared" si="249"/>
        <v>[msW2zpIN7up]|50+|Male|NEW_INFECTIONS_SUBNAT.T2|CY2026Q3</v>
      </c>
    </row>
    <row r="7968" spans="4:18" x14ac:dyDescent="0.2">
      <c r="D7968" t="s">
        <v>87</v>
      </c>
      <c r="E7968" t="s">
        <v>88</v>
      </c>
      <c r="F7968" t="s">
        <v>89</v>
      </c>
      <c r="G7968" t="s">
        <v>279</v>
      </c>
      <c r="H7968" t="s">
        <v>279</v>
      </c>
      <c r="I7968" t="s">
        <v>28</v>
      </c>
      <c r="J7968" t="s">
        <v>29</v>
      </c>
      <c r="K7968" t="s">
        <v>30</v>
      </c>
      <c r="L7968" t="s">
        <v>31</v>
      </c>
      <c r="M7968" t="s">
        <v>277</v>
      </c>
      <c r="N7968">
        <v>68</v>
      </c>
      <c r="O7968">
        <v>2.2405571999999999E-2</v>
      </c>
      <c r="P7968">
        <v>3.0970567000000001E-2</v>
      </c>
      <c r="Q7968" t="str">
        <f t="shared" si="248"/>
        <v>&lt;01</v>
      </c>
      <c r="R7968" t="str">
        <f t="shared" si="249"/>
        <v>[ScR9iFKAasW]|&lt;01|Female|NEW_INFECTIONS_SUBNAT.T2|CY2026Q3</v>
      </c>
    </row>
    <row r="7969" spans="4:18" x14ac:dyDescent="0.2">
      <c r="D7969" t="s">
        <v>87</v>
      </c>
      <c r="E7969" t="s">
        <v>88</v>
      </c>
      <c r="F7969" t="s">
        <v>89</v>
      </c>
      <c r="G7969" t="s">
        <v>279</v>
      </c>
      <c r="H7969" t="s">
        <v>279</v>
      </c>
      <c r="I7969" t="s">
        <v>33</v>
      </c>
      <c r="J7969" t="s">
        <v>34</v>
      </c>
      <c r="K7969" t="s">
        <v>30</v>
      </c>
      <c r="L7969" t="s">
        <v>31</v>
      </c>
      <c r="M7969" t="s">
        <v>277</v>
      </c>
      <c r="N7969">
        <v>17</v>
      </c>
      <c r="O7969">
        <v>1.1202785999999999E-2</v>
      </c>
      <c r="P7969">
        <v>3.0970567000000001E-2</v>
      </c>
      <c r="Q7969" t="str">
        <f t="shared" si="248"/>
        <v>01-09</v>
      </c>
      <c r="R7969" t="str">
        <f t="shared" si="249"/>
        <v>[ScR9iFKAasW]|01-09|Female|NEW_INFECTIONS_SUBNAT.T2|CY2026Q3</v>
      </c>
    </row>
    <row r="7970" spans="4:18" x14ac:dyDescent="0.2">
      <c r="D7970" t="s">
        <v>87</v>
      </c>
      <c r="E7970" t="s">
        <v>88</v>
      </c>
      <c r="F7970" t="s">
        <v>89</v>
      </c>
      <c r="G7970" t="s">
        <v>279</v>
      </c>
      <c r="H7970" t="s">
        <v>279</v>
      </c>
      <c r="I7970" t="s">
        <v>36</v>
      </c>
      <c r="J7970" t="s">
        <v>37</v>
      </c>
      <c r="K7970" t="s">
        <v>30</v>
      </c>
      <c r="L7970" t="s">
        <v>31</v>
      </c>
      <c r="M7970" t="s">
        <v>277</v>
      </c>
      <c r="N7970">
        <v>0</v>
      </c>
      <c r="O7970">
        <v>0</v>
      </c>
      <c r="P7970">
        <v>3.0970567000000001E-2</v>
      </c>
      <c r="Q7970" t="str">
        <f t="shared" si="248"/>
        <v>10-14</v>
      </c>
      <c r="R7970" t="str">
        <f t="shared" si="249"/>
        <v>[ScR9iFKAasW]|10-14|Female|NEW_INFECTIONS_SUBNAT.T2|CY2026Q3</v>
      </c>
    </row>
    <row r="7971" spans="4:18" x14ac:dyDescent="0.2">
      <c r="D7971" t="s">
        <v>87</v>
      </c>
      <c r="E7971" t="s">
        <v>88</v>
      </c>
      <c r="F7971" t="s">
        <v>89</v>
      </c>
      <c r="G7971" t="s">
        <v>279</v>
      </c>
      <c r="H7971" t="s">
        <v>279</v>
      </c>
      <c r="I7971" t="s">
        <v>38</v>
      </c>
      <c r="J7971" t="s">
        <v>39</v>
      </c>
      <c r="K7971" t="s">
        <v>30</v>
      </c>
      <c r="L7971" t="s">
        <v>31</v>
      </c>
      <c r="M7971" t="s">
        <v>277</v>
      </c>
      <c r="N7971">
        <v>353</v>
      </c>
      <c r="O7971">
        <v>3.4294872999999997E-2</v>
      </c>
      <c r="P7971">
        <v>3.0970567000000001E-2</v>
      </c>
      <c r="Q7971" t="str">
        <f t="shared" si="248"/>
        <v>15-24</v>
      </c>
      <c r="R7971" t="str">
        <f t="shared" si="249"/>
        <v>[ScR9iFKAasW]|15-24|Female|NEW_INFECTIONS_SUBNAT.T2|CY2026Q3</v>
      </c>
    </row>
    <row r="7972" spans="4:18" x14ac:dyDescent="0.2">
      <c r="D7972" t="s">
        <v>87</v>
      </c>
      <c r="E7972" t="s">
        <v>88</v>
      </c>
      <c r="F7972" t="s">
        <v>89</v>
      </c>
      <c r="G7972" t="s">
        <v>279</v>
      </c>
      <c r="H7972" t="s">
        <v>279</v>
      </c>
      <c r="I7972" t="s">
        <v>41</v>
      </c>
      <c r="J7972" t="s">
        <v>42</v>
      </c>
      <c r="K7972" t="s">
        <v>30</v>
      </c>
      <c r="L7972" t="s">
        <v>31</v>
      </c>
      <c r="M7972" t="s">
        <v>277</v>
      </c>
      <c r="N7972">
        <v>385</v>
      </c>
      <c r="O7972">
        <v>3.3038066999999997E-2</v>
      </c>
      <c r="P7972">
        <v>3.0970567000000001E-2</v>
      </c>
      <c r="Q7972" t="str">
        <f t="shared" si="248"/>
        <v>25-34</v>
      </c>
      <c r="R7972" t="str">
        <f t="shared" si="249"/>
        <v>[ScR9iFKAasW]|25-34|Female|NEW_INFECTIONS_SUBNAT.T2|CY2026Q3</v>
      </c>
    </row>
    <row r="7973" spans="4:18" x14ac:dyDescent="0.2">
      <c r="D7973" t="s">
        <v>87</v>
      </c>
      <c r="E7973" t="s">
        <v>88</v>
      </c>
      <c r="F7973" t="s">
        <v>89</v>
      </c>
      <c r="G7973" t="s">
        <v>279</v>
      </c>
      <c r="H7973" t="s">
        <v>279</v>
      </c>
      <c r="I7973" t="s">
        <v>43</v>
      </c>
      <c r="J7973" t="s">
        <v>44</v>
      </c>
      <c r="K7973" t="s">
        <v>30</v>
      </c>
      <c r="L7973" t="s">
        <v>31</v>
      </c>
      <c r="M7973" t="s">
        <v>277</v>
      </c>
      <c r="N7973">
        <v>164</v>
      </c>
      <c r="O7973">
        <v>3.4250442999999998E-2</v>
      </c>
      <c r="P7973">
        <v>3.0970567000000001E-2</v>
      </c>
      <c r="Q7973" t="str">
        <f t="shared" si="248"/>
        <v>35-49</v>
      </c>
      <c r="R7973" t="str">
        <f t="shared" si="249"/>
        <v>[ScR9iFKAasW]|35-49|Female|NEW_INFECTIONS_SUBNAT.T2|CY2026Q3</v>
      </c>
    </row>
    <row r="7974" spans="4:18" x14ac:dyDescent="0.2">
      <c r="D7974" t="s">
        <v>87</v>
      </c>
      <c r="E7974" t="s">
        <v>88</v>
      </c>
      <c r="F7974" t="s">
        <v>89</v>
      </c>
      <c r="G7974" t="s">
        <v>279</v>
      </c>
      <c r="H7974" t="s">
        <v>279</v>
      </c>
      <c r="I7974" t="s">
        <v>45</v>
      </c>
      <c r="J7974" t="s">
        <v>46</v>
      </c>
      <c r="K7974" t="s">
        <v>30</v>
      </c>
      <c r="L7974" t="s">
        <v>31</v>
      </c>
      <c r="M7974" t="s">
        <v>277</v>
      </c>
      <c r="N7974">
        <v>19</v>
      </c>
      <c r="O7974">
        <v>4.4896362000000002E-2</v>
      </c>
      <c r="P7974">
        <v>3.0970567000000001E-2</v>
      </c>
      <c r="Q7974" t="str">
        <f t="shared" si="248"/>
        <v>50+</v>
      </c>
      <c r="R7974" t="str">
        <f t="shared" si="249"/>
        <v>[ScR9iFKAasW]|50+|Female|NEW_INFECTIONS_SUBNAT.T2|CY2026Q3</v>
      </c>
    </row>
    <row r="7975" spans="4:18" x14ac:dyDescent="0.2">
      <c r="D7975" t="s">
        <v>87</v>
      </c>
      <c r="E7975" t="s">
        <v>88</v>
      </c>
      <c r="F7975" t="s">
        <v>89</v>
      </c>
      <c r="G7975" t="s">
        <v>279</v>
      </c>
      <c r="H7975" t="s">
        <v>279</v>
      </c>
      <c r="I7975" t="s">
        <v>28</v>
      </c>
      <c r="J7975" t="s">
        <v>29</v>
      </c>
      <c r="K7975" t="s">
        <v>48</v>
      </c>
      <c r="L7975" t="s">
        <v>49</v>
      </c>
      <c r="M7975" t="s">
        <v>277</v>
      </c>
      <c r="N7975">
        <v>68</v>
      </c>
      <c r="O7975">
        <v>2.2391795999999999E-2</v>
      </c>
      <c r="P7975">
        <v>3.0970567000000001E-2</v>
      </c>
      <c r="Q7975" t="str">
        <f t="shared" si="248"/>
        <v>&lt;01</v>
      </c>
      <c r="R7975" t="str">
        <f t="shared" si="249"/>
        <v>[ScR9iFKAasW]|&lt;01|Male|NEW_INFECTIONS_SUBNAT.T2|CY2026Q3</v>
      </c>
    </row>
    <row r="7976" spans="4:18" x14ac:dyDescent="0.2">
      <c r="D7976" t="s">
        <v>87</v>
      </c>
      <c r="E7976" t="s">
        <v>88</v>
      </c>
      <c r="F7976" t="s">
        <v>89</v>
      </c>
      <c r="G7976" t="s">
        <v>279</v>
      </c>
      <c r="H7976" t="s">
        <v>279</v>
      </c>
      <c r="I7976" t="s">
        <v>33</v>
      </c>
      <c r="J7976" t="s">
        <v>34</v>
      </c>
      <c r="K7976" t="s">
        <v>48</v>
      </c>
      <c r="L7976" t="s">
        <v>49</v>
      </c>
      <c r="M7976" t="s">
        <v>277</v>
      </c>
      <c r="N7976">
        <v>17</v>
      </c>
      <c r="O7976">
        <v>1.1195897999999999E-2</v>
      </c>
      <c r="P7976">
        <v>3.0970567000000001E-2</v>
      </c>
      <c r="Q7976" t="str">
        <f t="shared" si="248"/>
        <v>01-09</v>
      </c>
      <c r="R7976" t="str">
        <f t="shared" si="249"/>
        <v>[ScR9iFKAasW]|01-09|Male|NEW_INFECTIONS_SUBNAT.T2|CY2026Q3</v>
      </c>
    </row>
    <row r="7977" spans="4:18" x14ac:dyDescent="0.2">
      <c r="D7977" t="s">
        <v>87</v>
      </c>
      <c r="E7977" t="s">
        <v>88</v>
      </c>
      <c r="F7977" t="s">
        <v>89</v>
      </c>
      <c r="G7977" t="s">
        <v>279</v>
      </c>
      <c r="H7977" t="s">
        <v>279</v>
      </c>
      <c r="I7977" t="s">
        <v>36</v>
      </c>
      <c r="J7977" t="s">
        <v>37</v>
      </c>
      <c r="K7977" t="s">
        <v>48</v>
      </c>
      <c r="L7977" t="s">
        <v>49</v>
      </c>
      <c r="M7977" t="s">
        <v>277</v>
      </c>
      <c r="N7977">
        <v>0</v>
      </c>
      <c r="O7977">
        <v>0</v>
      </c>
      <c r="P7977">
        <v>3.0970567000000001E-2</v>
      </c>
      <c r="Q7977" t="str">
        <f t="shared" si="248"/>
        <v>10-14</v>
      </c>
      <c r="R7977" t="str">
        <f t="shared" si="249"/>
        <v>[ScR9iFKAasW]|10-14|Male|NEW_INFECTIONS_SUBNAT.T2|CY2026Q3</v>
      </c>
    </row>
    <row r="7978" spans="4:18" x14ac:dyDescent="0.2">
      <c r="D7978" t="s">
        <v>87</v>
      </c>
      <c r="E7978" t="s">
        <v>88</v>
      </c>
      <c r="F7978" t="s">
        <v>89</v>
      </c>
      <c r="G7978" t="s">
        <v>279</v>
      </c>
      <c r="H7978" t="s">
        <v>279</v>
      </c>
      <c r="I7978" t="s">
        <v>38</v>
      </c>
      <c r="J7978" t="s">
        <v>39</v>
      </c>
      <c r="K7978" t="s">
        <v>48</v>
      </c>
      <c r="L7978" t="s">
        <v>49</v>
      </c>
      <c r="M7978" t="s">
        <v>277</v>
      </c>
      <c r="N7978">
        <v>62</v>
      </c>
      <c r="O7978">
        <v>3.4309043999999997E-2</v>
      </c>
      <c r="P7978">
        <v>3.0970567000000001E-2</v>
      </c>
      <c r="Q7978" t="str">
        <f t="shared" si="248"/>
        <v>15-24</v>
      </c>
      <c r="R7978" t="str">
        <f t="shared" si="249"/>
        <v>[ScR9iFKAasW]|15-24|Male|NEW_INFECTIONS_SUBNAT.T2|CY2026Q3</v>
      </c>
    </row>
    <row r="7979" spans="4:18" x14ac:dyDescent="0.2">
      <c r="D7979" t="s">
        <v>87</v>
      </c>
      <c r="E7979" t="s">
        <v>88</v>
      </c>
      <c r="F7979" t="s">
        <v>89</v>
      </c>
      <c r="G7979" t="s">
        <v>279</v>
      </c>
      <c r="H7979" t="s">
        <v>279</v>
      </c>
      <c r="I7979" t="s">
        <v>41</v>
      </c>
      <c r="J7979" t="s">
        <v>42</v>
      </c>
      <c r="K7979" t="s">
        <v>48</v>
      </c>
      <c r="L7979" t="s">
        <v>49</v>
      </c>
      <c r="M7979" t="s">
        <v>277</v>
      </c>
      <c r="N7979">
        <v>239</v>
      </c>
      <c r="O7979">
        <v>3.3249313000000003E-2</v>
      </c>
      <c r="P7979">
        <v>3.0970567000000001E-2</v>
      </c>
      <c r="Q7979" t="str">
        <f t="shared" si="248"/>
        <v>25-34</v>
      </c>
      <c r="R7979" t="str">
        <f t="shared" si="249"/>
        <v>[ScR9iFKAasW]|25-34|Male|NEW_INFECTIONS_SUBNAT.T2|CY2026Q3</v>
      </c>
    </row>
    <row r="7980" spans="4:18" x14ac:dyDescent="0.2">
      <c r="D7980" t="s">
        <v>87</v>
      </c>
      <c r="E7980" t="s">
        <v>88</v>
      </c>
      <c r="F7980" t="s">
        <v>89</v>
      </c>
      <c r="G7980" t="s">
        <v>279</v>
      </c>
      <c r="H7980" t="s">
        <v>279</v>
      </c>
      <c r="I7980" t="s">
        <v>43</v>
      </c>
      <c r="J7980" t="s">
        <v>44</v>
      </c>
      <c r="K7980" t="s">
        <v>48</v>
      </c>
      <c r="L7980" t="s">
        <v>49</v>
      </c>
      <c r="M7980" t="s">
        <v>277</v>
      </c>
      <c r="N7980">
        <v>227</v>
      </c>
      <c r="O7980">
        <v>3.2415430000000002E-2</v>
      </c>
      <c r="P7980">
        <v>3.0970567000000001E-2</v>
      </c>
      <c r="Q7980" t="str">
        <f t="shared" si="248"/>
        <v>35-49</v>
      </c>
      <c r="R7980" t="str">
        <f t="shared" si="249"/>
        <v>[ScR9iFKAasW]|35-49|Male|NEW_INFECTIONS_SUBNAT.T2|CY2026Q3</v>
      </c>
    </row>
    <row r="7981" spans="4:18" x14ac:dyDescent="0.2">
      <c r="D7981" t="s">
        <v>87</v>
      </c>
      <c r="E7981" t="s">
        <v>88</v>
      </c>
      <c r="F7981" t="s">
        <v>89</v>
      </c>
      <c r="G7981" t="s">
        <v>279</v>
      </c>
      <c r="H7981" t="s">
        <v>279</v>
      </c>
      <c r="I7981" t="s">
        <v>45</v>
      </c>
      <c r="J7981" t="s">
        <v>46</v>
      </c>
      <c r="K7981" t="s">
        <v>48</v>
      </c>
      <c r="L7981" t="s">
        <v>49</v>
      </c>
      <c r="M7981" t="s">
        <v>277</v>
      </c>
      <c r="N7981">
        <v>45</v>
      </c>
      <c r="O7981">
        <v>3.9977804999999998E-2</v>
      </c>
      <c r="P7981">
        <v>3.0970567000000001E-2</v>
      </c>
      <c r="Q7981" t="str">
        <f t="shared" si="248"/>
        <v>50+</v>
      </c>
      <c r="R7981" t="str">
        <f t="shared" si="249"/>
        <v>[ScR9iFKAasW]|50+|Male|NEW_INFECTIONS_SUBNAT.T2|CY2026Q3</v>
      </c>
    </row>
    <row r="7982" spans="4:18" x14ac:dyDescent="0.2">
      <c r="D7982" t="s">
        <v>90</v>
      </c>
      <c r="E7982" t="s">
        <v>91</v>
      </c>
      <c r="F7982" t="s">
        <v>92</v>
      </c>
      <c r="G7982" t="s">
        <v>279</v>
      </c>
      <c r="H7982" t="s">
        <v>279</v>
      </c>
      <c r="I7982" t="s">
        <v>28</v>
      </c>
      <c r="J7982" t="s">
        <v>29</v>
      </c>
      <c r="K7982" t="s">
        <v>30</v>
      </c>
      <c r="L7982" t="s">
        <v>31</v>
      </c>
      <c r="M7982" t="s">
        <v>277</v>
      </c>
      <c r="N7982">
        <v>12</v>
      </c>
      <c r="O7982">
        <v>5.9378023000000002E-2</v>
      </c>
      <c r="P7982">
        <v>6.9128683999999996E-2</v>
      </c>
      <c r="Q7982" t="str">
        <f t="shared" si="248"/>
        <v>&lt;01</v>
      </c>
      <c r="R7982" t="str">
        <f t="shared" si="249"/>
        <v>[kxuuIFpOXyO]|&lt;01|Female|NEW_INFECTIONS_SUBNAT.T2|CY2026Q3</v>
      </c>
    </row>
    <row r="7983" spans="4:18" x14ac:dyDescent="0.2">
      <c r="D7983" t="s">
        <v>90</v>
      </c>
      <c r="E7983" t="s">
        <v>91</v>
      </c>
      <c r="F7983" t="s">
        <v>92</v>
      </c>
      <c r="G7983" t="s">
        <v>279</v>
      </c>
      <c r="H7983" t="s">
        <v>279</v>
      </c>
      <c r="I7983" t="s">
        <v>33</v>
      </c>
      <c r="J7983" t="s">
        <v>34</v>
      </c>
      <c r="K7983" t="s">
        <v>30</v>
      </c>
      <c r="L7983" t="s">
        <v>31</v>
      </c>
      <c r="M7983" t="s">
        <v>277</v>
      </c>
      <c r="N7983">
        <v>3</v>
      </c>
      <c r="O7983">
        <v>2.9689012000000001E-2</v>
      </c>
      <c r="P7983">
        <v>6.9128683999999996E-2</v>
      </c>
      <c r="Q7983" t="str">
        <f t="shared" si="248"/>
        <v>01-09</v>
      </c>
      <c r="R7983" t="str">
        <f t="shared" si="249"/>
        <v>[kxuuIFpOXyO]|01-09|Female|NEW_INFECTIONS_SUBNAT.T2|CY2026Q3</v>
      </c>
    </row>
    <row r="7984" spans="4:18" x14ac:dyDescent="0.2">
      <c r="D7984" t="s">
        <v>90</v>
      </c>
      <c r="E7984" t="s">
        <v>91</v>
      </c>
      <c r="F7984" t="s">
        <v>92</v>
      </c>
      <c r="G7984" t="s">
        <v>279</v>
      </c>
      <c r="H7984" t="s">
        <v>279</v>
      </c>
      <c r="I7984" t="s">
        <v>36</v>
      </c>
      <c r="J7984" t="s">
        <v>37</v>
      </c>
      <c r="K7984" t="s">
        <v>30</v>
      </c>
      <c r="L7984" t="s">
        <v>31</v>
      </c>
      <c r="M7984" t="s">
        <v>277</v>
      </c>
      <c r="N7984">
        <v>0</v>
      </c>
      <c r="O7984">
        <v>0</v>
      </c>
      <c r="P7984">
        <v>6.9128683999999996E-2</v>
      </c>
      <c r="Q7984" t="str">
        <f t="shared" si="248"/>
        <v>10-14</v>
      </c>
      <c r="R7984" t="str">
        <f t="shared" si="249"/>
        <v>[kxuuIFpOXyO]|10-14|Female|NEW_INFECTIONS_SUBNAT.T2|CY2026Q3</v>
      </c>
    </row>
    <row r="7985" spans="4:18" x14ac:dyDescent="0.2">
      <c r="D7985" t="s">
        <v>90</v>
      </c>
      <c r="E7985" t="s">
        <v>91</v>
      </c>
      <c r="F7985" t="s">
        <v>92</v>
      </c>
      <c r="G7985" t="s">
        <v>279</v>
      </c>
      <c r="H7985" t="s">
        <v>279</v>
      </c>
      <c r="I7985" t="s">
        <v>38</v>
      </c>
      <c r="J7985" t="s">
        <v>39</v>
      </c>
      <c r="K7985" t="s">
        <v>30</v>
      </c>
      <c r="L7985" t="s">
        <v>31</v>
      </c>
      <c r="M7985" t="s">
        <v>277</v>
      </c>
      <c r="N7985">
        <v>51</v>
      </c>
      <c r="O7985">
        <v>7.3937429999999998E-2</v>
      </c>
      <c r="P7985">
        <v>6.9128683999999996E-2</v>
      </c>
      <c r="Q7985" t="str">
        <f t="shared" si="248"/>
        <v>15-24</v>
      </c>
      <c r="R7985" t="str">
        <f t="shared" si="249"/>
        <v>[kxuuIFpOXyO]|15-24|Female|NEW_INFECTIONS_SUBNAT.T2|CY2026Q3</v>
      </c>
    </row>
    <row r="7986" spans="4:18" x14ac:dyDescent="0.2">
      <c r="D7986" t="s">
        <v>90</v>
      </c>
      <c r="E7986" t="s">
        <v>91</v>
      </c>
      <c r="F7986" t="s">
        <v>92</v>
      </c>
      <c r="G7986" t="s">
        <v>279</v>
      </c>
      <c r="H7986" t="s">
        <v>279</v>
      </c>
      <c r="I7986" t="s">
        <v>41</v>
      </c>
      <c r="J7986" t="s">
        <v>42</v>
      </c>
      <c r="K7986" t="s">
        <v>30</v>
      </c>
      <c r="L7986" t="s">
        <v>31</v>
      </c>
      <c r="M7986" t="s">
        <v>277</v>
      </c>
      <c r="N7986">
        <v>53</v>
      </c>
      <c r="O7986">
        <v>7.2593378E-2</v>
      </c>
      <c r="P7986">
        <v>6.9128683999999996E-2</v>
      </c>
      <c r="Q7986" t="str">
        <f t="shared" si="248"/>
        <v>25-34</v>
      </c>
      <c r="R7986" t="str">
        <f t="shared" si="249"/>
        <v>[kxuuIFpOXyO]|25-34|Female|NEW_INFECTIONS_SUBNAT.T2|CY2026Q3</v>
      </c>
    </row>
    <row r="7987" spans="4:18" x14ac:dyDescent="0.2">
      <c r="D7987" t="s">
        <v>90</v>
      </c>
      <c r="E7987" t="s">
        <v>91</v>
      </c>
      <c r="F7987" t="s">
        <v>92</v>
      </c>
      <c r="G7987" t="s">
        <v>279</v>
      </c>
      <c r="H7987" t="s">
        <v>279</v>
      </c>
      <c r="I7987" t="s">
        <v>43</v>
      </c>
      <c r="J7987" t="s">
        <v>44</v>
      </c>
      <c r="K7987" t="s">
        <v>30</v>
      </c>
      <c r="L7987" t="s">
        <v>31</v>
      </c>
      <c r="M7987" t="s">
        <v>277</v>
      </c>
      <c r="N7987">
        <v>27</v>
      </c>
      <c r="O7987">
        <v>6.9016925000000007E-2</v>
      </c>
      <c r="P7987">
        <v>6.9128683999999996E-2</v>
      </c>
      <c r="Q7987" t="str">
        <f t="shared" si="248"/>
        <v>35-49</v>
      </c>
      <c r="R7987" t="str">
        <f t="shared" si="249"/>
        <v>[kxuuIFpOXyO]|35-49|Female|NEW_INFECTIONS_SUBNAT.T2|CY2026Q3</v>
      </c>
    </row>
    <row r="7988" spans="4:18" x14ac:dyDescent="0.2">
      <c r="D7988" t="s">
        <v>90</v>
      </c>
      <c r="E7988" t="s">
        <v>91</v>
      </c>
      <c r="F7988" t="s">
        <v>92</v>
      </c>
      <c r="G7988" t="s">
        <v>279</v>
      </c>
      <c r="H7988" t="s">
        <v>279</v>
      </c>
      <c r="I7988" t="s">
        <v>45</v>
      </c>
      <c r="J7988" t="s">
        <v>46</v>
      </c>
      <c r="K7988" t="s">
        <v>30</v>
      </c>
      <c r="L7988" t="s">
        <v>31</v>
      </c>
      <c r="M7988" t="s">
        <v>277</v>
      </c>
      <c r="N7988">
        <v>5</v>
      </c>
      <c r="O7988">
        <v>6.8828913000000005E-2</v>
      </c>
      <c r="P7988">
        <v>6.9128683999999996E-2</v>
      </c>
      <c r="Q7988" t="str">
        <f t="shared" si="248"/>
        <v>50+</v>
      </c>
      <c r="R7988" t="str">
        <f t="shared" si="249"/>
        <v>[kxuuIFpOXyO]|50+|Female|NEW_INFECTIONS_SUBNAT.T2|CY2026Q3</v>
      </c>
    </row>
    <row r="7989" spans="4:18" x14ac:dyDescent="0.2">
      <c r="D7989" t="s">
        <v>90</v>
      </c>
      <c r="E7989" t="s">
        <v>91</v>
      </c>
      <c r="F7989" t="s">
        <v>92</v>
      </c>
      <c r="G7989" t="s">
        <v>279</v>
      </c>
      <c r="H7989" t="s">
        <v>279</v>
      </c>
      <c r="I7989" t="s">
        <v>28</v>
      </c>
      <c r="J7989" t="s">
        <v>29</v>
      </c>
      <c r="K7989" t="s">
        <v>48</v>
      </c>
      <c r="L7989" t="s">
        <v>49</v>
      </c>
      <c r="M7989" t="s">
        <v>277</v>
      </c>
      <c r="N7989">
        <v>12</v>
      </c>
      <c r="O7989">
        <v>5.9376809000000003E-2</v>
      </c>
      <c r="P7989">
        <v>6.9128683999999996E-2</v>
      </c>
      <c r="Q7989" t="str">
        <f t="shared" si="248"/>
        <v>&lt;01</v>
      </c>
      <c r="R7989" t="str">
        <f t="shared" si="249"/>
        <v>[kxuuIFpOXyO]|&lt;01|Male|NEW_INFECTIONS_SUBNAT.T2|CY2026Q3</v>
      </c>
    </row>
    <row r="7990" spans="4:18" x14ac:dyDescent="0.2">
      <c r="D7990" t="s">
        <v>90</v>
      </c>
      <c r="E7990" t="s">
        <v>91</v>
      </c>
      <c r="F7990" t="s">
        <v>92</v>
      </c>
      <c r="G7990" t="s">
        <v>279</v>
      </c>
      <c r="H7990" t="s">
        <v>279</v>
      </c>
      <c r="I7990" t="s">
        <v>33</v>
      </c>
      <c r="J7990" t="s">
        <v>34</v>
      </c>
      <c r="K7990" t="s">
        <v>48</v>
      </c>
      <c r="L7990" t="s">
        <v>49</v>
      </c>
      <c r="M7990" t="s">
        <v>277</v>
      </c>
      <c r="N7990">
        <v>3</v>
      </c>
      <c r="O7990">
        <v>2.9688405000000001E-2</v>
      </c>
      <c r="P7990">
        <v>6.9128683999999996E-2</v>
      </c>
      <c r="Q7990" t="str">
        <f t="shared" si="248"/>
        <v>01-09</v>
      </c>
      <c r="R7990" t="str">
        <f t="shared" si="249"/>
        <v>[kxuuIFpOXyO]|01-09|Male|NEW_INFECTIONS_SUBNAT.T2|CY2026Q3</v>
      </c>
    </row>
    <row r="7991" spans="4:18" x14ac:dyDescent="0.2">
      <c r="D7991" t="s">
        <v>90</v>
      </c>
      <c r="E7991" t="s">
        <v>91</v>
      </c>
      <c r="F7991" t="s">
        <v>92</v>
      </c>
      <c r="G7991" t="s">
        <v>279</v>
      </c>
      <c r="H7991" t="s">
        <v>279</v>
      </c>
      <c r="I7991" t="s">
        <v>36</v>
      </c>
      <c r="J7991" t="s">
        <v>37</v>
      </c>
      <c r="K7991" t="s">
        <v>48</v>
      </c>
      <c r="L7991" t="s">
        <v>49</v>
      </c>
      <c r="M7991" t="s">
        <v>277</v>
      </c>
      <c r="N7991">
        <v>0</v>
      </c>
      <c r="O7991">
        <v>0</v>
      </c>
      <c r="P7991">
        <v>6.9128683999999996E-2</v>
      </c>
      <c r="Q7991" t="str">
        <f t="shared" si="248"/>
        <v>10-14</v>
      </c>
      <c r="R7991" t="str">
        <f t="shared" si="249"/>
        <v>[kxuuIFpOXyO]|10-14|Male|NEW_INFECTIONS_SUBNAT.T2|CY2026Q3</v>
      </c>
    </row>
    <row r="7992" spans="4:18" x14ac:dyDescent="0.2">
      <c r="D7992" t="s">
        <v>90</v>
      </c>
      <c r="E7992" t="s">
        <v>91</v>
      </c>
      <c r="F7992" t="s">
        <v>92</v>
      </c>
      <c r="G7992" t="s">
        <v>279</v>
      </c>
      <c r="H7992" t="s">
        <v>279</v>
      </c>
      <c r="I7992" t="s">
        <v>38</v>
      </c>
      <c r="J7992" t="s">
        <v>39</v>
      </c>
      <c r="K7992" t="s">
        <v>48</v>
      </c>
      <c r="L7992" t="s">
        <v>49</v>
      </c>
      <c r="M7992" t="s">
        <v>277</v>
      </c>
      <c r="N7992">
        <v>9</v>
      </c>
      <c r="O7992">
        <v>7.4271019999999993E-2</v>
      </c>
      <c r="P7992">
        <v>6.9128683999999996E-2</v>
      </c>
      <c r="Q7992" t="str">
        <f t="shared" si="248"/>
        <v>15-24</v>
      </c>
      <c r="R7992" t="str">
        <f t="shared" si="249"/>
        <v>[kxuuIFpOXyO]|15-24|Male|NEW_INFECTIONS_SUBNAT.T2|CY2026Q3</v>
      </c>
    </row>
    <row r="7993" spans="4:18" x14ac:dyDescent="0.2">
      <c r="D7993" t="s">
        <v>90</v>
      </c>
      <c r="E7993" t="s">
        <v>91</v>
      </c>
      <c r="F7993" t="s">
        <v>92</v>
      </c>
      <c r="G7993" t="s">
        <v>279</v>
      </c>
      <c r="H7993" t="s">
        <v>279</v>
      </c>
      <c r="I7993" t="s">
        <v>41</v>
      </c>
      <c r="J7993" t="s">
        <v>42</v>
      </c>
      <c r="K7993" t="s">
        <v>48</v>
      </c>
      <c r="L7993" t="s">
        <v>49</v>
      </c>
      <c r="M7993" t="s">
        <v>277</v>
      </c>
      <c r="N7993">
        <v>31</v>
      </c>
      <c r="O7993">
        <v>7.3774876000000003E-2</v>
      </c>
      <c r="P7993">
        <v>6.9128683999999996E-2</v>
      </c>
      <c r="Q7993" t="str">
        <f t="shared" si="248"/>
        <v>25-34</v>
      </c>
      <c r="R7993" t="str">
        <f t="shared" si="249"/>
        <v>[kxuuIFpOXyO]|25-34|Male|NEW_INFECTIONS_SUBNAT.T2|CY2026Q3</v>
      </c>
    </row>
    <row r="7994" spans="4:18" x14ac:dyDescent="0.2">
      <c r="D7994" t="s">
        <v>90</v>
      </c>
      <c r="E7994" t="s">
        <v>91</v>
      </c>
      <c r="F7994" t="s">
        <v>92</v>
      </c>
      <c r="G7994" t="s">
        <v>279</v>
      </c>
      <c r="H7994" t="s">
        <v>279</v>
      </c>
      <c r="I7994" t="s">
        <v>43</v>
      </c>
      <c r="J7994" t="s">
        <v>44</v>
      </c>
      <c r="K7994" t="s">
        <v>48</v>
      </c>
      <c r="L7994" t="s">
        <v>49</v>
      </c>
      <c r="M7994" t="s">
        <v>277</v>
      </c>
      <c r="N7994">
        <v>32</v>
      </c>
      <c r="O7994">
        <v>7.1370322E-2</v>
      </c>
      <c r="P7994">
        <v>6.9128683999999996E-2</v>
      </c>
      <c r="Q7994" t="str">
        <f t="shared" si="248"/>
        <v>35-49</v>
      </c>
      <c r="R7994" t="str">
        <f t="shared" si="249"/>
        <v>[kxuuIFpOXyO]|35-49|Male|NEW_INFECTIONS_SUBNAT.T2|CY2026Q3</v>
      </c>
    </row>
    <row r="7995" spans="4:18" x14ac:dyDescent="0.2">
      <c r="D7995" t="s">
        <v>90</v>
      </c>
      <c r="E7995" t="s">
        <v>91</v>
      </c>
      <c r="F7995" t="s">
        <v>92</v>
      </c>
      <c r="G7995" t="s">
        <v>279</v>
      </c>
      <c r="H7995" t="s">
        <v>279</v>
      </c>
      <c r="I7995" t="s">
        <v>45</v>
      </c>
      <c r="J7995" t="s">
        <v>46</v>
      </c>
      <c r="K7995" t="s">
        <v>48</v>
      </c>
      <c r="L7995" t="s">
        <v>49</v>
      </c>
      <c r="M7995" t="s">
        <v>277</v>
      </c>
      <c r="N7995">
        <v>9</v>
      </c>
      <c r="O7995">
        <v>6.9793705999999997E-2</v>
      </c>
      <c r="P7995">
        <v>6.9128683999999996E-2</v>
      </c>
      <c r="Q7995" t="str">
        <f t="shared" si="248"/>
        <v>50+</v>
      </c>
      <c r="R7995" t="str">
        <f t="shared" si="249"/>
        <v>[kxuuIFpOXyO]|50+|Male|NEW_INFECTIONS_SUBNAT.T2|CY2026Q3</v>
      </c>
    </row>
    <row r="7996" spans="4:18" x14ac:dyDescent="0.2">
      <c r="D7996" t="s">
        <v>93</v>
      </c>
      <c r="E7996" t="s">
        <v>94</v>
      </c>
      <c r="F7996" t="s">
        <v>95</v>
      </c>
      <c r="G7996" t="s">
        <v>279</v>
      </c>
      <c r="H7996" t="s">
        <v>279</v>
      </c>
      <c r="I7996" t="s">
        <v>28</v>
      </c>
      <c r="J7996" t="s">
        <v>29</v>
      </c>
      <c r="K7996" t="s">
        <v>30</v>
      </c>
      <c r="L7996" t="s">
        <v>31</v>
      </c>
      <c r="M7996" t="s">
        <v>277</v>
      </c>
      <c r="N7996">
        <v>12</v>
      </c>
      <c r="O7996">
        <v>8.8702824999999999E-2</v>
      </c>
      <c r="P7996">
        <v>9.3324890999999993E-2</v>
      </c>
      <c r="Q7996" t="str">
        <f t="shared" si="248"/>
        <v>&lt;01</v>
      </c>
      <c r="R7996" t="str">
        <f t="shared" si="249"/>
        <v>[PekKUkKHAzY]|&lt;01|Female|NEW_INFECTIONS_SUBNAT.T2|CY2026Q3</v>
      </c>
    </row>
    <row r="7997" spans="4:18" x14ac:dyDescent="0.2">
      <c r="D7997" t="s">
        <v>93</v>
      </c>
      <c r="E7997" t="s">
        <v>94</v>
      </c>
      <c r="F7997" t="s">
        <v>95</v>
      </c>
      <c r="G7997" t="s">
        <v>279</v>
      </c>
      <c r="H7997" t="s">
        <v>279</v>
      </c>
      <c r="I7997" t="s">
        <v>33</v>
      </c>
      <c r="J7997" t="s">
        <v>34</v>
      </c>
      <c r="K7997" t="s">
        <v>30</v>
      </c>
      <c r="L7997" t="s">
        <v>31</v>
      </c>
      <c r="M7997" t="s">
        <v>277</v>
      </c>
      <c r="N7997">
        <v>3</v>
      </c>
      <c r="O7997">
        <v>4.4351412999999999E-2</v>
      </c>
      <c r="P7997">
        <v>9.3324890999999993E-2</v>
      </c>
      <c r="Q7997" t="str">
        <f t="shared" si="248"/>
        <v>01-09</v>
      </c>
      <c r="R7997" t="str">
        <f t="shared" si="249"/>
        <v>[PekKUkKHAzY]|01-09|Female|NEW_INFECTIONS_SUBNAT.T2|CY2026Q3</v>
      </c>
    </row>
    <row r="7998" spans="4:18" x14ac:dyDescent="0.2">
      <c r="D7998" t="s">
        <v>93</v>
      </c>
      <c r="E7998" t="s">
        <v>94</v>
      </c>
      <c r="F7998" t="s">
        <v>95</v>
      </c>
      <c r="G7998" t="s">
        <v>279</v>
      </c>
      <c r="H7998" t="s">
        <v>279</v>
      </c>
      <c r="I7998" t="s">
        <v>36</v>
      </c>
      <c r="J7998" t="s">
        <v>37</v>
      </c>
      <c r="K7998" t="s">
        <v>30</v>
      </c>
      <c r="L7998" t="s">
        <v>31</v>
      </c>
      <c r="M7998" t="s">
        <v>277</v>
      </c>
      <c r="N7998">
        <v>0</v>
      </c>
      <c r="O7998">
        <v>0</v>
      </c>
      <c r="P7998">
        <v>9.3324890999999993E-2</v>
      </c>
      <c r="Q7998" t="str">
        <f t="shared" si="248"/>
        <v>10-14</v>
      </c>
      <c r="R7998" t="str">
        <f t="shared" si="249"/>
        <v>[PekKUkKHAzY]|10-14|Female|NEW_INFECTIONS_SUBNAT.T2|CY2026Q3</v>
      </c>
    </row>
    <row r="7999" spans="4:18" x14ac:dyDescent="0.2">
      <c r="D7999" t="s">
        <v>93</v>
      </c>
      <c r="E7999" t="s">
        <v>94</v>
      </c>
      <c r="F7999" t="s">
        <v>95</v>
      </c>
      <c r="G7999" t="s">
        <v>279</v>
      </c>
      <c r="H7999" t="s">
        <v>279</v>
      </c>
      <c r="I7999" t="s">
        <v>38</v>
      </c>
      <c r="J7999" t="s">
        <v>39</v>
      </c>
      <c r="K7999" t="s">
        <v>30</v>
      </c>
      <c r="L7999" t="s">
        <v>31</v>
      </c>
      <c r="M7999" t="s">
        <v>277</v>
      </c>
      <c r="N7999">
        <v>54</v>
      </c>
      <c r="O7999">
        <v>9.7200557000000007E-2</v>
      </c>
      <c r="P7999">
        <v>9.3324890999999993E-2</v>
      </c>
      <c r="Q7999" t="str">
        <f t="shared" si="248"/>
        <v>15-24</v>
      </c>
      <c r="R7999" t="str">
        <f t="shared" si="249"/>
        <v>[PekKUkKHAzY]|15-24|Female|NEW_INFECTIONS_SUBNAT.T2|CY2026Q3</v>
      </c>
    </row>
    <row r="8000" spans="4:18" x14ac:dyDescent="0.2">
      <c r="D8000" t="s">
        <v>93</v>
      </c>
      <c r="E8000" t="s">
        <v>94</v>
      </c>
      <c r="F8000" t="s">
        <v>95</v>
      </c>
      <c r="G8000" t="s">
        <v>279</v>
      </c>
      <c r="H8000" t="s">
        <v>279</v>
      </c>
      <c r="I8000" t="s">
        <v>41</v>
      </c>
      <c r="J8000" t="s">
        <v>42</v>
      </c>
      <c r="K8000" t="s">
        <v>30</v>
      </c>
      <c r="L8000" t="s">
        <v>31</v>
      </c>
      <c r="M8000" t="s">
        <v>277</v>
      </c>
      <c r="N8000">
        <v>56</v>
      </c>
      <c r="O8000">
        <v>9.5680474000000001E-2</v>
      </c>
      <c r="P8000">
        <v>9.3324890999999993E-2</v>
      </c>
      <c r="Q8000" t="str">
        <f t="shared" si="248"/>
        <v>25-34</v>
      </c>
      <c r="R8000" t="str">
        <f t="shared" si="249"/>
        <v>[PekKUkKHAzY]|25-34|Female|NEW_INFECTIONS_SUBNAT.T2|CY2026Q3</v>
      </c>
    </row>
    <row r="8001" spans="4:18" x14ac:dyDescent="0.2">
      <c r="D8001" t="s">
        <v>93</v>
      </c>
      <c r="E8001" t="s">
        <v>94</v>
      </c>
      <c r="F8001" t="s">
        <v>95</v>
      </c>
      <c r="G8001" t="s">
        <v>279</v>
      </c>
      <c r="H8001" t="s">
        <v>279</v>
      </c>
      <c r="I8001" t="s">
        <v>43</v>
      </c>
      <c r="J8001" t="s">
        <v>44</v>
      </c>
      <c r="K8001" t="s">
        <v>30</v>
      </c>
      <c r="L8001" t="s">
        <v>31</v>
      </c>
      <c r="M8001" t="s">
        <v>277</v>
      </c>
      <c r="N8001">
        <v>31</v>
      </c>
      <c r="O8001">
        <v>9.1308368000000001E-2</v>
      </c>
      <c r="P8001">
        <v>9.3324890999999993E-2</v>
      </c>
      <c r="Q8001" t="str">
        <f t="shared" si="248"/>
        <v>35-49</v>
      </c>
      <c r="R8001" t="str">
        <f t="shared" si="249"/>
        <v>[PekKUkKHAzY]|35-49|Female|NEW_INFECTIONS_SUBNAT.T2|CY2026Q3</v>
      </c>
    </row>
    <row r="8002" spans="4:18" x14ac:dyDescent="0.2">
      <c r="D8002" t="s">
        <v>93</v>
      </c>
      <c r="E8002" t="s">
        <v>94</v>
      </c>
      <c r="F8002" t="s">
        <v>95</v>
      </c>
      <c r="G8002" t="s">
        <v>279</v>
      </c>
      <c r="H8002" t="s">
        <v>279</v>
      </c>
      <c r="I8002" t="s">
        <v>45</v>
      </c>
      <c r="J8002" t="s">
        <v>46</v>
      </c>
      <c r="K8002" t="s">
        <v>30</v>
      </c>
      <c r="L8002" t="s">
        <v>31</v>
      </c>
      <c r="M8002" t="s">
        <v>277</v>
      </c>
      <c r="N8002">
        <v>6</v>
      </c>
      <c r="O8002">
        <v>9.0833452999999995E-2</v>
      </c>
      <c r="P8002">
        <v>9.3324890999999993E-2</v>
      </c>
      <c r="Q8002" t="str">
        <f t="shared" si="248"/>
        <v>50+</v>
      </c>
      <c r="R8002" t="str">
        <f t="shared" si="249"/>
        <v>[PekKUkKHAzY]|50+|Female|NEW_INFECTIONS_SUBNAT.T2|CY2026Q3</v>
      </c>
    </row>
    <row r="8003" spans="4:18" x14ac:dyDescent="0.2">
      <c r="D8003" t="s">
        <v>93</v>
      </c>
      <c r="E8003" t="s">
        <v>94</v>
      </c>
      <c r="F8003" t="s">
        <v>95</v>
      </c>
      <c r="G8003" t="s">
        <v>279</v>
      </c>
      <c r="H8003" t="s">
        <v>279</v>
      </c>
      <c r="I8003" t="s">
        <v>28</v>
      </c>
      <c r="J8003" t="s">
        <v>29</v>
      </c>
      <c r="K8003" t="s">
        <v>48</v>
      </c>
      <c r="L8003" t="s">
        <v>49</v>
      </c>
      <c r="M8003" t="s">
        <v>277</v>
      </c>
      <c r="N8003">
        <v>12</v>
      </c>
      <c r="O8003">
        <v>8.8702429999999999E-2</v>
      </c>
      <c r="P8003">
        <v>9.3324890999999993E-2</v>
      </c>
      <c r="Q8003" t="str">
        <f t="shared" ref="Q8003:Q8066" si="250">SUBSTITUTE(SUBSTITUTE($I8003,CHAR(61),""),CHAR(34),"")</f>
        <v>&lt;01</v>
      </c>
      <c r="R8003" t="str">
        <f t="shared" ref="R8003:R8066" si="251">IF($D8003&lt;&gt;"","["&amp;$E8003&amp;"]"&amp;"|"&amp;$Q8003&amp;"|"&amp;$K8003&amp;"|"&amp;$G8003&amp;"|"&amp;IF($G8003="TX_CURR_SUBNAT.R","CY2023Q4",$M8003),"")</f>
        <v>[PekKUkKHAzY]|&lt;01|Male|NEW_INFECTIONS_SUBNAT.T2|CY2026Q3</v>
      </c>
    </row>
    <row r="8004" spans="4:18" x14ac:dyDescent="0.2">
      <c r="D8004" t="s">
        <v>93</v>
      </c>
      <c r="E8004" t="s">
        <v>94</v>
      </c>
      <c r="F8004" t="s">
        <v>95</v>
      </c>
      <c r="G8004" t="s">
        <v>279</v>
      </c>
      <c r="H8004" t="s">
        <v>279</v>
      </c>
      <c r="I8004" t="s">
        <v>33</v>
      </c>
      <c r="J8004" t="s">
        <v>34</v>
      </c>
      <c r="K8004" t="s">
        <v>48</v>
      </c>
      <c r="L8004" t="s">
        <v>49</v>
      </c>
      <c r="M8004" t="s">
        <v>277</v>
      </c>
      <c r="N8004">
        <v>3</v>
      </c>
      <c r="O8004">
        <v>4.4351214999999999E-2</v>
      </c>
      <c r="P8004">
        <v>9.3324890999999993E-2</v>
      </c>
      <c r="Q8004" t="str">
        <f t="shared" si="250"/>
        <v>01-09</v>
      </c>
      <c r="R8004" t="str">
        <f t="shared" si="251"/>
        <v>[PekKUkKHAzY]|01-09|Male|NEW_INFECTIONS_SUBNAT.T2|CY2026Q3</v>
      </c>
    </row>
    <row r="8005" spans="4:18" x14ac:dyDescent="0.2">
      <c r="D8005" t="s">
        <v>93</v>
      </c>
      <c r="E8005" t="s">
        <v>94</v>
      </c>
      <c r="F8005" t="s">
        <v>95</v>
      </c>
      <c r="G8005" t="s">
        <v>279</v>
      </c>
      <c r="H8005" t="s">
        <v>279</v>
      </c>
      <c r="I8005" t="s">
        <v>36</v>
      </c>
      <c r="J8005" t="s">
        <v>37</v>
      </c>
      <c r="K8005" t="s">
        <v>48</v>
      </c>
      <c r="L8005" t="s">
        <v>49</v>
      </c>
      <c r="M8005" t="s">
        <v>277</v>
      </c>
      <c r="N8005">
        <v>0</v>
      </c>
      <c r="O8005">
        <v>0</v>
      </c>
      <c r="P8005">
        <v>9.3324890999999993E-2</v>
      </c>
      <c r="Q8005" t="str">
        <f t="shared" si="250"/>
        <v>10-14</v>
      </c>
      <c r="R8005" t="str">
        <f t="shared" si="251"/>
        <v>[PekKUkKHAzY]|10-14|Male|NEW_INFECTIONS_SUBNAT.T2|CY2026Q3</v>
      </c>
    </row>
    <row r="8006" spans="4:18" x14ac:dyDescent="0.2">
      <c r="D8006" t="s">
        <v>93</v>
      </c>
      <c r="E8006" t="s">
        <v>94</v>
      </c>
      <c r="F8006" t="s">
        <v>95</v>
      </c>
      <c r="G8006" t="s">
        <v>279</v>
      </c>
      <c r="H8006" t="s">
        <v>279</v>
      </c>
      <c r="I8006" t="s">
        <v>38</v>
      </c>
      <c r="J8006" t="s">
        <v>39</v>
      </c>
      <c r="K8006" t="s">
        <v>48</v>
      </c>
      <c r="L8006" t="s">
        <v>49</v>
      </c>
      <c r="M8006" t="s">
        <v>277</v>
      </c>
      <c r="N8006">
        <v>9</v>
      </c>
      <c r="O8006">
        <v>9.7550168000000007E-2</v>
      </c>
      <c r="P8006">
        <v>9.3324890999999993E-2</v>
      </c>
      <c r="Q8006" t="str">
        <f t="shared" si="250"/>
        <v>15-24</v>
      </c>
      <c r="R8006" t="str">
        <f t="shared" si="251"/>
        <v>[PekKUkKHAzY]|15-24|Male|NEW_INFECTIONS_SUBNAT.T2|CY2026Q3</v>
      </c>
    </row>
    <row r="8007" spans="4:18" x14ac:dyDescent="0.2">
      <c r="D8007" t="s">
        <v>93</v>
      </c>
      <c r="E8007" t="s">
        <v>94</v>
      </c>
      <c r="F8007" t="s">
        <v>95</v>
      </c>
      <c r="G8007" t="s">
        <v>279</v>
      </c>
      <c r="H8007" t="s">
        <v>279</v>
      </c>
      <c r="I8007" t="s">
        <v>41</v>
      </c>
      <c r="J8007" t="s">
        <v>42</v>
      </c>
      <c r="K8007" t="s">
        <v>48</v>
      </c>
      <c r="L8007" t="s">
        <v>49</v>
      </c>
      <c r="M8007" t="s">
        <v>277</v>
      </c>
      <c r="N8007">
        <v>31</v>
      </c>
      <c r="O8007">
        <v>9.7057550000000006E-2</v>
      </c>
      <c r="P8007">
        <v>9.3324890999999993E-2</v>
      </c>
      <c r="Q8007" t="str">
        <f t="shared" si="250"/>
        <v>25-34</v>
      </c>
      <c r="R8007" t="str">
        <f t="shared" si="251"/>
        <v>[PekKUkKHAzY]|25-34|Male|NEW_INFECTIONS_SUBNAT.T2|CY2026Q3</v>
      </c>
    </row>
    <row r="8008" spans="4:18" x14ac:dyDescent="0.2">
      <c r="D8008" t="s">
        <v>93</v>
      </c>
      <c r="E8008" t="s">
        <v>94</v>
      </c>
      <c r="F8008" t="s">
        <v>95</v>
      </c>
      <c r="G8008" t="s">
        <v>279</v>
      </c>
      <c r="H8008" t="s">
        <v>279</v>
      </c>
      <c r="I8008" t="s">
        <v>43</v>
      </c>
      <c r="J8008" t="s">
        <v>44</v>
      </c>
      <c r="K8008" t="s">
        <v>48</v>
      </c>
      <c r="L8008" t="s">
        <v>49</v>
      </c>
      <c r="M8008" t="s">
        <v>277</v>
      </c>
      <c r="N8008">
        <v>32</v>
      </c>
      <c r="O8008">
        <v>9.4485090999999993E-2</v>
      </c>
      <c r="P8008">
        <v>9.3324890999999993E-2</v>
      </c>
      <c r="Q8008" t="str">
        <f t="shared" si="250"/>
        <v>35-49</v>
      </c>
      <c r="R8008" t="str">
        <f t="shared" si="251"/>
        <v>[PekKUkKHAzY]|35-49|Male|NEW_INFECTIONS_SUBNAT.T2|CY2026Q3</v>
      </c>
    </row>
    <row r="8009" spans="4:18" x14ac:dyDescent="0.2">
      <c r="D8009" t="s">
        <v>93</v>
      </c>
      <c r="E8009" t="s">
        <v>94</v>
      </c>
      <c r="F8009" t="s">
        <v>95</v>
      </c>
      <c r="G8009" t="s">
        <v>279</v>
      </c>
      <c r="H8009" t="s">
        <v>279</v>
      </c>
      <c r="I8009" t="s">
        <v>45</v>
      </c>
      <c r="J8009" t="s">
        <v>46</v>
      </c>
      <c r="K8009" t="s">
        <v>48</v>
      </c>
      <c r="L8009" t="s">
        <v>49</v>
      </c>
      <c r="M8009" t="s">
        <v>277</v>
      </c>
      <c r="N8009">
        <v>10</v>
      </c>
      <c r="O8009">
        <v>9.1575432999999998E-2</v>
      </c>
      <c r="P8009">
        <v>9.3324890999999993E-2</v>
      </c>
      <c r="Q8009" t="str">
        <f t="shared" si="250"/>
        <v>50+</v>
      </c>
      <c r="R8009" t="str">
        <f t="shared" si="251"/>
        <v>[PekKUkKHAzY]|50+|Male|NEW_INFECTIONS_SUBNAT.T2|CY2026Q3</v>
      </c>
    </row>
    <row r="8010" spans="4:18" x14ac:dyDescent="0.2">
      <c r="D8010" t="s">
        <v>96</v>
      </c>
      <c r="E8010" t="s">
        <v>97</v>
      </c>
      <c r="F8010" t="s">
        <v>98</v>
      </c>
      <c r="G8010" t="s">
        <v>279</v>
      </c>
      <c r="H8010" t="s">
        <v>279</v>
      </c>
      <c r="I8010" t="s">
        <v>28</v>
      </c>
      <c r="J8010" t="s">
        <v>29</v>
      </c>
      <c r="K8010" t="s">
        <v>30</v>
      </c>
      <c r="L8010" t="s">
        <v>31</v>
      </c>
      <c r="M8010" t="s">
        <v>277</v>
      </c>
      <c r="N8010">
        <v>17</v>
      </c>
      <c r="O8010">
        <v>7.8008741000000006E-2</v>
      </c>
      <c r="P8010">
        <v>8.3378693000000004E-2</v>
      </c>
      <c r="Q8010" t="str">
        <f t="shared" si="250"/>
        <v>&lt;01</v>
      </c>
      <c r="R8010" t="str">
        <f t="shared" si="251"/>
        <v>[am530wpaGvr]|&lt;01|Female|NEW_INFECTIONS_SUBNAT.T2|CY2026Q3</v>
      </c>
    </row>
    <row r="8011" spans="4:18" x14ac:dyDescent="0.2">
      <c r="D8011" t="s">
        <v>96</v>
      </c>
      <c r="E8011" t="s">
        <v>97</v>
      </c>
      <c r="F8011" t="s">
        <v>98</v>
      </c>
      <c r="G8011" t="s">
        <v>279</v>
      </c>
      <c r="H8011" t="s">
        <v>279</v>
      </c>
      <c r="I8011" t="s">
        <v>33</v>
      </c>
      <c r="J8011" t="s">
        <v>34</v>
      </c>
      <c r="K8011" t="s">
        <v>30</v>
      </c>
      <c r="L8011" t="s">
        <v>31</v>
      </c>
      <c r="M8011" t="s">
        <v>277</v>
      </c>
      <c r="N8011">
        <v>4</v>
      </c>
      <c r="O8011">
        <v>3.9004369999999997E-2</v>
      </c>
      <c r="P8011">
        <v>8.3378693000000004E-2</v>
      </c>
      <c r="Q8011" t="str">
        <f t="shared" si="250"/>
        <v>01-09</v>
      </c>
      <c r="R8011" t="str">
        <f t="shared" si="251"/>
        <v>[am530wpaGvr]|01-09|Female|NEW_INFECTIONS_SUBNAT.T2|CY2026Q3</v>
      </c>
    </row>
    <row r="8012" spans="4:18" x14ac:dyDescent="0.2">
      <c r="D8012" t="s">
        <v>96</v>
      </c>
      <c r="E8012" t="s">
        <v>97</v>
      </c>
      <c r="F8012" t="s">
        <v>98</v>
      </c>
      <c r="G8012" t="s">
        <v>279</v>
      </c>
      <c r="H8012" t="s">
        <v>279</v>
      </c>
      <c r="I8012" t="s">
        <v>36</v>
      </c>
      <c r="J8012" t="s">
        <v>37</v>
      </c>
      <c r="K8012" t="s">
        <v>30</v>
      </c>
      <c r="L8012" t="s">
        <v>31</v>
      </c>
      <c r="M8012" t="s">
        <v>277</v>
      </c>
      <c r="N8012">
        <v>0</v>
      </c>
      <c r="O8012">
        <v>0</v>
      </c>
      <c r="P8012">
        <v>8.3378693000000004E-2</v>
      </c>
      <c r="Q8012" t="str">
        <f t="shared" si="250"/>
        <v>10-14</v>
      </c>
      <c r="R8012" t="str">
        <f t="shared" si="251"/>
        <v>[am530wpaGvr]|10-14|Female|NEW_INFECTIONS_SUBNAT.T2|CY2026Q3</v>
      </c>
    </row>
    <row r="8013" spans="4:18" x14ac:dyDescent="0.2">
      <c r="D8013" t="s">
        <v>96</v>
      </c>
      <c r="E8013" t="s">
        <v>97</v>
      </c>
      <c r="F8013" t="s">
        <v>98</v>
      </c>
      <c r="G8013" t="s">
        <v>279</v>
      </c>
      <c r="H8013" t="s">
        <v>279</v>
      </c>
      <c r="I8013" t="s">
        <v>38</v>
      </c>
      <c r="J8013" t="s">
        <v>39</v>
      </c>
      <c r="K8013" t="s">
        <v>30</v>
      </c>
      <c r="L8013" t="s">
        <v>31</v>
      </c>
      <c r="M8013" t="s">
        <v>277</v>
      </c>
      <c r="N8013">
        <v>76</v>
      </c>
      <c r="O8013">
        <v>8.8549665999999999E-2</v>
      </c>
      <c r="P8013">
        <v>8.3378693000000004E-2</v>
      </c>
      <c r="Q8013" t="str">
        <f t="shared" si="250"/>
        <v>15-24</v>
      </c>
      <c r="R8013" t="str">
        <f t="shared" si="251"/>
        <v>[am530wpaGvr]|15-24|Female|NEW_INFECTIONS_SUBNAT.T2|CY2026Q3</v>
      </c>
    </row>
    <row r="8014" spans="4:18" x14ac:dyDescent="0.2">
      <c r="D8014" t="s">
        <v>96</v>
      </c>
      <c r="E8014" t="s">
        <v>97</v>
      </c>
      <c r="F8014" t="s">
        <v>98</v>
      </c>
      <c r="G8014" t="s">
        <v>279</v>
      </c>
      <c r="H8014" t="s">
        <v>279</v>
      </c>
      <c r="I8014" t="s">
        <v>41</v>
      </c>
      <c r="J8014" t="s">
        <v>42</v>
      </c>
      <c r="K8014" t="s">
        <v>30</v>
      </c>
      <c r="L8014" t="s">
        <v>31</v>
      </c>
      <c r="M8014" t="s">
        <v>277</v>
      </c>
      <c r="N8014">
        <v>74</v>
      </c>
      <c r="O8014">
        <v>8.6033665999999995E-2</v>
      </c>
      <c r="P8014">
        <v>8.3378693000000004E-2</v>
      </c>
      <c r="Q8014" t="str">
        <f t="shared" si="250"/>
        <v>25-34</v>
      </c>
      <c r="R8014" t="str">
        <f t="shared" si="251"/>
        <v>[am530wpaGvr]|25-34|Female|NEW_INFECTIONS_SUBNAT.T2|CY2026Q3</v>
      </c>
    </row>
    <row r="8015" spans="4:18" x14ac:dyDescent="0.2">
      <c r="D8015" t="s">
        <v>96</v>
      </c>
      <c r="E8015" t="s">
        <v>97</v>
      </c>
      <c r="F8015" t="s">
        <v>98</v>
      </c>
      <c r="G8015" t="s">
        <v>279</v>
      </c>
      <c r="H8015" t="s">
        <v>279</v>
      </c>
      <c r="I8015" t="s">
        <v>43</v>
      </c>
      <c r="J8015" t="s">
        <v>44</v>
      </c>
      <c r="K8015" t="s">
        <v>30</v>
      </c>
      <c r="L8015" t="s">
        <v>31</v>
      </c>
      <c r="M8015" t="s">
        <v>277</v>
      </c>
      <c r="N8015">
        <v>41</v>
      </c>
      <c r="O8015">
        <v>7.9586569999999995E-2</v>
      </c>
      <c r="P8015">
        <v>8.3378693000000004E-2</v>
      </c>
      <c r="Q8015" t="str">
        <f t="shared" si="250"/>
        <v>35-49</v>
      </c>
      <c r="R8015" t="str">
        <f t="shared" si="251"/>
        <v>[am530wpaGvr]|35-49|Female|NEW_INFECTIONS_SUBNAT.T2|CY2026Q3</v>
      </c>
    </row>
    <row r="8016" spans="4:18" x14ac:dyDescent="0.2">
      <c r="D8016" t="s">
        <v>96</v>
      </c>
      <c r="E8016" t="s">
        <v>97</v>
      </c>
      <c r="F8016" t="s">
        <v>98</v>
      </c>
      <c r="G8016" t="s">
        <v>279</v>
      </c>
      <c r="H8016" t="s">
        <v>279</v>
      </c>
      <c r="I8016" t="s">
        <v>45</v>
      </c>
      <c r="J8016" t="s">
        <v>46</v>
      </c>
      <c r="K8016" t="s">
        <v>30</v>
      </c>
      <c r="L8016" t="s">
        <v>31</v>
      </c>
      <c r="M8016" t="s">
        <v>277</v>
      </c>
      <c r="N8016">
        <v>8</v>
      </c>
      <c r="O8016">
        <v>7.9915480999999997E-2</v>
      </c>
      <c r="P8016">
        <v>8.3378693000000004E-2</v>
      </c>
      <c r="Q8016" t="str">
        <f t="shared" si="250"/>
        <v>50+</v>
      </c>
      <c r="R8016" t="str">
        <f t="shared" si="251"/>
        <v>[am530wpaGvr]|50+|Female|NEW_INFECTIONS_SUBNAT.T2|CY2026Q3</v>
      </c>
    </row>
    <row r="8017" spans="4:18" x14ac:dyDescent="0.2">
      <c r="D8017" t="s">
        <v>96</v>
      </c>
      <c r="E8017" t="s">
        <v>97</v>
      </c>
      <c r="F8017" t="s">
        <v>98</v>
      </c>
      <c r="G8017" t="s">
        <v>279</v>
      </c>
      <c r="H8017" t="s">
        <v>279</v>
      </c>
      <c r="I8017" t="s">
        <v>28</v>
      </c>
      <c r="J8017" t="s">
        <v>29</v>
      </c>
      <c r="K8017" t="s">
        <v>48</v>
      </c>
      <c r="L8017" t="s">
        <v>49</v>
      </c>
      <c r="M8017" t="s">
        <v>277</v>
      </c>
      <c r="N8017">
        <v>18</v>
      </c>
      <c r="O8017">
        <v>7.8011525999999998E-2</v>
      </c>
      <c r="P8017">
        <v>8.3378693000000004E-2</v>
      </c>
      <c r="Q8017" t="str">
        <f t="shared" si="250"/>
        <v>&lt;01</v>
      </c>
      <c r="R8017" t="str">
        <f t="shared" si="251"/>
        <v>[am530wpaGvr]|&lt;01|Male|NEW_INFECTIONS_SUBNAT.T2|CY2026Q3</v>
      </c>
    </row>
    <row r="8018" spans="4:18" x14ac:dyDescent="0.2">
      <c r="D8018" t="s">
        <v>96</v>
      </c>
      <c r="E8018" t="s">
        <v>97</v>
      </c>
      <c r="F8018" t="s">
        <v>98</v>
      </c>
      <c r="G8018" t="s">
        <v>279</v>
      </c>
      <c r="H8018" t="s">
        <v>279</v>
      </c>
      <c r="I8018" t="s">
        <v>33</v>
      </c>
      <c r="J8018" t="s">
        <v>34</v>
      </c>
      <c r="K8018" t="s">
        <v>48</v>
      </c>
      <c r="L8018" t="s">
        <v>49</v>
      </c>
      <c r="M8018" t="s">
        <v>277</v>
      </c>
      <c r="N8018">
        <v>4</v>
      </c>
      <c r="O8018">
        <v>3.9005762999999999E-2</v>
      </c>
      <c r="P8018">
        <v>8.3378693000000004E-2</v>
      </c>
      <c r="Q8018" t="str">
        <f t="shared" si="250"/>
        <v>01-09</v>
      </c>
      <c r="R8018" t="str">
        <f t="shared" si="251"/>
        <v>[am530wpaGvr]|01-09|Male|NEW_INFECTIONS_SUBNAT.T2|CY2026Q3</v>
      </c>
    </row>
    <row r="8019" spans="4:18" x14ac:dyDescent="0.2">
      <c r="D8019" t="s">
        <v>96</v>
      </c>
      <c r="E8019" t="s">
        <v>97</v>
      </c>
      <c r="F8019" t="s">
        <v>98</v>
      </c>
      <c r="G8019" t="s">
        <v>279</v>
      </c>
      <c r="H8019" t="s">
        <v>279</v>
      </c>
      <c r="I8019" t="s">
        <v>36</v>
      </c>
      <c r="J8019" t="s">
        <v>37</v>
      </c>
      <c r="K8019" t="s">
        <v>48</v>
      </c>
      <c r="L8019" t="s">
        <v>49</v>
      </c>
      <c r="M8019" t="s">
        <v>277</v>
      </c>
      <c r="N8019">
        <v>0</v>
      </c>
      <c r="O8019">
        <v>0</v>
      </c>
      <c r="P8019">
        <v>8.3378693000000004E-2</v>
      </c>
      <c r="Q8019" t="str">
        <f t="shared" si="250"/>
        <v>10-14</v>
      </c>
      <c r="R8019" t="str">
        <f t="shared" si="251"/>
        <v>[am530wpaGvr]|10-14|Male|NEW_INFECTIONS_SUBNAT.T2|CY2026Q3</v>
      </c>
    </row>
    <row r="8020" spans="4:18" x14ac:dyDescent="0.2">
      <c r="D8020" t="s">
        <v>96</v>
      </c>
      <c r="E8020" t="s">
        <v>97</v>
      </c>
      <c r="F8020" t="s">
        <v>98</v>
      </c>
      <c r="G8020" t="s">
        <v>279</v>
      </c>
      <c r="H8020" t="s">
        <v>279</v>
      </c>
      <c r="I8020" t="s">
        <v>38</v>
      </c>
      <c r="J8020" t="s">
        <v>39</v>
      </c>
      <c r="K8020" t="s">
        <v>48</v>
      </c>
      <c r="L8020" t="s">
        <v>49</v>
      </c>
      <c r="M8020" t="s">
        <v>277</v>
      </c>
      <c r="N8020">
        <v>13</v>
      </c>
      <c r="O8020">
        <v>8.9116679000000004E-2</v>
      </c>
      <c r="P8020">
        <v>8.3378693000000004E-2</v>
      </c>
      <c r="Q8020" t="str">
        <f t="shared" si="250"/>
        <v>15-24</v>
      </c>
      <c r="R8020" t="str">
        <f t="shared" si="251"/>
        <v>[am530wpaGvr]|15-24|Male|NEW_INFECTIONS_SUBNAT.T2|CY2026Q3</v>
      </c>
    </row>
    <row r="8021" spans="4:18" x14ac:dyDescent="0.2">
      <c r="D8021" t="s">
        <v>96</v>
      </c>
      <c r="E8021" t="s">
        <v>97</v>
      </c>
      <c r="F8021" t="s">
        <v>98</v>
      </c>
      <c r="G8021" t="s">
        <v>279</v>
      </c>
      <c r="H8021" t="s">
        <v>279</v>
      </c>
      <c r="I8021" t="s">
        <v>41</v>
      </c>
      <c r="J8021" t="s">
        <v>42</v>
      </c>
      <c r="K8021" t="s">
        <v>48</v>
      </c>
      <c r="L8021" t="s">
        <v>49</v>
      </c>
      <c r="M8021" t="s">
        <v>277</v>
      </c>
      <c r="N8021">
        <v>44</v>
      </c>
      <c r="O8021">
        <v>8.8313384999999994E-2</v>
      </c>
      <c r="P8021">
        <v>8.3378693000000004E-2</v>
      </c>
      <c r="Q8021" t="str">
        <f t="shared" si="250"/>
        <v>25-34</v>
      </c>
      <c r="R8021" t="str">
        <f t="shared" si="251"/>
        <v>[am530wpaGvr]|25-34|Male|NEW_INFECTIONS_SUBNAT.T2|CY2026Q3</v>
      </c>
    </row>
    <row r="8022" spans="4:18" x14ac:dyDescent="0.2">
      <c r="D8022" t="s">
        <v>96</v>
      </c>
      <c r="E8022" t="s">
        <v>97</v>
      </c>
      <c r="F8022" t="s">
        <v>98</v>
      </c>
      <c r="G8022" t="s">
        <v>279</v>
      </c>
      <c r="H8022" t="s">
        <v>279</v>
      </c>
      <c r="I8022" t="s">
        <v>43</v>
      </c>
      <c r="J8022" t="s">
        <v>44</v>
      </c>
      <c r="K8022" t="s">
        <v>48</v>
      </c>
      <c r="L8022" t="s">
        <v>49</v>
      </c>
      <c r="M8022" t="s">
        <v>277</v>
      </c>
      <c r="N8022">
        <v>45</v>
      </c>
      <c r="O8022">
        <v>8.4722119999999998E-2</v>
      </c>
      <c r="P8022">
        <v>8.3378693000000004E-2</v>
      </c>
      <c r="Q8022" t="str">
        <f t="shared" si="250"/>
        <v>35-49</v>
      </c>
      <c r="R8022" t="str">
        <f t="shared" si="251"/>
        <v>[am530wpaGvr]|35-49|Male|NEW_INFECTIONS_SUBNAT.T2|CY2026Q3</v>
      </c>
    </row>
    <row r="8023" spans="4:18" x14ac:dyDescent="0.2">
      <c r="D8023" t="s">
        <v>96</v>
      </c>
      <c r="E8023" t="s">
        <v>97</v>
      </c>
      <c r="F8023" t="s">
        <v>98</v>
      </c>
      <c r="G8023" t="s">
        <v>279</v>
      </c>
      <c r="H8023" t="s">
        <v>279</v>
      </c>
      <c r="I8023" t="s">
        <v>45</v>
      </c>
      <c r="J8023" t="s">
        <v>46</v>
      </c>
      <c r="K8023" t="s">
        <v>48</v>
      </c>
      <c r="L8023" t="s">
        <v>49</v>
      </c>
      <c r="M8023" t="s">
        <v>277</v>
      </c>
      <c r="N8023">
        <v>14</v>
      </c>
      <c r="O8023">
        <v>8.1826362999999999E-2</v>
      </c>
      <c r="P8023">
        <v>8.3378693000000004E-2</v>
      </c>
      <c r="Q8023" t="str">
        <f t="shared" si="250"/>
        <v>50+</v>
      </c>
      <c r="R8023" t="str">
        <f t="shared" si="251"/>
        <v>[am530wpaGvr]|50+|Male|NEW_INFECTIONS_SUBNAT.T2|CY2026Q3</v>
      </c>
    </row>
    <row r="8024" spans="4:18" x14ac:dyDescent="0.2">
      <c r="D8024" t="s">
        <v>99</v>
      </c>
      <c r="E8024" t="s">
        <v>100</v>
      </c>
      <c r="F8024" t="s">
        <v>101</v>
      </c>
      <c r="G8024" t="s">
        <v>279</v>
      </c>
      <c r="H8024" t="s">
        <v>279</v>
      </c>
      <c r="I8024" t="s">
        <v>28</v>
      </c>
      <c r="J8024" t="s">
        <v>29</v>
      </c>
      <c r="K8024" t="s">
        <v>30</v>
      </c>
      <c r="L8024" t="s">
        <v>31</v>
      </c>
      <c r="M8024" t="s">
        <v>277</v>
      </c>
      <c r="N8024">
        <v>61</v>
      </c>
      <c r="O8024">
        <v>4.4190961000000001E-2</v>
      </c>
      <c r="P8024">
        <v>4.9765170999999997E-2</v>
      </c>
      <c r="Q8024" t="str">
        <f t="shared" si="250"/>
        <v>&lt;01</v>
      </c>
      <c r="R8024" t="str">
        <f t="shared" si="251"/>
        <v>[lLDyBx5XyUi]|&lt;01|Female|NEW_INFECTIONS_SUBNAT.T2|CY2026Q3</v>
      </c>
    </row>
    <row r="8025" spans="4:18" x14ac:dyDescent="0.2">
      <c r="D8025" t="s">
        <v>99</v>
      </c>
      <c r="E8025" t="s">
        <v>100</v>
      </c>
      <c r="F8025" t="s">
        <v>101</v>
      </c>
      <c r="G8025" t="s">
        <v>279</v>
      </c>
      <c r="H8025" t="s">
        <v>279</v>
      </c>
      <c r="I8025" t="s">
        <v>33</v>
      </c>
      <c r="J8025" t="s">
        <v>34</v>
      </c>
      <c r="K8025" t="s">
        <v>30</v>
      </c>
      <c r="L8025" t="s">
        <v>31</v>
      </c>
      <c r="M8025" t="s">
        <v>277</v>
      </c>
      <c r="N8025">
        <v>15</v>
      </c>
      <c r="O8025">
        <v>2.2095481E-2</v>
      </c>
      <c r="P8025">
        <v>4.9765170999999997E-2</v>
      </c>
      <c r="Q8025" t="str">
        <f t="shared" si="250"/>
        <v>01-09</v>
      </c>
      <c r="R8025" t="str">
        <f t="shared" si="251"/>
        <v>[lLDyBx5XyUi]|01-09|Female|NEW_INFECTIONS_SUBNAT.T2|CY2026Q3</v>
      </c>
    </row>
    <row r="8026" spans="4:18" x14ac:dyDescent="0.2">
      <c r="D8026" t="s">
        <v>99</v>
      </c>
      <c r="E8026" t="s">
        <v>100</v>
      </c>
      <c r="F8026" t="s">
        <v>101</v>
      </c>
      <c r="G8026" t="s">
        <v>279</v>
      </c>
      <c r="H8026" t="s">
        <v>279</v>
      </c>
      <c r="I8026" t="s">
        <v>36</v>
      </c>
      <c r="J8026" t="s">
        <v>37</v>
      </c>
      <c r="K8026" t="s">
        <v>30</v>
      </c>
      <c r="L8026" t="s">
        <v>31</v>
      </c>
      <c r="M8026" t="s">
        <v>277</v>
      </c>
      <c r="N8026">
        <v>0</v>
      </c>
      <c r="O8026">
        <v>0</v>
      </c>
      <c r="P8026">
        <v>4.9765170999999997E-2</v>
      </c>
      <c r="Q8026" t="str">
        <f t="shared" si="250"/>
        <v>10-14</v>
      </c>
      <c r="R8026" t="str">
        <f t="shared" si="251"/>
        <v>[lLDyBx5XyUi]|10-14|Female|NEW_INFECTIONS_SUBNAT.T2|CY2026Q3</v>
      </c>
    </row>
    <row r="8027" spans="4:18" x14ac:dyDescent="0.2">
      <c r="D8027" t="s">
        <v>99</v>
      </c>
      <c r="E8027" t="s">
        <v>100</v>
      </c>
      <c r="F8027" t="s">
        <v>101</v>
      </c>
      <c r="G8027" t="s">
        <v>279</v>
      </c>
      <c r="H8027" t="s">
        <v>279</v>
      </c>
      <c r="I8027" t="s">
        <v>38</v>
      </c>
      <c r="J8027" t="s">
        <v>39</v>
      </c>
      <c r="K8027" t="s">
        <v>30</v>
      </c>
      <c r="L8027" t="s">
        <v>31</v>
      </c>
      <c r="M8027" t="s">
        <v>277</v>
      </c>
      <c r="N8027">
        <v>193</v>
      </c>
      <c r="O8027">
        <v>5.5138756999999997E-2</v>
      </c>
      <c r="P8027">
        <v>4.9765170999999997E-2</v>
      </c>
      <c r="Q8027" t="str">
        <f t="shared" si="250"/>
        <v>15-24</v>
      </c>
      <c r="R8027" t="str">
        <f t="shared" si="251"/>
        <v>[lLDyBx5XyUi]|15-24|Female|NEW_INFECTIONS_SUBNAT.T2|CY2026Q3</v>
      </c>
    </row>
    <row r="8028" spans="4:18" x14ac:dyDescent="0.2">
      <c r="D8028" t="s">
        <v>99</v>
      </c>
      <c r="E8028" t="s">
        <v>100</v>
      </c>
      <c r="F8028" t="s">
        <v>101</v>
      </c>
      <c r="G8028" t="s">
        <v>279</v>
      </c>
      <c r="H8028" t="s">
        <v>279</v>
      </c>
      <c r="I8028" t="s">
        <v>41</v>
      </c>
      <c r="J8028" t="s">
        <v>42</v>
      </c>
      <c r="K8028" t="s">
        <v>30</v>
      </c>
      <c r="L8028" t="s">
        <v>31</v>
      </c>
      <c r="M8028" t="s">
        <v>277</v>
      </c>
      <c r="N8028">
        <v>188</v>
      </c>
      <c r="O8028">
        <v>5.2978549999999999E-2</v>
      </c>
      <c r="P8028">
        <v>4.9765170999999997E-2</v>
      </c>
      <c r="Q8028" t="str">
        <f t="shared" si="250"/>
        <v>25-34</v>
      </c>
      <c r="R8028" t="str">
        <f t="shared" si="251"/>
        <v>[lLDyBx5XyUi]|25-34|Female|NEW_INFECTIONS_SUBNAT.T2|CY2026Q3</v>
      </c>
    </row>
    <row r="8029" spans="4:18" x14ac:dyDescent="0.2">
      <c r="D8029" t="s">
        <v>99</v>
      </c>
      <c r="E8029" t="s">
        <v>100</v>
      </c>
      <c r="F8029" t="s">
        <v>101</v>
      </c>
      <c r="G8029" t="s">
        <v>279</v>
      </c>
      <c r="H8029" t="s">
        <v>279</v>
      </c>
      <c r="I8029" t="s">
        <v>43</v>
      </c>
      <c r="J8029" t="s">
        <v>44</v>
      </c>
      <c r="K8029" t="s">
        <v>30</v>
      </c>
      <c r="L8029" t="s">
        <v>31</v>
      </c>
      <c r="M8029" t="s">
        <v>277</v>
      </c>
      <c r="N8029">
        <v>85</v>
      </c>
      <c r="O8029">
        <v>4.7519192000000002E-2</v>
      </c>
      <c r="P8029">
        <v>4.9765170999999997E-2</v>
      </c>
      <c r="Q8029" t="str">
        <f t="shared" si="250"/>
        <v>35-49</v>
      </c>
      <c r="R8029" t="str">
        <f t="shared" si="251"/>
        <v>[lLDyBx5XyUi]|35-49|Female|NEW_INFECTIONS_SUBNAT.T2|CY2026Q3</v>
      </c>
    </row>
    <row r="8030" spans="4:18" x14ac:dyDescent="0.2">
      <c r="D8030" t="s">
        <v>99</v>
      </c>
      <c r="E8030" t="s">
        <v>100</v>
      </c>
      <c r="F8030" t="s">
        <v>101</v>
      </c>
      <c r="G8030" t="s">
        <v>279</v>
      </c>
      <c r="H8030" t="s">
        <v>279</v>
      </c>
      <c r="I8030" t="s">
        <v>45</v>
      </c>
      <c r="J8030" t="s">
        <v>46</v>
      </c>
      <c r="K8030" t="s">
        <v>30</v>
      </c>
      <c r="L8030" t="s">
        <v>31</v>
      </c>
      <c r="M8030" t="s">
        <v>277</v>
      </c>
      <c r="N8030">
        <v>14</v>
      </c>
      <c r="O8030">
        <v>4.9483446E-2</v>
      </c>
      <c r="P8030">
        <v>4.9765170999999997E-2</v>
      </c>
      <c r="Q8030" t="str">
        <f t="shared" si="250"/>
        <v>50+</v>
      </c>
      <c r="R8030" t="str">
        <f t="shared" si="251"/>
        <v>[lLDyBx5XyUi]|50+|Female|NEW_INFECTIONS_SUBNAT.T2|CY2026Q3</v>
      </c>
    </row>
    <row r="8031" spans="4:18" x14ac:dyDescent="0.2">
      <c r="D8031" t="s">
        <v>99</v>
      </c>
      <c r="E8031" t="s">
        <v>100</v>
      </c>
      <c r="F8031" t="s">
        <v>101</v>
      </c>
      <c r="G8031" t="s">
        <v>279</v>
      </c>
      <c r="H8031" t="s">
        <v>279</v>
      </c>
      <c r="I8031" t="s">
        <v>28</v>
      </c>
      <c r="J8031" t="s">
        <v>29</v>
      </c>
      <c r="K8031" t="s">
        <v>48</v>
      </c>
      <c r="L8031" t="s">
        <v>49</v>
      </c>
      <c r="M8031" t="s">
        <v>277</v>
      </c>
      <c r="N8031">
        <v>61</v>
      </c>
      <c r="O8031">
        <v>4.419008E-2</v>
      </c>
      <c r="P8031">
        <v>4.9765170999999997E-2</v>
      </c>
      <c r="Q8031" t="str">
        <f t="shared" si="250"/>
        <v>&lt;01</v>
      </c>
      <c r="R8031" t="str">
        <f t="shared" si="251"/>
        <v>[lLDyBx5XyUi]|&lt;01|Male|NEW_INFECTIONS_SUBNAT.T2|CY2026Q3</v>
      </c>
    </row>
    <row r="8032" spans="4:18" x14ac:dyDescent="0.2">
      <c r="D8032" t="s">
        <v>99</v>
      </c>
      <c r="E8032" t="s">
        <v>100</v>
      </c>
      <c r="F8032" t="s">
        <v>101</v>
      </c>
      <c r="G8032" t="s">
        <v>279</v>
      </c>
      <c r="H8032" t="s">
        <v>279</v>
      </c>
      <c r="I8032" t="s">
        <v>33</v>
      </c>
      <c r="J8032" t="s">
        <v>34</v>
      </c>
      <c r="K8032" t="s">
        <v>48</v>
      </c>
      <c r="L8032" t="s">
        <v>49</v>
      </c>
      <c r="M8032" t="s">
        <v>277</v>
      </c>
      <c r="N8032">
        <v>15</v>
      </c>
      <c r="O8032">
        <v>2.209504E-2</v>
      </c>
      <c r="P8032">
        <v>4.9765170999999997E-2</v>
      </c>
      <c r="Q8032" t="str">
        <f t="shared" si="250"/>
        <v>01-09</v>
      </c>
      <c r="R8032" t="str">
        <f t="shared" si="251"/>
        <v>[lLDyBx5XyUi]|01-09|Male|NEW_INFECTIONS_SUBNAT.T2|CY2026Q3</v>
      </c>
    </row>
    <row r="8033" spans="4:18" x14ac:dyDescent="0.2">
      <c r="D8033" t="s">
        <v>99</v>
      </c>
      <c r="E8033" t="s">
        <v>100</v>
      </c>
      <c r="F8033" t="s">
        <v>101</v>
      </c>
      <c r="G8033" t="s">
        <v>279</v>
      </c>
      <c r="H8033" t="s">
        <v>279</v>
      </c>
      <c r="I8033" t="s">
        <v>36</v>
      </c>
      <c r="J8033" t="s">
        <v>37</v>
      </c>
      <c r="K8033" t="s">
        <v>48</v>
      </c>
      <c r="L8033" t="s">
        <v>49</v>
      </c>
      <c r="M8033" t="s">
        <v>277</v>
      </c>
      <c r="N8033">
        <v>0</v>
      </c>
      <c r="O8033">
        <v>0</v>
      </c>
      <c r="P8033">
        <v>4.9765170999999997E-2</v>
      </c>
      <c r="Q8033" t="str">
        <f t="shared" si="250"/>
        <v>10-14</v>
      </c>
      <c r="R8033" t="str">
        <f t="shared" si="251"/>
        <v>[lLDyBx5XyUi]|10-14|Male|NEW_INFECTIONS_SUBNAT.T2|CY2026Q3</v>
      </c>
    </row>
    <row r="8034" spans="4:18" x14ac:dyDescent="0.2">
      <c r="D8034" t="s">
        <v>99</v>
      </c>
      <c r="E8034" t="s">
        <v>100</v>
      </c>
      <c r="F8034" t="s">
        <v>101</v>
      </c>
      <c r="G8034" t="s">
        <v>279</v>
      </c>
      <c r="H8034" t="s">
        <v>279</v>
      </c>
      <c r="I8034" t="s">
        <v>38</v>
      </c>
      <c r="J8034" t="s">
        <v>39</v>
      </c>
      <c r="K8034" t="s">
        <v>48</v>
      </c>
      <c r="L8034" t="s">
        <v>49</v>
      </c>
      <c r="M8034" t="s">
        <v>277</v>
      </c>
      <c r="N8034">
        <v>28</v>
      </c>
      <c r="O8034">
        <v>5.5653764000000001E-2</v>
      </c>
      <c r="P8034">
        <v>4.9765170999999997E-2</v>
      </c>
      <c r="Q8034" t="str">
        <f t="shared" si="250"/>
        <v>15-24</v>
      </c>
      <c r="R8034" t="str">
        <f t="shared" si="251"/>
        <v>[lLDyBx5XyUi]|15-24|Male|NEW_INFECTIONS_SUBNAT.T2|CY2026Q3</v>
      </c>
    </row>
    <row r="8035" spans="4:18" x14ac:dyDescent="0.2">
      <c r="D8035" t="s">
        <v>99</v>
      </c>
      <c r="E8035" t="s">
        <v>100</v>
      </c>
      <c r="F8035" t="s">
        <v>101</v>
      </c>
      <c r="G8035" t="s">
        <v>279</v>
      </c>
      <c r="H8035" t="s">
        <v>279</v>
      </c>
      <c r="I8035" t="s">
        <v>41</v>
      </c>
      <c r="J8035" t="s">
        <v>42</v>
      </c>
      <c r="K8035" t="s">
        <v>48</v>
      </c>
      <c r="L8035" t="s">
        <v>49</v>
      </c>
      <c r="M8035" t="s">
        <v>277</v>
      </c>
      <c r="N8035">
        <v>95</v>
      </c>
      <c r="O8035">
        <v>5.4989491000000001E-2</v>
      </c>
      <c r="P8035">
        <v>4.9765170999999997E-2</v>
      </c>
      <c r="Q8035" t="str">
        <f t="shared" si="250"/>
        <v>25-34</v>
      </c>
      <c r="R8035" t="str">
        <f t="shared" si="251"/>
        <v>[lLDyBx5XyUi]|25-34|Male|NEW_INFECTIONS_SUBNAT.T2|CY2026Q3</v>
      </c>
    </row>
    <row r="8036" spans="4:18" x14ac:dyDescent="0.2">
      <c r="D8036" t="s">
        <v>99</v>
      </c>
      <c r="E8036" t="s">
        <v>100</v>
      </c>
      <c r="F8036" t="s">
        <v>101</v>
      </c>
      <c r="G8036" t="s">
        <v>279</v>
      </c>
      <c r="H8036" t="s">
        <v>279</v>
      </c>
      <c r="I8036" t="s">
        <v>43</v>
      </c>
      <c r="J8036" t="s">
        <v>44</v>
      </c>
      <c r="K8036" t="s">
        <v>48</v>
      </c>
      <c r="L8036" t="s">
        <v>49</v>
      </c>
      <c r="M8036" t="s">
        <v>277</v>
      </c>
      <c r="N8036">
        <v>92</v>
      </c>
      <c r="O8036">
        <v>5.2011944999999997E-2</v>
      </c>
      <c r="P8036">
        <v>4.9765170999999997E-2</v>
      </c>
      <c r="Q8036" t="str">
        <f t="shared" si="250"/>
        <v>35-49</v>
      </c>
      <c r="R8036" t="str">
        <f t="shared" si="251"/>
        <v>[lLDyBx5XyUi]|35-49|Male|NEW_INFECTIONS_SUBNAT.T2|CY2026Q3</v>
      </c>
    </row>
    <row r="8037" spans="4:18" x14ac:dyDescent="0.2">
      <c r="D8037" t="s">
        <v>99</v>
      </c>
      <c r="E8037" t="s">
        <v>100</v>
      </c>
      <c r="F8037" t="s">
        <v>101</v>
      </c>
      <c r="G8037" t="s">
        <v>279</v>
      </c>
      <c r="H8037" t="s">
        <v>279</v>
      </c>
      <c r="I8037" t="s">
        <v>45</v>
      </c>
      <c r="J8037" t="s">
        <v>46</v>
      </c>
      <c r="K8037" t="s">
        <v>48</v>
      </c>
      <c r="L8037" t="s">
        <v>49</v>
      </c>
      <c r="M8037" t="s">
        <v>277</v>
      </c>
      <c r="N8037">
        <v>29</v>
      </c>
      <c r="O8037">
        <v>5.0744796000000002E-2</v>
      </c>
      <c r="P8037">
        <v>4.9765170999999997E-2</v>
      </c>
      <c r="Q8037" t="str">
        <f t="shared" si="250"/>
        <v>50+</v>
      </c>
      <c r="R8037" t="str">
        <f t="shared" si="251"/>
        <v>[lLDyBx5XyUi]|50+|Male|NEW_INFECTIONS_SUBNAT.T2|CY2026Q3</v>
      </c>
    </row>
    <row r="8038" spans="4:18" x14ac:dyDescent="0.2">
      <c r="D8038" t="s">
        <v>102</v>
      </c>
      <c r="E8038" t="s">
        <v>103</v>
      </c>
      <c r="F8038" t="s">
        <v>104</v>
      </c>
      <c r="G8038" t="s">
        <v>279</v>
      </c>
      <c r="H8038" t="s">
        <v>279</v>
      </c>
      <c r="I8038" t="s">
        <v>28</v>
      </c>
      <c r="J8038" t="s">
        <v>29</v>
      </c>
      <c r="K8038" t="s">
        <v>30</v>
      </c>
      <c r="L8038" t="s">
        <v>31</v>
      </c>
      <c r="M8038" t="s">
        <v>277</v>
      </c>
      <c r="N8038">
        <v>28</v>
      </c>
      <c r="O8038">
        <v>6.4639817000000002E-2</v>
      </c>
      <c r="P8038">
        <v>6.8062231000000001E-2</v>
      </c>
      <c r="Q8038" t="str">
        <f t="shared" si="250"/>
        <v>&lt;01</v>
      </c>
      <c r="R8038" t="str">
        <f t="shared" si="251"/>
        <v>[TYnMSwzko3z]|&lt;01|Female|NEW_INFECTIONS_SUBNAT.T2|CY2026Q3</v>
      </c>
    </row>
    <row r="8039" spans="4:18" x14ac:dyDescent="0.2">
      <c r="D8039" t="s">
        <v>102</v>
      </c>
      <c r="E8039" t="s">
        <v>103</v>
      </c>
      <c r="F8039" t="s">
        <v>104</v>
      </c>
      <c r="G8039" t="s">
        <v>279</v>
      </c>
      <c r="H8039" t="s">
        <v>279</v>
      </c>
      <c r="I8039" t="s">
        <v>33</v>
      </c>
      <c r="J8039" t="s">
        <v>34</v>
      </c>
      <c r="K8039" t="s">
        <v>30</v>
      </c>
      <c r="L8039" t="s">
        <v>31</v>
      </c>
      <c r="M8039" t="s">
        <v>277</v>
      </c>
      <c r="N8039">
        <v>7</v>
      </c>
      <c r="O8039">
        <v>3.2319909000000001E-2</v>
      </c>
      <c r="P8039">
        <v>6.8062231000000001E-2</v>
      </c>
      <c r="Q8039" t="str">
        <f t="shared" si="250"/>
        <v>01-09</v>
      </c>
      <c r="R8039" t="str">
        <f t="shared" si="251"/>
        <v>[TYnMSwzko3z]|01-09|Female|NEW_INFECTIONS_SUBNAT.T2|CY2026Q3</v>
      </c>
    </row>
    <row r="8040" spans="4:18" x14ac:dyDescent="0.2">
      <c r="D8040" t="s">
        <v>102</v>
      </c>
      <c r="E8040" t="s">
        <v>103</v>
      </c>
      <c r="F8040" t="s">
        <v>104</v>
      </c>
      <c r="G8040" t="s">
        <v>279</v>
      </c>
      <c r="H8040" t="s">
        <v>279</v>
      </c>
      <c r="I8040" t="s">
        <v>36</v>
      </c>
      <c r="J8040" t="s">
        <v>37</v>
      </c>
      <c r="K8040" t="s">
        <v>30</v>
      </c>
      <c r="L8040" t="s">
        <v>31</v>
      </c>
      <c r="M8040" t="s">
        <v>277</v>
      </c>
      <c r="N8040">
        <v>0</v>
      </c>
      <c r="O8040">
        <v>0</v>
      </c>
      <c r="P8040">
        <v>6.8062231000000001E-2</v>
      </c>
      <c r="Q8040" t="str">
        <f t="shared" si="250"/>
        <v>10-14</v>
      </c>
      <c r="R8040" t="str">
        <f t="shared" si="251"/>
        <v>[TYnMSwzko3z]|10-14|Female|NEW_INFECTIONS_SUBNAT.T2|CY2026Q3</v>
      </c>
    </row>
    <row r="8041" spans="4:18" x14ac:dyDescent="0.2">
      <c r="D8041" t="s">
        <v>102</v>
      </c>
      <c r="E8041" t="s">
        <v>103</v>
      </c>
      <c r="F8041" t="s">
        <v>104</v>
      </c>
      <c r="G8041" t="s">
        <v>279</v>
      </c>
      <c r="H8041" t="s">
        <v>279</v>
      </c>
      <c r="I8041" t="s">
        <v>38</v>
      </c>
      <c r="J8041" t="s">
        <v>39</v>
      </c>
      <c r="K8041" t="s">
        <v>30</v>
      </c>
      <c r="L8041" t="s">
        <v>31</v>
      </c>
      <c r="M8041" t="s">
        <v>277</v>
      </c>
      <c r="N8041">
        <v>89</v>
      </c>
      <c r="O8041">
        <v>7.2803969999999996E-2</v>
      </c>
      <c r="P8041">
        <v>6.8062231000000001E-2</v>
      </c>
      <c r="Q8041" t="str">
        <f t="shared" si="250"/>
        <v>15-24</v>
      </c>
      <c r="R8041" t="str">
        <f t="shared" si="251"/>
        <v>[TYnMSwzko3z]|15-24|Female|NEW_INFECTIONS_SUBNAT.T2|CY2026Q3</v>
      </c>
    </row>
    <row r="8042" spans="4:18" x14ac:dyDescent="0.2">
      <c r="D8042" t="s">
        <v>102</v>
      </c>
      <c r="E8042" t="s">
        <v>103</v>
      </c>
      <c r="F8042" t="s">
        <v>104</v>
      </c>
      <c r="G8042" t="s">
        <v>279</v>
      </c>
      <c r="H8042" t="s">
        <v>279</v>
      </c>
      <c r="I8042" t="s">
        <v>41</v>
      </c>
      <c r="J8042" t="s">
        <v>42</v>
      </c>
      <c r="K8042" t="s">
        <v>30</v>
      </c>
      <c r="L8042" t="s">
        <v>31</v>
      </c>
      <c r="M8042" t="s">
        <v>277</v>
      </c>
      <c r="N8042">
        <v>89</v>
      </c>
      <c r="O8042">
        <v>7.0694292000000006E-2</v>
      </c>
      <c r="P8042">
        <v>6.8062231000000001E-2</v>
      </c>
      <c r="Q8042" t="str">
        <f t="shared" si="250"/>
        <v>25-34</v>
      </c>
      <c r="R8042" t="str">
        <f t="shared" si="251"/>
        <v>[TYnMSwzko3z]|25-34|Female|NEW_INFECTIONS_SUBNAT.T2|CY2026Q3</v>
      </c>
    </row>
    <row r="8043" spans="4:18" x14ac:dyDescent="0.2">
      <c r="D8043" t="s">
        <v>102</v>
      </c>
      <c r="E8043" t="s">
        <v>103</v>
      </c>
      <c r="F8043" t="s">
        <v>104</v>
      </c>
      <c r="G8043" t="s">
        <v>279</v>
      </c>
      <c r="H8043" t="s">
        <v>279</v>
      </c>
      <c r="I8043" t="s">
        <v>43</v>
      </c>
      <c r="J8043" t="s">
        <v>44</v>
      </c>
      <c r="K8043" t="s">
        <v>30</v>
      </c>
      <c r="L8043" t="s">
        <v>31</v>
      </c>
      <c r="M8043" t="s">
        <v>277</v>
      </c>
      <c r="N8043">
        <v>42</v>
      </c>
      <c r="O8043">
        <v>6.4360218999999996E-2</v>
      </c>
      <c r="P8043">
        <v>6.8062231000000001E-2</v>
      </c>
      <c r="Q8043" t="str">
        <f t="shared" si="250"/>
        <v>35-49</v>
      </c>
      <c r="R8043" t="str">
        <f t="shared" si="251"/>
        <v>[TYnMSwzko3z]|35-49|Female|NEW_INFECTIONS_SUBNAT.T2|CY2026Q3</v>
      </c>
    </row>
    <row r="8044" spans="4:18" x14ac:dyDescent="0.2">
      <c r="D8044" t="s">
        <v>102</v>
      </c>
      <c r="E8044" t="s">
        <v>103</v>
      </c>
      <c r="F8044" t="s">
        <v>104</v>
      </c>
      <c r="G8044" t="s">
        <v>279</v>
      </c>
      <c r="H8044" t="s">
        <v>279</v>
      </c>
      <c r="I8044" t="s">
        <v>45</v>
      </c>
      <c r="J8044" t="s">
        <v>46</v>
      </c>
      <c r="K8044" t="s">
        <v>30</v>
      </c>
      <c r="L8044" t="s">
        <v>31</v>
      </c>
      <c r="M8044" t="s">
        <v>277</v>
      </c>
      <c r="N8044">
        <v>7</v>
      </c>
      <c r="O8044">
        <v>6.4634762999999998E-2</v>
      </c>
      <c r="P8044">
        <v>6.8062231000000001E-2</v>
      </c>
      <c r="Q8044" t="str">
        <f t="shared" si="250"/>
        <v>50+</v>
      </c>
      <c r="R8044" t="str">
        <f t="shared" si="251"/>
        <v>[TYnMSwzko3z]|50+|Female|NEW_INFECTIONS_SUBNAT.T2|CY2026Q3</v>
      </c>
    </row>
    <row r="8045" spans="4:18" x14ac:dyDescent="0.2">
      <c r="D8045" t="s">
        <v>102</v>
      </c>
      <c r="E8045" t="s">
        <v>103</v>
      </c>
      <c r="F8045" t="s">
        <v>104</v>
      </c>
      <c r="G8045" t="s">
        <v>279</v>
      </c>
      <c r="H8045" t="s">
        <v>279</v>
      </c>
      <c r="I8045" t="s">
        <v>28</v>
      </c>
      <c r="J8045" t="s">
        <v>29</v>
      </c>
      <c r="K8045" t="s">
        <v>48</v>
      </c>
      <c r="L8045" t="s">
        <v>49</v>
      </c>
      <c r="M8045" t="s">
        <v>277</v>
      </c>
      <c r="N8045">
        <v>28</v>
      </c>
      <c r="O8045">
        <v>6.4638694999999996E-2</v>
      </c>
      <c r="P8045">
        <v>6.8062231000000001E-2</v>
      </c>
      <c r="Q8045" t="str">
        <f t="shared" si="250"/>
        <v>&lt;01</v>
      </c>
      <c r="R8045" t="str">
        <f t="shared" si="251"/>
        <v>[TYnMSwzko3z]|&lt;01|Male|NEW_INFECTIONS_SUBNAT.T2|CY2026Q3</v>
      </c>
    </row>
    <row r="8046" spans="4:18" x14ac:dyDescent="0.2">
      <c r="D8046" t="s">
        <v>102</v>
      </c>
      <c r="E8046" t="s">
        <v>103</v>
      </c>
      <c r="F8046" t="s">
        <v>104</v>
      </c>
      <c r="G8046" t="s">
        <v>279</v>
      </c>
      <c r="H8046" t="s">
        <v>279</v>
      </c>
      <c r="I8046" t="s">
        <v>33</v>
      </c>
      <c r="J8046" t="s">
        <v>34</v>
      </c>
      <c r="K8046" t="s">
        <v>48</v>
      </c>
      <c r="L8046" t="s">
        <v>49</v>
      </c>
      <c r="M8046" t="s">
        <v>277</v>
      </c>
      <c r="N8046">
        <v>7</v>
      </c>
      <c r="O8046">
        <v>3.2319347999999998E-2</v>
      </c>
      <c r="P8046">
        <v>6.8062231000000001E-2</v>
      </c>
      <c r="Q8046" t="str">
        <f t="shared" si="250"/>
        <v>01-09</v>
      </c>
      <c r="R8046" t="str">
        <f t="shared" si="251"/>
        <v>[TYnMSwzko3z]|01-09|Male|NEW_INFECTIONS_SUBNAT.T2|CY2026Q3</v>
      </c>
    </row>
    <row r="8047" spans="4:18" x14ac:dyDescent="0.2">
      <c r="D8047" t="s">
        <v>102</v>
      </c>
      <c r="E8047" t="s">
        <v>103</v>
      </c>
      <c r="F8047" t="s">
        <v>104</v>
      </c>
      <c r="G8047" t="s">
        <v>279</v>
      </c>
      <c r="H8047" t="s">
        <v>279</v>
      </c>
      <c r="I8047" t="s">
        <v>36</v>
      </c>
      <c r="J8047" t="s">
        <v>37</v>
      </c>
      <c r="K8047" t="s">
        <v>48</v>
      </c>
      <c r="L8047" t="s">
        <v>49</v>
      </c>
      <c r="M8047" t="s">
        <v>277</v>
      </c>
      <c r="N8047">
        <v>0</v>
      </c>
      <c r="O8047">
        <v>0</v>
      </c>
      <c r="P8047">
        <v>6.8062231000000001E-2</v>
      </c>
      <c r="Q8047" t="str">
        <f t="shared" si="250"/>
        <v>10-14</v>
      </c>
      <c r="R8047" t="str">
        <f t="shared" si="251"/>
        <v>[TYnMSwzko3z]|10-14|Male|NEW_INFECTIONS_SUBNAT.T2|CY2026Q3</v>
      </c>
    </row>
    <row r="8048" spans="4:18" x14ac:dyDescent="0.2">
      <c r="D8048" t="s">
        <v>102</v>
      </c>
      <c r="E8048" t="s">
        <v>103</v>
      </c>
      <c r="F8048" t="s">
        <v>104</v>
      </c>
      <c r="G8048" t="s">
        <v>279</v>
      </c>
      <c r="H8048" t="s">
        <v>279</v>
      </c>
      <c r="I8048" t="s">
        <v>38</v>
      </c>
      <c r="J8048" t="s">
        <v>39</v>
      </c>
      <c r="K8048" t="s">
        <v>48</v>
      </c>
      <c r="L8048" t="s">
        <v>49</v>
      </c>
      <c r="M8048" t="s">
        <v>277</v>
      </c>
      <c r="N8048">
        <v>13</v>
      </c>
      <c r="O8048">
        <v>7.3291585000000006E-2</v>
      </c>
      <c r="P8048">
        <v>6.8062231000000001E-2</v>
      </c>
      <c r="Q8048" t="str">
        <f t="shared" si="250"/>
        <v>15-24</v>
      </c>
      <c r="R8048" t="str">
        <f t="shared" si="251"/>
        <v>[TYnMSwzko3z]|15-24|Male|NEW_INFECTIONS_SUBNAT.T2|CY2026Q3</v>
      </c>
    </row>
    <row r="8049" spans="4:18" x14ac:dyDescent="0.2">
      <c r="D8049" t="s">
        <v>102</v>
      </c>
      <c r="E8049" t="s">
        <v>103</v>
      </c>
      <c r="F8049" t="s">
        <v>104</v>
      </c>
      <c r="G8049" t="s">
        <v>279</v>
      </c>
      <c r="H8049" t="s">
        <v>279</v>
      </c>
      <c r="I8049" t="s">
        <v>41</v>
      </c>
      <c r="J8049" t="s">
        <v>42</v>
      </c>
      <c r="K8049" t="s">
        <v>48</v>
      </c>
      <c r="L8049" t="s">
        <v>49</v>
      </c>
      <c r="M8049" t="s">
        <v>277</v>
      </c>
      <c r="N8049">
        <v>45</v>
      </c>
      <c r="O8049">
        <v>7.2716406999999997E-2</v>
      </c>
      <c r="P8049">
        <v>6.8062231000000001E-2</v>
      </c>
      <c r="Q8049" t="str">
        <f t="shared" si="250"/>
        <v>25-34</v>
      </c>
      <c r="R8049" t="str">
        <f t="shared" si="251"/>
        <v>[TYnMSwzko3z]|25-34|Male|NEW_INFECTIONS_SUBNAT.T2|CY2026Q3</v>
      </c>
    </row>
    <row r="8050" spans="4:18" x14ac:dyDescent="0.2">
      <c r="D8050" t="s">
        <v>102</v>
      </c>
      <c r="E8050" t="s">
        <v>103</v>
      </c>
      <c r="F8050" t="s">
        <v>104</v>
      </c>
      <c r="G8050" t="s">
        <v>279</v>
      </c>
      <c r="H8050" t="s">
        <v>279</v>
      </c>
      <c r="I8050" t="s">
        <v>43</v>
      </c>
      <c r="J8050" t="s">
        <v>44</v>
      </c>
      <c r="K8050" t="s">
        <v>48</v>
      </c>
      <c r="L8050" t="s">
        <v>49</v>
      </c>
      <c r="M8050" t="s">
        <v>277</v>
      </c>
      <c r="N8050">
        <v>44</v>
      </c>
      <c r="O8050">
        <v>6.9554522999999993E-2</v>
      </c>
      <c r="P8050">
        <v>6.8062231000000001E-2</v>
      </c>
      <c r="Q8050" t="str">
        <f t="shared" si="250"/>
        <v>35-49</v>
      </c>
      <c r="R8050" t="str">
        <f t="shared" si="251"/>
        <v>[TYnMSwzko3z]|35-49|Male|NEW_INFECTIONS_SUBNAT.T2|CY2026Q3</v>
      </c>
    </row>
    <row r="8051" spans="4:18" x14ac:dyDescent="0.2">
      <c r="D8051" t="s">
        <v>102</v>
      </c>
      <c r="E8051" t="s">
        <v>103</v>
      </c>
      <c r="F8051" t="s">
        <v>104</v>
      </c>
      <c r="G8051" t="s">
        <v>279</v>
      </c>
      <c r="H8051" t="s">
        <v>279</v>
      </c>
      <c r="I8051" t="s">
        <v>45</v>
      </c>
      <c r="J8051" t="s">
        <v>46</v>
      </c>
      <c r="K8051" t="s">
        <v>48</v>
      </c>
      <c r="L8051" t="s">
        <v>49</v>
      </c>
      <c r="M8051" t="s">
        <v>277</v>
      </c>
      <c r="N8051">
        <v>14</v>
      </c>
      <c r="O8051">
        <v>6.6763750999999996E-2</v>
      </c>
      <c r="P8051">
        <v>6.8062231000000001E-2</v>
      </c>
      <c r="Q8051" t="str">
        <f t="shared" si="250"/>
        <v>50+</v>
      </c>
      <c r="R8051" t="str">
        <f t="shared" si="251"/>
        <v>[TYnMSwzko3z]|50+|Male|NEW_INFECTIONS_SUBNAT.T2|CY2026Q3</v>
      </c>
    </row>
    <row r="8052" spans="4:18" x14ac:dyDescent="0.2">
      <c r="D8052" t="s">
        <v>105</v>
      </c>
      <c r="E8052" t="s">
        <v>106</v>
      </c>
      <c r="F8052" t="s">
        <v>107</v>
      </c>
      <c r="G8052" t="s">
        <v>279</v>
      </c>
      <c r="H8052" t="s">
        <v>279</v>
      </c>
      <c r="I8052" t="s">
        <v>28</v>
      </c>
      <c r="J8052" t="s">
        <v>29</v>
      </c>
      <c r="K8052" t="s">
        <v>30</v>
      </c>
      <c r="L8052" t="s">
        <v>31</v>
      </c>
      <c r="M8052" t="s">
        <v>277</v>
      </c>
      <c r="N8052">
        <v>42</v>
      </c>
      <c r="O8052">
        <v>3.9202078000000001E-2</v>
      </c>
      <c r="P8052">
        <v>4.3287707000000002E-2</v>
      </c>
      <c r="Q8052" t="str">
        <f t="shared" si="250"/>
        <v>&lt;01</v>
      </c>
      <c r="R8052" t="str">
        <f t="shared" si="251"/>
        <v>[fyEoGEPERdI]|&lt;01|Female|NEW_INFECTIONS_SUBNAT.T2|CY2026Q3</v>
      </c>
    </row>
    <row r="8053" spans="4:18" x14ac:dyDescent="0.2">
      <c r="D8053" t="s">
        <v>105</v>
      </c>
      <c r="E8053" t="s">
        <v>106</v>
      </c>
      <c r="F8053" t="s">
        <v>107</v>
      </c>
      <c r="G8053" t="s">
        <v>279</v>
      </c>
      <c r="H8053" t="s">
        <v>279</v>
      </c>
      <c r="I8053" t="s">
        <v>33</v>
      </c>
      <c r="J8053" t="s">
        <v>34</v>
      </c>
      <c r="K8053" t="s">
        <v>30</v>
      </c>
      <c r="L8053" t="s">
        <v>31</v>
      </c>
      <c r="M8053" t="s">
        <v>277</v>
      </c>
      <c r="N8053">
        <v>11</v>
      </c>
      <c r="O8053">
        <v>1.9601039000000001E-2</v>
      </c>
      <c r="P8053">
        <v>4.3287707000000002E-2</v>
      </c>
      <c r="Q8053" t="str">
        <f t="shared" si="250"/>
        <v>01-09</v>
      </c>
      <c r="R8053" t="str">
        <f t="shared" si="251"/>
        <v>[fyEoGEPERdI]|01-09|Female|NEW_INFECTIONS_SUBNAT.T2|CY2026Q3</v>
      </c>
    </row>
    <row r="8054" spans="4:18" x14ac:dyDescent="0.2">
      <c r="D8054" t="s">
        <v>105</v>
      </c>
      <c r="E8054" t="s">
        <v>106</v>
      </c>
      <c r="F8054" t="s">
        <v>107</v>
      </c>
      <c r="G8054" t="s">
        <v>279</v>
      </c>
      <c r="H8054" t="s">
        <v>279</v>
      </c>
      <c r="I8054" t="s">
        <v>36</v>
      </c>
      <c r="J8054" t="s">
        <v>37</v>
      </c>
      <c r="K8054" t="s">
        <v>30</v>
      </c>
      <c r="L8054" t="s">
        <v>31</v>
      </c>
      <c r="M8054" t="s">
        <v>277</v>
      </c>
      <c r="N8054">
        <v>0</v>
      </c>
      <c r="O8054">
        <v>0</v>
      </c>
      <c r="P8054">
        <v>4.3287707000000002E-2</v>
      </c>
      <c r="Q8054" t="str">
        <f t="shared" si="250"/>
        <v>10-14</v>
      </c>
      <c r="R8054" t="str">
        <f t="shared" si="251"/>
        <v>[fyEoGEPERdI]|10-14|Female|NEW_INFECTIONS_SUBNAT.T2|CY2026Q3</v>
      </c>
    </row>
    <row r="8055" spans="4:18" x14ac:dyDescent="0.2">
      <c r="D8055" t="s">
        <v>105</v>
      </c>
      <c r="E8055" t="s">
        <v>106</v>
      </c>
      <c r="F8055" t="s">
        <v>107</v>
      </c>
      <c r="G8055" t="s">
        <v>279</v>
      </c>
      <c r="H8055" t="s">
        <v>279</v>
      </c>
      <c r="I8055" t="s">
        <v>38</v>
      </c>
      <c r="J8055" t="s">
        <v>39</v>
      </c>
      <c r="K8055" t="s">
        <v>30</v>
      </c>
      <c r="L8055" t="s">
        <v>31</v>
      </c>
      <c r="M8055" t="s">
        <v>277</v>
      </c>
      <c r="N8055">
        <v>188</v>
      </c>
      <c r="O8055">
        <v>4.7572646000000003E-2</v>
      </c>
      <c r="P8055">
        <v>4.3287707000000002E-2</v>
      </c>
      <c r="Q8055" t="str">
        <f t="shared" si="250"/>
        <v>15-24</v>
      </c>
      <c r="R8055" t="str">
        <f t="shared" si="251"/>
        <v>[fyEoGEPERdI]|15-24|Female|NEW_INFECTIONS_SUBNAT.T2|CY2026Q3</v>
      </c>
    </row>
    <row r="8056" spans="4:18" x14ac:dyDescent="0.2">
      <c r="D8056" t="s">
        <v>105</v>
      </c>
      <c r="E8056" t="s">
        <v>106</v>
      </c>
      <c r="F8056" t="s">
        <v>107</v>
      </c>
      <c r="G8056" t="s">
        <v>279</v>
      </c>
      <c r="H8056" t="s">
        <v>279</v>
      </c>
      <c r="I8056" t="s">
        <v>41</v>
      </c>
      <c r="J8056" t="s">
        <v>42</v>
      </c>
      <c r="K8056" t="s">
        <v>30</v>
      </c>
      <c r="L8056" t="s">
        <v>31</v>
      </c>
      <c r="M8056" t="s">
        <v>277</v>
      </c>
      <c r="N8056">
        <v>184</v>
      </c>
      <c r="O8056">
        <v>4.4754339999999997E-2</v>
      </c>
      <c r="P8056">
        <v>4.3287707000000002E-2</v>
      </c>
      <c r="Q8056" t="str">
        <f t="shared" si="250"/>
        <v>25-34</v>
      </c>
      <c r="R8056" t="str">
        <f t="shared" si="251"/>
        <v>[fyEoGEPERdI]|25-34|Female|NEW_INFECTIONS_SUBNAT.T2|CY2026Q3</v>
      </c>
    </row>
    <row r="8057" spans="4:18" x14ac:dyDescent="0.2">
      <c r="D8057" t="s">
        <v>105</v>
      </c>
      <c r="E8057" t="s">
        <v>106</v>
      </c>
      <c r="F8057" t="s">
        <v>107</v>
      </c>
      <c r="G8057" t="s">
        <v>279</v>
      </c>
      <c r="H8057" t="s">
        <v>279</v>
      </c>
      <c r="I8057" t="s">
        <v>43</v>
      </c>
      <c r="J8057" t="s">
        <v>44</v>
      </c>
      <c r="K8057" t="s">
        <v>30</v>
      </c>
      <c r="L8057" t="s">
        <v>31</v>
      </c>
      <c r="M8057" t="s">
        <v>277</v>
      </c>
      <c r="N8057">
        <v>84</v>
      </c>
      <c r="O8057">
        <v>4.2334146000000003E-2</v>
      </c>
      <c r="P8057">
        <v>4.3287707000000002E-2</v>
      </c>
      <c r="Q8057" t="str">
        <f t="shared" si="250"/>
        <v>35-49</v>
      </c>
      <c r="R8057" t="str">
        <f t="shared" si="251"/>
        <v>[fyEoGEPERdI]|35-49|Female|NEW_INFECTIONS_SUBNAT.T2|CY2026Q3</v>
      </c>
    </row>
    <row r="8058" spans="4:18" x14ac:dyDescent="0.2">
      <c r="D8058" t="s">
        <v>105</v>
      </c>
      <c r="E8058" t="s">
        <v>106</v>
      </c>
      <c r="F8058" t="s">
        <v>107</v>
      </c>
      <c r="G8058" t="s">
        <v>279</v>
      </c>
      <c r="H8058" t="s">
        <v>279</v>
      </c>
      <c r="I8058" t="s">
        <v>45</v>
      </c>
      <c r="J8058" t="s">
        <v>46</v>
      </c>
      <c r="K8058" t="s">
        <v>30</v>
      </c>
      <c r="L8058" t="s">
        <v>31</v>
      </c>
      <c r="M8058" t="s">
        <v>277</v>
      </c>
      <c r="N8058">
        <v>13</v>
      </c>
      <c r="O8058">
        <v>4.8174618000000002E-2</v>
      </c>
      <c r="P8058">
        <v>4.3287707000000002E-2</v>
      </c>
      <c r="Q8058" t="str">
        <f t="shared" si="250"/>
        <v>50+</v>
      </c>
      <c r="R8058" t="str">
        <f t="shared" si="251"/>
        <v>[fyEoGEPERdI]|50+|Female|NEW_INFECTIONS_SUBNAT.T2|CY2026Q3</v>
      </c>
    </row>
    <row r="8059" spans="4:18" x14ac:dyDescent="0.2">
      <c r="D8059" t="s">
        <v>105</v>
      </c>
      <c r="E8059" t="s">
        <v>106</v>
      </c>
      <c r="F8059" t="s">
        <v>107</v>
      </c>
      <c r="G8059" t="s">
        <v>279</v>
      </c>
      <c r="H8059" t="s">
        <v>279</v>
      </c>
      <c r="I8059" t="s">
        <v>28</v>
      </c>
      <c r="J8059" t="s">
        <v>29</v>
      </c>
      <c r="K8059" t="s">
        <v>48</v>
      </c>
      <c r="L8059" t="s">
        <v>49</v>
      </c>
      <c r="M8059" t="s">
        <v>277</v>
      </c>
      <c r="N8059">
        <v>43</v>
      </c>
      <c r="O8059">
        <v>3.9134436000000002E-2</v>
      </c>
      <c r="P8059">
        <v>4.3287707000000002E-2</v>
      </c>
      <c r="Q8059" t="str">
        <f t="shared" si="250"/>
        <v>&lt;01</v>
      </c>
      <c r="R8059" t="str">
        <f t="shared" si="251"/>
        <v>[fyEoGEPERdI]|&lt;01|Male|NEW_INFECTIONS_SUBNAT.T2|CY2026Q3</v>
      </c>
    </row>
    <row r="8060" spans="4:18" x14ac:dyDescent="0.2">
      <c r="D8060" t="s">
        <v>105</v>
      </c>
      <c r="E8060" t="s">
        <v>106</v>
      </c>
      <c r="F8060" t="s">
        <v>107</v>
      </c>
      <c r="G8060" t="s">
        <v>279</v>
      </c>
      <c r="H8060" t="s">
        <v>279</v>
      </c>
      <c r="I8060" t="s">
        <v>33</v>
      </c>
      <c r="J8060" t="s">
        <v>34</v>
      </c>
      <c r="K8060" t="s">
        <v>48</v>
      </c>
      <c r="L8060" t="s">
        <v>49</v>
      </c>
      <c r="M8060" t="s">
        <v>277</v>
      </c>
      <c r="N8060">
        <v>11</v>
      </c>
      <c r="O8060">
        <v>1.9567218000000001E-2</v>
      </c>
      <c r="P8060">
        <v>4.3287707000000002E-2</v>
      </c>
      <c r="Q8060" t="str">
        <f t="shared" si="250"/>
        <v>01-09</v>
      </c>
      <c r="R8060" t="str">
        <f t="shared" si="251"/>
        <v>[fyEoGEPERdI]|01-09|Male|NEW_INFECTIONS_SUBNAT.T2|CY2026Q3</v>
      </c>
    </row>
    <row r="8061" spans="4:18" x14ac:dyDescent="0.2">
      <c r="D8061" t="s">
        <v>105</v>
      </c>
      <c r="E8061" t="s">
        <v>106</v>
      </c>
      <c r="F8061" t="s">
        <v>107</v>
      </c>
      <c r="G8061" t="s">
        <v>279</v>
      </c>
      <c r="H8061" t="s">
        <v>279</v>
      </c>
      <c r="I8061" t="s">
        <v>36</v>
      </c>
      <c r="J8061" t="s">
        <v>37</v>
      </c>
      <c r="K8061" t="s">
        <v>48</v>
      </c>
      <c r="L8061" t="s">
        <v>49</v>
      </c>
      <c r="M8061" t="s">
        <v>277</v>
      </c>
      <c r="N8061">
        <v>0</v>
      </c>
      <c r="O8061">
        <v>0</v>
      </c>
      <c r="P8061">
        <v>4.3287707000000002E-2</v>
      </c>
      <c r="Q8061" t="str">
        <f t="shared" si="250"/>
        <v>10-14</v>
      </c>
      <c r="R8061" t="str">
        <f t="shared" si="251"/>
        <v>[fyEoGEPERdI]|10-14|Male|NEW_INFECTIONS_SUBNAT.T2|CY2026Q3</v>
      </c>
    </row>
    <row r="8062" spans="4:18" x14ac:dyDescent="0.2">
      <c r="D8062" t="s">
        <v>105</v>
      </c>
      <c r="E8062" t="s">
        <v>106</v>
      </c>
      <c r="F8062" t="s">
        <v>107</v>
      </c>
      <c r="G8062" t="s">
        <v>279</v>
      </c>
      <c r="H8062" t="s">
        <v>279</v>
      </c>
      <c r="I8062" t="s">
        <v>38</v>
      </c>
      <c r="J8062" t="s">
        <v>39</v>
      </c>
      <c r="K8062" t="s">
        <v>48</v>
      </c>
      <c r="L8062" t="s">
        <v>49</v>
      </c>
      <c r="M8062" t="s">
        <v>277</v>
      </c>
      <c r="N8062">
        <v>32</v>
      </c>
      <c r="O8062">
        <v>4.7865057000000003E-2</v>
      </c>
      <c r="P8062">
        <v>4.3287707000000002E-2</v>
      </c>
      <c r="Q8062" t="str">
        <f t="shared" si="250"/>
        <v>15-24</v>
      </c>
      <c r="R8062" t="str">
        <f t="shared" si="251"/>
        <v>[fyEoGEPERdI]|15-24|Male|NEW_INFECTIONS_SUBNAT.T2|CY2026Q3</v>
      </c>
    </row>
    <row r="8063" spans="4:18" x14ac:dyDescent="0.2">
      <c r="D8063" t="s">
        <v>105</v>
      </c>
      <c r="E8063" t="s">
        <v>106</v>
      </c>
      <c r="F8063" t="s">
        <v>107</v>
      </c>
      <c r="G8063" t="s">
        <v>279</v>
      </c>
      <c r="H8063" t="s">
        <v>279</v>
      </c>
      <c r="I8063" t="s">
        <v>41</v>
      </c>
      <c r="J8063" t="s">
        <v>42</v>
      </c>
      <c r="K8063" t="s">
        <v>48</v>
      </c>
      <c r="L8063" t="s">
        <v>49</v>
      </c>
      <c r="M8063" t="s">
        <v>277</v>
      </c>
      <c r="N8063">
        <v>105</v>
      </c>
      <c r="O8063">
        <v>4.6047539999999998E-2</v>
      </c>
      <c r="P8063">
        <v>4.3287707000000002E-2</v>
      </c>
      <c r="Q8063" t="str">
        <f t="shared" si="250"/>
        <v>25-34</v>
      </c>
      <c r="R8063" t="str">
        <f t="shared" si="251"/>
        <v>[fyEoGEPERdI]|25-34|Male|NEW_INFECTIONS_SUBNAT.T2|CY2026Q3</v>
      </c>
    </row>
    <row r="8064" spans="4:18" x14ac:dyDescent="0.2">
      <c r="D8064" t="s">
        <v>105</v>
      </c>
      <c r="E8064" t="s">
        <v>106</v>
      </c>
      <c r="F8064" t="s">
        <v>107</v>
      </c>
      <c r="G8064" t="s">
        <v>279</v>
      </c>
      <c r="H8064" t="s">
        <v>279</v>
      </c>
      <c r="I8064" t="s">
        <v>43</v>
      </c>
      <c r="J8064" t="s">
        <v>44</v>
      </c>
      <c r="K8064" t="s">
        <v>48</v>
      </c>
      <c r="L8064" t="s">
        <v>49</v>
      </c>
      <c r="M8064" t="s">
        <v>277</v>
      </c>
      <c r="N8064">
        <v>95</v>
      </c>
      <c r="O8064">
        <v>4.387477E-2</v>
      </c>
      <c r="P8064">
        <v>4.3287707000000002E-2</v>
      </c>
      <c r="Q8064" t="str">
        <f t="shared" si="250"/>
        <v>35-49</v>
      </c>
      <c r="R8064" t="str">
        <f t="shared" si="251"/>
        <v>[fyEoGEPERdI]|35-49|Male|NEW_INFECTIONS_SUBNAT.T2|CY2026Q3</v>
      </c>
    </row>
    <row r="8065" spans="4:18" x14ac:dyDescent="0.2">
      <c r="D8065" t="s">
        <v>105</v>
      </c>
      <c r="E8065" t="s">
        <v>106</v>
      </c>
      <c r="F8065" t="s">
        <v>107</v>
      </c>
      <c r="G8065" t="s">
        <v>279</v>
      </c>
      <c r="H8065" t="s">
        <v>279</v>
      </c>
      <c r="I8065" t="s">
        <v>45</v>
      </c>
      <c r="J8065" t="s">
        <v>46</v>
      </c>
      <c r="K8065" t="s">
        <v>48</v>
      </c>
      <c r="L8065" t="s">
        <v>49</v>
      </c>
      <c r="M8065" t="s">
        <v>277</v>
      </c>
      <c r="N8065">
        <v>26</v>
      </c>
      <c r="O8065">
        <v>4.777853E-2</v>
      </c>
      <c r="P8065">
        <v>4.3287707000000002E-2</v>
      </c>
      <c r="Q8065" t="str">
        <f t="shared" si="250"/>
        <v>50+</v>
      </c>
      <c r="R8065" t="str">
        <f t="shared" si="251"/>
        <v>[fyEoGEPERdI]|50+|Male|NEW_INFECTIONS_SUBNAT.T2|CY2026Q3</v>
      </c>
    </row>
    <row r="8066" spans="4:18" x14ac:dyDescent="0.2">
      <c r="D8066" t="s">
        <v>108</v>
      </c>
      <c r="E8066" t="s">
        <v>109</v>
      </c>
      <c r="F8066" t="s">
        <v>110</v>
      </c>
      <c r="G8066" t="s">
        <v>279</v>
      </c>
      <c r="H8066" t="s">
        <v>279</v>
      </c>
      <c r="I8066" t="s">
        <v>28</v>
      </c>
      <c r="J8066" t="s">
        <v>29</v>
      </c>
      <c r="K8066" t="s">
        <v>30</v>
      </c>
      <c r="L8066" t="s">
        <v>31</v>
      </c>
      <c r="M8066" t="s">
        <v>277</v>
      </c>
      <c r="N8066">
        <v>39</v>
      </c>
      <c r="O8066">
        <v>4.4503505999999998E-2</v>
      </c>
      <c r="P8066">
        <v>4.4342841000000001E-2</v>
      </c>
      <c r="Q8066" t="str">
        <f t="shared" si="250"/>
        <v>&lt;01</v>
      </c>
      <c r="R8066" t="str">
        <f t="shared" si="251"/>
        <v>[umc2n1Z4wNv]|&lt;01|Female|NEW_INFECTIONS_SUBNAT.T2|CY2026Q3</v>
      </c>
    </row>
    <row r="8067" spans="4:18" x14ac:dyDescent="0.2">
      <c r="D8067" t="s">
        <v>108</v>
      </c>
      <c r="E8067" t="s">
        <v>109</v>
      </c>
      <c r="F8067" t="s">
        <v>110</v>
      </c>
      <c r="G8067" t="s">
        <v>279</v>
      </c>
      <c r="H8067" t="s">
        <v>279</v>
      </c>
      <c r="I8067" t="s">
        <v>33</v>
      </c>
      <c r="J8067" t="s">
        <v>34</v>
      </c>
      <c r="K8067" t="s">
        <v>30</v>
      </c>
      <c r="L8067" t="s">
        <v>31</v>
      </c>
      <c r="M8067" t="s">
        <v>277</v>
      </c>
      <c r="N8067">
        <v>10</v>
      </c>
      <c r="O8067">
        <v>2.2251752999999999E-2</v>
      </c>
      <c r="P8067">
        <v>4.4342841000000001E-2</v>
      </c>
      <c r="Q8067" t="str">
        <f t="shared" ref="Q8067:Q8130" si="252">SUBSTITUTE(SUBSTITUTE($I8067,CHAR(61),""),CHAR(34),"")</f>
        <v>01-09</v>
      </c>
      <c r="R8067" t="str">
        <f t="shared" ref="R8067:R8130" si="253">IF($D8067&lt;&gt;"","["&amp;$E8067&amp;"]"&amp;"|"&amp;$Q8067&amp;"|"&amp;$K8067&amp;"|"&amp;$G8067&amp;"|"&amp;IF($G8067="TX_CURR_SUBNAT.R","CY2023Q4",$M8067),"")</f>
        <v>[umc2n1Z4wNv]|01-09|Female|NEW_INFECTIONS_SUBNAT.T2|CY2026Q3</v>
      </c>
    </row>
    <row r="8068" spans="4:18" x14ac:dyDescent="0.2">
      <c r="D8068" t="s">
        <v>108</v>
      </c>
      <c r="E8068" t="s">
        <v>109</v>
      </c>
      <c r="F8068" t="s">
        <v>110</v>
      </c>
      <c r="G8068" t="s">
        <v>279</v>
      </c>
      <c r="H8068" t="s">
        <v>279</v>
      </c>
      <c r="I8068" t="s">
        <v>36</v>
      </c>
      <c r="J8068" t="s">
        <v>37</v>
      </c>
      <c r="K8068" t="s">
        <v>30</v>
      </c>
      <c r="L8068" t="s">
        <v>31</v>
      </c>
      <c r="M8068" t="s">
        <v>277</v>
      </c>
      <c r="N8068">
        <v>0</v>
      </c>
      <c r="O8068">
        <v>0</v>
      </c>
      <c r="P8068">
        <v>4.4342841000000001E-2</v>
      </c>
      <c r="Q8068" t="str">
        <f t="shared" si="252"/>
        <v>10-14</v>
      </c>
      <c r="R8068" t="str">
        <f t="shared" si="253"/>
        <v>[umc2n1Z4wNv]|10-14|Female|NEW_INFECTIONS_SUBNAT.T2|CY2026Q3</v>
      </c>
    </row>
    <row r="8069" spans="4:18" x14ac:dyDescent="0.2">
      <c r="D8069" t="s">
        <v>108</v>
      </c>
      <c r="E8069" t="s">
        <v>109</v>
      </c>
      <c r="F8069" t="s">
        <v>110</v>
      </c>
      <c r="G8069" t="s">
        <v>279</v>
      </c>
      <c r="H8069" t="s">
        <v>279</v>
      </c>
      <c r="I8069" t="s">
        <v>38</v>
      </c>
      <c r="J8069" t="s">
        <v>39</v>
      </c>
      <c r="K8069" t="s">
        <v>30</v>
      </c>
      <c r="L8069" t="s">
        <v>31</v>
      </c>
      <c r="M8069" t="s">
        <v>277</v>
      </c>
      <c r="N8069">
        <v>162</v>
      </c>
      <c r="O8069">
        <v>4.8791946000000003E-2</v>
      </c>
      <c r="P8069">
        <v>4.4342841000000001E-2</v>
      </c>
      <c r="Q8069" t="str">
        <f t="shared" si="252"/>
        <v>15-24</v>
      </c>
      <c r="R8069" t="str">
        <f t="shared" si="253"/>
        <v>[umc2n1Z4wNv]|15-24|Female|NEW_INFECTIONS_SUBNAT.T2|CY2026Q3</v>
      </c>
    </row>
    <row r="8070" spans="4:18" x14ac:dyDescent="0.2">
      <c r="D8070" t="s">
        <v>108</v>
      </c>
      <c r="E8070" t="s">
        <v>109</v>
      </c>
      <c r="F8070" t="s">
        <v>110</v>
      </c>
      <c r="G8070" t="s">
        <v>279</v>
      </c>
      <c r="H8070" t="s">
        <v>279</v>
      </c>
      <c r="I8070" t="s">
        <v>41</v>
      </c>
      <c r="J8070" t="s">
        <v>42</v>
      </c>
      <c r="K8070" t="s">
        <v>30</v>
      </c>
      <c r="L8070" t="s">
        <v>31</v>
      </c>
      <c r="M8070" t="s">
        <v>277</v>
      </c>
      <c r="N8070">
        <v>156</v>
      </c>
      <c r="O8070">
        <v>4.5232462000000001E-2</v>
      </c>
      <c r="P8070">
        <v>4.4342841000000001E-2</v>
      </c>
      <c r="Q8070" t="str">
        <f t="shared" si="252"/>
        <v>25-34</v>
      </c>
      <c r="R8070" t="str">
        <f t="shared" si="253"/>
        <v>[umc2n1Z4wNv]|25-34|Female|NEW_INFECTIONS_SUBNAT.T2|CY2026Q3</v>
      </c>
    </row>
    <row r="8071" spans="4:18" x14ac:dyDescent="0.2">
      <c r="D8071" t="s">
        <v>108</v>
      </c>
      <c r="E8071" t="s">
        <v>109</v>
      </c>
      <c r="F8071" t="s">
        <v>110</v>
      </c>
      <c r="G8071" t="s">
        <v>279</v>
      </c>
      <c r="H8071" t="s">
        <v>279</v>
      </c>
      <c r="I8071" t="s">
        <v>43</v>
      </c>
      <c r="J8071" t="s">
        <v>44</v>
      </c>
      <c r="K8071" t="s">
        <v>30</v>
      </c>
      <c r="L8071" t="s">
        <v>31</v>
      </c>
      <c r="M8071" t="s">
        <v>277</v>
      </c>
      <c r="N8071">
        <v>76</v>
      </c>
      <c r="O8071">
        <v>3.6395574999999999E-2</v>
      </c>
      <c r="P8071">
        <v>4.4342841000000001E-2</v>
      </c>
      <c r="Q8071" t="str">
        <f t="shared" si="252"/>
        <v>35-49</v>
      </c>
      <c r="R8071" t="str">
        <f t="shared" si="253"/>
        <v>[umc2n1Z4wNv]|35-49|Female|NEW_INFECTIONS_SUBNAT.T2|CY2026Q3</v>
      </c>
    </row>
    <row r="8072" spans="4:18" x14ac:dyDescent="0.2">
      <c r="D8072" t="s">
        <v>108</v>
      </c>
      <c r="E8072" t="s">
        <v>109</v>
      </c>
      <c r="F8072" t="s">
        <v>110</v>
      </c>
      <c r="G8072" t="s">
        <v>279</v>
      </c>
      <c r="H8072" t="s">
        <v>279</v>
      </c>
      <c r="I8072" t="s">
        <v>45</v>
      </c>
      <c r="J8072" t="s">
        <v>46</v>
      </c>
      <c r="K8072" t="s">
        <v>30</v>
      </c>
      <c r="L8072" t="s">
        <v>31</v>
      </c>
      <c r="M8072" t="s">
        <v>277</v>
      </c>
      <c r="N8072">
        <v>13</v>
      </c>
      <c r="O8072">
        <v>3.9772004E-2</v>
      </c>
      <c r="P8072">
        <v>4.4342841000000001E-2</v>
      </c>
      <c r="Q8072" t="str">
        <f t="shared" si="252"/>
        <v>50+</v>
      </c>
      <c r="R8072" t="str">
        <f t="shared" si="253"/>
        <v>[umc2n1Z4wNv]|50+|Female|NEW_INFECTIONS_SUBNAT.T2|CY2026Q3</v>
      </c>
    </row>
    <row r="8073" spans="4:18" x14ac:dyDescent="0.2">
      <c r="D8073" t="s">
        <v>108</v>
      </c>
      <c r="E8073" t="s">
        <v>109</v>
      </c>
      <c r="F8073" t="s">
        <v>110</v>
      </c>
      <c r="G8073" t="s">
        <v>279</v>
      </c>
      <c r="H8073" t="s">
        <v>279</v>
      </c>
      <c r="I8073" t="s">
        <v>28</v>
      </c>
      <c r="J8073" t="s">
        <v>29</v>
      </c>
      <c r="K8073" t="s">
        <v>48</v>
      </c>
      <c r="L8073" t="s">
        <v>49</v>
      </c>
      <c r="M8073" t="s">
        <v>277</v>
      </c>
      <c r="N8073">
        <v>40</v>
      </c>
      <c r="O8073">
        <v>4.4505645000000003E-2</v>
      </c>
      <c r="P8073">
        <v>4.4342841000000001E-2</v>
      </c>
      <c r="Q8073" t="str">
        <f t="shared" si="252"/>
        <v>&lt;01</v>
      </c>
      <c r="R8073" t="str">
        <f t="shared" si="253"/>
        <v>[umc2n1Z4wNv]|&lt;01|Male|NEW_INFECTIONS_SUBNAT.T2|CY2026Q3</v>
      </c>
    </row>
    <row r="8074" spans="4:18" x14ac:dyDescent="0.2">
      <c r="D8074" t="s">
        <v>108</v>
      </c>
      <c r="E8074" t="s">
        <v>109</v>
      </c>
      <c r="F8074" t="s">
        <v>110</v>
      </c>
      <c r="G8074" t="s">
        <v>279</v>
      </c>
      <c r="H8074" t="s">
        <v>279</v>
      </c>
      <c r="I8074" t="s">
        <v>33</v>
      </c>
      <c r="J8074" t="s">
        <v>34</v>
      </c>
      <c r="K8074" t="s">
        <v>48</v>
      </c>
      <c r="L8074" t="s">
        <v>49</v>
      </c>
      <c r="M8074" t="s">
        <v>277</v>
      </c>
      <c r="N8074">
        <v>10</v>
      </c>
      <c r="O8074">
        <v>2.2252823000000001E-2</v>
      </c>
      <c r="P8074">
        <v>4.4342841000000001E-2</v>
      </c>
      <c r="Q8074" t="str">
        <f t="shared" si="252"/>
        <v>01-09</v>
      </c>
      <c r="R8074" t="str">
        <f t="shared" si="253"/>
        <v>[umc2n1Z4wNv]|01-09|Male|NEW_INFECTIONS_SUBNAT.T2|CY2026Q3</v>
      </c>
    </row>
    <row r="8075" spans="4:18" x14ac:dyDescent="0.2">
      <c r="D8075" t="s">
        <v>108</v>
      </c>
      <c r="E8075" t="s">
        <v>109</v>
      </c>
      <c r="F8075" t="s">
        <v>110</v>
      </c>
      <c r="G8075" t="s">
        <v>279</v>
      </c>
      <c r="H8075" t="s">
        <v>279</v>
      </c>
      <c r="I8075" t="s">
        <v>36</v>
      </c>
      <c r="J8075" t="s">
        <v>37</v>
      </c>
      <c r="K8075" t="s">
        <v>48</v>
      </c>
      <c r="L8075" t="s">
        <v>49</v>
      </c>
      <c r="M8075" t="s">
        <v>277</v>
      </c>
      <c r="N8075">
        <v>0</v>
      </c>
      <c r="O8075">
        <v>0</v>
      </c>
      <c r="P8075">
        <v>4.4342841000000001E-2</v>
      </c>
      <c r="Q8075" t="str">
        <f t="shared" si="252"/>
        <v>10-14</v>
      </c>
      <c r="R8075" t="str">
        <f t="shared" si="253"/>
        <v>[umc2n1Z4wNv]|10-14|Male|NEW_INFECTIONS_SUBNAT.T2|CY2026Q3</v>
      </c>
    </row>
    <row r="8076" spans="4:18" x14ac:dyDescent="0.2">
      <c r="D8076" t="s">
        <v>108</v>
      </c>
      <c r="E8076" t="s">
        <v>109</v>
      </c>
      <c r="F8076" t="s">
        <v>110</v>
      </c>
      <c r="G8076" t="s">
        <v>279</v>
      </c>
      <c r="H8076" t="s">
        <v>279</v>
      </c>
      <c r="I8076" t="s">
        <v>38</v>
      </c>
      <c r="J8076" t="s">
        <v>39</v>
      </c>
      <c r="K8076" t="s">
        <v>48</v>
      </c>
      <c r="L8076" t="s">
        <v>49</v>
      </c>
      <c r="M8076" t="s">
        <v>277</v>
      </c>
      <c r="N8076">
        <v>28</v>
      </c>
      <c r="O8076">
        <v>4.9734502999999999E-2</v>
      </c>
      <c r="P8076">
        <v>4.4342841000000001E-2</v>
      </c>
      <c r="Q8076" t="str">
        <f t="shared" si="252"/>
        <v>15-24</v>
      </c>
      <c r="R8076" t="str">
        <f t="shared" si="253"/>
        <v>[umc2n1Z4wNv]|15-24|Male|NEW_INFECTIONS_SUBNAT.T2|CY2026Q3</v>
      </c>
    </row>
    <row r="8077" spans="4:18" x14ac:dyDescent="0.2">
      <c r="D8077" t="s">
        <v>108</v>
      </c>
      <c r="E8077" t="s">
        <v>109</v>
      </c>
      <c r="F8077" t="s">
        <v>110</v>
      </c>
      <c r="G8077" t="s">
        <v>279</v>
      </c>
      <c r="H8077" t="s">
        <v>279</v>
      </c>
      <c r="I8077" t="s">
        <v>41</v>
      </c>
      <c r="J8077" t="s">
        <v>42</v>
      </c>
      <c r="K8077" t="s">
        <v>48</v>
      </c>
      <c r="L8077" t="s">
        <v>49</v>
      </c>
      <c r="M8077" t="s">
        <v>277</v>
      </c>
      <c r="N8077">
        <v>88</v>
      </c>
      <c r="O8077">
        <v>4.8499094999999999E-2</v>
      </c>
      <c r="P8077">
        <v>4.4342841000000001E-2</v>
      </c>
      <c r="Q8077" t="str">
        <f t="shared" si="252"/>
        <v>25-34</v>
      </c>
      <c r="R8077" t="str">
        <f t="shared" si="253"/>
        <v>[umc2n1Z4wNv]|25-34|Male|NEW_INFECTIONS_SUBNAT.T2|CY2026Q3</v>
      </c>
    </row>
    <row r="8078" spans="4:18" x14ac:dyDescent="0.2">
      <c r="D8078" t="s">
        <v>108</v>
      </c>
      <c r="E8078" t="s">
        <v>109</v>
      </c>
      <c r="F8078" t="s">
        <v>110</v>
      </c>
      <c r="G8078" t="s">
        <v>279</v>
      </c>
      <c r="H8078" t="s">
        <v>279</v>
      </c>
      <c r="I8078" t="s">
        <v>43</v>
      </c>
      <c r="J8078" t="s">
        <v>44</v>
      </c>
      <c r="K8078" t="s">
        <v>48</v>
      </c>
      <c r="L8078" t="s">
        <v>49</v>
      </c>
      <c r="M8078" t="s">
        <v>277</v>
      </c>
      <c r="N8078">
        <v>82</v>
      </c>
      <c r="O8078">
        <v>4.3443708999999997E-2</v>
      </c>
      <c r="P8078">
        <v>4.4342841000000001E-2</v>
      </c>
      <c r="Q8078" t="str">
        <f t="shared" si="252"/>
        <v>35-49</v>
      </c>
      <c r="R8078" t="str">
        <f t="shared" si="253"/>
        <v>[umc2n1Z4wNv]|35-49|Male|NEW_INFECTIONS_SUBNAT.T2|CY2026Q3</v>
      </c>
    </row>
    <row r="8079" spans="4:18" x14ac:dyDescent="0.2">
      <c r="D8079" t="s">
        <v>108</v>
      </c>
      <c r="E8079" t="s">
        <v>109</v>
      </c>
      <c r="F8079" t="s">
        <v>110</v>
      </c>
      <c r="G8079" t="s">
        <v>279</v>
      </c>
      <c r="H8079" t="s">
        <v>279</v>
      </c>
      <c r="I8079" t="s">
        <v>45</v>
      </c>
      <c r="J8079" t="s">
        <v>46</v>
      </c>
      <c r="K8079" t="s">
        <v>48</v>
      </c>
      <c r="L8079" t="s">
        <v>49</v>
      </c>
      <c r="M8079" t="s">
        <v>277</v>
      </c>
      <c r="N8079">
        <v>22</v>
      </c>
      <c r="O8079">
        <v>4.0754154000000001E-2</v>
      </c>
      <c r="P8079">
        <v>4.4342841000000001E-2</v>
      </c>
      <c r="Q8079" t="str">
        <f t="shared" si="252"/>
        <v>50+</v>
      </c>
      <c r="R8079" t="str">
        <f t="shared" si="253"/>
        <v>[umc2n1Z4wNv]|50+|Male|NEW_INFECTIONS_SUBNAT.T2|CY2026Q3</v>
      </c>
    </row>
    <row r="8080" spans="4:18" x14ac:dyDescent="0.2">
      <c r="D8080" t="s">
        <v>111</v>
      </c>
      <c r="E8080" t="s">
        <v>112</v>
      </c>
      <c r="F8080" t="s">
        <v>113</v>
      </c>
      <c r="G8080" t="s">
        <v>279</v>
      </c>
      <c r="H8080" t="s">
        <v>279</v>
      </c>
      <c r="I8080" t="s">
        <v>28</v>
      </c>
      <c r="J8080" t="s">
        <v>29</v>
      </c>
      <c r="K8080" t="s">
        <v>30</v>
      </c>
      <c r="L8080" t="s">
        <v>31</v>
      </c>
      <c r="M8080" t="s">
        <v>277</v>
      </c>
      <c r="N8080">
        <v>27</v>
      </c>
      <c r="O8080">
        <v>4.1835962999999997E-2</v>
      </c>
      <c r="P8080">
        <v>4.2090545E-2</v>
      </c>
      <c r="Q8080" t="str">
        <f t="shared" si="252"/>
        <v>&lt;01</v>
      </c>
      <c r="R8080" t="str">
        <f t="shared" si="253"/>
        <v>[AZyWpGzhcaA]|&lt;01|Female|NEW_INFECTIONS_SUBNAT.T2|CY2026Q3</v>
      </c>
    </row>
    <row r="8081" spans="4:18" x14ac:dyDescent="0.2">
      <c r="D8081" t="s">
        <v>111</v>
      </c>
      <c r="E8081" t="s">
        <v>112</v>
      </c>
      <c r="F8081" t="s">
        <v>113</v>
      </c>
      <c r="G8081" t="s">
        <v>279</v>
      </c>
      <c r="H8081" t="s">
        <v>279</v>
      </c>
      <c r="I8081" t="s">
        <v>33</v>
      </c>
      <c r="J8081" t="s">
        <v>34</v>
      </c>
      <c r="K8081" t="s">
        <v>30</v>
      </c>
      <c r="L8081" t="s">
        <v>31</v>
      </c>
      <c r="M8081" t="s">
        <v>277</v>
      </c>
      <c r="N8081">
        <v>7</v>
      </c>
      <c r="O8081">
        <v>2.0917980999999999E-2</v>
      </c>
      <c r="P8081">
        <v>4.2090545E-2</v>
      </c>
      <c r="Q8081" t="str">
        <f t="shared" si="252"/>
        <v>01-09</v>
      </c>
      <c r="R8081" t="str">
        <f t="shared" si="253"/>
        <v>[AZyWpGzhcaA]|01-09|Female|NEW_INFECTIONS_SUBNAT.T2|CY2026Q3</v>
      </c>
    </row>
    <row r="8082" spans="4:18" x14ac:dyDescent="0.2">
      <c r="D8082" t="s">
        <v>111</v>
      </c>
      <c r="E8082" t="s">
        <v>112</v>
      </c>
      <c r="F8082" t="s">
        <v>113</v>
      </c>
      <c r="G8082" t="s">
        <v>279</v>
      </c>
      <c r="H8082" t="s">
        <v>279</v>
      </c>
      <c r="I8082" t="s">
        <v>36</v>
      </c>
      <c r="J8082" t="s">
        <v>37</v>
      </c>
      <c r="K8082" t="s">
        <v>30</v>
      </c>
      <c r="L8082" t="s">
        <v>31</v>
      </c>
      <c r="M8082" t="s">
        <v>277</v>
      </c>
      <c r="N8082">
        <v>0</v>
      </c>
      <c r="O8082">
        <v>0</v>
      </c>
      <c r="P8082">
        <v>4.2090545E-2</v>
      </c>
      <c r="Q8082" t="str">
        <f t="shared" si="252"/>
        <v>10-14</v>
      </c>
      <c r="R8082" t="str">
        <f t="shared" si="253"/>
        <v>[AZyWpGzhcaA]|10-14|Female|NEW_INFECTIONS_SUBNAT.T2|CY2026Q3</v>
      </c>
    </row>
    <row r="8083" spans="4:18" x14ac:dyDescent="0.2">
      <c r="D8083" t="s">
        <v>111</v>
      </c>
      <c r="E8083" t="s">
        <v>112</v>
      </c>
      <c r="F8083" t="s">
        <v>113</v>
      </c>
      <c r="G8083" t="s">
        <v>279</v>
      </c>
      <c r="H8083" t="s">
        <v>279</v>
      </c>
      <c r="I8083" t="s">
        <v>38</v>
      </c>
      <c r="J8083" t="s">
        <v>39</v>
      </c>
      <c r="K8083" t="s">
        <v>30</v>
      </c>
      <c r="L8083" t="s">
        <v>31</v>
      </c>
      <c r="M8083" t="s">
        <v>277</v>
      </c>
      <c r="N8083">
        <v>100</v>
      </c>
      <c r="O8083">
        <v>4.6475140999999998E-2</v>
      </c>
      <c r="P8083">
        <v>4.2090545E-2</v>
      </c>
      <c r="Q8083" t="str">
        <f t="shared" si="252"/>
        <v>15-24</v>
      </c>
      <c r="R8083" t="str">
        <f t="shared" si="253"/>
        <v>[AZyWpGzhcaA]|15-24|Female|NEW_INFECTIONS_SUBNAT.T2|CY2026Q3</v>
      </c>
    </row>
    <row r="8084" spans="4:18" x14ac:dyDescent="0.2">
      <c r="D8084" t="s">
        <v>111</v>
      </c>
      <c r="E8084" t="s">
        <v>112</v>
      </c>
      <c r="F8084" t="s">
        <v>113</v>
      </c>
      <c r="G8084" t="s">
        <v>279</v>
      </c>
      <c r="H8084" t="s">
        <v>279</v>
      </c>
      <c r="I8084" t="s">
        <v>41</v>
      </c>
      <c r="J8084" t="s">
        <v>42</v>
      </c>
      <c r="K8084" t="s">
        <v>30</v>
      </c>
      <c r="L8084" t="s">
        <v>31</v>
      </c>
      <c r="M8084" t="s">
        <v>277</v>
      </c>
      <c r="N8084">
        <v>98</v>
      </c>
      <c r="O8084">
        <v>4.2861384000000002E-2</v>
      </c>
      <c r="P8084">
        <v>4.2090545E-2</v>
      </c>
      <c r="Q8084" t="str">
        <f t="shared" si="252"/>
        <v>25-34</v>
      </c>
      <c r="R8084" t="str">
        <f t="shared" si="253"/>
        <v>[AZyWpGzhcaA]|25-34|Female|NEW_INFECTIONS_SUBNAT.T2|CY2026Q3</v>
      </c>
    </row>
    <row r="8085" spans="4:18" x14ac:dyDescent="0.2">
      <c r="D8085" t="s">
        <v>111</v>
      </c>
      <c r="E8085" t="s">
        <v>112</v>
      </c>
      <c r="F8085" t="s">
        <v>113</v>
      </c>
      <c r="G8085" t="s">
        <v>279</v>
      </c>
      <c r="H8085" t="s">
        <v>279</v>
      </c>
      <c r="I8085" t="s">
        <v>43</v>
      </c>
      <c r="J8085" t="s">
        <v>44</v>
      </c>
      <c r="K8085" t="s">
        <v>30</v>
      </c>
      <c r="L8085" t="s">
        <v>31</v>
      </c>
      <c r="M8085" t="s">
        <v>277</v>
      </c>
      <c r="N8085">
        <v>43</v>
      </c>
      <c r="O8085">
        <v>3.3730389999999999E-2</v>
      </c>
      <c r="P8085">
        <v>4.2090545E-2</v>
      </c>
      <c r="Q8085" t="str">
        <f t="shared" si="252"/>
        <v>35-49</v>
      </c>
      <c r="R8085" t="str">
        <f t="shared" si="253"/>
        <v>[AZyWpGzhcaA]|35-49|Female|NEW_INFECTIONS_SUBNAT.T2|CY2026Q3</v>
      </c>
    </row>
    <row r="8086" spans="4:18" x14ac:dyDescent="0.2">
      <c r="D8086" t="s">
        <v>111</v>
      </c>
      <c r="E8086" t="s">
        <v>112</v>
      </c>
      <c r="F8086" t="s">
        <v>113</v>
      </c>
      <c r="G8086" t="s">
        <v>279</v>
      </c>
      <c r="H8086" t="s">
        <v>279</v>
      </c>
      <c r="I8086" t="s">
        <v>45</v>
      </c>
      <c r="J8086" t="s">
        <v>46</v>
      </c>
      <c r="K8086" t="s">
        <v>30</v>
      </c>
      <c r="L8086" t="s">
        <v>31</v>
      </c>
      <c r="M8086" t="s">
        <v>277</v>
      </c>
      <c r="N8086">
        <v>7</v>
      </c>
      <c r="O8086">
        <v>3.7708861000000003E-2</v>
      </c>
      <c r="P8086">
        <v>4.2090545E-2</v>
      </c>
      <c r="Q8086" t="str">
        <f t="shared" si="252"/>
        <v>50+</v>
      </c>
      <c r="R8086" t="str">
        <f t="shared" si="253"/>
        <v>[AZyWpGzhcaA]|50+|Female|NEW_INFECTIONS_SUBNAT.T2|CY2026Q3</v>
      </c>
    </row>
    <row r="8087" spans="4:18" x14ac:dyDescent="0.2">
      <c r="D8087" t="s">
        <v>111</v>
      </c>
      <c r="E8087" t="s">
        <v>112</v>
      </c>
      <c r="F8087" t="s">
        <v>113</v>
      </c>
      <c r="G8087" t="s">
        <v>279</v>
      </c>
      <c r="H8087" t="s">
        <v>279</v>
      </c>
      <c r="I8087" t="s">
        <v>28</v>
      </c>
      <c r="J8087" t="s">
        <v>29</v>
      </c>
      <c r="K8087" t="s">
        <v>48</v>
      </c>
      <c r="L8087" t="s">
        <v>49</v>
      </c>
      <c r="M8087" t="s">
        <v>277</v>
      </c>
      <c r="N8087">
        <v>28</v>
      </c>
      <c r="O8087">
        <v>4.1836655E-2</v>
      </c>
      <c r="P8087">
        <v>4.2090545E-2</v>
      </c>
      <c r="Q8087" t="str">
        <f t="shared" si="252"/>
        <v>&lt;01</v>
      </c>
      <c r="R8087" t="str">
        <f t="shared" si="253"/>
        <v>[AZyWpGzhcaA]|&lt;01|Male|NEW_INFECTIONS_SUBNAT.T2|CY2026Q3</v>
      </c>
    </row>
    <row r="8088" spans="4:18" x14ac:dyDescent="0.2">
      <c r="D8088" t="s">
        <v>111</v>
      </c>
      <c r="E8088" t="s">
        <v>112</v>
      </c>
      <c r="F8088" t="s">
        <v>113</v>
      </c>
      <c r="G8088" t="s">
        <v>279</v>
      </c>
      <c r="H8088" t="s">
        <v>279</v>
      </c>
      <c r="I8088" t="s">
        <v>33</v>
      </c>
      <c r="J8088" t="s">
        <v>34</v>
      </c>
      <c r="K8088" t="s">
        <v>48</v>
      </c>
      <c r="L8088" t="s">
        <v>49</v>
      </c>
      <c r="M8088" t="s">
        <v>277</v>
      </c>
      <c r="N8088">
        <v>7</v>
      </c>
      <c r="O8088">
        <v>2.0918327E-2</v>
      </c>
      <c r="P8088">
        <v>4.2090545E-2</v>
      </c>
      <c r="Q8088" t="str">
        <f t="shared" si="252"/>
        <v>01-09</v>
      </c>
      <c r="R8088" t="str">
        <f t="shared" si="253"/>
        <v>[AZyWpGzhcaA]|01-09|Male|NEW_INFECTIONS_SUBNAT.T2|CY2026Q3</v>
      </c>
    </row>
    <row r="8089" spans="4:18" x14ac:dyDescent="0.2">
      <c r="D8089" t="s">
        <v>111</v>
      </c>
      <c r="E8089" t="s">
        <v>112</v>
      </c>
      <c r="F8089" t="s">
        <v>113</v>
      </c>
      <c r="G8089" t="s">
        <v>279</v>
      </c>
      <c r="H8089" t="s">
        <v>279</v>
      </c>
      <c r="I8089" t="s">
        <v>36</v>
      </c>
      <c r="J8089" t="s">
        <v>37</v>
      </c>
      <c r="K8089" t="s">
        <v>48</v>
      </c>
      <c r="L8089" t="s">
        <v>49</v>
      </c>
      <c r="M8089" t="s">
        <v>277</v>
      </c>
      <c r="N8089">
        <v>0</v>
      </c>
      <c r="O8089">
        <v>0</v>
      </c>
      <c r="P8089">
        <v>4.2090545E-2</v>
      </c>
      <c r="Q8089" t="str">
        <f t="shared" si="252"/>
        <v>10-14</v>
      </c>
      <c r="R8089" t="str">
        <f t="shared" si="253"/>
        <v>[AZyWpGzhcaA]|10-14|Male|NEW_INFECTIONS_SUBNAT.T2|CY2026Q3</v>
      </c>
    </row>
    <row r="8090" spans="4:18" x14ac:dyDescent="0.2">
      <c r="D8090" t="s">
        <v>111</v>
      </c>
      <c r="E8090" t="s">
        <v>112</v>
      </c>
      <c r="F8090" t="s">
        <v>113</v>
      </c>
      <c r="G8090" t="s">
        <v>279</v>
      </c>
      <c r="H8090" t="s">
        <v>279</v>
      </c>
      <c r="I8090" t="s">
        <v>38</v>
      </c>
      <c r="J8090" t="s">
        <v>39</v>
      </c>
      <c r="K8090" t="s">
        <v>48</v>
      </c>
      <c r="L8090" t="s">
        <v>49</v>
      </c>
      <c r="M8090" t="s">
        <v>277</v>
      </c>
      <c r="N8090">
        <v>18</v>
      </c>
      <c r="O8090">
        <v>4.7221671999999999E-2</v>
      </c>
      <c r="P8090">
        <v>4.2090545E-2</v>
      </c>
      <c r="Q8090" t="str">
        <f t="shared" si="252"/>
        <v>15-24</v>
      </c>
      <c r="R8090" t="str">
        <f t="shared" si="253"/>
        <v>[AZyWpGzhcaA]|15-24|Male|NEW_INFECTIONS_SUBNAT.T2|CY2026Q3</v>
      </c>
    </row>
    <row r="8091" spans="4:18" x14ac:dyDescent="0.2">
      <c r="D8091" t="s">
        <v>111</v>
      </c>
      <c r="E8091" t="s">
        <v>112</v>
      </c>
      <c r="F8091" t="s">
        <v>113</v>
      </c>
      <c r="G8091" t="s">
        <v>279</v>
      </c>
      <c r="H8091" t="s">
        <v>279</v>
      </c>
      <c r="I8091" t="s">
        <v>41</v>
      </c>
      <c r="J8091" t="s">
        <v>42</v>
      </c>
      <c r="K8091" t="s">
        <v>48</v>
      </c>
      <c r="L8091" t="s">
        <v>49</v>
      </c>
      <c r="M8091" t="s">
        <v>277</v>
      </c>
      <c r="N8091">
        <v>58</v>
      </c>
      <c r="O8091">
        <v>4.6085432000000003E-2</v>
      </c>
      <c r="P8091">
        <v>4.2090545E-2</v>
      </c>
      <c r="Q8091" t="str">
        <f t="shared" si="252"/>
        <v>25-34</v>
      </c>
      <c r="R8091" t="str">
        <f t="shared" si="253"/>
        <v>[AZyWpGzhcaA]|25-34|Male|NEW_INFECTIONS_SUBNAT.T2|CY2026Q3</v>
      </c>
    </row>
    <row r="8092" spans="4:18" x14ac:dyDescent="0.2">
      <c r="D8092" t="s">
        <v>111</v>
      </c>
      <c r="E8092" t="s">
        <v>112</v>
      </c>
      <c r="F8092" t="s">
        <v>113</v>
      </c>
      <c r="G8092" t="s">
        <v>279</v>
      </c>
      <c r="H8092" t="s">
        <v>279</v>
      </c>
      <c r="I8092" t="s">
        <v>43</v>
      </c>
      <c r="J8092" t="s">
        <v>44</v>
      </c>
      <c r="K8092" t="s">
        <v>48</v>
      </c>
      <c r="L8092" t="s">
        <v>49</v>
      </c>
      <c r="M8092" t="s">
        <v>277</v>
      </c>
      <c r="N8092">
        <v>50</v>
      </c>
      <c r="O8092">
        <v>4.0804962E-2</v>
      </c>
      <c r="P8092">
        <v>4.2090545E-2</v>
      </c>
      <c r="Q8092" t="str">
        <f t="shared" si="252"/>
        <v>35-49</v>
      </c>
      <c r="R8092" t="str">
        <f t="shared" si="253"/>
        <v>[AZyWpGzhcaA]|35-49|Male|NEW_INFECTIONS_SUBNAT.T2|CY2026Q3</v>
      </c>
    </row>
    <row r="8093" spans="4:18" x14ac:dyDescent="0.2">
      <c r="D8093" t="s">
        <v>111</v>
      </c>
      <c r="E8093" t="s">
        <v>112</v>
      </c>
      <c r="F8093" t="s">
        <v>113</v>
      </c>
      <c r="G8093" t="s">
        <v>279</v>
      </c>
      <c r="H8093" t="s">
        <v>279</v>
      </c>
      <c r="I8093" t="s">
        <v>45</v>
      </c>
      <c r="J8093" t="s">
        <v>46</v>
      </c>
      <c r="K8093" t="s">
        <v>48</v>
      </c>
      <c r="L8093" t="s">
        <v>49</v>
      </c>
      <c r="M8093" t="s">
        <v>277</v>
      </c>
      <c r="N8093">
        <v>14</v>
      </c>
      <c r="O8093">
        <v>4.0103142000000001E-2</v>
      </c>
      <c r="P8093">
        <v>4.2090545E-2</v>
      </c>
      <c r="Q8093" t="str">
        <f t="shared" si="252"/>
        <v>50+</v>
      </c>
      <c r="R8093" t="str">
        <f t="shared" si="253"/>
        <v>[AZyWpGzhcaA]|50+|Male|NEW_INFECTIONS_SUBNAT.T2|CY2026Q3</v>
      </c>
    </row>
    <row r="8094" spans="4:18" x14ac:dyDescent="0.2">
      <c r="D8094" t="s">
        <v>114</v>
      </c>
      <c r="E8094" t="s">
        <v>115</v>
      </c>
      <c r="F8094" t="s">
        <v>116</v>
      </c>
      <c r="G8094" t="s">
        <v>279</v>
      </c>
      <c r="H8094" t="s">
        <v>279</v>
      </c>
      <c r="I8094" t="s">
        <v>28</v>
      </c>
      <c r="J8094" t="s">
        <v>29</v>
      </c>
      <c r="K8094" t="s">
        <v>30</v>
      </c>
      <c r="L8094" t="s">
        <v>31</v>
      </c>
      <c r="M8094" t="s">
        <v>277</v>
      </c>
      <c r="N8094">
        <v>22</v>
      </c>
      <c r="O8094">
        <v>6.7785940000000003E-2</v>
      </c>
      <c r="P8094">
        <v>6.9664587E-2</v>
      </c>
      <c r="Q8094" t="str">
        <f t="shared" si="252"/>
        <v>&lt;01</v>
      </c>
      <c r="R8094" t="str">
        <f t="shared" si="253"/>
        <v>[ir8wuHHzoSs]|&lt;01|Female|NEW_INFECTIONS_SUBNAT.T2|CY2026Q3</v>
      </c>
    </row>
    <row r="8095" spans="4:18" x14ac:dyDescent="0.2">
      <c r="D8095" t="s">
        <v>114</v>
      </c>
      <c r="E8095" t="s">
        <v>115</v>
      </c>
      <c r="F8095" t="s">
        <v>116</v>
      </c>
      <c r="G8095" t="s">
        <v>279</v>
      </c>
      <c r="H8095" t="s">
        <v>279</v>
      </c>
      <c r="I8095" t="s">
        <v>33</v>
      </c>
      <c r="J8095" t="s">
        <v>34</v>
      </c>
      <c r="K8095" t="s">
        <v>30</v>
      </c>
      <c r="L8095" t="s">
        <v>31</v>
      </c>
      <c r="M8095" t="s">
        <v>277</v>
      </c>
      <c r="N8095">
        <v>6</v>
      </c>
      <c r="O8095">
        <v>3.3892970000000001E-2</v>
      </c>
      <c r="P8095">
        <v>6.9664587E-2</v>
      </c>
      <c r="Q8095" t="str">
        <f t="shared" si="252"/>
        <v>01-09</v>
      </c>
      <c r="R8095" t="str">
        <f t="shared" si="253"/>
        <v>[ir8wuHHzoSs]|01-09|Female|NEW_INFECTIONS_SUBNAT.T2|CY2026Q3</v>
      </c>
    </row>
    <row r="8096" spans="4:18" x14ac:dyDescent="0.2">
      <c r="D8096" t="s">
        <v>114</v>
      </c>
      <c r="E8096" t="s">
        <v>115</v>
      </c>
      <c r="F8096" t="s">
        <v>116</v>
      </c>
      <c r="G8096" t="s">
        <v>279</v>
      </c>
      <c r="H8096" t="s">
        <v>279</v>
      </c>
      <c r="I8096" t="s">
        <v>36</v>
      </c>
      <c r="J8096" t="s">
        <v>37</v>
      </c>
      <c r="K8096" t="s">
        <v>30</v>
      </c>
      <c r="L8096" t="s">
        <v>31</v>
      </c>
      <c r="M8096" t="s">
        <v>277</v>
      </c>
      <c r="N8096">
        <v>0</v>
      </c>
      <c r="O8096">
        <v>0</v>
      </c>
      <c r="P8096">
        <v>6.9664587E-2</v>
      </c>
      <c r="Q8096" t="str">
        <f t="shared" si="252"/>
        <v>10-14</v>
      </c>
      <c r="R8096" t="str">
        <f t="shared" si="253"/>
        <v>[ir8wuHHzoSs]|10-14|Female|NEW_INFECTIONS_SUBNAT.T2|CY2026Q3</v>
      </c>
    </row>
    <row r="8097" spans="4:18" x14ac:dyDescent="0.2">
      <c r="D8097" t="s">
        <v>114</v>
      </c>
      <c r="E8097" t="s">
        <v>115</v>
      </c>
      <c r="F8097" t="s">
        <v>116</v>
      </c>
      <c r="G8097" t="s">
        <v>279</v>
      </c>
      <c r="H8097" t="s">
        <v>279</v>
      </c>
      <c r="I8097" t="s">
        <v>38</v>
      </c>
      <c r="J8097" t="s">
        <v>39</v>
      </c>
      <c r="K8097" t="s">
        <v>30</v>
      </c>
      <c r="L8097" t="s">
        <v>31</v>
      </c>
      <c r="M8097" t="s">
        <v>277</v>
      </c>
      <c r="N8097">
        <v>84</v>
      </c>
      <c r="O8097">
        <v>7.5602823E-2</v>
      </c>
      <c r="P8097">
        <v>6.9664587E-2</v>
      </c>
      <c r="Q8097" t="str">
        <f t="shared" si="252"/>
        <v>15-24</v>
      </c>
      <c r="R8097" t="str">
        <f t="shared" si="253"/>
        <v>[ir8wuHHzoSs]|15-24|Female|NEW_INFECTIONS_SUBNAT.T2|CY2026Q3</v>
      </c>
    </row>
    <row r="8098" spans="4:18" x14ac:dyDescent="0.2">
      <c r="D8098" t="s">
        <v>114</v>
      </c>
      <c r="E8098" t="s">
        <v>115</v>
      </c>
      <c r="F8098" t="s">
        <v>116</v>
      </c>
      <c r="G8098" t="s">
        <v>279</v>
      </c>
      <c r="H8098" t="s">
        <v>279</v>
      </c>
      <c r="I8098" t="s">
        <v>41</v>
      </c>
      <c r="J8098" t="s">
        <v>42</v>
      </c>
      <c r="K8098" t="s">
        <v>30</v>
      </c>
      <c r="L8098" t="s">
        <v>31</v>
      </c>
      <c r="M8098" t="s">
        <v>277</v>
      </c>
      <c r="N8098">
        <v>79</v>
      </c>
      <c r="O8098">
        <v>7.1377914000000001E-2</v>
      </c>
      <c r="P8098">
        <v>6.9664587E-2</v>
      </c>
      <c r="Q8098" t="str">
        <f t="shared" si="252"/>
        <v>25-34</v>
      </c>
      <c r="R8098" t="str">
        <f t="shared" si="253"/>
        <v>[ir8wuHHzoSs]|25-34|Female|NEW_INFECTIONS_SUBNAT.T2|CY2026Q3</v>
      </c>
    </row>
    <row r="8099" spans="4:18" x14ac:dyDescent="0.2">
      <c r="D8099" t="s">
        <v>114</v>
      </c>
      <c r="E8099" t="s">
        <v>115</v>
      </c>
      <c r="F8099" t="s">
        <v>116</v>
      </c>
      <c r="G8099" t="s">
        <v>279</v>
      </c>
      <c r="H8099" t="s">
        <v>279</v>
      </c>
      <c r="I8099" t="s">
        <v>43</v>
      </c>
      <c r="J8099" t="s">
        <v>44</v>
      </c>
      <c r="K8099" t="s">
        <v>30</v>
      </c>
      <c r="L8099" t="s">
        <v>31</v>
      </c>
      <c r="M8099" t="s">
        <v>277</v>
      </c>
      <c r="N8099">
        <v>39</v>
      </c>
      <c r="O8099">
        <v>6.1376121999999998E-2</v>
      </c>
      <c r="P8099">
        <v>6.9664587E-2</v>
      </c>
      <c r="Q8099" t="str">
        <f t="shared" si="252"/>
        <v>35-49</v>
      </c>
      <c r="R8099" t="str">
        <f t="shared" si="253"/>
        <v>[ir8wuHHzoSs]|35-49|Female|NEW_INFECTIONS_SUBNAT.T2|CY2026Q3</v>
      </c>
    </row>
    <row r="8100" spans="4:18" x14ac:dyDescent="0.2">
      <c r="D8100" t="s">
        <v>114</v>
      </c>
      <c r="E8100" t="s">
        <v>115</v>
      </c>
      <c r="F8100" t="s">
        <v>116</v>
      </c>
      <c r="G8100" t="s">
        <v>279</v>
      </c>
      <c r="H8100" t="s">
        <v>279</v>
      </c>
      <c r="I8100" t="s">
        <v>45</v>
      </c>
      <c r="J8100" t="s">
        <v>46</v>
      </c>
      <c r="K8100" t="s">
        <v>30</v>
      </c>
      <c r="L8100" t="s">
        <v>31</v>
      </c>
      <c r="M8100" t="s">
        <v>277</v>
      </c>
      <c r="N8100">
        <v>7</v>
      </c>
      <c r="O8100">
        <v>6.2189414999999998E-2</v>
      </c>
      <c r="P8100">
        <v>6.9664587E-2</v>
      </c>
      <c r="Q8100" t="str">
        <f t="shared" si="252"/>
        <v>50+</v>
      </c>
      <c r="R8100" t="str">
        <f t="shared" si="253"/>
        <v>[ir8wuHHzoSs]|50+|Female|NEW_INFECTIONS_SUBNAT.T2|CY2026Q3</v>
      </c>
    </row>
    <row r="8101" spans="4:18" x14ac:dyDescent="0.2">
      <c r="D8101" t="s">
        <v>114</v>
      </c>
      <c r="E8101" t="s">
        <v>115</v>
      </c>
      <c r="F8101" t="s">
        <v>116</v>
      </c>
      <c r="G8101" t="s">
        <v>279</v>
      </c>
      <c r="H8101" t="s">
        <v>279</v>
      </c>
      <c r="I8101" t="s">
        <v>28</v>
      </c>
      <c r="J8101" t="s">
        <v>29</v>
      </c>
      <c r="K8101" t="s">
        <v>48</v>
      </c>
      <c r="L8101" t="s">
        <v>49</v>
      </c>
      <c r="M8101" t="s">
        <v>277</v>
      </c>
      <c r="N8101">
        <v>23</v>
      </c>
      <c r="O8101">
        <v>6.7786016000000004E-2</v>
      </c>
      <c r="P8101">
        <v>6.9664587E-2</v>
      </c>
      <c r="Q8101" t="str">
        <f t="shared" si="252"/>
        <v>&lt;01</v>
      </c>
      <c r="R8101" t="str">
        <f t="shared" si="253"/>
        <v>[ir8wuHHzoSs]|&lt;01|Male|NEW_INFECTIONS_SUBNAT.T2|CY2026Q3</v>
      </c>
    </row>
    <row r="8102" spans="4:18" x14ac:dyDescent="0.2">
      <c r="D8102" t="s">
        <v>114</v>
      </c>
      <c r="E8102" t="s">
        <v>115</v>
      </c>
      <c r="F8102" t="s">
        <v>116</v>
      </c>
      <c r="G8102" t="s">
        <v>279</v>
      </c>
      <c r="H8102" t="s">
        <v>279</v>
      </c>
      <c r="I8102" t="s">
        <v>33</v>
      </c>
      <c r="J8102" t="s">
        <v>34</v>
      </c>
      <c r="K8102" t="s">
        <v>48</v>
      </c>
      <c r="L8102" t="s">
        <v>49</v>
      </c>
      <c r="M8102" t="s">
        <v>277</v>
      </c>
      <c r="N8102">
        <v>6</v>
      </c>
      <c r="O8102">
        <v>3.3893008000000002E-2</v>
      </c>
      <c r="P8102">
        <v>6.9664587E-2</v>
      </c>
      <c r="Q8102" t="str">
        <f t="shared" si="252"/>
        <v>01-09</v>
      </c>
      <c r="R8102" t="str">
        <f t="shared" si="253"/>
        <v>[ir8wuHHzoSs]|01-09|Male|NEW_INFECTIONS_SUBNAT.T2|CY2026Q3</v>
      </c>
    </row>
    <row r="8103" spans="4:18" x14ac:dyDescent="0.2">
      <c r="D8103" t="s">
        <v>114</v>
      </c>
      <c r="E8103" t="s">
        <v>115</v>
      </c>
      <c r="F8103" t="s">
        <v>116</v>
      </c>
      <c r="G8103" t="s">
        <v>279</v>
      </c>
      <c r="H8103" t="s">
        <v>279</v>
      </c>
      <c r="I8103" t="s">
        <v>36</v>
      </c>
      <c r="J8103" t="s">
        <v>37</v>
      </c>
      <c r="K8103" t="s">
        <v>48</v>
      </c>
      <c r="L8103" t="s">
        <v>49</v>
      </c>
      <c r="M8103" t="s">
        <v>277</v>
      </c>
      <c r="N8103">
        <v>0</v>
      </c>
      <c r="O8103">
        <v>0</v>
      </c>
      <c r="P8103">
        <v>6.9664587E-2</v>
      </c>
      <c r="Q8103" t="str">
        <f t="shared" si="252"/>
        <v>10-14</v>
      </c>
      <c r="R8103" t="str">
        <f t="shared" si="253"/>
        <v>[ir8wuHHzoSs]|10-14|Male|NEW_INFECTIONS_SUBNAT.T2|CY2026Q3</v>
      </c>
    </row>
    <row r="8104" spans="4:18" x14ac:dyDescent="0.2">
      <c r="D8104" t="s">
        <v>114</v>
      </c>
      <c r="E8104" t="s">
        <v>115</v>
      </c>
      <c r="F8104" t="s">
        <v>116</v>
      </c>
      <c r="G8104" t="s">
        <v>279</v>
      </c>
      <c r="H8104" t="s">
        <v>279</v>
      </c>
      <c r="I8104" t="s">
        <v>38</v>
      </c>
      <c r="J8104" t="s">
        <v>39</v>
      </c>
      <c r="K8104" t="s">
        <v>48</v>
      </c>
      <c r="L8104" t="s">
        <v>49</v>
      </c>
      <c r="M8104" t="s">
        <v>277</v>
      </c>
      <c r="N8104">
        <v>13</v>
      </c>
      <c r="O8104">
        <v>7.6506035999999999E-2</v>
      </c>
      <c r="P8104">
        <v>6.9664587E-2</v>
      </c>
      <c r="Q8104" t="str">
        <f t="shared" si="252"/>
        <v>15-24</v>
      </c>
      <c r="R8104" t="str">
        <f t="shared" si="253"/>
        <v>[ir8wuHHzoSs]|15-24|Male|NEW_INFECTIONS_SUBNAT.T2|CY2026Q3</v>
      </c>
    </row>
    <row r="8105" spans="4:18" x14ac:dyDescent="0.2">
      <c r="D8105" t="s">
        <v>114</v>
      </c>
      <c r="E8105" t="s">
        <v>115</v>
      </c>
      <c r="F8105" t="s">
        <v>116</v>
      </c>
      <c r="G8105" t="s">
        <v>279</v>
      </c>
      <c r="H8105" t="s">
        <v>279</v>
      </c>
      <c r="I8105" t="s">
        <v>41</v>
      </c>
      <c r="J8105" t="s">
        <v>42</v>
      </c>
      <c r="K8105" t="s">
        <v>48</v>
      </c>
      <c r="L8105" t="s">
        <v>49</v>
      </c>
      <c r="M8105" t="s">
        <v>277</v>
      </c>
      <c r="N8105">
        <v>42</v>
      </c>
      <c r="O8105">
        <v>7.5366006999999999E-2</v>
      </c>
      <c r="P8105">
        <v>6.9664587E-2</v>
      </c>
      <c r="Q8105" t="str">
        <f t="shared" si="252"/>
        <v>25-34</v>
      </c>
      <c r="R8105" t="str">
        <f t="shared" si="253"/>
        <v>[ir8wuHHzoSs]|25-34|Male|NEW_INFECTIONS_SUBNAT.T2|CY2026Q3</v>
      </c>
    </row>
    <row r="8106" spans="4:18" x14ac:dyDescent="0.2">
      <c r="D8106" t="s">
        <v>114</v>
      </c>
      <c r="E8106" t="s">
        <v>115</v>
      </c>
      <c r="F8106" t="s">
        <v>116</v>
      </c>
      <c r="G8106" t="s">
        <v>279</v>
      </c>
      <c r="H8106" t="s">
        <v>279</v>
      </c>
      <c r="I8106" t="s">
        <v>43</v>
      </c>
      <c r="J8106" t="s">
        <v>44</v>
      </c>
      <c r="K8106" t="s">
        <v>48</v>
      </c>
      <c r="L8106" t="s">
        <v>49</v>
      </c>
      <c r="M8106" t="s">
        <v>277</v>
      </c>
      <c r="N8106">
        <v>41</v>
      </c>
      <c r="O8106">
        <v>6.9722060000000002E-2</v>
      </c>
      <c r="P8106">
        <v>6.9664587E-2</v>
      </c>
      <c r="Q8106" t="str">
        <f t="shared" si="252"/>
        <v>35-49</v>
      </c>
      <c r="R8106" t="str">
        <f t="shared" si="253"/>
        <v>[ir8wuHHzoSs]|35-49|Male|NEW_INFECTIONS_SUBNAT.T2|CY2026Q3</v>
      </c>
    </row>
    <row r="8107" spans="4:18" x14ac:dyDescent="0.2">
      <c r="D8107" t="s">
        <v>114</v>
      </c>
      <c r="E8107" t="s">
        <v>115</v>
      </c>
      <c r="F8107" t="s">
        <v>116</v>
      </c>
      <c r="G8107" t="s">
        <v>279</v>
      </c>
      <c r="H8107" t="s">
        <v>279</v>
      </c>
      <c r="I8107" t="s">
        <v>45</v>
      </c>
      <c r="J8107" t="s">
        <v>46</v>
      </c>
      <c r="K8107" t="s">
        <v>48</v>
      </c>
      <c r="L8107" t="s">
        <v>49</v>
      </c>
      <c r="M8107" t="s">
        <v>277</v>
      </c>
      <c r="N8107">
        <v>13</v>
      </c>
      <c r="O8107">
        <v>6.5361564999999996E-2</v>
      </c>
      <c r="P8107">
        <v>6.9664587E-2</v>
      </c>
      <c r="Q8107" t="str">
        <f t="shared" si="252"/>
        <v>50+</v>
      </c>
      <c r="R8107" t="str">
        <f t="shared" si="253"/>
        <v>[ir8wuHHzoSs]|50+|Male|NEW_INFECTIONS_SUBNAT.T2|CY2026Q3</v>
      </c>
    </row>
    <row r="8108" spans="4:18" x14ac:dyDescent="0.2">
      <c r="D8108" t="s">
        <v>117</v>
      </c>
      <c r="E8108" t="s">
        <v>118</v>
      </c>
      <c r="F8108" t="s">
        <v>119</v>
      </c>
      <c r="G8108" t="s">
        <v>279</v>
      </c>
      <c r="H8108" t="s">
        <v>279</v>
      </c>
      <c r="I8108" t="s">
        <v>28</v>
      </c>
      <c r="J8108" t="s">
        <v>29</v>
      </c>
      <c r="K8108" t="s">
        <v>30</v>
      </c>
      <c r="L8108" t="s">
        <v>31</v>
      </c>
      <c r="M8108" t="s">
        <v>277</v>
      </c>
      <c r="N8108">
        <v>21</v>
      </c>
      <c r="O8108">
        <v>5.4207790999999998E-2</v>
      </c>
      <c r="P8108">
        <v>5.4811542999999997E-2</v>
      </c>
      <c r="Q8108" t="str">
        <f t="shared" si="252"/>
        <v>&lt;01</v>
      </c>
      <c r="R8108" t="str">
        <f t="shared" si="253"/>
        <v>[oiPR2CiVJbf]|&lt;01|Female|NEW_INFECTIONS_SUBNAT.T2|CY2026Q3</v>
      </c>
    </row>
    <row r="8109" spans="4:18" x14ac:dyDescent="0.2">
      <c r="D8109" t="s">
        <v>117</v>
      </c>
      <c r="E8109" t="s">
        <v>118</v>
      </c>
      <c r="F8109" t="s">
        <v>119</v>
      </c>
      <c r="G8109" t="s">
        <v>279</v>
      </c>
      <c r="H8109" t="s">
        <v>279</v>
      </c>
      <c r="I8109" t="s">
        <v>33</v>
      </c>
      <c r="J8109" t="s">
        <v>34</v>
      </c>
      <c r="K8109" t="s">
        <v>30</v>
      </c>
      <c r="L8109" t="s">
        <v>31</v>
      </c>
      <c r="M8109" t="s">
        <v>277</v>
      </c>
      <c r="N8109">
        <v>5</v>
      </c>
      <c r="O8109">
        <v>2.7103895999999999E-2</v>
      </c>
      <c r="P8109">
        <v>5.4811542999999997E-2</v>
      </c>
      <c r="Q8109" t="str">
        <f t="shared" si="252"/>
        <v>01-09</v>
      </c>
      <c r="R8109" t="str">
        <f t="shared" si="253"/>
        <v>[oiPR2CiVJbf]|01-09|Female|NEW_INFECTIONS_SUBNAT.T2|CY2026Q3</v>
      </c>
    </row>
    <row r="8110" spans="4:18" x14ac:dyDescent="0.2">
      <c r="D8110" t="s">
        <v>117</v>
      </c>
      <c r="E8110" t="s">
        <v>118</v>
      </c>
      <c r="F8110" t="s">
        <v>119</v>
      </c>
      <c r="G8110" t="s">
        <v>279</v>
      </c>
      <c r="H8110" t="s">
        <v>279</v>
      </c>
      <c r="I8110" t="s">
        <v>36</v>
      </c>
      <c r="J8110" t="s">
        <v>37</v>
      </c>
      <c r="K8110" t="s">
        <v>30</v>
      </c>
      <c r="L8110" t="s">
        <v>31</v>
      </c>
      <c r="M8110" t="s">
        <v>277</v>
      </c>
      <c r="N8110">
        <v>0</v>
      </c>
      <c r="O8110">
        <v>0</v>
      </c>
      <c r="P8110">
        <v>5.4811542999999997E-2</v>
      </c>
      <c r="Q8110" t="str">
        <f t="shared" si="252"/>
        <v>10-14</v>
      </c>
      <c r="R8110" t="str">
        <f t="shared" si="253"/>
        <v>[oiPR2CiVJbf]|10-14|Female|NEW_INFECTIONS_SUBNAT.T2|CY2026Q3</v>
      </c>
    </row>
    <row r="8111" spans="4:18" x14ac:dyDescent="0.2">
      <c r="D8111" t="s">
        <v>117</v>
      </c>
      <c r="E8111" t="s">
        <v>118</v>
      </c>
      <c r="F8111" t="s">
        <v>119</v>
      </c>
      <c r="G8111" t="s">
        <v>279</v>
      </c>
      <c r="H8111" t="s">
        <v>279</v>
      </c>
      <c r="I8111" t="s">
        <v>38</v>
      </c>
      <c r="J8111" t="s">
        <v>39</v>
      </c>
      <c r="K8111" t="s">
        <v>30</v>
      </c>
      <c r="L8111" t="s">
        <v>31</v>
      </c>
      <c r="M8111" t="s">
        <v>277</v>
      </c>
      <c r="N8111">
        <v>96</v>
      </c>
      <c r="O8111">
        <v>6.1873111000000001E-2</v>
      </c>
      <c r="P8111">
        <v>5.4811542999999997E-2</v>
      </c>
      <c r="Q8111" t="str">
        <f t="shared" si="252"/>
        <v>15-24</v>
      </c>
      <c r="R8111" t="str">
        <f t="shared" si="253"/>
        <v>[oiPR2CiVJbf]|15-24|Female|NEW_INFECTIONS_SUBNAT.T2|CY2026Q3</v>
      </c>
    </row>
    <row r="8112" spans="4:18" x14ac:dyDescent="0.2">
      <c r="D8112" t="s">
        <v>117</v>
      </c>
      <c r="E8112" t="s">
        <v>118</v>
      </c>
      <c r="F8112" t="s">
        <v>119</v>
      </c>
      <c r="G8112" t="s">
        <v>279</v>
      </c>
      <c r="H8112" t="s">
        <v>279</v>
      </c>
      <c r="I8112" t="s">
        <v>41</v>
      </c>
      <c r="J8112" t="s">
        <v>42</v>
      </c>
      <c r="K8112" t="s">
        <v>30</v>
      </c>
      <c r="L8112" t="s">
        <v>31</v>
      </c>
      <c r="M8112" t="s">
        <v>277</v>
      </c>
      <c r="N8112">
        <v>93</v>
      </c>
      <c r="O8112">
        <v>5.6588876000000003E-2</v>
      </c>
      <c r="P8112">
        <v>5.4811542999999997E-2</v>
      </c>
      <c r="Q8112" t="str">
        <f t="shared" si="252"/>
        <v>25-34</v>
      </c>
      <c r="R8112" t="str">
        <f t="shared" si="253"/>
        <v>[oiPR2CiVJbf]|25-34|Female|NEW_INFECTIONS_SUBNAT.T2|CY2026Q3</v>
      </c>
    </row>
    <row r="8113" spans="4:18" x14ac:dyDescent="0.2">
      <c r="D8113" t="s">
        <v>117</v>
      </c>
      <c r="E8113" t="s">
        <v>118</v>
      </c>
      <c r="F8113" t="s">
        <v>119</v>
      </c>
      <c r="G8113" t="s">
        <v>279</v>
      </c>
      <c r="H8113" t="s">
        <v>279</v>
      </c>
      <c r="I8113" t="s">
        <v>43</v>
      </c>
      <c r="J8113" t="s">
        <v>44</v>
      </c>
      <c r="K8113" t="s">
        <v>30</v>
      </c>
      <c r="L8113" t="s">
        <v>31</v>
      </c>
      <c r="M8113" t="s">
        <v>277</v>
      </c>
      <c r="N8113">
        <v>46</v>
      </c>
      <c r="O8113">
        <v>4.5640047000000003E-2</v>
      </c>
      <c r="P8113">
        <v>5.4811542999999997E-2</v>
      </c>
      <c r="Q8113" t="str">
        <f t="shared" si="252"/>
        <v>35-49</v>
      </c>
      <c r="R8113" t="str">
        <f t="shared" si="253"/>
        <v>[oiPR2CiVJbf]|35-49|Female|NEW_INFECTIONS_SUBNAT.T2|CY2026Q3</v>
      </c>
    </row>
    <row r="8114" spans="4:18" x14ac:dyDescent="0.2">
      <c r="D8114" t="s">
        <v>117</v>
      </c>
      <c r="E8114" t="s">
        <v>118</v>
      </c>
      <c r="F8114" t="s">
        <v>119</v>
      </c>
      <c r="G8114" t="s">
        <v>279</v>
      </c>
      <c r="H8114" t="s">
        <v>279</v>
      </c>
      <c r="I8114" t="s">
        <v>45</v>
      </c>
      <c r="J8114" t="s">
        <v>46</v>
      </c>
      <c r="K8114" t="s">
        <v>30</v>
      </c>
      <c r="L8114" t="s">
        <v>31</v>
      </c>
      <c r="M8114" t="s">
        <v>277</v>
      </c>
      <c r="N8114">
        <v>9</v>
      </c>
      <c r="O8114">
        <v>4.8270632000000001E-2</v>
      </c>
      <c r="P8114">
        <v>5.4811542999999997E-2</v>
      </c>
      <c r="Q8114" t="str">
        <f t="shared" si="252"/>
        <v>50+</v>
      </c>
      <c r="R8114" t="str">
        <f t="shared" si="253"/>
        <v>[oiPR2CiVJbf]|50+|Female|NEW_INFECTIONS_SUBNAT.T2|CY2026Q3</v>
      </c>
    </row>
    <row r="8115" spans="4:18" x14ac:dyDescent="0.2">
      <c r="D8115" t="s">
        <v>117</v>
      </c>
      <c r="E8115" t="s">
        <v>118</v>
      </c>
      <c r="F8115" t="s">
        <v>119</v>
      </c>
      <c r="G8115" t="s">
        <v>279</v>
      </c>
      <c r="H8115" t="s">
        <v>279</v>
      </c>
      <c r="I8115" t="s">
        <v>28</v>
      </c>
      <c r="J8115" t="s">
        <v>29</v>
      </c>
      <c r="K8115" t="s">
        <v>48</v>
      </c>
      <c r="L8115" t="s">
        <v>49</v>
      </c>
      <c r="M8115" t="s">
        <v>277</v>
      </c>
      <c r="N8115">
        <v>21</v>
      </c>
      <c r="O8115">
        <v>5.4211627999999998E-2</v>
      </c>
      <c r="P8115">
        <v>5.4811542999999997E-2</v>
      </c>
      <c r="Q8115" t="str">
        <f t="shared" si="252"/>
        <v>&lt;01</v>
      </c>
      <c r="R8115" t="str">
        <f t="shared" si="253"/>
        <v>[oiPR2CiVJbf]|&lt;01|Male|NEW_INFECTIONS_SUBNAT.T2|CY2026Q3</v>
      </c>
    </row>
    <row r="8116" spans="4:18" x14ac:dyDescent="0.2">
      <c r="D8116" t="s">
        <v>117</v>
      </c>
      <c r="E8116" t="s">
        <v>118</v>
      </c>
      <c r="F8116" t="s">
        <v>119</v>
      </c>
      <c r="G8116" t="s">
        <v>279</v>
      </c>
      <c r="H8116" t="s">
        <v>279</v>
      </c>
      <c r="I8116" t="s">
        <v>33</v>
      </c>
      <c r="J8116" t="s">
        <v>34</v>
      </c>
      <c r="K8116" t="s">
        <v>48</v>
      </c>
      <c r="L8116" t="s">
        <v>49</v>
      </c>
      <c r="M8116" t="s">
        <v>277</v>
      </c>
      <c r="N8116">
        <v>5</v>
      </c>
      <c r="O8116">
        <v>2.7105813999999999E-2</v>
      </c>
      <c r="P8116">
        <v>5.4811542999999997E-2</v>
      </c>
      <c r="Q8116" t="str">
        <f t="shared" si="252"/>
        <v>01-09</v>
      </c>
      <c r="R8116" t="str">
        <f t="shared" si="253"/>
        <v>[oiPR2CiVJbf]|01-09|Male|NEW_INFECTIONS_SUBNAT.T2|CY2026Q3</v>
      </c>
    </row>
    <row r="8117" spans="4:18" x14ac:dyDescent="0.2">
      <c r="D8117" t="s">
        <v>117</v>
      </c>
      <c r="E8117" t="s">
        <v>118</v>
      </c>
      <c r="F8117" t="s">
        <v>119</v>
      </c>
      <c r="G8117" t="s">
        <v>279</v>
      </c>
      <c r="H8117" t="s">
        <v>279</v>
      </c>
      <c r="I8117" t="s">
        <v>36</v>
      </c>
      <c r="J8117" t="s">
        <v>37</v>
      </c>
      <c r="K8117" t="s">
        <v>48</v>
      </c>
      <c r="L8117" t="s">
        <v>49</v>
      </c>
      <c r="M8117" t="s">
        <v>277</v>
      </c>
      <c r="N8117">
        <v>0</v>
      </c>
      <c r="O8117">
        <v>0</v>
      </c>
      <c r="P8117">
        <v>5.4811542999999997E-2</v>
      </c>
      <c r="Q8117" t="str">
        <f t="shared" si="252"/>
        <v>10-14</v>
      </c>
      <c r="R8117" t="str">
        <f t="shared" si="253"/>
        <v>[oiPR2CiVJbf]|10-14|Male|NEW_INFECTIONS_SUBNAT.T2|CY2026Q3</v>
      </c>
    </row>
    <row r="8118" spans="4:18" x14ac:dyDescent="0.2">
      <c r="D8118" t="s">
        <v>117</v>
      </c>
      <c r="E8118" t="s">
        <v>118</v>
      </c>
      <c r="F8118" t="s">
        <v>119</v>
      </c>
      <c r="G8118" t="s">
        <v>279</v>
      </c>
      <c r="H8118" t="s">
        <v>279</v>
      </c>
      <c r="I8118" t="s">
        <v>38</v>
      </c>
      <c r="J8118" t="s">
        <v>39</v>
      </c>
      <c r="K8118" t="s">
        <v>48</v>
      </c>
      <c r="L8118" t="s">
        <v>49</v>
      </c>
      <c r="M8118" t="s">
        <v>277</v>
      </c>
      <c r="N8118">
        <v>17</v>
      </c>
      <c r="O8118">
        <v>6.3152896E-2</v>
      </c>
      <c r="P8118">
        <v>5.4811542999999997E-2</v>
      </c>
      <c r="Q8118" t="str">
        <f t="shared" si="252"/>
        <v>15-24</v>
      </c>
      <c r="R8118" t="str">
        <f t="shared" si="253"/>
        <v>[oiPR2CiVJbf]|15-24|Male|NEW_INFECTIONS_SUBNAT.T2|CY2026Q3</v>
      </c>
    </row>
    <row r="8119" spans="4:18" x14ac:dyDescent="0.2">
      <c r="D8119" t="s">
        <v>117</v>
      </c>
      <c r="E8119" t="s">
        <v>118</v>
      </c>
      <c r="F8119" t="s">
        <v>119</v>
      </c>
      <c r="G8119" t="s">
        <v>279</v>
      </c>
      <c r="H8119" t="s">
        <v>279</v>
      </c>
      <c r="I8119" t="s">
        <v>41</v>
      </c>
      <c r="J8119" t="s">
        <v>42</v>
      </c>
      <c r="K8119" t="s">
        <v>48</v>
      </c>
      <c r="L8119" t="s">
        <v>49</v>
      </c>
      <c r="M8119" t="s">
        <v>277</v>
      </c>
      <c r="N8119">
        <v>54</v>
      </c>
      <c r="O8119">
        <v>6.0936982000000001E-2</v>
      </c>
      <c r="P8119">
        <v>5.4811542999999997E-2</v>
      </c>
      <c r="Q8119" t="str">
        <f t="shared" si="252"/>
        <v>25-34</v>
      </c>
      <c r="R8119" t="str">
        <f t="shared" si="253"/>
        <v>[oiPR2CiVJbf]|25-34|Male|NEW_INFECTIONS_SUBNAT.T2|CY2026Q3</v>
      </c>
    </row>
    <row r="8120" spans="4:18" x14ac:dyDescent="0.2">
      <c r="D8120" t="s">
        <v>117</v>
      </c>
      <c r="E8120" t="s">
        <v>118</v>
      </c>
      <c r="F8120" t="s">
        <v>119</v>
      </c>
      <c r="G8120" t="s">
        <v>279</v>
      </c>
      <c r="H8120" t="s">
        <v>279</v>
      </c>
      <c r="I8120" t="s">
        <v>43</v>
      </c>
      <c r="J8120" t="s">
        <v>44</v>
      </c>
      <c r="K8120" t="s">
        <v>48</v>
      </c>
      <c r="L8120" t="s">
        <v>49</v>
      </c>
      <c r="M8120" t="s">
        <v>277</v>
      </c>
      <c r="N8120">
        <v>49</v>
      </c>
      <c r="O8120">
        <v>5.2400706999999998E-2</v>
      </c>
      <c r="P8120">
        <v>5.4811542999999997E-2</v>
      </c>
      <c r="Q8120" t="str">
        <f t="shared" si="252"/>
        <v>35-49</v>
      </c>
      <c r="R8120" t="str">
        <f t="shared" si="253"/>
        <v>[oiPR2CiVJbf]|35-49|Male|NEW_INFECTIONS_SUBNAT.T2|CY2026Q3</v>
      </c>
    </row>
    <row r="8121" spans="4:18" x14ac:dyDescent="0.2">
      <c r="D8121" t="s">
        <v>117</v>
      </c>
      <c r="E8121" t="s">
        <v>118</v>
      </c>
      <c r="F8121" t="s">
        <v>119</v>
      </c>
      <c r="G8121" t="s">
        <v>279</v>
      </c>
      <c r="H8121" t="s">
        <v>279</v>
      </c>
      <c r="I8121" t="s">
        <v>45</v>
      </c>
      <c r="J8121" t="s">
        <v>46</v>
      </c>
      <c r="K8121" t="s">
        <v>48</v>
      </c>
      <c r="L8121" t="s">
        <v>49</v>
      </c>
      <c r="M8121" t="s">
        <v>277</v>
      </c>
      <c r="N8121">
        <v>14</v>
      </c>
      <c r="O8121">
        <v>4.9820883000000003E-2</v>
      </c>
      <c r="P8121">
        <v>5.4811542999999997E-2</v>
      </c>
      <c r="Q8121" t="str">
        <f t="shared" si="252"/>
        <v>50+</v>
      </c>
      <c r="R8121" t="str">
        <f t="shared" si="253"/>
        <v>[oiPR2CiVJbf]|50+|Male|NEW_INFECTIONS_SUBNAT.T2|CY2026Q3</v>
      </c>
    </row>
    <row r="8122" spans="4:18" x14ac:dyDescent="0.2">
      <c r="D8122" t="s">
        <v>120</v>
      </c>
      <c r="E8122" t="s">
        <v>121</v>
      </c>
      <c r="F8122" t="s">
        <v>122</v>
      </c>
      <c r="G8122" t="s">
        <v>279</v>
      </c>
      <c r="H8122" t="s">
        <v>279</v>
      </c>
      <c r="I8122" t="s">
        <v>28</v>
      </c>
      <c r="J8122" t="s">
        <v>29</v>
      </c>
      <c r="K8122" t="s">
        <v>30</v>
      </c>
      <c r="L8122" t="s">
        <v>31</v>
      </c>
      <c r="M8122" t="s">
        <v>277</v>
      </c>
      <c r="N8122">
        <v>64</v>
      </c>
      <c r="O8122">
        <v>3.1184415E-2</v>
      </c>
      <c r="P8122">
        <v>4.2461685999999998E-2</v>
      </c>
      <c r="Q8122" t="str">
        <f t="shared" si="252"/>
        <v>&lt;01</v>
      </c>
      <c r="R8122" t="str">
        <f t="shared" si="253"/>
        <v>[mxqa3CDFmIT]|&lt;01|Female|NEW_INFECTIONS_SUBNAT.T2|CY2026Q3</v>
      </c>
    </row>
    <row r="8123" spans="4:18" x14ac:dyDescent="0.2">
      <c r="D8123" t="s">
        <v>120</v>
      </c>
      <c r="E8123" t="s">
        <v>121</v>
      </c>
      <c r="F8123" t="s">
        <v>122</v>
      </c>
      <c r="G8123" t="s">
        <v>279</v>
      </c>
      <c r="H8123" t="s">
        <v>279</v>
      </c>
      <c r="I8123" t="s">
        <v>33</v>
      </c>
      <c r="J8123" t="s">
        <v>34</v>
      </c>
      <c r="K8123" t="s">
        <v>30</v>
      </c>
      <c r="L8123" t="s">
        <v>31</v>
      </c>
      <c r="M8123" t="s">
        <v>277</v>
      </c>
      <c r="N8123">
        <v>16</v>
      </c>
      <c r="O8123">
        <v>1.5592207E-2</v>
      </c>
      <c r="P8123">
        <v>4.2461685999999998E-2</v>
      </c>
      <c r="Q8123" t="str">
        <f t="shared" si="252"/>
        <v>01-09</v>
      </c>
      <c r="R8123" t="str">
        <f t="shared" si="253"/>
        <v>[mxqa3CDFmIT]|01-09|Female|NEW_INFECTIONS_SUBNAT.T2|CY2026Q3</v>
      </c>
    </row>
    <row r="8124" spans="4:18" x14ac:dyDescent="0.2">
      <c r="D8124" t="s">
        <v>120</v>
      </c>
      <c r="E8124" t="s">
        <v>121</v>
      </c>
      <c r="F8124" t="s">
        <v>122</v>
      </c>
      <c r="G8124" t="s">
        <v>279</v>
      </c>
      <c r="H8124" t="s">
        <v>279</v>
      </c>
      <c r="I8124" t="s">
        <v>36</v>
      </c>
      <c r="J8124" t="s">
        <v>37</v>
      </c>
      <c r="K8124" t="s">
        <v>30</v>
      </c>
      <c r="L8124" t="s">
        <v>31</v>
      </c>
      <c r="M8124" t="s">
        <v>277</v>
      </c>
      <c r="N8124">
        <v>0</v>
      </c>
      <c r="O8124">
        <v>0</v>
      </c>
      <c r="P8124">
        <v>4.2461685999999998E-2</v>
      </c>
      <c r="Q8124" t="str">
        <f t="shared" si="252"/>
        <v>10-14</v>
      </c>
      <c r="R8124" t="str">
        <f t="shared" si="253"/>
        <v>[mxqa3CDFmIT]|10-14|Female|NEW_INFECTIONS_SUBNAT.T2|CY2026Q3</v>
      </c>
    </row>
    <row r="8125" spans="4:18" x14ac:dyDescent="0.2">
      <c r="D8125" t="s">
        <v>120</v>
      </c>
      <c r="E8125" t="s">
        <v>121</v>
      </c>
      <c r="F8125" t="s">
        <v>122</v>
      </c>
      <c r="G8125" t="s">
        <v>279</v>
      </c>
      <c r="H8125" t="s">
        <v>279</v>
      </c>
      <c r="I8125" t="s">
        <v>38</v>
      </c>
      <c r="J8125" t="s">
        <v>39</v>
      </c>
      <c r="K8125" t="s">
        <v>30</v>
      </c>
      <c r="L8125" t="s">
        <v>31</v>
      </c>
      <c r="M8125" t="s">
        <v>277</v>
      </c>
      <c r="N8125">
        <v>361</v>
      </c>
      <c r="O8125">
        <v>4.8214920000000001E-2</v>
      </c>
      <c r="P8125">
        <v>4.2461685999999998E-2</v>
      </c>
      <c r="Q8125" t="str">
        <f t="shared" si="252"/>
        <v>15-24</v>
      </c>
      <c r="R8125" t="str">
        <f t="shared" si="253"/>
        <v>[mxqa3CDFmIT]|15-24|Female|NEW_INFECTIONS_SUBNAT.T2|CY2026Q3</v>
      </c>
    </row>
    <row r="8126" spans="4:18" x14ac:dyDescent="0.2">
      <c r="D8126" t="s">
        <v>120</v>
      </c>
      <c r="E8126" t="s">
        <v>121</v>
      </c>
      <c r="F8126" t="s">
        <v>122</v>
      </c>
      <c r="G8126" t="s">
        <v>279</v>
      </c>
      <c r="H8126" t="s">
        <v>279</v>
      </c>
      <c r="I8126" t="s">
        <v>41</v>
      </c>
      <c r="J8126" t="s">
        <v>42</v>
      </c>
      <c r="K8126" t="s">
        <v>30</v>
      </c>
      <c r="L8126" t="s">
        <v>31</v>
      </c>
      <c r="M8126" t="s">
        <v>277</v>
      </c>
      <c r="N8126">
        <v>370</v>
      </c>
      <c r="O8126">
        <v>4.5651299999999999E-2</v>
      </c>
      <c r="P8126">
        <v>4.2461685999999998E-2</v>
      </c>
      <c r="Q8126" t="str">
        <f t="shared" si="252"/>
        <v>25-34</v>
      </c>
      <c r="R8126" t="str">
        <f t="shared" si="253"/>
        <v>[mxqa3CDFmIT]|25-34|Female|NEW_INFECTIONS_SUBNAT.T2|CY2026Q3</v>
      </c>
    </row>
    <row r="8127" spans="4:18" x14ac:dyDescent="0.2">
      <c r="D8127" t="s">
        <v>120</v>
      </c>
      <c r="E8127" t="s">
        <v>121</v>
      </c>
      <c r="F8127" t="s">
        <v>122</v>
      </c>
      <c r="G8127" t="s">
        <v>279</v>
      </c>
      <c r="H8127" t="s">
        <v>279</v>
      </c>
      <c r="I8127" t="s">
        <v>43</v>
      </c>
      <c r="J8127" t="s">
        <v>44</v>
      </c>
      <c r="K8127" t="s">
        <v>30</v>
      </c>
      <c r="L8127" t="s">
        <v>31</v>
      </c>
      <c r="M8127" t="s">
        <v>277</v>
      </c>
      <c r="N8127">
        <v>144</v>
      </c>
      <c r="O8127">
        <v>3.9729028999999999E-2</v>
      </c>
      <c r="P8127">
        <v>4.2461685999999998E-2</v>
      </c>
      <c r="Q8127" t="str">
        <f t="shared" si="252"/>
        <v>35-49</v>
      </c>
      <c r="R8127" t="str">
        <f t="shared" si="253"/>
        <v>[mxqa3CDFmIT]|35-49|Female|NEW_INFECTIONS_SUBNAT.T2|CY2026Q3</v>
      </c>
    </row>
    <row r="8128" spans="4:18" x14ac:dyDescent="0.2">
      <c r="D8128" t="s">
        <v>120</v>
      </c>
      <c r="E8128" t="s">
        <v>121</v>
      </c>
      <c r="F8128" t="s">
        <v>122</v>
      </c>
      <c r="G8128" t="s">
        <v>279</v>
      </c>
      <c r="H8128" t="s">
        <v>279</v>
      </c>
      <c r="I8128" t="s">
        <v>45</v>
      </c>
      <c r="J8128" t="s">
        <v>46</v>
      </c>
      <c r="K8128" t="s">
        <v>30</v>
      </c>
      <c r="L8128" t="s">
        <v>31</v>
      </c>
      <c r="M8128" t="s">
        <v>277</v>
      </c>
      <c r="N8128">
        <v>17</v>
      </c>
      <c r="O8128">
        <v>4.5735288999999998E-2</v>
      </c>
      <c r="P8128">
        <v>4.2461685999999998E-2</v>
      </c>
      <c r="Q8128" t="str">
        <f t="shared" si="252"/>
        <v>50+</v>
      </c>
      <c r="R8128" t="str">
        <f t="shared" si="253"/>
        <v>[mxqa3CDFmIT]|50+|Female|NEW_INFECTIONS_SUBNAT.T2|CY2026Q3</v>
      </c>
    </row>
    <row r="8129" spans="4:18" x14ac:dyDescent="0.2">
      <c r="D8129" t="s">
        <v>120</v>
      </c>
      <c r="E8129" t="s">
        <v>121</v>
      </c>
      <c r="F8129" t="s">
        <v>122</v>
      </c>
      <c r="G8129" t="s">
        <v>279</v>
      </c>
      <c r="H8129" t="s">
        <v>279</v>
      </c>
      <c r="I8129" t="s">
        <v>28</v>
      </c>
      <c r="J8129" t="s">
        <v>29</v>
      </c>
      <c r="K8129" t="s">
        <v>48</v>
      </c>
      <c r="L8129" t="s">
        <v>49</v>
      </c>
      <c r="M8129" t="s">
        <v>277</v>
      </c>
      <c r="N8129">
        <v>64</v>
      </c>
      <c r="O8129">
        <v>3.1184011000000001E-2</v>
      </c>
      <c r="P8129">
        <v>4.2461685999999998E-2</v>
      </c>
      <c r="Q8129" t="str">
        <f t="shared" si="252"/>
        <v>&lt;01</v>
      </c>
      <c r="R8129" t="str">
        <f t="shared" si="253"/>
        <v>[mxqa3CDFmIT]|&lt;01|Male|NEW_INFECTIONS_SUBNAT.T2|CY2026Q3</v>
      </c>
    </row>
    <row r="8130" spans="4:18" x14ac:dyDescent="0.2">
      <c r="D8130" t="s">
        <v>120</v>
      </c>
      <c r="E8130" t="s">
        <v>121</v>
      </c>
      <c r="F8130" t="s">
        <v>122</v>
      </c>
      <c r="G8130" t="s">
        <v>279</v>
      </c>
      <c r="H8130" t="s">
        <v>279</v>
      </c>
      <c r="I8130" t="s">
        <v>33</v>
      </c>
      <c r="J8130" t="s">
        <v>34</v>
      </c>
      <c r="K8130" t="s">
        <v>48</v>
      </c>
      <c r="L8130" t="s">
        <v>49</v>
      </c>
      <c r="M8130" t="s">
        <v>277</v>
      </c>
      <c r="N8130">
        <v>16</v>
      </c>
      <c r="O8130">
        <v>1.5592006E-2</v>
      </c>
      <c r="P8130">
        <v>4.2461685999999998E-2</v>
      </c>
      <c r="Q8130" t="str">
        <f t="shared" si="252"/>
        <v>01-09</v>
      </c>
      <c r="R8130" t="str">
        <f t="shared" si="253"/>
        <v>[mxqa3CDFmIT]|01-09|Male|NEW_INFECTIONS_SUBNAT.T2|CY2026Q3</v>
      </c>
    </row>
    <row r="8131" spans="4:18" x14ac:dyDescent="0.2">
      <c r="D8131" t="s">
        <v>120</v>
      </c>
      <c r="E8131" t="s">
        <v>121</v>
      </c>
      <c r="F8131" t="s">
        <v>122</v>
      </c>
      <c r="G8131" t="s">
        <v>279</v>
      </c>
      <c r="H8131" t="s">
        <v>279</v>
      </c>
      <c r="I8131" t="s">
        <v>36</v>
      </c>
      <c r="J8131" t="s">
        <v>37</v>
      </c>
      <c r="K8131" t="s">
        <v>48</v>
      </c>
      <c r="L8131" t="s">
        <v>49</v>
      </c>
      <c r="M8131" t="s">
        <v>277</v>
      </c>
      <c r="N8131">
        <v>0</v>
      </c>
      <c r="O8131">
        <v>0</v>
      </c>
      <c r="P8131">
        <v>4.2461685999999998E-2</v>
      </c>
      <c r="Q8131" t="str">
        <f t="shared" ref="Q8131:Q8194" si="254">SUBSTITUTE(SUBSTITUTE($I8131,CHAR(61),""),CHAR(34),"")</f>
        <v>10-14</v>
      </c>
      <c r="R8131" t="str">
        <f t="shared" ref="R8131:R8194" si="255">IF($D8131&lt;&gt;"","["&amp;$E8131&amp;"]"&amp;"|"&amp;$Q8131&amp;"|"&amp;$K8131&amp;"|"&amp;$G8131&amp;"|"&amp;IF($G8131="TX_CURR_SUBNAT.R","CY2023Q4",$M8131),"")</f>
        <v>[mxqa3CDFmIT]|10-14|Male|NEW_INFECTIONS_SUBNAT.T2|CY2026Q3</v>
      </c>
    </row>
    <row r="8132" spans="4:18" x14ac:dyDescent="0.2">
      <c r="D8132" t="s">
        <v>120</v>
      </c>
      <c r="E8132" t="s">
        <v>121</v>
      </c>
      <c r="F8132" t="s">
        <v>122</v>
      </c>
      <c r="G8132" t="s">
        <v>279</v>
      </c>
      <c r="H8132" t="s">
        <v>279</v>
      </c>
      <c r="I8132" t="s">
        <v>38</v>
      </c>
      <c r="J8132" t="s">
        <v>39</v>
      </c>
      <c r="K8132" t="s">
        <v>48</v>
      </c>
      <c r="L8132" t="s">
        <v>49</v>
      </c>
      <c r="M8132" t="s">
        <v>277</v>
      </c>
      <c r="N8132">
        <v>66</v>
      </c>
      <c r="O8132">
        <v>4.8920986E-2</v>
      </c>
      <c r="P8132">
        <v>4.2461685999999998E-2</v>
      </c>
      <c r="Q8132" t="str">
        <f t="shared" si="254"/>
        <v>15-24</v>
      </c>
      <c r="R8132" t="str">
        <f t="shared" si="255"/>
        <v>[mxqa3CDFmIT]|15-24|Male|NEW_INFECTIONS_SUBNAT.T2|CY2026Q3</v>
      </c>
    </row>
    <row r="8133" spans="4:18" x14ac:dyDescent="0.2">
      <c r="D8133" t="s">
        <v>120</v>
      </c>
      <c r="E8133" t="s">
        <v>121</v>
      </c>
      <c r="F8133" t="s">
        <v>122</v>
      </c>
      <c r="G8133" t="s">
        <v>279</v>
      </c>
      <c r="H8133" t="s">
        <v>279</v>
      </c>
      <c r="I8133" t="s">
        <v>41</v>
      </c>
      <c r="J8133" t="s">
        <v>42</v>
      </c>
      <c r="K8133" t="s">
        <v>48</v>
      </c>
      <c r="L8133" t="s">
        <v>49</v>
      </c>
      <c r="M8133" t="s">
        <v>277</v>
      </c>
      <c r="N8133">
        <v>234</v>
      </c>
      <c r="O8133">
        <v>4.7900914000000003E-2</v>
      </c>
      <c r="P8133">
        <v>4.2461685999999998E-2</v>
      </c>
      <c r="Q8133" t="str">
        <f t="shared" si="254"/>
        <v>25-34</v>
      </c>
      <c r="R8133" t="str">
        <f t="shared" si="255"/>
        <v>[mxqa3CDFmIT]|25-34|Male|NEW_INFECTIONS_SUBNAT.T2|CY2026Q3</v>
      </c>
    </row>
    <row r="8134" spans="4:18" x14ac:dyDescent="0.2">
      <c r="D8134" t="s">
        <v>120</v>
      </c>
      <c r="E8134" t="s">
        <v>121</v>
      </c>
      <c r="F8134" t="s">
        <v>122</v>
      </c>
      <c r="G8134" t="s">
        <v>279</v>
      </c>
      <c r="H8134" t="s">
        <v>279</v>
      </c>
      <c r="I8134" t="s">
        <v>43</v>
      </c>
      <c r="J8134" t="s">
        <v>44</v>
      </c>
      <c r="K8134" t="s">
        <v>48</v>
      </c>
      <c r="L8134" t="s">
        <v>49</v>
      </c>
      <c r="M8134" t="s">
        <v>277</v>
      </c>
      <c r="N8134">
        <v>200</v>
      </c>
      <c r="O8134">
        <v>4.3020027000000002E-2</v>
      </c>
      <c r="P8134">
        <v>4.2461685999999998E-2</v>
      </c>
      <c r="Q8134" t="str">
        <f t="shared" si="254"/>
        <v>35-49</v>
      </c>
      <c r="R8134" t="str">
        <f t="shared" si="255"/>
        <v>[mxqa3CDFmIT]|35-49|Male|NEW_INFECTIONS_SUBNAT.T2|CY2026Q3</v>
      </c>
    </row>
    <row r="8135" spans="4:18" x14ac:dyDescent="0.2">
      <c r="D8135" t="s">
        <v>120</v>
      </c>
      <c r="E8135" t="s">
        <v>121</v>
      </c>
      <c r="F8135" t="s">
        <v>122</v>
      </c>
      <c r="G8135" t="s">
        <v>279</v>
      </c>
      <c r="H8135" t="s">
        <v>279</v>
      </c>
      <c r="I8135" t="s">
        <v>45</v>
      </c>
      <c r="J8135" t="s">
        <v>46</v>
      </c>
      <c r="K8135" t="s">
        <v>48</v>
      </c>
      <c r="L8135" t="s">
        <v>49</v>
      </c>
      <c r="M8135" t="s">
        <v>277</v>
      </c>
      <c r="N8135">
        <v>39</v>
      </c>
      <c r="O8135">
        <v>4.3976128000000003E-2</v>
      </c>
      <c r="P8135">
        <v>4.2461685999999998E-2</v>
      </c>
      <c r="Q8135" t="str">
        <f t="shared" si="254"/>
        <v>50+</v>
      </c>
      <c r="R8135" t="str">
        <f t="shared" si="255"/>
        <v>[mxqa3CDFmIT]|50+|Male|NEW_INFECTIONS_SUBNAT.T2|CY2026Q3</v>
      </c>
    </row>
    <row r="8136" spans="4:18" x14ac:dyDescent="0.2">
      <c r="D8136" t="s">
        <v>123</v>
      </c>
      <c r="E8136" t="s">
        <v>124</v>
      </c>
      <c r="F8136" t="s">
        <v>125</v>
      </c>
      <c r="G8136" t="s">
        <v>279</v>
      </c>
      <c r="H8136" t="s">
        <v>279</v>
      </c>
      <c r="I8136" t="s">
        <v>28</v>
      </c>
      <c r="J8136" t="s">
        <v>29</v>
      </c>
      <c r="K8136" t="s">
        <v>30</v>
      </c>
      <c r="L8136" t="s">
        <v>31</v>
      </c>
      <c r="M8136" t="s">
        <v>277</v>
      </c>
      <c r="N8136">
        <v>5</v>
      </c>
      <c r="O8136">
        <v>8.4732455999999998E-2</v>
      </c>
      <c r="P8136">
        <v>8.8544176000000002E-2</v>
      </c>
      <c r="Q8136" t="str">
        <f t="shared" si="254"/>
        <v>&lt;01</v>
      </c>
      <c r="R8136" t="str">
        <f t="shared" si="255"/>
        <v>[wNqJp8oRIcF]|&lt;01|Female|NEW_INFECTIONS_SUBNAT.T2|CY2026Q3</v>
      </c>
    </row>
    <row r="8137" spans="4:18" x14ac:dyDescent="0.2">
      <c r="D8137" t="s">
        <v>123</v>
      </c>
      <c r="E8137" t="s">
        <v>124</v>
      </c>
      <c r="F8137" t="s">
        <v>125</v>
      </c>
      <c r="G8137" t="s">
        <v>279</v>
      </c>
      <c r="H8137" t="s">
        <v>279</v>
      </c>
      <c r="I8137" t="s">
        <v>33</v>
      </c>
      <c r="J8137" t="s">
        <v>34</v>
      </c>
      <c r="K8137" t="s">
        <v>30</v>
      </c>
      <c r="L8137" t="s">
        <v>31</v>
      </c>
      <c r="M8137" t="s">
        <v>277</v>
      </c>
      <c r="N8137">
        <v>1</v>
      </c>
      <c r="O8137">
        <v>4.2366227999999999E-2</v>
      </c>
      <c r="P8137">
        <v>8.8544176000000002E-2</v>
      </c>
      <c r="Q8137" t="str">
        <f t="shared" si="254"/>
        <v>01-09</v>
      </c>
      <c r="R8137" t="str">
        <f t="shared" si="255"/>
        <v>[wNqJp8oRIcF]|01-09|Female|NEW_INFECTIONS_SUBNAT.T2|CY2026Q3</v>
      </c>
    </row>
    <row r="8138" spans="4:18" x14ac:dyDescent="0.2">
      <c r="D8138" t="s">
        <v>123</v>
      </c>
      <c r="E8138" t="s">
        <v>124</v>
      </c>
      <c r="F8138" t="s">
        <v>125</v>
      </c>
      <c r="G8138" t="s">
        <v>279</v>
      </c>
      <c r="H8138" t="s">
        <v>279</v>
      </c>
      <c r="I8138" t="s">
        <v>36</v>
      </c>
      <c r="J8138" t="s">
        <v>37</v>
      </c>
      <c r="K8138" t="s">
        <v>30</v>
      </c>
      <c r="L8138" t="s">
        <v>31</v>
      </c>
      <c r="M8138" t="s">
        <v>277</v>
      </c>
      <c r="N8138">
        <v>0</v>
      </c>
      <c r="O8138">
        <v>0</v>
      </c>
      <c r="P8138">
        <v>8.8544176000000002E-2</v>
      </c>
      <c r="Q8138" t="str">
        <f t="shared" si="254"/>
        <v>10-14</v>
      </c>
      <c r="R8138" t="str">
        <f t="shared" si="255"/>
        <v>[wNqJp8oRIcF]|10-14|Female|NEW_INFECTIONS_SUBNAT.T2|CY2026Q3</v>
      </c>
    </row>
    <row r="8139" spans="4:18" x14ac:dyDescent="0.2">
      <c r="D8139" t="s">
        <v>123</v>
      </c>
      <c r="E8139" t="s">
        <v>124</v>
      </c>
      <c r="F8139" t="s">
        <v>125</v>
      </c>
      <c r="G8139" t="s">
        <v>279</v>
      </c>
      <c r="H8139" t="s">
        <v>279</v>
      </c>
      <c r="I8139" t="s">
        <v>38</v>
      </c>
      <c r="J8139" t="s">
        <v>39</v>
      </c>
      <c r="K8139" t="s">
        <v>30</v>
      </c>
      <c r="L8139" t="s">
        <v>31</v>
      </c>
      <c r="M8139" t="s">
        <v>277</v>
      </c>
      <c r="N8139">
        <v>20</v>
      </c>
      <c r="O8139">
        <v>9.4587670999999998E-2</v>
      </c>
      <c r="P8139">
        <v>8.8544176000000002E-2</v>
      </c>
      <c r="Q8139" t="str">
        <f t="shared" si="254"/>
        <v>15-24</v>
      </c>
      <c r="R8139" t="str">
        <f t="shared" si="255"/>
        <v>[wNqJp8oRIcF]|15-24|Female|NEW_INFECTIONS_SUBNAT.T2|CY2026Q3</v>
      </c>
    </row>
    <row r="8140" spans="4:18" x14ac:dyDescent="0.2">
      <c r="D8140" t="s">
        <v>123</v>
      </c>
      <c r="E8140" t="s">
        <v>124</v>
      </c>
      <c r="F8140" t="s">
        <v>125</v>
      </c>
      <c r="G8140" t="s">
        <v>279</v>
      </c>
      <c r="H8140" t="s">
        <v>279</v>
      </c>
      <c r="I8140" t="s">
        <v>41</v>
      </c>
      <c r="J8140" t="s">
        <v>42</v>
      </c>
      <c r="K8140" t="s">
        <v>30</v>
      </c>
      <c r="L8140" t="s">
        <v>31</v>
      </c>
      <c r="M8140" t="s">
        <v>277</v>
      </c>
      <c r="N8140">
        <v>19</v>
      </c>
      <c r="O8140">
        <v>9.0914957000000005E-2</v>
      </c>
      <c r="P8140">
        <v>8.8544176000000002E-2</v>
      </c>
      <c r="Q8140" t="str">
        <f t="shared" si="254"/>
        <v>25-34</v>
      </c>
      <c r="R8140" t="str">
        <f t="shared" si="255"/>
        <v>[wNqJp8oRIcF]|25-34|Female|NEW_INFECTIONS_SUBNAT.T2|CY2026Q3</v>
      </c>
    </row>
    <row r="8141" spans="4:18" x14ac:dyDescent="0.2">
      <c r="D8141" t="s">
        <v>123</v>
      </c>
      <c r="E8141" t="s">
        <v>124</v>
      </c>
      <c r="F8141" t="s">
        <v>125</v>
      </c>
      <c r="G8141" t="s">
        <v>279</v>
      </c>
      <c r="H8141" t="s">
        <v>279</v>
      </c>
      <c r="I8141" t="s">
        <v>43</v>
      </c>
      <c r="J8141" t="s">
        <v>44</v>
      </c>
      <c r="K8141" t="s">
        <v>30</v>
      </c>
      <c r="L8141" t="s">
        <v>31</v>
      </c>
      <c r="M8141" t="s">
        <v>277</v>
      </c>
      <c r="N8141">
        <v>9</v>
      </c>
      <c r="O8141">
        <v>8.1441554999999999E-2</v>
      </c>
      <c r="P8141">
        <v>8.8544176000000002E-2</v>
      </c>
      <c r="Q8141" t="str">
        <f t="shared" si="254"/>
        <v>35-49</v>
      </c>
      <c r="R8141" t="str">
        <f t="shared" si="255"/>
        <v>[wNqJp8oRIcF]|35-49|Female|NEW_INFECTIONS_SUBNAT.T2|CY2026Q3</v>
      </c>
    </row>
    <row r="8142" spans="4:18" x14ac:dyDescent="0.2">
      <c r="D8142" t="s">
        <v>123</v>
      </c>
      <c r="E8142" t="s">
        <v>124</v>
      </c>
      <c r="F8142" t="s">
        <v>125</v>
      </c>
      <c r="G8142" t="s">
        <v>279</v>
      </c>
      <c r="H8142" t="s">
        <v>279</v>
      </c>
      <c r="I8142" t="s">
        <v>45</v>
      </c>
      <c r="J8142" t="s">
        <v>46</v>
      </c>
      <c r="K8142" t="s">
        <v>30</v>
      </c>
      <c r="L8142" t="s">
        <v>31</v>
      </c>
      <c r="M8142" t="s">
        <v>277</v>
      </c>
      <c r="N8142">
        <v>2</v>
      </c>
      <c r="O8142">
        <v>8.0620974999999998E-2</v>
      </c>
      <c r="P8142">
        <v>8.8544176000000002E-2</v>
      </c>
      <c r="Q8142" t="str">
        <f t="shared" si="254"/>
        <v>50+</v>
      </c>
      <c r="R8142" t="str">
        <f t="shared" si="255"/>
        <v>[wNqJp8oRIcF]|50+|Female|NEW_INFECTIONS_SUBNAT.T2|CY2026Q3</v>
      </c>
    </row>
    <row r="8143" spans="4:18" x14ac:dyDescent="0.2">
      <c r="D8143" t="s">
        <v>123</v>
      </c>
      <c r="E8143" t="s">
        <v>124</v>
      </c>
      <c r="F8143" t="s">
        <v>125</v>
      </c>
      <c r="G8143" t="s">
        <v>279</v>
      </c>
      <c r="H8143" t="s">
        <v>279</v>
      </c>
      <c r="I8143" t="s">
        <v>28</v>
      </c>
      <c r="J8143" t="s">
        <v>29</v>
      </c>
      <c r="K8143" t="s">
        <v>48</v>
      </c>
      <c r="L8143" t="s">
        <v>49</v>
      </c>
      <c r="M8143" t="s">
        <v>277</v>
      </c>
      <c r="N8143">
        <v>5</v>
      </c>
      <c r="O8143">
        <v>8.4731841000000002E-2</v>
      </c>
      <c r="P8143">
        <v>8.8544176000000002E-2</v>
      </c>
      <c r="Q8143" t="str">
        <f t="shared" si="254"/>
        <v>&lt;01</v>
      </c>
      <c r="R8143" t="str">
        <f t="shared" si="255"/>
        <v>[wNqJp8oRIcF]|&lt;01|Male|NEW_INFECTIONS_SUBNAT.T2|CY2026Q3</v>
      </c>
    </row>
    <row r="8144" spans="4:18" x14ac:dyDescent="0.2">
      <c r="D8144" t="s">
        <v>123</v>
      </c>
      <c r="E8144" t="s">
        <v>124</v>
      </c>
      <c r="F8144" t="s">
        <v>125</v>
      </c>
      <c r="G8144" t="s">
        <v>279</v>
      </c>
      <c r="H8144" t="s">
        <v>279</v>
      </c>
      <c r="I8144" t="s">
        <v>33</v>
      </c>
      <c r="J8144" t="s">
        <v>34</v>
      </c>
      <c r="K8144" t="s">
        <v>48</v>
      </c>
      <c r="L8144" t="s">
        <v>49</v>
      </c>
      <c r="M8144" t="s">
        <v>277</v>
      </c>
      <c r="N8144">
        <v>1</v>
      </c>
      <c r="O8144">
        <v>4.2365921000000001E-2</v>
      </c>
      <c r="P8144">
        <v>8.8544176000000002E-2</v>
      </c>
      <c r="Q8144" t="str">
        <f t="shared" si="254"/>
        <v>01-09</v>
      </c>
      <c r="R8144" t="str">
        <f t="shared" si="255"/>
        <v>[wNqJp8oRIcF]|01-09|Male|NEW_INFECTIONS_SUBNAT.T2|CY2026Q3</v>
      </c>
    </row>
    <row r="8145" spans="4:18" x14ac:dyDescent="0.2">
      <c r="D8145" t="s">
        <v>123</v>
      </c>
      <c r="E8145" t="s">
        <v>124</v>
      </c>
      <c r="F8145" t="s">
        <v>125</v>
      </c>
      <c r="G8145" t="s">
        <v>279</v>
      </c>
      <c r="H8145" t="s">
        <v>279</v>
      </c>
      <c r="I8145" t="s">
        <v>36</v>
      </c>
      <c r="J8145" t="s">
        <v>37</v>
      </c>
      <c r="K8145" t="s">
        <v>48</v>
      </c>
      <c r="L8145" t="s">
        <v>49</v>
      </c>
      <c r="M8145" t="s">
        <v>277</v>
      </c>
      <c r="N8145">
        <v>0</v>
      </c>
      <c r="O8145">
        <v>0</v>
      </c>
      <c r="P8145">
        <v>8.8544176000000002E-2</v>
      </c>
      <c r="Q8145" t="str">
        <f t="shared" si="254"/>
        <v>10-14</v>
      </c>
      <c r="R8145" t="str">
        <f t="shared" si="255"/>
        <v>[wNqJp8oRIcF]|10-14|Male|NEW_INFECTIONS_SUBNAT.T2|CY2026Q3</v>
      </c>
    </row>
    <row r="8146" spans="4:18" x14ac:dyDescent="0.2">
      <c r="D8146" t="s">
        <v>123</v>
      </c>
      <c r="E8146" t="s">
        <v>124</v>
      </c>
      <c r="F8146" t="s">
        <v>125</v>
      </c>
      <c r="G8146" t="s">
        <v>279</v>
      </c>
      <c r="H8146" t="s">
        <v>279</v>
      </c>
      <c r="I8146" t="s">
        <v>38</v>
      </c>
      <c r="J8146" t="s">
        <v>39</v>
      </c>
      <c r="K8146" t="s">
        <v>48</v>
      </c>
      <c r="L8146" t="s">
        <v>49</v>
      </c>
      <c r="M8146" t="s">
        <v>277</v>
      </c>
      <c r="N8146">
        <v>4</v>
      </c>
      <c r="O8146">
        <v>9.5380629999999994E-2</v>
      </c>
      <c r="P8146">
        <v>8.8544176000000002E-2</v>
      </c>
      <c r="Q8146" t="str">
        <f t="shared" si="254"/>
        <v>15-24</v>
      </c>
      <c r="R8146" t="str">
        <f t="shared" si="255"/>
        <v>[wNqJp8oRIcF]|15-24|Male|NEW_INFECTIONS_SUBNAT.T2|CY2026Q3</v>
      </c>
    </row>
    <row r="8147" spans="4:18" x14ac:dyDescent="0.2">
      <c r="D8147" t="s">
        <v>123</v>
      </c>
      <c r="E8147" t="s">
        <v>124</v>
      </c>
      <c r="F8147" t="s">
        <v>125</v>
      </c>
      <c r="G8147" t="s">
        <v>279</v>
      </c>
      <c r="H8147" t="s">
        <v>279</v>
      </c>
      <c r="I8147" t="s">
        <v>41</v>
      </c>
      <c r="J8147" t="s">
        <v>42</v>
      </c>
      <c r="K8147" t="s">
        <v>48</v>
      </c>
      <c r="L8147" t="s">
        <v>49</v>
      </c>
      <c r="M8147" t="s">
        <v>277</v>
      </c>
      <c r="N8147">
        <v>12</v>
      </c>
      <c r="O8147">
        <v>9.4220546000000002E-2</v>
      </c>
      <c r="P8147">
        <v>8.8544176000000002E-2</v>
      </c>
      <c r="Q8147" t="str">
        <f t="shared" si="254"/>
        <v>25-34</v>
      </c>
      <c r="R8147" t="str">
        <f t="shared" si="255"/>
        <v>[wNqJp8oRIcF]|25-34|Male|NEW_INFECTIONS_SUBNAT.T2|CY2026Q3</v>
      </c>
    </row>
    <row r="8148" spans="4:18" x14ac:dyDescent="0.2">
      <c r="D8148" t="s">
        <v>123</v>
      </c>
      <c r="E8148" t="s">
        <v>124</v>
      </c>
      <c r="F8148" t="s">
        <v>125</v>
      </c>
      <c r="G8148" t="s">
        <v>279</v>
      </c>
      <c r="H8148" t="s">
        <v>279</v>
      </c>
      <c r="I8148" t="s">
        <v>43</v>
      </c>
      <c r="J8148" t="s">
        <v>44</v>
      </c>
      <c r="K8148" t="s">
        <v>48</v>
      </c>
      <c r="L8148" t="s">
        <v>49</v>
      </c>
      <c r="M8148" t="s">
        <v>277</v>
      </c>
      <c r="N8148">
        <v>11</v>
      </c>
      <c r="O8148">
        <v>8.8491747999999995E-2</v>
      </c>
      <c r="P8148">
        <v>8.8544176000000002E-2</v>
      </c>
      <c r="Q8148" t="str">
        <f t="shared" si="254"/>
        <v>35-49</v>
      </c>
      <c r="R8148" t="str">
        <f t="shared" si="255"/>
        <v>[wNqJp8oRIcF]|35-49|Male|NEW_INFECTIONS_SUBNAT.T2|CY2026Q3</v>
      </c>
    </row>
    <row r="8149" spans="4:18" x14ac:dyDescent="0.2">
      <c r="D8149" t="s">
        <v>123</v>
      </c>
      <c r="E8149" t="s">
        <v>124</v>
      </c>
      <c r="F8149" t="s">
        <v>125</v>
      </c>
      <c r="G8149" t="s">
        <v>279</v>
      </c>
      <c r="H8149" t="s">
        <v>279</v>
      </c>
      <c r="I8149" t="s">
        <v>45</v>
      </c>
      <c r="J8149" t="s">
        <v>46</v>
      </c>
      <c r="K8149" t="s">
        <v>48</v>
      </c>
      <c r="L8149" t="s">
        <v>49</v>
      </c>
      <c r="M8149" t="s">
        <v>277</v>
      </c>
      <c r="N8149">
        <v>3</v>
      </c>
      <c r="O8149">
        <v>8.2364794000000005E-2</v>
      </c>
      <c r="P8149">
        <v>8.8544176000000002E-2</v>
      </c>
      <c r="Q8149" t="str">
        <f t="shared" si="254"/>
        <v>50+</v>
      </c>
      <c r="R8149" t="str">
        <f t="shared" si="255"/>
        <v>[wNqJp8oRIcF]|50+|Male|NEW_INFECTIONS_SUBNAT.T2|CY2026Q3</v>
      </c>
    </row>
    <row r="8150" spans="4:18" x14ac:dyDescent="0.2">
      <c r="D8150" t="s">
        <v>126</v>
      </c>
      <c r="E8150" t="s">
        <v>127</v>
      </c>
      <c r="F8150" t="s">
        <v>128</v>
      </c>
      <c r="G8150" t="s">
        <v>279</v>
      </c>
      <c r="H8150" t="s">
        <v>279</v>
      </c>
      <c r="I8150" t="s">
        <v>28</v>
      </c>
      <c r="J8150" t="s">
        <v>29</v>
      </c>
      <c r="K8150" t="s">
        <v>30</v>
      </c>
      <c r="L8150" t="s">
        <v>31</v>
      </c>
      <c r="M8150" t="s">
        <v>277</v>
      </c>
      <c r="N8150">
        <v>37</v>
      </c>
      <c r="O8150">
        <v>4.8311511000000001E-2</v>
      </c>
      <c r="P8150">
        <v>5.0646321000000001E-2</v>
      </c>
      <c r="Q8150" t="str">
        <f t="shared" si="254"/>
        <v>&lt;01</v>
      </c>
      <c r="R8150" t="str">
        <f t="shared" si="255"/>
        <v>[ul0y9diGujK]|&lt;01|Female|NEW_INFECTIONS_SUBNAT.T2|CY2026Q3</v>
      </c>
    </row>
    <row r="8151" spans="4:18" x14ac:dyDescent="0.2">
      <c r="D8151" t="s">
        <v>126</v>
      </c>
      <c r="E8151" t="s">
        <v>127</v>
      </c>
      <c r="F8151" t="s">
        <v>128</v>
      </c>
      <c r="G8151" t="s">
        <v>279</v>
      </c>
      <c r="H8151" t="s">
        <v>279</v>
      </c>
      <c r="I8151" t="s">
        <v>33</v>
      </c>
      <c r="J8151" t="s">
        <v>34</v>
      </c>
      <c r="K8151" t="s">
        <v>30</v>
      </c>
      <c r="L8151" t="s">
        <v>31</v>
      </c>
      <c r="M8151" t="s">
        <v>277</v>
      </c>
      <c r="N8151">
        <v>9</v>
      </c>
      <c r="O8151">
        <v>2.4155755000000001E-2</v>
      </c>
      <c r="P8151">
        <v>5.0646321000000001E-2</v>
      </c>
      <c r="Q8151" t="str">
        <f t="shared" si="254"/>
        <v>01-09</v>
      </c>
      <c r="R8151" t="str">
        <f t="shared" si="255"/>
        <v>[ul0y9diGujK]|01-09|Female|NEW_INFECTIONS_SUBNAT.T2|CY2026Q3</v>
      </c>
    </row>
    <row r="8152" spans="4:18" x14ac:dyDescent="0.2">
      <c r="D8152" t="s">
        <v>126</v>
      </c>
      <c r="E8152" t="s">
        <v>127</v>
      </c>
      <c r="F8152" t="s">
        <v>128</v>
      </c>
      <c r="G8152" t="s">
        <v>279</v>
      </c>
      <c r="H8152" t="s">
        <v>279</v>
      </c>
      <c r="I8152" t="s">
        <v>36</v>
      </c>
      <c r="J8152" t="s">
        <v>37</v>
      </c>
      <c r="K8152" t="s">
        <v>30</v>
      </c>
      <c r="L8152" t="s">
        <v>31</v>
      </c>
      <c r="M8152" t="s">
        <v>277</v>
      </c>
      <c r="N8152">
        <v>0</v>
      </c>
      <c r="O8152">
        <v>0</v>
      </c>
      <c r="P8152">
        <v>5.0646321000000001E-2</v>
      </c>
      <c r="Q8152" t="str">
        <f t="shared" si="254"/>
        <v>10-14</v>
      </c>
      <c r="R8152" t="str">
        <f t="shared" si="255"/>
        <v>[ul0y9diGujK]|10-14|Female|NEW_INFECTIONS_SUBNAT.T2|CY2026Q3</v>
      </c>
    </row>
    <row r="8153" spans="4:18" x14ac:dyDescent="0.2">
      <c r="D8153" t="s">
        <v>126</v>
      </c>
      <c r="E8153" t="s">
        <v>127</v>
      </c>
      <c r="F8153" t="s">
        <v>128</v>
      </c>
      <c r="G8153" t="s">
        <v>279</v>
      </c>
      <c r="H8153" t="s">
        <v>279</v>
      </c>
      <c r="I8153" t="s">
        <v>38</v>
      </c>
      <c r="J8153" t="s">
        <v>39</v>
      </c>
      <c r="K8153" t="s">
        <v>30</v>
      </c>
      <c r="L8153" t="s">
        <v>31</v>
      </c>
      <c r="M8153" t="s">
        <v>277</v>
      </c>
      <c r="N8153">
        <v>170</v>
      </c>
      <c r="O8153">
        <v>5.6520976000000001E-2</v>
      </c>
      <c r="P8153">
        <v>5.0646321000000001E-2</v>
      </c>
      <c r="Q8153" t="str">
        <f t="shared" si="254"/>
        <v>15-24</v>
      </c>
      <c r="R8153" t="str">
        <f t="shared" si="255"/>
        <v>[ul0y9diGujK]|15-24|Female|NEW_INFECTIONS_SUBNAT.T2|CY2026Q3</v>
      </c>
    </row>
    <row r="8154" spans="4:18" x14ac:dyDescent="0.2">
      <c r="D8154" t="s">
        <v>126</v>
      </c>
      <c r="E8154" t="s">
        <v>127</v>
      </c>
      <c r="F8154" t="s">
        <v>128</v>
      </c>
      <c r="G8154" t="s">
        <v>279</v>
      </c>
      <c r="H8154" t="s">
        <v>279</v>
      </c>
      <c r="I8154" t="s">
        <v>41</v>
      </c>
      <c r="J8154" t="s">
        <v>42</v>
      </c>
      <c r="K8154" t="s">
        <v>30</v>
      </c>
      <c r="L8154" t="s">
        <v>31</v>
      </c>
      <c r="M8154" t="s">
        <v>277</v>
      </c>
      <c r="N8154">
        <v>163</v>
      </c>
      <c r="O8154">
        <v>5.2349444000000002E-2</v>
      </c>
      <c r="P8154">
        <v>5.0646321000000001E-2</v>
      </c>
      <c r="Q8154" t="str">
        <f t="shared" si="254"/>
        <v>25-34</v>
      </c>
      <c r="R8154" t="str">
        <f t="shared" si="255"/>
        <v>[ul0y9diGujK]|25-34|Female|NEW_INFECTIONS_SUBNAT.T2|CY2026Q3</v>
      </c>
    </row>
    <row r="8155" spans="4:18" x14ac:dyDescent="0.2">
      <c r="D8155" t="s">
        <v>126</v>
      </c>
      <c r="E8155" t="s">
        <v>127</v>
      </c>
      <c r="F8155" t="s">
        <v>128</v>
      </c>
      <c r="G8155" t="s">
        <v>279</v>
      </c>
      <c r="H8155" t="s">
        <v>279</v>
      </c>
      <c r="I8155" t="s">
        <v>43</v>
      </c>
      <c r="J8155" t="s">
        <v>44</v>
      </c>
      <c r="K8155" t="s">
        <v>30</v>
      </c>
      <c r="L8155" t="s">
        <v>31</v>
      </c>
      <c r="M8155" t="s">
        <v>277</v>
      </c>
      <c r="N8155">
        <v>85</v>
      </c>
      <c r="O8155">
        <v>4.3714323999999999E-2</v>
      </c>
      <c r="P8155">
        <v>5.0646321000000001E-2</v>
      </c>
      <c r="Q8155" t="str">
        <f t="shared" si="254"/>
        <v>35-49</v>
      </c>
      <c r="R8155" t="str">
        <f t="shared" si="255"/>
        <v>[ul0y9diGujK]|35-49|Female|NEW_INFECTIONS_SUBNAT.T2|CY2026Q3</v>
      </c>
    </row>
    <row r="8156" spans="4:18" x14ac:dyDescent="0.2">
      <c r="D8156" t="s">
        <v>126</v>
      </c>
      <c r="E8156" t="s">
        <v>127</v>
      </c>
      <c r="F8156" t="s">
        <v>128</v>
      </c>
      <c r="G8156" t="s">
        <v>279</v>
      </c>
      <c r="H8156" t="s">
        <v>279</v>
      </c>
      <c r="I8156" t="s">
        <v>45</v>
      </c>
      <c r="J8156" t="s">
        <v>46</v>
      </c>
      <c r="K8156" t="s">
        <v>30</v>
      </c>
      <c r="L8156" t="s">
        <v>31</v>
      </c>
      <c r="M8156" t="s">
        <v>277</v>
      </c>
      <c r="N8156">
        <v>14</v>
      </c>
      <c r="O8156">
        <v>4.5923253999999997E-2</v>
      </c>
      <c r="P8156">
        <v>5.0646321000000001E-2</v>
      </c>
      <c r="Q8156" t="str">
        <f t="shared" si="254"/>
        <v>50+</v>
      </c>
      <c r="R8156" t="str">
        <f t="shared" si="255"/>
        <v>[ul0y9diGujK]|50+|Female|NEW_INFECTIONS_SUBNAT.T2|CY2026Q3</v>
      </c>
    </row>
    <row r="8157" spans="4:18" x14ac:dyDescent="0.2">
      <c r="D8157" t="s">
        <v>126</v>
      </c>
      <c r="E8157" t="s">
        <v>127</v>
      </c>
      <c r="F8157" t="s">
        <v>128</v>
      </c>
      <c r="G8157" t="s">
        <v>279</v>
      </c>
      <c r="H8157" t="s">
        <v>279</v>
      </c>
      <c r="I8157" t="s">
        <v>28</v>
      </c>
      <c r="J8157" t="s">
        <v>29</v>
      </c>
      <c r="K8157" t="s">
        <v>48</v>
      </c>
      <c r="L8157" t="s">
        <v>49</v>
      </c>
      <c r="M8157" t="s">
        <v>277</v>
      </c>
      <c r="N8157">
        <v>38</v>
      </c>
      <c r="O8157">
        <v>4.8311511000000001E-2</v>
      </c>
      <c r="P8157">
        <v>5.0646321000000001E-2</v>
      </c>
      <c r="Q8157" t="str">
        <f t="shared" si="254"/>
        <v>&lt;01</v>
      </c>
      <c r="R8157" t="str">
        <f t="shared" si="255"/>
        <v>[ul0y9diGujK]|&lt;01|Male|NEW_INFECTIONS_SUBNAT.T2|CY2026Q3</v>
      </c>
    </row>
    <row r="8158" spans="4:18" x14ac:dyDescent="0.2">
      <c r="D8158" t="s">
        <v>126</v>
      </c>
      <c r="E8158" t="s">
        <v>127</v>
      </c>
      <c r="F8158" t="s">
        <v>128</v>
      </c>
      <c r="G8158" t="s">
        <v>279</v>
      </c>
      <c r="H8158" t="s">
        <v>279</v>
      </c>
      <c r="I8158" t="s">
        <v>33</v>
      </c>
      <c r="J8158" t="s">
        <v>34</v>
      </c>
      <c r="K8158" t="s">
        <v>48</v>
      </c>
      <c r="L8158" t="s">
        <v>49</v>
      </c>
      <c r="M8158" t="s">
        <v>277</v>
      </c>
      <c r="N8158">
        <v>10</v>
      </c>
      <c r="O8158">
        <v>2.4155755000000001E-2</v>
      </c>
      <c r="P8158">
        <v>5.0646321000000001E-2</v>
      </c>
      <c r="Q8158" t="str">
        <f t="shared" si="254"/>
        <v>01-09</v>
      </c>
      <c r="R8158" t="str">
        <f t="shared" si="255"/>
        <v>[ul0y9diGujK]|01-09|Male|NEW_INFECTIONS_SUBNAT.T2|CY2026Q3</v>
      </c>
    </row>
    <row r="8159" spans="4:18" x14ac:dyDescent="0.2">
      <c r="D8159" t="s">
        <v>126</v>
      </c>
      <c r="E8159" t="s">
        <v>127</v>
      </c>
      <c r="F8159" t="s">
        <v>128</v>
      </c>
      <c r="G8159" t="s">
        <v>279</v>
      </c>
      <c r="H8159" t="s">
        <v>279</v>
      </c>
      <c r="I8159" t="s">
        <v>36</v>
      </c>
      <c r="J8159" t="s">
        <v>37</v>
      </c>
      <c r="K8159" t="s">
        <v>48</v>
      </c>
      <c r="L8159" t="s">
        <v>49</v>
      </c>
      <c r="M8159" t="s">
        <v>277</v>
      </c>
      <c r="N8159">
        <v>0</v>
      </c>
      <c r="O8159">
        <v>0</v>
      </c>
      <c r="P8159">
        <v>5.0646321000000001E-2</v>
      </c>
      <c r="Q8159" t="str">
        <f t="shared" si="254"/>
        <v>10-14</v>
      </c>
      <c r="R8159" t="str">
        <f t="shared" si="255"/>
        <v>[ul0y9diGujK]|10-14|Male|NEW_INFECTIONS_SUBNAT.T2|CY2026Q3</v>
      </c>
    </row>
    <row r="8160" spans="4:18" x14ac:dyDescent="0.2">
      <c r="D8160" t="s">
        <v>126</v>
      </c>
      <c r="E8160" t="s">
        <v>127</v>
      </c>
      <c r="F8160" t="s">
        <v>128</v>
      </c>
      <c r="G8160" t="s">
        <v>279</v>
      </c>
      <c r="H8160" t="s">
        <v>279</v>
      </c>
      <c r="I8160" t="s">
        <v>38</v>
      </c>
      <c r="J8160" t="s">
        <v>39</v>
      </c>
      <c r="K8160" t="s">
        <v>48</v>
      </c>
      <c r="L8160" t="s">
        <v>49</v>
      </c>
      <c r="M8160" t="s">
        <v>277</v>
      </c>
      <c r="N8160">
        <v>28</v>
      </c>
      <c r="O8160">
        <v>5.7332719999999997E-2</v>
      </c>
      <c r="P8160">
        <v>5.0646321000000001E-2</v>
      </c>
      <c r="Q8160" t="str">
        <f t="shared" si="254"/>
        <v>15-24</v>
      </c>
      <c r="R8160" t="str">
        <f t="shared" si="255"/>
        <v>[ul0y9diGujK]|15-24|Male|NEW_INFECTIONS_SUBNAT.T2|CY2026Q3</v>
      </c>
    </row>
    <row r="8161" spans="4:18" x14ac:dyDescent="0.2">
      <c r="D8161" t="s">
        <v>126</v>
      </c>
      <c r="E8161" t="s">
        <v>127</v>
      </c>
      <c r="F8161" t="s">
        <v>128</v>
      </c>
      <c r="G8161" t="s">
        <v>279</v>
      </c>
      <c r="H8161" t="s">
        <v>279</v>
      </c>
      <c r="I8161" t="s">
        <v>41</v>
      </c>
      <c r="J8161" t="s">
        <v>42</v>
      </c>
      <c r="K8161" t="s">
        <v>48</v>
      </c>
      <c r="L8161" t="s">
        <v>49</v>
      </c>
      <c r="M8161" t="s">
        <v>277</v>
      </c>
      <c r="N8161">
        <v>87</v>
      </c>
      <c r="O8161">
        <v>5.5741476999999998E-2</v>
      </c>
      <c r="P8161">
        <v>5.0646321000000001E-2</v>
      </c>
      <c r="Q8161" t="str">
        <f t="shared" si="254"/>
        <v>25-34</v>
      </c>
      <c r="R8161" t="str">
        <f t="shared" si="255"/>
        <v>[ul0y9diGujK]|25-34|Male|NEW_INFECTIONS_SUBNAT.T2|CY2026Q3</v>
      </c>
    </row>
    <row r="8162" spans="4:18" x14ac:dyDescent="0.2">
      <c r="D8162" t="s">
        <v>126</v>
      </c>
      <c r="E8162" t="s">
        <v>127</v>
      </c>
      <c r="F8162" t="s">
        <v>128</v>
      </c>
      <c r="G8162" t="s">
        <v>279</v>
      </c>
      <c r="H8162" t="s">
        <v>279</v>
      </c>
      <c r="I8162" t="s">
        <v>43</v>
      </c>
      <c r="J8162" t="s">
        <v>44</v>
      </c>
      <c r="K8162" t="s">
        <v>48</v>
      </c>
      <c r="L8162" t="s">
        <v>49</v>
      </c>
      <c r="M8162" t="s">
        <v>277</v>
      </c>
      <c r="N8162">
        <v>85</v>
      </c>
      <c r="O8162">
        <v>5.0034083E-2</v>
      </c>
      <c r="P8162">
        <v>5.0646321000000001E-2</v>
      </c>
      <c r="Q8162" t="str">
        <f t="shared" si="254"/>
        <v>35-49</v>
      </c>
      <c r="R8162" t="str">
        <f t="shared" si="255"/>
        <v>[ul0y9diGujK]|35-49|Male|NEW_INFECTIONS_SUBNAT.T2|CY2026Q3</v>
      </c>
    </row>
    <row r="8163" spans="4:18" x14ac:dyDescent="0.2">
      <c r="D8163" t="s">
        <v>126</v>
      </c>
      <c r="E8163" t="s">
        <v>127</v>
      </c>
      <c r="F8163" t="s">
        <v>128</v>
      </c>
      <c r="G8163" t="s">
        <v>279</v>
      </c>
      <c r="H8163" t="s">
        <v>279</v>
      </c>
      <c r="I8163" t="s">
        <v>45</v>
      </c>
      <c r="J8163" t="s">
        <v>46</v>
      </c>
      <c r="K8163" t="s">
        <v>48</v>
      </c>
      <c r="L8163" t="s">
        <v>49</v>
      </c>
      <c r="M8163" t="s">
        <v>277</v>
      </c>
      <c r="N8163">
        <v>25</v>
      </c>
      <c r="O8163">
        <v>4.7325051E-2</v>
      </c>
      <c r="P8163">
        <v>5.0646321000000001E-2</v>
      </c>
      <c r="Q8163" t="str">
        <f t="shared" si="254"/>
        <v>50+</v>
      </c>
      <c r="R8163" t="str">
        <f t="shared" si="255"/>
        <v>[ul0y9diGujK]|50+|Male|NEW_INFECTIONS_SUBNAT.T2|CY2026Q3</v>
      </c>
    </row>
    <row r="8164" spans="4:18" x14ac:dyDescent="0.2">
      <c r="D8164" t="s">
        <v>129</v>
      </c>
      <c r="E8164" t="s">
        <v>130</v>
      </c>
      <c r="F8164" t="s">
        <v>131</v>
      </c>
      <c r="G8164" t="s">
        <v>279</v>
      </c>
      <c r="H8164" t="s">
        <v>279</v>
      </c>
      <c r="I8164" t="s">
        <v>28</v>
      </c>
      <c r="J8164" t="s">
        <v>29</v>
      </c>
      <c r="K8164" t="s">
        <v>30</v>
      </c>
      <c r="L8164" t="s">
        <v>31</v>
      </c>
      <c r="M8164" t="s">
        <v>277</v>
      </c>
      <c r="N8164">
        <v>27</v>
      </c>
      <c r="O8164">
        <v>5.5563428999999998E-2</v>
      </c>
      <c r="P8164">
        <v>5.8193986000000003E-2</v>
      </c>
      <c r="Q8164" t="str">
        <f t="shared" si="254"/>
        <v>&lt;01</v>
      </c>
      <c r="R8164" t="str">
        <f t="shared" si="255"/>
        <v>[U8c0so51kT6]|&lt;01|Female|NEW_INFECTIONS_SUBNAT.T2|CY2026Q3</v>
      </c>
    </row>
    <row r="8165" spans="4:18" x14ac:dyDescent="0.2">
      <c r="D8165" t="s">
        <v>129</v>
      </c>
      <c r="E8165" t="s">
        <v>130</v>
      </c>
      <c r="F8165" t="s">
        <v>131</v>
      </c>
      <c r="G8165" t="s">
        <v>279</v>
      </c>
      <c r="H8165" t="s">
        <v>279</v>
      </c>
      <c r="I8165" t="s">
        <v>33</v>
      </c>
      <c r="J8165" t="s">
        <v>34</v>
      </c>
      <c r="K8165" t="s">
        <v>30</v>
      </c>
      <c r="L8165" t="s">
        <v>31</v>
      </c>
      <c r="M8165" t="s">
        <v>277</v>
      </c>
      <c r="N8165">
        <v>7</v>
      </c>
      <c r="O8165">
        <v>2.7781714999999998E-2</v>
      </c>
      <c r="P8165">
        <v>5.8193986000000003E-2</v>
      </c>
      <c r="Q8165" t="str">
        <f t="shared" si="254"/>
        <v>01-09</v>
      </c>
      <c r="R8165" t="str">
        <f t="shared" si="255"/>
        <v>[U8c0so51kT6]|01-09|Female|NEW_INFECTIONS_SUBNAT.T2|CY2026Q3</v>
      </c>
    </row>
    <row r="8166" spans="4:18" x14ac:dyDescent="0.2">
      <c r="D8166" t="s">
        <v>129</v>
      </c>
      <c r="E8166" t="s">
        <v>130</v>
      </c>
      <c r="F8166" t="s">
        <v>131</v>
      </c>
      <c r="G8166" t="s">
        <v>279</v>
      </c>
      <c r="H8166" t="s">
        <v>279</v>
      </c>
      <c r="I8166" t="s">
        <v>36</v>
      </c>
      <c r="J8166" t="s">
        <v>37</v>
      </c>
      <c r="K8166" t="s">
        <v>30</v>
      </c>
      <c r="L8166" t="s">
        <v>31</v>
      </c>
      <c r="M8166" t="s">
        <v>277</v>
      </c>
      <c r="N8166">
        <v>0</v>
      </c>
      <c r="O8166">
        <v>0</v>
      </c>
      <c r="P8166">
        <v>5.8193986000000003E-2</v>
      </c>
      <c r="Q8166" t="str">
        <f t="shared" si="254"/>
        <v>10-14</v>
      </c>
      <c r="R8166" t="str">
        <f t="shared" si="255"/>
        <v>[U8c0so51kT6]|10-14|Female|NEW_INFECTIONS_SUBNAT.T2|CY2026Q3</v>
      </c>
    </row>
    <row r="8167" spans="4:18" x14ac:dyDescent="0.2">
      <c r="D8167" t="s">
        <v>129</v>
      </c>
      <c r="E8167" t="s">
        <v>130</v>
      </c>
      <c r="F8167" t="s">
        <v>131</v>
      </c>
      <c r="G8167" t="s">
        <v>279</v>
      </c>
      <c r="H8167" t="s">
        <v>279</v>
      </c>
      <c r="I8167" t="s">
        <v>38</v>
      </c>
      <c r="J8167" t="s">
        <v>39</v>
      </c>
      <c r="K8167" t="s">
        <v>30</v>
      </c>
      <c r="L8167" t="s">
        <v>31</v>
      </c>
      <c r="M8167" t="s">
        <v>277</v>
      </c>
      <c r="N8167">
        <v>100</v>
      </c>
      <c r="O8167">
        <v>6.3329263999999996E-2</v>
      </c>
      <c r="P8167">
        <v>5.8193986000000003E-2</v>
      </c>
      <c r="Q8167" t="str">
        <f t="shared" si="254"/>
        <v>15-24</v>
      </c>
      <c r="R8167" t="str">
        <f t="shared" si="255"/>
        <v>[U8c0so51kT6]|15-24|Female|NEW_INFECTIONS_SUBNAT.T2|CY2026Q3</v>
      </c>
    </row>
    <row r="8168" spans="4:18" x14ac:dyDescent="0.2">
      <c r="D8168" t="s">
        <v>129</v>
      </c>
      <c r="E8168" t="s">
        <v>130</v>
      </c>
      <c r="F8168" t="s">
        <v>131</v>
      </c>
      <c r="G8168" t="s">
        <v>279</v>
      </c>
      <c r="H8168" t="s">
        <v>279</v>
      </c>
      <c r="I8168" t="s">
        <v>41</v>
      </c>
      <c r="J8168" t="s">
        <v>42</v>
      </c>
      <c r="K8168" t="s">
        <v>30</v>
      </c>
      <c r="L8168" t="s">
        <v>31</v>
      </c>
      <c r="M8168" t="s">
        <v>277</v>
      </c>
      <c r="N8168">
        <v>97</v>
      </c>
      <c r="O8168">
        <v>6.0023808999999997E-2</v>
      </c>
      <c r="P8168">
        <v>5.8193986000000003E-2</v>
      </c>
      <c r="Q8168" t="str">
        <f t="shared" si="254"/>
        <v>25-34</v>
      </c>
      <c r="R8168" t="str">
        <f t="shared" si="255"/>
        <v>[U8c0so51kT6]|25-34|Female|NEW_INFECTIONS_SUBNAT.T2|CY2026Q3</v>
      </c>
    </row>
    <row r="8169" spans="4:18" x14ac:dyDescent="0.2">
      <c r="D8169" t="s">
        <v>129</v>
      </c>
      <c r="E8169" t="s">
        <v>130</v>
      </c>
      <c r="F8169" t="s">
        <v>131</v>
      </c>
      <c r="G8169" t="s">
        <v>279</v>
      </c>
      <c r="H8169" t="s">
        <v>279</v>
      </c>
      <c r="I8169" t="s">
        <v>43</v>
      </c>
      <c r="J8169" t="s">
        <v>44</v>
      </c>
      <c r="K8169" t="s">
        <v>30</v>
      </c>
      <c r="L8169" t="s">
        <v>31</v>
      </c>
      <c r="M8169" t="s">
        <v>277</v>
      </c>
      <c r="N8169">
        <v>46</v>
      </c>
      <c r="O8169">
        <v>5.2014273999999999E-2</v>
      </c>
      <c r="P8169">
        <v>5.8193986000000003E-2</v>
      </c>
      <c r="Q8169" t="str">
        <f t="shared" si="254"/>
        <v>35-49</v>
      </c>
      <c r="R8169" t="str">
        <f t="shared" si="255"/>
        <v>[U8c0so51kT6]|35-49|Female|NEW_INFECTIONS_SUBNAT.T2|CY2026Q3</v>
      </c>
    </row>
    <row r="8170" spans="4:18" x14ac:dyDescent="0.2">
      <c r="D8170" t="s">
        <v>129</v>
      </c>
      <c r="E8170" t="s">
        <v>130</v>
      </c>
      <c r="F8170" t="s">
        <v>131</v>
      </c>
      <c r="G8170" t="s">
        <v>279</v>
      </c>
      <c r="H8170" t="s">
        <v>279</v>
      </c>
      <c r="I8170" t="s">
        <v>45</v>
      </c>
      <c r="J8170" t="s">
        <v>46</v>
      </c>
      <c r="K8170" t="s">
        <v>30</v>
      </c>
      <c r="L8170" t="s">
        <v>31</v>
      </c>
      <c r="M8170" t="s">
        <v>277</v>
      </c>
      <c r="N8170">
        <v>7</v>
      </c>
      <c r="O8170">
        <v>5.2651855999999997E-2</v>
      </c>
      <c r="P8170">
        <v>5.8193986000000003E-2</v>
      </c>
      <c r="Q8170" t="str">
        <f t="shared" si="254"/>
        <v>50+</v>
      </c>
      <c r="R8170" t="str">
        <f t="shared" si="255"/>
        <v>[U8c0so51kT6]|50+|Female|NEW_INFECTIONS_SUBNAT.T2|CY2026Q3</v>
      </c>
    </row>
    <row r="8171" spans="4:18" x14ac:dyDescent="0.2">
      <c r="D8171" t="s">
        <v>129</v>
      </c>
      <c r="E8171" t="s">
        <v>130</v>
      </c>
      <c r="F8171" t="s">
        <v>131</v>
      </c>
      <c r="G8171" t="s">
        <v>279</v>
      </c>
      <c r="H8171" t="s">
        <v>279</v>
      </c>
      <c r="I8171" t="s">
        <v>28</v>
      </c>
      <c r="J8171" t="s">
        <v>29</v>
      </c>
      <c r="K8171" t="s">
        <v>48</v>
      </c>
      <c r="L8171" t="s">
        <v>49</v>
      </c>
      <c r="M8171" t="s">
        <v>277</v>
      </c>
      <c r="N8171">
        <v>27</v>
      </c>
      <c r="O8171">
        <v>5.5561122999999997E-2</v>
      </c>
      <c r="P8171">
        <v>5.8193986000000003E-2</v>
      </c>
      <c r="Q8171" t="str">
        <f t="shared" si="254"/>
        <v>&lt;01</v>
      </c>
      <c r="R8171" t="str">
        <f t="shared" si="255"/>
        <v>[U8c0so51kT6]|&lt;01|Male|NEW_INFECTIONS_SUBNAT.T2|CY2026Q3</v>
      </c>
    </row>
    <row r="8172" spans="4:18" x14ac:dyDescent="0.2">
      <c r="D8172" t="s">
        <v>129</v>
      </c>
      <c r="E8172" t="s">
        <v>130</v>
      </c>
      <c r="F8172" t="s">
        <v>131</v>
      </c>
      <c r="G8172" t="s">
        <v>279</v>
      </c>
      <c r="H8172" t="s">
        <v>279</v>
      </c>
      <c r="I8172" t="s">
        <v>33</v>
      </c>
      <c r="J8172" t="s">
        <v>34</v>
      </c>
      <c r="K8172" t="s">
        <v>48</v>
      </c>
      <c r="L8172" t="s">
        <v>49</v>
      </c>
      <c r="M8172" t="s">
        <v>277</v>
      </c>
      <c r="N8172">
        <v>7</v>
      </c>
      <c r="O8172">
        <v>2.7780562000000002E-2</v>
      </c>
      <c r="P8172">
        <v>5.8193986000000003E-2</v>
      </c>
      <c r="Q8172" t="str">
        <f t="shared" si="254"/>
        <v>01-09</v>
      </c>
      <c r="R8172" t="str">
        <f t="shared" si="255"/>
        <v>[U8c0so51kT6]|01-09|Male|NEW_INFECTIONS_SUBNAT.T2|CY2026Q3</v>
      </c>
    </row>
    <row r="8173" spans="4:18" x14ac:dyDescent="0.2">
      <c r="D8173" t="s">
        <v>129</v>
      </c>
      <c r="E8173" t="s">
        <v>130</v>
      </c>
      <c r="F8173" t="s">
        <v>131</v>
      </c>
      <c r="G8173" t="s">
        <v>279</v>
      </c>
      <c r="H8173" t="s">
        <v>279</v>
      </c>
      <c r="I8173" t="s">
        <v>36</v>
      </c>
      <c r="J8173" t="s">
        <v>37</v>
      </c>
      <c r="K8173" t="s">
        <v>48</v>
      </c>
      <c r="L8173" t="s">
        <v>49</v>
      </c>
      <c r="M8173" t="s">
        <v>277</v>
      </c>
      <c r="N8173">
        <v>0</v>
      </c>
      <c r="O8173">
        <v>0</v>
      </c>
      <c r="P8173">
        <v>5.8193986000000003E-2</v>
      </c>
      <c r="Q8173" t="str">
        <f t="shared" si="254"/>
        <v>10-14</v>
      </c>
      <c r="R8173" t="str">
        <f t="shared" si="255"/>
        <v>[U8c0so51kT6]|10-14|Male|NEW_INFECTIONS_SUBNAT.T2|CY2026Q3</v>
      </c>
    </row>
    <row r="8174" spans="4:18" x14ac:dyDescent="0.2">
      <c r="D8174" t="s">
        <v>129</v>
      </c>
      <c r="E8174" t="s">
        <v>130</v>
      </c>
      <c r="F8174" t="s">
        <v>131</v>
      </c>
      <c r="G8174" t="s">
        <v>279</v>
      </c>
      <c r="H8174" t="s">
        <v>279</v>
      </c>
      <c r="I8174" t="s">
        <v>38</v>
      </c>
      <c r="J8174" t="s">
        <v>39</v>
      </c>
      <c r="K8174" t="s">
        <v>48</v>
      </c>
      <c r="L8174" t="s">
        <v>49</v>
      </c>
      <c r="M8174" t="s">
        <v>277</v>
      </c>
      <c r="N8174">
        <v>17</v>
      </c>
      <c r="O8174">
        <v>6.4029428999999999E-2</v>
      </c>
      <c r="P8174">
        <v>5.8193986000000003E-2</v>
      </c>
      <c r="Q8174" t="str">
        <f t="shared" si="254"/>
        <v>15-24</v>
      </c>
      <c r="R8174" t="str">
        <f t="shared" si="255"/>
        <v>[U8c0so51kT6]|15-24|Male|NEW_INFECTIONS_SUBNAT.T2|CY2026Q3</v>
      </c>
    </row>
    <row r="8175" spans="4:18" x14ac:dyDescent="0.2">
      <c r="D8175" t="s">
        <v>129</v>
      </c>
      <c r="E8175" t="s">
        <v>130</v>
      </c>
      <c r="F8175" t="s">
        <v>131</v>
      </c>
      <c r="G8175" t="s">
        <v>279</v>
      </c>
      <c r="H8175" t="s">
        <v>279</v>
      </c>
      <c r="I8175" t="s">
        <v>41</v>
      </c>
      <c r="J8175" t="s">
        <v>42</v>
      </c>
      <c r="K8175" t="s">
        <v>48</v>
      </c>
      <c r="L8175" t="s">
        <v>49</v>
      </c>
      <c r="M8175" t="s">
        <v>277</v>
      </c>
      <c r="N8175">
        <v>58</v>
      </c>
      <c r="O8175">
        <v>6.2885461000000004E-2</v>
      </c>
      <c r="P8175">
        <v>5.8193986000000003E-2</v>
      </c>
      <c r="Q8175" t="str">
        <f t="shared" si="254"/>
        <v>25-34</v>
      </c>
      <c r="R8175" t="str">
        <f t="shared" si="255"/>
        <v>[U8c0so51kT6]|25-34|Male|NEW_INFECTIONS_SUBNAT.T2|CY2026Q3</v>
      </c>
    </row>
    <row r="8176" spans="4:18" x14ac:dyDescent="0.2">
      <c r="D8176" t="s">
        <v>129</v>
      </c>
      <c r="E8176" t="s">
        <v>130</v>
      </c>
      <c r="F8176" t="s">
        <v>131</v>
      </c>
      <c r="G8176" t="s">
        <v>279</v>
      </c>
      <c r="H8176" t="s">
        <v>279</v>
      </c>
      <c r="I8176" t="s">
        <v>43</v>
      </c>
      <c r="J8176" t="s">
        <v>44</v>
      </c>
      <c r="K8176" t="s">
        <v>48</v>
      </c>
      <c r="L8176" t="s">
        <v>49</v>
      </c>
      <c r="M8176" t="s">
        <v>277</v>
      </c>
      <c r="N8176">
        <v>57</v>
      </c>
      <c r="O8176">
        <v>5.8214425E-2</v>
      </c>
      <c r="P8176">
        <v>5.8193986000000003E-2</v>
      </c>
      <c r="Q8176" t="str">
        <f t="shared" si="254"/>
        <v>35-49</v>
      </c>
      <c r="R8176" t="str">
        <f t="shared" si="255"/>
        <v>[U8c0so51kT6]|35-49|Male|NEW_INFECTIONS_SUBNAT.T2|CY2026Q3</v>
      </c>
    </row>
    <row r="8177" spans="4:18" x14ac:dyDescent="0.2">
      <c r="D8177" t="s">
        <v>129</v>
      </c>
      <c r="E8177" t="s">
        <v>130</v>
      </c>
      <c r="F8177" t="s">
        <v>131</v>
      </c>
      <c r="G8177" t="s">
        <v>279</v>
      </c>
      <c r="H8177" t="s">
        <v>279</v>
      </c>
      <c r="I8177" t="s">
        <v>45</v>
      </c>
      <c r="J8177" t="s">
        <v>46</v>
      </c>
      <c r="K8177" t="s">
        <v>48</v>
      </c>
      <c r="L8177" t="s">
        <v>49</v>
      </c>
      <c r="M8177" t="s">
        <v>277</v>
      </c>
      <c r="N8177">
        <v>16</v>
      </c>
      <c r="O8177">
        <v>5.4905731999999999E-2</v>
      </c>
      <c r="P8177">
        <v>5.8193986000000003E-2</v>
      </c>
      <c r="Q8177" t="str">
        <f t="shared" si="254"/>
        <v>50+</v>
      </c>
      <c r="R8177" t="str">
        <f t="shared" si="255"/>
        <v>[U8c0so51kT6]|50+|Male|NEW_INFECTIONS_SUBNAT.T2|CY2026Q3</v>
      </c>
    </row>
    <row r="8178" spans="4:18" x14ac:dyDescent="0.2">
      <c r="D8178" t="s">
        <v>132</v>
      </c>
      <c r="E8178" t="s">
        <v>133</v>
      </c>
      <c r="F8178" t="s">
        <v>134</v>
      </c>
      <c r="G8178" t="s">
        <v>279</v>
      </c>
      <c r="H8178" t="s">
        <v>279</v>
      </c>
      <c r="I8178" t="s">
        <v>28</v>
      </c>
      <c r="J8178" t="s">
        <v>29</v>
      </c>
      <c r="K8178" t="s">
        <v>30</v>
      </c>
      <c r="L8178" t="s">
        <v>31</v>
      </c>
      <c r="M8178" t="s">
        <v>277</v>
      </c>
      <c r="N8178">
        <v>16</v>
      </c>
      <c r="O8178">
        <v>7.2099418999999998E-2</v>
      </c>
      <c r="P8178">
        <v>7.2915249000000001E-2</v>
      </c>
      <c r="Q8178" t="str">
        <f t="shared" si="254"/>
        <v>&lt;01</v>
      </c>
      <c r="R8178" t="str">
        <f t="shared" si="255"/>
        <v>[rpw540fmNUz]|&lt;01|Female|NEW_INFECTIONS_SUBNAT.T2|CY2026Q3</v>
      </c>
    </row>
    <row r="8179" spans="4:18" x14ac:dyDescent="0.2">
      <c r="D8179" t="s">
        <v>132</v>
      </c>
      <c r="E8179" t="s">
        <v>133</v>
      </c>
      <c r="F8179" t="s">
        <v>134</v>
      </c>
      <c r="G8179" t="s">
        <v>279</v>
      </c>
      <c r="H8179" t="s">
        <v>279</v>
      </c>
      <c r="I8179" t="s">
        <v>33</v>
      </c>
      <c r="J8179" t="s">
        <v>34</v>
      </c>
      <c r="K8179" t="s">
        <v>30</v>
      </c>
      <c r="L8179" t="s">
        <v>31</v>
      </c>
      <c r="M8179" t="s">
        <v>277</v>
      </c>
      <c r="N8179">
        <v>4</v>
      </c>
      <c r="O8179">
        <v>3.6049709999999999E-2</v>
      </c>
      <c r="P8179">
        <v>7.2915249000000001E-2</v>
      </c>
      <c r="Q8179" t="str">
        <f t="shared" si="254"/>
        <v>01-09</v>
      </c>
      <c r="R8179" t="str">
        <f t="shared" si="255"/>
        <v>[rpw540fmNUz]|01-09|Female|NEW_INFECTIONS_SUBNAT.T2|CY2026Q3</v>
      </c>
    </row>
    <row r="8180" spans="4:18" x14ac:dyDescent="0.2">
      <c r="D8180" t="s">
        <v>132</v>
      </c>
      <c r="E8180" t="s">
        <v>133</v>
      </c>
      <c r="F8180" t="s">
        <v>134</v>
      </c>
      <c r="G8180" t="s">
        <v>279</v>
      </c>
      <c r="H8180" t="s">
        <v>279</v>
      </c>
      <c r="I8180" t="s">
        <v>36</v>
      </c>
      <c r="J8180" t="s">
        <v>37</v>
      </c>
      <c r="K8180" t="s">
        <v>30</v>
      </c>
      <c r="L8180" t="s">
        <v>31</v>
      </c>
      <c r="M8180" t="s">
        <v>277</v>
      </c>
      <c r="N8180">
        <v>0</v>
      </c>
      <c r="O8180">
        <v>0</v>
      </c>
      <c r="P8180">
        <v>7.2915249000000001E-2</v>
      </c>
      <c r="Q8180" t="str">
        <f t="shared" si="254"/>
        <v>10-14</v>
      </c>
      <c r="R8180" t="str">
        <f t="shared" si="255"/>
        <v>[rpw540fmNUz]|10-14|Female|NEW_INFECTIONS_SUBNAT.T2|CY2026Q3</v>
      </c>
    </row>
    <row r="8181" spans="4:18" x14ac:dyDescent="0.2">
      <c r="D8181" t="s">
        <v>132</v>
      </c>
      <c r="E8181" t="s">
        <v>133</v>
      </c>
      <c r="F8181" t="s">
        <v>134</v>
      </c>
      <c r="G8181" t="s">
        <v>279</v>
      </c>
      <c r="H8181" t="s">
        <v>279</v>
      </c>
      <c r="I8181" t="s">
        <v>38</v>
      </c>
      <c r="J8181" t="s">
        <v>39</v>
      </c>
      <c r="K8181" t="s">
        <v>30</v>
      </c>
      <c r="L8181" t="s">
        <v>31</v>
      </c>
      <c r="M8181" t="s">
        <v>277</v>
      </c>
      <c r="N8181">
        <v>55</v>
      </c>
      <c r="O8181">
        <v>7.9031351999999999E-2</v>
      </c>
      <c r="P8181">
        <v>7.2915249000000001E-2</v>
      </c>
      <c r="Q8181" t="str">
        <f t="shared" si="254"/>
        <v>15-24</v>
      </c>
      <c r="R8181" t="str">
        <f t="shared" si="255"/>
        <v>[rpw540fmNUz]|15-24|Female|NEW_INFECTIONS_SUBNAT.T2|CY2026Q3</v>
      </c>
    </row>
    <row r="8182" spans="4:18" x14ac:dyDescent="0.2">
      <c r="D8182" t="s">
        <v>132</v>
      </c>
      <c r="E8182" t="s">
        <v>133</v>
      </c>
      <c r="F8182" t="s">
        <v>134</v>
      </c>
      <c r="G8182" t="s">
        <v>279</v>
      </c>
      <c r="H8182" t="s">
        <v>279</v>
      </c>
      <c r="I8182" t="s">
        <v>41</v>
      </c>
      <c r="J8182" t="s">
        <v>42</v>
      </c>
      <c r="K8182" t="s">
        <v>30</v>
      </c>
      <c r="L8182" t="s">
        <v>31</v>
      </c>
      <c r="M8182" t="s">
        <v>277</v>
      </c>
      <c r="N8182">
        <v>52</v>
      </c>
      <c r="O8182">
        <v>7.4261487000000001E-2</v>
      </c>
      <c r="P8182">
        <v>7.2915249000000001E-2</v>
      </c>
      <c r="Q8182" t="str">
        <f t="shared" si="254"/>
        <v>25-34</v>
      </c>
      <c r="R8182" t="str">
        <f t="shared" si="255"/>
        <v>[rpw540fmNUz]|25-34|Female|NEW_INFECTIONS_SUBNAT.T2|CY2026Q3</v>
      </c>
    </row>
    <row r="8183" spans="4:18" x14ac:dyDescent="0.2">
      <c r="D8183" t="s">
        <v>132</v>
      </c>
      <c r="E8183" t="s">
        <v>133</v>
      </c>
      <c r="F8183" t="s">
        <v>134</v>
      </c>
      <c r="G8183" t="s">
        <v>279</v>
      </c>
      <c r="H8183" t="s">
        <v>279</v>
      </c>
      <c r="I8183" t="s">
        <v>43</v>
      </c>
      <c r="J8183" t="s">
        <v>44</v>
      </c>
      <c r="K8183" t="s">
        <v>30</v>
      </c>
      <c r="L8183" t="s">
        <v>31</v>
      </c>
      <c r="M8183" t="s">
        <v>277</v>
      </c>
      <c r="N8183">
        <v>25</v>
      </c>
      <c r="O8183">
        <v>6.2768067999999996E-2</v>
      </c>
      <c r="P8183">
        <v>7.2915249000000001E-2</v>
      </c>
      <c r="Q8183" t="str">
        <f t="shared" si="254"/>
        <v>35-49</v>
      </c>
      <c r="R8183" t="str">
        <f t="shared" si="255"/>
        <v>[rpw540fmNUz]|35-49|Female|NEW_INFECTIONS_SUBNAT.T2|CY2026Q3</v>
      </c>
    </row>
    <row r="8184" spans="4:18" x14ac:dyDescent="0.2">
      <c r="D8184" t="s">
        <v>132</v>
      </c>
      <c r="E8184" t="s">
        <v>133</v>
      </c>
      <c r="F8184" t="s">
        <v>134</v>
      </c>
      <c r="G8184" t="s">
        <v>279</v>
      </c>
      <c r="H8184" t="s">
        <v>279</v>
      </c>
      <c r="I8184" t="s">
        <v>45</v>
      </c>
      <c r="J8184" t="s">
        <v>46</v>
      </c>
      <c r="K8184" t="s">
        <v>30</v>
      </c>
      <c r="L8184" t="s">
        <v>31</v>
      </c>
      <c r="M8184" t="s">
        <v>277</v>
      </c>
      <c r="N8184">
        <v>4</v>
      </c>
      <c r="O8184">
        <v>6.1340794999999997E-2</v>
      </c>
      <c r="P8184">
        <v>7.2915249000000001E-2</v>
      </c>
      <c r="Q8184" t="str">
        <f t="shared" si="254"/>
        <v>50+</v>
      </c>
      <c r="R8184" t="str">
        <f t="shared" si="255"/>
        <v>[rpw540fmNUz]|50+|Female|NEW_INFECTIONS_SUBNAT.T2|CY2026Q3</v>
      </c>
    </row>
    <row r="8185" spans="4:18" x14ac:dyDescent="0.2">
      <c r="D8185" t="s">
        <v>132</v>
      </c>
      <c r="E8185" t="s">
        <v>133</v>
      </c>
      <c r="F8185" t="s">
        <v>134</v>
      </c>
      <c r="G8185" t="s">
        <v>279</v>
      </c>
      <c r="H8185" t="s">
        <v>279</v>
      </c>
      <c r="I8185" t="s">
        <v>28</v>
      </c>
      <c r="J8185" t="s">
        <v>29</v>
      </c>
      <c r="K8185" t="s">
        <v>48</v>
      </c>
      <c r="L8185" t="s">
        <v>49</v>
      </c>
      <c r="M8185" t="s">
        <v>277</v>
      </c>
      <c r="N8185">
        <v>15</v>
      </c>
      <c r="O8185">
        <v>7.2093866000000006E-2</v>
      </c>
      <c r="P8185">
        <v>7.2915249000000001E-2</v>
      </c>
      <c r="Q8185" t="str">
        <f t="shared" si="254"/>
        <v>&lt;01</v>
      </c>
      <c r="R8185" t="str">
        <f t="shared" si="255"/>
        <v>[rpw540fmNUz]|&lt;01|Male|NEW_INFECTIONS_SUBNAT.T2|CY2026Q3</v>
      </c>
    </row>
    <row r="8186" spans="4:18" x14ac:dyDescent="0.2">
      <c r="D8186" t="s">
        <v>132</v>
      </c>
      <c r="E8186" t="s">
        <v>133</v>
      </c>
      <c r="F8186" t="s">
        <v>134</v>
      </c>
      <c r="G8186" t="s">
        <v>279</v>
      </c>
      <c r="H8186" t="s">
        <v>279</v>
      </c>
      <c r="I8186" t="s">
        <v>33</v>
      </c>
      <c r="J8186" t="s">
        <v>34</v>
      </c>
      <c r="K8186" t="s">
        <v>48</v>
      </c>
      <c r="L8186" t="s">
        <v>49</v>
      </c>
      <c r="M8186" t="s">
        <v>277</v>
      </c>
      <c r="N8186">
        <v>4</v>
      </c>
      <c r="O8186">
        <v>3.6046933000000003E-2</v>
      </c>
      <c r="P8186">
        <v>7.2915249000000001E-2</v>
      </c>
      <c r="Q8186" t="str">
        <f t="shared" si="254"/>
        <v>01-09</v>
      </c>
      <c r="R8186" t="str">
        <f t="shared" si="255"/>
        <v>[rpw540fmNUz]|01-09|Male|NEW_INFECTIONS_SUBNAT.T2|CY2026Q3</v>
      </c>
    </row>
    <row r="8187" spans="4:18" x14ac:dyDescent="0.2">
      <c r="D8187" t="s">
        <v>132</v>
      </c>
      <c r="E8187" t="s">
        <v>133</v>
      </c>
      <c r="F8187" t="s">
        <v>134</v>
      </c>
      <c r="G8187" t="s">
        <v>279</v>
      </c>
      <c r="H8187" t="s">
        <v>279</v>
      </c>
      <c r="I8187" t="s">
        <v>36</v>
      </c>
      <c r="J8187" t="s">
        <v>37</v>
      </c>
      <c r="K8187" t="s">
        <v>48</v>
      </c>
      <c r="L8187" t="s">
        <v>49</v>
      </c>
      <c r="M8187" t="s">
        <v>277</v>
      </c>
      <c r="N8187">
        <v>0</v>
      </c>
      <c r="O8187">
        <v>0</v>
      </c>
      <c r="P8187">
        <v>7.2915249000000001E-2</v>
      </c>
      <c r="Q8187" t="str">
        <f t="shared" si="254"/>
        <v>10-14</v>
      </c>
      <c r="R8187" t="str">
        <f t="shared" si="255"/>
        <v>[rpw540fmNUz]|10-14|Male|NEW_INFECTIONS_SUBNAT.T2|CY2026Q3</v>
      </c>
    </row>
    <row r="8188" spans="4:18" x14ac:dyDescent="0.2">
      <c r="D8188" t="s">
        <v>132</v>
      </c>
      <c r="E8188" t="s">
        <v>133</v>
      </c>
      <c r="F8188" t="s">
        <v>134</v>
      </c>
      <c r="G8188" t="s">
        <v>279</v>
      </c>
      <c r="H8188" t="s">
        <v>279</v>
      </c>
      <c r="I8188" t="s">
        <v>38</v>
      </c>
      <c r="J8188" t="s">
        <v>39</v>
      </c>
      <c r="K8188" t="s">
        <v>48</v>
      </c>
      <c r="L8188" t="s">
        <v>49</v>
      </c>
      <c r="M8188" t="s">
        <v>277</v>
      </c>
      <c r="N8188">
        <v>9</v>
      </c>
      <c r="O8188">
        <v>8.0052057999999995E-2</v>
      </c>
      <c r="P8188">
        <v>7.2915249000000001E-2</v>
      </c>
      <c r="Q8188" t="str">
        <f t="shared" si="254"/>
        <v>15-24</v>
      </c>
      <c r="R8188" t="str">
        <f t="shared" si="255"/>
        <v>[rpw540fmNUz]|15-24|Male|NEW_INFECTIONS_SUBNAT.T2|CY2026Q3</v>
      </c>
    </row>
    <row r="8189" spans="4:18" x14ac:dyDescent="0.2">
      <c r="D8189" t="s">
        <v>132</v>
      </c>
      <c r="E8189" t="s">
        <v>133</v>
      </c>
      <c r="F8189" t="s">
        <v>134</v>
      </c>
      <c r="G8189" t="s">
        <v>279</v>
      </c>
      <c r="H8189" t="s">
        <v>279</v>
      </c>
      <c r="I8189" t="s">
        <v>41</v>
      </c>
      <c r="J8189" t="s">
        <v>42</v>
      </c>
      <c r="K8189" t="s">
        <v>48</v>
      </c>
      <c r="L8189" t="s">
        <v>49</v>
      </c>
      <c r="M8189" t="s">
        <v>277</v>
      </c>
      <c r="N8189">
        <v>28</v>
      </c>
      <c r="O8189">
        <v>7.8494864999999997E-2</v>
      </c>
      <c r="P8189">
        <v>7.2915249000000001E-2</v>
      </c>
      <c r="Q8189" t="str">
        <f t="shared" si="254"/>
        <v>25-34</v>
      </c>
      <c r="R8189" t="str">
        <f t="shared" si="255"/>
        <v>[rpw540fmNUz]|25-34|Male|NEW_INFECTIONS_SUBNAT.T2|CY2026Q3</v>
      </c>
    </row>
    <row r="8190" spans="4:18" x14ac:dyDescent="0.2">
      <c r="D8190" t="s">
        <v>132</v>
      </c>
      <c r="E8190" t="s">
        <v>133</v>
      </c>
      <c r="F8190" t="s">
        <v>134</v>
      </c>
      <c r="G8190" t="s">
        <v>279</v>
      </c>
      <c r="H8190" t="s">
        <v>279</v>
      </c>
      <c r="I8190" t="s">
        <v>43</v>
      </c>
      <c r="J8190" t="s">
        <v>44</v>
      </c>
      <c r="K8190" t="s">
        <v>48</v>
      </c>
      <c r="L8190" t="s">
        <v>49</v>
      </c>
      <c r="M8190" t="s">
        <v>277</v>
      </c>
      <c r="N8190">
        <v>28</v>
      </c>
      <c r="O8190">
        <v>7.1651024999999993E-2</v>
      </c>
      <c r="P8190">
        <v>7.2915249000000001E-2</v>
      </c>
      <c r="Q8190" t="str">
        <f t="shared" si="254"/>
        <v>35-49</v>
      </c>
      <c r="R8190" t="str">
        <f t="shared" si="255"/>
        <v>[rpw540fmNUz]|35-49|Male|NEW_INFECTIONS_SUBNAT.T2|CY2026Q3</v>
      </c>
    </row>
    <row r="8191" spans="4:18" x14ac:dyDescent="0.2">
      <c r="D8191" t="s">
        <v>132</v>
      </c>
      <c r="E8191" t="s">
        <v>133</v>
      </c>
      <c r="F8191" t="s">
        <v>134</v>
      </c>
      <c r="G8191" t="s">
        <v>279</v>
      </c>
      <c r="H8191" t="s">
        <v>279</v>
      </c>
      <c r="I8191" t="s">
        <v>45</v>
      </c>
      <c r="J8191" t="s">
        <v>46</v>
      </c>
      <c r="K8191" t="s">
        <v>48</v>
      </c>
      <c r="L8191" t="s">
        <v>49</v>
      </c>
      <c r="M8191" t="s">
        <v>277</v>
      </c>
      <c r="N8191">
        <v>8</v>
      </c>
      <c r="O8191">
        <v>6.5097811000000005E-2</v>
      </c>
      <c r="P8191">
        <v>7.2915249000000001E-2</v>
      </c>
      <c r="Q8191" t="str">
        <f t="shared" si="254"/>
        <v>50+</v>
      </c>
      <c r="R8191" t="str">
        <f t="shared" si="255"/>
        <v>[rpw540fmNUz]|50+|Male|NEW_INFECTIONS_SUBNAT.T2|CY2026Q3</v>
      </c>
    </row>
    <row r="8192" spans="4:18" x14ac:dyDescent="0.2">
      <c r="D8192" t="s">
        <v>135</v>
      </c>
      <c r="E8192" t="s">
        <v>136</v>
      </c>
      <c r="F8192" t="s">
        <v>137</v>
      </c>
      <c r="G8192" t="s">
        <v>279</v>
      </c>
      <c r="H8192" t="s">
        <v>279</v>
      </c>
      <c r="I8192" t="s">
        <v>28</v>
      </c>
      <c r="J8192" t="s">
        <v>29</v>
      </c>
      <c r="K8192" t="s">
        <v>30</v>
      </c>
      <c r="L8192" t="s">
        <v>31</v>
      </c>
      <c r="M8192" t="s">
        <v>277</v>
      </c>
      <c r="N8192">
        <v>5</v>
      </c>
      <c r="O8192">
        <v>9.8245734000000001E-2</v>
      </c>
      <c r="P8192">
        <v>9.5607599000000001E-2</v>
      </c>
      <c r="Q8192" t="str">
        <f t="shared" si="254"/>
        <v>&lt;01</v>
      </c>
      <c r="R8192" t="str">
        <f t="shared" si="255"/>
        <v>[gwVYinjBAe9]|&lt;01|Female|NEW_INFECTIONS_SUBNAT.T2|CY2026Q3</v>
      </c>
    </row>
    <row r="8193" spans="4:18" x14ac:dyDescent="0.2">
      <c r="D8193" t="s">
        <v>135</v>
      </c>
      <c r="E8193" t="s">
        <v>136</v>
      </c>
      <c r="F8193" t="s">
        <v>137</v>
      </c>
      <c r="G8193" t="s">
        <v>279</v>
      </c>
      <c r="H8193" t="s">
        <v>279</v>
      </c>
      <c r="I8193" t="s">
        <v>33</v>
      </c>
      <c r="J8193" t="s">
        <v>34</v>
      </c>
      <c r="K8193" t="s">
        <v>30</v>
      </c>
      <c r="L8193" t="s">
        <v>31</v>
      </c>
      <c r="M8193" t="s">
        <v>277</v>
      </c>
      <c r="N8193">
        <v>1</v>
      </c>
      <c r="O8193">
        <v>4.9122867000000001E-2</v>
      </c>
      <c r="P8193">
        <v>9.5607599000000001E-2</v>
      </c>
      <c r="Q8193" t="str">
        <f t="shared" si="254"/>
        <v>01-09</v>
      </c>
      <c r="R8193" t="str">
        <f t="shared" si="255"/>
        <v>[gwVYinjBAe9]|01-09|Female|NEW_INFECTIONS_SUBNAT.T2|CY2026Q3</v>
      </c>
    </row>
    <row r="8194" spans="4:18" x14ac:dyDescent="0.2">
      <c r="D8194" t="s">
        <v>135</v>
      </c>
      <c r="E8194" t="s">
        <v>136</v>
      </c>
      <c r="F8194" t="s">
        <v>137</v>
      </c>
      <c r="G8194" t="s">
        <v>279</v>
      </c>
      <c r="H8194" t="s">
        <v>279</v>
      </c>
      <c r="I8194" t="s">
        <v>36</v>
      </c>
      <c r="J8194" t="s">
        <v>37</v>
      </c>
      <c r="K8194" t="s">
        <v>30</v>
      </c>
      <c r="L8194" t="s">
        <v>31</v>
      </c>
      <c r="M8194" t="s">
        <v>277</v>
      </c>
      <c r="N8194">
        <v>0</v>
      </c>
      <c r="O8194">
        <v>0</v>
      </c>
      <c r="P8194">
        <v>9.5607599000000001E-2</v>
      </c>
      <c r="Q8194" t="str">
        <f t="shared" si="254"/>
        <v>10-14</v>
      </c>
      <c r="R8194" t="str">
        <f t="shared" si="255"/>
        <v>[gwVYinjBAe9]|10-14|Female|NEW_INFECTIONS_SUBNAT.T2|CY2026Q3</v>
      </c>
    </row>
    <row r="8195" spans="4:18" x14ac:dyDescent="0.2">
      <c r="D8195" t="s">
        <v>135</v>
      </c>
      <c r="E8195" t="s">
        <v>136</v>
      </c>
      <c r="F8195" t="s">
        <v>137</v>
      </c>
      <c r="G8195" t="s">
        <v>279</v>
      </c>
      <c r="H8195" t="s">
        <v>279</v>
      </c>
      <c r="I8195" t="s">
        <v>38</v>
      </c>
      <c r="J8195" t="s">
        <v>39</v>
      </c>
      <c r="K8195" t="s">
        <v>30</v>
      </c>
      <c r="L8195" t="s">
        <v>31</v>
      </c>
      <c r="M8195" t="s">
        <v>277</v>
      </c>
      <c r="N8195">
        <v>20</v>
      </c>
      <c r="O8195">
        <v>0.100438057</v>
      </c>
      <c r="P8195">
        <v>9.5607599000000001E-2</v>
      </c>
      <c r="Q8195" t="str">
        <f t="shared" ref="Q8195:Q8205" si="256">SUBSTITUTE(SUBSTITUTE($I8195,CHAR(61),""),CHAR(34),"")</f>
        <v>15-24</v>
      </c>
      <c r="R8195" t="str">
        <f t="shared" ref="R8195:R8205" si="257">IF($D8195&lt;&gt;"","["&amp;$E8195&amp;"]"&amp;"|"&amp;$Q8195&amp;"|"&amp;$K8195&amp;"|"&amp;$G8195&amp;"|"&amp;IF($G8195="TX_CURR_SUBNAT.R","CY2023Q4",$M8195),"")</f>
        <v>[gwVYinjBAe9]|15-24|Female|NEW_INFECTIONS_SUBNAT.T2|CY2026Q3</v>
      </c>
    </row>
    <row r="8196" spans="4:18" x14ac:dyDescent="0.2">
      <c r="D8196" t="s">
        <v>135</v>
      </c>
      <c r="E8196" t="s">
        <v>136</v>
      </c>
      <c r="F8196" t="s">
        <v>137</v>
      </c>
      <c r="G8196" t="s">
        <v>279</v>
      </c>
      <c r="H8196" t="s">
        <v>279</v>
      </c>
      <c r="I8196" t="s">
        <v>41</v>
      </c>
      <c r="J8196" t="s">
        <v>42</v>
      </c>
      <c r="K8196" t="s">
        <v>30</v>
      </c>
      <c r="L8196" t="s">
        <v>31</v>
      </c>
      <c r="M8196" t="s">
        <v>277</v>
      </c>
      <c r="N8196">
        <v>19</v>
      </c>
      <c r="O8196">
        <v>9.6078472999999998E-2</v>
      </c>
      <c r="P8196">
        <v>9.5607599000000001E-2</v>
      </c>
      <c r="Q8196" t="str">
        <f t="shared" si="256"/>
        <v>25-34</v>
      </c>
      <c r="R8196" t="str">
        <f t="shared" si="257"/>
        <v>[gwVYinjBAe9]|25-34|Female|NEW_INFECTIONS_SUBNAT.T2|CY2026Q3</v>
      </c>
    </row>
    <row r="8197" spans="4:18" x14ac:dyDescent="0.2">
      <c r="D8197" t="s">
        <v>135</v>
      </c>
      <c r="E8197" t="s">
        <v>136</v>
      </c>
      <c r="F8197" t="s">
        <v>137</v>
      </c>
      <c r="G8197" t="s">
        <v>279</v>
      </c>
      <c r="H8197" t="s">
        <v>279</v>
      </c>
      <c r="I8197" t="s">
        <v>43</v>
      </c>
      <c r="J8197" t="s">
        <v>44</v>
      </c>
      <c r="K8197" t="s">
        <v>30</v>
      </c>
      <c r="L8197" t="s">
        <v>31</v>
      </c>
      <c r="M8197" t="s">
        <v>277</v>
      </c>
      <c r="N8197">
        <v>10</v>
      </c>
      <c r="O8197">
        <v>8.4001838999999995E-2</v>
      </c>
      <c r="P8197">
        <v>9.5607599000000001E-2</v>
      </c>
      <c r="Q8197" t="str">
        <f t="shared" si="256"/>
        <v>35-49</v>
      </c>
      <c r="R8197" t="str">
        <f t="shared" si="257"/>
        <v>[gwVYinjBAe9]|35-49|Female|NEW_INFECTIONS_SUBNAT.T2|CY2026Q3</v>
      </c>
    </row>
    <row r="8198" spans="4:18" x14ac:dyDescent="0.2">
      <c r="D8198" t="s">
        <v>135</v>
      </c>
      <c r="E8198" t="s">
        <v>136</v>
      </c>
      <c r="F8198" t="s">
        <v>137</v>
      </c>
      <c r="G8198" t="s">
        <v>279</v>
      </c>
      <c r="H8198" t="s">
        <v>279</v>
      </c>
      <c r="I8198" t="s">
        <v>45</v>
      </c>
      <c r="J8198" t="s">
        <v>46</v>
      </c>
      <c r="K8198" t="s">
        <v>30</v>
      </c>
      <c r="L8198" t="s">
        <v>31</v>
      </c>
      <c r="M8198" t="s">
        <v>277</v>
      </c>
      <c r="N8198">
        <v>2</v>
      </c>
      <c r="O8198">
        <v>8.1861094999999995E-2</v>
      </c>
      <c r="P8198">
        <v>9.5607599000000001E-2</v>
      </c>
      <c r="Q8198" t="str">
        <f t="shared" si="256"/>
        <v>50+</v>
      </c>
      <c r="R8198" t="str">
        <f t="shared" si="257"/>
        <v>[gwVYinjBAe9]|50+|Female|NEW_INFECTIONS_SUBNAT.T2|CY2026Q3</v>
      </c>
    </row>
    <row r="8199" spans="4:18" x14ac:dyDescent="0.2">
      <c r="D8199" t="s">
        <v>135</v>
      </c>
      <c r="E8199" t="s">
        <v>136</v>
      </c>
      <c r="F8199" t="s">
        <v>137</v>
      </c>
      <c r="G8199" t="s">
        <v>279</v>
      </c>
      <c r="H8199" t="s">
        <v>279</v>
      </c>
      <c r="I8199" t="s">
        <v>28</v>
      </c>
      <c r="J8199" t="s">
        <v>29</v>
      </c>
      <c r="K8199" t="s">
        <v>48</v>
      </c>
      <c r="L8199" t="s">
        <v>49</v>
      </c>
      <c r="M8199" t="s">
        <v>277</v>
      </c>
      <c r="N8199">
        <v>5</v>
      </c>
      <c r="O8199">
        <v>9.8245764999999999E-2</v>
      </c>
      <c r="P8199">
        <v>9.5607599000000001E-2</v>
      </c>
      <c r="Q8199" t="str">
        <f t="shared" si="256"/>
        <v>&lt;01</v>
      </c>
      <c r="R8199" t="str">
        <f t="shared" si="257"/>
        <v>[gwVYinjBAe9]|&lt;01|Male|NEW_INFECTIONS_SUBNAT.T2|CY2026Q3</v>
      </c>
    </row>
    <row r="8200" spans="4:18" x14ac:dyDescent="0.2">
      <c r="D8200" t="s">
        <v>135</v>
      </c>
      <c r="E8200" t="s">
        <v>136</v>
      </c>
      <c r="F8200" t="s">
        <v>137</v>
      </c>
      <c r="G8200" t="s">
        <v>279</v>
      </c>
      <c r="H8200" t="s">
        <v>279</v>
      </c>
      <c r="I8200" t="s">
        <v>33</v>
      </c>
      <c r="J8200" t="s">
        <v>34</v>
      </c>
      <c r="K8200" t="s">
        <v>48</v>
      </c>
      <c r="L8200" t="s">
        <v>49</v>
      </c>
      <c r="M8200" t="s">
        <v>277</v>
      </c>
      <c r="N8200">
        <v>1</v>
      </c>
      <c r="O8200">
        <v>4.9122882E-2</v>
      </c>
      <c r="P8200">
        <v>9.5607599000000001E-2</v>
      </c>
      <c r="Q8200" t="str">
        <f t="shared" si="256"/>
        <v>01-09</v>
      </c>
      <c r="R8200" t="str">
        <f t="shared" si="257"/>
        <v>[gwVYinjBAe9]|01-09|Male|NEW_INFECTIONS_SUBNAT.T2|CY2026Q3</v>
      </c>
    </row>
    <row r="8201" spans="4:18" x14ac:dyDescent="0.2">
      <c r="D8201" t="s">
        <v>135</v>
      </c>
      <c r="E8201" t="s">
        <v>136</v>
      </c>
      <c r="F8201" t="s">
        <v>137</v>
      </c>
      <c r="G8201" t="s">
        <v>279</v>
      </c>
      <c r="H8201" t="s">
        <v>279</v>
      </c>
      <c r="I8201" t="s">
        <v>36</v>
      </c>
      <c r="J8201" t="s">
        <v>37</v>
      </c>
      <c r="K8201" t="s">
        <v>48</v>
      </c>
      <c r="L8201" t="s">
        <v>49</v>
      </c>
      <c r="M8201" t="s">
        <v>277</v>
      </c>
      <c r="N8201">
        <v>0</v>
      </c>
      <c r="O8201">
        <v>0</v>
      </c>
      <c r="P8201">
        <v>9.5607599000000001E-2</v>
      </c>
      <c r="Q8201" t="str">
        <f t="shared" si="256"/>
        <v>10-14</v>
      </c>
      <c r="R8201" t="str">
        <f t="shared" si="257"/>
        <v>[gwVYinjBAe9]|10-14|Male|NEW_INFECTIONS_SUBNAT.T2|CY2026Q3</v>
      </c>
    </row>
    <row r="8202" spans="4:18" x14ac:dyDescent="0.2">
      <c r="D8202" t="s">
        <v>135</v>
      </c>
      <c r="E8202" t="s">
        <v>136</v>
      </c>
      <c r="F8202" t="s">
        <v>137</v>
      </c>
      <c r="G8202" t="s">
        <v>279</v>
      </c>
      <c r="H8202" t="s">
        <v>279</v>
      </c>
      <c r="I8202" t="s">
        <v>38</v>
      </c>
      <c r="J8202" t="s">
        <v>39</v>
      </c>
      <c r="K8202" t="s">
        <v>48</v>
      </c>
      <c r="L8202" t="s">
        <v>49</v>
      </c>
      <c r="M8202" t="s">
        <v>277</v>
      </c>
      <c r="N8202">
        <v>3</v>
      </c>
      <c r="O8202">
        <v>0.101420656</v>
      </c>
      <c r="P8202">
        <v>9.5607599000000001E-2</v>
      </c>
      <c r="Q8202" t="str">
        <f t="shared" si="256"/>
        <v>15-24</v>
      </c>
      <c r="R8202" t="str">
        <f t="shared" si="257"/>
        <v>[gwVYinjBAe9]|15-24|Male|NEW_INFECTIONS_SUBNAT.T2|CY2026Q3</v>
      </c>
    </row>
    <row r="8203" spans="4:18" x14ac:dyDescent="0.2">
      <c r="D8203" t="s">
        <v>135</v>
      </c>
      <c r="E8203" t="s">
        <v>136</v>
      </c>
      <c r="F8203" t="s">
        <v>137</v>
      </c>
      <c r="G8203" t="s">
        <v>279</v>
      </c>
      <c r="H8203" t="s">
        <v>279</v>
      </c>
      <c r="I8203" t="s">
        <v>41</v>
      </c>
      <c r="J8203" t="s">
        <v>42</v>
      </c>
      <c r="K8203" t="s">
        <v>48</v>
      </c>
      <c r="L8203" t="s">
        <v>49</v>
      </c>
      <c r="M8203" t="s">
        <v>277</v>
      </c>
      <c r="N8203">
        <v>11</v>
      </c>
      <c r="O8203">
        <v>0.10012589600000001</v>
      </c>
      <c r="P8203">
        <v>9.5607599000000001E-2</v>
      </c>
      <c r="Q8203" t="str">
        <f t="shared" si="256"/>
        <v>25-34</v>
      </c>
      <c r="R8203" t="str">
        <f t="shared" si="257"/>
        <v>[gwVYinjBAe9]|25-34|Male|NEW_INFECTIONS_SUBNAT.T2|CY2026Q3</v>
      </c>
    </row>
    <row r="8204" spans="4:18" x14ac:dyDescent="0.2">
      <c r="D8204" t="s">
        <v>135</v>
      </c>
      <c r="E8204" t="s">
        <v>136</v>
      </c>
      <c r="F8204" t="s">
        <v>137</v>
      </c>
      <c r="G8204" t="s">
        <v>279</v>
      </c>
      <c r="H8204" t="s">
        <v>279</v>
      </c>
      <c r="I8204" t="s">
        <v>43</v>
      </c>
      <c r="J8204" t="s">
        <v>44</v>
      </c>
      <c r="K8204" t="s">
        <v>48</v>
      </c>
      <c r="L8204" t="s">
        <v>49</v>
      </c>
      <c r="M8204" t="s">
        <v>277</v>
      </c>
      <c r="N8204">
        <v>11</v>
      </c>
      <c r="O8204">
        <v>9.3747240999999995E-2</v>
      </c>
      <c r="P8204">
        <v>9.5607599000000001E-2</v>
      </c>
      <c r="Q8204" t="str">
        <f t="shared" si="256"/>
        <v>35-49</v>
      </c>
      <c r="R8204" t="str">
        <f t="shared" si="257"/>
        <v>[gwVYinjBAe9]|35-49|Male|NEW_INFECTIONS_SUBNAT.T2|CY2026Q3</v>
      </c>
    </row>
    <row r="8205" spans="4:18" x14ac:dyDescent="0.2">
      <c r="D8205" t="s">
        <v>135</v>
      </c>
      <c r="E8205" t="s">
        <v>136</v>
      </c>
      <c r="F8205" t="s">
        <v>137</v>
      </c>
      <c r="G8205" t="s">
        <v>279</v>
      </c>
      <c r="H8205" t="s">
        <v>279</v>
      </c>
      <c r="I8205" t="s">
        <v>45</v>
      </c>
      <c r="J8205" t="s">
        <v>46</v>
      </c>
      <c r="K8205" t="s">
        <v>48</v>
      </c>
      <c r="L8205" t="s">
        <v>49</v>
      </c>
      <c r="M8205" t="s">
        <v>277</v>
      </c>
      <c r="N8205">
        <v>3</v>
      </c>
      <c r="O8205">
        <v>8.7668102999999997E-2</v>
      </c>
      <c r="P8205">
        <v>9.5607599000000001E-2</v>
      </c>
      <c r="Q8205" t="str">
        <f t="shared" si="256"/>
        <v>50+</v>
      </c>
      <c r="R8205" t="str">
        <f t="shared" si="257"/>
        <v>[gwVYinjBAe9]|50+|Male|NEW_INFECTIONS_SUBNAT.T2|CY2026Q3</v>
      </c>
    </row>
  </sheetData>
  <autoFilter ref="A1:S8205" xr:uid="{00000000-0001-0000-0100-000000000000}"/>
  <mergeCells count="5">
    <mergeCell ref="B19:B20"/>
    <mergeCell ref="B26:B27"/>
    <mergeCell ref="B6:B7"/>
    <mergeCell ref="B11:B12"/>
    <mergeCell ref="B16:B17"/>
  </mergeCell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3"/>
  <sheetViews>
    <sheetView workbookViewId="0">
      <pane xSplit="1" ySplit="14" topLeftCell="B15" activePane="bottomRight" state="frozen"/>
      <selection pane="topRight"/>
      <selection pane="bottomLeft"/>
      <selection pane="bottomRight" activeCell="B42" sqref="B42"/>
    </sheetView>
  </sheetViews>
  <sheetFormatPr baseColWidth="10" defaultColWidth="11" defaultRowHeight="16" x14ac:dyDescent="0.2"/>
  <cols>
    <col min="1" max="1" width="47.6640625" customWidth="1"/>
    <col min="2" max="3" width="13.1640625" customWidth="1"/>
    <col min="4" max="4" width="28" customWidth="1"/>
  </cols>
  <sheetData>
    <row r="1" spans="1:4" ht="31.25" customHeight="1" x14ac:dyDescent="0.2">
      <c r="A1" s="23" t="s">
        <v>280</v>
      </c>
      <c r="B1" s="11" t="s">
        <v>280</v>
      </c>
      <c r="C1" s="12"/>
      <c r="D1" s="13"/>
    </row>
    <row r="2" spans="1:4" ht="19.25" customHeight="1" x14ac:dyDescent="0.25">
      <c r="A2" s="4"/>
      <c r="B2" s="7"/>
      <c r="C2" s="20" t="s">
        <v>281</v>
      </c>
      <c r="D2" s="24"/>
    </row>
    <row r="3" spans="1:4" ht="117" customHeight="1" x14ac:dyDescent="0.2">
      <c r="A3" s="9"/>
      <c r="B3" s="6" t="s">
        <v>282</v>
      </c>
      <c r="C3" s="14" t="s">
        <v>283</v>
      </c>
      <c r="D3" s="25" t="s">
        <v>284</v>
      </c>
    </row>
    <row r="4" spans="1:4" x14ac:dyDescent="0.2">
      <c r="A4" s="5"/>
      <c r="B4" s="8"/>
      <c r="C4" s="27"/>
      <c r="D4" s="26" t="str">
        <f>IF(COUNTIF(C$15:INDEX($C:$C,COUNTA($A:$A)+14-COUNTA($A$1:$A$14)),"")&gt;0,"BLANK PRIORITIZATIONS","")</f>
        <v>BLANK PRIORITIZATIONS</v>
      </c>
    </row>
    <row r="5" spans="1:4" ht="0" hidden="1" customHeight="1" x14ac:dyDescent="0.2">
      <c r="A5" s="1" t="s">
        <v>285</v>
      </c>
      <c r="B5" s="8" t="s">
        <v>286</v>
      </c>
      <c r="C5" s="27" t="s">
        <v>286</v>
      </c>
      <c r="D5" t="s">
        <v>285</v>
      </c>
    </row>
    <row r="6" spans="1:4" ht="0" hidden="1" customHeight="1" x14ac:dyDescent="0.2">
      <c r="A6" s="1" t="s">
        <v>287</v>
      </c>
      <c r="B6" s="8" t="s">
        <v>288</v>
      </c>
      <c r="C6" s="27" t="s">
        <v>289</v>
      </c>
      <c r="D6" t="s">
        <v>290</v>
      </c>
    </row>
    <row r="7" spans="1:4" ht="0" hidden="1" customHeight="1" x14ac:dyDescent="0.2">
      <c r="A7" s="1" t="s">
        <v>291</v>
      </c>
      <c r="B7" s="8" t="s">
        <v>292</v>
      </c>
      <c r="C7" s="27" t="s">
        <v>292</v>
      </c>
      <c r="D7" t="s">
        <v>291</v>
      </c>
    </row>
    <row r="8" spans="1:4" ht="0" hidden="1" customHeight="1" x14ac:dyDescent="0.2">
      <c r="B8" s="21" t="s">
        <v>293</v>
      </c>
      <c r="C8" s="22" t="s">
        <v>293</v>
      </c>
    </row>
    <row r="9" spans="1:4" ht="0" hidden="1" customHeight="1" x14ac:dyDescent="0.2">
      <c r="B9" s="21"/>
      <c r="C9" s="22"/>
    </row>
    <row r="10" spans="1:4" ht="0" hidden="1" customHeight="1" x14ac:dyDescent="0.2">
      <c r="B10" s="21"/>
      <c r="C10" s="22"/>
    </row>
    <row r="11" spans="1:4" ht="0" hidden="1" customHeight="1" x14ac:dyDescent="0.2">
      <c r="B11" s="8"/>
      <c r="C11" s="27"/>
    </row>
    <row r="12" spans="1:4" ht="0" hidden="1" customHeight="1" x14ac:dyDescent="0.2">
      <c r="B12" s="8"/>
      <c r="C12" s="27"/>
    </row>
    <row r="13" spans="1:4" ht="0" hidden="1" customHeight="1" x14ac:dyDescent="0.2">
      <c r="B13" s="8"/>
      <c r="C13" s="27"/>
    </row>
    <row r="14" spans="1:4" x14ac:dyDescent="0.2">
      <c r="A14" s="15" t="s">
        <v>294</v>
      </c>
      <c r="B14" s="16" t="s">
        <v>295</v>
      </c>
      <c r="C14" s="17" t="s">
        <v>296</v>
      </c>
      <c r="D14" s="18" t="s">
        <v>297</v>
      </c>
    </row>
    <row r="15" spans="1:4" x14ac:dyDescent="0.2">
      <c r="A15" t="s">
        <v>298</v>
      </c>
      <c r="B15" s="38">
        <v>4</v>
      </c>
      <c r="C15" s="217">
        <f t="shared" ref="C15:C43" si="0">IF(LEFT($A15,4)="_Mil","M",IF(SUM($B15)=0,"",$B15))</f>
        <v>4</v>
      </c>
      <c r="D15" s="19" t="str">
        <f t="shared" ref="D15:D43" si="1">IF($C15=1,"1 - Scale-up: Saturation",IF($C15=2,"2 - Scale-up: Aggressive",IF($C15=4,"4 - Sustained",IF($C15=5,"5 - Centrally Supported",IF($C15=6,"6 - Sustained:Commodities",IF($C15=7,"7 - Attained",IF($C15=8,"8 - Not PEPFAR Supported",IF($C15="M","Military",IF($C15="NA","Not a PSNU","INVALID")))))))))</f>
        <v>4 - Sustained</v>
      </c>
    </row>
    <row r="16" spans="1:4" x14ac:dyDescent="0.2">
      <c r="A16" t="s">
        <v>299</v>
      </c>
      <c r="B16" s="38">
        <v>4</v>
      </c>
      <c r="C16" s="218">
        <f t="shared" si="0"/>
        <v>4</v>
      </c>
      <c r="D16" s="19" t="str">
        <f t="shared" si="1"/>
        <v>4 - Sustained</v>
      </c>
    </row>
    <row r="17" spans="1:4" x14ac:dyDescent="0.2">
      <c r="A17" t="s">
        <v>300</v>
      </c>
      <c r="B17" s="38">
        <v>0</v>
      </c>
      <c r="C17" s="218" t="str">
        <f t="shared" si="0"/>
        <v/>
      </c>
      <c r="D17" s="19" t="str">
        <f t="shared" si="1"/>
        <v>INVALID</v>
      </c>
    </row>
    <row r="18" spans="1:4" x14ac:dyDescent="0.2">
      <c r="A18" s="10" t="s">
        <v>301</v>
      </c>
      <c r="B18" s="38">
        <v>0</v>
      </c>
      <c r="C18" s="218" t="str">
        <f t="shared" si="0"/>
        <v/>
      </c>
      <c r="D18" s="19" t="str">
        <f t="shared" si="1"/>
        <v>INVALID</v>
      </c>
    </row>
    <row r="19" spans="1:4" x14ac:dyDescent="0.2">
      <c r="A19" t="s">
        <v>302</v>
      </c>
      <c r="B19" s="38">
        <v>4</v>
      </c>
      <c r="C19" s="218">
        <f t="shared" si="0"/>
        <v>4</v>
      </c>
      <c r="D19" t="str">
        <f t="shared" si="1"/>
        <v>4 - Sustained</v>
      </c>
    </row>
    <row r="20" spans="1:4" x14ac:dyDescent="0.2">
      <c r="A20" t="s">
        <v>303</v>
      </c>
      <c r="B20" s="38">
        <v>4</v>
      </c>
      <c r="C20" s="218">
        <f t="shared" si="0"/>
        <v>4</v>
      </c>
      <c r="D20" t="str">
        <f t="shared" si="1"/>
        <v>4 - Sustained</v>
      </c>
    </row>
    <row r="21" spans="1:4" x14ac:dyDescent="0.2">
      <c r="A21" t="s">
        <v>304</v>
      </c>
      <c r="B21" s="38">
        <v>4</v>
      </c>
      <c r="C21" s="218">
        <f t="shared" si="0"/>
        <v>4</v>
      </c>
      <c r="D21" t="str">
        <f t="shared" si="1"/>
        <v>4 - Sustained</v>
      </c>
    </row>
    <row r="22" spans="1:4" x14ac:dyDescent="0.2">
      <c r="A22" t="s">
        <v>305</v>
      </c>
      <c r="B22" s="38">
        <v>4</v>
      </c>
      <c r="C22" s="218">
        <f t="shared" si="0"/>
        <v>4</v>
      </c>
      <c r="D22" t="str">
        <f t="shared" si="1"/>
        <v>4 - Sustained</v>
      </c>
    </row>
    <row r="23" spans="1:4" x14ac:dyDescent="0.2">
      <c r="A23" t="s">
        <v>306</v>
      </c>
      <c r="B23" s="38">
        <v>4</v>
      </c>
      <c r="C23" s="218">
        <f t="shared" si="0"/>
        <v>4</v>
      </c>
      <c r="D23" t="str">
        <f t="shared" si="1"/>
        <v>4 - Sustained</v>
      </c>
    </row>
    <row r="24" spans="1:4" x14ac:dyDescent="0.2">
      <c r="A24" t="s">
        <v>307</v>
      </c>
      <c r="B24" s="38">
        <v>4</v>
      </c>
      <c r="C24" s="218">
        <f t="shared" si="0"/>
        <v>4</v>
      </c>
      <c r="D24" t="str">
        <f t="shared" si="1"/>
        <v>4 - Sustained</v>
      </c>
    </row>
    <row r="25" spans="1:4" x14ac:dyDescent="0.2">
      <c r="A25" t="s">
        <v>308</v>
      </c>
      <c r="B25" s="38">
        <v>0</v>
      </c>
      <c r="C25" s="218" t="str">
        <f t="shared" si="0"/>
        <v/>
      </c>
      <c r="D25" t="str">
        <f t="shared" si="1"/>
        <v>INVALID</v>
      </c>
    </row>
    <row r="26" spans="1:4" x14ac:dyDescent="0.2">
      <c r="A26" t="s">
        <v>309</v>
      </c>
      <c r="B26" s="38">
        <v>4</v>
      </c>
      <c r="C26" s="218">
        <f t="shared" si="0"/>
        <v>4</v>
      </c>
      <c r="D26" t="str">
        <f t="shared" si="1"/>
        <v>4 - Sustained</v>
      </c>
    </row>
    <row r="27" spans="1:4" x14ac:dyDescent="0.2">
      <c r="A27" t="s">
        <v>310</v>
      </c>
      <c r="B27" s="38">
        <v>1</v>
      </c>
      <c r="C27" s="218">
        <f t="shared" si="0"/>
        <v>1</v>
      </c>
      <c r="D27" t="str">
        <f t="shared" si="1"/>
        <v>1 - Scale-up: Saturation</v>
      </c>
    </row>
    <row r="28" spans="1:4" x14ac:dyDescent="0.2">
      <c r="A28" t="s">
        <v>311</v>
      </c>
      <c r="B28" s="38">
        <v>4</v>
      </c>
      <c r="C28" s="218">
        <f t="shared" si="0"/>
        <v>4</v>
      </c>
      <c r="D28" t="str">
        <f t="shared" si="1"/>
        <v>4 - Sustained</v>
      </c>
    </row>
    <row r="29" spans="1:4" x14ac:dyDescent="0.2">
      <c r="A29" t="s">
        <v>312</v>
      </c>
      <c r="B29" s="38">
        <v>4</v>
      </c>
      <c r="C29" s="218">
        <f t="shared" si="0"/>
        <v>4</v>
      </c>
      <c r="D29" t="str">
        <f t="shared" si="1"/>
        <v>4 - Sustained</v>
      </c>
    </row>
    <row r="30" spans="1:4" x14ac:dyDescent="0.2">
      <c r="A30" t="s">
        <v>313</v>
      </c>
      <c r="B30" s="38">
        <v>4</v>
      </c>
      <c r="C30" s="218">
        <f t="shared" si="0"/>
        <v>4</v>
      </c>
      <c r="D30" t="str">
        <f t="shared" si="1"/>
        <v>4 - Sustained</v>
      </c>
    </row>
    <row r="31" spans="1:4" x14ac:dyDescent="0.2">
      <c r="A31" t="s">
        <v>314</v>
      </c>
      <c r="B31" s="38">
        <v>1</v>
      </c>
      <c r="C31" s="218">
        <f t="shared" si="0"/>
        <v>1</v>
      </c>
      <c r="D31" t="str">
        <f t="shared" si="1"/>
        <v>1 - Scale-up: Saturation</v>
      </c>
    </row>
    <row r="32" spans="1:4" x14ac:dyDescent="0.2">
      <c r="A32" t="s">
        <v>315</v>
      </c>
      <c r="B32" s="38">
        <v>1</v>
      </c>
      <c r="C32" s="218">
        <f t="shared" si="0"/>
        <v>1</v>
      </c>
      <c r="D32" t="str">
        <f t="shared" si="1"/>
        <v>1 - Scale-up: Saturation</v>
      </c>
    </row>
    <row r="33" spans="1:4" x14ac:dyDescent="0.2">
      <c r="A33" t="s">
        <v>316</v>
      </c>
      <c r="B33" s="38">
        <v>0</v>
      </c>
      <c r="C33" s="218" t="str">
        <f t="shared" si="0"/>
        <v/>
      </c>
      <c r="D33" t="str">
        <f t="shared" si="1"/>
        <v>INVALID</v>
      </c>
    </row>
    <row r="34" spans="1:4" x14ac:dyDescent="0.2">
      <c r="A34" t="s">
        <v>317</v>
      </c>
      <c r="B34" s="38">
        <v>1</v>
      </c>
      <c r="C34" s="218">
        <f t="shared" si="0"/>
        <v>1</v>
      </c>
      <c r="D34" t="str">
        <f t="shared" si="1"/>
        <v>1 - Scale-up: Saturation</v>
      </c>
    </row>
    <row r="35" spans="1:4" x14ac:dyDescent="0.2">
      <c r="A35" t="s">
        <v>318</v>
      </c>
      <c r="B35" s="38">
        <v>1</v>
      </c>
      <c r="C35" s="218">
        <f t="shared" si="0"/>
        <v>1</v>
      </c>
      <c r="D35" t="str">
        <f t="shared" si="1"/>
        <v>1 - Scale-up: Saturation</v>
      </c>
    </row>
    <row r="36" spans="1:4" x14ac:dyDescent="0.2">
      <c r="A36" t="s">
        <v>319</v>
      </c>
      <c r="B36" s="38">
        <v>0</v>
      </c>
      <c r="C36" s="218" t="str">
        <f t="shared" si="0"/>
        <v/>
      </c>
      <c r="D36" t="str">
        <f t="shared" si="1"/>
        <v>INVALID</v>
      </c>
    </row>
    <row r="37" spans="1:4" x14ac:dyDescent="0.2">
      <c r="A37" t="s">
        <v>320</v>
      </c>
      <c r="B37" s="38">
        <v>4</v>
      </c>
      <c r="C37" s="218">
        <f t="shared" si="0"/>
        <v>4</v>
      </c>
      <c r="D37" t="str">
        <f t="shared" si="1"/>
        <v>4 - Sustained</v>
      </c>
    </row>
    <row r="38" spans="1:4" x14ac:dyDescent="0.2">
      <c r="A38" t="s">
        <v>321</v>
      </c>
      <c r="B38" s="38">
        <v>4</v>
      </c>
      <c r="C38" s="218">
        <f t="shared" si="0"/>
        <v>4</v>
      </c>
      <c r="D38" t="str">
        <f t="shared" si="1"/>
        <v>4 - Sustained</v>
      </c>
    </row>
    <row r="39" spans="1:4" x14ac:dyDescent="0.2">
      <c r="A39" t="s">
        <v>322</v>
      </c>
      <c r="B39" s="38">
        <v>0</v>
      </c>
      <c r="C39" s="218" t="str">
        <f t="shared" si="0"/>
        <v/>
      </c>
      <c r="D39" t="str">
        <f t="shared" si="1"/>
        <v>INVALID</v>
      </c>
    </row>
    <row r="40" spans="1:4" x14ac:dyDescent="0.2">
      <c r="A40" t="s">
        <v>323</v>
      </c>
      <c r="B40" s="38">
        <v>0</v>
      </c>
      <c r="C40" s="218" t="str">
        <f t="shared" si="0"/>
        <v/>
      </c>
      <c r="D40" t="str">
        <f t="shared" si="1"/>
        <v>INVALID</v>
      </c>
    </row>
    <row r="41" spans="1:4" x14ac:dyDescent="0.2">
      <c r="A41" t="s">
        <v>324</v>
      </c>
      <c r="B41" s="38">
        <v>0</v>
      </c>
      <c r="C41" s="218" t="str">
        <f t="shared" si="0"/>
        <v/>
      </c>
      <c r="D41" t="str">
        <f t="shared" si="1"/>
        <v>INVALID</v>
      </c>
    </row>
    <row r="42" spans="1:4" x14ac:dyDescent="0.2">
      <c r="A42" t="s">
        <v>325</v>
      </c>
      <c r="B42" s="38">
        <v>1</v>
      </c>
      <c r="C42" s="218">
        <f t="shared" si="0"/>
        <v>1</v>
      </c>
      <c r="D42" t="str">
        <f t="shared" si="1"/>
        <v>1 - Scale-up: Saturation</v>
      </c>
    </row>
    <row r="43" spans="1:4" x14ac:dyDescent="0.2">
      <c r="A43" t="s">
        <v>326</v>
      </c>
      <c r="B43" s="38"/>
      <c r="C43" s="218" t="str">
        <f t="shared" si="0"/>
        <v>M</v>
      </c>
      <c r="D43" t="str">
        <f t="shared" si="1"/>
        <v>Military</v>
      </c>
    </row>
  </sheetData>
  <conditionalFormatting sqref="B1:C1048576">
    <cfRule type="expression" dxfId="160" priority="2">
      <formula>AND(ROW(B1)&gt;14,LEFT($A1,4)&lt;&gt;"_Mil",$A1&lt;&gt;"",B1&lt;&gt;1,B1&lt;&gt;2,B1&lt;&gt;4,B1&lt;&gt;5,B1&lt;&gt;6,B1&lt;&gt;7,B1&lt;&gt;8,B1&lt;&gt;"M",B1&lt;&gt;"NA")</formula>
    </cfRule>
  </conditionalFormatting>
  <conditionalFormatting sqref="C1:C1048576">
    <cfRule type="expression" dxfId="159" priority="729">
      <formula>AND(LEFT($A1,4)&lt;&gt;"_Mil",ROW($C1)&gt;14,$C1&lt;&gt;$B1,$A1&lt;&gt;"")</formula>
    </cfRule>
  </conditionalFormatting>
  <conditionalFormatting sqref="D4">
    <cfRule type="containsText" dxfId="158" priority="3" operator="containsText" text="BLANK PRIORITIZATIONS">
      <formula>NOT(ISERROR(SEARCH("BLANK PRIORITIZATIONS",D4)))</formula>
    </cfRule>
  </conditionalFormatting>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3862"/>
  <sheetViews>
    <sheetView tabSelected="1" zoomScaleNormal="100" workbookViewId="0">
      <pane xSplit="5" ySplit="14" topLeftCell="AE38" activePane="bottomRight" state="frozen"/>
      <selection pane="topRight"/>
      <selection pane="bottomLeft"/>
      <selection pane="bottomRight" activeCell="AG43" sqref="AG43"/>
    </sheetView>
  </sheetViews>
  <sheetFormatPr baseColWidth="10" defaultColWidth="11" defaultRowHeight="16" x14ac:dyDescent="0.2"/>
  <cols>
    <col min="1" max="1" width="13.6640625" customWidth="1"/>
    <col min="2" max="2" width="30.6640625" customWidth="1"/>
    <col min="3" max="3" width="10.6640625" customWidth="1"/>
    <col min="4" max="4" width="7.6640625" customWidth="1"/>
    <col min="5" max="5" width="20.1640625" hidden="1" customWidth="1"/>
    <col min="6" max="6" width="22.1640625" customWidth="1"/>
    <col min="7" max="60" width="13.1640625" customWidth="1"/>
  </cols>
  <sheetData>
    <row r="1" spans="1:60" ht="31.25" customHeight="1" x14ac:dyDescent="0.2">
      <c r="A1" s="68" t="s">
        <v>327</v>
      </c>
      <c r="B1" s="23"/>
      <c r="C1" s="23"/>
      <c r="D1" s="23"/>
      <c r="E1" s="68"/>
      <c r="F1" s="52" t="s">
        <v>328</v>
      </c>
      <c r="G1" s="52" t="s">
        <v>329</v>
      </c>
      <c r="H1" s="13"/>
      <c r="I1" s="43"/>
      <c r="J1" s="13"/>
      <c r="K1" s="43"/>
      <c r="L1" s="52" t="s">
        <v>330</v>
      </c>
      <c r="M1" s="13"/>
      <c r="N1" s="13"/>
      <c r="O1" s="43"/>
      <c r="P1" s="13"/>
      <c r="Q1" s="43"/>
      <c r="R1" s="43"/>
      <c r="S1" s="52" t="s">
        <v>331</v>
      </c>
      <c r="T1" s="43"/>
      <c r="U1" s="43"/>
      <c r="V1" s="43"/>
      <c r="W1" s="57"/>
      <c r="X1" s="43"/>
      <c r="Y1" s="44"/>
      <c r="Z1" s="43"/>
      <c r="AA1" s="44"/>
      <c r="AB1" s="44"/>
      <c r="AC1" s="92"/>
      <c r="AD1" s="102"/>
      <c r="AE1" s="44"/>
      <c r="AF1" s="43"/>
      <c r="AG1" s="44"/>
      <c r="AH1" s="57"/>
      <c r="AI1" s="43"/>
      <c r="AJ1" s="13"/>
      <c r="AK1" s="13"/>
      <c r="AL1" s="53" t="s">
        <v>332</v>
      </c>
      <c r="AM1" s="13"/>
      <c r="AN1" s="13"/>
      <c r="AO1" s="13"/>
      <c r="AP1" s="52" t="s">
        <v>333</v>
      </c>
      <c r="AQ1" s="43"/>
      <c r="AR1" s="44"/>
      <c r="AS1" s="53" t="s">
        <v>334</v>
      </c>
      <c r="AT1" s="44"/>
      <c r="AU1" s="13"/>
      <c r="AV1" s="13"/>
      <c r="AW1" s="45"/>
      <c r="AX1" s="43"/>
      <c r="AY1" s="53" t="s">
        <v>335</v>
      </c>
      <c r="AZ1" s="13"/>
      <c r="BA1" s="44"/>
      <c r="BB1" s="43"/>
      <c r="BC1" s="13"/>
      <c r="BD1" s="53" t="s">
        <v>336</v>
      </c>
      <c r="BE1" s="43"/>
      <c r="BF1" s="43"/>
      <c r="BG1" s="53" t="s">
        <v>337</v>
      </c>
      <c r="BH1" s="43"/>
    </row>
    <row r="2" spans="1:60" ht="19.25" customHeight="1" x14ac:dyDescent="0.25">
      <c r="A2" s="250" t="s">
        <v>338</v>
      </c>
      <c r="B2" s="251"/>
      <c r="C2" s="4"/>
      <c r="D2" s="4"/>
      <c r="E2" s="24"/>
      <c r="F2" s="105"/>
      <c r="G2" s="105"/>
      <c r="H2" s="101"/>
      <c r="I2" s="101"/>
      <c r="J2" s="24"/>
      <c r="K2" s="101"/>
      <c r="L2" s="105"/>
      <c r="M2" s="101"/>
      <c r="N2" s="101"/>
      <c r="O2" s="24"/>
      <c r="P2" s="24"/>
      <c r="Q2" s="101"/>
      <c r="R2" s="101"/>
      <c r="S2" s="105" t="s">
        <v>339</v>
      </c>
      <c r="T2" s="24" t="s">
        <v>340</v>
      </c>
      <c r="U2" s="24"/>
      <c r="V2" s="24"/>
      <c r="W2" s="111"/>
      <c r="X2" s="24"/>
      <c r="Y2" s="32"/>
      <c r="Z2" s="24"/>
      <c r="AA2" s="32"/>
      <c r="AB2" s="32"/>
      <c r="AC2" s="93"/>
      <c r="AD2" s="93"/>
      <c r="AE2" s="32"/>
      <c r="AF2" s="24"/>
      <c r="AG2" s="32"/>
      <c r="AH2" s="111" t="s">
        <v>341</v>
      </c>
      <c r="AI2" s="24"/>
      <c r="AJ2" s="24"/>
      <c r="AK2" s="24"/>
      <c r="AL2" s="31" t="s">
        <v>342</v>
      </c>
      <c r="AM2" s="24"/>
      <c r="AN2" s="24"/>
      <c r="AO2" s="24"/>
      <c r="AP2" s="74" t="s">
        <v>281</v>
      </c>
      <c r="AQ2" s="20" t="s">
        <v>281</v>
      </c>
      <c r="AR2" s="32"/>
      <c r="AS2" s="31"/>
      <c r="AT2" s="32"/>
      <c r="AU2" s="24"/>
      <c r="AV2" s="24"/>
      <c r="AW2" s="91"/>
      <c r="AX2" s="62" t="s">
        <v>281</v>
      </c>
      <c r="AY2" s="76"/>
      <c r="AZ2" s="83"/>
      <c r="BA2" s="61"/>
      <c r="BB2" s="62" t="s">
        <v>281</v>
      </c>
      <c r="BC2" s="83"/>
      <c r="BD2" s="80"/>
      <c r="BE2" s="62" t="s">
        <v>281</v>
      </c>
      <c r="BF2" s="62" t="s">
        <v>281</v>
      </c>
      <c r="BG2" s="80"/>
      <c r="BH2" s="62" t="s">
        <v>281</v>
      </c>
    </row>
    <row r="3" spans="1:60" ht="134" customHeight="1" x14ac:dyDescent="0.2">
      <c r="A3" s="252"/>
      <c r="B3" s="253"/>
      <c r="C3" s="9"/>
      <c r="D3" s="9"/>
      <c r="E3" s="67"/>
      <c r="F3" s="72" t="s">
        <v>343</v>
      </c>
      <c r="G3" s="30" t="s">
        <v>344</v>
      </c>
      <c r="H3" s="25" t="s">
        <v>345</v>
      </c>
      <c r="I3" s="25" t="s">
        <v>346</v>
      </c>
      <c r="J3" s="25" t="s">
        <v>347</v>
      </c>
      <c r="K3" s="25" t="s">
        <v>348</v>
      </c>
      <c r="L3" s="30" t="s">
        <v>344</v>
      </c>
      <c r="M3" s="25" t="s">
        <v>345</v>
      </c>
      <c r="N3" s="25" t="s">
        <v>346</v>
      </c>
      <c r="O3" s="51" t="s">
        <v>349</v>
      </c>
      <c r="P3" s="25" t="s">
        <v>347</v>
      </c>
      <c r="Q3" s="25" t="s">
        <v>348</v>
      </c>
      <c r="R3" s="25" t="s">
        <v>350</v>
      </c>
      <c r="S3" s="73" t="s">
        <v>351</v>
      </c>
      <c r="T3" s="51" t="s">
        <v>352</v>
      </c>
      <c r="U3" s="51" t="s">
        <v>353</v>
      </c>
      <c r="V3" s="51" t="s">
        <v>354</v>
      </c>
      <c r="W3" s="86" t="s">
        <v>355</v>
      </c>
      <c r="X3" s="51" t="s">
        <v>356</v>
      </c>
      <c r="Y3" s="42" t="s">
        <v>357</v>
      </c>
      <c r="Z3" s="51" t="s">
        <v>358</v>
      </c>
      <c r="AA3" s="42" t="s">
        <v>359</v>
      </c>
      <c r="AB3" s="42" t="s">
        <v>360</v>
      </c>
      <c r="AC3" s="94" t="s">
        <v>361</v>
      </c>
      <c r="AD3" s="94" t="s">
        <v>362</v>
      </c>
      <c r="AE3" s="42" t="s">
        <v>363</v>
      </c>
      <c r="AF3" s="51" t="s">
        <v>364</v>
      </c>
      <c r="AG3" s="42" t="s">
        <v>365</v>
      </c>
      <c r="AH3" s="86" t="s">
        <v>366</v>
      </c>
      <c r="AI3" s="51" t="s">
        <v>367</v>
      </c>
      <c r="AJ3" s="59" t="s">
        <v>368</v>
      </c>
      <c r="AK3" s="59" t="s">
        <v>369</v>
      </c>
      <c r="AL3" s="60" t="s">
        <v>370</v>
      </c>
      <c r="AM3" s="25" t="s">
        <v>371</v>
      </c>
      <c r="AN3" s="109" t="s">
        <v>372</v>
      </c>
      <c r="AO3" s="51" t="s">
        <v>373</v>
      </c>
      <c r="AP3" s="75" t="s">
        <v>328</v>
      </c>
      <c r="AQ3" s="14" t="s">
        <v>374</v>
      </c>
      <c r="AR3" s="90" t="s">
        <v>375</v>
      </c>
      <c r="AS3" s="60" t="s">
        <v>376</v>
      </c>
      <c r="AT3" s="42" t="s">
        <v>377</v>
      </c>
      <c r="AU3" s="25" t="s">
        <v>378</v>
      </c>
      <c r="AV3" s="25" t="s">
        <v>379</v>
      </c>
      <c r="AW3" s="42" t="s">
        <v>380</v>
      </c>
      <c r="AX3" s="69" t="s">
        <v>381</v>
      </c>
      <c r="AY3" s="60" t="s">
        <v>382</v>
      </c>
      <c r="AZ3" s="25" t="s">
        <v>383</v>
      </c>
      <c r="BA3" s="42" t="s">
        <v>384</v>
      </c>
      <c r="BB3" s="69" t="s">
        <v>385</v>
      </c>
      <c r="BC3" s="51" t="s">
        <v>386</v>
      </c>
      <c r="BD3" s="60" t="s">
        <v>387</v>
      </c>
      <c r="BE3" s="69" t="s">
        <v>388</v>
      </c>
      <c r="BF3" s="14" t="s">
        <v>389</v>
      </c>
      <c r="BG3" s="60" t="s">
        <v>390</v>
      </c>
      <c r="BH3" s="69" t="s">
        <v>391</v>
      </c>
    </row>
    <row r="4" spans="1:60" x14ac:dyDescent="0.2">
      <c r="A4" s="35"/>
      <c r="B4" s="5"/>
      <c r="C4" s="5"/>
      <c r="D4" s="5" t="s">
        <v>392</v>
      </c>
      <c r="E4" s="35"/>
      <c r="F4" s="106">
        <f>SUBTOTAL(109,F$15:INDEX(F:F,COUNTA($B:$B)+14-COUNTA($B$1:$B$14)))</f>
        <v>945507</v>
      </c>
      <c r="G4" s="106">
        <f>SUBTOTAL(109,G$15:INDEX(G:G,COUNTA($B:$B)+14-COUNTA($B$1:$B$14)))</f>
        <v>69985</v>
      </c>
      <c r="H4" s="100">
        <f>SUBTOTAL(109,H$15:INDEX(H:H,COUNTA($B:$B)+14-COUNTA($B$1:$B$14)))</f>
        <v>64139</v>
      </c>
      <c r="I4" s="100">
        <f>SUBTOTAL(109,I$15:INDEX(I:I,COUNTA($B:$B)+14-COUNTA($B$1:$B$14)))</f>
        <v>891829</v>
      </c>
      <c r="J4" s="35">
        <f>SUBTOTAL(109,J$15:INDEX(J:J,COUNTA($B:$B)+14-COUNTA($B$1:$B$14)))</f>
        <v>685197</v>
      </c>
      <c r="K4" s="35">
        <f>SUBTOTAL(109,K$15:INDEX(K:K,COUNTA($B:$B)+14-COUNTA($B$1:$B$14)))</f>
        <v>633958</v>
      </c>
      <c r="L4" s="106">
        <f>SUBTOTAL(109,L$15:INDEX(L:L,COUNTA($B:$B)+14-COUNTA($B$1:$B$14)))</f>
        <v>54607</v>
      </c>
      <c r="M4" s="100">
        <f>SUBTOTAL(109,M$15:INDEX(M:M,COUNTA($B:$B)+14-COUNTA($B$1:$B$14)))</f>
        <v>53932</v>
      </c>
      <c r="N4" s="100">
        <f>SUBTOTAL(109,N$15:INDEX(N:N,COUNTA($B:$B)+14-COUNTA($B$1:$B$14)))</f>
        <v>931771</v>
      </c>
      <c r="O4" s="100">
        <f>SUBTOTAL(109,O$15:INDEX(O:O,COUNTA($B:$B)+14-COUNTA($B$1:$B$14)))</f>
        <v>903628</v>
      </c>
      <c r="P4" s="35">
        <f>SUBTOTAL(109,P$15:INDEX(P:P,COUNTA($B:$B)+14-COUNTA($B$1:$B$14)))</f>
        <v>825407</v>
      </c>
      <c r="Q4" s="35">
        <f>SUBTOTAL(109,Q$15:INDEX(Q:Q,COUNTA($B:$B)+14-COUNTA($B$1:$B$14)))</f>
        <v>784165</v>
      </c>
      <c r="R4" s="35">
        <f>SUBTOTAL(109,R$15:INDEX(R:R,COUNTA($B:$B)+14-COUNTA($B$1:$B$14)))</f>
        <v>11799</v>
      </c>
      <c r="S4" s="108">
        <f>SUBTOTAL(109,S$15:INDEX(S:S,COUNTA($B:$B)+14-COUNTA($B$1:$B$14)))</f>
        <v>914692</v>
      </c>
      <c r="T4" s="100">
        <f>SUBTOTAL(109,T$15:INDEX(T:T,COUNTA($B:$B)+14-COUNTA($B$1:$B$14)))</f>
        <v>20968382</v>
      </c>
      <c r="U4" s="100">
        <f>SUBTOTAL(109,U$15:INDEX(U:U,COUNTA($B:$B)+14-COUNTA($B$1:$B$14)))</f>
        <v>962799</v>
      </c>
      <c r="V4" s="100">
        <f>SUBTOTAL(109,V$15:INDEX(V:V,COUNTA($B:$B)+14-COUNTA($B$1:$B$14)))</f>
        <v>968016</v>
      </c>
      <c r="W4" s="87">
        <f>IF(SUM($T4)=0,"",SUM($U4)/$T4)</f>
        <v>4.5916704493460678E-2</v>
      </c>
      <c r="X4" s="100">
        <f>SUBTOTAL(109,X$15:INDEX(X:X,COUNTA($B:$B)+14-COUNTA($B$1:$B$14)))</f>
        <v>913808</v>
      </c>
      <c r="Y4" s="37">
        <f>IF(SUM($U4)=0,"",SUM($X4)/$U4)</f>
        <v>0.94911606680106653</v>
      </c>
      <c r="Z4" s="100">
        <f>SUBTOTAL(109,Z$15:INDEX(Z:Z,COUNTA($B:$B)+14-COUNTA($B$1:$B$14)))</f>
        <v>918295</v>
      </c>
      <c r="AA4" s="37">
        <f>IF(SUM($U4)=0,"",SUM($Z4)/$U4)</f>
        <v>0.95377643724183347</v>
      </c>
      <c r="AB4" s="37">
        <f>IF(SUM($X4)=0,"",SUM($Z4)/$X4)</f>
        <v>1.0049102218409118</v>
      </c>
      <c r="AC4" s="95">
        <f>SUBTOTAL(109,AC$15:INDEX(AC:AC,COUNTA($B:$B)+14-COUNTA($B$1:$B$14)))</f>
        <v>49758</v>
      </c>
      <c r="AD4" s="95">
        <f>SUBTOTAL(109,AD$15:INDEX(AD:AD,COUNTA($B:$B)+14-COUNTA($B$1:$B$14)))</f>
        <v>0</v>
      </c>
      <c r="AE4" s="37">
        <f>IF(SUM($Z4)=0,"",SUM($AD4)/$Z4)</f>
        <v>0</v>
      </c>
      <c r="AF4" s="100">
        <f>SUBTOTAL(109,AF$15:INDEX(AF:AF,COUNTA($B:$B)+14-COUNTA($B$1:$B$14)))</f>
        <v>0</v>
      </c>
      <c r="AG4" s="37" t="str">
        <f>IF(SUM($AD4)=0,"",SUM($AF4)/$AD4)</f>
        <v/>
      </c>
      <c r="AH4" s="87">
        <f>IF(SUM($T4)=0,"",SUM($AI4)/$T4)</f>
        <v>5.7295789441455232E-4</v>
      </c>
      <c r="AI4" s="28">
        <f>SUBTOTAL(109,AI$15:INDEX(AI:AI,COUNTA($B:$B)+14-COUNTA($B$1:$B$14)))</f>
        <v>12014</v>
      </c>
      <c r="AJ4" s="100">
        <f>SUBTOTAL(109,AJ$15:INDEX(AJ:AJ,COUNTA($B:$B)+14-COUNTA($B$1:$B$14)))</f>
        <v>957143</v>
      </c>
      <c r="AK4" s="100" t="e">
        <f>SUBTOTAL(109,AK$15:INDEX(AK:AK,COUNTA($B:$B)+14-COUNTA($B$1:$B$14)))</f>
        <v>#REF!</v>
      </c>
      <c r="AL4" s="81" t="e">
        <f>IF(SUM($AJ4)=0,"",SUM($AM4)/$AJ4)</f>
        <v>#REF!</v>
      </c>
      <c r="AM4" s="100" t="e">
        <f>SUBTOTAL(109,AM$15:INDEX(AM:AM,COUNTA($B:$B)+14-COUNTA($B$1:$B$14)))</f>
        <v>#REF!</v>
      </c>
      <c r="AN4" s="100">
        <f>SUBTOTAL(109,AN$15:INDEX(AN:AN,COUNTA($B:$B)+14-COUNTA($B$1:$B$14)))</f>
        <v>196</v>
      </c>
      <c r="AO4" s="100" t="e">
        <f>SUBTOTAL(109,AO$15:INDEX(AO:AO,COUNTA($B:$B)+14-COUNTA($B$1:$B$14)))</f>
        <v>#REF!</v>
      </c>
      <c r="AP4" s="107">
        <f>SUBTOTAL(109,AP$15:INDEX(AP:AP,COUNTA($B:$B)+14-COUNTA($B$1:$B$14)))</f>
        <v>919750</v>
      </c>
      <c r="AQ4" s="2">
        <f>SUBTOTAL(109,AQ$15:INDEX(AQ:AQ,COUNTA($B:$B)+14-COUNTA($B$1:$B$14)))</f>
        <v>935016</v>
      </c>
      <c r="AR4" s="37">
        <f>IF(SUM($AJ4)=0,"",SUM($AQ4)/$AJ4)</f>
        <v>0.97688224225638176</v>
      </c>
      <c r="AS4" s="81"/>
      <c r="AT4" s="37"/>
      <c r="AU4" s="100">
        <f>SUBTOTAL(109,AU$15:INDEX(AU:AU,COUNTA($B:$B)+14-COUNTA($B$1:$B$14)))</f>
        <v>16795</v>
      </c>
      <c r="AV4" s="100">
        <f>SUBTOTAL(109,AV$15:INDEX(AV:AV,COUNTA($B:$B)+14-COUNTA($B$1:$B$14)))</f>
        <v>52720</v>
      </c>
      <c r="AW4" s="37">
        <f>IF(SUM($AV4)=0,"",SUM($AX4)/$AV4)</f>
        <v>0.95366084977238241</v>
      </c>
      <c r="AX4" s="39">
        <f>SUBTOTAL(109,AX$15:INDEX(AX:AX,COUNTA($B:$B)+14-COUNTA($B$1:$B$14)))</f>
        <v>50277</v>
      </c>
      <c r="AY4" s="77">
        <f>IF(SUM($AV4)=0,"",(SUM($AZ4)-SUM($O4))/$AV4)</f>
        <v>0.68366843702579672</v>
      </c>
      <c r="AZ4" s="28">
        <f>SUBTOTAL(109,AZ$15:INDEX(AZ:AZ,COUNTA($B:$B)+14-COUNTA($B$1:$B$14)))</f>
        <v>939671</v>
      </c>
      <c r="BA4" s="41">
        <f>IF(SUM($AZ4)=0,"",SUM($BB4)/$AZ4)</f>
        <v>0.88133825562351076</v>
      </c>
      <c r="BB4" s="39">
        <f>SUBTOTAL(109,BB$15:INDEX(BB:BB,COUNTA($B:$B)+14-COUNTA($B$1:$B$14)))</f>
        <v>828168</v>
      </c>
      <c r="BC4" s="100">
        <f>SUBTOTAL(109,BC$15:INDEX(BC:BC,COUNTA($B:$B)+14-COUNTA($B$1:$B$14)))</f>
        <v>841142</v>
      </c>
      <c r="BD4" s="77">
        <f>IF(SUM($BB4)=0,"",SUM($BE4)/$BB4)</f>
        <v>0.95001738777639322</v>
      </c>
      <c r="BE4" s="39">
        <f>SUBTOTAL(109,BE$15:INDEX(BE:BE,COUNTA($B:$B)+14-COUNTA($B$1:$B$14)))</f>
        <v>786774</v>
      </c>
      <c r="BF4" s="39">
        <f>SUBTOTAL(109,BF$15:INDEX(BF:BF,COUNTA($B:$B)+14-COUNTA($B$1:$B$14)))</f>
        <v>799084</v>
      </c>
      <c r="BG4" s="81">
        <f>IF(SUM($BH4)=0,"",SUM($AX4)/$BH4)</f>
        <v>0.94959014845314094</v>
      </c>
      <c r="BH4" s="39">
        <f>SUBTOTAL(109,BH$15:INDEX(BH:BH,COUNTA($B:$B)+14-COUNTA($B$1:$B$14)))</f>
        <v>52946</v>
      </c>
    </row>
    <row r="5" spans="1:60" ht="0" hidden="1" customHeight="1" x14ac:dyDescent="0.2">
      <c r="A5" t="s">
        <v>285</v>
      </c>
      <c r="B5" s="1" t="s">
        <v>285</v>
      </c>
      <c r="C5" s="1" t="s">
        <v>285</v>
      </c>
      <c r="D5" s="1" t="s">
        <v>285</v>
      </c>
      <c r="E5" t="s">
        <v>285</v>
      </c>
      <c r="F5" s="104" t="s">
        <v>285</v>
      </c>
      <c r="G5" s="104" t="s">
        <v>285</v>
      </c>
      <c r="H5" s="38" t="s">
        <v>393</v>
      </c>
      <c r="I5" s="38" t="s">
        <v>393</v>
      </c>
      <c r="J5" s="38" t="s">
        <v>393</v>
      </c>
      <c r="K5" s="38" t="s">
        <v>393</v>
      </c>
      <c r="L5" s="104" t="s">
        <v>285</v>
      </c>
      <c r="M5" s="38" t="s">
        <v>393</v>
      </c>
      <c r="N5" s="38" t="s">
        <v>393</v>
      </c>
      <c r="O5" s="38" t="s">
        <v>285</v>
      </c>
      <c r="P5" s="38" t="s">
        <v>393</v>
      </c>
      <c r="Q5" s="38" t="s">
        <v>393</v>
      </c>
      <c r="R5" s="38" t="s">
        <v>285</v>
      </c>
      <c r="S5" s="104" t="s">
        <v>394</v>
      </c>
      <c r="T5" s="38" t="s">
        <v>286</v>
      </c>
      <c r="U5" s="38" t="s">
        <v>286</v>
      </c>
      <c r="V5" s="38" t="s">
        <v>285</v>
      </c>
      <c r="W5" s="110" t="s">
        <v>286</v>
      </c>
      <c r="X5" s="38" t="s">
        <v>394</v>
      </c>
      <c r="Y5" s="34" t="s">
        <v>285</v>
      </c>
      <c r="Z5" s="38" t="s">
        <v>394</v>
      </c>
      <c r="AA5" s="33" t="s">
        <v>285</v>
      </c>
      <c r="AB5" s="34" t="s">
        <v>285</v>
      </c>
      <c r="AC5" s="96" t="s">
        <v>285</v>
      </c>
      <c r="AD5" s="98" t="s">
        <v>285</v>
      </c>
      <c r="AE5" s="34" t="s">
        <v>285</v>
      </c>
      <c r="AF5" s="38" t="s">
        <v>394</v>
      </c>
      <c r="AG5" s="34" t="s">
        <v>285</v>
      </c>
      <c r="AH5" s="89" t="s">
        <v>285</v>
      </c>
      <c r="AI5" s="29" t="s">
        <v>286</v>
      </c>
      <c r="AJ5" s="38" t="s">
        <v>285</v>
      </c>
      <c r="AK5" s="38" t="s">
        <v>286</v>
      </c>
      <c r="AL5" s="36" t="s">
        <v>285</v>
      </c>
      <c r="AM5" s="38" t="s">
        <v>285</v>
      </c>
      <c r="AN5" s="38" t="s">
        <v>285</v>
      </c>
      <c r="AO5" s="38" t="s">
        <v>285</v>
      </c>
      <c r="AP5" s="107" t="s">
        <v>393</v>
      </c>
      <c r="AQ5" s="2" t="s">
        <v>394</v>
      </c>
      <c r="AR5" s="33" t="s">
        <v>285</v>
      </c>
      <c r="AS5" s="36" t="s">
        <v>285</v>
      </c>
      <c r="AT5" s="33" t="s">
        <v>285</v>
      </c>
      <c r="AU5" s="38" t="s">
        <v>285</v>
      </c>
      <c r="AV5" s="38" t="s">
        <v>285</v>
      </c>
      <c r="AW5" s="34" t="s">
        <v>285</v>
      </c>
      <c r="AX5" s="2" t="s">
        <v>393</v>
      </c>
      <c r="AY5" s="36" t="s">
        <v>285</v>
      </c>
      <c r="AZ5" s="29" t="s">
        <v>285</v>
      </c>
      <c r="BA5" s="33" t="s">
        <v>285</v>
      </c>
      <c r="BB5" s="2" t="s">
        <v>393</v>
      </c>
      <c r="BC5" s="29" t="s">
        <v>285</v>
      </c>
      <c r="BD5" s="36" t="s">
        <v>285</v>
      </c>
      <c r="BE5" s="2" t="s">
        <v>393</v>
      </c>
      <c r="BF5" s="2" t="s">
        <v>394</v>
      </c>
      <c r="BG5" s="36" t="s">
        <v>285</v>
      </c>
      <c r="BH5" s="2" t="s">
        <v>285</v>
      </c>
    </row>
    <row r="6" spans="1:60" ht="0" hidden="1" customHeight="1" x14ac:dyDescent="0.2">
      <c r="A6" t="s">
        <v>287</v>
      </c>
      <c r="B6" s="1" t="s">
        <v>287</v>
      </c>
      <c r="C6" s="1" t="s">
        <v>287</v>
      </c>
      <c r="D6" s="1" t="s">
        <v>287</v>
      </c>
      <c r="E6" t="s">
        <v>287</v>
      </c>
      <c r="F6" s="104" t="s">
        <v>395</v>
      </c>
      <c r="G6" s="104" t="s">
        <v>396</v>
      </c>
      <c r="H6" s="38" t="s">
        <v>288</v>
      </c>
      <c r="I6" s="38" t="s">
        <v>288</v>
      </c>
      <c r="J6" s="38" t="s">
        <v>288</v>
      </c>
      <c r="K6" s="38" t="s">
        <v>288</v>
      </c>
      <c r="L6" s="104" t="s">
        <v>396</v>
      </c>
      <c r="M6" s="38" t="s">
        <v>288</v>
      </c>
      <c r="N6" s="38" t="s">
        <v>288</v>
      </c>
      <c r="O6" s="38" t="s">
        <v>395</v>
      </c>
      <c r="P6" s="38" t="s">
        <v>288</v>
      </c>
      <c r="Q6" s="38" t="s">
        <v>288</v>
      </c>
      <c r="R6" s="38" t="s">
        <v>290</v>
      </c>
      <c r="S6" s="104" t="s">
        <v>397</v>
      </c>
      <c r="T6" s="38" t="s">
        <v>289</v>
      </c>
      <c r="U6" s="38" t="s">
        <v>289</v>
      </c>
      <c r="V6" s="38" t="s">
        <v>395</v>
      </c>
      <c r="W6" s="110" t="s">
        <v>289</v>
      </c>
      <c r="X6" s="38" t="s">
        <v>289</v>
      </c>
      <c r="Y6" s="34" t="s">
        <v>290</v>
      </c>
      <c r="Z6" s="38" t="s">
        <v>289</v>
      </c>
      <c r="AA6" s="33" t="s">
        <v>290</v>
      </c>
      <c r="AB6" s="34" t="s">
        <v>290</v>
      </c>
      <c r="AC6" s="96" t="s">
        <v>395</v>
      </c>
      <c r="AD6" s="98" t="s">
        <v>290</v>
      </c>
      <c r="AE6" s="34" t="s">
        <v>290</v>
      </c>
      <c r="AF6" s="38" t="s">
        <v>289</v>
      </c>
      <c r="AG6" s="34" t="s">
        <v>290</v>
      </c>
      <c r="AH6" s="89" t="s">
        <v>290</v>
      </c>
      <c r="AI6" s="29" t="s">
        <v>289</v>
      </c>
      <c r="AJ6" s="38" t="s">
        <v>395</v>
      </c>
      <c r="AK6" s="38" t="s">
        <v>289</v>
      </c>
      <c r="AL6" s="36" t="s">
        <v>395</v>
      </c>
      <c r="AM6" s="38" t="s">
        <v>290</v>
      </c>
      <c r="AN6" s="38" t="s">
        <v>290</v>
      </c>
      <c r="AO6" s="38" t="s">
        <v>395</v>
      </c>
      <c r="AP6" s="107" t="s">
        <v>289</v>
      </c>
      <c r="AQ6" s="2" t="s">
        <v>289</v>
      </c>
      <c r="AR6" s="33" t="s">
        <v>290</v>
      </c>
      <c r="AS6" s="36" t="s">
        <v>395</v>
      </c>
      <c r="AT6" s="33" t="s">
        <v>395</v>
      </c>
      <c r="AU6" s="38" t="s">
        <v>290</v>
      </c>
      <c r="AV6" s="38" t="s">
        <v>290</v>
      </c>
      <c r="AW6" s="34" t="s">
        <v>395</v>
      </c>
      <c r="AX6" s="2" t="s">
        <v>289</v>
      </c>
      <c r="AY6" s="36" t="s">
        <v>395</v>
      </c>
      <c r="AZ6" s="29" t="s">
        <v>290</v>
      </c>
      <c r="BA6" s="33" t="s">
        <v>395</v>
      </c>
      <c r="BB6" s="2" t="s">
        <v>289</v>
      </c>
      <c r="BC6" s="29" t="s">
        <v>395</v>
      </c>
      <c r="BD6" s="36" t="s">
        <v>395</v>
      </c>
      <c r="BE6" s="2" t="s">
        <v>289</v>
      </c>
      <c r="BF6" s="2" t="s">
        <v>289</v>
      </c>
      <c r="BG6" s="36" t="s">
        <v>395</v>
      </c>
      <c r="BH6" s="2" t="s">
        <v>290</v>
      </c>
    </row>
    <row r="7" spans="1:60" ht="0" hidden="1" customHeight="1" x14ac:dyDescent="0.2">
      <c r="A7" t="s">
        <v>291</v>
      </c>
      <c r="B7" s="1" t="s">
        <v>291</v>
      </c>
      <c r="C7" s="1" t="s">
        <v>291</v>
      </c>
      <c r="D7" s="1" t="s">
        <v>291</v>
      </c>
      <c r="E7" t="s">
        <v>291</v>
      </c>
      <c r="F7" s="104" t="s">
        <v>292</v>
      </c>
      <c r="G7" s="104" t="s">
        <v>292</v>
      </c>
      <c r="H7" s="38" t="s">
        <v>292</v>
      </c>
      <c r="I7" s="38" t="s">
        <v>292</v>
      </c>
      <c r="J7" s="38" t="s">
        <v>292</v>
      </c>
      <c r="K7" s="38" t="s">
        <v>292</v>
      </c>
      <c r="L7" s="104" t="s">
        <v>292</v>
      </c>
      <c r="M7" s="38" t="s">
        <v>292</v>
      </c>
      <c r="N7" s="38" t="s">
        <v>292</v>
      </c>
      <c r="O7" s="38" t="s">
        <v>292</v>
      </c>
      <c r="P7" s="38" t="s">
        <v>292</v>
      </c>
      <c r="Q7" s="38" t="s">
        <v>292</v>
      </c>
      <c r="R7" s="38" t="s">
        <v>292</v>
      </c>
      <c r="S7" s="104" t="s">
        <v>292</v>
      </c>
      <c r="T7" s="38" t="s">
        <v>292</v>
      </c>
      <c r="U7" s="38" t="s">
        <v>292</v>
      </c>
      <c r="V7" s="38" t="s">
        <v>292</v>
      </c>
      <c r="W7" s="110" t="s">
        <v>398</v>
      </c>
      <c r="X7" s="38" t="s">
        <v>292</v>
      </c>
      <c r="Y7" s="34" t="s">
        <v>398</v>
      </c>
      <c r="Z7" s="38" t="s">
        <v>292</v>
      </c>
      <c r="AA7" s="33" t="s">
        <v>398</v>
      </c>
      <c r="AB7" s="34" t="s">
        <v>398</v>
      </c>
      <c r="AC7" s="96" t="s">
        <v>292</v>
      </c>
      <c r="AD7" s="98" t="s">
        <v>292</v>
      </c>
      <c r="AE7" s="34" t="s">
        <v>398</v>
      </c>
      <c r="AF7" s="38" t="s">
        <v>292</v>
      </c>
      <c r="AG7" s="34" t="s">
        <v>398</v>
      </c>
      <c r="AH7" s="89" t="s">
        <v>398</v>
      </c>
      <c r="AI7" s="29" t="s">
        <v>292</v>
      </c>
      <c r="AJ7" s="38" t="s">
        <v>292</v>
      </c>
      <c r="AK7" s="38" t="s">
        <v>292</v>
      </c>
      <c r="AL7" s="36" t="s">
        <v>398</v>
      </c>
      <c r="AM7" s="38" t="s">
        <v>292</v>
      </c>
      <c r="AN7" s="38" t="s">
        <v>292</v>
      </c>
      <c r="AO7" s="38" t="s">
        <v>292</v>
      </c>
      <c r="AP7" s="107" t="s">
        <v>292</v>
      </c>
      <c r="AQ7" s="2" t="s">
        <v>292</v>
      </c>
      <c r="AR7" s="33" t="s">
        <v>398</v>
      </c>
      <c r="AS7" s="36" t="s">
        <v>398</v>
      </c>
      <c r="AT7" s="33" t="s">
        <v>398</v>
      </c>
      <c r="AU7" s="38" t="s">
        <v>292</v>
      </c>
      <c r="AV7" s="38" t="s">
        <v>292</v>
      </c>
      <c r="AW7" s="34" t="s">
        <v>398</v>
      </c>
      <c r="AX7" s="2" t="s">
        <v>292</v>
      </c>
      <c r="AY7" s="36" t="s">
        <v>398</v>
      </c>
      <c r="AZ7" s="29" t="s">
        <v>292</v>
      </c>
      <c r="BA7" s="33" t="s">
        <v>398</v>
      </c>
      <c r="BB7" s="2" t="s">
        <v>292</v>
      </c>
      <c r="BC7" s="29" t="s">
        <v>292</v>
      </c>
      <c r="BD7" s="36" t="s">
        <v>398</v>
      </c>
      <c r="BE7" s="2" t="s">
        <v>292</v>
      </c>
      <c r="BF7" s="2" t="s">
        <v>292</v>
      </c>
      <c r="BG7" s="36" t="s">
        <v>398</v>
      </c>
      <c r="BH7" s="2" t="s">
        <v>292</v>
      </c>
    </row>
    <row r="8" spans="1:60" ht="0" hidden="1" customHeight="1" x14ac:dyDescent="0.2">
      <c r="B8" s="1"/>
      <c r="D8" s="38"/>
      <c r="G8" s="65"/>
      <c r="H8" s="64" t="s">
        <v>399</v>
      </c>
      <c r="I8" s="64" t="s">
        <v>400</v>
      </c>
      <c r="J8" s="64" t="s">
        <v>401</v>
      </c>
      <c r="K8" s="64" t="s">
        <v>402</v>
      </c>
      <c r="L8" s="65"/>
      <c r="M8" s="64" t="s">
        <v>403</v>
      </c>
      <c r="N8" s="64" t="s">
        <v>404</v>
      </c>
      <c r="P8" s="64" t="s">
        <v>405</v>
      </c>
      <c r="Q8" s="64" t="s">
        <v>406</v>
      </c>
      <c r="S8" s="65" t="s">
        <v>27</v>
      </c>
      <c r="T8" s="64" t="s">
        <v>139</v>
      </c>
      <c r="U8" s="64" t="s">
        <v>144</v>
      </c>
      <c r="V8" s="64"/>
      <c r="W8" s="88" t="s">
        <v>142</v>
      </c>
      <c r="X8" s="64" t="s">
        <v>149</v>
      </c>
      <c r="Y8" s="34"/>
      <c r="Z8" s="64" t="s">
        <v>147</v>
      </c>
      <c r="AB8" s="34"/>
      <c r="AC8" s="96"/>
      <c r="AD8" s="103" t="s">
        <v>407</v>
      </c>
      <c r="AF8" s="64" t="s">
        <v>408</v>
      </c>
      <c r="AH8" s="89"/>
      <c r="AI8" s="64" t="s">
        <v>409</v>
      </c>
      <c r="AK8" s="64" t="s">
        <v>144</v>
      </c>
      <c r="AP8" s="66" t="s">
        <v>404</v>
      </c>
      <c r="AQ8" s="63" t="s">
        <v>147</v>
      </c>
      <c r="AW8" s="34"/>
      <c r="AX8" s="63" t="s">
        <v>403</v>
      </c>
      <c r="BB8" s="63" t="s">
        <v>410</v>
      </c>
      <c r="BE8" s="63" t="s">
        <v>411</v>
      </c>
      <c r="BF8" s="63" t="s">
        <v>408</v>
      </c>
    </row>
    <row r="9" spans="1:60" ht="0" hidden="1" customHeight="1" x14ac:dyDescent="0.2">
      <c r="B9" s="1"/>
      <c r="D9" s="38"/>
      <c r="G9" s="65"/>
      <c r="H9" s="64" t="s">
        <v>412</v>
      </c>
      <c r="I9" s="64" t="s">
        <v>413</v>
      </c>
      <c r="J9" s="64" t="s">
        <v>414</v>
      </c>
      <c r="K9" s="64" t="s">
        <v>415</v>
      </c>
      <c r="L9" s="65"/>
      <c r="M9" s="64" t="s">
        <v>416</v>
      </c>
      <c r="N9" s="64" t="s">
        <v>417</v>
      </c>
      <c r="P9" s="64" t="s">
        <v>418</v>
      </c>
      <c r="Q9" s="64" t="s">
        <v>419</v>
      </c>
      <c r="S9" s="65"/>
      <c r="T9" s="64"/>
      <c r="U9" s="64"/>
      <c r="V9" s="64"/>
      <c r="W9" s="88"/>
      <c r="X9" s="64"/>
      <c r="Y9" s="34"/>
      <c r="Z9" s="64"/>
      <c r="AB9" s="34"/>
      <c r="AC9" s="96"/>
      <c r="AF9" s="64"/>
      <c r="AH9" s="89"/>
      <c r="AI9" s="29"/>
      <c r="AK9" s="64"/>
      <c r="AP9" s="66" t="s">
        <v>417</v>
      </c>
      <c r="AQ9" s="63"/>
      <c r="AW9" s="34"/>
      <c r="AX9" s="63" t="s">
        <v>416</v>
      </c>
      <c r="BB9" s="63" t="s">
        <v>420</v>
      </c>
      <c r="BE9" s="63" t="s">
        <v>421</v>
      </c>
      <c r="BF9" s="63"/>
    </row>
    <row r="10" spans="1:60" ht="0" hidden="1" customHeight="1" x14ac:dyDescent="0.2">
      <c r="B10" s="1"/>
      <c r="D10" s="38"/>
      <c r="G10" s="65"/>
      <c r="H10" s="64" t="s">
        <v>422</v>
      </c>
      <c r="I10" s="64" t="s">
        <v>422</v>
      </c>
      <c r="J10" s="64" t="s">
        <v>423</v>
      </c>
      <c r="K10" s="64" t="s">
        <v>423</v>
      </c>
      <c r="L10" s="65"/>
      <c r="M10" s="64" t="s">
        <v>422</v>
      </c>
      <c r="N10" s="64" t="s">
        <v>422</v>
      </c>
      <c r="P10" s="64" t="s">
        <v>423</v>
      </c>
      <c r="Q10" s="64" t="s">
        <v>423</v>
      </c>
      <c r="R10" s="38"/>
      <c r="S10" s="65" t="s">
        <v>422</v>
      </c>
      <c r="T10" s="64"/>
      <c r="U10" s="64" t="s">
        <v>422</v>
      </c>
      <c r="V10" s="64"/>
      <c r="W10" s="88"/>
      <c r="X10" s="64" t="s">
        <v>422</v>
      </c>
      <c r="Y10" s="34"/>
      <c r="Z10" s="64" t="s">
        <v>422</v>
      </c>
      <c r="AB10" s="34"/>
      <c r="AC10" s="96"/>
      <c r="AD10" s="64" t="s">
        <v>422</v>
      </c>
      <c r="AF10" s="64" t="s">
        <v>422</v>
      </c>
      <c r="AH10" s="89"/>
      <c r="AI10" s="64" t="s">
        <v>422</v>
      </c>
      <c r="AK10" s="64" t="s">
        <v>422</v>
      </c>
      <c r="AP10" s="66" t="s">
        <v>422</v>
      </c>
      <c r="AQ10" s="63" t="s">
        <v>422</v>
      </c>
      <c r="AW10" s="34"/>
      <c r="AX10" s="63" t="s">
        <v>422</v>
      </c>
      <c r="BB10" s="63" t="s">
        <v>422</v>
      </c>
      <c r="BE10" s="63" t="s">
        <v>422</v>
      </c>
      <c r="BF10" s="63" t="s">
        <v>422</v>
      </c>
    </row>
    <row r="11" spans="1:60" ht="0" hidden="1" customHeight="1" x14ac:dyDescent="0.2">
      <c r="B11" s="1"/>
      <c r="D11" s="38"/>
      <c r="F11" s="104" t="s">
        <v>424</v>
      </c>
      <c r="G11" s="104" t="s">
        <v>425</v>
      </c>
      <c r="H11" s="38" t="s">
        <v>425</v>
      </c>
      <c r="I11" s="38" t="s">
        <v>425</v>
      </c>
      <c r="J11" s="38" t="s">
        <v>425</v>
      </c>
      <c r="K11" s="38" t="s">
        <v>425</v>
      </c>
      <c r="L11" s="104" t="s">
        <v>425</v>
      </c>
      <c r="M11" s="38" t="s">
        <v>425</v>
      </c>
      <c r="N11" s="38" t="s">
        <v>425</v>
      </c>
      <c r="O11" s="38" t="s">
        <v>425</v>
      </c>
      <c r="P11" s="38" t="s">
        <v>425</v>
      </c>
      <c r="Q11" s="38" t="s">
        <v>425</v>
      </c>
      <c r="R11" s="38" t="s">
        <v>425</v>
      </c>
      <c r="S11" s="104" t="s">
        <v>425</v>
      </c>
      <c r="T11" s="38" t="s">
        <v>425</v>
      </c>
      <c r="U11" s="38" t="s">
        <v>425</v>
      </c>
      <c r="V11" s="38" t="s">
        <v>425</v>
      </c>
      <c r="W11" s="110" t="s">
        <v>425</v>
      </c>
      <c r="X11" s="38" t="s">
        <v>425</v>
      </c>
      <c r="Y11" s="34" t="s">
        <v>425</v>
      </c>
      <c r="Z11" s="38" t="s">
        <v>425</v>
      </c>
      <c r="AA11" s="33" t="s">
        <v>425</v>
      </c>
      <c r="AB11" s="34" t="s">
        <v>425</v>
      </c>
      <c r="AC11" s="96" t="s">
        <v>425</v>
      </c>
      <c r="AD11" s="98" t="s">
        <v>425</v>
      </c>
      <c r="AE11" s="34" t="s">
        <v>425</v>
      </c>
      <c r="AF11" s="38" t="s">
        <v>425</v>
      </c>
      <c r="AG11" s="34" t="s">
        <v>425</v>
      </c>
      <c r="AH11" s="89" t="s">
        <v>425</v>
      </c>
      <c r="AI11" s="29" t="s">
        <v>425</v>
      </c>
      <c r="AJ11" s="38" t="s">
        <v>425</v>
      </c>
      <c r="AK11" s="38" t="s">
        <v>425</v>
      </c>
      <c r="AL11" s="36" t="s">
        <v>424</v>
      </c>
      <c r="AM11" s="38" t="s">
        <v>424</v>
      </c>
      <c r="AN11" s="38" t="s">
        <v>426</v>
      </c>
      <c r="AO11" s="38" t="s">
        <v>425</v>
      </c>
      <c r="AP11" s="107" t="s">
        <v>425</v>
      </c>
      <c r="AQ11" s="2" t="s">
        <v>425</v>
      </c>
      <c r="AR11" s="33" t="s">
        <v>425</v>
      </c>
      <c r="AS11" s="36" t="s">
        <v>424</v>
      </c>
      <c r="AT11" s="33" t="s">
        <v>424</v>
      </c>
      <c r="AU11" s="38" t="s">
        <v>425</v>
      </c>
      <c r="AV11" s="38" t="s">
        <v>425</v>
      </c>
      <c r="AW11" s="34" t="s">
        <v>424</v>
      </c>
      <c r="AX11" s="2" t="s">
        <v>425</v>
      </c>
      <c r="AY11" s="36" t="s">
        <v>424</v>
      </c>
      <c r="AZ11" s="29" t="s">
        <v>425</v>
      </c>
      <c r="BA11" s="33" t="s">
        <v>424</v>
      </c>
      <c r="BB11" s="2" t="s">
        <v>425</v>
      </c>
      <c r="BC11" s="29" t="s">
        <v>425</v>
      </c>
      <c r="BD11" s="36" t="s">
        <v>424</v>
      </c>
      <c r="BE11" s="2" t="s">
        <v>425</v>
      </c>
      <c r="BF11" s="2" t="s">
        <v>425</v>
      </c>
      <c r="BG11" s="36" t="s">
        <v>424</v>
      </c>
      <c r="BH11" s="2" t="s">
        <v>425</v>
      </c>
    </row>
    <row r="12" spans="1:60" ht="0" hidden="1" customHeight="1" x14ac:dyDescent="0.2">
      <c r="B12" s="1"/>
      <c r="D12" s="38"/>
      <c r="F12" s="104" t="s">
        <v>427</v>
      </c>
      <c r="G12" s="104" t="s">
        <v>427</v>
      </c>
      <c r="H12" s="38" t="s">
        <v>427</v>
      </c>
      <c r="I12" s="38" t="s">
        <v>427</v>
      </c>
      <c r="J12" s="38" t="s">
        <v>427</v>
      </c>
      <c r="K12" s="38" t="s">
        <v>427</v>
      </c>
      <c r="L12" s="104" t="s">
        <v>427</v>
      </c>
      <c r="M12" s="38" t="s">
        <v>427</v>
      </c>
      <c r="N12" s="38" t="s">
        <v>427</v>
      </c>
      <c r="O12" s="38" t="s">
        <v>427</v>
      </c>
      <c r="P12" s="38" t="s">
        <v>427</v>
      </c>
      <c r="Q12" s="38" t="s">
        <v>427</v>
      </c>
      <c r="R12" s="38" t="s">
        <v>427</v>
      </c>
      <c r="S12" s="104" t="s">
        <v>427</v>
      </c>
      <c r="T12" s="38" t="s">
        <v>427</v>
      </c>
      <c r="U12" s="38" t="s">
        <v>427</v>
      </c>
      <c r="V12" s="38" t="s">
        <v>427</v>
      </c>
      <c r="W12" s="110" t="s">
        <v>427</v>
      </c>
      <c r="X12" s="38" t="s">
        <v>427</v>
      </c>
      <c r="Y12" s="34" t="s">
        <v>427</v>
      </c>
      <c r="Z12" s="38" t="s">
        <v>427</v>
      </c>
      <c r="AA12" s="33" t="s">
        <v>427</v>
      </c>
      <c r="AB12" s="34" t="s">
        <v>427</v>
      </c>
      <c r="AC12" s="96" t="s">
        <v>427</v>
      </c>
      <c r="AD12" s="98" t="s">
        <v>427</v>
      </c>
      <c r="AE12" s="34" t="s">
        <v>427</v>
      </c>
      <c r="AF12" s="38" t="s">
        <v>427</v>
      </c>
      <c r="AG12" s="34" t="s">
        <v>427</v>
      </c>
      <c r="AH12" s="89" t="s">
        <v>427</v>
      </c>
      <c r="AI12" s="29" t="s">
        <v>427</v>
      </c>
      <c r="AJ12" s="38" t="s">
        <v>427</v>
      </c>
      <c r="AK12" s="38" t="s">
        <v>427</v>
      </c>
      <c r="AL12" s="36" t="s">
        <v>427</v>
      </c>
      <c r="AM12" s="38" t="s">
        <v>427</v>
      </c>
      <c r="AN12" s="38" t="s">
        <v>427</v>
      </c>
      <c r="AO12" s="38" t="s">
        <v>427</v>
      </c>
      <c r="AP12" s="107" t="s">
        <v>427</v>
      </c>
      <c r="AQ12" s="2" t="s">
        <v>427</v>
      </c>
      <c r="AR12" s="33" t="s">
        <v>427</v>
      </c>
      <c r="AS12" s="36" t="s">
        <v>427</v>
      </c>
      <c r="AT12" s="33" t="s">
        <v>427</v>
      </c>
      <c r="AU12" s="38" t="s">
        <v>427</v>
      </c>
      <c r="AV12" s="38" t="s">
        <v>427</v>
      </c>
      <c r="AW12" s="34" t="s">
        <v>427</v>
      </c>
      <c r="AX12" s="2" t="s">
        <v>427</v>
      </c>
      <c r="AY12" s="36" t="s">
        <v>427</v>
      </c>
      <c r="AZ12" s="29" t="s">
        <v>427</v>
      </c>
      <c r="BA12" s="33" t="s">
        <v>427</v>
      </c>
      <c r="BB12" s="2" t="s">
        <v>427</v>
      </c>
      <c r="BC12" s="29" t="s">
        <v>427</v>
      </c>
      <c r="BD12" s="36" t="s">
        <v>427</v>
      </c>
      <c r="BE12" s="2" t="s">
        <v>427</v>
      </c>
      <c r="BF12" s="2" t="s">
        <v>427</v>
      </c>
      <c r="BG12" s="36" t="s">
        <v>427</v>
      </c>
      <c r="BH12" s="2" t="s">
        <v>427</v>
      </c>
    </row>
    <row r="13" spans="1:60" ht="0" hidden="1" customHeight="1" x14ac:dyDescent="0.2">
      <c r="B13" s="1"/>
      <c r="D13" s="38"/>
      <c r="H13" s="38"/>
      <c r="I13" s="38"/>
      <c r="M13" s="38"/>
      <c r="N13" s="38"/>
      <c r="Y13" s="34"/>
      <c r="AB13" s="34"/>
      <c r="AC13" s="96"/>
      <c r="AH13" s="89"/>
      <c r="AI13" s="29"/>
      <c r="AW13" s="34"/>
      <c r="AX13" s="2"/>
      <c r="BE13" s="2"/>
    </row>
    <row r="14" spans="1:60" x14ac:dyDescent="0.2">
      <c r="A14" s="71" t="s">
        <v>280</v>
      </c>
      <c r="B14" s="46" t="s">
        <v>294</v>
      </c>
      <c r="C14" s="47" t="s">
        <v>428</v>
      </c>
      <c r="D14" s="47" t="s">
        <v>429</v>
      </c>
      <c r="E14" s="70" t="s">
        <v>20</v>
      </c>
      <c r="F14" s="55" t="s">
        <v>430</v>
      </c>
      <c r="G14" s="55" t="s">
        <v>431</v>
      </c>
      <c r="H14" s="17" t="s">
        <v>432</v>
      </c>
      <c r="I14" s="17" t="s">
        <v>433</v>
      </c>
      <c r="J14" s="18" t="s">
        <v>434</v>
      </c>
      <c r="K14" s="17" t="s">
        <v>435</v>
      </c>
      <c r="L14" s="55" t="s">
        <v>436</v>
      </c>
      <c r="M14" s="17" t="s">
        <v>437</v>
      </c>
      <c r="N14" s="17" t="s">
        <v>438</v>
      </c>
      <c r="O14" s="18" t="s">
        <v>439</v>
      </c>
      <c r="P14" s="18" t="s">
        <v>440</v>
      </c>
      <c r="Q14" s="17" t="s">
        <v>441</v>
      </c>
      <c r="R14" s="17" t="s">
        <v>442</v>
      </c>
      <c r="S14" s="55" t="s">
        <v>26</v>
      </c>
      <c r="T14" s="18" t="s">
        <v>138</v>
      </c>
      <c r="U14" s="18" t="s">
        <v>143</v>
      </c>
      <c r="V14" s="18" t="s">
        <v>150</v>
      </c>
      <c r="W14" s="54" t="s">
        <v>141</v>
      </c>
      <c r="X14" s="18" t="s">
        <v>148</v>
      </c>
      <c r="Y14" s="48" t="s">
        <v>443</v>
      </c>
      <c r="Z14" s="18" t="s">
        <v>146</v>
      </c>
      <c r="AA14" s="48" t="s">
        <v>145</v>
      </c>
      <c r="AB14" s="48" t="s">
        <v>444</v>
      </c>
      <c r="AC14" s="97" t="s">
        <v>151</v>
      </c>
      <c r="AD14" s="97" t="s">
        <v>445</v>
      </c>
      <c r="AE14" s="48" t="s">
        <v>446</v>
      </c>
      <c r="AF14" s="18" t="s">
        <v>447</v>
      </c>
      <c r="AG14" s="48" t="s">
        <v>448</v>
      </c>
      <c r="AH14" s="54" t="s">
        <v>222</v>
      </c>
      <c r="AI14" s="18" t="s">
        <v>275</v>
      </c>
      <c r="AJ14" s="18" t="s">
        <v>219</v>
      </c>
      <c r="AK14" s="18" t="s">
        <v>449</v>
      </c>
      <c r="AL14" s="56" t="s">
        <v>450</v>
      </c>
      <c r="AM14" s="18" t="s">
        <v>451</v>
      </c>
      <c r="AN14" s="18" t="s">
        <v>452</v>
      </c>
      <c r="AO14" s="18" t="s">
        <v>453</v>
      </c>
      <c r="AP14" s="58" t="s">
        <v>454</v>
      </c>
      <c r="AQ14" s="49" t="s">
        <v>455</v>
      </c>
      <c r="AR14" s="48" t="s">
        <v>456</v>
      </c>
      <c r="AS14" s="56" t="s">
        <v>457</v>
      </c>
      <c r="AT14" s="48" t="s">
        <v>458</v>
      </c>
      <c r="AU14" s="18" t="s">
        <v>459</v>
      </c>
      <c r="AV14" s="18" t="s">
        <v>460</v>
      </c>
      <c r="AW14" s="50" t="s">
        <v>461</v>
      </c>
      <c r="AX14" s="17" t="s">
        <v>462</v>
      </c>
      <c r="AY14" s="78" t="s">
        <v>463</v>
      </c>
      <c r="AZ14" s="84" t="s">
        <v>464</v>
      </c>
      <c r="BA14" s="50" t="s">
        <v>465</v>
      </c>
      <c r="BB14" s="17" t="s">
        <v>466</v>
      </c>
      <c r="BC14" s="84" t="s">
        <v>467</v>
      </c>
      <c r="BD14" s="82" t="s">
        <v>468</v>
      </c>
      <c r="BE14" s="17" t="s">
        <v>469</v>
      </c>
      <c r="BF14" s="17" t="s">
        <v>470</v>
      </c>
      <c r="BG14" s="82" t="s">
        <v>471</v>
      </c>
      <c r="BH14" s="17" t="s">
        <v>472</v>
      </c>
    </row>
    <row r="15" spans="1:60" x14ac:dyDescent="0.2">
      <c r="A15" t="str">
        <f>INDEX(Prioritization!$D:$D,MATCH($B15,Prioritization!$A:$A,0))</f>
        <v>Military</v>
      </c>
      <c r="B15" t="s">
        <v>326</v>
      </c>
      <c r="C15" t="s">
        <v>426</v>
      </c>
      <c r="D15" t="s">
        <v>30</v>
      </c>
      <c r="E15" t="str">
        <f t="shared" ref="E15:E78" si="0">$B15&amp;"|"&amp;$C15&amp;"|"&amp;$D15</f>
        <v>_Military Malawi [PQZgU9dagaH]|&lt;01|Female</v>
      </c>
      <c r="F15" s="245">
        <v>1</v>
      </c>
      <c r="G15" s="104">
        <v>1</v>
      </c>
      <c r="H15" s="38">
        <v>1</v>
      </c>
      <c r="I15" s="38"/>
      <c r="J15" s="38"/>
      <c r="K15" s="38"/>
      <c r="L15" s="104"/>
      <c r="M15" s="38">
        <v>1</v>
      </c>
      <c r="N15" s="38">
        <v>1</v>
      </c>
      <c r="O15" s="38">
        <f t="shared" ref="O15:O16" si="1">IFERROR(1/(1/MAX($I15,$N15)),"")</f>
        <v>1</v>
      </c>
      <c r="P15" s="38">
        <v>1</v>
      </c>
      <c r="Q15" s="38">
        <v>1</v>
      </c>
      <c r="R15" s="38">
        <f t="shared" ref="R15:R78" si="2">IF(AND(SUM($I15)=0,SUM($O15)=0),"",SUM($O15)-$I15)</f>
        <v>1</v>
      </c>
      <c r="S15" s="104" t="str">
        <f>IF(LEFT($B15,4)="_Mil","",_xlfn.IFNA(ROUND(INDEX(Spectrum!$N:$N,MATCH(RIGHT($B15,13)&amp;"|"&amp;$C15&amp;"|"&amp;$D15&amp;"|"&amp;S$14&amp;"|"&amp;"CY2023Q4",Spectrum!$R:$R,0)),0),""))</f>
        <v/>
      </c>
      <c r="T15" s="218" t="str">
        <f>IF(LEFT($B15,4)="_Mil","",_xlfn.IFNA(ROUND(INDEX(Spectrum!$N:$N,MATCH(RIGHT($B15,13)&amp;"|"&amp;$C15&amp;"|"&amp;$D15&amp;"|"&amp;T$14&amp;"|"&amp;"CY2024Q3",Spectrum!$R:$R,0)),0),""))</f>
        <v/>
      </c>
      <c r="U15" s="218" t="str">
        <f>IF(LEFT($B15,4)="_Mil","",_xlfn.IFNA(ROUND(INDEX(Spectrum!$N:$N,MATCH(RIGHT($B15,13)&amp;"|"&amp;$C15&amp;"|"&amp;$D15&amp;"|"&amp;U$14&amp;"|"&amp;"CY2024Q3",Spectrum!$R:$R,0)),0),""))</f>
        <v/>
      </c>
      <c r="V15" s="38" t="str">
        <f>IF(LEFT($B15,4)="_Mil","",_xlfn.IFNA(ROUND(INDEX(Spectrum!$N:$N,MATCH(RIGHT($B15,13)&amp;"|"&amp;$C15&amp;"|"&amp;$D15&amp;"|"&amp;V$14&amp;"|"&amp;"CY2024Q3",Spectrum!$R:$R,0)),0),""))</f>
        <v/>
      </c>
      <c r="W15" s="220" t="str">
        <f>IF(LEFT($B15,4)="_Mil","",_xlfn.IFNA(INDEX(Spectrum!$N:$N,MATCH(RIGHT($B15,13)&amp;"|"&amp;$C15&amp;"|"&amp;$D15&amp;"|"&amp;W$14&amp;"|"&amp;"CY2024Q3",Spectrum!$R:$R,0)),""))</f>
        <v/>
      </c>
      <c r="X15" s="218" t="str">
        <f>IF(LEFT($B15,4)="_Mil","",_xlfn.IFNA(ROUND(INDEX(Spectrum!$N:$N,MATCH(RIGHT($B15,13)&amp;"|"&amp;$C15&amp;"|"&amp;$D15&amp;"|"&amp;X$14&amp;"|"&amp;"CY2024Q3",Spectrum!$R:$R,0)),0),""))</f>
        <v/>
      </c>
      <c r="Y15" s="33" t="str">
        <f t="shared" ref="Y15:Y78" si="3">IF(OR(SUM($U15)=0,LEFT($B15,4)="_Mil"),"",ROUND(SUM($X15)/$U15,2))</f>
        <v/>
      </c>
      <c r="Z15" s="218" t="str">
        <f>IF(LEFT($B15,4)="_Mil","",_xlfn.IFNA(ROUND(INDEX(Spectrum!$N:$N,MATCH(RIGHT($B15,13)&amp;"|"&amp;$C15&amp;"|"&amp;$D15&amp;"|"&amp;Z$14&amp;"|"&amp;"CY2024Q3",Spectrum!$R:$R,0)),0),""))</f>
        <v/>
      </c>
      <c r="AA15" s="33" t="str">
        <f>IF(LEFT($B15,4)="_Mil","",IFERROR(1/(1/INDEX(Spectrum!$N:$N,MATCH(RIGHT($B15,13)&amp;"|"&amp;$C15&amp;"|"&amp;$D15&amp;"|"&amp;AA$14&amp;"|"&amp;"CY2024Q3",Spectrum!$R:$R,0))),IF(SUM($U15)=0,"",SUM($Z15)/$U15)))</f>
        <v/>
      </c>
      <c r="AB15" s="33" t="str">
        <f t="shared" ref="AB15:AB78" si="4">IF(OR(LEFT($B15,4)="_Mil",SUM($X15)=0),"",SUM($Z15)/$X15)</f>
        <v/>
      </c>
      <c r="AC15" s="38" t="str">
        <f>IF(LEFT($B15,4)="_Mil","",_xlfn.IFNA(ROUND(INDEX(Spectrum!$N:$N,MATCH(RIGHT($B15,13)&amp;"|"&amp;$C15&amp;"|"&amp;$D15&amp;"|"&amp;AC$14&amp;"|"&amp;"CY2024Q3",Spectrum!$R:$R,0)),0),""))</f>
        <v/>
      </c>
      <c r="AD15" s="38" t="str">
        <f>IF(LEFT($B15,4)="_Mil","",_xlfn.IFNA(ROUND(INDEX(Spectrum!$N:$N,MATCH(RIGHT($B15,13)&amp;"|"&amp;$C15&amp;"|"&amp;$D15&amp;"|"&amp;AD$14&amp;"|"&amp;"CY2024Q3",Spectrum!$R:$R,0)),0),""))</f>
        <v/>
      </c>
      <c r="AE15" s="33" t="str">
        <f t="shared" ref="AE15:AE78" si="5">IF(OR(LEFT($B15,4)="_Mil",SUM($Z15)=0),"",ROUND(SUM($AD15)/$Z15,2))</f>
        <v/>
      </c>
      <c r="AF15" s="218" t="str">
        <f>IF(LEFT($B15,4)="_Mil","",_xlfn.IFNA(ROUND(INDEX(Spectrum!$N:$N,MATCH(RIGHT($B15,13)&amp;"|"&amp;$C15&amp;"|"&amp;$D15&amp;"|"&amp;AF$14&amp;"|"&amp;"CY2024Q3",Spectrum!$R:$R,0)),0),""))</f>
        <v/>
      </c>
      <c r="AG15" s="33" t="str">
        <f t="shared" ref="AG15:AG78" si="6">IF(OR(LEFT($B15,4)="_Mil",SUM($AD15)=0),"",SUM($AF15)/$AD15)</f>
        <v/>
      </c>
      <c r="AH15" s="110" t="str">
        <f>IF(LEFT($B15,4)="_Mil","",_xlfn.IFNA(INDEX(Spectrum!$N:$N,MATCH(RIGHT($B15,13)&amp;"|"&amp;$C15&amp;"|"&amp;$D15&amp;"|"&amp;AH$14&amp;"|"&amp;"CY2024Q3",Spectrum!$R:$R,0)),""))</f>
        <v/>
      </c>
      <c r="AI15" s="218" t="str">
        <f>IF(LEFT($B15,4)="_Mil","",_xlfn.IFNA(ROUND(INDEX(Spectrum!$N:$N,MATCH(RIGHT($B15,13)&amp;"|"&amp;$C15&amp;"|"&amp;$D15&amp;"|"&amp;AI$14&amp;"|"&amp;"CY2025Q3",Spectrum!$R:$R,0)),0),""))</f>
        <v/>
      </c>
      <c r="AJ15" s="38" t="str">
        <f>IF(LEFT($B15,4)="_Mil","",_xlfn.IFNA(ROUND(INDEX(Spectrum!$N:$N,MATCH(RIGHT($B15,13)&amp;"|"&amp;$C15&amp;"|"&amp;$D15&amp;"|"&amp;AJ$14&amp;"|"&amp;"CY2025Q3",Spectrum!$R:$R,0)),0),""))</f>
        <v/>
      </c>
      <c r="AK15" s="218" t="e">
        <f>#REF!</f>
        <v>#REF!</v>
      </c>
      <c r="AL15" s="36" t="str">
        <f t="shared" ref="AL15:AL78" si="7">IF(OR(LEFT($B15,4)="_Mil",$C15="&lt;01"),"",MAX(SUM($AA15),90%))</f>
        <v/>
      </c>
      <c r="AM15" s="38" t="str">
        <f>IF(OR(LEFT($B15,4)="_Mil",$C15="&lt;01"),"",ROUND(SUM($AK15)*SUM($AL15),0))</f>
        <v/>
      </c>
      <c r="AN15" s="38">
        <f>IF($C15="&lt;01",ROUND(INDEX(EID!$P:$P,MATCH($B15,EID!$B:$B,0))/2,0),"")</f>
        <v>1</v>
      </c>
      <c r="AO15" s="38">
        <f>IF($C15="&lt;01",SUM($AN15),ROUND(SUM($AM15)*SUM($O15)/IF(SUM($Z15)=0,1,$Z15),0))</f>
        <v>1</v>
      </c>
      <c r="AP15" s="237">
        <f>IF(OR($F15="",$C15="&lt;01"),$AO15,ROUND($F15,0))</f>
        <v>1</v>
      </c>
      <c r="AQ15" s="218" t="str">
        <f>IF(LEFT($B15,4)="_Mil","",IF(SUM($AP15)=0,SUM($Z15),IF(OR(SUM($Z15)=0,SUM($O15)=0),MAX($AP15,$Z15),ROUND($AP15*$Z15/$O15,0))))</f>
        <v/>
      </c>
      <c r="AR15" s="33" t="e">
        <f>IF(OR(LEFT($B15,4)="_Mil",SUM($AK15)=0),"",SUM($AQ15)/$AK15)</f>
        <v>#REF!</v>
      </c>
      <c r="AS15" s="36" t="str">
        <f t="shared" ref="AS15:AT36" si="8">IF($C15="&lt;01","",98%)</f>
        <v/>
      </c>
      <c r="AT15" s="33" t="str">
        <f t="shared" si="8"/>
        <v/>
      </c>
      <c r="AU15" s="38" t="str">
        <f>IF($C15="&lt;01","",SUM($AP15)-SUM($O15))</f>
        <v/>
      </c>
      <c r="AV15" s="38">
        <f>IF($C15="&lt;01",ROUND(INDEX(EID!$N:$N,MATCH($B15,EID!$B:$B,0))/2,0),IF(SUM($AT15)=0,"",ROUND((SUM($AP15)-(SUM($O15)*SUM($AS15)))/$AT15,0)))</f>
        <v>1</v>
      </c>
      <c r="AW15" s="33" t="str">
        <f t="shared" ref="AW15:AW78" si="9">IF($C15="&lt;01","",100%)</f>
        <v/>
      </c>
      <c r="AX15" s="218">
        <f>IF($C15="&lt;01",SUM($AV15),ROUND(SUM($AV15)*SUM($AW15),0))</f>
        <v>1</v>
      </c>
      <c r="AY15" s="79" t="str">
        <f t="shared" ref="AY15:AY78" si="10">IF($C15="&lt;01","",70%)</f>
        <v/>
      </c>
      <c r="AZ15" s="85">
        <f>IF($C15="&lt;01",ROUND(INDEX(EID!$R:$R,MATCH($B15,EID!$B:$B,0))/2,0),ROUND(SUM($O15)+(SUM($AV15)*$AY15),0))</f>
        <v>1</v>
      </c>
      <c r="BA15" s="40" t="str">
        <f t="shared" ref="BA15:BA30" si="11">IF($C15="&lt;01","",95%)</f>
        <v/>
      </c>
      <c r="BB15" s="99">
        <f>IF($C15="&lt;01",ROUND(INDEX(EID!$T:$T,MATCH($B15,EID!$B:$B,0))/2,0),ROUND($AP15*$BA15,0))</f>
        <v>1</v>
      </c>
      <c r="BC15" s="85" t="str">
        <f>IF(LEFT($B15,4)="_Mil","",IF(SUM($BB15)=0,SUM($AD15),IF(OR(SUM($AP15)=0,SUM($AQ15)=0),MAX($BB15,$AD15),ROUND($BB15*$AQ15/$AP15,0))))</f>
        <v/>
      </c>
      <c r="BD15" s="36" t="str">
        <f t="shared" ref="BD15:BD78" si="12">IF($C15="&lt;01","",95%)</f>
        <v/>
      </c>
      <c r="BE15" s="218">
        <f>IF($C15="&lt;01",ROUND(INDEX(EID!$V:$V,MATCH($B15,EID!$B:$B,0))/2,0),ROUND($BD15*$BB15,0))</f>
        <v>1</v>
      </c>
      <c r="BF15" s="218" t="str">
        <f>IF(LEFT($B15,4)="_Mil","",IF(SUM($BE15)=0,SUM($AF15),IF(OR(SUM($AP15)=0,SUM($AQ15)=0),MAX($BE15,$AF15),ROUND($BE15*$AQ15/$AP15,0))))</f>
        <v/>
      </c>
      <c r="BG15" s="79" t="str">
        <f t="shared" ref="BG15:BG78" si="13">IF($C15="&lt;01","",95%)</f>
        <v/>
      </c>
      <c r="BH15" s="99">
        <f>IF($C15="&lt;01",ROUND(INDEX(EID!$L:$L,MATCH($B15,EID!$B:$B,0)),0)/2,IF(SUM($BG15)=0,"",ROUND($AX15/$BG15,0)))</f>
        <v>1</v>
      </c>
    </row>
    <row r="16" spans="1:60" x14ac:dyDescent="0.2">
      <c r="A16" t="str">
        <f>INDEX(Prioritization!$D:$D,MATCH($B16,Prioritization!$A:$A,0))</f>
        <v>Military</v>
      </c>
      <c r="B16" t="s">
        <v>326</v>
      </c>
      <c r="C16" t="s">
        <v>426</v>
      </c>
      <c r="D16" t="s">
        <v>48</v>
      </c>
      <c r="E16" t="str">
        <f t="shared" si="0"/>
        <v>_Military Malawi [PQZgU9dagaH]|&lt;01|Male</v>
      </c>
      <c r="F16" s="245">
        <v>1</v>
      </c>
      <c r="G16" s="38">
        <v>3</v>
      </c>
      <c r="H16" s="38">
        <v>2</v>
      </c>
      <c r="I16" s="38">
        <v>1</v>
      </c>
      <c r="J16" s="38"/>
      <c r="K16" s="38"/>
      <c r="L16" s="38"/>
      <c r="M16" s="38">
        <v>1</v>
      </c>
      <c r="N16" s="38">
        <v>1</v>
      </c>
      <c r="O16" s="38">
        <f t="shared" si="1"/>
        <v>1</v>
      </c>
      <c r="P16" s="38">
        <v>1</v>
      </c>
      <c r="Q16" s="38">
        <v>1</v>
      </c>
      <c r="R16" s="38">
        <f t="shared" si="2"/>
        <v>0</v>
      </c>
      <c r="S16" s="38" t="str">
        <f>IF(LEFT($B16,4)="_Mil","",_xlfn.IFNA(ROUND(INDEX(Spectrum!$N:$N,MATCH(RIGHT($B16,13)&amp;"|"&amp;$C16&amp;"|"&amp;$D16&amp;"|"&amp;S$14&amp;"|"&amp;"CY2023Q4",Spectrum!$R:$R,0)),0),""))</f>
        <v/>
      </c>
      <c r="T16" s="218" t="str">
        <f>IF(LEFT($B16,4)="_Mil","",_xlfn.IFNA(ROUND(INDEX(Spectrum!$N:$N,MATCH(RIGHT($B16,13)&amp;"|"&amp;$C16&amp;"|"&amp;$D16&amp;"|"&amp;T$14&amp;"|"&amp;"CY2024Q3",Spectrum!$R:$R,0)),0),""))</f>
        <v/>
      </c>
      <c r="U16" s="218" t="str">
        <f>IF(LEFT($B16,4)="_Mil","",_xlfn.IFNA(ROUND(INDEX(Spectrum!$N:$N,MATCH(RIGHT($B16,13)&amp;"|"&amp;$C16&amp;"|"&amp;$D16&amp;"|"&amp;U$14&amp;"|"&amp;"CY2024Q3",Spectrum!$R:$R,0)),0),""))</f>
        <v/>
      </c>
      <c r="V16" s="38" t="str">
        <f>IF(LEFT($B16,4)="_Mil","",_xlfn.IFNA(ROUND(INDEX(Spectrum!$N:$N,MATCH(RIGHT($B16,13)&amp;"|"&amp;$C16&amp;"|"&amp;$D16&amp;"|"&amp;V$14&amp;"|"&amp;"CY2024Q3",Spectrum!$R:$R,0)),0),""))</f>
        <v/>
      </c>
      <c r="W16" s="220" t="str">
        <f>IF(LEFT($B16,4)="_Mil","",_xlfn.IFNA(INDEX(Spectrum!$N:$N,MATCH(RIGHT($B16,13)&amp;"|"&amp;$C16&amp;"|"&amp;$D16&amp;"|"&amp;W$14&amp;"|"&amp;"CY2024Q3",Spectrum!$R:$R,0)),""))</f>
        <v/>
      </c>
      <c r="X16" s="218" t="str">
        <f>IF(LEFT($B16,4)="_Mil","",_xlfn.IFNA(ROUND(INDEX(Spectrum!$N:$N,MATCH(RIGHT($B16,13)&amp;"|"&amp;$C16&amp;"|"&amp;$D16&amp;"|"&amp;X$14&amp;"|"&amp;"CY2024Q3",Spectrum!$R:$R,0)),0),""))</f>
        <v/>
      </c>
      <c r="Y16" s="33" t="str">
        <f t="shared" si="3"/>
        <v/>
      </c>
      <c r="Z16" s="218" t="str">
        <f>IF(LEFT($B16,4)="_Mil","",_xlfn.IFNA(ROUND(INDEX(Spectrum!$N:$N,MATCH(RIGHT($B16,13)&amp;"|"&amp;$C16&amp;"|"&amp;$D16&amp;"|"&amp;Z$14&amp;"|"&amp;"CY2024Q3",Spectrum!$R:$R,0)),0),""))</f>
        <v/>
      </c>
      <c r="AA16" s="33" t="str">
        <f>IF(LEFT($B16,4)="_Mil","",IFERROR(1/(1/INDEX(Spectrum!$N:$N,MATCH(RIGHT($B16,13)&amp;"|"&amp;$C16&amp;"|"&amp;$D16&amp;"|"&amp;AA$14&amp;"|"&amp;"CY2024Q3",Spectrum!$R:$R,0))),IF(SUM($U16)=0,"",SUM($Z16)/$U16)))</f>
        <v/>
      </c>
      <c r="AB16" s="33" t="str">
        <f t="shared" si="4"/>
        <v/>
      </c>
      <c r="AC16" s="38" t="str">
        <f>IF(LEFT($B16,4)="_Mil","",_xlfn.IFNA(ROUND(INDEX(Spectrum!$N:$N,MATCH(RIGHT($B16,13)&amp;"|"&amp;$C16&amp;"|"&amp;$D16&amp;"|"&amp;AC$14&amp;"|"&amp;"CY2024Q3",Spectrum!$R:$R,0)),0),""))</f>
        <v/>
      </c>
      <c r="AD16" s="38" t="str">
        <f>IF(LEFT($B16,4)="_Mil","",_xlfn.IFNA(ROUND(INDEX(Spectrum!$N:$N,MATCH(RIGHT($B16,13)&amp;"|"&amp;$C16&amp;"|"&amp;$D16&amp;"|"&amp;AD$14&amp;"|"&amp;"CY2024Q3",Spectrum!$R:$R,0)),0),""))</f>
        <v/>
      </c>
      <c r="AE16" s="33" t="str">
        <f t="shared" si="5"/>
        <v/>
      </c>
      <c r="AF16" s="218" t="str">
        <f>IF(LEFT($B16,4)="_Mil","",_xlfn.IFNA(ROUND(INDEX(Spectrum!$N:$N,MATCH(RIGHT($B16,13)&amp;"|"&amp;$C16&amp;"|"&amp;$D16&amp;"|"&amp;AF$14&amp;"|"&amp;"CY2024Q3",Spectrum!$R:$R,0)),0),""))</f>
        <v/>
      </c>
      <c r="AG16" s="33" t="str">
        <f t="shared" si="6"/>
        <v/>
      </c>
      <c r="AH16" s="110" t="str">
        <f>IF(LEFT($B16,4)="_Mil","",_xlfn.IFNA(INDEX(Spectrum!$N:$N,MATCH(RIGHT($B16,13)&amp;"|"&amp;$C16&amp;"|"&amp;$D16&amp;"|"&amp;AH$14&amp;"|"&amp;"CY2024Q3",Spectrum!$R:$R,0)),""))</f>
        <v/>
      </c>
      <c r="AI16" s="218" t="str">
        <f>IF(LEFT($B16,4)="_Mil","",_xlfn.IFNA(ROUND(INDEX(Spectrum!$N:$N,MATCH(RIGHT($B16,13)&amp;"|"&amp;$C16&amp;"|"&amp;$D16&amp;"|"&amp;AI$14&amp;"|"&amp;"CY2025Q3",Spectrum!$R:$R,0)),0),""))</f>
        <v/>
      </c>
      <c r="AJ16" s="38" t="str">
        <f>IF(LEFT($B16,4)="_Mil","",_xlfn.IFNA(ROUND(INDEX(Spectrum!$N:$N,MATCH(RIGHT($B16,13)&amp;"|"&amp;$C16&amp;"|"&amp;$D16&amp;"|"&amp;AJ$14&amp;"|"&amp;"CY2025Q3",Spectrum!$R:$R,0)),0),""))</f>
        <v/>
      </c>
      <c r="AK16" s="218" t="e">
        <f>#REF!</f>
        <v>#REF!</v>
      </c>
      <c r="AL16" s="36" t="str">
        <f t="shared" si="7"/>
        <v/>
      </c>
      <c r="AM16" s="38" t="str">
        <f>IF(OR(LEFT($B16,4)="_Mil",$C16="&lt;01"),"",ROUND(SUM($AK16)*SUM($AL16),0))</f>
        <v/>
      </c>
      <c r="AN16" s="38">
        <f>IF($C16="&lt;01",ROUND(INDEX(EID!$P:$P,MATCH($B16,EID!$B:$B,0))/2,0),"")</f>
        <v>1</v>
      </c>
      <c r="AO16" s="38">
        <f>IF($C16="&lt;01",SUM($AN16),ROUND(SUM($AM16)*SUM($O16)/IF(SUM($Z16)=0,1,$Z16),0))</f>
        <v>1</v>
      </c>
      <c r="AP16" s="237">
        <f>IF(OR($F16="",$C16="&lt;01"),$AO16,ROUND($F16,0))</f>
        <v>1</v>
      </c>
      <c r="AQ16" s="218" t="str">
        <f>IF(LEFT($B16,4)="_Mil","",IF(SUM($AP16)=0,SUM($Z16),IF(OR(SUM($Z16)=0,SUM($O16)=0),MAX($AP16,$Z16),ROUND($AP16*$Z16/$O16,0))))</f>
        <v/>
      </c>
      <c r="AR16" s="33" t="e">
        <f>IF(OR(LEFT($B16,4)="_Mil",SUM($AK16)=0),"",SUM($AQ16)/$AK16)</f>
        <v>#REF!</v>
      </c>
      <c r="AS16" s="36" t="str">
        <f t="shared" si="8"/>
        <v/>
      </c>
      <c r="AT16" s="33" t="str">
        <f t="shared" si="8"/>
        <v/>
      </c>
      <c r="AU16" s="38" t="str">
        <f>IF($C16="&lt;01","",SUM($AP16)-SUM($O16))</f>
        <v/>
      </c>
      <c r="AV16" s="38">
        <f>IF($C16="&lt;01",ROUND(INDEX(EID!$N:$N,MATCH($B16,EID!$B:$B,0))/2,0),IF(SUM($AT16)=0,"",ROUND((SUM($AP16)-(SUM($O16)*SUM($AS16)))/$AT16,0)))</f>
        <v>1</v>
      </c>
      <c r="AW16" s="33" t="str">
        <f t="shared" si="9"/>
        <v/>
      </c>
      <c r="AX16" s="218">
        <f>IF($C16="&lt;01",SUM($AV16),ROUND(SUM($AV16)*SUM($AW16),0))</f>
        <v>1</v>
      </c>
      <c r="AY16" s="79" t="str">
        <f t="shared" si="10"/>
        <v/>
      </c>
      <c r="AZ16" s="85">
        <f>IF($C16="&lt;01",ROUND(INDEX(EID!$R:$R,MATCH($B16,EID!$B:$B,0))/2,0),ROUND(SUM($O16)+(SUM($AV16)*$AY16),0))</f>
        <v>1</v>
      </c>
      <c r="BA16" s="40" t="str">
        <f t="shared" si="11"/>
        <v/>
      </c>
      <c r="BB16" s="99">
        <f>IF($C16="&lt;01",ROUND(INDEX(EID!$T:$T,MATCH($B16,EID!$B:$B,0))/2,0),ROUND($AP16*$BA16,0))</f>
        <v>1</v>
      </c>
      <c r="BC16" s="85" t="str">
        <f>IF(LEFT($B16,4)="_Mil","",IF(SUM($BB16)=0,SUM($AD16),IF(OR(SUM($AP16)=0,SUM($AQ16)=0),MAX($BB16,$AD16),ROUND($BB16*$AQ16/$AP16,0))))</f>
        <v/>
      </c>
      <c r="BD16" s="33" t="str">
        <f t="shared" si="12"/>
        <v/>
      </c>
      <c r="BE16" s="218">
        <f>IF($C16="&lt;01",ROUND(INDEX(EID!$V:$V,MATCH($B16,EID!$B:$B,0))/2,0),ROUND($BD16*$BB16,0))</f>
        <v>1</v>
      </c>
      <c r="BF16" s="218" t="str">
        <f>IF(LEFT($B16,4)="_Mil","",IF(SUM($BE16)=0,SUM($AF16),IF(OR(SUM($AP16)=0,SUM($AQ16)=0),MAX($BE16,$AF16),ROUND($BE16*$AQ16/$AP16,0))))</f>
        <v/>
      </c>
      <c r="BG16" s="79" t="str">
        <f t="shared" si="13"/>
        <v/>
      </c>
      <c r="BH16" s="99">
        <f>IF($C16="&lt;01",ROUND(INDEX(EID!$L:$L,MATCH($B16,EID!$B:$B,0)),0)/2,IF(SUM($BG16)=0,"",ROUND($AX16/$BG16,0)))</f>
        <v>1</v>
      </c>
    </row>
    <row r="17" spans="1:60" x14ac:dyDescent="0.2">
      <c r="A17" t="str">
        <f>INDEX(Prioritization!$D:$D,MATCH($B17,Prioritization!$A:$A,0))</f>
        <v>Military</v>
      </c>
      <c r="B17" t="s">
        <v>326</v>
      </c>
      <c r="C17" t="s">
        <v>473</v>
      </c>
      <c r="D17" t="s">
        <v>30</v>
      </c>
      <c r="E17" t="str">
        <f t="shared" si="0"/>
        <v>_Military Malawi [PQZgU9dagaH]|01-09|Female</v>
      </c>
      <c r="F17" s="243">
        <v>52</v>
      </c>
      <c r="G17" s="38">
        <v>9</v>
      </c>
      <c r="H17" s="38">
        <v>5</v>
      </c>
      <c r="I17" s="38">
        <v>48</v>
      </c>
      <c r="J17" s="38">
        <v>31</v>
      </c>
      <c r="K17" s="38">
        <v>23</v>
      </c>
      <c r="L17" s="38">
        <v>15</v>
      </c>
      <c r="M17" s="38">
        <v>14</v>
      </c>
      <c r="N17" s="38">
        <v>84</v>
      </c>
      <c r="O17" s="229">
        <v>50</v>
      </c>
      <c r="P17" s="38">
        <v>79</v>
      </c>
      <c r="Q17" s="38">
        <v>75</v>
      </c>
      <c r="R17" s="38">
        <f t="shared" si="2"/>
        <v>2</v>
      </c>
      <c r="S17" s="38" t="str">
        <f>IF(LEFT($B17,4)="_Mil","",_xlfn.IFNA(ROUND(INDEX(Spectrum!$N:$N,MATCH(RIGHT($B17,13)&amp;"|"&amp;$C17&amp;"|"&amp;$D17&amp;"|"&amp;S$14&amp;"|"&amp;"CY2023Q4",Spectrum!$R:$R,0)),0),""))</f>
        <v/>
      </c>
      <c r="T17" s="218" t="str">
        <f>IF(LEFT($B17,4)="_Mil","",_xlfn.IFNA(ROUND(INDEX(Spectrum!$N:$N,MATCH(RIGHT($B17,13)&amp;"|"&amp;$C17&amp;"|"&amp;$D17&amp;"|"&amp;T$14&amp;"|"&amp;"CY2024Q3",Spectrum!$R:$R,0)),0),""))</f>
        <v/>
      </c>
      <c r="U17" s="218" t="str">
        <f>IF(LEFT($B17,4)="_Mil","",_xlfn.IFNA(ROUND(INDEX(Spectrum!$N:$N,MATCH(RIGHT($B17,13)&amp;"|"&amp;$C17&amp;"|"&amp;$D17&amp;"|"&amp;U$14&amp;"|"&amp;"CY2024Q3",Spectrum!$R:$R,0)),0),""))</f>
        <v/>
      </c>
      <c r="V17" s="38" t="str">
        <f>IF(LEFT($B17,4)="_Mil","",_xlfn.IFNA(ROUND(INDEX(Spectrum!$N:$N,MATCH(RIGHT($B17,13)&amp;"|"&amp;$C17&amp;"|"&amp;$D17&amp;"|"&amp;V$14&amp;"|"&amp;"CY2024Q3",Spectrum!$R:$R,0)),0),""))</f>
        <v/>
      </c>
      <c r="W17" s="220" t="str">
        <f>IF(LEFT($B17,4)="_Mil","",_xlfn.IFNA(INDEX(Spectrum!$N:$N,MATCH(RIGHT($B17,13)&amp;"|"&amp;$C17&amp;"|"&amp;$D17&amp;"|"&amp;W$14&amp;"|"&amp;"CY2024Q3",Spectrum!$R:$R,0)),""))</f>
        <v/>
      </c>
      <c r="X17" s="218" t="str">
        <f>IF(LEFT($B17,4)="_Mil","",_xlfn.IFNA(ROUND(INDEX(Spectrum!$N:$N,MATCH(RIGHT($B17,13)&amp;"|"&amp;$C17&amp;"|"&amp;$D17&amp;"|"&amp;X$14&amp;"|"&amp;"CY2024Q3",Spectrum!$R:$R,0)),0),""))</f>
        <v/>
      </c>
      <c r="Y17" s="33" t="str">
        <f t="shared" si="3"/>
        <v/>
      </c>
      <c r="Z17" s="218" t="str">
        <f>IF(LEFT($B17,4)="_Mil","",_xlfn.IFNA(ROUND(INDEX(Spectrum!$N:$N,MATCH(RIGHT($B17,13)&amp;"|"&amp;$C17&amp;"|"&amp;$D17&amp;"|"&amp;Z$14&amp;"|"&amp;"CY2024Q3",Spectrum!$R:$R,0)),0),""))</f>
        <v/>
      </c>
      <c r="AA17" s="33" t="str">
        <f>IF(LEFT($B17,4)="_Mil","",IFERROR(1/(1/INDEX(Spectrum!$N:$N,MATCH(RIGHT($B17,13)&amp;"|"&amp;$C17&amp;"|"&amp;$D17&amp;"|"&amp;AA$14&amp;"|"&amp;"CY2024Q3",Spectrum!$R:$R,0))),IF(SUM($U17)=0,"",SUM($Z17)/$U17)))</f>
        <v/>
      </c>
      <c r="AB17" s="33" t="str">
        <f t="shared" si="4"/>
        <v/>
      </c>
      <c r="AC17" s="38" t="str">
        <f>IF(LEFT($B17,4)="_Mil","",_xlfn.IFNA(ROUND(INDEX(Spectrum!$N:$N,MATCH(RIGHT($B17,13)&amp;"|"&amp;$C17&amp;"|"&amp;$D17&amp;"|"&amp;AC$14&amp;"|"&amp;"CY2024Q3",Spectrum!$R:$R,0)),0),""))</f>
        <v/>
      </c>
      <c r="AD17" s="38" t="str">
        <f>IF(LEFT($B17,4)="_Mil","",_xlfn.IFNA(ROUND(INDEX(Spectrum!$N:$N,MATCH(RIGHT($B17,13)&amp;"|"&amp;$C17&amp;"|"&amp;$D17&amp;"|"&amp;AD$14&amp;"|"&amp;"CY2024Q3",Spectrum!$R:$R,0)),0),""))</f>
        <v/>
      </c>
      <c r="AE17" s="33" t="str">
        <f t="shared" si="5"/>
        <v/>
      </c>
      <c r="AF17" s="218" t="str">
        <f>IF(LEFT($B17,4)="_Mil","",_xlfn.IFNA(ROUND(INDEX(Spectrum!$N:$N,MATCH(RIGHT($B17,13)&amp;"|"&amp;$C17&amp;"|"&amp;$D17&amp;"|"&amp;AF$14&amp;"|"&amp;"CY2024Q3",Spectrum!$R:$R,0)),0),""))</f>
        <v/>
      </c>
      <c r="AG17" s="33" t="str">
        <f t="shared" si="6"/>
        <v/>
      </c>
      <c r="AH17" s="110" t="str">
        <f>IF(LEFT($B17,4)="_Mil","",_xlfn.IFNA(INDEX(Spectrum!$N:$N,MATCH(RIGHT($B17,13)&amp;"|"&amp;$C17&amp;"|"&amp;$D17&amp;"|"&amp;AH$14&amp;"|"&amp;"CY2024Q3",Spectrum!$R:$R,0)),""))</f>
        <v/>
      </c>
      <c r="AI17" s="218" t="str">
        <f>IF(LEFT($B17,4)="_Mil","",_xlfn.IFNA(ROUND(INDEX(Spectrum!$N:$N,MATCH(RIGHT($B17,13)&amp;"|"&amp;$C17&amp;"|"&amp;$D17&amp;"|"&amp;AI$14&amp;"|"&amp;"CY2025Q3",Spectrum!$R:$R,0)),0),""))</f>
        <v/>
      </c>
      <c r="AJ17" s="38" t="str">
        <f>IF(LEFT($B17,4)="_Mil","",_xlfn.IFNA(ROUND(INDEX(Spectrum!$N:$N,MATCH(RIGHT($B17,13)&amp;"|"&amp;$C17&amp;"|"&amp;$D17&amp;"|"&amp;AJ$14&amp;"|"&amp;"CY2025Q3",Spectrum!$R:$R,0)),0),""))</f>
        <v/>
      </c>
      <c r="AK17" s="218" t="e">
        <f>#REF!</f>
        <v>#REF!</v>
      </c>
      <c r="AL17" s="33" t="str">
        <f t="shared" si="7"/>
        <v/>
      </c>
      <c r="AM17" s="38" t="str">
        <f>IF(OR(LEFT($B17,4)="_Mil",$C17="&lt;01"),"",ROUND(SUM($AK17)*SUM($AL17),0))</f>
        <v/>
      </c>
      <c r="AN17" s="38" t="str">
        <f>IF($C17="&lt;01",ROUND(INDEX(EID!$P:$P,MATCH($B17,EID!$B:$B,0))/2,0),"")</f>
        <v/>
      </c>
      <c r="AO17" s="38">
        <f>IF($C17="&lt;01",SUM($AN17),ROUND(SUM($AM17)*SUM($O17)/IF(SUM($Z17)=0,1,$Z17),0))</f>
        <v>0</v>
      </c>
      <c r="AP17" s="237">
        <f>IF(OR($F17="",$C17="&lt;01"),$AO17,ROUND($F17,0))</f>
        <v>52</v>
      </c>
      <c r="AQ17" s="218" t="str">
        <f>IF(LEFT($B17,4)="_Mil","",IF(SUM($AP17)=0,SUM($Z17),IF(OR(SUM($Z17)=0,SUM($O17)=0),MAX($AP17,$Z17),ROUND($AP17*$Z17/$O17,0))))</f>
        <v/>
      </c>
      <c r="AR17" s="33" t="e">
        <f>IF(OR(LEFT($B17,4)="_Mil",SUM($AK17)=0),"",SUM($AQ17)/$AK17)</f>
        <v>#REF!</v>
      </c>
      <c r="AS17" s="33">
        <v>0.94</v>
      </c>
      <c r="AT17" s="33">
        <v>0.96</v>
      </c>
      <c r="AU17" s="38">
        <f>IF($C17="&lt;01","",SUM($AP17)-SUM($O17))</f>
        <v>2</v>
      </c>
      <c r="AV17" s="38">
        <f>IF($C17="&lt;01",ROUND(INDEX(EID!$N:$N,MATCH($B17,EID!$B:$B,0))/2,0),IF(SUM($AT17)=0,"",ROUND((SUM($AP17)-(SUM($O17)*SUM($AS17)))/$AT17,0)))</f>
        <v>5</v>
      </c>
      <c r="AW17" s="33">
        <v>0.9</v>
      </c>
      <c r="AX17" s="218">
        <f>IF($C17="&lt;01",SUM($AV17),ROUND(SUM($AV17)*SUM($AW17),0))</f>
        <v>5</v>
      </c>
      <c r="AY17" s="79">
        <f t="shared" si="10"/>
        <v>0.7</v>
      </c>
      <c r="AZ17" s="85">
        <f>IF($C17="&lt;01",ROUND(INDEX(EID!$R:$R,MATCH($B17,EID!$B:$B,0))/2,0),ROUND(SUM($O17)+(SUM($AV17)*$AY17),0))</f>
        <v>54</v>
      </c>
      <c r="BA17" s="40">
        <f t="shared" si="11"/>
        <v>0.95</v>
      </c>
      <c r="BB17" s="99">
        <f>IF($C17="&lt;01",ROUND(INDEX(EID!$T:$T,MATCH($B17,EID!$B:$B,0))/2,0),ROUND($AP17*$BA17,0))</f>
        <v>49</v>
      </c>
      <c r="BC17" s="85" t="str">
        <f>IF(LEFT($B17,4)="_Mil","",IF(SUM($BB17)=0,SUM($AD17),IF(OR(SUM($AP17)=0,SUM($AQ17)=0),MAX($BB17,$AD17),ROUND($BB17*$AQ17/$AP17,0))))</f>
        <v/>
      </c>
      <c r="BD17" s="33">
        <f t="shared" si="12"/>
        <v>0.95</v>
      </c>
      <c r="BE17" s="218">
        <f>IF($C17="&lt;01",ROUND(INDEX(EID!$V:$V,MATCH($B17,EID!$B:$B,0))/2,0),ROUND($BD17*$BB17,0))</f>
        <v>47</v>
      </c>
      <c r="BF17" s="218" t="str">
        <f>IF(LEFT($B17,4)="_Mil","",IF(SUM($BE17)=0,SUM($AF17),IF(OR(SUM($AP17)=0,SUM($AQ17)=0),MAX($BE17,$AF17),ROUND($BE17*$AQ17/$AP17,0))))</f>
        <v/>
      </c>
      <c r="BG17" s="79">
        <f t="shared" si="13"/>
        <v>0.95</v>
      </c>
      <c r="BH17" s="99">
        <f>IF($C17="&lt;01",ROUND(INDEX(EID!$L:$L,MATCH($B17,EID!$B:$B,0)),0)/2,IF(SUM($BG17)=0,"",ROUND($AX17/$BG17,0)))</f>
        <v>5</v>
      </c>
    </row>
    <row r="18" spans="1:60" x14ac:dyDescent="0.2">
      <c r="A18" t="str">
        <f>INDEX(Prioritization!$D:$D,MATCH($B18,Prioritization!$A:$A,0))</f>
        <v>Military</v>
      </c>
      <c r="B18" t="s">
        <v>326</v>
      </c>
      <c r="C18" t="s">
        <v>473</v>
      </c>
      <c r="D18" t="s">
        <v>48</v>
      </c>
      <c r="E18" t="str">
        <f t="shared" si="0"/>
        <v>_Military Malawi [PQZgU9dagaH]|01-09|Male</v>
      </c>
      <c r="F18" s="243">
        <v>41</v>
      </c>
      <c r="G18" s="38">
        <v>11</v>
      </c>
      <c r="H18" s="38">
        <v>6</v>
      </c>
      <c r="I18" s="38">
        <v>38</v>
      </c>
      <c r="J18" s="38">
        <v>23</v>
      </c>
      <c r="K18" s="38">
        <v>18</v>
      </c>
      <c r="L18" s="38">
        <v>12</v>
      </c>
      <c r="M18" s="38">
        <v>11</v>
      </c>
      <c r="N18" s="38">
        <v>65</v>
      </c>
      <c r="O18" s="229">
        <v>39</v>
      </c>
      <c r="P18" s="38">
        <v>61</v>
      </c>
      <c r="Q18" s="38">
        <v>58</v>
      </c>
      <c r="R18" s="38">
        <f t="shared" si="2"/>
        <v>1</v>
      </c>
      <c r="S18" s="38" t="str">
        <f>IF(LEFT($B18,4)="_Mil","",_xlfn.IFNA(ROUND(INDEX(Spectrum!$N:$N,MATCH(RIGHT($B18,13)&amp;"|"&amp;$C18&amp;"|"&amp;$D18&amp;"|"&amp;S$14&amp;"|"&amp;"CY2023Q4",Spectrum!$R:$R,0)),0),""))</f>
        <v/>
      </c>
      <c r="T18" s="218" t="str">
        <f>IF(LEFT($B18,4)="_Mil","",_xlfn.IFNA(ROUND(INDEX(Spectrum!$N:$N,MATCH(RIGHT($B18,13)&amp;"|"&amp;$C18&amp;"|"&amp;$D18&amp;"|"&amp;T$14&amp;"|"&amp;"CY2024Q3",Spectrum!$R:$R,0)),0),""))</f>
        <v/>
      </c>
      <c r="U18" s="218" t="str">
        <f>IF(LEFT($B18,4)="_Mil","",_xlfn.IFNA(ROUND(INDEX(Spectrum!$N:$N,MATCH(RIGHT($B18,13)&amp;"|"&amp;$C18&amp;"|"&amp;$D18&amp;"|"&amp;U$14&amp;"|"&amp;"CY2024Q3",Spectrum!$R:$R,0)),0),""))</f>
        <v/>
      </c>
      <c r="V18" s="38" t="str">
        <f>IF(LEFT($B18,4)="_Mil","",_xlfn.IFNA(ROUND(INDEX(Spectrum!$N:$N,MATCH(RIGHT($B18,13)&amp;"|"&amp;$C18&amp;"|"&amp;$D18&amp;"|"&amp;V$14&amp;"|"&amp;"CY2024Q3",Spectrum!$R:$R,0)),0),""))</f>
        <v/>
      </c>
      <c r="W18" s="220" t="str">
        <f>IF(LEFT($B18,4)="_Mil","",_xlfn.IFNA(INDEX(Spectrum!$N:$N,MATCH(RIGHT($B18,13)&amp;"|"&amp;$C18&amp;"|"&amp;$D18&amp;"|"&amp;W$14&amp;"|"&amp;"CY2024Q3",Spectrum!$R:$R,0)),""))</f>
        <v/>
      </c>
      <c r="X18" s="218" t="str">
        <f>IF(LEFT($B18,4)="_Mil","",_xlfn.IFNA(ROUND(INDEX(Spectrum!$N:$N,MATCH(RIGHT($B18,13)&amp;"|"&amp;$C18&amp;"|"&amp;$D18&amp;"|"&amp;X$14&amp;"|"&amp;"CY2024Q3",Spectrum!$R:$R,0)),0),""))</f>
        <v/>
      </c>
      <c r="Y18" s="33" t="str">
        <f t="shared" si="3"/>
        <v/>
      </c>
      <c r="Z18" s="218" t="str">
        <f>IF(LEFT($B18,4)="_Mil","",_xlfn.IFNA(ROUND(INDEX(Spectrum!$N:$N,MATCH(RIGHT($B18,13)&amp;"|"&amp;$C18&amp;"|"&amp;$D18&amp;"|"&amp;Z$14&amp;"|"&amp;"CY2024Q3",Spectrum!$R:$R,0)),0),""))</f>
        <v/>
      </c>
      <c r="AA18" s="33" t="str">
        <f>IF(LEFT($B18,4)="_Mil","",IFERROR(1/(1/INDEX(Spectrum!$N:$N,MATCH(RIGHT($B18,13)&amp;"|"&amp;$C18&amp;"|"&amp;$D18&amp;"|"&amp;AA$14&amp;"|"&amp;"CY2024Q3",Spectrum!$R:$R,0))),IF(SUM($U18)=0,"",SUM($Z18)/$U18)))</f>
        <v/>
      </c>
      <c r="AB18" s="33" t="str">
        <f t="shared" si="4"/>
        <v/>
      </c>
      <c r="AC18" s="38" t="str">
        <f>IF(LEFT($B18,4)="_Mil","",_xlfn.IFNA(ROUND(INDEX(Spectrum!$N:$N,MATCH(RIGHT($B18,13)&amp;"|"&amp;$C18&amp;"|"&amp;$D18&amp;"|"&amp;AC$14&amp;"|"&amp;"CY2024Q3",Spectrum!$R:$R,0)),0),""))</f>
        <v/>
      </c>
      <c r="AD18" s="38" t="str">
        <f>IF(LEFT($B18,4)="_Mil","",_xlfn.IFNA(ROUND(INDEX(Spectrum!$N:$N,MATCH(RIGHT($B18,13)&amp;"|"&amp;$C18&amp;"|"&amp;$D18&amp;"|"&amp;AD$14&amp;"|"&amp;"CY2024Q3",Spectrum!$R:$R,0)),0),""))</f>
        <v/>
      </c>
      <c r="AE18" s="33" t="str">
        <f t="shared" si="5"/>
        <v/>
      </c>
      <c r="AF18" s="218" t="str">
        <f>IF(LEFT($B18,4)="_Mil","",_xlfn.IFNA(ROUND(INDEX(Spectrum!$N:$N,MATCH(RIGHT($B18,13)&amp;"|"&amp;$C18&amp;"|"&amp;$D18&amp;"|"&amp;AF$14&amp;"|"&amp;"CY2024Q3",Spectrum!$R:$R,0)),0),""))</f>
        <v/>
      </c>
      <c r="AG18" s="33" t="str">
        <f t="shared" si="6"/>
        <v/>
      </c>
      <c r="AH18" s="110" t="str">
        <f>IF(LEFT($B18,4)="_Mil","",_xlfn.IFNA(INDEX(Spectrum!$N:$N,MATCH(RIGHT($B18,13)&amp;"|"&amp;$C18&amp;"|"&amp;$D18&amp;"|"&amp;AH$14&amp;"|"&amp;"CY2024Q3",Spectrum!$R:$R,0)),""))</f>
        <v/>
      </c>
      <c r="AI18" s="218" t="str">
        <f>IF(LEFT($B18,4)="_Mil","",_xlfn.IFNA(ROUND(INDEX(Spectrum!$N:$N,MATCH(RIGHT($B18,13)&amp;"|"&amp;$C18&amp;"|"&amp;$D18&amp;"|"&amp;AI$14&amp;"|"&amp;"CY2025Q3",Spectrum!$R:$R,0)),0),""))</f>
        <v/>
      </c>
      <c r="AJ18" s="38" t="str">
        <f>IF(LEFT($B18,4)="_Mil","",_xlfn.IFNA(ROUND(INDEX(Spectrum!$N:$N,MATCH(RIGHT($B18,13)&amp;"|"&amp;$C18&amp;"|"&amp;$D18&amp;"|"&amp;AJ$14&amp;"|"&amp;"CY2025Q3",Spectrum!$R:$R,0)),0),""))</f>
        <v/>
      </c>
      <c r="AK18" s="218" t="e">
        <f>#REF!</f>
        <v>#REF!</v>
      </c>
      <c r="AL18" s="33" t="str">
        <f t="shared" si="7"/>
        <v/>
      </c>
      <c r="AM18" s="38" t="str">
        <f>IF(OR(LEFT($B18,4)="_Mil",$C18="&lt;01"),"",ROUND(SUM($AK18)*SUM($AL18),0))</f>
        <v/>
      </c>
      <c r="AN18" s="38" t="str">
        <f>IF($C18="&lt;01",ROUND(INDEX(EID!$P:$P,MATCH($B18,EID!$B:$B,0))/2,0),"")</f>
        <v/>
      </c>
      <c r="AO18" s="38">
        <f>IF($C18="&lt;01",SUM($AN18),ROUND(SUM($AM18)*SUM($O18)/IF(SUM($Z18)=0,1,$Z18),0))</f>
        <v>0</v>
      </c>
      <c r="AP18" s="237">
        <f>IF(OR($F18="",$C18="&lt;01"),$AO18,ROUND($F18,0))</f>
        <v>41</v>
      </c>
      <c r="AQ18" s="218" t="str">
        <f>IF(LEFT($B18,4)="_Mil","",IF(SUM($AP18)=0,SUM($Z18),IF(OR(SUM($Z18)=0,SUM($O18)=0),MAX($AP18,$Z18),ROUND($AP18*$Z18/$O18,0))))</f>
        <v/>
      </c>
      <c r="AR18" s="33" t="e">
        <f>IF(OR(LEFT($B18,4)="_Mil",SUM($AK18)=0),"",SUM($AQ18)/$AK18)</f>
        <v>#REF!</v>
      </c>
      <c r="AS18" s="33">
        <v>0.94</v>
      </c>
      <c r="AT18" s="33">
        <v>0.96</v>
      </c>
      <c r="AU18" s="38">
        <f>IF($C18="&lt;01","",SUM($AP18)-SUM($O18))</f>
        <v>2</v>
      </c>
      <c r="AV18" s="38">
        <f>IF($C18="&lt;01",ROUND(INDEX(EID!$N:$N,MATCH($B18,EID!$B:$B,0))/2,0),IF(SUM($AT18)=0,"",ROUND((SUM($AP18)-(SUM($O18)*SUM($AS18)))/$AT18,0)))</f>
        <v>5</v>
      </c>
      <c r="AW18" s="33">
        <v>0.9</v>
      </c>
      <c r="AX18" s="218">
        <f>IF($C18="&lt;01",SUM($AV18),ROUND(SUM($AV18)*SUM($AW18),0))</f>
        <v>5</v>
      </c>
      <c r="AY18" s="79">
        <f t="shared" si="10"/>
        <v>0.7</v>
      </c>
      <c r="AZ18" s="85">
        <f>IF($C18="&lt;01",ROUND(INDEX(EID!$R:$R,MATCH($B18,EID!$B:$B,0))/2,0),ROUND(SUM($O18)+(SUM($AV18)*$AY18),0))</f>
        <v>43</v>
      </c>
      <c r="BA18" s="40">
        <f t="shared" si="11"/>
        <v>0.95</v>
      </c>
      <c r="BB18" s="99">
        <f>IF($C18="&lt;01",ROUND(INDEX(EID!$T:$T,MATCH($B18,EID!$B:$B,0))/2,0),ROUND($AP18*$BA18,0))</f>
        <v>39</v>
      </c>
      <c r="BC18" s="85" t="str">
        <f>IF(LEFT($B18,4)="_Mil","",IF(SUM($BB18)=0,SUM($AD18),IF(OR(SUM($AP18)=0,SUM($AQ18)=0),MAX($BB18,$AD18),ROUND($BB18*$AQ18/$AP18,0))))</f>
        <v/>
      </c>
      <c r="BD18" s="33">
        <f t="shared" si="12"/>
        <v>0.95</v>
      </c>
      <c r="BE18" s="218">
        <f>IF($C18="&lt;01",ROUND(INDEX(EID!$V:$V,MATCH($B18,EID!$B:$B,0))/2,0),ROUND($BD18*$BB18,0))</f>
        <v>37</v>
      </c>
      <c r="BF18" s="218" t="str">
        <f>IF(LEFT($B18,4)="_Mil","",IF(SUM($BE18)=0,SUM($AF18),IF(OR(SUM($AP18)=0,SUM($AQ18)=0),MAX($BE18,$AF18),ROUND($BE18*$AQ18/$AP18,0))))</f>
        <v/>
      </c>
      <c r="BG18" s="79">
        <f t="shared" si="13"/>
        <v>0.95</v>
      </c>
      <c r="BH18" s="99">
        <f>IF($C18="&lt;01",ROUND(INDEX(EID!$L:$L,MATCH($B18,EID!$B:$B,0)),0)/2,IF(SUM($BG18)=0,"",ROUND($AX18/$BG18,0)))</f>
        <v>5</v>
      </c>
    </row>
    <row r="19" spans="1:60" x14ac:dyDescent="0.2">
      <c r="A19" t="str">
        <f>INDEX(Prioritization!$D:$D,MATCH($B19,Prioritization!$A:$A,0))</f>
        <v>Military</v>
      </c>
      <c r="B19" t="s">
        <v>326</v>
      </c>
      <c r="C19" t="s">
        <v>474</v>
      </c>
      <c r="D19" t="s">
        <v>30</v>
      </c>
      <c r="E19" t="str">
        <f t="shared" si="0"/>
        <v>_Military Malawi [PQZgU9dagaH]|10-14|Female</v>
      </c>
      <c r="F19" s="243">
        <v>65</v>
      </c>
      <c r="G19" s="38">
        <v>2</v>
      </c>
      <c r="H19" s="38">
        <v>3</v>
      </c>
      <c r="I19" s="38">
        <v>61</v>
      </c>
      <c r="J19" s="38">
        <v>41</v>
      </c>
      <c r="K19" s="38">
        <v>32</v>
      </c>
      <c r="L19" s="38">
        <v>20</v>
      </c>
      <c r="M19" s="38">
        <v>19</v>
      </c>
      <c r="N19" s="38">
        <v>117</v>
      </c>
      <c r="O19" s="229">
        <v>63</v>
      </c>
      <c r="P19" s="38">
        <v>109</v>
      </c>
      <c r="Q19" s="38">
        <v>104</v>
      </c>
      <c r="R19" s="38">
        <f t="shared" si="2"/>
        <v>2</v>
      </c>
      <c r="S19" s="38" t="str">
        <f>IF(LEFT($B19,4)="_Mil","",_xlfn.IFNA(ROUND(INDEX(Spectrum!$N:$N,MATCH(RIGHT($B19,13)&amp;"|"&amp;$C19&amp;"|"&amp;$D19&amp;"|"&amp;S$14&amp;"|"&amp;"CY2023Q4",Spectrum!$R:$R,0)),0),""))</f>
        <v/>
      </c>
      <c r="T19" s="218" t="str">
        <f>IF(LEFT($B19,4)="_Mil","",_xlfn.IFNA(ROUND(INDEX(Spectrum!$N:$N,MATCH(RIGHT($B19,13)&amp;"|"&amp;$C19&amp;"|"&amp;$D19&amp;"|"&amp;T$14&amp;"|"&amp;"CY2024Q3",Spectrum!$R:$R,0)),0),""))</f>
        <v/>
      </c>
      <c r="U19" s="218" t="str">
        <f>IF(LEFT($B19,4)="_Mil","",_xlfn.IFNA(ROUND(INDEX(Spectrum!$N:$N,MATCH(RIGHT($B19,13)&amp;"|"&amp;$C19&amp;"|"&amp;$D19&amp;"|"&amp;U$14&amp;"|"&amp;"CY2024Q3",Spectrum!$R:$R,0)),0),""))</f>
        <v/>
      </c>
      <c r="V19" s="38" t="str">
        <f>IF(LEFT($B19,4)="_Mil","",_xlfn.IFNA(ROUND(INDEX(Spectrum!$N:$N,MATCH(RIGHT($B19,13)&amp;"|"&amp;$C19&amp;"|"&amp;$D19&amp;"|"&amp;V$14&amp;"|"&amp;"CY2024Q3",Spectrum!$R:$R,0)),0),""))</f>
        <v/>
      </c>
      <c r="W19" s="220" t="str">
        <f>IF(LEFT($B19,4)="_Mil","",_xlfn.IFNA(INDEX(Spectrum!$N:$N,MATCH(RIGHT($B19,13)&amp;"|"&amp;$C19&amp;"|"&amp;$D19&amp;"|"&amp;W$14&amp;"|"&amp;"CY2024Q3",Spectrum!$R:$R,0)),""))</f>
        <v/>
      </c>
      <c r="X19" s="218" t="str">
        <f>IF(LEFT($B19,4)="_Mil","",_xlfn.IFNA(ROUND(INDEX(Spectrum!$N:$N,MATCH(RIGHT($B19,13)&amp;"|"&amp;$C19&amp;"|"&amp;$D19&amp;"|"&amp;X$14&amp;"|"&amp;"CY2024Q3",Spectrum!$R:$R,0)),0),""))</f>
        <v/>
      </c>
      <c r="Y19" s="33" t="str">
        <f t="shared" si="3"/>
        <v/>
      </c>
      <c r="Z19" s="218" t="str">
        <f>IF(LEFT($B19,4)="_Mil","",_xlfn.IFNA(ROUND(INDEX(Spectrum!$N:$N,MATCH(RIGHT($B19,13)&amp;"|"&amp;$C19&amp;"|"&amp;$D19&amp;"|"&amp;Z$14&amp;"|"&amp;"CY2024Q3",Spectrum!$R:$R,0)),0),""))</f>
        <v/>
      </c>
      <c r="AA19" s="33" t="str">
        <f>IF(LEFT($B19,4)="_Mil","",IFERROR(1/(1/INDEX(Spectrum!$N:$N,MATCH(RIGHT($B19,13)&amp;"|"&amp;$C19&amp;"|"&amp;$D19&amp;"|"&amp;AA$14&amp;"|"&amp;"CY2024Q3",Spectrum!$R:$R,0))),IF(SUM($U19)=0,"",SUM($Z19)/$U19)))</f>
        <v/>
      </c>
      <c r="AB19" s="33" t="str">
        <f t="shared" si="4"/>
        <v/>
      </c>
      <c r="AC19" s="38" t="str">
        <f>IF(LEFT($B19,4)="_Mil","",_xlfn.IFNA(ROUND(INDEX(Spectrum!$N:$N,MATCH(RIGHT($B19,13)&amp;"|"&amp;$C19&amp;"|"&amp;$D19&amp;"|"&amp;AC$14&amp;"|"&amp;"CY2024Q3",Spectrum!$R:$R,0)),0),""))</f>
        <v/>
      </c>
      <c r="AD19" s="38" t="str">
        <f>IF(LEFT($B19,4)="_Mil","",_xlfn.IFNA(ROUND(INDEX(Spectrum!$N:$N,MATCH(RIGHT($B19,13)&amp;"|"&amp;$C19&amp;"|"&amp;$D19&amp;"|"&amp;AD$14&amp;"|"&amp;"CY2024Q3",Spectrum!$R:$R,0)),0),""))</f>
        <v/>
      </c>
      <c r="AE19" s="33" t="str">
        <f t="shared" si="5"/>
        <v/>
      </c>
      <c r="AF19" s="218" t="str">
        <f>IF(LEFT($B19,4)="_Mil","",_xlfn.IFNA(ROUND(INDEX(Spectrum!$N:$N,MATCH(RIGHT($B19,13)&amp;"|"&amp;$C19&amp;"|"&amp;$D19&amp;"|"&amp;AF$14&amp;"|"&amp;"CY2024Q3",Spectrum!$R:$R,0)),0),""))</f>
        <v/>
      </c>
      <c r="AG19" s="33" t="str">
        <f t="shared" si="6"/>
        <v/>
      </c>
      <c r="AH19" s="110" t="str">
        <f>IF(LEFT($B19,4)="_Mil","",_xlfn.IFNA(INDEX(Spectrum!$N:$N,MATCH(RIGHT($B19,13)&amp;"|"&amp;$C19&amp;"|"&amp;$D19&amp;"|"&amp;AH$14&amp;"|"&amp;"CY2024Q3",Spectrum!$R:$R,0)),""))</f>
        <v/>
      </c>
      <c r="AI19" s="218" t="str">
        <f>IF(LEFT($B19,4)="_Mil","",_xlfn.IFNA(ROUND(INDEX(Spectrum!$N:$N,MATCH(RIGHT($B19,13)&amp;"|"&amp;$C19&amp;"|"&amp;$D19&amp;"|"&amp;AI$14&amp;"|"&amp;"CY2025Q3",Spectrum!$R:$R,0)),0),""))</f>
        <v/>
      </c>
      <c r="AJ19" s="38" t="str">
        <f>IF(LEFT($B19,4)="_Mil","",_xlfn.IFNA(ROUND(INDEX(Spectrum!$N:$N,MATCH(RIGHT($B19,13)&amp;"|"&amp;$C19&amp;"|"&amp;$D19&amp;"|"&amp;AJ$14&amp;"|"&amp;"CY2025Q3",Spectrum!$R:$R,0)),0),""))</f>
        <v/>
      </c>
      <c r="AK19" s="218" t="e">
        <f>#REF!</f>
        <v>#REF!</v>
      </c>
      <c r="AL19" s="33" t="str">
        <f t="shared" si="7"/>
        <v/>
      </c>
      <c r="AM19" s="38" t="str">
        <f>IF(OR(LEFT($B19,4)="_Mil",$C19="&lt;01"),"",ROUND(SUM($AK19)*SUM($AL19),0))</f>
        <v/>
      </c>
      <c r="AN19" s="38" t="str">
        <f>IF($C19="&lt;01",ROUND(INDEX(EID!$P:$P,MATCH($B19,EID!$B:$B,0))/2,0),"")</f>
        <v/>
      </c>
      <c r="AO19" s="38">
        <f>IF($C19="&lt;01",SUM($AN19),ROUND(SUM($AM19)*SUM($O19)/IF(SUM($Z19)=0,1,$Z19),0))</f>
        <v>0</v>
      </c>
      <c r="AP19" s="237">
        <f>IF(OR($F19="",$C19="&lt;01"),$AO19,ROUND($F19,0))</f>
        <v>65</v>
      </c>
      <c r="AQ19" s="218" t="str">
        <f>IF(LEFT($B19,4)="_Mil","",IF(SUM($AP19)=0,SUM($Z19),IF(OR(SUM($Z19)=0,SUM($O19)=0),MAX($AP19,$Z19),ROUND($AP19*$Z19/$O19,0))))</f>
        <v/>
      </c>
      <c r="AR19" s="33" t="e">
        <f>IF(OR(LEFT($B19,4)="_Mil",SUM($AK19)=0),"",SUM($AQ19)/$AK19)</f>
        <v>#REF!</v>
      </c>
      <c r="AS19" s="33">
        <v>0.94</v>
      </c>
      <c r="AT19" s="33">
        <v>0.96</v>
      </c>
      <c r="AU19" s="38">
        <f>IF($C19="&lt;01","",SUM($AP19)-SUM($O19))</f>
        <v>2</v>
      </c>
      <c r="AV19" s="38">
        <f>IF($C19="&lt;01",ROUND(INDEX(EID!$N:$N,MATCH($B19,EID!$B:$B,0))/2,0),IF(SUM($AT19)=0,"",ROUND((SUM($AP19)-(SUM($O19)*SUM($AS19)))/$AT19,0)))</f>
        <v>6</v>
      </c>
      <c r="AW19" s="33">
        <v>0.9</v>
      </c>
      <c r="AX19" s="218">
        <f>IF($C19="&lt;01",SUM($AV19),ROUND(SUM($AV19)*SUM($AW19),0))</f>
        <v>5</v>
      </c>
      <c r="AY19" s="79">
        <f t="shared" si="10"/>
        <v>0.7</v>
      </c>
      <c r="AZ19" s="85">
        <f>IF($C19="&lt;01",ROUND(INDEX(EID!$R:$R,MATCH($B19,EID!$B:$B,0))/2,0),ROUND(SUM($O19)+(SUM($AV19)*$AY19),0))</f>
        <v>67</v>
      </c>
      <c r="BA19" s="40">
        <f t="shared" si="11"/>
        <v>0.95</v>
      </c>
      <c r="BB19" s="99">
        <f>IF($C19="&lt;01",ROUND(INDEX(EID!$T:$T,MATCH($B19,EID!$B:$B,0))/2,0),ROUND($AP19*$BA19,0))</f>
        <v>62</v>
      </c>
      <c r="BC19" s="85" t="str">
        <f>IF(LEFT($B19,4)="_Mil","",IF(SUM($BB19)=0,SUM($AD19),IF(OR(SUM($AP19)=0,SUM($AQ19)=0),MAX($BB19,$AD19),ROUND($BB19*$AQ19/$AP19,0))))</f>
        <v/>
      </c>
      <c r="BD19" s="33">
        <f t="shared" si="12"/>
        <v>0.95</v>
      </c>
      <c r="BE19" s="218">
        <f>IF($C19="&lt;01",ROUND(INDEX(EID!$V:$V,MATCH($B19,EID!$B:$B,0))/2,0),ROUND($BD19*$BB19,0))</f>
        <v>59</v>
      </c>
      <c r="BF19" s="218" t="str">
        <f>IF(LEFT($B19,4)="_Mil","",IF(SUM($BE19)=0,SUM($AF19),IF(OR(SUM($AP19)=0,SUM($AQ19)=0),MAX($BE19,$AF19),ROUND($BE19*$AQ19/$AP19,0))))</f>
        <v/>
      </c>
      <c r="BG19" s="79">
        <f t="shared" si="13"/>
        <v>0.95</v>
      </c>
      <c r="BH19" s="99">
        <f>IF($C19="&lt;01",ROUND(INDEX(EID!$L:$L,MATCH($B19,EID!$B:$B,0)),0)/2,IF(SUM($BG19)=0,"",ROUND($AX19/$BG19,0)))</f>
        <v>5</v>
      </c>
    </row>
    <row r="20" spans="1:60" x14ac:dyDescent="0.2">
      <c r="A20" t="str">
        <f>INDEX(Prioritization!$D:$D,MATCH($B20,Prioritization!$A:$A,0))</f>
        <v>Military</v>
      </c>
      <c r="B20" t="s">
        <v>326</v>
      </c>
      <c r="C20" t="s">
        <v>474</v>
      </c>
      <c r="D20" t="s">
        <v>48</v>
      </c>
      <c r="E20" t="str">
        <f t="shared" si="0"/>
        <v>_Military Malawi [PQZgU9dagaH]|10-14|Male</v>
      </c>
      <c r="F20" s="243">
        <v>65</v>
      </c>
      <c r="G20" s="38">
        <v>1</v>
      </c>
      <c r="H20" s="38">
        <v>2</v>
      </c>
      <c r="I20" s="38">
        <v>61</v>
      </c>
      <c r="J20" s="38">
        <v>43</v>
      </c>
      <c r="K20" s="38">
        <v>39</v>
      </c>
      <c r="L20" s="38">
        <v>18</v>
      </c>
      <c r="M20" s="38">
        <v>18</v>
      </c>
      <c r="N20" s="38">
        <v>110</v>
      </c>
      <c r="O20" s="229">
        <v>63</v>
      </c>
      <c r="P20" s="38">
        <v>103</v>
      </c>
      <c r="Q20" s="38">
        <v>98</v>
      </c>
      <c r="R20" s="38">
        <f t="shared" si="2"/>
        <v>2</v>
      </c>
      <c r="S20" s="38" t="str">
        <f>IF(LEFT($B20,4)="_Mil","",_xlfn.IFNA(ROUND(INDEX(Spectrum!$N:$N,MATCH(RIGHT($B20,13)&amp;"|"&amp;$C20&amp;"|"&amp;$D20&amp;"|"&amp;S$14&amp;"|"&amp;"CY2023Q4",Spectrum!$R:$R,0)),0),""))</f>
        <v/>
      </c>
      <c r="T20" s="218" t="str">
        <f>IF(LEFT($B20,4)="_Mil","",_xlfn.IFNA(ROUND(INDEX(Spectrum!$N:$N,MATCH(RIGHT($B20,13)&amp;"|"&amp;$C20&amp;"|"&amp;$D20&amp;"|"&amp;T$14&amp;"|"&amp;"CY2024Q3",Spectrum!$R:$R,0)),0),""))</f>
        <v/>
      </c>
      <c r="U20" s="218" t="str">
        <f>IF(LEFT($B20,4)="_Mil","",_xlfn.IFNA(ROUND(INDEX(Spectrum!$N:$N,MATCH(RIGHT($B20,13)&amp;"|"&amp;$C20&amp;"|"&amp;$D20&amp;"|"&amp;U$14&amp;"|"&amp;"CY2024Q3",Spectrum!$R:$R,0)),0),""))</f>
        <v/>
      </c>
      <c r="V20" s="38" t="str">
        <f>IF(LEFT($B20,4)="_Mil","",_xlfn.IFNA(ROUND(INDEX(Spectrum!$N:$N,MATCH(RIGHT($B20,13)&amp;"|"&amp;$C20&amp;"|"&amp;$D20&amp;"|"&amp;V$14&amp;"|"&amp;"CY2024Q3",Spectrum!$R:$R,0)),0),""))</f>
        <v/>
      </c>
      <c r="W20" s="220" t="str">
        <f>IF(LEFT($B20,4)="_Mil","",_xlfn.IFNA(INDEX(Spectrum!$N:$N,MATCH(RIGHT($B20,13)&amp;"|"&amp;$C20&amp;"|"&amp;$D20&amp;"|"&amp;W$14&amp;"|"&amp;"CY2024Q3",Spectrum!$R:$R,0)),""))</f>
        <v/>
      </c>
      <c r="X20" s="218" t="str">
        <f>IF(LEFT($B20,4)="_Mil","",_xlfn.IFNA(ROUND(INDEX(Spectrum!$N:$N,MATCH(RIGHT($B20,13)&amp;"|"&amp;$C20&amp;"|"&amp;$D20&amp;"|"&amp;X$14&amp;"|"&amp;"CY2024Q3",Spectrum!$R:$R,0)),0),""))</f>
        <v/>
      </c>
      <c r="Y20" s="33" t="str">
        <f t="shared" si="3"/>
        <v/>
      </c>
      <c r="Z20" s="218" t="str">
        <f>IF(LEFT($B20,4)="_Mil","",_xlfn.IFNA(ROUND(INDEX(Spectrum!$N:$N,MATCH(RIGHT($B20,13)&amp;"|"&amp;$C20&amp;"|"&amp;$D20&amp;"|"&amp;Z$14&amp;"|"&amp;"CY2024Q3",Spectrum!$R:$R,0)),0),""))</f>
        <v/>
      </c>
      <c r="AA20" s="33" t="str">
        <f>IF(LEFT($B20,4)="_Mil","",IFERROR(1/(1/INDEX(Spectrum!$N:$N,MATCH(RIGHT($B20,13)&amp;"|"&amp;$C20&amp;"|"&amp;$D20&amp;"|"&amp;AA$14&amp;"|"&amp;"CY2024Q3",Spectrum!$R:$R,0))),IF(SUM($U20)=0,"",SUM($Z20)/$U20)))</f>
        <v/>
      </c>
      <c r="AB20" s="33" t="str">
        <f t="shared" si="4"/>
        <v/>
      </c>
      <c r="AC20" s="38" t="str">
        <f>IF(LEFT($B20,4)="_Mil","",_xlfn.IFNA(ROUND(INDEX(Spectrum!$N:$N,MATCH(RIGHT($B20,13)&amp;"|"&amp;$C20&amp;"|"&amp;$D20&amp;"|"&amp;AC$14&amp;"|"&amp;"CY2024Q3",Spectrum!$R:$R,0)),0),""))</f>
        <v/>
      </c>
      <c r="AD20" s="38" t="str">
        <f>IF(LEFT($B20,4)="_Mil","",_xlfn.IFNA(ROUND(INDEX(Spectrum!$N:$N,MATCH(RIGHT($B20,13)&amp;"|"&amp;$C20&amp;"|"&amp;$D20&amp;"|"&amp;AD$14&amp;"|"&amp;"CY2024Q3",Spectrum!$R:$R,0)),0),""))</f>
        <v/>
      </c>
      <c r="AE20" s="33" t="str">
        <f t="shared" si="5"/>
        <v/>
      </c>
      <c r="AF20" s="218" t="str">
        <f>IF(LEFT($B20,4)="_Mil","",_xlfn.IFNA(ROUND(INDEX(Spectrum!$N:$N,MATCH(RIGHT($B20,13)&amp;"|"&amp;$C20&amp;"|"&amp;$D20&amp;"|"&amp;AF$14&amp;"|"&amp;"CY2024Q3",Spectrum!$R:$R,0)),0),""))</f>
        <v/>
      </c>
      <c r="AG20" s="33" t="str">
        <f t="shared" si="6"/>
        <v/>
      </c>
      <c r="AH20" s="110" t="str">
        <f>IF(LEFT($B20,4)="_Mil","",_xlfn.IFNA(INDEX(Spectrum!$N:$N,MATCH(RIGHT($B20,13)&amp;"|"&amp;$C20&amp;"|"&amp;$D20&amp;"|"&amp;AH$14&amp;"|"&amp;"CY2024Q3",Spectrum!$R:$R,0)),""))</f>
        <v/>
      </c>
      <c r="AI20" s="218" t="str">
        <f>IF(LEFT($B20,4)="_Mil","",_xlfn.IFNA(ROUND(INDEX(Spectrum!$N:$N,MATCH(RIGHT($B20,13)&amp;"|"&amp;$C20&amp;"|"&amp;$D20&amp;"|"&amp;AI$14&amp;"|"&amp;"CY2025Q3",Spectrum!$R:$R,0)),0),""))</f>
        <v/>
      </c>
      <c r="AJ20" s="38" t="str">
        <f>IF(LEFT($B20,4)="_Mil","",_xlfn.IFNA(ROUND(INDEX(Spectrum!$N:$N,MATCH(RIGHT($B20,13)&amp;"|"&amp;$C20&amp;"|"&amp;$D20&amp;"|"&amp;AJ$14&amp;"|"&amp;"CY2025Q3",Spectrum!$R:$R,0)),0),""))</f>
        <v/>
      </c>
      <c r="AK20" s="218" t="e">
        <f>#REF!</f>
        <v>#REF!</v>
      </c>
      <c r="AL20" s="33" t="str">
        <f t="shared" si="7"/>
        <v/>
      </c>
      <c r="AM20" s="38" t="str">
        <f>IF(OR(LEFT($B20,4)="_Mil",$C20="&lt;01"),"",ROUND(SUM($AK20)*SUM($AL20),0))</f>
        <v/>
      </c>
      <c r="AN20" s="38" t="str">
        <f>IF($C20="&lt;01",ROUND(INDEX(EID!$P:$P,MATCH($B20,EID!$B:$B,0))/2,0),"")</f>
        <v/>
      </c>
      <c r="AO20" s="38">
        <f>IF($C20="&lt;01",SUM($AN20),ROUND(SUM($AM20)*SUM($O20)/IF(SUM($Z20)=0,1,$Z20),0))</f>
        <v>0</v>
      </c>
      <c r="AP20" s="237">
        <f>IF(OR($F20="",$C20="&lt;01"),$AO20,ROUND($F20,0))</f>
        <v>65</v>
      </c>
      <c r="AQ20" s="218" t="str">
        <f>IF(LEFT($B20,4)="_Mil","",IF(SUM($AP20)=0,SUM($Z20),IF(OR(SUM($Z20)=0,SUM($O20)=0),MAX($AP20,$Z20),ROUND($AP20*$Z20/$O20,0))))</f>
        <v/>
      </c>
      <c r="AR20" s="33" t="e">
        <f>IF(OR(LEFT($B20,4)="_Mil",SUM($AK20)=0),"",SUM($AQ20)/$AK20)</f>
        <v>#REF!</v>
      </c>
      <c r="AS20" s="33">
        <v>0.94</v>
      </c>
      <c r="AT20" s="33">
        <v>0.96</v>
      </c>
      <c r="AU20" s="38">
        <f>IF($C20="&lt;01","",SUM($AP20)-SUM($O20))</f>
        <v>2</v>
      </c>
      <c r="AV20" s="38">
        <f>IF($C20="&lt;01",ROUND(INDEX(EID!$N:$N,MATCH($B20,EID!$B:$B,0))/2,0),IF(SUM($AT20)=0,"",ROUND((SUM($AP20)-(SUM($O20)*SUM($AS20)))/$AT20,0)))</f>
        <v>6</v>
      </c>
      <c r="AW20" s="33">
        <v>0.9</v>
      </c>
      <c r="AX20" s="218">
        <f>IF($C20="&lt;01",SUM($AV20),ROUND(SUM($AV20)*SUM($AW20),0))</f>
        <v>5</v>
      </c>
      <c r="AY20" s="79">
        <f t="shared" si="10"/>
        <v>0.7</v>
      </c>
      <c r="AZ20" s="85">
        <f>IF($C20="&lt;01",ROUND(INDEX(EID!$R:$R,MATCH($B20,EID!$B:$B,0))/2,0),ROUND(SUM($O20)+(SUM($AV20)*$AY20),0))</f>
        <v>67</v>
      </c>
      <c r="BA20" s="40">
        <f t="shared" si="11"/>
        <v>0.95</v>
      </c>
      <c r="BB20" s="99">
        <f>IF($C20="&lt;01",ROUND(INDEX(EID!$T:$T,MATCH($B20,EID!$B:$B,0))/2,0),ROUND($AP20*$BA20,0))</f>
        <v>62</v>
      </c>
      <c r="BC20" s="85" t="str">
        <f>IF(LEFT($B20,4)="_Mil","",IF(SUM($BB20)=0,SUM($AD20),IF(OR(SUM($AP20)=0,SUM($AQ20)=0),MAX($BB20,$AD20),ROUND($BB20*$AQ20/$AP20,0))))</f>
        <v/>
      </c>
      <c r="BD20" s="33">
        <f t="shared" si="12"/>
        <v>0.95</v>
      </c>
      <c r="BE20" s="218">
        <f>IF($C20="&lt;01",ROUND(INDEX(EID!$V:$V,MATCH($B20,EID!$B:$B,0))/2,0),ROUND($BD20*$BB20,0))</f>
        <v>59</v>
      </c>
      <c r="BF20" s="218" t="str">
        <f>IF(LEFT($B20,4)="_Mil","",IF(SUM($BE20)=0,SUM($AF20),IF(OR(SUM($AP20)=0,SUM($AQ20)=0),MAX($BE20,$AF20),ROUND($BE20*$AQ20/$AP20,0))))</f>
        <v/>
      </c>
      <c r="BG20" s="79">
        <f t="shared" si="13"/>
        <v>0.95</v>
      </c>
      <c r="BH20" s="99">
        <f>IF($C20="&lt;01",ROUND(INDEX(EID!$L:$L,MATCH($B20,EID!$B:$B,0)),0)/2,IF(SUM($BG20)=0,"",ROUND($AX20/$BG20,0)))</f>
        <v>5</v>
      </c>
    </row>
    <row r="21" spans="1:60" x14ac:dyDescent="0.2">
      <c r="A21" t="str">
        <f>INDEX(Prioritization!$D:$D,MATCH($B21,Prioritization!$A:$A,0))</f>
        <v>Military</v>
      </c>
      <c r="B21" t="s">
        <v>326</v>
      </c>
      <c r="C21" t="s">
        <v>475</v>
      </c>
      <c r="D21" t="s">
        <v>30</v>
      </c>
      <c r="E21" t="str">
        <f t="shared" si="0"/>
        <v>_Military Malawi [PQZgU9dagaH]|15-24|Female</v>
      </c>
      <c r="F21" s="243">
        <v>387</v>
      </c>
      <c r="G21" s="38">
        <v>178</v>
      </c>
      <c r="H21" s="38">
        <v>107</v>
      </c>
      <c r="I21" s="38">
        <v>358</v>
      </c>
      <c r="J21" s="38">
        <v>202</v>
      </c>
      <c r="K21" s="38">
        <v>181</v>
      </c>
      <c r="L21" s="38">
        <v>75</v>
      </c>
      <c r="M21" s="38">
        <v>71</v>
      </c>
      <c r="N21" s="38">
        <v>441</v>
      </c>
      <c r="O21" s="229">
        <v>372</v>
      </c>
      <c r="P21" s="38">
        <v>410</v>
      </c>
      <c r="Q21" s="38">
        <v>390</v>
      </c>
      <c r="R21" s="38">
        <f t="shared" si="2"/>
        <v>14</v>
      </c>
      <c r="S21" s="38" t="str">
        <f>IF(LEFT($B21,4)="_Mil","",_xlfn.IFNA(ROUND(INDEX(Spectrum!$N:$N,MATCH(RIGHT($B21,13)&amp;"|"&amp;$C21&amp;"|"&amp;$D21&amp;"|"&amp;S$14&amp;"|"&amp;"CY2023Q4",Spectrum!$R:$R,0)),0),""))</f>
        <v/>
      </c>
      <c r="T21" s="218" t="str">
        <f>IF(LEFT($B21,4)="_Mil","",_xlfn.IFNA(ROUND(INDEX(Spectrum!$N:$N,MATCH(RIGHT($B21,13)&amp;"|"&amp;$C21&amp;"|"&amp;$D21&amp;"|"&amp;T$14&amp;"|"&amp;"CY2024Q3",Spectrum!$R:$R,0)),0),""))</f>
        <v/>
      </c>
      <c r="U21" s="218" t="str">
        <f>IF(LEFT($B21,4)="_Mil","",_xlfn.IFNA(ROUND(INDEX(Spectrum!$N:$N,MATCH(RIGHT($B21,13)&amp;"|"&amp;$C21&amp;"|"&amp;$D21&amp;"|"&amp;U$14&amp;"|"&amp;"CY2024Q3",Spectrum!$R:$R,0)),0),""))</f>
        <v/>
      </c>
      <c r="V21" s="38" t="str">
        <f>IF(LEFT($B21,4)="_Mil","",_xlfn.IFNA(ROUND(INDEX(Spectrum!$N:$N,MATCH(RIGHT($B21,13)&amp;"|"&amp;$C21&amp;"|"&amp;$D21&amp;"|"&amp;V$14&amp;"|"&amp;"CY2024Q3",Spectrum!$R:$R,0)),0),""))</f>
        <v/>
      </c>
      <c r="W21" s="220" t="str">
        <f>IF(LEFT($B21,4)="_Mil","",_xlfn.IFNA(INDEX(Spectrum!$N:$N,MATCH(RIGHT($B21,13)&amp;"|"&amp;$C21&amp;"|"&amp;$D21&amp;"|"&amp;W$14&amp;"|"&amp;"CY2024Q3",Spectrum!$R:$R,0)),""))</f>
        <v/>
      </c>
      <c r="X21" s="218" t="str">
        <f>IF(LEFT($B21,4)="_Mil","",_xlfn.IFNA(ROUND(INDEX(Spectrum!$N:$N,MATCH(RIGHT($B21,13)&amp;"|"&amp;$C21&amp;"|"&amp;$D21&amp;"|"&amp;X$14&amp;"|"&amp;"CY2024Q3",Spectrum!$R:$R,0)),0),""))</f>
        <v/>
      </c>
      <c r="Y21" s="33" t="str">
        <f t="shared" si="3"/>
        <v/>
      </c>
      <c r="Z21" s="218" t="str">
        <f>IF(LEFT($B21,4)="_Mil","",_xlfn.IFNA(ROUND(INDEX(Spectrum!$N:$N,MATCH(RIGHT($B21,13)&amp;"|"&amp;$C21&amp;"|"&amp;$D21&amp;"|"&amp;Z$14&amp;"|"&amp;"CY2024Q3",Spectrum!$R:$R,0)),0),""))</f>
        <v/>
      </c>
      <c r="AA21" s="33" t="str">
        <f>IF(LEFT($B21,4)="_Mil","",IFERROR(1/(1/INDEX(Spectrum!$N:$N,MATCH(RIGHT($B21,13)&amp;"|"&amp;$C21&amp;"|"&amp;$D21&amp;"|"&amp;AA$14&amp;"|"&amp;"CY2024Q3",Spectrum!$R:$R,0))),IF(SUM($U21)=0,"",SUM($Z21)/$U21)))</f>
        <v/>
      </c>
      <c r="AB21" s="33" t="str">
        <f t="shared" si="4"/>
        <v/>
      </c>
      <c r="AC21" s="38" t="str">
        <f>IF(LEFT($B21,4)="_Mil","",_xlfn.IFNA(ROUND(INDEX(Spectrum!$N:$N,MATCH(RIGHT($B21,13)&amp;"|"&amp;$C21&amp;"|"&amp;$D21&amp;"|"&amp;AC$14&amp;"|"&amp;"CY2024Q3",Spectrum!$R:$R,0)),0),""))</f>
        <v/>
      </c>
      <c r="AD21" s="38" t="str">
        <f>IF(LEFT($B21,4)="_Mil","",_xlfn.IFNA(ROUND(INDEX(Spectrum!$N:$N,MATCH(RIGHT($B21,13)&amp;"|"&amp;$C21&amp;"|"&amp;$D21&amp;"|"&amp;AD$14&amp;"|"&amp;"CY2024Q3",Spectrum!$R:$R,0)),0),""))</f>
        <v/>
      </c>
      <c r="AE21" s="33" t="str">
        <f t="shared" si="5"/>
        <v/>
      </c>
      <c r="AF21" s="218" t="str">
        <f>IF(LEFT($B21,4)="_Mil","",_xlfn.IFNA(ROUND(INDEX(Spectrum!$N:$N,MATCH(RIGHT($B21,13)&amp;"|"&amp;$C21&amp;"|"&amp;$D21&amp;"|"&amp;AF$14&amp;"|"&amp;"CY2024Q3",Spectrum!$R:$R,0)),0),""))</f>
        <v/>
      </c>
      <c r="AG21" s="33" t="str">
        <f t="shared" si="6"/>
        <v/>
      </c>
      <c r="AH21" s="110" t="str">
        <f>IF(LEFT($B21,4)="_Mil","",_xlfn.IFNA(INDEX(Spectrum!$N:$N,MATCH(RIGHT($B21,13)&amp;"|"&amp;$C21&amp;"|"&amp;$D21&amp;"|"&amp;AH$14&amp;"|"&amp;"CY2024Q3",Spectrum!$R:$R,0)),""))</f>
        <v/>
      </c>
      <c r="AI21" s="218" t="str">
        <f>IF(LEFT($B21,4)="_Mil","",_xlfn.IFNA(ROUND(INDEX(Spectrum!$N:$N,MATCH(RIGHT($B21,13)&amp;"|"&amp;$C21&amp;"|"&amp;$D21&amp;"|"&amp;AI$14&amp;"|"&amp;"CY2025Q3",Spectrum!$R:$R,0)),0),""))</f>
        <v/>
      </c>
      <c r="AJ21" s="38" t="str">
        <f>IF(LEFT($B21,4)="_Mil","",_xlfn.IFNA(ROUND(INDEX(Spectrum!$N:$N,MATCH(RIGHT($B21,13)&amp;"|"&amp;$C21&amp;"|"&amp;$D21&amp;"|"&amp;AJ$14&amp;"|"&amp;"CY2025Q3",Spectrum!$R:$R,0)),0),""))</f>
        <v/>
      </c>
      <c r="AK21" s="218" t="e">
        <f>#REF!</f>
        <v>#REF!</v>
      </c>
      <c r="AL21" s="33" t="str">
        <f t="shared" si="7"/>
        <v/>
      </c>
      <c r="AM21" s="38" t="str">
        <f>IF(OR(LEFT($B21,4)="_Mil",$C21="&lt;01"),"",ROUND(SUM($AK21)*SUM($AL21),0))</f>
        <v/>
      </c>
      <c r="AN21" s="38" t="str">
        <f>IF($C21="&lt;01",ROUND(INDEX(EID!$P:$P,MATCH($B21,EID!$B:$B,0))/2,0),"")</f>
        <v/>
      </c>
      <c r="AO21" s="38">
        <f>IF($C21="&lt;01",SUM($AN21),ROUND(SUM($AM21)*SUM($O21)/IF(SUM($Z21)=0,1,$Z21),0))</f>
        <v>0</v>
      </c>
      <c r="AP21" s="237">
        <f>IF(OR($F21="",$C21="&lt;01"),$AO21,ROUND($F21,0))</f>
        <v>387</v>
      </c>
      <c r="AQ21" s="218" t="str">
        <f>IF(LEFT($B21,4)="_Mil","",IF(SUM($AP21)=0,SUM($Z21),IF(OR(SUM($Z21)=0,SUM($O21)=0),MAX($AP21,$Z21),ROUND($AP21*$Z21/$O21,0))))</f>
        <v/>
      </c>
      <c r="AR21" s="33" t="e">
        <f>IF(OR(LEFT($B21,4)="_Mil",SUM($AK21)=0),"",SUM($AQ21)/$AK21)</f>
        <v>#REF!</v>
      </c>
      <c r="AS21" s="33">
        <v>0.94</v>
      </c>
      <c r="AT21" s="33">
        <v>0.96</v>
      </c>
      <c r="AU21" s="38">
        <f>IF($C21="&lt;01","",SUM($AP21)-SUM($O21))</f>
        <v>15</v>
      </c>
      <c r="AV21" s="38">
        <f>IF($C21="&lt;01",ROUND(INDEX(EID!$N:$N,MATCH($B21,EID!$B:$B,0))/2,0),IF(SUM($AT21)=0,"",ROUND((SUM($AP21)-(SUM($O21)*SUM($AS21)))/$AT21,0)))</f>
        <v>39</v>
      </c>
      <c r="AW21" s="33">
        <v>0.9</v>
      </c>
      <c r="AX21" s="218">
        <f>IF($C21="&lt;01",SUM($AV21),ROUND(SUM($AV21)*SUM($AW21),0))</f>
        <v>35</v>
      </c>
      <c r="AY21" s="79">
        <f t="shared" si="10"/>
        <v>0.7</v>
      </c>
      <c r="AZ21" s="85">
        <f>IF($C21="&lt;01",ROUND(INDEX(EID!$R:$R,MATCH($B21,EID!$B:$B,0))/2,0),ROUND(SUM($O21)+(SUM($AV21)*$AY21),0))</f>
        <v>399</v>
      </c>
      <c r="BA21" s="40">
        <f t="shared" si="11"/>
        <v>0.95</v>
      </c>
      <c r="BB21" s="99">
        <f>IF($C21="&lt;01",ROUND(INDEX(EID!$T:$T,MATCH($B21,EID!$B:$B,0))/2,0),ROUND($AP21*$BA21,0))</f>
        <v>368</v>
      </c>
      <c r="BC21" s="85" t="str">
        <f>IF(LEFT($B21,4)="_Mil","",IF(SUM($BB21)=0,SUM($AD21),IF(OR(SUM($AP21)=0,SUM($AQ21)=0),MAX($BB21,$AD21),ROUND($BB21*$AQ21/$AP21,0))))</f>
        <v/>
      </c>
      <c r="BD21" s="33">
        <f t="shared" si="12"/>
        <v>0.95</v>
      </c>
      <c r="BE21" s="218">
        <f>IF($C21="&lt;01",ROUND(INDEX(EID!$V:$V,MATCH($B21,EID!$B:$B,0))/2,0),ROUND($BD21*$BB21,0))</f>
        <v>350</v>
      </c>
      <c r="BF21" s="218" t="str">
        <f>IF(LEFT($B21,4)="_Mil","",IF(SUM($BE21)=0,SUM($AF21),IF(OR(SUM($AP21)=0,SUM($AQ21)=0),MAX($BE21,$AF21),ROUND($BE21*$AQ21/$AP21,0))))</f>
        <v/>
      </c>
      <c r="BG21" s="79">
        <f t="shared" si="13"/>
        <v>0.95</v>
      </c>
      <c r="BH21" s="99">
        <f>IF($C21="&lt;01",ROUND(INDEX(EID!$L:$L,MATCH($B21,EID!$B:$B,0)),0)/2,IF(SUM($BG21)=0,"",ROUND($AX21/$BG21,0)))</f>
        <v>37</v>
      </c>
    </row>
    <row r="22" spans="1:60" x14ac:dyDescent="0.2">
      <c r="A22" t="str">
        <f>INDEX(Prioritization!$D:$D,MATCH($B22,Prioritization!$A:$A,0))</f>
        <v>Military</v>
      </c>
      <c r="B22" t="s">
        <v>326</v>
      </c>
      <c r="C22" t="s">
        <v>475</v>
      </c>
      <c r="D22" t="s">
        <v>48</v>
      </c>
      <c r="E22" t="str">
        <f t="shared" si="0"/>
        <v>_Military Malawi [PQZgU9dagaH]|15-24|Male</v>
      </c>
      <c r="F22" s="243">
        <v>191</v>
      </c>
      <c r="G22" s="38">
        <v>40</v>
      </c>
      <c r="H22" s="38">
        <v>22</v>
      </c>
      <c r="I22" s="38">
        <v>177</v>
      </c>
      <c r="J22" s="38">
        <v>101</v>
      </c>
      <c r="K22" s="38">
        <v>89</v>
      </c>
      <c r="L22" s="38">
        <v>71</v>
      </c>
      <c r="M22" s="38">
        <v>67</v>
      </c>
      <c r="N22" s="38">
        <v>414</v>
      </c>
      <c r="O22" s="229">
        <v>184</v>
      </c>
      <c r="P22" s="38">
        <v>386</v>
      </c>
      <c r="Q22" s="38">
        <v>367</v>
      </c>
      <c r="R22" s="38">
        <f t="shared" si="2"/>
        <v>7</v>
      </c>
      <c r="S22" s="38" t="str">
        <f>IF(LEFT($B22,4)="_Mil","",_xlfn.IFNA(ROUND(INDEX(Spectrum!$N:$N,MATCH(RIGHT($B22,13)&amp;"|"&amp;$C22&amp;"|"&amp;$D22&amp;"|"&amp;S$14&amp;"|"&amp;"CY2023Q4",Spectrum!$R:$R,0)),0),""))</f>
        <v/>
      </c>
      <c r="T22" s="218" t="str">
        <f>IF(LEFT($B22,4)="_Mil","",_xlfn.IFNA(ROUND(INDEX(Spectrum!$N:$N,MATCH(RIGHT($B22,13)&amp;"|"&amp;$C22&amp;"|"&amp;$D22&amp;"|"&amp;T$14&amp;"|"&amp;"CY2024Q3",Spectrum!$R:$R,0)),0),""))</f>
        <v/>
      </c>
      <c r="U22" s="218" t="str">
        <f>IF(LEFT($B22,4)="_Mil","",_xlfn.IFNA(ROUND(INDEX(Spectrum!$N:$N,MATCH(RIGHT($B22,13)&amp;"|"&amp;$C22&amp;"|"&amp;$D22&amp;"|"&amp;U$14&amp;"|"&amp;"CY2024Q3",Spectrum!$R:$R,0)),0),""))</f>
        <v/>
      </c>
      <c r="V22" s="38" t="str">
        <f>IF(LEFT($B22,4)="_Mil","",_xlfn.IFNA(ROUND(INDEX(Spectrum!$N:$N,MATCH(RIGHT($B22,13)&amp;"|"&amp;$C22&amp;"|"&amp;$D22&amp;"|"&amp;V$14&amp;"|"&amp;"CY2024Q3",Spectrum!$R:$R,0)),0),""))</f>
        <v/>
      </c>
      <c r="W22" s="220" t="str">
        <f>IF(LEFT($B22,4)="_Mil","",_xlfn.IFNA(INDEX(Spectrum!$N:$N,MATCH(RIGHT($B22,13)&amp;"|"&amp;$C22&amp;"|"&amp;$D22&amp;"|"&amp;W$14&amp;"|"&amp;"CY2024Q3",Spectrum!$R:$R,0)),""))</f>
        <v/>
      </c>
      <c r="X22" s="218" t="str">
        <f>IF(LEFT($B22,4)="_Mil","",_xlfn.IFNA(ROUND(INDEX(Spectrum!$N:$N,MATCH(RIGHT($B22,13)&amp;"|"&amp;$C22&amp;"|"&amp;$D22&amp;"|"&amp;X$14&amp;"|"&amp;"CY2024Q3",Spectrum!$R:$R,0)),0),""))</f>
        <v/>
      </c>
      <c r="Y22" s="33" t="str">
        <f t="shared" si="3"/>
        <v/>
      </c>
      <c r="Z22" s="218" t="str">
        <f>IF(LEFT($B22,4)="_Mil","",_xlfn.IFNA(ROUND(INDEX(Spectrum!$N:$N,MATCH(RIGHT($B22,13)&amp;"|"&amp;$C22&amp;"|"&amp;$D22&amp;"|"&amp;Z$14&amp;"|"&amp;"CY2024Q3",Spectrum!$R:$R,0)),0),""))</f>
        <v/>
      </c>
      <c r="AA22" s="33" t="str">
        <f>IF(LEFT($B22,4)="_Mil","",IFERROR(1/(1/INDEX(Spectrum!$N:$N,MATCH(RIGHT($B22,13)&amp;"|"&amp;$C22&amp;"|"&amp;$D22&amp;"|"&amp;AA$14&amp;"|"&amp;"CY2024Q3",Spectrum!$R:$R,0))),IF(SUM($U22)=0,"",SUM($Z22)/$U22)))</f>
        <v/>
      </c>
      <c r="AB22" s="33" t="str">
        <f t="shared" si="4"/>
        <v/>
      </c>
      <c r="AC22" s="38" t="str">
        <f>IF(LEFT($B22,4)="_Mil","",_xlfn.IFNA(ROUND(INDEX(Spectrum!$N:$N,MATCH(RIGHT($B22,13)&amp;"|"&amp;$C22&amp;"|"&amp;$D22&amp;"|"&amp;AC$14&amp;"|"&amp;"CY2024Q3",Spectrum!$R:$R,0)),0),""))</f>
        <v/>
      </c>
      <c r="AD22" s="38" t="str">
        <f>IF(LEFT($B22,4)="_Mil","",_xlfn.IFNA(ROUND(INDEX(Spectrum!$N:$N,MATCH(RIGHT($B22,13)&amp;"|"&amp;$C22&amp;"|"&amp;$D22&amp;"|"&amp;AD$14&amp;"|"&amp;"CY2024Q3",Spectrum!$R:$R,0)),0),""))</f>
        <v/>
      </c>
      <c r="AE22" s="33" t="str">
        <f t="shared" si="5"/>
        <v/>
      </c>
      <c r="AF22" s="218" t="str">
        <f>IF(LEFT($B22,4)="_Mil","",_xlfn.IFNA(ROUND(INDEX(Spectrum!$N:$N,MATCH(RIGHT($B22,13)&amp;"|"&amp;$C22&amp;"|"&amp;$D22&amp;"|"&amp;AF$14&amp;"|"&amp;"CY2024Q3",Spectrum!$R:$R,0)),0),""))</f>
        <v/>
      </c>
      <c r="AG22" s="33" t="str">
        <f t="shared" si="6"/>
        <v/>
      </c>
      <c r="AH22" s="110" t="str">
        <f>IF(LEFT($B22,4)="_Mil","",_xlfn.IFNA(INDEX(Spectrum!$N:$N,MATCH(RIGHT($B22,13)&amp;"|"&amp;$C22&amp;"|"&amp;$D22&amp;"|"&amp;AH$14&amp;"|"&amp;"CY2024Q3",Spectrum!$R:$R,0)),""))</f>
        <v/>
      </c>
      <c r="AI22" s="218" t="str">
        <f>IF(LEFT($B22,4)="_Mil","",_xlfn.IFNA(ROUND(INDEX(Spectrum!$N:$N,MATCH(RIGHT($B22,13)&amp;"|"&amp;$C22&amp;"|"&amp;$D22&amp;"|"&amp;AI$14&amp;"|"&amp;"CY2025Q3",Spectrum!$R:$R,0)),0),""))</f>
        <v/>
      </c>
      <c r="AJ22" s="38" t="str">
        <f>IF(LEFT($B22,4)="_Mil","",_xlfn.IFNA(ROUND(INDEX(Spectrum!$N:$N,MATCH(RIGHT($B22,13)&amp;"|"&amp;$C22&amp;"|"&amp;$D22&amp;"|"&amp;AJ$14&amp;"|"&amp;"CY2025Q3",Spectrum!$R:$R,0)),0),""))</f>
        <v/>
      </c>
      <c r="AK22" s="218" t="e">
        <f>#REF!</f>
        <v>#REF!</v>
      </c>
      <c r="AL22" s="33" t="str">
        <f t="shared" si="7"/>
        <v/>
      </c>
      <c r="AM22" s="38" t="str">
        <f>IF(OR(LEFT($B22,4)="_Mil",$C22="&lt;01"),"",ROUND(SUM($AK22)*SUM($AL22),0))</f>
        <v/>
      </c>
      <c r="AN22" s="38" t="str">
        <f>IF($C22="&lt;01",ROUND(INDEX(EID!$P:$P,MATCH($B22,EID!$B:$B,0))/2,0),"")</f>
        <v/>
      </c>
      <c r="AO22" s="38">
        <f>IF($C22="&lt;01",SUM($AN22),ROUND(SUM($AM22)*SUM($O22)/IF(SUM($Z22)=0,1,$Z22),0))</f>
        <v>0</v>
      </c>
      <c r="AP22" s="237">
        <f>IF(OR($F22="",$C22="&lt;01"),$AO22,ROUND($F22,0))</f>
        <v>191</v>
      </c>
      <c r="AQ22" s="218" t="str">
        <f>IF(LEFT($B22,4)="_Mil","",IF(SUM($AP22)=0,SUM($Z22),IF(OR(SUM($Z22)=0,SUM($O22)=0),MAX($AP22,$Z22),ROUND($AP22*$Z22/$O22,0))))</f>
        <v/>
      </c>
      <c r="AR22" s="33" t="e">
        <f>IF(OR(LEFT($B22,4)="_Mil",SUM($AK22)=0),"",SUM($AQ22)/$AK22)</f>
        <v>#REF!</v>
      </c>
      <c r="AS22" s="33">
        <v>0.94</v>
      </c>
      <c r="AT22" s="33">
        <v>0.96</v>
      </c>
      <c r="AU22" s="38">
        <f>IF($C22="&lt;01","",SUM($AP22)-SUM($O22))</f>
        <v>7</v>
      </c>
      <c r="AV22" s="38">
        <f>IF($C22="&lt;01",ROUND(INDEX(EID!$N:$N,MATCH($B22,EID!$B:$B,0))/2,0),IF(SUM($AT22)=0,"",ROUND((SUM($AP22)-(SUM($O22)*SUM($AS22)))/$AT22,0)))</f>
        <v>19</v>
      </c>
      <c r="AW22" s="33">
        <v>1</v>
      </c>
      <c r="AX22" s="218">
        <f>IF($C22="&lt;01",SUM($AV22),ROUND(SUM($AV22)*SUM($AW22),0))</f>
        <v>19</v>
      </c>
      <c r="AY22" s="79">
        <f t="shared" si="10"/>
        <v>0.7</v>
      </c>
      <c r="AZ22" s="85">
        <f>IF($C22="&lt;01",ROUND(INDEX(EID!$R:$R,MATCH($B22,EID!$B:$B,0))/2,0),ROUND(SUM($O22)+(SUM($AV22)*$AY22),0))</f>
        <v>197</v>
      </c>
      <c r="BA22" s="40">
        <f t="shared" si="11"/>
        <v>0.95</v>
      </c>
      <c r="BB22" s="99">
        <f>IF($C22="&lt;01",ROUND(INDEX(EID!$T:$T,MATCH($B22,EID!$B:$B,0))/2,0),ROUND($AP22*$BA22,0))</f>
        <v>181</v>
      </c>
      <c r="BC22" s="85" t="str">
        <f>IF(LEFT($B22,4)="_Mil","",IF(SUM($BB22)=0,SUM($AD22),IF(OR(SUM($AP22)=0,SUM($AQ22)=0),MAX($BB22,$AD22),ROUND($BB22*$AQ22/$AP22,0))))</f>
        <v/>
      </c>
      <c r="BD22" s="33">
        <f t="shared" si="12"/>
        <v>0.95</v>
      </c>
      <c r="BE22" s="218">
        <f>IF($C22="&lt;01",ROUND(INDEX(EID!$V:$V,MATCH($B22,EID!$B:$B,0))/2,0),ROUND($BD22*$BB22,0))</f>
        <v>172</v>
      </c>
      <c r="BF22" s="218" t="str">
        <f>IF(LEFT($B22,4)="_Mil","",IF(SUM($BE22)=0,SUM($AF22),IF(OR(SUM($AP22)=0,SUM($AQ22)=0),MAX($BE22,$AF22),ROUND($BE22*$AQ22/$AP22,0))))</f>
        <v/>
      </c>
      <c r="BG22" s="79">
        <f t="shared" si="13"/>
        <v>0.95</v>
      </c>
      <c r="BH22" s="99">
        <f>IF($C22="&lt;01",ROUND(INDEX(EID!$L:$L,MATCH($B22,EID!$B:$B,0)),0)/2,IF(SUM($BG22)=0,"",ROUND($AX22/$BG22,0)))</f>
        <v>20</v>
      </c>
    </row>
    <row r="23" spans="1:60" x14ac:dyDescent="0.2">
      <c r="A23" t="str">
        <f>INDEX(Prioritization!$D:$D,MATCH($B23,Prioritization!$A:$A,0))</f>
        <v>Military</v>
      </c>
      <c r="B23" t="s">
        <v>326</v>
      </c>
      <c r="C23" t="s">
        <v>476</v>
      </c>
      <c r="D23" t="s">
        <v>30</v>
      </c>
      <c r="E23" t="str">
        <f t="shared" si="0"/>
        <v>_Military Malawi [PQZgU9dagaH]|25-34|Female</v>
      </c>
      <c r="F23" s="243">
        <v>877</v>
      </c>
      <c r="G23" s="38">
        <v>276</v>
      </c>
      <c r="H23" s="38">
        <v>177</v>
      </c>
      <c r="I23" s="38">
        <v>813</v>
      </c>
      <c r="J23" s="38">
        <v>536</v>
      </c>
      <c r="K23" s="38">
        <v>514</v>
      </c>
      <c r="L23" s="38">
        <v>319</v>
      </c>
      <c r="M23" s="38">
        <v>305</v>
      </c>
      <c r="N23" s="38">
        <v>1266</v>
      </c>
      <c r="O23" s="229">
        <v>844</v>
      </c>
      <c r="P23" s="38">
        <v>1132</v>
      </c>
      <c r="Q23" s="38">
        <v>1075</v>
      </c>
      <c r="R23" s="38">
        <f t="shared" si="2"/>
        <v>31</v>
      </c>
      <c r="S23" s="38" t="str">
        <f>IF(LEFT($B23,4)="_Mil","",_xlfn.IFNA(ROUND(INDEX(Spectrum!$N:$N,MATCH(RIGHT($B23,13)&amp;"|"&amp;$C23&amp;"|"&amp;$D23&amp;"|"&amp;S$14&amp;"|"&amp;"CY2023Q4",Spectrum!$R:$R,0)),0),""))</f>
        <v/>
      </c>
      <c r="T23" s="218" t="str">
        <f>IF(LEFT($B23,4)="_Mil","",_xlfn.IFNA(ROUND(INDEX(Spectrum!$N:$N,MATCH(RIGHT($B23,13)&amp;"|"&amp;$C23&amp;"|"&amp;$D23&amp;"|"&amp;T$14&amp;"|"&amp;"CY2024Q3",Spectrum!$R:$R,0)),0),""))</f>
        <v/>
      </c>
      <c r="U23" s="218" t="str">
        <f>IF(LEFT($B23,4)="_Mil","",_xlfn.IFNA(ROUND(INDEX(Spectrum!$N:$N,MATCH(RIGHT($B23,13)&amp;"|"&amp;$C23&amp;"|"&amp;$D23&amp;"|"&amp;U$14&amp;"|"&amp;"CY2024Q3",Spectrum!$R:$R,0)),0),""))</f>
        <v/>
      </c>
      <c r="V23" s="38" t="str">
        <f>IF(LEFT($B23,4)="_Mil","",_xlfn.IFNA(ROUND(INDEX(Spectrum!$N:$N,MATCH(RIGHT($B23,13)&amp;"|"&amp;$C23&amp;"|"&amp;$D23&amp;"|"&amp;V$14&amp;"|"&amp;"CY2024Q3",Spectrum!$R:$R,0)),0),""))</f>
        <v/>
      </c>
      <c r="W23" s="220" t="str">
        <f>IF(LEFT($B23,4)="_Mil","",_xlfn.IFNA(INDEX(Spectrum!$N:$N,MATCH(RIGHT($B23,13)&amp;"|"&amp;$C23&amp;"|"&amp;$D23&amp;"|"&amp;W$14&amp;"|"&amp;"CY2024Q3",Spectrum!$R:$R,0)),""))</f>
        <v/>
      </c>
      <c r="X23" s="218" t="str">
        <f>IF(LEFT($B23,4)="_Mil","",_xlfn.IFNA(ROUND(INDEX(Spectrum!$N:$N,MATCH(RIGHT($B23,13)&amp;"|"&amp;$C23&amp;"|"&amp;$D23&amp;"|"&amp;X$14&amp;"|"&amp;"CY2024Q3",Spectrum!$R:$R,0)),0),""))</f>
        <v/>
      </c>
      <c r="Y23" s="33" t="str">
        <f t="shared" si="3"/>
        <v/>
      </c>
      <c r="Z23" s="218" t="str">
        <f>IF(LEFT($B23,4)="_Mil","",_xlfn.IFNA(ROUND(INDEX(Spectrum!$N:$N,MATCH(RIGHT($B23,13)&amp;"|"&amp;$C23&amp;"|"&amp;$D23&amp;"|"&amp;Z$14&amp;"|"&amp;"CY2024Q3",Spectrum!$R:$R,0)),0),""))</f>
        <v/>
      </c>
      <c r="AA23" s="33" t="str">
        <f>IF(LEFT($B23,4)="_Mil","",IFERROR(1/(1/INDEX(Spectrum!$N:$N,MATCH(RIGHT($B23,13)&amp;"|"&amp;$C23&amp;"|"&amp;$D23&amp;"|"&amp;AA$14&amp;"|"&amp;"CY2024Q3",Spectrum!$R:$R,0))),IF(SUM($U23)=0,"",SUM($Z23)/$U23)))</f>
        <v/>
      </c>
      <c r="AB23" s="33" t="str">
        <f t="shared" si="4"/>
        <v/>
      </c>
      <c r="AC23" s="38" t="str">
        <f>IF(LEFT($B23,4)="_Mil","",_xlfn.IFNA(ROUND(INDEX(Spectrum!$N:$N,MATCH(RIGHT($B23,13)&amp;"|"&amp;$C23&amp;"|"&amp;$D23&amp;"|"&amp;AC$14&amp;"|"&amp;"CY2024Q3",Spectrum!$R:$R,0)),0),""))</f>
        <v/>
      </c>
      <c r="AD23" s="38" t="str">
        <f>IF(LEFT($B23,4)="_Mil","",_xlfn.IFNA(ROUND(INDEX(Spectrum!$N:$N,MATCH(RIGHT($B23,13)&amp;"|"&amp;$C23&amp;"|"&amp;$D23&amp;"|"&amp;AD$14&amp;"|"&amp;"CY2024Q3",Spectrum!$R:$R,0)),0),""))</f>
        <v/>
      </c>
      <c r="AE23" s="33" t="str">
        <f t="shared" si="5"/>
        <v/>
      </c>
      <c r="AF23" s="218" t="str">
        <f>IF(LEFT($B23,4)="_Mil","",_xlfn.IFNA(ROUND(INDEX(Spectrum!$N:$N,MATCH(RIGHT($B23,13)&amp;"|"&amp;$C23&amp;"|"&amp;$D23&amp;"|"&amp;AF$14&amp;"|"&amp;"CY2024Q3",Spectrum!$R:$R,0)),0),""))</f>
        <v/>
      </c>
      <c r="AG23" s="33" t="str">
        <f t="shared" si="6"/>
        <v/>
      </c>
      <c r="AH23" s="110" t="str">
        <f>IF(LEFT($B23,4)="_Mil","",_xlfn.IFNA(INDEX(Spectrum!$N:$N,MATCH(RIGHT($B23,13)&amp;"|"&amp;$C23&amp;"|"&amp;$D23&amp;"|"&amp;AH$14&amp;"|"&amp;"CY2024Q3",Spectrum!$R:$R,0)),""))</f>
        <v/>
      </c>
      <c r="AI23" s="218" t="str">
        <f>IF(LEFT($B23,4)="_Mil","",_xlfn.IFNA(ROUND(INDEX(Spectrum!$N:$N,MATCH(RIGHT($B23,13)&amp;"|"&amp;$C23&amp;"|"&amp;$D23&amp;"|"&amp;AI$14&amp;"|"&amp;"CY2025Q3",Spectrum!$R:$R,0)),0),""))</f>
        <v/>
      </c>
      <c r="AJ23" s="38" t="str">
        <f>IF(LEFT($B23,4)="_Mil","",_xlfn.IFNA(ROUND(INDEX(Spectrum!$N:$N,MATCH(RIGHT($B23,13)&amp;"|"&amp;$C23&amp;"|"&amp;$D23&amp;"|"&amp;AJ$14&amp;"|"&amp;"CY2025Q3",Spectrum!$R:$R,0)),0),""))</f>
        <v/>
      </c>
      <c r="AK23" s="218" t="e">
        <f>#REF!</f>
        <v>#REF!</v>
      </c>
      <c r="AL23" s="33" t="str">
        <f t="shared" si="7"/>
        <v/>
      </c>
      <c r="AM23" s="38" t="str">
        <f>IF(OR(LEFT($B23,4)="_Mil",$C23="&lt;01"),"",ROUND(SUM($AK23)*SUM($AL23),0))</f>
        <v/>
      </c>
      <c r="AN23" s="38" t="str">
        <f>IF($C23="&lt;01",ROUND(INDEX(EID!$P:$P,MATCH($B23,EID!$B:$B,0))/2,0),"")</f>
        <v/>
      </c>
      <c r="AO23" s="38">
        <f>IF($C23="&lt;01",SUM($AN23),ROUND(SUM($AM23)*SUM($O23)/IF(SUM($Z23)=0,1,$Z23),0))</f>
        <v>0</v>
      </c>
      <c r="AP23" s="237">
        <f>IF(OR($F23="",$C23="&lt;01"),$AO23,ROUND($F23,0))</f>
        <v>877</v>
      </c>
      <c r="AQ23" s="218" t="str">
        <f>IF(LEFT($B23,4)="_Mil","",IF(SUM($AP23)=0,SUM($Z23),IF(OR(SUM($Z23)=0,SUM($O23)=0),MAX($AP23,$Z23),ROUND($AP23*$Z23/$O23,0))))</f>
        <v/>
      </c>
      <c r="AR23" s="33" t="e">
        <f>IF(OR(LEFT($B23,4)="_Mil",SUM($AK23)=0),"",SUM($AQ23)/$AK23)</f>
        <v>#REF!</v>
      </c>
      <c r="AS23" s="33">
        <v>0.94</v>
      </c>
      <c r="AT23" s="33">
        <v>0.96</v>
      </c>
      <c r="AU23" s="38">
        <f>IF($C23="&lt;01","",SUM($AP23)-SUM($O23))</f>
        <v>33</v>
      </c>
      <c r="AV23" s="38">
        <f>IF($C23="&lt;01",ROUND(INDEX(EID!$N:$N,MATCH($B23,EID!$B:$B,0))/2,0),IF(SUM($AT23)=0,"",ROUND((SUM($AP23)-(SUM($O23)*SUM($AS23)))/$AT23,0)))</f>
        <v>87</v>
      </c>
      <c r="AW23" s="33">
        <v>0.9</v>
      </c>
      <c r="AX23" s="218">
        <f>IF($C23="&lt;01",SUM($AV23),ROUND(SUM($AV23)*SUM($AW23),0))</f>
        <v>78</v>
      </c>
      <c r="AY23" s="79">
        <f t="shared" si="10"/>
        <v>0.7</v>
      </c>
      <c r="AZ23" s="85">
        <f>IF($C23="&lt;01",ROUND(INDEX(EID!$R:$R,MATCH($B23,EID!$B:$B,0))/2,0),ROUND(SUM($O23)+(SUM($AV23)*$AY23),0))</f>
        <v>905</v>
      </c>
      <c r="BA23" s="40">
        <f t="shared" si="11"/>
        <v>0.95</v>
      </c>
      <c r="BB23" s="99">
        <f>IF($C23="&lt;01",ROUND(INDEX(EID!$T:$T,MATCH($B23,EID!$B:$B,0))/2,0),ROUND($AP23*$BA23,0))</f>
        <v>833</v>
      </c>
      <c r="BC23" s="85" t="str">
        <f>IF(LEFT($B23,4)="_Mil","",IF(SUM($BB23)=0,SUM($AD23),IF(OR(SUM($AP23)=0,SUM($AQ23)=0),MAX($BB23,$AD23),ROUND($BB23*$AQ23/$AP23,0))))</f>
        <v/>
      </c>
      <c r="BD23" s="33">
        <f t="shared" si="12"/>
        <v>0.95</v>
      </c>
      <c r="BE23" s="218">
        <f>IF($C23="&lt;01",ROUND(INDEX(EID!$V:$V,MATCH($B23,EID!$B:$B,0))/2,0),ROUND($BD23*$BB23,0))</f>
        <v>791</v>
      </c>
      <c r="BF23" s="218" t="str">
        <f>IF(LEFT($B23,4)="_Mil","",IF(SUM($BE23)=0,SUM($AF23),IF(OR(SUM($AP23)=0,SUM($AQ23)=0),MAX($BE23,$AF23),ROUND($BE23*$AQ23/$AP23,0))))</f>
        <v/>
      </c>
      <c r="BG23" s="79">
        <f t="shared" si="13"/>
        <v>0.95</v>
      </c>
      <c r="BH23" s="99">
        <f>IF($C23="&lt;01",ROUND(INDEX(EID!$L:$L,MATCH($B23,EID!$B:$B,0)),0)/2,IF(SUM($BG23)=0,"",ROUND($AX23/$BG23,0)))</f>
        <v>82</v>
      </c>
    </row>
    <row r="24" spans="1:60" x14ac:dyDescent="0.2">
      <c r="A24" t="str">
        <f>INDEX(Prioritization!$D:$D,MATCH($B24,Prioritization!$A:$A,0))</f>
        <v>Military</v>
      </c>
      <c r="B24" t="s">
        <v>326</v>
      </c>
      <c r="C24" t="s">
        <v>476</v>
      </c>
      <c r="D24" t="s">
        <v>48</v>
      </c>
      <c r="E24" t="str">
        <f t="shared" si="0"/>
        <v>_Military Malawi [PQZgU9dagaH]|25-34|Male</v>
      </c>
      <c r="F24" s="243">
        <v>374</v>
      </c>
      <c r="G24" s="38">
        <v>138</v>
      </c>
      <c r="H24" s="38">
        <v>68</v>
      </c>
      <c r="I24" s="38">
        <v>347</v>
      </c>
      <c r="J24" s="38">
        <v>223</v>
      </c>
      <c r="K24" s="38">
        <v>215</v>
      </c>
      <c r="L24" s="38">
        <v>182</v>
      </c>
      <c r="M24" s="38">
        <v>172</v>
      </c>
      <c r="N24" s="38">
        <v>1060</v>
      </c>
      <c r="O24" s="229">
        <v>360</v>
      </c>
      <c r="P24" s="38">
        <v>988</v>
      </c>
      <c r="Q24" s="38">
        <v>939</v>
      </c>
      <c r="R24" s="38">
        <f t="shared" si="2"/>
        <v>13</v>
      </c>
      <c r="S24" s="38" t="str">
        <f>IF(LEFT($B24,4)="_Mil","",_xlfn.IFNA(ROUND(INDEX(Spectrum!$N:$N,MATCH(RIGHT($B24,13)&amp;"|"&amp;$C24&amp;"|"&amp;$D24&amp;"|"&amp;S$14&amp;"|"&amp;"CY2023Q4",Spectrum!$R:$R,0)),0),""))</f>
        <v/>
      </c>
      <c r="T24" s="218" t="str">
        <f>IF(LEFT($B24,4)="_Mil","",_xlfn.IFNA(ROUND(INDEX(Spectrum!$N:$N,MATCH(RIGHT($B24,13)&amp;"|"&amp;$C24&amp;"|"&amp;$D24&amp;"|"&amp;T$14&amp;"|"&amp;"CY2024Q3",Spectrum!$R:$R,0)),0),""))</f>
        <v/>
      </c>
      <c r="U24" s="218" t="str">
        <f>IF(LEFT($B24,4)="_Mil","",_xlfn.IFNA(ROUND(INDEX(Spectrum!$N:$N,MATCH(RIGHT($B24,13)&amp;"|"&amp;$C24&amp;"|"&amp;$D24&amp;"|"&amp;U$14&amp;"|"&amp;"CY2024Q3",Spectrum!$R:$R,0)),0),""))</f>
        <v/>
      </c>
      <c r="V24" s="38" t="str">
        <f>IF(LEFT($B24,4)="_Mil","",_xlfn.IFNA(ROUND(INDEX(Spectrum!$N:$N,MATCH(RIGHT($B24,13)&amp;"|"&amp;$C24&amp;"|"&amp;$D24&amp;"|"&amp;V$14&amp;"|"&amp;"CY2024Q3",Spectrum!$R:$R,0)),0),""))</f>
        <v/>
      </c>
      <c r="W24" s="220" t="str">
        <f>IF(LEFT($B24,4)="_Mil","",_xlfn.IFNA(INDEX(Spectrum!$N:$N,MATCH(RIGHT($B24,13)&amp;"|"&amp;$C24&amp;"|"&amp;$D24&amp;"|"&amp;W$14&amp;"|"&amp;"CY2024Q3",Spectrum!$R:$R,0)),""))</f>
        <v/>
      </c>
      <c r="X24" s="218" t="str">
        <f>IF(LEFT($B24,4)="_Mil","",_xlfn.IFNA(ROUND(INDEX(Spectrum!$N:$N,MATCH(RIGHT($B24,13)&amp;"|"&amp;$C24&amp;"|"&amp;$D24&amp;"|"&amp;X$14&amp;"|"&amp;"CY2024Q3",Spectrum!$R:$R,0)),0),""))</f>
        <v/>
      </c>
      <c r="Y24" s="33" t="str">
        <f t="shared" si="3"/>
        <v/>
      </c>
      <c r="Z24" s="218" t="str">
        <f>IF(LEFT($B24,4)="_Mil","",_xlfn.IFNA(ROUND(INDEX(Spectrum!$N:$N,MATCH(RIGHT($B24,13)&amp;"|"&amp;$C24&amp;"|"&amp;$D24&amp;"|"&amp;Z$14&amp;"|"&amp;"CY2024Q3",Spectrum!$R:$R,0)),0),""))</f>
        <v/>
      </c>
      <c r="AA24" s="33" t="str">
        <f>IF(LEFT($B24,4)="_Mil","",IFERROR(1/(1/INDEX(Spectrum!$N:$N,MATCH(RIGHT($B24,13)&amp;"|"&amp;$C24&amp;"|"&amp;$D24&amp;"|"&amp;AA$14&amp;"|"&amp;"CY2024Q3",Spectrum!$R:$R,0))),IF(SUM($U24)=0,"",SUM($Z24)/$U24)))</f>
        <v/>
      </c>
      <c r="AB24" s="33" t="str">
        <f t="shared" si="4"/>
        <v/>
      </c>
      <c r="AC24" s="38" t="str">
        <f>IF(LEFT($B24,4)="_Mil","",_xlfn.IFNA(ROUND(INDEX(Spectrum!$N:$N,MATCH(RIGHT($B24,13)&amp;"|"&amp;$C24&amp;"|"&amp;$D24&amp;"|"&amp;AC$14&amp;"|"&amp;"CY2024Q3",Spectrum!$R:$R,0)),0),""))</f>
        <v/>
      </c>
      <c r="AD24" s="38" t="str">
        <f>IF(LEFT($B24,4)="_Mil","",_xlfn.IFNA(ROUND(INDEX(Spectrum!$N:$N,MATCH(RIGHT($B24,13)&amp;"|"&amp;$C24&amp;"|"&amp;$D24&amp;"|"&amp;AD$14&amp;"|"&amp;"CY2024Q3",Spectrum!$R:$R,0)),0),""))</f>
        <v/>
      </c>
      <c r="AE24" s="33" t="str">
        <f t="shared" si="5"/>
        <v/>
      </c>
      <c r="AF24" s="218" t="str">
        <f>IF(LEFT($B24,4)="_Mil","",_xlfn.IFNA(ROUND(INDEX(Spectrum!$N:$N,MATCH(RIGHT($B24,13)&amp;"|"&amp;$C24&amp;"|"&amp;$D24&amp;"|"&amp;AF$14&amp;"|"&amp;"CY2024Q3",Spectrum!$R:$R,0)),0),""))</f>
        <v/>
      </c>
      <c r="AG24" s="33" t="str">
        <f t="shared" si="6"/>
        <v/>
      </c>
      <c r="AH24" s="110" t="str">
        <f>IF(LEFT($B24,4)="_Mil","",_xlfn.IFNA(INDEX(Spectrum!$N:$N,MATCH(RIGHT($B24,13)&amp;"|"&amp;$C24&amp;"|"&amp;$D24&amp;"|"&amp;AH$14&amp;"|"&amp;"CY2024Q3",Spectrum!$R:$R,0)),""))</f>
        <v/>
      </c>
      <c r="AI24" s="218" t="str">
        <f>IF(LEFT($B24,4)="_Mil","",_xlfn.IFNA(ROUND(INDEX(Spectrum!$N:$N,MATCH(RIGHT($B24,13)&amp;"|"&amp;$C24&amp;"|"&amp;$D24&amp;"|"&amp;AI$14&amp;"|"&amp;"CY2025Q3",Spectrum!$R:$R,0)),0),""))</f>
        <v/>
      </c>
      <c r="AJ24" s="38" t="str">
        <f>IF(LEFT($B24,4)="_Mil","",_xlfn.IFNA(ROUND(INDEX(Spectrum!$N:$N,MATCH(RIGHT($B24,13)&amp;"|"&amp;$C24&amp;"|"&amp;$D24&amp;"|"&amp;AJ$14&amp;"|"&amp;"CY2025Q3",Spectrum!$R:$R,0)),0),""))</f>
        <v/>
      </c>
      <c r="AK24" s="218" t="e">
        <f>#REF!</f>
        <v>#REF!</v>
      </c>
      <c r="AL24" s="33" t="str">
        <f t="shared" si="7"/>
        <v/>
      </c>
      <c r="AM24" s="38" t="str">
        <f>IF(OR(LEFT($B24,4)="_Mil",$C24="&lt;01"),"",ROUND(SUM($AK24)*SUM($AL24),0))</f>
        <v/>
      </c>
      <c r="AN24" s="38" t="str">
        <f>IF($C24="&lt;01",ROUND(INDEX(EID!$P:$P,MATCH($B24,EID!$B:$B,0))/2,0),"")</f>
        <v/>
      </c>
      <c r="AO24" s="38">
        <f>IF($C24="&lt;01",SUM($AN24),ROUND(SUM($AM24)*SUM($O24)/IF(SUM($Z24)=0,1,$Z24),0))</f>
        <v>0</v>
      </c>
      <c r="AP24" s="237">
        <f>IF(OR($F24="",$C24="&lt;01"),$AO24,ROUND($F24,0))</f>
        <v>374</v>
      </c>
      <c r="AQ24" s="218" t="str">
        <f>IF(LEFT($B24,4)="_Mil","",IF(SUM($AP24)=0,SUM($Z24),IF(OR(SUM($Z24)=0,SUM($O24)=0),MAX($AP24,$Z24),ROUND($AP24*$Z24/$O24,0))))</f>
        <v/>
      </c>
      <c r="AR24" s="33" t="e">
        <f>IF(OR(LEFT($B24,4)="_Mil",SUM($AK24)=0),"",SUM($AQ24)/$AK24)</f>
        <v>#REF!</v>
      </c>
      <c r="AS24" s="33">
        <v>0.94</v>
      </c>
      <c r="AT24" s="33">
        <v>0.96</v>
      </c>
      <c r="AU24" s="38">
        <f>IF($C24="&lt;01","",SUM($AP24)-SUM($O24))</f>
        <v>14</v>
      </c>
      <c r="AV24" s="38">
        <f>IF($C24="&lt;01",ROUND(INDEX(EID!$N:$N,MATCH($B24,EID!$B:$B,0))/2,0),IF(SUM($AT24)=0,"",ROUND((SUM($AP24)-(SUM($O24)*SUM($AS24)))/$AT24,0)))</f>
        <v>37</v>
      </c>
      <c r="AW24" s="33">
        <v>1</v>
      </c>
      <c r="AX24" s="218">
        <f>IF($C24="&lt;01",SUM($AV24),ROUND(SUM($AV24)*SUM($AW24),0))</f>
        <v>37</v>
      </c>
      <c r="AY24" s="79">
        <f t="shared" si="10"/>
        <v>0.7</v>
      </c>
      <c r="AZ24" s="85">
        <f>IF($C24="&lt;01",ROUND(INDEX(EID!$R:$R,MATCH($B24,EID!$B:$B,0))/2,0),ROUND(SUM($O24)+(SUM($AV24)*$AY24),0))</f>
        <v>386</v>
      </c>
      <c r="BA24" s="40">
        <f t="shared" si="11"/>
        <v>0.95</v>
      </c>
      <c r="BB24" s="99">
        <f>IF($C24="&lt;01",ROUND(INDEX(EID!$T:$T,MATCH($B24,EID!$B:$B,0))/2,0),ROUND($AP24*$BA24,0))</f>
        <v>355</v>
      </c>
      <c r="BC24" s="85" t="str">
        <f>IF(LEFT($B24,4)="_Mil","",IF(SUM($BB24)=0,SUM($AD24),IF(OR(SUM($AP24)=0,SUM($AQ24)=0),MAX($BB24,$AD24),ROUND($BB24*$AQ24/$AP24,0))))</f>
        <v/>
      </c>
      <c r="BD24" s="33">
        <f t="shared" si="12"/>
        <v>0.95</v>
      </c>
      <c r="BE24" s="218">
        <f>IF($C24="&lt;01",ROUND(INDEX(EID!$V:$V,MATCH($B24,EID!$B:$B,0))/2,0),ROUND($BD24*$BB24,0))</f>
        <v>337</v>
      </c>
      <c r="BF24" s="218" t="str">
        <f>IF(LEFT($B24,4)="_Mil","",IF(SUM($BE24)=0,SUM($AF24),IF(OR(SUM($AP24)=0,SUM($AQ24)=0),MAX($BE24,$AF24),ROUND($BE24*$AQ24/$AP24,0))))</f>
        <v/>
      </c>
      <c r="BG24" s="79">
        <f t="shared" si="13"/>
        <v>0.95</v>
      </c>
      <c r="BH24" s="99">
        <f>IF($C24="&lt;01",ROUND(INDEX(EID!$L:$L,MATCH($B24,EID!$B:$B,0)),0)/2,IF(SUM($BG24)=0,"",ROUND($AX24/$BG24,0)))</f>
        <v>39</v>
      </c>
    </row>
    <row r="25" spans="1:60" x14ac:dyDescent="0.2">
      <c r="A25" t="str">
        <f>INDEX(Prioritization!$D:$D,MATCH($B25,Prioritization!$A:$A,0))</f>
        <v>Military</v>
      </c>
      <c r="B25" t="s">
        <v>326</v>
      </c>
      <c r="C25" t="s">
        <v>477</v>
      </c>
      <c r="D25" t="s">
        <v>30</v>
      </c>
      <c r="E25" t="str">
        <f t="shared" si="0"/>
        <v>_Military Malawi [PQZgU9dagaH]|35-49|Female</v>
      </c>
      <c r="F25" s="2">
        <v>2332</v>
      </c>
      <c r="G25" s="38">
        <v>190</v>
      </c>
      <c r="H25" s="38">
        <v>142</v>
      </c>
      <c r="I25" s="38">
        <v>2161</v>
      </c>
      <c r="J25" s="38">
        <v>1532</v>
      </c>
      <c r="K25" s="38">
        <v>1480</v>
      </c>
      <c r="L25" s="38">
        <v>175</v>
      </c>
      <c r="M25" s="38">
        <v>165</v>
      </c>
      <c r="N25" s="38">
        <v>2614</v>
      </c>
      <c r="O25" s="229">
        <v>2243</v>
      </c>
      <c r="P25" s="38">
        <v>2561</v>
      </c>
      <c r="Q25" s="38">
        <v>2433</v>
      </c>
      <c r="R25" s="38">
        <f t="shared" si="2"/>
        <v>82</v>
      </c>
      <c r="S25" s="38" t="str">
        <f>IF(LEFT($B25,4)="_Mil","",_xlfn.IFNA(ROUND(INDEX(Spectrum!$N:$N,MATCH(RIGHT($B25,13)&amp;"|"&amp;$C25&amp;"|"&amp;$D25&amp;"|"&amp;S$14&amp;"|"&amp;"CY2023Q4",Spectrum!$R:$R,0)),0),""))</f>
        <v/>
      </c>
      <c r="T25" s="218" t="str">
        <f>IF(LEFT($B25,4)="_Mil","",_xlfn.IFNA(ROUND(INDEX(Spectrum!$N:$N,MATCH(RIGHT($B25,13)&amp;"|"&amp;$C25&amp;"|"&amp;$D25&amp;"|"&amp;T$14&amp;"|"&amp;"CY2024Q3",Spectrum!$R:$R,0)),0),""))</f>
        <v/>
      </c>
      <c r="U25" s="218" t="str">
        <f>IF(LEFT($B25,4)="_Mil","",_xlfn.IFNA(ROUND(INDEX(Spectrum!$N:$N,MATCH(RIGHT($B25,13)&amp;"|"&amp;$C25&amp;"|"&amp;$D25&amp;"|"&amp;U$14&amp;"|"&amp;"CY2024Q3",Spectrum!$R:$R,0)),0),""))</f>
        <v/>
      </c>
      <c r="V25" s="38" t="str">
        <f>IF(LEFT($B25,4)="_Mil","",_xlfn.IFNA(ROUND(INDEX(Spectrum!$N:$N,MATCH(RIGHT($B25,13)&amp;"|"&amp;$C25&amp;"|"&amp;$D25&amp;"|"&amp;V$14&amp;"|"&amp;"CY2024Q3",Spectrum!$R:$R,0)),0),""))</f>
        <v/>
      </c>
      <c r="W25" s="220" t="str">
        <f>IF(LEFT($B25,4)="_Mil","",_xlfn.IFNA(INDEX(Spectrum!$N:$N,MATCH(RIGHT($B25,13)&amp;"|"&amp;$C25&amp;"|"&amp;$D25&amp;"|"&amp;W$14&amp;"|"&amp;"CY2024Q3",Spectrum!$R:$R,0)),""))</f>
        <v/>
      </c>
      <c r="X25" s="218" t="str">
        <f>IF(LEFT($B25,4)="_Mil","",_xlfn.IFNA(ROUND(INDEX(Spectrum!$N:$N,MATCH(RIGHT($B25,13)&amp;"|"&amp;$C25&amp;"|"&amp;$D25&amp;"|"&amp;X$14&amp;"|"&amp;"CY2024Q3",Spectrum!$R:$R,0)),0),""))</f>
        <v/>
      </c>
      <c r="Y25" s="33" t="str">
        <f t="shared" si="3"/>
        <v/>
      </c>
      <c r="Z25" s="218" t="str">
        <f>IF(LEFT($B25,4)="_Mil","",_xlfn.IFNA(ROUND(INDEX(Spectrum!$N:$N,MATCH(RIGHT($B25,13)&amp;"|"&amp;$C25&amp;"|"&amp;$D25&amp;"|"&amp;Z$14&amp;"|"&amp;"CY2024Q3",Spectrum!$R:$R,0)),0),""))</f>
        <v/>
      </c>
      <c r="AA25" s="33" t="str">
        <f>IF(LEFT($B25,4)="_Mil","",IFERROR(1/(1/INDEX(Spectrum!$N:$N,MATCH(RIGHT($B25,13)&amp;"|"&amp;$C25&amp;"|"&amp;$D25&amp;"|"&amp;AA$14&amp;"|"&amp;"CY2024Q3",Spectrum!$R:$R,0))),IF(SUM($U25)=0,"",SUM($Z25)/$U25)))</f>
        <v/>
      </c>
      <c r="AB25" s="33" t="str">
        <f t="shared" si="4"/>
        <v/>
      </c>
      <c r="AC25" s="38" t="str">
        <f>IF(LEFT($B25,4)="_Mil","",_xlfn.IFNA(ROUND(INDEX(Spectrum!$N:$N,MATCH(RIGHT($B25,13)&amp;"|"&amp;$C25&amp;"|"&amp;$D25&amp;"|"&amp;AC$14&amp;"|"&amp;"CY2024Q3",Spectrum!$R:$R,0)),0),""))</f>
        <v/>
      </c>
      <c r="AD25" s="38" t="str">
        <f>IF(LEFT($B25,4)="_Mil","",_xlfn.IFNA(ROUND(INDEX(Spectrum!$N:$N,MATCH(RIGHT($B25,13)&amp;"|"&amp;$C25&amp;"|"&amp;$D25&amp;"|"&amp;AD$14&amp;"|"&amp;"CY2024Q3",Spectrum!$R:$R,0)),0),""))</f>
        <v/>
      </c>
      <c r="AE25" s="33" t="str">
        <f t="shared" si="5"/>
        <v/>
      </c>
      <c r="AF25" s="218" t="str">
        <f>IF(LEFT($B25,4)="_Mil","",_xlfn.IFNA(ROUND(INDEX(Spectrum!$N:$N,MATCH(RIGHT($B25,13)&amp;"|"&amp;$C25&amp;"|"&amp;$D25&amp;"|"&amp;AF$14&amp;"|"&amp;"CY2024Q3",Spectrum!$R:$R,0)),0),""))</f>
        <v/>
      </c>
      <c r="AG25" s="33" t="str">
        <f t="shared" si="6"/>
        <v/>
      </c>
      <c r="AH25" s="110" t="str">
        <f>IF(LEFT($B25,4)="_Mil","",_xlfn.IFNA(INDEX(Spectrum!$N:$N,MATCH(RIGHT($B25,13)&amp;"|"&amp;$C25&amp;"|"&amp;$D25&amp;"|"&amp;AH$14&amp;"|"&amp;"CY2024Q3",Spectrum!$R:$R,0)),""))</f>
        <v/>
      </c>
      <c r="AI25" s="218" t="str">
        <f>IF(LEFT($B25,4)="_Mil","",_xlfn.IFNA(ROUND(INDEX(Spectrum!$N:$N,MATCH(RIGHT($B25,13)&amp;"|"&amp;$C25&amp;"|"&amp;$D25&amp;"|"&amp;AI$14&amp;"|"&amp;"CY2025Q3",Spectrum!$R:$R,0)),0),""))</f>
        <v/>
      </c>
      <c r="AJ25" s="38" t="str">
        <f>IF(LEFT($B25,4)="_Mil","",_xlfn.IFNA(ROUND(INDEX(Spectrum!$N:$N,MATCH(RIGHT($B25,13)&amp;"|"&amp;$C25&amp;"|"&amp;$D25&amp;"|"&amp;AJ$14&amp;"|"&amp;"CY2025Q3",Spectrum!$R:$R,0)),0),""))</f>
        <v/>
      </c>
      <c r="AK25" s="218" t="e">
        <f>#REF!</f>
        <v>#REF!</v>
      </c>
      <c r="AL25" s="33" t="str">
        <f t="shared" si="7"/>
        <v/>
      </c>
      <c r="AM25" s="38" t="str">
        <f>IF(OR(LEFT($B25,4)="_Mil",$C25="&lt;01"),"",ROUND(SUM($AK25)*SUM($AL25),0))</f>
        <v/>
      </c>
      <c r="AN25" s="38" t="str">
        <f>IF($C25="&lt;01",ROUND(INDEX(EID!$P:$P,MATCH($B25,EID!$B:$B,0))/2,0),"")</f>
        <v/>
      </c>
      <c r="AO25" s="38">
        <f>IF($C25="&lt;01",SUM($AN25),ROUND(SUM($AM25)*SUM($O25)/IF(SUM($Z25)=0,1,$Z25),0))</f>
        <v>0</v>
      </c>
      <c r="AP25" s="237">
        <f>IF(OR($F25="",$C25="&lt;01"),$AO25,ROUND($F25,0))</f>
        <v>2332</v>
      </c>
      <c r="AQ25" s="218" t="str">
        <f>IF(LEFT($B25,4)="_Mil","",IF(SUM($AP25)=0,SUM($Z25),IF(OR(SUM($Z25)=0,SUM($O25)=0),MAX($AP25,$Z25),ROUND($AP25*$Z25/$O25,0))))</f>
        <v/>
      </c>
      <c r="AR25" s="33" t="e">
        <f>IF(OR(LEFT($B25,4)="_Mil",SUM($AK25)=0),"",SUM($AQ25)/$AK25)</f>
        <v>#REF!</v>
      </c>
      <c r="AS25" s="33">
        <v>0.94</v>
      </c>
      <c r="AT25" s="33">
        <v>0.96</v>
      </c>
      <c r="AU25" s="38">
        <f>IF($C25="&lt;01","",SUM($AP25)-SUM($O25))</f>
        <v>89</v>
      </c>
      <c r="AV25" s="38">
        <f>IF($C25="&lt;01",ROUND(INDEX(EID!$N:$N,MATCH($B25,EID!$B:$B,0))/2,0),IF(SUM($AT25)=0,"",ROUND((SUM($AP25)-(SUM($O25)*SUM($AS25)))/$AT25,0)))</f>
        <v>233</v>
      </c>
      <c r="AW25" s="33">
        <v>0.9</v>
      </c>
      <c r="AX25" s="218">
        <f>IF($C25="&lt;01",SUM($AV25),ROUND(SUM($AV25)*SUM($AW25),0))</f>
        <v>210</v>
      </c>
      <c r="AY25" s="79">
        <f t="shared" si="10"/>
        <v>0.7</v>
      </c>
      <c r="AZ25" s="85">
        <f>IF($C25="&lt;01",ROUND(INDEX(EID!$R:$R,MATCH($B25,EID!$B:$B,0))/2,0),ROUND(SUM($O25)+(SUM($AV25)*$AY25),0))</f>
        <v>2406</v>
      </c>
      <c r="BA25" s="40">
        <f t="shared" si="11"/>
        <v>0.95</v>
      </c>
      <c r="BB25" s="99">
        <f>IF($C25="&lt;01",ROUND(INDEX(EID!$T:$T,MATCH($B25,EID!$B:$B,0))/2,0),ROUND($AP25*$BA25,0))</f>
        <v>2215</v>
      </c>
      <c r="BC25" s="85" t="str">
        <f>IF(LEFT($B25,4)="_Mil","",IF(SUM($BB25)=0,SUM($AD25),IF(OR(SUM($AP25)=0,SUM($AQ25)=0),MAX($BB25,$AD25),ROUND($BB25*$AQ25/$AP25,0))))</f>
        <v/>
      </c>
      <c r="BD25" s="33">
        <f t="shared" si="12"/>
        <v>0.95</v>
      </c>
      <c r="BE25" s="218">
        <f>IF($C25="&lt;01",ROUND(INDEX(EID!$V:$V,MATCH($B25,EID!$B:$B,0))/2,0),ROUND($BD25*$BB25,0))</f>
        <v>2104</v>
      </c>
      <c r="BF25" s="218" t="str">
        <f>IF(LEFT($B25,4)="_Mil","",IF(SUM($BE25)=0,SUM($AF25),IF(OR(SUM($AP25)=0,SUM($AQ25)=0),MAX($BE25,$AF25),ROUND($BE25*$AQ25/$AP25,0))))</f>
        <v/>
      </c>
      <c r="BG25" s="79">
        <f t="shared" si="13"/>
        <v>0.95</v>
      </c>
      <c r="BH25" s="99">
        <f>IF($C25="&lt;01",ROUND(INDEX(EID!$L:$L,MATCH($B25,EID!$B:$B,0)),0)/2,IF(SUM($BG25)=0,"",ROUND($AX25/$BG25,0)))</f>
        <v>221</v>
      </c>
    </row>
    <row r="26" spans="1:60" x14ac:dyDescent="0.2">
      <c r="A26" t="str">
        <f>INDEX(Prioritization!$D:$D,MATCH($B26,Prioritization!$A:$A,0))</f>
        <v>Military</v>
      </c>
      <c r="B26" t="s">
        <v>326</v>
      </c>
      <c r="C26" t="s">
        <v>477</v>
      </c>
      <c r="D26" t="s">
        <v>48</v>
      </c>
      <c r="E26" t="str">
        <f t="shared" si="0"/>
        <v>_Military Malawi [PQZgU9dagaH]|35-49|Male</v>
      </c>
      <c r="F26" s="2">
        <v>1611</v>
      </c>
      <c r="G26" s="38">
        <v>187</v>
      </c>
      <c r="H26" s="38">
        <v>130</v>
      </c>
      <c r="I26" s="38">
        <v>1493</v>
      </c>
      <c r="J26" s="38">
        <v>1016</v>
      </c>
      <c r="K26" s="38">
        <v>989</v>
      </c>
      <c r="L26" s="38">
        <v>162</v>
      </c>
      <c r="M26" s="38">
        <v>154</v>
      </c>
      <c r="N26" s="38">
        <v>2431</v>
      </c>
      <c r="O26" s="229">
        <v>1550</v>
      </c>
      <c r="P26" s="38">
        <v>2383</v>
      </c>
      <c r="Q26" s="38">
        <v>2264</v>
      </c>
      <c r="R26" s="38">
        <f t="shared" si="2"/>
        <v>57</v>
      </c>
      <c r="S26" s="38" t="str">
        <f>IF(LEFT($B26,4)="_Mil","",_xlfn.IFNA(ROUND(INDEX(Spectrum!$N:$N,MATCH(RIGHT($B26,13)&amp;"|"&amp;$C26&amp;"|"&amp;$D26&amp;"|"&amp;S$14&amp;"|"&amp;"CY2023Q4",Spectrum!$R:$R,0)),0),""))</f>
        <v/>
      </c>
      <c r="T26" s="218" t="str">
        <f>IF(LEFT($B26,4)="_Mil","",_xlfn.IFNA(ROUND(INDEX(Spectrum!$N:$N,MATCH(RIGHT($B26,13)&amp;"|"&amp;$C26&amp;"|"&amp;$D26&amp;"|"&amp;T$14&amp;"|"&amp;"CY2024Q3",Spectrum!$R:$R,0)),0),""))</f>
        <v/>
      </c>
      <c r="U26" s="218" t="str">
        <f>IF(LEFT($B26,4)="_Mil","",_xlfn.IFNA(ROUND(INDEX(Spectrum!$N:$N,MATCH(RIGHT($B26,13)&amp;"|"&amp;$C26&amp;"|"&amp;$D26&amp;"|"&amp;U$14&amp;"|"&amp;"CY2024Q3",Spectrum!$R:$R,0)),0),""))</f>
        <v/>
      </c>
      <c r="V26" s="38" t="str">
        <f>IF(LEFT($B26,4)="_Mil","",_xlfn.IFNA(ROUND(INDEX(Spectrum!$N:$N,MATCH(RIGHT($B26,13)&amp;"|"&amp;$C26&amp;"|"&amp;$D26&amp;"|"&amp;V$14&amp;"|"&amp;"CY2024Q3",Spectrum!$R:$R,0)),0),""))</f>
        <v/>
      </c>
      <c r="W26" s="220" t="str">
        <f>IF(LEFT($B26,4)="_Mil","",_xlfn.IFNA(INDEX(Spectrum!$N:$N,MATCH(RIGHT($B26,13)&amp;"|"&amp;$C26&amp;"|"&amp;$D26&amp;"|"&amp;W$14&amp;"|"&amp;"CY2024Q3",Spectrum!$R:$R,0)),""))</f>
        <v/>
      </c>
      <c r="X26" s="218" t="str">
        <f>IF(LEFT($B26,4)="_Mil","",_xlfn.IFNA(ROUND(INDEX(Spectrum!$N:$N,MATCH(RIGHT($B26,13)&amp;"|"&amp;$C26&amp;"|"&amp;$D26&amp;"|"&amp;X$14&amp;"|"&amp;"CY2024Q3",Spectrum!$R:$R,0)),0),""))</f>
        <v/>
      </c>
      <c r="Y26" s="33" t="str">
        <f t="shared" si="3"/>
        <v/>
      </c>
      <c r="Z26" s="218" t="str">
        <f>IF(LEFT($B26,4)="_Mil","",_xlfn.IFNA(ROUND(INDEX(Spectrum!$N:$N,MATCH(RIGHT($B26,13)&amp;"|"&amp;$C26&amp;"|"&amp;$D26&amp;"|"&amp;Z$14&amp;"|"&amp;"CY2024Q3",Spectrum!$R:$R,0)),0),""))</f>
        <v/>
      </c>
      <c r="AA26" s="33" t="str">
        <f>IF(LEFT($B26,4)="_Mil","",IFERROR(1/(1/INDEX(Spectrum!$N:$N,MATCH(RIGHT($B26,13)&amp;"|"&amp;$C26&amp;"|"&amp;$D26&amp;"|"&amp;AA$14&amp;"|"&amp;"CY2024Q3",Spectrum!$R:$R,0))),IF(SUM($U26)=0,"",SUM($Z26)/$U26)))</f>
        <v/>
      </c>
      <c r="AB26" s="33" t="str">
        <f t="shared" si="4"/>
        <v/>
      </c>
      <c r="AC26" s="38" t="str">
        <f>IF(LEFT($B26,4)="_Mil","",_xlfn.IFNA(ROUND(INDEX(Spectrum!$N:$N,MATCH(RIGHT($B26,13)&amp;"|"&amp;$C26&amp;"|"&amp;$D26&amp;"|"&amp;AC$14&amp;"|"&amp;"CY2024Q3",Spectrum!$R:$R,0)),0),""))</f>
        <v/>
      </c>
      <c r="AD26" s="38" t="str">
        <f>IF(LEFT($B26,4)="_Mil","",_xlfn.IFNA(ROUND(INDEX(Spectrum!$N:$N,MATCH(RIGHT($B26,13)&amp;"|"&amp;$C26&amp;"|"&amp;$D26&amp;"|"&amp;AD$14&amp;"|"&amp;"CY2024Q3",Spectrum!$R:$R,0)),0),""))</f>
        <v/>
      </c>
      <c r="AE26" s="33" t="str">
        <f t="shared" si="5"/>
        <v/>
      </c>
      <c r="AF26" s="218" t="str">
        <f>IF(LEFT($B26,4)="_Mil","",_xlfn.IFNA(ROUND(INDEX(Spectrum!$N:$N,MATCH(RIGHT($B26,13)&amp;"|"&amp;$C26&amp;"|"&amp;$D26&amp;"|"&amp;AF$14&amp;"|"&amp;"CY2024Q3",Spectrum!$R:$R,0)),0),""))</f>
        <v/>
      </c>
      <c r="AG26" s="33" t="str">
        <f t="shared" si="6"/>
        <v/>
      </c>
      <c r="AH26" s="110" t="str">
        <f>IF(LEFT($B26,4)="_Mil","",_xlfn.IFNA(INDEX(Spectrum!$N:$N,MATCH(RIGHT($B26,13)&amp;"|"&amp;$C26&amp;"|"&amp;$D26&amp;"|"&amp;AH$14&amp;"|"&amp;"CY2024Q3",Spectrum!$R:$R,0)),""))</f>
        <v/>
      </c>
      <c r="AI26" s="218" t="str">
        <f>IF(LEFT($B26,4)="_Mil","",_xlfn.IFNA(ROUND(INDEX(Spectrum!$N:$N,MATCH(RIGHT($B26,13)&amp;"|"&amp;$C26&amp;"|"&amp;$D26&amp;"|"&amp;AI$14&amp;"|"&amp;"CY2025Q3",Spectrum!$R:$R,0)),0),""))</f>
        <v/>
      </c>
      <c r="AJ26" s="38" t="str">
        <f>IF(LEFT($B26,4)="_Mil","",_xlfn.IFNA(ROUND(INDEX(Spectrum!$N:$N,MATCH(RIGHT($B26,13)&amp;"|"&amp;$C26&amp;"|"&amp;$D26&amp;"|"&amp;AJ$14&amp;"|"&amp;"CY2025Q3",Spectrum!$R:$R,0)),0),""))</f>
        <v/>
      </c>
      <c r="AK26" s="218" t="e">
        <f>#REF!</f>
        <v>#REF!</v>
      </c>
      <c r="AL26" s="33" t="str">
        <f t="shared" si="7"/>
        <v/>
      </c>
      <c r="AM26" s="38" t="str">
        <f>IF(OR(LEFT($B26,4)="_Mil",$C26="&lt;01"),"",ROUND(SUM($AK26)*SUM($AL26),0))</f>
        <v/>
      </c>
      <c r="AN26" s="38" t="str">
        <f>IF($C26="&lt;01",ROUND(INDEX(EID!$P:$P,MATCH($B26,EID!$B:$B,0))/2,0),"")</f>
        <v/>
      </c>
      <c r="AO26" s="38">
        <f>IF($C26="&lt;01",SUM($AN26),ROUND(SUM($AM26)*SUM($O26)/IF(SUM($Z26)=0,1,$Z26),0))</f>
        <v>0</v>
      </c>
      <c r="AP26" s="237">
        <f>IF(OR($F26="",$C26="&lt;01"),$AO26,ROUND($F26,0))</f>
        <v>1611</v>
      </c>
      <c r="AQ26" s="218" t="str">
        <f>IF(LEFT($B26,4)="_Mil","",IF(SUM($AP26)=0,SUM($Z26),IF(OR(SUM($Z26)=0,SUM($O26)=0),MAX($AP26,$Z26),ROUND($AP26*$Z26/$O26,0))))</f>
        <v/>
      </c>
      <c r="AR26" s="33" t="e">
        <f>IF(OR(LEFT($B26,4)="_Mil",SUM($AK26)=0),"",SUM($AQ26)/$AK26)</f>
        <v>#REF!</v>
      </c>
      <c r="AS26" s="33">
        <v>0.94</v>
      </c>
      <c r="AT26" s="33">
        <v>0.96</v>
      </c>
      <c r="AU26" s="38">
        <f>IF($C26="&lt;01","",SUM($AP26)-SUM($O26))</f>
        <v>61</v>
      </c>
      <c r="AV26" s="38">
        <f>IF($C26="&lt;01",ROUND(INDEX(EID!$N:$N,MATCH($B26,EID!$B:$B,0))/2,0),IF(SUM($AT26)=0,"",ROUND((SUM($AP26)-(SUM($O26)*SUM($AS26)))/$AT26,0)))</f>
        <v>160</v>
      </c>
      <c r="AW26" s="33">
        <v>0.9</v>
      </c>
      <c r="AX26" s="218">
        <f>IF($C26="&lt;01",SUM($AV26),ROUND(SUM($AV26)*SUM($AW26),0))</f>
        <v>144</v>
      </c>
      <c r="AY26" s="79">
        <f t="shared" si="10"/>
        <v>0.7</v>
      </c>
      <c r="AZ26" s="85">
        <f>IF($C26="&lt;01",ROUND(INDEX(EID!$R:$R,MATCH($B26,EID!$B:$B,0))/2,0),ROUND(SUM($O26)+(SUM($AV26)*$AY26),0))</f>
        <v>1662</v>
      </c>
      <c r="BA26" s="40">
        <f t="shared" si="11"/>
        <v>0.95</v>
      </c>
      <c r="BB26" s="99">
        <f>IF($C26="&lt;01",ROUND(INDEX(EID!$T:$T,MATCH($B26,EID!$B:$B,0))/2,0),ROUND($AP26*$BA26,0))</f>
        <v>1530</v>
      </c>
      <c r="BC26" s="85" t="str">
        <f>IF(LEFT($B26,4)="_Mil","",IF(SUM($BB26)=0,SUM($AD26),IF(OR(SUM($AP26)=0,SUM($AQ26)=0),MAX($BB26,$AD26),ROUND($BB26*$AQ26/$AP26,0))))</f>
        <v/>
      </c>
      <c r="BD26" s="33">
        <f t="shared" si="12"/>
        <v>0.95</v>
      </c>
      <c r="BE26" s="218">
        <f>IF($C26="&lt;01",ROUND(INDEX(EID!$V:$V,MATCH($B26,EID!$B:$B,0))/2,0),ROUND($BD26*$BB26,0))</f>
        <v>1454</v>
      </c>
      <c r="BF26" s="218" t="str">
        <f>IF(LEFT($B26,4)="_Mil","",IF(SUM($BE26)=0,SUM($AF26),IF(OR(SUM($AP26)=0,SUM($AQ26)=0),MAX($BE26,$AF26),ROUND($BE26*$AQ26/$AP26,0))))</f>
        <v/>
      </c>
      <c r="BG26" s="79">
        <f t="shared" si="13"/>
        <v>0.95</v>
      </c>
      <c r="BH26" s="99">
        <f>IF($C26="&lt;01",ROUND(INDEX(EID!$L:$L,MATCH($B26,EID!$B:$B,0)),0)/2,IF(SUM($BG26)=0,"",ROUND($AX26/$BG26,0)))</f>
        <v>152</v>
      </c>
    </row>
    <row r="27" spans="1:60" x14ac:dyDescent="0.2">
      <c r="A27" t="str">
        <f>INDEX(Prioritization!$D:$D,MATCH($B27,Prioritization!$A:$A,0))</f>
        <v>Military</v>
      </c>
      <c r="B27" t="s">
        <v>326</v>
      </c>
      <c r="C27" t="s">
        <v>478</v>
      </c>
      <c r="D27" t="s">
        <v>30</v>
      </c>
      <c r="E27" t="str">
        <f t="shared" si="0"/>
        <v>_Military Malawi [PQZgU9dagaH]|50+|Female</v>
      </c>
      <c r="F27" s="243">
        <v>1073</v>
      </c>
      <c r="G27" s="38">
        <v>23</v>
      </c>
      <c r="H27" s="38">
        <v>19</v>
      </c>
      <c r="I27" s="38">
        <v>994</v>
      </c>
      <c r="J27" s="38">
        <v>706</v>
      </c>
      <c r="K27" s="38">
        <v>693</v>
      </c>
      <c r="L27" s="38">
        <v>125</v>
      </c>
      <c r="M27" s="38">
        <v>119</v>
      </c>
      <c r="N27" s="38">
        <v>984</v>
      </c>
      <c r="O27" s="229">
        <v>1032</v>
      </c>
      <c r="P27" s="38">
        <v>937</v>
      </c>
      <c r="Q27" s="38">
        <v>890</v>
      </c>
      <c r="R27" s="38">
        <f t="shared" si="2"/>
        <v>38</v>
      </c>
      <c r="S27" s="38" t="str">
        <f>IF(LEFT($B27,4)="_Mil","",_xlfn.IFNA(ROUND(INDEX(Spectrum!$N:$N,MATCH(RIGHT($B27,13)&amp;"|"&amp;$C27&amp;"|"&amp;$D27&amp;"|"&amp;S$14&amp;"|"&amp;"CY2023Q4",Spectrum!$R:$R,0)),0),""))</f>
        <v/>
      </c>
      <c r="T27" s="218" t="str">
        <f>IF(LEFT($B27,4)="_Mil","",_xlfn.IFNA(ROUND(INDEX(Spectrum!$N:$N,MATCH(RIGHT($B27,13)&amp;"|"&amp;$C27&amp;"|"&amp;$D27&amp;"|"&amp;T$14&amp;"|"&amp;"CY2024Q3",Spectrum!$R:$R,0)),0),""))</f>
        <v/>
      </c>
      <c r="U27" s="218" t="str">
        <f>IF(LEFT($B27,4)="_Mil","",_xlfn.IFNA(ROUND(INDEX(Spectrum!$N:$N,MATCH(RIGHT($B27,13)&amp;"|"&amp;$C27&amp;"|"&amp;$D27&amp;"|"&amp;U$14&amp;"|"&amp;"CY2024Q3",Spectrum!$R:$R,0)),0),""))</f>
        <v/>
      </c>
      <c r="V27" s="38" t="str">
        <f>IF(LEFT($B27,4)="_Mil","",_xlfn.IFNA(ROUND(INDEX(Spectrum!$N:$N,MATCH(RIGHT($B27,13)&amp;"|"&amp;$C27&amp;"|"&amp;$D27&amp;"|"&amp;V$14&amp;"|"&amp;"CY2024Q3",Spectrum!$R:$R,0)),0),""))</f>
        <v/>
      </c>
      <c r="W27" s="220" t="str">
        <f>IF(LEFT($B27,4)="_Mil","",_xlfn.IFNA(INDEX(Spectrum!$N:$N,MATCH(RIGHT($B27,13)&amp;"|"&amp;$C27&amp;"|"&amp;$D27&amp;"|"&amp;W$14&amp;"|"&amp;"CY2024Q3",Spectrum!$R:$R,0)),""))</f>
        <v/>
      </c>
      <c r="X27" s="218" t="str">
        <f>IF(LEFT($B27,4)="_Mil","",_xlfn.IFNA(ROUND(INDEX(Spectrum!$N:$N,MATCH(RIGHT($B27,13)&amp;"|"&amp;$C27&amp;"|"&amp;$D27&amp;"|"&amp;X$14&amp;"|"&amp;"CY2024Q3",Spectrum!$R:$R,0)),0),""))</f>
        <v/>
      </c>
      <c r="Y27" s="33" t="str">
        <f t="shared" si="3"/>
        <v/>
      </c>
      <c r="Z27" s="218" t="str">
        <f>IF(LEFT($B27,4)="_Mil","",_xlfn.IFNA(ROUND(INDEX(Spectrum!$N:$N,MATCH(RIGHT($B27,13)&amp;"|"&amp;$C27&amp;"|"&amp;$D27&amp;"|"&amp;Z$14&amp;"|"&amp;"CY2024Q3",Spectrum!$R:$R,0)),0),""))</f>
        <v/>
      </c>
      <c r="AA27" s="33" t="str">
        <f>IF(LEFT($B27,4)="_Mil","",IFERROR(1/(1/INDEX(Spectrum!$N:$N,MATCH(RIGHT($B27,13)&amp;"|"&amp;$C27&amp;"|"&amp;$D27&amp;"|"&amp;AA$14&amp;"|"&amp;"CY2024Q3",Spectrum!$R:$R,0))),IF(SUM($U27)=0,"",SUM($Z27)/$U27)))</f>
        <v/>
      </c>
      <c r="AB27" s="33" t="str">
        <f t="shared" si="4"/>
        <v/>
      </c>
      <c r="AC27" s="38" t="str">
        <f>IF(LEFT($B27,4)="_Mil","",_xlfn.IFNA(ROUND(INDEX(Spectrum!$N:$N,MATCH(RIGHT($B27,13)&amp;"|"&amp;$C27&amp;"|"&amp;$D27&amp;"|"&amp;AC$14&amp;"|"&amp;"CY2024Q3",Spectrum!$R:$R,0)),0),""))</f>
        <v/>
      </c>
      <c r="AD27" s="38" t="str">
        <f>IF(LEFT($B27,4)="_Mil","",_xlfn.IFNA(ROUND(INDEX(Spectrum!$N:$N,MATCH(RIGHT($B27,13)&amp;"|"&amp;$C27&amp;"|"&amp;$D27&amp;"|"&amp;AD$14&amp;"|"&amp;"CY2024Q3",Spectrum!$R:$R,0)),0),""))</f>
        <v/>
      </c>
      <c r="AE27" s="33" t="str">
        <f t="shared" si="5"/>
        <v/>
      </c>
      <c r="AF27" s="218" t="str">
        <f>IF(LEFT($B27,4)="_Mil","",_xlfn.IFNA(ROUND(INDEX(Spectrum!$N:$N,MATCH(RIGHT($B27,13)&amp;"|"&amp;$C27&amp;"|"&amp;$D27&amp;"|"&amp;AF$14&amp;"|"&amp;"CY2024Q3",Spectrum!$R:$R,0)),0),""))</f>
        <v/>
      </c>
      <c r="AG27" s="33" t="str">
        <f t="shared" si="6"/>
        <v/>
      </c>
      <c r="AH27" s="110" t="str">
        <f>IF(LEFT($B27,4)="_Mil","",_xlfn.IFNA(INDEX(Spectrum!$N:$N,MATCH(RIGHT($B27,13)&amp;"|"&amp;$C27&amp;"|"&amp;$D27&amp;"|"&amp;AH$14&amp;"|"&amp;"CY2024Q3",Spectrum!$R:$R,0)),""))</f>
        <v/>
      </c>
      <c r="AI27" s="218" t="str">
        <f>IF(LEFT($B27,4)="_Mil","",_xlfn.IFNA(ROUND(INDEX(Spectrum!$N:$N,MATCH(RIGHT($B27,13)&amp;"|"&amp;$C27&amp;"|"&amp;$D27&amp;"|"&amp;AI$14&amp;"|"&amp;"CY2025Q3",Spectrum!$R:$R,0)),0),""))</f>
        <v/>
      </c>
      <c r="AJ27" s="38" t="str">
        <f>IF(LEFT($B27,4)="_Mil","",_xlfn.IFNA(ROUND(INDEX(Spectrum!$N:$N,MATCH(RIGHT($B27,13)&amp;"|"&amp;$C27&amp;"|"&amp;$D27&amp;"|"&amp;AJ$14&amp;"|"&amp;"CY2025Q3",Spectrum!$R:$R,0)),0),""))</f>
        <v/>
      </c>
      <c r="AK27" s="218" t="e">
        <f>#REF!</f>
        <v>#REF!</v>
      </c>
      <c r="AL27" s="33" t="str">
        <f t="shared" si="7"/>
        <v/>
      </c>
      <c r="AM27" s="38" t="str">
        <f>IF(OR(LEFT($B27,4)="_Mil",$C27="&lt;01"),"",ROUND(SUM($AK27)*SUM($AL27),0))</f>
        <v/>
      </c>
      <c r="AN27" s="38" t="str">
        <f>IF($C27="&lt;01",ROUND(INDEX(EID!$P:$P,MATCH($B27,EID!$B:$B,0))/2,0),"")</f>
        <v/>
      </c>
      <c r="AO27" s="38">
        <f>IF($C27="&lt;01",SUM($AN27),ROUND(SUM($AM27)*SUM($O27)/IF(SUM($Z27)=0,1,$Z27),0))</f>
        <v>0</v>
      </c>
      <c r="AP27" s="237">
        <f>IF(OR($F27="",$C27="&lt;01"),$AO27,ROUND($F27,0))</f>
        <v>1073</v>
      </c>
      <c r="AQ27" s="218" t="str">
        <f>IF(LEFT($B27,4)="_Mil","",IF(SUM($AP27)=0,SUM($Z27),IF(OR(SUM($Z27)=0,SUM($O27)=0),MAX($AP27,$Z27),ROUND($AP27*$Z27/$O27,0))))</f>
        <v/>
      </c>
      <c r="AR27" s="33" t="e">
        <f>IF(OR(LEFT($B27,4)="_Mil",SUM($AK27)=0),"",SUM($AQ27)/$AK27)</f>
        <v>#REF!</v>
      </c>
      <c r="AS27" s="33">
        <v>0.94</v>
      </c>
      <c r="AT27" s="33">
        <v>0.96</v>
      </c>
      <c r="AU27" s="38">
        <f>IF($C27="&lt;01","",SUM($AP27)-SUM($O27))</f>
        <v>41</v>
      </c>
      <c r="AV27" s="38">
        <f>IF($C27="&lt;01",ROUND(INDEX(EID!$N:$N,MATCH($B27,EID!$B:$B,0))/2,0),IF(SUM($AT27)=0,"",ROUND((SUM($AP27)-(SUM($O27)*SUM($AS27)))/$AT27,0)))</f>
        <v>107</v>
      </c>
      <c r="AW27" s="33">
        <v>0.9</v>
      </c>
      <c r="AX27" s="218">
        <f>IF($C27="&lt;01",SUM($AV27),ROUND(SUM($AV27)*SUM($AW27),0))</f>
        <v>96</v>
      </c>
      <c r="AY27" s="79">
        <f t="shared" si="10"/>
        <v>0.7</v>
      </c>
      <c r="AZ27" s="85">
        <f>IF($C27="&lt;01",ROUND(INDEX(EID!$R:$R,MATCH($B27,EID!$B:$B,0))/2,0),ROUND(SUM($O27)+(SUM($AV27)*$AY27),0))</f>
        <v>1107</v>
      </c>
      <c r="BA27" s="40">
        <f t="shared" si="11"/>
        <v>0.95</v>
      </c>
      <c r="BB27" s="99">
        <f>IF($C27="&lt;01",ROUND(INDEX(EID!$T:$T,MATCH($B27,EID!$B:$B,0))/2,0),ROUND($AP27*$BA27,0))</f>
        <v>1019</v>
      </c>
      <c r="BC27" s="85" t="str">
        <f>IF(LEFT($B27,4)="_Mil","",IF(SUM($BB27)=0,SUM($AD27),IF(OR(SUM($AP27)=0,SUM($AQ27)=0),MAX($BB27,$AD27),ROUND($BB27*$AQ27/$AP27,0))))</f>
        <v/>
      </c>
      <c r="BD27" s="33">
        <f t="shared" si="12"/>
        <v>0.95</v>
      </c>
      <c r="BE27" s="218">
        <f>IF($C27="&lt;01",ROUND(INDEX(EID!$V:$V,MATCH($B27,EID!$B:$B,0))/2,0),ROUND($BD27*$BB27,0))</f>
        <v>968</v>
      </c>
      <c r="BF27" s="218" t="str">
        <f>IF(LEFT($B27,4)="_Mil","",IF(SUM($BE27)=0,SUM($AF27),IF(OR(SUM($AP27)=0,SUM($AQ27)=0),MAX($BE27,$AF27),ROUND($BE27*$AQ27/$AP27,0))))</f>
        <v/>
      </c>
      <c r="BG27" s="79">
        <f t="shared" si="13"/>
        <v>0.95</v>
      </c>
      <c r="BH27" s="99">
        <f>IF($C27="&lt;01",ROUND(INDEX(EID!$L:$L,MATCH($B27,EID!$B:$B,0)),0)/2,IF(SUM($BG27)=0,"",ROUND($AX27/$BG27,0)))</f>
        <v>101</v>
      </c>
    </row>
    <row r="28" spans="1:60" x14ac:dyDescent="0.2">
      <c r="A28" t="str">
        <f>INDEX(Prioritization!$D:$D,MATCH($B28,Prioritization!$A:$A,0))</f>
        <v>Military</v>
      </c>
      <c r="B28" t="s">
        <v>326</v>
      </c>
      <c r="C28" t="s">
        <v>478</v>
      </c>
      <c r="D28" t="s">
        <v>48</v>
      </c>
      <c r="E28" t="str">
        <f t="shared" si="0"/>
        <v>_Military Malawi [PQZgU9dagaH]|50+|Male</v>
      </c>
      <c r="F28" s="2">
        <v>1428</v>
      </c>
      <c r="G28" s="38">
        <v>49</v>
      </c>
      <c r="H28" s="38">
        <v>36</v>
      </c>
      <c r="I28" s="38">
        <v>1324</v>
      </c>
      <c r="J28" s="38">
        <v>944</v>
      </c>
      <c r="K28" s="38">
        <v>922</v>
      </c>
      <c r="L28" s="38">
        <v>172</v>
      </c>
      <c r="M28" s="38">
        <v>162</v>
      </c>
      <c r="N28" s="38">
        <v>1407</v>
      </c>
      <c r="O28" s="229">
        <v>1374</v>
      </c>
      <c r="P28" s="38">
        <v>1343</v>
      </c>
      <c r="Q28" s="38">
        <v>1276</v>
      </c>
      <c r="R28" s="38">
        <f t="shared" si="2"/>
        <v>50</v>
      </c>
      <c r="S28" s="38" t="str">
        <f>IF(LEFT($B28,4)="_Mil","",_xlfn.IFNA(ROUND(INDEX(Spectrum!$N:$N,MATCH(RIGHT($B28,13)&amp;"|"&amp;$C28&amp;"|"&amp;$D28&amp;"|"&amp;S$14&amp;"|"&amp;"CY2023Q4",Spectrum!$R:$R,0)),0),""))</f>
        <v/>
      </c>
      <c r="T28" s="218" t="str">
        <f>IF(LEFT($B28,4)="_Mil","",_xlfn.IFNA(ROUND(INDEX(Spectrum!$N:$N,MATCH(RIGHT($B28,13)&amp;"|"&amp;$C28&amp;"|"&amp;$D28&amp;"|"&amp;T$14&amp;"|"&amp;"CY2024Q3",Spectrum!$R:$R,0)),0),""))</f>
        <v/>
      </c>
      <c r="U28" s="218" t="str">
        <f>IF(LEFT($B28,4)="_Mil","",_xlfn.IFNA(ROUND(INDEX(Spectrum!$N:$N,MATCH(RIGHT($B28,13)&amp;"|"&amp;$C28&amp;"|"&amp;$D28&amp;"|"&amp;U$14&amp;"|"&amp;"CY2024Q3",Spectrum!$R:$R,0)),0),""))</f>
        <v/>
      </c>
      <c r="V28" s="38" t="str">
        <f>IF(LEFT($B28,4)="_Mil","",_xlfn.IFNA(ROUND(INDEX(Spectrum!$N:$N,MATCH(RIGHT($B28,13)&amp;"|"&amp;$C28&amp;"|"&amp;$D28&amp;"|"&amp;V$14&amp;"|"&amp;"CY2024Q3",Spectrum!$R:$R,0)),0),""))</f>
        <v/>
      </c>
      <c r="W28" s="220" t="str">
        <f>IF(LEFT($B28,4)="_Mil","",_xlfn.IFNA(INDEX(Spectrum!$N:$N,MATCH(RIGHT($B28,13)&amp;"|"&amp;$C28&amp;"|"&amp;$D28&amp;"|"&amp;W$14&amp;"|"&amp;"CY2024Q3",Spectrum!$R:$R,0)),""))</f>
        <v/>
      </c>
      <c r="X28" s="218" t="str">
        <f>IF(LEFT($B28,4)="_Mil","",_xlfn.IFNA(ROUND(INDEX(Spectrum!$N:$N,MATCH(RIGHT($B28,13)&amp;"|"&amp;$C28&amp;"|"&amp;$D28&amp;"|"&amp;X$14&amp;"|"&amp;"CY2024Q3",Spectrum!$R:$R,0)),0),""))</f>
        <v/>
      </c>
      <c r="Y28" s="33" t="str">
        <f t="shared" si="3"/>
        <v/>
      </c>
      <c r="Z28" s="218" t="str">
        <f>IF(LEFT($B28,4)="_Mil","",_xlfn.IFNA(ROUND(INDEX(Spectrum!$N:$N,MATCH(RIGHT($B28,13)&amp;"|"&amp;$C28&amp;"|"&amp;$D28&amp;"|"&amp;Z$14&amp;"|"&amp;"CY2024Q3",Spectrum!$R:$R,0)),0),""))</f>
        <v/>
      </c>
      <c r="AA28" s="33" t="str">
        <f>IF(LEFT($B28,4)="_Mil","",IFERROR(1/(1/INDEX(Spectrum!$N:$N,MATCH(RIGHT($B28,13)&amp;"|"&amp;$C28&amp;"|"&amp;$D28&amp;"|"&amp;AA$14&amp;"|"&amp;"CY2024Q3",Spectrum!$R:$R,0))),IF(SUM($U28)=0,"",SUM($Z28)/$U28)))</f>
        <v/>
      </c>
      <c r="AB28" s="33" t="str">
        <f t="shared" si="4"/>
        <v/>
      </c>
      <c r="AC28" s="38" t="str">
        <f>IF(LEFT($B28,4)="_Mil","",_xlfn.IFNA(ROUND(INDEX(Spectrum!$N:$N,MATCH(RIGHT($B28,13)&amp;"|"&amp;$C28&amp;"|"&amp;$D28&amp;"|"&amp;AC$14&amp;"|"&amp;"CY2024Q3",Spectrum!$R:$R,0)),0),""))</f>
        <v/>
      </c>
      <c r="AD28" s="38" t="str">
        <f>IF(LEFT($B28,4)="_Mil","",_xlfn.IFNA(ROUND(INDEX(Spectrum!$N:$N,MATCH(RIGHT($B28,13)&amp;"|"&amp;$C28&amp;"|"&amp;$D28&amp;"|"&amp;AD$14&amp;"|"&amp;"CY2024Q3",Spectrum!$R:$R,0)),0),""))</f>
        <v/>
      </c>
      <c r="AE28" s="33" t="str">
        <f t="shared" si="5"/>
        <v/>
      </c>
      <c r="AF28" s="218" t="str">
        <f>IF(LEFT($B28,4)="_Mil","",_xlfn.IFNA(ROUND(INDEX(Spectrum!$N:$N,MATCH(RIGHT($B28,13)&amp;"|"&amp;$C28&amp;"|"&amp;$D28&amp;"|"&amp;AF$14&amp;"|"&amp;"CY2024Q3",Spectrum!$R:$R,0)),0),""))</f>
        <v/>
      </c>
      <c r="AG28" s="33" t="str">
        <f t="shared" si="6"/>
        <v/>
      </c>
      <c r="AH28" s="110" t="str">
        <f>IF(LEFT($B28,4)="_Mil","",_xlfn.IFNA(INDEX(Spectrum!$N:$N,MATCH(RIGHT($B28,13)&amp;"|"&amp;$C28&amp;"|"&amp;$D28&amp;"|"&amp;AH$14&amp;"|"&amp;"CY2024Q3",Spectrum!$R:$R,0)),""))</f>
        <v/>
      </c>
      <c r="AI28" s="218" t="str">
        <f>IF(LEFT($B28,4)="_Mil","",_xlfn.IFNA(ROUND(INDEX(Spectrum!$N:$N,MATCH(RIGHT($B28,13)&amp;"|"&amp;$C28&amp;"|"&amp;$D28&amp;"|"&amp;AI$14&amp;"|"&amp;"CY2025Q3",Spectrum!$R:$R,0)),0),""))</f>
        <v/>
      </c>
      <c r="AJ28" s="38" t="str">
        <f>IF(LEFT($B28,4)="_Mil","",_xlfn.IFNA(ROUND(INDEX(Spectrum!$N:$N,MATCH(RIGHT($B28,13)&amp;"|"&amp;$C28&amp;"|"&amp;$D28&amp;"|"&amp;AJ$14&amp;"|"&amp;"CY2025Q3",Spectrum!$R:$R,0)),0),""))</f>
        <v/>
      </c>
      <c r="AK28" s="218" t="e">
        <f>#REF!</f>
        <v>#REF!</v>
      </c>
      <c r="AL28" s="33" t="str">
        <f t="shared" si="7"/>
        <v/>
      </c>
      <c r="AM28" s="38" t="str">
        <f>IF(OR(LEFT($B28,4)="_Mil",$C28="&lt;01"),"",ROUND(SUM($AK28)*SUM($AL28),0))</f>
        <v/>
      </c>
      <c r="AN28" s="38" t="str">
        <f>IF($C28="&lt;01",ROUND(INDEX(EID!$P:$P,MATCH($B28,EID!$B:$B,0))/2,0),"")</f>
        <v/>
      </c>
      <c r="AO28" s="38">
        <f>IF($C28="&lt;01",SUM($AN28),ROUND(SUM($AM28)*SUM($O28)/IF(SUM($Z28)=0,1,$Z28),0))</f>
        <v>0</v>
      </c>
      <c r="AP28" s="237">
        <f>IF(OR($F28="",$C28="&lt;01"),$AO28,ROUND($F28,0))</f>
        <v>1428</v>
      </c>
      <c r="AQ28" s="218" t="str">
        <f>IF(LEFT($B28,4)="_Mil","",IF(SUM($AP28)=0,SUM($Z28),IF(OR(SUM($Z28)=0,SUM($O28)=0),MAX($AP28,$Z28),ROUND($AP28*$Z28/$O28,0))))</f>
        <v/>
      </c>
      <c r="AR28" s="33" t="e">
        <f>IF(OR(LEFT($B28,4)="_Mil",SUM($AK28)=0),"",SUM($AQ28)/$AK28)</f>
        <v>#REF!</v>
      </c>
      <c r="AS28" s="33">
        <v>0.94</v>
      </c>
      <c r="AT28" s="33">
        <v>0.96</v>
      </c>
      <c r="AU28" s="38">
        <f>IF($C28="&lt;01","",SUM($AP28)-SUM($O28))</f>
        <v>54</v>
      </c>
      <c r="AV28" s="38">
        <f>IF($C28="&lt;01",ROUND(INDEX(EID!$N:$N,MATCH($B28,EID!$B:$B,0))/2,0),IF(SUM($AT28)=0,"",ROUND((SUM($AP28)-(SUM($O28)*SUM($AS28)))/$AT28,0)))</f>
        <v>142</v>
      </c>
      <c r="AW28" s="33">
        <v>0.8</v>
      </c>
      <c r="AX28" s="218">
        <f>IF($C28="&lt;01",SUM($AV28),ROUND(SUM($AV28)*SUM($AW28),0))</f>
        <v>114</v>
      </c>
      <c r="AY28" s="79">
        <f t="shared" si="10"/>
        <v>0.7</v>
      </c>
      <c r="AZ28" s="85">
        <f>IF($C28="&lt;01",ROUND(INDEX(EID!$R:$R,MATCH($B28,EID!$B:$B,0))/2,0),ROUND(SUM($O28)+(SUM($AV28)*$AY28),0))</f>
        <v>1473</v>
      </c>
      <c r="BA28" s="40">
        <f t="shared" si="11"/>
        <v>0.95</v>
      </c>
      <c r="BB28" s="99">
        <f>IF($C28="&lt;01",ROUND(INDEX(EID!$T:$T,MATCH($B28,EID!$B:$B,0))/2,0),ROUND($AP28*$BA28,0))</f>
        <v>1357</v>
      </c>
      <c r="BC28" s="85" t="str">
        <f>IF(LEFT($B28,4)="_Mil","",IF(SUM($BB28)=0,SUM($AD28),IF(OR(SUM($AP28)=0,SUM($AQ28)=0),MAX($BB28,$AD28),ROUND($BB28*$AQ28/$AP28,0))))</f>
        <v/>
      </c>
      <c r="BD28" s="33">
        <f t="shared" si="12"/>
        <v>0.95</v>
      </c>
      <c r="BE28" s="218">
        <f>IF($C28="&lt;01",ROUND(INDEX(EID!$V:$V,MATCH($B28,EID!$B:$B,0))/2,0),ROUND($BD28*$BB28,0))</f>
        <v>1289</v>
      </c>
      <c r="BF28" s="218" t="str">
        <f>IF(LEFT($B28,4)="_Mil","",IF(SUM($BE28)=0,SUM($AF28),IF(OR(SUM($AP28)=0,SUM($AQ28)=0),MAX($BE28,$AF28),ROUND($BE28*$AQ28/$AP28,0))))</f>
        <v/>
      </c>
      <c r="BG28" s="79">
        <f t="shared" si="13"/>
        <v>0.95</v>
      </c>
      <c r="BH28" s="99">
        <f>IF($C28="&lt;01",ROUND(INDEX(EID!$L:$L,MATCH($B28,EID!$B:$B,0)),0)/2,IF(SUM($BG28)=0,"",ROUND($AX28/$BG28,0)))</f>
        <v>120</v>
      </c>
    </row>
    <row r="29" spans="1:60" x14ac:dyDescent="0.2">
      <c r="A29" t="str">
        <f>INDEX(Prioritization!$D:$D,MATCH($B29,Prioritization!$A:$A,0))</f>
        <v>4 - Sustained</v>
      </c>
      <c r="B29" t="s">
        <v>313</v>
      </c>
      <c r="C29" t="s">
        <v>426</v>
      </c>
      <c r="D29" t="s">
        <v>30</v>
      </c>
      <c r="E29" t="str">
        <f t="shared" si="0"/>
        <v>Balaka District [ir8wuHHzoSs]|&lt;01|Female</v>
      </c>
      <c r="F29" s="229">
        <v>11</v>
      </c>
      <c r="G29" s="38">
        <v>16</v>
      </c>
      <c r="H29" s="38">
        <v>9</v>
      </c>
      <c r="I29" s="38">
        <v>7</v>
      </c>
      <c r="J29" s="38">
        <v>32</v>
      </c>
      <c r="K29" s="38">
        <v>27</v>
      </c>
      <c r="L29" s="38"/>
      <c r="M29" s="38">
        <v>13</v>
      </c>
      <c r="N29" s="38">
        <v>13</v>
      </c>
      <c r="O29" s="229">
        <v>11</v>
      </c>
      <c r="P29" s="38">
        <v>9</v>
      </c>
      <c r="Q29" s="38">
        <v>8</v>
      </c>
      <c r="R29" s="38">
        <f t="shared" si="2"/>
        <v>4</v>
      </c>
      <c r="S29" s="38">
        <f>IF(LEFT($B29,4)="_Mil","",_xlfn.IFNA(ROUND(INDEX(Spectrum!$N:$N,MATCH(RIGHT($B29,13)&amp;"|"&amp;$C29&amp;"|"&amp;$D29&amp;"|"&amp;S$14&amp;"|"&amp;"CY2023Q4",Spectrum!$R:$R,0)),0),""))</f>
        <v>12</v>
      </c>
      <c r="T29" s="218">
        <f>IF(LEFT($B29,4)="_Mil","",_xlfn.IFNA(ROUND(INDEX(Spectrum!$N:$N,MATCH(RIGHT($B29,13)&amp;"|"&amp;$C29&amp;"|"&amp;$D29&amp;"|"&amp;T$14&amp;"|"&amp;"CY2024Q3",Spectrum!$R:$R,0)),0),""))</f>
        <v>9221</v>
      </c>
      <c r="U29" s="218">
        <f>IF(LEFT($B29,4)="_Mil","",_xlfn.IFNA(ROUND(INDEX(Spectrum!$N:$N,MATCH(RIGHT($B29,13)&amp;"|"&amp;$C29&amp;"|"&amp;$D29&amp;"|"&amp;U$14&amp;"|"&amp;"CY2024Q3",Spectrum!$R:$R,0)),0),""))</f>
        <v>19</v>
      </c>
      <c r="V29" s="38">
        <f>IF(LEFT($B29,4)="_Mil","",_xlfn.IFNA(ROUND(INDEX(Spectrum!$N:$N,MATCH(RIGHT($B29,13)&amp;"|"&amp;$C29&amp;"|"&amp;$D29&amp;"|"&amp;V$14&amp;"|"&amp;"CY2024Q3",Spectrum!$R:$R,0)),0),""))</f>
        <v>15</v>
      </c>
      <c r="W29" s="220">
        <f>IF(LEFT($B29,4)="_Mil","",_xlfn.IFNA(INDEX(Spectrum!$N:$N,MATCH(RIGHT($B29,13)&amp;"|"&amp;$C29&amp;"|"&amp;$D29&amp;"|"&amp;W$14&amp;"|"&amp;"CY2024Q3",Spectrum!$R:$R,0)),""))</f>
        <v>2.030909E-3</v>
      </c>
      <c r="X29" s="218">
        <f>IF(LEFT($B29,4)="_Mil","",_xlfn.IFNA(ROUND(INDEX(Spectrum!$N:$N,MATCH(RIGHT($B29,13)&amp;"|"&amp;$C29&amp;"|"&amp;$D29&amp;"|"&amp;X$14&amp;"|"&amp;"CY2024Q3",Spectrum!$R:$R,0)),0),""))</f>
        <v>13</v>
      </c>
      <c r="Y29" s="33">
        <f t="shared" si="3"/>
        <v>0.68</v>
      </c>
      <c r="Z29" s="218">
        <f>IF(LEFT($B29,4)="_Mil","",_xlfn.IFNA(ROUND(INDEX(Spectrum!$N:$N,MATCH(RIGHT($B29,13)&amp;"|"&amp;$C29&amp;"|"&amp;$D29&amp;"|"&amp;Z$14&amp;"|"&amp;"CY2024Q3",Spectrum!$R:$R,0)),0),""))</f>
        <v>10</v>
      </c>
      <c r="AA29" s="33">
        <f>IF(LEFT($B29,4)="_Mil","",IFERROR(1/(1/INDEX(Spectrum!$N:$N,MATCH(RIGHT($B29,13)&amp;"|"&amp;$C29&amp;"|"&amp;$D29&amp;"|"&amp;AA$14&amp;"|"&amp;"CY2024Q3",Spectrum!$R:$R,0))),IF(SUM($U29)=0,"",SUM($Z29)/$U29)))</f>
        <v>0.66735657100000001</v>
      </c>
      <c r="AB29" s="33">
        <f t="shared" si="4"/>
        <v>0.76923076923076927</v>
      </c>
      <c r="AC29" s="38">
        <f>IF(LEFT($B29,4)="_Mil","",_xlfn.IFNA(ROUND(INDEX(Spectrum!$N:$N,MATCH(RIGHT($B29,13)&amp;"|"&amp;$C29&amp;"|"&amp;$D29&amp;"|"&amp;AC$14&amp;"|"&amp;"CY2024Q3",Spectrum!$R:$R,0)),0),""))</f>
        <v>5</v>
      </c>
      <c r="AD29" s="38" t="str">
        <f>IF(LEFT($B29,4)="_Mil","",_xlfn.IFNA(ROUND(INDEX(Spectrum!$N:$N,MATCH(RIGHT($B29,13)&amp;"|"&amp;$C29&amp;"|"&amp;$D29&amp;"|"&amp;AD$14&amp;"|"&amp;"CY2024Q3",Spectrum!$R:$R,0)),0),""))</f>
        <v/>
      </c>
      <c r="AE29" s="33">
        <f t="shared" si="5"/>
        <v>0</v>
      </c>
      <c r="AF29" s="218" t="str">
        <f>IF(LEFT($B29,4)="_Mil","",_xlfn.IFNA(ROUND(INDEX(Spectrum!$N:$N,MATCH(RIGHT($B29,13)&amp;"|"&amp;$C29&amp;"|"&amp;$D29&amp;"|"&amp;AF$14&amp;"|"&amp;"CY2024Q3",Spectrum!$R:$R,0)),0),""))</f>
        <v/>
      </c>
      <c r="AG29" s="33" t="str">
        <f t="shared" si="6"/>
        <v/>
      </c>
      <c r="AH29" s="110" t="str">
        <f>IF(LEFT($B29,4)="_Mil","",_xlfn.IFNA(INDEX(Spectrum!$N:$N,MATCH(RIGHT($B29,13)&amp;"|"&amp;$C29&amp;"|"&amp;$D29&amp;"|"&amp;AH$14&amp;"|"&amp;"CY2024Q3",Spectrum!$R:$R,0)),""))</f>
        <v/>
      </c>
      <c r="AI29" s="218">
        <f>IF(LEFT($B29,4)="_Mil","",_xlfn.IFNA(ROUND(INDEX(Spectrum!$N:$N,MATCH(RIGHT($B29,13)&amp;"|"&amp;$C29&amp;"|"&amp;$D29&amp;"|"&amp;AI$14&amp;"|"&amp;"CY2025Q3",Spectrum!$R:$R,0)),0),""))</f>
        <v>24</v>
      </c>
      <c r="AJ29" s="38">
        <f>IF(LEFT($B29,4)="_Mil","",_xlfn.IFNA(ROUND(INDEX(Spectrum!$N:$N,MATCH(RIGHT($B29,13)&amp;"|"&amp;$C29&amp;"|"&amp;$D29&amp;"|"&amp;AJ$14&amp;"|"&amp;"CY2025Q3",Spectrum!$R:$R,0)),0),""))</f>
        <v>17</v>
      </c>
      <c r="AK29" s="218" t="e">
        <f>#REF!</f>
        <v>#REF!</v>
      </c>
      <c r="AL29" s="33" t="str">
        <f t="shared" si="7"/>
        <v/>
      </c>
      <c r="AM29" s="38" t="str">
        <f>IF(OR(LEFT($B29,4)="_Mil",$C29="&lt;01"),"",ROUND(SUM($AK29)*SUM($AL29),0))</f>
        <v/>
      </c>
      <c r="AN29" s="38">
        <f>IF($C29="&lt;01",ROUND(INDEX(EID!$P:$P,MATCH($B29,EID!$B:$B,0))/2,0),"")</f>
        <v>4</v>
      </c>
      <c r="AO29" s="38">
        <f>IF($C29="&lt;01",SUM($AN29),ROUND(SUM($AM29)*SUM($O29)/IF(SUM($Z29)=0,1,$Z29),0))</f>
        <v>4</v>
      </c>
      <c r="AP29" s="218">
        <f>IF(OR($F29="",$C29="&lt;01"),$AO29,ROUND($F29,0))</f>
        <v>4</v>
      </c>
      <c r="AQ29" s="218">
        <f>IF(LEFT($B29,4)="_Mil","",IF(SUM($AP29)=0,SUM($Z29),IF(OR(SUM($Z29)=0,SUM($O29)=0),MAX($AP29,$Z29),ROUND($AP29*$Z29/$O29,0))))</f>
        <v>4</v>
      </c>
      <c r="AR29" s="33" t="e">
        <f>IF(OR(LEFT($B29,4)="_Mil",SUM($AK29)=0),"",SUM($AQ29)/$AK29)</f>
        <v>#REF!</v>
      </c>
      <c r="AS29" s="33" t="str">
        <f t="shared" si="8"/>
        <v/>
      </c>
      <c r="AT29" s="33" t="str">
        <f t="shared" si="8"/>
        <v/>
      </c>
      <c r="AU29" s="38" t="str">
        <f>IF($C29="&lt;01","",SUM($AP29)-SUM($O29))</f>
        <v/>
      </c>
      <c r="AV29" s="38">
        <f>IF($C29="&lt;01",ROUND(INDEX(EID!$N:$N,MATCH($B29,EID!$B:$B,0))/2,0),IF(SUM($AT29)=0,"",ROUND((SUM($AP29)-(SUM($O29)*SUM($AS29)))/$AT29,0)))</f>
        <v>4</v>
      </c>
      <c r="AW29" s="33" t="str">
        <f t="shared" si="9"/>
        <v/>
      </c>
      <c r="AX29" s="218">
        <f>IF($C29="&lt;01",SUM($AV29),ROUND(SUM($AV29)*SUM($AW29),0))</f>
        <v>4</v>
      </c>
      <c r="AY29" s="79" t="str">
        <f t="shared" si="10"/>
        <v/>
      </c>
      <c r="AZ29" s="85">
        <f>IF($C29="&lt;01",ROUND(INDEX(EID!$R:$R,MATCH($B29,EID!$B:$B,0))/2,0),ROUND(SUM($O29)+(SUM($AV29)*$AY29),0))</f>
        <v>3</v>
      </c>
      <c r="BA29" s="40" t="str">
        <f t="shared" si="11"/>
        <v/>
      </c>
      <c r="BB29" s="99">
        <f>IF($C29="&lt;01",ROUND(INDEX(EID!$T:$T,MATCH($B29,EID!$B:$B,0))/2,0),ROUND($AP29*$BA29,0))</f>
        <v>3</v>
      </c>
      <c r="BC29" s="85">
        <f>IF(LEFT($B29,4)="_Mil","",IF(SUM($BB29)=0,SUM($AD29),IF(OR(SUM($AP29)=0,SUM($AQ29)=0),MAX($BB29,$AD29),ROUND($BB29*$AQ29/$AP29,0))))</f>
        <v>3</v>
      </c>
      <c r="BD29" s="33" t="str">
        <f t="shared" si="12"/>
        <v/>
      </c>
      <c r="BE29" s="218">
        <f>IF($C29="&lt;01",ROUND(INDEX(EID!$V:$V,MATCH($B29,EID!$B:$B,0))/2,0),ROUND($BD29*$BB29,0))</f>
        <v>3</v>
      </c>
      <c r="BF29" s="218">
        <f>IF(LEFT($B29,4)="_Mil","",IF(SUM($BE29)=0,SUM($AF29),IF(OR(SUM($AP29)=0,SUM($AQ29)=0),MAX($BE29,$AF29),ROUND($BE29*$AQ29/$AP29,0))))</f>
        <v>3</v>
      </c>
      <c r="BG29" s="79" t="str">
        <f t="shared" si="13"/>
        <v/>
      </c>
      <c r="BH29" s="99">
        <f>IF($C29="&lt;01",ROUND(INDEX(EID!$L:$L,MATCH($B29,EID!$B:$B,0)),0)/2,IF(SUM($BG29)=0,"",ROUND($AX29/$BG29,0)))</f>
        <v>4</v>
      </c>
    </row>
    <row r="30" spans="1:60" x14ac:dyDescent="0.2">
      <c r="A30" t="str">
        <f>INDEX(Prioritization!$D:$D,MATCH($B30,Prioritization!$A:$A,0))</f>
        <v>4 - Sustained</v>
      </c>
      <c r="B30" t="s">
        <v>313</v>
      </c>
      <c r="C30" t="s">
        <v>426</v>
      </c>
      <c r="D30" t="s">
        <v>48</v>
      </c>
      <c r="E30" t="str">
        <f t="shared" si="0"/>
        <v>Balaka District [ir8wuHHzoSs]|&lt;01|Male</v>
      </c>
      <c r="F30" s="229"/>
      <c r="G30" s="38">
        <v>14</v>
      </c>
      <c r="H30" s="38">
        <v>7</v>
      </c>
      <c r="I30" s="38">
        <v>4</v>
      </c>
      <c r="J30" s="38">
        <v>10</v>
      </c>
      <c r="K30" s="38">
        <v>10</v>
      </c>
      <c r="L30" s="38"/>
      <c r="M30" s="38">
        <v>13</v>
      </c>
      <c r="N30" s="38">
        <v>13</v>
      </c>
      <c r="O30" s="229">
        <v>11</v>
      </c>
      <c r="P30" s="38">
        <v>9</v>
      </c>
      <c r="Q30" s="38">
        <v>8</v>
      </c>
      <c r="R30" s="38">
        <f t="shared" si="2"/>
        <v>7</v>
      </c>
      <c r="S30" s="38">
        <f>IF(LEFT($B30,4)="_Mil","",_xlfn.IFNA(ROUND(INDEX(Spectrum!$N:$N,MATCH(RIGHT($B30,13)&amp;"|"&amp;$C30&amp;"|"&amp;$D30&amp;"|"&amp;S$14&amp;"|"&amp;"CY2023Q4",Spectrum!$R:$R,0)),0),""))</f>
        <v>12</v>
      </c>
      <c r="T30" s="218">
        <f>IF(LEFT($B30,4)="_Mil","",_xlfn.IFNA(ROUND(INDEX(Spectrum!$N:$N,MATCH(RIGHT($B30,13)&amp;"|"&amp;$C30&amp;"|"&amp;$D30&amp;"|"&amp;T$14&amp;"|"&amp;"CY2024Q3",Spectrum!$R:$R,0)),0),""))</f>
        <v>9374</v>
      </c>
      <c r="U30" s="218">
        <f>IF(LEFT($B30,4)="_Mil","",_xlfn.IFNA(ROUND(INDEX(Spectrum!$N:$N,MATCH(RIGHT($B30,13)&amp;"|"&amp;$C30&amp;"|"&amp;$D30&amp;"|"&amp;U$14&amp;"|"&amp;"CY2024Q3",Spectrum!$R:$R,0)),0),""))</f>
        <v>19</v>
      </c>
      <c r="V30" s="38">
        <f>IF(LEFT($B30,4)="_Mil","",_xlfn.IFNA(ROUND(INDEX(Spectrum!$N:$N,MATCH(RIGHT($B30,13)&amp;"|"&amp;$C30&amp;"|"&amp;$D30&amp;"|"&amp;V$14&amp;"|"&amp;"CY2024Q3",Spectrum!$R:$R,0)),0),""))</f>
        <v>15</v>
      </c>
      <c r="W30" s="220">
        <f>IF(LEFT($B30,4)="_Mil","",_xlfn.IFNA(INDEX(Spectrum!$N:$N,MATCH(RIGHT($B30,13)&amp;"|"&amp;$C30&amp;"|"&amp;$D30&amp;"|"&amp;W$14&amp;"|"&amp;"CY2024Q3",Spectrum!$R:$R,0)),""))</f>
        <v>2.03097E-3</v>
      </c>
      <c r="X30" s="218">
        <f>IF(LEFT($B30,4)="_Mil","",_xlfn.IFNA(ROUND(INDEX(Spectrum!$N:$N,MATCH(RIGHT($B30,13)&amp;"|"&amp;$C30&amp;"|"&amp;$D30&amp;"|"&amp;X$14&amp;"|"&amp;"CY2024Q3",Spectrum!$R:$R,0)),0),""))</f>
        <v>13</v>
      </c>
      <c r="Y30" s="33">
        <f t="shared" si="3"/>
        <v>0.68</v>
      </c>
      <c r="Z30" s="218">
        <f>IF(LEFT($B30,4)="_Mil","",_xlfn.IFNA(ROUND(INDEX(Spectrum!$N:$N,MATCH(RIGHT($B30,13)&amp;"|"&amp;$C30&amp;"|"&amp;$D30&amp;"|"&amp;Z$14&amp;"|"&amp;"CY2024Q3",Spectrum!$R:$R,0)),0),""))</f>
        <v>10</v>
      </c>
      <c r="AA30" s="33">
        <f>IF(LEFT($B30,4)="_Mil","",IFERROR(1/(1/INDEX(Spectrum!$N:$N,MATCH(RIGHT($B30,13)&amp;"|"&amp;$C30&amp;"|"&amp;$D30&amp;"|"&amp;AA$14&amp;"|"&amp;"CY2024Q3",Spectrum!$R:$R,0))),IF(SUM($U30)=0,"",SUM($Z30)/$U30)))</f>
        <v>0.66754651899999995</v>
      </c>
      <c r="AB30" s="33">
        <f t="shared" si="4"/>
        <v>0.76923076923076927</v>
      </c>
      <c r="AC30" s="38">
        <f>IF(LEFT($B30,4)="_Mil","",_xlfn.IFNA(ROUND(INDEX(Spectrum!$N:$N,MATCH(RIGHT($B30,13)&amp;"|"&amp;$C30&amp;"|"&amp;$D30&amp;"|"&amp;AC$14&amp;"|"&amp;"CY2024Q3",Spectrum!$R:$R,0)),0),""))</f>
        <v>5</v>
      </c>
      <c r="AD30" s="38" t="str">
        <f>IF(LEFT($B30,4)="_Mil","",_xlfn.IFNA(ROUND(INDEX(Spectrum!$N:$N,MATCH(RIGHT($B30,13)&amp;"|"&amp;$C30&amp;"|"&amp;$D30&amp;"|"&amp;AD$14&amp;"|"&amp;"CY2024Q3",Spectrum!$R:$R,0)),0),""))</f>
        <v/>
      </c>
      <c r="AE30" s="33">
        <f t="shared" si="5"/>
        <v>0</v>
      </c>
      <c r="AF30" s="218" t="str">
        <f>IF(LEFT($B30,4)="_Mil","",_xlfn.IFNA(ROUND(INDEX(Spectrum!$N:$N,MATCH(RIGHT($B30,13)&amp;"|"&amp;$C30&amp;"|"&amp;$D30&amp;"|"&amp;AF$14&amp;"|"&amp;"CY2024Q3",Spectrum!$R:$R,0)),0),""))</f>
        <v/>
      </c>
      <c r="AG30" s="33" t="str">
        <f t="shared" si="6"/>
        <v/>
      </c>
      <c r="AH30" s="110" t="str">
        <f>IF(LEFT($B30,4)="_Mil","",_xlfn.IFNA(INDEX(Spectrum!$N:$N,MATCH(RIGHT($B30,13)&amp;"|"&amp;$C30&amp;"|"&amp;$D30&amp;"|"&amp;AH$14&amp;"|"&amp;"CY2024Q3",Spectrum!$R:$R,0)),""))</f>
        <v/>
      </c>
      <c r="AI30" s="218">
        <f>IF(LEFT($B30,4)="_Mil","",_xlfn.IFNA(ROUND(INDEX(Spectrum!$N:$N,MATCH(RIGHT($B30,13)&amp;"|"&amp;$C30&amp;"|"&amp;$D30&amp;"|"&amp;AI$14&amp;"|"&amp;"CY2025Q3",Spectrum!$R:$R,0)),0),""))</f>
        <v>25</v>
      </c>
      <c r="AJ30" s="38">
        <f>IF(LEFT($B30,4)="_Mil","",_xlfn.IFNA(ROUND(INDEX(Spectrum!$N:$N,MATCH(RIGHT($B30,13)&amp;"|"&amp;$C30&amp;"|"&amp;$D30&amp;"|"&amp;AJ$14&amp;"|"&amp;"CY2025Q3",Spectrum!$R:$R,0)),0),""))</f>
        <v>17</v>
      </c>
      <c r="AK30" s="218" t="e">
        <f>#REF!</f>
        <v>#REF!</v>
      </c>
      <c r="AL30" s="33" t="str">
        <f t="shared" si="7"/>
        <v/>
      </c>
      <c r="AM30" s="38" t="str">
        <f>IF(OR(LEFT($B30,4)="_Mil",$C30="&lt;01"),"",ROUND(SUM($AK30)*SUM($AL30),0))</f>
        <v/>
      </c>
      <c r="AN30" s="38">
        <f>IF($C30="&lt;01",ROUND(INDEX(EID!$P:$P,MATCH($B30,EID!$B:$B,0))/2,0),"")</f>
        <v>4</v>
      </c>
      <c r="AO30" s="38">
        <f>IF($C30="&lt;01",SUM($AN30),ROUND(SUM($AM30)*SUM($O30)/IF(SUM($Z30)=0,1,$Z30),0))</f>
        <v>4</v>
      </c>
      <c r="AP30" s="218">
        <f>IF(OR($F30="",$C30="&lt;01"),$AO30,ROUND($F30,0))</f>
        <v>4</v>
      </c>
      <c r="AQ30" s="218">
        <f>IF(LEFT($B30,4)="_Mil","",IF(SUM($AP30)=0,SUM($Z30),IF(OR(SUM($Z30)=0,SUM($O30)=0),MAX($AP30,$Z30),ROUND($AP30*$Z30/$O30,0))))</f>
        <v>4</v>
      </c>
      <c r="AR30" s="33" t="e">
        <f>IF(OR(LEFT($B30,4)="_Mil",SUM($AK30)=0),"",SUM($AQ30)/$AK30)</f>
        <v>#REF!</v>
      </c>
      <c r="AS30" s="33" t="str">
        <f t="shared" si="8"/>
        <v/>
      </c>
      <c r="AT30" s="33" t="str">
        <f t="shared" si="8"/>
        <v/>
      </c>
      <c r="AU30" s="38" t="str">
        <f>IF($C30="&lt;01","",SUM($AP30)-SUM($O30))</f>
        <v/>
      </c>
      <c r="AV30" s="38">
        <f>IF($C30="&lt;01",ROUND(INDEX(EID!$N:$N,MATCH($B30,EID!$B:$B,0))/2,0),IF(SUM($AT30)=0,"",ROUND((SUM($AP30)-(SUM($O30)*SUM($AS30)))/$AT30,0)))</f>
        <v>4</v>
      </c>
      <c r="AW30" s="33" t="str">
        <f t="shared" si="9"/>
        <v/>
      </c>
      <c r="AX30" s="218">
        <f>IF($C30="&lt;01",SUM($AV30),ROUND(SUM($AV30)*SUM($AW30),0))</f>
        <v>4</v>
      </c>
      <c r="AY30" s="79" t="str">
        <f t="shared" si="10"/>
        <v/>
      </c>
      <c r="AZ30" s="85">
        <f>IF($C30="&lt;01",ROUND(INDEX(EID!$R:$R,MATCH($B30,EID!$B:$B,0))/2,0),ROUND(SUM($O30)+(SUM($AV30)*$AY30),0))</f>
        <v>3</v>
      </c>
      <c r="BA30" s="40" t="str">
        <f t="shared" si="11"/>
        <v/>
      </c>
      <c r="BB30" s="99">
        <f>IF($C30="&lt;01",ROUND(INDEX(EID!$T:$T,MATCH($B30,EID!$B:$B,0))/2,0),ROUND($AP30*$BA30,0))</f>
        <v>3</v>
      </c>
      <c r="BC30" s="85">
        <f>IF(LEFT($B30,4)="_Mil","",IF(SUM($BB30)=0,SUM($AD30),IF(OR(SUM($AP30)=0,SUM($AQ30)=0),MAX($BB30,$AD30),ROUND($BB30*$AQ30/$AP30,0))))</f>
        <v>3</v>
      </c>
      <c r="BD30" s="33" t="str">
        <f t="shared" si="12"/>
        <v/>
      </c>
      <c r="BE30" s="218">
        <f>IF($C30="&lt;01",ROUND(INDEX(EID!$V:$V,MATCH($B30,EID!$B:$B,0))/2,0),ROUND($BD30*$BB30,0))</f>
        <v>3</v>
      </c>
      <c r="BF30" s="218">
        <f>IF(LEFT($B30,4)="_Mil","",IF(SUM($BE30)=0,SUM($AF30),IF(OR(SUM($AP30)=0,SUM($AQ30)=0),MAX($BE30,$AF30),ROUND($BE30*$AQ30/$AP30,0))))</f>
        <v>3</v>
      </c>
      <c r="BG30" s="79" t="str">
        <f t="shared" si="13"/>
        <v/>
      </c>
      <c r="BH30" s="99">
        <f>IF($C30="&lt;01",ROUND(INDEX(EID!$L:$L,MATCH($B30,EID!$B:$B,0)),0)/2,IF(SUM($BG30)=0,"",ROUND($AX30/$BG30,0)))</f>
        <v>4</v>
      </c>
    </row>
    <row r="31" spans="1:60" x14ac:dyDescent="0.2">
      <c r="A31" t="str">
        <f>INDEX(Prioritization!$D:$D,MATCH($B31,Prioritization!$A:$A,0))</f>
        <v>4 - Sustained</v>
      </c>
      <c r="B31" t="s">
        <v>313</v>
      </c>
      <c r="C31" t="s">
        <v>473</v>
      </c>
      <c r="D31" t="s">
        <v>30</v>
      </c>
      <c r="E31" t="str">
        <f t="shared" si="0"/>
        <v>Balaka District [ir8wuHHzoSs]|01-09|Female</v>
      </c>
      <c r="F31" s="229"/>
      <c r="G31" s="38">
        <v>31</v>
      </c>
      <c r="H31" s="38">
        <v>21</v>
      </c>
      <c r="I31" s="38">
        <v>246</v>
      </c>
      <c r="J31" s="38">
        <v>349</v>
      </c>
      <c r="K31" s="38">
        <v>283</v>
      </c>
      <c r="L31" s="38">
        <v>13</v>
      </c>
      <c r="M31" s="38">
        <v>12</v>
      </c>
      <c r="N31" s="38">
        <v>276</v>
      </c>
      <c r="O31" s="229"/>
      <c r="P31" s="38">
        <v>246</v>
      </c>
      <c r="Q31" s="38">
        <v>233</v>
      </c>
      <c r="R31" s="38">
        <f t="shared" si="2"/>
        <v>-246</v>
      </c>
      <c r="S31" s="38">
        <f>IF(LEFT($B31,4)="_Mil","",_xlfn.IFNA(ROUND(INDEX(Spectrum!$N:$N,MATCH(RIGHT($B31,13)&amp;"|"&amp;$C31&amp;"|"&amp;$D31&amp;"|"&amp;S$14&amp;"|"&amp;"CY2023Q4",Spectrum!$R:$R,0)),0),""))</f>
        <v>225</v>
      </c>
      <c r="T31" s="218"/>
      <c r="U31" s="218"/>
      <c r="V31" s="38"/>
      <c r="W31" s="220"/>
      <c r="X31" s="218"/>
      <c r="Y31" s="33"/>
      <c r="Z31" s="218">
        <f>IF(LEFT($B31,4)="_Mil","",_xlfn.IFNA(ROUND(INDEX(Spectrum!$N:$N,MATCH(RIGHT($B31,13)&amp;"|"&amp;$C31&amp;"|"&amp;$D31&amp;"|"&amp;Z$14&amp;"|"&amp;"CY2024Q3",Spectrum!$R:$R,0)),0),""))</f>
        <v>215</v>
      </c>
      <c r="AA31" s="33">
        <f>IF(LEFT($B31,4)="_Mil","",IFERROR(1/(1/INDEX(Spectrum!$N:$N,MATCH(RIGHT($B31,13)&amp;"|"&amp;$C31&amp;"|"&amp;$D31&amp;"|"&amp;AA$14&amp;"|"&amp;"CY2024Q3",Spectrum!$R:$R,0))),IF(SUM($U31)=0,"",SUM($Z31)/$U31)))</f>
        <v>0.71466822600000002</v>
      </c>
      <c r="AB31" s="33" t="str">
        <f t="shared" si="4"/>
        <v/>
      </c>
      <c r="AC31" s="38">
        <f>IF(LEFT($B31,4)="_Mil","",_xlfn.IFNA(ROUND(INDEX(Spectrum!$N:$N,MATCH(RIGHT($B31,13)&amp;"|"&amp;$C31&amp;"|"&amp;$D31&amp;"|"&amp;AC$14&amp;"|"&amp;"CY2024Q3",Spectrum!$R:$R,0)),0),""))</f>
        <v>86</v>
      </c>
      <c r="AD31" s="38" t="str">
        <f>IF(LEFT($B31,4)="_Mil","",_xlfn.IFNA(ROUND(INDEX(Spectrum!$N:$N,MATCH(RIGHT($B31,13)&amp;"|"&amp;$C31&amp;"|"&amp;$D31&amp;"|"&amp;AD$14&amp;"|"&amp;"CY2024Q3",Spectrum!$R:$R,0)),0),""))</f>
        <v/>
      </c>
      <c r="AE31" s="33">
        <f t="shared" si="5"/>
        <v>0</v>
      </c>
      <c r="AF31" s="218" t="str">
        <f>IF(LEFT($B31,4)="_Mil","",_xlfn.IFNA(ROUND(INDEX(Spectrum!$N:$N,MATCH(RIGHT($B31,13)&amp;"|"&amp;$C31&amp;"|"&amp;$D31&amp;"|"&amp;AF$14&amp;"|"&amp;"CY2024Q3",Spectrum!$R:$R,0)),0),""))</f>
        <v/>
      </c>
      <c r="AG31" s="33" t="str">
        <f t="shared" si="6"/>
        <v/>
      </c>
      <c r="AH31" s="110" t="str">
        <f>IF(LEFT($B31,4)="_Mil","",_xlfn.IFNA(INDEX(Spectrum!$N:$N,MATCH(RIGHT($B31,13)&amp;"|"&amp;$C31&amp;"|"&amp;$D31&amp;"|"&amp;AH$14&amp;"|"&amp;"CY2024Q3",Spectrum!$R:$R,0)),""))</f>
        <v/>
      </c>
      <c r="AI31" s="218">
        <f>IF(LEFT($B31,4)="_Mil","",_xlfn.IFNA(ROUND(INDEX(Spectrum!$N:$N,MATCH(RIGHT($B31,13)&amp;"|"&amp;$C31&amp;"|"&amp;$D31&amp;"|"&amp;AI$14&amp;"|"&amp;"CY2025Q3",Spectrum!$R:$R,0)),0),""))</f>
        <v>6</v>
      </c>
      <c r="AJ31" s="38">
        <f>IF(LEFT($B31,4)="_Mil","",_xlfn.IFNA(ROUND(INDEX(Spectrum!$N:$N,MATCH(RIGHT($B31,13)&amp;"|"&amp;$C31&amp;"|"&amp;$D31&amp;"|"&amp;AJ$14&amp;"|"&amp;"CY2025Q3",Spectrum!$R:$R,0)),0),""))</f>
        <v>322</v>
      </c>
      <c r="AK31" s="218" t="e">
        <f>#REF!</f>
        <v>#REF!</v>
      </c>
      <c r="AL31" s="33">
        <f t="shared" si="7"/>
        <v>0.9</v>
      </c>
      <c r="AM31" s="38" t="e">
        <f>IF(OR(LEFT($B31,4)="_Mil",$C31="&lt;01"),"",ROUND(SUM($AK31)*SUM($AL31),0))</f>
        <v>#REF!</v>
      </c>
      <c r="AN31" s="38" t="str">
        <f>IF($C31="&lt;01",ROUND(INDEX(EID!$P:$P,MATCH($B31,EID!$B:$B,0))/2,0),"")</f>
        <v/>
      </c>
      <c r="AO31" s="38"/>
      <c r="AP31" s="218"/>
      <c r="AQ31" s="218"/>
      <c r="AR31" s="33" t="e">
        <f>IF(OR(LEFT($B31,4)="_Mil",SUM($AK31)=0),"",SUM($AQ31)/$AK31)</f>
        <v>#REF!</v>
      </c>
      <c r="AS31" s="33">
        <f t="shared" si="8"/>
        <v>0.98</v>
      </c>
      <c r="AT31" s="33">
        <f t="shared" si="8"/>
        <v>0.98</v>
      </c>
      <c r="AU31" s="38">
        <f>IF($C31="&lt;01","",SUM($AP31)-SUM($O31))</f>
        <v>0</v>
      </c>
      <c r="AV31" s="38">
        <f>IF($C31="&lt;01",ROUND(INDEX(EID!$N:$N,MATCH($B31,EID!$B:$B,0))/2,0),IF(SUM($AT31)=0,"",ROUND((SUM($AP31)-(SUM($O31)*SUM($AS31)))/$AT31,0)))</f>
        <v>0</v>
      </c>
      <c r="AW31" s="33">
        <f t="shared" si="9"/>
        <v>1</v>
      </c>
      <c r="AX31" s="218">
        <f>IF($C31="&lt;01",SUM($AV31),ROUND(SUM($AV31)*SUM($AW31),0))</f>
        <v>0</v>
      </c>
      <c r="AY31" s="79"/>
      <c r="AZ31" s="85">
        <f>IF($C31="&lt;01",ROUND(INDEX(EID!$R:$R,MATCH($B31,EID!$B:$B,0))/2,0),ROUND(SUM($O31)+(SUM($AV31)*$AY31),0))</f>
        <v>0</v>
      </c>
      <c r="BA31" s="40"/>
      <c r="BB31" s="99">
        <f>IF($C31="&lt;01",ROUND(INDEX(EID!$T:$T,MATCH($B31,EID!$B:$B,0))/2,0),ROUND($AP31*$BA31,0))</f>
        <v>0</v>
      </c>
      <c r="BC31" s="85">
        <f>IF(LEFT($B31,4)="_Mil","",IF(SUM($BB31)=0,SUM($AD31),IF(OR(SUM($AP31)=0,SUM($AQ31)=0),MAX($BB31,$AD31),ROUND($BB31*$AQ31/$AP31,0))))</f>
        <v>0</v>
      </c>
      <c r="BD31" s="33">
        <f t="shared" si="12"/>
        <v>0.95</v>
      </c>
      <c r="BE31" s="218">
        <f>IF($C31="&lt;01",ROUND(INDEX(EID!$V:$V,MATCH($B31,EID!$B:$B,0))/2,0),ROUND($BD31*$BB31,0))</f>
        <v>0</v>
      </c>
      <c r="BF31" s="218">
        <f>IF(LEFT($B31,4)="_Mil","",IF(SUM($BE31)=0,SUM($AF31),IF(OR(SUM($AP31)=0,SUM($AQ31)=0),MAX($BE31,$AF31),ROUND($BE31*$AQ31/$AP31,0))))</f>
        <v>0</v>
      </c>
      <c r="BG31" s="79">
        <f t="shared" si="13"/>
        <v>0.95</v>
      </c>
      <c r="BH31" s="99">
        <f>IF($C31="&lt;01",ROUND(INDEX(EID!$L:$L,MATCH($B31,EID!$B:$B,0)),0)/2,IF(SUM($BG31)=0,"",ROUND($AX31/$BG31,0)))</f>
        <v>0</v>
      </c>
    </row>
    <row r="32" spans="1:60" x14ac:dyDescent="0.2">
      <c r="A32" t="str">
        <f>INDEX(Prioritization!$D:$D,MATCH($B32,Prioritization!$A:$A,0))</f>
        <v>4 - Sustained</v>
      </c>
      <c r="B32" t="s">
        <v>313</v>
      </c>
      <c r="C32" t="s">
        <v>473</v>
      </c>
      <c r="D32" t="s">
        <v>48</v>
      </c>
      <c r="E32" t="str">
        <f t="shared" si="0"/>
        <v>Balaka District [ir8wuHHzoSs]|01-09|Male</v>
      </c>
      <c r="F32" s="229"/>
      <c r="G32" s="38">
        <v>22</v>
      </c>
      <c r="H32" s="38">
        <v>16</v>
      </c>
      <c r="I32" s="38">
        <v>205</v>
      </c>
      <c r="J32" s="38">
        <v>289</v>
      </c>
      <c r="K32" s="38">
        <v>226</v>
      </c>
      <c r="L32" s="38">
        <v>13</v>
      </c>
      <c r="M32" s="38">
        <v>12</v>
      </c>
      <c r="N32" s="38">
        <v>280</v>
      </c>
      <c r="O32" s="229"/>
      <c r="P32" s="38">
        <v>248</v>
      </c>
      <c r="Q32" s="38">
        <v>236</v>
      </c>
      <c r="R32" s="38">
        <f t="shared" si="2"/>
        <v>-205</v>
      </c>
      <c r="S32" s="38">
        <f>IF(LEFT($B32,4)="_Mil","",_xlfn.IFNA(ROUND(INDEX(Spectrum!$N:$N,MATCH(RIGHT($B32,13)&amp;"|"&amp;$C32&amp;"|"&amp;$D32&amp;"|"&amp;S$14&amp;"|"&amp;"CY2023Q4",Spectrum!$R:$R,0)),0),""))</f>
        <v>233</v>
      </c>
      <c r="T32" s="218"/>
      <c r="U32" s="218"/>
      <c r="V32" s="38"/>
      <c r="W32" s="220"/>
      <c r="X32" s="218"/>
      <c r="Y32" s="33"/>
      <c r="Z32" s="218">
        <f>IF(LEFT($B32,4)="_Mil","",_xlfn.IFNA(ROUND(INDEX(Spectrum!$N:$N,MATCH(RIGHT($B32,13)&amp;"|"&amp;$C32&amp;"|"&amp;$D32&amp;"|"&amp;Z$14&amp;"|"&amp;"CY2024Q3",Spectrum!$R:$R,0)),0),""))</f>
        <v>222</v>
      </c>
      <c r="AA32" s="33">
        <f>IF(LEFT($B32,4)="_Mil","",IFERROR(1/(1/INDEX(Spectrum!$N:$N,MATCH(RIGHT($B32,13)&amp;"|"&amp;$C32&amp;"|"&amp;$D32&amp;"|"&amp;AA$14&amp;"|"&amp;"CY2024Q3",Spectrum!$R:$R,0))),IF(SUM($U32)=0,"",SUM($Z32)/$U32)))</f>
        <v>0.71487340499999996</v>
      </c>
      <c r="AB32" s="33" t="str">
        <f t="shared" si="4"/>
        <v/>
      </c>
      <c r="AC32" s="38">
        <f>IF(LEFT($B32,4)="_Mil","",_xlfn.IFNA(ROUND(INDEX(Spectrum!$N:$N,MATCH(RIGHT($B32,13)&amp;"|"&amp;$C32&amp;"|"&amp;$D32&amp;"|"&amp;AC$14&amp;"|"&amp;"CY2024Q3",Spectrum!$R:$R,0)),0),""))</f>
        <v>86</v>
      </c>
      <c r="AD32" s="38" t="str">
        <f>IF(LEFT($B32,4)="_Mil","",_xlfn.IFNA(ROUND(INDEX(Spectrum!$N:$N,MATCH(RIGHT($B32,13)&amp;"|"&amp;$C32&amp;"|"&amp;$D32&amp;"|"&amp;AD$14&amp;"|"&amp;"CY2024Q3",Spectrum!$R:$R,0)),0),""))</f>
        <v/>
      </c>
      <c r="AE32" s="33">
        <f t="shared" si="5"/>
        <v>0</v>
      </c>
      <c r="AF32" s="218" t="str">
        <f>IF(LEFT($B32,4)="_Mil","",_xlfn.IFNA(ROUND(INDEX(Spectrum!$N:$N,MATCH(RIGHT($B32,13)&amp;"|"&amp;$C32&amp;"|"&amp;$D32&amp;"|"&amp;AF$14&amp;"|"&amp;"CY2024Q3",Spectrum!$R:$R,0)),0),""))</f>
        <v/>
      </c>
      <c r="AG32" s="33" t="str">
        <f t="shared" si="6"/>
        <v/>
      </c>
      <c r="AH32" s="110" t="str">
        <f>IF(LEFT($B32,4)="_Mil","",_xlfn.IFNA(INDEX(Spectrum!$N:$N,MATCH(RIGHT($B32,13)&amp;"|"&amp;$C32&amp;"|"&amp;$D32&amp;"|"&amp;AH$14&amp;"|"&amp;"CY2024Q3",Spectrum!$R:$R,0)),""))</f>
        <v/>
      </c>
      <c r="AI32" s="218">
        <f>IF(LEFT($B32,4)="_Mil","",_xlfn.IFNA(ROUND(INDEX(Spectrum!$N:$N,MATCH(RIGHT($B32,13)&amp;"|"&amp;$C32&amp;"|"&amp;$D32&amp;"|"&amp;AI$14&amp;"|"&amp;"CY2025Q3",Spectrum!$R:$R,0)),0),""))</f>
        <v>6</v>
      </c>
      <c r="AJ32" s="38">
        <f>IF(LEFT($B32,4)="_Mil","",_xlfn.IFNA(ROUND(INDEX(Spectrum!$N:$N,MATCH(RIGHT($B32,13)&amp;"|"&amp;$C32&amp;"|"&amp;$D32&amp;"|"&amp;AJ$14&amp;"|"&amp;"CY2025Q3",Spectrum!$R:$R,0)),0),""))</f>
        <v>329</v>
      </c>
      <c r="AK32" s="218" t="e">
        <f>#REF!</f>
        <v>#REF!</v>
      </c>
      <c r="AL32" s="33">
        <f t="shared" si="7"/>
        <v>0.9</v>
      </c>
      <c r="AM32" s="38" t="e">
        <f>IF(OR(LEFT($B32,4)="_Mil",$C32="&lt;01"),"",ROUND(SUM($AK32)*SUM($AL32),0))</f>
        <v>#REF!</v>
      </c>
      <c r="AN32" s="38" t="str">
        <f>IF($C32="&lt;01",ROUND(INDEX(EID!$P:$P,MATCH($B32,EID!$B:$B,0))/2,0),"")</f>
        <v/>
      </c>
      <c r="AO32" s="38"/>
      <c r="AP32" s="218"/>
      <c r="AQ32" s="218"/>
      <c r="AR32" s="33" t="e">
        <f>IF(OR(LEFT($B32,4)="_Mil",SUM($AK32)=0),"",SUM($AQ32)/$AK32)</f>
        <v>#REF!</v>
      </c>
      <c r="AS32" s="33">
        <f t="shared" si="8"/>
        <v>0.98</v>
      </c>
      <c r="AT32" s="33">
        <f t="shared" si="8"/>
        <v>0.98</v>
      </c>
      <c r="AU32" s="38">
        <f>IF($C32="&lt;01","",SUM($AP32)-SUM($O32))</f>
        <v>0</v>
      </c>
      <c r="AV32" s="38">
        <f>IF($C32="&lt;01",ROUND(INDEX(EID!$N:$N,MATCH($B32,EID!$B:$B,0))/2,0),IF(SUM($AT32)=0,"",ROUND((SUM($AP32)-(SUM($O32)*SUM($AS32)))/$AT32,0)))</f>
        <v>0</v>
      </c>
      <c r="AW32" s="33">
        <f t="shared" si="9"/>
        <v>1</v>
      </c>
      <c r="AX32" s="218">
        <f>IF($C32="&lt;01",SUM($AV32),ROUND(SUM($AV32)*SUM($AW32),0))</f>
        <v>0</v>
      </c>
      <c r="AY32" s="79"/>
      <c r="AZ32" s="85">
        <f>IF($C32="&lt;01",ROUND(INDEX(EID!$R:$R,MATCH($B32,EID!$B:$B,0))/2,0),ROUND(SUM($O32)+(SUM($AV32)*$AY32),0))</f>
        <v>0</v>
      </c>
      <c r="BA32" s="40"/>
      <c r="BB32" s="99">
        <f>IF($C32="&lt;01",ROUND(INDEX(EID!$T:$T,MATCH($B32,EID!$B:$B,0))/2,0),ROUND($AP32*$BA32,0))</f>
        <v>0</v>
      </c>
      <c r="BC32" s="85">
        <f>IF(LEFT($B32,4)="_Mil","",IF(SUM($BB32)=0,SUM($AD32),IF(OR(SUM($AP32)=0,SUM($AQ32)=0),MAX($BB32,$AD32),ROUND($BB32*$AQ32/$AP32,0))))</f>
        <v>0</v>
      </c>
      <c r="BD32" s="33">
        <f t="shared" si="12"/>
        <v>0.95</v>
      </c>
      <c r="BE32" s="218">
        <f>IF($C32="&lt;01",ROUND(INDEX(EID!$V:$V,MATCH($B32,EID!$B:$B,0))/2,0),ROUND($BD32*$BB32,0))</f>
        <v>0</v>
      </c>
      <c r="BF32" s="218">
        <f>IF(LEFT($B32,4)="_Mil","",IF(SUM($BE32)=0,SUM($AF32),IF(OR(SUM($AP32)=0,SUM($AQ32)=0),MAX($BE32,$AF32),ROUND($BE32*$AQ32/$AP32,0))))</f>
        <v>0</v>
      </c>
      <c r="BG32" s="79">
        <f t="shared" si="13"/>
        <v>0.95</v>
      </c>
      <c r="BH32" s="99">
        <f>IF($C32="&lt;01",ROUND(INDEX(EID!$L:$L,MATCH($B32,EID!$B:$B,0)),0)/2,IF(SUM($BG32)=0,"",ROUND($AX32/$BG32,0)))</f>
        <v>0</v>
      </c>
    </row>
    <row r="33" spans="1:60" x14ac:dyDescent="0.2">
      <c r="A33" t="str">
        <f>INDEX(Prioritization!$D:$D,MATCH($B33,Prioritization!$A:$A,0))</f>
        <v>4 - Sustained</v>
      </c>
      <c r="B33" t="s">
        <v>313</v>
      </c>
      <c r="C33" t="s">
        <v>474</v>
      </c>
      <c r="D33" t="s">
        <v>30</v>
      </c>
      <c r="E33" t="str">
        <f t="shared" si="0"/>
        <v>Balaka District [ir8wuHHzoSs]|10-14|Female</v>
      </c>
      <c r="F33" s="229"/>
      <c r="G33" s="38">
        <v>17</v>
      </c>
      <c r="H33" s="38">
        <v>14</v>
      </c>
      <c r="I33" s="38">
        <v>285</v>
      </c>
      <c r="J33" s="38">
        <v>380</v>
      </c>
      <c r="K33" s="38">
        <v>302</v>
      </c>
      <c r="L33" s="38">
        <v>40</v>
      </c>
      <c r="M33" s="38">
        <v>38</v>
      </c>
      <c r="N33" s="38">
        <v>327</v>
      </c>
      <c r="O33" s="229"/>
      <c r="P33" s="38">
        <v>273</v>
      </c>
      <c r="Q33" s="38">
        <v>259</v>
      </c>
      <c r="R33" s="38">
        <f t="shared" si="2"/>
        <v>-285</v>
      </c>
      <c r="S33" s="38">
        <f>IF(LEFT($B33,4)="_Mil","",_xlfn.IFNA(ROUND(INDEX(Spectrum!$N:$N,MATCH(RIGHT($B33,13)&amp;"|"&amp;$C33&amp;"|"&amp;$D33&amp;"|"&amp;S$14&amp;"|"&amp;"CY2023Q4",Spectrum!$R:$R,0)),0),""))</f>
        <v>281</v>
      </c>
      <c r="T33" s="218"/>
      <c r="U33" s="218"/>
      <c r="V33" s="38"/>
      <c r="W33" s="220"/>
      <c r="X33" s="218"/>
      <c r="Y33" s="33"/>
      <c r="Z33" s="218">
        <f>IF(LEFT($B33,4)="_Mil","",_xlfn.IFNA(ROUND(INDEX(Spectrum!$N:$N,MATCH(RIGHT($B33,13)&amp;"|"&amp;$C33&amp;"|"&amp;$D33&amp;"|"&amp;Z$14&amp;"|"&amp;"CY2024Q3",Spectrum!$R:$R,0)),0),""))</f>
        <v>279</v>
      </c>
      <c r="AA33" s="33">
        <f>IF(LEFT($B33,4)="_Mil","",IFERROR(1/(1/INDEX(Spectrum!$N:$N,MATCH(RIGHT($B33,13)&amp;"|"&amp;$C33&amp;"|"&amp;$D33&amp;"|"&amp;AA$14&amp;"|"&amp;"CY2024Q3",Spectrum!$R:$R,0))),IF(SUM($U33)=0,"",SUM($Z33)/$U33)))</f>
        <v>0.75042192699999999</v>
      </c>
      <c r="AB33" s="33" t="str">
        <f t="shared" si="4"/>
        <v/>
      </c>
      <c r="AC33" s="38">
        <f>IF(LEFT($B33,4)="_Mil","",_xlfn.IFNA(ROUND(INDEX(Spectrum!$N:$N,MATCH(RIGHT($B33,13)&amp;"|"&amp;$C33&amp;"|"&amp;$D33&amp;"|"&amp;AC$14&amp;"|"&amp;"CY2024Q3",Spectrum!$R:$R,0)),0),""))</f>
        <v>94</v>
      </c>
      <c r="AD33" s="38" t="str">
        <f>IF(LEFT($B33,4)="_Mil","",_xlfn.IFNA(ROUND(INDEX(Spectrum!$N:$N,MATCH(RIGHT($B33,13)&amp;"|"&amp;$C33&amp;"|"&amp;$D33&amp;"|"&amp;AD$14&amp;"|"&amp;"CY2024Q3",Spectrum!$R:$R,0)),0),""))</f>
        <v/>
      </c>
      <c r="AE33" s="33">
        <f t="shared" si="5"/>
        <v>0</v>
      </c>
      <c r="AF33" s="218" t="str">
        <f>IF(LEFT($B33,4)="_Mil","",_xlfn.IFNA(ROUND(INDEX(Spectrum!$N:$N,MATCH(RIGHT($B33,13)&amp;"|"&amp;$C33&amp;"|"&amp;$D33&amp;"|"&amp;AF$14&amp;"|"&amp;"CY2024Q3",Spectrum!$R:$R,0)),0),""))</f>
        <v/>
      </c>
      <c r="AG33" s="33" t="str">
        <f t="shared" si="6"/>
        <v/>
      </c>
      <c r="AH33" s="110" t="str">
        <f>IF(LEFT($B33,4)="_Mil","",_xlfn.IFNA(INDEX(Spectrum!$N:$N,MATCH(RIGHT($B33,13)&amp;"|"&amp;$C33&amp;"|"&amp;$D33&amp;"|"&amp;AH$14&amp;"|"&amp;"CY2024Q3",Spectrum!$R:$R,0)),""))</f>
        <v/>
      </c>
      <c r="AI33" s="218">
        <f>IF(LEFT($B33,4)="_Mil","",_xlfn.IFNA(ROUND(INDEX(Spectrum!$N:$N,MATCH(RIGHT($B33,13)&amp;"|"&amp;$C33&amp;"|"&amp;$D33&amp;"|"&amp;AI$14&amp;"|"&amp;"CY2025Q3",Spectrum!$R:$R,0)),0),""))</f>
        <v>0</v>
      </c>
      <c r="AJ33" s="38">
        <f>IF(LEFT($B33,4)="_Mil","",_xlfn.IFNA(ROUND(INDEX(Spectrum!$N:$N,MATCH(RIGHT($B33,13)&amp;"|"&amp;$C33&amp;"|"&amp;$D33&amp;"|"&amp;AJ$14&amp;"|"&amp;"CY2025Q3",Spectrum!$R:$R,0)),0),""))</f>
        <v>424</v>
      </c>
      <c r="AK33" s="218" t="e">
        <f>#REF!</f>
        <v>#REF!</v>
      </c>
      <c r="AL33" s="33">
        <f t="shared" si="7"/>
        <v>0.9</v>
      </c>
      <c r="AM33" s="38" t="e">
        <f>IF(OR(LEFT($B33,4)="_Mil",$C33="&lt;01"),"",ROUND(SUM($AK33)*SUM($AL33),0))</f>
        <v>#REF!</v>
      </c>
      <c r="AN33" s="38" t="str">
        <f>IF($C33="&lt;01",ROUND(INDEX(EID!$P:$P,MATCH($B33,EID!$B:$B,0))/2,0),"")</f>
        <v/>
      </c>
      <c r="AO33" s="38"/>
      <c r="AP33" s="218"/>
      <c r="AQ33" s="218"/>
      <c r="AR33" s="33" t="e">
        <f>IF(OR(LEFT($B33,4)="_Mil",SUM($AK33)=0),"",SUM($AQ33)/$AK33)</f>
        <v>#REF!</v>
      </c>
      <c r="AS33" s="33">
        <f>IF($C33="&lt;01","",90%)</f>
        <v>0.9</v>
      </c>
      <c r="AT33" s="33">
        <f t="shared" si="8"/>
        <v>0.98</v>
      </c>
      <c r="AU33" s="38">
        <f>IF($C33="&lt;01","",SUM($AP33)-SUM($O33))</f>
        <v>0</v>
      </c>
      <c r="AV33" s="38">
        <f>IF($C33="&lt;01",ROUND(INDEX(EID!$N:$N,MATCH($B33,EID!$B:$B,0))/2,0),IF(SUM($AT33)=0,"",ROUND((SUM($AP33)-(SUM($O33)*SUM($AS33)))/$AT33,0)))</f>
        <v>0</v>
      </c>
      <c r="AW33" s="33">
        <f t="shared" si="9"/>
        <v>1</v>
      </c>
      <c r="AX33" s="218">
        <f>IF($C33="&lt;01",SUM($AV33),ROUND(SUM($AV33)*SUM($AW33),0))</f>
        <v>0</v>
      </c>
      <c r="AY33" s="79"/>
      <c r="AZ33" s="85">
        <f>IF($C33="&lt;01",ROUND(INDEX(EID!$R:$R,MATCH($B33,EID!$B:$B,0))/2,0),ROUND(SUM($O33)+(SUM($AV33)*$AY33),0))</f>
        <v>0</v>
      </c>
      <c r="BA33" s="40"/>
      <c r="BB33" s="99">
        <f>IF($C33="&lt;01",ROUND(INDEX(EID!$T:$T,MATCH($B33,EID!$B:$B,0))/2,0),ROUND($AP33*$BA33,0))</f>
        <v>0</v>
      </c>
      <c r="BC33" s="85">
        <f>IF(LEFT($B33,4)="_Mil","",IF(SUM($BB33)=0,SUM($AD33),IF(OR(SUM($AP33)=0,SUM($AQ33)=0),MAX($BB33,$AD33),ROUND($BB33*$AQ33/$AP33,0))))</f>
        <v>0</v>
      </c>
      <c r="BD33" s="33">
        <f t="shared" si="12"/>
        <v>0.95</v>
      </c>
      <c r="BE33" s="218">
        <f>IF($C33="&lt;01",ROUND(INDEX(EID!$V:$V,MATCH($B33,EID!$B:$B,0))/2,0),ROUND($BD33*$BB33,0))</f>
        <v>0</v>
      </c>
      <c r="BF33" s="218">
        <f>IF(LEFT($B33,4)="_Mil","",IF(SUM($BE33)=0,SUM($AF33),IF(OR(SUM($AP33)=0,SUM($AQ33)=0),MAX($BE33,$AF33),ROUND($BE33*$AQ33/$AP33,0))))</f>
        <v>0</v>
      </c>
      <c r="BG33" s="79">
        <f t="shared" si="13"/>
        <v>0.95</v>
      </c>
      <c r="BH33" s="99">
        <f>IF($C33="&lt;01",ROUND(INDEX(EID!$L:$L,MATCH($B33,EID!$B:$B,0)),0)/2,IF(SUM($BG33)=0,"",ROUND($AX33/$BG33,0)))</f>
        <v>0</v>
      </c>
    </row>
    <row r="34" spans="1:60" x14ac:dyDescent="0.2">
      <c r="A34" t="str">
        <f>INDEX(Prioritization!$D:$D,MATCH($B34,Prioritization!$A:$A,0))</f>
        <v>4 - Sustained</v>
      </c>
      <c r="B34" t="s">
        <v>313</v>
      </c>
      <c r="C34" t="s">
        <v>474</v>
      </c>
      <c r="D34" t="s">
        <v>48</v>
      </c>
      <c r="E34" t="str">
        <f t="shared" si="0"/>
        <v>Balaka District [ir8wuHHzoSs]|10-14|Male</v>
      </c>
      <c r="F34" s="229"/>
      <c r="G34" s="38">
        <v>8</v>
      </c>
      <c r="H34" s="38">
        <v>5</v>
      </c>
      <c r="I34" s="38">
        <v>305</v>
      </c>
      <c r="J34" s="38">
        <v>316</v>
      </c>
      <c r="K34" s="38">
        <v>224</v>
      </c>
      <c r="L34" s="38">
        <v>43</v>
      </c>
      <c r="M34" s="38">
        <v>41</v>
      </c>
      <c r="N34" s="38">
        <v>333</v>
      </c>
      <c r="O34" s="229"/>
      <c r="P34" s="38">
        <v>277</v>
      </c>
      <c r="Q34" s="38">
        <v>263</v>
      </c>
      <c r="R34" s="38">
        <f t="shared" si="2"/>
        <v>-305</v>
      </c>
      <c r="S34" s="38">
        <f>IF(LEFT($B34,4)="_Mil","",_xlfn.IFNA(ROUND(INDEX(Spectrum!$N:$N,MATCH(RIGHT($B34,13)&amp;"|"&amp;$C34&amp;"|"&amp;$D34&amp;"|"&amp;S$14&amp;"|"&amp;"CY2023Q4",Spectrum!$R:$R,0)),0),""))</f>
        <v>292</v>
      </c>
      <c r="T34" s="218"/>
      <c r="U34" s="218"/>
      <c r="V34" s="38"/>
      <c r="W34" s="220"/>
      <c r="X34" s="218"/>
      <c r="Y34" s="33"/>
      <c r="Z34" s="218">
        <f>IF(LEFT($B34,4)="_Mil","",_xlfn.IFNA(ROUND(INDEX(Spectrum!$N:$N,MATCH(RIGHT($B34,13)&amp;"|"&amp;$C34&amp;"|"&amp;$D34&amp;"|"&amp;Z$14&amp;"|"&amp;"CY2024Q3",Spectrum!$R:$R,0)),0),""))</f>
        <v>290</v>
      </c>
      <c r="AA34" s="33">
        <f>IF(LEFT($B34,4)="_Mil","",IFERROR(1/(1/INDEX(Spectrum!$N:$N,MATCH(RIGHT($B34,13)&amp;"|"&amp;$C34&amp;"|"&amp;$D34&amp;"|"&amp;AA$14&amp;"|"&amp;"CY2024Q3",Spectrum!$R:$R,0))),IF(SUM($U34)=0,"",SUM($Z34)/$U34)))</f>
        <v>0.750226689</v>
      </c>
      <c r="AB34" s="33" t="str">
        <f t="shared" si="4"/>
        <v/>
      </c>
      <c r="AC34" s="38">
        <f>IF(LEFT($B34,4)="_Mil","",_xlfn.IFNA(ROUND(INDEX(Spectrum!$N:$N,MATCH(RIGHT($B34,13)&amp;"|"&amp;$C34&amp;"|"&amp;$D34&amp;"|"&amp;AC$14&amp;"|"&amp;"CY2024Q3",Spectrum!$R:$R,0)),0),""))</f>
        <v>95</v>
      </c>
      <c r="AD34" s="38" t="str">
        <f>IF(LEFT($B34,4)="_Mil","",_xlfn.IFNA(ROUND(INDEX(Spectrum!$N:$N,MATCH(RIGHT($B34,13)&amp;"|"&amp;$C34&amp;"|"&amp;$D34&amp;"|"&amp;AD$14&amp;"|"&amp;"CY2024Q3",Spectrum!$R:$R,0)),0),""))</f>
        <v/>
      </c>
      <c r="AE34" s="33">
        <f t="shared" si="5"/>
        <v>0</v>
      </c>
      <c r="AF34" s="218" t="str">
        <f>IF(LEFT($B34,4)="_Mil","",_xlfn.IFNA(ROUND(INDEX(Spectrum!$N:$N,MATCH(RIGHT($B34,13)&amp;"|"&amp;$C34&amp;"|"&amp;$D34&amp;"|"&amp;AF$14&amp;"|"&amp;"CY2024Q3",Spectrum!$R:$R,0)),0),""))</f>
        <v/>
      </c>
      <c r="AG34" s="33" t="str">
        <f t="shared" si="6"/>
        <v/>
      </c>
      <c r="AH34" s="110" t="str">
        <f>IF(LEFT($B34,4)="_Mil","",_xlfn.IFNA(INDEX(Spectrum!$N:$N,MATCH(RIGHT($B34,13)&amp;"|"&amp;$C34&amp;"|"&amp;$D34&amp;"|"&amp;AH$14&amp;"|"&amp;"CY2024Q3",Spectrum!$R:$R,0)),""))</f>
        <v/>
      </c>
      <c r="AI34" s="218">
        <f>IF(LEFT($B34,4)="_Mil","",_xlfn.IFNA(ROUND(INDEX(Spectrum!$N:$N,MATCH(RIGHT($B34,13)&amp;"|"&amp;$C34&amp;"|"&amp;$D34&amp;"|"&amp;AI$14&amp;"|"&amp;"CY2025Q3",Spectrum!$R:$R,0)),0),""))</f>
        <v>0</v>
      </c>
      <c r="AJ34" s="38">
        <f>IF(LEFT($B34,4)="_Mil","",_xlfn.IFNA(ROUND(INDEX(Spectrum!$N:$N,MATCH(RIGHT($B34,13)&amp;"|"&amp;$C34&amp;"|"&amp;$D34&amp;"|"&amp;AJ$14&amp;"|"&amp;"CY2025Q3",Spectrum!$R:$R,0)),0),""))</f>
        <v>436</v>
      </c>
      <c r="AK34" s="218" t="e">
        <f>#REF!</f>
        <v>#REF!</v>
      </c>
      <c r="AL34" s="33">
        <f t="shared" si="7"/>
        <v>0.9</v>
      </c>
      <c r="AM34" s="38" t="e">
        <f>IF(OR(LEFT($B34,4)="_Mil",$C34="&lt;01"),"",ROUND(SUM($AK34)*SUM($AL34),0))</f>
        <v>#REF!</v>
      </c>
      <c r="AN34" s="38" t="str">
        <f>IF($C34="&lt;01",ROUND(INDEX(EID!$P:$P,MATCH($B34,EID!$B:$B,0))/2,0),"")</f>
        <v/>
      </c>
      <c r="AO34" s="38"/>
      <c r="AP34" s="218"/>
      <c r="AQ34" s="218"/>
      <c r="AR34" s="33" t="e">
        <f>IF(OR(LEFT($B34,4)="_Mil",SUM($AK34)=0),"",SUM($AQ34)/$AK34)</f>
        <v>#REF!</v>
      </c>
      <c r="AS34" s="33">
        <f t="shared" si="8"/>
        <v>0.98</v>
      </c>
      <c r="AT34" s="33">
        <f t="shared" si="8"/>
        <v>0.98</v>
      </c>
      <c r="AU34" s="38">
        <f>IF($C34="&lt;01","",SUM($AP34)-SUM($O34))</f>
        <v>0</v>
      </c>
      <c r="AV34" s="38">
        <f>IF($C34="&lt;01",ROUND(INDEX(EID!$N:$N,MATCH($B34,EID!$B:$B,0))/2,0),IF(SUM($AT34)=0,"",ROUND((SUM($AP34)-(SUM($O34)*SUM($AS34)))/$AT34,0)))</f>
        <v>0</v>
      </c>
      <c r="AW34" s="33">
        <f t="shared" si="9"/>
        <v>1</v>
      </c>
      <c r="AX34" s="218">
        <f>IF($C34="&lt;01",SUM($AV34),ROUND(SUM($AV34)*SUM($AW34),0))</f>
        <v>0</v>
      </c>
      <c r="AY34" s="79">
        <f t="shared" si="10"/>
        <v>0.7</v>
      </c>
      <c r="AZ34" s="85">
        <f>IF($C34="&lt;01",ROUND(INDEX(EID!$R:$R,MATCH($B34,EID!$B:$B,0))/2,0),ROUND(SUM($O34)+(SUM($AV34)*$AY34),0))</f>
        <v>0</v>
      </c>
      <c r="BA34" s="40"/>
      <c r="BB34" s="99">
        <f>IF($C34="&lt;01",ROUND(INDEX(EID!$T:$T,MATCH($B34,EID!$B:$B,0))/2,0),ROUND($AP34*$BA34,0))</f>
        <v>0</v>
      </c>
      <c r="BC34" s="85">
        <f>IF(LEFT($B34,4)="_Mil","",IF(SUM($BB34)=0,SUM($AD34),IF(OR(SUM($AP34)=0,SUM($AQ34)=0),MAX($BB34,$AD34),ROUND($BB34*$AQ34/$AP34,0))))</f>
        <v>0</v>
      </c>
      <c r="BD34" s="33">
        <f t="shared" si="12"/>
        <v>0.95</v>
      </c>
      <c r="BE34" s="218">
        <f>IF($C34="&lt;01",ROUND(INDEX(EID!$V:$V,MATCH($B34,EID!$B:$B,0))/2,0),ROUND($BD34*$BB34,0))</f>
        <v>0</v>
      </c>
      <c r="BF34" s="218">
        <f>IF(LEFT($B34,4)="_Mil","",IF(SUM($BE34)=0,SUM($AF34),IF(OR(SUM($AP34)=0,SUM($AQ34)=0),MAX($BE34,$AF34),ROUND($BE34*$AQ34/$AP34,0))))</f>
        <v>0</v>
      </c>
      <c r="BG34" s="79">
        <f t="shared" si="13"/>
        <v>0.95</v>
      </c>
      <c r="BH34" s="99">
        <f>IF($C34="&lt;01",ROUND(INDEX(EID!$L:$L,MATCH($B34,EID!$B:$B,0)),0)/2,IF(SUM($BG34)=0,"",ROUND($AX34/$BG34,0)))</f>
        <v>0</v>
      </c>
    </row>
    <row r="35" spans="1:60" x14ac:dyDescent="0.2">
      <c r="A35" t="str">
        <f>INDEX(Prioritization!$D:$D,MATCH($B35,Prioritization!$A:$A,0))</f>
        <v>4 - Sustained</v>
      </c>
      <c r="B35" t="s">
        <v>313</v>
      </c>
      <c r="C35" t="s">
        <v>475</v>
      </c>
      <c r="D35" t="s">
        <v>30</v>
      </c>
      <c r="E35" t="str">
        <f t="shared" si="0"/>
        <v>Balaka District [ir8wuHHzoSs]|15-24|Female</v>
      </c>
      <c r="F35" s="229">
        <v>1153</v>
      </c>
      <c r="G35" s="38">
        <v>311</v>
      </c>
      <c r="H35" s="38">
        <v>261</v>
      </c>
      <c r="I35" s="38">
        <v>1153</v>
      </c>
      <c r="J35" s="38">
        <v>1223</v>
      </c>
      <c r="K35" s="38">
        <v>1087</v>
      </c>
      <c r="L35" s="38">
        <v>106</v>
      </c>
      <c r="M35" s="38">
        <v>107</v>
      </c>
      <c r="N35" s="38">
        <v>1228</v>
      </c>
      <c r="O35" s="229"/>
      <c r="P35" s="38">
        <v>1126</v>
      </c>
      <c r="Q35" s="38">
        <v>1069</v>
      </c>
      <c r="R35" s="38">
        <f t="shared" si="2"/>
        <v>-1153</v>
      </c>
      <c r="S35" s="38">
        <f>IF(LEFT($B35,4)="_Mil","",_xlfn.IFNA(ROUND(INDEX(Spectrum!$N:$N,MATCH(RIGHT($B35,13)&amp;"|"&amp;$C35&amp;"|"&amp;$D35&amp;"|"&amp;S$14&amp;"|"&amp;"CY2023Q4",Spectrum!$R:$R,0)),0),""))</f>
        <v>1230</v>
      </c>
      <c r="T35" s="218"/>
      <c r="U35" s="218"/>
      <c r="V35" s="38"/>
      <c r="W35" s="220"/>
      <c r="X35" s="218"/>
      <c r="Y35" s="33"/>
      <c r="Z35" s="218">
        <f>IF(LEFT($B35,4)="_Mil","",_xlfn.IFNA(ROUND(INDEX(Spectrum!$N:$N,MATCH(RIGHT($B35,13)&amp;"|"&amp;$C35&amp;"|"&amp;$D35&amp;"|"&amp;Z$14&amp;"|"&amp;"CY2024Q3",Spectrum!$R:$R,0)),0),""))</f>
        <v>1207</v>
      </c>
      <c r="AA35" s="33">
        <f>IF(LEFT($B35,4)="_Mil","",IFERROR(1/(1/INDEX(Spectrum!$N:$N,MATCH(RIGHT($B35,13)&amp;"|"&amp;$C35&amp;"|"&amp;$D35&amp;"|"&amp;AA$14&amp;"|"&amp;"CY2024Q3",Spectrum!$R:$R,0))),IF(SUM($U35)=0,"",SUM($Z35)/$U35)))</f>
        <v>0.936701966</v>
      </c>
      <c r="AB35" s="33" t="str">
        <f t="shared" si="4"/>
        <v/>
      </c>
      <c r="AC35" s="38">
        <f>IF(LEFT($B35,4)="_Mil","",_xlfn.IFNA(ROUND(INDEX(Spectrum!$N:$N,MATCH(RIGHT($B35,13)&amp;"|"&amp;$C35&amp;"|"&amp;$D35&amp;"|"&amp;AC$14&amp;"|"&amp;"CY2024Q3",Spectrum!$R:$R,0)),0),""))</f>
        <v>81</v>
      </c>
      <c r="AD35" s="38" t="str">
        <f>IF(LEFT($B35,4)="_Mil","",_xlfn.IFNA(ROUND(INDEX(Spectrum!$N:$N,MATCH(RIGHT($B35,13)&amp;"|"&amp;$C35&amp;"|"&amp;$D35&amp;"|"&amp;AD$14&amp;"|"&amp;"CY2024Q3",Spectrum!$R:$R,0)),0),""))</f>
        <v/>
      </c>
      <c r="AE35" s="33">
        <f t="shared" si="5"/>
        <v>0</v>
      </c>
      <c r="AF35" s="218" t="str">
        <f>IF(LEFT($B35,4)="_Mil","",_xlfn.IFNA(ROUND(INDEX(Spectrum!$N:$N,MATCH(RIGHT($B35,13)&amp;"|"&amp;$C35&amp;"|"&amp;$D35&amp;"|"&amp;AF$14&amp;"|"&amp;"CY2024Q3",Spectrum!$R:$R,0)),0),""))</f>
        <v/>
      </c>
      <c r="AG35" s="33" t="str">
        <f t="shared" si="6"/>
        <v/>
      </c>
      <c r="AH35" s="110" t="str">
        <f>IF(LEFT($B35,4)="_Mil","",_xlfn.IFNA(INDEX(Spectrum!$N:$N,MATCH(RIGHT($B35,13)&amp;"|"&amp;$C35&amp;"|"&amp;$D35&amp;"|"&amp;AH$14&amp;"|"&amp;"CY2024Q3",Spectrum!$R:$R,0)),""))</f>
        <v/>
      </c>
      <c r="AI35" s="218">
        <f>IF(LEFT($B35,4)="_Mil","",_xlfn.IFNA(ROUND(INDEX(Spectrum!$N:$N,MATCH(RIGHT($B35,13)&amp;"|"&amp;$C35&amp;"|"&amp;$D35&amp;"|"&amp;AI$14&amp;"|"&amp;"CY2025Q3",Spectrum!$R:$R,0)),0),""))</f>
        <v>88</v>
      </c>
      <c r="AJ35" s="38">
        <f>IF(LEFT($B35,4)="_Mil","",_xlfn.IFNA(ROUND(INDEX(Spectrum!$N:$N,MATCH(RIGHT($B35,13)&amp;"|"&amp;$C35&amp;"|"&amp;$D35&amp;"|"&amp;AJ$14&amp;"|"&amp;"CY2025Q3",Spectrum!$R:$R,0)),0),""))</f>
        <v>1574</v>
      </c>
      <c r="AK35" s="218" t="e">
        <f>#REF!</f>
        <v>#REF!</v>
      </c>
      <c r="AL35" s="33">
        <f t="shared" si="7"/>
        <v>0.936701966</v>
      </c>
      <c r="AM35" s="38" t="e">
        <f>IF(OR(LEFT($B35,4)="_Mil",$C35="&lt;01"),"",ROUND(SUM($AK35)*SUM($AL35),0))</f>
        <v>#REF!</v>
      </c>
      <c r="AN35" s="38" t="str">
        <f>IF($C35="&lt;01",ROUND(INDEX(EID!$P:$P,MATCH($B35,EID!$B:$B,0))/2,0),"")</f>
        <v/>
      </c>
      <c r="AO35" s="38"/>
      <c r="AP35" s="218"/>
      <c r="AQ35" s="218"/>
      <c r="AR35" s="33" t="e">
        <f>IF(OR(LEFT($B35,4)="_Mil",SUM($AK35)=0),"",SUM($AQ35)/$AK35)</f>
        <v>#REF!</v>
      </c>
      <c r="AS35" s="33">
        <f>IF($C35="&lt;01","",88%)</f>
        <v>0.88</v>
      </c>
      <c r="AT35" s="33">
        <f>IF($C35="&lt;01","",90%)</f>
        <v>0.9</v>
      </c>
      <c r="AU35" s="38">
        <f>IF($C35="&lt;01","",SUM($AP35)-SUM($O35))</f>
        <v>0</v>
      </c>
      <c r="AV35" s="38">
        <f>IF($C35="&lt;01",ROUND(INDEX(EID!$N:$N,MATCH($B35,EID!$B:$B,0))/2,0),IF(SUM($AT35)=0,"",ROUND((SUM($AP35)-(SUM($O35)*SUM($AS35)))/$AT35,0)))</f>
        <v>0</v>
      </c>
      <c r="AW35" s="33">
        <f>IF($C35="&lt;01","",100%)</f>
        <v>1</v>
      </c>
      <c r="AX35" s="218">
        <f>IF($C35="&lt;01",SUM($AV35),ROUND(SUM($AV35)*SUM($AW35),0))</f>
        <v>0</v>
      </c>
      <c r="AY35" s="79">
        <f t="shared" si="10"/>
        <v>0.7</v>
      </c>
      <c r="AZ35" s="85">
        <f>IF($C35="&lt;01",ROUND(INDEX(EID!$R:$R,MATCH($B35,EID!$B:$B,0))/2,0),ROUND(SUM($O35)+(SUM($AV35)*$AY35),0))</f>
        <v>0</v>
      </c>
      <c r="BA35" s="40">
        <f t="shared" ref="BA35:BA94" si="14">IF($C35="&lt;01","",90%)</f>
        <v>0.9</v>
      </c>
      <c r="BB35" s="99">
        <f>IF($C35="&lt;01",ROUND(INDEX(EID!$T:$T,MATCH($B35,EID!$B:$B,0))/2,0),ROUND($AP35*$BA35,0))</f>
        <v>0</v>
      </c>
      <c r="BC35" s="85">
        <f>IF(LEFT($B35,4)="_Mil","",IF(SUM($BB35)=0,SUM($AD35),IF(OR(SUM($AP35)=0,SUM($AQ35)=0),MAX($BB35,$AD35),ROUND($BB35*$AQ35/$AP35,0))))</f>
        <v>0</v>
      </c>
      <c r="BD35" s="33">
        <f t="shared" si="12"/>
        <v>0.95</v>
      </c>
      <c r="BE35" s="218">
        <f>IF($C35="&lt;01",ROUND(INDEX(EID!$V:$V,MATCH($B35,EID!$B:$B,0))/2,0),ROUND($BD35*$BB35,0))</f>
        <v>0</v>
      </c>
      <c r="BF35" s="218">
        <f>IF(LEFT($B35,4)="_Mil","",IF(SUM($BE35)=0,SUM($AF35),IF(OR(SUM($AP35)=0,SUM($AQ35)=0),MAX($BE35,$AF35),ROUND($BE35*$AQ35/$AP35,0))))</f>
        <v>0</v>
      </c>
      <c r="BG35" s="79">
        <f t="shared" si="13"/>
        <v>0.95</v>
      </c>
      <c r="BH35" s="99">
        <f>IF($C35="&lt;01",ROUND(INDEX(EID!$L:$L,MATCH($B35,EID!$B:$B,0)),0)/2,IF(SUM($BG35)=0,"",ROUND($AX35/$BG35,0)))</f>
        <v>0</v>
      </c>
    </row>
    <row r="36" spans="1:60" x14ac:dyDescent="0.2">
      <c r="A36" t="str">
        <f>INDEX(Prioritization!$D:$D,MATCH($B36,Prioritization!$A:$A,0))</f>
        <v>4 - Sustained</v>
      </c>
      <c r="B36" t="s">
        <v>313</v>
      </c>
      <c r="C36" t="s">
        <v>475</v>
      </c>
      <c r="D36" t="s">
        <v>48</v>
      </c>
      <c r="E36" t="str">
        <f t="shared" si="0"/>
        <v>Balaka District [ir8wuHHzoSs]|15-24|Male</v>
      </c>
      <c r="F36" s="229">
        <v>666</v>
      </c>
      <c r="G36" s="38">
        <v>75</v>
      </c>
      <c r="H36" s="38">
        <v>56</v>
      </c>
      <c r="I36" s="38">
        <v>539</v>
      </c>
      <c r="J36" s="38">
        <v>505</v>
      </c>
      <c r="K36" s="38">
        <v>407</v>
      </c>
      <c r="L36" s="38">
        <v>147</v>
      </c>
      <c r="M36" s="38">
        <v>141</v>
      </c>
      <c r="N36" s="38">
        <v>860</v>
      </c>
      <c r="O36" s="229"/>
      <c r="P36" s="38">
        <v>740</v>
      </c>
      <c r="Q36" s="38">
        <v>702</v>
      </c>
      <c r="R36" s="38">
        <f t="shared" si="2"/>
        <v>-539</v>
      </c>
      <c r="S36" s="38">
        <f>IF(LEFT($B36,4)="_Mil","",_xlfn.IFNA(ROUND(INDEX(Spectrum!$N:$N,MATCH(RIGHT($B36,13)&amp;"|"&amp;$C36&amp;"|"&amp;$D36&amp;"|"&amp;S$14&amp;"|"&amp;"CY2023Q4",Spectrum!$R:$R,0)),0),""))</f>
        <v>756</v>
      </c>
      <c r="T36" s="218">
        <f>IF(LEFT($B36,4)="_Mil","",_xlfn.IFNA(ROUND(INDEX(Spectrum!$N:$N,MATCH(RIGHT($B36,13)&amp;"|"&amp;$C36&amp;"|"&amp;$D36&amp;"|"&amp;T$14&amp;"|"&amp;"CY2024Q3",Spectrum!$R:$R,0)),0),""))</f>
        <v>57583</v>
      </c>
      <c r="U36" s="218">
        <f>IF(LEFT($B36,4)="_Mil","",_xlfn.IFNA(ROUND(INDEX(Spectrum!$N:$N,MATCH(RIGHT($B36,13)&amp;"|"&amp;$C36&amp;"|"&amp;$D36&amp;"|"&amp;U$14&amp;"|"&amp;"CY2024Q3",Spectrum!$R:$R,0)),0),""))</f>
        <v>1091</v>
      </c>
      <c r="V36" s="38">
        <f>IF(LEFT($B36,4)="_Mil","",_xlfn.IFNA(ROUND(INDEX(Spectrum!$N:$N,MATCH(RIGHT($B36,13)&amp;"|"&amp;$C36&amp;"|"&amp;$D36&amp;"|"&amp;V$14&amp;"|"&amp;"CY2024Q3",Spectrum!$R:$R,0)),0),""))</f>
        <v>867</v>
      </c>
      <c r="W36" s="220">
        <f>IF(LEFT($B36,4)="_Mil","",_xlfn.IFNA(INDEX(Spectrum!$N:$N,MATCH(RIGHT($B36,13)&amp;"|"&amp;$C36&amp;"|"&amp;$D36&amp;"|"&amp;W$14&amp;"|"&amp;"CY2024Q3",Spectrum!$R:$R,0)),""))</f>
        <v>1.8938349E-2</v>
      </c>
      <c r="X36" s="218">
        <f>IF(LEFT($B36,4)="_Mil","",_xlfn.IFNA(ROUND(INDEX(Spectrum!$N:$N,MATCH(RIGHT($B36,13)&amp;"|"&amp;$C36&amp;"|"&amp;$D36&amp;"|"&amp;X$14&amp;"|"&amp;"CY2024Q3",Spectrum!$R:$R,0)),0),""))</f>
        <v>989</v>
      </c>
      <c r="Y36" s="33">
        <f t="shared" si="3"/>
        <v>0.91</v>
      </c>
      <c r="Z36" s="218">
        <f>IF(LEFT($B36,4)="_Mil","",_xlfn.IFNA(ROUND(INDEX(Spectrum!$N:$N,MATCH(RIGHT($B36,13)&amp;"|"&amp;$C36&amp;"|"&amp;$D36&amp;"|"&amp;Z$14&amp;"|"&amp;"CY2024Q3",Spectrum!$R:$R,0)),0),""))</f>
        <v>786</v>
      </c>
      <c r="AA36" s="33">
        <f>IF(LEFT($B36,4)="_Mil","",IFERROR(1/(1/INDEX(Spectrum!$N:$N,MATCH(RIGHT($B36,13)&amp;"|"&amp;$C36&amp;"|"&amp;$D36&amp;"|"&amp;AA$14&amp;"|"&amp;"CY2024Q3",Spectrum!$R:$R,0))),IF(SUM($U36)=0,"",SUM($Z36)/$U36)))</f>
        <v>0.90392237399999997</v>
      </c>
      <c r="AB36" s="33">
        <f t="shared" si="4"/>
        <v>0.79474216380182006</v>
      </c>
      <c r="AC36" s="38">
        <f>IF(LEFT($B36,4)="_Mil","",_xlfn.IFNA(ROUND(INDEX(Spectrum!$N:$N,MATCH(RIGHT($B36,13)&amp;"|"&amp;$C36&amp;"|"&amp;$D36&amp;"|"&amp;AC$14&amp;"|"&amp;"CY2024Q3",Spectrum!$R:$R,0)),0),""))</f>
        <v>81</v>
      </c>
      <c r="AD36" s="38" t="str">
        <f>IF(LEFT($B36,4)="_Mil","",_xlfn.IFNA(ROUND(INDEX(Spectrum!$N:$N,MATCH(RIGHT($B36,13)&amp;"|"&amp;$C36&amp;"|"&amp;$D36&amp;"|"&amp;AD$14&amp;"|"&amp;"CY2024Q3",Spectrum!$R:$R,0)),0),""))</f>
        <v/>
      </c>
      <c r="AE36" s="33">
        <f t="shared" si="5"/>
        <v>0</v>
      </c>
      <c r="AF36" s="218" t="str">
        <f>IF(LEFT($B36,4)="_Mil","",_xlfn.IFNA(ROUND(INDEX(Spectrum!$N:$N,MATCH(RIGHT($B36,13)&amp;"|"&amp;$C36&amp;"|"&amp;$D36&amp;"|"&amp;AF$14&amp;"|"&amp;"CY2024Q3",Spectrum!$R:$R,0)),0),""))</f>
        <v/>
      </c>
      <c r="AG36" s="33" t="str">
        <f t="shared" si="6"/>
        <v/>
      </c>
      <c r="AH36" s="110" t="str">
        <f>IF(LEFT($B36,4)="_Mil","",_xlfn.IFNA(INDEX(Spectrum!$N:$N,MATCH(RIGHT($B36,13)&amp;"|"&amp;$C36&amp;"|"&amp;$D36&amp;"|"&amp;AH$14&amp;"|"&amp;"CY2024Q3",Spectrum!$R:$R,0)),""))</f>
        <v/>
      </c>
      <c r="AI36" s="218">
        <f>IF(LEFT($B36,4)="_Mil","",_xlfn.IFNA(ROUND(INDEX(Spectrum!$N:$N,MATCH(RIGHT($B36,13)&amp;"|"&amp;$C36&amp;"|"&amp;$D36&amp;"|"&amp;AI$14&amp;"|"&amp;"CY2025Q3",Spectrum!$R:$R,0)),0),""))</f>
        <v>14</v>
      </c>
      <c r="AJ36" s="38">
        <f>IF(LEFT($B36,4)="_Mil","",_xlfn.IFNA(ROUND(INDEX(Spectrum!$N:$N,MATCH(RIGHT($B36,13)&amp;"|"&amp;$C36&amp;"|"&amp;$D36&amp;"|"&amp;AJ$14&amp;"|"&amp;"CY2025Q3",Spectrum!$R:$R,0)),0),""))</f>
        <v>1098</v>
      </c>
      <c r="AK36" s="218" t="e">
        <f>#REF!</f>
        <v>#REF!</v>
      </c>
      <c r="AL36" s="33">
        <f t="shared" si="7"/>
        <v>0.90392237399999997</v>
      </c>
      <c r="AM36" s="38" t="e">
        <f>IF(OR(LEFT($B36,4)="_Mil",$C36="&lt;01"),"",ROUND(SUM($AK36)*SUM($AL36),0))</f>
        <v>#REF!</v>
      </c>
      <c r="AN36" s="38" t="str">
        <f>IF($C36="&lt;01",ROUND(INDEX(EID!$P:$P,MATCH($B36,EID!$B:$B,0))/2,0),"")</f>
        <v/>
      </c>
      <c r="AO36" s="38" t="e">
        <f>IF($C36="&lt;01",SUM($AN36),ROUND(SUM($AM36)*SUM($O36)/IF(SUM($Z36)=0,1,$Z36),0))</f>
        <v>#REF!</v>
      </c>
      <c r="AP36" s="218">
        <f>IF(OR($F36="",$C36="&lt;01"),$AO36,ROUND($F36,0))</f>
        <v>666</v>
      </c>
      <c r="AQ36" s="218">
        <f>IF(LEFT($B36,4)="_Mil","",IF(SUM($AP36)=0,SUM($Z36),IF(OR(SUM($Z36)=0,SUM($O36)=0),MAX($AP36,$Z36),ROUND($AP36*$Z36/$O36,0))))</f>
        <v>786</v>
      </c>
      <c r="AR36" s="33" t="e">
        <f>IF(OR(LEFT($B36,4)="_Mil",SUM($AK36)=0),"",SUM($AQ36)/$AK36)</f>
        <v>#REF!</v>
      </c>
      <c r="AS36" s="33">
        <f t="shared" si="8"/>
        <v>0.98</v>
      </c>
      <c r="AT36" s="33">
        <f t="shared" si="8"/>
        <v>0.98</v>
      </c>
      <c r="AU36" s="38">
        <f>IF($C36="&lt;01","",SUM($AP36)-SUM($O36))</f>
        <v>666</v>
      </c>
      <c r="AV36" s="38">
        <f>IF($C36="&lt;01",ROUND(INDEX(EID!$N:$N,MATCH($B36,EID!$B:$B,0))/2,0),IF(SUM($AT36)=0,"",ROUND((SUM($AP36)-(SUM($O36)*SUM($AS36)))/$AT36,0)))</f>
        <v>680</v>
      </c>
      <c r="AW36" s="33">
        <f t="shared" si="9"/>
        <v>1</v>
      </c>
      <c r="AX36" s="218">
        <f>IF($C36="&lt;01",SUM($AV36),ROUND(SUM($AV36)*SUM($AW36),0))</f>
        <v>680</v>
      </c>
      <c r="AY36" s="79">
        <f t="shared" si="10"/>
        <v>0.7</v>
      </c>
      <c r="AZ36" s="85">
        <f>IF($C36="&lt;01",ROUND(INDEX(EID!$R:$R,MATCH($B36,EID!$B:$B,0))/2,0),ROUND(SUM($O36)+(SUM($AV36)*$AY36),0))</f>
        <v>476</v>
      </c>
      <c r="BA36" s="40">
        <f t="shared" si="14"/>
        <v>0.9</v>
      </c>
      <c r="BB36" s="99">
        <f>IF($C36="&lt;01",ROUND(INDEX(EID!$T:$T,MATCH($B36,EID!$B:$B,0))/2,0),ROUND($AP36*$BA36,0))</f>
        <v>599</v>
      </c>
      <c r="BC36" s="85">
        <f>IF(LEFT($B36,4)="_Mil","",IF(SUM($BB36)=0,SUM($AD36),IF(OR(SUM($AP36)=0,SUM($AQ36)=0),MAX($BB36,$AD36),ROUND($BB36*$AQ36/$AP36,0))))</f>
        <v>707</v>
      </c>
      <c r="BD36" s="33">
        <f t="shared" si="12"/>
        <v>0.95</v>
      </c>
      <c r="BE36" s="218">
        <f>IF($C36="&lt;01",ROUND(INDEX(EID!$V:$V,MATCH($B36,EID!$B:$B,0))/2,0),ROUND($BD36*$BB36,0))</f>
        <v>569</v>
      </c>
      <c r="BF36" s="218">
        <f>IF(LEFT($B36,4)="_Mil","",IF(SUM($BE36)=0,SUM($AF36),IF(OR(SUM($AP36)=0,SUM($AQ36)=0),MAX($BE36,$AF36),ROUND($BE36*$AQ36/$AP36,0))))</f>
        <v>672</v>
      </c>
      <c r="BG36" s="79">
        <f t="shared" si="13"/>
        <v>0.95</v>
      </c>
      <c r="BH36" s="99">
        <f>IF($C36="&lt;01",ROUND(INDEX(EID!$L:$L,MATCH($B36,EID!$B:$B,0)),0)/2,IF(SUM($BG36)=0,"",ROUND($AX36/$BG36,0)))</f>
        <v>716</v>
      </c>
    </row>
    <row r="37" spans="1:60" x14ac:dyDescent="0.2">
      <c r="A37" t="str">
        <f>INDEX(Prioritization!$D:$D,MATCH($B37,Prioritization!$A:$A,0))</f>
        <v>4 - Sustained</v>
      </c>
      <c r="B37" t="s">
        <v>313</v>
      </c>
      <c r="C37" t="s">
        <v>476</v>
      </c>
      <c r="D37" t="s">
        <v>30</v>
      </c>
      <c r="E37" t="str">
        <f t="shared" si="0"/>
        <v>Balaka District [ir8wuHHzoSs]|25-34|Female</v>
      </c>
      <c r="F37" s="229">
        <v>2839</v>
      </c>
      <c r="G37" s="38"/>
      <c r="H37" s="38"/>
      <c r="I37" s="38"/>
      <c r="J37" s="38"/>
      <c r="K37" s="38"/>
      <c r="L37" s="38"/>
      <c r="M37" s="38"/>
      <c r="N37" s="38"/>
      <c r="O37" s="229"/>
      <c r="P37" s="38"/>
      <c r="Q37" s="38"/>
      <c r="R37" s="38"/>
      <c r="S37" s="38"/>
      <c r="T37" s="218"/>
      <c r="U37" s="218"/>
      <c r="V37" s="38"/>
      <c r="W37" s="220"/>
      <c r="X37" s="218"/>
      <c r="Y37" s="33"/>
      <c r="Z37" s="218"/>
      <c r="AA37" s="33"/>
      <c r="AB37" s="33"/>
      <c r="AC37" s="38"/>
      <c r="AD37" s="38"/>
      <c r="AE37" s="33"/>
      <c r="AF37" s="218"/>
      <c r="AG37" s="33"/>
      <c r="AH37" s="110"/>
      <c r="AI37" s="218"/>
      <c r="AJ37" s="38"/>
      <c r="AK37" s="218"/>
      <c r="AL37" s="33"/>
      <c r="AM37" s="38"/>
      <c r="AN37" s="38" t="str">
        <f>IF($C37="&lt;01",ROUND(INDEX(EID!$P:$P,MATCH($B37,EID!$B:$B,0))/2,0),"")</f>
        <v/>
      </c>
      <c r="AO37" s="38"/>
      <c r="AP37" s="218"/>
      <c r="AQ37" s="218"/>
      <c r="AR37" s="33"/>
      <c r="AS37" s="33"/>
      <c r="AT37" s="33"/>
      <c r="AU37" s="38"/>
      <c r="AV37" s="38"/>
      <c r="AW37" s="33"/>
      <c r="AX37" s="218"/>
      <c r="AY37" s="79"/>
      <c r="AZ37" s="85"/>
      <c r="BA37" s="40">
        <f t="shared" si="14"/>
        <v>0.9</v>
      </c>
      <c r="BB37" s="99">
        <f>IF($C37="&lt;01",ROUND(INDEX(EID!$T:$T,MATCH($B37,EID!$B:$B,0))/2,0),ROUND($AP37*$BA37,0))</f>
        <v>0</v>
      </c>
      <c r="BC37" s="85">
        <f>IF(LEFT($B37,4)="_Mil","",IF(SUM($BB37)=0,SUM($AD37),IF(OR(SUM($AP37)=0,SUM($AQ37)=0),MAX($BB37,$AD37),ROUND($BB37*$AQ37/$AP37,0))))</f>
        <v>0</v>
      </c>
      <c r="BD37" s="33">
        <f t="shared" si="12"/>
        <v>0.95</v>
      </c>
      <c r="BE37" s="218">
        <f>IF($C37="&lt;01",ROUND(INDEX(EID!$V:$V,MATCH($B37,EID!$B:$B,0))/2,0),ROUND($BD37*$BB37,0))</f>
        <v>0</v>
      </c>
      <c r="BF37" s="218">
        <f>IF(LEFT($B37,4)="_Mil","",IF(SUM($BE37)=0,SUM($AF37),IF(OR(SUM($AP37)=0,SUM($AQ37)=0),MAX($BE37,$AF37),ROUND($BE37*$AQ37/$AP37,0))))</f>
        <v>0</v>
      </c>
      <c r="BG37" s="79">
        <f t="shared" si="13"/>
        <v>0.95</v>
      </c>
      <c r="BH37" s="99">
        <f>IF($C37="&lt;01",ROUND(INDEX(EID!$L:$L,MATCH($B37,EID!$B:$B,0)),0)/2,IF(SUM($BG37)=0,"",ROUND($AX37/$BG37,0)))</f>
        <v>0</v>
      </c>
    </row>
    <row r="38" spans="1:60" x14ac:dyDescent="0.2">
      <c r="A38" t="str">
        <f>INDEX(Prioritization!$D:$D,MATCH($B38,Prioritization!$A:$A,0))</f>
        <v>4 - Sustained</v>
      </c>
      <c r="B38" t="s">
        <v>313</v>
      </c>
      <c r="C38" t="s">
        <v>476</v>
      </c>
      <c r="D38" t="s">
        <v>48</v>
      </c>
      <c r="E38" t="str">
        <f t="shared" si="0"/>
        <v>Balaka District [ir8wuHHzoSs]|25-34|Male</v>
      </c>
      <c r="F38" s="229">
        <v>695</v>
      </c>
      <c r="G38" s="38"/>
      <c r="H38" s="38"/>
      <c r="I38" s="38"/>
      <c r="J38" s="38"/>
      <c r="K38" s="38"/>
      <c r="L38" s="38"/>
      <c r="M38" s="38"/>
      <c r="N38" s="38"/>
      <c r="O38" s="229"/>
      <c r="P38" s="38"/>
      <c r="Q38" s="38"/>
      <c r="R38" s="38"/>
      <c r="S38" s="38"/>
      <c r="T38" s="218"/>
      <c r="U38" s="218"/>
      <c r="V38" s="38"/>
      <c r="W38" s="220"/>
      <c r="X38" s="218"/>
      <c r="Y38" s="33"/>
      <c r="Z38" s="218"/>
      <c r="AA38" s="33"/>
      <c r="AB38" s="33"/>
      <c r="AC38" s="38"/>
      <c r="AD38" s="38"/>
      <c r="AE38" s="33"/>
      <c r="AF38" s="218"/>
      <c r="AG38" s="33"/>
      <c r="AH38" s="110"/>
      <c r="AI38" s="218"/>
      <c r="AJ38" s="38"/>
      <c r="AK38" s="218"/>
      <c r="AL38" s="33"/>
      <c r="AM38" s="38"/>
      <c r="AN38" s="38" t="str">
        <f>IF($C38="&lt;01",ROUND(INDEX(EID!$P:$P,MATCH($B38,EID!$B:$B,0))/2,0),"")</f>
        <v/>
      </c>
      <c r="AO38" s="38"/>
      <c r="AP38" s="218"/>
      <c r="AQ38" s="218"/>
      <c r="AR38" s="33"/>
      <c r="AS38" s="33"/>
      <c r="AT38" s="33"/>
      <c r="AU38" s="38"/>
      <c r="AV38" s="38"/>
      <c r="AW38" s="33"/>
      <c r="AX38" s="218"/>
      <c r="AY38" s="79"/>
      <c r="AZ38" s="85"/>
      <c r="BA38" s="40">
        <f t="shared" si="14"/>
        <v>0.9</v>
      </c>
      <c r="BB38" s="99">
        <f>IF($C38="&lt;01",ROUND(INDEX(EID!$T:$T,MATCH($B38,EID!$B:$B,0))/2,0),ROUND($AP38*$BA38,0))</f>
        <v>0</v>
      </c>
      <c r="BC38" s="85">
        <f>IF(LEFT($B38,4)="_Mil","",IF(SUM($BB38)=0,SUM($AD38),IF(OR(SUM($AP38)=0,SUM($AQ38)=0),MAX($BB38,$AD38),ROUND($BB38*$AQ38/$AP38,0))))</f>
        <v>0</v>
      </c>
      <c r="BD38" s="33">
        <f t="shared" si="12"/>
        <v>0.95</v>
      </c>
      <c r="BE38" s="218">
        <f>IF($C38="&lt;01",ROUND(INDEX(EID!$V:$V,MATCH($B38,EID!$B:$B,0))/2,0),ROUND($BD38*$BB38,0))</f>
        <v>0</v>
      </c>
      <c r="BF38" s="218">
        <f>IF(LEFT($B38,4)="_Mil","",IF(SUM($BE38)=0,SUM($AF38),IF(OR(SUM($AP38)=0,SUM($AQ38)=0),MAX($BE38,$AF38),ROUND($BE38*$AQ38/$AP38,0))))</f>
        <v>0</v>
      </c>
      <c r="BG38" s="79">
        <f t="shared" si="13"/>
        <v>0.95</v>
      </c>
      <c r="BH38" s="99">
        <f>IF($C38="&lt;01",ROUND(INDEX(EID!$L:$L,MATCH($B38,EID!$B:$B,0)),0)/2,IF(SUM($BG38)=0,"",ROUND($AX38/$BG38,0)))</f>
        <v>0</v>
      </c>
    </row>
    <row r="39" spans="1:60" x14ac:dyDescent="0.2">
      <c r="A39" t="str">
        <f>INDEX(Prioritization!$D:$D,MATCH($B39,Prioritization!$A:$A,0))</f>
        <v>4 - Sustained</v>
      </c>
      <c r="B39" t="s">
        <v>313</v>
      </c>
      <c r="C39" t="s">
        <v>477</v>
      </c>
      <c r="D39" t="s">
        <v>30</v>
      </c>
      <c r="E39" t="str">
        <f t="shared" si="0"/>
        <v>Balaka District [ir8wuHHzoSs]|35-49|Female</v>
      </c>
      <c r="F39" s="229">
        <v>7548</v>
      </c>
      <c r="G39" s="38"/>
      <c r="H39" s="38"/>
      <c r="I39" s="38"/>
      <c r="J39" s="38"/>
      <c r="K39" s="38"/>
      <c r="L39" s="38"/>
      <c r="M39" s="38"/>
      <c r="N39" s="38"/>
      <c r="O39" s="229"/>
      <c r="P39" s="38"/>
      <c r="Q39" s="38"/>
      <c r="R39" s="38"/>
      <c r="S39" s="38"/>
      <c r="T39" s="218"/>
      <c r="U39" s="218"/>
      <c r="V39" s="38"/>
      <c r="W39" s="220"/>
      <c r="X39" s="218"/>
      <c r="Y39" s="33"/>
      <c r="Z39" s="218"/>
      <c r="AA39" s="33"/>
      <c r="AB39" s="33"/>
      <c r="AC39" s="38"/>
      <c r="AD39" s="38"/>
      <c r="AE39" s="33"/>
      <c r="AF39" s="218"/>
      <c r="AG39" s="33"/>
      <c r="AH39" s="110"/>
      <c r="AI39" s="218"/>
      <c r="AJ39" s="38"/>
      <c r="AK39" s="218"/>
      <c r="AL39" s="33"/>
      <c r="AM39" s="38"/>
      <c r="AN39" s="38" t="str">
        <f>IF($C39="&lt;01",ROUND(INDEX(EID!$P:$P,MATCH($B39,EID!$B:$B,0))/2,0),"")</f>
        <v/>
      </c>
      <c r="AO39" s="38"/>
      <c r="AP39" s="218"/>
      <c r="AQ39" s="218"/>
      <c r="AR39" s="33"/>
      <c r="AS39" s="33"/>
      <c r="AT39" s="33"/>
      <c r="AU39" s="38"/>
      <c r="AV39" s="38"/>
      <c r="AW39" s="33"/>
      <c r="AX39" s="218"/>
      <c r="AY39" s="79"/>
      <c r="AZ39" s="85"/>
      <c r="BA39" s="40">
        <f t="shared" si="14"/>
        <v>0.9</v>
      </c>
      <c r="BB39" s="99">
        <f>IF($C39="&lt;01",ROUND(INDEX(EID!$T:$T,MATCH($B39,EID!$B:$B,0))/2,0),ROUND($AP39*$BA39,0))</f>
        <v>0</v>
      </c>
      <c r="BC39" s="85">
        <f>IF(LEFT($B39,4)="_Mil","",IF(SUM($BB39)=0,SUM($AD39),IF(OR(SUM($AP39)=0,SUM($AQ39)=0),MAX($BB39,$AD39),ROUND($BB39*$AQ39/$AP39,0))))</f>
        <v>0</v>
      </c>
      <c r="BD39" s="33">
        <f t="shared" si="12"/>
        <v>0.95</v>
      </c>
      <c r="BE39" s="218">
        <f>IF($C39="&lt;01",ROUND(INDEX(EID!$V:$V,MATCH($B39,EID!$B:$B,0))/2,0),ROUND($BD39*$BB39,0))</f>
        <v>0</v>
      </c>
      <c r="BF39" s="218">
        <f>IF(LEFT($B39,4)="_Mil","",IF(SUM($BE39)=0,SUM($AF39),IF(OR(SUM($AP39)=0,SUM($AQ39)=0),MAX($BE39,$AF39),ROUND($BE39*$AQ39/$AP39,0))))</f>
        <v>0</v>
      </c>
      <c r="BG39" s="79">
        <f t="shared" si="13"/>
        <v>0.95</v>
      </c>
      <c r="BH39" s="99">
        <f>IF($C39="&lt;01",ROUND(INDEX(EID!$L:$L,MATCH($B39,EID!$B:$B,0)),0)/2,IF(SUM($BG39)=0,"",ROUND($AX39/$BG39,0)))</f>
        <v>0</v>
      </c>
    </row>
    <row r="40" spans="1:60" x14ac:dyDescent="0.2">
      <c r="A40" t="str">
        <f>INDEX(Prioritization!$D:$D,MATCH($B40,Prioritization!$A:$A,0))</f>
        <v>4 - Sustained</v>
      </c>
      <c r="B40" t="s">
        <v>313</v>
      </c>
      <c r="C40" t="s">
        <v>477</v>
      </c>
      <c r="D40" t="s">
        <v>48</v>
      </c>
      <c r="E40" t="str">
        <f t="shared" si="0"/>
        <v>Balaka District [ir8wuHHzoSs]|35-49|Male</v>
      </c>
      <c r="F40" s="229">
        <v>2981</v>
      </c>
      <c r="G40" s="38"/>
      <c r="H40" s="38"/>
      <c r="I40" s="38"/>
      <c r="J40" s="38"/>
      <c r="K40" s="38"/>
      <c r="L40" s="38"/>
      <c r="M40" s="38"/>
      <c r="N40" s="38"/>
      <c r="O40" s="229"/>
      <c r="P40" s="38"/>
      <c r="Q40" s="38"/>
      <c r="R40" s="38"/>
      <c r="S40" s="38"/>
      <c r="T40" s="218"/>
      <c r="U40" s="218"/>
      <c r="V40" s="38"/>
      <c r="W40" s="220"/>
      <c r="X40" s="218"/>
      <c r="Y40" s="33"/>
      <c r="Z40" s="218"/>
      <c r="AA40" s="33"/>
      <c r="AB40" s="33"/>
      <c r="AC40" s="38"/>
      <c r="AD40" s="38"/>
      <c r="AE40" s="33"/>
      <c r="AF40" s="218"/>
      <c r="AG40" s="33"/>
      <c r="AH40" s="110"/>
      <c r="AI40" s="218"/>
      <c r="AJ40" s="38"/>
      <c r="AK40" s="218"/>
      <c r="AL40" s="33"/>
      <c r="AM40" s="38"/>
      <c r="AN40" s="38" t="str">
        <f>IF($C40="&lt;01",ROUND(INDEX(EID!$P:$P,MATCH($B40,EID!$B:$B,0))/2,0),"")</f>
        <v/>
      </c>
      <c r="AO40" s="38"/>
      <c r="AP40" s="218"/>
      <c r="AQ40" s="218"/>
      <c r="AR40" s="33"/>
      <c r="AS40" s="33"/>
      <c r="AT40" s="33"/>
      <c r="AU40" s="38"/>
      <c r="AV40" s="38"/>
      <c r="AW40" s="33"/>
      <c r="AX40" s="218"/>
      <c r="AY40" s="79"/>
      <c r="AZ40" s="85"/>
      <c r="BA40" s="40">
        <f t="shared" si="14"/>
        <v>0.9</v>
      </c>
      <c r="BB40" s="99">
        <f>IF($C40="&lt;01",ROUND(INDEX(EID!$T:$T,MATCH($B40,EID!$B:$B,0))/2,0),ROUND($AP40*$BA40,0))</f>
        <v>0</v>
      </c>
      <c r="BC40" s="85">
        <f>IF(LEFT($B40,4)="_Mil","",IF(SUM($BB40)=0,SUM($AD40),IF(OR(SUM($AP40)=0,SUM($AQ40)=0),MAX($BB40,$AD40),ROUND($BB40*$AQ40/$AP40,0))))</f>
        <v>0</v>
      </c>
      <c r="BD40" s="33">
        <f t="shared" si="12"/>
        <v>0.95</v>
      </c>
      <c r="BE40" s="218">
        <f>IF($C40="&lt;01",ROUND(INDEX(EID!$V:$V,MATCH($B40,EID!$B:$B,0))/2,0),ROUND($BD40*$BB40,0))</f>
        <v>0</v>
      </c>
      <c r="BF40" s="218">
        <f>IF(LEFT($B40,4)="_Mil","",IF(SUM($BE40)=0,SUM($AF40),IF(OR(SUM($AP40)=0,SUM($AQ40)=0),MAX($BE40,$AF40),ROUND($BE40*$AQ40/$AP40,0))))</f>
        <v>0</v>
      </c>
      <c r="BG40" s="79">
        <f t="shared" si="13"/>
        <v>0.95</v>
      </c>
      <c r="BH40" s="99">
        <f>IF($C40="&lt;01",ROUND(INDEX(EID!$L:$L,MATCH($B40,EID!$B:$B,0)),0)/2,IF(SUM($BG40)=0,"",ROUND($AX40/$BG40,0)))</f>
        <v>0</v>
      </c>
    </row>
    <row r="41" spans="1:60" x14ac:dyDescent="0.2">
      <c r="A41" t="str">
        <f>INDEX(Prioritization!$D:$D,MATCH($B41,Prioritization!$A:$A,0))</f>
        <v>4 - Sustained</v>
      </c>
      <c r="B41" t="s">
        <v>313</v>
      </c>
      <c r="C41" t="s">
        <v>478</v>
      </c>
      <c r="D41" t="s">
        <v>30</v>
      </c>
      <c r="E41" t="str">
        <f t="shared" si="0"/>
        <v>Balaka District [ir8wuHHzoSs]|50+|Female</v>
      </c>
      <c r="F41" s="229">
        <v>4081</v>
      </c>
      <c r="G41" s="38"/>
      <c r="H41" s="38"/>
      <c r="I41" s="38"/>
      <c r="J41" s="38"/>
      <c r="K41" s="38"/>
      <c r="L41" s="38"/>
      <c r="M41" s="38"/>
      <c r="N41" s="38"/>
      <c r="O41" s="229"/>
      <c r="P41" s="38"/>
      <c r="Q41" s="38"/>
      <c r="R41" s="38"/>
      <c r="S41" s="38"/>
      <c r="T41" s="218"/>
      <c r="U41" s="218"/>
      <c r="V41" s="38"/>
      <c r="W41" s="220"/>
      <c r="X41" s="218"/>
      <c r="Y41" s="33"/>
      <c r="Z41" s="218"/>
      <c r="AA41" s="33"/>
      <c r="AB41" s="33"/>
      <c r="AC41" s="38"/>
      <c r="AD41" s="38"/>
      <c r="AE41" s="33"/>
      <c r="AF41" s="218"/>
      <c r="AG41" s="33"/>
      <c r="AH41" s="110"/>
      <c r="AI41" s="218"/>
      <c r="AJ41" s="38"/>
      <c r="AK41" s="218"/>
      <c r="AL41" s="33"/>
      <c r="AM41" s="38"/>
      <c r="AN41" s="38" t="str">
        <f>IF($C41="&lt;01",ROUND(INDEX(EID!$P:$P,MATCH($B41,EID!$B:$B,0))/2,0),"")</f>
        <v/>
      </c>
      <c r="AO41" s="38"/>
      <c r="AP41" s="218"/>
      <c r="AQ41" s="218"/>
      <c r="AR41" s="33"/>
      <c r="AS41" s="33"/>
      <c r="AT41" s="33"/>
      <c r="AU41" s="38"/>
      <c r="AV41" s="38"/>
      <c r="AW41" s="33"/>
      <c r="AX41" s="218"/>
      <c r="AY41" s="79"/>
      <c r="AZ41" s="85"/>
      <c r="BA41" s="40">
        <f t="shared" si="14"/>
        <v>0.9</v>
      </c>
      <c r="BB41" s="99">
        <f>IF($C41="&lt;01",ROUND(INDEX(EID!$T:$T,MATCH($B41,EID!$B:$B,0))/2,0),ROUND($AP41*$BA41,0))</f>
        <v>0</v>
      </c>
      <c r="BC41" s="85">
        <f>IF(LEFT($B41,4)="_Mil","",IF(SUM($BB41)=0,SUM($AD41),IF(OR(SUM($AP41)=0,SUM($AQ41)=0),MAX($BB41,$AD41),ROUND($BB41*$AQ41/$AP41,0))))</f>
        <v>0</v>
      </c>
      <c r="BD41" s="33">
        <f t="shared" si="12"/>
        <v>0.95</v>
      </c>
      <c r="BE41" s="218">
        <f>IF($C41="&lt;01",ROUND(INDEX(EID!$V:$V,MATCH($B41,EID!$B:$B,0))/2,0),ROUND($BD41*$BB41,0))</f>
        <v>0</v>
      </c>
      <c r="BF41" s="218">
        <f>IF(LEFT($B41,4)="_Mil","",IF(SUM($BE41)=0,SUM($AF41),IF(OR(SUM($AP41)=0,SUM($AQ41)=0),MAX($BE41,$AF41),ROUND($BE41*$AQ41/$AP41,0))))</f>
        <v>0</v>
      </c>
      <c r="BG41" s="79">
        <f t="shared" si="13"/>
        <v>0.95</v>
      </c>
      <c r="BH41" s="99">
        <f>IF($C41="&lt;01",ROUND(INDEX(EID!$L:$L,MATCH($B41,EID!$B:$B,0)),0)/2,IF(SUM($BG41)=0,"",ROUND($AX41/$BG41,0)))</f>
        <v>0</v>
      </c>
    </row>
    <row r="42" spans="1:60" x14ac:dyDescent="0.2">
      <c r="A42" t="str">
        <f>INDEX(Prioritization!$D:$D,MATCH($B42,Prioritization!$A:$A,0))</f>
        <v>4 - Sustained</v>
      </c>
      <c r="B42" t="s">
        <v>313</v>
      </c>
      <c r="C42" t="s">
        <v>478</v>
      </c>
      <c r="D42" t="s">
        <v>48</v>
      </c>
      <c r="E42" t="str">
        <f t="shared" si="0"/>
        <v>Balaka District [ir8wuHHzoSs]|50+|Male</v>
      </c>
      <c r="F42" s="229">
        <v>2715</v>
      </c>
      <c r="G42" s="38"/>
      <c r="H42" s="38"/>
      <c r="I42" s="38"/>
      <c r="J42" s="38"/>
      <c r="K42" s="38"/>
      <c r="L42" s="38"/>
      <c r="M42" s="38">
        <v>30</v>
      </c>
      <c r="N42" s="38">
        <v>2543</v>
      </c>
      <c r="O42" s="229">
        <v>2575</v>
      </c>
      <c r="P42" s="38">
        <v>2297</v>
      </c>
      <c r="Q42" s="38">
        <v>2182</v>
      </c>
      <c r="R42" s="38">
        <f t="shared" si="2"/>
        <v>2575</v>
      </c>
      <c r="S42" s="38">
        <f>IF(LEFT($B42,4)="_Mil","",_xlfn.IFNA(ROUND(INDEX(Spectrum!$N:$N,MATCH(RIGHT($B42,13)&amp;"|"&amp;$C42&amp;"|"&amp;$D42&amp;"|"&amp;S$14&amp;"|"&amp;"CY2023Q4",Spectrum!$R:$R,0)),0),""))</f>
        <v>2313</v>
      </c>
      <c r="T42" s="218">
        <f>IF(LEFT($B42,4)="_Mil","",_xlfn.IFNA(ROUND(INDEX(Spectrum!$N:$N,MATCH(RIGHT($B42,13)&amp;"|"&amp;$C42&amp;"|"&amp;$D42&amp;"|"&amp;T$14&amp;"|"&amp;"CY2024Q3",Spectrum!$R:$R,0)),0),""))</f>
        <v>18528</v>
      </c>
      <c r="U42" s="218">
        <f>IF(LEFT($B42,4)="_Mil","",_xlfn.IFNA(ROUND(INDEX(Spectrum!$N:$N,MATCH(RIGHT($B42,13)&amp;"|"&amp;$C42&amp;"|"&amp;$D42&amp;"|"&amp;U$14&amp;"|"&amp;"CY2024Q3",Spectrum!$R:$R,0)),0),""))</f>
        <v>3226</v>
      </c>
      <c r="V42" s="38">
        <f>IF(LEFT($B42,4)="_Mil","",_xlfn.IFNA(ROUND(INDEX(Spectrum!$N:$N,MATCH(RIGHT($B42,13)&amp;"|"&amp;$C42&amp;"|"&amp;$D42&amp;"|"&amp;V$14&amp;"|"&amp;"CY2024Q3",Spectrum!$R:$R,0)),0),""))</f>
        <v>2575</v>
      </c>
      <c r="W42" s="220"/>
      <c r="X42" s="218"/>
      <c r="Y42" s="33"/>
      <c r="Z42" s="218"/>
      <c r="AA42" s="33"/>
      <c r="AB42" s="33"/>
      <c r="AC42" s="38"/>
      <c r="AD42" s="38"/>
      <c r="AE42" s="33"/>
      <c r="AF42" s="218"/>
      <c r="AG42" s="33"/>
      <c r="AH42" s="110"/>
      <c r="AI42" s="218"/>
      <c r="AJ42" s="38"/>
      <c r="AK42" s="218"/>
      <c r="AL42" s="33"/>
      <c r="AM42" s="38"/>
      <c r="AN42" s="38" t="str">
        <f>IF($C42="&lt;01",ROUND(INDEX(EID!$P:$P,MATCH($B42,EID!$B:$B,0))/2,0),"")</f>
        <v/>
      </c>
      <c r="AO42" s="38">
        <f>IF($C42="&lt;01",SUM($AN42),ROUND(SUM($AM42)*SUM($O42)/IF(SUM($Z42)=0,1,$Z42),0))</f>
        <v>0</v>
      </c>
      <c r="AP42" s="218">
        <f>IF(OR($F42="",$C42="&lt;01"),$AO42,ROUND($F42,0))</f>
        <v>2715</v>
      </c>
      <c r="AQ42" s="218">
        <f>IF(LEFT($B42,4)="_Mil","",IF(SUM($AP42)=0,SUM($Z42),IF(OR(SUM($Z42)=0,SUM($O42)=0),MAX($AP42,$Z42),ROUND($AP42*$Z42/$O42,0))))</f>
        <v>2715</v>
      </c>
      <c r="AR42" s="33" t="str">
        <f>IF(OR(LEFT($B42,4)="_Mil",SUM($AK42)=0),"",SUM($AQ42)/$AK42)</f>
        <v/>
      </c>
      <c r="AS42" s="33">
        <v>1.02</v>
      </c>
      <c r="AT42" s="33">
        <f>IF($C42="&lt;01","",100%)</f>
        <v>1</v>
      </c>
      <c r="AU42" s="38">
        <f>IF($C42="&lt;01","",SUM($AP42)-SUM($O42))</f>
        <v>140</v>
      </c>
      <c r="AV42" s="38">
        <f>IF($C42="&lt;01",ROUND(INDEX(EID!$N:$N,MATCH($B42,EID!$B:$B,0))/2,0),IF(SUM($AT42)=0,"",ROUND((SUM($AP42)-(SUM($O42)*SUM($AS42)))/$AT42,0)))</f>
        <v>89</v>
      </c>
      <c r="AW42" s="33">
        <v>0.8</v>
      </c>
      <c r="AX42" s="218">
        <f>IF($C42="&lt;01",SUM($AV42),ROUND(SUM($AV42)*SUM($AW42),0))</f>
        <v>71</v>
      </c>
      <c r="AY42" s="79">
        <f t="shared" si="10"/>
        <v>0.7</v>
      </c>
      <c r="AZ42" s="85">
        <f>IF($C42="&lt;01",ROUND(INDEX(EID!$R:$R,MATCH($B42,EID!$B:$B,0))/2,0),ROUND(SUM($O42)+(SUM($AV42)*$AY42),0))</f>
        <v>2637</v>
      </c>
      <c r="BA42" s="40">
        <f t="shared" si="14"/>
        <v>0.9</v>
      </c>
      <c r="BB42" s="99">
        <f>IF($C42="&lt;01",ROUND(INDEX(EID!$T:$T,MATCH($B42,EID!$B:$B,0))/2,0),ROUND($AP42*$BA42,0))</f>
        <v>2444</v>
      </c>
      <c r="BC42" s="85">
        <f>IF(LEFT($B42,4)="_Mil","",IF(SUM($BB42)=0,SUM($AD42),IF(OR(SUM($AP42)=0,SUM($AQ42)=0),MAX($BB42,$AD42),ROUND($BB42*$AQ42/$AP42,0))))</f>
        <v>2444</v>
      </c>
      <c r="BD42" s="33">
        <f t="shared" si="12"/>
        <v>0.95</v>
      </c>
      <c r="BE42" s="218">
        <f>IF($C42="&lt;01",ROUND(INDEX(EID!$V:$V,MATCH($B42,EID!$B:$B,0))/2,0),ROUND($BD42*$BB42,0))</f>
        <v>2322</v>
      </c>
      <c r="BF42" s="218">
        <f>IF(LEFT($B42,4)="_Mil","",IF(SUM($BE42)=0,SUM($AF42),IF(OR(SUM($AP42)=0,SUM($AQ42)=0),MAX($BE42,$AF42),ROUND($BE42*$AQ42/$AP42,0))))</f>
        <v>2322</v>
      </c>
      <c r="BG42" s="79">
        <f t="shared" si="13"/>
        <v>0.95</v>
      </c>
      <c r="BH42" s="99">
        <f>IF($C42="&lt;01",ROUND(INDEX(EID!$L:$L,MATCH($B42,EID!$B:$B,0)),0)/2,IF(SUM($BG42)=0,"",ROUND($AX42/$BG42,0)))</f>
        <v>75</v>
      </c>
    </row>
    <row r="43" spans="1:60" x14ac:dyDescent="0.2">
      <c r="A43" t="str">
        <f>INDEX(Prioritization!$D:$D,MATCH($B43,Prioritization!$A:$A,0))</f>
        <v>1 - Scale-up: Saturation</v>
      </c>
      <c r="B43" t="s">
        <v>314</v>
      </c>
      <c r="C43" t="s">
        <v>426</v>
      </c>
      <c r="D43" t="s">
        <v>30</v>
      </c>
      <c r="E43" t="str">
        <f t="shared" si="0"/>
        <v>Blantyre District [mxqa3CDFmIT]|&lt;01|Female</v>
      </c>
      <c r="F43" s="229">
        <v>52</v>
      </c>
      <c r="G43" s="38">
        <v>89</v>
      </c>
      <c r="H43" s="38">
        <v>47</v>
      </c>
      <c r="I43" s="38">
        <v>26</v>
      </c>
      <c r="J43" s="38">
        <v>288</v>
      </c>
      <c r="K43" s="38">
        <v>264</v>
      </c>
      <c r="L43" s="38"/>
      <c r="M43" s="38">
        <v>47</v>
      </c>
      <c r="N43" s="38">
        <v>46</v>
      </c>
      <c r="O43" s="229">
        <v>52</v>
      </c>
      <c r="P43" s="38">
        <v>31</v>
      </c>
      <c r="Q43" s="38">
        <v>30</v>
      </c>
      <c r="R43" s="38">
        <f t="shared" si="2"/>
        <v>26</v>
      </c>
      <c r="S43" s="38">
        <f>IF(LEFT($B43,4)="_Mil","",_xlfn.IFNA(ROUND(INDEX(Spectrum!$N:$N,MATCH(RIGHT($B43,13)&amp;"|"&amp;$C43&amp;"|"&amp;$D43&amp;"|"&amp;S$14&amp;"|"&amp;"CY2023Q4",Spectrum!$R:$R,0)),0),""))</f>
        <v>49</v>
      </c>
      <c r="T43" s="218">
        <f>IF(LEFT($B43,4)="_Mil","",_xlfn.IFNA(ROUND(INDEX(Spectrum!$N:$N,MATCH(RIGHT($B43,13)&amp;"|"&amp;$C43&amp;"|"&amp;$D43&amp;"|"&amp;T$14&amp;"|"&amp;"CY2024Q3",Spectrum!$R:$R,0)),0),""))</f>
        <v>21441</v>
      </c>
      <c r="U43" s="218">
        <f>IF(LEFT($B43,4)="_Mil","",_xlfn.IFNA(ROUND(INDEX(Spectrum!$N:$N,MATCH(RIGHT($B43,13)&amp;"|"&amp;$C43&amp;"|"&amp;$D43&amp;"|"&amp;U$14&amp;"|"&amp;"CY2024Q3",Spectrum!$R:$R,0)),0),""))</f>
        <v>66</v>
      </c>
      <c r="V43" s="38">
        <f>IF(LEFT($B43,4)="_Mil","",_xlfn.IFNA(ROUND(INDEX(Spectrum!$N:$N,MATCH(RIGHT($B43,13)&amp;"|"&amp;$C43&amp;"|"&amp;$D43&amp;"|"&amp;V$14&amp;"|"&amp;"CY2024Q3",Spectrum!$R:$R,0)),0),""))</f>
        <v>69</v>
      </c>
      <c r="W43" s="220"/>
      <c r="X43" s="218"/>
      <c r="Y43" s="33"/>
      <c r="Z43" s="218"/>
      <c r="AA43" s="33"/>
      <c r="AB43" s="33"/>
      <c r="AC43" s="38">
        <f>IF(LEFT($B43,4)="_Mil","",_xlfn.IFNA(ROUND(INDEX(Spectrum!$N:$N,MATCH(RIGHT($B43,13)&amp;"|"&amp;$C43&amp;"|"&amp;$D43&amp;"|"&amp;AC$14&amp;"|"&amp;"CY2024Q3",Spectrum!$R:$R,0)),0),""))</f>
        <v>27</v>
      </c>
      <c r="AD43" s="38" t="str">
        <f>IF(LEFT($B43,4)="_Mil","",_xlfn.IFNA(ROUND(INDEX(Spectrum!$N:$N,MATCH(RIGHT($B43,13)&amp;"|"&amp;$C43&amp;"|"&amp;$D43&amp;"|"&amp;AD$14&amp;"|"&amp;"CY2024Q3",Spectrum!$R:$R,0)),0),""))</f>
        <v/>
      </c>
      <c r="AE43" s="33" t="str">
        <f t="shared" si="5"/>
        <v/>
      </c>
      <c r="AF43" s="218" t="str">
        <f>IF(LEFT($B43,4)="_Mil","",_xlfn.IFNA(ROUND(INDEX(Spectrum!$N:$N,MATCH(RIGHT($B43,13)&amp;"|"&amp;$C43&amp;"|"&amp;$D43&amp;"|"&amp;AF$14&amp;"|"&amp;"CY2024Q3",Spectrum!$R:$R,0)),0),""))</f>
        <v/>
      </c>
      <c r="AG43" s="33" t="str">
        <f t="shared" si="6"/>
        <v/>
      </c>
      <c r="AH43" s="110" t="str">
        <f>IF(LEFT($B43,4)="_Mil","",_xlfn.IFNA(INDEX(Spectrum!$N:$N,MATCH(RIGHT($B43,13)&amp;"|"&amp;$C43&amp;"|"&amp;$D43&amp;"|"&amp;AH$14&amp;"|"&amp;"CY2024Q3",Spectrum!$R:$R,0)),""))</f>
        <v/>
      </c>
      <c r="AI43" s="218">
        <f>IF(LEFT($B43,4)="_Mil","",_xlfn.IFNA(ROUND(INDEX(Spectrum!$N:$N,MATCH(RIGHT($B43,13)&amp;"|"&amp;$C43&amp;"|"&amp;$D43&amp;"|"&amp;AI$14&amp;"|"&amp;"CY2025Q3",Spectrum!$R:$R,0)),0),""))</f>
        <v>69</v>
      </c>
      <c r="AJ43" s="38">
        <f>IF(LEFT($B43,4)="_Mil","",_xlfn.IFNA(ROUND(INDEX(Spectrum!$N:$N,MATCH(RIGHT($B43,13)&amp;"|"&amp;$C43&amp;"|"&amp;$D43&amp;"|"&amp;AJ$14&amp;"|"&amp;"CY2025Q3",Spectrum!$R:$R,0)),0),""))</f>
        <v>61</v>
      </c>
      <c r="AK43" s="218" t="e">
        <f>#REF!</f>
        <v>#REF!</v>
      </c>
      <c r="AL43" s="33" t="str">
        <f t="shared" si="7"/>
        <v/>
      </c>
      <c r="AM43" s="38" t="str">
        <f>IF(OR(LEFT($B43,4)="_Mil",$C43="&lt;01"),"",ROUND(SUM($AK43)*SUM($AL43),0))</f>
        <v/>
      </c>
      <c r="AN43" s="38">
        <f>IF($C43="&lt;01",ROUND(INDEX(EID!$P:$P,MATCH($B43,EID!$B:$B,0))/2,0),"")</f>
        <v>26</v>
      </c>
      <c r="AO43" s="38">
        <f>IF($C43="&lt;01",SUM($AN43),ROUND(SUM($AM43)*SUM($O43)/IF(SUM($Z43)=0,1,$Z43),0))</f>
        <v>26</v>
      </c>
      <c r="AP43" s="218">
        <f>IF(OR($F43="",$C43="&lt;01"),$AO43,ROUND($F43,0))</f>
        <v>26</v>
      </c>
      <c r="AQ43" s="218">
        <f>IF(LEFT($B43,4)="_Mil","",IF(SUM($AP43)=0,SUM($Z43),IF(OR(SUM($Z43)=0,SUM($O43)=0),MAX($AP43,$Z43),ROUND($AP43*$Z43/$O43,0))))</f>
        <v>26</v>
      </c>
      <c r="AR43" s="33" t="e">
        <f>IF(OR(LEFT($B43,4)="_Mil",SUM($AK43)=0),"",SUM($AQ43)/$AK43)</f>
        <v>#REF!</v>
      </c>
      <c r="AS43" s="33" t="str">
        <f t="shared" ref="AS43:AS48" si="15">IF($C43="&lt;01","",98%)</f>
        <v/>
      </c>
      <c r="AT43" s="33" t="str">
        <f t="shared" ref="AT43:AT100" si="16">IF($C43="&lt;01","",98%)</f>
        <v/>
      </c>
      <c r="AU43" s="38" t="str">
        <f>IF($C43="&lt;01","",SUM($AP43)-SUM($O43))</f>
        <v/>
      </c>
      <c r="AV43" s="38">
        <f>IF($C43="&lt;01",ROUND(INDEX(EID!$N:$N,MATCH($B43,EID!$B:$B,0))/2,0),IF(SUM($AT43)=0,"",ROUND((SUM($AP43)-(SUM($O43)*SUM($AS43)))/$AT43,0)))</f>
        <v>26</v>
      </c>
      <c r="AW43" s="33" t="str">
        <f t="shared" si="9"/>
        <v/>
      </c>
      <c r="AX43" s="218">
        <f>IF($C43="&lt;01",SUM($AV43),ROUND(SUM($AV43)*SUM($AW43),0))</f>
        <v>26</v>
      </c>
      <c r="AY43" s="79" t="str">
        <f t="shared" si="10"/>
        <v/>
      </c>
      <c r="AZ43" s="85">
        <f>IF($C43="&lt;01",ROUND(INDEX(EID!$R:$R,MATCH($B43,EID!$B:$B,0))/2,0),ROUND(SUM($O43)+(SUM($AV43)*$AY43),0))</f>
        <v>18</v>
      </c>
      <c r="BA43" s="40" t="str">
        <f t="shared" si="14"/>
        <v/>
      </c>
      <c r="BB43" s="99">
        <f>IF($C43="&lt;01",ROUND(INDEX(EID!$T:$T,MATCH($B43,EID!$B:$B,0))/2,0),ROUND($AP43*$BA43,0))</f>
        <v>17</v>
      </c>
      <c r="BC43" s="85">
        <f>IF(LEFT($B43,4)="_Mil","",IF(SUM($BB43)=0,SUM($AD43),IF(OR(SUM($AP43)=0,SUM($AQ43)=0),MAX($BB43,$AD43),ROUND($BB43*$AQ43/$AP43,0))))</f>
        <v>17</v>
      </c>
      <c r="BD43" s="33" t="str">
        <f t="shared" si="12"/>
        <v/>
      </c>
      <c r="BE43" s="218">
        <f>IF($C43="&lt;01",ROUND(INDEX(EID!$V:$V,MATCH($B43,EID!$B:$B,0))/2,0),ROUND($BD43*$BB43,0))</f>
        <v>16</v>
      </c>
      <c r="BF43" s="218">
        <f>IF(LEFT($B43,4)="_Mil","",IF(SUM($BE43)=0,SUM($AF43),IF(OR(SUM($AP43)=0,SUM($AQ43)=0),MAX($BE43,$AF43),ROUND($BE43*$AQ43/$AP43,0))))</f>
        <v>16</v>
      </c>
      <c r="BG43" s="79" t="str">
        <f t="shared" si="13"/>
        <v/>
      </c>
      <c r="BH43" s="99">
        <f>IF($C43="&lt;01",ROUND(INDEX(EID!$L:$L,MATCH($B43,EID!$B:$B,0)),0)/2,IF(SUM($BG43)=0,"",ROUND($AX43/$BG43,0)))</f>
        <v>27.5</v>
      </c>
    </row>
    <row r="44" spans="1:60" x14ac:dyDescent="0.2">
      <c r="A44" t="str">
        <f>INDEX(Prioritization!$D:$D,MATCH($B44,Prioritization!$A:$A,0))</f>
        <v>1 - Scale-up: Saturation</v>
      </c>
      <c r="B44" t="s">
        <v>314</v>
      </c>
      <c r="C44" t="s">
        <v>426</v>
      </c>
      <c r="D44" t="s">
        <v>48</v>
      </c>
      <c r="E44" t="str">
        <f t="shared" si="0"/>
        <v>Blantyre District [mxqa3CDFmIT]|&lt;01|Male</v>
      </c>
      <c r="F44" s="229">
        <v>56</v>
      </c>
      <c r="G44" s="38">
        <v>76</v>
      </c>
      <c r="H44" s="38">
        <v>50</v>
      </c>
      <c r="I44" s="38">
        <v>30</v>
      </c>
      <c r="J44" s="38">
        <v>141</v>
      </c>
      <c r="K44" s="38">
        <v>125</v>
      </c>
      <c r="L44" s="38"/>
      <c r="M44" s="38">
        <v>47</v>
      </c>
      <c r="N44" s="38">
        <v>46</v>
      </c>
      <c r="O44" s="229">
        <v>52</v>
      </c>
      <c r="P44" s="38">
        <v>31</v>
      </c>
      <c r="Q44" s="38">
        <v>30</v>
      </c>
      <c r="R44" s="38">
        <f t="shared" si="2"/>
        <v>22</v>
      </c>
      <c r="S44" s="38">
        <f>IF(LEFT($B44,4)="_Mil","",_xlfn.IFNA(ROUND(INDEX(Spectrum!$N:$N,MATCH(RIGHT($B44,13)&amp;"|"&amp;$C44&amp;"|"&amp;$D44&amp;"|"&amp;S$14&amp;"|"&amp;"CY2023Q4",Spectrum!$R:$R,0)),0),""))</f>
        <v>51</v>
      </c>
      <c r="T44" s="218">
        <f>IF(LEFT($B44,4)="_Mil","",_xlfn.IFNA(ROUND(INDEX(Spectrum!$N:$N,MATCH(RIGHT($B44,13)&amp;"|"&amp;$C44&amp;"|"&amp;$D44&amp;"|"&amp;T$14&amp;"|"&amp;"CY2024Q3",Spectrum!$R:$R,0)),0),""))</f>
        <v>21409</v>
      </c>
      <c r="U44" s="218">
        <f>IF(LEFT($B44,4)="_Mil","",_xlfn.IFNA(ROUND(INDEX(Spectrum!$N:$N,MATCH(RIGHT($B44,13)&amp;"|"&amp;$C44&amp;"|"&amp;$D44&amp;"|"&amp;U$14&amp;"|"&amp;"CY2024Q3",Spectrum!$R:$R,0)),0),""))</f>
        <v>67</v>
      </c>
      <c r="V44" s="38">
        <f>IF(LEFT($B44,4)="_Mil","",_xlfn.IFNA(ROUND(INDEX(Spectrum!$N:$N,MATCH(RIGHT($B44,13)&amp;"|"&amp;$C44&amp;"|"&amp;$D44&amp;"|"&amp;V$14&amp;"|"&amp;"CY2024Q3",Spectrum!$R:$R,0)),0),""))</f>
        <v>69</v>
      </c>
      <c r="W44" s="220">
        <f>IF(LEFT($B44,4)="_Mil","",_xlfn.IFNA(INDEX(Spectrum!$N:$N,MATCH(RIGHT($B44,13)&amp;"|"&amp;$C44&amp;"|"&amp;$D44&amp;"|"&amp;W$14&amp;"|"&amp;"CY2024Q3",Spectrum!$R:$R,0)),""))</f>
        <v>3.1291969999999998E-3</v>
      </c>
      <c r="X44" s="218">
        <f>IF(LEFT($B44,4)="_Mil","",_xlfn.IFNA(ROUND(INDEX(Spectrum!$N:$N,MATCH(RIGHT($B44,13)&amp;"|"&amp;$C44&amp;"|"&amp;$D44&amp;"|"&amp;X$14&amp;"|"&amp;"CY2024Q3",Spectrum!$R:$R,0)),0),""))</f>
        <v>45</v>
      </c>
      <c r="Y44" s="33">
        <f t="shared" si="3"/>
        <v>0.67</v>
      </c>
      <c r="Z44" s="218">
        <f>IF(LEFT($B44,4)="_Mil","",_xlfn.IFNA(ROUND(INDEX(Spectrum!$N:$N,MATCH(RIGHT($B44,13)&amp;"|"&amp;$C44&amp;"|"&amp;$D44&amp;"|"&amp;Z$14&amp;"|"&amp;"CY2024Q3",Spectrum!$R:$R,0)),0),""))</f>
        <v>44</v>
      </c>
      <c r="AA44" s="33">
        <f>IF(LEFT($B44,4)="_Mil","",IFERROR(1/(1/INDEX(Spectrum!$N:$N,MATCH(RIGHT($B44,13)&amp;"|"&amp;$C44&amp;"|"&amp;$D44&amp;"|"&amp;AA$14&amp;"|"&amp;"CY2024Q3",Spectrum!$R:$R,0))),IF(SUM($U44)=0,"",SUM($Z44)/$U44)))</f>
        <v>0.63212508899999997</v>
      </c>
      <c r="AB44" s="33">
        <f t="shared" si="4"/>
        <v>0.97777777777777775</v>
      </c>
      <c r="AC44" s="38">
        <f>IF(LEFT($B44,4)="_Mil","",_xlfn.IFNA(ROUND(INDEX(Spectrum!$N:$N,MATCH(RIGHT($B44,13)&amp;"|"&amp;$C44&amp;"|"&amp;$D44&amp;"|"&amp;AC$14&amp;"|"&amp;"CY2024Q3",Spectrum!$R:$R,0)),0),""))</f>
        <v>25</v>
      </c>
      <c r="AD44" s="38" t="str">
        <f>IF(LEFT($B44,4)="_Mil","",_xlfn.IFNA(ROUND(INDEX(Spectrum!$N:$N,MATCH(RIGHT($B44,13)&amp;"|"&amp;$C44&amp;"|"&amp;$D44&amp;"|"&amp;AD$14&amp;"|"&amp;"CY2024Q3",Spectrum!$R:$R,0)),0),""))</f>
        <v/>
      </c>
      <c r="AE44" s="33">
        <f t="shared" si="5"/>
        <v>0</v>
      </c>
      <c r="AF44" s="218" t="str">
        <f>IF(LEFT($B44,4)="_Mil","",_xlfn.IFNA(ROUND(INDEX(Spectrum!$N:$N,MATCH(RIGHT($B44,13)&amp;"|"&amp;$C44&amp;"|"&amp;$D44&amp;"|"&amp;AF$14&amp;"|"&amp;"CY2024Q3",Spectrum!$R:$R,0)),0),""))</f>
        <v/>
      </c>
      <c r="AG44" s="33" t="str">
        <f t="shared" si="6"/>
        <v/>
      </c>
      <c r="AH44" s="110" t="str">
        <f>IF(LEFT($B44,4)="_Mil","",_xlfn.IFNA(INDEX(Spectrum!$N:$N,MATCH(RIGHT($B44,13)&amp;"|"&amp;$C44&amp;"|"&amp;$D44&amp;"|"&amp;AH$14&amp;"|"&amp;"CY2024Q3",Spectrum!$R:$R,0)),""))</f>
        <v/>
      </c>
      <c r="AI44" s="218">
        <f>IF(LEFT($B44,4)="_Mil","",_xlfn.IFNA(ROUND(INDEX(Spectrum!$N:$N,MATCH(RIGHT($B44,13)&amp;"|"&amp;$C44&amp;"|"&amp;$D44&amp;"|"&amp;AI$14&amp;"|"&amp;"CY2025Q3",Spectrum!$R:$R,0)),0),""))</f>
        <v>69</v>
      </c>
      <c r="AJ44" s="38">
        <f>IF(LEFT($B44,4)="_Mil","",_xlfn.IFNA(ROUND(INDEX(Spectrum!$N:$N,MATCH(RIGHT($B44,13)&amp;"|"&amp;$C44&amp;"|"&amp;$D44&amp;"|"&amp;AJ$14&amp;"|"&amp;"CY2025Q3",Spectrum!$R:$R,0)),0),""))</f>
        <v>61</v>
      </c>
      <c r="AK44" s="218" t="e">
        <f>#REF!</f>
        <v>#REF!</v>
      </c>
      <c r="AL44" s="33" t="str">
        <f t="shared" si="7"/>
        <v/>
      </c>
      <c r="AM44" s="38" t="str">
        <f>IF(OR(LEFT($B44,4)="_Mil",$C44="&lt;01"),"",ROUND(SUM($AK44)*SUM($AL44),0))</f>
        <v/>
      </c>
      <c r="AN44" s="38">
        <f>IF($C44="&lt;01",ROUND(INDEX(EID!$P:$P,MATCH($B44,EID!$B:$B,0))/2,0),"")</f>
        <v>26</v>
      </c>
      <c r="AO44" s="38">
        <f>IF($C44="&lt;01",SUM($AN44),ROUND(SUM($AM44)*SUM($O44)/IF(SUM($Z44)=0,1,$Z44),0))</f>
        <v>26</v>
      </c>
      <c r="AP44" s="218">
        <f>IF(OR($F44="",$C44="&lt;01"),$AO44,ROUND($F44,0))</f>
        <v>26</v>
      </c>
      <c r="AQ44" s="218">
        <f>IF(LEFT($B44,4)="_Mil","",IF(SUM($AP44)=0,SUM($Z44),IF(OR(SUM($Z44)=0,SUM($O44)=0),MAX($AP44,$Z44),ROUND($AP44*$Z44/$O44,0))))</f>
        <v>22</v>
      </c>
      <c r="AR44" s="33" t="e">
        <f>IF(OR(LEFT($B44,4)="_Mil",SUM($AK44)=0),"",SUM($AQ44)/$AK44)</f>
        <v>#REF!</v>
      </c>
      <c r="AS44" s="33" t="str">
        <f t="shared" si="15"/>
        <v/>
      </c>
      <c r="AT44" s="33" t="str">
        <f t="shared" si="16"/>
        <v/>
      </c>
      <c r="AU44" s="38" t="str">
        <f>IF($C44="&lt;01","",SUM($AP44)-SUM($O44))</f>
        <v/>
      </c>
      <c r="AV44" s="38">
        <f>IF($C44="&lt;01",ROUND(INDEX(EID!$N:$N,MATCH($B44,EID!$B:$B,0))/2,0),IF(SUM($AT44)=0,"",ROUND((SUM($AP44)-(SUM($O44)*SUM($AS44)))/$AT44,0)))</f>
        <v>26</v>
      </c>
      <c r="AW44" s="33" t="str">
        <f t="shared" si="9"/>
        <v/>
      </c>
      <c r="AX44" s="218">
        <f>IF($C44="&lt;01",SUM($AV44),ROUND(SUM($AV44)*SUM($AW44),0))</f>
        <v>26</v>
      </c>
      <c r="AY44" s="79" t="str">
        <f t="shared" si="10"/>
        <v/>
      </c>
      <c r="AZ44" s="85">
        <f>IF($C44="&lt;01",ROUND(INDEX(EID!$R:$R,MATCH($B44,EID!$B:$B,0))/2,0),ROUND(SUM($O44)+(SUM($AV44)*$AY44),0))</f>
        <v>18</v>
      </c>
      <c r="BA44" s="40" t="str">
        <f t="shared" si="14"/>
        <v/>
      </c>
      <c r="BB44" s="99">
        <f>IF($C44="&lt;01",ROUND(INDEX(EID!$T:$T,MATCH($B44,EID!$B:$B,0))/2,0),ROUND($AP44*$BA44,0))</f>
        <v>17</v>
      </c>
      <c r="BC44" s="85">
        <f>IF(LEFT($B44,4)="_Mil","",IF(SUM($BB44)=0,SUM($AD44),IF(OR(SUM($AP44)=0,SUM($AQ44)=0),MAX($BB44,$AD44),ROUND($BB44*$AQ44/$AP44,0))))</f>
        <v>14</v>
      </c>
      <c r="BD44" s="33" t="str">
        <f t="shared" si="12"/>
        <v/>
      </c>
      <c r="BE44" s="218">
        <f>IF($C44="&lt;01",ROUND(INDEX(EID!$V:$V,MATCH($B44,EID!$B:$B,0))/2,0),ROUND($BD44*$BB44,0))</f>
        <v>16</v>
      </c>
      <c r="BF44" s="218">
        <f>IF(LEFT($B44,4)="_Mil","",IF(SUM($BE44)=0,SUM($AF44),IF(OR(SUM($AP44)=0,SUM($AQ44)=0),MAX($BE44,$AF44),ROUND($BE44*$AQ44/$AP44,0))))</f>
        <v>14</v>
      </c>
      <c r="BG44" s="79" t="str">
        <f t="shared" si="13"/>
        <v/>
      </c>
      <c r="BH44" s="99">
        <f>IF($C44="&lt;01",ROUND(INDEX(EID!$L:$L,MATCH($B44,EID!$B:$B,0)),0)/2,IF(SUM($BG44)=0,"",ROUND($AX44/$BG44,0)))</f>
        <v>27.5</v>
      </c>
    </row>
    <row r="45" spans="1:60" x14ac:dyDescent="0.2">
      <c r="A45" t="str">
        <f>INDEX(Prioritization!$D:$D,MATCH($B45,Prioritization!$A:$A,0))</f>
        <v>1 - Scale-up: Saturation</v>
      </c>
      <c r="B45" t="s">
        <v>314</v>
      </c>
      <c r="C45" t="s">
        <v>473</v>
      </c>
      <c r="D45" t="s">
        <v>30</v>
      </c>
      <c r="E45" t="str">
        <f t="shared" si="0"/>
        <v>Blantyre District [mxqa3CDFmIT]|01-09|Female</v>
      </c>
      <c r="F45" s="229">
        <v>896</v>
      </c>
      <c r="G45" s="38">
        <v>200</v>
      </c>
      <c r="H45" s="38">
        <v>110</v>
      </c>
      <c r="I45" s="38">
        <v>818</v>
      </c>
      <c r="J45" s="38">
        <v>1109</v>
      </c>
      <c r="K45" s="38">
        <v>823</v>
      </c>
      <c r="L45" s="38">
        <v>74</v>
      </c>
      <c r="M45" s="38">
        <v>70</v>
      </c>
      <c r="N45" s="38">
        <v>967</v>
      </c>
      <c r="O45" s="229">
        <v>896</v>
      </c>
      <c r="P45" s="38">
        <v>838</v>
      </c>
      <c r="Q45" s="38">
        <v>796</v>
      </c>
      <c r="R45" s="38">
        <f t="shared" si="2"/>
        <v>78</v>
      </c>
      <c r="S45" s="38">
        <f>IF(LEFT($B45,4)="_Mil","",_xlfn.IFNA(ROUND(INDEX(Spectrum!$N:$N,MATCH(RIGHT($B45,13)&amp;"|"&amp;$C45&amp;"|"&amp;$D45&amp;"|"&amp;S$14&amp;"|"&amp;"CY2023Q4",Spectrum!$R:$R,0)),0),""))</f>
        <v>807</v>
      </c>
      <c r="T45" s="218">
        <f>IF(LEFT($B45,4)="_Mil","",_xlfn.IFNA(ROUND(INDEX(Spectrum!$N:$N,MATCH(RIGHT($B45,13)&amp;"|"&amp;$C45&amp;"|"&amp;$D45&amp;"|"&amp;T$14&amp;"|"&amp;"CY2024Q3",Spectrum!$R:$R,0)),0),""))</f>
        <v>170580</v>
      </c>
      <c r="U45" s="218">
        <f>IF(LEFT($B45,4)="_Mil","",_xlfn.IFNA(ROUND(INDEX(Spectrum!$N:$N,MATCH(RIGHT($B45,13)&amp;"|"&amp;$C45&amp;"|"&amp;$D45&amp;"|"&amp;U$14&amp;"|"&amp;"CY2024Q3",Spectrum!$R:$R,0)),0),""))</f>
        <v>1151</v>
      </c>
      <c r="V45" s="38">
        <f>IF(LEFT($B45,4)="_Mil","",_xlfn.IFNA(ROUND(INDEX(Spectrum!$N:$N,MATCH(RIGHT($B45,13)&amp;"|"&amp;$C45&amp;"|"&amp;$D45&amp;"|"&amp;V$14&amp;"|"&amp;"CY2024Q3",Spectrum!$R:$R,0)),0),""))</f>
        <v>1195</v>
      </c>
      <c r="W45" s="220">
        <f>IF(LEFT($B45,4)="_Mil","",_xlfn.IFNA(INDEX(Spectrum!$N:$N,MATCH(RIGHT($B45,13)&amp;"|"&amp;$C45&amp;"|"&amp;$D45&amp;"|"&amp;W$14&amp;"|"&amp;"CY2024Q3",Spectrum!$R:$R,0)),""))</f>
        <v>6.7471279999999998E-3</v>
      </c>
      <c r="X45" s="218">
        <f>IF(LEFT($B45,4)="_Mil","",_xlfn.IFNA(ROUND(INDEX(Spectrum!$N:$N,MATCH(RIGHT($B45,13)&amp;"|"&amp;$C45&amp;"|"&amp;$D45&amp;"|"&amp;X$14&amp;"|"&amp;"CY2024Q3",Spectrum!$R:$R,0)),0),""))</f>
        <v>822</v>
      </c>
      <c r="Y45" s="33">
        <f t="shared" si="3"/>
        <v>0.71</v>
      </c>
      <c r="Z45" s="218">
        <f>IF(LEFT($B45,4)="_Mil","",_xlfn.IFNA(ROUND(INDEX(Spectrum!$N:$N,MATCH(RIGHT($B45,13)&amp;"|"&amp;$C45&amp;"|"&amp;$D45&amp;"|"&amp;Z$14&amp;"|"&amp;"CY2024Q3",Spectrum!$R:$R,0)),0),""))</f>
        <v>797</v>
      </c>
      <c r="AA45" s="33">
        <f>IF(LEFT($B45,4)="_Mil","",IFERROR(1/(1/INDEX(Spectrum!$N:$N,MATCH(RIGHT($B45,13)&amp;"|"&amp;$C45&amp;"|"&amp;$D45&amp;"|"&amp;AA$14&amp;"|"&amp;"CY2024Q3",Spectrum!$R:$R,0))),IF(SUM($U45)=0,"",SUM($Z45)/$U45)))</f>
        <v>0.67658420699999999</v>
      </c>
      <c r="AB45" s="33">
        <f t="shared" si="4"/>
        <v>0.96958637469586373</v>
      </c>
      <c r="AC45" s="38">
        <f>IF(LEFT($B45,4)="_Mil","",_xlfn.IFNA(ROUND(INDEX(Spectrum!$N:$N,MATCH(RIGHT($B45,13)&amp;"|"&amp;$C45&amp;"|"&amp;$D45&amp;"|"&amp;AC$14&amp;"|"&amp;"CY2024Q3",Spectrum!$R:$R,0)),0),""))</f>
        <v>398</v>
      </c>
      <c r="AD45" s="38" t="str">
        <f>IF(LEFT($B45,4)="_Mil","",_xlfn.IFNA(ROUND(INDEX(Spectrum!$N:$N,MATCH(RIGHT($B45,13)&amp;"|"&amp;$C45&amp;"|"&amp;$D45&amp;"|"&amp;AD$14&amp;"|"&amp;"CY2024Q3",Spectrum!$R:$R,0)),0),""))</f>
        <v/>
      </c>
      <c r="AE45" s="33">
        <f t="shared" si="5"/>
        <v>0</v>
      </c>
      <c r="AF45" s="218" t="str">
        <f>IF(LEFT($B45,4)="_Mil","",_xlfn.IFNA(ROUND(INDEX(Spectrum!$N:$N,MATCH(RIGHT($B45,13)&amp;"|"&amp;$C45&amp;"|"&amp;$D45&amp;"|"&amp;AF$14&amp;"|"&amp;"CY2024Q3",Spectrum!$R:$R,0)),0),""))</f>
        <v/>
      </c>
      <c r="AG45" s="33" t="str">
        <f t="shared" si="6"/>
        <v/>
      </c>
      <c r="AH45" s="110" t="str">
        <f>IF(LEFT($B45,4)="_Mil","",_xlfn.IFNA(INDEX(Spectrum!$N:$N,MATCH(RIGHT($B45,13)&amp;"|"&amp;$C45&amp;"|"&amp;$D45&amp;"|"&amp;AH$14&amp;"|"&amp;"CY2024Q3",Spectrum!$R:$R,0)),""))</f>
        <v/>
      </c>
      <c r="AI45" s="218">
        <f>IF(LEFT($B45,4)="_Mil","",_xlfn.IFNA(ROUND(INDEX(Spectrum!$N:$N,MATCH(RIGHT($B45,13)&amp;"|"&amp;$C45&amp;"|"&amp;$D45&amp;"|"&amp;AI$14&amp;"|"&amp;"CY2025Q3",Spectrum!$R:$R,0)),0),""))</f>
        <v>17</v>
      </c>
      <c r="AJ45" s="38">
        <f>IF(LEFT($B45,4)="_Mil","",_xlfn.IFNA(ROUND(INDEX(Spectrum!$N:$N,MATCH(RIGHT($B45,13)&amp;"|"&amp;$C45&amp;"|"&amp;$D45&amp;"|"&amp;AJ$14&amp;"|"&amp;"CY2025Q3",Spectrum!$R:$R,0)),0),""))</f>
        <v>1014</v>
      </c>
      <c r="AK45" s="218" t="e">
        <f>#REF!</f>
        <v>#REF!</v>
      </c>
      <c r="AL45" s="33">
        <f t="shared" si="7"/>
        <v>0.9</v>
      </c>
      <c r="AM45" s="38" t="e">
        <f>IF(OR(LEFT($B45,4)="_Mil",$C45="&lt;01"),"",ROUND(SUM($AK45)*SUM($AL45),0))</f>
        <v>#REF!</v>
      </c>
      <c r="AN45" s="38" t="str">
        <f>IF($C45="&lt;01",ROUND(INDEX(EID!$P:$P,MATCH($B45,EID!$B:$B,0))/2,0),"")</f>
        <v/>
      </c>
      <c r="AO45" s="38" t="e">
        <f>IF($C45="&lt;01",SUM($AN45),ROUND(SUM($AM45)*SUM($O45)/IF(SUM($Z45)=0,1,$Z45),0))</f>
        <v>#REF!</v>
      </c>
      <c r="AP45" s="218">
        <f>IF(OR($F45="",$C45="&lt;01"),$AO45,ROUND($F45,0))</f>
        <v>896</v>
      </c>
      <c r="AQ45" s="218">
        <f>IF(LEFT($B45,4)="_Mil","",IF(SUM($AP45)=0,SUM($Z45),IF(OR(SUM($Z45)=0,SUM($O45)=0),MAX($AP45,$Z45),ROUND($AP45*$Z45/$O45,0))))</f>
        <v>797</v>
      </c>
      <c r="AR45" s="33" t="e">
        <f>IF(OR(LEFT($B45,4)="_Mil",SUM($AK45)=0),"",SUM($AQ45)/$AK45)</f>
        <v>#REF!</v>
      </c>
      <c r="AS45" s="33">
        <f t="shared" si="15"/>
        <v>0.98</v>
      </c>
      <c r="AT45" s="33">
        <f t="shared" si="16"/>
        <v>0.98</v>
      </c>
      <c r="AU45" s="38">
        <f>IF($C45="&lt;01","",SUM($AP45)-SUM($O45))</f>
        <v>0</v>
      </c>
      <c r="AV45" s="38">
        <f>IF($C45="&lt;01",ROUND(INDEX(EID!$N:$N,MATCH($B45,EID!$B:$B,0))/2,0),IF(SUM($AT45)=0,"",ROUND((SUM($AP45)-(SUM($O45)*SUM($AS45)))/$AT45,0)))</f>
        <v>18</v>
      </c>
      <c r="AW45" s="33">
        <f t="shared" si="9"/>
        <v>1</v>
      </c>
      <c r="AX45" s="218">
        <f>IF($C45="&lt;01",SUM($AV45),ROUND(SUM($AV45)*SUM($AW45),0))</f>
        <v>18</v>
      </c>
      <c r="AY45" s="79">
        <f t="shared" si="10"/>
        <v>0.7</v>
      </c>
      <c r="AZ45" s="85">
        <f>IF($C45="&lt;01",ROUND(INDEX(EID!$R:$R,MATCH($B45,EID!$B:$B,0))/2,0),ROUND(SUM($O45)+(SUM($AV45)*$AY45),0))</f>
        <v>909</v>
      </c>
      <c r="BA45" s="40">
        <f t="shared" si="14"/>
        <v>0.9</v>
      </c>
      <c r="BB45" s="99">
        <f>IF($C45="&lt;01",ROUND(INDEX(EID!$T:$T,MATCH($B45,EID!$B:$B,0))/2,0),ROUND($AP45*$BA45,0))</f>
        <v>806</v>
      </c>
      <c r="BC45" s="85">
        <f>IF(LEFT($B45,4)="_Mil","",IF(SUM($BB45)=0,SUM($AD45),IF(OR(SUM($AP45)=0,SUM($AQ45)=0),MAX($BB45,$AD45),ROUND($BB45*$AQ45/$AP45,0))))</f>
        <v>717</v>
      </c>
      <c r="BD45" s="33">
        <f t="shared" si="12"/>
        <v>0.95</v>
      </c>
      <c r="BE45" s="218">
        <f>IF($C45="&lt;01",ROUND(INDEX(EID!$V:$V,MATCH($B45,EID!$B:$B,0))/2,0),ROUND($BD45*$BB45,0))</f>
        <v>766</v>
      </c>
      <c r="BF45" s="218">
        <f>IF(LEFT($B45,4)="_Mil","",IF(SUM($BE45)=0,SUM($AF45),IF(OR(SUM($AP45)=0,SUM($AQ45)=0),MAX($BE45,$AF45),ROUND($BE45*$AQ45/$AP45,0))))</f>
        <v>681</v>
      </c>
      <c r="BG45" s="79">
        <f t="shared" si="13"/>
        <v>0.95</v>
      </c>
      <c r="BH45" s="99">
        <f>IF($C45="&lt;01",ROUND(INDEX(EID!$L:$L,MATCH($B45,EID!$B:$B,0)),0)/2,IF(SUM($BG45)=0,"",ROUND($AX45/$BG45,0)))</f>
        <v>19</v>
      </c>
    </row>
    <row r="46" spans="1:60" x14ac:dyDescent="0.2">
      <c r="A46" t="str">
        <f>INDEX(Prioritization!$D:$D,MATCH($B46,Prioritization!$A:$A,0))</f>
        <v>1 - Scale-up: Saturation</v>
      </c>
      <c r="B46" t="s">
        <v>314</v>
      </c>
      <c r="C46" t="s">
        <v>473</v>
      </c>
      <c r="D46" t="s">
        <v>48</v>
      </c>
      <c r="E46" t="str">
        <f t="shared" si="0"/>
        <v>Blantyre District [mxqa3CDFmIT]|01-09|Male</v>
      </c>
      <c r="F46" s="229">
        <v>905</v>
      </c>
      <c r="G46" s="38">
        <v>201</v>
      </c>
      <c r="H46" s="38">
        <v>99</v>
      </c>
      <c r="I46" s="38">
        <v>758</v>
      </c>
      <c r="J46" s="38">
        <v>862</v>
      </c>
      <c r="K46" s="38">
        <v>607</v>
      </c>
      <c r="L46" s="38">
        <v>75</v>
      </c>
      <c r="M46" s="38">
        <v>71</v>
      </c>
      <c r="N46" s="38">
        <v>980</v>
      </c>
      <c r="O46" s="229">
        <v>905</v>
      </c>
      <c r="P46" s="38">
        <v>850</v>
      </c>
      <c r="Q46" s="38">
        <v>807</v>
      </c>
      <c r="R46" s="38">
        <f t="shared" si="2"/>
        <v>147</v>
      </c>
      <c r="S46" s="38">
        <f>IF(LEFT($B46,4)="_Mil","",_xlfn.IFNA(ROUND(INDEX(Spectrum!$N:$N,MATCH(RIGHT($B46,13)&amp;"|"&amp;$C46&amp;"|"&amp;$D46&amp;"|"&amp;S$14&amp;"|"&amp;"CY2023Q4",Spectrum!$R:$R,0)),0),""))</f>
        <v>843</v>
      </c>
      <c r="T46" s="218">
        <f>IF(LEFT($B46,4)="_Mil","",_xlfn.IFNA(ROUND(INDEX(Spectrum!$N:$N,MATCH(RIGHT($B46,13)&amp;"|"&amp;$C46&amp;"|"&amp;$D46&amp;"|"&amp;T$14&amp;"|"&amp;"CY2024Q3",Spectrum!$R:$R,0)),0),""))</f>
        <v>171424</v>
      </c>
      <c r="U46" s="218">
        <f>IF(LEFT($B46,4)="_Mil","",_xlfn.IFNA(ROUND(INDEX(Spectrum!$N:$N,MATCH(RIGHT($B46,13)&amp;"|"&amp;$C46&amp;"|"&amp;$D46&amp;"|"&amp;U$14&amp;"|"&amp;"CY2024Q3",Spectrum!$R:$R,0)),0),""))</f>
        <v>1162</v>
      </c>
      <c r="V46" s="38">
        <f>IF(LEFT($B46,4)="_Mil","",_xlfn.IFNA(ROUND(INDEX(Spectrum!$N:$N,MATCH(RIGHT($B46,13)&amp;"|"&amp;$C46&amp;"|"&amp;$D46&amp;"|"&amp;V$14&amp;"|"&amp;"CY2024Q3",Spectrum!$R:$R,0)),0),""))</f>
        <v>1207</v>
      </c>
      <c r="W46" s="220">
        <f>IF(LEFT($B46,4)="_Mil","",_xlfn.IFNA(INDEX(Spectrum!$N:$N,MATCH(RIGHT($B46,13)&amp;"|"&amp;$C46&amp;"|"&amp;$D46&amp;"|"&amp;W$14&amp;"|"&amp;"CY2024Q3",Spectrum!$R:$R,0)),""))</f>
        <v>6.7792340000000003E-3</v>
      </c>
      <c r="X46" s="218">
        <f>IF(LEFT($B46,4)="_Mil","",_xlfn.IFNA(ROUND(INDEX(Spectrum!$N:$N,MATCH(RIGHT($B46,13)&amp;"|"&amp;$C46&amp;"|"&amp;$D46&amp;"|"&amp;X$14&amp;"|"&amp;"CY2024Q3",Spectrum!$R:$R,0)),0),""))</f>
        <v>831</v>
      </c>
      <c r="Y46" s="33">
        <f t="shared" si="3"/>
        <v>0.72</v>
      </c>
      <c r="Z46" s="218">
        <f>IF(LEFT($B46,4)="_Mil","",_xlfn.IFNA(ROUND(INDEX(Spectrum!$N:$N,MATCH(RIGHT($B46,13)&amp;"|"&amp;$C46&amp;"|"&amp;$D46&amp;"|"&amp;Z$14&amp;"|"&amp;"CY2024Q3",Spectrum!$R:$R,0)),0),""))</f>
        <v>829</v>
      </c>
      <c r="AA46" s="33">
        <f>IF(LEFT($B46,4)="_Mil","",IFERROR(1/(1/INDEX(Spectrum!$N:$N,MATCH(RIGHT($B46,13)&amp;"|"&amp;$C46&amp;"|"&amp;$D46&amp;"|"&amp;AA$14&amp;"|"&amp;"CY2024Q3",Spectrum!$R:$R,0))),IF(SUM($U46)=0,"",SUM($Z46)/$U46)))</f>
        <v>0.67707003499999996</v>
      </c>
      <c r="AB46" s="33">
        <f t="shared" si="4"/>
        <v>0.99759326113116731</v>
      </c>
      <c r="AC46" s="38">
        <f>IF(LEFT($B46,4)="_Mil","",_xlfn.IFNA(ROUND(INDEX(Spectrum!$N:$N,MATCH(RIGHT($B46,13)&amp;"|"&amp;$C46&amp;"|"&amp;$D46&amp;"|"&amp;AC$14&amp;"|"&amp;"CY2024Q3",Spectrum!$R:$R,0)),0),""))</f>
        <v>378</v>
      </c>
      <c r="AD46" s="38" t="str">
        <f>IF(LEFT($B46,4)="_Mil","",_xlfn.IFNA(ROUND(INDEX(Spectrum!$N:$N,MATCH(RIGHT($B46,13)&amp;"|"&amp;$C46&amp;"|"&amp;$D46&amp;"|"&amp;AD$14&amp;"|"&amp;"CY2024Q3",Spectrum!$R:$R,0)),0),""))</f>
        <v/>
      </c>
      <c r="AE46" s="33">
        <f t="shared" si="5"/>
        <v>0</v>
      </c>
      <c r="AF46" s="218" t="str">
        <f>IF(LEFT($B46,4)="_Mil","",_xlfn.IFNA(ROUND(INDEX(Spectrum!$N:$N,MATCH(RIGHT($B46,13)&amp;"|"&amp;$C46&amp;"|"&amp;$D46&amp;"|"&amp;AF$14&amp;"|"&amp;"CY2024Q3",Spectrum!$R:$R,0)),0),""))</f>
        <v/>
      </c>
      <c r="AG46" s="33" t="str">
        <f t="shared" si="6"/>
        <v/>
      </c>
      <c r="AH46" s="110" t="str">
        <f>IF(LEFT($B46,4)="_Mil","",_xlfn.IFNA(INDEX(Spectrum!$N:$N,MATCH(RIGHT($B46,13)&amp;"|"&amp;$C46&amp;"|"&amp;$D46&amp;"|"&amp;AH$14&amp;"|"&amp;"CY2024Q3",Spectrum!$R:$R,0)),""))</f>
        <v/>
      </c>
      <c r="AI46" s="218">
        <f>IF(LEFT($B46,4)="_Mil","",_xlfn.IFNA(ROUND(INDEX(Spectrum!$N:$N,MATCH(RIGHT($B46,13)&amp;"|"&amp;$C46&amp;"|"&amp;$D46&amp;"|"&amp;AI$14&amp;"|"&amp;"CY2025Q3",Spectrum!$R:$R,0)),0),""))</f>
        <v>17</v>
      </c>
      <c r="AJ46" s="38">
        <f>IF(LEFT($B46,4)="_Mil","",_xlfn.IFNA(ROUND(INDEX(Spectrum!$N:$N,MATCH(RIGHT($B46,13)&amp;"|"&amp;$C46&amp;"|"&amp;$D46&amp;"|"&amp;AJ$14&amp;"|"&amp;"CY2025Q3",Spectrum!$R:$R,0)),0),""))</f>
        <v>1024</v>
      </c>
      <c r="AK46" s="218" t="e">
        <f>#REF!</f>
        <v>#REF!</v>
      </c>
      <c r="AL46" s="33">
        <f t="shared" si="7"/>
        <v>0.9</v>
      </c>
      <c r="AM46" s="38" t="e">
        <f>IF(OR(LEFT($B46,4)="_Mil",$C46="&lt;01"),"",ROUND(SUM($AK46)*SUM($AL46),0))</f>
        <v>#REF!</v>
      </c>
      <c r="AN46" s="38" t="str">
        <f>IF($C46="&lt;01",ROUND(INDEX(EID!$P:$P,MATCH($B46,EID!$B:$B,0))/2,0),"")</f>
        <v/>
      </c>
      <c r="AO46" s="38" t="e">
        <f>IF($C46="&lt;01",SUM($AN46),ROUND(SUM($AM46)*SUM($O46)/IF(SUM($Z46)=0,1,$Z46),0))</f>
        <v>#REF!</v>
      </c>
      <c r="AP46" s="218">
        <f>IF(OR($F46="",$C46="&lt;01"),$AO46,ROUND($F46,0))</f>
        <v>905</v>
      </c>
      <c r="AQ46" s="218">
        <f>IF(LEFT($B46,4)="_Mil","",IF(SUM($AP46)=0,SUM($Z46),IF(OR(SUM($Z46)=0,SUM($O46)=0),MAX($AP46,$Z46),ROUND($AP46*$Z46/$O46,0))))</f>
        <v>829</v>
      </c>
      <c r="AR46" s="33" t="e">
        <f>IF(OR(LEFT($B46,4)="_Mil",SUM($AK46)=0),"",SUM($AQ46)/$AK46)</f>
        <v>#REF!</v>
      </c>
      <c r="AS46" s="33">
        <f t="shared" si="15"/>
        <v>0.98</v>
      </c>
      <c r="AT46" s="33">
        <f t="shared" si="16"/>
        <v>0.98</v>
      </c>
      <c r="AU46" s="38">
        <f>IF($C46="&lt;01","",SUM($AP46)-SUM($O46))</f>
        <v>0</v>
      </c>
      <c r="AV46" s="38">
        <f>IF($C46="&lt;01",ROUND(INDEX(EID!$N:$N,MATCH($B46,EID!$B:$B,0))/2,0),IF(SUM($AT46)=0,"",ROUND((SUM($AP46)-(SUM($O46)*SUM($AS46)))/$AT46,0)))</f>
        <v>18</v>
      </c>
      <c r="AW46" s="33">
        <f t="shared" si="9"/>
        <v>1</v>
      </c>
      <c r="AX46" s="218">
        <f>IF($C46="&lt;01",SUM($AV46),ROUND(SUM($AV46)*SUM($AW46),0))</f>
        <v>18</v>
      </c>
      <c r="AY46" s="79">
        <f t="shared" si="10"/>
        <v>0.7</v>
      </c>
      <c r="AZ46" s="85">
        <f>IF($C46="&lt;01",ROUND(INDEX(EID!$R:$R,MATCH($B46,EID!$B:$B,0))/2,0),ROUND(SUM($O46)+(SUM($AV46)*$AY46),0))</f>
        <v>918</v>
      </c>
      <c r="BA46" s="40">
        <f t="shared" si="14"/>
        <v>0.9</v>
      </c>
      <c r="BB46" s="99">
        <f>IF($C46="&lt;01",ROUND(INDEX(EID!$T:$T,MATCH($B46,EID!$B:$B,0))/2,0),ROUND($AP46*$BA46,0))</f>
        <v>815</v>
      </c>
      <c r="BC46" s="85">
        <f>IF(LEFT($B46,4)="_Mil","",IF(SUM($BB46)=0,SUM($AD46),IF(OR(SUM($AP46)=0,SUM($AQ46)=0),MAX($BB46,$AD46),ROUND($BB46*$AQ46/$AP46,0))))</f>
        <v>747</v>
      </c>
      <c r="BD46" s="33">
        <f t="shared" si="12"/>
        <v>0.95</v>
      </c>
      <c r="BE46" s="218">
        <f>IF($C46="&lt;01",ROUND(INDEX(EID!$V:$V,MATCH($B46,EID!$B:$B,0))/2,0),ROUND($BD46*$BB46,0))</f>
        <v>774</v>
      </c>
      <c r="BF46" s="218">
        <f>IF(LEFT($B46,4)="_Mil","",IF(SUM($BE46)=0,SUM($AF46),IF(OR(SUM($AP46)=0,SUM($AQ46)=0),MAX($BE46,$AF46),ROUND($BE46*$AQ46/$AP46,0))))</f>
        <v>709</v>
      </c>
      <c r="BG46" s="79">
        <f t="shared" si="13"/>
        <v>0.95</v>
      </c>
      <c r="BH46" s="99">
        <f>IF($C46="&lt;01",ROUND(INDEX(EID!$L:$L,MATCH($B46,EID!$B:$B,0)),0)/2,IF(SUM($BG46)=0,"",ROUND($AX46/$BG46,0)))</f>
        <v>19</v>
      </c>
    </row>
    <row r="47" spans="1:60" x14ac:dyDescent="0.2">
      <c r="A47" t="str">
        <f>INDEX(Prioritization!$D:$D,MATCH($B47,Prioritization!$A:$A,0))</f>
        <v>1 - Scale-up: Saturation</v>
      </c>
      <c r="B47" t="s">
        <v>314</v>
      </c>
      <c r="C47" t="s">
        <v>474</v>
      </c>
      <c r="D47" t="s">
        <v>30</v>
      </c>
      <c r="E47" t="str">
        <f t="shared" si="0"/>
        <v>Blantyre District [mxqa3CDFmIT]|10-14|Female</v>
      </c>
      <c r="F47" s="229">
        <v>1043</v>
      </c>
      <c r="G47" s="38">
        <v>103</v>
      </c>
      <c r="H47" s="38">
        <v>57</v>
      </c>
      <c r="I47" s="38">
        <v>1043</v>
      </c>
      <c r="J47" s="38">
        <v>1107</v>
      </c>
      <c r="K47" s="38">
        <v>780</v>
      </c>
      <c r="L47" s="38">
        <v>152</v>
      </c>
      <c r="M47" s="38">
        <v>144</v>
      </c>
      <c r="N47" s="38">
        <v>1085</v>
      </c>
      <c r="O47" s="229">
        <v>1043</v>
      </c>
      <c r="P47" s="38">
        <v>910</v>
      </c>
      <c r="Q47" s="38">
        <v>864</v>
      </c>
      <c r="R47" s="38">
        <f t="shared" si="2"/>
        <v>0</v>
      </c>
      <c r="S47" s="38">
        <f>IF(LEFT($B47,4)="_Mil","",_xlfn.IFNA(ROUND(INDEX(Spectrum!$N:$N,MATCH(RIGHT($B47,13)&amp;"|"&amp;$C47&amp;"|"&amp;$D47&amp;"|"&amp;S$14&amp;"|"&amp;"CY2023Q4",Spectrum!$R:$R,0)),0),""))</f>
        <v>948</v>
      </c>
      <c r="T47" s="218">
        <f>IF(LEFT($B47,4)="_Mil","",_xlfn.IFNA(ROUND(INDEX(Spectrum!$N:$N,MATCH(RIGHT($B47,13)&amp;"|"&amp;$C47&amp;"|"&amp;$D47&amp;"|"&amp;T$14&amp;"|"&amp;"CY2024Q3",Spectrum!$R:$R,0)),0),""))</f>
        <v>86772</v>
      </c>
      <c r="U47" s="218">
        <f>IF(LEFT($B47,4)="_Mil","",_xlfn.IFNA(ROUND(INDEX(Spectrum!$N:$N,MATCH(RIGHT($B47,13)&amp;"|"&amp;$C47&amp;"|"&amp;$D47&amp;"|"&amp;U$14&amp;"|"&amp;"CY2024Q3",Spectrum!$R:$R,0)),0),""))</f>
        <v>1295</v>
      </c>
      <c r="V47" s="38">
        <f>IF(LEFT($B47,4)="_Mil","",_xlfn.IFNA(ROUND(INDEX(Spectrum!$N:$N,MATCH(RIGHT($B47,13)&amp;"|"&amp;$C47&amp;"|"&amp;$D47&amp;"|"&amp;V$14&amp;"|"&amp;"CY2024Q3",Spectrum!$R:$R,0)),0),""))</f>
        <v>1353</v>
      </c>
      <c r="W47" s="220">
        <f>IF(LEFT($B47,4)="_Mil","",_xlfn.IFNA(INDEX(Spectrum!$N:$N,MATCH(RIGHT($B47,13)&amp;"|"&amp;$C47&amp;"|"&amp;$D47&amp;"|"&amp;W$14&amp;"|"&amp;"CY2024Q3",Spectrum!$R:$R,0)),""))</f>
        <v>1.4928187000000001E-2</v>
      </c>
      <c r="X47" s="218">
        <f>IF(LEFT($B47,4)="_Mil","",_xlfn.IFNA(ROUND(INDEX(Spectrum!$N:$N,MATCH(RIGHT($B47,13)&amp;"|"&amp;$C47&amp;"|"&amp;$D47&amp;"|"&amp;X$14&amp;"|"&amp;"CY2024Q3",Spectrum!$R:$R,0)),0),""))</f>
        <v>979</v>
      </c>
      <c r="Y47" s="33">
        <f t="shared" si="3"/>
        <v>0.76</v>
      </c>
      <c r="Z47" s="218">
        <f>IF(LEFT($B47,4)="_Mil","",_xlfn.IFNA(ROUND(INDEX(Spectrum!$N:$N,MATCH(RIGHT($B47,13)&amp;"|"&amp;$C47&amp;"|"&amp;$D47&amp;"|"&amp;Z$14&amp;"|"&amp;"CY2024Q3",Spectrum!$R:$R,0)),0),""))</f>
        <v>948</v>
      </c>
      <c r="AA47" s="33">
        <f>IF(LEFT($B47,4)="_Mil","",IFERROR(1/(1/INDEX(Spectrum!$N:$N,MATCH(RIGHT($B47,13)&amp;"|"&amp;$C47&amp;"|"&amp;$D47&amp;"|"&amp;AA$14&amp;"|"&amp;"CY2024Q3",Spectrum!$R:$R,0))),IF(SUM($U47)=0,"",SUM($Z47)/$U47)))</f>
        <v>0.71552081099999998</v>
      </c>
      <c r="AB47" s="33">
        <f t="shared" si="4"/>
        <v>0.96833503575076607</v>
      </c>
      <c r="AC47" s="38">
        <f>IF(LEFT($B47,4)="_Mil","",_xlfn.IFNA(ROUND(INDEX(Spectrum!$N:$N,MATCH(RIGHT($B47,13)&amp;"|"&amp;$C47&amp;"|"&amp;$D47&amp;"|"&amp;AC$14&amp;"|"&amp;"CY2024Q3",Spectrum!$R:$R,0)),0),""))</f>
        <v>404</v>
      </c>
      <c r="AD47" s="38" t="str">
        <f>IF(LEFT($B47,4)="_Mil","",_xlfn.IFNA(ROUND(INDEX(Spectrum!$N:$N,MATCH(RIGHT($B47,13)&amp;"|"&amp;$C47&amp;"|"&amp;$D47&amp;"|"&amp;AD$14&amp;"|"&amp;"CY2024Q3",Spectrum!$R:$R,0)),0),""))</f>
        <v/>
      </c>
      <c r="AE47" s="33">
        <f t="shared" si="5"/>
        <v>0</v>
      </c>
      <c r="AF47" s="218" t="str">
        <f>IF(LEFT($B47,4)="_Mil","",_xlfn.IFNA(ROUND(INDEX(Spectrum!$N:$N,MATCH(RIGHT($B47,13)&amp;"|"&amp;$C47&amp;"|"&amp;$D47&amp;"|"&amp;AF$14&amp;"|"&amp;"CY2024Q3",Spectrum!$R:$R,0)),0),""))</f>
        <v/>
      </c>
      <c r="AG47" s="33" t="str">
        <f t="shared" si="6"/>
        <v/>
      </c>
      <c r="AH47" s="110" t="str">
        <f>IF(LEFT($B47,4)="_Mil","",_xlfn.IFNA(INDEX(Spectrum!$N:$N,MATCH(RIGHT($B47,13)&amp;"|"&amp;$C47&amp;"|"&amp;$D47&amp;"|"&amp;AH$14&amp;"|"&amp;"CY2024Q3",Spectrum!$R:$R,0)),""))</f>
        <v/>
      </c>
      <c r="AI47" s="218">
        <f>IF(LEFT($B47,4)="_Mil","",_xlfn.IFNA(ROUND(INDEX(Spectrum!$N:$N,MATCH(RIGHT($B47,13)&amp;"|"&amp;$C47&amp;"|"&amp;$D47&amp;"|"&amp;AI$14&amp;"|"&amp;"CY2025Q3",Spectrum!$R:$R,0)),0),""))</f>
        <v>0</v>
      </c>
      <c r="AJ47" s="38">
        <f>IF(LEFT($B47,4)="_Mil","",_xlfn.IFNA(ROUND(INDEX(Spectrum!$N:$N,MATCH(RIGHT($B47,13)&amp;"|"&amp;$C47&amp;"|"&amp;$D47&amp;"|"&amp;AJ$14&amp;"|"&amp;"CY2025Q3",Spectrum!$R:$R,0)),0),""))</f>
        <v>1173</v>
      </c>
      <c r="AK47" s="218" t="e">
        <f>#REF!</f>
        <v>#REF!</v>
      </c>
      <c r="AL47" s="33">
        <f t="shared" si="7"/>
        <v>0.9</v>
      </c>
      <c r="AM47" s="38" t="e">
        <f>IF(OR(LEFT($B47,4)="_Mil",$C47="&lt;01"),"",ROUND(SUM($AK47)*SUM($AL47),0))</f>
        <v>#REF!</v>
      </c>
      <c r="AN47" s="38" t="str">
        <f>IF($C47="&lt;01",ROUND(INDEX(EID!$P:$P,MATCH($B47,EID!$B:$B,0))/2,0),"")</f>
        <v/>
      </c>
      <c r="AO47" s="38" t="e">
        <f>IF($C47="&lt;01",SUM($AN47),ROUND(SUM($AM47)*SUM($O47)/IF(SUM($Z47)=0,1,$Z47),0))</f>
        <v>#REF!</v>
      </c>
      <c r="AP47" s="218">
        <f>IF(OR($F47="",$C47="&lt;01"),$AO47,ROUND($F47,0))</f>
        <v>1043</v>
      </c>
      <c r="AQ47" s="218">
        <f>IF(LEFT($B47,4)="_Mil","",IF(SUM($AP47)=0,SUM($Z47),IF(OR(SUM($Z47)=0,SUM($O47)=0),MAX($AP47,$Z47),ROUND($AP47*$Z47/$O47,0))))</f>
        <v>948</v>
      </c>
      <c r="AR47" s="33" t="e">
        <f>IF(OR(LEFT($B47,4)="_Mil",SUM($AK47)=0),"",SUM($AQ47)/$AK47)</f>
        <v>#REF!</v>
      </c>
      <c r="AS47" s="33">
        <f t="shared" si="15"/>
        <v>0.98</v>
      </c>
      <c r="AT47" s="33">
        <f t="shared" si="16"/>
        <v>0.98</v>
      </c>
      <c r="AU47" s="38">
        <f>IF($C47="&lt;01","",SUM($AP47)-SUM($O47))</f>
        <v>0</v>
      </c>
      <c r="AV47" s="38">
        <f>IF($C47="&lt;01",ROUND(INDEX(EID!$N:$N,MATCH($B47,EID!$B:$B,0))/2,0),IF(SUM($AT47)=0,"",ROUND((SUM($AP47)-(SUM($O47)*SUM($AS47)))/$AT47,0)))</f>
        <v>21</v>
      </c>
      <c r="AW47" s="33">
        <f t="shared" si="9"/>
        <v>1</v>
      </c>
      <c r="AX47" s="218">
        <f>IF($C47="&lt;01",SUM($AV47),ROUND(SUM($AV47)*SUM($AW47),0))</f>
        <v>21</v>
      </c>
      <c r="AY47" s="79">
        <f t="shared" si="10"/>
        <v>0.7</v>
      </c>
      <c r="AZ47" s="85">
        <f>IF($C47="&lt;01",ROUND(INDEX(EID!$R:$R,MATCH($B47,EID!$B:$B,0))/2,0),ROUND(SUM($O47)+(SUM($AV47)*$AY47),0))</f>
        <v>1058</v>
      </c>
      <c r="BA47" s="40">
        <f t="shared" si="14"/>
        <v>0.9</v>
      </c>
      <c r="BB47" s="99">
        <f>IF($C47="&lt;01",ROUND(INDEX(EID!$T:$T,MATCH($B47,EID!$B:$B,0))/2,0),ROUND($AP47*$BA47,0))</f>
        <v>939</v>
      </c>
      <c r="BC47" s="85">
        <f>IF(LEFT($B47,4)="_Mil","",IF(SUM($BB47)=0,SUM($AD47),IF(OR(SUM($AP47)=0,SUM($AQ47)=0),MAX($BB47,$AD47),ROUND($BB47*$AQ47/$AP47,0))))</f>
        <v>853</v>
      </c>
      <c r="BD47" s="33">
        <f t="shared" si="12"/>
        <v>0.95</v>
      </c>
      <c r="BE47" s="218">
        <f>IF($C47="&lt;01",ROUND(INDEX(EID!$V:$V,MATCH($B47,EID!$B:$B,0))/2,0),ROUND($BD47*$BB47,0))</f>
        <v>892</v>
      </c>
      <c r="BF47" s="218">
        <f>IF(LEFT($B47,4)="_Mil","",IF(SUM($BE47)=0,SUM($AF47),IF(OR(SUM($AP47)=0,SUM($AQ47)=0),MAX($BE47,$AF47),ROUND($BE47*$AQ47/$AP47,0))))</f>
        <v>811</v>
      </c>
      <c r="BG47" s="79">
        <f t="shared" si="13"/>
        <v>0.95</v>
      </c>
      <c r="BH47" s="99">
        <f>IF($C47="&lt;01",ROUND(INDEX(EID!$L:$L,MATCH($B47,EID!$B:$B,0)),0)/2,IF(SUM($BG47)=0,"",ROUND($AX47/$BG47,0)))</f>
        <v>22</v>
      </c>
    </row>
    <row r="48" spans="1:60" x14ac:dyDescent="0.2">
      <c r="A48" t="str">
        <f>INDEX(Prioritization!$D:$D,MATCH($B48,Prioritization!$A:$A,0))</f>
        <v>1 - Scale-up: Saturation</v>
      </c>
      <c r="B48" t="s">
        <v>314</v>
      </c>
      <c r="C48" t="s">
        <v>474</v>
      </c>
      <c r="D48" t="s">
        <v>48</v>
      </c>
      <c r="E48" t="str">
        <f t="shared" si="0"/>
        <v>Blantyre District [mxqa3CDFmIT]|10-14|Male</v>
      </c>
      <c r="F48" s="229">
        <v>1014</v>
      </c>
      <c r="G48" s="38">
        <v>93</v>
      </c>
      <c r="H48" s="38">
        <v>58</v>
      </c>
      <c r="I48" s="38">
        <v>1014</v>
      </c>
      <c r="J48" s="38">
        <v>932</v>
      </c>
      <c r="K48" s="38">
        <v>650</v>
      </c>
      <c r="L48" s="38">
        <v>156</v>
      </c>
      <c r="M48" s="38">
        <v>148</v>
      </c>
      <c r="N48" s="38">
        <v>1078</v>
      </c>
      <c r="O48" s="229">
        <v>1014</v>
      </c>
      <c r="P48" s="38">
        <v>902</v>
      </c>
      <c r="Q48" s="38">
        <v>856</v>
      </c>
      <c r="R48" s="38">
        <f t="shared" si="2"/>
        <v>0</v>
      </c>
      <c r="S48" s="38">
        <f>IF(LEFT($B48,4)="_Mil","",_xlfn.IFNA(ROUND(INDEX(Spectrum!$N:$N,MATCH(RIGHT($B48,13)&amp;"|"&amp;$C48&amp;"|"&amp;$D48&amp;"|"&amp;S$14&amp;"|"&amp;"CY2023Q4",Spectrum!$R:$R,0)),0),""))</f>
        <v>971</v>
      </c>
      <c r="T48" s="218">
        <f>IF(LEFT($B48,4)="_Mil","",_xlfn.IFNA(ROUND(INDEX(Spectrum!$N:$N,MATCH(RIGHT($B48,13)&amp;"|"&amp;$C48&amp;"|"&amp;$D48&amp;"|"&amp;T$14&amp;"|"&amp;"CY2024Q3",Spectrum!$R:$R,0)),0),""))</f>
        <v>85158</v>
      </c>
      <c r="U48" s="218">
        <f>IF(LEFT($B48,4)="_Mil","",_xlfn.IFNA(ROUND(INDEX(Spectrum!$N:$N,MATCH(RIGHT($B48,13)&amp;"|"&amp;$C48&amp;"|"&amp;$D48&amp;"|"&amp;U$14&amp;"|"&amp;"CY2024Q3",Spectrum!$R:$R,0)),0),""))</f>
        <v>1289</v>
      </c>
      <c r="V48" s="38">
        <f>IF(LEFT($B48,4)="_Mil","",_xlfn.IFNA(ROUND(INDEX(Spectrum!$N:$N,MATCH(RIGHT($B48,13)&amp;"|"&amp;$C48&amp;"|"&amp;$D48&amp;"|"&amp;V$14&amp;"|"&amp;"CY2024Q3",Spectrum!$R:$R,0)),0),""))</f>
        <v>1348</v>
      </c>
      <c r="W48" s="220">
        <f>IF(LEFT($B48,4)="_Mil","",_xlfn.IFNA(INDEX(Spectrum!$N:$N,MATCH(RIGHT($B48,13)&amp;"|"&amp;$C48&amp;"|"&amp;$D48&amp;"|"&amp;W$14&amp;"|"&amp;"CY2024Q3",Spectrum!$R:$R,0)),""))</f>
        <v>1.5139850999999999E-2</v>
      </c>
      <c r="X48" s="218">
        <f>IF(LEFT($B48,4)="_Mil","",_xlfn.IFNA(ROUND(INDEX(Spectrum!$N:$N,MATCH(RIGHT($B48,13)&amp;"|"&amp;$C48&amp;"|"&amp;$D48&amp;"|"&amp;X$14&amp;"|"&amp;"CY2024Q3",Spectrum!$R:$R,0)),0),""))</f>
        <v>974</v>
      </c>
      <c r="Y48" s="33">
        <f t="shared" si="3"/>
        <v>0.76</v>
      </c>
      <c r="Z48" s="218">
        <f>IF(LEFT($B48,4)="_Mil","",_xlfn.IFNA(ROUND(INDEX(Spectrum!$N:$N,MATCH(RIGHT($B48,13)&amp;"|"&amp;$C48&amp;"|"&amp;$D48&amp;"|"&amp;Z$14&amp;"|"&amp;"CY2024Q3",Spectrum!$R:$R,0)),0),""))</f>
        <v>971</v>
      </c>
      <c r="AA48" s="33">
        <f>IF(LEFT($B48,4)="_Mil","",IFERROR(1/(1/INDEX(Spectrum!$N:$N,MATCH(RIGHT($B48,13)&amp;"|"&amp;$C48&amp;"|"&amp;$D48&amp;"|"&amp;AA$14&amp;"|"&amp;"CY2024Q3",Spectrum!$R:$R,0))),IF(SUM($U48)=0,"",SUM($Z48)/$U48)))</f>
        <v>0.71527235099999997</v>
      </c>
      <c r="AB48" s="33">
        <f t="shared" si="4"/>
        <v>0.99691991786447642</v>
      </c>
      <c r="AC48" s="38">
        <f>IF(LEFT($B48,4)="_Mil","",_xlfn.IFNA(ROUND(INDEX(Spectrum!$N:$N,MATCH(RIGHT($B48,13)&amp;"|"&amp;$C48&amp;"|"&amp;$D48&amp;"|"&amp;AC$14&amp;"|"&amp;"CY2024Q3",Spectrum!$R:$R,0)),0),""))</f>
        <v>377</v>
      </c>
      <c r="AD48" s="38" t="str">
        <f>IF(LEFT($B48,4)="_Mil","",_xlfn.IFNA(ROUND(INDEX(Spectrum!$N:$N,MATCH(RIGHT($B48,13)&amp;"|"&amp;$C48&amp;"|"&amp;$D48&amp;"|"&amp;AD$14&amp;"|"&amp;"CY2024Q3",Spectrum!$R:$R,0)),0),""))</f>
        <v/>
      </c>
      <c r="AE48" s="33">
        <f t="shared" si="5"/>
        <v>0</v>
      </c>
      <c r="AF48" s="218" t="str">
        <f>IF(LEFT($B48,4)="_Mil","",_xlfn.IFNA(ROUND(INDEX(Spectrum!$N:$N,MATCH(RIGHT($B48,13)&amp;"|"&amp;$C48&amp;"|"&amp;$D48&amp;"|"&amp;AF$14&amp;"|"&amp;"CY2024Q3",Spectrum!$R:$R,0)),0),""))</f>
        <v/>
      </c>
      <c r="AG48" s="33" t="str">
        <f t="shared" si="6"/>
        <v/>
      </c>
      <c r="AH48" s="110" t="str">
        <f>IF(LEFT($B48,4)="_Mil","",_xlfn.IFNA(INDEX(Spectrum!$N:$N,MATCH(RIGHT($B48,13)&amp;"|"&amp;$C48&amp;"|"&amp;$D48&amp;"|"&amp;AH$14&amp;"|"&amp;"CY2024Q3",Spectrum!$R:$R,0)),""))</f>
        <v/>
      </c>
      <c r="AI48" s="218">
        <f>IF(LEFT($B48,4)="_Mil","",_xlfn.IFNA(ROUND(INDEX(Spectrum!$N:$N,MATCH(RIGHT($B48,13)&amp;"|"&amp;$C48&amp;"|"&amp;$D48&amp;"|"&amp;AI$14&amp;"|"&amp;"CY2025Q3",Spectrum!$R:$R,0)),0),""))</f>
        <v>0</v>
      </c>
      <c r="AJ48" s="38">
        <f>IF(LEFT($B48,4)="_Mil","",_xlfn.IFNA(ROUND(INDEX(Spectrum!$N:$N,MATCH(RIGHT($B48,13)&amp;"|"&amp;$C48&amp;"|"&amp;$D48&amp;"|"&amp;AJ$14&amp;"|"&amp;"CY2025Q3",Spectrum!$R:$R,0)),0),""))</f>
        <v>1172</v>
      </c>
      <c r="AK48" s="218" t="e">
        <f>#REF!</f>
        <v>#REF!</v>
      </c>
      <c r="AL48" s="33">
        <f t="shared" si="7"/>
        <v>0.9</v>
      </c>
      <c r="AM48" s="38" t="e">
        <f>IF(OR(LEFT($B48,4)="_Mil",$C48="&lt;01"),"",ROUND(SUM($AK48)*SUM($AL48),0))</f>
        <v>#REF!</v>
      </c>
      <c r="AN48" s="38" t="str">
        <f>IF($C48="&lt;01",ROUND(INDEX(EID!$P:$P,MATCH($B48,EID!$B:$B,0))/2,0),"")</f>
        <v/>
      </c>
      <c r="AO48" s="38" t="e">
        <f>IF($C48="&lt;01",SUM($AN48),ROUND(SUM($AM48)*SUM($O48)/IF(SUM($Z48)=0,1,$Z48),0))</f>
        <v>#REF!</v>
      </c>
      <c r="AP48" s="218">
        <f>IF(OR($F48="",$C48="&lt;01"),$AO48,ROUND($F48,0))</f>
        <v>1014</v>
      </c>
      <c r="AQ48" s="218">
        <f>IF(LEFT($B48,4)="_Mil","",IF(SUM($AP48)=0,SUM($Z48),IF(OR(SUM($Z48)=0,SUM($O48)=0),MAX($AP48,$Z48),ROUND($AP48*$Z48/$O48,0))))</f>
        <v>971</v>
      </c>
      <c r="AR48" s="33" t="e">
        <f>IF(OR(LEFT($B48,4)="_Mil",SUM($AK48)=0),"",SUM($AQ48)/$AK48)</f>
        <v>#REF!</v>
      </c>
      <c r="AS48" s="33">
        <f t="shared" si="15"/>
        <v>0.98</v>
      </c>
      <c r="AT48" s="33">
        <f t="shared" si="16"/>
        <v>0.98</v>
      </c>
      <c r="AU48" s="38">
        <f>IF($C48="&lt;01","",SUM($AP48)-SUM($O48))</f>
        <v>0</v>
      </c>
      <c r="AV48" s="38">
        <f>IF($C48="&lt;01",ROUND(INDEX(EID!$N:$N,MATCH($B48,EID!$B:$B,0))/2,0),IF(SUM($AT48)=0,"",ROUND((SUM($AP48)-(SUM($O48)*SUM($AS48)))/$AT48,0)))</f>
        <v>21</v>
      </c>
      <c r="AW48" s="33">
        <f t="shared" si="9"/>
        <v>1</v>
      </c>
      <c r="AX48" s="218">
        <f>IF($C48="&lt;01",SUM($AV48),ROUND(SUM($AV48)*SUM($AW48),0))</f>
        <v>21</v>
      </c>
      <c r="AY48" s="79">
        <f t="shared" si="10"/>
        <v>0.7</v>
      </c>
      <c r="AZ48" s="85">
        <f>IF($C48="&lt;01",ROUND(INDEX(EID!$R:$R,MATCH($B48,EID!$B:$B,0))/2,0),ROUND(SUM($O48)+(SUM($AV48)*$AY48),0))</f>
        <v>1029</v>
      </c>
      <c r="BA48" s="40">
        <f t="shared" si="14"/>
        <v>0.9</v>
      </c>
      <c r="BB48" s="99">
        <f>IF($C48="&lt;01",ROUND(INDEX(EID!$T:$T,MATCH($B48,EID!$B:$B,0))/2,0),ROUND($AP48*$BA48,0))</f>
        <v>913</v>
      </c>
      <c r="BC48" s="85">
        <f>IF(LEFT($B48,4)="_Mil","",IF(SUM($BB48)=0,SUM($AD48),IF(OR(SUM($AP48)=0,SUM($AQ48)=0),MAX($BB48,$AD48),ROUND($BB48*$AQ48/$AP48,0))))</f>
        <v>874</v>
      </c>
      <c r="BD48" s="33">
        <f t="shared" si="12"/>
        <v>0.95</v>
      </c>
      <c r="BE48" s="218">
        <f>IF($C48="&lt;01",ROUND(INDEX(EID!$V:$V,MATCH($B48,EID!$B:$B,0))/2,0),ROUND($BD48*$BB48,0))</f>
        <v>867</v>
      </c>
      <c r="BF48" s="218">
        <f>IF(LEFT($B48,4)="_Mil","",IF(SUM($BE48)=0,SUM($AF48),IF(OR(SUM($AP48)=0,SUM($AQ48)=0),MAX($BE48,$AF48),ROUND($BE48*$AQ48/$AP48,0))))</f>
        <v>830</v>
      </c>
      <c r="BG48" s="79">
        <f t="shared" si="13"/>
        <v>0.95</v>
      </c>
      <c r="BH48" s="99">
        <f>IF($C48="&lt;01",ROUND(INDEX(EID!$L:$L,MATCH($B48,EID!$B:$B,0)),0)/2,IF(SUM($BG48)=0,"",ROUND($AX48/$BG48,0)))</f>
        <v>22</v>
      </c>
    </row>
    <row r="49" spans="1:60" x14ac:dyDescent="0.2">
      <c r="A49" t="str">
        <f>INDEX(Prioritization!$D:$D,MATCH($B49,Prioritization!$A:$A,0))</f>
        <v>1 - Scale-up: Saturation</v>
      </c>
      <c r="B49" t="s">
        <v>314</v>
      </c>
      <c r="C49" t="s">
        <v>475</v>
      </c>
      <c r="D49" t="s">
        <v>30</v>
      </c>
      <c r="E49" t="str">
        <f t="shared" si="0"/>
        <v>Blantyre District [mxqa3CDFmIT]|15-24|Female</v>
      </c>
      <c r="F49" s="229">
        <v>5773</v>
      </c>
      <c r="G49" s="38">
        <v>0</v>
      </c>
      <c r="H49" s="38">
        <v>0</v>
      </c>
      <c r="I49" s="38">
        <v>0</v>
      </c>
      <c r="J49" s="38">
        <v>0</v>
      </c>
      <c r="K49" s="38">
        <v>0</v>
      </c>
      <c r="L49" s="38">
        <v>0</v>
      </c>
      <c r="M49" s="38">
        <v>0</v>
      </c>
      <c r="N49" s="38">
        <v>0</v>
      </c>
      <c r="O49" s="229">
        <v>0</v>
      </c>
      <c r="P49" s="38">
        <v>0</v>
      </c>
      <c r="Q49" s="38">
        <v>0</v>
      </c>
      <c r="R49" s="38">
        <v>0</v>
      </c>
      <c r="S49" s="38">
        <v>0</v>
      </c>
      <c r="T49" s="218">
        <v>0</v>
      </c>
      <c r="U49" s="218">
        <v>0</v>
      </c>
      <c r="V49" s="38">
        <v>0</v>
      </c>
      <c r="W49" s="220">
        <v>0</v>
      </c>
      <c r="X49" s="218">
        <v>0</v>
      </c>
      <c r="Y49" s="33">
        <v>0</v>
      </c>
      <c r="Z49" s="218">
        <v>0</v>
      </c>
      <c r="AA49" s="33">
        <v>0</v>
      </c>
      <c r="AB49" s="33">
        <v>0</v>
      </c>
      <c r="AC49" s="38">
        <v>0</v>
      </c>
      <c r="AD49" s="38">
        <v>0</v>
      </c>
      <c r="AE49" s="33">
        <v>0</v>
      </c>
      <c r="AF49" s="218">
        <v>0</v>
      </c>
      <c r="AG49" s="33">
        <v>0</v>
      </c>
      <c r="AH49" s="110">
        <v>0</v>
      </c>
      <c r="AI49" s="218">
        <v>0</v>
      </c>
      <c r="AJ49" s="38">
        <v>0</v>
      </c>
      <c r="AK49" s="218">
        <v>0</v>
      </c>
      <c r="AL49" s="33">
        <v>0</v>
      </c>
      <c r="AM49" s="38">
        <v>0</v>
      </c>
      <c r="AN49" s="38">
        <v>0</v>
      </c>
      <c r="AO49" s="38">
        <v>0</v>
      </c>
      <c r="AP49" s="218">
        <v>0</v>
      </c>
      <c r="AQ49" s="218">
        <v>0</v>
      </c>
      <c r="AR49" s="33">
        <v>0</v>
      </c>
      <c r="AS49" s="33">
        <v>0</v>
      </c>
      <c r="AT49" s="33">
        <v>0</v>
      </c>
      <c r="AU49" s="38">
        <v>0</v>
      </c>
      <c r="AV49" s="38">
        <v>0</v>
      </c>
      <c r="AW49" s="33">
        <v>0</v>
      </c>
      <c r="AX49" s="218">
        <v>0</v>
      </c>
      <c r="AY49" s="79">
        <v>0</v>
      </c>
      <c r="AZ49" s="85">
        <v>0</v>
      </c>
      <c r="BA49" s="40">
        <v>0</v>
      </c>
      <c r="BB49" s="99">
        <v>0</v>
      </c>
      <c r="BC49" s="85">
        <v>0</v>
      </c>
      <c r="BD49" s="33">
        <v>0</v>
      </c>
      <c r="BE49" s="218">
        <v>0</v>
      </c>
      <c r="BF49" s="218">
        <v>0</v>
      </c>
      <c r="BG49" s="79">
        <v>0</v>
      </c>
      <c r="BH49" s="99">
        <v>0</v>
      </c>
    </row>
    <row r="50" spans="1:60" x14ac:dyDescent="0.2">
      <c r="A50" t="str">
        <f>INDEX(Prioritization!$D:$D,MATCH($B50,Prioritization!$A:$A,0))</f>
        <v>1 - Scale-up: Saturation</v>
      </c>
      <c r="B50" t="s">
        <v>314</v>
      </c>
      <c r="C50" t="s">
        <v>475</v>
      </c>
      <c r="D50" t="s">
        <v>48</v>
      </c>
      <c r="E50" t="str">
        <f t="shared" si="0"/>
        <v>Blantyre District [mxqa3CDFmIT]|15-24|Male</v>
      </c>
      <c r="F50" s="229">
        <v>3196</v>
      </c>
      <c r="G50" s="38">
        <v>436</v>
      </c>
      <c r="H50" s="38">
        <v>293</v>
      </c>
      <c r="I50" s="38">
        <v>3071</v>
      </c>
      <c r="J50" s="38">
        <v>2217</v>
      </c>
      <c r="K50" s="38">
        <v>1776</v>
      </c>
      <c r="L50" s="38">
        <v>452</v>
      </c>
      <c r="M50" s="38">
        <v>430</v>
      </c>
      <c r="N50" s="38">
        <v>4285</v>
      </c>
      <c r="O50" s="229">
        <v>3164</v>
      </c>
      <c r="P50" s="38">
        <v>3881</v>
      </c>
      <c r="Q50" s="38">
        <v>3686</v>
      </c>
      <c r="R50" s="38">
        <f t="shared" si="2"/>
        <v>93</v>
      </c>
      <c r="S50" s="38">
        <f>IF(LEFT($B50,4)="_Mil","",_xlfn.IFNA(ROUND(INDEX(Spectrum!$N:$N,MATCH(RIGHT($B50,13)&amp;"|"&amp;$C50&amp;"|"&amp;$D50&amp;"|"&amp;S$14&amp;"|"&amp;"CY2023Q4",Spectrum!$R:$R,0)),0),""))</f>
        <v>3780</v>
      </c>
      <c r="T50" s="218">
        <f>IF(LEFT($B50,4)="_Mil","",_xlfn.IFNA(ROUND(INDEX(Spectrum!$N:$N,MATCH(RIGHT($B50,13)&amp;"|"&amp;$C50&amp;"|"&amp;$D50&amp;"|"&amp;T$14&amp;"|"&amp;"CY2024Q3",Spectrum!$R:$R,0)),0),""))</f>
        <v>177883</v>
      </c>
      <c r="U50" s="218">
        <f>IF(LEFT($B50,4)="_Mil","",_xlfn.IFNA(ROUND(INDEX(Spectrum!$N:$N,MATCH(RIGHT($B50,13)&amp;"|"&amp;$C50&amp;"|"&amp;$D50&amp;"|"&amp;U$14&amp;"|"&amp;"CY2024Q3",Spectrum!$R:$R,0)),0),""))</f>
        <v>4062</v>
      </c>
      <c r="V50" s="38">
        <f>IF(LEFT($B50,4)="_Mil","",_xlfn.IFNA(ROUND(INDEX(Spectrum!$N:$N,MATCH(RIGHT($B50,13)&amp;"|"&amp;$C50&amp;"|"&amp;$D50&amp;"|"&amp;V$14&amp;"|"&amp;"CY2024Q3",Spectrum!$R:$R,0)),0),""))</f>
        <v>4219</v>
      </c>
      <c r="W50" s="220">
        <f>IF(LEFT($B50,4)="_Mil","",_xlfn.IFNA(INDEX(Spectrum!$N:$N,MATCH(RIGHT($B50,13)&amp;"|"&amp;$C50&amp;"|"&amp;$D50&amp;"|"&amp;W$14&amp;"|"&amp;"CY2024Q3",Spectrum!$R:$R,0)),""))</f>
        <v>2.2835617999999999E-2</v>
      </c>
      <c r="X50" s="218">
        <f>IF(LEFT($B50,4)="_Mil","",_xlfn.IFNA(ROUND(INDEX(Spectrum!$N:$N,MATCH(RIGHT($B50,13)&amp;"|"&amp;$C50&amp;"|"&amp;$D50&amp;"|"&amp;X$14&amp;"|"&amp;"CY2024Q3",Spectrum!$R:$R,0)),0),""))</f>
        <v>3590</v>
      </c>
      <c r="Y50" s="33">
        <f t="shared" si="3"/>
        <v>0.88</v>
      </c>
      <c r="Z50" s="218">
        <f>IF(LEFT($B50,4)="_Mil","",_xlfn.IFNA(ROUND(INDEX(Spectrum!$N:$N,MATCH(RIGHT($B50,13)&amp;"|"&amp;$C50&amp;"|"&amp;$D50&amp;"|"&amp;Z$14&amp;"|"&amp;"CY2024Q3",Spectrum!$R:$R,0)),0),""))</f>
        <v>3767</v>
      </c>
      <c r="AA50" s="33">
        <f>IF(LEFT($B50,4)="_Mil","",IFERROR(1/(1/INDEX(Spectrum!$N:$N,MATCH(RIGHT($B50,13)&amp;"|"&amp;$C50&amp;"|"&amp;$D50&amp;"|"&amp;AA$14&amp;"|"&amp;"CY2024Q3",Spectrum!$R:$R,0))),IF(SUM($U50)=0,"",SUM($Z50)/$U50)))</f>
        <v>0.880261081</v>
      </c>
      <c r="AB50" s="33">
        <f t="shared" si="4"/>
        <v>1.0493036211699165</v>
      </c>
      <c r="AC50" s="38">
        <f>IF(LEFT($B50,4)="_Mil","",_xlfn.IFNA(ROUND(INDEX(Spectrum!$N:$N,MATCH(RIGHT($B50,13)&amp;"|"&amp;$C50&amp;"|"&amp;$D50&amp;"|"&amp;AC$14&amp;"|"&amp;"CY2024Q3",Spectrum!$R:$R,0)),0),""))</f>
        <v>452</v>
      </c>
      <c r="AD50" s="38" t="str">
        <f>IF(LEFT($B50,4)="_Mil","",_xlfn.IFNA(ROUND(INDEX(Spectrum!$N:$N,MATCH(RIGHT($B50,13)&amp;"|"&amp;$C50&amp;"|"&amp;$D50&amp;"|"&amp;AD$14&amp;"|"&amp;"CY2024Q3",Spectrum!$R:$R,0)),0),""))</f>
        <v/>
      </c>
      <c r="AE50" s="33">
        <f t="shared" si="5"/>
        <v>0</v>
      </c>
      <c r="AF50" s="218" t="str">
        <f>IF(LEFT($B50,4)="_Mil","",_xlfn.IFNA(ROUND(INDEX(Spectrum!$N:$N,MATCH(RIGHT($B50,13)&amp;"|"&amp;$C50&amp;"|"&amp;$D50&amp;"|"&amp;AF$14&amp;"|"&amp;"CY2024Q3",Spectrum!$R:$R,0)),0),""))</f>
        <v/>
      </c>
      <c r="AG50" s="33" t="str">
        <f t="shared" si="6"/>
        <v/>
      </c>
      <c r="AH50" s="110" t="str">
        <f>IF(LEFT($B50,4)="_Mil","",_xlfn.IFNA(INDEX(Spectrum!$N:$N,MATCH(RIGHT($B50,13)&amp;"|"&amp;$C50&amp;"|"&amp;$D50&amp;"|"&amp;AH$14&amp;"|"&amp;"CY2024Q3",Spectrum!$R:$R,0)),""))</f>
        <v/>
      </c>
      <c r="AI50" s="218">
        <f>IF(LEFT($B50,4)="_Mil","",_xlfn.IFNA(ROUND(INDEX(Spectrum!$N:$N,MATCH(RIGHT($B50,13)&amp;"|"&amp;$C50&amp;"|"&amp;$D50&amp;"|"&amp;AI$14&amp;"|"&amp;"CY2025Q3",Spectrum!$R:$R,0)),0),""))</f>
        <v>69</v>
      </c>
      <c r="AJ50" s="38">
        <f>IF(LEFT($B50,4)="_Mil","",_xlfn.IFNA(ROUND(INDEX(Spectrum!$N:$N,MATCH(RIGHT($B50,13)&amp;"|"&amp;$C50&amp;"|"&amp;$D50&amp;"|"&amp;AJ$14&amp;"|"&amp;"CY2025Q3",Spectrum!$R:$R,0)),0),""))</f>
        <v>3882</v>
      </c>
      <c r="AK50" s="218" t="e">
        <f>#REF!</f>
        <v>#REF!</v>
      </c>
      <c r="AL50" s="33">
        <f t="shared" si="7"/>
        <v>0.9</v>
      </c>
      <c r="AM50" s="38" t="e">
        <f>IF(OR(LEFT($B50,4)="_Mil",$C50="&lt;01"),"",ROUND(SUM($AK50)*SUM($AL50),0))</f>
        <v>#REF!</v>
      </c>
      <c r="AN50" s="38" t="str">
        <f>IF($C50="&lt;01",ROUND(INDEX(EID!$P:$P,MATCH($B50,EID!$B:$B,0))/2,0),"")</f>
        <v/>
      </c>
      <c r="AO50" s="38" t="e">
        <f>IF($C50="&lt;01",SUM($AN50),ROUND(SUM($AM50)*SUM($O50)/IF(SUM($Z50)=0,1,$Z50),0))</f>
        <v>#REF!</v>
      </c>
      <c r="AP50" s="218">
        <f>IF(OR($F50="",$C50="&lt;01"),$AO50,ROUND($F50,0))</f>
        <v>3196</v>
      </c>
      <c r="AQ50" s="218">
        <f>IF(LEFT($B50,4)="_Mil","",IF(SUM($AP50)=0,SUM($Z50),IF(OR(SUM($Z50)=0,SUM($O50)=0),MAX($AP50,$Z50),ROUND($AP50*$Z50/$O50,0))))</f>
        <v>3805</v>
      </c>
      <c r="AR50" s="33" t="e">
        <f>IF(OR(LEFT($B50,4)="_Mil",SUM($AK50)=0),"",SUM($AQ50)/$AK50)</f>
        <v>#REF!</v>
      </c>
      <c r="AS50" s="33">
        <f>IF($C50="&lt;01","",98%)</f>
        <v>0.98</v>
      </c>
      <c r="AT50" s="33">
        <f t="shared" si="16"/>
        <v>0.98</v>
      </c>
      <c r="AU50" s="38">
        <f>IF($C50="&lt;01","",SUM($AP50)-SUM($O50))</f>
        <v>32</v>
      </c>
      <c r="AV50" s="38">
        <f>IF($C50="&lt;01",ROUND(INDEX(EID!$N:$N,MATCH($B50,EID!$B:$B,0))/2,0),IF(SUM($AT50)=0,"",ROUND((SUM($AP50)-(SUM($O50)*SUM($AS50)))/$AT50,0)))</f>
        <v>97</v>
      </c>
      <c r="AW50" s="33">
        <f t="shared" si="9"/>
        <v>1</v>
      </c>
      <c r="AX50" s="218">
        <f>IF($C50="&lt;01",SUM($AV50),ROUND(SUM($AV50)*SUM($AW50),0))</f>
        <v>97</v>
      </c>
      <c r="AY50" s="79">
        <f t="shared" si="10"/>
        <v>0.7</v>
      </c>
      <c r="AZ50" s="85">
        <f>IF($C50="&lt;01",ROUND(INDEX(EID!$R:$R,MATCH($B50,EID!$B:$B,0))/2,0),ROUND(SUM($O50)+(SUM($AV50)*$AY50),0))</f>
        <v>3232</v>
      </c>
      <c r="BA50" s="40">
        <f t="shared" si="14"/>
        <v>0.9</v>
      </c>
      <c r="BB50" s="99">
        <f>IF($C50="&lt;01",ROUND(INDEX(EID!$T:$T,MATCH($B50,EID!$B:$B,0))/2,0),ROUND($AP50*$BA50,0))</f>
        <v>2876</v>
      </c>
      <c r="BC50" s="85">
        <f>IF(LEFT($B50,4)="_Mil","",IF(SUM($BB50)=0,SUM($AD50),IF(OR(SUM($AP50)=0,SUM($AQ50)=0),MAX($BB50,$AD50),ROUND($BB50*$AQ50/$AP50,0))))</f>
        <v>3424</v>
      </c>
      <c r="BD50" s="33">
        <f t="shared" si="12"/>
        <v>0.95</v>
      </c>
      <c r="BE50" s="218">
        <f>IF($C50="&lt;01",ROUND(INDEX(EID!$V:$V,MATCH($B50,EID!$B:$B,0))/2,0),ROUND($BD50*$BB50,0))</f>
        <v>2732</v>
      </c>
      <c r="BF50" s="218">
        <f>IF(LEFT($B50,4)="_Mil","",IF(SUM($BE50)=0,SUM($AF50),IF(OR(SUM($AP50)=0,SUM($AQ50)=0),MAX($BE50,$AF50),ROUND($BE50*$AQ50/$AP50,0))))</f>
        <v>3253</v>
      </c>
      <c r="BG50" s="79">
        <f t="shared" si="13"/>
        <v>0.95</v>
      </c>
      <c r="BH50" s="99">
        <f>IF($C50="&lt;01",ROUND(INDEX(EID!$L:$L,MATCH($B50,EID!$B:$B,0)),0)/2,IF(SUM($BG50)=0,"",ROUND($AX50/$BG50,0)))</f>
        <v>102</v>
      </c>
    </row>
    <row r="51" spans="1:60" x14ac:dyDescent="0.2">
      <c r="A51" t="str">
        <f>INDEX(Prioritization!$D:$D,MATCH($B51,Prioritization!$A:$A,0))</f>
        <v>1 - Scale-up: Saturation</v>
      </c>
      <c r="B51" t="s">
        <v>314</v>
      </c>
      <c r="C51" t="s">
        <v>476</v>
      </c>
      <c r="D51" t="s">
        <v>30</v>
      </c>
      <c r="E51" t="str">
        <f t="shared" si="0"/>
        <v>Blantyre District [mxqa3CDFmIT]|25-34|Female</v>
      </c>
      <c r="F51" s="229">
        <v>16232</v>
      </c>
      <c r="G51" s="38">
        <v>2106</v>
      </c>
      <c r="H51" s="38">
        <v>2233</v>
      </c>
      <c r="I51" s="38">
        <v>18836</v>
      </c>
      <c r="J51" s="38">
        <v>12789</v>
      </c>
      <c r="K51" s="38">
        <v>11503</v>
      </c>
      <c r="L51" s="38">
        <v>791</v>
      </c>
      <c r="M51" s="38">
        <v>776</v>
      </c>
      <c r="N51" s="38">
        <v>16175</v>
      </c>
      <c r="O51" s="229">
        <v>17485</v>
      </c>
      <c r="P51" s="38">
        <v>15430</v>
      </c>
      <c r="Q51" s="38">
        <v>14660</v>
      </c>
      <c r="R51" s="38">
        <f t="shared" si="2"/>
        <v>-1351</v>
      </c>
      <c r="S51" s="38">
        <f>IF(LEFT($B51,4)="_Mil","",_xlfn.IFNA(ROUND(INDEX(Spectrum!$N:$N,MATCH(RIGHT($B51,13)&amp;"|"&amp;$C51&amp;"|"&amp;$D51&amp;"|"&amp;S$14&amp;"|"&amp;"CY2023Q4",Spectrum!$R:$R,0)),0),""))</f>
        <v>17707</v>
      </c>
      <c r="T51" s="218">
        <f>IF(LEFT($B51,4)="_Mil","",_xlfn.IFNA(ROUND(INDEX(Spectrum!$N:$N,MATCH(RIGHT($B51,13)&amp;"|"&amp;$C51&amp;"|"&amp;$D51&amp;"|"&amp;T$14&amp;"|"&amp;"CY2024Q3",Spectrum!$R:$R,0)),0),""))</f>
        <v>133812</v>
      </c>
      <c r="U51" s="218">
        <f>IF(LEFT($B51,4)="_Mil","",_xlfn.IFNA(ROUND(INDEX(Spectrum!$N:$N,MATCH(RIGHT($B51,13)&amp;"|"&amp;$C51&amp;"|"&amp;$D51&amp;"|"&amp;U$14&amp;"|"&amp;"CY2024Q3",Spectrum!$R:$R,0)),0),""))</f>
        <v>17031</v>
      </c>
      <c r="V51" s="38">
        <f>IF(LEFT($B51,4)="_Mil","",_xlfn.IFNA(ROUND(INDEX(Spectrum!$N:$N,MATCH(RIGHT($B51,13)&amp;"|"&amp;$C51&amp;"|"&amp;$D51&amp;"|"&amp;V$14&amp;"|"&amp;"CY2024Q3",Spectrum!$R:$R,0)),0),""))</f>
        <v>17485</v>
      </c>
      <c r="W51" s="220">
        <f>IF(LEFT($B51,4)="_Mil","",_xlfn.IFNA(INDEX(Spectrum!$N:$N,MATCH(RIGHT($B51,13)&amp;"|"&amp;$C51&amp;"|"&amp;$D51&amp;"|"&amp;W$14&amp;"|"&amp;"CY2024Q3",Spectrum!$R:$R,0)),""))</f>
        <v>0.12727746600000001</v>
      </c>
      <c r="X51" s="218">
        <f>IF(LEFT($B51,4)="_Mil","",_xlfn.IFNA(ROUND(INDEX(Spectrum!$N:$N,MATCH(RIGHT($B51,13)&amp;"|"&amp;$C51&amp;"|"&amp;$D51&amp;"|"&amp;X$14&amp;"|"&amp;"CY2024Q3",Spectrum!$R:$R,0)),0),""))</f>
        <v>16328</v>
      </c>
      <c r="Y51" s="33">
        <f t="shared" si="3"/>
        <v>0.96</v>
      </c>
      <c r="Z51" s="218">
        <f>IF(LEFT($B51,4)="_Mil","",_xlfn.IFNA(ROUND(INDEX(Spectrum!$N:$N,MATCH(RIGHT($B51,13)&amp;"|"&amp;$C51&amp;"|"&amp;$D51&amp;"|"&amp;Z$14&amp;"|"&amp;"CY2024Q3",Spectrum!$R:$R,0)),0),""))</f>
        <v>16750</v>
      </c>
      <c r="AA51" s="33">
        <f>IF(LEFT($B51,4)="_Mil","",IFERROR(1/(1/INDEX(Spectrum!$N:$N,MATCH(RIGHT($B51,13)&amp;"|"&amp;$C51&amp;"|"&amp;$D51&amp;"|"&amp;AA$14&amp;"|"&amp;"CY2024Q3",Spectrum!$R:$R,0))),IF(SUM($U51)=0,"",SUM($Z51)/$U51)))</f>
        <v>0.95868927699999995</v>
      </c>
      <c r="AB51" s="33">
        <f t="shared" si="4"/>
        <v>1.0258451739343459</v>
      </c>
      <c r="AC51" s="38">
        <f>IF(LEFT($B51,4)="_Mil","",_xlfn.IFNA(ROUND(INDEX(Spectrum!$N:$N,MATCH(RIGHT($B51,13)&amp;"|"&amp;$C51&amp;"|"&amp;$D51&amp;"|"&amp;AC$14&amp;"|"&amp;"CY2024Q3",Spectrum!$R:$R,0)),0),""))</f>
        <v>734</v>
      </c>
      <c r="AD51" s="38" t="str">
        <f>IF(LEFT($B51,4)="_Mil","",_xlfn.IFNA(ROUND(INDEX(Spectrum!$N:$N,MATCH(RIGHT($B51,13)&amp;"|"&amp;$C51&amp;"|"&amp;$D51&amp;"|"&amp;AD$14&amp;"|"&amp;"CY2024Q3",Spectrum!$R:$R,0)),0),""))</f>
        <v/>
      </c>
      <c r="AE51" s="33">
        <f t="shared" si="5"/>
        <v>0</v>
      </c>
      <c r="AF51" s="218" t="str">
        <f>IF(LEFT($B51,4)="_Mil","",_xlfn.IFNA(ROUND(INDEX(Spectrum!$N:$N,MATCH(RIGHT($B51,13)&amp;"|"&amp;$C51&amp;"|"&amp;$D51&amp;"|"&amp;AF$14&amp;"|"&amp;"CY2024Q3",Spectrum!$R:$R,0)),0),""))</f>
        <v/>
      </c>
      <c r="AG51" s="33" t="str">
        <f t="shared" si="6"/>
        <v/>
      </c>
      <c r="AH51" s="110" t="str">
        <f>IF(LEFT($B51,4)="_Mil","",_xlfn.IFNA(INDEX(Spectrum!$N:$N,MATCH(RIGHT($B51,13)&amp;"|"&amp;$C51&amp;"|"&amp;$D51&amp;"|"&amp;AH$14&amp;"|"&amp;"CY2024Q3",Spectrum!$R:$R,0)),""))</f>
        <v/>
      </c>
      <c r="AI51" s="218">
        <f>IF(LEFT($B51,4)="_Mil","",_xlfn.IFNA(ROUND(INDEX(Spectrum!$N:$N,MATCH(RIGHT($B51,13)&amp;"|"&amp;$C51&amp;"|"&amp;$D51&amp;"|"&amp;AI$14&amp;"|"&amp;"CY2025Q3",Spectrum!$R:$R,0)),0),""))</f>
        <v>383</v>
      </c>
      <c r="AJ51" s="38">
        <f>IF(LEFT($B51,4)="_Mil","",_xlfn.IFNA(ROUND(INDEX(Spectrum!$N:$N,MATCH(RIGHT($B51,13)&amp;"|"&amp;$C51&amp;"|"&amp;$D51&amp;"|"&amp;AJ$14&amp;"|"&amp;"CY2025Q3",Spectrum!$R:$R,0)),0),""))</f>
        <v>15808</v>
      </c>
      <c r="AK51" s="218" t="e">
        <f>#REF!</f>
        <v>#REF!</v>
      </c>
      <c r="AL51" s="33">
        <f t="shared" si="7"/>
        <v>0.95868927699999995</v>
      </c>
      <c r="AM51" s="38" t="e">
        <f>IF(OR(LEFT($B51,4)="_Mil",$C51="&lt;01"),"",ROUND(SUM($AK51)*SUM($AL51),0))</f>
        <v>#REF!</v>
      </c>
      <c r="AN51" s="38" t="str">
        <f>IF($C51="&lt;01",ROUND(INDEX(EID!$P:$P,MATCH($B51,EID!$B:$B,0))/2,0),"")</f>
        <v/>
      </c>
      <c r="AO51" s="38" t="e">
        <f>IF($C51="&lt;01",SUM($AN51),ROUND(SUM($AM51)*SUM($O51)/IF(SUM($Z51)=0,1,$Z51),0))</f>
        <v>#REF!</v>
      </c>
      <c r="AP51" s="218">
        <f>IF(OR($F51="",$C51="&lt;01"),$AO51,ROUND($F51,0))</f>
        <v>16232</v>
      </c>
      <c r="AQ51" s="218">
        <f>IF(LEFT($B51,4)="_Mil","",IF(SUM($AP51)=0,SUM($Z51),IF(OR(SUM($Z51)=0,SUM($O51)=0),MAX($AP51,$Z51),ROUND($AP51*$Z51/$O51,0))))</f>
        <v>15550</v>
      </c>
      <c r="AR51" s="33" t="e">
        <f>IF(OR(LEFT($B51,4)="_Mil",SUM($AK51)=0),"",SUM($AQ51)/$AK51)</f>
        <v>#REF!</v>
      </c>
      <c r="AS51" s="33">
        <f>IF($C51="&lt;01","",88%)</f>
        <v>0.88</v>
      </c>
      <c r="AT51" s="33">
        <f>IF($C51="&lt;01","",90%)</f>
        <v>0.9</v>
      </c>
      <c r="AU51" s="38">
        <f>IF($C51="&lt;01","",SUM($AP51)-SUM($O51))</f>
        <v>-1253</v>
      </c>
      <c r="AV51" s="38">
        <f>IF($C51="&lt;01",ROUND(INDEX(EID!$N:$N,MATCH($B51,EID!$B:$B,0))/2,0),IF(SUM($AT51)=0,"",ROUND((SUM($AP51)-(SUM($O51)*SUM($AS51)))/$AT51,0)))</f>
        <v>939</v>
      </c>
      <c r="AW51" s="33">
        <f t="shared" si="9"/>
        <v>1</v>
      </c>
      <c r="AX51" s="218">
        <f>IF($C51="&lt;01",SUM($AV51),ROUND(SUM($AV51)*SUM($AW51),0))</f>
        <v>939</v>
      </c>
      <c r="AY51" s="79">
        <f t="shared" si="10"/>
        <v>0.7</v>
      </c>
      <c r="AZ51" s="85">
        <f>IF($C51="&lt;01",ROUND(INDEX(EID!$R:$R,MATCH($B51,EID!$B:$B,0))/2,0),ROUND(SUM($O51)+(SUM($AV51)*$AY51),0))</f>
        <v>18142</v>
      </c>
      <c r="BA51" s="40">
        <f t="shared" si="14"/>
        <v>0.9</v>
      </c>
      <c r="BB51" s="99">
        <f>IF($C51="&lt;01",ROUND(INDEX(EID!$T:$T,MATCH($B51,EID!$B:$B,0))/2,0),ROUND($AP51*$BA51,0))</f>
        <v>14609</v>
      </c>
      <c r="BC51" s="85">
        <f>IF(LEFT($B51,4)="_Mil","",IF(SUM($BB51)=0,SUM($AD51),IF(OR(SUM($AP51)=0,SUM($AQ51)=0),MAX($BB51,$AD51),ROUND($BB51*$AQ51/$AP51,0))))</f>
        <v>13995</v>
      </c>
      <c r="BD51" s="33">
        <f t="shared" si="12"/>
        <v>0.95</v>
      </c>
      <c r="BE51" s="218">
        <f>IF($C51="&lt;01",ROUND(INDEX(EID!$V:$V,MATCH($B51,EID!$B:$B,0))/2,0),ROUND($BD51*$BB51,0))</f>
        <v>13879</v>
      </c>
      <c r="BF51" s="218">
        <f>IF(LEFT($B51,4)="_Mil","",IF(SUM($BE51)=0,SUM($AF51),IF(OR(SUM($AP51)=0,SUM($AQ51)=0),MAX($BE51,$AF51),ROUND($BE51*$AQ51/$AP51,0))))</f>
        <v>13296</v>
      </c>
      <c r="BG51" s="79">
        <f t="shared" si="13"/>
        <v>0.95</v>
      </c>
      <c r="BH51" s="99">
        <f>IF($C51="&lt;01",ROUND(INDEX(EID!$L:$L,MATCH($B51,EID!$B:$B,0)),0)/2,IF(SUM($BG51)=0,"",ROUND($AX51/$BG51,0)))</f>
        <v>988</v>
      </c>
    </row>
    <row r="52" spans="1:60" x14ac:dyDescent="0.2">
      <c r="A52" t="str">
        <f>INDEX(Prioritization!$D:$D,MATCH($B52,Prioritization!$A:$A,0))</f>
        <v>1 - Scale-up: Saturation</v>
      </c>
      <c r="B52" t="s">
        <v>314</v>
      </c>
      <c r="C52" t="s">
        <v>476</v>
      </c>
      <c r="D52" t="s">
        <v>48</v>
      </c>
      <c r="E52" t="str">
        <f t="shared" si="0"/>
        <v>Blantyre District [mxqa3CDFmIT]|25-34|Male</v>
      </c>
      <c r="F52" s="229">
        <v>5950</v>
      </c>
      <c r="G52" s="38">
        <v>1229</v>
      </c>
      <c r="H52" s="38">
        <v>1061</v>
      </c>
      <c r="I52" s="38">
        <v>5950</v>
      </c>
      <c r="J52" s="38">
        <v>3283</v>
      </c>
      <c r="K52" s="38">
        <v>2920</v>
      </c>
      <c r="L52" s="38">
        <v>191</v>
      </c>
      <c r="M52" s="38">
        <v>181</v>
      </c>
      <c r="N52" s="38">
        <v>7323</v>
      </c>
      <c r="O52" s="229">
        <v>5950</v>
      </c>
      <c r="P52" s="38">
        <v>6594</v>
      </c>
      <c r="Q52" s="38">
        <v>6265</v>
      </c>
      <c r="R52" s="38">
        <f t="shared" si="2"/>
        <v>0</v>
      </c>
      <c r="S52" s="38">
        <f>IF(LEFT($B52,4)="_Mil","",_xlfn.IFNA(ROUND(INDEX(Spectrum!$N:$N,MATCH(RIGHT($B52,13)&amp;"|"&amp;$C52&amp;"|"&amp;$D52&amp;"|"&amp;S$14&amp;"|"&amp;"CY2023Q4",Spectrum!$R:$R,0)),0),""))</f>
        <v>6473</v>
      </c>
      <c r="T52" s="218">
        <f>IF(LEFT($B52,4)="_Mil","",_xlfn.IFNA(ROUND(INDEX(Spectrum!$N:$N,MATCH(RIGHT($B52,13)&amp;"|"&amp;$C52&amp;"|"&amp;$D52&amp;"|"&amp;T$14&amp;"|"&amp;"CY2024Q3",Spectrum!$R:$R,0)),0),""))</f>
        <v>132101</v>
      </c>
      <c r="U52" s="218">
        <f>IF(LEFT($B52,4)="_Mil","",_xlfn.IFNA(ROUND(INDEX(Spectrum!$N:$N,MATCH(RIGHT($B52,13)&amp;"|"&amp;$C52&amp;"|"&amp;$D52&amp;"|"&amp;U$14&amp;"|"&amp;"CY2024Q3",Spectrum!$R:$R,0)),0),""))</f>
        <v>7249</v>
      </c>
      <c r="V52" s="38">
        <f>IF(LEFT($B52,4)="_Mil","",_xlfn.IFNA(ROUND(INDEX(Spectrum!$N:$N,MATCH(RIGHT($B52,13)&amp;"|"&amp;$C52&amp;"|"&amp;$D52&amp;"|"&amp;V$14&amp;"|"&amp;"CY2024Q3",Spectrum!$R:$R,0)),0),""))</f>
        <v>7399</v>
      </c>
      <c r="W52" s="220">
        <f>IF(LEFT($B52,4)="_Mil","",_xlfn.IFNA(INDEX(Spectrum!$N:$N,MATCH(RIGHT($B52,13)&amp;"|"&amp;$C52&amp;"|"&amp;$D52&amp;"|"&amp;W$14&amp;"|"&amp;"CY2024Q3",Spectrum!$R:$R,0)),""))</f>
        <v>5.4875206000000003E-2</v>
      </c>
      <c r="X52" s="218">
        <f>IF(LEFT($B52,4)="_Mil","",_xlfn.IFNA(ROUND(INDEX(Spectrum!$N:$N,MATCH(RIGHT($B52,13)&amp;"|"&amp;$C52&amp;"|"&amp;$D52&amp;"|"&amp;X$14&amp;"|"&amp;"CY2024Q3",Spectrum!$R:$R,0)),0),""))</f>
        <v>6207</v>
      </c>
      <c r="Y52" s="33">
        <f t="shared" si="3"/>
        <v>0.86</v>
      </c>
      <c r="Z52" s="218">
        <f>IF(LEFT($B52,4)="_Mil","",_xlfn.IFNA(ROUND(INDEX(Spectrum!$N:$N,MATCH(RIGHT($B52,13)&amp;"|"&amp;$C52&amp;"|"&amp;$D52&amp;"|"&amp;Z$14&amp;"|"&amp;"CY2024Q3",Spectrum!$R:$R,0)),0),""))</f>
        <v>6407</v>
      </c>
      <c r="AA52" s="33">
        <f>IF(LEFT($B52,4)="_Mil","",IFERROR(1/(1/INDEX(Spectrum!$N:$N,MATCH(RIGHT($B52,13)&amp;"|"&amp;$C52&amp;"|"&amp;$D52&amp;"|"&amp;AA$14&amp;"|"&amp;"CY2024Q3",Spectrum!$R:$R,0))),IF(SUM($U52)=0,"",SUM($Z52)/$U52)))</f>
        <v>0.8469765199999999</v>
      </c>
      <c r="AB52" s="33">
        <f t="shared" si="4"/>
        <v>1.0322216851941357</v>
      </c>
      <c r="AC52" s="38">
        <f>IF(LEFT($B52,4)="_Mil","",_xlfn.IFNA(ROUND(INDEX(Spectrum!$N:$N,MATCH(RIGHT($B52,13)&amp;"|"&amp;$C52&amp;"|"&amp;$D52&amp;"|"&amp;AC$14&amp;"|"&amp;"CY2024Q3",Spectrum!$R:$R,0)),0),""))</f>
        <v>992</v>
      </c>
      <c r="AD52" s="38" t="str">
        <f>IF(LEFT($B52,4)="_Mil","",_xlfn.IFNA(ROUND(INDEX(Spectrum!$N:$N,MATCH(RIGHT($B52,13)&amp;"|"&amp;$C52&amp;"|"&amp;$D52&amp;"|"&amp;AD$14&amp;"|"&amp;"CY2024Q3",Spectrum!$R:$R,0)),0),""))</f>
        <v/>
      </c>
      <c r="AE52" s="33">
        <f t="shared" si="5"/>
        <v>0</v>
      </c>
      <c r="AF52" s="218" t="str">
        <f>IF(LEFT($B52,4)="_Mil","",_xlfn.IFNA(ROUND(INDEX(Spectrum!$N:$N,MATCH(RIGHT($B52,13)&amp;"|"&amp;$C52&amp;"|"&amp;$D52&amp;"|"&amp;AF$14&amp;"|"&amp;"CY2024Q3",Spectrum!$R:$R,0)),0),""))</f>
        <v/>
      </c>
      <c r="AG52" s="33" t="str">
        <f t="shared" si="6"/>
        <v/>
      </c>
      <c r="AH52" s="110" t="str">
        <f>IF(LEFT($B52,4)="_Mil","",_xlfn.IFNA(INDEX(Spectrum!$N:$N,MATCH(RIGHT($B52,13)&amp;"|"&amp;$C52&amp;"|"&amp;$D52&amp;"|"&amp;AH$14&amp;"|"&amp;"CY2024Q3",Spectrum!$R:$R,0)),""))</f>
        <v/>
      </c>
      <c r="AI52" s="218">
        <f>IF(LEFT($B52,4)="_Mil","",_xlfn.IFNA(ROUND(INDEX(Spectrum!$N:$N,MATCH(RIGHT($B52,13)&amp;"|"&amp;$C52&amp;"|"&amp;$D52&amp;"|"&amp;AI$14&amp;"|"&amp;"CY2025Q3",Spectrum!$R:$R,0)),0),""))</f>
        <v>244</v>
      </c>
      <c r="AJ52" s="38">
        <f>IF(LEFT($B52,4)="_Mil","",_xlfn.IFNA(ROUND(INDEX(Spectrum!$N:$N,MATCH(RIGHT($B52,13)&amp;"|"&amp;$C52&amp;"|"&amp;$D52&amp;"|"&amp;AJ$14&amp;"|"&amp;"CY2025Q3",Spectrum!$R:$R,0)),0),""))</f>
        <v>6827</v>
      </c>
      <c r="AK52" s="218" t="e">
        <f>#REF!</f>
        <v>#REF!</v>
      </c>
      <c r="AL52" s="33">
        <f t="shared" si="7"/>
        <v>0.9</v>
      </c>
      <c r="AM52" s="38" t="e">
        <f>IF(OR(LEFT($B52,4)="_Mil",$C52="&lt;01"),"",ROUND(SUM($AK52)*SUM($AL52),0))</f>
        <v>#REF!</v>
      </c>
      <c r="AN52" s="38" t="str">
        <f>IF($C52="&lt;01",ROUND(INDEX(EID!$P:$P,MATCH($B52,EID!$B:$B,0))/2,0),"")</f>
        <v/>
      </c>
      <c r="AO52" s="38" t="e">
        <f>IF($C52="&lt;01",SUM($AN52),ROUND(SUM($AM52)*SUM($O52)/IF(SUM($Z52)=0,1,$Z52),0))</f>
        <v>#REF!</v>
      </c>
      <c r="AP52" s="218">
        <f>IF(OR($F52="",$C52="&lt;01"),$AO52,ROUND($F52,0))</f>
        <v>5950</v>
      </c>
      <c r="AQ52" s="218">
        <f>IF(LEFT($B52,4)="_Mil","",IF(SUM($AP52)=0,SUM($Z52),IF(OR(SUM($Z52)=0,SUM($O52)=0),MAX($AP52,$Z52),ROUND($AP52*$Z52/$O52,0))))</f>
        <v>6407</v>
      </c>
      <c r="AR52" s="33" t="e">
        <f>IF(OR(LEFT($B52,4)="_Mil",SUM($AK52)=0),"",SUM($AQ52)/$AK52)</f>
        <v>#REF!</v>
      </c>
      <c r="AS52" s="33">
        <f t="shared" ref="AS52:AS58" si="17">IF($C52="&lt;01","",98%)</f>
        <v>0.98</v>
      </c>
      <c r="AT52" s="33">
        <f t="shared" si="16"/>
        <v>0.98</v>
      </c>
      <c r="AU52" s="38">
        <f>IF($C52="&lt;01","",SUM($AP52)-SUM($O52))</f>
        <v>0</v>
      </c>
      <c r="AV52" s="38">
        <f>IF($C52="&lt;01",ROUND(INDEX(EID!$N:$N,MATCH($B52,EID!$B:$B,0))/2,0),IF(SUM($AT52)=0,"",ROUND((SUM($AP52)-(SUM($O52)*SUM($AS52)))/$AT52,0)))</f>
        <v>121</v>
      </c>
      <c r="AW52" s="33">
        <f t="shared" si="9"/>
        <v>1</v>
      </c>
      <c r="AX52" s="218">
        <f>IF($C52="&lt;01",SUM($AV52),ROUND(SUM($AV52)*SUM($AW52),0))</f>
        <v>121</v>
      </c>
      <c r="AY52" s="79">
        <f t="shared" si="10"/>
        <v>0.7</v>
      </c>
      <c r="AZ52" s="85">
        <f>IF($C52="&lt;01",ROUND(INDEX(EID!$R:$R,MATCH($B52,EID!$B:$B,0))/2,0),ROUND(SUM($O52)+(SUM($AV52)*$AY52),0))</f>
        <v>6035</v>
      </c>
      <c r="BA52" s="40">
        <f t="shared" si="14"/>
        <v>0.9</v>
      </c>
      <c r="BB52" s="99">
        <f>IF($C52="&lt;01",ROUND(INDEX(EID!$T:$T,MATCH($B52,EID!$B:$B,0))/2,0),ROUND($AP52*$BA52,0))</f>
        <v>5355</v>
      </c>
      <c r="BC52" s="85">
        <f>IF(LEFT($B52,4)="_Mil","",IF(SUM($BB52)=0,SUM($AD52),IF(OR(SUM($AP52)=0,SUM($AQ52)=0),MAX($BB52,$AD52),ROUND($BB52*$AQ52/$AP52,0))))</f>
        <v>5766</v>
      </c>
      <c r="BD52" s="33">
        <f t="shared" si="12"/>
        <v>0.95</v>
      </c>
      <c r="BE52" s="218">
        <f>IF($C52="&lt;01",ROUND(INDEX(EID!$V:$V,MATCH($B52,EID!$B:$B,0))/2,0),ROUND($BD52*$BB52,0))</f>
        <v>5087</v>
      </c>
      <c r="BF52" s="218">
        <f>IF(LEFT($B52,4)="_Mil","",IF(SUM($BE52)=0,SUM($AF52),IF(OR(SUM($AP52)=0,SUM($AQ52)=0),MAX($BE52,$AF52),ROUND($BE52*$AQ52/$AP52,0))))</f>
        <v>5478</v>
      </c>
      <c r="BG52" s="79">
        <f t="shared" si="13"/>
        <v>0.95</v>
      </c>
      <c r="BH52" s="99">
        <f>IF($C52="&lt;01",ROUND(INDEX(EID!$L:$L,MATCH($B52,EID!$B:$B,0)),0)/2,IF(SUM($BG52)=0,"",ROUND($AX52/$BG52,0)))</f>
        <v>127</v>
      </c>
    </row>
    <row r="53" spans="1:60" x14ac:dyDescent="0.2">
      <c r="A53" t="str">
        <f>INDEX(Prioritization!$D:$D,MATCH($B53,Prioritization!$A:$A,0))</f>
        <v>1 - Scale-up: Saturation</v>
      </c>
      <c r="B53" t="s">
        <v>314</v>
      </c>
      <c r="C53" t="s">
        <v>477</v>
      </c>
      <c r="D53" t="s">
        <v>30</v>
      </c>
      <c r="E53" t="str">
        <f t="shared" si="0"/>
        <v>Blantyre District [mxqa3CDFmIT]|35-49|Female</v>
      </c>
      <c r="F53" s="229">
        <v>37943</v>
      </c>
      <c r="G53" s="38">
        <v>1432</v>
      </c>
      <c r="H53" s="38">
        <v>1430</v>
      </c>
      <c r="I53" s="38">
        <v>35215</v>
      </c>
      <c r="J53" s="38">
        <v>25842</v>
      </c>
      <c r="K53" s="38">
        <v>23914</v>
      </c>
      <c r="L53" s="38">
        <v>3478</v>
      </c>
      <c r="M53" s="38">
        <v>3408</v>
      </c>
      <c r="N53" s="38">
        <v>35207</v>
      </c>
      <c r="O53" s="229">
        <v>36579</v>
      </c>
      <c r="P53" s="38">
        <v>29639</v>
      </c>
      <c r="Q53" s="38">
        <v>28159</v>
      </c>
      <c r="R53" s="38">
        <f t="shared" si="2"/>
        <v>1364</v>
      </c>
      <c r="S53" s="38">
        <f>IF(LEFT($B53,4)="_Mil","",_xlfn.IFNA(ROUND(INDEX(Spectrum!$N:$N,MATCH(RIGHT($B53,13)&amp;"|"&amp;$C53&amp;"|"&amp;$D53&amp;"|"&amp;S$14&amp;"|"&amp;"CY2023Q4",Spectrum!$R:$R,0)),0),""))</f>
        <v>37074</v>
      </c>
      <c r="T53" s="218">
        <f>IF(LEFT($B53,4)="_Mil","",_xlfn.IFNA(ROUND(INDEX(Spectrum!$N:$N,MATCH(RIGHT($B53,13)&amp;"|"&amp;$C53&amp;"|"&amp;$D53&amp;"|"&amp;T$14&amp;"|"&amp;"CY2024Q3",Spectrum!$R:$R,0)),0),""))</f>
        <v>119548</v>
      </c>
      <c r="U53" s="218">
        <f>IF(LEFT($B53,4)="_Mil","",_xlfn.IFNA(ROUND(INDEX(Spectrum!$N:$N,MATCH(RIGHT($B53,13)&amp;"|"&amp;$C53&amp;"|"&amp;$D53&amp;"|"&amp;U$14&amp;"|"&amp;"CY2024Q3",Spectrum!$R:$R,0)),0),""))</f>
        <v>37173</v>
      </c>
      <c r="V53" s="38">
        <f>IF(LEFT($B53,4)="_Mil","",_xlfn.IFNA(ROUND(INDEX(Spectrum!$N:$N,MATCH(RIGHT($B53,13)&amp;"|"&amp;$C53&amp;"|"&amp;$D53&amp;"|"&amp;V$14&amp;"|"&amp;"CY2024Q3",Spectrum!$R:$R,0)),0),""))</f>
        <v>38282</v>
      </c>
      <c r="W53" s="220">
        <f>IF(LEFT($B53,4)="_Mil","",_xlfn.IFNA(INDEX(Spectrum!$N:$N,MATCH(RIGHT($B53,13)&amp;"|"&amp;$C53&amp;"|"&amp;$D53&amp;"|"&amp;W$14&amp;"|"&amp;"CY2024Q3",Spectrum!$R:$R,0)),""))</f>
        <v>0.31094217200000002</v>
      </c>
      <c r="X53" s="218">
        <f>IF(LEFT($B53,4)="_Mil","",_xlfn.IFNA(ROUND(INDEX(Spectrum!$N:$N,MATCH(RIGHT($B53,13)&amp;"|"&amp;$C53&amp;"|"&amp;$D53&amp;"|"&amp;X$14&amp;"|"&amp;"CY2024Q3",Spectrum!$R:$R,0)),0),""))</f>
        <v>36414</v>
      </c>
      <c r="Y53" s="33">
        <f t="shared" si="3"/>
        <v>0.98</v>
      </c>
      <c r="Z53" s="218">
        <f>IF(LEFT($B53,4)="_Mil","",_xlfn.IFNA(ROUND(INDEX(Spectrum!$N:$N,MATCH(RIGHT($B53,13)&amp;"|"&amp;$C53&amp;"|"&amp;$D53&amp;"|"&amp;Z$14&amp;"|"&amp;"CY2024Q3",Spectrum!$R:$R,0)),0),""))</f>
        <v>37538</v>
      </c>
      <c r="AA53" s="33">
        <f>IF(LEFT($B53,4)="_Mil","",IFERROR(1/(1/INDEX(Spectrum!$N:$N,MATCH(RIGHT($B53,13)&amp;"|"&amp;$C53&amp;"|"&amp;$D53&amp;"|"&amp;AA$14&amp;"|"&amp;"CY2024Q3",Spectrum!$R:$R,0))),IF(SUM($U53)=0,"",SUM($Z53)/$U53)))</f>
        <v>0.97917629800000006</v>
      </c>
      <c r="AB53" s="33">
        <f t="shared" si="4"/>
        <v>1.0308672488603285</v>
      </c>
      <c r="AC53" s="38">
        <f>IF(LEFT($B53,4)="_Mil","",_xlfn.IFNA(ROUND(INDEX(Spectrum!$N:$N,MATCH(RIGHT($B53,13)&amp;"|"&amp;$C53&amp;"|"&amp;$D53&amp;"|"&amp;AC$14&amp;"|"&amp;"CY2024Q3",Spectrum!$R:$R,0)),0),""))</f>
        <v>744</v>
      </c>
      <c r="AD53" s="38" t="str">
        <f>IF(LEFT($B53,4)="_Mil","",_xlfn.IFNA(ROUND(INDEX(Spectrum!$N:$N,MATCH(RIGHT($B53,13)&amp;"|"&amp;$C53&amp;"|"&amp;$D53&amp;"|"&amp;AD$14&amp;"|"&amp;"CY2024Q3",Spectrum!$R:$R,0)),0),""))</f>
        <v/>
      </c>
      <c r="AE53" s="33">
        <f t="shared" si="5"/>
        <v>0</v>
      </c>
      <c r="AF53" s="218" t="str">
        <f>IF(LEFT($B53,4)="_Mil","",_xlfn.IFNA(ROUND(INDEX(Spectrum!$N:$N,MATCH(RIGHT($B53,13)&amp;"|"&amp;$C53&amp;"|"&amp;$D53&amp;"|"&amp;AF$14&amp;"|"&amp;"CY2024Q3",Spectrum!$R:$R,0)),0),""))</f>
        <v/>
      </c>
      <c r="AG53" s="33" t="str">
        <f t="shared" si="6"/>
        <v/>
      </c>
      <c r="AH53" s="110" t="str">
        <f>IF(LEFT($B53,4)="_Mil","",_xlfn.IFNA(INDEX(Spectrum!$N:$N,MATCH(RIGHT($B53,13)&amp;"|"&amp;$C53&amp;"|"&amp;$D53&amp;"|"&amp;AH$14&amp;"|"&amp;"CY2024Q3",Spectrum!$R:$R,0)),""))</f>
        <v/>
      </c>
      <c r="AI53" s="218">
        <f>IF(LEFT($B53,4)="_Mil","",_xlfn.IFNA(ROUND(INDEX(Spectrum!$N:$N,MATCH(RIGHT($B53,13)&amp;"|"&amp;$C53&amp;"|"&amp;$D53&amp;"|"&amp;AI$14&amp;"|"&amp;"CY2025Q3",Spectrum!$R:$R,0)),0),""))</f>
        <v>150</v>
      </c>
      <c r="AJ53" s="38">
        <f>IF(LEFT($B53,4)="_Mil","",_xlfn.IFNA(ROUND(INDEX(Spectrum!$N:$N,MATCH(RIGHT($B53,13)&amp;"|"&amp;$C53&amp;"|"&amp;$D53&amp;"|"&amp;AJ$14&amp;"|"&amp;"CY2025Q3",Spectrum!$R:$R,0)),0),""))</f>
        <v>37613</v>
      </c>
      <c r="AK53" s="218" t="e">
        <f>#REF!</f>
        <v>#REF!</v>
      </c>
      <c r="AL53" s="33">
        <f t="shared" si="7"/>
        <v>0.97917629800000006</v>
      </c>
      <c r="AM53" s="38" t="e">
        <f>IF(OR(LEFT($B53,4)="_Mil",$C53="&lt;01"),"",ROUND(SUM($AK53)*SUM($AL53),0))</f>
        <v>#REF!</v>
      </c>
      <c r="AN53" s="38" t="str">
        <f>IF($C53="&lt;01",ROUND(INDEX(EID!$P:$P,MATCH($B53,EID!$B:$B,0))/2,0),"")</f>
        <v/>
      </c>
      <c r="AO53" s="38" t="e">
        <f>IF($C53="&lt;01",SUM($AN53),ROUND(SUM($AM53)*SUM($O53)/IF(SUM($Z53)=0,1,$Z53),0))</f>
        <v>#REF!</v>
      </c>
      <c r="AP53" s="218">
        <f>IF(OR($F53="",$C53="&lt;01"),$AO53,ROUND($F53,0))</f>
        <v>37943</v>
      </c>
      <c r="AQ53" s="218">
        <f>IF(LEFT($B53,4)="_Mil","",IF(SUM($AP53)=0,SUM($Z53),IF(OR(SUM($Z53)=0,SUM($O53)=0),MAX($AP53,$Z53),ROUND($AP53*$Z53/$O53,0))))</f>
        <v>38938</v>
      </c>
      <c r="AR53" s="33" t="e">
        <f>IF(OR(LEFT($B53,4)="_Mil",SUM($AK53)=0),"",SUM($AQ53)/$AK53)</f>
        <v>#REF!</v>
      </c>
      <c r="AS53" s="33">
        <f>IF($C53="&lt;01","",99%)</f>
        <v>0.99</v>
      </c>
      <c r="AT53" s="33">
        <f t="shared" si="16"/>
        <v>0.98</v>
      </c>
      <c r="AU53" s="38">
        <f>IF($C53="&lt;01","",SUM($AP53)-SUM($O53))</f>
        <v>1364</v>
      </c>
      <c r="AV53" s="38">
        <f>IF($C53="&lt;01",ROUND(INDEX(EID!$N:$N,MATCH($B53,EID!$B:$B,0))/2,0),IF(SUM($AT53)=0,"",ROUND((SUM($AP53)-(SUM($O53)*SUM($AS53)))/$AT53,0)))</f>
        <v>1765</v>
      </c>
      <c r="AW53" s="33">
        <f t="shared" si="9"/>
        <v>1</v>
      </c>
      <c r="AX53" s="218">
        <f>IF($C53="&lt;01",SUM($AV53),ROUND(SUM($AV53)*SUM($AW53),0))</f>
        <v>1765</v>
      </c>
      <c r="AY53" s="79">
        <f t="shared" si="10"/>
        <v>0.7</v>
      </c>
      <c r="AZ53" s="85">
        <f>IF($C53="&lt;01",ROUND(INDEX(EID!$R:$R,MATCH($B53,EID!$B:$B,0))/2,0),ROUND(SUM($O53)+(SUM($AV53)*$AY53),0))</f>
        <v>37815</v>
      </c>
      <c r="BA53" s="40">
        <f t="shared" si="14"/>
        <v>0.9</v>
      </c>
      <c r="BB53" s="99">
        <f>IF($C53="&lt;01",ROUND(INDEX(EID!$T:$T,MATCH($B53,EID!$B:$B,0))/2,0),ROUND($AP53*$BA53,0))</f>
        <v>34149</v>
      </c>
      <c r="BC53" s="85">
        <f>IF(LEFT($B53,4)="_Mil","",IF(SUM($BB53)=0,SUM($AD53),IF(OR(SUM($AP53)=0,SUM($AQ53)=0),MAX($BB53,$AD53),ROUND($BB53*$AQ53/$AP53,0))))</f>
        <v>35045</v>
      </c>
      <c r="BD53" s="33">
        <f t="shared" si="12"/>
        <v>0.95</v>
      </c>
      <c r="BE53" s="218">
        <f>IF($C53="&lt;01",ROUND(INDEX(EID!$V:$V,MATCH($B53,EID!$B:$B,0))/2,0),ROUND($BD53*$BB53,0))</f>
        <v>32442</v>
      </c>
      <c r="BF53" s="218">
        <f>IF(LEFT($B53,4)="_Mil","",IF(SUM($BE53)=0,SUM($AF53),IF(OR(SUM($AP53)=0,SUM($AQ53)=0),MAX($BE53,$AF53),ROUND($BE53*$AQ53/$AP53,0))))</f>
        <v>33293</v>
      </c>
      <c r="BG53" s="79">
        <f t="shared" si="13"/>
        <v>0.95</v>
      </c>
      <c r="BH53" s="99">
        <f>IF($C53="&lt;01",ROUND(INDEX(EID!$L:$L,MATCH($B53,EID!$B:$B,0)),0)/2,IF(SUM($BG53)=0,"",ROUND($AX53/$BG53,0)))</f>
        <v>1858</v>
      </c>
    </row>
    <row r="54" spans="1:60" x14ac:dyDescent="0.2">
      <c r="A54" t="str">
        <f>INDEX(Prioritization!$D:$D,MATCH($B54,Prioritization!$A:$A,0))</f>
        <v>1 - Scale-up: Saturation</v>
      </c>
      <c r="B54" t="s">
        <v>314</v>
      </c>
      <c r="C54" t="s">
        <v>477</v>
      </c>
      <c r="D54" t="s">
        <v>48</v>
      </c>
      <c r="E54" t="str">
        <f t="shared" si="0"/>
        <v>Blantyre District [mxqa3CDFmIT]|35-49|Male</v>
      </c>
      <c r="F54" s="229">
        <v>21855</v>
      </c>
      <c r="G54" s="38">
        <v>1677</v>
      </c>
      <c r="H54" s="38">
        <v>1611</v>
      </c>
      <c r="I54" s="38">
        <v>21855</v>
      </c>
      <c r="J54" s="38">
        <v>12776</v>
      </c>
      <c r="K54" s="38">
        <v>11693</v>
      </c>
      <c r="L54" s="38">
        <v>328</v>
      </c>
      <c r="M54" s="38">
        <v>313</v>
      </c>
      <c r="N54" s="38">
        <v>23564</v>
      </c>
      <c r="O54" s="229">
        <v>21855</v>
      </c>
      <c r="P54" s="38">
        <v>21293</v>
      </c>
      <c r="Q54" s="38">
        <v>20230</v>
      </c>
      <c r="R54" s="38">
        <f t="shared" si="2"/>
        <v>0</v>
      </c>
      <c r="S54" s="38">
        <f>IF(LEFT($B54,4)="_Mil","",_xlfn.IFNA(ROUND(INDEX(Spectrum!$N:$N,MATCH(RIGHT($B54,13)&amp;"|"&amp;$C54&amp;"|"&amp;$D54&amp;"|"&amp;S$14&amp;"|"&amp;"CY2023Q4",Spectrum!$R:$R,0)),0),""))</f>
        <v>23209</v>
      </c>
      <c r="T54" s="218">
        <f>IF(LEFT($B54,4)="_Mil","",_xlfn.IFNA(ROUND(INDEX(Spectrum!$N:$N,MATCH(RIGHT($B54,13)&amp;"|"&amp;$C54&amp;"|"&amp;$D54&amp;"|"&amp;T$14&amp;"|"&amp;"CY2024Q3",Spectrum!$R:$R,0)),0),""))</f>
        <v>117838</v>
      </c>
      <c r="U54" s="218">
        <f>IF(LEFT($B54,4)="_Mil","",_xlfn.IFNA(ROUND(INDEX(Spectrum!$N:$N,MATCH(RIGHT($B54,13)&amp;"|"&amp;$C54&amp;"|"&amp;$D54&amp;"|"&amp;U$14&amp;"|"&amp;"CY2024Q3",Spectrum!$R:$R,0)),0),""))</f>
        <v>24428</v>
      </c>
      <c r="V54" s="38">
        <f>IF(LEFT($B54,4)="_Mil","",_xlfn.IFNA(ROUND(INDEX(Spectrum!$N:$N,MATCH(RIGHT($B54,13)&amp;"|"&amp;$C54&amp;"|"&amp;$D54&amp;"|"&amp;V$14&amp;"|"&amp;"CY2024Q3",Spectrum!$R:$R,0)),0),""))</f>
        <v>25163</v>
      </c>
      <c r="W54" s="220">
        <f>IF(LEFT($B54,4)="_Mil","",_xlfn.IFNA(INDEX(Spectrum!$N:$N,MATCH(RIGHT($B54,13)&amp;"|"&amp;$C54&amp;"|"&amp;$D54&amp;"|"&amp;W$14&amp;"|"&amp;"CY2024Q3",Spectrum!$R:$R,0)),""))</f>
        <v>0.207297815</v>
      </c>
      <c r="X54" s="218">
        <f>IF(LEFT($B54,4)="_Mil","",_xlfn.IFNA(ROUND(INDEX(Spectrum!$N:$N,MATCH(RIGHT($B54,13)&amp;"|"&amp;$C54&amp;"|"&amp;$D54&amp;"|"&amp;X$14&amp;"|"&amp;"CY2024Q3",Spectrum!$R:$R,0)),0),""))</f>
        <v>22223</v>
      </c>
      <c r="Y54" s="33">
        <f t="shared" si="3"/>
        <v>0.91</v>
      </c>
      <c r="Z54" s="218">
        <f>IF(LEFT($B54,4)="_Mil","",_xlfn.IFNA(ROUND(INDEX(Spectrum!$N:$N,MATCH(RIGHT($B54,13)&amp;"|"&amp;$C54&amp;"|"&amp;$D54&amp;"|"&amp;Z$14&amp;"|"&amp;"CY2024Q3",Spectrum!$R:$R,0)),0),""))</f>
        <v>23159</v>
      </c>
      <c r="AA54" s="33">
        <f>IF(LEFT($B54,4)="_Mil","",IFERROR(1/(1/INDEX(Spectrum!$N:$N,MATCH(RIGHT($B54,13)&amp;"|"&amp;$C54&amp;"|"&amp;$D54&amp;"|"&amp;AA$14&amp;"|"&amp;"CY2024Q3",Spectrum!$R:$R,0))),IF(SUM($U54)=0,"",SUM($Z54)/$U54)))</f>
        <v>0.90412988899999991</v>
      </c>
      <c r="AB54" s="33">
        <f t="shared" si="4"/>
        <v>1.0421185258515953</v>
      </c>
      <c r="AC54" s="38">
        <f>IF(LEFT($B54,4)="_Mil","",_xlfn.IFNA(ROUND(INDEX(Spectrum!$N:$N,MATCH(RIGHT($B54,13)&amp;"|"&amp;$C54&amp;"|"&amp;$D54&amp;"|"&amp;AC$14&amp;"|"&amp;"CY2024Q3",Spectrum!$R:$R,0)),0),""))</f>
        <v>2003</v>
      </c>
      <c r="AD54" s="38" t="str">
        <f>IF(LEFT($B54,4)="_Mil","",_xlfn.IFNA(ROUND(INDEX(Spectrum!$N:$N,MATCH(RIGHT($B54,13)&amp;"|"&amp;$C54&amp;"|"&amp;$D54&amp;"|"&amp;AD$14&amp;"|"&amp;"CY2024Q3",Spectrum!$R:$R,0)),0),""))</f>
        <v/>
      </c>
      <c r="AE54" s="33">
        <f t="shared" si="5"/>
        <v>0</v>
      </c>
      <c r="AF54" s="218" t="str">
        <f>IF(LEFT($B54,4)="_Mil","",_xlfn.IFNA(ROUND(INDEX(Spectrum!$N:$N,MATCH(RIGHT($B54,13)&amp;"|"&amp;$C54&amp;"|"&amp;$D54&amp;"|"&amp;AF$14&amp;"|"&amp;"CY2024Q3",Spectrum!$R:$R,0)),0),""))</f>
        <v/>
      </c>
      <c r="AG54" s="33" t="str">
        <f t="shared" si="6"/>
        <v/>
      </c>
      <c r="AH54" s="110" t="str">
        <f>IF(LEFT($B54,4)="_Mil","",_xlfn.IFNA(INDEX(Spectrum!$N:$N,MATCH(RIGHT($B54,13)&amp;"|"&amp;$C54&amp;"|"&amp;$D54&amp;"|"&amp;AH$14&amp;"|"&amp;"CY2024Q3",Spectrum!$R:$R,0)),""))</f>
        <v/>
      </c>
      <c r="AI54" s="218">
        <f>IF(LEFT($B54,4)="_Mil","",_xlfn.IFNA(ROUND(INDEX(Spectrum!$N:$N,MATCH(RIGHT($B54,13)&amp;"|"&amp;$C54&amp;"|"&amp;$D54&amp;"|"&amp;AI$14&amp;"|"&amp;"CY2025Q3",Spectrum!$R:$R,0)),0),""))</f>
        <v>209</v>
      </c>
      <c r="AJ54" s="38">
        <f>IF(LEFT($B54,4)="_Mil","",_xlfn.IFNA(ROUND(INDEX(Spectrum!$N:$N,MATCH(RIGHT($B54,13)&amp;"|"&amp;$C54&amp;"|"&amp;$D54&amp;"|"&amp;AJ$14&amp;"|"&amp;"CY2025Q3",Spectrum!$R:$R,0)),0),""))</f>
        <v>23499</v>
      </c>
      <c r="AK54" s="218" t="e">
        <f>#REF!</f>
        <v>#REF!</v>
      </c>
      <c r="AL54" s="33">
        <f t="shared" si="7"/>
        <v>0.90412988899999991</v>
      </c>
      <c r="AM54" s="38" t="e">
        <f>IF(OR(LEFT($B54,4)="_Mil",$C54="&lt;01"),"",ROUND(SUM($AK54)*SUM($AL54),0))</f>
        <v>#REF!</v>
      </c>
      <c r="AN54" s="38" t="str">
        <f>IF($C54="&lt;01",ROUND(INDEX(EID!$P:$P,MATCH($B54,EID!$B:$B,0))/2,0),"")</f>
        <v/>
      </c>
      <c r="AO54" s="38" t="e">
        <f>IF($C54="&lt;01",SUM($AN54),ROUND(SUM($AM54)*SUM($O54)/IF(SUM($Z54)=0,1,$Z54),0))</f>
        <v>#REF!</v>
      </c>
      <c r="AP54" s="218">
        <f>IF(OR($F54="",$C54="&lt;01"),$AO54,ROUND($F54,0))</f>
        <v>21855</v>
      </c>
      <c r="AQ54" s="218">
        <f>IF(LEFT($B54,4)="_Mil","",IF(SUM($AP54)=0,SUM($Z54),IF(OR(SUM($Z54)=0,SUM($O54)=0),MAX($AP54,$Z54),ROUND($AP54*$Z54/$O54,0))))</f>
        <v>23159</v>
      </c>
      <c r="AR54" s="33" t="e">
        <f>IF(OR(LEFT($B54,4)="_Mil",SUM($AK54)=0),"",SUM($AQ54)/$AK54)</f>
        <v>#REF!</v>
      </c>
      <c r="AS54" s="33">
        <f>IF($C54="&lt;01","",92%)</f>
        <v>0.92</v>
      </c>
      <c r="AT54" s="33">
        <f t="shared" si="16"/>
        <v>0.98</v>
      </c>
      <c r="AU54" s="38">
        <f>IF($C54="&lt;01","",SUM($AP54)-SUM($O54))</f>
        <v>0</v>
      </c>
      <c r="AV54" s="38">
        <f>IF($C54="&lt;01",ROUND(INDEX(EID!$N:$N,MATCH($B54,EID!$B:$B,0))/2,0),IF(SUM($AT54)=0,"",ROUND((SUM($AP54)-(SUM($O54)*SUM($AS54)))/$AT54,0)))</f>
        <v>1784</v>
      </c>
      <c r="AW54" s="33">
        <f t="shared" si="9"/>
        <v>1</v>
      </c>
      <c r="AX54" s="218">
        <f>IF($C54="&lt;01",SUM($AV54),ROUND(SUM($AV54)*SUM($AW54),0))</f>
        <v>1784</v>
      </c>
      <c r="AY54" s="79">
        <f t="shared" si="10"/>
        <v>0.7</v>
      </c>
      <c r="AZ54" s="85">
        <f>IF($C54="&lt;01",ROUND(INDEX(EID!$R:$R,MATCH($B54,EID!$B:$B,0))/2,0),ROUND(SUM($O54)+(SUM($AV54)*$AY54),0))</f>
        <v>23104</v>
      </c>
      <c r="BA54" s="40">
        <f t="shared" si="14"/>
        <v>0.9</v>
      </c>
      <c r="BB54" s="99">
        <f>IF($C54="&lt;01",ROUND(INDEX(EID!$T:$T,MATCH($B54,EID!$B:$B,0))/2,0),ROUND($AP54*$BA54,0))</f>
        <v>19670</v>
      </c>
      <c r="BC54" s="85">
        <f>IF(LEFT($B54,4)="_Mil","",IF(SUM($BB54)=0,SUM($AD54),IF(OR(SUM($AP54)=0,SUM($AQ54)=0),MAX($BB54,$AD54),ROUND($BB54*$AQ54/$AP54,0))))</f>
        <v>20844</v>
      </c>
      <c r="BD54" s="33">
        <f t="shared" si="12"/>
        <v>0.95</v>
      </c>
      <c r="BE54" s="218">
        <f>IF($C54="&lt;01",ROUND(INDEX(EID!$V:$V,MATCH($B54,EID!$B:$B,0))/2,0),ROUND($BD54*$BB54,0))</f>
        <v>18687</v>
      </c>
      <c r="BF54" s="218">
        <f>IF(LEFT($B54,4)="_Mil","",IF(SUM($BE54)=0,SUM($AF54),IF(OR(SUM($AP54)=0,SUM($AQ54)=0),MAX($BE54,$AF54),ROUND($BE54*$AQ54/$AP54,0))))</f>
        <v>19802</v>
      </c>
      <c r="BG54" s="79">
        <f t="shared" si="13"/>
        <v>0.95</v>
      </c>
      <c r="BH54" s="99">
        <f>IF($C54="&lt;01",ROUND(INDEX(EID!$L:$L,MATCH($B54,EID!$B:$B,0)),0)/2,IF(SUM($BG54)=0,"",ROUND($AX54/$BG54,0)))</f>
        <v>1878</v>
      </c>
    </row>
    <row r="55" spans="1:60" x14ac:dyDescent="0.2">
      <c r="A55" t="str">
        <f>INDEX(Prioritization!$D:$D,MATCH($B55,Prioritization!$A:$A,0))</f>
        <v>1 - Scale-up: Saturation</v>
      </c>
      <c r="B55" t="s">
        <v>314</v>
      </c>
      <c r="C55" t="s">
        <v>478</v>
      </c>
      <c r="D55" t="s">
        <v>30</v>
      </c>
      <c r="E55" t="str">
        <f t="shared" si="0"/>
        <v>Blantyre District [mxqa3CDFmIT]|50+|Female</v>
      </c>
      <c r="F55" s="229">
        <v>15321</v>
      </c>
      <c r="G55" s="38">
        <v>324</v>
      </c>
      <c r="H55" s="38">
        <v>272</v>
      </c>
      <c r="I55" s="38">
        <v>12717</v>
      </c>
      <c r="J55" s="38">
        <v>9780</v>
      </c>
      <c r="K55" s="38">
        <v>9380</v>
      </c>
      <c r="L55" s="38">
        <v>568</v>
      </c>
      <c r="M55" s="38">
        <v>557</v>
      </c>
      <c r="N55" s="38">
        <v>12515</v>
      </c>
      <c r="O55" s="229">
        <v>13993</v>
      </c>
      <c r="P55" s="38">
        <v>10986</v>
      </c>
      <c r="Q55" s="38">
        <v>10436</v>
      </c>
      <c r="R55" s="38">
        <f t="shared" si="2"/>
        <v>1276</v>
      </c>
      <c r="S55" s="38">
        <f>IF(LEFT($B55,4)="_Mil","",_xlfn.IFNA(ROUND(INDEX(Spectrum!$N:$N,MATCH(RIGHT($B55,13)&amp;"|"&amp;$C55&amp;"|"&amp;$D55&amp;"|"&amp;S$14&amp;"|"&amp;"CY2023Q4",Spectrum!$R:$R,0)),0),""))</f>
        <v>12826</v>
      </c>
      <c r="T55" s="218">
        <f>IF(LEFT($B55,4)="_Mil","",_xlfn.IFNA(ROUND(INDEX(Spectrum!$N:$N,MATCH(RIGHT($B55,13)&amp;"|"&amp;$C55&amp;"|"&amp;$D55&amp;"|"&amp;T$14&amp;"|"&amp;"CY2024Q3",Spectrum!$R:$R,0)),0),""))</f>
        <v>49877</v>
      </c>
      <c r="U55" s="218">
        <f>IF(LEFT($B55,4)="_Mil","",_xlfn.IFNA(ROUND(INDEX(Spectrum!$N:$N,MATCH(RIGHT($B55,13)&amp;"|"&amp;$C55&amp;"|"&amp;$D55&amp;"|"&amp;U$14&amp;"|"&amp;"CY2024Q3",Spectrum!$R:$R,0)),0),""))</f>
        <v>13177</v>
      </c>
      <c r="V55" s="38">
        <f>IF(LEFT($B55,4)="_Mil","",_xlfn.IFNA(ROUND(INDEX(Spectrum!$N:$N,MATCH(RIGHT($B55,13)&amp;"|"&amp;$C55&amp;"|"&amp;$D55&amp;"|"&amp;V$14&amp;"|"&amp;"CY2024Q3",Spectrum!$R:$R,0)),0),""))</f>
        <v>13993</v>
      </c>
      <c r="W55" s="220">
        <f>IF(LEFT($B55,4)="_Mil","",_xlfn.IFNA(INDEX(Spectrum!$N:$N,MATCH(RIGHT($B55,13)&amp;"|"&amp;$C55&amp;"|"&amp;$D55&amp;"|"&amp;W$14&amp;"|"&amp;"CY2024Q3",Spectrum!$R:$R,0)),""))</f>
        <v>0.26418321500000003</v>
      </c>
      <c r="X55" s="218">
        <f>IF(LEFT($B55,4)="_Mil","",_xlfn.IFNA(ROUND(INDEX(Spectrum!$N:$N,MATCH(RIGHT($B55,13)&amp;"|"&amp;$C55&amp;"|"&amp;$D55&amp;"|"&amp;X$14&amp;"|"&amp;"CY2024Q3",Spectrum!$R:$R,0)),0),""))</f>
        <v>13023</v>
      </c>
      <c r="Y55" s="33">
        <f t="shared" si="3"/>
        <v>0.99</v>
      </c>
      <c r="Z55" s="218">
        <f>IF(LEFT($B55,4)="_Mil","",_xlfn.IFNA(ROUND(INDEX(Spectrum!$N:$N,MATCH(RIGHT($B55,13)&amp;"|"&amp;$C55&amp;"|"&amp;$D55&amp;"|"&amp;Z$14&amp;"|"&amp;"CY2024Q3",Spectrum!$R:$R,0)),0),""))</f>
        <v>13790</v>
      </c>
      <c r="AA55" s="33">
        <f>IF(LEFT($B55,4)="_Mil","",IFERROR(1/(1/INDEX(Spectrum!$N:$N,MATCH(RIGHT($B55,13)&amp;"|"&amp;$C55&amp;"|"&amp;$D55&amp;"|"&amp;AA$14&amp;"|"&amp;"CY2024Q3",Spectrum!$R:$R,0))),IF(SUM($U55)=0,"",SUM($Z55)/$U55)))</f>
        <v>0.98584084500000002</v>
      </c>
      <c r="AB55" s="33">
        <f t="shared" si="4"/>
        <v>1.0588957997389234</v>
      </c>
      <c r="AC55" s="38">
        <f>IF(LEFT($B55,4)="_Mil","",_xlfn.IFNA(ROUND(INDEX(Spectrum!$N:$N,MATCH(RIGHT($B55,13)&amp;"|"&amp;$C55&amp;"|"&amp;$D55&amp;"|"&amp;AC$14&amp;"|"&amp;"CY2024Q3",Spectrum!$R:$R,0)),0),""))</f>
        <v>203</v>
      </c>
      <c r="AD55" s="38" t="str">
        <f>IF(LEFT($B55,4)="_Mil","",_xlfn.IFNA(ROUND(INDEX(Spectrum!$N:$N,MATCH(RIGHT($B55,13)&amp;"|"&amp;$C55&amp;"|"&amp;$D55&amp;"|"&amp;AD$14&amp;"|"&amp;"CY2024Q3",Spectrum!$R:$R,0)),0),""))</f>
        <v/>
      </c>
      <c r="AE55" s="33">
        <f t="shared" si="5"/>
        <v>0</v>
      </c>
      <c r="AF55" s="218" t="str">
        <f>IF(LEFT($B55,4)="_Mil","",_xlfn.IFNA(ROUND(INDEX(Spectrum!$N:$N,MATCH(RIGHT($B55,13)&amp;"|"&amp;$C55&amp;"|"&amp;$D55&amp;"|"&amp;AF$14&amp;"|"&amp;"CY2024Q3",Spectrum!$R:$R,0)),0),""))</f>
        <v/>
      </c>
      <c r="AG55" s="33" t="str">
        <f t="shared" si="6"/>
        <v/>
      </c>
      <c r="AH55" s="110" t="str">
        <f>IF(LEFT($B55,4)="_Mil","",_xlfn.IFNA(INDEX(Spectrum!$N:$N,MATCH(RIGHT($B55,13)&amp;"|"&amp;$C55&amp;"|"&amp;$D55&amp;"|"&amp;AH$14&amp;"|"&amp;"CY2024Q3",Spectrum!$R:$R,0)),""))</f>
        <v/>
      </c>
      <c r="AI55" s="218">
        <f>IF(LEFT($B55,4)="_Mil","",_xlfn.IFNA(ROUND(INDEX(Spectrum!$N:$N,MATCH(RIGHT($B55,13)&amp;"|"&amp;$C55&amp;"|"&amp;$D55&amp;"|"&amp;AI$14&amp;"|"&amp;"CY2025Q3",Spectrum!$R:$R,0)),0),""))</f>
        <v>18</v>
      </c>
      <c r="AJ55" s="38">
        <f>IF(LEFT($B55,4)="_Mil","",_xlfn.IFNA(ROUND(INDEX(Spectrum!$N:$N,MATCH(RIGHT($B55,13)&amp;"|"&amp;$C55&amp;"|"&amp;$D55&amp;"|"&amp;AJ$14&amp;"|"&amp;"CY2025Q3",Spectrum!$R:$R,0)),0),""))</f>
        <v>14556</v>
      </c>
      <c r="AK55" s="218" t="e">
        <f>#REF!</f>
        <v>#REF!</v>
      </c>
      <c r="AL55" s="33">
        <f t="shared" si="7"/>
        <v>0.98584084500000002</v>
      </c>
      <c r="AM55" s="38" t="e">
        <f>IF(OR(LEFT($B55,4)="_Mil",$C55="&lt;01"),"",ROUND(SUM($AK55)*SUM($AL55),0))</f>
        <v>#REF!</v>
      </c>
      <c r="AN55" s="38" t="str">
        <f>IF($C55="&lt;01",ROUND(INDEX(EID!$P:$P,MATCH($B55,EID!$B:$B,0))/2,0),"")</f>
        <v/>
      </c>
      <c r="AO55" s="38" t="e">
        <f>IF($C55="&lt;01",SUM($AN55),ROUND(SUM($AM55)*SUM($O55)/IF(SUM($Z55)=0,1,$Z55),0))</f>
        <v>#REF!</v>
      </c>
      <c r="AP55" s="218">
        <f>IF(OR($F55="",$C55="&lt;01"),$AO55,ROUND($F55,0))</f>
        <v>15321</v>
      </c>
      <c r="AQ55" s="218">
        <f>IF(LEFT($B55,4)="_Mil","",IF(SUM($AP55)=0,SUM($Z55),IF(OR(SUM($Z55)=0,SUM($O55)=0),MAX($AP55,$Z55),ROUND($AP55*$Z55/$O55,0))))</f>
        <v>15099</v>
      </c>
      <c r="AR55" s="33" t="e">
        <f>IF(OR(LEFT($B55,4)="_Mil",SUM($AK55)=0),"",SUM($AQ55)/$AK55)</f>
        <v>#REF!</v>
      </c>
      <c r="AS55" s="33">
        <v>1.02</v>
      </c>
      <c r="AT55" s="33">
        <f>IF($C55="&lt;01","",100%)</f>
        <v>1</v>
      </c>
      <c r="AU55" s="38">
        <f>IF($C55="&lt;01","",SUM($AP55)-SUM($O55))</f>
        <v>1328</v>
      </c>
      <c r="AV55" s="38">
        <f>IF($C55="&lt;01",ROUND(INDEX(EID!$N:$N,MATCH($B55,EID!$B:$B,0))/2,0),IF(SUM($AT55)=0,"",ROUND((SUM($AP55)-(SUM($O55)*SUM($AS55)))/$AT55,0)))</f>
        <v>1048</v>
      </c>
      <c r="AW55" s="33">
        <v>0.8</v>
      </c>
      <c r="AX55" s="218">
        <f>IF($C55="&lt;01",SUM($AV55),ROUND(SUM($AV55)*SUM($AW55),0))</f>
        <v>838</v>
      </c>
      <c r="AY55" s="79">
        <f t="shared" si="10"/>
        <v>0.7</v>
      </c>
      <c r="AZ55" s="85">
        <f>IF($C55="&lt;01",ROUND(INDEX(EID!$R:$R,MATCH($B55,EID!$B:$B,0))/2,0),ROUND(SUM($O55)+(SUM($AV55)*$AY55),0))</f>
        <v>14727</v>
      </c>
      <c r="BA55" s="40">
        <f t="shared" si="14"/>
        <v>0.9</v>
      </c>
      <c r="BB55" s="99">
        <f>IF($C55="&lt;01",ROUND(INDEX(EID!$T:$T,MATCH($B55,EID!$B:$B,0))/2,0),ROUND($AP55*$BA55,0))</f>
        <v>13789</v>
      </c>
      <c r="BC55" s="85">
        <f>IF(LEFT($B55,4)="_Mil","",IF(SUM($BB55)=0,SUM($AD55),IF(OR(SUM($AP55)=0,SUM($AQ55)=0),MAX($BB55,$AD55),ROUND($BB55*$AQ55/$AP55,0))))</f>
        <v>13589</v>
      </c>
      <c r="BD55" s="33">
        <f t="shared" si="12"/>
        <v>0.95</v>
      </c>
      <c r="BE55" s="218">
        <f>IF($C55="&lt;01",ROUND(INDEX(EID!$V:$V,MATCH($B55,EID!$B:$B,0))/2,0),ROUND($BD55*$BB55,0))</f>
        <v>13100</v>
      </c>
      <c r="BF55" s="218">
        <f>IF(LEFT($B55,4)="_Mil","",IF(SUM($BE55)=0,SUM($AF55),IF(OR(SUM($AP55)=0,SUM($AQ55)=0),MAX($BE55,$AF55),ROUND($BE55*$AQ55/$AP55,0))))</f>
        <v>12910</v>
      </c>
      <c r="BG55" s="79">
        <f t="shared" si="13"/>
        <v>0.95</v>
      </c>
      <c r="BH55" s="99">
        <f>IF($C55="&lt;01",ROUND(INDEX(EID!$L:$L,MATCH($B55,EID!$B:$B,0)),0)/2,IF(SUM($BG55)=0,"",ROUND($AX55/$BG55,0)))</f>
        <v>882</v>
      </c>
    </row>
    <row r="56" spans="1:60" x14ac:dyDescent="0.2">
      <c r="A56" t="str">
        <f>INDEX(Prioritization!$D:$D,MATCH($B56,Prioritization!$A:$A,0))</f>
        <v>1 - Scale-up: Saturation</v>
      </c>
      <c r="B56" t="s">
        <v>314</v>
      </c>
      <c r="C56" t="s">
        <v>478</v>
      </c>
      <c r="D56" t="s">
        <v>48</v>
      </c>
      <c r="E56" t="str">
        <f t="shared" si="0"/>
        <v>Blantyre District [mxqa3CDFmIT]|50+|Male</v>
      </c>
      <c r="F56" s="229">
        <v>15322</v>
      </c>
      <c r="G56" s="38">
        <v>445</v>
      </c>
      <c r="H56" s="38">
        <v>423</v>
      </c>
      <c r="I56" s="38">
        <v>13325</v>
      </c>
      <c r="J56" s="38">
        <v>8225</v>
      </c>
      <c r="K56" s="38">
        <v>7683</v>
      </c>
      <c r="L56" s="38">
        <v>832</v>
      </c>
      <c r="M56" s="38">
        <v>791</v>
      </c>
      <c r="N56" s="38">
        <v>14279</v>
      </c>
      <c r="O56" s="229">
        <v>14178</v>
      </c>
      <c r="P56" s="38">
        <v>12333</v>
      </c>
      <c r="Q56" s="38">
        <v>11715</v>
      </c>
      <c r="R56" s="38">
        <f t="shared" si="2"/>
        <v>853</v>
      </c>
      <c r="S56" s="38">
        <f>IF(LEFT($B56,4)="_Mil","",_xlfn.IFNA(ROUND(INDEX(Spectrum!$N:$N,MATCH(RIGHT($B56,13)&amp;"|"&amp;$C56&amp;"|"&amp;$D56&amp;"|"&amp;S$14&amp;"|"&amp;"CY2023Q4",Spectrum!$R:$R,0)),0),""))</f>
        <v>12389</v>
      </c>
      <c r="T56" s="218">
        <f>IF(LEFT($B56,4)="_Mil","",_xlfn.IFNA(ROUND(INDEX(Spectrum!$N:$N,MATCH(RIGHT($B56,13)&amp;"|"&amp;$C56&amp;"|"&amp;$D56&amp;"|"&amp;T$14&amp;"|"&amp;"CY2024Q3",Spectrum!$R:$R,0)),0),""))</f>
        <v>46839</v>
      </c>
      <c r="U56" s="218">
        <f>IF(LEFT($B56,4)="_Mil","",_xlfn.IFNA(ROUND(INDEX(Spectrum!$N:$N,MATCH(RIGHT($B56,13)&amp;"|"&amp;$C56&amp;"|"&amp;$D56&amp;"|"&amp;U$14&amp;"|"&amp;"CY2024Q3",Spectrum!$R:$R,0)),0),""))</f>
        <v>13586</v>
      </c>
      <c r="V56" s="38">
        <f>IF(LEFT($B56,4)="_Mil","",_xlfn.IFNA(ROUND(INDEX(Spectrum!$N:$N,MATCH(RIGHT($B56,13)&amp;"|"&amp;$C56&amp;"|"&amp;$D56&amp;"|"&amp;V$14&amp;"|"&amp;"CY2024Q3",Spectrum!$R:$R,0)),0),""))</f>
        <v>14178</v>
      </c>
      <c r="W56" s="220">
        <f>IF(LEFT($B56,4)="_Mil","",_xlfn.IFNA(INDEX(Spectrum!$N:$N,MATCH(RIGHT($B56,13)&amp;"|"&amp;$C56&amp;"|"&amp;$D56&amp;"|"&amp;W$14&amp;"|"&amp;"CY2024Q3",Spectrum!$R:$R,0)),""))</f>
        <v>0.29006646800000002</v>
      </c>
      <c r="X56" s="218">
        <f>IF(LEFT($B56,4)="_Mil","",_xlfn.IFNA(ROUND(INDEX(Spectrum!$N:$N,MATCH(RIGHT($B56,13)&amp;"|"&amp;$C56&amp;"|"&amp;$D56&amp;"|"&amp;X$14&amp;"|"&amp;"CY2024Q3",Spectrum!$R:$R,0)),0),""))</f>
        <v>12747</v>
      </c>
      <c r="Y56" s="33">
        <f t="shared" si="3"/>
        <v>0.94</v>
      </c>
      <c r="Z56" s="218">
        <f>IF(LEFT($B56,4)="_Mil","",_xlfn.IFNA(ROUND(INDEX(Spectrum!$N:$N,MATCH(RIGHT($B56,13)&amp;"|"&amp;$C56&amp;"|"&amp;$D56&amp;"|"&amp;Z$14&amp;"|"&amp;"CY2024Q3",Spectrum!$R:$R,0)),0),""))</f>
        <v>13388</v>
      </c>
      <c r="AA56" s="33">
        <f>IF(LEFT($B56,4)="_Mil","",IFERROR(1/(1/INDEX(Spectrum!$N:$N,MATCH(RIGHT($B56,13)&amp;"|"&amp;$C56&amp;"|"&amp;$D56&amp;"|"&amp;AA$14&amp;"|"&amp;"CY2024Q3",Spectrum!$R:$R,0))),IF(SUM($U56)=0,"",SUM($Z56)/$U56)))</f>
        <v>0.93427018299999998</v>
      </c>
      <c r="AB56" s="33">
        <f t="shared" si="4"/>
        <v>1.0502863418843649</v>
      </c>
      <c r="AC56" s="38">
        <f>IF(LEFT($B56,4)="_Mil","",_xlfn.IFNA(ROUND(INDEX(Spectrum!$N:$N,MATCH(RIGHT($B56,13)&amp;"|"&amp;$C56&amp;"|"&amp;$D56&amp;"|"&amp;AC$14&amp;"|"&amp;"CY2024Q3",Spectrum!$R:$R,0)),0),""))</f>
        <v>790</v>
      </c>
      <c r="AD56" s="38" t="str">
        <f>IF(LEFT($B56,4)="_Mil","",_xlfn.IFNA(ROUND(INDEX(Spectrum!$N:$N,MATCH(RIGHT($B56,13)&amp;"|"&amp;$C56&amp;"|"&amp;$D56&amp;"|"&amp;AD$14&amp;"|"&amp;"CY2024Q3",Spectrum!$R:$R,0)),0),""))</f>
        <v/>
      </c>
      <c r="AE56" s="33">
        <f t="shared" si="5"/>
        <v>0</v>
      </c>
      <c r="AF56" s="218" t="str">
        <f>IF(LEFT($B56,4)="_Mil","",_xlfn.IFNA(ROUND(INDEX(Spectrum!$N:$N,MATCH(RIGHT($B56,13)&amp;"|"&amp;$C56&amp;"|"&amp;$D56&amp;"|"&amp;AF$14&amp;"|"&amp;"CY2024Q3",Spectrum!$R:$R,0)),0),""))</f>
        <v/>
      </c>
      <c r="AG56" s="33" t="str">
        <f t="shared" si="6"/>
        <v/>
      </c>
      <c r="AH56" s="110" t="str">
        <f>IF(LEFT($B56,4)="_Mil","",_xlfn.IFNA(INDEX(Spectrum!$N:$N,MATCH(RIGHT($B56,13)&amp;"|"&amp;$C56&amp;"|"&amp;$D56&amp;"|"&amp;AH$14&amp;"|"&amp;"CY2024Q3",Spectrum!$R:$R,0)),""))</f>
        <v/>
      </c>
      <c r="AI56" s="218">
        <f>IF(LEFT($B56,4)="_Mil","",_xlfn.IFNA(ROUND(INDEX(Spectrum!$N:$N,MATCH(RIGHT($B56,13)&amp;"|"&amp;$C56&amp;"|"&amp;$D56&amp;"|"&amp;AI$14&amp;"|"&amp;"CY2025Q3",Spectrum!$R:$R,0)),0),""))</f>
        <v>40</v>
      </c>
      <c r="AJ56" s="38">
        <f>IF(LEFT($B56,4)="_Mil","",_xlfn.IFNA(ROUND(INDEX(Spectrum!$N:$N,MATCH(RIGHT($B56,13)&amp;"|"&amp;$C56&amp;"|"&amp;$D56&amp;"|"&amp;AJ$14&amp;"|"&amp;"CY2025Q3",Spectrum!$R:$R,0)),0),""))</f>
        <v>14724</v>
      </c>
      <c r="AK56" s="218" t="e">
        <f>#REF!</f>
        <v>#REF!</v>
      </c>
      <c r="AL56" s="33">
        <f t="shared" si="7"/>
        <v>0.93427018299999998</v>
      </c>
      <c r="AM56" s="38" t="e">
        <f>IF(OR(LEFT($B56,4)="_Mil",$C56="&lt;01"),"",ROUND(SUM($AK56)*SUM($AL56),0))</f>
        <v>#REF!</v>
      </c>
      <c r="AN56" s="38" t="str">
        <f>IF($C56="&lt;01",ROUND(INDEX(EID!$P:$P,MATCH($B56,EID!$B:$B,0))/2,0),"")</f>
        <v/>
      </c>
      <c r="AO56" s="38" t="e">
        <f>IF($C56="&lt;01",SUM($AN56),ROUND(SUM($AM56)*SUM($O56)/IF(SUM($Z56)=0,1,$Z56),0))</f>
        <v>#REF!</v>
      </c>
      <c r="AP56" s="218">
        <f>IF(OR($F56="",$C56="&lt;01"),$AO56,ROUND($F56,0))</f>
        <v>15322</v>
      </c>
      <c r="AQ56" s="218">
        <f>IF(LEFT($B56,4)="_Mil","",IF(SUM($AP56)=0,SUM($Z56),IF(OR(SUM($Z56)=0,SUM($O56)=0),MAX($AP56,$Z56),ROUND($AP56*$Z56/$O56,0))))</f>
        <v>14468</v>
      </c>
      <c r="AR56" s="33" t="e">
        <f>IF(OR(LEFT($B56,4)="_Mil",SUM($AK56)=0),"",SUM($AQ56)/$AK56)</f>
        <v>#REF!</v>
      </c>
      <c r="AS56" s="33">
        <v>1.02</v>
      </c>
      <c r="AT56" s="33">
        <f>IF($C56="&lt;01","",100%)</f>
        <v>1</v>
      </c>
      <c r="AU56" s="38">
        <f>IF($C56="&lt;01","",SUM($AP56)-SUM($O56))</f>
        <v>1144</v>
      </c>
      <c r="AV56" s="38">
        <f>IF($C56="&lt;01",ROUND(INDEX(EID!$N:$N,MATCH($B56,EID!$B:$B,0))/2,0),IF(SUM($AT56)=0,"",ROUND((SUM($AP56)-(SUM($O56)*SUM($AS56)))/$AT56,0)))</f>
        <v>860</v>
      </c>
      <c r="AW56" s="33">
        <v>0.8</v>
      </c>
      <c r="AX56" s="218">
        <f>IF($C56="&lt;01",SUM($AV56),ROUND(SUM($AV56)*SUM($AW56),0))</f>
        <v>688</v>
      </c>
      <c r="AY56" s="79">
        <f t="shared" si="10"/>
        <v>0.7</v>
      </c>
      <c r="AZ56" s="85">
        <f>IF($C56="&lt;01",ROUND(INDEX(EID!$R:$R,MATCH($B56,EID!$B:$B,0))/2,0),ROUND(SUM($O56)+(SUM($AV56)*$AY56),0))</f>
        <v>14780</v>
      </c>
      <c r="BA56" s="40">
        <f t="shared" si="14"/>
        <v>0.9</v>
      </c>
      <c r="BB56" s="99">
        <f>IF($C56="&lt;01",ROUND(INDEX(EID!$T:$T,MATCH($B56,EID!$B:$B,0))/2,0),ROUND($AP56*$BA56,0))</f>
        <v>13790</v>
      </c>
      <c r="BC56" s="85">
        <f>IF(LEFT($B56,4)="_Mil","",IF(SUM($BB56)=0,SUM($AD56),IF(OR(SUM($AP56)=0,SUM($AQ56)=0),MAX($BB56,$AD56),ROUND($BB56*$AQ56/$AP56,0))))</f>
        <v>13021</v>
      </c>
      <c r="BD56" s="33">
        <f t="shared" si="12"/>
        <v>0.95</v>
      </c>
      <c r="BE56" s="218">
        <f>IF($C56="&lt;01",ROUND(INDEX(EID!$V:$V,MATCH($B56,EID!$B:$B,0))/2,0),ROUND($BD56*$BB56,0))</f>
        <v>13101</v>
      </c>
      <c r="BF56" s="218">
        <f>IF(LEFT($B56,4)="_Mil","",IF(SUM($BE56)=0,SUM($AF56),IF(OR(SUM($AP56)=0,SUM($AQ56)=0),MAX($BE56,$AF56),ROUND($BE56*$AQ56/$AP56,0))))</f>
        <v>12371</v>
      </c>
      <c r="BG56" s="79">
        <f t="shared" si="13"/>
        <v>0.95</v>
      </c>
      <c r="BH56" s="99">
        <f>IF($C56="&lt;01",ROUND(INDEX(EID!$L:$L,MATCH($B56,EID!$B:$B,0)),0)/2,IF(SUM($BG56)=0,"",ROUND($AX56/$BG56,0)))</f>
        <v>724</v>
      </c>
    </row>
    <row r="57" spans="1:60" x14ac:dyDescent="0.2">
      <c r="A57" t="str">
        <f>INDEX(Prioritization!$D:$D,MATCH($B57,Prioritization!$A:$A,0))</f>
        <v>1 - Scale-up: Saturation</v>
      </c>
      <c r="B57" t="s">
        <v>315</v>
      </c>
      <c r="C57" t="s">
        <v>426</v>
      </c>
      <c r="D57" t="s">
        <v>30</v>
      </c>
      <c r="E57" t="str">
        <f t="shared" si="0"/>
        <v>Chikwawa District [U8c0so51kT6]|&lt;01|Female</v>
      </c>
      <c r="F57" s="229">
        <v>18</v>
      </c>
      <c r="G57" s="38">
        <v>38</v>
      </c>
      <c r="H57" s="38">
        <v>17</v>
      </c>
      <c r="I57" s="38">
        <v>11</v>
      </c>
      <c r="J57" s="38">
        <v>26</v>
      </c>
      <c r="K57" s="38">
        <v>23</v>
      </c>
      <c r="L57" s="38"/>
      <c r="M57" s="38">
        <v>16</v>
      </c>
      <c r="N57" s="38">
        <v>16</v>
      </c>
      <c r="O57" s="229">
        <v>17</v>
      </c>
      <c r="P57" s="38">
        <v>11</v>
      </c>
      <c r="Q57" s="38">
        <v>10</v>
      </c>
      <c r="R57" s="38">
        <f t="shared" si="2"/>
        <v>6</v>
      </c>
      <c r="S57" s="38">
        <f>IF(LEFT($B57,4)="_Mil","",_xlfn.IFNA(ROUND(INDEX(Spectrum!$N:$N,MATCH(RIGHT($B57,13)&amp;"|"&amp;$C57&amp;"|"&amp;$D57&amp;"|"&amp;S$14&amp;"|"&amp;"CY2023Q4",Spectrum!$R:$R,0)),0),""))</f>
        <v>20</v>
      </c>
      <c r="T57" s="218">
        <f>IF(LEFT($B57,4)="_Mil","",_xlfn.IFNA(ROUND(INDEX(Spectrum!$N:$N,MATCH(RIGHT($B57,13)&amp;"|"&amp;$C57&amp;"|"&amp;$D57&amp;"|"&amp;T$14&amp;"|"&amp;"CY2024Q3",Spectrum!$R:$R,0)),0),""))</f>
        <v>11767</v>
      </c>
      <c r="U57" s="218">
        <f>IF(LEFT($B57,4)="_Mil","",_xlfn.IFNA(ROUND(INDEX(Spectrum!$N:$N,MATCH(RIGHT($B57,13)&amp;"|"&amp;$C57&amp;"|"&amp;$D57&amp;"|"&amp;U$14&amp;"|"&amp;"CY2024Q3",Spectrum!$R:$R,0)),0),""))</f>
        <v>23</v>
      </c>
      <c r="V57" s="38">
        <f>IF(LEFT($B57,4)="_Mil","",_xlfn.IFNA(ROUND(INDEX(Spectrum!$N:$N,MATCH(RIGHT($B57,13)&amp;"|"&amp;$C57&amp;"|"&amp;$D57&amp;"|"&amp;V$14&amp;"|"&amp;"CY2024Q3",Spectrum!$R:$R,0)),0),""))</f>
        <v>20</v>
      </c>
      <c r="W57" s="220">
        <f>IF(LEFT($B57,4)="_Mil","",_xlfn.IFNA(INDEX(Spectrum!$N:$N,MATCH(RIGHT($B57,13)&amp;"|"&amp;$C57&amp;"|"&amp;$D57&amp;"|"&amp;W$14&amp;"|"&amp;"CY2024Q3",Spectrum!$R:$R,0)),""))</f>
        <v>1.915358E-3</v>
      </c>
      <c r="X57" s="218">
        <f>IF(LEFT($B57,4)="_Mil","",_xlfn.IFNA(ROUND(INDEX(Spectrum!$N:$N,MATCH(RIGHT($B57,13)&amp;"|"&amp;$C57&amp;"|"&amp;$D57&amp;"|"&amp;X$14&amp;"|"&amp;"CY2024Q3",Spectrum!$R:$R,0)),0),""))</f>
        <v>18</v>
      </c>
      <c r="Y57" s="33">
        <f t="shared" si="3"/>
        <v>0.78</v>
      </c>
      <c r="Z57" s="218">
        <f>IF(LEFT($B57,4)="_Mil","",_xlfn.IFNA(ROUND(INDEX(Spectrum!$N:$N,MATCH(RIGHT($B57,13)&amp;"|"&amp;$C57&amp;"|"&amp;$D57&amp;"|"&amp;Z$14&amp;"|"&amp;"CY2024Q3",Spectrum!$R:$R,0)),0),""))</f>
        <v>16</v>
      </c>
      <c r="AA57" s="33">
        <f>IF(LEFT($B57,4)="_Mil","",IFERROR(1/(1/INDEX(Spectrum!$N:$N,MATCH(RIGHT($B57,13)&amp;"|"&amp;$C57&amp;"|"&amp;$D57&amp;"|"&amp;AA$14&amp;"|"&amp;"CY2024Q3",Spectrum!$R:$R,0))),IF(SUM($U57)=0,"",SUM($Z57)/$U57)))</f>
        <v>0.78882313900000001</v>
      </c>
      <c r="AB57" s="33">
        <f t="shared" si="4"/>
        <v>0.88888888888888884</v>
      </c>
      <c r="AC57" s="38">
        <f>IF(LEFT($B57,4)="_Mil","",_xlfn.IFNA(ROUND(INDEX(Spectrum!$N:$N,MATCH(RIGHT($B57,13)&amp;"|"&amp;$C57&amp;"|"&amp;$D57&amp;"|"&amp;AC$14&amp;"|"&amp;"CY2024Q3",Spectrum!$R:$R,0)),0),""))</f>
        <v>3</v>
      </c>
      <c r="AD57" s="38" t="str">
        <f>IF(LEFT($B57,4)="_Mil","",_xlfn.IFNA(ROUND(INDEX(Spectrum!$N:$N,MATCH(RIGHT($B57,13)&amp;"|"&amp;$C57&amp;"|"&amp;$D57&amp;"|"&amp;AD$14&amp;"|"&amp;"CY2024Q3",Spectrum!$R:$R,0)),0),""))</f>
        <v/>
      </c>
      <c r="AE57" s="33">
        <f t="shared" si="5"/>
        <v>0</v>
      </c>
      <c r="AF57" s="218" t="str">
        <f>IF(LEFT($B57,4)="_Mil","",_xlfn.IFNA(ROUND(INDEX(Spectrum!$N:$N,MATCH(RIGHT($B57,13)&amp;"|"&amp;$C57&amp;"|"&amp;$D57&amp;"|"&amp;AF$14&amp;"|"&amp;"CY2024Q3",Spectrum!$R:$R,0)),0),""))</f>
        <v/>
      </c>
      <c r="AG57" s="33" t="str">
        <f t="shared" si="6"/>
        <v/>
      </c>
      <c r="AH57" s="110" t="str">
        <f>IF(LEFT($B57,4)="_Mil","",_xlfn.IFNA(INDEX(Spectrum!$N:$N,MATCH(RIGHT($B57,13)&amp;"|"&amp;$C57&amp;"|"&amp;$D57&amp;"|"&amp;AH$14&amp;"|"&amp;"CY2024Q3",Spectrum!$R:$R,0)),""))</f>
        <v/>
      </c>
      <c r="AI57" s="218">
        <f>IF(LEFT($B57,4)="_Mil","",_xlfn.IFNA(ROUND(INDEX(Spectrum!$N:$N,MATCH(RIGHT($B57,13)&amp;"|"&amp;$C57&amp;"|"&amp;$D57&amp;"|"&amp;AI$14&amp;"|"&amp;"CY2025Q3",Spectrum!$R:$R,0)),0),""))</f>
        <v>29</v>
      </c>
      <c r="AJ57" s="38">
        <f>IF(LEFT($B57,4)="_Mil","",_xlfn.IFNA(ROUND(INDEX(Spectrum!$N:$N,MATCH(RIGHT($B57,13)&amp;"|"&amp;$C57&amp;"|"&amp;$D57&amp;"|"&amp;AJ$14&amp;"|"&amp;"CY2025Q3",Spectrum!$R:$R,0)),0),""))</f>
        <v>20</v>
      </c>
      <c r="AK57" s="218" t="e">
        <f>#REF!</f>
        <v>#REF!</v>
      </c>
      <c r="AL57" s="33" t="str">
        <f t="shared" si="7"/>
        <v/>
      </c>
      <c r="AM57" s="38" t="str">
        <f>IF(OR(LEFT($B57,4)="_Mil",$C57="&lt;01"),"",ROUND(SUM($AK57)*SUM($AL57),0))</f>
        <v/>
      </c>
      <c r="AN57" s="38">
        <f>IF($C57="&lt;01",ROUND(INDEX(EID!$P:$P,MATCH($B57,EID!$B:$B,0))/2,0),"")</f>
        <v>3</v>
      </c>
      <c r="AO57" s="38">
        <f>IF($C57="&lt;01",SUM($AN57),ROUND(SUM($AM57)*SUM($O57)/IF(SUM($Z57)=0,1,$Z57),0))</f>
        <v>3</v>
      </c>
      <c r="AP57" s="218">
        <f>IF(OR($F57="",$C57="&lt;01"),$AO57,ROUND($F57,0))</f>
        <v>3</v>
      </c>
      <c r="AQ57" s="218">
        <f>IF(LEFT($B57,4)="_Mil","",IF(SUM($AP57)=0,SUM($Z57),IF(OR(SUM($Z57)=0,SUM($O57)=0),MAX($AP57,$Z57),ROUND($AP57*$Z57/$O57,0))))</f>
        <v>3</v>
      </c>
      <c r="AR57" s="33" t="e">
        <f>IF(OR(LEFT($B57,4)="_Mil",SUM($AK57)=0),"",SUM($AQ57)/$AK57)</f>
        <v>#REF!</v>
      </c>
      <c r="AS57" s="33" t="str">
        <f t="shared" si="17"/>
        <v/>
      </c>
      <c r="AT57" s="33" t="str">
        <f t="shared" si="16"/>
        <v/>
      </c>
      <c r="AU57" s="38" t="str">
        <f>IF($C57="&lt;01","",SUM($AP57)-SUM($O57))</f>
        <v/>
      </c>
      <c r="AV57" s="38">
        <f>IF($C57="&lt;01",ROUND(INDEX(EID!$N:$N,MATCH($B57,EID!$B:$B,0))/2,0),IF(SUM($AT57)=0,"",ROUND((SUM($AP57)-(SUM($O57)*SUM($AS57)))/$AT57,0)))</f>
        <v>3</v>
      </c>
      <c r="AW57" s="33" t="str">
        <f t="shared" si="9"/>
        <v/>
      </c>
      <c r="AX57" s="218">
        <f>IF($C57="&lt;01",SUM($AV57),ROUND(SUM($AV57)*SUM($AW57),0))</f>
        <v>3</v>
      </c>
      <c r="AY57" s="79" t="str">
        <f t="shared" si="10"/>
        <v/>
      </c>
      <c r="AZ57" s="85">
        <f>IF($C57="&lt;01",ROUND(INDEX(EID!$R:$R,MATCH($B57,EID!$B:$B,0))/2,0),ROUND(SUM($O57)+(SUM($AV57)*$AY57),0))</f>
        <v>2</v>
      </c>
      <c r="BA57" s="40" t="str">
        <f t="shared" si="14"/>
        <v/>
      </c>
      <c r="BB57" s="99">
        <f>IF($C57="&lt;01",ROUND(INDEX(EID!$T:$T,MATCH($B57,EID!$B:$B,0))/2,0),ROUND($AP57*$BA57,0))</f>
        <v>2</v>
      </c>
      <c r="BC57" s="85">
        <f>IF(LEFT($B57,4)="_Mil","",IF(SUM($BB57)=0,SUM($AD57),IF(OR(SUM($AP57)=0,SUM($AQ57)=0),MAX($BB57,$AD57),ROUND($BB57*$AQ57/$AP57,0))))</f>
        <v>2</v>
      </c>
      <c r="BD57" s="33" t="str">
        <f t="shared" si="12"/>
        <v/>
      </c>
      <c r="BE57" s="218">
        <f>IF($C57="&lt;01",ROUND(INDEX(EID!$V:$V,MATCH($B57,EID!$B:$B,0))/2,0),ROUND($BD57*$BB57,0))</f>
        <v>2</v>
      </c>
      <c r="BF57" s="218">
        <f>IF(LEFT($B57,4)="_Mil","",IF(SUM($BE57)=0,SUM($AF57),IF(OR(SUM($AP57)=0,SUM($AQ57)=0),MAX($BE57,$AF57),ROUND($BE57*$AQ57/$AP57,0))))</f>
        <v>2</v>
      </c>
      <c r="BG57" s="79" t="str">
        <f t="shared" si="13"/>
        <v/>
      </c>
      <c r="BH57" s="99">
        <f>IF($C57="&lt;01",ROUND(INDEX(EID!$L:$L,MATCH($B57,EID!$B:$B,0)),0)/2,IF(SUM($BG57)=0,"",ROUND($AX57/$BG57,0)))</f>
        <v>2.5</v>
      </c>
    </row>
    <row r="58" spans="1:60" x14ac:dyDescent="0.2">
      <c r="A58" t="str">
        <f>INDEX(Prioritization!$D:$D,MATCH($B58,Prioritization!$A:$A,0))</f>
        <v>1 - Scale-up: Saturation</v>
      </c>
      <c r="B58" t="s">
        <v>315</v>
      </c>
      <c r="C58" t="s">
        <v>426</v>
      </c>
      <c r="D58" t="s">
        <v>48</v>
      </c>
      <c r="E58" t="str">
        <f t="shared" si="0"/>
        <v>Chikwawa District [U8c0so51kT6]|&lt;01|Male</v>
      </c>
      <c r="F58" s="229">
        <v>17</v>
      </c>
      <c r="G58" s="38">
        <v>29</v>
      </c>
      <c r="H58" s="38">
        <v>5</v>
      </c>
      <c r="I58" s="38">
        <v>2</v>
      </c>
      <c r="J58" s="38">
        <v>16</v>
      </c>
      <c r="K58" s="38">
        <v>14</v>
      </c>
      <c r="L58" s="38"/>
      <c r="M58" s="38">
        <v>16</v>
      </c>
      <c r="N58" s="38">
        <v>16</v>
      </c>
      <c r="O58" s="229">
        <v>17</v>
      </c>
      <c r="P58" s="38">
        <v>11</v>
      </c>
      <c r="Q58" s="38">
        <v>10</v>
      </c>
      <c r="R58" s="38">
        <f t="shared" si="2"/>
        <v>15</v>
      </c>
      <c r="S58" s="38">
        <f>IF(LEFT($B58,4)="_Mil","",_xlfn.IFNA(ROUND(INDEX(Spectrum!$N:$N,MATCH(RIGHT($B58,13)&amp;"|"&amp;$C58&amp;"|"&amp;$D58&amp;"|"&amp;S$14&amp;"|"&amp;"CY2023Q4",Spectrum!$R:$R,0)),0),""))</f>
        <v>19</v>
      </c>
      <c r="T58" s="218">
        <f>IF(LEFT($B58,4)="_Mil","",_xlfn.IFNA(ROUND(INDEX(Spectrum!$N:$N,MATCH(RIGHT($B58,13)&amp;"|"&amp;$C58&amp;"|"&amp;$D58&amp;"|"&amp;T$14&amp;"|"&amp;"CY2024Q3",Spectrum!$R:$R,0)),0),""))</f>
        <v>11676</v>
      </c>
      <c r="U58" s="218">
        <f>IF(LEFT($B58,4)="_Mil","",_xlfn.IFNA(ROUND(INDEX(Spectrum!$N:$N,MATCH(RIGHT($B58,13)&amp;"|"&amp;$C58&amp;"|"&amp;$D58&amp;"|"&amp;U$14&amp;"|"&amp;"CY2024Q3",Spectrum!$R:$R,0)),0),""))</f>
        <v>23</v>
      </c>
      <c r="V58" s="38">
        <f>IF(LEFT($B58,4)="_Mil","",_xlfn.IFNA(ROUND(INDEX(Spectrum!$N:$N,MATCH(RIGHT($B58,13)&amp;"|"&amp;$C58&amp;"|"&amp;$D58&amp;"|"&amp;V$14&amp;"|"&amp;"CY2024Q3",Spectrum!$R:$R,0)),0),""))</f>
        <v>20</v>
      </c>
      <c r="W58" s="220">
        <f>IF(LEFT($B58,4)="_Mil","",_xlfn.IFNA(INDEX(Spectrum!$N:$N,MATCH(RIGHT($B58,13)&amp;"|"&amp;$C58&amp;"|"&amp;$D58&amp;"|"&amp;W$14&amp;"|"&amp;"CY2024Q3",Spectrum!$R:$R,0)),""))</f>
        <v>1.9475549999999999E-3</v>
      </c>
      <c r="X58" s="218">
        <f>IF(LEFT($B58,4)="_Mil","",_xlfn.IFNA(ROUND(INDEX(Spectrum!$N:$N,MATCH(RIGHT($B58,13)&amp;"|"&amp;$C58&amp;"|"&amp;$D58&amp;"|"&amp;X$14&amp;"|"&amp;"CY2024Q3",Spectrum!$R:$R,0)),0),""))</f>
        <v>19</v>
      </c>
      <c r="Y58" s="33">
        <f t="shared" si="3"/>
        <v>0.83</v>
      </c>
      <c r="Z58" s="218">
        <f>IF(LEFT($B58,4)="_Mil","",_xlfn.IFNA(ROUND(INDEX(Spectrum!$N:$N,MATCH(RIGHT($B58,13)&amp;"|"&amp;$C58&amp;"|"&amp;$D58&amp;"|"&amp;Z$14&amp;"|"&amp;"CY2024Q3",Spectrum!$R:$R,0)),0),""))</f>
        <v>15</v>
      </c>
      <c r="AA58" s="33">
        <f>IF(LEFT($B58,4)="_Mil","",IFERROR(1/(1/INDEX(Spectrum!$N:$N,MATCH(RIGHT($B58,13)&amp;"|"&amp;$C58&amp;"|"&amp;$D58&amp;"|"&amp;AA$14&amp;"|"&amp;"CY2024Q3",Spectrum!$R:$R,0))),IF(SUM($U58)=0,"",SUM($Z58)/$U58)))</f>
        <v>0.788980028</v>
      </c>
      <c r="AB58" s="33">
        <f t="shared" si="4"/>
        <v>0.78947368421052633</v>
      </c>
      <c r="AC58" s="38">
        <f>IF(LEFT($B58,4)="_Mil","",_xlfn.IFNA(ROUND(INDEX(Spectrum!$N:$N,MATCH(RIGHT($B58,13)&amp;"|"&amp;$C58&amp;"|"&amp;$D58&amp;"|"&amp;AC$14&amp;"|"&amp;"CY2024Q3",Spectrum!$R:$R,0)),0),""))</f>
        <v>5</v>
      </c>
      <c r="AD58" s="38" t="str">
        <f>IF(LEFT($B58,4)="_Mil","",_xlfn.IFNA(ROUND(INDEX(Spectrum!$N:$N,MATCH(RIGHT($B58,13)&amp;"|"&amp;$C58&amp;"|"&amp;$D58&amp;"|"&amp;AD$14&amp;"|"&amp;"CY2024Q3",Spectrum!$R:$R,0)),0),""))</f>
        <v/>
      </c>
      <c r="AE58" s="33">
        <f t="shared" si="5"/>
        <v>0</v>
      </c>
      <c r="AF58" s="218" t="str">
        <f>IF(LEFT($B58,4)="_Mil","",_xlfn.IFNA(ROUND(INDEX(Spectrum!$N:$N,MATCH(RIGHT($B58,13)&amp;"|"&amp;$C58&amp;"|"&amp;$D58&amp;"|"&amp;AF$14&amp;"|"&amp;"CY2024Q3",Spectrum!$R:$R,0)),0),""))</f>
        <v/>
      </c>
      <c r="AG58" s="33" t="str">
        <f t="shared" si="6"/>
        <v/>
      </c>
      <c r="AH58" s="110" t="str">
        <f>IF(LEFT($B58,4)="_Mil","",_xlfn.IFNA(INDEX(Spectrum!$N:$N,MATCH(RIGHT($B58,13)&amp;"|"&amp;$C58&amp;"|"&amp;$D58&amp;"|"&amp;AH$14&amp;"|"&amp;"CY2024Q3",Spectrum!$R:$R,0)),""))</f>
        <v/>
      </c>
      <c r="AI58" s="218">
        <f>IF(LEFT($B58,4)="_Mil","",_xlfn.IFNA(ROUND(INDEX(Spectrum!$N:$N,MATCH(RIGHT($B58,13)&amp;"|"&amp;$C58&amp;"|"&amp;$D58&amp;"|"&amp;AI$14&amp;"|"&amp;"CY2025Q3",Spectrum!$R:$R,0)),0),""))</f>
        <v>29</v>
      </c>
      <c r="AJ58" s="38">
        <f>IF(LEFT($B58,4)="_Mil","",_xlfn.IFNA(ROUND(INDEX(Spectrum!$N:$N,MATCH(RIGHT($B58,13)&amp;"|"&amp;$C58&amp;"|"&amp;$D58&amp;"|"&amp;AJ$14&amp;"|"&amp;"CY2025Q3",Spectrum!$R:$R,0)),0),""))</f>
        <v>20</v>
      </c>
      <c r="AK58" s="218" t="e">
        <f>#REF!</f>
        <v>#REF!</v>
      </c>
      <c r="AL58" s="33" t="str">
        <f t="shared" si="7"/>
        <v/>
      </c>
      <c r="AM58" s="38" t="str">
        <f>IF(OR(LEFT($B58,4)="_Mil",$C58="&lt;01"),"",ROUND(SUM($AK58)*SUM($AL58),0))</f>
        <v/>
      </c>
      <c r="AN58" s="38">
        <f>IF($C58="&lt;01",ROUND(INDEX(EID!$P:$P,MATCH($B58,EID!$B:$B,0))/2,0),"")</f>
        <v>3</v>
      </c>
      <c r="AO58" s="38">
        <f>IF($C58="&lt;01",SUM($AN58),ROUND(SUM($AM58)*SUM($O58)/IF(SUM($Z58)=0,1,$Z58),0))</f>
        <v>3</v>
      </c>
      <c r="AP58" s="218">
        <f>IF(OR($F58="",$C58="&lt;01"),$AO58,ROUND($F58,0))</f>
        <v>3</v>
      </c>
      <c r="AQ58" s="218">
        <f>IF(LEFT($B58,4)="_Mil","",IF(SUM($AP58)=0,SUM($Z58),IF(OR(SUM($Z58)=0,SUM($O58)=0),MAX($AP58,$Z58),ROUND($AP58*$Z58/$O58,0))))</f>
        <v>3</v>
      </c>
      <c r="AR58" s="33" t="e">
        <f>IF(OR(LEFT($B58,4)="_Mil",SUM($AK58)=0),"",SUM($AQ58)/$AK58)</f>
        <v>#REF!</v>
      </c>
      <c r="AS58" s="33" t="str">
        <f t="shared" si="17"/>
        <v/>
      </c>
      <c r="AT58" s="33" t="str">
        <f t="shared" si="16"/>
        <v/>
      </c>
      <c r="AU58" s="38" t="str">
        <f>IF($C58="&lt;01","",SUM($AP58)-SUM($O58))</f>
        <v/>
      </c>
      <c r="AV58" s="38">
        <f>IF($C58="&lt;01",ROUND(INDEX(EID!$N:$N,MATCH($B58,EID!$B:$B,0))/2,0),IF(SUM($AT58)=0,"",ROUND((SUM($AP58)-(SUM($O58)*SUM($AS58)))/$AT58,0)))</f>
        <v>3</v>
      </c>
      <c r="AW58" s="33" t="str">
        <f t="shared" si="9"/>
        <v/>
      </c>
      <c r="AX58" s="218">
        <f>IF($C58="&lt;01",SUM($AV58),ROUND(SUM($AV58)*SUM($AW58),0))</f>
        <v>3</v>
      </c>
      <c r="AY58" s="79" t="str">
        <f t="shared" si="10"/>
        <v/>
      </c>
      <c r="AZ58" s="85">
        <f>IF($C58="&lt;01",ROUND(INDEX(EID!$R:$R,MATCH($B58,EID!$B:$B,0))/2,0),ROUND(SUM($O58)+(SUM($AV58)*$AY58),0))</f>
        <v>2</v>
      </c>
      <c r="BA58" s="40" t="str">
        <f t="shared" si="14"/>
        <v/>
      </c>
      <c r="BB58" s="99">
        <f>IF($C58="&lt;01",ROUND(INDEX(EID!$T:$T,MATCH($B58,EID!$B:$B,0))/2,0),ROUND($AP58*$BA58,0))</f>
        <v>2</v>
      </c>
      <c r="BC58" s="85">
        <f>IF(LEFT($B58,4)="_Mil","",IF(SUM($BB58)=0,SUM($AD58),IF(OR(SUM($AP58)=0,SUM($AQ58)=0),MAX($BB58,$AD58),ROUND($BB58*$AQ58/$AP58,0))))</f>
        <v>2</v>
      </c>
      <c r="BD58" s="33" t="str">
        <f t="shared" si="12"/>
        <v/>
      </c>
      <c r="BE58" s="218">
        <f>IF($C58="&lt;01",ROUND(INDEX(EID!$V:$V,MATCH($B58,EID!$B:$B,0))/2,0),ROUND($BD58*$BB58,0))</f>
        <v>2</v>
      </c>
      <c r="BF58" s="218">
        <f>IF(LEFT($B58,4)="_Mil","",IF(SUM($BE58)=0,SUM($AF58),IF(OR(SUM($AP58)=0,SUM($AQ58)=0),MAX($BE58,$AF58),ROUND($BE58*$AQ58/$AP58,0))))</f>
        <v>2</v>
      </c>
      <c r="BG58" s="79" t="str">
        <f t="shared" si="13"/>
        <v/>
      </c>
      <c r="BH58" s="99">
        <f>IF($C58="&lt;01",ROUND(INDEX(EID!$L:$L,MATCH($B58,EID!$B:$B,0)),0)/2,IF(SUM($BG58)=0,"",ROUND($AX58/$BG58,0)))</f>
        <v>2.5</v>
      </c>
    </row>
    <row r="59" spans="1:60" x14ac:dyDescent="0.2">
      <c r="A59" t="str">
        <f>INDEX(Prioritization!$D:$D,MATCH($B59,Prioritization!$A:$A,0))</f>
        <v>1 - Scale-up: Saturation</v>
      </c>
      <c r="B59" t="s">
        <v>315</v>
      </c>
      <c r="C59" t="s">
        <v>473</v>
      </c>
      <c r="D59" t="s">
        <v>30</v>
      </c>
      <c r="E59" t="str">
        <f t="shared" si="0"/>
        <v>Chikwawa District [U8c0so51kT6]|01-09|Female</v>
      </c>
      <c r="F59" s="229">
        <v>340</v>
      </c>
      <c r="G59" s="38">
        <v>68</v>
      </c>
      <c r="H59" s="38">
        <v>44</v>
      </c>
      <c r="I59" s="38">
        <v>396</v>
      </c>
      <c r="J59" s="38">
        <v>260</v>
      </c>
      <c r="K59" s="38">
        <v>213</v>
      </c>
      <c r="L59" s="38">
        <v>2</v>
      </c>
      <c r="M59" s="38">
        <v>2</v>
      </c>
      <c r="N59" s="38">
        <v>397</v>
      </c>
      <c r="O59" s="229">
        <v>396</v>
      </c>
      <c r="P59" s="38">
        <v>363</v>
      </c>
      <c r="Q59" s="38">
        <v>345</v>
      </c>
      <c r="R59" s="38">
        <f t="shared" si="2"/>
        <v>0</v>
      </c>
      <c r="S59" s="38">
        <f>IF(LEFT($B59,4)="_Mil","",_xlfn.IFNA(ROUND(INDEX(Spectrum!$N:$N,MATCH(RIGHT($B59,13)&amp;"|"&amp;$C59&amp;"|"&amp;$D59&amp;"|"&amp;S$14&amp;"|"&amp;"CY2023Q4",Spectrum!$R:$R,0)),0),""))</f>
        <v>367</v>
      </c>
      <c r="T59" s="218">
        <f>IF(LEFT($B59,4)="_Mil","",_xlfn.IFNA(ROUND(INDEX(Spectrum!$N:$N,MATCH(RIGHT($B59,13)&amp;"|"&amp;$C59&amp;"|"&amp;$D59&amp;"|"&amp;T$14&amp;"|"&amp;"CY2024Q3",Spectrum!$R:$R,0)),0),""))</f>
        <v>93338</v>
      </c>
      <c r="U59" s="218">
        <f>IF(LEFT($B59,4)="_Mil","",_xlfn.IFNA(ROUND(INDEX(Spectrum!$N:$N,MATCH(RIGHT($B59,13)&amp;"|"&amp;$C59&amp;"|"&amp;$D59&amp;"|"&amp;U$14&amp;"|"&amp;"CY2024Q3",Spectrum!$R:$R,0)),0),""))</f>
        <v>450</v>
      </c>
      <c r="V59" s="38">
        <f>IF(LEFT($B59,4)="_Mil","",_xlfn.IFNA(ROUND(INDEX(Spectrum!$N:$N,MATCH(RIGHT($B59,13)&amp;"|"&amp;$C59&amp;"|"&amp;$D59&amp;"|"&amp;V$14&amp;"|"&amp;"CY2024Q3",Spectrum!$R:$R,0)),0),""))</f>
        <v>399</v>
      </c>
      <c r="W59" s="220">
        <f>IF(LEFT($B59,4)="_Mil","",_xlfn.IFNA(INDEX(Spectrum!$N:$N,MATCH(RIGHT($B59,13)&amp;"|"&amp;$C59&amp;"|"&amp;$D59&amp;"|"&amp;W$14&amp;"|"&amp;"CY2024Q3",Spectrum!$R:$R,0)),""))</f>
        <v>4.8223720000000001E-3</v>
      </c>
      <c r="X59" s="218">
        <f>IF(LEFT($B59,4)="_Mil","",_xlfn.IFNA(ROUND(INDEX(Spectrum!$N:$N,MATCH(RIGHT($B59,13)&amp;"|"&amp;$C59&amp;"|"&amp;$D59&amp;"|"&amp;X$14&amp;"|"&amp;"CY2024Q3",Spectrum!$R:$R,0)),0),""))</f>
        <v>385</v>
      </c>
      <c r="Y59" s="33">
        <f t="shared" si="3"/>
        <v>0.86</v>
      </c>
      <c r="Z59" s="218">
        <f>IF(LEFT($B59,4)="_Mil","",_xlfn.IFNA(ROUND(INDEX(Spectrum!$N:$N,MATCH(RIGHT($B59,13)&amp;"|"&amp;$C59&amp;"|"&amp;$D59&amp;"|"&amp;Z$14&amp;"|"&amp;"CY2024Q3",Spectrum!$R:$R,0)),0),""))</f>
        <v>340</v>
      </c>
      <c r="AA59" s="33">
        <f>IF(LEFT($B59,4)="_Mil","",IFERROR(1/(1/INDEX(Spectrum!$N:$N,MATCH(RIGHT($B59,13)&amp;"|"&amp;$C59&amp;"|"&amp;$D59&amp;"|"&amp;AA$14&amp;"|"&amp;"CY2024Q3",Spectrum!$R:$R,0))),IF(SUM($U59)=0,"",SUM($Z59)/$U59)))</f>
        <v>0.83652184399999996</v>
      </c>
      <c r="AB59" s="33">
        <f t="shared" si="4"/>
        <v>0.88311688311688308</v>
      </c>
      <c r="AC59" s="38">
        <f>IF(LEFT($B59,4)="_Mil","",_xlfn.IFNA(ROUND(INDEX(Spectrum!$N:$N,MATCH(RIGHT($B59,13)&amp;"|"&amp;$C59&amp;"|"&amp;$D59&amp;"|"&amp;AC$14&amp;"|"&amp;"CY2024Q3",Spectrum!$R:$R,0)),0),""))</f>
        <v>60</v>
      </c>
      <c r="AD59" s="38" t="str">
        <f>IF(LEFT($B59,4)="_Mil","",_xlfn.IFNA(ROUND(INDEX(Spectrum!$N:$N,MATCH(RIGHT($B59,13)&amp;"|"&amp;$C59&amp;"|"&amp;$D59&amp;"|"&amp;AD$14&amp;"|"&amp;"CY2024Q3",Spectrum!$R:$R,0)),0),""))</f>
        <v/>
      </c>
      <c r="AE59" s="33">
        <f t="shared" si="5"/>
        <v>0</v>
      </c>
      <c r="AF59" s="218" t="str">
        <f>IF(LEFT($B59,4)="_Mil","",_xlfn.IFNA(ROUND(INDEX(Spectrum!$N:$N,MATCH(RIGHT($B59,13)&amp;"|"&amp;$C59&amp;"|"&amp;$D59&amp;"|"&amp;AF$14&amp;"|"&amp;"CY2024Q3",Spectrum!$R:$R,0)),0),""))</f>
        <v/>
      </c>
      <c r="AG59" s="33" t="str">
        <f t="shared" si="6"/>
        <v/>
      </c>
      <c r="AH59" s="110" t="str">
        <f>IF(LEFT($B59,4)="_Mil","",_xlfn.IFNA(INDEX(Spectrum!$N:$N,MATCH(RIGHT($B59,13)&amp;"|"&amp;$C59&amp;"|"&amp;$D59&amp;"|"&amp;AH$14&amp;"|"&amp;"CY2024Q3",Spectrum!$R:$R,0)),""))</f>
        <v/>
      </c>
      <c r="AI59" s="218">
        <f>IF(LEFT($B59,4)="_Mil","",_xlfn.IFNA(ROUND(INDEX(Spectrum!$N:$N,MATCH(RIGHT($B59,13)&amp;"|"&amp;$C59&amp;"|"&amp;$D59&amp;"|"&amp;AI$14&amp;"|"&amp;"CY2025Q3",Spectrum!$R:$R,0)),0),""))</f>
        <v>7</v>
      </c>
      <c r="AJ59" s="38">
        <f>IF(LEFT($B59,4)="_Mil","",_xlfn.IFNA(ROUND(INDEX(Spectrum!$N:$N,MATCH(RIGHT($B59,13)&amp;"|"&amp;$C59&amp;"|"&amp;$D59&amp;"|"&amp;AJ$14&amp;"|"&amp;"CY2025Q3",Spectrum!$R:$R,0)),0),""))</f>
        <v>384</v>
      </c>
      <c r="AK59" s="218" t="e">
        <f>#REF!</f>
        <v>#REF!</v>
      </c>
      <c r="AL59" s="33">
        <f t="shared" si="7"/>
        <v>0.9</v>
      </c>
      <c r="AM59" s="38" t="e">
        <f>IF(OR(LEFT($B59,4)="_Mil",$C59="&lt;01"),"",ROUND(SUM($AK59)*SUM($AL59),0))</f>
        <v>#REF!</v>
      </c>
      <c r="AN59" s="38" t="str">
        <f>IF($C59="&lt;01",ROUND(INDEX(EID!$P:$P,MATCH($B59,EID!$B:$B,0))/2,0),"")</f>
        <v/>
      </c>
      <c r="AO59" s="38" t="e">
        <f>IF($C59="&lt;01",SUM($AN59),ROUND(SUM($AM59)*SUM($O59)/IF(SUM($Z59)=0,1,$Z59),0))</f>
        <v>#REF!</v>
      </c>
      <c r="AP59" s="218">
        <f>IF(OR($F59="",$C59="&lt;01"),$AO59,ROUND($F59,0))</f>
        <v>340</v>
      </c>
      <c r="AQ59" s="218">
        <f>IF(LEFT($B59,4)="_Mil","",IF(SUM($AP59)=0,SUM($Z59),IF(OR(SUM($Z59)=0,SUM($O59)=0),MAX($AP59,$Z59),ROUND($AP59*$Z59/$O59,0))))</f>
        <v>292</v>
      </c>
      <c r="AR59" s="33" t="e">
        <f>IF(OR(LEFT($B59,4)="_Mil",SUM($AK59)=0),"",SUM($AQ59)/$AK59)</f>
        <v>#REF!</v>
      </c>
      <c r="AS59" s="33">
        <f>IF($C59="&lt;01","",80%)</f>
        <v>0.8</v>
      </c>
      <c r="AT59" s="33">
        <f t="shared" si="16"/>
        <v>0.98</v>
      </c>
      <c r="AU59" s="38">
        <f>IF($C59="&lt;01","",SUM($AP59)-SUM($O59))</f>
        <v>-56</v>
      </c>
      <c r="AV59" s="38">
        <f>IF($C59="&lt;01",ROUND(INDEX(EID!$N:$N,MATCH($B59,EID!$B:$B,0))/2,0),IF(SUM($AT59)=0,"",ROUND((SUM($AP59)-(SUM($O59)*SUM($AS59)))/$AT59,0)))</f>
        <v>24</v>
      </c>
      <c r="AW59" s="33">
        <f t="shared" si="9"/>
        <v>1</v>
      </c>
      <c r="AX59" s="218">
        <f>IF($C59="&lt;01",SUM($AV59),ROUND(SUM($AV59)*SUM($AW59),0))</f>
        <v>24</v>
      </c>
      <c r="AY59" s="79">
        <f t="shared" si="10"/>
        <v>0.7</v>
      </c>
      <c r="AZ59" s="85">
        <f>IF($C59="&lt;01",ROUND(INDEX(EID!$R:$R,MATCH($B59,EID!$B:$B,0))/2,0),ROUND(SUM($O59)+(SUM($AV59)*$AY59),0))</f>
        <v>413</v>
      </c>
      <c r="BA59" s="40">
        <f t="shared" si="14"/>
        <v>0.9</v>
      </c>
      <c r="BB59" s="99">
        <f>IF($C59="&lt;01",ROUND(INDEX(EID!$T:$T,MATCH($B59,EID!$B:$B,0))/2,0),ROUND($AP59*$BA59,0))</f>
        <v>306</v>
      </c>
      <c r="BC59" s="85">
        <f>IF(LEFT($B59,4)="_Mil","",IF(SUM($BB59)=0,SUM($AD59),IF(OR(SUM($AP59)=0,SUM($AQ59)=0),MAX($BB59,$AD59),ROUND($BB59*$AQ59/$AP59,0))))</f>
        <v>263</v>
      </c>
      <c r="BD59" s="33">
        <f t="shared" si="12"/>
        <v>0.95</v>
      </c>
      <c r="BE59" s="218">
        <f>IF($C59="&lt;01",ROUND(INDEX(EID!$V:$V,MATCH($B59,EID!$B:$B,0))/2,0),ROUND($BD59*$BB59,0))</f>
        <v>291</v>
      </c>
      <c r="BF59" s="218">
        <f>IF(LEFT($B59,4)="_Mil","",IF(SUM($BE59)=0,SUM($AF59),IF(OR(SUM($AP59)=0,SUM($AQ59)=0),MAX($BE59,$AF59),ROUND($BE59*$AQ59/$AP59,0))))</f>
        <v>250</v>
      </c>
      <c r="BG59" s="79">
        <f t="shared" si="13"/>
        <v>0.95</v>
      </c>
      <c r="BH59" s="99">
        <f>IF($C59="&lt;01",ROUND(INDEX(EID!$L:$L,MATCH($B59,EID!$B:$B,0)),0)/2,IF(SUM($BG59)=0,"",ROUND($AX59/$BG59,0)))</f>
        <v>25</v>
      </c>
    </row>
    <row r="60" spans="1:60" x14ac:dyDescent="0.2">
      <c r="A60" t="str">
        <f>INDEX(Prioritization!$D:$D,MATCH($B60,Prioritization!$A:$A,0))</f>
        <v>1 - Scale-up: Saturation</v>
      </c>
      <c r="B60" t="s">
        <v>315</v>
      </c>
      <c r="C60" t="s">
        <v>473</v>
      </c>
      <c r="D60" t="s">
        <v>48</v>
      </c>
      <c r="E60" t="str">
        <f t="shared" si="0"/>
        <v>Chikwawa District [U8c0so51kT6]|01-09|Male</v>
      </c>
      <c r="F60" s="229">
        <v>344</v>
      </c>
      <c r="G60" s="38">
        <v>41</v>
      </c>
      <c r="H60" s="38">
        <v>35</v>
      </c>
      <c r="I60" s="38">
        <v>346</v>
      </c>
      <c r="J60" s="38">
        <v>253</v>
      </c>
      <c r="K60" s="38">
        <v>188</v>
      </c>
      <c r="L60" s="38">
        <v>8</v>
      </c>
      <c r="M60" s="38">
        <v>8</v>
      </c>
      <c r="N60" s="38">
        <v>373</v>
      </c>
      <c r="O60" s="229">
        <v>346</v>
      </c>
      <c r="P60" s="38">
        <v>338</v>
      </c>
      <c r="Q60" s="38">
        <v>321</v>
      </c>
      <c r="R60" s="38">
        <f t="shared" si="2"/>
        <v>0</v>
      </c>
      <c r="S60" s="38">
        <f>IF(LEFT($B60,4)="_Mil","",_xlfn.IFNA(ROUND(INDEX(Spectrum!$N:$N,MATCH(RIGHT($B60,13)&amp;"|"&amp;$C60&amp;"|"&amp;$D60&amp;"|"&amp;S$14&amp;"|"&amp;"CY2023Q4",Spectrum!$R:$R,0)),0),""))</f>
        <v>349</v>
      </c>
      <c r="T60" s="218">
        <f>IF(LEFT($B60,4)="_Mil","",_xlfn.IFNA(ROUND(INDEX(Spectrum!$N:$N,MATCH(RIGHT($B60,13)&amp;"|"&amp;$C60&amp;"|"&amp;$D60&amp;"|"&amp;T$14&amp;"|"&amp;"CY2024Q3",Spectrum!$R:$R,0)),0),""))</f>
        <v>93323</v>
      </c>
      <c r="U60" s="218">
        <f>IF(LEFT($B60,4)="_Mil","",_xlfn.IFNA(ROUND(INDEX(Spectrum!$N:$N,MATCH(RIGHT($B60,13)&amp;"|"&amp;$C60&amp;"|"&amp;$D60&amp;"|"&amp;U$14&amp;"|"&amp;"CY2024Q3",Spectrum!$R:$R,0)),0),""))</f>
        <v>454</v>
      </c>
      <c r="V60" s="38">
        <f>IF(LEFT($B60,4)="_Mil","",_xlfn.IFNA(ROUND(INDEX(Spectrum!$N:$N,MATCH(RIGHT($B60,13)&amp;"|"&amp;$C60&amp;"|"&amp;$D60&amp;"|"&amp;V$14&amp;"|"&amp;"CY2024Q3",Spectrum!$R:$R,0)),0),""))</f>
        <v>402</v>
      </c>
      <c r="W60" s="220">
        <f>IF(LEFT($B60,4)="_Mil","",_xlfn.IFNA(INDEX(Spectrum!$N:$N,MATCH(RIGHT($B60,13)&amp;"|"&amp;$C60&amp;"|"&amp;$D60&amp;"|"&amp;W$14&amp;"|"&amp;"CY2024Q3",Spectrum!$R:$R,0)),""))</f>
        <v>4.8664759999999998E-3</v>
      </c>
      <c r="X60" s="218">
        <f>IF(LEFT($B60,4)="_Mil","",_xlfn.IFNA(ROUND(INDEX(Spectrum!$N:$N,MATCH(RIGHT($B60,13)&amp;"|"&amp;$C60&amp;"|"&amp;$D60&amp;"|"&amp;X$14&amp;"|"&amp;"CY2024Q3",Spectrum!$R:$R,0)),0),""))</f>
        <v>389</v>
      </c>
      <c r="Y60" s="33">
        <f t="shared" si="3"/>
        <v>0.86</v>
      </c>
      <c r="Z60" s="218">
        <f>IF(LEFT($B60,4)="_Mil","",_xlfn.IFNA(ROUND(INDEX(Spectrum!$N:$N,MATCH(RIGHT($B60,13)&amp;"|"&amp;$C60&amp;"|"&amp;$D60&amp;"|"&amp;Z$14&amp;"|"&amp;"CY2024Q3",Spectrum!$R:$R,0)),0),""))</f>
        <v>325</v>
      </c>
      <c r="AA60" s="33">
        <f>IF(LEFT($B60,4)="_Mil","",IFERROR(1/(1/INDEX(Spectrum!$N:$N,MATCH(RIGHT($B60,13)&amp;"|"&amp;$C60&amp;"|"&amp;$D60&amp;"|"&amp;AA$14&amp;"|"&amp;"CY2024Q3",Spectrum!$R:$R,0))),IF(SUM($U60)=0,"",SUM($Z60)/$U60)))</f>
        <v>0.83666390499999999</v>
      </c>
      <c r="AB60" s="33">
        <f t="shared" si="4"/>
        <v>0.83547557840616971</v>
      </c>
      <c r="AC60" s="38">
        <f>IF(LEFT($B60,4)="_Mil","",_xlfn.IFNA(ROUND(INDEX(Spectrum!$N:$N,MATCH(RIGHT($B60,13)&amp;"|"&amp;$C60&amp;"|"&amp;$D60&amp;"|"&amp;AC$14&amp;"|"&amp;"CY2024Q3",Spectrum!$R:$R,0)),0),""))</f>
        <v>77</v>
      </c>
      <c r="AD60" s="38" t="str">
        <f>IF(LEFT($B60,4)="_Mil","",_xlfn.IFNA(ROUND(INDEX(Spectrum!$N:$N,MATCH(RIGHT($B60,13)&amp;"|"&amp;$C60&amp;"|"&amp;$D60&amp;"|"&amp;AD$14&amp;"|"&amp;"CY2024Q3",Spectrum!$R:$R,0)),0),""))</f>
        <v/>
      </c>
      <c r="AE60" s="33">
        <f t="shared" si="5"/>
        <v>0</v>
      </c>
      <c r="AF60" s="218" t="str">
        <f>IF(LEFT($B60,4)="_Mil","",_xlfn.IFNA(ROUND(INDEX(Spectrum!$N:$N,MATCH(RIGHT($B60,13)&amp;"|"&amp;$C60&amp;"|"&amp;$D60&amp;"|"&amp;AF$14&amp;"|"&amp;"CY2024Q3",Spectrum!$R:$R,0)),0),""))</f>
        <v/>
      </c>
      <c r="AG60" s="33" t="str">
        <f t="shared" si="6"/>
        <v/>
      </c>
      <c r="AH60" s="110" t="str">
        <f>IF(LEFT($B60,4)="_Mil","",_xlfn.IFNA(INDEX(Spectrum!$N:$N,MATCH(RIGHT($B60,13)&amp;"|"&amp;$C60&amp;"|"&amp;$D60&amp;"|"&amp;AH$14&amp;"|"&amp;"CY2024Q3",Spectrum!$R:$R,0)),""))</f>
        <v/>
      </c>
      <c r="AI60" s="218">
        <f>IF(LEFT($B60,4)="_Mil","",_xlfn.IFNA(ROUND(INDEX(Spectrum!$N:$N,MATCH(RIGHT($B60,13)&amp;"|"&amp;$C60&amp;"|"&amp;$D60&amp;"|"&amp;AI$14&amp;"|"&amp;"CY2025Q3",Spectrum!$R:$R,0)),0),""))</f>
        <v>7</v>
      </c>
      <c r="AJ60" s="38">
        <f>IF(LEFT($B60,4)="_Mil","",_xlfn.IFNA(ROUND(INDEX(Spectrum!$N:$N,MATCH(RIGHT($B60,13)&amp;"|"&amp;$C60&amp;"|"&amp;$D60&amp;"|"&amp;AJ$14&amp;"|"&amp;"CY2025Q3",Spectrum!$R:$R,0)),0),""))</f>
        <v>388</v>
      </c>
      <c r="AK60" s="218" t="e">
        <f>#REF!</f>
        <v>#REF!</v>
      </c>
      <c r="AL60" s="33">
        <f t="shared" si="7"/>
        <v>0.9</v>
      </c>
      <c r="AM60" s="38" t="e">
        <f>IF(OR(LEFT($B60,4)="_Mil",$C60="&lt;01"),"",ROUND(SUM($AK60)*SUM($AL60),0))</f>
        <v>#REF!</v>
      </c>
      <c r="AN60" s="38" t="str">
        <f>IF($C60="&lt;01",ROUND(INDEX(EID!$P:$P,MATCH($B60,EID!$B:$B,0))/2,0),"")</f>
        <v/>
      </c>
      <c r="AO60" s="38" t="e">
        <f>IF($C60="&lt;01",SUM($AN60),ROUND(SUM($AM60)*SUM($O60)/IF(SUM($Z60)=0,1,$Z60),0))</f>
        <v>#REF!</v>
      </c>
      <c r="AP60" s="218">
        <f>IF(OR($F60="",$C60="&lt;01"),$AO60,ROUND($F60,0))</f>
        <v>344</v>
      </c>
      <c r="AQ60" s="218">
        <f>IF(LEFT($B60,4)="_Mil","",IF(SUM($AP60)=0,SUM($Z60),IF(OR(SUM($Z60)=0,SUM($O60)=0),MAX($AP60,$Z60),ROUND($AP60*$Z60/$O60,0))))</f>
        <v>323</v>
      </c>
      <c r="AR60" s="33" t="e">
        <f>IF(OR(LEFT($B60,4)="_Mil",SUM($AK60)=0),"",SUM($AQ60)/$AK60)</f>
        <v>#REF!</v>
      </c>
      <c r="AS60" s="33">
        <f>IF($C60="&lt;01","",98%)</f>
        <v>0.98</v>
      </c>
      <c r="AT60" s="33">
        <f t="shared" si="16"/>
        <v>0.98</v>
      </c>
      <c r="AU60" s="38">
        <f>IF($C60="&lt;01","",SUM($AP60)-SUM($O60))</f>
        <v>-2</v>
      </c>
      <c r="AV60" s="38">
        <f>IF($C60="&lt;01",ROUND(INDEX(EID!$N:$N,MATCH($B60,EID!$B:$B,0))/2,0),IF(SUM($AT60)=0,"",ROUND((SUM($AP60)-(SUM($O60)*SUM($AS60)))/$AT60,0)))</f>
        <v>5</v>
      </c>
      <c r="AW60" s="33">
        <f t="shared" si="9"/>
        <v>1</v>
      </c>
      <c r="AX60" s="218">
        <f>IF($C60="&lt;01",SUM($AV60),ROUND(SUM($AV60)*SUM($AW60),0))</f>
        <v>5</v>
      </c>
      <c r="AY60" s="79">
        <f t="shared" si="10"/>
        <v>0.7</v>
      </c>
      <c r="AZ60" s="85">
        <f>IF($C60="&lt;01",ROUND(INDEX(EID!$R:$R,MATCH($B60,EID!$B:$B,0))/2,0),ROUND(SUM($O60)+(SUM($AV60)*$AY60),0))</f>
        <v>350</v>
      </c>
      <c r="BA60" s="40">
        <f t="shared" si="14"/>
        <v>0.9</v>
      </c>
      <c r="BB60" s="99">
        <f>IF($C60="&lt;01",ROUND(INDEX(EID!$T:$T,MATCH($B60,EID!$B:$B,0))/2,0),ROUND($AP60*$BA60,0))</f>
        <v>310</v>
      </c>
      <c r="BC60" s="85">
        <f>IF(LEFT($B60,4)="_Mil","",IF(SUM($BB60)=0,SUM($AD60),IF(OR(SUM($AP60)=0,SUM($AQ60)=0),MAX($BB60,$AD60),ROUND($BB60*$AQ60/$AP60,0))))</f>
        <v>291</v>
      </c>
      <c r="BD60" s="33">
        <f t="shared" si="12"/>
        <v>0.95</v>
      </c>
      <c r="BE60" s="218">
        <f>IF($C60="&lt;01",ROUND(INDEX(EID!$V:$V,MATCH($B60,EID!$B:$B,0))/2,0),ROUND($BD60*$BB60,0))</f>
        <v>295</v>
      </c>
      <c r="BF60" s="218">
        <f>IF(LEFT($B60,4)="_Mil","",IF(SUM($BE60)=0,SUM($AF60),IF(OR(SUM($AP60)=0,SUM($AQ60)=0),MAX($BE60,$AF60),ROUND($BE60*$AQ60/$AP60,0))))</f>
        <v>277</v>
      </c>
      <c r="BG60" s="79">
        <f t="shared" si="13"/>
        <v>0.95</v>
      </c>
      <c r="BH60" s="99">
        <f>IF($C60="&lt;01",ROUND(INDEX(EID!$L:$L,MATCH($B60,EID!$B:$B,0)),0)/2,IF(SUM($BG60)=0,"",ROUND($AX60/$BG60,0)))</f>
        <v>5</v>
      </c>
    </row>
    <row r="61" spans="1:60" x14ac:dyDescent="0.2">
      <c r="A61" t="str">
        <f>INDEX(Prioritization!$D:$D,MATCH($B61,Prioritization!$A:$A,0))</f>
        <v>1 - Scale-up: Saturation</v>
      </c>
      <c r="B61" t="s">
        <v>315</v>
      </c>
      <c r="C61" t="s">
        <v>474</v>
      </c>
      <c r="D61" t="s">
        <v>30</v>
      </c>
      <c r="E61" t="str">
        <f t="shared" si="0"/>
        <v>Chikwawa District [U8c0so51kT6]|10-14|Female</v>
      </c>
      <c r="F61" s="229">
        <v>431</v>
      </c>
      <c r="G61" s="38">
        <v>27</v>
      </c>
      <c r="H61" s="38">
        <v>19</v>
      </c>
      <c r="I61" s="38">
        <v>443</v>
      </c>
      <c r="J61" s="38">
        <v>276</v>
      </c>
      <c r="K61" s="38">
        <v>205</v>
      </c>
      <c r="L61" s="38">
        <v>11</v>
      </c>
      <c r="M61" s="38">
        <v>10</v>
      </c>
      <c r="N61" s="38">
        <v>421</v>
      </c>
      <c r="O61" s="229">
        <v>447</v>
      </c>
      <c r="P61" s="38">
        <v>381</v>
      </c>
      <c r="Q61" s="38">
        <v>362</v>
      </c>
      <c r="R61" s="38">
        <f t="shared" si="2"/>
        <v>4</v>
      </c>
      <c r="S61" s="38">
        <f>IF(LEFT($B61,4)="_Mil","",_xlfn.IFNA(ROUND(INDEX(Spectrum!$N:$N,MATCH(RIGHT($B61,13)&amp;"|"&amp;$C61&amp;"|"&amp;$D61&amp;"|"&amp;S$14&amp;"|"&amp;"CY2023Q4",Spectrum!$R:$R,0)),0),""))</f>
        <v>432</v>
      </c>
      <c r="T61" s="218">
        <f>IF(LEFT($B61,4)="_Mil","",_xlfn.IFNA(ROUND(INDEX(Spectrum!$N:$N,MATCH(RIGHT($B61,13)&amp;"|"&amp;$C61&amp;"|"&amp;$D61&amp;"|"&amp;T$14&amp;"|"&amp;"CY2024Q3",Spectrum!$R:$R,0)),0),""))</f>
        <v>41803</v>
      </c>
      <c r="U61" s="218">
        <f>IF(LEFT($B61,4)="_Mil","",_xlfn.IFNA(ROUND(INDEX(Spectrum!$N:$N,MATCH(RIGHT($B61,13)&amp;"|"&amp;$C61&amp;"|"&amp;$D61&amp;"|"&amp;U$14&amp;"|"&amp;"CY2024Q3",Spectrum!$R:$R,0)),0),""))</f>
        <v>535</v>
      </c>
      <c r="V61" s="38">
        <f>IF(LEFT($B61,4)="_Mil","",_xlfn.IFNA(ROUND(INDEX(Spectrum!$N:$N,MATCH(RIGHT($B61,13)&amp;"|"&amp;$C61&amp;"|"&amp;$D61&amp;"|"&amp;V$14&amp;"|"&amp;"CY2024Q3",Spectrum!$R:$R,0)),0),""))</f>
        <v>475</v>
      </c>
      <c r="W61" s="220">
        <f>IF(LEFT($B61,4)="_Mil","",_xlfn.IFNA(INDEX(Spectrum!$N:$N,MATCH(RIGHT($B61,13)&amp;"|"&amp;$C61&amp;"|"&amp;$D61&amp;"|"&amp;W$14&amp;"|"&amp;"CY2024Q3",Spectrum!$R:$R,0)),""))</f>
        <v>1.2805311E-2</v>
      </c>
      <c r="X61" s="218">
        <f>IF(LEFT($B61,4)="_Mil","",_xlfn.IFNA(ROUND(INDEX(Spectrum!$N:$N,MATCH(RIGHT($B61,13)&amp;"|"&amp;$C61&amp;"|"&amp;$D61&amp;"|"&amp;X$14&amp;"|"&amp;"CY2024Q3",Spectrum!$R:$R,0)),0),""))</f>
        <v>471</v>
      </c>
      <c r="Y61" s="33">
        <f t="shared" si="3"/>
        <v>0.88</v>
      </c>
      <c r="Z61" s="218">
        <f>IF(LEFT($B61,4)="_Mil","",_xlfn.IFNA(ROUND(INDEX(Spectrum!$N:$N,MATCH(RIGHT($B61,13)&amp;"|"&amp;$C61&amp;"|"&amp;$D61&amp;"|"&amp;Z$14&amp;"|"&amp;"CY2024Q3",Spectrum!$R:$R,0)),0),""))</f>
        <v>420</v>
      </c>
      <c r="AA61" s="33">
        <f>IF(LEFT($B61,4)="_Mil","",IFERROR(1/(1/INDEX(Spectrum!$N:$N,MATCH(RIGHT($B61,13)&amp;"|"&amp;$C61&amp;"|"&amp;$D61&amp;"|"&amp;AA$14&amp;"|"&amp;"CY2024Q3",Spectrum!$R:$R,0))),IF(SUM($U61)=0,"",SUM($Z61)/$U61)))</f>
        <v>0.85945853100000003</v>
      </c>
      <c r="AB61" s="33">
        <f t="shared" si="4"/>
        <v>0.89171974522292996</v>
      </c>
      <c r="AC61" s="38">
        <f>IF(LEFT($B61,4)="_Mil","",_xlfn.IFNA(ROUND(INDEX(Spectrum!$N:$N,MATCH(RIGHT($B61,13)&amp;"|"&amp;$C61&amp;"|"&amp;$D61&amp;"|"&amp;AC$14&amp;"|"&amp;"CY2024Q3",Spectrum!$R:$R,0)),0),""))</f>
        <v>54</v>
      </c>
      <c r="AD61" s="38" t="str">
        <f>IF(LEFT($B61,4)="_Mil","",_xlfn.IFNA(ROUND(INDEX(Spectrum!$N:$N,MATCH(RIGHT($B61,13)&amp;"|"&amp;$C61&amp;"|"&amp;$D61&amp;"|"&amp;AD$14&amp;"|"&amp;"CY2024Q3",Spectrum!$R:$R,0)),0),""))</f>
        <v/>
      </c>
      <c r="AE61" s="33">
        <f t="shared" si="5"/>
        <v>0</v>
      </c>
      <c r="AF61" s="218" t="str">
        <f>IF(LEFT($B61,4)="_Mil","",_xlfn.IFNA(ROUND(INDEX(Spectrum!$N:$N,MATCH(RIGHT($B61,13)&amp;"|"&amp;$C61&amp;"|"&amp;$D61&amp;"|"&amp;AF$14&amp;"|"&amp;"CY2024Q3",Spectrum!$R:$R,0)),0),""))</f>
        <v/>
      </c>
      <c r="AG61" s="33" t="str">
        <f t="shared" si="6"/>
        <v/>
      </c>
      <c r="AH61" s="110" t="str">
        <f>IF(LEFT($B61,4)="_Mil","",_xlfn.IFNA(INDEX(Spectrum!$N:$N,MATCH(RIGHT($B61,13)&amp;"|"&amp;$C61&amp;"|"&amp;$D61&amp;"|"&amp;AH$14&amp;"|"&amp;"CY2024Q3",Spectrum!$R:$R,0)),""))</f>
        <v/>
      </c>
      <c r="AI61" s="218">
        <f>IF(LEFT($B61,4)="_Mil","",_xlfn.IFNA(ROUND(INDEX(Spectrum!$N:$N,MATCH(RIGHT($B61,13)&amp;"|"&amp;$C61&amp;"|"&amp;$D61&amp;"|"&amp;AI$14&amp;"|"&amp;"CY2025Q3",Spectrum!$R:$R,0)),0),""))</f>
        <v>0</v>
      </c>
      <c r="AJ61" s="38">
        <f>IF(LEFT($B61,4)="_Mil","",_xlfn.IFNA(ROUND(INDEX(Spectrum!$N:$N,MATCH(RIGHT($B61,13)&amp;"|"&amp;$C61&amp;"|"&amp;$D61&amp;"|"&amp;AJ$14&amp;"|"&amp;"CY2025Q3",Spectrum!$R:$R,0)),0),""))</f>
        <v>486</v>
      </c>
      <c r="AK61" s="218" t="e">
        <f>#REF!</f>
        <v>#REF!</v>
      </c>
      <c r="AL61" s="33">
        <f t="shared" si="7"/>
        <v>0.9</v>
      </c>
      <c r="AM61" s="38" t="e">
        <f>IF(OR(LEFT($B61,4)="_Mil",$C61="&lt;01"),"",ROUND(SUM($AK61)*SUM($AL61),0))</f>
        <v>#REF!</v>
      </c>
      <c r="AN61" s="38" t="str">
        <f>IF($C61="&lt;01",ROUND(INDEX(EID!$P:$P,MATCH($B61,EID!$B:$B,0))/2,0),"")</f>
        <v/>
      </c>
      <c r="AO61" s="38" t="e">
        <f>IF($C61="&lt;01",SUM($AN61),ROUND(SUM($AM61)*SUM($O61)/IF(SUM($Z61)=0,1,$Z61),0))</f>
        <v>#REF!</v>
      </c>
      <c r="AP61" s="218">
        <f>IF(OR($F61="",$C61="&lt;01"),$AO61,ROUND($F61,0))</f>
        <v>431</v>
      </c>
      <c r="AQ61" s="218">
        <f>IF(LEFT($B61,4)="_Mil","",IF(SUM($AP61)=0,SUM($Z61),IF(OR(SUM($Z61)=0,SUM($O61)=0),MAX($AP61,$Z61),ROUND($AP61*$Z61/$O61,0))))</f>
        <v>405</v>
      </c>
      <c r="AR61" s="33" t="e">
        <f>IF(OR(LEFT($B61,4)="_Mil",SUM($AK61)=0),"",SUM($AQ61)/$AK61)</f>
        <v>#REF!</v>
      </c>
      <c r="AS61" s="33">
        <f>IF($C61="&lt;01","",93%)</f>
        <v>0.93</v>
      </c>
      <c r="AT61" s="33">
        <f t="shared" si="16"/>
        <v>0.98</v>
      </c>
      <c r="AU61" s="38">
        <f>IF($C61="&lt;01","",SUM($AP61)-SUM($O61))</f>
        <v>-16</v>
      </c>
      <c r="AV61" s="38">
        <f>IF($C61="&lt;01",ROUND(INDEX(EID!$N:$N,MATCH($B61,EID!$B:$B,0))/2,0),IF(SUM($AT61)=0,"",ROUND((SUM($AP61)-(SUM($O61)*SUM($AS61)))/$AT61,0)))</f>
        <v>16</v>
      </c>
      <c r="AW61" s="33">
        <f t="shared" si="9"/>
        <v>1</v>
      </c>
      <c r="AX61" s="218">
        <f>IF($C61="&lt;01",SUM($AV61),ROUND(SUM($AV61)*SUM($AW61),0))</f>
        <v>16</v>
      </c>
      <c r="AY61" s="79">
        <f t="shared" si="10"/>
        <v>0.7</v>
      </c>
      <c r="AZ61" s="85">
        <f>IF($C61="&lt;01",ROUND(INDEX(EID!$R:$R,MATCH($B61,EID!$B:$B,0))/2,0),ROUND(SUM($O61)+(SUM($AV61)*$AY61),0))</f>
        <v>458</v>
      </c>
      <c r="BA61" s="40">
        <f t="shared" si="14"/>
        <v>0.9</v>
      </c>
      <c r="BB61" s="99">
        <f>IF($C61="&lt;01",ROUND(INDEX(EID!$T:$T,MATCH($B61,EID!$B:$B,0))/2,0),ROUND($AP61*$BA61,0))</f>
        <v>388</v>
      </c>
      <c r="BC61" s="85">
        <f>IF(LEFT($B61,4)="_Mil","",IF(SUM($BB61)=0,SUM($AD61),IF(OR(SUM($AP61)=0,SUM($AQ61)=0),MAX($BB61,$AD61),ROUND($BB61*$AQ61/$AP61,0))))</f>
        <v>365</v>
      </c>
      <c r="BD61" s="33">
        <f t="shared" si="12"/>
        <v>0.95</v>
      </c>
      <c r="BE61" s="218">
        <f>IF($C61="&lt;01",ROUND(INDEX(EID!$V:$V,MATCH($B61,EID!$B:$B,0))/2,0),ROUND($BD61*$BB61,0))</f>
        <v>369</v>
      </c>
      <c r="BF61" s="218">
        <f>IF(LEFT($B61,4)="_Mil","",IF(SUM($BE61)=0,SUM($AF61),IF(OR(SUM($AP61)=0,SUM($AQ61)=0),MAX($BE61,$AF61),ROUND($BE61*$AQ61/$AP61,0))))</f>
        <v>347</v>
      </c>
      <c r="BG61" s="79">
        <f t="shared" si="13"/>
        <v>0.95</v>
      </c>
      <c r="BH61" s="99">
        <f>IF($C61="&lt;01",ROUND(INDEX(EID!$L:$L,MATCH($B61,EID!$B:$B,0)),0)/2,IF(SUM($BG61)=0,"",ROUND($AX61/$BG61,0)))</f>
        <v>17</v>
      </c>
    </row>
    <row r="62" spans="1:60" x14ac:dyDescent="0.2">
      <c r="A62" t="str">
        <f>INDEX(Prioritization!$D:$D,MATCH($B62,Prioritization!$A:$A,0))</f>
        <v>1 - Scale-up: Saturation</v>
      </c>
      <c r="B62" t="s">
        <v>315</v>
      </c>
      <c r="C62" t="s">
        <v>474</v>
      </c>
      <c r="D62" t="s">
        <v>48</v>
      </c>
      <c r="E62" t="str">
        <f t="shared" si="0"/>
        <v>Chikwawa District [U8c0so51kT6]|10-14|Male</v>
      </c>
      <c r="F62" s="229">
        <v>418</v>
      </c>
      <c r="G62" s="38">
        <v>20</v>
      </c>
      <c r="H62" s="38">
        <v>13</v>
      </c>
      <c r="I62" s="38">
        <v>418</v>
      </c>
      <c r="J62" s="38">
        <v>257</v>
      </c>
      <c r="K62" s="38">
        <v>183</v>
      </c>
      <c r="L62" s="38">
        <v>75</v>
      </c>
      <c r="M62" s="38">
        <v>71</v>
      </c>
      <c r="N62" s="38">
        <v>435</v>
      </c>
      <c r="O62" s="229">
        <v>418</v>
      </c>
      <c r="P62" s="38">
        <v>363</v>
      </c>
      <c r="Q62" s="38">
        <v>345</v>
      </c>
      <c r="R62" s="38">
        <f t="shared" si="2"/>
        <v>0</v>
      </c>
      <c r="S62" s="38">
        <f>IF(LEFT($B62,4)="_Mil","",_xlfn.IFNA(ROUND(INDEX(Spectrum!$N:$N,MATCH(RIGHT($B62,13)&amp;"|"&amp;$C62&amp;"|"&amp;$D62&amp;"|"&amp;S$14&amp;"|"&amp;"CY2023Q4",Spectrum!$R:$R,0)),0),""))</f>
        <v>412</v>
      </c>
      <c r="T62" s="218">
        <f>IF(LEFT($B62,4)="_Mil","",_xlfn.IFNA(ROUND(INDEX(Spectrum!$N:$N,MATCH(RIGHT($B62,13)&amp;"|"&amp;$C62&amp;"|"&amp;$D62&amp;"|"&amp;T$14&amp;"|"&amp;"CY2024Q3",Spectrum!$R:$R,0)),0),""))</f>
        <v>42148</v>
      </c>
      <c r="U62" s="218">
        <f>IF(LEFT($B62,4)="_Mil","",_xlfn.IFNA(ROUND(INDEX(Spectrum!$N:$N,MATCH(RIGHT($B62,13)&amp;"|"&amp;$C62&amp;"|"&amp;$D62&amp;"|"&amp;U$14&amp;"|"&amp;"CY2024Q3",Spectrum!$R:$R,0)),0),""))</f>
        <v>540</v>
      </c>
      <c r="V62" s="38">
        <f>IF(LEFT($B62,4)="_Mil","",_xlfn.IFNA(ROUND(INDEX(Spectrum!$N:$N,MATCH(RIGHT($B62,13)&amp;"|"&amp;$C62&amp;"|"&amp;$D62&amp;"|"&amp;V$14&amp;"|"&amp;"CY2024Q3",Spectrum!$R:$R,0)),0),""))</f>
        <v>479</v>
      </c>
      <c r="W62" s="220">
        <f>IF(LEFT($B62,4)="_Mil","",_xlfn.IFNA(INDEX(Spectrum!$N:$N,MATCH(RIGHT($B62,13)&amp;"|"&amp;$C62&amp;"|"&amp;$D62&amp;"|"&amp;W$14&amp;"|"&amp;"CY2024Q3",Spectrum!$R:$R,0)),""))</f>
        <v>1.2819005E-2</v>
      </c>
      <c r="X62" s="218">
        <f>IF(LEFT($B62,4)="_Mil","",_xlfn.IFNA(ROUND(INDEX(Spectrum!$N:$N,MATCH(RIGHT($B62,13)&amp;"|"&amp;$C62&amp;"|"&amp;$D62&amp;"|"&amp;X$14&amp;"|"&amp;"CY2024Q3",Spectrum!$R:$R,0)),0),""))</f>
        <v>475</v>
      </c>
      <c r="Y62" s="33">
        <f t="shared" si="3"/>
        <v>0.88</v>
      </c>
      <c r="Z62" s="218">
        <f>IF(LEFT($B62,4)="_Mil","",_xlfn.IFNA(ROUND(INDEX(Spectrum!$N:$N,MATCH(RIGHT($B62,13)&amp;"|"&amp;$C62&amp;"|"&amp;$D62&amp;"|"&amp;Z$14&amp;"|"&amp;"CY2024Q3",Spectrum!$R:$R,0)),0),""))</f>
        <v>403</v>
      </c>
      <c r="AA62" s="33">
        <f>IF(LEFT($B62,4)="_Mil","",IFERROR(1/(1/INDEX(Spectrum!$N:$N,MATCH(RIGHT($B62,13)&amp;"|"&amp;$C62&amp;"|"&amp;$D62&amp;"|"&amp;AA$14&amp;"|"&amp;"CY2024Q3",Spectrum!$R:$R,0))),IF(SUM($U62)=0,"",SUM($Z62)/$U62)))</f>
        <v>0.85936718799999989</v>
      </c>
      <c r="AB62" s="33">
        <f t="shared" si="4"/>
        <v>0.84842105263157896</v>
      </c>
      <c r="AC62" s="38">
        <f>IF(LEFT($B62,4)="_Mil","",_xlfn.IFNA(ROUND(INDEX(Spectrum!$N:$N,MATCH(RIGHT($B62,13)&amp;"|"&amp;$C62&amp;"|"&amp;$D62&amp;"|"&amp;AC$14&amp;"|"&amp;"CY2024Q3",Spectrum!$R:$R,0)),0),""))</f>
        <v>76</v>
      </c>
      <c r="AD62" s="38" t="str">
        <f>IF(LEFT($B62,4)="_Mil","",_xlfn.IFNA(ROUND(INDEX(Spectrum!$N:$N,MATCH(RIGHT($B62,13)&amp;"|"&amp;$C62&amp;"|"&amp;$D62&amp;"|"&amp;AD$14&amp;"|"&amp;"CY2024Q3",Spectrum!$R:$R,0)),0),""))</f>
        <v/>
      </c>
      <c r="AE62" s="33">
        <f t="shared" si="5"/>
        <v>0</v>
      </c>
      <c r="AF62" s="218" t="str">
        <f>IF(LEFT($B62,4)="_Mil","",_xlfn.IFNA(ROUND(INDEX(Spectrum!$N:$N,MATCH(RIGHT($B62,13)&amp;"|"&amp;$C62&amp;"|"&amp;$D62&amp;"|"&amp;AF$14&amp;"|"&amp;"CY2024Q3",Spectrum!$R:$R,0)),0),""))</f>
        <v/>
      </c>
      <c r="AG62" s="33" t="str">
        <f t="shared" si="6"/>
        <v/>
      </c>
      <c r="AH62" s="110" t="str">
        <f>IF(LEFT($B62,4)="_Mil","",_xlfn.IFNA(INDEX(Spectrum!$N:$N,MATCH(RIGHT($B62,13)&amp;"|"&amp;$C62&amp;"|"&amp;$D62&amp;"|"&amp;AH$14&amp;"|"&amp;"CY2024Q3",Spectrum!$R:$R,0)),""))</f>
        <v/>
      </c>
      <c r="AI62" s="218">
        <f>IF(LEFT($B62,4)="_Mil","",_xlfn.IFNA(ROUND(INDEX(Spectrum!$N:$N,MATCH(RIGHT($B62,13)&amp;"|"&amp;$C62&amp;"|"&amp;$D62&amp;"|"&amp;AI$14&amp;"|"&amp;"CY2025Q3",Spectrum!$R:$R,0)),0),""))</f>
        <v>0</v>
      </c>
      <c r="AJ62" s="38">
        <f>IF(LEFT($B62,4)="_Mil","",_xlfn.IFNA(ROUND(INDEX(Spectrum!$N:$N,MATCH(RIGHT($B62,13)&amp;"|"&amp;$C62&amp;"|"&amp;$D62&amp;"|"&amp;AJ$14&amp;"|"&amp;"CY2025Q3",Spectrum!$R:$R,0)),0),""))</f>
        <v>491</v>
      </c>
      <c r="AK62" s="218" t="e">
        <f>#REF!</f>
        <v>#REF!</v>
      </c>
      <c r="AL62" s="33">
        <f t="shared" si="7"/>
        <v>0.9</v>
      </c>
      <c r="AM62" s="38" t="e">
        <f>IF(OR(LEFT($B62,4)="_Mil",$C62="&lt;01"),"",ROUND(SUM($AK62)*SUM($AL62),0))</f>
        <v>#REF!</v>
      </c>
      <c r="AN62" s="38" t="str">
        <f>IF($C62="&lt;01",ROUND(INDEX(EID!$P:$P,MATCH($B62,EID!$B:$B,0))/2,0),"")</f>
        <v/>
      </c>
      <c r="AO62" s="38" t="e">
        <f>IF($C62="&lt;01",SUM($AN62),ROUND(SUM($AM62)*SUM($O62)/IF(SUM($Z62)=0,1,$Z62),0))</f>
        <v>#REF!</v>
      </c>
      <c r="AP62" s="218">
        <f>IF(OR($F62="",$C62="&lt;01"),$AO62,ROUND($F62,0))</f>
        <v>418</v>
      </c>
      <c r="AQ62" s="218">
        <f>IF(LEFT($B62,4)="_Mil","",IF(SUM($AP62)=0,SUM($Z62),IF(OR(SUM($Z62)=0,SUM($O62)=0),MAX($AP62,$Z62),ROUND($AP62*$Z62/$O62,0))))</f>
        <v>403</v>
      </c>
      <c r="AR62" s="33" t="e">
        <f>IF(OR(LEFT($B62,4)="_Mil",SUM($AK62)=0),"",SUM($AQ62)/$AK62)</f>
        <v>#REF!</v>
      </c>
      <c r="AS62" s="33">
        <f>IF($C62="&lt;01","",98%)</f>
        <v>0.98</v>
      </c>
      <c r="AT62" s="33">
        <f t="shared" si="16"/>
        <v>0.98</v>
      </c>
      <c r="AU62" s="38">
        <f>IF($C62="&lt;01","",SUM($AP62)-SUM($O62))</f>
        <v>0</v>
      </c>
      <c r="AV62" s="38">
        <f>IF($C62="&lt;01",ROUND(INDEX(EID!$N:$N,MATCH($B62,EID!$B:$B,0))/2,0),IF(SUM($AT62)=0,"",ROUND((SUM($AP62)-(SUM($O62)*SUM($AS62)))/$AT62,0)))</f>
        <v>9</v>
      </c>
      <c r="AW62" s="33">
        <f t="shared" si="9"/>
        <v>1</v>
      </c>
      <c r="AX62" s="218">
        <f>IF($C62="&lt;01",SUM($AV62),ROUND(SUM($AV62)*SUM($AW62),0))</f>
        <v>9</v>
      </c>
      <c r="AY62" s="79">
        <f t="shared" si="10"/>
        <v>0.7</v>
      </c>
      <c r="AZ62" s="85">
        <f>IF($C62="&lt;01",ROUND(INDEX(EID!$R:$R,MATCH($B62,EID!$B:$B,0))/2,0),ROUND(SUM($O62)+(SUM($AV62)*$AY62),0))</f>
        <v>424</v>
      </c>
      <c r="BA62" s="40">
        <f t="shared" si="14"/>
        <v>0.9</v>
      </c>
      <c r="BB62" s="99">
        <f>IF($C62="&lt;01",ROUND(INDEX(EID!$T:$T,MATCH($B62,EID!$B:$B,0))/2,0),ROUND($AP62*$BA62,0))</f>
        <v>376</v>
      </c>
      <c r="BC62" s="85">
        <f>IF(LEFT($B62,4)="_Mil","",IF(SUM($BB62)=0,SUM($AD62),IF(OR(SUM($AP62)=0,SUM($AQ62)=0),MAX($BB62,$AD62),ROUND($BB62*$AQ62/$AP62,0))))</f>
        <v>363</v>
      </c>
      <c r="BD62" s="33">
        <f t="shared" si="12"/>
        <v>0.95</v>
      </c>
      <c r="BE62" s="218">
        <f>IF($C62="&lt;01",ROUND(INDEX(EID!$V:$V,MATCH($B62,EID!$B:$B,0))/2,0),ROUND($BD62*$BB62,0))</f>
        <v>357</v>
      </c>
      <c r="BF62" s="218">
        <f>IF(LEFT($B62,4)="_Mil","",IF(SUM($BE62)=0,SUM($AF62),IF(OR(SUM($AP62)=0,SUM($AQ62)=0),MAX($BE62,$AF62),ROUND($BE62*$AQ62/$AP62,0))))</f>
        <v>344</v>
      </c>
      <c r="BG62" s="79">
        <f t="shared" si="13"/>
        <v>0.95</v>
      </c>
      <c r="BH62" s="99">
        <f>IF($C62="&lt;01",ROUND(INDEX(EID!$L:$L,MATCH($B62,EID!$B:$B,0)),0)/2,IF(SUM($BG62)=0,"",ROUND($AX62/$BG62,0)))</f>
        <v>9</v>
      </c>
    </row>
    <row r="63" spans="1:60" x14ac:dyDescent="0.2">
      <c r="A63" t="str">
        <f>INDEX(Prioritization!$D:$D,MATCH($B63,Prioritization!$A:$A,0))</f>
        <v>1 - Scale-up: Saturation</v>
      </c>
      <c r="B63" t="s">
        <v>315</v>
      </c>
      <c r="C63" t="s">
        <v>475</v>
      </c>
      <c r="D63" t="s">
        <v>30</v>
      </c>
      <c r="E63" t="str">
        <f t="shared" si="0"/>
        <v>Chikwawa District [U8c0so51kT6]|15-24|Female</v>
      </c>
      <c r="F63" s="229">
        <v>1610</v>
      </c>
      <c r="G63" s="38">
        <v>527</v>
      </c>
      <c r="H63" s="38">
        <v>428</v>
      </c>
      <c r="I63" s="38">
        <v>1896</v>
      </c>
      <c r="J63" s="38">
        <v>1160</v>
      </c>
      <c r="K63" s="38">
        <v>1014</v>
      </c>
      <c r="L63" s="38">
        <v>137</v>
      </c>
      <c r="M63" s="38">
        <v>134</v>
      </c>
      <c r="N63" s="38">
        <v>1555</v>
      </c>
      <c r="O63" s="229">
        <v>1658</v>
      </c>
      <c r="P63" s="38">
        <v>1426</v>
      </c>
      <c r="Q63" s="38">
        <v>1354</v>
      </c>
      <c r="R63" s="38">
        <f t="shared" si="2"/>
        <v>-238</v>
      </c>
      <c r="S63" s="38">
        <f>IF(LEFT($B63,4)="_Mil","",_xlfn.IFNA(ROUND(INDEX(Spectrum!$N:$N,MATCH(RIGHT($B63,13)&amp;"|"&amp;$C63&amp;"|"&amp;$D63&amp;"|"&amp;S$14&amp;"|"&amp;"CY2023Q4",Spectrum!$R:$R,0)),0),""))</f>
        <v>1606</v>
      </c>
      <c r="T63" s="218">
        <f>IF(LEFT($B63,4)="_Mil","",_xlfn.IFNA(ROUND(INDEX(Spectrum!$N:$N,MATCH(RIGHT($B63,13)&amp;"|"&amp;$C63&amp;"|"&amp;$D63&amp;"|"&amp;T$14&amp;"|"&amp;"CY2024Q3",Spectrum!$R:$R,0)),0),""))</f>
        <v>74084</v>
      </c>
      <c r="U63" s="218">
        <f>IF(LEFT($B63,4)="_Mil","",_xlfn.IFNA(ROUND(INDEX(Spectrum!$N:$N,MATCH(RIGHT($B63,13)&amp;"|"&amp;$C63&amp;"|"&amp;$D63&amp;"|"&amp;U$14&amp;"|"&amp;"CY2024Q3",Spectrum!$R:$R,0)),0),""))</f>
        <v>1861</v>
      </c>
      <c r="V63" s="38">
        <f>IF(LEFT($B63,4)="_Mil","",_xlfn.IFNA(ROUND(INDEX(Spectrum!$N:$N,MATCH(RIGHT($B63,13)&amp;"|"&amp;$C63&amp;"|"&amp;$D63&amp;"|"&amp;V$14&amp;"|"&amp;"CY2024Q3",Spectrum!$R:$R,0)),0),""))</f>
        <v>1658</v>
      </c>
      <c r="W63" s="220">
        <f>IF(LEFT($B63,4)="_Mil","",_xlfn.IFNA(INDEX(Spectrum!$N:$N,MATCH(RIGHT($B63,13)&amp;"|"&amp;$C63&amp;"|"&amp;$D63&amp;"|"&amp;W$14&amp;"|"&amp;"CY2024Q3",Spectrum!$R:$R,0)),""))</f>
        <v>2.5120524000000002E-2</v>
      </c>
      <c r="X63" s="218">
        <f>IF(LEFT($B63,4)="_Mil","",_xlfn.IFNA(ROUND(INDEX(Spectrum!$N:$N,MATCH(RIGHT($B63,13)&amp;"|"&amp;$C63&amp;"|"&amp;$D63&amp;"|"&amp;X$14&amp;"|"&amp;"CY2024Q3",Spectrum!$R:$R,0)),0),""))</f>
        <v>1768</v>
      </c>
      <c r="Y63" s="33">
        <f t="shared" si="3"/>
        <v>0.95</v>
      </c>
      <c r="Z63" s="218">
        <f>IF(LEFT($B63,4)="_Mil","",_xlfn.IFNA(ROUND(INDEX(Spectrum!$N:$N,MATCH(RIGHT($B63,13)&amp;"|"&amp;$C63&amp;"|"&amp;$D63&amp;"|"&amp;Z$14&amp;"|"&amp;"CY2024Q3",Spectrum!$R:$R,0)),0),""))</f>
        <v>1572</v>
      </c>
      <c r="AA63" s="33">
        <f>IF(LEFT($B63,4)="_Mil","",IFERROR(1/(1/INDEX(Spectrum!$N:$N,MATCH(RIGHT($B63,13)&amp;"|"&amp;$C63&amp;"|"&amp;$D63&amp;"|"&amp;AA$14&amp;"|"&amp;"CY2024Q3",Spectrum!$R:$R,0))),IF(SUM($U63)=0,"",SUM($Z63)/$U63)))</f>
        <v>0.95003399699999991</v>
      </c>
      <c r="AB63" s="33">
        <f t="shared" si="4"/>
        <v>0.88914027149321262</v>
      </c>
      <c r="AC63" s="38">
        <f>IF(LEFT($B63,4)="_Mil","",_xlfn.IFNA(ROUND(INDEX(Spectrum!$N:$N,MATCH(RIGHT($B63,13)&amp;"|"&amp;$C63&amp;"|"&amp;$D63&amp;"|"&amp;AC$14&amp;"|"&amp;"CY2024Q3",Spectrum!$R:$R,0)),0),""))</f>
        <v>86</v>
      </c>
      <c r="AD63" s="38" t="str">
        <f>IF(LEFT($B63,4)="_Mil","",_xlfn.IFNA(ROUND(INDEX(Spectrum!$N:$N,MATCH(RIGHT($B63,13)&amp;"|"&amp;$C63&amp;"|"&amp;$D63&amp;"|"&amp;AD$14&amp;"|"&amp;"CY2024Q3",Spectrum!$R:$R,0)),0),""))</f>
        <v/>
      </c>
      <c r="AE63" s="33">
        <f t="shared" si="5"/>
        <v>0</v>
      </c>
      <c r="AF63" s="218" t="str">
        <f>IF(LEFT($B63,4)="_Mil","",_xlfn.IFNA(ROUND(INDEX(Spectrum!$N:$N,MATCH(RIGHT($B63,13)&amp;"|"&amp;$C63&amp;"|"&amp;$D63&amp;"|"&amp;AF$14&amp;"|"&amp;"CY2024Q3",Spectrum!$R:$R,0)),0),""))</f>
        <v/>
      </c>
      <c r="AG63" s="33" t="str">
        <f t="shared" si="6"/>
        <v/>
      </c>
      <c r="AH63" s="110" t="str">
        <f>IF(LEFT($B63,4)="_Mil","",_xlfn.IFNA(INDEX(Spectrum!$N:$N,MATCH(RIGHT($B63,13)&amp;"|"&amp;$C63&amp;"|"&amp;$D63&amp;"|"&amp;AH$14&amp;"|"&amp;"CY2024Q3",Spectrum!$R:$R,0)),""))</f>
        <v/>
      </c>
      <c r="AI63" s="218">
        <f>IF(LEFT($B63,4)="_Mil","",_xlfn.IFNA(ROUND(INDEX(Spectrum!$N:$N,MATCH(RIGHT($B63,13)&amp;"|"&amp;$C63&amp;"|"&amp;$D63&amp;"|"&amp;AI$14&amp;"|"&amp;"CY2025Q3",Spectrum!$R:$R,0)),0),""))</f>
        <v>105</v>
      </c>
      <c r="AJ63" s="38">
        <f>IF(LEFT($B63,4)="_Mil","",_xlfn.IFNA(ROUND(INDEX(Spectrum!$N:$N,MATCH(RIGHT($B63,13)&amp;"|"&amp;$C63&amp;"|"&amp;$D63&amp;"|"&amp;AJ$14&amp;"|"&amp;"CY2025Q3",Spectrum!$R:$R,0)),0),""))</f>
        <v>1808</v>
      </c>
      <c r="AK63" s="218" t="e">
        <f>#REF!</f>
        <v>#REF!</v>
      </c>
      <c r="AL63" s="33">
        <f t="shared" si="7"/>
        <v>0.95003399699999991</v>
      </c>
      <c r="AM63" s="38" t="e">
        <f>IF(OR(LEFT($B63,4)="_Mil",$C63="&lt;01"),"",ROUND(SUM($AK63)*SUM($AL63),0))</f>
        <v>#REF!</v>
      </c>
      <c r="AN63" s="38" t="str">
        <f>IF($C63="&lt;01",ROUND(INDEX(EID!$P:$P,MATCH($B63,EID!$B:$B,0))/2,0),"")</f>
        <v/>
      </c>
      <c r="AO63" s="38" t="e">
        <f>IF($C63="&lt;01",SUM($AN63),ROUND(SUM($AM63)*SUM($O63)/IF(SUM($Z63)=0,1,$Z63),0))</f>
        <v>#REF!</v>
      </c>
      <c r="AP63" s="218">
        <f>IF(OR($F63="",$C63="&lt;01"),$AO63,ROUND($F63,0))</f>
        <v>1610</v>
      </c>
      <c r="AQ63" s="218">
        <f>IF(LEFT($B63,4)="_Mil","",IF(SUM($AP63)=0,SUM($Z63),IF(OR(SUM($Z63)=0,SUM($O63)=0),MAX($AP63,$Z63),ROUND($AP63*$Z63/$O63,0))))</f>
        <v>1526</v>
      </c>
      <c r="AR63" s="33" t="e">
        <f>IF(OR(LEFT($B63,4)="_Mil",SUM($AK63)=0),"",SUM($AQ63)/$AK63)</f>
        <v>#REF!</v>
      </c>
      <c r="AS63" s="33">
        <f>IF($C63="&lt;01","",83%)</f>
        <v>0.83</v>
      </c>
      <c r="AT63" s="33">
        <f>IF($C63="&lt;01","",90%)</f>
        <v>0.9</v>
      </c>
      <c r="AU63" s="38">
        <f>IF($C63="&lt;01","",SUM($AP63)-SUM($O63))</f>
        <v>-48</v>
      </c>
      <c r="AV63" s="38">
        <f>IF($C63="&lt;01",ROUND(INDEX(EID!$N:$N,MATCH($B63,EID!$B:$B,0))/2,0),IF(SUM($AT63)=0,"",ROUND((SUM($AP63)-(SUM($O63)*SUM($AS63)))/$AT63,0)))</f>
        <v>260</v>
      </c>
      <c r="AW63" s="33">
        <f t="shared" si="9"/>
        <v>1</v>
      </c>
      <c r="AX63" s="218">
        <f>IF($C63="&lt;01",SUM($AV63),ROUND(SUM($AV63)*SUM($AW63),0))</f>
        <v>260</v>
      </c>
      <c r="AY63" s="79">
        <f t="shared" si="10"/>
        <v>0.7</v>
      </c>
      <c r="AZ63" s="85">
        <f>IF($C63="&lt;01",ROUND(INDEX(EID!$R:$R,MATCH($B63,EID!$B:$B,0))/2,0),ROUND(SUM($O63)+(SUM($AV63)*$AY63),0))</f>
        <v>1840</v>
      </c>
      <c r="BA63" s="40">
        <f t="shared" si="14"/>
        <v>0.9</v>
      </c>
      <c r="BB63" s="99">
        <f>IF($C63="&lt;01",ROUND(INDEX(EID!$T:$T,MATCH($B63,EID!$B:$B,0))/2,0),ROUND($AP63*$BA63,0))</f>
        <v>1449</v>
      </c>
      <c r="BC63" s="85">
        <f>IF(LEFT($B63,4)="_Mil","",IF(SUM($BB63)=0,SUM($AD63),IF(OR(SUM($AP63)=0,SUM($AQ63)=0),MAX($BB63,$AD63),ROUND($BB63*$AQ63/$AP63,0))))</f>
        <v>1373</v>
      </c>
      <c r="BD63" s="33">
        <f t="shared" si="12"/>
        <v>0.95</v>
      </c>
      <c r="BE63" s="218">
        <f>IF($C63="&lt;01",ROUND(INDEX(EID!$V:$V,MATCH($B63,EID!$B:$B,0))/2,0),ROUND($BD63*$BB63,0))</f>
        <v>1377</v>
      </c>
      <c r="BF63" s="218">
        <f>IF(LEFT($B63,4)="_Mil","",IF(SUM($BE63)=0,SUM($AF63),IF(OR(SUM($AP63)=0,SUM($AQ63)=0),MAX($BE63,$AF63),ROUND($BE63*$AQ63/$AP63,0))))</f>
        <v>1305</v>
      </c>
      <c r="BG63" s="79">
        <f t="shared" si="13"/>
        <v>0.95</v>
      </c>
      <c r="BH63" s="99">
        <f>IF($C63="&lt;01",ROUND(INDEX(EID!$L:$L,MATCH($B63,EID!$B:$B,0)),0)/2,IF(SUM($BG63)=0,"",ROUND($AX63/$BG63,0)))</f>
        <v>274</v>
      </c>
    </row>
    <row r="64" spans="1:60" x14ac:dyDescent="0.2">
      <c r="A64" t="str">
        <f>INDEX(Prioritization!$D:$D,MATCH($B64,Prioritization!$A:$A,0))</f>
        <v>1 - Scale-up: Saturation</v>
      </c>
      <c r="B64" t="s">
        <v>315</v>
      </c>
      <c r="C64" t="s">
        <v>475</v>
      </c>
      <c r="D64" t="s">
        <v>48</v>
      </c>
      <c r="E64" t="str">
        <f t="shared" si="0"/>
        <v>Chikwawa District [U8c0so51kT6]|15-24|Male</v>
      </c>
      <c r="F64" s="229">
        <v>1031</v>
      </c>
      <c r="G64" s="38">
        <v>133</v>
      </c>
      <c r="H64" s="38">
        <v>89</v>
      </c>
      <c r="I64" s="38">
        <v>722</v>
      </c>
      <c r="J64" s="38">
        <v>388</v>
      </c>
      <c r="K64" s="38">
        <v>314</v>
      </c>
      <c r="L64" s="38">
        <v>143</v>
      </c>
      <c r="M64" s="38">
        <v>137</v>
      </c>
      <c r="N64" s="38">
        <v>1060</v>
      </c>
      <c r="O64" s="229">
        <v>983</v>
      </c>
      <c r="P64" s="38">
        <v>938</v>
      </c>
      <c r="Q64" s="38">
        <v>891</v>
      </c>
      <c r="R64" s="38">
        <f t="shared" si="2"/>
        <v>261</v>
      </c>
      <c r="S64" s="38">
        <f>IF(LEFT($B64,4)="_Mil","",_xlfn.IFNA(ROUND(INDEX(Spectrum!$N:$N,MATCH(RIGHT($B64,13)&amp;"|"&amp;$C64&amp;"|"&amp;$D64&amp;"|"&amp;S$14&amp;"|"&amp;"CY2023Q4",Spectrum!$R:$R,0)),0),""))</f>
        <v>1036</v>
      </c>
      <c r="T64" s="218">
        <f>IF(LEFT($B64,4)="_Mil","",_xlfn.IFNA(ROUND(INDEX(Spectrum!$N:$N,MATCH(RIGHT($B64,13)&amp;"|"&amp;$C64&amp;"|"&amp;$D64&amp;"|"&amp;T$14&amp;"|"&amp;"CY2024Q3",Spectrum!$R:$R,0)),0),""))</f>
        <v>72428</v>
      </c>
      <c r="U64" s="218">
        <f>IF(LEFT($B64,4)="_Mil","",_xlfn.IFNA(ROUND(INDEX(Spectrum!$N:$N,MATCH(RIGHT($B64,13)&amp;"|"&amp;$C64&amp;"|"&amp;$D64&amp;"|"&amp;U$14&amp;"|"&amp;"CY2024Q3",Spectrum!$R:$R,0)),0),""))</f>
        <v>1299</v>
      </c>
      <c r="V64" s="38">
        <f>IF(LEFT($B64,4)="_Mil","",_xlfn.IFNA(ROUND(INDEX(Spectrum!$N:$N,MATCH(RIGHT($B64,13)&amp;"|"&amp;$C64&amp;"|"&amp;$D64&amp;"|"&amp;V$14&amp;"|"&amp;"CY2024Q3",Spectrum!$R:$R,0)),0),""))</f>
        <v>1156</v>
      </c>
      <c r="W64" s="220">
        <f>IF(LEFT($B64,4)="_Mil","",_xlfn.IFNA(INDEX(Spectrum!$N:$N,MATCH(RIGHT($B64,13)&amp;"|"&amp;$C64&amp;"|"&amp;$D64&amp;"|"&amp;W$14&amp;"|"&amp;"CY2024Q3",Spectrum!$R:$R,0)),""))</f>
        <v>1.7933068E-2</v>
      </c>
      <c r="X64" s="218">
        <f>IF(LEFT($B64,4)="_Mil","",_xlfn.IFNA(ROUND(INDEX(Spectrum!$N:$N,MATCH(RIGHT($B64,13)&amp;"|"&amp;$C64&amp;"|"&amp;$D64&amp;"|"&amp;X$14&amp;"|"&amp;"CY2024Q3",Spectrum!$R:$R,0)),0),""))</f>
        <v>1199</v>
      </c>
      <c r="Y64" s="33">
        <f t="shared" si="3"/>
        <v>0.92</v>
      </c>
      <c r="Z64" s="218">
        <f>IF(LEFT($B64,4)="_Mil","",_xlfn.IFNA(ROUND(INDEX(Spectrum!$N:$N,MATCH(RIGHT($B64,13)&amp;"|"&amp;$C64&amp;"|"&amp;$D64&amp;"|"&amp;Z$14&amp;"|"&amp;"CY2024Q3",Spectrum!$R:$R,0)),0),""))</f>
        <v>1059</v>
      </c>
      <c r="AA64" s="33">
        <f>IF(LEFT($B64,4)="_Mil","",IFERROR(1/(1/INDEX(Spectrum!$N:$N,MATCH(RIGHT($B64,13)&amp;"|"&amp;$C64&amp;"|"&amp;$D64&amp;"|"&amp;AA$14&amp;"|"&amp;"CY2024Q3",Spectrum!$R:$R,0))),IF(SUM($U64)=0,"",SUM($Z64)/$U64)))</f>
        <v>0.92118114299999987</v>
      </c>
      <c r="AB64" s="33">
        <f t="shared" si="4"/>
        <v>0.88323603002502082</v>
      </c>
      <c r="AC64" s="38">
        <f>IF(LEFT($B64,4)="_Mil","",_xlfn.IFNA(ROUND(INDEX(Spectrum!$N:$N,MATCH(RIGHT($B64,13)&amp;"|"&amp;$C64&amp;"|"&amp;$D64&amp;"|"&amp;AC$14&amp;"|"&amp;"CY2024Q3",Spectrum!$R:$R,0)),0),""))</f>
        <v>98</v>
      </c>
      <c r="AD64" s="38" t="str">
        <f>IF(LEFT($B64,4)="_Mil","",_xlfn.IFNA(ROUND(INDEX(Spectrum!$N:$N,MATCH(RIGHT($B64,13)&amp;"|"&amp;$C64&amp;"|"&amp;$D64&amp;"|"&amp;AD$14&amp;"|"&amp;"CY2024Q3",Spectrum!$R:$R,0)),0),""))</f>
        <v/>
      </c>
      <c r="AE64" s="33">
        <f t="shared" si="5"/>
        <v>0</v>
      </c>
      <c r="AF64" s="218" t="str">
        <f>IF(LEFT($B64,4)="_Mil","",_xlfn.IFNA(ROUND(INDEX(Spectrum!$N:$N,MATCH(RIGHT($B64,13)&amp;"|"&amp;$C64&amp;"|"&amp;$D64&amp;"|"&amp;AF$14&amp;"|"&amp;"CY2024Q3",Spectrum!$R:$R,0)),0),""))</f>
        <v/>
      </c>
      <c r="AG64" s="33" t="str">
        <f t="shared" si="6"/>
        <v/>
      </c>
      <c r="AH64" s="110" t="str">
        <f>IF(LEFT($B64,4)="_Mil","",_xlfn.IFNA(INDEX(Spectrum!$N:$N,MATCH(RIGHT($B64,13)&amp;"|"&amp;$C64&amp;"|"&amp;$D64&amp;"|"&amp;AH$14&amp;"|"&amp;"CY2024Q3",Spectrum!$R:$R,0)),""))</f>
        <v/>
      </c>
      <c r="AI64" s="218">
        <f>IF(LEFT($B64,4)="_Mil","",_xlfn.IFNA(ROUND(INDEX(Spectrum!$N:$N,MATCH(RIGHT($B64,13)&amp;"|"&amp;$C64&amp;"|"&amp;$D64&amp;"|"&amp;AI$14&amp;"|"&amp;"CY2025Q3",Spectrum!$R:$R,0)),0),""))</f>
        <v>18</v>
      </c>
      <c r="AJ64" s="38">
        <f>IF(LEFT($B64,4)="_Mil","",_xlfn.IFNA(ROUND(INDEX(Spectrum!$N:$N,MATCH(RIGHT($B64,13)&amp;"|"&amp;$C64&amp;"|"&amp;$D64&amp;"|"&amp;AJ$14&amp;"|"&amp;"CY2025Q3",Spectrum!$R:$R,0)),0),""))</f>
        <v>1290</v>
      </c>
      <c r="AK64" s="218" t="e">
        <f>#REF!</f>
        <v>#REF!</v>
      </c>
      <c r="AL64" s="33">
        <f t="shared" si="7"/>
        <v>0.92118114299999987</v>
      </c>
      <c r="AM64" s="38" t="e">
        <f>IF(OR(LEFT($B64,4)="_Mil",$C64="&lt;01"),"",ROUND(SUM($AK64)*SUM($AL64),0))</f>
        <v>#REF!</v>
      </c>
      <c r="AN64" s="38" t="str">
        <f>IF($C64="&lt;01",ROUND(INDEX(EID!$P:$P,MATCH($B64,EID!$B:$B,0))/2,0),"")</f>
        <v/>
      </c>
      <c r="AO64" s="38" t="e">
        <f>IF($C64="&lt;01",SUM($AN64),ROUND(SUM($AM64)*SUM($O64)/IF(SUM($Z64)=0,1,$Z64),0))</f>
        <v>#REF!</v>
      </c>
      <c r="AP64" s="218">
        <f>IF(OR($F64="",$C64="&lt;01"),$AO64,ROUND($F64,0))</f>
        <v>1031</v>
      </c>
      <c r="AQ64" s="218">
        <f>IF(LEFT($B64,4)="_Mil","",IF(SUM($AP64)=0,SUM($Z64),IF(OR(SUM($Z64)=0,SUM($O64)=0),MAX($AP64,$Z64),ROUND($AP64*$Z64/$O64,0))))</f>
        <v>1111</v>
      </c>
      <c r="AR64" s="33" t="e">
        <f>IF(OR(LEFT($B64,4)="_Mil",SUM($AK64)=0),"",SUM($AQ64)/$AK64)</f>
        <v>#REF!</v>
      </c>
      <c r="AS64" s="33">
        <v>0.9</v>
      </c>
      <c r="AT64" s="33">
        <f t="shared" si="16"/>
        <v>0.98</v>
      </c>
      <c r="AU64" s="38">
        <f>IF($C64="&lt;01","",SUM($AP64)-SUM($O64))</f>
        <v>48</v>
      </c>
      <c r="AV64" s="38">
        <f>IF($C64="&lt;01",ROUND(INDEX(EID!$N:$N,MATCH($B64,EID!$B:$B,0))/2,0),IF(SUM($AT64)=0,"",ROUND((SUM($AP64)-(SUM($O64)*SUM($AS64)))/$AT64,0)))</f>
        <v>149</v>
      </c>
      <c r="AW64" s="33">
        <f t="shared" si="9"/>
        <v>1</v>
      </c>
      <c r="AX64" s="218">
        <f>IF($C64="&lt;01",SUM($AV64),ROUND(SUM($AV64)*SUM($AW64),0))</f>
        <v>149</v>
      </c>
      <c r="AY64" s="79">
        <f t="shared" si="10"/>
        <v>0.7</v>
      </c>
      <c r="AZ64" s="85">
        <f>IF($C64="&lt;01",ROUND(INDEX(EID!$R:$R,MATCH($B64,EID!$B:$B,0))/2,0),ROUND(SUM($O64)+(SUM($AV64)*$AY64),0))</f>
        <v>1087</v>
      </c>
      <c r="BA64" s="40">
        <f t="shared" si="14"/>
        <v>0.9</v>
      </c>
      <c r="BB64" s="99">
        <f>IF($C64="&lt;01",ROUND(INDEX(EID!$T:$T,MATCH($B64,EID!$B:$B,0))/2,0),ROUND($AP64*$BA64,0))</f>
        <v>928</v>
      </c>
      <c r="BC64" s="85">
        <f>IF(LEFT($B64,4)="_Mil","",IF(SUM($BB64)=0,SUM($AD64),IF(OR(SUM($AP64)=0,SUM($AQ64)=0),MAX($BB64,$AD64),ROUND($BB64*$AQ64/$AP64,0))))</f>
        <v>1000</v>
      </c>
      <c r="BD64" s="33">
        <f t="shared" si="12"/>
        <v>0.95</v>
      </c>
      <c r="BE64" s="218">
        <f>IF($C64="&lt;01",ROUND(INDEX(EID!$V:$V,MATCH($B64,EID!$B:$B,0))/2,0),ROUND($BD64*$BB64,0))</f>
        <v>882</v>
      </c>
      <c r="BF64" s="218">
        <f>IF(LEFT($B64,4)="_Mil","",IF(SUM($BE64)=0,SUM($AF64),IF(OR(SUM($AP64)=0,SUM($AQ64)=0),MAX($BE64,$AF64),ROUND($BE64*$AQ64/$AP64,0))))</f>
        <v>950</v>
      </c>
      <c r="BG64" s="79">
        <f t="shared" si="13"/>
        <v>0.95</v>
      </c>
      <c r="BH64" s="99">
        <f>IF($C64="&lt;01",ROUND(INDEX(EID!$L:$L,MATCH($B64,EID!$B:$B,0)),0)/2,IF(SUM($BG64)=0,"",ROUND($AX64/$BG64,0)))</f>
        <v>157</v>
      </c>
    </row>
    <row r="65" spans="1:60" x14ac:dyDescent="0.2">
      <c r="A65" t="str">
        <f>INDEX(Prioritization!$D:$D,MATCH($B65,Prioritization!$A:$A,0))</f>
        <v>1 - Scale-up: Saturation</v>
      </c>
      <c r="B65" t="s">
        <v>315</v>
      </c>
      <c r="C65" t="s">
        <v>476</v>
      </c>
      <c r="D65" t="s">
        <v>30</v>
      </c>
      <c r="E65" t="str">
        <f t="shared" si="0"/>
        <v>Chikwawa District [U8c0so51kT6]|25-34|Female</v>
      </c>
      <c r="F65" s="229">
        <v>3878</v>
      </c>
      <c r="G65" s="38">
        <v>498</v>
      </c>
      <c r="H65" s="38">
        <v>563</v>
      </c>
      <c r="I65" s="38">
        <v>5062</v>
      </c>
      <c r="J65" s="38">
        <v>3195</v>
      </c>
      <c r="K65" s="38">
        <v>3014</v>
      </c>
      <c r="L65" s="38">
        <v>341</v>
      </c>
      <c r="M65" s="38">
        <v>335</v>
      </c>
      <c r="N65" s="38">
        <v>3882</v>
      </c>
      <c r="O65" s="229">
        <v>4161</v>
      </c>
      <c r="P65" s="38">
        <v>3556</v>
      </c>
      <c r="Q65" s="38">
        <v>3378</v>
      </c>
      <c r="R65" s="38">
        <f t="shared" si="2"/>
        <v>-901</v>
      </c>
      <c r="S65" s="38">
        <f>IF(LEFT($B65,4)="_Mil","",_xlfn.IFNA(ROUND(INDEX(Spectrum!$N:$N,MATCH(RIGHT($B65,13)&amp;"|"&amp;$C65&amp;"|"&amp;$D65&amp;"|"&amp;S$14&amp;"|"&amp;"CY2023Q4",Spectrum!$R:$R,0)),0),""))</f>
        <v>4274</v>
      </c>
      <c r="T65" s="218">
        <f>IF(LEFT($B65,4)="_Mil","",_xlfn.IFNA(ROUND(INDEX(Spectrum!$N:$N,MATCH(RIGHT($B65,13)&amp;"|"&amp;$C65&amp;"|"&amp;$D65&amp;"|"&amp;T$14&amp;"|"&amp;"CY2024Q3",Spectrum!$R:$R,0)),0),""))</f>
        <v>49875</v>
      </c>
      <c r="U65" s="218">
        <f>IF(LEFT($B65,4)="_Mil","",_xlfn.IFNA(ROUND(INDEX(Spectrum!$N:$N,MATCH(RIGHT($B65,13)&amp;"|"&amp;$C65&amp;"|"&amp;$D65&amp;"|"&amp;U$14&amp;"|"&amp;"CY2024Q3",Spectrum!$R:$R,0)),0),""))</f>
        <v>4676</v>
      </c>
      <c r="V65" s="38">
        <f>IF(LEFT($B65,4)="_Mil","",_xlfn.IFNA(ROUND(INDEX(Spectrum!$N:$N,MATCH(RIGHT($B65,13)&amp;"|"&amp;$C65&amp;"|"&amp;$D65&amp;"|"&amp;V$14&amp;"|"&amp;"CY2024Q3",Spectrum!$R:$R,0)),0),""))</f>
        <v>4161</v>
      </c>
      <c r="W65" s="220">
        <f>IF(LEFT($B65,4)="_Mil","",_xlfn.IFNA(INDEX(Spectrum!$N:$N,MATCH(RIGHT($B65,13)&amp;"|"&amp;$C65&amp;"|"&amp;$D65&amp;"|"&amp;W$14&amp;"|"&amp;"CY2024Q3",Spectrum!$R:$R,0)),""))</f>
        <v>9.3746778000000003E-2</v>
      </c>
      <c r="X65" s="218">
        <f>IF(LEFT($B65,4)="_Mil","",_xlfn.IFNA(ROUND(INDEX(Spectrum!$N:$N,MATCH(RIGHT($B65,13)&amp;"|"&amp;$C65&amp;"|"&amp;$D65&amp;"|"&amp;X$14&amp;"|"&amp;"CY2024Q3",Spectrum!$R:$R,0)),0),""))</f>
        <v>4552</v>
      </c>
      <c r="Y65" s="33">
        <f t="shared" si="3"/>
        <v>0.97</v>
      </c>
      <c r="Z65" s="218">
        <f>IF(LEFT($B65,4)="_Mil","",_xlfn.IFNA(ROUND(INDEX(Spectrum!$N:$N,MATCH(RIGHT($B65,13)&amp;"|"&amp;$C65&amp;"|"&amp;$D65&amp;"|"&amp;Z$14&amp;"|"&amp;"CY2024Q3",Spectrum!$R:$R,0)),0),""))</f>
        <v>4053</v>
      </c>
      <c r="AA65" s="33">
        <f>IF(LEFT($B65,4)="_Mil","",IFERROR(1/(1/INDEX(Spectrum!$N:$N,MATCH(RIGHT($B65,13)&amp;"|"&amp;$C65&amp;"|"&amp;$D65&amp;"|"&amp;AA$14&amp;"|"&amp;"CY2024Q3",Spectrum!$R:$R,0))),IF(SUM($U65)=0,"",SUM($Z65)/$U65)))</f>
        <v>0.97356952699999999</v>
      </c>
      <c r="AB65" s="33">
        <f t="shared" si="4"/>
        <v>0.89037785588752194</v>
      </c>
      <c r="AC65" s="38">
        <f>IF(LEFT($B65,4)="_Mil","",_xlfn.IFNA(ROUND(INDEX(Spectrum!$N:$N,MATCH(RIGHT($B65,13)&amp;"|"&amp;$C65&amp;"|"&amp;$D65&amp;"|"&amp;AC$14&amp;"|"&amp;"CY2024Q3",Spectrum!$R:$R,0)),0),""))</f>
        <v>107</v>
      </c>
      <c r="AD65" s="38" t="str">
        <f>IF(LEFT($B65,4)="_Mil","",_xlfn.IFNA(ROUND(INDEX(Spectrum!$N:$N,MATCH(RIGHT($B65,13)&amp;"|"&amp;$C65&amp;"|"&amp;$D65&amp;"|"&amp;AD$14&amp;"|"&amp;"CY2024Q3",Spectrum!$R:$R,0)),0),""))</f>
        <v/>
      </c>
      <c r="AE65" s="33">
        <f t="shared" si="5"/>
        <v>0</v>
      </c>
      <c r="AF65" s="218" t="str">
        <f>IF(LEFT($B65,4)="_Mil","",_xlfn.IFNA(ROUND(INDEX(Spectrum!$N:$N,MATCH(RIGHT($B65,13)&amp;"|"&amp;$C65&amp;"|"&amp;$D65&amp;"|"&amp;AF$14&amp;"|"&amp;"CY2024Q3",Spectrum!$R:$R,0)),0),""))</f>
        <v/>
      </c>
      <c r="AG65" s="33" t="str">
        <f t="shared" si="6"/>
        <v/>
      </c>
      <c r="AH65" s="110" t="str">
        <f>IF(LEFT($B65,4)="_Mil","",_xlfn.IFNA(INDEX(Spectrum!$N:$N,MATCH(RIGHT($B65,13)&amp;"|"&amp;$C65&amp;"|"&amp;$D65&amp;"|"&amp;AH$14&amp;"|"&amp;"CY2024Q3",Spectrum!$R:$R,0)),""))</f>
        <v/>
      </c>
      <c r="AI65" s="218">
        <f>IF(LEFT($B65,4)="_Mil","",_xlfn.IFNA(ROUND(INDEX(Spectrum!$N:$N,MATCH(RIGHT($B65,13)&amp;"|"&amp;$C65&amp;"|"&amp;$D65&amp;"|"&amp;AI$14&amp;"|"&amp;"CY2025Q3",Spectrum!$R:$R,0)),0),""))</f>
        <v>102</v>
      </c>
      <c r="AJ65" s="38">
        <f>IF(LEFT($B65,4)="_Mil","",_xlfn.IFNA(ROUND(INDEX(Spectrum!$N:$N,MATCH(RIGHT($B65,13)&amp;"|"&amp;$C65&amp;"|"&amp;$D65&amp;"|"&amp;AJ$14&amp;"|"&amp;"CY2025Q3",Spectrum!$R:$R,0)),0),""))</f>
        <v>4358</v>
      </c>
      <c r="AK65" s="218" t="e">
        <f>#REF!</f>
        <v>#REF!</v>
      </c>
      <c r="AL65" s="33">
        <f t="shared" si="7"/>
        <v>0.97356952699999999</v>
      </c>
      <c r="AM65" s="38" t="e">
        <f>IF(OR(LEFT($B65,4)="_Mil",$C65="&lt;01"),"",ROUND(SUM($AK65)*SUM($AL65),0))</f>
        <v>#REF!</v>
      </c>
      <c r="AN65" s="38" t="str">
        <f>IF($C65="&lt;01",ROUND(INDEX(EID!$P:$P,MATCH($B65,EID!$B:$B,0))/2,0),"")</f>
        <v/>
      </c>
      <c r="AO65" s="38" t="e">
        <f>IF($C65="&lt;01",SUM($AN65),ROUND(SUM($AM65)*SUM($O65)/IF(SUM($Z65)=0,1,$Z65),0))</f>
        <v>#REF!</v>
      </c>
      <c r="AP65" s="218">
        <f>IF(OR($F65="",$C65="&lt;01"),$AO65,ROUND($F65,0))</f>
        <v>3878</v>
      </c>
      <c r="AQ65" s="218">
        <f>IF(LEFT($B65,4)="_Mil","",IF(SUM($AP65)=0,SUM($Z65),IF(OR(SUM($Z65)=0,SUM($O65)=0),MAX($AP65,$Z65),ROUND($AP65*$Z65/$O65,0))))</f>
        <v>3777</v>
      </c>
      <c r="AR65" s="33" t="e">
        <f>IF(OR(LEFT($B65,4)="_Mil",SUM($AK65)=0),"",SUM($AQ65)/$AK65)</f>
        <v>#REF!</v>
      </c>
      <c r="AS65" s="33">
        <f>IF($C65="&lt;01","",86%)</f>
        <v>0.86</v>
      </c>
      <c r="AT65" s="33">
        <f>IF($C65="&lt;01","",90%)</f>
        <v>0.9</v>
      </c>
      <c r="AU65" s="38">
        <f>IF($C65="&lt;01","",SUM($AP65)-SUM($O65))</f>
        <v>-283</v>
      </c>
      <c r="AV65" s="38">
        <f>IF($C65="&lt;01",ROUND(INDEX(EID!$N:$N,MATCH($B65,EID!$B:$B,0))/2,0),IF(SUM($AT65)=0,"",ROUND((SUM($AP65)-(SUM($O65)*SUM($AS65)))/$AT65,0)))</f>
        <v>333</v>
      </c>
      <c r="AW65" s="33">
        <f t="shared" si="9"/>
        <v>1</v>
      </c>
      <c r="AX65" s="218">
        <f>IF($C65="&lt;01",SUM($AV65),ROUND(SUM($AV65)*SUM($AW65),0))</f>
        <v>333</v>
      </c>
      <c r="AY65" s="79">
        <f t="shared" si="10"/>
        <v>0.7</v>
      </c>
      <c r="AZ65" s="85">
        <f>IF($C65="&lt;01",ROUND(INDEX(EID!$R:$R,MATCH($B65,EID!$B:$B,0))/2,0),ROUND(SUM($O65)+(SUM($AV65)*$AY65),0))</f>
        <v>4394</v>
      </c>
      <c r="BA65" s="40">
        <f t="shared" si="14"/>
        <v>0.9</v>
      </c>
      <c r="BB65" s="99">
        <f>IF($C65="&lt;01",ROUND(INDEX(EID!$T:$T,MATCH($B65,EID!$B:$B,0))/2,0),ROUND($AP65*$BA65,0))</f>
        <v>3490</v>
      </c>
      <c r="BC65" s="85">
        <f>IF(LEFT($B65,4)="_Mil","",IF(SUM($BB65)=0,SUM($AD65),IF(OR(SUM($AP65)=0,SUM($AQ65)=0),MAX($BB65,$AD65),ROUND($BB65*$AQ65/$AP65,0))))</f>
        <v>3399</v>
      </c>
      <c r="BD65" s="33">
        <f t="shared" si="12"/>
        <v>0.95</v>
      </c>
      <c r="BE65" s="218">
        <f>IF($C65="&lt;01",ROUND(INDEX(EID!$V:$V,MATCH($B65,EID!$B:$B,0))/2,0),ROUND($BD65*$BB65,0))</f>
        <v>3316</v>
      </c>
      <c r="BF65" s="218">
        <f>IF(LEFT($B65,4)="_Mil","",IF(SUM($BE65)=0,SUM($AF65),IF(OR(SUM($AP65)=0,SUM($AQ65)=0),MAX($BE65,$AF65),ROUND($BE65*$AQ65/$AP65,0))))</f>
        <v>3230</v>
      </c>
      <c r="BG65" s="79">
        <f t="shared" si="13"/>
        <v>0.95</v>
      </c>
      <c r="BH65" s="99">
        <f>IF($C65="&lt;01",ROUND(INDEX(EID!$L:$L,MATCH($B65,EID!$B:$B,0)),0)/2,IF(SUM($BG65)=0,"",ROUND($AX65/$BG65,0)))</f>
        <v>351</v>
      </c>
    </row>
    <row r="66" spans="1:60" x14ac:dyDescent="0.2">
      <c r="A66" t="str">
        <f>INDEX(Prioritization!$D:$D,MATCH($B66,Prioritization!$A:$A,0))</f>
        <v>1 - Scale-up: Saturation</v>
      </c>
      <c r="B66" t="s">
        <v>315</v>
      </c>
      <c r="C66" t="s">
        <v>476</v>
      </c>
      <c r="D66" t="s">
        <v>48</v>
      </c>
      <c r="E66" t="str">
        <f t="shared" si="0"/>
        <v>Chikwawa District [U8c0so51kT6]|25-34|Male</v>
      </c>
      <c r="F66" s="229">
        <v>1444</v>
      </c>
      <c r="G66" s="38">
        <v>307</v>
      </c>
      <c r="H66" s="38">
        <v>295</v>
      </c>
      <c r="I66" s="38">
        <v>1520</v>
      </c>
      <c r="J66" s="38">
        <v>868</v>
      </c>
      <c r="K66" s="38">
        <v>799</v>
      </c>
      <c r="L66" s="38">
        <v>28</v>
      </c>
      <c r="M66" s="38">
        <v>26</v>
      </c>
      <c r="N66" s="38">
        <v>1393</v>
      </c>
      <c r="O66" s="229">
        <v>1509</v>
      </c>
      <c r="P66" s="38">
        <v>1261</v>
      </c>
      <c r="Q66" s="38">
        <v>1198</v>
      </c>
      <c r="R66" s="38">
        <f t="shared" si="2"/>
        <v>-11</v>
      </c>
      <c r="S66" s="38">
        <f>IF(LEFT($B66,4)="_Mil","",_xlfn.IFNA(ROUND(INDEX(Spectrum!$N:$N,MATCH(RIGHT($B66,13)&amp;"|"&amp;$C66&amp;"|"&amp;$D66&amp;"|"&amp;S$14&amp;"|"&amp;"CY2023Q4",Spectrum!$R:$R,0)),0),""))</f>
        <v>1351</v>
      </c>
      <c r="T66" s="218">
        <f>IF(LEFT($B66,4)="_Mil","",_xlfn.IFNA(ROUND(INDEX(Spectrum!$N:$N,MATCH(RIGHT($B66,13)&amp;"|"&amp;$C66&amp;"|"&amp;$D66&amp;"|"&amp;T$14&amp;"|"&amp;"CY2024Q3",Spectrum!$R:$R,0)),0),""))</f>
        <v>47119</v>
      </c>
      <c r="U66" s="218">
        <f>IF(LEFT($B66,4)="_Mil","",_xlfn.IFNA(ROUND(INDEX(Spectrum!$N:$N,MATCH(RIGHT($B66,13)&amp;"|"&amp;$C66&amp;"|"&amp;$D66&amp;"|"&amp;U$14&amp;"|"&amp;"CY2024Q3",Spectrum!$R:$R,0)),0),""))</f>
        <v>1699</v>
      </c>
      <c r="V66" s="38">
        <f>IF(LEFT($B66,4)="_Mil","",_xlfn.IFNA(ROUND(INDEX(Spectrum!$N:$N,MATCH(RIGHT($B66,13)&amp;"|"&amp;$C66&amp;"|"&amp;$D66&amp;"|"&amp;V$14&amp;"|"&amp;"CY2024Q3",Spectrum!$R:$R,0)),0),""))</f>
        <v>1509</v>
      </c>
      <c r="W66" s="220">
        <f>IF(LEFT($B66,4)="_Mil","",_xlfn.IFNA(INDEX(Spectrum!$N:$N,MATCH(RIGHT($B66,13)&amp;"|"&amp;$C66&amp;"|"&amp;$D66&amp;"|"&amp;W$14&amp;"|"&amp;"CY2024Q3",Spectrum!$R:$R,0)),""))</f>
        <v>3.6059121999999999E-2</v>
      </c>
      <c r="X66" s="218">
        <f>IF(LEFT($B66,4)="_Mil","",_xlfn.IFNA(ROUND(INDEX(Spectrum!$N:$N,MATCH(RIGHT($B66,13)&amp;"|"&amp;$C66&amp;"|"&amp;$D66&amp;"|"&amp;X$14&amp;"|"&amp;"CY2024Q3",Spectrum!$R:$R,0)),0),""))</f>
        <v>1535</v>
      </c>
      <c r="Y66" s="33">
        <f t="shared" si="3"/>
        <v>0.9</v>
      </c>
      <c r="Z66" s="218">
        <f>IF(LEFT($B66,4)="_Mil","",_xlfn.IFNA(ROUND(INDEX(Spectrum!$N:$N,MATCH(RIGHT($B66,13)&amp;"|"&amp;$C66&amp;"|"&amp;$D66&amp;"|"&amp;Z$14&amp;"|"&amp;"CY2024Q3",Spectrum!$R:$R,0)),0),""))</f>
        <v>1340</v>
      </c>
      <c r="AA66" s="33">
        <f>IF(LEFT($B66,4)="_Mil","",IFERROR(1/(1/INDEX(Spectrum!$N:$N,MATCH(RIGHT($B66,13)&amp;"|"&amp;$C66&amp;"|"&amp;$D66&amp;"|"&amp;AA$14&amp;"|"&amp;"CY2024Q3",Spectrum!$R:$R,0))),IF(SUM($U66)=0,"",SUM($Z66)/$U66)))</f>
        <v>0.89722069799999993</v>
      </c>
      <c r="AB66" s="33">
        <f t="shared" si="4"/>
        <v>0.87296416938110755</v>
      </c>
      <c r="AC66" s="38">
        <f>IF(LEFT($B66,4)="_Mil","",_xlfn.IFNA(ROUND(INDEX(Spectrum!$N:$N,MATCH(RIGHT($B66,13)&amp;"|"&amp;$C66&amp;"|"&amp;$D66&amp;"|"&amp;AC$14&amp;"|"&amp;"CY2024Q3",Spectrum!$R:$R,0)),0),""))</f>
        <v>169</v>
      </c>
      <c r="AD66" s="38" t="str">
        <f>IF(LEFT($B66,4)="_Mil","",_xlfn.IFNA(ROUND(INDEX(Spectrum!$N:$N,MATCH(RIGHT($B66,13)&amp;"|"&amp;$C66&amp;"|"&amp;$D66&amp;"|"&amp;AD$14&amp;"|"&amp;"CY2024Q3",Spectrum!$R:$R,0)),0),""))</f>
        <v/>
      </c>
      <c r="AE66" s="33">
        <f t="shared" si="5"/>
        <v>0</v>
      </c>
      <c r="AF66" s="218" t="str">
        <f>IF(LEFT($B66,4)="_Mil","",_xlfn.IFNA(ROUND(INDEX(Spectrum!$N:$N,MATCH(RIGHT($B66,13)&amp;"|"&amp;$C66&amp;"|"&amp;$D66&amp;"|"&amp;AF$14&amp;"|"&amp;"CY2024Q3",Spectrum!$R:$R,0)),0),""))</f>
        <v/>
      </c>
      <c r="AG66" s="33" t="str">
        <f t="shared" si="6"/>
        <v/>
      </c>
      <c r="AH66" s="110" t="str">
        <f>IF(LEFT($B66,4)="_Mil","",_xlfn.IFNA(INDEX(Spectrum!$N:$N,MATCH(RIGHT($B66,13)&amp;"|"&amp;$C66&amp;"|"&amp;$D66&amp;"|"&amp;AH$14&amp;"|"&amp;"CY2024Q3",Spectrum!$R:$R,0)),""))</f>
        <v/>
      </c>
      <c r="AI66" s="218">
        <f>IF(LEFT($B66,4)="_Mil","",_xlfn.IFNA(ROUND(INDEX(Spectrum!$N:$N,MATCH(RIGHT($B66,13)&amp;"|"&amp;$C66&amp;"|"&amp;$D66&amp;"|"&amp;AI$14&amp;"|"&amp;"CY2025Q3",Spectrum!$R:$R,0)),0),""))</f>
        <v>60</v>
      </c>
      <c r="AJ66" s="38">
        <f>IF(LEFT($B66,4)="_Mil","",_xlfn.IFNA(ROUND(INDEX(Spectrum!$N:$N,MATCH(RIGHT($B66,13)&amp;"|"&amp;$C66&amp;"|"&amp;$D66&amp;"|"&amp;AJ$14&amp;"|"&amp;"CY2025Q3",Spectrum!$R:$R,0)),0),""))</f>
        <v>1626</v>
      </c>
      <c r="AK66" s="218" t="e">
        <f>#REF!</f>
        <v>#REF!</v>
      </c>
      <c r="AL66" s="33">
        <f t="shared" si="7"/>
        <v>0.9</v>
      </c>
      <c r="AM66" s="38" t="e">
        <f>IF(OR(LEFT($B66,4)="_Mil",$C66="&lt;01"),"",ROUND(SUM($AK66)*SUM($AL66),0))</f>
        <v>#REF!</v>
      </c>
      <c r="AN66" s="38" t="str">
        <f>IF($C66="&lt;01",ROUND(INDEX(EID!$P:$P,MATCH($B66,EID!$B:$B,0))/2,0),"")</f>
        <v/>
      </c>
      <c r="AO66" s="38" t="e">
        <f>IF($C66="&lt;01",SUM($AN66),ROUND(SUM($AM66)*SUM($O66)/IF(SUM($Z66)=0,1,$Z66),0))</f>
        <v>#REF!</v>
      </c>
      <c r="AP66" s="218">
        <f>IF(OR($F66="",$C66="&lt;01"),$AO66,ROUND($F66,0))</f>
        <v>1444</v>
      </c>
      <c r="AQ66" s="218">
        <f>IF(LEFT($B66,4)="_Mil","",IF(SUM($AP66)=0,SUM($Z66),IF(OR(SUM($Z66)=0,SUM($O66)=0),MAX($AP66,$Z66),ROUND($AP66*$Z66/$O66,0))))</f>
        <v>1282</v>
      </c>
      <c r="AR66" s="33" t="e">
        <f>IF(OR(LEFT($B66,4)="_Mil",SUM($AK66)=0),"",SUM($AQ66)/$AK66)</f>
        <v>#REF!</v>
      </c>
      <c r="AS66" s="33">
        <v>0.9</v>
      </c>
      <c r="AT66" s="33">
        <f t="shared" si="16"/>
        <v>0.98</v>
      </c>
      <c r="AU66" s="38">
        <f>IF($C66="&lt;01","",SUM($AP66)-SUM($O66))</f>
        <v>-65</v>
      </c>
      <c r="AV66" s="38">
        <f>IF($C66="&lt;01",ROUND(INDEX(EID!$N:$N,MATCH($B66,EID!$B:$B,0))/2,0),IF(SUM($AT66)=0,"",ROUND((SUM($AP66)-(SUM($O66)*SUM($AS66)))/$AT66,0)))</f>
        <v>88</v>
      </c>
      <c r="AW66" s="33">
        <f t="shared" si="9"/>
        <v>1</v>
      </c>
      <c r="AX66" s="218">
        <f>IF($C66="&lt;01",SUM($AV66),ROUND(SUM($AV66)*SUM($AW66),0))</f>
        <v>88</v>
      </c>
      <c r="AY66" s="79">
        <f t="shared" si="10"/>
        <v>0.7</v>
      </c>
      <c r="AZ66" s="85">
        <f>IF($C66="&lt;01",ROUND(INDEX(EID!$R:$R,MATCH($B66,EID!$B:$B,0))/2,0),ROUND(SUM($O66)+(SUM($AV66)*$AY66),0))</f>
        <v>1571</v>
      </c>
      <c r="BA66" s="40">
        <f t="shared" si="14"/>
        <v>0.9</v>
      </c>
      <c r="BB66" s="99">
        <f>IF($C66="&lt;01",ROUND(INDEX(EID!$T:$T,MATCH($B66,EID!$B:$B,0))/2,0),ROUND($AP66*$BA66,0))</f>
        <v>1300</v>
      </c>
      <c r="BC66" s="85">
        <f>IF(LEFT($B66,4)="_Mil","",IF(SUM($BB66)=0,SUM($AD66),IF(OR(SUM($AP66)=0,SUM($AQ66)=0),MAX($BB66,$AD66),ROUND($BB66*$AQ66/$AP66,0))))</f>
        <v>1154</v>
      </c>
      <c r="BD66" s="33">
        <f t="shared" si="12"/>
        <v>0.95</v>
      </c>
      <c r="BE66" s="218">
        <f>IF($C66="&lt;01",ROUND(INDEX(EID!$V:$V,MATCH($B66,EID!$B:$B,0))/2,0),ROUND($BD66*$BB66,0))</f>
        <v>1235</v>
      </c>
      <c r="BF66" s="218">
        <f>IF(LEFT($B66,4)="_Mil","",IF(SUM($BE66)=0,SUM($AF66),IF(OR(SUM($AP66)=0,SUM($AQ66)=0),MAX($BE66,$AF66),ROUND($BE66*$AQ66/$AP66,0))))</f>
        <v>1096</v>
      </c>
      <c r="BG66" s="79">
        <f t="shared" si="13"/>
        <v>0.95</v>
      </c>
      <c r="BH66" s="99">
        <f>IF($C66="&lt;01",ROUND(INDEX(EID!$L:$L,MATCH($B66,EID!$B:$B,0)),0)/2,IF(SUM($BG66)=0,"",ROUND($AX66/$BG66,0)))</f>
        <v>93</v>
      </c>
    </row>
    <row r="67" spans="1:60" x14ac:dyDescent="0.2">
      <c r="A67" t="str">
        <f>INDEX(Prioritization!$D:$D,MATCH($B67,Prioritization!$A:$A,0))</f>
        <v>1 - Scale-up: Saturation</v>
      </c>
      <c r="B67" t="s">
        <v>315</v>
      </c>
      <c r="C67" t="s">
        <v>477</v>
      </c>
      <c r="D67" t="s">
        <v>30</v>
      </c>
      <c r="E67" t="str">
        <f t="shared" si="0"/>
        <v>Chikwawa District [U8c0so51kT6]|35-49|Female</v>
      </c>
      <c r="F67" s="229">
        <v>9975</v>
      </c>
      <c r="G67" s="38">
        <v>299</v>
      </c>
      <c r="H67" s="38">
        <v>301</v>
      </c>
      <c r="I67" s="38">
        <v>9391</v>
      </c>
      <c r="J67" s="38">
        <v>5788</v>
      </c>
      <c r="K67" s="38">
        <v>5452</v>
      </c>
      <c r="L67" s="38">
        <v>567</v>
      </c>
      <c r="M67" s="38">
        <v>555</v>
      </c>
      <c r="N67" s="38">
        <v>9239</v>
      </c>
      <c r="O67" s="229">
        <v>9683</v>
      </c>
      <c r="P67" s="38">
        <v>8057</v>
      </c>
      <c r="Q67" s="38">
        <v>7654</v>
      </c>
      <c r="R67" s="38">
        <f t="shared" si="2"/>
        <v>292</v>
      </c>
      <c r="S67" s="38">
        <f>IF(LEFT($B67,4)="_Mil","",_xlfn.IFNA(ROUND(INDEX(Spectrum!$N:$N,MATCH(RIGHT($B67,13)&amp;"|"&amp;$C67&amp;"|"&amp;$D67&amp;"|"&amp;S$14&amp;"|"&amp;"CY2023Q4",Spectrum!$R:$R,0)),0),""))</f>
        <v>9926</v>
      </c>
      <c r="T67" s="218">
        <f>IF(LEFT($B67,4)="_Mil","",_xlfn.IFNA(ROUND(INDEX(Spectrum!$N:$N,MATCH(RIGHT($B67,13)&amp;"|"&amp;$C67&amp;"|"&amp;$D67&amp;"|"&amp;T$14&amp;"|"&amp;"CY2024Q3",Spectrum!$R:$R,0)),0),""))</f>
        <v>49726</v>
      </c>
      <c r="U67" s="218">
        <f>IF(LEFT($B67,4)="_Mil","",_xlfn.IFNA(ROUND(INDEX(Spectrum!$N:$N,MATCH(RIGHT($B67,13)&amp;"|"&amp;$C67&amp;"|"&amp;$D67&amp;"|"&amp;U$14&amp;"|"&amp;"CY2024Q3",Spectrum!$R:$R,0)),0),""))</f>
        <v>11333</v>
      </c>
      <c r="V67" s="38">
        <f>IF(LEFT($B67,4)="_Mil","",_xlfn.IFNA(ROUND(INDEX(Spectrum!$N:$N,MATCH(RIGHT($B67,13)&amp;"|"&amp;$C67&amp;"|"&amp;$D67&amp;"|"&amp;V$14&amp;"|"&amp;"CY2024Q3",Spectrum!$R:$R,0)),0),""))</f>
        <v>10105</v>
      </c>
      <c r="W67" s="220">
        <f>IF(LEFT($B67,4)="_Mil","",_xlfn.IFNA(INDEX(Spectrum!$N:$N,MATCH(RIGHT($B67,13)&amp;"|"&amp;$C67&amp;"|"&amp;$D67&amp;"|"&amp;W$14&amp;"|"&amp;"CY2024Q3",Spectrum!$R:$R,0)),""))</f>
        <v>0.22791239299999999</v>
      </c>
      <c r="X67" s="218">
        <f>IF(LEFT($B67,4)="_Mil","",_xlfn.IFNA(ROUND(INDEX(Spectrum!$N:$N,MATCH(RIGHT($B67,13)&amp;"|"&amp;$C67&amp;"|"&amp;$D67&amp;"|"&amp;X$14&amp;"|"&amp;"CY2024Q3",Spectrum!$R:$R,0)),0),""))</f>
        <v>11189</v>
      </c>
      <c r="Y67" s="33">
        <f t="shared" si="3"/>
        <v>0.99</v>
      </c>
      <c r="Z67" s="218">
        <f>IF(LEFT($B67,4)="_Mil","",_xlfn.IFNA(ROUND(INDEX(Spectrum!$N:$N,MATCH(RIGHT($B67,13)&amp;"|"&amp;$C67&amp;"|"&amp;$D67&amp;"|"&amp;Z$14&amp;"|"&amp;"CY2024Q3",Spectrum!$R:$R,0)),0),""))</f>
        <v>9965</v>
      </c>
      <c r="AA67" s="33">
        <f>IF(LEFT($B67,4)="_Mil","",IFERROR(1/(1/INDEX(Spectrum!$N:$N,MATCH(RIGHT($B67,13)&amp;"|"&amp;$C67&amp;"|"&amp;$D67&amp;"|"&amp;AA$14&amp;"|"&amp;"CY2024Q3",Spectrum!$R:$R,0))),IF(SUM($U67)=0,"",SUM($Z67)/$U67)))</f>
        <v>0.98694368399999999</v>
      </c>
      <c r="AB67" s="33">
        <f t="shared" si="4"/>
        <v>0.8906068460094736</v>
      </c>
      <c r="AC67" s="38">
        <f>IF(LEFT($B67,4)="_Mil","",_xlfn.IFNA(ROUND(INDEX(Spectrum!$N:$N,MATCH(RIGHT($B67,13)&amp;"|"&amp;$C67&amp;"|"&amp;$D67&amp;"|"&amp;AC$14&amp;"|"&amp;"CY2024Q3",Spectrum!$R:$R,0)),0),""))</f>
        <v>140</v>
      </c>
      <c r="AD67" s="38" t="str">
        <f>IF(LEFT($B67,4)="_Mil","",_xlfn.IFNA(ROUND(INDEX(Spectrum!$N:$N,MATCH(RIGHT($B67,13)&amp;"|"&amp;$C67&amp;"|"&amp;$D67&amp;"|"&amp;AD$14&amp;"|"&amp;"CY2024Q3",Spectrum!$R:$R,0)),0),""))</f>
        <v/>
      </c>
      <c r="AE67" s="33">
        <f t="shared" si="5"/>
        <v>0</v>
      </c>
      <c r="AF67" s="218" t="str">
        <f>IF(LEFT($B67,4)="_Mil","",_xlfn.IFNA(ROUND(INDEX(Spectrum!$N:$N,MATCH(RIGHT($B67,13)&amp;"|"&amp;$C67&amp;"|"&amp;$D67&amp;"|"&amp;AF$14&amp;"|"&amp;"CY2024Q3",Spectrum!$R:$R,0)),0),""))</f>
        <v/>
      </c>
      <c r="AG67" s="33" t="str">
        <f t="shared" si="6"/>
        <v/>
      </c>
      <c r="AH67" s="110" t="str">
        <f>IF(LEFT($B67,4)="_Mil","",_xlfn.IFNA(INDEX(Spectrum!$N:$N,MATCH(RIGHT($B67,13)&amp;"|"&amp;$C67&amp;"|"&amp;$D67&amp;"|"&amp;AH$14&amp;"|"&amp;"CY2024Q3",Spectrum!$R:$R,0)),""))</f>
        <v/>
      </c>
      <c r="AI67" s="218">
        <f>IF(LEFT($B67,4)="_Mil","",_xlfn.IFNA(ROUND(INDEX(Spectrum!$N:$N,MATCH(RIGHT($B67,13)&amp;"|"&amp;$C67&amp;"|"&amp;$D67&amp;"|"&amp;AI$14&amp;"|"&amp;"CY2025Q3",Spectrum!$R:$R,0)),0),""))</f>
        <v>48</v>
      </c>
      <c r="AJ67" s="38">
        <f>IF(LEFT($B67,4)="_Mil","",_xlfn.IFNA(ROUND(INDEX(Spectrum!$N:$N,MATCH(RIGHT($B67,13)&amp;"|"&amp;$C67&amp;"|"&amp;$D67&amp;"|"&amp;AJ$14&amp;"|"&amp;"CY2025Q3",Spectrum!$R:$R,0)),0),""))</f>
        <v>11339</v>
      </c>
      <c r="AK67" s="218" t="e">
        <f>#REF!</f>
        <v>#REF!</v>
      </c>
      <c r="AL67" s="33">
        <f t="shared" si="7"/>
        <v>0.98694368399999999</v>
      </c>
      <c r="AM67" s="38" t="e">
        <f>IF(OR(LEFT($B67,4)="_Mil",$C67="&lt;01"),"",ROUND(SUM($AK67)*SUM($AL67),0))</f>
        <v>#REF!</v>
      </c>
      <c r="AN67" s="38" t="str">
        <f>IF($C67="&lt;01",ROUND(INDEX(EID!$P:$P,MATCH($B67,EID!$B:$B,0))/2,0),"")</f>
        <v/>
      </c>
      <c r="AO67" s="38" t="e">
        <f>IF($C67="&lt;01",SUM($AN67),ROUND(SUM($AM67)*SUM($O67)/IF(SUM($Z67)=0,1,$Z67),0))</f>
        <v>#REF!</v>
      </c>
      <c r="AP67" s="218">
        <f>IF(OR($F67="",$C67="&lt;01"),$AO67,ROUND($F67,0))</f>
        <v>9975</v>
      </c>
      <c r="AQ67" s="218">
        <f>IF(LEFT($B67,4)="_Mil","",IF(SUM($AP67)=0,SUM($Z67),IF(OR(SUM($Z67)=0,SUM($O67)=0),MAX($AP67,$Z67),ROUND($AP67*$Z67/$O67,0))))</f>
        <v>10266</v>
      </c>
      <c r="AR67" s="33" t="e">
        <f>IF(OR(LEFT($B67,4)="_Mil",SUM($AK67)=0),"",SUM($AQ67)/$AK67)</f>
        <v>#REF!</v>
      </c>
      <c r="AS67" s="33">
        <f t="shared" ref="AS67:AS86" si="18">IF($C67="&lt;01","",98%)</f>
        <v>0.98</v>
      </c>
      <c r="AT67" s="33">
        <f t="shared" si="16"/>
        <v>0.98</v>
      </c>
      <c r="AU67" s="38">
        <f>IF($C67="&lt;01","",SUM($AP67)-SUM($O67))</f>
        <v>292</v>
      </c>
      <c r="AV67" s="38">
        <f>IF($C67="&lt;01",ROUND(INDEX(EID!$N:$N,MATCH($B67,EID!$B:$B,0))/2,0),IF(SUM($AT67)=0,"",ROUND((SUM($AP67)-(SUM($O67)*SUM($AS67)))/$AT67,0)))</f>
        <v>496</v>
      </c>
      <c r="AW67" s="33">
        <f t="shared" si="9"/>
        <v>1</v>
      </c>
      <c r="AX67" s="218">
        <f>IF($C67="&lt;01",SUM($AV67),ROUND(SUM($AV67)*SUM($AW67),0))</f>
        <v>496</v>
      </c>
      <c r="AY67" s="79">
        <f t="shared" si="10"/>
        <v>0.7</v>
      </c>
      <c r="AZ67" s="85">
        <f>IF($C67="&lt;01",ROUND(INDEX(EID!$R:$R,MATCH($B67,EID!$B:$B,0))/2,0),ROUND(SUM($O67)+(SUM($AV67)*$AY67),0))</f>
        <v>10030</v>
      </c>
      <c r="BA67" s="40">
        <f t="shared" si="14"/>
        <v>0.9</v>
      </c>
      <c r="BB67" s="99">
        <f>IF($C67="&lt;01",ROUND(INDEX(EID!$T:$T,MATCH($B67,EID!$B:$B,0))/2,0),ROUND($AP67*$BA67,0))</f>
        <v>8978</v>
      </c>
      <c r="BC67" s="85">
        <f>IF(LEFT($B67,4)="_Mil","",IF(SUM($BB67)=0,SUM($AD67),IF(OR(SUM($AP67)=0,SUM($AQ67)=0),MAX($BB67,$AD67),ROUND($BB67*$AQ67/$AP67,0))))</f>
        <v>9240</v>
      </c>
      <c r="BD67" s="33">
        <f t="shared" si="12"/>
        <v>0.95</v>
      </c>
      <c r="BE67" s="218">
        <f>IF($C67="&lt;01",ROUND(INDEX(EID!$V:$V,MATCH($B67,EID!$B:$B,0))/2,0),ROUND($BD67*$BB67,0))</f>
        <v>8529</v>
      </c>
      <c r="BF67" s="218">
        <f>IF(LEFT($B67,4)="_Mil","",IF(SUM($BE67)=0,SUM($AF67),IF(OR(SUM($AP67)=0,SUM($AQ67)=0),MAX($BE67,$AF67),ROUND($BE67*$AQ67/$AP67,0))))</f>
        <v>8778</v>
      </c>
      <c r="BG67" s="79">
        <f t="shared" si="13"/>
        <v>0.95</v>
      </c>
      <c r="BH67" s="99">
        <f>IF($C67="&lt;01",ROUND(INDEX(EID!$L:$L,MATCH($B67,EID!$B:$B,0)),0)/2,IF(SUM($BG67)=0,"",ROUND($AX67/$BG67,0)))</f>
        <v>522</v>
      </c>
    </row>
    <row r="68" spans="1:60" x14ac:dyDescent="0.2">
      <c r="A68" t="str">
        <f>INDEX(Prioritization!$D:$D,MATCH($B68,Prioritization!$A:$A,0))</f>
        <v>1 - Scale-up: Saturation</v>
      </c>
      <c r="B68" t="s">
        <v>315</v>
      </c>
      <c r="C68" t="s">
        <v>477</v>
      </c>
      <c r="D68" t="s">
        <v>48</v>
      </c>
      <c r="E68" t="str">
        <f t="shared" si="0"/>
        <v>Chikwawa District [U8c0so51kT6]|35-49|Male</v>
      </c>
      <c r="F68" s="229">
        <v>5178</v>
      </c>
      <c r="G68" s="38">
        <v>342</v>
      </c>
      <c r="H68" s="38">
        <v>355</v>
      </c>
      <c r="I68" s="38">
        <v>5042</v>
      </c>
      <c r="J68" s="38">
        <v>3022</v>
      </c>
      <c r="K68" s="38">
        <v>2818</v>
      </c>
      <c r="L68" s="38">
        <v>52</v>
      </c>
      <c r="M68" s="38">
        <v>48</v>
      </c>
      <c r="N68" s="38">
        <v>5037</v>
      </c>
      <c r="O68" s="229">
        <v>5110</v>
      </c>
      <c r="P68" s="38">
        <v>4567</v>
      </c>
      <c r="Q68" s="38">
        <v>4339</v>
      </c>
      <c r="R68" s="38">
        <f t="shared" si="2"/>
        <v>68</v>
      </c>
      <c r="S68" s="38">
        <f>IF(LEFT($B68,4)="_Mil","",_xlfn.IFNA(ROUND(INDEX(Spectrum!$N:$N,MATCH(RIGHT($B68,13)&amp;"|"&amp;$C68&amp;"|"&amp;$D68&amp;"|"&amp;S$14&amp;"|"&amp;"CY2023Q4",Spectrum!$R:$R,0)),0),""))</f>
        <v>5245</v>
      </c>
      <c r="T68" s="218">
        <f>IF(LEFT($B68,4)="_Mil","",_xlfn.IFNA(ROUND(INDEX(Spectrum!$N:$N,MATCH(RIGHT($B68,13)&amp;"|"&amp;$C68&amp;"|"&amp;$D68&amp;"|"&amp;T$14&amp;"|"&amp;"CY2024Q3",Spectrum!$R:$R,0)),0),""))</f>
        <v>45517</v>
      </c>
      <c r="U68" s="218">
        <f>IF(LEFT($B68,4)="_Mil","",_xlfn.IFNA(ROUND(INDEX(Spectrum!$N:$N,MATCH(RIGHT($B68,13)&amp;"|"&amp;$C68&amp;"|"&amp;$D68&amp;"|"&amp;U$14&amp;"|"&amp;"CY2024Q3",Spectrum!$R:$R,0)),0),""))</f>
        <v>6287</v>
      </c>
      <c r="V68" s="38">
        <f>IF(LEFT($B68,4)="_Mil","",_xlfn.IFNA(ROUND(INDEX(Spectrum!$N:$N,MATCH(RIGHT($B68,13)&amp;"|"&amp;$C68&amp;"|"&amp;$D68&amp;"|"&amp;V$14&amp;"|"&amp;"CY2024Q3",Spectrum!$R:$R,0)),0),""))</f>
        <v>5573</v>
      </c>
      <c r="W68" s="220">
        <f>IF(LEFT($B68,4)="_Mil","",_xlfn.IFNA(INDEX(Spectrum!$N:$N,MATCH(RIGHT($B68,13)&amp;"|"&amp;$C68&amp;"|"&amp;$D68&amp;"|"&amp;W$14&amp;"|"&amp;"CY2024Q3",Spectrum!$R:$R,0)),""))</f>
        <v>0.13812439400000001</v>
      </c>
      <c r="X68" s="218">
        <f>IF(LEFT($B68,4)="_Mil","",_xlfn.IFNA(ROUND(INDEX(Spectrum!$N:$N,MATCH(RIGHT($B68,13)&amp;"|"&amp;$C68&amp;"|"&amp;$D68&amp;"|"&amp;X$14&amp;"|"&amp;"CY2024Q3",Spectrum!$R:$R,0)),0),""))</f>
        <v>5919</v>
      </c>
      <c r="Y68" s="33">
        <f t="shared" si="3"/>
        <v>0.94</v>
      </c>
      <c r="Z68" s="218">
        <f>IF(LEFT($B68,4)="_Mil","",_xlfn.IFNA(ROUND(INDEX(Spectrum!$N:$N,MATCH(RIGHT($B68,13)&amp;"|"&amp;$C68&amp;"|"&amp;$D68&amp;"|"&amp;Z$14&amp;"|"&amp;"CY2024Q3",Spectrum!$R:$R,0)),0),""))</f>
        <v>5182</v>
      </c>
      <c r="AA68" s="33">
        <f>IF(LEFT($B68,4)="_Mil","",IFERROR(1/(1/INDEX(Spectrum!$N:$N,MATCH(RIGHT($B68,13)&amp;"|"&amp;$C68&amp;"|"&amp;$D68&amp;"|"&amp;AA$14&amp;"|"&amp;"CY2024Q3",Spectrum!$R:$R,0))),IF(SUM($U68)=0,"",SUM($Z68)/$U68)))</f>
        <v>0.93787394999999996</v>
      </c>
      <c r="AB68" s="33">
        <f t="shared" si="4"/>
        <v>0.87548572393985469</v>
      </c>
      <c r="AC68" s="38">
        <f>IF(LEFT($B68,4)="_Mil","",_xlfn.IFNA(ROUND(INDEX(Spectrum!$N:$N,MATCH(RIGHT($B68,13)&amp;"|"&amp;$C68&amp;"|"&amp;$D68&amp;"|"&amp;AC$14&amp;"|"&amp;"CY2024Q3",Spectrum!$R:$R,0)),0),""))</f>
        <v>391</v>
      </c>
      <c r="AD68" s="38" t="str">
        <f>IF(LEFT($B68,4)="_Mil","",_xlfn.IFNA(ROUND(INDEX(Spectrum!$N:$N,MATCH(RIGHT($B68,13)&amp;"|"&amp;$C68&amp;"|"&amp;$D68&amp;"|"&amp;AD$14&amp;"|"&amp;"CY2024Q3",Spectrum!$R:$R,0)),0),""))</f>
        <v/>
      </c>
      <c r="AE68" s="33">
        <f t="shared" si="5"/>
        <v>0</v>
      </c>
      <c r="AF68" s="218" t="str">
        <f>IF(LEFT($B68,4)="_Mil","",_xlfn.IFNA(ROUND(INDEX(Spectrum!$N:$N,MATCH(RIGHT($B68,13)&amp;"|"&amp;$C68&amp;"|"&amp;$D68&amp;"|"&amp;AF$14&amp;"|"&amp;"CY2024Q3",Spectrum!$R:$R,0)),0),""))</f>
        <v/>
      </c>
      <c r="AG68" s="33" t="str">
        <f t="shared" si="6"/>
        <v/>
      </c>
      <c r="AH68" s="110" t="str">
        <f>IF(LEFT($B68,4)="_Mil","",_xlfn.IFNA(INDEX(Spectrum!$N:$N,MATCH(RIGHT($B68,13)&amp;"|"&amp;$C68&amp;"|"&amp;$D68&amp;"|"&amp;AH$14&amp;"|"&amp;"CY2024Q3",Spectrum!$R:$R,0)),""))</f>
        <v/>
      </c>
      <c r="AI68" s="218">
        <f>IF(LEFT($B68,4)="_Mil","",_xlfn.IFNA(ROUND(INDEX(Spectrum!$N:$N,MATCH(RIGHT($B68,13)&amp;"|"&amp;$C68&amp;"|"&amp;$D68&amp;"|"&amp;AI$14&amp;"|"&amp;"CY2025Q3",Spectrum!$R:$R,0)),0),""))</f>
        <v>60</v>
      </c>
      <c r="AJ68" s="38">
        <f>IF(LEFT($B68,4)="_Mil","",_xlfn.IFNA(ROUND(INDEX(Spectrum!$N:$N,MATCH(RIGHT($B68,13)&amp;"|"&amp;$C68&amp;"|"&amp;$D68&amp;"|"&amp;AJ$14&amp;"|"&amp;"CY2025Q3",Spectrum!$R:$R,0)),0),""))</f>
        <v>5994</v>
      </c>
      <c r="AK68" s="218" t="e">
        <f>#REF!</f>
        <v>#REF!</v>
      </c>
      <c r="AL68" s="33">
        <f t="shared" si="7"/>
        <v>0.93787394999999996</v>
      </c>
      <c r="AM68" s="38" t="e">
        <f>IF(OR(LEFT($B68,4)="_Mil",$C68="&lt;01"),"",ROUND(SUM($AK68)*SUM($AL68),0))</f>
        <v>#REF!</v>
      </c>
      <c r="AN68" s="38" t="str">
        <f>IF($C68="&lt;01",ROUND(INDEX(EID!$P:$P,MATCH($B68,EID!$B:$B,0))/2,0),"")</f>
        <v/>
      </c>
      <c r="AO68" s="38" t="e">
        <f>IF($C68="&lt;01",SUM($AN68),ROUND(SUM($AM68)*SUM($O68)/IF(SUM($Z68)=0,1,$Z68),0))</f>
        <v>#REF!</v>
      </c>
      <c r="AP68" s="218">
        <f>IF(OR($F68="",$C68="&lt;01"),$AO68,ROUND($F68,0))</f>
        <v>5178</v>
      </c>
      <c r="AQ68" s="218">
        <f>IF(LEFT($B68,4)="_Mil","",IF(SUM($AP68)=0,SUM($Z68),IF(OR(SUM($Z68)=0,SUM($O68)=0),MAX($AP68,$Z68),ROUND($AP68*$Z68/$O68,0))))</f>
        <v>5251</v>
      </c>
      <c r="AR68" s="33" t="e">
        <f>IF(OR(LEFT($B68,4)="_Mil",SUM($AK68)=0),"",SUM($AQ68)/$AK68)</f>
        <v>#REF!</v>
      </c>
      <c r="AS68" s="33">
        <v>0.9</v>
      </c>
      <c r="AT68" s="33">
        <f t="shared" si="16"/>
        <v>0.98</v>
      </c>
      <c r="AU68" s="38">
        <f>IF($C68="&lt;01","",SUM($AP68)-SUM($O68))</f>
        <v>68</v>
      </c>
      <c r="AV68" s="38">
        <f>IF($C68="&lt;01",ROUND(INDEX(EID!$N:$N,MATCH($B68,EID!$B:$B,0))/2,0),IF(SUM($AT68)=0,"",ROUND((SUM($AP68)-(SUM($O68)*SUM($AS68)))/$AT68,0)))</f>
        <v>591</v>
      </c>
      <c r="AW68" s="33">
        <f t="shared" si="9"/>
        <v>1</v>
      </c>
      <c r="AX68" s="218">
        <f>IF($C68="&lt;01",SUM($AV68),ROUND(SUM($AV68)*SUM($AW68),0))</f>
        <v>591</v>
      </c>
      <c r="AY68" s="79">
        <f t="shared" si="10"/>
        <v>0.7</v>
      </c>
      <c r="AZ68" s="85">
        <f>IF($C68="&lt;01",ROUND(INDEX(EID!$R:$R,MATCH($B68,EID!$B:$B,0))/2,0),ROUND(SUM($O68)+(SUM($AV68)*$AY68),0))</f>
        <v>5524</v>
      </c>
      <c r="BA68" s="40">
        <f t="shared" si="14"/>
        <v>0.9</v>
      </c>
      <c r="BB68" s="99">
        <f>IF($C68="&lt;01",ROUND(INDEX(EID!$T:$T,MATCH($B68,EID!$B:$B,0))/2,0),ROUND($AP68*$BA68,0))</f>
        <v>4660</v>
      </c>
      <c r="BC68" s="85">
        <f>IF(LEFT($B68,4)="_Mil","",IF(SUM($BB68)=0,SUM($AD68),IF(OR(SUM($AP68)=0,SUM($AQ68)=0),MAX($BB68,$AD68),ROUND($BB68*$AQ68/$AP68,0))))</f>
        <v>4726</v>
      </c>
      <c r="BD68" s="33">
        <f t="shared" si="12"/>
        <v>0.95</v>
      </c>
      <c r="BE68" s="218">
        <f>IF($C68="&lt;01",ROUND(INDEX(EID!$V:$V,MATCH($B68,EID!$B:$B,0))/2,0),ROUND($BD68*$BB68,0))</f>
        <v>4427</v>
      </c>
      <c r="BF68" s="218">
        <f>IF(LEFT($B68,4)="_Mil","",IF(SUM($BE68)=0,SUM($AF68),IF(OR(SUM($AP68)=0,SUM($AQ68)=0),MAX($BE68,$AF68),ROUND($BE68*$AQ68/$AP68,0))))</f>
        <v>4489</v>
      </c>
      <c r="BG68" s="79">
        <f t="shared" si="13"/>
        <v>0.95</v>
      </c>
      <c r="BH68" s="99">
        <f>IF($C68="&lt;01",ROUND(INDEX(EID!$L:$L,MATCH($B68,EID!$B:$B,0)),0)/2,IF(SUM($BG68)=0,"",ROUND($AX68/$BG68,0)))</f>
        <v>622</v>
      </c>
    </row>
    <row r="69" spans="1:60" x14ac:dyDescent="0.2">
      <c r="A69" t="str">
        <f>INDEX(Prioritization!$D:$D,MATCH($B69,Prioritization!$A:$A,0))</f>
        <v>1 - Scale-up: Saturation</v>
      </c>
      <c r="B69" t="s">
        <v>315</v>
      </c>
      <c r="C69" t="s">
        <v>478</v>
      </c>
      <c r="D69" t="s">
        <v>30</v>
      </c>
      <c r="E69" t="str">
        <f t="shared" si="0"/>
        <v>Chikwawa District [U8c0so51kT6]|50+|Female</v>
      </c>
      <c r="F69" s="229">
        <v>4365</v>
      </c>
      <c r="G69" s="38">
        <v>84</v>
      </c>
      <c r="H69" s="38">
        <v>70</v>
      </c>
      <c r="I69" s="38">
        <v>3829</v>
      </c>
      <c r="J69" s="38">
        <v>2268</v>
      </c>
      <c r="K69" s="38">
        <v>2171</v>
      </c>
      <c r="L69" s="38">
        <v>444</v>
      </c>
      <c r="M69" s="38">
        <v>435</v>
      </c>
      <c r="N69" s="38">
        <v>4266</v>
      </c>
      <c r="O69" s="229">
        <v>4069</v>
      </c>
      <c r="P69" s="38">
        <v>3522</v>
      </c>
      <c r="Q69" s="38">
        <v>3346</v>
      </c>
      <c r="R69" s="38">
        <f t="shared" si="2"/>
        <v>240</v>
      </c>
      <c r="S69" s="38">
        <f>IF(LEFT($B69,4)="_Mil","",_xlfn.IFNA(ROUND(INDEX(Spectrum!$N:$N,MATCH(RIGHT($B69,13)&amp;"|"&amp;$C69&amp;"|"&amp;$D69&amp;"|"&amp;S$14&amp;"|"&amp;"CY2023Q4",Spectrum!$R:$R,0)),0),""))</f>
        <v>4446</v>
      </c>
      <c r="T69" s="218">
        <f>IF(LEFT($B69,4)="_Mil","",_xlfn.IFNA(ROUND(INDEX(Spectrum!$N:$N,MATCH(RIGHT($B69,13)&amp;"|"&amp;$C69&amp;"|"&amp;$D69&amp;"|"&amp;T$14&amp;"|"&amp;"CY2024Q3",Spectrum!$R:$R,0)),0),""))</f>
        <v>28493</v>
      </c>
      <c r="U69" s="218">
        <f>IF(LEFT($B69,4)="_Mil","",_xlfn.IFNA(ROUND(INDEX(Spectrum!$N:$N,MATCH(RIGHT($B69,13)&amp;"|"&amp;$C69&amp;"|"&amp;$D69&amp;"|"&amp;U$14&amp;"|"&amp;"CY2024Q3",Spectrum!$R:$R,0)),0),""))</f>
        <v>5311</v>
      </c>
      <c r="V69" s="38">
        <f>IF(LEFT($B69,4)="_Mil","",_xlfn.IFNA(ROUND(INDEX(Spectrum!$N:$N,MATCH(RIGHT($B69,13)&amp;"|"&amp;$C69&amp;"|"&amp;$D69&amp;"|"&amp;V$14&amp;"|"&amp;"CY2024Q3",Spectrum!$R:$R,0)),0),""))</f>
        <v>4751</v>
      </c>
      <c r="W69" s="220">
        <f>IF(LEFT($B69,4)="_Mil","",_xlfn.IFNA(INDEX(Spectrum!$N:$N,MATCH(RIGHT($B69,13)&amp;"|"&amp;$C69&amp;"|"&amp;$D69&amp;"|"&amp;W$14&amp;"|"&amp;"CY2024Q3",Spectrum!$R:$R,0)),""))</f>
        <v>0.186393697</v>
      </c>
      <c r="X69" s="218">
        <f>IF(LEFT($B69,4)="_Mil","",_xlfn.IFNA(ROUND(INDEX(Spectrum!$N:$N,MATCH(RIGHT($B69,13)&amp;"|"&amp;$C69&amp;"|"&amp;$D69&amp;"|"&amp;X$14&amp;"|"&amp;"CY2024Q3",Spectrum!$R:$R,0)),0),""))</f>
        <v>5272</v>
      </c>
      <c r="Y69" s="33">
        <f t="shared" si="3"/>
        <v>0.99</v>
      </c>
      <c r="Z69" s="218">
        <f>IF(LEFT($B69,4)="_Mil","",_xlfn.IFNA(ROUND(INDEX(Spectrum!$N:$N,MATCH(RIGHT($B69,13)&amp;"|"&amp;$C69&amp;"|"&amp;$D69&amp;"|"&amp;Z$14&amp;"|"&amp;"CY2024Q3",Spectrum!$R:$R,0)),0),""))</f>
        <v>4711</v>
      </c>
      <c r="AA69" s="33">
        <f>IF(LEFT($B69,4)="_Mil","",IFERROR(1/(1/INDEX(Spectrum!$N:$N,MATCH(RIGHT($B69,13)&amp;"|"&amp;$C69&amp;"|"&amp;$D69&amp;"|"&amp;AA$14&amp;"|"&amp;"CY2024Q3",Spectrum!$R:$R,0))),IF(SUM($U69)=0,"",SUM($Z69)/$U69)))</f>
        <v>0.99108265300000009</v>
      </c>
      <c r="AB69" s="33">
        <f t="shared" si="4"/>
        <v>0.89358877086494692</v>
      </c>
      <c r="AC69" s="38">
        <f>IF(LEFT($B69,4)="_Mil","",_xlfn.IFNA(ROUND(INDEX(Spectrum!$N:$N,MATCH(RIGHT($B69,13)&amp;"|"&amp;$C69&amp;"|"&amp;$D69&amp;"|"&amp;AC$14&amp;"|"&amp;"CY2024Q3",Spectrum!$R:$R,0)),0),""))</f>
        <v>40</v>
      </c>
      <c r="AD69" s="38" t="str">
        <f>IF(LEFT($B69,4)="_Mil","",_xlfn.IFNA(ROUND(INDEX(Spectrum!$N:$N,MATCH(RIGHT($B69,13)&amp;"|"&amp;$C69&amp;"|"&amp;$D69&amp;"|"&amp;AD$14&amp;"|"&amp;"CY2024Q3",Spectrum!$R:$R,0)),0),""))</f>
        <v/>
      </c>
      <c r="AE69" s="33">
        <f t="shared" si="5"/>
        <v>0</v>
      </c>
      <c r="AF69" s="218" t="str">
        <f>IF(LEFT($B69,4)="_Mil","",_xlfn.IFNA(ROUND(INDEX(Spectrum!$N:$N,MATCH(RIGHT($B69,13)&amp;"|"&amp;$C69&amp;"|"&amp;$D69&amp;"|"&amp;AF$14&amp;"|"&amp;"CY2024Q3",Spectrum!$R:$R,0)),0),""))</f>
        <v/>
      </c>
      <c r="AG69" s="33" t="str">
        <f t="shared" si="6"/>
        <v/>
      </c>
      <c r="AH69" s="110" t="str">
        <f>IF(LEFT($B69,4)="_Mil","",_xlfn.IFNA(INDEX(Spectrum!$N:$N,MATCH(RIGHT($B69,13)&amp;"|"&amp;$C69&amp;"|"&amp;$D69&amp;"|"&amp;AH$14&amp;"|"&amp;"CY2024Q3",Spectrum!$R:$R,0)),""))</f>
        <v/>
      </c>
      <c r="AI69" s="218">
        <f>IF(LEFT($B69,4)="_Mil","",_xlfn.IFNA(ROUND(INDEX(Spectrum!$N:$N,MATCH(RIGHT($B69,13)&amp;"|"&amp;$C69&amp;"|"&amp;$D69&amp;"|"&amp;AI$14&amp;"|"&amp;"CY2025Q3",Spectrum!$R:$R,0)),0),""))</f>
        <v>8</v>
      </c>
      <c r="AJ69" s="38">
        <f>IF(LEFT($B69,4)="_Mil","",_xlfn.IFNA(ROUND(INDEX(Spectrum!$N:$N,MATCH(RIGHT($B69,13)&amp;"|"&amp;$C69&amp;"|"&amp;$D69&amp;"|"&amp;AJ$14&amp;"|"&amp;"CY2025Q3",Spectrum!$R:$R,0)),0),""))</f>
        <v>5742</v>
      </c>
      <c r="AK69" s="218" t="e">
        <f>#REF!</f>
        <v>#REF!</v>
      </c>
      <c r="AL69" s="33">
        <f t="shared" si="7"/>
        <v>0.99108265300000009</v>
      </c>
      <c r="AM69" s="38" t="e">
        <f>IF(OR(LEFT($B69,4)="_Mil",$C69="&lt;01"),"",ROUND(SUM($AK69)*SUM($AL69),0))</f>
        <v>#REF!</v>
      </c>
      <c r="AN69" s="38" t="str">
        <f>IF($C69="&lt;01",ROUND(INDEX(EID!$P:$P,MATCH($B69,EID!$B:$B,0))/2,0),"")</f>
        <v/>
      </c>
      <c r="AO69" s="38" t="e">
        <f>IF($C69="&lt;01",SUM($AN69),ROUND(SUM($AM69)*SUM($O69)/IF(SUM($Z69)=0,1,$Z69),0))</f>
        <v>#REF!</v>
      </c>
      <c r="AP69" s="218">
        <f>IF(OR($F69="",$C69="&lt;01"),$AO69,ROUND($F69,0))</f>
        <v>4365</v>
      </c>
      <c r="AQ69" s="218">
        <f>IF(LEFT($B69,4)="_Mil","",IF(SUM($AP69)=0,SUM($Z69),IF(OR(SUM($Z69)=0,SUM($O69)=0),MAX($AP69,$Z69),ROUND($AP69*$Z69/$O69,0))))</f>
        <v>5054</v>
      </c>
      <c r="AR69" s="33" t="e">
        <f>IF(OR(LEFT($B69,4)="_Mil",SUM($AK69)=0),"",SUM($AQ69)/$AK69)</f>
        <v>#REF!</v>
      </c>
      <c r="AS69" s="33">
        <v>1.02</v>
      </c>
      <c r="AT69" s="33">
        <f>IF($C69="&lt;01","",100%)</f>
        <v>1</v>
      </c>
      <c r="AU69" s="38">
        <f>IF($C69="&lt;01","",SUM($AP69)-SUM($O69))</f>
        <v>296</v>
      </c>
      <c r="AV69" s="38">
        <f>IF($C69="&lt;01",ROUND(INDEX(EID!$N:$N,MATCH($B69,EID!$B:$B,0))/2,0),IF(SUM($AT69)=0,"",ROUND((SUM($AP69)-(SUM($O69)*SUM($AS69)))/$AT69,0)))</f>
        <v>215</v>
      </c>
      <c r="AW69" s="33">
        <v>0.8</v>
      </c>
      <c r="AX69" s="218">
        <f>IF($C69="&lt;01",SUM($AV69),ROUND(SUM($AV69)*SUM($AW69),0))</f>
        <v>172</v>
      </c>
      <c r="AY69" s="79">
        <f t="shared" si="10"/>
        <v>0.7</v>
      </c>
      <c r="AZ69" s="85">
        <f>IF($C69="&lt;01",ROUND(INDEX(EID!$R:$R,MATCH($B69,EID!$B:$B,0))/2,0),ROUND(SUM($O69)+(SUM($AV69)*$AY69),0))</f>
        <v>4220</v>
      </c>
      <c r="BA69" s="40">
        <f t="shared" si="14"/>
        <v>0.9</v>
      </c>
      <c r="BB69" s="99">
        <f>IF($C69="&lt;01",ROUND(INDEX(EID!$T:$T,MATCH($B69,EID!$B:$B,0))/2,0),ROUND($AP69*$BA69,0))</f>
        <v>3929</v>
      </c>
      <c r="BC69" s="85">
        <f>IF(LEFT($B69,4)="_Mil","",IF(SUM($BB69)=0,SUM($AD69),IF(OR(SUM($AP69)=0,SUM($AQ69)=0),MAX($BB69,$AD69),ROUND($BB69*$AQ69/$AP69,0))))</f>
        <v>4549</v>
      </c>
      <c r="BD69" s="33">
        <f t="shared" si="12"/>
        <v>0.95</v>
      </c>
      <c r="BE69" s="218">
        <f>IF($C69="&lt;01",ROUND(INDEX(EID!$V:$V,MATCH($B69,EID!$B:$B,0))/2,0),ROUND($BD69*$BB69,0))</f>
        <v>3733</v>
      </c>
      <c r="BF69" s="218">
        <f>IF(LEFT($B69,4)="_Mil","",IF(SUM($BE69)=0,SUM($AF69),IF(OR(SUM($AP69)=0,SUM($AQ69)=0),MAX($BE69,$AF69),ROUND($BE69*$AQ69/$AP69,0))))</f>
        <v>4322</v>
      </c>
      <c r="BG69" s="79">
        <f t="shared" si="13"/>
        <v>0.95</v>
      </c>
      <c r="BH69" s="99">
        <f>IF($C69="&lt;01",ROUND(INDEX(EID!$L:$L,MATCH($B69,EID!$B:$B,0)),0)/2,IF(SUM($BG69)=0,"",ROUND($AX69/$BG69,0)))</f>
        <v>181</v>
      </c>
    </row>
    <row r="70" spans="1:60" x14ac:dyDescent="0.2">
      <c r="A70" t="str">
        <f>INDEX(Prioritization!$D:$D,MATCH($B70,Prioritization!$A:$A,0))</f>
        <v>1 - Scale-up: Saturation</v>
      </c>
      <c r="B70" t="s">
        <v>315</v>
      </c>
      <c r="C70" t="s">
        <v>478</v>
      </c>
      <c r="D70" t="s">
        <v>48</v>
      </c>
      <c r="E70" t="str">
        <f t="shared" si="0"/>
        <v>Chikwawa District [U8c0so51kT6]|50+|Male</v>
      </c>
      <c r="F70" s="229">
        <v>4220</v>
      </c>
      <c r="G70" s="38">
        <v>84</v>
      </c>
      <c r="H70" s="38">
        <v>84</v>
      </c>
      <c r="I70" s="38">
        <v>3652</v>
      </c>
      <c r="J70" s="38">
        <v>2107</v>
      </c>
      <c r="K70" s="38">
        <v>2001</v>
      </c>
      <c r="L70" s="38">
        <v>340</v>
      </c>
      <c r="M70" s="38">
        <v>323</v>
      </c>
      <c r="N70" s="38">
        <v>3678</v>
      </c>
      <c r="O70" s="229">
        <v>3936</v>
      </c>
      <c r="P70" s="38">
        <v>3069</v>
      </c>
      <c r="Q70" s="38">
        <v>2916</v>
      </c>
      <c r="R70" s="38">
        <f t="shared" si="2"/>
        <v>284</v>
      </c>
      <c r="S70" s="38">
        <f>IF(LEFT($B70,4)="_Mil","",_xlfn.IFNA(ROUND(INDEX(Spectrum!$N:$N,MATCH(RIGHT($B70,13)&amp;"|"&amp;$C70&amp;"|"&amp;$D70&amp;"|"&amp;S$14&amp;"|"&amp;"CY2023Q4",Spectrum!$R:$R,0)),0),""))</f>
        <v>3694</v>
      </c>
      <c r="T70" s="218">
        <f>IF(LEFT($B70,4)="_Mil","",_xlfn.IFNA(ROUND(INDEX(Spectrum!$N:$N,MATCH(RIGHT($B70,13)&amp;"|"&amp;$C70&amp;"|"&amp;$D70&amp;"|"&amp;T$14&amp;"|"&amp;"CY2024Q3",Spectrum!$R:$R,0)),0),""))</f>
        <v>23630</v>
      </c>
      <c r="U70" s="218">
        <f>IF(LEFT($B70,4)="_Mil","",_xlfn.IFNA(ROUND(INDEX(Spectrum!$N:$N,MATCH(RIGHT($B70,13)&amp;"|"&amp;$C70&amp;"|"&amp;$D70&amp;"|"&amp;U$14&amp;"|"&amp;"CY2024Q3",Spectrum!$R:$R,0)),0),""))</f>
        <v>4629</v>
      </c>
      <c r="V70" s="38">
        <f>IF(LEFT($B70,4)="_Mil","",_xlfn.IFNA(ROUND(INDEX(Spectrum!$N:$N,MATCH(RIGHT($B70,13)&amp;"|"&amp;$C70&amp;"|"&amp;$D70&amp;"|"&amp;V$14&amp;"|"&amp;"CY2024Q3",Spectrum!$R:$R,0)),0),""))</f>
        <v>4113</v>
      </c>
      <c r="W70" s="220">
        <f>IF(LEFT($B70,4)="_Mil","",_xlfn.IFNA(INDEX(Spectrum!$N:$N,MATCH(RIGHT($B70,13)&amp;"|"&amp;$C70&amp;"|"&amp;$D70&amp;"|"&amp;W$14&amp;"|"&amp;"CY2024Q3",Spectrum!$R:$R,0)),""))</f>
        <v>0.19591251300000001</v>
      </c>
      <c r="X70" s="218">
        <f>IF(LEFT($B70,4)="_Mil","",_xlfn.IFNA(ROUND(INDEX(Spectrum!$N:$N,MATCH(RIGHT($B70,13)&amp;"|"&amp;$C70&amp;"|"&amp;$D70&amp;"|"&amp;X$14&amp;"|"&amp;"CY2024Q3",Spectrum!$R:$R,0)),0),""))</f>
        <v>4445</v>
      </c>
      <c r="Y70" s="33">
        <f t="shared" si="3"/>
        <v>0.96</v>
      </c>
      <c r="Z70" s="218">
        <f>IF(LEFT($B70,4)="_Mil","",_xlfn.IFNA(ROUND(INDEX(Spectrum!$N:$N,MATCH(RIGHT($B70,13)&amp;"|"&amp;$C70&amp;"|"&amp;$D70&amp;"|"&amp;Z$14&amp;"|"&amp;"CY2024Q3",Spectrum!$R:$R,0)),0),""))</f>
        <v>3918</v>
      </c>
      <c r="AA70" s="33">
        <f>IF(LEFT($B70,4)="_Mil","",IFERROR(1/(1/INDEX(Spectrum!$N:$N,MATCH(RIGHT($B70,13)&amp;"|"&amp;$C70&amp;"|"&amp;$D70&amp;"|"&amp;AA$14&amp;"|"&amp;"CY2024Q3",Spectrum!$R:$R,0))),IF(SUM($U70)=0,"",SUM($Z70)/$U70)))</f>
        <v>0.95751110599999989</v>
      </c>
      <c r="AB70" s="33">
        <f t="shared" si="4"/>
        <v>0.88143982002249721</v>
      </c>
      <c r="AC70" s="38">
        <f>IF(LEFT($B70,4)="_Mil","",_xlfn.IFNA(ROUND(INDEX(Spectrum!$N:$N,MATCH(RIGHT($B70,13)&amp;"|"&amp;$C70&amp;"|"&amp;$D70&amp;"|"&amp;AC$14&amp;"|"&amp;"CY2024Q3",Spectrum!$R:$R,0)),0),""))</f>
        <v>195</v>
      </c>
      <c r="AD70" s="38" t="str">
        <f>IF(LEFT($B70,4)="_Mil","",_xlfn.IFNA(ROUND(INDEX(Spectrum!$N:$N,MATCH(RIGHT($B70,13)&amp;"|"&amp;$C70&amp;"|"&amp;$D70&amp;"|"&amp;AD$14&amp;"|"&amp;"CY2024Q3",Spectrum!$R:$R,0)),0),""))</f>
        <v/>
      </c>
      <c r="AE70" s="33">
        <f t="shared" si="5"/>
        <v>0</v>
      </c>
      <c r="AF70" s="218" t="str">
        <f>IF(LEFT($B70,4)="_Mil","",_xlfn.IFNA(ROUND(INDEX(Spectrum!$N:$N,MATCH(RIGHT($B70,13)&amp;"|"&amp;$C70&amp;"|"&amp;$D70&amp;"|"&amp;AF$14&amp;"|"&amp;"CY2024Q3",Spectrum!$R:$R,0)),0),""))</f>
        <v/>
      </c>
      <c r="AG70" s="33" t="str">
        <f t="shared" si="6"/>
        <v/>
      </c>
      <c r="AH70" s="110" t="str">
        <f>IF(LEFT($B70,4)="_Mil","",_xlfn.IFNA(INDEX(Spectrum!$N:$N,MATCH(RIGHT($B70,13)&amp;"|"&amp;$C70&amp;"|"&amp;$D70&amp;"|"&amp;AH$14&amp;"|"&amp;"CY2024Q3",Spectrum!$R:$R,0)),""))</f>
        <v/>
      </c>
      <c r="AI70" s="218">
        <f>IF(LEFT($B70,4)="_Mil","",_xlfn.IFNA(ROUND(INDEX(Spectrum!$N:$N,MATCH(RIGHT($B70,13)&amp;"|"&amp;$C70&amp;"|"&amp;$D70&amp;"|"&amp;AI$14&amp;"|"&amp;"CY2025Q3",Spectrum!$R:$R,0)),0),""))</f>
        <v>16</v>
      </c>
      <c r="AJ70" s="38">
        <f>IF(LEFT($B70,4)="_Mil","",_xlfn.IFNA(ROUND(INDEX(Spectrum!$N:$N,MATCH(RIGHT($B70,13)&amp;"|"&amp;$C70&amp;"|"&amp;$D70&amp;"|"&amp;AJ$14&amp;"|"&amp;"CY2025Q3",Spectrum!$R:$R,0)),0),""))</f>
        <v>4912</v>
      </c>
      <c r="AK70" s="218" t="e">
        <f>#REF!</f>
        <v>#REF!</v>
      </c>
      <c r="AL70" s="33">
        <f t="shared" si="7"/>
        <v>0.95751110599999989</v>
      </c>
      <c r="AM70" s="38" t="e">
        <f>IF(OR(LEFT($B70,4)="_Mil",$C70="&lt;01"),"",ROUND(SUM($AK70)*SUM($AL70),0))</f>
        <v>#REF!</v>
      </c>
      <c r="AN70" s="38" t="str">
        <f>IF($C70="&lt;01",ROUND(INDEX(EID!$P:$P,MATCH($B70,EID!$B:$B,0))/2,0),"")</f>
        <v/>
      </c>
      <c r="AO70" s="38" t="e">
        <f>IF($C70="&lt;01",SUM($AN70),ROUND(SUM($AM70)*SUM($O70)/IF(SUM($Z70)=0,1,$Z70),0))</f>
        <v>#REF!</v>
      </c>
      <c r="AP70" s="218">
        <f>IF(OR($F70="",$C70="&lt;01"),$AO70,ROUND($F70,0))</f>
        <v>4220</v>
      </c>
      <c r="AQ70" s="218">
        <f>IF(LEFT($B70,4)="_Mil","",IF(SUM($AP70)=0,SUM($Z70),IF(OR(SUM($Z70)=0,SUM($O70)=0),MAX($AP70,$Z70),ROUND($AP70*$Z70/$O70,0))))</f>
        <v>4201</v>
      </c>
      <c r="AR70" s="33" t="e">
        <f>IF(OR(LEFT($B70,4)="_Mil",SUM($AK70)=0),"",SUM($AQ70)/$AK70)</f>
        <v>#REF!</v>
      </c>
      <c r="AS70" s="33">
        <v>1.02</v>
      </c>
      <c r="AT70" s="33">
        <f>IF($C70="&lt;01","",100%)</f>
        <v>1</v>
      </c>
      <c r="AU70" s="38">
        <f>IF($C70="&lt;01","",SUM($AP70)-SUM($O70))</f>
        <v>284</v>
      </c>
      <c r="AV70" s="38">
        <f>IF($C70="&lt;01",ROUND(INDEX(EID!$N:$N,MATCH($B70,EID!$B:$B,0))/2,0),IF(SUM($AT70)=0,"",ROUND((SUM($AP70)-(SUM($O70)*SUM($AS70)))/$AT70,0)))</f>
        <v>205</v>
      </c>
      <c r="AW70" s="33">
        <v>0.8</v>
      </c>
      <c r="AX70" s="218">
        <f>IF($C70="&lt;01",SUM($AV70),ROUND(SUM($AV70)*SUM($AW70),0))</f>
        <v>164</v>
      </c>
      <c r="AY70" s="79">
        <f t="shared" si="10"/>
        <v>0.7</v>
      </c>
      <c r="AZ70" s="85">
        <f>IF($C70="&lt;01",ROUND(INDEX(EID!$R:$R,MATCH($B70,EID!$B:$B,0))/2,0),ROUND(SUM($O70)+(SUM($AV70)*$AY70),0))</f>
        <v>4080</v>
      </c>
      <c r="BA70" s="40">
        <f t="shared" si="14"/>
        <v>0.9</v>
      </c>
      <c r="BB70" s="99">
        <f>IF($C70="&lt;01",ROUND(INDEX(EID!$T:$T,MATCH($B70,EID!$B:$B,0))/2,0),ROUND($AP70*$BA70,0))</f>
        <v>3798</v>
      </c>
      <c r="BC70" s="85">
        <f>IF(LEFT($B70,4)="_Mil","",IF(SUM($BB70)=0,SUM($AD70),IF(OR(SUM($AP70)=0,SUM($AQ70)=0),MAX($BB70,$AD70),ROUND($BB70*$AQ70/$AP70,0))))</f>
        <v>3781</v>
      </c>
      <c r="BD70" s="33">
        <f t="shared" si="12"/>
        <v>0.95</v>
      </c>
      <c r="BE70" s="218">
        <f>IF($C70="&lt;01",ROUND(INDEX(EID!$V:$V,MATCH($B70,EID!$B:$B,0))/2,0),ROUND($BD70*$BB70,0))</f>
        <v>3608</v>
      </c>
      <c r="BF70" s="218">
        <f>IF(LEFT($B70,4)="_Mil","",IF(SUM($BE70)=0,SUM($AF70),IF(OR(SUM($AP70)=0,SUM($AQ70)=0),MAX($BE70,$AF70),ROUND($BE70*$AQ70/$AP70,0))))</f>
        <v>3592</v>
      </c>
      <c r="BG70" s="79">
        <f t="shared" si="13"/>
        <v>0.95</v>
      </c>
      <c r="BH70" s="99">
        <f>IF($C70="&lt;01",ROUND(INDEX(EID!$L:$L,MATCH($B70,EID!$B:$B,0)),0)/2,IF(SUM($BG70)=0,"",ROUND($AX70/$BG70,0)))</f>
        <v>173</v>
      </c>
    </row>
    <row r="71" spans="1:60" x14ac:dyDescent="0.2">
      <c r="A71" t="str">
        <f>INDEX(Prioritization!$D:$D,MATCH($B71,Prioritization!$A:$A,0))</f>
        <v>INVALID</v>
      </c>
      <c r="B71" t="s">
        <v>316</v>
      </c>
      <c r="C71" t="s">
        <v>426</v>
      </c>
      <c r="D71" t="s">
        <v>30</v>
      </c>
      <c r="E71" t="str">
        <f t="shared" si="0"/>
        <v>Chiradzulu District [oiPR2CiVJbf]|&lt;01|Female</v>
      </c>
      <c r="F71" s="229">
        <v>23</v>
      </c>
      <c r="G71" s="38">
        <v>29</v>
      </c>
      <c r="H71" s="38">
        <v>8</v>
      </c>
      <c r="I71" s="38">
        <v>5</v>
      </c>
      <c r="J71" s="38">
        <v>11</v>
      </c>
      <c r="K71" s="38">
        <v>9</v>
      </c>
      <c r="L71" s="38"/>
      <c r="M71" s="38">
        <v>16</v>
      </c>
      <c r="N71" s="38">
        <v>15</v>
      </c>
      <c r="O71" s="229">
        <v>19</v>
      </c>
      <c r="P71" s="38">
        <v>11</v>
      </c>
      <c r="Q71" s="38">
        <v>10</v>
      </c>
      <c r="R71" s="38">
        <f t="shared" si="2"/>
        <v>14</v>
      </c>
      <c r="S71" s="38">
        <f>IF(LEFT($B71,4)="_Mil","",_xlfn.IFNA(ROUND(INDEX(Spectrum!$N:$N,MATCH(RIGHT($B71,13)&amp;"|"&amp;$C71&amp;"|"&amp;$D71&amp;"|"&amp;S$14&amp;"|"&amp;"CY2023Q4",Spectrum!$R:$R,0)),0),""))</f>
        <v>14</v>
      </c>
      <c r="T71" s="218">
        <f>IF(LEFT($B71,4)="_Mil","",_xlfn.IFNA(ROUND(INDEX(Spectrum!$N:$N,MATCH(RIGHT($B71,13)&amp;"|"&amp;$C71&amp;"|"&amp;$D71&amp;"|"&amp;T$14&amp;"|"&amp;"CY2024Q3",Spectrum!$R:$R,0)),0),""))</f>
        <v>6020</v>
      </c>
      <c r="U71" s="218">
        <f>IF(LEFT($B71,4)="_Mil","",_xlfn.IFNA(ROUND(INDEX(Spectrum!$N:$N,MATCH(RIGHT($B71,13)&amp;"|"&amp;$C71&amp;"|"&amp;$D71&amp;"|"&amp;U$14&amp;"|"&amp;"CY2024Q3",Spectrum!$R:$R,0)),0),""))</f>
        <v>20</v>
      </c>
      <c r="V71" s="38">
        <f>IF(LEFT($B71,4)="_Mil","",_xlfn.IFNA(ROUND(INDEX(Spectrum!$N:$N,MATCH(RIGHT($B71,13)&amp;"|"&amp;$C71&amp;"|"&amp;$D71&amp;"|"&amp;V$14&amp;"|"&amp;"CY2024Q3",Spectrum!$R:$R,0)),0),""))</f>
        <v>25</v>
      </c>
      <c r="W71" s="220">
        <f>IF(LEFT($B71,4)="_Mil","",_xlfn.IFNA(INDEX(Spectrum!$N:$N,MATCH(RIGHT($B71,13)&amp;"|"&amp;$C71&amp;"|"&amp;$D71&amp;"|"&amp;W$14&amp;"|"&amp;"CY2024Q3",Spectrum!$R:$R,0)),""))</f>
        <v>3.3945529999999998E-3</v>
      </c>
      <c r="X71" s="218">
        <f>IF(LEFT($B71,4)="_Mil","",_xlfn.IFNA(ROUND(INDEX(Spectrum!$N:$N,MATCH(RIGHT($B71,13)&amp;"|"&amp;$C71&amp;"|"&amp;$D71&amp;"|"&amp;X$14&amp;"|"&amp;"CY2024Q3",Spectrum!$R:$R,0)),0),""))</f>
        <v>11</v>
      </c>
      <c r="Y71" s="33">
        <f t="shared" si="3"/>
        <v>0.55000000000000004</v>
      </c>
      <c r="Z71" s="218">
        <f>IF(LEFT($B71,4)="_Mil","",_xlfn.IFNA(ROUND(INDEX(Spectrum!$N:$N,MATCH(RIGHT($B71,13)&amp;"|"&amp;$C71&amp;"|"&amp;$D71&amp;"|"&amp;Z$14&amp;"|"&amp;"CY2024Q3",Spectrum!$R:$R,0)),0),""))</f>
        <v>12</v>
      </c>
      <c r="AA71" s="33">
        <f>IF(LEFT($B71,4)="_Mil","",IFERROR(1/(1/INDEX(Spectrum!$N:$N,MATCH(RIGHT($B71,13)&amp;"|"&amp;$C71&amp;"|"&amp;$D71&amp;"|"&amp;AA$14&amp;"|"&amp;"CY2024Q3",Spectrum!$R:$R,0))),IF(SUM($U71)=0,"",SUM($Z71)/$U71)))</f>
        <v>0.45869770199999993</v>
      </c>
      <c r="AB71" s="33">
        <f t="shared" si="4"/>
        <v>1.0909090909090908</v>
      </c>
      <c r="AC71" s="38">
        <f>IF(LEFT($B71,4)="_Mil","",_xlfn.IFNA(ROUND(INDEX(Spectrum!$N:$N,MATCH(RIGHT($B71,13)&amp;"|"&amp;$C71&amp;"|"&amp;$D71&amp;"|"&amp;AC$14&amp;"|"&amp;"CY2024Q3",Spectrum!$R:$R,0)),0),""))</f>
        <v>13</v>
      </c>
      <c r="AD71" s="38" t="str">
        <f>IF(LEFT($B71,4)="_Mil","",_xlfn.IFNA(ROUND(INDEX(Spectrum!$N:$N,MATCH(RIGHT($B71,13)&amp;"|"&amp;$C71&amp;"|"&amp;$D71&amp;"|"&amp;AD$14&amp;"|"&amp;"CY2024Q3",Spectrum!$R:$R,0)),0),""))</f>
        <v/>
      </c>
      <c r="AE71" s="33">
        <f t="shared" si="5"/>
        <v>0</v>
      </c>
      <c r="AF71" s="218" t="str">
        <f>IF(LEFT($B71,4)="_Mil","",_xlfn.IFNA(ROUND(INDEX(Spectrum!$N:$N,MATCH(RIGHT($B71,13)&amp;"|"&amp;$C71&amp;"|"&amp;$D71&amp;"|"&amp;AF$14&amp;"|"&amp;"CY2024Q3",Spectrum!$R:$R,0)),0),""))</f>
        <v/>
      </c>
      <c r="AG71" s="33" t="str">
        <f t="shared" si="6"/>
        <v/>
      </c>
      <c r="AH71" s="110" t="str">
        <f>IF(LEFT($B71,4)="_Mil","",_xlfn.IFNA(INDEX(Spectrum!$N:$N,MATCH(RIGHT($B71,13)&amp;"|"&amp;$C71&amp;"|"&amp;$D71&amp;"|"&amp;AH$14&amp;"|"&amp;"CY2024Q3",Spectrum!$R:$R,0)),""))</f>
        <v/>
      </c>
      <c r="AI71" s="218">
        <f>IF(LEFT($B71,4)="_Mil","",_xlfn.IFNA(ROUND(INDEX(Spectrum!$N:$N,MATCH(RIGHT($B71,13)&amp;"|"&amp;$C71&amp;"|"&amp;$D71&amp;"|"&amp;AI$14&amp;"|"&amp;"CY2025Q3",Spectrum!$R:$R,0)),0),""))</f>
        <v>22</v>
      </c>
      <c r="AJ71" s="38">
        <f>IF(LEFT($B71,4)="_Mil","",_xlfn.IFNA(ROUND(INDEX(Spectrum!$N:$N,MATCH(RIGHT($B71,13)&amp;"|"&amp;$C71&amp;"|"&amp;$D71&amp;"|"&amp;AJ$14&amp;"|"&amp;"CY2025Q3",Spectrum!$R:$R,0)),0),""))</f>
        <v>19</v>
      </c>
      <c r="AK71" s="218" t="e">
        <f>#REF!</f>
        <v>#REF!</v>
      </c>
      <c r="AL71" s="33" t="str">
        <f t="shared" si="7"/>
        <v/>
      </c>
      <c r="AM71" s="38" t="str">
        <f>IF(OR(LEFT($B71,4)="_Mil",$C71="&lt;01"),"",ROUND(SUM($AK71)*SUM($AL71),0))</f>
        <v/>
      </c>
      <c r="AN71" s="38">
        <f>IF($C71="&lt;01",ROUND(INDEX(EID!$P:$P,MATCH($B71,EID!$B:$B,0))/2,0),"")</f>
        <v>0</v>
      </c>
      <c r="AO71" s="38">
        <f>IF($C71="&lt;01",SUM($AN71),ROUND(SUM($AM71)*SUM($O71)/IF(SUM($Z71)=0,1,$Z71),0))</f>
        <v>0</v>
      </c>
      <c r="AP71" s="218">
        <f>IF(OR($F71="",$C71="&lt;01"),$AO71,ROUND($F71,0))</f>
        <v>0</v>
      </c>
      <c r="AQ71" s="218">
        <f>IF(LEFT($B71,4)="_Mil","",IF(SUM($AP71)=0,SUM($Z71),IF(OR(SUM($Z71)=0,SUM($O71)=0),MAX($AP71,$Z71),ROUND($AP71*$Z71/$O71,0))))</f>
        <v>12</v>
      </c>
      <c r="AR71" s="33" t="e">
        <f>IF(OR(LEFT($B71,4)="_Mil",SUM($AK71)=0),"",SUM($AQ71)/$AK71)</f>
        <v>#REF!</v>
      </c>
      <c r="AS71" s="33" t="str">
        <f t="shared" si="18"/>
        <v/>
      </c>
      <c r="AT71" s="33" t="str">
        <f t="shared" si="16"/>
        <v/>
      </c>
      <c r="AU71" s="38" t="str">
        <f>IF($C71="&lt;01","",SUM($AP71)-SUM($O71))</f>
        <v/>
      </c>
      <c r="AV71" s="38">
        <f>IF($C71="&lt;01",ROUND(INDEX(EID!$N:$N,MATCH($B71,EID!$B:$B,0))/2,0),IF(SUM($AT71)=0,"",ROUND((SUM($AP71)-(SUM($O71)*SUM($AS71)))/$AT71,0)))</f>
        <v>0</v>
      </c>
      <c r="AW71" s="33" t="str">
        <f t="shared" si="9"/>
        <v/>
      </c>
      <c r="AX71" s="218">
        <f>IF($C71="&lt;01",SUM($AV71),ROUND(SUM($AV71)*SUM($AW71),0))</f>
        <v>0</v>
      </c>
      <c r="AY71" s="79" t="str">
        <f t="shared" si="10"/>
        <v/>
      </c>
      <c r="AZ71" s="85">
        <f>IF($C71="&lt;01",ROUND(INDEX(EID!$R:$R,MATCH($B71,EID!$B:$B,0))/2,0),ROUND(SUM($O71)+(SUM($AV71)*$AY71),0))</f>
        <v>0</v>
      </c>
      <c r="BA71" s="40" t="str">
        <f t="shared" si="14"/>
        <v/>
      </c>
      <c r="BB71" s="99">
        <f>IF($C71="&lt;01",ROUND(INDEX(EID!$T:$T,MATCH($B71,EID!$B:$B,0))/2,0),ROUND($AP71*$BA71,0))</f>
        <v>0</v>
      </c>
      <c r="BC71" s="85">
        <f>IF(LEFT($B71,4)="_Mil","",IF(SUM($BB71)=0,SUM($AD71),IF(OR(SUM($AP71)=0,SUM($AQ71)=0),MAX($BB71,$AD71),ROUND($BB71*$AQ71/$AP71,0))))</f>
        <v>0</v>
      </c>
      <c r="BD71" s="33" t="str">
        <f t="shared" si="12"/>
        <v/>
      </c>
      <c r="BE71" s="218">
        <f>IF($C71="&lt;01",ROUND(INDEX(EID!$V:$V,MATCH($B71,EID!$B:$B,0))/2,0),ROUND($BD71*$BB71,0))</f>
        <v>0</v>
      </c>
      <c r="BF71" s="218">
        <f>IF(LEFT($B71,4)="_Mil","",IF(SUM($BE71)=0,SUM($AF71),IF(OR(SUM($AP71)=0,SUM($AQ71)=0),MAX($BE71,$AF71),ROUND($BE71*$AQ71/$AP71,0))))</f>
        <v>0</v>
      </c>
      <c r="BG71" s="79" t="str">
        <f t="shared" si="13"/>
        <v/>
      </c>
      <c r="BH71" s="99">
        <f>IF($C71="&lt;01",ROUND(INDEX(EID!$L:$L,MATCH($B71,EID!$B:$B,0)),0)/2,IF(SUM($BG71)=0,"",ROUND($AX71/$BG71,0)))</f>
        <v>0</v>
      </c>
    </row>
    <row r="72" spans="1:60" x14ac:dyDescent="0.2">
      <c r="A72" t="str">
        <f>INDEX(Prioritization!$D:$D,MATCH($B72,Prioritization!$A:$A,0))</f>
        <v>INVALID</v>
      </c>
      <c r="B72" t="s">
        <v>316</v>
      </c>
      <c r="C72" t="s">
        <v>426</v>
      </c>
      <c r="D72" t="s">
        <v>48</v>
      </c>
      <c r="E72" t="str">
        <f t="shared" si="0"/>
        <v>Chiradzulu District [oiPR2CiVJbf]|&lt;01|Male</v>
      </c>
      <c r="F72" s="229">
        <v>19</v>
      </c>
      <c r="G72" s="38">
        <v>21</v>
      </c>
      <c r="H72" s="38">
        <v>5</v>
      </c>
      <c r="I72" s="38">
        <v>3</v>
      </c>
      <c r="J72" s="38">
        <v>10</v>
      </c>
      <c r="K72" s="38">
        <v>8</v>
      </c>
      <c r="L72" s="38"/>
      <c r="M72" s="38">
        <v>16</v>
      </c>
      <c r="N72" s="38">
        <v>15</v>
      </c>
      <c r="O72" s="229">
        <v>19</v>
      </c>
      <c r="P72" s="38">
        <v>11</v>
      </c>
      <c r="Q72" s="38">
        <v>10</v>
      </c>
      <c r="R72" s="38">
        <f t="shared" si="2"/>
        <v>16</v>
      </c>
      <c r="S72" s="38">
        <f>IF(LEFT($B72,4)="_Mil","",_xlfn.IFNA(ROUND(INDEX(Spectrum!$N:$N,MATCH(RIGHT($B72,13)&amp;"|"&amp;$C72&amp;"|"&amp;$D72&amp;"|"&amp;S$14&amp;"|"&amp;"CY2023Q4",Spectrum!$R:$R,0)),0),""))</f>
        <v>15</v>
      </c>
      <c r="T72" s="218">
        <f>IF(LEFT($B72,4)="_Mil","",_xlfn.IFNA(ROUND(INDEX(Spectrum!$N:$N,MATCH(RIGHT($B72,13)&amp;"|"&amp;$C72&amp;"|"&amp;$D72&amp;"|"&amp;T$14&amp;"|"&amp;"CY2024Q3",Spectrum!$R:$R,0)),0),""))</f>
        <v>6234</v>
      </c>
      <c r="U72" s="218">
        <f>IF(LEFT($B72,4)="_Mil","",_xlfn.IFNA(ROUND(INDEX(Spectrum!$N:$N,MATCH(RIGHT($B72,13)&amp;"|"&amp;$C72&amp;"|"&amp;$D72&amp;"|"&amp;U$14&amp;"|"&amp;"CY2024Q3",Spectrum!$R:$R,0)),0),""))</f>
        <v>21</v>
      </c>
      <c r="V72" s="38">
        <f>IF(LEFT($B72,4)="_Mil","",_xlfn.IFNA(ROUND(INDEX(Spectrum!$N:$N,MATCH(RIGHT($B72,13)&amp;"|"&amp;$C72&amp;"|"&amp;$D72&amp;"|"&amp;V$14&amp;"|"&amp;"CY2024Q3",Spectrum!$R:$R,0)),0),""))</f>
        <v>25</v>
      </c>
      <c r="W72" s="220">
        <f>IF(LEFT($B72,4)="_Mil","",_xlfn.IFNA(INDEX(Spectrum!$N:$N,MATCH(RIGHT($B72,13)&amp;"|"&amp;$C72&amp;"|"&amp;$D72&amp;"|"&amp;W$14&amp;"|"&amp;"CY2024Q3",Spectrum!$R:$R,0)),""))</f>
        <v>3.3429890000000002E-3</v>
      </c>
      <c r="X72" s="218">
        <f>IF(LEFT($B72,4)="_Mil","",_xlfn.IFNA(ROUND(INDEX(Spectrum!$N:$N,MATCH(RIGHT($B72,13)&amp;"|"&amp;$C72&amp;"|"&amp;$D72&amp;"|"&amp;X$14&amp;"|"&amp;"CY2024Q3",Spectrum!$R:$R,0)),0),""))</f>
        <v>11</v>
      </c>
      <c r="Y72" s="33">
        <f t="shared" si="3"/>
        <v>0.52</v>
      </c>
      <c r="Z72" s="218">
        <f>IF(LEFT($B72,4)="_Mil","",_xlfn.IFNA(ROUND(INDEX(Spectrum!$N:$N,MATCH(RIGHT($B72,13)&amp;"|"&amp;$C72&amp;"|"&amp;$D72&amp;"|"&amp;Z$14&amp;"|"&amp;"CY2024Q3",Spectrum!$R:$R,0)),0),""))</f>
        <v>13</v>
      </c>
      <c r="AA72" s="33">
        <f>IF(LEFT($B72,4)="_Mil","",IFERROR(1/(1/INDEX(Spectrum!$N:$N,MATCH(RIGHT($B72,13)&amp;"|"&amp;$C72&amp;"|"&amp;$D72&amp;"|"&amp;AA$14&amp;"|"&amp;"CY2024Q3",Spectrum!$R:$R,0))),IF(SUM($U72)=0,"",SUM($Z72)/$U72)))</f>
        <v>0.45938984300000002</v>
      </c>
      <c r="AB72" s="33">
        <f t="shared" si="4"/>
        <v>1.1818181818181819</v>
      </c>
      <c r="AC72" s="38">
        <f>IF(LEFT($B72,4)="_Mil","",_xlfn.IFNA(ROUND(INDEX(Spectrum!$N:$N,MATCH(RIGHT($B72,13)&amp;"|"&amp;$C72&amp;"|"&amp;$D72&amp;"|"&amp;AC$14&amp;"|"&amp;"CY2024Q3",Spectrum!$R:$R,0)),0),""))</f>
        <v>12</v>
      </c>
      <c r="AD72" s="38" t="str">
        <f>IF(LEFT($B72,4)="_Mil","",_xlfn.IFNA(ROUND(INDEX(Spectrum!$N:$N,MATCH(RIGHT($B72,13)&amp;"|"&amp;$C72&amp;"|"&amp;$D72&amp;"|"&amp;AD$14&amp;"|"&amp;"CY2024Q3",Spectrum!$R:$R,0)),0),""))</f>
        <v/>
      </c>
      <c r="AE72" s="33">
        <f t="shared" si="5"/>
        <v>0</v>
      </c>
      <c r="AF72" s="218" t="str">
        <f>IF(LEFT($B72,4)="_Mil","",_xlfn.IFNA(ROUND(INDEX(Spectrum!$N:$N,MATCH(RIGHT($B72,13)&amp;"|"&amp;$C72&amp;"|"&amp;$D72&amp;"|"&amp;AF$14&amp;"|"&amp;"CY2024Q3",Spectrum!$R:$R,0)),0),""))</f>
        <v/>
      </c>
      <c r="AG72" s="33" t="str">
        <f t="shared" si="6"/>
        <v/>
      </c>
      <c r="AH72" s="110" t="str">
        <f>IF(LEFT($B72,4)="_Mil","",_xlfn.IFNA(INDEX(Spectrum!$N:$N,MATCH(RIGHT($B72,13)&amp;"|"&amp;$C72&amp;"|"&amp;$D72&amp;"|"&amp;AH$14&amp;"|"&amp;"CY2024Q3",Spectrum!$R:$R,0)),""))</f>
        <v/>
      </c>
      <c r="AI72" s="218">
        <f>IF(LEFT($B72,4)="_Mil","",_xlfn.IFNA(ROUND(INDEX(Spectrum!$N:$N,MATCH(RIGHT($B72,13)&amp;"|"&amp;$C72&amp;"|"&amp;$D72&amp;"|"&amp;AI$14&amp;"|"&amp;"CY2025Q3",Spectrum!$R:$R,0)),0),""))</f>
        <v>23</v>
      </c>
      <c r="AJ72" s="38">
        <f>IF(LEFT($B72,4)="_Mil","",_xlfn.IFNA(ROUND(INDEX(Spectrum!$N:$N,MATCH(RIGHT($B72,13)&amp;"|"&amp;$C72&amp;"|"&amp;$D72&amp;"|"&amp;AJ$14&amp;"|"&amp;"CY2025Q3",Spectrum!$R:$R,0)),0),""))</f>
        <v>19</v>
      </c>
      <c r="AK72" s="218" t="e">
        <f>#REF!</f>
        <v>#REF!</v>
      </c>
      <c r="AL72" s="33" t="str">
        <f t="shared" si="7"/>
        <v/>
      </c>
      <c r="AM72" s="38" t="str">
        <f>IF(OR(LEFT($B72,4)="_Mil",$C72="&lt;01"),"",ROUND(SUM($AK72)*SUM($AL72),0))</f>
        <v/>
      </c>
      <c r="AN72" s="38">
        <f>IF($C72="&lt;01",ROUND(INDEX(EID!$P:$P,MATCH($B72,EID!$B:$B,0))/2,0),"")</f>
        <v>0</v>
      </c>
      <c r="AO72" s="38">
        <f>IF($C72="&lt;01",SUM($AN72),ROUND(SUM($AM72)*SUM($O72)/IF(SUM($Z72)=0,1,$Z72),0))</f>
        <v>0</v>
      </c>
      <c r="AP72" s="218">
        <f>IF(OR($F72="",$C72="&lt;01"),$AO72,ROUND($F72,0))</f>
        <v>0</v>
      </c>
      <c r="AQ72" s="218">
        <f>IF(LEFT($B72,4)="_Mil","",IF(SUM($AP72)=0,SUM($Z72),IF(OR(SUM($Z72)=0,SUM($O72)=0),MAX($AP72,$Z72),ROUND($AP72*$Z72/$O72,0))))</f>
        <v>13</v>
      </c>
      <c r="AR72" s="33" t="e">
        <f>IF(OR(LEFT($B72,4)="_Mil",SUM($AK72)=0),"",SUM($AQ72)/$AK72)</f>
        <v>#REF!</v>
      </c>
      <c r="AS72" s="33" t="str">
        <f t="shared" si="18"/>
        <v/>
      </c>
      <c r="AT72" s="33" t="str">
        <f t="shared" si="16"/>
        <v/>
      </c>
      <c r="AU72" s="38" t="str">
        <f>IF($C72="&lt;01","",SUM($AP72)-SUM($O72))</f>
        <v/>
      </c>
      <c r="AV72" s="38">
        <f>IF($C72="&lt;01",ROUND(INDEX(EID!$N:$N,MATCH($B72,EID!$B:$B,0))/2,0),IF(SUM($AT72)=0,"",ROUND((SUM($AP72)-(SUM($O72)*SUM($AS72)))/$AT72,0)))</f>
        <v>0</v>
      </c>
      <c r="AW72" s="33" t="str">
        <f t="shared" si="9"/>
        <v/>
      </c>
      <c r="AX72" s="218">
        <f>IF($C72="&lt;01",SUM($AV72),ROUND(SUM($AV72)*SUM($AW72),0))</f>
        <v>0</v>
      </c>
      <c r="AY72" s="79" t="str">
        <f t="shared" si="10"/>
        <v/>
      </c>
      <c r="AZ72" s="85">
        <f>IF($C72="&lt;01",ROUND(INDEX(EID!$R:$R,MATCH($B72,EID!$B:$B,0))/2,0),ROUND(SUM($O72)+(SUM($AV72)*$AY72),0))</f>
        <v>0</v>
      </c>
      <c r="BA72" s="40" t="str">
        <f t="shared" si="14"/>
        <v/>
      </c>
      <c r="BB72" s="99">
        <f>IF($C72="&lt;01",ROUND(INDEX(EID!$T:$T,MATCH($B72,EID!$B:$B,0))/2,0),ROUND($AP72*$BA72,0))</f>
        <v>0</v>
      </c>
      <c r="BC72" s="85">
        <f>IF(LEFT($B72,4)="_Mil","",IF(SUM($BB72)=0,SUM($AD72),IF(OR(SUM($AP72)=0,SUM($AQ72)=0),MAX($BB72,$AD72),ROUND($BB72*$AQ72/$AP72,0))))</f>
        <v>0</v>
      </c>
      <c r="BD72" s="33" t="str">
        <f t="shared" si="12"/>
        <v/>
      </c>
      <c r="BE72" s="218">
        <f>IF($C72="&lt;01",ROUND(INDEX(EID!$V:$V,MATCH($B72,EID!$B:$B,0))/2,0),ROUND($BD72*$BB72,0))</f>
        <v>0</v>
      </c>
      <c r="BF72" s="218">
        <f>IF(LEFT($B72,4)="_Mil","",IF(SUM($BE72)=0,SUM($AF72),IF(OR(SUM($AP72)=0,SUM($AQ72)=0),MAX($BE72,$AF72),ROUND($BE72*$AQ72/$AP72,0))))</f>
        <v>0</v>
      </c>
      <c r="BG72" s="79" t="str">
        <f t="shared" si="13"/>
        <v/>
      </c>
      <c r="BH72" s="99">
        <f>IF($C72="&lt;01",ROUND(INDEX(EID!$L:$L,MATCH($B72,EID!$B:$B,0)),0)/2,IF(SUM($BG72)=0,"",ROUND($AX72/$BG72,0)))</f>
        <v>0</v>
      </c>
    </row>
    <row r="73" spans="1:60" x14ac:dyDescent="0.2">
      <c r="A73" t="str">
        <f>INDEX(Prioritization!$D:$D,MATCH($B73,Prioritization!$A:$A,0))</f>
        <v>INVALID</v>
      </c>
      <c r="B73" t="s">
        <v>316</v>
      </c>
      <c r="C73" t="s">
        <v>473</v>
      </c>
      <c r="D73" t="s">
        <v>30</v>
      </c>
      <c r="E73" t="str">
        <f t="shared" si="0"/>
        <v>Chiradzulu District [oiPR2CiVJbf]|01-09|Female</v>
      </c>
      <c r="F73" s="229">
        <v>336</v>
      </c>
      <c r="G73" s="38">
        <v>57</v>
      </c>
      <c r="H73" s="38">
        <v>26</v>
      </c>
      <c r="I73" s="38">
        <v>236</v>
      </c>
      <c r="J73" s="38">
        <v>227</v>
      </c>
      <c r="K73" s="38">
        <v>176</v>
      </c>
      <c r="L73" s="38">
        <v>18</v>
      </c>
      <c r="M73" s="38">
        <v>17</v>
      </c>
      <c r="N73" s="38">
        <v>284</v>
      </c>
      <c r="O73" s="229">
        <v>336</v>
      </c>
      <c r="P73" s="38">
        <v>249</v>
      </c>
      <c r="Q73" s="38">
        <v>237</v>
      </c>
      <c r="R73" s="38">
        <f t="shared" si="2"/>
        <v>100</v>
      </c>
      <c r="S73" s="38">
        <f>IF(LEFT($B73,4)="_Mil","",_xlfn.IFNA(ROUND(INDEX(Spectrum!$N:$N,MATCH(RIGHT($B73,13)&amp;"|"&amp;$C73&amp;"|"&amp;$D73&amp;"|"&amp;S$14&amp;"|"&amp;"CY2023Q4",Spectrum!$R:$R,0)),0),""))</f>
        <v>238</v>
      </c>
      <c r="T73" s="218">
        <f>IF(LEFT($B73,4)="_Mil","",_xlfn.IFNA(ROUND(INDEX(Spectrum!$N:$N,MATCH(RIGHT($B73,13)&amp;"|"&amp;$C73&amp;"|"&amp;$D73&amp;"|"&amp;T$14&amp;"|"&amp;"CY2024Q3",Spectrum!$R:$R,0)),0),""))</f>
        <v>50099</v>
      </c>
      <c r="U73" s="218">
        <f>IF(LEFT($B73,4)="_Mil","",_xlfn.IFNA(ROUND(INDEX(Spectrum!$N:$N,MATCH(RIGHT($B73,13)&amp;"|"&amp;$C73&amp;"|"&amp;$D73&amp;"|"&amp;U$14&amp;"|"&amp;"CY2024Q3",Spectrum!$R:$R,0)),0),""))</f>
        <v>368</v>
      </c>
      <c r="V73" s="38">
        <f>IF(LEFT($B73,4)="_Mil","",_xlfn.IFNA(ROUND(INDEX(Spectrum!$N:$N,MATCH(RIGHT($B73,13)&amp;"|"&amp;$C73&amp;"|"&amp;$D73&amp;"|"&amp;V$14&amp;"|"&amp;"CY2024Q3",Spectrum!$R:$R,0)),0),""))</f>
        <v>448</v>
      </c>
      <c r="W73" s="220">
        <f>IF(LEFT($B73,4)="_Mil","",_xlfn.IFNA(INDEX(Spectrum!$N:$N,MATCH(RIGHT($B73,13)&amp;"|"&amp;$C73&amp;"|"&amp;$D73&amp;"|"&amp;W$14&amp;"|"&amp;"CY2024Q3",Spectrum!$R:$R,0)),""))</f>
        <v>7.3425859999999999E-3</v>
      </c>
      <c r="X73" s="218">
        <f>IF(LEFT($B73,4)="_Mil","",_xlfn.IFNA(ROUND(INDEX(Spectrum!$N:$N,MATCH(RIGHT($B73,13)&amp;"|"&amp;$C73&amp;"|"&amp;$D73&amp;"|"&amp;X$14&amp;"|"&amp;"CY2024Q3",Spectrum!$R:$R,0)),0),""))</f>
        <v>205</v>
      </c>
      <c r="Y73" s="33">
        <f t="shared" si="3"/>
        <v>0.56000000000000005</v>
      </c>
      <c r="Z73" s="218">
        <f>IF(LEFT($B73,4)="_Mil","",_xlfn.IFNA(ROUND(INDEX(Spectrum!$N:$N,MATCH(RIGHT($B73,13)&amp;"|"&amp;$C73&amp;"|"&amp;$D73&amp;"|"&amp;Z$14&amp;"|"&amp;"CY2024Q3",Spectrum!$R:$R,0)),0),""))</f>
        <v>238</v>
      </c>
      <c r="AA73" s="33">
        <f>IF(LEFT($B73,4)="_Mil","",IFERROR(1/(1/INDEX(Spectrum!$N:$N,MATCH(RIGHT($B73,13)&amp;"|"&amp;$C73&amp;"|"&amp;$D73&amp;"|"&amp;AA$14&amp;"|"&amp;"CY2024Q3",Spectrum!$R:$R,0))),IF(SUM($U73)=0,"",SUM($Z73)/$U73)))</f>
        <v>0.49926406100000004</v>
      </c>
      <c r="AB73" s="33">
        <f t="shared" si="4"/>
        <v>1.1609756097560975</v>
      </c>
      <c r="AC73" s="38">
        <f>IF(LEFT($B73,4)="_Mil","",_xlfn.IFNA(ROUND(INDEX(Spectrum!$N:$N,MATCH(RIGHT($B73,13)&amp;"|"&amp;$C73&amp;"|"&amp;$D73&amp;"|"&amp;AC$14&amp;"|"&amp;"CY2024Q3",Spectrum!$R:$R,0)),0),""))</f>
        <v>210</v>
      </c>
      <c r="AD73" s="38" t="str">
        <f>IF(LEFT($B73,4)="_Mil","",_xlfn.IFNA(ROUND(INDEX(Spectrum!$N:$N,MATCH(RIGHT($B73,13)&amp;"|"&amp;$C73&amp;"|"&amp;$D73&amp;"|"&amp;AD$14&amp;"|"&amp;"CY2024Q3",Spectrum!$R:$R,0)),0),""))</f>
        <v/>
      </c>
      <c r="AE73" s="33">
        <f t="shared" si="5"/>
        <v>0</v>
      </c>
      <c r="AF73" s="218" t="str">
        <f>IF(LEFT($B73,4)="_Mil","",_xlfn.IFNA(ROUND(INDEX(Spectrum!$N:$N,MATCH(RIGHT($B73,13)&amp;"|"&amp;$C73&amp;"|"&amp;$D73&amp;"|"&amp;AF$14&amp;"|"&amp;"CY2024Q3",Spectrum!$R:$R,0)),0),""))</f>
        <v/>
      </c>
      <c r="AG73" s="33" t="str">
        <f t="shared" si="6"/>
        <v/>
      </c>
      <c r="AH73" s="110" t="str">
        <f>IF(LEFT($B73,4)="_Mil","",_xlfn.IFNA(INDEX(Spectrum!$N:$N,MATCH(RIGHT($B73,13)&amp;"|"&amp;$C73&amp;"|"&amp;$D73&amp;"|"&amp;AH$14&amp;"|"&amp;"CY2024Q3",Spectrum!$R:$R,0)),""))</f>
        <v/>
      </c>
      <c r="AI73" s="218">
        <f>IF(LEFT($B73,4)="_Mil","",_xlfn.IFNA(ROUND(INDEX(Spectrum!$N:$N,MATCH(RIGHT($B73,13)&amp;"|"&amp;$C73&amp;"|"&amp;$D73&amp;"|"&amp;AI$14&amp;"|"&amp;"CY2025Q3",Spectrum!$R:$R,0)),0),""))</f>
        <v>6</v>
      </c>
      <c r="AJ73" s="38">
        <f>IF(LEFT($B73,4)="_Mil","",_xlfn.IFNA(ROUND(INDEX(Spectrum!$N:$N,MATCH(RIGHT($B73,13)&amp;"|"&amp;$C73&amp;"|"&amp;$D73&amp;"|"&amp;AJ$14&amp;"|"&amp;"CY2025Q3",Spectrum!$R:$R,0)),0),""))</f>
        <v>321</v>
      </c>
      <c r="AK73" s="218" t="e">
        <f>#REF!</f>
        <v>#REF!</v>
      </c>
      <c r="AL73" s="33">
        <f t="shared" si="7"/>
        <v>0.9</v>
      </c>
      <c r="AM73" s="38" t="e">
        <f>IF(OR(LEFT($B73,4)="_Mil",$C73="&lt;01"),"",ROUND(SUM($AK73)*SUM($AL73),0))</f>
        <v>#REF!</v>
      </c>
      <c r="AN73" s="38" t="str">
        <f>IF($C73="&lt;01",ROUND(INDEX(EID!$P:$P,MATCH($B73,EID!$B:$B,0))/2,0),"")</f>
        <v/>
      </c>
      <c r="AO73" s="38" t="e">
        <f>IF($C73="&lt;01",SUM($AN73),ROUND(SUM($AM73)*SUM($O73)/IF(SUM($Z73)=0,1,$Z73),0))</f>
        <v>#REF!</v>
      </c>
      <c r="AP73" s="218">
        <f>IF(OR($F73="",$C73="&lt;01"),$AO73,ROUND($F73,0))</f>
        <v>336</v>
      </c>
      <c r="AQ73" s="218">
        <f>IF(LEFT($B73,4)="_Mil","",IF(SUM($AP73)=0,SUM($Z73),IF(OR(SUM($Z73)=0,SUM($O73)=0),MAX($AP73,$Z73),ROUND($AP73*$Z73/$O73,0))))</f>
        <v>238</v>
      </c>
      <c r="AR73" s="33" t="e">
        <f>IF(OR(LEFT($B73,4)="_Mil",SUM($AK73)=0),"",SUM($AQ73)/$AK73)</f>
        <v>#REF!</v>
      </c>
      <c r="AS73" s="33">
        <f t="shared" si="18"/>
        <v>0.98</v>
      </c>
      <c r="AT73" s="33">
        <f t="shared" si="16"/>
        <v>0.98</v>
      </c>
      <c r="AU73" s="38">
        <f>IF($C73="&lt;01","",SUM($AP73)-SUM($O73))</f>
        <v>0</v>
      </c>
      <c r="AV73" s="38">
        <f>IF($C73="&lt;01",ROUND(INDEX(EID!$N:$N,MATCH($B73,EID!$B:$B,0))/2,0),IF(SUM($AT73)=0,"",ROUND((SUM($AP73)-(SUM($O73)*SUM($AS73)))/$AT73,0)))</f>
        <v>7</v>
      </c>
      <c r="AW73" s="33">
        <f t="shared" si="9"/>
        <v>1</v>
      </c>
      <c r="AX73" s="218">
        <f>IF($C73="&lt;01",SUM($AV73),ROUND(SUM($AV73)*SUM($AW73),0))</f>
        <v>7</v>
      </c>
      <c r="AY73" s="79">
        <f t="shared" si="10"/>
        <v>0.7</v>
      </c>
      <c r="AZ73" s="85">
        <f>IF($C73="&lt;01",ROUND(INDEX(EID!$R:$R,MATCH($B73,EID!$B:$B,0))/2,0),ROUND(SUM($O73)+(SUM($AV73)*$AY73),0))</f>
        <v>341</v>
      </c>
      <c r="BA73" s="40">
        <f t="shared" si="14"/>
        <v>0.9</v>
      </c>
      <c r="BB73" s="99">
        <f>IF($C73="&lt;01",ROUND(INDEX(EID!$T:$T,MATCH($B73,EID!$B:$B,0))/2,0),ROUND($AP73*$BA73,0))</f>
        <v>302</v>
      </c>
      <c r="BC73" s="85">
        <f>IF(LEFT($B73,4)="_Mil","",IF(SUM($BB73)=0,SUM($AD73),IF(OR(SUM($AP73)=0,SUM($AQ73)=0),MAX($BB73,$AD73),ROUND($BB73*$AQ73/$AP73,0))))</f>
        <v>214</v>
      </c>
      <c r="BD73" s="33">
        <f t="shared" si="12"/>
        <v>0.95</v>
      </c>
      <c r="BE73" s="218">
        <f>IF($C73="&lt;01",ROUND(INDEX(EID!$V:$V,MATCH($B73,EID!$B:$B,0))/2,0),ROUND($BD73*$BB73,0))</f>
        <v>287</v>
      </c>
      <c r="BF73" s="218">
        <f>IF(LEFT($B73,4)="_Mil","",IF(SUM($BE73)=0,SUM($AF73),IF(OR(SUM($AP73)=0,SUM($AQ73)=0),MAX($BE73,$AF73),ROUND($BE73*$AQ73/$AP73,0))))</f>
        <v>203</v>
      </c>
      <c r="BG73" s="79">
        <f t="shared" si="13"/>
        <v>0.95</v>
      </c>
      <c r="BH73" s="99">
        <f>IF($C73="&lt;01",ROUND(INDEX(EID!$L:$L,MATCH($B73,EID!$B:$B,0)),0)/2,IF(SUM($BG73)=0,"",ROUND($AX73/$BG73,0)))</f>
        <v>7</v>
      </c>
    </row>
    <row r="74" spans="1:60" x14ac:dyDescent="0.2">
      <c r="A74" t="str">
        <f>INDEX(Prioritization!$D:$D,MATCH($B74,Prioritization!$A:$A,0))</f>
        <v>INVALID</v>
      </c>
      <c r="B74" t="s">
        <v>316</v>
      </c>
      <c r="C74" t="s">
        <v>473</v>
      </c>
      <c r="D74" t="s">
        <v>48</v>
      </c>
      <c r="E74" t="str">
        <f t="shared" si="0"/>
        <v>Chiradzulu District [oiPR2CiVJbf]|01-09|Male</v>
      </c>
      <c r="F74" s="229">
        <v>346</v>
      </c>
      <c r="G74" s="38">
        <v>39</v>
      </c>
      <c r="H74" s="38">
        <v>22</v>
      </c>
      <c r="I74" s="38">
        <v>224</v>
      </c>
      <c r="J74" s="38">
        <v>189</v>
      </c>
      <c r="K74" s="38">
        <v>146</v>
      </c>
      <c r="L74" s="38">
        <v>19</v>
      </c>
      <c r="M74" s="38">
        <v>18</v>
      </c>
      <c r="N74" s="38">
        <v>325</v>
      </c>
      <c r="O74" s="229">
        <v>346</v>
      </c>
      <c r="P74" s="38">
        <v>285</v>
      </c>
      <c r="Q74" s="38">
        <v>271</v>
      </c>
      <c r="R74" s="38">
        <f t="shared" si="2"/>
        <v>122</v>
      </c>
      <c r="S74" s="38">
        <f>IF(LEFT($B74,4)="_Mil","",_xlfn.IFNA(ROUND(INDEX(Spectrum!$N:$N,MATCH(RIGHT($B74,13)&amp;"|"&amp;$C74&amp;"|"&amp;$D74&amp;"|"&amp;S$14&amp;"|"&amp;"CY2023Q4",Spectrum!$R:$R,0)),0),""))</f>
        <v>267</v>
      </c>
      <c r="T74" s="218">
        <f>IF(LEFT($B74,4)="_Mil","",_xlfn.IFNA(ROUND(INDEX(Spectrum!$N:$N,MATCH(RIGHT($B74,13)&amp;"|"&amp;$C74&amp;"|"&amp;$D74&amp;"|"&amp;T$14&amp;"|"&amp;"CY2024Q3",Spectrum!$R:$R,0)),0),""))</f>
        <v>52205</v>
      </c>
      <c r="U74" s="218">
        <f>IF(LEFT($B74,4)="_Mil","",_xlfn.IFNA(ROUND(INDEX(Spectrum!$N:$N,MATCH(RIGHT($B74,13)&amp;"|"&amp;$C74&amp;"|"&amp;$D74&amp;"|"&amp;U$14&amp;"|"&amp;"CY2024Q3",Spectrum!$R:$R,0)),0),""))</f>
        <v>379</v>
      </c>
      <c r="V74" s="38">
        <f>IF(LEFT($B74,4)="_Mil","",_xlfn.IFNA(ROUND(INDEX(Spectrum!$N:$N,MATCH(RIGHT($B74,13)&amp;"|"&amp;$C74&amp;"|"&amp;$D74&amp;"|"&amp;V$14&amp;"|"&amp;"CY2024Q3",Spectrum!$R:$R,0)),0),""))</f>
        <v>461</v>
      </c>
      <c r="W74" s="220">
        <f>IF(LEFT($B74,4)="_Mil","",_xlfn.IFNA(INDEX(Spectrum!$N:$N,MATCH(RIGHT($B74,13)&amp;"|"&amp;$C74&amp;"|"&amp;$D74&amp;"|"&amp;W$14&amp;"|"&amp;"CY2024Q3",Spectrum!$R:$R,0)),""))</f>
        <v>7.2597829999999997E-3</v>
      </c>
      <c r="X74" s="218">
        <f>IF(LEFT($B74,4)="_Mil","",_xlfn.IFNA(ROUND(INDEX(Spectrum!$N:$N,MATCH(RIGHT($B74,13)&amp;"|"&amp;$C74&amp;"|"&amp;$D74&amp;"|"&amp;X$14&amp;"|"&amp;"CY2024Q3",Spectrum!$R:$R,0)),0),""))</f>
        <v>212</v>
      </c>
      <c r="Y74" s="33">
        <f t="shared" si="3"/>
        <v>0.56000000000000005</v>
      </c>
      <c r="Z74" s="218">
        <f>IF(LEFT($B74,4)="_Mil","",_xlfn.IFNA(ROUND(INDEX(Spectrum!$N:$N,MATCH(RIGHT($B74,13)&amp;"|"&amp;$C74&amp;"|"&amp;$D74&amp;"|"&amp;Z$14&amp;"|"&amp;"CY2024Q3",Spectrum!$R:$R,0)),0),""))</f>
        <v>267</v>
      </c>
      <c r="AA74" s="33">
        <f>IF(LEFT($B74,4)="_Mil","",IFERROR(1/(1/INDEX(Spectrum!$N:$N,MATCH(RIGHT($B74,13)&amp;"|"&amp;$C74&amp;"|"&amp;$D74&amp;"|"&amp;AA$14&amp;"|"&amp;"CY2024Q3",Spectrum!$R:$R,0))),IF(SUM($U74)=0,"",SUM($Z74)/$U74)))</f>
        <v>0.49999459199999996</v>
      </c>
      <c r="AB74" s="33">
        <f t="shared" si="4"/>
        <v>1.2594339622641511</v>
      </c>
      <c r="AC74" s="38">
        <f>IF(LEFT($B74,4)="_Mil","",_xlfn.IFNA(ROUND(INDEX(Spectrum!$N:$N,MATCH(RIGHT($B74,13)&amp;"|"&amp;$C74&amp;"|"&amp;$D74&amp;"|"&amp;AC$14&amp;"|"&amp;"CY2024Q3",Spectrum!$R:$R,0)),0),""))</f>
        <v>194</v>
      </c>
      <c r="AD74" s="38" t="str">
        <f>IF(LEFT($B74,4)="_Mil","",_xlfn.IFNA(ROUND(INDEX(Spectrum!$N:$N,MATCH(RIGHT($B74,13)&amp;"|"&amp;$C74&amp;"|"&amp;$D74&amp;"|"&amp;AD$14&amp;"|"&amp;"CY2024Q3",Spectrum!$R:$R,0)),0),""))</f>
        <v/>
      </c>
      <c r="AE74" s="33">
        <f t="shared" si="5"/>
        <v>0</v>
      </c>
      <c r="AF74" s="218" t="str">
        <f>IF(LEFT($B74,4)="_Mil","",_xlfn.IFNA(ROUND(INDEX(Spectrum!$N:$N,MATCH(RIGHT($B74,13)&amp;"|"&amp;$C74&amp;"|"&amp;$D74&amp;"|"&amp;AF$14&amp;"|"&amp;"CY2024Q3",Spectrum!$R:$R,0)),0),""))</f>
        <v/>
      </c>
      <c r="AG74" s="33" t="str">
        <f t="shared" si="6"/>
        <v/>
      </c>
      <c r="AH74" s="110" t="str">
        <f>IF(LEFT($B74,4)="_Mil","",_xlfn.IFNA(INDEX(Spectrum!$N:$N,MATCH(RIGHT($B74,13)&amp;"|"&amp;$C74&amp;"|"&amp;$D74&amp;"|"&amp;AH$14&amp;"|"&amp;"CY2024Q3",Spectrum!$R:$R,0)),""))</f>
        <v/>
      </c>
      <c r="AI74" s="218">
        <f>IF(LEFT($B74,4)="_Mil","",_xlfn.IFNA(ROUND(INDEX(Spectrum!$N:$N,MATCH(RIGHT($B74,13)&amp;"|"&amp;$C74&amp;"|"&amp;$D74&amp;"|"&amp;AI$14&amp;"|"&amp;"CY2025Q3",Spectrum!$R:$R,0)),0),""))</f>
        <v>6</v>
      </c>
      <c r="AJ74" s="38">
        <f>IF(LEFT($B74,4)="_Mil","",_xlfn.IFNA(ROUND(INDEX(Spectrum!$N:$N,MATCH(RIGHT($B74,13)&amp;"|"&amp;$C74&amp;"|"&amp;$D74&amp;"|"&amp;AJ$14&amp;"|"&amp;"CY2025Q3",Spectrum!$R:$R,0)),0),""))</f>
        <v>330</v>
      </c>
      <c r="AK74" s="218" t="e">
        <f>#REF!</f>
        <v>#REF!</v>
      </c>
      <c r="AL74" s="33">
        <f t="shared" si="7"/>
        <v>0.9</v>
      </c>
      <c r="AM74" s="38" t="e">
        <f>IF(OR(LEFT($B74,4)="_Mil",$C74="&lt;01"),"",ROUND(SUM($AK74)*SUM($AL74),0))</f>
        <v>#REF!</v>
      </c>
      <c r="AN74" s="38" t="str">
        <f>IF($C74="&lt;01",ROUND(INDEX(EID!$P:$P,MATCH($B74,EID!$B:$B,0))/2,0),"")</f>
        <v/>
      </c>
      <c r="AO74" s="38" t="e">
        <f>IF($C74="&lt;01",SUM($AN74),ROUND(SUM($AM74)*SUM($O74)/IF(SUM($Z74)=0,1,$Z74),0))</f>
        <v>#REF!</v>
      </c>
      <c r="AP74" s="218">
        <f>IF(OR($F74="",$C74="&lt;01"),$AO74,ROUND($F74,0))</f>
        <v>346</v>
      </c>
      <c r="AQ74" s="218">
        <f>IF(LEFT($B74,4)="_Mil","",IF(SUM($AP74)=0,SUM($Z74),IF(OR(SUM($Z74)=0,SUM($O74)=0),MAX($AP74,$Z74),ROUND($AP74*$Z74/$O74,0))))</f>
        <v>267</v>
      </c>
      <c r="AR74" s="33" t="e">
        <f>IF(OR(LEFT($B74,4)="_Mil",SUM($AK74)=0),"",SUM($AQ74)/$AK74)</f>
        <v>#REF!</v>
      </c>
      <c r="AS74" s="33">
        <f t="shared" si="18"/>
        <v>0.98</v>
      </c>
      <c r="AT74" s="33">
        <f t="shared" si="16"/>
        <v>0.98</v>
      </c>
      <c r="AU74" s="38">
        <f>IF($C74="&lt;01","",SUM($AP74)-SUM($O74))</f>
        <v>0</v>
      </c>
      <c r="AV74" s="38">
        <f>IF($C74="&lt;01",ROUND(INDEX(EID!$N:$N,MATCH($B74,EID!$B:$B,0))/2,0),IF(SUM($AT74)=0,"",ROUND((SUM($AP74)-(SUM($O74)*SUM($AS74)))/$AT74,0)))</f>
        <v>7</v>
      </c>
      <c r="AW74" s="33">
        <f t="shared" si="9"/>
        <v>1</v>
      </c>
      <c r="AX74" s="218">
        <f>IF($C74="&lt;01",SUM($AV74),ROUND(SUM($AV74)*SUM($AW74),0))</f>
        <v>7</v>
      </c>
      <c r="AY74" s="79">
        <f t="shared" si="10"/>
        <v>0.7</v>
      </c>
      <c r="AZ74" s="85">
        <f>IF($C74="&lt;01",ROUND(INDEX(EID!$R:$R,MATCH($B74,EID!$B:$B,0))/2,0),ROUND(SUM($O74)+(SUM($AV74)*$AY74),0))</f>
        <v>351</v>
      </c>
      <c r="BA74" s="40">
        <f t="shared" si="14"/>
        <v>0.9</v>
      </c>
      <c r="BB74" s="99">
        <f>IF($C74="&lt;01",ROUND(INDEX(EID!$T:$T,MATCH($B74,EID!$B:$B,0))/2,0),ROUND($AP74*$BA74,0))</f>
        <v>311</v>
      </c>
      <c r="BC74" s="85">
        <f>IF(LEFT($B74,4)="_Mil","",IF(SUM($BB74)=0,SUM($AD74),IF(OR(SUM($AP74)=0,SUM($AQ74)=0),MAX($BB74,$AD74),ROUND($BB74*$AQ74/$AP74,0))))</f>
        <v>240</v>
      </c>
      <c r="BD74" s="33">
        <f t="shared" si="12"/>
        <v>0.95</v>
      </c>
      <c r="BE74" s="218">
        <f>IF($C74="&lt;01",ROUND(INDEX(EID!$V:$V,MATCH($B74,EID!$B:$B,0))/2,0),ROUND($BD74*$BB74,0))</f>
        <v>295</v>
      </c>
      <c r="BF74" s="218">
        <f>IF(LEFT($B74,4)="_Mil","",IF(SUM($BE74)=0,SUM($AF74),IF(OR(SUM($AP74)=0,SUM($AQ74)=0),MAX($BE74,$AF74),ROUND($BE74*$AQ74/$AP74,0))))</f>
        <v>228</v>
      </c>
      <c r="BG74" s="79">
        <f t="shared" si="13"/>
        <v>0.95</v>
      </c>
      <c r="BH74" s="99">
        <f>IF($C74="&lt;01",ROUND(INDEX(EID!$L:$L,MATCH($B74,EID!$B:$B,0)),0)/2,IF(SUM($BG74)=0,"",ROUND($AX74/$BG74,0)))</f>
        <v>7</v>
      </c>
    </row>
    <row r="75" spans="1:60" x14ac:dyDescent="0.2">
      <c r="A75" t="str">
        <f>INDEX(Prioritization!$D:$D,MATCH($B75,Prioritization!$A:$A,0))</f>
        <v>INVALID</v>
      </c>
      <c r="B75" t="s">
        <v>316</v>
      </c>
      <c r="C75" t="s">
        <v>474</v>
      </c>
      <c r="D75" t="s">
        <v>30</v>
      </c>
      <c r="E75" t="str">
        <f t="shared" si="0"/>
        <v>Chiradzulu District [oiPR2CiVJbf]|10-14|Female</v>
      </c>
      <c r="F75" s="229">
        <v>407</v>
      </c>
      <c r="G75" s="38">
        <v>28</v>
      </c>
      <c r="H75" s="38">
        <v>11</v>
      </c>
      <c r="I75" s="38">
        <v>353</v>
      </c>
      <c r="J75" s="38">
        <v>331</v>
      </c>
      <c r="K75" s="38">
        <v>258</v>
      </c>
      <c r="L75" s="38">
        <v>45</v>
      </c>
      <c r="M75" s="38">
        <v>44</v>
      </c>
      <c r="N75" s="38">
        <v>339</v>
      </c>
      <c r="O75" s="229">
        <v>407</v>
      </c>
      <c r="P75" s="38">
        <v>285</v>
      </c>
      <c r="Q75" s="38">
        <v>271</v>
      </c>
      <c r="R75" s="38">
        <f t="shared" si="2"/>
        <v>54</v>
      </c>
      <c r="S75" s="38">
        <f>IF(LEFT($B75,4)="_Mil","",_xlfn.IFNA(ROUND(INDEX(Spectrum!$N:$N,MATCH(RIGHT($B75,13)&amp;"|"&amp;$C75&amp;"|"&amp;$D75&amp;"|"&amp;S$14&amp;"|"&amp;"CY2023Q4",Spectrum!$R:$R,0)),0),""))</f>
        <v>301</v>
      </c>
      <c r="T75" s="218">
        <f>IF(LEFT($B75,4)="_Mil","",_xlfn.IFNA(ROUND(INDEX(Spectrum!$N:$N,MATCH(RIGHT($B75,13)&amp;"|"&amp;$C75&amp;"|"&amp;$D75&amp;"|"&amp;T$14&amp;"|"&amp;"CY2024Q3",Spectrum!$R:$R,0)),0),""))</f>
        <v>26378</v>
      </c>
      <c r="U75" s="218">
        <f>IF(LEFT($B75,4)="_Mil","",_xlfn.IFNA(ROUND(INDEX(Spectrum!$N:$N,MATCH(RIGHT($B75,13)&amp;"|"&amp;$C75&amp;"|"&amp;$D75&amp;"|"&amp;U$14&amp;"|"&amp;"CY2024Q3",Spectrum!$R:$R,0)),0),""))</f>
        <v>444</v>
      </c>
      <c r="V75" s="38">
        <f>IF(LEFT($B75,4)="_Mil","",_xlfn.IFNA(ROUND(INDEX(Spectrum!$N:$N,MATCH(RIGHT($B75,13)&amp;"|"&amp;$C75&amp;"|"&amp;$D75&amp;"|"&amp;V$14&amp;"|"&amp;"CY2024Q3",Spectrum!$R:$R,0)),0),""))</f>
        <v>542</v>
      </c>
      <c r="W75" s="220">
        <f>IF(LEFT($B75,4)="_Mil","",_xlfn.IFNA(INDEX(Spectrum!$N:$N,MATCH(RIGHT($B75,13)&amp;"|"&amp;$C75&amp;"|"&amp;$D75&amp;"|"&amp;W$14&amp;"|"&amp;"CY2024Q3",Spectrum!$R:$R,0)),""))</f>
        <v>1.6832614999999999E-2</v>
      </c>
      <c r="X75" s="218">
        <f>IF(LEFT($B75,4)="_Mil","",_xlfn.IFNA(ROUND(INDEX(Spectrum!$N:$N,MATCH(RIGHT($B75,13)&amp;"|"&amp;$C75&amp;"|"&amp;$D75&amp;"|"&amp;X$14&amp;"|"&amp;"CY2024Q3",Spectrum!$R:$R,0)),0),""))</f>
        <v>271</v>
      </c>
      <c r="Y75" s="33">
        <f t="shared" si="3"/>
        <v>0.61</v>
      </c>
      <c r="Z75" s="218">
        <f>IF(LEFT($B75,4)="_Mil","",_xlfn.IFNA(ROUND(INDEX(Spectrum!$N:$N,MATCH(RIGHT($B75,13)&amp;"|"&amp;$C75&amp;"|"&amp;$D75&amp;"|"&amp;Z$14&amp;"|"&amp;"CY2024Q3",Spectrum!$R:$R,0)),0),""))</f>
        <v>305</v>
      </c>
      <c r="AA75" s="33">
        <f>IF(LEFT($B75,4)="_Mil","",IFERROR(1/(1/INDEX(Spectrum!$N:$N,MATCH(RIGHT($B75,13)&amp;"|"&amp;$C75&amp;"|"&amp;$D75&amp;"|"&amp;AA$14&amp;"|"&amp;"CY2024Q3",Spectrum!$R:$R,0))),IF(SUM($U75)=0,"",SUM($Z75)/$U75)))</f>
        <v>0.54665741099999998</v>
      </c>
      <c r="AB75" s="33">
        <f t="shared" si="4"/>
        <v>1.1254612546125462</v>
      </c>
      <c r="AC75" s="38">
        <f>IF(LEFT($B75,4)="_Mil","",_xlfn.IFNA(ROUND(INDEX(Spectrum!$N:$N,MATCH(RIGHT($B75,13)&amp;"|"&amp;$C75&amp;"|"&amp;$D75&amp;"|"&amp;AC$14&amp;"|"&amp;"CY2024Q3",Spectrum!$R:$R,0)),0),""))</f>
        <v>237</v>
      </c>
      <c r="AD75" s="38" t="str">
        <f>IF(LEFT($B75,4)="_Mil","",_xlfn.IFNA(ROUND(INDEX(Spectrum!$N:$N,MATCH(RIGHT($B75,13)&amp;"|"&amp;$C75&amp;"|"&amp;$D75&amp;"|"&amp;AD$14&amp;"|"&amp;"CY2024Q3",Spectrum!$R:$R,0)),0),""))</f>
        <v/>
      </c>
      <c r="AE75" s="33">
        <f t="shared" si="5"/>
        <v>0</v>
      </c>
      <c r="AF75" s="218" t="str">
        <f>IF(LEFT($B75,4)="_Mil","",_xlfn.IFNA(ROUND(INDEX(Spectrum!$N:$N,MATCH(RIGHT($B75,13)&amp;"|"&amp;$C75&amp;"|"&amp;$D75&amp;"|"&amp;AF$14&amp;"|"&amp;"CY2024Q3",Spectrum!$R:$R,0)),0),""))</f>
        <v/>
      </c>
      <c r="AG75" s="33" t="str">
        <f t="shared" si="6"/>
        <v/>
      </c>
      <c r="AH75" s="110" t="str">
        <f>IF(LEFT($B75,4)="_Mil","",_xlfn.IFNA(INDEX(Spectrum!$N:$N,MATCH(RIGHT($B75,13)&amp;"|"&amp;$C75&amp;"|"&amp;$D75&amp;"|"&amp;AH$14&amp;"|"&amp;"CY2024Q3",Spectrum!$R:$R,0)),""))</f>
        <v/>
      </c>
      <c r="AI75" s="218">
        <f>IF(LEFT($B75,4)="_Mil","",_xlfn.IFNA(ROUND(INDEX(Spectrum!$N:$N,MATCH(RIGHT($B75,13)&amp;"|"&amp;$C75&amp;"|"&amp;$D75&amp;"|"&amp;AI$14&amp;"|"&amp;"CY2025Q3",Spectrum!$R:$R,0)),0),""))</f>
        <v>0</v>
      </c>
      <c r="AJ75" s="38">
        <f>IF(LEFT($B75,4)="_Mil","",_xlfn.IFNA(ROUND(INDEX(Spectrum!$N:$N,MATCH(RIGHT($B75,13)&amp;"|"&amp;$C75&amp;"|"&amp;$D75&amp;"|"&amp;AJ$14&amp;"|"&amp;"CY2025Q3",Spectrum!$R:$R,0)),0),""))</f>
        <v>399</v>
      </c>
      <c r="AK75" s="218" t="e">
        <f>#REF!</f>
        <v>#REF!</v>
      </c>
      <c r="AL75" s="33">
        <f t="shared" si="7"/>
        <v>0.9</v>
      </c>
      <c r="AM75" s="38" t="e">
        <f>IF(OR(LEFT($B75,4)="_Mil",$C75="&lt;01"),"",ROUND(SUM($AK75)*SUM($AL75),0))</f>
        <v>#REF!</v>
      </c>
      <c r="AN75" s="38" t="str">
        <f>IF($C75="&lt;01",ROUND(INDEX(EID!$P:$P,MATCH($B75,EID!$B:$B,0))/2,0),"")</f>
        <v/>
      </c>
      <c r="AO75" s="38" t="e">
        <f>IF($C75="&lt;01",SUM($AN75),ROUND(SUM($AM75)*SUM($O75)/IF(SUM($Z75)=0,1,$Z75),0))</f>
        <v>#REF!</v>
      </c>
      <c r="AP75" s="218">
        <f>IF(OR($F75="",$C75="&lt;01"),$AO75,ROUND($F75,0))</f>
        <v>407</v>
      </c>
      <c r="AQ75" s="218">
        <f>IF(LEFT($B75,4)="_Mil","",IF(SUM($AP75)=0,SUM($Z75),IF(OR(SUM($Z75)=0,SUM($O75)=0),MAX($AP75,$Z75),ROUND($AP75*$Z75/$O75,0))))</f>
        <v>305</v>
      </c>
      <c r="AR75" s="33" t="e">
        <f>IF(OR(LEFT($B75,4)="_Mil",SUM($AK75)=0),"",SUM($AQ75)/$AK75)</f>
        <v>#REF!</v>
      </c>
      <c r="AS75" s="33">
        <f>IF($C75="&lt;01","",90%)</f>
        <v>0.9</v>
      </c>
      <c r="AT75" s="33">
        <f t="shared" si="16"/>
        <v>0.98</v>
      </c>
      <c r="AU75" s="38">
        <f>IF($C75="&lt;01","",SUM($AP75)-SUM($O75))</f>
        <v>0</v>
      </c>
      <c r="AV75" s="38">
        <f>IF($C75="&lt;01",ROUND(INDEX(EID!$N:$N,MATCH($B75,EID!$B:$B,0))/2,0),IF(SUM($AT75)=0,"",ROUND((SUM($AP75)-(SUM($O75)*SUM($AS75)))/$AT75,0)))</f>
        <v>42</v>
      </c>
      <c r="AW75" s="33">
        <f t="shared" si="9"/>
        <v>1</v>
      </c>
      <c r="AX75" s="218">
        <f>IF($C75="&lt;01",SUM($AV75),ROUND(SUM($AV75)*SUM($AW75),0))</f>
        <v>42</v>
      </c>
      <c r="AY75" s="79">
        <f t="shared" si="10"/>
        <v>0.7</v>
      </c>
      <c r="AZ75" s="85">
        <f>IF($C75="&lt;01",ROUND(INDEX(EID!$R:$R,MATCH($B75,EID!$B:$B,0))/2,0),ROUND(SUM($O75)+(SUM($AV75)*$AY75),0))</f>
        <v>436</v>
      </c>
      <c r="BA75" s="40">
        <f t="shared" si="14"/>
        <v>0.9</v>
      </c>
      <c r="BB75" s="99">
        <f>IF($C75="&lt;01",ROUND(INDEX(EID!$T:$T,MATCH($B75,EID!$B:$B,0))/2,0),ROUND($AP75*$BA75,0))</f>
        <v>366</v>
      </c>
      <c r="BC75" s="85">
        <f>IF(LEFT($B75,4)="_Mil","",IF(SUM($BB75)=0,SUM($AD75),IF(OR(SUM($AP75)=0,SUM($AQ75)=0),MAX($BB75,$AD75),ROUND($BB75*$AQ75/$AP75,0))))</f>
        <v>274</v>
      </c>
      <c r="BD75" s="33">
        <f t="shared" si="12"/>
        <v>0.95</v>
      </c>
      <c r="BE75" s="218">
        <f>IF($C75="&lt;01",ROUND(INDEX(EID!$V:$V,MATCH($B75,EID!$B:$B,0))/2,0),ROUND($BD75*$BB75,0))</f>
        <v>348</v>
      </c>
      <c r="BF75" s="218">
        <f>IF(LEFT($B75,4)="_Mil","",IF(SUM($BE75)=0,SUM($AF75),IF(OR(SUM($AP75)=0,SUM($AQ75)=0),MAX($BE75,$AF75),ROUND($BE75*$AQ75/$AP75,0))))</f>
        <v>261</v>
      </c>
      <c r="BG75" s="79">
        <f t="shared" si="13"/>
        <v>0.95</v>
      </c>
      <c r="BH75" s="99">
        <f>IF($C75="&lt;01",ROUND(INDEX(EID!$L:$L,MATCH($B75,EID!$B:$B,0)),0)/2,IF(SUM($BG75)=0,"",ROUND($AX75/$BG75,0)))</f>
        <v>44</v>
      </c>
    </row>
    <row r="76" spans="1:60" x14ac:dyDescent="0.2">
      <c r="A76" t="str">
        <f>INDEX(Prioritization!$D:$D,MATCH($B76,Prioritization!$A:$A,0))</f>
        <v>INVALID</v>
      </c>
      <c r="B76" t="s">
        <v>316</v>
      </c>
      <c r="C76" t="s">
        <v>474</v>
      </c>
      <c r="D76" t="s">
        <v>48</v>
      </c>
      <c r="E76" t="str">
        <f t="shared" si="0"/>
        <v>Chiradzulu District [oiPR2CiVJbf]|10-14|Male</v>
      </c>
      <c r="F76" s="229">
        <v>418</v>
      </c>
      <c r="G76" s="38">
        <v>13</v>
      </c>
      <c r="H76" s="38">
        <v>8</v>
      </c>
      <c r="I76" s="38">
        <v>339</v>
      </c>
      <c r="J76" s="38">
        <v>308</v>
      </c>
      <c r="K76" s="38">
        <v>242</v>
      </c>
      <c r="L76" s="38">
        <v>53</v>
      </c>
      <c r="M76" s="38">
        <v>50</v>
      </c>
      <c r="N76" s="38">
        <v>385</v>
      </c>
      <c r="O76" s="229">
        <v>418</v>
      </c>
      <c r="P76" s="38">
        <v>324</v>
      </c>
      <c r="Q76" s="38">
        <v>308</v>
      </c>
      <c r="R76" s="38">
        <f t="shared" si="2"/>
        <v>79</v>
      </c>
      <c r="S76" s="38">
        <f>IF(LEFT($B76,4)="_Mil","",_xlfn.IFNA(ROUND(INDEX(Spectrum!$N:$N,MATCH(RIGHT($B76,13)&amp;"|"&amp;$C76&amp;"|"&amp;$D76&amp;"|"&amp;S$14&amp;"|"&amp;"CY2023Q4",Spectrum!$R:$R,0)),0),""))</f>
        <v>336</v>
      </c>
      <c r="T76" s="218">
        <f>IF(LEFT($B76,4)="_Mil","",_xlfn.IFNA(ROUND(INDEX(Spectrum!$N:$N,MATCH(RIGHT($B76,13)&amp;"|"&amp;$C76&amp;"|"&amp;$D76&amp;"|"&amp;T$14&amp;"|"&amp;"CY2024Q3",Spectrum!$R:$R,0)),0),""))</f>
        <v>27267</v>
      </c>
      <c r="U76" s="218">
        <f>IF(LEFT($B76,4)="_Mil","",_xlfn.IFNA(ROUND(INDEX(Spectrum!$N:$N,MATCH(RIGHT($B76,13)&amp;"|"&amp;$C76&amp;"|"&amp;$D76&amp;"|"&amp;U$14&amp;"|"&amp;"CY2024Q3",Spectrum!$R:$R,0)),0),""))</f>
        <v>458</v>
      </c>
      <c r="V76" s="38">
        <f>IF(LEFT($B76,4)="_Mil","",_xlfn.IFNA(ROUND(INDEX(Spectrum!$N:$N,MATCH(RIGHT($B76,13)&amp;"|"&amp;$C76&amp;"|"&amp;$D76&amp;"|"&amp;V$14&amp;"|"&amp;"CY2024Q3",Spectrum!$R:$R,0)),0),""))</f>
        <v>557</v>
      </c>
      <c r="W76" s="220">
        <f>IF(LEFT($B76,4)="_Mil","",_xlfn.IFNA(INDEX(Spectrum!$N:$N,MATCH(RIGHT($B76,13)&amp;"|"&amp;$C76&amp;"|"&amp;$D76&amp;"|"&amp;W$14&amp;"|"&amp;"CY2024Q3",Spectrum!$R:$R,0)),""))</f>
        <v>1.6785755999999999E-2</v>
      </c>
      <c r="X76" s="218">
        <f>IF(LEFT($B76,4)="_Mil","",_xlfn.IFNA(ROUND(INDEX(Spectrum!$N:$N,MATCH(RIGHT($B76,13)&amp;"|"&amp;$C76&amp;"|"&amp;$D76&amp;"|"&amp;X$14&amp;"|"&amp;"CY2024Q3",Spectrum!$R:$R,0)),0),""))</f>
        <v>280</v>
      </c>
      <c r="Y76" s="33">
        <f t="shared" si="3"/>
        <v>0.61</v>
      </c>
      <c r="Z76" s="218">
        <f>IF(LEFT($B76,4)="_Mil","",_xlfn.IFNA(ROUND(INDEX(Spectrum!$N:$N,MATCH(RIGHT($B76,13)&amp;"|"&amp;$C76&amp;"|"&amp;$D76&amp;"|"&amp;Z$14&amp;"|"&amp;"CY2024Q3",Spectrum!$R:$R,0)),0),""))</f>
        <v>341</v>
      </c>
      <c r="AA76" s="33">
        <f>IF(LEFT($B76,4)="_Mil","",IFERROR(1/(1/INDEX(Spectrum!$N:$N,MATCH(RIGHT($B76,13)&amp;"|"&amp;$C76&amp;"|"&amp;$D76&amp;"|"&amp;AA$14&amp;"|"&amp;"CY2024Q3",Spectrum!$R:$R,0))),IF(SUM($U76)=0,"",SUM($Z76)/$U76)))</f>
        <v>0.54680766700000005</v>
      </c>
      <c r="AB76" s="33">
        <f t="shared" si="4"/>
        <v>1.2178571428571427</v>
      </c>
      <c r="AC76" s="38">
        <f>IF(LEFT($B76,4)="_Mil","",_xlfn.IFNA(ROUND(INDEX(Spectrum!$N:$N,MATCH(RIGHT($B76,13)&amp;"|"&amp;$C76&amp;"|"&amp;$D76&amp;"|"&amp;AC$14&amp;"|"&amp;"CY2024Q3",Spectrum!$R:$R,0)),0),""))</f>
        <v>216</v>
      </c>
      <c r="AD76" s="38" t="str">
        <f>IF(LEFT($B76,4)="_Mil","",_xlfn.IFNA(ROUND(INDEX(Spectrum!$N:$N,MATCH(RIGHT($B76,13)&amp;"|"&amp;$C76&amp;"|"&amp;$D76&amp;"|"&amp;AD$14&amp;"|"&amp;"CY2024Q3",Spectrum!$R:$R,0)),0),""))</f>
        <v/>
      </c>
      <c r="AE76" s="33">
        <f t="shared" si="5"/>
        <v>0</v>
      </c>
      <c r="AF76" s="218" t="str">
        <f>IF(LEFT($B76,4)="_Mil","",_xlfn.IFNA(ROUND(INDEX(Spectrum!$N:$N,MATCH(RIGHT($B76,13)&amp;"|"&amp;$C76&amp;"|"&amp;$D76&amp;"|"&amp;AF$14&amp;"|"&amp;"CY2024Q3",Spectrum!$R:$R,0)),0),""))</f>
        <v/>
      </c>
      <c r="AG76" s="33" t="str">
        <f t="shared" si="6"/>
        <v/>
      </c>
      <c r="AH76" s="110" t="str">
        <f>IF(LEFT($B76,4)="_Mil","",_xlfn.IFNA(INDEX(Spectrum!$N:$N,MATCH(RIGHT($B76,13)&amp;"|"&amp;$C76&amp;"|"&amp;$D76&amp;"|"&amp;AH$14&amp;"|"&amp;"CY2024Q3",Spectrum!$R:$R,0)),""))</f>
        <v/>
      </c>
      <c r="AI76" s="218">
        <f>IF(LEFT($B76,4)="_Mil","",_xlfn.IFNA(ROUND(INDEX(Spectrum!$N:$N,MATCH(RIGHT($B76,13)&amp;"|"&amp;$C76&amp;"|"&amp;$D76&amp;"|"&amp;AI$14&amp;"|"&amp;"CY2025Q3",Spectrum!$R:$R,0)),0),""))</f>
        <v>0</v>
      </c>
      <c r="AJ76" s="38">
        <f>IF(LEFT($B76,4)="_Mil","",_xlfn.IFNA(ROUND(INDEX(Spectrum!$N:$N,MATCH(RIGHT($B76,13)&amp;"|"&amp;$C76&amp;"|"&amp;$D76&amp;"|"&amp;AJ$14&amp;"|"&amp;"CY2025Q3",Spectrum!$R:$R,0)),0),""))</f>
        <v>412</v>
      </c>
      <c r="AK76" s="218" t="e">
        <f>#REF!</f>
        <v>#REF!</v>
      </c>
      <c r="AL76" s="33">
        <f t="shared" si="7"/>
        <v>0.9</v>
      </c>
      <c r="AM76" s="38" t="e">
        <f>IF(OR(LEFT($B76,4)="_Mil",$C76="&lt;01"),"",ROUND(SUM($AK76)*SUM($AL76),0))</f>
        <v>#REF!</v>
      </c>
      <c r="AN76" s="38" t="str">
        <f>IF($C76="&lt;01",ROUND(INDEX(EID!$P:$P,MATCH($B76,EID!$B:$B,0))/2,0),"")</f>
        <v/>
      </c>
      <c r="AO76" s="38" t="e">
        <f>IF($C76="&lt;01",SUM($AN76),ROUND(SUM($AM76)*SUM($O76)/IF(SUM($Z76)=0,1,$Z76),0))</f>
        <v>#REF!</v>
      </c>
      <c r="AP76" s="218">
        <f>IF(OR($F76="",$C76="&lt;01"),$AO76,ROUND($F76,0))</f>
        <v>418</v>
      </c>
      <c r="AQ76" s="218">
        <f>IF(LEFT($B76,4)="_Mil","",IF(SUM($AP76)=0,SUM($Z76),IF(OR(SUM($Z76)=0,SUM($O76)=0),MAX($AP76,$Z76),ROUND($AP76*$Z76/$O76,0))))</f>
        <v>341</v>
      </c>
      <c r="AR76" s="33" t="e">
        <f>IF(OR(LEFT($B76,4)="_Mil",SUM($AK76)=0),"",SUM($AQ76)/$AK76)</f>
        <v>#REF!</v>
      </c>
      <c r="AS76" s="33">
        <f t="shared" si="18"/>
        <v>0.98</v>
      </c>
      <c r="AT76" s="33">
        <f t="shared" si="16"/>
        <v>0.98</v>
      </c>
      <c r="AU76" s="38">
        <f>IF($C76="&lt;01","",SUM($AP76)-SUM($O76))</f>
        <v>0</v>
      </c>
      <c r="AV76" s="38">
        <f>IF($C76="&lt;01",ROUND(INDEX(EID!$N:$N,MATCH($B76,EID!$B:$B,0))/2,0),IF(SUM($AT76)=0,"",ROUND((SUM($AP76)-(SUM($O76)*SUM($AS76)))/$AT76,0)))</f>
        <v>9</v>
      </c>
      <c r="AW76" s="33">
        <f t="shared" si="9"/>
        <v>1</v>
      </c>
      <c r="AX76" s="218">
        <f>IF($C76="&lt;01",SUM($AV76),ROUND(SUM($AV76)*SUM($AW76),0))</f>
        <v>9</v>
      </c>
      <c r="AY76" s="79">
        <f t="shared" si="10"/>
        <v>0.7</v>
      </c>
      <c r="AZ76" s="85">
        <f>IF($C76="&lt;01",ROUND(INDEX(EID!$R:$R,MATCH($B76,EID!$B:$B,0))/2,0),ROUND(SUM($O76)+(SUM($AV76)*$AY76),0))</f>
        <v>424</v>
      </c>
      <c r="BA76" s="40">
        <f t="shared" si="14"/>
        <v>0.9</v>
      </c>
      <c r="BB76" s="99">
        <f>IF($C76="&lt;01",ROUND(INDEX(EID!$T:$T,MATCH($B76,EID!$B:$B,0))/2,0),ROUND($AP76*$BA76,0))</f>
        <v>376</v>
      </c>
      <c r="BC76" s="85">
        <f>IF(LEFT($B76,4)="_Mil","",IF(SUM($BB76)=0,SUM($AD76),IF(OR(SUM($AP76)=0,SUM($AQ76)=0),MAX($BB76,$AD76),ROUND($BB76*$AQ76/$AP76,0))))</f>
        <v>307</v>
      </c>
      <c r="BD76" s="33">
        <f t="shared" si="12"/>
        <v>0.95</v>
      </c>
      <c r="BE76" s="218">
        <f>IF($C76="&lt;01",ROUND(INDEX(EID!$V:$V,MATCH($B76,EID!$B:$B,0))/2,0),ROUND($BD76*$BB76,0))</f>
        <v>357</v>
      </c>
      <c r="BF76" s="218">
        <f>IF(LEFT($B76,4)="_Mil","",IF(SUM($BE76)=0,SUM($AF76),IF(OR(SUM($AP76)=0,SUM($AQ76)=0),MAX($BE76,$AF76),ROUND($BE76*$AQ76/$AP76,0))))</f>
        <v>291</v>
      </c>
      <c r="BG76" s="79">
        <f t="shared" si="13"/>
        <v>0.95</v>
      </c>
      <c r="BH76" s="99">
        <f>IF($C76="&lt;01",ROUND(INDEX(EID!$L:$L,MATCH($B76,EID!$B:$B,0)),0)/2,IF(SUM($BG76)=0,"",ROUND($AX76/$BG76,0)))</f>
        <v>9</v>
      </c>
    </row>
    <row r="77" spans="1:60" x14ac:dyDescent="0.2">
      <c r="A77" t="str">
        <f>INDEX(Prioritization!$D:$D,MATCH($B77,Prioritization!$A:$A,0))</f>
        <v>INVALID</v>
      </c>
      <c r="B77" t="s">
        <v>316</v>
      </c>
      <c r="C77" t="s">
        <v>475</v>
      </c>
      <c r="D77" t="s">
        <v>30</v>
      </c>
      <c r="E77" t="str">
        <f t="shared" si="0"/>
        <v>Chiradzulu District [oiPR2CiVJbf]|15-24|Female</v>
      </c>
      <c r="F77" s="229">
        <v>2168</v>
      </c>
      <c r="G77" s="38">
        <v>383</v>
      </c>
      <c r="H77" s="38">
        <v>319</v>
      </c>
      <c r="I77" s="38">
        <v>2152</v>
      </c>
      <c r="J77" s="38">
        <v>1438</v>
      </c>
      <c r="K77" s="38">
        <v>1202</v>
      </c>
      <c r="L77" s="38">
        <v>143</v>
      </c>
      <c r="M77" s="38">
        <v>140</v>
      </c>
      <c r="N77" s="38">
        <v>2114</v>
      </c>
      <c r="O77" s="229">
        <v>2160</v>
      </c>
      <c r="P77" s="38">
        <v>1968</v>
      </c>
      <c r="Q77" s="38">
        <v>1870</v>
      </c>
      <c r="R77" s="38">
        <f t="shared" si="2"/>
        <v>8</v>
      </c>
      <c r="S77" s="38">
        <f>IF(LEFT($B77,4)="_Mil","",_xlfn.IFNA(ROUND(INDEX(Spectrum!$N:$N,MATCH(RIGHT($B77,13)&amp;"|"&amp;$C77&amp;"|"&amp;$D77&amp;"|"&amp;S$14&amp;"|"&amp;"CY2023Q4",Spectrum!$R:$R,0)),0),""))</f>
        <v>2194</v>
      </c>
      <c r="T77" s="218">
        <f>IF(LEFT($B77,4)="_Mil","",_xlfn.IFNA(ROUND(INDEX(Spectrum!$N:$N,MATCH(RIGHT($B77,13)&amp;"|"&amp;$C77&amp;"|"&amp;$D77&amp;"|"&amp;T$14&amp;"|"&amp;"CY2024Q3",Spectrum!$R:$R,0)),0),""))</f>
        <v>45920</v>
      </c>
      <c r="U77" s="218">
        <f>IF(LEFT($B77,4)="_Mil","",_xlfn.IFNA(ROUND(INDEX(Spectrum!$N:$N,MATCH(RIGHT($B77,13)&amp;"|"&amp;$C77&amp;"|"&amp;$D77&amp;"|"&amp;U$14&amp;"|"&amp;"CY2024Q3",Spectrum!$R:$R,0)),0),""))</f>
        <v>1882</v>
      </c>
      <c r="V77" s="38">
        <f>IF(LEFT($B77,4)="_Mil","",_xlfn.IFNA(ROUND(INDEX(Spectrum!$N:$N,MATCH(RIGHT($B77,13)&amp;"|"&amp;$C77&amp;"|"&amp;$D77&amp;"|"&amp;V$14&amp;"|"&amp;"CY2024Q3",Spectrum!$R:$R,0)),0),""))</f>
        <v>2272</v>
      </c>
      <c r="W77" s="220">
        <f>IF(LEFT($B77,4)="_Mil","",_xlfn.IFNA(INDEX(Spectrum!$N:$N,MATCH(RIGHT($B77,13)&amp;"|"&amp;$C77&amp;"|"&amp;$D77&amp;"|"&amp;W$14&amp;"|"&amp;"CY2024Q3",Spectrum!$R:$R,0)),""))</f>
        <v>4.0991469000000003E-2</v>
      </c>
      <c r="X77" s="218">
        <f>IF(LEFT($B77,4)="_Mil","",_xlfn.IFNA(ROUND(INDEX(Spectrum!$N:$N,MATCH(RIGHT($B77,13)&amp;"|"&amp;$C77&amp;"|"&amp;$D77&amp;"|"&amp;X$14&amp;"|"&amp;"CY2024Q3",Spectrum!$R:$R,0)),0),""))</f>
        <v>1747</v>
      </c>
      <c r="Y77" s="33">
        <f t="shared" si="3"/>
        <v>0.93</v>
      </c>
      <c r="Z77" s="218">
        <f>IF(LEFT($B77,4)="_Mil","",_xlfn.IFNA(ROUND(INDEX(Spectrum!$N:$N,MATCH(RIGHT($B77,13)&amp;"|"&amp;$C77&amp;"|"&amp;$D77&amp;"|"&amp;Z$14&amp;"|"&amp;"CY2024Q3",Spectrum!$R:$R,0)),0),""))</f>
        <v>2119</v>
      </c>
      <c r="AA77" s="33">
        <f>IF(LEFT($B77,4)="_Mil","",IFERROR(1/(1/INDEX(Spectrum!$N:$N,MATCH(RIGHT($B77,13)&amp;"|"&amp;$C77&amp;"|"&amp;$D77&amp;"|"&amp;AA$14&amp;"|"&amp;"CY2024Q3",Spectrum!$R:$R,0))),IF(SUM($U77)=0,"",SUM($Z77)/$U77)))</f>
        <v>0.92834955800000007</v>
      </c>
      <c r="AB77" s="33">
        <f t="shared" si="4"/>
        <v>1.212936462507155</v>
      </c>
      <c r="AC77" s="38">
        <f>IF(LEFT($B77,4)="_Mil","",_xlfn.IFNA(ROUND(INDEX(Spectrum!$N:$N,MATCH(RIGHT($B77,13)&amp;"|"&amp;$C77&amp;"|"&amp;$D77&amp;"|"&amp;AC$14&amp;"|"&amp;"CY2024Q3",Spectrum!$R:$R,0)),0),""))</f>
        <v>152</v>
      </c>
      <c r="AD77" s="38" t="str">
        <f>IF(LEFT($B77,4)="_Mil","",_xlfn.IFNA(ROUND(INDEX(Spectrum!$N:$N,MATCH(RIGHT($B77,13)&amp;"|"&amp;$C77&amp;"|"&amp;$D77&amp;"|"&amp;AD$14&amp;"|"&amp;"CY2024Q3",Spectrum!$R:$R,0)),0),""))</f>
        <v/>
      </c>
      <c r="AE77" s="33">
        <f t="shared" si="5"/>
        <v>0</v>
      </c>
      <c r="AF77" s="218" t="str">
        <f>IF(LEFT($B77,4)="_Mil","",_xlfn.IFNA(ROUND(INDEX(Spectrum!$N:$N,MATCH(RIGHT($B77,13)&amp;"|"&amp;$C77&amp;"|"&amp;$D77&amp;"|"&amp;AF$14&amp;"|"&amp;"CY2024Q3",Spectrum!$R:$R,0)),0),""))</f>
        <v/>
      </c>
      <c r="AG77" s="33" t="str">
        <f t="shared" si="6"/>
        <v/>
      </c>
      <c r="AH77" s="110" t="str">
        <f>IF(LEFT($B77,4)="_Mil","",_xlfn.IFNA(INDEX(Spectrum!$N:$N,MATCH(RIGHT($B77,13)&amp;"|"&amp;$C77&amp;"|"&amp;$D77&amp;"|"&amp;AH$14&amp;"|"&amp;"CY2024Q3",Spectrum!$R:$R,0)),""))</f>
        <v/>
      </c>
      <c r="AI77" s="218">
        <f>IF(LEFT($B77,4)="_Mil","",_xlfn.IFNA(ROUND(INDEX(Spectrum!$N:$N,MATCH(RIGHT($B77,13)&amp;"|"&amp;$C77&amp;"|"&amp;$D77&amp;"|"&amp;AI$14&amp;"|"&amp;"CY2025Q3",Spectrum!$R:$R,0)),0),""))</f>
        <v>102</v>
      </c>
      <c r="AJ77" s="38">
        <f>IF(LEFT($B77,4)="_Mil","",_xlfn.IFNA(ROUND(INDEX(Spectrum!$N:$N,MATCH(RIGHT($B77,13)&amp;"|"&amp;$C77&amp;"|"&amp;$D77&amp;"|"&amp;AJ$14&amp;"|"&amp;"CY2025Q3",Spectrum!$R:$R,0)),0),""))</f>
        <v>1794</v>
      </c>
      <c r="AK77" s="218" t="e">
        <f>#REF!</f>
        <v>#REF!</v>
      </c>
      <c r="AL77" s="33">
        <f t="shared" si="7"/>
        <v>0.92834955800000007</v>
      </c>
      <c r="AM77" s="38" t="e">
        <f>IF(OR(LEFT($B77,4)="_Mil",$C77="&lt;01"),"",ROUND(SUM($AK77)*SUM($AL77),0))</f>
        <v>#REF!</v>
      </c>
      <c r="AN77" s="38" t="str">
        <f>IF($C77="&lt;01",ROUND(INDEX(EID!$P:$P,MATCH($B77,EID!$B:$B,0))/2,0),"")</f>
        <v/>
      </c>
      <c r="AO77" s="38" t="e">
        <f>IF($C77="&lt;01",SUM($AN77),ROUND(SUM($AM77)*SUM($O77)/IF(SUM($Z77)=0,1,$Z77),0))</f>
        <v>#REF!</v>
      </c>
      <c r="AP77" s="218">
        <f>IF(OR($F77="",$C77="&lt;01"),$AO77,ROUND($F77,0))</f>
        <v>2168</v>
      </c>
      <c r="AQ77" s="218">
        <f>IF(LEFT($B77,4)="_Mil","",IF(SUM($AP77)=0,SUM($Z77),IF(OR(SUM($Z77)=0,SUM($O77)=0),MAX($AP77,$Z77),ROUND($AP77*$Z77/$O77,0))))</f>
        <v>2127</v>
      </c>
      <c r="AR77" s="33" t="e">
        <f>IF(OR(LEFT($B77,4)="_Mil",SUM($AK77)=0),"",SUM($AQ77)/$AK77)</f>
        <v>#REF!</v>
      </c>
      <c r="AS77" s="33">
        <f>IF($C77="&lt;01","",88%)</f>
        <v>0.88</v>
      </c>
      <c r="AT77" s="33">
        <f>IF($C77="&lt;01","",90%)</f>
        <v>0.9</v>
      </c>
      <c r="AU77" s="38">
        <f>IF($C77="&lt;01","",SUM($AP77)-SUM($O77))</f>
        <v>8</v>
      </c>
      <c r="AV77" s="38">
        <f>IF($C77="&lt;01",ROUND(INDEX(EID!$N:$N,MATCH($B77,EID!$B:$B,0))/2,0),IF(SUM($AT77)=0,"",ROUND((SUM($AP77)-(SUM($O77)*SUM($AS77)))/$AT77,0)))</f>
        <v>297</v>
      </c>
      <c r="AW77" s="33">
        <f t="shared" si="9"/>
        <v>1</v>
      </c>
      <c r="AX77" s="218">
        <f>IF($C77="&lt;01",SUM($AV77),ROUND(SUM($AV77)*SUM($AW77),0))</f>
        <v>297</v>
      </c>
      <c r="AY77" s="79">
        <f t="shared" si="10"/>
        <v>0.7</v>
      </c>
      <c r="AZ77" s="85">
        <f>IF($C77="&lt;01",ROUND(INDEX(EID!$R:$R,MATCH($B77,EID!$B:$B,0))/2,0),ROUND(SUM($O77)+(SUM($AV77)*$AY77),0))</f>
        <v>2368</v>
      </c>
      <c r="BA77" s="40">
        <f t="shared" si="14"/>
        <v>0.9</v>
      </c>
      <c r="BB77" s="99">
        <f>IF($C77="&lt;01",ROUND(INDEX(EID!$T:$T,MATCH($B77,EID!$B:$B,0))/2,0),ROUND($AP77*$BA77,0))</f>
        <v>1951</v>
      </c>
      <c r="BC77" s="85">
        <f>IF(LEFT($B77,4)="_Mil","",IF(SUM($BB77)=0,SUM($AD77),IF(OR(SUM($AP77)=0,SUM($AQ77)=0),MAX($BB77,$AD77),ROUND($BB77*$AQ77/$AP77,0))))</f>
        <v>1914</v>
      </c>
      <c r="BD77" s="33">
        <f t="shared" si="12"/>
        <v>0.95</v>
      </c>
      <c r="BE77" s="218">
        <f>IF($C77="&lt;01",ROUND(INDEX(EID!$V:$V,MATCH($B77,EID!$B:$B,0))/2,0),ROUND($BD77*$BB77,0))</f>
        <v>1853</v>
      </c>
      <c r="BF77" s="218">
        <f>IF(LEFT($B77,4)="_Mil","",IF(SUM($BE77)=0,SUM($AF77),IF(OR(SUM($AP77)=0,SUM($AQ77)=0),MAX($BE77,$AF77),ROUND($BE77*$AQ77/$AP77,0))))</f>
        <v>1818</v>
      </c>
      <c r="BG77" s="79">
        <f t="shared" si="13"/>
        <v>0.95</v>
      </c>
      <c r="BH77" s="99">
        <f>IF($C77="&lt;01",ROUND(INDEX(EID!$L:$L,MATCH($B77,EID!$B:$B,0)),0)/2,IF(SUM($BG77)=0,"",ROUND($AX77/$BG77,0)))</f>
        <v>313</v>
      </c>
    </row>
    <row r="78" spans="1:60" x14ac:dyDescent="0.2">
      <c r="A78" t="str">
        <f>INDEX(Prioritization!$D:$D,MATCH($B78,Prioritization!$A:$A,0))</f>
        <v>INVALID</v>
      </c>
      <c r="B78" t="s">
        <v>316</v>
      </c>
      <c r="C78" t="s">
        <v>475</v>
      </c>
      <c r="D78" t="s">
        <v>48</v>
      </c>
      <c r="E78" t="str">
        <f t="shared" si="0"/>
        <v>Chiradzulu District [oiPR2CiVJbf]|15-24|Male</v>
      </c>
      <c r="F78" s="229">
        <v>1236</v>
      </c>
      <c r="G78" s="38">
        <v>94</v>
      </c>
      <c r="H78" s="38">
        <v>66</v>
      </c>
      <c r="I78" s="38">
        <v>1117</v>
      </c>
      <c r="J78" s="38">
        <v>801</v>
      </c>
      <c r="K78" s="38">
        <v>660</v>
      </c>
      <c r="L78" s="38">
        <v>218</v>
      </c>
      <c r="M78" s="38">
        <v>208</v>
      </c>
      <c r="N78" s="38">
        <v>1637</v>
      </c>
      <c r="O78" s="229">
        <v>1232</v>
      </c>
      <c r="P78" s="38">
        <v>1452</v>
      </c>
      <c r="Q78" s="38">
        <v>1379</v>
      </c>
      <c r="R78" s="38">
        <f t="shared" si="2"/>
        <v>115</v>
      </c>
      <c r="S78" s="38">
        <f>IF(LEFT($B78,4)="_Mil","",_xlfn.IFNA(ROUND(INDEX(Spectrum!$N:$N,MATCH(RIGHT($B78,13)&amp;"|"&amp;$C78&amp;"|"&amp;$D78&amp;"|"&amp;S$14&amp;"|"&amp;"CY2023Q4",Spectrum!$R:$R,0)),0),""))</f>
        <v>1474</v>
      </c>
      <c r="T78" s="218">
        <f>IF(LEFT($B78,4)="_Mil","",_xlfn.IFNA(ROUND(INDEX(Spectrum!$N:$N,MATCH(RIGHT($B78,13)&amp;"|"&amp;$C78&amp;"|"&amp;$D78&amp;"|"&amp;T$14&amp;"|"&amp;"CY2024Q3",Spectrum!$R:$R,0)),0),""))</f>
        <v>47319</v>
      </c>
      <c r="U78" s="218">
        <f>IF(LEFT($B78,4)="_Mil","",_xlfn.IFNA(ROUND(INDEX(Spectrum!$N:$N,MATCH(RIGHT($B78,13)&amp;"|"&amp;$C78&amp;"|"&amp;$D78&amp;"|"&amp;U$14&amp;"|"&amp;"CY2024Q3",Spectrum!$R:$R,0)),0),""))</f>
        <v>1375</v>
      </c>
      <c r="V78" s="38">
        <f>IF(LEFT($B78,4)="_Mil","",_xlfn.IFNA(ROUND(INDEX(Spectrum!$N:$N,MATCH(RIGHT($B78,13)&amp;"|"&amp;$C78&amp;"|"&amp;$D78&amp;"|"&amp;V$14&amp;"|"&amp;"CY2024Q3",Spectrum!$R:$R,0)),0),""))</f>
        <v>1642</v>
      </c>
      <c r="W78" s="220">
        <f>IF(LEFT($B78,4)="_Mil","",_xlfn.IFNA(INDEX(Spectrum!$N:$N,MATCH(RIGHT($B78,13)&amp;"|"&amp;$C78&amp;"|"&amp;$D78&amp;"|"&amp;W$14&amp;"|"&amp;"CY2024Q3",Spectrum!$R:$R,0)),""))</f>
        <v>2.9059426999999999E-2</v>
      </c>
      <c r="X78" s="218">
        <f>IF(LEFT($B78,4)="_Mil","",_xlfn.IFNA(ROUND(INDEX(Spectrum!$N:$N,MATCH(RIGHT($B78,13)&amp;"|"&amp;$C78&amp;"|"&amp;$D78&amp;"|"&amp;X$14&amp;"|"&amp;"CY2024Q3",Spectrum!$R:$R,0)),0),""))</f>
        <v>1227</v>
      </c>
      <c r="Y78" s="33">
        <f t="shared" si="3"/>
        <v>0.89</v>
      </c>
      <c r="Z78" s="218">
        <f>IF(LEFT($B78,4)="_Mil","",_xlfn.IFNA(ROUND(INDEX(Spectrum!$N:$N,MATCH(RIGHT($B78,13)&amp;"|"&amp;$C78&amp;"|"&amp;$D78&amp;"|"&amp;Z$14&amp;"|"&amp;"CY2024Q3",Spectrum!$R:$R,0)),0),""))</f>
        <v>1479</v>
      </c>
      <c r="AA78" s="33">
        <f>IF(LEFT($B78,4)="_Mil","",IFERROR(1/(1/INDEX(Spectrum!$N:$N,MATCH(RIGHT($B78,13)&amp;"|"&amp;$C78&amp;"|"&amp;$D78&amp;"|"&amp;AA$14&amp;"|"&amp;"CY2024Q3",Spectrum!$R:$R,0))),IF(SUM($U78)=0,"",SUM($Z78)/$U78)))</f>
        <v>0.88935998699999985</v>
      </c>
      <c r="AB78" s="33">
        <f t="shared" si="4"/>
        <v>1.2053789731051345</v>
      </c>
      <c r="AC78" s="38">
        <f>IF(LEFT($B78,4)="_Mil","",_xlfn.IFNA(ROUND(INDEX(Spectrum!$N:$N,MATCH(RIGHT($B78,13)&amp;"|"&amp;$C78&amp;"|"&amp;$D78&amp;"|"&amp;AC$14&amp;"|"&amp;"CY2024Q3",Spectrum!$R:$R,0)),0),""))</f>
        <v>164</v>
      </c>
      <c r="AD78" s="38" t="str">
        <f>IF(LEFT($B78,4)="_Mil","",_xlfn.IFNA(ROUND(INDEX(Spectrum!$N:$N,MATCH(RIGHT($B78,13)&amp;"|"&amp;$C78&amp;"|"&amp;$D78&amp;"|"&amp;AD$14&amp;"|"&amp;"CY2024Q3",Spectrum!$R:$R,0)),0),""))</f>
        <v/>
      </c>
      <c r="AE78" s="33">
        <f t="shared" si="5"/>
        <v>0</v>
      </c>
      <c r="AF78" s="218" t="str">
        <f>IF(LEFT($B78,4)="_Mil","",_xlfn.IFNA(ROUND(INDEX(Spectrum!$N:$N,MATCH(RIGHT($B78,13)&amp;"|"&amp;$C78&amp;"|"&amp;$D78&amp;"|"&amp;AF$14&amp;"|"&amp;"CY2024Q3",Spectrum!$R:$R,0)),0),""))</f>
        <v/>
      </c>
      <c r="AG78" s="33" t="str">
        <f t="shared" si="6"/>
        <v/>
      </c>
      <c r="AH78" s="110" t="str">
        <f>IF(LEFT($B78,4)="_Mil","",_xlfn.IFNA(INDEX(Spectrum!$N:$N,MATCH(RIGHT($B78,13)&amp;"|"&amp;$C78&amp;"|"&amp;$D78&amp;"|"&amp;AH$14&amp;"|"&amp;"CY2024Q3",Spectrum!$R:$R,0)),""))</f>
        <v/>
      </c>
      <c r="AI78" s="218">
        <f>IF(LEFT($B78,4)="_Mil","",_xlfn.IFNA(ROUND(INDEX(Spectrum!$N:$N,MATCH(RIGHT($B78,13)&amp;"|"&amp;$C78&amp;"|"&amp;$D78&amp;"|"&amp;AI$14&amp;"|"&amp;"CY2025Q3",Spectrum!$R:$R,0)),0),""))</f>
        <v>18</v>
      </c>
      <c r="AJ78" s="38">
        <f>IF(LEFT($B78,4)="_Mil","",_xlfn.IFNA(ROUND(INDEX(Spectrum!$N:$N,MATCH(RIGHT($B78,13)&amp;"|"&amp;$C78&amp;"|"&amp;$D78&amp;"|"&amp;AJ$14&amp;"|"&amp;"CY2025Q3",Spectrum!$R:$R,0)),0),""))</f>
        <v>1323</v>
      </c>
      <c r="AK78" s="218" t="e">
        <f>#REF!</f>
        <v>#REF!</v>
      </c>
      <c r="AL78" s="33">
        <f t="shared" si="7"/>
        <v>0.9</v>
      </c>
      <c r="AM78" s="38" t="e">
        <f>IF(OR(LEFT($B78,4)="_Mil",$C78="&lt;01"),"",ROUND(SUM($AK78)*SUM($AL78),0))</f>
        <v>#REF!</v>
      </c>
      <c r="AN78" s="38" t="str">
        <f>IF($C78="&lt;01",ROUND(INDEX(EID!$P:$P,MATCH($B78,EID!$B:$B,0))/2,0),"")</f>
        <v/>
      </c>
      <c r="AO78" s="38" t="e">
        <f>IF($C78="&lt;01",SUM($AN78),ROUND(SUM($AM78)*SUM($O78)/IF(SUM($Z78)=0,1,$Z78),0))</f>
        <v>#REF!</v>
      </c>
      <c r="AP78" s="218">
        <f>IF(OR($F78="",$C78="&lt;01"),$AO78,ROUND($F78,0))</f>
        <v>1236</v>
      </c>
      <c r="AQ78" s="218">
        <f>IF(LEFT($B78,4)="_Mil","",IF(SUM($AP78)=0,SUM($Z78),IF(OR(SUM($Z78)=0,SUM($O78)=0),MAX($AP78,$Z78),ROUND($AP78*$Z78/$O78,0))))</f>
        <v>1484</v>
      </c>
      <c r="AR78" s="33" t="e">
        <f>IF(OR(LEFT($B78,4)="_Mil",SUM($AK78)=0),"",SUM($AQ78)/$AK78)</f>
        <v>#REF!</v>
      </c>
      <c r="AS78" s="33">
        <v>0.9</v>
      </c>
      <c r="AT78" s="33">
        <f t="shared" si="16"/>
        <v>0.98</v>
      </c>
      <c r="AU78" s="38">
        <f>IF($C78="&lt;01","",SUM($AP78)-SUM($O78))</f>
        <v>4</v>
      </c>
      <c r="AV78" s="38">
        <f>IF($C78="&lt;01",ROUND(INDEX(EID!$N:$N,MATCH($B78,EID!$B:$B,0))/2,0),IF(SUM($AT78)=0,"",ROUND((SUM($AP78)-(SUM($O78)*SUM($AS78)))/$AT78,0)))</f>
        <v>130</v>
      </c>
      <c r="AW78" s="33">
        <f t="shared" si="9"/>
        <v>1</v>
      </c>
      <c r="AX78" s="218">
        <f>IF($C78="&lt;01",SUM($AV78),ROUND(SUM($AV78)*SUM($AW78),0))</f>
        <v>130</v>
      </c>
      <c r="AY78" s="79">
        <f t="shared" si="10"/>
        <v>0.7</v>
      </c>
      <c r="AZ78" s="85">
        <f>IF($C78="&lt;01",ROUND(INDEX(EID!$R:$R,MATCH($B78,EID!$B:$B,0))/2,0),ROUND(SUM($O78)+(SUM($AV78)*$AY78),0))</f>
        <v>1323</v>
      </c>
      <c r="BA78" s="40">
        <f t="shared" si="14"/>
        <v>0.9</v>
      </c>
      <c r="BB78" s="99">
        <f>IF($C78="&lt;01",ROUND(INDEX(EID!$T:$T,MATCH($B78,EID!$B:$B,0))/2,0),ROUND($AP78*$BA78,0))</f>
        <v>1112</v>
      </c>
      <c r="BC78" s="85">
        <f>IF(LEFT($B78,4)="_Mil","",IF(SUM($BB78)=0,SUM($AD78),IF(OR(SUM($AP78)=0,SUM($AQ78)=0),MAX($BB78,$AD78),ROUND($BB78*$AQ78/$AP78,0))))</f>
        <v>1335</v>
      </c>
      <c r="BD78" s="33">
        <f t="shared" si="12"/>
        <v>0.95</v>
      </c>
      <c r="BE78" s="218">
        <f>IF($C78="&lt;01",ROUND(INDEX(EID!$V:$V,MATCH($B78,EID!$B:$B,0))/2,0),ROUND($BD78*$BB78,0))</f>
        <v>1056</v>
      </c>
      <c r="BF78" s="218">
        <f>IF(LEFT($B78,4)="_Mil","",IF(SUM($BE78)=0,SUM($AF78),IF(OR(SUM($AP78)=0,SUM($AQ78)=0),MAX($BE78,$AF78),ROUND($BE78*$AQ78/$AP78,0))))</f>
        <v>1268</v>
      </c>
      <c r="BG78" s="79">
        <f t="shared" si="13"/>
        <v>0.95</v>
      </c>
      <c r="BH78" s="99">
        <f>IF($C78="&lt;01",ROUND(INDEX(EID!$L:$L,MATCH($B78,EID!$B:$B,0)),0)/2,IF(SUM($BG78)=0,"",ROUND($AX78/$BG78,0)))</f>
        <v>137</v>
      </c>
    </row>
    <row r="79" spans="1:60" x14ac:dyDescent="0.2">
      <c r="A79" t="str">
        <f>INDEX(Prioritization!$D:$D,MATCH($B79,Prioritization!$A:$A,0))</f>
        <v>INVALID</v>
      </c>
      <c r="B79" t="s">
        <v>316</v>
      </c>
      <c r="C79" t="s">
        <v>476</v>
      </c>
      <c r="D79" t="s">
        <v>30</v>
      </c>
      <c r="E79" t="str">
        <f t="shared" ref="E79:E142" si="19">$B79&amp;"|"&amp;$C79&amp;"|"&amp;$D79</f>
        <v>Chiradzulu District [oiPR2CiVJbf]|25-34|Female</v>
      </c>
      <c r="F79" s="229">
        <v>4655</v>
      </c>
      <c r="G79" s="38">
        <v>380</v>
      </c>
      <c r="H79" s="38">
        <v>351</v>
      </c>
      <c r="I79" s="38">
        <v>4591</v>
      </c>
      <c r="J79" s="38">
        <v>3098</v>
      </c>
      <c r="K79" s="38">
        <v>2826</v>
      </c>
      <c r="L79" s="38">
        <v>485</v>
      </c>
      <c r="M79" s="38">
        <v>474</v>
      </c>
      <c r="N79" s="38">
        <v>5503</v>
      </c>
      <c r="O79" s="229">
        <v>4623</v>
      </c>
      <c r="P79" s="38">
        <v>5042</v>
      </c>
      <c r="Q79" s="38">
        <v>4789</v>
      </c>
      <c r="R79" s="38">
        <f t="shared" ref="R79:R142" si="20">IF(AND(SUM($I79)=0,SUM($O79)=0),"",SUM($O79)-$I79)</f>
        <v>32</v>
      </c>
      <c r="S79" s="38">
        <f>IF(LEFT($B79,4)="_Mil","",_xlfn.IFNA(ROUND(INDEX(Spectrum!$N:$N,MATCH(RIGHT($B79,13)&amp;"|"&amp;$C79&amp;"|"&amp;$D79&amp;"|"&amp;S$14&amp;"|"&amp;"CY2023Q4",Spectrum!$R:$R,0)),0),""))</f>
        <v>5804</v>
      </c>
      <c r="T79" s="218">
        <f>IF(LEFT($B79,4)="_Mil","",_xlfn.IFNA(ROUND(INDEX(Spectrum!$N:$N,MATCH(RIGHT($B79,13)&amp;"|"&amp;$C79&amp;"|"&amp;$D79&amp;"|"&amp;T$14&amp;"|"&amp;"CY2024Q3",Spectrum!$R:$R,0)),0),""))</f>
        <v>31627</v>
      </c>
      <c r="U79" s="218">
        <f>IF(LEFT($B79,4)="_Mil","",_xlfn.IFNA(ROUND(INDEX(Spectrum!$N:$N,MATCH(RIGHT($B79,13)&amp;"|"&amp;$C79&amp;"|"&amp;$D79&amp;"|"&amp;U$14&amp;"|"&amp;"CY2024Q3",Spectrum!$R:$R,0)),0),""))</f>
        <v>4735</v>
      </c>
      <c r="V79" s="38">
        <f>IF(LEFT($B79,4)="_Mil","",_xlfn.IFNA(ROUND(INDEX(Spectrum!$N:$N,MATCH(RIGHT($B79,13)&amp;"|"&amp;$C79&amp;"|"&amp;$D79&amp;"|"&amp;V$14&amp;"|"&amp;"CY2024Q3",Spectrum!$R:$R,0)),0),""))</f>
        <v>5720</v>
      </c>
      <c r="W79" s="220">
        <f>IF(LEFT($B79,4)="_Mil","",_xlfn.IFNA(INDEX(Spectrum!$N:$N,MATCH(RIGHT($B79,13)&amp;"|"&amp;$C79&amp;"|"&amp;$D79&amp;"|"&amp;W$14&amp;"|"&amp;"CY2024Q3",Spectrum!$R:$R,0)),""))</f>
        <v>0.149707233</v>
      </c>
      <c r="X79" s="218">
        <f>IF(LEFT($B79,4)="_Mil","",_xlfn.IFNA(ROUND(INDEX(Spectrum!$N:$N,MATCH(RIGHT($B79,13)&amp;"|"&amp;$C79&amp;"|"&amp;$D79&amp;"|"&amp;X$14&amp;"|"&amp;"CY2024Q3",Spectrum!$R:$R,0)),0),""))</f>
        <v>4554</v>
      </c>
      <c r="Y79" s="33">
        <f t="shared" ref="Y79:Y142" si="21">IF(OR(SUM($U79)=0,LEFT($B79,4)="_Mil"),"",ROUND(SUM($X79)/$U79,2))</f>
        <v>0.96</v>
      </c>
      <c r="Z79" s="218">
        <f>IF(LEFT($B79,4)="_Mil","",_xlfn.IFNA(ROUND(INDEX(Spectrum!$N:$N,MATCH(RIGHT($B79,13)&amp;"|"&amp;$C79&amp;"|"&amp;$D79&amp;"|"&amp;Z$14&amp;"|"&amp;"CY2024Q3",Spectrum!$R:$R,0)),0),""))</f>
        <v>5509</v>
      </c>
      <c r="AA79" s="33">
        <f>IF(LEFT($B79,4)="_Mil","",IFERROR(1/(1/INDEX(Spectrum!$N:$N,MATCH(RIGHT($B79,13)&amp;"|"&amp;$C79&amp;"|"&amp;$D79&amp;"|"&amp;AA$14&amp;"|"&amp;"CY2024Q3",Spectrum!$R:$R,0))),IF(SUM($U79)=0,"",SUM($Z79)/$U79)))</f>
        <v>0.96183478600000005</v>
      </c>
      <c r="AB79" s="33">
        <f t="shared" ref="AB79:AB142" si="22">IF(OR(LEFT($B79,4)="_Mil",SUM($X79)=0),"",SUM($Z79)/$X79)</f>
        <v>1.2097057531840141</v>
      </c>
      <c r="AC79" s="38">
        <f>IF(LEFT($B79,4)="_Mil","",_xlfn.IFNA(ROUND(INDEX(Spectrum!$N:$N,MATCH(RIGHT($B79,13)&amp;"|"&amp;$C79&amp;"|"&amp;$D79&amp;"|"&amp;AC$14&amp;"|"&amp;"CY2024Q3",Spectrum!$R:$R,0)),0),""))</f>
        <v>211</v>
      </c>
      <c r="AD79" s="38" t="str">
        <f>IF(LEFT($B79,4)="_Mil","",_xlfn.IFNA(ROUND(INDEX(Spectrum!$N:$N,MATCH(RIGHT($B79,13)&amp;"|"&amp;$C79&amp;"|"&amp;$D79&amp;"|"&amp;AD$14&amp;"|"&amp;"CY2024Q3",Spectrum!$R:$R,0)),0),""))</f>
        <v/>
      </c>
      <c r="AE79" s="33">
        <f t="shared" ref="AE79:AE142" si="23">IF(OR(LEFT($B79,4)="_Mil",SUM($Z79)=0),"",ROUND(SUM($AD79)/$Z79,2))</f>
        <v>0</v>
      </c>
      <c r="AF79" s="218" t="str">
        <f>IF(LEFT($B79,4)="_Mil","",_xlfn.IFNA(ROUND(INDEX(Spectrum!$N:$N,MATCH(RIGHT($B79,13)&amp;"|"&amp;$C79&amp;"|"&amp;$D79&amp;"|"&amp;AF$14&amp;"|"&amp;"CY2024Q3",Spectrum!$R:$R,0)),0),""))</f>
        <v/>
      </c>
      <c r="AG79" s="33" t="str">
        <f t="shared" ref="AG79:AG142" si="24">IF(OR(LEFT($B79,4)="_Mil",SUM($AD79)=0),"",SUM($AF79)/$AD79)</f>
        <v/>
      </c>
      <c r="AH79" s="110" t="str">
        <f>IF(LEFT($B79,4)="_Mil","",_xlfn.IFNA(INDEX(Spectrum!$N:$N,MATCH(RIGHT($B79,13)&amp;"|"&amp;$C79&amp;"|"&amp;$D79&amp;"|"&amp;AH$14&amp;"|"&amp;"CY2024Q3",Spectrum!$R:$R,0)),""))</f>
        <v/>
      </c>
      <c r="AI79" s="218">
        <f>IF(LEFT($B79,4)="_Mil","",_xlfn.IFNA(ROUND(INDEX(Spectrum!$N:$N,MATCH(RIGHT($B79,13)&amp;"|"&amp;$C79&amp;"|"&amp;$D79&amp;"|"&amp;AI$14&amp;"|"&amp;"CY2025Q3",Spectrum!$R:$R,0)),0),""))</f>
        <v>97</v>
      </c>
      <c r="AJ79" s="38">
        <f>IF(LEFT($B79,4)="_Mil","",_xlfn.IFNA(ROUND(INDEX(Spectrum!$N:$N,MATCH(RIGHT($B79,13)&amp;"|"&amp;$C79&amp;"|"&amp;$D79&amp;"|"&amp;AJ$14&amp;"|"&amp;"CY2025Q3",Spectrum!$R:$R,0)),0),""))</f>
        <v>4417</v>
      </c>
      <c r="AK79" s="218" t="e">
        <f>#REF!</f>
        <v>#REF!</v>
      </c>
      <c r="AL79" s="33">
        <f t="shared" ref="AL79:AL142" si="25">IF(OR(LEFT($B79,4)="_Mil",$C79="&lt;01"),"",MAX(SUM($AA79),90%))</f>
        <v>0.96183478600000005</v>
      </c>
      <c r="AM79" s="38" t="e">
        <f>IF(OR(LEFT($B79,4)="_Mil",$C79="&lt;01"),"",ROUND(SUM($AK79)*SUM($AL79),0))</f>
        <v>#REF!</v>
      </c>
      <c r="AN79" s="38" t="str">
        <f>IF($C79="&lt;01",ROUND(INDEX(EID!$P:$P,MATCH($B79,EID!$B:$B,0))/2,0),"")</f>
        <v/>
      </c>
      <c r="AO79" s="38" t="e">
        <f>IF($C79="&lt;01",SUM($AN79),ROUND(SUM($AM79)*SUM($O79)/IF(SUM($Z79)=0,1,$Z79),0))</f>
        <v>#REF!</v>
      </c>
      <c r="AP79" s="218">
        <f>IF(OR($F79="",$C79="&lt;01"),$AO79,ROUND($F79,0))</f>
        <v>4655</v>
      </c>
      <c r="AQ79" s="218">
        <f>IF(LEFT($B79,4)="_Mil","",IF(SUM($AP79)=0,SUM($Z79),IF(OR(SUM($Z79)=0,SUM($O79)=0),MAX($AP79,$Z79),ROUND($AP79*$Z79/$O79,0))))</f>
        <v>5547</v>
      </c>
      <c r="AR79" s="33" t="e">
        <f>IF(OR(LEFT($B79,4)="_Mil",SUM($AK79)=0),"",SUM($AQ79)/$AK79)</f>
        <v>#REF!</v>
      </c>
      <c r="AS79" s="33">
        <f>IF($C79="&lt;01","",90%)</f>
        <v>0.9</v>
      </c>
      <c r="AT79" s="33">
        <f>IF($C79="&lt;01","",90%)</f>
        <v>0.9</v>
      </c>
      <c r="AU79" s="38">
        <f>IF($C79="&lt;01","",SUM($AP79)-SUM($O79))</f>
        <v>32</v>
      </c>
      <c r="AV79" s="38">
        <f>IF($C79="&lt;01",ROUND(INDEX(EID!$N:$N,MATCH($B79,EID!$B:$B,0))/2,0),IF(SUM($AT79)=0,"",ROUND((SUM($AP79)-(SUM($O79)*SUM($AS79)))/$AT79,0)))</f>
        <v>549</v>
      </c>
      <c r="AW79" s="33">
        <f t="shared" ref="AW79:AW142" si="26">IF($C79="&lt;01","",100%)</f>
        <v>1</v>
      </c>
      <c r="AX79" s="218">
        <f>IF($C79="&lt;01",SUM($AV79),ROUND(SUM($AV79)*SUM($AW79),0))</f>
        <v>549</v>
      </c>
      <c r="AY79" s="79">
        <f t="shared" ref="AY79:AY142" si="27">IF($C79="&lt;01","",70%)</f>
        <v>0.7</v>
      </c>
      <c r="AZ79" s="85">
        <f>IF($C79="&lt;01",ROUND(INDEX(EID!$R:$R,MATCH($B79,EID!$B:$B,0))/2,0),ROUND(SUM($O79)+(SUM($AV79)*$AY79),0))</f>
        <v>5007</v>
      </c>
      <c r="BA79" s="40">
        <f t="shared" si="14"/>
        <v>0.9</v>
      </c>
      <c r="BB79" s="99">
        <f>IF($C79="&lt;01",ROUND(INDEX(EID!$T:$T,MATCH($B79,EID!$B:$B,0))/2,0),ROUND($AP79*$BA79,0))</f>
        <v>4190</v>
      </c>
      <c r="BC79" s="85">
        <f>IF(LEFT($B79,4)="_Mil","",IF(SUM($BB79)=0,SUM($AD79),IF(OR(SUM($AP79)=0,SUM($AQ79)=0),MAX($BB79,$AD79),ROUND($BB79*$AQ79/$AP79,0))))</f>
        <v>4993</v>
      </c>
      <c r="BD79" s="33">
        <f t="shared" ref="BD79:BD142" si="28">IF($C79="&lt;01","",95%)</f>
        <v>0.95</v>
      </c>
      <c r="BE79" s="218">
        <f>IF($C79="&lt;01",ROUND(INDEX(EID!$V:$V,MATCH($B79,EID!$B:$B,0))/2,0),ROUND($BD79*$BB79,0))</f>
        <v>3981</v>
      </c>
      <c r="BF79" s="218">
        <f>IF(LEFT($B79,4)="_Mil","",IF(SUM($BE79)=0,SUM($AF79),IF(OR(SUM($AP79)=0,SUM($AQ79)=0),MAX($BE79,$AF79),ROUND($BE79*$AQ79/$AP79,0))))</f>
        <v>4744</v>
      </c>
      <c r="BG79" s="79">
        <f t="shared" ref="BG79:BG142" si="29">IF($C79="&lt;01","",95%)</f>
        <v>0.95</v>
      </c>
      <c r="BH79" s="99">
        <f>IF($C79="&lt;01",ROUND(INDEX(EID!$L:$L,MATCH($B79,EID!$B:$B,0)),0)/2,IF(SUM($BG79)=0,"",ROUND($AX79/$BG79,0)))</f>
        <v>578</v>
      </c>
    </row>
    <row r="80" spans="1:60" x14ac:dyDescent="0.2">
      <c r="A80" t="str">
        <f>INDEX(Prioritization!$D:$D,MATCH($B80,Prioritization!$A:$A,0))</f>
        <v>INVALID</v>
      </c>
      <c r="B80" t="s">
        <v>316</v>
      </c>
      <c r="C80" t="s">
        <v>476</v>
      </c>
      <c r="D80" t="s">
        <v>48</v>
      </c>
      <c r="E80" t="str">
        <f t="shared" si="19"/>
        <v>Chiradzulu District [oiPR2CiVJbf]|25-34|Male</v>
      </c>
      <c r="F80" s="229">
        <v>1644</v>
      </c>
      <c r="G80" s="38">
        <v>210</v>
      </c>
      <c r="H80" s="38">
        <v>183</v>
      </c>
      <c r="I80" s="38">
        <v>1292</v>
      </c>
      <c r="J80" s="38">
        <v>660</v>
      </c>
      <c r="K80" s="38">
        <v>593</v>
      </c>
      <c r="L80" s="38">
        <v>92</v>
      </c>
      <c r="M80" s="38">
        <v>86</v>
      </c>
      <c r="N80" s="38">
        <v>2141</v>
      </c>
      <c r="O80" s="229">
        <v>1644</v>
      </c>
      <c r="P80" s="38">
        <v>1903</v>
      </c>
      <c r="Q80" s="38">
        <v>1808</v>
      </c>
      <c r="R80" s="38">
        <f t="shared" si="20"/>
        <v>352</v>
      </c>
      <c r="S80" s="38">
        <f>IF(LEFT($B80,4)="_Mil","",_xlfn.IFNA(ROUND(INDEX(Spectrum!$N:$N,MATCH(RIGHT($B80,13)&amp;"|"&amp;$C80&amp;"|"&amp;$D80&amp;"|"&amp;S$14&amp;"|"&amp;"CY2023Q4",Spectrum!$R:$R,0)),0),""))</f>
        <v>1914</v>
      </c>
      <c r="T80" s="218">
        <f>IF(LEFT($B80,4)="_Mil","",_xlfn.IFNA(ROUND(INDEX(Spectrum!$N:$N,MATCH(RIGHT($B80,13)&amp;"|"&amp;$C80&amp;"|"&amp;$D80&amp;"|"&amp;T$14&amp;"|"&amp;"CY2024Q3",Spectrum!$R:$R,0)),0),""))</f>
        <v>28482</v>
      </c>
      <c r="U80" s="218">
        <f>IF(LEFT($B80,4)="_Mil","",_xlfn.IFNA(ROUND(INDEX(Spectrum!$N:$N,MATCH(RIGHT($B80,13)&amp;"|"&amp;$C80&amp;"|"&amp;$D80&amp;"|"&amp;U$14&amp;"|"&amp;"CY2024Q3",Spectrum!$R:$R,0)),0),""))</f>
        <v>1849</v>
      </c>
      <c r="V80" s="38">
        <f>IF(LEFT($B80,4)="_Mil","",_xlfn.IFNA(ROUND(INDEX(Spectrum!$N:$N,MATCH(RIGHT($B80,13)&amp;"|"&amp;$C80&amp;"|"&amp;$D80&amp;"|"&amp;V$14&amp;"|"&amp;"CY2024Q3",Spectrum!$R:$R,0)),0),""))</f>
        <v>2192</v>
      </c>
      <c r="W80" s="220">
        <f>IF(LEFT($B80,4)="_Mil","",_xlfn.IFNA(INDEX(Spectrum!$N:$N,MATCH(RIGHT($B80,13)&amp;"|"&amp;$C80&amp;"|"&amp;$D80&amp;"|"&amp;W$14&amp;"|"&amp;"CY2024Q3",Spectrum!$R:$R,0)),""))</f>
        <v>6.4902737000000002E-2</v>
      </c>
      <c r="X80" s="218">
        <f>IF(LEFT($B80,4)="_Mil","",_xlfn.IFNA(ROUND(INDEX(Spectrum!$N:$N,MATCH(RIGHT($B80,13)&amp;"|"&amp;$C80&amp;"|"&amp;$D80&amp;"|"&amp;X$14&amp;"|"&amp;"CY2024Q3",Spectrum!$R:$R,0)),0),""))</f>
        <v>1601</v>
      </c>
      <c r="Y80" s="33">
        <f t="shared" si="21"/>
        <v>0.87</v>
      </c>
      <c r="Z80" s="218">
        <f>IF(LEFT($B80,4)="_Mil","",_xlfn.IFNA(ROUND(INDEX(Spectrum!$N:$N,MATCH(RIGHT($B80,13)&amp;"|"&amp;$C80&amp;"|"&amp;$D80&amp;"|"&amp;Z$14&amp;"|"&amp;"CY2024Q3",Spectrum!$R:$R,0)),0),""))</f>
        <v>1913</v>
      </c>
      <c r="AA80" s="33">
        <f>IF(LEFT($B80,4)="_Mil","",IFERROR(1/(1/INDEX(Spectrum!$N:$N,MATCH(RIGHT($B80,13)&amp;"|"&amp;$C80&amp;"|"&amp;$D80&amp;"|"&amp;AA$14&amp;"|"&amp;"CY2024Q3",Spectrum!$R:$R,0))),IF(SUM($U80)=0,"",SUM($Z80)/$U80)))</f>
        <v>0.85752875299999987</v>
      </c>
      <c r="AB80" s="33">
        <f t="shared" si="22"/>
        <v>1.1948782011242973</v>
      </c>
      <c r="AC80" s="38">
        <f>IF(LEFT($B80,4)="_Mil","",_xlfn.IFNA(ROUND(INDEX(Spectrum!$N:$N,MATCH(RIGHT($B80,13)&amp;"|"&amp;$C80&amp;"|"&amp;$D80&amp;"|"&amp;AC$14&amp;"|"&amp;"CY2024Q3",Spectrum!$R:$R,0)),0),""))</f>
        <v>279</v>
      </c>
      <c r="AD80" s="38" t="str">
        <f>IF(LEFT($B80,4)="_Mil","",_xlfn.IFNA(ROUND(INDEX(Spectrum!$N:$N,MATCH(RIGHT($B80,13)&amp;"|"&amp;$C80&amp;"|"&amp;$D80&amp;"|"&amp;AD$14&amp;"|"&amp;"CY2024Q3",Spectrum!$R:$R,0)),0),""))</f>
        <v/>
      </c>
      <c r="AE80" s="33">
        <f t="shared" si="23"/>
        <v>0</v>
      </c>
      <c r="AF80" s="218" t="str">
        <f>IF(LEFT($B80,4)="_Mil","",_xlfn.IFNA(ROUND(INDEX(Spectrum!$N:$N,MATCH(RIGHT($B80,13)&amp;"|"&amp;$C80&amp;"|"&amp;$D80&amp;"|"&amp;AF$14&amp;"|"&amp;"CY2024Q3",Spectrum!$R:$R,0)),0),""))</f>
        <v/>
      </c>
      <c r="AG80" s="33" t="str">
        <f t="shared" si="24"/>
        <v/>
      </c>
      <c r="AH80" s="110" t="str">
        <f>IF(LEFT($B80,4)="_Mil","",_xlfn.IFNA(INDEX(Spectrum!$N:$N,MATCH(RIGHT($B80,13)&amp;"|"&amp;$C80&amp;"|"&amp;$D80&amp;"|"&amp;AH$14&amp;"|"&amp;"CY2024Q3",Spectrum!$R:$R,0)),""))</f>
        <v/>
      </c>
      <c r="AI80" s="218">
        <f>IF(LEFT($B80,4)="_Mil","",_xlfn.IFNA(ROUND(INDEX(Spectrum!$N:$N,MATCH(RIGHT($B80,13)&amp;"|"&amp;$C80&amp;"|"&amp;$D80&amp;"|"&amp;AI$14&amp;"|"&amp;"CY2025Q3",Spectrum!$R:$R,0)),0),""))</f>
        <v>57</v>
      </c>
      <c r="AJ80" s="38">
        <f>IF(LEFT($B80,4)="_Mil","",_xlfn.IFNA(ROUND(INDEX(Spectrum!$N:$N,MATCH(RIGHT($B80,13)&amp;"|"&amp;$C80&amp;"|"&amp;$D80&amp;"|"&amp;AJ$14&amp;"|"&amp;"CY2025Q3",Spectrum!$R:$R,0)),0),""))</f>
        <v>1772</v>
      </c>
      <c r="AK80" s="218" t="e">
        <f>#REF!</f>
        <v>#REF!</v>
      </c>
      <c r="AL80" s="33">
        <f t="shared" si="25"/>
        <v>0.9</v>
      </c>
      <c r="AM80" s="38" t="e">
        <f>IF(OR(LEFT($B80,4)="_Mil",$C80="&lt;01"),"",ROUND(SUM($AK80)*SUM($AL80),0))</f>
        <v>#REF!</v>
      </c>
      <c r="AN80" s="38" t="str">
        <f>IF($C80="&lt;01",ROUND(INDEX(EID!$P:$P,MATCH($B80,EID!$B:$B,0))/2,0),"")</f>
        <v/>
      </c>
      <c r="AO80" s="38" t="e">
        <f>IF($C80="&lt;01",SUM($AN80),ROUND(SUM($AM80)*SUM($O80)/IF(SUM($Z80)=0,1,$Z80),0))</f>
        <v>#REF!</v>
      </c>
      <c r="AP80" s="218">
        <f>IF(OR($F80="",$C80="&lt;01"),$AO80,ROUND($F80,0))</f>
        <v>1644</v>
      </c>
      <c r="AQ80" s="218">
        <f>IF(LEFT($B80,4)="_Mil","",IF(SUM($AP80)=0,SUM($Z80),IF(OR(SUM($Z80)=0,SUM($O80)=0),MAX($AP80,$Z80),ROUND($AP80*$Z80/$O80,0))))</f>
        <v>1913</v>
      </c>
      <c r="AR80" s="33" t="e">
        <f>IF(OR(LEFT($B80,4)="_Mil",SUM($AK80)=0),"",SUM($AQ80)/$AK80)</f>
        <v>#REF!</v>
      </c>
      <c r="AS80" s="33">
        <v>0.9</v>
      </c>
      <c r="AT80" s="33">
        <f t="shared" si="16"/>
        <v>0.98</v>
      </c>
      <c r="AU80" s="38">
        <f>IF($C80="&lt;01","",SUM($AP80)-SUM($O80))</f>
        <v>0</v>
      </c>
      <c r="AV80" s="38">
        <f>IF($C80="&lt;01",ROUND(INDEX(EID!$N:$N,MATCH($B80,EID!$B:$B,0))/2,0),IF(SUM($AT80)=0,"",ROUND((SUM($AP80)-(SUM($O80)*SUM($AS80)))/$AT80,0)))</f>
        <v>168</v>
      </c>
      <c r="AW80" s="33">
        <f t="shared" si="26"/>
        <v>1</v>
      </c>
      <c r="AX80" s="218">
        <f>IF($C80="&lt;01",SUM($AV80),ROUND(SUM($AV80)*SUM($AW80),0))</f>
        <v>168</v>
      </c>
      <c r="AY80" s="79">
        <f t="shared" si="27"/>
        <v>0.7</v>
      </c>
      <c r="AZ80" s="85">
        <f>IF($C80="&lt;01",ROUND(INDEX(EID!$R:$R,MATCH($B80,EID!$B:$B,0))/2,0),ROUND(SUM($O80)+(SUM($AV80)*$AY80),0))</f>
        <v>1762</v>
      </c>
      <c r="BA80" s="40">
        <f t="shared" si="14"/>
        <v>0.9</v>
      </c>
      <c r="BB80" s="99">
        <f>IF($C80="&lt;01",ROUND(INDEX(EID!$T:$T,MATCH($B80,EID!$B:$B,0))/2,0),ROUND($AP80*$BA80,0))</f>
        <v>1480</v>
      </c>
      <c r="BC80" s="85">
        <f>IF(LEFT($B80,4)="_Mil","",IF(SUM($BB80)=0,SUM($AD80),IF(OR(SUM($AP80)=0,SUM($AQ80)=0),MAX($BB80,$AD80),ROUND($BB80*$AQ80/$AP80,0))))</f>
        <v>1722</v>
      </c>
      <c r="BD80" s="33">
        <f t="shared" si="28"/>
        <v>0.95</v>
      </c>
      <c r="BE80" s="218">
        <f>IF($C80="&lt;01",ROUND(INDEX(EID!$V:$V,MATCH($B80,EID!$B:$B,0))/2,0),ROUND($BD80*$BB80,0))</f>
        <v>1406</v>
      </c>
      <c r="BF80" s="218">
        <f>IF(LEFT($B80,4)="_Mil","",IF(SUM($BE80)=0,SUM($AF80),IF(OR(SUM($AP80)=0,SUM($AQ80)=0),MAX($BE80,$AF80),ROUND($BE80*$AQ80/$AP80,0))))</f>
        <v>1636</v>
      </c>
      <c r="BG80" s="79">
        <f t="shared" si="29"/>
        <v>0.95</v>
      </c>
      <c r="BH80" s="99">
        <f>IF($C80="&lt;01",ROUND(INDEX(EID!$L:$L,MATCH($B80,EID!$B:$B,0)),0)/2,IF(SUM($BG80)=0,"",ROUND($AX80/$BG80,0)))</f>
        <v>177</v>
      </c>
    </row>
    <row r="81" spans="1:60" x14ac:dyDescent="0.2">
      <c r="A81" t="str">
        <f>INDEX(Prioritization!$D:$D,MATCH($B81,Prioritization!$A:$A,0))</f>
        <v>INVALID</v>
      </c>
      <c r="B81" t="s">
        <v>316</v>
      </c>
      <c r="C81" t="s">
        <v>477</v>
      </c>
      <c r="D81" t="s">
        <v>30</v>
      </c>
      <c r="E81" t="str">
        <f t="shared" si="19"/>
        <v>Chiradzulu District [oiPR2CiVJbf]|35-49|Female</v>
      </c>
      <c r="F81" s="229">
        <v>14039</v>
      </c>
      <c r="G81" s="38">
        <v>293</v>
      </c>
      <c r="H81" s="38">
        <v>297</v>
      </c>
      <c r="I81" s="38">
        <v>14039</v>
      </c>
      <c r="J81" s="38">
        <v>10121</v>
      </c>
      <c r="K81" s="38">
        <v>9365</v>
      </c>
      <c r="L81" s="38">
        <v>268</v>
      </c>
      <c r="M81" s="38">
        <v>261</v>
      </c>
      <c r="N81" s="38">
        <v>13805</v>
      </c>
      <c r="O81" s="229">
        <v>14039</v>
      </c>
      <c r="P81" s="38">
        <v>12477</v>
      </c>
      <c r="Q81" s="38">
        <v>11853</v>
      </c>
      <c r="R81" s="38">
        <f t="shared" si="20"/>
        <v>0</v>
      </c>
      <c r="S81" s="38">
        <f>IF(LEFT($B81,4)="_Mil","",_xlfn.IFNA(ROUND(INDEX(Spectrum!$N:$N,MATCH(RIGHT($B81,13)&amp;"|"&amp;$C81&amp;"|"&amp;$D81&amp;"|"&amp;S$14&amp;"|"&amp;"CY2023Q4",Spectrum!$R:$R,0)),0),""))</f>
        <v>13941</v>
      </c>
      <c r="T81" s="218">
        <f>IF(LEFT($B81,4)="_Mil","",_xlfn.IFNA(ROUND(INDEX(Spectrum!$N:$N,MATCH(RIGHT($B81,13)&amp;"|"&amp;$C81&amp;"|"&amp;$D81&amp;"|"&amp;T$14&amp;"|"&amp;"CY2024Q3",Spectrum!$R:$R,0)),0),""))</f>
        <v>35377</v>
      </c>
      <c r="U81" s="218">
        <f>IF(LEFT($B81,4)="_Mil","",_xlfn.IFNA(ROUND(INDEX(Spectrum!$N:$N,MATCH(RIGHT($B81,13)&amp;"|"&amp;$C81&amp;"|"&amp;$D81&amp;"|"&amp;U$14&amp;"|"&amp;"CY2024Q3",Spectrum!$R:$R,0)),0),""))</f>
        <v>11832</v>
      </c>
      <c r="V81" s="38">
        <f>IF(LEFT($B81,4)="_Mil","",_xlfn.IFNA(ROUND(INDEX(Spectrum!$N:$N,MATCH(RIGHT($B81,13)&amp;"|"&amp;$C81&amp;"|"&amp;$D81&amp;"|"&amp;V$14&amp;"|"&amp;"CY2024Q3",Spectrum!$R:$R,0)),0),""))</f>
        <v>14225</v>
      </c>
      <c r="W81" s="220">
        <f>IF(LEFT($B81,4)="_Mil","",_xlfn.IFNA(INDEX(Spectrum!$N:$N,MATCH(RIGHT($B81,13)&amp;"|"&amp;$C81&amp;"|"&amp;$D81&amp;"|"&amp;W$14&amp;"|"&amp;"CY2024Q3",Spectrum!$R:$R,0)),""))</f>
        <v>0.33444923300000001</v>
      </c>
      <c r="X81" s="218">
        <f>IF(LEFT($B81,4)="_Mil","",_xlfn.IFNA(ROUND(INDEX(Spectrum!$N:$N,MATCH(RIGHT($B81,13)&amp;"|"&amp;$C81&amp;"|"&amp;$D81&amp;"|"&amp;X$14&amp;"|"&amp;"CY2024Q3",Spectrum!$R:$R,0)),0),""))</f>
        <v>11612</v>
      </c>
      <c r="Y81" s="33">
        <f t="shared" si="21"/>
        <v>0.98</v>
      </c>
      <c r="Z81" s="218">
        <f>IF(LEFT($B81,4)="_Mil","",_xlfn.IFNA(ROUND(INDEX(Spectrum!$N:$N,MATCH(RIGHT($B81,13)&amp;"|"&amp;$C81&amp;"|"&amp;$D81&amp;"|"&amp;Z$14&amp;"|"&amp;"CY2024Q3",Spectrum!$R:$R,0)),0),""))</f>
        <v>13976</v>
      </c>
      <c r="AA81" s="33">
        <f>IF(LEFT($B81,4)="_Mil","",IFERROR(1/(1/INDEX(Spectrum!$N:$N,MATCH(RIGHT($B81,13)&amp;"|"&amp;$C81&amp;"|"&amp;$D81&amp;"|"&amp;AA$14&amp;"|"&amp;"CY2024Q3",Spectrum!$R:$R,0))),IF(SUM($U81)=0,"",SUM($Z81)/$U81)))</f>
        <v>0.98102772299999985</v>
      </c>
      <c r="AB81" s="33">
        <f t="shared" si="22"/>
        <v>1.203582500861178</v>
      </c>
      <c r="AC81" s="38">
        <f>IF(LEFT($B81,4)="_Mil","",_xlfn.IFNA(ROUND(INDEX(Spectrum!$N:$N,MATCH(RIGHT($B81,13)&amp;"|"&amp;$C81&amp;"|"&amp;$D81&amp;"|"&amp;AC$14&amp;"|"&amp;"CY2024Q3",Spectrum!$R:$R,0)),0),""))</f>
        <v>249</v>
      </c>
      <c r="AD81" s="38" t="str">
        <f>IF(LEFT($B81,4)="_Mil","",_xlfn.IFNA(ROUND(INDEX(Spectrum!$N:$N,MATCH(RIGHT($B81,13)&amp;"|"&amp;$C81&amp;"|"&amp;$D81&amp;"|"&amp;AD$14&amp;"|"&amp;"CY2024Q3",Spectrum!$R:$R,0)),0),""))</f>
        <v/>
      </c>
      <c r="AE81" s="33">
        <f t="shared" si="23"/>
        <v>0</v>
      </c>
      <c r="AF81" s="218" t="str">
        <f>IF(LEFT($B81,4)="_Mil","",_xlfn.IFNA(ROUND(INDEX(Spectrum!$N:$N,MATCH(RIGHT($B81,13)&amp;"|"&amp;$C81&amp;"|"&amp;$D81&amp;"|"&amp;AF$14&amp;"|"&amp;"CY2024Q3",Spectrum!$R:$R,0)),0),""))</f>
        <v/>
      </c>
      <c r="AG81" s="33" t="str">
        <f t="shared" si="24"/>
        <v/>
      </c>
      <c r="AH81" s="110" t="str">
        <f>IF(LEFT($B81,4)="_Mil","",_xlfn.IFNA(INDEX(Spectrum!$N:$N,MATCH(RIGHT($B81,13)&amp;"|"&amp;$C81&amp;"|"&amp;$D81&amp;"|"&amp;AH$14&amp;"|"&amp;"CY2024Q3",Spectrum!$R:$R,0)),""))</f>
        <v/>
      </c>
      <c r="AI81" s="218">
        <f>IF(LEFT($B81,4)="_Mil","",_xlfn.IFNA(ROUND(INDEX(Spectrum!$N:$N,MATCH(RIGHT($B81,13)&amp;"|"&amp;$C81&amp;"|"&amp;$D81&amp;"|"&amp;AI$14&amp;"|"&amp;"CY2025Q3",Spectrum!$R:$R,0)),0),""))</f>
        <v>48</v>
      </c>
      <c r="AJ81" s="38">
        <f>IF(LEFT($B81,4)="_Mil","",_xlfn.IFNA(ROUND(INDEX(Spectrum!$N:$N,MATCH(RIGHT($B81,13)&amp;"|"&amp;$C81&amp;"|"&amp;$D81&amp;"|"&amp;AJ$14&amp;"|"&amp;"CY2025Q3",Spectrum!$R:$R,0)),0),""))</f>
        <v>11811</v>
      </c>
      <c r="AK81" s="218" t="e">
        <f>#REF!</f>
        <v>#REF!</v>
      </c>
      <c r="AL81" s="33">
        <f t="shared" si="25"/>
        <v>0.98102772299999985</v>
      </c>
      <c r="AM81" s="38" t="e">
        <f>IF(OR(LEFT($B81,4)="_Mil",$C81="&lt;01"),"",ROUND(SUM($AK81)*SUM($AL81),0))</f>
        <v>#REF!</v>
      </c>
      <c r="AN81" s="38" t="str">
        <f>IF($C81="&lt;01",ROUND(INDEX(EID!$P:$P,MATCH($B81,EID!$B:$B,0))/2,0),"")</f>
        <v/>
      </c>
      <c r="AO81" s="38" t="e">
        <f>IF($C81="&lt;01",SUM($AN81),ROUND(SUM($AM81)*SUM($O81)/IF(SUM($Z81)=0,1,$Z81),0))</f>
        <v>#REF!</v>
      </c>
      <c r="AP81" s="218">
        <f>IF(OR($F81="",$C81="&lt;01"),$AO81,ROUND($F81,0))</f>
        <v>14039</v>
      </c>
      <c r="AQ81" s="218">
        <f>IF(LEFT($B81,4)="_Mil","",IF(SUM($AP81)=0,SUM($Z81),IF(OR(SUM($Z81)=0,SUM($O81)=0),MAX($AP81,$Z81),ROUND($AP81*$Z81/$O81,0))))</f>
        <v>13976</v>
      </c>
      <c r="AR81" s="33" t="e">
        <f>IF(OR(LEFT($B81,4)="_Mil",SUM($AK81)=0),"",SUM($AQ81)/$AK81)</f>
        <v>#REF!</v>
      </c>
      <c r="AS81" s="33">
        <f t="shared" si="18"/>
        <v>0.98</v>
      </c>
      <c r="AT81" s="33">
        <f t="shared" si="16"/>
        <v>0.98</v>
      </c>
      <c r="AU81" s="38">
        <f>IF($C81="&lt;01","",SUM($AP81)-SUM($O81))</f>
        <v>0</v>
      </c>
      <c r="AV81" s="38">
        <f>IF($C81="&lt;01",ROUND(INDEX(EID!$N:$N,MATCH($B81,EID!$B:$B,0))/2,0),IF(SUM($AT81)=0,"",ROUND((SUM($AP81)-(SUM($O81)*SUM($AS81)))/$AT81,0)))</f>
        <v>287</v>
      </c>
      <c r="AW81" s="33">
        <f t="shared" si="26"/>
        <v>1</v>
      </c>
      <c r="AX81" s="218">
        <f>IF($C81="&lt;01",SUM($AV81),ROUND(SUM($AV81)*SUM($AW81),0))</f>
        <v>287</v>
      </c>
      <c r="AY81" s="79">
        <f t="shared" si="27"/>
        <v>0.7</v>
      </c>
      <c r="AZ81" s="85">
        <f>IF($C81="&lt;01",ROUND(INDEX(EID!$R:$R,MATCH($B81,EID!$B:$B,0))/2,0),ROUND(SUM($O81)+(SUM($AV81)*$AY81),0))</f>
        <v>14240</v>
      </c>
      <c r="BA81" s="40">
        <f t="shared" si="14"/>
        <v>0.9</v>
      </c>
      <c r="BB81" s="99">
        <f>IF($C81="&lt;01",ROUND(INDEX(EID!$T:$T,MATCH($B81,EID!$B:$B,0))/2,0),ROUND($AP81*$BA81,0))</f>
        <v>12635</v>
      </c>
      <c r="BC81" s="85">
        <f>IF(LEFT($B81,4)="_Mil","",IF(SUM($BB81)=0,SUM($AD81),IF(OR(SUM($AP81)=0,SUM($AQ81)=0),MAX($BB81,$AD81),ROUND($BB81*$AQ81/$AP81,0))))</f>
        <v>12578</v>
      </c>
      <c r="BD81" s="33">
        <f t="shared" si="28"/>
        <v>0.95</v>
      </c>
      <c r="BE81" s="218">
        <f>IF($C81="&lt;01",ROUND(INDEX(EID!$V:$V,MATCH($B81,EID!$B:$B,0))/2,0),ROUND($BD81*$BB81,0))</f>
        <v>12003</v>
      </c>
      <c r="BF81" s="218">
        <f>IF(LEFT($B81,4)="_Mil","",IF(SUM($BE81)=0,SUM($AF81),IF(OR(SUM($AP81)=0,SUM($AQ81)=0),MAX($BE81,$AF81),ROUND($BE81*$AQ81/$AP81,0))))</f>
        <v>11949</v>
      </c>
      <c r="BG81" s="79">
        <f t="shared" si="29"/>
        <v>0.95</v>
      </c>
      <c r="BH81" s="99">
        <f>IF($C81="&lt;01",ROUND(INDEX(EID!$L:$L,MATCH($B81,EID!$B:$B,0)),0)/2,IF(SUM($BG81)=0,"",ROUND($AX81/$BG81,0)))</f>
        <v>302</v>
      </c>
    </row>
    <row r="82" spans="1:60" x14ac:dyDescent="0.2">
      <c r="A82" t="str">
        <f>INDEX(Prioritization!$D:$D,MATCH($B82,Prioritization!$A:$A,0))</f>
        <v>INVALID</v>
      </c>
      <c r="B82" t="s">
        <v>316</v>
      </c>
      <c r="C82" t="s">
        <v>477</v>
      </c>
      <c r="D82" t="s">
        <v>48</v>
      </c>
      <c r="E82" t="str">
        <f t="shared" si="19"/>
        <v>Chiradzulu District [oiPR2CiVJbf]|35-49|Male</v>
      </c>
      <c r="F82" s="229">
        <v>6303</v>
      </c>
      <c r="G82" s="38">
        <v>360</v>
      </c>
      <c r="H82" s="38">
        <v>362</v>
      </c>
      <c r="I82" s="38">
        <v>6303</v>
      </c>
      <c r="J82" s="38">
        <v>4006</v>
      </c>
      <c r="K82" s="38">
        <v>3660</v>
      </c>
      <c r="L82" s="38">
        <v>411</v>
      </c>
      <c r="M82" s="38">
        <v>391</v>
      </c>
      <c r="N82" s="38">
        <v>7234</v>
      </c>
      <c r="O82" s="229">
        <v>6303</v>
      </c>
      <c r="P82" s="38">
        <v>6315</v>
      </c>
      <c r="Q82" s="38">
        <v>6000</v>
      </c>
      <c r="R82" s="38">
        <f t="shared" si="20"/>
        <v>0</v>
      </c>
      <c r="S82" s="38">
        <f>IF(LEFT($B82,4)="_Mil","",_xlfn.IFNA(ROUND(INDEX(Spectrum!$N:$N,MATCH(RIGHT($B82,13)&amp;"|"&amp;$C82&amp;"|"&amp;$D82&amp;"|"&amp;S$14&amp;"|"&amp;"CY2023Q4",Spectrum!$R:$R,0)),0),""))</f>
        <v>6894</v>
      </c>
      <c r="T82" s="218">
        <f>IF(LEFT($B82,4)="_Mil","",_xlfn.IFNA(ROUND(INDEX(Spectrum!$N:$N,MATCH(RIGHT($B82,13)&amp;"|"&amp;$C82&amp;"|"&amp;$D82&amp;"|"&amp;T$14&amp;"|"&amp;"CY2024Q3",Spectrum!$R:$R,0)),0),""))</f>
        <v>26689</v>
      </c>
      <c r="U82" s="218">
        <f>IF(LEFT($B82,4)="_Mil","",_xlfn.IFNA(ROUND(INDEX(Spectrum!$N:$N,MATCH(RIGHT($B82,13)&amp;"|"&amp;$C82&amp;"|"&amp;$D82&amp;"|"&amp;U$14&amp;"|"&amp;"CY2024Q3",Spectrum!$R:$R,0)),0),""))</f>
        <v>6138</v>
      </c>
      <c r="V82" s="38">
        <f>IF(LEFT($B82,4)="_Mil","",_xlfn.IFNA(ROUND(INDEX(Spectrum!$N:$N,MATCH(RIGHT($B82,13)&amp;"|"&amp;$C82&amp;"|"&amp;$D82&amp;"|"&amp;V$14&amp;"|"&amp;"CY2024Q3",Spectrum!$R:$R,0)),0),""))</f>
        <v>7425</v>
      </c>
      <c r="W82" s="220">
        <f>IF(LEFT($B82,4)="_Mil","",_xlfn.IFNA(INDEX(Spectrum!$N:$N,MATCH(RIGHT($B82,13)&amp;"|"&amp;$C82&amp;"|"&amp;$D82&amp;"|"&amp;W$14&amp;"|"&amp;"CY2024Q3",Spectrum!$R:$R,0)),""))</f>
        <v>0.22998005099999999</v>
      </c>
      <c r="X82" s="218">
        <f>IF(LEFT($B82,4)="_Mil","",_xlfn.IFNA(ROUND(INDEX(Spectrum!$N:$N,MATCH(RIGHT($B82,13)&amp;"|"&amp;$C82&amp;"|"&amp;$D82&amp;"|"&amp;X$14&amp;"|"&amp;"CY2024Q3",Spectrum!$R:$R,0)),0),""))</f>
        <v>5627</v>
      </c>
      <c r="Y82" s="33">
        <f t="shared" si="21"/>
        <v>0.92</v>
      </c>
      <c r="Z82" s="218">
        <f>IF(LEFT($B82,4)="_Mil","",_xlfn.IFNA(ROUND(INDEX(Spectrum!$N:$N,MATCH(RIGHT($B82,13)&amp;"|"&amp;$C82&amp;"|"&amp;$D82&amp;"|"&amp;Z$14&amp;"|"&amp;"CY2024Q3",Spectrum!$R:$R,0)),0),""))</f>
        <v>6856</v>
      </c>
      <c r="AA82" s="33">
        <f>IF(LEFT($B82,4)="_Mil","",IFERROR(1/(1/INDEX(Spectrum!$N:$N,MATCH(RIGHT($B82,13)&amp;"|"&amp;$C82&amp;"|"&amp;$D82&amp;"|"&amp;AA$14&amp;"|"&amp;"CY2024Q3",Spectrum!$R:$R,0))),IF(SUM($U82)=0,"",SUM($Z82)/$U82)))</f>
        <v>0.91152878199999998</v>
      </c>
      <c r="AB82" s="33">
        <f t="shared" si="22"/>
        <v>1.2184112315621112</v>
      </c>
      <c r="AC82" s="38">
        <f>IF(LEFT($B82,4)="_Mil","",_xlfn.IFNA(ROUND(INDEX(Spectrum!$N:$N,MATCH(RIGHT($B82,13)&amp;"|"&amp;$C82&amp;"|"&amp;$D82&amp;"|"&amp;AC$14&amp;"|"&amp;"CY2024Q3",Spectrum!$R:$R,0)),0),""))</f>
        <v>569</v>
      </c>
      <c r="AD82" s="38" t="str">
        <f>IF(LEFT($B82,4)="_Mil","",_xlfn.IFNA(ROUND(INDEX(Spectrum!$N:$N,MATCH(RIGHT($B82,13)&amp;"|"&amp;$C82&amp;"|"&amp;$D82&amp;"|"&amp;AD$14&amp;"|"&amp;"CY2024Q3",Spectrum!$R:$R,0)),0),""))</f>
        <v/>
      </c>
      <c r="AE82" s="33">
        <f t="shared" si="23"/>
        <v>0</v>
      </c>
      <c r="AF82" s="218" t="str">
        <f>IF(LEFT($B82,4)="_Mil","",_xlfn.IFNA(ROUND(INDEX(Spectrum!$N:$N,MATCH(RIGHT($B82,13)&amp;"|"&amp;$C82&amp;"|"&amp;$D82&amp;"|"&amp;AF$14&amp;"|"&amp;"CY2024Q3",Spectrum!$R:$R,0)),0),""))</f>
        <v/>
      </c>
      <c r="AG82" s="33" t="str">
        <f t="shared" si="24"/>
        <v/>
      </c>
      <c r="AH82" s="110" t="str">
        <f>IF(LEFT($B82,4)="_Mil","",_xlfn.IFNA(INDEX(Spectrum!$N:$N,MATCH(RIGHT($B82,13)&amp;"|"&amp;$C82&amp;"|"&amp;$D82&amp;"|"&amp;AH$14&amp;"|"&amp;"CY2024Q3",Spectrum!$R:$R,0)),""))</f>
        <v/>
      </c>
      <c r="AI82" s="218">
        <f>IF(LEFT($B82,4)="_Mil","",_xlfn.IFNA(ROUND(INDEX(Spectrum!$N:$N,MATCH(RIGHT($B82,13)&amp;"|"&amp;$C82&amp;"|"&amp;$D82&amp;"|"&amp;AI$14&amp;"|"&amp;"CY2025Q3",Spectrum!$R:$R,0)),0),""))</f>
        <v>51</v>
      </c>
      <c r="AJ82" s="38">
        <f>IF(LEFT($B82,4)="_Mil","",_xlfn.IFNA(ROUND(INDEX(Spectrum!$N:$N,MATCH(RIGHT($B82,13)&amp;"|"&amp;$C82&amp;"|"&amp;$D82&amp;"|"&amp;AJ$14&amp;"|"&amp;"CY2025Q3",Spectrum!$R:$R,0)),0),""))</f>
        <v>5893</v>
      </c>
      <c r="AK82" s="218" t="e">
        <f>#REF!</f>
        <v>#REF!</v>
      </c>
      <c r="AL82" s="33">
        <f t="shared" si="25"/>
        <v>0.91152878199999998</v>
      </c>
      <c r="AM82" s="38" t="e">
        <f>IF(OR(LEFT($B82,4)="_Mil",$C82="&lt;01"),"",ROUND(SUM($AK82)*SUM($AL82),0))</f>
        <v>#REF!</v>
      </c>
      <c r="AN82" s="38" t="str">
        <f>IF($C82="&lt;01",ROUND(INDEX(EID!$P:$P,MATCH($B82,EID!$B:$B,0))/2,0),"")</f>
        <v/>
      </c>
      <c r="AO82" s="38" t="e">
        <f>IF($C82="&lt;01",SUM($AN82),ROUND(SUM($AM82)*SUM($O82)/IF(SUM($Z82)=0,1,$Z82),0))</f>
        <v>#REF!</v>
      </c>
      <c r="AP82" s="218">
        <f>IF(OR($F82="",$C82="&lt;01"),$AO82,ROUND($F82,0))</f>
        <v>6303</v>
      </c>
      <c r="AQ82" s="218">
        <f>IF(LEFT($B82,4)="_Mil","",IF(SUM($AP82)=0,SUM($Z82),IF(OR(SUM($Z82)=0,SUM($O82)=0),MAX($AP82,$Z82),ROUND($AP82*$Z82/$O82,0))))</f>
        <v>6856</v>
      </c>
      <c r="AR82" s="33" t="e">
        <f>IF(OR(LEFT($B82,4)="_Mil",SUM($AK82)=0),"",SUM($AQ82)/$AK82)</f>
        <v>#REF!</v>
      </c>
      <c r="AS82" s="33">
        <v>0.9</v>
      </c>
      <c r="AT82" s="33">
        <f t="shared" si="16"/>
        <v>0.98</v>
      </c>
      <c r="AU82" s="38">
        <f>IF($C82="&lt;01","",SUM($AP82)-SUM($O82))</f>
        <v>0</v>
      </c>
      <c r="AV82" s="38">
        <f>IF($C82="&lt;01",ROUND(INDEX(EID!$N:$N,MATCH($B82,EID!$B:$B,0))/2,0),IF(SUM($AT82)=0,"",ROUND((SUM($AP82)-(SUM($O82)*SUM($AS82)))/$AT82,0)))</f>
        <v>643</v>
      </c>
      <c r="AW82" s="33">
        <f t="shared" si="26"/>
        <v>1</v>
      </c>
      <c r="AX82" s="218">
        <f>IF($C82="&lt;01",SUM($AV82),ROUND(SUM($AV82)*SUM($AW82),0))</f>
        <v>643</v>
      </c>
      <c r="AY82" s="79">
        <f t="shared" si="27"/>
        <v>0.7</v>
      </c>
      <c r="AZ82" s="85">
        <f>IF($C82="&lt;01",ROUND(INDEX(EID!$R:$R,MATCH($B82,EID!$B:$B,0))/2,0),ROUND(SUM($O82)+(SUM($AV82)*$AY82),0))</f>
        <v>6753</v>
      </c>
      <c r="BA82" s="40">
        <f t="shared" si="14"/>
        <v>0.9</v>
      </c>
      <c r="BB82" s="99">
        <f>IF($C82="&lt;01",ROUND(INDEX(EID!$T:$T,MATCH($B82,EID!$B:$B,0))/2,0),ROUND($AP82*$BA82,0))</f>
        <v>5673</v>
      </c>
      <c r="BC82" s="85">
        <f>IF(LEFT($B82,4)="_Mil","",IF(SUM($BB82)=0,SUM($AD82),IF(OR(SUM($AP82)=0,SUM($AQ82)=0),MAX($BB82,$AD82),ROUND($BB82*$AQ82/$AP82,0))))</f>
        <v>6171</v>
      </c>
      <c r="BD82" s="33">
        <f t="shared" si="28"/>
        <v>0.95</v>
      </c>
      <c r="BE82" s="218">
        <f>IF($C82="&lt;01",ROUND(INDEX(EID!$V:$V,MATCH($B82,EID!$B:$B,0))/2,0),ROUND($BD82*$BB82,0))</f>
        <v>5389</v>
      </c>
      <c r="BF82" s="218">
        <f>IF(LEFT($B82,4)="_Mil","",IF(SUM($BE82)=0,SUM($AF82),IF(OR(SUM($AP82)=0,SUM($AQ82)=0),MAX($BE82,$AF82),ROUND($BE82*$AQ82/$AP82,0))))</f>
        <v>5862</v>
      </c>
      <c r="BG82" s="79">
        <f t="shared" si="29"/>
        <v>0.95</v>
      </c>
      <c r="BH82" s="99">
        <f>IF($C82="&lt;01",ROUND(INDEX(EID!$L:$L,MATCH($B82,EID!$B:$B,0)),0)/2,IF(SUM($BG82)=0,"",ROUND($AX82/$BG82,0)))</f>
        <v>677</v>
      </c>
    </row>
    <row r="83" spans="1:60" x14ac:dyDescent="0.2">
      <c r="A83" t="str">
        <f>INDEX(Prioritization!$D:$D,MATCH($B83,Prioritization!$A:$A,0))</f>
        <v>INVALID</v>
      </c>
      <c r="B83" t="s">
        <v>316</v>
      </c>
      <c r="C83" t="s">
        <v>478</v>
      </c>
      <c r="D83" t="s">
        <v>30</v>
      </c>
      <c r="E83" t="str">
        <f t="shared" si="19"/>
        <v>Chiradzulu District [oiPR2CiVJbf]|50+|Female</v>
      </c>
      <c r="F83" s="229">
        <v>7805</v>
      </c>
      <c r="G83" s="38">
        <v>75</v>
      </c>
      <c r="H83" s="38">
        <v>72</v>
      </c>
      <c r="I83" s="38">
        <v>8225</v>
      </c>
      <c r="J83" s="38">
        <v>5890</v>
      </c>
      <c r="K83" s="38">
        <v>5463</v>
      </c>
      <c r="L83" s="38">
        <v>160</v>
      </c>
      <c r="M83" s="38">
        <v>157</v>
      </c>
      <c r="N83" s="38">
        <v>6990</v>
      </c>
      <c r="O83" s="229">
        <v>7497</v>
      </c>
      <c r="P83" s="38">
        <v>6278</v>
      </c>
      <c r="Q83" s="38">
        <v>5963</v>
      </c>
      <c r="R83" s="38">
        <f t="shared" si="20"/>
        <v>-728</v>
      </c>
      <c r="S83" s="38">
        <f>IF(LEFT($B83,4)="_Mil","",_xlfn.IFNA(ROUND(INDEX(Spectrum!$N:$N,MATCH(RIGHT($B83,13)&amp;"|"&amp;$C83&amp;"|"&amp;$D83&amp;"|"&amp;S$14&amp;"|"&amp;"CY2023Q4",Spectrum!$R:$R,0)),0),""))</f>
        <v>7046</v>
      </c>
      <c r="T83" s="218">
        <f>IF(LEFT($B83,4)="_Mil","",_xlfn.IFNA(ROUND(INDEX(Spectrum!$N:$N,MATCH(RIGHT($B83,13)&amp;"|"&amp;$C83&amp;"|"&amp;$D83&amp;"|"&amp;T$14&amp;"|"&amp;"CY2024Q3",Spectrum!$R:$R,0)),0),""))</f>
        <v>24104</v>
      </c>
      <c r="U83" s="218">
        <f>IF(LEFT($B83,4)="_Mil","",_xlfn.IFNA(ROUND(INDEX(Spectrum!$N:$N,MATCH(RIGHT($B83,13)&amp;"|"&amp;$C83&amp;"|"&amp;$D83&amp;"|"&amp;U$14&amp;"|"&amp;"CY2024Q3",Spectrum!$R:$R,0)),0),""))</f>
        <v>6351</v>
      </c>
      <c r="V83" s="38">
        <f>IF(LEFT($B83,4)="_Mil","",_xlfn.IFNA(ROUND(INDEX(Spectrum!$N:$N,MATCH(RIGHT($B83,13)&amp;"|"&amp;$C83&amp;"|"&amp;$D83&amp;"|"&amp;V$14&amp;"|"&amp;"CY2024Q3",Spectrum!$R:$R,0)),0),""))</f>
        <v>7497</v>
      </c>
      <c r="W83" s="220">
        <f>IF(LEFT($B83,4)="_Mil","",_xlfn.IFNA(INDEX(Spectrum!$N:$N,MATCH(RIGHT($B83,13)&amp;"|"&amp;$C83&amp;"|"&amp;$D83&amp;"|"&amp;W$14&amp;"|"&amp;"CY2024Q3",Spectrum!$R:$R,0)),""))</f>
        <v>0.263482402</v>
      </c>
      <c r="X83" s="218">
        <f>IF(LEFT($B83,4)="_Mil","",_xlfn.IFNA(ROUND(INDEX(Spectrum!$N:$N,MATCH(RIGHT($B83,13)&amp;"|"&amp;$C83&amp;"|"&amp;$D83&amp;"|"&amp;X$14&amp;"|"&amp;"CY2024Q3",Spectrum!$R:$R,0)),0),""))</f>
        <v>6283</v>
      </c>
      <c r="Y83" s="33">
        <f t="shared" si="21"/>
        <v>0.99</v>
      </c>
      <c r="Z83" s="218">
        <f>IF(LEFT($B83,4)="_Mil","",_xlfn.IFNA(ROUND(INDEX(Spectrum!$N:$N,MATCH(RIGHT($B83,13)&amp;"|"&amp;$C83&amp;"|"&amp;$D83&amp;"|"&amp;Z$14&amp;"|"&amp;"CY2024Q3",Spectrum!$R:$R,0)),0),""))</f>
        <v>7401</v>
      </c>
      <c r="AA83" s="33">
        <f>IF(LEFT($B83,4)="_Mil","",IFERROR(1/(1/INDEX(Spectrum!$N:$N,MATCH(RIGHT($B83,13)&amp;"|"&amp;$C83&amp;"|"&amp;$D83&amp;"|"&amp;AA$14&amp;"|"&amp;"CY2024Q3",Spectrum!$R:$R,0))),IF(SUM($U83)=0,"",SUM($Z83)/$U83)))</f>
        <v>0.98703662199999986</v>
      </c>
      <c r="AB83" s="33">
        <f t="shared" si="22"/>
        <v>1.1779404742957187</v>
      </c>
      <c r="AC83" s="38">
        <f>IF(LEFT($B83,4)="_Mil","",_xlfn.IFNA(ROUND(INDEX(Spectrum!$N:$N,MATCH(RIGHT($B83,13)&amp;"|"&amp;$C83&amp;"|"&amp;$D83&amp;"|"&amp;AC$14&amp;"|"&amp;"CY2024Q3",Spectrum!$R:$R,0)),0),""))</f>
        <v>96</v>
      </c>
      <c r="AD83" s="38" t="str">
        <f>IF(LEFT($B83,4)="_Mil","",_xlfn.IFNA(ROUND(INDEX(Spectrum!$N:$N,MATCH(RIGHT($B83,13)&amp;"|"&amp;$C83&amp;"|"&amp;$D83&amp;"|"&amp;AD$14&amp;"|"&amp;"CY2024Q3",Spectrum!$R:$R,0)),0),""))</f>
        <v/>
      </c>
      <c r="AE83" s="33">
        <f t="shared" si="23"/>
        <v>0</v>
      </c>
      <c r="AF83" s="218" t="str">
        <f>IF(LEFT($B83,4)="_Mil","",_xlfn.IFNA(ROUND(INDEX(Spectrum!$N:$N,MATCH(RIGHT($B83,13)&amp;"|"&amp;$C83&amp;"|"&amp;$D83&amp;"|"&amp;AF$14&amp;"|"&amp;"CY2024Q3",Spectrum!$R:$R,0)),0),""))</f>
        <v/>
      </c>
      <c r="AG83" s="33" t="str">
        <f t="shared" si="24"/>
        <v/>
      </c>
      <c r="AH83" s="110" t="str">
        <f>IF(LEFT($B83,4)="_Mil","",_xlfn.IFNA(INDEX(Spectrum!$N:$N,MATCH(RIGHT($B83,13)&amp;"|"&amp;$C83&amp;"|"&amp;$D83&amp;"|"&amp;AH$14&amp;"|"&amp;"CY2024Q3",Spectrum!$R:$R,0)),""))</f>
        <v/>
      </c>
      <c r="AI83" s="218">
        <f>IF(LEFT($B83,4)="_Mil","",_xlfn.IFNA(ROUND(INDEX(Spectrum!$N:$N,MATCH(RIGHT($B83,13)&amp;"|"&amp;$C83&amp;"|"&amp;$D83&amp;"|"&amp;AI$14&amp;"|"&amp;"CY2025Q3",Spectrum!$R:$R,0)),0),""))</f>
        <v>9</v>
      </c>
      <c r="AJ83" s="38">
        <f>IF(LEFT($B83,4)="_Mil","",_xlfn.IFNA(ROUND(INDEX(Spectrum!$N:$N,MATCH(RIGHT($B83,13)&amp;"|"&amp;$C83&amp;"|"&amp;$D83&amp;"|"&amp;AJ$14&amp;"|"&amp;"CY2025Q3",Spectrum!$R:$R,0)),0),""))</f>
        <v>6778</v>
      </c>
      <c r="AK83" s="218" t="e">
        <f>#REF!</f>
        <v>#REF!</v>
      </c>
      <c r="AL83" s="33">
        <f t="shared" si="25"/>
        <v>0.98703662199999986</v>
      </c>
      <c r="AM83" s="38" t="e">
        <f>IF(OR(LEFT($B83,4)="_Mil",$C83="&lt;01"),"",ROUND(SUM($AK83)*SUM($AL83),0))</f>
        <v>#REF!</v>
      </c>
      <c r="AN83" s="38" t="str">
        <f>IF($C83="&lt;01",ROUND(INDEX(EID!$P:$P,MATCH($B83,EID!$B:$B,0))/2,0),"")</f>
        <v/>
      </c>
      <c r="AO83" s="38" t="e">
        <f>IF($C83="&lt;01",SUM($AN83),ROUND(SUM($AM83)*SUM($O83)/IF(SUM($Z83)=0,1,$Z83),0))</f>
        <v>#REF!</v>
      </c>
      <c r="AP83" s="218">
        <f>IF(OR($F83="",$C83="&lt;01"),$AO83,ROUND($F83,0))</f>
        <v>7805</v>
      </c>
      <c r="AQ83" s="218">
        <f>IF(LEFT($B83,4)="_Mil","",IF(SUM($AP83)=0,SUM($Z83),IF(OR(SUM($Z83)=0,SUM($O83)=0),MAX($AP83,$Z83),ROUND($AP83*$Z83/$O83,0))))</f>
        <v>7705</v>
      </c>
      <c r="AR83" s="33" t="e">
        <f>IF(OR(LEFT($B83,4)="_Mil",SUM($AK83)=0),"",SUM($AQ83)/$AK83)</f>
        <v>#REF!</v>
      </c>
      <c r="AS83" s="33">
        <v>1.02</v>
      </c>
      <c r="AT83" s="33">
        <f>IF($C83="&lt;01","",100%)</f>
        <v>1</v>
      </c>
      <c r="AU83" s="38">
        <f>IF($C83="&lt;01","",SUM($AP83)-SUM($O83))</f>
        <v>308</v>
      </c>
      <c r="AV83" s="38">
        <f>IF($C83="&lt;01",ROUND(INDEX(EID!$N:$N,MATCH($B83,EID!$B:$B,0))/2,0),IF(SUM($AT83)=0,"",ROUND((SUM($AP83)-(SUM($O83)*SUM($AS83)))/$AT83,0)))</f>
        <v>158</v>
      </c>
      <c r="AW83" s="33">
        <v>0.8</v>
      </c>
      <c r="AX83" s="218">
        <f>IF($C83="&lt;01",SUM($AV83),ROUND(SUM($AV83)*SUM($AW83),0))</f>
        <v>126</v>
      </c>
      <c r="AY83" s="79">
        <f t="shared" si="27"/>
        <v>0.7</v>
      </c>
      <c r="AZ83" s="85">
        <f>IF($C83="&lt;01",ROUND(INDEX(EID!$R:$R,MATCH($B83,EID!$B:$B,0))/2,0),ROUND(SUM($O83)+(SUM($AV83)*$AY83),0))</f>
        <v>7608</v>
      </c>
      <c r="BA83" s="40">
        <f t="shared" si="14"/>
        <v>0.9</v>
      </c>
      <c r="BB83" s="99">
        <f>IF($C83="&lt;01",ROUND(INDEX(EID!$T:$T,MATCH($B83,EID!$B:$B,0))/2,0),ROUND($AP83*$BA83,0))</f>
        <v>7025</v>
      </c>
      <c r="BC83" s="85">
        <f>IF(LEFT($B83,4)="_Mil","",IF(SUM($BB83)=0,SUM($AD83),IF(OR(SUM($AP83)=0,SUM($AQ83)=0),MAX($BB83,$AD83),ROUND($BB83*$AQ83/$AP83,0))))</f>
        <v>6935</v>
      </c>
      <c r="BD83" s="33">
        <f t="shared" si="28"/>
        <v>0.95</v>
      </c>
      <c r="BE83" s="218">
        <f>IF($C83="&lt;01",ROUND(INDEX(EID!$V:$V,MATCH($B83,EID!$B:$B,0))/2,0),ROUND($BD83*$BB83,0))</f>
        <v>6674</v>
      </c>
      <c r="BF83" s="218">
        <f>IF(LEFT($B83,4)="_Mil","",IF(SUM($BE83)=0,SUM($AF83),IF(OR(SUM($AP83)=0,SUM($AQ83)=0),MAX($BE83,$AF83),ROUND($BE83*$AQ83/$AP83,0))))</f>
        <v>6588</v>
      </c>
      <c r="BG83" s="79">
        <f t="shared" si="29"/>
        <v>0.95</v>
      </c>
      <c r="BH83" s="99">
        <f>IF($C83="&lt;01",ROUND(INDEX(EID!$L:$L,MATCH($B83,EID!$B:$B,0)),0)/2,IF(SUM($BG83)=0,"",ROUND($AX83/$BG83,0)))</f>
        <v>133</v>
      </c>
    </row>
    <row r="84" spans="1:60" x14ac:dyDescent="0.2">
      <c r="A84" t="str">
        <f>INDEX(Prioritization!$D:$D,MATCH($B84,Prioritization!$A:$A,0))</f>
        <v>INVALID</v>
      </c>
      <c r="B84" t="s">
        <v>316</v>
      </c>
      <c r="C84" t="s">
        <v>478</v>
      </c>
      <c r="D84" t="s">
        <v>48</v>
      </c>
      <c r="E84" t="str">
        <f t="shared" si="19"/>
        <v>Chiradzulu District [oiPR2CiVJbf]|50+|Male</v>
      </c>
      <c r="F84" s="229">
        <v>5614</v>
      </c>
      <c r="G84" s="38">
        <v>94</v>
      </c>
      <c r="H84" s="38">
        <v>84</v>
      </c>
      <c r="I84" s="38">
        <v>5860</v>
      </c>
      <c r="J84" s="38">
        <v>3918</v>
      </c>
      <c r="K84" s="38">
        <v>3589</v>
      </c>
      <c r="L84" s="38">
        <v>65</v>
      </c>
      <c r="M84" s="38">
        <v>61</v>
      </c>
      <c r="N84" s="38">
        <v>5121</v>
      </c>
      <c r="O84" s="229">
        <v>5382</v>
      </c>
      <c r="P84" s="38">
        <v>4622</v>
      </c>
      <c r="Q84" s="38">
        <v>4392</v>
      </c>
      <c r="R84" s="38">
        <f t="shared" si="20"/>
        <v>-478</v>
      </c>
      <c r="S84" s="38">
        <f>IF(LEFT($B84,4)="_Mil","",_xlfn.IFNA(ROUND(INDEX(Spectrum!$N:$N,MATCH(RIGHT($B84,13)&amp;"|"&amp;$C84&amp;"|"&amp;$D84&amp;"|"&amp;S$14&amp;"|"&amp;"CY2023Q4",Spectrum!$R:$R,0)),0),""))</f>
        <v>4820</v>
      </c>
      <c r="T84" s="218">
        <f>IF(LEFT($B84,4)="_Mil","",_xlfn.IFNA(ROUND(INDEX(Spectrum!$N:$N,MATCH(RIGHT($B84,13)&amp;"|"&amp;$C84&amp;"|"&amp;$D84&amp;"|"&amp;T$14&amp;"|"&amp;"CY2024Q3",Spectrum!$R:$R,0)),0),""))</f>
        <v>15774</v>
      </c>
      <c r="U84" s="218">
        <f>IF(LEFT($B84,4)="_Mil","",_xlfn.IFNA(ROUND(INDEX(Spectrum!$N:$N,MATCH(RIGHT($B84,13)&amp;"|"&amp;$C84&amp;"|"&amp;$D84&amp;"|"&amp;U$14&amp;"|"&amp;"CY2024Q3",Spectrum!$R:$R,0)),0),""))</f>
        <v>4510</v>
      </c>
      <c r="V84" s="38">
        <f>IF(LEFT($B84,4)="_Mil","",_xlfn.IFNA(ROUND(INDEX(Spectrum!$N:$N,MATCH(RIGHT($B84,13)&amp;"|"&amp;$C84&amp;"|"&amp;$D84&amp;"|"&amp;V$14&amp;"|"&amp;"CY2024Q3",Spectrum!$R:$R,0)),0),""))</f>
        <v>5382</v>
      </c>
      <c r="W84" s="220">
        <f>IF(LEFT($B84,4)="_Mil","",_xlfn.IFNA(INDEX(Spectrum!$N:$N,MATCH(RIGHT($B84,13)&amp;"|"&amp;$C84&amp;"|"&amp;$D84&amp;"|"&amp;W$14&amp;"|"&amp;"CY2024Q3",Spectrum!$R:$R,0)),""))</f>
        <v>0.28591303899999998</v>
      </c>
      <c r="X84" s="218">
        <f>IF(LEFT($B84,4)="_Mil","",_xlfn.IFNA(ROUND(INDEX(Spectrum!$N:$N,MATCH(RIGHT($B84,13)&amp;"|"&amp;$C84&amp;"|"&amp;$D84&amp;"|"&amp;X$14&amp;"|"&amp;"CY2024Q3",Spectrum!$R:$R,0)),0),""))</f>
        <v>4254</v>
      </c>
      <c r="Y84" s="33">
        <f t="shared" si="21"/>
        <v>0.94</v>
      </c>
      <c r="Z84" s="218">
        <f>IF(LEFT($B84,4)="_Mil","",_xlfn.IFNA(ROUND(INDEX(Spectrum!$N:$N,MATCH(RIGHT($B84,13)&amp;"|"&amp;$C84&amp;"|"&amp;$D84&amp;"|"&amp;Z$14&amp;"|"&amp;"CY2024Q3",Spectrum!$R:$R,0)),0),""))</f>
        <v>5096</v>
      </c>
      <c r="AA84" s="33">
        <f>IF(LEFT($B84,4)="_Mil","",IFERROR(1/(1/INDEX(Spectrum!$N:$N,MATCH(RIGHT($B84,13)&amp;"|"&amp;$C84&amp;"|"&amp;$D84&amp;"|"&amp;AA$14&amp;"|"&amp;"CY2024Q3",Spectrum!$R:$R,0))),IF(SUM($U84)=0,"",SUM($Z84)/$U84)))</f>
        <v>0.93965161799999997</v>
      </c>
      <c r="AB84" s="33">
        <f t="shared" si="22"/>
        <v>1.1979313587212035</v>
      </c>
      <c r="AC84" s="38">
        <f>IF(LEFT($B84,4)="_Mil","",_xlfn.IFNA(ROUND(INDEX(Spectrum!$N:$N,MATCH(RIGHT($B84,13)&amp;"|"&amp;$C84&amp;"|"&amp;$D84&amp;"|"&amp;AC$14&amp;"|"&amp;"CY2024Q3",Spectrum!$R:$R,0)),0),""))</f>
        <v>286</v>
      </c>
      <c r="AD84" s="38" t="str">
        <f>IF(LEFT($B84,4)="_Mil","",_xlfn.IFNA(ROUND(INDEX(Spectrum!$N:$N,MATCH(RIGHT($B84,13)&amp;"|"&amp;$C84&amp;"|"&amp;$D84&amp;"|"&amp;AD$14&amp;"|"&amp;"CY2024Q3",Spectrum!$R:$R,0)),0),""))</f>
        <v/>
      </c>
      <c r="AE84" s="33">
        <f t="shared" si="23"/>
        <v>0</v>
      </c>
      <c r="AF84" s="218" t="str">
        <f>IF(LEFT($B84,4)="_Mil","",_xlfn.IFNA(ROUND(INDEX(Spectrum!$N:$N,MATCH(RIGHT($B84,13)&amp;"|"&amp;$C84&amp;"|"&amp;$D84&amp;"|"&amp;AF$14&amp;"|"&amp;"CY2024Q3",Spectrum!$R:$R,0)),0),""))</f>
        <v/>
      </c>
      <c r="AG84" s="33" t="str">
        <f t="shared" si="24"/>
        <v/>
      </c>
      <c r="AH84" s="110" t="str">
        <f>IF(LEFT($B84,4)="_Mil","",_xlfn.IFNA(INDEX(Spectrum!$N:$N,MATCH(RIGHT($B84,13)&amp;"|"&amp;$C84&amp;"|"&amp;$D84&amp;"|"&amp;AH$14&amp;"|"&amp;"CY2024Q3",Spectrum!$R:$R,0)),""))</f>
        <v/>
      </c>
      <c r="AI84" s="218">
        <f>IF(LEFT($B84,4)="_Mil","",_xlfn.IFNA(ROUND(INDEX(Spectrum!$N:$N,MATCH(RIGHT($B84,13)&amp;"|"&amp;$C84&amp;"|"&amp;$D84&amp;"|"&amp;AI$14&amp;"|"&amp;"CY2025Q3",Spectrum!$R:$R,0)),0),""))</f>
        <v>15</v>
      </c>
      <c r="AJ84" s="38">
        <f>IF(LEFT($B84,4)="_Mil","",_xlfn.IFNA(ROUND(INDEX(Spectrum!$N:$N,MATCH(RIGHT($B84,13)&amp;"|"&amp;$C84&amp;"|"&amp;$D84&amp;"|"&amp;AJ$14&amp;"|"&amp;"CY2025Q3",Spectrum!$R:$R,0)),0),""))</f>
        <v>4753</v>
      </c>
      <c r="AK84" s="218" t="e">
        <f>#REF!</f>
        <v>#REF!</v>
      </c>
      <c r="AL84" s="33">
        <f t="shared" si="25"/>
        <v>0.93965161799999997</v>
      </c>
      <c r="AM84" s="38" t="e">
        <f>IF(OR(LEFT($B84,4)="_Mil",$C84="&lt;01"),"",ROUND(SUM($AK84)*SUM($AL84),0))</f>
        <v>#REF!</v>
      </c>
      <c r="AN84" s="38" t="str">
        <f>IF($C84="&lt;01",ROUND(INDEX(EID!$P:$P,MATCH($B84,EID!$B:$B,0))/2,0),"")</f>
        <v/>
      </c>
      <c r="AO84" s="38" t="e">
        <f>IF($C84="&lt;01",SUM($AN84),ROUND(SUM($AM84)*SUM($O84)/IF(SUM($Z84)=0,1,$Z84),0))</f>
        <v>#REF!</v>
      </c>
      <c r="AP84" s="218">
        <f>IF(OR($F84="",$C84="&lt;01"),$AO84,ROUND($F84,0))</f>
        <v>5614</v>
      </c>
      <c r="AQ84" s="218">
        <f>IF(LEFT($B84,4)="_Mil","",IF(SUM($AP84)=0,SUM($Z84),IF(OR(SUM($Z84)=0,SUM($O84)=0),MAX($AP84,$Z84),ROUND($AP84*$Z84/$O84,0))))</f>
        <v>5316</v>
      </c>
      <c r="AR84" s="33" t="e">
        <f>IF(OR(LEFT($B84,4)="_Mil",SUM($AK84)=0),"",SUM($AQ84)/$AK84)</f>
        <v>#REF!</v>
      </c>
      <c r="AS84" s="33">
        <v>1.02</v>
      </c>
      <c r="AT84" s="33">
        <f>IF($C84="&lt;01","",100%)</f>
        <v>1</v>
      </c>
      <c r="AU84" s="38">
        <f>IF($C84="&lt;01","",SUM($AP84)-SUM($O84))</f>
        <v>232</v>
      </c>
      <c r="AV84" s="38">
        <f>IF($C84="&lt;01",ROUND(INDEX(EID!$N:$N,MATCH($B84,EID!$B:$B,0))/2,0),IF(SUM($AT84)=0,"",ROUND((SUM($AP84)-(SUM($O84)*SUM($AS84)))/$AT84,0)))</f>
        <v>124</v>
      </c>
      <c r="AW84" s="33">
        <v>0.8</v>
      </c>
      <c r="AX84" s="218">
        <f>IF($C84="&lt;01",SUM($AV84),ROUND(SUM($AV84)*SUM($AW84),0))</f>
        <v>99</v>
      </c>
      <c r="AY84" s="79">
        <f t="shared" si="27"/>
        <v>0.7</v>
      </c>
      <c r="AZ84" s="85">
        <f>IF($C84="&lt;01",ROUND(INDEX(EID!$R:$R,MATCH($B84,EID!$B:$B,0))/2,0),ROUND(SUM($O84)+(SUM($AV84)*$AY84),0))</f>
        <v>5469</v>
      </c>
      <c r="BA84" s="40">
        <f t="shared" si="14"/>
        <v>0.9</v>
      </c>
      <c r="BB84" s="99">
        <f>IF($C84="&lt;01",ROUND(INDEX(EID!$T:$T,MATCH($B84,EID!$B:$B,0))/2,0),ROUND($AP84*$BA84,0))</f>
        <v>5053</v>
      </c>
      <c r="BC84" s="85">
        <f>IF(LEFT($B84,4)="_Mil","",IF(SUM($BB84)=0,SUM($AD84),IF(OR(SUM($AP84)=0,SUM($AQ84)=0),MAX($BB84,$AD84),ROUND($BB84*$AQ84/$AP84,0))))</f>
        <v>4785</v>
      </c>
      <c r="BD84" s="33">
        <f t="shared" si="28"/>
        <v>0.95</v>
      </c>
      <c r="BE84" s="218">
        <f>IF($C84="&lt;01",ROUND(INDEX(EID!$V:$V,MATCH($B84,EID!$B:$B,0))/2,0),ROUND($BD84*$BB84,0))</f>
        <v>4800</v>
      </c>
      <c r="BF84" s="218">
        <f>IF(LEFT($B84,4)="_Mil","",IF(SUM($BE84)=0,SUM($AF84),IF(OR(SUM($AP84)=0,SUM($AQ84)=0),MAX($BE84,$AF84),ROUND($BE84*$AQ84/$AP84,0))))</f>
        <v>4545</v>
      </c>
      <c r="BG84" s="79">
        <f t="shared" si="29"/>
        <v>0.95</v>
      </c>
      <c r="BH84" s="99">
        <f>IF($C84="&lt;01",ROUND(INDEX(EID!$L:$L,MATCH($B84,EID!$B:$B,0)),0)/2,IF(SUM($BG84)=0,"",ROUND($AX84/$BG84,0)))</f>
        <v>104</v>
      </c>
    </row>
    <row r="85" spans="1:60" x14ac:dyDescent="0.2">
      <c r="A85" t="str">
        <f>INDEX(Prioritization!$D:$D,MATCH($B85,Prioritization!$A:$A,0))</f>
        <v>4 - Sustained</v>
      </c>
      <c r="B85" t="s">
        <v>307</v>
      </c>
      <c r="C85" t="s">
        <v>426</v>
      </c>
      <c r="D85" t="s">
        <v>30</v>
      </c>
      <c r="E85" t="str">
        <f t="shared" si="19"/>
        <v>Chitipa District [GkIwZrXy1h2]|&lt;01|Female</v>
      </c>
      <c r="F85" s="229">
        <v>3</v>
      </c>
      <c r="G85" s="38">
        <v>10</v>
      </c>
      <c r="H85" s="38">
        <v>6</v>
      </c>
      <c r="I85" s="38">
        <v>6</v>
      </c>
      <c r="J85" s="38">
        <v>6</v>
      </c>
      <c r="K85" s="38">
        <v>5</v>
      </c>
      <c r="L85" s="38"/>
      <c r="M85" s="38">
        <v>3</v>
      </c>
      <c r="N85" s="38">
        <v>3</v>
      </c>
      <c r="O85" s="229">
        <v>3</v>
      </c>
      <c r="P85" s="38">
        <v>3</v>
      </c>
      <c r="Q85" s="38">
        <v>3</v>
      </c>
      <c r="R85" s="38">
        <f t="shared" si="20"/>
        <v>-3</v>
      </c>
      <c r="S85" s="38">
        <f>IF(LEFT($B85,4)="_Mil","",_xlfn.IFNA(ROUND(INDEX(Spectrum!$N:$N,MATCH(RIGHT($B85,13)&amp;"|"&amp;$C85&amp;"|"&amp;$D85&amp;"|"&amp;S$14&amp;"|"&amp;"CY2023Q4",Spectrum!$R:$R,0)),0),""))</f>
        <v>2</v>
      </c>
      <c r="T85" s="218">
        <f>IF(LEFT($B85,4)="_Mil","",_xlfn.IFNA(ROUND(INDEX(Spectrum!$N:$N,MATCH(RIGHT($B85,13)&amp;"|"&amp;$C85&amp;"|"&amp;$D85&amp;"|"&amp;T$14&amp;"|"&amp;"CY2024Q3",Spectrum!$R:$R,0)),0),""))</f>
        <v>3881</v>
      </c>
      <c r="U85" s="218">
        <f>IF(LEFT($B85,4)="_Mil","",_xlfn.IFNA(ROUND(INDEX(Spectrum!$N:$N,MATCH(RIGHT($B85,13)&amp;"|"&amp;$C85&amp;"|"&amp;$D85&amp;"|"&amp;U$14&amp;"|"&amp;"CY2024Q3",Spectrum!$R:$R,0)),0),""))</f>
        <v>3</v>
      </c>
      <c r="V85" s="38">
        <f>IF(LEFT($B85,4)="_Mil","",_xlfn.IFNA(ROUND(INDEX(Spectrum!$N:$N,MATCH(RIGHT($B85,13)&amp;"|"&amp;$C85&amp;"|"&amp;$D85&amp;"|"&amp;V$14&amp;"|"&amp;"CY2024Q3",Spectrum!$R:$R,0)),0),""))</f>
        <v>3</v>
      </c>
      <c r="W85" s="220">
        <f>IF(LEFT($B85,4)="_Mil","",_xlfn.IFNA(INDEX(Spectrum!$N:$N,MATCH(RIGHT($B85,13)&amp;"|"&amp;$C85&amp;"|"&amp;$D85&amp;"|"&amp;W$14&amp;"|"&amp;"CY2024Q3",Spectrum!$R:$R,0)),""))</f>
        <v>7.4055499999999995E-4</v>
      </c>
      <c r="X85" s="218">
        <f>IF(LEFT($B85,4)="_Mil","",_xlfn.IFNA(ROUND(INDEX(Spectrum!$N:$N,MATCH(RIGHT($B85,13)&amp;"|"&amp;$C85&amp;"|"&amp;$D85&amp;"|"&amp;X$14&amp;"|"&amp;"CY2024Q3",Spectrum!$R:$R,0)),0),""))</f>
        <v>2</v>
      </c>
      <c r="Y85" s="33">
        <f t="shared" si="21"/>
        <v>0.67</v>
      </c>
      <c r="Z85" s="218">
        <f>IF(LEFT($B85,4)="_Mil","",_xlfn.IFNA(ROUND(INDEX(Spectrum!$N:$N,MATCH(RIGHT($B85,13)&amp;"|"&amp;$C85&amp;"|"&amp;$D85&amp;"|"&amp;Z$14&amp;"|"&amp;"CY2024Q3",Spectrum!$R:$R,0)),0),""))</f>
        <v>2</v>
      </c>
      <c r="AA85" s="33">
        <f>IF(LEFT($B85,4)="_Mil","",IFERROR(1/(1/INDEX(Spectrum!$N:$N,MATCH(RIGHT($B85,13)&amp;"|"&amp;$C85&amp;"|"&amp;$D85&amp;"|"&amp;AA$14&amp;"|"&amp;"CY2024Q3",Spectrum!$R:$R,0))),IF(SUM($U85)=0,"",SUM($Z85)/$U85)))</f>
        <v>0.66708796599999998</v>
      </c>
      <c r="AB85" s="33">
        <f t="shared" si="22"/>
        <v>1</v>
      </c>
      <c r="AC85" s="38">
        <f>IF(LEFT($B85,4)="_Mil","",_xlfn.IFNA(ROUND(INDEX(Spectrum!$N:$N,MATCH(RIGHT($B85,13)&amp;"|"&amp;$C85&amp;"|"&amp;$D85&amp;"|"&amp;AC$14&amp;"|"&amp;"CY2024Q3",Spectrum!$R:$R,0)),0),""))</f>
        <v>1</v>
      </c>
      <c r="AD85" s="38" t="str">
        <f>IF(LEFT($B85,4)="_Mil","",_xlfn.IFNA(ROUND(INDEX(Spectrum!$N:$N,MATCH(RIGHT($B85,13)&amp;"|"&amp;$C85&amp;"|"&amp;$D85&amp;"|"&amp;AD$14&amp;"|"&amp;"CY2024Q3",Spectrum!$R:$R,0)),0),""))</f>
        <v/>
      </c>
      <c r="AE85" s="33">
        <f t="shared" si="23"/>
        <v>0</v>
      </c>
      <c r="AF85" s="218" t="str">
        <f>IF(LEFT($B85,4)="_Mil","",_xlfn.IFNA(ROUND(INDEX(Spectrum!$N:$N,MATCH(RIGHT($B85,13)&amp;"|"&amp;$C85&amp;"|"&amp;$D85&amp;"|"&amp;AF$14&amp;"|"&amp;"CY2024Q3",Spectrum!$R:$R,0)),0),""))</f>
        <v/>
      </c>
      <c r="AG85" s="33" t="str">
        <f t="shared" si="24"/>
        <v/>
      </c>
      <c r="AH85" s="110" t="str">
        <f>IF(LEFT($B85,4)="_Mil","",_xlfn.IFNA(INDEX(Spectrum!$N:$N,MATCH(RIGHT($B85,13)&amp;"|"&amp;$C85&amp;"|"&amp;$D85&amp;"|"&amp;AH$14&amp;"|"&amp;"CY2024Q3",Spectrum!$R:$R,0)),""))</f>
        <v/>
      </c>
      <c r="AI85" s="218">
        <f>IF(LEFT($B85,4)="_Mil","",_xlfn.IFNA(ROUND(INDEX(Spectrum!$N:$N,MATCH(RIGHT($B85,13)&amp;"|"&amp;$C85&amp;"|"&amp;$D85&amp;"|"&amp;AI$14&amp;"|"&amp;"CY2025Q3",Spectrum!$R:$R,0)),0),""))</f>
        <v>3</v>
      </c>
      <c r="AJ85" s="38">
        <f>IF(LEFT($B85,4)="_Mil","",_xlfn.IFNA(ROUND(INDEX(Spectrum!$N:$N,MATCH(RIGHT($B85,13)&amp;"|"&amp;$C85&amp;"|"&amp;$D85&amp;"|"&amp;AJ$14&amp;"|"&amp;"CY2025Q3",Spectrum!$R:$R,0)),0),""))</f>
        <v>3</v>
      </c>
      <c r="AK85" s="218" t="e">
        <f>#REF!</f>
        <v>#REF!</v>
      </c>
      <c r="AL85" s="33" t="str">
        <f t="shared" si="25"/>
        <v/>
      </c>
      <c r="AM85" s="38" t="str">
        <f>IF(OR(LEFT($B85,4)="_Mil",$C85="&lt;01"),"",ROUND(SUM($AK85)*SUM($AL85),0))</f>
        <v/>
      </c>
      <c r="AN85" s="38">
        <f>IF($C85="&lt;01",ROUND(INDEX(EID!$P:$P,MATCH($B85,EID!$B:$B,0))/2,0),"")</f>
        <v>0</v>
      </c>
      <c r="AO85" s="38">
        <f>IF($C85="&lt;01",SUM($AN85),ROUND(SUM($AM85)*SUM($O85)/IF(SUM($Z85)=0,1,$Z85),0))</f>
        <v>0</v>
      </c>
      <c r="AP85" s="218">
        <f>IF(OR($F85="",$C85="&lt;01"),$AO85,ROUND($F85,0))</f>
        <v>0</v>
      </c>
      <c r="AQ85" s="218">
        <f>IF(LEFT($B85,4)="_Mil","",IF(SUM($AP85)=0,SUM($Z85),IF(OR(SUM($Z85)=0,SUM($O85)=0),MAX($AP85,$Z85),ROUND($AP85*$Z85/$O85,0))))</f>
        <v>2</v>
      </c>
      <c r="AR85" s="33" t="e">
        <f>IF(OR(LEFT($B85,4)="_Mil",SUM($AK85)=0),"",SUM($AQ85)/$AK85)</f>
        <v>#REF!</v>
      </c>
      <c r="AS85" s="33" t="str">
        <f t="shared" si="18"/>
        <v/>
      </c>
      <c r="AT85" s="33" t="str">
        <f t="shared" si="16"/>
        <v/>
      </c>
      <c r="AU85" s="38" t="str">
        <f>IF($C85="&lt;01","",SUM($AP85)-SUM($O85))</f>
        <v/>
      </c>
      <c r="AV85" s="38">
        <f>IF($C85="&lt;01",ROUND(INDEX(EID!$N:$N,MATCH($B85,EID!$B:$B,0))/2,0),IF(SUM($AT85)=0,"",ROUND((SUM($AP85)-(SUM($O85)*SUM($AS85)))/$AT85,0)))</f>
        <v>0</v>
      </c>
      <c r="AW85" s="33" t="str">
        <f t="shared" si="26"/>
        <v/>
      </c>
      <c r="AX85" s="218">
        <f>IF($C85="&lt;01",SUM($AV85),ROUND(SUM($AV85)*SUM($AW85),0))</f>
        <v>0</v>
      </c>
      <c r="AY85" s="79" t="str">
        <f t="shared" si="27"/>
        <v/>
      </c>
      <c r="AZ85" s="85">
        <f>IF($C85="&lt;01",ROUND(INDEX(EID!$R:$R,MATCH($B85,EID!$B:$B,0))/2,0),ROUND(SUM($O85)+(SUM($AV85)*$AY85),0))</f>
        <v>0</v>
      </c>
      <c r="BA85" s="40" t="str">
        <f t="shared" si="14"/>
        <v/>
      </c>
      <c r="BB85" s="99">
        <f>IF($C85="&lt;01",ROUND(INDEX(EID!$T:$T,MATCH($B85,EID!$B:$B,0))/2,0),ROUND($AP85*$BA85,0))</f>
        <v>0</v>
      </c>
      <c r="BC85" s="85">
        <f>IF(LEFT($B85,4)="_Mil","",IF(SUM($BB85)=0,SUM($AD85),IF(OR(SUM($AP85)=0,SUM($AQ85)=0),MAX($BB85,$AD85),ROUND($BB85*$AQ85/$AP85,0))))</f>
        <v>0</v>
      </c>
      <c r="BD85" s="33" t="str">
        <f t="shared" si="28"/>
        <v/>
      </c>
      <c r="BE85" s="218">
        <f>IF($C85="&lt;01",ROUND(INDEX(EID!$V:$V,MATCH($B85,EID!$B:$B,0))/2,0),ROUND($BD85*$BB85,0))</f>
        <v>0</v>
      </c>
      <c r="BF85" s="218">
        <f>IF(LEFT($B85,4)="_Mil","",IF(SUM($BE85)=0,SUM($AF85),IF(OR(SUM($AP85)=0,SUM($AQ85)=0),MAX($BE85,$AF85),ROUND($BE85*$AQ85/$AP85,0))))</f>
        <v>0</v>
      </c>
      <c r="BG85" s="79" t="str">
        <f t="shared" si="29"/>
        <v/>
      </c>
      <c r="BH85" s="99">
        <f>IF($C85="&lt;01",ROUND(INDEX(EID!$L:$L,MATCH($B85,EID!$B:$B,0)),0)/2,IF(SUM($BG85)=0,"",ROUND($AX85/$BG85,0)))</f>
        <v>0</v>
      </c>
    </row>
    <row r="86" spans="1:60" x14ac:dyDescent="0.2">
      <c r="A86" t="str">
        <f>INDEX(Prioritization!$D:$D,MATCH($B86,Prioritization!$A:$A,0))</f>
        <v>4 - Sustained</v>
      </c>
      <c r="B86" t="s">
        <v>307</v>
      </c>
      <c r="C86" t="s">
        <v>426</v>
      </c>
      <c r="D86" t="s">
        <v>48</v>
      </c>
      <c r="E86" t="str">
        <f t="shared" si="19"/>
        <v>Chitipa District [GkIwZrXy1h2]|&lt;01|Male</v>
      </c>
      <c r="F86" s="229">
        <v>3</v>
      </c>
      <c r="G86" s="38">
        <v>7</v>
      </c>
      <c r="H86" s="38">
        <v>4</v>
      </c>
      <c r="I86" s="38">
        <v>3</v>
      </c>
      <c r="J86" s="38">
        <v>2</v>
      </c>
      <c r="K86" s="38">
        <v>1</v>
      </c>
      <c r="L86" s="38"/>
      <c r="M86" s="38">
        <v>3</v>
      </c>
      <c r="N86" s="38">
        <v>3</v>
      </c>
      <c r="O86" s="229">
        <v>3</v>
      </c>
      <c r="P86" s="38">
        <v>3</v>
      </c>
      <c r="Q86" s="38">
        <v>3</v>
      </c>
      <c r="R86" s="38">
        <f t="shared" si="20"/>
        <v>0</v>
      </c>
      <c r="S86" s="38">
        <f>IF(LEFT($B86,4)="_Mil","",_xlfn.IFNA(ROUND(INDEX(Spectrum!$N:$N,MATCH(RIGHT($B86,13)&amp;"|"&amp;$C86&amp;"|"&amp;$D86&amp;"|"&amp;S$14&amp;"|"&amp;"CY2023Q4",Spectrum!$R:$R,0)),0),""))</f>
        <v>2</v>
      </c>
      <c r="T86" s="218">
        <f>IF(LEFT($B86,4)="_Mil","",_xlfn.IFNA(ROUND(INDEX(Spectrum!$N:$N,MATCH(RIGHT($B86,13)&amp;"|"&amp;$C86&amp;"|"&amp;$D86&amp;"|"&amp;T$14&amp;"|"&amp;"CY2024Q3",Spectrum!$R:$R,0)),0),""))</f>
        <v>4007</v>
      </c>
      <c r="U86" s="218">
        <f>IF(LEFT($B86,4)="_Mil","",_xlfn.IFNA(ROUND(INDEX(Spectrum!$N:$N,MATCH(RIGHT($B86,13)&amp;"|"&amp;$C86&amp;"|"&amp;$D86&amp;"|"&amp;U$14&amp;"|"&amp;"CY2024Q3",Spectrum!$R:$R,0)),0),""))</f>
        <v>3</v>
      </c>
      <c r="V86" s="38">
        <f>IF(LEFT($B86,4)="_Mil","",_xlfn.IFNA(ROUND(INDEX(Spectrum!$N:$N,MATCH(RIGHT($B86,13)&amp;"|"&amp;$C86&amp;"|"&amp;$D86&amp;"|"&amp;V$14&amp;"|"&amp;"CY2024Q3",Spectrum!$R:$R,0)),0),""))</f>
        <v>3</v>
      </c>
      <c r="W86" s="220">
        <f>IF(LEFT($B86,4)="_Mil","",_xlfn.IFNA(INDEX(Spectrum!$N:$N,MATCH(RIGHT($B86,13)&amp;"|"&amp;$C86&amp;"|"&amp;$D86&amp;"|"&amp;W$14&amp;"|"&amp;"CY2024Q3",Spectrum!$R:$R,0)),""))</f>
        <v>7.2694399999999998E-4</v>
      </c>
      <c r="X86" s="218">
        <f>IF(LEFT($B86,4)="_Mil","",_xlfn.IFNA(ROUND(INDEX(Spectrum!$N:$N,MATCH(RIGHT($B86,13)&amp;"|"&amp;$C86&amp;"|"&amp;$D86&amp;"|"&amp;X$14&amp;"|"&amp;"CY2024Q3",Spectrum!$R:$R,0)),0),""))</f>
        <v>2</v>
      </c>
      <c r="Y86" s="33">
        <f t="shared" si="21"/>
        <v>0.67</v>
      </c>
      <c r="Z86" s="218">
        <f>IF(LEFT($B86,4)="_Mil","",_xlfn.IFNA(ROUND(INDEX(Spectrum!$N:$N,MATCH(RIGHT($B86,13)&amp;"|"&amp;$C86&amp;"|"&amp;$D86&amp;"|"&amp;Z$14&amp;"|"&amp;"CY2024Q3",Spectrum!$R:$R,0)),0),""))</f>
        <v>2</v>
      </c>
      <c r="AA86" s="33">
        <f>IF(LEFT($B86,4)="_Mil","",IFERROR(1/(1/INDEX(Spectrum!$N:$N,MATCH(RIGHT($B86,13)&amp;"|"&amp;$C86&amp;"|"&amp;$D86&amp;"|"&amp;AA$14&amp;"|"&amp;"CY2024Q3",Spectrum!$R:$R,0))),IF(SUM($U86)=0,"",SUM($Z86)/$U86)))</f>
        <v>0.66653035900000002</v>
      </c>
      <c r="AB86" s="33">
        <f t="shared" si="22"/>
        <v>1</v>
      </c>
      <c r="AC86" s="38">
        <f>IF(LEFT($B86,4)="_Mil","",_xlfn.IFNA(ROUND(INDEX(Spectrum!$N:$N,MATCH(RIGHT($B86,13)&amp;"|"&amp;$C86&amp;"|"&amp;$D86&amp;"|"&amp;AC$14&amp;"|"&amp;"CY2024Q3",Spectrum!$R:$R,0)),0),""))</f>
        <v>1</v>
      </c>
      <c r="AD86" s="38" t="str">
        <f>IF(LEFT($B86,4)="_Mil","",_xlfn.IFNA(ROUND(INDEX(Spectrum!$N:$N,MATCH(RIGHT($B86,13)&amp;"|"&amp;$C86&amp;"|"&amp;$D86&amp;"|"&amp;AD$14&amp;"|"&amp;"CY2024Q3",Spectrum!$R:$R,0)),0),""))</f>
        <v/>
      </c>
      <c r="AE86" s="33">
        <f t="shared" si="23"/>
        <v>0</v>
      </c>
      <c r="AF86" s="218" t="str">
        <f>IF(LEFT($B86,4)="_Mil","",_xlfn.IFNA(ROUND(INDEX(Spectrum!$N:$N,MATCH(RIGHT($B86,13)&amp;"|"&amp;$C86&amp;"|"&amp;$D86&amp;"|"&amp;AF$14&amp;"|"&amp;"CY2024Q3",Spectrum!$R:$R,0)),0),""))</f>
        <v/>
      </c>
      <c r="AG86" s="33" t="str">
        <f t="shared" si="24"/>
        <v/>
      </c>
      <c r="AH86" s="110" t="str">
        <f>IF(LEFT($B86,4)="_Mil","",_xlfn.IFNA(INDEX(Spectrum!$N:$N,MATCH(RIGHT($B86,13)&amp;"|"&amp;$C86&amp;"|"&amp;$D86&amp;"|"&amp;AH$14&amp;"|"&amp;"CY2024Q3",Spectrum!$R:$R,0)),""))</f>
        <v/>
      </c>
      <c r="AI86" s="218">
        <f>IF(LEFT($B86,4)="_Mil","",_xlfn.IFNA(ROUND(INDEX(Spectrum!$N:$N,MATCH(RIGHT($B86,13)&amp;"|"&amp;$C86&amp;"|"&amp;$D86&amp;"|"&amp;AI$14&amp;"|"&amp;"CY2025Q3",Spectrum!$R:$R,0)),0),""))</f>
        <v>3</v>
      </c>
      <c r="AJ86" s="38">
        <f>IF(LEFT($B86,4)="_Mil","",_xlfn.IFNA(ROUND(INDEX(Spectrum!$N:$N,MATCH(RIGHT($B86,13)&amp;"|"&amp;$C86&amp;"|"&amp;$D86&amp;"|"&amp;AJ$14&amp;"|"&amp;"CY2025Q3",Spectrum!$R:$R,0)),0),""))</f>
        <v>3</v>
      </c>
      <c r="AK86" s="218" t="e">
        <f>#REF!</f>
        <v>#REF!</v>
      </c>
      <c r="AL86" s="33" t="str">
        <f t="shared" si="25"/>
        <v/>
      </c>
      <c r="AM86" s="38" t="str">
        <f>IF(OR(LEFT($B86,4)="_Mil",$C86="&lt;01"),"",ROUND(SUM($AK86)*SUM($AL86),0))</f>
        <v/>
      </c>
      <c r="AN86" s="38">
        <f>IF($C86="&lt;01",ROUND(INDEX(EID!$P:$P,MATCH($B86,EID!$B:$B,0))/2,0),"")</f>
        <v>0</v>
      </c>
      <c r="AO86" s="38">
        <f>IF($C86="&lt;01",SUM($AN86),ROUND(SUM($AM86)*SUM($O86)/IF(SUM($Z86)=0,1,$Z86),0))</f>
        <v>0</v>
      </c>
      <c r="AP86" s="218">
        <f>IF(OR($F86="",$C86="&lt;01"),$AO86,ROUND($F86,0))</f>
        <v>0</v>
      </c>
      <c r="AQ86" s="218">
        <f>IF(LEFT($B86,4)="_Mil","",IF(SUM($AP86)=0,SUM($Z86),IF(OR(SUM($Z86)=0,SUM($O86)=0),MAX($AP86,$Z86),ROUND($AP86*$Z86/$O86,0))))</f>
        <v>2</v>
      </c>
      <c r="AR86" s="33" t="e">
        <f>IF(OR(LEFT($B86,4)="_Mil",SUM($AK86)=0),"",SUM($AQ86)/$AK86)</f>
        <v>#REF!</v>
      </c>
      <c r="AS86" s="33" t="str">
        <f t="shared" si="18"/>
        <v/>
      </c>
      <c r="AT86" s="33" t="str">
        <f t="shared" si="16"/>
        <v/>
      </c>
      <c r="AU86" s="38" t="str">
        <f>IF($C86="&lt;01","",SUM($AP86)-SUM($O86))</f>
        <v/>
      </c>
      <c r="AV86" s="38">
        <f>IF($C86="&lt;01",ROUND(INDEX(EID!$N:$N,MATCH($B86,EID!$B:$B,0))/2,0),IF(SUM($AT86)=0,"",ROUND((SUM($AP86)-(SUM($O86)*SUM($AS86)))/$AT86,0)))</f>
        <v>0</v>
      </c>
      <c r="AW86" s="33" t="str">
        <f t="shared" si="26"/>
        <v/>
      </c>
      <c r="AX86" s="218">
        <f>IF($C86="&lt;01",SUM($AV86),ROUND(SUM($AV86)*SUM($AW86),0))</f>
        <v>0</v>
      </c>
      <c r="AY86" s="79" t="str">
        <f t="shared" si="27"/>
        <v/>
      </c>
      <c r="AZ86" s="85">
        <f>IF($C86="&lt;01",ROUND(INDEX(EID!$R:$R,MATCH($B86,EID!$B:$B,0))/2,0),ROUND(SUM($O86)+(SUM($AV86)*$AY86),0))</f>
        <v>0</v>
      </c>
      <c r="BA86" s="40" t="str">
        <f t="shared" si="14"/>
        <v/>
      </c>
      <c r="BB86" s="99">
        <f>IF($C86="&lt;01",ROUND(INDEX(EID!$T:$T,MATCH($B86,EID!$B:$B,0))/2,0),ROUND($AP86*$BA86,0))</f>
        <v>0</v>
      </c>
      <c r="BC86" s="85">
        <f>IF(LEFT($B86,4)="_Mil","",IF(SUM($BB86)=0,SUM($AD86),IF(OR(SUM($AP86)=0,SUM($AQ86)=0),MAX($BB86,$AD86),ROUND($BB86*$AQ86/$AP86,0))))</f>
        <v>0</v>
      </c>
      <c r="BD86" s="33" t="str">
        <f t="shared" si="28"/>
        <v/>
      </c>
      <c r="BE86" s="218">
        <f>IF($C86="&lt;01",ROUND(INDEX(EID!$V:$V,MATCH($B86,EID!$B:$B,0))/2,0),ROUND($BD86*$BB86,0))</f>
        <v>0</v>
      </c>
      <c r="BF86" s="218">
        <f>IF(LEFT($B86,4)="_Mil","",IF(SUM($BE86)=0,SUM($AF86),IF(OR(SUM($AP86)=0,SUM($AQ86)=0),MAX($BE86,$AF86),ROUND($BE86*$AQ86/$AP86,0))))</f>
        <v>0</v>
      </c>
      <c r="BG86" s="79" t="str">
        <f t="shared" si="29"/>
        <v/>
      </c>
      <c r="BH86" s="99">
        <f>IF($C86="&lt;01",ROUND(INDEX(EID!$L:$L,MATCH($B86,EID!$B:$B,0)),0)/2,IF(SUM($BG86)=0,"",ROUND($AX86/$BG86,0)))</f>
        <v>0</v>
      </c>
    </row>
    <row r="87" spans="1:60" x14ac:dyDescent="0.2">
      <c r="A87" t="str">
        <f>INDEX(Prioritization!$D:$D,MATCH($B87,Prioritization!$A:$A,0))</f>
        <v>4 - Sustained</v>
      </c>
      <c r="B87" t="s">
        <v>307</v>
      </c>
      <c r="C87" t="s">
        <v>473</v>
      </c>
      <c r="D87" t="s">
        <v>30</v>
      </c>
      <c r="E87" t="str">
        <f t="shared" si="19"/>
        <v>Chitipa District [GkIwZrXy1h2]|01-09|Female</v>
      </c>
      <c r="F87" s="229">
        <v>52</v>
      </c>
      <c r="G87" s="38">
        <v>21</v>
      </c>
      <c r="H87" s="38">
        <v>8</v>
      </c>
      <c r="I87" s="38">
        <v>56</v>
      </c>
      <c r="J87" s="38">
        <v>53</v>
      </c>
      <c r="K87" s="38">
        <v>39</v>
      </c>
      <c r="L87" s="38">
        <v>2</v>
      </c>
      <c r="M87" s="38">
        <v>3</v>
      </c>
      <c r="N87" s="38">
        <v>51</v>
      </c>
      <c r="O87" s="229">
        <v>56</v>
      </c>
      <c r="P87" s="38">
        <v>45</v>
      </c>
      <c r="Q87" s="38">
        <v>43</v>
      </c>
      <c r="R87" s="38">
        <f t="shared" si="20"/>
        <v>0</v>
      </c>
      <c r="S87" s="38">
        <f>IF(LEFT($B87,4)="_Mil","",_xlfn.IFNA(ROUND(INDEX(Spectrum!$N:$N,MATCH(RIGHT($B87,13)&amp;"|"&amp;$C87&amp;"|"&amp;$D87&amp;"|"&amp;S$14&amp;"|"&amp;"CY2023Q4",Spectrum!$R:$R,0)),0),""))</f>
        <v>45</v>
      </c>
      <c r="T87" s="218">
        <f>IF(LEFT($B87,4)="_Mil","",_xlfn.IFNA(ROUND(INDEX(Spectrum!$N:$N,MATCH(RIGHT($B87,13)&amp;"|"&amp;$C87&amp;"|"&amp;$D87&amp;"|"&amp;T$14&amp;"|"&amp;"CY2024Q3",Spectrum!$R:$R,0)),0),""))</f>
        <v>33694</v>
      </c>
      <c r="U87" s="218">
        <f>IF(LEFT($B87,4)="_Mil","",_xlfn.IFNA(ROUND(INDEX(Spectrum!$N:$N,MATCH(RIGHT($B87,13)&amp;"|"&amp;$C87&amp;"|"&amp;$D87&amp;"|"&amp;U$14&amp;"|"&amp;"CY2024Q3",Spectrum!$R:$R,0)),0),""))</f>
        <v>56</v>
      </c>
      <c r="V87" s="38">
        <f>IF(LEFT($B87,4)="_Mil","",_xlfn.IFNA(ROUND(INDEX(Spectrum!$N:$N,MATCH(RIGHT($B87,13)&amp;"|"&amp;$C87&amp;"|"&amp;$D87&amp;"|"&amp;V$14&amp;"|"&amp;"CY2024Q3",Spectrum!$R:$R,0)),0),""))</f>
        <v>61</v>
      </c>
      <c r="W87" s="220">
        <f>IF(LEFT($B87,4)="_Mil","",_xlfn.IFNA(INDEX(Spectrum!$N:$N,MATCH(RIGHT($B87,13)&amp;"|"&amp;$C87&amp;"|"&amp;$D87&amp;"|"&amp;W$14&amp;"|"&amp;"CY2024Q3",Spectrum!$R:$R,0)),""))</f>
        <v>1.656804E-3</v>
      </c>
      <c r="X87" s="218">
        <f>IF(LEFT($B87,4)="_Mil","",_xlfn.IFNA(ROUND(INDEX(Spectrum!$N:$N,MATCH(RIGHT($B87,13)&amp;"|"&amp;$C87&amp;"|"&amp;$D87&amp;"|"&amp;X$14&amp;"|"&amp;"CY2024Q3",Spectrum!$R:$R,0)),0),""))</f>
        <v>42</v>
      </c>
      <c r="Y87" s="33">
        <f t="shared" si="21"/>
        <v>0.75</v>
      </c>
      <c r="Z87" s="218">
        <f>IF(LEFT($B87,4)="_Mil","",_xlfn.IFNA(ROUND(INDEX(Spectrum!$N:$N,MATCH(RIGHT($B87,13)&amp;"|"&amp;$C87&amp;"|"&amp;$D87&amp;"|"&amp;Z$14&amp;"|"&amp;"CY2024Q3",Spectrum!$R:$R,0)),0),""))</f>
        <v>43</v>
      </c>
      <c r="AA87" s="33">
        <f>IF(LEFT($B87,4)="_Mil","",IFERROR(1/(1/INDEX(Spectrum!$N:$N,MATCH(RIGHT($B87,13)&amp;"|"&amp;$C87&amp;"|"&amp;$D87&amp;"|"&amp;AA$14&amp;"|"&amp;"CY2024Q3",Spectrum!$R:$R,0))),IF(SUM($U87)=0,"",SUM($Z87)/$U87)))</f>
        <v>0.71373950399999997</v>
      </c>
      <c r="AB87" s="33">
        <f t="shared" si="22"/>
        <v>1.0238095238095237</v>
      </c>
      <c r="AC87" s="38">
        <f>IF(LEFT($B87,4)="_Mil","",_xlfn.IFNA(ROUND(INDEX(Spectrum!$N:$N,MATCH(RIGHT($B87,13)&amp;"|"&amp;$C87&amp;"|"&amp;$D87&amp;"|"&amp;AC$14&amp;"|"&amp;"CY2024Q3",Spectrum!$R:$R,0)),0),""))</f>
        <v>17</v>
      </c>
      <c r="AD87" s="38" t="str">
        <f>IF(LEFT($B87,4)="_Mil","",_xlfn.IFNA(ROUND(INDEX(Spectrum!$N:$N,MATCH(RIGHT($B87,13)&amp;"|"&amp;$C87&amp;"|"&amp;$D87&amp;"|"&amp;AD$14&amp;"|"&amp;"CY2024Q3",Spectrum!$R:$R,0)),0),""))</f>
        <v/>
      </c>
      <c r="AE87" s="33">
        <f t="shared" si="23"/>
        <v>0</v>
      </c>
      <c r="AF87" s="218" t="str">
        <f>IF(LEFT($B87,4)="_Mil","",_xlfn.IFNA(ROUND(INDEX(Spectrum!$N:$N,MATCH(RIGHT($B87,13)&amp;"|"&amp;$C87&amp;"|"&amp;$D87&amp;"|"&amp;AF$14&amp;"|"&amp;"CY2024Q3",Spectrum!$R:$R,0)),0),""))</f>
        <v/>
      </c>
      <c r="AG87" s="33" t="str">
        <f t="shared" si="24"/>
        <v/>
      </c>
      <c r="AH87" s="110" t="str">
        <f>IF(LEFT($B87,4)="_Mil","",_xlfn.IFNA(INDEX(Spectrum!$N:$N,MATCH(RIGHT($B87,13)&amp;"|"&amp;$C87&amp;"|"&amp;$D87&amp;"|"&amp;AH$14&amp;"|"&amp;"CY2024Q3",Spectrum!$R:$R,0)),""))</f>
        <v/>
      </c>
      <c r="AI87" s="218">
        <f>IF(LEFT($B87,4)="_Mil","",_xlfn.IFNA(ROUND(INDEX(Spectrum!$N:$N,MATCH(RIGHT($B87,13)&amp;"|"&amp;$C87&amp;"|"&amp;$D87&amp;"|"&amp;AI$14&amp;"|"&amp;"CY2025Q3",Spectrum!$R:$R,0)),0),""))</f>
        <v>1</v>
      </c>
      <c r="AJ87" s="38">
        <f>IF(LEFT($B87,4)="_Mil","",_xlfn.IFNA(ROUND(INDEX(Spectrum!$N:$N,MATCH(RIGHT($B87,13)&amp;"|"&amp;$C87&amp;"|"&amp;$D87&amp;"|"&amp;AJ$14&amp;"|"&amp;"CY2025Q3",Spectrum!$R:$R,0)),0),""))</f>
        <v>48</v>
      </c>
      <c r="AK87" s="218" t="e">
        <f>#REF!</f>
        <v>#REF!</v>
      </c>
      <c r="AL87" s="33">
        <f t="shared" si="25"/>
        <v>0.9</v>
      </c>
      <c r="AM87" s="38" t="e">
        <f>IF(OR(LEFT($B87,4)="_Mil",$C87="&lt;01"),"",ROUND(SUM($AK87)*SUM($AL87),0))</f>
        <v>#REF!</v>
      </c>
      <c r="AN87" s="38" t="str">
        <f>IF($C87="&lt;01",ROUND(INDEX(EID!$P:$P,MATCH($B87,EID!$B:$B,0))/2,0),"")</f>
        <v/>
      </c>
      <c r="AO87" s="38" t="e">
        <f>IF($C87="&lt;01",SUM($AN87),ROUND(SUM($AM87)*SUM($O87)/IF(SUM($Z87)=0,1,$Z87),0))</f>
        <v>#REF!</v>
      </c>
      <c r="AP87" s="218">
        <f>IF(OR($F87="",$C87="&lt;01"),$AO87,ROUND($F87,0))</f>
        <v>52</v>
      </c>
      <c r="AQ87" s="218">
        <f>IF(LEFT($B87,4)="_Mil","",IF(SUM($AP87)=0,SUM($Z87),IF(OR(SUM($Z87)=0,SUM($O87)=0),MAX($AP87,$Z87),ROUND($AP87*$Z87/$O87,0))))</f>
        <v>40</v>
      </c>
      <c r="AR87" s="33" t="e">
        <f>IF(OR(LEFT($B87,4)="_Mil",SUM($AK87)=0),"",SUM($AQ87)/$AK87)</f>
        <v>#REF!</v>
      </c>
      <c r="AS87" s="33">
        <f>IF($C87="&lt;01","",93%)</f>
        <v>0.93</v>
      </c>
      <c r="AT87" s="33">
        <f t="shared" si="16"/>
        <v>0.98</v>
      </c>
      <c r="AU87" s="38">
        <f>IF($C87="&lt;01","",SUM($AP87)-SUM($O87))</f>
        <v>-4</v>
      </c>
      <c r="AV87" s="38">
        <f>IF($C87="&lt;01",ROUND(INDEX(EID!$N:$N,MATCH($B87,EID!$B:$B,0))/2,0),IF(SUM($AT87)=0,"",ROUND((SUM($AP87)-(SUM($O87)*SUM($AS87)))/$AT87,0)))</f>
        <v>0</v>
      </c>
      <c r="AW87" s="33">
        <f t="shared" si="26"/>
        <v>1</v>
      </c>
      <c r="AX87" s="218">
        <f>IF($C87="&lt;01",SUM($AV87),ROUND(SUM($AV87)*SUM($AW87),0))</f>
        <v>0</v>
      </c>
      <c r="AY87" s="79">
        <f t="shared" si="27"/>
        <v>0.7</v>
      </c>
      <c r="AZ87" s="85">
        <f>IF($C87="&lt;01",ROUND(INDEX(EID!$R:$R,MATCH($B87,EID!$B:$B,0))/2,0),ROUND(SUM($O87)+(SUM($AV87)*$AY87),0))</f>
        <v>56</v>
      </c>
      <c r="BA87" s="40">
        <f t="shared" si="14"/>
        <v>0.9</v>
      </c>
      <c r="BB87" s="99">
        <f>IF($C87="&lt;01",ROUND(INDEX(EID!$T:$T,MATCH($B87,EID!$B:$B,0))/2,0),ROUND($AP87*$BA87,0))</f>
        <v>47</v>
      </c>
      <c r="BC87" s="85">
        <f>IF(LEFT($B87,4)="_Mil","",IF(SUM($BB87)=0,SUM($AD87),IF(OR(SUM($AP87)=0,SUM($AQ87)=0),MAX($BB87,$AD87),ROUND($BB87*$AQ87/$AP87,0))))</f>
        <v>36</v>
      </c>
      <c r="BD87" s="33">
        <f t="shared" si="28"/>
        <v>0.95</v>
      </c>
      <c r="BE87" s="218">
        <f>IF($C87="&lt;01",ROUND(INDEX(EID!$V:$V,MATCH($B87,EID!$B:$B,0))/2,0),ROUND($BD87*$BB87,0))</f>
        <v>45</v>
      </c>
      <c r="BF87" s="218">
        <f>IF(LEFT($B87,4)="_Mil","",IF(SUM($BE87)=0,SUM($AF87),IF(OR(SUM($AP87)=0,SUM($AQ87)=0),MAX($BE87,$AF87),ROUND($BE87*$AQ87/$AP87,0))))</f>
        <v>35</v>
      </c>
      <c r="BG87" s="79">
        <f t="shared" si="29"/>
        <v>0.95</v>
      </c>
      <c r="BH87" s="99">
        <f>IF($C87="&lt;01",ROUND(INDEX(EID!$L:$L,MATCH($B87,EID!$B:$B,0)),0)/2,IF(SUM($BG87)=0,"",ROUND($AX87/$BG87,0)))</f>
        <v>0</v>
      </c>
    </row>
    <row r="88" spans="1:60" x14ac:dyDescent="0.2">
      <c r="A88" t="str">
        <f>INDEX(Prioritization!$D:$D,MATCH($B88,Prioritization!$A:$A,0))</f>
        <v>4 - Sustained</v>
      </c>
      <c r="B88" t="s">
        <v>307</v>
      </c>
      <c r="C88" t="s">
        <v>473</v>
      </c>
      <c r="D88" t="s">
        <v>48</v>
      </c>
      <c r="E88" t="str">
        <f t="shared" si="19"/>
        <v>Chitipa District [GkIwZrXy1h2]|01-09|Male</v>
      </c>
      <c r="F88" s="229">
        <v>46</v>
      </c>
      <c r="G88" s="38">
        <v>11</v>
      </c>
      <c r="H88" s="38">
        <v>4</v>
      </c>
      <c r="I88" s="38">
        <v>39</v>
      </c>
      <c r="J88" s="38">
        <v>33</v>
      </c>
      <c r="K88" s="38">
        <v>21</v>
      </c>
      <c r="L88" s="38">
        <v>2</v>
      </c>
      <c r="M88" s="38">
        <v>3</v>
      </c>
      <c r="N88" s="38">
        <v>52</v>
      </c>
      <c r="O88" s="229">
        <v>46</v>
      </c>
      <c r="P88" s="38">
        <v>47</v>
      </c>
      <c r="Q88" s="38">
        <v>44</v>
      </c>
      <c r="R88" s="38">
        <f t="shared" si="20"/>
        <v>7</v>
      </c>
      <c r="S88" s="38">
        <f>IF(LEFT($B88,4)="_Mil","",_xlfn.IFNA(ROUND(INDEX(Spectrum!$N:$N,MATCH(RIGHT($B88,13)&amp;"|"&amp;$C88&amp;"|"&amp;$D88&amp;"|"&amp;S$14&amp;"|"&amp;"CY2023Q4",Spectrum!$R:$R,0)),0),""))</f>
        <v>46</v>
      </c>
      <c r="T88" s="218">
        <f>IF(LEFT($B88,4)="_Mil","",_xlfn.IFNA(ROUND(INDEX(Spectrum!$N:$N,MATCH(RIGHT($B88,13)&amp;"|"&amp;$C88&amp;"|"&amp;$D88&amp;"|"&amp;T$14&amp;"|"&amp;"CY2024Q3",Spectrum!$R:$R,0)),0),""))</f>
        <v>34101</v>
      </c>
      <c r="U88" s="218">
        <f>IF(LEFT($B88,4)="_Mil","",_xlfn.IFNA(ROUND(INDEX(Spectrum!$N:$N,MATCH(RIGHT($B88,13)&amp;"|"&amp;$C88&amp;"|"&amp;$D88&amp;"|"&amp;U$14&amp;"|"&amp;"CY2024Q3",Spectrum!$R:$R,0)),0),""))</f>
        <v>56</v>
      </c>
      <c r="V88" s="38">
        <f>IF(LEFT($B88,4)="_Mil","",_xlfn.IFNA(ROUND(INDEX(Spectrum!$N:$N,MATCH(RIGHT($B88,13)&amp;"|"&amp;$C88&amp;"|"&amp;$D88&amp;"|"&amp;V$14&amp;"|"&amp;"CY2024Q3",Spectrum!$R:$R,0)),0),""))</f>
        <v>61</v>
      </c>
      <c r="W88" s="220">
        <f>IF(LEFT($B88,4)="_Mil","",_xlfn.IFNA(INDEX(Spectrum!$N:$N,MATCH(RIGHT($B88,13)&amp;"|"&amp;$C88&amp;"|"&amp;$D88&amp;"|"&amp;W$14&amp;"|"&amp;"CY2024Q3",Spectrum!$R:$R,0)),""))</f>
        <v>1.645348E-3</v>
      </c>
      <c r="X88" s="218">
        <f>IF(LEFT($B88,4)="_Mil","",_xlfn.IFNA(ROUND(INDEX(Spectrum!$N:$N,MATCH(RIGHT($B88,13)&amp;"|"&amp;$C88&amp;"|"&amp;$D88&amp;"|"&amp;X$14&amp;"|"&amp;"CY2024Q3",Spectrum!$R:$R,0)),0),""))</f>
        <v>42</v>
      </c>
      <c r="Y88" s="33">
        <f t="shared" si="21"/>
        <v>0.75</v>
      </c>
      <c r="Z88" s="218">
        <f>IF(LEFT($B88,4)="_Mil","",_xlfn.IFNA(ROUND(INDEX(Spectrum!$N:$N,MATCH(RIGHT($B88,13)&amp;"|"&amp;$C88&amp;"|"&amp;$D88&amp;"|"&amp;Z$14&amp;"|"&amp;"CY2024Q3",Spectrum!$R:$R,0)),0),""))</f>
        <v>44</v>
      </c>
      <c r="AA88" s="33">
        <f>IF(LEFT($B88,4)="_Mil","",IFERROR(1/(1/INDEX(Spectrum!$N:$N,MATCH(RIGHT($B88,13)&amp;"|"&amp;$C88&amp;"|"&amp;$D88&amp;"|"&amp;AA$14&amp;"|"&amp;"CY2024Q3",Spectrum!$R:$R,0))),IF(SUM($U88)=0,"",SUM($Z88)/$U88)))</f>
        <v>0.71312361999999996</v>
      </c>
      <c r="AB88" s="33">
        <f t="shared" si="22"/>
        <v>1.0476190476190477</v>
      </c>
      <c r="AC88" s="38">
        <f>IF(LEFT($B88,4)="_Mil","",_xlfn.IFNA(ROUND(INDEX(Spectrum!$N:$N,MATCH(RIGHT($B88,13)&amp;"|"&amp;$C88&amp;"|"&amp;$D88&amp;"|"&amp;AC$14&amp;"|"&amp;"CY2024Q3",Spectrum!$R:$R,0)),0),""))</f>
        <v>17</v>
      </c>
      <c r="AD88" s="38" t="str">
        <f>IF(LEFT($B88,4)="_Mil","",_xlfn.IFNA(ROUND(INDEX(Spectrum!$N:$N,MATCH(RIGHT($B88,13)&amp;"|"&amp;$C88&amp;"|"&amp;$D88&amp;"|"&amp;AD$14&amp;"|"&amp;"CY2024Q3",Spectrum!$R:$R,0)),0),""))</f>
        <v/>
      </c>
      <c r="AE88" s="33">
        <f t="shared" si="23"/>
        <v>0</v>
      </c>
      <c r="AF88" s="218" t="str">
        <f>IF(LEFT($B88,4)="_Mil","",_xlfn.IFNA(ROUND(INDEX(Spectrum!$N:$N,MATCH(RIGHT($B88,13)&amp;"|"&amp;$C88&amp;"|"&amp;$D88&amp;"|"&amp;AF$14&amp;"|"&amp;"CY2024Q3",Spectrum!$R:$R,0)),0),""))</f>
        <v/>
      </c>
      <c r="AG88" s="33" t="str">
        <f t="shared" si="24"/>
        <v/>
      </c>
      <c r="AH88" s="110" t="str">
        <f>IF(LEFT($B88,4)="_Mil","",_xlfn.IFNA(INDEX(Spectrum!$N:$N,MATCH(RIGHT($B88,13)&amp;"|"&amp;$C88&amp;"|"&amp;$D88&amp;"|"&amp;AH$14&amp;"|"&amp;"CY2024Q3",Spectrum!$R:$R,0)),""))</f>
        <v/>
      </c>
      <c r="AI88" s="218">
        <f>IF(LEFT($B88,4)="_Mil","",_xlfn.IFNA(ROUND(INDEX(Spectrum!$N:$N,MATCH(RIGHT($B88,13)&amp;"|"&amp;$C88&amp;"|"&amp;$D88&amp;"|"&amp;AI$14&amp;"|"&amp;"CY2025Q3",Spectrum!$R:$R,0)),0),""))</f>
        <v>1</v>
      </c>
      <c r="AJ88" s="38">
        <f>IF(LEFT($B88,4)="_Mil","",_xlfn.IFNA(ROUND(INDEX(Spectrum!$N:$N,MATCH(RIGHT($B88,13)&amp;"|"&amp;$C88&amp;"|"&amp;$D88&amp;"|"&amp;AJ$14&amp;"|"&amp;"CY2025Q3",Spectrum!$R:$R,0)),0),""))</f>
        <v>48</v>
      </c>
      <c r="AK88" s="218" t="e">
        <f>#REF!</f>
        <v>#REF!</v>
      </c>
      <c r="AL88" s="33">
        <f t="shared" si="25"/>
        <v>0.9</v>
      </c>
      <c r="AM88" s="38" t="e">
        <f>IF(OR(LEFT($B88,4)="_Mil",$C88="&lt;01"),"",ROUND(SUM($AK88)*SUM($AL88),0))</f>
        <v>#REF!</v>
      </c>
      <c r="AN88" s="38" t="str">
        <f>IF($C88="&lt;01",ROUND(INDEX(EID!$P:$P,MATCH($B88,EID!$B:$B,0))/2,0),"")</f>
        <v/>
      </c>
      <c r="AO88" s="38" t="e">
        <f>IF($C88="&lt;01",SUM($AN88),ROUND(SUM($AM88)*SUM($O88)/IF(SUM($Z88)=0,1,$Z88),0))</f>
        <v>#REF!</v>
      </c>
      <c r="AP88" s="218">
        <f>IF(OR($F88="",$C88="&lt;01"),$AO88,ROUND($F88,0))</f>
        <v>46</v>
      </c>
      <c r="AQ88" s="218">
        <f>IF(LEFT($B88,4)="_Mil","",IF(SUM($AP88)=0,SUM($Z88),IF(OR(SUM($Z88)=0,SUM($O88)=0),MAX($AP88,$Z88),ROUND($AP88*$Z88/$O88,0))))</f>
        <v>44</v>
      </c>
      <c r="AR88" s="33" t="e">
        <f>IF(OR(LEFT($B88,4)="_Mil",SUM($AK88)=0),"",SUM($AQ88)/$AK88)</f>
        <v>#REF!</v>
      </c>
      <c r="AS88" s="33">
        <f>IF($C88="&lt;01","",98%)</f>
        <v>0.98</v>
      </c>
      <c r="AT88" s="33">
        <f t="shared" si="16"/>
        <v>0.98</v>
      </c>
      <c r="AU88" s="38">
        <f>IF($C88="&lt;01","",SUM($AP88)-SUM($O88))</f>
        <v>0</v>
      </c>
      <c r="AV88" s="38">
        <f>IF($C88="&lt;01",ROUND(INDEX(EID!$N:$N,MATCH($B88,EID!$B:$B,0))/2,0),IF(SUM($AT88)=0,"",ROUND((SUM($AP88)-(SUM($O88)*SUM($AS88)))/$AT88,0)))</f>
        <v>1</v>
      </c>
      <c r="AW88" s="33">
        <f t="shared" si="26"/>
        <v>1</v>
      </c>
      <c r="AX88" s="218">
        <f>IF($C88="&lt;01",SUM($AV88),ROUND(SUM($AV88)*SUM($AW88),0))</f>
        <v>1</v>
      </c>
      <c r="AY88" s="79">
        <f t="shared" si="27"/>
        <v>0.7</v>
      </c>
      <c r="AZ88" s="85">
        <f>IF($C88="&lt;01",ROUND(INDEX(EID!$R:$R,MATCH($B88,EID!$B:$B,0))/2,0),ROUND(SUM($O88)+(SUM($AV88)*$AY88),0))</f>
        <v>47</v>
      </c>
      <c r="BA88" s="40">
        <f t="shared" si="14"/>
        <v>0.9</v>
      </c>
      <c r="BB88" s="99">
        <f>IF($C88="&lt;01",ROUND(INDEX(EID!$T:$T,MATCH($B88,EID!$B:$B,0))/2,0),ROUND($AP88*$BA88,0))</f>
        <v>41</v>
      </c>
      <c r="BC88" s="85">
        <f>IF(LEFT($B88,4)="_Mil","",IF(SUM($BB88)=0,SUM($AD88),IF(OR(SUM($AP88)=0,SUM($AQ88)=0),MAX($BB88,$AD88),ROUND($BB88*$AQ88/$AP88,0))))</f>
        <v>39</v>
      </c>
      <c r="BD88" s="33">
        <f t="shared" si="28"/>
        <v>0.95</v>
      </c>
      <c r="BE88" s="218">
        <f>IF($C88="&lt;01",ROUND(INDEX(EID!$V:$V,MATCH($B88,EID!$B:$B,0))/2,0),ROUND($BD88*$BB88,0))</f>
        <v>39</v>
      </c>
      <c r="BF88" s="218">
        <f>IF(LEFT($B88,4)="_Mil","",IF(SUM($BE88)=0,SUM($AF88),IF(OR(SUM($AP88)=0,SUM($AQ88)=0),MAX($BE88,$AF88),ROUND($BE88*$AQ88/$AP88,0))))</f>
        <v>37</v>
      </c>
      <c r="BG88" s="79">
        <f t="shared" si="29"/>
        <v>0.95</v>
      </c>
      <c r="BH88" s="99">
        <f>IF($C88="&lt;01",ROUND(INDEX(EID!$L:$L,MATCH($B88,EID!$B:$B,0)),0)/2,IF(SUM($BG88)=0,"",ROUND($AX88/$BG88,0)))</f>
        <v>1</v>
      </c>
    </row>
    <row r="89" spans="1:60" x14ac:dyDescent="0.2">
      <c r="A89" t="str">
        <f>INDEX(Prioritization!$D:$D,MATCH($B89,Prioritization!$A:$A,0))</f>
        <v>4 - Sustained</v>
      </c>
      <c r="B89" t="s">
        <v>307</v>
      </c>
      <c r="C89" t="s">
        <v>474</v>
      </c>
      <c r="D89" t="s">
        <v>30</v>
      </c>
      <c r="E89" t="str">
        <f t="shared" si="19"/>
        <v>Chitipa District [GkIwZrXy1h2]|10-14|Female</v>
      </c>
      <c r="F89" s="229">
        <v>62</v>
      </c>
      <c r="G89" s="38">
        <v>6</v>
      </c>
      <c r="H89" s="38">
        <v>2</v>
      </c>
      <c r="I89" s="38">
        <v>62</v>
      </c>
      <c r="J89" s="38">
        <v>38</v>
      </c>
      <c r="K89" s="38">
        <v>19</v>
      </c>
      <c r="L89" s="38">
        <v>8</v>
      </c>
      <c r="M89" s="38">
        <v>8</v>
      </c>
      <c r="N89" s="38">
        <v>67</v>
      </c>
      <c r="O89" s="229">
        <v>62</v>
      </c>
      <c r="P89" s="38">
        <v>56</v>
      </c>
      <c r="Q89" s="38">
        <v>53</v>
      </c>
      <c r="R89" s="38">
        <f t="shared" si="20"/>
        <v>0</v>
      </c>
      <c r="S89" s="38">
        <f>IF(LEFT($B89,4)="_Mil","",_xlfn.IFNA(ROUND(INDEX(Spectrum!$N:$N,MATCH(RIGHT($B89,13)&amp;"|"&amp;$C89&amp;"|"&amp;$D89&amp;"|"&amp;S$14&amp;"|"&amp;"CY2023Q4",Spectrum!$R:$R,0)),0),""))</f>
        <v>62</v>
      </c>
      <c r="T89" s="218">
        <f>IF(LEFT($B89,4)="_Mil","",_xlfn.IFNA(ROUND(INDEX(Spectrum!$N:$N,MATCH(RIGHT($B89,13)&amp;"|"&amp;$C89&amp;"|"&amp;$D89&amp;"|"&amp;T$14&amp;"|"&amp;"CY2024Q3",Spectrum!$R:$R,0)),0),""))</f>
        <v>19215</v>
      </c>
      <c r="U89" s="218">
        <f>IF(LEFT($B89,4)="_Mil","",_xlfn.IFNA(ROUND(INDEX(Spectrum!$N:$N,MATCH(RIGHT($B89,13)&amp;"|"&amp;$C89&amp;"|"&amp;$D89&amp;"|"&amp;U$14&amp;"|"&amp;"CY2024Q3",Spectrum!$R:$R,0)),0),""))</f>
        <v>75</v>
      </c>
      <c r="V89" s="38">
        <f>IF(LEFT($B89,4)="_Mil","",_xlfn.IFNA(ROUND(INDEX(Spectrum!$N:$N,MATCH(RIGHT($B89,13)&amp;"|"&amp;$C89&amp;"|"&amp;$D89&amp;"|"&amp;V$14&amp;"|"&amp;"CY2024Q3",Spectrum!$R:$R,0)),0),""))</f>
        <v>82</v>
      </c>
      <c r="W89" s="220">
        <f>IF(LEFT($B89,4)="_Mil","",_xlfn.IFNA(INDEX(Spectrum!$N:$N,MATCH(RIGHT($B89,13)&amp;"|"&amp;$C89&amp;"|"&amp;$D89&amp;"|"&amp;W$14&amp;"|"&amp;"CY2024Q3",Spectrum!$R:$R,0)),""))</f>
        <v>3.9050600000000001E-3</v>
      </c>
      <c r="X89" s="218">
        <f>IF(LEFT($B89,4)="_Mil","",_xlfn.IFNA(ROUND(INDEX(Spectrum!$N:$N,MATCH(RIGHT($B89,13)&amp;"|"&amp;$C89&amp;"|"&amp;$D89&amp;"|"&amp;X$14&amp;"|"&amp;"CY2024Q3",Spectrum!$R:$R,0)),0),""))</f>
        <v>59</v>
      </c>
      <c r="Y89" s="33">
        <f t="shared" si="21"/>
        <v>0.79</v>
      </c>
      <c r="Z89" s="218">
        <f>IF(LEFT($B89,4)="_Mil","",_xlfn.IFNA(ROUND(INDEX(Spectrum!$N:$N,MATCH(RIGHT($B89,13)&amp;"|"&amp;$C89&amp;"|"&amp;$D89&amp;"|"&amp;Z$14&amp;"|"&amp;"CY2024Q3",Spectrum!$R:$R,0)),0),""))</f>
        <v>61</v>
      </c>
      <c r="AA89" s="33">
        <f>IF(LEFT($B89,4)="_Mil","",IFERROR(1/(1/INDEX(Spectrum!$N:$N,MATCH(RIGHT($B89,13)&amp;"|"&amp;$C89&amp;"|"&amp;$D89&amp;"|"&amp;AA$14&amp;"|"&amp;"CY2024Q3",Spectrum!$R:$R,0))),IF(SUM($U89)=0,"",SUM($Z89)/$U89)))</f>
        <v>0.74950894700000004</v>
      </c>
      <c r="AB89" s="33">
        <f t="shared" si="22"/>
        <v>1.0338983050847457</v>
      </c>
      <c r="AC89" s="38">
        <f>IF(LEFT($B89,4)="_Mil","",_xlfn.IFNA(ROUND(INDEX(Spectrum!$N:$N,MATCH(RIGHT($B89,13)&amp;"|"&amp;$C89&amp;"|"&amp;$D89&amp;"|"&amp;AC$14&amp;"|"&amp;"CY2024Q3",Spectrum!$R:$R,0)),0),""))</f>
        <v>21</v>
      </c>
      <c r="AD89" s="38" t="str">
        <f>IF(LEFT($B89,4)="_Mil","",_xlfn.IFNA(ROUND(INDEX(Spectrum!$N:$N,MATCH(RIGHT($B89,13)&amp;"|"&amp;$C89&amp;"|"&amp;$D89&amp;"|"&amp;AD$14&amp;"|"&amp;"CY2024Q3",Spectrum!$R:$R,0)),0),""))</f>
        <v/>
      </c>
      <c r="AE89" s="33">
        <f t="shared" si="23"/>
        <v>0</v>
      </c>
      <c r="AF89" s="218" t="str">
        <f>IF(LEFT($B89,4)="_Mil","",_xlfn.IFNA(ROUND(INDEX(Spectrum!$N:$N,MATCH(RIGHT($B89,13)&amp;"|"&amp;$C89&amp;"|"&amp;$D89&amp;"|"&amp;AF$14&amp;"|"&amp;"CY2024Q3",Spectrum!$R:$R,0)),0),""))</f>
        <v/>
      </c>
      <c r="AG89" s="33" t="str">
        <f t="shared" si="24"/>
        <v/>
      </c>
      <c r="AH89" s="110" t="str">
        <f>IF(LEFT($B89,4)="_Mil","",_xlfn.IFNA(INDEX(Spectrum!$N:$N,MATCH(RIGHT($B89,13)&amp;"|"&amp;$C89&amp;"|"&amp;$D89&amp;"|"&amp;AH$14&amp;"|"&amp;"CY2024Q3",Spectrum!$R:$R,0)),""))</f>
        <v/>
      </c>
      <c r="AI89" s="218">
        <f>IF(LEFT($B89,4)="_Mil","",_xlfn.IFNA(ROUND(INDEX(Spectrum!$N:$N,MATCH(RIGHT($B89,13)&amp;"|"&amp;$C89&amp;"|"&amp;$D89&amp;"|"&amp;AI$14&amp;"|"&amp;"CY2025Q3",Spectrum!$R:$R,0)),0),""))</f>
        <v>0</v>
      </c>
      <c r="AJ89" s="38">
        <f>IF(LEFT($B89,4)="_Mil","",_xlfn.IFNA(ROUND(INDEX(Spectrum!$N:$N,MATCH(RIGHT($B89,13)&amp;"|"&amp;$C89&amp;"|"&amp;$D89&amp;"|"&amp;AJ$14&amp;"|"&amp;"CY2025Q3",Spectrum!$R:$R,0)),0),""))</f>
        <v>67</v>
      </c>
      <c r="AK89" s="218" t="e">
        <f>#REF!</f>
        <v>#REF!</v>
      </c>
      <c r="AL89" s="33">
        <f t="shared" si="25"/>
        <v>0.9</v>
      </c>
      <c r="AM89" s="38" t="e">
        <f>IF(OR(LEFT($B89,4)="_Mil",$C89="&lt;01"),"",ROUND(SUM($AK89)*SUM($AL89),0))</f>
        <v>#REF!</v>
      </c>
      <c r="AN89" s="38" t="str">
        <f>IF($C89="&lt;01",ROUND(INDEX(EID!$P:$P,MATCH($B89,EID!$B:$B,0))/2,0),"")</f>
        <v/>
      </c>
      <c r="AO89" s="38" t="e">
        <f>IF($C89="&lt;01",SUM($AN89),ROUND(SUM($AM89)*SUM($O89)/IF(SUM($Z89)=0,1,$Z89),0))</f>
        <v>#REF!</v>
      </c>
      <c r="AP89" s="218">
        <f>IF(OR($F89="",$C89="&lt;01"),$AO89,ROUND($F89,0))</f>
        <v>62</v>
      </c>
      <c r="AQ89" s="218">
        <f>IF(LEFT($B89,4)="_Mil","",IF(SUM($AP89)=0,SUM($Z89),IF(OR(SUM($Z89)=0,SUM($O89)=0),MAX($AP89,$Z89),ROUND($AP89*$Z89/$O89,0))))</f>
        <v>61</v>
      </c>
      <c r="AR89" s="33" t="e">
        <f>IF(OR(LEFT($B89,4)="_Mil",SUM($AK89)=0),"",SUM($AQ89)/$AK89)</f>
        <v>#REF!</v>
      </c>
      <c r="AS89" s="33">
        <f>IF($C89="&lt;01","",85%)</f>
        <v>0.85</v>
      </c>
      <c r="AT89" s="33">
        <f t="shared" si="16"/>
        <v>0.98</v>
      </c>
      <c r="AU89" s="38">
        <f>IF($C89="&lt;01","",SUM($AP89)-SUM($O89))</f>
        <v>0</v>
      </c>
      <c r="AV89" s="38">
        <f>IF($C89="&lt;01",ROUND(INDEX(EID!$N:$N,MATCH($B89,EID!$B:$B,0))/2,0),IF(SUM($AT89)=0,"",ROUND((SUM($AP89)-(SUM($O89)*SUM($AS89)))/$AT89,0)))</f>
        <v>9</v>
      </c>
      <c r="AW89" s="33">
        <f t="shared" si="26"/>
        <v>1</v>
      </c>
      <c r="AX89" s="218">
        <f>IF($C89="&lt;01",SUM($AV89),ROUND(SUM($AV89)*SUM($AW89),0))</f>
        <v>9</v>
      </c>
      <c r="AY89" s="79">
        <f t="shared" si="27"/>
        <v>0.7</v>
      </c>
      <c r="AZ89" s="85">
        <f>IF($C89="&lt;01",ROUND(INDEX(EID!$R:$R,MATCH($B89,EID!$B:$B,0))/2,0),ROUND(SUM($O89)+(SUM($AV89)*$AY89),0))</f>
        <v>68</v>
      </c>
      <c r="BA89" s="40">
        <f t="shared" si="14"/>
        <v>0.9</v>
      </c>
      <c r="BB89" s="99">
        <f>IF($C89="&lt;01",ROUND(INDEX(EID!$T:$T,MATCH($B89,EID!$B:$B,0))/2,0),ROUND($AP89*$BA89,0))</f>
        <v>56</v>
      </c>
      <c r="BC89" s="85">
        <f>IF(LEFT($B89,4)="_Mil","",IF(SUM($BB89)=0,SUM($AD89),IF(OR(SUM($AP89)=0,SUM($AQ89)=0),MAX($BB89,$AD89),ROUND($BB89*$AQ89/$AP89,0))))</f>
        <v>55</v>
      </c>
      <c r="BD89" s="33">
        <f t="shared" si="28"/>
        <v>0.95</v>
      </c>
      <c r="BE89" s="218">
        <f>IF($C89="&lt;01",ROUND(INDEX(EID!$V:$V,MATCH($B89,EID!$B:$B,0))/2,0),ROUND($BD89*$BB89,0))</f>
        <v>53</v>
      </c>
      <c r="BF89" s="218">
        <f>IF(LEFT($B89,4)="_Mil","",IF(SUM($BE89)=0,SUM($AF89),IF(OR(SUM($AP89)=0,SUM($AQ89)=0),MAX($BE89,$AF89),ROUND($BE89*$AQ89/$AP89,0))))</f>
        <v>52</v>
      </c>
      <c r="BG89" s="79">
        <f t="shared" si="29"/>
        <v>0.95</v>
      </c>
      <c r="BH89" s="99">
        <f>IF($C89="&lt;01",ROUND(INDEX(EID!$L:$L,MATCH($B89,EID!$B:$B,0)),0)/2,IF(SUM($BG89)=0,"",ROUND($AX89/$BG89,0)))</f>
        <v>9</v>
      </c>
    </row>
    <row r="90" spans="1:60" x14ac:dyDescent="0.2">
      <c r="A90" t="str">
        <f>INDEX(Prioritization!$D:$D,MATCH($B90,Prioritization!$A:$A,0))</f>
        <v>4 - Sustained</v>
      </c>
      <c r="B90" t="s">
        <v>307</v>
      </c>
      <c r="C90" t="s">
        <v>474</v>
      </c>
      <c r="D90" t="s">
        <v>48</v>
      </c>
      <c r="E90" t="str">
        <f t="shared" si="19"/>
        <v>Chitipa District [GkIwZrXy1h2]|10-14|Male</v>
      </c>
      <c r="F90" s="229">
        <v>62</v>
      </c>
      <c r="G90" s="38">
        <v>8</v>
      </c>
      <c r="H90" s="38">
        <v>3</v>
      </c>
      <c r="I90" s="38">
        <v>62</v>
      </c>
      <c r="J90" s="38">
        <v>31</v>
      </c>
      <c r="K90" s="38">
        <v>19</v>
      </c>
      <c r="L90" s="38">
        <v>9</v>
      </c>
      <c r="M90" s="38">
        <v>9</v>
      </c>
      <c r="N90" s="38">
        <v>68</v>
      </c>
      <c r="O90" s="229">
        <v>62</v>
      </c>
      <c r="P90" s="38">
        <v>57</v>
      </c>
      <c r="Q90" s="38">
        <v>55</v>
      </c>
      <c r="R90" s="38">
        <f t="shared" si="20"/>
        <v>0</v>
      </c>
      <c r="S90" s="38">
        <f>IF(LEFT($B90,4)="_Mil","",_xlfn.IFNA(ROUND(INDEX(Spectrum!$N:$N,MATCH(RIGHT($B90,13)&amp;"|"&amp;$C90&amp;"|"&amp;$D90&amp;"|"&amp;S$14&amp;"|"&amp;"CY2023Q4",Spectrum!$R:$R,0)),0),""))</f>
        <v>62</v>
      </c>
      <c r="T90" s="218">
        <f>IF(LEFT($B90,4)="_Mil","",_xlfn.IFNA(ROUND(INDEX(Spectrum!$N:$N,MATCH(RIGHT($B90,13)&amp;"|"&amp;$C90&amp;"|"&amp;$D90&amp;"|"&amp;T$14&amp;"|"&amp;"CY2024Q3",Spectrum!$R:$R,0)),0),""))</f>
        <v>19012</v>
      </c>
      <c r="U90" s="218">
        <f>IF(LEFT($B90,4)="_Mil","",_xlfn.IFNA(ROUND(INDEX(Spectrum!$N:$N,MATCH(RIGHT($B90,13)&amp;"|"&amp;$C90&amp;"|"&amp;$D90&amp;"|"&amp;U$14&amp;"|"&amp;"CY2024Q3",Spectrum!$R:$R,0)),0),""))</f>
        <v>74</v>
      </c>
      <c r="V90" s="38">
        <f>IF(LEFT($B90,4)="_Mil","",_xlfn.IFNA(ROUND(INDEX(Spectrum!$N:$N,MATCH(RIGHT($B90,13)&amp;"|"&amp;$C90&amp;"|"&amp;$D90&amp;"|"&amp;V$14&amp;"|"&amp;"CY2024Q3",Spectrum!$R:$R,0)),0),""))</f>
        <v>80</v>
      </c>
      <c r="W90" s="220">
        <f>IF(LEFT($B90,4)="_Mil","",_xlfn.IFNA(INDEX(Spectrum!$N:$N,MATCH(RIGHT($B90,13)&amp;"|"&amp;$C90&amp;"|"&amp;$D90&amp;"|"&amp;W$14&amp;"|"&amp;"CY2024Q3",Spectrum!$R:$R,0)),""))</f>
        <v>3.8905150000000002E-3</v>
      </c>
      <c r="X90" s="218">
        <f>IF(LEFT($B90,4)="_Mil","",_xlfn.IFNA(ROUND(INDEX(Spectrum!$N:$N,MATCH(RIGHT($B90,13)&amp;"|"&amp;$C90&amp;"|"&amp;$D90&amp;"|"&amp;X$14&amp;"|"&amp;"CY2024Q3",Spectrum!$R:$R,0)),0),""))</f>
        <v>58</v>
      </c>
      <c r="Y90" s="33">
        <f t="shared" si="21"/>
        <v>0.78</v>
      </c>
      <c r="Z90" s="218">
        <f>IF(LEFT($B90,4)="_Mil","",_xlfn.IFNA(ROUND(INDEX(Spectrum!$N:$N,MATCH(RIGHT($B90,13)&amp;"|"&amp;$C90&amp;"|"&amp;$D90&amp;"|"&amp;Z$14&amp;"|"&amp;"CY2024Q3",Spectrum!$R:$R,0)),0),""))</f>
        <v>60</v>
      </c>
      <c r="AA90" s="33">
        <f>IF(LEFT($B90,4)="_Mil","",IFERROR(1/(1/INDEX(Spectrum!$N:$N,MATCH(RIGHT($B90,13)&amp;"|"&amp;$C90&amp;"|"&amp;$D90&amp;"|"&amp;AA$14&amp;"|"&amp;"CY2024Q3",Spectrum!$R:$R,0))),IF(SUM($U90)=0,"",SUM($Z90)/$U90)))</f>
        <v>0.74866735500000003</v>
      </c>
      <c r="AB90" s="33">
        <f t="shared" si="22"/>
        <v>1.0344827586206897</v>
      </c>
      <c r="AC90" s="38">
        <f>IF(LEFT($B90,4)="_Mil","",_xlfn.IFNA(ROUND(INDEX(Spectrum!$N:$N,MATCH(RIGHT($B90,13)&amp;"|"&amp;$C90&amp;"|"&amp;$D90&amp;"|"&amp;AC$14&amp;"|"&amp;"CY2024Q3",Spectrum!$R:$R,0)),0),""))</f>
        <v>20</v>
      </c>
      <c r="AD90" s="38" t="str">
        <f>IF(LEFT($B90,4)="_Mil","",_xlfn.IFNA(ROUND(INDEX(Spectrum!$N:$N,MATCH(RIGHT($B90,13)&amp;"|"&amp;$C90&amp;"|"&amp;$D90&amp;"|"&amp;AD$14&amp;"|"&amp;"CY2024Q3",Spectrum!$R:$R,0)),0),""))</f>
        <v/>
      </c>
      <c r="AE90" s="33">
        <f t="shared" si="23"/>
        <v>0</v>
      </c>
      <c r="AF90" s="218" t="str">
        <f>IF(LEFT($B90,4)="_Mil","",_xlfn.IFNA(ROUND(INDEX(Spectrum!$N:$N,MATCH(RIGHT($B90,13)&amp;"|"&amp;$C90&amp;"|"&amp;$D90&amp;"|"&amp;AF$14&amp;"|"&amp;"CY2024Q3",Spectrum!$R:$R,0)),0),""))</f>
        <v/>
      </c>
      <c r="AG90" s="33" t="str">
        <f t="shared" si="24"/>
        <v/>
      </c>
      <c r="AH90" s="110" t="str">
        <f>IF(LEFT($B90,4)="_Mil","",_xlfn.IFNA(INDEX(Spectrum!$N:$N,MATCH(RIGHT($B90,13)&amp;"|"&amp;$C90&amp;"|"&amp;$D90&amp;"|"&amp;AH$14&amp;"|"&amp;"CY2024Q3",Spectrum!$R:$R,0)),""))</f>
        <v/>
      </c>
      <c r="AI90" s="218">
        <f>IF(LEFT($B90,4)="_Mil","",_xlfn.IFNA(ROUND(INDEX(Spectrum!$N:$N,MATCH(RIGHT($B90,13)&amp;"|"&amp;$C90&amp;"|"&amp;$D90&amp;"|"&amp;AI$14&amp;"|"&amp;"CY2025Q3",Spectrum!$R:$R,0)),0),""))</f>
        <v>0</v>
      </c>
      <c r="AJ90" s="38">
        <f>IF(LEFT($B90,4)="_Mil","",_xlfn.IFNA(ROUND(INDEX(Spectrum!$N:$N,MATCH(RIGHT($B90,13)&amp;"|"&amp;$C90&amp;"|"&amp;$D90&amp;"|"&amp;AJ$14&amp;"|"&amp;"CY2025Q3",Spectrum!$R:$R,0)),0),""))</f>
        <v>66</v>
      </c>
      <c r="AK90" s="218" t="e">
        <f>#REF!</f>
        <v>#REF!</v>
      </c>
      <c r="AL90" s="33">
        <f t="shared" si="25"/>
        <v>0.9</v>
      </c>
      <c r="AM90" s="38" t="e">
        <f>IF(OR(LEFT($B90,4)="_Mil",$C90="&lt;01"),"",ROUND(SUM($AK90)*SUM($AL90),0))</f>
        <v>#REF!</v>
      </c>
      <c r="AN90" s="38" t="str">
        <f>IF($C90="&lt;01",ROUND(INDEX(EID!$P:$P,MATCH($B90,EID!$B:$B,0))/2,0),"")</f>
        <v/>
      </c>
      <c r="AO90" s="38" t="e">
        <f>IF($C90="&lt;01",SUM($AN90),ROUND(SUM($AM90)*SUM($O90)/IF(SUM($Z90)=0,1,$Z90),0))</f>
        <v>#REF!</v>
      </c>
      <c r="AP90" s="218">
        <f>IF(OR($F90="",$C90="&lt;01"),$AO90,ROUND($F90,0))</f>
        <v>62</v>
      </c>
      <c r="AQ90" s="218">
        <f>IF(LEFT($B90,4)="_Mil","",IF(SUM($AP90)=0,SUM($Z90),IF(OR(SUM($Z90)=0,SUM($O90)=0),MAX($AP90,$Z90),ROUND($AP90*$Z90/$O90,0))))</f>
        <v>60</v>
      </c>
      <c r="AR90" s="33" t="e">
        <f>IF(OR(LEFT($B90,4)="_Mil",SUM($AK90)=0),"",SUM($AQ90)/$AK90)</f>
        <v>#REF!</v>
      </c>
      <c r="AS90" s="33">
        <f>IF($C90="&lt;01","",98%)</f>
        <v>0.98</v>
      </c>
      <c r="AT90" s="33">
        <f t="shared" si="16"/>
        <v>0.98</v>
      </c>
      <c r="AU90" s="38">
        <f>IF($C90="&lt;01","",SUM($AP90)-SUM($O90))</f>
        <v>0</v>
      </c>
      <c r="AV90" s="38">
        <f>IF($C90="&lt;01",ROUND(INDEX(EID!$N:$N,MATCH($B90,EID!$B:$B,0))/2,0),IF(SUM($AT90)=0,"",ROUND((SUM($AP90)-(SUM($O90)*SUM($AS90)))/$AT90,0)))</f>
        <v>1</v>
      </c>
      <c r="AW90" s="33">
        <f t="shared" si="26"/>
        <v>1</v>
      </c>
      <c r="AX90" s="218">
        <f>IF($C90="&lt;01",SUM($AV90),ROUND(SUM($AV90)*SUM($AW90),0))</f>
        <v>1</v>
      </c>
      <c r="AY90" s="79">
        <f t="shared" si="27"/>
        <v>0.7</v>
      </c>
      <c r="AZ90" s="85">
        <f>IF($C90="&lt;01",ROUND(INDEX(EID!$R:$R,MATCH($B90,EID!$B:$B,0))/2,0),ROUND(SUM($O90)+(SUM($AV90)*$AY90),0))</f>
        <v>63</v>
      </c>
      <c r="BA90" s="40">
        <f t="shared" si="14"/>
        <v>0.9</v>
      </c>
      <c r="BB90" s="99">
        <f>IF($C90="&lt;01",ROUND(INDEX(EID!$T:$T,MATCH($B90,EID!$B:$B,0))/2,0),ROUND($AP90*$BA90,0))</f>
        <v>56</v>
      </c>
      <c r="BC90" s="85">
        <f>IF(LEFT($B90,4)="_Mil","",IF(SUM($BB90)=0,SUM($AD90),IF(OR(SUM($AP90)=0,SUM($AQ90)=0),MAX($BB90,$AD90),ROUND($BB90*$AQ90/$AP90,0))))</f>
        <v>54</v>
      </c>
      <c r="BD90" s="33">
        <f t="shared" si="28"/>
        <v>0.95</v>
      </c>
      <c r="BE90" s="218">
        <f>IF($C90="&lt;01",ROUND(INDEX(EID!$V:$V,MATCH($B90,EID!$B:$B,0))/2,0),ROUND($BD90*$BB90,0))</f>
        <v>53</v>
      </c>
      <c r="BF90" s="218">
        <f>IF(LEFT($B90,4)="_Mil","",IF(SUM($BE90)=0,SUM($AF90),IF(OR(SUM($AP90)=0,SUM($AQ90)=0),MAX($BE90,$AF90),ROUND($BE90*$AQ90/$AP90,0))))</f>
        <v>51</v>
      </c>
      <c r="BG90" s="79">
        <f t="shared" si="29"/>
        <v>0.95</v>
      </c>
      <c r="BH90" s="99">
        <f>IF($C90="&lt;01",ROUND(INDEX(EID!$L:$L,MATCH($B90,EID!$B:$B,0)),0)/2,IF(SUM($BG90)=0,"",ROUND($AX90/$BG90,0)))</f>
        <v>1</v>
      </c>
    </row>
    <row r="91" spans="1:60" x14ac:dyDescent="0.2">
      <c r="A91" t="str">
        <f>INDEX(Prioritization!$D:$D,MATCH($B91,Prioritization!$A:$A,0))</f>
        <v>4 - Sustained</v>
      </c>
      <c r="B91" t="s">
        <v>307</v>
      </c>
      <c r="C91" t="s">
        <v>475</v>
      </c>
      <c r="D91" t="s">
        <v>30</v>
      </c>
      <c r="E91" t="str">
        <f t="shared" si="19"/>
        <v>Chitipa District [GkIwZrXy1h2]|15-24|Female</v>
      </c>
      <c r="F91" s="229">
        <v>275</v>
      </c>
      <c r="G91" s="38">
        <v>96</v>
      </c>
      <c r="H91" s="38">
        <v>92</v>
      </c>
      <c r="I91" s="38">
        <v>298</v>
      </c>
      <c r="J91" s="38">
        <v>193</v>
      </c>
      <c r="K91" s="38">
        <v>169</v>
      </c>
      <c r="L91" s="38">
        <v>24</v>
      </c>
      <c r="M91" s="38">
        <v>24</v>
      </c>
      <c r="N91" s="38">
        <v>280</v>
      </c>
      <c r="O91" s="229">
        <v>280</v>
      </c>
      <c r="P91" s="38">
        <v>257</v>
      </c>
      <c r="Q91" s="38">
        <v>244</v>
      </c>
      <c r="R91" s="38">
        <f t="shared" si="20"/>
        <v>-18</v>
      </c>
      <c r="S91" s="38">
        <f>IF(LEFT($B91,4)="_Mil","",_xlfn.IFNA(ROUND(INDEX(Spectrum!$N:$N,MATCH(RIGHT($B91,13)&amp;"|"&amp;$C91&amp;"|"&amp;$D91&amp;"|"&amp;S$14&amp;"|"&amp;"CY2023Q4",Spectrum!$R:$R,0)),0),""))</f>
        <v>264</v>
      </c>
      <c r="T91" s="218">
        <f>IF(LEFT($B91,4)="_Mil","",_xlfn.IFNA(ROUND(INDEX(Spectrum!$N:$N,MATCH(RIGHT($B91,13)&amp;"|"&amp;$C91&amp;"|"&amp;$D91&amp;"|"&amp;T$14&amp;"|"&amp;"CY2024Q3",Spectrum!$R:$R,0)),0),""))</f>
        <v>31471</v>
      </c>
      <c r="U91" s="218">
        <f>IF(LEFT($B91,4)="_Mil","",_xlfn.IFNA(ROUND(INDEX(Spectrum!$N:$N,MATCH(RIGHT($B91,13)&amp;"|"&amp;$C91&amp;"|"&amp;$D91&amp;"|"&amp;U$14&amp;"|"&amp;"CY2024Q3",Spectrum!$R:$R,0)),0),""))</f>
        <v>257</v>
      </c>
      <c r="V91" s="38">
        <f>IF(LEFT($B91,4)="_Mil","",_xlfn.IFNA(ROUND(INDEX(Spectrum!$N:$N,MATCH(RIGHT($B91,13)&amp;"|"&amp;$C91&amp;"|"&amp;$D91&amp;"|"&amp;V$14&amp;"|"&amp;"CY2024Q3",Spectrum!$R:$R,0)),0),""))</f>
        <v>280</v>
      </c>
      <c r="W91" s="220">
        <f>IF(LEFT($B91,4)="_Mil","",_xlfn.IFNA(INDEX(Spectrum!$N:$N,MATCH(RIGHT($B91,13)&amp;"|"&amp;$C91&amp;"|"&amp;$D91&amp;"|"&amp;W$14&amp;"|"&amp;"CY2024Q3",Spectrum!$R:$R,0)),""))</f>
        <v>8.1504309999999996E-3</v>
      </c>
      <c r="X91" s="218">
        <f>IF(LEFT($B91,4)="_Mil","",_xlfn.IFNA(ROUND(INDEX(Spectrum!$N:$N,MATCH(RIGHT($B91,13)&amp;"|"&amp;$C91&amp;"|"&amp;$D91&amp;"|"&amp;X$14&amp;"|"&amp;"CY2024Q3",Spectrum!$R:$R,0)),0),""))</f>
        <v>239</v>
      </c>
      <c r="Y91" s="33">
        <f t="shared" si="21"/>
        <v>0.93</v>
      </c>
      <c r="Z91" s="218">
        <f>IF(LEFT($B91,4)="_Mil","",_xlfn.IFNA(ROUND(INDEX(Spectrum!$N:$N,MATCH(RIGHT($B91,13)&amp;"|"&amp;$C91&amp;"|"&amp;$D91&amp;"|"&amp;Z$14&amp;"|"&amp;"CY2024Q3",Spectrum!$R:$R,0)),0),""))</f>
        <v>261</v>
      </c>
      <c r="AA91" s="33">
        <f>IF(LEFT($B91,4)="_Mil","",IFERROR(1/(1/INDEX(Spectrum!$N:$N,MATCH(RIGHT($B91,13)&amp;"|"&amp;$C91&amp;"|"&amp;$D91&amp;"|"&amp;AA$14&amp;"|"&amp;"CY2024Q3",Spectrum!$R:$R,0))),IF(SUM($U91)=0,"",SUM($Z91)/$U91)))</f>
        <v>0.93034223400000005</v>
      </c>
      <c r="AB91" s="33">
        <f t="shared" si="22"/>
        <v>1.0920502092050208</v>
      </c>
      <c r="AC91" s="38">
        <f>IF(LEFT($B91,4)="_Mil","",_xlfn.IFNA(ROUND(INDEX(Spectrum!$N:$N,MATCH(RIGHT($B91,13)&amp;"|"&amp;$C91&amp;"|"&amp;$D91&amp;"|"&amp;AC$14&amp;"|"&amp;"CY2024Q3",Spectrum!$R:$R,0)),0),""))</f>
        <v>19</v>
      </c>
      <c r="AD91" s="38" t="str">
        <f>IF(LEFT($B91,4)="_Mil","",_xlfn.IFNA(ROUND(INDEX(Spectrum!$N:$N,MATCH(RIGHT($B91,13)&amp;"|"&amp;$C91&amp;"|"&amp;$D91&amp;"|"&amp;AD$14&amp;"|"&amp;"CY2024Q3",Spectrum!$R:$R,0)),0),""))</f>
        <v/>
      </c>
      <c r="AE91" s="33">
        <f t="shared" si="23"/>
        <v>0</v>
      </c>
      <c r="AF91" s="218" t="str">
        <f>IF(LEFT($B91,4)="_Mil","",_xlfn.IFNA(ROUND(INDEX(Spectrum!$N:$N,MATCH(RIGHT($B91,13)&amp;"|"&amp;$C91&amp;"|"&amp;$D91&amp;"|"&amp;AF$14&amp;"|"&amp;"CY2024Q3",Spectrum!$R:$R,0)),0),""))</f>
        <v/>
      </c>
      <c r="AG91" s="33" t="str">
        <f t="shared" si="24"/>
        <v/>
      </c>
      <c r="AH91" s="110" t="str">
        <f>IF(LEFT($B91,4)="_Mil","",_xlfn.IFNA(INDEX(Spectrum!$N:$N,MATCH(RIGHT($B91,13)&amp;"|"&amp;$C91&amp;"|"&amp;$D91&amp;"|"&amp;AH$14&amp;"|"&amp;"CY2024Q3",Spectrum!$R:$R,0)),""))</f>
        <v/>
      </c>
      <c r="AI91" s="218">
        <f>IF(LEFT($B91,4)="_Mil","",_xlfn.IFNA(ROUND(INDEX(Spectrum!$N:$N,MATCH(RIGHT($B91,13)&amp;"|"&amp;$C91&amp;"|"&amp;$D91&amp;"|"&amp;AI$14&amp;"|"&amp;"CY2025Q3",Spectrum!$R:$R,0)),0),""))</f>
        <v>16</v>
      </c>
      <c r="AJ91" s="38">
        <f>IF(LEFT($B91,4)="_Mil","",_xlfn.IFNA(ROUND(INDEX(Spectrum!$N:$N,MATCH(RIGHT($B91,13)&amp;"|"&amp;$C91&amp;"|"&amp;$D91&amp;"|"&amp;AJ$14&amp;"|"&amp;"CY2025Q3",Spectrum!$R:$R,0)),0),""))</f>
        <v>252</v>
      </c>
      <c r="AK91" s="218" t="e">
        <f>#REF!</f>
        <v>#REF!</v>
      </c>
      <c r="AL91" s="33">
        <f t="shared" si="25"/>
        <v>0.93034223400000005</v>
      </c>
      <c r="AM91" s="38" t="e">
        <f>IF(OR(LEFT($B91,4)="_Mil",$C91="&lt;01"),"",ROUND(SUM($AK91)*SUM($AL91),0))</f>
        <v>#REF!</v>
      </c>
      <c r="AN91" s="38" t="str">
        <f>IF($C91="&lt;01",ROUND(INDEX(EID!$P:$P,MATCH($B91,EID!$B:$B,0))/2,0),"")</f>
        <v/>
      </c>
      <c r="AO91" s="38" t="e">
        <f>IF($C91="&lt;01",SUM($AN91),ROUND(SUM($AM91)*SUM($O91)/IF(SUM($Z91)=0,1,$Z91),0))</f>
        <v>#REF!</v>
      </c>
      <c r="AP91" s="218">
        <f>IF(OR($F91="",$C91="&lt;01"),$AO91,ROUND($F91,0))</f>
        <v>275</v>
      </c>
      <c r="AQ91" s="218">
        <f>IF(LEFT($B91,4)="_Mil","",IF(SUM($AP91)=0,SUM($Z91),IF(OR(SUM($Z91)=0,SUM($O91)=0),MAX($AP91,$Z91),ROUND($AP91*$Z91/$O91,0))))</f>
        <v>256</v>
      </c>
      <c r="AR91" s="33" t="e">
        <f>IF(OR(LEFT($B91,4)="_Mil",SUM($AK91)=0),"",SUM($AQ91)/$AK91)</f>
        <v>#REF!</v>
      </c>
      <c r="AS91" s="33">
        <f>IF($C91="&lt;01","",90%)</f>
        <v>0.9</v>
      </c>
      <c r="AT91" s="33">
        <f>IF($C91="&lt;01","",90%)</f>
        <v>0.9</v>
      </c>
      <c r="AU91" s="38">
        <f>IF($C91="&lt;01","",SUM($AP91)-SUM($O91))</f>
        <v>-5</v>
      </c>
      <c r="AV91" s="38">
        <f>IF($C91="&lt;01",ROUND(INDEX(EID!$N:$N,MATCH($B91,EID!$B:$B,0))/2,0),IF(SUM($AT91)=0,"",ROUND((SUM($AP91)-(SUM($O91)*SUM($AS91)))/$AT91,0)))</f>
        <v>26</v>
      </c>
      <c r="AW91" s="33">
        <f t="shared" si="26"/>
        <v>1</v>
      </c>
      <c r="AX91" s="218">
        <f>IF($C91="&lt;01",SUM($AV91),ROUND(SUM($AV91)*SUM($AW91),0))</f>
        <v>26</v>
      </c>
      <c r="AY91" s="79">
        <f t="shared" si="27"/>
        <v>0.7</v>
      </c>
      <c r="AZ91" s="85">
        <f>IF($C91="&lt;01",ROUND(INDEX(EID!$R:$R,MATCH($B91,EID!$B:$B,0))/2,0),ROUND(SUM($O91)+(SUM($AV91)*$AY91),0))</f>
        <v>298</v>
      </c>
      <c r="BA91" s="40">
        <f t="shared" si="14"/>
        <v>0.9</v>
      </c>
      <c r="BB91" s="99">
        <f>IF($C91="&lt;01",ROUND(INDEX(EID!$T:$T,MATCH($B91,EID!$B:$B,0))/2,0),ROUND($AP91*$BA91,0))</f>
        <v>248</v>
      </c>
      <c r="BC91" s="85">
        <f>IF(LEFT($B91,4)="_Mil","",IF(SUM($BB91)=0,SUM($AD91),IF(OR(SUM($AP91)=0,SUM($AQ91)=0),MAX($BB91,$AD91),ROUND($BB91*$AQ91/$AP91,0))))</f>
        <v>231</v>
      </c>
      <c r="BD91" s="33">
        <f t="shared" si="28"/>
        <v>0.95</v>
      </c>
      <c r="BE91" s="218">
        <f>IF($C91="&lt;01",ROUND(INDEX(EID!$V:$V,MATCH($B91,EID!$B:$B,0))/2,0),ROUND($BD91*$BB91,0))</f>
        <v>236</v>
      </c>
      <c r="BF91" s="218">
        <f>IF(LEFT($B91,4)="_Mil","",IF(SUM($BE91)=0,SUM($AF91),IF(OR(SUM($AP91)=0,SUM($AQ91)=0),MAX($BE91,$AF91),ROUND($BE91*$AQ91/$AP91,0))))</f>
        <v>220</v>
      </c>
      <c r="BG91" s="79">
        <f t="shared" si="29"/>
        <v>0.95</v>
      </c>
      <c r="BH91" s="99">
        <f>IF($C91="&lt;01",ROUND(INDEX(EID!$L:$L,MATCH($B91,EID!$B:$B,0)),0)/2,IF(SUM($BG91)=0,"",ROUND($AX91/$BG91,0)))</f>
        <v>27</v>
      </c>
    </row>
    <row r="92" spans="1:60" x14ac:dyDescent="0.2">
      <c r="A92" t="str">
        <f>INDEX(Prioritization!$D:$D,MATCH($B92,Prioritization!$A:$A,0))</f>
        <v>4 - Sustained</v>
      </c>
      <c r="B92" t="s">
        <v>307</v>
      </c>
      <c r="C92" t="s">
        <v>475</v>
      </c>
      <c r="D92" t="s">
        <v>48</v>
      </c>
      <c r="E92" t="str">
        <f t="shared" si="19"/>
        <v>Chitipa District [GkIwZrXy1h2]|15-24|Male</v>
      </c>
      <c r="F92" s="229">
        <v>159</v>
      </c>
      <c r="G92" s="38">
        <v>19</v>
      </c>
      <c r="H92" s="38">
        <v>16</v>
      </c>
      <c r="I92" s="38">
        <v>150</v>
      </c>
      <c r="J92" s="38">
        <v>87</v>
      </c>
      <c r="K92" s="38">
        <v>67</v>
      </c>
      <c r="L92" s="38">
        <v>25</v>
      </c>
      <c r="M92" s="38">
        <v>24</v>
      </c>
      <c r="N92" s="38">
        <v>201</v>
      </c>
      <c r="O92" s="229">
        <v>159</v>
      </c>
      <c r="P92" s="38">
        <v>179</v>
      </c>
      <c r="Q92" s="38">
        <v>171</v>
      </c>
      <c r="R92" s="38">
        <f t="shared" si="20"/>
        <v>9</v>
      </c>
      <c r="S92" s="38">
        <f>IF(LEFT($B92,4)="_Mil","",_xlfn.IFNA(ROUND(INDEX(Spectrum!$N:$N,MATCH(RIGHT($B92,13)&amp;"|"&amp;$C92&amp;"|"&amp;$D92&amp;"|"&amp;S$14&amp;"|"&amp;"CY2023Q4",Spectrum!$R:$R,0)),0),""))</f>
        <v>188</v>
      </c>
      <c r="T92" s="218">
        <f>IF(LEFT($B92,4)="_Mil","",_xlfn.IFNA(ROUND(INDEX(Spectrum!$N:$N,MATCH(RIGHT($B92,13)&amp;"|"&amp;$C92&amp;"|"&amp;$D92&amp;"|"&amp;T$14&amp;"|"&amp;"CY2024Q3",Spectrum!$R:$R,0)),0),""))</f>
        <v>30447</v>
      </c>
      <c r="U92" s="218">
        <f>IF(LEFT($B92,4)="_Mil","",_xlfn.IFNA(ROUND(INDEX(Spectrum!$N:$N,MATCH(RIGHT($B92,13)&amp;"|"&amp;$C92&amp;"|"&amp;$D92&amp;"|"&amp;U$14&amp;"|"&amp;"CY2024Q3",Spectrum!$R:$R,0)),0),""))</f>
        <v>195</v>
      </c>
      <c r="V92" s="38">
        <f>IF(LEFT($B92,4)="_Mil","",_xlfn.IFNA(ROUND(INDEX(Spectrum!$N:$N,MATCH(RIGHT($B92,13)&amp;"|"&amp;$C92&amp;"|"&amp;$D92&amp;"|"&amp;V$14&amp;"|"&amp;"CY2024Q3",Spectrum!$R:$R,0)),0),""))</f>
        <v>212</v>
      </c>
      <c r="W92" s="220">
        <f>IF(LEFT($B92,4)="_Mil","",_xlfn.IFNA(INDEX(Spectrum!$N:$N,MATCH(RIGHT($B92,13)&amp;"|"&amp;$C92&amp;"|"&amp;$D92&amp;"|"&amp;W$14&amp;"|"&amp;"CY2024Q3",Spectrum!$R:$R,0)),""))</f>
        <v>6.4085660000000001E-3</v>
      </c>
      <c r="X92" s="218">
        <f>IF(LEFT($B92,4)="_Mil","",_xlfn.IFNA(ROUND(INDEX(Spectrum!$N:$N,MATCH(RIGHT($B92,13)&amp;"|"&amp;$C92&amp;"|"&amp;$D92&amp;"|"&amp;X$14&amp;"|"&amp;"CY2024Q3",Spectrum!$R:$R,0)),0),""))</f>
        <v>176</v>
      </c>
      <c r="Y92" s="33">
        <f t="shared" si="21"/>
        <v>0.9</v>
      </c>
      <c r="Z92" s="218">
        <f>IF(LEFT($B92,4)="_Mil","",_xlfn.IFNA(ROUND(INDEX(Spectrum!$N:$N,MATCH(RIGHT($B92,13)&amp;"|"&amp;$C92&amp;"|"&amp;$D92&amp;"|"&amp;Z$14&amp;"|"&amp;"CY2024Q3",Spectrum!$R:$R,0)),0),""))</f>
        <v>192</v>
      </c>
      <c r="AA92" s="33">
        <f>IF(LEFT($B92,4)="_Mil","",IFERROR(1/(1/INDEX(Spectrum!$N:$N,MATCH(RIGHT($B92,13)&amp;"|"&amp;$C92&amp;"|"&amp;$D92&amp;"|"&amp;AA$14&amp;"|"&amp;"CY2024Q3",Spectrum!$R:$R,0))),IF(SUM($U92)=0,"",SUM($Z92)/$U92)))</f>
        <v>0.900563699</v>
      </c>
      <c r="AB92" s="33">
        <f t="shared" si="22"/>
        <v>1.0909090909090908</v>
      </c>
      <c r="AC92" s="38">
        <f>IF(LEFT($B92,4)="_Mil","",_xlfn.IFNA(ROUND(INDEX(Spectrum!$N:$N,MATCH(RIGHT($B92,13)&amp;"|"&amp;$C92&amp;"|"&amp;$D92&amp;"|"&amp;AC$14&amp;"|"&amp;"CY2024Q3",Spectrum!$R:$R,0)),0),""))</f>
        <v>20</v>
      </c>
      <c r="AD92" s="38" t="str">
        <f>IF(LEFT($B92,4)="_Mil","",_xlfn.IFNA(ROUND(INDEX(Spectrum!$N:$N,MATCH(RIGHT($B92,13)&amp;"|"&amp;$C92&amp;"|"&amp;$D92&amp;"|"&amp;AD$14&amp;"|"&amp;"CY2024Q3",Spectrum!$R:$R,0)),0),""))</f>
        <v/>
      </c>
      <c r="AE92" s="33">
        <f t="shared" si="23"/>
        <v>0</v>
      </c>
      <c r="AF92" s="218" t="str">
        <f>IF(LEFT($B92,4)="_Mil","",_xlfn.IFNA(ROUND(INDEX(Spectrum!$N:$N,MATCH(RIGHT($B92,13)&amp;"|"&amp;$C92&amp;"|"&amp;$D92&amp;"|"&amp;AF$14&amp;"|"&amp;"CY2024Q3",Spectrum!$R:$R,0)),0),""))</f>
        <v/>
      </c>
      <c r="AG92" s="33" t="str">
        <f t="shared" si="24"/>
        <v/>
      </c>
      <c r="AH92" s="110" t="str">
        <f>IF(LEFT($B92,4)="_Mil","",_xlfn.IFNA(INDEX(Spectrum!$N:$N,MATCH(RIGHT($B92,13)&amp;"|"&amp;$C92&amp;"|"&amp;$D92&amp;"|"&amp;AH$14&amp;"|"&amp;"CY2024Q3",Spectrum!$R:$R,0)),""))</f>
        <v/>
      </c>
      <c r="AI92" s="218">
        <f>IF(LEFT($B92,4)="_Mil","",_xlfn.IFNA(ROUND(INDEX(Spectrum!$N:$N,MATCH(RIGHT($B92,13)&amp;"|"&amp;$C92&amp;"|"&amp;$D92&amp;"|"&amp;AI$14&amp;"|"&amp;"CY2025Q3",Spectrum!$R:$R,0)),0),""))</f>
        <v>3</v>
      </c>
      <c r="AJ92" s="38">
        <f>IF(LEFT($B92,4)="_Mil","",_xlfn.IFNA(ROUND(INDEX(Spectrum!$N:$N,MATCH(RIGHT($B92,13)&amp;"|"&amp;$C92&amp;"|"&amp;$D92&amp;"|"&amp;AJ$14&amp;"|"&amp;"CY2025Q3",Spectrum!$R:$R,0)),0),""))</f>
        <v>192</v>
      </c>
      <c r="AK92" s="218" t="e">
        <f>#REF!</f>
        <v>#REF!</v>
      </c>
      <c r="AL92" s="33">
        <f t="shared" si="25"/>
        <v>0.900563699</v>
      </c>
      <c r="AM92" s="38" t="e">
        <f>IF(OR(LEFT($B92,4)="_Mil",$C92="&lt;01"),"",ROUND(SUM($AK92)*SUM($AL92),0))</f>
        <v>#REF!</v>
      </c>
      <c r="AN92" s="38" t="str">
        <f>IF($C92="&lt;01",ROUND(INDEX(EID!$P:$P,MATCH($B92,EID!$B:$B,0))/2,0),"")</f>
        <v/>
      </c>
      <c r="AO92" s="38" t="e">
        <f>IF($C92="&lt;01",SUM($AN92),ROUND(SUM($AM92)*SUM($O92)/IF(SUM($Z92)=0,1,$Z92),0))</f>
        <v>#REF!</v>
      </c>
      <c r="AP92" s="218">
        <f>IF(OR($F92="",$C92="&lt;01"),$AO92,ROUND($F92,0))</f>
        <v>159</v>
      </c>
      <c r="AQ92" s="218">
        <f>IF(LEFT($B92,4)="_Mil","",IF(SUM($AP92)=0,SUM($Z92),IF(OR(SUM($Z92)=0,SUM($O92)=0),MAX($AP92,$Z92),ROUND($AP92*$Z92/$O92,0))))</f>
        <v>192</v>
      </c>
      <c r="AR92" s="33" t="e">
        <f>IF(OR(LEFT($B92,4)="_Mil",SUM($AK92)=0),"",SUM($AQ92)/$AK92)</f>
        <v>#REF!</v>
      </c>
      <c r="AS92" s="33">
        <f t="shared" ref="AS92:AS104" si="30">IF($C92="&lt;01","",98%)</f>
        <v>0.98</v>
      </c>
      <c r="AT92" s="33">
        <f t="shared" si="16"/>
        <v>0.98</v>
      </c>
      <c r="AU92" s="38">
        <f>IF($C92="&lt;01","",SUM($AP92)-SUM($O92))</f>
        <v>0</v>
      </c>
      <c r="AV92" s="38">
        <f>IF($C92="&lt;01",ROUND(INDEX(EID!$N:$N,MATCH($B92,EID!$B:$B,0))/2,0),IF(SUM($AT92)=0,"",ROUND((SUM($AP92)-(SUM($O92)*SUM($AS92)))/$AT92,0)))</f>
        <v>3</v>
      </c>
      <c r="AW92" s="33">
        <f t="shared" si="26"/>
        <v>1</v>
      </c>
      <c r="AX92" s="218">
        <f>IF($C92="&lt;01",SUM($AV92),ROUND(SUM($AV92)*SUM($AW92),0))</f>
        <v>3</v>
      </c>
      <c r="AY92" s="79">
        <f t="shared" si="27"/>
        <v>0.7</v>
      </c>
      <c r="AZ92" s="85">
        <f>IF($C92="&lt;01",ROUND(INDEX(EID!$R:$R,MATCH($B92,EID!$B:$B,0))/2,0),ROUND(SUM($O92)+(SUM($AV92)*$AY92),0))</f>
        <v>161</v>
      </c>
      <c r="BA92" s="40">
        <f t="shared" si="14"/>
        <v>0.9</v>
      </c>
      <c r="BB92" s="99">
        <f>IF($C92="&lt;01",ROUND(INDEX(EID!$T:$T,MATCH($B92,EID!$B:$B,0))/2,0),ROUND($AP92*$BA92,0))</f>
        <v>143</v>
      </c>
      <c r="BC92" s="85">
        <f>IF(LEFT($B92,4)="_Mil","",IF(SUM($BB92)=0,SUM($AD92),IF(OR(SUM($AP92)=0,SUM($AQ92)=0),MAX($BB92,$AD92),ROUND($BB92*$AQ92/$AP92,0))))</f>
        <v>173</v>
      </c>
      <c r="BD92" s="33">
        <f t="shared" si="28"/>
        <v>0.95</v>
      </c>
      <c r="BE92" s="218">
        <f>IF($C92="&lt;01",ROUND(INDEX(EID!$V:$V,MATCH($B92,EID!$B:$B,0))/2,0),ROUND($BD92*$BB92,0))</f>
        <v>136</v>
      </c>
      <c r="BF92" s="218">
        <f>IF(LEFT($B92,4)="_Mil","",IF(SUM($BE92)=0,SUM($AF92),IF(OR(SUM($AP92)=0,SUM($AQ92)=0),MAX($BE92,$AF92),ROUND($BE92*$AQ92/$AP92,0))))</f>
        <v>164</v>
      </c>
      <c r="BG92" s="79">
        <f t="shared" si="29"/>
        <v>0.95</v>
      </c>
      <c r="BH92" s="99">
        <f>IF($C92="&lt;01",ROUND(INDEX(EID!$L:$L,MATCH($B92,EID!$B:$B,0)),0)/2,IF(SUM($BG92)=0,"",ROUND($AX92/$BG92,0)))</f>
        <v>3</v>
      </c>
    </row>
    <row r="93" spans="1:60" x14ac:dyDescent="0.2">
      <c r="A93" t="str">
        <f>INDEX(Prioritization!$D:$D,MATCH($B93,Prioritization!$A:$A,0))</f>
        <v>4 - Sustained</v>
      </c>
      <c r="B93" t="s">
        <v>307</v>
      </c>
      <c r="C93" t="s">
        <v>476</v>
      </c>
      <c r="D93" t="s">
        <v>30</v>
      </c>
      <c r="E93" t="str">
        <f t="shared" si="19"/>
        <v>Chitipa District [GkIwZrXy1h2]|25-34|Female</v>
      </c>
      <c r="F93" s="229">
        <v>636</v>
      </c>
      <c r="G93" s="38">
        <v>75</v>
      </c>
      <c r="H93" s="38">
        <v>86</v>
      </c>
      <c r="I93" s="38">
        <v>636</v>
      </c>
      <c r="J93" s="38">
        <v>439</v>
      </c>
      <c r="K93" s="38">
        <v>404</v>
      </c>
      <c r="L93" s="38">
        <v>60</v>
      </c>
      <c r="M93" s="38">
        <v>59</v>
      </c>
      <c r="N93" s="38">
        <v>677</v>
      </c>
      <c r="O93" s="229">
        <v>636</v>
      </c>
      <c r="P93" s="38">
        <v>619</v>
      </c>
      <c r="Q93" s="38">
        <v>588</v>
      </c>
      <c r="R93" s="38">
        <f t="shared" si="20"/>
        <v>0</v>
      </c>
      <c r="S93" s="38">
        <f>IF(LEFT($B93,4)="_Mil","",_xlfn.IFNA(ROUND(INDEX(Spectrum!$N:$N,MATCH(RIGHT($B93,13)&amp;"|"&amp;$C93&amp;"|"&amp;$D93&amp;"|"&amp;S$14&amp;"|"&amp;"CY2023Q4",Spectrum!$R:$R,0)),0),""))</f>
        <v>696</v>
      </c>
      <c r="T93" s="218">
        <f>IF(LEFT($B93,4)="_Mil","",_xlfn.IFNA(ROUND(INDEX(Spectrum!$N:$N,MATCH(RIGHT($B93,13)&amp;"|"&amp;$C93&amp;"|"&amp;$D93&amp;"|"&amp;T$14&amp;"|"&amp;"CY2024Q3",Spectrum!$R:$R,0)),0),""))</f>
        <v>20687</v>
      </c>
      <c r="U93" s="218">
        <f>IF(LEFT($B93,4)="_Mil","",_xlfn.IFNA(ROUND(INDEX(Spectrum!$N:$N,MATCH(RIGHT($B93,13)&amp;"|"&amp;$C93&amp;"|"&amp;$D93&amp;"|"&amp;U$14&amp;"|"&amp;"CY2024Q3",Spectrum!$R:$R,0)),0),""))</f>
        <v>629</v>
      </c>
      <c r="V93" s="38">
        <f>IF(LEFT($B93,4)="_Mil","",_xlfn.IFNA(ROUND(INDEX(Spectrum!$N:$N,MATCH(RIGHT($B93,13)&amp;"|"&amp;$C93&amp;"|"&amp;$D93&amp;"|"&amp;V$14&amp;"|"&amp;"CY2024Q3",Spectrum!$R:$R,0)),0),""))</f>
        <v>686</v>
      </c>
      <c r="W93" s="220">
        <f>IF(LEFT($B93,4)="_Mil","",_xlfn.IFNA(INDEX(Spectrum!$N:$N,MATCH(RIGHT($B93,13)&amp;"|"&amp;$C93&amp;"|"&amp;$D93&amp;"|"&amp;W$14&amp;"|"&amp;"CY2024Q3",Spectrum!$R:$R,0)),""))</f>
        <v>3.0385136E-2</v>
      </c>
      <c r="X93" s="218">
        <f>IF(LEFT($B93,4)="_Mil","",_xlfn.IFNA(ROUND(INDEX(Spectrum!$N:$N,MATCH(RIGHT($B93,13)&amp;"|"&amp;$C93&amp;"|"&amp;$D93&amp;"|"&amp;X$14&amp;"|"&amp;"CY2024Q3",Spectrum!$R:$R,0)),0),""))</f>
        <v>605</v>
      </c>
      <c r="Y93" s="33">
        <f t="shared" si="21"/>
        <v>0.96</v>
      </c>
      <c r="Z93" s="218">
        <f>IF(LEFT($B93,4)="_Mil","",_xlfn.IFNA(ROUND(INDEX(Spectrum!$N:$N,MATCH(RIGHT($B93,13)&amp;"|"&amp;$C93&amp;"|"&amp;$D93&amp;"|"&amp;Z$14&amp;"|"&amp;"CY2024Q3",Spectrum!$R:$R,0)),0),""))</f>
        <v>660</v>
      </c>
      <c r="AA93" s="33">
        <f>IF(LEFT($B93,4)="_Mil","",IFERROR(1/(1/INDEX(Spectrum!$N:$N,MATCH(RIGHT($B93,13)&amp;"|"&amp;$C93&amp;"|"&amp;$D93&amp;"|"&amp;AA$14&amp;"|"&amp;"CY2024Q3",Spectrum!$R:$R,0))),IF(SUM($U93)=0,"",SUM($Z93)/$U93)))</f>
        <v>0.96284545499999985</v>
      </c>
      <c r="AB93" s="33">
        <f t="shared" si="22"/>
        <v>1.0909090909090908</v>
      </c>
      <c r="AC93" s="38">
        <f>IF(LEFT($B93,4)="_Mil","",_xlfn.IFNA(ROUND(INDEX(Spectrum!$N:$N,MATCH(RIGHT($B93,13)&amp;"|"&amp;$C93&amp;"|"&amp;$D93&amp;"|"&amp;AC$14&amp;"|"&amp;"CY2024Q3",Spectrum!$R:$R,0)),0),""))</f>
        <v>26</v>
      </c>
      <c r="AD93" s="38" t="str">
        <f>IF(LEFT($B93,4)="_Mil","",_xlfn.IFNA(ROUND(INDEX(Spectrum!$N:$N,MATCH(RIGHT($B93,13)&amp;"|"&amp;$C93&amp;"|"&amp;$D93&amp;"|"&amp;AD$14&amp;"|"&amp;"CY2024Q3",Spectrum!$R:$R,0)),0),""))</f>
        <v/>
      </c>
      <c r="AE93" s="33">
        <f t="shared" si="23"/>
        <v>0</v>
      </c>
      <c r="AF93" s="218" t="str">
        <f>IF(LEFT($B93,4)="_Mil","",_xlfn.IFNA(ROUND(INDEX(Spectrum!$N:$N,MATCH(RIGHT($B93,13)&amp;"|"&amp;$C93&amp;"|"&amp;$D93&amp;"|"&amp;AF$14&amp;"|"&amp;"CY2024Q3",Spectrum!$R:$R,0)),0),""))</f>
        <v/>
      </c>
      <c r="AG93" s="33" t="str">
        <f t="shared" si="24"/>
        <v/>
      </c>
      <c r="AH93" s="110" t="str">
        <f>IF(LEFT($B93,4)="_Mil","",_xlfn.IFNA(INDEX(Spectrum!$N:$N,MATCH(RIGHT($B93,13)&amp;"|"&amp;$C93&amp;"|"&amp;$D93&amp;"|"&amp;AH$14&amp;"|"&amp;"CY2024Q3",Spectrum!$R:$R,0)),""))</f>
        <v/>
      </c>
      <c r="AI93" s="218">
        <f>IF(LEFT($B93,4)="_Mil","",_xlfn.IFNA(ROUND(INDEX(Spectrum!$N:$N,MATCH(RIGHT($B93,13)&amp;"|"&amp;$C93&amp;"|"&amp;$D93&amp;"|"&amp;AI$14&amp;"|"&amp;"CY2025Q3",Spectrum!$R:$R,0)),0),""))</f>
        <v>16</v>
      </c>
      <c r="AJ93" s="38">
        <f>IF(LEFT($B93,4)="_Mil","",_xlfn.IFNA(ROUND(INDEX(Spectrum!$N:$N,MATCH(RIGHT($B93,13)&amp;"|"&amp;$C93&amp;"|"&amp;$D93&amp;"|"&amp;AJ$14&amp;"|"&amp;"CY2025Q3",Spectrum!$R:$R,0)),0),""))</f>
        <v>587</v>
      </c>
      <c r="AK93" s="218" t="e">
        <f>#REF!</f>
        <v>#REF!</v>
      </c>
      <c r="AL93" s="33">
        <f t="shared" si="25"/>
        <v>0.96284545499999985</v>
      </c>
      <c r="AM93" s="38" t="e">
        <f>IF(OR(LEFT($B93,4)="_Mil",$C93="&lt;01"),"",ROUND(SUM($AK93)*SUM($AL93),0))</f>
        <v>#REF!</v>
      </c>
      <c r="AN93" s="38" t="str">
        <f>IF($C93="&lt;01",ROUND(INDEX(EID!$P:$P,MATCH($B93,EID!$B:$B,0))/2,0),"")</f>
        <v/>
      </c>
      <c r="AO93" s="38" t="e">
        <f>IF($C93="&lt;01",SUM($AN93),ROUND(SUM($AM93)*SUM($O93)/IF(SUM($Z93)=0,1,$Z93),0))</f>
        <v>#REF!</v>
      </c>
      <c r="AP93" s="218">
        <f>IF(OR($F93="",$C93="&lt;01"),$AO93,ROUND($F93,0))</f>
        <v>636</v>
      </c>
      <c r="AQ93" s="218">
        <f>IF(LEFT($B93,4)="_Mil","",IF(SUM($AP93)=0,SUM($Z93),IF(OR(SUM($Z93)=0,SUM($O93)=0),MAX($AP93,$Z93),ROUND($AP93*$Z93/$O93,0))))</f>
        <v>660</v>
      </c>
      <c r="AR93" s="33" t="e">
        <f>IF(OR(LEFT($B93,4)="_Mil",SUM($AK93)=0),"",SUM($AQ93)/$AK93)</f>
        <v>#REF!</v>
      </c>
      <c r="AS93" s="33">
        <f>IF($C93="&lt;01","",90%)</f>
        <v>0.9</v>
      </c>
      <c r="AT93" s="33">
        <f>IF($C93="&lt;01","",90%)</f>
        <v>0.9</v>
      </c>
      <c r="AU93" s="38">
        <f>IF($C93="&lt;01","",SUM($AP93)-SUM($O93))</f>
        <v>0</v>
      </c>
      <c r="AV93" s="38">
        <f>IF($C93="&lt;01",ROUND(INDEX(EID!$N:$N,MATCH($B93,EID!$B:$B,0))/2,0),IF(SUM($AT93)=0,"",ROUND((SUM($AP93)-(SUM($O93)*SUM($AS93)))/$AT93,0)))</f>
        <v>71</v>
      </c>
      <c r="AW93" s="33">
        <f t="shared" si="26"/>
        <v>1</v>
      </c>
      <c r="AX93" s="218">
        <f>IF($C93="&lt;01",SUM($AV93),ROUND(SUM($AV93)*SUM($AW93),0))</f>
        <v>71</v>
      </c>
      <c r="AY93" s="79">
        <f t="shared" si="27"/>
        <v>0.7</v>
      </c>
      <c r="AZ93" s="85">
        <f>IF($C93="&lt;01",ROUND(INDEX(EID!$R:$R,MATCH($B93,EID!$B:$B,0))/2,0),ROUND(SUM($O93)+(SUM($AV93)*$AY93),0))</f>
        <v>686</v>
      </c>
      <c r="BA93" s="40">
        <f t="shared" si="14"/>
        <v>0.9</v>
      </c>
      <c r="BB93" s="99">
        <f>IF($C93="&lt;01",ROUND(INDEX(EID!$T:$T,MATCH($B93,EID!$B:$B,0))/2,0),ROUND($AP93*$BA93,0))</f>
        <v>572</v>
      </c>
      <c r="BC93" s="85">
        <f>IF(LEFT($B93,4)="_Mil","",IF(SUM($BB93)=0,SUM($AD93),IF(OR(SUM($AP93)=0,SUM($AQ93)=0),MAX($BB93,$AD93),ROUND($BB93*$AQ93/$AP93,0))))</f>
        <v>594</v>
      </c>
      <c r="BD93" s="33">
        <f t="shared" si="28"/>
        <v>0.95</v>
      </c>
      <c r="BE93" s="218">
        <f>IF($C93="&lt;01",ROUND(INDEX(EID!$V:$V,MATCH($B93,EID!$B:$B,0))/2,0),ROUND($BD93*$BB93,0))</f>
        <v>543</v>
      </c>
      <c r="BF93" s="218">
        <f>IF(LEFT($B93,4)="_Mil","",IF(SUM($BE93)=0,SUM($AF93),IF(OR(SUM($AP93)=0,SUM($AQ93)=0),MAX($BE93,$AF93),ROUND($BE93*$AQ93/$AP93,0))))</f>
        <v>563</v>
      </c>
      <c r="BG93" s="79">
        <f t="shared" si="29"/>
        <v>0.95</v>
      </c>
      <c r="BH93" s="99">
        <f>IF($C93="&lt;01",ROUND(INDEX(EID!$L:$L,MATCH($B93,EID!$B:$B,0)),0)/2,IF(SUM($BG93)=0,"",ROUND($AX93/$BG93,0)))</f>
        <v>75</v>
      </c>
    </row>
    <row r="94" spans="1:60" x14ac:dyDescent="0.2">
      <c r="A94" t="str">
        <f>INDEX(Prioritization!$D:$D,MATCH($B94,Prioritization!$A:$A,0))</f>
        <v>4 - Sustained</v>
      </c>
      <c r="B94" t="s">
        <v>307</v>
      </c>
      <c r="C94" t="s">
        <v>476</v>
      </c>
      <c r="D94" t="s">
        <v>48</v>
      </c>
      <c r="E94" t="str">
        <f t="shared" si="19"/>
        <v>Chitipa District [GkIwZrXy1h2]|25-34|Male</v>
      </c>
      <c r="F94" s="229">
        <v>230</v>
      </c>
      <c r="G94" s="38">
        <v>63</v>
      </c>
      <c r="H94" s="38">
        <v>68</v>
      </c>
      <c r="I94" s="38">
        <v>230</v>
      </c>
      <c r="J94" s="38">
        <v>135</v>
      </c>
      <c r="K94" s="38">
        <v>124</v>
      </c>
      <c r="L94" s="38">
        <v>12</v>
      </c>
      <c r="M94" s="38">
        <v>11</v>
      </c>
      <c r="N94" s="38">
        <v>271</v>
      </c>
      <c r="O94" s="229">
        <v>230</v>
      </c>
      <c r="P94" s="38">
        <v>240</v>
      </c>
      <c r="Q94" s="38">
        <v>228</v>
      </c>
      <c r="R94" s="38">
        <f t="shared" si="20"/>
        <v>0</v>
      </c>
      <c r="S94" s="38">
        <f>IF(LEFT($B94,4)="_Mil","",_xlfn.IFNA(ROUND(INDEX(Spectrum!$N:$N,MATCH(RIGHT($B94,13)&amp;"|"&amp;$C94&amp;"|"&amp;$D94&amp;"|"&amp;S$14&amp;"|"&amp;"CY2023Q4",Spectrum!$R:$R,0)),0),""))</f>
        <v>248</v>
      </c>
      <c r="T94" s="218">
        <f>IF(LEFT($B94,4)="_Mil","",_xlfn.IFNA(ROUND(INDEX(Spectrum!$N:$N,MATCH(RIGHT($B94,13)&amp;"|"&amp;$C94&amp;"|"&amp;$D94&amp;"|"&amp;T$14&amp;"|"&amp;"CY2024Q3",Spectrum!$R:$R,0)),0),""))</f>
        <v>19203</v>
      </c>
      <c r="U94" s="218">
        <f>IF(LEFT($B94,4)="_Mil","",_xlfn.IFNA(ROUND(INDEX(Spectrum!$N:$N,MATCH(RIGHT($B94,13)&amp;"|"&amp;$C94&amp;"|"&amp;$D94&amp;"|"&amp;U$14&amp;"|"&amp;"CY2024Q3",Spectrum!$R:$R,0)),0),""))</f>
        <v>260</v>
      </c>
      <c r="V94" s="38">
        <f>IF(LEFT($B94,4)="_Mil","",_xlfn.IFNA(ROUND(INDEX(Spectrum!$N:$N,MATCH(RIGHT($B94,13)&amp;"|"&amp;$C94&amp;"|"&amp;$D94&amp;"|"&amp;V$14&amp;"|"&amp;"CY2024Q3",Spectrum!$R:$R,0)),0),""))</f>
        <v>282</v>
      </c>
      <c r="W94" s="220">
        <f>IF(LEFT($B94,4)="_Mil","",_xlfn.IFNA(INDEX(Spectrum!$N:$N,MATCH(RIGHT($B94,13)&amp;"|"&amp;$C94&amp;"|"&amp;$D94&amp;"|"&amp;W$14&amp;"|"&amp;"CY2024Q3",Spectrum!$R:$R,0)),""))</f>
        <v>1.3532608E-2</v>
      </c>
      <c r="X94" s="218">
        <f>IF(LEFT($B94,4)="_Mil","",_xlfn.IFNA(ROUND(INDEX(Spectrum!$N:$N,MATCH(RIGHT($B94,13)&amp;"|"&amp;$C94&amp;"|"&amp;$D94&amp;"|"&amp;X$14&amp;"|"&amp;"CY2024Q3",Spectrum!$R:$R,0)),0),""))</f>
        <v>228</v>
      </c>
      <c r="Y94" s="33">
        <f t="shared" si="21"/>
        <v>0.88</v>
      </c>
      <c r="Z94" s="218">
        <f>IF(LEFT($B94,4)="_Mil","",_xlfn.IFNA(ROUND(INDEX(Spectrum!$N:$N,MATCH(RIGHT($B94,13)&amp;"|"&amp;$C94&amp;"|"&amp;$D94&amp;"|"&amp;Z$14&amp;"|"&amp;"CY2024Q3",Spectrum!$R:$R,0)),0),""))</f>
        <v>247</v>
      </c>
      <c r="AA94" s="33">
        <f>IF(LEFT($B94,4)="_Mil","",IFERROR(1/(1/INDEX(Spectrum!$N:$N,MATCH(RIGHT($B94,13)&amp;"|"&amp;$C94&amp;"|"&amp;$D94&amp;"|"&amp;AA$14&amp;"|"&amp;"CY2024Q3",Spectrum!$R:$R,0))),IF(SUM($U94)=0,"",SUM($Z94)/$U94)))</f>
        <v>0.87149221600000004</v>
      </c>
      <c r="AB94" s="33">
        <f t="shared" si="22"/>
        <v>1.0833333333333333</v>
      </c>
      <c r="AC94" s="38">
        <f>IF(LEFT($B94,4)="_Mil","",_xlfn.IFNA(ROUND(INDEX(Spectrum!$N:$N,MATCH(RIGHT($B94,13)&amp;"|"&amp;$C94&amp;"|"&amp;$D94&amp;"|"&amp;AC$14&amp;"|"&amp;"CY2024Q3",Spectrum!$R:$R,0)),0),""))</f>
        <v>35</v>
      </c>
      <c r="AD94" s="38" t="str">
        <f>IF(LEFT($B94,4)="_Mil","",_xlfn.IFNA(ROUND(INDEX(Spectrum!$N:$N,MATCH(RIGHT($B94,13)&amp;"|"&amp;$C94&amp;"|"&amp;$D94&amp;"|"&amp;AD$14&amp;"|"&amp;"CY2024Q3",Spectrum!$R:$R,0)),0),""))</f>
        <v/>
      </c>
      <c r="AE94" s="33">
        <f t="shared" si="23"/>
        <v>0</v>
      </c>
      <c r="AF94" s="218" t="str">
        <f>IF(LEFT($B94,4)="_Mil","",_xlfn.IFNA(ROUND(INDEX(Spectrum!$N:$N,MATCH(RIGHT($B94,13)&amp;"|"&amp;$C94&amp;"|"&amp;$D94&amp;"|"&amp;AF$14&amp;"|"&amp;"CY2024Q3",Spectrum!$R:$R,0)),0),""))</f>
        <v/>
      </c>
      <c r="AG94" s="33" t="str">
        <f t="shared" si="24"/>
        <v/>
      </c>
      <c r="AH94" s="110" t="str">
        <f>IF(LEFT($B94,4)="_Mil","",_xlfn.IFNA(INDEX(Spectrum!$N:$N,MATCH(RIGHT($B94,13)&amp;"|"&amp;$C94&amp;"|"&amp;$D94&amp;"|"&amp;AH$14&amp;"|"&amp;"CY2024Q3",Spectrum!$R:$R,0)),""))</f>
        <v/>
      </c>
      <c r="AI94" s="218">
        <f>IF(LEFT($B94,4)="_Mil","",_xlfn.IFNA(ROUND(INDEX(Spectrum!$N:$N,MATCH(RIGHT($B94,13)&amp;"|"&amp;$C94&amp;"|"&amp;$D94&amp;"|"&amp;AI$14&amp;"|"&amp;"CY2025Q3",Spectrum!$R:$R,0)),0),""))</f>
        <v>9</v>
      </c>
      <c r="AJ94" s="38">
        <f>IF(LEFT($B94,4)="_Mil","",_xlfn.IFNA(ROUND(INDEX(Spectrum!$N:$N,MATCH(RIGHT($B94,13)&amp;"|"&amp;$C94&amp;"|"&amp;$D94&amp;"|"&amp;AJ$14&amp;"|"&amp;"CY2025Q3",Spectrum!$R:$R,0)),0),""))</f>
        <v>248</v>
      </c>
      <c r="AK94" s="218" t="e">
        <f>#REF!</f>
        <v>#REF!</v>
      </c>
      <c r="AL94" s="33">
        <f t="shared" si="25"/>
        <v>0.9</v>
      </c>
      <c r="AM94" s="38" t="e">
        <f>IF(OR(LEFT($B94,4)="_Mil",$C94="&lt;01"),"",ROUND(SUM($AK94)*SUM($AL94),0))</f>
        <v>#REF!</v>
      </c>
      <c r="AN94" s="38" t="str">
        <f>IF($C94="&lt;01",ROUND(INDEX(EID!$P:$P,MATCH($B94,EID!$B:$B,0))/2,0),"")</f>
        <v/>
      </c>
      <c r="AO94" s="38" t="e">
        <f>IF($C94="&lt;01",SUM($AN94),ROUND(SUM($AM94)*SUM($O94)/IF(SUM($Z94)=0,1,$Z94),0))</f>
        <v>#REF!</v>
      </c>
      <c r="AP94" s="218">
        <f>IF(OR($F94="",$C94="&lt;01"),$AO94,ROUND($F94,0))</f>
        <v>230</v>
      </c>
      <c r="AQ94" s="218">
        <f>IF(LEFT($B94,4)="_Mil","",IF(SUM($AP94)=0,SUM($Z94),IF(OR(SUM($Z94)=0,SUM($O94)=0),MAX($AP94,$Z94),ROUND($AP94*$Z94/$O94,0))))</f>
        <v>247</v>
      </c>
      <c r="AR94" s="33" t="e">
        <f>IF(OR(LEFT($B94,4)="_Mil",SUM($AK94)=0),"",SUM($AQ94)/$AK94)</f>
        <v>#REF!</v>
      </c>
      <c r="AS94" s="33">
        <f t="shared" si="30"/>
        <v>0.98</v>
      </c>
      <c r="AT94" s="33">
        <f t="shared" si="16"/>
        <v>0.98</v>
      </c>
      <c r="AU94" s="38">
        <f>IF($C94="&lt;01","",SUM($AP94)-SUM($O94))</f>
        <v>0</v>
      </c>
      <c r="AV94" s="38">
        <f>IF($C94="&lt;01",ROUND(INDEX(EID!$N:$N,MATCH($B94,EID!$B:$B,0))/2,0),IF(SUM($AT94)=0,"",ROUND((SUM($AP94)-(SUM($O94)*SUM($AS94)))/$AT94,0)))</f>
        <v>5</v>
      </c>
      <c r="AW94" s="33">
        <f t="shared" si="26"/>
        <v>1</v>
      </c>
      <c r="AX94" s="218">
        <f>IF($C94="&lt;01",SUM($AV94),ROUND(SUM($AV94)*SUM($AW94),0))</f>
        <v>5</v>
      </c>
      <c r="AY94" s="79">
        <f t="shared" si="27"/>
        <v>0.7</v>
      </c>
      <c r="AZ94" s="85">
        <f>IF($C94="&lt;01",ROUND(INDEX(EID!$R:$R,MATCH($B94,EID!$B:$B,0))/2,0),ROUND(SUM($O94)+(SUM($AV94)*$AY94),0))</f>
        <v>234</v>
      </c>
      <c r="BA94" s="40">
        <f t="shared" si="14"/>
        <v>0.9</v>
      </c>
      <c r="BB94" s="99">
        <f>IF($C94="&lt;01",ROUND(INDEX(EID!$T:$T,MATCH($B94,EID!$B:$B,0))/2,0),ROUND($AP94*$BA94,0))</f>
        <v>207</v>
      </c>
      <c r="BC94" s="85">
        <f>IF(LEFT($B94,4)="_Mil","",IF(SUM($BB94)=0,SUM($AD94),IF(OR(SUM($AP94)=0,SUM($AQ94)=0),MAX($BB94,$AD94),ROUND($BB94*$AQ94/$AP94,0))))</f>
        <v>222</v>
      </c>
      <c r="BD94" s="33">
        <f t="shared" si="28"/>
        <v>0.95</v>
      </c>
      <c r="BE94" s="218">
        <f>IF($C94="&lt;01",ROUND(INDEX(EID!$V:$V,MATCH($B94,EID!$B:$B,0))/2,0),ROUND($BD94*$BB94,0))</f>
        <v>197</v>
      </c>
      <c r="BF94" s="218">
        <f>IF(LEFT($B94,4)="_Mil","",IF(SUM($BE94)=0,SUM($AF94),IF(OR(SUM($AP94)=0,SUM($AQ94)=0),MAX($BE94,$AF94),ROUND($BE94*$AQ94/$AP94,0))))</f>
        <v>212</v>
      </c>
      <c r="BG94" s="79">
        <f t="shared" si="29"/>
        <v>0.95</v>
      </c>
      <c r="BH94" s="99">
        <f>IF($C94="&lt;01",ROUND(INDEX(EID!$L:$L,MATCH($B94,EID!$B:$B,0)),0)/2,IF(SUM($BG94)=0,"",ROUND($AX94/$BG94,0)))</f>
        <v>5</v>
      </c>
    </row>
    <row r="95" spans="1:60" x14ac:dyDescent="0.2">
      <c r="A95" t="str">
        <f>INDEX(Prioritization!$D:$D,MATCH($B95,Prioritization!$A:$A,0))</f>
        <v>4 - Sustained</v>
      </c>
      <c r="B95" t="s">
        <v>307</v>
      </c>
      <c r="C95" t="s">
        <v>477</v>
      </c>
      <c r="D95" t="s">
        <v>30</v>
      </c>
      <c r="E95" t="str">
        <f t="shared" si="19"/>
        <v>Chitipa District [GkIwZrXy1h2]|35-49|Female</v>
      </c>
      <c r="F95" s="229">
        <v>1590</v>
      </c>
      <c r="G95" s="38">
        <v>68</v>
      </c>
      <c r="H95" s="38">
        <v>60</v>
      </c>
      <c r="I95" s="38">
        <v>1590</v>
      </c>
      <c r="J95" s="38">
        <v>997</v>
      </c>
      <c r="K95" s="38">
        <v>909</v>
      </c>
      <c r="L95" s="38">
        <v>164</v>
      </c>
      <c r="M95" s="38">
        <v>160</v>
      </c>
      <c r="N95" s="38">
        <v>1823</v>
      </c>
      <c r="O95" s="229">
        <v>1590</v>
      </c>
      <c r="P95" s="38">
        <v>1551</v>
      </c>
      <c r="Q95" s="38">
        <v>1473</v>
      </c>
      <c r="R95" s="38">
        <f t="shared" si="20"/>
        <v>0</v>
      </c>
      <c r="S95" s="38">
        <f>IF(LEFT($B95,4)="_Mil","",_xlfn.IFNA(ROUND(INDEX(Spectrum!$N:$N,MATCH(RIGHT($B95,13)&amp;"|"&amp;$C95&amp;"|"&amp;$D95&amp;"|"&amp;S$14&amp;"|"&amp;"CY2023Q4",Spectrum!$R:$R,0)),0),""))</f>
        <v>1805</v>
      </c>
      <c r="T95" s="218">
        <f>IF(LEFT($B95,4)="_Mil","",_xlfn.IFNA(ROUND(INDEX(Spectrum!$N:$N,MATCH(RIGHT($B95,13)&amp;"|"&amp;$C95&amp;"|"&amp;$D95&amp;"|"&amp;T$14&amp;"|"&amp;"CY2024Q3",Spectrum!$R:$R,0)),0),""))</f>
        <v>21303</v>
      </c>
      <c r="U95" s="218">
        <f>IF(LEFT($B95,4)="_Mil","",_xlfn.IFNA(ROUND(INDEX(Spectrum!$N:$N,MATCH(RIGHT($B95,13)&amp;"|"&amp;$C95&amp;"|"&amp;$D95&amp;"|"&amp;U$14&amp;"|"&amp;"CY2024Q3",Spectrum!$R:$R,0)),0),""))</f>
        <v>1675</v>
      </c>
      <c r="V95" s="38">
        <f>IF(LEFT($B95,4)="_Mil","",_xlfn.IFNA(ROUND(INDEX(Spectrum!$N:$N,MATCH(RIGHT($B95,13)&amp;"|"&amp;$C95&amp;"|"&amp;$D95&amp;"|"&amp;V$14&amp;"|"&amp;"CY2024Q3",Spectrum!$R:$R,0)),0),""))</f>
        <v>1834</v>
      </c>
      <c r="W95" s="220">
        <f>IF(LEFT($B95,4)="_Mil","",_xlfn.IFNA(INDEX(Spectrum!$N:$N,MATCH(RIGHT($B95,13)&amp;"|"&amp;$C95&amp;"|"&amp;$D95&amp;"|"&amp;W$14&amp;"|"&amp;"CY2024Q3",Spectrum!$R:$R,0)),""))</f>
        <v>7.8634124999999999E-2</v>
      </c>
      <c r="X95" s="218">
        <f>IF(LEFT($B95,4)="_Mil","",_xlfn.IFNA(ROUND(INDEX(Spectrum!$N:$N,MATCH(RIGHT($B95,13)&amp;"|"&amp;$C95&amp;"|"&amp;$D95&amp;"|"&amp;X$14&amp;"|"&amp;"CY2024Q3",Spectrum!$R:$R,0)),0),""))</f>
        <v>1645</v>
      </c>
      <c r="Y95" s="33">
        <f t="shared" si="21"/>
        <v>0.98</v>
      </c>
      <c r="Z95" s="218">
        <f>IF(LEFT($B95,4)="_Mil","",_xlfn.IFNA(ROUND(INDEX(Spectrum!$N:$N,MATCH(RIGHT($B95,13)&amp;"|"&amp;$C95&amp;"|"&amp;$D95&amp;"|"&amp;Z$14&amp;"|"&amp;"CY2024Q3",Spectrum!$R:$R,0)),0),""))</f>
        <v>1801</v>
      </c>
      <c r="AA95" s="33">
        <f>IF(LEFT($B95,4)="_Mil","",IFERROR(1/(1/INDEX(Spectrum!$N:$N,MATCH(RIGHT($B95,13)&amp;"|"&amp;$C95&amp;"|"&amp;$D95&amp;"|"&amp;AA$14&amp;"|"&amp;"CY2024Q3",Spectrum!$R:$R,0))),IF(SUM($U95)=0,"",SUM($Z95)/$U95)))</f>
        <v>0.98161381199999997</v>
      </c>
      <c r="AB95" s="33">
        <f t="shared" si="22"/>
        <v>1.0948328267477203</v>
      </c>
      <c r="AC95" s="38">
        <f>IF(LEFT($B95,4)="_Mil","",_xlfn.IFNA(ROUND(INDEX(Spectrum!$N:$N,MATCH(RIGHT($B95,13)&amp;"|"&amp;$C95&amp;"|"&amp;$D95&amp;"|"&amp;AC$14&amp;"|"&amp;"CY2024Q3",Spectrum!$R:$R,0)),0),""))</f>
        <v>32</v>
      </c>
      <c r="AD95" s="38" t="str">
        <f>IF(LEFT($B95,4)="_Mil","",_xlfn.IFNA(ROUND(INDEX(Spectrum!$N:$N,MATCH(RIGHT($B95,13)&amp;"|"&amp;$C95&amp;"|"&amp;$D95&amp;"|"&amp;AD$14&amp;"|"&amp;"CY2024Q3",Spectrum!$R:$R,0)),0),""))</f>
        <v/>
      </c>
      <c r="AE95" s="33">
        <f t="shared" si="23"/>
        <v>0</v>
      </c>
      <c r="AF95" s="218" t="str">
        <f>IF(LEFT($B95,4)="_Mil","",_xlfn.IFNA(ROUND(INDEX(Spectrum!$N:$N,MATCH(RIGHT($B95,13)&amp;"|"&amp;$C95&amp;"|"&amp;$D95&amp;"|"&amp;AF$14&amp;"|"&amp;"CY2024Q3",Spectrum!$R:$R,0)),0),""))</f>
        <v/>
      </c>
      <c r="AG95" s="33" t="str">
        <f t="shared" si="24"/>
        <v/>
      </c>
      <c r="AH95" s="110" t="str">
        <f>IF(LEFT($B95,4)="_Mil","",_xlfn.IFNA(INDEX(Spectrum!$N:$N,MATCH(RIGHT($B95,13)&amp;"|"&amp;$C95&amp;"|"&amp;$D95&amp;"|"&amp;AH$14&amp;"|"&amp;"CY2024Q3",Spectrum!$R:$R,0)),""))</f>
        <v/>
      </c>
      <c r="AI95" s="218">
        <f>IF(LEFT($B95,4)="_Mil","",_xlfn.IFNA(ROUND(INDEX(Spectrum!$N:$N,MATCH(RIGHT($B95,13)&amp;"|"&amp;$C95&amp;"|"&amp;$D95&amp;"|"&amp;AI$14&amp;"|"&amp;"CY2025Q3",Spectrum!$R:$R,0)),0),""))</f>
        <v>9</v>
      </c>
      <c r="AJ95" s="38">
        <f>IF(LEFT($B95,4)="_Mil","",_xlfn.IFNA(ROUND(INDEX(Spectrum!$N:$N,MATCH(RIGHT($B95,13)&amp;"|"&amp;$C95&amp;"|"&amp;$D95&amp;"|"&amp;AJ$14&amp;"|"&amp;"CY2025Q3",Spectrum!$R:$R,0)),0),""))</f>
        <v>1662</v>
      </c>
      <c r="AK95" s="218" t="e">
        <f>#REF!</f>
        <v>#REF!</v>
      </c>
      <c r="AL95" s="33">
        <f t="shared" si="25"/>
        <v>0.98161381199999997</v>
      </c>
      <c r="AM95" s="38" t="e">
        <f>IF(OR(LEFT($B95,4)="_Mil",$C95="&lt;01"),"",ROUND(SUM($AK95)*SUM($AL95),0))</f>
        <v>#REF!</v>
      </c>
      <c r="AN95" s="38" t="str">
        <f>IF($C95="&lt;01",ROUND(INDEX(EID!$P:$P,MATCH($B95,EID!$B:$B,0))/2,0),"")</f>
        <v/>
      </c>
      <c r="AO95" s="38" t="e">
        <f>IF($C95="&lt;01",SUM($AN95),ROUND(SUM($AM95)*SUM($O95)/IF(SUM($Z95)=0,1,$Z95),0))</f>
        <v>#REF!</v>
      </c>
      <c r="AP95" s="218">
        <f>IF(OR($F95="",$C95="&lt;01"),$AO95,ROUND($F95,0))</f>
        <v>1590</v>
      </c>
      <c r="AQ95" s="218">
        <f>IF(LEFT($B95,4)="_Mil","",IF(SUM($AP95)=0,SUM($Z95),IF(OR(SUM($Z95)=0,SUM($O95)=0),MAX($AP95,$Z95),ROUND($AP95*$Z95/$O95,0))))</f>
        <v>1801</v>
      </c>
      <c r="AR95" s="33" t="e">
        <f>IF(OR(LEFT($B95,4)="_Mil",SUM($AK95)=0),"",SUM($AQ95)/$AK95)</f>
        <v>#REF!</v>
      </c>
      <c r="AS95" s="33">
        <f t="shared" si="30"/>
        <v>0.98</v>
      </c>
      <c r="AT95" s="33">
        <f t="shared" si="16"/>
        <v>0.98</v>
      </c>
      <c r="AU95" s="38">
        <f>IF($C95="&lt;01","",SUM($AP95)-SUM($O95))</f>
        <v>0</v>
      </c>
      <c r="AV95" s="38">
        <f>IF($C95="&lt;01",ROUND(INDEX(EID!$N:$N,MATCH($B95,EID!$B:$B,0))/2,0),IF(SUM($AT95)=0,"",ROUND((SUM($AP95)-(SUM($O95)*SUM($AS95)))/$AT95,0)))</f>
        <v>32</v>
      </c>
      <c r="AW95" s="33">
        <f t="shared" si="26"/>
        <v>1</v>
      </c>
      <c r="AX95" s="218">
        <f>IF($C95="&lt;01",SUM($AV95),ROUND(SUM($AV95)*SUM($AW95),0))</f>
        <v>32</v>
      </c>
      <c r="AY95" s="79">
        <f t="shared" si="27"/>
        <v>0.7</v>
      </c>
      <c r="AZ95" s="85">
        <f>IF($C95="&lt;01",ROUND(INDEX(EID!$R:$R,MATCH($B95,EID!$B:$B,0))/2,0),ROUND(SUM($O95)+(SUM($AV95)*$AY95),0))</f>
        <v>1612</v>
      </c>
      <c r="BA95" s="40">
        <f t="shared" ref="BA95:BA158" si="31">IF($C95="&lt;01","",90%)</f>
        <v>0.9</v>
      </c>
      <c r="BB95" s="99">
        <f>IF($C95="&lt;01",ROUND(INDEX(EID!$T:$T,MATCH($B95,EID!$B:$B,0))/2,0),ROUND($AP95*$BA95,0))</f>
        <v>1431</v>
      </c>
      <c r="BC95" s="85">
        <f>IF(LEFT($B95,4)="_Mil","",IF(SUM($BB95)=0,SUM($AD95),IF(OR(SUM($AP95)=0,SUM($AQ95)=0),MAX($BB95,$AD95),ROUND($BB95*$AQ95/$AP95,0))))</f>
        <v>1621</v>
      </c>
      <c r="BD95" s="33">
        <f t="shared" si="28"/>
        <v>0.95</v>
      </c>
      <c r="BE95" s="218">
        <f>IF($C95="&lt;01",ROUND(INDEX(EID!$V:$V,MATCH($B95,EID!$B:$B,0))/2,0),ROUND($BD95*$BB95,0))</f>
        <v>1359</v>
      </c>
      <c r="BF95" s="218">
        <f>IF(LEFT($B95,4)="_Mil","",IF(SUM($BE95)=0,SUM($AF95),IF(OR(SUM($AP95)=0,SUM($AQ95)=0),MAX($BE95,$AF95),ROUND($BE95*$AQ95/$AP95,0))))</f>
        <v>1539</v>
      </c>
      <c r="BG95" s="79">
        <f t="shared" si="29"/>
        <v>0.95</v>
      </c>
      <c r="BH95" s="99">
        <f>IF($C95="&lt;01",ROUND(INDEX(EID!$L:$L,MATCH($B95,EID!$B:$B,0)),0)/2,IF(SUM($BG95)=0,"",ROUND($AX95/$BG95,0)))</f>
        <v>34</v>
      </c>
    </row>
    <row r="96" spans="1:60" x14ac:dyDescent="0.2">
      <c r="A96" t="str">
        <f>INDEX(Prioritization!$D:$D,MATCH($B96,Prioritization!$A:$A,0))</f>
        <v>4 - Sustained</v>
      </c>
      <c r="B96" t="s">
        <v>307</v>
      </c>
      <c r="C96" t="s">
        <v>477</v>
      </c>
      <c r="D96" t="s">
        <v>48</v>
      </c>
      <c r="E96" t="str">
        <f t="shared" si="19"/>
        <v>Chitipa District [GkIwZrXy1h2]|35-49|Male</v>
      </c>
      <c r="F96" s="229">
        <v>937</v>
      </c>
      <c r="G96" s="38">
        <v>79</v>
      </c>
      <c r="H96" s="38">
        <v>75</v>
      </c>
      <c r="I96" s="38">
        <v>873</v>
      </c>
      <c r="J96" s="38">
        <v>491</v>
      </c>
      <c r="K96" s="38">
        <v>449</v>
      </c>
      <c r="L96" s="38">
        <v>47</v>
      </c>
      <c r="M96" s="38">
        <v>45</v>
      </c>
      <c r="N96" s="38">
        <v>1027</v>
      </c>
      <c r="O96" s="229">
        <v>905</v>
      </c>
      <c r="P96" s="38">
        <v>905</v>
      </c>
      <c r="Q96" s="38">
        <v>860</v>
      </c>
      <c r="R96" s="38">
        <f t="shared" si="20"/>
        <v>32</v>
      </c>
      <c r="S96" s="38">
        <f>IF(LEFT($B96,4)="_Mil","",_xlfn.IFNA(ROUND(INDEX(Spectrum!$N:$N,MATCH(RIGHT($B96,13)&amp;"|"&amp;$C96&amp;"|"&amp;$D96&amp;"|"&amp;S$14&amp;"|"&amp;"CY2023Q4",Spectrum!$R:$R,0)),0),""))</f>
        <v>997</v>
      </c>
      <c r="T96" s="218">
        <f>IF(LEFT($B96,4)="_Mil","",_xlfn.IFNA(ROUND(INDEX(Spectrum!$N:$N,MATCH(RIGHT($B96,13)&amp;"|"&amp;$C96&amp;"|"&amp;$D96&amp;"|"&amp;T$14&amp;"|"&amp;"CY2024Q3",Spectrum!$R:$R,0)),0),""))</f>
        <v>18145</v>
      </c>
      <c r="U96" s="218">
        <f>IF(LEFT($B96,4)="_Mil","",_xlfn.IFNA(ROUND(INDEX(Spectrum!$N:$N,MATCH(RIGHT($B96,13)&amp;"|"&amp;$C96&amp;"|"&amp;$D96&amp;"|"&amp;U$14&amp;"|"&amp;"CY2024Q3",Spectrum!$R:$R,0)),0),""))</f>
        <v>988</v>
      </c>
      <c r="V96" s="38">
        <f>IF(LEFT($B96,4)="_Mil","",_xlfn.IFNA(ROUND(INDEX(Spectrum!$N:$N,MATCH(RIGHT($B96,13)&amp;"|"&amp;$C96&amp;"|"&amp;$D96&amp;"|"&amp;V$14&amp;"|"&amp;"CY2024Q3",Spectrum!$R:$R,0)),0),""))</f>
        <v>1062</v>
      </c>
      <c r="W96" s="220">
        <f>IF(LEFT($B96,4)="_Mil","",_xlfn.IFNA(INDEX(Spectrum!$N:$N,MATCH(RIGHT($B96,13)&amp;"|"&amp;$C96&amp;"|"&amp;$D96&amp;"|"&amp;W$14&amp;"|"&amp;"CY2024Q3",Spectrum!$R:$R,0)),""))</f>
        <v>5.4438738E-2</v>
      </c>
      <c r="X96" s="218">
        <f>IF(LEFT($B96,4)="_Mil","",_xlfn.IFNA(ROUND(INDEX(Spectrum!$N:$N,MATCH(RIGHT($B96,13)&amp;"|"&amp;$C96&amp;"|"&amp;$D96&amp;"|"&amp;X$14&amp;"|"&amp;"CY2024Q3",Spectrum!$R:$R,0)),0),""))</f>
        <v>915</v>
      </c>
      <c r="Y96" s="33">
        <f t="shared" si="21"/>
        <v>0.93</v>
      </c>
      <c r="Z96" s="218">
        <f>IF(LEFT($B96,4)="_Mil","",_xlfn.IFNA(ROUND(INDEX(Spectrum!$N:$N,MATCH(RIGHT($B96,13)&amp;"|"&amp;$C96&amp;"|"&amp;$D96&amp;"|"&amp;Z$14&amp;"|"&amp;"CY2024Q3",Spectrum!$R:$R,0)),0),""))</f>
        <v>984</v>
      </c>
      <c r="AA96" s="33">
        <f>IF(LEFT($B96,4)="_Mil","",IFERROR(1/(1/INDEX(Spectrum!$N:$N,MATCH(RIGHT($B96,13)&amp;"|"&amp;$C96&amp;"|"&amp;$D96&amp;"|"&amp;AA$14&amp;"|"&amp;"CY2024Q3",Spectrum!$R:$R,0))),IF(SUM($U96)=0,"",SUM($Z96)/$U96)))</f>
        <v>0.92157162100000012</v>
      </c>
      <c r="AB96" s="33">
        <f t="shared" si="22"/>
        <v>1.0754098360655737</v>
      </c>
      <c r="AC96" s="38">
        <f>IF(LEFT($B96,4)="_Mil","",_xlfn.IFNA(ROUND(INDEX(Spectrum!$N:$N,MATCH(RIGHT($B96,13)&amp;"|"&amp;$C96&amp;"|"&amp;$D96&amp;"|"&amp;AC$14&amp;"|"&amp;"CY2024Q3",Spectrum!$R:$R,0)),0),""))</f>
        <v>79</v>
      </c>
      <c r="AD96" s="38" t="str">
        <f>IF(LEFT($B96,4)="_Mil","",_xlfn.IFNA(ROUND(INDEX(Spectrum!$N:$N,MATCH(RIGHT($B96,13)&amp;"|"&amp;$C96&amp;"|"&amp;$D96&amp;"|"&amp;AD$14&amp;"|"&amp;"CY2024Q3",Spectrum!$R:$R,0)),0),""))</f>
        <v/>
      </c>
      <c r="AE96" s="33">
        <f t="shared" si="23"/>
        <v>0</v>
      </c>
      <c r="AF96" s="218" t="str">
        <f>IF(LEFT($B96,4)="_Mil","",_xlfn.IFNA(ROUND(INDEX(Spectrum!$N:$N,MATCH(RIGHT($B96,13)&amp;"|"&amp;$C96&amp;"|"&amp;$D96&amp;"|"&amp;AF$14&amp;"|"&amp;"CY2024Q3",Spectrum!$R:$R,0)),0),""))</f>
        <v/>
      </c>
      <c r="AG96" s="33" t="str">
        <f t="shared" si="24"/>
        <v/>
      </c>
      <c r="AH96" s="110" t="str">
        <f>IF(LEFT($B96,4)="_Mil","",_xlfn.IFNA(INDEX(Spectrum!$N:$N,MATCH(RIGHT($B96,13)&amp;"|"&amp;$C96&amp;"|"&amp;$D96&amp;"|"&amp;AH$14&amp;"|"&amp;"CY2024Q3",Spectrum!$R:$R,0)),""))</f>
        <v/>
      </c>
      <c r="AI96" s="218">
        <f>IF(LEFT($B96,4)="_Mil","",_xlfn.IFNA(ROUND(INDEX(Spectrum!$N:$N,MATCH(RIGHT($B96,13)&amp;"|"&amp;$C96&amp;"|"&amp;$D96&amp;"|"&amp;AI$14&amp;"|"&amp;"CY2025Q3",Spectrum!$R:$R,0)),0),""))</f>
        <v>9</v>
      </c>
      <c r="AJ96" s="38">
        <f>IF(LEFT($B96,4)="_Mil","",_xlfn.IFNA(ROUND(INDEX(Spectrum!$N:$N,MATCH(RIGHT($B96,13)&amp;"|"&amp;$C96&amp;"|"&amp;$D96&amp;"|"&amp;AJ$14&amp;"|"&amp;"CY2025Q3",Spectrum!$R:$R,0)),0),""))</f>
        <v>938</v>
      </c>
      <c r="AK96" s="218" t="e">
        <f>#REF!</f>
        <v>#REF!</v>
      </c>
      <c r="AL96" s="33">
        <f t="shared" si="25"/>
        <v>0.92157162100000012</v>
      </c>
      <c r="AM96" s="38" t="e">
        <f>IF(OR(LEFT($B96,4)="_Mil",$C96="&lt;01"),"",ROUND(SUM($AK96)*SUM($AL96),0))</f>
        <v>#REF!</v>
      </c>
      <c r="AN96" s="38" t="str">
        <f>IF($C96="&lt;01",ROUND(INDEX(EID!$P:$P,MATCH($B96,EID!$B:$B,0))/2,0),"")</f>
        <v/>
      </c>
      <c r="AO96" s="38" t="e">
        <f>IF($C96="&lt;01",SUM($AN96),ROUND(SUM($AM96)*SUM($O96)/IF(SUM($Z96)=0,1,$Z96),0))</f>
        <v>#REF!</v>
      </c>
      <c r="AP96" s="218">
        <f>IF(OR($F96="",$C96="&lt;01"),$AO96,ROUND($F96,0))</f>
        <v>937</v>
      </c>
      <c r="AQ96" s="218">
        <f>IF(LEFT($B96,4)="_Mil","",IF(SUM($AP96)=0,SUM($Z96),IF(OR(SUM($Z96)=0,SUM($O96)=0),MAX($AP96,$Z96),ROUND($AP96*$Z96/$O96,0))))</f>
        <v>1019</v>
      </c>
      <c r="AR96" s="33" t="e">
        <f>IF(OR(LEFT($B96,4)="_Mil",SUM($AK96)=0),"",SUM($AQ96)/$AK96)</f>
        <v>#REF!</v>
      </c>
      <c r="AS96" s="33">
        <f t="shared" si="30"/>
        <v>0.98</v>
      </c>
      <c r="AT96" s="33">
        <f t="shared" si="16"/>
        <v>0.98</v>
      </c>
      <c r="AU96" s="38">
        <f>IF($C96="&lt;01","",SUM($AP96)-SUM($O96))</f>
        <v>32</v>
      </c>
      <c r="AV96" s="38">
        <f>IF($C96="&lt;01",ROUND(INDEX(EID!$N:$N,MATCH($B96,EID!$B:$B,0))/2,0),IF(SUM($AT96)=0,"",ROUND((SUM($AP96)-(SUM($O96)*SUM($AS96)))/$AT96,0)))</f>
        <v>51</v>
      </c>
      <c r="AW96" s="33">
        <f t="shared" si="26"/>
        <v>1</v>
      </c>
      <c r="AX96" s="218">
        <f>IF($C96="&lt;01",SUM($AV96),ROUND(SUM($AV96)*SUM($AW96),0))</f>
        <v>51</v>
      </c>
      <c r="AY96" s="79">
        <f t="shared" si="27"/>
        <v>0.7</v>
      </c>
      <c r="AZ96" s="85">
        <f>IF($C96="&lt;01",ROUND(INDEX(EID!$R:$R,MATCH($B96,EID!$B:$B,0))/2,0),ROUND(SUM($O96)+(SUM($AV96)*$AY96),0))</f>
        <v>941</v>
      </c>
      <c r="BA96" s="40">
        <f t="shared" si="31"/>
        <v>0.9</v>
      </c>
      <c r="BB96" s="99">
        <f>IF($C96="&lt;01",ROUND(INDEX(EID!$T:$T,MATCH($B96,EID!$B:$B,0))/2,0),ROUND($AP96*$BA96,0))</f>
        <v>843</v>
      </c>
      <c r="BC96" s="85">
        <f>IF(LEFT($B96,4)="_Mil","",IF(SUM($BB96)=0,SUM($AD96),IF(OR(SUM($AP96)=0,SUM($AQ96)=0),MAX($BB96,$AD96),ROUND($BB96*$AQ96/$AP96,0))))</f>
        <v>917</v>
      </c>
      <c r="BD96" s="33">
        <f t="shared" si="28"/>
        <v>0.95</v>
      </c>
      <c r="BE96" s="218">
        <f>IF($C96="&lt;01",ROUND(INDEX(EID!$V:$V,MATCH($B96,EID!$B:$B,0))/2,0),ROUND($BD96*$BB96,0))</f>
        <v>801</v>
      </c>
      <c r="BF96" s="218">
        <f>IF(LEFT($B96,4)="_Mil","",IF(SUM($BE96)=0,SUM($AF96),IF(OR(SUM($AP96)=0,SUM($AQ96)=0),MAX($BE96,$AF96),ROUND($BE96*$AQ96/$AP96,0))))</f>
        <v>871</v>
      </c>
      <c r="BG96" s="79">
        <f t="shared" si="29"/>
        <v>0.95</v>
      </c>
      <c r="BH96" s="99">
        <f>IF($C96="&lt;01",ROUND(INDEX(EID!$L:$L,MATCH($B96,EID!$B:$B,0)),0)/2,IF(SUM($BG96)=0,"",ROUND($AX96/$BG96,0)))</f>
        <v>54</v>
      </c>
    </row>
    <row r="97" spans="1:60" x14ac:dyDescent="0.2">
      <c r="A97" t="str">
        <f>INDEX(Prioritization!$D:$D,MATCH($B97,Prioritization!$A:$A,0))</f>
        <v>4 - Sustained</v>
      </c>
      <c r="B97" t="s">
        <v>307</v>
      </c>
      <c r="C97" t="s">
        <v>478</v>
      </c>
      <c r="D97" t="s">
        <v>30</v>
      </c>
      <c r="E97" t="str">
        <f t="shared" si="19"/>
        <v>Chitipa District [GkIwZrXy1h2]|50+|Female</v>
      </c>
      <c r="F97" s="229">
        <v>972</v>
      </c>
      <c r="G97" s="38">
        <v>25</v>
      </c>
      <c r="H97" s="38">
        <v>28</v>
      </c>
      <c r="I97" s="38">
        <v>1007</v>
      </c>
      <c r="J97" s="38">
        <v>532</v>
      </c>
      <c r="K97" s="38">
        <v>479</v>
      </c>
      <c r="L97" s="38">
        <v>33</v>
      </c>
      <c r="M97" s="38">
        <v>32</v>
      </c>
      <c r="N97" s="38">
        <v>847</v>
      </c>
      <c r="O97" s="229">
        <v>904</v>
      </c>
      <c r="P97" s="38">
        <v>749</v>
      </c>
      <c r="Q97" s="38">
        <v>712</v>
      </c>
      <c r="R97" s="38">
        <f t="shared" si="20"/>
        <v>-103</v>
      </c>
      <c r="S97" s="38">
        <f>IF(LEFT($B97,4)="_Mil","",_xlfn.IFNA(ROUND(INDEX(Spectrum!$N:$N,MATCH(RIGHT($B97,13)&amp;"|"&amp;$C97&amp;"|"&amp;$D97&amp;"|"&amp;S$14&amp;"|"&amp;"CY2023Q4",Spectrum!$R:$R,0)),0),""))</f>
        <v>839</v>
      </c>
      <c r="T97" s="218">
        <f>IF(LEFT($B97,4)="_Mil","",_xlfn.IFNA(ROUND(INDEX(Spectrum!$N:$N,MATCH(RIGHT($B97,13)&amp;"|"&amp;$C97&amp;"|"&amp;$D97&amp;"|"&amp;T$14&amp;"|"&amp;"CY2024Q3",Spectrum!$R:$R,0)),0),""))</f>
        <v>12704</v>
      </c>
      <c r="U97" s="218">
        <f>IF(LEFT($B97,4)="_Mil","",_xlfn.IFNA(ROUND(INDEX(Spectrum!$N:$N,MATCH(RIGHT($B97,13)&amp;"|"&amp;$C97&amp;"|"&amp;$D97&amp;"|"&amp;U$14&amp;"|"&amp;"CY2024Q3",Spectrum!$R:$R,0)),0),""))</f>
        <v>843</v>
      </c>
      <c r="V97" s="38">
        <f>IF(LEFT($B97,4)="_Mil","",_xlfn.IFNA(ROUND(INDEX(Spectrum!$N:$N,MATCH(RIGHT($B97,13)&amp;"|"&amp;$C97&amp;"|"&amp;$D97&amp;"|"&amp;V$14&amp;"|"&amp;"CY2024Q3",Spectrum!$R:$R,0)),0),""))</f>
        <v>904</v>
      </c>
      <c r="W97" s="220">
        <f>IF(LEFT($B97,4)="_Mil","",_xlfn.IFNA(INDEX(Spectrum!$N:$N,MATCH(RIGHT($B97,13)&amp;"|"&amp;$C97&amp;"|"&amp;$D97&amp;"|"&amp;W$14&amp;"|"&amp;"CY2024Q3",Spectrum!$R:$R,0)),""))</f>
        <v>6.6349396000000005E-2</v>
      </c>
      <c r="X97" s="218">
        <f>IF(LEFT($B97,4)="_Mil","",_xlfn.IFNA(ROUND(INDEX(Spectrum!$N:$N,MATCH(RIGHT($B97,13)&amp;"|"&amp;$C97&amp;"|"&amp;$D97&amp;"|"&amp;X$14&amp;"|"&amp;"CY2024Q3",Spectrum!$R:$R,0)),0),""))</f>
        <v>834</v>
      </c>
      <c r="Y97" s="33">
        <f t="shared" si="21"/>
        <v>0.99</v>
      </c>
      <c r="Z97" s="218">
        <f>IF(LEFT($B97,4)="_Mil","",_xlfn.IFNA(ROUND(INDEX(Spectrum!$N:$N,MATCH(RIGHT($B97,13)&amp;"|"&amp;$C97&amp;"|"&amp;$D97&amp;"|"&amp;Z$14&amp;"|"&amp;"CY2024Q3",Spectrum!$R:$R,0)),0),""))</f>
        <v>892</v>
      </c>
      <c r="AA97" s="33">
        <f>IF(LEFT($B97,4)="_Mil","",IFERROR(1/(1/INDEX(Spectrum!$N:$N,MATCH(RIGHT($B97,13)&amp;"|"&amp;$C97&amp;"|"&amp;$D97&amp;"|"&amp;AA$14&amp;"|"&amp;"CY2024Q3",Spectrum!$R:$R,0))),IF(SUM($U97)=0,"",SUM($Z97)/$U97)))</f>
        <v>0.98726924300000007</v>
      </c>
      <c r="AB97" s="33">
        <f t="shared" si="22"/>
        <v>1.0695443645083933</v>
      </c>
      <c r="AC97" s="38">
        <f>IF(LEFT($B97,4)="_Mil","",_xlfn.IFNA(ROUND(INDEX(Spectrum!$N:$N,MATCH(RIGHT($B97,13)&amp;"|"&amp;$C97&amp;"|"&amp;$D97&amp;"|"&amp;AC$14&amp;"|"&amp;"CY2024Q3",Spectrum!$R:$R,0)),0),""))</f>
        <v>12</v>
      </c>
      <c r="AD97" s="38" t="str">
        <f>IF(LEFT($B97,4)="_Mil","",_xlfn.IFNA(ROUND(INDEX(Spectrum!$N:$N,MATCH(RIGHT($B97,13)&amp;"|"&amp;$C97&amp;"|"&amp;$D97&amp;"|"&amp;AD$14&amp;"|"&amp;"CY2024Q3",Spectrum!$R:$R,0)),0),""))</f>
        <v/>
      </c>
      <c r="AE97" s="33">
        <f t="shared" si="23"/>
        <v>0</v>
      </c>
      <c r="AF97" s="218" t="str">
        <f>IF(LEFT($B97,4)="_Mil","",_xlfn.IFNA(ROUND(INDEX(Spectrum!$N:$N,MATCH(RIGHT($B97,13)&amp;"|"&amp;$C97&amp;"|"&amp;$D97&amp;"|"&amp;AF$14&amp;"|"&amp;"CY2024Q3",Spectrum!$R:$R,0)),0),""))</f>
        <v/>
      </c>
      <c r="AG97" s="33" t="str">
        <f t="shared" si="24"/>
        <v/>
      </c>
      <c r="AH97" s="110" t="str">
        <f>IF(LEFT($B97,4)="_Mil","",_xlfn.IFNA(INDEX(Spectrum!$N:$N,MATCH(RIGHT($B97,13)&amp;"|"&amp;$C97&amp;"|"&amp;$D97&amp;"|"&amp;AH$14&amp;"|"&amp;"CY2024Q3",Spectrum!$R:$R,0)),""))</f>
        <v/>
      </c>
      <c r="AI97" s="218">
        <f>IF(LEFT($B97,4)="_Mil","",_xlfn.IFNA(ROUND(INDEX(Spectrum!$N:$N,MATCH(RIGHT($B97,13)&amp;"|"&amp;$C97&amp;"|"&amp;$D97&amp;"|"&amp;AI$14&amp;"|"&amp;"CY2025Q3",Spectrum!$R:$R,0)),0),""))</f>
        <v>2</v>
      </c>
      <c r="AJ97" s="38">
        <f>IF(LEFT($B97,4)="_Mil","",_xlfn.IFNA(ROUND(INDEX(Spectrum!$N:$N,MATCH(RIGHT($B97,13)&amp;"|"&amp;$C97&amp;"|"&amp;$D97&amp;"|"&amp;AJ$14&amp;"|"&amp;"CY2025Q3",Spectrum!$R:$R,0)),0),""))</f>
        <v>913</v>
      </c>
      <c r="AK97" s="218" t="e">
        <f>#REF!</f>
        <v>#REF!</v>
      </c>
      <c r="AL97" s="33">
        <f t="shared" si="25"/>
        <v>0.98726924300000007</v>
      </c>
      <c r="AM97" s="38" t="e">
        <f>IF(OR(LEFT($B97,4)="_Mil",$C97="&lt;01"),"",ROUND(SUM($AK97)*SUM($AL97),0))</f>
        <v>#REF!</v>
      </c>
      <c r="AN97" s="38" t="str">
        <f>IF($C97="&lt;01",ROUND(INDEX(EID!$P:$P,MATCH($B97,EID!$B:$B,0))/2,0),"")</f>
        <v/>
      </c>
      <c r="AO97" s="38" t="e">
        <f>IF($C97="&lt;01",SUM($AN97),ROUND(SUM($AM97)*SUM($O97)/IF(SUM($Z97)=0,1,$Z97),0))</f>
        <v>#REF!</v>
      </c>
      <c r="AP97" s="218">
        <f>IF(OR($F97="",$C97="&lt;01"),$AO97,ROUND($F97,0))</f>
        <v>972</v>
      </c>
      <c r="AQ97" s="218">
        <f>IF(LEFT($B97,4)="_Mil","",IF(SUM($AP97)=0,SUM($Z97),IF(OR(SUM($Z97)=0,SUM($O97)=0),MAX($AP97,$Z97),ROUND($AP97*$Z97/$O97,0))))</f>
        <v>959</v>
      </c>
      <c r="AR97" s="33" t="e">
        <f>IF(OR(LEFT($B97,4)="_Mil",SUM($AK97)=0),"",SUM($AQ97)/$AK97)</f>
        <v>#REF!</v>
      </c>
      <c r="AS97" s="33">
        <v>1.02</v>
      </c>
      <c r="AT97" s="33">
        <f>IF($C97="&lt;01","",100%)</f>
        <v>1</v>
      </c>
      <c r="AU97" s="38">
        <f>IF($C97="&lt;01","",SUM($AP97)-SUM($O97))</f>
        <v>68</v>
      </c>
      <c r="AV97" s="38">
        <f>IF($C97="&lt;01",ROUND(INDEX(EID!$N:$N,MATCH($B97,EID!$B:$B,0))/2,0),IF(SUM($AT97)=0,"",ROUND((SUM($AP97)-(SUM($O97)*SUM($AS97)))/$AT97,0)))</f>
        <v>50</v>
      </c>
      <c r="AW97" s="33">
        <v>0.8</v>
      </c>
      <c r="AX97" s="218">
        <f>IF($C97="&lt;01",SUM($AV97),ROUND(SUM($AV97)*SUM($AW97),0))</f>
        <v>40</v>
      </c>
      <c r="AY97" s="79">
        <f t="shared" si="27"/>
        <v>0.7</v>
      </c>
      <c r="AZ97" s="85">
        <f>IF($C97="&lt;01",ROUND(INDEX(EID!$R:$R,MATCH($B97,EID!$B:$B,0))/2,0),ROUND(SUM($O97)+(SUM($AV97)*$AY97),0))</f>
        <v>939</v>
      </c>
      <c r="BA97" s="40">
        <f t="shared" si="31"/>
        <v>0.9</v>
      </c>
      <c r="BB97" s="99">
        <f>IF($C97="&lt;01",ROUND(INDEX(EID!$T:$T,MATCH($B97,EID!$B:$B,0))/2,0),ROUND($AP97*$BA97,0))</f>
        <v>875</v>
      </c>
      <c r="BC97" s="85">
        <f>IF(LEFT($B97,4)="_Mil","",IF(SUM($BB97)=0,SUM($AD97),IF(OR(SUM($AP97)=0,SUM($AQ97)=0),MAX($BB97,$AD97),ROUND($BB97*$AQ97/$AP97,0))))</f>
        <v>863</v>
      </c>
      <c r="BD97" s="33">
        <f t="shared" si="28"/>
        <v>0.95</v>
      </c>
      <c r="BE97" s="218">
        <f>IF($C97="&lt;01",ROUND(INDEX(EID!$V:$V,MATCH($B97,EID!$B:$B,0))/2,0),ROUND($BD97*$BB97,0))</f>
        <v>831</v>
      </c>
      <c r="BF97" s="218">
        <f>IF(LEFT($B97,4)="_Mil","",IF(SUM($BE97)=0,SUM($AF97),IF(OR(SUM($AP97)=0,SUM($AQ97)=0),MAX($BE97,$AF97),ROUND($BE97*$AQ97/$AP97,0))))</f>
        <v>820</v>
      </c>
      <c r="BG97" s="79">
        <f t="shared" si="29"/>
        <v>0.95</v>
      </c>
      <c r="BH97" s="99">
        <f>IF($C97="&lt;01",ROUND(INDEX(EID!$L:$L,MATCH($B97,EID!$B:$B,0)),0)/2,IF(SUM($BG97)=0,"",ROUND($AX97/$BG97,0)))</f>
        <v>42</v>
      </c>
    </row>
    <row r="98" spans="1:60" x14ac:dyDescent="0.2">
      <c r="A98" t="str">
        <f>INDEX(Prioritization!$D:$D,MATCH($B98,Prioritization!$A:$A,0))</f>
        <v>4 - Sustained</v>
      </c>
      <c r="B98" t="s">
        <v>307</v>
      </c>
      <c r="C98" t="s">
        <v>478</v>
      </c>
      <c r="D98" t="s">
        <v>48</v>
      </c>
      <c r="E98" t="str">
        <f t="shared" si="19"/>
        <v>Chitipa District [GkIwZrXy1h2]|50+|Male</v>
      </c>
      <c r="F98" s="229">
        <v>911</v>
      </c>
      <c r="G98" s="38">
        <v>26</v>
      </c>
      <c r="H98" s="38">
        <v>35</v>
      </c>
      <c r="I98" s="38">
        <v>831</v>
      </c>
      <c r="J98" s="38">
        <v>451</v>
      </c>
      <c r="K98" s="38">
        <v>392</v>
      </c>
      <c r="L98" s="38">
        <v>12</v>
      </c>
      <c r="M98" s="38">
        <v>11</v>
      </c>
      <c r="N98" s="38">
        <v>816</v>
      </c>
      <c r="O98" s="229">
        <v>871</v>
      </c>
      <c r="P98" s="38">
        <v>737</v>
      </c>
      <c r="Q98" s="38">
        <v>700</v>
      </c>
      <c r="R98" s="38">
        <f t="shared" si="20"/>
        <v>40</v>
      </c>
      <c r="S98" s="38">
        <f>IF(LEFT($B98,4)="_Mil","",_xlfn.IFNA(ROUND(INDEX(Spectrum!$N:$N,MATCH(RIGHT($B98,13)&amp;"|"&amp;$C98&amp;"|"&amp;$D98&amp;"|"&amp;S$14&amp;"|"&amp;"CY2023Q4",Spectrum!$R:$R,0)),0),""))</f>
        <v>796</v>
      </c>
      <c r="T98" s="218">
        <f>IF(LEFT($B98,4)="_Mil","",_xlfn.IFNA(ROUND(INDEX(Spectrum!$N:$N,MATCH(RIGHT($B98,13)&amp;"|"&amp;$C98&amp;"|"&amp;$D98&amp;"|"&amp;T$14&amp;"|"&amp;"CY2024Q3",Spectrum!$R:$R,0)),0),""))</f>
        <v>10930</v>
      </c>
      <c r="U98" s="218">
        <f>IF(LEFT($B98,4)="_Mil","",_xlfn.IFNA(ROUND(INDEX(Spectrum!$N:$N,MATCH(RIGHT($B98,13)&amp;"|"&amp;$C98&amp;"|"&amp;$D98&amp;"|"&amp;U$14&amp;"|"&amp;"CY2024Q3",Spectrum!$R:$R,0)),0),""))</f>
        <v>833</v>
      </c>
      <c r="V98" s="38">
        <f>IF(LEFT($B98,4)="_Mil","",_xlfn.IFNA(ROUND(INDEX(Spectrum!$N:$N,MATCH(RIGHT($B98,13)&amp;"|"&amp;$C98&amp;"|"&amp;$D98&amp;"|"&amp;V$14&amp;"|"&amp;"CY2024Q3",Spectrum!$R:$R,0)),0),""))</f>
        <v>886</v>
      </c>
      <c r="W98" s="220">
        <f>IF(LEFT($B98,4)="_Mil","",_xlfn.IFNA(INDEX(Spectrum!$N:$N,MATCH(RIGHT($B98,13)&amp;"|"&amp;$C98&amp;"|"&amp;$D98&amp;"|"&amp;W$14&amp;"|"&amp;"CY2024Q3",Spectrum!$R:$R,0)),""))</f>
        <v>7.6228679999999993E-2</v>
      </c>
      <c r="X98" s="218">
        <f>IF(LEFT($B98,4)="_Mil","",_xlfn.IFNA(ROUND(INDEX(Spectrum!$N:$N,MATCH(RIGHT($B98,13)&amp;"|"&amp;$C98&amp;"|"&amp;$D98&amp;"|"&amp;X$14&amp;"|"&amp;"CY2024Q3",Spectrum!$R:$R,0)),0),""))</f>
        <v>791</v>
      </c>
      <c r="Y98" s="33">
        <f t="shared" si="21"/>
        <v>0.95</v>
      </c>
      <c r="Z98" s="218">
        <f>IF(LEFT($B98,4)="_Mil","",_xlfn.IFNA(ROUND(INDEX(Spectrum!$N:$N,MATCH(RIGHT($B98,13)&amp;"|"&amp;$C98&amp;"|"&amp;$D98&amp;"|"&amp;Z$14&amp;"|"&amp;"CY2024Q3",Spectrum!$R:$R,0)),0),""))</f>
        <v>840</v>
      </c>
      <c r="AA98" s="33">
        <f>IF(LEFT($B98,4)="_Mil","",IFERROR(1/(1/INDEX(Spectrum!$N:$N,MATCH(RIGHT($B98,13)&amp;"|"&amp;$C98&amp;"|"&amp;$D98&amp;"|"&amp;AA$14&amp;"|"&amp;"CY2024Q3",Spectrum!$R:$R,0))),IF(SUM($U98)=0,"",SUM($Z98)/$U98)))</f>
        <v>0.94608708999999991</v>
      </c>
      <c r="AB98" s="33">
        <f t="shared" si="22"/>
        <v>1.0619469026548674</v>
      </c>
      <c r="AC98" s="38">
        <f>IF(LEFT($B98,4)="_Mil","",_xlfn.IFNA(ROUND(INDEX(Spectrum!$N:$N,MATCH(RIGHT($B98,13)&amp;"|"&amp;$C98&amp;"|"&amp;$D98&amp;"|"&amp;AC$14&amp;"|"&amp;"CY2024Q3",Spectrum!$R:$R,0)),0),""))</f>
        <v>46</v>
      </c>
      <c r="AD98" s="38" t="str">
        <f>IF(LEFT($B98,4)="_Mil","",_xlfn.IFNA(ROUND(INDEX(Spectrum!$N:$N,MATCH(RIGHT($B98,13)&amp;"|"&amp;$C98&amp;"|"&amp;$D98&amp;"|"&amp;AD$14&amp;"|"&amp;"CY2024Q3",Spectrum!$R:$R,0)),0),""))</f>
        <v/>
      </c>
      <c r="AE98" s="33">
        <f t="shared" si="23"/>
        <v>0</v>
      </c>
      <c r="AF98" s="218" t="str">
        <f>IF(LEFT($B98,4)="_Mil","",_xlfn.IFNA(ROUND(INDEX(Spectrum!$N:$N,MATCH(RIGHT($B98,13)&amp;"|"&amp;$C98&amp;"|"&amp;$D98&amp;"|"&amp;AF$14&amp;"|"&amp;"CY2024Q3",Spectrum!$R:$R,0)),0),""))</f>
        <v/>
      </c>
      <c r="AG98" s="33" t="str">
        <f t="shared" si="24"/>
        <v/>
      </c>
      <c r="AH98" s="110" t="str">
        <f>IF(LEFT($B98,4)="_Mil","",_xlfn.IFNA(INDEX(Spectrum!$N:$N,MATCH(RIGHT($B98,13)&amp;"|"&amp;$C98&amp;"|"&amp;$D98&amp;"|"&amp;AH$14&amp;"|"&amp;"CY2024Q3",Spectrum!$R:$R,0)),""))</f>
        <v/>
      </c>
      <c r="AI98" s="218">
        <f>IF(LEFT($B98,4)="_Mil","",_xlfn.IFNA(ROUND(INDEX(Spectrum!$N:$N,MATCH(RIGHT($B98,13)&amp;"|"&amp;$C98&amp;"|"&amp;$D98&amp;"|"&amp;AI$14&amp;"|"&amp;"CY2025Q3",Spectrum!$R:$R,0)),0),""))</f>
        <v>3</v>
      </c>
      <c r="AJ98" s="38">
        <f>IF(LEFT($B98,4)="_Mil","",_xlfn.IFNA(ROUND(INDEX(Spectrum!$N:$N,MATCH(RIGHT($B98,13)&amp;"|"&amp;$C98&amp;"|"&amp;$D98&amp;"|"&amp;AJ$14&amp;"|"&amp;"CY2025Q3",Spectrum!$R:$R,0)),0),""))</f>
        <v>877</v>
      </c>
      <c r="AK98" s="218" t="e">
        <f>#REF!</f>
        <v>#REF!</v>
      </c>
      <c r="AL98" s="33">
        <f t="shared" si="25"/>
        <v>0.94608708999999991</v>
      </c>
      <c r="AM98" s="38" t="e">
        <f>IF(OR(LEFT($B98,4)="_Mil",$C98="&lt;01"),"",ROUND(SUM($AK98)*SUM($AL98),0))</f>
        <v>#REF!</v>
      </c>
      <c r="AN98" s="38" t="str">
        <f>IF($C98="&lt;01",ROUND(INDEX(EID!$P:$P,MATCH($B98,EID!$B:$B,0))/2,0),"")</f>
        <v/>
      </c>
      <c r="AO98" s="38" t="e">
        <f>IF($C98="&lt;01",SUM($AN98),ROUND(SUM($AM98)*SUM($O98)/IF(SUM($Z98)=0,1,$Z98),0))</f>
        <v>#REF!</v>
      </c>
      <c r="AP98" s="218">
        <f>IF(OR($F98="",$C98="&lt;01"),$AO98,ROUND($F98,0))</f>
        <v>911</v>
      </c>
      <c r="AQ98" s="218">
        <f>IF(LEFT($B98,4)="_Mil","",IF(SUM($AP98)=0,SUM($Z98),IF(OR(SUM($Z98)=0,SUM($O98)=0),MAX($AP98,$Z98),ROUND($AP98*$Z98/$O98,0))))</f>
        <v>879</v>
      </c>
      <c r="AR98" s="33" t="e">
        <f>IF(OR(LEFT($B98,4)="_Mil",SUM($AK98)=0),"",SUM($AQ98)/$AK98)</f>
        <v>#REF!</v>
      </c>
      <c r="AS98" s="33">
        <v>1.02</v>
      </c>
      <c r="AT98" s="33">
        <f>IF($C98="&lt;01","",100%)</f>
        <v>1</v>
      </c>
      <c r="AU98" s="38">
        <f>IF($C98="&lt;01","",SUM($AP98)-SUM($O98))</f>
        <v>40</v>
      </c>
      <c r="AV98" s="38">
        <f>IF($C98="&lt;01",ROUND(INDEX(EID!$N:$N,MATCH($B98,EID!$B:$B,0))/2,0),IF(SUM($AT98)=0,"",ROUND((SUM($AP98)-(SUM($O98)*SUM($AS98)))/$AT98,0)))</f>
        <v>23</v>
      </c>
      <c r="AW98" s="33">
        <v>0.8</v>
      </c>
      <c r="AX98" s="218">
        <f>IF($C98="&lt;01",SUM($AV98),ROUND(SUM($AV98)*SUM($AW98),0))</f>
        <v>18</v>
      </c>
      <c r="AY98" s="79">
        <f t="shared" si="27"/>
        <v>0.7</v>
      </c>
      <c r="AZ98" s="85">
        <f>IF($C98="&lt;01",ROUND(INDEX(EID!$R:$R,MATCH($B98,EID!$B:$B,0))/2,0),ROUND(SUM($O98)+(SUM($AV98)*$AY98),0))</f>
        <v>887</v>
      </c>
      <c r="BA98" s="40">
        <f t="shared" si="31"/>
        <v>0.9</v>
      </c>
      <c r="BB98" s="99">
        <f>IF($C98="&lt;01",ROUND(INDEX(EID!$T:$T,MATCH($B98,EID!$B:$B,0))/2,0),ROUND($AP98*$BA98,0))</f>
        <v>820</v>
      </c>
      <c r="BC98" s="85">
        <f>IF(LEFT($B98,4)="_Mil","",IF(SUM($BB98)=0,SUM($AD98),IF(OR(SUM($AP98)=0,SUM($AQ98)=0),MAX($BB98,$AD98),ROUND($BB98*$AQ98/$AP98,0))))</f>
        <v>791</v>
      </c>
      <c r="BD98" s="33">
        <f t="shared" si="28"/>
        <v>0.95</v>
      </c>
      <c r="BE98" s="218">
        <f>IF($C98="&lt;01",ROUND(INDEX(EID!$V:$V,MATCH($B98,EID!$B:$B,0))/2,0),ROUND($BD98*$BB98,0))</f>
        <v>779</v>
      </c>
      <c r="BF98" s="218">
        <f>IF(LEFT($B98,4)="_Mil","",IF(SUM($BE98)=0,SUM($AF98),IF(OR(SUM($AP98)=0,SUM($AQ98)=0),MAX($BE98,$AF98),ROUND($BE98*$AQ98/$AP98,0))))</f>
        <v>752</v>
      </c>
      <c r="BG98" s="79">
        <f t="shared" si="29"/>
        <v>0.95</v>
      </c>
      <c r="BH98" s="99">
        <f>IF($C98="&lt;01",ROUND(INDEX(EID!$L:$L,MATCH($B98,EID!$B:$B,0)),0)/2,IF(SUM($BG98)=0,"",ROUND($AX98/$BG98,0)))</f>
        <v>19</v>
      </c>
    </row>
    <row r="99" spans="1:60" x14ac:dyDescent="0.2">
      <c r="A99" t="str">
        <f>INDEX(Prioritization!$D:$D,MATCH($B99,Prioritization!$A:$A,0))</f>
        <v>4 - Sustained</v>
      </c>
      <c r="B99" t="s">
        <v>298</v>
      </c>
      <c r="C99" t="s">
        <v>426</v>
      </c>
      <c r="D99" t="s">
        <v>30</v>
      </c>
      <c r="E99" t="str">
        <f t="shared" si="19"/>
        <v>Dedza District [PekKUkKHAzY]|&lt;01|Female</v>
      </c>
      <c r="F99" s="229">
        <v>10</v>
      </c>
      <c r="G99" s="38">
        <v>38</v>
      </c>
      <c r="H99" s="38">
        <v>5</v>
      </c>
      <c r="I99" s="38">
        <v>3</v>
      </c>
      <c r="J99" s="38">
        <v>94</v>
      </c>
      <c r="K99" s="38">
        <v>86</v>
      </c>
      <c r="L99" s="38"/>
      <c r="M99" s="38">
        <v>10</v>
      </c>
      <c r="N99" s="38">
        <v>10</v>
      </c>
      <c r="O99" s="229">
        <v>10</v>
      </c>
      <c r="P99" s="38">
        <v>6</v>
      </c>
      <c r="Q99" s="38">
        <v>6</v>
      </c>
      <c r="R99" s="38">
        <f t="shared" si="20"/>
        <v>7</v>
      </c>
      <c r="S99" s="38">
        <f>IF(LEFT($B99,4)="_Mil","",_xlfn.IFNA(ROUND(INDEX(Spectrum!$N:$N,MATCH(RIGHT($B99,13)&amp;"|"&amp;$C99&amp;"|"&amp;$D99&amp;"|"&amp;S$14&amp;"|"&amp;"CY2023Q4",Spectrum!$R:$R,0)),0),""))</f>
        <v>9</v>
      </c>
      <c r="T99" s="218">
        <f>IF(LEFT($B99,4)="_Mil","",_xlfn.IFNA(ROUND(INDEX(Spectrum!$N:$N,MATCH(RIGHT($B99,13)&amp;"|"&amp;$C99&amp;"|"&amp;$D99&amp;"|"&amp;T$14&amp;"|"&amp;"CY2024Q3",Spectrum!$R:$R,0)),0),""))</f>
        <v>15085</v>
      </c>
      <c r="U99" s="218">
        <f>IF(LEFT($B99,4)="_Mil","",_xlfn.IFNA(ROUND(INDEX(Spectrum!$N:$N,MATCH(RIGHT($B99,13)&amp;"|"&amp;$C99&amp;"|"&amp;$D99&amp;"|"&amp;U$14&amp;"|"&amp;"CY2024Q3",Spectrum!$R:$R,0)),0),""))</f>
        <v>11</v>
      </c>
      <c r="V99" s="38">
        <f>IF(LEFT($B99,4)="_Mil","",_xlfn.IFNA(ROUND(INDEX(Spectrum!$N:$N,MATCH(RIGHT($B99,13)&amp;"|"&amp;$C99&amp;"|"&amp;$D99&amp;"|"&amp;V$14&amp;"|"&amp;"CY2024Q3",Spectrum!$R:$R,0)),0),""))</f>
        <v>13</v>
      </c>
      <c r="W99" s="220">
        <f>IF(LEFT($B99,4)="_Mil","",_xlfn.IFNA(INDEX(Spectrum!$N:$N,MATCH(RIGHT($B99,13)&amp;"|"&amp;$C99&amp;"|"&amp;$D99&amp;"|"&amp;W$14&amp;"|"&amp;"CY2024Q3",Spectrum!$R:$R,0)),""))</f>
        <v>7.3623299999999998E-4</v>
      </c>
      <c r="X99" s="218">
        <f>IF(LEFT($B99,4)="_Mil","",_xlfn.IFNA(ROUND(INDEX(Spectrum!$N:$N,MATCH(RIGHT($B99,13)&amp;"|"&amp;$C99&amp;"|"&amp;$D99&amp;"|"&amp;X$14&amp;"|"&amp;"CY2024Q3",Spectrum!$R:$R,0)),0),""))</f>
        <v>7</v>
      </c>
      <c r="Y99" s="33">
        <f t="shared" si="21"/>
        <v>0.64</v>
      </c>
      <c r="Z99" s="218">
        <f>IF(LEFT($B99,4)="_Mil","",_xlfn.IFNA(ROUND(INDEX(Spectrum!$N:$N,MATCH(RIGHT($B99,13)&amp;"|"&amp;$C99&amp;"|"&amp;$D99&amp;"|"&amp;Z$14&amp;"|"&amp;"CY2024Q3",Spectrum!$R:$R,0)),0),""))</f>
        <v>8</v>
      </c>
      <c r="AA99" s="33">
        <f>IF(LEFT($B99,4)="_Mil","",IFERROR(1/(1/INDEX(Spectrum!$N:$N,MATCH(RIGHT($B99,13)&amp;"|"&amp;$C99&amp;"|"&amp;$D99&amp;"|"&amp;AA$14&amp;"|"&amp;"CY2024Q3",Spectrum!$R:$R,0))),IF(SUM($U99)=0,"",SUM($Z99)/$U99)))</f>
        <v>0.62526094399999999</v>
      </c>
      <c r="AB99" s="33">
        <f t="shared" si="22"/>
        <v>1.1428571428571428</v>
      </c>
      <c r="AC99" s="38">
        <f>IF(LEFT($B99,4)="_Mil","",_xlfn.IFNA(ROUND(INDEX(Spectrum!$N:$N,MATCH(RIGHT($B99,13)&amp;"|"&amp;$C99&amp;"|"&amp;$D99&amp;"|"&amp;AC$14&amp;"|"&amp;"CY2024Q3",Spectrum!$R:$R,0)),0),""))</f>
        <v>5</v>
      </c>
      <c r="AD99" s="38" t="str">
        <f>IF(LEFT($B99,4)="_Mil","",_xlfn.IFNA(ROUND(INDEX(Spectrum!$N:$N,MATCH(RIGHT($B99,13)&amp;"|"&amp;$C99&amp;"|"&amp;$D99&amp;"|"&amp;AD$14&amp;"|"&amp;"CY2024Q3",Spectrum!$R:$R,0)),0),""))</f>
        <v/>
      </c>
      <c r="AE99" s="33">
        <f t="shared" si="23"/>
        <v>0</v>
      </c>
      <c r="AF99" s="218" t="str">
        <f>IF(LEFT($B99,4)="_Mil","",_xlfn.IFNA(ROUND(INDEX(Spectrum!$N:$N,MATCH(RIGHT($B99,13)&amp;"|"&amp;$C99&amp;"|"&amp;$D99&amp;"|"&amp;AF$14&amp;"|"&amp;"CY2024Q3",Spectrum!$R:$R,0)),0),""))</f>
        <v/>
      </c>
      <c r="AG99" s="33" t="str">
        <f t="shared" si="24"/>
        <v/>
      </c>
      <c r="AH99" s="110" t="str">
        <f>IF(LEFT($B99,4)="_Mil","",_xlfn.IFNA(INDEX(Spectrum!$N:$N,MATCH(RIGHT($B99,13)&amp;"|"&amp;$C99&amp;"|"&amp;$D99&amp;"|"&amp;AH$14&amp;"|"&amp;"CY2024Q3",Spectrum!$R:$R,0)),""))</f>
        <v/>
      </c>
      <c r="AI99" s="218">
        <f>IF(LEFT($B99,4)="_Mil","",_xlfn.IFNA(ROUND(INDEX(Spectrum!$N:$N,MATCH(RIGHT($B99,13)&amp;"|"&amp;$C99&amp;"|"&amp;$D99&amp;"|"&amp;AI$14&amp;"|"&amp;"CY2025Q3",Spectrum!$R:$R,0)),0),""))</f>
        <v>13</v>
      </c>
      <c r="AJ99" s="38">
        <f>IF(LEFT($B99,4)="_Mil","",_xlfn.IFNA(ROUND(INDEX(Spectrum!$N:$N,MATCH(RIGHT($B99,13)&amp;"|"&amp;$C99&amp;"|"&amp;$D99&amp;"|"&amp;AJ$14&amp;"|"&amp;"CY2025Q3",Spectrum!$R:$R,0)),0),""))</f>
        <v>10</v>
      </c>
      <c r="AK99" s="218" t="e">
        <f>#REF!</f>
        <v>#REF!</v>
      </c>
      <c r="AL99" s="33" t="str">
        <f t="shared" si="25"/>
        <v/>
      </c>
      <c r="AM99" s="38" t="str">
        <f>IF(OR(LEFT($B99,4)="_Mil",$C99="&lt;01"),"",ROUND(SUM($AK99)*SUM($AL99),0))</f>
        <v/>
      </c>
      <c r="AN99" s="38">
        <f>IF($C99="&lt;01",ROUND(INDEX(EID!$P:$P,MATCH($B99,EID!$B:$B,0))/2,0),"")</f>
        <v>2</v>
      </c>
      <c r="AO99" s="38">
        <f>IF($C99="&lt;01",SUM($AN99),ROUND(SUM($AM99)*SUM($O99)/IF(SUM($Z99)=0,1,$Z99),0))</f>
        <v>2</v>
      </c>
      <c r="AP99" s="218">
        <f>IF(OR($F99="",$C99="&lt;01"),$AO99,ROUND($F99,0))</f>
        <v>2</v>
      </c>
      <c r="AQ99" s="218">
        <f>IF(LEFT($B99,4)="_Mil","",IF(SUM($AP99)=0,SUM($Z99),IF(OR(SUM($Z99)=0,SUM($O99)=0),MAX($AP99,$Z99),ROUND($AP99*$Z99/$O99,0))))</f>
        <v>2</v>
      </c>
      <c r="AR99" s="33" t="e">
        <f>IF(OR(LEFT($B99,4)="_Mil",SUM($AK99)=0),"",SUM($AQ99)/$AK99)</f>
        <v>#REF!</v>
      </c>
      <c r="AS99" s="33" t="str">
        <f t="shared" si="30"/>
        <v/>
      </c>
      <c r="AT99" s="33" t="str">
        <f t="shared" si="16"/>
        <v/>
      </c>
      <c r="AU99" s="38" t="str">
        <f>IF($C99="&lt;01","",SUM($AP99)-SUM($O99))</f>
        <v/>
      </c>
      <c r="AV99" s="38">
        <f>IF($C99="&lt;01",ROUND(INDEX(EID!$N:$N,MATCH($B99,EID!$B:$B,0))/2,0),IF(SUM($AT99)=0,"",ROUND((SUM($AP99)-(SUM($O99)*SUM($AS99)))/$AT99,0)))</f>
        <v>2</v>
      </c>
      <c r="AW99" s="33" t="str">
        <f t="shared" si="26"/>
        <v/>
      </c>
      <c r="AX99" s="218">
        <f>IF($C99="&lt;01",SUM($AV99),ROUND(SUM($AV99)*SUM($AW99),0))</f>
        <v>2</v>
      </c>
      <c r="AY99" s="79" t="str">
        <f t="shared" si="27"/>
        <v/>
      </c>
      <c r="AZ99" s="85">
        <f>IF($C99="&lt;01",ROUND(INDEX(EID!$R:$R,MATCH($B99,EID!$B:$B,0))/2,0),ROUND(SUM($O99)+(SUM($AV99)*$AY99),0))</f>
        <v>1</v>
      </c>
      <c r="BA99" s="40" t="str">
        <f t="shared" si="31"/>
        <v/>
      </c>
      <c r="BB99" s="99">
        <f>IF($C99="&lt;01",ROUND(INDEX(EID!$T:$T,MATCH($B99,EID!$B:$B,0))/2,0),ROUND($AP99*$BA99,0))</f>
        <v>1</v>
      </c>
      <c r="BC99" s="85">
        <f>IF(LEFT($B99,4)="_Mil","",IF(SUM($BB99)=0,SUM($AD99),IF(OR(SUM($AP99)=0,SUM($AQ99)=0),MAX($BB99,$AD99),ROUND($BB99*$AQ99/$AP99,0))))</f>
        <v>1</v>
      </c>
      <c r="BD99" s="33" t="str">
        <f t="shared" si="28"/>
        <v/>
      </c>
      <c r="BE99" s="218">
        <f>IF($C99="&lt;01",ROUND(INDEX(EID!$V:$V,MATCH($B99,EID!$B:$B,0))/2,0),ROUND($BD99*$BB99,0))</f>
        <v>1</v>
      </c>
      <c r="BF99" s="218">
        <f>IF(LEFT($B99,4)="_Mil","",IF(SUM($BE99)=0,SUM($AF99),IF(OR(SUM($AP99)=0,SUM($AQ99)=0),MAX($BE99,$AF99),ROUND($BE99*$AQ99/$AP99,0))))</f>
        <v>1</v>
      </c>
      <c r="BG99" s="79" t="str">
        <f t="shared" si="29"/>
        <v/>
      </c>
      <c r="BH99" s="99">
        <f>IF($C99="&lt;01",ROUND(INDEX(EID!$L:$L,MATCH($B99,EID!$B:$B,0)),0)/2,IF(SUM($BG99)=0,"",ROUND($AX99/$BG99,0)))</f>
        <v>1.5</v>
      </c>
    </row>
    <row r="100" spans="1:60" x14ac:dyDescent="0.2">
      <c r="A100" t="str">
        <f>INDEX(Prioritization!$D:$D,MATCH($B100,Prioritization!$A:$A,0))</f>
        <v>4 - Sustained</v>
      </c>
      <c r="B100" t="s">
        <v>298</v>
      </c>
      <c r="C100" t="s">
        <v>426</v>
      </c>
      <c r="D100" t="s">
        <v>48</v>
      </c>
      <c r="E100" t="str">
        <f t="shared" si="19"/>
        <v>Dedza District [PekKUkKHAzY]|&lt;01|Male</v>
      </c>
      <c r="F100" s="229">
        <v>10</v>
      </c>
      <c r="G100" s="38">
        <v>33</v>
      </c>
      <c r="H100" s="38">
        <v>8</v>
      </c>
      <c r="I100" s="38">
        <v>1</v>
      </c>
      <c r="J100" s="38">
        <v>45</v>
      </c>
      <c r="K100" s="38">
        <v>42</v>
      </c>
      <c r="L100" s="38"/>
      <c r="M100" s="38">
        <v>10</v>
      </c>
      <c r="N100" s="38">
        <v>10</v>
      </c>
      <c r="O100" s="229">
        <v>10</v>
      </c>
      <c r="P100" s="38">
        <v>6</v>
      </c>
      <c r="Q100" s="38">
        <v>6</v>
      </c>
      <c r="R100" s="38">
        <f t="shared" si="20"/>
        <v>9</v>
      </c>
      <c r="S100" s="38">
        <f>IF(LEFT($B100,4)="_Mil","",_xlfn.IFNA(ROUND(INDEX(Spectrum!$N:$N,MATCH(RIGHT($B100,13)&amp;"|"&amp;$C100&amp;"|"&amp;$D100&amp;"|"&amp;S$14&amp;"|"&amp;"CY2023Q4",Spectrum!$R:$R,0)),0),""))</f>
        <v>10</v>
      </c>
      <c r="T100" s="218">
        <f>IF(LEFT($B100,4)="_Mil","",_xlfn.IFNA(ROUND(INDEX(Spectrum!$N:$N,MATCH(RIGHT($B100,13)&amp;"|"&amp;$C100&amp;"|"&amp;$D100&amp;"|"&amp;T$14&amp;"|"&amp;"CY2024Q3",Spectrum!$R:$R,0)),0),""))</f>
        <v>15190</v>
      </c>
      <c r="U100" s="218">
        <f>IF(LEFT($B100,4)="_Mil","",_xlfn.IFNA(ROUND(INDEX(Spectrum!$N:$N,MATCH(RIGHT($B100,13)&amp;"|"&amp;$C100&amp;"|"&amp;$D100&amp;"|"&amp;U$14&amp;"|"&amp;"CY2024Q3",Spectrum!$R:$R,0)),0),""))</f>
        <v>11</v>
      </c>
      <c r="V100" s="38">
        <f>IF(LEFT($B100,4)="_Mil","",_xlfn.IFNA(ROUND(INDEX(Spectrum!$N:$N,MATCH(RIGHT($B100,13)&amp;"|"&amp;$C100&amp;"|"&amp;$D100&amp;"|"&amp;V$14&amp;"|"&amp;"CY2024Q3",Spectrum!$R:$R,0)),0),""))</f>
        <v>13</v>
      </c>
      <c r="W100" s="220">
        <f>IF(LEFT($B100,4)="_Mil","",_xlfn.IFNA(INDEX(Spectrum!$N:$N,MATCH(RIGHT($B100,13)&amp;"|"&amp;$C100&amp;"|"&amp;$D100&amp;"|"&amp;W$14&amp;"|"&amp;"CY2024Q3",Spectrum!$R:$R,0)),""))</f>
        <v>7.3908299999999997E-4</v>
      </c>
      <c r="X100" s="218">
        <f>IF(LEFT($B100,4)="_Mil","",_xlfn.IFNA(ROUND(INDEX(Spectrum!$N:$N,MATCH(RIGHT($B100,13)&amp;"|"&amp;$C100&amp;"|"&amp;$D100&amp;"|"&amp;X$14&amp;"|"&amp;"CY2024Q3",Spectrum!$R:$R,0)),0),""))</f>
        <v>8</v>
      </c>
      <c r="Y100" s="33">
        <f t="shared" si="21"/>
        <v>0.73</v>
      </c>
      <c r="Z100" s="218">
        <f>IF(LEFT($B100,4)="_Mil","",_xlfn.IFNA(ROUND(INDEX(Spectrum!$N:$N,MATCH(RIGHT($B100,13)&amp;"|"&amp;$C100&amp;"|"&amp;$D100&amp;"|"&amp;Z$14&amp;"|"&amp;"CY2024Q3",Spectrum!$R:$R,0)),0),""))</f>
        <v>8</v>
      </c>
      <c r="AA100" s="33">
        <f>IF(LEFT($B100,4)="_Mil","",IFERROR(1/(1/INDEX(Spectrum!$N:$N,MATCH(RIGHT($B100,13)&amp;"|"&amp;$C100&amp;"|"&amp;$D100&amp;"|"&amp;AA$14&amp;"|"&amp;"CY2024Q3",Spectrum!$R:$R,0))),IF(SUM($U100)=0,"",SUM($Z100)/$U100)))</f>
        <v>0.62532120499999999</v>
      </c>
      <c r="AB100" s="33">
        <f t="shared" si="22"/>
        <v>1</v>
      </c>
      <c r="AC100" s="38">
        <f>IF(LEFT($B100,4)="_Mil","",_xlfn.IFNA(ROUND(INDEX(Spectrum!$N:$N,MATCH(RIGHT($B100,13)&amp;"|"&amp;$C100&amp;"|"&amp;$D100&amp;"|"&amp;AC$14&amp;"|"&amp;"CY2024Q3",Spectrum!$R:$R,0)),0),""))</f>
        <v>5</v>
      </c>
      <c r="AD100" s="38" t="str">
        <f>IF(LEFT($B100,4)="_Mil","",_xlfn.IFNA(ROUND(INDEX(Spectrum!$N:$N,MATCH(RIGHT($B100,13)&amp;"|"&amp;$C100&amp;"|"&amp;$D100&amp;"|"&amp;AD$14&amp;"|"&amp;"CY2024Q3",Spectrum!$R:$R,0)),0),""))</f>
        <v/>
      </c>
      <c r="AE100" s="33">
        <f t="shared" si="23"/>
        <v>0</v>
      </c>
      <c r="AF100" s="218" t="str">
        <f>IF(LEFT($B100,4)="_Mil","",_xlfn.IFNA(ROUND(INDEX(Spectrum!$N:$N,MATCH(RIGHT($B100,13)&amp;"|"&amp;$C100&amp;"|"&amp;$D100&amp;"|"&amp;AF$14&amp;"|"&amp;"CY2024Q3",Spectrum!$R:$R,0)),0),""))</f>
        <v/>
      </c>
      <c r="AG100" s="33" t="str">
        <f t="shared" si="24"/>
        <v/>
      </c>
      <c r="AH100" s="110" t="str">
        <f>IF(LEFT($B100,4)="_Mil","",_xlfn.IFNA(INDEX(Spectrum!$N:$N,MATCH(RIGHT($B100,13)&amp;"|"&amp;$C100&amp;"|"&amp;$D100&amp;"|"&amp;AH$14&amp;"|"&amp;"CY2024Q3",Spectrum!$R:$R,0)),""))</f>
        <v/>
      </c>
      <c r="AI100" s="218">
        <f>IF(LEFT($B100,4)="_Mil","",_xlfn.IFNA(ROUND(INDEX(Spectrum!$N:$N,MATCH(RIGHT($B100,13)&amp;"|"&amp;$C100&amp;"|"&amp;$D100&amp;"|"&amp;AI$14&amp;"|"&amp;"CY2025Q3",Spectrum!$R:$R,0)),0),""))</f>
        <v>13</v>
      </c>
      <c r="AJ100" s="38">
        <f>IF(LEFT($B100,4)="_Mil","",_xlfn.IFNA(ROUND(INDEX(Spectrum!$N:$N,MATCH(RIGHT($B100,13)&amp;"|"&amp;$C100&amp;"|"&amp;$D100&amp;"|"&amp;AJ$14&amp;"|"&amp;"CY2025Q3",Spectrum!$R:$R,0)),0),""))</f>
        <v>10</v>
      </c>
      <c r="AK100" s="218" t="e">
        <f>#REF!</f>
        <v>#REF!</v>
      </c>
      <c r="AL100" s="33" t="str">
        <f t="shared" si="25"/>
        <v/>
      </c>
      <c r="AM100" s="38" t="str">
        <f>IF(OR(LEFT($B100,4)="_Mil",$C100="&lt;01"),"",ROUND(SUM($AK100)*SUM($AL100),0))</f>
        <v/>
      </c>
      <c r="AN100" s="38">
        <f>IF($C100="&lt;01",ROUND(INDEX(EID!$P:$P,MATCH($B100,EID!$B:$B,0))/2,0),"")</f>
        <v>2</v>
      </c>
      <c r="AO100" s="38">
        <f>IF($C100="&lt;01",SUM($AN100),ROUND(SUM($AM100)*SUM($O100)/IF(SUM($Z100)=0,1,$Z100),0))</f>
        <v>2</v>
      </c>
      <c r="AP100" s="218">
        <f>IF(OR($F100="",$C100="&lt;01"),$AO100,ROUND($F100,0))</f>
        <v>2</v>
      </c>
      <c r="AQ100" s="218">
        <f>IF(LEFT($B100,4)="_Mil","",IF(SUM($AP100)=0,SUM($Z100),IF(OR(SUM($Z100)=0,SUM($O100)=0),MAX($AP100,$Z100),ROUND($AP100*$Z100/$O100,0))))</f>
        <v>2</v>
      </c>
      <c r="AR100" s="33" t="e">
        <f>IF(OR(LEFT($B100,4)="_Mil",SUM($AK100)=0),"",SUM($AQ100)/$AK100)</f>
        <v>#REF!</v>
      </c>
      <c r="AS100" s="33" t="str">
        <f t="shared" si="30"/>
        <v/>
      </c>
      <c r="AT100" s="33" t="str">
        <f t="shared" si="16"/>
        <v/>
      </c>
      <c r="AU100" s="38" t="str">
        <f>IF($C100="&lt;01","",SUM($AP100)-SUM($O100))</f>
        <v/>
      </c>
      <c r="AV100" s="38">
        <f>IF($C100="&lt;01",ROUND(INDEX(EID!$N:$N,MATCH($B100,EID!$B:$B,0))/2,0),IF(SUM($AT100)=0,"",ROUND((SUM($AP100)-(SUM($O100)*SUM($AS100)))/$AT100,0)))</f>
        <v>2</v>
      </c>
      <c r="AW100" s="33" t="str">
        <f t="shared" si="26"/>
        <v/>
      </c>
      <c r="AX100" s="218">
        <f>IF($C100="&lt;01",SUM($AV100),ROUND(SUM($AV100)*SUM($AW100),0))</f>
        <v>2</v>
      </c>
      <c r="AY100" s="79" t="str">
        <f t="shared" si="27"/>
        <v/>
      </c>
      <c r="AZ100" s="85">
        <f>IF($C100="&lt;01",ROUND(INDEX(EID!$R:$R,MATCH($B100,EID!$B:$B,0))/2,0),ROUND(SUM($O100)+(SUM($AV100)*$AY100),0))</f>
        <v>1</v>
      </c>
      <c r="BA100" s="40" t="str">
        <f t="shared" si="31"/>
        <v/>
      </c>
      <c r="BB100" s="99">
        <f>IF($C100="&lt;01",ROUND(INDEX(EID!$T:$T,MATCH($B100,EID!$B:$B,0))/2,0),ROUND($AP100*$BA100,0))</f>
        <v>1</v>
      </c>
      <c r="BC100" s="85">
        <f>IF(LEFT($B100,4)="_Mil","",IF(SUM($BB100)=0,SUM($AD100),IF(OR(SUM($AP100)=0,SUM($AQ100)=0),MAX($BB100,$AD100),ROUND($BB100*$AQ100/$AP100,0))))</f>
        <v>1</v>
      </c>
      <c r="BD100" s="33" t="str">
        <f t="shared" si="28"/>
        <v/>
      </c>
      <c r="BE100" s="218">
        <f>IF($C100="&lt;01",ROUND(INDEX(EID!$V:$V,MATCH($B100,EID!$B:$B,0))/2,0),ROUND($BD100*$BB100,0))</f>
        <v>1</v>
      </c>
      <c r="BF100" s="218">
        <f>IF(LEFT($B100,4)="_Mil","",IF(SUM($BE100)=0,SUM($AF100),IF(OR(SUM($AP100)=0,SUM($AQ100)=0),MAX($BE100,$AF100),ROUND($BE100*$AQ100/$AP100,0))))</f>
        <v>1</v>
      </c>
      <c r="BG100" s="79" t="str">
        <f t="shared" si="29"/>
        <v/>
      </c>
      <c r="BH100" s="99">
        <f>IF($C100="&lt;01",ROUND(INDEX(EID!$L:$L,MATCH($B100,EID!$B:$B,0)),0)/2,IF(SUM($BG100)=0,"",ROUND($AX100/$BG100,0)))</f>
        <v>1.5</v>
      </c>
    </row>
    <row r="101" spans="1:60" x14ac:dyDescent="0.2">
      <c r="A101" t="str">
        <f>INDEX(Prioritization!$D:$D,MATCH($B101,Prioritization!$A:$A,0))</f>
        <v>4 - Sustained</v>
      </c>
      <c r="B101" s="1" t="s">
        <v>298</v>
      </c>
      <c r="C101" t="s">
        <v>473</v>
      </c>
      <c r="D101" s="1" t="s">
        <v>30</v>
      </c>
      <c r="E101" t="str">
        <f t="shared" si="19"/>
        <v>Dedza District [PekKUkKHAzY]|01-09|Female</v>
      </c>
      <c r="F101" s="229">
        <v>185</v>
      </c>
      <c r="G101" s="38">
        <v>80</v>
      </c>
      <c r="H101" s="85">
        <v>25</v>
      </c>
      <c r="I101" s="85">
        <v>171</v>
      </c>
      <c r="J101" s="38">
        <v>299</v>
      </c>
      <c r="K101" s="85">
        <v>262</v>
      </c>
      <c r="L101" s="38">
        <v>11</v>
      </c>
      <c r="M101" s="85">
        <v>10</v>
      </c>
      <c r="N101" s="85">
        <v>202</v>
      </c>
      <c r="O101" s="85">
        <v>185</v>
      </c>
      <c r="P101" s="38">
        <v>178</v>
      </c>
      <c r="Q101" s="85">
        <v>168</v>
      </c>
      <c r="R101" s="85">
        <f t="shared" si="20"/>
        <v>14</v>
      </c>
      <c r="S101" s="85">
        <f>IF(LEFT($B101,4)="_Mil","",_xlfn.IFNA(ROUND(INDEX(Spectrum!$N:$N,MATCH(RIGHT($B101,13)&amp;"|"&amp;$C101&amp;"|"&amp;$D101&amp;"|"&amp;S$14&amp;"|"&amp;"CY2023Q4",Spectrum!$R:$R,0)),0),""))</f>
        <v>175</v>
      </c>
      <c r="T101" s="99">
        <f>IF(LEFT($B101,4)="_Mil","",_xlfn.IFNA(ROUND(INDEX(Spectrum!$N:$N,MATCH(RIGHT($B101,13)&amp;"|"&amp;$C101&amp;"|"&amp;$D101&amp;"|"&amp;T$14&amp;"|"&amp;"CY2024Q3",Spectrum!$R:$R,0)),0),""))</f>
        <v>125670</v>
      </c>
      <c r="U101" s="2">
        <f>IF(LEFT($B101,4)="_Mil","",_xlfn.IFNA(ROUND(INDEX(Spectrum!$N:$N,MATCH(RIGHT($B101,13)&amp;"|"&amp;$C101&amp;"|"&amp;$D101&amp;"|"&amp;U$14&amp;"|"&amp;"CY2024Q3",Spectrum!$R:$R,0)),0),""))</f>
        <v>213</v>
      </c>
      <c r="V101" s="29">
        <f>IF(LEFT($B101,4)="_Mil","",_xlfn.IFNA(ROUND(INDEX(Spectrum!$N:$N,MATCH(RIGHT($B101,13)&amp;"|"&amp;$C101&amp;"|"&amp;$D101&amp;"|"&amp;V$14&amp;"|"&amp;"CY2024Q3",Spectrum!$R:$R,0)),0),""))</f>
        <v>246</v>
      </c>
      <c r="W101" s="220">
        <f>IF(LEFT($B101,4)="_Mil","",_xlfn.IFNA(INDEX(Spectrum!$N:$N,MATCH(RIGHT($B101,13)&amp;"|"&amp;$C101&amp;"|"&amp;$D101&amp;"|"&amp;W$14&amp;"|"&amp;"CY2024Q3",Spectrum!$R:$R,0)),""))</f>
        <v>1.697692E-3</v>
      </c>
      <c r="X101" s="2">
        <f>IF(LEFT($B101,4)="_Mil","",_xlfn.IFNA(ROUND(INDEX(Spectrum!$N:$N,MATCH(RIGHT($B101,13)&amp;"|"&amp;$C101&amp;"|"&amp;$D101&amp;"|"&amp;X$14&amp;"|"&amp;"CY2024Q3",Spectrum!$R:$R,0)),0),""))</f>
        <v>152</v>
      </c>
      <c r="Y101" s="236">
        <f t="shared" si="21"/>
        <v>0.71</v>
      </c>
      <c r="Z101" s="218">
        <f>IF(LEFT($B101,4)="_Mil","",_xlfn.IFNA(ROUND(INDEX(Spectrum!$N:$N,MATCH(RIGHT($B101,13)&amp;"|"&amp;$C101&amp;"|"&amp;$D101&amp;"|"&amp;Z$14&amp;"|"&amp;"CY2024Q3",Spectrum!$R:$R,0)),0),""))</f>
        <v>169</v>
      </c>
      <c r="AA101" s="40">
        <f>IF(LEFT($B101,4)="_Mil","",IFERROR(1/(1/INDEX(Spectrum!$N:$N,MATCH(RIGHT($B101,13)&amp;"|"&amp;$C101&amp;"|"&amp;$D101&amp;"|"&amp;AA$14&amp;"|"&amp;"CY2024Q3",Spectrum!$R:$R,0))),IF(SUM($U101)=0,"",SUM($Z101)/$U101)))</f>
        <v>0.67143921500000003</v>
      </c>
      <c r="AB101" s="34">
        <f t="shared" si="22"/>
        <v>1.111842105263158</v>
      </c>
      <c r="AC101" s="29">
        <f>IF(LEFT($B101,4)="_Mil","",_xlfn.IFNA(ROUND(INDEX(Spectrum!$N:$N,MATCH(RIGHT($B101,13)&amp;"|"&amp;$C101&amp;"|"&amp;$D101&amp;"|"&amp;AC$14&amp;"|"&amp;"CY2024Q3",Spectrum!$R:$R,0)),0),""))</f>
        <v>77</v>
      </c>
      <c r="AD101" s="85" t="str">
        <f>IF(LEFT($B101,4)="_Mil","",_xlfn.IFNA(ROUND(INDEX(Spectrum!$N:$N,MATCH(RIGHT($B101,13)&amp;"|"&amp;$C101&amp;"|"&amp;$D101&amp;"|"&amp;AD$14&amp;"|"&amp;"CY2024Q3",Spectrum!$R:$R,0)),0),""))</f>
        <v/>
      </c>
      <c r="AE101" s="236">
        <f t="shared" si="23"/>
        <v>0</v>
      </c>
      <c r="AF101" s="2" t="str">
        <f>IF(LEFT($B101,4)="_Mil","",_xlfn.IFNA(ROUND(INDEX(Spectrum!$N:$N,MATCH(RIGHT($B101,13)&amp;"|"&amp;$C101&amp;"|"&amp;$D101&amp;"|"&amp;AF$14&amp;"|"&amp;"CY2024Q3",Spectrum!$R:$R,0)),0),""))</f>
        <v/>
      </c>
      <c r="AG101" s="40" t="str">
        <f t="shared" si="24"/>
        <v/>
      </c>
      <c r="AH101" s="219" t="str">
        <f>IF(LEFT($B101,4)="_Mil","",_xlfn.IFNA(INDEX(Spectrum!$N:$N,MATCH(RIGHT($B101,13)&amp;"|"&amp;$C101&amp;"|"&amp;$D101&amp;"|"&amp;AH$14&amp;"|"&amp;"CY2024Q3",Spectrum!$R:$R,0)),""))</f>
        <v/>
      </c>
      <c r="AI101" s="99">
        <f>IF(LEFT($B101,4)="_Mil","",_xlfn.IFNA(ROUND(INDEX(Spectrum!$N:$N,MATCH(RIGHT($B101,13)&amp;"|"&amp;$C101&amp;"|"&amp;$D101&amp;"|"&amp;AI$14&amp;"|"&amp;"CY2025Q3",Spectrum!$R:$R,0)),0),""))</f>
        <v>3</v>
      </c>
      <c r="AJ101" s="85">
        <f>IF(LEFT($B101,4)="_Mil","",_xlfn.IFNA(ROUND(INDEX(Spectrum!$N:$N,MATCH(RIGHT($B101,13)&amp;"|"&amp;$C101&amp;"|"&amp;$D101&amp;"|"&amp;AJ$14&amp;"|"&amp;"CY2025Q3",Spectrum!$R:$R,0)),0),""))</f>
        <v>184</v>
      </c>
      <c r="AK101" s="99" t="e">
        <f>#REF!</f>
        <v>#REF!</v>
      </c>
      <c r="AL101" s="40">
        <f t="shared" si="25"/>
        <v>0.9</v>
      </c>
      <c r="AM101" s="85" t="e">
        <f>IF(OR(LEFT($B101,4)="_Mil",$C101="&lt;01"),"",ROUND(SUM($AK101)*SUM($AL101),0))</f>
        <v>#REF!</v>
      </c>
      <c r="AN101" s="85" t="str">
        <f>IF($C101="&lt;01",ROUND(INDEX(EID!$P:$P,MATCH($B101,EID!$B:$B,0))/2,0),"")</f>
        <v/>
      </c>
      <c r="AO101" s="85" t="e">
        <f>IF($C101="&lt;01",SUM($AN101),ROUND(SUM($AM101)*SUM($O101)/IF(SUM($Z101)=0,1,$Z101),0))</f>
        <v>#REF!</v>
      </c>
      <c r="AP101" s="99">
        <f>IF(OR($F101="",$C101="&lt;01"),$AO101,ROUND($F101,0))</f>
        <v>185</v>
      </c>
      <c r="AQ101" s="99">
        <f>IF(LEFT($B101,4)="_Mil","",IF(SUM($AP101)=0,SUM($Z101),IF(OR(SUM($Z101)=0,SUM($O101)=0),MAX($AP101,$Z101),ROUND($AP101*$Z101/$O101,0))))</f>
        <v>169</v>
      </c>
      <c r="AR101" s="40" t="e">
        <f>IF(OR(LEFT($B101,4)="_Mil",SUM($AK101)=0),"",SUM($AQ101)/$AK101)</f>
        <v>#REF!</v>
      </c>
      <c r="AS101" s="40">
        <f t="shared" si="30"/>
        <v>0.98</v>
      </c>
      <c r="AT101" s="40">
        <f t="shared" ref="AT101:AT164" si="32">IF($C101="&lt;01","",98%)</f>
        <v>0.98</v>
      </c>
      <c r="AU101" s="85">
        <f>IF($C101="&lt;01","",SUM($AP101)-SUM($O101))</f>
        <v>0</v>
      </c>
      <c r="AV101" s="85">
        <f>IF($C101="&lt;01",ROUND(INDEX(EID!$N:$N,MATCH($B101,EID!$B:$B,0))/2,0),IF(SUM($AT101)=0,"",ROUND((SUM($AP101)-(SUM($O101)*SUM($AS101)))/$AT101,0)))</f>
        <v>4</v>
      </c>
      <c r="AW101" s="40">
        <f t="shared" si="26"/>
        <v>1</v>
      </c>
      <c r="AX101" s="99">
        <f>IF($C101="&lt;01",SUM($AV101),ROUND(SUM($AV101)*SUM($AW101),0))</f>
        <v>4</v>
      </c>
      <c r="AY101" s="79">
        <f t="shared" si="27"/>
        <v>0.7</v>
      </c>
      <c r="AZ101" s="85">
        <f>IF($C101="&lt;01",ROUND(INDEX(EID!$R:$R,MATCH($B101,EID!$B:$B,0))/2,0),ROUND(SUM($O101)+(SUM($AV101)*$AY101),0))</f>
        <v>188</v>
      </c>
      <c r="BA101" s="40">
        <f t="shared" si="31"/>
        <v>0.9</v>
      </c>
      <c r="BB101" s="99">
        <f>IF($C101="&lt;01",ROUND(INDEX(EID!$T:$T,MATCH($B101,EID!$B:$B,0))/2,0),ROUND($AP101*$BA101,0))</f>
        <v>167</v>
      </c>
      <c r="BC101" s="85">
        <f>IF(LEFT($B101,4)="_Mil","",IF(SUM($BB101)=0,SUM($AD101),IF(OR(SUM($AP101)=0,SUM($AQ101)=0),MAX($BB101,$AD101),ROUND($BB101*$AQ101/$AP101,0))))</f>
        <v>153</v>
      </c>
      <c r="BD101" s="40">
        <f t="shared" si="28"/>
        <v>0.95</v>
      </c>
      <c r="BE101" s="99">
        <f>IF($C101="&lt;01",ROUND(INDEX(EID!$V:$V,MATCH($B101,EID!$B:$B,0))/2,0),ROUND($BD101*$BB101,0))</f>
        <v>159</v>
      </c>
      <c r="BF101" s="99">
        <f>IF(LEFT($B101,4)="_Mil","",IF(SUM($BE101)=0,SUM($AF101),IF(OR(SUM($AP101)=0,SUM($AQ101)=0),MAX($BE101,$AF101),ROUND($BE101*$AQ101/$AP101,0))))</f>
        <v>145</v>
      </c>
      <c r="BG101" s="79">
        <f t="shared" si="29"/>
        <v>0.95</v>
      </c>
      <c r="BH101" s="99">
        <f>IF($C101="&lt;01",ROUND(INDEX(EID!$L:$L,MATCH($B101,EID!$B:$B,0)),0)/2,IF(SUM($BG101)=0,"",ROUND($AX101/$BG101,0)))</f>
        <v>4</v>
      </c>
    </row>
    <row r="102" spans="1:60" x14ac:dyDescent="0.2">
      <c r="A102" t="str">
        <f>INDEX(Prioritization!$D:$D,MATCH($B102,Prioritization!$A:$A,0))</f>
        <v>4 - Sustained</v>
      </c>
      <c r="B102" t="s">
        <v>298</v>
      </c>
      <c r="C102" t="s">
        <v>473</v>
      </c>
      <c r="D102" t="s">
        <v>48</v>
      </c>
      <c r="E102" t="str">
        <f t="shared" si="19"/>
        <v>Dedza District [PekKUkKHAzY]|01-09|Male</v>
      </c>
      <c r="F102" s="229">
        <v>185</v>
      </c>
      <c r="G102" s="38">
        <v>57</v>
      </c>
      <c r="H102" s="38">
        <v>22</v>
      </c>
      <c r="I102" s="38">
        <v>155</v>
      </c>
      <c r="J102" s="38">
        <v>205</v>
      </c>
      <c r="K102" s="38">
        <v>167</v>
      </c>
      <c r="L102" s="38">
        <v>11</v>
      </c>
      <c r="M102" s="38">
        <v>10</v>
      </c>
      <c r="N102" s="38">
        <v>208</v>
      </c>
      <c r="O102" s="85">
        <v>185</v>
      </c>
      <c r="P102" s="38">
        <v>184</v>
      </c>
      <c r="Q102" s="38">
        <v>175</v>
      </c>
      <c r="R102" s="85">
        <f t="shared" si="20"/>
        <v>30</v>
      </c>
      <c r="S102" s="38">
        <f>IF(LEFT($B102,4)="_Mil","",_xlfn.IFNA(ROUND(INDEX(Spectrum!$N:$N,MATCH(RIGHT($B102,13)&amp;"|"&amp;$C102&amp;"|"&amp;$D102&amp;"|"&amp;S$14&amp;"|"&amp;"CY2023Q4",Spectrum!$R:$R,0)),0),""))</f>
        <v>180</v>
      </c>
      <c r="T102" s="218">
        <f>IF(LEFT($B102,4)="_Mil","",_xlfn.IFNA(ROUND(INDEX(Spectrum!$N:$N,MATCH(RIGHT($B102,13)&amp;"|"&amp;$C102&amp;"|"&amp;$D102&amp;"|"&amp;T$14&amp;"|"&amp;"CY2024Q3",Spectrum!$R:$R,0)),0),""))</f>
        <v>125918</v>
      </c>
      <c r="U102" s="218">
        <f>IF(LEFT($B102,4)="_Mil","",_xlfn.IFNA(ROUND(INDEX(Spectrum!$N:$N,MATCH(RIGHT($B102,13)&amp;"|"&amp;$C102&amp;"|"&amp;$D102&amp;"|"&amp;U$14&amp;"|"&amp;"CY2024Q3",Spectrum!$R:$R,0)),0),""))</f>
        <v>214</v>
      </c>
      <c r="V102" s="38">
        <f>IF(LEFT($B102,4)="_Mil","",_xlfn.IFNA(ROUND(INDEX(Spectrum!$N:$N,MATCH(RIGHT($B102,13)&amp;"|"&amp;$C102&amp;"|"&amp;$D102&amp;"|"&amp;V$14&amp;"|"&amp;"CY2024Q3",Spectrum!$R:$R,0)),0),""))</f>
        <v>247</v>
      </c>
      <c r="W102" s="220">
        <f>IF(LEFT($B102,4)="_Mil","",_xlfn.IFNA(INDEX(Spectrum!$N:$N,MATCH(RIGHT($B102,13)&amp;"|"&amp;$C102&amp;"|"&amp;$D102&amp;"|"&amp;W$14&amp;"|"&amp;"CY2024Q3",Spectrum!$R:$R,0)),""))</f>
        <v>1.698698E-3</v>
      </c>
      <c r="X102" s="218">
        <f>IF(LEFT($B102,4)="_Mil","",_xlfn.IFNA(ROUND(INDEX(Spectrum!$N:$N,MATCH(RIGHT($B102,13)&amp;"|"&amp;$C102&amp;"|"&amp;$D102&amp;"|"&amp;X$14&amp;"|"&amp;"CY2024Q3",Spectrum!$R:$R,0)),0),""))</f>
        <v>152</v>
      </c>
      <c r="Y102" s="236">
        <f t="shared" si="21"/>
        <v>0.71</v>
      </c>
      <c r="Z102" s="218">
        <f>IF(LEFT($B102,4)="_Mil","",_xlfn.IFNA(ROUND(INDEX(Spectrum!$N:$N,MATCH(RIGHT($B102,13)&amp;"|"&amp;$C102&amp;"|"&amp;$D102&amp;"|"&amp;Z$14&amp;"|"&amp;"CY2024Q3",Spectrum!$R:$R,0)),0),""))</f>
        <v>173</v>
      </c>
      <c r="AA102" s="33">
        <f>IF(LEFT($B102,4)="_Mil","",IFERROR(1/(1/INDEX(Spectrum!$N:$N,MATCH(RIGHT($B102,13)&amp;"|"&amp;$C102&amp;"|"&amp;$D102&amp;"|"&amp;AA$14&amp;"|"&amp;"CY2024Q3",Spectrum!$R:$R,0))),IF(SUM($U102)=0,"",SUM($Z102)/$U102)))</f>
        <v>0.67139945499999998</v>
      </c>
      <c r="AB102" s="34">
        <f t="shared" si="22"/>
        <v>1.138157894736842</v>
      </c>
      <c r="AC102" s="29">
        <f>IF(LEFT($B102,4)="_Mil","",_xlfn.IFNA(ROUND(INDEX(Spectrum!$N:$N,MATCH(RIGHT($B102,13)&amp;"|"&amp;$C102&amp;"|"&amp;$D102&amp;"|"&amp;AC$14&amp;"|"&amp;"CY2024Q3",Spectrum!$R:$R,0)),0),""))</f>
        <v>74</v>
      </c>
      <c r="AD102" s="38" t="str">
        <f>IF(LEFT($B102,4)="_Mil","",_xlfn.IFNA(ROUND(INDEX(Spectrum!$N:$N,MATCH(RIGHT($B102,13)&amp;"|"&amp;$C102&amp;"|"&amp;$D102&amp;"|"&amp;AD$14&amp;"|"&amp;"CY2024Q3",Spectrum!$R:$R,0)),0),""))</f>
        <v/>
      </c>
      <c r="AE102" s="236">
        <f t="shared" si="23"/>
        <v>0</v>
      </c>
      <c r="AF102" s="218" t="str">
        <f>IF(LEFT($B102,4)="_Mil","",_xlfn.IFNA(ROUND(INDEX(Spectrum!$N:$N,MATCH(RIGHT($B102,13)&amp;"|"&amp;$C102&amp;"|"&amp;$D102&amp;"|"&amp;AF$14&amp;"|"&amp;"CY2024Q3",Spectrum!$R:$R,0)),0),""))</f>
        <v/>
      </c>
      <c r="AG102" s="40" t="str">
        <f t="shared" si="24"/>
        <v/>
      </c>
      <c r="AH102" s="110" t="str">
        <f>IF(LEFT($B102,4)="_Mil","",_xlfn.IFNA(INDEX(Spectrum!$N:$N,MATCH(RIGHT($B102,13)&amp;"|"&amp;$C102&amp;"|"&amp;$D102&amp;"|"&amp;AH$14&amp;"|"&amp;"CY2024Q3",Spectrum!$R:$R,0)),""))</f>
        <v/>
      </c>
      <c r="AI102" s="218">
        <f>IF(LEFT($B102,4)="_Mil","",_xlfn.IFNA(ROUND(INDEX(Spectrum!$N:$N,MATCH(RIGHT($B102,13)&amp;"|"&amp;$C102&amp;"|"&amp;$D102&amp;"|"&amp;AI$14&amp;"|"&amp;"CY2025Q3",Spectrum!$R:$R,0)),0),""))</f>
        <v>3</v>
      </c>
      <c r="AJ102" s="85">
        <f>IF(LEFT($B102,4)="_Mil","",_xlfn.IFNA(ROUND(INDEX(Spectrum!$N:$N,MATCH(RIGHT($B102,13)&amp;"|"&amp;$C102&amp;"|"&amp;$D102&amp;"|"&amp;AJ$14&amp;"|"&amp;"CY2025Q3",Spectrum!$R:$R,0)),0),""))</f>
        <v>185</v>
      </c>
      <c r="AK102" s="99" t="e">
        <f>#REF!</f>
        <v>#REF!</v>
      </c>
      <c r="AL102" s="40">
        <f t="shared" si="25"/>
        <v>0.9</v>
      </c>
      <c r="AM102" s="85" t="e">
        <f>IF(OR(LEFT($B102,4)="_Mil",$C102="&lt;01"),"",ROUND(SUM($AK102)*SUM($AL102),0))</f>
        <v>#REF!</v>
      </c>
      <c r="AN102" s="85" t="str">
        <f>IF($C102="&lt;01",ROUND(INDEX(EID!$P:$P,MATCH($B102,EID!$B:$B,0))/2,0),"")</f>
        <v/>
      </c>
      <c r="AO102" s="85" t="e">
        <f>IF($C102="&lt;01",SUM($AN102),ROUND(SUM($AM102)*SUM($O102)/IF(SUM($Z102)=0,1,$Z102),0))</f>
        <v>#REF!</v>
      </c>
      <c r="AP102" s="99">
        <f>IF(OR($F102="",$C102="&lt;01"),$AO102,ROUND($F102,0))</f>
        <v>185</v>
      </c>
      <c r="AQ102" s="99">
        <f>IF(LEFT($B102,4)="_Mil","",IF(SUM($AP102)=0,SUM($Z102),IF(OR(SUM($Z102)=0,SUM($O102)=0),MAX($AP102,$Z102),ROUND($AP102*$Z102/$O102,0))))</f>
        <v>173</v>
      </c>
      <c r="AR102" s="40" t="e">
        <f>IF(OR(LEFT($B102,4)="_Mil",SUM($AK102)=0),"",SUM($AQ102)/$AK102)</f>
        <v>#REF!</v>
      </c>
      <c r="AS102" s="40">
        <f t="shared" si="30"/>
        <v>0.98</v>
      </c>
      <c r="AT102" s="40">
        <f t="shared" si="32"/>
        <v>0.98</v>
      </c>
      <c r="AU102" s="85">
        <f>IF($C102="&lt;01","",SUM($AP102)-SUM($O102))</f>
        <v>0</v>
      </c>
      <c r="AV102" s="85">
        <f>IF($C102="&lt;01",ROUND(INDEX(EID!$N:$N,MATCH($B102,EID!$B:$B,0))/2,0),IF(SUM($AT102)=0,"",ROUND((SUM($AP102)-(SUM($O102)*SUM($AS102)))/$AT102,0)))</f>
        <v>4</v>
      </c>
      <c r="AW102" s="40">
        <f t="shared" si="26"/>
        <v>1</v>
      </c>
      <c r="AX102" s="99">
        <f>IF($C102="&lt;01",SUM($AV102),ROUND(SUM($AV102)*SUM($AW102),0))</f>
        <v>4</v>
      </c>
      <c r="AY102" s="79">
        <f t="shared" si="27"/>
        <v>0.7</v>
      </c>
      <c r="AZ102" s="85">
        <f>IF($C102="&lt;01",ROUND(INDEX(EID!$R:$R,MATCH($B102,EID!$B:$B,0))/2,0),ROUND(SUM($O102)+(SUM($AV102)*$AY102),0))</f>
        <v>188</v>
      </c>
      <c r="BA102" s="40">
        <f t="shared" si="31"/>
        <v>0.9</v>
      </c>
      <c r="BB102" s="99">
        <f>IF($C102="&lt;01",ROUND(INDEX(EID!$T:$T,MATCH($B102,EID!$B:$B,0))/2,0),ROUND($AP102*$BA102,0))</f>
        <v>167</v>
      </c>
      <c r="BC102" s="85">
        <f>IF(LEFT($B102,4)="_Mil","",IF(SUM($BB102)=0,SUM($AD102),IF(OR(SUM($AP102)=0,SUM($AQ102)=0),MAX($BB102,$AD102),ROUND($BB102*$AQ102/$AP102,0))))</f>
        <v>156</v>
      </c>
      <c r="BD102" s="33">
        <f t="shared" si="28"/>
        <v>0.95</v>
      </c>
      <c r="BE102" s="99">
        <f>IF($C102="&lt;01",ROUND(INDEX(EID!$V:$V,MATCH($B102,EID!$B:$B,0))/2,0),ROUND($BD102*$BB102,0))</f>
        <v>159</v>
      </c>
      <c r="BF102" s="99">
        <f>IF(LEFT($B102,4)="_Mil","",IF(SUM($BE102)=0,SUM($AF102),IF(OR(SUM($AP102)=0,SUM($AQ102)=0),MAX($BE102,$AF102),ROUND($BE102*$AQ102/$AP102,0))))</f>
        <v>149</v>
      </c>
      <c r="BG102" s="79">
        <f t="shared" si="29"/>
        <v>0.95</v>
      </c>
      <c r="BH102" s="99">
        <f>IF($C102="&lt;01",ROUND(INDEX(EID!$L:$L,MATCH($B102,EID!$B:$B,0)),0)/2,IF(SUM($BG102)=0,"",ROUND($AX102/$BG102,0)))</f>
        <v>4</v>
      </c>
    </row>
    <row r="103" spans="1:60" x14ac:dyDescent="0.2">
      <c r="A103" t="str">
        <f>INDEX(Prioritization!$D:$D,MATCH($B103,Prioritization!$A:$A,0))</f>
        <v>4 - Sustained</v>
      </c>
      <c r="B103" t="s">
        <v>298</v>
      </c>
      <c r="C103" t="s">
        <v>474</v>
      </c>
      <c r="D103" t="s">
        <v>30</v>
      </c>
      <c r="E103" t="str">
        <f t="shared" si="19"/>
        <v>Dedza District [PekKUkKHAzY]|10-14|Female</v>
      </c>
      <c r="F103" s="229">
        <v>235</v>
      </c>
      <c r="G103" s="38">
        <v>39</v>
      </c>
      <c r="H103" s="38">
        <v>5</v>
      </c>
      <c r="I103" s="38">
        <v>235</v>
      </c>
      <c r="J103" s="38">
        <v>260</v>
      </c>
      <c r="K103" s="38">
        <v>215</v>
      </c>
      <c r="L103" s="38">
        <v>29</v>
      </c>
      <c r="M103" s="38">
        <v>28</v>
      </c>
      <c r="N103" s="38">
        <v>241</v>
      </c>
      <c r="O103" s="229">
        <v>235</v>
      </c>
      <c r="P103" s="38">
        <v>202</v>
      </c>
      <c r="Q103" s="38">
        <v>192</v>
      </c>
      <c r="R103" s="38">
        <f t="shared" si="20"/>
        <v>0</v>
      </c>
      <c r="S103" s="38">
        <f>IF(LEFT($B103,4)="_Mil","",_xlfn.IFNA(ROUND(INDEX(Spectrum!$N:$N,MATCH(RIGHT($B103,13)&amp;"|"&amp;$C103&amp;"|"&amp;$D103&amp;"|"&amp;S$14&amp;"|"&amp;"CY2023Q4",Spectrum!$R:$R,0)),0),""))</f>
        <v>225</v>
      </c>
      <c r="T103" s="218">
        <f>IF(LEFT($B103,4)="_Mil","",_xlfn.IFNA(ROUND(INDEX(Spectrum!$N:$N,MATCH(RIGHT($B103,13)&amp;"|"&amp;$C103&amp;"|"&amp;$D103&amp;"|"&amp;T$14&amp;"|"&amp;"CY2024Q3",Spectrum!$R:$R,0)),0),""))</f>
        <v>66637</v>
      </c>
      <c r="U103" s="218">
        <f>IF(LEFT($B103,4)="_Mil","",_xlfn.IFNA(ROUND(INDEX(Spectrum!$N:$N,MATCH(RIGHT($B103,13)&amp;"|"&amp;$C103&amp;"|"&amp;$D103&amp;"|"&amp;U$14&amp;"|"&amp;"CY2024Q3",Spectrum!$R:$R,0)),0),""))</f>
        <v>271</v>
      </c>
      <c r="V103" s="38">
        <f>IF(LEFT($B103,4)="_Mil","",_xlfn.IFNA(ROUND(INDEX(Spectrum!$N:$N,MATCH(RIGHT($B103,13)&amp;"|"&amp;$C103&amp;"|"&amp;$D103&amp;"|"&amp;V$14&amp;"|"&amp;"CY2024Q3",Spectrum!$R:$R,0)),0),""))</f>
        <v>310</v>
      </c>
      <c r="W103" s="220">
        <f>IF(LEFT($B103,4)="_Mil","",_xlfn.IFNA(INDEX(Spectrum!$N:$N,MATCH(RIGHT($B103,13)&amp;"|"&amp;$C103&amp;"|"&amp;$D103&amp;"|"&amp;W$14&amp;"|"&amp;"CY2024Q3",Spectrum!$R:$R,0)),""))</f>
        <v>4.0648969999999996E-3</v>
      </c>
      <c r="X103" s="218">
        <f>IF(LEFT($B103,4)="_Mil","",_xlfn.IFNA(ROUND(INDEX(Spectrum!$N:$N,MATCH(RIGHT($B103,13)&amp;"|"&amp;$C103&amp;"|"&amp;$D103&amp;"|"&amp;X$14&amp;"|"&amp;"CY2024Q3",Spectrum!$R:$R,0)),0),""))</f>
        <v>204</v>
      </c>
      <c r="Y103" s="33">
        <f t="shared" si="21"/>
        <v>0.75</v>
      </c>
      <c r="Z103" s="218">
        <f>IF(LEFT($B103,4)="_Mil","",_xlfn.IFNA(ROUND(INDEX(Spectrum!$N:$N,MATCH(RIGHT($B103,13)&amp;"|"&amp;$C103&amp;"|"&amp;$D103&amp;"|"&amp;Z$14&amp;"|"&amp;"CY2024Q3",Spectrum!$R:$R,0)),0),""))</f>
        <v>223</v>
      </c>
      <c r="AA103" s="33">
        <f>IF(LEFT($B103,4)="_Mil","",IFERROR(1/(1/INDEX(Spectrum!$N:$N,MATCH(RIGHT($B103,13)&amp;"|"&amp;$C103&amp;"|"&amp;$D103&amp;"|"&amp;AA$14&amp;"|"&amp;"CY2024Q3",Spectrum!$R:$R,0))),IF(SUM($U103)=0,"",SUM($Z103)/$U103)))</f>
        <v>0.71078913099999996</v>
      </c>
      <c r="AB103" s="33">
        <f t="shared" si="22"/>
        <v>1.0931372549019607</v>
      </c>
      <c r="AC103" s="38">
        <f>IF(LEFT($B103,4)="_Mil","",_xlfn.IFNA(ROUND(INDEX(Spectrum!$N:$N,MATCH(RIGHT($B103,13)&amp;"|"&amp;$C103&amp;"|"&amp;$D103&amp;"|"&amp;AC$14&amp;"|"&amp;"CY2024Q3",Spectrum!$R:$R,0)),0),""))</f>
        <v>87</v>
      </c>
      <c r="AD103" s="38" t="str">
        <f>IF(LEFT($B103,4)="_Mil","",_xlfn.IFNA(ROUND(INDEX(Spectrum!$N:$N,MATCH(RIGHT($B103,13)&amp;"|"&amp;$C103&amp;"|"&amp;$D103&amp;"|"&amp;AD$14&amp;"|"&amp;"CY2024Q3",Spectrum!$R:$R,0)),0),""))</f>
        <v/>
      </c>
      <c r="AE103" s="33">
        <f t="shared" si="23"/>
        <v>0</v>
      </c>
      <c r="AF103" s="218" t="str">
        <f>IF(LEFT($B103,4)="_Mil","",_xlfn.IFNA(ROUND(INDEX(Spectrum!$N:$N,MATCH(RIGHT($B103,13)&amp;"|"&amp;$C103&amp;"|"&amp;$D103&amp;"|"&amp;AF$14&amp;"|"&amp;"CY2024Q3",Spectrum!$R:$R,0)),0),""))</f>
        <v/>
      </c>
      <c r="AG103" s="33" t="str">
        <f t="shared" si="24"/>
        <v/>
      </c>
      <c r="AH103" s="110" t="str">
        <f>IF(LEFT($B103,4)="_Mil","",_xlfn.IFNA(INDEX(Spectrum!$N:$N,MATCH(RIGHT($B103,13)&amp;"|"&amp;$C103&amp;"|"&amp;$D103&amp;"|"&amp;AH$14&amp;"|"&amp;"CY2024Q3",Spectrum!$R:$R,0)),""))</f>
        <v/>
      </c>
      <c r="AI103" s="218">
        <f>IF(LEFT($B103,4)="_Mil","",_xlfn.IFNA(ROUND(INDEX(Spectrum!$N:$N,MATCH(RIGHT($B103,13)&amp;"|"&amp;$C103&amp;"|"&amp;$D103&amp;"|"&amp;AI$14&amp;"|"&amp;"CY2025Q3",Spectrum!$R:$R,0)),0),""))</f>
        <v>0</v>
      </c>
      <c r="AJ103" s="85">
        <f>IF(LEFT($B103,4)="_Mil","",_xlfn.IFNA(ROUND(INDEX(Spectrum!$N:$N,MATCH(RIGHT($B103,13)&amp;"|"&amp;$C103&amp;"|"&amp;$D103&amp;"|"&amp;AJ$14&amp;"|"&amp;"CY2025Q3",Spectrum!$R:$R,0)),0),""))</f>
        <v>243</v>
      </c>
      <c r="AK103" s="99" t="e">
        <f>#REF!</f>
        <v>#REF!</v>
      </c>
      <c r="AL103" s="33">
        <f t="shared" si="25"/>
        <v>0.9</v>
      </c>
      <c r="AM103" s="38" t="e">
        <f>IF(OR(LEFT($B103,4)="_Mil",$C103="&lt;01"),"",ROUND(SUM($AK103)*SUM($AL103),0))</f>
        <v>#REF!</v>
      </c>
      <c r="AN103" s="38" t="str">
        <f>IF($C103="&lt;01",ROUND(INDEX(EID!$P:$P,MATCH($B103,EID!$B:$B,0))/2,0),"")</f>
        <v/>
      </c>
      <c r="AO103" s="38" t="e">
        <f>IF($C103="&lt;01",SUM($AN103),ROUND(SUM($AM103)*SUM($O103)/IF(SUM($Z103)=0,1,$Z103),0))</f>
        <v>#REF!</v>
      </c>
      <c r="AP103" s="218">
        <f>IF(OR($F103="",$C103="&lt;01"),$AO103,ROUND($F103,0))</f>
        <v>235</v>
      </c>
      <c r="AQ103" s="218">
        <f>IF(LEFT($B103,4)="_Mil","",IF(SUM($AP103)=0,SUM($Z103),IF(OR(SUM($Z103)=0,SUM($O103)=0),MAX($AP103,$Z103),ROUND($AP103*$Z103/$O103,0))))</f>
        <v>223</v>
      </c>
      <c r="AR103" s="33" t="e">
        <f>IF(OR(LEFT($B103,4)="_Mil",SUM($AK103)=0),"",SUM($AQ103)/$AK103)</f>
        <v>#REF!</v>
      </c>
      <c r="AS103" s="33">
        <f>IF($C103="&lt;01","",90%)</f>
        <v>0.9</v>
      </c>
      <c r="AT103" s="33">
        <f t="shared" si="32"/>
        <v>0.98</v>
      </c>
      <c r="AU103" s="38">
        <f>IF($C103="&lt;01","",SUM($AP103)-SUM($O103))</f>
        <v>0</v>
      </c>
      <c r="AV103" s="38">
        <f>IF($C103="&lt;01",ROUND(INDEX(EID!$N:$N,MATCH($B103,EID!$B:$B,0))/2,0),IF(SUM($AT103)=0,"",ROUND((SUM($AP103)-(SUM($O103)*SUM($AS103)))/$AT103,0)))</f>
        <v>24</v>
      </c>
      <c r="AW103" s="33">
        <f t="shared" si="26"/>
        <v>1</v>
      </c>
      <c r="AX103" s="218">
        <f>IF($C103="&lt;01",SUM($AV103),ROUND(SUM($AV103)*SUM($AW103),0))</f>
        <v>24</v>
      </c>
      <c r="AY103" s="79">
        <f t="shared" si="27"/>
        <v>0.7</v>
      </c>
      <c r="AZ103" s="85">
        <f>IF($C103="&lt;01",ROUND(INDEX(EID!$R:$R,MATCH($B103,EID!$B:$B,0))/2,0),ROUND(SUM($O103)+(SUM($AV103)*$AY103),0))</f>
        <v>252</v>
      </c>
      <c r="BA103" s="40">
        <f t="shared" si="31"/>
        <v>0.9</v>
      </c>
      <c r="BB103" s="99">
        <f>IF($C103="&lt;01",ROUND(INDEX(EID!$T:$T,MATCH($B103,EID!$B:$B,0))/2,0),ROUND($AP103*$BA103,0))</f>
        <v>212</v>
      </c>
      <c r="BC103" s="85">
        <f>IF(LEFT($B103,4)="_Mil","",IF(SUM($BB103)=0,SUM($AD103),IF(OR(SUM($AP103)=0,SUM($AQ103)=0),MAX($BB103,$AD103),ROUND($BB103*$AQ103/$AP103,0))))</f>
        <v>201</v>
      </c>
      <c r="BD103" s="33">
        <f t="shared" si="28"/>
        <v>0.95</v>
      </c>
      <c r="BE103" s="218">
        <f>IF($C103="&lt;01",ROUND(INDEX(EID!$V:$V,MATCH($B103,EID!$B:$B,0))/2,0),ROUND($BD103*$BB103,0))</f>
        <v>201</v>
      </c>
      <c r="BF103" s="218">
        <f>IF(LEFT($B103,4)="_Mil","",IF(SUM($BE103)=0,SUM($AF103),IF(OR(SUM($AP103)=0,SUM($AQ103)=0),MAX($BE103,$AF103),ROUND($BE103*$AQ103/$AP103,0))))</f>
        <v>191</v>
      </c>
      <c r="BG103" s="79">
        <f t="shared" si="29"/>
        <v>0.95</v>
      </c>
      <c r="BH103" s="99">
        <f>IF($C103="&lt;01",ROUND(INDEX(EID!$L:$L,MATCH($B103,EID!$B:$B,0)),0)/2,IF(SUM($BG103)=0,"",ROUND($AX103/$BG103,0)))</f>
        <v>25</v>
      </c>
    </row>
    <row r="104" spans="1:60" x14ac:dyDescent="0.2">
      <c r="A104" t="str">
        <f>INDEX(Prioritization!$D:$D,MATCH($B104,Prioritization!$A:$A,0))</f>
        <v>4 - Sustained</v>
      </c>
      <c r="B104" t="s">
        <v>298</v>
      </c>
      <c r="C104" t="s">
        <v>474</v>
      </c>
      <c r="D104" t="s">
        <v>48</v>
      </c>
      <c r="E104" t="str">
        <f t="shared" si="19"/>
        <v>Dedza District [PekKUkKHAzY]|10-14|Male</v>
      </c>
      <c r="F104" s="229">
        <v>231</v>
      </c>
      <c r="G104" s="38">
        <v>30</v>
      </c>
      <c r="H104" s="38">
        <v>5</v>
      </c>
      <c r="I104" s="38">
        <v>225</v>
      </c>
      <c r="J104" s="38">
        <v>206</v>
      </c>
      <c r="K104" s="38">
        <v>166</v>
      </c>
      <c r="L104" s="38">
        <v>31</v>
      </c>
      <c r="M104" s="38">
        <v>29</v>
      </c>
      <c r="N104" s="38">
        <v>251</v>
      </c>
      <c r="O104" s="229">
        <v>231</v>
      </c>
      <c r="P104" s="38">
        <v>209</v>
      </c>
      <c r="Q104" s="38">
        <v>199</v>
      </c>
      <c r="R104" s="38">
        <f t="shared" si="20"/>
        <v>6</v>
      </c>
      <c r="S104" s="38">
        <f>IF(LEFT($B104,4)="_Mil","",_xlfn.IFNA(ROUND(INDEX(Spectrum!$N:$N,MATCH(RIGHT($B104,13)&amp;"|"&amp;$C104&amp;"|"&amp;$D104&amp;"|"&amp;S$14&amp;"|"&amp;"CY2023Q4",Spectrum!$R:$R,0)),0),""))</f>
        <v>228</v>
      </c>
      <c r="T104" s="218">
        <f>IF(LEFT($B104,4)="_Mil","",_xlfn.IFNA(ROUND(INDEX(Spectrum!$N:$N,MATCH(RIGHT($B104,13)&amp;"|"&amp;$C104&amp;"|"&amp;$D104&amp;"|"&amp;T$14&amp;"|"&amp;"CY2024Q3",Spectrum!$R:$R,0)),0),""))</f>
        <v>66760</v>
      </c>
      <c r="U104" s="218">
        <f>IF(LEFT($B104,4)="_Mil","",_xlfn.IFNA(ROUND(INDEX(Spectrum!$N:$N,MATCH(RIGHT($B104,13)&amp;"|"&amp;$C104&amp;"|"&amp;$D104&amp;"|"&amp;U$14&amp;"|"&amp;"CY2024Q3",Spectrum!$R:$R,0)),0),""))</f>
        <v>269</v>
      </c>
      <c r="V104" s="38">
        <f>IF(LEFT($B104,4)="_Mil","",_xlfn.IFNA(ROUND(INDEX(Spectrum!$N:$N,MATCH(RIGHT($B104,13)&amp;"|"&amp;$C104&amp;"|"&amp;$D104&amp;"|"&amp;V$14&amp;"|"&amp;"CY2024Q3",Spectrum!$R:$R,0)),0),""))</f>
        <v>308</v>
      </c>
      <c r="W104" s="220">
        <f>IF(LEFT($B104,4)="_Mil","",_xlfn.IFNA(INDEX(Spectrum!$N:$N,MATCH(RIGHT($B104,13)&amp;"|"&amp;$C104&amp;"|"&amp;$D104&amp;"|"&amp;W$14&amp;"|"&amp;"CY2024Q3",Spectrum!$R:$R,0)),""))</f>
        <v>4.0218850000000002E-3</v>
      </c>
      <c r="X104" s="218">
        <f>IF(LEFT($B104,4)="_Mil","",_xlfn.IFNA(ROUND(INDEX(Spectrum!$N:$N,MATCH(RIGHT($B104,13)&amp;"|"&amp;$C104&amp;"|"&amp;$D104&amp;"|"&amp;X$14&amp;"|"&amp;"CY2024Q3",Spectrum!$R:$R,0)),0),""))</f>
        <v>202</v>
      </c>
      <c r="Y104" s="33">
        <f t="shared" si="21"/>
        <v>0.75</v>
      </c>
      <c r="Z104" s="218">
        <f>IF(LEFT($B104,4)="_Mil","",_xlfn.IFNA(ROUND(INDEX(Spectrum!$N:$N,MATCH(RIGHT($B104,13)&amp;"|"&amp;$C104&amp;"|"&amp;$D104&amp;"|"&amp;Z$14&amp;"|"&amp;"CY2024Q3",Spectrum!$R:$R,0)),0),""))</f>
        <v>226</v>
      </c>
      <c r="AA104" s="33">
        <f>IF(LEFT($B104,4)="_Mil","",IFERROR(1/(1/INDEX(Spectrum!$N:$N,MATCH(RIGHT($B104,13)&amp;"|"&amp;$C104&amp;"|"&amp;$D104&amp;"|"&amp;AA$14&amp;"|"&amp;"CY2024Q3",Spectrum!$R:$R,0))),IF(SUM($U104)=0,"",SUM($Z104)/$U104)))</f>
        <v>0.71042472499999998</v>
      </c>
      <c r="AB104" s="33">
        <f t="shared" si="22"/>
        <v>1.1188118811881189</v>
      </c>
      <c r="AC104" s="38">
        <f>IF(LEFT($B104,4)="_Mil","",_xlfn.IFNA(ROUND(INDEX(Spectrum!$N:$N,MATCH(RIGHT($B104,13)&amp;"|"&amp;$C104&amp;"|"&amp;$D104&amp;"|"&amp;AC$14&amp;"|"&amp;"CY2024Q3",Spectrum!$R:$R,0)),0),""))</f>
        <v>82</v>
      </c>
      <c r="AD104" s="38" t="str">
        <f>IF(LEFT($B104,4)="_Mil","",_xlfn.IFNA(ROUND(INDEX(Spectrum!$N:$N,MATCH(RIGHT($B104,13)&amp;"|"&amp;$C104&amp;"|"&amp;$D104&amp;"|"&amp;AD$14&amp;"|"&amp;"CY2024Q3",Spectrum!$R:$R,0)),0),""))</f>
        <v/>
      </c>
      <c r="AE104" s="33">
        <f t="shared" si="23"/>
        <v>0</v>
      </c>
      <c r="AF104" s="218" t="str">
        <f>IF(LEFT($B104,4)="_Mil","",_xlfn.IFNA(ROUND(INDEX(Spectrum!$N:$N,MATCH(RIGHT($B104,13)&amp;"|"&amp;$C104&amp;"|"&amp;$D104&amp;"|"&amp;AF$14&amp;"|"&amp;"CY2024Q3",Spectrum!$R:$R,0)),0),""))</f>
        <v/>
      </c>
      <c r="AG104" s="33" t="str">
        <f t="shared" si="24"/>
        <v/>
      </c>
      <c r="AH104" s="110" t="str">
        <f>IF(LEFT($B104,4)="_Mil","",_xlfn.IFNA(INDEX(Spectrum!$N:$N,MATCH(RIGHT($B104,13)&amp;"|"&amp;$C104&amp;"|"&amp;$D104&amp;"|"&amp;AH$14&amp;"|"&amp;"CY2024Q3",Spectrum!$R:$R,0)),""))</f>
        <v/>
      </c>
      <c r="AI104" s="218">
        <f>IF(LEFT($B104,4)="_Mil","",_xlfn.IFNA(ROUND(INDEX(Spectrum!$N:$N,MATCH(RIGHT($B104,13)&amp;"|"&amp;$C104&amp;"|"&amp;$D104&amp;"|"&amp;AI$14&amp;"|"&amp;"CY2025Q3",Spectrum!$R:$R,0)),0),""))</f>
        <v>0</v>
      </c>
      <c r="AJ104" s="85">
        <f>IF(LEFT($B104,4)="_Mil","",_xlfn.IFNA(ROUND(INDEX(Spectrum!$N:$N,MATCH(RIGHT($B104,13)&amp;"|"&amp;$C104&amp;"|"&amp;$D104&amp;"|"&amp;AJ$14&amp;"|"&amp;"CY2025Q3",Spectrum!$R:$R,0)),0),""))</f>
        <v>241</v>
      </c>
      <c r="AK104" s="99" t="e">
        <f>#REF!</f>
        <v>#REF!</v>
      </c>
      <c r="AL104" s="33">
        <f t="shared" si="25"/>
        <v>0.9</v>
      </c>
      <c r="AM104" s="38" t="e">
        <f>IF(OR(LEFT($B104,4)="_Mil",$C104="&lt;01"),"",ROUND(SUM($AK104)*SUM($AL104),0))</f>
        <v>#REF!</v>
      </c>
      <c r="AN104" s="38" t="str">
        <f>IF($C104="&lt;01",ROUND(INDEX(EID!$P:$P,MATCH($B104,EID!$B:$B,0))/2,0),"")</f>
        <v/>
      </c>
      <c r="AO104" s="38" t="e">
        <f>IF($C104="&lt;01",SUM($AN104),ROUND(SUM($AM104)*SUM($O104)/IF(SUM($Z104)=0,1,$Z104),0))</f>
        <v>#REF!</v>
      </c>
      <c r="AP104" s="218">
        <f>IF(OR($F104="",$C104="&lt;01"),$AO104,ROUND($F104,0))</f>
        <v>231</v>
      </c>
      <c r="AQ104" s="218">
        <f>IF(LEFT($B104,4)="_Mil","",IF(SUM($AP104)=0,SUM($Z104),IF(OR(SUM($Z104)=0,SUM($O104)=0),MAX($AP104,$Z104),ROUND($AP104*$Z104/$O104,0))))</f>
        <v>226</v>
      </c>
      <c r="AR104" s="33" t="e">
        <f>IF(OR(LEFT($B104,4)="_Mil",SUM($AK104)=0),"",SUM($AQ104)/$AK104)</f>
        <v>#REF!</v>
      </c>
      <c r="AS104" s="33">
        <f t="shared" si="30"/>
        <v>0.98</v>
      </c>
      <c r="AT104" s="33">
        <f t="shared" si="32"/>
        <v>0.98</v>
      </c>
      <c r="AU104" s="38">
        <f>IF($C104="&lt;01","",SUM($AP104)-SUM($O104))</f>
        <v>0</v>
      </c>
      <c r="AV104" s="38">
        <f>IF($C104="&lt;01",ROUND(INDEX(EID!$N:$N,MATCH($B104,EID!$B:$B,0))/2,0),IF(SUM($AT104)=0,"",ROUND((SUM($AP104)-(SUM($O104)*SUM($AS104)))/$AT104,0)))</f>
        <v>5</v>
      </c>
      <c r="AW104" s="33">
        <f t="shared" si="26"/>
        <v>1</v>
      </c>
      <c r="AX104" s="218">
        <f>IF($C104="&lt;01",SUM($AV104),ROUND(SUM($AV104)*SUM($AW104),0))</f>
        <v>5</v>
      </c>
      <c r="AY104" s="79">
        <f t="shared" si="27"/>
        <v>0.7</v>
      </c>
      <c r="AZ104" s="85">
        <f>IF($C104="&lt;01",ROUND(INDEX(EID!$R:$R,MATCH($B104,EID!$B:$B,0))/2,0),ROUND(SUM($O104)+(SUM($AV104)*$AY104),0))</f>
        <v>235</v>
      </c>
      <c r="BA104" s="40">
        <f t="shared" si="31"/>
        <v>0.9</v>
      </c>
      <c r="BB104" s="99">
        <f>IF($C104="&lt;01",ROUND(INDEX(EID!$T:$T,MATCH($B104,EID!$B:$B,0))/2,0),ROUND($AP104*$BA104,0))</f>
        <v>208</v>
      </c>
      <c r="BC104" s="85">
        <f>IF(LEFT($B104,4)="_Mil","",IF(SUM($BB104)=0,SUM($AD104),IF(OR(SUM($AP104)=0,SUM($AQ104)=0),MAX($BB104,$AD104),ROUND($BB104*$AQ104/$AP104,0))))</f>
        <v>203</v>
      </c>
      <c r="BD104" s="33">
        <f t="shared" si="28"/>
        <v>0.95</v>
      </c>
      <c r="BE104" s="218">
        <f>IF($C104="&lt;01",ROUND(INDEX(EID!$V:$V,MATCH($B104,EID!$B:$B,0))/2,0),ROUND($BD104*$BB104,0))</f>
        <v>198</v>
      </c>
      <c r="BF104" s="218">
        <f>IF(LEFT($B104,4)="_Mil","",IF(SUM($BE104)=0,SUM($AF104),IF(OR(SUM($AP104)=0,SUM($AQ104)=0),MAX($BE104,$AF104),ROUND($BE104*$AQ104/$AP104,0))))</f>
        <v>194</v>
      </c>
      <c r="BG104" s="79">
        <f t="shared" si="29"/>
        <v>0.95</v>
      </c>
      <c r="BH104" s="99">
        <f>IF($C104="&lt;01",ROUND(INDEX(EID!$L:$L,MATCH($B104,EID!$B:$B,0)),0)/2,IF(SUM($BG104)=0,"",ROUND($AX104/$BG104,0)))</f>
        <v>5</v>
      </c>
    </row>
    <row r="105" spans="1:60" x14ac:dyDescent="0.2">
      <c r="A105" t="str">
        <f>INDEX(Prioritization!$D:$D,MATCH($B105,Prioritization!$A:$A,0))</f>
        <v>4 - Sustained</v>
      </c>
      <c r="B105" t="s">
        <v>298</v>
      </c>
      <c r="C105" t="s">
        <v>475</v>
      </c>
      <c r="D105" t="s">
        <v>30</v>
      </c>
      <c r="E105" t="str">
        <f t="shared" si="19"/>
        <v>Dedza District [PekKUkKHAzY]|15-24|Female</v>
      </c>
      <c r="F105" s="229">
        <v>1034</v>
      </c>
      <c r="G105" s="38">
        <v>263</v>
      </c>
      <c r="H105" s="38">
        <v>258</v>
      </c>
      <c r="I105" s="38">
        <v>1025</v>
      </c>
      <c r="J105" s="38">
        <v>778</v>
      </c>
      <c r="K105" s="38">
        <v>672</v>
      </c>
      <c r="L105" s="38">
        <v>86</v>
      </c>
      <c r="M105" s="38">
        <v>84</v>
      </c>
      <c r="N105" s="38">
        <v>974</v>
      </c>
      <c r="O105" s="229">
        <v>1056</v>
      </c>
      <c r="P105" s="38">
        <v>892</v>
      </c>
      <c r="Q105" s="38">
        <v>847</v>
      </c>
      <c r="R105" s="38">
        <f t="shared" si="20"/>
        <v>31</v>
      </c>
      <c r="S105" s="38">
        <f>IF(LEFT($B105,4)="_Mil","",_xlfn.IFNA(ROUND(INDEX(Spectrum!$N:$N,MATCH(RIGHT($B105,13)&amp;"|"&amp;$C105&amp;"|"&amp;$D105&amp;"|"&amp;S$14&amp;"|"&amp;"CY2023Q4",Spectrum!$R:$R,0)),0),""))</f>
        <v>993</v>
      </c>
      <c r="T105" s="218">
        <f>IF(LEFT($B105,4)="_Mil","",_xlfn.IFNA(ROUND(INDEX(Spectrum!$N:$N,MATCH(RIGHT($B105,13)&amp;"|"&amp;$C105&amp;"|"&amp;$D105&amp;"|"&amp;T$14&amp;"|"&amp;"CY2024Q3",Spectrum!$R:$R,0)),0),""))</f>
        <v>109865</v>
      </c>
      <c r="U105" s="218">
        <f>IF(LEFT($B105,4)="_Mil","",_xlfn.IFNA(ROUND(INDEX(Spectrum!$N:$N,MATCH(RIGHT($B105,13)&amp;"|"&amp;$C105&amp;"|"&amp;$D105&amp;"|"&amp;U$14&amp;"|"&amp;"CY2024Q3",Spectrum!$R:$R,0)),0),""))</f>
        <v>922</v>
      </c>
      <c r="V105" s="38">
        <f>IF(LEFT($B105,4)="_Mil","",_xlfn.IFNA(ROUND(INDEX(Spectrum!$N:$N,MATCH(RIGHT($B105,13)&amp;"|"&amp;$C105&amp;"|"&amp;$D105&amp;"|"&amp;V$14&amp;"|"&amp;"CY2024Q3",Spectrum!$R:$R,0)),0),""))</f>
        <v>1056</v>
      </c>
      <c r="W105" s="220">
        <f>IF(LEFT($B105,4)="_Mil","",_xlfn.IFNA(INDEX(Spectrum!$N:$N,MATCH(RIGHT($B105,13)&amp;"|"&amp;$C105&amp;"|"&amp;$D105&amp;"|"&amp;W$14&amp;"|"&amp;"CY2024Q3",Spectrum!$R:$R,0)),""))</f>
        <v>8.3888039999999997E-3</v>
      </c>
      <c r="X105" s="218">
        <f>IF(LEFT($B105,4)="_Mil","",_xlfn.IFNA(ROUND(INDEX(Spectrum!$N:$N,MATCH(RIGHT($B105,13)&amp;"|"&amp;$C105&amp;"|"&amp;$D105&amp;"|"&amp;X$14&amp;"|"&amp;"CY2024Q3",Spectrum!$R:$R,0)),0),""))</f>
        <v>852</v>
      </c>
      <c r="Y105" s="33">
        <f t="shared" si="21"/>
        <v>0.92</v>
      </c>
      <c r="Z105" s="218">
        <f>IF(LEFT($B105,4)="_Mil","",_xlfn.IFNA(ROUND(INDEX(Spectrum!$N:$N,MATCH(RIGHT($B105,13)&amp;"|"&amp;$C105&amp;"|"&amp;$D105&amp;"|"&amp;Z$14&amp;"|"&amp;"CY2024Q3",Spectrum!$R:$R,0)),0),""))</f>
        <v>981</v>
      </c>
      <c r="AA105" s="33">
        <f>IF(LEFT($B105,4)="_Mil","",IFERROR(1/(1/INDEX(Spectrum!$N:$N,MATCH(RIGHT($B105,13)&amp;"|"&amp;$C105&amp;"|"&amp;$D105&amp;"|"&amp;AA$14&amp;"|"&amp;"CY2024Q3",Spectrum!$R:$R,0))),IF(SUM($U105)=0,"",SUM($Z105)/$U105)))</f>
        <v>0.92455388599999999</v>
      </c>
      <c r="AB105" s="33">
        <f t="shared" si="22"/>
        <v>1.1514084507042253</v>
      </c>
      <c r="AC105" s="38">
        <f>IF(LEFT($B105,4)="_Mil","",_xlfn.IFNA(ROUND(INDEX(Spectrum!$N:$N,MATCH(RIGHT($B105,13)&amp;"|"&amp;$C105&amp;"|"&amp;$D105&amp;"|"&amp;AC$14&amp;"|"&amp;"CY2024Q3",Spectrum!$R:$R,0)),0),""))</f>
        <v>75</v>
      </c>
      <c r="AD105" s="38" t="str">
        <f>IF(LEFT($B105,4)="_Mil","",_xlfn.IFNA(ROUND(INDEX(Spectrum!$N:$N,MATCH(RIGHT($B105,13)&amp;"|"&amp;$C105&amp;"|"&amp;$D105&amp;"|"&amp;AD$14&amp;"|"&amp;"CY2024Q3",Spectrum!$R:$R,0)),0),""))</f>
        <v/>
      </c>
      <c r="AE105" s="33">
        <f t="shared" si="23"/>
        <v>0</v>
      </c>
      <c r="AF105" s="218" t="str">
        <f>IF(LEFT($B105,4)="_Mil","",_xlfn.IFNA(ROUND(INDEX(Spectrum!$N:$N,MATCH(RIGHT($B105,13)&amp;"|"&amp;$C105&amp;"|"&amp;$D105&amp;"|"&amp;AF$14&amp;"|"&amp;"CY2024Q3",Spectrum!$R:$R,0)),0),""))</f>
        <v/>
      </c>
      <c r="AG105" s="33" t="str">
        <f t="shared" si="24"/>
        <v/>
      </c>
      <c r="AH105" s="110" t="str">
        <f>IF(LEFT($B105,4)="_Mil","",_xlfn.IFNA(INDEX(Spectrum!$N:$N,MATCH(RIGHT($B105,13)&amp;"|"&amp;$C105&amp;"|"&amp;$D105&amp;"|"&amp;AH$14&amp;"|"&amp;"CY2024Q3",Spectrum!$R:$R,0)),""))</f>
        <v/>
      </c>
      <c r="AI105" s="218">
        <f>IF(LEFT($B105,4)="_Mil","",_xlfn.IFNA(ROUND(INDEX(Spectrum!$N:$N,MATCH(RIGHT($B105,13)&amp;"|"&amp;$C105&amp;"|"&amp;$D105&amp;"|"&amp;AI$14&amp;"|"&amp;"CY2025Q3",Spectrum!$R:$R,0)),0),""))</f>
        <v>57</v>
      </c>
      <c r="AJ105" s="38">
        <f>IF(LEFT($B105,4)="_Mil","",_xlfn.IFNA(ROUND(INDEX(Spectrum!$N:$N,MATCH(RIGHT($B105,13)&amp;"|"&amp;$C105&amp;"|"&amp;$D105&amp;"|"&amp;AJ$14&amp;"|"&amp;"CY2025Q3",Spectrum!$R:$R,0)),0),""))</f>
        <v>903</v>
      </c>
      <c r="AK105" s="218" t="e">
        <f>#REF!</f>
        <v>#REF!</v>
      </c>
      <c r="AL105" s="33">
        <f t="shared" si="25"/>
        <v>0.92455388599999999</v>
      </c>
      <c r="AM105" s="38" t="e">
        <f>IF(OR(LEFT($B105,4)="_Mil",$C105="&lt;01"),"",ROUND(SUM($AK105)*SUM($AL105),0))</f>
        <v>#REF!</v>
      </c>
      <c r="AN105" s="38" t="str">
        <f>IF($C105="&lt;01",ROUND(INDEX(EID!$P:$P,MATCH($B105,EID!$B:$B,0))/2,0),"")</f>
        <v/>
      </c>
      <c r="AO105" s="38" t="e">
        <f>IF($C105="&lt;01",SUM($AN105),ROUND(SUM($AM105)*SUM($O105)/IF(SUM($Z105)=0,1,$Z105),0))</f>
        <v>#REF!</v>
      </c>
      <c r="AP105" s="218">
        <f>IF(OR($F105="",$C105="&lt;01"),$AO105,ROUND($F105,0))</f>
        <v>1034</v>
      </c>
      <c r="AQ105" s="218">
        <f>IF(LEFT($B105,4)="_Mil","",IF(SUM($AP105)=0,SUM($Z105),IF(OR(SUM($Z105)=0,SUM($O105)=0),MAX($AP105,$Z105),ROUND($AP105*$Z105/$O105,0))))</f>
        <v>961</v>
      </c>
      <c r="AR105" s="33" t="e">
        <f>IF(OR(LEFT($B105,4)="_Mil",SUM($AK105)=0),"",SUM($AQ105)/$AK105)</f>
        <v>#REF!</v>
      </c>
      <c r="AS105" s="33">
        <f>IF($C105="&lt;01","",88%)</f>
        <v>0.88</v>
      </c>
      <c r="AT105" s="33">
        <f>IF($C105="&lt;01","",90%)</f>
        <v>0.9</v>
      </c>
      <c r="AU105" s="38">
        <f>IF($C105="&lt;01","",SUM($AP105)-SUM($O105))</f>
        <v>-22</v>
      </c>
      <c r="AV105" s="38">
        <f>IF($C105="&lt;01",ROUND(INDEX(EID!$N:$N,MATCH($B105,EID!$B:$B,0))/2,0),IF(SUM($AT105)=0,"",ROUND((SUM($AP105)-(SUM($O105)*SUM($AS105)))/$AT105,0)))</f>
        <v>116</v>
      </c>
      <c r="AW105" s="33">
        <f t="shared" si="26"/>
        <v>1</v>
      </c>
      <c r="AX105" s="218">
        <f>IF($C105="&lt;01",SUM($AV105),ROUND(SUM($AV105)*SUM($AW105),0))</f>
        <v>116</v>
      </c>
      <c r="AY105" s="79">
        <f t="shared" si="27"/>
        <v>0.7</v>
      </c>
      <c r="AZ105" s="85">
        <f>IF($C105="&lt;01",ROUND(INDEX(EID!$R:$R,MATCH($B105,EID!$B:$B,0))/2,0),ROUND(SUM($O105)+(SUM($AV105)*$AY105),0))</f>
        <v>1137</v>
      </c>
      <c r="BA105" s="40">
        <f t="shared" si="31"/>
        <v>0.9</v>
      </c>
      <c r="BB105" s="99">
        <f>IF($C105="&lt;01",ROUND(INDEX(EID!$T:$T,MATCH($B105,EID!$B:$B,0))/2,0),ROUND($AP105*$BA105,0))</f>
        <v>931</v>
      </c>
      <c r="BC105" s="85">
        <f>IF(LEFT($B105,4)="_Mil","",IF(SUM($BB105)=0,SUM($AD105),IF(OR(SUM($AP105)=0,SUM($AQ105)=0),MAX($BB105,$AD105),ROUND($BB105*$AQ105/$AP105,0))))</f>
        <v>865</v>
      </c>
      <c r="BD105" s="33">
        <f t="shared" si="28"/>
        <v>0.95</v>
      </c>
      <c r="BE105" s="218">
        <f>IF($C105="&lt;01",ROUND(INDEX(EID!$V:$V,MATCH($B105,EID!$B:$B,0))/2,0),ROUND($BD105*$BB105,0))</f>
        <v>884</v>
      </c>
      <c r="BF105" s="218">
        <f>IF(LEFT($B105,4)="_Mil","",IF(SUM($BE105)=0,SUM($AF105),IF(OR(SUM($AP105)=0,SUM($AQ105)=0),MAX($BE105,$AF105),ROUND($BE105*$AQ105/$AP105,0))))</f>
        <v>822</v>
      </c>
      <c r="BG105" s="79">
        <f t="shared" si="29"/>
        <v>0.95</v>
      </c>
      <c r="BH105" s="99">
        <f>IF($C105="&lt;01",ROUND(INDEX(EID!$L:$L,MATCH($B105,EID!$B:$B,0)),0)/2,IF(SUM($BG105)=0,"",ROUND($AX105/$BG105,0)))</f>
        <v>122</v>
      </c>
    </row>
    <row r="106" spans="1:60" x14ac:dyDescent="0.2">
      <c r="A106" t="str">
        <f>INDEX(Prioritization!$D:$D,MATCH($B106,Prioritization!$A:$A,0))</f>
        <v>4 - Sustained</v>
      </c>
      <c r="B106" t="s">
        <v>298</v>
      </c>
      <c r="C106" t="s">
        <v>475</v>
      </c>
      <c r="D106" t="s">
        <v>48</v>
      </c>
      <c r="E106" t="str">
        <f t="shared" si="19"/>
        <v>Dedza District [PekKUkKHAzY]|15-24|Male</v>
      </c>
      <c r="F106" s="229">
        <v>575</v>
      </c>
      <c r="G106" s="38">
        <v>130</v>
      </c>
      <c r="H106" s="38">
        <v>73</v>
      </c>
      <c r="I106" s="38">
        <v>478</v>
      </c>
      <c r="J106" s="38">
        <v>382</v>
      </c>
      <c r="K106" s="38">
        <v>324</v>
      </c>
      <c r="L106" s="38">
        <v>120</v>
      </c>
      <c r="M106" s="38">
        <v>115</v>
      </c>
      <c r="N106" s="38">
        <v>738</v>
      </c>
      <c r="O106" s="229">
        <v>567</v>
      </c>
      <c r="P106" s="38">
        <v>640</v>
      </c>
      <c r="Q106" s="38">
        <v>607</v>
      </c>
      <c r="R106" s="38">
        <f t="shared" si="20"/>
        <v>89</v>
      </c>
      <c r="S106" s="38">
        <f>IF(LEFT($B106,4)="_Mil","",_xlfn.IFNA(ROUND(INDEX(Spectrum!$N:$N,MATCH(RIGHT($B106,13)&amp;"|"&amp;$C106&amp;"|"&amp;$D106&amp;"|"&amp;S$14&amp;"|"&amp;"CY2023Q4",Spectrum!$R:$R,0)),0),""))</f>
        <v>661</v>
      </c>
      <c r="T106" s="218">
        <f>IF(LEFT($B106,4)="_Mil","",_xlfn.IFNA(ROUND(INDEX(Spectrum!$N:$N,MATCH(RIGHT($B106,13)&amp;"|"&amp;$C106&amp;"|"&amp;$D106&amp;"|"&amp;T$14&amp;"|"&amp;"CY2024Q3",Spectrum!$R:$R,0)),0),""))</f>
        <v>106127</v>
      </c>
      <c r="U106" s="218">
        <f>IF(LEFT($B106,4)="_Mil","",_xlfn.IFNA(ROUND(INDEX(Spectrum!$N:$N,MATCH(RIGHT($B106,13)&amp;"|"&amp;$C106&amp;"|"&amp;$D106&amp;"|"&amp;U$14&amp;"|"&amp;"CY2024Q3",Spectrum!$R:$R,0)),0),""))</f>
        <v>669</v>
      </c>
      <c r="V106" s="38">
        <f>IF(LEFT($B106,4)="_Mil","",_xlfn.IFNA(ROUND(INDEX(Spectrum!$N:$N,MATCH(RIGHT($B106,13)&amp;"|"&amp;$C106&amp;"|"&amp;$D106&amp;"|"&amp;V$14&amp;"|"&amp;"CY2024Q3",Spectrum!$R:$R,0)),0),""))</f>
        <v>756</v>
      </c>
      <c r="W106" s="220">
        <f>IF(LEFT($B106,4)="_Mil","",_xlfn.IFNA(INDEX(Spectrum!$N:$N,MATCH(RIGHT($B106,13)&amp;"|"&amp;$C106&amp;"|"&amp;$D106&amp;"|"&amp;W$14&amp;"|"&amp;"CY2024Q3",Spectrum!$R:$R,0)),""))</f>
        <v>6.3021750000000001E-3</v>
      </c>
      <c r="X106" s="218">
        <f>IF(LEFT($B106,4)="_Mil","",_xlfn.IFNA(ROUND(INDEX(Spectrum!$N:$N,MATCH(RIGHT($B106,13)&amp;"|"&amp;$C106&amp;"|"&amp;$D106&amp;"|"&amp;X$14&amp;"|"&amp;"CY2024Q3",Spectrum!$R:$R,0)),0),""))</f>
        <v>598</v>
      </c>
      <c r="Y106" s="33">
        <f t="shared" si="21"/>
        <v>0.89</v>
      </c>
      <c r="Z106" s="218">
        <f>IF(LEFT($B106,4)="_Mil","",_xlfn.IFNA(ROUND(INDEX(Spectrum!$N:$N,MATCH(RIGHT($B106,13)&amp;"|"&amp;$C106&amp;"|"&amp;$D106&amp;"|"&amp;Z$14&amp;"|"&amp;"CY2024Q3",Spectrum!$R:$R,0)),0),""))</f>
        <v>680</v>
      </c>
      <c r="AA106" s="33">
        <f>IF(LEFT($B106,4)="_Mil","",IFERROR(1/(1/INDEX(Spectrum!$N:$N,MATCH(RIGHT($B106,13)&amp;"|"&amp;$C106&amp;"|"&amp;$D106&amp;"|"&amp;AA$14&amp;"|"&amp;"CY2024Q3",Spectrum!$R:$R,0))),IF(SUM($U106)=0,"",SUM($Z106)/$U106)))</f>
        <v>0.89049498699999996</v>
      </c>
      <c r="AB106" s="33">
        <f t="shared" si="22"/>
        <v>1.1371237458193979</v>
      </c>
      <c r="AC106" s="38">
        <f>IF(LEFT($B106,4)="_Mil","",_xlfn.IFNA(ROUND(INDEX(Spectrum!$N:$N,MATCH(RIGHT($B106,13)&amp;"|"&amp;$C106&amp;"|"&amp;$D106&amp;"|"&amp;AC$14&amp;"|"&amp;"CY2024Q3",Spectrum!$R:$R,0)),0),""))</f>
        <v>76</v>
      </c>
      <c r="AD106" s="38" t="str">
        <f>IF(LEFT($B106,4)="_Mil","",_xlfn.IFNA(ROUND(INDEX(Spectrum!$N:$N,MATCH(RIGHT($B106,13)&amp;"|"&amp;$C106&amp;"|"&amp;$D106&amp;"|"&amp;AD$14&amp;"|"&amp;"CY2024Q3",Spectrum!$R:$R,0)),0),""))</f>
        <v/>
      </c>
      <c r="AE106" s="33">
        <f t="shared" si="23"/>
        <v>0</v>
      </c>
      <c r="AF106" s="218" t="str">
        <f>IF(LEFT($B106,4)="_Mil","",_xlfn.IFNA(ROUND(INDEX(Spectrum!$N:$N,MATCH(RIGHT($B106,13)&amp;"|"&amp;$C106&amp;"|"&amp;$D106&amp;"|"&amp;AF$14&amp;"|"&amp;"CY2024Q3",Spectrum!$R:$R,0)),0),""))</f>
        <v/>
      </c>
      <c r="AG106" s="33" t="str">
        <f t="shared" si="24"/>
        <v/>
      </c>
      <c r="AH106" s="110" t="str">
        <f>IF(LEFT($B106,4)="_Mil","",_xlfn.IFNA(INDEX(Spectrum!$N:$N,MATCH(RIGHT($B106,13)&amp;"|"&amp;$C106&amp;"|"&amp;$D106&amp;"|"&amp;AH$14&amp;"|"&amp;"CY2024Q3",Spectrum!$R:$R,0)),""))</f>
        <v/>
      </c>
      <c r="AI106" s="218">
        <f>IF(LEFT($B106,4)="_Mil","",_xlfn.IFNA(ROUND(INDEX(Spectrum!$N:$N,MATCH(RIGHT($B106,13)&amp;"|"&amp;$C106&amp;"|"&amp;$D106&amp;"|"&amp;AI$14&amp;"|"&amp;"CY2025Q3",Spectrum!$R:$R,0)),0),""))</f>
        <v>9</v>
      </c>
      <c r="AJ106" s="38">
        <f>IF(LEFT($B106,4)="_Mil","",_xlfn.IFNA(ROUND(INDEX(Spectrum!$N:$N,MATCH(RIGHT($B106,13)&amp;"|"&amp;$C106&amp;"|"&amp;$D106&amp;"|"&amp;AJ$14&amp;"|"&amp;"CY2025Q3",Spectrum!$R:$R,0)),0),""))</f>
        <v>663</v>
      </c>
      <c r="AK106" s="218" t="e">
        <f>#REF!</f>
        <v>#REF!</v>
      </c>
      <c r="AL106" s="33">
        <f t="shared" si="25"/>
        <v>0.9</v>
      </c>
      <c r="AM106" s="38" t="e">
        <f>IF(OR(LEFT($B106,4)="_Mil",$C106="&lt;01"),"",ROUND(SUM($AK106)*SUM($AL106),0))</f>
        <v>#REF!</v>
      </c>
      <c r="AN106" s="38" t="str">
        <f>IF($C106="&lt;01",ROUND(INDEX(EID!$P:$P,MATCH($B106,EID!$B:$B,0))/2,0),"")</f>
        <v/>
      </c>
      <c r="AO106" s="38" t="e">
        <f>IF($C106="&lt;01",SUM($AN106),ROUND(SUM($AM106)*SUM($O106)/IF(SUM($Z106)=0,1,$Z106),0))</f>
        <v>#REF!</v>
      </c>
      <c r="AP106" s="218">
        <f>IF(OR($F106="",$C106="&lt;01"),$AO106,ROUND($F106,0))</f>
        <v>575</v>
      </c>
      <c r="AQ106" s="218">
        <f>IF(LEFT($B106,4)="_Mil","",IF(SUM($AP106)=0,SUM($Z106),IF(OR(SUM($Z106)=0,SUM($O106)=0),MAX($AP106,$Z106),ROUND($AP106*$Z106/$O106,0))))</f>
        <v>690</v>
      </c>
      <c r="AR106" s="33" t="e">
        <f>IF(OR(LEFT($B106,4)="_Mil",SUM($AK106)=0),"",SUM($AQ106)/$AK106)</f>
        <v>#REF!</v>
      </c>
      <c r="AS106" s="33">
        <f>IF($C106="&lt;01","",98%)</f>
        <v>0.98</v>
      </c>
      <c r="AT106" s="33">
        <f t="shared" si="32"/>
        <v>0.98</v>
      </c>
      <c r="AU106" s="38">
        <f>IF($C106="&lt;01","",SUM($AP106)-SUM($O106))</f>
        <v>8</v>
      </c>
      <c r="AV106" s="38">
        <f>IF($C106="&lt;01",ROUND(INDEX(EID!$N:$N,MATCH($B106,EID!$B:$B,0))/2,0),IF(SUM($AT106)=0,"",ROUND((SUM($AP106)-(SUM($O106)*SUM($AS106)))/$AT106,0)))</f>
        <v>20</v>
      </c>
      <c r="AW106" s="33">
        <f t="shared" si="26"/>
        <v>1</v>
      </c>
      <c r="AX106" s="218">
        <f>IF($C106="&lt;01",SUM($AV106),ROUND(SUM($AV106)*SUM($AW106),0))</f>
        <v>20</v>
      </c>
      <c r="AY106" s="79">
        <f t="shared" si="27"/>
        <v>0.7</v>
      </c>
      <c r="AZ106" s="85">
        <f>IF($C106="&lt;01",ROUND(INDEX(EID!$R:$R,MATCH($B106,EID!$B:$B,0))/2,0),ROUND(SUM($O106)+(SUM($AV106)*$AY106),0))</f>
        <v>581</v>
      </c>
      <c r="BA106" s="40">
        <f t="shared" si="31"/>
        <v>0.9</v>
      </c>
      <c r="BB106" s="99">
        <f>IF($C106="&lt;01",ROUND(INDEX(EID!$T:$T,MATCH($B106,EID!$B:$B,0))/2,0),ROUND($AP106*$BA106,0))</f>
        <v>518</v>
      </c>
      <c r="BC106" s="85">
        <f>IF(LEFT($B106,4)="_Mil","",IF(SUM($BB106)=0,SUM($AD106),IF(OR(SUM($AP106)=0,SUM($AQ106)=0),MAX($BB106,$AD106),ROUND($BB106*$AQ106/$AP106,0))))</f>
        <v>622</v>
      </c>
      <c r="BD106" s="33">
        <f t="shared" si="28"/>
        <v>0.95</v>
      </c>
      <c r="BE106" s="218">
        <f>IF($C106="&lt;01",ROUND(INDEX(EID!$V:$V,MATCH($B106,EID!$B:$B,0))/2,0),ROUND($BD106*$BB106,0))</f>
        <v>492</v>
      </c>
      <c r="BF106" s="218">
        <f>IF(LEFT($B106,4)="_Mil","",IF(SUM($BE106)=0,SUM($AF106),IF(OR(SUM($AP106)=0,SUM($AQ106)=0),MAX($BE106,$AF106),ROUND($BE106*$AQ106/$AP106,0))))</f>
        <v>590</v>
      </c>
      <c r="BG106" s="79">
        <f t="shared" si="29"/>
        <v>0.95</v>
      </c>
      <c r="BH106" s="99">
        <f>IF($C106="&lt;01",ROUND(INDEX(EID!$L:$L,MATCH($B106,EID!$B:$B,0)),0)/2,IF(SUM($BG106)=0,"",ROUND($AX106/$BG106,0)))</f>
        <v>21</v>
      </c>
    </row>
    <row r="107" spans="1:60" x14ac:dyDescent="0.2">
      <c r="A107" t="str">
        <f>INDEX(Prioritization!$D:$D,MATCH($B107,Prioritization!$A:$A,0))</f>
        <v>4 - Sustained</v>
      </c>
      <c r="B107" t="s">
        <v>298</v>
      </c>
      <c r="C107" t="s">
        <v>476</v>
      </c>
      <c r="D107" t="s">
        <v>30</v>
      </c>
      <c r="E107" t="str">
        <f t="shared" si="19"/>
        <v>Dedza District [PekKUkKHAzY]|25-34|Female</v>
      </c>
      <c r="F107" s="229">
        <v>2502</v>
      </c>
      <c r="G107" s="38">
        <v>323</v>
      </c>
      <c r="H107" s="38">
        <v>382</v>
      </c>
      <c r="I107" s="38">
        <v>2841</v>
      </c>
      <c r="J107" s="38">
        <v>1775</v>
      </c>
      <c r="K107" s="38">
        <v>1658</v>
      </c>
      <c r="L107" s="38">
        <v>147</v>
      </c>
      <c r="M107" s="38">
        <v>144</v>
      </c>
      <c r="N107" s="38">
        <v>2586</v>
      </c>
      <c r="O107" s="229">
        <v>2686</v>
      </c>
      <c r="P107" s="38">
        <v>2426</v>
      </c>
      <c r="Q107" s="38">
        <v>2305</v>
      </c>
      <c r="R107" s="38">
        <f t="shared" si="20"/>
        <v>-155</v>
      </c>
      <c r="S107" s="38">
        <f>IF(LEFT($B107,4)="_Mil","",_xlfn.IFNA(ROUND(INDEX(Spectrum!$N:$N,MATCH(RIGHT($B107,13)&amp;"|"&amp;$C107&amp;"|"&amp;$D107&amp;"|"&amp;S$14&amp;"|"&amp;"CY2023Q4",Spectrum!$R:$R,0)),0),""))</f>
        <v>2723</v>
      </c>
      <c r="T107" s="218">
        <f>IF(LEFT($B107,4)="_Mil","",_xlfn.IFNA(ROUND(INDEX(Spectrum!$N:$N,MATCH(RIGHT($B107,13)&amp;"|"&amp;$C107&amp;"|"&amp;$D107&amp;"|"&amp;T$14&amp;"|"&amp;"CY2024Q3",Spectrum!$R:$R,0)),0),""))</f>
        <v>76304</v>
      </c>
      <c r="U107" s="218">
        <f>IF(LEFT($B107,4)="_Mil","",_xlfn.IFNA(ROUND(INDEX(Spectrum!$N:$N,MATCH(RIGHT($B107,13)&amp;"|"&amp;$C107&amp;"|"&amp;$D107&amp;"|"&amp;U$14&amp;"|"&amp;"CY2024Q3",Spectrum!$R:$R,0)),0),""))</f>
        <v>2357</v>
      </c>
      <c r="V107" s="38">
        <f>IF(LEFT($B107,4)="_Mil","",_xlfn.IFNA(ROUND(INDEX(Spectrum!$N:$N,MATCH(RIGHT($B107,13)&amp;"|"&amp;$C107&amp;"|"&amp;$D107&amp;"|"&amp;V$14&amp;"|"&amp;"CY2024Q3",Spectrum!$R:$R,0)),0),""))</f>
        <v>2686</v>
      </c>
      <c r="W107" s="220">
        <f>IF(LEFT($B107,4)="_Mil","",_xlfn.IFNA(INDEX(Spectrum!$N:$N,MATCH(RIGHT($B107,13)&amp;"|"&amp;$C107&amp;"|"&amp;$D107&amp;"|"&amp;W$14&amp;"|"&amp;"CY2024Q3",Spectrum!$R:$R,0)),""))</f>
        <v>3.0885132999999999E-2</v>
      </c>
      <c r="X107" s="218">
        <f>IF(LEFT($B107,4)="_Mil","",_xlfn.IFNA(ROUND(INDEX(Spectrum!$N:$N,MATCH(RIGHT($B107,13)&amp;"|"&amp;$C107&amp;"|"&amp;$D107&amp;"|"&amp;X$14&amp;"|"&amp;"CY2024Q3",Spectrum!$R:$R,0)),0),""))</f>
        <v>2262</v>
      </c>
      <c r="Y107" s="33">
        <f t="shared" si="21"/>
        <v>0.96</v>
      </c>
      <c r="Z107" s="218">
        <f>IF(LEFT($B107,4)="_Mil","",_xlfn.IFNA(ROUND(INDEX(Spectrum!$N:$N,MATCH(RIGHT($B107,13)&amp;"|"&amp;$C107&amp;"|"&amp;$D107&amp;"|"&amp;Z$14&amp;"|"&amp;"CY2024Q3",Spectrum!$R:$R,0)),0),""))</f>
        <v>2578</v>
      </c>
      <c r="AA107" s="33">
        <f>IF(LEFT($B107,4)="_Mil","",IFERROR(1/(1/INDEX(Spectrum!$N:$N,MATCH(RIGHT($B107,13)&amp;"|"&amp;$C107&amp;"|"&amp;$D107&amp;"|"&amp;AA$14&amp;"|"&amp;"CY2024Q3",Spectrum!$R:$R,0))),IF(SUM($U107)=0,"",SUM($Z107)/$U107)))</f>
        <v>0.95970299100000012</v>
      </c>
      <c r="AB107" s="33">
        <f t="shared" si="22"/>
        <v>1.1396993810786915</v>
      </c>
      <c r="AC107" s="38">
        <f>IF(LEFT($B107,4)="_Mil","",_xlfn.IFNA(ROUND(INDEX(Spectrum!$N:$N,MATCH(RIGHT($B107,13)&amp;"|"&amp;$C107&amp;"|"&amp;$D107&amp;"|"&amp;AC$14&amp;"|"&amp;"CY2024Q3",Spectrum!$R:$R,0)),0),""))</f>
        <v>107</v>
      </c>
      <c r="AD107" s="38" t="str">
        <f>IF(LEFT($B107,4)="_Mil","",_xlfn.IFNA(ROUND(INDEX(Spectrum!$N:$N,MATCH(RIGHT($B107,13)&amp;"|"&amp;$C107&amp;"|"&amp;$D107&amp;"|"&amp;AD$14&amp;"|"&amp;"CY2024Q3",Spectrum!$R:$R,0)),0),""))</f>
        <v/>
      </c>
      <c r="AE107" s="33">
        <f t="shared" si="23"/>
        <v>0</v>
      </c>
      <c r="AF107" s="218" t="str">
        <f>IF(LEFT($B107,4)="_Mil","",_xlfn.IFNA(ROUND(INDEX(Spectrum!$N:$N,MATCH(RIGHT($B107,13)&amp;"|"&amp;$C107&amp;"|"&amp;$D107&amp;"|"&amp;AF$14&amp;"|"&amp;"CY2024Q3",Spectrum!$R:$R,0)),0),""))</f>
        <v/>
      </c>
      <c r="AG107" s="33" t="str">
        <f t="shared" si="24"/>
        <v/>
      </c>
      <c r="AH107" s="110" t="str">
        <f>IF(LEFT($B107,4)="_Mil","",_xlfn.IFNA(INDEX(Spectrum!$N:$N,MATCH(RIGHT($B107,13)&amp;"|"&amp;$C107&amp;"|"&amp;$D107&amp;"|"&amp;AH$14&amp;"|"&amp;"CY2024Q3",Spectrum!$R:$R,0)),""))</f>
        <v/>
      </c>
      <c r="AI107" s="218">
        <f>IF(LEFT($B107,4)="_Mil","",_xlfn.IFNA(ROUND(INDEX(Spectrum!$N:$N,MATCH(RIGHT($B107,13)&amp;"|"&amp;$C107&amp;"|"&amp;$D107&amp;"|"&amp;AI$14&amp;"|"&amp;"CY2025Q3",Spectrum!$R:$R,0)),0),""))</f>
        <v>59</v>
      </c>
      <c r="AJ107" s="38">
        <f>IF(LEFT($B107,4)="_Mil","",_xlfn.IFNA(ROUND(INDEX(Spectrum!$N:$N,MATCH(RIGHT($B107,13)&amp;"|"&amp;$C107&amp;"|"&amp;$D107&amp;"|"&amp;AJ$14&amp;"|"&amp;"CY2025Q3",Spectrum!$R:$R,0)),0),""))</f>
        <v>2195</v>
      </c>
      <c r="AK107" s="218" t="e">
        <f>#REF!</f>
        <v>#REF!</v>
      </c>
      <c r="AL107" s="33">
        <f t="shared" si="25"/>
        <v>0.95970299100000012</v>
      </c>
      <c r="AM107" s="38" t="e">
        <f>IF(OR(LEFT($B107,4)="_Mil",$C107="&lt;01"),"",ROUND(SUM($AK107)*SUM($AL107),0))</f>
        <v>#REF!</v>
      </c>
      <c r="AN107" s="38" t="str">
        <f>IF($C107="&lt;01",ROUND(INDEX(EID!$P:$P,MATCH($B107,EID!$B:$B,0))/2,0),"")</f>
        <v/>
      </c>
      <c r="AO107" s="38" t="e">
        <f>IF($C107="&lt;01",SUM($AN107),ROUND(SUM($AM107)*SUM($O107)/IF(SUM($Z107)=0,1,$Z107),0))</f>
        <v>#REF!</v>
      </c>
      <c r="AP107" s="218">
        <f>IF(OR($F107="",$C107="&lt;01"),$AO107,ROUND($F107,0))</f>
        <v>2502</v>
      </c>
      <c r="AQ107" s="218">
        <f>IF(LEFT($B107,4)="_Mil","",IF(SUM($AP107)=0,SUM($Z107),IF(OR(SUM($Z107)=0,SUM($O107)=0),MAX($AP107,$Z107),ROUND($AP107*$Z107/$O107,0))))</f>
        <v>2401</v>
      </c>
      <c r="AR107" s="33" t="e">
        <f>IF(OR(LEFT($B107,4)="_Mil",SUM($AK107)=0),"",SUM($AQ107)/$AK107)</f>
        <v>#REF!</v>
      </c>
      <c r="AS107" s="33">
        <f>IF($C107="&lt;01","",83%)</f>
        <v>0.83</v>
      </c>
      <c r="AT107" s="33">
        <f>IF($C107="&lt;01","",90%)</f>
        <v>0.9</v>
      </c>
      <c r="AU107" s="38">
        <f>IF($C107="&lt;01","",SUM($AP107)-SUM($O107))</f>
        <v>-184</v>
      </c>
      <c r="AV107" s="38">
        <f>IF($C107="&lt;01",ROUND(INDEX(EID!$N:$N,MATCH($B107,EID!$B:$B,0))/2,0),IF(SUM($AT107)=0,"",ROUND((SUM($AP107)-(SUM($O107)*SUM($AS107)))/$AT107,0)))</f>
        <v>303</v>
      </c>
      <c r="AW107" s="33">
        <f t="shared" si="26"/>
        <v>1</v>
      </c>
      <c r="AX107" s="218">
        <f>IF($C107="&lt;01",SUM($AV107),ROUND(SUM($AV107)*SUM($AW107),0))</f>
        <v>303</v>
      </c>
      <c r="AY107" s="79">
        <f t="shared" si="27"/>
        <v>0.7</v>
      </c>
      <c r="AZ107" s="85">
        <f>IF($C107="&lt;01",ROUND(INDEX(EID!$R:$R,MATCH($B107,EID!$B:$B,0))/2,0),ROUND(SUM($O107)+(SUM($AV107)*$AY107),0))</f>
        <v>2898</v>
      </c>
      <c r="BA107" s="40">
        <f t="shared" si="31"/>
        <v>0.9</v>
      </c>
      <c r="BB107" s="99">
        <f>IF($C107="&lt;01",ROUND(INDEX(EID!$T:$T,MATCH($B107,EID!$B:$B,0))/2,0),ROUND($AP107*$BA107,0))</f>
        <v>2252</v>
      </c>
      <c r="BC107" s="85">
        <f>IF(LEFT($B107,4)="_Mil","",IF(SUM($BB107)=0,SUM($AD107),IF(OR(SUM($AP107)=0,SUM($AQ107)=0),MAX($BB107,$AD107),ROUND($BB107*$AQ107/$AP107,0))))</f>
        <v>2161</v>
      </c>
      <c r="BD107" s="33">
        <f t="shared" si="28"/>
        <v>0.95</v>
      </c>
      <c r="BE107" s="218">
        <f>IF($C107="&lt;01",ROUND(INDEX(EID!$V:$V,MATCH($B107,EID!$B:$B,0))/2,0),ROUND($BD107*$BB107,0))</f>
        <v>2139</v>
      </c>
      <c r="BF107" s="218">
        <f>IF(LEFT($B107,4)="_Mil","",IF(SUM($BE107)=0,SUM($AF107),IF(OR(SUM($AP107)=0,SUM($AQ107)=0),MAX($BE107,$AF107),ROUND($BE107*$AQ107/$AP107,0))))</f>
        <v>2053</v>
      </c>
      <c r="BG107" s="79">
        <f t="shared" si="29"/>
        <v>0.95</v>
      </c>
      <c r="BH107" s="99">
        <f>IF($C107="&lt;01",ROUND(INDEX(EID!$L:$L,MATCH($B107,EID!$B:$B,0)),0)/2,IF(SUM($BG107)=0,"",ROUND($AX107/$BG107,0)))</f>
        <v>319</v>
      </c>
    </row>
    <row r="108" spans="1:60" x14ac:dyDescent="0.2">
      <c r="A108" t="str">
        <f>INDEX(Prioritization!$D:$D,MATCH($B108,Prioritization!$A:$A,0))</f>
        <v>4 - Sustained</v>
      </c>
      <c r="B108" t="s">
        <v>298</v>
      </c>
      <c r="C108" t="s">
        <v>476</v>
      </c>
      <c r="D108" t="s">
        <v>48</v>
      </c>
      <c r="E108" t="str">
        <f t="shared" si="19"/>
        <v>Dedza District [PekKUkKHAzY]|25-34|Male</v>
      </c>
      <c r="F108" s="229">
        <v>930</v>
      </c>
      <c r="G108" s="38">
        <v>199</v>
      </c>
      <c r="H108" s="38">
        <v>209</v>
      </c>
      <c r="I108" s="38">
        <v>932</v>
      </c>
      <c r="J108" s="38">
        <v>522</v>
      </c>
      <c r="K108" s="38">
        <v>487</v>
      </c>
      <c r="L108" s="38">
        <v>20</v>
      </c>
      <c r="M108" s="38">
        <v>19</v>
      </c>
      <c r="N108" s="38">
        <v>928</v>
      </c>
      <c r="O108" s="229">
        <v>940</v>
      </c>
      <c r="P108" s="38">
        <v>839</v>
      </c>
      <c r="Q108" s="38">
        <v>797</v>
      </c>
      <c r="R108" s="38">
        <f t="shared" si="20"/>
        <v>8</v>
      </c>
      <c r="S108" s="38">
        <f>IF(LEFT($B108,4)="_Mil","",_xlfn.IFNA(ROUND(INDEX(Spectrum!$N:$N,MATCH(RIGHT($B108,13)&amp;"|"&amp;$C108&amp;"|"&amp;$D108&amp;"|"&amp;S$14&amp;"|"&amp;"CY2023Q4",Spectrum!$R:$R,0)),0),""))</f>
        <v>848</v>
      </c>
      <c r="T108" s="218">
        <f>IF(LEFT($B108,4)="_Mil","",_xlfn.IFNA(ROUND(INDEX(Spectrum!$N:$N,MATCH(RIGHT($B108,13)&amp;"|"&amp;$C108&amp;"|"&amp;$D108&amp;"|"&amp;T$14&amp;"|"&amp;"CY2024Q3",Spectrum!$R:$R,0)),0),""))</f>
        <v>68603</v>
      </c>
      <c r="U108" s="218">
        <f>IF(LEFT($B108,4)="_Mil","",_xlfn.IFNA(ROUND(INDEX(Spectrum!$N:$N,MATCH(RIGHT($B108,13)&amp;"|"&amp;$C108&amp;"|"&amp;$D108&amp;"|"&amp;U$14&amp;"|"&amp;"CY2024Q3",Spectrum!$R:$R,0)),0),""))</f>
        <v>869</v>
      </c>
      <c r="V108" s="38">
        <f>IF(LEFT($B108,4)="_Mil","",_xlfn.IFNA(ROUND(INDEX(Spectrum!$N:$N,MATCH(RIGHT($B108,13)&amp;"|"&amp;$C108&amp;"|"&amp;$D108&amp;"|"&amp;V$14&amp;"|"&amp;"CY2024Q3",Spectrum!$R:$R,0)),0),""))</f>
        <v>970</v>
      </c>
      <c r="W108" s="220">
        <f>IF(LEFT($B108,4)="_Mil","",_xlfn.IFNA(INDEX(Spectrum!$N:$N,MATCH(RIGHT($B108,13)&amp;"|"&amp;$C108&amp;"|"&amp;$D108&amp;"|"&amp;W$14&amp;"|"&amp;"CY2024Q3",Spectrum!$R:$R,0)),""))</f>
        <v>1.2673461E-2</v>
      </c>
      <c r="X108" s="218">
        <f>IF(LEFT($B108,4)="_Mil","",_xlfn.IFNA(ROUND(INDEX(Spectrum!$N:$N,MATCH(RIGHT($B108,13)&amp;"|"&amp;$C108&amp;"|"&amp;$D108&amp;"|"&amp;X$14&amp;"|"&amp;"CY2024Q3",Spectrum!$R:$R,0)),0),""))</f>
        <v>754</v>
      </c>
      <c r="Y108" s="33">
        <f t="shared" si="21"/>
        <v>0.87</v>
      </c>
      <c r="Z108" s="218">
        <f>IF(LEFT($B108,4)="_Mil","",_xlfn.IFNA(ROUND(INDEX(Spectrum!$N:$N,MATCH(RIGHT($B108,13)&amp;"|"&amp;$C108&amp;"|"&amp;$D108&amp;"|"&amp;Z$14&amp;"|"&amp;"CY2024Q3",Spectrum!$R:$R,0)),0),""))</f>
        <v>846</v>
      </c>
      <c r="AA108" s="33">
        <f>IF(LEFT($B108,4)="_Mil","",IFERROR(1/(1/INDEX(Spectrum!$N:$N,MATCH(RIGHT($B108,13)&amp;"|"&amp;$C108&amp;"|"&amp;$D108&amp;"|"&amp;AA$14&amp;"|"&amp;"CY2024Q3",Spectrum!$R:$R,0))),IF(SUM($U108)=0,"",SUM($Z108)/$U108)))</f>
        <v>0.85865854699999999</v>
      </c>
      <c r="AB108" s="33">
        <f t="shared" si="22"/>
        <v>1.1220159151193634</v>
      </c>
      <c r="AC108" s="38">
        <f>IF(LEFT($B108,4)="_Mil","",_xlfn.IFNA(ROUND(INDEX(Spectrum!$N:$N,MATCH(RIGHT($B108,13)&amp;"|"&amp;$C108&amp;"|"&amp;$D108&amp;"|"&amp;AC$14&amp;"|"&amp;"CY2024Q3",Spectrum!$R:$R,0)),0),""))</f>
        <v>124</v>
      </c>
      <c r="AD108" s="38" t="str">
        <f>IF(LEFT($B108,4)="_Mil","",_xlfn.IFNA(ROUND(INDEX(Spectrum!$N:$N,MATCH(RIGHT($B108,13)&amp;"|"&amp;$C108&amp;"|"&amp;$D108&amp;"|"&amp;AD$14&amp;"|"&amp;"CY2024Q3",Spectrum!$R:$R,0)),0),""))</f>
        <v/>
      </c>
      <c r="AE108" s="33">
        <f t="shared" si="23"/>
        <v>0</v>
      </c>
      <c r="AF108" s="218" t="str">
        <f>IF(LEFT($B108,4)="_Mil","",_xlfn.IFNA(ROUND(INDEX(Spectrum!$N:$N,MATCH(RIGHT($B108,13)&amp;"|"&amp;$C108&amp;"|"&amp;$D108&amp;"|"&amp;AF$14&amp;"|"&amp;"CY2024Q3",Spectrum!$R:$R,0)),0),""))</f>
        <v/>
      </c>
      <c r="AG108" s="33" t="str">
        <f t="shared" si="24"/>
        <v/>
      </c>
      <c r="AH108" s="110" t="str">
        <f>IF(LEFT($B108,4)="_Mil","",_xlfn.IFNA(INDEX(Spectrum!$N:$N,MATCH(RIGHT($B108,13)&amp;"|"&amp;$C108&amp;"|"&amp;$D108&amp;"|"&amp;AH$14&amp;"|"&amp;"CY2024Q3",Spectrum!$R:$R,0)),""))</f>
        <v/>
      </c>
      <c r="AI108" s="218">
        <f>IF(LEFT($B108,4)="_Mil","",_xlfn.IFNA(ROUND(INDEX(Spectrum!$N:$N,MATCH(RIGHT($B108,13)&amp;"|"&amp;$C108&amp;"|"&amp;$D108&amp;"|"&amp;AI$14&amp;"|"&amp;"CY2025Q3",Spectrum!$R:$R,0)),0),""))</f>
        <v>32</v>
      </c>
      <c r="AJ108" s="38">
        <f>IF(LEFT($B108,4)="_Mil","",_xlfn.IFNA(ROUND(INDEX(Spectrum!$N:$N,MATCH(RIGHT($B108,13)&amp;"|"&amp;$C108&amp;"|"&amp;$D108&amp;"|"&amp;AJ$14&amp;"|"&amp;"CY2025Q3",Spectrum!$R:$R,0)),0),""))</f>
        <v>833</v>
      </c>
      <c r="AK108" s="218" t="e">
        <f>#REF!</f>
        <v>#REF!</v>
      </c>
      <c r="AL108" s="33">
        <f t="shared" si="25"/>
        <v>0.9</v>
      </c>
      <c r="AM108" s="38" t="e">
        <f>IF(OR(LEFT($B108,4)="_Mil",$C108="&lt;01"),"",ROUND(SUM($AK108)*SUM($AL108),0))</f>
        <v>#REF!</v>
      </c>
      <c r="AN108" s="38" t="str">
        <f>IF($C108="&lt;01",ROUND(INDEX(EID!$P:$P,MATCH($B108,EID!$B:$B,0))/2,0),"")</f>
        <v/>
      </c>
      <c r="AO108" s="38" t="e">
        <f>IF($C108="&lt;01",SUM($AN108),ROUND(SUM($AM108)*SUM($O108)/IF(SUM($Z108)=0,1,$Z108),0))</f>
        <v>#REF!</v>
      </c>
      <c r="AP108" s="218">
        <f>IF(OR($F108="",$C108="&lt;01"),$AO108,ROUND($F108,0))</f>
        <v>930</v>
      </c>
      <c r="AQ108" s="218">
        <f>IF(LEFT($B108,4)="_Mil","",IF(SUM($AP108)=0,SUM($Z108),IF(OR(SUM($Z108)=0,SUM($O108)=0),MAX($AP108,$Z108),ROUND($AP108*$Z108/$O108,0))))</f>
        <v>837</v>
      </c>
      <c r="AR108" s="33" t="e">
        <f>IF(OR(LEFT($B108,4)="_Mil",SUM($AK108)=0),"",SUM($AQ108)/$AK108)</f>
        <v>#REF!</v>
      </c>
      <c r="AS108" s="33">
        <f t="shared" ref="AS108:AS138" si="33">IF($C108="&lt;01","",98%)</f>
        <v>0.98</v>
      </c>
      <c r="AT108" s="33">
        <f t="shared" si="32"/>
        <v>0.98</v>
      </c>
      <c r="AU108" s="38">
        <f>IF($C108="&lt;01","",SUM($AP108)-SUM($O108))</f>
        <v>-10</v>
      </c>
      <c r="AV108" s="38">
        <f>IF($C108="&lt;01",ROUND(INDEX(EID!$N:$N,MATCH($B108,EID!$B:$B,0))/2,0),IF(SUM($AT108)=0,"",ROUND((SUM($AP108)-(SUM($O108)*SUM($AS108)))/$AT108,0)))</f>
        <v>9</v>
      </c>
      <c r="AW108" s="33">
        <f t="shared" si="26"/>
        <v>1</v>
      </c>
      <c r="AX108" s="218">
        <f>IF($C108="&lt;01",SUM($AV108),ROUND(SUM($AV108)*SUM($AW108),0))</f>
        <v>9</v>
      </c>
      <c r="AY108" s="79">
        <f t="shared" si="27"/>
        <v>0.7</v>
      </c>
      <c r="AZ108" s="85">
        <f>IF($C108="&lt;01",ROUND(INDEX(EID!$R:$R,MATCH($B108,EID!$B:$B,0))/2,0),ROUND(SUM($O108)+(SUM($AV108)*$AY108),0))</f>
        <v>946</v>
      </c>
      <c r="BA108" s="40">
        <f t="shared" si="31"/>
        <v>0.9</v>
      </c>
      <c r="BB108" s="99">
        <f>IF($C108="&lt;01",ROUND(INDEX(EID!$T:$T,MATCH($B108,EID!$B:$B,0))/2,0),ROUND($AP108*$BA108,0))</f>
        <v>837</v>
      </c>
      <c r="BC108" s="85">
        <f>IF(LEFT($B108,4)="_Mil","",IF(SUM($BB108)=0,SUM($AD108),IF(OR(SUM($AP108)=0,SUM($AQ108)=0),MAX($BB108,$AD108),ROUND($BB108*$AQ108/$AP108,0))))</f>
        <v>753</v>
      </c>
      <c r="BD108" s="33">
        <f t="shared" si="28"/>
        <v>0.95</v>
      </c>
      <c r="BE108" s="218">
        <f>IF($C108="&lt;01",ROUND(INDEX(EID!$V:$V,MATCH($B108,EID!$B:$B,0))/2,0),ROUND($BD108*$BB108,0))</f>
        <v>795</v>
      </c>
      <c r="BF108" s="218">
        <f>IF(LEFT($B108,4)="_Mil","",IF(SUM($BE108)=0,SUM($AF108),IF(OR(SUM($AP108)=0,SUM($AQ108)=0),MAX($BE108,$AF108),ROUND($BE108*$AQ108/$AP108,0))))</f>
        <v>716</v>
      </c>
      <c r="BG108" s="79">
        <f t="shared" si="29"/>
        <v>0.95</v>
      </c>
      <c r="BH108" s="99">
        <f>IF($C108="&lt;01",ROUND(INDEX(EID!$L:$L,MATCH($B108,EID!$B:$B,0)),0)/2,IF(SUM($BG108)=0,"",ROUND($AX108/$BG108,0)))</f>
        <v>9</v>
      </c>
    </row>
    <row r="109" spans="1:60" x14ac:dyDescent="0.2">
      <c r="A109" t="str">
        <f>INDEX(Prioritization!$D:$D,MATCH($B109,Prioritization!$A:$A,0))</f>
        <v>4 - Sustained</v>
      </c>
      <c r="B109" t="s">
        <v>298</v>
      </c>
      <c r="C109" t="s">
        <v>477</v>
      </c>
      <c r="D109" t="s">
        <v>30</v>
      </c>
      <c r="E109" t="str">
        <f t="shared" si="19"/>
        <v>Dedza District [PekKUkKHAzY]|35-49|Female</v>
      </c>
      <c r="F109" s="229">
        <v>6380</v>
      </c>
      <c r="G109" s="38">
        <v>282</v>
      </c>
      <c r="H109" s="38">
        <v>293</v>
      </c>
      <c r="I109" s="38">
        <v>6380</v>
      </c>
      <c r="J109" s="38">
        <v>4131</v>
      </c>
      <c r="K109" s="38">
        <v>3931</v>
      </c>
      <c r="L109" s="38">
        <v>298</v>
      </c>
      <c r="M109" s="38">
        <v>292</v>
      </c>
      <c r="N109" s="38">
        <v>6874</v>
      </c>
      <c r="O109" s="229">
        <v>6380</v>
      </c>
      <c r="P109" s="38">
        <v>6089</v>
      </c>
      <c r="Q109" s="38">
        <v>5785</v>
      </c>
      <c r="R109" s="38">
        <f t="shared" si="20"/>
        <v>0</v>
      </c>
      <c r="S109" s="38">
        <f>IF(LEFT($B109,4)="_Mil","",_xlfn.IFNA(ROUND(INDEX(Spectrum!$N:$N,MATCH(RIGHT($B109,13)&amp;"|"&amp;$C109&amp;"|"&amp;$D109&amp;"|"&amp;S$14&amp;"|"&amp;"CY2023Q4",Spectrum!$R:$R,0)),0),""))</f>
        <v>7176</v>
      </c>
      <c r="T109" s="218">
        <f>IF(LEFT($B109,4)="_Mil","",_xlfn.IFNA(ROUND(INDEX(Spectrum!$N:$N,MATCH(RIGHT($B109,13)&amp;"|"&amp;$C109&amp;"|"&amp;$D109&amp;"|"&amp;T$14&amp;"|"&amp;"CY2024Q3",Spectrum!$R:$R,0)),0),""))</f>
        <v>79283</v>
      </c>
      <c r="U109" s="218">
        <f>IF(LEFT($B109,4)="_Mil","",_xlfn.IFNA(ROUND(INDEX(Spectrum!$N:$N,MATCH(RIGHT($B109,13)&amp;"|"&amp;$C109&amp;"|"&amp;$D109&amp;"|"&amp;U$14&amp;"|"&amp;"CY2024Q3",Spectrum!$R:$R,0)),0),""))</f>
        <v>6432</v>
      </c>
      <c r="V109" s="38">
        <f>IF(LEFT($B109,4)="_Mil","",_xlfn.IFNA(ROUND(INDEX(Spectrum!$N:$N,MATCH(RIGHT($B109,13)&amp;"|"&amp;$C109&amp;"|"&amp;$D109&amp;"|"&amp;V$14&amp;"|"&amp;"CY2024Q3",Spectrum!$R:$R,0)),0),""))</f>
        <v>7302</v>
      </c>
      <c r="W109" s="220">
        <f>IF(LEFT($B109,4)="_Mil","",_xlfn.IFNA(INDEX(Spectrum!$N:$N,MATCH(RIGHT($B109,13)&amp;"|"&amp;$C109&amp;"|"&amp;$D109&amp;"|"&amp;W$14&amp;"|"&amp;"CY2024Q3",Spectrum!$R:$R,0)),""))</f>
        <v>8.1125095999999994E-2</v>
      </c>
      <c r="X109" s="218">
        <f>IF(LEFT($B109,4)="_Mil","",_xlfn.IFNA(ROUND(INDEX(Spectrum!$N:$N,MATCH(RIGHT($B109,13)&amp;"|"&amp;$C109&amp;"|"&amp;$D109&amp;"|"&amp;X$14&amp;"|"&amp;"CY2024Q3",Spectrum!$R:$R,0)),0),""))</f>
        <v>6306</v>
      </c>
      <c r="Y109" s="33">
        <f t="shared" si="21"/>
        <v>0.98</v>
      </c>
      <c r="Z109" s="218">
        <f>IF(LEFT($B109,4)="_Mil","",_xlfn.IFNA(ROUND(INDEX(Spectrum!$N:$N,MATCH(RIGHT($B109,13)&amp;"|"&amp;$C109&amp;"|"&amp;$D109&amp;"|"&amp;Z$14&amp;"|"&amp;"CY2024Q3",Spectrum!$R:$R,0)),0),""))</f>
        <v>7166</v>
      </c>
      <c r="AA109" s="33">
        <f>IF(LEFT($B109,4)="_Mil","",IFERROR(1/(1/INDEX(Spectrum!$N:$N,MATCH(RIGHT($B109,13)&amp;"|"&amp;$C109&amp;"|"&amp;$D109&amp;"|"&amp;AA$14&amp;"|"&amp;"CY2024Q3",Spectrum!$R:$R,0))),IF(SUM($U109)=0,"",SUM($Z109)/$U109)))</f>
        <v>0.97995915300000003</v>
      </c>
      <c r="AB109" s="33">
        <f t="shared" si="22"/>
        <v>1.1363780526482714</v>
      </c>
      <c r="AC109" s="38">
        <f>IF(LEFT($B109,4)="_Mil","",_xlfn.IFNA(ROUND(INDEX(Spectrum!$N:$N,MATCH(RIGHT($B109,13)&amp;"|"&amp;$C109&amp;"|"&amp;$D109&amp;"|"&amp;AC$14&amp;"|"&amp;"CY2024Q3",Spectrum!$R:$R,0)),0),""))</f>
        <v>136</v>
      </c>
      <c r="AD109" s="38" t="str">
        <f>IF(LEFT($B109,4)="_Mil","",_xlfn.IFNA(ROUND(INDEX(Spectrum!$N:$N,MATCH(RIGHT($B109,13)&amp;"|"&amp;$C109&amp;"|"&amp;$D109&amp;"|"&amp;AD$14&amp;"|"&amp;"CY2024Q3",Spectrum!$R:$R,0)),0),""))</f>
        <v/>
      </c>
      <c r="AE109" s="33">
        <f t="shared" si="23"/>
        <v>0</v>
      </c>
      <c r="AF109" s="218" t="str">
        <f>IF(LEFT($B109,4)="_Mil","",_xlfn.IFNA(ROUND(INDEX(Spectrum!$N:$N,MATCH(RIGHT($B109,13)&amp;"|"&amp;$C109&amp;"|"&amp;$D109&amp;"|"&amp;AF$14&amp;"|"&amp;"CY2024Q3",Spectrum!$R:$R,0)),0),""))</f>
        <v/>
      </c>
      <c r="AG109" s="33" t="str">
        <f t="shared" si="24"/>
        <v/>
      </c>
      <c r="AH109" s="110" t="str">
        <f>IF(LEFT($B109,4)="_Mil","",_xlfn.IFNA(INDEX(Spectrum!$N:$N,MATCH(RIGHT($B109,13)&amp;"|"&amp;$C109&amp;"|"&amp;$D109&amp;"|"&amp;AH$14&amp;"|"&amp;"CY2024Q3",Spectrum!$R:$R,0)),""))</f>
        <v/>
      </c>
      <c r="AI109" s="218">
        <f>IF(LEFT($B109,4)="_Mil","",_xlfn.IFNA(ROUND(INDEX(Spectrum!$N:$N,MATCH(RIGHT($B109,13)&amp;"|"&amp;$C109&amp;"|"&amp;$D109&amp;"|"&amp;AI$14&amp;"|"&amp;"CY2025Q3",Spectrum!$R:$R,0)),0),""))</f>
        <v>32</v>
      </c>
      <c r="AJ109" s="38">
        <f>IF(LEFT($B109,4)="_Mil","",_xlfn.IFNA(ROUND(INDEX(Spectrum!$N:$N,MATCH(RIGHT($B109,13)&amp;"|"&amp;$C109&amp;"|"&amp;$D109&amp;"|"&amp;AJ$14&amp;"|"&amp;"CY2025Q3",Spectrum!$R:$R,0)),0),""))</f>
        <v>6386</v>
      </c>
      <c r="AK109" s="218" t="e">
        <f>#REF!</f>
        <v>#REF!</v>
      </c>
      <c r="AL109" s="33">
        <f t="shared" si="25"/>
        <v>0.97995915300000003</v>
      </c>
      <c r="AM109" s="38" t="e">
        <f>IF(OR(LEFT($B109,4)="_Mil",$C109="&lt;01"),"",ROUND(SUM($AK109)*SUM($AL109),0))</f>
        <v>#REF!</v>
      </c>
      <c r="AN109" s="38" t="str">
        <f>IF($C109="&lt;01",ROUND(INDEX(EID!$P:$P,MATCH($B109,EID!$B:$B,0))/2,0),"")</f>
        <v/>
      </c>
      <c r="AO109" s="38" t="e">
        <f>IF($C109="&lt;01",SUM($AN109),ROUND(SUM($AM109)*SUM($O109)/IF(SUM($Z109)=0,1,$Z109),0))</f>
        <v>#REF!</v>
      </c>
      <c r="AP109" s="218">
        <f>IF(OR($F109="",$C109="&lt;01"),$AO109,ROUND($F109,0))</f>
        <v>6380</v>
      </c>
      <c r="AQ109" s="218">
        <f>IF(LEFT($B109,4)="_Mil","",IF(SUM($AP109)=0,SUM($Z109),IF(OR(SUM($Z109)=0,SUM($O109)=0),MAX($AP109,$Z109),ROUND($AP109*$Z109/$O109,0))))</f>
        <v>7166</v>
      </c>
      <c r="AR109" s="33" t="e">
        <f>IF(OR(LEFT($B109,4)="_Mil",SUM($AK109)=0),"",SUM($AQ109)/$AK109)</f>
        <v>#REF!</v>
      </c>
      <c r="AS109" s="33">
        <f t="shared" si="33"/>
        <v>0.98</v>
      </c>
      <c r="AT109" s="33">
        <f t="shared" si="32"/>
        <v>0.98</v>
      </c>
      <c r="AU109" s="38">
        <f>IF($C109="&lt;01","",SUM($AP109)-SUM($O109))</f>
        <v>0</v>
      </c>
      <c r="AV109" s="38">
        <f>IF($C109="&lt;01",ROUND(INDEX(EID!$N:$N,MATCH($B109,EID!$B:$B,0))/2,0),IF(SUM($AT109)=0,"",ROUND((SUM($AP109)-(SUM($O109)*SUM($AS109)))/$AT109,0)))</f>
        <v>130</v>
      </c>
      <c r="AW109" s="33">
        <f t="shared" si="26"/>
        <v>1</v>
      </c>
      <c r="AX109" s="218">
        <f>IF($C109="&lt;01",SUM($AV109),ROUND(SUM($AV109)*SUM($AW109),0))</f>
        <v>130</v>
      </c>
      <c r="AY109" s="79">
        <f t="shared" si="27"/>
        <v>0.7</v>
      </c>
      <c r="AZ109" s="85">
        <f>IF($C109="&lt;01",ROUND(INDEX(EID!$R:$R,MATCH($B109,EID!$B:$B,0))/2,0),ROUND(SUM($O109)+(SUM($AV109)*$AY109),0))</f>
        <v>6471</v>
      </c>
      <c r="BA109" s="40">
        <f t="shared" si="31"/>
        <v>0.9</v>
      </c>
      <c r="BB109" s="99">
        <f>IF($C109="&lt;01",ROUND(INDEX(EID!$T:$T,MATCH($B109,EID!$B:$B,0))/2,0),ROUND($AP109*$BA109,0))</f>
        <v>5742</v>
      </c>
      <c r="BC109" s="85">
        <f>IF(LEFT($B109,4)="_Mil","",IF(SUM($BB109)=0,SUM($AD109),IF(OR(SUM($AP109)=0,SUM($AQ109)=0),MAX($BB109,$AD109),ROUND($BB109*$AQ109/$AP109,0))))</f>
        <v>6449</v>
      </c>
      <c r="BD109" s="33">
        <f t="shared" si="28"/>
        <v>0.95</v>
      </c>
      <c r="BE109" s="218">
        <f>IF($C109="&lt;01",ROUND(INDEX(EID!$V:$V,MATCH($B109,EID!$B:$B,0))/2,0),ROUND($BD109*$BB109,0))</f>
        <v>5455</v>
      </c>
      <c r="BF109" s="218">
        <f>IF(LEFT($B109,4)="_Mil","",IF(SUM($BE109)=0,SUM($AF109),IF(OR(SUM($AP109)=0,SUM($AQ109)=0),MAX($BE109,$AF109),ROUND($BE109*$AQ109/$AP109,0))))</f>
        <v>6127</v>
      </c>
      <c r="BG109" s="79">
        <f t="shared" si="29"/>
        <v>0.95</v>
      </c>
      <c r="BH109" s="99">
        <f>IF($C109="&lt;01",ROUND(INDEX(EID!$L:$L,MATCH($B109,EID!$B:$B,0)),0)/2,IF(SUM($BG109)=0,"",ROUND($AX109/$BG109,0)))</f>
        <v>137</v>
      </c>
    </row>
    <row r="110" spans="1:60" x14ac:dyDescent="0.2">
      <c r="A110" t="str">
        <f>INDEX(Prioritization!$D:$D,MATCH($B110,Prioritization!$A:$A,0))</f>
        <v>4 - Sustained</v>
      </c>
      <c r="B110" t="s">
        <v>298</v>
      </c>
      <c r="C110" t="s">
        <v>477</v>
      </c>
      <c r="D110" t="s">
        <v>48</v>
      </c>
      <c r="E110" t="str">
        <f t="shared" si="19"/>
        <v>Dedza District [PekKUkKHAzY]|35-49|Male</v>
      </c>
      <c r="F110" s="229">
        <v>3183</v>
      </c>
      <c r="G110" s="38">
        <v>279</v>
      </c>
      <c r="H110" s="38">
        <v>303</v>
      </c>
      <c r="I110" s="38">
        <v>3135</v>
      </c>
      <c r="J110" s="38">
        <v>1932</v>
      </c>
      <c r="K110" s="38">
        <v>1817</v>
      </c>
      <c r="L110" s="38">
        <v>179</v>
      </c>
      <c r="M110" s="38">
        <v>170</v>
      </c>
      <c r="N110" s="38">
        <v>3701</v>
      </c>
      <c r="O110" s="229">
        <v>3159</v>
      </c>
      <c r="P110" s="38">
        <v>3254</v>
      </c>
      <c r="Q110" s="38">
        <v>3091</v>
      </c>
      <c r="R110" s="38">
        <f t="shared" si="20"/>
        <v>24</v>
      </c>
      <c r="S110" s="38">
        <f>IF(LEFT($B110,4)="_Mil","",_xlfn.IFNA(ROUND(INDEX(Spectrum!$N:$N,MATCH(RIGHT($B110,13)&amp;"|"&amp;$C110&amp;"|"&amp;$D110&amp;"|"&amp;S$14&amp;"|"&amp;"CY2023Q4",Spectrum!$R:$R,0)),0),""))</f>
        <v>3552</v>
      </c>
      <c r="T110" s="218">
        <f>IF(LEFT($B110,4)="_Mil","",_xlfn.IFNA(ROUND(INDEX(Spectrum!$N:$N,MATCH(RIGHT($B110,13)&amp;"|"&amp;$C110&amp;"|"&amp;$D110&amp;"|"&amp;T$14&amp;"|"&amp;"CY2024Q3",Spectrum!$R:$R,0)),0),""))</f>
        <v>66362</v>
      </c>
      <c r="U110" s="218">
        <f>IF(LEFT($B110,4)="_Mil","",_xlfn.IFNA(ROUND(INDEX(Spectrum!$N:$N,MATCH(RIGHT($B110,13)&amp;"|"&amp;$C110&amp;"|"&amp;$D110&amp;"|"&amp;U$14&amp;"|"&amp;"CY2024Q3",Spectrum!$R:$R,0)),0),""))</f>
        <v>3455</v>
      </c>
      <c r="V110" s="38">
        <f>IF(LEFT($B110,4)="_Mil","",_xlfn.IFNA(ROUND(INDEX(Spectrum!$N:$N,MATCH(RIGHT($B110,13)&amp;"|"&amp;$C110&amp;"|"&amp;$D110&amp;"|"&amp;V$14&amp;"|"&amp;"CY2024Q3",Spectrum!$R:$R,0)),0),""))</f>
        <v>3797</v>
      </c>
      <c r="W110" s="220">
        <f>IF(LEFT($B110,4)="_Mil","",_xlfn.IFNA(INDEX(Spectrum!$N:$N,MATCH(RIGHT($B110,13)&amp;"|"&amp;$C110&amp;"|"&amp;$D110&amp;"|"&amp;W$14&amp;"|"&amp;"CY2024Q3",Spectrum!$R:$R,0)),""))</f>
        <v>5.2059382000000001E-2</v>
      </c>
      <c r="X110" s="218">
        <f>IF(LEFT($B110,4)="_Mil","",_xlfn.IFNA(ROUND(INDEX(Spectrum!$N:$N,MATCH(RIGHT($B110,13)&amp;"|"&amp;$C110&amp;"|"&amp;$D110&amp;"|"&amp;X$14&amp;"|"&amp;"CY2024Q3",Spectrum!$R:$R,0)),0),""))</f>
        <v>3173</v>
      </c>
      <c r="Y110" s="33">
        <f t="shared" si="21"/>
        <v>0.92</v>
      </c>
      <c r="Z110" s="218">
        <f>IF(LEFT($B110,4)="_Mil","",_xlfn.IFNA(ROUND(INDEX(Spectrum!$N:$N,MATCH(RIGHT($B110,13)&amp;"|"&amp;$C110&amp;"|"&amp;$D110&amp;"|"&amp;Z$14&amp;"|"&amp;"CY2024Q3",Spectrum!$R:$R,0)),0),""))</f>
        <v>3508</v>
      </c>
      <c r="AA110" s="33">
        <f>IF(LEFT($B110,4)="_Mil","",IFERROR(1/(1/INDEX(Spectrum!$N:$N,MATCH(RIGHT($B110,13)&amp;"|"&amp;$C110&amp;"|"&amp;$D110&amp;"|"&amp;AA$14&amp;"|"&amp;"CY2024Q3",Spectrum!$R:$R,0))),IF(SUM($U110)=0,"",SUM($Z110)/$U110)))</f>
        <v>0.91334394299999988</v>
      </c>
      <c r="AB110" s="33">
        <f t="shared" si="22"/>
        <v>1.1055783170501103</v>
      </c>
      <c r="AC110" s="38">
        <f>IF(LEFT($B110,4)="_Mil","",_xlfn.IFNA(ROUND(INDEX(Spectrum!$N:$N,MATCH(RIGHT($B110,13)&amp;"|"&amp;$C110&amp;"|"&amp;$D110&amp;"|"&amp;AC$14&amp;"|"&amp;"CY2024Q3",Spectrum!$R:$R,0)),0),""))</f>
        <v>289</v>
      </c>
      <c r="AD110" s="38" t="str">
        <f>IF(LEFT($B110,4)="_Mil","",_xlfn.IFNA(ROUND(INDEX(Spectrum!$N:$N,MATCH(RIGHT($B110,13)&amp;"|"&amp;$C110&amp;"|"&amp;$D110&amp;"|"&amp;AD$14&amp;"|"&amp;"CY2024Q3",Spectrum!$R:$R,0)),0),""))</f>
        <v/>
      </c>
      <c r="AE110" s="33">
        <f t="shared" si="23"/>
        <v>0</v>
      </c>
      <c r="AF110" s="218" t="str">
        <f>IF(LEFT($B110,4)="_Mil","",_xlfn.IFNA(ROUND(INDEX(Spectrum!$N:$N,MATCH(RIGHT($B110,13)&amp;"|"&amp;$C110&amp;"|"&amp;$D110&amp;"|"&amp;AF$14&amp;"|"&amp;"CY2024Q3",Spectrum!$R:$R,0)),0),""))</f>
        <v/>
      </c>
      <c r="AG110" s="33" t="str">
        <f t="shared" si="24"/>
        <v/>
      </c>
      <c r="AH110" s="110" t="str">
        <f>IF(LEFT($B110,4)="_Mil","",_xlfn.IFNA(INDEX(Spectrum!$N:$N,MATCH(RIGHT($B110,13)&amp;"|"&amp;$C110&amp;"|"&amp;$D110&amp;"|"&amp;AH$14&amp;"|"&amp;"CY2024Q3",Spectrum!$R:$R,0)),""))</f>
        <v/>
      </c>
      <c r="AI110" s="218">
        <f>IF(LEFT($B110,4)="_Mil","",_xlfn.IFNA(ROUND(INDEX(Spectrum!$N:$N,MATCH(RIGHT($B110,13)&amp;"|"&amp;$C110&amp;"|"&amp;$D110&amp;"|"&amp;AI$14&amp;"|"&amp;"CY2025Q3",Spectrum!$R:$R,0)),0),""))</f>
        <v>35</v>
      </c>
      <c r="AJ110" s="38">
        <f>IF(LEFT($B110,4)="_Mil","",_xlfn.IFNA(ROUND(INDEX(Spectrum!$N:$N,MATCH(RIGHT($B110,13)&amp;"|"&amp;$C110&amp;"|"&amp;$D110&amp;"|"&amp;AJ$14&amp;"|"&amp;"CY2025Q3",Spectrum!$R:$R,0)),0),""))</f>
        <v>3280</v>
      </c>
      <c r="AK110" s="218" t="e">
        <f>#REF!</f>
        <v>#REF!</v>
      </c>
      <c r="AL110" s="33">
        <f t="shared" si="25"/>
        <v>0.91334394299999988</v>
      </c>
      <c r="AM110" s="38" t="e">
        <f>IF(OR(LEFT($B110,4)="_Mil",$C110="&lt;01"),"",ROUND(SUM($AK110)*SUM($AL110),0))</f>
        <v>#REF!</v>
      </c>
      <c r="AN110" s="38" t="str">
        <f>IF($C110="&lt;01",ROUND(INDEX(EID!$P:$P,MATCH($B110,EID!$B:$B,0))/2,0),"")</f>
        <v/>
      </c>
      <c r="AO110" s="38" t="e">
        <f>IF($C110="&lt;01",SUM($AN110),ROUND(SUM($AM110)*SUM($O110)/IF(SUM($Z110)=0,1,$Z110),0))</f>
        <v>#REF!</v>
      </c>
      <c r="AP110" s="218">
        <f>IF(OR($F110="",$C110="&lt;01"),$AO110,ROUND($F110,0))</f>
        <v>3183</v>
      </c>
      <c r="AQ110" s="218">
        <f>IF(LEFT($B110,4)="_Mil","",IF(SUM($AP110)=0,SUM($Z110),IF(OR(SUM($Z110)=0,SUM($O110)=0),MAX($AP110,$Z110),ROUND($AP110*$Z110/$O110,0))))</f>
        <v>3535</v>
      </c>
      <c r="AR110" s="33" t="e">
        <f>IF(OR(LEFT($B110,4)="_Mil",SUM($AK110)=0),"",SUM($AQ110)/$AK110)</f>
        <v>#REF!</v>
      </c>
      <c r="AS110" s="33">
        <f t="shared" si="33"/>
        <v>0.98</v>
      </c>
      <c r="AT110" s="33">
        <f t="shared" si="32"/>
        <v>0.98</v>
      </c>
      <c r="AU110" s="38">
        <f>IF($C110="&lt;01","",SUM($AP110)-SUM($O110))</f>
        <v>24</v>
      </c>
      <c r="AV110" s="38">
        <f>IF($C110="&lt;01",ROUND(INDEX(EID!$N:$N,MATCH($B110,EID!$B:$B,0))/2,0),IF(SUM($AT110)=0,"",ROUND((SUM($AP110)-(SUM($O110)*SUM($AS110)))/$AT110,0)))</f>
        <v>89</v>
      </c>
      <c r="AW110" s="33">
        <f t="shared" si="26"/>
        <v>1</v>
      </c>
      <c r="AX110" s="218">
        <f>IF($C110="&lt;01",SUM($AV110),ROUND(SUM($AV110)*SUM($AW110),0))</f>
        <v>89</v>
      </c>
      <c r="AY110" s="79">
        <f t="shared" si="27"/>
        <v>0.7</v>
      </c>
      <c r="AZ110" s="85">
        <f>IF($C110="&lt;01",ROUND(INDEX(EID!$R:$R,MATCH($B110,EID!$B:$B,0))/2,0),ROUND(SUM($O110)+(SUM($AV110)*$AY110),0))</f>
        <v>3221</v>
      </c>
      <c r="BA110" s="40">
        <f t="shared" si="31"/>
        <v>0.9</v>
      </c>
      <c r="BB110" s="99">
        <f>IF($C110="&lt;01",ROUND(INDEX(EID!$T:$T,MATCH($B110,EID!$B:$B,0))/2,0),ROUND($AP110*$BA110,0))</f>
        <v>2865</v>
      </c>
      <c r="BC110" s="85">
        <f>IF(LEFT($B110,4)="_Mil","",IF(SUM($BB110)=0,SUM($AD110),IF(OR(SUM($AP110)=0,SUM($AQ110)=0),MAX($BB110,$AD110),ROUND($BB110*$AQ110/$AP110,0))))</f>
        <v>3182</v>
      </c>
      <c r="BD110" s="33">
        <f t="shared" si="28"/>
        <v>0.95</v>
      </c>
      <c r="BE110" s="218">
        <f>IF($C110="&lt;01",ROUND(INDEX(EID!$V:$V,MATCH($B110,EID!$B:$B,0))/2,0),ROUND($BD110*$BB110,0))</f>
        <v>2722</v>
      </c>
      <c r="BF110" s="218">
        <f>IF(LEFT($B110,4)="_Mil","",IF(SUM($BE110)=0,SUM($AF110),IF(OR(SUM($AP110)=0,SUM($AQ110)=0),MAX($BE110,$AF110),ROUND($BE110*$AQ110/$AP110,0))))</f>
        <v>3023</v>
      </c>
      <c r="BG110" s="79">
        <f t="shared" si="29"/>
        <v>0.95</v>
      </c>
      <c r="BH110" s="99">
        <f>IF($C110="&lt;01",ROUND(INDEX(EID!$L:$L,MATCH($B110,EID!$B:$B,0)),0)/2,IF(SUM($BG110)=0,"",ROUND($AX110/$BG110,0)))</f>
        <v>94</v>
      </c>
    </row>
    <row r="111" spans="1:60" x14ac:dyDescent="0.2">
      <c r="A111" t="str">
        <f>INDEX(Prioritization!$D:$D,MATCH($B111,Prioritization!$A:$A,0))</f>
        <v>4 - Sustained</v>
      </c>
      <c r="B111" t="s">
        <v>298</v>
      </c>
      <c r="C111" t="s">
        <v>478</v>
      </c>
      <c r="D111" t="s">
        <v>30</v>
      </c>
      <c r="E111" t="str">
        <f t="shared" si="19"/>
        <v>Dedza District [PekKUkKHAzY]|50+|Female</v>
      </c>
      <c r="F111" s="229">
        <v>3765</v>
      </c>
      <c r="G111" s="38">
        <v>78</v>
      </c>
      <c r="H111" s="38">
        <v>72</v>
      </c>
      <c r="I111" s="38">
        <v>3429</v>
      </c>
      <c r="J111" s="38">
        <v>2002</v>
      </c>
      <c r="K111" s="38">
        <v>1912</v>
      </c>
      <c r="L111" s="38">
        <v>113</v>
      </c>
      <c r="M111" s="38">
        <v>112</v>
      </c>
      <c r="N111" s="38">
        <v>3408</v>
      </c>
      <c r="O111" s="229">
        <v>3597</v>
      </c>
      <c r="P111" s="38">
        <v>3029</v>
      </c>
      <c r="Q111" s="38">
        <v>2878</v>
      </c>
      <c r="R111" s="38">
        <f t="shared" si="20"/>
        <v>168</v>
      </c>
      <c r="S111" s="38">
        <f>IF(LEFT($B111,4)="_Mil","",_xlfn.IFNA(ROUND(INDEX(Spectrum!$N:$N,MATCH(RIGHT($B111,13)&amp;"|"&amp;$C111&amp;"|"&amp;$D111&amp;"|"&amp;S$14&amp;"|"&amp;"CY2023Q4",Spectrum!$R:$R,0)),0),""))</f>
        <v>3364</v>
      </c>
      <c r="T111" s="218">
        <f>IF(LEFT($B111,4)="_Mil","",_xlfn.IFNA(ROUND(INDEX(Spectrum!$N:$N,MATCH(RIGHT($B111,13)&amp;"|"&amp;$C111&amp;"|"&amp;$D111&amp;"|"&amp;T$14&amp;"|"&amp;"CY2024Q3",Spectrum!$R:$R,0)),0),""))</f>
        <v>51830</v>
      </c>
      <c r="U111" s="218">
        <f>IF(LEFT($B111,4)="_Mil","",_xlfn.IFNA(ROUND(INDEX(Spectrum!$N:$N,MATCH(RIGHT($B111,13)&amp;"|"&amp;$C111&amp;"|"&amp;$D111&amp;"|"&amp;U$14&amp;"|"&amp;"CY2024Q3",Spectrum!$R:$R,0)),0),""))</f>
        <v>3256</v>
      </c>
      <c r="V111" s="38">
        <f>IF(LEFT($B111,4)="_Mil","",_xlfn.IFNA(ROUND(INDEX(Spectrum!$N:$N,MATCH(RIGHT($B111,13)&amp;"|"&amp;$C111&amp;"|"&amp;$D111&amp;"|"&amp;V$14&amp;"|"&amp;"CY2024Q3",Spectrum!$R:$R,0)),0),""))</f>
        <v>3617</v>
      </c>
      <c r="W111" s="220">
        <f>IF(LEFT($B111,4)="_Mil","",_xlfn.IFNA(INDEX(Spectrum!$N:$N,MATCH(RIGHT($B111,13)&amp;"|"&amp;$C111&amp;"|"&amp;$D111&amp;"|"&amp;W$14&amp;"|"&amp;"CY2024Q3",Spectrum!$R:$R,0)),""))</f>
        <v>6.2821189E-2</v>
      </c>
      <c r="X111" s="218">
        <f>IF(LEFT($B111,4)="_Mil","",_xlfn.IFNA(ROUND(INDEX(Spectrum!$N:$N,MATCH(RIGHT($B111,13)&amp;"|"&amp;$C111&amp;"|"&amp;$D111&amp;"|"&amp;X$14&amp;"|"&amp;"CY2024Q3",Spectrum!$R:$R,0)),0),""))</f>
        <v>3219</v>
      </c>
      <c r="Y111" s="33">
        <f t="shared" si="21"/>
        <v>0.99</v>
      </c>
      <c r="Z111" s="218">
        <f>IF(LEFT($B111,4)="_Mil","",_xlfn.IFNA(ROUND(INDEX(Spectrum!$N:$N,MATCH(RIGHT($B111,13)&amp;"|"&amp;$C111&amp;"|"&amp;$D111&amp;"|"&amp;Z$14&amp;"|"&amp;"CY2024Q3",Spectrum!$R:$R,0)),0),""))</f>
        <v>3565</v>
      </c>
      <c r="AA111" s="33">
        <f>IF(LEFT($B111,4)="_Mil","",IFERROR(1/(1/INDEX(Spectrum!$N:$N,MATCH(RIGHT($B111,13)&amp;"|"&amp;$C111&amp;"|"&amp;$D111&amp;"|"&amp;AA$14&amp;"|"&amp;"CY2024Q3",Spectrum!$R:$R,0))),IF(SUM($U111)=0,"",SUM($Z111)/$U111)))</f>
        <v>0.986161909</v>
      </c>
      <c r="AB111" s="33">
        <f t="shared" si="22"/>
        <v>1.1074867971419695</v>
      </c>
      <c r="AC111" s="38">
        <f>IF(LEFT($B111,4)="_Mil","",_xlfn.IFNA(ROUND(INDEX(Spectrum!$N:$N,MATCH(RIGHT($B111,13)&amp;"|"&amp;$C111&amp;"|"&amp;$D111&amp;"|"&amp;AC$14&amp;"|"&amp;"CY2024Q3",Spectrum!$R:$R,0)),0),""))</f>
        <v>51</v>
      </c>
      <c r="AD111" s="38" t="str">
        <f>IF(LEFT($B111,4)="_Mil","",_xlfn.IFNA(ROUND(INDEX(Spectrum!$N:$N,MATCH(RIGHT($B111,13)&amp;"|"&amp;$C111&amp;"|"&amp;$D111&amp;"|"&amp;AD$14&amp;"|"&amp;"CY2024Q3",Spectrum!$R:$R,0)),0),""))</f>
        <v/>
      </c>
      <c r="AE111" s="33">
        <f t="shared" si="23"/>
        <v>0</v>
      </c>
      <c r="AF111" s="218" t="str">
        <f>IF(LEFT($B111,4)="_Mil","",_xlfn.IFNA(ROUND(INDEX(Spectrum!$N:$N,MATCH(RIGHT($B111,13)&amp;"|"&amp;$C111&amp;"|"&amp;$D111&amp;"|"&amp;AF$14&amp;"|"&amp;"CY2024Q3",Spectrum!$R:$R,0)),0),""))</f>
        <v/>
      </c>
      <c r="AG111" s="33" t="str">
        <f t="shared" si="24"/>
        <v/>
      </c>
      <c r="AH111" s="110" t="str">
        <f>IF(LEFT($B111,4)="_Mil","",_xlfn.IFNA(INDEX(Spectrum!$N:$N,MATCH(RIGHT($B111,13)&amp;"|"&amp;$C111&amp;"|"&amp;$D111&amp;"|"&amp;AH$14&amp;"|"&amp;"CY2024Q3",Spectrum!$R:$R,0)),""))</f>
        <v/>
      </c>
      <c r="AI111" s="218">
        <f>IF(LEFT($B111,4)="_Mil","",_xlfn.IFNA(ROUND(INDEX(Spectrum!$N:$N,MATCH(RIGHT($B111,13)&amp;"|"&amp;$C111&amp;"|"&amp;$D111&amp;"|"&amp;AI$14&amp;"|"&amp;"CY2025Q3",Spectrum!$R:$R,0)),0),""))</f>
        <v>6</v>
      </c>
      <c r="AJ111" s="38">
        <f>IF(LEFT($B111,4)="_Mil","",_xlfn.IFNA(ROUND(INDEX(Spectrum!$N:$N,MATCH(RIGHT($B111,13)&amp;"|"&amp;$C111&amp;"|"&amp;$D111&amp;"|"&amp;AJ$14&amp;"|"&amp;"CY2025Q3",Spectrum!$R:$R,0)),0),""))</f>
        <v>3514</v>
      </c>
      <c r="AK111" s="218" t="e">
        <f>#REF!</f>
        <v>#REF!</v>
      </c>
      <c r="AL111" s="33">
        <f t="shared" si="25"/>
        <v>0.986161909</v>
      </c>
      <c r="AM111" s="38" t="e">
        <f>IF(OR(LEFT($B111,4)="_Mil",$C111="&lt;01"),"",ROUND(SUM($AK111)*SUM($AL111),0))</f>
        <v>#REF!</v>
      </c>
      <c r="AN111" s="38" t="str">
        <f>IF($C111="&lt;01",ROUND(INDEX(EID!$P:$P,MATCH($B111,EID!$B:$B,0))/2,0),"")</f>
        <v/>
      </c>
      <c r="AO111" s="38" t="e">
        <f>IF($C111="&lt;01",SUM($AN111),ROUND(SUM($AM111)*SUM($O111)/IF(SUM($Z111)=0,1,$Z111),0))</f>
        <v>#REF!</v>
      </c>
      <c r="AP111" s="218">
        <f>IF(OR($F111="",$C111="&lt;01"),$AO111,ROUND($F111,0))</f>
        <v>3765</v>
      </c>
      <c r="AQ111" s="218">
        <f>IF(LEFT($B111,4)="_Mil","",IF(SUM($AP111)=0,SUM($Z111),IF(OR(SUM($Z111)=0,SUM($O111)=0),MAX($AP111,$Z111),ROUND($AP111*$Z111/$O111,0))))</f>
        <v>3732</v>
      </c>
      <c r="AR111" s="33" t="e">
        <f>IF(OR(LEFT($B111,4)="_Mil",SUM($AK111)=0),"",SUM($AQ111)/$AK111)</f>
        <v>#REF!</v>
      </c>
      <c r="AS111" s="33">
        <v>1.02</v>
      </c>
      <c r="AT111" s="33">
        <f>IF($C111="&lt;01","",100%)</f>
        <v>1</v>
      </c>
      <c r="AU111" s="38">
        <f>IF($C111="&lt;01","",SUM($AP111)-SUM($O111))</f>
        <v>168</v>
      </c>
      <c r="AV111" s="38">
        <f>IF($C111="&lt;01",ROUND(INDEX(EID!$N:$N,MATCH($B111,EID!$B:$B,0))/2,0),IF(SUM($AT111)=0,"",ROUND((SUM($AP111)-(SUM($O111)*SUM($AS111)))/$AT111,0)))</f>
        <v>96</v>
      </c>
      <c r="AW111" s="33">
        <v>0.8</v>
      </c>
      <c r="AX111" s="218">
        <f>IF($C111="&lt;01",SUM($AV111),ROUND(SUM($AV111)*SUM($AW111),0))</f>
        <v>77</v>
      </c>
      <c r="AY111" s="79">
        <f t="shared" si="27"/>
        <v>0.7</v>
      </c>
      <c r="AZ111" s="85">
        <f>IF($C111="&lt;01",ROUND(INDEX(EID!$R:$R,MATCH($B111,EID!$B:$B,0))/2,0),ROUND(SUM($O111)+(SUM($AV111)*$AY111),0))</f>
        <v>3664</v>
      </c>
      <c r="BA111" s="40">
        <f t="shared" si="31"/>
        <v>0.9</v>
      </c>
      <c r="BB111" s="99">
        <f>IF($C111="&lt;01",ROUND(INDEX(EID!$T:$T,MATCH($B111,EID!$B:$B,0))/2,0),ROUND($AP111*$BA111,0))</f>
        <v>3389</v>
      </c>
      <c r="BC111" s="85">
        <f>IF(LEFT($B111,4)="_Mil","",IF(SUM($BB111)=0,SUM($AD111),IF(OR(SUM($AP111)=0,SUM($AQ111)=0),MAX($BB111,$AD111),ROUND($BB111*$AQ111/$AP111,0))))</f>
        <v>3359</v>
      </c>
      <c r="BD111" s="33">
        <f t="shared" si="28"/>
        <v>0.95</v>
      </c>
      <c r="BE111" s="218">
        <f>IF($C111="&lt;01",ROUND(INDEX(EID!$V:$V,MATCH($B111,EID!$B:$B,0))/2,0),ROUND($BD111*$BB111,0))</f>
        <v>3220</v>
      </c>
      <c r="BF111" s="218">
        <f>IF(LEFT($B111,4)="_Mil","",IF(SUM($BE111)=0,SUM($AF111),IF(OR(SUM($AP111)=0,SUM($AQ111)=0),MAX($BE111,$AF111),ROUND($BE111*$AQ111/$AP111,0))))</f>
        <v>3192</v>
      </c>
      <c r="BG111" s="79">
        <f t="shared" si="29"/>
        <v>0.95</v>
      </c>
      <c r="BH111" s="99">
        <f>IF($C111="&lt;01",ROUND(INDEX(EID!$L:$L,MATCH($B111,EID!$B:$B,0)),0)/2,IF(SUM($BG111)=0,"",ROUND($AX111/$BG111,0)))</f>
        <v>81</v>
      </c>
    </row>
    <row r="112" spans="1:60" x14ac:dyDescent="0.2">
      <c r="A112" t="str">
        <f>INDEX(Prioritization!$D:$D,MATCH($B112,Prioritization!$A:$A,0))</f>
        <v>4 - Sustained</v>
      </c>
      <c r="B112" t="s">
        <v>298</v>
      </c>
      <c r="C112" t="s">
        <v>478</v>
      </c>
      <c r="D112" t="s">
        <v>48</v>
      </c>
      <c r="E112" t="str">
        <f t="shared" si="19"/>
        <v>Dedza District [PekKUkKHAzY]|50+|Male</v>
      </c>
      <c r="F112" s="229">
        <v>2948</v>
      </c>
      <c r="G112" s="38">
        <v>88</v>
      </c>
      <c r="H112" s="38">
        <v>106</v>
      </c>
      <c r="I112" s="38">
        <v>2532</v>
      </c>
      <c r="J112" s="38">
        <v>1506</v>
      </c>
      <c r="K112" s="38">
        <v>1426</v>
      </c>
      <c r="L112" s="38">
        <v>258</v>
      </c>
      <c r="M112" s="38">
        <v>245</v>
      </c>
      <c r="N112" s="38">
        <v>2705</v>
      </c>
      <c r="O112" s="229">
        <v>2740</v>
      </c>
      <c r="P112" s="38">
        <v>2249</v>
      </c>
      <c r="Q112" s="38">
        <v>2137</v>
      </c>
      <c r="R112" s="38">
        <f t="shared" si="20"/>
        <v>208</v>
      </c>
      <c r="S112" s="38">
        <f>IF(LEFT($B112,4)="_Mil","",_xlfn.IFNA(ROUND(INDEX(Spectrum!$N:$N,MATCH(RIGHT($B112,13)&amp;"|"&amp;$C112&amp;"|"&amp;$D112&amp;"|"&amp;S$14&amp;"|"&amp;"CY2023Q4",Spectrum!$R:$R,0)),0),""))</f>
        <v>2583</v>
      </c>
      <c r="T112" s="218">
        <f>IF(LEFT($B112,4)="_Mil","",_xlfn.IFNA(ROUND(INDEX(Spectrum!$N:$N,MATCH(RIGHT($B112,13)&amp;"|"&amp;$C112&amp;"|"&amp;$D112&amp;"|"&amp;T$14&amp;"|"&amp;"CY2024Q3",Spectrum!$R:$R,0)),0),""))</f>
        <v>35890</v>
      </c>
      <c r="U112" s="218">
        <f>IF(LEFT($B112,4)="_Mil","",_xlfn.IFNA(ROUND(INDEX(Spectrum!$N:$N,MATCH(RIGHT($B112,13)&amp;"|"&amp;$C112&amp;"|"&amp;$D112&amp;"|"&amp;U$14&amp;"|"&amp;"CY2024Q3",Spectrum!$R:$R,0)),0),""))</f>
        <v>2626</v>
      </c>
      <c r="V112" s="38">
        <f>IF(LEFT($B112,4)="_Mil","",_xlfn.IFNA(ROUND(INDEX(Spectrum!$N:$N,MATCH(RIGHT($B112,13)&amp;"|"&amp;$C112&amp;"|"&amp;$D112&amp;"|"&amp;V$14&amp;"|"&amp;"CY2024Q3",Spectrum!$R:$R,0)),0),""))</f>
        <v>2899</v>
      </c>
      <c r="W112" s="220">
        <f>IF(LEFT($B112,4)="_Mil","",_xlfn.IFNA(INDEX(Spectrum!$N:$N,MATCH(RIGHT($B112,13)&amp;"|"&amp;$C112&amp;"|"&amp;$D112&amp;"|"&amp;W$14&amp;"|"&amp;"CY2024Q3",Spectrum!$R:$R,0)),""))</f>
        <v>7.3155392999999999E-2</v>
      </c>
      <c r="X112" s="218">
        <f>IF(LEFT($B112,4)="_Mil","",_xlfn.IFNA(ROUND(INDEX(Spectrum!$N:$N,MATCH(RIGHT($B112,13)&amp;"|"&amp;$C112&amp;"|"&amp;$D112&amp;"|"&amp;X$14&amp;"|"&amp;"CY2024Q3",Spectrum!$R:$R,0)),0),""))</f>
        <v>2477</v>
      </c>
      <c r="Y112" s="33">
        <f t="shared" si="21"/>
        <v>0.94</v>
      </c>
      <c r="Z112" s="218">
        <f>IF(LEFT($B112,4)="_Mil","",_xlfn.IFNA(ROUND(INDEX(Spectrum!$N:$N,MATCH(RIGHT($B112,13)&amp;"|"&amp;$C112&amp;"|"&amp;$D112&amp;"|"&amp;Z$14&amp;"|"&amp;"CY2024Q3",Spectrum!$R:$R,0)),0),""))</f>
        <v>2744</v>
      </c>
      <c r="AA112" s="33">
        <f>IF(LEFT($B112,4)="_Mil","",IFERROR(1/(1/INDEX(Spectrum!$N:$N,MATCH(RIGHT($B112,13)&amp;"|"&amp;$C112&amp;"|"&amp;$D112&amp;"|"&amp;AA$14&amp;"|"&amp;"CY2024Q3",Spectrum!$R:$R,0))),IF(SUM($U112)=0,"",SUM($Z112)/$U112)))</f>
        <v>0.93995411799999995</v>
      </c>
      <c r="AB112" s="33">
        <f t="shared" si="22"/>
        <v>1.1077916834880905</v>
      </c>
      <c r="AC112" s="38">
        <f>IF(LEFT($B112,4)="_Mil","",_xlfn.IFNA(ROUND(INDEX(Spectrum!$N:$N,MATCH(RIGHT($B112,13)&amp;"|"&amp;$C112&amp;"|"&amp;$D112&amp;"|"&amp;AC$14&amp;"|"&amp;"CY2024Q3",Spectrum!$R:$R,0)),0),""))</f>
        <v>155</v>
      </c>
      <c r="AD112" s="38" t="str">
        <f>IF(LEFT($B112,4)="_Mil","",_xlfn.IFNA(ROUND(INDEX(Spectrum!$N:$N,MATCH(RIGHT($B112,13)&amp;"|"&amp;$C112&amp;"|"&amp;$D112&amp;"|"&amp;AD$14&amp;"|"&amp;"CY2024Q3",Spectrum!$R:$R,0)),0),""))</f>
        <v/>
      </c>
      <c r="AE112" s="33">
        <f t="shared" si="23"/>
        <v>0</v>
      </c>
      <c r="AF112" s="218" t="str">
        <f>IF(LEFT($B112,4)="_Mil","",_xlfn.IFNA(ROUND(INDEX(Spectrum!$N:$N,MATCH(RIGHT($B112,13)&amp;"|"&amp;$C112&amp;"|"&amp;$D112&amp;"|"&amp;AF$14&amp;"|"&amp;"CY2024Q3",Spectrum!$R:$R,0)),0),""))</f>
        <v/>
      </c>
      <c r="AG112" s="33" t="str">
        <f t="shared" si="24"/>
        <v/>
      </c>
      <c r="AH112" s="110" t="str">
        <f>IF(LEFT($B112,4)="_Mil","",_xlfn.IFNA(INDEX(Spectrum!$N:$N,MATCH(RIGHT($B112,13)&amp;"|"&amp;$C112&amp;"|"&amp;$D112&amp;"|"&amp;AH$14&amp;"|"&amp;"CY2024Q3",Spectrum!$R:$R,0)),""))</f>
        <v/>
      </c>
      <c r="AI112" s="218">
        <f>IF(LEFT($B112,4)="_Mil","",_xlfn.IFNA(ROUND(INDEX(Spectrum!$N:$N,MATCH(RIGHT($B112,13)&amp;"|"&amp;$C112&amp;"|"&amp;$D112&amp;"|"&amp;AI$14&amp;"|"&amp;"CY2025Q3",Spectrum!$R:$R,0)),0),""))</f>
        <v>10</v>
      </c>
      <c r="AJ112" s="38">
        <f>IF(LEFT($B112,4)="_Mil","",_xlfn.IFNA(ROUND(INDEX(Spectrum!$N:$N,MATCH(RIGHT($B112,13)&amp;"|"&amp;$C112&amp;"|"&amp;$D112&amp;"|"&amp;AJ$14&amp;"|"&amp;"CY2025Q3",Spectrum!$R:$R,0)),0),""))</f>
        <v>2785</v>
      </c>
      <c r="AK112" s="218" t="e">
        <f>#REF!</f>
        <v>#REF!</v>
      </c>
      <c r="AL112" s="33">
        <f t="shared" si="25"/>
        <v>0.93995411799999995</v>
      </c>
      <c r="AM112" s="38" t="e">
        <f>IF(OR(LEFT($B112,4)="_Mil",$C112="&lt;01"),"",ROUND(SUM($AK112)*SUM($AL112),0))</f>
        <v>#REF!</v>
      </c>
      <c r="AN112" s="38" t="str">
        <f>IF($C112="&lt;01",ROUND(INDEX(EID!$P:$P,MATCH($B112,EID!$B:$B,0))/2,0),"")</f>
        <v/>
      </c>
      <c r="AO112" s="38" t="e">
        <f>IF($C112="&lt;01",SUM($AN112),ROUND(SUM($AM112)*SUM($O112)/IF(SUM($Z112)=0,1,$Z112),0))</f>
        <v>#REF!</v>
      </c>
      <c r="AP112" s="218">
        <f>IF(OR($F112="",$C112="&lt;01"),$AO112,ROUND($F112,0))</f>
        <v>2948</v>
      </c>
      <c r="AQ112" s="218">
        <f>IF(LEFT($B112,4)="_Mil","",IF(SUM($AP112)=0,SUM($Z112),IF(OR(SUM($Z112)=0,SUM($O112)=0),MAX($AP112,$Z112),ROUND($AP112*$Z112/$O112,0))))</f>
        <v>2952</v>
      </c>
      <c r="AR112" s="33" t="e">
        <f>IF(OR(LEFT($B112,4)="_Mil",SUM($AK112)=0),"",SUM($AQ112)/$AK112)</f>
        <v>#REF!</v>
      </c>
      <c r="AS112" s="33">
        <v>1.02</v>
      </c>
      <c r="AT112" s="33">
        <f>IF($C112="&lt;01","",100%)</f>
        <v>1</v>
      </c>
      <c r="AU112" s="38">
        <f>IF($C112="&lt;01","",SUM($AP112)-SUM($O112))</f>
        <v>208</v>
      </c>
      <c r="AV112" s="38">
        <f>IF($C112="&lt;01",ROUND(INDEX(EID!$N:$N,MATCH($B112,EID!$B:$B,0))/2,0),IF(SUM($AT112)=0,"",ROUND((SUM($AP112)-(SUM($O112)*SUM($AS112)))/$AT112,0)))</f>
        <v>153</v>
      </c>
      <c r="AW112" s="33">
        <v>0.8</v>
      </c>
      <c r="AX112" s="218">
        <f>IF($C112="&lt;01",SUM($AV112),ROUND(SUM($AV112)*SUM($AW112),0))</f>
        <v>122</v>
      </c>
      <c r="AY112" s="79">
        <f t="shared" si="27"/>
        <v>0.7</v>
      </c>
      <c r="AZ112" s="85">
        <f>IF($C112="&lt;01",ROUND(INDEX(EID!$R:$R,MATCH($B112,EID!$B:$B,0))/2,0),ROUND(SUM($O112)+(SUM($AV112)*$AY112),0))</f>
        <v>2847</v>
      </c>
      <c r="BA112" s="40">
        <f t="shared" si="31"/>
        <v>0.9</v>
      </c>
      <c r="BB112" s="99">
        <f>IF($C112="&lt;01",ROUND(INDEX(EID!$T:$T,MATCH($B112,EID!$B:$B,0))/2,0),ROUND($AP112*$BA112,0))</f>
        <v>2653</v>
      </c>
      <c r="BC112" s="85">
        <f>IF(LEFT($B112,4)="_Mil","",IF(SUM($BB112)=0,SUM($AD112),IF(OR(SUM($AP112)=0,SUM($AQ112)=0),MAX($BB112,$AD112),ROUND($BB112*$AQ112/$AP112,0))))</f>
        <v>2657</v>
      </c>
      <c r="BD112" s="33">
        <f t="shared" si="28"/>
        <v>0.95</v>
      </c>
      <c r="BE112" s="218">
        <f>IF($C112="&lt;01",ROUND(INDEX(EID!$V:$V,MATCH($B112,EID!$B:$B,0))/2,0),ROUND($BD112*$BB112,0))</f>
        <v>2520</v>
      </c>
      <c r="BF112" s="218">
        <f>IF(LEFT($B112,4)="_Mil","",IF(SUM($BE112)=0,SUM($AF112),IF(OR(SUM($AP112)=0,SUM($AQ112)=0),MAX($BE112,$AF112),ROUND($BE112*$AQ112/$AP112,0))))</f>
        <v>2523</v>
      </c>
      <c r="BG112" s="79">
        <f t="shared" si="29"/>
        <v>0.95</v>
      </c>
      <c r="BH112" s="99">
        <f>IF($C112="&lt;01",ROUND(INDEX(EID!$L:$L,MATCH($B112,EID!$B:$B,0)),0)/2,IF(SUM($BG112)=0,"",ROUND($AX112/$BG112,0)))</f>
        <v>128</v>
      </c>
    </row>
    <row r="113" spans="1:60" x14ac:dyDescent="0.2">
      <c r="A113" t="str">
        <f>INDEX(Prioritization!$D:$D,MATCH($B113,Prioritization!$A:$A,0))</f>
        <v>4 - Sustained</v>
      </c>
      <c r="B113" t="s">
        <v>299</v>
      </c>
      <c r="C113" t="s">
        <v>426</v>
      </c>
      <c r="D113" t="s">
        <v>30</v>
      </c>
      <c r="E113" t="str">
        <f t="shared" si="19"/>
        <v>Dowa District [zphK9WV8JB4]|&lt;01|Female</v>
      </c>
      <c r="F113" s="229">
        <v>6</v>
      </c>
      <c r="G113" s="38">
        <v>23</v>
      </c>
      <c r="H113" s="38">
        <v>2</v>
      </c>
      <c r="I113" s="38"/>
      <c r="J113" s="38">
        <v>8</v>
      </c>
      <c r="K113" s="38">
        <v>8</v>
      </c>
      <c r="L113" s="38"/>
      <c r="M113" s="38">
        <v>7</v>
      </c>
      <c r="N113" s="38">
        <v>7</v>
      </c>
      <c r="O113" s="229">
        <v>6</v>
      </c>
      <c r="P113" s="38">
        <v>5</v>
      </c>
      <c r="Q113" s="38">
        <v>5</v>
      </c>
      <c r="R113" s="38">
        <f t="shared" si="20"/>
        <v>6</v>
      </c>
      <c r="S113" s="38">
        <f>IF(LEFT($B113,4)="_Mil","",_xlfn.IFNA(ROUND(INDEX(Spectrum!$N:$N,MATCH(RIGHT($B113,13)&amp;"|"&amp;$C113&amp;"|"&amp;$D113&amp;"|"&amp;S$14&amp;"|"&amp;"CY2023Q4",Spectrum!$R:$R,0)),0),""))</f>
        <v>5</v>
      </c>
      <c r="T113" s="218">
        <f>IF(LEFT($B113,4)="_Mil","",_xlfn.IFNA(ROUND(INDEX(Spectrum!$N:$N,MATCH(RIGHT($B113,13)&amp;"|"&amp;$C113&amp;"|"&amp;$D113&amp;"|"&amp;T$14&amp;"|"&amp;"CY2024Q3",Spectrum!$R:$R,0)),0),""))</f>
        <v>13305</v>
      </c>
      <c r="U113" s="218">
        <f>IF(LEFT($B113,4)="_Mil","",_xlfn.IFNA(ROUND(INDEX(Spectrum!$N:$N,MATCH(RIGHT($B113,13)&amp;"|"&amp;$C113&amp;"|"&amp;$D113&amp;"|"&amp;U$14&amp;"|"&amp;"CY2024Q3",Spectrum!$R:$R,0)),0),""))</f>
        <v>8</v>
      </c>
      <c r="V113" s="38">
        <f>IF(LEFT($B113,4)="_Mil","",_xlfn.IFNA(ROUND(INDEX(Spectrum!$N:$N,MATCH(RIGHT($B113,13)&amp;"|"&amp;$C113&amp;"|"&amp;$D113&amp;"|"&amp;V$14&amp;"|"&amp;"CY2024Q3",Spectrum!$R:$R,0)),0),""))</f>
        <v>7</v>
      </c>
      <c r="W113" s="220">
        <f>IF(LEFT($B113,4)="_Mil","",_xlfn.IFNA(INDEX(Spectrum!$N:$N,MATCH(RIGHT($B113,13)&amp;"|"&amp;$C113&amp;"|"&amp;$D113&amp;"|"&amp;W$14&amp;"|"&amp;"CY2024Q3",Spectrum!$R:$R,0)),""))</f>
        <v>5.6885200000000001E-4</v>
      </c>
      <c r="X113" s="218">
        <f>IF(LEFT($B113,4)="_Mil","",_xlfn.IFNA(ROUND(INDEX(Spectrum!$N:$N,MATCH(RIGHT($B113,13)&amp;"|"&amp;$C113&amp;"|"&amp;$D113&amp;"|"&amp;X$14&amp;"|"&amp;"CY2024Q3",Spectrum!$R:$R,0)),0),""))</f>
        <v>5</v>
      </c>
      <c r="Y113" s="33">
        <f t="shared" si="21"/>
        <v>0.63</v>
      </c>
      <c r="Z113" s="218">
        <f>IF(LEFT($B113,4)="_Mil","",_xlfn.IFNA(ROUND(INDEX(Spectrum!$N:$N,MATCH(RIGHT($B113,13)&amp;"|"&amp;$C113&amp;"|"&amp;$D113&amp;"|"&amp;Z$14&amp;"|"&amp;"CY2024Q3",Spectrum!$R:$R,0)),0),""))</f>
        <v>4</v>
      </c>
      <c r="AA113" s="33">
        <f>IF(LEFT($B113,4)="_Mil","",IFERROR(1/(1/INDEX(Spectrum!$N:$N,MATCH(RIGHT($B113,13)&amp;"|"&amp;$C113&amp;"|"&amp;$D113&amp;"|"&amp;AA$14&amp;"|"&amp;"CY2024Q3",Spectrum!$R:$R,0))),IF(SUM($U113)=0,"",SUM($Z113)/$U113)))</f>
        <v>0.58581258899999999</v>
      </c>
      <c r="AB113" s="33">
        <f t="shared" si="22"/>
        <v>0.8</v>
      </c>
      <c r="AC113" s="38">
        <f>IF(LEFT($B113,4)="_Mil","",_xlfn.IFNA(ROUND(INDEX(Spectrum!$N:$N,MATCH(RIGHT($B113,13)&amp;"|"&amp;$C113&amp;"|"&amp;$D113&amp;"|"&amp;AC$14&amp;"|"&amp;"CY2024Q3",Spectrum!$R:$R,0)),0),""))</f>
        <v>3</v>
      </c>
      <c r="AD113" s="38" t="str">
        <f>IF(LEFT($B113,4)="_Mil","",_xlfn.IFNA(ROUND(INDEX(Spectrum!$N:$N,MATCH(RIGHT($B113,13)&amp;"|"&amp;$C113&amp;"|"&amp;$D113&amp;"|"&amp;AD$14&amp;"|"&amp;"CY2024Q3",Spectrum!$R:$R,0)),0),""))</f>
        <v/>
      </c>
      <c r="AE113" s="33">
        <f t="shared" si="23"/>
        <v>0</v>
      </c>
      <c r="AF113" s="218" t="str">
        <f>IF(LEFT($B113,4)="_Mil","",_xlfn.IFNA(ROUND(INDEX(Spectrum!$N:$N,MATCH(RIGHT($B113,13)&amp;"|"&amp;$C113&amp;"|"&amp;$D113&amp;"|"&amp;AF$14&amp;"|"&amp;"CY2024Q3",Spectrum!$R:$R,0)),0),""))</f>
        <v/>
      </c>
      <c r="AG113" s="33" t="str">
        <f t="shared" si="24"/>
        <v/>
      </c>
      <c r="AH113" s="110" t="str">
        <f>IF(LEFT($B113,4)="_Mil","",_xlfn.IFNA(INDEX(Spectrum!$N:$N,MATCH(RIGHT($B113,13)&amp;"|"&amp;$C113&amp;"|"&amp;$D113&amp;"|"&amp;AH$14&amp;"|"&amp;"CY2024Q3",Spectrum!$R:$R,0)),""))</f>
        <v/>
      </c>
      <c r="AI113" s="218">
        <f>IF(LEFT($B113,4)="_Mil","",_xlfn.IFNA(ROUND(INDEX(Spectrum!$N:$N,MATCH(RIGHT($B113,13)&amp;"|"&amp;$C113&amp;"|"&amp;$D113&amp;"|"&amp;AI$14&amp;"|"&amp;"CY2025Q3",Spectrum!$R:$R,0)),0),""))</f>
        <v>9</v>
      </c>
      <c r="AJ113" s="38">
        <f>IF(LEFT($B113,4)="_Mil","",_xlfn.IFNA(ROUND(INDEX(Spectrum!$N:$N,MATCH(RIGHT($B113,13)&amp;"|"&amp;$C113&amp;"|"&amp;$D113&amp;"|"&amp;AJ$14&amp;"|"&amp;"CY2025Q3",Spectrum!$R:$R,0)),0),""))</f>
        <v>7</v>
      </c>
      <c r="AK113" s="218" t="e">
        <f>#REF!</f>
        <v>#REF!</v>
      </c>
      <c r="AL113" s="33" t="str">
        <f t="shared" si="25"/>
        <v/>
      </c>
      <c r="AM113" s="38" t="str">
        <f>IF(OR(LEFT($B113,4)="_Mil",$C113="&lt;01"),"",ROUND(SUM($AK113)*SUM($AL113),0))</f>
        <v/>
      </c>
      <c r="AN113" s="38">
        <f>IF($C113="&lt;01",ROUND(INDEX(EID!$P:$P,MATCH($B113,EID!$B:$B,0))/2,0),"")</f>
        <v>0</v>
      </c>
      <c r="AO113" s="38">
        <f>IF($C113="&lt;01",SUM($AN113),ROUND(SUM($AM113)*SUM($O113)/IF(SUM($Z113)=0,1,$Z113),0))</f>
        <v>0</v>
      </c>
      <c r="AP113" s="218">
        <f>IF(OR($F113="",$C113="&lt;01"),$AO113,ROUND($F113,0))</f>
        <v>0</v>
      </c>
      <c r="AQ113" s="218">
        <f>IF(LEFT($B113,4)="_Mil","",IF(SUM($AP113)=0,SUM($Z113),IF(OR(SUM($Z113)=0,SUM($O113)=0),MAX($AP113,$Z113),ROUND($AP113*$Z113/$O113,0))))</f>
        <v>4</v>
      </c>
      <c r="AR113" s="33" t="e">
        <f>IF(OR(LEFT($B113,4)="_Mil",SUM($AK113)=0),"",SUM($AQ113)/$AK113)</f>
        <v>#REF!</v>
      </c>
      <c r="AS113" s="33" t="str">
        <f t="shared" si="33"/>
        <v/>
      </c>
      <c r="AT113" s="33" t="str">
        <f t="shared" si="32"/>
        <v/>
      </c>
      <c r="AU113" s="38" t="str">
        <f>IF($C113="&lt;01","",SUM($AP113)-SUM($O113))</f>
        <v/>
      </c>
      <c r="AV113" s="38">
        <f>IF($C113="&lt;01",ROUND(INDEX(EID!$N:$N,MATCH($B113,EID!$B:$B,0))/2,0),IF(SUM($AT113)=0,"",ROUND((SUM($AP113)-(SUM($O113)*SUM($AS113)))/$AT113,0)))</f>
        <v>0</v>
      </c>
      <c r="AW113" s="33" t="str">
        <f t="shared" si="26"/>
        <v/>
      </c>
      <c r="AX113" s="218">
        <f>IF($C113="&lt;01",SUM($AV113),ROUND(SUM($AV113)*SUM($AW113),0))</f>
        <v>0</v>
      </c>
      <c r="AY113" s="79" t="str">
        <f t="shared" si="27"/>
        <v/>
      </c>
      <c r="AZ113" s="85">
        <f>IF($C113="&lt;01",ROUND(INDEX(EID!$R:$R,MATCH($B113,EID!$B:$B,0))/2,0),ROUND(SUM($O113)+(SUM($AV113)*$AY113),0))</f>
        <v>0</v>
      </c>
      <c r="BA113" s="40" t="str">
        <f t="shared" si="31"/>
        <v/>
      </c>
      <c r="BB113" s="99">
        <f>IF($C113="&lt;01",ROUND(INDEX(EID!$T:$T,MATCH($B113,EID!$B:$B,0))/2,0),ROUND($AP113*$BA113,0))</f>
        <v>0</v>
      </c>
      <c r="BC113" s="85">
        <f>IF(LEFT($B113,4)="_Mil","",IF(SUM($BB113)=0,SUM($AD113),IF(OR(SUM($AP113)=0,SUM($AQ113)=0),MAX($BB113,$AD113),ROUND($BB113*$AQ113/$AP113,0))))</f>
        <v>0</v>
      </c>
      <c r="BD113" s="33" t="str">
        <f t="shared" si="28"/>
        <v/>
      </c>
      <c r="BE113" s="218">
        <f>IF($C113="&lt;01",ROUND(INDEX(EID!$V:$V,MATCH($B113,EID!$B:$B,0))/2,0),ROUND($BD113*$BB113,0))</f>
        <v>0</v>
      </c>
      <c r="BF113" s="218">
        <f>IF(LEFT($B113,4)="_Mil","",IF(SUM($BE113)=0,SUM($AF113),IF(OR(SUM($AP113)=0,SUM($AQ113)=0),MAX($BE113,$AF113),ROUND($BE113*$AQ113/$AP113,0))))</f>
        <v>0</v>
      </c>
      <c r="BG113" s="79" t="str">
        <f t="shared" si="29"/>
        <v/>
      </c>
      <c r="BH113" s="99">
        <f>IF($C113="&lt;01",ROUND(INDEX(EID!$L:$L,MATCH($B113,EID!$B:$B,0)),0)/2,IF(SUM($BG113)=0,"",ROUND($AX113/$BG113,0)))</f>
        <v>0</v>
      </c>
    </row>
    <row r="114" spans="1:60" x14ac:dyDescent="0.2">
      <c r="A114" t="str">
        <f>INDEX(Prioritization!$D:$D,MATCH($B114,Prioritization!$A:$A,0))</f>
        <v>4 - Sustained</v>
      </c>
      <c r="B114" t="s">
        <v>299</v>
      </c>
      <c r="C114" t="s">
        <v>426</v>
      </c>
      <c r="D114" t="s">
        <v>48</v>
      </c>
      <c r="E114" t="str">
        <f t="shared" si="19"/>
        <v>Dowa District [zphK9WV8JB4]|&lt;01|Male</v>
      </c>
      <c r="F114" s="229">
        <v>6</v>
      </c>
      <c r="G114" s="38">
        <v>14</v>
      </c>
      <c r="H114" s="38"/>
      <c r="I114" s="38"/>
      <c r="J114" s="38">
        <v>3</v>
      </c>
      <c r="K114" s="38">
        <v>3</v>
      </c>
      <c r="L114" s="38"/>
      <c r="M114" s="38">
        <v>7</v>
      </c>
      <c r="N114" s="38">
        <v>7</v>
      </c>
      <c r="O114" s="229">
        <v>6</v>
      </c>
      <c r="P114" s="38">
        <v>5</v>
      </c>
      <c r="Q114" s="38">
        <v>5</v>
      </c>
      <c r="R114" s="38">
        <f t="shared" si="20"/>
        <v>6</v>
      </c>
      <c r="S114" s="38">
        <f>IF(LEFT($B114,4)="_Mil","",_xlfn.IFNA(ROUND(INDEX(Spectrum!$N:$N,MATCH(RIGHT($B114,13)&amp;"|"&amp;$C114&amp;"|"&amp;$D114&amp;"|"&amp;S$14&amp;"|"&amp;"CY2023Q4",Spectrum!$R:$R,0)),0),""))</f>
        <v>5</v>
      </c>
      <c r="T114" s="218">
        <f>IF(LEFT($B114,4)="_Mil","",_xlfn.IFNA(ROUND(INDEX(Spectrum!$N:$N,MATCH(RIGHT($B114,13)&amp;"|"&amp;$C114&amp;"|"&amp;$D114&amp;"|"&amp;T$14&amp;"|"&amp;"CY2024Q3",Spectrum!$R:$R,0)),0),""))</f>
        <v>13463</v>
      </c>
      <c r="U114" s="218">
        <f>IF(LEFT($B114,4)="_Mil","",_xlfn.IFNA(ROUND(INDEX(Spectrum!$N:$N,MATCH(RIGHT($B114,13)&amp;"|"&amp;$C114&amp;"|"&amp;$D114&amp;"|"&amp;U$14&amp;"|"&amp;"CY2024Q3",Spectrum!$R:$R,0)),0),""))</f>
        <v>8</v>
      </c>
      <c r="V114" s="38">
        <f>IF(LEFT($B114,4)="_Mil","",_xlfn.IFNA(ROUND(INDEX(Spectrum!$N:$N,MATCH(RIGHT($B114,13)&amp;"|"&amp;$C114&amp;"|"&amp;$D114&amp;"|"&amp;V$14&amp;"|"&amp;"CY2024Q3",Spectrum!$R:$R,0)),0),""))</f>
        <v>7</v>
      </c>
      <c r="W114" s="220">
        <f>IF(LEFT($B114,4)="_Mil","",_xlfn.IFNA(INDEX(Spectrum!$N:$N,MATCH(RIGHT($B114,13)&amp;"|"&amp;$C114&amp;"|"&amp;$D114&amp;"|"&amp;W$14&amp;"|"&amp;"CY2024Q3",Spectrum!$R:$R,0)),""))</f>
        <v>5.6959700000000003E-4</v>
      </c>
      <c r="X114" s="218">
        <f>IF(LEFT($B114,4)="_Mil","",_xlfn.IFNA(ROUND(INDEX(Spectrum!$N:$N,MATCH(RIGHT($B114,13)&amp;"|"&amp;$C114&amp;"|"&amp;$D114&amp;"|"&amp;X$14&amp;"|"&amp;"CY2024Q3",Spectrum!$R:$R,0)),0),""))</f>
        <v>5</v>
      </c>
      <c r="Y114" s="33">
        <f t="shared" si="21"/>
        <v>0.63</v>
      </c>
      <c r="Z114" s="218">
        <f>IF(LEFT($B114,4)="_Mil","",_xlfn.IFNA(ROUND(INDEX(Spectrum!$N:$N,MATCH(RIGHT($B114,13)&amp;"|"&amp;$C114&amp;"|"&amp;$D114&amp;"|"&amp;Z$14&amp;"|"&amp;"CY2024Q3",Spectrum!$R:$R,0)),0),""))</f>
        <v>4</v>
      </c>
      <c r="AA114" s="33">
        <f>IF(LEFT($B114,4)="_Mil","",IFERROR(1/(1/INDEX(Spectrum!$N:$N,MATCH(RIGHT($B114,13)&amp;"|"&amp;$C114&amp;"|"&amp;$D114&amp;"|"&amp;AA$14&amp;"|"&amp;"CY2024Q3",Spectrum!$R:$R,0))),IF(SUM($U114)=0,"",SUM($Z114)/$U114)))</f>
        <v>0.58603528400000005</v>
      </c>
      <c r="AB114" s="33">
        <f t="shared" si="22"/>
        <v>0.8</v>
      </c>
      <c r="AC114" s="38">
        <f>IF(LEFT($B114,4)="_Mil","",_xlfn.IFNA(ROUND(INDEX(Spectrum!$N:$N,MATCH(RIGHT($B114,13)&amp;"|"&amp;$C114&amp;"|"&amp;$D114&amp;"|"&amp;AC$14&amp;"|"&amp;"CY2024Q3",Spectrum!$R:$R,0)),0),""))</f>
        <v>3</v>
      </c>
      <c r="AD114" s="38" t="str">
        <f>IF(LEFT($B114,4)="_Mil","",_xlfn.IFNA(ROUND(INDEX(Spectrum!$N:$N,MATCH(RIGHT($B114,13)&amp;"|"&amp;$C114&amp;"|"&amp;$D114&amp;"|"&amp;AD$14&amp;"|"&amp;"CY2024Q3",Spectrum!$R:$R,0)),0),""))</f>
        <v/>
      </c>
      <c r="AE114" s="33">
        <f t="shared" si="23"/>
        <v>0</v>
      </c>
      <c r="AF114" s="218" t="str">
        <f>IF(LEFT($B114,4)="_Mil","",_xlfn.IFNA(ROUND(INDEX(Spectrum!$N:$N,MATCH(RIGHT($B114,13)&amp;"|"&amp;$C114&amp;"|"&amp;$D114&amp;"|"&amp;AF$14&amp;"|"&amp;"CY2024Q3",Spectrum!$R:$R,0)),0),""))</f>
        <v/>
      </c>
      <c r="AG114" s="33" t="str">
        <f t="shared" si="24"/>
        <v/>
      </c>
      <c r="AH114" s="110" t="str">
        <f>IF(LEFT($B114,4)="_Mil","",_xlfn.IFNA(INDEX(Spectrum!$N:$N,MATCH(RIGHT($B114,13)&amp;"|"&amp;$C114&amp;"|"&amp;$D114&amp;"|"&amp;AH$14&amp;"|"&amp;"CY2024Q3",Spectrum!$R:$R,0)),""))</f>
        <v/>
      </c>
      <c r="AI114" s="218">
        <f>IF(LEFT($B114,4)="_Mil","",_xlfn.IFNA(ROUND(INDEX(Spectrum!$N:$N,MATCH(RIGHT($B114,13)&amp;"|"&amp;$C114&amp;"|"&amp;$D114&amp;"|"&amp;AI$14&amp;"|"&amp;"CY2025Q3",Spectrum!$R:$R,0)),0),""))</f>
        <v>9</v>
      </c>
      <c r="AJ114" s="38">
        <f>IF(LEFT($B114,4)="_Mil","",_xlfn.IFNA(ROUND(INDEX(Spectrum!$N:$N,MATCH(RIGHT($B114,13)&amp;"|"&amp;$C114&amp;"|"&amp;$D114&amp;"|"&amp;AJ$14&amp;"|"&amp;"CY2025Q3",Spectrum!$R:$R,0)),0),""))</f>
        <v>7</v>
      </c>
      <c r="AK114" s="218" t="e">
        <f>#REF!</f>
        <v>#REF!</v>
      </c>
      <c r="AL114" s="33" t="str">
        <f t="shared" si="25"/>
        <v/>
      </c>
      <c r="AM114" s="38" t="str">
        <f>IF(OR(LEFT($B114,4)="_Mil",$C114="&lt;01"),"",ROUND(SUM($AK114)*SUM($AL114),0))</f>
        <v/>
      </c>
      <c r="AN114" s="38">
        <f>IF($C114="&lt;01",ROUND(INDEX(EID!$P:$P,MATCH($B114,EID!$B:$B,0))/2,0),"")</f>
        <v>0</v>
      </c>
      <c r="AO114" s="38">
        <f>IF($C114="&lt;01",SUM($AN114),ROUND(SUM($AM114)*SUM($O114)/IF(SUM($Z114)=0,1,$Z114),0))</f>
        <v>0</v>
      </c>
      <c r="AP114" s="218">
        <f>IF(OR($F114="",$C114="&lt;01"),$AO114,ROUND($F114,0))</f>
        <v>0</v>
      </c>
      <c r="AQ114" s="218">
        <f>IF(LEFT($B114,4)="_Mil","",IF(SUM($AP114)=0,SUM($Z114),IF(OR(SUM($Z114)=0,SUM($O114)=0),MAX($AP114,$Z114),ROUND($AP114*$Z114/$O114,0))))</f>
        <v>4</v>
      </c>
      <c r="AR114" s="33" t="e">
        <f>IF(OR(LEFT($B114,4)="_Mil",SUM($AK114)=0),"",SUM($AQ114)/$AK114)</f>
        <v>#REF!</v>
      </c>
      <c r="AS114" s="33" t="str">
        <f t="shared" si="33"/>
        <v/>
      </c>
      <c r="AT114" s="33" t="str">
        <f t="shared" si="32"/>
        <v/>
      </c>
      <c r="AU114" s="38" t="str">
        <f>IF($C114="&lt;01","",SUM($AP114)-SUM($O114))</f>
        <v/>
      </c>
      <c r="AV114" s="38">
        <f>IF($C114="&lt;01",ROUND(INDEX(EID!$N:$N,MATCH($B114,EID!$B:$B,0))/2,0),IF(SUM($AT114)=0,"",ROUND((SUM($AP114)-(SUM($O114)*SUM($AS114)))/$AT114,0)))</f>
        <v>0</v>
      </c>
      <c r="AW114" s="33" t="str">
        <f t="shared" si="26"/>
        <v/>
      </c>
      <c r="AX114" s="218">
        <f>IF($C114="&lt;01",SUM($AV114),ROUND(SUM($AV114)*SUM($AW114),0))</f>
        <v>0</v>
      </c>
      <c r="AY114" s="79" t="str">
        <f t="shared" si="27"/>
        <v/>
      </c>
      <c r="AZ114" s="85">
        <f>IF($C114="&lt;01",ROUND(INDEX(EID!$R:$R,MATCH($B114,EID!$B:$B,0))/2,0),ROUND(SUM($O114)+(SUM($AV114)*$AY114),0))</f>
        <v>0</v>
      </c>
      <c r="BA114" s="40" t="str">
        <f t="shared" si="31"/>
        <v/>
      </c>
      <c r="BB114" s="99">
        <f>IF($C114="&lt;01",ROUND(INDEX(EID!$T:$T,MATCH($B114,EID!$B:$B,0))/2,0),ROUND($AP114*$BA114,0))</f>
        <v>0</v>
      </c>
      <c r="BC114" s="85">
        <f>IF(LEFT($B114,4)="_Mil","",IF(SUM($BB114)=0,SUM($AD114),IF(OR(SUM($AP114)=0,SUM($AQ114)=0),MAX($BB114,$AD114),ROUND($BB114*$AQ114/$AP114,0))))</f>
        <v>0</v>
      </c>
      <c r="BD114" s="33" t="str">
        <f t="shared" si="28"/>
        <v/>
      </c>
      <c r="BE114" s="218">
        <f>IF($C114="&lt;01",ROUND(INDEX(EID!$V:$V,MATCH($B114,EID!$B:$B,0))/2,0),ROUND($BD114*$BB114,0))</f>
        <v>0</v>
      </c>
      <c r="BF114" s="218">
        <f>IF(LEFT($B114,4)="_Mil","",IF(SUM($BE114)=0,SUM($AF114),IF(OR(SUM($AP114)=0,SUM($AQ114)=0),MAX($BE114,$AF114),ROUND($BE114*$AQ114/$AP114,0))))</f>
        <v>0</v>
      </c>
      <c r="BG114" s="79" t="str">
        <f t="shared" si="29"/>
        <v/>
      </c>
      <c r="BH114" s="99">
        <f>IF($C114="&lt;01",ROUND(INDEX(EID!$L:$L,MATCH($B114,EID!$B:$B,0)),0)/2,IF(SUM($BG114)=0,"",ROUND($AX114/$BG114,0)))</f>
        <v>0</v>
      </c>
    </row>
    <row r="115" spans="1:60" x14ac:dyDescent="0.2">
      <c r="A115" t="str">
        <f>INDEX(Prioritization!$D:$D,MATCH($B115,Prioritization!$A:$A,0))</f>
        <v>4 - Sustained</v>
      </c>
      <c r="B115" t="s">
        <v>299</v>
      </c>
      <c r="C115" t="s">
        <v>473</v>
      </c>
      <c r="D115" t="s">
        <v>30</v>
      </c>
      <c r="E115" t="str">
        <f t="shared" si="19"/>
        <v>Dowa District [zphK9WV8JB4]|01-09|Female</v>
      </c>
      <c r="F115" s="229">
        <v>114</v>
      </c>
      <c r="G115" s="38">
        <v>45</v>
      </c>
      <c r="H115" s="38">
        <v>9</v>
      </c>
      <c r="I115" s="38">
        <v>79</v>
      </c>
      <c r="J115" s="38">
        <v>76</v>
      </c>
      <c r="K115" s="38">
        <v>66</v>
      </c>
      <c r="L115" s="38">
        <v>5</v>
      </c>
      <c r="M115" s="38">
        <v>5</v>
      </c>
      <c r="N115" s="38">
        <v>102</v>
      </c>
      <c r="O115" s="229">
        <v>114</v>
      </c>
      <c r="P115" s="38">
        <v>90</v>
      </c>
      <c r="Q115" s="38">
        <v>86</v>
      </c>
      <c r="R115" s="38">
        <f t="shared" si="20"/>
        <v>35</v>
      </c>
      <c r="S115" s="38">
        <f>IF(LEFT($B115,4)="_Mil","",_xlfn.IFNA(ROUND(INDEX(Spectrum!$N:$N,MATCH(RIGHT($B115,13)&amp;"|"&amp;$C115&amp;"|"&amp;$D115&amp;"|"&amp;S$14&amp;"|"&amp;"CY2023Q4",Spectrum!$R:$R,0)),0),""))</f>
        <v>86</v>
      </c>
      <c r="T115" s="218">
        <f>IF(LEFT($B115,4)="_Mil","",_xlfn.IFNA(ROUND(INDEX(Spectrum!$N:$N,MATCH(RIGHT($B115,13)&amp;"|"&amp;$C115&amp;"|"&amp;$D115&amp;"|"&amp;T$14&amp;"|"&amp;"CY2024Q3",Spectrum!$R:$R,0)),0),""))</f>
        <v>112583</v>
      </c>
      <c r="U115" s="218">
        <f>IF(LEFT($B115,4)="_Mil","",_xlfn.IFNA(ROUND(INDEX(Spectrum!$N:$N,MATCH(RIGHT($B115,13)&amp;"|"&amp;$C115&amp;"|"&amp;$D115&amp;"|"&amp;U$14&amp;"|"&amp;"CY2024Q3",Spectrum!$R:$R,0)),0),""))</f>
        <v>142</v>
      </c>
      <c r="V115" s="38">
        <f>IF(LEFT($B115,4)="_Mil","",_xlfn.IFNA(ROUND(INDEX(Spectrum!$N:$N,MATCH(RIGHT($B115,13)&amp;"|"&amp;$C115&amp;"|"&amp;$D115&amp;"|"&amp;V$14&amp;"|"&amp;"CY2024Q3",Spectrum!$R:$R,0)),0),""))</f>
        <v>134</v>
      </c>
      <c r="W115" s="220">
        <f>IF(LEFT($B115,4)="_Mil","",_xlfn.IFNA(INDEX(Spectrum!$N:$N,MATCH(RIGHT($B115,13)&amp;"|"&amp;$C115&amp;"|"&amp;$D115&amp;"|"&amp;W$14&amp;"|"&amp;"CY2024Q3",Spectrum!$R:$R,0)),""))</f>
        <v>1.262181E-3</v>
      </c>
      <c r="X115" s="218">
        <f>IF(LEFT($B115,4)="_Mil","",_xlfn.IFNA(ROUND(INDEX(Spectrum!$N:$N,MATCH(RIGHT($B115,13)&amp;"|"&amp;$C115&amp;"|"&amp;$D115&amp;"|"&amp;X$14&amp;"|"&amp;"CY2024Q3",Spectrum!$R:$R,0)),0),""))</f>
        <v>96</v>
      </c>
      <c r="Y115" s="33">
        <f t="shared" si="21"/>
        <v>0.68</v>
      </c>
      <c r="Z115" s="218">
        <f>IF(LEFT($B115,4)="_Mil","",_xlfn.IFNA(ROUND(INDEX(Spectrum!$N:$N,MATCH(RIGHT($B115,13)&amp;"|"&amp;$C115&amp;"|"&amp;$D115&amp;"|"&amp;Z$14&amp;"|"&amp;"CY2024Q3",Spectrum!$R:$R,0)),0),""))</f>
        <v>84</v>
      </c>
      <c r="AA115" s="33">
        <f>IF(LEFT($B115,4)="_Mil","",IFERROR(1/(1/INDEX(Spectrum!$N:$N,MATCH(RIGHT($B115,13)&amp;"|"&amp;$C115&amp;"|"&amp;$D115&amp;"|"&amp;AA$14&amp;"|"&amp;"CY2024Q3",Spectrum!$R:$R,0))),IF(SUM($U115)=0,"",SUM($Z115)/$U115)))</f>
        <v>0.63122977899999999</v>
      </c>
      <c r="AB115" s="33">
        <f t="shared" si="22"/>
        <v>0.875</v>
      </c>
      <c r="AC115" s="38">
        <f>IF(LEFT($B115,4)="_Mil","",_xlfn.IFNA(ROUND(INDEX(Spectrum!$N:$N,MATCH(RIGHT($B115,13)&amp;"|"&amp;$C115&amp;"|"&amp;$D115&amp;"|"&amp;AC$14&amp;"|"&amp;"CY2024Q3",Spectrum!$R:$R,0)),0),""))</f>
        <v>50</v>
      </c>
      <c r="AD115" s="38" t="str">
        <f>IF(LEFT($B115,4)="_Mil","",_xlfn.IFNA(ROUND(INDEX(Spectrum!$N:$N,MATCH(RIGHT($B115,13)&amp;"|"&amp;$C115&amp;"|"&amp;$D115&amp;"|"&amp;AD$14&amp;"|"&amp;"CY2024Q3",Spectrum!$R:$R,0)),0),""))</f>
        <v/>
      </c>
      <c r="AE115" s="33">
        <f t="shared" si="23"/>
        <v>0</v>
      </c>
      <c r="AF115" s="218" t="str">
        <f>IF(LEFT($B115,4)="_Mil","",_xlfn.IFNA(ROUND(INDEX(Spectrum!$N:$N,MATCH(RIGHT($B115,13)&amp;"|"&amp;$C115&amp;"|"&amp;$D115&amp;"|"&amp;AF$14&amp;"|"&amp;"CY2024Q3",Spectrum!$R:$R,0)),0),""))</f>
        <v/>
      </c>
      <c r="AG115" s="33" t="str">
        <f t="shared" si="24"/>
        <v/>
      </c>
      <c r="AH115" s="110" t="str">
        <f>IF(LEFT($B115,4)="_Mil","",_xlfn.IFNA(INDEX(Spectrum!$N:$N,MATCH(RIGHT($B115,13)&amp;"|"&amp;$C115&amp;"|"&amp;$D115&amp;"|"&amp;AH$14&amp;"|"&amp;"CY2024Q3",Spectrum!$R:$R,0)),""))</f>
        <v/>
      </c>
      <c r="AI115" s="218">
        <f>IF(LEFT($B115,4)="_Mil","",_xlfn.IFNA(ROUND(INDEX(Spectrum!$N:$N,MATCH(RIGHT($B115,13)&amp;"|"&amp;$C115&amp;"|"&amp;$D115&amp;"|"&amp;AI$14&amp;"|"&amp;"CY2025Q3",Spectrum!$R:$R,0)),0),""))</f>
        <v>2</v>
      </c>
      <c r="AJ115" s="38">
        <f>IF(LEFT($B115,4)="_Mil","",_xlfn.IFNA(ROUND(INDEX(Spectrum!$N:$N,MATCH(RIGHT($B115,13)&amp;"|"&amp;$C115&amp;"|"&amp;$D115&amp;"|"&amp;AJ$14&amp;"|"&amp;"CY2025Q3",Spectrum!$R:$R,0)),0),""))</f>
        <v>123</v>
      </c>
      <c r="AK115" s="218" t="e">
        <f>#REF!</f>
        <v>#REF!</v>
      </c>
      <c r="AL115" s="33">
        <f t="shared" si="25"/>
        <v>0.9</v>
      </c>
      <c r="AM115" s="38" t="e">
        <f>IF(OR(LEFT($B115,4)="_Mil",$C115="&lt;01"),"",ROUND(SUM($AK115)*SUM($AL115),0))</f>
        <v>#REF!</v>
      </c>
      <c r="AN115" s="38" t="str">
        <f>IF($C115="&lt;01",ROUND(INDEX(EID!$P:$P,MATCH($B115,EID!$B:$B,0))/2,0),"")</f>
        <v/>
      </c>
      <c r="AO115" s="38" t="e">
        <f>IF($C115="&lt;01",SUM($AN115),ROUND(SUM($AM115)*SUM($O115)/IF(SUM($Z115)=0,1,$Z115),0))</f>
        <v>#REF!</v>
      </c>
      <c r="AP115" s="218">
        <f>IF(OR($F115="",$C115="&lt;01"),$AO115,ROUND($F115,0))</f>
        <v>114</v>
      </c>
      <c r="AQ115" s="218">
        <f>IF(LEFT($B115,4)="_Mil","",IF(SUM($AP115)=0,SUM($Z115),IF(OR(SUM($Z115)=0,SUM($O115)=0),MAX($AP115,$Z115),ROUND($AP115*$Z115/$O115,0))))</f>
        <v>84</v>
      </c>
      <c r="AR115" s="33" t="e">
        <f>IF(OR(LEFT($B115,4)="_Mil",SUM($AK115)=0),"",SUM($AQ115)/$AK115)</f>
        <v>#REF!</v>
      </c>
      <c r="AS115" s="33">
        <f t="shared" si="33"/>
        <v>0.98</v>
      </c>
      <c r="AT115" s="33">
        <f t="shared" si="32"/>
        <v>0.98</v>
      </c>
      <c r="AU115" s="38">
        <f>IF($C115="&lt;01","",SUM($AP115)-SUM($O115))</f>
        <v>0</v>
      </c>
      <c r="AV115" s="38">
        <f>IF($C115="&lt;01",ROUND(INDEX(EID!$N:$N,MATCH($B115,EID!$B:$B,0))/2,0),IF(SUM($AT115)=0,"",ROUND((SUM($AP115)-(SUM($O115)*SUM($AS115)))/$AT115,0)))</f>
        <v>2</v>
      </c>
      <c r="AW115" s="33">
        <f t="shared" si="26"/>
        <v>1</v>
      </c>
      <c r="AX115" s="218">
        <f>IF($C115="&lt;01",SUM($AV115),ROUND(SUM($AV115)*SUM($AW115),0))</f>
        <v>2</v>
      </c>
      <c r="AY115" s="79">
        <f t="shared" si="27"/>
        <v>0.7</v>
      </c>
      <c r="AZ115" s="85">
        <f>IF($C115="&lt;01",ROUND(INDEX(EID!$R:$R,MATCH($B115,EID!$B:$B,0))/2,0),ROUND(SUM($O115)+(SUM($AV115)*$AY115),0))</f>
        <v>115</v>
      </c>
      <c r="BA115" s="40">
        <f t="shared" si="31"/>
        <v>0.9</v>
      </c>
      <c r="BB115" s="99">
        <f>IF($C115="&lt;01",ROUND(INDEX(EID!$T:$T,MATCH($B115,EID!$B:$B,0))/2,0),ROUND($AP115*$BA115,0))</f>
        <v>103</v>
      </c>
      <c r="BC115" s="85">
        <f>IF(LEFT($B115,4)="_Mil","",IF(SUM($BB115)=0,SUM($AD115),IF(OR(SUM($AP115)=0,SUM($AQ115)=0),MAX($BB115,$AD115),ROUND($BB115*$AQ115/$AP115,0))))</f>
        <v>76</v>
      </c>
      <c r="BD115" s="33">
        <f t="shared" si="28"/>
        <v>0.95</v>
      </c>
      <c r="BE115" s="218">
        <f>IF($C115="&lt;01",ROUND(INDEX(EID!$V:$V,MATCH($B115,EID!$B:$B,0))/2,0),ROUND($BD115*$BB115,0))</f>
        <v>98</v>
      </c>
      <c r="BF115" s="218">
        <f>IF(LEFT($B115,4)="_Mil","",IF(SUM($BE115)=0,SUM($AF115),IF(OR(SUM($AP115)=0,SUM($AQ115)=0),MAX($BE115,$AF115),ROUND($BE115*$AQ115/$AP115,0))))</f>
        <v>72</v>
      </c>
      <c r="BG115" s="79">
        <f t="shared" si="29"/>
        <v>0.95</v>
      </c>
      <c r="BH115" s="99">
        <f>IF($C115="&lt;01",ROUND(INDEX(EID!$L:$L,MATCH($B115,EID!$B:$B,0)),0)/2,IF(SUM($BG115)=0,"",ROUND($AX115/$BG115,0)))</f>
        <v>2</v>
      </c>
    </row>
    <row r="116" spans="1:60" x14ac:dyDescent="0.2">
      <c r="A116" t="str">
        <f>INDEX(Prioritization!$D:$D,MATCH($B116,Prioritization!$A:$A,0))</f>
        <v>4 - Sustained</v>
      </c>
      <c r="B116" t="s">
        <v>299</v>
      </c>
      <c r="C116" t="s">
        <v>473</v>
      </c>
      <c r="D116" t="s">
        <v>48</v>
      </c>
      <c r="E116" t="str">
        <f t="shared" si="19"/>
        <v>Dowa District [zphK9WV8JB4]|01-09|Male</v>
      </c>
      <c r="F116" s="229">
        <v>115</v>
      </c>
      <c r="G116" s="38">
        <v>27</v>
      </c>
      <c r="H116" s="38">
        <v>10</v>
      </c>
      <c r="I116" s="38">
        <v>83</v>
      </c>
      <c r="J116" s="38">
        <v>84</v>
      </c>
      <c r="K116" s="38">
        <v>74</v>
      </c>
      <c r="L116" s="38">
        <v>7</v>
      </c>
      <c r="M116" s="38">
        <v>7</v>
      </c>
      <c r="N116" s="38">
        <v>111</v>
      </c>
      <c r="O116" s="229">
        <v>115</v>
      </c>
      <c r="P116" s="38">
        <v>97</v>
      </c>
      <c r="Q116" s="38">
        <v>92</v>
      </c>
      <c r="R116" s="38">
        <f t="shared" si="20"/>
        <v>32</v>
      </c>
      <c r="S116" s="38">
        <f>IF(LEFT($B116,4)="_Mil","",_xlfn.IFNA(ROUND(INDEX(Spectrum!$N:$N,MATCH(RIGHT($B116,13)&amp;"|"&amp;$C116&amp;"|"&amp;$D116&amp;"|"&amp;S$14&amp;"|"&amp;"CY2023Q4",Spectrum!$R:$R,0)),0),""))</f>
        <v>91</v>
      </c>
      <c r="T116" s="218">
        <f>IF(LEFT($B116,4)="_Mil","",_xlfn.IFNA(ROUND(INDEX(Spectrum!$N:$N,MATCH(RIGHT($B116,13)&amp;"|"&amp;$C116&amp;"|"&amp;$D116&amp;"|"&amp;T$14&amp;"|"&amp;"CY2024Q3",Spectrum!$R:$R,0)),0),""))</f>
        <v>113819</v>
      </c>
      <c r="U116" s="218">
        <f>IF(LEFT($B116,4)="_Mil","",_xlfn.IFNA(ROUND(INDEX(Spectrum!$N:$N,MATCH(RIGHT($B116,13)&amp;"|"&amp;$C116&amp;"|"&amp;$D116&amp;"|"&amp;U$14&amp;"|"&amp;"CY2024Q3",Spectrum!$R:$R,0)),0),""))</f>
        <v>143</v>
      </c>
      <c r="V116" s="38">
        <f>IF(LEFT($B116,4)="_Mil","",_xlfn.IFNA(ROUND(INDEX(Spectrum!$N:$N,MATCH(RIGHT($B116,13)&amp;"|"&amp;$C116&amp;"|"&amp;$D116&amp;"|"&amp;V$14&amp;"|"&amp;"CY2024Q3",Spectrum!$R:$R,0)),0),""))</f>
        <v>135</v>
      </c>
      <c r="W116" s="220">
        <f>IF(LEFT($B116,4)="_Mil","",_xlfn.IFNA(INDEX(Spectrum!$N:$N,MATCH(RIGHT($B116,13)&amp;"|"&amp;$C116&amp;"|"&amp;$D116&amp;"|"&amp;W$14&amp;"|"&amp;"CY2024Q3",Spectrum!$R:$R,0)),""))</f>
        <v>1.2600599999999999E-3</v>
      </c>
      <c r="X116" s="218">
        <f>IF(LEFT($B116,4)="_Mil","",_xlfn.IFNA(ROUND(INDEX(Spectrum!$N:$N,MATCH(RIGHT($B116,13)&amp;"|"&amp;$C116&amp;"|"&amp;$D116&amp;"|"&amp;X$14&amp;"|"&amp;"CY2024Q3",Spectrum!$R:$R,0)),0),""))</f>
        <v>97</v>
      </c>
      <c r="Y116" s="33">
        <f t="shared" si="21"/>
        <v>0.68</v>
      </c>
      <c r="Z116" s="218">
        <f>IF(LEFT($B116,4)="_Mil","",_xlfn.IFNA(ROUND(INDEX(Spectrum!$N:$N,MATCH(RIGHT($B116,13)&amp;"|"&amp;$C116&amp;"|"&amp;$D116&amp;"|"&amp;Z$14&amp;"|"&amp;"CY2024Q3",Spectrum!$R:$R,0)),0),""))</f>
        <v>89</v>
      </c>
      <c r="AA116" s="33">
        <f>IF(LEFT($B116,4)="_Mil","",IFERROR(1/(1/INDEX(Spectrum!$N:$N,MATCH(RIGHT($B116,13)&amp;"|"&amp;$C116&amp;"|"&amp;$D116&amp;"|"&amp;AA$14&amp;"|"&amp;"CY2024Q3",Spectrum!$R:$R,0))),IF(SUM($U116)=0,"",SUM($Z116)/$U116)))</f>
        <v>0.63137337100000002</v>
      </c>
      <c r="AB116" s="33">
        <f t="shared" si="22"/>
        <v>0.91752577319587625</v>
      </c>
      <c r="AC116" s="38">
        <f>IF(LEFT($B116,4)="_Mil","",_xlfn.IFNA(ROUND(INDEX(Spectrum!$N:$N,MATCH(RIGHT($B116,13)&amp;"|"&amp;$C116&amp;"|"&amp;$D116&amp;"|"&amp;AC$14&amp;"|"&amp;"CY2024Q3",Spectrum!$R:$R,0)),0),""))</f>
        <v>46</v>
      </c>
      <c r="AD116" s="38" t="str">
        <f>IF(LEFT($B116,4)="_Mil","",_xlfn.IFNA(ROUND(INDEX(Spectrum!$N:$N,MATCH(RIGHT($B116,13)&amp;"|"&amp;$C116&amp;"|"&amp;$D116&amp;"|"&amp;AD$14&amp;"|"&amp;"CY2024Q3",Spectrum!$R:$R,0)),0),""))</f>
        <v/>
      </c>
      <c r="AE116" s="33">
        <f t="shared" si="23"/>
        <v>0</v>
      </c>
      <c r="AF116" s="218" t="str">
        <f>IF(LEFT($B116,4)="_Mil","",_xlfn.IFNA(ROUND(INDEX(Spectrum!$N:$N,MATCH(RIGHT($B116,13)&amp;"|"&amp;$C116&amp;"|"&amp;$D116&amp;"|"&amp;AF$14&amp;"|"&amp;"CY2024Q3",Spectrum!$R:$R,0)),0),""))</f>
        <v/>
      </c>
      <c r="AG116" s="33" t="str">
        <f t="shared" si="24"/>
        <v/>
      </c>
      <c r="AH116" s="110" t="str">
        <f>IF(LEFT($B116,4)="_Mil","",_xlfn.IFNA(INDEX(Spectrum!$N:$N,MATCH(RIGHT($B116,13)&amp;"|"&amp;$C116&amp;"|"&amp;$D116&amp;"|"&amp;AH$14&amp;"|"&amp;"CY2024Q3",Spectrum!$R:$R,0)),""))</f>
        <v/>
      </c>
      <c r="AI116" s="218">
        <f>IF(LEFT($B116,4)="_Mil","",_xlfn.IFNA(ROUND(INDEX(Spectrum!$N:$N,MATCH(RIGHT($B116,13)&amp;"|"&amp;$C116&amp;"|"&amp;$D116&amp;"|"&amp;AI$14&amp;"|"&amp;"CY2025Q3",Spectrum!$R:$R,0)),0),""))</f>
        <v>2</v>
      </c>
      <c r="AJ116" s="38">
        <f>IF(LEFT($B116,4)="_Mil","",_xlfn.IFNA(ROUND(INDEX(Spectrum!$N:$N,MATCH(RIGHT($B116,13)&amp;"|"&amp;$C116&amp;"|"&amp;$D116&amp;"|"&amp;AJ$14&amp;"|"&amp;"CY2025Q3",Spectrum!$R:$R,0)),0),""))</f>
        <v>124</v>
      </c>
      <c r="AK116" s="218" t="e">
        <f>#REF!</f>
        <v>#REF!</v>
      </c>
      <c r="AL116" s="33">
        <f t="shared" si="25"/>
        <v>0.9</v>
      </c>
      <c r="AM116" s="38" t="e">
        <f>IF(OR(LEFT($B116,4)="_Mil",$C116="&lt;01"),"",ROUND(SUM($AK116)*SUM($AL116),0))</f>
        <v>#REF!</v>
      </c>
      <c r="AN116" s="38" t="str">
        <f>IF($C116="&lt;01",ROUND(INDEX(EID!$P:$P,MATCH($B116,EID!$B:$B,0))/2,0),"")</f>
        <v/>
      </c>
      <c r="AO116" s="38" t="e">
        <f>IF($C116="&lt;01",SUM($AN116),ROUND(SUM($AM116)*SUM($O116)/IF(SUM($Z116)=0,1,$Z116),0))</f>
        <v>#REF!</v>
      </c>
      <c r="AP116" s="218">
        <f>IF(OR($F116="",$C116="&lt;01"),$AO116,ROUND($F116,0))</f>
        <v>115</v>
      </c>
      <c r="AQ116" s="218">
        <f>IF(LEFT($B116,4)="_Mil","",IF(SUM($AP116)=0,SUM($Z116),IF(OR(SUM($Z116)=0,SUM($O116)=0),MAX($AP116,$Z116),ROUND($AP116*$Z116/$O116,0))))</f>
        <v>89</v>
      </c>
      <c r="AR116" s="33" t="e">
        <f>IF(OR(LEFT($B116,4)="_Mil",SUM($AK116)=0),"",SUM($AQ116)/$AK116)</f>
        <v>#REF!</v>
      </c>
      <c r="AS116" s="33">
        <f t="shared" si="33"/>
        <v>0.98</v>
      </c>
      <c r="AT116" s="33">
        <f t="shared" si="32"/>
        <v>0.98</v>
      </c>
      <c r="AU116" s="38">
        <f>IF($C116="&lt;01","",SUM($AP116)-SUM($O116))</f>
        <v>0</v>
      </c>
      <c r="AV116" s="38">
        <f>IF($C116="&lt;01",ROUND(INDEX(EID!$N:$N,MATCH($B116,EID!$B:$B,0))/2,0),IF(SUM($AT116)=0,"",ROUND((SUM($AP116)-(SUM($O116)*SUM($AS116)))/$AT116,0)))</f>
        <v>2</v>
      </c>
      <c r="AW116" s="33">
        <f t="shared" si="26"/>
        <v>1</v>
      </c>
      <c r="AX116" s="218">
        <f>IF($C116="&lt;01",SUM($AV116),ROUND(SUM($AV116)*SUM($AW116),0))</f>
        <v>2</v>
      </c>
      <c r="AY116" s="79">
        <f t="shared" si="27"/>
        <v>0.7</v>
      </c>
      <c r="AZ116" s="85">
        <f>IF($C116="&lt;01",ROUND(INDEX(EID!$R:$R,MATCH($B116,EID!$B:$B,0))/2,0),ROUND(SUM($O116)+(SUM($AV116)*$AY116),0))</f>
        <v>116</v>
      </c>
      <c r="BA116" s="40">
        <f t="shared" si="31"/>
        <v>0.9</v>
      </c>
      <c r="BB116" s="99">
        <f>IF($C116="&lt;01",ROUND(INDEX(EID!$T:$T,MATCH($B116,EID!$B:$B,0))/2,0),ROUND($AP116*$BA116,0))</f>
        <v>104</v>
      </c>
      <c r="BC116" s="85">
        <f>IF(LEFT($B116,4)="_Mil","",IF(SUM($BB116)=0,SUM($AD116),IF(OR(SUM($AP116)=0,SUM($AQ116)=0),MAX($BB116,$AD116),ROUND($BB116*$AQ116/$AP116,0))))</f>
        <v>80</v>
      </c>
      <c r="BD116" s="33">
        <f t="shared" si="28"/>
        <v>0.95</v>
      </c>
      <c r="BE116" s="218">
        <f>IF($C116="&lt;01",ROUND(INDEX(EID!$V:$V,MATCH($B116,EID!$B:$B,0))/2,0),ROUND($BD116*$BB116,0))</f>
        <v>99</v>
      </c>
      <c r="BF116" s="218">
        <f>IF(LEFT($B116,4)="_Mil","",IF(SUM($BE116)=0,SUM($AF116),IF(OR(SUM($AP116)=0,SUM($AQ116)=0),MAX($BE116,$AF116),ROUND($BE116*$AQ116/$AP116,0))))</f>
        <v>77</v>
      </c>
      <c r="BG116" s="79">
        <f t="shared" si="29"/>
        <v>0.95</v>
      </c>
      <c r="BH116" s="99">
        <f>IF($C116="&lt;01",ROUND(INDEX(EID!$L:$L,MATCH($B116,EID!$B:$B,0)),0)/2,IF(SUM($BG116)=0,"",ROUND($AX116/$BG116,0)))</f>
        <v>2</v>
      </c>
    </row>
    <row r="117" spans="1:60" x14ac:dyDescent="0.2">
      <c r="A117" t="str">
        <f>INDEX(Prioritization!$D:$D,MATCH($B117,Prioritization!$A:$A,0))</f>
        <v>4 - Sustained</v>
      </c>
      <c r="B117" t="s">
        <v>299</v>
      </c>
      <c r="C117" t="s">
        <v>474</v>
      </c>
      <c r="D117" t="s">
        <v>30</v>
      </c>
      <c r="E117" t="str">
        <f t="shared" si="19"/>
        <v>Dowa District [zphK9WV8JB4]|10-14|Female</v>
      </c>
      <c r="F117" s="229">
        <v>147</v>
      </c>
      <c r="G117" s="38">
        <v>20</v>
      </c>
      <c r="H117" s="38">
        <v>4</v>
      </c>
      <c r="I117" s="38">
        <v>92</v>
      </c>
      <c r="J117" s="38">
        <v>95</v>
      </c>
      <c r="K117" s="38">
        <v>81</v>
      </c>
      <c r="L117" s="38">
        <v>14</v>
      </c>
      <c r="M117" s="38">
        <v>13</v>
      </c>
      <c r="N117" s="38">
        <v>127</v>
      </c>
      <c r="O117" s="229">
        <v>147</v>
      </c>
      <c r="P117" s="38">
        <v>107</v>
      </c>
      <c r="Q117" s="38">
        <v>102</v>
      </c>
      <c r="R117" s="38">
        <f t="shared" si="20"/>
        <v>55</v>
      </c>
      <c r="S117" s="38">
        <f>IF(LEFT($B117,4)="_Mil","",_xlfn.IFNA(ROUND(INDEX(Spectrum!$N:$N,MATCH(RIGHT($B117,13)&amp;"|"&amp;$C117&amp;"|"&amp;$D117&amp;"|"&amp;S$14&amp;"|"&amp;"CY2023Q4",Spectrum!$R:$R,0)),0),""))</f>
        <v>115</v>
      </c>
      <c r="T117" s="218">
        <f>IF(LEFT($B117,4)="_Mil","",_xlfn.IFNA(ROUND(INDEX(Spectrum!$N:$N,MATCH(RIGHT($B117,13)&amp;"|"&amp;$C117&amp;"|"&amp;$D117&amp;"|"&amp;T$14&amp;"|"&amp;"CY2024Q3",Spectrum!$R:$R,0)),0),""))</f>
        <v>64644</v>
      </c>
      <c r="U117" s="218">
        <f>IF(LEFT($B117,4)="_Mil","",_xlfn.IFNA(ROUND(INDEX(Spectrum!$N:$N,MATCH(RIGHT($B117,13)&amp;"|"&amp;$C117&amp;"|"&amp;$D117&amp;"|"&amp;U$14&amp;"|"&amp;"CY2024Q3",Spectrum!$R:$R,0)),0),""))</f>
        <v>184</v>
      </c>
      <c r="V117" s="38">
        <f>IF(LEFT($B117,4)="_Mil","",_xlfn.IFNA(ROUND(INDEX(Spectrum!$N:$N,MATCH(RIGHT($B117,13)&amp;"|"&amp;$C117&amp;"|"&amp;$D117&amp;"|"&amp;V$14&amp;"|"&amp;"CY2024Q3",Spectrum!$R:$R,0)),0),""))</f>
        <v>173</v>
      </c>
      <c r="W117" s="220">
        <f>IF(LEFT($B117,4)="_Mil","",_xlfn.IFNA(INDEX(Spectrum!$N:$N,MATCH(RIGHT($B117,13)&amp;"|"&amp;$C117&amp;"|"&amp;$D117&amp;"|"&amp;W$14&amp;"|"&amp;"CY2024Q3",Spectrum!$R:$R,0)),""))</f>
        <v>2.8493709999999998E-3</v>
      </c>
      <c r="X117" s="218">
        <f>IF(LEFT($B117,4)="_Mil","",_xlfn.IFNA(ROUND(INDEX(Spectrum!$N:$N,MATCH(RIGHT($B117,13)&amp;"|"&amp;$C117&amp;"|"&amp;$D117&amp;"|"&amp;X$14&amp;"|"&amp;"CY2024Q3",Spectrum!$R:$R,0)),0),""))</f>
        <v>133</v>
      </c>
      <c r="Y117" s="33">
        <f t="shared" si="21"/>
        <v>0.72</v>
      </c>
      <c r="Z117" s="218">
        <f>IF(LEFT($B117,4)="_Mil","",_xlfn.IFNA(ROUND(INDEX(Spectrum!$N:$N,MATCH(RIGHT($B117,13)&amp;"|"&amp;$C117&amp;"|"&amp;$D117&amp;"|"&amp;Z$14&amp;"|"&amp;"CY2024Q3",Spectrum!$R:$R,0)),0),""))</f>
        <v>114</v>
      </c>
      <c r="AA117" s="33">
        <f>IF(LEFT($B117,4)="_Mil","",IFERROR(1/(1/INDEX(Spectrum!$N:$N,MATCH(RIGHT($B117,13)&amp;"|"&amp;$C117&amp;"|"&amp;$D117&amp;"|"&amp;AA$14&amp;"|"&amp;"CY2024Q3",Spectrum!$R:$R,0))),IF(SUM($U117)=0,"",SUM($Z117)/$U117)))</f>
        <v>0.67356255300000001</v>
      </c>
      <c r="AB117" s="33">
        <f t="shared" si="22"/>
        <v>0.8571428571428571</v>
      </c>
      <c r="AC117" s="38">
        <f>IF(LEFT($B117,4)="_Mil","",_xlfn.IFNA(ROUND(INDEX(Spectrum!$N:$N,MATCH(RIGHT($B117,13)&amp;"|"&amp;$C117&amp;"|"&amp;$D117&amp;"|"&amp;AC$14&amp;"|"&amp;"CY2024Q3",Spectrum!$R:$R,0)),0),""))</f>
        <v>58</v>
      </c>
      <c r="AD117" s="38" t="str">
        <f>IF(LEFT($B117,4)="_Mil","",_xlfn.IFNA(ROUND(INDEX(Spectrum!$N:$N,MATCH(RIGHT($B117,13)&amp;"|"&amp;$C117&amp;"|"&amp;$D117&amp;"|"&amp;AD$14&amp;"|"&amp;"CY2024Q3",Spectrum!$R:$R,0)),0),""))</f>
        <v/>
      </c>
      <c r="AE117" s="33">
        <f t="shared" si="23"/>
        <v>0</v>
      </c>
      <c r="AF117" s="218" t="str">
        <f>IF(LEFT($B117,4)="_Mil","",_xlfn.IFNA(ROUND(INDEX(Spectrum!$N:$N,MATCH(RIGHT($B117,13)&amp;"|"&amp;$C117&amp;"|"&amp;$D117&amp;"|"&amp;AF$14&amp;"|"&amp;"CY2024Q3",Spectrum!$R:$R,0)),0),""))</f>
        <v/>
      </c>
      <c r="AG117" s="33" t="str">
        <f t="shared" si="24"/>
        <v/>
      </c>
      <c r="AH117" s="110" t="str">
        <f>IF(LEFT($B117,4)="_Mil","",_xlfn.IFNA(INDEX(Spectrum!$N:$N,MATCH(RIGHT($B117,13)&amp;"|"&amp;$C117&amp;"|"&amp;$D117&amp;"|"&amp;AH$14&amp;"|"&amp;"CY2024Q3",Spectrum!$R:$R,0)),""))</f>
        <v/>
      </c>
      <c r="AI117" s="218">
        <f>IF(LEFT($B117,4)="_Mil","",_xlfn.IFNA(ROUND(INDEX(Spectrum!$N:$N,MATCH(RIGHT($B117,13)&amp;"|"&amp;$C117&amp;"|"&amp;$D117&amp;"|"&amp;AI$14&amp;"|"&amp;"CY2025Q3",Spectrum!$R:$R,0)),0),""))</f>
        <v>0</v>
      </c>
      <c r="AJ117" s="38">
        <f>IF(LEFT($B117,4)="_Mil","",_xlfn.IFNA(ROUND(INDEX(Spectrum!$N:$N,MATCH(RIGHT($B117,13)&amp;"|"&amp;$C117&amp;"|"&amp;$D117&amp;"|"&amp;AJ$14&amp;"|"&amp;"CY2025Q3",Spectrum!$R:$R,0)),0),""))</f>
        <v>164</v>
      </c>
      <c r="AK117" s="218" t="e">
        <f>#REF!</f>
        <v>#REF!</v>
      </c>
      <c r="AL117" s="33">
        <f t="shared" si="25"/>
        <v>0.9</v>
      </c>
      <c r="AM117" s="38" t="e">
        <f>IF(OR(LEFT($B117,4)="_Mil",$C117="&lt;01"),"",ROUND(SUM($AK117)*SUM($AL117),0))</f>
        <v>#REF!</v>
      </c>
      <c r="AN117" s="38" t="str">
        <f>IF($C117="&lt;01",ROUND(INDEX(EID!$P:$P,MATCH($B117,EID!$B:$B,0))/2,0),"")</f>
        <v/>
      </c>
      <c r="AO117" s="38" t="e">
        <f>IF($C117="&lt;01",SUM($AN117),ROUND(SUM($AM117)*SUM($O117)/IF(SUM($Z117)=0,1,$Z117),0))</f>
        <v>#REF!</v>
      </c>
      <c r="AP117" s="218">
        <f>IF(OR($F117="",$C117="&lt;01"),$AO117,ROUND($F117,0))</f>
        <v>147</v>
      </c>
      <c r="AQ117" s="218">
        <f>IF(LEFT($B117,4)="_Mil","",IF(SUM($AP117)=0,SUM($Z117),IF(OR(SUM($Z117)=0,SUM($O117)=0),MAX($AP117,$Z117),ROUND($AP117*$Z117/$O117,0))))</f>
        <v>114</v>
      </c>
      <c r="AR117" s="33" t="e">
        <f>IF(OR(LEFT($B117,4)="_Mil",SUM($AK117)=0),"",SUM($AQ117)/$AK117)</f>
        <v>#REF!</v>
      </c>
      <c r="AS117" s="33">
        <f>IF($C117="&lt;01","",90%)</f>
        <v>0.9</v>
      </c>
      <c r="AT117" s="33">
        <f t="shared" si="32"/>
        <v>0.98</v>
      </c>
      <c r="AU117" s="38">
        <f>IF($C117="&lt;01","",SUM($AP117)-SUM($O117))</f>
        <v>0</v>
      </c>
      <c r="AV117" s="38">
        <f>IF($C117="&lt;01",ROUND(INDEX(EID!$N:$N,MATCH($B117,EID!$B:$B,0))/2,0),IF(SUM($AT117)=0,"",ROUND((SUM($AP117)-(SUM($O117)*SUM($AS117)))/$AT117,0)))</f>
        <v>15</v>
      </c>
      <c r="AW117" s="33">
        <f t="shared" si="26"/>
        <v>1</v>
      </c>
      <c r="AX117" s="218">
        <f>IF($C117="&lt;01",SUM($AV117),ROUND(SUM($AV117)*SUM($AW117),0))</f>
        <v>15</v>
      </c>
      <c r="AY117" s="79">
        <f t="shared" si="27"/>
        <v>0.7</v>
      </c>
      <c r="AZ117" s="85">
        <f>IF($C117="&lt;01",ROUND(INDEX(EID!$R:$R,MATCH($B117,EID!$B:$B,0))/2,0),ROUND(SUM($O117)+(SUM($AV117)*$AY117),0))</f>
        <v>158</v>
      </c>
      <c r="BA117" s="40">
        <f t="shared" si="31"/>
        <v>0.9</v>
      </c>
      <c r="BB117" s="99">
        <f>IF($C117="&lt;01",ROUND(INDEX(EID!$T:$T,MATCH($B117,EID!$B:$B,0))/2,0),ROUND($AP117*$BA117,0))</f>
        <v>132</v>
      </c>
      <c r="BC117" s="85">
        <f>IF(LEFT($B117,4)="_Mil","",IF(SUM($BB117)=0,SUM($AD117),IF(OR(SUM($AP117)=0,SUM($AQ117)=0),MAX($BB117,$AD117),ROUND($BB117*$AQ117/$AP117,0))))</f>
        <v>102</v>
      </c>
      <c r="BD117" s="33">
        <f t="shared" si="28"/>
        <v>0.95</v>
      </c>
      <c r="BE117" s="218">
        <f>IF($C117="&lt;01",ROUND(INDEX(EID!$V:$V,MATCH($B117,EID!$B:$B,0))/2,0),ROUND($BD117*$BB117,0))</f>
        <v>125</v>
      </c>
      <c r="BF117" s="218">
        <f>IF(LEFT($B117,4)="_Mil","",IF(SUM($BE117)=0,SUM($AF117),IF(OR(SUM($AP117)=0,SUM($AQ117)=0),MAX($BE117,$AF117),ROUND($BE117*$AQ117/$AP117,0))))</f>
        <v>97</v>
      </c>
      <c r="BG117" s="79">
        <f t="shared" si="29"/>
        <v>0.95</v>
      </c>
      <c r="BH117" s="99">
        <f>IF($C117="&lt;01",ROUND(INDEX(EID!$L:$L,MATCH($B117,EID!$B:$B,0)),0)/2,IF(SUM($BG117)=0,"",ROUND($AX117/$BG117,0)))</f>
        <v>16</v>
      </c>
    </row>
    <row r="118" spans="1:60" x14ac:dyDescent="0.2">
      <c r="A118" t="str">
        <f>INDEX(Prioritization!$D:$D,MATCH($B118,Prioritization!$A:$A,0))</f>
        <v>4 - Sustained</v>
      </c>
      <c r="B118" t="s">
        <v>299</v>
      </c>
      <c r="C118" t="s">
        <v>474</v>
      </c>
      <c r="D118" t="s">
        <v>48</v>
      </c>
      <c r="E118" t="str">
        <f t="shared" si="19"/>
        <v>Dowa District [zphK9WV8JB4]|10-14|Male</v>
      </c>
      <c r="F118" s="229">
        <v>146</v>
      </c>
      <c r="G118" s="38">
        <v>13</v>
      </c>
      <c r="H118" s="38">
        <v>4</v>
      </c>
      <c r="I118" s="38">
        <v>108</v>
      </c>
      <c r="J118" s="38">
        <v>85</v>
      </c>
      <c r="K118" s="38">
        <v>72</v>
      </c>
      <c r="L118" s="38">
        <v>15</v>
      </c>
      <c r="M118" s="38">
        <v>14</v>
      </c>
      <c r="N118" s="38">
        <v>136</v>
      </c>
      <c r="O118" s="229">
        <v>146</v>
      </c>
      <c r="P118" s="38">
        <v>114</v>
      </c>
      <c r="Q118" s="38">
        <v>108</v>
      </c>
      <c r="R118" s="38">
        <f t="shared" si="20"/>
        <v>38</v>
      </c>
      <c r="S118" s="38">
        <f>IF(LEFT($B118,4)="_Mil","",_xlfn.IFNA(ROUND(INDEX(Spectrum!$N:$N,MATCH(RIGHT($B118,13)&amp;"|"&amp;$C118&amp;"|"&amp;$D118&amp;"|"&amp;S$14&amp;"|"&amp;"CY2023Q4",Spectrum!$R:$R,0)),0),""))</f>
        <v>120</v>
      </c>
      <c r="T118" s="218">
        <f>IF(LEFT($B118,4)="_Mil","",_xlfn.IFNA(ROUND(INDEX(Spectrum!$N:$N,MATCH(RIGHT($B118,13)&amp;"|"&amp;$C118&amp;"|"&amp;$D118&amp;"|"&amp;T$14&amp;"|"&amp;"CY2024Q3",Spectrum!$R:$R,0)),0),""))</f>
        <v>63889</v>
      </c>
      <c r="U118" s="218">
        <f>IF(LEFT($B118,4)="_Mil","",_xlfn.IFNA(ROUND(INDEX(Spectrum!$N:$N,MATCH(RIGHT($B118,13)&amp;"|"&amp;$C118&amp;"|"&amp;$D118&amp;"|"&amp;U$14&amp;"|"&amp;"CY2024Q3",Spectrum!$R:$R,0)),0),""))</f>
        <v>183</v>
      </c>
      <c r="V118" s="38">
        <f>IF(LEFT($B118,4)="_Mil","",_xlfn.IFNA(ROUND(INDEX(Spectrum!$N:$N,MATCH(RIGHT($B118,13)&amp;"|"&amp;$C118&amp;"|"&amp;$D118&amp;"|"&amp;V$14&amp;"|"&amp;"CY2024Q3",Spectrum!$R:$R,0)),0),""))</f>
        <v>172</v>
      </c>
      <c r="W118" s="220">
        <f>IF(LEFT($B118,4)="_Mil","",_xlfn.IFNA(INDEX(Spectrum!$N:$N,MATCH(RIGHT($B118,13)&amp;"|"&amp;$C118&amp;"|"&amp;$D118&amp;"|"&amp;W$14&amp;"|"&amp;"CY2024Q3",Spectrum!$R:$R,0)),""))</f>
        <v>2.8702620000000002E-3</v>
      </c>
      <c r="X118" s="218">
        <f>IF(LEFT($B118,4)="_Mil","",_xlfn.IFNA(ROUND(INDEX(Spectrum!$N:$N,MATCH(RIGHT($B118,13)&amp;"|"&amp;$C118&amp;"|"&amp;$D118&amp;"|"&amp;X$14&amp;"|"&amp;"CY2024Q3",Spectrum!$R:$R,0)),0),""))</f>
        <v>132</v>
      </c>
      <c r="Y118" s="33">
        <f t="shared" si="21"/>
        <v>0.72</v>
      </c>
      <c r="Z118" s="218">
        <f>IF(LEFT($B118,4)="_Mil","",_xlfn.IFNA(ROUND(INDEX(Spectrum!$N:$N,MATCH(RIGHT($B118,13)&amp;"|"&amp;$C118&amp;"|"&amp;$D118&amp;"|"&amp;Z$14&amp;"|"&amp;"CY2024Q3",Spectrum!$R:$R,0)),0),""))</f>
        <v>119</v>
      </c>
      <c r="AA118" s="33">
        <f>IF(LEFT($B118,4)="_Mil","",IFERROR(1/(1/INDEX(Spectrum!$N:$N,MATCH(RIGHT($B118,13)&amp;"|"&amp;$C118&amp;"|"&amp;$D118&amp;"|"&amp;AA$14&amp;"|"&amp;"CY2024Q3",Spectrum!$R:$R,0))),IF(SUM($U118)=0,"",SUM($Z118)/$U118)))</f>
        <v>0.67331397100000001</v>
      </c>
      <c r="AB118" s="33">
        <f t="shared" si="22"/>
        <v>0.90151515151515149</v>
      </c>
      <c r="AC118" s="38">
        <f>IF(LEFT($B118,4)="_Mil","",_xlfn.IFNA(ROUND(INDEX(Spectrum!$N:$N,MATCH(RIGHT($B118,13)&amp;"|"&amp;$C118&amp;"|"&amp;$D118&amp;"|"&amp;AC$14&amp;"|"&amp;"CY2024Q3",Spectrum!$R:$R,0)),0),""))</f>
        <v>53</v>
      </c>
      <c r="AD118" s="38" t="str">
        <f>IF(LEFT($B118,4)="_Mil","",_xlfn.IFNA(ROUND(INDEX(Spectrum!$N:$N,MATCH(RIGHT($B118,13)&amp;"|"&amp;$C118&amp;"|"&amp;$D118&amp;"|"&amp;AD$14&amp;"|"&amp;"CY2024Q3",Spectrum!$R:$R,0)),0),""))</f>
        <v/>
      </c>
      <c r="AE118" s="33">
        <f t="shared" si="23"/>
        <v>0</v>
      </c>
      <c r="AF118" s="218" t="str">
        <f>IF(LEFT($B118,4)="_Mil","",_xlfn.IFNA(ROUND(INDEX(Spectrum!$N:$N,MATCH(RIGHT($B118,13)&amp;"|"&amp;$C118&amp;"|"&amp;$D118&amp;"|"&amp;AF$14&amp;"|"&amp;"CY2024Q3",Spectrum!$R:$R,0)),0),""))</f>
        <v/>
      </c>
      <c r="AG118" s="33" t="str">
        <f t="shared" si="24"/>
        <v/>
      </c>
      <c r="AH118" s="110" t="str">
        <f>IF(LEFT($B118,4)="_Mil","",_xlfn.IFNA(INDEX(Spectrum!$N:$N,MATCH(RIGHT($B118,13)&amp;"|"&amp;$C118&amp;"|"&amp;$D118&amp;"|"&amp;AH$14&amp;"|"&amp;"CY2024Q3",Spectrum!$R:$R,0)),""))</f>
        <v/>
      </c>
      <c r="AI118" s="218">
        <f>IF(LEFT($B118,4)="_Mil","",_xlfn.IFNA(ROUND(INDEX(Spectrum!$N:$N,MATCH(RIGHT($B118,13)&amp;"|"&amp;$C118&amp;"|"&amp;$D118&amp;"|"&amp;AI$14&amp;"|"&amp;"CY2025Q3",Spectrum!$R:$R,0)),0),""))</f>
        <v>0</v>
      </c>
      <c r="AJ118" s="38">
        <f>IF(LEFT($B118,4)="_Mil","",_xlfn.IFNA(ROUND(INDEX(Spectrum!$N:$N,MATCH(RIGHT($B118,13)&amp;"|"&amp;$C118&amp;"|"&amp;$D118&amp;"|"&amp;AJ$14&amp;"|"&amp;"CY2025Q3",Spectrum!$R:$R,0)),0),""))</f>
        <v>164</v>
      </c>
      <c r="AK118" s="218" t="e">
        <f>#REF!</f>
        <v>#REF!</v>
      </c>
      <c r="AL118" s="33">
        <f t="shared" si="25"/>
        <v>0.9</v>
      </c>
      <c r="AM118" s="38" t="e">
        <f>IF(OR(LEFT($B118,4)="_Mil",$C118="&lt;01"),"",ROUND(SUM($AK118)*SUM($AL118),0))</f>
        <v>#REF!</v>
      </c>
      <c r="AN118" s="38" t="str">
        <f>IF($C118="&lt;01",ROUND(INDEX(EID!$P:$P,MATCH($B118,EID!$B:$B,0))/2,0),"")</f>
        <v/>
      </c>
      <c r="AO118" s="38" t="e">
        <f>IF($C118="&lt;01",SUM($AN118),ROUND(SUM($AM118)*SUM($O118)/IF(SUM($Z118)=0,1,$Z118),0))</f>
        <v>#REF!</v>
      </c>
      <c r="AP118" s="218">
        <f>IF(OR($F118="",$C118="&lt;01"),$AO118,ROUND($F118,0))</f>
        <v>146</v>
      </c>
      <c r="AQ118" s="218">
        <f>IF(LEFT($B118,4)="_Mil","",IF(SUM($AP118)=0,SUM($Z118),IF(OR(SUM($Z118)=0,SUM($O118)=0),MAX($AP118,$Z118),ROUND($AP118*$Z118/$O118,0))))</f>
        <v>119</v>
      </c>
      <c r="AR118" s="33" t="e">
        <f>IF(OR(LEFT($B118,4)="_Mil",SUM($AK118)=0),"",SUM($AQ118)/$AK118)</f>
        <v>#REF!</v>
      </c>
      <c r="AS118" s="33">
        <f t="shared" si="33"/>
        <v>0.98</v>
      </c>
      <c r="AT118" s="33">
        <f t="shared" si="32"/>
        <v>0.98</v>
      </c>
      <c r="AU118" s="38">
        <f>IF($C118="&lt;01","",SUM($AP118)-SUM($O118))</f>
        <v>0</v>
      </c>
      <c r="AV118" s="38">
        <f>IF($C118="&lt;01",ROUND(INDEX(EID!$N:$N,MATCH($B118,EID!$B:$B,0))/2,0),IF(SUM($AT118)=0,"",ROUND((SUM($AP118)-(SUM($O118)*SUM($AS118)))/$AT118,0)))</f>
        <v>3</v>
      </c>
      <c r="AW118" s="33">
        <f t="shared" si="26"/>
        <v>1</v>
      </c>
      <c r="AX118" s="218">
        <f>IF($C118="&lt;01",SUM($AV118),ROUND(SUM($AV118)*SUM($AW118),0))</f>
        <v>3</v>
      </c>
      <c r="AY118" s="79">
        <f t="shared" si="27"/>
        <v>0.7</v>
      </c>
      <c r="AZ118" s="85">
        <f>IF($C118="&lt;01",ROUND(INDEX(EID!$R:$R,MATCH($B118,EID!$B:$B,0))/2,0),ROUND(SUM($O118)+(SUM($AV118)*$AY118),0))</f>
        <v>148</v>
      </c>
      <c r="BA118" s="40">
        <f t="shared" si="31"/>
        <v>0.9</v>
      </c>
      <c r="BB118" s="99">
        <f>IF($C118="&lt;01",ROUND(INDEX(EID!$T:$T,MATCH($B118,EID!$B:$B,0))/2,0),ROUND($AP118*$BA118,0))</f>
        <v>131</v>
      </c>
      <c r="BC118" s="85">
        <f>IF(LEFT($B118,4)="_Mil","",IF(SUM($BB118)=0,SUM($AD118),IF(OR(SUM($AP118)=0,SUM($AQ118)=0),MAX($BB118,$AD118),ROUND($BB118*$AQ118/$AP118,0))))</f>
        <v>107</v>
      </c>
      <c r="BD118" s="33">
        <f t="shared" si="28"/>
        <v>0.95</v>
      </c>
      <c r="BE118" s="218">
        <f>IF($C118="&lt;01",ROUND(INDEX(EID!$V:$V,MATCH($B118,EID!$B:$B,0))/2,0),ROUND($BD118*$BB118,0))</f>
        <v>124</v>
      </c>
      <c r="BF118" s="218">
        <f>IF(LEFT($B118,4)="_Mil","",IF(SUM($BE118)=0,SUM($AF118),IF(OR(SUM($AP118)=0,SUM($AQ118)=0),MAX($BE118,$AF118),ROUND($BE118*$AQ118/$AP118,0))))</f>
        <v>101</v>
      </c>
      <c r="BG118" s="79">
        <f t="shared" si="29"/>
        <v>0.95</v>
      </c>
      <c r="BH118" s="99">
        <f>IF($C118="&lt;01",ROUND(INDEX(EID!$L:$L,MATCH($B118,EID!$B:$B,0)),0)/2,IF(SUM($BG118)=0,"",ROUND($AX118/$BG118,0)))</f>
        <v>3</v>
      </c>
    </row>
    <row r="119" spans="1:60" x14ac:dyDescent="0.2">
      <c r="A119" t="str">
        <f>INDEX(Prioritization!$D:$D,MATCH($B119,Prioritization!$A:$A,0))</f>
        <v>4 - Sustained</v>
      </c>
      <c r="B119" t="s">
        <v>299</v>
      </c>
      <c r="C119" t="s">
        <v>475</v>
      </c>
      <c r="D119" t="s">
        <v>30</v>
      </c>
      <c r="E119" t="str">
        <f t="shared" si="19"/>
        <v>Dowa District [zphK9WV8JB4]|15-24|Female</v>
      </c>
      <c r="F119" s="229">
        <v>544</v>
      </c>
      <c r="G119" s="38">
        <v>158</v>
      </c>
      <c r="H119" s="38">
        <v>168</v>
      </c>
      <c r="I119" s="38">
        <v>494</v>
      </c>
      <c r="J119" s="38">
        <v>419</v>
      </c>
      <c r="K119" s="38">
        <v>374</v>
      </c>
      <c r="L119" s="38">
        <v>48</v>
      </c>
      <c r="M119" s="38">
        <v>47</v>
      </c>
      <c r="N119" s="38">
        <v>544</v>
      </c>
      <c r="O119" s="229">
        <v>520</v>
      </c>
      <c r="P119" s="38">
        <v>499</v>
      </c>
      <c r="Q119" s="38">
        <v>474</v>
      </c>
      <c r="R119" s="38">
        <f t="shared" si="20"/>
        <v>26</v>
      </c>
      <c r="S119" s="38">
        <f>IF(LEFT($B119,4)="_Mil","",_xlfn.IFNA(ROUND(INDEX(Spectrum!$N:$N,MATCH(RIGHT($B119,13)&amp;"|"&amp;$C119&amp;"|"&amp;$D119&amp;"|"&amp;S$14&amp;"|"&amp;"CY2023Q4",Spectrum!$R:$R,0)),0),""))</f>
        <v>572</v>
      </c>
      <c r="T119" s="218">
        <f>IF(LEFT($B119,4)="_Mil","",_xlfn.IFNA(ROUND(INDEX(Spectrum!$N:$N,MATCH(RIGHT($B119,13)&amp;"|"&amp;$C119&amp;"|"&amp;$D119&amp;"|"&amp;T$14&amp;"|"&amp;"CY2024Q3",Spectrum!$R:$R,0)),0),""))</f>
        <v>103534</v>
      </c>
      <c r="U119" s="218">
        <f>IF(LEFT($B119,4)="_Mil","",_xlfn.IFNA(ROUND(INDEX(Spectrum!$N:$N,MATCH(RIGHT($B119,13)&amp;"|"&amp;$C119&amp;"|"&amp;$D119&amp;"|"&amp;U$14&amp;"|"&amp;"CY2024Q3",Spectrum!$R:$R,0)),0),""))</f>
        <v>650</v>
      </c>
      <c r="V119" s="38">
        <f>IF(LEFT($B119,4)="_Mil","",_xlfn.IFNA(ROUND(INDEX(Spectrum!$N:$N,MATCH(RIGHT($B119,13)&amp;"|"&amp;$C119&amp;"|"&amp;$D119&amp;"|"&amp;V$14&amp;"|"&amp;"CY2024Q3",Spectrum!$R:$R,0)),0),""))</f>
        <v>612</v>
      </c>
      <c r="W119" s="220">
        <f>IF(LEFT($B119,4)="_Mil","",_xlfn.IFNA(INDEX(Spectrum!$N:$N,MATCH(RIGHT($B119,13)&amp;"|"&amp;$C119&amp;"|"&amp;$D119&amp;"|"&amp;W$14&amp;"|"&amp;"CY2024Q3",Spectrum!$R:$R,0)),""))</f>
        <v>6.2750549999999999E-3</v>
      </c>
      <c r="X119" s="218">
        <f>IF(LEFT($B119,4)="_Mil","",_xlfn.IFNA(ROUND(INDEX(Spectrum!$N:$N,MATCH(RIGHT($B119,13)&amp;"|"&amp;$C119&amp;"|"&amp;$D119&amp;"|"&amp;X$14&amp;"|"&amp;"CY2024Q3",Spectrum!$R:$R,0)),0),""))</f>
        <v>595</v>
      </c>
      <c r="Y119" s="33">
        <f t="shared" si="21"/>
        <v>0.92</v>
      </c>
      <c r="Z119" s="218">
        <f>IF(LEFT($B119,4)="_Mil","",_xlfn.IFNA(ROUND(INDEX(Spectrum!$N:$N,MATCH(RIGHT($B119,13)&amp;"|"&amp;$C119&amp;"|"&amp;$D119&amp;"|"&amp;Z$14&amp;"|"&amp;"CY2024Q3",Spectrum!$R:$R,0)),0),""))</f>
        <v>565</v>
      </c>
      <c r="AA119" s="33">
        <f>IF(LEFT($B119,4)="_Mil","",IFERROR(1/(1/INDEX(Spectrum!$N:$N,MATCH(RIGHT($B119,13)&amp;"|"&amp;$C119&amp;"|"&amp;$D119&amp;"|"&amp;AA$14&amp;"|"&amp;"CY2024Q3",Spectrum!$R:$R,0))),IF(SUM($U119)=0,"",SUM($Z119)/$U119)))</f>
        <v>0.91633558000000015</v>
      </c>
      <c r="AB119" s="33">
        <f t="shared" si="22"/>
        <v>0.94957983193277307</v>
      </c>
      <c r="AC119" s="38">
        <f>IF(LEFT($B119,4)="_Mil","",_xlfn.IFNA(ROUND(INDEX(Spectrum!$N:$N,MATCH(RIGHT($B119,13)&amp;"|"&amp;$C119&amp;"|"&amp;$D119&amp;"|"&amp;AC$14&amp;"|"&amp;"CY2024Q3",Spectrum!$R:$R,0)),0),""))</f>
        <v>48</v>
      </c>
      <c r="AD119" s="38" t="str">
        <f>IF(LEFT($B119,4)="_Mil","",_xlfn.IFNA(ROUND(INDEX(Spectrum!$N:$N,MATCH(RIGHT($B119,13)&amp;"|"&amp;$C119&amp;"|"&amp;$D119&amp;"|"&amp;AD$14&amp;"|"&amp;"CY2024Q3",Spectrum!$R:$R,0)),0),""))</f>
        <v/>
      </c>
      <c r="AE119" s="33">
        <f t="shared" si="23"/>
        <v>0</v>
      </c>
      <c r="AF119" s="218" t="str">
        <f>IF(LEFT($B119,4)="_Mil","",_xlfn.IFNA(ROUND(INDEX(Spectrum!$N:$N,MATCH(RIGHT($B119,13)&amp;"|"&amp;$C119&amp;"|"&amp;$D119&amp;"|"&amp;AF$14&amp;"|"&amp;"CY2024Q3",Spectrum!$R:$R,0)),0),""))</f>
        <v/>
      </c>
      <c r="AG119" s="33" t="str">
        <f t="shared" si="24"/>
        <v/>
      </c>
      <c r="AH119" s="110" t="str">
        <f>IF(LEFT($B119,4)="_Mil","",_xlfn.IFNA(INDEX(Spectrum!$N:$N,MATCH(RIGHT($B119,13)&amp;"|"&amp;$C119&amp;"|"&amp;$D119&amp;"|"&amp;AH$14&amp;"|"&amp;"CY2024Q3",Spectrum!$R:$R,0)),""))</f>
        <v/>
      </c>
      <c r="AI119" s="218">
        <f>IF(LEFT($B119,4)="_Mil","",_xlfn.IFNA(ROUND(INDEX(Spectrum!$N:$N,MATCH(RIGHT($B119,13)&amp;"|"&amp;$C119&amp;"|"&amp;$D119&amp;"|"&amp;AI$14&amp;"|"&amp;"CY2025Q3",Spectrum!$R:$R,0)),0),""))</f>
        <v>41</v>
      </c>
      <c r="AJ119" s="38">
        <f>IF(LEFT($B119,4)="_Mil","",_xlfn.IFNA(ROUND(INDEX(Spectrum!$N:$N,MATCH(RIGHT($B119,13)&amp;"|"&amp;$C119&amp;"|"&amp;$D119&amp;"|"&amp;AJ$14&amp;"|"&amp;"CY2025Q3",Spectrum!$R:$R,0)),0),""))</f>
        <v>636</v>
      </c>
      <c r="AK119" s="218" t="e">
        <f>#REF!</f>
        <v>#REF!</v>
      </c>
      <c r="AL119" s="33">
        <f t="shared" si="25"/>
        <v>0.91633558000000015</v>
      </c>
      <c r="AM119" s="38" t="e">
        <f>IF(OR(LEFT($B119,4)="_Mil",$C119="&lt;01"),"",ROUND(SUM($AK119)*SUM($AL119),0))</f>
        <v>#REF!</v>
      </c>
      <c r="AN119" s="38" t="str">
        <f>IF($C119="&lt;01",ROUND(INDEX(EID!$P:$P,MATCH($B119,EID!$B:$B,0))/2,0),"")</f>
        <v/>
      </c>
      <c r="AO119" s="38" t="e">
        <f>IF($C119="&lt;01",SUM($AN119),ROUND(SUM($AM119)*SUM($O119)/IF(SUM($Z119)=0,1,$Z119),0))</f>
        <v>#REF!</v>
      </c>
      <c r="AP119" s="218">
        <f>IF(OR($F119="",$C119="&lt;01"),$AO119,ROUND($F119,0))</f>
        <v>544</v>
      </c>
      <c r="AQ119" s="218">
        <f>IF(LEFT($B119,4)="_Mil","",IF(SUM($AP119)=0,SUM($Z119),IF(OR(SUM($Z119)=0,SUM($O119)=0),MAX($AP119,$Z119),ROUND($AP119*$Z119/$O119,0))))</f>
        <v>591</v>
      </c>
      <c r="AR119" s="33" t="e">
        <f>IF(OR(LEFT($B119,4)="_Mil",SUM($AK119)=0),"",SUM($AQ119)/$AK119)</f>
        <v>#REF!</v>
      </c>
      <c r="AS119" s="33">
        <f>IF($C119="&lt;01","",95%)</f>
        <v>0.95</v>
      </c>
      <c r="AT119" s="33">
        <f t="shared" si="32"/>
        <v>0.98</v>
      </c>
      <c r="AU119" s="38">
        <f>IF($C119="&lt;01","",SUM($AP119)-SUM($O119))</f>
        <v>24</v>
      </c>
      <c r="AV119" s="38">
        <f>IF($C119="&lt;01",ROUND(INDEX(EID!$N:$N,MATCH($B119,EID!$B:$B,0))/2,0),IF(SUM($AT119)=0,"",ROUND((SUM($AP119)-(SUM($O119)*SUM($AS119)))/$AT119,0)))</f>
        <v>51</v>
      </c>
      <c r="AW119" s="33">
        <f t="shared" si="26"/>
        <v>1</v>
      </c>
      <c r="AX119" s="218">
        <f>IF($C119="&lt;01",SUM($AV119),ROUND(SUM($AV119)*SUM($AW119),0))</f>
        <v>51</v>
      </c>
      <c r="AY119" s="79">
        <f t="shared" si="27"/>
        <v>0.7</v>
      </c>
      <c r="AZ119" s="85">
        <f>IF($C119="&lt;01",ROUND(INDEX(EID!$R:$R,MATCH($B119,EID!$B:$B,0))/2,0),ROUND(SUM($O119)+(SUM($AV119)*$AY119),0))</f>
        <v>556</v>
      </c>
      <c r="BA119" s="40">
        <f t="shared" si="31"/>
        <v>0.9</v>
      </c>
      <c r="BB119" s="99">
        <f>IF($C119="&lt;01",ROUND(INDEX(EID!$T:$T,MATCH($B119,EID!$B:$B,0))/2,0),ROUND($AP119*$BA119,0))</f>
        <v>490</v>
      </c>
      <c r="BC119" s="85">
        <f>IF(LEFT($B119,4)="_Mil","",IF(SUM($BB119)=0,SUM($AD119),IF(OR(SUM($AP119)=0,SUM($AQ119)=0),MAX($BB119,$AD119),ROUND($BB119*$AQ119/$AP119,0))))</f>
        <v>532</v>
      </c>
      <c r="BD119" s="33">
        <f t="shared" si="28"/>
        <v>0.95</v>
      </c>
      <c r="BE119" s="218">
        <f>IF($C119="&lt;01",ROUND(INDEX(EID!$V:$V,MATCH($B119,EID!$B:$B,0))/2,0),ROUND($BD119*$BB119,0))</f>
        <v>466</v>
      </c>
      <c r="BF119" s="218">
        <f>IF(LEFT($B119,4)="_Mil","",IF(SUM($BE119)=0,SUM($AF119),IF(OR(SUM($AP119)=0,SUM($AQ119)=0),MAX($BE119,$AF119),ROUND($BE119*$AQ119/$AP119,0))))</f>
        <v>506</v>
      </c>
      <c r="BG119" s="79">
        <f t="shared" si="29"/>
        <v>0.95</v>
      </c>
      <c r="BH119" s="99">
        <f>IF($C119="&lt;01",ROUND(INDEX(EID!$L:$L,MATCH($B119,EID!$B:$B,0)),0)/2,IF(SUM($BG119)=0,"",ROUND($AX119/$BG119,0)))</f>
        <v>54</v>
      </c>
    </row>
    <row r="120" spans="1:60" x14ac:dyDescent="0.2">
      <c r="A120" t="str">
        <f>INDEX(Prioritization!$D:$D,MATCH($B120,Prioritization!$A:$A,0))</f>
        <v>4 - Sustained</v>
      </c>
      <c r="B120" t="s">
        <v>299</v>
      </c>
      <c r="C120" t="s">
        <v>475</v>
      </c>
      <c r="D120" t="s">
        <v>48</v>
      </c>
      <c r="E120" t="str">
        <f t="shared" si="19"/>
        <v>Dowa District [zphK9WV8JB4]|15-24|Male</v>
      </c>
      <c r="F120" s="229">
        <v>394</v>
      </c>
      <c r="G120" s="38">
        <v>41</v>
      </c>
      <c r="H120" s="38">
        <v>32</v>
      </c>
      <c r="I120" s="38">
        <v>246</v>
      </c>
      <c r="J120" s="38">
        <v>206</v>
      </c>
      <c r="K120" s="38">
        <v>178</v>
      </c>
      <c r="L120" s="38">
        <v>41</v>
      </c>
      <c r="M120" s="38">
        <v>39</v>
      </c>
      <c r="N120" s="38">
        <v>451</v>
      </c>
      <c r="O120" s="229">
        <v>394</v>
      </c>
      <c r="P120" s="38">
        <v>413</v>
      </c>
      <c r="Q120" s="38">
        <v>392</v>
      </c>
      <c r="R120" s="38">
        <f t="shared" si="20"/>
        <v>148</v>
      </c>
      <c r="S120" s="38">
        <f>IF(LEFT($B120,4)="_Mil","",_xlfn.IFNA(ROUND(INDEX(Spectrum!$N:$N,MATCH(RIGHT($B120,13)&amp;"|"&amp;$C120&amp;"|"&amp;$D120&amp;"|"&amp;S$14&amp;"|"&amp;"CY2023Q4",Spectrum!$R:$R,0)),0),""))</f>
        <v>406</v>
      </c>
      <c r="T120" s="218">
        <f>IF(LEFT($B120,4)="_Mil","",_xlfn.IFNA(ROUND(INDEX(Spectrum!$N:$N,MATCH(RIGHT($B120,13)&amp;"|"&amp;$C120&amp;"|"&amp;$D120&amp;"|"&amp;T$14&amp;"|"&amp;"CY2024Q3",Spectrum!$R:$R,0)),0),""))</f>
        <v>106218</v>
      </c>
      <c r="U120" s="218">
        <f>IF(LEFT($B120,4)="_Mil","",_xlfn.IFNA(ROUND(INDEX(Spectrum!$N:$N,MATCH(RIGHT($B120,13)&amp;"|"&amp;$C120&amp;"|"&amp;$D120&amp;"|"&amp;U$14&amp;"|"&amp;"CY2024Q3",Spectrum!$R:$R,0)),0),""))</f>
        <v>498</v>
      </c>
      <c r="V120" s="38">
        <f>IF(LEFT($B120,4)="_Mil","",_xlfn.IFNA(ROUND(INDEX(Spectrum!$N:$N,MATCH(RIGHT($B120,13)&amp;"|"&amp;$C120&amp;"|"&amp;$D120&amp;"|"&amp;V$14&amp;"|"&amp;"CY2024Q3",Spectrum!$R:$R,0)),0),""))</f>
        <v>463</v>
      </c>
      <c r="W120" s="220">
        <f>IF(LEFT($B120,4)="_Mil","",_xlfn.IFNA(INDEX(Spectrum!$N:$N,MATCH(RIGHT($B120,13)&amp;"|"&amp;$C120&amp;"|"&amp;$D120&amp;"|"&amp;W$14&amp;"|"&amp;"CY2024Q3",Spectrum!$R:$R,0)),""))</f>
        <v>4.6842569999999998E-3</v>
      </c>
      <c r="X120" s="218">
        <f>IF(LEFT($B120,4)="_Mil","",_xlfn.IFNA(ROUND(INDEX(Spectrum!$N:$N,MATCH(RIGHT($B120,13)&amp;"|"&amp;$C120&amp;"|"&amp;$D120&amp;"|"&amp;X$14&amp;"|"&amp;"CY2024Q3",Spectrum!$R:$R,0)),0),""))</f>
        <v>439</v>
      </c>
      <c r="Y120" s="33">
        <f t="shared" si="21"/>
        <v>0.88</v>
      </c>
      <c r="Z120" s="218">
        <f>IF(LEFT($B120,4)="_Mil","",_xlfn.IFNA(ROUND(INDEX(Spectrum!$N:$N,MATCH(RIGHT($B120,13)&amp;"|"&amp;$C120&amp;"|"&amp;$D120&amp;"|"&amp;Z$14&amp;"|"&amp;"CY2024Q3",Spectrum!$R:$R,0)),0),""))</f>
        <v>414</v>
      </c>
      <c r="AA120" s="33">
        <f>IF(LEFT($B120,4)="_Mil","",IFERROR(1/(1/INDEX(Spectrum!$N:$N,MATCH(RIGHT($B120,13)&amp;"|"&amp;$C120&amp;"|"&amp;$D120&amp;"|"&amp;AA$14&amp;"|"&amp;"CY2024Q3",Spectrum!$R:$R,0))),IF(SUM($U120)=0,"",SUM($Z120)/$U120)))</f>
        <v>0.87844108300000001</v>
      </c>
      <c r="AB120" s="33">
        <f t="shared" si="22"/>
        <v>0.94305239179954437</v>
      </c>
      <c r="AC120" s="38">
        <f>IF(LEFT($B120,4)="_Mil","",_xlfn.IFNA(ROUND(INDEX(Spectrum!$N:$N,MATCH(RIGHT($B120,13)&amp;"|"&amp;$C120&amp;"|"&amp;$D120&amp;"|"&amp;AC$14&amp;"|"&amp;"CY2024Q3",Spectrum!$R:$R,0)),0),""))</f>
        <v>49</v>
      </c>
      <c r="AD120" s="38" t="str">
        <f>IF(LEFT($B120,4)="_Mil","",_xlfn.IFNA(ROUND(INDEX(Spectrum!$N:$N,MATCH(RIGHT($B120,13)&amp;"|"&amp;$C120&amp;"|"&amp;$D120&amp;"|"&amp;AD$14&amp;"|"&amp;"CY2024Q3",Spectrum!$R:$R,0)),0),""))</f>
        <v/>
      </c>
      <c r="AE120" s="33">
        <f t="shared" si="23"/>
        <v>0</v>
      </c>
      <c r="AF120" s="218" t="str">
        <f>IF(LEFT($B120,4)="_Mil","",_xlfn.IFNA(ROUND(INDEX(Spectrum!$N:$N,MATCH(RIGHT($B120,13)&amp;"|"&amp;$C120&amp;"|"&amp;$D120&amp;"|"&amp;AF$14&amp;"|"&amp;"CY2024Q3",Spectrum!$R:$R,0)),0),""))</f>
        <v/>
      </c>
      <c r="AG120" s="33" t="str">
        <f t="shared" si="24"/>
        <v/>
      </c>
      <c r="AH120" s="110" t="str">
        <f>IF(LEFT($B120,4)="_Mil","",_xlfn.IFNA(INDEX(Spectrum!$N:$N,MATCH(RIGHT($B120,13)&amp;"|"&amp;$C120&amp;"|"&amp;$D120&amp;"|"&amp;AH$14&amp;"|"&amp;"CY2024Q3",Spectrum!$R:$R,0)),""))</f>
        <v/>
      </c>
      <c r="AI120" s="218">
        <f>IF(LEFT($B120,4)="_Mil","",_xlfn.IFNA(ROUND(INDEX(Spectrum!$N:$N,MATCH(RIGHT($B120,13)&amp;"|"&amp;$C120&amp;"|"&amp;$D120&amp;"|"&amp;AI$14&amp;"|"&amp;"CY2025Q3",Spectrum!$R:$R,0)),0),""))</f>
        <v>7</v>
      </c>
      <c r="AJ120" s="38">
        <f>IF(LEFT($B120,4)="_Mil","",_xlfn.IFNA(ROUND(INDEX(Spectrum!$N:$N,MATCH(RIGHT($B120,13)&amp;"|"&amp;$C120&amp;"|"&amp;$D120&amp;"|"&amp;AJ$14&amp;"|"&amp;"CY2025Q3",Spectrum!$R:$R,0)),0),""))</f>
        <v>487</v>
      </c>
      <c r="AK120" s="218" t="e">
        <f>#REF!</f>
        <v>#REF!</v>
      </c>
      <c r="AL120" s="33">
        <f t="shared" si="25"/>
        <v>0.9</v>
      </c>
      <c r="AM120" s="38" t="e">
        <f>IF(OR(LEFT($B120,4)="_Mil",$C120="&lt;01"),"",ROUND(SUM($AK120)*SUM($AL120),0))</f>
        <v>#REF!</v>
      </c>
      <c r="AN120" s="38" t="str">
        <f>IF($C120="&lt;01",ROUND(INDEX(EID!$P:$P,MATCH($B120,EID!$B:$B,0))/2,0),"")</f>
        <v/>
      </c>
      <c r="AO120" s="38" t="e">
        <f>IF($C120="&lt;01",SUM($AN120),ROUND(SUM($AM120)*SUM($O120)/IF(SUM($Z120)=0,1,$Z120),0))</f>
        <v>#REF!</v>
      </c>
      <c r="AP120" s="218">
        <f>IF(OR($F120="",$C120="&lt;01"),$AO120,ROUND($F120,0))</f>
        <v>394</v>
      </c>
      <c r="AQ120" s="218">
        <f>IF(LEFT($B120,4)="_Mil","",IF(SUM($AP120)=0,SUM($Z120),IF(OR(SUM($Z120)=0,SUM($O120)=0),MAX($AP120,$Z120),ROUND($AP120*$Z120/$O120,0))))</f>
        <v>414</v>
      </c>
      <c r="AR120" s="33" t="e">
        <f>IF(OR(LEFT($B120,4)="_Mil",SUM($AK120)=0),"",SUM($AQ120)/$AK120)</f>
        <v>#REF!</v>
      </c>
      <c r="AS120" s="33">
        <f t="shared" si="33"/>
        <v>0.98</v>
      </c>
      <c r="AT120" s="33">
        <f t="shared" si="32"/>
        <v>0.98</v>
      </c>
      <c r="AU120" s="38">
        <f>IF($C120="&lt;01","",SUM($AP120)-SUM($O120))</f>
        <v>0</v>
      </c>
      <c r="AV120" s="38">
        <f>IF($C120="&lt;01",ROUND(INDEX(EID!$N:$N,MATCH($B120,EID!$B:$B,0))/2,0),IF(SUM($AT120)=0,"",ROUND((SUM($AP120)-(SUM($O120)*SUM($AS120)))/$AT120,0)))</f>
        <v>8</v>
      </c>
      <c r="AW120" s="33">
        <f t="shared" si="26"/>
        <v>1</v>
      </c>
      <c r="AX120" s="218">
        <f>IF($C120="&lt;01",SUM($AV120),ROUND(SUM($AV120)*SUM($AW120),0))</f>
        <v>8</v>
      </c>
      <c r="AY120" s="79">
        <f t="shared" si="27"/>
        <v>0.7</v>
      </c>
      <c r="AZ120" s="85">
        <f>IF($C120="&lt;01",ROUND(INDEX(EID!$R:$R,MATCH($B120,EID!$B:$B,0))/2,0),ROUND(SUM($O120)+(SUM($AV120)*$AY120),0))</f>
        <v>400</v>
      </c>
      <c r="BA120" s="40">
        <f t="shared" si="31"/>
        <v>0.9</v>
      </c>
      <c r="BB120" s="99">
        <f>IF($C120="&lt;01",ROUND(INDEX(EID!$T:$T,MATCH($B120,EID!$B:$B,0))/2,0),ROUND($AP120*$BA120,0))</f>
        <v>355</v>
      </c>
      <c r="BC120" s="85">
        <f>IF(LEFT($B120,4)="_Mil","",IF(SUM($BB120)=0,SUM($AD120),IF(OR(SUM($AP120)=0,SUM($AQ120)=0),MAX($BB120,$AD120),ROUND($BB120*$AQ120/$AP120,0))))</f>
        <v>373</v>
      </c>
      <c r="BD120" s="33">
        <f t="shared" si="28"/>
        <v>0.95</v>
      </c>
      <c r="BE120" s="218">
        <f>IF($C120="&lt;01",ROUND(INDEX(EID!$V:$V,MATCH($B120,EID!$B:$B,0))/2,0),ROUND($BD120*$BB120,0))</f>
        <v>337</v>
      </c>
      <c r="BF120" s="218">
        <f>IF(LEFT($B120,4)="_Mil","",IF(SUM($BE120)=0,SUM($AF120),IF(OR(SUM($AP120)=0,SUM($AQ120)=0),MAX($BE120,$AF120),ROUND($BE120*$AQ120/$AP120,0))))</f>
        <v>354</v>
      </c>
      <c r="BG120" s="79">
        <f t="shared" si="29"/>
        <v>0.95</v>
      </c>
      <c r="BH120" s="99">
        <f>IF($C120="&lt;01",ROUND(INDEX(EID!$L:$L,MATCH($B120,EID!$B:$B,0)),0)/2,IF(SUM($BG120)=0,"",ROUND($AX120/$BG120,0)))</f>
        <v>8</v>
      </c>
    </row>
    <row r="121" spans="1:60" x14ac:dyDescent="0.2">
      <c r="A121" t="str">
        <f>INDEX(Prioritization!$D:$D,MATCH($B121,Prioritization!$A:$A,0))</f>
        <v>4 - Sustained</v>
      </c>
      <c r="B121" t="s">
        <v>299</v>
      </c>
      <c r="C121" t="s">
        <v>476</v>
      </c>
      <c r="D121" t="s">
        <v>30</v>
      </c>
      <c r="E121" t="str">
        <f t="shared" si="19"/>
        <v>Dowa District [zphK9WV8JB4]|25-34|Female</v>
      </c>
      <c r="F121" s="229">
        <v>1336</v>
      </c>
      <c r="G121" s="38">
        <v>211</v>
      </c>
      <c r="H121" s="38">
        <v>252</v>
      </c>
      <c r="I121" s="38">
        <v>1336</v>
      </c>
      <c r="J121" s="38">
        <v>1011</v>
      </c>
      <c r="K121" s="38">
        <v>970</v>
      </c>
      <c r="L121" s="38">
        <v>93</v>
      </c>
      <c r="M121" s="38">
        <v>91</v>
      </c>
      <c r="N121" s="38">
        <v>1553</v>
      </c>
      <c r="O121" s="229">
        <v>1336</v>
      </c>
      <c r="P121" s="38">
        <v>1454</v>
      </c>
      <c r="Q121" s="38">
        <v>1381</v>
      </c>
      <c r="R121" s="38">
        <f t="shared" si="20"/>
        <v>0</v>
      </c>
      <c r="S121" s="38">
        <f>IF(LEFT($B121,4)="_Mil","",_xlfn.IFNA(ROUND(INDEX(Spectrum!$N:$N,MATCH(RIGHT($B121,13)&amp;"|"&amp;$C121&amp;"|"&amp;$D121&amp;"|"&amp;S$14&amp;"|"&amp;"CY2023Q4",Spectrum!$R:$R,0)),0),""))</f>
        <v>1575</v>
      </c>
      <c r="T121" s="218">
        <f>IF(LEFT($B121,4)="_Mil","",_xlfn.IFNA(ROUND(INDEX(Spectrum!$N:$N,MATCH(RIGHT($B121,13)&amp;"|"&amp;$C121&amp;"|"&amp;$D121&amp;"|"&amp;T$14&amp;"|"&amp;"CY2024Q3",Spectrum!$R:$R,0)),0),""))</f>
        <v>71556</v>
      </c>
      <c r="U121" s="218">
        <f>IF(LEFT($B121,4)="_Mil","",_xlfn.IFNA(ROUND(INDEX(Spectrum!$N:$N,MATCH(RIGHT($B121,13)&amp;"|"&amp;$C121&amp;"|"&amp;$D121&amp;"|"&amp;U$14&amp;"|"&amp;"CY2024Q3",Spectrum!$R:$R,0)),0),""))</f>
        <v>1641</v>
      </c>
      <c r="V121" s="38">
        <f>IF(LEFT($B121,4)="_Mil","",_xlfn.IFNA(ROUND(INDEX(Spectrum!$N:$N,MATCH(RIGHT($B121,13)&amp;"|"&amp;$C121&amp;"|"&amp;$D121&amp;"|"&amp;V$14&amp;"|"&amp;"CY2024Q3",Spectrum!$R:$R,0)),0),""))</f>
        <v>1562</v>
      </c>
      <c r="W121" s="220">
        <f>IF(LEFT($B121,4)="_Mil","",_xlfn.IFNA(INDEX(Spectrum!$N:$N,MATCH(RIGHT($B121,13)&amp;"|"&amp;$C121&amp;"|"&amp;$D121&amp;"|"&amp;W$14&amp;"|"&amp;"CY2024Q3",Spectrum!$R:$R,0)),""))</f>
        <v>2.2934498000000001E-2</v>
      </c>
      <c r="X121" s="218">
        <f>IF(LEFT($B121,4)="_Mil","",_xlfn.IFNA(ROUND(INDEX(Spectrum!$N:$N,MATCH(RIGHT($B121,13)&amp;"|"&amp;$C121&amp;"|"&amp;$D121&amp;"|"&amp;X$14&amp;"|"&amp;"CY2024Q3",Spectrum!$R:$R,0)),0),""))</f>
        <v>1567</v>
      </c>
      <c r="Y121" s="33">
        <f t="shared" si="21"/>
        <v>0.95</v>
      </c>
      <c r="Z121" s="218">
        <f>IF(LEFT($B121,4)="_Mil","",_xlfn.IFNA(ROUND(INDEX(Spectrum!$N:$N,MATCH(RIGHT($B121,13)&amp;"|"&amp;$C121&amp;"|"&amp;$D121&amp;"|"&amp;Z$14&amp;"|"&amp;"CY2024Q3",Spectrum!$R:$R,0)),0),""))</f>
        <v>1492</v>
      </c>
      <c r="AA121" s="33">
        <f>IF(LEFT($B121,4)="_Mil","",IFERROR(1/(1/INDEX(Spectrum!$N:$N,MATCH(RIGHT($B121,13)&amp;"|"&amp;$C121&amp;"|"&amp;$D121&amp;"|"&amp;AA$14&amp;"|"&amp;"CY2024Q3",Spectrum!$R:$R,0))),IF(SUM($U121)=0,"",SUM($Z121)/$U121)))</f>
        <v>0.95511856800000006</v>
      </c>
      <c r="AB121" s="33">
        <f t="shared" si="22"/>
        <v>0.95213784301212512</v>
      </c>
      <c r="AC121" s="38">
        <f>IF(LEFT($B121,4)="_Mil","",_xlfn.IFNA(ROUND(INDEX(Spectrum!$N:$N,MATCH(RIGHT($B121,13)&amp;"|"&amp;$C121&amp;"|"&amp;$D121&amp;"|"&amp;AC$14&amp;"|"&amp;"CY2024Q3",Spectrum!$R:$R,0)),0),""))</f>
        <v>70</v>
      </c>
      <c r="AD121" s="38" t="str">
        <f>IF(LEFT($B121,4)="_Mil","",_xlfn.IFNA(ROUND(INDEX(Spectrum!$N:$N,MATCH(RIGHT($B121,13)&amp;"|"&amp;$C121&amp;"|"&amp;$D121&amp;"|"&amp;AD$14&amp;"|"&amp;"CY2024Q3",Spectrum!$R:$R,0)),0),""))</f>
        <v/>
      </c>
      <c r="AE121" s="33">
        <f t="shared" si="23"/>
        <v>0</v>
      </c>
      <c r="AF121" s="218" t="str">
        <f>IF(LEFT($B121,4)="_Mil","",_xlfn.IFNA(ROUND(INDEX(Spectrum!$N:$N,MATCH(RIGHT($B121,13)&amp;"|"&amp;$C121&amp;"|"&amp;$D121&amp;"|"&amp;AF$14&amp;"|"&amp;"CY2024Q3",Spectrum!$R:$R,0)),0),""))</f>
        <v/>
      </c>
      <c r="AG121" s="33" t="str">
        <f t="shared" si="24"/>
        <v/>
      </c>
      <c r="AH121" s="110" t="str">
        <f>IF(LEFT($B121,4)="_Mil","",_xlfn.IFNA(INDEX(Spectrum!$N:$N,MATCH(RIGHT($B121,13)&amp;"|"&amp;$C121&amp;"|"&amp;$D121&amp;"|"&amp;AH$14&amp;"|"&amp;"CY2024Q3",Spectrum!$R:$R,0)),""))</f>
        <v/>
      </c>
      <c r="AI121" s="218">
        <f>IF(LEFT($B121,4)="_Mil","",_xlfn.IFNA(ROUND(INDEX(Spectrum!$N:$N,MATCH(RIGHT($B121,13)&amp;"|"&amp;$C121&amp;"|"&amp;$D121&amp;"|"&amp;AI$14&amp;"|"&amp;"CY2025Q3",Spectrum!$R:$R,0)),0),""))</f>
        <v>42</v>
      </c>
      <c r="AJ121" s="38">
        <f>IF(LEFT($B121,4)="_Mil","",_xlfn.IFNA(ROUND(INDEX(Spectrum!$N:$N,MATCH(RIGHT($B121,13)&amp;"|"&amp;$C121&amp;"|"&amp;$D121&amp;"|"&amp;AJ$14&amp;"|"&amp;"CY2025Q3",Spectrum!$R:$R,0)),0),""))</f>
        <v>1530</v>
      </c>
      <c r="AK121" s="218" t="e">
        <f>#REF!</f>
        <v>#REF!</v>
      </c>
      <c r="AL121" s="33">
        <f t="shared" si="25"/>
        <v>0.95511856800000006</v>
      </c>
      <c r="AM121" s="38" t="e">
        <f>IF(OR(LEFT($B121,4)="_Mil",$C121="&lt;01"),"",ROUND(SUM($AK121)*SUM($AL121),0))</f>
        <v>#REF!</v>
      </c>
      <c r="AN121" s="38" t="str">
        <f>IF($C121="&lt;01",ROUND(INDEX(EID!$P:$P,MATCH($B121,EID!$B:$B,0))/2,0),"")</f>
        <v/>
      </c>
      <c r="AO121" s="38" t="e">
        <f>IF($C121="&lt;01",SUM($AN121),ROUND(SUM($AM121)*SUM($O121)/IF(SUM($Z121)=0,1,$Z121),0))</f>
        <v>#REF!</v>
      </c>
      <c r="AP121" s="218">
        <f>IF(OR($F121="",$C121="&lt;01"),$AO121,ROUND($F121,0))</f>
        <v>1336</v>
      </c>
      <c r="AQ121" s="218">
        <f>IF(LEFT($B121,4)="_Mil","",IF(SUM($AP121)=0,SUM($Z121),IF(OR(SUM($Z121)=0,SUM($O121)=0),MAX($AP121,$Z121),ROUND($AP121*$Z121/$O121,0))))</f>
        <v>1492</v>
      </c>
      <c r="AR121" s="33" t="e">
        <f>IF(OR(LEFT($B121,4)="_Mil",SUM($AK121)=0),"",SUM($AQ121)/$AK121)</f>
        <v>#REF!</v>
      </c>
      <c r="AS121" s="33">
        <f>IF($C121="&lt;01","",88%)</f>
        <v>0.88</v>
      </c>
      <c r="AT121" s="33">
        <f>IF($C121="&lt;01","",90%)</f>
        <v>0.9</v>
      </c>
      <c r="AU121" s="38">
        <f>IF($C121="&lt;01","",SUM($AP121)-SUM($O121))</f>
        <v>0</v>
      </c>
      <c r="AV121" s="38">
        <f>IF($C121="&lt;01",ROUND(INDEX(EID!$N:$N,MATCH($B121,EID!$B:$B,0))/2,0),IF(SUM($AT121)=0,"",ROUND((SUM($AP121)-(SUM($O121)*SUM($AS121)))/$AT121,0)))</f>
        <v>178</v>
      </c>
      <c r="AW121" s="33">
        <f t="shared" si="26"/>
        <v>1</v>
      </c>
      <c r="AX121" s="218">
        <f>IF($C121="&lt;01",SUM($AV121),ROUND(SUM($AV121)*SUM($AW121),0))</f>
        <v>178</v>
      </c>
      <c r="AY121" s="79">
        <f t="shared" si="27"/>
        <v>0.7</v>
      </c>
      <c r="AZ121" s="85">
        <f>IF($C121="&lt;01",ROUND(INDEX(EID!$R:$R,MATCH($B121,EID!$B:$B,0))/2,0),ROUND(SUM($O121)+(SUM($AV121)*$AY121),0))</f>
        <v>1461</v>
      </c>
      <c r="BA121" s="40">
        <f t="shared" si="31"/>
        <v>0.9</v>
      </c>
      <c r="BB121" s="99">
        <f>IF($C121="&lt;01",ROUND(INDEX(EID!$T:$T,MATCH($B121,EID!$B:$B,0))/2,0),ROUND($AP121*$BA121,0))</f>
        <v>1202</v>
      </c>
      <c r="BC121" s="85">
        <f>IF(LEFT($B121,4)="_Mil","",IF(SUM($BB121)=0,SUM($AD121),IF(OR(SUM($AP121)=0,SUM($AQ121)=0),MAX($BB121,$AD121),ROUND($BB121*$AQ121/$AP121,0))))</f>
        <v>1342</v>
      </c>
      <c r="BD121" s="33">
        <f t="shared" si="28"/>
        <v>0.95</v>
      </c>
      <c r="BE121" s="218">
        <f>IF($C121="&lt;01",ROUND(INDEX(EID!$V:$V,MATCH($B121,EID!$B:$B,0))/2,0),ROUND($BD121*$BB121,0))</f>
        <v>1142</v>
      </c>
      <c r="BF121" s="218">
        <f>IF(LEFT($B121,4)="_Mil","",IF(SUM($BE121)=0,SUM($AF121),IF(OR(SUM($AP121)=0,SUM($AQ121)=0),MAX($BE121,$AF121),ROUND($BE121*$AQ121/$AP121,0))))</f>
        <v>1275</v>
      </c>
      <c r="BG121" s="79">
        <f t="shared" si="29"/>
        <v>0.95</v>
      </c>
      <c r="BH121" s="99">
        <f>IF($C121="&lt;01",ROUND(INDEX(EID!$L:$L,MATCH($B121,EID!$B:$B,0)),0)/2,IF(SUM($BG121)=0,"",ROUND($AX121/$BG121,0)))</f>
        <v>187</v>
      </c>
    </row>
    <row r="122" spans="1:60" x14ac:dyDescent="0.2">
      <c r="A122" t="str">
        <f>INDEX(Prioritization!$D:$D,MATCH($B122,Prioritization!$A:$A,0))</f>
        <v>4 - Sustained</v>
      </c>
      <c r="B122" t="s">
        <v>299</v>
      </c>
      <c r="C122" t="s">
        <v>476</v>
      </c>
      <c r="D122" t="s">
        <v>48</v>
      </c>
      <c r="E122" t="str">
        <f t="shared" si="19"/>
        <v>Dowa District [zphK9WV8JB4]|25-34|Male</v>
      </c>
      <c r="F122" s="229">
        <v>557</v>
      </c>
      <c r="G122" s="38">
        <v>95</v>
      </c>
      <c r="H122" s="38">
        <v>101</v>
      </c>
      <c r="I122" s="38">
        <v>424</v>
      </c>
      <c r="J122" s="38">
        <v>290</v>
      </c>
      <c r="K122" s="38">
        <v>274</v>
      </c>
      <c r="L122" s="38">
        <v>14</v>
      </c>
      <c r="M122" s="38">
        <v>13</v>
      </c>
      <c r="N122" s="38">
        <v>656</v>
      </c>
      <c r="O122" s="229">
        <v>557</v>
      </c>
      <c r="P122" s="38">
        <v>593</v>
      </c>
      <c r="Q122" s="38">
        <v>563</v>
      </c>
      <c r="R122" s="38">
        <f t="shared" si="20"/>
        <v>133</v>
      </c>
      <c r="S122" s="38">
        <f>IF(LEFT($B122,4)="_Mil","",_xlfn.IFNA(ROUND(INDEX(Spectrum!$N:$N,MATCH(RIGHT($B122,13)&amp;"|"&amp;$C122&amp;"|"&amp;$D122&amp;"|"&amp;S$14&amp;"|"&amp;"CY2023Q4",Spectrum!$R:$R,0)),0),""))</f>
        <v>570</v>
      </c>
      <c r="T122" s="218">
        <f>IF(LEFT($B122,4)="_Mil","",_xlfn.IFNA(ROUND(INDEX(Spectrum!$N:$N,MATCH(RIGHT($B122,13)&amp;"|"&amp;$C122&amp;"|"&amp;$D122&amp;"|"&amp;T$14&amp;"|"&amp;"CY2024Q3",Spectrum!$R:$R,0)),0),""))</f>
        <v>70247</v>
      </c>
      <c r="U122" s="218">
        <f>IF(LEFT($B122,4)="_Mil","",_xlfn.IFNA(ROUND(INDEX(Spectrum!$N:$N,MATCH(RIGHT($B122,13)&amp;"|"&amp;$C122&amp;"|"&amp;$D122&amp;"|"&amp;U$14&amp;"|"&amp;"CY2024Q3",Spectrum!$R:$R,0)),0),""))</f>
        <v>698</v>
      </c>
      <c r="V122" s="38">
        <f>IF(LEFT($B122,4)="_Mil","",_xlfn.IFNA(ROUND(INDEX(Spectrum!$N:$N,MATCH(RIGHT($B122,13)&amp;"|"&amp;$C122&amp;"|"&amp;$D122&amp;"|"&amp;V$14&amp;"|"&amp;"CY2024Q3",Spectrum!$R:$R,0)),0),""))</f>
        <v>655</v>
      </c>
      <c r="W122" s="220">
        <f>IF(LEFT($B122,4)="_Mil","",_xlfn.IFNA(INDEX(Spectrum!$N:$N,MATCH(RIGHT($B122,13)&amp;"|"&amp;$C122&amp;"|"&amp;$D122&amp;"|"&amp;W$14&amp;"|"&amp;"CY2024Q3",Spectrum!$R:$R,0)),""))</f>
        <v>9.9316270000000002E-3</v>
      </c>
      <c r="X122" s="218">
        <f>IF(LEFT($B122,4)="_Mil","",_xlfn.IFNA(ROUND(INDEX(Spectrum!$N:$N,MATCH(RIGHT($B122,13)&amp;"|"&amp;$C122&amp;"|"&amp;$D122&amp;"|"&amp;X$14&amp;"|"&amp;"CY2024Q3",Spectrum!$R:$R,0)),0),""))</f>
        <v>595</v>
      </c>
      <c r="Y122" s="33">
        <f t="shared" si="21"/>
        <v>0.85</v>
      </c>
      <c r="Z122" s="218">
        <f>IF(LEFT($B122,4)="_Mil","",_xlfn.IFNA(ROUND(INDEX(Spectrum!$N:$N,MATCH(RIGHT($B122,13)&amp;"|"&amp;$C122&amp;"|"&amp;$D122&amp;"|"&amp;Z$14&amp;"|"&amp;"CY2024Q3",Spectrum!$R:$R,0)),0),""))</f>
        <v>568</v>
      </c>
      <c r="AA122" s="33">
        <f>IF(LEFT($B122,4)="_Mil","",IFERROR(1/(1/INDEX(Spectrum!$N:$N,MATCH(RIGHT($B122,13)&amp;"|"&amp;$C122&amp;"|"&amp;$D122&amp;"|"&amp;AA$14&amp;"|"&amp;"CY2024Q3",Spectrum!$R:$R,0))),IF(SUM($U122)=0,"",SUM($Z122)/$U122)))</f>
        <v>0.84374567499999997</v>
      </c>
      <c r="AB122" s="33">
        <f t="shared" si="22"/>
        <v>0.95462184873949585</v>
      </c>
      <c r="AC122" s="38">
        <f>IF(LEFT($B122,4)="_Mil","",_xlfn.IFNA(ROUND(INDEX(Spectrum!$N:$N,MATCH(RIGHT($B122,13)&amp;"|"&amp;$C122&amp;"|"&amp;$D122&amp;"|"&amp;AC$14&amp;"|"&amp;"CY2024Q3",Spectrum!$R:$R,0)),0),""))</f>
        <v>88</v>
      </c>
      <c r="AD122" s="38" t="str">
        <f>IF(LEFT($B122,4)="_Mil","",_xlfn.IFNA(ROUND(INDEX(Spectrum!$N:$N,MATCH(RIGHT($B122,13)&amp;"|"&amp;$C122&amp;"|"&amp;$D122&amp;"|"&amp;AD$14&amp;"|"&amp;"CY2024Q3",Spectrum!$R:$R,0)),0),""))</f>
        <v/>
      </c>
      <c r="AE122" s="33">
        <f t="shared" si="23"/>
        <v>0</v>
      </c>
      <c r="AF122" s="218" t="str">
        <f>IF(LEFT($B122,4)="_Mil","",_xlfn.IFNA(ROUND(INDEX(Spectrum!$N:$N,MATCH(RIGHT($B122,13)&amp;"|"&amp;$C122&amp;"|"&amp;$D122&amp;"|"&amp;AF$14&amp;"|"&amp;"CY2024Q3",Spectrum!$R:$R,0)),0),""))</f>
        <v/>
      </c>
      <c r="AG122" s="33" t="str">
        <f t="shared" si="24"/>
        <v/>
      </c>
      <c r="AH122" s="110" t="str">
        <f>IF(LEFT($B122,4)="_Mil","",_xlfn.IFNA(INDEX(Spectrum!$N:$N,MATCH(RIGHT($B122,13)&amp;"|"&amp;$C122&amp;"|"&amp;$D122&amp;"|"&amp;AH$14&amp;"|"&amp;"CY2024Q3",Spectrum!$R:$R,0)),""))</f>
        <v/>
      </c>
      <c r="AI122" s="218">
        <f>IF(LEFT($B122,4)="_Mil","",_xlfn.IFNA(ROUND(INDEX(Spectrum!$N:$N,MATCH(RIGHT($B122,13)&amp;"|"&amp;$C122&amp;"|"&amp;$D122&amp;"|"&amp;AI$14&amp;"|"&amp;"CY2025Q3",Spectrum!$R:$R,0)),0),""))</f>
        <v>25</v>
      </c>
      <c r="AJ122" s="38">
        <f>IF(LEFT($B122,4)="_Mil","",_xlfn.IFNA(ROUND(INDEX(Spectrum!$N:$N,MATCH(RIGHT($B122,13)&amp;"|"&amp;$C122&amp;"|"&amp;$D122&amp;"|"&amp;AJ$14&amp;"|"&amp;"CY2025Q3",Spectrum!$R:$R,0)),0),""))</f>
        <v>666</v>
      </c>
      <c r="AK122" s="218" t="e">
        <f>#REF!</f>
        <v>#REF!</v>
      </c>
      <c r="AL122" s="33">
        <f t="shared" si="25"/>
        <v>0.9</v>
      </c>
      <c r="AM122" s="38" t="e">
        <f>IF(OR(LEFT($B122,4)="_Mil",$C122="&lt;01"),"",ROUND(SUM($AK122)*SUM($AL122),0))</f>
        <v>#REF!</v>
      </c>
      <c r="AN122" s="38" t="str">
        <f>IF($C122="&lt;01",ROUND(INDEX(EID!$P:$P,MATCH($B122,EID!$B:$B,0))/2,0),"")</f>
        <v/>
      </c>
      <c r="AO122" s="38" t="e">
        <f>IF($C122="&lt;01",SUM($AN122),ROUND(SUM($AM122)*SUM($O122)/IF(SUM($Z122)=0,1,$Z122),0))</f>
        <v>#REF!</v>
      </c>
      <c r="AP122" s="218">
        <f>IF(OR($F122="",$C122="&lt;01"),$AO122,ROUND($F122,0))</f>
        <v>557</v>
      </c>
      <c r="AQ122" s="218">
        <f>IF(LEFT($B122,4)="_Mil","",IF(SUM($AP122)=0,SUM($Z122),IF(OR(SUM($Z122)=0,SUM($O122)=0),MAX($AP122,$Z122),ROUND($AP122*$Z122/$O122,0))))</f>
        <v>568</v>
      </c>
      <c r="AR122" s="33" t="e">
        <f>IF(OR(LEFT($B122,4)="_Mil",SUM($AK122)=0),"",SUM($AQ122)/$AK122)</f>
        <v>#REF!</v>
      </c>
      <c r="AS122" s="33">
        <f t="shared" si="33"/>
        <v>0.98</v>
      </c>
      <c r="AT122" s="33">
        <f t="shared" si="32"/>
        <v>0.98</v>
      </c>
      <c r="AU122" s="38">
        <f>IF($C122="&lt;01","",SUM($AP122)-SUM($O122))</f>
        <v>0</v>
      </c>
      <c r="AV122" s="38">
        <f>IF($C122="&lt;01",ROUND(INDEX(EID!$N:$N,MATCH($B122,EID!$B:$B,0))/2,0),IF(SUM($AT122)=0,"",ROUND((SUM($AP122)-(SUM($O122)*SUM($AS122)))/$AT122,0)))</f>
        <v>11</v>
      </c>
      <c r="AW122" s="33">
        <f t="shared" si="26"/>
        <v>1</v>
      </c>
      <c r="AX122" s="218">
        <f>IF($C122="&lt;01",SUM($AV122),ROUND(SUM($AV122)*SUM($AW122),0))</f>
        <v>11</v>
      </c>
      <c r="AY122" s="79">
        <f t="shared" si="27"/>
        <v>0.7</v>
      </c>
      <c r="AZ122" s="85">
        <f>IF($C122="&lt;01",ROUND(INDEX(EID!$R:$R,MATCH($B122,EID!$B:$B,0))/2,0),ROUND(SUM($O122)+(SUM($AV122)*$AY122),0))</f>
        <v>565</v>
      </c>
      <c r="BA122" s="40">
        <f t="shared" si="31"/>
        <v>0.9</v>
      </c>
      <c r="BB122" s="99">
        <f>IF($C122="&lt;01",ROUND(INDEX(EID!$T:$T,MATCH($B122,EID!$B:$B,0))/2,0),ROUND($AP122*$BA122,0))</f>
        <v>501</v>
      </c>
      <c r="BC122" s="85">
        <f>IF(LEFT($B122,4)="_Mil","",IF(SUM($BB122)=0,SUM($AD122),IF(OR(SUM($AP122)=0,SUM($AQ122)=0),MAX($BB122,$AD122),ROUND($BB122*$AQ122/$AP122,0))))</f>
        <v>511</v>
      </c>
      <c r="BD122" s="33">
        <f t="shared" si="28"/>
        <v>0.95</v>
      </c>
      <c r="BE122" s="218">
        <f>IF($C122="&lt;01",ROUND(INDEX(EID!$V:$V,MATCH($B122,EID!$B:$B,0))/2,0),ROUND($BD122*$BB122,0))</f>
        <v>476</v>
      </c>
      <c r="BF122" s="218">
        <f>IF(LEFT($B122,4)="_Mil","",IF(SUM($BE122)=0,SUM($AF122),IF(OR(SUM($AP122)=0,SUM($AQ122)=0),MAX($BE122,$AF122),ROUND($BE122*$AQ122/$AP122,0))))</f>
        <v>485</v>
      </c>
      <c r="BG122" s="79">
        <f t="shared" si="29"/>
        <v>0.95</v>
      </c>
      <c r="BH122" s="99">
        <f>IF($C122="&lt;01",ROUND(INDEX(EID!$L:$L,MATCH($B122,EID!$B:$B,0)),0)/2,IF(SUM($BG122)=0,"",ROUND($AX122/$BG122,0)))</f>
        <v>12</v>
      </c>
    </row>
    <row r="123" spans="1:60" x14ac:dyDescent="0.2">
      <c r="A123" t="str">
        <f>INDEX(Prioritization!$D:$D,MATCH($B123,Prioritization!$A:$A,0))</f>
        <v>4 - Sustained</v>
      </c>
      <c r="B123" t="s">
        <v>299</v>
      </c>
      <c r="C123" t="s">
        <v>477</v>
      </c>
      <c r="D123" t="s">
        <v>30</v>
      </c>
      <c r="E123" t="str">
        <f t="shared" si="19"/>
        <v>Dowa District [zphK9WV8JB4]|35-49|Female</v>
      </c>
      <c r="F123" s="229">
        <v>3660</v>
      </c>
      <c r="G123" s="38">
        <v>171</v>
      </c>
      <c r="H123" s="38">
        <v>184</v>
      </c>
      <c r="I123" s="38">
        <v>3243</v>
      </c>
      <c r="J123" s="38">
        <v>2875</v>
      </c>
      <c r="K123" s="38">
        <v>2774</v>
      </c>
      <c r="L123" s="38">
        <v>94</v>
      </c>
      <c r="M123" s="38">
        <v>92</v>
      </c>
      <c r="N123" s="38">
        <v>4107</v>
      </c>
      <c r="O123" s="229">
        <v>3660</v>
      </c>
      <c r="P123" s="38">
        <v>3701</v>
      </c>
      <c r="Q123" s="38">
        <v>3516</v>
      </c>
      <c r="R123" s="38">
        <f t="shared" si="20"/>
        <v>417</v>
      </c>
      <c r="S123" s="38">
        <f>IF(LEFT($B123,4)="_Mil","",_xlfn.IFNA(ROUND(INDEX(Spectrum!$N:$N,MATCH(RIGHT($B123,13)&amp;"|"&amp;$C123&amp;"|"&amp;$D123&amp;"|"&amp;S$14&amp;"|"&amp;"CY2023Q4",Spectrum!$R:$R,0)),0),""))</f>
        <v>4229</v>
      </c>
      <c r="T123" s="218">
        <f>IF(LEFT($B123,4)="_Mil","",_xlfn.IFNA(ROUND(INDEX(Spectrum!$N:$N,MATCH(RIGHT($B123,13)&amp;"|"&amp;$C123&amp;"|"&amp;$D123&amp;"|"&amp;T$14&amp;"|"&amp;"CY2024Q3",Spectrum!$R:$R,0)),0),""))</f>
        <v>74814</v>
      </c>
      <c r="U123" s="218">
        <f>IF(LEFT($B123,4)="_Mil","",_xlfn.IFNA(ROUND(INDEX(Spectrum!$N:$N,MATCH(RIGHT($B123,13)&amp;"|"&amp;$C123&amp;"|"&amp;$D123&amp;"|"&amp;U$14&amp;"|"&amp;"CY2024Q3",Spectrum!$R:$R,0)),0),""))</f>
        <v>4546</v>
      </c>
      <c r="V123" s="38">
        <f>IF(LEFT($B123,4)="_Mil","",_xlfn.IFNA(ROUND(INDEX(Spectrum!$N:$N,MATCH(RIGHT($B123,13)&amp;"|"&amp;$C123&amp;"|"&amp;$D123&amp;"|"&amp;V$14&amp;"|"&amp;"CY2024Q3",Spectrum!$R:$R,0)),0),""))</f>
        <v>4306</v>
      </c>
      <c r="W123" s="220">
        <f>IF(LEFT($B123,4)="_Mil","",_xlfn.IFNA(INDEX(Spectrum!$N:$N,MATCH(RIGHT($B123,13)&amp;"|"&amp;$C123&amp;"|"&amp;$D123&amp;"|"&amp;W$14&amp;"|"&amp;"CY2024Q3",Spectrum!$R:$R,0)),""))</f>
        <v>6.0768332000000001E-2</v>
      </c>
      <c r="X123" s="218">
        <f>IF(LEFT($B123,4)="_Mil","",_xlfn.IFNA(ROUND(INDEX(Spectrum!$N:$N,MATCH(RIGHT($B123,13)&amp;"|"&amp;$C123&amp;"|"&amp;$D123&amp;"|"&amp;X$14&amp;"|"&amp;"CY2024Q3",Spectrum!$R:$R,0)),0),""))</f>
        <v>4447</v>
      </c>
      <c r="Y123" s="33">
        <f t="shared" si="21"/>
        <v>0.98</v>
      </c>
      <c r="Z123" s="218">
        <f>IF(LEFT($B123,4)="_Mil","",_xlfn.IFNA(ROUND(INDEX(Spectrum!$N:$N,MATCH(RIGHT($B123,13)&amp;"|"&amp;$C123&amp;"|"&amp;$D123&amp;"|"&amp;Z$14&amp;"|"&amp;"CY2024Q3",Spectrum!$R:$R,0)),0),""))</f>
        <v>4219</v>
      </c>
      <c r="AA123" s="33">
        <f>IF(LEFT($B123,4)="_Mil","",IFERROR(1/(1/INDEX(Spectrum!$N:$N,MATCH(RIGHT($B123,13)&amp;"|"&amp;$C123&amp;"|"&amp;$D123&amp;"|"&amp;AA$14&amp;"|"&amp;"CY2024Q3",Spectrum!$R:$R,0))),IF(SUM($U123)=0,"",SUM($Z123)/$U123)))</f>
        <v>0.97762817899999999</v>
      </c>
      <c r="AB123" s="33">
        <f t="shared" si="22"/>
        <v>0.94872948054868456</v>
      </c>
      <c r="AC123" s="38">
        <f>IF(LEFT($B123,4)="_Mil","",_xlfn.IFNA(ROUND(INDEX(Spectrum!$N:$N,MATCH(RIGHT($B123,13)&amp;"|"&amp;$C123&amp;"|"&amp;$D123&amp;"|"&amp;AC$14&amp;"|"&amp;"CY2024Q3",Spectrum!$R:$R,0)),0),""))</f>
        <v>87</v>
      </c>
      <c r="AD123" s="38" t="str">
        <f>IF(LEFT($B123,4)="_Mil","",_xlfn.IFNA(ROUND(INDEX(Spectrum!$N:$N,MATCH(RIGHT($B123,13)&amp;"|"&amp;$C123&amp;"|"&amp;$D123&amp;"|"&amp;AD$14&amp;"|"&amp;"CY2024Q3",Spectrum!$R:$R,0)),0),""))</f>
        <v/>
      </c>
      <c r="AE123" s="33">
        <f t="shared" si="23"/>
        <v>0</v>
      </c>
      <c r="AF123" s="218" t="str">
        <f>IF(LEFT($B123,4)="_Mil","",_xlfn.IFNA(ROUND(INDEX(Spectrum!$N:$N,MATCH(RIGHT($B123,13)&amp;"|"&amp;$C123&amp;"|"&amp;$D123&amp;"|"&amp;AF$14&amp;"|"&amp;"CY2024Q3",Spectrum!$R:$R,0)),0),""))</f>
        <v/>
      </c>
      <c r="AG123" s="33" t="str">
        <f t="shared" si="24"/>
        <v/>
      </c>
      <c r="AH123" s="110" t="str">
        <f>IF(LEFT($B123,4)="_Mil","",_xlfn.IFNA(INDEX(Spectrum!$N:$N,MATCH(RIGHT($B123,13)&amp;"|"&amp;$C123&amp;"|"&amp;$D123&amp;"|"&amp;AH$14&amp;"|"&amp;"CY2024Q3",Spectrum!$R:$R,0)),""))</f>
        <v/>
      </c>
      <c r="AI123" s="218">
        <f>IF(LEFT($B123,4)="_Mil","",_xlfn.IFNA(ROUND(INDEX(Spectrum!$N:$N,MATCH(RIGHT($B123,13)&amp;"|"&amp;$C123&amp;"|"&amp;$D123&amp;"|"&amp;AI$14&amp;"|"&amp;"CY2025Q3",Spectrum!$R:$R,0)),0),""))</f>
        <v>24</v>
      </c>
      <c r="AJ123" s="38">
        <f>IF(LEFT($B123,4)="_Mil","",_xlfn.IFNA(ROUND(INDEX(Spectrum!$N:$N,MATCH(RIGHT($B123,13)&amp;"|"&amp;$C123&amp;"|"&amp;$D123&amp;"|"&amp;AJ$14&amp;"|"&amp;"CY2025Q3",Spectrum!$R:$R,0)),0),""))</f>
        <v>4506</v>
      </c>
      <c r="AK123" s="218" t="e">
        <f>#REF!</f>
        <v>#REF!</v>
      </c>
      <c r="AL123" s="33">
        <f t="shared" si="25"/>
        <v>0.97762817899999999</v>
      </c>
      <c r="AM123" s="38" t="e">
        <f>IF(OR(LEFT($B123,4)="_Mil",$C123="&lt;01"),"",ROUND(SUM($AK123)*SUM($AL123),0))</f>
        <v>#REF!</v>
      </c>
      <c r="AN123" s="38" t="str">
        <f>IF($C123="&lt;01",ROUND(INDEX(EID!$P:$P,MATCH($B123,EID!$B:$B,0))/2,0),"")</f>
        <v/>
      </c>
      <c r="AO123" s="38" t="e">
        <f>IF($C123="&lt;01",SUM($AN123),ROUND(SUM($AM123)*SUM($O123)/IF(SUM($Z123)=0,1,$Z123),0))</f>
        <v>#REF!</v>
      </c>
      <c r="AP123" s="218">
        <f>IF(OR($F123="",$C123="&lt;01"),$AO123,ROUND($F123,0))</f>
        <v>3660</v>
      </c>
      <c r="AQ123" s="218">
        <f>IF(LEFT($B123,4)="_Mil","",IF(SUM($AP123)=0,SUM($Z123),IF(OR(SUM($Z123)=0,SUM($O123)=0),MAX($AP123,$Z123),ROUND($AP123*$Z123/$O123,0))))</f>
        <v>4219</v>
      </c>
      <c r="AR123" s="33" t="e">
        <f>IF(OR(LEFT($B123,4)="_Mil",SUM($AK123)=0),"",SUM($AQ123)/$AK123)</f>
        <v>#REF!</v>
      </c>
      <c r="AS123" s="33">
        <f t="shared" si="33"/>
        <v>0.98</v>
      </c>
      <c r="AT123" s="33">
        <f t="shared" si="32"/>
        <v>0.98</v>
      </c>
      <c r="AU123" s="38">
        <f>IF($C123="&lt;01","",SUM($AP123)-SUM($O123))</f>
        <v>0</v>
      </c>
      <c r="AV123" s="38">
        <f>IF($C123="&lt;01",ROUND(INDEX(EID!$N:$N,MATCH($B123,EID!$B:$B,0))/2,0),IF(SUM($AT123)=0,"",ROUND((SUM($AP123)-(SUM($O123)*SUM($AS123)))/$AT123,0)))</f>
        <v>75</v>
      </c>
      <c r="AW123" s="33">
        <f t="shared" si="26"/>
        <v>1</v>
      </c>
      <c r="AX123" s="218">
        <f>IF($C123="&lt;01",SUM($AV123),ROUND(SUM($AV123)*SUM($AW123),0))</f>
        <v>75</v>
      </c>
      <c r="AY123" s="79">
        <f t="shared" si="27"/>
        <v>0.7</v>
      </c>
      <c r="AZ123" s="85">
        <f>IF($C123="&lt;01",ROUND(INDEX(EID!$R:$R,MATCH($B123,EID!$B:$B,0))/2,0),ROUND(SUM($O123)+(SUM($AV123)*$AY123),0))</f>
        <v>3713</v>
      </c>
      <c r="BA123" s="40">
        <f t="shared" si="31"/>
        <v>0.9</v>
      </c>
      <c r="BB123" s="99">
        <f>IF($C123="&lt;01",ROUND(INDEX(EID!$T:$T,MATCH($B123,EID!$B:$B,0))/2,0),ROUND($AP123*$BA123,0))</f>
        <v>3294</v>
      </c>
      <c r="BC123" s="85">
        <f>IF(LEFT($B123,4)="_Mil","",IF(SUM($BB123)=0,SUM($AD123),IF(OR(SUM($AP123)=0,SUM($AQ123)=0),MAX($BB123,$AD123),ROUND($BB123*$AQ123/$AP123,0))))</f>
        <v>3797</v>
      </c>
      <c r="BD123" s="33">
        <f t="shared" si="28"/>
        <v>0.95</v>
      </c>
      <c r="BE123" s="218">
        <f>IF($C123="&lt;01",ROUND(INDEX(EID!$V:$V,MATCH($B123,EID!$B:$B,0))/2,0),ROUND($BD123*$BB123,0))</f>
        <v>3129</v>
      </c>
      <c r="BF123" s="218">
        <f>IF(LEFT($B123,4)="_Mil","",IF(SUM($BE123)=0,SUM($AF123),IF(OR(SUM($AP123)=0,SUM($AQ123)=0),MAX($BE123,$AF123),ROUND($BE123*$AQ123/$AP123,0))))</f>
        <v>3607</v>
      </c>
      <c r="BG123" s="79">
        <f t="shared" si="29"/>
        <v>0.95</v>
      </c>
      <c r="BH123" s="99">
        <f>IF($C123="&lt;01",ROUND(INDEX(EID!$L:$L,MATCH($B123,EID!$B:$B,0)),0)/2,IF(SUM($BG123)=0,"",ROUND($AX123/$BG123,0)))</f>
        <v>79</v>
      </c>
    </row>
    <row r="124" spans="1:60" x14ac:dyDescent="0.2">
      <c r="A124" t="str">
        <f>INDEX(Prioritization!$D:$D,MATCH($B124,Prioritization!$A:$A,0))</f>
        <v>4 - Sustained</v>
      </c>
      <c r="B124" t="s">
        <v>299</v>
      </c>
      <c r="C124" t="s">
        <v>477</v>
      </c>
      <c r="D124" t="s">
        <v>48</v>
      </c>
      <c r="E124" t="str">
        <f t="shared" si="19"/>
        <v>Dowa District [zphK9WV8JB4]|35-49|Male</v>
      </c>
      <c r="F124" s="229">
        <v>2174</v>
      </c>
      <c r="G124" s="38">
        <v>130</v>
      </c>
      <c r="H124" s="38">
        <v>152</v>
      </c>
      <c r="I124" s="38">
        <v>1787</v>
      </c>
      <c r="J124" s="38">
        <v>1366</v>
      </c>
      <c r="K124" s="38">
        <v>1318</v>
      </c>
      <c r="L124" s="38">
        <v>38</v>
      </c>
      <c r="M124" s="38">
        <v>36</v>
      </c>
      <c r="N124" s="38">
        <v>2522</v>
      </c>
      <c r="O124" s="229">
        <v>2174</v>
      </c>
      <c r="P124" s="38">
        <v>2277</v>
      </c>
      <c r="Q124" s="38">
        <v>2163</v>
      </c>
      <c r="R124" s="38">
        <f t="shared" si="20"/>
        <v>387</v>
      </c>
      <c r="S124" s="38">
        <f>IF(LEFT($B124,4)="_Mil","",_xlfn.IFNA(ROUND(INDEX(Spectrum!$N:$N,MATCH(RIGHT($B124,13)&amp;"|"&amp;$C124&amp;"|"&amp;$D124&amp;"|"&amp;S$14&amp;"|"&amp;"CY2023Q4",Spectrum!$R:$R,0)),0),""))</f>
        <v>2385</v>
      </c>
      <c r="T124" s="218">
        <f>IF(LEFT($B124,4)="_Mil","",_xlfn.IFNA(ROUND(INDEX(Spectrum!$N:$N,MATCH(RIGHT($B124,13)&amp;"|"&amp;$C124&amp;"|"&amp;$D124&amp;"|"&amp;T$14&amp;"|"&amp;"CY2024Q3",Spectrum!$R:$R,0)),0),""))</f>
        <v>66687</v>
      </c>
      <c r="U124" s="218">
        <f>IF(LEFT($B124,4)="_Mil","",_xlfn.IFNA(ROUND(INDEX(Spectrum!$N:$N,MATCH(RIGHT($B124,13)&amp;"|"&amp;$C124&amp;"|"&amp;$D124&amp;"|"&amp;U$14&amp;"|"&amp;"CY2024Q3",Spectrum!$R:$R,0)),0),""))</f>
        <v>2760</v>
      </c>
      <c r="V124" s="38">
        <f>IF(LEFT($B124,4)="_Mil","",_xlfn.IFNA(ROUND(INDEX(Spectrum!$N:$N,MATCH(RIGHT($B124,13)&amp;"|"&amp;$C124&amp;"|"&amp;$D124&amp;"|"&amp;V$14&amp;"|"&amp;"CY2024Q3",Spectrum!$R:$R,0)),0),""))</f>
        <v>2558</v>
      </c>
      <c r="W124" s="220">
        <f>IF(LEFT($B124,4)="_Mil","",_xlfn.IFNA(INDEX(Spectrum!$N:$N,MATCH(RIGHT($B124,13)&amp;"|"&amp;$C124&amp;"|"&amp;$D124&amp;"|"&amp;W$14&amp;"|"&amp;"CY2024Q3",Spectrum!$R:$R,0)),""))</f>
        <v>4.1389410000000001E-2</v>
      </c>
      <c r="X124" s="218">
        <f>IF(LEFT($B124,4)="_Mil","",_xlfn.IFNA(ROUND(INDEX(Spectrum!$N:$N,MATCH(RIGHT($B124,13)&amp;"|"&amp;$C124&amp;"|"&amp;$D124&amp;"|"&amp;X$14&amp;"|"&amp;"CY2024Q3",Spectrum!$R:$R,0)),0),""))</f>
        <v>2509</v>
      </c>
      <c r="Y124" s="33">
        <f t="shared" si="21"/>
        <v>0.91</v>
      </c>
      <c r="Z124" s="218">
        <f>IF(LEFT($B124,4)="_Mil","",_xlfn.IFNA(ROUND(INDEX(Spectrum!$N:$N,MATCH(RIGHT($B124,13)&amp;"|"&amp;$C124&amp;"|"&amp;$D124&amp;"|"&amp;Z$14&amp;"|"&amp;"CY2024Q3",Spectrum!$R:$R,0)),0),""))</f>
        <v>2357</v>
      </c>
      <c r="AA124" s="33">
        <f>IF(LEFT($B124,4)="_Mil","",IFERROR(1/(1/INDEX(Spectrum!$N:$N,MATCH(RIGHT($B124,13)&amp;"|"&amp;$C124&amp;"|"&amp;$D124&amp;"|"&amp;AA$14&amp;"|"&amp;"CY2024Q3",Spectrum!$R:$R,0))),IF(SUM($U124)=0,"",SUM($Z124)/$U124)))</f>
        <v>0.90343677899999997</v>
      </c>
      <c r="AB124" s="33">
        <f t="shared" si="22"/>
        <v>0.93941809485850936</v>
      </c>
      <c r="AC124" s="38">
        <f>IF(LEFT($B124,4)="_Mil","",_xlfn.IFNA(ROUND(INDEX(Spectrum!$N:$N,MATCH(RIGHT($B124,13)&amp;"|"&amp;$C124&amp;"|"&amp;$D124&amp;"|"&amp;AC$14&amp;"|"&amp;"CY2024Q3",Spectrum!$R:$R,0)),0),""))</f>
        <v>201</v>
      </c>
      <c r="AD124" s="38" t="str">
        <f>IF(LEFT($B124,4)="_Mil","",_xlfn.IFNA(ROUND(INDEX(Spectrum!$N:$N,MATCH(RIGHT($B124,13)&amp;"|"&amp;$C124&amp;"|"&amp;$D124&amp;"|"&amp;AD$14&amp;"|"&amp;"CY2024Q3",Spectrum!$R:$R,0)),0),""))</f>
        <v/>
      </c>
      <c r="AE124" s="33">
        <f t="shared" si="23"/>
        <v>0</v>
      </c>
      <c r="AF124" s="218" t="str">
        <f>IF(LEFT($B124,4)="_Mil","",_xlfn.IFNA(ROUND(INDEX(Spectrum!$N:$N,MATCH(RIGHT($B124,13)&amp;"|"&amp;$C124&amp;"|"&amp;$D124&amp;"|"&amp;AF$14&amp;"|"&amp;"CY2024Q3",Spectrum!$R:$R,0)),0),""))</f>
        <v/>
      </c>
      <c r="AG124" s="33" t="str">
        <f t="shared" si="24"/>
        <v/>
      </c>
      <c r="AH124" s="110" t="str">
        <f>IF(LEFT($B124,4)="_Mil","",_xlfn.IFNA(INDEX(Spectrum!$N:$N,MATCH(RIGHT($B124,13)&amp;"|"&amp;$C124&amp;"|"&amp;$D124&amp;"|"&amp;AH$14&amp;"|"&amp;"CY2024Q3",Spectrum!$R:$R,0)),""))</f>
        <v/>
      </c>
      <c r="AI124" s="218">
        <f>IF(LEFT($B124,4)="_Mil","",_xlfn.IFNA(ROUND(INDEX(Spectrum!$N:$N,MATCH(RIGHT($B124,13)&amp;"|"&amp;$C124&amp;"|"&amp;$D124&amp;"|"&amp;AI$14&amp;"|"&amp;"CY2025Q3",Spectrum!$R:$R,0)),0),""))</f>
        <v>27</v>
      </c>
      <c r="AJ124" s="38">
        <f>IF(LEFT($B124,4)="_Mil","",_xlfn.IFNA(ROUND(INDEX(Spectrum!$N:$N,MATCH(RIGHT($B124,13)&amp;"|"&amp;$C124&amp;"|"&amp;$D124&amp;"|"&amp;AJ$14&amp;"|"&amp;"CY2025Q3",Spectrum!$R:$R,0)),0),""))</f>
        <v>2620</v>
      </c>
      <c r="AK124" s="218" t="e">
        <f>#REF!</f>
        <v>#REF!</v>
      </c>
      <c r="AL124" s="33">
        <f t="shared" si="25"/>
        <v>0.90343677899999997</v>
      </c>
      <c r="AM124" s="38" t="e">
        <f>IF(OR(LEFT($B124,4)="_Mil",$C124="&lt;01"),"",ROUND(SUM($AK124)*SUM($AL124),0))</f>
        <v>#REF!</v>
      </c>
      <c r="AN124" s="38" t="str">
        <f>IF($C124="&lt;01",ROUND(INDEX(EID!$P:$P,MATCH($B124,EID!$B:$B,0))/2,0),"")</f>
        <v/>
      </c>
      <c r="AO124" s="38" t="e">
        <f>IF($C124="&lt;01",SUM($AN124),ROUND(SUM($AM124)*SUM($O124)/IF(SUM($Z124)=0,1,$Z124),0))</f>
        <v>#REF!</v>
      </c>
      <c r="AP124" s="218">
        <f>IF(OR($F124="",$C124="&lt;01"),$AO124,ROUND($F124,0))</f>
        <v>2174</v>
      </c>
      <c r="AQ124" s="218">
        <f>IF(LEFT($B124,4)="_Mil","",IF(SUM($AP124)=0,SUM($Z124),IF(OR(SUM($Z124)=0,SUM($O124)=0),MAX($AP124,$Z124),ROUND($AP124*$Z124/$O124,0))))</f>
        <v>2357</v>
      </c>
      <c r="AR124" s="33" t="e">
        <f>IF(OR(LEFT($B124,4)="_Mil",SUM($AK124)=0),"",SUM($AQ124)/$AK124)</f>
        <v>#REF!</v>
      </c>
      <c r="AS124" s="33">
        <f t="shared" si="33"/>
        <v>0.98</v>
      </c>
      <c r="AT124" s="33">
        <f t="shared" si="32"/>
        <v>0.98</v>
      </c>
      <c r="AU124" s="38">
        <f>IF($C124="&lt;01","",SUM($AP124)-SUM($O124))</f>
        <v>0</v>
      </c>
      <c r="AV124" s="38">
        <f>IF($C124="&lt;01",ROUND(INDEX(EID!$N:$N,MATCH($B124,EID!$B:$B,0))/2,0),IF(SUM($AT124)=0,"",ROUND((SUM($AP124)-(SUM($O124)*SUM($AS124)))/$AT124,0)))</f>
        <v>44</v>
      </c>
      <c r="AW124" s="33">
        <f t="shared" si="26"/>
        <v>1</v>
      </c>
      <c r="AX124" s="218">
        <f>IF($C124="&lt;01",SUM($AV124),ROUND(SUM($AV124)*SUM($AW124),0))</f>
        <v>44</v>
      </c>
      <c r="AY124" s="79">
        <f t="shared" si="27"/>
        <v>0.7</v>
      </c>
      <c r="AZ124" s="85">
        <f>IF($C124="&lt;01",ROUND(INDEX(EID!$R:$R,MATCH($B124,EID!$B:$B,0))/2,0),ROUND(SUM($O124)+(SUM($AV124)*$AY124),0))</f>
        <v>2205</v>
      </c>
      <c r="BA124" s="40">
        <f t="shared" si="31"/>
        <v>0.9</v>
      </c>
      <c r="BB124" s="99">
        <f>IF($C124="&lt;01",ROUND(INDEX(EID!$T:$T,MATCH($B124,EID!$B:$B,0))/2,0),ROUND($AP124*$BA124,0))</f>
        <v>1957</v>
      </c>
      <c r="BC124" s="85">
        <f>IF(LEFT($B124,4)="_Mil","",IF(SUM($BB124)=0,SUM($AD124),IF(OR(SUM($AP124)=0,SUM($AQ124)=0),MAX($BB124,$AD124),ROUND($BB124*$AQ124/$AP124,0))))</f>
        <v>2122</v>
      </c>
      <c r="BD124" s="33">
        <f t="shared" si="28"/>
        <v>0.95</v>
      </c>
      <c r="BE124" s="218">
        <f>IF($C124="&lt;01",ROUND(INDEX(EID!$V:$V,MATCH($B124,EID!$B:$B,0))/2,0),ROUND($BD124*$BB124,0))</f>
        <v>1859</v>
      </c>
      <c r="BF124" s="218">
        <f>IF(LEFT($B124,4)="_Mil","",IF(SUM($BE124)=0,SUM($AF124),IF(OR(SUM($AP124)=0,SUM($AQ124)=0),MAX($BE124,$AF124),ROUND($BE124*$AQ124/$AP124,0))))</f>
        <v>2015</v>
      </c>
      <c r="BG124" s="79">
        <f t="shared" si="29"/>
        <v>0.95</v>
      </c>
      <c r="BH124" s="99">
        <f>IF($C124="&lt;01",ROUND(INDEX(EID!$L:$L,MATCH($B124,EID!$B:$B,0)),0)/2,IF(SUM($BG124)=0,"",ROUND($AX124/$BG124,0)))</f>
        <v>46</v>
      </c>
    </row>
    <row r="125" spans="1:60" x14ac:dyDescent="0.2">
      <c r="A125" t="str">
        <f>INDEX(Prioritization!$D:$D,MATCH($B125,Prioritization!$A:$A,0))</f>
        <v>4 - Sustained</v>
      </c>
      <c r="B125" t="s">
        <v>299</v>
      </c>
      <c r="C125" t="s">
        <v>478</v>
      </c>
      <c r="D125" t="s">
        <v>30</v>
      </c>
      <c r="E125" t="str">
        <f t="shared" si="19"/>
        <v>Dowa District [zphK9WV8JB4]|50+|Female</v>
      </c>
      <c r="F125" s="229">
        <v>2374</v>
      </c>
      <c r="G125" s="38">
        <v>40</v>
      </c>
      <c r="H125" s="38">
        <v>41</v>
      </c>
      <c r="I125" s="38">
        <v>2110</v>
      </c>
      <c r="J125" s="38">
        <v>1843</v>
      </c>
      <c r="K125" s="38">
        <v>1789</v>
      </c>
      <c r="L125" s="38">
        <v>76</v>
      </c>
      <c r="M125" s="38">
        <v>74</v>
      </c>
      <c r="N125" s="38">
        <v>2035</v>
      </c>
      <c r="O125" s="229">
        <v>2242</v>
      </c>
      <c r="P125" s="38">
        <v>1802</v>
      </c>
      <c r="Q125" s="38">
        <v>1712</v>
      </c>
      <c r="R125" s="38">
        <f t="shared" si="20"/>
        <v>132</v>
      </c>
      <c r="S125" s="38">
        <f>IF(LEFT($B125,4)="_Mil","",_xlfn.IFNA(ROUND(INDEX(Spectrum!$N:$N,MATCH(RIGHT($B125,13)&amp;"|"&amp;$C125&amp;"|"&amp;$D125&amp;"|"&amp;S$14&amp;"|"&amp;"CY2023Q4",Spectrum!$R:$R,0)),0),""))</f>
        <v>1928</v>
      </c>
      <c r="T125" s="218">
        <f>IF(LEFT($B125,4)="_Mil","",_xlfn.IFNA(ROUND(INDEX(Spectrum!$N:$N,MATCH(RIGHT($B125,13)&amp;"|"&amp;$C125&amp;"|"&amp;$D125&amp;"|"&amp;T$14&amp;"|"&amp;"CY2024Q3",Spectrum!$R:$R,0)),0),""))</f>
        <v>45668</v>
      </c>
      <c r="U125" s="218">
        <f>IF(LEFT($B125,4)="_Mil","",_xlfn.IFNA(ROUND(INDEX(Spectrum!$N:$N,MATCH(RIGHT($B125,13)&amp;"|"&amp;$C125&amp;"|"&amp;$D125&amp;"|"&amp;U$14&amp;"|"&amp;"CY2024Q3",Spectrum!$R:$R,0)),0),""))</f>
        <v>2287</v>
      </c>
      <c r="V125" s="38">
        <f>IF(LEFT($B125,4)="_Mil","",_xlfn.IFNA(ROUND(INDEX(Spectrum!$N:$N,MATCH(RIGHT($B125,13)&amp;"|"&amp;$C125&amp;"|"&amp;$D125&amp;"|"&amp;V$14&amp;"|"&amp;"CY2024Q3",Spectrum!$R:$R,0)),0),""))</f>
        <v>2086</v>
      </c>
      <c r="W125" s="220">
        <f>IF(LEFT($B125,4)="_Mil","",_xlfn.IFNA(INDEX(Spectrum!$N:$N,MATCH(RIGHT($B125,13)&amp;"|"&amp;$C125&amp;"|"&amp;$D125&amp;"|"&amp;W$14&amp;"|"&amp;"CY2024Q3",Spectrum!$R:$R,0)),""))</f>
        <v>5.0082038000000002E-2</v>
      </c>
      <c r="X125" s="218">
        <f>IF(LEFT($B125,4)="_Mil","",_xlfn.IFNA(ROUND(INDEX(Spectrum!$N:$N,MATCH(RIGHT($B125,13)&amp;"|"&amp;$C125&amp;"|"&amp;$D125&amp;"|"&amp;X$14&amp;"|"&amp;"CY2024Q3",Spectrum!$R:$R,0)),0),""))</f>
        <v>2258</v>
      </c>
      <c r="Y125" s="33">
        <f t="shared" si="21"/>
        <v>0.99</v>
      </c>
      <c r="Z125" s="218">
        <f>IF(LEFT($B125,4)="_Mil","",_xlfn.IFNA(ROUND(INDEX(Spectrum!$N:$N,MATCH(RIGHT($B125,13)&amp;"|"&amp;$C125&amp;"|"&amp;$D125&amp;"|"&amp;Z$14&amp;"|"&amp;"CY2024Q3",Spectrum!$R:$R,0)),0),""))</f>
        <v>2052</v>
      </c>
      <c r="AA125" s="33">
        <f>IF(LEFT($B125,4)="_Mil","",IFERROR(1/(1/INDEX(Spectrum!$N:$N,MATCH(RIGHT($B125,13)&amp;"|"&amp;$C125&amp;"|"&amp;$D125&amp;"|"&amp;AA$14&amp;"|"&amp;"CY2024Q3",Spectrum!$R:$R,0))),IF(SUM($U125)=0,"",SUM($Z125)/$U125)))</f>
        <v>0.98448496099999994</v>
      </c>
      <c r="AB125" s="33">
        <f t="shared" si="22"/>
        <v>0.9087688219663419</v>
      </c>
      <c r="AC125" s="38">
        <f>IF(LEFT($B125,4)="_Mil","",_xlfn.IFNA(ROUND(INDEX(Spectrum!$N:$N,MATCH(RIGHT($B125,13)&amp;"|"&amp;$C125&amp;"|"&amp;$D125&amp;"|"&amp;AC$14&amp;"|"&amp;"CY2024Q3",Spectrum!$R:$R,0)),0),""))</f>
        <v>34</v>
      </c>
      <c r="AD125" s="38" t="str">
        <f>IF(LEFT($B125,4)="_Mil","",_xlfn.IFNA(ROUND(INDEX(Spectrum!$N:$N,MATCH(RIGHT($B125,13)&amp;"|"&amp;$C125&amp;"|"&amp;$D125&amp;"|"&amp;AD$14&amp;"|"&amp;"CY2024Q3",Spectrum!$R:$R,0)),0),""))</f>
        <v/>
      </c>
      <c r="AE125" s="33">
        <f t="shared" si="23"/>
        <v>0</v>
      </c>
      <c r="AF125" s="218" t="str">
        <f>IF(LEFT($B125,4)="_Mil","",_xlfn.IFNA(ROUND(INDEX(Spectrum!$N:$N,MATCH(RIGHT($B125,13)&amp;"|"&amp;$C125&amp;"|"&amp;$D125&amp;"|"&amp;AF$14&amp;"|"&amp;"CY2024Q3",Spectrum!$R:$R,0)),0),""))</f>
        <v/>
      </c>
      <c r="AG125" s="33" t="str">
        <f t="shared" si="24"/>
        <v/>
      </c>
      <c r="AH125" s="110" t="str">
        <f>IF(LEFT($B125,4)="_Mil","",_xlfn.IFNA(INDEX(Spectrum!$N:$N,MATCH(RIGHT($B125,13)&amp;"|"&amp;$C125&amp;"|"&amp;$D125&amp;"|"&amp;AH$14&amp;"|"&amp;"CY2024Q3",Spectrum!$R:$R,0)),""))</f>
        <v/>
      </c>
      <c r="AI125" s="218">
        <f>IF(LEFT($B125,4)="_Mil","",_xlfn.IFNA(ROUND(INDEX(Spectrum!$N:$N,MATCH(RIGHT($B125,13)&amp;"|"&amp;$C125&amp;"|"&amp;$D125&amp;"|"&amp;AI$14&amp;"|"&amp;"CY2025Q3",Spectrum!$R:$R,0)),0),""))</f>
        <v>4</v>
      </c>
      <c r="AJ125" s="38">
        <f>IF(LEFT($B125,4)="_Mil","",_xlfn.IFNA(ROUND(INDEX(Spectrum!$N:$N,MATCH(RIGHT($B125,13)&amp;"|"&amp;$C125&amp;"|"&amp;$D125&amp;"|"&amp;AJ$14&amp;"|"&amp;"CY2025Q3",Spectrum!$R:$R,0)),0),""))</f>
        <v>2476</v>
      </c>
      <c r="AK125" s="218" t="e">
        <f>#REF!</f>
        <v>#REF!</v>
      </c>
      <c r="AL125" s="33">
        <f t="shared" si="25"/>
        <v>0.98448496099999994</v>
      </c>
      <c r="AM125" s="38" t="e">
        <f>IF(OR(LEFT($B125,4)="_Mil",$C125="&lt;01"),"",ROUND(SUM($AK125)*SUM($AL125),0))</f>
        <v>#REF!</v>
      </c>
      <c r="AN125" s="38" t="str">
        <f>IF($C125="&lt;01",ROUND(INDEX(EID!$P:$P,MATCH($B125,EID!$B:$B,0))/2,0),"")</f>
        <v/>
      </c>
      <c r="AO125" s="38" t="e">
        <f>IF($C125="&lt;01",SUM($AN125),ROUND(SUM($AM125)*SUM($O125)/IF(SUM($Z125)=0,1,$Z125),0))</f>
        <v>#REF!</v>
      </c>
      <c r="AP125" s="218">
        <f>IF(OR($F125="",$C125="&lt;01"),$AO125,ROUND($F125,0))</f>
        <v>2374</v>
      </c>
      <c r="AQ125" s="218">
        <f>IF(LEFT($B125,4)="_Mil","",IF(SUM($AP125)=0,SUM($Z125),IF(OR(SUM($Z125)=0,SUM($O125)=0),MAX($AP125,$Z125),ROUND($AP125*$Z125/$O125,0))))</f>
        <v>2173</v>
      </c>
      <c r="AR125" s="33" t="e">
        <f>IF(OR(LEFT($B125,4)="_Mil",SUM($AK125)=0),"",SUM($AQ125)/$AK125)</f>
        <v>#REF!</v>
      </c>
      <c r="AS125" s="33">
        <v>1.02</v>
      </c>
      <c r="AT125" s="33">
        <f>IF($C125="&lt;01","",100%)</f>
        <v>1</v>
      </c>
      <c r="AU125" s="38">
        <f>IF($C125="&lt;01","",SUM($AP125)-SUM($O125))</f>
        <v>132</v>
      </c>
      <c r="AV125" s="38">
        <f>IF($C125="&lt;01",ROUND(INDEX(EID!$N:$N,MATCH($B125,EID!$B:$B,0))/2,0),IF(SUM($AT125)=0,"",ROUND((SUM($AP125)-(SUM($O125)*SUM($AS125)))/$AT125,0)))</f>
        <v>87</v>
      </c>
      <c r="AW125" s="33">
        <v>0.8</v>
      </c>
      <c r="AX125" s="218">
        <f>IF($C125="&lt;01",SUM($AV125),ROUND(SUM($AV125)*SUM($AW125),0))</f>
        <v>70</v>
      </c>
      <c r="AY125" s="79">
        <f t="shared" si="27"/>
        <v>0.7</v>
      </c>
      <c r="AZ125" s="85">
        <f>IF($C125="&lt;01",ROUND(INDEX(EID!$R:$R,MATCH($B125,EID!$B:$B,0))/2,0),ROUND(SUM($O125)+(SUM($AV125)*$AY125),0))</f>
        <v>2303</v>
      </c>
      <c r="BA125" s="40">
        <f t="shared" si="31"/>
        <v>0.9</v>
      </c>
      <c r="BB125" s="99">
        <f>IF($C125="&lt;01",ROUND(INDEX(EID!$T:$T,MATCH($B125,EID!$B:$B,0))/2,0),ROUND($AP125*$BA125,0))</f>
        <v>2137</v>
      </c>
      <c r="BC125" s="85">
        <f>IF(LEFT($B125,4)="_Mil","",IF(SUM($BB125)=0,SUM($AD125),IF(OR(SUM($AP125)=0,SUM($AQ125)=0),MAX($BB125,$AD125),ROUND($BB125*$AQ125/$AP125,0))))</f>
        <v>1956</v>
      </c>
      <c r="BD125" s="33">
        <f t="shared" si="28"/>
        <v>0.95</v>
      </c>
      <c r="BE125" s="218">
        <f>IF($C125="&lt;01",ROUND(INDEX(EID!$V:$V,MATCH($B125,EID!$B:$B,0))/2,0),ROUND($BD125*$BB125,0))</f>
        <v>2030</v>
      </c>
      <c r="BF125" s="218">
        <f>IF(LEFT($B125,4)="_Mil","",IF(SUM($BE125)=0,SUM($AF125),IF(OR(SUM($AP125)=0,SUM($AQ125)=0),MAX($BE125,$AF125),ROUND($BE125*$AQ125/$AP125,0))))</f>
        <v>1858</v>
      </c>
      <c r="BG125" s="79">
        <f t="shared" si="29"/>
        <v>0.95</v>
      </c>
      <c r="BH125" s="99">
        <f>IF($C125="&lt;01",ROUND(INDEX(EID!$L:$L,MATCH($B125,EID!$B:$B,0)),0)/2,IF(SUM($BG125)=0,"",ROUND($AX125/$BG125,0)))</f>
        <v>74</v>
      </c>
    </row>
    <row r="126" spans="1:60" x14ac:dyDescent="0.2">
      <c r="A126" t="str">
        <f>INDEX(Prioritization!$D:$D,MATCH($B126,Prioritization!$A:$A,0))</f>
        <v>4 - Sustained</v>
      </c>
      <c r="B126" t="s">
        <v>299</v>
      </c>
      <c r="C126" t="s">
        <v>478</v>
      </c>
      <c r="D126" t="s">
        <v>48</v>
      </c>
      <c r="E126" t="str">
        <f t="shared" si="19"/>
        <v>Dowa District [zphK9WV8JB4]|50+|Male</v>
      </c>
      <c r="F126" s="229">
        <v>2001</v>
      </c>
      <c r="G126" s="38">
        <v>50</v>
      </c>
      <c r="H126" s="38">
        <v>67</v>
      </c>
      <c r="I126" s="38">
        <v>1873</v>
      </c>
      <c r="J126" s="38">
        <v>1505</v>
      </c>
      <c r="K126" s="38">
        <v>1458</v>
      </c>
      <c r="L126" s="38">
        <v>31</v>
      </c>
      <c r="M126" s="38">
        <v>29</v>
      </c>
      <c r="N126" s="38">
        <v>1953</v>
      </c>
      <c r="O126" s="229">
        <v>1937</v>
      </c>
      <c r="P126" s="38">
        <v>1759</v>
      </c>
      <c r="Q126" s="38">
        <v>1671</v>
      </c>
      <c r="R126" s="38">
        <f t="shared" si="20"/>
        <v>64</v>
      </c>
      <c r="S126" s="38">
        <f>IF(LEFT($B126,4)="_Mil","",_xlfn.IFNA(ROUND(INDEX(Spectrum!$N:$N,MATCH(RIGHT($B126,13)&amp;"|"&amp;$C126&amp;"|"&amp;$D126&amp;"|"&amp;S$14&amp;"|"&amp;"CY2023Q4",Spectrum!$R:$R,0)),0),""))</f>
        <v>1772</v>
      </c>
      <c r="T126" s="218">
        <f>IF(LEFT($B126,4)="_Mil","",_xlfn.IFNA(ROUND(INDEX(Spectrum!$N:$N,MATCH(RIGHT($B126,13)&amp;"|"&amp;$C126&amp;"|"&amp;$D126&amp;"|"&amp;T$14&amp;"|"&amp;"CY2024Q3",Spectrum!$R:$R,0)),0),""))</f>
        <v>37052</v>
      </c>
      <c r="U126" s="218">
        <f>IF(LEFT($B126,4)="_Mil","",_xlfn.IFNA(ROUND(INDEX(Spectrum!$N:$N,MATCH(RIGHT($B126,13)&amp;"|"&amp;$C126&amp;"|"&amp;$D126&amp;"|"&amp;U$14&amp;"|"&amp;"CY2024Q3",Spectrum!$R:$R,0)),0),""))</f>
        <v>2191</v>
      </c>
      <c r="V126" s="38">
        <f>IF(LEFT($B126,4)="_Mil","",_xlfn.IFNA(ROUND(INDEX(Spectrum!$N:$N,MATCH(RIGHT($B126,13)&amp;"|"&amp;$C126&amp;"|"&amp;$D126&amp;"|"&amp;V$14&amp;"|"&amp;"CY2024Q3",Spectrum!$R:$R,0)),0),""))</f>
        <v>1994</v>
      </c>
      <c r="W126" s="220">
        <f>IF(LEFT($B126,4)="_Mil","",_xlfn.IFNA(INDEX(Spectrum!$N:$N,MATCH(RIGHT($B126,13)&amp;"|"&amp;$C126&amp;"|"&amp;$D126&amp;"|"&amp;W$14&amp;"|"&amp;"CY2024Q3",Spectrum!$R:$R,0)),""))</f>
        <v>5.9119000999999997E-2</v>
      </c>
      <c r="X126" s="218">
        <f>IF(LEFT($B126,4)="_Mil","",_xlfn.IFNA(ROUND(INDEX(Spectrum!$N:$N,MATCH(RIGHT($B126,13)&amp;"|"&amp;$C126&amp;"|"&amp;$D126&amp;"|"&amp;X$14&amp;"|"&amp;"CY2024Q3",Spectrum!$R:$R,0)),0),""))</f>
        <v>2052</v>
      </c>
      <c r="Y126" s="33">
        <f t="shared" si="21"/>
        <v>0.94</v>
      </c>
      <c r="Z126" s="218">
        <f>IF(LEFT($B126,4)="_Mil","",_xlfn.IFNA(ROUND(INDEX(Spectrum!$N:$N,MATCH(RIGHT($B126,13)&amp;"|"&amp;$C126&amp;"|"&amp;$D126&amp;"|"&amp;Z$14&amp;"|"&amp;"CY2024Q3",Spectrum!$R:$R,0)),0),""))</f>
        <v>1882</v>
      </c>
      <c r="AA126" s="33">
        <f>IF(LEFT($B126,4)="_Mil","",IFERROR(1/(1/INDEX(Spectrum!$N:$N,MATCH(RIGHT($B126,13)&amp;"|"&amp;$C126&amp;"|"&amp;$D126&amp;"|"&amp;AA$14&amp;"|"&amp;"CY2024Q3",Spectrum!$R:$R,0))),IF(SUM($U126)=0,"",SUM($Z126)/$U126)))</f>
        <v>0.93289692199999996</v>
      </c>
      <c r="AB126" s="33">
        <f t="shared" si="22"/>
        <v>0.9171539961013645</v>
      </c>
      <c r="AC126" s="38">
        <f>IF(LEFT($B126,4)="_Mil","",_xlfn.IFNA(ROUND(INDEX(Spectrum!$N:$N,MATCH(RIGHT($B126,13)&amp;"|"&amp;$C126&amp;"|"&amp;$D126&amp;"|"&amp;AC$14&amp;"|"&amp;"CY2024Q3",Spectrum!$R:$R,0)),0),""))</f>
        <v>112</v>
      </c>
      <c r="AD126" s="38" t="str">
        <f>IF(LEFT($B126,4)="_Mil","",_xlfn.IFNA(ROUND(INDEX(Spectrum!$N:$N,MATCH(RIGHT($B126,13)&amp;"|"&amp;$C126&amp;"|"&amp;$D126&amp;"|"&amp;AD$14&amp;"|"&amp;"CY2024Q3",Spectrum!$R:$R,0)),0),""))</f>
        <v/>
      </c>
      <c r="AE126" s="33">
        <f t="shared" si="23"/>
        <v>0</v>
      </c>
      <c r="AF126" s="218" t="str">
        <f>IF(LEFT($B126,4)="_Mil","",_xlfn.IFNA(ROUND(INDEX(Spectrum!$N:$N,MATCH(RIGHT($B126,13)&amp;"|"&amp;$C126&amp;"|"&amp;$D126&amp;"|"&amp;AF$14&amp;"|"&amp;"CY2024Q3",Spectrum!$R:$R,0)),0),""))</f>
        <v/>
      </c>
      <c r="AG126" s="33" t="str">
        <f t="shared" si="24"/>
        <v/>
      </c>
      <c r="AH126" s="110" t="str">
        <f>IF(LEFT($B126,4)="_Mil","",_xlfn.IFNA(INDEX(Spectrum!$N:$N,MATCH(RIGHT($B126,13)&amp;"|"&amp;$C126&amp;"|"&amp;$D126&amp;"|"&amp;AH$14&amp;"|"&amp;"CY2024Q3",Spectrum!$R:$R,0)),""))</f>
        <v/>
      </c>
      <c r="AI126" s="218">
        <f>IF(LEFT($B126,4)="_Mil","",_xlfn.IFNA(ROUND(INDEX(Spectrum!$N:$N,MATCH(RIGHT($B126,13)&amp;"|"&amp;$C126&amp;"|"&amp;$D126&amp;"|"&amp;AI$14&amp;"|"&amp;"CY2025Q3",Spectrum!$R:$R,0)),0),""))</f>
        <v>8</v>
      </c>
      <c r="AJ126" s="38">
        <f>IF(LEFT($B126,4)="_Mil","",_xlfn.IFNA(ROUND(INDEX(Spectrum!$N:$N,MATCH(RIGHT($B126,13)&amp;"|"&amp;$C126&amp;"|"&amp;$D126&amp;"|"&amp;AJ$14&amp;"|"&amp;"CY2025Q3",Spectrum!$R:$R,0)),0),""))</f>
        <v>2316</v>
      </c>
      <c r="AK126" s="218" t="e">
        <f>#REF!</f>
        <v>#REF!</v>
      </c>
      <c r="AL126" s="33">
        <f t="shared" si="25"/>
        <v>0.93289692199999996</v>
      </c>
      <c r="AM126" s="38" t="e">
        <f>IF(OR(LEFT($B126,4)="_Mil",$C126="&lt;01"),"",ROUND(SUM($AK126)*SUM($AL126),0))</f>
        <v>#REF!</v>
      </c>
      <c r="AN126" s="38" t="str">
        <f>IF($C126="&lt;01",ROUND(INDEX(EID!$P:$P,MATCH($B126,EID!$B:$B,0))/2,0),"")</f>
        <v/>
      </c>
      <c r="AO126" s="38" t="e">
        <f>IF($C126="&lt;01",SUM($AN126),ROUND(SUM($AM126)*SUM($O126)/IF(SUM($Z126)=0,1,$Z126),0))</f>
        <v>#REF!</v>
      </c>
      <c r="AP126" s="218">
        <f>IF(OR($F126="",$C126="&lt;01"),$AO126,ROUND($F126,0))</f>
        <v>2001</v>
      </c>
      <c r="AQ126" s="218">
        <f>IF(LEFT($B126,4)="_Mil","",IF(SUM($AP126)=0,SUM($Z126),IF(OR(SUM($Z126)=0,SUM($O126)=0),MAX($AP126,$Z126),ROUND($AP126*$Z126/$O126,0))))</f>
        <v>1944</v>
      </c>
      <c r="AR126" s="33" t="e">
        <f>IF(OR(LEFT($B126,4)="_Mil",SUM($AK126)=0),"",SUM($AQ126)/$AK126)</f>
        <v>#REF!</v>
      </c>
      <c r="AS126" s="33">
        <v>1.02</v>
      </c>
      <c r="AT126" s="33">
        <f>IF($C126="&lt;01","",100%)</f>
        <v>1</v>
      </c>
      <c r="AU126" s="38">
        <f>IF($C126="&lt;01","",SUM($AP126)-SUM($O126))</f>
        <v>64</v>
      </c>
      <c r="AV126" s="38">
        <f>IF($C126="&lt;01",ROUND(INDEX(EID!$N:$N,MATCH($B126,EID!$B:$B,0))/2,0),IF(SUM($AT126)=0,"",ROUND((SUM($AP126)-(SUM($O126)*SUM($AS126)))/$AT126,0)))</f>
        <v>25</v>
      </c>
      <c r="AW126" s="33">
        <v>0.8</v>
      </c>
      <c r="AX126" s="218">
        <f>IF($C126="&lt;01",SUM($AV126),ROUND(SUM($AV126)*SUM($AW126),0))</f>
        <v>20</v>
      </c>
      <c r="AY126" s="79">
        <f t="shared" si="27"/>
        <v>0.7</v>
      </c>
      <c r="AZ126" s="85">
        <f>IF($C126="&lt;01",ROUND(INDEX(EID!$R:$R,MATCH($B126,EID!$B:$B,0))/2,0),ROUND(SUM($O126)+(SUM($AV126)*$AY126),0))</f>
        <v>1955</v>
      </c>
      <c r="BA126" s="40">
        <f t="shared" si="31"/>
        <v>0.9</v>
      </c>
      <c r="BB126" s="99">
        <f>IF($C126="&lt;01",ROUND(INDEX(EID!$T:$T,MATCH($B126,EID!$B:$B,0))/2,0),ROUND($AP126*$BA126,0))</f>
        <v>1801</v>
      </c>
      <c r="BC126" s="85">
        <f>IF(LEFT($B126,4)="_Mil","",IF(SUM($BB126)=0,SUM($AD126),IF(OR(SUM($AP126)=0,SUM($AQ126)=0),MAX($BB126,$AD126),ROUND($BB126*$AQ126/$AP126,0))))</f>
        <v>1750</v>
      </c>
      <c r="BD126" s="33">
        <f t="shared" si="28"/>
        <v>0.95</v>
      </c>
      <c r="BE126" s="218">
        <f>IF($C126="&lt;01",ROUND(INDEX(EID!$V:$V,MATCH($B126,EID!$B:$B,0))/2,0),ROUND($BD126*$BB126,0))</f>
        <v>1711</v>
      </c>
      <c r="BF126" s="218">
        <f>IF(LEFT($B126,4)="_Mil","",IF(SUM($BE126)=0,SUM($AF126),IF(OR(SUM($AP126)=0,SUM($AQ126)=0),MAX($BE126,$AF126),ROUND($BE126*$AQ126/$AP126,0))))</f>
        <v>1662</v>
      </c>
      <c r="BG126" s="79">
        <f t="shared" si="29"/>
        <v>0.95</v>
      </c>
      <c r="BH126" s="99">
        <f>IF($C126="&lt;01",ROUND(INDEX(EID!$L:$L,MATCH($B126,EID!$B:$B,0)),0)/2,IF(SUM($BG126)=0,"",ROUND($AX126/$BG126,0)))</f>
        <v>21</v>
      </c>
    </row>
    <row r="127" spans="1:60" x14ac:dyDescent="0.2">
      <c r="A127" t="str">
        <f>INDEX(Prioritization!$D:$D,MATCH($B127,Prioritization!$A:$A,0))</f>
        <v>INVALID</v>
      </c>
      <c r="B127" t="s">
        <v>308</v>
      </c>
      <c r="C127" t="s">
        <v>426</v>
      </c>
      <c r="D127" t="s">
        <v>30</v>
      </c>
      <c r="E127" t="str">
        <f t="shared" si="19"/>
        <v>Karonga District [cPtvxaZqXIH]|&lt;01|Female</v>
      </c>
      <c r="F127" s="229">
        <v>8</v>
      </c>
      <c r="G127" s="38">
        <v>16</v>
      </c>
      <c r="H127" s="38">
        <v>5</v>
      </c>
      <c r="I127" s="38">
        <v>11</v>
      </c>
      <c r="J127" s="38">
        <v>16</v>
      </c>
      <c r="K127" s="38">
        <v>14</v>
      </c>
      <c r="L127" s="38"/>
      <c r="M127" s="38">
        <v>8</v>
      </c>
      <c r="N127" s="38">
        <v>8</v>
      </c>
      <c r="O127" s="229">
        <v>9</v>
      </c>
      <c r="P127" s="38">
        <v>5</v>
      </c>
      <c r="Q127" s="38">
        <v>5</v>
      </c>
      <c r="R127" s="38">
        <f t="shared" si="20"/>
        <v>-2</v>
      </c>
      <c r="S127" s="38">
        <f>IF(LEFT($B127,4)="_Mil","",_xlfn.IFNA(ROUND(INDEX(Spectrum!$N:$N,MATCH(RIGHT($B127,13)&amp;"|"&amp;$C127&amp;"|"&amp;$D127&amp;"|"&amp;S$14&amp;"|"&amp;"CY2023Q4",Spectrum!$R:$R,0)),0),""))</f>
        <v>7</v>
      </c>
      <c r="T127" s="218">
        <f>IF(LEFT($B127,4)="_Mil","",_xlfn.IFNA(ROUND(INDEX(Spectrum!$N:$N,MATCH(RIGHT($B127,13)&amp;"|"&amp;$C127&amp;"|"&amp;$D127&amp;"|"&amp;T$14&amp;"|"&amp;"CY2024Q3",Spectrum!$R:$R,0)),0),""))</f>
        <v>6337</v>
      </c>
      <c r="U127" s="218">
        <f>IF(LEFT($B127,4)="_Mil","",_xlfn.IFNA(ROUND(INDEX(Spectrum!$N:$N,MATCH(RIGHT($B127,13)&amp;"|"&amp;$C127&amp;"|"&amp;$D127&amp;"|"&amp;U$14&amp;"|"&amp;"CY2024Q3",Spectrum!$R:$R,0)),0),""))</f>
        <v>9</v>
      </c>
      <c r="V127" s="38">
        <f>IF(LEFT($B127,4)="_Mil","",_xlfn.IFNA(ROUND(INDEX(Spectrum!$N:$N,MATCH(RIGHT($B127,13)&amp;"|"&amp;$C127&amp;"|"&amp;$D127&amp;"|"&amp;V$14&amp;"|"&amp;"CY2024Q3",Spectrum!$R:$R,0)),0),""))</f>
        <v>9</v>
      </c>
      <c r="W127" s="220">
        <f>IF(LEFT($B127,4)="_Mil","",_xlfn.IFNA(INDEX(Spectrum!$N:$N,MATCH(RIGHT($B127,13)&amp;"|"&amp;$C127&amp;"|"&amp;$D127&amp;"|"&amp;W$14&amp;"|"&amp;"CY2024Q3",Spectrum!$R:$R,0)),""))</f>
        <v>1.4298270000000001E-3</v>
      </c>
      <c r="X127" s="218">
        <f>IF(LEFT($B127,4)="_Mil","",_xlfn.IFNA(ROUND(INDEX(Spectrum!$N:$N,MATCH(RIGHT($B127,13)&amp;"|"&amp;$C127&amp;"|"&amp;$D127&amp;"|"&amp;X$14&amp;"|"&amp;"CY2024Q3",Spectrum!$R:$R,0)),0),""))</f>
        <v>7</v>
      </c>
      <c r="Y127" s="33">
        <f t="shared" si="21"/>
        <v>0.78</v>
      </c>
      <c r="Z127" s="218">
        <f>IF(LEFT($B127,4)="_Mil","",_xlfn.IFNA(ROUND(INDEX(Spectrum!$N:$N,MATCH(RIGHT($B127,13)&amp;"|"&amp;$C127&amp;"|"&amp;$D127&amp;"|"&amp;Z$14&amp;"|"&amp;"CY2024Q3",Spectrum!$R:$R,0)),0),""))</f>
        <v>6</v>
      </c>
      <c r="AA127" s="33">
        <f>IF(LEFT($B127,4)="_Mil","",IFERROR(1/(1/INDEX(Spectrum!$N:$N,MATCH(RIGHT($B127,13)&amp;"|"&amp;$C127&amp;"|"&amp;$D127&amp;"|"&amp;AA$14&amp;"|"&amp;"CY2024Q3",Spectrum!$R:$R,0))),IF(SUM($U127)=0,"",SUM($Z127)/$U127)))</f>
        <v>0.69184321900000001</v>
      </c>
      <c r="AB127" s="33">
        <f t="shared" si="22"/>
        <v>0.8571428571428571</v>
      </c>
      <c r="AC127" s="38">
        <f>IF(LEFT($B127,4)="_Mil","",_xlfn.IFNA(ROUND(INDEX(Spectrum!$N:$N,MATCH(RIGHT($B127,13)&amp;"|"&amp;$C127&amp;"|"&amp;$D127&amp;"|"&amp;AC$14&amp;"|"&amp;"CY2024Q3",Spectrum!$R:$R,0)),0),""))</f>
        <v>3</v>
      </c>
      <c r="AD127" s="38" t="str">
        <f>IF(LEFT($B127,4)="_Mil","",_xlfn.IFNA(ROUND(INDEX(Spectrum!$N:$N,MATCH(RIGHT($B127,13)&amp;"|"&amp;$C127&amp;"|"&amp;$D127&amp;"|"&amp;AD$14&amp;"|"&amp;"CY2024Q3",Spectrum!$R:$R,0)),0),""))</f>
        <v/>
      </c>
      <c r="AE127" s="33">
        <f t="shared" si="23"/>
        <v>0</v>
      </c>
      <c r="AF127" s="218" t="str">
        <f>IF(LEFT($B127,4)="_Mil","",_xlfn.IFNA(ROUND(INDEX(Spectrum!$N:$N,MATCH(RIGHT($B127,13)&amp;"|"&amp;$C127&amp;"|"&amp;$D127&amp;"|"&amp;AF$14&amp;"|"&amp;"CY2024Q3",Spectrum!$R:$R,0)),0),""))</f>
        <v/>
      </c>
      <c r="AG127" s="33" t="str">
        <f t="shared" si="24"/>
        <v/>
      </c>
      <c r="AH127" s="110" t="str">
        <f>IF(LEFT($B127,4)="_Mil","",_xlfn.IFNA(INDEX(Spectrum!$N:$N,MATCH(RIGHT($B127,13)&amp;"|"&amp;$C127&amp;"|"&amp;$D127&amp;"|"&amp;AH$14&amp;"|"&amp;"CY2024Q3",Spectrum!$R:$R,0)),""))</f>
        <v/>
      </c>
      <c r="AI127" s="218">
        <f>IF(LEFT($B127,4)="_Mil","",_xlfn.IFNA(ROUND(INDEX(Spectrum!$N:$N,MATCH(RIGHT($B127,13)&amp;"|"&amp;$C127&amp;"|"&amp;$D127&amp;"|"&amp;AI$14&amp;"|"&amp;"CY2025Q3",Spectrum!$R:$R,0)),0),""))</f>
        <v>10</v>
      </c>
      <c r="AJ127" s="38">
        <f>IF(LEFT($B127,4)="_Mil","",_xlfn.IFNA(ROUND(INDEX(Spectrum!$N:$N,MATCH(RIGHT($B127,13)&amp;"|"&amp;$C127&amp;"|"&amp;$D127&amp;"|"&amp;AJ$14&amp;"|"&amp;"CY2025Q3",Spectrum!$R:$R,0)),0),""))</f>
        <v>8</v>
      </c>
      <c r="AK127" s="218" t="e">
        <f>#REF!</f>
        <v>#REF!</v>
      </c>
      <c r="AL127" s="33" t="str">
        <f t="shared" si="25"/>
        <v/>
      </c>
      <c r="AM127" s="38" t="str">
        <f>IF(OR(LEFT($B127,4)="_Mil",$C127="&lt;01"),"",ROUND(SUM($AK127)*SUM($AL127),0))</f>
        <v/>
      </c>
      <c r="AN127" s="38">
        <f>IF($C127="&lt;01",ROUND(INDEX(EID!$P:$P,MATCH($B127,EID!$B:$B,0))/2,0),"")</f>
        <v>0</v>
      </c>
      <c r="AO127" s="38">
        <f>IF($C127="&lt;01",SUM($AN127),ROUND(SUM($AM127)*SUM($O127)/IF(SUM($Z127)=0,1,$Z127),0))</f>
        <v>0</v>
      </c>
      <c r="AP127" s="218">
        <f>IF(OR($F127="",$C127="&lt;01"),$AO127,ROUND($F127,0))</f>
        <v>0</v>
      </c>
      <c r="AQ127" s="218">
        <f>IF(LEFT($B127,4)="_Mil","",IF(SUM($AP127)=0,SUM($Z127),IF(OR(SUM($Z127)=0,SUM($O127)=0),MAX($AP127,$Z127),ROUND($AP127*$Z127/$O127,0))))</f>
        <v>6</v>
      </c>
      <c r="AR127" s="33" t="e">
        <f>IF(OR(LEFT($B127,4)="_Mil",SUM($AK127)=0),"",SUM($AQ127)/$AK127)</f>
        <v>#REF!</v>
      </c>
      <c r="AS127" s="33" t="str">
        <f t="shared" si="33"/>
        <v/>
      </c>
      <c r="AT127" s="33" t="str">
        <f t="shared" si="32"/>
        <v/>
      </c>
      <c r="AU127" s="38" t="str">
        <f>IF($C127="&lt;01","",SUM($AP127)-SUM($O127))</f>
        <v/>
      </c>
      <c r="AV127" s="38">
        <f>IF($C127="&lt;01",ROUND(INDEX(EID!$N:$N,MATCH($B127,EID!$B:$B,0))/2,0),IF(SUM($AT127)=0,"",ROUND((SUM($AP127)-(SUM($O127)*SUM($AS127)))/$AT127,0)))</f>
        <v>0</v>
      </c>
      <c r="AW127" s="33" t="str">
        <f t="shared" si="26"/>
        <v/>
      </c>
      <c r="AX127" s="218">
        <f>IF($C127="&lt;01",SUM($AV127),ROUND(SUM($AV127)*SUM($AW127),0))</f>
        <v>0</v>
      </c>
      <c r="AY127" s="79" t="str">
        <f t="shared" si="27"/>
        <v/>
      </c>
      <c r="AZ127" s="85">
        <f>IF($C127="&lt;01",ROUND(INDEX(EID!$R:$R,MATCH($B127,EID!$B:$B,0))/2,0),ROUND(SUM($O127)+(SUM($AV127)*$AY127),0))</f>
        <v>0</v>
      </c>
      <c r="BA127" s="40" t="str">
        <f t="shared" si="31"/>
        <v/>
      </c>
      <c r="BB127" s="99">
        <f>IF($C127="&lt;01",ROUND(INDEX(EID!$T:$T,MATCH($B127,EID!$B:$B,0))/2,0),ROUND($AP127*$BA127,0))</f>
        <v>0</v>
      </c>
      <c r="BC127" s="85">
        <f>IF(LEFT($B127,4)="_Mil","",IF(SUM($BB127)=0,SUM($AD127),IF(OR(SUM($AP127)=0,SUM($AQ127)=0),MAX($BB127,$AD127),ROUND($BB127*$AQ127/$AP127,0))))</f>
        <v>0</v>
      </c>
      <c r="BD127" s="33" t="str">
        <f t="shared" si="28"/>
        <v/>
      </c>
      <c r="BE127" s="218">
        <f>IF($C127="&lt;01",ROUND(INDEX(EID!$V:$V,MATCH($B127,EID!$B:$B,0))/2,0),ROUND($BD127*$BB127,0))</f>
        <v>0</v>
      </c>
      <c r="BF127" s="218">
        <f>IF(LEFT($B127,4)="_Mil","",IF(SUM($BE127)=0,SUM($AF127),IF(OR(SUM($AP127)=0,SUM($AQ127)=0),MAX($BE127,$AF127),ROUND($BE127*$AQ127/$AP127,0))))</f>
        <v>0</v>
      </c>
      <c r="BG127" s="79" t="str">
        <f t="shared" si="29"/>
        <v/>
      </c>
      <c r="BH127" s="99">
        <f>IF($C127="&lt;01",ROUND(INDEX(EID!$L:$L,MATCH($B127,EID!$B:$B,0)),0)/2,IF(SUM($BG127)=0,"",ROUND($AX127/$BG127,0)))</f>
        <v>0</v>
      </c>
    </row>
    <row r="128" spans="1:60" x14ac:dyDescent="0.2">
      <c r="A128" t="str">
        <f>INDEX(Prioritization!$D:$D,MATCH($B128,Prioritization!$A:$A,0))</f>
        <v>INVALID</v>
      </c>
      <c r="B128" t="s">
        <v>308</v>
      </c>
      <c r="C128" t="s">
        <v>426</v>
      </c>
      <c r="D128" t="s">
        <v>48</v>
      </c>
      <c r="E128" t="str">
        <f t="shared" si="19"/>
        <v>Karonga District [cPtvxaZqXIH]|&lt;01|Male</v>
      </c>
      <c r="F128" s="229">
        <v>7</v>
      </c>
      <c r="G128" s="38">
        <v>14</v>
      </c>
      <c r="H128" s="38">
        <v>2</v>
      </c>
      <c r="I128" s="38">
        <v>6</v>
      </c>
      <c r="J128" s="38">
        <v>9</v>
      </c>
      <c r="K128" s="38">
        <v>7</v>
      </c>
      <c r="L128" s="38"/>
      <c r="M128" s="38">
        <v>8</v>
      </c>
      <c r="N128" s="38">
        <v>8</v>
      </c>
      <c r="O128" s="229">
        <v>7</v>
      </c>
      <c r="P128" s="38">
        <v>5</v>
      </c>
      <c r="Q128" s="38">
        <v>5</v>
      </c>
      <c r="R128" s="38">
        <f t="shared" si="20"/>
        <v>1</v>
      </c>
      <c r="S128" s="38">
        <f>IF(LEFT($B128,4)="_Mil","",_xlfn.IFNA(ROUND(INDEX(Spectrum!$N:$N,MATCH(RIGHT($B128,13)&amp;"|"&amp;$C128&amp;"|"&amp;$D128&amp;"|"&amp;S$14&amp;"|"&amp;"CY2023Q4",Spectrum!$R:$R,0)),0),""))</f>
        <v>7</v>
      </c>
      <c r="T128" s="218">
        <f>IF(LEFT($B128,4)="_Mil","",_xlfn.IFNA(ROUND(INDEX(Spectrum!$N:$N,MATCH(RIGHT($B128,13)&amp;"|"&amp;$C128&amp;"|"&amp;$D128&amp;"|"&amp;T$14&amp;"|"&amp;"CY2024Q3",Spectrum!$R:$R,0)),0),""))</f>
        <v>6423</v>
      </c>
      <c r="U128" s="218">
        <f>IF(LEFT($B128,4)="_Mil","",_xlfn.IFNA(ROUND(INDEX(Spectrum!$N:$N,MATCH(RIGHT($B128,13)&amp;"|"&amp;$C128&amp;"|"&amp;$D128&amp;"|"&amp;U$14&amp;"|"&amp;"CY2024Q3",Spectrum!$R:$R,0)),0),""))</f>
        <v>9</v>
      </c>
      <c r="V128" s="38">
        <f>IF(LEFT($B128,4)="_Mil","",_xlfn.IFNA(ROUND(INDEX(Spectrum!$N:$N,MATCH(RIGHT($B128,13)&amp;"|"&amp;$C128&amp;"|"&amp;$D128&amp;"|"&amp;V$14&amp;"|"&amp;"CY2024Q3",Spectrum!$R:$R,0)),0),""))</f>
        <v>9</v>
      </c>
      <c r="W128" s="220">
        <f>IF(LEFT($B128,4)="_Mil","",_xlfn.IFNA(INDEX(Spectrum!$N:$N,MATCH(RIGHT($B128,13)&amp;"|"&amp;$C128&amp;"|"&amp;$D128&amp;"|"&amp;W$14&amp;"|"&amp;"CY2024Q3",Spectrum!$R:$R,0)),""))</f>
        <v>1.42268E-3</v>
      </c>
      <c r="X128" s="218">
        <f>IF(LEFT($B128,4)="_Mil","",_xlfn.IFNA(ROUND(INDEX(Spectrum!$N:$N,MATCH(RIGHT($B128,13)&amp;"|"&amp;$C128&amp;"|"&amp;$D128&amp;"|"&amp;X$14&amp;"|"&amp;"CY2024Q3",Spectrum!$R:$R,0)),0),""))</f>
        <v>7</v>
      </c>
      <c r="Y128" s="33">
        <f t="shared" si="21"/>
        <v>0.78</v>
      </c>
      <c r="Z128" s="218">
        <f>IF(LEFT($B128,4)="_Mil","",_xlfn.IFNA(ROUND(INDEX(Spectrum!$N:$N,MATCH(RIGHT($B128,13)&amp;"|"&amp;$C128&amp;"|"&amp;$D128&amp;"|"&amp;Z$14&amp;"|"&amp;"CY2024Q3",Spectrum!$R:$R,0)),0),""))</f>
        <v>6</v>
      </c>
      <c r="AA128" s="33">
        <f>IF(LEFT($B128,4)="_Mil","",IFERROR(1/(1/INDEX(Spectrum!$N:$N,MATCH(RIGHT($B128,13)&amp;"|"&amp;$C128&amp;"|"&amp;$D128&amp;"|"&amp;AA$14&amp;"|"&amp;"CY2024Q3",Spectrum!$R:$R,0))),IF(SUM($U128)=0,"",SUM($Z128)/$U128)))</f>
        <v>0.69165352899999999</v>
      </c>
      <c r="AB128" s="33">
        <f t="shared" si="22"/>
        <v>0.8571428571428571</v>
      </c>
      <c r="AC128" s="38">
        <f>IF(LEFT($B128,4)="_Mil","",_xlfn.IFNA(ROUND(INDEX(Spectrum!$N:$N,MATCH(RIGHT($B128,13)&amp;"|"&amp;$C128&amp;"|"&amp;$D128&amp;"|"&amp;AC$14&amp;"|"&amp;"CY2024Q3",Spectrum!$R:$R,0)),0),""))</f>
        <v>3</v>
      </c>
      <c r="AD128" s="38" t="str">
        <f>IF(LEFT($B128,4)="_Mil","",_xlfn.IFNA(ROUND(INDEX(Spectrum!$N:$N,MATCH(RIGHT($B128,13)&amp;"|"&amp;$C128&amp;"|"&amp;$D128&amp;"|"&amp;AD$14&amp;"|"&amp;"CY2024Q3",Spectrum!$R:$R,0)),0),""))</f>
        <v/>
      </c>
      <c r="AE128" s="33">
        <f t="shared" si="23"/>
        <v>0</v>
      </c>
      <c r="AF128" s="218" t="str">
        <f>IF(LEFT($B128,4)="_Mil","",_xlfn.IFNA(ROUND(INDEX(Spectrum!$N:$N,MATCH(RIGHT($B128,13)&amp;"|"&amp;$C128&amp;"|"&amp;$D128&amp;"|"&amp;AF$14&amp;"|"&amp;"CY2024Q3",Spectrum!$R:$R,0)),0),""))</f>
        <v/>
      </c>
      <c r="AG128" s="33" t="str">
        <f t="shared" si="24"/>
        <v/>
      </c>
      <c r="AH128" s="110" t="str">
        <f>IF(LEFT($B128,4)="_Mil","",_xlfn.IFNA(INDEX(Spectrum!$N:$N,MATCH(RIGHT($B128,13)&amp;"|"&amp;$C128&amp;"|"&amp;$D128&amp;"|"&amp;AH$14&amp;"|"&amp;"CY2024Q3",Spectrum!$R:$R,0)),""))</f>
        <v/>
      </c>
      <c r="AI128" s="218">
        <f>IF(LEFT($B128,4)="_Mil","",_xlfn.IFNA(ROUND(INDEX(Spectrum!$N:$N,MATCH(RIGHT($B128,13)&amp;"|"&amp;$C128&amp;"|"&amp;$D128&amp;"|"&amp;AI$14&amp;"|"&amp;"CY2025Q3",Spectrum!$R:$R,0)),0),""))</f>
        <v>11</v>
      </c>
      <c r="AJ128" s="38">
        <f>IF(LEFT($B128,4)="_Mil","",_xlfn.IFNA(ROUND(INDEX(Spectrum!$N:$N,MATCH(RIGHT($B128,13)&amp;"|"&amp;$C128&amp;"|"&amp;$D128&amp;"|"&amp;AJ$14&amp;"|"&amp;"CY2025Q3",Spectrum!$R:$R,0)),0),""))</f>
        <v>8</v>
      </c>
      <c r="AK128" s="218" t="e">
        <f>#REF!</f>
        <v>#REF!</v>
      </c>
      <c r="AL128" s="33" t="str">
        <f t="shared" si="25"/>
        <v/>
      </c>
      <c r="AM128" s="38" t="str">
        <f>IF(OR(LEFT($B128,4)="_Mil",$C128="&lt;01"),"",ROUND(SUM($AK128)*SUM($AL128),0))</f>
        <v/>
      </c>
      <c r="AN128" s="38">
        <f>IF($C128="&lt;01",ROUND(INDEX(EID!$P:$P,MATCH($B128,EID!$B:$B,0))/2,0),"")</f>
        <v>0</v>
      </c>
      <c r="AO128" s="38">
        <f>IF($C128="&lt;01",SUM($AN128),ROUND(SUM($AM128)*SUM($O128)/IF(SUM($Z128)=0,1,$Z128),0))</f>
        <v>0</v>
      </c>
      <c r="AP128" s="218">
        <f>IF(OR($F128="",$C128="&lt;01"),$AO128,ROUND($F128,0))</f>
        <v>0</v>
      </c>
      <c r="AQ128" s="218">
        <f>IF(LEFT($B128,4)="_Mil","",IF(SUM($AP128)=0,SUM($Z128),IF(OR(SUM($Z128)=0,SUM($O128)=0),MAX($AP128,$Z128),ROUND($AP128*$Z128/$O128,0))))</f>
        <v>6</v>
      </c>
      <c r="AR128" s="33" t="e">
        <f>IF(OR(LEFT($B128,4)="_Mil",SUM($AK128)=0),"",SUM($AQ128)/$AK128)</f>
        <v>#REF!</v>
      </c>
      <c r="AS128" s="33" t="str">
        <f t="shared" si="33"/>
        <v/>
      </c>
      <c r="AT128" s="33" t="str">
        <f t="shared" si="32"/>
        <v/>
      </c>
      <c r="AU128" s="38" t="str">
        <f>IF($C128="&lt;01","",SUM($AP128)-SUM($O128))</f>
        <v/>
      </c>
      <c r="AV128" s="38">
        <f>IF($C128="&lt;01",ROUND(INDEX(EID!$N:$N,MATCH($B128,EID!$B:$B,0))/2,0),IF(SUM($AT128)=0,"",ROUND((SUM($AP128)-(SUM($O128)*SUM($AS128)))/$AT128,0)))</f>
        <v>0</v>
      </c>
      <c r="AW128" s="33" t="str">
        <f t="shared" si="26"/>
        <v/>
      </c>
      <c r="AX128" s="218">
        <f>IF($C128="&lt;01",SUM($AV128),ROUND(SUM($AV128)*SUM($AW128),0))</f>
        <v>0</v>
      </c>
      <c r="AY128" s="79" t="str">
        <f t="shared" si="27"/>
        <v/>
      </c>
      <c r="AZ128" s="85">
        <f>IF($C128="&lt;01",ROUND(INDEX(EID!$R:$R,MATCH($B128,EID!$B:$B,0))/2,0),ROUND(SUM($O128)+(SUM($AV128)*$AY128),0))</f>
        <v>0</v>
      </c>
      <c r="BA128" s="40" t="str">
        <f t="shared" si="31"/>
        <v/>
      </c>
      <c r="BB128" s="99">
        <f>IF($C128="&lt;01",ROUND(INDEX(EID!$T:$T,MATCH($B128,EID!$B:$B,0))/2,0),ROUND($AP128*$BA128,0))</f>
        <v>0</v>
      </c>
      <c r="BC128" s="85">
        <f>IF(LEFT($B128,4)="_Mil","",IF(SUM($BB128)=0,SUM($AD128),IF(OR(SUM($AP128)=0,SUM($AQ128)=0),MAX($BB128,$AD128),ROUND($BB128*$AQ128/$AP128,0))))</f>
        <v>0</v>
      </c>
      <c r="BD128" s="33" t="str">
        <f t="shared" si="28"/>
        <v/>
      </c>
      <c r="BE128" s="218">
        <f>IF($C128="&lt;01",ROUND(INDEX(EID!$V:$V,MATCH($B128,EID!$B:$B,0))/2,0),ROUND($BD128*$BB128,0))</f>
        <v>0</v>
      </c>
      <c r="BF128" s="218">
        <f>IF(LEFT($B128,4)="_Mil","",IF(SUM($BE128)=0,SUM($AF128),IF(OR(SUM($AP128)=0,SUM($AQ128)=0),MAX($BE128,$AF128),ROUND($BE128*$AQ128/$AP128,0))))</f>
        <v>0</v>
      </c>
      <c r="BG128" s="79" t="str">
        <f t="shared" si="29"/>
        <v/>
      </c>
      <c r="BH128" s="99">
        <f>IF($C128="&lt;01",ROUND(INDEX(EID!$L:$L,MATCH($B128,EID!$B:$B,0)),0)/2,IF(SUM($BG128)=0,"",ROUND($AX128/$BG128,0)))</f>
        <v>0</v>
      </c>
    </row>
    <row r="129" spans="1:60" x14ac:dyDescent="0.2">
      <c r="A129" t="str">
        <f>INDEX(Prioritization!$D:$D,MATCH($B129,Prioritization!$A:$A,0))</f>
        <v>INVALID</v>
      </c>
      <c r="B129" t="s">
        <v>308</v>
      </c>
      <c r="C129" t="s">
        <v>473</v>
      </c>
      <c r="D129" t="s">
        <v>30</v>
      </c>
      <c r="E129" t="str">
        <f t="shared" si="19"/>
        <v>Karonga District [cPtvxaZqXIH]|01-09|Female</v>
      </c>
      <c r="F129" s="229">
        <v>140</v>
      </c>
      <c r="G129" s="38">
        <v>32</v>
      </c>
      <c r="H129" s="38">
        <v>17</v>
      </c>
      <c r="I129" s="38">
        <v>140</v>
      </c>
      <c r="J129" s="38">
        <v>117</v>
      </c>
      <c r="K129" s="38">
        <v>83</v>
      </c>
      <c r="L129" s="38">
        <v>7</v>
      </c>
      <c r="M129" s="38">
        <v>7</v>
      </c>
      <c r="N129" s="38">
        <v>152</v>
      </c>
      <c r="O129" s="229">
        <v>140</v>
      </c>
      <c r="P129" s="38">
        <v>134</v>
      </c>
      <c r="Q129" s="38">
        <v>127</v>
      </c>
      <c r="R129" s="38">
        <f t="shared" si="20"/>
        <v>0</v>
      </c>
      <c r="S129" s="38">
        <f>IF(LEFT($B129,4)="_Mil","",_xlfn.IFNA(ROUND(INDEX(Spectrum!$N:$N,MATCH(RIGHT($B129,13)&amp;"|"&amp;$C129&amp;"|"&amp;$D129&amp;"|"&amp;S$14&amp;"|"&amp;"CY2023Q4",Spectrum!$R:$R,0)),0),""))</f>
        <v>131</v>
      </c>
      <c r="T129" s="218">
        <f>IF(LEFT($B129,4)="_Mil","",_xlfn.IFNA(ROUND(INDEX(Spectrum!$N:$N,MATCH(RIGHT($B129,13)&amp;"|"&amp;$C129&amp;"|"&amp;$D129&amp;"|"&amp;T$14&amp;"|"&amp;"CY2024Q3",Spectrum!$R:$R,0)),0),""))</f>
        <v>53830</v>
      </c>
      <c r="U129" s="218">
        <f>IF(LEFT($B129,4)="_Mil","",_xlfn.IFNA(ROUND(INDEX(Spectrum!$N:$N,MATCH(RIGHT($B129,13)&amp;"|"&amp;$C129&amp;"|"&amp;$D129&amp;"|"&amp;U$14&amp;"|"&amp;"CY2024Q3",Spectrum!$R:$R,0)),0),""))</f>
        <v>174</v>
      </c>
      <c r="V129" s="38">
        <f>IF(LEFT($B129,4)="_Mil","",_xlfn.IFNA(ROUND(INDEX(Spectrum!$N:$N,MATCH(RIGHT($B129,13)&amp;"|"&amp;$C129&amp;"|"&amp;$D129&amp;"|"&amp;V$14&amp;"|"&amp;"CY2024Q3",Spectrum!$R:$R,0)),0),""))</f>
        <v>169</v>
      </c>
      <c r="W129" s="220">
        <f>IF(LEFT($B129,4)="_Mil","",_xlfn.IFNA(INDEX(Spectrum!$N:$N,MATCH(RIGHT($B129,13)&amp;"|"&amp;$C129&amp;"|"&amp;$D129&amp;"|"&amp;W$14&amp;"|"&amp;"CY2024Q3",Spectrum!$R:$R,0)),""))</f>
        <v>3.2325019999999999E-3</v>
      </c>
      <c r="X129" s="218">
        <f>IF(LEFT($B129,4)="_Mil","",_xlfn.IFNA(ROUND(INDEX(Spectrum!$N:$N,MATCH(RIGHT($B129,13)&amp;"|"&amp;$C129&amp;"|"&amp;$D129&amp;"|"&amp;X$14&amp;"|"&amp;"CY2024Q3",Spectrum!$R:$R,0)),0),""))</f>
        <v>134</v>
      </c>
      <c r="Y129" s="33">
        <f t="shared" si="21"/>
        <v>0.77</v>
      </c>
      <c r="Z129" s="218">
        <f>IF(LEFT($B129,4)="_Mil","",_xlfn.IFNA(ROUND(INDEX(Spectrum!$N:$N,MATCH(RIGHT($B129,13)&amp;"|"&amp;$C129&amp;"|"&amp;$D129&amp;"|"&amp;Z$14&amp;"|"&amp;"CY2024Q3",Spectrum!$R:$R,0)),0),""))</f>
        <v>125</v>
      </c>
      <c r="AA129" s="33">
        <f>IF(LEFT($B129,4)="_Mil","",IFERROR(1/(1/INDEX(Spectrum!$N:$N,MATCH(RIGHT($B129,13)&amp;"|"&amp;$C129&amp;"|"&amp;$D129&amp;"|"&amp;AA$14&amp;"|"&amp;"CY2024Q3",Spectrum!$R:$R,0))),IF(SUM($U129)=0,"",SUM($Z129)/$U129)))</f>
        <v>0.73872258599999996</v>
      </c>
      <c r="AB129" s="33">
        <f t="shared" si="22"/>
        <v>0.93283582089552242</v>
      </c>
      <c r="AC129" s="38">
        <f>IF(LEFT($B129,4)="_Mil","",_xlfn.IFNA(ROUND(INDEX(Spectrum!$N:$N,MATCH(RIGHT($B129,13)&amp;"|"&amp;$C129&amp;"|"&amp;$D129&amp;"|"&amp;AC$14&amp;"|"&amp;"CY2024Q3",Spectrum!$R:$R,0)),0),""))</f>
        <v>44</v>
      </c>
      <c r="AD129" s="38" t="str">
        <f>IF(LEFT($B129,4)="_Mil","",_xlfn.IFNA(ROUND(INDEX(Spectrum!$N:$N,MATCH(RIGHT($B129,13)&amp;"|"&amp;$C129&amp;"|"&amp;$D129&amp;"|"&amp;AD$14&amp;"|"&amp;"CY2024Q3",Spectrum!$R:$R,0)),0),""))</f>
        <v/>
      </c>
      <c r="AE129" s="33">
        <f t="shared" si="23"/>
        <v>0</v>
      </c>
      <c r="AF129" s="218" t="str">
        <f>IF(LEFT($B129,4)="_Mil","",_xlfn.IFNA(ROUND(INDEX(Spectrum!$N:$N,MATCH(RIGHT($B129,13)&amp;"|"&amp;$C129&amp;"|"&amp;$D129&amp;"|"&amp;AF$14&amp;"|"&amp;"CY2024Q3",Spectrum!$R:$R,0)),0),""))</f>
        <v/>
      </c>
      <c r="AG129" s="33" t="str">
        <f t="shared" si="24"/>
        <v/>
      </c>
      <c r="AH129" s="110" t="str">
        <f>IF(LEFT($B129,4)="_Mil","",_xlfn.IFNA(INDEX(Spectrum!$N:$N,MATCH(RIGHT($B129,13)&amp;"|"&amp;$C129&amp;"|"&amp;$D129&amp;"|"&amp;AH$14&amp;"|"&amp;"CY2024Q3",Spectrum!$R:$R,0)),""))</f>
        <v/>
      </c>
      <c r="AI129" s="218">
        <f>IF(LEFT($B129,4)="_Mil","",_xlfn.IFNA(ROUND(INDEX(Spectrum!$N:$N,MATCH(RIGHT($B129,13)&amp;"|"&amp;$C129&amp;"|"&amp;$D129&amp;"|"&amp;AI$14&amp;"|"&amp;"CY2025Q3",Spectrum!$R:$R,0)),0),""))</f>
        <v>3</v>
      </c>
      <c r="AJ129" s="38">
        <f>IF(LEFT($B129,4)="_Mil","",_xlfn.IFNA(ROUND(INDEX(Spectrum!$N:$N,MATCH(RIGHT($B129,13)&amp;"|"&amp;$C129&amp;"|"&amp;$D129&amp;"|"&amp;AJ$14&amp;"|"&amp;"CY2025Q3",Spectrum!$R:$R,0)),0),""))</f>
        <v>150</v>
      </c>
      <c r="AK129" s="218" t="e">
        <f>#REF!</f>
        <v>#REF!</v>
      </c>
      <c r="AL129" s="33">
        <f t="shared" si="25"/>
        <v>0.9</v>
      </c>
      <c r="AM129" s="38" t="e">
        <f>IF(OR(LEFT($B129,4)="_Mil",$C129="&lt;01"),"",ROUND(SUM($AK129)*SUM($AL129),0))</f>
        <v>#REF!</v>
      </c>
      <c r="AN129" s="38" t="str">
        <f>IF($C129="&lt;01",ROUND(INDEX(EID!$P:$P,MATCH($B129,EID!$B:$B,0))/2,0),"")</f>
        <v/>
      </c>
      <c r="AO129" s="38" t="e">
        <f>IF($C129="&lt;01",SUM($AN129),ROUND(SUM($AM129)*SUM($O129)/IF(SUM($Z129)=0,1,$Z129),0))</f>
        <v>#REF!</v>
      </c>
      <c r="AP129" s="218">
        <f>IF(OR($F129="",$C129="&lt;01"),$AO129,ROUND($F129,0))</f>
        <v>140</v>
      </c>
      <c r="AQ129" s="218">
        <f>IF(LEFT($B129,4)="_Mil","",IF(SUM($AP129)=0,SUM($Z129),IF(OR(SUM($Z129)=0,SUM($O129)=0),MAX($AP129,$Z129),ROUND($AP129*$Z129/$O129,0))))</f>
        <v>125</v>
      </c>
      <c r="AR129" s="33" t="e">
        <f>IF(OR(LEFT($B129,4)="_Mil",SUM($AK129)=0),"",SUM($AQ129)/$AK129)</f>
        <v>#REF!</v>
      </c>
      <c r="AS129" s="33">
        <f t="shared" si="33"/>
        <v>0.98</v>
      </c>
      <c r="AT129" s="33">
        <f t="shared" si="32"/>
        <v>0.98</v>
      </c>
      <c r="AU129" s="38">
        <f>IF($C129="&lt;01","",SUM($AP129)-SUM($O129))</f>
        <v>0</v>
      </c>
      <c r="AV129" s="38">
        <f>IF($C129="&lt;01",ROUND(INDEX(EID!$N:$N,MATCH($B129,EID!$B:$B,0))/2,0),IF(SUM($AT129)=0,"",ROUND((SUM($AP129)-(SUM($O129)*SUM($AS129)))/$AT129,0)))</f>
        <v>3</v>
      </c>
      <c r="AW129" s="33">
        <f t="shared" si="26"/>
        <v>1</v>
      </c>
      <c r="AX129" s="218">
        <f>IF($C129="&lt;01",SUM($AV129),ROUND(SUM($AV129)*SUM($AW129),0))</f>
        <v>3</v>
      </c>
      <c r="AY129" s="79">
        <f t="shared" si="27"/>
        <v>0.7</v>
      </c>
      <c r="AZ129" s="85">
        <f>IF($C129="&lt;01",ROUND(INDEX(EID!$R:$R,MATCH($B129,EID!$B:$B,0))/2,0),ROUND(SUM($O129)+(SUM($AV129)*$AY129),0))</f>
        <v>142</v>
      </c>
      <c r="BA129" s="40">
        <f t="shared" si="31"/>
        <v>0.9</v>
      </c>
      <c r="BB129" s="99">
        <f>IF($C129="&lt;01",ROUND(INDEX(EID!$T:$T,MATCH($B129,EID!$B:$B,0))/2,0),ROUND($AP129*$BA129,0))</f>
        <v>126</v>
      </c>
      <c r="BC129" s="85">
        <f>IF(LEFT($B129,4)="_Mil","",IF(SUM($BB129)=0,SUM($AD129),IF(OR(SUM($AP129)=0,SUM($AQ129)=0),MAX($BB129,$AD129),ROUND($BB129*$AQ129/$AP129,0))))</f>
        <v>113</v>
      </c>
      <c r="BD129" s="33">
        <f t="shared" si="28"/>
        <v>0.95</v>
      </c>
      <c r="BE129" s="218">
        <f>IF($C129="&lt;01",ROUND(INDEX(EID!$V:$V,MATCH($B129,EID!$B:$B,0))/2,0),ROUND($BD129*$BB129,0))</f>
        <v>120</v>
      </c>
      <c r="BF129" s="218">
        <f>IF(LEFT($B129,4)="_Mil","",IF(SUM($BE129)=0,SUM($AF129),IF(OR(SUM($AP129)=0,SUM($AQ129)=0),MAX($BE129,$AF129),ROUND($BE129*$AQ129/$AP129,0))))</f>
        <v>107</v>
      </c>
      <c r="BG129" s="79">
        <f t="shared" si="29"/>
        <v>0.95</v>
      </c>
      <c r="BH129" s="99">
        <f>IF($C129="&lt;01",ROUND(INDEX(EID!$L:$L,MATCH($B129,EID!$B:$B,0)),0)/2,IF(SUM($BG129)=0,"",ROUND($AX129/$BG129,0)))</f>
        <v>3</v>
      </c>
    </row>
    <row r="130" spans="1:60" x14ac:dyDescent="0.2">
      <c r="A130" t="str">
        <f>INDEX(Prioritization!$D:$D,MATCH($B130,Prioritization!$A:$A,0))</f>
        <v>INVALID</v>
      </c>
      <c r="B130" t="s">
        <v>308</v>
      </c>
      <c r="C130" t="s">
        <v>473</v>
      </c>
      <c r="D130" t="s">
        <v>48</v>
      </c>
      <c r="E130" t="str">
        <f t="shared" si="19"/>
        <v>Karonga District [cPtvxaZqXIH]|01-09|Male</v>
      </c>
      <c r="F130" s="229">
        <v>126</v>
      </c>
      <c r="G130" s="38">
        <v>24</v>
      </c>
      <c r="H130" s="38">
        <v>17</v>
      </c>
      <c r="I130" s="38">
        <v>114</v>
      </c>
      <c r="J130" s="38">
        <v>96</v>
      </c>
      <c r="K130" s="38">
        <v>67</v>
      </c>
      <c r="L130" s="38">
        <v>8</v>
      </c>
      <c r="M130" s="38">
        <v>8</v>
      </c>
      <c r="N130" s="38">
        <v>151</v>
      </c>
      <c r="O130" s="229">
        <v>126</v>
      </c>
      <c r="P130" s="38">
        <v>133</v>
      </c>
      <c r="Q130" s="38">
        <v>126</v>
      </c>
      <c r="R130" s="38">
        <f t="shared" si="20"/>
        <v>12</v>
      </c>
      <c r="S130" s="38">
        <f>IF(LEFT($B130,4)="_Mil","",_xlfn.IFNA(ROUND(INDEX(Spectrum!$N:$N,MATCH(RIGHT($B130,13)&amp;"|"&amp;$C130&amp;"|"&amp;$D130&amp;"|"&amp;S$14&amp;"|"&amp;"CY2023Q4",Spectrum!$R:$R,0)),0),""))</f>
        <v>130</v>
      </c>
      <c r="T130" s="218">
        <f>IF(LEFT($B130,4)="_Mil","",_xlfn.IFNA(ROUND(INDEX(Spectrum!$N:$N,MATCH(RIGHT($B130,13)&amp;"|"&amp;$C130&amp;"|"&amp;$D130&amp;"|"&amp;T$14&amp;"|"&amp;"CY2024Q3",Spectrum!$R:$R,0)),0),""))</f>
        <v>53457</v>
      </c>
      <c r="U130" s="218">
        <f>IF(LEFT($B130,4)="_Mil","",_xlfn.IFNA(ROUND(INDEX(Spectrum!$N:$N,MATCH(RIGHT($B130,13)&amp;"|"&amp;$C130&amp;"|"&amp;$D130&amp;"|"&amp;U$14&amp;"|"&amp;"CY2024Q3",Spectrum!$R:$R,0)),0),""))</f>
        <v>173</v>
      </c>
      <c r="V130" s="38">
        <f>IF(LEFT($B130,4)="_Mil","",_xlfn.IFNA(ROUND(INDEX(Spectrum!$N:$N,MATCH(RIGHT($B130,13)&amp;"|"&amp;$C130&amp;"|"&amp;$D130&amp;"|"&amp;V$14&amp;"|"&amp;"CY2024Q3",Spectrum!$R:$R,0)),0),""))</f>
        <v>168</v>
      </c>
      <c r="W130" s="220">
        <f>IF(LEFT($B130,4)="_Mil","",_xlfn.IFNA(INDEX(Spectrum!$N:$N,MATCH(RIGHT($B130,13)&amp;"|"&amp;$C130&amp;"|"&amp;$D130&amp;"|"&amp;W$14&amp;"|"&amp;"CY2024Q3",Spectrum!$R:$R,0)),""))</f>
        <v>3.2371119999999999E-3</v>
      </c>
      <c r="X130" s="218">
        <f>IF(LEFT($B130,4)="_Mil","",_xlfn.IFNA(ROUND(INDEX(Spectrum!$N:$N,MATCH(RIGHT($B130,13)&amp;"|"&amp;$C130&amp;"|"&amp;$D130&amp;"|"&amp;X$14&amp;"|"&amp;"CY2024Q3",Spectrum!$R:$R,0)),0),""))</f>
        <v>133</v>
      </c>
      <c r="Y130" s="33">
        <f t="shared" si="21"/>
        <v>0.77</v>
      </c>
      <c r="Z130" s="218">
        <f>IF(LEFT($B130,4)="_Mil","",_xlfn.IFNA(ROUND(INDEX(Spectrum!$N:$N,MATCH(RIGHT($B130,13)&amp;"|"&amp;$C130&amp;"|"&amp;$D130&amp;"|"&amp;Z$14&amp;"|"&amp;"CY2024Q3",Spectrum!$R:$R,0)),0),""))</f>
        <v>124</v>
      </c>
      <c r="AA130" s="33">
        <f>IF(LEFT($B130,4)="_Mil","",IFERROR(1/(1/INDEX(Spectrum!$N:$N,MATCH(RIGHT($B130,13)&amp;"|"&amp;$C130&amp;"|"&amp;$D130&amp;"|"&amp;AA$14&amp;"|"&amp;"CY2024Q3",Spectrum!$R:$R,0))),IF(SUM($U130)=0,"",SUM($Z130)/$U130)))</f>
        <v>0.73843608199999999</v>
      </c>
      <c r="AB130" s="33">
        <f t="shared" si="22"/>
        <v>0.93233082706766912</v>
      </c>
      <c r="AC130" s="38">
        <f>IF(LEFT($B130,4)="_Mil","",_xlfn.IFNA(ROUND(INDEX(Spectrum!$N:$N,MATCH(RIGHT($B130,13)&amp;"|"&amp;$C130&amp;"|"&amp;$D130&amp;"|"&amp;AC$14&amp;"|"&amp;"CY2024Q3",Spectrum!$R:$R,0)),0),""))</f>
        <v>44</v>
      </c>
      <c r="AD130" s="38" t="str">
        <f>IF(LEFT($B130,4)="_Mil","",_xlfn.IFNA(ROUND(INDEX(Spectrum!$N:$N,MATCH(RIGHT($B130,13)&amp;"|"&amp;$C130&amp;"|"&amp;$D130&amp;"|"&amp;AD$14&amp;"|"&amp;"CY2024Q3",Spectrum!$R:$R,0)),0),""))</f>
        <v/>
      </c>
      <c r="AE130" s="33">
        <f t="shared" si="23"/>
        <v>0</v>
      </c>
      <c r="AF130" s="218" t="str">
        <f>IF(LEFT($B130,4)="_Mil","",_xlfn.IFNA(ROUND(INDEX(Spectrum!$N:$N,MATCH(RIGHT($B130,13)&amp;"|"&amp;$C130&amp;"|"&amp;$D130&amp;"|"&amp;AF$14&amp;"|"&amp;"CY2024Q3",Spectrum!$R:$R,0)),0),""))</f>
        <v/>
      </c>
      <c r="AG130" s="33" t="str">
        <f t="shared" si="24"/>
        <v/>
      </c>
      <c r="AH130" s="110" t="str">
        <f>IF(LEFT($B130,4)="_Mil","",_xlfn.IFNA(INDEX(Spectrum!$N:$N,MATCH(RIGHT($B130,13)&amp;"|"&amp;$C130&amp;"|"&amp;$D130&amp;"|"&amp;AH$14&amp;"|"&amp;"CY2024Q3",Spectrum!$R:$R,0)),""))</f>
        <v/>
      </c>
      <c r="AI130" s="218">
        <f>IF(LEFT($B130,4)="_Mil","",_xlfn.IFNA(ROUND(INDEX(Spectrum!$N:$N,MATCH(RIGHT($B130,13)&amp;"|"&amp;$C130&amp;"|"&amp;$D130&amp;"|"&amp;AI$14&amp;"|"&amp;"CY2025Q3",Spectrum!$R:$R,0)),0),""))</f>
        <v>3</v>
      </c>
      <c r="AJ130" s="38">
        <f>IF(LEFT($B130,4)="_Mil","",_xlfn.IFNA(ROUND(INDEX(Spectrum!$N:$N,MATCH(RIGHT($B130,13)&amp;"|"&amp;$C130&amp;"|"&amp;$D130&amp;"|"&amp;AJ$14&amp;"|"&amp;"CY2025Q3",Spectrum!$R:$R,0)),0),""))</f>
        <v>150</v>
      </c>
      <c r="AK130" s="218" t="e">
        <f>#REF!</f>
        <v>#REF!</v>
      </c>
      <c r="AL130" s="33">
        <f t="shared" si="25"/>
        <v>0.9</v>
      </c>
      <c r="AM130" s="38" t="e">
        <f>IF(OR(LEFT($B130,4)="_Mil",$C130="&lt;01"),"",ROUND(SUM($AK130)*SUM($AL130),0))</f>
        <v>#REF!</v>
      </c>
      <c r="AN130" s="38" t="str">
        <f>IF($C130="&lt;01",ROUND(INDEX(EID!$P:$P,MATCH($B130,EID!$B:$B,0))/2,0),"")</f>
        <v/>
      </c>
      <c r="AO130" s="38" t="e">
        <f>IF($C130="&lt;01",SUM($AN130),ROUND(SUM($AM130)*SUM($O130)/IF(SUM($Z130)=0,1,$Z130),0))</f>
        <v>#REF!</v>
      </c>
      <c r="AP130" s="218">
        <f>IF(OR($F130="",$C130="&lt;01"),$AO130,ROUND($F130,0))</f>
        <v>126</v>
      </c>
      <c r="AQ130" s="218">
        <f>IF(LEFT($B130,4)="_Mil","",IF(SUM($AP130)=0,SUM($Z130),IF(OR(SUM($Z130)=0,SUM($O130)=0),MAX($AP130,$Z130),ROUND($AP130*$Z130/$O130,0))))</f>
        <v>124</v>
      </c>
      <c r="AR130" s="33" t="e">
        <f>IF(OR(LEFT($B130,4)="_Mil",SUM($AK130)=0),"",SUM($AQ130)/$AK130)</f>
        <v>#REF!</v>
      </c>
      <c r="AS130" s="33">
        <f t="shared" si="33"/>
        <v>0.98</v>
      </c>
      <c r="AT130" s="33">
        <f t="shared" si="32"/>
        <v>0.98</v>
      </c>
      <c r="AU130" s="38">
        <f>IF($C130="&lt;01","",SUM($AP130)-SUM($O130))</f>
        <v>0</v>
      </c>
      <c r="AV130" s="38">
        <f>IF($C130="&lt;01",ROUND(INDEX(EID!$N:$N,MATCH($B130,EID!$B:$B,0))/2,0),IF(SUM($AT130)=0,"",ROUND((SUM($AP130)-(SUM($O130)*SUM($AS130)))/$AT130,0)))</f>
        <v>3</v>
      </c>
      <c r="AW130" s="33">
        <f t="shared" si="26"/>
        <v>1</v>
      </c>
      <c r="AX130" s="218">
        <f>IF($C130="&lt;01",SUM($AV130),ROUND(SUM($AV130)*SUM($AW130),0))</f>
        <v>3</v>
      </c>
      <c r="AY130" s="79">
        <f t="shared" si="27"/>
        <v>0.7</v>
      </c>
      <c r="AZ130" s="85">
        <f>IF($C130="&lt;01",ROUND(INDEX(EID!$R:$R,MATCH($B130,EID!$B:$B,0))/2,0),ROUND(SUM($O130)+(SUM($AV130)*$AY130),0))</f>
        <v>128</v>
      </c>
      <c r="BA130" s="40">
        <f t="shared" si="31"/>
        <v>0.9</v>
      </c>
      <c r="BB130" s="99">
        <f>IF($C130="&lt;01",ROUND(INDEX(EID!$T:$T,MATCH($B130,EID!$B:$B,0))/2,0),ROUND($AP130*$BA130,0))</f>
        <v>113</v>
      </c>
      <c r="BC130" s="85">
        <f>IF(LEFT($B130,4)="_Mil","",IF(SUM($BB130)=0,SUM($AD130),IF(OR(SUM($AP130)=0,SUM($AQ130)=0),MAX($BB130,$AD130),ROUND($BB130*$AQ130/$AP130,0))))</f>
        <v>111</v>
      </c>
      <c r="BD130" s="33">
        <f t="shared" si="28"/>
        <v>0.95</v>
      </c>
      <c r="BE130" s="218">
        <f>IF($C130="&lt;01",ROUND(INDEX(EID!$V:$V,MATCH($B130,EID!$B:$B,0))/2,0),ROUND($BD130*$BB130,0))</f>
        <v>107</v>
      </c>
      <c r="BF130" s="218">
        <f>IF(LEFT($B130,4)="_Mil","",IF(SUM($BE130)=0,SUM($AF130),IF(OR(SUM($AP130)=0,SUM($AQ130)=0),MAX($BE130,$AF130),ROUND($BE130*$AQ130/$AP130,0))))</f>
        <v>105</v>
      </c>
      <c r="BG130" s="79">
        <f t="shared" si="29"/>
        <v>0.95</v>
      </c>
      <c r="BH130" s="99">
        <f>IF($C130="&lt;01",ROUND(INDEX(EID!$L:$L,MATCH($B130,EID!$B:$B,0)),0)/2,IF(SUM($BG130)=0,"",ROUND($AX130/$BG130,0)))</f>
        <v>3</v>
      </c>
    </row>
    <row r="131" spans="1:60" x14ac:dyDescent="0.2">
      <c r="A131" t="str">
        <f>INDEX(Prioritization!$D:$D,MATCH($B131,Prioritization!$A:$A,0))</f>
        <v>INVALID</v>
      </c>
      <c r="B131" t="s">
        <v>308</v>
      </c>
      <c r="C131" t="s">
        <v>474</v>
      </c>
      <c r="D131" t="s">
        <v>30</v>
      </c>
      <c r="E131" t="str">
        <f t="shared" si="19"/>
        <v>Karonga District [cPtvxaZqXIH]|10-14|Female</v>
      </c>
      <c r="F131" s="229">
        <v>197</v>
      </c>
      <c r="G131" s="38">
        <v>11</v>
      </c>
      <c r="H131" s="38">
        <v>6</v>
      </c>
      <c r="I131" s="38">
        <v>197</v>
      </c>
      <c r="J131" s="38">
        <v>142</v>
      </c>
      <c r="K131" s="38">
        <v>80</v>
      </c>
      <c r="L131" s="38">
        <v>21</v>
      </c>
      <c r="M131" s="38">
        <v>20</v>
      </c>
      <c r="N131" s="38">
        <v>195</v>
      </c>
      <c r="O131" s="229">
        <v>197</v>
      </c>
      <c r="P131" s="38">
        <v>165</v>
      </c>
      <c r="Q131" s="38">
        <v>157</v>
      </c>
      <c r="R131" s="38">
        <f t="shared" si="20"/>
        <v>0</v>
      </c>
      <c r="S131" s="38">
        <f>IF(LEFT($B131,4)="_Mil","",_xlfn.IFNA(ROUND(INDEX(Spectrum!$N:$N,MATCH(RIGHT($B131,13)&amp;"|"&amp;$C131&amp;"|"&amp;$D131&amp;"|"&amp;S$14&amp;"|"&amp;"CY2023Q4",Spectrum!$R:$R,0)),0),""))</f>
        <v>179</v>
      </c>
      <c r="T131" s="218">
        <f>IF(LEFT($B131,4)="_Mil","",_xlfn.IFNA(ROUND(INDEX(Spectrum!$N:$N,MATCH(RIGHT($B131,13)&amp;"|"&amp;$C131&amp;"|"&amp;$D131&amp;"|"&amp;T$14&amp;"|"&amp;"CY2024Q3",Spectrum!$R:$R,0)),0),""))</f>
        <v>31455</v>
      </c>
      <c r="U131" s="218">
        <f>IF(LEFT($B131,4)="_Mil","",_xlfn.IFNA(ROUND(INDEX(Spectrum!$N:$N,MATCH(RIGHT($B131,13)&amp;"|"&amp;$C131&amp;"|"&amp;$D131&amp;"|"&amp;U$14&amp;"|"&amp;"CY2024Q3",Spectrum!$R:$R,0)),0),""))</f>
        <v>231</v>
      </c>
      <c r="V131" s="38">
        <f>IF(LEFT($B131,4)="_Mil","",_xlfn.IFNA(ROUND(INDEX(Spectrum!$N:$N,MATCH(RIGHT($B131,13)&amp;"|"&amp;$C131&amp;"|"&amp;$D131&amp;"|"&amp;V$14&amp;"|"&amp;"CY2024Q3",Spectrum!$R:$R,0)),0),""))</f>
        <v>225</v>
      </c>
      <c r="W131" s="220">
        <f>IF(LEFT($B131,4)="_Mil","",_xlfn.IFNA(INDEX(Spectrum!$N:$N,MATCH(RIGHT($B131,13)&amp;"|"&amp;$C131&amp;"|"&amp;$D131&amp;"|"&amp;W$14&amp;"|"&amp;"CY2024Q3",Spectrum!$R:$R,0)),""))</f>
        <v>7.354551E-3</v>
      </c>
      <c r="X131" s="218">
        <f>IF(LEFT($B131,4)="_Mil","",_xlfn.IFNA(ROUND(INDEX(Spectrum!$N:$N,MATCH(RIGHT($B131,13)&amp;"|"&amp;$C131&amp;"|"&amp;$D131&amp;"|"&amp;X$14&amp;"|"&amp;"CY2024Q3",Spectrum!$R:$R,0)),0),""))</f>
        <v>186</v>
      </c>
      <c r="Y131" s="33">
        <f t="shared" si="21"/>
        <v>0.81</v>
      </c>
      <c r="Z131" s="218">
        <f>IF(LEFT($B131,4)="_Mil","",_xlfn.IFNA(ROUND(INDEX(Spectrum!$N:$N,MATCH(RIGHT($B131,13)&amp;"|"&amp;$C131&amp;"|"&amp;$D131&amp;"|"&amp;Z$14&amp;"|"&amp;"CY2024Q3",Spectrum!$R:$R,0)),0),""))</f>
        <v>174</v>
      </c>
      <c r="AA131" s="33">
        <f>IF(LEFT($B131,4)="_Mil","",IFERROR(1/(1/INDEX(Spectrum!$N:$N,MATCH(RIGHT($B131,13)&amp;"|"&amp;$C131&amp;"|"&amp;$D131&amp;"|"&amp;AA$14&amp;"|"&amp;"CY2024Q3",Spectrum!$R:$R,0))),IF(SUM($U131)=0,"",SUM($Z131)/$U131)))</f>
        <v>0.77229919300000016</v>
      </c>
      <c r="AB131" s="33">
        <f t="shared" si="22"/>
        <v>0.93548387096774188</v>
      </c>
      <c r="AC131" s="38">
        <f>IF(LEFT($B131,4)="_Mil","",_xlfn.IFNA(ROUND(INDEX(Spectrum!$N:$N,MATCH(RIGHT($B131,13)&amp;"|"&amp;$C131&amp;"|"&amp;$D131&amp;"|"&amp;AC$14&amp;"|"&amp;"CY2024Q3",Spectrum!$R:$R,0)),0),""))</f>
        <v>51</v>
      </c>
      <c r="AD131" s="38" t="str">
        <f>IF(LEFT($B131,4)="_Mil","",_xlfn.IFNA(ROUND(INDEX(Spectrum!$N:$N,MATCH(RIGHT($B131,13)&amp;"|"&amp;$C131&amp;"|"&amp;$D131&amp;"|"&amp;AD$14&amp;"|"&amp;"CY2024Q3",Spectrum!$R:$R,0)),0),""))</f>
        <v/>
      </c>
      <c r="AE131" s="33">
        <f t="shared" si="23"/>
        <v>0</v>
      </c>
      <c r="AF131" s="218" t="str">
        <f>IF(LEFT($B131,4)="_Mil","",_xlfn.IFNA(ROUND(INDEX(Spectrum!$N:$N,MATCH(RIGHT($B131,13)&amp;"|"&amp;$C131&amp;"|"&amp;$D131&amp;"|"&amp;AF$14&amp;"|"&amp;"CY2024Q3",Spectrum!$R:$R,0)),0),""))</f>
        <v/>
      </c>
      <c r="AG131" s="33" t="str">
        <f t="shared" si="24"/>
        <v/>
      </c>
      <c r="AH131" s="110" t="str">
        <f>IF(LEFT($B131,4)="_Mil","",_xlfn.IFNA(INDEX(Spectrum!$N:$N,MATCH(RIGHT($B131,13)&amp;"|"&amp;$C131&amp;"|"&amp;$D131&amp;"|"&amp;AH$14&amp;"|"&amp;"CY2024Q3",Spectrum!$R:$R,0)),""))</f>
        <v/>
      </c>
      <c r="AI131" s="218">
        <f>IF(LEFT($B131,4)="_Mil","",_xlfn.IFNA(ROUND(INDEX(Spectrum!$N:$N,MATCH(RIGHT($B131,13)&amp;"|"&amp;$C131&amp;"|"&amp;$D131&amp;"|"&amp;AI$14&amp;"|"&amp;"CY2025Q3",Spectrum!$R:$R,0)),0),""))</f>
        <v>0</v>
      </c>
      <c r="AJ131" s="38">
        <f>IF(LEFT($B131,4)="_Mil","",_xlfn.IFNA(ROUND(INDEX(Spectrum!$N:$N,MATCH(RIGHT($B131,13)&amp;"|"&amp;$C131&amp;"|"&amp;$D131&amp;"|"&amp;AJ$14&amp;"|"&amp;"CY2025Q3",Spectrum!$R:$R,0)),0),""))</f>
        <v>206</v>
      </c>
      <c r="AK131" s="218" t="e">
        <f>#REF!</f>
        <v>#REF!</v>
      </c>
      <c r="AL131" s="33">
        <f t="shared" si="25"/>
        <v>0.9</v>
      </c>
      <c r="AM131" s="38" t="e">
        <f>IF(OR(LEFT($B131,4)="_Mil",$C131="&lt;01"),"",ROUND(SUM($AK131)*SUM($AL131),0))</f>
        <v>#REF!</v>
      </c>
      <c r="AN131" s="38" t="str">
        <f>IF($C131="&lt;01",ROUND(INDEX(EID!$P:$P,MATCH($B131,EID!$B:$B,0))/2,0),"")</f>
        <v/>
      </c>
      <c r="AO131" s="38" t="e">
        <f>IF($C131="&lt;01",SUM($AN131),ROUND(SUM($AM131)*SUM($O131)/IF(SUM($Z131)=0,1,$Z131),0))</f>
        <v>#REF!</v>
      </c>
      <c r="AP131" s="218">
        <f>IF(OR($F131="",$C131="&lt;01"),$AO131,ROUND($F131,0))</f>
        <v>197</v>
      </c>
      <c r="AQ131" s="218">
        <f>IF(LEFT($B131,4)="_Mil","",IF(SUM($AP131)=0,SUM($Z131),IF(OR(SUM($Z131)=0,SUM($O131)=0),MAX($AP131,$Z131),ROUND($AP131*$Z131/$O131,0))))</f>
        <v>174</v>
      </c>
      <c r="AR131" s="33" t="e">
        <f>IF(OR(LEFT($B131,4)="_Mil",SUM($AK131)=0),"",SUM($AQ131)/$AK131)</f>
        <v>#REF!</v>
      </c>
      <c r="AS131" s="33">
        <f>IF($C131="&lt;01","",90%)</f>
        <v>0.9</v>
      </c>
      <c r="AT131" s="33">
        <f t="shared" si="32"/>
        <v>0.98</v>
      </c>
      <c r="AU131" s="38">
        <f>IF($C131="&lt;01","",SUM($AP131)-SUM($O131))</f>
        <v>0</v>
      </c>
      <c r="AV131" s="38">
        <f>IF($C131="&lt;01",ROUND(INDEX(EID!$N:$N,MATCH($B131,EID!$B:$B,0))/2,0),IF(SUM($AT131)=0,"",ROUND((SUM($AP131)-(SUM($O131)*SUM($AS131)))/$AT131,0)))</f>
        <v>20</v>
      </c>
      <c r="AW131" s="33">
        <f t="shared" si="26"/>
        <v>1</v>
      </c>
      <c r="AX131" s="218">
        <f>IF($C131="&lt;01",SUM($AV131),ROUND(SUM($AV131)*SUM($AW131),0))</f>
        <v>20</v>
      </c>
      <c r="AY131" s="79">
        <f t="shared" si="27"/>
        <v>0.7</v>
      </c>
      <c r="AZ131" s="85">
        <f>IF($C131="&lt;01",ROUND(INDEX(EID!$R:$R,MATCH($B131,EID!$B:$B,0))/2,0),ROUND(SUM($O131)+(SUM($AV131)*$AY131),0))</f>
        <v>211</v>
      </c>
      <c r="BA131" s="40">
        <f t="shared" si="31"/>
        <v>0.9</v>
      </c>
      <c r="BB131" s="99">
        <f>IF($C131="&lt;01",ROUND(INDEX(EID!$T:$T,MATCH($B131,EID!$B:$B,0))/2,0),ROUND($AP131*$BA131,0))</f>
        <v>177</v>
      </c>
      <c r="BC131" s="85">
        <f>IF(LEFT($B131,4)="_Mil","",IF(SUM($BB131)=0,SUM($AD131),IF(OR(SUM($AP131)=0,SUM($AQ131)=0),MAX($BB131,$AD131),ROUND($BB131*$AQ131/$AP131,0))))</f>
        <v>156</v>
      </c>
      <c r="BD131" s="33">
        <f t="shared" si="28"/>
        <v>0.95</v>
      </c>
      <c r="BE131" s="218">
        <f>IF($C131="&lt;01",ROUND(INDEX(EID!$V:$V,MATCH($B131,EID!$B:$B,0))/2,0),ROUND($BD131*$BB131,0))</f>
        <v>168</v>
      </c>
      <c r="BF131" s="218">
        <f>IF(LEFT($B131,4)="_Mil","",IF(SUM($BE131)=0,SUM($AF131),IF(OR(SUM($AP131)=0,SUM($AQ131)=0),MAX($BE131,$AF131),ROUND($BE131*$AQ131/$AP131,0))))</f>
        <v>148</v>
      </c>
      <c r="BG131" s="79">
        <f t="shared" si="29"/>
        <v>0.95</v>
      </c>
      <c r="BH131" s="99">
        <f>IF($C131="&lt;01",ROUND(INDEX(EID!$L:$L,MATCH($B131,EID!$B:$B,0)),0)/2,IF(SUM($BG131)=0,"",ROUND($AX131/$BG131,0)))</f>
        <v>21</v>
      </c>
    </row>
    <row r="132" spans="1:60" x14ac:dyDescent="0.2">
      <c r="A132" t="str">
        <f>INDEX(Prioritization!$D:$D,MATCH($B132,Prioritization!$A:$A,0))</f>
        <v>INVALID</v>
      </c>
      <c r="B132" t="s">
        <v>308</v>
      </c>
      <c r="C132" t="s">
        <v>474</v>
      </c>
      <c r="D132" t="s">
        <v>48</v>
      </c>
      <c r="E132" t="str">
        <f t="shared" si="19"/>
        <v>Karonga District [cPtvxaZqXIH]|10-14|Male</v>
      </c>
      <c r="F132" s="229">
        <v>166</v>
      </c>
      <c r="G132" s="38">
        <v>8</v>
      </c>
      <c r="H132" s="38">
        <v>3</v>
      </c>
      <c r="I132" s="38">
        <v>166</v>
      </c>
      <c r="J132" s="38">
        <v>129</v>
      </c>
      <c r="K132" s="38">
        <v>82</v>
      </c>
      <c r="L132" s="38">
        <v>22</v>
      </c>
      <c r="M132" s="38">
        <v>21</v>
      </c>
      <c r="N132" s="38">
        <v>189</v>
      </c>
      <c r="O132" s="229">
        <v>166</v>
      </c>
      <c r="P132" s="38">
        <v>158</v>
      </c>
      <c r="Q132" s="38">
        <v>150</v>
      </c>
      <c r="R132" s="38">
        <f t="shared" si="20"/>
        <v>0</v>
      </c>
      <c r="S132" s="38">
        <f>IF(LEFT($B132,4)="_Mil","",_xlfn.IFNA(ROUND(INDEX(Spectrum!$N:$N,MATCH(RIGHT($B132,13)&amp;"|"&amp;$C132&amp;"|"&amp;$D132&amp;"|"&amp;S$14&amp;"|"&amp;"CY2023Q4",Spectrum!$R:$R,0)),0),""))</f>
        <v>172</v>
      </c>
      <c r="T132" s="218">
        <f>IF(LEFT($B132,4)="_Mil","",_xlfn.IFNA(ROUND(INDEX(Spectrum!$N:$N,MATCH(RIGHT($B132,13)&amp;"|"&amp;$C132&amp;"|"&amp;$D132&amp;"|"&amp;T$14&amp;"|"&amp;"CY2024Q3",Spectrum!$R:$R,0)),0),""))</f>
        <v>30140</v>
      </c>
      <c r="U132" s="218">
        <f>IF(LEFT($B132,4)="_Mil","",_xlfn.IFNA(ROUND(INDEX(Spectrum!$N:$N,MATCH(RIGHT($B132,13)&amp;"|"&amp;$C132&amp;"|"&amp;$D132&amp;"|"&amp;U$14&amp;"|"&amp;"CY2024Q3",Spectrum!$R:$R,0)),0),""))</f>
        <v>224</v>
      </c>
      <c r="V132" s="38">
        <f>IF(LEFT($B132,4)="_Mil","",_xlfn.IFNA(ROUND(INDEX(Spectrum!$N:$N,MATCH(RIGHT($B132,13)&amp;"|"&amp;$C132&amp;"|"&amp;$D132&amp;"|"&amp;V$14&amp;"|"&amp;"CY2024Q3",Spectrum!$R:$R,0)),0),""))</f>
        <v>218</v>
      </c>
      <c r="W132" s="220">
        <f>IF(LEFT($B132,4)="_Mil","",_xlfn.IFNA(INDEX(Spectrum!$N:$N,MATCH(RIGHT($B132,13)&amp;"|"&amp;$C132&amp;"|"&amp;$D132&amp;"|"&amp;W$14&amp;"|"&amp;"CY2024Q3",Spectrum!$R:$R,0)),""))</f>
        <v>7.4208019999999998E-3</v>
      </c>
      <c r="X132" s="218">
        <f>IF(LEFT($B132,4)="_Mil","",_xlfn.IFNA(ROUND(INDEX(Spectrum!$N:$N,MATCH(RIGHT($B132,13)&amp;"|"&amp;$C132&amp;"|"&amp;$D132&amp;"|"&amp;X$14&amp;"|"&amp;"CY2024Q3",Spectrum!$R:$R,0)),0),""))</f>
        <v>180</v>
      </c>
      <c r="Y132" s="33">
        <f t="shared" si="21"/>
        <v>0.8</v>
      </c>
      <c r="Z132" s="218">
        <f>IF(LEFT($B132,4)="_Mil","",_xlfn.IFNA(ROUND(INDEX(Spectrum!$N:$N,MATCH(RIGHT($B132,13)&amp;"|"&amp;$C132&amp;"|"&amp;$D132&amp;"|"&amp;Z$14&amp;"|"&amp;"CY2024Q3",Spectrum!$R:$R,0)),0),""))</f>
        <v>168</v>
      </c>
      <c r="AA132" s="33">
        <f>IF(LEFT($B132,4)="_Mil","",IFERROR(1/(1/INDEX(Spectrum!$N:$N,MATCH(RIGHT($B132,13)&amp;"|"&amp;$C132&amp;"|"&amp;$D132&amp;"|"&amp;AA$14&amp;"|"&amp;"CY2024Q3",Spectrum!$R:$R,0))),IF(SUM($U132)=0,"",SUM($Z132)/$U132)))</f>
        <v>0.771795283</v>
      </c>
      <c r="AB132" s="33">
        <f t="shared" si="22"/>
        <v>0.93333333333333335</v>
      </c>
      <c r="AC132" s="38">
        <f>IF(LEFT($B132,4)="_Mil","",_xlfn.IFNA(ROUND(INDEX(Spectrum!$N:$N,MATCH(RIGHT($B132,13)&amp;"|"&amp;$C132&amp;"|"&amp;$D132&amp;"|"&amp;AC$14&amp;"|"&amp;"CY2024Q3",Spectrum!$R:$R,0)),0),""))</f>
        <v>50</v>
      </c>
      <c r="AD132" s="38" t="str">
        <f>IF(LEFT($B132,4)="_Mil","",_xlfn.IFNA(ROUND(INDEX(Spectrum!$N:$N,MATCH(RIGHT($B132,13)&amp;"|"&amp;$C132&amp;"|"&amp;$D132&amp;"|"&amp;AD$14&amp;"|"&amp;"CY2024Q3",Spectrum!$R:$R,0)),0),""))</f>
        <v/>
      </c>
      <c r="AE132" s="33">
        <f t="shared" si="23"/>
        <v>0</v>
      </c>
      <c r="AF132" s="218" t="str">
        <f>IF(LEFT($B132,4)="_Mil","",_xlfn.IFNA(ROUND(INDEX(Spectrum!$N:$N,MATCH(RIGHT($B132,13)&amp;"|"&amp;$C132&amp;"|"&amp;$D132&amp;"|"&amp;AF$14&amp;"|"&amp;"CY2024Q3",Spectrum!$R:$R,0)),0),""))</f>
        <v/>
      </c>
      <c r="AG132" s="33" t="str">
        <f t="shared" si="24"/>
        <v/>
      </c>
      <c r="AH132" s="110" t="str">
        <f>IF(LEFT($B132,4)="_Mil","",_xlfn.IFNA(INDEX(Spectrum!$N:$N,MATCH(RIGHT($B132,13)&amp;"|"&amp;$C132&amp;"|"&amp;$D132&amp;"|"&amp;AH$14&amp;"|"&amp;"CY2024Q3",Spectrum!$R:$R,0)),""))</f>
        <v/>
      </c>
      <c r="AI132" s="218">
        <f>IF(LEFT($B132,4)="_Mil","",_xlfn.IFNA(ROUND(INDEX(Spectrum!$N:$N,MATCH(RIGHT($B132,13)&amp;"|"&amp;$C132&amp;"|"&amp;$D132&amp;"|"&amp;AI$14&amp;"|"&amp;"CY2025Q3",Spectrum!$R:$R,0)),0),""))</f>
        <v>0</v>
      </c>
      <c r="AJ132" s="38">
        <f>IF(LEFT($B132,4)="_Mil","",_xlfn.IFNA(ROUND(INDEX(Spectrum!$N:$N,MATCH(RIGHT($B132,13)&amp;"|"&amp;$C132&amp;"|"&amp;$D132&amp;"|"&amp;AJ$14&amp;"|"&amp;"CY2025Q3",Spectrum!$R:$R,0)),0),""))</f>
        <v>200</v>
      </c>
      <c r="AK132" s="218" t="e">
        <f>#REF!</f>
        <v>#REF!</v>
      </c>
      <c r="AL132" s="33">
        <f t="shared" si="25"/>
        <v>0.9</v>
      </c>
      <c r="AM132" s="38" t="e">
        <f>IF(OR(LEFT($B132,4)="_Mil",$C132="&lt;01"),"",ROUND(SUM($AK132)*SUM($AL132),0))</f>
        <v>#REF!</v>
      </c>
      <c r="AN132" s="38" t="str">
        <f>IF($C132="&lt;01",ROUND(INDEX(EID!$P:$P,MATCH($B132,EID!$B:$B,0))/2,0),"")</f>
        <v/>
      </c>
      <c r="AO132" s="38" t="e">
        <f>IF($C132="&lt;01",SUM($AN132),ROUND(SUM($AM132)*SUM($O132)/IF(SUM($Z132)=0,1,$Z132),0))</f>
        <v>#REF!</v>
      </c>
      <c r="AP132" s="218">
        <f>IF(OR($F132="",$C132="&lt;01"),$AO132,ROUND($F132,0))</f>
        <v>166</v>
      </c>
      <c r="AQ132" s="218">
        <f>IF(LEFT($B132,4)="_Mil","",IF(SUM($AP132)=0,SUM($Z132),IF(OR(SUM($Z132)=0,SUM($O132)=0),MAX($AP132,$Z132),ROUND($AP132*$Z132/$O132,0))))</f>
        <v>168</v>
      </c>
      <c r="AR132" s="33" t="e">
        <f>IF(OR(LEFT($B132,4)="_Mil",SUM($AK132)=0),"",SUM($AQ132)/$AK132)</f>
        <v>#REF!</v>
      </c>
      <c r="AS132" s="33">
        <f t="shared" si="33"/>
        <v>0.98</v>
      </c>
      <c r="AT132" s="33">
        <f t="shared" si="32"/>
        <v>0.98</v>
      </c>
      <c r="AU132" s="38">
        <f>IF($C132="&lt;01","",SUM($AP132)-SUM($O132))</f>
        <v>0</v>
      </c>
      <c r="AV132" s="38">
        <f>IF($C132="&lt;01",ROUND(INDEX(EID!$N:$N,MATCH($B132,EID!$B:$B,0))/2,0),IF(SUM($AT132)=0,"",ROUND((SUM($AP132)-(SUM($O132)*SUM($AS132)))/$AT132,0)))</f>
        <v>3</v>
      </c>
      <c r="AW132" s="33">
        <f t="shared" si="26"/>
        <v>1</v>
      </c>
      <c r="AX132" s="218">
        <f>IF($C132="&lt;01",SUM($AV132),ROUND(SUM($AV132)*SUM($AW132),0))</f>
        <v>3</v>
      </c>
      <c r="AY132" s="79">
        <f t="shared" si="27"/>
        <v>0.7</v>
      </c>
      <c r="AZ132" s="85">
        <f>IF($C132="&lt;01",ROUND(INDEX(EID!$R:$R,MATCH($B132,EID!$B:$B,0))/2,0),ROUND(SUM($O132)+(SUM($AV132)*$AY132),0))</f>
        <v>168</v>
      </c>
      <c r="BA132" s="40">
        <f t="shared" si="31"/>
        <v>0.9</v>
      </c>
      <c r="BB132" s="99">
        <f>IF($C132="&lt;01",ROUND(INDEX(EID!$T:$T,MATCH($B132,EID!$B:$B,0))/2,0),ROUND($AP132*$BA132,0))</f>
        <v>149</v>
      </c>
      <c r="BC132" s="85">
        <f>IF(LEFT($B132,4)="_Mil","",IF(SUM($BB132)=0,SUM($AD132),IF(OR(SUM($AP132)=0,SUM($AQ132)=0),MAX($BB132,$AD132),ROUND($BB132*$AQ132/$AP132,0))))</f>
        <v>151</v>
      </c>
      <c r="BD132" s="33">
        <f t="shared" si="28"/>
        <v>0.95</v>
      </c>
      <c r="BE132" s="218">
        <f>IF($C132="&lt;01",ROUND(INDEX(EID!$V:$V,MATCH($B132,EID!$B:$B,0))/2,0),ROUND($BD132*$BB132,0))</f>
        <v>142</v>
      </c>
      <c r="BF132" s="218">
        <f>IF(LEFT($B132,4)="_Mil","",IF(SUM($BE132)=0,SUM($AF132),IF(OR(SUM($AP132)=0,SUM($AQ132)=0),MAX($BE132,$AF132),ROUND($BE132*$AQ132/$AP132,0))))</f>
        <v>144</v>
      </c>
      <c r="BG132" s="79">
        <f t="shared" si="29"/>
        <v>0.95</v>
      </c>
      <c r="BH132" s="99">
        <f>IF($C132="&lt;01",ROUND(INDEX(EID!$L:$L,MATCH($B132,EID!$B:$B,0)),0)/2,IF(SUM($BG132)=0,"",ROUND($AX132/$BG132,0)))</f>
        <v>3</v>
      </c>
    </row>
    <row r="133" spans="1:60" x14ac:dyDescent="0.2">
      <c r="A133" t="str">
        <f>INDEX(Prioritization!$D:$D,MATCH($B133,Prioritization!$A:$A,0))</f>
        <v>INVALID</v>
      </c>
      <c r="B133" t="s">
        <v>308</v>
      </c>
      <c r="C133" t="s">
        <v>475</v>
      </c>
      <c r="D133" t="s">
        <v>30</v>
      </c>
      <c r="E133" t="str">
        <f t="shared" si="19"/>
        <v>Karonga District [cPtvxaZqXIH]|15-24|Female</v>
      </c>
      <c r="F133" s="229">
        <v>781</v>
      </c>
      <c r="G133" s="38">
        <v>208</v>
      </c>
      <c r="H133" s="38">
        <v>205</v>
      </c>
      <c r="I133" s="38">
        <v>725</v>
      </c>
      <c r="J133" s="38">
        <v>500</v>
      </c>
      <c r="K133" s="38">
        <v>398</v>
      </c>
      <c r="L133" s="38">
        <v>56</v>
      </c>
      <c r="M133" s="38">
        <v>54</v>
      </c>
      <c r="N133" s="38">
        <v>745</v>
      </c>
      <c r="O133" s="229">
        <v>753</v>
      </c>
      <c r="P133" s="38">
        <v>689</v>
      </c>
      <c r="Q133" s="38">
        <v>655</v>
      </c>
      <c r="R133" s="38">
        <f t="shared" si="20"/>
        <v>28</v>
      </c>
      <c r="S133" s="38">
        <f>IF(LEFT($B133,4)="_Mil","",_xlfn.IFNA(ROUND(INDEX(Spectrum!$N:$N,MATCH(RIGHT($B133,13)&amp;"|"&amp;$C133&amp;"|"&amp;$D133&amp;"|"&amp;S$14&amp;"|"&amp;"CY2023Q4",Spectrum!$R:$R,0)),0),""))</f>
        <v>769</v>
      </c>
      <c r="T133" s="218">
        <f>IF(LEFT($B133,4)="_Mil","",_xlfn.IFNA(ROUND(INDEX(Spectrum!$N:$N,MATCH(RIGHT($B133,13)&amp;"|"&amp;$C133&amp;"|"&amp;$D133&amp;"|"&amp;T$14&amp;"|"&amp;"CY2024Q3",Spectrum!$R:$R,0)),0),""))</f>
        <v>51672</v>
      </c>
      <c r="U133" s="218">
        <f>IF(LEFT($B133,4)="_Mil","",_xlfn.IFNA(ROUND(INDEX(Spectrum!$N:$N,MATCH(RIGHT($B133,13)&amp;"|"&amp;$C133&amp;"|"&amp;$D133&amp;"|"&amp;U$14&amp;"|"&amp;"CY2024Q3",Spectrum!$R:$R,0)),0),""))</f>
        <v>826</v>
      </c>
      <c r="V133" s="38">
        <f>IF(LEFT($B133,4)="_Mil","",_xlfn.IFNA(ROUND(INDEX(Spectrum!$N:$N,MATCH(RIGHT($B133,13)&amp;"|"&amp;$C133&amp;"|"&amp;$D133&amp;"|"&amp;V$14&amp;"|"&amp;"CY2024Q3",Spectrum!$R:$R,0)),0),""))</f>
        <v>804</v>
      </c>
      <c r="W133" s="220">
        <f>IF(LEFT($B133,4)="_Mil","",_xlfn.IFNA(INDEX(Spectrum!$N:$N,MATCH(RIGHT($B133,13)&amp;"|"&amp;$C133&amp;"|"&amp;$D133&amp;"|"&amp;W$14&amp;"|"&amp;"CY2024Q3",Spectrum!$R:$R,0)),""))</f>
        <v>1.5986546000000001E-2</v>
      </c>
      <c r="X133" s="218">
        <f>IF(LEFT($B133,4)="_Mil","",_xlfn.IFNA(ROUND(INDEX(Spectrum!$N:$N,MATCH(RIGHT($B133,13)&amp;"|"&amp;$C133&amp;"|"&amp;$D133&amp;"|"&amp;X$14&amp;"|"&amp;"CY2024Q3",Spectrum!$R:$R,0)),0),""))</f>
        <v>778</v>
      </c>
      <c r="Y133" s="33">
        <f t="shared" si="21"/>
        <v>0.94</v>
      </c>
      <c r="Z133" s="218">
        <f>IF(LEFT($B133,4)="_Mil","",_xlfn.IFNA(ROUND(INDEX(Spectrum!$N:$N,MATCH(RIGHT($B133,13)&amp;"|"&amp;$C133&amp;"|"&amp;$D133&amp;"|"&amp;Z$14&amp;"|"&amp;"CY2024Q3",Spectrum!$R:$R,0)),0),""))</f>
        <v>757</v>
      </c>
      <c r="AA133" s="33">
        <f>IF(LEFT($B133,4)="_Mil","",IFERROR(1/(1/INDEX(Spectrum!$N:$N,MATCH(RIGHT($B133,13)&amp;"|"&amp;$C133&amp;"|"&amp;$D133&amp;"|"&amp;AA$14&amp;"|"&amp;"CY2024Q3",Spectrum!$R:$R,0))),IF(SUM($U133)=0,"",SUM($Z133)/$U133)))</f>
        <v>0.94173053100000004</v>
      </c>
      <c r="AB133" s="33">
        <f t="shared" si="22"/>
        <v>0.97300771208226222</v>
      </c>
      <c r="AC133" s="38">
        <f>IF(LEFT($B133,4)="_Mil","",_xlfn.IFNA(ROUND(INDEX(Spectrum!$N:$N,MATCH(RIGHT($B133,13)&amp;"|"&amp;$C133&amp;"|"&amp;$D133&amp;"|"&amp;AC$14&amp;"|"&amp;"CY2024Q3",Spectrum!$R:$R,0)),0),""))</f>
        <v>47</v>
      </c>
      <c r="AD133" s="38" t="str">
        <f>IF(LEFT($B133,4)="_Mil","",_xlfn.IFNA(ROUND(INDEX(Spectrum!$N:$N,MATCH(RIGHT($B133,13)&amp;"|"&amp;$C133&amp;"|"&amp;$D133&amp;"|"&amp;AD$14&amp;"|"&amp;"CY2024Q3",Spectrum!$R:$R,0)),0),""))</f>
        <v/>
      </c>
      <c r="AE133" s="33">
        <f t="shared" si="23"/>
        <v>0</v>
      </c>
      <c r="AF133" s="218" t="str">
        <f>IF(LEFT($B133,4)="_Mil","",_xlfn.IFNA(ROUND(INDEX(Spectrum!$N:$N,MATCH(RIGHT($B133,13)&amp;"|"&amp;$C133&amp;"|"&amp;$D133&amp;"|"&amp;AF$14&amp;"|"&amp;"CY2024Q3",Spectrum!$R:$R,0)),0),""))</f>
        <v/>
      </c>
      <c r="AG133" s="33" t="str">
        <f t="shared" si="24"/>
        <v/>
      </c>
      <c r="AH133" s="110" t="str">
        <f>IF(LEFT($B133,4)="_Mil","",_xlfn.IFNA(INDEX(Spectrum!$N:$N,MATCH(RIGHT($B133,13)&amp;"|"&amp;$C133&amp;"|"&amp;$D133&amp;"|"&amp;AH$14&amp;"|"&amp;"CY2024Q3",Spectrum!$R:$R,0)),""))</f>
        <v/>
      </c>
      <c r="AI133" s="218">
        <f>IF(LEFT($B133,4)="_Mil","",_xlfn.IFNA(ROUND(INDEX(Spectrum!$N:$N,MATCH(RIGHT($B133,13)&amp;"|"&amp;$C133&amp;"|"&amp;$D133&amp;"|"&amp;AI$14&amp;"|"&amp;"CY2025Q3",Spectrum!$R:$R,0)),0),""))</f>
        <v>50</v>
      </c>
      <c r="AJ133" s="38">
        <f>IF(LEFT($B133,4)="_Mil","",_xlfn.IFNA(ROUND(INDEX(Spectrum!$N:$N,MATCH(RIGHT($B133,13)&amp;"|"&amp;$C133&amp;"|"&amp;$D133&amp;"|"&amp;AJ$14&amp;"|"&amp;"CY2025Q3",Spectrum!$R:$R,0)),0),""))</f>
        <v>806</v>
      </c>
      <c r="AK133" s="218" t="e">
        <f>#REF!</f>
        <v>#REF!</v>
      </c>
      <c r="AL133" s="33">
        <f t="shared" si="25"/>
        <v>0.94173053100000004</v>
      </c>
      <c r="AM133" s="38" t="e">
        <f>IF(OR(LEFT($B133,4)="_Mil",$C133="&lt;01"),"",ROUND(SUM($AK133)*SUM($AL133),0))</f>
        <v>#REF!</v>
      </c>
      <c r="AN133" s="38" t="str">
        <f>IF($C133="&lt;01",ROUND(INDEX(EID!$P:$P,MATCH($B133,EID!$B:$B,0))/2,0),"")</f>
        <v/>
      </c>
      <c r="AO133" s="38" t="e">
        <f>IF($C133="&lt;01",SUM($AN133),ROUND(SUM($AM133)*SUM($O133)/IF(SUM($Z133)=0,1,$Z133),0))</f>
        <v>#REF!</v>
      </c>
      <c r="AP133" s="218">
        <f>IF(OR($F133="",$C133="&lt;01"),$AO133,ROUND($F133,0))</f>
        <v>781</v>
      </c>
      <c r="AQ133" s="218">
        <f>IF(LEFT($B133,4)="_Mil","",IF(SUM($AP133)=0,SUM($Z133),IF(OR(SUM($Z133)=0,SUM($O133)=0),MAX($AP133,$Z133),ROUND($AP133*$Z133/$O133,0))))</f>
        <v>785</v>
      </c>
      <c r="AR133" s="33" t="e">
        <f>IF(OR(LEFT($B133,4)="_Mil",SUM($AK133)=0),"",SUM($AQ133)/$AK133)</f>
        <v>#REF!</v>
      </c>
      <c r="AS133" s="33">
        <f>IF($C133="&lt;01","",88%)</f>
        <v>0.88</v>
      </c>
      <c r="AT133" s="33">
        <f>IF($C133="&lt;01","",90%)</f>
        <v>0.9</v>
      </c>
      <c r="AU133" s="38">
        <f>IF($C133="&lt;01","",SUM($AP133)-SUM($O133))</f>
        <v>28</v>
      </c>
      <c r="AV133" s="38">
        <f>IF($C133="&lt;01",ROUND(INDEX(EID!$N:$N,MATCH($B133,EID!$B:$B,0))/2,0),IF(SUM($AT133)=0,"",ROUND((SUM($AP133)-(SUM($O133)*SUM($AS133)))/$AT133,0)))</f>
        <v>132</v>
      </c>
      <c r="AW133" s="33">
        <f t="shared" si="26"/>
        <v>1</v>
      </c>
      <c r="AX133" s="218">
        <f>IF($C133="&lt;01",SUM($AV133),ROUND(SUM($AV133)*SUM($AW133),0))</f>
        <v>132</v>
      </c>
      <c r="AY133" s="79">
        <f t="shared" si="27"/>
        <v>0.7</v>
      </c>
      <c r="AZ133" s="85">
        <f>IF($C133="&lt;01",ROUND(INDEX(EID!$R:$R,MATCH($B133,EID!$B:$B,0))/2,0),ROUND(SUM($O133)+(SUM($AV133)*$AY133),0))</f>
        <v>845</v>
      </c>
      <c r="BA133" s="40">
        <f t="shared" si="31"/>
        <v>0.9</v>
      </c>
      <c r="BB133" s="99">
        <f>IF($C133="&lt;01",ROUND(INDEX(EID!$T:$T,MATCH($B133,EID!$B:$B,0))/2,0),ROUND($AP133*$BA133,0))</f>
        <v>703</v>
      </c>
      <c r="BC133" s="85">
        <f>IF(LEFT($B133,4)="_Mil","",IF(SUM($BB133)=0,SUM($AD133),IF(OR(SUM($AP133)=0,SUM($AQ133)=0),MAX($BB133,$AD133),ROUND($BB133*$AQ133/$AP133,0))))</f>
        <v>707</v>
      </c>
      <c r="BD133" s="33">
        <f t="shared" si="28"/>
        <v>0.95</v>
      </c>
      <c r="BE133" s="218">
        <f>IF($C133="&lt;01",ROUND(INDEX(EID!$V:$V,MATCH($B133,EID!$B:$B,0))/2,0),ROUND($BD133*$BB133,0))</f>
        <v>668</v>
      </c>
      <c r="BF133" s="218">
        <f>IF(LEFT($B133,4)="_Mil","",IF(SUM($BE133)=0,SUM($AF133),IF(OR(SUM($AP133)=0,SUM($AQ133)=0),MAX($BE133,$AF133),ROUND($BE133*$AQ133/$AP133,0))))</f>
        <v>671</v>
      </c>
      <c r="BG133" s="79">
        <f t="shared" si="29"/>
        <v>0.95</v>
      </c>
      <c r="BH133" s="99">
        <f>IF($C133="&lt;01",ROUND(INDEX(EID!$L:$L,MATCH($B133,EID!$B:$B,0)),0)/2,IF(SUM($BG133)=0,"",ROUND($AX133/$BG133,0)))</f>
        <v>139</v>
      </c>
    </row>
    <row r="134" spans="1:60" x14ac:dyDescent="0.2">
      <c r="A134" t="str">
        <f>INDEX(Prioritization!$D:$D,MATCH($B134,Prioritization!$A:$A,0))</f>
        <v>INVALID</v>
      </c>
      <c r="B134" t="s">
        <v>308</v>
      </c>
      <c r="C134" t="s">
        <v>475</v>
      </c>
      <c r="D134" t="s">
        <v>48</v>
      </c>
      <c r="E134" t="str">
        <f t="shared" si="19"/>
        <v>Karonga District [cPtvxaZqXIH]|15-24|Male</v>
      </c>
      <c r="F134" s="229">
        <v>438</v>
      </c>
      <c r="G134" s="38">
        <v>38</v>
      </c>
      <c r="H134" s="38">
        <v>33</v>
      </c>
      <c r="I134" s="38">
        <v>349</v>
      </c>
      <c r="J134" s="38">
        <v>228</v>
      </c>
      <c r="K134" s="38">
        <v>157</v>
      </c>
      <c r="L134" s="38">
        <v>48</v>
      </c>
      <c r="M134" s="38">
        <v>46</v>
      </c>
      <c r="N134" s="38">
        <v>526</v>
      </c>
      <c r="O134" s="229">
        <v>430</v>
      </c>
      <c r="P134" s="38">
        <v>482</v>
      </c>
      <c r="Q134" s="38">
        <v>458</v>
      </c>
      <c r="R134" s="38">
        <f t="shared" si="20"/>
        <v>81</v>
      </c>
      <c r="S134" s="38">
        <f>IF(LEFT($B134,4)="_Mil","",_xlfn.IFNA(ROUND(INDEX(Spectrum!$N:$N,MATCH(RIGHT($B134,13)&amp;"|"&amp;$C134&amp;"|"&amp;$D134&amp;"|"&amp;S$14&amp;"|"&amp;"CY2023Q4",Spectrum!$R:$R,0)),0),""))</f>
        <v>514</v>
      </c>
      <c r="T134" s="218">
        <f>IF(LEFT($B134,4)="_Mil","",_xlfn.IFNA(ROUND(INDEX(Spectrum!$N:$N,MATCH(RIGHT($B134,13)&amp;"|"&amp;$C134&amp;"|"&amp;$D134&amp;"|"&amp;T$14&amp;"|"&amp;"CY2024Q3",Spectrum!$R:$R,0)),0),""))</f>
        <v>48216</v>
      </c>
      <c r="U134" s="218">
        <f>IF(LEFT($B134,4)="_Mil","",_xlfn.IFNA(ROUND(INDEX(Spectrum!$N:$N,MATCH(RIGHT($B134,13)&amp;"|"&amp;$C134&amp;"|"&amp;$D134&amp;"|"&amp;U$14&amp;"|"&amp;"CY2024Q3",Spectrum!$R:$R,0)),0),""))</f>
        <v>589</v>
      </c>
      <c r="V134" s="38">
        <f>IF(LEFT($B134,4)="_Mil","",_xlfn.IFNA(ROUND(INDEX(Spectrum!$N:$N,MATCH(RIGHT($B134,13)&amp;"|"&amp;$C134&amp;"|"&amp;$D134&amp;"|"&amp;V$14&amp;"|"&amp;"CY2024Q3",Spectrum!$R:$R,0)),0),""))</f>
        <v>573</v>
      </c>
      <c r="W134" s="220">
        <f>IF(LEFT($B134,4)="_Mil","",_xlfn.IFNA(INDEX(Spectrum!$N:$N,MATCH(RIGHT($B134,13)&amp;"|"&amp;$C134&amp;"|"&amp;$D134&amp;"|"&amp;W$14&amp;"|"&amp;"CY2024Q3",Spectrum!$R:$R,0)),""))</f>
        <v>1.2213945E-2</v>
      </c>
      <c r="X134" s="218">
        <f>IF(LEFT($B134,4)="_Mil","",_xlfn.IFNA(ROUND(INDEX(Spectrum!$N:$N,MATCH(RIGHT($B134,13)&amp;"|"&amp;$C134&amp;"|"&amp;$D134&amp;"|"&amp;X$14&amp;"|"&amp;"CY2024Q3",Spectrum!$R:$R,0)),0),""))</f>
        <v>541</v>
      </c>
      <c r="Y134" s="33">
        <f t="shared" si="21"/>
        <v>0.92</v>
      </c>
      <c r="Z134" s="218">
        <f>IF(LEFT($B134,4)="_Mil","",_xlfn.IFNA(ROUND(INDEX(Spectrum!$N:$N,MATCH(RIGHT($B134,13)&amp;"|"&amp;$C134&amp;"|"&amp;$D134&amp;"|"&amp;Z$14&amp;"|"&amp;"CY2024Q3",Spectrum!$R:$R,0)),0),""))</f>
        <v>523</v>
      </c>
      <c r="AA134" s="33">
        <f>IF(LEFT($B134,4)="_Mil","",IFERROR(1/(1/INDEX(Spectrum!$N:$N,MATCH(RIGHT($B134,13)&amp;"|"&amp;$C134&amp;"|"&amp;$D134&amp;"|"&amp;AA$14&amp;"|"&amp;"CY2024Q3",Spectrum!$R:$R,0))),IF(SUM($U134)=0,"",SUM($Z134)/$U134)))</f>
        <v>0.91544905799999998</v>
      </c>
      <c r="AB134" s="33">
        <f t="shared" si="22"/>
        <v>0.96672828096118302</v>
      </c>
      <c r="AC134" s="38">
        <f>IF(LEFT($B134,4)="_Mil","",_xlfn.IFNA(ROUND(INDEX(Spectrum!$N:$N,MATCH(RIGHT($B134,13)&amp;"|"&amp;$C134&amp;"|"&amp;$D134&amp;"|"&amp;AC$14&amp;"|"&amp;"CY2024Q3",Spectrum!$R:$R,0)),0),""))</f>
        <v>50</v>
      </c>
      <c r="AD134" s="38" t="str">
        <f>IF(LEFT($B134,4)="_Mil","",_xlfn.IFNA(ROUND(INDEX(Spectrum!$N:$N,MATCH(RIGHT($B134,13)&amp;"|"&amp;$C134&amp;"|"&amp;$D134&amp;"|"&amp;AD$14&amp;"|"&amp;"CY2024Q3",Spectrum!$R:$R,0)),0),""))</f>
        <v/>
      </c>
      <c r="AE134" s="33">
        <f t="shared" si="23"/>
        <v>0</v>
      </c>
      <c r="AF134" s="218" t="str">
        <f>IF(LEFT($B134,4)="_Mil","",_xlfn.IFNA(ROUND(INDEX(Spectrum!$N:$N,MATCH(RIGHT($B134,13)&amp;"|"&amp;$C134&amp;"|"&amp;$D134&amp;"|"&amp;AF$14&amp;"|"&amp;"CY2024Q3",Spectrum!$R:$R,0)),0),""))</f>
        <v/>
      </c>
      <c r="AG134" s="33" t="str">
        <f t="shared" si="24"/>
        <v/>
      </c>
      <c r="AH134" s="110" t="str">
        <f>IF(LEFT($B134,4)="_Mil","",_xlfn.IFNA(INDEX(Spectrum!$N:$N,MATCH(RIGHT($B134,13)&amp;"|"&amp;$C134&amp;"|"&amp;$D134&amp;"|"&amp;AH$14&amp;"|"&amp;"CY2024Q3",Spectrum!$R:$R,0)),""))</f>
        <v/>
      </c>
      <c r="AI134" s="218">
        <f>IF(LEFT($B134,4)="_Mil","",_xlfn.IFNA(ROUND(INDEX(Spectrum!$N:$N,MATCH(RIGHT($B134,13)&amp;"|"&amp;$C134&amp;"|"&amp;$D134&amp;"|"&amp;AI$14&amp;"|"&amp;"CY2025Q3",Spectrum!$R:$R,0)),0),""))</f>
        <v>8</v>
      </c>
      <c r="AJ134" s="38">
        <f>IF(LEFT($B134,4)="_Mil","",_xlfn.IFNA(ROUND(INDEX(Spectrum!$N:$N,MATCH(RIGHT($B134,13)&amp;"|"&amp;$C134&amp;"|"&amp;$D134&amp;"|"&amp;AJ$14&amp;"|"&amp;"CY2025Q3",Spectrum!$R:$R,0)),0),""))</f>
        <v>579</v>
      </c>
      <c r="AK134" s="218" t="e">
        <f>#REF!</f>
        <v>#REF!</v>
      </c>
      <c r="AL134" s="33">
        <f t="shared" si="25"/>
        <v>0.91544905799999998</v>
      </c>
      <c r="AM134" s="38" t="e">
        <f>IF(OR(LEFT($B134,4)="_Mil",$C134="&lt;01"),"",ROUND(SUM($AK134)*SUM($AL134),0))</f>
        <v>#REF!</v>
      </c>
      <c r="AN134" s="38" t="str">
        <f>IF($C134="&lt;01",ROUND(INDEX(EID!$P:$P,MATCH($B134,EID!$B:$B,0))/2,0),"")</f>
        <v/>
      </c>
      <c r="AO134" s="38" t="e">
        <f>IF($C134="&lt;01",SUM($AN134),ROUND(SUM($AM134)*SUM($O134)/IF(SUM($Z134)=0,1,$Z134),0))</f>
        <v>#REF!</v>
      </c>
      <c r="AP134" s="218">
        <f>IF(OR($F134="",$C134="&lt;01"),$AO134,ROUND($F134,0))</f>
        <v>438</v>
      </c>
      <c r="AQ134" s="218">
        <f>IF(LEFT($B134,4)="_Mil","",IF(SUM($AP134)=0,SUM($Z134),IF(OR(SUM($Z134)=0,SUM($O134)=0),MAX($AP134,$Z134),ROUND($AP134*$Z134/$O134,0))))</f>
        <v>533</v>
      </c>
      <c r="AR134" s="33" t="e">
        <f>IF(OR(LEFT($B134,4)="_Mil",SUM($AK134)=0),"",SUM($AQ134)/$AK134)</f>
        <v>#REF!</v>
      </c>
      <c r="AS134" s="33">
        <f t="shared" si="33"/>
        <v>0.98</v>
      </c>
      <c r="AT134" s="33">
        <f t="shared" si="32"/>
        <v>0.98</v>
      </c>
      <c r="AU134" s="38">
        <f>IF($C134="&lt;01","",SUM($AP134)-SUM($O134))</f>
        <v>8</v>
      </c>
      <c r="AV134" s="38">
        <f>IF($C134="&lt;01",ROUND(INDEX(EID!$N:$N,MATCH($B134,EID!$B:$B,0))/2,0),IF(SUM($AT134)=0,"",ROUND((SUM($AP134)-(SUM($O134)*SUM($AS134)))/$AT134,0)))</f>
        <v>17</v>
      </c>
      <c r="AW134" s="33">
        <f t="shared" si="26"/>
        <v>1</v>
      </c>
      <c r="AX134" s="218">
        <f>IF($C134="&lt;01",SUM($AV134),ROUND(SUM($AV134)*SUM($AW134),0))</f>
        <v>17</v>
      </c>
      <c r="AY134" s="79">
        <f t="shared" si="27"/>
        <v>0.7</v>
      </c>
      <c r="AZ134" s="85">
        <f>IF($C134="&lt;01",ROUND(INDEX(EID!$R:$R,MATCH($B134,EID!$B:$B,0))/2,0),ROUND(SUM($O134)+(SUM($AV134)*$AY134),0))</f>
        <v>442</v>
      </c>
      <c r="BA134" s="40">
        <f t="shared" si="31"/>
        <v>0.9</v>
      </c>
      <c r="BB134" s="99">
        <f>IF($C134="&lt;01",ROUND(INDEX(EID!$T:$T,MATCH($B134,EID!$B:$B,0))/2,0),ROUND($AP134*$BA134,0))</f>
        <v>394</v>
      </c>
      <c r="BC134" s="85">
        <f>IF(LEFT($B134,4)="_Mil","",IF(SUM($BB134)=0,SUM($AD134),IF(OR(SUM($AP134)=0,SUM($AQ134)=0),MAX($BB134,$AD134),ROUND($BB134*$AQ134/$AP134,0))))</f>
        <v>479</v>
      </c>
      <c r="BD134" s="33">
        <f t="shared" si="28"/>
        <v>0.95</v>
      </c>
      <c r="BE134" s="218">
        <f>IF($C134="&lt;01",ROUND(INDEX(EID!$V:$V,MATCH($B134,EID!$B:$B,0))/2,0),ROUND($BD134*$BB134,0))</f>
        <v>374</v>
      </c>
      <c r="BF134" s="218">
        <f>IF(LEFT($B134,4)="_Mil","",IF(SUM($BE134)=0,SUM($AF134),IF(OR(SUM($AP134)=0,SUM($AQ134)=0),MAX($BE134,$AF134),ROUND($BE134*$AQ134/$AP134,0))))</f>
        <v>455</v>
      </c>
      <c r="BG134" s="79">
        <f t="shared" si="29"/>
        <v>0.95</v>
      </c>
      <c r="BH134" s="99">
        <f>IF($C134="&lt;01",ROUND(INDEX(EID!$L:$L,MATCH($B134,EID!$B:$B,0)),0)/2,IF(SUM($BG134)=0,"",ROUND($AX134/$BG134,0)))</f>
        <v>18</v>
      </c>
    </row>
    <row r="135" spans="1:60" x14ac:dyDescent="0.2">
      <c r="A135" t="str">
        <f>INDEX(Prioritization!$D:$D,MATCH($B135,Prioritization!$A:$A,0))</f>
        <v>INVALID</v>
      </c>
      <c r="B135" t="s">
        <v>308</v>
      </c>
      <c r="C135" t="s">
        <v>476</v>
      </c>
      <c r="D135" t="s">
        <v>30</v>
      </c>
      <c r="E135" t="str">
        <f t="shared" si="19"/>
        <v>Karonga District [cPtvxaZqXIH]|25-34|Female</v>
      </c>
      <c r="F135" s="229">
        <v>1600</v>
      </c>
      <c r="G135" s="38">
        <v>242</v>
      </c>
      <c r="H135" s="38">
        <v>240</v>
      </c>
      <c r="I135" s="38">
        <v>1600</v>
      </c>
      <c r="J135" s="38">
        <v>1178</v>
      </c>
      <c r="K135" s="38">
        <v>1059</v>
      </c>
      <c r="L135" s="38">
        <v>170</v>
      </c>
      <c r="M135" s="38">
        <v>167</v>
      </c>
      <c r="N135" s="38">
        <v>1930</v>
      </c>
      <c r="O135" s="229">
        <v>1600</v>
      </c>
      <c r="P135" s="38">
        <v>1768</v>
      </c>
      <c r="Q135" s="38">
        <v>1680</v>
      </c>
      <c r="R135" s="38">
        <f t="shared" si="20"/>
        <v>0</v>
      </c>
      <c r="S135" s="38">
        <f>IF(LEFT($B135,4)="_Mil","",_xlfn.IFNA(ROUND(INDEX(Spectrum!$N:$N,MATCH(RIGHT($B135,13)&amp;"|"&amp;$C135&amp;"|"&amp;$D135&amp;"|"&amp;S$14&amp;"|"&amp;"CY2023Q4",Spectrum!$R:$R,0)),0),""))</f>
        <v>2003</v>
      </c>
      <c r="T135" s="218">
        <f>IF(LEFT($B135,4)="_Mil","",_xlfn.IFNA(ROUND(INDEX(Spectrum!$N:$N,MATCH(RIGHT($B135,13)&amp;"|"&amp;$C135&amp;"|"&amp;$D135&amp;"|"&amp;T$14&amp;"|"&amp;"CY2024Q3",Spectrum!$R:$R,0)),0),""))</f>
        <v>33855</v>
      </c>
      <c r="U135" s="218">
        <f>IF(LEFT($B135,4)="_Mil","",_xlfn.IFNA(ROUND(INDEX(Spectrum!$N:$N,MATCH(RIGHT($B135,13)&amp;"|"&amp;$C135&amp;"|"&amp;$D135&amp;"|"&amp;U$14&amp;"|"&amp;"CY2024Q3",Spectrum!$R:$R,0)),0),""))</f>
        <v>2017</v>
      </c>
      <c r="V135" s="38">
        <f>IF(LEFT($B135,4)="_Mil","",_xlfn.IFNA(ROUND(INDEX(Spectrum!$N:$N,MATCH(RIGHT($B135,13)&amp;"|"&amp;$C135&amp;"|"&amp;$D135&amp;"|"&amp;V$14&amp;"|"&amp;"CY2024Q3",Spectrum!$R:$R,0)),0),""))</f>
        <v>1962</v>
      </c>
      <c r="W135" s="220">
        <f>IF(LEFT($B135,4)="_Mil","",_xlfn.IFNA(INDEX(Spectrum!$N:$N,MATCH(RIGHT($B135,13)&amp;"|"&amp;$C135&amp;"|"&amp;$D135&amp;"|"&amp;W$14&amp;"|"&amp;"CY2024Q3",Spectrum!$R:$R,0)),""))</f>
        <v>5.9562717000000001E-2</v>
      </c>
      <c r="X135" s="218">
        <f>IF(LEFT($B135,4)="_Mil","",_xlfn.IFNA(ROUND(INDEX(Spectrum!$N:$N,MATCH(RIGHT($B135,13)&amp;"|"&amp;$C135&amp;"|"&amp;$D135&amp;"|"&amp;X$14&amp;"|"&amp;"CY2024Q3",Spectrum!$R:$R,0)),0),""))</f>
        <v>1954</v>
      </c>
      <c r="Y135" s="33">
        <f t="shared" si="21"/>
        <v>0.97</v>
      </c>
      <c r="Z135" s="218">
        <f>IF(LEFT($B135,4)="_Mil","",_xlfn.IFNA(ROUND(INDEX(Spectrum!$N:$N,MATCH(RIGHT($B135,13)&amp;"|"&amp;$C135&amp;"|"&amp;$D135&amp;"|"&amp;Z$14&amp;"|"&amp;"CY2024Q3",Spectrum!$R:$R,0)),0),""))</f>
        <v>1901</v>
      </c>
      <c r="AA135" s="33">
        <f>IF(LEFT($B135,4)="_Mil","",IFERROR(1/(1/INDEX(Spectrum!$N:$N,MATCH(RIGHT($B135,13)&amp;"|"&amp;$C135&amp;"|"&amp;$D135&amp;"|"&amp;AA$14&amp;"|"&amp;"CY2024Q3",Spectrum!$R:$R,0))),IF(SUM($U135)=0,"",SUM($Z135)/$U135)))</f>
        <v>0.96908219699999987</v>
      </c>
      <c r="AB135" s="33">
        <f t="shared" si="22"/>
        <v>0.97287615148413509</v>
      </c>
      <c r="AC135" s="38">
        <f>IF(LEFT($B135,4)="_Mil","",_xlfn.IFNA(ROUND(INDEX(Spectrum!$N:$N,MATCH(RIGHT($B135,13)&amp;"|"&amp;$C135&amp;"|"&amp;$D135&amp;"|"&amp;AC$14&amp;"|"&amp;"CY2024Q3",Spectrum!$R:$R,0)),0),""))</f>
        <v>60</v>
      </c>
      <c r="AD135" s="38" t="str">
        <f>IF(LEFT($B135,4)="_Mil","",_xlfn.IFNA(ROUND(INDEX(Spectrum!$N:$N,MATCH(RIGHT($B135,13)&amp;"|"&amp;$C135&amp;"|"&amp;$D135&amp;"|"&amp;AD$14&amp;"|"&amp;"CY2024Q3",Spectrum!$R:$R,0)),0),""))</f>
        <v/>
      </c>
      <c r="AE135" s="33">
        <f t="shared" si="23"/>
        <v>0</v>
      </c>
      <c r="AF135" s="218" t="str">
        <f>IF(LEFT($B135,4)="_Mil","",_xlfn.IFNA(ROUND(INDEX(Spectrum!$N:$N,MATCH(RIGHT($B135,13)&amp;"|"&amp;$C135&amp;"|"&amp;$D135&amp;"|"&amp;AF$14&amp;"|"&amp;"CY2024Q3",Spectrum!$R:$R,0)),0),""))</f>
        <v/>
      </c>
      <c r="AG135" s="33" t="str">
        <f t="shared" si="24"/>
        <v/>
      </c>
      <c r="AH135" s="110" t="str">
        <f>IF(LEFT($B135,4)="_Mil","",_xlfn.IFNA(INDEX(Spectrum!$N:$N,MATCH(RIGHT($B135,13)&amp;"|"&amp;$C135&amp;"|"&amp;$D135&amp;"|"&amp;AH$14&amp;"|"&amp;"CY2024Q3",Spectrum!$R:$R,0)),""))</f>
        <v/>
      </c>
      <c r="AI135" s="218">
        <f>IF(LEFT($B135,4)="_Mil","",_xlfn.IFNA(ROUND(INDEX(Spectrum!$N:$N,MATCH(RIGHT($B135,13)&amp;"|"&amp;$C135&amp;"|"&amp;$D135&amp;"|"&amp;AI$14&amp;"|"&amp;"CY2025Q3",Spectrum!$R:$R,0)),0),""))</f>
        <v>48</v>
      </c>
      <c r="AJ135" s="38">
        <f>IF(LEFT($B135,4)="_Mil","",_xlfn.IFNA(ROUND(INDEX(Spectrum!$N:$N,MATCH(RIGHT($B135,13)&amp;"|"&amp;$C135&amp;"|"&amp;$D135&amp;"|"&amp;AJ$14&amp;"|"&amp;"CY2025Q3",Spectrum!$R:$R,0)),0),""))</f>
        <v>1883</v>
      </c>
      <c r="AK135" s="218" t="e">
        <f>#REF!</f>
        <v>#REF!</v>
      </c>
      <c r="AL135" s="33">
        <f t="shared" si="25"/>
        <v>0.96908219699999987</v>
      </c>
      <c r="AM135" s="38" t="e">
        <f>IF(OR(LEFT($B135,4)="_Mil",$C135="&lt;01"),"",ROUND(SUM($AK135)*SUM($AL135),0))</f>
        <v>#REF!</v>
      </c>
      <c r="AN135" s="38" t="str">
        <f>IF($C135="&lt;01",ROUND(INDEX(EID!$P:$P,MATCH($B135,EID!$B:$B,0))/2,0),"")</f>
        <v/>
      </c>
      <c r="AO135" s="38" t="e">
        <f>IF($C135="&lt;01",SUM($AN135),ROUND(SUM($AM135)*SUM($O135)/IF(SUM($Z135)=0,1,$Z135),0))</f>
        <v>#REF!</v>
      </c>
      <c r="AP135" s="218">
        <f>IF(OR($F135="",$C135="&lt;01"),$AO135,ROUND($F135,0))</f>
        <v>1600</v>
      </c>
      <c r="AQ135" s="218">
        <f>IF(LEFT($B135,4)="_Mil","",IF(SUM($AP135)=0,SUM($Z135),IF(OR(SUM($Z135)=0,SUM($O135)=0),MAX($AP135,$Z135),ROUND($AP135*$Z135/$O135,0))))</f>
        <v>1901</v>
      </c>
      <c r="AR135" s="33" t="e">
        <f>IF(OR(LEFT($B135,4)="_Mil",SUM($AK135)=0),"",SUM($AQ135)/$AK135)</f>
        <v>#REF!</v>
      </c>
      <c r="AS135" s="33">
        <f>IF($C135="&lt;01","",90%)</f>
        <v>0.9</v>
      </c>
      <c r="AT135" s="33">
        <f>IF($C135="&lt;01","",90%)</f>
        <v>0.9</v>
      </c>
      <c r="AU135" s="38">
        <f>IF($C135="&lt;01","",SUM($AP135)-SUM($O135))</f>
        <v>0</v>
      </c>
      <c r="AV135" s="38">
        <f>IF($C135="&lt;01",ROUND(INDEX(EID!$N:$N,MATCH($B135,EID!$B:$B,0))/2,0),IF(SUM($AT135)=0,"",ROUND((SUM($AP135)-(SUM($O135)*SUM($AS135)))/$AT135,0)))</f>
        <v>178</v>
      </c>
      <c r="AW135" s="33">
        <f t="shared" si="26"/>
        <v>1</v>
      </c>
      <c r="AX135" s="218">
        <f>IF($C135="&lt;01",SUM($AV135),ROUND(SUM($AV135)*SUM($AW135),0))</f>
        <v>178</v>
      </c>
      <c r="AY135" s="79">
        <f t="shared" si="27"/>
        <v>0.7</v>
      </c>
      <c r="AZ135" s="85">
        <f>IF($C135="&lt;01",ROUND(INDEX(EID!$R:$R,MATCH($B135,EID!$B:$B,0))/2,0),ROUND(SUM($O135)+(SUM($AV135)*$AY135),0))</f>
        <v>1725</v>
      </c>
      <c r="BA135" s="40">
        <f t="shared" si="31"/>
        <v>0.9</v>
      </c>
      <c r="BB135" s="99">
        <f>IF($C135="&lt;01",ROUND(INDEX(EID!$T:$T,MATCH($B135,EID!$B:$B,0))/2,0),ROUND($AP135*$BA135,0))</f>
        <v>1440</v>
      </c>
      <c r="BC135" s="85">
        <f>IF(LEFT($B135,4)="_Mil","",IF(SUM($BB135)=0,SUM($AD135),IF(OR(SUM($AP135)=0,SUM($AQ135)=0),MAX($BB135,$AD135),ROUND($BB135*$AQ135/$AP135,0))))</f>
        <v>1711</v>
      </c>
      <c r="BD135" s="33">
        <f t="shared" si="28"/>
        <v>0.95</v>
      </c>
      <c r="BE135" s="218">
        <f>IF($C135="&lt;01",ROUND(INDEX(EID!$V:$V,MATCH($B135,EID!$B:$B,0))/2,0),ROUND($BD135*$BB135,0))</f>
        <v>1368</v>
      </c>
      <c r="BF135" s="218">
        <f>IF(LEFT($B135,4)="_Mil","",IF(SUM($BE135)=0,SUM($AF135),IF(OR(SUM($AP135)=0,SUM($AQ135)=0),MAX($BE135,$AF135),ROUND($BE135*$AQ135/$AP135,0))))</f>
        <v>1625</v>
      </c>
      <c r="BG135" s="79">
        <f t="shared" si="29"/>
        <v>0.95</v>
      </c>
      <c r="BH135" s="99">
        <f>IF($C135="&lt;01",ROUND(INDEX(EID!$L:$L,MATCH($B135,EID!$B:$B,0)),0)/2,IF(SUM($BG135)=0,"",ROUND($AX135/$BG135,0)))</f>
        <v>187</v>
      </c>
    </row>
    <row r="136" spans="1:60" x14ac:dyDescent="0.2">
      <c r="A136" t="str">
        <f>INDEX(Prioritization!$D:$D,MATCH($B136,Prioritization!$A:$A,0))</f>
        <v>INVALID</v>
      </c>
      <c r="B136" t="s">
        <v>308</v>
      </c>
      <c r="C136" t="s">
        <v>476</v>
      </c>
      <c r="D136" t="s">
        <v>48</v>
      </c>
      <c r="E136" t="str">
        <f t="shared" si="19"/>
        <v>Karonga District [cPtvxaZqXIH]|25-34|Male</v>
      </c>
      <c r="F136" s="229">
        <v>558</v>
      </c>
      <c r="G136" s="38">
        <v>131</v>
      </c>
      <c r="H136" s="38">
        <v>115</v>
      </c>
      <c r="I136" s="38">
        <v>437</v>
      </c>
      <c r="J136" s="38">
        <v>303</v>
      </c>
      <c r="K136" s="38">
        <v>268</v>
      </c>
      <c r="L136" s="38">
        <v>15</v>
      </c>
      <c r="M136" s="38">
        <v>14</v>
      </c>
      <c r="N136" s="38">
        <v>708</v>
      </c>
      <c r="O136" s="229">
        <v>550</v>
      </c>
      <c r="P136" s="38">
        <v>640</v>
      </c>
      <c r="Q136" s="38">
        <v>608</v>
      </c>
      <c r="R136" s="38">
        <f t="shared" si="20"/>
        <v>113</v>
      </c>
      <c r="S136" s="38">
        <f>IF(LEFT($B136,4)="_Mil","",_xlfn.IFNA(ROUND(INDEX(Spectrum!$N:$N,MATCH(RIGHT($B136,13)&amp;"|"&amp;$C136&amp;"|"&amp;$D136&amp;"|"&amp;S$14&amp;"|"&amp;"CY2023Q4",Spectrum!$R:$R,0)),0),""))</f>
        <v>653</v>
      </c>
      <c r="T136" s="218">
        <f>IF(LEFT($B136,4)="_Mil","",_xlfn.IFNA(ROUND(INDEX(Spectrum!$N:$N,MATCH(RIGHT($B136,13)&amp;"|"&amp;$C136&amp;"|"&amp;$D136&amp;"|"&amp;T$14&amp;"|"&amp;"CY2024Q3",Spectrum!$R:$R,0)),0),""))</f>
        <v>30275</v>
      </c>
      <c r="U136" s="218">
        <f>IF(LEFT($B136,4)="_Mil","",_xlfn.IFNA(ROUND(INDEX(Spectrum!$N:$N,MATCH(RIGHT($B136,13)&amp;"|"&amp;$C136&amp;"|"&amp;$D136&amp;"|"&amp;U$14&amp;"|"&amp;"CY2024Q3",Spectrum!$R:$R,0)),0),""))</f>
        <v>753</v>
      </c>
      <c r="V136" s="38">
        <f>IF(LEFT($B136,4)="_Mil","",_xlfn.IFNA(ROUND(INDEX(Spectrum!$N:$N,MATCH(RIGHT($B136,13)&amp;"|"&amp;$C136&amp;"|"&amp;$D136&amp;"|"&amp;V$14&amp;"|"&amp;"CY2024Q3",Spectrum!$R:$R,0)),0),""))</f>
        <v>733</v>
      </c>
      <c r="W136" s="220">
        <f>IF(LEFT($B136,4)="_Mil","",_xlfn.IFNA(INDEX(Spectrum!$N:$N,MATCH(RIGHT($B136,13)&amp;"|"&amp;$C136&amp;"|"&amp;$D136&amp;"|"&amp;W$14&amp;"|"&amp;"CY2024Q3",Spectrum!$R:$R,0)),""))</f>
        <v>2.4860447000000001E-2</v>
      </c>
      <c r="X136" s="218">
        <f>IF(LEFT($B136,4)="_Mil","",_xlfn.IFNA(ROUND(INDEX(Spectrum!$N:$N,MATCH(RIGHT($B136,13)&amp;"|"&amp;$C136&amp;"|"&amp;$D136&amp;"|"&amp;X$14&amp;"|"&amp;"CY2024Q3",Spectrum!$R:$R,0)),0),""))</f>
        <v>675</v>
      </c>
      <c r="Y136" s="33">
        <f t="shared" si="21"/>
        <v>0.9</v>
      </c>
      <c r="Z136" s="218">
        <f>IF(LEFT($B136,4)="_Mil","",_xlfn.IFNA(ROUND(INDEX(Spectrum!$N:$N,MATCH(RIGHT($B136,13)&amp;"|"&amp;$C136&amp;"|"&amp;$D136&amp;"|"&amp;Z$14&amp;"|"&amp;"CY2024Q3",Spectrum!$R:$R,0)),0),""))</f>
        <v>649</v>
      </c>
      <c r="AA136" s="33">
        <f>IF(LEFT($B136,4)="_Mil","",IFERROR(1/(1/INDEX(Spectrum!$N:$N,MATCH(RIGHT($B136,13)&amp;"|"&amp;$C136&amp;"|"&amp;$D136&amp;"|"&amp;AA$14&amp;"|"&amp;"CY2024Q3",Spectrum!$R:$R,0))),IF(SUM($U136)=0,"",SUM($Z136)/$U136)))</f>
        <v>0.890155629</v>
      </c>
      <c r="AB136" s="33">
        <f t="shared" si="22"/>
        <v>0.96148148148148149</v>
      </c>
      <c r="AC136" s="38">
        <f>IF(LEFT($B136,4)="_Mil","",_xlfn.IFNA(ROUND(INDEX(Spectrum!$N:$N,MATCH(RIGHT($B136,13)&amp;"|"&amp;$C136&amp;"|"&amp;$D136&amp;"|"&amp;AC$14&amp;"|"&amp;"CY2024Q3",Spectrum!$R:$R,0)),0),""))</f>
        <v>84</v>
      </c>
      <c r="AD136" s="38" t="str">
        <f>IF(LEFT($B136,4)="_Mil","",_xlfn.IFNA(ROUND(INDEX(Spectrum!$N:$N,MATCH(RIGHT($B136,13)&amp;"|"&amp;$C136&amp;"|"&amp;$D136&amp;"|"&amp;AD$14&amp;"|"&amp;"CY2024Q3",Spectrum!$R:$R,0)),0),""))</f>
        <v/>
      </c>
      <c r="AE136" s="33">
        <f t="shared" si="23"/>
        <v>0</v>
      </c>
      <c r="AF136" s="218" t="str">
        <f>IF(LEFT($B136,4)="_Mil","",_xlfn.IFNA(ROUND(INDEX(Spectrum!$N:$N,MATCH(RIGHT($B136,13)&amp;"|"&amp;$C136&amp;"|"&amp;$D136&amp;"|"&amp;AF$14&amp;"|"&amp;"CY2024Q3",Spectrum!$R:$R,0)),0),""))</f>
        <v/>
      </c>
      <c r="AG136" s="33" t="str">
        <f t="shared" si="24"/>
        <v/>
      </c>
      <c r="AH136" s="110" t="str">
        <f>IF(LEFT($B136,4)="_Mil","",_xlfn.IFNA(INDEX(Spectrum!$N:$N,MATCH(RIGHT($B136,13)&amp;"|"&amp;$C136&amp;"|"&amp;$D136&amp;"|"&amp;AH$14&amp;"|"&amp;"CY2024Q3",Spectrum!$R:$R,0)),""))</f>
        <v/>
      </c>
      <c r="AI136" s="218">
        <f>IF(LEFT($B136,4)="_Mil","",_xlfn.IFNA(ROUND(INDEX(Spectrum!$N:$N,MATCH(RIGHT($B136,13)&amp;"|"&amp;$C136&amp;"|"&amp;$D136&amp;"|"&amp;AI$14&amp;"|"&amp;"CY2025Q3",Spectrum!$R:$R,0)),0),""))</f>
        <v>27</v>
      </c>
      <c r="AJ136" s="38">
        <f>IF(LEFT($B136,4)="_Mil","",_xlfn.IFNA(ROUND(INDEX(Spectrum!$N:$N,MATCH(RIGHT($B136,13)&amp;"|"&amp;$C136&amp;"|"&amp;$D136&amp;"|"&amp;AJ$14&amp;"|"&amp;"CY2025Q3",Spectrum!$R:$R,0)),0),""))</f>
        <v>721</v>
      </c>
      <c r="AK136" s="218" t="e">
        <f>#REF!</f>
        <v>#REF!</v>
      </c>
      <c r="AL136" s="33">
        <f t="shared" si="25"/>
        <v>0.9</v>
      </c>
      <c r="AM136" s="38" t="e">
        <f>IF(OR(LEFT($B136,4)="_Mil",$C136="&lt;01"),"",ROUND(SUM($AK136)*SUM($AL136),0))</f>
        <v>#REF!</v>
      </c>
      <c r="AN136" s="38" t="str">
        <f>IF($C136="&lt;01",ROUND(INDEX(EID!$P:$P,MATCH($B136,EID!$B:$B,0))/2,0),"")</f>
        <v/>
      </c>
      <c r="AO136" s="38" t="e">
        <f>IF($C136="&lt;01",SUM($AN136),ROUND(SUM($AM136)*SUM($O136)/IF(SUM($Z136)=0,1,$Z136),0))</f>
        <v>#REF!</v>
      </c>
      <c r="AP136" s="218">
        <f>IF(OR($F136="",$C136="&lt;01"),$AO136,ROUND($F136,0))</f>
        <v>558</v>
      </c>
      <c r="AQ136" s="218">
        <f>IF(LEFT($B136,4)="_Mil","",IF(SUM($AP136)=0,SUM($Z136),IF(OR(SUM($Z136)=0,SUM($O136)=0),MAX($AP136,$Z136),ROUND($AP136*$Z136/$O136,0))))</f>
        <v>658</v>
      </c>
      <c r="AR136" s="33" t="e">
        <f>IF(OR(LEFT($B136,4)="_Mil",SUM($AK136)=0),"",SUM($AQ136)/$AK136)</f>
        <v>#REF!</v>
      </c>
      <c r="AS136" s="33">
        <f t="shared" si="33"/>
        <v>0.98</v>
      </c>
      <c r="AT136" s="33">
        <f t="shared" si="32"/>
        <v>0.98</v>
      </c>
      <c r="AU136" s="38">
        <f>IF($C136="&lt;01","",SUM($AP136)-SUM($O136))</f>
        <v>8</v>
      </c>
      <c r="AV136" s="38">
        <f>IF($C136="&lt;01",ROUND(INDEX(EID!$N:$N,MATCH($B136,EID!$B:$B,0))/2,0),IF(SUM($AT136)=0,"",ROUND((SUM($AP136)-(SUM($O136)*SUM($AS136)))/$AT136,0)))</f>
        <v>19</v>
      </c>
      <c r="AW136" s="33">
        <f t="shared" si="26"/>
        <v>1</v>
      </c>
      <c r="AX136" s="218">
        <f>IF($C136="&lt;01",SUM($AV136),ROUND(SUM($AV136)*SUM($AW136),0))</f>
        <v>19</v>
      </c>
      <c r="AY136" s="79">
        <f t="shared" si="27"/>
        <v>0.7</v>
      </c>
      <c r="AZ136" s="85">
        <f>IF($C136="&lt;01",ROUND(INDEX(EID!$R:$R,MATCH($B136,EID!$B:$B,0))/2,0),ROUND(SUM($O136)+(SUM($AV136)*$AY136),0))</f>
        <v>563</v>
      </c>
      <c r="BA136" s="40">
        <f t="shared" si="31"/>
        <v>0.9</v>
      </c>
      <c r="BB136" s="99">
        <f>IF($C136="&lt;01",ROUND(INDEX(EID!$T:$T,MATCH($B136,EID!$B:$B,0))/2,0),ROUND($AP136*$BA136,0))</f>
        <v>502</v>
      </c>
      <c r="BC136" s="85">
        <f>IF(LEFT($B136,4)="_Mil","",IF(SUM($BB136)=0,SUM($AD136),IF(OR(SUM($AP136)=0,SUM($AQ136)=0),MAX($BB136,$AD136),ROUND($BB136*$AQ136/$AP136,0))))</f>
        <v>592</v>
      </c>
      <c r="BD136" s="33">
        <f t="shared" si="28"/>
        <v>0.95</v>
      </c>
      <c r="BE136" s="218">
        <f>IF($C136="&lt;01",ROUND(INDEX(EID!$V:$V,MATCH($B136,EID!$B:$B,0))/2,0),ROUND($BD136*$BB136,0))</f>
        <v>477</v>
      </c>
      <c r="BF136" s="218">
        <f>IF(LEFT($B136,4)="_Mil","",IF(SUM($BE136)=0,SUM($AF136),IF(OR(SUM($AP136)=0,SUM($AQ136)=0),MAX($BE136,$AF136),ROUND($BE136*$AQ136/$AP136,0))))</f>
        <v>562</v>
      </c>
      <c r="BG136" s="79">
        <f t="shared" si="29"/>
        <v>0.95</v>
      </c>
      <c r="BH136" s="99">
        <f>IF($C136="&lt;01",ROUND(INDEX(EID!$L:$L,MATCH($B136,EID!$B:$B,0)),0)/2,IF(SUM($BG136)=0,"",ROUND($AX136/$BG136,0)))</f>
        <v>20</v>
      </c>
    </row>
    <row r="137" spans="1:60" x14ac:dyDescent="0.2">
      <c r="A137" t="str">
        <f>INDEX(Prioritization!$D:$D,MATCH($B137,Prioritization!$A:$A,0))</f>
        <v>INVALID</v>
      </c>
      <c r="B137" t="s">
        <v>308</v>
      </c>
      <c r="C137" t="s">
        <v>477</v>
      </c>
      <c r="D137" t="s">
        <v>30</v>
      </c>
      <c r="E137" t="str">
        <f t="shared" si="19"/>
        <v>Karonga District [cPtvxaZqXIH]|35-49|Female</v>
      </c>
      <c r="F137" s="229">
        <v>4535</v>
      </c>
      <c r="G137" s="38">
        <v>213</v>
      </c>
      <c r="H137" s="38">
        <v>206</v>
      </c>
      <c r="I137" s="38">
        <v>4463</v>
      </c>
      <c r="J137" s="38">
        <v>3181</v>
      </c>
      <c r="K137" s="38">
        <v>2872</v>
      </c>
      <c r="L137" s="38">
        <v>60</v>
      </c>
      <c r="M137" s="38">
        <v>59</v>
      </c>
      <c r="N137" s="38">
        <v>4477</v>
      </c>
      <c r="O137" s="229">
        <v>4499</v>
      </c>
      <c r="P137" s="38">
        <v>4065</v>
      </c>
      <c r="Q137" s="38">
        <v>3862</v>
      </c>
      <c r="R137" s="38">
        <f t="shared" si="20"/>
        <v>36</v>
      </c>
      <c r="S137" s="38">
        <f>IF(LEFT($B137,4)="_Mil","",_xlfn.IFNA(ROUND(INDEX(Spectrum!$N:$N,MATCH(RIGHT($B137,13)&amp;"|"&amp;$C137&amp;"|"&amp;$D137&amp;"|"&amp;S$14&amp;"|"&amp;"CY2023Q4",Spectrum!$R:$R,0)),0),""))</f>
        <v>4908</v>
      </c>
      <c r="T137" s="218">
        <f>IF(LEFT($B137,4)="_Mil","",_xlfn.IFNA(ROUND(INDEX(Spectrum!$N:$N,MATCH(RIGHT($B137,13)&amp;"|"&amp;$C137&amp;"|"&amp;$D137&amp;"|"&amp;T$14&amp;"|"&amp;"CY2024Q3",Spectrum!$R:$R,0)),0),""))</f>
        <v>33093</v>
      </c>
      <c r="U137" s="218">
        <f>IF(LEFT($B137,4)="_Mil","",_xlfn.IFNA(ROUND(INDEX(Spectrum!$N:$N,MATCH(RIGHT($B137,13)&amp;"|"&amp;$C137&amp;"|"&amp;$D137&amp;"|"&amp;U$14&amp;"|"&amp;"CY2024Q3",Spectrum!$R:$R,0)),0),""))</f>
        <v>5116</v>
      </c>
      <c r="V137" s="38">
        <f>IF(LEFT($B137,4)="_Mil","",_xlfn.IFNA(ROUND(INDEX(Spectrum!$N:$N,MATCH(RIGHT($B137,13)&amp;"|"&amp;$C137&amp;"|"&amp;$D137&amp;"|"&amp;V$14&amp;"|"&amp;"CY2024Q3",Spectrum!$R:$R,0)),0),""))</f>
        <v>5000</v>
      </c>
      <c r="W137" s="220">
        <f>IF(LEFT($B137,4)="_Mil","",_xlfn.IFNA(INDEX(Spectrum!$N:$N,MATCH(RIGHT($B137,13)&amp;"|"&amp;$C137&amp;"|"&amp;$D137&amp;"|"&amp;W$14&amp;"|"&amp;"CY2024Q3",Spectrum!$R:$R,0)),""))</f>
        <v>0.154599704</v>
      </c>
      <c r="X137" s="218">
        <f>IF(LEFT($B137,4)="_Mil","",_xlfn.IFNA(ROUND(INDEX(Spectrum!$N:$N,MATCH(RIGHT($B137,13)&amp;"|"&amp;$C137&amp;"|"&amp;$D137&amp;"|"&amp;X$14&amp;"|"&amp;"CY2024Q3",Spectrum!$R:$R,0)),0),""))</f>
        <v>5039</v>
      </c>
      <c r="Y137" s="33">
        <f t="shared" si="21"/>
        <v>0.98</v>
      </c>
      <c r="Z137" s="218">
        <f>IF(LEFT($B137,4)="_Mil","",_xlfn.IFNA(ROUND(INDEX(Spectrum!$N:$N,MATCH(RIGHT($B137,13)&amp;"|"&amp;$C137&amp;"|"&amp;$D137&amp;"|"&amp;Z$14&amp;"|"&amp;"CY2024Q3",Spectrum!$R:$R,0)),0),""))</f>
        <v>4923</v>
      </c>
      <c r="AA137" s="33">
        <f>IF(LEFT($B137,4)="_Mil","",IFERROR(1/(1/INDEX(Spectrum!$N:$N,MATCH(RIGHT($B137,13)&amp;"|"&amp;$C137&amp;"|"&amp;$D137&amp;"|"&amp;AA$14&amp;"|"&amp;"CY2024Q3",Spectrum!$R:$R,0))),IF(SUM($U137)=0,"",SUM($Z137)/$U137)))</f>
        <v>0.98464116300000004</v>
      </c>
      <c r="AB137" s="33">
        <f t="shared" si="22"/>
        <v>0.97697955943639614</v>
      </c>
      <c r="AC137" s="38">
        <f>IF(LEFT($B137,4)="_Mil","",_xlfn.IFNA(ROUND(INDEX(Spectrum!$N:$N,MATCH(RIGHT($B137,13)&amp;"|"&amp;$C137&amp;"|"&amp;$D137&amp;"|"&amp;AC$14&amp;"|"&amp;"CY2024Q3",Spectrum!$R:$R,0)),0),""))</f>
        <v>78</v>
      </c>
      <c r="AD137" s="38" t="str">
        <f>IF(LEFT($B137,4)="_Mil","",_xlfn.IFNA(ROUND(INDEX(Spectrum!$N:$N,MATCH(RIGHT($B137,13)&amp;"|"&amp;$C137&amp;"|"&amp;$D137&amp;"|"&amp;AD$14&amp;"|"&amp;"CY2024Q3",Spectrum!$R:$R,0)),0),""))</f>
        <v/>
      </c>
      <c r="AE137" s="33">
        <f t="shared" si="23"/>
        <v>0</v>
      </c>
      <c r="AF137" s="218" t="str">
        <f>IF(LEFT($B137,4)="_Mil","",_xlfn.IFNA(ROUND(INDEX(Spectrum!$N:$N,MATCH(RIGHT($B137,13)&amp;"|"&amp;$C137&amp;"|"&amp;$D137&amp;"|"&amp;AF$14&amp;"|"&amp;"CY2024Q3",Spectrum!$R:$R,0)),0),""))</f>
        <v/>
      </c>
      <c r="AG137" s="33" t="str">
        <f t="shared" si="24"/>
        <v/>
      </c>
      <c r="AH137" s="110" t="str">
        <f>IF(LEFT($B137,4)="_Mil","",_xlfn.IFNA(INDEX(Spectrum!$N:$N,MATCH(RIGHT($B137,13)&amp;"|"&amp;$C137&amp;"|"&amp;$D137&amp;"|"&amp;AH$14&amp;"|"&amp;"CY2024Q3",Spectrum!$R:$R,0)),""))</f>
        <v/>
      </c>
      <c r="AI137" s="218">
        <f>IF(LEFT($B137,4)="_Mil","",_xlfn.IFNA(ROUND(INDEX(Spectrum!$N:$N,MATCH(RIGHT($B137,13)&amp;"|"&amp;$C137&amp;"|"&amp;$D137&amp;"|"&amp;AI$14&amp;"|"&amp;"CY2025Q3",Spectrum!$R:$R,0)),0),""))</f>
        <v>24</v>
      </c>
      <c r="AJ137" s="38">
        <f>IF(LEFT($B137,4)="_Mil","",_xlfn.IFNA(ROUND(INDEX(Spectrum!$N:$N,MATCH(RIGHT($B137,13)&amp;"|"&amp;$C137&amp;"|"&amp;$D137&amp;"|"&amp;AJ$14&amp;"|"&amp;"CY2025Q3",Spectrum!$R:$R,0)),0),""))</f>
        <v>5112</v>
      </c>
      <c r="AK137" s="218" t="e">
        <f>#REF!</f>
        <v>#REF!</v>
      </c>
      <c r="AL137" s="33">
        <f t="shared" si="25"/>
        <v>0.98464116300000004</v>
      </c>
      <c r="AM137" s="38" t="e">
        <f>IF(OR(LEFT($B137,4)="_Mil",$C137="&lt;01"),"",ROUND(SUM($AK137)*SUM($AL137),0))</f>
        <v>#REF!</v>
      </c>
      <c r="AN137" s="38" t="str">
        <f>IF($C137="&lt;01",ROUND(INDEX(EID!$P:$P,MATCH($B137,EID!$B:$B,0))/2,0),"")</f>
        <v/>
      </c>
      <c r="AO137" s="38" t="e">
        <f>IF($C137="&lt;01",SUM($AN137),ROUND(SUM($AM137)*SUM($O137)/IF(SUM($Z137)=0,1,$Z137),0))</f>
        <v>#REF!</v>
      </c>
      <c r="AP137" s="218">
        <f>IF(OR($F137="",$C137="&lt;01"),$AO137,ROUND($F137,0))</f>
        <v>4535</v>
      </c>
      <c r="AQ137" s="218">
        <f>IF(LEFT($B137,4)="_Mil","",IF(SUM($AP137)=0,SUM($Z137),IF(OR(SUM($Z137)=0,SUM($O137)=0),MAX($AP137,$Z137),ROUND($AP137*$Z137/$O137,0))))</f>
        <v>4962</v>
      </c>
      <c r="AR137" s="33" t="e">
        <f>IF(OR(LEFT($B137,4)="_Mil",SUM($AK137)=0),"",SUM($AQ137)/$AK137)</f>
        <v>#REF!</v>
      </c>
      <c r="AS137" s="33">
        <f t="shared" si="33"/>
        <v>0.98</v>
      </c>
      <c r="AT137" s="33">
        <f t="shared" si="32"/>
        <v>0.98</v>
      </c>
      <c r="AU137" s="38">
        <f>IF($C137="&lt;01","",SUM($AP137)-SUM($O137))</f>
        <v>36</v>
      </c>
      <c r="AV137" s="38">
        <f>IF($C137="&lt;01",ROUND(INDEX(EID!$N:$N,MATCH($B137,EID!$B:$B,0))/2,0),IF(SUM($AT137)=0,"",ROUND((SUM($AP137)-(SUM($O137)*SUM($AS137)))/$AT137,0)))</f>
        <v>129</v>
      </c>
      <c r="AW137" s="33">
        <f t="shared" si="26"/>
        <v>1</v>
      </c>
      <c r="AX137" s="218">
        <f>IF($C137="&lt;01",SUM($AV137),ROUND(SUM($AV137)*SUM($AW137),0))</f>
        <v>129</v>
      </c>
      <c r="AY137" s="79">
        <f t="shared" si="27"/>
        <v>0.7</v>
      </c>
      <c r="AZ137" s="85">
        <f>IF($C137="&lt;01",ROUND(INDEX(EID!$R:$R,MATCH($B137,EID!$B:$B,0))/2,0),ROUND(SUM($O137)+(SUM($AV137)*$AY137),0))</f>
        <v>4589</v>
      </c>
      <c r="BA137" s="40">
        <f t="shared" si="31"/>
        <v>0.9</v>
      </c>
      <c r="BB137" s="99">
        <f>IF($C137="&lt;01",ROUND(INDEX(EID!$T:$T,MATCH($B137,EID!$B:$B,0))/2,0),ROUND($AP137*$BA137,0))</f>
        <v>4082</v>
      </c>
      <c r="BC137" s="85">
        <f>IF(LEFT($B137,4)="_Mil","",IF(SUM($BB137)=0,SUM($AD137),IF(OR(SUM($AP137)=0,SUM($AQ137)=0),MAX($BB137,$AD137),ROUND($BB137*$AQ137/$AP137,0))))</f>
        <v>4466</v>
      </c>
      <c r="BD137" s="33">
        <f t="shared" si="28"/>
        <v>0.95</v>
      </c>
      <c r="BE137" s="218">
        <f>IF($C137="&lt;01",ROUND(INDEX(EID!$V:$V,MATCH($B137,EID!$B:$B,0))/2,0),ROUND($BD137*$BB137,0))</f>
        <v>3878</v>
      </c>
      <c r="BF137" s="218">
        <f>IF(LEFT($B137,4)="_Mil","",IF(SUM($BE137)=0,SUM($AF137),IF(OR(SUM($AP137)=0,SUM($AQ137)=0),MAX($BE137,$AF137),ROUND($BE137*$AQ137/$AP137,0))))</f>
        <v>4243</v>
      </c>
      <c r="BG137" s="79">
        <f t="shared" si="29"/>
        <v>0.95</v>
      </c>
      <c r="BH137" s="99">
        <f>IF($C137="&lt;01",ROUND(INDEX(EID!$L:$L,MATCH($B137,EID!$B:$B,0)),0)/2,IF(SUM($BG137)=0,"",ROUND($AX137/$BG137,0)))</f>
        <v>136</v>
      </c>
    </row>
    <row r="138" spans="1:60" x14ac:dyDescent="0.2">
      <c r="A138" t="str">
        <f>INDEX(Prioritization!$D:$D,MATCH($B138,Prioritization!$A:$A,0))</f>
        <v>INVALID</v>
      </c>
      <c r="B138" t="s">
        <v>308</v>
      </c>
      <c r="C138" t="s">
        <v>477</v>
      </c>
      <c r="D138" t="s">
        <v>48</v>
      </c>
      <c r="E138" t="str">
        <f t="shared" si="19"/>
        <v>Karonga District [cPtvxaZqXIH]|35-49|Male</v>
      </c>
      <c r="F138" s="229">
        <v>2243</v>
      </c>
      <c r="G138" s="38">
        <v>239</v>
      </c>
      <c r="H138" s="38">
        <v>249</v>
      </c>
      <c r="I138" s="38">
        <v>2243</v>
      </c>
      <c r="J138" s="38">
        <v>1580</v>
      </c>
      <c r="K138" s="38">
        <v>1373</v>
      </c>
      <c r="L138" s="38">
        <v>40</v>
      </c>
      <c r="M138" s="38">
        <v>38</v>
      </c>
      <c r="N138" s="38">
        <v>2631</v>
      </c>
      <c r="O138" s="229">
        <v>2243</v>
      </c>
      <c r="P138" s="38">
        <v>2375</v>
      </c>
      <c r="Q138" s="38">
        <v>2256</v>
      </c>
      <c r="R138" s="38">
        <f t="shared" si="20"/>
        <v>0</v>
      </c>
      <c r="S138" s="38">
        <f>IF(LEFT($B138,4)="_Mil","",_xlfn.IFNA(ROUND(INDEX(Spectrum!$N:$N,MATCH(RIGHT($B138,13)&amp;"|"&amp;$C138&amp;"|"&amp;$D138&amp;"|"&amp;S$14&amp;"|"&amp;"CY2023Q4",Spectrum!$R:$R,0)),0),""))</f>
        <v>2633</v>
      </c>
      <c r="T138" s="218">
        <f>IF(LEFT($B138,4)="_Mil","",_xlfn.IFNA(ROUND(INDEX(Spectrum!$N:$N,MATCH(RIGHT($B138,13)&amp;"|"&amp;$C138&amp;"|"&amp;$D138&amp;"|"&amp;T$14&amp;"|"&amp;"CY2024Q3",Spectrum!$R:$R,0)),0),""))</f>
        <v>29248</v>
      </c>
      <c r="U138" s="218">
        <f>IF(LEFT($B138,4)="_Mil","",_xlfn.IFNA(ROUND(INDEX(Spectrum!$N:$N,MATCH(RIGHT($B138,13)&amp;"|"&amp;$C138&amp;"|"&amp;$D138&amp;"|"&amp;U$14&amp;"|"&amp;"CY2024Q3",Spectrum!$R:$R,0)),0),""))</f>
        <v>2889</v>
      </c>
      <c r="V138" s="38">
        <f>IF(LEFT($B138,4)="_Mil","",_xlfn.IFNA(ROUND(INDEX(Spectrum!$N:$N,MATCH(RIGHT($B138,13)&amp;"|"&amp;$C138&amp;"|"&amp;$D138&amp;"|"&amp;V$14&amp;"|"&amp;"CY2024Q3",Spectrum!$R:$R,0)),0),""))</f>
        <v>2801</v>
      </c>
      <c r="W138" s="220">
        <f>IF(LEFT($B138,4)="_Mil","",_xlfn.IFNA(INDEX(Spectrum!$N:$N,MATCH(RIGHT($B138,13)&amp;"|"&amp;$C138&amp;"|"&amp;$D138&amp;"|"&amp;W$14&amp;"|"&amp;"CY2024Q3",Spectrum!$R:$R,0)),""))</f>
        <v>9.8790363000000006E-2</v>
      </c>
      <c r="X138" s="218">
        <f>IF(LEFT($B138,4)="_Mil","",_xlfn.IFNA(ROUND(INDEX(Spectrum!$N:$N,MATCH(RIGHT($B138,13)&amp;"|"&amp;$C138&amp;"|"&amp;$D138&amp;"|"&amp;X$14&amp;"|"&amp;"CY2024Q3",Spectrum!$R:$R,0)),0),""))</f>
        <v>2708</v>
      </c>
      <c r="Y138" s="33">
        <f t="shared" si="21"/>
        <v>0.94</v>
      </c>
      <c r="Z138" s="218">
        <f>IF(LEFT($B138,4)="_Mil","",_xlfn.IFNA(ROUND(INDEX(Spectrum!$N:$N,MATCH(RIGHT($B138,13)&amp;"|"&amp;$C138&amp;"|"&amp;$D138&amp;"|"&amp;Z$14&amp;"|"&amp;"CY2024Q3",Spectrum!$R:$R,0)),0),""))</f>
        <v>2602</v>
      </c>
      <c r="AA138" s="33">
        <f>IF(LEFT($B138,4)="_Mil","",IFERROR(1/(1/INDEX(Spectrum!$N:$N,MATCH(RIGHT($B138,13)&amp;"|"&amp;$C138&amp;"|"&amp;$D138&amp;"|"&amp;AA$14&amp;"|"&amp;"CY2024Q3",Spectrum!$R:$R,0))),IF(SUM($U138)=0,"",SUM($Z138)/$U138)))</f>
        <v>0.93335633299999998</v>
      </c>
      <c r="AB138" s="33">
        <f t="shared" si="22"/>
        <v>0.96085672082717877</v>
      </c>
      <c r="AC138" s="38">
        <f>IF(LEFT($B138,4)="_Mil","",_xlfn.IFNA(ROUND(INDEX(Spectrum!$N:$N,MATCH(RIGHT($B138,13)&amp;"|"&amp;$C138&amp;"|"&amp;$D138&amp;"|"&amp;AC$14&amp;"|"&amp;"CY2024Q3",Spectrum!$R:$R,0)),0),""))</f>
        <v>200</v>
      </c>
      <c r="AD138" s="38" t="str">
        <f>IF(LEFT($B138,4)="_Mil","",_xlfn.IFNA(ROUND(INDEX(Spectrum!$N:$N,MATCH(RIGHT($B138,13)&amp;"|"&amp;$C138&amp;"|"&amp;$D138&amp;"|"&amp;AD$14&amp;"|"&amp;"CY2024Q3",Spectrum!$R:$R,0)),0),""))</f>
        <v/>
      </c>
      <c r="AE138" s="33">
        <f t="shared" si="23"/>
        <v>0</v>
      </c>
      <c r="AF138" s="218" t="str">
        <f>IF(LEFT($B138,4)="_Mil","",_xlfn.IFNA(ROUND(INDEX(Spectrum!$N:$N,MATCH(RIGHT($B138,13)&amp;"|"&amp;$C138&amp;"|"&amp;$D138&amp;"|"&amp;AF$14&amp;"|"&amp;"CY2024Q3",Spectrum!$R:$R,0)),0),""))</f>
        <v/>
      </c>
      <c r="AG138" s="33" t="str">
        <f t="shared" si="24"/>
        <v/>
      </c>
      <c r="AH138" s="110" t="str">
        <f>IF(LEFT($B138,4)="_Mil","",_xlfn.IFNA(INDEX(Spectrum!$N:$N,MATCH(RIGHT($B138,13)&amp;"|"&amp;$C138&amp;"|"&amp;$D138&amp;"|"&amp;AH$14&amp;"|"&amp;"CY2024Q3",Spectrum!$R:$R,0)),""))</f>
        <v/>
      </c>
      <c r="AI138" s="218">
        <f>IF(LEFT($B138,4)="_Mil","",_xlfn.IFNA(ROUND(INDEX(Spectrum!$N:$N,MATCH(RIGHT($B138,13)&amp;"|"&amp;$C138&amp;"|"&amp;$D138&amp;"|"&amp;AI$14&amp;"|"&amp;"CY2025Q3",Spectrum!$R:$R,0)),0),""))</f>
        <v>28</v>
      </c>
      <c r="AJ138" s="38">
        <f>IF(LEFT($B138,4)="_Mil","",_xlfn.IFNA(ROUND(INDEX(Spectrum!$N:$N,MATCH(RIGHT($B138,13)&amp;"|"&amp;$C138&amp;"|"&amp;$D138&amp;"|"&amp;AJ$14&amp;"|"&amp;"CY2025Q3",Spectrum!$R:$R,0)),0),""))</f>
        <v>2752</v>
      </c>
      <c r="AK138" s="218" t="e">
        <f>#REF!</f>
        <v>#REF!</v>
      </c>
      <c r="AL138" s="33">
        <f t="shared" si="25"/>
        <v>0.93335633299999998</v>
      </c>
      <c r="AM138" s="38" t="e">
        <f>IF(OR(LEFT($B138,4)="_Mil",$C138="&lt;01"),"",ROUND(SUM($AK138)*SUM($AL138),0))</f>
        <v>#REF!</v>
      </c>
      <c r="AN138" s="38" t="str">
        <f>IF($C138="&lt;01",ROUND(INDEX(EID!$P:$P,MATCH($B138,EID!$B:$B,0))/2,0),"")</f>
        <v/>
      </c>
      <c r="AO138" s="38" t="e">
        <f>IF($C138="&lt;01",SUM($AN138),ROUND(SUM($AM138)*SUM($O138)/IF(SUM($Z138)=0,1,$Z138),0))</f>
        <v>#REF!</v>
      </c>
      <c r="AP138" s="218">
        <f>IF(OR($F138="",$C138="&lt;01"),$AO138,ROUND($F138,0))</f>
        <v>2243</v>
      </c>
      <c r="AQ138" s="218">
        <f>IF(LEFT($B138,4)="_Mil","",IF(SUM($AP138)=0,SUM($Z138),IF(OR(SUM($Z138)=0,SUM($O138)=0),MAX($AP138,$Z138),ROUND($AP138*$Z138/$O138,0))))</f>
        <v>2602</v>
      </c>
      <c r="AR138" s="33" t="e">
        <f>IF(OR(LEFT($B138,4)="_Mil",SUM($AK138)=0),"",SUM($AQ138)/$AK138)</f>
        <v>#REF!</v>
      </c>
      <c r="AS138" s="33">
        <f t="shared" si="33"/>
        <v>0.98</v>
      </c>
      <c r="AT138" s="33">
        <f t="shared" si="32"/>
        <v>0.98</v>
      </c>
      <c r="AU138" s="38">
        <f>IF($C138="&lt;01","",SUM($AP138)-SUM($O138))</f>
        <v>0</v>
      </c>
      <c r="AV138" s="38">
        <f>IF($C138="&lt;01",ROUND(INDEX(EID!$N:$N,MATCH($B138,EID!$B:$B,0))/2,0),IF(SUM($AT138)=0,"",ROUND((SUM($AP138)-(SUM($O138)*SUM($AS138)))/$AT138,0)))</f>
        <v>46</v>
      </c>
      <c r="AW138" s="33">
        <f t="shared" si="26"/>
        <v>1</v>
      </c>
      <c r="AX138" s="218">
        <f>IF($C138="&lt;01",SUM($AV138),ROUND(SUM($AV138)*SUM($AW138),0))</f>
        <v>46</v>
      </c>
      <c r="AY138" s="79">
        <f t="shared" si="27"/>
        <v>0.7</v>
      </c>
      <c r="AZ138" s="85">
        <f>IF($C138="&lt;01",ROUND(INDEX(EID!$R:$R,MATCH($B138,EID!$B:$B,0))/2,0),ROUND(SUM($O138)+(SUM($AV138)*$AY138),0))</f>
        <v>2275</v>
      </c>
      <c r="BA138" s="40">
        <f t="shared" si="31"/>
        <v>0.9</v>
      </c>
      <c r="BB138" s="99">
        <f>IF($C138="&lt;01",ROUND(INDEX(EID!$T:$T,MATCH($B138,EID!$B:$B,0))/2,0),ROUND($AP138*$BA138,0))</f>
        <v>2019</v>
      </c>
      <c r="BC138" s="85">
        <f>IF(LEFT($B138,4)="_Mil","",IF(SUM($BB138)=0,SUM($AD138),IF(OR(SUM($AP138)=0,SUM($AQ138)=0),MAX($BB138,$AD138),ROUND($BB138*$AQ138/$AP138,0))))</f>
        <v>2342</v>
      </c>
      <c r="BD138" s="33">
        <f t="shared" si="28"/>
        <v>0.95</v>
      </c>
      <c r="BE138" s="218">
        <f>IF($C138="&lt;01",ROUND(INDEX(EID!$V:$V,MATCH($B138,EID!$B:$B,0))/2,0),ROUND($BD138*$BB138,0))</f>
        <v>1918</v>
      </c>
      <c r="BF138" s="218">
        <f>IF(LEFT($B138,4)="_Mil","",IF(SUM($BE138)=0,SUM($AF138),IF(OR(SUM($AP138)=0,SUM($AQ138)=0),MAX($BE138,$AF138),ROUND($BE138*$AQ138/$AP138,0))))</f>
        <v>2225</v>
      </c>
      <c r="BG138" s="79">
        <f t="shared" si="29"/>
        <v>0.95</v>
      </c>
      <c r="BH138" s="99">
        <f>IF($C138="&lt;01",ROUND(INDEX(EID!$L:$L,MATCH($B138,EID!$B:$B,0)),0)/2,IF(SUM($BG138)=0,"",ROUND($AX138/$BG138,0)))</f>
        <v>48</v>
      </c>
    </row>
    <row r="139" spans="1:60" x14ac:dyDescent="0.2">
      <c r="A139" t="str">
        <f>INDEX(Prioritization!$D:$D,MATCH($B139,Prioritization!$A:$A,0))</f>
        <v>INVALID</v>
      </c>
      <c r="B139" t="s">
        <v>308</v>
      </c>
      <c r="C139" t="s">
        <v>478</v>
      </c>
      <c r="D139" t="s">
        <v>30</v>
      </c>
      <c r="E139" t="str">
        <f t="shared" si="19"/>
        <v>Karonga District [cPtvxaZqXIH]|50+|Female</v>
      </c>
      <c r="F139" s="229">
        <v>2460</v>
      </c>
      <c r="G139" s="38">
        <v>59</v>
      </c>
      <c r="H139" s="38">
        <v>59</v>
      </c>
      <c r="I139" s="38">
        <v>2494</v>
      </c>
      <c r="J139" s="38">
        <v>1647</v>
      </c>
      <c r="K139" s="38">
        <v>1515</v>
      </c>
      <c r="L139" s="38">
        <v>76</v>
      </c>
      <c r="M139" s="38">
        <v>74</v>
      </c>
      <c r="N139" s="38">
        <v>2150</v>
      </c>
      <c r="O139" s="229">
        <v>2296</v>
      </c>
      <c r="P139" s="38">
        <v>1908</v>
      </c>
      <c r="Q139" s="38">
        <v>1813</v>
      </c>
      <c r="R139" s="38">
        <f t="shared" si="20"/>
        <v>-198</v>
      </c>
      <c r="S139" s="38">
        <f>IF(LEFT($B139,4)="_Mil","",_xlfn.IFNA(ROUND(INDEX(Spectrum!$N:$N,MATCH(RIGHT($B139,13)&amp;"|"&amp;$C139&amp;"|"&amp;$D139&amp;"|"&amp;S$14&amp;"|"&amp;"CY2023Q4",Spectrum!$R:$R,0)),0),""))</f>
        <v>2140</v>
      </c>
      <c r="T139" s="218">
        <f>IF(LEFT($B139,4)="_Mil","",_xlfn.IFNA(ROUND(INDEX(Spectrum!$N:$N,MATCH(RIGHT($B139,13)&amp;"|"&amp;$C139&amp;"|"&amp;$D139&amp;"|"&amp;T$14&amp;"|"&amp;"CY2024Q3",Spectrum!$R:$R,0)),0),""))</f>
        <v>19179</v>
      </c>
      <c r="U139" s="218">
        <f>IF(LEFT($B139,4)="_Mil","",_xlfn.IFNA(ROUND(INDEX(Spectrum!$N:$N,MATCH(RIGHT($B139,13)&amp;"|"&amp;$C139&amp;"|"&amp;$D139&amp;"|"&amp;U$14&amp;"|"&amp;"CY2024Q3",Spectrum!$R:$R,0)),0),""))</f>
        <v>2362</v>
      </c>
      <c r="V139" s="38">
        <f>IF(LEFT($B139,4)="_Mil","",_xlfn.IFNA(ROUND(INDEX(Spectrum!$N:$N,MATCH(RIGHT($B139,13)&amp;"|"&amp;$C139&amp;"|"&amp;$D139&amp;"|"&amp;V$14&amp;"|"&amp;"CY2024Q3",Spectrum!$R:$R,0)),0),""))</f>
        <v>2296</v>
      </c>
      <c r="W139" s="220">
        <f>IF(LEFT($B139,4)="_Mil","",_xlfn.IFNA(INDEX(Spectrum!$N:$N,MATCH(RIGHT($B139,13)&amp;"|"&amp;$C139&amp;"|"&amp;$D139&amp;"|"&amp;W$14&amp;"|"&amp;"CY2024Q3",Spectrum!$R:$R,0)),""))</f>
        <v>0.12316790399999999</v>
      </c>
      <c r="X139" s="218">
        <f>IF(LEFT($B139,4)="_Mil","",_xlfn.IFNA(ROUND(INDEX(Spectrum!$N:$N,MATCH(RIGHT($B139,13)&amp;"|"&amp;$C139&amp;"|"&amp;$D139&amp;"|"&amp;X$14&amp;"|"&amp;"CY2024Q3",Spectrum!$R:$R,0)),0),""))</f>
        <v>2342</v>
      </c>
      <c r="Y139" s="33">
        <f t="shared" si="21"/>
        <v>0.99</v>
      </c>
      <c r="Z139" s="218">
        <f>IF(LEFT($B139,4)="_Mil","",_xlfn.IFNA(ROUND(INDEX(Spectrum!$N:$N,MATCH(RIGHT($B139,13)&amp;"|"&amp;$C139&amp;"|"&amp;$D139&amp;"|"&amp;Z$14&amp;"|"&amp;"CY2024Q3",Spectrum!$R:$R,0)),0),""))</f>
        <v>2272</v>
      </c>
      <c r="AA139" s="33">
        <f>IF(LEFT($B139,4)="_Mil","",IFERROR(1/(1/INDEX(Spectrum!$N:$N,MATCH(RIGHT($B139,13)&amp;"|"&amp;$C139&amp;"|"&amp;$D139&amp;"|"&amp;AA$14&amp;"|"&amp;"CY2024Q3",Spectrum!$R:$R,0))),IF(SUM($U139)=0,"",SUM($Z139)/$U139)))</f>
        <v>0.98948808600000004</v>
      </c>
      <c r="AB139" s="33">
        <f t="shared" si="22"/>
        <v>0.97011101622544837</v>
      </c>
      <c r="AC139" s="38">
        <f>IF(LEFT($B139,4)="_Mil","",_xlfn.IFNA(ROUND(INDEX(Spectrum!$N:$N,MATCH(RIGHT($B139,13)&amp;"|"&amp;$C139&amp;"|"&amp;$D139&amp;"|"&amp;AC$14&amp;"|"&amp;"CY2024Q3",Spectrum!$R:$R,0)),0),""))</f>
        <v>24</v>
      </c>
      <c r="AD139" s="38" t="str">
        <f>IF(LEFT($B139,4)="_Mil","",_xlfn.IFNA(ROUND(INDEX(Spectrum!$N:$N,MATCH(RIGHT($B139,13)&amp;"|"&amp;$C139&amp;"|"&amp;$D139&amp;"|"&amp;AD$14&amp;"|"&amp;"CY2024Q3",Spectrum!$R:$R,0)),0),""))</f>
        <v/>
      </c>
      <c r="AE139" s="33">
        <f t="shared" si="23"/>
        <v>0</v>
      </c>
      <c r="AF139" s="218" t="str">
        <f>IF(LEFT($B139,4)="_Mil","",_xlfn.IFNA(ROUND(INDEX(Spectrum!$N:$N,MATCH(RIGHT($B139,13)&amp;"|"&amp;$C139&amp;"|"&amp;$D139&amp;"|"&amp;AF$14&amp;"|"&amp;"CY2024Q3",Spectrum!$R:$R,0)),0),""))</f>
        <v/>
      </c>
      <c r="AG139" s="33" t="str">
        <f t="shared" si="24"/>
        <v/>
      </c>
      <c r="AH139" s="110" t="str">
        <f>IF(LEFT($B139,4)="_Mil","",_xlfn.IFNA(INDEX(Spectrum!$N:$N,MATCH(RIGHT($B139,13)&amp;"|"&amp;$C139&amp;"|"&amp;$D139&amp;"|"&amp;AH$14&amp;"|"&amp;"CY2024Q3",Spectrum!$R:$R,0)),""))</f>
        <v/>
      </c>
      <c r="AI139" s="218">
        <f>IF(LEFT($B139,4)="_Mil","",_xlfn.IFNA(ROUND(INDEX(Spectrum!$N:$N,MATCH(RIGHT($B139,13)&amp;"|"&amp;$C139&amp;"|"&amp;$D139&amp;"|"&amp;AI$14&amp;"|"&amp;"CY2025Q3",Spectrum!$R:$R,0)),0),""))</f>
        <v>4</v>
      </c>
      <c r="AJ139" s="38">
        <f>IF(LEFT($B139,4)="_Mil","",_xlfn.IFNA(ROUND(INDEX(Spectrum!$N:$N,MATCH(RIGHT($B139,13)&amp;"|"&amp;$C139&amp;"|"&amp;$D139&amp;"|"&amp;AJ$14&amp;"|"&amp;"CY2025Q3",Spectrum!$R:$R,0)),0),""))</f>
        <v>2559</v>
      </c>
      <c r="AK139" s="218" t="e">
        <f>#REF!</f>
        <v>#REF!</v>
      </c>
      <c r="AL139" s="33">
        <f t="shared" si="25"/>
        <v>0.98948808600000004</v>
      </c>
      <c r="AM139" s="38" t="e">
        <f>IF(OR(LEFT($B139,4)="_Mil",$C139="&lt;01"),"",ROUND(SUM($AK139)*SUM($AL139),0))</f>
        <v>#REF!</v>
      </c>
      <c r="AN139" s="38" t="str">
        <f>IF($C139="&lt;01",ROUND(INDEX(EID!$P:$P,MATCH($B139,EID!$B:$B,0))/2,0),"")</f>
        <v/>
      </c>
      <c r="AO139" s="38" t="e">
        <f>IF($C139="&lt;01",SUM($AN139),ROUND(SUM($AM139)*SUM($O139)/IF(SUM($Z139)=0,1,$Z139),0))</f>
        <v>#REF!</v>
      </c>
      <c r="AP139" s="218">
        <f>IF(OR($F139="",$C139="&lt;01"),$AO139,ROUND($F139,0))</f>
        <v>2460</v>
      </c>
      <c r="AQ139" s="218">
        <f>IF(LEFT($B139,4)="_Mil","",IF(SUM($AP139)=0,SUM($Z139),IF(OR(SUM($Z139)=0,SUM($O139)=0),MAX($AP139,$Z139),ROUND($AP139*$Z139/$O139,0))))</f>
        <v>2434</v>
      </c>
      <c r="AR139" s="33" t="e">
        <f>IF(OR(LEFT($B139,4)="_Mil",SUM($AK139)=0),"",SUM($AQ139)/$AK139)</f>
        <v>#REF!</v>
      </c>
      <c r="AS139" s="33">
        <v>1.02</v>
      </c>
      <c r="AT139" s="33">
        <f>IF($C139="&lt;01","",100%)</f>
        <v>1</v>
      </c>
      <c r="AU139" s="38">
        <f>IF($C139="&lt;01","",SUM($AP139)-SUM($O139))</f>
        <v>164</v>
      </c>
      <c r="AV139" s="38">
        <f>IF($C139="&lt;01",ROUND(INDEX(EID!$N:$N,MATCH($B139,EID!$B:$B,0))/2,0),IF(SUM($AT139)=0,"",ROUND((SUM($AP139)-(SUM($O139)*SUM($AS139)))/$AT139,0)))</f>
        <v>118</v>
      </c>
      <c r="AW139" s="33">
        <v>0.8</v>
      </c>
      <c r="AX139" s="218">
        <f>IF($C139="&lt;01",SUM($AV139),ROUND(SUM($AV139)*SUM($AW139),0))</f>
        <v>94</v>
      </c>
      <c r="AY139" s="79">
        <f t="shared" si="27"/>
        <v>0.7</v>
      </c>
      <c r="AZ139" s="85">
        <f>IF($C139="&lt;01",ROUND(INDEX(EID!$R:$R,MATCH($B139,EID!$B:$B,0))/2,0),ROUND(SUM($O139)+(SUM($AV139)*$AY139),0))</f>
        <v>2379</v>
      </c>
      <c r="BA139" s="40">
        <f t="shared" si="31"/>
        <v>0.9</v>
      </c>
      <c r="BB139" s="99">
        <f>IF($C139="&lt;01",ROUND(INDEX(EID!$T:$T,MATCH($B139,EID!$B:$B,0))/2,0),ROUND($AP139*$BA139,0))</f>
        <v>2214</v>
      </c>
      <c r="BC139" s="85">
        <f>IF(LEFT($B139,4)="_Mil","",IF(SUM($BB139)=0,SUM($AD139),IF(OR(SUM($AP139)=0,SUM($AQ139)=0),MAX($BB139,$AD139),ROUND($BB139*$AQ139/$AP139,0))))</f>
        <v>2191</v>
      </c>
      <c r="BD139" s="33">
        <f t="shared" si="28"/>
        <v>0.95</v>
      </c>
      <c r="BE139" s="218">
        <f>IF($C139="&lt;01",ROUND(INDEX(EID!$V:$V,MATCH($B139,EID!$B:$B,0))/2,0),ROUND($BD139*$BB139,0))</f>
        <v>2103</v>
      </c>
      <c r="BF139" s="218">
        <f>IF(LEFT($B139,4)="_Mil","",IF(SUM($BE139)=0,SUM($AF139),IF(OR(SUM($AP139)=0,SUM($AQ139)=0),MAX($BE139,$AF139),ROUND($BE139*$AQ139/$AP139,0))))</f>
        <v>2081</v>
      </c>
      <c r="BG139" s="79">
        <f t="shared" si="29"/>
        <v>0.95</v>
      </c>
      <c r="BH139" s="99">
        <f>IF($C139="&lt;01",ROUND(INDEX(EID!$L:$L,MATCH($B139,EID!$B:$B,0)),0)/2,IF(SUM($BG139)=0,"",ROUND($AX139/$BG139,0)))</f>
        <v>99</v>
      </c>
    </row>
    <row r="140" spans="1:60" x14ac:dyDescent="0.2">
      <c r="A140" t="str">
        <f>INDEX(Prioritization!$D:$D,MATCH($B140,Prioritization!$A:$A,0))</f>
        <v>INVALID</v>
      </c>
      <c r="B140" t="s">
        <v>308</v>
      </c>
      <c r="C140" t="s">
        <v>478</v>
      </c>
      <c r="D140" t="s">
        <v>48</v>
      </c>
      <c r="E140" t="str">
        <f t="shared" si="19"/>
        <v>Karonga District [cPtvxaZqXIH]|50+|Male</v>
      </c>
      <c r="F140" s="229">
        <v>2123</v>
      </c>
      <c r="G140" s="38">
        <v>53</v>
      </c>
      <c r="H140" s="38">
        <v>51</v>
      </c>
      <c r="I140" s="38">
        <v>2030</v>
      </c>
      <c r="J140" s="38">
        <v>1357</v>
      </c>
      <c r="K140" s="38">
        <v>1186</v>
      </c>
      <c r="L140" s="38">
        <v>37</v>
      </c>
      <c r="M140" s="38">
        <v>35</v>
      </c>
      <c r="N140" s="38">
        <v>1873</v>
      </c>
      <c r="O140" s="229">
        <v>1996</v>
      </c>
      <c r="P140" s="38">
        <v>1680</v>
      </c>
      <c r="Q140" s="38">
        <v>1596</v>
      </c>
      <c r="R140" s="38">
        <f t="shared" si="20"/>
        <v>-34</v>
      </c>
      <c r="S140" s="38">
        <f>IF(LEFT($B140,4)="_Mil","",_xlfn.IFNA(ROUND(INDEX(Spectrum!$N:$N,MATCH(RIGHT($B140,13)&amp;"|"&amp;$C140&amp;"|"&amp;$D140&amp;"|"&amp;S$14&amp;"|"&amp;"CY2023Q4",Spectrum!$R:$R,0)),0),""))</f>
        <v>1785</v>
      </c>
      <c r="T140" s="218">
        <f>IF(LEFT($B140,4)="_Mil","",_xlfn.IFNA(ROUND(INDEX(Spectrum!$N:$N,MATCH(RIGHT($B140,13)&amp;"|"&amp;$C140&amp;"|"&amp;$D140&amp;"|"&amp;T$14&amp;"|"&amp;"CY2024Q3",Spectrum!$R:$R,0)),0),""))</f>
        <v>15147</v>
      </c>
      <c r="U140" s="218">
        <f>IF(LEFT($B140,4)="_Mil","",_xlfn.IFNA(ROUND(INDEX(Spectrum!$N:$N,MATCH(RIGHT($B140,13)&amp;"|"&amp;$C140&amp;"|"&amp;$D140&amp;"|"&amp;U$14&amp;"|"&amp;"CY2024Q3",Spectrum!$R:$R,0)),0),""))</f>
        <v>2048</v>
      </c>
      <c r="V140" s="38">
        <f>IF(LEFT($B140,4)="_Mil","",_xlfn.IFNA(ROUND(INDEX(Spectrum!$N:$N,MATCH(RIGHT($B140,13)&amp;"|"&amp;$C140&amp;"|"&amp;$D140&amp;"|"&amp;V$14&amp;"|"&amp;"CY2024Q3",Spectrum!$R:$R,0)),0),""))</f>
        <v>1996</v>
      </c>
      <c r="W140" s="220">
        <f>IF(LEFT($B140,4)="_Mil","",_xlfn.IFNA(INDEX(Spectrum!$N:$N,MATCH(RIGHT($B140,13)&amp;"|"&amp;$C140&amp;"|"&amp;$D140&amp;"|"&amp;W$14&amp;"|"&amp;"CY2024Q3",Spectrum!$R:$R,0)),""))</f>
        <v>0.13523723500000001</v>
      </c>
      <c r="X140" s="218">
        <f>IF(LEFT($B140,4)="_Mil","",_xlfn.IFNA(ROUND(INDEX(Spectrum!$N:$N,MATCH(RIGHT($B140,13)&amp;"|"&amp;$C140&amp;"|"&amp;$D140&amp;"|"&amp;X$14&amp;"|"&amp;"CY2024Q3",Spectrum!$R:$R,0)),0),""))</f>
        <v>1961</v>
      </c>
      <c r="Y140" s="33">
        <f t="shared" si="21"/>
        <v>0.96</v>
      </c>
      <c r="Z140" s="218">
        <f>IF(LEFT($B140,4)="_Mil","",_xlfn.IFNA(ROUND(INDEX(Spectrum!$N:$N,MATCH(RIGHT($B140,13)&amp;"|"&amp;$C140&amp;"|"&amp;$D140&amp;"|"&amp;Z$14&amp;"|"&amp;"CY2024Q3",Spectrum!$R:$R,0)),0),""))</f>
        <v>1899</v>
      </c>
      <c r="AA140" s="33">
        <f>IF(LEFT($B140,4)="_Mil","",IFERROR(1/(1/INDEX(Spectrum!$N:$N,MATCH(RIGHT($B140,13)&amp;"|"&amp;$C140&amp;"|"&amp;$D140&amp;"|"&amp;AA$14&amp;"|"&amp;"CY2024Q3",Spectrum!$R:$R,0))),IF(SUM($U140)=0,"",SUM($Z140)/$U140)))</f>
        <v>0.95438316400000001</v>
      </c>
      <c r="AB140" s="33">
        <f t="shared" si="22"/>
        <v>0.96838347781744005</v>
      </c>
      <c r="AC140" s="38">
        <f>IF(LEFT($B140,4)="_Mil","",_xlfn.IFNA(ROUND(INDEX(Spectrum!$N:$N,MATCH(RIGHT($B140,13)&amp;"|"&amp;$C140&amp;"|"&amp;$D140&amp;"|"&amp;AC$14&amp;"|"&amp;"CY2024Q3",Spectrum!$R:$R,0)),0),""))</f>
        <v>97</v>
      </c>
      <c r="AD140" s="38" t="str">
        <f>IF(LEFT($B140,4)="_Mil","",_xlfn.IFNA(ROUND(INDEX(Spectrum!$N:$N,MATCH(RIGHT($B140,13)&amp;"|"&amp;$C140&amp;"|"&amp;$D140&amp;"|"&amp;AD$14&amp;"|"&amp;"CY2024Q3",Spectrum!$R:$R,0)),0),""))</f>
        <v/>
      </c>
      <c r="AE140" s="33">
        <f t="shared" si="23"/>
        <v>0</v>
      </c>
      <c r="AF140" s="218" t="str">
        <f>IF(LEFT($B140,4)="_Mil","",_xlfn.IFNA(ROUND(INDEX(Spectrum!$N:$N,MATCH(RIGHT($B140,13)&amp;"|"&amp;$C140&amp;"|"&amp;$D140&amp;"|"&amp;AF$14&amp;"|"&amp;"CY2024Q3",Spectrum!$R:$R,0)),0),""))</f>
        <v/>
      </c>
      <c r="AG140" s="33" t="str">
        <f t="shared" si="24"/>
        <v/>
      </c>
      <c r="AH140" s="110" t="str">
        <f>IF(LEFT($B140,4)="_Mil","",_xlfn.IFNA(INDEX(Spectrum!$N:$N,MATCH(RIGHT($B140,13)&amp;"|"&amp;$C140&amp;"|"&amp;$D140&amp;"|"&amp;AH$14&amp;"|"&amp;"CY2024Q3",Spectrum!$R:$R,0)),""))</f>
        <v/>
      </c>
      <c r="AI140" s="218">
        <f>IF(LEFT($B140,4)="_Mil","",_xlfn.IFNA(ROUND(INDEX(Spectrum!$N:$N,MATCH(RIGHT($B140,13)&amp;"|"&amp;$C140&amp;"|"&amp;$D140&amp;"|"&amp;AI$14&amp;"|"&amp;"CY2025Q3",Spectrum!$R:$R,0)),0),""))</f>
        <v>7</v>
      </c>
      <c r="AJ140" s="38">
        <f>IF(LEFT($B140,4)="_Mil","",_xlfn.IFNA(ROUND(INDEX(Spectrum!$N:$N,MATCH(RIGHT($B140,13)&amp;"|"&amp;$C140&amp;"|"&amp;$D140&amp;"|"&amp;AJ$14&amp;"|"&amp;"CY2025Q3",Spectrum!$R:$R,0)),0),""))</f>
        <v>2180</v>
      </c>
      <c r="AK140" s="218" t="e">
        <f>#REF!</f>
        <v>#REF!</v>
      </c>
      <c r="AL140" s="33">
        <f t="shared" si="25"/>
        <v>0.95438316400000001</v>
      </c>
      <c r="AM140" s="38" t="e">
        <f>IF(OR(LEFT($B140,4)="_Mil",$C140="&lt;01"),"",ROUND(SUM($AK140)*SUM($AL140),0))</f>
        <v>#REF!</v>
      </c>
      <c r="AN140" s="38" t="str">
        <f>IF($C140="&lt;01",ROUND(INDEX(EID!$P:$P,MATCH($B140,EID!$B:$B,0))/2,0),"")</f>
        <v/>
      </c>
      <c r="AO140" s="38" t="e">
        <f>IF($C140="&lt;01",SUM($AN140),ROUND(SUM($AM140)*SUM($O140)/IF(SUM($Z140)=0,1,$Z140),0))</f>
        <v>#REF!</v>
      </c>
      <c r="AP140" s="218">
        <f>IF(OR($F140="",$C140="&lt;01"),$AO140,ROUND($F140,0))</f>
        <v>2123</v>
      </c>
      <c r="AQ140" s="218">
        <f>IF(LEFT($B140,4)="_Mil","",IF(SUM($AP140)=0,SUM($Z140),IF(OR(SUM($Z140)=0,SUM($O140)=0),MAX($AP140,$Z140),ROUND($AP140*$Z140/$O140,0))))</f>
        <v>2020</v>
      </c>
      <c r="AR140" s="33" t="e">
        <f>IF(OR(LEFT($B140,4)="_Mil",SUM($AK140)=0),"",SUM($AQ140)/$AK140)</f>
        <v>#REF!</v>
      </c>
      <c r="AS140" s="33">
        <v>1.02</v>
      </c>
      <c r="AT140" s="33">
        <f>IF($C140="&lt;01","",100%)</f>
        <v>1</v>
      </c>
      <c r="AU140" s="38">
        <f>IF($C140="&lt;01","",SUM($AP140)-SUM($O140))</f>
        <v>127</v>
      </c>
      <c r="AV140" s="38">
        <f>IF($C140="&lt;01",ROUND(INDEX(EID!$N:$N,MATCH($B140,EID!$B:$B,0))/2,0),IF(SUM($AT140)=0,"",ROUND((SUM($AP140)-(SUM($O140)*SUM($AS140)))/$AT140,0)))</f>
        <v>87</v>
      </c>
      <c r="AW140" s="33">
        <v>0.8</v>
      </c>
      <c r="AX140" s="218">
        <f>IF($C140="&lt;01",SUM($AV140),ROUND(SUM($AV140)*SUM($AW140),0))</f>
        <v>70</v>
      </c>
      <c r="AY140" s="79">
        <f t="shared" si="27"/>
        <v>0.7</v>
      </c>
      <c r="AZ140" s="85">
        <f>IF($C140="&lt;01",ROUND(INDEX(EID!$R:$R,MATCH($B140,EID!$B:$B,0))/2,0),ROUND(SUM($O140)+(SUM($AV140)*$AY140),0))</f>
        <v>2057</v>
      </c>
      <c r="BA140" s="40">
        <f t="shared" si="31"/>
        <v>0.9</v>
      </c>
      <c r="BB140" s="99">
        <f>IF($C140="&lt;01",ROUND(INDEX(EID!$T:$T,MATCH($B140,EID!$B:$B,0))/2,0),ROUND($AP140*$BA140,0))</f>
        <v>1911</v>
      </c>
      <c r="BC140" s="85">
        <f>IF(LEFT($B140,4)="_Mil","",IF(SUM($BB140)=0,SUM($AD140),IF(OR(SUM($AP140)=0,SUM($AQ140)=0),MAX($BB140,$AD140),ROUND($BB140*$AQ140/$AP140,0))))</f>
        <v>1818</v>
      </c>
      <c r="BD140" s="33">
        <f t="shared" si="28"/>
        <v>0.95</v>
      </c>
      <c r="BE140" s="218">
        <f>IF($C140="&lt;01",ROUND(INDEX(EID!$V:$V,MATCH($B140,EID!$B:$B,0))/2,0),ROUND($BD140*$BB140,0))</f>
        <v>1815</v>
      </c>
      <c r="BF140" s="218">
        <f>IF(LEFT($B140,4)="_Mil","",IF(SUM($BE140)=0,SUM($AF140),IF(OR(SUM($AP140)=0,SUM($AQ140)=0),MAX($BE140,$AF140),ROUND($BE140*$AQ140/$AP140,0))))</f>
        <v>1727</v>
      </c>
      <c r="BG140" s="79">
        <f t="shared" si="29"/>
        <v>0.95</v>
      </c>
      <c r="BH140" s="99">
        <f>IF($C140="&lt;01",ROUND(INDEX(EID!$L:$L,MATCH($B140,EID!$B:$B,0)),0)/2,IF(SUM($BG140)=0,"",ROUND($AX140/$BG140,0)))</f>
        <v>74</v>
      </c>
    </row>
    <row r="141" spans="1:60" x14ac:dyDescent="0.2">
      <c r="A141" t="str">
        <f>INDEX(Prioritization!$D:$D,MATCH($B141,Prioritization!$A:$A,0))</f>
        <v>INVALID</v>
      </c>
      <c r="B141" t="s">
        <v>300</v>
      </c>
      <c r="C141" t="s">
        <v>426</v>
      </c>
      <c r="D141" t="s">
        <v>30</v>
      </c>
      <c r="E141" t="str">
        <f t="shared" si="19"/>
        <v>Kasungu District [JQKLKuVuY61]|&lt;01|Female</v>
      </c>
      <c r="F141" s="229">
        <v>8</v>
      </c>
      <c r="G141" s="38">
        <v>29</v>
      </c>
      <c r="H141" s="38">
        <v>8</v>
      </c>
      <c r="I141" s="38">
        <v>4</v>
      </c>
      <c r="J141" s="38">
        <v>43</v>
      </c>
      <c r="K141" s="38">
        <v>40</v>
      </c>
      <c r="L141" s="38"/>
      <c r="M141" s="38">
        <v>9</v>
      </c>
      <c r="N141" s="38">
        <v>9</v>
      </c>
      <c r="O141" s="229">
        <v>8</v>
      </c>
      <c r="P141" s="38">
        <v>7</v>
      </c>
      <c r="Q141" s="38">
        <v>7</v>
      </c>
      <c r="R141" s="38">
        <f t="shared" si="20"/>
        <v>4</v>
      </c>
      <c r="S141" s="38">
        <f>IF(LEFT($B141,4)="_Mil","",_xlfn.IFNA(ROUND(INDEX(Spectrum!$N:$N,MATCH(RIGHT($B141,13)&amp;"|"&amp;$C141&amp;"|"&amp;$D141&amp;"|"&amp;S$14&amp;"|"&amp;"CY2023Q4",Spectrum!$R:$R,0)),0),""))</f>
        <v>9</v>
      </c>
      <c r="T141" s="218">
        <f>IF(LEFT($B141,4)="_Mil","",_xlfn.IFNA(ROUND(INDEX(Spectrum!$N:$N,MATCH(RIGHT($B141,13)&amp;"|"&amp;$C141&amp;"|"&amp;$D141&amp;"|"&amp;T$14&amp;"|"&amp;"CY2024Q3",Spectrum!$R:$R,0)),0),""))</f>
        <v>15293</v>
      </c>
      <c r="U141" s="218">
        <f>IF(LEFT($B141,4)="_Mil","",_xlfn.IFNA(ROUND(INDEX(Spectrum!$N:$N,MATCH(RIGHT($B141,13)&amp;"|"&amp;$C141&amp;"|"&amp;$D141&amp;"|"&amp;U$14&amp;"|"&amp;"CY2024Q3",Spectrum!$R:$R,0)),0),""))</f>
        <v>11</v>
      </c>
      <c r="V141" s="38">
        <f>IF(LEFT($B141,4)="_Mil","",_xlfn.IFNA(ROUND(INDEX(Spectrum!$N:$N,MATCH(RIGHT($B141,13)&amp;"|"&amp;$C141&amp;"|"&amp;$D141&amp;"|"&amp;V$14&amp;"|"&amp;"CY2024Q3",Spectrum!$R:$R,0)),0),""))</f>
        <v>11</v>
      </c>
      <c r="W141" s="220">
        <f>IF(LEFT($B141,4)="_Mil","",_xlfn.IFNA(INDEX(Spectrum!$N:$N,MATCH(RIGHT($B141,13)&amp;"|"&amp;$C141&amp;"|"&amp;$D141&amp;"|"&amp;W$14&amp;"|"&amp;"CY2024Q3",Spectrum!$R:$R,0)),""))</f>
        <v>7.0438300000000005E-4</v>
      </c>
      <c r="X141" s="218">
        <f>IF(LEFT($B141,4)="_Mil","",_xlfn.IFNA(ROUND(INDEX(Spectrum!$N:$N,MATCH(RIGHT($B141,13)&amp;"|"&amp;$C141&amp;"|"&amp;$D141&amp;"|"&amp;X$14&amp;"|"&amp;"CY2024Q3",Spectrum!$R:$R,0)),0),""))</f>
        <v>8</v>
      </c>
      <c r="Y141" s="33">
        <f t="shared" si="21"/>
        <v>0.73</v>
      </c>
      <c r="Z141" s="218">
        <f>IF(LEFT($B141,4)="_Mil","",_xlfn.IFNA(ROUND(INDEX(Spectrum!$N:$N,MATCH(RIGHT($B141,13)&amp;"|"&amp;$C141&amp;"|"&amp;$D141&amp;"|"&amp;Z$14&amp;"|"&amp;"CY2024Q3",Spectrum!$R:$R,0)),0),""))</f>
        <v>8</v>
      </c>
      <c r="AA141" s="33">
        <f>IF(LEFT($B141,4)="_Mil","",IFERROR(1/(1/INDEX(Spectrum!$N:$N,MATCH(RIGHT($B141,13)&amp;"|"&amp;$C141&amp;"|"&amp;$D141&amp;"|"&amp;AA$14&amp;"|"&amp;"CY2024Q3",Spectrum!$R:$R,0))),IF(SUM($U141)=0,"",SUM($Z141)/$U141)))</f>
        <v>0.69531325399999999</v>
      </c>
      <c r="AB141" s="33">
        <f t="shared" si="22"/>
        <v>1</v>
      </c>
      <c r="AC141" s="38">
        <f>IF(LEFT($B141,4)="_Mil","",_xlfn.IFNA(ROUND(INDEX(Spectrum!$N:$N,MATCH(RIGHT($B141,13)&amp;"|"&amp;$C141&amp;"|"&amp;$D141&amp;"|"&amp;AC$14&amp;"|"&amp;"CY2024Q3",Spectrum!$R:$R,0)),0),""))</f>
        <v>3</v>
      </c>
      <c r="AD141" s="38" t="str">
        <f>IF(LEFT($B141,4)="_Mil","",_xlfn.IFNA(ROUND(INDEX(Spectrum!$N:$N,MATCH(RIGHT($B141,13)&amp;"|"&amp;$C141&amp;"|"&amp;$D141&amp;"|"&amp;AD$14&amp;"|"&amp;"CY2024Q3",Spectrum!$R:$R,0)),0),""))</f>
        <v/>
      </c>
      <c r="AE141" s="33">
        <f t="shared" si="23"/>
        <v>0</v>
      </c>
      <c r="AF141" s="218" t="str">
        <f>IF(LEFT($B141,4)="_Mil","",_xlfn.IFNA(ROUND(INDEX(Spectrum!$N:$N,MATCH(RIGHT($B141,13)&amp;"|"&amp;$C141&amp;"|"&amp;$D141&amp;"|"&amp;AF$14&amp;"|"&amp;"CY2024Q3",Spectrum!$R:$R,0)),0),""))</f>
        <v/>
      </c>
      <c r="AG141" s="33" t="str">
        <f t="shared" si="24"/>
        <v/>
      </c>
      <c r="AH141" s="110" t="str">
        <f>IF(LEFT($B141,4)="_Mil","",_xlfn.IFNA(INDEX(Spectrum!$N:$N,MATCH(RIGHT($B141,13)&amp;"|"&amp;$C141&amp;"|"&amp;$D141&amp;"|"&amp;AH$14&amp;"|"&amp;"CY2024Q3",Spectrum!$R:$R,0)),""))</f>
        <v/>
      </c>
      <c r="AI141" s="218">
        <f>IF(LEFT($B141,4)="_Mil","",_xlfn.IFNA(ROUND(INDEX(Spectrum!$N:$N,MATCH(RIGHT($B141,13)&amp;"|"&amp;$C141&amp;"|"&amp;$D141&amp;"|"&amp;AI$14&amp;"|"&amp;"CY2025Q3",Spectrum!$R:$R,0)),0),""))</f>
        <v>13</v>
      </c>
      <c r="AJ141" s="38">
        <f>IF(LEFT($B141,4)="_Mil","",_xlfn.IFNA(ROUND(INDEX(Spectrum!$N:$N,MATCH(RIGHT($B141,13)&amp;"|"&amp;$C141&amp;"|"&amp;$D141&amp;"|"&amp;AJ$14&amp;"|"&amp;"CY2025Q3",Spectrum!$R:$R,0)),0),""))</f>
        <v>10</v>
      </c>
      <c r="AK141" s="218" t="e">
        <f>#REF!</f>
        <v>#REF!</v>
      </c>
      <c r="AL141" s="33" t="str">
        <f t="shared" si="25"/>
        <v/>
      </c>
      <c r="AM141" s="38" t="str">
        <f>IF(OR(LEFT($B141,4)="_Mil",$C141="&lt;01"),"",ROUND(SUM($AK141)*SUM($AL141),0))</f>
        <v/>
      </c>
      <c r="AN141" s="38">
        <f>IF($C141="&lt;01",ROUND(INDEX(EID!$P:$P,MATCH($B141,EID!$B:$B,0))/2,0),"")</f>
        <v>0</v>
      </c>
      <c r="AO141" s="38">
        <f>IF($C141="&lt;01",SUM($AN141),ROUND(SUM($AM141)*SUM($O141)/IF(SUM($Z141)=0,1,$Z141),0))</f>
        <v>0</v>
      </c>
      <c r="AP141" s="218">
        <f>IF(OR($F141="",$C141="&lt;01"),$AO141,ROUND($F141,0))</f>
        <v>0</v>
      </c>
      <c r="AQ141" s="218">
        <f>IF(LEFT($B141,4)="_Mil","",IF(SUM($AP141)=0,SUM($Z141),IF(OR(SUM($Z141)=0,SUM($O141)=0),MAX($AP141,$Z141),ROUND($AP141*$Z141/$O141,0))))</f>
        <v>8</v>
      </c>
      <c r="AR141" s="33" t="e">
        <f>IF(OR(LEFT($B141,4)="_Mil",SUM($AK141)=0),"",SUM($AQ141)/$AK141)</f>
        <v>#REF!</v>
      </c>
      <c r="AS141" s="33" t="str">
        <f t="shared" ref="AS141:AS156" si="34">IF($C141="&lt;01","",98%)</f>
        <v/>
      </c>
      <c r="AT141" s="33" t="str">
        <f t="shared" si="32"/>
        <v/>
      </c>
      <c r="AU141" s="38" t="str">
        <f>IF($C141="&lt;01","",SUM($AP141)-SUM($O141))</f>
        <v/>
      </c>
      <c r="AV141" s="38">
        <f>IF($C141="&lt;01",ROUND(INDEX(EID!$N:$N,MATCH($B141,EID!$B:$B,0))/2,0),IF(SUM($AT141)=0,"",ROUND((SUM($AP141)-(SUM($O141)*SUM($AS141)))/$AT141,0)))</f>
        <v>0</v>
      </c>
      <c r="AW141" s="33" t="str">
        <f t="shared" si="26"/>
        <v/>
      </c>
      <c r="AX141" s="218">
        <f>IF($C141="&lt;01",SUM($AV141),ROUND(SUM($AV141)*SUM($AW141),0))</f>
        <v>0</v>
      </c>
      <c r="AY141" s="79" t="str">
        <f t="shared" si="27"/>
        <v/>
      </c>
      <c r="AZ141" s="85">
        <f>IF($C141="&lt;01",ROUND(INDEX(EID!$R:$R,MATCH($B141,EID!$B:$B,0))/2,0),ROUND(SUM($O141)+(SUM($AV141)*$AY141),0))</f>
        <v>0</v>
      </c>
      <c r="BA141" s="40" t="str">
        <f t="shared" si="31"/>
        <v/>
      </c>
      <c r="BB141" s="99">
        <f>IF($C141="&lt;01",ROUND(INDEX(EID!$T:$T,MATCH($B141,EID!$B:$B,0))/2,0),ROUND($AP141*$BA141,0))</f>
        <v>0</v>
      </c>
      <c r="BC141" s="85">
        <f>IF(LEFT($B141,4)="_Mil","",IF(SUM($BB141)=0,SUM($AD141),IF(OR(SUM($AP141)=0,SUM($AQ141)=0),MAX($BB141,$AD141),ROUND($BB141*$AQ141/$AP141,0))))</f>
        <v>0</v>
      </c>
      <c r="BD141" s="33" t="str">
        <f t="shared" si="28"/>
        <v/>
      </c>
      <c r="BE141" s="218">
        <f>IF($C141="&lt;01",ROUND(INDEX(EID!$V:$V,MATCH($B141,EID!$B:$B,0))/2,0),ROUND($BD141*$BB141,0))</f>
        <v>0</v>
      </c>
      <c r="BF141" s="218">
        <f>IF(LEFT($B141,4)="_Mil","",IF(SUM($BE141)=0,SUM($AF141),IF(OR(SUM($AP141)=0,SUM($AQ141)=0),MAX($BE141,$AF141),ROUND($BE141*$AQ141/$AP141,0))))</f>
        <v>0</v>
      </c>
      <c r="BG141" s="79" t="str">
        <f t="shared" si="29"/>
        <v/>
      </c>
      <c r="BH141" s="99">
        <f>IF($C141="&lt;01",ROUND(INDEX(EID!$L:$L,MATCH($B141,EID!$B:$B,0)),0)/2,IF(SUM($BG141)=0,"",ROUND($AX141/$BG141,0)))</f>
        <v>0</v>
      </c>
    </row>
    <row r="142" spans="1:60" x14ac:dyDescent="0.2">
      <c r="A142" t="str">
        <f>INDEX(Prioritization!$D:$D,MATCH($B142,Prioritization!$A:$A,0))</f>
        <v>INVALID</v>
      </c>
      <c r="B142" t="s">
        <v>300</v>
      </c>
      <c r="C142" t="s">
        <v>426</v>
      </c>
      <c r="D142" t="s">
        <v>48</v>
      </c>
      <c r="E142" t="str">
        <f t="shared" si="19"/>
        <v>Kasungu District [JQKLKuVuY61]|&lt;01|Male</v>
      </c>
      <c r="F142" s="229">
        <v>8</v>
      </c>
      <c r="G142" s="38">
        <v>18</v>
      </c>
      <c r="H142" s="38">
        <v>8</v>
      </c>
      <c r="I142" s="38">
        <v>4</v>
      </c>
      <c r="J142" s="38">
        <v>27</v>
      </c>
      <c r="K142" s="38">
        <v>24</v>
      </c>
      <c r="L142" s="38"/>
      <c r="M142" s="38">
        <v>9</v>
      </c>
      <c r="N142" s="38">
        <v>9</v>
      </c>
      <c r="O142" s="229">
        <v>8</v>
      </c>
      <c r="P142" s="38">
        <v>7</v>
      </c>
      <c r="Q142" s="38">
        <v>7</v>
      </c>
      <c r="R142" s="38">
        <f t="shared" si="20"/>
        <v>4</v>
      </c>
      <c r="S142" s="38">
        <f>IF(LEFT($B142,4)="_Mil","",_xlfn.IFNA(ROUND(INDEX(Spectrum!$N:$N,MATCH(RIGHT($B142,13)&amp;"|"&amp;$C142&amp;"|"&amp;$D142&amp;"|"&amp;S$14&amp;"|"&amp;"CY2023Q4",Spectrum!$R:$R,0)),0),""))</f>
        <v>9</v>
      </c>
      <c r="T142" s="218">
        <f>IF(LEFT($B142,4)="_Mil","",_xlfn.IFNA(ROUND(INDEX(Spectrum!$N:$N,MATCH(RIGHT($B142,13)&amp;"|"&amp;$C142&amp;"|"&amp;$D142&amp;"|"&amp;T$14&amp;"|"&amp;"CY2024Q3",Spectrum!$R:$R,0)),0),""))</f>
        <v>15308</v>
      </c>
      <c r="U142" s="218">
        <f>IF(LEFT($B142,4)="_Mil","",_xlfn.IFNA(ROUND(INDEX(Spectrum!$N:$N,MATCH(RIGHT($B142,13)&amp;"|"&amp;$C142&amp;"|"&amp;$D142&amp;"|"&amp;U$14&amp;"|"&amp;"CY2024Q3",Spectrum!$R:$R,0)),0),""))</f>
        <v>11</v>
      </c>
      <c r="V142" s="38">
        <f>IF(LEFT($B142,4)="_Mil","",_xlfn.IFNA(ROUND(INDEX(Spectrum!$N:$N,MATCH(RIGHT($B142,13)&amp;"|"&amp;$C142&amp;"|"&amp;$D142&amp;"|"&amp;V$14&amp;"|"&amp;"CY2024Q3",Spectrum!$R:$R,0)),0),""))</f>
        <v>11</v>
      </c>
      <c r="W142" s="220">
        <f>IF(LEFT($B142,4)="_Mil","",_xlfn.IFNA(INDEX(Spectrum!$N:$N,MATCH(RIGHT($B142,13)&amp;"|"&amp;$C142&amp;"|"&amp;$D142&amp;"|"&amp;W$14&amp;"|"&amp;"CY2024Q3",Spectrum!$R:$R,0)),""))</f>
        <v>7.1090499999999996E-4</v>
      </c>
      <c r="X142" s="218">
        <f>IF(LEFT($B142,4)="_Mil","",_xlfn.IFNA(ROUND(INDEX(Spectrum!$N:$N,MATCH(RIGHT($B142,13)&amp;"|"&amp;$C142&amp;"|"&amp;$D142&amp;"|"&amp;X$14&amp;"|"&amp;"CY2024Q3",Spectrum!$R:$R,0)),0),""))</f>
        <v>8</v>
      </c>
      <c r="Y142" s="33">
        <f t="shared" si="21"/>
        <v>0.73</v>
      </c>
      <c r="Z142" s="218">
        <f>IF(LEFT($B142,4)="_Mil","",_xlfn.IFNA(ROUND(INDEX(Spectrum!$N:$N,MATCH(RIGHT($B142,13)&amp;"|"&amp;$C142&amp;"|"&amp;$D142&amp;"|"&amp;Z$14&amp;"|"&amp;"CY2024Q3",Spectrum!$R:$R,0)),0),""))</f>
        <v>8</v>
      </c>
      <c r="AA142" s="33">
        <f>IF(LEFT($B142,4)="_Mil","",IFERROR(1/(1/INDEX(Spectrum!$N:$N,MATCH(RIGHT($B142,13)&amp;"|"&amp;$C142&amp;"|"&amp;$D142&amp;"|"&amp;AA$14&amp;"|"&amp;"CY2024Q3",Spectrum!$R:$R,0))),IF(SUM($U142)=0,"",SUM($Z142)/$U142)))</f>
        <v>0.69553474000000004</v>
      </c>
      <c r="AB142" s="33">
        <f t="shared" si="22"/>
        <v>1</v>
      </c>
      <c r="AC142" s="38">
        <f>IF(LEFT($B142,4)="_Mil","",_xlfn.IFNA(ROUND(INDEX(Spectrum!$N:$N,MATCH(RIGHT($B142,13)&amp;"|"&amp;$C142&amp;"|"&amp;$D142&amp;"|"&amp;AC$14&amp;"|"&amp;"CY2024Q3",Spectrum!$R:$R,0)),0),""))</f>
        <v>3</v>
      </c>
      <c r="AD142" s="38" t="str">
        <f>IF(LEFT($B142,4)="_Mil","",_xlfn.IFNA(ROUND(INDEX(Spectrum!$N:$N,MATCH(RIGHT($B142,13)&amp;"|"&amp;$C142&amp;"|"&amp;$D142&amp;"|"&amp;AD$14&amp;"|"&amp;"CY2024Q3",Spectrum!$R:$R,0)),0),""))</f>
        <v/>
      </c>
      <c r="AE142" s="33">
        <f t="shared" si="23"/>
        <v>0</v>
      </c>
      <c r="AF142" s="218" t="str">
        <f>IF(LEFT($B142,4)="_Mil","",_xlfn.IFNA(ROUND(INDEX(Spectrum!$N:$N,MATCH(RIGHT($B142,13)&amp;"|"&amp;$C142&amp;"|"&amp;$D142&amp;"|"&amp;AF$14&amp;"|"&amp;"CY2024Q3",Spectrum!$R:$R,0)),0),""))</f>
        <v/>
      </c>
      <c r="AG142" s="33" t="str">
        <f t="shared" si="24"/>
        <v/>
      </c>
      <c r="AH142" s="110" t="str">
        <f>IF(LEFT($B142,4)="_Mil","",_xlfn.IFNA(INDEX(Spectrum!$N:$N,MATCH(RIGHT($B142,13)&amp;"|"&amp;$C142&amp;"|"&amp;$D142&amp;"|"&amp;AH$14&amp;"|"&amp;"CY2024Q3",Spectrum!$R:$R,0)),""))</f>
        <v/>
      </c>
      <c r="AI142" s="218">
        <f>IF(LEFT($B142,4)="_Mil","",_xlfn.IFNA(ROUND(INDEX(Spectrum!$N:$N,MATCH(RIGHT($B142,13)&amp;"|"&amp;$C142&amp;"|"&amp;$D142&amp;"|"&amp;AI$14&amp;"|"&amp;"CY2025Q3",Spectrum!$R:$R,0)),0),""))</f>
        <v>13</v>
      </c>
      <c r="AJ142" s="38">
        <f>IF(LEFT($B142,4)="_Mil","",_xlfn.IFNA(ROUND(INDEX(Spectrum!$N:$N,MATCH(RIGHT($B142,13)&amp;"|"&amp;$C142&amp;"|"&amp;$D142&amp;"|"&amp;AJ$14&amp;"|"&amp;"CY2025Q3",Spectrum!$R:$R,0)),0),""))</f>
        <v>10</v>
      </c>
      <c r="AK142" s="218" t="e">
        <f>#REF!</f>
        <v>#REF!</v>
      </c>
      <c r="AL142" s="33" t="str">
        <f t="shared" si="25"/>
        <v/>
      </c>
      <c r="AM142" s="38" t="str">
        <f>IF(OR(LEFT($B142,4)="_Mil",$C142="&lt;01"),"",ROUND(SUM($AK142)*SUM($AL142),0))</f>
        <v/>
      </c>
      <c r="AN142" s="38">
        <f>IF($C142="&lt;01",ROUND(INDEX(EID!$P:$P,MATCH($B142,EID!$B:$B,0))/2,0),"")</f>
        <v>0</v>
      </c>
      <c r="AO142" s="38">
        <f>IF($C142="&lt;01",SUM($AN142),ROUND(SUM($AM142)*SUM($O142)/IF(SUM($Z142)=0,1,$Z142),0))</f>
        <v>0</v>
      </c>
      <c r="AP142" s="218">
        <f>IF(OR($F142="",$C142="&lt;01"),$AO142,ROUND($F142,0))</f>
        <v>0</v>
      </c>
      <c r="AQ142" s="218">
        <f>IF(LEFT($B142,4)="_Mil","",IF(SUM($AP142)=0,SUM($Z142),IF(OR(SUM($Z142)=0,SUM($O142)=0),MAX($AP142,$Z142),ROUND($AP142*$Z142/$O142,0))))</f>
        <v>8</v>
      </c>
      <c r="AR142" s="33" t="e">
        <f>IF(OR(LEFT($B142,4)="_Mil",SUM($AK142)=0),"",SUM($AQ142)/$AK142)</f>
        <v>#REF!</v>
      </c>
      <c r="AS142" s="33" t="str">
        <f t="shared" si="34"/>
        <v/>
      </c>
      <c r="AT142" s="33" t="str">
        <f t="shared" si="32"/>
        <v/>
      </c>
      <c r="AU142" s="38" t="str">
        <f>IF($C142="&lt;01","",SUM($AP142)-SUM($O142))</f>
        <v/>
      </c>
      <c r="AV142" s="38">
        <f>IF($C142="&lt;01",ROUND(INDEX(EID!$N:$N,MATCH($B142,EID!$B:$B,0))/2,0),IF(SUM($AT142)=0,"",ROUND((SUM($AP142)-(SUM($O142)*SUM($AS142)))/$AT142,0)))</f>
        <v>0</v>
      </c>
      <c r="AW142" s="33" t="str">
        <f t="shared" si="26"/>
        <v/>
      </c>
      <c r="AX142" s="218">
        <f>IF($C142="&lt;01",SUM($AV142),ROUND(SUM($AV142)*SUM($AW142),0))</f>
        <v>0</v>
      </c>
      <c r="AY142" s="79" t="str">
        <f t="shared" si="27"/>
        <v/>
      </c>
      <c r="AZ142" s="85">
        <f>IF($C142="&lt;01",ROUND(INDEX(EID!$R:$R,MATCH($B142,EID!$B:$B,0))/2,0),ROUND(SUM($O142)+(SUM($AV142)*$AY142),0))</f>
        <v>0</v>
      </c>
      <c r="BA142" s="40" t="str">
        <f t="shared" si="31"/>
        <v/>
      </c>
      <c r="BB142" s="99">
        <f>IF($C142="&lt;01",ROUND(INDEX(EID!$T:$T,MATCH($B142,EID!$B:$B,0))/2,0),ROUND($AP142*$BA142,0))</f>
        <v>0</v>
      </c>
      <c r="BC142" s="85">
        <f>IF(LEFT($B142,4)="_Mil","",IF(SUM($BB142)=0,SUM($AD142),IF(OR(SUM($AP142)=0,SUM($AQ142)=0),MAX($BB142,$AD142),ROUND($BB142*$AQ142/$AP142,0))))</f>
        <v>0</v>
      </c>
      <c r="BD142" s="33" t="str">
        <f t="shared" si="28"/>
        <v/>
      </c>
      <c r="BE142" s="218">
        <f>IF($C142="&lt;01",ROUND(INDEX(EID!$V:$V,MATCH($B142,EID!$B:$B,0))/2,0),ROUND($BD142*$BB142,0))</f>
        <v>0</v>
      </c>
      <c r="BF142" s="218">
        <f>IF(LEFT($B142,4)="_Mil","",IF(SUM($BE142)=0,SUM($AF142),IF(OR(SUM($AP142)=0,SUM($AQ142)=0),MAX($BE142,$AF142),ROUND($BE142*$AQ142/$AP142,0))))</f>
        <v>0</v>
      </c>
      <c r="BG142" s="79" t="str">
        <f t="shared" si="29"/>
        <v/>
      </c>
      <c r="BH142" s="99">
        <f>IF($C142="&lt;01",ROUND(INDEX(EID!$L:$L,MATCH($B142,EID!$B:$B,0)),0)/2,IF(SUM($BG142)=0,"",ROUND($AX142/$BG142,0)))</f>
        <v>0</v>
      </c>
    </row>
    <row r="143" spans="1:60" x14ac:dyDescent="0.2">
      <c r="A143" t="str">
        <f>INDEX(Prioritization!$D:$D,MATCH($B143,Prioritization!$A:$A,0))</f>
        <v>INVALID</v>
      </c>
      <c r="B143" t="s">
        <v>300</v>
      </c>
      <c r="C143" t="s">
        <v>473</v>
      </c>
      <c r="D143" t="s">
        <v>30</v>
      </c>
      <c r="E143" t="str">
        <f t="shared" ref="E143:E206" si="35">$B143&amp;"|"&amp;$C143&amp;"|"&amp;$D143</f>
        <v>Kasungu District [JQKLKuVuY61]|01-09|Female</v>
      </c>
      <c r="F143" s="229">
        <v>163</v>
      </c>
      <c r="G143" s="38">
        <v>54</v>
      </c>
      <c r="H143" s="38">
        <v>15</v>
      </c>
      <c r="I143" s="38">
        <v>163</v>
      </c>
      <c r="J143" s="38">
        <v>164</v>
      </c>
      <c r="K143" s="38">
        <v>138</v>
      </c>
      <c r="L143" s="38">
        <v>8</v>
      </c>
      <c r="M143" s="38">
        <v>8</v>
      </c>
      <c r="N143" s="38">
        <v>189</v>
      </c>
      <c r="O143" s="229">
        <v>163</v>
      </c>
      <c r="P143" s="38">
        <v>168</v>
      </c>
      <c r="Q143" s="38">
        <v>160</v>
      </c>
      <c r="R143" s="38">
        <f t="shared" ref="R143:R206" si="36">IF(AND(SUM($I143)=0,SUM($O143)=0),"",SUM($O143)-$I143)</f>
        <v>0</v>
      </c>
      <c r="S143" s="38">
        <f>IF(LEFT($B143,4)="_Mil","",_xlfn.IFNA(ROUND(INDEX(Spectrum!$N:$N,MATCH(RIGHT($B143,13)&amp;"|"&amp;$C143&amp;"|"&amp;$D143&amp;"|"&amp;S$14&amp;"|"&amp;"CY2023Q4",Spectrum!$R:$R,0)),0),""))</f>
        <v>168</v>
      </c>
      <c r="T143" s="218">
        <f>IF(LEFT($B143,4)="_Mil","",_xlfn.IFNA(ROUND(INDEX(Spectrum!$N:$N,MATCH(RIGHT($B143,13)&amp;"|"&amp;$C143&amp;"|"&amp;$D143&amp;"|"&amp;T$14&amp;"|"&amp;"CY2024Q3",Spectrum!$R:$R,0)),0),""))</f>
        <v>131088</v>
      </c>
      <c r="U143" s="218">
        <f>IF(LEFT($B143,4)="_Mil","",_xlfn.IFNA(ROUND(INDEX(Spectrum!$N:$N,MATCH(RIGHT($B143,13)&amp;"|"&amp;$C143&amp;"|"&amp;$D143&amp;"|"&amp;U$14&amp;"|"&amp;"CY2024Q3",Spectrum!$R:$R,0)),0),""))</f>
        <v>213</v>
      </c>
      <c r="V143" s="38">
        <f>IF(LEFT($B143,4)="_Mil","",_xlfn.IFNA(ROUND(INDEX(Spectrum!$N:$N,MATCH(RIGHT($B143,13)&amp;"|"&amp;$C143&amp;"|"&amp;$D143&amp;"|"&amp;V$14&amp;"|"&amp;"CY2024Q3",Spectrum!$R:$R,0)),0),""))</f>
        <v>217</v>
      </c>
      <c r="W143" s="220">
        <f>IF(LEFT($B143,4)="_Mil","",_xlfn.IFNA(INDEX(Spectrum!$N:$N,MATCH(RIGHT($B143,13)&amp;"|"&amp;$C143&amp;"|"&amp;$D143&amp;"|"&amp;W$14&amp;"|"&amp;"CY2024Q3",Spectrum!$R:$R,0)),""))</f>
        <v>1.6217429999999999E-3</v>
      </c>
      <c r="X143" s="218">
        <f>IF(LEFT($B143,4)="_Mil","",_xlfn.IFNA(ROUND(INDEX(Spectrum!$N:$N,MATCH(RIGHT($B143,13)&amp;"|"&amp;$C143&amp;"|"&amp;$D143&amp;"|"&amp;X$14&amp;"|"&amp;"CY2024Q3",Spectrum!$R:$R,0)),0),""))</f>
        <v>164</v>
      </c>
      <c r="Y143" s="33">
        <f t="shared" ref="Y143:Y206" si="37">IF(OR(SUM($U143)=0,LEFT($B143,4)="_Mil"),"",ROUND(SUM($X143)/$U143,2))</f>
        <v>0.77</v>
      </c>
      <c r="Z143" s="218">
        <f>IF(LEFT($B143,4)="_Mil","",_xlfn.IFNA(ROUND(INDEX(Spectrum!$N:$N,MATCH(RIGHT($B143,13)&amp;"|"&amp;$C143&amp;"|"&amp;$D143&amp;"|"&amp;Z$14&amp;"|"&amp;"CY2024Q3",Spectrum!$R:$R,0)),0),""))</f>
        <v>160</v>
      </c>
      <c r="AA143" s="33">
        <f>IF(LEFT($B143,4)="_Mil","",IFERROR(1/(1/INDEX(Spectrum!$N:$N,MATCH(RIGHT($B143,13)&amp;"|"&amp;$C143&amp;"|"&amp;$D143&amp;"|"&amp;AA$14&amp;"|"&amp;"CY2024Q3",Spectrum!$R:$R,0))),IF(SUM($U143)=0,"",SUM($Z143)/$U143)))</f>
        <v>0.74296213099999997</v>
      </c>
      <c r="AB143" s="33">
        <f t="shared" ref="AB143:AB206" si="38">IF(OR(LEFT($B143,4)="_Mil",SUM($X143)=0),"",SUM($Z143)/$X143)</f>
        <v>0.97560975609756095</v>
      </c>
      <c r="AC143" s="38">
        <f>IF(LEFT($B143,4)="_Mil","",_xlfn.IFNA(ROUND(INDEX(Spectrum!$N:$N,MATCH(RIGHT($B143,13)&amp;"|"&amp;$C143&amp;"|"&amp;$D143&amp;"|"&amp;AC$14&amp;"|"&amp;"CY2024Q3",Spectrum!$R:$R,0)),0),""))</f>
        <v>57</v>
      </c>
      <c r="AD143" s="38" t="str">
        <f>IF(LEFT($B143,4)="_Mil","",_xlfn.IFNA(ROUND(INDEX(Spectrum!$N:$N,MATCH(RIGHT($B143,13)&amp;"|"&amp;$C143&amp;"|"&amp;$D143&amp;"|"&amp;AD$14&amp;"|"&amp;"CY2024Q3",Spectrum!$R:$R,0)),0),""))</f>
        <v/>
      </c>
      <c r="AE143" s="33">
        <f t="shared" ref="AE143:AE206" si="39">IF(OR(LEFT($B143,4)="_Mil",SUM($Z143)=0),"",ROUND(SUM($AD143)/$Z143,2))</f>
        <v>0</v>
      </c>
      <c r="AF143" s="218" t="str">
        <f>IF(LEFT($B143,4)="_Mil","",_xlfn.IFNA(ROUND(INDEX(Spectrum!$N:$N,MATCH(RIGHT($B143,13)&amp;"|"&amp;$C143&amp;"|"&amp;$D143&amp;"|"&amp;AF$14&amp;"|"&amp;"CY2024Q3",Spectrum!$R:$R,0)),0),""))</f>
        <v/>
      </c>
      <c r="AG143" s="33" t="str">
        <f t="shared" ref="AG143:AG206" si="40">IF(OR(LEFT($B143,4)="_Mil",SUM($AD143)=0),"",SUM($AF143)/$AD143)</f>
        <v/>
      </c>
      <c r="AH143" s="110" t="str">
        <f>IF(LEFT($B143,4)="_Mil","",_xlfn.IFNA(INDEX(Spectrum!$N:$N,MATCH(RIGHT($B143,13)&amp;"|"&amp;$C143&amp;"|"&amp;$D143&amp;"|"&amp;AH$14&amp;"|"&amp;"CY2024Q3",Spectrum!$R:$R,0)),""))</f>
        <v/>
      </c>
      <c r="AI143" s="218">
        <f>IF(LEFT($B143,4)="_Mil","",_xlfn.IFNA(ROUND(INDEX(Spectrum!$N:$N,MATCH(RIGHT($B143,13)&amp;"|"&amp;$C143&amp;"|"&amp;$D143&amp;"|"&amp;AI$14&amp;"|"&amp;"CY2025Q3",Spectrum!$R:$R,0)),0),""))</f>
        <v>3</v>
      </c>
      <c r="AJ143" s="38">
        <f>IF(LEFT($B143,4)="_Mil","",_xlfn.IFNA(ROUND(INDEX(Spectrum!$N:$N,MATCH(RIGHT($B143,13)&amp;"|"&amp;$C143&amp;"|"&amp;$D143&amp;"|"&amp;AJ$14&amp;"|"&amp;"CY2025Q3",Spectrum!$R:$R,0)),0),""))</f>
        <v>182</v>
      </c>
      <c r="AK143" s="218" t="e">
        <f>#REF!</f>
        <v>#REF!</v>
      </c>
      <c r="AL143" s="33">
        <f t="shared" ref="AL143:AL206" si="41">IF(OR(LEFT($B143,4)="_Mil",$C143="&lt;01"),"",MAX(SUM($AA143),90%))</f>
        <v>0.9</v>
      </c>
      <c r="AM143" s="38" t="e">
        <f>IF(OR(LEFT($B143,4)="_Mil",$C143="&lt;01"),"",ROUND(SUM($AK143)*SUM($AL143),0))</f>
        <v>#REF!</v>
      </c>
      <c r="AN143" s="38" t="str">
        <f>IF($C143="&lt;01",ROUND(INDEX(EID!$P:$P,MATCH($B143,EID!$B:$B,0))/2,0),"")</f>
        <v/>
      </c>
      <c r="AO143" s="38" t="e">
        <f>IF($C143="&lt;01",SUM($AN143),ROUND(SUM($AM143)*SUM($O143)/IF(SUM($Z143)=0,1,$Z143),0))</f>
        <v>#REF!</v>
      </c>
      <c r="AP143" s="218">
        <f>IF(OR($F143="",$C143="&lt;01"),$AO143,ROUND($F143,0))</f>
        <v>163</v>
      </c>
      <c r="AQ143" s="218">
        <f>IF(LEFT($B143,4)="_Mil","",IF(SUM($AP143)=0,SUM($Z143),IF(OR(SUM($Z143)=0,SUM($O143)=0),MAX($AP143,$Z143),ROUND($AP143*$Z143/$O143,0))))</f>
        <v>160</v>
      </c>
      <c r="AR143" s="33" t="e">
        <f>IF(OR(LEFT($B143,4)="_Mil",SUM($AK143)=0),"",SUM($AQ143)/$AK143)</f>
        <v>#REF!</v>
      </c>
      <c r="AS143" s="33">
        <f t="shared" si="34"/>
        <v>0.98</v>
      </c>
      <c r="AT143" s="33">
        <f t="shared" si="32"/>
        <v>0.98</v>
      </c>
      <c r="AU143" s="38">
        <f>IF($C143="&lt;01","",SUM($AP143)-SUM($O143))</f>
        <v>0</v>
      </c>
      <c r="AV143" s="38">
        <f>IF($C143="&lt;01",ROUND(INDEX(EID!$N:$N,MATCH($B143,EID!$B:$B,0))/2,0),IF(SUM($AT143)=0,"",ROUND((SUM($AP143)-(SUM($O143)*SUM($AS143)))/$AT143,0)))</f>
        <v>3</v>
      </c>
      <c r="AW143" s="33">
        <f t="shared" ref="AW143:AW206" si="42">IF($C143="&lt;01","",100%)</f>
        <v>1</v>
      </c>
      <c r="AX143" s="218">
        <f>IF($C143="&lt;01",SUM($AV143),ROUND(SUM($AV143)*SUM($AW143),0))</f>
        <v>3</v>
      </c>
      <c r="AY143" s="79">
        <f t="shared" ref="AY143:AY206" si="43">IF($C143="&lt;01","",70%)</f>
        <v>0.7</v>
      </c>
      <c r="AZ143" s="85">
        <f>IF($C143="&lt;01",ROUND(INDEX(EID!$R:$R,MATCH($B143,EID!$B:$B,0))/2,0),ROUND(SUM($O143)+(SUM($AV143)*$AY143),0))</f>
        <v>165</v>
      </c>
      <c r="BA143" s="40">
        <f t="shared" si="31"/>
        <v>0.9</v>
      </c>
      <c r="BB143" s="99">
        <f>IF($C143="&lt;01",ROUND(INDEX(EID!$T:$T,MATCH($B143,EID!$B:$B,0))/2,0),ROUND($AP143*$BA143,0))</f>
        <v>147</v>
      </c>
      <c r="BC143" s="85">
        <f>IF(LEFT($B143,4)="_Mil","",IF(SUM($BB143)=0,SUM($AD143),IF(OR(SUM($AP143)=0,SUM($AQ143)=0),MAX($BB143,$AD143),ROUND($BB143*$AQ143/$AP143,0))))</f>
        <v>144</v>
      </c>
      <c r="BD143" s="33">
        <f t="shared" ref="BD143:BD206" si="44">IF($C143="&lt;01","",95%)</f>
        <v>0.95</v>
      </c>
      <c r="BE143" s="218">
        <f>IF($C143="&lt;01",ROUND(INDEX(EID!$V:$V,MATCH($B143,EID!$B:$B,0))/2,0),ROUND($BD143*$BB143,0))</f>
        <v>140</v>
      </c>
      <c r="BF143" s="218">
        <f>IF(LEFT($B143,4)="_Mil","",IF(SUM($BE143)=0,SUM($AF143),IF(OR(SUM($AP143)=0,SUM($AQ143)=0),MAX($BE143,$AF143),ROUND($BE143*$AQ143/$AP143,0))))</f>
        <v>137</v>
      </c>
      <c r="BG143" s="79">
        <f t="shared" ref="BG143:BG206" si="45">IF($C143="&lt;01","",95%)</f>
        <v>0.95</v>
      </c>
      <c r="BH143" s="99">
        <f>IF($C143="&lt;01",ROUND(INDEX(EID!$L:$L,MATCH($B143,EID!$B:$B,0)),0)/2,IF(SUM($BG143)=0,"",ROUND($AX143/$BG143,0)))</f>
        <v>3</v>
      </c>
    </row>
    <row r="144" spans="1:60" x14ac:dyDescent="0.2">
      <c r="A144" t="str">
        <f>INDEX(Prioritization!$D:$D,MATCH($B144,Prioritization!$A:$A,0))</f>
        <v>INVALID</v>
      </c>
      <c r="B144" t="s">
        <v>300</v>
      </c>
      <c r="C144" t="s">
        <v>473</v>
      </c>
      <c r="D144" t="s">
        <v>48</v>
      </c>
      <c r="E144" t="str">
        <f t="shared" si="35"/>
        <v>Kasungu District [JQKLKuVuY61]|01-09|Male</v>
      </c>
      <c r="F144" s="229">
        <v>163</v>
      </c>
      <c r="G144" s="38">
        <v>38</v>
      </c>
      <c r="H144" s="38">
        <v>19</v>
      </c>
      <c r="I144" s="38">
        <v>142</v>
      </c>
      <c r="J144" s="38">
        <v>117</v>
      </c>
      <c r="K144" s="38">
        <v>97</v>
      </c>
      <c r="L144" s="38">
        <v>9</v>
      </c>
      <c r="M144" s="38">
        <v>9</v>
      </c>
      <c r="N144" s="38">
        <v>193</v>
      </c>
      <c r="O144" s="229">
        <v>163</v>
      </c>
      <c r="P144" s="38">
        <v>171</v>
      </c>
      <c r="Q144" s="38">
        <v>163</v>
      </c>
      <c r="R144" s="38">
        <f t="shared" si="36"/>
        <v>21</v>
      </c>
      <c r="S144" s="38">
        <f>IF(LEFT($B144,4)="_Mil","",_xlfn.IFNA(ROUND(INDEX(Spectrum!$N:$N,MATCH(RIGHT($B144,13)&amp;"|"&amp;$C144&amp;"|"&amp;$D144&amp;"|"&amp;S$14&amp;"|"&amp;"CY2023Q4",Spectrum!$R:$R,0)),0),""))</f>
        <v>168</v>
      </c>
      <c r="T144" s="218">
        <f>IF(LEFT($B144,4)="_Mil","",_xlfn.IFNA(ROUND(INDEX(Spectrum!$N:$N,MATCH(RIGHT($B144,13)&amp;"|"&amp;$C144&amp;"|"&amp;$D144&amp;"|"&amp;T$14&amp;"|"&amp;"CY2024Q3",Spectrum!$R:$R,0)),0),""))</f>
        <v>130903</v>
      </c>
      <c r="U144" s="218">
        <f>IF(LEFT($B144,4)="_Mil","",_xlfn.IFNA(ROUND(INDEX(Spectrum!$N:$N,MATCH(RIGHT($B144,13)&amp;"|"&amp;$C144&amp;"|"&amp;$D144&amp;"|"&amp;U$14&amp;"|"&amp;"CY2024Q3",Spectrum!$R:$R,0)),0),""))</f>
        <v>213</v>
      </c>
      <c r="V144" s="38">
        <f>IF(LEFT($B144,4)="_Mil","",_xlfn.IFNA(ROUND(INDEX(Spectrum!$N:$N,MATCH(RIGHT($B144,13)&amp;"|"&amp;$C144&amp;"|"&amp;$D144&amp;"|"&amp;V$14&amp;"|"&amp;"CY2024Q3",Spectrum!$R:$R,0)),0),""))</f>
        <v>217</v>
      </c>
      <c r="W144" s="220">
        <f>IF(LEFT($B144,4)="_Mil","",_xlfn.IFNA(INDEX(Spectrum!$N:$N,MATCH(RIGHT($B144,13)&amp;"|"&amp;$C144&amp;"|"&amp;$D144&amp;"|"&amp;W$14&amp;"|"&amp;"CY2024Q3",Spectrum!$R:$R,0)),""))</f>
        <v>1.6280470000000001E-3</v>
      </c>
      <c r="X144" s="218">
        <f>IF(LEFT($B144,4)="_Mil","",_xlfn.IFNA(ROUND(INDEX(Spectrum!$N:$N,MATCH(RIGHT($B144,13)&amp;"|"&amp;$C144&amp;"|"&amp;$D144&amp;"|"&amp;X$14&amp;"|"&amp;"CY2024Q3",Spectrum!$R:$R,0)),0),""))</f>
        <v>165</v>
      </c>
      <c r="Y144" s="33">
        <f t="shared" si="37"/>
        <v>0.77</v>
      </c>
      <c r="Z144" s="218">
        <f>IF(LEFT($B144,4)="_Mil","",_xlfn.IFNA(ROUND(INDEX(Spectrum!$N:$N,MATCH(RIGHT($B144,13)&amp;"|"&amp;$C144&amp;"|"&amp;$D144&amp;"|"&amp;Z$14&amp;"|"&amp;"CY2024Q3",Spectrum!$R:$R,0)),0),""))</f>
        <v>160</v>
      </c>
      <c r="AA144" s="33">
        <f>IF(LEFT($B144,4)="_Mil","",IFERROR(1/(1/INDEX(Spectrum!$N:$N,MATCH(RIGHT($B144,13)&amp;"|"&amp;$C144&amp;"|"&amp;$D144&amp;"|"&amp;AA$14&amp;"|"&amp;"CY2024Q3",Spectrum!$R:$R,0))),IF(SUM($U144)=0,"",SUM($Z144)/$U144)))</f>
        <v>0.74310935600000005</v>
      </c>
      <c r="AB144" s="33">
        <f t="shared" si="38"/>
        <v>0.96969696969696972</v>
      </c>
      <c r="AC144" s="38">
        <f>IF(LEFT($B144,4)="_Mil","",_xlfn.IFNA(ROUND(INDEX(Spectrum!$N:$N,MATCH(RIGHT($B144,13)&amp;"|"&amp;$C144&amp;"|"&amp;$D144&amp;"|"&amp;AC$14&amp;"|"&amp;"CY2024Q3",Spectrum!$R:$R,0)),0),""))</f>
        <v>57</v>
      </c>
      <c r="AD144" s="38" t="str">
        <f>IF(LEFT($B144,4)="_Mil","",_xlfn.IFNA(ROUND(INDEX(Spectrum!$N:$N,MATCH(RIGHT($B144,13)&amp;"|"&amp;$C144&amp;"|"&amp;$D144&amp;"|"&amp;AD$14&amp;"|"&amp;"CY2024Q3",Spectrum!$R:$R,0)),0),""))</f>
        <v/>
      </c>
      <c r="AE144" s="33">
        <f t="shared" si="39"/>
        <v>0</v>
      </c>
      <c r="AF144" s="218" t="str">
        <f>IF(LEFT($B144,4)="_Mil","",_xlfn.IFNA(ROUND(INDEX(Spectrum!$N:$N,MATCH(RIGHT($B144,13)&amp;"|"&amp;$C144&amp;"|"&amp;$D144&amp;"|"&amp;AF$14&amp;"|"&amp;"CY2024Q3",Spectrum!$R:$R,0)),0),""))</f>
        <v/>
      </c>
      <c r="AG144" s="33" t="str">
        <f t="shared" si="40"/>
        <v/>
      </c>
      <c r="AH144" s="110" t="str">
        <f>IF(LEFT($B144,4)="_Mil","",_xlfn.IFNA(INDEX(Spectrum!$N:$N,MATCH(RIGHT($B144,13)&amp;"|"&amp;$C144&amp;"|"&amp;$D144&amp;"|"&amp;AH$14&amp;"|"&amp;"CY2024Q3",Spectrum!$R:$R,0)),""))</f>
        <v/>
      </c>
      <c r="AI144" s="218">
        <f>IF(LEFT($B144,4)="_Mil","",_xlfn.IFNA(ROUND(INDEX(Spectrum!$N:$N,MATCH(RIGHT($B144,13)&amp;"|"&amp;$C144&amp;"|"&amp;$D144&amp;"|"&amp;AI$14&amp;"|"&amp;"CY2025Q3",Spectrum!$R:$R,0)),0),""))</f>
        <v>3</v>
      </c>
      <c r="AJ144" s="38">
        <f>IF(LEFT($B144,4)="_Mil","",_xlfn.IFNA(ROUND(INDEX(Spectrum!$N:$N,MATCH(RIGHT($B144,13)&amp;"|"&amp;$C144&amp;"|"&amp;$D144&amp;"|"&amp;AJ$14&amp;"|"&amp;"CY2025Q3",Spectrum!$R:$R,0)),0),""))</f>
        <v>183</v>
      </c>
      <c r="AK144" s="218" t="e">
        <f>#REF!</f>
        <v>#REF!</v>
      </c>
      <c r="AL144" s="33">
        <f t="shared" si="41"/>
        <v>0.9</v>
      </c>
      <c r="AM144" s="38" t="e">
        <f>IF(OR(LEFT($B144,4)="_Mil",$C144="&lt;01"),"",ROUND(SUM($AK144)*SUM($AL144),0))</f>
        <v>#REF!</v>
      </c>
      <c r="AN144" s="38" t="str">
        <f>IF($C144="&lt;01",ROUND(INDEX(EID!$P:$P,MATCH($B144,EID!$B:$B,0))/2,0),"")</f>
        <v/>
      </c>
      <c r="AO144" s="38" t="e">
        <f>IF($C144="&lt;01",SUM($AN144),ROUND(SUM($AM144)*SUM($O144)/IF(SUM($Z144)=0,1,$Z144),0))</f>
        <v>#REF!</v>
      </c>
      <c r="AP144" s="218">
        <f>IF(OR($F144="",$C144="&lt;01"),$AO144,ROUND($F144,0))</f>
        <v>163</v>
      </c>
      <c r="AQ144" s="218">
        <f>IF(LEFT($B144,4)="_Mil","",IF(SUM($AP144)=0,SUM($Z144),IF(OR(SUM($Z144)=0,SUM($O144)=0),MAX($AP144,$Z144),ROUND($AP144*$Z144/$O144,0))))</f>
        <v>160</v>
      </c>
      <c r="AR144" s="33" t="e">
        <f>IF(OR(LEFT($B144,4)="_Mil",SUM($AK144)=0),"",SUM($AQ144)/$AK144)</f>
        <v>#REF!</v>
      </c>
      <c r="AS144" s="33">
        <f t="shared" si="34"/>
        <v>0.98</v>
      </c>
      <c r="AT144" s="33">
        <f t="shared" si="32"/>
        <v>0.98</v>
      </c>
      <c r="AU144" s="38">
        <f>IF($C144="&lt;01","",SUM($AP144)-SUM($O144))</f>
        <v>0</v>
      </c>
      <c r="AV144" s="38">
        <f>IF($C144="&lt;01",ROUND(INDEX(EID!$N:$N,MATCH($B144,EID!$B:$B,0))/2,0),IF(SUM($AT144)=0,"",ROUND((SUM($AP144)-(SUM($O144)*SUM($AS144)))/$AT144,0)))</f>
        <v>3</v>
      </c>
      <c r="AW144" s="33">
        <f t="shared" si="42"/>
        <v>1</v>
      </c>
      <c r="AX144" s="218">
        <f>IF($C144="&lt;01",SUM($AV144),ROUND(SUM($AV144)*SUM($AW144),0))</f>
        <v>3</v>
      </c>
      <c r="AY144" s="79">
        <f t="shared" si="43"/>
        <v>0.7</v>
      </c>
      <c r="AZ144" s="85">
        <f>IF($C144="&lt;01",ROUND(INDEX(EID!$R:$R,MATCH($B144,EID!$B:$B,0))/2,0),ROUND(SUM($O144)+(SUM($AV144)*$AY144),0))</f>
        <v>165</v>
      </c>
      <c r="BA144" s="40">
        <f t="shared" si="31"/>
        <v>0.9</v>
      </c>
      <c r="BB144" s="99">
        <f>IF($C144="&lt;01",ROUND(INDEX(EID!$T:$T,MATCH($B144,EID!$B:$B,0))/2,0),ROUND($AP144*$BA144,0))</f>
        <v>147</v>
      </c>
      <c r="BC144" s="85">
        <f>IF(LEFT($B144,4)="_Mil","",IF(SUM($BB144)=0,SUM($AD144),IF(OR(SUM($AP144)=0,SUM($AQ144)=0),MAX($BB144,$AD144),ROUND($BB144*$AQ144/$AP144,0))))</f>
        <v>144</v>
      </c>
      <c r="BD144" s="33">
        <f t="shared" si="44"/>
        <v>0.95</v>
      </c>
      <c r="BE144" s="218">
        <f>IF($C144="&lt;01",ROUND(INDEX(EID!$V:$V,MATCH($B144,EID!$B:$B,0))/2,0),ROUND($BD144*$BB144,0))</f>
        <v>140</v>
      </c>
      <c r="BF144" s="218">
        <f>IF(LEFT($B144,4)="_Mil","",IF(SUM($BE144)=0,SUM($AF144),IF(OR(SUM($AP144)=0,SUM($AQ144)=0),MAX($BE144,$AF144),ROUND($BE144*$AQ144/$AP144,0))))</f>
        <v>137</v>
      </c>
      <c r="BG144" s="79">
        <f t="shared" si="45"/>
        <v>0.95</v>
      </c>
      <c r="BH144" s="99">
        <f>IF($C144="&lt;01",ROUND(INDEX(EID!$L:$L,MATCH($B144,EID!$B:$B,0)),0)/2,IF(SUM($BG144)=0,"",ROUND($AX144/$BG144,0)))</f>
        <v>3</v>
      </c>
    </row>
    <row r="145" spans="1:60" x14ac:dyDescent="0.2">
      <c r="A145" t="str">
        <f>INDEX(Prioritization!$D:$D,MATCH($B145,Prioritization!$A:$A,0))</f>
        <v>INVALID</v>
      </c>
      <c r="B145" t="s">
        <v>300</v>
      </c>
      <c r="C145" t="s">
        <v>474</v>
      </c>
      <c r="D145" t="s">
        <v>30</v>
      </c>
      <c r="E145" t="str">
        <f t="shared" si="35"/>
        <v>Kasungu District [JQKLKuVuY61]|10-14|Female</v>
      </c>
      <c r="F145" s="229">
        <v>228</v>
      </c>
      <c r="G145" s="38">
        <v>24</v>
      </c>
      <c r="H145" s="38">
        <v>9</v>
      </c>
      <c r="I145" s="38">
        <v>228</v>
      </c>
      <c r="J145" s="38">
        <v>175</v>
      </c>
      <c r="K145" s="38">
        <v>129</v>
      </c>
      <c r="L145" s="38">
        <v>28</v>
      </c>
      <c r="M145" s="38">
        <v>27</v>
      </c>
      <c r="N145" s="38">
        <v>239</v>
      </c>
      <c r="O145" s="229">
        <v>228</v>
      </c>
      <c r="P145" s="38">
        <v>200</v>
      </c>
      <c r="Q145" s="38">
        <v>191</v>
      </c>
      <c r="R145" s="38">
        <f t="shared" si="36"/>
        <v>0</v>
      </c>
      <c r="S145" s="38">
        <f>IF(LEFT($B145,4)="_Mil","",_xlfn.IFNA(ROUND(INDEX(Spectrum!$N:$N,MATCH(RIGHT($B145,13)&amp;"|"&amp;$C145&amp;"|"&amp;$D145&amp;"|"&amp;S$14&amp;"|"&amp;"CY2023Q4",Spectrum!$R:$R,0)),0),""))</f>
        <v>225</v>
      </c>
      <c r="T145" s="218">
        <f>IF(LEFT($B145,4)="_Mil","",_xlfn.IFNA(ROUND(INDEX(Spectrum!$N:$N,MATCH(RIGHT($B145,13)&amp;"|"&amp;$C145&amp;"|"&amp;$D145&amp;"|"&amp;T$14&amp;"|"&amp;"CY2024Q3",Spectrum!$R:$R,0)),0),""))</f>
        <v>70621</v>
      </c>
      <c r="U145" s="218">
        <f>IF(LEFT($B145,4)="_Mil","",_xlfn.IFNA(ROUND(INDEX(Spectrum!$N:$N,MATCH(RIGHT($B145,13)&amp;"|"&amp;$C145&amp;"|"&amp;$D145&amp;"|"&amp;U$14&amp;"|"&amp;"CY2024Q3",Spectrum!$R:$R,0)),0),""))</f>
        <v>281</v>
      </c>
      <c r="V145" s="38">
        <f>IF(LEFT($B145,4)="_Mil","",_xlfn.IFNA(ROUND(INDEX(Spectrum!$N:$N,MATCH(RIGHT($B145,13)&amp;"|"&amp;$C145&amp;"|"&amp;$D145&amp;"|"&amp;V$14&amp;"|"&amp;"CY2024Q3",Spectrum!$R:$R,0)),0),""))</f>
        <v>285</v>
      </c>
      <c r="W145" s="220">
        <f>IF(LEFT($B145,4)="_Mil","",_xlfn.IFNA(INDEX(Spectrum!$N:$N,MATCH(RIGHT($B145,13)&amp;"|"&amp;$C145&amp;"|"&amp;$D145&amp;"|"&amp;W$14&amp;"|"&amp;"CY2024Q3",Spectrum!$R:$R,0)),""))</f>
        <v>3.9751639999999998E-3</v>
      </c>
      <c r="X145" s="218">
        <f>IF(LEFT($B145,4)="_Mil","",_xlfn.IFNA(ROUND(INDEX(Spectrum!$N:$N,MATCH(RIGHT($B145,13)&amp;"|"&amp;$C145&amp;"|"&amp;$D145&amp;"|"&amp;X$14&amp;"|"&amp;"CY2024Q3",Spectrum!$R:$R,0)),0),""))</f>
        <v>227</v>
      </c>
      <c r="Y145" s="33">
        <f t="shared" si="37"/>
        <v>0.81</v>
      </c>
      <c r="Z145" s="218">
        <f>IF(LEFT($B145,4)="_Mil","",_xlfn.IFNA(ROUND(INDEX(Spectrum!$N:$N,MATCH(RIGHT($B145,13)&amp;"|"&amp;$C145&amp;"|"&amp;$D145&amp;"|"&amp;Z$14&amp;"|"&amp;"CY2024Q3",Spectrum!$R:$R,0)),0),""))</f>
        <v>220</v>
      </c>
      <c r="AA145" s="33">
        <f>IF(LEFT($B145,4)="_Mil","",IFERROR(1/(1/INDEX(Spectrum!$N:$N,MATCH(RIGHT($B145,13)&amp;"|"&amp;$C145&amp;"|"&amp;$D145&amp;"|"&amp;AA$14&amp;"|"&amp;"CY2024Q3",Spectrum!$R:$R,0))),IF(SUM($U145)=0,"",SUM($Z145)/$U145)))</f>
        <v>0.77635323300000003</v>
      </c>
      <c r="AB145" s="33">
        <f t="shared" si="38"/>
        <v>0.96916299559471364</v>
      </c>
      <c r="AC145" s="38">
        <f>IF(LEFT($B145,4)="_Mil","",_xlfn.IFNA(ROUND(INDEX(Spectrum!$N:$N,MATCH(RIGHT($B145,13)&amp;"|"&amp;$C145&amp;"|"&amp;$D145&amp;"|"&amp;AC$14&amp;"|"&amp;"CY2024Q3",Spectrum!$R:$R,0)),0),""))</f>
        <v>65</v>
      </c>
      <c r="AD145" s="38" t="str">
        <f>IF(LEFT($B145,4)="_Mil","",_xlfn.IFNA(ROUND(INDEX(Spectrum!$N:$N,MATCH(RIGHT($B145,13)&amp;"|"&amp;$C145&amp;"|"&amp;$D145&amp;"|"&amp;AD$14&amp;"|"&amp;"CY2024Q3",Spectrum!$R:$R,0)),0),""))</f>
        <v/>
      </c>
      <c r="AE145" s="33">
        <f t="shared" si="39"/>
        <v>0</v>
      </c>
      <c r="AF145" s="218" t="str">
        <f>IF(LEFT($B145,4)="_Mil","",_xlfn.IFNA(ROUND(INDEX(Spectrum!$N:$N,MATCH(RIGHT($B145,13)&amp;"|"&amp;$C145&amp;"|"&amp;$D145&amp;"|"&amp;AF$14&amp;"|"&amp;"CY2024Q3",Spectrum!$R:$R,0)),0),""))</f>
        <v/>
      </c>
      <c r="AG145" s="33" t="str">
        <f t="shared" si="40"/>
        <v/>
      </c>
      <c r="AH145" s="110" t="str">
        <f>IF(LEFT($B145,4)="_Mil","",_xlfn.IFNA(INDEX(Spectrum!$N:$N,MATCH(RIGHT($B145,13)&amp;"|"&amp;$C145&amp;"|"&amp;$D145&amp;"|"&amp;AH$14&amp;"|"&amp;"CY2024Q3",Spectrum!$R:$R,0)),""))</f>
        <v/>
      </c>
      <c r="AI145" s="218">
        <f>IF(LEFT($B145,4)="_Mil","",_xlfn.IFNA(ROUND(INDEX(Spectrum!$N:$N,MATCH(RIGHT($B145,13)&amp;"|"&amp;$C145&amp;"|"&amp;$D145&amp;"|"&amp;AI$14&amp;"|"&amp;"CY2025Q3",Spectrum!$R:$R,0)),0),""))</f>
        <v>0</v>
      </c>
      <c r="AJ145" s="38">
        <f>IF(LEFT($B145,4)="_Mil","",_xlfn.IFNA(ROUND(INDEX(Spectrum!$N:$N,MATCH(RIGHT($B145,13)&amp;"|"&amp;$C145&amp;"|"&amp;$D145&amp;"|"&amp;AJ$14&amp;"|"&amp;"CY2025Q3",Spectrum!$R:$R,0)),0),""))</f>
        <v>251</v>
      </c>
      <c r="AK145" s="218" t="e">
        <f>#REF!</f>
        <v>#REF!</v>
      </c>
      <c r="AL145" s="33">
        <f t="shared" si="41"/>
        <v>0.9</v>
      </c>
      <c r="AM145" s="38" t="e">
        <f>IF(OR(LEFT($B145,4)="_Mil",$C145="&lt;01"),"",ROUND(SUM($AK145)*SUM($AL145),0))</f>
        <v>#REF!</v>
      </c>
      <c r="AN145" s="38" t="str">
        <f>IF($C145="&lt;01",ROUND(INDEX(EID!$P:$P,MATCH($B145,EID!$B:$B,0))/2,0),"")</f>
        <v/>
      </c>
      <c r="AO145" s="38" t="e">
        <f>IF($C145="&lt;01",SUM($AN145),ROUND(SUM($AM145)*SUM($O145)/IF(SUM($Z145)=0,1,$Z145),0))</f>
        <v>#REF!</v>
      </c>
      <c r="AP145" s="218">
        <f>IF(OR($F145="",$C145="&lt;01"),$AO145,ROUND($F145,0))</f>
        <v>228</v>
      </c>
      <c r="AQ145" s="218">
        <f>IF(LEFT($B145,4)="_Mil","",IF(SUM($AP145)=0,SUM($Z145),IF(OR(SUM($Z145)=0,SUM($O145)=0),MAX($AP145,$Z145),ROUND($AP145*$Z145/$O145,0))))</f>
        <v>220</v>
      </c>
      <c r="AR145" s="33" t="e">
        <f>IF(OR(LEFT($B145,4)="_Mil",SUM($AK145)=0),"",SUM($AQ145)/$AK145)</f>
        <v>#REF!</v>
      </c>
      <c r="AS145" s="33">
        <f>IF($C145="&lt;01","",90%)</f>
        <v>0.9</v>
      </c>
      <c r="AT145" s="33">
        <f t="shared" si="32"/>
        <v>0.98</v>
      </c>
      <c r="AU145" s="38">
        <f>IF($C145="&lt;01","",SUM($AP145)-SUM($O145))</f>
        <v>0</v>
      </c>
      <c r="AV145" s="38">
        <f>IF($C145="&lt;01",ROUND(INDEX(EID!$N:$N,MATCH($B145,EID!$B:$B,0))/2,0),IF(SUM($AT145)=0,"",ROUND((SUM($AP145)-(SUM($O145)*SUM($AS145)))/$AT145,0)))</f>
        <v>23</v>
      </c>
      <c r="AW145" s="33">
        <f t="shared" si="42"/>
        <v>1</v>
      </c>
      <c r="AX145" s="218">
        <f>IF($C145="&lt;01",SUM($AV145),ROUND(SUM($AV145)*SUM($AW145),0))</f>
        <v>23</v>
      </c>
      <c r="AY145" s="79">
        <f t="shared" si="43"/>
        <v>0.7</v>
      </c>
      <c r="AZ145" s="85">
        <f>IF($C145="&lt;01",ROUND(INDEX(EID!$R:$R,MATCH($B145,EID!$B:$B,0))/2,0),ROUND(SUM($O145)+(SUM($AV145)*$AY145),0))</f>
        <v>244</v>
      </c>
      <c r="BA145" s="40">
        <f t="shared" si="31"/>
        <v>0.9</v>
      </c>
      <c r="BB145" s="99">
        <f>IF($C145="&lt;01",ROUND(INDEX(EID!$T:$T,MATCH($B145,EID!$B:$B,0))/2,0),ROUND($AP145*$BA145,0))</f>
        <v>205</v>
      </c>
      <c r="BC145" s="85">
        <f>IF(LEFT($B145,4)="_Mil","",IF(SUM($BB145)=0,SUM($AD145),IF(OR(SUM($AP145)=0,SUM($AQ145)=0),MAX($BB145,$AD145),ROUND($BB145*$AQ145/$AP145,0))))</f>
        <v>198</v>
      </c>
      <c r="BD145" s="33">
        <f t="shared" si="44"/>
        <v>0.95</v>
      </c>
      <c r="BE145" s="218">
        <f>IF($C145="&lt;01",ROUND(INDEX(EID!$V:$V,MATCH($B145,EID!$B:$B,0))/2,0),ROUND($BD145*$BB145,0))</f>
        <v>195</v>
      </c>
      <c r="BF145" s="218">
        <f>IF(LEFT($B145,4)="_Mil","",IF(SUM($BE145)=0,SUM($AF145),IF(OR(SUM($AP145)=0,SUM($AQ145)=0),MAX($BE145,$AF145),ROUND($BE145*$AQ145/$AP145,0))))</f>
        <v>188</v>
      </c>
      <c r="BG145" s="79">
        <f t="shared" si="45"/>
        <v>0.95</v>
      </c>
      <c r="BH145" s="99">
        <f>IF($C145="&lt;01",ROUND(INDEX(EID!$L:$L,MATCH($B145,EID!$B:$B,0)),0)/2,IF(SUM($BG145)=0,"",ROUND($AX145/$BG145,0)))</f>
        <v>24</v>
      </c>
    </row>
    <row r="146" spans="1:60" x14ac:dyDescent="0.2">
      <c r="A146" t="str">
        <f>INDEX(Prioritization!$D:$D,MATCH($B146,Prioritization!$A:$A,0))</f>
        <v>INVALID</v>
      </c>
      <c r="B146" t="s">
        <v>300</v>
      </c>
      <c r="C146" t="s">
        <v>474</v>
      </c>
      <c r="D146" t="s">
        <v>48</v>
      </c>
      <c r="E146" t="str">
        <f t="shared" si="35"/>
        <v>Kasungu District [JQKLKuVuY61]|10-14|Male</v>
      </c>
      <c r="F146" s="229">
        <v>216</v>
      </c>
      <c r="G146" s="38">
        <v>15</v>
      </c>
      <c r="H146" s="38">
        <v>9</v>
      </c>
      <c r="I146" s="38">
        <v>216</v>
      </c>
      <c r="J146" s="38">
        <v>132</v>
      </c>
      <c r="K146" s="38">
        <v>105</v>
      </c>
      <c r="L146" s="38">
        <v>29</v>
      </c>
      <c r="M146" s="38">
        <v>28</v>
      </c>
      <c r="N146" s="38">
        <v>239</v>
      </c>
      <c r="O146" s="229">
        <v>216</v>
      </c>
      <c r="P146" s="38">
        <v>200</v>
      </c>
      <c r="Q146" s="38">
        <v>191</v>
      </c>
      <c r="R146" s="38">
        <f t="shared" si="36"/>
        <v>0</v>
      </c>
      <c r="S146" s="38">
        <f>IF(LEFT($B146,4)="_Mil","",_xlfn.IFNA(ROUND(INDEX(Spectrum!$N:$N,MATCH(RIGHT($B146,13)&amp;"|"&amp;$C146&amp;"|"&amp;$D146&amp;"|"&amp;S$14&amp;"|"&amp;"CY2023Q4",Spectrum!$R:$R,0)),0),""))</f>
        <v>222</v>
      </c>
      <c r="T146" s="218">
        <f>IF(LEFT($B146,4)="_Mil","",_xlfn.IFNA(ROUND(INDEX(Spectrum!$N:$N,MATCH(RIGHT($B146,13)&amp;"|"&amp;$C146&amp;"|"&amp;$D146&amp;"|"&amp;T$14&amp;"|"&amp;"CY2024Q3",Spectrum!$R:$R,0)),0),""))</f>
        <v>69604</v>
      </c>
      <c r="U146" s="218">
        <f>IF(LEFT($B146,4)="_Mil","",_xlfn.IFNA(ROUND(INDEX(Spectrum!$N:$N,MATCH(RIGHT($B146,13)&amp;"|"&amp;$C146&amp;"|"&amp;$D146&amp;"|"&amp;U$14&amp;"|"&amp;"CY2024Q3",Spectrum!$R:$R,0)),0),""))</f>
        <v>278</v>
      </c>
      <c r="V146" s="38">
        <f>IF(LEFT($B146,4)="_Mil","",_xlfn.IFNA(ROUND(INDEX(Spectrum!$N:$N,MATCH(RIGHT($B146,13)&amp;"|"&amp;$C146&amp;"|"&amp;$D146&amp;"|"&amp;V$14&amp;"|"&amp;"CY2024Q3",Spectrum!$R:$R,0)),0),""))</f>
        <v>282</v>
      </c>
      <c r="W146" s="220">
        <f>IF(LEFT($B146,4)="_Mil","",_xlfn.IFNA(INDEX(Spectrum!$N:$N,MATCH(RIGHT($B146,13)&amp;"|"&amp;$C146&amp;"|"&amp;$D146&amp;"|"&amp;W$14&amp;"|"&amp;"CY2024Q3",Spectrum!$R:$R,0)),""))</f>
        <v>3.9889590000000003E-3</v>
      </c>
      <c r="X146" s="218">
        <f>IF(LEFT($B146,4)="_Mil","",_xlfn.IFNA(ROUND(INDEX(Spectrum!$N:$N,MATCH(RIGHT($B146,13)&amp;"|"&amp;$C146&amp;"|"&amp;$D146&amp;"|"&amp;X$14&amp;"|"&amp;"CY2024Q3",Spectrum!$R:$R,0)),0),""))</f>
        <v>224</v>
      </c>
      <c r="Y146" s="33">
        <f t="shared" si="37"/>
        <v>0.81</v>
      </c>
      <c r="Z146" s="218">
        <f>IF(LEFT($B146,4)="_Mil","",_xlfn.IFNA(ROUND(INDEX(Spectrum!$N:$N,MATCH(RIGHT($B146,13)&amp;"|"&amp;$C146&amp;"|"&amp;$D146&amp;"|"&amp;Z$14&amp;"|"&amp;"CY2024Q3",Spectrum!$R:$R,0)),0),""))</f>
        <v>217</v>
      </c>
      <c r="AA146" s="33">
        <f>IF(LEFT($B146,4)="_Mil","",IFERROR(1/(1/INDEX(Spectrum!$N:$N,MATCH(RIGHT($B146,13)&amp;"|"&amp;$C146&amp;"|"&amp;$D146&amp;"|"&amp;AA$14&amp;"|"&amp;"CY2024Q3",Spectrum!$R:$R,0))),IF(SUM($U146)=0,"",SUM($Z146)/$U146)))</f>
        <v>0.77620868499999995</v>
      </c>
      <c r="AB146" s="33">
        <f t="shared" si="38"/>
        <v>0.96875</v>
      </c>
      <c r="AC146" s="38">
        <f>IF(LEFT($B146,4)="_Mil","",_xlfn.IFNA(ROUND(INDEX(Spectrum!$N:$N,MATCH(RIGHT($B146,13)&amp;"|"&amp;$C146&amp;"|"&amp;$D146&amp;"|"&amp;AC$14&amp;"|"&amp;"CY2024Q3",Spectrum!$R:$R,0)),0),""))</f>
        <v>65</v>
      </c>
      <c r="AD146" s="38" t="str">
        <f>IF(LEFT($B146,4)="_Mil","",_xlfn.IFNA(ROUND(INDEX(Spectrum!$N:$N,MATCH(RIGHT($B146,13)&amp;"|"&amp;$C146&amp;"|"&amp;$D146&amp;"|"&amp;AD$14&amp;"|"&amp;"CY2024Q3",Spectrum!$R:$R,0)),0),""))</f>
        <v/>
      </c>
      <c r="AE146" s="33">
        <f t="shared" si="39"/>
        <v>0</v>
      </c>
      <c r="AF146" s="218" t="str">
        <f>IF(LEFT($B146,4)="_Mil","",_xlfn.IFNA(ROUND(INDEX(Spectrum!$N:$N,MATCH(RIGHT($B146,13)&amp;"|"&amp;$C146&amp;"|"&amp;$D146&amp;"|"&amp;AF$14&amp;"|"&amp;"CY2024Q3",Spectrum!$R:$R,0)),0),""))</f>
        <v/>
      </c>
      <c r="AG146" s="33" t="str">
        <f t="shared" si="40"/>
        <v/>
      </c>
      <c r="AH146" s="110" t="str">
        <f>IF(LEFT($B146,4)="_Mil","",_xlfn.IFNA(INDEX(Spectrum!$N:$N,MATCH(RIGHT($B146,13)&amp;"|"&amp;$C146&amp;"|"&amp;$D146&amp;"|"&amp;AH$14&amp;"|"&amp;"CY2024Q3",Spectrum!$R:$R,0)),""))</f>
        <v/>
      </c>
      <c r="AI146" s="218">
        <f>IF(LEFT($B146,4)="_Mil","",_xlfn.IFNA(ROUND(INDEX(Spectrum!$N:$N,MATCH(RIGHT($B146,13)&amp;"|"&amp;$C146&amp;"|"&amp;$D146&amp;"|"&amp;AI$14&amp;"|"&amp;"CY2025Q3",Spectrum!$R:$R,0)),0),""))</f>
        <v>0</v>
      </c>
      <c r="AJ146" s="38">
        <f>IF(LEFT($B146,4)="_Mil","",_xlfn.IFNA(ROUND(INDEX(Spectrum!$N:$N,MATCH(RIGHT($B146,13)&amp;"|"&amp;$C146&amp;"|"&amp;$D146&amp;"|"&amp;AJ$14&amp;"|"&amp;"CY2025Q3",Spectrum!$R:$R,0)),0),""))</f>
        <v>248</v>
      </c>
      <c r="AK146" s="218" t="e">
        <f>#REF!</f>
        <v>#REF!</v>
      </c>
      <c r="AL146" s="33">
        <f t="shared" si="41"/>
        <v>0.9</v>
      </c>
      <c r="AM146" s="38" t="e">
        <f>IF(OR(LEFT($B146,4)="_Mil",$C146="&lt;01"),"",ROUND(SUM($AK146)*SUM($AL146),0))</f>
        <v>#REF!</v>
      </c>
      <c r="AN146" s="38" t="str">
        <f>IF($C146="&lt;01",ROUND(INDEX(EID!$P:$P,MATCH($B146,EID!$B:$B,0))/2,0),"")</f>
        <v/>
      </c>
      <c r="AO146" s="38" t="e">
        <f>IF($C146="&lt;01",SUM($AN146),ROUND(SUM($AM146)*SUM($O146)/IF(SUM($Z146)=0,1,$Z146),0))</f>
        <v>#REF!</v>
      </c>
      <c r="AP146" s="218">
        <f>IF(OR($F146="",$C146="&lt;01"),$AO146,ROUND($F146,0))</f>
        <v>216</v>
      </c>
      <c r="AQ146" s="218">
        <f>IF(LEFT($B146,4)="_Mil","",IF(SUM($AP146)=0,SUM($Z146),IF(OR(SUM($Z146)=0,SUM($O146)=0),MAX($AP146,$Z146),ROUND($AP146*$Z146/$O146,0))))</f>
        <v>217</v>
      </c>
      <c r="AR146" s="33" t="e">
        <f>IF(OR(LEFT($B146,4)="_Mil",SUM($AK146)=0),"",SUM($AQ146)/$AK146)</f>
        <v>#REF!</v>
      </c>
      <c r="AS146" s="33">
        <f t="shared" si="34"/>
        <v>0.98</v>
      </c>
      <c r="AT146" s="33">
        <f t="shared" si="32"/>
        <v>0.98</v>
      </c>
      <c r="AU146" s="38">
        <f>IF($C146="&lt;01","",SUM($AP146)-SUM($O146))</f>
        <v>0</v>
      </c>
      <c r="AV146" s="38">
        <f>IF($C146="&lt;01",ROUND(INDEX(EID!$N:$N,MATCH($B146,EID!$B:$B,0))/2,0),IF(SUM($AT146)=0,"",ROUND((SUM($AP146)-(SUM($O146)*SUM($AS146)))/$AT146,0)))</f>
        <v>4</v>
      </c>
      <c r="AW146" s="33">
        <f t="shared" si="42"/>
        <v>1</v>
      </c>
      <c r="AX146" s="218">
        <f>IF($C146="&lt;01",SUM($AV146),ROUND(SUM($AV146)*SUM($AW146),0))</f>
        <v>4</v>
      </c>
      <c r="AY146" s="79">
        <f t="shared" si="43"/>
        <v>0.7</v>
      </c>
      <c r="AZ146" s="85">
        <f>IF($C146="&lt;01",ROUND(INDEX(EID!$R:$R,MATCH($B146,EID!$B:$B,0))/2,0),ROUND(SUM($O146)+(SUM($AV146)*$AY146),0))</f>
        <v>219</v>
      </c>
      <c r="BA146" s="40">
        <f t="shared" si="31"/>
        <v>0.9</v>
      </c>
      <c r="BB146" s="99">
        <f>IF($C146="&lt;01",ROUND(INDEX(EID!$T:$T,MATCH($B146,EID!$B:$B,0))/2,0),ROUND($AP146*$BA146,0))</f>
        <v>194</v>
      </c>
      <c r="BC146" s="85">
        <f>IF(LEFT($B146,4)="_Mil","",IF(SUM($BB146)=0,SUM($AD146),IF(OR(SUM($AP146)=0,SUM($AQ146)=0),MAX($BB146,$AD146),ROUND($BB146*$AQ146/$AP146,0))))</f>
        <v>195</v>
      </c>
      <c r="BD146" s="33">
        <f t="shared" si="44"/>
        <v>0.95</v>
      </c>
      <c r="BE146" s="218">
        <f>IF($C146="&lt;01",ROUND(INDEX(EID!$V:$V,MATCH($B146,EID!$B:$B,0))/2,0),ROUND($BD146*$BB146,0))</f>
        <v>184</v>
      </c>
      <c r="BF146" s="218">
        <f>IF(LEFT($B146,4)="_Mil","",IF(SUM($BE146)=0,SUM($AF146),IF(OR(SUM($AP146)=0,SUM($AQ146)=0),MAX($BE146,$AF146),ROUND($BE146*$AQ146/$AP146,0))))</f>
        <v>185</v>
      </c>
      <c r="BG146" s="79">
        <f t="shared" si="45"/>
        <v>0.95</v>
      </c>
      <c r="BH146" s="99">
        <f>IF($C146="&lt;01",ROUND(INDEX(EID!$L:$L,MATCH($B146,EID!$B:$B,0)),0)/2,IF(SUM($BG146)=0,"",ROUND($AX146/$BG146,0)))</f>
        <v>4</v>
      </c>
    </row>
    <row r="147" spans="1:60" x14ac:dyDescent="0.2">
      <c r="A147" t="str">
        <f>INDEX(Prioritization!$D:$D,MATCH($B147,Prioritization!$A:$A,0))</f>
        <v>INVALID</v>
      </c>
      <c r="B147" t="s">
        <v>300</v>
      </c>
      <c r="C147" t="s">
        <v>475</v>
      </c>
      <c r="D147" t="s">
        <v>30</v>
      </c>
      <c r="E147" t="str">
        <f t="shared" si="35"/>
        <v>Kasungu District [JQKLKuVuY61]|15-24|Female</v>
      </c>
      <c r="F147" s="229">
        <v>842</v>
      </c>
      <c r="G147" s="38">
        <v>254</v>
      </c>
      <c r="H147" s="38">
        <v>243</v>
      </c>
      <c r="I147" s="38">
        <v>842</v>
      </c>
      <c r="J147" s="38">
        <v>559</v>
      </c>
      <c r="K147" s="38">
        <v>497</v>
      </c>
      <c r="L147" s="38">
        <v>77</v>
      </c>
      <c r="M147" s="38">
        <v>75</v>
      </c>
      <c r="N147" s="38">
        <v>857</v>
      </c>
      <c r="O147" s="229">
        <v>842</v>
      </c>
      <c r="P147" s="38">
        <v>785</v>
      </c>
      <c r="Q147" s="38">
        <v>747</v>
      </c>
      <c r="R147" s="38">
        <f t="shared" si="36"/>
        <v>0</v>
      </c>
      <c r="S147" s="38">
        <f>IF(LEFT($B147,4)="_Mil","",_xlfn.IFNA(ROUND(INDEX(Spectrum!$N:$N,MATCH(RIGHT($B147,13)&amp;"|"&amp;$C147&amp;"|"&amp;$D147&amp;"|"&amp;S$14&amp;"|"&amp;"CY2023Q4",Spectrum!$R:$R,0)),0),""))</f>
        <v>889</v>
      </c>
      <c r="T147" s="218">
        <f>IF(LEFT($B147,4)="_Mil","",_xlfn.IFNA(ROUND(INDEX(Spectrum!$N:$N,MATCH(RIGHT($B147,13)&amp;"|"&amp;$C147&amp;"|"&amp;$D147&amp;"|"&amp;T$14&amp;"|"&amp;"CY2024Q3",Spectrum!$R:$R,0)),0),""))</f>
        <v>112549</v>
      </c>
      <c r="U147" s="218">
        <f>IF(LEFT($B147,4)="_Mil","",_xlfn.IFNA(ROUND(INDEX(Spectrum!$N:$N,MATCH(RIGHT($B147,13)&amp;"|"&amp;$C147&amp;"|"&amp;$D147&amp;"|"&amp;U$14&amp;"|"&amp;"CY2024Q3",Spectrum!$R:$R,0)),0),""))</f>
        <v>918</v>
      </c>
      <c r="V147" s="38">
        <f>IF(LEFT($B147,4)="_Mil","",_xlfn.IFNA(ROUND(INDEX(Spectrum!$N:$N,MATCH(RIGHT($B147,13)&amp;"|"&amp;$C147&amp;"|"&amp;$D147&amp;"|"&amp;V$14&amp;"|"&amp;"CY2024Q3",Spectrum!$R:$R,0)),0),""))</f>
        <v>939</v>
      </c>
      <c r="W147" s="220">
        <f>IF(LEFT($B147,4)="_Mil","",_xlfn.IFNA(INDEX(Spectrum!$N:$N,MATCH(RIGHT($B147,13)&amp;"|"&amp;$C147&amp;"|"&amp;$D147&amp;"|"&amp;W$14&amp;"|"&amp;"CY2024Q3",Spectrum!$R:$R,0)),""))</f>
        <v>8.1581850000000001E-3</v>
      </c>
      <c r="X147" s="218">
        <f>IF(LEFT($B147,4)="_Mil","",_xlfn.IFNA(ROUND(INDEX(Spectrum!$N:$N,MATCH(RIGHT($B147,13)&amp;"|"&amp;$C147&amp;"|"&amp;$D147&amp;"|"&amp;X$14&amp;"|"&amp;"CY2024Q3",Spectrum!$R:$R,0)),0),""))</f>
        <v>861</v>
      </c>
      <c r="Y147" s="33">
        <f t="shared" si="37"/>
        <v>0.94</v>
      </c>
      <c r="Z147" s="218">
        <f>IF(LEFT($B147,4)="_Mil","",_xlfn.IFNA(ROUND(INDEX(Spectrum!$N:$N,MATCH(RIGHT($B147,13)&amp;"|"&amp;$C147&amp;"|"&amp;$D147&amp;"|"&amp;Z$14&amp;"|"&amp;"CY2024Q3",Spectrum!$R:$R,0)),0),""))</f>
        <v>880</v>
      </c>
      <c r="AA147" s="33">
        <f>IF(LEFT($B147,4)="_Mil","",IFERROR(1/(1/INDEX(Spectrum!$N:$N,MATCH(RIGHT($B147,13)&amp;"|"&amp;$C147&amp;"|"&amp;$D147&amp;"|"&amp;AA$14&amp;"|"&amp;"CY2024Q3",Spectrum!$R:$R,0))),IF(SUM($U147)=0,"",SUM($Z147)/$U147)))</f>
        <v>0.93796064999999995</v>
      </c>
      <c r="AB147" s="33">
        <f t="shared" si="38"/>
        <v>1.0220673635307782</v>
      </c>
      <c r="AC147" s="38">
        <f>IF(LEFT($B147,4)="_Mil","",_xlfn.IFNA(ROUND(INDEX(Spectrum!$N:$N,MATCH(RIGHT($B147,13)&amp;"|"&amp;$C147&amp;"|"&amp;$D147&amp;"|"&amp;AC$14&amp;"|"&amp;"CY2024Q3",Spectrum!$R:$R,0)),0),""))</f>
        <v>59</v>
      </c>
      <c r="AD147" s="38" t="str">
        <f>IF(LEFT($B147,4)="_Mil","",_xlfn.IFNA(ROUND(INDEX(Spectrum!$N:$N,MATCH(RIGHT($B147,13)&amp;"|"&amp;$C147&amp;"|"&amp;$D147&amp;"|"&amp;AD$14&amp;"|"&amp;"CY2024Q3",Spectrum!$R:$R,0)),0),""))</f>
        <v/>
      </c>
      <c r="AE147" s="33">
        <f t="shared" si="39"/>
        <v>0</v>
      </c>
      <c r="AF147" s="218" t="str">
        <f>IF(LEFT($B147,4)="_Mil","",_xlfn.IFNA(ROUND(INDEX(Spectrum!$N:$N,MATCH(RIGHT($B147,13)&amp;"|"&amp;$C147&amp;"|"&amp;$D147&amp;"|"&amp;AF$14&amp;"|"&amp;"CY2024Q3",Spectrum!$R:$R,0)),0),""))</f>
        <v/>
      </c>
      <c r="AG147" s="33" t="str">
        <f t="shared" si="40"/>
        <v/>
      </c>
      <c r="AH147" s="110" t="str">
        <f>IF(LEFT($B147,4)="_Mil","",_xlfn.IFNA(INDEX(Spectrum!$N:$N,MATCH(RIGHT($B147,13)&amp;"|"&amp;$C147&amp;"|"&amp;$D147&amp;"|"&amp;AH$14&amp;"|"&amp;"CY2024Q3",Spectrum!$R:$R,0)),""))</f>
        <v/>
      </c>
      <c r="AI147" s="218">
        <f>IF(LEFT($B147,4)="_Mil","",_xlfn.IFNA(ROUND(INDEX(Spectrum!$N:$N,MATCH(RIGHT($B147,13)&amp;"|"&amp;$C147&amp;"|"&amp;$D147&amp;"|"&amp;AI$14&amp;"|"&amp;"CY2025Q3",Spectrum!$R:$R,0)),0),""))</f>
        <v>55</v>
      </c>
      <c r="AJ147" s="38">
        <f>IF(LEFT($B147,4)="_Mil","",_xlfn.IFNA(ROUND(INDEX(Spectrum!$N:$N,MATCH(RIGHT($B147,13)&amp;"|"&amp;$C147&amp;"|"&amp;$D147&amp;"|"&amp;AJ$14&amp;"|"&amp;"CY2025Q3",Spectrum!$R:$R,0)),0),""))</f>
        <v>903</v>
      </c>
      <c r="AK147" s="218" t="e">
        <f>#REF!</f>
        <v>#REF!</v>
      </c>
      <c r="AL147" s="33">
        <f t="shared" si="41"/>
        <v>0.93796064999999995</v>
      </c>
      <c r="AM147" s="38" t="e">
        <f>IF(OR(LEFT($B147,4)="_Mil",$C147="&lt;01"),"",ROUND(SUM($AK147)*SUM($AL147),0))</f>
        <v>#REF!</v>
      </c>
      <c r="AN147" s="38" t="str">
        <f>IF($C147="&lt;01",ROUND(INDEX(EID!$P:$P,MATCH($B147,EID!$B:$B,0))/2,0),"")</f>
        <v/>
      </c>
      <c r="AO147" s="38" t="e">
        <f>IF($C147="&lt;01",SUM($AN147),ROUND(SUM($AM147)*SUM($O147)/IF(SUM($Z147)=0,1,$Z147),0))</f>
        <v>#REF!</v>
      </c>
      <c r="AP147" s="218">
        <f>IF(OR($F147="",$C147="&lt;01"),$AO147,ROUND($F147,0))</f>
        <v>842</v>
      </c>
      <c r="AQ147" s="218">
        <f>IF(LEFT($B147,4)="_Mil","",IF(SUM($AP147)=0,SUM($Z147),IF(OR(SUM($Z147)=0,SUM($O147)=0),MAX($AP147,$Z147),ROUND($AP147*$Z147/$O147,0))))</f>
        <v>880</v>
      </c>
      <c r="AR147" s="33" t="e">
        <f>IF(OR(LEFT($B147,4)="_Mil",SUM($AK147)=0),"",SUM($AQ147)/$AK147)</f>
        <v>#REF!</v>
      </c>
      <c r="AS147" s="33">
        <f>IF($C147="&lt;01","",90%)</f>
        <v>0.9</v>
      </c>
      <c r="AT147" s="33">
        <f>IF($C147="&lt;01","",90%)</f>
        <v>0.9</v>
      </c>
      <c r="AU147" s="38">
        <f>IF($C147="&lt;01","",SUM($AP147)-SUM($O147))</f>
        <v>0</v>
      </c>
      <c r="AV147" s="38">
        <f>IF($C147="&lt;01",ROUND(INDEX(EID!$N:$N,MATCH($B147,EID!$B:$B,0))/2,0),IF(SUM($AT147)=0,"",ROUND((SUM($AP147)-(SUM($O147)*SUM($AS147)))/$AT147,0)))</f>
        <v>94</v>
      </c>
      <c r="AW147" s="33">
        <f t="shared" si="42"/>
        <v>1</v>
      </c>
      <c r="AX147" s="218">
        <f>IF($C147="&lt;01",SUM($AV147),ROUND(SUM($AV147)*SUM($AW147),0))</f>
        <v>94</v>
      </c>
      <c r="AY147" s="79">
        <f t="shared" si="43"/>
        <v>0.7</v>
      </c>
      <c r="AZ147" s="85">
        <f>IF($C147="&lt;01",ROUND(INDEX(EID!$R:$R,MATCH($B147,EID!$B:$B,0))/2,0),ROUND(SUM($O147)+(SUM($AV147)*$AY147),0))</f>
        <v>908</v>
      </c>
      <c r="BA147" s="40">
        <f t="shared" si="31"/>
        <v>0.9</v>
      </c>
      <c r="BB147" s="99">
        <f>IF($C147="&lt;01",ROUND(INDEX(EID!$T:$T,MATCH($B147,EID!$B:$B,0))/2,0),ROUND($AP147*$BA147,0))</f>
        <v>758</v>
      </c>
      <c r="BC147" s="85">
        <f>IF(LEFT($B147,4)="_Mil","",IF(SUM($BB147)=0,SUM($AD147),IF(OR(SUM($AP147)=0,SUM($AQ147)=0),MAX($BB147,$AD147),ROUND($BB147*$AQ147/$AP147,0))))</f>
        <v>792</v>
      </c>
      <c r="BD147" s="33">
        <f t="shared" si="44"/>
        <v>0.95</v>
      </c>
      <c r="BE147" s="218">
        <f>IF($C147="&lt;01",ROUND(INDEX(EID!$V:$V,MATCH($B147,EID!$B:$B,0))/2,0),ROUND($BD147*$BB147,0))</f>
        <v>720</v>
      </c>
      <c r="BF147" s="218">
        <f>IF(LEFT($B147,4)="_Mil","",IF(SUM($BE147)=0,SUM($AF147),IF(OR(SUM($AP147)=0,SUM($AQ147)=0),MAX($BE147,$AF147),ROUND($BE147*$AQ147/$AP147,0))))</f>
        <v>752</v>
      </c>
      <c r="BG147" s="79">
        <f t="shared" si="45"/>
        <v>0.95</v>
      </c>
      <c r="BH147" s="99">
        <f>IF($C147="&lt;01",ROUND(INDEX(EID!$L:$L,MATCH($B147,EID!$B:$B,0)),0)/2,IF(SUM($BG147)=0,"",ROUND($AX147/$BG147,0)))</f>
        <v>99</v>
      </c>
    </row>
    <row r="148" spans="1:60" x14ac:dyDescent="0.2">
      <c r="A148" t="str">
        <f>INDEX(Prioritization!$D:$D,MATCH($B148,Prioritization!$A:$A,0))</f>
        <v>INVALID</v>
      </c>
      <c r="B148" t="s">
        <v>300</v>
      </c>
      <c r="C148" t="s">
        <v>475</v>
      </c>
      <c r="D148" t="s">
        <v>48</v>
      </c>
      <c r="E148" t="str">
        <f t="shared" si="35"/>
        <v>Kasungu District [JQKLKuVuY61]|15-24|Male</v>
      </c>
      <c r="F148" s="229">
        <v>523</v>
      </c>
      <c r="G148" s="38">
        <v>61</v>
      </c>
      <c r="H148" s="38">
        <v>47</v>
      </c>
      <c r="I148" s="38">
        <v>407</v>
      </c>
      <c r="J148" s="38">
        <v>271</v>
      </c>
      <c r="K148" s="38">
        <v>225</v>
      </c>
      <c r="L148" s="38">
        <v>101</v>
      </c>
      <c r="M148" s="38">
        <v>96</v>
      </c>
      <c r="N148" s="38">
        <v>675</v>
      </c>
      <c r="O148" s="229">
        <v>515</v>
      </c>
      <c r="P148" s="38">
        <v>591</v>
      </c>
      <c r="Q148" s="38">
        <v>561</v>
      </c>
      <c r="R148" s="38">
        <f t="shared" si="36"/>
        <v>108</v>
      </c>
      <c r="S148" s="38">
        <f>IF(LEFT($B148,4)="_Mil","",_xlfn.IFNA(ROUND(INDEX(Spectrum!$N:$N,MATCH(RIGHT($B148,13)&amp;"|"&amp;$C148&amp;"|"&amp;$D148&amp;"|"&amp;S$14&amp;"|"&amp;"CY2023Q4",Spectrum!$R:$R,0)),0),""))</f>
        <v>606</v>
      </c>
      <c r="T148" s="218">
        <f>IF(LEFT($B148,4)="_Mil","",_xlfn.IFNA(ROUND(INDEX(Spectrum!$N:$N,MATCH(RIGHT($B148,13)&amp;"|"&amp;$C148&amp;"|"&amp;$D148&amp;"|"&amp;T$14&amp;"|"&amp;"CY2024Q3",Spectrum!$R:$R,0)),0),""))</f>
        <v>114291</v>
      </c>
      <c r="U148" s="218">
        <f>IF(LEFT($B148,4)="_Mil","",_xlfn.IFNA(ROUND(INDEX(Spectrum!$N:$N,MATCH(RIGHT($B148,13)&amp;"|"&amp;$C148&amp;"|"&amp;$D148&amp;"|"&amp;U$14&amp;"|"&amp;"CY2024Q3",Spectrum!$R:$R,0)),0),""))</f>
        <v>673</v>
      </c>
      <c r="V148" s="38">
        <f>IF(LEFT($B148,4)="_Mil","",_xlfn.IFNA(ROUND(INDEX(Spectrum!$N:$N,MATCH(RIGHT($B148,13)&amp;"|"&amp;$C148&amp;"|"&amp;$D148&amp;"|"&amp;V$14&amp;"|"&amp;"CY2024Q3",Spectrum!$R:$R,0)),0),""))</f>
        <v>687</v>
      </c>
      <c r="W148" s="220">
        <f>IF(LEFT($B148,4)="_Mil","",_xlfn.IFNA(INDEX(Spectrum!$N:$N,MATCH(RIGHT($B148,13)&amp;"|"&amp;$C148&amp;"|"&amp;$D148&amp;"|"&amp;W$14&amp;"|"&amp;"CY2024Q3",Spectrum!$R:$R,0)),""))</f>
        <v>5.8870570000000002E-3</v>
      </c>
      <c r="X148" s="218">
        <f>IF(LEFT($B148,4)="_Mil","",_xlfn.IFNA(ROUND(INDEX(Spectrum!$N:$N,MATCH(RIGHT($B148,13)&amp;"|"&amp;$C148&amp;"|"&amp;$D148&amp;"|"&amp;X$14&amp;"|"&amp;"CY2024Q3",Spectrum!$R:$R,0)),0),""))</f>
        <v>613</v>
      </c>
      <c r="Y148" s="33">
        <f t="shared" si="37"/>
        <v>0.91</v>
      </c>
      <c r="Z148" s="218">
        <f>IF(LEFT($B148,4)="_Mil","",_xlfn.IFNA(ROUND(INDEX(Spectrum!$N:$N,MATCH(RIGHT($B148,13)&amp;"|"&amp;$C148&amp;"|"&amp;$D148&amp;"|"&amp;Z$14&amp;"|"&amp;"CY2024Q3",Spectrum!$R:$R,0)),0),""))</f>
        <v>623</v>
      </c>
      <c r="AA148" s="33">
        <f>IF(LEFT($B148,4)="_Mil","",IFERROR(1/(1/INDEX(Spectrum!$N:$N,MATCH(RIGHT($B148,13)&amp;"|"&amp;$C148&amp;"|"&amp;$D148&amp;"|"&amp;AA$14&amp;"|"&amp;"CY2024Q3",Spectrum!$R:$R,0))),IF(SUM($U148)=0,"",SUM($Z148)/$U148)))</f>
        <v>0.90832086699999992</v>
      </c>
      <c r="AB148" s="33">
        <f t="shared" si="38"/>
        <v>1.0163132137030995</v>
      </c>
      <c r="AC148" s="38">
        <f>IF(LEFT($B148,4)="_Mil","",_xlfn.IFNA(ROUND(INDEX(Spectrum!$N:$N,MATCH(RIGHT($B148,13)&amp;"|"&amp;$C148&amp;"|"&amp;$D148&amp;"|"&amp;AC$14&amp;"|"&amp;"CY2024Q3",Spectrum!$R:$R,0)),0),""))</f>
        <v>64</v>
      </c>
      <c r="AD148" s="38" t="str">
        <f>IF(LEFT($B148,4)="_Mil","",_xlfn.IFNA(ROUND(INDEX(Spectrum!$N:$N,MATCH(RIGHT($B148,13)&amp;"|"&amp;$C148&amp;"|"&amp;$D148&amp;"|"&amp;AD$14&amp;"|"&amp;"CY2024Q3",Spectrum!$R:$R,0)),0),""))</f>
        <v/>
      </c>
      <c r="AE148" s="33">
        <f t="shared" si="39"/>
        <v>0</v>
      </c>
      <c r="AF148" s="218" t="str">
        <f>IF(LEFT($B148,4)="_Mil","",_xlfn.IFNA(ROUND(INDEX(Spectrum!$N:$N,MATCH(RIGHT($B148,13)&amp;"|"&amp;$C148&amp;"|"&amp;$D148&amp;"|"&amp;AF$14&amp;"|"&amp;"CY2024Q3",Spectrum!$R:$R,0)),0),""))</f>
        <v/>
      </c>
      <c r="AG148" s="33" t="str">
        <f t="shared" si="40"/>
        <v/>
      </c>
      <c r="AH148" s="110" t="str">
        <f>IF(LEFT($B148,4)="_Mil","",_xlfn.IFNA(INDEX(Spectrum!$N:$N,MATCH(RIGHT($B148,13)&amp;"|"&amp;$C148&amp;"|"&amp;$D148&amp;"|"&amp;AH$14&amp;"|"&amp;"CY2024Q3",Spectrum!$R:$R,0)),""))</f>
        <v/>
      </c>
      <c r="AI148" s="218">
        <f>IF(LEFT($B148,4)="_Mil","",_xlfn.IFNA(ROUND(INDEX(Spectrum!$N:$N,MATCH(RIGHT($B148,13)&amp;"|"&amp;$C148&amp;"|"&amp;$D148&amp;"|"&amp;AI$14&amp;"|"&amp;"CY2025Q3",Spectrum!$R:$R,0)),0),""))</f>
        <v>10</v>
      </c>
      <c r="AJ148" s="38">
        <f>IF(LEFT($B148,4)="_Mil","",_xlfn.IFNA(ROUND(INDEX(Spectrum!$N:$N,MATCH(RIGHT($B148,13)&amp;"|"&amp;$C148&amp;"|"&amp;$D148&amp;"|"&amp;AJ$14&amp;"|"&amp;"CY2025Q3",Spectrum!$R:$R,0)),0),""))</f>
        <v>669</v>
      </c>
      <c r="AK148" s="218" t="e">
        <f>#REF!</f>
        <v>#REF!</v>
      </c>
      <c r="AL148" s="33">
        <f t="shared" si="41"/>
        <v>0.90832086699999992</v>
      </c>
      <c r="AM148" s="38" t="e">
        <f>IF(OR(LEFT($B148,4)="_Mil",$C148="&lt;01"),"",ROUND(SUM($AK148)*SUM($AL148),0))</f>
        <v>#REF!</v>
      </c>
      <c r="AN148" s="38" t="str">
        <f>IF($C148="&lt;01",ROUND(INDEX(EID!$P:$P,MATCH($B148,EID!$B:$B,0))/2,0),"")</f>
        <v/>
      </c>
      <c r="AO148" s="38" t="e">
        <f>IF($C148="&lt;01",SUM($AN148),ROUND(SUM($AM148)*SUM($O148)/IF(SUM($Z148)=0,1,$Z148),0))</f>
        <v>#REF!</v>
      </c>
      <c r="AP148" s="218">
        <f>IF(OR($F148="",$C148="&lt;01"),$AO148,ROUND($F148,0))</f>
        <v>523</v>
      </c>
      <c r="AQ148" s="218">
        <f>IF(LEFT($B148,4)="_Mil","",IF(SUM($AP148)=0,SUM($Z148),IF(OR(SUM($Z148)=0,SUM($O148)=0),MAX($AP148,$Z148),ROUND($AP148*$Z148/$O148,0))))</f>
        <v>633</v>
      </c>
      <c r="AR148" s="33" t="e">
        <f>IF(OR(LEFT($B148,4)="_Mil",SUM($AK148)=0),"",SUM($AQ148)/$AK148)</f>
        <v>#REF!</v>
      </c>
      <c r="AS148" s="33">
        <f t="shared" si="34"/>
        <v>0.98</v>
      </c>
      <c r="AT148" s="33">
        <f t="shared" si="32"/>
        <v>0.98</v>
      </c>
      <c r="AU148" s="38">
        <f>IF($C148="&lt;01","",SUM($AP148)-SUM($O148))</f>
        <v>8</v>
      </c>
      <c r="AV148" s="38">
        <f>IF($C148="&lt;01",ROUND(INDEX(EID!$N:$N,MATCH($B148,EID!$B:$B,0))/2,0),IF(SUM($AT148)=0,"",ROUND((SUM($AP148)-(SUM($O148)*SUM($AS148)))/$AT148,0)))</f>
        <v>19</v>
      </c>
      <c r="AW148" s="33">
        <f t="shared" si="42"/>
        <v>1</v>
      </c>
      <c r="AX148" s="218">
        <f>IF($C148="&lt;01",SUM($AV148),ROUND(SUM($AV148)*SUM($AW148),0))</f>
        <v>19</v>
      </c>
      <c r="AY148" s="79">
        <f t="shared" si="43"/>
        <v>0.7</v>
      </c>
      <c r="AZ148" s="85">
        <f>IF($C148="&lt;01",ROUND(INDEX(EID!$R:$R,MATCH($B148,EID!$B:$B,0))/2,0),ROUND(SUM($O148)+(SUM($AV148)*$AY148),0))</f>
        <v>528</v>
      </c>
      <c r="BA148" s="40">
        <f t="shared" si="31"/>
        <v>0.9</v>
      </c>
      <c r="BB148" s="99">
        <f>IF($C148="&lt;01",ROUND(INDEX(EID!$T:$T,MATCH($B148,EID!$B:$B,0))/2,0),ROUND($AP148*$BA148,0))</f>
        <v>471</v>
      </c>
      <c r="BC148" s="85">
        <f>IF(LEFT($B148,4)="_Mil","",IF(SUM($BB148)=0,SUM($AD148),IF(OR(SUM($AP148)=0,SUM($AQ148)=0),MAX($BB148,$AD148),ROUND($BB148*$AQ148/$AP148,0))))</f>
        <v>570</v>
      </c>
      <c r="BD148" s="33">
        <f t="shared" si="44"/>
        <v>0.95</v>
      </c>
      <c r="BE148" s="218">
        <f>IF($C148="&lt;01",ROUND(INDEX(EID!$V:$V,MATCH($B148,EID!$B:$B,0))/2,0),ROUND($BD148*$BB148,0))</f>
        <v>447</v>
      </c>
      <c r="BF148" s="218">
        <f>IF(LEFT($B148,4)="_Mil","",IF(SUM($BE148)=0,SUM($AF148),IF(OR(SUM($AP148)=0,SUM($AQ148)=0),MAX($BE148,$AF148),ROUND($BE148*$AQ148/$AP148,0))))</f>
        <v>541</v>
      </c>
      <c r="BG148" s="79">
        <f t="shared" si="45"/>
        <v>0.95</v>
      </c>
      <c r="BH148" s="99">
        <f>IF($C148="&lt;01",ROUND(INDEX(EID!$L:$L,MATCH($B148,EID!$B:$B,0)),0)/2,IF(SUM($BG148)=0,"",ROUND($AX148/$BG148,0)))</f>
        <v>20</v>
      </c>
    </row>
    <row r="149" spans="1:60" x14ac:dyDescent="0.2">
      <c r="A149" t="str">
        <f>INDEX(Prioritization!$D:$D,MATCH($B149,Prioritization!$A:$A,0))</f>
        <v>INVALID</v>
      </c>
      <c r="B149" t="s">
        <v>300</v>
      </c>
      <c r="C149" t="s">
        <v>476</v>
      </c>
      <c r="D149" t="s">
        <v>30</v>
      </c>
      <c r="E149" t="str">
        <f t="shared" si="35"/>
        <v>Kasungu District [JQKLKuVuY61]|25-34|Female</v>
      </c>
      <c r="F149" s="229">
        <v>2096</v>
      </c>
      <c r="G149" s="38">
        <v>311</v>
      </c>
      <c r="H149" s="38">
        <v>355</v>
      </c>
      <c r="I149" s="38">
        <v>2096</v>
      </c>
      <c r="J149" s="38">
        <v>1351</v>
      </c>
      <c r="K149" s="38">
        <v>1266</v>
      </c>
      <c r="L149" s="38">
        <v>201</v>
      </c>
      <c r="M149" s="38">
        <v>197</v>
      </c>
      <c r="N149" s="38">
        <v>2280</v>
      </c>
      <c r="O149" s="229">
        <v>2096</v>
      </c>
      <c r="P149" s="38">
        <v>2089</v>
      </c>
      <c r="Q149" s="38">
        <v>1985</v>
      </c>
      <c r="R149" s="38">
        <f t="shared" si="36"/>
        <v>0</v>
      </c>
      <c r="S149" s="38">
        <f>IF(LEFT($B149,4)="_Mil","",_xlfn.IFNA(ROUND(INDEX(Spectrum!$N:$N,MATCH(RIGHT($B149,13)&amp;"|"&amp;$C149&amp;"|"&amp;$D149&amp;"|"&amp;S$14&amp;"|"&amp;"CY2023Q4",Spectrum!$R:$R,0)),0),""))</f>
        <v>2323</v>
      </c>
      <c r="T149" s="218">
        <f>IF(LEFT($B149,4)="_Mil","",_xlfn.IFNA(ROUND(INDEX(Spectrum!$N:$N,MATCH(RIGHT($B149,13)&amp;"|"&amp;$C149&amp;"|"&amp;$D149&amp;"|"&amp;T$14&amp;"|"&amp;"CY2024Q3",Spectrum!$R:$R,0)),0),""))</f>
        <v>74335</v>
      </c>
      <c r="U149" s="218">
        <f>IF(LEFT($B149,4)="_Mil","",_xlfn.IFNA(ROUND(INDEX(Spectrum!$N:$N,MATCH(RIGHT($B149,13)&amp;"|"&amp;$C149&amp;"|"&amp;$D149&amp;"|"&amp;U$14&amp;"|"&amp;"CY2024Q3",Spectrum!$R:$R,0)),0),""))</f>
        <v>2224</v>
      </c>
      <c r="V149" s="38">
        <f>IF(LEFT($B149,4)="_Mil","",_xlfn.IFNA(ROUND(INDEX(Spectrum!$N:$N,MATCH(RIGHT($B149,13)&amp;"|"&amp;$C149&amp;"|"&amp;$D149&amp;"|"&amp;V$14&amp;"|"&amp;"CY2024Q3",Spectrum!$R:$R,0)),0),""))</f>
        <v>2281</v>
      </c>
      <c r="W149" s="220">
        <f>IF(LEFT($B149,4)="_Mil","",_xlfn.IFNA(INDEX(Spectrum!$N:$N,MATCH(RIGHT($B149,13)&amp;"|"&amp;$C149&amp;"|"&amp;$D149&amp;"|"&amp;W$14&amp;"|"&amp;"CY2024Q3",Spectrum!$R:$R,0)),""))</f>
        <v>2.9919699000000001E-2</v>
      </c>
      <c r="X149" s="218">
        <f>IF(LEFT($B149,4)="_Mil","",_xlfn.IFNA(ROUND(INDEX(Spectrum!$N:$N,MATCH(RIGHT($B149,13)&amp;"|"&amp;$C149&amp;"|"&amp;$D149&amp;"|"&amp;X$14&amp;"|"&amp;"CY2024Q3",Spectrum!$R:$R,0)),0),""))</f>
        <v>2151</v>
      </c>
      <c r="Y149" s="33">
        <f t="shared" si="37"/>
        <v>0.97</v>
      </c>
      <c r="Z149" s="218">
        <f>IF(LEFT($B149,4)="_Mil","",_xlfn.IFNA(ROUND(INDEX(Spectrum!$N:$N,MATCH(RIGHT($B149,13)&amp;"|"&amp;$C149&amp;"|"&amp;$D149&amp;"|"&amp;Z$14&amp;"|"&amp;"CY2024Q3",Spectrum!$R:$R,0)),0),""))</f>
        <v>2203</v>
      </c>
      <c r="AA149" s="33">
        <f>IF(LEFT($B149,4)="_Mil","",IFERROR(1/(1/INDEX(Spectrum!$N:$N,MATCH(RIGHT($B149,13)&amp;"|"&amp;$C149&amp;"|"&amp;$D149&amp;"|"&amp;AA$14&amp;"|"&amp;"CY2024Q3",Spectrum!$R:$R,0))),IF(SUM($U149)=0,"",SUM($Z149)/$U149)))</f>
        <v>0.96703728800000011</v>
      </c>
      <c r="AB149" s="33">
        <f t="shared" si="38"/>
        <v>1.0241748024174802</v>
      </c>
      <c r="AC149" s="38">
        <f>IF(LEFT($B149,4)="_Mil","",_xlfn.IFNA(ROUND(INDEX(Spectrum!$N:$N,MATCH(RIGHT($B149,13)&amp;"|"&amp;$C149&amp;"|"&amp;$D149&amp;"|"&amp;AC$14&amp;"|"&amp;"CY2024Q3",Spectrum!$R:$R,0)),0),""))</f>
        <v>78</v>
      </c>
      <c r="AD149" s="38" t="str">
        <f>IF(LEFT($B149,4)="_Mil","",_xlfn.IFNA(ROUND(INDEX(Spectrum!$N:$N,MATCH(RIGHT($B149,13)&amp;"|"&amp;$C149&amp;"|"&amp;$D149&amp;"|"&amp;AD$14&amp;"|"&amp;"CY2024Q3",Spectrum!$R:$R,0)),0),""))</f>
        <v/>
      </c>
      <c r="AE149" s="33">
        <f t="shared" si="39"/>
        <v>0</v>
      </c>
      <c r="AF149" s="218" t="str">
        <f>IF(LEFT($B149,4)="_Mil","",_xlfn.IFNA(ROUND(INDEX(Spectrum!$N:$N,MATCH(RIGHT($B149,13)&amp;"|"&amp;$C149&amp;"|"&amp;$D149&amp;"|"&amp;AF$14&amp;"|"&amp;"CY2024Q3",Spectrum!$R:$R,0)),0),""))</f>
        <v/>
      </c>
      <c r="AG149" s="33" t="str">
        <f t="shared" si="40"/>
        <v/>
      </c>
      <c r="AH149" s="110" t="str">
        <f>IF(LEFT($B149,4)="_Mil","",_xlfn.IFNA(INDEX(Spectrum!$N:$N,MATCH(RIGHT($B149,13)&amp;"|"&amp;$C149&amp;"|"&amp;$D149&amp;"|"&amp;AH$14&amp;"|"&amp;"CY2024Q3",Spectrum!$R:$R,0)),""))</f>
        <v/>
      </c>
      <c r="AI149" s="218">
        <f>IF(LEFT($B149,4)="_Mil","",_xlfn.IFNA(ROUND(INDEX(Spectrum!$N:$N,MATCH(RIGHT($B149,13)&amp;"|"&amp;$C149&amp;"|"&amp;$D149&amp;"|"&amp;AI$14&amp;"|"&amp;"CY2025Q3",Spectrum!$R:$R,0)),0),""))</f>
        <v>55</v>
      </c>
      <c r="AJ149" s="38">
        <f>IF(LEFT($B149,4)="_Mil","",_xlfn.IFNA(ROUND(INDEX(Spectrum!$N:$N,MATCH(RIGHT($B149,13)&amp;"|"&amp;$C149&amp;"|"&amp;$D149&amp;"|"&amp;AJ$14&amp;"|"&amp;"CY2025Q3",Spectrum!$R:$R,0)),0),""))</f>
        <v>2077</v>
      </c>
      <c r="AK149" s="218" t="e">
        <f>#REF!</f>
        <v>#REF!</v>
      </c>
      <c r="AL149" s="33">
        <f t="shared" si="41"/>
        <v>0.96703728800000011</v>
      </c>
      <c r="AM149" s="38" t="e">
        <f>IF(OR(LEFT($B149,4)="_Mil",$C149="&lt;01"),"",ROUND(SUM($AK149)*SUM($AL149),0))</f>
        <v>#REF!</v>
      </c>
      <c r="AN149" s="38" t="str">
        <f>IF($C149="&lt;01",ROUND(INDEX(EID!$P:$P,MATCH($B149,EID!$B:$B,0))/2,0),"")</f>
        <v/>
      </c>
      <c r="AO149" s="38" t="e">
        <f>IF($C149="&lt;01",SUM($AN149),ROUND(SUM($AM149)*SUM($O149)/IF(SUM($Z149)=0,1,$Z149),0))</f>
        <v>#REF!</v>
      </c>
      <c r="AP149" s="218">
        <f>IF(OR($F149="",$C149="&lt;01"),$AO149,ROUND($F149,0))</f>
        <v>2096</v>
      </c>
      <c r="AQ149" s="218">
        <f>IF(LEFT($B149,4)="_Mil","",IF(SUM($AP149)=0,SUM($Z149),IF(OR(SUM($Z149)=0,SUM($O149)=0),MAX($AP149,$Z149),ROUND($AP149*$Z149/$O149,0))))</f>
        <v>2203</v>
      </c>
      <c r="AR149" s="33" t="e">
        <f>IF(OR(LEFT($B149,4)="_Mil",SUM($AK149)=0),"",SUM($AQ149)/$AK149)</f>
        <v>#REF!</v>
      </c>
      <c r="AS149" s="33">
        <f>IF($C149="&lt;01","",88%)</f>
        <v>0.88</v>
      </c>
      <c r="AT149" s="33">
        <f>IF($C149="&lt;01","",90%)</f>
        <v>0.9</v>
      </c>
      <c r="AU149" s="38">
        <f>IF($C149="&lt;01","",SUM($AP149)-SUM($O149))</f>
        <v>0</v>
      </c>
      <c r="AV149" s="38">
        <f>IF($C149="&lt;01",ROUND(INDEX(EID!$N:$N,MATCH($B149,EID!$B:$B,0))/2,0),IF(SUM($AT149)=0,"",ROUND((SUM($AP149)-(SUM($O149)*SUM($AS149)))/$AT149,0)))</f>
        <v>279</v>
      </c>
      <c r="AW149" s="33">
        <f t="shared" si="42"/>
        <v>1</v>
      </c>
      <c r="AX149" s="218">
        <f>IF($C149="&lt;01",SUM($AV149),ROUND(SUM($AV149)*SUM($AW149),0))</f>
        <v>279</v>
      </c>
      <c r="AY149" s="79">
        <f t="shared" si="43"/>
        <v>0.7</v>
      </c>
      <c r="AZ149" s="85">
        <f>IF($C149="&lt;01",ROUND(INDEX(EID!$R:$R,MATCH($B149,EID!$B:$B,0))/2,0),ROUND(SUM($O149)+(SUM($AV149)*$AY149),0))</f>
        <v>2291</v>
      </c>
      <c r="BA149" s="40">
        <f t="shared" si="31"/>
        <v>0.9</v>
      </c>
      <c r="BB149" s="99">
        <f>IF($C149="&lt;01",ROUND(INDEX(EID!$T:$T,MATCH($B149,EID!$B:$B,0))/2,0),ROUND($AP149*$BA149,0))</f>
        <v>1886</v>
      </c>
      <c r="BC149" s="85">
        <f>IF(LEFT($B149,4)="_Mil","",IF(SUM($BB149)=0,SUM($AD149),IF(OR(SUM($AP149)=0,SUM($AQ149)=0),MAX($BB149,$AD149),ROUND($BB149*$AQ149/$AP149,0))))</f>
        <v>1982</v>
      </c>
      <c r="BD149" s="33">
        <f t="shared" si="44"/>
        <v>0.95</v>
      </c>
      <c r="BE149" s="218">
        <f>IF($C149="&lt;01",ROUND(INDEX(EID!$V:$V,MATCH($B149,EID!$B:$B,0))/2,0),ROUND($BD149*$BB149,0))</f>
        <v>1792</v>
      </c>
      <c r="BF149" s="218">
        <f>IF(LEFT($B149,4)="_Mil","",IF(SUM($BE149)=0,SUM($AF149),IF(OR(SUM($AP149)=0,SUM($AQ149)=0),MAX($BE149,$AF149),ROUND($BE149*$AQ149/$AP149,0))))</f>
        <v>1883</v>
      </c>
      <c r="BG149" s="79">
        <f t="shared" si="45"/>
        <v>0.95</v>
      </c>
      <c r="BH149" s="99">
        <f>IF($C149="&lt;01",ROUND(INDEX(EID!$L:$L,MATCH($B149,EID!$B:$B,0)),0)/2,IF(SUM($BG149)=0,"",ROUND($AX149/$BG149,0)))</f>
        <v>294</v>
      </c>
    </row>
    <row r="150" spans="1:60" x14ac:dyDescent="0.2">
      <c r="A150" t="str">
        <f>INDEX(Prioritization!$D:$D,MATCH($B150,Prioritization!$A:$A,0))</f>
        <v>INVALID</v>
      </c>
      <c r="B150" t="s">
        <v>300</v>
      </c>
      <c r="C150" t="s">
        <v>476</v>
      </c>
      <c r="D150" t="s">
        <v>48</v>
      </c>
      <c r="E150" t="str">
        <f t="shared" si="35"/>
        <v>Kasungu District [JQKLKuVuY61]|25-34|Male</v>
      </c>
      <c r="F150" s="229">
        <v>659</v>
      </c>
      <c r="G150" s="38">
        <v>157</v>
      </c>
      <c r="H150" s="38">
        <v>155</v>
      </c>
      <c r="I150" s="38">
        <v>618</v>
      </c>
      <c r="J150" s="38">
        <v>397</v>
      </c>
      <c r="K150" s="38">
        <v>360</v>
      </c>
      <c r="L150" s="38">
        <v>16</v>
      </c>
      <c r="M150" s="38">
        <v>15</v>
      </c>
      <c r="N150" s="38">
        <v>868</v>
      </c>
      <c r="O150" s="229">
        <v>659</v>
      </c>
      <c r="P150" s="38">
        <v>787</v>
      </c>
      <c r="Q150" s="38">
        <v>747</v>
      </c>
      <c r="R150" s="38">
        <f t="shared" si="36"/>
        <v>41</v>
      </c>
      <c r="S150" s="38">
        <f>IF(LEFT($B150,4)="_Mil","",_xlfn.IFNA(ROUND(INDEX(Spectrum!$N:$N,MATCH(RIGHT($B150,13)&amp;"|"&amp;$C150&amp;"|"&amp;$D150&amp;"|"&amp;S$14&amp;"|"&amp;"CY2023Q4",Spectrum!$R:$R,0)),0),""))</f>
        <v>777</v>
      </c>
      <c r="T150" s="218">
        <f>IF(LEFT($B150,4)="_Mil","",_xlfn.IFNA(ROUND(INDEX(Spectrum!$N:$N,MATCH(RIGHT($B150,13)&amp;"|"&amp;$C150&amp;"|"&amp;$D150&amp;"|"&amp;T$14&amp;"|"&amp;"CY2024Q3",Spectrum!$R:$R,0)),0),""))</f>
        <v>73468</v>
      </c>
      <c r="U150" s="218">
        <f>IF(LEFT($B150,4)="_Mil","",_xlfn.IFNA(ROUND(INDEX(Spectrum!$N:$N,MATCH(RIGHT($B150,13)&amp;"|"&amp;$C150&amp;"|"&amp;$D150&amp;"|"&amp;U$14&amp;"|"&amp;"CY2024Q3",Spectrum!$R:$R,0)),0),""))</f>
        <v>856</v>
      </c>
      <c r="V150" s="38">
        <f>IF(LEFT($B150,4)="_Mil","",_xlfn.IFNA(ROUND(INDEX(Spectrum!$N:$N,MATCH(RIGHT($B150,13)&amp;"|"&amp;$C150&amp;"|"&amp;$D150&amp;"|"&amp;V$14&amp;"|"&amp;"CY2024Q3",Spectrum!$R:$R,0)),0),""))</f>
        <v>879</v>
      </c>
      <c r="W150" s="220">
        <f>IF(LEFT($B150,4)="_Mil","",_xlfn.IFNA(INDEX(Spectrum!$N:$N,MATCH(RIGHT($B150,13)&amp;"|"&amp;$C150&amp;"|"&amp;$D150&amp;"|"&amp;W$14&amp;"|"&amp;"CY2024Q3",Spectrum!$R:$R,0)),""))</f>
        <v>1.1657545E-2</v>
      </c>
      <c r="X150" s="218">
        <f>IF(LEFT($B150,4)="_Mil","",_xlfn.IFNA(ROUND(INDEX(Spectrum!$N:$N,MATCH(RIGHT($B150,13)&amp;"|"&amp;$C150&amp;"|"&amp;$D150&amp;"|"&amp;X$14&amp;"|"&amp;"CY2024Q3",Spectrum!$R:$R,0)),0),""))</f>
        <v>761</v>
      </c>
      <c r="Y150" s="33">
        <f t="shared" si="37"/>
        <v>0.89</v>
      </c>
      <c r="Z150" s="218">
        <f>IF(LEFT($B150,4)="_Mil","",_xlfn.IFNA(ROUND(INDEX(Spectrum!$N:$N,MATCH(RIGHT($B150,13)&amp;"|"&amp;$C150&amp;"|"&amp;$D150&amp;"|"&amp;Z$14&amp;"|"&amp;"CY2024Q3",Spectrum!$R:$R,0)),0),""))</f>
        <v>773</v>
      </c>
      <c r="AA150" s="33">
        <f>IF(LEFT($B150,4)="_Mil","",IFERROR(1/(1/INDEX(Spectrum!$N:$N,MATCH(RIGHT($B150,13)&amp;"|"&amp;$C150&amp;"|"&amp;$D150&amp;"|"&amp;AA$14&amp;"|"&amp;"CY2024Q3",Spectrum!$R:$R,0))),IF(SUM($U150)=0,"",SUM($Z150)/$U150)))</f>
        <v>0.88106239500000005</v>
      </c>
      <c r="AB150" s="33">
        <f t="shared" si="38"/>
        <v>1.0157687253613665</v>
      </c>
      <c r="AC150" s="38">
        <f>IF(LEFT($B150,4)="_Mil","",_xlfn.IFNA(ROUND(INDEX(Spectrum!$N:$N,MATCH(RIGHT($B150,13)&amp;"|"&amp;$C150&amp;"|"&amp;$D150&amp;"|"&amp;AC$14&amp;"|"&amp;"CY2024Q3",Spectrum!$R:$R,0)),0),""))</f>
        <v>106</v>
      </c>
      <c r="AD150" s="38" t="str">
        <f>IF(LEFT($B150,4)="_Mil","",_xlfn.IFNA(ROUND(INDEX(Spectrum!$N:$N,MATCH(RIGHT($B150,13)&amp;"|"&amp;$C150&amp;"|"&amp;$D150&amp;"|"&amp;AD$14&amp;"|"&amp;"CY2024Q3",Spectrum!$R:$R,0)),0),""))</f>
        <v/>
      </c>
      <c r="AE150" s="33">
        <f t="shared" si="39"/>
        <v>0</v>
      </c>
      <c r="AF150" s="218" t="str">
        <f>IF(LEFT($B150,4)="_Mil","",_xlfn.IFNA(ROUND(INDEX(Spectrum!$N:$N,MATCH(RIGHT($B150,13)&amp;"|"&amp;$C150&amp;"|"&amp;$D150&amp;"|"&amp;AF$14&amp;"|"&amp;"CY2024Q3",Spectrum!$R:$R,0)),0),""))</f>
        <v/>
      </c>
      <c r="AG150" s="33" t="str">
        <f t="shared" si="40"/>
        <v/>
      </c>
      <c r="AH150" s="110" t="str">
        <f>IF(LEFT($B150,4)="_Mil","",_xlfn.IFNA(INDEX(Spectrum!$N:$N,MATCH(RIGHT($B150,13)&amp;"|"&amp;$C150&amp;"|"&amp;$D150&amp;"|"&amp;AH$14&amp;"|"&amp;"CY2024Q3",Spectrum!$R:$R,0)),""))</f>
        <v/>
      </c>
      <c r="AI150" s="218">
        <f>IF(LEFT($B150,4)="_Mil","",_xlfn.IFNA(ROUND(INDEX(Spectrum!$N:$N,MATCH(RIGHT($B150,13)&amp;"|"&amp;$C150&amp;"|"&amp;$D150&amp;"|"&amp;AI$14&amp;"|"&amp;"CY2025Q3",Spectrum!$R:$R,0)),0),""))</f>
        <v>33</v>
      </c>
      <c r="AJ150" s="38">
        <f>IF(LEFT($B150,4)="_Mil","",_xlfn.IFNA(ROUND(INDEX(Spectrum!$N:$N,MATCH(RIGHT($B150,13)&amp;"|"&amp;$C150&amp;"|"&amp;$D150&amp;"|"&amp;AJ$14&amp;"|"&amp;"CY2025Q3",Spectrum!$R:$R,0)),0),""))</f>
        <v>822</v>
      </c>
      <c r="AK150" s="218" t="e">
        <f>#REF!</f>
        <v>#REF!</v>
      </c>
      <c r="AL150" s="33">
        <f t="shared" si="41"/>
        <v>0.9</v>
      </c>
      <c r="AM150" s="38" t="e">
        <f>IF(OR(LEFT($B150,4)="_Mil",$C150="&lt;01"),"",ROUND(SUM($AK150)*SUM($AL150),0))</f>
        <v>#REF!</v>
      </c>
      <c r="AN150" s="38" t="str">
        <f>IF($C150="&lt;01",ROUND(INDEX(EID!$P:$P,MATCH($B150,EID!$B:$B,0))/2,0),"")</f>
        <v/>
      </c>
      <c r="AO150" s="38" t="e">
        <f>IF($C150="&lt;01",SUM($AN150),ROUND(SUM($AM150)*SUM($O150)/IF(SUM($Z150)=0,1,$Z150),0))</f>
        <v>#REF!</v>
      </c>
      <c r="AP150" s="218">
        <f>IF(OR($F150="",$C150="&lt;01"),$AO150,ROUND($F150,0))</f>
        <v>659</v>
      </c>
      <c r="AQ150" s="218">
        <f>IF(LEFT($B150,4)="_Mil","",IF(SUM($AP150)=0,SUM($Z150),IF(OR(SUM($Z150)=0,SUM($O150)=0),MAX($AP150,$Z150),ROUND($AP150*$Z150/$O150,0))))</f>
        <v>773</v>
      </c>
      <c r="AR150" s="33" t="e">
        <f>IF(OR(LEFT($B150,4)="_Mil",SUM($AK150)=0),"",SUM($AQ150)/$AK150)</f>
        <v>#REF!</v>
      </c>
      <c r="AS150" s="33">
        <f t="shared" si="34"/>
        <v>0.98</v>
      </c>
      <c r="AT150" s="33">
        <f t="shared" si="32"/>
        <v>0.98</v>
      </c>
      <c r="AU150" s="38">
        <f>IF($C150="&lt;01","",SUM($AP150)-SUM($O150))</f>
        <v>0</v>
      </c>
      <c r="AV150" s="38">
        <f>IF($C150="&lt;01",ROUND(INDEX(EID!$N:$N,MATCH($B150,EID!$B:$B,0))/2,0),IF(SUM($AT150)=0,"",ROUND((SUM($AP150)-(SUM($O150)*SUM($AS150)))/$AT150,0)))</f>
        <v>13</v>
      </c>
      <c r="AW150" s="33">
        <f t="shared" si="42"/>
        <v>1</v>
      </c>
      <c r="AX150" s="218">
        <f>IF($C150="&lt;01",SUM($AV150),ROUND(SUM($AV150)*SUM($AW150),0))</f>
        <v>13</v>
      </c>
      <c r="AY150" s="79">
        <f t="shared" si="43"/>
        <v>0.7</v>
      </c>
      <c r="AZ150" s="85">
        <f>IF($C150="&lt;01",ROUND(INDEX(EID!$R:$R,MATCH($B150,EID!$B:$B,0))/2,0),ROUND(SUM($O150)+(SUM($AV150)*$AY150),0))</f>
        <v>668</v>
      </c>
      <c r="BA150" s="40">
        <f t="shared" si="31"/>
        <v>0.9</v>
      </c>
      <c r="BB150" s="99">
        <f>IF($C150="&lt;01",ROUND(INDEX(EID!$T:$T,MATCH($B150,EID!$B:$B,0))/2,0),ROUND($AP150*$BA150,0))</f>
        <v>593</v>
      </c>
      <c r="BC150" s="85">
        <f>IF(LEFT($B150,4)="_Mil","",IF(SUM($BB150)=0,SUM($AD150),IF(OR(SUM($AP150)=0,SUM($AQ150)=0),MAX($BB150,$AD150),ROUND($BB150*$AQ150/$AP150,0))))</f>
        <v>696</v>
      </c>
      <c r="BD150" s="33">
        <f t="shared" si="44"/>
        <v>0.95</v>
      </c>
      <c r="BE150" s="218">
        <f>IF($C150="&lt;01",ROUND(INDEX(EID!$V:$V,MATCH($B150,EID!$B:$B,0))/2,0),ROUND($BD150*$BB150,0))</f>
        <v>563</v>
      </c>
      <c r="BF150" s="218">
        <f>IF(LEFT($B150,4)="_Mil","",IF(SUM($BE150)=0,SUM($AF150),IF(OR(SUM($AP150)=0,SUM($AQ150)=0),MAX($BE150,$AF150),ROUND($BE150*$AQ150/$AP150,0))))</f>
        <v>660</v>
      </c>
      <c r="BG150" s="79">
        <f t="shared" si="45"/>
        <v>0.95</v>
      </c>
      <c r="BH150" s="99">
        <f>IF($C150="&lt;01",ROUND(INDEX(EID!$L:$L,MATCH($B150,EID!$B:$B,0)),0)/2,IF(SUM($BG150)=0,"",ROUND($AX150/$BG150,0)))</f>
        <v>14</v>
      </c>
    </row>
    <row r="151" spans="1:60" x14ac:dyDescent="0.2">
      <c r="A151" t="str">
        <f>INDEX(Prioritization!$D:$D,MATCH($B151,Prioritization!$A:$A,0))</f>
        <v>INVALID</v>
      </c>
      <c r="B151" t="s">
        <v>300</v>
      </c>
      <c r="C151" t="s">
        <v>477</v>
      </c>
      <c r="D151" t="s">
        <v>30</v>
      </c>
      <c r="E151" t="str">
        <f t="shared" si="35"/>
        <v>Kasungu District [JQKLKuVuY61]|35-49|Female</v>
      </c>
      <c r="F151" s="229">
        <v>5479</v>
      </c>
      <c r="G151" s="38">
        <v>222</v>
      </c>
      <c r="H151" s="38">
        <v>227</v>
      </c>
      <c r="I151" s="38">
        <v>5479</v>
      </c>
      <c r="J151" s="38">
        <v>3366</v>
      </c>
      <c r="K151" s="38">
        <v>3178</v>
      </c>
      <c r="L151" s="38">
        <v>128</v>
      </c>
      <c r="M151" s="38">
        <v>125</v>
      </c>
      <c r="N151" s="38">
        <v>5823</v>
      </c>
      <c r="O151" s="229">
        <v>5479</v>
      </c>
      <c r="P151" s="38">
        <v>5252</v>
      </c>
      <c r="Q151" s="38">
        <v>4989</v>
      </c>
      <c r="R151" s="38">
        <f t="shared" si="36"/>
        <v>0</v>
      </c>
      <c r="S151" s="38">
        <f>IF(LEFT($B151,4)="_Mil","",_xlfn.IFNA(ROUND(INDEX(Spectrum!$N:$N,MATCH(RIGHT($B151,13)&amp;"|"&amp;$C151&amp;"|"&amp;$D151&amp;"|"&amp;S$14&amp;"|"&amp;"CY2023Q4",Spectrum!$R:$R,0)),0),""))</f>
        <v>6225</v>
      </c>
      <c r="T151" s="218">
        <f>IF(LEFT($B151,4)="_Mil","",_xlfn.IFNA(ROUND(INDEX(Spectrum!$N:$N,MATCH(RIGHT($B151,13)&amp;"|"&amp;$C151&amp;"|"&amp;$D151&amp;"|"&amp;T$14&amp;"|"&amp;"CY2024Q3",Spectrum!$R:$R,0)),0),""))</f>
        <v>77199</v>
      </c>
      <c r="U151" s="218">
        <f>IF(LEFT($B151,4)="_Mil","",_xlfn.IFNA(ROUND(INDEX(Spectrum!$N:$N,MATCH(RIGHT($B151,13)&amp;"|"&amp;$C151&amp;"|"&amp;$D151&amp;"|"&amp;U$14&amp;"|"&amp;"CY2024Q3",Spectrum!$R:$R,0)),0),""))</f>
        <v>6117</v>
      </c>
      <c r="V151" s="38">
        <f>IF(LEFT($B151,4)="_Mil","",_xlfn.IFNA(ROUND(INDEX(Spectrum!$N:$N,MATCH(RIGHT($B151,13)&amp;"|"&amp;$C151&amp;"|"&amp;$D151&amp;"|"&amp;V$14&amp;"|"&amp;"CY2024Q3",Spectrum!$R:$R,0)),0),""))</f>
        <v>6318</v>
      </c>
      <c r="W151" s="220">
        <f>IF(LEFT($B151,4)="_Mil","",_xlfn.IFNA(INDEX(Spectrum!$N:$N,MATCH(RIGHT($B151,13)&amp;"|"&amp;$C151&amp;"|"&amp;$D151&amp;"|"&amp;W$14&amp;"|"&amp;"CY2024Q3",Spectrum!$R:$R,0)),""))</f>
        <v>7.9233044000000002E-2</v>
      </c>
      <c r="X151" s="218">
        <f>IF(LEFT($B151,4)="_Mil","",_xlfn.IFNA(ROUND(INDEX(Spectrum!$N:$N,MATCH(RIGHT($B151,13)&amp;"|"&amp;$C151&amp;"|"&amp;$D151&amp;"|"&amp;X$14&amp;"|"&amp;"CY2024Q3",Spectrum!$R:$R,0)),0),""))</f>
        <v>6019</v>
      </c>
      <c r="Y151" s="33">
        <f t="shared" si="37"/>
        <v>0.98</v>
      </c>
      <c r="Z151" s="218">
        <f>IF(LEFT($B151,4)="_Mil","",_xlfn.IFNA(ROUND(INDEX(Spectrum!$N:$N,MATCH(RIGHT($B151,13)&amp;"|"&amp;$C151&amp;"|"&amp;$D151&amp;"|"&amp;Z$14&amp;"|"&amp;"CY2024Q3",Spectrum!$R:$R,0)),0),""))</f>
        <v>6213</v>
      </c>
      <c r="AA151" s="33">
        <f>IF(LEFT($B151,4)="_Mil","",IFERROR(1/(1/INDEX(Spectrum!$N:$N,MATCH(RIGHT($B151,13)&amp;"|"&amp;$C151&amp;"|"&amp;$D151&amp;"|"&amp;AA$14&amp;"|"&amp;"CY2024Q3",Spectrum!$R:$R,0))),IF(SUM($U151)=0,"",SUM($Z151)/$U151)))</f>
        <v>0.98367389400000016</v>
      </c>
      <c r="AB151" s="33">
        <f t="shared" si="38"/>
        <v>1.0322312676524339</v>
      </c>
      <c r="AC151" s="38">
        <f>IF(LEFT($B151,4)="_Mil","",_xlfn.IFNA(ROUND(INDEX(Spectrum!$N:$N,MATCH(RIGHT($B151,13)&amp;"|"&amp;$C151&amp;"|"&amp;$D151&amp;"|"&amp;AC$14&amp;"|"&amp;"CY2024Q3",Spectrum!$R:$R,0)),0),""))</f>
        <v>104</v>
      </c>
      <c r="AD151" s="38" t="str">
        <f>IF(LEFT($B151,4)="_Mil","",_xlfn.IFNA(ROUND(INDEX(Spectrum!$N:$N,MATCH(RIGHT($B151,13)&amp;"|"&amp;$C151&amp;"|"&amp;$D151&amp;"|"&amp;AD$14&amp;"|"&amp;"CY2024Q3",Spectrum!$R:$R,0)),0),""))</f>
        <v/>
      </c>
      <c r="AE151" s="33">
        <f t="shared" si="39"/>
        <v>0</v>
      </c>
      <c r="AF151" s="218" t="str">
        <f>IF(LEFT($B151,4)="_Mil","",_xlfn.IFNA(ROUND(INDEX(Spectrum!$N:$N,MATCH(RIGHT($B151,13)&amp;"|"&amp;$C151&amp;"|"&amp;$D151&amp;"|"&amp;AF$14&amp;"|"&amp;"CY2024Q3",Spectrum!$R:$R,0)),0),""))</f>
        <v/>
      </c>
      <c r="AG151" s="33" t="str">
        <f t="shared" si="40"/>
        <v/>
      </c>
      <c r="AH151" s="110" t="str">
        <f>IF(LEFT($B151,4)="_Mil","",_xlfn.IFNA(INDEX(Spectrum!$N:$N,MATCH(RIGHT($B151,13)&amp;"|"&amp;$C151&amp;"|"&amp;$D151&amp;"|"&amp;AH$14&amp;"|"&amp;"CY2024Q3",Spectrum!$R:$R,0)),""))</f>
        <v/>
      </c>
      <c r="AI151" s="218">
        <f>IF(LEFT($B151,4)="_Mil","",_xlfn.IFNA(ROUND(INDEX(Spectrum!$N:$N,MATCH(RIGHT($B151,13)&amp;"|"&amp;$C151&amp;"|"&amp;$D151&amp;"|"&amp;AI$14&amp;"|"&amp;"CY2025Q3",Spectrum!$R:$R,0)),0),""))</f>
        <v>30</v>
      </c>
      <c r="AJ151" s="38">
        <f>IF(LEFT($B151,4)="_Mil","",_xlfn.IFNA(ROUND(INDEX(Spectrum!$N:$N,MATCH(RIGHT($B151,13)&amp;"|"&amp;$C151&amp;"|"&amp;$D151&amp;"|"&amp;AJ$14&amp;"|"&amp;"CY2025Q3",Spectrum!$R:$R,0)),0),""))</f>
        <v>6074</v>
      </c>
      <c r="AK151" s="218" t="e">
        <f>#REF!</f>
        <v>#REF!</v>
      </c>
      <c r="AL151" s="33">
        <f t="shared" si="41"/>
        <v>0.98367389400000016</v>
      </c>
      <c r="AM151" s="38" t="e">
        <f>IF(OR(LEFT($B151,4)="_Mil",$C151="&lt;01"),"",ROUND(SUM($AK151)*SUM($AL151),0))</f>
        <v>#REF!</v>
      </c>
      <c r="AN151" s="38" t="str">
        <f>IF($C151="&lt;01",ROUND(INDEX(EID!$P:$P,MATCH($B151,EID!$B:$B,0))/2,0),"")</f>
        <v/>
      </c>
      <c r="AO151" s="38" t="e">
        <f>IF($C151="&lt;01",SUM($AN151),ROUND(SUM($AM151)*SUM($O151)/IF(SUM($Z151)=0,1,$Z151),0))</f>
        <v>#REF!</v>
      </c>
      <c r="AP151" s="218">
        <f>IF(OR($F151="",$C151="&lt;01"),$AO151,ROUND($F151,0))</f>
        <v>5479</v>
      </c>
      <c r="AQ151" s="218">
        <f>IF(LEFT($B151,4)="_Mil","",IF(SUM($AP151)=0,SUM($Z151),IF(OR(SUM($Z151)=0,SUM($O151)=0),MAX($AP151,$Z151),ROUND($AP151*$Z151/$O151,0))))</f>
        <v>6213</v>
      </c>
      <c r="AR151" s="33" t="e">
        <f>IF(OR(LEFT($B151,4)="_Mil",SUM($AK151)=0),"",SUM($AQ151)/$AK151)</f>
        <v>#REF!</v>
      </c>
      <c r="AS151" s="33">
        <f t="shared" si="34"/>
        <v>0.98</v>
      </c>
      <c r="AT151" s="33">
        <f t="shared" si="32"/>
        <v>0.98</v>
      </c>
      <c r="AU151" s="38">
        <f>IF($C151="&lt;01","",SUM($AP151)-SUM($O151))</f>
        <v>0</v>
      </c>
      <c r="AV151" s="38">
        <f>IF($C151="&lt;01",ROUND(INDEX(EID!$N:$N,MATCH($B151,EID!$B:$B,0))/2,0),IF(SUM($AT151)=0,"",ROUND((SUM($AP151)-(SUM($O151)*SUM($AS151)))/$AT151,0)))</f>
        <v>112</v>
      </c>
      <c r="AW151" s="33">
        <f t="shared" si="42"/>
        <v>1</v>
      </c>
      <c r="AX151" s="218">
        <f>IF($C151="&lt;01",SUM($AV151),ROUND(SUM($AV151)*SUM($AW151),0))</f>
        <v>112</v>
      </c>
      <c r="AY151" s="79">
        <f t="shared" si="43"/>
        <v>0.7</v>
      </c>
      <c r="AZ151" s="85">
        <f>IF($C151="&lt;01",ROUND(INDEX(EID!$R:$R,MATCH($B151,EID!$B:$B,0))/2,0),ROUND(SUM($O151)+(SUM($AV151)*$AY151),0))</f>
        <v>5557</v>
      </c>
      <c r="BA151" s="40">
        <f t="shared" si="31"/>
        <v>0.9</v>
      </c>
      <c r="BB151" s="99">
        <f>IF($C151="&lt;01",ROUND(INDEX(EID!$T:$T,MATCH($B151,EID!$B:$B,0))/2,0),ROUND($AP151*$BA151,0))</f>
        <v>4931</v>
      </c>
      <c r="BC151" s="85">
        <f>IF(LEFT($B151,4)="_Mil","",IF(SUM($BB151)=0,SUM($AD151),IF(OR(SUM($AP151)=0,SUM($AQ151)=0),MAX($BB151,$AD151),ROUND($BB151*$AQ151/$AP151,0))))</f>
        <v>5592</v>
      </c>
      <c r="BD151" s="33">
        <f t="shared" si="44"/>
        <v>0.95</v>
      </c>
      <c r="BE151" s="218">
        <f>IF($C151="&lt;01",ROUND(INDEX(EID!$V:$V,MATCH($B151,EID!$B:$B,0))/2,0),ROUND($BD151*$BB151,0))</f>
        <v>4684</v>
      </c>
      <c r="BF151" s="218">
        <f>IF(LEFT($B151,4)="_Mil","",IF(SUM($BE151)=0,SUM($AF151),IF(OR(SUM($AP151)=0,SUM($AQ151)=0),MAX($BE151,$AF151),ROUND($BE151*$AQ151/$AP151,0))))</f>
        <v>5311</v>
      </c>
      <c r="BG151" s="79">
        <f t="shared" si="45"/>
        <v>0.95</v>
      </c>
      <c r="BH151" s="99">
        <f>IF($C151="&lt;01",ROUND(INDEX(EID!$L:$L,MATCH($B151,EID!$B:$B,0)),0)/2,IF(SUM($BG151)=0,"",ROUND($AX151/$BG151,0)))</f>
        <v>118</v>
      </c>
    </row>
    <row r="152" spans="1:60" x14ac:dyDescent="0.2">
      <c r="A152" t="str">
        <f>INDEX(Prioritization!$D:$D,MATCH($B152,Prioritization!$A:$A,0))</f>
        <v>INVALID</v>
      </c>
      <c r="B152" t="s">
        <v>300</v>
      </c>
      <c r="C152" t="s">
        <v>477</v>
      </c>
      <c r="D152" t="s">
        <v>48</v>
      </c>
      <c r="E152" t="str">
        <f t="shared" si="35"/>
        <v>Kasungu District [JQKLKuVuY61]|35-49|Male</v>
      </c>
      <c r="F152" s="229">
        <v>2807</v>
      </c>
      <c r="G152" s="38">
        <v>240</v>
      </c>
      <c r="H152" s="38">
        <v>279</v>
      </c>
      <c r="I152" s="38">
        <v>2807</v>
      </c>
      <c r="J152" s="38">
        <v>1792</v>
      </c>
      <c r="K152" s="38">
        <v>1677</v>
      </c>
      <c r="L152" s="38">
        <v>65</v>
      </c>
      <c r="M152" s="38">
        <v>63</v>
      </c>
      <c r="N152" s="38">
        <v>3420</v>
      </c>
      <c r="O152" s="229">
        <v>2807</v>
      </c>
      <c r="P152" s="38">
        <v>3079</v>
      </c>
      <c r="Q152" s="38">
        <v>2924</v>
      </c>
      <c r="R152" s="38">
        <f t="shared" si="36"/>
        <v>0</v>
      </c>
      <c r="S152" s="38">
        <f>IF(LEFT($B152,4)="_Mil","",_xlfn.IFNA(ROUND(INDEX(Spectrum!$N:$N,MATCH(RIGHT($B152,13)&amp;"|"&amp;$C152&amp;"|"&amp;$D152&amp;"|"&amp;S$14&amp;"|"&amp;"CY2023Q4",Spectrum!$R:$R,0)),0),""))</f>
        <v>3312</v>
      </c>
      <c r="T152" s="218">
        <f>IF(LEFT($B152,4)="_Mil","",_xlfn.IFNA(ROUND(INDEX(Spectrum!$N:$N,MATCH(RIGHT($B152,13)&amp;"|"&amp;$C152&amp;"|"&amp;$D152&amp;"|"&amp;T$14&amp;"|"&amp;"CY2024Q3",Spectrum!$R:$R,0)),0),""))</f>
        <v>72207</v>
      </c>
      <c r="U152" s="218">
        <f>IF(LEFT($B152,4)="_Mil","",_xlfn.IFNA(ROUND(INDEX(Spectrum!$N:$N,MATCH(RIGHT($B152,13)&amp;"|"&amp;$C152&amp;"|"&amp;$D152&amp;"|"&amp;U$14&amp;"|"&amp;"CY2024Q3",Spectrum!$R:$R,0)),0),""))</f>
        <v>3486</v>
      </c>
      <c r="V152" s="38">
        <f>IF(LEFT($B152,4)="_Mil","",_xlfn.IFNA(ROUND(INDEX(Spectrum!$N:$N,MATCH(RIGHT($B152,13)&amp;"|"&amp;$C152&amp;"|"&amp;$D152&amp;"|"&amp;V$14&amp;"|"&amp;"CY2024Q3",Spectrum!$R:$R,0)),0),""))</f>
        <v>3527</v>
      </c>
      <c r="W152" s="220">
        <f>IF(LEFT($B152,4)="_Mil","",_xlfn.IFNA(INDEX(Spectrum!$N:$N,MATCH(RIGHT($B152,13)&amp;"|"&amp;$C152&amp;"|"&amp;$D152&amp;"|"&amp;W$14&amp;"|"&amp;"CY2024Q3",Spectrum!$R:$R,0)),""))</f>
        <v>4.8277970000000003E-2</v>
      </c>
      <c r="X152" s="218">
        <f>IF(LEFT($B152,4)="_Mil","",_xlfn.IFNA(ROUND(INDEX(Spectrum!$N:$N,MATCH(RIGHT($B152,13)&amp;"|"&amp;$C152&amp;"|"&amp;$D152&amp;"|"&amp;X$14&amp;"|"&amp;"CY2024Q3",Spectrum!$R:$R,0)),0),""))</f>
        <v>3248</v>
      </c>
      <c r="Y152" s="33">
        <f t="shared" si="37"/>
        <v>0.93</v>
      </c>
      <c r="Z152" s="218">
        <f>IF(LEFT($B152,4)="_Mil","",_xlfn.IFNA(ROUND(INDEX(Spectrum!$N:$N,MATCH(RIGHT($B152,13)&amp;"|"&amp;$C152&amp;"|"&amp;$D152&amp;"|"&amp;Z$14&amp;"|"&amp;"CY2024Q3",Spectrum!$R:$R,0)),0),""))</f>
        <v>3269</v>
      </c>
      <c r="AA152" s="33">
        <f>IF(LEFT($B152,4)="_Mil","",IFERROR(1/(1/INDEX(Spectrum!$N:$N,MATCH(RIGHT($B152,13)&amp;"|"&amp;$C152&amp;"|"&amp;$D152&amp;"|"&amp;AA$14&amp;"|"&amp;"CY2024Q3",Spectrum!$R:$R,0))),IF(SUM($U152)=0,"",SUM($Z152)/$U152)))</f>
        <v>0.92758116099999988</v>
      </c>
      <c r="AB152" s="33">
        <f t="shared" si="38"/>
        <v>1.0064655172413792</v>
      </c>
      <c r="AC152" s="38">
        <f>IF(LEFT($B152,4)="_Mil","",_xlfn.IFNA(ROUND(INDEX(Spectrum!$N:$N,MATCH(RIGHT($B152,13)&amp;"|"&amp;$C152&amp;"|"&amp;$D152&amp;"|"&amp;AC$14&amp;"|"&amp;"CY2024Q3",Spectrum!$R:$R,0)),0),""))</f>
        <v>258</v>
      </c>
      <c r="AD152" s="38" t="str">
        <f>IF(LEFT($B152,4)="_Mil","",_xlfn.IFNA(ROUND(INDEX(Spectrum!$N:$N,MATCH(RIGHT($B152,13)&amp;"|"&amp;$C152&amp;"|"&amp;$D152&amp;"|"&amp;AD$14&amp;"|"&amp;"CY2024Q3",Spectrum!$R:$R,0)),0),""))</f>
        <v/>
      </c>
      <c r="AE152" s="33">
        <f t="shared" si="39"/>
        <v>0</v>
      </c>
      <c r="AF152" s="218" t="str">
        <f>IF(LEFT($B152,4)="_Mil","",_xlfn.IFNA(ROUND(INDEX(Spectrum!$N:$N,MATCH(RIGHT($B152,13)&amp;"|"&amp;$C152&amp;"|"&amp;$D152&amp;"|"&amp;AF$14&amp;"|"&amp;"CY2024Q3",Spectrum!$R:$R,0)),0),""))</f>
        <v/>
      </c>
      <c r="AG152" s="33" t="str">
        <f t="shared" si="40"/>
        <v/>
      </c>
      <c r="AH152" s="110" t="str">
        <f>IF(LEFT($B152,4)="_Mil","",_xlfn.IFNA(INDEX(Spectrum!$N:$N,MATCH(RIGHT($B152,13)&amp;"|"&amp;$C152&amp;"|"&amp;$D152&amp;"|"&amp;AH$14&amp;"|"&amp;"CY2024Q3",Spectrum!$R:$R,0)),""))</f>
        <v/>
      </c>
      <c r="AI152" s="218">
        <f>IF(LEFT($B152,4)="_Mil","",_xlfn.IFNA(ROUND(INDEX(Spectrum!$N:$N,MATCH(RIGHT($B152,13)&amp;"|"&amp;$C152&amp;"|"&amp;$D152&amp;"|"&amp;AI$14&amp;"|"&amp;"CY2025Q3",Spectrum!$R:$R,0)),0),""))</f>
        <v>36</v>
      </c>
      <c r="AJ152" s="38">
        <f>IF(LEFT($B152,4)="_Mil","",_xlfn.IFNA(ROUND(INDEX(Spectrum!$N:$N,MATCH(RIGHT($B152,13)&amp;"|"&amp;$C152&amp;"|"&amp;$D152&amp;"|"&amp;AJ$14&amp;"|"&amp;"CY2025Q3",Spectrum!$R:$R,0)),0),""))</f>
        <v>3312</v>
      </c>
      <c r="AK152" s="218" t="e">
        <f>#REF!</f>
        <v>#REF!</v>
      </c>
      <c r="AL152" s="33">
        <f t="shared" si="41"/>
        <v>0.92758116099999988</v>
      </c>
      <c r="AM152" s="38" t="e">
        <f>IF(OR(LEFT($B152,4)="_Mil",$C152="&lt;01"),"",ROUND(SUM($AK152)*SUM($AL152),0))</f>
        <v>#REF!</v>
      </c>
      <c r="AN152" s="38" t="str">
        <f>IF($C152="&lt;01",ROUND(INDEX(EID!$P:$P,MATCH($B152,EID!$B:$B,0))/2,0),"")</f>
        <v/>
      </c>
      <c r="AO152" s="38" t="e">
        <f>IF($C152="&lt;01",SUM($AN152),ROUND(SUM($AM152)*SUM($O152)/IF(SUM($Z152)=0,1,$Z152),0))</f>
        <v>#REF!</v>
      </c>
      <c r="AP152" s="218">
        <f>IF(OR($F152="",$C152="&lt;01"),$AO152,ROUND($F152,0))</f>
        <v>2807</v>
      </c>
      <c r="AQ152" s="218">
        <f>IF(LEFT($B152,4)="_Mil","",IF(SUM($AP152)=0,SUM($Z152),IF(OR(SUM($Z152)=0,SUM($O152)=0),MAX($AP152,$Z152),ROUND($AP152*$Z152/$O152,0))))</f>
        <v>3269</v>
      </c>
      <c r="AR152" s="33" t="e">
        <f>IF(OR(LEFT($B152,4)="_Mil",SUM($AK152)=0),"",SUM($AQ152)/$AK152)</f>
        <v>#REF!</v>
      </c>
      <c r="AS152" s="33">
        <f t="shared" si="34"/>
        <v>0.98</v>
      </c>
      <c r="AT152" s="33">
        <f t="shared" si="32"/>
        <v>0.98</v>
      </c>
      <c r="AU152" s="38">
        <f>IF($C152="&lt;01","",SUM($AP152)-SUM($O152))</f>
        <v>0</v>
      </c>
      <c r="AV152" s="38">
        <f>IF($C152="&lt;01",ROUND(INDEX(EID!$N:$N,MATCH($B152,EID!$B:$B,0))/2,0),IF(SUM($AT152)=0,"",ROUND((SUM($AP152)-(SUM($O152)*SUM($AS152)))/$AT152,0)))</f>
        <v>57</v>
      </c>
      <c r="AW152" s="33">
        <f t="shared" si="42"/>
        <v>1</v>
      </c>
      <c r="AX152" s="218">
        <f>IF($C152="&lt;01",SUM($AV152),ROUND(SUM($AV152)*SUM($AW152),0))</f>
        <v>57</v>
      </c>
      <c r="AY152" s="79">
        <f t="shared" si="43"/>
        <v>0.7</v>
      </c>
      <c r="AZ152" s="85">
        <f>IF($C152="&lt;01",ROUND(INDEX(EID!$R:$R,MATCH($B152,EID!$B:$B,0))/2,0),ROUND(SUM($O152)+(SUM($AV152)*$AY152),0))</f>
        <v>2847</v>
      </c>
      <c r="BA152" s="40">
        <f t="shared" si="31"/>
        <v>0.9</v>
      </c>
      <c r="BB152" s="99">
        <f>IF($C152="&lt;01",ROUND(INDEX(EID!$T:$T,MATCH($B152,EID!$B:$B,0))/2,0),ROUND($AP152*$BA152,0))</f>
        <v>2526</v>
      </c>
      <c r="BC152" s="85">
        <f>IF(LEFT($B152,4)="_Mil","",IF(SUM($BB152)=0,SUM($AD152),IF(OR(SUM($AP152)=0,SUM($AQ152)=0),MAX($BB152,$AD152),ROUND($BB152*$AQ152/$AP152,0))))</f>
        <v>2942</v>
      </c>
      <c r="BD152" s="33">
        <f t="shared" si="44"/>
        <v>0.95</v>
      </c>
      <c r="BE152" s="218">
        <f>IF($C152="&lt;01",ROUND(INDEX(EID!$V:$V,MATCH($B152,EID!$B:$B,0))/2,0),ROUND($BD152*$BB152,0))</f>
        <v>2400</v>
      </c>
      <c r="BF152" s="218">
        <f>IF(LEFT($B152,4)="_Mil","",IF(SUM($BE152)=0,SUM($AF152),IF(OR(SUM($AP152)=0,SUM($AQ152)=0),MAX($BE152,$AF152),ROUND($BE152*$AQ152/$AP152,0))))</f>
        <v>2795</v>
      </c>
      <c r="BG152" s="79">
        <f t="shared" si="45"/>
        <v>0.95</v>
      </c>
      <c r="BH152" s="99">
        <f>IF($C152="&lt;01",ROUND(INDEX(EID!$L:$L,MATCH($B152,EID!$B:$B,0)),0)/2,IF(SUM($BG152)=0,"",ROUND($AX152/$BG152,0)))</f>
        <v>60</v>
      </c>
    </row>
    <row r="153" spans="1:60" x14ac:dyDescent="0.2">
      <c r="A153" t="str">
        <f>INDEX(Prioritization!$D:$D,MATCH($B153,Prioritization!$A:$A,0))</f>
        <v>INVALID</v>
      </c>
      <c r="B153" t="s">
        <v>300</v>
      </c>
      <c r="C153" t="s">
        <v>478</v>
      </c>
      <c r="D153" t="s">
        <v>30</v>
      </c>
      <c r="E153" t="str">
        <f t="shared" si="35"/>
        <v>Kasungu District [JQKLKuVuY61]|50+|Female</v>
      </c>
      <c r="F153" s="229">
        <v>3116</v>
      </c>
      <c r="G153" s="38">
        <v>54</v>
      </c>
      <c r="H153" s="38">
        <v>54</v>
      </c>
      <c r="I153" s="38">
        <v>2946</v>
      </c>
      <c r="J153" s="38">
        <v>1752</v>
      </c>
      <c r="K153" s="38">
        <v>1634</v>
      </c>
      <c r="L153" s="38">
        <v>107</v>
      </c>
      <c r="M153" s="38">
        <v>105</v>
      </c>
      <c r="N153" s="38">
        <v>2735</v>
      </c>
      <c r="O153" s="229">
        <v>2904</v>
      </c>
      <c r="P153" s="38">
        <v>2417</v>
      </c>
      <c r="Q153" s="38">
        <v>2296</v>
      </c>
      <c r="R153" s="38">
        <f t="shared" si="36"/>
        <v>-42</v>
      </c>
      <c r="S153" s="38">
        <f>IF(LEFT($B153,4)="_Mil","",_xlfn.IFNA(ROUND(INDEX(Spectrum!$N:$N,MATCH(RIGHT($B153,13)&amp;"|"&amp;$C153&amp;"|"&amp;$D153&amp;"|"&amp;S$14&amp;"|"&amp;"CY2023Q4",Spectrum!$R:$R,0)),0),""))</f>
        <v>2691</v>
      </c>
      <c r="T153" s="218">
        <f>IF(LEFT($B153,4)="_Mil","",_xlfn.IFNA(ROUND(INDEX(Spectrum!$N:$N,MATCH(RIGHT($B153,13)&amp;"|"&amp;$C153&amp;"|"&amp;$D153&amp;"|"&amp;T$14&amp;"|"&amp;"CY2024Q3",Spectrum!$R:$R,0)),0),""))</f>
        <v>41307</v>
      </c>
      <c r="U153" s="218">
        <f>IF(LEFT($B153,4)="_Mil","",_xlfn.IFNA(ROUND(INDEX(Spectrum!$N:$N,MATCH(RIGHT($B153,13)&amp;"|"&amp;$C153&amp;"|"&amp;$D153&amp;"|"&amp;U$14&amp;"|"&amp;"CY2024Q3",Spectrum!$R:$R,0)),0),""))</f>
        <v>2829</v>
      </c>
      <c r="V153" s="38">
        <f>IF(LEFT($B153,4)="_Mil","",_xlfn.IFNA(ROUND(INDEX(Spectrum!$N:$N,MATCH(RIGHT($B153,13)&amp;"|"&amp;$C153&amp;"|"&amp;$D153&amp;"|"&amp;V$14&amp;"|"&amp;"CY2024Q3",Spectrum!$R:$R,0)),0),""))</f>
        <v>2904</v>
      </c>
      <c r="W153" s="220">
        <f>IF(LEFT($B153,4)="_Mil","",_xlfn.IFNA(INDEX(Spectrum!$N:$N,MATCH(RIGHT($B153,13)&amp;"|"&amp;$C153&amp;"|"&amp;$D153&amp;"|"&amp;W$14&amp;"|"&amp;"CY2024Q3",Spectrum!$R:$R,0)),""))</f>
        <v>6.8478301000000005E-2</v>
      </c>
      <c r="X153" s="218">
        <f>IF(LEFT($B153,4)="_Mil","",_xlfn.IFNA(ROUND(INDEX(Spectrum!$N:$N,MATCH(RIGHT($B153,13)&amp;"|"&amp;$C153&amp;"|"&amp;$D153&amp;"|"&amp;X$14&amp;"|"&amp;"CY2024Q3",Spectrum!$R:$R,0)),0),""))</f>
        <v>2802</v>
      </c>
      <c r="Y153" s="33">
        <f t="shared" si="37"/>
        <v>0.99</v>
      </c>
      <c r="Z153" s="218">
        <f>IF(LEFT($B153,4)="_Mil","",_xlfn.IFNA(ROUND(INDEX(Spectrum!$N:$N,MATCH(RIGHT($B153,13)&amp;"|"&amp;$C153&amp;"|"&amp;$D153&amp;"|"&amp;Z$14&amp;"|"&amp;"CY2024Q3",Spectrum!$R:$R,0)),0),""))</f>
        <v>2870</v>
      </c>
      <c r="AA153" s="33">
        <f>IF(LEFT($B153,4)="_Mil","",IFERROR(1/(1/INDEX(Spectrum!$N:$N,MATCH(RIGHT($B153,13)&amp;"|"&amp;$C153&amp;"|"&amp;$D153&amp;"|"&amp;AA$14&amp;"|"&amp;"CY2024Q3",Spectrum!$R:$R,0))),IF(SUM($U153)=0,"",SUM($Z153)/$U153)))</f>
        <v>0.98875709199999995</v>
      </c>
      <c r="AB153" s="33">
        <f t="shared" si="38"/>
        <v>1.0242683797287653</v>
      </c>
      <c r="AC153" s="38">
        <f>IF(LEFT($B153,4)="_Mil","",_xlfn.IFNA(ROUND(INDEX(Spectrum!$N:$N,MATCH(RIGHT($B153,13)&amp;"|"&amp;$C153&amp;"|"&amp;$D153&amp;"|"&amp;AC$14&amp;"|"&amp;"CY2024Q3",Spectrum!$R:$R,0)),0),""))</f>
        <v>34</v>
      </c>
      <c r="AD153" s="38" t="str">
        <f>IF(LEFT($B153,4)="_Mil","",_xlfn.IFNA(ROUND(INDEX(Spectrum!$N:$N,MATCH(RIGHT($B153,13)&amp;"|"&amp;$C153&amp;"|"&amp;$D153&amp;"|"&amp;AD$14&amp;"|"&amp;"CY2024Q3",Spectrum!$R:$R,0)),0),""))</f>
        <v/>
      </c>
      <c r="AE153" s="33">
        <f t="shared" si="39"/>
        <v>0</v>
      </c>
      <c r="AF153" s="218" t="str">
        <f>IF(LEFT($B153,4)="_Mil","",_xlfn.IFNA(ROUND(INDEX(Spectrum!$N:$N,MATCH(RIGHT($B153,13)&amp;"|"&amp;$C153&amp;"|"&amp;$D153&amp;"|"&amp;AF$14&amp;"|"&amp;"CY2024Q3",Spectrum!$R:$R,0)),0),""))</f>
        <v/>
      </c>
      <c r="AG153" s="33" t="str">
        <f t="shared" si="40"/>
        <v/>
      </c>
      <c r="AH153" s="110" t="str">
        <f>IF(LEFT($B153,4)="_Mil","",_xlfn.IFNA(INDEX(Spectrum!$N:$N,MATCH(RIGHT($B153,13)&amp;"|"&amp;$C153&amp;"|"&amp;$D153&amp;"|"&amp;AH$14&amp;"|"&amp;"CY2024Q3",Spectrum!$R:$R,0)),""))</f>
        <v/>
      </c>
      <c r="AI153" s="218">
        <f>IF(LEFT($B153,4)="_Mil","",_xlfn.IFNA(ROUND(INDEX(Spectrum!$N:$N,MATCH(RIGHT($B153,13)&amp;"|"&amp;$C153&amp;"|"&amp;$D153&amp;"|"&amp;AI$14&amp;"|"&amp;"CY2025Q3",Spectrum!$R:$R,0)),0),""))</f>
        <v>5</v>
      </c>
      <c r="AJ153" s="38">
        <f>IF(LEFT($B153,4)="_Mil","",_xlfn.IFNA(ROUND(INDEX(Spectrum!$N:$N,MATCH(RIGHT($B153,13)&amp;"|"&amp;$C153&amp;"|"&amp;$D153&amp;"|"&amp;AJ$14&amp;"|"&amp;"CY2025Q3",Spectrum!$R:$R,0)),0),""))</f>
        <v>3079</v>
      </c>
      <c r="AK153" s="218" t="e">
        <f>#REF!</f>
        <v>#REF!</v>
      </c>
      <c r="AL153" s="33">
        <f t="shared" si="41"/>
        <v>0.98875709199999995</v>
      </c>
      <c r="AM153" s="38" t="e">
        <f>IF(OR(LEFT($B153,4)="_Mil",$C153="&lt;01"),"",ROUND(SUM($AK153)*SUM($AL153),0))</f>
        <v>#REF!</v>
      </c>
      <c r="AN153" s="38" t="str">
        <f>IF($C153="&lt;01",ROUND(INDEX(EID!$P:$P,MATCH($B153,EID!$B:$B,0))/2,0),"")</f>
        <v/>
      </c>
      <c r="AO153" s="38" t="e">
        <f>IF($C153="&lt;01",SUM($AN153),ROUND(SUM($AM153)*SUM($O153)/IF(SUM($Z153)=0,1,$Z153),0))</f>
        <v>#REF!</v>
      </c>
      <c r="AP153" s="218">
        <f>IF(OR($F153="",$C153="&lt;01"),$AO153,ROUND($F153,0))</f>
        <v>3116</v>
      </c>
      <c r="AQ153" s="218">
        <f>IF(LEFT($B153,4)="_Mil","",IF(SUM($AP153)=0,SUM($Z153),IF(OR(SUM($Z153)=0,SUM($O153)=0),MAX($AP153,$Z153),ROUND($AP153*$Z153/$O153,0))))</f>
        <v>3080</v>
      </c>
      <c r="AR153" s="33" t="e">
        <f>IF(OR(LEFT($B153,4)="_Mil",SUM($AK153)=0),"",SUM($AQ153)/$AK153)</f>
        <v>#REF!</v>
      </c>
      <c r="AS153" s="33">
        <v>1.02</v>
      </c>
      <c r="AT153" s="33">
        <f>IF($C153="&lt;01","",100%)</f>
        <v>1</v>
      </c>
      <c r="AU153" s="38">
        <f>IF($C153="&lt;01","",SUM($AP153)-SUM($O153))</f>
        <v>212</v>
      </c>
      <c r="AV153" s="38">
        <f>IF($C153="&lt;01",ROUND(INDEX(EID!$N:$N,MATCH($B153,EID!$B:$B,0))/2,0),IF(SUM($AT153)=0,"",ROUND((SUM($AP153)-(SUM($O153)*SUM($AS153)))/$AT153,0)))</f>
        <v>154</v>
      </c>
      <c r="AW153" s="33">
        <v>0.8</v>
      </c>
      <c r="AX153" s="218">
        <f>IF($C153="&lt;01",SUM($AV153),ROUND(SUM($AV153)*SUM($AW153),0))</f>
        <v>123</v>
      </c>
      <c r="AY153" s="79">
        <f t="shared" si="43"/>
        <v>0.7</v>
      </c>
      <c r="AZ153" s="85">
        <f>IF($C153="&lt;01",ROUND(INDEX(EID!$R:$R,MATCH($B153,EID!$B:$B,0))/2,0),ROUND(SUM($O153)+(SUM($AV153)*$AY153),0))</f>
        <v>3012</v>
      </c>
      <c r="BA153" s="40">
        <f t="shared" si="31"/>
        <v>0.9</v>
      </c>
      <c r="BB153" s="99">
        <f>IF($C153="&lt;01",ROUND(INDEX(EID!$T:$T,MATCH($B153,EID!$B:$B,0))/2,0),ROUND($AP153*$BA153,0))</f>
        <v>2804</v>
      </c>
      <c r="BC153" s="85">
        <f>IF(LEFT($B153,4)="_Mil","",IF(SUM($BB153)=0,SUM($AD153),IF(OR(SUM($AP153)=0,SUM($AQ153)=0),MAX($BB153,$AD153),ROUND($BB153*$AQ153/$AP153,0))))</f>
        <v>2772</v>
      </c>
      <c r="BD153" s="33">
        <f t="shared" si="44"/>
        <v>0.95</v>
      </c>
      <c r="BE153" s="218">
        <f>IF($C153="&lt;01",ROUND(INDEX(EID!$V:$V,MATCH($B153,EID!$B:$B,0))/2,0),ROUND($BD153*$BB153,0))</f>
        <v>2664</v>
      </c>
      <c r="BF153" s="218">
        <f>IF(LEFT($B153,4)="_Mil","",IF(SUM($BE153)=0,SUM($AF153),IF(OR(SUM($AP153)=0,SUM($AQ153)=0),MAX($BE153,$AF153),ROUND($BE153*$AQ153/$AP153,0))))</f>
        <v>2633</v>
      </c>
      <c r="BG153" s="79">
        <f t="shared" si="45"/>
        <v>0.95</v>
      </c>
      <c r="BH153" s="99">
        <f>IF($C153="&lt;01",ROUND(INDEX(EID!$L:$L,MATCH($B153,EID!$B:$B,0)),0)/2,IF(SUM($BG153)=0,"",ROUND($AX153/$BG153,0)))</f>
        <v>129</v>
      </c>
    </row>
    <row r="154" spans="1:60" x14ac:dyDescent="0.2">
      <c r="A154" t="str">
        <f>INDEX(Prioritization!$D:$D,MATCH($B154,Prioritization!$A:$A,0))</f>
        <v>INVALID</v>
      </c>
      <c r="B154" t="s">
        <v>300</v>
      </c>
      <c r="C154" t="s">
        <v>478</v>
      </c>
      <c r="D154" t="s">
        <v>48</v>
      </c>
      <c r="E154" t="str">
        <f t="shared" si="35"/>
        <v>Kasungu District [JQKLKuVuY61]|50+|Male</v>
      </c>
      <c r="F154" s="229">
        <v>2912</v>
      </c>
      <c r="G154" s="38">
        <v>85</v>
      </c>
      <c r="H154" s="38">
        <v>95</v>
      </c>
      <c r="I154" s="38">
        <v>2671</v>
      </c>
      <c r="J154" s="38">
        <v>1602</v>
      </c>
      <c r="K154" s="38">
        <v>1496</v>
      </c>
      <c r="L154" s="38">
        <v>39</v>
      </c>
      <c r="M154" s="38">
        <v>37</v>
      </c>
      <c r="N154" s="38">
        <v>2641</v>
      </c>
      <c r="O154" s="229">
        <v>2756</v>
      </c>
      <c r="P154" s="38">
        <v>2380</v>
      </c>
      <c r="Q154" s="38">
        <v>2261</v>
      </c>
      <c r="R154" s="38">
        <f t="shared" si="36"/>
        <v>85</v>
      </c>
      <c r="S154" s="38">
        <f>IF(LEFT($B154,4)="_Mil","",_xlfn.IFNA(ROUND(INDEX(Spectrum!$N:$N,MATCH(RIGHT($B154,13)&amp;"|"&amp;$C154&amp;"|"&amp;$D154&amp;"|"&amp;S$14&amp;"|"&amp;"CY2023Q4",Spectrum!$R:$R,0)),0),""))</f>
        <v>2471</v>
      </c>
      <c r="T154" s="218">
        <f>IF(LEFT($B154,4)="_Mil","",_xlfn.IFNA(ROUND(INDEX(Spectrum!$N:$N,MATCH(RIGHT($B154,13)&amp;"|"&amp;$C154&amp;"|"&amp;$D154&amp;"|"&amp;T$14&amp;"|"&amp;"CY2024Q3",Spectrum!$R:$R,0)),0),""))</f>
        <v>38951</v>
      </c>
      <c r="U154" s="218">
        <f>IF(LEFT($B154,4)="_Mil","",_xlfn.IFNA(ROUND(INDEX(Spectrum!$N:$N,MATCH(RIGHT($B154,13)&amp;"|"&amp;$C154&amp;"|"&amp;$D154&amp;"|"&amp;U$14&amp;"|"&amp;"CY2024Q3",Spectrum!$R:$R,0)),0),""))</f>
        <v>2710</v>
      </c>
      <c r="V154" s="38">
        <f>IF(LEFT($B154,4)="_Mil","",_xlfn.IFNA(ROUND(INDEX(Spectrum!$N:$N,MATCH(RIGHT($B154,13)&amp;"|"&amp;$C154&amp;"|"&amp;$D154&amp;"|"&amp;V$14&amp;"|"&amp;"CY2024Q3",Spectrum!$R:$R,0)),0),""))</f>
        <v>2756</v>
      </c>
      <c r="W154" s="220">
        <f>IF(LEFT($B154,4)="_Mil","",_xlfn.IFNA(INDEX(Spectrum!$N:$N,MATCH(RIGHT($B154,13)&amp;"|"&amp;$C154&amp;"|"&amp;$D154&amp;"|"&amp;W$14&amp;"|"&amp;"CY2024Q3",Spectrum!$R:$R,0)),""))</f>
        <v>6.9580300999999997E-2</v>
      </c>
      <c r="X154" s="218">
        <f>IF(LEFT($B154,4)="_Mil","",_xlfn.IFNA(ROUND(INDEX(Spectrum!$N:$N,MATCH(RIGHT($B154,13)&amp;"|"&amp;$C154&amp;"|"&amp;$D154&amp;"|"&amp;X$14&amp;"|"&amp;"CY2024Q3",Spectrum!$R:$R,0)),0),""))</f>
        <v>2584</v>
      </c>
      <c r="Y154" s="33">
        <f t="shared" si="37"/>
        <v>0.95</v>
      </c>
      <c r="Z154" s="218">
        <f>IF(LEFT($B154,4)="_Mil","",_xlfn.IFNA(ROUND(INDEX(Spectrum!$N:$N,MATCH(RIGHT($B154,13)&amp;"|"&amp;$C154&amp;"|"&amp;$D154&amp;"|"&amp;Z$14&amp;"|"&amp;"CY2024Q3",Spectrum!$R:$R,0)),0),""))</f>
        <v>2617</v>
      </c>
      <c r="AA154" s="33">
        <f>IF(LEFT($B154,4)="_Mil","",IFERROR(1/(1/INDEX(Spectrum!$N:$N,MATCH(RIGHT($B154,13)&amp;"|"&amp;$C154&amp;"|"&amp;$D154&amp;"|"&amp;AA$14&amp;"|"&amp;"CY2024Q3",Spectrum!$R:$R,0))),IF(SUM($U154)=0,"",SUM($Z154)/$U154)))</f>
        <v>0.95031301300000004</v>
      </c>
      <c r="AB154" s="33">
        <f t="shared" si="38"/>
        <v>1.0127708978328174</v>
      </c>
      <c r="AC154" s="38">
        <f>IF(LEFT($B154,4)="_Mil","",_xlfn.IFNA(ROUND(INDEX(Spectrum!$N:$N,MATCH(RIGHT($B154,13)&amp;"|"&amp;$C154&amp;"|"&amp;$D154&amp;"|"&amp;AC$14&amp;"|"&amp;"CY2024Q3",Spectrum!$R:$R,0)),0),""))</f>
        <v>139</v>
      </c>
      <c r="AD154" s="38" t="str">
        <f>IF(LEFT($B154,4)="_Mil","",_xlfn.IFNA(ROUND(INDEX(Spectrum!$N:$N,MATCH(RIGHT($B154,13)&amp;"|"&amp;$C154&amp;"|"&amp;$D154&amp;"|"&amp;AD$14&amp;"|"&amp;"CY2024Q3",Spectrum!$R:$R,0)),0),""))</f>
        <v/>
      </c>
      <c r="AE154" s="33">
        <f t="shared" si="39"/>
        <v>0</v>
      </c>
      <c r="AF154" s="218" t="str">
        <f>IF(LEFT($B154,4)="_Mil","",_xlfn.IFNA(ROUND(INDEX(Spectrum!$N:$N,MATCH(RIGHT($B154,13)&amp;"|"&amp;$C154&amp;"|"&amp;$D154&amp;"|"&amp;AF$14&amp;"|"&amp;"CY2024Q3",Spectrum!$R:$R,0)),0),""))</f>
        <v/>
      </c>
      <c r="AG154" s="33" t="str">
        <f t="shared" si="40"/>
        <v/>
      </c>
      <c r="AH154" s="110" t="str">
        <f>IF(LEFT($B154,4)="_Mil","",_xlfn.IFNA(INDEX(Spectrum!$N:$N,MATCH(RIGHT($B154,13)&amp;"|"&amp;$C154&amp;"|"&amp;$D154&amp;"|"&amp;AH$14&amp;"|"&amp;"CY2024Q3",Spectrum!$R:$R,0)),""))</f>
        <v/>
      </c>
      <c r="AI154" s="218">
        <f>IF(LEFT($B154,4)="_Mil","",_xlfn.IFNA(ROUND(INDEX(Spectrum!$N:$N,MATCH(RIGHT($B154,13)&amp;"|"&amp;$C154&amp;"|"&amp;$D154&amp;"|"&amp;AI$14&amp;"|"&amp;"CY2025Q3",Spectrum!$R:$R,0)),0),""))</f>
        <v>11</v>
      </c>
      <c r="AJ154" s="38">
        <f>IF(LEFT($B154,4)="_Mil","",_xlfn.IFNA(ROUND(INDEX(Spectrum!$N:$N,MATCH(RIGHT($B154,13)&amp;"|"&amp;$C154&amp;"|"&amp;$D154&amp;"|"&amp;AJ$14&amp;"|"&amp;"CY2025Q3",Spectrum!$R:$R,0)),0),""))</f>
        <v>2868</v>
      </c>
      <c r="AK154" s="218" t="e">
        <f>#REF!</f>
        <v>#REF!</v>
      </c>
      <c r="AL154" s="33">
        <f t="shared" si="41"/>
        <v>0.95031301300000004</v>
      </c>
      <c r="AM154" s="38" t="e">
        <f>IF(OR(LEFT($B154,4)="_Mil",$C154="&lt;01"),"",ROUND(SUM($AK154)*SUM($AL154),0))</f>
        <v>#REF!</v>
      </c>
      <c r="AN154" s="38" t="str">
        <f>IF($C154="&lt;01",ROUND(INDEX(EID!$P:$P,MATCH($B154,EID!$B:$B,0))/2,0),"")</f>
        <v/>
      </c>
      <c r="AO154" s="38" t="e">
        <f>IF($C154="&lt;01",SUM($AN154),ROUND(SUM($AM154)*SUM($O154)/IF(SUM($Z154)=0,1,$Z154),0))</f>
        <v>#REF!</v>
      </c>
      <c r="AP154" s="218">
        <f>IF(OR($F154="",$C154="&lt;01"),$AO154,ROUND($F154,0))</f>
        <v>2912</v>
      </c>
      <c r="AQ154" s="218">
        <f>IF(LEFT($B154,4)="_Mil","",IF(SUM($AP154)=0,SUM($Z154),IF(OR(SUM($Z154)=0,SUM($O154)=0),MAX($AP154,$Z154),ROUND($AP154*$Z154/$O154,0))))</f>
        <v>2765</v>
      </c>
      <c r="AR154" s="33" t="e">
        <f>IF(OR(LEFT($B154,4)="_Mil",SUM($AK154)=0),"",SUM($AQ154)/$AK154)</f>
        <v>#REF!</v>
      </c>
      <c r="AS154" s="33">
        <v>1.02</v>
      </c>
      <c r="AT154" s="33">
        <f>IF($C154="&lt;01","",100%)</f>
        <v>1</v>
      </c>
      <c r="AU154" s="38">
        <f>IF($C154="&lt;01","",SUM($AP154)-SUM($O154))</f>
        <v>156</v>
      </c>
      <c r="AV154" s="38">
        <f>IF($C154="&lt;01",ROUND(INDEX(EID!$N:$N,MATCH($B154,EID!$B:$B,0))/2,0),IF(SUM($AT154)=0,"",ROUND((SUM($AP154)-(SUM($O154)*SUM($AS154)))/$AT154,0)))</f>
        <v>101</v>
      </c>
      <c r="AW154" s="33">
        <v>0.8</v>
      </c>
      <c r="AX154" s="218">
        <f>IF($C154="&lt;01",SUM($AV154),ROUND(SUM($AV154)*SUM($AW154),0))</f>
        <v>81</v>
      </c>
      <c r="AY154" s="79">
        <f t="shared" si="43"/>
        <v>0.7</v>
      </c>
      <c r="AZ154" s="85">
        <f>IF($C154="&lt;01",ROUND(INDEX(EID!$R:$R,MATCH($B154,EID!$B:$B,0))/2,0),ROUND(SUM($O154)+(SUM($AV154)*$AY154),0))</f>
        <v>2827</v>
      </c>
      <c r="BA154" s="40">
        <f t="shared" si="31"/>
        <v>0.9</v>
      </c>
      <c r="BB154" s="99">
        <f>IF($C154="&lt;01",ROUND(INDEX(EID!$T:$T,MATCH($B154,EID!$B:$B,0))/2,0),ROUND($AP154*$BA154,0))</f>
        <v>2621</v>
      </c>
      <c r="BC154" s="85">
        <f>IF(LEFT($B154,4)="_Mil","",IF(SUM($BB154)=0,SUM($AD154),IF(OR(SUM($AP154)=0,SUM($AQ154)=0),MAX($BB154,$AD154),ROUND($BB154*$AQ154/$AP154,0))))</f>
        <v>2489</v>
      </c>
      <c r="BD154" s="33">
        <f t="shared" si="44"/>
        <v>0.95</v>
      </c>
      <c r="BE154" s="218">
        <f>IF($C154="&lt;01",ROUND(INDEX(EID!$V:$V,MATCH($B154,EID!$B:$B,0))/2,0),ROUND($BD154*$BB154,0))</f>
        <v>2490</v>
      </c>
      <c r="BF154" s="218">
        <f>IF(LEFT($B154,4)="_Mil","",IF(SUM($BE154)=0,SUM($AF154),IF(OR(SUM($AP154)=0,SUM($AQ154)=0),MAX($BE154,$AF154),ROUND($BE154*$AQ154/$AP154,0))))</f>
        <v>2364</v>
      </c>
      <c r="BG154" s="79">
        <f t="shared" si="45"/>
        <v>0.95</v>
      </c>
      <c r="BH154" s="99">
        <f>IF($C154="&lt;01",ROUND(INDEX(EID!$L:$L,MATCH($B154,EID!$B:$B,0)),0)/2,IF(SUM($BG154)=0,"",ROUND($AX154/$BG154,0)))</f>
        <v>85</v>
      </c>
    </row>
    <row r="155" spans="1:60" x14ac:dyDescent="0.2">
      <c r="A155" t="str">
        <f>INDEX(Prioritization!$D:$D,MATCH($B155,Prioritization!$A:$A,0))</f>
        <v>4 - Sustained</v>
      </c>
      <c r="B155" t="s">
        <v>309</v>
      </c>
      <c r="C155" t="s">
        <v>426</v>
      </c>
      <c r="D155" t="s">
        <v>30</v>
      </c>
      <c r="E155" t="str">
        <f t="shared" si="35"/>
        <v>Likoma District [ZCjuwgaMB9u]|&lt;01|Female</v>
      </c>
      <c r="F155" s="229">
        <v>0</v>
      </c>
      <c r="G155" s="38">
        <v>3</v>
      </c>
      <c r="H155" s="38"/>
      <c r="I155" s="38"/>
      <c r="J155" s="38">
        <v>0</v>
      </c>
      <c r="K155" s="38">
        <v>0</v>
      </c>
      <c r="L155" s="38"/>
      <c r="M155" s="38">
        <v>1</v>
      </c>
      <c r="N155" s="38">
        <v>1</v>
      </c>
      <c r="O155" s="229">
        <v>0</v>
      </c>
      <c r="P155" s="38">
        <v>1</v>
      </c>
      <c r="Q155" s="38">
        <v>1</v>
      </c>
      <c r="R155" s="38" t="str">
        <f t="shared" si="36"/>
        <v/>
      </c>
      <c r="S155" s="38">
        <f>IF(LEFT($B155,4)="_Mil","",_xlfn.IFNA(ROUND(INDEX(Spectrum!$N:$N,MATCH(RIGHT($B155,13)&amp;"|"&amp;$C155&amp;"|"&amp;$D155&amp;"|"&amp;S$14&amp;"|"&amp;"CY2023Q4",Spectrum!$R:$R,0)),0),""))</f>
        <v>0</v>
      </c>
      <c r="T155" s="218">
        <f>IF(LEFT($B155,4)="_Mil","",_xlfn.IFNA(ROUND(INDEX(Spectrum!$N:$N,MATCH(RIGHT($B155,13)&amp;"|"&amp;$C155&amp;"|"&amp;$D155&amp;"|"&amp;T$14&amp;"|"&amp;"CY2024Q3",Spectrum!$R:$R,0)),0),""))</f>
        <v>198</v>
      </c>
      <c r="U155" s="218">
        <f>IF(LEFT($B155,4)="_Mil","",_xlfn.IFNA(ROUND(INDEX(Spectrum!$N:$N,MATCH(RIGHT($B155,13)&amp;"|"&amp;$C155&amp;"|"&amp;$D155&amp;"|"&amp;U$14&amp;"|"&amp;"CY2024Q3",Spectrum!$R:$R,0)),0),""))</f>
        <v>0</v>
      </c>
      <c r="V155" s="38">
        <f>IF(LEFT($B155,4)="_Mil","",_xlfn.IFNA(ROUND(INDEX(Spectrum!$N:$N,MATCH(RIGHT($B155,13)&amp;"|"&amp;$C155&amp;"|"&amp;$D155&amp;"|"&amp;V$14&amp;"|"&amp;"CY2024Q3",Spectrum!$R:$R,0)),0),""))</f>
        <v>0</v>
      </c>
      <c r="W155" s="220">
        <f>IF(LEFT($B155,4)="_Mil","",_xlfn.IFNA(INDEX(Spectrum!$N:$N,MATCH(RIGHT($B155,13)&amp;"|"&amp;$C155&amp;"|"&amp;$D155&amp;"|"&amp;W$14&amp;"|"&amp;"CY2024Q3",Spectrum!$R:$R,0)),""))</f>
        <v>2.2839459999999998E-3</v>
      </c>
      <c r="X155" s="218">
        <f>IF(LEFT($B155,4)="_Mil","",_xlfn.IFNA(ROUND(INDEX(Spectrum!$N:$N,MATCH(RIGHT($B155,13)&amp;"|"&amp;$C155&amp;"|"&amp;$D155&amp;"|"&amp;X$14&amp;"|"&amp;"CY2024Q3",Spectrum!$R:$R,0)),0),""))</f>
        <v>0</v>
      </c>
      <c r="Y155" s="33" t="str">
        <f t="shared" si="37"/>
        <v/>
      </c>
      <c r="Z155" s="218">
        <f>IF(LEFT($B155,4)="_Mil","",_xlfn.IFNA(ROUND(INDEX(Spectrum!$N:$N,MATCH(RIGHT($B155,13)&amp;"|"&amp;$C155&amp;"|"&amp;$D155&amp;"|"&amp;Z$14&amp;"|"&amp;"CY2024Q3",Spectrum!$R:$R,0)),0),""))</f>
        <v>0</v>
      </c>
      <c r="AA155" s="33">
        <f>IF(LEFT($B155,4)="_Mil","",IFERROR(1/(1/INDEX(Spectrum!$N:$N,MATCH(RIGHT($B155,13)&amp;"|"&amp;$C155&amp;"|"&amp;$D155&amp;"|"&amp;AA$14&amp;"|"&amp;"CY2024Q3",Spectrum!$R:$R,0))),IF(SUM($U155)=0,"",SUM($Z155)/$U155)))</f>
        <v>0.77798547399999995</v>
      </c>
      <c r="AB155" s="33" t="str">
        <f t="shared" si="38"/>
        <v/>
      </c>
      <c r="AC155" s="38">
        <f>IF(LEFT($B155,4)="_Mil","",_xlfn.IFNA(ROUND(INDEX(Spectrum!$N:$N,MATCH(RIGHT($B155,13)&amp;"|"&amp;$C155&amp;"|"&amp;$D155&amp;"|"&amp;AC$14&amp;"|"&amp;"CY2024Q3",Spectrum!$R:$R,0)),0),""))</f>
        <v>0</v>
      </c>
      <c r="AD155" s="38" t="str">
        <f>IF(LEFT($B155,4)="_Mil","",_xlfn.IFNA(ROUND(INDEX(Spectrum!$N:$N,MATCH(RIGHT($B155,13)&amp;"|"&amp;$C155&amp;"|"&amp;$D155&amp;"|"&amp;AD$14&amp;"|"&amp;"CY2024Q3",Spectrum!$R:$R,0)),0),""))</f>
        <v/>
      </c>
      <c r="AE155" s="33" t="str">
        <f t="shared" si="39"/>
        <v/>
      </c>
      <c r="AF155" s="218" t="str">
        <f>IF(LEFT($B155,4)="_Mil","",_xlfn.IFNA(ROUND(INDEX(Spectrum!$N:$N,MATCH(RIGHT($B155,13)&amp;"|"&amp;$C155&amp;"|"&amp;$D155&amp;"|"&amp;AF$14&amp;"|"&amp;"CY2024Q3",Spectrum!$R:$R,0)),0),""))</f>
        <v/>
      </c>
      <c r="AG155" s="33" t="str">
        <f t="shared" si="40"/>
        <v/>
      </c>
      <c r="AH155" s="110" t="str">
        <f>IF(LEFT($B155,4)="_Mil","",_xlfn.IFNA(INDEX(Spectrum!$N:$N,MATCH(RIGHT($B155,13)&amp;"|"&amp;$C155&amp;"|"&amp;$D155&amp;"|"&amp;AH$14&amp;"|"&amp;"CY2024Q3",Spectrum!$R:$R,0)),""))</f>
        <v/>
      </c>
      <c r="AI155" s="218">
        <f>IF(LEFT($B155,4)="_Mil","",_xlfn.IFNA(ROUND(INDEX(Spectrum!$N:$N,MATCH(RIGHT($B155,13)&amp;"|"&amp;$C155&amp;"|"&amp;$D155&amp;"|"&amp;AI$14&amp;"|"&amp;"CY2025Q3",Spectrum!$R:$R,0)),0),""))</f>
        <v>0</v>
      </c>
      <c r="AJ155" s="38">
        <f>IF(LEFT($B155,4)="_Mil","",_xlfn.IFNA(ROUND(INDEX(Spectrum!$N:$N,MATCH(RIGHT($B155,13)&amp;"|"&amp;$C155&amp;"|"&amp;$D155&amp;"|"&amp;AJ$14&amp;"|"&amp;"CY2025Q3",Spectrum!$R:$R,0)),0),""))</f>
        <v>0</v>
      </c>
      <c r="AK155" s="218" t="e">
        <f>#REF!</f>
        <v>#REF!</v>
      </c>
      <c r="AL155" s="33" t="str">
        <f t="shared" si="41"/>
        <v/>
      </c>
      <c r="AM155" s="38" t="str">
        <f>IF(OR(LEFT($B155,4)="_Mil",$C155="&lt;01"),"",ROUND(SUM($AK155)*SUM($AL155),0))</f>
        <v/>
      </c>
      <c r="AN155" s="38">
        <f>IF($C155="&lt;01",ROUND(INDEX(EID!$P:$P,MATCH($B155,EID!$B:$B,0))/2,0),"")</f>
        <v>0</v>
      </c>
      <c r="AO155" s="38">
        <f>IF($C155="&lt;01",SUM($AN155),ROUND(SUM($AM155)*SUM($O155)/IF(SUM($Z155)=0,1,$Z155),0))</f>
        <v>0</v>
      </c>
      <c r="AP155" s="218">
        <f>IF(OR($F155="",$C155="&lt;01"),$AO155,ROUND($F155,0))</f>
        <v>0</v>
      </c>
      <c r="AQ155" s="218">
        <f>IF(LEFT($B155,4)="_Mil","",IF(SUM($AP155)=0,SUM($Z155),IF(OR(SUM($Z155)=0,SUM($O155)=0),MAX($AP155,$Z155),ROUND($AP155*$Z155/$O155,0))))</f>
        <v>0</v>
      </c>
      <c r="AR155" s="33" t="e">
        <f>IF(OR(LEFT($B155,4)="_Mil",SUM($AK155)=0),"",SUM($AQ155)/$AK155)</f>
        <v>#REF!</v>
      </c>
      <c r="AS155" s="33" t="str">
        <f t="shared" si="34"/>
        <v/>
      </c>
      <c r="AT155" s="33" t="str">
        <f t="shared" si="32"/>
        <v/>
      </c>
      <c r="AU155" s="38" t="str">
        <f>IF($C155="&lt;01","",SUM($AP155)-SUM($O155))</f>
        <v/>
      </c>
      <c r="AV155" s="38">
        <f>IF($C155="&lt;01",ROUND(INDEX(EID!$N:$N,MATCH($B155,EID!$B:$B,0))/2,0),IF(SUM($AT155)=0,"",ROUND((SUM($AP155)-(SUM($O155)*SUM($AS155)))/$AT155,0)))</f>
        <v>0</v>
      </c>
      <c r="AW155" s="33" t="str">
        <f t="shared" si="42"/>
        <v/>
      </c>
      <c r="AX155" s="218">
        <f>IF($C155="&lt;01",SUM($AV155),ROUND(SUM($AV155)*SUM($AW155),0))</f>
        <v>0</v>
      </c>
      <c r="AY155" s="79" t="str">
        <f t="shared" si="43"/>
        <v/>
      </c>
      <c r="AZ155" s="85">
        <f>IF($C155="&lt;01",ROUND(INDEX(EID!$R:$R,MATCH($B155,EID!$B:$B,0))/2,0),ROUND(SUM($O155)+(SUM($AV155)*$AY155),0))</f>
        <v>0</v>
      </c>
      <c r="BA155" s="40" t="str">
        <f t="shared" si="31"/>
        <v/>
      </c>
      <c r="BB155" s="99">
        <f>IF($C155="&lt;01",ROUND(INDEX(EID!$T:$T,MATCH($B155,EID!$B:$B,0))/2,0),ROUND($AP155*$BA155,0))</f>
        <v>0</v>
      </c>
      <c r="BC155" s="85">
        <f>IF(LEFT($B155,4)="_Mil","",IF(SUM($BB155)=0,SUM($AD155),IF(OR(SUM($AP155)=0,SUM($AQ155)=0),MAX($BB155,$AD155),ROUND($BB155*$AQ155/$AP155,0))))</f>
        <v>0</v>
      </c>
      <c r="BD155" s="33" t="str">
        <f t="shared" si="44"/>
        <v/>
      </c>
      <c r="BE155" s="218">
        <f>IF($C155="&lt;01",ROUND(INDEX(EID!$V:$V,MATCH($B155,EID!$B:$B,0))/2,0),ROUND($BD155*$BB155,0))</f>
        <v>0</v>
      </c>
      <c r="BF155" s="218">
        <f>IF(LEFT($B155,4)="_Mil","",IF(SUM($BE155)=0,SUM($AF155),IF(OR(SUM($AP155)=0,SUM($AQ155)=0),MAX($BE155,$AF155),ROUND($BE155*$AQ155/$AP155,0))))</f>
        <v>0</v>
      </c>
      <c r="BG155" s="79" t="str">
        <f t="shared" si="45"/>
        <v/>
      </c>
      <c r="BH155" s="99">
        <f>IF($C155="&lt;01",ROUND(INDEX(EID!$L:$L,MATCH($B155,EID!$B:$B,0)),0)/2,IF(SUM($BG155)=0,"",ROUND($AX155/$BG155,0)))</f>
        <v>0</v>
      </c>
    </row>
    <row r="156" spans="1:60" x14ac:dyDescent="0.2">
      <c r="A156" t="str">
        <f>INDEX(Prioritization!$D:$D,MATCH($B156,Prioritization!$A:$A,0))</f>
        <v>4 - Sustained</v>
      </c>
      <c r="B156" t="s">
        <v>309</v>
      </c>
      <c r="C156" t="s">
        <v>426</v>
      </c>
      <c r="D156" t="s">
        <v>48</v>
      </c>
      <c r="E156" t="str">
        <f t="shared" si="35"/>
        <v>Likoma District [ZCjuwgaMB9u]|&lt;01|Male</v>
      </c>
      <c r="F156" s="229">
        <v>0</v>
      </c>
      <c r="G156" s="38">
        <v>2</v>
      </c>
      <c r="H156" s="38"/>
      <c r="I156" s="38"/>
      <c r="J156" s="38">
        <v>1</v>
      </c>
      <c r="K156" s="38">
        <v>1</v>
      </c>
      <c r="L156" s="38"/>
      <c r="M156" s="38">
        <v>1</v>
      </c>
      <c r="N156" s="38">
        <v>1</v>
      </c>
      <c r="O156" s="229">
        <v>0</v>
      </c>
      <c r="P156" s="38">
        <v>1</v>
      </c>
      <c r="Q156" s="38">
        <v>1</v>
      </c>
      <c r="R156" s="38" t="str">
        <f t="shared" si="36"/>
        <v/>
      </c>
      <c r="S156" s="38">
        <f>IF(LEFT($B156,4)="_Mil","",_xlfn.IFNA(ROUND(INDEX(Spectrum!$N:$N,MATCH(RIGHT($B156,13)&amp;"|"&amp;$C156&amp;"|"&amp;$D156&amp;"|"&amp;S$14&amp;"|"&amp;"CY2023Q4",Spectrum!$R:$R,0)),0),""))</f>
        <v>0</v>
      </c>
      <c r="T156" s="218">
        <f>IF(LEFT($B156,4)="_Mil","",_xlfn.IFNA(ROUND(INDEX(Spectrum!$N:$N,MATCH(RIGHT($B156,13)&amp;"|"&amp;$C156&amp;"|"&amp;$D156&amp;"|"&amp;T$14&amp;"|"&amp;"CY2024Q3",Spectrum!$R:$R,0)),0),""))</f>
        <v>216</v>
      </c>
      <c r="U156" s="218">
        <f>IF(LEFT($B156,4)="_Mil","",_xlfn.IFNA(ROUND(INDEX(Spectrum!$N:$N,MATCH(RIGHT($B156,13)&amp;"|"&amp;$C156&amp;"|"&amp;$D156&amp;"|"&amp;U$14&amp;"|"&amp;"CY2024Q3",Spectrum!$R:$R,0)),0),""))</f>
        <v>0</v>
      </c>
      <c r="V156" s="38">
        <f>IF(LEFT($B156,4)="_Mil","",_xlfn.IFNA(ROUND(INDEX(Spectrum!$N:$N,MATCH(RIGHT($B156,13)&amp;"|"&amp;$C156&amp;"|"&amp;$D156&amp;"|"&amp;V$14&amp;"|"&amp;"CY2024Q3",Spectrum!$R:$R,0)),0),""))</f>
        <v>0</v>
      </c>
      <c r="W156" s="220">
        <f>IF(LEFT($B156,4)="_Mil","",_xlfn.IFNA(INDEX(Spectrum!$N:$N,MATCH(RIGHT($B156,13)&amp;"|"&amp;$C156&amp;"|"&amp;$D156&amp;"|"&amp;W$14&amp;"|"&amp;"CY2024Q3",Spectrum!$R:$R,0)),""))</f>
        <v>2.1491660000000001E-3</v>
      </c>
      <c r="X156" s="218">
        <f>IF(LEFT($B156,4)="_Mil","",_xlfn.IFNA(ROUND(INDEX(Spectrum!$N:$N,MATCH(RIGHT($B156,13)&amp;"|"&amp;$C156&amp;"|"&amp;$D156&amp;"|"&amp;X$14&amp;"|"&amp;"CY2024Q3",Spectrum!$R:$R,0)),0),""))</f>
        <v>0</v>
      </c>
      <c r="Y156" s="33" t="str">
        <f t="shared" si="37"/>
        <v/>
      </c>
      <c r="Z156" s="218">
        <f>IF(LEFT($B156,4)="_Mil","",_xlfn.IFNA(ROUND(INDEX(Spectrum!$N:$N,MATCH(RIGHT($B156,13)&amp;"|"&amp;$C156&amp;"|"&amp;$D156&amp;"|"&amp;Z$14&amp;"|"&amp;"CY2024Q3",Spectrum!$R:$R,0)),0),""))</f>
        <v>0</v>
      </c>
      <c r="AA156" s="33">
        <f>IF(LEFT($B156,4)="_Mil","",IFERROR(1/(1/INDEX(Spectrum!$N:$N,MATCH(RIGHT($B156,13)&amp;"|"&amp;$C156&amp;"|"&amp;$D156&amp;"|"&amp;AA$14&amp;"|"&amp;"CY2024Q3",Spectrum!$R:$R,0))),IF(SUM($U156)=0,"",SUM($Z156)/$U156)))</f>
        <v>0.77733348000000002</v>
      </c>
      <c r="AB156" s="33" t="str">
        <f t="shared" si="38"/>
        <v/>
      </c>
      <c r="AC156" s="38">
        <f>IF(LEFT($B156,4)="_Mil","",_xlfn.IFNA(ROUND(INDEX(Spectrum!$N:$N,MATCH(RIGHT($B156,13)&amp;"|"&amp;$C156&amp;"|"&amp;$D156&amp;"|"&amp;AC$14&amp;"|"&amp;"CY2024Q3",Spectrum!$R:$R,0)),0),""))</f>
        <v>0</v>
      </c>
      <c r="AD156" s="38" t="str">
        <f>IF(LEFT($B156,4)="_Mil","",_xlfn.IFNA(ROUND(INDEX(Spectrum!$N:$N,MATCH(RIGHT($B156,13)&amp;"|"&amp;$C156&amp;"|"&amp;$D156&amp;"|"&amp;AD$14&amp;"|"&amp;"CY2024Q3",Spectrum!$R:$R,0)),0),""))</f>
        <v/>
      </c>
      <c r="AE156" s="33" t="str">
        <f t="shared" si="39"/>
        <v/>
      </c>
      <c r="AF156" s="218" t="str">
        <f>IF(LEFT($B156,4)="_Mil","",_xlfn.IFNA(ROUND(INDEX(Spectrum!$N:$N,MATCH(RIGHT($B156,13)&amp;"|"&amp;$C156&amp;"|"&amp;$D156&amp;"|"&amp;AF$14&amp;"|"&amp;"CY2024Q3",Spectrum!$R:$R,0)),0),""))</f>
        <v/>
      </c>
      <c r="AG156" s="33" t="str">
        <f t="shared" si="40"/>
        <v/>
      </c>
      <c r="AH156" s="110" t="str">
        <f>IF(LEFT($B156,4)="_Mil","",_xlfn.IFNA(INDEX(Spectrum!$N:$N,MATCH(RIGHT($B156,13)&amp;"|"&amp;$C156&amp;"|"&amp;$D156&amp;"|"&amp;AH$14&amp;"|"&amp;"CY2024Q3",Spectrum!$R:$R,0)),""))</f>
        <v/>
      </c>
      <c r="AI156" s="218">
        <f>IF(LEFT($B156,4)="_Mil","",_xlfn.IFNA(ROUND(INDEX(Spectrum!$N:$N,MATCH(RIGHT($B156,13)&amp;"|"&amp;$C156&amp;"|"&amp;$D156&amp;"|"&amp;AI$14&amp;"|"&amp;"CY2025Q3",Spectrum!$R:$R,0)),0),""))</f>
        <v>0</v>
      </c>
      <c r="AJ156" s="38">
        <f>IF(LEFT($B156,4)="_Mil","",_xlfn.IFNA(ROUND(INDEX(Spectrum!$N:$N,MATCH(RIGHT($B156,13)&amp;"|"&amp;$C156&amp;"|"&amp;$D156&amp;"|"&amp;AJ$14&amp;"|"&amp;"CY2025Q3",Spectrum!$R:$R,0)),0),""))</f>
        <v>0</v>
      </c>
      <c r="AK156" s="218" t="e">
        <f>#REF!</f>
        <v>#REF!</v>
      </c>
      <c r="AL156" s="33" t="str">
        <f t="shared" si="41"/>
        <v/>
      </c>
      <c r="AM156" s="38" t="str">
        <f>IF(OR(LEFT($B156,4)="_Mil",$C156="&lt;01"),"",ROUND(SUM($AK156)*SUM($AL156),0))</f>
        <v/>
      </c>
      <c r="AN156" s="38">
        <f>IF($C156="&lt;01",ROUND(INDEX(EID!$P:$P,MATCH($B156,EID!$B:$B,0))/2,0),"")</f>
        <v>0</v>
      </c>
      <c r="AO156" s="38">
        <f>IF($C156="&lt;01",SUM($AN156),ROUND(SUM($AM156)*SUM($O156)/IF(SUM($Z156)=0,1,$Z156),0))</f>
        <v>0</v>
      </c>
      <c r="AP156" s="218">
        <f>IF(OR($F156="",$C156="&lt;01"),$AO156,ROUND($F156,0))</f>
        <v>0</v>
      </c>
      <c r="AQ156" s="218">
        <f>IF(LEFT($B156,4)="_Mil","",IF(SUM($AP156)=0,SUM($Z156),IF(OR(SUM($Z156)=0,SUM($O156)=0),MAX($AP156,$Z156),ROUND($AP156*$Z156/$O156,0))))</f>
        <v>0</v>
      </c>
      <c r="AR156" s="33" t="e">
        <f>IF(OR(LEFT($B156,4)="_Mil",SUM($AK156)=0),"",SUM($AQ156)/$AK156)</f>
        <v>#REF!</v>
      </c>
      <c r="AS156" s="33" t="str">
        <f t="shared" si="34"/>
        <v/>
      </c>
      <c r="AT156" s="33" t="str">
        <f t="shared" si="32"/>
        <v/>
      </c>
      <c r="AU156" s="38" t="str">
        <f>IF($C156="&lt;01","",SUM($AP156)-SUM($O156))</f>
        <v/>
      </c>
      <c r="AV156" s="38">
        <f>IF($C156="&lt;01",ROUND(INDEX(EID!$N:$N,MATCH($B156,EID!$B:$B,0))/2,0),IF(SUM($AT156)=0,"",ROUND((SUM($AP156)-(SUM($O156)*SUM($AS156)))/$AT156,0)))</f>
        <v>0</v>
      </c>
      <c r="AW156" s="33" t="str">
        <f t="shared" si="42"/>
        <v/>
      </c>
      <c r="AX156" s="218">
        <f>IF($C156="&lt;01",SUM($AV156),ROUND(SUM($AV156)*SUM($AW156),0))</f>
        <v>0</v>
      </c>
      <c r="AY156" s="79" t="str">
        <f t="shared" si="43"/>
        <v/>
      </c>
      <c r="AZ156" s="85">
        <f>IF($C156="&lt;01",ROUND(INDEX(EID!$R:$R,MATCH($B156,EID!$B:$B,0))/2,0),ROUND(SUM($O156)+(SUM($AV156)*$AY156),0))</f>
        <v>0</v>
      </c>
      <c r="BA156" s="40" t="str">
        <f t="shared" si="31"/>
        <v/>
      </c>
      <c r="BB156" s="99">
        <f>IF($C156="&lt;01",ROUND(INDEX(EID!$T:$T,MATCH($B156,EID!$B:$B,0))/2,0),ROUND($AP156*$BA156,0))</f>
        <v>0</v>
      </c>
      <c r="BC156" s="85">
        <f>IF(LEFT($B156,4)="_Mil","",IF(SUM($BB156)=0,SUM($AD156),IF(OR(SUM($AP156)=0,SUM($AQ156)=0),MAX($BB156,$AD156),ROUND($BB156*$AQ156/$AP156,0))))</f>
        <v>0</v>
      </c>
      <c r="BD156" s="33" t="str">
        <f t="shared" si="44"/>
        <v/>
      </c>
      <c r="BE156" s="218">
        <f>IF($C156="&lt;01",ROUND(INDEX(EID!$V:$V,MATCH($B156,EID!$B:$B,0))/2,0),ROUND($BD156*$BB156,0))</f>
        <v>0</v>
      </c>
      <c r="BF156" s="218">
        <f>IF(LEFT($B156,4)="_Mil","",IF(SUM($BE156)=0,SUM($AF156),IF(OR(SUM($AP156)=0,SUM($AQ156)=0),MAX($BE156,$AF156),ROUND($BE156*$AQ156/$AP156,0))))</f>
        <v>0</v>
      </c>
      <c r="BG156" s="79" t="str">
        <f t="shared" si="45"/>
        <v/>
      </c>
      <c r="BH156" s="99">
        <f>IF($C156="&lt;01",ROUND(INDEX(EID!$L:$L,MATCH($B156,EID!$B:$B,0)),0)/2,IF(SUM($BG156)=0,"",ROUND($AX156/$BG156,0)))</f>
        <v>0</v>
      </c>
    </row>
    <row r="157" spans="1:60" x14ac:dyDescent="0.2">
      <c r="A157" t="str">
        <f>INDEX(Prioritization!$D:$D,MATCH($B157,Prioritization!$A:$A,0))</f>
        <v>4 - Sustained</v>
      </c>
      <c r="B157" t="s">
        <v>309</v>
      </c>
      <c r="C157" t="s">
        <v>473</v>
      </c>
      <c r="D157" t="s">
        <v>30</v>
      </c>
      <c r="E157" t="str">
        <f t="shared" si="35"/>
        <v>Likoma District [ZCjuwgaMB9u]|01-09|Female</v>
      </c>
      <c r="F157" s="229">
        <v>8</v>
      </c>
      <c r="G157" s="38">
        <v>7</v>
      </c>
      <c r="H157" s="38">
        <v>4</v>
      </c>
      <c r="I157" s="38">
        <v>10</v>
      </c>
      <c r="J157" s="38">
        <v>10</v>
      </c>
      <c r="K157" s="38">
        <v>5</v>
      </c>
      <c r="L157" s="38"/>
      <c r="M157" s="38"/>
      <c r="N157" s="38">
        <v>8</v>
      </c>
      <c r="O157" s="229">
        <v>9</v>
      </c>
      <c r="P157" s="38">
        <v>7</v>
      </c>
      <c r="Q157" s="38">
        <v>7</v>
      </c>
      <c r="R157" s="38">
        <f t="shared" si="36"/>
        <v>-1</v>
      </c>
      <c r="S157" s="38">
        <f>IF(LEFT($B157,4)="_Mil","",_xlfn.IFNA(ROUND(INDEX(Spectrum!$N:$N,MATCH(RIGHT($B157,13)&amp;"|"&amp;$C157&amp;"|"&amp;$D157&amp;"|"&amp;S$14&amp;"|"&amp;"CY2023Q4",Spectrum!$R:$R,0)),0),""))</f>
        <v>7</v>
      </c>
      <c r="T157" s="218">
        <f>IF(LEFT($B157,4)="_Mil","",_xlfn.IFNA(ROUND(INDEX(Spectrum!$N:$N,MATCH(RIGHT($B157,13)&amp;"|"&amp;$C157&amp;"|"&amp;$D157&amp;"|"&amp;T$14&amp;"|"&amp;"CY2024Q3",Spectrum!$R:$R,0)),0),""))</f>
        <v>1690</v>
      </c>
      <c r="U157" s="218">
        <f>IF(LEFT($B157,4)="_Mil","",_xlfn.IFNA(ROUND(INDEX(Spectrum!$N:$N,MATCH(RIGHT($B157,13)&amp;"|"&amp;$C157&amp;"|"&amp;$D157&amp;"|"&amp;U$14&amp;"|"&amp;"CY2024Q3",Spectrum!$R:$R,0)),0),""))</f>
        <v>8</v>
      </c>
      <c r="V157" s="38">
        <f>IF(LEFT($B157,4)="_Mil","",_xlfn.IFNA(ROUND(INDEX(Spectrum!$N:$N,MATCH(RIGHT($B157,13)&amp;"|"&amp;$C157&amp;"|"&amp;$D157&amp;"|"&amp;V$14&amp;"|"&amp;"CY2024Q3",Spectrum!$R:$R,0)),0),""))</f>
        <v>8</v>
      </c>
      <c r="W157" s="220">
        <f>IF(LEFT($B157,4)="_Mil","",_xlfn.IFNA(INDEX(Spectrum!$N:$N,MATCH(RIGHT($B157,13)&amp;"|"&amp;$C157&amp;"|"&amp;$D157&amp;"|"&amp;W$14&amp;"|"&amp;"CY2024Q3",Spectrum!$R:$R,0)),""))</f>
        <v>4.6982609999999996E-3</v>
      </c>
      <c r="X157" s="218">
        <f>IF(LEFT($B157,4)="_Mil","",_xlfn.IFNA(ROUND(INDEX(Spectrum!$N:$N,MATCH(RIGHT($B157,13)&amp;"|"&amp;$C157&amp;"|"&amp;$D157&amp;"|"&amp;X$14&amp;"|"&amp;"CY2024Q3",Spectrum!$R:$R,0)),0),""))</f>
        <v>7</v>
      </c>
      <c r="Y157" s="33">
        <f t="shared" si="37"/>
        <v>0.88</v>
      </c>
      <c r="Z157" s="218">
        <f>IF(LEFT($B157,4)="_Mil","",_xlfn.IFNA(ROUND(INDEX(Spectrum!$N:$N,MATCH(RIGHT($B157,13)&amp;"|"&amp;$C157&amp;"|"&amp;$D157&amp;"|"&amp;Z$14&amp;"|"&amp;"CY2024Q3",Spectrum!$R:$R,0)),0),""))</f>
        <v>7</v>
      </c>
      <c r="AA157" s="33">
        <f>IF(LEFT($B157,4)="_Mil","",IFERROR(1/(1/INDEX(Spectrum!$N:$N,MATCH(RIGHT($B157,13)&amp;"|"&amp;$C157&amp;"|"&amp;$D157&amp;"|"&amp;AA$14&amp;"|"&amp;"CY2024Q3",Spectrum!$R:$R,0))),IF(SUM($U157)=0,"",SUM($Z157)/$U157)))</f>
        <v>0.82520635600000003</v>
      </c>
      <c r="AB157" s="33">
        <f t="shared" si="38"/>
        <v>1</v>
      </c>
      <c r="AC157" s="38">
        <f>IF(LEFT($B157,4)="_Mil","",_xlfn.IFNA(ROUND(INDEX(Spectrum!$N:$N,MATCH(RIGHT($B157,13)&amp;"|"&amp;$C157&amp;"|"&amp;$D157&amp;"|"&amp;AC$14&amp;"|"&amp;"CY2024Q3",Spectrum!$R:$R,0)),0),""))</f>
        <v>1</v>
      </c>
      <c r="AD157" s="38" t="str">
        <f>IF(LEFT($B157,4)="_Mil","",_xlfn.IFNA(ROUND(INDEX(Spectrum!$N:$N,MATCH(RIGHT($B157,13)&amp;"|"&amp;$C157&amp;"|"&amp;$D157&amp;"|"&amp;AD$14&amp;"|"&amp;"CY2024Q3",Spectrum!$R:$R,0)),0),""))</f>
        <v/>
      </c>
      <c r="AE157" s="33">
        <f t="shared" si="39"/>
        <v>0</v>
      </c>
      <c r="AF157" s="218" t="str">
        <f>IF(LEFT($B157,4)="_Mil","",_xlfn.IFNA(ROUND(INDEX(Spectrum!$N:$N,MATCH(RIGHT($B157,13)&amp;"|"&amp;$C157&amp;"|"&amp;$D157&amp;"|"&amp;AF$14&amp;"|"&amp;"CY2024Q3",Spectrum!$R:$R,0)),0),""))</f>
        <v/>
      </c>
      <c r="AG157" s="33" t="str">
        <f t="shared" si="40"/>
        <v/>
      </c>
      <c r="AH157" s="110" t="str">
        <f>IF(LEFT($B157,4)="_Mil","",_xlfn.IFNA(INDEX(Spectrum!$N:$N,MATCH(RIGHT($B157,13)&amp;"|"&amp;$C157&amp;"|"&amp;$D157&amp;"|"&amp;AH$14&amp;"|"&amp;"CY2024Q3",Spectrum!$R:$R,0)),""))</f>
        <v/>
      </c>
      <c r="AI157" s="218">
        <f>IF(LEFT($B157,4)="_Mil","",_xlfn.IFNA(ROUND(INDEX(Spectrum!$N:$N,MATCH(RIGHT($B157,13)&amp;"|"&amp;$C157&amp;"|"&amp;$D157&amp;"|"&amp;AI$14&amp;"|"&amp;"CY2025Q3",Spectrum!$R:$R,0)),0),""))</f>
        <v>0</v>
      </c>
      <c r="AJ157" s="38">
        <f>IF(LEFT($B157,4)="_Mil","",_xlfn.IFNA(ROUND(INDEX(Spectrum!$N:$N,MATCH(RIGHT($B157,13)&amp;"|"&amp;$C157&amp;"|"&amp;$D157&amp;"|"&amp;AJ$14&amp;"|"&amp;"CY2025Q3",Spectrum!$R:$R,0)),0),""))</f>
        <v>7</v>
      </c>
      <c r="AK157" s="218" t="e">
        <f>#REF!</f>
        <v>#REF!</v>
      </c>
      <c r="AL157" s="33">
        <f t="shared" si="41"/>
        <v>0.9</v>
      </c>
      <c r="AM157" s="38" t="e">
        <f>IF(OR(LEFT($B157,4)="_Mil",$C157="&lt;01"),"",ROUND(SUM($AK157)*SUM($AL157),0))</f>
        <v>#REF!</v>
      </c>
      <c r="AN157" s="38" t="str">
        <f>IF($C157="&lt;01",ROUND(INDEX(EID!$P:$P,MATCH($B157,EID!$B:$B,0))/2,0),"")</f>
        <v/>
      </c>
      <c r="AO157" s="38" t="e">
        <f>IF($C157="&lt;01",SUM($AN157),ROUND(SUM($AM157)*SUM($O157)/IF(SUM($Z157)=0,1,$Z157),0))</f>
        <v>#REF!</v>
      </c>
      <c r="AP157" s="218">
        <f>IF(OR($F157="",$C157="&lt;01"),$AO157,ROUND($F157,0))</f>
        <v>8</v>
      </c>
      <c r="AQ157" s="218">
        <f>IF(LEFT($B157,4)="_Mil","",IF(SUM($AP157)=0,SUM($Z157),IF(OR(SUM($Z157)=0,SUM($O157)=0),MAX($AP157,$Z157),ROUND($AP157*$Z157/$O157,0))))</f>
        <v>6</v>
      </c>
      <c r="AR157" s="33" t="e">
        <f>IF(OR(LEFT($B157,4)="_Mil",SUM($AK157)=0),"",SUM($AQ157)/$AK157)</f>
        <v>#REF!</v>
      </c>
      <c r="AS157" s="33">
        <f t="shared" ref="AS157:AS158" si="46">IF($C157="&lt;01","",93%)</f>
        <v>0.93</v>
      </c>
      <c r="AT157" s="33">
        <f t="shared" si="32"/>
        <v>0.98</v>
      </c>
      <c r="AU157" s="38">
        <f>IF($C157="&lt;01","",SUM($AP157)-SUM($O157))</f>
        <v>-1</v>
      </c>
      <c r="AV157" s="38">
        <f>IF($C157="&lt;01",ROUND(INDEX(EID!$N:$N,MATCH($B157,EID!$B:$B,0))/2,0),IF(SUM($AT157)=0,"",ROUND((SUM($AP157)-(SUM($O157)*SUM($AS157)))/$AT157,0)))</f>
        <v>0</v>
      </c>
      <c r="AW157" s="33">
        <f t="shared" si="42"/>
        <v>1</v>
      </c>
      <c r="AX157" s="218">
        <f>IF($C157="&lt;01",SUM($AV157),ROUND(SUM($AV157)*SUM($AW157),0))</f>
        <v>0</v>
      </c>
      <c r="AY157" s="79">
        <f t="shared" si="43"/>
        <v>0.7</v>
      </c>
      <c r="AZ157" s="85">
        <f>IF($C157="&lt;01",ROUND(INDEX(EID!$R:$R,MATCH($B157,EID!$B:$B,0))/2,0),ROUND(SUM($O157)+(SUM($AV157)*$AY157),0))</f>
        <v>9</v>
      </c>
      <c r="BA157" s="40">
        <f t="shared" si="31"/>
        <v>0.9</v>
      </c>
      <c r="BB157" s="99">
        <f>IF($C157="&lt;01",ROUND(INDEX(EID!$T:$T,MATCH($B157,EID!$B:$B,0))/2,0),ROUND($AP157*$BA157,0))</f>
        <v>7</v>
      </c>
      <c r="BC157" s="85">
        <f>IF(LEFT($B157,4)="_Mil","",IF(SUM($BB157)=0,SUM($AD157),IF(OR(SUM($AP157)=0,SUM($AQ157)=0),MAX($BB157,$AD157),ROUND($BB157*$AQ157/$AP157,0))))</f>
        <v>5</v>
      </c>
      <c r="BD157" s="33">
        <f t="shared" si="44"/>
        <v>0.95</v>
      </c>
      <c r="BE157" s="218">
        <f>IF($C157="&lt;01",ROUND(INDEX(EID!$V:$V,MATCH($B157,EID!$B:$B,0))/2,0),ROUND($BD157*$BB157,0))</f>
        <v>7</v>
      </c>
      <c r="BF157" s="218">
        <f>IF(LEFT($B157,4)="_Mil","",IF(SUM($BE157)=0,SUM($AF157),IF(OR(SUM($AP157)=0,SUM($AQ157)=0),MAX($BE157,$AF157),ROUND($BE157*$AQ157/$AP157,0))))</f>
        <v>5</v>
      </c>
      <c r="BG157" s="79">
        <f t="shared" si="45"/>
        <v>0.95</v>
      </c>
      <c r="BH157" s="99">
        <f>IF($C157="&lt;01",ROUND(INDEX(EID!$L:$L,MATCH($B157,EID!$B:$B,0)),0)/2,IF(SUM($BG157)=0,"",ROUND($AX157/$BG157,0)))</f>
        <v>0</v>
      </c>
    </row>
    <row r="158" spans="1:60" x14ac:dyDescent="0.2">
      <c r="A158" t="str">
        <f>INDEX(Prioritization!$D:$D,MATCH($B158,Prioritization!$A:$A,0))</f>
        <v>4 - Sustained</v>
      </c>
      <c r="B158" t="s">
        <v>309</v>
      </c>
      <c r="C158" t="s">
        <v>473</v>
      </c>
      <c r="D158" t="s">
        <v>48</v>
      </c>
      <c r="E158" t="str">
        <f t="shared" si="35"/>
        <v>Likoma District [ZCjuwgaMB9u]|01-09|Male</v>
      </c>
      <c r="F158" s="229">
        <v>8</v>
      </c>
      <c r="G158" s="38">
        <v>4</v>
      </c>
      <c r="H158" s="38"/>
      <c r="I158" s="38">
        <v>8</v>
      </c>
      <c r="J158" s="38">
        <v>7</v>
      </c>
      <c r="K158" s="38">
        <v>4</v>
      </c>
      <c r="L158" s="38"/>
      <c r="M158" s="38"/>
      <c r="N158" s="38">
        <v>8</v>
      </c>
      <c r="O158" s="229">
        <v>8</v>
      </c>
      <c r="P158" s="38">
        <v>7</v>
      </c>
      <c r="Q158" s="38">
        <v>7</v>
      </c>
      <c r="R158" s="38">
        <f t="shared" si="36"/>
        <v>0</v>
      </c>
      <c r="S158" s="38">
        <f>IF(LEFT($B158,4)="_Mil","",_xlfn.IFNA(ROUND(INDEX(Spectrum!$N:$N,MATCH(RIGHT($B158,13)&amp;"|"&amp;$C158&amp;"|"&amp;$D158&amp;"|"&amp;S$14&amp;"|"&amp;"CY2023Q4",Spectrum!$R:$R,0)),0),""))</f>
        <v>7</v>
      </c>
      <c r="T158" s="218">
        <f>IF(LEFT($B158,4)="_Mil","",_xlfn.IFNA(ROUND(INDEX(Spectrum!$N:$N,MATCH(RIGHT($B158,13)&amp;"|"&amp;$C158&amp;"|"&amp;$D158&amp;"|"&amp;T$14&amp;"|"&amp;"CY2024Q3",Spectrum!$R:$R,0)),0),""))</f>
        <v>1796</v>
      </c>
      <c r="U158" s="218">
        <f>IF(LEFT($B158,4)="_Mil","",_xlfn.IFNA(ROUND(INDEX(Spectrum!$N:$N,MATCH(RIGHT($B158,13)&amp;"|"&amp;$C158&amp;"|"&amp;$D158&amp;"|"&amp;U$14&amp;"|"&amp;"CY2024Q3",Spectrum!$R:$R,0)),0),""))</f>
        <v>8</v>
      </c>
      <c r="V158" s="38">
        <f>IF(LEFT($B158,4)="_Mil","",_xlfn.IFNA(ROUND(INDEX(Spectrum!$N:$N,MATCH(RIGHT($B158,13)&amp;"|"&amp;$C158&amp;"|"&amp;$D158&amp;"|"&amp;V$14&amp;"|"&amp;"CY2024Q3",Spectrum!$R:$R,0)),0),""))</f>
        <v>8</v>
      </c>
      <c r="W158" s="220">
        <f>IF(LEFT($B158,4)="_Mil","",_xlfn.IFNA(INDEX(Spectrum!$N:$N,MATCH(RIGHT($B158,13)&amp;"|"&amp;$C158&amp;"|"&amp;$D158&amp;"|"&amp;W$14&amp;"|"&amp;"CY2024Q3",Spectrum!$R:$R,0)),""))</f>
        <v>4.5539279999999996E-3</v>
      </c>
      <c r="X158" s="218">
        <f>IF(LEFT($B158,4)="_Mil","",_xlfn.IFNA(ROUND(INDEX(Spectrum!$N:$N,MATCH(RIGHT($B158,13)&amp;"|"&amp;$C158&amp;"|"&amp;$D158&amp;"|"&amp;X$14&amp;"|"&amp;"CY2024Q3",Spectrum!$R:$R,0)),0),""))</f>
        <v>7</v>
      </c>
      <c r="Y158" s="33">
        <f t="shared" si="37"/>
        <v>0.88</v>
      </c>
      <c r="Z158" s="218">
        <f>IF(LEFT($B158,4)="_Mil","",_xlfn.IFNA(ROUND(INDEX(Spectrum!$N:$N,MATCH(RIGHT($B158,13)&amp;"|"&amp;$C158&amp;"|"&amp;$D158&amp;"|"&amp;Z$14&amp;"|"&amp;"CY2024Q3",Spectrum!$R:$R,0)),0),""))</f>
        <v>7</v>
      </c>
      <c r="AA158" s="33">
        <f>IF(LEFT($B158,4)="_Mil","",IFERROR(1/(1/INDEX(Spectrum!$N:$N,MATCH(RIGHT($B158,13)&amp;"|"&amp;$C158&amp;"|"&amp;$D158&amp;"|"&amp;AA$14&amp;"|"&amp;"CY2024Q3",Spectrum!$R:$R,0))),IF(SUM($U158)=0,"",SUM($Z158)/$U158)))</f>
        <v>0.824610764</v>
      </c>
      <c r="AB158" s="33">
        <f t="shared" si="38"/>
        <v>1</v>
      </c>
      <c r="AC158" s="38">
        <f>IF(LEFT($B158,4)="_Mil","",_xlfn.IFNA(ROUND(INDEX(Spectrum!$N:$N,MATCH(RIGHT($B158,13)&amp;"|"&amp;$C158&amp;"|"&amp;$D158&amp;"|"&amp;AC$14&amp;"|"&amp;"CY2024Q3",Spectrum!$R:$R,0)),0),""))</f>
        <v>2</v>
      </c>
      <c r="AD158" s="38" t="str">
        <f>IF(LEFT($B158,4)="_Mil","",_xlfn.IFNA(ROUND(INDEX(Spectrum!$N:$N,MATCH(RIGHT($B158,13)&amp;"|"&amp;$C158&amp;"|"&amp;$D158&amp;"|"&amp;AD$14&amp;"|"&amp;"CY2024Q3",Spectrum!$R:$R,0)),0),""))</f>
        <v/>
      </c>
      <c r="AE158" s="33">
        <f t="shared" si="39"/>
        <v>0</v>
      </c>
      <c r="AF158" s="218" t="str">
        <f>IF(LEFT($B158,4)="_Mil","",_xlfn.IFNA(ROUND(INDEX(Spectrum!$N:$N,MATCH(RIGHT($B158,13)&amp;"|"&amp;$C158&amp;"|"&amp;$D158&amp;"|"&amp;AF$14&amp;"|"&amp;"CY2024Q3",Spectrum!$R:$R,0)),0),""))</f>
        <v/>
      </c>
      <c r="AG158" s="33" t="str">
        <f t="shared" si="40"/>
        <v/>
      </c>
      <c r="AH158" s="110" t="str">
        <f>IF(LEFT($B158,4)="_Mil","",_xlfn.IFNA(INDEX(Spectrum!$N:$N,MATCH(RIGHT($B158,13)&amp;"|"&amp;$C158&amp;"|"&amp;$D158&amp;"|"&amp;AH$14&amp;"|"&amp;"CY2024Q3",Spectrum!$R:$R,0)),""))</f>
        <v/>
      </c>
      <c r="AI158" s="218">
        <f>IF(LEFT($B158,4)="_Mil","",_xlfn.IFNA(ROUND(INDEX(Spectrum!$N:$N,MATCH(RIGHT($B158,13)&amp;"|"&amp;$C158&amp;"|"&amp;$D158&amp;"|"&amp;AI$14&amp;"|"&amp;"CY2025Q3",Spectrum!$R:$R,0)),0),""))</f>
        <v>0</v>
      </c>
      <c r="AJ158" s="38">
        <f>IF(LEFT($B158,4)="_Mil","",_xlfn.IFNA(ROUND(INDEX(Spectrum!$N:$N,MATCH(RIGHT($B158,13)&amp;"|"&amp;$C158&amp;"|"&amp;$D158&amp;"|"&amp;AJ$14&amp;"|"&amp;"CY2025Q3",Spectrum!$R:$R,0)),0),""))</f>
        <v>7</v>
      </c>
      <c r="AK158" s="218" t="e">
        <f>#REF!</f>
        <v>#REF!</v>
      </c>
      <c r="AL158" s="33">
        <f t="shared" si="41"/>
        <v>0.9</v>
      </c>
      <c r="AM158" s="38" t="e">
        <f>IF(OR(LEFT($B158,4)="_Mil",$C158="&lt;01"),"",ROUND(SUM($AK158)*SUM($AL158),0))</f>
        <v>#REF!</v>
      </c>
      <c r="AN158" s="38" t="str">
        <f>IF($C158="&lt;01",ROUND(INDEX(EID!$P:$P,MATCH($B158,EID!$B:$B,0))/2,0),"")</f>
        <v/>
      </c>
      <c r="AO158" s="38" t="e">
        <f>IF($C158="&lt;01",SUM($AN158),ROUND(SUM($AM158)*SUM($O158)/IF(SUM($Z158)=0,1,$Z158),0))</f>
        <v>#REF!</v>
      </c>
      <c r="AP158" s="218">
        <f>IF(OR($F158="",$C158="&lt;01"),$AO158,ROUND($F158,0))</f>
        <v>8</v>
      </c>
      <c r="AQ158" s="218">
        <f>IF(LEFT($B158,4)="_Mil","",IF(SUM($AP158)=0,SUM($Z158),IF(OR(SUM($Z158)=0,SUM($O158)=0),MAX($AP158,$Z158),ROUND($AP158*$Z158/$O158,0))))</f>
        <v>7</v>
      </c>
      <c r="AR158" s="33" t="e">
        <f>IF(OR(LEFT($B158,4)="_Mil",SUM($AK158)=0),"",SUM($AQ158)/$AK158)</f>
        <v>#REF!</v>
      </c>
      <c r="AS158" s="33">
        <f t="shared" si="46"/>
        <v>0.93</v>
      </c>
      <c r="AT158" s="33">
        <f t="shared" si="32"/>
        <v>0.98</v>
      </c>
      <c r="AU158" s="38">
        <f>IF($C158="&lt;01","",SUM($AP158)-SUM($O158))</f>
        <v>0</v>
      </c>
      <c r="AV158" s="38">
        <f>IF($C158="&lt;01",ROUND(INDEX(EID!$N:$N,MATCH($B158,EID!$B:$B,0))/2,0),IF(SUM($AT158)=0,"",ROUND((SUM($AP158)-(SUM($O158)*SUM($AS158)))/$AT158,0)))</f>
        <v>1</v>
      </c>
      <c r="AW158" s="33">
        <f t="shared" si="42"/>
        <v>1</v>
      </c>
      <c r="AX158" s="218">
        <f>IF($C158="&lt;01",SUM($AV158),ROUND(SUM($AV158)*SUM($AW158),0))</f>
        <v>1</v>
      </c>
      <c r="AY158" s="79">
        <f t="shared" si="43"/>
        <v>0.7</v>
      </c>
      <c r="AZ158" s="85">
        <f>IF($C158="&lt;01",ROUND(INDEX(EID!$R:$R,MATCH($B158,EID!$B:$B,0))/2,0),ROUND(SUM($O158)+(SUM($AV158)*$AY158),0))</f>
        <v>9</v>
      </c>
      <c r="BA158" s="40">
        <f t="shared" si="31"/>
        <v>0.9</v>
      </c>
      <c r="BB158" s="99">
        <f>IF($C158="&lt;01",ROUND(INDEX(EID!$T:$T,MATCH($B158,EID!$B:$B,0))/2,0),ROUND($AP158*$BA158,0))</f>
        <v>7</v>
      </c>
      <c r="BC158" s="85">
        <f>IF(LEFT($B158,4)="_Mil","",IF(SUM($BB158)=0,SUM($AD158),IF(OR(SUM($AP158)=0,SUM($AQ158)=0),MAX($BB158,$AD158),ROUND($BB158*$AQ158/$AP158,0))))</f>
        <v>6</v>
      </c>
      <c r="BD158" s="33">
        <f t="shared" si="44"/>
        <v>0.95</v>
      </c>
      <c r="BE158" s="218">
        <f>IF($C158="&lt;01",ROUND(INDEX(EID!$V:$V,MATCH($B158,EID!$B:$B,0))/2,0),ROUND($BD158*$BB158,0))</f>
        <v>7</v>
      </c>
      <c r="BF158" s="218">
        <f>IF(LEFT($B158,4)="_Mil","",IF(SUM($BE158)=0,SUM($AF158),IF(OR(SUM($AP158)=0,SUM($AQ158)=0),MAX($BE158,$AF158),ROUND($BE158*$AQ158/$AP158,0))))</f>
        <v>6</v>
      </c>
      <c r="BG158" s="79">
        <f t="shared" si="45"/>
        <v>0.95</v>
      </c>
      <c r="BH158" s="99">
        <f>IF($C158="&lt;01",ROUND(INDEX(EID!$L:$L,MATCH($B158,EID!$B:$B,0)),0)/2,IF(SUM($BG158)=0,"",ROUND($AX158/$BG158,0)))</f>
        <v>1</v>
      </c>
    </row>
    <row r="159" spans="1:60" x14ac:dyDescent="0.2">
      <c r="A159" t="str">
        <f>INDEX(Prioritization!$D:$D,MATCH($B159,Prioritization!$A:$A,0))</f>
        <v>4 - Sustained</v>
      </c>
      <c r="B159" t="s">
        <v>309</v>
      </c>
      <c r="C159" t="s">
        <v>474</v>
      </c>
      <c r="D159" t="s">
        <v>30</v>
      </c>
      <c r="E159" t="str">
        <f t="shared" si="35"/>
        <v>Likoma District [ZCjuwgaMB9u]|10-14|Female</v>
      </c>
      <c r="F159" s="229">
        <v>9</v>
      </c>
      <c r="G159" s="38">
        <v>3</v>
      </c>
      <c r="H159" s="38"/>
      <c r="I159" s="38">
        <v>9</v>
      </c>
      <c r="J159" s="38">
        <v>11</v>
      </c>
      <c r="K159" s="38">
        <v>8</v>
      </c>
      <c r="L159" s="38"/>
      <c r="M159" s="38"/>
      <c r="N159" s="38">
        <v>10</v>
      </c>
      <c r="O159" s="229">
        <v>9</v>
      </c>
      <c r="P159" s="38">
        <v>9</v>
      </c>
      <c r="Q159" s="38">
        <v>9</v>
      </c>
      <c r="R159" s="38">
        <f t="shared" si="36"/>
        <v>0</v>
      </c>
      <c r="S159" s="38">
        <f>IF(LEFT($B159,4)="_Mil","",_xlfn.IFNA(ROUND(INDEX(Spectrum!$N:$N,MATCH(RIGHT($B159,13)&amp;"|"&amp;$C159&amp;"|"&amp;$D159&amp;"|"&amp;S$14&amp;"|"&amp;"CY2023Q4",Spectrum!$R:$R,0)),0),""))</f>
        <v>10</v>
      </c>
      <c r="T159" s="218">
        <f>IF(LEFT($B159,4)="_Mil","",_xlfn.IFNA(ROUND(INDEX(Spectrum!$N:$N,MATCH(RIGHT($B159,13)&amp;"|"&amp;$C159&amp;"|"&amp;$D159&amp;"|"&amp;T$14&amp;"|"&amp;"CY2024Q3",Spectrum!$R:$R,0)),0),""))</f>
        <v>1098</v>
      </c>
      <c r="U159" s="218">
        <f>IF(LEFT($B159,4)="_Mil","",_xlfn.IFNA(ROUND(INDEX(Spectrum!$N:$N,MATCH(RIGHT($B159,13)&amp;"|"&amp;$C159&amp;"|"&amp;$D159&amp;"|"&amp;U$14&amp;"|"&amp;"CY2024Q3",Spectrum!$R:$R,0)),0),""))</f>
        <v>10</v>
      </c>
      <c r="V159" s="38">
        <f>IF(LEFT($B159,4)="_Mil","",_xlfn.IFNA(ROUND(INDEX(Spectrum!$N:$N,MATCH(RIGHT($B159,13)&amp;"|"&amp;$C159&amp;"|"&amp;$D159&amp;"|"&amp;V$14&amp;"|"&amp;"CY2024Q3",Spectrum!$R:$R,0)),0),""))</f>
        <v>10</v>
      </c>
      <c r="W159" s="220">
        <f>IF(LEFT($B159,4)="_Mil","",_xlfn.IFNA(INDEX(Spectrum!$N:$N,MATCH(RIGHT($B159,13)&amp;"|"&amp;$C159&amp;"|"&amp;$D159&amp;"|"&amp;W$14&amp;"|"&amp;"CY2024Q3",Spectrum!$R:$R,0)),""))</f>
        <v>9.39422E-3</v>
      </c>
      <c r="X159" s="218">
        <f>IF(LEFT($B159,4)="_Mil","",_xlfn.IFNA(ROUND(INDEX(Spectrum!$N:$N,MATCH(RIGHT($B159,13)&amp;"|"&amp;$C159&amp;"|"&amp;$D159&amp;"|"&amp;X$14&amp;"|"&amp;"CY2024Q3",Spectrum!$R:$R,0)),0),""))</f>
        <v>9</v>
      </c>
      <c r="Y159" s="33">
        <f t="shared" si="37"/>
        <v>0.9</v>
      </c>
      <c r="Z159" s="218">
        <f>IF(LEFT($B159,4)="_Mil","",_xlfn.IFNA(ROUND(INDEX(Spectrum!$N:$N,MATCH(RIGHT($B159,13)&amp;"|"&amp;$C159&amp;"|"&amp;$D159&amp;"|"&amp;Z$14&amp;"|"&amp;"CY2024Q3",Spectrum!$R:$R,0)),0),""))</f>
        <v>9</v>
      </c>
      <c r="AA159" s="33">
        <f>IF(LEFT($B159,4)="_Mil","",IFERROR(1/(1/INDEX(Spectrum!$N:$N,MATCH(RIGHT($B159,13)&amp;"|"&amp;$C159&amp;"|"&amp;$D159&amp;"|"&amp;AA$14&amp;"|"&amp;"CY2024Q3",Spectrum!$R:$R,0))),IF(SUM($U159)=0,"",SUM($Z159)/$U159)))</f>
        <v>0.84996440100000015</v>
      </c>
      <c r="AB159" s="33">
        <f t="shared" si="38"/>
        <v>1</v>
      </c>
      <c r="AC159" s="38">
        <f>IF(LEFT($B159,4)="_Mil","",_xlfn.IFNA(ROUND(INDEX(Spectrum!$N:$N,MATCH(RIGHT($B159,13)&amp;"|"&amp;$C159&amp;"|"&amp;$D159&amp;"|"&amp;AC$14&amp;"|"&amp;"CY2024Q3",Spectrum!$R:$R,0)),0),""))</f>
        <v>1</v>
      </c>
      <c r="AD159" s="38" t="str">
        <f>IF(LEFT($B159,4)="_Mil","",_xlfn.IFNA(ROUND(INDEX(Spectrum!$N:$N,MATCH(RIGHT($B159,13)&amp;"|"&amp;$C159&amp;"|"&amp;$D159&amp;"|"&amp;AD$14&amp;"|"&amp;"CY2024Q3",Spectrum!$R:$R,0)),0),""))</f>
        <v/>
      </c>
      <c r="AE159" s="33">
        <f t="shared" si="39"/>
        <v>0</v>
      </c>
      <c r="AF159" s="218" t="str">
        <f>IF(LEFT($B159,4)="_Mil","",_xlfn.IFNA(ROUND(INDEX(Spectrum!$N:$N,MATCH(RIGHT($B159,13)&amp;"|"&amp;$C159&amp;"|"&amp;$D159&amp;"|"&amp;AF$14&amp;"|"&amp;"CY2024Q3",Spectrum!$R:$R,0)),0),""))</f>
        <v/>
      </c>
      <c r="AG159" s="33" t="str">
        <f t="shared" si="40"/>
        <v/>
      </c>
      <c r="AH159" s="110" t="str">
        <f>IF(LEFT($B159,4)="_Mil","",_xlfn.IFNA(INDEX(Spectrum!$N:$N,MATCH(RIGHT($B159,13)&amp;"|"&amp;$C159&amp;"|"&amp;$D159&amp;"|"&amp;AH$14&amp;"|"&amp;"CY2024Q3",Spectrum!$R:$R,0)),""))</f>
        <v/>
      </c>
      <c r="AI159" s="218">
        <f>IF(LEFT($B159,4)="_Mil","",_xlfn.IFNA(ROUND(INDEX(Spectrum!$N:$N,MATCH(RIGHT($B159,13)&amp;"|"&amp;$C159&amp;"|"&amp;$D159&amp;"|"&amp;AI$14&amp;"|"&amp;"CY2025Q3",Spectrum!$R:$R,0)),0),""))</f>
        <v>0</v>
      </c>
      <c r="AJ159" s="38">
        <f>IF(LEFT($B159,4)="_Mil","",_xlfn.IFNA(ROUND(INDEX(Spectrum!$N:$N,MATCH(RIGHT($B159,13)&amp;"|"&amp;$C159&amp;"|"&amp;$D159&amp;"|"&amp;AJ$14&amp;"|"&amp;"CY2025Q3",Spectrum!$R:$R,0)),0),""))</f>
        <v>9</v>
      </c>
      <c r="AK159" s="218" t="e">
        <f>#REF!</f>
        <v>#REF!</v>
      </c>
      <c r="AL159" s="33">
        <f t="shared" si="41"/>
        <v>0.9</v>
      </c>
      <c r="AM159" s="38" t="e">
        <f>IF(OR(LEFT($B159,4)="_Mil",$C159="&lt;01"),"",ROUND(SUM($AK159)*SUM($AL159),0))</f>
        <v>#REF!</v>
      </c>
      <c r="AN159" s="38" t="str">
        <f>IF($C159="&lt;01",ROUND(INDEX(EID!$P:$P,MATCH($B159,EID!$B:$B,0))/2,0),"")</f>
        <v/>
      </c>
      <c r="AO159" s="38" t="e">
        <f>IF($C159="&lt;01",SUM($AN159),ROUND(SUM($AM159)*SUM($O159)/IF(SUM($Z159)=0,1,$Z159),0))</f>
        <v>#REF!</v>
      </c>
      <c r="AP159" s="218">
        <f>IF(OR($F159="",$C159="&lt;01"),$AO159,ROUND($F159,0))</f>
        <v>9</v>
      </c>
      <c r="AQ159" s="218">
        <f>IF(LEFT($B159,4)="_Mil","",IF(SUM($AP159)=0,SUM($Z159),IF(OR(SUM($Z159)=0,SUM($O159)=0),MAX($AP159,$Z159),ROUND($AP159*$Z159/$O159,0))))</f>
        <v>9</v>
      </c>
      <c r="AR159" s="33" t="e">
        <f>IF(OR(LEFT($B159,4)="_Mil",SUM($AK159)=0),"",SUM($AQ159)/$AK159)</f>
        <v>#REF!</v>
      </c>
      <c r="AS159" s="33">
        <f>IF($C159="&lt;01","",80%)</f>
        <v>0.8</v>
      </c>
      <c r="AT159" s="33">
        <f>IF($C159="&lt;01","",80%)</f>
        <v>0.8</v>
      </c>
      <c r="AU159" s="38">
        <f>IF($C159="&lt;01","",SUM($AP159)-SUM($O159))</f>
        <v>0</v>
      </c>
      <c r="AV159" s="38">
        <f>IF($C159="&lt;01",ROUND(INDEX(EID!$N:$N,MATCH($B159,EID!$B:$B,0))/2,0),IF(SUM($AT159)=0,"",ROUND((SUM($AP159)-(SUM($O159)*SUM($AS159)))/$AT159,0)))</f>
        <v>2</v>
      </c>
      <c r="AW159" s="33">
        <f t="shared" si="42"/>
        <v>1</v>
      </c>
      <c r="AX159" s="218">
        <f>IF($C159="&lt;01",SUM($AV159),ROUND(SUM($AV159)*SUM($AW159),0))</f>
        <v>2</v>
      </c>
      <c r="AY159" s="79">
        <f t="shared" si="43"/>
        <v>0.7</v>
      </c>
      <c r="AZ159" s="85">
        <f>IF($C159="&lt;01",ROUND(INDEX(EID!$R:$R,MATCH($B159,EID!$B:$B,0))/2,0),ROUND(SUM($O159)+(SUM($AV159)*$AY159),0))</f>
        <v>10</v>
      </c>
      <c r="BA159" s="40">
        <f t="shared" ref="BA159:BA222" si="47">IF($C159="&lt;01","",90%)</f>
        <v>0.9</v>
      </c>
      <c r="BB159" s="99">
        <f>IF($C159="&lt;01",ROUND(INDEX(EID!$T:$T,MATCH($B159,EID!$B:$B,0))/2,0),ROUND($AP159*$BA159,0))</f>
        <v>8</v>
      </c>
      <c r="BC159" s="85">
        <f>IF(LEFT($B159,4)="_Mil","",IF(SUM($BB159)=0,SUM($AD159),IF(OR(SUM($AP159)=0,SUM($AQ159)=0),MAX($BB159,$AD159),ROUND($BB159*$AQ159/$AP159,0))))</f>
        <v>8</v>
      </c>
      <c r="BD159" s="33">
        <f t="shared" si="44"/>
        <v>0.95</v>
      </c>
      <c r="BE159" s="218">
        <f>IF($C159="&lt;01",ROUND(INDEX(EID!$V:$V,MATCH($B159,EID!$B:$B,0))/2,0),ROUND($BD159*$BB159,0))</f>
        <v>8</v>
      </c>
      <c r="BF159" s="218">
        <f>IF(LEFT($B159,4)="_Mil","",IF(SUM($BE159)=0,SUM($AF159),IF(OR(SUM($AP159)=0,SUM($AQ159)=0),MAX($BE159,$AF159),ROUND($BE159*$AQ159/$AP159,0))))</f>
        <v>8</v>
      </c>
      <c r="BG159" s="79">
        <f t="shared" si="45"/>
        <v>0.95</v>
      </c>
      <c r="BH159" s="99">
        <f>IF($C159="&lt;01",ROUND(INDEX(EID!$L:$L,MATCH($B159,EID!$B:$B,0)),0)/2,IF(SUM($BG159)=0,"",ROUND($AX159/$BG159,0)))</f>
        <v>2</v>
      </c>
    </row>
    <row r="160" spans="1:60" x14ac:dyDescent="0.2">
      <c r="A160" t="str">
        <f>INDEX(Prioritization!$D:$D,MATCH($B160,Prioritization!$A:$A,0))</f>
        <v>4 - Sustained</v>
      </c>
      <c r="B160" t="s">
        <v>309</v>
      </c>
      <c r="C160" t="s">
        <v>474</v>
      </c>
      <c r="D160" t="s">
        <v>48</v>
      </c>
      <c r="E160" t="str">
        <f t="shared" si="35"/>
        <v>Likoma District [ZCjuwgaMB9u]|10-14|Male</v>
      </c>
      <c r="F160" s="229">
        <v>10</v>
      </c>
      <c r="G160" s="38">
        <v>2</v>
      </c>
      <c r="H160" s="38"/>
      <c r="I160" s="38">
        <v>16</v>
      </c>
      <c r="J160" s="38">
        <v>11</v>
      </c>
      <c r="K160" s="38">
        <v>5</v>
      </c>
      <c r="L160" s="38"/>
      <c r="M160" s="38"/>
      <c r="N160" s="38">
        <v>9</v>
      </c>
      <c r="O160" s="229">
        <v>11</v>
      </c>
      <c r="P160" s="38">
        <v>8</v>
      </c>
      <c r="Q160" s="38">
        <v>8</v>
      </c>
      <c r="R160" s="38">
        <f t="shared" si="36"/>
        <v>-5</v>
      </c>
      <c r="S160" s="38">
        <f>IF(LEFT($B160,4)="_Mil","",_xlfn.IFNA(ROUND(INDEX(Spectrum!$N:$N,MATCH(RIGHT($B160,13)&amp;"|"&amp;$C160&amp;"|"&amp;$D160&amp;"|"&amp;S$14&amp;"|"&amp;"CY2023Q4",Spectrum!$R:$R,0)),0),""))</f>
        <v>9</v>
      </c>
      <c r="T160" s="218">
        <f>IF(LEFT($B160,4)="_Mil","",_xlfn.IFNA(ROUND(INDEX(Spectrum!$N:$N,MATCH(RIGHT($B160,13)&amp;"|"&amp;$C160&amp;"|"&amp;$D160&amp;"|"&amp;T$14&amp;"|"&amp;"CY2024Q3",Spectrum!$R:$R,0)),0),""))</f>
        <v>971</v>
      </c>
      <c r="U160" s="218">
        <f>IF(LEFT($B160,4)="_Mil","",_xlfn.IFNA(ROUND(INDEX(Spectrum!$N:$N,MATCH(RIGHT($B160,13)&amp;"|"&amp;$C160&amp;"|"&amp;$D160&amp;"|"&amp;U$14&amp;"|"&amp;"CY2024Q3",Spectrum!$R:$R,0)),0),""))</f>
        <v>10</v>
      </c>
      <c r="V160" s="38">
        <f>IF(LEFT($B160,4)="_Mil","",_xlfn.IFNA(ROUND(INDEX(Spectrum!$N:$N,MATCH(RIGHT($B160,13)&amp;"|"&amp;$C160&amp;"|"&amp;$D160&amp;"|"&amp;V$14&amp;"|"&amp;"CY2024Q3",Spectrum!$R:$R,0)),0),""))</f>
        <v>10</v>
      </c>
      <c r="W160" s="220">
        <f>IF(LEFT($B160,4)="_Mil","",_xlfn.IFNA(INDEX(Spectrum!$N:$N,MATCH(RIGHT($B160,13)&amp;"|"&amp;$C160&amp;"|"&amp;$D160&amp;"|"&amp;W$14&amp;"|"&amp;"CY2024Q3",Spectrum!$R:$R,0)),""))</f>
        <v>1.0167089000000001E-2</v>
      </c>
      <c r="X160" s="218">
        <f>IF(LEFT($B160,4)="_Mil","",_xlfn.IFNA(ROUND(INDEX(Spectrum!$N:$N,MATCH(RIGHT($B160,13)&amp;"|"&amp;$C160&amp;"|"&amp;$D160&amp;"|"&amp;X$14&amp;"|"&amp;"CY2024Q3",Spectrum!$R:$R,0)),0),""))</f>
        <v>9</v>
      </c>
      <c r="Y160" s="33">
        <f t="shared" si="37"/>
        <v>0.9</v>
      </c>
      <c r="Z160" s="218">
        <f>IF(LEFT($B160,4)="_Mil","",_xlfn.IFNA(ROUND(INDEX(Spectrum!$N:$N,MATCH(RIGHT($B160,13)&amp;"|"&amp;$C160&amp;"|"&amp;$D160&amp;"|"&amp;Z$14&amp;"|"&amp;"CY2024Q3",Spectrum!$R:$R,0)),0),""))</f>
        <v>8</v>
      </c>
      <c r="AA160" s="33">
        <f>IF(LEFT($B160,4)="_Mil","",IFERROR(1/(1/INDEX(Spectrum!$N:$N,MATCH(RIGHT($B160,13)&amp;"|"&amp;$C160&amp;"|"&amp;$D160&amp;"|"&amp;AA$14&amp;"|"&amp;"CY2024Q3",Spectrum!$R:$R,0))),IF(SUM($U160)=0,"",SUM($Z160)/$U160)))</f>
        <v>0.84923215499999993</v>
      </c>
      <c r="AB160" s="33">
        <f t="shared" si="38"/>
        <v>0.88888888888888884</v>
      </c>
      <c r="AC160" s="38">
        <f>IF(LEFT($B160,4)="_Mil","",_xlfn.IFNA(ROUND(INDEX(Spectrum!$N:$N,MATCH(RIGHT($B160,13)&amp;"|"&amp;$C160&amp;"|"&amp;$D160&amp;"|"&amp;AC$14&amp;"|"&amp;"CY2024Q3",Spectrum!$R:$R,0)),0),""))</f>
        <v>2</v>
      </c>
      <c r="AD160" s="38" t="str">
        <f>IF(LEFT($B160,4)="_Mil","",_xlfn.IFNA(ROUND(INDEX(Spectrum!$N:$N,MATCH(RIGHT($B160,13)&amp;"|"&amp;$C160&amp;"|"&amp;$D160&amp;"|"&amp;AD$14&amp;"|"&amp;"CY2024Q3",Spectrum!$R:$R,0)),0),""))</f>
        <v/>
      </c>
      <c r="AE160" s="33">
        <f t="shared" si="39"/>
        <v>0</v>
      </c>
      <c r="AF160" s="218" t="str">
        <f>IF(LEFT($B160,4)="_Mil","",_xlfn.IFNA(ROUND(INDEX(Spectrum!$N:$N,MATCH(RIGHT($B160,13)&amp;"|"&amp;$C160&amp;"|"&amp;$D160&amp;"|"&amp;AF$14&amp;"|"&amp;"CY2024Q3",Spectrum!$R:$R,0)),0),""))</f>
        <v/>
      </c>
      <c r="AG160" s="33" t="str">
        <f t="shared" si="40"/>
        <v/>
      </c>
      <c r="AH160" s="110" t="str">
        <f>IF(LEFT($B160,4)="_Mil","",_xlfn.IFNA(INDEX(Spectrum!$N:$N,MATCH(RIGHT($B160,13)&amp;"|"&amp;$C160&amp;"|"&amp;$D160&amp;"|"&amp;AH$14&amp;"|"&amp;"CY2024Q3",Spectrum!$R:$R,0)),""))</f>
        <v/>
      </c>
      <c r="AI160" s="218">
        <f>IF(LEFT($B160,4)="_Mil","",_xlfn.IFNA(ROUND(INDEX(Spectrum!$N:$N,MATCH(RIGHT($B160,13)&amp;"|"&amp;$C160&amp;"|"&amp;$D160&amp;"|"&amp;AI$14&amp;"|"&amp;"CY2025Q3",Spectrum!$R:$R,0)),0),""))</f>
        <v>0</v>
      </c>
      <c r="AJ160" s="38">
        <f>IF(LEFT($B160,4)="_Mil","",_xlfn.IFNA(ROUND(INDEX(Spectrum!$N:$N,MATCH(RIGHT($B160,13)&amp;"|"&amp;$C160&amp;"|"&amp;$D160&amp;"|"&amp;AJ$14&amp;"|"&amp;"CY2025Q3",Spectrum!$R:$R,0)),0),""))</f>
        <v>9</v>
      </c>
      <c r="AK160" s="218" t="e">
        <f>#REF!</f>
        <v>#REF!</v>
      </c>
      <c r="AL160" s="33">
        <f t="shared" si="41"/>
        <v>0.9</v>
      </c>
      <c r="AM160" s="38" t="e">
        <f>IF(OR(LEFT($B160,4)="_Mil",$C160="&lt;01"),"",ROUND(SUM($AK160)*SUM($AL160),0))</f>
        <v>#REF!</v>
      </c>
      <c r="AN160" s="38" t="str">
        <f>IF($C160="&lt;01",ROUND(INDEX(EID!$P:$P,MATCH($B160,EID!$B:$B,0))/2,0),"")</f>
        <v/>
      </c>
      <c r="AO160" s="38" t="e">
        <f>IF($C160="&lt;01",SUM($AN160),ROUND(SUM($AM160)*SUM($O160)/IF(SUM($Z160)=0,1,$Z160),0))</f>
        <v>#REF!</v>
      </c>
      <c r="AP160" s="218">
        <f>IF(OR($F160="",$C160="&lt;01"),$AO160,ROUND($F160,0))</f>
        <v>10</v>
      </c>
      <c r="AQ160" s="218">
        <f>IF(LEFT($B160,4)="_Mil","",IF(SUM($AP160)=0,SUM($Z160),IF(OR(SUM($Z160)=0,SUM($O160)=0),MAX($AP160,$Z160),ROUND($AP160*$Z160/$O160,0))))</f>
        <v>7</v>
      </c>
      <c r="AR160" s="33" t="e">
        <f>IF(OR(LEFT($B160,4)="_Mil",SUM($AK160)=0),"",SUM($AQ160)/$AK160)</f>
        <v>#REF!</v>
      </c>
      <c r="AS160" s="33">
        <f>IF($C160="&lt;01","",93%)</f>
        <v>0.93</v>
      </c>
      <c r="AT160" s="33">
        <f t="shared" si="32"/>
        <v>0.98</v>
      </c>
      <c r="AU160" s="38">
        <f>IF($C160="&lt;01","",SUM($AP160)-SUM($O160))</f>
        <v>-1</v>
      </c>
      <c r="AV160" s="38">
        <f>IF($C160="&lt;01",ROUND(INDEX(EID!$N:$N,MATCH($B160,EID!$B:$B,0))/2,0),IF(SUM($AT160)=0,"",ROUND((SUM($AP160)-(SUM($O160)*SUM($AS160)))/$AT160,0)))</f>
        <v>0</v>
      </c>
      <c r="AW160" s="33">
        <f t="shared" si="42"/>
        <v>1</v>
      </c>
      <c r="AX160" s="218">
        <f>IF($C160="&lt;01",SUM($AV160),ROUND(SUM($AV160)*SUM($AW160),0))</f>
        <v>0</v>
      </c>
      <c r="AY160" s="79">
        <f t="shared" si="43"/>
        <v>0.7</v>
      </c>
      <c r="AZ160" s="85">
        <f>IF($C160="&lt;01",ROUND(INDEX(EID!$R:$R,MATCH($B160,EID!$B:$B,0))/2,0),ROUND(SUM($O160)+(SUM($AV160)*$AY160),0))</f>
        <v>11</v>
      </c>
      <c r="BA160" s="40">
        <f t="shared" si="47"/>
        <v>0.9</v>
      </c>
      <c r="BB160" s="99">
        <f>IF($C160="&lt;01",ROUND(INDEX(EID!$T:$T,MATCH($B160,EID!$B:$B,0))/2,0),ROUND($AP160*$BA160,0))</f>
        <v>9</v>
      </c>
      <c r="BC160" s="85">
        <f>IF(LEFT($B160,4)="_Mil","",IF(SUM($BB160)=0,SUM($AD160),IF(OR(SUM($AP160)=0,SUM($AQ160)=0),MAX($BB160,$AD160),ROUND($BB160*$AQ160/$AP160,0))))</f>
        <v>6</v>
      </c>
      <c r="BD160" s="33">
        <f t="shared" si="44"/>
        <v>0.95</v>
      </c>
      <c r="BE160" s="218">
        <f>IF($C160="&lt;01",ROUND(INDEX(EID!$V:$V,MATCH($B160,EID!$B:$B,0))/2,0),ROUND($BD160*$BB160,0))</f>
        <v>9</v>
      </c>
      <c r="BF160" s="218">
        <f>IF(LEFT($B160,4)="_Mil","",IF(SUM($BE160)=0,SUM($AF160),IF(OR(SUM($AP160)=0,SUM($AQ160)=0),MAX($BE160,$AF160),ROUND($BE160*$AQ160/$AP160,0))))</f>
        <v>6</v>
      </c>
      <c r="BG160" s="79">
        <f t="shared" si="45"/>
        <v>0.95</v>
      </c>
      <c r="BH160" s="99">
        <f>IF($C160="&lt;01",ROUND(INDEX(EID!$L:$L,MATCH($B160,EID!$B:$B,0)),0)/2,IF(SUM($BG160)=0,"",ROUND($AX160/$BG160,0)))</f>
        <v>0</v>
      </c>
    </row>
    <row r="161" spans="1:60" x14ac:dyDescent="0.2">
      <c r="A161" t="str">
        <f>INDEX(Prioritization!$D:$D,MATCH($B161,Prioritization!$A:$A,0))</f>
        <v>4 - Sustained</v>
      </c>
      <c r="B161" t="s">
        <v>309</v>
      </c>
      <c r="C161" t="s">
        <v>475</v>
      </c>
      <c r="D161" t="s">
        <v>30</v>
      </c>
      <c r="E161" t="str">
        <f t="shared" si="35"/>
        <v>Likoma District [ZCjuwgaMB9u]|15-24|Female</v>
      </c>
      <c r="F161" s="229">
        <v>42</v>
      </c>
      <c r="G161" s="38">
        <v>7</v>
      </c>
      <c r="H161" s="38">
        <v>17</v>
      </c>
      <c r="I161" s="38">
        <v>35</v>
      </c>
      <c r="J161" s="38">
        <v>23</v>
      </c>
      <c r="K161" s="38">
        <v>17</v>
      </c>
      <c r="L161" s="38">
        <v>3</v>
      </c>
      <c r="M161" s="38">
        <v>3</v>
      </c>
      <c r="N161" s="38">
        <v>35</v>
      </c>
      <c r="O161" s="229">
        <v>39</v>
      </c>
      <c r="P161" s="38">
        <v>32</v>
      </c>
      <c r="Q161" s="38">
        <v>30</v>
      </c>
      <c r="R161" s="38">
        <f t="shared" si="36"/>
        <v>4</v>
      </c>
      <c r="S161" s="38">
        <f>IF(LEFT($B161,4)="_Mil","",_xlfn.IFNA(ROUND(INDEX(Spectrum!$N:$N,MATCH(RIGHT($B161,13)&amp;"|"&amp;$C161&amp;"|"&amp;$D161&amp;"|"&amp;S$14&amp;"|"&amp;"CY2023Q4",Spectrum!$R:$R,0)),0),""))</f>
        <v>38</v>
      </c>
      <c r="T161" s="218">
        <f>IF(LEFT($B161,4)="_Mil","",_xlfn.IFNA(ROUND(INDEX(Spectrum!$N:$N,MATCH(RIGHT($B161,13)&amp;"|"&amp;$C161&amp;"|"&amp;$D161&amp;"|"&amp;T$14&amp;"|"&amp;"CY2024Q3",Spectrum!$R:$R,0)),0),""))</f>
        <v>1913</v>
      </c>
      <c r="U161" s="218">
        <f>IF(LEFT($B161,4)="_Mil","",_xlfn.IFNA(ROUND(INDEX(Spectrum!$N:$N,MATCH(RIGHT($B161,13)&amp;"|"&amp;$C161&amp;"|"&amp;$D161&amp;"|"&amp;U$14&amp;"|"&amp;"CY2024Q3",Spectrum!$R:$R,0)),0),""))</f>
        <v>40</v>
      </c>
      <c r="V161" s="38">
        <f>IF(LEFT($B161,4)="_Mil","",_xlfn.IFNA(ROUND(INDEX(Spectrum!$N:$N,MATCH(RIGHT($B161,13)&amp;"|"&amp;$C161&amp;"|"&amp;$D161&amp;"|"&amp;V$14&amp;"|"&amp;"CY2024Q3",Spectrum!$R:$R,0)),0),""))</f>
        <v>40</v>
      </c>
      <c r="W161" s="220">
        <f>IF(LEFT($B161,4)="_Mil","",_xlfn.IFNA(INDEX(Spectrum!$N:$N,MATCH(RIGHT($B161,13)&amp;"|"&amp;$C161&amp;"|"&amp;$D161&amp;"|"&amp;W$14&amp;"|"&amp;"CY2024Q3",Spectrum!$R:$R,0)),""))</f>
        <v>2.0650617999999999E-2</v>
      </c>
      <c r="X161" s="218">
        <f>IF(LEFT($B161,4)="_Mil","",_xlfn.IFNA(ROUND(INDEX(Spectrum!$N:$N,MATCH(RIGHT($B161,13)&amp;"|"&amp;$C161&amp;"|"&amp;$D161&amp;"|"&amp;X$14&amp;"|"&amp;"CY2024Q3",Spectrum!$R:$R,0)),0),""))</f>
        <v>37</v>
      </c>
      <c r="Y161" s="33">
        <f t="shared" si="37"/>
        <v>0.93</v>
      </c>
      <c r="Z161" s="218">
        <f>IF(LEFT($B161,4)="_Mil","",_xlfn.IFNA(ROUND(INDEX(Spectrum!$N:$N,MATCH(RIGHT($B161,13)&amp;"|"&amp;$C161&amp;"|"&amp;$D161&amp;"|"&amp;Z$14&amp;"|"&amp;"CY2024Q3",Spectrum!$R:$R,0)),0),""))</f>
        <v>37</v>
      </c>
      <c r="AA161" s="33">
        <f>IF(LEFT($B161,4)="_Mil","",IFERROR(1/(1/INDEX(Spectrum!$N:$N,MATCH(RIGHT($B161,13)&amp;"|"&amp;$C161&amp;"|"&amp;$D161&amp;"|"&amp;AA$14&amp;"|"&amp;"CY2024Q3",Spectrum!$R:$R,0))),IF(SUM($U161)=0,"",SUM($Z161)/$U161)))</f>
        <v>0.93601061799999996</v>
      </c>
      <c r="AB161" s="33">
        <f t="shared" si="38"/>
        <v>1</v>
      </c>
      <c r="AC161" s="38">
        <f>IF(LEFT($B161,4)="_Mil","",_xlfn.IFNA(ROUND(INDEX(Spectrum!$N:$N,MATCH(RIGHT($B161,13)&amp;"|"&amp;$C161&amp;"|"&amp;$D161&amp;"|"&amp;AC$14&amp;"|"&amp;"CY2024Q3",Spectrum!$R:$R,0)),0),""))</f>
        <v>3</v>
      </c>
      <c r="AD161" s="38" t="str">
        <f>IF(LEFT($B161,4)="_Mil","",_xlfn.IFNA(ROUND(INDEX(Spectrum!$N:$N,MATCH(RIGHT($B161,13)&amp;"|"&amp;$C161&amp;"|"&amp;$D161&amp;"|"&amp;AD$14&amp;"|"&amp;"CY2024Q3",Spectrum!$R:$R,0)),0),""))</f>
        <v/>
      </c>
      <c r="AE161" s="33">
        <f t="shared" si="39"/>
        <v>0</v>
      </c>
      <c r="AF161" s="218" t="str">
        <f>IF(LEFT($B161,4)="_Mil","",_xlfn.IFNA(ROUND(INDEX(Spectrum!$N:$N,MATCH(RIGHT($B161,13)&amp;"|"&amp;$C161&amp;"|"&amp;$D161&amp;"|"&amp;AF$14&amp;"|"&amp;"CY2024Q3",Spectrum!$R:$R,0)),0),""))</f>
        <v/>
      </c>
      <c r="AG161" s="33" t="str">
        <f t="shared" si="40"/>
        <v/>
      </c>
      <c r="AH161" s="110" t="str">
        <f>IF(LEFT($B161,4)="_Mil","",_xlfn.IFNA(INDEX(Spectrum!$N:$N,MATCH(RIGHT($B161,13)&amp;"|"&amp;$C161&amp;"|"&amp;$D161&amp;"|"&amp;AH$14&amp;"|"&amp;"CY2024Q3",Spectrum!$R:$R,0)),""))</f>
        <v/>
      </c>
      <c r="AI161" s="218">
        <f>IF(LEFT($B161,4)="_Mil","",_xlfn.IFNA(ROUND(INDEX(Spectrum!$N:$N,MATCH(RIGHT($B161,13)&amp;"|"&amp;$C161&amp;"|"&amp;$D161&amp;"|"&amp;AI$14&amp;"|"&amp;"CY2025Q3",Spectrum!$R:$R,0)),0),""))</f>
        <v>2</v>
      </c>
      <c r="AJ161" s="38">
        <f>IF(LEFT($B161,4)="_Mil","",_xlfn.IFNA(ROUND(INDEX(Spectrum!$N:$N,MATCH(RIGHT($B161,13)&amp;"|"&amp;$C161&amp;"|"&amp;$D161&amp;"|"&amp;AJ$14&amp;"|"&amp;"CY2025Q3",Spectrum!$R:$R,0)),0),""))</f>
        <v>38</v>
      </c>
      <c r="AK161" s="218" t="e">
        <f>#REF!</f>
        <v>#REF!</v>
      </c>
      <c r="AL161" s="33">
        <f t="shared" si="41"/>
        <v>0.93601061799999996</v>
      </c>
      <c r="AM161" s="38" t="e">
        <f>IF(OR(LEFT($B161,4)="_Mil",$C161="&lt;01"),"",ROUND(SUM($AK161)*SUM($AL161),0))</f>
        <v>#REF!</v>
      </c>
      <c r="AN161" s="38" t="str">
        <f>IF($C161="&lt;01",ROUND(INDEX(EID!$P:$P,MATCH($B161,EID!$B:$B,0))/2,0),"")</f>
        <v/>
      </c>
      <c r="AO161" s="38" t="e">
        <f>IF($C161="&lt;01",SUM($AN161),ROUND(SUM($AM161)*SUM($O161)/IF(SUM($Z161)=0,1,$Z161),0))</f>
        <v>#REF!</v>
      </c>
      <c r="AP161" s="218">
        <f>IF(OR($F161="",$C161="&lt;01"),$AO161,ROUND($F161,0))</f>
        <v>42</v>
      </c>
      <c r="AQ161" s="218">
        <f>IF(LEFT($B161,4)="_Mil","",IF(SUM($AP161)=0,SUM($Z161),IF(OR(SUM($Z161)=0,SUM($O161)=0),MAX($AP161,$Z161),ROUND($AP161*$Z161/$O161,0))))</f>
        <v>40</v>
      </c>
      <c r="AR161" s="33" t="e">
        <f>IF(OR(LEFT($B161,4)="_Mil",SUM($AK161)=0),"",SUM($AQ161)/$AK161)</f>
        <v>#REF!</v>
      </c>
      <c r="AS161" s="33">
        <f>IF($C161="&lt;01","",80%)</f>
        <v>0.8</v>
      </c>
      <c r="AT161" s="33">
        <f>IF($C161="&lt;01","",80%)</f>
        <v>0.8</v>
      </c>
      <c r="AU161" s="38">
        <f>IF($C161="&lt;01","",SUM($AP161)-SUM($O161))</f>
        <v>3</v>
      </c>
      <c r="AV161" s="38">
        <f>IF($C161="&lt;01",ROUND(INDEX(EID!$N:$N,MATCH($B161,EID!$B:$B,0))/2,0),IF(SUM($AT161)=0,"",ROUND((SUM($AP161)-(SUM($O161)*SUM($AS161)))/$AT161,0)))</f>
        <v>14</v>
      </c>
      <c r="AW161" s="33">
        <f t="shared" si="42"/>
        <v>1</v>
      </c>
      <c r="AX161" s="218">
        <f>IF($C161="&lt;01",SUM($AV161),ROUND(SUM($AV161)*SUM($AW161),0))</f>
        <v>14</v>
      </c>
      <c r="AY161" s="79">
        <f t="shared" si="43"/>
        <v>0.7</v>
      </c>
      <c r="AZ161" s="85">
        <f>IF($C161="&lt;01",ROUND(INDEX(EID!$R:$R,MATCH($B161,EID!$B:$B,0))/2,0),ROUND(SUM($O161)+(SUM($AV161)*$AY161),0))</f>
        <v>49</v>
      </c>
      <c r="BA161" s="40">
        <f t="shared" si="47"/>
        <v>0.9</v>
      </c>
      <c r="BB161" s="99">
        <f>IF($C161="&lt;01",ROUND(INDEX(EID!$T:$T,MATCH($B161,EID!$B:$B,0))/2,0),ROUND($AP161*$BA161,0))</f>
        <v>38</v>
      </c>
      <c r="BC161" s="85">
        <f>IF(LEFT($B161,4)="_Mil","",IF(SUM($BB161)=0,SUM($AD161),IF(OR(SUM($AP161)=0,SUM($AQ161)=0),MAX($BB161,$AD161),ROUND($BB161*$AQ161/$AP161,0))))</f>
        <v>36</v>
      </c>
      <c r="BD161" s="33">
        <f t="shared" si="44"/>
        <v>0.95</v>
      </c>
      <c r="BE161" s="218">
        <f>IF($C161="&lt;01",ROUND(INDEX(EID!$V:$V,MATCH($B161,EID!$B:$B,0))/2,0),ROUND($BD161*$BB161,0))</f>
        <v>36</v>
      </c>
      <c r="BF161" s="218">
        <f>IF(LEFT($B161,4)="_Mil","",IF(SUM($BE161)=0,SUM($AF161),IF(OR(SUM($AP161)=0,SUM($AQ161)=0),MAX($BE161,$AF161),ROUND($BE161*$AQ161/$AP161,0))))</f>
        <v>34</v>
      </c>
      <c r="BG161" s="79">
        <f t="shared" si="45"/>
        <v>0.95</v>
      </c>
      <c r="BH161" s="99">
        <f>IF($C161="&lt;01",ROUND(INDEX(EID!$L:$L,MATCH($B161,EID!$B:$B,0)),0)/2,IF(SUM($BG161)=0,"",ROUND($AX161/$BG161,0)))</f>
        <v>15</v>
      </c>
    </row>
    <row r="162" spans="1:60" x14ac:dyDescent="0.2">
      <c r="A162" t="str">
        <f>INDEX(Prioritization!$D:$D,MATCH($B162,Prioritization!$A:$A,0))</f>
        <v>4 - Sustained</v>
      </c>
      <c r="B162" t="s">
        <v>309</v>
      </c>
      <c r="C162" t="s">
        <v>475</v>
      </c>
      <c r="D162" t="s">
        <v>48</v>
      </c>
      <c r="E162" t="str">
        <f t="shared" si="35"/>
        <v>Likoma District [ZCjuwgaMB9u]|15-24|Male</v>
      </c>
      <c r="F162" s="229">
        <v>26</v>
      </c>
      <c r="G162" s="38">
        <v>5</v>
      </c>
      <c r="H162" s="38">
        <v>4</v>
      </c>
      <c r="I162" s="38">
        <v>20</v>
      </c>
      <c r="J162" s="38">
        <v>12</v>
      </c>
      <c r="K162" s="38">
        <v>8</v>
      </c>
      <c r="L162" s="38">
        <v>4</v>
      </c>
      <c r="M162" s="38">
        <v>4</v>
      </c>
      <c r="N162" s="38">
        <v>30</v>
      </c>
      <c r="O162" s="229">
        <v>26</v>
      </c>
      <c r="P162" s="38">
        <v>27</v>
      </c>
      <c r="Q162" s="38">
        <v>26</v>
      </c>
      <c r="R162" s="38">
        <f t="shared" si="36"/>
        <v>6</v>
      </c>
      <c r="S162" s="38">
        <f>IF(LEFT($B162,4)="_Mil","",_xlfn.IFNA(ROUND(INDEX(Spectrum!$N:$N,MATCH(RIGHT($B162,13)&amp;"|"&amp;$C162&amp;"|"&amp;$D162&amp;"|"&amp;S$14&amp;"|"&amp;"CY2023Q4",Spectrum!$R:$R,0)),0),""))</f>
        <v>29</v>
      </c>
      <c r="T162" s="218">
        <f>IF(LEFT($B162,4)="_Mil","",_xlfn.IFNA(ROUND(INDEX(Spectrum!$N:$N,MATCH(RIGHT($B162,13)&amp;"|"&amp;$C162&amp;"|"&amp;$D162&amp;"|"&amp;T$14&amp;"|"&amp;"CY2024Q3",Spectrum!$R:$R,0)),0),""))</f>
        <v>2230</v>
      </c>
      <c r="U162" s="218">
        <f>IF(LEFT($B162,4)="_Mil","",_xlfn.IFNA(ROUND(INDEX(Spectrum!$N:$N,MATCH(RIGHT($B162,13)&amp;"|"&amp;$C162&amp;"|"&amp;$D162&amp;"|"&amp;U$14&amp;"|"&amp;"CY2024Q3",Spectrum!$R:$R,0)),0),""))</f>
        <v>31</v>
      </c>
      <c r="V162" s="38">
        <f>IF(LEFT($B162,4)="_Mil","",_xlfn.IFNA(ROUND(INDEX(Spectrum!$N:$N,MATCH(RIGHT($B162,13)&amp;"|"&amp;$C162&amp;"|"&amp;$D162&amp;"|"&amp;V$14&amp;"|"&amp;"CY2024Q3",Spectrum!$R:$R,0)),0),""))</f>
        <v>31</v>
      </c>
      <c r="W162" s="220">
        <f>IF(LEFT($B162,4)="_Mil","",_xlfn.IFNA(INDEX(Spectrum!$N:$N,MATCH(RIGHT($B162,13)&amp;"|"&amp;$C162&amp;"|"&amp;$D162&amp;"|"&amp;W$14&amp;"|"&amp;"CY2024Q3",Spectrum!$R:$R,0)),""))</f>
        <v>1.3991986E-2</v>
      </c>
      <c r="X162" s="218">
        <f>IF(LEFT($B162,4)="_Mil","",_xlfn.IFNA(ROUND(INDEX(Spectrum!$N:$N,MATCH(RIGHT($B162,13)&amp;"|"&amp;$C162&amp;"|"&amp;$D162&amp;"|"&amp;X$14&amp;"|"&amp;"CY2024Q3",Spectrum!$R:$R,0)),0),""))</f>
        <v>28</v>
      </c>
      <c r="Y162" s="33">
        <f t="shared" si="37"/>
        <v>0.9</v>
      </c>
      <c r="Z162" s="218">
        <f>IF(LEFT($B162,4)="_Mil","",_xlfn.IFNA(ROUND(INDEX(Spectrum!$N:$N,MATCH(RIGHT($B162,13)&amp;"|"&amp;$C162&amp;"|"&amp;$D162&amp;"|"&amp;Z$14&amp;"|"&amp;"CY2024Q3",Spectrum!$R:$R,0)),0),""))</f>
        <v>28</v>
      </c>
      <c r="AA162" s="33">
        <f>IF(LEFT($B162,4)="_Mil","",IFERROR(1/(1/INDEX(Spectrum!$N:$N,MATCH(RIGHT($B162,13)&amp;"|"&amp;$C162&amp;"|"&amp;$D162&amp;"|"&amp;AA$14&amp;"|"&amp;"CY2024Q3",Spectrum!$R:$R,0))),IF(SUM($U162)=0,"",SUM($Z162)/$U162)))</f>
        <v>0.90676878999999999</v>
      </c>
      <c r="AB162" s="33">
        <f t="shared" si="38"/>
        <v>1</v>
      </c>
      <c r="AC162" s="38">
        <f>IF(LEFT($B162,4)="_Mil","",_xlfn.IFNA(ROUND(INDEX(Spectrum!$N:$N,MATCH(RIGHT($B162,13)&amp;"|"&amp;$C162&amp;"|"&amp;$D162&amp;"|"&amp;AC$14&amp;"|"&amp;"CY2024Q3",Spectrum!$R:$R,0)),0),""))</f>
        <v>3</v>
      </c>
      <c r="AD162" s="38" t="str">
        <f>IF(LEFT($B162,4)="_Mil","",_xlfn.IFNA(ROUND(INDEX(Spectrum!$N:$N,MATCH(RIGHT($B162,13)&amp;"|"&amp;$C162&amp;"|"&amp;$D162&amp;"|"&amp;AD$14&amp;"|"&amp;"CY2024Q3",Spectrum!$R:$R,0)),0),""))</f>
        <v/>
      </c>
      <c r="AE162" s="33">
        <f t="shared" si="39"/>
        <v>0</v>
      </c>
      <c r="AF162" s="218" t="str">
        <f>IF(LEFT($B162,4)="_Mil","",_xlfn.IFNA(ROUND(INDEX(Spectrum!$N:$N,MATCH(RIGHT($B162,13)&amp;"|"&amp;$C162&amp;"|"&amp;$D162&amp;"|"&amp;AF$14&amp;"|"&amp;"CY2024Q3",Spectrum!$R:$R,0)),0),""))</f>
        <v/>
      </c>
      <c r="AG162" s="33" t="str">
        <f t="shared" si="40"/>
        <v/>
      </c>
      <c r="AH162" s="110" t="str">
        <f>IF(LEFT($B162,4)="_Mil","",_xlfn.IFNA(INDEX(Spectrum!$N:$N,MATCH(RIGHT($B162,13)&amp;"|"&amp;$C162&amp;"|"&amp;$D162&amp;"|"&amp;AH$14&amp;"|"&amp;"CY2024Q3",Spectrum!$R:$R,0)),""))</f>
        <v/>
      </c>
      <c r="AI162" s="218">
        <f>IF(LEFT($B162,4)="_Mil","",_xlfn.IFNA(ROUND(INDEX(Spectrum!$N:$N,MATCH(RIGHT($B162,13)&amp;"|"&amp;$C162&amp;"|"&amp;$D162&amp;"|"&amp;AI$14&amp;"|"&amp;"CY2025Q3",Spectrum!$R:$R,0)),0),""))</f>
        <v>0</v>
      </c>
      <c r="AJ162" s="38">
        <f>IF(LEFT($B162,4)="_Mil","",_xlfn.IFNA(ROUND(INDEX(Spectrum!$N:$N,MATCH(RIGHT($B162,13)&amp;"|"&amp;$C162&amp;"|"&amp;$D162&amp;"|"&amp;AJ$14&amp;"|"&amp;"CY2025Q3",Spectrum!$R:$R,0)),0),""))</f>
        <v>30</v>
      </c>
      <c r="AK162" s="218" t="e">
        <f>#REF!</f>
        <v>#REF!</v>
      </c>
      <c r="AL162" s="33">
        <f t="shared" si="41"/>
        <v>0.90676878999999999</v>
      </c>
      <c r="AM162" s="38" t="e">
        <f>IF(OR(LEFT($B162,4)="_Mil",$C162="&lt;01"),"",ROUND(SUM($AK162)*SUM($AL162),0))</f>
        <v>#REF!</v>
      </c>
      <c r="AN162" s="38" t="str">
        <f>IF($C162="&lt;01",ROUND(INDEX(EID!$P:$P,MATCH($B162,EID!$B:$B,0))/2,0),"")</f>
        <v/>
      </c>
      <c r="AO162" s="38" t="e">
        <f>IF($C162="&lt;01",SUM($AN162),ROUND(SUM($AM162)*SUM($O162)/IF(SUM($Z162)=0,1,$Z162),0))</f>
        <v>#REF!</v>
      </c>
      <c r="AP162" s="218">
        <f>IF(OR($F162="",$C162="&lt;01"),$AO162,ROUND($F162,0))</f>
        <v>26</v>
      </c>
      <c r="AQ162" s="218">
        <f>IF(LEFT($B162,4)="_Mil","",IF(SUM($AP162)=0,SUM($Z162),IF(OR(SUM($Z162)=0,SUM($O162)=0),MAX($AP162,$Z162),ROUND($AP162*$Z162/$O162,0))))</f>
        <v>28</v>
      </c>
      <c r="AR162" s="33" t="e">
        <f>IF(OR(LEFT($B162,4)="_Mil",SUM($AK162)=0),"",SUM($AQ162)/$AK162)</f>
        <v>#REF!</v>
      </c>
      <c r="AS162" s="33">
        <f t="shared" ref="AS162:AS174" si="48">IF($C162="&lt;01","",98%)</f>
        <v>0.98</v>
      </c>
      <c r="AT162" s="33">
        <f t="shared" si="32"/>
        <v>0.98</v>
      </c>
      <c r="AU162" s="38">
        <f>IF($C162="&lt;01","",SUM($AP162)-SUM($O162))</f>
        <v>0</v>
      </c>
      <c r="AV162" s="38">
        <f>IF($C162="&lt;01",ROUND(INDEX(EID!$N:$N,MATCH($B162,EID!$B:$B,0))/2,0),IF(SUM($AT162)=0,"",ROUND((SUM($AP162)-(SUM($O162)*SUM($AS162)))/$AT162,0)))</f>
        <v>1</v>
      </c>
      <c r="AW162" s="33">
        <f t="shared" si="42"/>
        <v>1</v>
      </c>
      <c r="AX162" s="218">
        <f>IF($C162="&lt;01",SUM($AV162),ROUND(SUM($AV162)*SUM($AW162),0))</f>
        <v>1</v>
      </c>
      <c r="AY162" s="79">
        <f t="shared" si="43"/>
        <v>0.7</v>
      </c>
      <c r="AZ162" s="85">
        <f>IF($C162="&lt;01",ROUND(INDEX(EID!$R:$R,MATCH($B162,EID!$B:$B,0))/2,0),ROUND(SUM($O162)+(SUM($AV162)*$AY162),0))</f>
        <v>27</v>
      </c>
      <c r="BA162" s="40">
        <f t="shared" si="47"/>
        <v>0.9</v>
      </c>
      <c r="BB162" s="99">
        <f>IF($C162="&lt;01",ROUND(INDEX(EID!$T:$T,MATCH($B162,EID!$B:$B,0))/2,0),ROUND($AP162*$BA162,0))</f>
        <v>23</v>
      </c>
      <c r="BC162" s="85">
        <f>IF(LEFT($B162,4)="_Mil","",IF(SUM($BB162)=0,SUM($AD162),IF(OR(SUM($AP162)=0,SUM($AQ162)=0),MAX($BB162,$AD162),ROUND($BB162*$AQ162/$AP162,0))))</f>
        <v>25</v>
      </c>
      <c r="BD162" s="33">
        <f t="shared" si="44"/>
        <v>0.95</v>
      </c>
      <c r="BE162" s="218">
        <f>IF($C162="&lt;01",ROUND(INDEX(EID!$V:$V,MATCH($B162,EID!$B:$B,0))/2,0),ROUND($BD162*$BB162,0))</f>
        <v>22</v>
      </c>
      <c r="BF162" s="218">
        <f>IF(LEFT($B162,4)="_Mil","",IF(SUM($BE162)=0,SUM($AF162),IF(OR(SUM($AP162)=0,SUM($AQ162)=0),MAX($BE162,$AF162),ROUND($BE162*$AQ162/$AP162,0))))</f>
        <v>24</v>
      </c>
      <c r="BG162" s="79">
        <f t="shared" si="45"/>
        <v>0.95</v>
      </c>
      <c r="BH162" s="99">
        <f>IF($C162="&lt;01",ROUND(INDEX(EID!$L:$L,MATCH($B162,EID!$B:$B,0)),0)/2,IF(SUM($BG162)=0,"",ROUND($AX162/$BG162,0)))</f>
        <v>1</v>
      </c>
    </row>
    <row r="163" spans="1:60" x14ac:dyDescent="0.2">
      <c r="A163" t="str">
        <f>INDEX(Prioritization!$D:$D,MATCH($B163,Prioritization!$A:$A,0))</f>
        <v>4 - Sustained</v>
      </c>
      <c r="B163" t="s">
        <v>309</v>
      </c>
      <c r="C163" t="s">
        <v>476</v>
      </c>
      <c r="D163" t="s">
        <v>30</v>
      </c>
      <c r="E163" t="str">
        <f t="shared" si="35"/>
        <v>Likoma District [ZCjuwgaMB9u]|25-34|Female</v>
      </c>
      <c r="F163" s="229">
        <v>93</v>
      </c>
      <c r="G163" s="38">
        <v>10</v>
      </c>
      <c r="H163" s="38">
        <v>27</v>
      </c>
      <c r="I163" s="38">
        <v>91</v>
      </c>
      <c r="J163" s="38">
        <v>60</v>
      </c>
      <c r="K163" s="38">
        <v>51</v>
      </c>
      <c r="L163" s="38">
        <v>8</v>
      </c>
      <c r="M163" s="38">
        <v>8</v>
      </c>
      <c r="N163" s="38">
        <v>105</v>
      </c>
      <c r="O163" s="229">
        <v>93</v>
      </c>
      <c r="P163" s="38">
        <v>97</v>
      </c>
      <c r="Q163" s="38">
        <v>92</v>
      </c>
      <c r="R163" s="38">
        <f t="shared" si="36"/>
        <v>2</v>
      </c>
      <c r="S163" s="38">
        <f>IF(LEFT($B163,4)="_Mil","",_xlfn.IFNA(ROUND(INDEX(Spectrum!$N:$N,MATCH(RIGHT($B163,13)&amp;"|"&amp;$C163&amp;"|"&amp;$D163&amp;"|"&amp;S$14&amp;"|"&amp;"CY2023Q4",Spectrum!$R:$R,0)),0),""))</f>
        <v>112</v>
      </c>
      <c r="T163" s="218">
        <f>IF(LEFT($B163,4)="_Mil","",_xlfn.IFNA(ROUND(INDEX(Spectrum!$N:$N,MATCH(RIGHT($B163,13)&amp;"|"&amp;$C163&amp;"|"&amp;$D163&amp;"|"&amp;T$14&amp;"|"&amp;"CY2024Q3",Spectrum!$R:$R,0)),0),""))</f>
        <v>1450</v>
      </c>
      <c r="U163" s="218">
        <f>IF(LEFT($B163,4)="_Mil","",_xlfn.IFNA(ROUND(INDEX(Spectrum!$N:$N,MATCH(RIGHT($B163,13)&amp;"|"&amp;$C163&amp;"|"&amp;$D163&amp;"|"&amp;U$14&amp;"|"&amp;"CY2024Q3",Spectrum!$R:$R,0)),0),""))</f>
        <v>109</v>
      </c>
      <c r="V163" s="38">
        <f>IF(LEFT($B163,4)="_Mil","",_xlfn.IFNA(ROUND(INDEX(Spectrum!$N:$N,MATCH(RIGHT($B163,13)&amp;"|"&amp;$C163&amp;"|"&amp;$D163&amp;"|"&amp;V$14&amp;"|"&amp;"CY2024Q3",Spectrum!$R:$R,0)),0),""))</f>
        <v>109</v>
      </c>
      <c r="W163" s="220">
        <f>IF(LEFT($B163,4)="_Mil","",_xlfn.IFNA(INDEX(Spectrum!$N:$N,MATCH(RIGHT($B163,13)&amp;"|"&amp;$C163&amp;"|"&amp;$D163&amp;"|"&amp;W$14&amp;"|"&amp;"CY2024Q3",Spectrum!$R:$R,0)),""))</f>
        <v>7.5231224999999999E-2</v>
      </c>
      <c r="X163" s="218">
        <f>IF(LEFT($B163,4)="_Mil","",_xlfn.IFNA(ROUND(INDEX(Spectrum!$N:$N,MATCH(RIGHT($B163,13)&amp;"|"&amp;$C163&amp;"|"&amp;$D163&amp;"|"&amp;X$14&amp;"|"&amp;"CY2024Q3",Spectrum!$R:$R,0)),0),""))</f>
        <v>105</v>
      </c>
      <c r="Y163" s="33">
        <f t="shared" si="37"/>
        <v>0.96</v>
      </c>
      <c r="Z163" s="218">
        <f>IF(LEFT($B163,4)="_Mil","",_xlfn.IFNA(ROUND(INDEX(Spectrum!$N:$N,MATCH(RIGHT($B163,13)&amp;"|"&amp;$C163&amp;"|"&amp;$D163&amp;"|"&amp;Z$14&amp;"|"&amp;"CY2024Q3",Spectrum!$R:$R,0)),0),""))</f>
        <v>105</v>
      </c>
      <c r="AA163" s="33">
        <f>IF(LEFT($B163,4)="_Mil","",IFERROR(1/(1/INDEX(Spectrum!$N:$N,MATCH(RIGHT($B163,13)&amp;"|"&amp;$C163&amp;"|"&amp;$D163&amp;"|"&amp;AA$14&amp;"|"&amp;"CY2024Q3",Spectrum!$R:$R,0))),IF(SUM($U163)=0,"",SUM($Z163)/$U163)))</f>
        <v>0.96611167100000006</v>
      </c>
      <c r="AB163" s="33">
        <f t="shared" si="38"/>
        <v>1</v>
      </c>
      <c r="AC163" s="38">
        <f>IF(LEFT($B163,4)="_Mil","",_xlfn.IFNA(ROUND(INDEX(Spectrum!$N:$N,MATCH(RIGHT($B163,13)&amp;"|"&amp;$C163&amp;"|"&amp;$D163&amp;"|"&amp;AC$14&amp;"|"&amp;"CY2024Q3",Spectrum!$R:$R,0)),0),""))</f>
        <v>4</v>
      </c>
      <c r="AD163" s="38" t="str">
        <f>IF(LEFT($B163,4)="_Mil","",_xlfn.IFNA(ROUND(INDEX(Spectrum!$N:$N,MATCH(RIGHT($B163,13)&amp;"|"&amp;$C163&amp;"|"&amp;$D163&amp;"|"&amp;AD$14&amp;"|"&amp;"CY2024Q3",Spectrum!$R:$R,0)),0),""))</f>
        <v/>
      </c>
      <c r="AE163" s="33">
        <f t="shared" si="39"/>
        <v>0</v>
      </c>
      <c r="AF163" s="218" t="str">
        <f>IF(LEFT($B163,4)="_Mil","",_xlfn.IFNA(ROUND(INDEX(Spectrum!$N:$N,MATCH(RIGHT($B163,13)&amp;"|"&amp;$C163&amp;"|"&amp;$D163&amp;"|"&amp;AF$14&amp;"|"&amp;"CY2024Q3",Spectrum!$R:$R,0)),0),""))</f>
        <v/>
      </c>
      <c r="AG163" s="33" t="str">
        <f t="shared" si="40"/>
        <v/>
      </c>
      <c r="AH163" s="110" t="str">
        <f>IF(LEFT($B163,4)="_Mil","",_xlfn.IFNA(INDEX(Spectrum!$N:$N,MATCH(RIGHT($B163,13)&amp;"|"&amp;$C163&amp;"|"&amp;$D163&amp;"|"&amp;AH$14&amp;"|"&amp;"CY2024Q3",Spectrum!$R:$R,0)),""))</f>
        <v/>
      </c>
      <c r="AI163" s="218">
        <f>IF(LEFT($B163,4)="_Mil","",_xlfn.IFNA(ROUND(INDEX(Spectrum!$N:$N,MATCH(RIGHT($B163,13)&amp;"|"&amp;$C163&amp;"|"&amp;$D163&amp;"|"&amp;AI$14&amp;"|"&amp;"CY2025Q3",Spectrum!$R:$R,0)),0),""))</f>
        <v>3</v>
      </c>
      <c r="AJ163" s="38">
        <f>IF(LEFT($B163,4)="_Mil","",_xlfn.IFNA(ROUND(INDEX(Spectrum!$N:$N,MATCH(RIGHT($B163,13)&amp;"|"&amp;$C163&amp;"|"&amp;$D163&amp;"|"&amp;AJ$14&amp;"|"&amp;"CY2025Q3",Spectrum!$R:$R,0)),0),""))</f>
        <v>101</v>
      </c>
      <c r="AK163" s="218" t="e">
        <f>#REF!</f>
        <v>#REF!</v>
      </c>
      <c r="AL163" s="33">
        <f t="shared" si="41"/>
        <v>0.96611167100000006</v>
      </c>
      <c r="AM163" s="38" t="e">
        <f>IF(OR(LEFT($B163,4)="_Mil",$C163="&lt;01"),"",ROUND(SUM($AK163)*SUM($AL163),0))</f>
        <v>#REF!</v>
      </c>
      <c r="AN163" s="38" t="str">
        <f>IF($C163="&lt;01",ROUND(INDEX(EID!$P:$P,MATCH($B163,EID!$B:$B,0))/2,0),"")</f>
        <v/>
      </c>
      <c r="AO163" s="38" t="e">
        <f>IF($C163="&lt;01",SUM($AN163),ROUND(SUM($AM163)*SUM($O163)/IF(SUM($Z163)=0,1,$Z163),0))</f>
        <v>#REF!</v>
      </c>
      <c r="AP163" s="218">
        <f>IF(OR($F163="",$C163="&lt;01"),$AO163,ROUND($F163,0))</f>
        <v>93</v>
      </c>
      <c r="AQ163" s="218">
        <f>IF(LEFT($B163,4)="_Mil","",IF(SUM($AP163)=0,SUM($Z163),IF(OR(SUM($Z163)=0,SUM($O163)=0),MAX($AP163,$Z163),ROUND($AP163*$Z163/$O163,0))))</f>
        <v>105</v>
      </c>
      <c r="AR163" s="33" t="e">
        <f>IF(OR(LEFT($B163,4)="_Mil",SUM($AK163)=0),"",SUM($AQ163)/$AK163)</f>
        <v>#REF!</v>
      </c>
      <c r="AS163" s="33">
        <f>IF($C163="&lt;01","",90%)</f>
        <v>0.9</v>
      </c>
      <c r="AT163" s="33">
        <f>IF($C163="&lt;01","",90%)</f>
        <v>0.9</v>
      </c>
      <c r="AU163" s="38">
        <f>IF($C163="&lt;01","",SUM($AP163)-SUM($O163))</f>
        <v>0</v>
      </c>
      <c r="AV163" s="38">
        <f>IF($C163="&lt;01",ROUND(INDEX(EID!$N:$N,MATCH($B163,EID!$B:$B,0))/2,0),IF(SUM($AT163)=0,"",ROUND((SUM($AP163)-(SUM($O163)*SUM($AS163)))/$AT163,0)))</f>
        <v>10</v>
      </c>
      <c r="AW163" s="33">
        <f t="shared" si="42"/>
        <v>1</v>
      </c>
      <c r="AX163" s="218">
        <f>IF($C163="&lt;01",SUM($AV163),ROUND(SUM($AV163)*SUM($AW163),0))</f>
        <v>10</v>
      </c>
      <c r="AY163" s="79">
        <f t="shared" si="43"/>
        <v>0.7</v>
      </c>
      <c r="AZ163" s="85">
        <f>IF($C163="&lt;01",ROUND(INDEX(EID!$R:$R,MATCH($B163,EID!$B:$B,0))/2,0),ROUND(SUM($O163)+(SUM($AV163)*$AY163),0))</f>
        <v>100</v>
      </c>
      <c r="BA163" s="40">
        <f t="shared" si="47"/>
        <v>0.9</v>
      </c>
      <c r="BB163" s="99">
        <f>IF($C163="&lt;01",ROUND(INDEX(EID!$T:$T,MATCH($B163,EID!$B:$B,0))/2,0),ROUND($AP163*$BA163,0))</f>
        <v>84</v>
      </c>
      <c r="BC163" s="85">
        <f>IF(LEFT($B163,4)="_Mil","",IF(SUM($BB163)=0,SUM($AD163),IF(OR(SUM($AP163)=0,SUM($AQ163)=0),MAX($BB163,$AD163),ROUND($BB163*$AQ163/$AP163,0))))</f>
        <v>95</v>
      </c>
      <c r="BD163" s="33">
        <f t="shared" si="44"/>
        <v>0.95</v>
      </c>
      <c r="BE163" s="218">
        <f>IF($C163="&lt;01",ROUND(INDEX(EID!$V:$V,MATCH($B163,EID!$B:$B,0))/2,0),ROUND($BD163*$BB163,0))</f>
        <v>80</v>
      </c>
      <c r="BF163" s="218">
        <f>IF(LEFT($B163,4)="_Mil","",IF(SUM($BE163)=0,SUM($AF163),IF(OR(SUM($AP163)=0,SUM($AQ163)=0),MAX($BE163,$AF163),ROUND($BE163*$AQ163/$AP163,0))))</f>
        <v>90</v>
      </c>
      <c r="BG163" s="79">
        <f t="shared" si="45"/>
        <v>0.95</v>
      </c>
      <c r="BH163" s="99">
        <f>IF($C163="&lt;01",ROUND(INDEX(EID!$L:$L,MATCH($B163,EID!$B:$B,0)),0)/2,IF(SUM($BG163)=0,"",ROUND($AX163/$BG163,0)))</f>
        <v>11</v>
      </c>
    </row>
    <row r="164" spans="1:60" x14ac:dyDescent="0.2">
      <c r="A164" t="str">
        <f>INDEX(Prioritization!$D:$D,MATCH($B164,Prioritization!$A:$A,0))</f>
        <v>4 - Sustained</v>
      </c>
      <c r="B164" t="s">
        <v>309</v>
      </c>
      <c r="C164" t="s">
        <v>476</v>
      </c>
      <c r="D164" t="s">
        <v>48</v>
      </c>
      <c r="E164" t="str">
        <f t="shared" si="35"/>
        <v>Likoma District [ZCjuwgaMB9u]|25-34|Male</v>
      </c>
      <c r="F164" s="229">
        <v>45</v>
      </c>
      <c r="G164" s="38">
        <v>10</v>
      </c>
      <c r="H164" s="38">
        <v>12</v>
      </c>
      <c r="I164" s="38">
        <v>34</v>
      </c>
      <c r="J164" s="38">
        <v>20</v>
      </c>
      <c r="K164" s="38">
        <v>17</v>
      </c>
      <c r="L164" s="38">
        <v>1</v>
      </c>
      <c r="M164" s="38">
        <v>1</v>
      </c>
      <c r="N164" s="38">
        <v>49</v>
      </c>
      <c r="O164" s="229">
        <v>45</v>
      </c>
      <c r="P164" s="38">
        <v>44</v>
      </c>
      <c r="Q164" s="38">
        <v>42</v>
      </c>
      <c r="R164" s="38">
        <f t="shared" si="36"/>
        <v>11</v>
      </c>
      <c r="S164" s="38">
        <f>IF(LEFT($B164,4)="_Mil","",_xlfn.IFNA(ROUND(INDEX(Spectrum!$N:$N,MATCH(RIGHT($B164,13)&amp;"|"&amp;$C164&amp;"|"&amp;$D164&amp;"|"&amp;S$14&amp;"|"&amp;"CY2023Q4",Spectrum!$R:$R,0)),0),""))</f>
        <v>47</v>
      </c>
      <c r="T164" s="218">
        <f>IF(LEFT($B164,4)="_Mil","",_xlfn.IFNA(ROUND(INDEX(Spectrum!$N:$N,MATCH(RIGHT($B164,13)&amp;"|"&amp;$C164&amp;"|"&amp;$D164&amp;"|"&amp;T$14&amp;"|"&amp;"CY2024Q3",Spectrum!$R:$R,0)),0),""))</f>
        <v>1637</v>
      </c>
      <c r="U164" s="218">
        <f>IF(LEFT($B164,4)="_Mil","",_xlfn.IFNA(ROUND(INDEX(Spectrum!$N:$N,MATCH(RIGHT($B164,13)&amp;"|"&amp;$C164&amp;"|"&amp;$D164&amp;"|"&amp;U$14&amp;"|"&amp;"CY2024Q3",Spectrum!$R:$R,0)),0),""))</f>
        <v>53</v>
      </c>
      <c r="V164" s="38">
        <f>IF(LEFT($B164,4)="_Mil","",_xlfn.IFNA(ROUND(INDEX(Spectrum!$N:$N,MATCH(RIGHT($B164,13)&amp;"|"&amp;$C164&amp;"|"&amp;$D164&amp;"|"&amp;V$14&amp;"|"&amp;"CY2024Q3",Spectrum!$R:$R,0)),0),""))</f>
        <v>53</v>
      </c>
      <c r="W164" s="220">
        <f>IF(LEFT($B164,4)="_Mil","",_xlfn.IFNA(INDEX(Spectrum!$N:$N,MATCH(RIGHT($B164,13)&amp;"|"&amp;$C164&amp;"|"&amp;$D164&amp;"|"&amp;W$14&amp;"|"&amp;"CY2024Q3",Spectrum!$R:$R,0)),""))</f>
        <v>3.2142069000000002E-2</v>
      </c>
      <c r="X164" s="218">
        <f>IF(LEFT($B164,4)="_Mil","",_xlfn.IFNA(ROUND(INDEX(Spectrum!$N:$N,MATCH(RIGHT($B164,13)&amp;"|"&amp;$C164&amp;"|"&amp;$D164&amp;"|"&amp;X$14&amp;"|"&amp;"CY2024Q3",Spectrum!$R:$R,0)),0),""))</f>
        <v>47</v>
      </c>
      <c r="Y164" s="33">
        <f t="shared" si="37"/>
        <v>0.89</v>
      </c>
      <c r="Z164" s="218">
        <f>IF(LEFT($B164,4)="_Mil","",_xlfn.IFNA(ROUND(INDEX(Spectrum!$N:$N,MATCH(RIGHT($B164,13)&amp;"|"&amp;$C164&amp;"|"&amp;$D164&amp;"|"&amp;Z$14&amp;"|"&amp;"CY2024Q3",Spectrum!$R:$R,0)),0),""))</f>
        <v>46</v>
      </c>
      <c r="AA164" s="33">
        <f>IF(LEFT($B164,4)="_Mil","",IFERROR(1/(1/INDEX(Spectrum!$N:$N,MATCH(RIGHT($B164,13)&amp;"|"&amp;$C164&amp;"|"&amp;$D164&amp;"|"&amp;AA$14&amp;"|"&amp;"CY2024Q3",Spectrum!$R:$R,0))),IF(SUM($U164)=0,"",SUM($Z164)/$U164)))</f>
        <v>0.87973873499999988</v>
      </c>
      <c r="AB164" s="33">
        <f t="shared" si="38"/>
        <v>0.97872340425531912</v>
      </c>
      <c r="AC164" s="38">
        <f>IF(LEFT($B164,4)="_Mil","",_xlfn.IFNA(ROUND(INDEX(Spectrum!$N:$N,MATCH(RIGHT($B164,13)&amp;"|"&amp;$C164&amp;"|"&amp;$D164&amp;"|"&amp;AC$14&amp;"|"&amp;"CY2024Q3",Spectrum!$R:$R,0)),0),""))</f>
        <v>6</v>
      </c>
      <c r="AD164" s="38" t="str">
        <f>IF(LEFT($B164,4)="_Mil","",_xlfn.IFNA(ROUND(INDEX(Spectrum!$N:$N,MATCH(RIGHT($B164,13)&amp;"|"&amp;$C164&amp;"|"&amp;$D164&amp;"|"&amp;AD$14&amp;"|"&amp;"CY2024Q3",Spectrum!$R:$R,0)),0),""))</f>
        <v/>
      </c>
      <c r="AE164" s="33">
        <f t="shared" si="39"/>
        <v>0</v>
      </c>
      <c r="AF164" s="218" t="str">
        <f>IF(LEFT($B164,4)="_Mil","",_xlfn.IFNA(ROUND(INDEX(Spectrum!$N:$N,MATCH(RIGHT($B164,13)&amp;"|"&amp;$C164&amp;"|"&amp;$D164&amp;"|"&amp;AF$14&amp;"|"&amp;"CY2024Q3",Spectrum!$R:$R,0)),0),""))</f>
        <v/>
      </c>
      <c r="AG164" s="33" t="str">
        <f t="shared" si="40"/>
        <v/>
      </c>
      <c r="AH164" s="110" t="str">
        <f>IF(LEFT($B164,4)="_Mil","",_xlfn.IFNA(INDEX(Spectrum!$N:$N,MATCH(RIGHT($B164,13)&amp;"|"&amp;$C164&amp;"|"&amp;$D164&amp;"|"&amp;AH$14&amp;"|"&amp;"CY2024Q3",Spectrum!$R:$R,0)),""))</f>
        <v/>
      </c>
      <c r="AI164" s="218">
        <f>IF(LEFT($B164,4)="_Mil","",_xlfn.IFNA(ROUND(INDEX(Spectrum!$N:$N,MATCH(RIGHT($B164,13)&amp;"|"&amp;$C164&amp;"|"&amp;$D164&amp;"|"&amp;AI$14&amp;"|"&amp;"CY2025Q3",Spectrum!$R:$R,0)),0),""))</f>
        <v>2</v>
      </c>
      <c r="AJ164" s="38">
        <f>IF(LEFT($B164,4)="_Mil","",_xlfn.IFNA(ROUND(INDEX(Spectrum!$N:$N,MATCH(RIGHT($B164,13)&amp;"|"&amp;$C164&amp;"|"&amp;$D164&amp;"|"&amp;AJ$14&amp;"|"&amp;"CY2025Q3",Spectrum!$R:$R,0)),0),""))</f>
        <v>50</v>
      </c>
      <c r="AK164" s="218" t="e">
        <f>#REF!</f>
        <v>#REF!</v>
      </c>
      <c r="AL164" s="33">
        <f t="shared" si="41"/>
        <v>0.9</v>
      </c>
      <c r="AM164" s="38" t="e">
        <f>IF(OR(LEFT($B164,4)="_Mil",$C164="&lt;01"),"",ROUND(SUM($AK164)*SUM($AL164),0))</f>
        <v>#REF!</v>
      </c>
      <c r="AN164" s="38" t="str">
        <f>IF($C164="&lt;01",ROUND(INDEX(EID!$P:$P,MATCH($B164,EID!$B:$B,0))/2,0),"")</f>
        <v/>
      </c>
      <c r="AO164" s="38" t="e">
        <f>IF($C164="&lt;01",SUM($AN164),ROUND(SUM($AM164)*SUM($O164)/IF(SUM($Z164)=0,1,$Z164),0))</f>
        <v>#REF!</v>
      </c>
      <c r="AP164" s="218">
        <f>IF(OR($F164="",$C164="&lt;01"),$AO164,ROUND($F164,0))</f>
        <v>45</v>
      </c>
      <c r="AQ164" s="218">
        <f>IF(LEFT($B164,4)="_Mil","",IF(SUM($AP164)=0,SUM($Z164),IF(OR(SUM($Z164)=0,SUM($O164)=0),MAX($AP164,$Z164),ROUND($AP164*$Z164/$O164,0))))</f>
        <v>46</v>
      </c>
      <c r="AR164" s="33" t="e">
        <f>IF(OR(LEFT($B164,4)="_Mil",SUM($AK164)=0),"",SUM($AQ164)/$AK164)</f>
        <v>#REF!</v>
      </c>
      <c r="AS164" s="33">
        <f t="shared" si="48"/>
        <v>0.98</v>
      </c>
      <c r="AT164" s="33">
        <f t="shared" si="32"/>
        <v>0.98</v>
      </c>
      <c r="AU164" s="38">
        <f>IF($C164="&lt;01","",SUM($AP164)-SUM($O164))</f>
        <v>0</v>
      </c>
      <c r="AV164" s="38">
        <f>IF($C164="&lt;01",ROUND(INDEX(EID!$N:$N,MATCH($B164,EID!$B:$B,0))/2,0),IF(SUM($AT164)=0,"",ROUND((SUM($AP164)-(SUM($O164)*SUM($AS164)))/$AT164,0)))</f>
        <v>1</v>
      </c>
      <c r="AW164" s="33">
        <f t="shared" si="42"/>
        <v>1</v>
      </c>
      <c r="AX164" s="218">
        <f>IF($C164="&lt;01",SUM($AV164),ROUND(SUM($AV164)*SUM($AW164),0))</f>
        <v>1</v>
      </c>
      <c r="AY164" s="79">
        <f t="shared" si="43"/>
        <v>0.7</v>
      </c>
      <c r="AZ164" s="85">
        <f>IF($C164="&lt;01",ROUND(INDEX(EID!$R:$R,MATCH($B164,EID!$B:$B,0))/2,0),ROUND(SUM($O164)+(SUM($AV164)*$AY164),0))</f>
        <v>46</v>
      </c>
      <c r="BA164" s="40">
        <f t="shared" si="47"/>
        <v>0.9</v>
      </c>
      <c r="BB164" s="99">
        <f>IF($C164="&lt;01",ROUND(INDEX(EID!$T:$T,MATCH($B164,EID!$B:$B,0))/2,0),ROUND($AP164*$BA164,0))</f>
        <v>41</v>
      </c>
      <c r="BC164" s="85">
        <f>IF(LEFT($B164,4)="_Mil","",IF(SUM($BB164)=0,SUM($AD164),IF(OR(SUM($AP164)=0,SUM($AQ164)=0),MAX($BB164,$AD164),ROUND($BB164*$AQ164/$AP164,0))))</f>
        <v>42</v>
      </c>
      <c r="BD164" s="33">
        <f t="shared" si="44"/>
        <v>0.95</v>
      </c>
      <c r="BE164" s="218">
        <f>IF($C164="&lt;01",ROUND(INDEX(EID!$V:$V,MATCH($B164,EID!$B:$B,0))/2,0),ROUND($BD164*$BB164,0))</f>
        <v>39</v>
      </c>
      <c r="BF164" s="218">
        <f>IF(LEFT($B164,4)="_Mil","",IF(SUM($BE164)=0,SUM($AF164),IF(OR(SUM($AP164)=0,SUM($AQ164)=0),MAX($BE164,$AF164),ROUND($BE164*$AQ164/$AP164,0))))</f>
        <v>40</v>
      </c>
      <c r="BG164" s="79">
        <f t="shared" si="45"/>
        <v>0.95</v>
      </c>
      <c r="BH164" s="99">
        <f>IF($C164="&lt;01",ROUND(INDEX(EID!$L:$L,MATCH($B164,EID!$B:$B,0)),0)/2,IF(SUM($BG164)=0,"",ROUND($AX164/$BG164,0)))</f>
        <v>1</v>
      </c>
    </row>
    <row r="165" spans="1:60" x14ac:dyDescent="0.2">
      <c r="A165" t="str">
        <f>INDEX(Prioritization!$D:$D,MATCH($B165,Prioritization!$A:$A,0))</f>
        <v>4 - Sustained</v>
      </c>
      <c r="B165" t="s">
        <v>309</v>
      </c>
      <c r="C165" t="s">
        <v>477</v>
      </c>
      <c r="D165" t="s">
        <v>30</v>
      </c>
      <c r="E165" t="str">
        <f t="shared" si="35"/>
        <v>Likoma District [ZCjuwgaMB9u]|35-49|Female</v>
      </c>
      <c r="F165" s="229">
        <v>239</v>
      </c>
      <c r="G165" s="38">
        <v>13</v>
      </c>
      <c r="H165" s="38">
        <v>15</v>
      </c>
      <c r="I165" s="38">
        <v>237</v>
      </c>
      <c r="J165" s="38">
        <v>158</v>
      </c>
      <c r="K165" s="38">
        <v>138</v>
      </c>
      <c r="L165" s="38">
        <v>26</v>
      </c>
      <c r="M165" s="38">
        <v>25</v>
      </c>
      <c r="N165" s="38">
        <v>271</v>
      </c>
      <c r="O165" s="229">
        <v>239</v>
      </c>
      <c r="P165" s="38">
        <v>230</v>
      </c>
      <c r="Q165" s="38">
        <v>219</v>
      </c>
      <c r="R165" s="38">
        <f t="shared" si="36"/>
        <v>2</v>
      </c>
      <c r="S165" s="38">
        <f>IF(LEFT($B165,4)="_Mil","",_xlfn.IFNA(ROUND(INDEX(Spectrum!$N:$N,MATCH(RIGHT($B165,13)&amp;"|"&amp;$C165&amp;"|"&amp;$D165&amp;"|"&amp;S$14&amp;"|"&amp;"CY2023Q4",Spectrum!$R:$R,0)),0),""))</f>
        <v>275</v>
      </c>
      <c r="T165" s="218">
        <f>IF(LEFT($B165,4)="_Mil","",_xlfn.IFNA(ROUND(INDEX(Spectrum!$N:$N,MATCH(RIGHT($B165,13)&amp;"|"&amp;$C165&amp;"|"&amp;$D165&amp;"|"&amp;T$14&amp;"|"&amp;"CY2024Q3",Spectrum!$R:$R,0)),0),""))</f>
        <v>1445</v>
      </c>
      <c r="U165" s="218">
        <f>IF(LEFT($B165,4)="_Mil","",_xlfn.IFNA(ROUND(INDEX(Spectrum!$N:$N,MATCH(RIGHT($B165,13)&amp;"|"&amp;$C165&amp;"|"&amp;$D165&amp;"|"&amp;U$14&amp;"|"&amp;"CY2024Q3",Spectrum!$R:$R,0)),0),""))</f>
        <v>280</v>
      </c>
      <c r="V165" s="38">
        <f>IF(LEFT($B165,4)="_Mil","",_xlfn.IFNA(ROUND(INDEX(Spectrum!$N:$N,MATCH(RIGHT($B165,13)&amp;"|"&amp;$C165&amp;"|"&amp;$D165&amp;"|"&amp;V$14&amp;"|"&amp;"CY2024Q3",Spectrum!$R:$R,0)),0),""))</f>
        <v>281</v>
      </c>
      <c r="W165" s="220">
        <f>IF(LEFT($B165,4)="_Mil","",_xlfn.IFNA(INDEX(Spectrum!$N:$N,MATCH(RIGHT($B165,13)&amp;"|"&amp;$C165&amp;"|"&amp;$D165&amp;"|"&amp;W$14&amp;"|"&amp;"CY2024Q3",Spectrum!$R:$R,0)),""))</f>
        <v>0.19396013400000001</v>
      </c>
      <c r="X165" s="218">
        <f>IF(LEFT($B165,4)="_Mil","",_xlfn.IFNA(ROUND(INDEX(Spectrum!$N:$N,MATCH(RIGHT($B165,13)&amp;"|"&amp;$C165&amp;"|"&amp;$D165&amp;"|"&amp;X$14&amp;"|"&amp;"CY2024Q3",Spectrum!$R:$R,0)),0),""))</f>
        <v>276</v>
      </c>
      <c r="Y165" s="33">
        <f t="shared" si="37"/>
        <v>0.99</v>
      </c>
      <c r="Z165" s="218">
        <f>IF(LEFT($B165,4)="_Mil","",_xlfn.IFNA(ROUND(INDEX(Spectrum!$N:$N,MATCH(RIGHT($B165,13)&amp;"|"&amp;$C165&amp;"|"&amp;$D165&amp;"|"&amp;Z$14&amp;"|"&amp;"CY2024Q3",Spectrum!$R:$R,0)),0),""))</f>
        <v>276</v>
      </c>
      <c r="AA165" s="33">
        <f>IF(LEFT($B165,4)="_Mil","",IFERROR(1/(1/INDEX(Spectrum!$N:$N,MATCH(RIGHT($B165,13)&amp;"|"&amp;$C165&amp;"|"&amp;$D165&amp;"|"&amp;AA$14&amp;"|"&amp;"CY2024Q3",Spectrum!$R:$R,0))),IF(SUM($U165)=0,"",SUM($Z165)/$U165)))</f>
        <v>0.98295734500000009</v>
      </c>
      <c r="AB165" s="33">
        <f t="shared" si="38"/>
        <v>1</v>
      </c>
      <c r="AC165" s="38">
        <f>IF(LEFT($B165,4)="_Mil","",_xlfn.IFNA(ROUND(INDEX(Spectrum!$N:$N,MATCH(RIGHT($B165,13)&amp;"|"&amp;$C165&amp;"|"&amp;$D165&amp;"|"&amp;AC$14&amp;"|"&amp;"CY2024Q3",Spectrum!$R:$R,0)),0),""))</f>
        <v>5</v>
      </c>
      <c r="AD165" s="38" t="str">
        <f>IF(LEFT($B165,4)="_Mil","",_xlfn.IFNA(ROUND(INDEX(Spectrum!$N:$N,MATCH(RIGHT($B165,13)&amp;"|"&amp;$C165&amp;"|"&amp;$D165&amp;"|"&amp;AD$14&amp;"|"&amp;"CY2024Q3",Spectrum!$R:$R,0)),0),""))</f>
        <v/>
      </c>
      <c r="AE165" s="33">
        <f t="shared" si="39"/>
        <v>0</v>
      </c>
      <c r="AF165" s="218" t="str">
        <f>IF(LEFT($B165,4)="_Mil","",_xlfn.IFNA(ROUND(INDEX(Spectrum!$N:$N,MATCH(RIGHT($B165,13)&amp;"|"&amp;$C165&amp;"|"&amp;$D165&amp;"|"&amp;AF$14&amp;"|"&amp;"CY2024Q3",Spectrum!$R:$R,0)),0),""))</f>
        <v/>
      </c>
      <c r="AG165" s="33" t="str">
        <f t="shared" si="40"/>
        <v/>
      </c>
      <c r="AH165" s="110" t="str">
        <f>IF(LEFT($B165,4)="_Mil","",_xlfn.IFNA(INDEX(Spectrum!$N:$N,MATCH(RIGHT($B165,13)&amp;"|"&amp;$C165&amp;"|"&amp;$D165&amp;"|"&amp;AH$14&amp;"|"&amp;"CY2024Q3",Spectrum!$R:$R,0)),""))</f>
        <v/>
      </c>
      <c r="AI165" s="218">
        <f>IF(LEFT($B165,4)="_Mil","",_xlfn.IFNA(ROUND(INDEX(Spectrum!$N:$N,MATCH(RIGHT($B165,13)&amp;"|"&amp;$C165&amp;"|"&amp;$D165&amp;"|"&amp;AI$14&amp;"|"&amp;"CY2025Q3",Spectrum!$R:$R,0)),0),""))</f>
        <v>1</v>
      </c>
      <c r="AJ165" s="38">
        <f>IF(LEFT($B165,4)="_Mil","",_xlfn.IFNA(ROUND(INDEX(Spectrum!$N:$N,MATCH(RIGHT($B165,13)&amp;"|"&amp;$C165&amp;"|"&amp;$D165&amp;"|"&amp;AJ$14&amp;"|"&amp;"CY2025Q3",Spectrum!$R:$R,0)),0),""))</f>
        <v>281</v>
      </c>
      <c r="AK165" s="218" t="e">
        <f>#REF!</f>
        <v>#REF!</v>
      </c>
      <c r="AL165" s="33">
        <f t="shared" si="41"/>
        <v>0.98295734500000009</v>
      </c>
      <c r="AM165" s="38" t="e">
        <f>IF(OR(LEFT($B165,4)="_Mil",$C165="&lt;01"),"",ROUND(SUM($AK165)*SUM($AL165),0))</f>
        <v>#REF!</v>
      </c>
      <c r="AN165" s="38" t="str">
        <f>IF($C165="&lt;01",ROUND(INDEX(EID!$P:$P,MATCH($B165,EID!$B:$B,0))/2,0),"")</f>
        <v/>
      </c>
      <c r="AO165" s="38" t="e">
        <f>IF($C165="&lt;01",SUM($AN165),ROUND(SUM($AM165)*SUM($O165)/IF(SUM($Z165)=0,1,$Z165),0))</f>
        <v>#REF!</v>
      </c>
      <c r="AP165" s="218">
        <f>IF(OR($F165="",$C165="&lt;01"),$AO165,ROUND($F165,0))</f>
        <v>239</v>
      </c>
      <c r="AQ165" s="218">
        <f>IF(LEFT($B165,4)="_Mil","",IF(SUM($AP165)=0,SUM($Z165),IF(OR(SUM($Z165)=0,SUM($O165)=0),MAX($AP165,$Z165),ROUND($AP165*$Z165/$O165,0))))</f>
        <v>276</v>
      </c>
      <c r="AR165" s="33" t="e">
        <f>IF(OR(LEFT($B165,4)="_Mil",SUM($AK165)=0),"",SUM($AQ165)/$AK165)</f>
        <v>#REF!</v>
      </c>
      <c r="AS165" s="33">
        <f>IF($C165="&lt;01","",90%)</f>
        <v>0.9</v>
      </c>
      <c r="AT165" s="33">
        <f t="shared" ref="AT165:AT228" si="49">IF($C165="&lt;01","",98%)</f>
        <v>0.98</v>
      </c>
      <c r="AU165" s="38">
        <f>IF($C165="&lt;01","",SUM($AP165)-SUM($O165))</f>
        <v>0</v>
      </c>
      <c r="AV165" s="38">
        <f>IF($C165="&lt;01",ROUND(INDEX(EID!$N:$N,MATCH($B165,EID!$B:$B,0))/2,0),IF(SUM($AT165)=0,"",ROUND((SUM($AP165)-(SUM($O165)*SUM($AS165)))/$AT165,0)))</f>
        <v>24</v>
      </c>
      <c r="AW165" s="33">
        <f t="shared" si="42"/>
        <v>1</v>
      </c>
      <c r="AX165" s="218">
        <f>IF($C165="&lt;01",SUM($AV165),ROUND(SUM($AV165)*SUM($AW165),0))</f>
        <v>24</v>
      </c>
      <c r="AY165" s="79">
        <f t="shared" si="43"/>
        <v>0.7</v>
      </c>
      <c r="AZ165" s="85">
        <f>IF($C165="&lt;01",ROUND(INDEX(EID!$R:$R,MATCH($B165,EID!$B:$B,0))/2,0),ROUND(SUM($O165)+(SUM($AV165)*$AY165),0))</f>
        <v>256</v>
      </c>
      <c r="BA165" s="40">
        <f t="shared" si="47"/>
        <v>0.9</v>
      </c>
      <c r="BB165" s="99">
        <f>IF($C165="&lt;01",ROUND(INDEX(EID!$T:$T,MATCH($B165,EID!$B:$B,0))/2,0),ROUND($AP165*$BA165,0))</f>
        <v>215</v>
      </c>
      <c r="BC165" s="85">
        <f>IF(LEFT($B165,4)="_Mil","",IF(SUM($BB165)=0,SUM($AD165),IF(OR(SUM($AP165)=0,SUM($AQ165)=0),MAX($BB165,$AD165),ROUND($BB165*$AQ165/$AP165,0))))</f>
        <v>248</v>
      </c>
      <c r="BD165" s="33">
        <f t="shared" si="44"/>
        <v>0.95</v>
      </c>
      <c r="BE165" s="218">
        <f>IF($C165="&lt;01",ROUND(INDEX(EID!$V:$V,MATCH($B165,EID!$B:$B,0))/2,0),ROUND($BD165*$BB165,0))</f>
        <v>204</v>
      </c>
      <c r="BF165" s="218">
        <f>IF(LEFT($B165,4)="_Mil","",IF(SUM($BE165)=0,SUM($AF165),IF(OR(SUM($AP165)=0,SUM($AQ165)=0),MAX($BE165,$AF165),ROUND($BE165*$AQ165/$AP165,0))))</f>
        <v>236</v>
      </c>
      <c r="BG165" s="79">
        <f t="shared" si="45"/>
        <v>0.95</v>
      </c>
      <c r="BH165" s="99">
        <f>IF($C165="&lt;01",ROUND(INDEX(EID!$L:$L,MATCH($B165,EID!$B:$B,0)),0)/2,IF(SUM($BG165)=0,"",ROUND($AX165/$BG165,0)))</f>
        <v>25</v>
      </c>
    </row>
    <row r="166" spans="1:60" x14ac:dyDescent="0.2">
      <c r="A166" t="str">
        <f>INDEX(Prioritization!$D:$D,MATCH($B166,Prioritization!$A:$A,0))</f>
        <v>4 - Sustained</v>
      </c>
      <c r="B166" t="s">
        <v>309</v>
      </c>
      <c r="C166" t="s">
        <v>477</v>
      </c>
      <c r="D166" t="s">
        <v>48</v>
      </c>
      <c r="E166" t="str">
        <f t="shared" si="35"/>
        <v>Likoma District [ZCjuwgaMB9u]|35-49|Male</v>
      </c>
      <c r="F166" s="229">
        <v>156</v>
      </c>
      <c r="G166" s="38">
        <v>13</v>
      </c>
      <c r="H166" s="38">
        <v>31</v>
      </c>
      <c r="I166" s="38">
        <v>156</v>
      </c>
      <c r="J166" s="38">
        <v>89</v>
      </c>
      <c r="K166" s="38">
        <v>70</v>
      </c>
      <c r="L166" s="38">
        <v>5</v>
      </c>
      <c r="M166" s="38">
        <v>5</v>
      </c>
      <c r="N166" s="38">
        <v>161</v>
      </c>
      <c r="O166" s="229">
        <v>156</v>
      </c>
      <c r="P166" s="38">
        <v>143</v>
      </c>
      <c r="Q166" s="38">
        <v>136</v>
      </c>
      <c r="R166" s="38">
        <f t="shared" si="36"/>
        <v>0</v>
      </c>
      <c r="S166" s="38">
        <f>IF(LEFT($B166,4)="_Mil","",_xlfn.IFNA(ROUND(INDEX(Spectrum!$N:$N,MATCH(RIGHT($B166,13)&amp;"|"&amp;$C166&amp;"|"&amp;$D166&amp;"|"&amp;S$14&amp;"|"&amp;"CY2023Q4",Spectrum!$R:$R,0)),0),""))</f>
        <v>166</v>
      </c>
      <c r="T166" s="218">
        <f>IF(LEFT($B166,4)="_Mil","",_xlfn.IFNA(ROUND(INDEX(Spectrum!$N:$N,MATCH(RIGHT($B166,13)&amp;"|"&amp;$C166&amp;"|"&amp;$D166&amp;"|"&amp;T$14&amp;"|"&amp;"CY2024Q3",Spectrum!$R:$R,0)),0),""))</f>
        <v>1348</v>
      </c>
      <c r="U166" s="218">
        <f>IF(LEFT($B166,4)="_Mil","",_xlfn.IFNA(ROUND(INDEX(Spectrum!$N:$N,MATCH(RIGHT($B166,13)&amp;"|"&amp;$C166&amp;"|"&amp;$D166&amp;"|"&amp;U$14&amp;"|"&amp;"CY2024Q3",Spectrum!$R:$R,0)),0),""))</f>
        <v>179</v>
      </c>
      <c r="V166" s="38">
        <f>IF(LEFT($B166,4)="_Mil","",_xlfn.IFNA(ROUND(INDEX(Spectrum!$N:$N,MATCH(RIGHT($B166,13)&amp;"|"&amp;$C166&amp;"|"&amp;$D166&amp;"|"&amp;V$14&amp;"|"&amp;"CY2024Q3",Spectrum!$R:$R,0)),0),""))</f>
        <v>178</v>
      </c>
      <c r="W166" s="220">
        <f>IF(LEFT($B166,4)="_Mil","",_xlfn.IFNA(INDEX(Spectrum!$N:$N,MATCH(RIGHT($B166,13)&amp;"|"&amp;$C166&amp;"|"&amp;$D166&amp;"|"&amp;W$14&amp;"|"&amp;"CY2024Q3",Spectrum!$R:$R,0)),""))</f>
        <v>0.13259605699999999</v>
      </c>
      <c r="X166" s="218">
        <f>IF(LEFT($B166,4)="_Mil","",_xlfn.IFNA(ROUND(INDEX(Spectrum!$N:$N,MATCH(RIGHT($B166,13)&amp;"|"&amp;$C166&amp;"|"&amp;$D166&amp;"|"&amp;X$14&amp;"|"&amp;"CY2024Q3",Spectrum!$R:$R,0)),0),""))</f>
        <v>166</v>
      </c>
      <c r="Y166" s="33">
        <f t="shared" si="37"/>
        <v>0.93</v>
      </c>
      <c r="Z166" s="218">
        <f>IF(LEFT($B166,4)="_Mil","",_xlfn.IFNA(ROUND(INDEX(Spectrum!$N:$N,MATCH(RIGHT($B166,13)&amp;"|"&amp;$C166&amp;"|"&amp;$D166&amp;"|"&amp;Z$14&amp;"|"&amp;"CY2024Q3",Spectrum!$R:$R,0)),0),""))</f>
        <v>165</v>
      </c>
      <c r="AA166" s="33">
        <f>IF(LEFT($B166,4)="_Mil","",IFERROR(1/(1/INDEX(Spectrum!$N:$N,MATCH(RIGHT($B166,13)&amp;"|"&amp;$C166&amp;"|"&amp;$D166&amp;"|"&amp;AA$14&amp;"|"&amp;"CY2024Q3",Spectrum!$R:$R,0))),IF(SUM($U166)=0,"",SUM($Z166)/$U166)))</f>
        <v>0.92567324599999989</v>
      </c>
      <c r="AB166" s="33">
        <f t="shared" si="38"/>
        <v>0.99397590361445787</v>
      </c>
      <c r="AC166" s="38">
        <f>IF(LEFT($B166,4)="_Mil","",_xlfn.IFNA(ROUND(INDEX(Spectrum!$N:$N,MATCH(RIGHT($B166,13)&amp;"|"&amp;$C166&amp;"|"&amp;$D166&amp;"|"&amp;AC$14&amp;"|"&amp;"CY2024Q3",Spectrum!$R:$R,0)),0),""))</f>
        <v>13</v>
      </c>
      <c r="AD166" s="38" t="str">
        <f>IF(LEFT($B166,4)="_Mil","",_xlfn.IFNA(ROUND(INDEX(Spectrum!$N:$N,MATCH(RIGHT($B166,13)&amp;"|"&amp;$C166&amp;"|"&amp;$D166&amp;"|"&amp;AD$14&amp;"|"&amp;"CY2024Q3",Spectrum!$R:$R,0)),0),""))</f>
        <v/>
      </c>
      <c r="AE166" s="33">
        <f t="shared" si="39"/>
        <v>0</v>
      </c>
      <c r="AF166" s="218" t="str">
        <f>IF(LEFT($B166,4)="_Mil","",_xlfn.IFNA(ROUND(INDEX(Spectrum!$N:$N,MATCH(RIGHT($B166,13)&amp;"|"&amp;$C166&amp;"|"&amp;$D166&amp;"|"&amp;AF$14&amp;"|"&amp;"CY2024Q3",Spectrum!$R:$R,0)),0),""))</f>
        <v/>
      </c>
      <c r="AG166" s="33" t="str">
        <f t="shared" si="40"/>
        <v/>
      </c>
      <c r="AH166" s="110" t="str">
        <f>IF(LEFT($B166,4)="_Mil","",_xlfn.IFNA(INDEX(Spectrum!$N:$N,MATCH(RIGHT($B166,13)&amp;"|"&amp;$C166&amp;"|"&amp;$D166&amp;"|"&amp;AH$14&amp;"|"&amp;"CY2024Q3",Spectrum!$R:$R,0)),""))</f>
        <v/>
      </c>
      <c r="AI166" s="218">
        <f>IF(LEFT($B166,4)="_Mil","",_xlfn.IFNA(ROUND(INDEX(Spectrum!$N:$N,MATCH(RIGHT($B166,13)&amp;"|"&amp;$C166&amp;"|"&amp;$D166&amp;"|"&amp;AI$14&amp;"|"&amp;"CY2025Q3",Spectrum!$R:$R,0)),0),""))</f>
        <v>2</v>
      </c>
      <c r="AJ166" s="38">
        <f>IF(LEFT($B166,4)="_Mil","",_xlfn.IFNA(ROUND(INDEX(Spectrum!$N:$N,MATCH(RIGHT($B166,13)&amp;"|"&amp;$C166&amp;"|"&amp;$D166&amp;"|"&amp;AJ$14&amp;"|"&amp;"CY2025Q3",Spectrum!$R:$R,0)),0),""))</f>
        <v>172</v>
      </c>
      <c r="AK166" s="218" t="e">
        <f>#REF!</f>
        <v>#REF!</v>
      </c>
      <c r="AL166" s="33">
        <f t="shared" si="41"/>
        <v>0.92567324599999989</v>
      </c>
      <c r="AM166" s="38" t="e">
        <f>IF(OR(LEFT($B166,4)="_Mil",$C166="&lt;01"),"",ROUND(SUM($AK166)*SUM($AL166),0))</f>
        <v>#REF!</v>
      </c>
      <c r="AN166" s="38" t="str">
        <f>IF($C166="&lt;01",ROUND(INDEX(EID!$P:$P,MATCH($B166,EID!$B:$B,0))/2,0),"")</f>
        <v/>
      </c>
      <c r="AO166" s="38" t="e">
        <f>IF($C166="&lt;01",SUM($AN166),ROUND(SUM($AM166)*SUM($O166)/IF(SUM($Z166)=0,1,$Z166),0))</f>
        <v>#REF!</v>
      </c>
      <c r="AP166" s="218">
        <f>IF(OR($F166="",$C166="&lt;01"),$AO166,ROUND($F166,0))</f>
        <v>156</v>
      </c>
      <c r="AQ166" s="218">
        <f>IF(LEFT($B166,4)="_Mil","",IF(SUM($AP166)=0,SUM($Z166),IF(OR(SUM($Z166)=0,SUM($O166)=0),MAX($AP166,$Z166),ROUND($AP166*$Z166/$O166,0))))</f>
        <v>165</v>
      </c>
      <c r="AR166" s="33" t="e">
        <f>IF(OR(LEFT($B166,4)="_Mil",SUM($AK166)=0),"",SUM($AQ166)/$AK166)</f>
        <v>#REF!</v>
      </c>
      <c r="AS166" s="33">
        <f t="shared" si="48"/>
        <v>0.98</v>
      </c>
      <c r="AT166" s="33">
        <f t="shared" si="49"/>
        <v>0.98</v>
      </c>
      <c r="AU166" s="38">
        <f>IF($C166="&lt;01","",SUM($AP166)-SUM($O166))</f>
        <v>0</v>
      </c>
      <c r="AV166" s="38">
        <f>IF($C166="&lt;01",ROUND(INDEX(EID!$N:$N,MATCH($B166,EID!$B:$B,0))/2,0),IF(SUM($AT166)=0,"",ROUND((SUM($AP166)-(SUM($O166)*SUM($AS166)))/$AT166,0)))</f>
        <v>3</v>
      </c>
      <c r="AW166" s="33">
        <f t="shared" si="42"/>
        <v>1</v>
      </c>
      <c r="AX166" s="218">
        <f>IF($C166="&lt;01",SUM($AV166),ROUND(SUM($AV166)*SUM($AW166),0))</f>
        <v>3</v>
      </c>
      <c r="AY166" s="79">
        <f t="shared" si="43"/>
        <v>0.7</v>
      </c>
      <c r="AZ166" s="85">
        <f>IF($C166="&lt;01",ROUND(INDEX(EID!$R:$R,MATCH($B166,EID!$B:$B,0))/2,0),ROUND(SUM($O166)+(SUM($AV166)*$AY166),0))</f>
        <v>158</v>
      </c>
      <c r="BA166" s="40">
        <f t="shared" si="47"/>
        <v>0.9</v>
      </c>
      <c r="BB166" s="99">
        <f>IF($C166="&lt;01",ROUND(INDEX(EID!$T:$T,MATCH($B166,EID!$B:$B,0))/2,0),ROUND($AP166*$BA166,0))</f>
        <v>140</v>
      </c>
      <c r="BC166" s="85">
        <f>IF(LEFT($B166,4)="_Mil","",IF(SUM($BB166)=0,SUM($AD166),IF(OR(SUM($AP166)=0,SUM($AQ166)=0),MAX($BB166,$AD166),ROUND($BB166*$AQ166/$AP166,0))))</f>
        <v>148</v>
      </c>
      <c r="BD166" s="33">
        <f t="shared" si="44"/>
        <v>0.95</v>
      </c>
      <c r="BE166" s="218">
        <f>IF($C166="&lt;01",ROUND(INDEX(EID!$V:$V,MATCH($B166,EID!$B:$B,0))/2,0),ROUND($BD166*$BB166,0))</f>
        <v>133</v>
      </c>
      <c r="BF166" s="218">
        <f>IF(LEFT($B166,4)="_Mil","",IF(SUM($BE166)=0,SUM($AF166),IF(OR(SUM($AP166)=0,SUM($AQ166)=0),MAX($BE166,$AF166),ROUND($BE166*$AQ166/$AP166,0))))</f>
        <v>141</v>
      </c>
      <c r="BG166" s="79">
        <f t="shared" si="45"/>
        <v>0.95</v>
      </c>
      <c r="BH166" s="99">
        <f>IF($C166="&lt;01",ROUND(INDEX(EID!$L:$L,MATCH($B166,EID!$B:$B,0)),0)/2,IF(SUM($BG166)=0,"",ROUND($AX166/$BG166,0)))</f>
        <v>3</v>
      </c>
    </row>
    <row r="167" spans="1:60" x14ac:dyDescent="0.2">
      <c r="A167" t="str">
        <f>INDEX(Prioritization!$D:$D,MATCH($B167,Prioritization!$A:$A,0))</f>
        <v>4 - Sustained</v>
      </c>
      <c r="B167" t="s">
        <v>309</v>
      </c>
      <c r="C167" t="s">
        <v>478</v>
      </c>
      <c r="D167" t="s">
        <v>30</v>
      </c>
      <c r="E167" t="str">
        <f t="shared" si="35"/>
        <v>Likoma District [ZCjuwgaMB9u]|50+|Female</v>
      </c>
      <c r="F167" s="229">
        <v>140</v>
      </c>
      <c r="G167" s="38">
        <v>3</v>
      </c>
      <c r="H167" s="38">
        <v>2</v>
      </c>
      <c r="I167" s="38">
        <v>157</v>
      </c>
      <c r="J167" s="38">
        <v>104</v>
      </c>
      <c r="K167" s="38">
        <v>90</v>
      </c>
      <c r="L167" s="38">
        <v>8</v>
      </c>
      <c r="M167" s="38">
        <v>8</v>
      </c>
      <c r="N167" s="38">
        <v>121</v>
      </c>
      <c r="O167" s="229">
        <v>140</v>
      </c>
      <c r="P167" s="38">
        <v>104</v>
      </c>
      <c r="Q167" s="38">
        <v>99</v>
      </c>
      <c r="R167" s="38">
        <f t="shared" si="36"/>
        <v>-17</v>
      </c>
      <c r="S167" s="38">
        <f>IF(LEFT($B167,4)="_Mil","",_xlfn.IFNA(ROUND(INDEX(Spectrum!$N:$N,MATCH(RIGHT($B167,13)&amp;"|"&amp;$C167&amp;"|"&amp;$D167&amp;"|"&amp;S$14&amp;"|"&amp;"CY2023Q4",Spectrum!$R:$R,0)),0),""))</f>
        <v>118</v>
      </c>
      <c r="T167" s="218">
        <f>IF(LEFT($B167,4)="_Mil","",_xlfn.IFNA(ROUND(INDEX(Spectrum!$N:$N,MATCH(RIGHT($B167,13)&amp;"|"&amp;$C167&amp;"|"&amp;$D167&amp;"|"&amp;T$14&amp;"|"&amp;"CY2024Q3",Spectrum!$R:$R,0)),0),""))</f>
        <v>835</v>
      </c>
      <c r="U167" s="218">
        <f>IF(LEFT($B167,4)="_Mil","",_xlfn.IFNA(ROUND(INDEX(Spectrum!$N:$N,MATCH(RIGHT($B167,13)&amp;"|"&amp;$C167&amp;"|"&amp;$D167&amp;"|"&amp;U$14&amp;"|"&amp;"CY2024Q3",Spectrum!$R:$R,0)),0),""))</f>
        <v>127</v>
      </c>
      <c r="V167" s="38">
        <f>IF(LEFT($B167,4)="_Mil","",_xlfn.IFNA(ROUND(INDEX(Spectrum!$N:$N,MATCH(RIGHT($B167,13)&amp;"|"&amp;$C167&amp;"|"&amp;$D167&amp;"|"&amp;V$14&amp;"|"&amp;"CY2024Q3",Spectrum!$R:$R,0)),0),""))</f>
        <v>127</v>
      </c>
      <c r="W167" s="220">
        <f>IF(LEFT($B167,4)="_Mil","",_xlfn.IFNA(INDEX(Spectrum!$N:$N,MATCH(RIGHT($B167,13)&amp;"|"&amp;$C167&amp;"|"&amp;$D167&amp;"|"&amp;W$14&amp;"|"&amp;"CY2024Q3",Spectrum!$R:$R,0)),""))</f>
        <v>0.15204709799999999</v>
      </c>
      <c r="X167" s="218">
        <f>IF(LEFT($B167,4)="_Mil","",_xlfn.IFNA(ROUND(INDEX(Spectrum!$N:$N,MATCH(RIGHT($B167,13)&amp;"|"&amp;$C167&amp;"|"&amp;$D167&amp;"|"&amp;X$14&amp;"|"&amp;"CY2024Q3",Spectrum!$R:$R,0)),0),""))</f>
        <v>126</v>
      </c>
      <c r="Y167" s="33">
        <f t="shared" si="37"/>
        <v>0.99</v>
      </c>
      <c r="Z167" s="218">
        <f>IF(LEFT($B167,4)="_Mil","",_xlfn.IFNA(ROUND(INDEX(Spectrum!$N:$N,MATCH(RIGHT($B167,13)&amp;"|"&amp;$C167&amp;"|"&amp;$D167&amp;"|"&amp;Z$14&amp;"|"&amp;"CY2024Q3",Spectrum!$R:$R,0)),0),""))</f>
        <v>125</v>
      </c>
      <c r="AA167" s="33">
        <f>IF(LEFT($B167,4)="_Mil","",IFERROR(1/(1/INDEX(Spectrum!$N:$N,MATCH(RIGHT($B167,13)&amp;"|"&amp;$C167&amp;"|"&amp;$D167&amp;"|"&amp;AA$14&amp;"|"&amp;"CY2024Q3",Spectrum!$R:$R,0))),IF(SUM($U167)=0,"",SUM($Z167)/$U167)))</f>
        <v>0.98839737000000016</v>
      </c>
      <c r="AB167" s="33">
        <f t="shared" si="38"/>
        <v>0.99206349206349209</v>
      </c>
      <c r="AC167" s="38">
        <f>IF(LEFT($B167,4)="_Mil","",_xlfn.IFNA(ROUND(INDEX(Spectrum!$N:$N,MATCH(RIGHT($B167,13)&amp;"|"&amp;$C167&amp;"|"&amp;$D167&amp;"|"&amp;AC$14&amp;"|"&amp;"CY2024Q3",Spectrum!$R:$R,0)),0),""))</f>
        <v>1</v>
      </c>
      <c r="AD167" s="38" t="str">
        <f>IF(LEFT($B167,4)="_Mil","",_xlfn.IFNA(ROUND(INDEX(Spectrum!$N:$N,MATCH(RIGHT($B167,13)&amp;"|"&amp;$C167&amp;"|"&amp;$D167&amp;"|"&amp;AD$14&amp;"|"&amp;"CY2024Q3",Spectrum!$R:$R,0)),0),""))</f>
        <v/>
      </c>
      <c r="AE167" s="33">
        <f t="shared" si="39"/>
        <v>0</v>
      </c>
      <c r="AF167" s="218" t="str">
        <f>IF(LEFT($B167,4)="_Mil","",_xlfn.IFNA(ROUND(INDEX(Spectrum!$N:$N,MATCH(RIGHT($B167,13)&amp;"|"&amp;$C167&amp;"|"&amp;$D167&amp;"|"&amp;AF$14&amp;"|"&amp;"CY2024Q3",Spectrum!$R:$R,0)),0),""))</f>
        <v/>
      </c>
      <c r="AG167" s="33" t="str">
        <f t="shared" si="40"/>
        <v/>
      </c>
      <c r="AH167" s="110" t="str">
        <f>IF(LEFT($B167,4)="_Mil","",_xlfn.IFNA(INDEX(Spectrum!$N:$N,MATCH(RIGHT($B167,13)&amp;"|"&amp;$C167&amp;"|"&amp;$D167&amp;"|"&amp;AH$14&amp;"|"&amp;"CY2024Q3",Spectrum!$R:$R,0)),""))</f>
        <v/>
      </c>
      <c r="AI167" s="218">
        <f>IF(LEFT($B167,4)="_Mil","",_xlfn.IFNA(ROUND(INDEX(Spectrum!$N:$N,MATCH(RIGHT($B167,13)&amp;"|"&amp;$C167&amp;"|"&amp;$D167&amp;"|"&amp;AI$14&amp;"|"&amp;"CY2025Q3",Spectrum!$R:$R,0)),0),""))</f>
        <v>0</v>
      </c>
      <c r="AJ167" s="38">
        <f>IF(LEFT($B167,4)="_Mil","",_xlfn.IFNA(ROUND(INDEX(Spectrum!$N:$N,MATCH(RIGHT($B167,13)&amp;"|"&amp;$C167&amp;"|"&amp;$D167&amp;"|"&amp;AJ$14&amp;"|"&amp;"CY2025Q3",Spectrum!$R:$R,0)),0),""))</f>
        <v>137</v>
      </c>
      <c r="AK167" s="218" t="e">
        <f>#REF!</f>
        <v>#REF!</v>
      </c>
      <c r="AL167" s="33">
        <f t="shared" si="41"/>
        <v>0.98839737000000016</v>
      </c>
      <c r="AM167" s="38" t="e">
        <f>IF(OR(LEFT($B167,4)="_Mil",$C167="&lt;01"),"",ROUND(SUM($AK167)*SUM($AL167),0))</f>
        <v>#REF!</v>
      </c>
      <c r="AN167" s="38" t="str">
        <f>IF($C167="&lt;01",ROUND(INDEX(EID!$P:$P,MATCH($B167,EID!$B:$B,0))/2,0),"")</f>
        <v/>
      </c>
      <c r="AO167" s="38" t="e">
        <f>IF($C167="&lt;01",SUM($AN167),ROUND(SUM($AM167)*SUM($O167)/IF(SUM($Z167)=0,1,$Z167),0))</f>
        <v>#REF!</v>
      </c>
      <c r="AP167" s="218">
        <f>IF(OR($F167="",$C167="&lt;01"),$AO167,ROUND($F167,0))</f>
        <v>140</v>
      </c>
      <c r="AQ167" s="218">
        <f>IF(LEFT($B167,4)="_Mil","",IF(SUM($AP167)=0,SUM($Z167),IF(OR(SUM($Z167)=0,SUM($O167)=0),MAX($AP167,$Z167),ROUND($AP167*$Z167/$O167,0))))</f>
        <v>125</v>
      </c>
      <c r="AR167" s="33" t="e">
        <f>IF(OR(LEFT($B167,4)="_Mil",SUM($AK167)=0),"",SUM($AQ167)/$AK167)</f>
        <v>#REF!</v>
      </c>
      <c r="AS167" s="33">
        <v>0.98</v>
      </c>
      <c r="AT167" s="33">
        <f>IF($C167="&lt;01","",100%)</f>
        <v>1</v>
      </c>
      <c r="AU167" s="38">
        <f>IF($C167="&lt;01","",SUM($AP167)-SUM($O167))</f>
        <v>0</v>
      </c>
      <c r="AV167" s="38">
        <f>IF($C167="&lt;01",ROUND(INDEX(EID!$N:$N,MATCH($B167,EID!$B:$B,0))/2,0),IF(SUM($AT167)=0,"",ROUND((SUM($AP167)-(SUM($O167)*SUM($AS167)))/$AT167,0)))</f>
        <v>3</v>
      </c>
      <c r="AW167" s="33">
        <v>0.8</v>
      </c>
      <c r="AX167" s="218">
        <f>IF($C167="&lt;01",SUM($AV167),ROUND(SUM($AV167)*SUM($AW167),0))</f>
        <v>2</v>
      </c>
      <c r="AY167" s="79">
        <f t="shared" si="43"/>
        <v>0.7</v>
      </c>
      <c r="AZ167" s="85">
        <f>IF($C167="&lt;01",ROUND(INDEX(EID!$R:$R,MATCH($B167,EID!$B:$B,0))/2,0),ROUND(SUM($O167)+(SUM($AV167)*$AY167),0))</f>
        <v>142</v>
      </c>
      <c r="BA167" s="40">
        <f t="shared" si="47"/>
        <v>0.9</v>
      </c>
      <c r="BB167" s="99">
        <f>IF($C167="&lt;01",ROUND(INDEX(EID!$T:$T,MATCH($B167,EID!$B:$B,0))/2,0),ROUND($AP167*$BA167,0))</f>
        <v>126</v>
      </c>
      <c r="BC167" s="85">
        <f>IF(LEFT($B167,4)="_Mil","",IF(SUM($BB167)=0,SUM($AD167),IF(OR(SUM($AP167)=0,SUM($AQ167)=0),MAX($BB167,$AD167),ROUND($BB167*$AQ167/$AP167,0))))</f>
        <v>113</v>
      </c>
      <c r="BD167" s="33">
        <f t="shared" si="44"/>
        <v>0.95</v>
      </c>
      <c r="BE167" s="218">
        <f>IF($C167="&lt;01",ROUND(INDEX(EID!$V:$V,MATCH($B167,EID!$B:$B,0))/2,0),ROUND($BD167*$BB167,0))</f>
        <v>120</v>
      </c>
      <c r="BF167" s="218">
        <f>IF(LEFT($B167,4)="_Mil","",IF(SUM($BE167)=0,SUM($AF167),IF(OR(SUM($AP167)=0,SUM($AQ167)=0),MAX($BE167,$AF167),ROUND($BE167*$AQ167/$AP167,0))))</f>
        <v>107</v>
      </c>
      <c r="BG167" s="79">
        <f t="shared" si="45"/>
        <v>0.95</v>
      </c>
      <c r="BH167" s="99">
        <f>IF($C167="&lt;01",ROUND(INDEX(EID!$L:$L,MATCH($B167,EID!$B:$B,0)),0)/2,IF(SUM($BG167)=0,"",ROUND($AX167/$BG167,0)))</f>
        <v>2</v>
      </c>
    </row>
    <row r="168" spans="1:60" x14ac:dyDescent="0.2">
      <c r="A168" t="str">
        <f>INDEX(Prioritization!$D:$D,MATCH($B168,Prioritization!$A:$A,0))</f>
        <v>4 - Sustained</v>
      </c>
      <c r="B168" t="s">
        <v>309</v>
      </c>
      <c r="C168" t="s">
        <v>478</v>
      </c>
      <c r="D168" t="s">
        <v>48</v>
      </c>
      <c r="E168" t="str">
        <f t="shared" si="35"/>
        <v>Likoma District [ZCjuwgaMB9u]|50+|Male</v>
      </c>
      <c r="F168" s="229">
        <v>122</v>
      </c>
      <c r="G168" s="38">
        <v>4</v>
      </c>
      <c r="H168" s="38">
        <v>7</v>
      </c>
      <c r="I168" s="38">
        <v>122</v>
      </c>
      <c r="J168" s="38">
        <v>85</v>
      </c>
      <c r="K168" s="38">
        <v>72</v>
      </c>
      <c r="L168" s="38">
        <v>5</v>
      </c>
      <c r="M168" s="38">
        <v>5</v>
      </c>
      <c r="N168" s="38">
        <v>104</v>
      </c>
      <c r="O168" s="229">
        <v>122</v>
      </c>
      <c r="P168" s="38">
        <v>90</v>
      </c>
      <c r="Q168" s="38">
        <v>86</v>
      </c>
      <c r="R168" s="38">
        <f t="shared" si="36"/>
        <v>0</v>
      </c>
      <c r="S168" s="38">
        <f>IF(LEFT($B168,4)="_Mil","",_xlfn.IFNA(ROUND(INDEX(Spectrum!$N:$N,MATCH(RIGHT($B168,13)&amp;"|"&amp;$C168&amp;"|"&amp;$D168&amp;"|"&amp;S$14&amp;"|"&amp;"CY2023Q4",Spectrum!$R:$R,0)),0),""))</f>
        <v>98</v>
      </c>
      <c r="T168" s="218">
        <f>IF(LEFT($B168,4)="_Mil","",_xlfn.IFNA(ROUND(INDEX(Spectrum!$N:$N,MATCH(RIGHT($B168,13)&amp;"|"&amp;$C168&amp;"|"&amp;$D168&amp;"|"&amp;T$14&amp;"|"&amp;"CY2024Q3",Spectrum!$R:$R,0)),0),""))</f>
        <v>619</v>
      </c>
      <c r="U168" s="218">
        <f>IF(LEFT($B168,4)="_Mil","",_xlfn.IFNA(ROUND(INDEX(Spectrum!$N:$N,MATCH(RIGHT($B168,13)&amp;"|"&amp;$C168&amp;"|"&amp;$D168&amp;"|"&amp;U$14&amp;"|"&amp;"CY2024Q3",Spectrum!$R:$R,0)),0),""))</f>
        <v>111</v>
      </c>
      <c r="V168" s="38">
        <f>IF(LEFT($B168,4)="_Mil","",_xlfn.IFNA(ROUND(INDEX(Spectrum!$N:$N,MATCH(RIGHT($B168,13)&amp;"|"&amp;$C168&amp;"|"&amp;$D168&amp;"|"&amp;V$14&amp;"|"&amp;"CY2024Q3",Spectrum!$R:$R,0)),0),""))</f>
        <v>111</v>
      </c>
      <c r="W168" s="220">
        <f>IF(LEFT($B168,4)="_Mil","",_xlfn.IFNA(INDEX(Spectrum!$N:$N,MATCH(RIGHT($B168,13)&amp;"|"&amp;$C168&amp;"|"&amp;$D168&amp;"|"&amp;W$14&amp;"|"&amp;"CY2024Q3",Spectrum!$R:$R,0)),""))</f>
        <v>0.17904529899999999</v>
      </c>
      <c r="X168" s="218">
        <f>IF(LEFT($B168,4)="_Mil","",_xlfn.IFNA(ROUND(INDEX(Spectrum!$N:$N,MATCH(RIGHT($B168,13)&amp;"|"&amp;$C168&amp;"|"&amp;$D168&amp;"|"&amp;X$14&amp;"|"&amp;"CY2024Q3",Spectrum!$R:$R,0)),0),""))</f>
        <v>106</v>
      </c>
      <c r="Y168" s="33">
        <f t="shared" si="37"/>
        <v>0.95</v>
      </c>
      <c r="Z168" s="218">
        <f>IF(LEFT($B168,4)="_Mil","",_xlfn.IFNA(ROUND(INDEX(Spectrum!$N:$N,MATCH(RIGHT($B168,13)&amp;"|"&amp;$C168&amp;"|"&amp;$D168&amp;"|"&amp;Z$14&amp;"|"&amp;"CY2024Q3",Spectrum!$R:$R,0)),0),""))</f>
        <v>105</v>
      </c>
      <c r="AA168" s="33">
        <f>IF(LEFT($B168,4)="_Mil","",IFERROR(1/(1/INDEX(Spectrum!$N:$N,MATCH(RIGHT($B168,13)&amp;"|"&amp;$C168&amp;"|"&amp;$D168&amp;"|"&amp;AA$14&amp;"|"&amp;"CY2024Q3",Spectrum!$R:$R,0))),IF(SUM($U168)=0,"",SUM($Z168)/$U168)))</f>
        <v>0.94964043200000003</v>
      </c>
      <c r="AB168" s="33">
        <f t="shared" si="38"/>
        <v>0.99056603773584906</v>
      </c>
      <c r="AC168" s="38">
        <f>IF(LEFT($B168,4)="_Mil","",_xlfn.IFNA(ROUND(INDEX(Spectrum!$N:$N,MATCH(RIGHT($B168,13)&amp;"|"&amp;$C168&amp;"|"&amp;$D168&amp;"|"&amp;AC$14&amp;"|"&amp;"CY2024Q3",Spectrum!$R:$R,0)),0),""))</f>
        <v>6</v>
      </c>
      <c r="AD168" s="38" t="str">
        <f>IF(LEFT($B168,4)="_Mil","",_xlfn.IFNA(ROUND(INDEX(Spectrum!$N:$N,MATCH(RIGHT($B168,13)&amp;"|"&amp;$C168&amp;"|"&amp;$D168&amp;"|"&amp;AD$14&amp;"|"&amp;"CY2024Q3",Spectrum!$R:$R,0)),0),""))</f>
        <v/>
      </c>
      <c r="AE168" s="33">
        <f t="shared" si="39"/>
        <v>0</v>
      </c>
      <c r="AF168" s="218" t="str">
        <f>IF(LEFT($B168,4)="_Mil","",_xlfn.IFNA(ROUND(INDEX(Spectrum!$N:$N,MATCH(RIGHT($B168,13)&amp;"|"&amp;$C168&amp;"|"&amp;$D168&amp;"|"&amp;AF$14&amp;"|"&amp;"CY2024Q3",Spectrum!$R:$R,0)),0),""))</f>
        <v/>
      </c>
      <c r="AG168" s="33" t="str">
        <f t="shared" si="40"/>
        <v/>
      </c>
      <c r="AH168" s="110" t="str">
        <f>IF(LEFT($B168,4)="_Mil","",_xlfn.IFNA(INDEX(Spectrum!$N:$N,MATCH(RIGHT($B168,13)&amp;"|"&amp;$C168&amp;"|"&amp;$D168&amp;"|"&amp;AH$14&amp;"|"&amp;"CY2024Q3",Spectrum!$R:$R,0)),""))</f>
        <v/>
      </c>
      <c r="AI168" s="218">
        <f>IF(LEFT($B168,4)="_Mil","",_xlfn.IFNA(ROUND(INDEX(Spectrum!$N:$N,MATCH(RIGHT($B168,13)&amp;"|"&amp;$C168&amp;"|"&amp;$D168&amp;"|"&amp;AI$14&amp;"|"&amp;"CY2025Q3",Spectrum!$R:$R,0)),0),""))</f>
        <v>0</v>
      </c>
      <c r="AJ168" s="38">
        <f>IF(LEFT($B168,4)="_Mil","",_xlfn.IFNA(ROUND(INDEX(Spectrum!$N:$N,MATCH(RIGHT($B168,13)&amp;"|"&amp;$C168&amp;"|"&amp;$D168&amp;"|"&amp;AJ$14&amp;"|"&amp;"CY2025Q3",Spectrum!$R:$R,0)),0),""))</f>
        <v>119</v>
      </c>
      <c r="AK168" s="218" t="e">
        <f>#REF!</f>
        <v>#REF!</v>
      </c>
      <c r="AL168" s="33">
        <f t="shared" si="41"/>
        <v>0.94964043200000003</v>
      </c>
      <c r="AM168" s="38" t="e">
        <f>IF(OR(LEFT($B168,4)="_Mil",$C168="&lt;01"),"",ROUND(SUM($AK168)*SUM($AL168),0))</f>
        <v>#REF!</v>
      </c>
      <c r="AN168" s="38" t="str">
        <f>IF($C168="&lt;01",ROUND(INDEX(EID!$P:$P,MATCH($B168,EID!$B:$B,0))/2,0),"")</f>
        <v/>
      </c>
      <c r="AO168" s="38" t="e">
        <f>IF($C168="&lt;01",SUM($AN168),ROUND(SUM($AM168)*SUM($O168)/IF(SUM($Z168)=0,1,$Z168),0))</f>
        <v>#REF!</v>
      </c>
      <c r="AP168" s="218">
        <f>IF(OR($F168="",$C168="&lt;01"),$AO168,ROUND($F168,0))</f>
        <v>122</v>
      </c>
      <c r="AQ168" s="218">
        <f>IF(LEFT($B168,4)="_Mil","",IF(SUM($AP168)=0,SUM($Z168),IF(OR(SUM($Z168)=0,SUM($O168)=0),MAX($AP168,$Z168),ROUND($AP168*$Z168/$O168,0))))</f>
        <v>105</v>
      </c>
      <c r="AR168" s="33" t="e">
        <f>IF(OR(LEFT($B168,4)="_Mil",SUM($AK168)=0),"",SUM($AQ168)/$AK168)</f>
        <v>#REF!</v>
      </c>
      <c r="AS168" s="33">
        <v>0.98</v>
      </c>
      <c r="AT168" s="33">
        <f>IF($C168="&lt;01","",100%)</f>
        <v>1</v>
      </c>
      <c r="AU168" s="38">
        <f>IF($C168="&lt;01","",SUM($AP168)-SUM($O168))</f>
        <v>0</v>
      </c>
      <c r="AV168" s="38">
        <f>IF($C168="&lt;01",ROUND(INDEX(EID!$N:$N,MATCH($B168,EID!$B:$B,0))/2,0),IF(SUM($AT168)=0,"",ROUND((SUM($AP168)-(SUM($O168)*SUM($AS168)))/$AT168,0)))</f>
        <v>2</v>
      </c>
      <c r="AW168" s="33">
        <v>0.8</v>
      </c>
      <c r="AX168" s="218">
        <f>IF($C168="&lt;01",SUM($AV168),ROUND(SUM($AV168)*SUM($AW168),0))</f>
        <v>2</v>
      </c>
      <c r="AY168" s="79">
        <f t="shared" si="43"/>
        <v>0.7</v>
      </c>
      <c r="AZ168" s="85">
        <f>IF($C168="&lt;01",ROUND(INDEX(EID!$R:$R,MATCH($B168,EID!$B:$B,0))/2,0),ROUND(SUM($O168)+(SUM($AV168)*$AY168),0))</f>
        <v>123</v>
      </c>
      <c r="BA168" s="40">
        <f t="shared" si="47"/>
        <v>0.9</v>
      </c>
      <c r="BB168" s="99">
        <f>IF($C168="&lt;01",ROUND(INDEX(EID!$T:$T,MATCH($B168,EID!$B:$B,0))/2,0),ROUND($AP168*$BA168,0))</f>
        <v>110</v>
      </c>
      <c r="BC168" s="85">
        <f>IF(LEFT($B168,4)="_Mil","",IF(SUM($BB168)=0,SUM($AD168),IF(OR(SUM($AP168)=0,SUM($AQ168)=0),MAX($BB168,$AD168),ROUND($BB168*$AQ168/$AP168,0))))</f>
        <v>95</v>
      </c>
      <c r="BD168" s="33">
        <f t="shared" si="44"/>
        <v>0.95</v>
      </c>
      <c r="BE168" s="218">
        <f>IF($C168="&lt;01",ROUND(INDEX(EID!$V:$V,MATCH($B168,EID!$B:$B,0))/2,0),ROUND($BD168*$BB168,0))</f>
        <v>105</v>
      </c>
      <c r="BF168" s="218">
        <f>IF(LEFT($B168,4)="_Mil","",IF(SUM($BE168)=0,SUM($AF168),IF(OR(SUM($AP168)=0,SUM($AQ168)=0),MAX($BE168,$AF168),ROUND($BE168*$AQ168/$AP168,0))))</f>
        <v>90</v>
      </c>
      <c r="BG168" s="79">
        <f t="shared" si="45"/>
        <v>0.95</v>
      </c>
      <c r="BH168" s="99">
        <f>IF($C168="&lt;01",ROUND(INDEX(EID!$L:$L,MATCH($B168,EID!$B:$B,0)),0)/2,IF(SUM($BG168)=0,"",ROUND($AX168/$BG168,0)))</f>
        <v>2</v>
      </c>
    </row>
    <row r="169" spans="1:60" x14ac:dyDescent="0.2">
      <c r="A169" t="str">
        <f>INDEX(Prioritization!$D:$D,MATCH($B169,Prioritization!$A:$A,0))</f>
        <v>INVALID</v>
      </c>
      <c r="B169" t="s">
        <v>301</v>
      </c>
      <c r="C169" t="s">
        <v>426</v>
      </c>
      <c r="D169" t="s">
        <v>30</v>
      </c>
      <c r="E169" t="str">
        <f t="shared" si="35"/>
        <v>Lilongwe District [ScR9iFKAasW]|&lt;01|Female</v>
      </c>
      <c r="F169" s="229">
        <v>50</v>
      </c>
      <c r="G169" s="38">
        <v>125</v>
      </c>
      <c r="H169" s="38">
        <v>58</v>
      </c>
      <c r="I169" s="38">
        <v>18</v>
      </c>
      <c r="J169" s="38">
        <v>177</v>
      </c>
      <c r="K169" s="38">
        <v>157</v>
      </c>
      <c r="L169" s="38"/>
      <c r="M169" s="38">
        <v>67</v>
      </c>
      <c r="N169" s="38">
        <v>66</v>
      </c>
      <c r="O169" s="229">
        <v>50</v>
      </c>
      <c r="P169" s="38">
        <v>46</v>
      </c>
      <c r="Q169" s="38">
        <v>43</v>
      </c>
      <c r="R169" s="38">
        <f t="shared" si="36"/>
        <v>32</v>
      </c>
      <c r="S169" s="38">
        <f>IF(LEFT($B169,4)="_Mil","",_xlfn.IFNA(ROUND(INDEX(Spectrum!$N:$N,MATCH(RIGHT($B169,13)&amp;"|"&amp;$C169&amp;"|"&amp;$D169&amp;"|"&amp;S$14&amp;"|"&amp;"CY2023Q4",Spectrum!$R:$R,0)),0),""))</f>
        <v>51</v>
      </c>
      <c r="T169" s="218">
        <f>IF(LEFT($B169,4)="_Mil","",_xlfn.IFNA(ROUND(INDEX(Spectrum!$N:$N,MATCH(RIGHT($B169,13)&amp;"|"&amp;$C169&amp;"|"&amp;$D169&amp;"|"&amp;T$14&amp;"|"&amp;"CY2024Q3",Spectrum!$R:$R,0)),0),""))</f>
        <v>47049</v>
      </c>
      <c r="U169" s="218">
        <f>IF(LEFT($B169,4)="_Mil","",_xlfn.IFNA(ROUND(INDEX(Spectrum!$N:$N,MATCH(RIGHT($B169,13)&amp;"|"&amp;$C169&amp;"|"&amp;$D169&amp;"|"&amp;U$14&amp;"|"&amp;"CY2024Q3",Spectrum!$R:$R,0)),0),""))</f>
        <v>68</v>
      </c>
      <c r="V169" s="38">
        <f>IF(LEFT($B169,4)="_Mil","",_xlfn.IFNA(ROUND(INDEX(Spectrum!$N:$N,MATCH(RIGHT($B169,13)&amp;"|"&amp;$C169&amp;"|"&amp;$D169&amp;"|"&amp;V$14&amp;"|"&amp;"CY2024Q3",Spectrum!$R:$R,0)),0),""))</f>
        <v>66</v>
      </c>
      <c r="W169" s="220">
        <f>IF(LEFT($B169,4)="_Mil","",_xlfn.IFNA(INDEX(Spectrum!$N:$N,MATCH(RIGHT($B169,13)&amp;"|"&amp;$C169&amp;"|"&amp;$D169&amp;"|"&amp;W$14&amp;"|"&amp;"CY2024Q3",Spectrum!$R:$R,0)),""))</f>
        <v>1.4436270000000001E-3</v>
      </c>
      <c r="X169" s="218">
        <f>IF(LEFT($B169,4)="_Mil","",_xlfn.IFNA(ROUND(INDEX(Spectrum!$N:$N,MATCH(RIGHT($B169,13)&amp;"|"&amp;$C169&amp;"|"&amp;$D169&amp;"|"&amp;X$14&amp;"|"&amp;"CY2024Q3",Spectrum!$R:$R,0)),0),""))</f>
        <v>48</v>
      </c>
      <c r="Y169" s="33">
        <f t="shared" si="37"/>
        <v>0.71</v>
      </c>
      <c r="Z169" s="218">
        <f>IF(LEFT($B169,4)="_Mil","",_xlfn.IFNA(ROUND(INDEX(Spectrum!$N:$N,MATCH(RIGHT($B169,13)&amp;"|"&amp;$C169&amp;"|"&amp;$D169&amp;"|"&amp;Z$14&amp;"|"&amp;"CY2024Q3",Spectrum!$R:$R,0)),0),""))</f>
        <v>44</v>
      </c>
      <c r="AA169" s="33">
        <f>IF(LEFT($B169,4)="_Mil","",IFERROR(1/(1/INDEX(Spectrum!$N:$N,MATCH(RIGHT($B169,13)&amp;"|"&amp;$C169&amp;"|"&amp;$D169&amp;"|"&amp;AA$14&amp;"|"&amp;"CY2024Q3",Spectrum!$R:$R,0))),IF(SUM($U169)=0,"",SUM($Z169)/$U169)))</f>
        <v>0.669542835</v>
      </c>
      <c r="AB169" s="33">
        <f t="shared" si="38"/>
        <v>0.91666666666666663</v>
      </c>
      <c r="AC169" s="38">
        <f>IF(LEFT($B169,4)="_Mil","",_xlfn.IFNA(ROUND(INDEX(Spectrum!$N:$N,MATCH(RIGHT($B169,13)&amp;"|"&amp;$C169&amp;"|"&amp;$D169&amp;"|"&amp;AC$14&amp;"|"&amp;"CY2024Q3",Spectrum!$R:$R,0)),0),""))</f>
        <v>22</v>
      </c>
      <c r="AD169" s="38" t="str">
        <f>IF(LEFT($B169,4)="_Mil","",_xlfn.IFNA(ROUND(INDEX(Spectrum!$N:$N,MATCH(RIGHT($B169,13)&amp;"|"&amp;$C169&amp;"|"&amp;$D169&amp;"|"&amp;AD$14&amp;"|"&amp;"CY2024Q3",Spectrum!$R:$R,0)),0),""))</f>
        <v/>
      </c>
      <c r="AE169" s="33">
        <f t="shared" si="39"/>
        <v>0</v>
      </c>
      <c r="AF169" s="218" t="str">
        <f>IF(LEFT($B169,4)="_Mil","",_xlfn.IFNA(ROUND(INDEX(Spectrum!$N:$N,MATCH(RIGHT($B169,13)&amp;"|"&amp;$C169&amp;"|"&amp;$D169&amp;"|"&amp;AF$14&amp;"|"&amp;"CY2024Q3",Spectrum!$R:$R,0)),0),""))</f>
        <v/>
      </c>
      <c r="AG169" s="33" t="str">
        <f t="shared" si="40"/>
        <v/>
      </c>
      <c r="AH169" s="110" t="str">
        <f>IF(LEFT($B169,4)="_Mil","",_xlfn.IFNA(INDEX(Spectrum!$N:$N,MATCH(RIGHT($B169,13)&amp;"|"&amp;$C169&amp;"|"&amp;$D169&amp;"|"&amp;AH$14&amp;"|"&amp;"CY2024Q3",Spectrum!$R:$R,0)),""))</f>
        <v/>
      </c>
      <c r="AI169" s="218">
        <f>IF(LEFT($B169,4)="_Mil","",_xlfn.IFNA(ROUND(INDEX(Spectrum!$N:$N,MATCH(RIGHT($B169,13)&amp;"|"&amp;$C169&amp;"|"&amp;$D169&amp;"|"&amp;AI$14&amp;"|"&amp;"CY2025Q3",Spectrum!$R:$R,0)),0),""))</f>
        <v>73</v>
      </c>
      <c r="AJ169" s="38">
        <f>IF(LEFT($B169,4)="_Mil","",_xlfn.IFNA(ROUND(INDEX(Spectrum!$N:$N,MATCH(RIGHT($B169,13)&amp;"|"&amp;$C169&amp;"|"&amp;$D169&amp;"|"&amp;AJ$14&amp;"|"&amp;"CY2025Q3",Spectrum!$R:$R,0)),0),""))</f>
        <v>62</v>
      </c>
      <c r="AK169" s="218" t="e">
        <f>#REF!</f>
        <v>#REF!</v>
      </c>
      <c r="AL169" s="33" t="str">
        <f t="shared" si="41"/>
        <v/>
      </c>
      <c r="AM169" s="38" t="str">
        <f>IF(OR(LEFT($B169,4)="_Mil",$C169="&lt;01"),"",ROUND(SUM($AK169)*SUM($AL169),0))</f>
        <v/>
      </c>
      <c r="AN169" s="38">
        <f>IF($C169="&lt;01",ROUND(INDEX(EID!$P:$P,MATCH($B169,EID!$B:$B,0))/2,0),"")</f>
        <v>0</v>
      </c>
      <c r="AO169" s="38">
        <f>IF($C169="&lt;01",SUM($AN169),ROUND(SUM($AM169)*SUM($O169)/IF(SUM($Z169)=0,1,$Z169),0))</f>
        <v>0</v>
      </c>
      <c r="AP169" s="218">
        <f>IF(OR($F169="",$C169="&lt;01"),$AO169,ROUND($F169,0))</f>
        <v>0</v>
      </c>
      <c r="AQ169" s="218">
        <f>IF(LEFT($B169,4)="_Mil","",IF(SUM($AP169)=0,SUM($Z169),IF(OR(SUM($Z169)=0,SUM($O169)=0),MAX($AP169,$Z169),ROUND($AP169*$Z169/$O169,0))))</f>
        <v>44</v>
      </c>
      <c r="AR169" s="33" t="e">
        <f>IF(OR(LEFT($B169,4)="_Mil",SUM($AK169)=0),"",SUM($AQ169)/$AK169)</f>
        <v>#REF!</v>
      </c>
      <c r="AS169" s="33" t="str">
        <f t="shared" si="48"/>
        <v/>
      </c>
      <c r="AT169" s="33" t="str">
        <f t="shared" si="49"/>
        <v/>
      </c>
      <c r="AU169" s="38" t="str">
        <f>IF($C169="&lt;01","",SUM($AP169)-SUM($O169))</f>
        <v/>
      </c>
      <c r="AV169" s="38">
        <f>IF($C169="&lt;01",ROUND(INDEX(EID!$N:$N,MATCH($B169,EID!$B:$B,0))/2,0),IF(SUM($AT169)=0,"",ROUND((SUM($AP169)-(SUM($O169)*SUM($AS169)))/$AT169,0)))</f>
        <v>0</v>
      </c>
      <c r="AW169" s="33" t="str">
        <f t="shared" si="42"/>
        <v/>
      </c>
      <c r="AX169" s="218">
        <f>IF($C169="&lt;01",SUM($AV169),ROUND(SUM($AV169)*SUM($AW169),0))</f>
        <v>0</v>
      </c>
      <c r="AY169" s="79" t="str">
        <f t="shared" si="43"/>
        <v/>
      </c>
      <c r="AZ169" s="85">
        <f>IF($C169="&lt;01",ROUND(INDEX(EID!$R:$R,MATCH($B169,EID!$B:$B,0))/2,0),ROUND(SUM($O169)+(SUM($AV169)*$AY169),0))</f>
        <v>0</v>
      </c>
      <c r="BA169" s="40" t="str">
        <f t="shared" si="47"/>
        <v/>
      </c>
      <c r="BB169" s="99">
        <f>IF($C169="&lt;01",ROUND(INDEX(EID!$T:$T,MATCH($B169,EID!$B:$B,0))/2,0),ROUND($AP169*$BA169,0))</f>
        <v>0</v>
      </c>
      <c r="BC169" s="85">
        <f>IF(LEFT($B169,4)="_Mil","",IF(SUM($BB169)=0,SUM($AD169),IF(OR(SUM($AP169)=0,SUM($AQ169)=0),MAX($BB169,$AD169),ROUND($BB169*$AQ169/$AP169,0))))</f>
        <v>0</v>
      </c>
      <c r="BD169" s="33" t="str">
        <f t="shared" si="44"/>
        <v/>
      </c>
      <c r="BE169" s="218">
        <f>IF($C169="&lt;01",ROUND(INDEX(EID!$V:$V,MATCH($B169,EID!$B:$B,0))/2,0),ROUND($BD169*$BB169,0))</f>
        <v>0</v>
      </c>
      <c r="BF169" s="218">
        <f>IF(LEFT($B169,4)="_Mil","",IF(SUM($BE169)=0,SUM($AF169),IF(OR(SUM($AP169)=0,SUM($AQ169)=0),MAX($BE169,$AF169),ROUND($BE169*$AQ169/$AP169,0))))</f>
        <v>0</v>
      </c>
      <c r="BG169" s="79" t="str">
        <f t="shared" si="45"/>
        <v/>
      </c>
      <c r="BH169" s="99">
        <f>IF($C169="&lt;01",ROUND(INDEX(EID!$L:$L,MATCH($B169,EID!$B:$B,0)),0)/2,IF(SUM($BG169)=0,"",ROUND($AX169/$BG169,0)))</f>
        <v>0</v>
      </c>
    </row>
    <row r="170" spans="1:60" x14ac:dyDescent="0.2">
      <c r="A170" t="str">
        <f>INDEX(Prioritization!$D:$D,MATCH($B170,Prioritization!$A:$A,0))</f>
        <v>INVALID</v>
      </c>
      <c r="B170" t="s">
        <v>301</v>
      </c>
      <c r="C170" t="s">
        <v>426</v>
      </c>
      <c r="D170" t="s">
        <v>48</v>
      </c>
      <c r="E170" t="str">
        <f t="shared" si="35"/>
        <v>Lilongwe District [ScR9iFKAasW]|&lt;01|Male</v>
      </c>
      <c r="F170" s="229">
        <v>61</v>
      </c>
      <c r="G170" s="38">
        <v>110</v>
      </c>
      <c r="H170" s="38">
        <v>49</v>
      </c>
      <c r="I170" s="38">
        <v>26</v>
      </c>
      <c r="J170" s="38">
        <v>96</v>
      </c>
      <c r="K170" s="38">
        <v>85</v>
      </c>
      <c r="L170" s="38"/>
      <c r="M170" s="38">
        <v>67</v>
      </c>
      <c r="N170" s="38">
        <v>66</v>
      </c>
      <c r="O170" s="229">
        <v>50</v>
      </c>
      <c r="P170" s="38">
        <v>46</v>
      </c>
      <c r="Q170" s="38">
        <v>43</v>
      </c>
      <c r="R170" s="38">
        <f t="shared" si="36"/>
        <v>24</v>
      </c>
      <c r="S170" s="38">
        <f>IF(LEFT($B170,4)="_Mil","",_xlfn.IFNA(ROUND(INDEX(Spectrum!$N:$N,MATCH(RIGHT($B170,13)&amp;"|"&amp;$C170&amp;"|"&amp;$D170&amp;"|"&amp;S$14&amp;"|"&amp;"CY2023Q4",Spectrum!$R:$R,0)),0),""))</f>
        <v>52</v>
      </c>
      <c r="T170" s="218">
        <f>IF(LEFT($B170,4)="_Mil","",_xlfn.IFNA(ROUND(INDEX(Spectrum!$N:$N,MATCH(RIGHT($B170,13)&amp;"|"&amp;$C170&amp;"|"&amp;$D170&amp;"|"&amp;T$14&amp;"|"&amp;"CY2024Q3",Spectrum!$R:$R,0)),0),""))</f>
        <v>46962</v>
      </c>
      <c r="U170" s="218">
        <f>IF(LEFT($B170,4)="_Mil","",_xlfn.IFNA(ROUND(INDEX(Spectrum!$N:$N,MATCH(RIGHT($B170,13)&amp;"|"&amp;$C170&amp;"|"&amp;$D170&amp;"|"&amp;U$14&amp;"|"&amp;"CY2024Q3",Spectrum!$R:$R,0)),0),""))</f>
        <v>69</v>
      </c>
      <c r="V170" s="38">
        <f>IF(LEFT($B170,4)="_Mil","",_xlfn.IFNA(ROUND(INDEX(Spectrum!$N:$N,MATCH(RIGHT($B170,13)&amp;"|"&amp;$C170&amp;"|"&amp;$D170&amp;"|"&amp;V$14&amp;"|"&amp;"CY2024Q3",Spectrum!$R:$R,0)),0),""))</f>
        <v>67</v>
      </c>
      <c r="W170" s="220">
        <f>IF(LEFT($B170,4)="_Mil","",_xlfn.IFNA(INDEX(Spectrum!$N:$N,MATCH(RIGHT($B170,13)&amp;"|"&amp;$C170&amp;"|"&amp;$D170&amp;"|"&amp;W$14&amp;"|"&amp;"CY2024Q3",Spectrum!$R:$R,0)),""))</f>
        <v>1.462135E-3</v>
      </c>
      <c r="X170" s="218">
        <f>IF(LEFT($B170,4)="_Mil","",_xlfn.IFNA(ROUND(INDEX(Spectrum!$N:$N,MATCH(RIGHT($B170,13)&amp;"|"&amp;$C170&amp;"|"&amp;$D170&amp;"|"&amp;X$14&amp;"|"&amp;"CY2024Q3",Spectrum!$R:$R,0)),0),""))</f>
        <v>49</v>
      </c>
      <c r="Y170" s="33">
        <f t="shared" si="37"/>
        <v>0.71</v>
      </c>
      <c r="Z170" s="218">
        <f>IF(LEFT($B170,4)="_Mil","",_xlfn.IFNA(ROUND(INDEX(Spectrum!$N:$N,MATCH(RIGHT($B170,13)&amp;"|"&amp;$C170&amp;"|"&amp;$D170&amp;"|"&amp;Z$14&amp;"|"&amp;"CY2024Q3",Spectrum!$R:$R,0)),0),""))</f>
        <v>45</v>
      </c>
      <c r="AA170" s="33">
        <f>IF(LEFT($B170,4)="_Mil","",IFERROR(1/(1/INDEX(Spectrum!$N:$N,MATCH(RIGHT($B170,13)&amp;"|"&amp;$C170&amp;"|"&amp;$D170&amp;"|"&amp;AA$14&amp;"|"&amp;"CY2024Q3",Spectrum!$R:$R,0))),IF(SUM($U170)=0,"",SUM($Z170)/$U170)))</f>
        <v>0.67004543800000005</v>
      </c>
      <c r="AB170" s="33">
        <f t="shared" si="38"/>
        <v>0.91836734693877553</v>
      </c>
      <c r="AC170" s="38">
        <f>IF(LEFT($B170,4)="_Mil","",_xlfn.IFNA(ROUND(INDEX(Spectrum!$N:$N,MATCH(RIGHT($B170,13)&amp;"|"&amp;$C170&amp;"|"&amp;$D170&amp;"|"&amp;AC$14&amp;"|"&amp;"CY2024Q3",Spectrum!$R:$R,0)),0),""))</f>
        <v>22</v>
      </c>
      <c r="AD170" s="38" t="str">
        <f>IF(LEFT($B170,4)="_Mil","",_xlfn.IFNA(ROUND(INDEX(Spectrum!$N:$N,MATCH(RIGHT($B170,13)&amp;"|"&amp;$C170&amp;"|"&amp;$D170&amp;"|"&amp;AD$14&amp;"|"&amp;"CY2024Q3",Spectrum!$R:$R,0)),0),""))</f>
        <v/>
      </c>
      <c r="AE170" s="33">
        <f t="shared" si="39"/>
        <v>0</v>
      </c>
      <c r="AF170" s="218" t="str">
        <f>IF(LEFT($B170,4)="_Mil","",_xlfn.IFNA(ROUND(INDEX(Spectrum!$N:$N,MATCH(RIGHT($B170,13)&amp;"|"&amp;$C170&amp;"|"&amp;$D170&amp;"|"&amp;AF$14&amp;"|"&amp;"CY2024Q3",Spectrum!$R:$R,0)),0),""))</f>
        <v/>
      </c>
      <c r="AG170" s="33" t="str">
        <f t="shared" si="40"/>
        <v/>
      </c>
      <c r="AH170" s="110" t="str">
        <f>IF(LEFT($B170,4)="_Mil","",_xlfn.IFNA(INDEX(Spectrum!$N:$N,MATCH(RIGHT($B170,13)&amp;"|"&amp;$C170&amp;"|"&amp;$D170&amp;"|"&amp;AH$14&amp;"|"&amp;"CY2024Q3",Spectrum!$R:$R,0)),""))</f>
        <v/>
      </c>
      <c r="AI170" s="218">
        <f>IF(LEFT($B170,4)="_Mil","",_xlfn.IFNA(ROUND(INDEX(Spectrum!$N:$N,MATCH(RIGHT($B170,13)&amp;"|"&amp;$C170&amp;"|"&amp;$D170&amp;"|"&amp;AI$14&amp;"|"&amp;"CY2025Q3",Spectrum!$R:$R,0)),0),""))</f>
        <v>73</v>
      </c>
      <c r="AJ170" s="38">
        <f>IF(LEFT($B170,4)="_Mil","",_xlfn.IFNA(ROUND(INDEX(Spectrum!$N:$N,MATCH(RIGHT($B170,13)&amp;"|"&amp;$C170&amp;"|"&amp;$D170&amp;"|"&amp;AJ$14&amp;"|"&amp;"CY2025Q3",Spectrum!$R:$R,0)),0),""))</f>
        <v>63</v>
      </c>
      <c r="AK170" s="218" t="e">
        <f>#REF!</f>
        <v>#REF!</v>
      </c>
      <c r="AL170" s="33" t="str">
        <f t="shared" si="41"/>
        <v/>
      </c>
      <c r="AM170" s="38" t="str">
        <f>IF(OR(LEFT($B170,4)="_Mil",$C170="&lt;01"),"",ROUND(SUM($AK170)*SUM($AL170),0))</f>
        <v/>
      </c>
      <c r="AN170" s="38">
        <f>IF($C170="&lt;01",ROUND(INDEX(EID!$P:$P,MATCH($B170,EID!$B:$B,0))/2,0),"")</f>
        <v>0</v>
      </c>
      <c r="AO170" s="38">
        <f>IF($C170="&lt;01",SUM($AN170),ROUND(SUM($AM170)*SUM($O170)/IF(SUM($Z170)=0,1,$Z170),0))</f>
        <v>0</v>
      </c>
      <c r="AP170" s="218">
        <f>IF(OR($F170="",$C170="&lt;01"),$AO170,ROUND($F170,0))</f>
        <v>0</v>
      </c>
      <c r="AQ170" s="218">
        <f>IF(LEFT($B170,4)="_Mil","",IF(SUM($AP170)=0,SUM($Z170),IF(OR(SUM($Z170)=0,SUM($O170)=0),MAX($AP170,$Z170),ROUND($AP170*$Z170/$O170,0))))</f>
        <v>45</v>
      </c>
      <c r="AR170" s="33" t="e">
        <f>IF(OR(LEFT($B170,4)="_Mil",SUM($AK170)=0),"",SUM($AQ170)/$AK170)</f>
        <v>#REF!</v>
      </c>
      <c r="AS170" s="33" t="str">
        <f t="shared" si="48"/>
        <v/>
      </c>
      <c r="AT170" s="33" t="str">
        <f t="shared" si="49"/>
        <v/>
      </c>
      <c r="AU170" s="38" t="str">
        <f>IF($C170="&lt;01","",SUM($AP170)-SUM($O170))</f>
        <v/>
      </c>
      <c r="AV170" s="38">
        <f>IF($C170="&lt;01",ROUND(INDEX(EID!$N:$N,MATCH($B170,EID!$B:$B,0))/2,0),IF(SUM($AT170)=0,"",ROUND((SUM($AP170)-(SUM($O170)*SUM($AS170)))/$AT170,0)))</f>
        <v>0</v>
      </c>
      <c r="AW170" s="33" t="str">
        <f t="shared" si="42"/>
        <v/>
      </c>
      <c r="AX170" s="218">
        <f>IF($C170="&lt;01",SUM($AV170),ROUND(SUM($AV170)*SUM($AW170),0))</f>
        <v>0</v>
      </c>
      <c r="AY170" s="79" t="str">
        <f t="shared" si="43"/>
        <v/>
      </c>
      <c r="AZ170" s="85">
        <f>IF($C170="&lt;01",ROUND(INDEX(EID!$R:$R,MATCH($B170,EID!$B:$B,0))/2,0),ROUND(SUM($O170)+(SUM($AV170)*$AY170),0))</f>
        <v>0</v>
      </c>
      <c r="BA170" s="40" t="str">
        <f t="shared" si="47"/>
        <v/>
      </c>
      <c r="BB170" s="99">
        <f>IF($C170="&lt;01",ROUND(INDEX(EID!$T:$T,MATCH($B170,EID!$B:$B,0))/2,0),ROUND($AP170*$BA170,0))</f>
        <v>0</v>
      </c>
      <c r="BC170" s="85">
        <f>IF(LEFT($B170,4)="_Mil","",IF(SUM($BB170)=0,SUM($AD170),IF(OR(SUM($AP170)=0,SUM($AQ170)=0),MAX($BB170,$AD170),ROUND($BB170*$AQ170/$AP170,0))))</f>
        <v>0</v>
      </c>
      <c r="BD170" s="33" t="str">
        <f t="shared" si="44"/>
        <v/>
      </c>
      <c r="BE170" s="218">
        <f>IF($C170="&lt;01",ROUND(INDEX(EID!$V:$V,MATCH($B170,EID!$B:$B,0))/2,0),ROUND($BD170*$BB170,0))</f>
        <v>0</v>
      </c>
      <c r="BF170" s="218">
        <f>IF(LEFT($B170,4)="_Mil","",IF(SUM($BE170)=0,SUM($AF170),IF(OR(SUM($AP170)=0,SUM($AQ170)=0),MAX($BE170,$AF170),ROUND($BE170*$AQ170/$AP170,0))))</f>
        <v>0</v>
      </c>
      <c r="BG170" s="79" t="str">
        <f t="shared" si="45"/>
        <v/>
      </c>
      <c r="BH170" s="99">
        <f>IF($C170="&lt;01",ROUND(INDEX(EID!$L:$L,MATCH($B170,EID!$B:$B,0)),0)/2,IF(SUM($BG170)=0,"",ROUND($AX170/$BG170,0)))</f>
        <v>0</v>
      </c>
    </row>
    <row r="171" spans="1:60" x14ac:dyDescent="0.2">
      <c r="A171" t="str">
        <f>INDEX(Prioritization!$D:$D,MATCH($B171,Prioritization!$A:$A,0))</f>
        <v>INVALID</v>
      </c>
      <c r="B171" t="s">
        <v>301</v>
      </c>
      <c r="C171" t="s">
        <v>473</v>
      </c>
      <c r="D171" t="s">
        <v>30</v>
      </c>
      <c r="E171" t="str">
        <f t="shared" si="35"/>
        <v>Lilongwe District [ScR9iFKAasW]|01-09|Female</v>
      </c>
      <c r="F171" s="229">
        <v>870</v>
      </c>
      <c r="G171" s="38">
        <v>229</v>
      </c>
      <c r="H171" s="38">
        <v>96</v>
      </c>
      <c r="I171" s="38">
        <v>818</v>
      </c>
      <c r="J171" s="38">
        <v>1067</v>
      </c>
      <c r="K171" s="38">
        <v>903</v>
      </c>
      <c r="L171" s="38">
        <v>67</v>
      </c>
      <c r="M171" s="38">
        <v>63</v>
      </c>
      <c r="N171" s="38">
        <v>973</v>
      </c>
      <c r="O171" s="229">
        <v>870</v>
      </c>
      <c r="P171" s="38">
        <v>849</v>
      </c>
      <c r="Q171" s="38">
        <v>807</v>
      </c>
      <c r="R171" s="38">
        <f t="shared" si="36"/>
        <v>52</v>
      </c>
      <c r="S171" s="38">
        <f>IF(LEFT($B171,4)="_Mil","",_xlfn.IFNA(ROUND(INDEX(Spectrum!$N:$N,MATCH(RIGHT($B171,13)&amp;"|"&amp;$C171&amp;"|"&amp;$D171&amp;"|"&amp;S$14&amp;"|"&amp;"CY2023Q4",Spectrum!$R:$R,0)),0),""))</f>
        <v>847</v>
      </c>
      <c r="T171" s="218">
        <f>IF(LEFT($B171,4)="_Mil","",_xlfn.IFNA(ROUND(INDEX(Spectrum!$N:$N,MATCH(RIGHT($B171,13)&amp;"|"&amp;$C171&amp;"|"&amp;$D171&amp;"|"&amp;T$14&amp;"|"&amp;"CY2024Q3",Spectrum!$R:$R,0)),0),""))</f>
        <v>382622</v>
      </c>
      <c r="U171" s="218">
        <f>IF(LEFT($B171,4)="_Mil","",_xlfn.IFNA(ROUND(INDEX(Spectrum!$N:$N,MATCH(RIGHT($B171,13)&amp;"|"&amp;$C171&amp;"|"&amp;$D171&amp;"|"&amp;U$14&amp;"|"&amp;"CY2024Q3",Spectrum!$R:$R,0)),0),""))</f>
        <v>1198</v>
      </c>
      <c r="V171" s="38">
        <f>IF(LEFT($B171,4)="_Mil","",_xlfn.IFNA(ROUND(INDEX(Spectrum!$N:$N,MATCH(RIGHT($B171,13)&amp;"|"&amp;$C171&amp;"|"&amp;$D171&amp;"|"&amp;V$14&amp;"|"&amp;"CY2024Q3",Spectrum!$R:$R,0)),0),""))</f>
        <v>1160</v>
      </c>
      <c r="W171" s="220">
        <f>IF(LEFT($B171,4)="_Mil","",_xlfn.IFNA(INDEX(Spectrum!$N:$N,MATCH(RIGHT($B171,13)&amp;"|"&amp;$C171&amp;"|"&amp;$D171&amp;"|"&amp;W$14&amp;"|"&amp;"CY2024Q3",Spectrum!$R:$R,0)),""))</f>
        <v>3.131273E-3</v>
      </c>
      <c r="X171" s="218">
        <f>IF(LEFT($B171,4)="_Mil","",_xlfn.IFNA(ROUND(INDEX(Spectrum!$N:$N,MATCH(RIGHT($B171,13)&amp;"|"&amp;$C171&amp;"|"&amp;$D171&amp;"|"&amp;X$14&amp;"|"&amp;"CY2024Q3",Spectrum!$R:$R,0)),0),""))</f>
        <v>900</v>
      </c>
      <c r="Y171" s="33">
        <f t="shared" si="37"/>
        <v>0.75</v>
      </c>
      <c r="Z171" s="218">
        <f>IF(LEFT($B171,4)="_Mil","",_xlfn.IFNA(ROUND(INDEX(Spectrum!$N:$N,MATCH(RIGHT($B171,13)&amp;"|"&amp;$C171&amp;"|"&amp;$D171&amp;"|"&amp;Z$14&amp;"|"&amp;"CY2024Q3",Spectrum!$R:$R,0)),0),""))</f>
        <v>826</v>
      </c>
      <c r="AA171" s="33">
        <f>IF(LEFT($B171,4)="_Mil","",IFERROR(1/(1/INDEX(Spectrum!$N:$N,MATCH(RIGHT($B171,13)&amp;"|"&amp;$C171&amp;"|"&amp;$D171&amp;"|"&amp;AA$14&amp;"|"&amp;"CY2024Q3",Spectrum!$R:$R,0))),IF(SUM($U171)=0,"",SUM($Z171)/$U171)))</f>
        <v>0.71788388699999994</v>
      </c>
      <c r="AB171" s="33">
        <f t="shared" si="38"/>
        <v>0.9177777777777778</v>
      </c>
      <c r="AC171" s="38">
        <f>IF(LEFT($B171,4)="_Mil","",_xlfn.IFNA(ROUND(INDEX(Spectrum!$N:$N,MATCH(RIGHT($B171,13)&amp;"|"&amp;$C171&amp;"|"&amp;$D171&amp;"|"&amp;AC$14&amp;"|"&amp;"CY2024Q3",Spectrum!$R:$R,0)),0),""))</f>
        <v>334</v>
      </c>
      <c r="AD171" s="38" t="str">
        <f>IF(LEFT($B171,4)="_Mil","",_xlfn.IFNA(ROUND(INDEX(Spectrum!$N:$N,MATCH(RIGHT($B171,13)&amp;"|"&amp;$C171&amp;"|"&amp;$D171&amp;"|"&amp;AD$14&amp;"|"&amp;"CY2024Q3",Spectrum!$R:$R,0)),0),""))</f>
        <v/>
      </c>
      <c r="AE171" s="33">
        <f t="shared" si="39"/>
        <v>0</v>
      </c>
      <c r="AF171" s="218" t="str">
        <f>IF(LEFT($B171,4)="_Mil","",_xlfn.IFNA(ROUND(INDEX(Spectrum!$N:$N,MATCH(RIGHT($B171,13)&amp;"|"&amp;$C171&amp;"|"&amp;$D171&amp;"|"&amp;AF$14&amp;"|"&amp;"CY2024Q3",Spectrum!$R:$R,0)),0),""))</f>
        <v/>
      </c>
      <c r="AG171" s="33" t="str">
        <f t="shared" si="40"/>
        <v/>
      </c>
      <c r="AH171" s="110" t="str">
        <f>IF(LEFT($B171,4)="_Mil","",_xlfn.IFNA(INDEX(Spectrum!$N:$N,MATCH(RIGHT($B171,13)&amp;"|"&amp;$C171&amp;"|"&amp;$D171&amp;"|"&amp;AH$14&amp;"|"&amp;"CY2024Q3",Spectrum!$R:$R,0)),""))</f>
        <v/>
      </c>
      <c r="AI171" s="218">
        <f>IF(LEFT($B171,4)="_Mil","",_xlfn.IFNA(ROUND(INDEX(Spectrum!$N:$N,MATCH(RIGHT($B171,13)&amp;"|"&amp;$C171&amp;"|"&amp;$D171&amp;"|"&amp;AI$14&amp;"|"&amp;"CY2025Q3",Spectrum!$R:$R,0)),0),""))</f>
        <v>18</v>
      </c>
      <c r="AJ171" s="38">
        <f>IF(LEFT($B171,4)="_Mil","",_xlfn.IFNA(ROUND(INDEX(Spectrum!$N:$N,MATCH(RIGHT($B171,13)&amp;"|"&amp;$C171&amp;"|"&amp;$D171&amp;"|"&amp;AJ$14&amp;"|"&amp;"CY2025Q3",Spectrum!$R:$R,0)),0),""))</f>
        <v>1052</v>
      </c>
      <c r="AK171" s="218" t="e">
        <f>#REF!</f>
        <v>#REF!</v>
      </c>
      <c r="AL171" s="33">
        <f t="shared" si="41"/>
        <v>0.9</v>
      </c>
      <c r="AM171" s="38" t="e">
        <f>IF(OR(LEFT($B171,4)="_Mil",$C171="&lt;01"),"",ROUND(SUM($AK171)*SUM($AL171),0))</f>
        <v>#REF!</v>
      </c>
      <c r="AN171" s="38" t="str">
        <f>IF($C171="&lt;01",ROUND(INDEX(EID!$P:$P,MATCH($B171,EID!$B:$B,0))/2,0),"")</f>
        <v/>
      </c>
      <c r="AO171" s="38" t="e">
        <f>IF($C171="&lt;01",SUM($AN171),ROUND(SUM($AM171)*SUM($O171)/IF(SUM($Z171)=0,1,$Z171),0))</f>
        <v>#REF!</v>
      </c>
      <c r="AP171" s="218">
        <f>IF(OR($F171="",$C171="&lt;01"),$AO171,ROUND($F171,0))</f>
        <v>870</v>
      </c>
      <c r="AQ171" s="218">
        <f>IF(LEFT($B171,4)="_Mil","",IF(SUM($AP171)=0,SUM($Z171),IF(OR(SUM($Z171)=0,SUM($O171)=0),MAX($AP171,$Z171),ROUND($AP171*$Z171/$O171,0))))</f>
        <v>826</v>
      </c>
      <c r="AR171" s="33" t="e">
        <f>IF(OR(LEFT($B171,4)="_Mil",SUM($AK171)=0),"",SUM($AQ171)/$AK171)</f>
        <v>#REF!</v>
      </c>
      <c r="AS171" s="33">
        <f t="shared" si="48"/>
        <v>0.98</v>
      </c>
      <c r="AT171" s="33">
        <f t="shared" si="49"/>
        <v>0.98</v>
      </c>
      <c r="AU171" s="38">
        <f>IF($C171="&lt;01","",SUM($AP171)-SUM($O171))</f>
        <v>0</v>
      </c>
      <c r="AV171" s="38">
        <f>IF($C171="&lt;01",ROUND(INDEX(EID!$N:$N,MATCH($B171,EID!$B:$B,0))/2,0),IF(SUM($AT171)=0,"",ROUND((SUM($AP171)-(SUM($O171)*SUM($AS171)))/$AT171,0)))</f>
        <v>18</v>
      </c>
      <c r="AW171" s="33">
        <f t="shared" si="42"/>
        <v>1</v>
      </c>
      <c r="AX171" s="218">
        <f>IF($C171="&lt;01",SUM($AV171),ROUND(SUM($AV171)*SUM($AW171),0))</f>
        <v>18</v>
      </c>
      <c r="AY171" s="79">
        <f t="shared" si="43"/>
        <v>0.7</v>
      </c>
      <c r="AZ171" s="85">
        <f>IF($C171="&lt;01",ROUND(INDEX(EID!$R:$R,MATCH($B171,EID!$B:$B,0))/2,0),ROUND(SUM($O171)+(SUM($AV171)*$AY171),0))</f>
        <v>883</v>
      </c>
      <c r="BA171" s="40">
        <f t="shared" si="47"/>
        <v>0.9</v>
      </c>
      <c r="BB171" s="99">
        <f>IF($C171="&lt;01",ROUND(INDEX(EID!$T:$T,MATCH($B171,EID!$B:$B,0))/2,0),ROUND($AP171*$BA171,0))</f>
        <v>783</v>
      </c>
      <c r="BC171" s="85">
        <f>IF(LEFT($B171,4)="_Mil","",IF(SUM($BB171)=0,SUM($AD171),IF(OR(SUM($AP171)=0,SUM($AQ171)=0),MAX($BB171,$AD171),ROUND($BB171*$AQ171/$AP171,0))))</f>
        <v>743</v>
      </c>
      <c r="BD171" s="33">
        <f t="shared" si="44"/>
        <v>0.95</v>
      </c>
      <c r="BE171" s="218">
        <f>IF($C171="&lt;01",ROUND(INDEX(EID!$V:$V,MATCH($B171,EID!$B:$B,0))/2,0),ROUND($BD171*$BB171,0))</f>
        <v>744</v>
      </c>
      <c r="BF171" s="218">
        <f>IF(LEFT($B171,4)="_Mil","",IF(SUM($BE171)=0,SUM($AF171),IF(OR(SUM($AP171)=0,SUM($AQ171)=0),MAX($BE171,$AF171),ROUND($BE171*$AQ171/$AP171,0))))</f>
        <v>706</v>
      </c>
      <c r="BG171" s="79">
        <f t="shared" si="45"/>
        <v>0.95</v>
      </c>
      <c r="BH171" s="99">
        <f>IF($C171="&lt;01",ROUND(INDEX(EID!$L:$L,MATCH($B171,EID!$B:$B,0)),0)/2,IF(SUM($BG171)=0,"",ROUND($AX171/$BG171,0)))</f>
        <v>19</v>
      </c>
    </row>
    <row r="172" spans="1:60" x14ac:dyDescent="0.2">
      <c r="A172" t="str">
        <f>INDEX(Prioritization!$D:$D,MATCH($B172,Prioritization!$A:$A,0))</f>
        <v>INVALID</v>
      </c>
      <c r="B172" t="s">
        <v>301</v>
      </c>
      <c r="C172" t="s">
        <v>473</v>
      </c>
      <c r="D172" t="s">
        <v>48</v>
      </c>
      <c r="E172" t="str">
        <f t="shared" si="35"/>
        <v>Lilongwe District [ScR9iFKAasW]|01-09|Male</v>
      </c>
      <c r="F172" s="229">
        <v>872</v>
      </c>
      <c r="G172" s="38">
        <v>197</v>
      </c>
      <c r="H172" s="38">
        <v>99</v>
      </c>
      <c r="I172" s="38">
        <v>846</v>
      </c>
      <c r="J172" s="38">
        <v>970</v>
      </c>
      <c r="K172" s="38">
        <v>785</v>
      </c>
      <c r="L172" s="38">
        <v>71</v>
      </c>
      <c r="M172" s="38">
        <v>67</v>
      </c>
      <c r="N172" s="38">
        <v>1000</v>
      </c>
      <c r="O172" s="229">
        <v>872</v>
      </c>
      <c r="P172" s="38">
        <v>870</v>
      </c>
      <c r="Q172" s="38">
        <v>828</v>
      </c>
      <c r="R172" s="38">
        <f t="shared" si="36"/>
        <v>26</v>
      </c>
      <c r="S172" s="38">
        <f>IF(LEFT($B172,4)="_Mil","",_xlfn.IFNA(ROUND(INDEX(Spectrum!$N:$N,MATCH(RIGHT($B172,13)&amp;"|"&amp;$C172&amp;"|"&amp;$D172&amp;"|"&amp;S$14&amp;"|"&amp;"CY2023Q4",Spectrum!$R:$R,0)),0),""))</f>
        <v>857</v>
      </c>
      <c r="T172" s="218">
        <f>IF(LEFT($B172,4)="_Mil","",_xlfn.IFNA(ROUND(INDEX(Spectrum!$N:$N,MATCH(RIGHT($B172,13)&amp;"|"&amp;$C172&amp;"|"&amp;$D172&amp;"|"&amp;T$14&amp;"|"&amp;"CY2024Q3",Spectrum!$R:$R,0)),0),""))</f>
        <v>380770</v>
      </c>
      <c r="U172" s="218">
        <f>IF(LEFT($B172,4)="_Mil","",_xlfn.IFNA(ROUND(INDEX(Spectrum!$N:$N,MATCH(RIGHT($B172,13)&amp;"|"&amp;$C172&amp;"|"&amp;$D172&amp;"|"&amp;U$14&amp;"|"&amp;"CY2024Q3",Spectrum!$R:$R,0)),0),""))</f>
        <v>1201</v>
      </c>
      <c r="V172" s="38">
        <f>IF(LEFT($B172,4)="_Mil","",_xlfn.IFNA(ROUND(INDEX(Spectrum!$N:$N,MATCH(RIGHT($B172,13)&amp;"|"&amp;$C172&amp;"|"&amp;$D172&amp;"|"&amp;V$14&amp;"|"&amp;"CY2024Q3",Spectrum!$R:$R,0)),0),""))</f>
        <v>1163</v>
      </c>
      <c r="W172" s="220">
        <f>IF(LEFT($B172,4)="_Mil","",_xlfn.IFNA(INDEX(Spectrum!$N:$N,MATCH(RIGHT($B172,13)&amp;"|"&amp;$C172&amp;"|"&amp;$D172&amp;"|"&amp;W$14&amp;"|"&amp;"CY2024Q3",Spectrum!$R:$R,0)),""))</f>
        <v>3.1539820000000001E-3</v>
      </c>
      <c r="X172" s="218">
        <f>IF(LEFT($B172,4)="_Mil","",_xlfn.IFNA(ROUND(INDEX(Spectrum!$N:$N,MATCH(RIGHT($B172,13)&amp;"|"&amp;$C172&amp;"|"&amp;$D172&amp;"|"&amp;X$14&amp;"|"&amp;"CY2024Q3",Spectrum!$R:$R,0)),0),""))</f>
        <v>902</v>
      </c>
      <c r="Y172" s="33">
        <f t="shared" si="37"/>
        <v>0.75</v>
      </c>
      <c r="Z172" s="218">
        <f>IF(LEFT($B172,4)="_Mil","",_xlfn.IFNA(ROUND(INDEX(Spectrum!$N:$N,MATCH(RIGHT($B172,13)&amp;"|"&amp;$C172&amp;"|"&amp;$D172&amp;"|"&amp;Z$14&amp;"|"&amp;"CY2024Q3",Spectrum!$R:$R,0)),0),""))</f>
        <v>836</v>
      </c>
      <c r="AA172" s="33">
        <f>IF(LEFT($B172,4)="_Mil","",IFERROR(1/(1/INDEX(Spectrum!$N:$N,MATCH(RIGHT($B172,13)&amp;"|"&amp;$C172&amp;"|"&amp;$D172&amp;"|"&amp;AA$14&amp;"|"&amp;"CY2024Q3",Spectrum!$R:$R,0))),IF(SUM($U172)=0,"",SUM($Z172)/$U172)))</f>
        <v>0.71829328599999998</v>
      </c>
      <c r="AB172" s="33">
        <f t="shared" si="38"/>
        <v>0.92682926829268297</v>
      </c>
      <c r="AC172" s="38">
        <f>IF(LEFT($B172,4)="_Mil","",_xlfn.IFNA(ROUND(INDEX(Spectrum!$N:$N,MATCH(RIGHT($B172,13)&amp;"|"&amp;$C172&amp;"|"&amp;$D172&amp;"|"&amp;AC$14&amp;"|"&amp;"CY2024Q3",Spectrum!$R:$R,0)),0),""))</f>
        <v>328</v>
      </c>
      <c r="AD172" s="38" t="str">
        <f>IF(LEFT($B172,4)="_Mil","",_xlfn.IFNA(ROUND(INDEX(Spectrum!$N:$N,MATCH(RIGHT($B172,13)&amp;"|"&amp;$C172&amp;"|"&amp;$D172&amp;"|"&amp;AD$14&amp;"|"&amp;"CY2024Q3",Spectrum!$R:$R,0)),0),""))</f>
        <v/>
      </c>
      <c r="AE172" s="33">
        <f t="shared" si="39"/>
        <v>0</v>
      </c>
      <c r="AF172" s="218" t="str">
        <f>IF(LEFT($B172,4)="_Mil","",_xlfn.IFNA(ROUND(INDEX(Spectrum!$N:$N,MATCH(RIGHT($B172,13)&amp;"|"&amp;$C172&amp;"|"&amp;$D172&amp;"|"&amp;AF$14&amp;"|"&amp;"CY2024Q3",Spectrum!$R:$R,0)),0),""))</f>
        <v/>
      </c>
      <c r="AG172" s="33" t="str">
        <f t="shared" si="40"/>
        <v/>
      </c>
      <c r="AH172" s="110" t="str">
        <f>IF(LEFT($B172,4)="_Mil","",_xlfn.IFNA(INDEX(Spectrum!$N:$N,MATCH(RIGHT($B172,13)&amp;"|"&amp;$C172&amp;"|"&amp;$D172&amp;"|"&amp;AH$14&amp;"|"&amp;"CY2024Q3",Spectrum!$R:$R,0)),""))</f>
        <v/>
      </c>
      <c r="AI172" s="218">
        <f>IF(LEFT($B172,4)="_Mil","",_xlfn.IFNA(ROUND(INDEX(Spectrum!$N:$N,MATCH(RIGHT($B172,13)&amp;"|"&amp;$C172&amp;"|"&amp;$D172&amp;"|"&amp;AI$14&amp;"|"&amp;"CY2025Q3",Spectrum!$R:$R,0)),0),""))</f>
        <v>18</v>
      </c>
      <c r="AJ172" s="38">
        <f>IF(LEFT($B172,4)="_Mil","",_xlfn.IFNA(ROUND(INDEX(Spectrum!$N:$N,MATCH(RIGHT($B172,13)&amp;"|"&amp;$C172&amp;"|"&amp;$D172&amp;"|"&amp;AJ$14&amp;"|"&amp;"CY2025Q3",Spectrum!$R:$R,0)),0),""))</f>
        <v>1057</v>
      </c>
      <c r="AK172" s="218" t="e">
        <f>#REF!</f>
        <v>#REF!</v>
      </c>
      <c r="AL172" s="33">
        <f t="shared" si="41"/>
        <v>0.9</v>
      </c>
      <c r="AM172" s="38" t="e">
        <f>IF(OR(LEFT($B172,4)="_Mil",$C172="&lt;01"),"",ROUND(SUM($AK172)*SUM($AL172),0))</f>
        <v>#REF!</v>
      </c>
      <c r="AN172" s="38" t="str">
        <f>IF($C172="&lt;01",ROUND(INDEX(EID!$P:$P,MATCH($B172,EID!$B:$B,0))/2,0),"")</f>
        <v/>
      </c>
      <c r="AO172" s="38" t="e">
        <f>IF($C172="&lt;01",SUM($AN172),ROUND(SUM($AM172)*SUM($O172)/IF(SUM($Z172)=0,1,$Z172),0))</f>
        <v>#REF!</v>
      </c>
      <c r="AP172" s="218">
        <f>IF(OR($F172="",$C172="&lt;01"),$AO172,ROUND($F172,0))</f>
        <v>872</v>
      </c>
      <c r="AQ172" s="218">
        <f>IF(LEFT($B172,4)="_Mil","",IF(SUM($AP172)=0,SUM($Z172),IF(OR(SUM($Z172)=0,SUM($O172)=0),MAX($AP172,$Z172),ROUND($AP172*$Z172/$O172,0))))</f>
        <v>836</v>
      </c>
      <c r="AR172" s="33" t="e">
        <f>IF(OR(LEFT($B172,4)="_Mil",SUM($AK172)=0),"",SUM($AQ172)/$AK172)</f>
        <v>#REF!</v>
      </c>
      <c r="AS172" s="33">
        <f t="shared" si="48"/>
        <v>0.98</v>
      </c>
      <c r="AT172" s="33">
        <f t="shared" si="49"/>
        <v>0.98</v>
      </c>
      <c r="AU172" s="38">
        <f>IF($C172="&lt;01","",SUM($AP172)-SUM($O172))</f>
        <v>0</v>
      </c>
      <c r="AV172" s="38">
        <f>IF($C172="&lt;01",ROUND(INDEX(EID!$N:$N,MATCH($B172,EID!$B:$B,0))/2,0),IF(SUM($AT172)=0,"",ROUND((SUM($AP172)-(SUM($O172)*SUM($AS172)))/$AT172,0)))</f>
        <v>18</v>
      </c>
      <c r="AW172" s="33">
        <f t="shared" si="42"/>
        <v>1</v>
      </c>
      <c r="AX172" s="218">
        <f>IF($C172="&lt;01",SUM($AV172),ROUND(SUM($AV172)*SUM($AW172),0))</f>
        <v>18</v>
      </c>
      <c r="AY172" s="79">
        <f t="shared" si="43"/>
        <v>0.7</v>
      </c>
      <c r="AZ172" s="85">
        <f>IF($C172="&lt;01",ROUND(INDEX(EID!$R:$R,MATCH($B172,EID!$B:$B,0))/2,0),ROUND(SUM($O172)+(SUM($AV172)*$AY172),0))</f>
        <v>885</v>
      </c>
      <c r="BA172" s="40">
        <f t="shared" si="47"/>
        <v>0.9</v>
      </c>
      <c r="BB172" s="99">
        <f>IF($C172="&lt;01",ROUND(INDEX(EID!$T:$T,MATCH($B172,EID!$B:$B,0))/2,0),ROUND($AP172*$BA172,0))</f>
        <v>785</v>
      </c>
      <c r="BC172" s="85">
        <f>IF(LEFT($B172,4)="_Mil","",IF(SUM($BB172)=0,SUM($AD172),IF(OR(SUM($AP172)=0,SUM($AQ172)=0),MAX($BB172,$AD172),ROUND($BB172*$AQ172/$AP172,0))))</f>
        <v>753</v>
      </c>
      <c r="BD172" s="33">
        <f t="shared" si="44"/>
        <v>0.95</v>
      </c>
      <c r="BE172" s="218">
        <f>IF($C172="&lt;01",ROUND(INDEX(EID!$V:$V,MATCH($B172,EID!$B:$B,0))/2,0),ROUND($BD172*$BB172,0))</f>
        <v>746</v>
      </c>
      <c r="BF172" s="218">
        <f>IF(LEFT($B172,4)="_Mil","",IF(SUM($BE172)=0,SUM($AF172),IF(OR(SUM($AP172)=0,SUM($AQ172)=0),MAX($BE172,$AF172),ROUND($BE172*$AQ172/$AP172,0))))</f>
        <v>715</v>
      </c>
      <c r="BG172" s="79">
        <f t="shared" si="45"/>
        <v>0.95</v>
      </c>
      <c r="BH172" s="99">
        <f>IF($C172="&lt;01",ROUND(INDEX(EID!$L:$L,MATCH($B172,EID!$B:$B,0)),0)/2,IF(SUM($BG172)=0,"",ROUND($AX172/$BG172,0)))</f>
        <v>19</v>
      </c>
    </row>
    <row r="173" spans="1:60" x14ac:dyDescent="0.2">
      <c r="A173" t="str">
        <f>INDEX(Prioritization!$D:$D,MATCH($B173,Prioritization!$A:$A,0))</f>
        <v>INVALID</v>
      </c>
      <c r="B173" t="s">
        <v>301</v>
      </c>
      <c r="C173" t="s">
        <v>474</v>
      </c>
      <c r="D173" t="s">
        <v>30</v>
      </c>
      <c r="E173" t="str">
        <f t="shared" si="35"/>
        <v>Lilongwe District [ScR9iFKAasW]|10-14|Female</v>
      </c>
      <c r="F173" s="229">
        <v>1047</v>
      </c>
      <c r="G173" s="38">
        <v>109</v>
      </c>
      <c r="H173" s="38">
        <v>48</v>
      </c>
      <c r="I173" s="38">
        <v>1047</v>
      </c>
      <c r="J173" s="38">
        <v>1192</v>
      </c>
      <c r="K173" s="38">
        <v>989</v>
      </c>
      <c r="L173" s="38">
        <v>154</v>
      </c>
      <c r="M173" s="38">
        <v>147</v>
      </c>
      <c r="N173" s="38">
        <v>1133</v>
      </c>
      <c r="O173" s="229">
        <v>1047</v>
      </c>
      <c r="P173" s="38">
        <v>953</v>
      </c>
      <c r="Q173" s="38">
        <v>905</v>
      </c>
      <c r="R173" s="38">
        <f t="shared" si="36"/>
        <v>0</v>
      </c>
      <c r="S173" s="38">
        <f>IF(LEFT($B173,4)="_Mil","",_xlfn.IFNA(ROUND(INDEX(Spectrum!$N:$N,MATCH(RIGHT($B173,13)&amp;"|"&amp;$C173&amp;"|"&amp;$D173&amp;"|"&amp;S$14&amp;"|"&amp;"CY2023Q4",Spectrum!$R:$R,0)),0),""))</f>
        <v>1041</v>
      </c>
      <c r="T173" s="218">
        <f>IF(LEFT($B173,4)="_Mil","",_xlfn.IFNA(ROUND(INDEX(Spectrum!$N:$N,MATCH(RIGHT($B173,13)&amp;"|"&amp;$C173&amp;"|"&amp;$D173&amp;"|"&amp;T$14&amp;"|"&amp;"CY2024Q3",Spectrum!$R:$R,0)),0),""))</f>
        <v>206463</v>
      </c>
      <c r="U173" s="218">
        <f>IF(LEFT($B173,4)="_Mil","",_xlfn.IFNA(ROUND(INDEX(Spectrum!$N:$N,MATCH(RIGHT($B173,13)&amp;"|"&amp;$C173&amp;"|"&amp;$D173&amp;"|"&amp;U$14&amp;"|"&amp;"CY2024Q3",Spectrum!$R:$R,0)),0),""))</f>
        <v>1416</v>
      </c>
      <c r="V173" s="38">
        <f>IF(LEFT($B173,4)="_Mil","",_xlfn.IFNA(ROUND(INDEX(Spectrum!$N:$N,MATCH(RIGHT($B173,13)&amp;"|"&amp;$C173&amp;"|"&amp;$D173&amp;"|"&amp;V$14&amp;"|"&amp;"CY2024Q3",Spectrum!$R:$R,0)),0),""))</f>
        <v>1370</v>
      </c>
      <c r="W173" s="220">
        <f>IF(LEFT($B173,4)="_Mil","",_xlfn.IFNA(INDEX(Spectrum!$N:$N,MATCH(RIGHT($B173,13)&amp;"|"&amp;$C173&amp;"|"&amp;$D173&amp;"|"&amp;W$14&amp;"|"&amp;"CY2024Q3",Spectrum!$R:$R,0)),""))</f>
        <v>6.8606370000000002E-3</v>
      </c>
      <c r="X173" s="218">
        <f>IF(LEFT($B173,4)="_Mil","",_xlfn.IFNA(ROUND(INDEX(Spectrum!$N:$N,MATCH(RIGHT($B173,13)&amp;"|"&amp;$C173&amp;"|"&amp;$D173&amp;"|"&amp;X$14&amp;"|"&amp;"CY2024Q3",Spectrum!$R:$R,0)),0),""))</f>
        <v>1119</v>
      </c>
      <c r="Y173" s="33">
        <f t="shared" si="37"/>
        <v>0.79</v>
      </c>
      <c r="Z173" s="218">
        <f>IF(LEFT($B173,4)="_Mil","",_xlfn.IFNA(ROUND(INDEX(Spectrum!$N:$N,MATCH(RIGHT($B173,13)&amp;"|"&amp;$C173&amp;"|"&amp;$D173&amp;"|"&amp;Z$14&amp;"|"&amp;"CY2024Q3",Spectrum!$R:$R,0)),0),""))</f>
        <v>1026</v>
      </c>
      <c r="AA173" s="33">
        <f>IF(LEFT($B173,4)="_Mil","",IFERROR(1/(1/INDEX(Spectrum!$N:$N,MATCH(RIGHT($B173,13)&amp;"|"&amp;$C173&amp;"|"&amp;$D173&amp;"|"&amp;AA$14&amp;"|"&amp;"CY2024Q3",Spectrum!$R:$R,0))),IF(SUM($U173)=0,"",SUM($Z173)/$U173)))</f>
        <v>0.75542786299999998</v>
      </c>
      <c r="AB173" s="33">
        <f t="shared" si="38"/>
        <v>0.91689008042895437</v>
      </c>
      <c r="AC173" s="38">
        <f>IF(LEFT($B173,4)="_Mil","",_xlfn.IFNA(ROUND(INDEX(Spectrum!$N:$N,MATCH(RIGHT($B173,13)&amp;"|"&amp;$C173&amp;"|"&amp;$D173&amp;"|"&amp;AC$14&amp;"|"&amp;"CY2024Q3",Spectrum!$R:$R,0)),0),""))</f>
        <v>344</v>
      </c>
      <c r="AD173" s="38" t="str">
        <f>IF(LEFT($B173,4)="_Mil","",_xlfn.IFNA(ROUND(INDEX(Spectrum!$N:$N,MATCH(RIGHT($B173,13)&amp;"|"&amp;$C173&amp;"|"&amp;$D173&amp;"|"&amp;AD$14&amp;"|"&amp;"CY2024Q3",Spectrum!$R:$R,0)),0),""))</f>
        <v/>
      </c>
      <c r="AE173" s="33">
        <f t="shared" si="39"/>
        <v>0</v>
      </c>
      <c r="AF173" s="218" t="str">
        <f>IF(LEFT($B173,4)="_Mil","",_xlfn.IFNA(ROUND(INDEX(Spectrum!$N:$N,MATCH(RIGHT($B173,13)&amp;"|"&amp;$C173&amp;"|"&amp;$D173&amp;"|"&amp;AF$14&amp;"|"&amp;"CY2024Q3",Spectrum!$R:$R,0)),0),""))</f>
        <v/>
      </c>
      <c r="AG173" s="33" t="str">
        <f t="shared" si="40"/>
        <v/>
      </c>
      <c r="AH173" s="110" t="str">
        <f>IF(LEFT($B173,4)="_Mil","",_xlfn.IFNA(INDEX(Spectrum!$N:$N,MATCH(RIGHT($B173,13)&amp;"|"&amp;$C173&amp;"|"&amp;$D173&amp;"|"&amp;AH$14&amp;"|"&amp;"CY2024Q3",Spectrum!$R:$R,0)),""))</f>
        <v/>
      </c>
      <c r="AI173" s="218">
        <f>IF(LEFT($B173,4)="_Mil","",_xlfn.IFNA(ROUND(INDEX(Spectrum!$N:$N,MATCH(RIGHT($B173,13)&amp;"|"&amp;$C173&amp;"|"&amp;$D173&amp;"|"&amp;AI$14&amp;"|"&amp;"CY2025Q3",Spectrum!$R:$R,0)),0),""))</f>
        <v>0</v>
      </c>
      <c r="AJ173" s="38">
        <f>IF(LEFT($B173,4)="_Mil","",_xlfn.IFNA(ROUND(INDEX(Spectrum!$N:$N,MATCH(RIGHT($B173,13)&amp;"|"&amp;$C173&amp;"|"&amp;$D173&amp;"|"&amp;AJ$14&amp;"|"&amp;"CY2025Q3",Spectrum!$R:$R,0)),0),""))</f>
        <v>1275</v>
      </c>
      <c r="AK173" s="218" t="e">
        <f>#REF!</f>
        <v>#REF!</v>
      </c>
      <c r="AL173" s="33">
        <f t="shared" si="41"/>
        <v>0.9</v>
      </c>
      <c r="AM173" s="38" t="e">
        <f>IF(OR(LEFT($B173,4)="_Mil",$C173="&lt;01"),"",ROUND(SUM($AK173)*SUM($AL173),0))</f>
        <v>#REF!</v>
      </c>
      <c r="AN173" s="38" t="str">
        <f>IF($C173="&lt;01",ROUND(INDEX(EID!$P:$P,MATCH($B173,EID!$B:$B,0))/2,0),"")</f>
        <v/>
      </c>
      <c r="AO173" s="38" t="e">
        <f>IF($C173="&lt;01",SUM($AN173),ROUND(SUM($AM173)*SUM($O173)/IF(SUM($Z173)=0,1,$Z173),0))</f>
        <v>#REF!</v>
      </c>
      <c r="AP173" s="218">
        <f>IF(OR($F173="",$C173="&lt;01"),$AO173,ROUND($F173,0))</f>
        <v>1047</v>
      </c>
      <c r="AQ173" s="218">
        <f>IF(LEFT($B173,4)="_Mil","",IF(SUM($AP173)=0,SUM($Z173),IF(OR(SUM($Z173)=0,SUM($O173)=0),MAX($AP173,$Z173),ROUND($AP173*$Z173/$O173,0))))</f>
        <v>1026</v>
      </c>
      <c r="AR173" s="33" t="e">
        <f>IF(OR(LEFT($B173,4)="_Mil",SUM($AK173)=0),"",SUM($AQ173)/$AK173)</f>
        <v>#REF!</v>
      </c>
      <c r="AS173" s="33">
        <f t="shared" si="48"/>
        <v>0.98</v>
      </c>
      <c r="AT173" s="33">
        <f t="shared" si="49"/>
        <v>0.98</v>
      </c>
      <c r="AU173" s="38">
        <f>IF($C173="&lt;01","",SUM($AP173)-SUM($O173))</f>
        <v>0</v>
      </c>
      <c r="AV173" s="38">
        <f>IF($C173="&lt;01",ROUND(INDEX(EID!$N:$N,MATCH($B173,EID!$B:$B,0))/2,0),IF(SUM($AT173)=0,"",ROUND((SUM($AP173)-(SUM($O173)*SUM($AS173)))/$AT173,0)))</f>
        <v>21</v>
      </c>
      <c r="AW173" s="33">
        <f t="shared" si="42"/>
        <v>1</v>
      </c>
      <c r="AX173" s="218">
        <f>IF($C173="&lt;01",SUM($AV173),ROUND(SUM($AV173)*SUM($AW173),0))</f>
        <v>21</v>
      </c>
      <c r="AY173" s="79">
        <f t="shared" si="43"/>
        <v>0.7</v>
      </c>
      <c r="AZ173" s="85">
        <f>IF($C173="&lt;01",ROUND(INDEX(EID!$R:$R,MATCH($B173,EID!$B:$B,0))/2,0),ROUND(SUM($O173)+(SUM($AV173)*$AY173),0))</f>
        <v>1062</v>
      </c>
      <c r="BA173" s="40">
        <f t="shared" si="47"/>
        <v>0.9</v>
      </c>
      <c r="BB173" s="99">
        <f>IF($C173="&lt;01",ROUND(INDEX(EID!$T:$T,MATCH($B173,EID!$B:$B,0))/2,0),ROUND($AP173*$BA173,0))</f>
        <v>942</v>
      </c>
      <c r="BC173" s="85">
        <f>IF(LEFT($B173,4)="_Mil","",IF(SUM($BB173)=0,SUM($AD173),IF(OR(SUM($AP173)=0,SUM($AQ173)=0),MAX($BB173,$AD173),ROUND($BB173*$AQ173/$AP173,0))))</f>
        <v>923</v>
      </c>
      <c r="BD173" s="33">
        <f t="shared" si="44"/>
        <v>0.95</v>
      </c>
      <c r="BE173" s="218">
        <f>IF($C173="&lt;01",ROUND(INDEX(EID!$V:$V,MATCH($B173,EID!$B:$B,0))/2,0),ROUND($BD173*$BB173,0))</f>
        <v>895</v>
      </c>
      <c r="BF173" s="218">
        <f>IF(LEFT($B173,4)="_Mil","",IF(SUM($BE173)=0,SUM($AF173),IF(OR(SUM($AP173)=0,SUM($AQ173)=0),MAX($BE173,$AF173),ROUND($BE173*$AQ173/$AP173,0))))</f>
        <v>877</v>
      </c>
      <c r="BG173" s="79">
        <f t="shared" si="45"/>
        <v>0.95</v>
      </c>
      <c r="BH173" s="99">
        <f>IF($C173="&lt;01",ROUND(INDEX(EID!$L:$L,MATCH($B173,EID!$B:$B,0)),0)/2,IF(SUM($BG173)=0,"",ROUND($AX173/$BG173,0)))</f>
        <v>22</v>
      </c>
    </row>
    <row r="174" spans="1:60" x14ac:dyDescent="0.2">
      <c r="A174" t="str">
        <f>INDEX(Prioritization!$D:$D,MATCH($B174,Prioritization!$A:$A,0))</f>
        <v>INVALID</v>
      </c>
      <c r="B174" t="s">
        <v>301</v>
      </c>
      <c r="C174" t="s">
        <v>474</v>
      </c>
      <c r="D174" t="s">
        <v>48</v>
      </c>
      <c r="E174" t="str">
        <f t="shared" si="35"/>
        <v>Lilongwe District [ScR9iFKAasW]|10-14|Male</v>
      </c>
      <c r="F174" s="229">
        <v>1000</v>
      </c>
      <c r="G174" s="38">
        <v>70</v>
      </c>
      <c r="H174" s="38">
        <v>27</v>
      </c>
      <c r="I174" s="38">
        <v>1000</v>
      </c>
      <c r="J174" s="38">
        <v>1012</v>
      </c>
      <c r="K174" s="38">
        <v>808</v>
      </c>
      <c r="L174" s="38">
        <v>160</v>
      </c>
      <c r="M174" s="38">
        <v>153</v>
      </c>
      <c r="N174" s="38">
        <v>1126</v>
      </c>
      <c r="O174" s="229">
        <v>1000</v>
      </c>
      <c r="P174" s="38">
        <v>941</v>
      </c>
      <c r="Q174" s="38">
        <v>895</v>
      </c>
      <c r="R174" s="38">
        <f t="shared" si="36"/>
        <v>0</v>
      </c>
      <c r="S174" s="38">
        <f>IF(LEFT($B174,4)="_Mil","",_xlfn.IFNA(ROUND(INDEX(Spectrum!$N:$N,MATCH(RIGHT($B174,13)&amp;"|"&amp;$C174&amp;"|"&amp;$D174&amp;"|"&amp;S$14&amp;"|"&amp;"CY2023Q4",Spectrum!$R:$R,0)),0),""))</f>
        <v>1015</v>
      </c>
      <c r="T174" s="218">
        <f>IF(LEFT($B174,4)="_Mil","",_xlfn.IFNA(ROUND(INDEX(Spectrum!$N:$N,MATCH(RIGHT($B174,13)&amp;"|"&amp;$C174&amp;"|"&amp;$D174&amp;"|"&amp;T$14&amp;"|"&amp;"CY2024Q3",Spectrum!$R:$R,0)),0),""))</f>
        <v>199154</v>
      </c>
      <c r="U174" s="218">
        <f>IF(LEFT($B174,4)="_Mil","",_xlfn.IFNA(ROUND(INDEX(Spectrum!$N:$N,MATCH(RIGHT($B174,13)&amp;"|"&amp;$C174&amp;"|"&amp;$D174&amp;"|"&amp;U$14&amp;"|"&amp;"CY2024Q3",Spectrum!$R:$R,0)),0),""))</f>
        <v>1376</v>
      </c>
      <c r="V174" s="38">
        <f>IF(LEFT($B174,4)="_Mil","",_xlfn.IFNA(ROUND(INDEX(Spectrum!$N:$N,MATCH(RIGHT($B174,13)&amp;"|"&amp;$C174&amp;"|"&amp;$D174&amp;"|"&amp;V$14&amp;"|"&amp;"CY2024Q3",Spectrum!$R:$R,0)),0),""))</f>
        <v>1330</v>
      </c>
      <c r="W174" s="220">
        <f>IF(LEFT($B174,4)="_Mil","",_xlfn.IFNA(INDEX(Spectrum!$N:$N,MATCH(RIGHT($B174,13)&amp;"|"&amp;$C174&amp;"|"&amp;$D174&amp;"|"&amp;W$14&amp;"|"&amp;"CY2024Q3",Spectrum!$R:$R,0)),""))</f>
        <v>6.9095729999999996E-3</v>
      </c>
      <c r="X174" s="218">
        <f>IF(LEFT($B174,4)="_Mil","",_xlfn.IFNA(ROUND(INDEX(Spectrum!$N:$N,MATCH(RIGHT($B174,13)&amp;"|"&amp;$C174&amp;"|"&amp;$D174&amp;"|"&amp;X$14&amp;"|"&amp;"CY2024Q3",Spectrum!$R:$R,0)),0),""))</f>
        <v>1088</v>
      </c>
      <c r="Y174" s="33">
        <f t="shared" si="37"/>
        <v>0.79</v>
      </c>
      <c r="Z174" s="218">
        <f>IF(LEFT($B174,4)="_Mil","",_xlfn.IFNA(ROUND(INDEX(Spectrum!$N:$N,MATCH(RIGHT($B174,13)&amp;"|"&amp;$C174&amp;"|"&amp;$D174&amp;"|"&amp;Z$14&amp;"|"&amp;"CY2024Q3",Spectrum!$R:$R,0)),0),""))</f>
        <v>1004</v>
      </c>
      <c r="AA174" s="33">
        <f>IF(LEFT($B174,4)="_Mil","",IFERROR(1/(1/INDEX(Spectrum!$N:$N,MATCH(RIGHT($B174,13)&amp;"|"&amp;$C174&amp;"|"&amp;$D174&amp;"|"&amp;AA$14&amp;"|"&amp;"CY2024Q3",Spectrum!$R:$R,0))),IF(SUM($U174)=0,"",SUM($Z174)/$U174)))</f>
        <v>0.75596696299999988</v>
      </c>
      <c r="AB174" s="33">
        <f t="shared" si="38"/>
        <v>0.92279411764705888</v>
      </c>
      <c r="AC174" s="38">
        <f>IF(LEFT($B174,4)="_Mil","",_xlfn.IFNA(ROUND(INDEX(Spectrum!$N:$N,MATCH(RIGHT($B174,13)&amp;"|"&amp;$C174&amp;"|"&amp;$D174&amp;"|"&amp;AC$14&amp;"|"&amp;"CY2024Q3",Spectrum!$R:$R,0)),0),""))</f>
        <v>327</v>
      </c>
      <c r="AD174" s="38" t="str">
        <f>IF(LEFT($B174,4)="_Mil","",_xlfn.IFNA(ROUND(INDEX(Spectrum!$N:$N,MATCH(RIGHT($B174,13)&amp;"|"&amp;$C174&amp;"|"&amp;$D174&amp;"|"&amp;AD$14&amp;"|"&amp;"CY2024Q3",Spectrum!$R:$R,0)),0),""))</f>
        <v/>
      </c>
      <c r="AE174" s="33">
        <f t="shared" si="39"/>
        <v>0</v>
      </c>
      <c r="AF174" s="218" t="str">
        <f>IF(LEFT($B174,4)="_Mil","",_xlfn.IFNA(ROUND(INDEX(Spectrum!$N:$N,MATCH(RIGHT($B174,13)&amp;"|"&amp;$C174&amp;"|"&amp;$D174&amp;"|"&amp;AF$14&amp;"|"&amp;"CY2024Q3",Spectrum!$R:$R,0)),0),""))</f>
        <v/>
      </c>
      <c r="AG174" s="33" t="str">
        <f t="shared" si="40"/>
        <v/>
      </c>
      <c r="AH174" s="110" t="str">
        <f>IF(LEFT($B174,4)="_Mil","",_xlfn.IFNA(INDEX(Spectrum!$N:$N,MATCH(RIGHT($B174,13)&amp;"|"&amp;$C174&amp;"|"&amp;$D174&amp;"|"&amp;AH$14&amp;"|"&amp;"CY2024Q3",Spectrum!$R:$R,0)),""))</f>
        <v/>
      </c>
      <c r="AI174" s="218">
        <f>IF(LEFT($B174,4)="_Mil","",_xlfn.IFNA(ROUND(INDEX(Spectrum!$N:$N,MATCH(RIGHT($B174,13)&amp;"|"&amp;$C174&amp;"|"&amp;$D174&amp;"|"&amp;AI$14&amp;"|"&amp;"CY2025Q3",Spectrum!$R:$R,0)),0),""))</f>
        <v>0</v>
      </c>
      <c r="AJ174" s="38">
        <f>IF(LEFT($B174,4)="_Mil","",_xlfn.IFNA(ROUND(INDEX(Spectrum!$N:$N,MATCH(RIGHT($B174,13)&amp;"|"&amp;$C174&amp;"|"&amp;$D174&amp;"|"&amp;AJ$14&amp;"|"&amp;"CY2025Q3",Spectrum!$R:$R,0)),0),""))</f>
        <v>1245</v>
      </c>
      <c r="AK174" s="218" t="e">
        <f>#REF!</f>
        <v>#REF!</v>
      </c>
      <c r="AL174" s="33">
        <f t="shared" si="41"/>
        <v>0.9</v>
      </c>
      <c r="AM174" s="38" t="e">
        <f>IF(OR(LEFT($B174,4)="_Mil",$C174="&lt;01"),"",ROUND(SUM($AK174)*SUM($AL174),0))</f>
        <v>#REF!</v>
      </c>
      <c r="AN174" s="38" t="str">
        <f>IF($C174="&lt;01",ROUND(INDEX(EID!$P:$P,MATCH($B174,EID!$B:$B,0))/2,0),"")</f>
        <v/>
      </c>
      <c r="AO174" s="38" t="e">
        <f>IF($C174="&lt;01",SUM($AN174),ROUND(SUM($AM174)*SUM($O174)/IF(SUM($Z174)=0,1,$Z174),0))</f>
        <v>#REF!</v>
      </c>
      <c r="AP174" s="218">
        <f>IF(OR($F174="",$C174="&lt;01"),$AO174,ROUND($F174,0))</f>
        <v>1000</v>
      </c>
      <c r="AQ174" s="218">
        <f>IF(LEFT($B174,4)="_Mil","",IF(SUM($AP174)=0,SUM($Z174),IF(OR(SUM($Z174)=0,SUM($O174)=0),MAX($AP174,$Z174),ROUND($AP174*$Z174/$O174,0))))</f>
        <v>1004</v>
      </c>
      <c r="AR174" s="33" t="e">
        <f>IF(OR(LEFT($B174,4)="_Mil",SUM($AK174)=0),"",SUM($AQ174)/$AK174)</f>
        <v>#REF!</v>
      </c>
      <c r="AS174" s="33">
        <f t="shared" si="48"/>
        <v>0.98</v>
      </c>
      <c r="AT174" s="33">
        <f t="shared" si="49"/>
        <v>0.98</v>
      </c>
      <c r="AU174" s="38">
        <f>IF($C174="&lt;01","",SUM($AP174)-SUM($O174))</f>
        <v>0</v>
      </c>
      <c r="AV174" s="38">
        <f>IF($C174="&lt;01",ROUND(INDEX(EID!$N:$N,MATCH($B174,EID!$B:$B,0))/2,0),IF(SUM($AT174)=0,"",ROUND((SUM($AP174)-(SUM($O174)*SUM($AS174)))/$AT174,0)))</f>
        <v>20</v>
      </c>
      <c r="AW174" s="33">
        <f t="shared" si="42"/>
        <v>1</v>
      </c>
      <c r="AX174" s="218">
        <f>IF($C174="&lt;01",SUM($AV174),ROUND(SUM($AV174)*SUM($AW174),0))</f>
        <v>20</v>
      </c>
      <c r="AY174" s="79">
        <f t="shared" si="43"/>
        <v>0.7</v>
      </c>
      <c r="AZ174" s="85">
        <f>IF($C174="&lt;01",ROUND(INDEX(EID!$R:$R,MATCH($B174,EID!$B:$B,0))/2,0),ROUND(SUM($O174)+(SUM($AV174)*$AY174),0))</f>
        <v>1014</v>
      </c>
      <c r="BA174" s="40">
        <f t="shared" si="47"/>
        <v>0.9</v>
      </c>
      <c r="BB174" s="99">
        <f>IF($C174="&lt;01",ROUND(INDEX(EID!$T:$T,MATCH($B174,EID!$B:$B,0))/2,0),ROUND($AP174*$BA174,0))</f>
        <v>900</v>
      </c>
      <c r="BC174" s="85">
        <f>IF(LEFT($B174,4)="_Mil","",IF(SUM($BB174)=0,SUM($AD174),IF(OR(SUM($AP174)=0,SUM($AQ174)=0),MAX($BB174,$AD174),ROUND($BB174*$AQ174/$AP174,0))))</f>
        <v>904</v>
      </c>
      <c r="BD174" s="33">
        <f t="shared" si="44"/>
        <v>0.95</v>
      </c>
      <c r="BE174" s="218">
        <f>IF($C174="&lt;01",ROUND(INDEX(EID!$V:$V,MATCH($B174,EID!$B:$B,0))/2,0),ROUND($BD174*$BB174,0))</f>
        <v>855</v>
      </c>
      <c r="BF174" s="218">
        <f>IF(LEFT($B174,4)="_Mil","",IF(SUM($BE174)=0,SUM($AF174),IF(OR(SUM($AP174)=0,SUM($AQ174)=0),MAX($BE174,$AF174),ROUND($BE174*$AQ174/$AP174,0))))</f>
        <v>858</v>
      </c>
      <c r="BG174" s="79">
        <f t="shared" si="45"/>
        <v>0.95</v>
      </c>
      <c r="BH174" s="99">
        <f>IF($C174="&lt;01",ROUND(INDEX(EID!$L:$L,MATCH($B174,EID!$B:$B,0)),0)/2,IF(SUM($BG174)=0,"",ROUND($AX174/$BG174,0)))</f>
        <v>21</v>
      </c>
    </row>
    <row r="175" spans="1:60" x14ac:dyDescent="0.2">
      <c r="A175" t="str">
        <f>INDEX(Prioritization!$D:$D,MATCH($B175,Prioritization!$A:$A,0))</f>
        <v>INVALID</v>
      </c>
      <c r="B175" t="s">
        <v>301</v>
      </c>
      <c r="C175" t="s">
        <v>475</v>
      </c>
      <c r="D175" t="s">
        <v>30</v>
      </c>
      <c r="E175" t="str">
        <f t="shared" si="35"/>
        <v>Lilongwe District [ScR9iFKAasW]|15-24|Female</v>
      </c>
      <c r="F175" s="229">
        <v>5267</v>
      </c>
      <c r="G175" s="38">
        <v>1750</v>
      </c>
      <c r="H175" s="38">
        <v>1557</v>
      </c>
      <c r="I175" s="38">
        <v>5329</v>
      </c>
      <c r="J175" s="38">
        <v>4448</v>
      </c>
      <c r="K175" s="38">
        <v>3869</v>
      </c>
      <c r="L175" s="38">
        <v>459</v>
      </c>
      <c r="M175" s="38">
        <v>450</v>
      </c>
      <c r="N175" s="38">
        <v>5228</v>
      </c>
      <c r="O175" s="229">
        <v>5329</v>
      </c>
      <c r="P175" s="38">
        <v>4789</v>
      </c>
      <c r="Q175" s="38">
        <v>4551</v>
      </c>
      <c r="R175" s="38">
        <f t="shared" si="36"/>
        <v>0</v>
      </c>
      <c r="S175" s="38">
        <f>IF(LEFT($B175,4)="_Mil","",_xlfn.IFNA(ROUND(INDEX(Spectrum!$N:$N,MATCH(RIGHT($B175,13)&amp;"|"&amp;$C175&amp;"|"&amp;$D175&amp;"|"&amp;S$14&amp;"|"&amp;"CY2023Q4",Spectrum!$R:$R,0)),0),""))</f>
        <v>5298</v>
      </c>
      <c r="T175" s="218">
        <f>IF(LEFT($B175,4)="_Mil","",_xlfn.IFNA(ROUND(INDEX(Spectrum!$N:$N,MATCH(RIGHT($B175,13)&amp;"|"&amp;$C175&amp;"|"&amp;$D175&amp;"|"&amp;T$14&amp;"|"&amp;"CY2024Q3",Spectrum!$R:$R,0)),0),""))</f>
        <v>369366</v>
      </c>
      <c r="U175" s="218">
        <f>IF(LEFT($B175,4)="_Mil","",_xlfn.IFNA(ROUND(INDEX(Spectrum!$N:$N,MATCH(RIGHT($B175,13)&amp;"|"&amp;$C175&amp;"|"&amp;$D175&amp;"|"&amp;U$14&amp;"|"&amp;"CY2024Q3",Spectrum!$R:$R,0)),0),""))</f>
        <v>5621</v>
      </c>
      <c r="V175" s="38">
        <f>IF(LEFT($B175,4)="_Mil","",_xlfn.IFNA(ROUND(INDEX(Spectrum!$N:$N,MATCH(RIGHT($B175,13)&amp;"|"&amp;$C175&amp;"|"&amp;$D175&amp;"|"&amp;V$14&amp;"|"&amp;"CY2024Q3",Spectrum!$R:$R,0)),0),""))</f>
        <v>5461</v>
      </c>
      <c r="W175" s="220">
        <f>IF(LEFT($B175,4)="_Mil","",_xlfn.IFNA(INDEX(Spectrum!$N:$N,MATCH(RIGHT($B175,13)&amp;"|"&amp;$C175&amp;"|"&amp;$D175&amp;"|"&amp;W$14&amp;"|"&amp;"CY2024Q3",Spectrum!$R:$R,0)),""))</f>
        <v>1.5218716E-2</v>
      </c>
      <c r="X175" s="218">
        <f>IF(LEFT($B175,4)="_Mil","",_xlfn.IFNA(ROUND(INDEX(Spectrum!$N:$N,MATCH(RIGHT($B175,13)&amp;"|"&amp;$C175&amp;"|"&amp;$D175&amp;"|"&amp;X$14&amp;"|"&amp;"CY2024Q3",Spectrum!$R:$R,0)),0),""))</f>
        <v>5313</v>
      </c>
      <c r="Y175" s="33">
        <f t="shared" si="37"/>
        <v>0.95</v>
      </c>
      <c r="Z175" s="218">
        <f>IF(LEFT($B175,4)="_Mil","",_xlfn.IFNA(ROUND(INDEX(Spectrum!$N:$N,MATCH(RIGHT($B175,13)&amp;"|"&amp;$C175&amp;"|"&amp;$D175&amp;"|"&amp;Z$14&amp;"|"&amp;"CY2024Q3",Spectrum!$R:$R,0)),0),""))</f>
        <v>5158</v>
      </c>
      <c r="AA175" s="33">
        <f>IF(LEFT($B175,4)="_Mil","",IFERROR(1/(1/INDEX(Spectrum!$N:$N,MATCH(RIGHT($B175,13)&amp;"|"&amp;$C175&amp;"|"&amp;$D175&amp;"|"&amp;AA$14&amp;"|"&amp;"CY2024Q3",Spectrum!$R:$R,0))),IF(SUM($U175)=0,"",SUM($Z175)/$U175)))</f>
        <v>0.94513043899999993</v>
      </c>
      <c r="AB175" s="33">
        <f t="shared" si="38"/>
        <v>0.97082627517410125</v>
      </c>
      <c r="AC175" s="38">
        <f>IF(LEFT($B175,4)="_Mil","",_xlfn.IFNA(ROUND(INDEX(Spectrum!$N:$N,MATCH(RIGHT($B175,13)&amp;"|"&amp;$C175&amp;"|"&amp;$D175&amp;"|"&amp;AC$14&amp;"|"&amp;"CY2024Q3",Spectrum!$R:$R,0)),0),""))</f>
        <v>303</v>
      </c>
      <c r="AD175" s="38" t="str">
        <f>IF(LEFT($B175,4)="_Mil","",_xlfn.IFNA(ROUND(INDEX(Spectrum!$N:$N,MATCH(RIGHT($B175,13)&amp;"|"&amp;$C175&amp;"|"&amp;$D175&amp;"|"&amp;AD$14&amp;"|"&amp;"CY2024Q3",Spectrum!$R:$R,0)),0),""))</f>
        <v/>
      </c>
      <c r="AE175" s="33">
        <f t="shared" si="39"/>
        <v>0</v>
      </c>
      <c r="AF175" s="218" t="str">
        <f>IF(LEFT($B175,4)="_Mil","",_xlfn.IFNA(ROUND(INDEX(Spectrum!$N:$N,MATCH(RIGHT($B175,13)&amp;"|"&amp;$C175&amp;"|"&amp;$D175&amp;"|"&amp;AF$14&amp;"|"&amp;"CY2024Q3",Spectrum!$R:$R,0)),0),""))</f>
        <v/>
      </c>
      <c r="AG175" s="33" t="str">
        <f t="shared" si="40"/>
        <v/>
      </c>
      <c r="AH175" s="110" t="str">
        <f>IF(LEFT($B175,4)="_Mil","",_xlfn.IFNA(INDEX(Spectrum!$N:$N,MATCH(RIGHT($B175,13)&amp;"|"&amp;$C175&amp;"|"&amp;$D175&amp;"|"&amp;AH$14&amp;"|"&amp;"CY2024Q3",Spectrum!$R:$R,0)),""))</f>
        <v/>
      </c>
      <c r="AI175" s="218">
        <f>IF(LEFT($B175,4)="_Mil","",_xlfn.IFNA(ROUND(INDEX(Spectrum!$N:$N,MATCH(RIGHT($B175,13)&amp;"|"&amp;$C175&amp;"|"&amp;$D175&amp;"|"&amp;AI$14&amp;"|"&amp;"CY2025Q3",Spectrum!$R:$R,0)),0),""))</f>
        <v>369</v>
      </c>
      <c r="AJ175" s="38">
        <f>IF(LEFT($B175,4)="_Mil","",_xlfn.IFNA(ROUND(INDEX(Spectrum!$N:$N,MATCH(RIGHT($B175,13)&amp;"|"&amp;$C175&amp;"|"&amp;$D175&amp;"|"&amp;AJ$14&amp;"|"&amp;"CY2025Q3",Spectrum!$R:$R,0)),0),""))</f>
        <v>5423</v>
      </c>
      <c r="AK175" s="218" t="e">
        <f>#REF!</f>
        <v>#REF!</v>
      </c>
      <c r="AL175" s="33">
        <f t="shared" si="41"/>
        <v>0.94513043899999993</v>
      </c>
      <c r="AM175" s="38" t="e">
        <f>IF(OR(LEFT($B175,4)="_Mil",$C175="&lt;01"),"",ROUND(SUM($AK175)*SUM($AL175),0))</f>
        <v>#REF!</v>
      </c>
      <c r="AN175" s="38" t="str">
        <f>IF($C175="&lt;01",ROUND(INDEX(EID!$P:$P,MATCH($B175,EID!$B:$B,0))/2,0),"")</f>
        <v/>
      </c>
      <c r="AO175" s="38" t="e">
        <f>IF($C175="&lt;01",SUM($AN175),ROUND(SUM($AM175)*SUM($O175)/IF(SUM($Z175)=0,1,$Z175),0))</f>
        <v>#REF!</v>
      </c>
      <c r="AP175" s="218">
        <f>IF(OR($F175="",$C175="&lt;01"),$AO175,ROUND($F175,0))</f>
        <v>5267</v>
      </c>
      <c r="AQ175" s="218">
        <f>IF(LEFT($B175,4)="_Mil","",IF(SUM($AP175)=0,SUM($Z175),IF(OR(SUM($Z175)=0,SUM($O175)=0),MAX($AP175,$Z175),ROUND($AP175*$Z175/$O175,0))))</f>
        <v>5098</v>
      </c>
      <c r="AR175" s="33" t="e">
        <f>IF(OR(LEFT($B175,4)="_Mil",SUM($AK175)=0),"",SUM($AQ175)/$AK175)</f>
        <v>#REF!</v>
      </c>
      <c r="AS175" s="33">
        <f>IF($C175="&lt;01","",80%)</f>
        <v>0.8</v>
      </c>
      <c r="AT175" s="33">
        <f>IF($C175="&lt;01","",90%)</f>
        <v>0.9</v>
      </c>
      <c r="AU175" s="38">
        <f>IF($C175="&lt;01","",SUM($AP175)-SUM($O175))</f>
        <v>-62</v>
      </c>
      <c r="AV175" s="38">
        <f>IF($C175="&lt;01",ROUND(INDEX(EID!$N:$N,MATCH($B175,EID!$B:$B,0))/2,0),IF(SUM($AT175)=0,"",ROUND((SUM($AP175)-(SUM($O175)*SUM($AS175)))/$AT175,0)))</f>
        <v>1115</v>
      </c>
      <c r="AW175" s="33">
        <f t="shared" si="42"/>
        <v>1</v>
      </c>
      <c r="AX175" s="218">
        <f>IF($C175="&lt;01",SUM($AV175),ROUND(SUM($AV175)*SUM($AW175),0))</f>
        <v>1115</v>
      </c>
      <c r="AY175" s="79">
        <f t="shared" si="43"/>
        <v>0.7</v>
      </c>
      <c r="AZ175" s="85">
        <f>IF($C175="&lt;01",ROUND(INDEX(EID!$R:$R,MATCH($B175,EID!$B:$B,0))/2,0),ROUND(SUM($O175)+(SUM($AV175)*$AY175),0))</f>
        <v>6110</v>
      </c>
      <c r="BA175" s="40">
        <f t="shared" si="47"/>
        <v>0.9</v>
      </c>
      <c r="BB175" s="99">
        <f>IF($C175="&lt;01",ROUND(INDEX(EID!$T:$T,MATCH($B175,EID!$B:$B,0))/2,0),ROUND($AP175*$BA175,0))</f>
        <v>4740</v>
      </c>
      <c r="BC175" s="85">
        <f>IF(LEFT($B175,4)="_Mil","",IF(SUM($BB175)=0,SUM($AD175),IF(OR(SUM($AP175)=0,SUM($AQ175)=0),MAX($BB175,$AD175),ROUND($BB175*$AQ175/$AP175,0))))</f>
        <v>4588</v>
      </c>
      <c r="BD175" s="33">
        <f t="shared" si="44"/>
        <v>0.95</v>
      </c>
      <c r="BE175" s="218">
        <f>IF($C175="&lt;01",ROUND(INDEX(EID!$V:$V,MATCH($B175,EID!$B:$B,0))/2,0),ROUND($BD175*$BB175,0))</f>
        <v>4503</v>
      </c>
      <c r="BF175" s="218">
        <f>IF(LEFT($B175,4)="_Mil","",IF(SUM($BE175)=0,SUM($AF175),IF(OR(SUM($AP175)=0,SUM($AQ175)=0),MAX($BE175,$AF175),ROUND($BE175*$AQ175/$AP175,0))))</f>
        <v>4359</v>
      </c>
      <c r="BG175" s="79">
        <f t="shared" si="45"/>
        <v>0.95</v>
      </c>
      <c r="BH175" s="99">
        <f>IF($C175="&lt;01",ROUND(INDEX(EID!$L:$L,MATCH($B175,EID!$B:$B,0)),0)/2,IF(SUM($BG175)=0,"",ROUND($AX175/$BG175,0)))</f>
        <v>1174</v>
      </c>
    </row>
    <row r="176" spans="1:60" x14ac:dyDescent="0.2">
      <c r="A176" t="str">
        <f>INDEX(Prioritization!$D:$D,MATCH($B176,Prioritization!$A:$A,0))</f>
        <v>INVALID</v>
      </c>
      <c r="B176" t="s">
        <v>301</v>
      </c>
      <c r="C176" t="s">
        <v>475</v>
      </c>
      <c r="D176" t="s">
        <v>48</v>
      </c>
      <c r="E176" t="str">
        <f t="shared" si="35"/>
        <v>Lilongwe District [ScR9iFKAasW]|15-24|Male</v>
      </c>
      <c r="F176" s="229">
        <v>2956</v>
      </c>
      <c r="G176" s="38">
        <v>443</v>
      </c>
      <c r="H176" s="38">
        <v>302</v>
      </c>
      <c r="I176" s="38">
        <v>2691</v>
      </c>
      <c r="J176" s="38">
        <v>2191</v>
      </c>
      <c r="K176" s="38">
        <v>1899</v>
      </c>
      <c r="L176" s="38">
        <v>366</v>
      </c>
      <c r="M176" s="38">
        <v>348</v>
      </c>
      <c r="N176" s="38">
        <v>3781</v>
      </c>
      <c r="O176" s="229">
        <v>2828</v>
      </c>
      <c r="P176" s="38">
        <v>3448</v>
      </c>
      <c r="Q176" s="38">
        <v>3276</v>
      </c>
      <c r="R176" s="38">
        <f t="shared" si="36"/>
        <v>137</v>
      </c>
      <c r="S176" s="38">
        <f>IF(LEFT($B176,4)="_Mil","",_xlfn.IFNA(ROUND(INDEX(Spectrum!$N:$N,MATCH(RIGHT($B176,13)&amp;"|"&amp;$C176&amp;"|"&amp;$D176&amp;"|"&amp;S$14&amp;"|"&amp;"CY2023Q4",Spectrum!$R:$R,0)),0),""))</f>
        <v>3436</v>
      </c>
      <c r="T176" s="218">
        <f>IF(LEFT($B176,4)="_Mil","",_xlfn.IFNA(ROUND(INDEX(Spectrum!$N:$N,MATCH(RIGHT($B176,13)&amp;"|"&amp;$C176&amp;"|"&amp;$D176&amp;"|"&amp;T$14&amp;"|"&amp;"CY2024Q3",Spectrum!$R:$R,0)),0),""))</f>
        <v>363064</v>
      </c>
      <c r="U176" s="218">
        <f>IF(LEFT($B176,4)="_Mil","",_xlfn.IFNA(ROUND(INDEX(Spectrum!$N:$N,MATCH(RIGHT($B176,13)&amp;"|"&amp;$C176&amp;"|"&amp;$D176&amp;"|"&amp;U$14&amp;"|"&amp;"CY2024Q3",Spectrum!$R:$R,0)),0),""))</f>
        <v>3885</v>
      </c>
      <c r="V176" s="38">
        <f>IF(LEFT($B176,4)="_Mil","",_xlfn.IFNA(ROUND(INDEX(Spectrum!$N:$N,MATCH(RIGHT($B176,13)&amp;"|"&amp;$C176&amp;"|"&amp;$D176&amp;"|"&amp;V$14&amp;"|"&amp;"CY2024Q3",Spectrum!$R:$R,0)),0),""))</f>
        <v>3771</v>
      </c>
      <c r="W176" s="220">
        <f>IF(LEFT($B176,4)="_Mil","",_xlfn.IFNA(INDEX(Spectrum!$N:$N,MATCH(RIGHT($B176,13)&amp;"|"&amp;$C176&amp;"|"&amp;$D176&amp;"|"&amp;W$14&amp;"|"&amp;"CY2024Q3",Spectrum!$R:$R,0)),""))</f>
        <v>1.0701336000000001E-2</v>
      </c>
      <c r="X176" s="218">
        <f>IF(LEFT($B176,4)="_Mil","",_xlfn.IFNA(ROUND(INDEX(Spectrum!$N:$N,MATCH(RIGHT($B176,13)&amp;"|"&amp;$C176&amp;"|"&amp;$D176&amp;"|"&amp;X$14&amp;"|"&amp;"CY2024Q3",Spectrum!$R:$R,0)),0),""))</f>
        <v>3574</v>
      </c>
      <c r="Y176" s="33">
        <f t="shared" si="37"/>
        <v>0.92</v>
      </c>
      <c r="Z176" s="218">
        <f>IF(LEFT($B176,4)="_Mil","",_xlfn.IFNA(ROUND(INDEX(Spectrum!$N:$N,MATCH(RIGHT($B176,13)&amp;"|"&amp;$C176&amp;"|"&amp;$D176&amp;"|"&amp;Z$14&amp;"|"&amp;"CY2024Q3",Spectrum!$R:$R,0)),0),""))</f>
        <v>3446</v>
      </c>
      <c r="AA176" s="33">
        <f>IF(LEFT($B176,4)="_Mil","",IFERROR(1/(1/INDEX(Spectrum!$N:$N,MATCH(RIGHT($B176,13)&amp;"|"&amp;$C176&amp;"|"&amp;$D176&amp;"|"&amp;AA$14&amp;"|"&amp;"CY2024Q3",Spectrum!$R:$R,0))),IF(SUM($U176)=0,"",SUM($Z176)/$U176)))</f>
        <v>0.91757151299999995</v>
      </c>
      <c r="AB176" s="33">
        <f t="shared" si="38"/>
        <v>0.9641857862339116</v>
      </c>
      <c r="AC176" s="38">
        <f>IF(LEFT($B176,4)="_Mil","",_xlfn.IFNA(ROUND(INDEX(Spectrum!$N:$N,MATCH(RIGHT($B176,13)&amp;"|"&amp;$C176&amp;"|"&amp;$D176&amp;"|"&amp;AC$14&amp;"|"&amp;"CY2024Q3",Spectrum!$R:$R,0)),0),""))</f>
        <v>325</v>
      </c>
      <c r="AD176" s="38" t="str">
        <f>IF(LEFT($B176,4)="_Mil","",_xlfn.IFNA(ROUND(INDEX(Spectrum!$N:$N,MATCH(RIGHT($B176,13)&amp;"|"&amp;$C176&amp;"|"&amp;$D176&amp;"|"&amp;AD$14&amp;"|"&amp;"CY2024Q3",Spectrum!$R:$R,0)),0),""))</f>
        <v/>
      </c>
      <c r="AE176" s="33">
        <f t="shared" si="39"/>
        <v>0</v>
      </c>
      <c r="AF176" s="218" t="str">
        <f>IF(LEFT($B176,4)="_Mil","",_xlfn.IFNA(ROUND(INDEX(Spectrum!$N:$N,MATCH(RIGHT($B176,13)&amp;"|"&amp;$C176&amp;"|"&amp;$D176&amp;"|"&amp;AF$14&amp;"|"&amp;"CY2024Q3",Spectrum!$R:$R,0)),0),""))</f>
        <v/>
      </c>
      <c r="AG176" s="33" t="str">
        <f t="shared" si="40"/>
        <v/>
      </c>
      <c r="AH176" s="110" t="str">
        <f>IF(LEFT($B176,4)="_Mil","",_xlfn.IFNA(INDEX(Spectrum!$N:$N,MATCH(RIGHT($B176,13)&amp;"|"&amp;$C176&amp;"|"&amp;$D176&amp;"|"&amp;AH$14&amp;"|"&amp;"CY2024Q3",Spectrum!$R:$R,0)),""))</f>
        <v/>
      </c>
      <c r="AI176" s="218">
        <f>IF(LEFT($B176,4)="_Mil","",_xlfn.IFNA(ROUND(INDEX(Spectrum!$N:$N,MATCH(RIGHT($B176,13)&amp;"|"&amp;$C176&amp;"|"&amp;$D176&amp;"|"&amp;AI$14&amp;"|"&amp;"CY2025Q3",Spectrum!$R:$R,0)),0),""))</f>
        <v>65</v>
      </c>
      <c r="AJ176" s="38">
        <f>IF(LEFT($B176,4)="_Mil","",_xlfn.IFNA(ROUND(INDEX(Spectrum!$N:$N,MATCH(RIGHT($B176,13)&amp;"|"&amp;$C176&amp;"|"&amp;$D176&amp;"|"&amp;AJ$14&amp;"|"&amp;"CY2025Q3",Spectrum!$R:$R,0)),0),""))</f>
        <v>3772</v>
      </c>
      <c r="AK176" s="218" t="e">
        <f>#REF!</f>
        <v>#REF!</v>
      </c>
      <c r="AL176" s="33">
        <f t="shared" si="41"/>
        <v>0.91757151299999995</v>
      </c>
      <c r="AM176" s="38" t="e">
        <f>IF(OR(LEFT($B176,4)="_Mil",$C176="&lt;01"),"",ROUND(SUM($AK176)*SUM($AL176),0))</f>
        <v>#REF!</v>
      </c>
      <c r="AN176" s="38" t="str">
        <f>IF($C176="&lt;01",ROUND(INDEX(EID!$P:$P,MATCH($B176,EID!$B:$B,0))/2,0),"")</f>
        <v/>
      </c>
      <c r="AO176" s="38" t="e">
        <f>IF($C176="&lt;01",SUM($AN176),ROUND(SUM($AM176)*SUM($O176)/IF(SUM($Z176)=0,1,$Z176),0))</f>
        <v>#REF!</v>
      </c>
      <c r="AP176" s="218">
        <f>IF(OR($F176="",$C176="&lt;01"),$AO176,ROUND($F176,0))</f>
        <v>2956</v>
      </c>
      <c r="AQ176" s="218">
        <f>IF(LEFT($B176,4)="_Mil","",IF(SUM($AP176)=0,SUM($Z176),IF(OR(SUM($Z176)=0,SUM($O176)=0),MAX($AP176,$Z176),ROUND($AP176*$Z176/$O176,0))))</f>
        <v>3602</v>
      </c>
      <c r="AR176" s="33" t="e">
        <f>IF(OR(LEFT($B176,4)="_Mil",SUM($AK176)=0),"",SUM($AQ176)/$AK176)</f>
        <v>#REF!</v>
      </c>
      <c r="AS176" s="33">
        <v>0.85</v>
      </c>
      <c r="AT176" s="33">
        <f t="shared" si="49"/>
        <v>0.98</v>
      </c>
      <c r="AU176" s="38">
        <f>IF($C176="&lt;01","",SUM($AP176)-SUM($O176))</f>
        <v>128</v>
      </c>
      <c r="AV176" s="38">
        <f>IF($C176="&lt;01",ROUND(INDEX(EID!$N:$N,MATCH($B176,EID!$B:$B,0))/2,0),IF(SUM($AT176)=0,"",ROUND((SUM($AP176)-(SUM($O176)*SUM($AS176)))/$AT176,0)))</f>
        <v>563</v>
      </c>
      <c r="AW176" s="33">
        <f t="shared" si="42"/>
        <v>1</v>
      </c>
      <c r="AX176" s="218">
        <f>IF($C176="&lt;01",SUM($AV176),ROUND(SUM($AV176)*SUM($AW176),0))</f>
        <v>563</v>
      </c>
      <c r="AY176" s="79">
        <f t="shared" si="43"/>
        <v>0.7</v>
      </c>
      <c r="AZ176" s="85">
        <f>IF($C176="&lt;01",ROUND(INDEX(EID!$R:$R,MATCH($B176,EID!$B:$B,0))/2,0),ROUND(SUM($O176)+(SUM($AV176)*$AY176),0))</f>
        <v>3222</v>
      </c>
      <c r="BA176" s="40">
        <f t="shared" si="47"/>
        <v>0.9</v>
      </c>
      <c r="BB176" s="99">
        <f>IF($C176="&lt;01",ROUND(INDEX(EID!$T:$T,MATCH($B176,EID!$B:$B,0))/2,0),ROUND($AP176*$BA176,0))</f>
        <v>2660</v>
      </c>
      <c r="BC176" s="85">
        <f>IF(LEFT($B176,4)="_Mil","",IF(SUM($BB176)=0,SUM($AD176),IF(OR(SUM($AP176)=0,SUM($AQ176)=0),MAX($BB176,$AD176),ROUND($BB176*$AQ176/$AP176,0))))</f>
        <v>3241</v>
      </c>
      <c r="BD176" s="33">
        <f t="shared" si="44"/>
        <v>0.95</v>
      </c>
      <c r="BE176" s="218">
        <f>IF($C176="&lt;01",ROUND(INDEX(EID!$V:$V,MATCH($B176,EID!$B:$B,0))/2,0),ROUND($BD176*$BB176,0))</f>
        <v>2527</v>
      </c>
      <c r="BF176" s="218">
        <f>IF(LEFT($B176,4)="_Mil","",IF(SUM($BE176)=0,SUM($AF176),IF(OR(SUM($AP176)=0,SUM($AQ176)=0),MAX($BE176,$AF176),ROUND($BE176*$AQ176/$AP176,0))))</f>
        <v>3079</v>
      </c>
      <c r="BG176" s="79">
        <f t="shared" si="45"/>
        <v>0.95</v>
      </c>
      <c r="BH176" s="99">
        <f>IF($C176="&lt;01",ROUND(INDEX(EID!$L:$L,MATCH($B176,EID!$B:$B,0)),0)/2,IF(SUM($BG176)=0,"",ROUND($AX176/$BG176,0)))</f>
        <v>593</v>
      </c>
    </row>
    <row r="177" spans="1:60" x14ac:dyDescent="0.2">
      <c r="A177" t="str">
        <f>INDEX(Prioritization!$D:$D,MATCH($B177,Prioritization!$A:$A,0))</f>
        <v>INVALID</v>
      </c>
      <c r="B177" t="s">
        <v>301</v>
      </c>
      <c r="C177" t="s">
        <v>476</v>
      </c>
      <c r="D177" t="s">
        <v>30</v>
      </c>
      <c r="E177" t="str">
        <f t="shared" si="35"/>
        <v>Lilongwe District [ScR9iFKAasW]|25-34|Female</v>
      </c>
      <c r="F177" s="229">
        <v>15119</v>
      </c>
      <c r="G177" s="38">
        <v>2685</v>
      </c>
      <c r="H177" s="38">
        <v>2561</v>
      </c>
      <c r="I177" s="38">
        <v>15826</v>
      </c>
      <c r="J177" s="38">
        <v>12202</v>
      </c>
      <c r="K177" s="38">
        <v>11308</v>
      </c>
      <c r="L177" s="38">
        <v>1463</v>
      </c>
      <c r="M177" s="38">
        <v>1437</v>
      </c>
      <c r="N177" s="38">
        <v>16666</v>
      </c>
      <c r="O177" s="229">
        <v>15826</v>
      </c>
      <c r="P177" s="38">
        <v>15266</v>
      </c>
      <c r="Q177" s="38">
        <v>14502</v>
      </c>
      <c r="R177" s="38">
        <f t="shared" si="36"/>
        <v>0</v>
      </c>
      <c r="S177" s="38">
        <f>IF(LEFT($B177,4)="_Mil","",_xlfn.IFNA(ROUND(INDEX(Spectrum!$N:$N,MATCH(RIGHT($B177,13)&amp;"|"&amp;$C177&amp;"|"&amp;$D177&amp;"|"&amp;S$14&amp;"|"&amp;"CY2023Q4",Spectrum!$R:$R,0)),0),""))</f>
        <v>16890</v>
      </c>
      <c r="T177" s="218">
        <f>IF(LEFT($B177,4)="_Mil","",_xlfn.IFNA(ROUND(INDEX(Spectrum!$N:$N,MATCH(RIGHT($B177,13)&amp;"|"&amp;$C177&amp;"|"&amp;$D177&amp;"|"&amp;T$14&amp;"|"&amp;"CY2024Q3",Spectrum!$R:$R,0)),0),""))</f>
        <v>273125</v>
      </c>
      <c r="U177" s="218">
        <f>IF(LEFT($B177,4)="_Mil","",_xlfn.IFNA(ROUND(INDEX(Spectrum!$N:$N,MATCH(RIGHT($B177,13)&amp;"|"&amp;$C177&amp;"|"&amp;$D177&amp;"|"&amp;U$14&amp;"|"&amp;"CY2024Q3",Spectrum!$R:$R,0)),0),""))</f>
        <v>16788</v>
      </c>
      <c r="V177" s="38">
        <f>IF(LEFT($B177,4)="_Mil","",_xlfn.IFNA(ROUND(INDEX(Spectrum!$N:$N,MATCH(RIGHT($B177,13)&amp;"|"&amp;$C177&amp;"|"&amp;$D177&amp;"|"&amp;V$14&amp;"|"&amp;"CY2024Q3",Spectrum!$R:$R,0)),0),""))</f>
        <v>16364</v>
      </c>
      <c r="W177" s="220">
        <f>IF(LEFT($B177,4)="_Mil","",_xlfn.IFNA(INDEX(Spectrum!$N:$N,MATCH(RIGHT($B177,13)&amp;"|"&amp;$C177&amp;"|"&amp;$D177&amp;"|"&amp;W$14&amp;"|"&amp;"CY2024Q3",Spectrum!$R:$R,0)),""))</f>
        <v>6.1466092E-2</v>
      </c>
      <c r="X177" s="218">
        <f>IF(LEFT($B177,4)="_Mil","",_xlfn.IFNA(ROUND(INDEX(Spectrum!$N:$N,MATCH(RIGHT($B177,13)&amp;"|"&amp;$C177&amp;"|"&amp;$D177&amp;"|"&amp;X$14&amp;"|"&amp;"CY2024Q3",Spectrum!$R:$R,0)),0),""))</f>
        <v>16312</v>
      </c>
      <c r="Y177" s="33">
        <f t="shared" si="37"/>
        <v>0.97</v>
      </c>
      <c r="Z177" s="218">
        <f>IF(LEFT($B177,4)="_Mil","",_xlfn.IFNA(ROUND(INDEX(Spectrum!$N:$N,MATCH(RIGHT($B177,13)&amp;"|"&amp;$C177&amp;"|"&amp;$D177&amp;"|"&amp;Z$14&amp;"|"&amp;"CY2024Q3",Spectrum!$R:$R,0)),0),""))</f>
        <v>15911</v>
      </c>
      <c r="AA177" s="33">
        <f>IF(LEFT($B177,4)="_Mil","",IFERROR(1/(1/INDEX(Spectrum!$N:$N,MATCH(RIGHT($B177,13)&amp;"|"&amp;$C177&amp;"|"&amp;$D177&amp;"|"&amp;AA$14&amp;"|"&amp;"CY2024Q3",Spectrum!$R:$R,0))),IF(SUM($U177)=0,"",SUM($Z177)/$U177)))</f>
        <v>0.97168093499999986</v>
      </c>
      <c r="AB177" s="33">
        <f t="shared" si="38"/>
        <v>0.97541687101520358</v>
      </c>
      <c r="AC177" s="38">
        <f>IF(LEFT($B177,4)="_Mil","",_xlfn.IFNA(ROUND(INDEX(Spectrum!$N:$N,MATCH(RIGHT($B177,13)&amp;"|"&amp;$C177&amp;"|"&amp;$D177&amp;"|"&amp;AC$14&amp;"|"&amp;"CY2024Q3",Spectrum!$R:$R,0)),0),""))</f>
        <v>453</v>
      </c>
      <c r="AD177" s="38" t="str">
        <f>IF(LEFT($B177,4)="_Mil","",_xlfn.IFNA(ROUND(INDEX(Spectrum!$N:$N,MATCH(RIGHT($B177,13)&amp;"|"&amp;$C177&amp;"|"&amp;$D177&amp;"|"&amp;AD$14&amp;"|"&amp;"CY2024Q3",Spectrum!$R:$R,0)),0),""))</f>
        <v/>
      </c>
      <c r="AE177" s="33">
        <f t="shared" si="39"/>
        <v>0</v>
      </c>
      <c r="AF177" s="218" t="str">
        <f>IF(LEFT($B177,4)="_Mil","",_xlfn.IFNA(ROUND(INDEX(Spectrum!$N:$N,MATCH(RIGHT($B177,13)&amp;"|"&amp;$C177&amp;"|"&amp;$D177&amp;"|"&amp;AF$14&amp;"|"&amp;"CY2024Q3",Spectrum!$R:$R,0)),0),""))</f>
        <v/>
      </c>
      <c r="AG177" s="33" t="str">
        <f t="shared" si="40"/>
        <v/>
      </c>
      <c r="AH177" s="110" t="str">
        <f>IF(LEFT($B177,4)="_Mil","",_xlfn.IFNA(INDEX(Spectrum!$N:$N,MATCH(RIGHT($B177,13)&amp;"|"&amp;$C177&amp;"|"&amp;$D177&amp;"|"&amp;AH$14&amp;"|"&amp;"CY2024Q3",Spectrum!$R:$R,0)),""))</f>
        <v/>
      </c>
      <c r="AI177" s="218">
        <f>IF(LEFT($B177,4)="_Mil","",_xlfn.IFNA(ROUND(INDEX(Spectrum!$N:$N,MATCH(RIGHT($B177,13)&amp;"|"&amp;$C177&amp;"|"&amp;$D177&amp;"|"&amp;AI$14&amp;"|"&amp;"CY2025Q3",Spectrum!$R:$R,0)),0),""))</f>
        <v>401</v>
      </c>
      <c r="AJ177" s="38">
        <f>IF(LEFT($B177,4)="_Mil","",_xlfn.IFNA(ROUND(INDEX(Spectrum!$N:$N,MATCH(RIGHT($B177,13)&amp;"|"&amp;$C177&amp;"|"&amp;$D177&amp;"|"&amp;AJ$14&amp;"|"&amp;"CY2025Q3",Spectrum!$R:$R,0)),0),""))</f>
        <v>15512</v>
      </c>
      <c r="AK177" s="218" t="e">
        <f>#REF!</f>
        <v>#REF!</v>
      </c>
      <c r="AL177" s="33">
        <f t="shared" si="41"/>
        <v>0.97168093499999986</v>
      </c>
      <c r="AM177" s="38" t="e">
        <f>IF(OR(LEFT($B177,4)="_Mil",$C177="&lt;01"),"",ROUND(SUM($AK177)*SUM($AL177),0))</f>
        <v>#REF!</v>
      </c>
      <c r="AN177" s="38" t="str">
        <f>IF($C177="&lt;01",ROUND(INDEX(EID!$P:$P,MATCH($B177,EID!$B:$B,0))/2,0),"")</f>
        <v/>
      </c>
      <c r="AO177" s="38" t="e">
        <f>IF($C177="&lt;01",SUM($AN177),ROUND(SUM($AM177)*SUM($O177)/IF(SUM($Z177)=0,1,$Z177),0))</f>
        <v>#REF!</v>
      </c>
      <c r="AP177" s="218">
        <f>IF(OR($F177="",$C177="&lt;01"),$AO177,ROUND($F177,0))</f>
        <v>15119</v>
      </c>
      <c r="AQ177" s="218">
        <f>IF(LEFT($B177,4)="_Mil","",IF(SUM($AP177)=0,SUM($Z177),IF(OR(SUM($Z177)=0,SUM($O177)=0),MAX($AP177,$Z177),ROUND($AP177*$Z177/$O177,0))))</f>
        <v>15200</v>
      </c>
      <c r="AR177" s="33" t="e">
        <f>IF(OR(LEFT($B177,4)="_Mil",SUM($AK177)=0),"",SUM($AQ177)/$AK177)</f>
        <v>#REF!</v>
      </c>
      <c r="AS177" s="33">
        <f>IF($C177="&lt;01","",85%)</f>
        <v>0.85</v>
      </c>
      <c r="AT177" s="33">
        <f>IF($C177="&lt;01","",90%)</f>
        <v>0.9</v>
      </c>
      <c r="AU177" s="38">
        <f>IF($C177="&lt;01","",SUM($AP177)-SUM($O177))</f>
        <v>-707</v>
      </c>
      <c r="AV177" s="38">
        <f>IF($C177="&lt;01",ROUND(INDEX(EID!$N:$N,MATCH($B177,EID!$B:$B,0))/2,0),IF(SUM($AT177)=0,"",ROUND((SUM($AP177)-(SUM($O177)*SUM($AS177)))/$AT177,0)))</f>
        <v>1852</v>
      </c>
      <c r="AW177" s="33">
        <f t="shared" si="42"/>
        <v>1</v>
      </c>
      <c r="AX177" s="218">
        <f>IF($C177="&lt;01",SUM($AV177),ROUND(SUM($AV177)*SUM($AW177),0))</f>
        <v>1852</v>
      </c>
      <c r="AY177" s="79">
        <f t="shared" si="43"/>
        <v>0.7</v>
      </c>
      <c r="AZ177" s="85">
        <f>IF($C177="&lt;01",ROUND(INDEX(EID!$R:$R,MATCH($B177,EID!$B:$B,0))/2,0),ROUND(SUM($O177)+(SUM($AV177)*$AY177),0))</f>
        <v>17122</v>
      </c>
      <c r="BA177" s="40">
        <f t="shared" si="47"/>
        <v>0.9</v>
      </c>
      <c r="BB177" s="99">
        <f>IF($C177="&lt;01",ROUND(INDEX(EID!$T:$T,MATCH($B177,EID!$B:$B,0))/2,0),ROUND($AP177*$BA177,0))</f>
        <v>13607</v>
      </c>
      <c r="BC177" s="85">
        <f>IF(LEFT($B177,4)="_Mil","",IF(SUM($BB177)=0,SUM($AD177),IF(OR(SUM($AP177)=0,SUM($AQ177)=0),MAX($BB177,$AD177),ROUND($BB177*$AQ177/$AP177,0))))</f>
        <v>13680</v>
      </c>
      <c r="BD177" s="33">
        <f t="shared" si="44"/>
        <v>0.95</v>
      </c>
      <c r="BE177" s="218">
        <f>IF($C177="&lt;01",ROUND(INDEX(EID!$V:$V,MATCH($B177,EID!$B:$B,0))/2,0),ROUND($BD177*$BB177,0))</f>
        <v>12927</v>
      </c>
      <c r="BF177" s="218">
        <f>IF(LEFT($B177,4)="_Mil","",IF(SUM($BE177)=0,SUM($AF177),IF(OR(SUM($AP177)=0,SUM($AQ177)=0),MAX($BE177,$AF177),ROUND($BE177*$AQ177/$AP177,0))))</f>
        <v>12996</v>
      </c>
      <c r="BG177" s="79">
        <f t="shared" si="45"/>
        <v>0.95</v>
      </c>
      <c r="BH177" s="99">
        <f>IF($C177="&lt;01",ROUND(INDEX(EID!$L:$L,MATCH($B177,EID!$B:$B,0)),0)/2,IF(SUM($BG177)=0,"",ROUND($AX177/$BG177,0)))</f>
        <v>1949</v>
      </c>
    </row>
    <row r="178" spans="1:60" x14ac:dyDescent="0.2">
      <c r="A178" t="str">
        <f>INDEX(Prioritization!$D:$D,MATCH($B178,Prioritization!$A:$A,0))</f>
        <v>INVALID</v>
      </c>
      <c r="B178" t="s">
        <v>301</v>
      </c>
      <c r="C178" t="s">
        <v>476</v>
      </c>
      <c r="D178" t="s">
        <v>48</v>
      </c>
      <c r="E178" t="str">
        <f t="shared" si="35"/>
        <v>Lilongwe District [ScR9iFKAasW]|25-34|Male</v>
      </c>
      <c r="F178" s="229">
        <v>4929</v>
      </c>
      <c r="G178" s="38">
        <v>1402</v>
      </c>
      <c r="H178" s="38">
        <v>1106</v>
      </c>
      <c r="I178" s="38">
        <v>4843</v>
      </c>
      <c r="J178" s="38">
        <v>3485</v>
      </c>
      <c r="K178" s="38">
        <v>3213</v>
      </c>
      <c r="L178" s="38">
        <v>141</v>
      </c>
      <c r="M178" s="38">
        <v>137</v>
      </c>
      <c r="N178" s="38">
        <v>6701</v>
      </c>
      <c r="O178" s="229">
        <v>4929</v>
      </c>
      <c r="P178" s="38">
        <v>6057</v>
      </c>
      <c r="Q178" s="38">
        <v>5754</v>
      </c>
      <c r="R178" s="38">
        <f t="shared" si="36"/>
        <v>86</v>
      </c>
      <c r="S178" s="38">
        <f>IF(LEFT($B178,4)="_Mil","",_xlfn.IFNA(ROUND(INDEX(Spectrum!$N:$N,MATCH(RIGHT($B178,13)&amp;"|"&amp;$C178&amp;"|"&amp;$D178&amp;"|"&amp;S$14&amp;"|"&amp;"CY2023Q4",Spectrum!$R:$R,0)),0),""))</f>
        <v>5943</v>
      </c>
      <c r="T178" s="218">
        <f>IF(LEFT($B178,4)="_Mil","",_xlfn.IFNA(ROUND(INDEX(Spectrum!$N:$N,MATCH(RIGHT($B178,13)&amp;"|"&amp;$C178&amp;"|"&amp;$D178&amp;"|"&amp;T$14&amp;"|"&amp;"CY2024Q3",Spectrum!$R:$R,0)),0),""))</f>
        <v>267588</v>
      </c>
      <c r="U178" s="218">
        <f>IF(LEFT($B178,4)="_Mil","",_xlfn.IFNA(ROUND(INDEX(Spectrum!$N:$N,MATCH(RIGHT($B178,13)&amp;"|"&amp;$C178&amp;"|"&amp;$D178&amp;"|"&amp;U$14&amp;"|"&amp;"CY2024Q3",Spectrum!$R:$R,0)),0),""))</f>
        <v>6726</v>
      </c>
      <c r="V178" s="38">
        <f>IF(LEFT($B178,4)="_Mil","",_xlfn.IFNA(ROUND(INDEX(Spectrum!$N:$N,MATCH(RIGHT($B178,13)&amp;"|"&amp;$C178&amp;"|"&amp;$D178&amp;"|"&amp;V$14&amp;"|"&amp;"CY2024Q3",Spectrum!$R:$R,0)),0),""))</f>
        <v>6572</v>
      </c>
      <c r="W178" s="220">
        <f>IF(LEFT($B178,4)="_Mil","",_xlfn.IFNA(INDEX(Spectrum!$N:$N,MATCH(RIGHT($B178,13)&amp;"|"&amp;$C178&amp;"|"&amp;$D178&amp;"|"&amp;W$14&amp;"|"&amp;"CY2024Q3",Spectrum!$R:$R,0)),""))</f>
        <v>2.513719E-2</v>
      </c>
      <c r="X178" s="218">
        <f>IF(LEFT($B178,4)="_Mil","",_xlfn.IFNA(ROUND(INDEX(Spectrum!$N:$N,MATCH(RIGHT($B178,13)&amp;"|"&amp;$C178&amp;"|"&amp;$D178&amp;"|"&amp;X$14&amp;"|"&amp;"CY2024Q3",Spectrum!$R:$R,0)),0),""))</f>
        <v>6066</v>
      </c>
      <c r="Y178" s="33">
        <f t="shared" si="37"/>
        <v>0.9</v>
      </c>
      <c r="Z178" s="218">
        <f>IF(LEFT($B178,4)="_Mil","",_xlfn.IFNA(ROUND(INDEX(Spectrum!$N:$N,MATCH(RIGHT($B178,13)&amp;"|"&amp;$C178&amp;"|"&amp;$D178&amp;"|"&amp;Z$14&amp;"|"&amp;"CY2024Q3",Spectrum!$R:$R,0)),0),""))</f>
        <v>5832</v>
      </c>
      <c r="AA178" s="33">
        <f>IF(LEFT($B178,4)="_Mil","",IFERROR(1/(1/INDEX(Spectrum!$N:$N,MATCH(RIGHT($B178,13)&amp;"|"&amp;$C178&amp;"|"&amp;$D178&amp;"|"&amp;AA$14&amp;"|"&amp;"CY2024Q3",Spectrum!$R:$R,0))),IF(SUM($U178)=0,"",SUM($Z178)/$U178)))</f>
        <v>0.89544854299999999</v>
      </c>
      <c r="AB178" s="33">
        <f t="shared" si="38"/>
        <v>0.96142433234421365</v>
      </c>
      <c r="AC178" s="38">
        <f>IF(LEFT($B178,4)="_Mil","",_xlfn.IFNA(ROUND(INDEX(Spectrum!$N:$N,MATCH(RIGHT($B178,13)&amp;"|"&amp;$C178&amp;"|"&amp;$D178&amp;"|"&amp;AC$14&amp;"|"&amp;"CY2024Q3",Spectrum!$R:$R,0)),0),""))</f>
        <v>740</v>
      </c>
      <c r="AD178" s="38" t="str">
        <f>IF(LEFT($B178,4)="_Mil","",_xlfn.IFNA(ROUND(INDEX(Spectrum!$N:$N,MATCH(RIGHT($B178,13)&amp;"|"&amp;$C178&amp;"|"&amp;$D178&amp;"|"&amp;AD$14&amp;"|"&amp;"CY2024Q3",Spectrum!$R:$R,0)),0),""))</f>
        <v/>
      </c>
      <c r="AE178" s="33">
        <f t="shared" si="39"/>
        <v>0</v>
      </c>
      <c r="AF178" s="218" t="str">
        <f>IF(LEFT($B178,4)="_Mil","",_xlfn.IFNA(ROUND(INDEX(Spectrum!$N:$N,MATCH(RIGHT($B178,13)&amp;"|"&amp;$C178&amp;"|"&amp;$D178&amp;"|"&amp;AF$14&amp;"|"&amp;"CY2024Q3",Spectrum!$R:$R,0)),0),""))</f>
        <v/>
      </c>
      <c r="AG178" s="33" t="str">
        <f t="shared" si="40"/>
        <v/>
      </c>
      <c r="AH178" s="110" t="str">
        <f>IF(LEFT($B178,4)="_Mil","",_xlfn.IFNA(INDEX(Spectrum!$N:$N,MATCH(RIGHT($B178,13)&amp;"|"&amp;$C178&amp;"|"&amp;$D178&amp;"|"&amp;AH$14&amp;"|"&amp;"CY2024Q3",Spectrum!$R:$R,0)),""))</f>
        <v/>
      </c>
      <c r="AI178" s="218">
        <f>IF(LEFT($B178,4)="_Mil","",_xlfn.IFNA(ROUND(INDEX(Spectrum!$N:$N,MATCH(RIGHT($B178,13)&amp;"|"&amp;$C178&amp;"|"&amp;$D178&amp;"|"&amp;AI$14&amp;"|"&amp;"CY2025Q3",Spectrum!$R:$R,0)),0),""))</f>
        <v>250</v>
      </c>
      <c r="AJ178" s="38">
        <f>IF(LEFT($B178,4)="_Mil","",_xlfn.IFNA(ROUND(INDEX(Spectrum!$N:$N,MATCH(RIGHT($B178,13)&amp;"|"&amp;$C178&amp;"|"&amp;$D178&amp;"|"&amp;AJ$14&amp;"|"&amp;"CY2025Q3",Spectrum!$R:$R,0)),0),""))</f>
        <v>6334</v>
      </c>
      <c r="AK178" s="218" t="e">
        <f>#REF!</f>
        <v>#REF!</v>
      </c>
      <c r="AL178" s="33">
        <f t="shared" si="41"/>
        <v>0.9</v>
      </c>
      <c r="AM178" s="38" t="e">
        <f>IF(OR(LEFT($B178,4)="_Mil",$C178="&lt;01"),"",ROUND(SUM($AK178)*SUM($AL178),0))</f>
        <v>#REF!</v>
      </c>
      <c r="AN178" s="38" t="str">
        <f>IF($C178="&lt;01",ROUND(INDEX(EID!$P:$P,MATCH($B178,EID!$B:$B,0))/2,0),"")</f>
        <v/>
      </c>
      <c r="AO178" s="38" t="e">
        <f>IF($C178="&lt;01",SUM($AN178),ROUND(SUM($AM178)*SUM($O178)/IF(SUM($Z178)=0,1,$Z178),0))</f>
        <v>#REF!</v>
      </c>
      <c r="AP178" s="218">
        <f>IF(OR($F178="",$C178="&lt;01"),$AO178,ROUND($F178,0))</f>
        <v>4929</v>
      </c>
      <c r="AQ178" s="218">
        <f>IF(LEFT($B178,4)="_Mil","",IF(SUM($AP178)=0,SUM($Z178),IF(OR(SUM($Z178)=0,SUM($O178)=0),MAX($AP178,$Z178),ROUND($AP178*$Z178/$O178,0))))</f>
        <v>5832</v>
      </c>
      <c r="AR178" s="33" t="e">
        <f>IF(OR(LEFT($B178,4)="_Mil",SUM($AK178)=0),"",SUM($AQ178)/$AK178)</f>
        <v>#REF!</v>
      </c>
      <c r="AS178" s="33">
        <v>0.85</v>
      </c>
      <c r="AT178" s="33">
        <f t="shared" si="49"/>
        <v>0.98</v>
      </c>
      <c r="AU178" s="38">
        <f>IF($C178="&lt;01","",SUM($AP178)-SUM($O178))</f>
        <v>0</v>
      </c>
      <c r="AV178" s="38">
        <f>IF($C178="&lt;01",ROUND(INDEX(EID!$N:$N,MATCH($B178,EID!$B:$B,0))/2,0),IF(SUM($AT178)=0,"",ROUND((SUM($AP178)-(SUM($O178)*SUM($AS178)))/$AT178,0)))</f>
        <v>754</v>
      </c>
      <c r="AW178" s="33">
        <f t="shared" si="42"/>
        <v>1</v>
      </c>
      <c r="AX178" s="218">
        <f>IF($C178="&lt;01",SUM($AV178),ROUND(SUM($AV178)*SUM($AW178),0))</f>
        <v>754</v>
      </c>
      <c r="AY178" s="79">
        <f t="shared" si="43"/>
        <v>0.7</v>
      </c>
      <c r="AZ178" s="85">
        <f>IF($C178="&lt;01",ROUND(INDEX(EID!$R:$R,MATCH($B178,EID!$B:$B,0))/2,0),ROUND(SUM($O178)+(SUM($AV178)*$AY178),0))</f>
        <v>5457</v>
      </c>
      <c r="BA178" s="40">
        <f t="shared" si="47"/>
        <v>0.9</v>
      </c>
      <c r="BB178" s="99">
        <f>IF($C178="&lt;01",ROUND(INDEX(EID!$T:$T,MATCH($B178,EID!$B:$B,0))/2,0),ROUND($AP178*$BA178,0))</f>
        <v>4436</v>
      </c>
      <c r="BC178" s="85">
        <f>IF(LEFT($B178,4)="_Mil","",IF(SUM($BB178)=0,SUM($AD178),IF(OR(SUM($AP178)=0,SUM($AQ178)=0),MAX($BB178,$AD178),ROUND($BB178*$AQ178/$AP178,0))))</f>
        <v>5249</v>
      </c>
      <c r="BD178" s="33">
        <f t="shared" si="44"/>
        <v>0.95</v>
      </c>
      <c r="BE178" s="218">
        <f>IF($C178="&lt;01",ROUND(INDEX(EID!$V:$V,MATCH($B178,EID!$B:$B,0))/2,0),ROUND($BD178*$BB178,0))</f>
        <v>4214</v>
      </c>
      <c r="BF178" s="218">
        <f>IF(LEFT($B178,4)="_Mil","",IF(SUM($BE178)=0,SUM($AF178),IF(OR(SUM($AP178)=0,SUM($AQ178)=0),MAX($BE178,$AF178),ROUND($BE178*$AQ178/$AP178,0))))</f>
        <v>4986</v>
      </c>
      <c r="BG178" s="79">
        <f t="shared" si="45"/>
        <v>0.95</v>
      </c>
      <c r="BH178" s="99">
        <f>IF($C178="&lt;01",ROUND(INDEX(EID!$L:$L,MATCH($B178,EID!$B:$B,0)),0)/2,IF(SUM($BG178)=0,"",ROUND($AX178/$BG178,0)))</f>
        <v>794</v>
      </c>
    </row>
    <row r="179" spans="1:60" x14ac:dyDescent="0.2">
      <c r="A179" t="str">
        <f>INDEX(Prioritization!$D:$D,MATCH($B179,Prioritization!$A:$A,0))</f>
        <v>INVALID</v>
      </c>
      <c r="B179" t="s">
        <v>301</v>
      </c>
      <c r="C179" t="s">
        <v>477</v>
      </c>
      <c r="D179" t="s">
        <v>30</v>
      </c>
      <c r="E179" t="str">
        <f t="shared" si="35"/>
        <v>Lilongwe District [ScR9iFKAasW]|35-49|Female</v>
      </c>
      <c r="F179" s="229">
        <v>35387</v>
      </c>
      <c r="G179" s="38">
        <v>1672</v>
      </c>
      <c r="H179" s="38">
        <v>1663</v>
      </c>
      <c r="I179" s="38">
        <v>34203</v>
      </c>
      <c r="J179" s="38">
        <v>25592</v>
      </c>
      <c r="K179" s="38">
        <v>24160</v>
      </c>
      <c r="L179" s="38">
        <v>2498</v>
      </c>
      <c r="M179" s="38">
        <v>2448</v>
      </c>
      <c r="N179" s="38">
        <v>36707</v>
      </c>
      <c r="O179" s="229">
        <v>34795</v>
      </c>
      <c r="P179" s="38">
        <v>31829</v>
      </c>
      <c r="Q179" s="38">
        <v>30237</v>
      </c>
      <c r="R179" s="38">
        <f t="shared" si="36"/>
        <v>592</v>
      </c>
      <c r="S179" s="38">
        <f>IF(LEFT($B179,4)="_Mil","",_xlfn.IFNA(ROUND(INDEX(Spectrum!$N:$N,MATCH(RIGHT($B179,13)&amp;"|"&amp;$C179&amp;"|"&amp;$D179&amp;"|"&amp;S$14&amp;"|"&amp;"CY2023Q4",Spectrum!$R:$R,0)),0),""))</f>
        <v>37189</v>
      </c>
      <c r="T179" s="218">
        <f>IF(LEFT($B179,4)="_Mil","",_xlfn.IFNA(ROUND(INDEX(Spectrum!$N:$N,MATCH(RIGHT($B179,13)&amp;"|"&amp;$C179&amp;"|"&amp;$D179&amp;"|"&amp;T$14&amp;"|"&amp;"CY2024Q3",Spectrum!$R:$R,0)),0),""))</f>
        <v>257561</v>
      </c>
      <c r="U179" s="218">
        <f>IF(LEFT($B179,4)="_Mil","",_xlfn.IFNA(ROUND(INDEX(Spectrum!$N:$N,MATCH(RIGHT($B179,13)&amp;"|"&amp;$C179&amp;"|"&amp;$D179&amp;"|"&amp;U$14&amp;"|"&amp;"CY2024Q3",Spectrum!$R:$R,0)),0),""))</f>
        <v>39322</v>
      </c>
      <c r="V179" s="38">
        <f>IF(LEFT($B179,4)="_Mil","",_xlfn.IFNA(ROUND(INDEX(Spectrum!$N:$N,MATCH(RIGHT($B179,13)&amp;"|"&amp;$C179&amp;"|"&amp;$D179&amp;"|"&amp;V$14&amp;"|"&amp;"CY2024Q3",Spectrum!$R:$R,0)),0),""))</f>
        <v>38193</v>
      </c>
      <c r="W179" s="220">
        <f>IF(LEFT($B179,4)="_Mil","",_xlfn.IFNA(INDEX(Spectrum!$N:$N,MATCH(RIGHT($B179,13)&amp;"|"&amp;$C179&amp;"|"&amp;$D179&amp;"|"&amp;W$14&amp;"|"&amp;"CY2024Q3",Spectrum!$R:$R,0)),""))</f>
        <v>0.152671158</v>
      </c>
      <c r="X179" s="218">
        <f>IF(LEFT($B179,4)="_Mil","",_xlfn.IFNA(ROUND(INDEX(Spectrum!$N:$N,MATCH(RIGHT($B179,13)&amp;"|"&amp;$C179&amp;"|"&amp;$D179&amp;"|"&amp;X$14&amp;"|"&amp;"CY2024Q3",Spectrum!$R:$R,0)),0),""))</f>
        <v>38765</v>
      </c>
      <c r="Y179" s="33">
        <f t="shared" si="37"/>
        <v>0.99</v>
      </c>
      <c r="Z179" s="218">
        <f>IF(LEFT($B179,4)="_Mil","",_xlfn.IFNA(ROUND(INDEX(Spectrum!$N:$N,MATCH(RIGHT($B179,13)&amp;"|"&amp;$C179&amp;"|"&amp;$D179&amp;"|"&amp;Z$14&amp;"|"&amp;"CY2024Q3",Spectrum!$R:$R,0)),0),""))</f>
        <v>37627</v>
      </c>
      <c r="AA179" s="33">
        <f>IF(LEFT($B179,4)="_Mil","",IFERROR(1/(1/INDEX(Spectrum!$N:$N,MATCH(RIGHT($B179,13)&amp;"|"&amp;$C179&amp;"|"&amp;$D179&amp;"|"&amp;AA$14&amp;"|"&amp;"CY2024Q3",Spectrum!$R:$R,0))),IF(SUM($U179)=0,"",SUM($Z179)/$U179)))</f>
        <v>0.98554509300000004</v>
      </c>
      <c r="AB179" s="33">
        <f t="shared" si="38"/>
        <v>0.97064362182381014</v>
      </c>
      <c r="AC179" s="38">
        <f>IF(LEFT($B179,4)="_Mil","",_xlfn.IFNA(ROUND(INDEX(Spectrum!$N:$N,MATCH(RIGHT($B179,13)&amp;"|"&amp;$C179&amp;"|"&amp;$D179&amp;"|"&amp;AC$14&amp;"|"&amp;"CY2024Q3",Spectrum!$R:$R,0)),0),""))</f>
        <v>566</v>
      </c>
      <c r="AD179" s="38" t="str">
        <f>IF(LEFT($B179,4)="_Mil","",_xlfn.IFNA(ROUND(INDEX(Spectrum!$N:$N,MATCH(RIGHT($B179,13)&amp;"|"&amp;$C179&amp;"|"&amp;$D179&amp;"|"&amp;AD$14&amp;"|"&amp;"CY2024Q3",Spectrum!$R:$R,0)),0),""))</f>
        <v/>
      </c>
      <c r="AE179" s="33">
        <f t="shared" si="39"/>
        <v>0</v>
      </c>
      <c r="AF179" s="218" t="str">
        <f>IF(LEFT($B179,4)="_Mil","",_xlfn.IFNA(ROUND(INDEX(Spectrum!$N:$N,MATCH(RIGHT($B179,13)&amp;"|"&amp;$C179&amp;"|"&amp;$D179&amp;"|"&amp;AF$14&amp;"|"&amp;"CY2024Q3",Spectrum!$R:$R,0)),0),""))</f>
        <v/>
      </c>
      <c r="AG179" s="33" t="str">
        <f t="shared" si="40"/>
        <v/>
      </c>
      <c r="AH179" s="110" t="str">
        <f>IF(LEFT($B179,4)="_Mil","",_xlfn.IFNA(INDEX(Spectrum!$N:$N,MATCH(RIGHT($B179,13)&amp;"|"&amp;$C179&amp;"|"&amp;$D179&amp;"|"&amp;AH$14&amp;"|"&amp;"CY2024Q3",Spectrum!$R:$R,0)),""))</f>
        <v/>
      </c>
      <c r="AI179" s="218">
        <f>IF(LEFT($B179,4)="_Mil","",_xlfn.IFNA(ROUND(INDEX(Spectrum!$N:$N,MATCH(RIGHT($B179,13)&amp;"|"&amp;$C179&amp;"|"&amp;$D179&amp;"|"&amp;AI$14&amp;"|"&amp;"CY2025Q3",Spectrum!$R:$R,0)),0),""))</f>
        <v>171</v>
      </c>
      <c r="AJ179" s="38">
        <f>IF(LEFT($B179,4)="_Mil","",_xlfn.IFNA(ROUND(INDEX(Spectrum!$N:$N,MATCH(RIGHT($B179,13)&amp;"|"&amp;$C179&amp;"|"&amp;$D179&amp;"|"&amp;AJ$14&amp;"|"&amp;"CY2025Q3",Spectrum!$R:$R,0)),0),""))</f>
        <v>39674</v>
      </c>
      <c r="AK179" s="218" t="e">
        <f>#REF!</f>
        <v>#REF!</v>
      </c>
      <c r="AL179" s="33">
        <f t="shared" si="41"/>
        <v>0.98554509300000004</v>
      </c>
      <c r="AM179" s="38" t="e">
        <f>IF(OR(LEFT($B179,4)="_Mil",$C179="&lt;01"),"",ROUND(SUM($AK179)*SUM($AL179),0))</f>
        <v>#REF!</v>
      </c>
      <c r="AN179" s="38" t="str">
        <f>IF($C179="&lt;01",ROUND(INDEX(EID!$P:$P,MATCH($B179,EID!$B:$B,0))/2,0),"")</f>
        <v/>
      </c>
      <c r="AO179" s="38" t="e">
        <f>IF($C179="&lt;01",SUM($AN179),ROUND(SUM($AM179)*SUM($O179)/IF(SUM($Z179)=0,1,$Z179),0))</f>
        <v>#REF!</v>
      </c>
      <c r="AP179" s="218">
        <f>IF(OR($F179="",$C179="&lt;01"),$AO179,ROUND($F179,0))</f>
        <v>35387</v>
      </c>
      <c r="AQ179" s="218">
        <f>IF(LEFT($B179,4)="_Mil","",IF(SUM($AP179)=0,SUM($Z179),IF(OR(SUM($Z179)=0,SUM($O179)=0),MAX($AP179,$Z179),ROUND($AP179*$Z179/$O179,0))))</f>
        <v>38267</v>
      </c>
      <c r="AR179" s="33" t="e">
        <f>IF(OR(LEFT($B179,4)="_Mil",SUM($AK179)=0),"",SUM($AQ179)/$AK179)</f>
        <v>#REF!</v>
      </c>
      <c r="AS179" s="33">
        <f>IF($C179="&lt;01","",99%)</f>
        <v>0.99</v>
      </c>
      <c r="AT179" s="33">
        <f t="shared" si="49"/>
        <v>0.98</v>
      </c>
      <c r="AU179" s="38">
        <f>IF($C179="&lt;01","",SUM($AP179)-SUM($O179))</f>
        <v>592</v>
      </c>
      <c r="AV179" s="38">
        <f>IF($C179="&lt;01",ROUND(INDEX(EID!$N:$N,MATCH($B179,EID!$B:$B,0))/2,0),IF(SUM($AT179)=0,"",ROUND((SUM($AP179)-(SUM($O179)*SUM($AS179)))/$AT179,0)))</f>
        <v>959</v>
      </c>
      <c r="AW179" s="33">
        <f t="shared" si="42"/>
        <v>1</v>
      </c>
      <c r="AX179" s="218">
        <f>IF($C179="&lt;01",SUM($AV179),ROUND(SUM($AV179)*SUM($AW179),0))</f>
        <v>959</v>
      </c>
      <c r="AY179" s="79">
        <f t="shared" si="43"/>
        <v>0.7</v>
      </c>
      <c r="AZ179" s="85">
        <f>IF($C179="&lt;01",ROUND(INDEX(EID!$R:$R,MATCH($B179,EID!$B:$B,0))/2,0),ROUND(SUM($O179)+(SUM($AV179)*$AY179),0))</f>
        <v>35466</v>
      </c>
      <c r="BA179" s="40">
        <f t="shared" si="47"/>
        <v>0.9</v>
      </c>
      <c r="BB179" s="99">
        <f>IF($C179="&lt;01",ROUND(INDEX(EID!$T:$T,MATCH($B179,EID!$B:$B,0))/2,0),ROUND($AP179*$BA179,0))</f>
        <v>31848</v>
      </c>
      <c r="BC179" s="85">
        <f>IF(LEFT($B179,4)="_Mil","",IF(SUM($BB179)=0,SUM($AD179),IF(OR(SUM($AP179)=0,SUM($AQ179)=0),MAX($BB179,$AD179),ROUND($BB179*$AQ179/$AP179,0))))</f>
        <v>34440</v>
      </c>
      <c r="BD179" s="33">
        <f t="shared" si="44"/>
        <v>0.95</v>
      </c>
      <c r="BE179" s="218">
        <f>IF($C179="&lt;01",ROUND(INDEX(EID!$V:$V,MATCH($B179,EID!$B:$B,0))/2,0),ROUND($BD179*$BB179,0))</f>
        <v>30256</v>
      </c>
      <c r="BF179" s="218">
        <f>IF(LEFT($B179,4)="_Mil","",IF(SUM($BE179)=0,SUM($AF179),IF(OR(SUM($AP179)=0,SUM($AQ179)=0),MAX($BE179,$AF179),ROUND($BE179*$AQ179/$AP179,0))))</f>
        <v>32718</v>
      </c>
      <c r="BG179" s="79">
        <f t="shared" si="45"/>
        <v>0.95</v>
      </c>
      <c r="BH179" s="99">
        <f>IF($C179="&lt;01",ROUND(INDEX(EID!$L:$L,MATCH($B179,EID!$B:$B,0)),0)/2,IF(SUM($BG179)=0,"",ROUND($AX179/$BG179,0)))</f>
        <v>1009</v>
      </c>
    </row>
    <row r="180" spans="1:60" x14ac:dyDescent="0.2">
      <c r="A180" t="str">
        <f>INDEX(Prioritization!$D:$D,MATCH($B180,Prioritization!$A:$A,0))</f>
        <v>INVALID</v>
      </c>
      <c r="B180" t="s">
        <v>301</v>
      </c>
      <c r="C180" t="s">
        <v>477</v>
      </c>
      <c r="D180" t="s">
        <v>48</v>
      </c>
      <c r="E180" t="str">
        <f t="shared" si="35"/>
        <v>Lilongwe District [ScR9iFKAasW]|35-49|Male</v>
      </c>
      <c r="F180" s="229">
        <v>19892</v>
      </c>
      <c r="G180" s="38">
        <v>1846</v>
      </c>
      <c r="H180" s="38">
        <v>1708</v>
      </c>
      <c r="I180" s="38">
        <v>19892</v>
      </c>
      <c r="J180" s="38">
        <v>14380</v>
      </c>
      <c r="K180" s="38">
        <v>13491</v>
      </c>
      <c r="L180" s="38">
        <v>459</v>
      </c>
      <c r="M180" s="38">
        <v>437</v>
      </c>
      <c r="N180" s="38">
        <v>23755</v>
      </c>
      <c r="O180" s="229">
        <v>19892</v>
      </c>
      <c r="P180" s="38">
        <v>21372</v>
      </c>
      <c r="Q180" s="38">
        <v>20304</v>
      </c>
      <c r="R180" s="38">
        <f t="shared" si="36"/>
        <v>0</v>
      </c>
      <c r="S180" s="38">
        <f>IF(LEFT($B180,4)="_Mil","",_xlfn.IFNA(ROUND(INDEX(Spectrum!$N:$N,MATCH(RIGHT($B180,13)&amp;"|"&amp;$C180&amp;"|"&amp;$D180&amp;"|"&amp;S$14&amp;"|"&amp;"CY2023Q4",Spectrum!$R:$R,0)),0),""))</f>
        <v>23144</v>
      </c>
      <c r="T180" s="218">
        <f>IF(LEFT($B180,4)="_Mil","",_xlfn.IFNA(ROUND(INDEX(Spectrum!$N:$N,MATCH(RIGHT($B180,13)&amp;"|"&amp;$C180&amp;"|"&amp;$D180&amp;"|"&amp;T$14&amp;"|"&amp;"CY2024Q3",Spectrum!$R:$R,0)),0),""))</f>
        <v>252089</v>
      </c>
      <c r="U180" s="218">
        <f>IF(LEFT($B180,4)="_Mil","",_xlfn.IFNA(ROUND(INDEX(Spectrum!$N:$N,MATCH(RIGHT($B180,13)&amp;"|"&amp;$C180&amp;"|"&amp;$D180&amp;"|"&amp;U$14&amp;"|"&amp;"CY2024Q3",Spectrum!$R:$R,0)),0),""))</f>
        <v>25359</v>
      </c>
      <c r="V180" s="38">
        <f>IF(LEFT($B180,4)="_Mil","",_xlfn.IFNA(ROUND(INDEX(Spectrum!$N:$N,MATCH(RIGHT($B180,13)&amp;"|"&amp;$C180&amp;"|"&amp;$D180&amp;"|"&amp;V$14&amp;"|"&amp;"CY2024Q3",Spectrum!$R:$R,0)),0),""))</f>
        <v>24733</v>
      </c>
      <c r="W180" s="220">
        <f>IF(LEFT($B180,4)="_Mil","",_xlfn.IFNA(INDEX(Spectrum!$N:$N,MATCH(RIGHT($B180,13)&amp;"|"&amp;$C180&amp;"|"&amp;$D180&amp;"|"&amp;W$14&amp;"|"&amp;"CY2024Q3",Spectrum!$R:$R,0)),""))</f>
        <v>0.100595752</v>
      </c>
      <c r="X180" s="218">
        <f>IF(LEFT($B180,4)="_Mil","",_xlfn.IFNA(ROUND(INDEX(Spectrum!$N:$N,MATCH(RIGHT($B180,13)&amp;"|"&amp;$C180&amp;"|"&amp;$D180&amp;"|"&amp;X$14&amp;"|"&amp;"CY2024Q3",Spectrum!$R:$R,0)),0),""))</f>
        <v>23827</v>
      </c>
      <c r="Y180" s="33">
        <f t="shared" si="37"/>
        <v>0.94</v>
      </c>
      <c r="Z180" s="218">
        <f>IF(LEFT($B180,4)="_Mil","",_xlfn.IFNA(ROUND(INDEX(Spectrum!$N:$N,MATCH(RIGHT($B180,13)&amp;"|"&amp;$C180&amp;"|"&amp;$D180&amp;"|"&amp;Z$14&amp;"|"&amp;"CY2024Q3",Spectrum!$R:$R,0)),0),""))</f>
        <v>22977</v>
      </c>
      <c r="AA180" s="33">
        <f>IF(LEFT($B180,4)="_Mil","",IFERROR(1/(1/INDEX(Spectrum!$N:$N,MATCH(RIGHT($B180,13)&amp;"|"&amp;$C180&amp;"|"&amp;$D180&amp;"|"&amp;AA$14&amp;"|"&amp;"CY2024Q3",Spectrum!$R:$R,0))),IF(SUM($U180)=0,"",SUM($Z180)/$U180)))</f>
        <v>0.93583390700000013</v>
      </c>
      <c r="AB180" s="33">
        <f t="shared" si="38"/>
        <v>0.96432618458051789</v>
      </c>
      <c r="AC180" s="38">
        <f>IF(LEFT($B180,4)="_Mil","",_xlfn.IFNA(ROUND(INDEX(Spectrum!$N:$N,MATCH(RIGHT($B180,13)&amp;"|"&amp;$C180&amp;"|"&amp;$D180&amp;"|"&amp;AC$14&amp;"|"&amp;"CY2024Q3",Spectrum!$R:$R,0)),0),""))</f>
        <v>1756</v>
      </c>
      <c r="AD180" s="38" t="str">
        <f>IF(LEFT($B180,4)="_Mil","",_xlfn.IFNA(ROUND(INDEX(Spectrum!$N:$N,MATCH(RIGHT($B180,13)&amp;"|"&amp;$C180&amp;"|"&amp;$D180&amp;"|"&amp;AD$14&amp;"|"&amp;"CY2024Q3",Spectrum!$R:$R,0)),0),""))</f>
        <v/>
      </c>
      <c r="AE180" s="33">
        <f t="shared" si="39"/>
        <v>0</v>
      </c>
      <c r="AF180" s="218" t="str">
        <f>IF(LEFT($B180,4)="_Mil","",_xlfn.IFNA(ROUND(INDEX(Spectrum!$N:$N,MATCH(RIGHT($B180,13)&amp;"|"&amp;$C180&amp;"|"&amp;$D180&amp;"|"&amp;AF$14&amp;"|"&amp;"CY2024Q3",Spectrum!$R:$R,0)),0),""))</f>
        <v/>
      </c>
      <c r="AG180" s="33" t="str">
        <f t="shared" si="40"/>
        <v/>
      </c>
      <c r="AH180" s="110" t="str">
        <f>IF(LEFT($B180,4)="_Mil","",_xlfn.IFNA(INDEX(Spectrum!$N:$N,MATCH(RIGHT($B180,13)&amp;"|"&amp;$C180&amp;"|"&amp;$D180&amp;"|"&amp;AH$14&amp;"|"&amp;"CY2024Q3",Spectrum!$R:$R,0)),""))</f>
        <v/>
      </c>
      <c r="AI180" s="218">
        <f>IF(LEFT($B180,4)="_Mil","",_xlfn.IFNA(ROUND(INDEX(Spectrum!$N:$N,MATCH(RIGHT($B180,13)&amp;"|"&amp;$C180&amp;"|"&amp;$D180&amp;"|"&amp;AI$14&amp;"|"&amp;"CY2025Q3",Spectrum!$R:$R,0)),0),""))</f>
        <v>239</v>
      </c>
      <c r="AJ180" s="38">
        <f>IF(LEFT($B180,4)="_Mil","",_xlfn.IFNA(ROUND(INDEX(Spectrum!$N:$N,MATCH(RIGHT($B180,13)&amp;"|"&amp;$C180&amp;"|"&amp;$D180&amp;"|"&amp;AJ$14&amp;"|"&amp;"CY2025Q3",Spectrum!$R:$R,0)),0),""))</f>
        <v>24287</v>
      </c>
      <c r="AK180" s="218" t="e">
        <f>#REF!</f>
        <v>#REF!</v>
      </c>
      <c r="AL180" s="33">
        <f t="shared" si="41"/>
        <v>0.93583390700000013</v>
      </c>
      <c r="AM180" s="38" t="e">
        <f>IF(OR(LEFT($B180,4)="_Mil",$C180="&lt;01"),"",ROUND(SUM($AK180)*SUM($AL180),0))</f>
        <v>#REF!</v>
      </c>
      <c r="AN180" s="38" t="str">
        <f>IF($C180="&lt;01",ROUND(INDEX(EID!$P:$P,MATCH($B180,EID!$B:$B,0))/2,0),"")</f>
        <v/>
      </c>
      <c r="AO180" s="38" t="e">
        <f>IF($C180="&lt;01",SUM($AN180),ROUND(SUM($AM180)*SUM($O180)/IF(SUM($Z180)=0,1,$Z180),0))</f>
        <v>#REF!</v>
      </c>
      <c r="AP180" s="218">
        <f>IF(OR($F180="",$C180="&lt;01"),$AO180,ROUND($F180,0))</f>
        <v>19892</v>
      </c>
      <c r="AQ180" s="218">
        <f>IF(LEFT($B180,4)="_Mil","",IF(SUM($AP180)=0,SUM($Z180),IF(OR(SUM($Z180)=0,SUM($O180)=0),MAX($AP180,$Z180),ROUND($AP180*$Z180/$O180,0))))</f>
        <v>22977</v>
      </c>
      <c r="AR180" s="33" t="e">
        <f>IF(OR(LEFT($B180,4)="_Mil",SUM($AK180)=0),"",SUM($AQ180)/$AK180)</f>
        <v>#REF!</v>
      </c>
      <c r="AS180" s="33">
        <v>0.95</v>
      </c>
      <c r="AT180" s="33">
        <f t="shared" si="49"/>
        <v>0.98</v>
      </c>
      <c r="AU180" s="38">
        <f>IF($C180="&lt;01","",SUM($AP180)-SUM($O180))</f>
        <v>0</v>
      </c>
      <c r="AV180" s="38">
        <f>IF($C180="&lt;01",ROUND(INDEX(EID!$N:$N,MATCH($B180,EID!$B:$B,0))/2,0),IF(SUM($AT180)=0,"",ROUND((SUM($AP180)-(SUM($O180)*SUM($AS180)))/$AT180,0)))</f>
        <v>1015</v>
      </c>
      <c r="AW180" s="33">
        <f t="shared" si="42"/>
        <v>1</v>
      </c>
      <c r="AX180" s="218">
        <f>IF($C180="&lt;01",SUM($AV180),ROUND(SUM($AV180)*SUM($AW180),0))</f>
        <v>1015</v>
      </c>
      <c r="AY180" s="79">
        <f t="shared" si="43"/>
        <v>0.7</v>
      </c>
      <c r="AZ180" s="85">
        <f>IF($C180="&lt;01",ROUND(INDEX(EID!$R:$R,MATCH($B180,EID!$B:$B,0))/2,0),ROUND(SUM($O180)+(SUM($AV180)*$AY180),0))</f>
        <v>20603</v>
      </c>
      <c r="BA180" s="40">
        <f t="shared" si="47"/>
        <v>0.9</v>
      </c>
      <c r="BB180" s="99">
        <f>IF($C180="&lt;01",ROUND(INDEX(EID!$T:$T,MATCH($B180,EID!$B:$B,0))/2,0),ROUND($AP180*$BA180,0))</f>
        <v>17903</v>
      </c>
      <c r="BC180" s="85">
        <f>IF(LEFT($B180,4)="_Mil","",IF(SUM($BB180)=0,SUM($AD180),IF(OR(SUM($AP180)=0,SUM($AQ180)=0),MAX($BB180,$AD180),ROUND($BB180*$AQ180/$AP180,0))))</f>
        <v>20680</v>
      </c>
      <c r="BD180" s="33">
        <f t="shared" si="44"/>
        <v>0.95</v>
      </c>
      <c r="BE180" s="218">
        <f>IF($C180="&lt;01",ROUND(INDEX(EID!$V:$V,MATCH($B180,EID!$B:$B,0))/2,0),ROUND($BD180*$BB180,0))</f>
        <v>17008</v>
      </c>
      <c r="BF180" s="218">
        <f>IF(LEFT($B180,4)="_Mil","",IF(SUM($BE180)=0,SUM($AF180),IF(OR(SUM($AP180)=0,SUM($AQ180)=0),MAX($BE180,$AF180),ROUND($BE180*$AQ180/$AP180,0))))</f>
        <v>19646</v>
      </c>
      <c r="BG180" s="79">
        <f t="shared" si="45"/>
        <v>0.95</v>
      </c>
      <c r="BH180" s="99">
        <f>IF($C180="&lt;01",ROUND(INDEX(EID!$L:$L,MATCH($B180,EID!$B:$B,0)),0)/2,IF(SUM($BG180)=0,"",ROUND($AX180/$BG180,0)))</f>
        <v>1068</v>
      </c>
    </row>
    <row r="181" spans="1:60" x14ac:dyDescent="0.2">
      <c r="A181" t="str">
        <f>INDEX(Prioritization!$D:$D,MATCH($B181,Prioritization!$A:$A,0))</f>
        <v>INVALID</v>
      </c>
      <c r="B181" t="s">
        <v>301</v>
      </c>
      <c r="C181" t="s">
        <v>478</v>
      </c>
      <c r="D181" t="s">
        <v>30</v>
      </c>
      <c r="E181" t="str">
        <f t="shared" si="35"/>
        <v>Lilongwe District [ScR9iFKAasW]|50+|Female</v>
      </c>
      <c r="F181" s="229">
        <v>14348</v>
      </c>
      <c r="G181" s="38">
        <v>306</v>
      </c>
      <c r="H181" s="38">
        <v>273</v>
      </c>
      <c r="I181" s="38">
        <v>14126</v>
      </c>
      <c r="J181" s="38">
        <v>10424</v>
      </c>
      <c r="K181" s="38">
        <v>10031</v>
      </c>
      <c r="L181" s="38">
        <v>656</v>
      </c>
      <c r="M181" s="38">
        <v>643</v>
      </c>
      <c r="N181" s="38">
        <v>12655</v>
      </c>
      <c r="O181" s="229">
        <v>13016</v>
      </c>
      <c r="P181" s="38">
        <v>11036</v>
      </c>
      <c r="Q181" s="38">
        <v>10484</v>
      </c>
      <c r="R181" s="38">
        <f t="shared" si="36"/>
        <v>-1110</v>
      </c>
      <c r="S181" s="38">
        <f>IF(LEFT($B181,4)="_Mil","",_xlfn.IFNA(ROUND(INDEX(Spectrum!$N:$N,MATCH(RIGHT($B181,13)&amp;"|"&amp;$C181&amp;"|"&amp;$D181&amp;"|"&amp;S$14&amp;"|"&amp;"CY2023Q4",Spectrum!$R:$R,0)),0),""))</f>
        <v>11919</v>
      </c>
      <c r="T181" s="218">
        <f>IF(LEFT($B181,4)="_Mil","",_xlfn.IFNA(ROUND(INDEX(Spectrum!$N:$N,MATCH(RIGHT($B181,13)&amp;"|"&amp;$C181&amp;"|"&amp;$D181&amp;"|"&amp;T$14&amp;"|"&amp;"CY2024Q3",Spectrum!$R:$R,0)),0),""))</f>
        <v>122571</v>
      </c>
      <c r="U181" s="218">
        <f>IF(LEFT($B181,4)="_Mil","",_xlfn.IFNA(ROUND(INDEX(Spectrum!$N:$N,MATCH(RIGHT($B181,13)&amp;"|"&amp;$C181&amp;"|"&amp;$D181&amp;"|"&amp;U$14&amp;"|"&amp;"CY2024Q3",Spectrum!$R:$R,0)),0),""))</f>
        <v>13555</v>
      </c>
      <c r="V181" s="38">
        <f>IF(LEFT($B181,4)="_Mil","",_xlfn.IFNA(ROUND(INDEX(Spectrum!$N:$N,MATCH(RIGHT($B181,13)&amp;"|"&amp;$C181&amp;"|"&amp;$D181&amp;"|"&amp;V$14&amp;"|"&amp;"CY2024Q3",Spectrum!$R:$R,0)),0),""))</f>
        <v>13016</v>
      </c>
      <c r="W181" s="220">
        <f>IF(LEFT($B181,4)="_Mil","",_xlfn.IFNA(INDEX(Spectrum!$N:$N,MATCH(RIGHT($B181,13)&amp;"|"&amp;$C181&amp;"|"&amp;$D181&amp;"|"&amp;W$14&amp;"|"&amp;"CY2024Q3",Spectrum!$R:$R,0)),""))</f>
        <v>0.110589617</v>
      </c>
      <c r="X181" s="218">
        <f>IF(LEFT($B181,4)="_Mil","",_xlfn.IFNA(ROUND(INDEX(Spectrum!$N:$N,MATCH(RIGHT($B181,13)&amp;"|"&amp;$C181&amp;"|"&amp;$D181&amp;"|"&amp;X$14&amp;"|"&amp;"CY2024Q3",Spectrum!$R:$R,0)),0),""))</f>
        <v>13440</v>
      </c>
      <c r="Y181" s="33">
        <f t="shared" si="37"/>
        <v>0.99</v>
      </c>
      <c r="Z181" s="218">
        <f>IF(LEFT($B181,4)="_Mil","",_xlfn.IFNA(ROUND(INDEX(Spectrum!$N:$N,MATCH(RIGHT($B181,13)&amp;"|"&amp;$C181&amp;"|"&amp;$D181&amp;"|"&amp;Z$14&amp;"|"&amp;"CY2024Q3",Spectrum!$R:$R,0)),0),""))</f>
        <v>12885</v>
      </c>
      <c r="AA181" s="33">
        <f>IF(LEFT($B181,4)="_Mil","",IFERROR(1/(1/INDEX(Spectrum!$N:$N,MATCH(RIGHT($B181,13)&amp;"|"&amp;$C181&amp;"|"&amp;$D181&amp;"|"&amp;AA$14&amp;"|"&amp;"CY2024Q3",Spectrum!$R:$R,0))),IF(SUM($U181)=0,"",SUM($Z181)/$U181)))</f>
        <v>0.98975779799999997</v>
      </c>
      <c r="AB181" s="33">
        <f t="shared" si="38"/>
        <v>0.9587053571428571</v>
      </c>
      <c r="AC181" s="38">
        <f>IF(LEFT($B181,4)="_Mil","",_xlfn.IFNA(ROUND(INDEX(Spectrum!$N:$N,MATCH(RIGHT($B181,13)&amp;"|"&amp;$C181&amp;"|"&amp;$D181&amp;"|"&amp;AC$14&amp;"|"&amp;"CY2024Q3",Spectrum!$R:$R,0)),0),""))</f>
        <v>132</v>
      </c>
      <c r="AD181" s="38" t="str">
        <f>IF(LEFT($B181,4)="_Mil","",_xlfn.IFNA(ROUND(INDEX(Spectrum!$N:$N,MATCH(RIGHT($B181,13)&amp;"|"&amp;$C181&amp;"|"&amp;$D181&amp;"|"&amp;AD$14&amp;"|"&amp;"CY2024Q3",Spectrum!$R:$R,0)),0),""))</f>
        <v/>
      </c>
      <c r="AE181" s="33">
        <f t="shared" si="39"/>
        <v>0</v>
      </c>
      <c r="AF181" s="218" t="str">
        <f>IF(LEFT($B181,4)="_Mil","",_xlfn.IFNA(ROUND(INDEX(Spectrum!$N:$N,MATCH(RIGHT($B181,13)&amp;"|"&amp;$C181&amp;"|"&amp;$D181&amp;"|"&amp;AF$14&amp;"|"&amp;"CY2024Q3",Spectrum!$R:$R,0)),0),""))</f>
        <v/>
      </c>
      <c r="AG181" s="33" t="str">
        <f t="shared" si="40"/>
        <v/>
      </c>
      <c r="AH181" s="110" t="str">
        <f>IF(LEFT($B181,4)="_Mil","",_xlfn.IFNA(INDEX(Spectrum!$N:$N,MATCH(RIGHT($B181,13)&amp;"|"&amp;$C181&amp;"|"&amp;$D181&amp;"|"&amp;AH$14&amp;"|"&amp;"CY2024Q3",Spectrum!$R:$R,0)),""))</f>
        <v/>
      </c>
      <c r="AI181" s="218">
        <f>IF(LEFT($B181,4)="_Mil","",_xlfn.IFNA(ROUND(INDEX(Spectrum!$N:$N,MATCH(RIGHT($B181,13)&amp;"|"&amp;$C181&amp;"|"&amp;$D181&amp;"|"&amp;AI$14&amp;"|"&amp;"CY2025Q3",Spectrum!$R:$R,0)),0),""))</f>
        <v>20</v>
      </c>
      <c r="AJ181" s="38">
        <f>IF(LEFT($B181,4)="_Mil","",_xlfn.IFNA(ROUND(INDEX(Spectrum!$N:$N,MATCH(RIGHT($B181,13)&amp;"|"&amp;$C181&amp;"|"&amp;$D181&amp;"|"&amp;AJ$14&amp;"|"&amp;"CY2025Q3",Spectrum!$R:$R,0)),0),""))</f>
        <v>15033</v>
      </c>
      <c r="AK181" s="218" t="e">
        <f>#REF!</f>
        <v>#REF!</v>
      </c>
      <c r="AL181" s="33">
        <f t="shared" si="41"/>
        <v>0.98975779799999997</v>
      </c>
      <c r="AM181" s="38" t="e">
        <f>IF(OR(LEFT($B181,4)="_Mil",$C181="&lt;01"),"",ROUND(SUM($AK181)*SUM($AL181),0))</f>
        <v>#REF!</v>
      </c>
      <c r="AN181" s="38" t="str">
        <f>IF($C181="&lt;01",ROUND(INDEX(EID!$P:$P,MATCH($B181,EID!$B:$B,0))/2,0),"")</f>
        <v/>
      </c>
      <c r="AO181" s="38" t="e">
        <f>IF($C181="&lt;01",SUM($AN181),ROUND(SUM($AM181)*SUM($O181)/IF(SUM($Z181)=0,1,$Z181),0))</f>
        <v>#REF!</v>
      </c>
      <c r="AP181" s="218">
        <f>IF(OR($F181="",$C181="&lt;01"),$AO181,ROUND($F181,0))</f>
        <v>14348</v>
      </c>
      <c r="AQ181" s="218">
        <f>IF(LEFT($B181,4)="_Mil","",IF(SUM($AP181)=0,SUM($Z181),IF(OR(SUM($Z181)=0,SUM($O181)=0),MAX($AP181,$Z181),ROUND($AP181*$Z181/$O181,0))))</f>
        <v>14204</v>
      </c>
      <c r="AR181" s="33" t="e">
        <f>IF(OR(LEFT($B181,4)="_Mil",SUM($AK181)=0),"",SUM($AQ181)/$AK181)</f>
        <v>#REF!</v>
      </c>
      <c r="AS181" s="33">
        <v>1.02</v>
      </c>
      <c r="AT181" s="33">
        <f>IF($C181="&lt;01","",100%)</f>
        <v>1</v>
      </c>
      <c r="AU181" s="38">
        <f>IF($C181="&lt;01","",SUM($AP181)-SUM($O181))</f>
        <v>1332</v>
      </c>
      <c r="AV181" s="38">
        <f>IF($C181="&lt;01",ROUND(INDEX(EID!$N:$N,MATCH($B181,EID!$B:$B,0))/2,0),IF(SUM($AT181)=0,"",ROUND((SUM($AP181)-(SUM($O181)*SUM($AS181)))/$AT181,0)))</f>
        <v>1072</v>
      </c>
      <c r="AW181" s="33">
        <v>0.8</v>
      </c>
      <c r="AX181" s="218">
        <f>IF($C181="&lt;01",SUM($AV181),ROUND(SUM($AV181)*SUM($AW181),0))</f>
        <v>858</v>
      </c>
      <c r="AY181" s="79">
        <f t="shared" si="43"/>
        <v>0.7</v>
      </c>
      <c r="AZ181" s="85">
        <f>IF($C181="&lt;01",ROUND(INDEX(EID!$R:$R,MATCH($B181,EID!$B:$B,0))/2,0),ROUND(SUM($O181)+(SUM($AV181)*$AY181),0))</f>
        <v>13766</v>
      </c>
      <c r="BA181" s="40">
        <f t="shared" si="47"/>
        <v>0.9</v>
      </c>
      <c r="BB181" s="99">
        <f>IF($C181="&lt;01",ROUND(INDEX(EID!$T:$T,MATCH($B181,EID!$B:$B,0))/2,0),ROUND($AP181*$BA181,0))</f>
        <v>12913</v>
      </c>
      <c r="BC181" s="85">
        <f>IF(LEFT($B181,4)="_Mil","",IF(SUM($BB181)=0,SUM($AD181),IF(OR(SUM($AP181)=0,SUM($AQ181)=0),MAX($BB181,$AD181),ROUND($BB181*$AQ181/$AP181,0))))</f>
        <v>12783</v>
      </c>
      <c r="BD181" s="33">
        <f t="shared" si="44"/>
        <v>0.95</v>
      </c>
      <c r="BE181" s="218">
        <f>IF($C181="&lt;01",ROUND(INDEX(EID!$V:$V,MATCH($B181,EID!$B:$B,0))/2,0),ROUND($BD181*$BB181,0))</f>
        <v>12267</v>
      </c>
      <c r="BF181" s="218">
        <f>IF(LEFT($B181,4)="_Mil","",IF(SUM($BE181)=0,SUM($AF181),IF(OR(SUM($AP181)=0,SUM($AQ181)=0),MAX($BE181,$AF181),ROUND($BE181*$AQ181/$AP181,0))))</f>
        <v>12144</v>
      </c>
      <c r="BG181" s="79">
        <f t="shared" si="45"/>
        <v>0.95</v>
      </c>
      <c r="BH181" s="99">
        <f>IF($C181="&lt;01",ROUND(INDEX(EID!$L:$L,MATCH($B181,EID!$B:$B,0)),0)/2,IF(SUM($BG181)=0,"",ROUND($AX181/$BG181,0)))</f>
        <v>903</v>
      </c>
    </row>
    <row r="182" spans="1:60" x14ac:dyDescent="0.2">
      <c r="A182" t="str">
        <f>INDEX(Prioritization!$D:$D,MATCH($B182,Prioritization!$A:$A,0))</f>
        <v>INVALID</v>
      </c>
      <c r="B182" t="s">
        <v>301</v>
      </c>
      <c r="C182" t="s">
        <v>478</v>
      </c>
      <c r="D182" t="s">
        <v>48</v>
      </c>
      <c r="E182" t="str">
        <f t="shared" si="35"/>
        <v>Lilongwe District [ScR9iFKAasW]|50+|Male</v>
      </c>
      <c r="F182" s="229">
        <v>14693</v>
      </c>
      <c r="G182" s="38">
        <v>495</v>
      </c>
      <c r="H182" s="38">
        <v>515</v>
      </c>
      <c r="I182" s="38">
        <v>14141</v>
      </c>
      <c r="J182" s="38">
        <v>10178</v>
      </c>
      <c r="K182" s="38">
        <v>9708</v>
      </c>
      <c r="L182" s="38">
        <v>497</v>
      </c>
      <c r="M182" s="38">
        <v>469</v>
      </c>
      <c r="N182" s="38">
        <v>13198</v>
      </c>
      <c r="O182" s="229">
        <v>13577</v>
      </c>
      <c r="P182" s="38">
        <v>11633</v>
      </c>
      <c r="Q182" s="38">
        <v>11051</v>
      </c>
      <c r="R182" s="38">
        <f t="shared" si="36"/>
        <v>-564</v>
      </c>
      <c r="S182" s="38">
        <f>IF(LEFT($B182,4)="_Mil","",_xlfn.IFNA(ROUND(INDEX(Spectrum!$N:$N,MATCH(RIGHT($B182,13)&amp;"|"&amp;$C182&amp;"|"&amp;$D182&amp;"|"&amp;S$14&amp;"|"&amp;"CY2023Q4",Spectrum!$R:$R,0)),0),""))</f>
        <v>11927</v>
      </c>
      <c r="T182" s="218">
        <f>IF(LEFT($B182,4)="_Mil","",_xlfn.IFNA(ROUND(INDEX(Spectrum!$N:$N,MATCH(RIGHT($B182,13)&amp;"|"&amp;$C182&amp;"|"&amp;$D182&amp;"|"&amp;T$14&amp;"|"&amp;"CY2024Q3",Spectrum!$R:$R,0)),0),""))</f>
        <v>106361</v>
      </c>
      <c r="U182" s="218">
        <f>IF(LEFT($B182,4)="_Mil","",_xlfn.IFNA(ROUND(INDEX(Spectrum!$N:$N,MATCH(RIGHT($B182,13)&amp;"|"&amp;$C182&amp;"|"&amp;$D182&amp;"|"&amp;U$14&amp;"|"&amp;"CY2024Q3",Spectrum!$R:$R,0)),0),""))</f>
        <v>14007</v>
      </c>
      <c r="V182" s="38">
        <f>IF(LEFT($B182,4)="_Mil","",_xlfn.IFNA(ROUND(INDEX(Spectrum!$N:$N,MATCH(RIGHT($B182,13)&amp;"|"&amp;$C182&amp;"|"&amp;$D182&amp;"|"&amp;V$14&amp;"|"&amp;"CY2024Q3",Spectrum!$R:$R,0)),0),""))</f>
        <v>13577</v>
      </c>
      <c r="W182" s="220">
        <f>IF(LEFT($B182,4)="_Mil","",_xlfn.IFNA(INDEX(Spectrum!$N:$N,MATCH(RIGHT($B182,13)&amp;"|"&amp;$C182&amp;"|"&amp;$D182&amp;"|"&amp;W$14&amp;"|"&amp;"CY2024Q3",Spectrum!$R:$R,0)),""))</f>
        <v>0.13169607999999999</v>
      </c>
      <c r="X182" s="218">
        <f>IF(LEFT($B182,4)="_Mil","",_xlfn.IFNA(ROUND(INDEX(Spectrum!$N:$N,MATCH(RIGHT($B182,13)&amp;"|"&amp;$C182&amp;"|"&amp;$D182&amp;"|"&amp;X$14&amp;"|"&amp;"CY2024Q3",Spectrum!$R:$R,0)),0),""))</f>
        <v>13417</v>
      </c>
      <c r="Y182" s="33">
        <f t="shared" si="37"/>
        <v>0.96</v>
      </c>
      <c r="Z182" s="218">
        <f>IF(LEFT($B182,4)="_Mil","",_xlfn.IFNA(ROUND(INDEX(Spectrum!$N:$N,MATCH(RIGHT($B182,13)&amp;"|"&amp;$C182&amp;"|"&amp;$D182&amp;"|"&amp;Z$14&amp;"|"&amp;"CY2024Q3",Spectrum!$R:$R,0)),0),""))</f>
        <v>12920</v>
      </c>
      <c r="AA182" s="33">
        <f>IF(LEFT($B182,4)="_Mil","",IFERROR(1/(1/INDEX(Spectrum!$N:$N,MATCH(RIGHT($B182,13)&amp;"|"&amp;$C182&amp;"|"&amp;$D182&amp;"|"&amp;AA$14&amp;"|"&amp;"CY2024Q3",Spectrum!$R:$R,0))),IF(SUM($U182)=0,"",SUM($Z182)/$U182)))</f>
        <v>0.95512615900000009</v>
      </c>
      <c r="AB182" s="33">
        <f t="shared" si="38"/>
        <v>0.96295744205112921</v>
      </c>
      <c r="AC182" s="38">
        <f>IF(LEFT($B182,4)="_Mil","",_xlfn.IFNA(ROUND(INDEX(Spectrum!$N:$N,MATCH(RIGHT($B182,13)&amp;"|"&amp;$C182&amp;"|"&amp;$D182&amp;"|"&amp;AC$14&amp;"|"&amp;"CY2024Q3",Spectrum!$R:$R,0)),0),""))</f>
        <v>657</v>
      </c>
      <c r="AD182" s="38" t="str">
        <f>IF(LEFT($B182,4)="_Mil","",_xlfn.IFNA(ROUND(INDEX(Spectrum!$N:$N,MATCH(RIGHT($B182,13)&amp;"|"&amp;$C182&amp;"|"&amp;$D182&amp;"|"&amp;AD$14&amp;"|"&amp;"CY2024Q3",Spectrum!$R:$R,0)),0),""))</f>
        <v/>
      </c>
      <c r="AE182" s="33">
        <f t="shared" si="39"/>
        <v>0</v>
      </c>
      <c r="AF182" s="218" t="str">
        <f>IF(LEFT($B182,4)="_Mil","",_xlfn.IFNA(ROUND(INDEX(Spectrum!$N:$N,MATCH(RIGHT($B182,13)&amp;"|"&amp;$C182&amp;"|"&amp;$D182&amp;"|"&amp;AF$14&amp;"|"&amp;"CY2024Q3",Spectrum!$R:$R,0)),0),""))</f>
        <v/>
      </c>
      <c r="AG182" s="33" t="str">
        <f t="shared" si="40"/>
        <v/>
      </c>
      <c r="AH182" s="110" t="str">
        <f>IF(LEFT($B182,4)="_Mil","",_xlfn.IFNA(INDEX(Spectrum!$N:$N,MATCH(RIGHT($B182,13)&amp;"|"&amp;$C182&amp;"|"&amp;$D182&amp;"|"&amp;AH$14&amp;"|"&amp;"CY2024Q3",Spectrum!$R:$R,0)),""))</f>
        <v/>
      </c>
      <c r="AI182" s="218">
        <f>IF(LEFT($B182,4)="_Mil","",_xlfn.IFNA(ROUND(INDEX(Spectrum!$N:$N,MATCH(RIGHT($B182,13)&amp;"|"&amp;$C182&amp;"|"&amp;$D182&amp;"|"&amp;AI$14&amp;"|"&amp;"CY2025Q3",Spectrum!$R:$R,0)),0),""))</f>
        <v>46</v>
      </c>
      <c r="AJ182" s="38">
        <f>IF(LEFT($B182,4)="_Mil","",_xlfn.IFNA(ROUND(INDEX(Spectrum!$N:$N,MATCH(RIGHT($B182,13)&amp;"|"&amp;$C182&amp;"|"&amp;$D182&amp;"|"&amp;AJ$14&amp;"|"&amp;"CY2025Q3",Spectrum!$R:$R,0)),0),""))</f>
        <v>15234</v>
      </c>
      <c r="AK182" s="218" t="e">
        <f>#REF!</f>
        <v>#REF!</v>
      </c>
      <c r="AL182" s="33">
        <f t="shared" si="41"/>
        <v>0.95512615900000009</v>
      </c>
      <c r="AM182" s="38" t="e">
        <f>IF(OR(LEFT($B182,4)="_Mil",$C182="&lt;01"),"",ROUND(SUM($AK182)*SUM($AL182),0))</f>
        <v>#REF!</v>
      </c>
      <c r="AN182" s="38" t="str">
        <f>IF($C182="&lt;01",ROUND(INDEX(EID!$P:$P,MATCH($B182,EID!$B:$B,0))/2,0),"")</f>
        <v/>
      </c>
      <c r="AO182" s="38" t="e">
        <f>IF($C182="&lt;01",SUM($AN182),ROUND(SUM($AM182)*SUM($O182)/IF(SUM($Z182)=0,1,$Z182),0))</f>
        <v>#REF!</v>
      </c>
      <c r="AP182" s="218">
        <f>IF(OR($F182="",$C182="&lt;01"),$AO182,ROUND($F182,0))</f>
        <v>14693</v>
      </c>
      <c r="AQ182" s="218">
        <f>IF(LEFT($B182,4)="_Mil","",IF(SUM($AP182)=0,SUM($Z182),IF(OR(SUM($Z182)=0,SUM($O182)=0),MAX($AP182,$Z182),ROUND($AP182*$Z182/$O182,0))))</f>
        <v>13982</v>
      </c>
      <c r="AR182" s="33" t="e">
        <f>IF(OR(LEFT($B182,4)="_Mil",SUM($AK182)=0),"",SUM($AQ182)/$AK182)</f>
        <v>#REF!</v>
      </c>
      <c r="AS182" s="33">
        <v>1.02</v>
      </c>
      <c r="AT182" s="33">
        <f>IF($C182="&lt;01","",100%)</f>
        <v>1</v>
      </c>
      <c r="AU182" s="38">
        <f>IF($C182="&lt;01","",SUM($AP182)-SUM($O182))</f>
        <v>1116</v>
      </c>
      <c r="AV182" s="38">
        <f>IF($C182="&lt;01",ROUND(INDEX(EID!$N:$N,MATCH($B182,EID!$B:$B,0))/2,0),IF(SUM($AT182)=0,"",ROUND((SUM($AP182)-(SUM($O182)*SUM($AS182)))/$AT182,0)))</f>
        <v>844</v>
      </c>
      <c r="AW182" s="33">
        <v>0.8</v>
      </c>
      <c r="AX182" s="218">
        <f>IF($C182="&lt;01",SUM($AV182),ROUND(SUM($AV182)*SUM($AW182),0))</f>
        <v>675</v>
      </c>
      <c r="AY182" s="79">
        <f t="shared" si="43"/>
        <v>0.7</v>
      </c>
      <c r="AZ182" s="85">
        <f>IF($C182="&lt;01",ROUND(INDEX(EID!$R:$R,MATCH($B182,EID!$B:$B,0))/2,0),ROUND(SUM($O182)+(SUM($AV182)*$AY182),0))</f>
        <v>14168</v>
      </c>
      <c r="BA182" s="40">
        <f t="shared" si="47"/>
        <v>0.9</v>
      </c>
      <c r="BB182" s="99">
        <f>IF($C182="&lt;01",ROUND(INDEX(EID!$T:$T,MATCH($B182,EID!$B:$B,0))/2,0),ROUND($AP182*$BA182,0))</f>
        <v>13224</v>
      </c>
      <c r="BC182" s="85">
        <f>IF(LEFT($B182,4)="_Mil","",IF(SUM($BB182)=0,SUM($AD182),IF(OR(SUM($AP182)=0,SUM($AQ182)=0),MAX($BB182,$AD182),ROUND($BB182*$AQ182/$AP182,0))))</f>
        <v>12584</v>
      </c>
      <c r="BD182" s="33">
        <f t="shared" si="44"/>
        <v>0.95</v>
      </c>
      <c r="BE182" s="218">
        <f>IF($C182="&lt;01",ROUND(INDEX(EID!$V:$V,MATCH($B182,EID!$B:$B,0))/2,0),ROUND($BD182*$BB182,0))</f>
        <v>12563</v>
      </c>
      <c r="BF182" s="218">
        <f>IF(LEFT($B182,4)="_Mil","",IF(SUM($BE182)=0,SUM($AF182),IF(OR(SUM($AP182)=0,SUM($AQ182)=0),MAX($BE182,$AF182),ROUND($BE182*$AQ182/$AP182,0))))</f>
        <v>11955</v>
      </c>
      <c r="BG182" s="79">
        <f t="shared" si="45"/>
        <v>0.95</v>
      </c>
      <c r="BH182" s="99">
        <f>IF($C182="&lt;01",ROUND(INDEX(EID!$L:$L,MATCH($B182,EID!$B:$B,0)),0)/2,IF(SUM($BG182)=0,"",ROUND($AX182/$BG182,0)))</f>
        <v>711</v>
      </c>
    </row>
    <row r="183" spans="1:60" x14ac:dyDescent="0.2">
      <c r="A183" t="str">
        <f>INDEX(Prioritization!$D:$D,MATCH($B183,Prioritization!$A:$A,0))</f>
        <v>1 - Scale-up: Saturation</v>
      </c>
      <c r="B183" t="s">
        <v>317</v>
      </c>
      <c r="C183" t="s">
        <v>426</v>
      </c>
      <c r="D183" t="s">
        <v>30</v>
      </c>
      <c r="E183" t="str">
        <f t="shared" si="35"/>
        <v>Machinga District [TYnMSwzko3z]|&lt;01|Female</v>
      </c>
      <c r="F183" s="229">
        <v>20</v>
      </c>
      <c r="G183" s="38">
        <v>21</v>
      </c>
      <c r="H183" s="38">
        <v>22</v>
      </c>
      <c r="I183" s="38">
        <v>25</v>
      </c>
      <c r="J183" s="38">
        <v>24</v>
      </c>
      <c r="K183" s="38">
        <v>21</v>
      </c>
      <c r="L183" s="38"/>
      <c r="M183" s="38">
        <v>24</v>
      </c>
      <c r="N183" s="38">
        <v>24</v>
      </c>
      <c r="O183" s="229">
        <v>23</v>
      </c>
      <c r="P183" s="38">
        <v>16</v>
      </c>
      <c r="Q183" s="38">
        <v>15</v>
      </c>
      <c r="R183" s="38">
        <f t="shared" si="36"/>
        <v>-2</v>
      </c>
      <c r="S183" s="38">
        <f>IF(LEFT($B183,4)="_Mil","",_xlfn.IFNA(ROUND(INDEX(Spectrum!$N:$N,MATCH(RIGHT($B183,13)&amp;"|"&amp;$C183&amp;"|"&amp;$D183&amp;"|"&amp;S$14&amp;"|"&amp;"CY2023Q4",Spectrum!$R:$R,0)),0),""))</f>
        <v>18</v>
      </c>
      <c r="T183" s="218">
        <f>IF(LEFT($B183,4)="_Mil","",_xlfn.IFNA(ROUND(INDEX(Spectrum!$N:$N,MATCH(RIGHT($B183,13)&amp;"|"&amp;$C183&amp;"|"&amp;$D183&amp;"|"&amp;T$14&amp;"|"&amp;"CY2024Q3",Spectrum!$R:$R,0)),0),""))</f>
        <v>17989</v>
      </c>
      <c r="U183" s="218">
        <f>IF(LEFT($B183,4)="_Mil","",_xlfn.IFNA(ROUND(INDEX(Spectrum!$N:$N,MATCH(RIGHT($B183,13)&amp;"|"&amp;$C183&amp;"|"&amp;$D183&amp;"|"&amp;U$14&amp;"|"&amp;"CY2024Q3",Spectrum!$R:$R,0)),0),""))</f>
        <v>20</v>
      </c>
      <c r="V183" s="38">
        <f>IF(LEFT($B183,4)="_Mil","",_xlfn.IFNA(ROUND(INDEX(Spectrum!$N:$N,MATCH(RIGHT($B183,13)&amp;"|"&amp;$C183&amp;"|"&amp;$D183&amp;"|"&amp;V$14&amp;"|"&amp;"CY2024Q3",Spectrum!$R:$R,0)),0),""))</f>
        <v>23</v>
      </c>
      <c r="W183" s="220">
        <f>IF(LEFT($B183,4)="_Mil","",_xlfn.IFNA(INDEX(Spectrum!$N:$N,MATCH(RIGHT($B183,13)&amp;"|"&amp;$C183&amp;"|"&amp;$D183&amp;"|"&amp;W$14&amp;"|"&amp;"CY2024Q3",Spectrum!$R:$R,0)),""))</f>
        <v>1.1076180000000001E-3</v>
      </c>
      <c r="X183" s="218">
        <f>IF(LEFT($B183,4)="_Mil","",_xlfn.IFNA(ROUND(INDEX(Spectrum!$N:$N,MATCH(RIGHT($B183,13)&amp;"|"&amp;$C183&amp;"|"&amp;$D183&amp;"|"&amp;X$14&amp;"|"&amp;"CY2024Q3",Spectrum!$R:$R,0)),0),""))</f>
        <v>14</v>
      </c>
      <c r="Y183" s="33">
        <f t="shared" si="37"/>
        <v>0.7</v>
      </c>
      <c r="Z183" s="218">
        <f>IF(LEFT($B183,4)="_Mil","",_xlfn.IFNA(ROUND(INDEX(Spectrum!$N:$N,MATCH(RIGHT($B183,13)&amp;"|"&amp;$C183&amp;"|"&amp;$D183&amp;"|"&amp;Z$14&amp;"|"&amp;"CY2024Q3",Spectrum!$R:$R,0)),0),""))</f>
        <v>15</v>
      </c>
      <c r="AA183" s="33">
        <f>IF(LEFT($B183,4)="_Mil","",IFERROR(1/(1/INDEX(Spectrum!$N:$N,MATCH(RIGHT($B183,13)&amp;"|"&amp;$C183&amp;"|"&amp;$D183&amp;"|"&amp;AA$14&amp;"|"&amp;"CY2024Q3",Spectrum!$R:$R,0))),IF(SUM($U183)=0,"",SUM($Z183)/$U183)))</f>
        <v>0.67454632699999995</v>
      </c>
      <c r="AB183" s="33">
        <f t="shared" si="38"/>
        <v>1.0714285714285714</v>
      </c>
      <c r="AC183" s="38">
        <f>IF(LEFT($B183,4)="_Mil","",_xlfn.IFNA(ROUND(INDEX(Spectrum!$N:$N,MATCH(RIGHT($B183,13)&amp;"|"&amp;$C183&amp;"|"&amp;$D183&amp;"|"&amp;AC$14&amp;"|"&amp;"CY2024Q3",Spectrum!$R:$R,0)),0),""))</f>
        <v>7</v>
      </c>
      <c r="AD183" s="38" t="str">
        <f>IF(LEFT($B183,4)="_Mil","",_xlfn.IFNA(ROUND(INDEX(Spectrum!$N:$N,MATCH(RIGHT($B183,13)&amp;"|"&amp;$C183&amp;"|"&amp;$D183&amp;"|"&amp;AD$14&amp;"|"&amp;"CY2024Q3",Spectrum!$R:$R,0)),0),""))</f>
        <v/>
      </c>
      <c r="AE183" s="33">
        <f t="shared" si="39"/>
        <v>0</v>
      </c>
      <c r="AF183" s="218" t="str">
        <f>IF(LEFT($B183,4)="_Mil","",_xlfn.IFNA(ROUND(INDEX(Spectrum!$N:$N,MATCH(RIGHT($B183,13)&amp;"|"&amp;$C183&amp;"|"&amp;$D183&amp;"|"&amp;AF$14&amp;"|"&amp;"CY2024Q3",Spectrum!$R:$R,0)),0),""))</f>
        <v/>
      </c>
      <c r="AG183" s="33" t="str">
        <f t="shared" si="40"/>
        <v/>
      </c>
      <c r="AH183" s="110" t="str">
        <f>IF(LEFT($B183,4)="_Mil","",_xlfn.IFNA(INDEX(Spectrum!$N:$N,MATCH(RIGHT($B183,13)&amp;"|"&amp;$C183&amp;"|"&amp;$D183&amp;"|"&amp;AH$14&amp;"|"&amp;"CY2024Q3",Spectrum!$R:$R,0)),""))</f>
        <v/>
      </c>
      <c r="AI183" s="218">
        <f>IF(LEFT($B183,4)="_Mil","",_xlfn.IFNA(ROUND(INDEX(Spectrum!$N:$N,MATCH(RIGHT($B183,13)&amp;"|"&amp;$C183&amp;"|"&amp;$D183&amp;"|"&amp;AI$14&amp;"|"&amp;"CY2025Q3",Spectrum!$R:$R,0)),0),""))</f>
        <v>30</v>
      </c>
      <c r="AJ183" s="38">
        <f>IF(LEFT($B183,4)="_Mil","",_xlfn.IFNA(ROUND(INDEX(Spectrum!$N:$N,MATCH(RIGHT($B183,13)&amp;"|"&amp;$C183&amp;"|"&amp;$D183&amp;"|"&amp;AJ$14&amp;"|"&amp;"CY2025Q3",Spectrum!$R:$R,0)),0),""))</f>
        <v>18</v>
      </c>
      <c r="AK183" s="218" t="e">
        <f>#REF!</f>
        <v>#REF!</v>
      </c>
      <c r="AL183" s="33" t="str">
        <f t="shared" si="41"/>
        <v/>
      </c>
      <c r="AM183" s="38" t="str">
        <f>IF(OR(LEFT($B183,4)="_Mil",$C183="&lt;01"),"",ROUND(SUM($AK183)*SUM($AL183),0))</f>
        <v/>
      </c>
      <c r="AN183" s="38">
        <f>IF($C183="&lt;01",ROUND(INDEX(EID!$P:$P,MATCH($B183,EID!$B:$B,0))/2,0),"")</f>
        <v>0</v>
      </c>
      <c r="AO183" s="38">
        <f>IF($C183="&lt;01",SUM($AN183),ROUND(SUM($AM183)*SUM($O183)/IF(SUM($Z183)=0,1,$Z183),0))</f>
        <v>0</v>
      </c>
      <c r="AP183" s="218">
        <f>IF(OR($F183="",$C183="&lt;01"),$AO183,ROUND($F183,0))</f>
        <v>0</v>
      </c>
      <c r="AQ183" s="218">
        <f>IF(LEFT($B183,4)="_Mil","",IF(SUM($AP183)=0,SUM($Z183),IF(OR(SUM($Z183)=0,SUM($O183)=0),MAX($AP183,$Z183),ROUND($AP183*$Z183/$O183,0))))</f>
        <v>15</v>
      </c>
      <c r="AR183" s="33" t="e">
        <f>IF(OR(LEFT($B183,4)="_Mil",SUM($AK183)=0),"",SUM($AQ183)/$AK183)</f>
        <v>#REF!</v>
      </c>
      <c r="AS183" s="33" t="str">
        <f t="shared" ref="AS183:AS190" si="50">IF($C183="&lt;01","",98%)</f>
        <v/>
      </c>
      <c r="AT183" s="33" t="str">
        <f t="shared" si="49"/>
        <v/>
      </c>
      <c r="AU183" s="38" t="str">
        <f>IF($C183="&lt;01","",SUM($AP183)-SUM($O183))</f>
        <v/>
      </c>
      <c r="AV183" s="38">
        <f>IF($C183="&lt;01",ROUND(INDEX(EID!$N:$N,MATCH($B183,EID!$B:$B,0))/2,0),IF(SUM($AT183)=0,"",ROUND((SUM($AP183)-(SUM($O183)*SUM($AS183)))/$AT183,0)))</f>
        <v>0</v>
      </c>
      <c r="AW183" s="33" t="str">
        <f t="shared" si="42"/>
        <v/>
      </c>
      <c r="AX183" s="218">
        <f>IF($C183="&lt;01",SUM($AV183),ROUND(SUM($AV183)*SUM($AW183),0))</f>
        <v>0</v>
      </c>
      <c r="AY183" s="79" t="str">
        <f t="shared" si="43"/>
        <v/>
      </c>
      <c r="AZ183" s="85">
        <f>IF($C183="&lt;01",ROUND(INDEX(EID!$R:$R,MATCH($B183,EID!$B:$B,0))/2,0),ROUND(SUM($O183)+(SUM($AV183)*$AY183),0))</f>
        <v>0</v>
      </c>
      <c r="BA183" s="40" t="str">
        <f t="shared" si="47"/>
        <v/>
      </c>
      <c r="BB183" s="99">
        <f>IF($C183="&lt;01",ROUND(INDEX(EID!$T:$T,MATCH($B183,EID!$B:$B,0))/2,0),ROUND($AP183*$BA183,0))</f>
        <v>0</v>
      </c>
      <c r="BC183" s="85">
        <f>IF(LEFT($B183,4)="_Mil","",IF(SUM($BB183)=0,SUM($AD183),IF(OR(SUM($AP183)=0,SUM($AQ183)=0),MAX($BB183,$AD183),ROUND($BB183*$AQ183/$AP183,0))))</f>
        <v>0</v>
      </c>
      <c r="BD183" s="33" t="str">
        <f t="shared" si="44"/>
        <v/>
      </c>
      <c r="BE183" s="218">
        <f>IF($C183="&lt;01",ROUND(INDEX(EID!$V:$V,MATCH($B183,EID!$B:$B,0))/2,0),ROUND($BD183*$BB183,0))</f>
        <v>0</v>
      </c>
      <c r="BF183" s="218">
        <f>IF(LEFT($B183,4)="_Mil","",IF(SUM($BE183)=0,SUM($AF183),IF(OR(SUM($AP183)=0,SUM($AQ183)=0),MAX($BE183,$AF183),ROUND($BE183*$AQ183/$AP183,0))))</f>
        <v>0</v>
      </c>
      <c r="BG183" s="79" t="str">
        <f t="shared" si="45"/>
        <v/>
      </c>
      <c r="BH183" s="99">
        <f>IF($C183="&lt;01",ROUND(INDEX(EID!$L:$L,MATCH($B183,EID!$B:$B,0)),0)/2,IF(SUM($BG183)=0,"",ROUND($AX183/$BG183,0)))</f>
        <v>0</v>
      </c>
    </row>
    <row r="184" spans="1:60" x14ac:dyDescent="0.2">
      <c r="A184" t="str">
        <f>INDEX(Prioritization!$D:$D,MATCH($B184,Prioritization!$A:$A,0))</f>
        <v>1 - Scale-up: Saturation</v>
      </c>
      <c r="B184" t="s">
        <v>317</v>
      </c>
      <c r="C184" t="s">
        <v>426</v>
      </c>
      <c r="D184" t="s">
        <v>48</v>
      </c>
      <c r="E184" t="str">
        <f t="shared" si="35"/>
        <v>Machinga District [TYnMSwzko3z]|&lt;01|Male</v>
      </c>
      <c r="F184" s="229">
        <v>17</v>
      </c>
      <c r="G184" s="38">
        <v>16</v>
      </c>
      <c r="H184" s="38">
        <v>8</v>
      </c>
      <c r="I184" s="38">
        <v>8</v>
      </c>
      <c r="J184" s="38">
        <v>13</v>
      </c>
      <c r="K184" s="38">
        <v>9</v>
      </c>
      <c r="L184" s="38"/>
      <c r="M184" s="38">
        <v>24</v>
      </c>
      <c r="N184" s="38">
        <v>24</v>
      </c>
      <c r="O184" s="229">
        <v>17</v>
      </c>
      <c r="P184" s="38">
        <v>16</v>
      </c>
      <c r="Q184" s="38">
        <v>15</v>
      </c>
      <c r="R184" s="38">
        <f t="shared" si="36"/>
        <v>9</v>
      </c>
      <c r="S184" s="38">
        <f>IF(LEFT($B184,4)="_Mil","",_xlfn.IFNA(ROUND(INDEX(Spectrum!$N:$N,MATCH(RIGHT($B184,13)&amp;"|"&amp;$C184&amp;"|"&amp;$D184&amp;"|"&amp;S$14&amp;"|"&amp;"CY2023Q4",Spectrum!$R:$R,0)),0),""))</f>
        <v>18</v>
      </c>
      <c r="T184" s="218">
        <f>IF(LEFT($B184,4)="_Mil","",_xlfn.IFNA(ROUND(INDEX(Spectrum!$N:$N,MATCH(RIGHT($B184,13)&amp;"|"&amp;$C184&amp;"|"&amp;$D184&amp;"|"&amp;T$14&amp;"|"&amp;"CY2024Q3",Spectrum!$R:$R,0)),0),""))</f>
        <v>17939</v>
      </c>
      <c r="U184" s="218">
        <f>IF(LEFT($B184,4)="_Mil","",_xlfn.IFNA(ROUND(INDEX(Spectrum!$N:$N,MATCH(RIGHT($B184,13)&amp;"|"&amp;$C184&amp;"|"&amp;$D184&amp;"|"&amp;U$14&amp;"|"&amp;"CY2024Q3",Spectrum!$R:$R,0)),0),""))</f>
        <v>20</v>
      </c>
      <c r="V184" s="38">
        <f>IF(LEFT($B184,4)="_Mil","",_xlfn.IFNA(ROUND(INDEX(Spectrum!$N:$N,MATCH(RIGHT($B184,13)&amp;"|"&amp;$C184&amp;"|"&amp;$D184&amp;"|"&amp;V$14&amp;"|"&amp;"CY2024Q3",Spectrum!$R:$R,0)),0),""))</f>
        <v>23</v>
      </c>
      <c r="W184" s="220">
        <f>IF(LEFT($B184,4)="_Mil","",_xlfn.IFNA(INDEX(Spectrum!$N:$N,MATCH(RIGHT($B184,13)&amp;"|"&amp;$C184&amp;"|"&amp;$D184&amp;"|"&amp;W$14&amp;"|"&amp;"CY2024Q3",Spectrum!$R:$R,0)),""))</f>
        <v>1.1206499999999999E-3</v>
      </c>
      <c r="X184" s="218">
        <f>IF(LEFT($B184,4)="_Mil","",_xlfn.IFNA(ROUND(INDEX(Spectrum!$N:$N,MATCH(RIGHT($B184,13)&amp;"|"&amp;$C184&amp;"|"&amp;$D184&amp;"|"&amp;X$14&amp;"|"&amp;"CY2024Q3",Spectrum!$R:$R,0)),0),""))</f>
        <v>14</v>
      </c>
      <c r="Y184" s="33">
        <f t="shared" si="37"/>
        <v>0.7</v>
      </c>
      <c r="Z184" s="218">
        <f>IF(LEFT($B184,4)="_Mil","",_xlfn.IFNA(ROUND(INDEX(Spectrum!$N:$N,MATCH(RIGHT($B184,13)&amp;"|"&amp;$C184&amp;"|"&amp;$D184&amp;"|"&amp;Z$14&amp;"|"&amp;"CY2024Q3",Spectrum!$R:$R,0)),0),""))</f>
        <v>15</v>
      </c>
      <c r="AA184" s="33">
        <f>IF(LEFT($B184,4)="_Mil","",IFERROR(1/(1/INDEX(Spectrum!$N:$N,MATCH(RIGHT($B184,13)&amp;"|"&amp;$C184&amp;"|"&amp;$D184&amp;"|"&amp;AA$14&amp;"|"&amp;"CY2024Q3",Spectrum!$R:$R,0))),IF(SUM($U184)=0,"",SUM($Z184)/$U184)))</f>
        <v>0.67471720999999996</v>
      </c>
      <c r="AB184" s="33">
        <f t="shared" si="38"/>
        <v>1.0714285714285714</v>
      </c>
      <c r="AC184" s="38">
        <f>IF(LEFT($B184,4)="_Mil","",_xlfn.IFNA(ROUND(INDEX(Spectrum!$N:$N,MATCH(RIGHT($B184,13)&amp;"|"&amp;$C184&amp;"|"&amp;$D184&amp;"|"&amp;AC$14&amp;"|"&amp;"CY2024Q3",Spectrum!$R:$R,0)),0),""))</f>
        <v>7</v>
      </c>
      <c r="AD184" s="38" t="str">
        <f>IF(LEFT($B184,4)="_Mil","",_xlfn.IFNA(ROUND(INDEX(Spectrum!$N:$N,MATCH(RIGHT($B184,13)&amp;"|"&amp;$C184&amp;"|"&amp;$D184&amp;"|"&amp;AD$14&amp;"|"&amp;"CY2024Q3",Spectrum!$R:$R,0)),0),""))</f>
        <v/>
      </c>
      <c r="AE184" s="33">
        <f t="shared" si="39"/>
        <v>0</v>
      </c>
      <c r="AF184" s="218" t="str">
        <f>IF(LEFT($B184,4)="_Mil","",_xlfn.IFNA(ROUND(INDEX(Spectrum!$N:$N,MATCH(RIGHT($B184,13)&amp;"|"&amp;$C184&amp;"|"&amp;$D184&amp;"|"&amp;AF$14&amp;"|"&amp;"CY2024Q3",Spectrum!$R:$R,0)),0),""))</f>
        <v/>
      </c>
      <c r="AG184" s="33" t="str">
        <f t="shared" si="40"/>
        <v/>
      </c>
      <c r="AH184" s="110" t="str">
        <f>IF(LEFT($B184,4)="_Mil","",_xlfn.IFNA(INDEX(Spectrum!$N:$N,MATCH(RIGHT($B184,13)&amp;"|"&amp;$C184&amp;"|"&amp;$D184&amp;"|"&amp;AH$14&amp;"|"&amp;"CY2024Q3",Spectrum!$R:$R,0)),""))</f>
        <v/>
      </c>
      <c r="AI184" s="218">
        <f>IF(LEFT($B184,4)="_Mil","",_xlfn.IFNA(ROUND(INDEX(Spectrum!$N:$N,MATCH(RIGHT($B184,13)&amp;"|"&amp;$C184&amp;"|"&amp;$D184&amp;"|"&amp;AI$14&amp;"|"&amp;"CY2025Q3",Spectrum!$R:$R,0)),0),""))</f>
        <v>30</v>
      </c>
      <c r="AJ184" s="38">
        <f>IF(LEFT($B184,4)="_Mil","",_xlfn.IFNA(ROUND(INDEX(Spectrum!$N:$N,MATCH(RIGHT($B184,13)&amp;"|"&amp;$C184&amp;"|"&amp;$D184&amp;"|"&amp;AJ$14&amp;"|"&amp;"CY2025Q3",Spectrum!$R:$R,0)),0),""))</f>
        <v>18</v>
      </c>
      <c r="AK184" s="218" t="e">
        <f>#REF!</f>
        <v>#REF!</v>
      </c>
      <c r="AL184" s="33" t="str">
        <f t="shared" si="41"/>
        <v/>
      </c>
      <c r="AM184" s="38" t="str">
        <f>IF(OR(LEFT($B184,4)="_Mil",$C184="&lt;01"),"",ROUND(SUM($AK184)*SUM($AL184),0))</f>
        <v/>
      </c>
      <c r="AN184" s="38">
        <f>IF($C184="&lt;01",ROUND(INDEX(EID!$P:$P,MATCH($B184,EID!$B:$B,0))/2,0),"")</f>
        <v>0</v>
      </c>
      <c r="AO184" s="38">
        <f>IF($C184="&lt;01",SUM($AN184),ROUND(SUM($AM184)*SUM($O184)/IF(SUM($Z184)=0,1,$Z184),0))</f>
        <v>0</v>
      </c>
      <c r="AP184" s="218">
        <f>IF(OR($F184="",$C184="&lt;01"),$AO184,ROUND($F184,0))</f>
        <v>0</v>
      </c>
      <c r="AQ184" s="218">
        <f>IF(LEFT($B184,4)="_Mil","",IF(SUM($AP184)=0,SUM($Z184),IF(OR(SUM($Z184)=0,SUM($O184)=0),MAX($AP184,$Z184),ROUND($AP184*$Z184/$O184,0))))</f>
        <v>15</v>
      </c>
      <c r="AR184" s="33" t="e">
        <f>IF(OR(LEFT($B184,4)="_Mil",SUM($AK184)=0),"",SUM($AQ184)/$AK184)</f>
        <v>#REF!</v>
      </c>
      <c r="AS184" s="33" t="str">
        <f t="shared" si="50"/>
        <v/>
      </c>
      <c r="AT184" s="33" t="str">
        <f t="shared" si="49"/>
        <v/>
      </c>
      <c r="AU184" s="38" t="str">
        <f>IF($C184="&lt;01","",SUM($AP184)-SUM($O184))</f>
        <v/>
      </c>
      <c r="AV184" s="38">
        <f>IF($C184="&lt;01",ROUND(INDEX(EID!$N:$N,MATCH($B184,EID!$B:$B,0))/2,0),IF(SUM($AT184)=0,"",ROUND((SUM($AP184)-(SUM($O184)*SUM($AS184)))/$AT184,0)))</f>
        <v>0</v>
      </c>
      <c r="AW184" s="33" t="str">
        <f t="shared" si="42"/>
        <v/>
      </c>
      <c r="AX184" s="218">
        <f>IF($C184="&lt;01",SUM($AV184),ROUND(SUM($AV184)*SUM($AW184),0))</f>
        <v>0</v>
      </c>
      <c r="AY184" s="79" t="str">
        <f t="shared" si="43"/>
        <v/>
      </c>
      <c r="AZ184" s="85">
        <f>IF($C184="&lt;01",ROUND(INDEX(EID!$R:$R,MATCH($B184,EID!$B:$B,0))/2,0),ROUND(SUM($O184)+(SUM($AV184)*$AY184),0))</f>
        <v>0</v>
      </c>
      <c r="BA184" s="40" t="str">
        <f t="shared" si="47"/>
        <v/>
      </c>
      <c r="BB184" s="99">
        <f>IF($C184="&lt;01",ROUND(INDEX(EID!$T:$T,MATCH($B184,EID!$B:$B,0))/2,0),ROUND($AP184*$BA184,0))</f>
        <v>0</v>
      </c>
      <c r="BC184" s="85">
        <f>IF(LEFT($B184,4)="_Mil","",IF(SUM($BB184)=0,SUM($AD184),IF(OR(SUM($AP184)=0,SUM($AQ184)=0),MAX($BB184,$AD184),ROUND($BB184*$AQ184/$AP184,0))))</f>
        <v>0</v>
      </c>
      <c r="BD184" s="33" t="str">
        <f t="shared" si="44"/>
        <v/>
      </c>
      <c r="BE184" s="218">
        <f>IF($C184="&lt;01",ROUND(INDEX(EID!$V:$V,MATCH($B184,EID!$B:$B,0))/2,0),ROUND($BD184*$BB184,0))</f>
        <v>0</v>
      </c>
      <c r="BF184" s="218">
        <f>IF(LEFT($B184,4)="_Mil","",IF(SUM($BE184)=0,SUM($AF184),IF(OR(SUM($AP184)=0,SUM($AQ184)=0),MAX($BE184,$AF184),ROUND($BE184*$AQ184/$AP184,0))))</f>
        <v>0</v>
      </c>
      <c r="BG184" s="79" t="str">
        <f t="shared" si="45"/>
        <v/>
      </c>
      <c r="BH184" s="99">
        <f>IF($C184="&lt;01",ROUND(INDEX(EID!$L:$L,MATCH($B184,EID!$B:$B,0)),0)/2,IF(SUM($BG184)=0,"",ROUND($AX184/$BG184,0)))</f>
        <v>0</v>
      </c>
    </row>
    <row r="185" spans="1:60" x14ac:dyDescent="0.2">
      <c r="A185" t="str">
        <f>INDEX(Prioritization!$D:$D,MATCH($B185,Prioritization!$A:$A,0))</f>
        <v>1 - Scale-up: Saturation</v>
      </c>
      <c r="B185" t="s">
        <v>317</v>
      </c>
      <c r="C185" t="s">
        <v>473</v>
      </c>
      <c r="D185" t="s">
        <v>30</v>
      </c>
      <c r="E185" t="str">
        <f t="shared" si="35"/>
        <v>Machinga District [TYnMSwzko3z]|01-09|Female</v>
      </c>
      <c r="F185" s="229">
        <v>353</v>
      </c>
      <c r="G185" s="38">
        <v>49</v>
      </c>
      <c r="H185" s="38">
        <v>36</v>
      </c>
      <c r="I185" s="38">
        <v>353</v>
      </c>
      <c r="J185" s="38">
        <v>422</v>
      </c>
      <c r="K185" s="38">
        <v>335</v>
      </c>
      <c r="L185" s="38">
        <v>17</v>
      </c>
      <c r="M185" s="38">
        <v>16</v>
      </c>
      <c r="N185" s="38">
        <v>402</v>
      </c>
      <c r="O185" s="229">
        <v>353</v>
      </c>
      <c r="P185" s="38">
        <v>357</v>
      </c>
      <c r="Q185" s="38">
        <v>339</v>
      </c>
      <c r="R185" s="38">
        <f t="shared" si="36"/>
        <v>0</v>
      </c>
      <c r="S185" s="38">
        <f>IF(LEFT($B185,4)="_Mil","",_xlfn.IFNA(ROUND(INDEX(Spectrum!$N:$N,MATCH(RIGHT($B185,13)&amp;"|"&amp;$C185&amp;"|"&amp;$D185&amp;"|"&amp;S$14&amp;"|"&amp;"CY2023Q4",Spectrum!$R:$R,0)),0),""))</f>
        <v>355</v>
      </c>
      <c r="T185" s="218">
        <f>IF(LEFT($B185,4)="_Mil","",_xlfn.IFNA(ROUND(INDEX(Spectrum!$N:$N,MATCH(RIGHT($B185,13)&amp;"|"&amp;$C185&amp;"|"&amp;$D185&amp;"|"&amp;T$14&amp;"|"&amp;"CY2024Q3",Spectrum!$R:$R,0)),0),""))</f>
        <v>144776</v>
      </c>
      <c r="U185" s="218">
        <f>IF(LEFT($B185,4)="_Mil","",_xlfn.IFNA(ROUND(INDEX(Spectrum!$N:$N,MATCH(RIGHT($B185,13)&amp;"|"&amp;$C185&amp;"|"&amp;$D185&amp;"|"&amp;U$14&amp;"|"&amp;"CY2024Q3",Spectrum!$R:$R,0)),0),""))</f>
        <v>411</v>
      </c>
      <c r="V185" s="38">
        <f>IF(LEFT($B185,4)="_Mil","",_xlfn.IFNA(ROUND(INDEX(Spectrum!$N:$N,MATCH(RIGHT($B185,13)&amp;"|"&amp;$C185&amp;"|"&amp;$D185&amp;"|"&amp;V$14&amp;"|"&amp;"CY2024Q3",Spectrum!$R:$R,0)),0),""))</f>
        <v>463</v>
      </c>
      <c r="W185" s="220">
        <f>IF(LEFT($B185,4)="_Mil","",_xlfn.IFNA(INDEX(Spectrum!$N:$N,MATCH(RIGHT($B185,13)&amp;"|"&amp;$C185&amp;"|"&amp;$D185&amp;"|"&amp;W$14&amp;"|"&amp;"CY2024Q3",Spectrum!$R:$R,0)),""))</f>
        <v>2.8410509999999998E-3</v>
      </c>
      <c r="X185" s="218">
        <f>IF(LEFT($B185,4)="_Mil","",_xlfn.IFNA(ROUND(INDEX(Spectrum!$N:$N,MATCH(RIGHT($B185,13)&amp;"|"&amp;$C185&amp;"|"&amp;$D185&amp;"|"&amp;X$14&amp;"|"&amp;"CY2024Q3",Spectrum!$R:$R,0)),0),""))</f>
        <v>310</v>
      </c>
      <c r="Y185" s="33">
        <f t="shared" si="37"/>
        <v>0.75</v>
      </c>
      <c r="Z185" s="218">
        <f>IF(LEFT($B185,4)="_Mil","",_xlfn.IFNA(ROUND(INDEX(Spectrum!$N:$N,MATCH(RIGHT($B185,13)&amp;"|"&amp;$C185&amp;"|"&amp;$D185&amp;"|"&amp;Z$14&amp;"|"&amp;"CY2024Q3",Spectrum!$R:$R,0)),0),""))</f>
        <v>336</v>
      </c>
      <c r="AA185" s="33">
        <f>IF(LEFT($B185,4)="_Mil","",IFERROR(1/(1/INDEX(Spectrum!$N:$N,MATCH(RIGHT($B185,13)&amp;"|"&amp;$C185&amp;"|"&amp;$D185&amp;"|"&amp;AA$14&amp;"|"&amp;"CY2024Q3",Spectrum!$R:$R,0))),IF(SUM($U185)=0,"",SUM($Z185)/$U185)))</f>
        <v>0.72200169400000003</v>
      </c>
      <c r="AB185" s="33">
        <f t="shared" si="38"/>
        <v>1.0838709677419356</v>
      </c>
      <c r="AC185" s="38">
        <f>IF(LEFT($B185,4)="_Mil","",_xlfn.IFNA(ROUND(INDEX(Spectrum!$N:$N,MATCH(RIGHT($B185,13)&amp;"|"&amp;$C185&amp;"|"&amp;$D185&amp;"|"&amp;AC$14&amp;"|"&amp;"CY2024Q3",Spectrum!$R:$R,0)),0),""))</f>
        <v>127</v>
      </c>
      <c r="AD185" s="38" t="str">
        <f>IF(LEFT($B185,4)="_Mil","",_xlfn.IFNA(ROUND(INDEX(Spectrum!$N:$N,MATCH(RIGHT($B185,13)&amp;"|"&amp;$C185&amp;"|"&amp;$D185&amp;"|"&amp;AD$14&amp;"|"&amp;"CY2024Q3",Spectrum!$R:$R,0)),0),""))</f>
        <v/>
      </c>
      <c r="AE185" s="33">
        <f t="shared" si="39"/>
        <v>0</v>
      </c>
      <c r="AF185" s="218" t="str">
        <f>IF(LEFT($B185,4)="_Mil","",_xlfn.IFNA(ROUND(INDEX(Spectrum!$N:$N,MATCH(RIGHT($B185,13)&amp;"|"&amp;$C185&amp;"|"&amp;$D185&amp;"|"&amp;AF$14&amp;"|"&amp;"CY2024Q3",Spectrum!$R:$R,0)),0),""))</f>
        <v/>
      </c>
      <c r="AG185" s="33" t="str">
        <f t="shared" si="40"/>
        <v/>
      </c>
      <c r="AH185" s="110" t="str">
        <f>IF(LEFT($B185,4)="_Mil","",_xlfn.IFNA(INDEX(Spectrum!$N:$N,MATCH(RIGHT($B185,13)&amp;"|"&amp;$C185&amp;"|"&amp;$D185&amp;"|"&amp;AH$14&amp;"|"&amp;"CY2024Q3",Spectrum!$R:$R,0)),""))</f>
        <v/>
      </c>
      <c r="AI185" s="218">
        <f>IF(LEFT($B185,4)="_Mil","",_xlfn.IFNA(ROUND(INDEX(Spectrum!$N:$N,MATCH(RIGHT($B185,13)&amp;"|"&amp;$C185&amp;"|"&amp;$D185&amp;"|"&amp;AI$14&amp;"|"&amp;"CY2025Q3",Spectrum!$R:$R,0)),0),""))</f>
        <v>8</v>
      </c>
      <c r="AJ185" s="38">
        <f>IF(LEFT($B185,4)="_Mil","",_xlfn.IFNA(ROUND(INDEX(Spectrum!$N:$N,MATCH(RIGHT($B185,13)&amp;"|"&amp;$C185&amp;"|"&amp;$D185&amp;"|"&amp;AJ$14&amp;"|"&amp;"CY2025Q3",Spectrum!$R:$R,0)),0),""))</f>
        <v>349</v>
      </c>
      <c r="AK185" s="218" t="e">
        <f>#REF!</f>
        <v>#REF!</v>
      </c>
      <c r="AL185" s="33">
        <f t="shared" si="41"/>
        <v>0.9</v>
      </c>
      <c r="AM185" s="38" t="e">
        <f>IF(OR(LEFT($B185,4)="_Mil",$C185="&lt;01"),"",ROUND(SUM($AK185)*SUM($AL185),0))</f>
        <v>#REF!</v>
      </c>
      <c r="AN185" s="38" t="str">
        <f>IF($C185="&lt;01",ROUND(INDEX(EID!$P:$P,MATCH($B185,EID!$B:$B,0))/2,0),"")</f>
        <v/>
      </c>
      <c r="AO185" s="38" t="e">
        <f>IF($C185="&lt;01",SUM($AN185),ROUND(SUM($AM185)*SUM($O185)/IF(SUM($Z185)=0,1,$Z185),0))</f>
        <v>#REF!</v>
      </c>
      <c r="AP185" s="218">
        <f>IF(OR($F185="",$C185="&lt;01"),$AO185,ROUND($F185,0))</f>
        <v>353</v>
      </c>
      <c r="AQ185" s="218">
        <f>IF(LEFT($B185,4)="_Mil","",IF(SUM($AP185)=0,SUM($Z185),IF(OR(SUM($Z185)=0,SUM($O185)=0),MAX($AP185,$Z185),ROUND($AP185*$Z185/$O185,0))))</f>
        <v>336</v>
      </c>
      <c r="AR185" s="33" t="e">
        <f>IF(OR(LEFT($B185,4)="_Mil",SUM($AK185)=0),"",SUM($AQ185)/$AK185)</f>
        <v>#REF!</v>
      </c>
      <c r="AS185" s="33">
        <f t="shared" si="50"/>
        <v>0.98</v>
      </c>
      <c r="AT185" s="33">
        <f t="shared" si="49"/>
        <v>0.98</v>
      </c>
      <c r="AU185" s="38">
        <f>IF($C185="&lt;01","",SUM($AP185)-SUM($O185))</f>
        <v>0</v>
      </c>
      <c r="AV185" s="38">
        <f>IF($C185="&lt;01",ROUND(INDEX(EID!$N:$N,MATCH($B185,EID!$B:$B,0))/2,0),IF(SUM($AT185)=0,"",ROUND((SUM($AP185)-(SUM($O185)*SUM($AS185)))/$AT185,0)))</f>
        <v>7</v>
      </c>
      <c r="AW185" s="33">
        <f t="shared" si="42"/>
        <v>1</v>
      </c>
      <c r="AX185" s="218">
        <f>IF($C185="&lt;01",SUM($AV185),ROUND(SUM($AV185)*SUM($AW185),0))</f>
        <v>7</v>
      </c>
      <c r="AY185" s="79">
        <f t="shared" si="43"/>
        <v>0.7</v>
      </c>
      <c r="AZ185" s="85">
        <f>IF($C185="&lt;01",ROUND(INDEX(EID!$R:$R,MATCH($B185,EID!$B:$B,0))/2,0),ROUND(SUM($O185)+(SUM($AV185)*$AY185),0))</f>
        <v>358</v>
      </c>
      <c r="BA185" s="40">
        <f t="shared" si="47"/>
        <v>0.9</v>
      </c>
      <c r="BB185" s="99">
        <f>IF($C185="&lt;01",ROUND(INDEX(EID!$T:$T,MATCH($B185,EID!$B:$B,0))/2,0),ROUND($AP185*$BA185,0))</f>
        <v>318</v>
      </c>
      <c r="BC185" s="85">
        <f>IF(LEFT($B185,4)="_Mil","",IF(SUM($BB185)=0,SUM($AD185),IF(OR(SUM($AP185)=0,SUM($AQ185)=0),MAX($BB185,$AD185),ROUND($BB185*$AQ185/$AP185,0))))</f>
        <v>303</v>
      </c>
      <c r="BD185" s="33">
        <f t="shared" si="44"/>
        <v>0.95</v>
      </c>
      <c r="BE185" s="218">
        <f>IF($C185="&lt;01",ROUND(INDEX(EID!$V:$V,MATCH($B185,EID!$B:$B,0))/2,0),ROUND($BD185*$BB185,0))</f>
        <v>302</v>
      </c>
      <c r="BF185" s="218">
        <f>IF(LEFT($B185,4)="_Mil","",IF(SUM($BE185)=0,SUM($AF185),IF(OR(SUM($AP185)=0,SUM($AQ185)=0),MAX($BE185,$AF185),ROUND($BE185*$AQ185/$AP185,0))))</f>
        <v>287</v>
      </c>
      <c r="BG185" s="79">
        <f t="shared" si="45"/>
        <v>0.95</v>
      </c>
      <c r="BH185" s="99">
        <f>IF($C185="&lt;01",ROUND(INDEX(EID!$L:$L,MATCH($B185,EID!$B:$B,0)),0)/2,IF(SUM($BG185)=0,"",ROUND($AX185/$BG185,0)))</f>
        <v>7</v>
      </c>
    </row>
    <row r="186" spans="1:60" x14ac:dyDescent="0.2">
      <c r="A186" t="str">
        <f>INDEX(Prioritization!$D:$D,MATCH($B186,Prioritization!$A:$A,0))</f>
        <v>1 - Scale-up: Saturation</v>
      </c>
      <c r="B186" t="s">
        <v>317</v>
      </c>
      <c r="C186" t="s">
        <v>473</v>
      </c>
      <c r="D186" t="s">
        <v>48</v>
      </c>
      <c r="E186" t="str">
        <f t="shared" si="35"/>
        <v>Machinga District [TYnMSwzko3z]|01-09|Male</v>
      </c>
      <c r="F186" s="229">
        <v>370</v>
      </c>
      <c r="G186" s="38">
        <v>38</v>
      </c>
      <c r="H186" s="38">
        <v>33</v>
      </c>
      <c r="I186" s="38">
        <v>370</v>
      </c>
      <c r="J186" s="38">
        <v>440</v>
      </c>
      <c r="K186" s="38">
        <v>353</v>
      </c>
      <c r="L186" s="38">
        <v>17</v>
      </c>
      <c r="M186" s="38">
        <v>16</v>
      </c>
      <c r="N186" s="38">
        <v>412</v>
      </c>
      <c r="O186" s="229">
        <v>370</v>
      </c>
      <c r="P186" s="38">
        <v>366</v>
      </c>
      <c r="Q186" s="38">
        <v>348</v>
      </c>
      <c r="R186" s="38">
        <f t="shared" si="36"/>
        <v>0</v>
      </c>
      <c r="S186" s="38">
        <f>IF(LEFT($B186,4)="_Mil","",_xlfn.IFNA(ROUND(INDEX(Spectrum!$N:$N,MATCH(RIGHT($B186,13)&amp;"|"&amp;$C186&amp;"|"&amp;$D186&amp;"|"&amp;S$14&amp;"|"&amp;"CY2023Q4",Spectrum!$R:$R,0)),0),""))</f>
        <v>358</v>
      </c>
      <c r="T186" s="218">
        <f>IF(LEFT($B186,4)="_Mil","",_xlfn.IFNA(ROUND(INDEX(Spectrum!$N:$N,MATCH(RIGHT($B186,13)&amp;"|"&amp;$C186&amp;"|"&amp;$D186&amp;"|"&amp;T$14&amp;"|"&amp;"CY2024Q3",Spectrum!$R:$R,0)),0),""))</f>
        <v>144019</v>
      </c>
      <c r="U186" s="218">
        <f>IF(LEFT($B186,4)="_Mil","",_xlfn.IFNA(ROUND(INDEX(Spectrum!$N:$N,MATCH(RIGHT($B186,13)&amp;"|"&amp;$C186&amp;"|"&amp;$D186&amp;"|"&amp;U$14&amp;"|"&amp;"CY2024Q3",Spectrum!$R:$R,0)),0),""))</f>
        <v>413</v>
      </c>
      <c r="V186" s="38">
        <f>IF(LEFT($B186,4)="_Mil","",_xlfn.IFNA(ROUND(INDEX(Spectrum!$N:$N,MATCH(RIGHT($B186,13)&amp;"|"&amp;$C186&amp;"|"&amp;$D186&amp;"|"&amp;V$14&amp;"|"&amp;"CY2024Q3",Spectrum!$R:$R,0)),0),""))</f>
        <v>466</v>
      </c>
      <c r="W186" s="220">
        <f>IF(LEFT($B186,4)="_Mil","",_xlfn.IFNA(INDEX(Spectrum!$N:$N,MATCH(RIGHT($B186,13)&amp;"|"&amp;$C186&amp;"|"&amp;$D186&amp;"|"&amp;W$14&amp;"|"&amp;"CY2024Q3",Spectrum!$R:$R,0)),""))</f>
        <v>2.8679869999999998E-3</v>
      </c>
      <c r="X186" s="218">
        <f>IF(LEFT($B186,4)="_Mil","",_xlfn.IFNA(ROUND(INDEX(Spectrum!$N:$N,MATCH(RIGHT($B186,13)&amp;"|"&amp;$C186&amp;"|"&amp;$D186&amp;"|"&amp;X$14&amp;"|"&amp;"CY2024Q3",Spectrum!$R:$R,0)),0),""))</f>
        <v>312</v>
      </c>
      <c r="Y186" s="33">
        <f t="shared" si="37"/>
        <v>0.76</v>
      </c>
      <c r="Z186" s="218">
        <f>IF(LEFT($B186,4)="_Mil","",_xlfn.IFNA(ROUND(INDEX(Spectrum!$N:$N,MATCH(RIGHT($B186,13)&amp;"|"&amp;$C186&amp;"|"&amp;$D186&amp;"|"&amp;Z$14&amp;"|"&amp;"CY2024Q3",Spectrum!$R:$R,0)),0),""))</f>
        <v>339</v>
      </c>
      <c r="AA186" s="33">
        <f>IF(LEFT($B186,4)="_Mil","",IFERROR(1/(1/INDEX(Spectrum!$N:$N,MATCH(RIGHT($B186,13)&amp;"|"&amp;$C186&amp;"|"&amp;$D186&amp;"|"&amp;AA$14&amp;"|"&amp;"CY2024Q3",Spectrum!$R:$R,0))),IF(SUM($U186)=0,"",SUM($Z186)/$U186)))</f>
        <v>0.72211396699999997</v>
      </c>
      <c r="AB186" s="33">
        <f t="shared" si="38"/>
        <v>1.0865384615384615</v>
      </c>
      <c r="AC186" s="38">
        <f>IF(LEFT($B186,4)="_Mil","",_xlfn.IFNA(ROUND(INDEX(Spectrum!$N:$N,MATCH(RIGHT($B186,13)&amp;"|"&amp;$C186&amp;"|"&amp;$D186&amp;"|"&amp;AC$14&amp;"|"&amp;"CY2024Q3",Spectrum!$R:$R,0)),0),""))</f>
        <v>127</v>
      </c>
      <c r="AD186" s="38" t="str">
        <f>IF(LEFT($B186,4)="_Mil","",_xlfn.IFNA(ROUND(INDEX(Spectrum!$N:$N,MATCH(RIGHT($B186,13)&amp;"|"&amp;$C186&amp;"|"&amp;$D186&amp;"|"&amp;AD$14&amp;"|"&amp;"CY2024Q3",Spectrum!$R:$R,0)),0),""))</f>
        <v/>
      </c>
      <c r="AE186" s="33">
        <f t="shared" si="39"/>
        <v>0</v>
      </c>
      <c r="AF186" s="218" t="str">
        <f>IF(LEFT($B186,4)="_Mil","",_xlfn.IFNA(ROUND(INDEX(Spectrum!$N:$N,MATCH(RIGHT($B186,13)&amp;"|"&amp;$C186&amp;"|"&amp;$D186&amp;"|"&amp;AF$14&amp;"|"&amp;"CY2024Q3",Spectrum!$R:$R,0)),0),""))</f>
        <v/>
      </c>
      <c r="AG186" s="33" t="str">
        <f t="shared" si="40"/>
        <v/>
      </c>
      <c r="AH186" s="110" t="str">
        <f>IF(LEFT($B186,4)="_Mil","",_xlfn.IFNA(INDEX(Spectrum!$N:$N,MATCH(RIGHT($B186,13)&amp;"|"&amp;$C186&amp;"|"&amp;$D186&amp;"|"&amp;AH$14&amp;"|"&amp;"CY2024Q3",Spectrum!$R:$R,0)),""))</f>
        <v/>
      </c>
      <c r="AI186" s="218">
        <f>IF(LEFT($B186,4)="_Mil","",_xlfn.IFNA(ROUND(INDEX(Spectrum!$N:$N,MATCH(RIGHT($B186,13)&amp;"|"&amp;$C186&amp;"|"&amp;$D186&amp;"|"&amp;AI$14&amp;"|"&amp;"CY2025Q3",Spectrum!$R:$R,0)),0),""))</f>
        <v>8</v>
      </c>
      <c r="AJ186" s="38">
        <f>IF(LEFT($B186,4)="_Mil","",_xlfn.IFNA(ROUND(INDEX(Spectrum!$N:$N,MATCH(RIGHT($B186,13)&amp;"|"&amp;$C186&amp;"|"&amp;$D186&amp;"|"&amp;AJ$14&amp;"|"&amp;"CY2025Q3",Spectrum!$R:$R,0)),0),""))</f>
        <v>351</v>
      </c>
      <c r="AK186" s="218" t="e">
        <f>#REF!</f>
        <v>#REF!</v>
      </c>
      <c r="AL186" s="33">
        <f t="shared" si="41"/>
        <v>0.9</v>
      </c>
      <c r="AM186" s="38" t="e">
        <f>IF(OR(LEFT($B186,4)="_Mil",$C186="&lt;01"),"",ROUND(SUM($AK186)*SUM($AL186),0))</f>
        <v>#REF!</v>
      </c>
      <c r="AN186" s="38" t="str">
        <f>IF($C186="&lt;01",ROUND(INDEX(EID!$P:$P,MATCH($B186,EID!$B:$B,0))/2,0),"")</f>
        <v/>
      </c>
      <c r="AO186" s="38" t="e">
        <f>IF($C186="&lt;01",SUM($AN186),ROUND(SUM($AM186)*SUM($O186)/IF(SUM($Z186)=0,1,$Z186),0))</f>
        <v>#REF!</v>
      </c>
      <c r="AP186" s="218">
        <f>IF(OR($F186="",$C186="&lt;01"),$AO186,ROUND($F186,0))</f>
        <v>370</v>
      </c>
      <c r="AQ186" s="218">
        <f>IF(LEFT($B186,4)="_Mil","",IF(SUM($AP186)=0,SUM($Z186),IF(OR(SUM($Z186)=0,SUM($O186)=0),MAX($AP186,$Z186),ROUND($AP186*$Z186/$O186,0))))</f>
        <v>339</v>
      </c>
      <c r="AR186" s="33" t="e">
        <f>IF(OR(LEFT($B186,4)="_Mil",SUM($AK186)=0),"",SUM($AQ186)/$AK186)</f>
        <v>#REF!</v>
      </c>
      <c r="AS186" s="33">
        <f t="shared" si="50"/>
        <v>0.98</v>
      </c>
      <c r="AT186" s="33">
        <f t="shared" si="49"/>
        <v>0.98</v>
      </c>
      <c r="AU186" s="38">
        <f>IF($C186="&lt;01","",SUM($AP186)-SUM($O186))</f>
        <v>0</v>
      </c>
      <c r="AV186" s="38">
        <f>IF($C186="&lt;01",ROUND(INDEX(EID!$N:$N,MATCH($B186,EID!$B:$B,0))/2,0),IF(SUM($AT186)=0,"",ROUND((SUM($AP186)-(SUM($O186)*SUM($AS186)))/$AT186,0)))</f>
        <v>8</v>
      </c>
      <c r="AW186" s="33">
        <f t="shared" si="42"/>
        <v>1</v>
      </c>
      <c r="AX186" s="218">
        <f>IF($C186="&lt;01",SUM($AV186),ROUND(SUM($AV186)*SUM($AW186),0))</f>
        <v>8</v>
      </c>
      <c r="AY186" s="79">
        <f t="shared" si="43"/>
        <v>0.7</v>
      </c>
      <c r="AZ186" s="85">
        <f>IF($C186="&lt;01",ROUND(INDEX(EID!$R:$R,MATCH($B186,EID!$B:$B,0))/2,0),ROUND(SUM($O186)+(SUM($AV186)*$AY186),0))</f>
        <v>376</v>
      </c>
      <c r="BA186" s="40">
        <f t="shared" si="47"/>
        <v>0.9</v>
      </c>
      <c r="BB186" s="99">
        <f>IF($C186="&lt;01",ROUND(INDEX(EID!$T:$T,MATCH($B186,EID!$B:$B,0))/2,0),ROUND($AP186*$BA186,0))</f>
        <v>333</v>
      </c>
      <c r="BC186" s="85">
        <f>IF(LEFT($B186,4)="_Mil","",IF(SUM($BB186)=0,SUM($AD186),IF(OR(SUM($AP186)=0,SUM($AQ186)=0),MAX($BB186,$AD186),ROUND($BB186*$AQ186/$AP186,0))))</f>
        <v>305</v>
      </c>
      <c r="BD186" s="33">
        <f t="shared" si="44"/>
        <v>0.95</v>
      </c>
      <c r="BE186" s="218">
        <f>IF($C186="&lt;01",ROUND(INDEX(EID!$V:$V,MATCH($B186,EID!$B:$B,0))/2,0),ROUND($BD186*$BB186,0))</f>
        <v>316</v>
      </c>
      <c r="BF186" s="218">
        <f>IF(LEFT($B186,4)="_Mil","",IF(SUM($BE186)=0,SUM($AF186),IF(OR(SUM($AP186)=0,SUM($AQ186)=0),MAX($BE186,$AF186),ROUND($BE186*$AQ186/$AP186,0))))</f>
        <v>290</v>
      </c>
      <c r="BG186" s="79">
        <f t="shared" si="45"/>
        <v>0.95</v>
      </c>
      <c r="BH186" s="99">
        <f>IF($C186="&lt;01",ROUND(INDEX(EID!$L:$L,MATCH($B186,EID!$B:$B,0)),0)/2,IF(SUM($BG186)=0,"",ROUND($AX186/$BG186,0)))</f>
        <v>8</v>
      </c>
    </row>
    <row r="187" spans="1:60" x14ac:dyDescent="0.2">
      <c r="A187" t="str">
        <f>INDEX(Prioritization!$D:$D,MATCH($B187,Prioritization!$A:$A,0))</f>
        <v>1 - Scale-up: Saturation</v>
      </c>
      <c r="B187" t="s">
        <v>317</v>
      </c>
      <c r="C187" t="s">
        <v>474</v>
      </c>
      <c r="D187" t="s">
        <v>30</v>
      </c>
      <c r="E187" t="str">
        <f t="shared" si="35"/>
        <v>Machinga District [TYnMSwzko3z]|10-14|Female</v>
      </c>
      <c r="F187" s="229">
        <v>454</v>
      </c>
      <c r="G187" s="38">
        <v>13</v>
      </c>
      <c r="H187" s="38">
        <v>10</v>
      </c>
      <c r="I187" s="38">
        <v>454</v>
      </c>
      <c r="J187" s="38">
        <v>468</v>
      </c>
      <c r="K187" s="38">
        <v>380</v>
      </c>
      <c r="L187" s="38">
        <v>64</v>
      </c>
      <c r="M187" s="38">
        <v>59</v>
      </c>
      <c r="N187" s="38">
        <v>462</v>
      </c>
      <c r="O187" s="229">
        <v>454</v>
      </c>
      <c r="P187" s="38">
        <v>382</v>
      </c>
      <c r="Q187" s="38">
        <v>363</v>
      </c>
      <c r="R187" s="38">
        <f t="shared" si="36"/>
        <v>0</v>
      </c>
      <c r="S187" s="38">
        <f>IF(LEFT($B187,4)="_Mil","",_xlfn.IFNA(ROUND(INDEX(Spectrum!$N:$N,MATCH(RIGHT($B187,13)&amp;"|"&amp;$C187&amp;"|"&amp;$D187&amp;"|"&amp;S$14&amp;"|"&amp;"CY2023Q4",Spectrum!$R:$R,0)),0),""))</f>
        <v>428</v>
      </c>
      <c r="T187" s="218">
        <f>IF(LEFT($B187,4)="_Mil","",_xlfn.IFNA(ROUND(INDEX(Spectrum!$N:$N,MATCH(RIGHT($B187,13)&amp;"|"&amp;$C187&amp;"|"&amp;$D187&amp;"|"&amp;T$14&amp;"|"&amp;"CY2024Q3",Spectrum!$R:$R,0)),0),""))</f>
        <v>62620</v>
      </c>
      <c r="U187" s="218">
        <f>IF(LEFT($B187,4)="_Mil","",_xlfn.IFNA(ROUND(INDEX(Spectrum!$N:$N,MATCH(RIGHT($B187,13)&amp;"|"&amp;$C187&amp;"|"&amp;$D187&amp;"|"&amp;U$14&amp;"|"&amp;"CY2024Q3",Spectrum!$R:$R,0)),0),""))</f>
        <v>499</v>
      </c>
      <c r="V187" s="38">
        <f>IF(LEFT($B187,4)="_Mil","",_xlfn.IFNA(ROUND(INDEX(Spectrum!$N:$N,MATCH(RIGHT($B187,13)&amp;"|"&amp;$C187&amp;"|"&amp;$D187&amp;"|"&amp;V$14&amp;"|"&amp;"CY2024Q3",Spectrum!$R:$R,0)),0),""))</f>
        <v>562</v>
      </c>
      <c r="W187" s="220">
        <f>IF(LEFT($B187,4)="_Mil","",_xlfn.IFNA(INDEX(Spectrum!$N:$N,MATCH(RIGHT($B187,13)&amp;"|"&amp;$C187&amp;"|"&amp;$D187&amp;"|"&amp;W$14&amp;"|"&amp;"CY2024Q3",Spectrum!$R:$R,0)),""))</f>
        <v>7.9611460000000005E-3</v>
      </c>
      <c r="X187" s="218">
        <f>IF(LEFT($B187,4)="_Mil","",_xlfn.IFNA(ROUND(INDEX(Spectrum!$N:$N,MATCH(RIGHT($B187,13)&amp;"|"&amp;$C187&amp;"|"&amp;$D187&amp;"|"&amp;X$14&amp;"|"&amp;"CY2024Q3",Spectrum!$R:$R,0)),0),""))</f>
        <v>395</v>
      </c>
      <c r="Y187" s="33">
        <f t="shared" si="37"/>
        <v>0.79</v>
      </c>
      <c r="Z187" s="218">
        <f>IF(LEFT($B187,4)="_Mil","",_xlfn.IFNA(ROUND(INDEX(Spectrum!$N:$N,MATCH(RIGHT($B187,13)&amp;"|"&amp;$C187&amp;"|"&amp;$D187&amp;"|"&amp;Z$14&amp;"|"&amp;"CY2024Q3",Spectrum!$R:$R,0)),0),""))</f>
        <v>427</v>
      </c>
      <c r="AA187" s="33">
        <f>IF(LEFT($B187,4)="_Mil","",IFERROR(1/(1/INDEX(Spectrum!$N:$N,MATCH(RIGHT($B187,13)&amp;"|"&amp;$C187&amp;"|"&amp;$D187&amp;"|"&amp;AA$14&amp;"|"&amp;"CY2024Q3",Spectrum!$R:$R,0))),IF(SUM($U187)=0,"",SUM($Z187)/$U187)))</f>
        <v>0.75694518300000002</v>
      </c>
      <c r="AB187" s="33">
        <f t="shared" si="38"/>
        <v>1.0810126582278481</v>
      </c>
      <c r="AC187" s="38">
        <f>IF(LEFT($B187,4)="_Mil","",_xlfn.IFNA(ROUND(INDEX(Spectrum!$N:$N,MATCH(RIGHT($B187,13)&amp;"|"&amp;$C187&amp;"|"&amp;$D187&amp;"|"&amp;AC$14&amp;"|"&amp;"CY2024Q3",Spectrum!$R:$R,0)),0),""))</f>
        <v>135</v>
      </c>
      <c r="AD187" s="38" t="str">
        <f>IF(LEFT($B187,4)="_Mil","",_xlfn.IFNA(ROUND(INDEX(Spectrum!$N:$N,MATCH(RIGHT($B187,13)&amp;"|"&amp;$C187&amp;"|"&amp;$D187&amp;"|"&amp;AD$14&amp;"|"&amp;"CY2024Q3",Spectrum!$R:$R,0)),0),""))</f>
        <v/>
      </c>
      <c r="AE187" s="33">
        <f t="shared" si="39"/>
        <v>0</v>
      </c>
      <c r="AF187" s="218" t="str">
        <f>IF(LEFT($B187,4)="_Mil","",_xlfn.IFNA(ROUND(INDEX(Spectrum!$N:$N,MATCH(RIGHT($B187,13)&amp;"|"&amp;$C187&amp;"|"&amp;$D187&amp;"|"&amp;AF$14&amp;"|"&amp;"CY2024Q3",Spectrum!$R:$R,0)),0),""))</f>
        <v/>
      </c>
      <c r="AG187" s="33" t="str">
        <f t="shared" si="40"/>
        <v/>
      </c>
      <c r="AH187" s="110" t="str">
        <f>IF(LEFT($B187,4)="_Mil","",_xlfn.IFNA(INDEX(Spectrum!$N:$N,MATCH(RIGHT($B187,13)&amp;"|"&amp;$C187&amp;"|"&amp;$D187&amp;"|"&amp;AH$14&amp;"|"&amp;"CY2024Q3",Spectrum!$R:$R,0)),""))</f>
        <v/>
      </c>
      <c r="AI187" s="218">
        <f>IF(LEFT($B187,4)="_Mil","",_xlfn.IFNA(ROUND(INDEX(Spectrum!$N:$N,MATCH(RIGHT($B187,13)&amp;"|"&amp;$C187&amp;"|"&amp;$D187&amp;"|"&amp;AI$14&amp;"|"&amp;"CY2025Q3",Spectrum!$R:$R,0)),0),""))</f>
        <v>0</v>
      </c>
      <c r="AJ187" s="38">
        <f>IF(LEFT($B187,4)="_Mil","",_xlfn.IFNA(ROUND(INDEX(Spectrum!$N:$N,MATCH(RIGHT($B187,13)&amp;"|"&amp;$C187&amp;"|"&amp;$D187&amp;"|"&amp;AJ$14&amp;"|"&amp;"CY2025Q3",Spectrum!$R:$R,0)),0),""))</f>
        <v>453</v>
      </c>
      <c r="AK187" s="218" t="e">
        <f>#REF!</f>
        <v>#REF!</v>
      </c>
      <c r="AL187" s="33">
        <f t="shared" si="41"/>
        <v>0.9</v>
      </c>
      <c r="AM187" s="38" t="e">
        <f>IF(OR(LEFT($B187,4)="_Mil",$C187="&lt;01"),"",ROUND(SUM($AK187)*SUM($AL187),0))</f>
        <v>#REF!</v>
      </c>
      <c r="AN187" s="38" t="str">
        <f>IF($C187="&lt;01",ROUND(INDEX(EID!$P:$P,MATCH($B187,EID!$B:$B,0))/2,0),"")</f>
        <v/>
      </c>
      <c r="AO187" s="38" t="e">
        <f>IF($C187="&lt;01",SUM($AN187),ROUND(SUM($AM187)*SUM($O187)/IF(SUM($Z187)=0,1,$Z187),0))</f>
        <v>#REF!</v>
      </c>
      <c r="AP187" s="218">
        <f>IF(OR($F187="",$C187="&lt;01"),$AO187,ROUND($F187,0))</f>
        <v>454</v>
      </c>
      <c r="AQ187" s="218">
        <f>IF(LEFT($B187,4)="_Mil","",IF(SUM($AP187)=0,SUM($Z187),IF(OR(SUM($Z187)=0,SUM($O187)=0),MAX($AP187,$Z187),ROUND($AP187*$Z187/$O187,0))))</f>
        <v>427</v>
      </c>
      <c r="AR187" s="33" t="e">
        <f>IF(OR(LEFT($B187,4)="_Mil",SUM($AK187)=0),"",SUM($AQ187)/$AK187)</f>
        <v>#REF!</v>
      </c>
      <c r="AS187" s="33">
        <f>IF($C187="&lt;01","",90%)</f>
        <v>0.9</v>
      </c>
      <c r="AT187" s="33">
        <f t="shared" si="49"/>
        <v>0.98</v>
      </c>
      <c r="AU187" s="38">
        <f>IF($C187="&lt;01","",SUM($AP187)-SUM($O187))</f>
        <v>0</v>
      </c>
      <c r="AV187" s="38">
        <f>IF($C187="&lt;01",ROUND(INDEX(EID!$N:$N,MATCH($B187,EID!$B:$B,0))/2,0),IF(SUM($AT187)=0,"",ROUND((SUM($AP187)-(SUM($O187)*SUM($AS187)))/$AT187,0)))</f>
        <v>46</v>
      </c>
      <c r="AW187" s="33">
        <f t="shared" si="42"/>
        <v>1</v>
      </c>
      <c r="AX187" s="218">
        <f>IF($C187="&lt;01",SUM($AV187),ROUND(SUM($AV187)*SUM($AW187),0))</f>
        <v>46</v>
      </c>
      <c r="AY187" s="79">
        <f t="shared" si="43"/>
        <v>0.7</v>
      </c>
      <c r="AZ187" s="85">
        <f>IF($C187="&lt;01",ROUND(INDEX(EID!$R:$R,MATCH($B187,EID!$B:$B,0))/2,0),ROUND(SUM($O187)+(SUM($AV187)*$AY187),0))</f>
        <v>486</v>
      </c>
      <c r="BA187" s="40">
        <f t="shared" si="47"/>
        <v>0.9</v>
      </c>
      <c r="BB187" s="99">
        <f>IF($C187="&lt;01",ROUND(INDEX(EID!$T:$T,MATCH($B187,EID!$B:$B,0))/2,0),ROUND($AP187*$BA187,0))</f>
        <v>409</v>
      </c>
      <c r="BC187" s="85">
        <f>IF(LEFT($B187,4)="_Mil","",IF(SUM($BB187)=0,SUM($AD187),IF(OR(SUM($AP187)=0,SUM($AQ187)=0),MAX($BB187,$AD187),ROUND($BB187*$AQ187/$AP187,0))))</f>
        <v>385</v>
      </c>
      <c r="BD187" s="33">
        <f t="shared" si="44"/>
        <v>0.95</v>
      </c>
      <c r="BE187" s="218">
        <f>IF($C187="&lt;01",ROUND(INDEX(EID!$V:$V,MATCH($B187,EID!$B:$B,0))/2,0),ROUND($BD187*$BB187,0))</f>
        <v>389</v>
      </c>
      <c r="BF187" s="218">
        <f>IF(LEFT($B187,4)="_Mil","",IF(SUM($BE187)=0,SUM($AF187),IF(OR(SUM($AP187)=0,SUM($AQ187)=0),MAX($BE187,$AF187),ROUND($BE187*$AQ187/$AP187,0))))</f>
        <v>366</v>
      </c>
      <c r="BG187" s="79">
        <f t="shared" si="45"/>
        <v>0.95</v>
      </c>
      <c r="BH187" s="99">
        <f>IF($C187="&lt;01",ROUND(INDEX(EID!$L:$L,MATCH($B187,EID!$B:$B,0)),0)/2,IF(SUM($BG187)=0,"",ROUND($AX187/$BG187,0)))</f>
        <v>48</v>
      </c>
    </row>
    <row r="188" spans="1:60" x14ac:dyDescent="0.2">
      <c r="A188" t="str">
        <f>INDEX(Prioritization!$D:$D,MATCH($B188,Prioritization!$A:$A,0))</f>
        <v>1 - Scale-up: Saturation</v>
      </c>
      <c r="B188" t="s">
        <v>317</v>
      </c>
      <c r="C188" t="s">
        <v>474</v>
      </c>
      <c r="D188" t="s">
        <v>48</v>
      </c>
      <c r="E188" t="str">
        <f t="shared" si="35"/>
        <v>Machinga District [TYnMSwzko3z]|10-14|Male</v>
      </c>
      <c r="F188" s="229">
        <v>433</v>
      </c>
      <c r="G188" s="38">
        <v>19</v>
      </c>
      <c r="H188" s="38">
        <v>12</v>
      </c>
      <c r="I188" s="38">
        <v>433</v>
      </c>
      <c r="J188" s="38">
        <v>441</v>
      </c>
      <c r="K188" s="38">
        <v>351</v>
      </c>
      <c r="L188" s="38">
        <v>63</v>
      </c>
      <c r="M188" s="38">
        <v>60</v>
      </c>
      <c r="N188" s="38">
        <v>471</v>
      </c>
      <c r="O188" s="229">
        <v>433</v>
      </c>
      <c r="P188" s="38">
        <v>390</v>
      </c>
      <c r="Q188" s="38">
        <v>371</v>
      </c>
      <c r="R188" s="38">
        <f t="shared" si="36"/>
        <v>0</v>
      </c>
      <c r="S188" s="38">
        <f>IF(LEFT($B188,4)="_Mil","",_xlfn.IFNA(ROUND(INDEX(Spectrum!$N:$N,MATCH(RIGHT($B188,13)&amp;"|"&amp;$C188&amp;"|"&amp;$D188&amp;"|"&amp;S$14&amp;"|"&amp;"CY2023Q4",Spectrum!$R:$R,0)),0),""))</f>
        <v>429</v>
      </c>
      <c r="T188" s="218">
        <f>IF(LEFT($B188,4)="_Mil","",_xlfn.IFNA(ROUND(INDEX(Spectrum!$N:$N,MATCH(RIGHT($B188,13)&amp;"|"&amp;$C188&amp;"|"&amp;$D188&amp;"|"&amp;T$14&amp;"|"&amp;"CY2024Q3",Spectrum!$R:$R,0)),0),""))</f>
        <v>62997</v>
      </c>
      <c r="U188" s="218">
        <f>IF(LEFT($B188,4)="_Mil","",_xlfn.IFNA(ROUND(INDEX(Spectrum!$N:$N,MATCH(RIGHT($B188,13)&amp;"|"&amp;$C188&amp;"|"&amp;$D188&amp;"|"&amp;U$14&amp;"|"&amp;"CY2024Q3",Spectrum!$R:$R,0)),0),""))</f>
        <v>497</v>
      </c>
      <c r="V188" s="38">
        <f>IF(LEFT($B188,4)="_Mil","",_xlfn.IFNA(ROUND(INDEX(Spectrum!$N:$N,MATCH(RIGHT($B188,13)&amp;"|"&amp;$C188&amp;"|"&amp;$D188&amp;"|"&amp;V$14&amp;"|"&amp;"CY2024Q3",Spectrum!$R:$R,0)),0),""))</f>
        <v>561</v>
      </c>
      <c r="W188" s="220">
        <f>IF(LEFT($B188,4)="_Mil","",_xlfn.IFNA(INDEX(Spectrum!$N:$N,MATCH(RIGHT($B188,13)&amp;"|"&amp;$C188&amp;"|"&amp;$D188&amp;"|"&amp;W$14&amp;"|"&amp;"CY2024Q3",Spectrum!$R:$R,0)),""))</f>
        <v>7.8814869999999995E-3</v>
      </c>
      <c r="X188" s="218">
        <f>IF(LEFT($B188,4)="_Mil","",_xlfn.IFNA(ROUND(INDEX(Spectrum!$N:$N,MATCH(RIGHT($B188,13)&amp;"|"&amp;$C188&amp;"|"&amp;$D188&amp;"|"&amp;X$14&amp;"|"&amp;"CY2024Q3",Spectrum!$R:$R,0)),0),""))</f>
        <v>393</v>
      </c>
      <c r="Y188" s="33">
        <f t="shared" si="37"/>
        <v>0.79</v>
      </c>
      <c r="Z188" s="218">
        <f>IF(LEFT($B188,4)="_Mil","",_xlfn.IFNA(ROUND(INDEX(Spectrum!$N:$N,MATCH(RIGHT($B188,13)&amp;"|"&amp;$C188&amp;"|"&amp;$D188&amp;"|"&amp;Z$14&amp;"|"&amp;"CY2024Q3",Spectrum!$R:$R,0)),0),""))</f>
        <v>427</v>
      </c>
      <c r="AA188" s="33">
        <f>IF(LEFT($B188,4)="_Mil","",IFERROR(1/(1/INDEX(Spectrum!$N:$N,MATCH(RIGHT($B188,13)&amp;"|"&amp;$C188&amp;"|"&amp;$D188&amp;"|"&amp;AA$14&amp;"|"&amp;"CY2024Q3",Spectrum!$R:$R,0))),IF(SUM($U188)=0,"",SUM($Z188)/$U188)))</f>
        <v>0.75673748500000004</v>
      </c>
      <c r="AB188" s="33">
        <f t="shared" si="38"/>
        <v>1.0865139949109415</v>
      </c>
      <c r="AC188" s="38">
        <f>IF(LEFT($B188,4)="_Mil","",_xlfn.IFNA(ROUND(INDEX(Spectrum!$N:$N,MATCH(RIGHT($B188,13)&amp;"|"&amp;$C188&amp;"|"&amp;$D188&amp;"|"&amp;AC$14&amp;"|"&amp;"CY2024Q3",Spectrum!$R:$R,0)),0),""))</f>
        <v>134</v>
      </c>
      <c r="AD188" s="38" t="str">
        <f>IF(LEFT($B188,4)="_Mil","",_xlfn.IFNA(ROUND(INDEX(Spectrum!$N:$N,MATCH(RIGHT($B188,13)&amp;"|"&amp;$C188&amp;"|"&amp;$D188&amp;"|"&amp;AD$14&amp;"|"&amp;"CY2024Q3",Spectrum!$R:$R,0)),0),""))</f>
        <v/>
      </c>
      <c r="AE188" s="33">
        <f t="shared" si="39"/>
        <v>0</v>
      </c>
      <c r="AF188" s="218" t="str">
        <f>IF(LEFT($B188,4)="_Mil","",_xlfn.IFNA(ROUND(INDEX(Spectrum!$N:$N,MATCH(RIGHT($B188,13)&amp;"|"&amp;$C188&amp;"|"&amp;$D188&amp;"|"&amp;AF$14&amp;"|"&amp;"CY2024Q3",Spectrum!$R:$R,0)),0),""))</f>
        <v/>
      </c>
      <c r="AG188" s="33" t="str">
        <f t="shared" si="40"/>
        <v/>
      </c>
      <c r="AH188" s="110" t="str">
        <f>IF(LEFT($B188,4)="_Mil","",_xlfn.IFNA(INDEX(Spectrum!$N:$N,MATCH(RIGHT($B188,13)&amp;"|"&amp;$C188&amp;"|"&amp;$D188&amp;"|"&amp;AH$14&amp;"|"&amp;"CY2024Q3",Spectrum!$R:$R,0)),""))</f>
        <v/>
      </c>
      <c r="AI188" s="218">
        <f>IF(LEFT($B188,4)="_Mil","",_xlfn.IFNA(ROUND(INDEX(Spectrum!$N:$N,MATCH(RIGHT($B188,13)&amp;"|"&amp;$C188&amp;"|"&amp;$D188&amp;"|"&amp;AI$14&amp;"|"&amp;"CY2025Q3",Spectrum!$R:$R,0)),0),""))</f>
        <v>0</v>
      </c>
      <c r="AJ188" s="38">
        <f>IF(LEFT($B188,4)="_Mil","",_xlfn.IFNA(ROUND(INDEX(Spectrum!$N:$N,MATCH(RIGHT($B188,13)&amp;"|"&amp;$C188&amp;"|"&amp;$D188&amp;"|"&amp;AJ$14&amp;"|"&amp;"CY2025Q3",Spectrum!$R:$R,0)),0),""))</f>
        <v>452</v>
      </c>
      <c r="AK188" s="218" t="e">
        <f>#REF!</f>
        <v>#REF!</v>
      </c>
      <c r="AL188" s="33">
        <f t="shared" si="41"/>
        <v>0.9</v>
      </c>
      <c r="AM188" s="38" t="e">
        <f>IF(OR(LEFT($B188,4)="_Mil",$C188="&lt;01"),"",ROUND(SUM($AK188)*SUM($AL188),0))</f>
        <v>#REF!</v>
      </c>
      <c r="AN188" s="38" t="str">
        <f>IF($C188="&lt;01",ROUND(INDEX(EID!$P:$P,MATCH($B188,EID!$B:$B,0))/2,0),"")</f>
        <v/>
      </c>
      <c r="AO188" s="38" t="e">
        <f>IF($C188="&lt;01",SUM($AN188),ROUND(SUM($AM188)*SUM($O188)/IF(SUM($Z188)=0,1,$Z188),0))</f>
        <v>#REF!</v>
      </c>
      <c r="AP188" s="218">
        <f>IF(OR($F188="",$C188="&lt;01"),$AO188,ROUND($F188,0))</f>
        <v>433</v>
      </c>
      <c r="AQ188" s="218">
        <f>IF(LEFT($B188,4)="_Mil","",IF(SUM($AP188)=0,SUM($Z188),IF(OR(SUM($Z188)=0,SUM($O188)=0),MAX($AP188,$Z188),ROUND($AP188*$Z188/$O188,0))))</f>
        <v>427</v>
      </c>
      <c r="AR188" s="33" t="e">
        <f>IF(OR(LEFT($B188,4)="_Mil",SUM($AK188)=0),"",SUM($AQ188)/$AK188)</f>
        <v>#REF!</v>
      </c>
      <c r="AS188" s="33">
        <f t="shared" si="50"/>
        <v>0.98</v>
      </c>
      <c r="AT188" s="33">
        <f t="shared" si="49"/>
        <v>0.98</v>
      </c>
      <c r="AU188" s="38">
        <f>IF($C188="&lt;01","",SUM($AP188)-SUM($O188))</f>
        <v>0</v>
      </c>
      <c r="AV188" s="38">
        <f>IF($C188="&lt;01",ROUND(INDEX(EID!$N:$N,MATCH($B188,EID!$B:$B,0))/2,0),IF(SUM($AT188)=0,"",ROUND((SUM($AP188)-(SUM($O188)*SUM($AS188)))/$AT188,0)))</f>
        <v>9</v>
      </c>
      <c r="AW188" s="33">
        <f t="shared" si="42"/>
        <v>1</v>
      </c>
      <c r="AX188" s="218">
        <f>IF($C188="&lt;01",SUM($AV188),ROUND(SUM($AV188)*SUM($AW188),0))</f>
        <v>9</v>
      </c>
      <c r="AY188" s="79">
        <f t="shared" si="43"/>
        <v>0.7</v>
      </c>
      <c r="AZ188" s="85">
        <f>IF($C188="&lt;01",ROUND(INDEX(EID!$R:$R,MATCH($B188,EID!$B:$B,0))/2,0),ROUND(SUM($O188)+(SUM($AV188)*$AY188),0))</f>
        <v>439</v>
      </c>
      <c r="BA188" s="40">
        <f t="shared" si="47"/>
        <v>0.9</v>
      </c>
      <c r="BB188" s="99">
        <f>IF($C188="&lt;01",ROUND(INDEX(EID!$T:$T,MATCH($B188,EID!$B:$B,0))/2,0),ROUND($AP188*$BA188,0))</f>
        <v>390</v>
      </c>
      <c r="BC188" s="85">
        <f>IF(LEFT($B188,4)="_Mil","",IF(SUM($BB188)=0,SUM($AD188),IF(OR(SUM($AP188)=0,SUM($AQ188)=0),MAX($BB188,$AD188),ROUND($BB188*$AQ188/$AP188,0))))</f>
        <v>385</v>
      </c>
      <c r="BD188" s="33">
        <f t="shared" si="44"/>
        <v>0.95</v>
      </c>
      <c r="BE188" s="218">
        <f>IF($C188="&lt;01",ROUND(INDEX(EID!$V:$V,MATCH($B188,EID!$B:$B,0))/2,0),ROUND($BD188*$BB188,0))</f>
        <v>371</v>
      </c>
      <c r="BF188" s="218">
        <f>IF(LEFT($B188,4)="_Mil","",IF(SUM($BE188)=0,SUM($AF188),IF(OR(SUM($AP188)=0,SUM($AQ188)=0),MAX($BE188,$AF188),ROUND($BE188*$AQ188/$AP188,0))))</f>
        <v>366</v>
      </c>
      <c r="BG188" s="79">
        <f t="shared" si="45"/>
        <v>0.95</v>
      </c>
      <c r="BH188" s="99">
        <f>IF($C188="&lt;01",ROUND(INDEX(EID!$L:$L,MATCH($B188,EID!$B:$B,0)),0)/2,IF(SUM($BG188)=0,"",ROUND($AX188/$BG188,0)))</f>
        <v>9</v>
      </c>
    </row>
    <row r="189" spans="1:60" x14ac:dyDescent="0.2">
      <c r="A189" t="str">
        <f>INDEX(Prioritization!$D:$D,MATCH($B189,Prioritization!$A:$A,0))</f>
        <v>1 - Scale-up: Saturation</v>
      </c>
      <c r="B189" t="s">
        <v>317</v>
      </c>
      <c r="C189" t="s">
        <v>475</v>
      </c>
      <c r="D189" t="s">
        <v>30</v>
      </c>
      <c r="E189" t="str">
        <f t="shared" si="35"/>
        <v>Machinga District [TYnMSwzko3z]|15-24|Female</v>
      </c>
      <c r="F189" s="229">
        <v>1673</v>
      </c>
      <c r="G189" s="38">
        <v>506</v>
      </c>
      <c r="H189" s="38">
        <v>482</v>
      </c>
      <c r="I189" s="38">
        <v>1673</v>
      </c>
      <c r="J189" s="38">
        <v>1591</v>
      </c>
      <c r="K189" s="38">
        <v>1436</v>
      </c>
      <c r="L189" s="38">
        <v>149</v>
      </c>
      <c r="M189" s="38">
        <v>146</v>
      </c>
      <c r="N189" s="38">
        <v>1704</v>
      </c>
      <c r="O189" s="229">
        <v>1673</v>
      </c>
      <c r="P189" s="38">
        <v>1561</v>
      </c>
      <c r="Q189" s="38">
        <v>1482</v>
      </c>
      <c r="R189" s="38">
        <f t="shared" si="36"/>
        <v>0</v>
      </c>
      <c r="S189" s="38">
        <f>IF(LEFT($B189,4)="_Mil","",_xlfn.IFNA(ROUND(INDEX(Spectrum!$N:$N,MATCH(RIGHT($B189,13)&amp;"|"&amp;$C189&amp;"|"&amp;$D189&amp;"|"&amp;S$14&amp;"|"&amp;"CY2023Q4",Spectrum!$R:$R,0)),0),""))</f>
        <v>1742</v>
      </c>
      <c r="T189" s="218">
        <f>IF(LEFT($B189,4)="_Mil","",_xlfn.IFNA(ROUND(INDEX(Spectrum!$N:$N,MATCH(RIGHT($B189,13)&amp;"|"&amp;$C189&amp;"|"&amp;$D189&amp;"|"&amp;T$14&amp;"|"&amp;"CY2024Q3",Spectrum!$R:$R,0)),0),""))</f>
        <v>100698</v>
      </c>
      <c r="U189" s="218">
        <f>IF(LEFT($B189,4)="_Mil","",_xlfn.IFNA(ROUND(INDEX(Spectrum!$N:$N,MATCH(RIGHT($B189,13)&amp;"|"&amp;$C189&amp;"|"&amp;$D189&amp;"|"&amp;U$14&amp;"|"&amp;"CY2024Q3",Spectrum!$R:$R,0)),0),""))</f>
        <v>1603</v>
      </c>
      <c r="V189" s="38">
        <f>IF(LEFT($B189,4)="_Mil","",_xlfn.IFNA(ROUND(INDEX(Spectrum!$N:$N,MATCH(RIGHT($B189,13)&amp;"|"&amp;$C189&amp;"|"&amp;$D189&amp;"|"&amp;V$14&amp;"|"&amp;"CY2024Q3",Spectrum!$R:$R,0)),0),""))</f>
        <v>1828</v>
      </c>
      <c r="W189" s="220">
        <f>IF(LEFT($B189,4)="_Mil","",_xlfn.IFNA(INDEX(Spectrum!$N:$N,MATCH(RIGHT($B189,13)&amp;"|"&amp;$C189&amp;"|"&amp;$D189&amp;"|"&amp;W$14&amp;"|"&amp;"CY2024Q3",Spectrum!$R:$R,0)),""))</f>
        <v>1.5920289000000001E-2</v>
      </c>
      <c r="X189" s="218">
        <f>IF(LEFT($B189,4)="_Mil","",_xlfn.IFNA(ROUND(INDEX(Spectrum!$N:$N,MATCH(RIGHT($B189,13)&amp;"|"&amp;$C189&amp;"|"&amp;$D189&amp;"|"&amp;X$14&amp;"|"&amp;"CY2024Q3",Spectrum!$R:$R,0)),0),""))</f>
        <v>1505</v>
      </c>
      <c r="Y189" s="33">
        <f t="shared" si="37"/>
        <v>0.94</v>
      </c>
      <c r="Z189" s="218">
        <f>IF(LEFT($B189,4)="_Mil","",_xlfn.IFNA(ROUND(INDEX(Spectrum!$N:$N,MATCH(RIGHT($B189,13)&amp;"|"&amp;$C189&amp;"|"&amp;$D189&amp;"|"&amp;Z$14&amp;"|"&amp;"CY2024Q3",Spectrum!$R:$R,0)),0),""))</f>
        <v>1717</v>
      </c>
      <c r="AA189" s="33">
        <f>IF(LEFT($B189,4)="_Mil","",IFERROR(1/(1/INDEX(Spectrum!$N:$N,MATCH(RIGHT($B189,13)&amp;"|"&amp;$C189&amp;"|"&amp;$D189&amp;"|"&amp;AA$14&amp;"|"&amp;"CY2024Q3",Spectrum!$R:$R,0))),IF(SUM($U189)=0,"",SUM($Z189)/$U189)))</f>
        <v>0.93894512100000005</v>
      </c>
      <c r="AB189" s="33">
        <f t="shared" si="38"/>
        <v>1.1408637873754153</v>
      </c>
      <c r="AC189" s="38">
        <f>IF(LEFT($B189,4)="_Mil","",_xlfn.IFNA(ROUND(INDEX(Spectrum!$N:$N,MATCH(RIGHT($B189,13)&amp;"|"&amp;$C189&amp;"|"&amp;$D189&amp;"|"&amp;AC$14&amp;"|"&amp;"CY2024Q3",Spectrum!$R:$R,0)),0),""))</f>
        <v>111</v>
      </c>
      <c r="AD189" s="38" t="str">
        <f>IF(LEFT($B189,4)="_Mil","",_xlfn.IFNA(ROUND(INDEX(Spectrum!$N:$N,MATCH(RIGHT($B189,13)&amp;"|"&amp;$C189&amp;"|"&amp;$D189&amp;"|"&amp;AD$14&amp;"|"&amp;"CY2024Q3",Spectrum!$R:$R,0)),0),""))</f>
        <v/>
      </c>
      <c r="AE189" s="33">
        <f t="shared" si="39"/>
        <v>0</v>
      </c>
      <c r="AF189" s="218" t="str">
        <f>IF(LEFT($B189,4)="_Mil","",_xlfn.IFNA(ROUND(INDEX(Spectrum!$N:$N,MATCH(RIGHT($B189,13)&amp;"|"&amp;$C189&amp;"|"&amp;$D189&amp;"|"&amp;AF$14&amp;"|"&amp;"CY2024Q3",Spectrum!$R:$R,0)),0),""))</f>
        <v/>
      </c>
      <c r="AG189" s="33" t="str">
        <f t="shared" si="40"/>
        <v/>
      </c>
      <c r="AH189" s="110" t="str">
        <f>IF(LEFT($B189,4)="_Mil","",_xlfn.IFNA(INDEX(Spectrum!$N:$N,MATCH(RIGHT($B189,13)&amp;"|"&amp;$C189&amp;"|"&amp;$D189&amp;"|"&amp;AH$14&amp;"|"&amp;"CY2024Q3",Spectrum!$R:$R,0)),""))</f>
        <v/>
      </c>
      <c r="AI189" s="218">
        <f>IF(LEFT($B189,4)="_Mil","",_xlfn.IFNA(ROUND(INDEX(Spectrum!$N:$N,MATCH(RIGHT($B189,13)&amp;"|"&amp;$C189&amp;"|"&amp;$D189&amp;"|"&amp;AI$14&amp;"|"&amp;"CY2025Q3",Spectrum!$R:$R,0)),0),""))</f>
        <v>93</v>
      </c>
      <c r="AJ189" s="38">
        <f>IF(LEFT($B189,4)="_Mil","",_xlfn.IFNA(ROUND(INDEX(Spectrum!$N:$N,MATCH(RIGHT($B189,13)&amp;"|"&amp;$C189&amp;"|"&amp;$D189&amp;"|"&amp;AJ$14&amp;"|"&amp;"CY2025Q3",Spectrum!$R:$R,0)),0),""))</f>
        <v>1572</v>
      </c>
      <c r="AK189" s="218" t="e">
        <f>#REF!</f>
        <v>#REF!</v>
      </c>
      <c r="AL189" s="33">
        <f t="shared" si="41"/>
        <v>0.93894512100000005</v>
      </c>
      <c r="AM189" s="38" t="e">
        <f>IF(OR(LEFT($B189,4)="_Mil",$C189="&lt;01"),"",ROUND(SUM($AK189)*SUM($AL189),0))</f>
        <v>#REF!</v>
      </c>
      <c r="AN189" s="38" t="str">
        <f>IF($C189="&lt;01",ROUND(INDEX(EID!$P:$P,MATCH($B189,EID!$B:$B,0))/2,0),"")</f>
        <v/>
      </c>
      <c r="AO189" s="38" t="e">
        <f>IF($C189="&lt;01",SUM($AN189),ROUND(SUM($AM189)*SUM($O189)/IF(SUM($Z189)=0,1,$Z189),0))</f>
        <v>#REF!</v>
      </c>
      <c r="AP189" s="218">
        <f>IF(OR($F189="",$C189="&lt;01"),$AO189,ROUND($F189,0))</f>
        <v>1673</v>
      </c>
      <c r="AQ189" s="218">
        <f>IF(LEFT($B189,4)="_Mil","",IF(SUM($AP189)=0,SUM($Z189),IF(OR(SUM($Z189)=0,SUM($O189)=0),MAX($AP189,$Z189),ROUND($AP189*$Z189/$O189,0))))</f>
        <v>1717</v>
      </c>
      <c r="AR189" s="33" t="e">
        <f>IF(OR(LEFT($B189,4)="_Mil",SUM($AK189)=0),"",SUM($AQ189)/$AK189)</f>
        <v>#REF!</v>
      </c>
      <c r="AS189" s="33">
        <f>IF($C189="&lt;01","",86%)</f>
        <v>0.86</v>
      </c>
      <c r="AT189" s="33">
        <f>IF($C189="&lt;01","",90%)</f>
        <v>0.9</v>
      </c>
      <c r="AU189" s="38">
        <f>IF($C189="&lt;01","",SUM($AP189)-SUM($O189))</f>
        <v>0</v>
      </c>
      <c r="AV189" s="38">
        <f>IF($C189="&lt;01",ROUND(INDEX(EID!$N:$N,MATCH($B189,EID!$B:$B,0))/2,0),IF(SUM($AT189)=0,"",ROUND((SUM($AP189)-(SUM($O189)*SUM($AS189)))/$AT189,0)))</f>
        <v>260</v>
      </c>
      <c r="AW189" s="33">
        <f t="shared" si="42"/>
        <v>1</v>
      </c>
      <c r="AX189" s="218">
        <f>IF($C189="&lt;01",SUM($AV189),ROUND(SUM($AV189)*SUM($AW189),0))</f>
        <v>260</v>
      </c>
      <c r="AY189" s="79">
        <f t="shared" si="43"/>
        <v>0.7</v>
      </c>
      <c r="AZ189" s="85">
        <f>IF($C189="&lt;01",ROUND(INDEX(EID!$R:$R,MATCH($B189,EID!$B:$B,0))/2,0),ROUND(SUM($O189)+(SUM($AV189)*$AY189),0))</f>
        <v>1855</v>
      </c>
      <c r="BA189" s="40">
        <f t="shared" si="47"/>
        <v>0.9</v>
      </c>
      <c r="BB189" s="99">
        <f>IF($C189="&lt;01",ROUND(INDEX(EID!$T:$T,MATCH($B189,EID!$B:$B,0))/2,0),ROUND($AP189*$BA189,0))</f>
        <v>1506</v>
      </c>
      <c r="BC189" s="85">
        <f>IF(LEFT($B189,4)="_Mil","",IF(SUM($BB189)=0,SUM($AD189),IF(OR(SUM($AP189)=0,SUM($AQ189)=0),MAX($BB189,$AD189),ROUND($BB189*$AQ189/$AP189,0))))</f>
        <v>1546</v>
      </c>
      <c r="BD189" s="33">
        <f t="shared" si="44"/>
        <v>0.95</v>
      </c>
      <c r="BE189" s="218">
        <f>IF($C189="&lt;01",ROUND(INDEX(EID!$V:$V,MATCH($B189,EID!$B:$B,0))/2,0),ROUND($BD189*$BB189,0))</f>
        <v>1431</v>
      </c>
      <c r="BF189" s="218">
        <f>IF(LEFT($B189,4)="_Mil","",IF(SUM($BE189)=0,SUM($AF189),IF(OR(SUM($AP189)=0,SUM($AQ189)=0),MAX($BE189,$AF189),ROUND($BE189*$AQ189/$AP189,0))))</f>
        <v>1469</v>
      </c>
      <c r="BG189" s="79">
        <f t="shared" si="45"/>
        <v>0.95</v>
      </c>
      <c r="BH189" s="99">
        <f>IF($C189="&lt;01",ROUND(INDEX(EID!$L:$L,MATCH($B189,EID!$B:$B,0)),0)/2,IF(SUM($BG189)=0,"",ROUND($AX189/$BG189,0)))</f>
        <v>274</v>
      </c>
    </row>
    <row r="190" spans="1:60" x14ac:dyDescent="0.2">
      <c r="A190" t="str">
        <f>INDEX(Prioritization!$D:$D,MATCH($B190,Prioritization!$A:$A,0))</f>
        <v>1 - Scale-up: Saturation</v>
      </c>
      <c r="B190" t="s">
        <v>317</v>
      </c>
      <c r="C190" t="s">
        <v>475</v>
      </c>
      <c r="D190" t="s">
        <v>48</v>
      </c>
      <c r="E190" t="str">
        <f t="shared" si="35"/>
        <v>Machinga District [TYnMSwzko3z]|15-24|Male</v>
      </c>
      <c r="F190" s="229">
        <v>934</v>
      </c>
      <c r="G190" s="38">
        <v>78</v>
      </c>
      <c r="H190" s="38">
        <v>69</v>
      </c>
      <c r="I190" s="38">
        <v>692</v>
      </c>
      <c r="J190" s="38">
        <v>533</v>
      </c>
      <c r="K190" s="38">
        <v>463</v>
      </c>
      <c r="L190" s="38">
        <v>191</v>
      </c>
      <c r="M190" s="38">
        <v>182</v>
      </c>
      <c r="N190" s="38">
        <v>1131</v>
      </c>
      <c r="O190" s="229">
        <v>890</v>
      </c>
      <c r="P190" s="38">
        <v>974</v>
      </c>
      <c r="Q190" s="38">
        <v>926</v>
      </c>
      <c r="R190" s="38">
        <f t="shared" si="36"/>
        <v>198</v>
      </c>
      <c r="S190" s="38">
        <f>IF(LEFT($B190,4)="_Mil","",_xlfn.IFNA(ROUND(INDEX(Spectrum!$N:$N,MATCH(RIGHT($B190,13)&amp;"|"&amp;$C190&amp;"|"&amp;$D190&amp;"|"&amp;S$14&amp;"|"&amp;"CY2023Q4",Spectrum!$R:$R,0)),0),""))</f>
        <v>1029</v>
      </c>
      <c r="T190" s="218">
        <f>IF(LEFT($B190,4)="_Mil","",_xlfn.IFNA(ROUND(INDEX(Spectrum!$N:$N,MATCH(RIGHT($B190,13)&amp;"|"&amp;$C190&amp;"|"&amp;$D190&amp;"|"&amp;T$14&amp;"|"&amp;"CY2024Q3",Spectrum!$R:$R,0)),0),""))</f>
        <v>93230</v>
      </c>
      <c r="U190" s="218">
        <f>IF(LEFT($B190,4)="_Mil","",_xlfn.IFNA(ROUND(INDEX(Spectrum!$N:$N,MATCH(RIGHT($B190,13)&amp;"|"&amp;$C190&amp;"|"&amp;$D190&amp;"|"&amp;U$14&amp;"|"&amp;"CY2024Q3",Spectrum!$R:$R,0)),0),""))</f>
        <v>1038</v>
      </c>
      <c r="V190" s="38">
        <f>IF(LEFT($B190,4)="_Mil","",_xlfn.IFNA(ROUND(INDEX(Spectrum!$N:$N,MATCH(RIGHT($B190,13)&amp;"|"&amp;$C190&amp;"|"&amp;$D190&amp;"|"&amp;V$14&amp;"|"&amp;"CY2024Q3",Spectrum!$R:$R,0)),0),""))</f>
        <v>1187</v>
      </c>
      <c r="W190" s="220">
        <f>IF(LEFT($B190,4)="_Mil","",_xlfn.IFNA(INDEX(Spectrum!$N:$N,MATCH(RIGHT($B190,13)&amp;"|"&amp;$C190&amp;"|"&amp;$D190&amp;"|"&amp;W$14&amp;"|"&amp;"CY2024Q3",Spectrum!$R:$R,0)),""))</f>
        <v>1.1139019E-2</v>
      </c>
      <c r="X190" s="218">
        <f>IF(LEFT($B190,4)="_Mil","",_xlfn.IFNA(ROUND(INDEX(Spectrum!$N:$N,MATCH(RIGHT($B190,13)&amp;"|"&amp;$C190&amp;"|"&amp;$D190&amp;"|"&amp;X$14&amp;"|"&amp;"CY2024Q3",Spectrum!$R:$R,0)),0),""))</f>
        <v>944</v>
      </c>
      <c r="Y190" s="33">
        <f t="shared" si="37"/>
        <v>0.91</v>
      </c>
      <c r="Z190" s="218">
        <f>IF(LEFT($B190,4)="_Mil","",_xlfn.IFNA(ROUND(INDEX(Spectrum!$N:$N,MATCH(RIGHT($B190,13)&amp;"|"&amp;$C190&amp;"|"&amp;$D190&amp;"|"&amp;Z$14&amp;"|"&amp;"CY2024Q3",Spectrum!$R:$R,0)),0),""))</f>
        <v>1078</v>
      </c>
      <c r="AA190" s="33">
        <f>IF(LEFT($B190,4)="_Mil","",IFERROR(1/(1/INDEX(Spectrum!$N:$N,MATCH(RIGHT($B190,13)&amp;"|"&amp;$C190&amp;"|"&amp;$D190&amp;"|"&amp;AA$14&amp;"|"&amp;"CY2024Q3",Spectrum!$R:$R,0))),IF(SUM($U190)=0,"",SUM($Z190)/$U190)))</f>
        <v>0.90654579700000004</v>
      </c>
      <c r="AB190" s="33">
        <f t="shared" si="38"/>
        <v>1.1419491525423728</v>
      </c>
      <c r="AC190" s="38">
        <f>IF(LEFT($B190,4)="_Mil","",_xlfn.IFNA(ROUND(INDEX(Spectrum!$N:$N,MATCH(RIGHT($B190,13)&amp;"|"&amp;$C190&amp;"|"&amp;$D190&amp;"|"&amp;AC$14&amp;"|"&amp;"CY2024Q3",Spectrum!$R:$R,0)),0),""))</f>
        <v>109</v>
      </c>
      <c r="AD190" s="38" t="str">
        <f>IF(LEFT($B190,4)="_Mil","",_xlfn.IFNA(ROUND(INDEX(Spectrum!$N:$N,MATCH(RIGHT($B190,13)&amp;"|"&amp;$C190&amp;"|"&amp;$D190&amp;"|"&amp;AD$14&amp;"|"&amp;"CY2024Q3",Spectrum!$R:$R,0)),0),""))</f>
        <v/>
      </c>
      <c r="AE190" s="33">
        <f t="shared" si="39"/>
        <v>0</v>
      </c>
      <c r="AF190" s="218" t="str">
        <f>IF(LEFT($B190,4)="_Mil","",_xlfn.IFNA(ROUND(INDEX(Spectrum!$N:$N,MATCH(RIGHT($B190,13)&amp;"|"&amp;$C190&amp;"|"&amp;$D190&amp;"|"&amp;AF$14&amp;"|"&amp;"CY2024Q3",Spectrum!$R:$R,0)),0),""))</f>
        <v/>
      </c>
      <c r="AG190" s="33" t="str">
        <f t="shared" si="40"/>
        <v/>
      </c>
      <c r="AH190" s="110" t="str">
        <f>IF(LEFT($B190,4)="_Mil","",_xlfn.IFNA(INDEX(Spectrum!$N:$N,MATCH(RIGHT($B190,13)&amp;"|"&amp;$C190&amp;"|"&amp;$D190&amp;"|"&amp;AH$14&amp;"|"&amp;"CY2024Q3",Spectrum!$R:$R,0)),""))</f>
        <v/>
      </c>
      <c r="AI190" s="218">
        <f>IF(LEFT($B190,4)="_Mil","",_xlfn.IFNA(ROUND(INDEX(Spectrum!$N:$N,MATCH(RIGHT($B190,13)&amp;"|"&amp;$C190&amp;"|"&amp;$D190&amp;"|"&amp;AI$14&amp;"|"&amp;"CY2025Q3",Spectrum!$R:$R,0)),0),""))</f>
        <v>14</v>
      </c>
      <c r="AJ190" s="38">
        <f>IF(LEFT($B190,4)="_Mil","",_xlfn.IFNA(ROUND(INDEX(Spectrum!$N:$N,MATCH(RIGHT($B190,13)&amp;"|"&amp;$C190&amp;"|"&amp;$D190&amp;"|"&amp;AJ$14&amp;"|"&amp;"CY2025Q3",Spectrum!$R:$R,0)),0),""))</f>
        <v>1057</v>
      </c>
      <c r="AK190" s="218" t="e">
        <f>#REF!</f>
        <v>#REF!</v>
      </c>
      <c r="AL190" s="33">
        <f t="shared" si="41"/>
        <v>0.90654579700000004</v>
      </c>
      <c r="AM190" s="38" t="e">
        <f>IF(OR(LEFT($B190,4)="_Mil",$C190="&lt;01"),"",ROUND(SUM($AK190)*SUM($AL190),0))</f>
        <v>#REF!</v>
      </c>
      <c r="AN190" s="38" t="str">
        <f>IF($C190="&lt;01",ROUND(INDEX(EID!$P:$P,MATCH($B190,EID!$B:$B,0))/2,0),"")</f>
        <v/>
      </c>
      <c r="AO190" s="38" t="e">
        <f>IF($C190="&lt;01",SUM($AN190),ROUND(SUM($AM190)*SUM($O190)/IF(SUM($Z190)=0,1,$Z190),0))</f>
        <v>#REF!</v>
      </c>
      <c r="AP190" s="218">
        <f>IF(OR($F190="",$C190="&lt;01"),$AO190,ROUND($F190,0))</f>
        <v>934</v>
      </c>
      <c r="AQ190" s="218">
        <f>IF(LEFT($B190,4)="_Mil","",IF(SUM($AP190)=0,SUM($Z190),IF(OR(SUM($Z190)=0,SUM($O190)=0),MAX($AP190,$Z190),ROUND($AP190*$Z190/$O190,0))))</f>
        <v>1131</v>
      </c>
      <c r="AR190" s="33" t="e">
        <f>IF(OR(LEFT($B190,4)="_Mil",SUM($AK190)=0),"",SUM($AQ190)/$AK190)</f>
        <v>#REF!</v>
      </c>
      <c r="AS190" s="33">
        <f t="shared" si="50"/>
        <v>0.98</v>
      </c>
      <c r="AT190" s="33">
        <f t="shared" si="49"/>
        <v>0.98</v>
      </c>
      <c r="AU190" s="38">
        <f>IF($C190="&lt;01","",SUM($AP190)-SUM($O190))</f>
        <v>44</v>
      </c>
      <c r="AV190" s="38">
        <f>IF($C190="&lt;01",ROUND(INDEX(EID!$N:$N,MATCH($B190,EID!$B:$B,0))/2,0),IF(SUM($AT190)=0,"",ROUND((SUM($AP190)-(SUM($O190)*SUM($AS190)))/$AT190,0)))</f>
        <v>63</v>
      </c>
      <c r="AW190" s="33">
        <f t="shared" si="42"/>
        <v>1</v>
      </c>
      <c r="AX190" s="218">
        <f>IF($C190="&lt;01",SUM($AV190),ROUND(SUM($AV190)*SUM($AW190),0))</f>
        <v>63</v>
      </c>
      <c r="AY190" s="79">
        <f t="shared" si="43"/>
        <v>0.7</v>
      </c>
      <c r="AZ190" s="85">
        <f>IF($C190="&lt;01",ROUND(INDEX(EID!$R:$R,MATCH($B190,EID!$B:$B,0))/2,0),ROUND(SUM($O190)+(SUM($AV190)*$AY190),0))</f>
        <v>934</v>
      </c>
      <c r="BA190" s="40">
        <f t="shared" si="47"/>
        <v>0.9</v>
      </c>
      <c r="BB190" s="99">
        <f>IF($C190="&lt;01",ROUND(INDEX(EID!$T:$T,MATCH($B190,EID!$B:$B,0))/2,0),ROUND($AP190*$BA190,0))</f>
        <v>841</v>
      </c>
      <c r="BC190" s="85">
        <f>IF(LEFT($B190,4)="_Mil","",IF(SUM($BB190)=0,SUM($AD190),IF(OR(SUM($AP190)=0,SUM($AQ190)=0),MAX($BB190,$AD190),ROUND($BB190*$AQ190/$AP190,0))))</f>
        <v>1018</v>
      </c>
      <c r="BD190" s="33">
        <f t="shared" si="44"/>
        <v>0.95</v>
      </c>
      <c r="BE190" s="218">
        <f>IF($C190="&lt;01",ROUND(INDEX(EID!$V:$V,MATCH($B190,EID!$B:$B,0))/2,0),ROUND($BD190*$BB190,0))</f>
        <v>799</v>
      </c>
      <c r="BF190" s="218">
        <f>IF(LEFT($B190,4)="_Mil","",IF(SUM($BE190)=0,SUM($AF190),IF(OR(SUM($AP190)=0,SUM($AQ190)=0),MAX($BE190,$AF190),ROUND($BE190*$AQ190/$AP190,0))))</f>
        <v>968</v>
      </c>
      <c r="BG190" s="79">
        <f t="shared" si="45"/>
        <v>0.95</v>
      </c>
      <c r="BH190" s="99">
        <f>IF($C190="&lt;01",ROUND(INDEX(EID!$L:$L,MATCH($B190,EID!$B:$B,0)),0)/2,IF(SUM($BG190)=0,"",ROUND($AX190/$BG190,0)))</f>
        <v>66</v>
      </c>
    </row>
    <row r="191" spans="1:60" x14ac:dyDescent="0.2">
      <c r="A191" t="str">
        <f>INDEX(Prioritization!$D:$D,MATCH($B191,Prioritization!$A:$A,0))</f>
        <v>1 - Scale-up: Saturation</v>
      </c>
      <c r="B191" t="s">
        <v>317</v>
      </c>
      <c r="C191" t="s">
        <v>476</v>
      </c>
      <c r="D191" t="s">
        <v>30</v>
      </c>
      <c r="E191" t="str">
        <f t="shared" si="35"/>
        <v>Machinga District [TYnMSwzko3z]|25-34|Female</v>
      </c>
      <c r="F191" s="229">
        <v>4235</v>
      </c>
      <c r="G191" s="38">
        <v>695</v>
      </c>
      <c r="H191" s="38">
        <v>651</v>
      </c>
      <c r="I191" s="38">
        <v>4942</v>
      </c>
      <c r="J191" s="38">
        <v>4674</v>
      </c>
      <c r="K191" s="38">
        <v>4470</v>
      </c>
      <c r="L191" s="38">
        <v>380</v>
      </c>
      <c r="M191" s="38">
        <v>372</v>
      </c>
      <c r="N191" s="38">
        <v>4323</v>
      </c>
      <c r="O191" s="229">
        <v>4544</v>
      </c>
      <c r="P191" s="38">
        <v>3960</v>
      </c>
      <c r="Q191" s="38">
        <v>3762</v>
      </c>
      <c r="R191" s="38">
        <f t="shared" si="36"/>
        <v>-398</v>
      </c>
      <c r="S191" s="38">
        <f>IF(LEFT($B191,4)="_Mil","",_xlfn.IFNA(ROUND(INDEX(Spectrum!$N:$N,MATCH(RIGHT($B191,13)&amp;"|"&amp;$C191&amp;"|"&amp;$D191&amp;"|"&amp;S$14&amp;"|"&amp;"CY2023Q4",Spectrum!$R:$R,0)),0),""))</f>
        <v>4641</v>
      </c>
      <c r="T191" s="218">
        <f>IF(LEFT($B191,4)="_Mil","",_xlfn.IFNA(ROUND(INDEX(Spectrum!$N:$N,MATCH(RIGHT($B191,13)&amp;"|"&amp;$C191&amp;"|"&amp;$D191&amp;"|"&amp;T$14&amp;"|"&amp;"CY2024Q3",Spectrum!$R:$R,0)),0),""))</f>
        <v>68261</v>
      </c>
      <c r="U191" s="218">
        <f>IF(LEFT($B191,4)="_Mil","",_xlfn.IFNA(ROUND(INDEX(Spectrum!$N:$N,MATCH(RIGHT($B191,13)&amp;"|"&amp;$C191&amp;"|"&amp;$D191&amp;"|"&amp;U$14&amp;"|"&amp;"CY2024Q3",Spectrum!$R:$R,0)),0),""))</f>
        <v>4005</v>
      </c>
      <c r="V191" s="38">
        <f>IF(LEFT($B191,4)="_Mil","",_xlfn.IFNA(ROUND(INDEX(Spectrum!$N:$N,MATCH(RIGHT($B191,13)&amp;"|"&amp;$C191&amp;"|"&amp;$D191&amp;"|"&amp;V$14&amp;"|"&amp;"CY2024Q3",Spectrum!$R:$R,0)),0),""))</f>
        <v>4544</v>
      </c>
      <c r="W191" s="220">
        <f>IF(LEFT($B191,4)="_Mil","",_xlfn.IFNA(INDEX(Spectrum!$N:$N,MATCH(RIGHT($B191,13)&amp;"|"&amp;$C191&amp;"|"&amp;$D191&amp;"|"&amp;W$14&amp;"|"&amp;"CY2024Q3",Spectrum!$R:$R,0)),""))</f>
        <v>5.8673555000000002E-2</v>
      </c>
      <c r="X191" s="218">
        <f>IF(LEFT($B191,4)="_Mil","",_xlfn.IFNA(ROUND(INDEX(Spectrum!$N:$N,MATCH(RIGHT($B191,13)&amp;"|"&amp;$C191&amp;"|"&amp;$D191&amp;"|"&amp;X$14&amp;"|"&amp;"CY2024Q3",Spectrum!$R:$R,0)),0),""))</f>
        <v>3875</v>
      </c>
      <c r="Y191" s="33">
        <f t="shared" si="37"/>
        <v>0.97</v>
      </c>
      <c r="Z191" s="218">
        <f>IF(LEFT($B191,4)="_Mil","",_xlfn.IFNA(ROUND(INDEX(Spectrum!$N:$N,MATCH(RIGHT($B191,13)&amp;"|"&amp;$C191&amp;"|"&amp;$D191&amp;"|"&amp;Z$14&amp;"|"&amp;"CY2024Q3",Spectrum!$R:$R,0)),0),""))</f>
        <v>4397</v>
      </c>
      <c r="AA191" s="33">
        <f>IF(LEFT($B191,4)="_Mil","",IFERROR(1/(1/INDEX(Spectrum!$N:$N,MATCH(RIGHT($B191,13)&amp;"|"&amp;$C191&amp;"|"&amp;$D191&amp;"|"&amp;AA$14&amp;"|"&amp;"CY2024Q3",Spectrum!$R:$R,0))),IF(SUM($U191)=0,"",SUM($Z191)/$U191)))</f>
        <v>0.96755493000000015</v>
      </c>
      <c r="AB191" s="33">
        <f t="shared" si="38"/>
        <v>1.1347096774193548</v>
      </c>
      <c r="AC191" s="38">
        <f>IF(LEFT($B191,4)="_Mil","",_xlfn.IFNA(ROUND(INDEX(Spectrum!$N:$N,MATCH(RIGHT($B191,13)&amp;"|"&amp;$C191&amp;"|"&amp;$D191&amp;"|"&amp;AC$14&amp;"|"&amp;"CY2024Q3",Spectrum!$R:$R,0)),0),""))</f>
        <v>147</v>
      </c>
      <c r="AD191" s="38" t="str">
        <f>IF(LEFT($B191,4)="_Mil","",_xlfn.IFNA(ROUND(INDEX(Spectrum!$N:$N,MATCH(RIGHT($B191,13)&amp;"|"&amp;$C191&amp;"|"&amp;$D191&amp;"|"&amp;AD$14&amp;"|"&amp;"CY2024Q3",Spectrum!$R:$R,0)),0),""))</f>
        <v/>
      </c>
      <c r="AE191" s="33">
        <f t="shared" si="39"/>
        <v>0</v>
      </c>
      <c r="AF191" s="218" t="str">
        <f>IF(LEFT($B191,4)="_Mil","",_xlfn.IFNA(ROUND(INDEX(Spectrum!$N:$N,MATCH(RIGHT($B191,13)&amp;"|"&amp;$C191&amp;"|"&amp;$D191&amp;"|"&amp;AF$14&amp;"|"&amp;"CY2024Q3",Spectrum!$R:$R,0)),0),""))</f>
        <v/>
      </c>
      <c r="AG191" s="33" t="str">
        <f t="shared" si="40"/>
        <v/>
      </c>
      <c r="AH191" s="110" t="str">
        <f>IF(LEFT($B191,4)="_Mil","",_xlfn.IFNA(INDEX(Spectrum!$N:$N,MATCH(RIGHT($B191,13)&amp;"|"&amp;$C191&amp;"|"&amp;$D191&amp;"|"&amp;AH$14&amp;"|"&amp;"CY2024Q3",Spectrum!$R:$R,0)),""))</f>
        <v/>
      </c>
      <c r="AI191" s="218">
        <f>IF(LEFT($B191,4)="_Mil","",_xlfn.IFNA(ROUND(INDEX(Spectrum!$N:$N,MATCH(RIGHT($B191,13)&amp;"|"&amp;$C191&amp;"|"&amp;$D191&amp;"|"&amp;AI$14&amp;"|"&amp;"CY2025Q3",Spectrum!$R:$R,0)),0),""))</f>
        <v>93</v>
      </c>
      <c r="AJ191" s="38">
        <f>IF(LEFT($B191,4)="_Mil","",_xlfn.IFNA(ROUND(INDEX(Spectrum!$N:$N,MATCH(RIGHT($B191,13)&amp;"|"&amp;$C191&amp;"|"&amp;$D191&amp;"|"&amp;AJ$14&amp;"|"&amp;"CY2025Q3",Spectrum!$R:$R,0)),0),""))</f>
        <v>3731</v>
      </c>
      <c r="AK191" s="218" t="e">
        <f>#REF!</f>
        <v>#REF!</v>
      </c>
      <c r="AL191" s="33">
        <f t="shared" si="41"/>
        <v>0.96755493000000015</v>
      </c>
      <c r="AM191" s="38" t="e">
        <f>IF(OR(LEFT($B191,4)="_Mil",$C191="&lt;01"),"",ROUND(SUM($AK191)*SUM($AL191),0))</f>
        <v>#REF!</v>
      </c>
      <c r="AN191" s="38" t="str">
        <f>IF($C191="&lt;01",ROUND(INDEX(EID!$P:$P,MATCH($B191,EID!$B:$B,0))/2,0),"")</f>
        <v/>
      </c>
      <c r="AO191" s="38" t="e">
        <f>IF($C191="&lt;01",SUM($AN191),ROUND(SUM($AM191)*SUM($O191)/IF(SUM($Z191)=0,1,$Z191),0))</f>
        <v>#REF!</v>
      </c>
      <c r="AP191" s="218">
        <f>IF(OR($F191="",$C191="&lt;01"),$AO191,ROUND($F191,0))</f>
        <v>4235</v>
      </c>
      <c r="AQ191" s="218">
        <f>IF(LEFT($B191,4)="_Mil","",IF(SUM($AP191)=0,SUM($Z191),IF(OR(SUM($Z191)=0,SUM($O191)=0),MAX($AP191,$Z191),ROUND($AP191*$Z191/$O191,0))))</f>
        <v>4098</v>
      </c>
      <c r="AR191" s="33" t="e">
        <f>IF(OR(LEFT($B191,4)="_Mil",SUM($AK191)=0),"",SUM($AQ191)/$AK191)</f>
        <v>#REF!</v>
      </c>
      <c r="AS191" s="33">
        <f>IF($C191="&lt;01","",85%)</f>
        <v>0.85</v>
      </c>
      <c r="AT191" s="33">
        <f>IF($C191="&lt;01","",90%)</f>
        <v>0.9</v>
      </c>
      <c r="AU191" s="38">
        <f>IF($C191="&lt;01","",SUM($AP191)-SUM($O191))</f>
        <v>-309</v>
      </c>
      <c r="AV191" s="38">
        <f>IF($C191="&lt;01",ROUND(INDEX(EID!$N:$N,MATCH($B191,EID!$B:$B,0))/2,0),IF(SUM($AT191)=0,"",ROUND((SUM($AP191)-(SUM($O191)*SUM($AS191)))/$AT191,0)))</f>
        <v>414</v>
      </c>
      <c r="AW191" s="33">
        <f t="shared" si="42"/>
        <v>1</v>
      </c>
      <c r="AX191" s="218">
        <f>IF($C191="&lt;01",SUM($AV191),ROUND(SUM($AV191)*SUM($AW191),0))</f>
        <v>414</v>
      </c>
      <c r="AY191" s="79">
        <f t="shared" si="43"/>
        <v>0.7</v>
      </c>
      <c r="AZ191" s="85">
        <f>IF($C191="&lt;01",ROUND(INDEX(EID!$R:$R,MATCH($B191,EID!$B:$B,0))/2,0),ROUND(SUM($O191)+(SUM($AV191)*$AY191),0))</f>
        <v>4834</v>
      </c>
      <c r="BA191" s="40">
        <f t="shared" si="47"/>
        <v>0.9</v>
      </c>
      <c r="BB191" s="99">
        <f>IF($C191="&lt;01",ROUND(INDEX(EID!$T:$T,MATCH($B191,EID!$B:$B,0))/2,0),ROUND($AP191*$BA191,0))</f>
        <v>3812</v>
      </c>
      <c r="BC191" s="85">
        <f>IF(LEFT($B191,4)="_Mil","",IF(SUM($BB191)=0,SUM($AD191),IF(OR(SUM($AP191)=0,SUM($AQ191)=0),MAX($BB191,$AD191),ROUND($BB191*$AQ191/$AP191,0))))</f>
        <v>3689</v>
      </c>
      <c r="BD191" s="33">
        <f t="shared" si="44"/>
        <v>0.95</v>
      </c>
      <c r="BE191" s="218">
        <f>IF($C191="&lt;01",ROUND(INDEX(EID!$V:$V,MATCH($B191,EID!$B:$B,0))/2,0),ROUND($BD191*$BB191,0))</f>
        <v>3621</v>
      </c>
      <c r="BF191" s="218">
        <f>IF(LEFT($B191,4)="_Mil","",IF(SUM($BE191)=0,SUM($AF191),IF(OR(SUM($AP191)=0,SUM($AQ191)=0),MAX($BE191,$AF191),ROUND($BE191*$AQ191/$AP191,0))))</f>
        <v>3504</v>
      </c>
      <c r="BG191" s="79">
        <f t="shared" si="45"/>
        <v>0.95</v>
      </c>
      <c r="BH191" s="99">
        <f>IF($C191="&lt;01",ROUND(INDEX(EID!$L:$L,MATCH($B191,EID!$B:$B,0)),0)/2,IF(SUM($BG191)=0,"",ROUND($AX191/$BG191,0)))</f>
        <v>436</v>
      </c>
    </row>
    <row r="192" spans="1:60" x14ac:dyDescent="0.2">
      <c r="A192" t="str">
        <f>INDEX(Prioritization!$D:$D,MATCH($B192,Prioritization!$A:$A,0))</f>
        <v>1 - Scale-up: Saturation</v>
      </c>
      <c r="B192" t="s">
        <v>317</v>
      </c>
      <c r="C192" t="s">
        <v>476</v>
      </c>
      <c r="D192" t="s">
        <v>48</v>
      </c>
      <c r="E192" t="str">
        <f t="shared" si="35"/>
        <v>Machinga District [TYnMSwzko3z]|25-34|Male</v>
      </c>
      <c r="F192" s="229">
        <v>977</v>
      </c>
      <c r="G192" s="38">
        <v>247</v>
      </c>
      <c r="H192" s="38">
        <v>217</v>
      </c>
      <c r="I192" s="38">
        <v>953</v>
      </c>
      <c r="J192" s="38">
        <v>713</v>
      </c>
      <c r="K192" s="38">
        <v>678</v>
      </c>
      <c r="L192" s="38">
        <v>11</v>
      </c>
      <c r="M192" s="38">
        <v>10</v>
      </c>
      <c r="N192" s="38">
        <v>1210</v>
      </c>
      <c r="O192" s="229">
        <v>977</v>
      </c>
      <c r="P192" s="38">
        <v>1104</v>
      </c>
      <c r="Q192" s="38">
        <v>1049</v>
      </c>
      <c r="R192" s="38">
        <f t="shared" si="36"/>
        <v>24</v>
      </c>
      <c r="S192" s="38">
        <f>IF(LEFT($B192,4)="_Mil","",_xlfn.IFNA(ROUND(INDEX(Spectrum!$N:$N,MATCH(RIGHT($B192,13)&amp;"|"&amp;$C192&amp;"|"&amp;$D192&amp;"|"&amp;S$14&amp;"|"&amp;"CY2023Q4",Spectrum!$R:$R,0)),0),""))</f>
        <v>1144</v>
      </c>
      <c r="T192" s="218">
        <f>IF(LEFT($B192,4)="_Mil","",_xlfn.IFNA(ROUND(INDEX(Spectrum!$N:$N,MATCH(RIGHT($B192,13)&amp;"|"&amp;$C192&amp;"|"&amp;$D192&amp;"|"&amp;T$14&amp;"|"&amp;"CY2024Q3",Spectrum!$R:$R,0)),0),""))</f>
        <v>55790</v>
      </c>
      <c r="U192" s="218">
        <f>IF(LEFT($B192,4)="_Mil","",_xlfn.IFNA(ROUND(INDEX(Spectrum!$N:$N,MATCH(RIGHT($B192,13)&amp;"|"&amp;$C192&amp;"|"&amp;$D192&amp;"|"&amp;U$14&amp;"|"&amp;"CY2024Q3",Spectrum!$R:$R,0)),0),""))</f>
        <v>1135</v>
      </c>
      <c r="V192" s="38">
        <f>IF(LEFT($B192,4)="_Mil","",_xlfn.IFNA(ROUND(INDEX(Spectrum!$N:$N,MATCH(RIGHT($B192,13)&amp;"|"&amp;$C192&amp;"|"&amp;$D192&amp;"|"&amp;V$14&amp;"|"&amp;"CY2024Q3",Spectrum!$R:$R,0)),0),""))</f>
        <v>1302</v>
      </c>
      <c r="W192" s="220">
        <f>IF(LEFT($B192,4)="_Mil","",_xlfn.IFNA(INDEX(Spectrum!$N:$N,MATCH(RIGHT($B192,13)&amp;"|"&amp;$C192&amp;"|"&amp;$D192&amp;"|"&amp;W$14&amp;"|"&amp;"CY2024Q3",Spectrum!$R:$R,0)),""))</f>
        <v>2.0345143999999999E-2</v>
      </c>
      <c r="X192" s="218">
        <f>IF(LEFT($B192,4)="_Mil","",_xlfn.IFNA(ROUND(INDEX(Spectrum!$N:$N,MATCH(RIGHT($B192,13)&amp;"|"&amp;$C192&amp;"|"&amp;$D192&amp;"|"&amp;X$14&amp;"|"&amp;"CY2024Q3",Spectrum!$R:$R,0)),0),""))</f>
        <v>1006</v>
      </c>
      <c r="Y192" s="33">
        <f t="shared" si="37"/>
        <v>0.89</v>
      </c>
      <c r="Z192" s="218">
        <f>IF(LEFT($B192,4)="_Mil","",_xlfn.IFNA(ROUND(INDEX(Spectrum!$N:$N,MATCH(RIGHT($B192,13)&amp;"|"&amp;$C192&amp;"|"&amp;$D192&amp;"|"&amp;Z$14&amp;"|"&amp;"CY2024Q3",Spectrum!$R:$R,0)),0),""))</f>
        <v>1146</v>
      </c>
      <c r="AA192" s="33">
        <f>IF(LEFT($B192,4)="_Mil","",IFERROR(1/(1/INDEX(Spectrum!$N:$N,MATCH(RIGHT($B192,13)&amp;"|"&amp;$C192&amp;"|"&amp;$D192&amp;"|"&amp;AA$14&amp;"|"&amp;"CY2024Q3",Spectrum!$R:$R,0))),IF(SUM($U192)=0,"",SUM($Z192)/$U192)))</f>
        <v>0.87858911399999995</v>
      </c>
      <c r="AB192" s="33">
        <f t="shared" si="38"/>
        <v>1.1391650099403579</v>
      </c>
      <c r="AC192" s="38">
        <f>IF(LEFT($B192,4)="_Mil","",_xlfn.IFNA(ROUND(INDEX(Spectrum!$N:$N,MATCH(RIGHT($B192,13)&amp;"|"&amp;$C192&amp;"|"&amp;$D192&amp;"|"&amp;AC$14&amp;"|"&amp;"CY2024Q3",Spectrum!$R:$R,0)),0),""))</f>
        <v>156</v>
      </c>
      <c r="AD192" s="38" t="str">
        <f>IF(LEFT($B192,4)="_Mil","",_xlfn.IFNA(ROUND(INDEX(Spectrum!$N:$N,MATCH(RIGHT($B192,13)&amp;"|"&amp;$C192&amp;"|"&amp;$D192&amp;"|"&amp;AD$14&amp;"|"&amp;"CY2024Q3",Spectrum!$R:$R,0)),0),""))</f>
        <v/>
      </c>
      <c r="AE192" s="33">
        <f t="shared" si="39"/>
        <v>0</v>
      </c>
      <c r="AF192" s="218" t="str">
        <f>IF(LEFT($B192,4)="_Mil","",_xlfn.IFNA(ROUND(INDEX(Spectrum!$N:$N,MATCH(RIGHT($B192,13)&amp;"|"&amp;$C192&amp;"|"&amp;$D192&amp;"|"&amp;AF$14&amp;"|"&amp;"CY2024Q3",Spectrum!$R:$R,0)),0),""))</f>
        <v/>
      </c>
      <c r="AG192" s="33" t="str">
        <f t="shared" si="40"/>
        <v/>
      </c>
      <c r="AH192" s="110" t="str">
        <f>IF(LEFT($B192,4)="_Mil","",_xlfn.IFNA(INDEX(Spectrum!$N:$N,MATCH(RIGHT($B192,13)&amp;"|"&amp;$C192&amp;"|"&amp;$D192&amp;"|"&amp;AH$14&amp;"|"&amp;"CY2024Q3",Spectrum!$R:$R,0)),""))</f>
        <v/>
      </c>
      <c r="AI192" s="218">
        <f>IF(LEFT($B192,4)="_Mil","",_xlfn.IFNA(ROUND(INDEX(Spectrum!$N:$N,MATCH(RIGHT($B192,13)&amp;"|"&amp;$C192&amp;"|"&amp;$D192&amp;"|"&amp;AI$14&amp;"|"&amp;"CY2025Q3",Spectrum!$R:$R,0)),0),""))</f>
        <v>47</v>
      </c>
      <c r="AJ192" s="38">
        <f>IF(LEFT($B192,4)="_Mil","",_xlfn.IFNA(ROUND(INDEX(Spectrum!$N:$N,MATCH(RIGHT($B192,13)&amp;"|"&amp;$C192&amp;"|"&amp;$D192&amp;"|"&amp;AJ$14&amp;"|"&amp;"CY2025Q3",Spectrum!$R:$R,0)),0),""))</f>
        <v>1101</v>
      </c>
      <c r="AK192" s="218" t="e">
        <f>#REF!</f>
        <v>#REF!</v>
      </c>
      <c r="AL192" s="33">
        <f t="shared" si="41"/>
        <v>0.9</v>
      </c>
      <c r="AM192" s="38" t="e">
        <f>IF(OR(LEFT($B192,4)="_Mil",$C192="&lt;01"),"",ROUND(SUM($AK192)*SUM($AL192),0))</f>
        <v>#REF!</v>
      </c>
      <c r="AN192" s="38" t="str">
        <f>IF($C192="&lt;01",ROUND(INDEX(EID!$P:$P,MATCH($B192,EID!$B:$B,0))/2,0),"")</f>
        <v/>
      </c>
      <c r="AO192" s="38" t="e">
        <f>IF($C192="&lt;01",SUM($AN192),ROUND(SUM($AM192)*SUM($O192)/IF(SUM($Z192)=0,1,$Z192),0))</f>
        <v>#REF!</v>
      </c>
      <c r="AP192" s="218">
        <f>IF(OR($F192="",$C192="&lt;01"),$AO192,ROUND($F192,0))</f>
        <v>977</v>
      </c>
      <c r="AQ192" s="218">
        <f>IF(LEFT($B192,4)="_Mil","",IF(SUM($AP192)=0,SUM($Z192),IF(OR(SUM($Z192)=0,SUM($O192)=0),MAX($AP192,$Z192),ROUND($AP192*$Z192/$O192,0))))</f>
        <v>1146</v>
      </c>
      <c r="AR192" s="33" t="e">
        <f>IF(OR(LEFT($B192,4)="_Mil",SUM($AK192)=0),"",SUM($AQ192)/$AK192)</f>
        <v>#REF!</v>
      </c>
      <c r="AS192" s="33">
        <f t="shared" ref="AS192:AS198" si="51">IF($C192="&lt;01","",98%)</f>
        <v>0.98</v>
      </c>
      <c r="AT192" s="33">
        <f t="shared" si="49"/>
        <v>0.98</v>
      </c>
      <c r="AU192" s="38">
        <f>IF($C192="&lt;01","",SUM($AP192)-SUM($O192))</f>
        <v>0</v>
      </c>
      <c r="AV192" s="38">
        <f>IF($C192="&lt;01",ROUND(INDEX(EID!$N:$N,MATCH($B192,EID!$B:$B,0))/2,0),IF(SUM($AT192)=0,"",ROUND((SUM($AP192)-(SUM($O192)*SUM($AS192)))/$AT192,0)))</f>
        <v>20</v>
      </c>
      <c r="AW192" s="33">
        <f t="shared" si="42"/>
        <v>1</v>
      </c>
      <c r="AX192" s="218">
        <f>IF($C192="&lt;01",SUM($AV192),ROUND(SUM($AV192)*SUM($AW192),0))</f>
        <v>20</v>
      </c>
      <c r="AY192" s="79">
        <f t="shared" si="43"/>
        <v>0.7</v>
      </c>
      <c r="AZ192" s="85">
        <f>IF($C192="&lt;01",ROUND(INDEX(EID!$R:$R,MATCH($B192,EID!$B:$B,0))/2,0),ROUND(SUM($O192)+(SUM($AV192)*$AY192),0))</f>
        <v>991</v>
      </c>
      <c r="BA192" s="40">
        <f t="shared" si="47"/>
        <v>0.9</v>
      </c>
      <c r="BB192" s="99">
        <f>IF($C192="&lt;01",ROUND(INDEX(EID!$T:$T,MATCH($B192,EID!$B:$B,0))/2,0),ROUND($AP192*$BA192,0))</f>
        <v>879</v>
      </c>
      <c r="BC192" s="85">
        <f>IF(LEFT($B192,4)="_Mil","",IF(SUM($BB192)=0,SUM($AD192),IF(OR(SUM($AP192)=0,SUM($AQ192)=0),MAX($BB192,$AD192),ROUND($BB192*$AQ192/$AP192,0))))</f>
        <v>1031</v>
      </c>
      <c r="BD192" s="33">
        <f t="shared" si="44"/>
        <v>0.95</v>
      </c>
      <c r="BE192" s="218">
        <f>IF($C192="&lt;01",ROUND(INDEX(EID!$V:$V,MATCH($B192,EID!$B:$B,0))/2,0),ROUND($BD192*$BB192,0))</f>
        <v>835</v>
      </c>
      <c r="BF192" s="218">
        <f>IF(LEFT($B192,4)="_Mil","",IF(SUM($BE192)=0,SUM($AF192),IF(OR(SUM($AP192)=0,SUM($AQ192)=0),MAX($BE192,$AF192),ROUND($BE192*$AQ192/$AP192,0))))</f>
        <v>979</v>
      </c>
      <c r="BG192" s="79">
        <f t="shared" si="45"/>
        <v>0.95</v>
      </c>
      <c r="BH192" s="99">
        <f>IF($C192="&lt;01",ROUND(INDEX(EID!$L:$L,MATCH($B192,EID!$B:$B,0)),0)/2,IF(SUM($BG192)=0,"",ROUND($AX192/$BG192,0)))</f>
        <v>21</v>
      </c>
    </row>
    <row r="193" spans="1:60" x14ac:dyDescent="0.2">
      <c r="A193" t="str">
        <f>INDEX(Prioritization!$D:$D,MATCH($B193,Prioritization!$A:$A,0))</f>
        <v>1 - Scale-up: Saturation</v>
      </c>
      <c r="B193" t="s">
        <v>317</v>
      </c>
      <c r="C193" t="s">
        <v>477</v>
      </c>
      <c r="D193" t="s">
        <v>30</v>
      </c>
      <c r="E193" t="str">
        <f t="shared" si="35"/>
        <v>Machinga District [TYnMSwzko3z]|35-49|Female</v>
      </c>
      <c r="F193" s="229">
        <v>10880</v>
      </c>
      <c r="G193" s="38">
        <v>374</v>
      </c>
      <c r="H193" s="38">
        <v>353</v>
      </c>
      <c r="I193" s="38">
        <v>10792</v>
      </c>
      <c r="J193" s="38">
        <v>9724</v>
      </c>
      <c r="K193" s="38">
        <v>9349</v>
      </c>
      <c r="L193" s="38">
        <v>663</v>
      </c>
      <c r="M193" s="38">
        <v>651</v>
      </c>
      <c r="N193" s="38">
        <v>10625</v>
      </c>
      <c r="O193" s="229">
        <v>10836</v>
      </c>
      <c r="P193" s="38">
        <v>9257</v>
      </c>
      <c r="Q193" s="38">
        <v>8794</v>
      </c>
      <c r="R193" s="38">
        <f t="shared" si="36"/>
        <v>44</v>
      </c>
      <c r="S193" s="38">
        <f>IF(LEFT($B193,4)="_Mil","",_xlfn.IFNA(ROUND(INDEX(Spectrum!$N:$N,MATCH(RIGHT($B193,13)&amp;"|"&amp;$C193&amp;"|"&amp;$D193&amp;"|"&amp;S$14&amp;"|"&amp;"CY2023Q4",Spectrum!$R:$R,0)),0),""))</f>
        <v>10892</v>
      </c>
      <c r="T193" s="218">
        <f>IF(LEFT($B193,4)="_Mil","",_xlfn.IFNA(ROUND(INDEX(Spectrum!$N:$N,MATCH(RIGHT($B193,13)&amp;"|"&amp;$C193&amp;"|"&amp;$D193&amp;"|"&amp;T$14&amp;"|"&amp;"CY2024Q3",Spectrum!$R:$R,0)),0),""))</f>
        <v>64203</v>
      </c>
      <c r="U193" s="218">
        <f>IF(LEFT($B193,4)="_Mil","",_xlfn.IFNA(ROUND(INDEX(Spectrum!$N:$N,MATCH(RIGHT($B193,13)&amp;"|"&amp;$C193&amp;"|"&amp;$D193&amp;"|"&amp;U$14&amp;"|"&amp;"CY2024Q3",Spectrum!$R:$R,0)),0),""))</f>
        <v>9758</v>
      </c>
      <c r="V193" s="38">
        <f>IF(LEFT($B193,4)="_Mil","",_xlfn.IFNA(ROUND(INDEX(Spectrum!$N:$N,MATCH(RIGHT($B193,13)&amp;"|"&amp;$C193&amp;"|"&amp;$D193&amp;"|"&amp;V$14&amp;"|"&amp;"CY2024Q3",Spectrum!$R:$R,0)),0),""))</f>
        <v>11125</v>
      </c>
      <c r="W193" s="220">
        <f>IF(LEFT($B193,4)="_Mil","",_xlfn.IFNA(INDEX(Spectrum!$N:$N,MATCH(RIGHT($B193,13)&amp;"|"&amp;$C193&amp;"|"&amp;$D193&amp;"|"&amp;W$14&amp;"|"&amp;"CY2024Q3",Spectrum!$R:$R,0)),""))</f>
        <v>0.151992774</v>
      </c>
      <c r="X193" s="218">
        <f>IF(LEFT($B193,4)="_Mil","",_xlfn.IFNA(ROUND(INDEX(Spectrum!$N:$N,MATCH(RIGHT($B193,13)&amp;"|"&amp;$C193&amp;"|"&amp;$D193&amp;"|"&amp;X$14&amp;"|"&amp;"CY2024Q3",Spectrum!$R:$R,0)),0),""))</f>
        <v>9604</v>
      </c>
      <c r="Y193" s="33">
        <f t="shared" si="37"/>
        <v>0.98</v>
      </c>
      <c r="Z193" s="218">
        <f>IF(LEFT($B193,4)="_Mil","",_xlfn.IFNA(ROUND(INDEX(Spectrum!$N:$N,MATCH(RIGHT($B193,13)&amp;"|"&amp;$C193&amp;"|"&amp;$D193&amp;"|"&amp;Z$14&amp;"|"&amp;"CY2024Q3",Spectrum!$R:$R,0)),0),""))</f>
        <v>10946</v>
      </c>
      <c r="AA193" s="33">
        <f>IF(LEFT($B193,4)="_Mil","",IFERROR(1/(1/INDEX(Spectrum!$N:$N,MATCH(RIGHT($B193,13)&amp;"|"&amp;$C193&amp;"|"&amp;$D193&amp;"|"&amp;AA$14&amp;"|"&amp;"CY2024Q3",Spectrum!$R:$R,0))),IF(SUM($U193)=0,"",SUM($Z193)/$U193)))</f>
        <v>0.98380439700000011</v>
      </c>
      <c r="AB193" s="33">
        <f t="shared" si="38"/>
        <v>1.1397334443981675</v>
      </c>
      <c r="AC193" s="38">
        <f>IF(LEFT($B193,4)="_Mil","",_xlfn.IFNA(ROUND(INDEX(Spectrum!$N:$N,MATCH(RIGHT($B193,13)&amp;"|"&amp;$C193&amp;"|"&amp;$D193&amp;"|"&amp;AC$14&amp;"|"&amp;"CY2024Q3",Spectrum!$R:$R,0)),0),""))</f>
        <v>179</v>
      </c>
      <c r="AD193" s="38" t="str">
        <f>IF(LEFT($B193,4)="_Mil","",_xlfn.IFNA(ROUND(INDEX(Spectrum!$N:$N,MATCH(RIGHT($B193,13)&amp;"|"&amp;$C193&amp;"|"&amp;$D193&amp;"|"&amp;AD$14&amp;"|"&amp;"CY2024Q3",Spectrum!$R:$R,0)),0),""))</f>
        <v/>
      </c>
      <c r="AE193" s="33">
        <f t="shared" si="39"/>
        <v>0</v>
      </c>
      <c r="AF193" s="218" t="str">
        <f>IF(LEFT($B193,4)="_Mil","",_xlfn.IFNA(ROUND(INDEX(Spectrum!$N:$N,MATCH(RIGHT($B193,13)&amp;"|"&amp;$C193&amp;"|"&amp;$D193&amp;"|"&amp;AF$14&amp;"|"&amp;"CY2024Q3",Spectrum!$R:$R,0)),0),""))</f>
        <v/>
      </c>
      <c r="AG193" s="33" t="str">
        <f t="shared" si="40"/>
        <v/>
      </c>
      <c r="AH193" s="110" t="str">
        <f>IF(LEFT($B193,4)="_Mil","",_xlfn.IFNA(INDEX(Spectrum!$N:$N,MATCH(RIGHT($B193,13)&amp;"|"&amp;$C193&amp;"|"&amp;$D193&amp;"|"&amp;AH$14&amp;"|"&amp;"CY2024Q3",Spectrum!$R:$R,0)),""))</f>
        <v/>
      </c>
      <c r="AI193" s="218">
        <f>IF(LEFT($B193,4)="_Mil","",_xlfn.IFNA(ROUND(INDEX(Spectrum!$N:$N,MATCH(RIGHT($B193,13)&amp;"|"&amp;$C193&amp;"|"&amp;$D193&amp;"|"&amp;AI$14&amp;"|"&amp;"CY2025Q3",Spectrum!$R:$R,0)),0),""))</f>
        <v>44</v>
      </c>
      <c r="AJ193" s="38">
        <f>IF(LEFT($B193,4)="_Mil","",_xlfn.IFNA(ROUND(INDEX(Spectrum!$N:$N,MATCH(RIGHT($B193,13)&amp;"|"&amp;$C193&amp;"|"&amp;$D193&amp;"|"&amp;AJ$14&amp;"|"&amp;"CY2025Q3",Spectrum!$R:$R,0)),0),""))</f>
        <v>9774</v>
      </c>
      <c r="AK193" s="218" t="e">
        <f>#REF!</f>
        <v>#REF!</v>
      </c>
      <c r="AL193" s="33">
        <f t="shared" si="41"/>
        <v>0.98380439700000011</v>
      </c>
      <c r="AM193" s="38" t="e">
        <f>IF(OR(LEFT($B193,4)="_Mil",$C193="&lt;01"),"",ROUND(SUM($AK193)*SUM($AL193),0))</f>
        <v>#REF!</v>
      </c>
      <c r="AN193" s="38" t="str">
        <f>IF($C193="&lt;01",ROUND(INDEX(EID!$P:$P,MATCH($B193,EID!$B:$B,0))/2,0),"")</f>
        <v/>
      </c>
      <c r="AO193" s="38" t="e">
        <f>IF($C193="&lt;01",SUM($AN193),ROUND(SUM($AM193)*SUM($O193)/IF(SUM($Z193)=0,1,$Z193),0))</f>
        <v>#REF!</v>
      </c>
      <c r="AP193" s="218">
        <f>IF(OR($F193="",$C193="&lt;01"),$AO193,ROUND($F193,0))</f>
        <v>10880</v>
      </c>
      <c r="AQ193" s="218">
        <f>IF(LEFT($B193,4)="_Mil","",IF(SUM($AP193)=0,SUM($Z193),IF(OR(SUM($Z193)=0,SUM($O193)=0),MAX($AP193,$Z193),ROUND($AP193*$Z193/$O193,0))))</f>
        <v>10990</v>
      </c>
      <c r="AR193" s="33" t="e">
        <f>IF(OR(LEFT($B193,4)="_Mil",SUM($AK193)=0),"",SUM($AQ193)/$AK193)</f>
        <v>#REF!</v>
      </c>
      <c r="AS193" s="33">
        <f t="shared" si="51"/>
        <v>0.98</v>
      </c>
      <c r="AT193" s="33">
        <f t="shared" si="49"/>
        <v>0.98</v>
      </c>
      <c r="AU193" s="38">
        <f>IF($C193="&lt;01","",SUM($AP193)-SUM($O193))</f>
        <v>44</v>
      </c>
      <c r="AV193" s="38">
        <f>IF($C193="&lt;01",ROUND(INDEX(EID!$N:$N,MATCH($B193,EID!$B:$B,0))/2,0),IF(SUM($AT193)=0,"",ROUND((SUM($AP193)-(SUM($O193)*SUM($AS193)))/$AT193,0)))</f>
        <v>266</v>
      </c>
      <c r="AW193" s="33">
        <f t="shared" si="42"/>
        <v>1</v>
      </c>
      <c r="AX193" s="218">
        <f>IF($C193="&lt;01",SUM($AV193),ROUND(SUM($AV193)*SUM($AW193),0))</f>
        <v>266</v>
      </c>
      <c r="AY193" s="79">
        <f t="shared" si="43"/>
        <v>0.7</v>
      </c>
      <c r="AZ193" s="85">
        <f>IF($C193="&lt;01",ROUND(INDEX(EID!$R:$R,MATCH($B193,EID!$B:$B,0))/2,0),ROUND(SUM($O193)+(SUM($AV193)*$AY193),0))</f>
        <v>11022</v>
      </c>
      <c r="BA193" s="40">
        <f t="shared" si="47"/>
        <v>0.9</v>
      </c>
      <c r="BB193" s="99">
        <f>IF($C193="&lt;01",ROUND(INDEX(EID!$T:$T,MATCH($B193,EID!$B:$B,0))/2,0),ROUND($AP193*$BA193,0))</f>
        <v>9792</v>
      </c>
      <c r="BC193" s="85">
        <f>IF(LEFT($B193,4)="_Mil","",IF(SUM($BB193)=0,SUM($AD193),IF(OR(SUM($AP193)=0,SUM($AQ193)=0),MAX($BB193,$AD193),ROUND($BB193*$AQ193/$AP193,0))))</f>
        <v>9891</v>
      </c>
      <c r="BD193" s="33">
        <f t="shared" si="44"/>
        <v>0.95</v>
      </c>
      <c r="BE193" s="218">
        <f>IF($C193="&lt;01",ROUND(INDEX(EID!$V:$V,MATCH($B193,EID!$B:$B,0))/2,0),ROUND($BD193*$BB193,0))</f>
        <v>9302</v>
      </c>
      <c r="BF193" s="218">
        <f>IF(LEFT($B193,4)="_Mil","",IF(SUM($BE193)=0,SUM($AF193),IF(OR(SUM($AP193)=0,SUM($AQ193)=0),MAX($BE193,$AF193),ROUND($BE193*$AQ193/$AP193,0))))</f>
        <v>9396</v>
      </c>
      <c r="BG193" s="79">
        <f t="shared" si="45"/>
        <v>0.95</v>
      </c>
      <c r="BH193" s="99">
        <f>IF($C193="&lt;01",ROUND(INDEX(EID!$L:$L,MATCH($B193,EID!$B:$B,0)),0)/2,IF(SUM($BG193)=0,"",ROUND($AX193/$BG193,0)))</f>
        <v>280</v>
      </c>
    </row>
    <row r="194" spans="1:60" x14ac:dyDescent="0.2">
      <c r="A194" t="str">
        <f>INDEX(Prioritization!$D:$D,MATCH($B194,Prioritization!$A:$A,0))</f>
        <v>1 - Scale-up: Saturation</v>
      </c>
      <c r="B194" t="s">
        <v>317</v>
      </c>
      <c r="C194" t="s">
        <v>477</v>
      </c>
      <c r="D194" t="s">
        <v>48</v>
      </c>
      <c r="E194" t="str">
        <f t="shared" si="35"/>
        <v>Machinga District [TYnMSwzko3z]|35-49|Male</v>
      </c>
      <c r="F194" s="229">
        <v>4170</v>
      </c>
      <c r="G194" s="38">
        <v>356</v>
      </c>
      <c r="H194" s="38">
        <v>370</v>
      </c>
      <c r="I194" s="38">
        <v>4170</v>
      </c>
      <c r="J194" s="38">
        <v>3344</v>
      </c>
      <c r="K194" s="38">
        <v>3216</v>
      </c>
      <c r="L194" s="38">
        <v>65</v>
      </c>
      <c r="M194" s="38">
        <v>63</v>
      </c>
      <c r="N194" s="38">
        <v>4400</v>
      </c>
      <c r="O194" s="229">
        <v>4170</v>
      </c>
      <c r="P194" s="38">
        <v>3973</v>
      </c>
      <c r="Q194" s="38">
        <v>3774</v>
      </c>
      <c r="R194" s="38">
        <f t="shared" si="36"/>
        <v>0</v>
      </c>
      <c r="S194" s="38">
        <f>IF(LEFT($B194,4)="_Mil","",_xlfn.IFNA(ROUND(INDEX(Spectrum!$N:$N,MATCH(RIGHT($B194,13)&amp;"|"&amp;$C194&amp;"|"&amp;$D194&amp;"|"&amp;S$14&amp;"|"&amp;"CY2023Q4",Spectrum!$R:$R,0)),0),""))</f>
        <v>4412</v>
      </c>
      <c r="T194" s="218">
        <f>IF(LEFT($B194,4)="_Mil","",_xlfn.IFNA(ROUND(INDEX(Spectrum!$N:$N,MATCH(RIGHT($B194,13)&amp;"|"&amp;$C194&amp;"|"&amp;$D194&amp;"|"&amp;T$14&amp;"|"&amp;"CY2024Q3",Spectrum!$R:$R,0)),0),""))</f>
        <v>51561</v>
      </c>
      <c r="U194" s="218">
        <f>IF(LEFT($B194,4)="_Mil","",_xlfn.IFNA(ROUND(INDEX(Spectrum!$N:$N,MATCH(RIGHT($B194,13)&amp;"|"&amp;$C194&amp;"|"&amp;$D194&amp;"|"&amp;U$14&amp;"|"&amp;"CY2024Q3",Spectrum!$R:$R,0)),0),""))</f>
        <v>4149</v>
      </c>
      <c r="V194" s="38">
        <f>IF(LEFT($B194,4)="_Mil","",_xlfn.IFNA(ROUND(INDEX(Spectrum!$N:$N,MATCH(RIGHT($B194,13)&amp;"|"&amp;$C194&amp;"|"&amp;$D194&amp;"|"&amp;V$14&amp;"|"&amp;"CY2024Q3",Spectrum!$R:$R,0)),0),""))</f>
        <v>4716</v>
      </c>
      <c r="W194" s="220">
        <f>IF(LEFT($B194,4)="_Mil","",_xlfn.IFNA(INDEX(Spectrum!$N:$N,MATCH(RIGHT($B194,13)&amp;"|"&amp;$C194&amp;"|"&amp;$D194&amp;"|"&amp;W$14&amp;"|"&amp;"CY2024Q3",Spectrum!$R:$R,0)),""))</f>
        <v>8.0474354999999997E-2</v>
      </c>
      <c r="X194" s="218">
        <f>IF(LEFT($B194,4)="_Mil","",_xlfn.IFNA(ROUND(INDEX(Spectrum!$N:$N,MATCH(RIGHT($B194,13)&amp;"|"&amp;$C194&amp;"|"&amp;$D194&amp;"|"&amp;X$14&amp;"|"&amp;"CY2024Q3",Spectrum!$R:$R,0)),0),""))</f>
        <v>3860</v>
      </c>
      <c r="Y194" s="33">
        <f t="shared" si="37"/>
        <v>0.93</v>
      </c>
      <c r="Z194" s="218">
        <f>IF(LEFT($B194,4)="_Mil","",_xlfn.IFNA(ROUND(INDEX(Spectrum!$N:$N,MATCH(RIGHT($B194,13)&amp;"|"&amp;$C194&amp;"|"&amp;$D194&amp;"|"&amp;Z$14&amp;"|"&amp;"CY2024Q3",Spectrum!$R:$R,0)),0),""))</f>
        <v>4371</v>
      </c>
      <c r="AA194" s="33">
        <f>IF(LEFT($B194,4)="_Mil","",IFERROR(1/(1/INDEX(Spectrum!$N:$N,MATCH(RIGHT($B194,13)&amp;"|"&amp;$C194&amp;"|"&amp;$D194&amp;"|"&amp;AA$14&amp;"|"&amp;"CY2024Q3",Spectrum!$R:$R,0))),IF(SUM($U194)=0,"",SUM($Z194)/$U194)))</f>
        <v>0.92580439999999986</v>
      </c>
      <c r="AB194" s="33">
        <f t="shared" si="38"/>
        <v>1.1323834196891192</v>
      </c>
      <c r="AC194" s="38">
        <f>IF(LEFT($B194,4)="_Mil","",_xlfn.IFNA(ROUND(INDEX(Spectrum!$N:$N,MATCH(RIGHT($B194,13)&amp;"|"&amp;$C194&amp;"|"&amp;$D194&amp;"|"&amp;AC$14&amp;"|"&amp;"CY2024Q3",Spectrum!$R:$R,0)),0),""))</f>
        <v>346</v>
      </c>
      <c r="AD194" s="38" t="str">
        <f>IF(LEFT($B194,4)="_Mil","",_xlfn.IFNA(ROUND(INDEX(Spectrum!$N:$N,MATCH(RIGHT($B194,13)&amp;"|"&amp;$C194&amp;"|"&amp;$D194&amp;"|"&amp;AD$14&amp;"|"&amp;"CY2024Q3",Spectrum!$R:$R,0)),0),""))</f>
        <v/>
      </c>
      <c r="AE194" s="33">
        <f t="shared" si="39"/>
        <v>0</v>
      </c>
      <c r="AF194" s="218" t="str">
        <f>IF(LEFT($B194,4)="_Mil","",_xlfn.IFNA(ROUND(INDEX(Spectrum!$N:$N,MATCH(RIGHT($B194,13)&amp;"|"&amp;$C194&amp;"|"&amp;$D194&amp;"|"&amp;AF$14&amp;"|"&amp;"CY2024Q3",Spectrum!$R:$R,0)),0),""))</f>
        <v/>
      </c>
      <c r="AG194" s="33" t="str">
        <f t="shared" si="40"/>
        <v/>
      </c>
      <c r="AH194" s="110" t="str">
        <f>IF(LEFT($B194,4)="_Mil","",_xlfn.IFNA(INDEX(Spectrum!$N:$N,MATCH(RIGHT($B194,13)&amp;"|"&amp;$C194&amp;"|"&amp;$D194&amp;"|"&amp;AH$14&amp;"|"&amp;"CY2024Q3",Spectrum!$R:$R,0)),""))</f>
        <v/>
      </c>
      <c r="AI194" s="218">
        <f>IF(LEFT($B194,4)="_Mil","",_xlfn.IFNA(ROUND(INDEX(Spectrum!$N:$N,MATCH(RIGHT($B194,13)&amp;"|"&amp;$C194&amp;"|"&amp;$D194&amp;"|"&amp;AI$14&amp;"|"&amp;"CY2025Q3",Spectrum!$R:$R,0)),0),""))</f>
        <v>47</v>
      </c>
      <c r="AJ194" s="38">
        <f>IF(LEFT($B194,4)="_Mil","",_xlfn.IFNA(ROUND(INDEX(Spectrum!$N:$N,MATCH(RIGHT($B194,13)&amp;"|"&amp;$C194&amp;"|"&amp;$D194&amp;"|"&amp;AJ$14&amp;"|"&amp;"CY2025Q3",Spectrum!$R:$R,0)),0),""))</f>
        <v>3963</v>
      </c>
      <c r="AK194" s="218" t="e">
        <f>#REF!</f>
        <v>#REF!</v>
      </c>
      <c r="AL194" s="33">
        <f t="shared" si="41"/>
        <v>0.92580439999999986</v>
      </c>
      <c r="AM194" s="38" t="e">
        <f>IF(OR(LEFT($B194,4)="_Mil",$C194="&lt;01"),"",ROUND(SUM($AK194)*SUM($AL194),0))</f>
        <v>#REF!</v>
      </c>
      <c r="AN194" s="38" t="str">
        <f>IF($C194="&lt;01",ROUND(INDEX(EID!$P:$P,MATCH($B194,EID!$B:$B,0))/2,0),"")</f>
        <v/>
      </c>
      <c r="AO194" s="38" t="e">
        <f>IF($C194="&lt;01",SUM($AN194),ROUND(SUM($AM194)*SUM($O194)/IF(SUM($Z194)=0,1,$Z194),0))</f>
        <v>#REF!</v>
      </c>
      <c r="AP194" s="218">
        <f>IF(OR($F194="",$C194="&lt;01"),$AO194,ROUND($F194,0))</f>
        <v>4170</v>
      </c>
      <c r="AQ194" s="218">
        <f>IF(LEFT($B194,4)="_Mil","",IF(SUM($AP194)=0,SUM($Z194),IF(OR(SUM($Z194)=0,SUM($O194)=0),MAX($AP194,$Z194),ROUND($AP194*$Z194/$O194,0))))</f>
        <v>4371</v>
      </c>
      <c r="AR194" s="33" t="e">
        <f>IF(OR(LEFT($B194,4)="_Mil",SUM($AK194)=0),"",SUM($AQ194)/$AK194)</f>
        <v>#REF!</v>
      </c>
      <c r="AS194" s="33">
        <f t="shared" si="51"/>
        <v>0.98</v>
      </c>
      <c r="AT194" s="33">
        <f t="shared" si="49"/>
        <v>0.98</v>
      </c>
      <c r="AU194" s="38">
        <f>IF($C194="&lt;01","",SUM($AP194)-SUM($O194))</f>
        <v>0</v>
      </c>
      <c r="AV194" s="38">
        <f>IF($C194="&lt;01",ROUND(INDEX(EID!$N:$N,MATCH($B194,EID!$B:$B,0))/2,0),IF(SUM($AT194)=0,"",ROUND((SUM($AP194)-(SUM($O194)*SUM($AS194)))/$AT194,0)))</f>
        <v>85</v>
      </c>
      <c r="AW194" s="33">
        <f t="shared" si="42"/>
        <v>1</v>
      </c>
      <c r="AX194" s="218">
        <f>IF($C194="&lt;01",SUM($AV194),ROUND(SUM($AV194)*SUM($AW194),0))</f>
        <v>85</v>
      </c>
      <c r="AY194" s="79">
        <f t="shared" si="43"/>
        <v>0.7</v>
      </c>
      <c r="AZ194" s="85">
        <f>IF($C194="&lt;01",ROUND(INDEX(EID!$R:$R,MATCH($B194,EID!$B:$B,0))/2,0),ROUND(SUM($O194)+(SUM($AV194)*$AY194),0))</f>
        <v>4230</v>
      </c>
      <c r="BA194" s="40">
        <f t="shared" si="47"/>
        <v>0.9</v>
      </c>
      <c r="BB194" s="99">
        <f>IF($C194="&lt;01",ROUND(INDEX(EID!$T:$T,MATCH($B194,EID!$B:$B,0))/2,0),ROUND($AP194*$BA194,0))</f>
        <v>3753</v>
      </c>
      <c r="BC194" s="85">
        <f>IF(LEFT($B194,4)="_Mil","",IF(SUM($BB194)=0,SUM($AD194),IF(OR(SUM($AP194)=0,SUM($AQ194)=0),MAX($BB194,$AD194),ROUND($BB194*$AQ194/$AP194,0))))</f>
        <v>3934</v>
      </c>
      <c r="BD194" s="33">
        <f t="shared" si="44"/>
        <v>0.95</v>
      </c>
      <c r="BE194" s="218">
        <f>IF($C194="&lt;01",ROUND(INDEX(EID!$V:$V,MATCH($B194,EID!$B:$B,0))/2,0),ROUND($BD194*$BB194,0))</f>
        <v>3565</v>
      </c>
      <c r="BF194" s="218">
        <f>IF(LEFT($B194,4)="_Mil","",IF(SUM($BE194)=0,SUM($AF194),IF(OR(SUM($AP194)=0,SUM($AQ194)=0),MAX($BE194,$AF194),ROUND($BE194*$AQ194/$AP194,0))))</f>
        <v>3737</v>
      </c>
      <c r="BG194" s="79">
        <f t="shared" si="45"/>
        <v>0.95</v>
      </c>
      <c r="BH194" s="99">
        <f>IF($C194="&lt;01",ROUND(INDEX(EID!$L:$L,MATCH($B194,EID!$B:$B,0)),0)/2,IF(SUM($BG194)=0,"",ROUND($AX194/$BG194,0)))</f>
        <v>89</v>
      </c>
    </row>
    <row r="195" spans="1:60" x14ac:dyDescent="0.2">
      <c r="A195" t="str">
        <f>INDEX(Prioritization!$D:$D,MATCH($B195,Prioritization!$A:$A,0))</f>
        <v>1 - Scale-up: Saturation</v>
      </c>
      <c r="B195" t="s">
        <v>317</v>
      </c>
      <c r="C195" t="s">
        <v>478</v>
      </c>
      <c r="D195" t="s">
        <v>30</v>
      </c>
      <c r="E195" t="str">
        <f t="shared" si="35"/>
        <v>Machinga District [TYnMSwzko3z]|50+|Female</v>
      </c>
      <c r="F195" s="229">
        <v>4925</v>
      </c>
      <c r="G195" s="38">
        <v>88</v>
      </c>
      <c r="H195" s="38">
        <v>86</v>
      </c>
      <c r="I195" s="38">
        <v>4317</v>
      </c>
      <c r="J195" s="38">
        <v>3734</v>
      </c>
      <c r="K195" s="38">
        <v>3623</v>
      </c>
      <c r="L195" s="38">
        <v>526</v>
      </c>
      <c r="M195" s="38">
        <v>516</v>
      </c>
      <c r="N195" s="38">
        <v>4888</v>
      </c>
      <c r="O195" s="229">
        <v>4621</v>
      </c>
      <c r="P195" s="38">
        <v>4019</v>
      </c>
      <c r="Q195" s="38">
        <v>3819</v>
      </c>
      <c r="R195" s="38">
        <f t="shared" si="36"/>
        <v>304</v>
      </c>
      <c r="S195" s="38">
        <f>IF(LEFT($B195,4)="_Mil","",_xlfn.IFNA(ROUND(INDEX(Spectrum!$N:$N,MATCH(RIGHT($B195,13)&amp;"|"&amp;$C195&amp;"|"&amp;$D195&amp;"|"&amp;S$14&amp;"|"&amp;"CY2023Q4",Spectrum!$R:$R,0)),0),""))</f>
        <v>4843</v>
      </c>
      <c r="T195" s="218">
        <f>IF(LEFT($B195,4)="_Mil","",_xlfn.IFNA(ROUND(INDEX(Spectrum!$N:$N,MATCH(RIGHT($B195,13)&amp;"|"&amp;$C195&amp;"|"&amp;$D195&amp;"|"&amp;T$14&amp;"|"&amp;"CY2024Q3",Spectrum!$R:$R,0)),0),""))</f>
        <v>38368</v>
      </c>
      <c r="U195" s="218">
        <f>IF(LEFT($B195,4)="_Mil","",_xlfn.IFNA(ROUND(INDEX(Spectrum!$N:$N,MATCH(RIGHT($B195,13)&amp;"|"&amp;$C195&amp;"|"&amp;$D195&amp;"|"&amp;U$14&amp;"|"&amp;"CY2024Q3",Spectrum!$R:$R,0)),0),""))</f>
        <v>4537</v>
      </c>
      <c r="V195" s="38">
        <f>IF(LEFT($B195,4)="_Mil","",_xlfn.IFNA(ROUND(INDEX(Spectrum!$N:$N,MATCH(RIGHT($B195,13)&amp;"|"&amp;$C195&amp;"|"&amp;$D195&amp;"|"&amp;V$14&amp;"|"&amp;"CY2024Q3",Spectrum!$R:$R,0)),0),""))</f>
        <v>5187</v>
      </c>
      <c r="W195" s="220">
        <f>IF(LEFT($B195,4)="_Mil","",_xlfn.IFNA(INDEX(Spectrum!$N:$N,MATCH(RIGHT($B195,13)&amp;"|"&amp;$C195&amp;"|"&amp;$D195&amp;"|"&amp;W$14&amp;"|"&amp;"CY2024Q3",Spectrum!$R:$R,0)),""))</f>
        <v>0.11824370100000001</v>
      </c>
      <c r="X195" s="218">
        <f>IF(LEFT($B195,4)="_Mil","",_xlfn.IFNA(ROUND(INDEX(Spectrum!$N:$N,MATCH(RIGHT($B195,13)&amp;"|"&amp;$C195&amp;"|"&amp;$D195&amp;"|"&amp;X$14&amp;"|"&amp;"CY2024Q3",Spectrum!$R:$R,0)),0),""))</f>
        <v>4495</v>
      </c>
      <c r="Y195" s="33">
        <f t="shared" si="37"/>
        <v>0.99</v>
      </c>
      <c r="Z195" s="218">
        <f>IF(LEFT($B195,4)="_Mil","",_xlfn.IFNA(ROUND(INDEX(Spectrum!$N:$N,MATCH(RIGHT($B195,13)&amp;"|"&amp;$C195&amp;"|"&amp;$D195&amp;"|"&amp;Z$14&amp;"|"&amp;"CY2024Q3",Spectrum!$R:$R,0)),0),""))</f>
        <v>5130</v>
      </c>
      <c r="AA195" s="33">
        <f>IF(LEFT($B195,4)="_Mil","",IFERROR(1/(1/INDEX(Spectrum!$N:$N,MATCH(RIGHT($B195,13)&amp;"|"&amp;$C195&amp;"|"&amp;$D195&amp;"|"&amp;AA$14&amp;"|"&amp;"CY2024Q3",Spectrum!$R:$R,0))),IF(SUM($U195)=0,"",SUM($Z195)/$U195)))</f>
        <v>0.98894703500000003</v>
      </c>
      <c r="AB195" s="33">
        <f t="shared" si="38"/>
        <v>1.1412680756395996</v>
      </c>
      <c r="AC195" s="38">
        <f>IF(LEFT($B195,4)="_Mil","",_xlfn.IFNA(ROUND(INDEX(Spectrum!$N:$N,MATCH(RIGHT($B195,13)&amp;"|"&amp;$C195&amp;"|"&amp;$D195&amp;"|"&amp;AC$14&amp;"|"&amp;"CY2024Q3",Spectrum!$R:$R,0)),0),""))</f>
        <v>57</v>
      </c>
      <c r="AD195" s="38" t="str">
        <f>IF(LEFT($B195,4)="_Mil","",_xlfn.IFNA(ROUND(INDEX(Spectrum!$N:$N,MATCH(RIGHT($B195,13)&amp;"|"&amp;$C195&amp;"|"&amp;$D195&amp;"|"&amp;AD$14&amp;"|"&amp;"CY2024Q3",Spectrum!$R:$R,0)),0),""))</f>
        <v/>
      </c>
      <c r="AE195" s="33">
        <f t="shared" si="39"/>
        <v>0</v>
      </c>
      <c r="AF195" s="218" t="str">
        <f>IF(LEFT($B195,4)="_Mil","",_xlfn.IFNA(ROUND(INDEX(Spectrum!$N:$N,MATCH(RIGHT($B195,13)&amp;"|"&amp;$C195&amp;"|"&amp;$D195&amp;"|"&amp;AF$14&amp;"|"&amp;"CY2024Q3",Spectrum!$R:$R,0)),0),""))</f>
        <v/>
      </c>
      <c r="AG195" s="33" t="str">
        <f t="shared" si="40"/>
        <v/>
      </c>
      <c r="AH195" s="110" t="str">
        <f>IF(LEFT($B195,4)="_Mil","",_xlfn.IFNA(INDEX(Spectrum!$N:$N,MATCH(RIGHT($B195,13)&amp;"|"&amp;$C195&amp;"|"&amp;$D195&amp;"|"&amp;AH$14&amp;"|"&amp;"CY2024Q3",Spectrum!$R:$R,0)),""))</f>
        <v/>
      </c>
      <c r="AI195" s="218">
        <f>IF(LEFT($B195,4)="_Mil","",_xlfn.IFNA(ROUND(INDEX(Spectrum!$N:$N,MATCH(RIGHT($B195,13)&amp;"|"&amp;$C195&amp;"|"&amp;$D195&amp;"|"&amp;AI$14&amp;"|"&amp;"CY2025Q3",Spectrum!$R:$R,0)),0),""))</f>
        <v>7</v>
      </c>
      <c r="AJ195" s="38">
        <f>IF(LEFT($B195,4)="_Mil","",_xlfn.IFNA(ROUND(INDEX(Spectrum!$N:$N,MATCH(RIGHT($B195,13)&amp;"|"&amp;$C195&amp;"|"&amp;$D195&amp;"|"&amp;AJ$14&amp;"|"&amp;"CY2025Q3",Spectrum!$R:$R,0)),0),""))</f>
        <v>4905</v>
      </c>
      <c r="AK195" s="218" t="e">
        <f>#REF!</f>
        <v>#REF!</v>
      </c>
      <c r="AL195" s="33">
        <f t="shared" si="41"/>
        <v>0.98894703500000003</v>
      </c>
      <c r="AM195" s="38" t="e">
        <f>IF(OR(LEFT($B195,4)="_Mil",$C195="&lt;01"),"",ROUND(SUM($AK195)*SUM($AL195),0))</f>
        <v>#REF!</v>
      </c>
      <c r="AN195" s="38" t="str">
        <f>IF($C195="&lt;01",ROUND(INDEX(EID!$P:$P,MATCH($B195,EID!$B:$B,0))/2,0),"")</f>
        <v/>
      </c>
      <c r="AO195" s="38" t="e">
        <f>IF($C195="&lt;01",SUM($AN195),ROUND(SUM($AM195)*SUM($O195)/IF(SUM($Z195)=0,1,$Z195),0))</f>
        <v>#REF!</v>
      </c>
      <c r="AP195" s="218">
        <f>IF(OR($F195="",$C195="&lt;01"),$AO195,ROUND($F195,0))</f>
        <v>4925</v>
      </c>
      <c r="AQ195" s="218">
        <f>IF(LEFT($B195,4)="_Mil","",IF(SUM($AP195)=0,SUM($Z195),IF(OR(SUM($Z195)=0,SUM($O195)=0),MAX($AP195,$Z195),ROUND($AP195*$Z195/$O195,0))))</f>
        <v>5467</v>
      </c>
      <c r="AR195" s="33" t="e">
        <f>IF(OR(LEFT($B195,4)="_Mil",SUM($AK195)=0),"",SUM($AQ195)/$AK195)</f>
        <v>#REF!</v>
      </c>
      <c r="AS195" s="33">
        <v>1.02</v>
      </c>
      <c r="AT195" s="33">
        <f>IF($C195="&lt;01","",100%)</f>
        <v>1</v>
      </c>
      <c r="AU195" s="38">
        <f>IF($C195="&lt;01","",SUM($AP195)-SUM($O195))</f>
        <v>304</v>
      </c>
      <c r="AV195" s="38">
        <f>IF($C195="&lt;01",ROUND(INDEX(EID!$N:$N,MATCH($B195,EID!$B:$B,0))/2,0),IF(SUM($AT195)=0,"",ROUND((SUM($AP195)-(SUM($O195)*SUM($AS195)))/$AT195,0)))</f>
        <v>212</v>
      </c>
      <c r="AW195" s="33">
        <v>0.8</v>
      </c>
      <c r="AX195" s="218">
        <f>IF($C195="&lt;01",SUM($AV195),ROUND(SUM($AV195)*SUM($AW195),0))</f>
        <v>170</v>
      </c>
      <c r="AY195" s="79">
        <f t="shared" si="43"/>
        <v>0.7</v>
      </c>
      <c r="AZ195" s="85">
        <f>IF($C195="&lt;01",ROUND(INDEX(EID!$R:$R,MATCH($B195,EID!$B:$B,0))/2,0),ROUND(SUM($O195)+(SUM($AV195)*$AY195),0))</f>
        <v>4769</v>
      </c>
      <c r="BA195" s="40">
        <f t="shared" si="47"/>
        <v>0.9</v>
      </c>
      <c r="BB195" s="99">
        <f>IF($C195="&lt;01",ROUND(INDEX(EID!$T:$T,MATCH($B195,EID!$B:$B,0))/2,0),ROUND($AP195*$BA195,0))</f>
        <v>4433</v>
      </c>
      <c r="BC195" s="85">
        <f>IF(LEFT($B195,4)="_Mil","",IF(SUM($BB195)=0,SUM($AD195),IF(OR(SUM($AP195)=0,SUM($AQ195)=0),MAX($BB195,$AD195),ROUND($BB195*$AQ195/$AP195,0))))</f>
        <v>4921</v>
      </c>
      <c r="BD195" s="33">
        <f t="shared" si="44"/>
        <v>0.95</v>
      </c>
      <c r="BE195" s="218">
        <f>IF($C195="&lt;01",ROUND(INDEX(EID!$V:$V,MATCH($B195,EID!$B:$B,0))/2,0),ROUND($BD195*$BB195,0))</f>
        <v>4211</v>
      </c>
      <c r="BF195" s="218">
        <f>IF(LEFT($B195,4)="_Mil","",IF(SUM($BE195)=0,SUM($AF195),IF(OR(SUM($AP195)=0,SUM($AQ195)=0),MAX($BE195,$AF195),ROUND($BE195*$AQ195/$AP195,0))))</f>
        <v>4674</v>
      </c>
      <c r="BG195" s="79">
        <f t="shared" si="45"/>
        <v>0.95</v>
      </c>
      <c r="BH195" s="99">
        <f>IF($C195="&lt;01",ROUND(INDEX(EID!$L:$L,MATCH($B195,EID!$B:$B,0)),0)/2,IF(SUM($BG195)=0,"",ROUND($AX195/$BG195,0)))</f>
        <v>179</v>
      </c>
    </row>
    <row r="196" spans="1:60" x14ac:dyDescent="0.2">
      <c r="A196" t="str">
        <f>INDEX(Prioritization!$D:$D,MATCH($B196,Prioritization!$A:$A,0))</f>
        <v>1 - Scale-up: Saturation</v>
      </c>
      <c r="B196" t="s">
        <v>317</v>
      </c>
      <c r="C196" t="s">
        <v>478</v>
      </c>
      <c r="D196" t="s">
        <v>48</v>
      </c>
      <c r="E196" t="str">
        <f t="shared" si="35"/>
        <v>Machinga District [TYnMSwzko3z]|50+|Male</v>
      </c>
      <c r="F196" s="229">
        <v>3982</v>
      </c>
      <c r="G196" s="38">
        <v>118</v>
      </c>
      <c r="H196" s="38">
        <v>121</v>
      </c>
      <c r="I196" s="38">
        <v>3542</v>
      </c>
      <c r="J196" s="38">
        <v>2845</v>
      </c>
      <c r="K196" s="38">
        <v>2745</v>
      </c>
      <c r="L196" s="38">
        <v>321</v>
      </c>
      <c r="M196" s="38">
        <v>304</v>
      </c>
      <c r="N196" s="38">
        <v>3500</v>
      </c>
      <c r="O196" s="229">
        <v>3779</v>
      </c>
      <c r="P196" s="38">
        <v>2923</v>
      </c>
      <c r="Q196" s="38">
        <v>2777</v>
      </c>
      <c r="R196" s="38">
        <f t="shared" si="36"/>
        <v>237</v>
      </c>
      <c r="S196" s="38">
        <f>IF(LEFT($B196,4)="_Mil","",_xlfn.IFNA(ROUND(INDEX(Spectrum!$N:$N,MATCH(RIGHT($B196,13)&amp;"|"&amp;$C196&amp;"|"&amp;$D196&amp;"|"&amp;S$14&amp;"|"&amp;"CY2023Q4",Spectrum!$R:$R,0)),0),""))</f>
        <v>3398</v>
      </c>
      <c r="T196" s="218">
        <f>IF(LEFT($B196,4)="_Mil","",_xlfn.IFNA(ROUND(INDEX(Spectrum!$N:$N,MATCH(RIGHT($B196,13)&amp;"|"&amp;$C196&amp;"|"&amp;$D196&amp;"|"&amp;T$14&amp;"|"&amp;"CY2024Q3",Spectrum!$R:$R,0)),0),""))</f>
        <v>30149</v>
      </c>
      <c r="U196" s="218">
        <f>IF(LEFT($B196,4)="_Mil","",_xlfn.IFNA(ROUND(INDEX(Spectrum!$N:$N,MATCH(RIGHT($B196,13)&amp;"|"&amp;$C196&amp;"|"&amp;$D196&amp;"|"&amp;U$14&amp;"|"&amp;"CY2024Q3",Spectrum!$R:$R,0)),0),""))</f>
        <v>3336</v>
      </c>
      <c r="V196" s="38">
        <f>IF(LEFT($B196,4)="_Mil","",_xlfn.IFNA(ROUND(INDEX(Spectrum!$N:$N,MATCH(RIGHT($B196,13)&amp;"|"&amp;$C196&amp;"|"&amp;$D196&amp;"|"&amp;V$14&amp;"|"&amp;"CY2024Q3",Spectrum!$R:$R,0)),0),""))</f>
        <v>3779</v>
      </c>
      <c r="W196" s="220">
        <f>IF(LEFT($B196,4)="_Mil","",_xlfn.IFNA(INDEX(Spectrum!$N:$N,MATCH(RIGHT($B196,13)&amp;"|"&amp;$C196&amp;"|"&amp;$D196&amp;"|"&amp;W$14&amp;"|"&amp;"CY2024Q3",Spectrum!$R:$R,0)),""))</f>
        <v>0.110638053</v>
      </c>
      <c r="X196" s="218">
        <f>IF(LEFT($B196,4)="_Mil","",_xlfn.IFNA(ROUND(INDEX(Spectrum!$N:$N,MATCH(RIGHT($B196,13)&amp;"|"&amp;$C196&amp;"|"&amp;$D196&amp;"|"&amp;X$14&amp;"|"&amp;"CY2024Q3",Spectrum!$R:$R,0)),0),""))</f>
        <v>3176</v>
      </c>
      <c r="Y196" s="33">
        <f t="shared" si="37"/>
        <v>0.95</v>
      </c>
      <c r="Z196" s="218">
        <f>IF(LEFT($B196,4)="_Mil","",_xlfn.IFNA(ROUND(INDEX(Spectrum!$N:$N,MATCH(RIGHT($B196,13)&amp;"|"&amp;$C196&amp;"|"&amp;$D196&amp;"|"&amp;Z$14&amp;"|"&amp;"CY2024Q3",Spectrum!$R:$R,0)),0),""))</f>
        <v>3589</v>
      </c>
      <c r="AA196" s="33">
        <f>IF(LEFT($B196,4)="_Mil","",IFERROR(1/(1/INDEX(Spectrum!$N:$N,MATCH(RIGHT($B196,13)&amp;"|"&amp;$C196&amp;"|"&amp;$D196&amp;"|"&amp;AA$14&amp;"|"&amp;"CY2024Q3",Spectrum!$R:$R,0))),IF(SUM($U196)=0,"",SUM($Z196)/$U196)))</f>
        <v>0.949072837</v>
      </c>
      <c r="AB196" s="33">
        <f t="shared" si="38"/>
        <v>1.1300377833753148</v>
      </c>
      <c r="AC196" s="38">
        <f>IF(LEFT($B196,4)="_Mil","",_xlfn.IFNA(ROUND(INDEX(Spectrum!$N:$N,MATCH(RIGHT($B196,13)&amp;"|"&amp;$C196&amp;"|"&amp;$D196&amp;"|"&amp;AC$14&amp;"|"&amp;"CY2024Q3",Spectrum!$R:$R,0)),0),""))</f>
        <v>191</v>
      </c>
      <c r="AD196" s="38" t="str">
        <f>IF(LEFT($B196,4)="_Mil","",_xlfn.IFNA(ROUND(INDEX(Spectrum!$N:$N,MATCH(RIGHT($B196,13)&amp;"|"&amp;$C196&amp;"|"&amp;$D196&amp;"|"&amp;AD$14&amp;"|"&amp;"CY2024Q3",Spectrum!$R:$R,0)),0),""))</f>
        <v/>
      </c>
      <c r="AE196" s="33">
        <f t="shared" si="39"/>
        <v>0</v>
      </c>
      <c r="AF196" s="218" t="str">
        <f>IF(LEFT($B196,4)="_Mil","",_xlfn.IFNA(ROUND(INDEX(Spectrum!$N:$N,MATCH(RIGHT($B196,13)&amp;"|"&amp;$C196&amp;"|"&amp;$D196&amp;"|"&amp;AF$14&amp;"|"&amp;"CY2024Q3",Spectrum!$R:$R,0)),0),""))</f>
        <v/>
      </c>
      <c r="AG196" s="33" t="str">
        <f t="shared" si="40"/>
        <v/>
      </c>
      <c r="AH196" s="110" t="str">
        <f>IF(LEFT($B196,4)="_Mil","",_xlfn.IFNA(INDEX(Spectrum!$N:$N,MATCH(RIGHT($B196,13)&amp;"|"&amp;$C196&amp;"|"&amp;$D196&amp;"|"&amp;AH$14&amp;"|"&amp;"CY2024Q3",Spectrum!$R:$R,0)),""))</f>
        <v/>
      </c>
      <c r="AI196" s="218">
        <f>IF(LEFT($B196,4)="_Mil","",_xlfn.IFNA(ROUND(INDEX(Spectrum!$N:$N,MATCH(RIGHT($B196,13)&amp;"|"&amp;$C196&amp;"|"&amp;$D196&amp;"|"&amp;AI$14&amp;"|"&amp;"CY2025Q3",Spectrum!$R:$R,0)),0),""))</f>
        <v>15</v>
      </c>
      <c r="AJ196" s="38">
        <f>IF(LEFT($B196,4)="_Mil","",_xlfn.IFNA(ROUND(INDEX(Spectrum!$N:$N,MATCH(RIGHT($B196,13)&amp;"|"&amp;$C196&amp;"|"&amp;$D196&amp;"|"&amp;AJ$14&amp;"|"&amp;"CY2025Q3",Spectrum!$R:$R,0)),0),""))</f>
        <v>3515</v>
      </c>
      <c r="AK196" s="218" t="e">
        <f>#REF!</f>
        <v>#REF!</v>
      </c>
      <c r="AL196" s="33">
        <f t="shared" si="41"/>
        <v>0.949072837</v>
      </c>
      <c r="AM196" s="38" t="e">
        <f>IF(OR(LEFT($B196,4)="_Mil",$C196="&lt;01"),"",ROUND(SUM($AK196)*SUM($AL196),0))</f>
        <v>#REF!</v>
      </c>
      <c r="AN196" s="38" t="str">
        <f>IF($C196="&lt;01",ROUND(INDEX(EID!$P:$P,MATCH($B196,EID!$B:$B,0))/2,0),"")</f>
        <v/>
      </c>
      <c r="AO196" s="38" t="e">
        <f>IF($C196="&lt;01",SUM($AN196),ROUND(SUM($AM196)*SUM($O196)/IF(SUM($Z196)=0,1,$Z196),0))</f>
        <v>#REF!</v>
      </c>
      <c r="AP196" s="218">
        <f>IF(OR($F196="",$C196="&lt;01"),$AO196,ROUND($F196,0))</f>
        <v>3982</v>
      </c>
      <c r="AQ196" s="218">
        <f>IF(LEFT($B196,4)="_Mil","",IF(SUM($AP196)=0,SUM($Z196),IF(OR(SUM($Z196)=0,SUM($O196)=0),MAX($AP196,$Z196),ROUND($AP196*$Z196/$O196,0))))</f>
        <v>3782</v>
      </c>
      <c r="AR196" s="33" t="e">
        <f>IF(OR(LEFT($B196,4)="_Mil",SUM($AK196)=0),"",SUM($AQ196)/$AK196)</f>
        <v>#REF!</v>
      </c>
      <c r="AS196" s="33">
        <v>1.02</v>
      </c>
      <c r="AT196" s="33">
        <f>IF($C196="&lt;01","",100%)</f>
        <v>1</v>
      </c>
      <c r="AU196" s="38">
        <f>IF($C196="&lt;01","",SUM($AP196)-SUM($O196))</f>
        <v>203</v>
      </c>
      <c r="AV196" s="38">
        <f>IF($C196="&lt;01",ROUND(INDEX(EID!$N:$N,MATCH($B196,EID!$B:$B,0))/2,0),IF(SUM($AT196)=0,"",ROUND((SUM($AP196)-(SUM($O196)*SUM($AS196)))/$AT196,0)))</f>
        <v>127</v>
      </c>
      <c r="AW196" s="33">
        <v>0.8</v>
      </c>
      <c r="AX196" s="218">
        <f>IF($C196="&lt;01",SUM($AV196),ROUND(SUM($AV196)*SUM($AW196),0))</f>
        <v>102</v>
      </c>
      <c r="AY196" s="79">
        <f t="shared" si="43"/>
        <v>0.7</v>
      </c>
      <c r="AZ196" s="85">
        <f>IF($C196="&lt;01",ROUND(INDEX(EID!$R:$R,MATCH($B196,EID!$B:$B,0))/2,0),ROUND(SUM($O196)+(SUM($AV196)*$AY196),0))</f>
        <v>3868</v>
      </c>
      <c r="BA196" s="40">
        <f t="shared" si="47"/>
        <v>0.9</v>
      </c>
      <c r="BB196" s="99">
        <f>IF($C196="&lt;01",ROUND(INDEX(EID!$T:$T,MATCH($B196,EID!$B:$B,0))/2,0),ROUND($AP196*$BA196,0))</f>
        <v>3584</v>
      </c>
      <c r="BC196" s="85">
        <f>IF(LEFT($B196,4)="_Mil","",IF(SUM($BB196)=0,SUM($AD196),IF(OR(SUM($AP196)=0,SUM($AQ196)=0),MAX($BB196,$AD196),ROUND($BB196*$AQ196/$AP196,0))))</f>
        <v>3404</v>
      </c>
      <c r="BD196" s="33">
        <f t="shared" si="44"/>
        <v>0.95</v>
      </c>
      <c r="BE196" s="218">
        <f>IF($C196="&lt;01",ROUND(INDEX(EID!$V:$V,MATCH($B196,EID!$B:$B,0))/2,0),ROUND($BD196*$BB196,0))</f>
        <v>3405</v>
      </c>
      <c r="BF196" s="218">
        <f>IF(LEFT($B196,4)="_Mil","",IF(SUM($BE196)=0,SUM($AF196),IF(OR(SUM($AP196)=0,SUM($AQ196)=0),MAX($BE196,$AF196),ROUND($BE196*$AQ196/$AP196,0))))</f>
        <v>3234</v>
      </c>
      <c r="BG196" s="79">
        <f t="shared" si="45"/>
        <v>0.95</v>
      </c>
      <c r="BH196" s="99">
        <f>IF($C196="&lt;01",ROUND(INDEX(EID!$L:$L,MATCH($B196,EID!$B:$B,0)),0)/2,IF(SUM($BG196)=0,"",ROUND($AX196/$BG196,0)))</f>
        <v>107</v>
      </c>
    </row>
    <row r="197" spans="1:60" x14ac:dyDescent="0.2">
      <c r="A197" t="str">
        <f>INDEX(Prioritization!$D:$D,MATCH($B197,Prioritization!$A:$A,0))</f>
        <v>1 - Scale-up: Saturation</v>
      </c>
      <c r="B197" t="s">
        <v>318</v>
      </c>
      <c r="C197" t="s">
        <v>426</v>
      </c>
      <c r="D197" t="s">
        <v>30</v>
      </c>
      <c r="E197" t="str">
        <f t="shared" si="35"/>
        <v>Mangochi District [lLDyBx5XyUi]|&lt;01|Female</v>
      </c>
      <c r="F197" s="229">
        <v>37</v>
      </c>
      <c r="G197" s="38">
        <v>63</v>
      </c>
      <c r="H197" s="38">
        <v>26</v>
      </c>
      <c r="I197" s="38">
        <v>77</v>
      </c>
      <c r="J197" s="38">
        <v>24</v>
      </c>
      <c r="K197" s="38">
        <v>17</v>
      </c>
      <c r="L197" s="38"/>
      <c r="M197" s="38">
        <v>40</v>
      </c>
      <c r="N197" s="38">
        <v>40</v>
      </c>
      <c r="O197" s="229">
        <v>42</v>
      </c>
      <c r="P197" s="38">
        <v>27</v>
      </c>
      <c r="Q197" s="38">
        <v>26</v>
      </c>
      <c r="R197" s="38">
        <f t="shared" si="36"/>
        <v>-35</v>
      </c>
      <c r="S197" s="38">
        <f>IF(LEFT($B197,4)="_Mil","",_xlfn.IFNA(ROUND(INDEX(Spectrum!$N:$N,MATCH(RIGHT($B197,13)&amp;"|"&amp;$C197&amp;"|"&amp;$D197&amp;"|"&amp;S$14&amp;"|"&amp;"CY2023Q4",Spectrum!$R:$R,0)),0),""))</f>
        <v>40</v>
      </c>
      <c r="T197" s="218">
        <f>IF(LEFT($B197,4)="_Mil","",_xlfn.IFNA(ROUND(INDEX(Spectrum!$N:$N,MATCH(RIGHT($B197,13)&amp;"|"&amp;$C197&amp;"|"&amp;$D197&amp;"|"&amp;T$14&amp;"|"&amp;"CY2024Q3",Spectrum!$R:$R,0)),0),""))</f>
        <v>28775</v>
      </c>
      <c r="U197" s="218">
        <f>IF(LEFT($B197,4)="_Mil","",_xlfn.IFNA(ROUND(INDEX(Spectrum!$N:$N,MATCH(RIGHT($B197,13)&amp;"|"&amp;$C197&amp;"|"&amp;$D197&amp;"|"&amp;U$14&amp;"|"&amp;"CY2024Q3",Spectrum!$R:$R,0)),0),""))</f>
        <v>44</v>
      </c>
      <c r="V197" s="38">
        <f>IF(LEFT($B197,4)="_Mil","",_xlfn.IFNA(ROUND(INDEX(Spectrum!$N:$N,MATCH(RIGHT($B197,13)&amp;"|"&amp;$C197&amp;"|"&amp;$D197&amp;"|"&amp;V$14&amp;"|"&amp;"CY2024Q3",Spectrum!$R:$R,0)),0),""))</f>
        <v>42</v>
      </c>
      <c r="W197" s="220">
        <f>IF(LEFT($B197,4)="_Mil","",_xlfn.IFNA(INDEX(Spectrum!$N:$N,MATCH(RIGHT($B197,13)&amp;"|"&amp;$C197&amp;"|"&amp;$D197&amp;"|"&amp;W$14&amp;"|"&amp;"CY2024Q3",Spectrum!$R:$R,0)),""))</f>
        <v>1.5362710000000001E-3</v>
      </c>
      <c r="X197" s="218">
        <f>IF(LEFT($B197,4)="_Mil","",_xlfn.IFNA(ROUND(INDEX(Spectrum!$N:$N,MATCH(RIGHT($B197,13)&amp;"|"&amp;$C197&amp;"|"&amp;$D197&amp;"|"&amp;X$14&amp;"|"&amp;"CY2024Q3",Spectrum!$R:$R,0)),0),""))</f>
        <v>35</v>
      </c>
      <c r="Y197" s="33">
        <f t="shared" si="37"/>
        <v>0.8</v>
      </c>
      <c r="Z197" s="218">
        <f>IF(LEFT($B197,4)="_Mil","",_xlfn.IFNA(ROUND(INDEX(Spectrum!$N:$N,MATCH(RIGHT($B197,13)&amp;"|"&amp;$C197&amp;"|"&amp;$D197&amp;"|"&amp;Z$14&amp;"|"&amp;"CY2024Q3",Spectrum!$R:$R,0)),0),""))</f>
        <v>33</v>
      </c>
      <c r="AA197" s="33">
        <f>IF(LEFT($B197,4)="_Mil","",IFERROR(1/(1/INDEX(Spectrum!$N:$N,MATCH(RIGHT($B197,13)&amp;"|"&amp;$C197&amp;"|"&amp;$D197&amp;"|"&amp;AA$14&amp;"|"&amp;"CY2024Q3",Spectrum!$R:$R,0))),IF(SUM($U197)=0,"",SUM($Z197)/$U197)))</f>
        <v>0.76738709799999993</v>
      </c>
      <c r="AB197" s="33">
        <f t="shared" si="38"/>
        <v>0.94285714285714284</v>
      </c>
      <c r="AC197" s="38">
        <f>IF(LEFT($B197,4)="_Mil","",_xlfn.IFNA(ROUND(INDEX(Spectrum!$N:$N,MATCH(RIGHT($B197,13)&amp;"|"&amp;$C197&amp;"|"&amp;$D197&amp;"|"&amp;AC$14&amp;"|"&amp;"CY2024Q3",Spectrum!$R:$R,0)),0),""))</f>
        <v>8</v>
      </c>
      <c r="AD197" s="38" t="str">
        <f>IF(LEFT($B197,4)="_Mil","",_xlfn.IFNA(ROUND(INDEX(Spectrum!$N:$N,MATCH(RIGHT($B197,13)&amp;"|"&amp;$C197&amp;"|"&amp;$D197&amp;"|"&amp;AD$14&amp;"|"&amp;"CY2024Q3",Spectrum!$R:$R,0)),0),""))</f>
        <v/>
      </c>
      <c r="AE197" s="33">
        <f t="shared" si="39"/>
        <v>0</v>
      </c>
      <c r="AF197" s="218" t="str">
        <f>IF(LEFT($B197,4)="_Mil","",_xlfn.IFNA(ROUND(INDEX(Spectrum!$N:$N,MATCH(RIGHT($B197,13)&amp;"|"&amp;$C197&amp;"|"&amp;$D197&amp;"|"&amp;AF$14&amp;"|"&amp;"CY2024Q3",Spectrum!$R:$R,0)),0),""))</f>
        <v/>
      </c>
      <c r="AG197" s="33" t="str">
        <f t="shared" si="40"/>
        <v/>
      </c>
      <c r="AH197" s="110" t="str">
        <f>IF(LEFT($B197,4)="_Mil","",_xlfn.IFNA(INDEX(Spectrum!$N:$N,MATCH(RIGHT($B197,13)&amp;"|"&amp;$C197&amp;"|"&amp;$D197&amp;"|"&amp;AH$14&amp;"|"&amp;"CY2024Q3",Spectrum!$R:$R,0)),""))</f>
        <v/>
      </c>
      <c r="AI197" s="218">
        <f>IF(LEFT($B197,4)="_Mil","",_xlfn.IFNA(ROUND(INDEX(Spectrum!$N:$N,MATCH(RIGHT($B197,13)&amp;"|"&amp;$C197&amp;"|"&amp;$D197&amp;"|"&amp;AI$14&amp;"|"&amp;"CY2025Q3",Spectrum!$R:$R,0)),0),""))</f>
        <v>66</v>
      </c>
      <c r="AJ197" s="38">
        <f>IF(LEFT($B197,4)="_Mil","",_xlfn.IFNA(ROUND(INDEX(Spectrum!$N:$N,MATCH(RIGHT($B197,13)&amp;"|"&amp;$C197&amp;"|"&amp;$D197&amp;"|"&amp;AJ$14&amp;"|"&amp;"CY2025Q3",Spectrum!$R:$R,0)),0),""))</f>
        <v>39</v>
      </c>
      <c r="AK197" s="218" t="e">
        <f>#REF!</f>
        <v>#REF!</v>
      </c>
      <c r="AL197" s="33" t="str">
        <f t="shared" si="41"/>
        <v/>
      </c>
      <c r="AM197" s="38" t="str">
        <f>IF(OR(LEFT($B197,4)="_Mil",$C197="&lt;01"),"",ROUND(SUM($AK197)*SUM($AL197),0))</f>
        <v/>
      </c>
      <c r="AN197" s="38">
        <f>IF($C197="&lt;01",ROUND(INDEX(EID!$P:$P,MATCH($B197,EID!$B:$B,0))/2,0),"")</f>
        <v>0</v>
      </c>
      <c r="AO197" s="38">
        <f>IF($C197="&lt;01",SUM($AN197),ROUND(SUM($AM197)*SUM($O197)/IF(SUM($Z197)=0,1,$Z197),0))</f>
        <v>0</v>
      </c>
      <c r="AP197" s="218">
        <f>IF(OR($F197="",$C197="&lt;01"),$AO197,ROUND($F197,0))</f>
        <v>0</v>
      </c>
      <c r="AQ197" s="218">
        <f>IF(LEFT($B197,4)="_Mil","",IF(SUM($AP197)=0,SUM($Z197),IF(OR(SUM($Z197)=0,SUM($O197)=0),MAX($AP197,$Z197),ROUND($AP197*$Z197/$O197,0))))</f>
        <v>33</v>
      </c>
      <c r="AR197" s="33" t="e">
        <f>IF(OR(LEFT($B197,4)="_Mil",SUM($AK197)=0),"",SUM($AQ197)/$AK197)</f>
        <v>#REF!</v>
      </c>
      <c r="AS197" s="33" t="str">
        <f t="shared" si="51"/>
        <v/>
      </c>
      <c r="AT197" s="33" t="str">
        <f t="shared" si="49"/>
        <v/>
      </c>
      <c r="AU197" s="38" t="str">
        <f>IF($C197="&lt;01","",SUM($AP197)-SUM($O197))</f>
        <v/>
      </c>
      <c r="AV197" s="38">
        <f>IF($C197="&lt;01",ROUND(INDEX(EID!$N:$N,MATCH($B197,EID!$B:$B,0))/2,0),IF(SUM($AT197)=0,"",ROUND((SUM($AP197)-(SUM($O197)*SUM($AS197)))/$AT197,0)))</f>
        <v>0</v>
      </c>
      <c r="AW197" s="33" t="str">
        <f t="shared" si="42"/>
        <v/>
      </c>
      <c r="AX197" s="218">
        <f>IF($C197="&lt;01",SUM($AV197),ROUND(SUM($AV197)*SUM($AW197),0))</f>
        <v>0</v>
      </c>
      <c r="AY197" s="79" t="str">
        <f t="shared" si="43"/>
        <v/>
      </c>
      <c r="AZ197" s="85">
        <f>IF($C197="&lt;01",ROUND(INDEX(EID!$R:$R,MATCH($B197,EID!$B:$B,0))/2,0),ROUND(SUM($O197)+(SUM($AV197)*$AY197),0))</f>
        <v>0</v>
      </c>
      <c r="BA197" s="40" t="str">
        <f t="shared" si="47"/>
        <v/>
      </c>
      <c r="BB197" s="99">
        <f>IF($C197="&lt;01",ROUND(INDEX(EID!$T:$T,MATCH($B197,EID!$B:$B,0))/2,0),ROUND($AP197*$BA197,0))</f>
        <v>0</v>
      </c>
      <c r="BC197" s="85">
        <f>IF(LEFT($B197,4)="_Mil","",IF(SUM($BB197)=0,SUM($AD197),IF(OR(SUM($AP197)=0,SUM($AQ197)=0),MAX($BB197,$AD197),ROUND($BB197*$AQ197/$AP197,0))))</f>
        <v>0</v>
      </c>
      <c r="BD197" s="33" t="str">
        <f t="shared" si="44"/>
        <v/>
      </c>
      <c r="BE197" s="218">
        <f>IF($C197="&lt;01",ROUND(INDEX(EID!$V:$V,MATCH($B197,EID!$B:$B,0))/2,0),ROUND($BD197*$BB197,0))</f>
        <v>0</v>
      </c>
      <c r="BF197" s="218">
        <f>IF(LEFT($B197,4)="_Mil","",IF(SUM($BE197)=0,SUM($AF197),IF(OR(SUM($AP197)=0,SUM($AQ197)=0),MAX($BE197,$AF197),ROUND($BE197*$AQ197/$AP197,0))))</f>
        <v>0</v>
      </c>
      <c r="BG197" s="79" t="str">
        <f t="shared" si="45"/>
        <v/>
      </c>
      <c r="BH197" s="99">
        <f>IF($C197="&lt;01",ROUND(INDEX(EID!$L:$L,MATCH($B197,EID!$B:$B,0)),0)/2,IF(SUM($BG197)=0,"",ROUND($AX197/$BG197,0)))</f>
        <v>19</v>
      </c>
    </row>
    <row r="198" spans="1:60" x14ac:dyDescent="0.2">
      <c r="A198" t="str">
        <f>INDEX(Prioritization!$D:$D,MATCH($B198,Prioritization!$A:$A,0))</f>
        <v>1 - Scale-up: Saturation</v>
      </c>
      <c r="B198" t="s">
        <v>318</v>
      </c>
      <c r="C198" t="s">
        <v>426</v>
      </c>
      <c r="D198" t="s">
        <v>48</v>
      </c>
      <c r="E198" t="str">
        <f t="shared" si="35"/>
        <v>Mangochi District [lLDyBx5XyUi]|&lt;01|Male</v>
      </c>
      <c r="F198" s="229">
        <v>38</v>
      </c>
      <c r="G198" s="38">
        <v>59</v>
      </c>
      <c r="H198" s="38">
        <v>25</v>
      </c>
      <c r="I198" s="38">
        <v>41</v>
      </c>
      <c r="J198" s="38">
        <v>18</v>
      </c>
      <c r="K198" s="38">
        <v>10</v>
      </c>
      <c r="L198" s="38"/>
      <c r="M198" s="38">
        <v>40</v>
      </c>
      <c r="N198" s="38">
        <v>40</v>
      </c>
      <c r="O198" s="229">
        <v>41</v>
      </c>
      <c r="P198" s="38">
        <v>27</v>
      </c>
      <c r="Q198" s="38">
        <v>26</v>
      </c>
      <c r="R198" s="38">
        <f t="shared" si="36"/>
        <v>0</v>
      </c>
      <c r="S198" s="38">
        <f>IF(LEFT($B198,4)="_Mil","",_xlfn.IFNA(ROUND(INDEX(Spectrum!$N:$N,MATCH(RIGHT($B198,13)&amp;"|"&amp;$C198&amp;"|"&amp;$D198&amp;"|"&amp;S$14&amp;"|"&amp;"CY2023Q4",Spectrum!$R:$R,0)),0),""))</f>
        <v>38</v>
      </c>
      <c r="T198" s="218">
        <f>IF(LEFT($B198,4)="_Mil","",_xlfn.IFNA(ROUND(INDEX(Spectrum!$N:$N,MATCH(RIGHT($B198,13)&amp;"|"&amp;$C198&amp;"|"&amp;$D198&amp;"|"&amp;T$14&amp;"|"&amp;"CY2024Q3",Spectrum!$R:$R,0)),0),""))</f>
        <v>28791</v>
      </c>
      <c r="U198" s="218">
        <f>IF(LEFT($B198,4)="_Mil","",_xlfn.IFNA(ROUND(INDEX(Spectrum!$N:$N,MATCH(RIGHT($B198,13)&amp;"|"&amp;$C198&amp;"|"&amp;$D198&amp;"|"&amp;U$14&amp;"|"&amp;"CY2024Q3",Spectrum!$R:$R,0)),0),""))</f>
        <v>45</v>
      </c>
      <c r="V198" s="38">
        <f>IF(LEFT($B198,4)="_Mil","",_xlfn.IFNA(ROUND(INDEX(Spectrum!$N:$N,MATCH(RIGHT($B198,13)&amp;"|"&amp;$C198&amp;"|"&amp;$D198&amp;"|"&amp;V$14&amp;"|"&amp;"CY2024Q3",Spectrum!$R:$R,0)),0),""))</f>
        <v>42</v>
      </c>
      <c r="W198" s="220">
        <f>IF(LEFT($B198,4)="_Mil","",_xlfn.IFNA(INDEX(Spectrum!$N:$N,MATCH(RIGHT($B198,13)&amp;"|"&amp;$C198&amp;"|"&amp;$D198&amp;"|"&amp;W$14&amp;"|"&amp;"CY2024Q3",Spectrum!$R:$R,0)),""))</f>
        <v>1.55123E-3</v>
      </c>
      <c r="X198" s="218">
        <f>IF(LEFT($B198,4)="_Mil","",_xlfn.IFNA(ROUND(INDEX(Spectrum!$N:$N,MATCH(RIGHT($B198,13)&amp;"|"&amp;$C198&amp;"|"&amp;$D198&amp;"|"&amp;X$14&amp;"|"&amp;"CY2024Q3",Spectrum!$R:$R,0)),0),""))</f>
        <v>36</v>
      </c>
      <c r="Y198" s="33">
        <f t="shared" si="37"/>
        <v>0.8</v>
      </c>
      <c r="Z198" s="218">
        <f>IF(LEFT($B198,4)="_Mil","",_xlfn.IFNA(ROUND(INDEX(Spectrum!$N:$N,MATCH(RIGHT($B198,13)&amp;"|"&amp;$C198&amp;"|"&amp;$D198&amp;"|"&amp;Z$14&amp;"|"&amp;"CY2024Q3",Spectrum!$R:$R,0)),0),""))</f>
        <v>32</v>
      </c>
      <c r="AA198" s="33">
        <f>IF(LEFT($B198,4)="_Mil","",IFERROR(1/(1/INDEX(Spectrum!$N:$N,MATCH(RIGHT($B198,13)&amp;"|"&amp;$C198&amp;"|"&amp;$D198&amp;"|"&amp;AA$14&amp;"|"&amp;"CY2024Q3",Spectrum!$R:$R,0))),IF(SUM($U198)=0,"",SUM($Z198)/$U198)))</f>
        <v>0.76754311799999997</v>
      </c>
      <c r="AB198" s="33">
        <f t="shared" si="38"/>
        <v>0.88888888888888884</v>
      </c>
      <c r="AC198" s="38">
        <f>IF(LEFT($B198,4)="_Mil","",_xlfn.IFNA(ROUND(INDEX(Spectrum!$N:$N,MATCH(RIGHT($B198,13)&amp;"|"&amp;$C198&amp;"|"&amp;$D198&amp;"|"&amp;AC$14&amp;"|"&amp;"CY2024Q3",Spectrum!$R:$R,0)),0),""))</f>
        <v>10</v>
      </c>
      <c r="AD198" s="38" t="str">
        <f>IF(LEFT($B198,4)="_Mil","",_xlfn.IFNA(ROUND(INDEX(Spectrum!$N:$N,MATCH(RIGHT($B198,13)&amp;"|"&amp;$C198&amp;"|"&amp;$D198&amp;"|"&amp;AD$14&amp;"|"&amp;"CY2024Q3",Spectrum!$R:$R,0)),0),""))</f>
        <v/>
      </c>
      <c r="AE198" s="33">
        <f t="shared" si="39"/>
        <v>0</v>
      </c>
      <c r="AF198" s="218" t="str">
        <f>IF(LEFT($B198,4)="_Mil","",_xlfn.IFNA(ROUND(INDEX(Spectrum!$N:$N,MATCH(RIGHT($B198,13)&amp;"|"&amp;$C198&amp;"|"&amp;$D198&amp;"|"&amp;AF$14&amp;"|"&amp;"CY2024Q3",Spectrum!$R:$R,0)),0),""))</f>
        <v/>
      </c>
      <c r="AG198" s="33" t="str">
        <f t="shared" si="40"/>
        <v/>
      </c>
      <c r="AH198" s="110" t="str">
        <f>IF(LEFT($B198,4)="_Mil","",_xlfn.IFNA(INDEX(Spectrum!$N:$N,MATCH(RIGHT($B198,13)&amp;"|"&amp;$C198&amp;"|"&amp;$D198&amp;"|"&amp;AH$14&amp;"|"&amp;"CY2024Q3",Spectrum!$R:$R,0)),""))</f>
        <v/>
      </c>
      <c r="AI198" s="218">
        <f>IF(LEFT($B198,4)="_Mil","",_xlfn.IFNA(ROUND(INDEX(Spectrum!$N:$N,MATCH(RIGHT($B198,13)&amp;"|"&amp;$C198&amp;"|"&amp;$D198&amp;"|"&amp;AI$14&amp;"|"&amp;"CY2025Q3",Spectrum!$R:$R,0)),0),""))</f>
        <v>66</v>
      </c>
      <c r="AJ198" s="38">
        <f>IF(LEFT($B198,4)="_Mil","",_xlfn.IFNA(ROUND(INDEX(Spectrum!$N:$N,MATCH(RIGHT($B198,13)&amp;"|"&amp;$C198&amp;"|"&amp;$D198&amp;"|"&amp;AJ$14&amp;"|"&amp;"CY2025Q3",Spectrum!$R:$R,0)),0),""))</f>
        <v>40</v>
      </c>
      <c r="AK198" s="218" t="e">
        <f>#REF!</f>
        <v>#REF!</v>
      </c>
      <c r="AL198" s="33" t="str">
        <f t="shared" si="41"/>
        <v/>
      </c>
      <c r="AM198" s="38" t="str">
        <f>IF(OR(LEFT($B198,4)="_Mil",$C198="&lt;01"),"",ROUND(SUM($AK198)*SUM($AL198),0))</f>
        <v/>
      </c>
      <c r="AN198" s="38">
        <f>IF($C198="&lt;01",ROUND(INDEX(EID!$P:$P,MATCH($B198,EID!$B:$B,0))/2,0),"")</f>
        <v>0</v>
      </c>
      <c r="AO198" s="38">
        <f>IF($C198="&lt;01",SUM($AN198),ROUND(SUM($AM198)*SUM($O198)/IF(SUM($Z198)=0,1,$Z198),0))</f>
        <v>0</v>
      </c>
      <c r="AP198" s="218">
        <f>IF(OR($F198="",$C198="&lt;01"),$AO198,ROUND($F198,0))</f>
        <v>0</v>
      </c>
      <c r="AQ198" s="218">
        <f>IF(LEFT($B198,4)="_Mil","",IF(SUM($AP198)=0,SUM($Z198),IF(OR(SUM($Z198)=0,SUM($O198)=0),MAX($AP198,$Z198),ROUND($AP198*$Z198/$O198,0))))</f>
        <v>32</v>
      </c>
      <c r="AR198" s="33" t="e">
        <f>IF(OR(LEFT($B198,4)="_Mil",SUM($AK198)=0),"",SUM($AQ198)/$AK198)</f>
        <v>#REF!</v>
      </c>
      <c r="AS198" s="33" t="str">
        <f t="shared" si="51"/>
        <v/>
      </c>
      <c r="AT198" s="33" t="str">
        <f t="shared" si="49"/>
        <v/>
      </c>
      <c r="AU198" s="38" t="str">
        <f>IF($C198="&lt;01","",SUM($AP198)-SUM($O198))</f>
        <v/>
      </c>
      <c r="AV198" s="38">
        <f>IF($C198="&lt;01",ROUND(INDEX(EID!$N:$N,MATCH($B198,EID!$B:$B,0))/2,0),IF(SUM($AT198)=0,"",ROUND((SUM($AP198)-(SUM($O198)*SUM($AS198)))/$AT198,0)))</f>
        <v>0</v>
      </c>
      <c r="AW198" s="33" t="str">
        <f t="shared" si="42"/>
        <v/>
      </c>
      <c r="AX198" s="218">
        <f>IF($C198="&lt;01",SUM($AV198),ROUND(SUM($AV198)*SUM($AW198),0))</f>
        <v>0</v>
      </c>
      <c r="AY198" s="79" t="str">
        <f t="shared" si="43"/>
        <v/>
      </c>
      <c r="AZ198" s="85">
        <f>IF($C198="&lt;01",ROUND(INDEX(EID!$R:$R,MATCH($B198,EID!$B:$B,0))/2,0),ROUND(SUM($O198)+(SUM($AV198)*$AY198),0))</f>
        <v>0</v>
      </c>
      <c r="BA198" s="40" t="str">
        <f t="shared" si="47"/>
        <v/>
      </c>
      <c r="BB198" s="99">
        <f>IF($C198="&lt;01",ROUND(INDEX(EID!$T:$T,MATCH($B198,EID!$B:$B,0))/2,0),ROUND($AP198*$BA198,0))</f>
        <v>0</v>
      </c>
      <c r="BC198" s="85">
        <f>IF(LEFT($B198,4)="_Mil","",IF(SUM($BB198)=0,SUM($AD198),IF(OR(SUM($AP198)=0,SUM($AQ198)=0),MAX($BB198,$AD198),ROUND($BB198*$AQ198/$AP198,0))))</f>
        <v>0</v>
      </c>
      <c r="BD198" s="33" t="str">
        <f t="shared" si="44"/>
        <v/>
      </c>
      <c r="BE198" s="218">
        <f>IF($C198="&lt;01",ROUND(INDEX(EID!$V:$V,MATCH($B198,EID!$B:$B,0))/2,0),ROUND($BD198*$BB198,0))</f>
        <v>0</v>
      </c>
      <c r="BF198" s="218">
        <f>IF(LEFT($B198,4)="_Mil","",IF(SUM($BE198)=0,SUM($AF198),IF(OR(SUM($AP198)=0,SUM($AQ198)=0),MAX($BE198,$AF198),ROUND($BE198*$AQ198/$AP198,0))))</f>
        <v>0</v>
      </c>
      <c r="BG198" s="79" t="str">
        <f t="shared" si="45"/>
        <v/>
      </c>
      <c r="BH198" s="99">
        <f>IF($C198="&lt;01",ROUND(INDEX(EID!$L:$L,MATCH($B198,EID!$B:$B,0)),0)/2,IF(SUM($BG198)=0,"",ROUND($AX198/$BG198,0)))</f>
        <v>19</v>
      </c>
    </row>
    <row r="199" spans="1:60" x14ac:dyDescent="0.2">
      <c r="A199" t="str">
        <f>INDEX(Prioritization!$D:$D,MATCH($B199,Prioritization!$A:$A,0))</f>
        <v>1 - Scale-up: Saturation</v>
      </c>
      <c r="B199" t="s">
        <v>318</v>
      </c>
      <c r="C199" t="s">
        <v>473</v>
      </c>
      <c r="D199" t="s">
        <v>30</v>
      </c>
      <c r="E199" t="str">
        <f t="shared" si="35"/>
        <v>Mangochi District [lLDyBx5XyUi]|01-09|Female</v>
      </c>
      <c r="F199" s="229">
        <v>737</v>
      </c>
      <c r="G199" s="38">
        <v>155</v>
      </c>
      <c r="H199" s="38">
        <v>109</v>
      </c>
      <c r="I199" s="38">
        <v>895</v>
      </c>
      <c r="J199" s="38">
        <v>1001</v>
      </c>
      <c r="K199" s="38">
        <v>771</v>
      </c>
      <c r="L199" s="38">
        <v>17</v>
      </c>
      <c r="M199" s="38">
        <v>17</v>
      </c>
      <c r="N199" s="38">
        <v>847</v>
      </c>
      <c r="O199" s="229">
        <v>870</v>
      </c>
      <c r="P199" s="38">
        <v>767</v>
      </c>
      <c r="Q199" s="38">
        <v>728</v>
      </c>
      <c r="R199" s="38">
        <f t="shared" si="36"/>
        <v>-25</v>
      </c>
      <c r="S199" s="38">
        <f>IF(LEFT($B199,4)="_Mil","",_xlfn.IFNA(ROUND(INDEX(Spectrum!$N:$N,MATCH(RIGHT($B199,13)&amp;"|"&amp;$C199&amp;"|"&amp;$D199&amp;"|"&amp;S$14&amp;"|"&amp;"CY2023Q4",Spectrum!$R:$R,0)),0),""))</f>
        <v>778</v>
      </c>
      <c r="T199" s="218">
        <f>IF(LEFT($B199,4)="_Mil","",_xlfn.IFNA(ROUND(INDEX(Spectrum!$N:$N,MATCH(RIGHT($B199,13)&amp;"|"&amp;$C199&amp;"|"&amp;$D199&amp;"|"&amp;T$14&amp;"|"&amp;"CY2024Q3",Spectrum!$R:$R,0)),0),""))</f>
        <v>221841</v>
      </c>
      <c r="U199" s="218">
        <f>IF(LEFT($B199,4)="_Mil","",_xlfn.IFNA(ROUND(INDEX(Spectrum!$N:$N,MATCH(RIGHT($B199,13)&amp;"|"&amp;$C199&amp;"|"&amp;$D199&amp;"|"&amp;U$14&amp;"|"&amp;"CY2024Q3",Spectrum!$R:$R,0)),0),""))</f>
        <v>917</v>
      </c>
      <c r="V199" s="38">
        <f>IF(LEFT($B199,4)="_Mil","",_xlfn.IFNA(ROUND(INDEX(Spectrum!$N:$N,MATCH(RIGHT($B199,13)&amp;"|"&amp;$C199&amp;"|"&amp;$D199&amp;"|"&amp;V$14&amp;"|"&amp;"CY2024Q3",Spectrum!$R:$R,0)),0),""))</f>
        <v>870</v>
      </c>
      <c r="W199" s="220">
        <f>IF(LEFT($B199,4)="_Mil","",_xlfn.IFNA(INDEX(Spectrum!$N:$N,MATCH(RIGHT($B199,13)&amp;"|"&amp;$C199&amp;"|"&amp;$D199&amp;"|"&amp;W$14&amp;"|"&amp;"CY2024Q3",Spectrum!$R:$R,0)),""))</f>
        <v>4.1342729999999999E-3</v>
      </c>
      <c r="X199" s="218">
        <f>IF(LEFT($B199,4)="_Mil","",_xlfn.IFNA(ROUND(INDEX(Spectrum!$N:$N,MATCH(RIGHT($B199,13)&amp;"|"&amp;$C199&amp;"|"&amp;$D199&amp;"|"&amp;X$14&amp;"|"&amp;"CY2024Q3",Spectrum!$R:$R,0)),0),""))</f>
        <v>768</v>
      </c>
      <c r="Y199" s="33">
        <f t="shared" si="37"/>
        <v>0.84</v>
      </c>
      <c r="Z199" s="218">
        <f>IF(LEFT($B199,4)="_Mil","",_xlfn.IFNA(ROUND(INDEX(Spectrum!$N:$N,MATCH(RIGHT($B199,13)&amp;"|"&amp;$C199&amp;"|"&amp;$D199&amp;"|"&amp;Z$14&amp;"|"&amp;"CY2024Q3",Spectrum!$R:$R,0)),0),""))</f>
        <v>720</v>
      </c>
      <c r="AA199" s="33">
        <f>IF(LEFT($B199,4)="_Mil","",IFERROR(1/(1/INDEX(Spectrum!$N:$N,MATCH(RIGHT($B199,13)&amp;"|"&amp;$C199&amp;"|"&amp;$D199&amp;"|"&amp;AA$14&amp;"|"&amp;"CY2024Q3",Spectrum!$R:$R,0))),IF(SUM($U199)=0,"",SUM($Z199)/$U199)))</f>
        <v>0.81526676399999998</v>
      </c>
      <c r="AB199" s="33">
        <f t="shared" si="38"/>
        <v>0.9375</v>
      </c>
      <c r="AC199" s="38">
        <f>IF(LEFT($B199,4)="_Mil","",_xlfn.IFNA(ROUND(INDEX(Spectrum!$N:$N,MATCH(RIGHT($B199,13)&amp;"|"&amp;$C199&amp;"|"&amp;$D199&amp;"|"&amp;AC$14&amp;"|"&amp;"CY2024Q3",Spectrum!$R:$R,0)),0),""))</f>
        <v>151</v>
      </c>
      <c r="AD199" s="38" t="str">
        <f>IF(LEFT($B199,4)="_Mil","",_xlfn.IFNA(ROUND(INDEX(Spectrum!$N:$N,MATCH(RIGHT($B199,13)&amp;"|"&amp;$C199&amp;"|"&amp;$D199&amp;"|"&amp;AD$14&amp;"|"&amp;"CY2024Q3",Spectrum!$R:$R,0)),0),""))</f>
        <v/>
      </c>
      <c r="AE199" s="33">
        <f t="shared" si="39"/>
        <v>0</v>
      </c>
      <c r="AF199" s="218" t="str">
        <f>IF(LEFT($B199,4)="_Mil","",_xlfn.IFNA(ROUND(INDEX(Spectrum!$N:$N,MATCH(RIGHT($B199,13)&amp;"|"&amp;$C199&amp;"|"&amp;$D199&amp;"|"&amp;AF$14&amp;"|"&amp;"CY2024Q3",Spectrum!$R:$R,0)),0),""))</f>
        <v/>
      </c>
      <c r="AG199" s="33" t="str">
        <f t="shared" si="40"/>
        <v/>
      </c>
      <c r="AH199" s="110" t="str">
        <f>IF(LEFT($B199,4)="_Mil","",_xlfn.IFNA(INDEX(Spectrum!$N:$N,MATCH(RIGHT($B199,13)&amp;"|"&amp;$C199&amp;"|"&amp;$D199&amp;"|"&amp;AH$14&amp;"|"&amp;"CY2024Q3",Spectrum!$R:$R,0)),""))</f>
        <v/>
      </c>
      <c r="AI199" s="218">
        <f>IF(LEFT($B199,4)="_Mil","",_xlfn.IFNA(ROUND(INDEX(Spectrum!$N:$N,MATCH(RIGHT($B199,13)&amp;"|"&amp;$C199&amp;"|"&amp;$D199&amp;"|"&amp;AI$14&amp;"|"&amp;"CY2025Q3",Spectrum!$R:$R,0)),0),""))</f>
        <v>17</v>
      </c>
      <c r="AJ199" s="38">
        <f>IF(LEFT($B199,4)="_Mil","",_xlfn.IFNA(ROUND(INDEX(Spectrum!$N:$N,MATCH(RIGHT($B199,13)&amp;"|"&amp;$C199&amp;"|"&amp;$D199&amp;"|"&amp;AJ$14&amp;"|"&amp;"CY2025Q3",Spectrum!$R:$R,0)),0),""))</f>
        <v>776</v>
      </c>
      <c r="AK199" s="218" t="e">
        <f>#REF!</f>
        <v>#REF!</v>
      </c>
      <c r="AL199" s="33">
        <f t="shared" si="41"/>
        <v>0.9</v>
      </c>
      <c r="AM199" s="38" t="e">
        <f>IF(OR(LEFT($B199,4)="_Mil",$C199="&lt;01"),"",ROUND(SUM($AK199)*SUM($AL199),0))</f>
        <v>#REF!</v>
      </c>
      <c r="AN199" s="38" t="str">
        <f>IF($C199="&lt;01",ROUND(INDEX(EID!$P:$P,MATCH($B199,EID!$B:$B,0))/2,0),"")</f>
        <v/>
      </c>
      <c r="AO199" s="38" t="e">
        <f>IF($C199="&lt;01",SUM($AN199),ROUND(SUM($AM199)*SUM($O199)/IF(SUM($Z199)=0,1,$Z199),0))</f>
        <v>#REF!</v>
      </c>
      <c r="AP199" s="218">
        <f>IF(OR($F199="",$C199="&lt;01"),$AO199,ROUND($F199,0))</f>
        <v>737</v>
      </c>
      <c r="AQ199" s="218">
        <f>IF(LEFT($B199,4)="_Mil","",IF(SUM($AP199)=0,SUM($Z199),IF(OR(SUM($Z199)=0,SUM($O199)=0),MAX($AP199,$Z199),ROUND($AP199*$Z199/$O199,0))))</f>
        <v>610</v>
      </c>
      <c r="AR199" s="33" t="e">
        <f>IF(OR(LEFT($B199,4)="_Mil",SUM($AK199)=0),"",SUM($AQ199)/$AK199)</f>
        <v>#REF!</v>
      </c>
      <c r="AS199" s="33">
        <f>IF($C199="&lt;01","",80%)</f>
        <v>0.8</v>
      </c>
      <c r="AT199" s="33">
        <f t="shared" si="49"/>
        <v>0.98</v>
      </c>
      <c r="AU199" s="38">
        <f>IF($C199="&lt;01","",SUM($AP199)-SUM($O199))</f>
        <v>-133</v>
      </c>
      <c r="AV199" s="38">
        <f>IF($C199="&lt;01",ROUND(INDEX(EID!$N:$N,MATCH($B199,EID!$B:$B,0))/2,0),IF(SUM($AT199)=0,"",ROUND((SUM($AP199)-(SUM($O199)*SUM($AS199)))/$AT199,0)))</f>
        <v>42</v>
      </c>
      <c r="AW199" s="33">
        <f t="shared" si="42"/>
        <v>1</v>
      </c>
      <c r="AX199" s="218">
        <f>IF($C199="&lt;01",SUM($AV199),ROUND(SUM($AV199)*SUM($AW199),0))</f>
        <v>42</v>
      </c>
      <c r="AY199" s="79">
        <f t="shared" si="43"/>
        <v>0.7</v>
      </c>
      <c r="AZ199" s="85">
        <f>IF($C199="&lt;01",ROUND(INDEX(EID!$R:$R,MATCH($B199,EID!$B:$B,0))/2,0),ROUND(SUM($O199)+(SUM($AV199)*$AY199),0))</f>
        <v>899</v>
      </c>
      <c r="BA199" s="40">
        <f t="shared" si="47"/>
        <v>0.9</v>
      </c>
      <c r="BB199" s="99">
        <f>IF($C199="&lt;01",ROUND(INDEX(EID!$T:$T,MATCH($B199,EID!$B:$B,0))/2,0),ROUND($AP199*$BA199,0))</f>
        <v>663</v>
      </c>
      <c r="BC199" s="85">
        <f>IF(LEFT($B199,4)="_Mil","",IF(SUM($BB199)=0,SUM($AD199),IF(OR(SUM($AP199)=0,SUM($AQ199)=0),MAX($BB199,$AD199),ROUND($BB199*$AQ199/$AP199,0))))</f>
        <v>549</v>
      </c>
      <c r="BD199" s="33">
        <f t="shared" si="44"/>
        <v>0.95</v>
      </c>
      <c r="BE199" s="218">
        <f>IF($C199="&lt;01",ROUND(INDEX(EID!$V:$V,MATCH($B199,EID!$B:$B,0))/2,0),ROUND($BD199*$BB199,0))</f>
        <v>630</v>
      </c>
      <c r="BF199" s="218">
        <f>IF(LEFT($B199,4)="_Mil","",IF(SUM($BE199)=0,SUM($AF199),IF(OR(SUM($AP199)=0,SUM($AQ199)=0),MAX($BE199,$AF199),ROUND($BE199*$AQ199/$AP199,0))))</f>
        <v>521</v>
      </c>
      <c r="BG199" s="79">
        <f t="shared" si="45"/>
        <v>0.95</v>
      </c>
      <c r="BH199" s="99">
        <f>IF($C199="&lt;01",ROUND(INDEX(EID!$L:$L,MATCH($B199,EID!$B:$B,0)),0)/2,IF(SUM($BG199)=0,"",ROUND($AX199/$BG199,0)))</f>
        <v>44</v>
      </c>
    </row>
    <row r="200" spans="1:60" x14ac:dyDescent="0.2">
      <c r="A200" t="str">
        <f>INDEX(Prioritization!$D:$D,MATCH($B200,Prioritization!$A:$A,0))</f>
        <v>1 - Scale-up: Saturation</v>
      </c>
      <c r="B200" t="s">
        <v>318</v>
      </c>
      <c r="C200" t="s">
        <v>473</v>
      </c>
      <c r="D200" t="s">
        <v>48</v>
      </c>
      <c r="E200" t="str">
        <f t="shared" si="35"/>
        <v>Mangochi District [lLDyBx5XyUi]|01-09|Male</v>
      </c>
      <c r="F200" s="229">
        <v>745</v>
      </c>
      <c r="G200" s="38">
        <v>130</v>
      </c>
      <c r="H200" s="38">
        <v>105</v>
      </c>
      <c r="I200" s="38">
        <v>840</v>
      </c>
      <c r="J200" s="38">
        <v>904</v>
      </c>
      <c r="K200" s="38">
        <v>685</v>
      </c>
      <c r="L200" s="38">
        <v>37</v>
      </c>
      <c r="M200" s="38">
        <v>36</v>
      </c>
      <c r="N200" s="38">
        <v>826</v>
      </c>
      <c r="O200" s="229">
        <v>840</v>
      </c>
      <c r="P200" s="38">
        <v>734</v>
      </c>
      <c r="Q200" s="38">
        <v>697</v>
      </c>
      <c r="R200" s="38">
        <f t="shared" si="36"/>
        <v>0</v>
      </c>
      <c r="S200" s="38">
        <f>IF(LEFT($B200,4)="_Mil","",_xlfn.IFNA(ROUND(INDEX(Spectrum!$N:$N,MATCH(RIGHT($B200,13)&amp;"|"&amp;$C200&amp;"|"&amp;$D200&amp;"|"&amp;S$14&amp;"|"&amp;"CY2023Q4",Spectrum!$R:$R,0)),0),""))</f>
        <v>752</v>
      </c>
      <c r="T200" s="218">
        <f>IF(LEFT($B200,4)="_Mil","",_xlfn.IFNA(ROUND(INDEX(Spectrum!$N:$N,MATCH(RIGHT($B200,13)&amp;"|"&amp;$C200&amp;"|"&amp;$D200&amp;"|"&amp;T$14&amp;"|"&amp;"CY2024Q3",Spectrum!$R:$R,0)),0),""))</f>
        <v>223067</v>
      </c>
      <c r="U200" s="218">
        <f>IF(LEFT($B200,4)="_Mil","",_xlfn.IFNA(ROUND(INDEX(Spectrum!$N:$N,MATCH(RIGHT($B200,13)&amp;"|"&amp;$C200&amp;"|"&amp;$D200&amp;"|"&amp;U$14&amp;"|"&amp;"CY2024Q3",Spectrum!$R:$R,0)),0),""))</f>
        <v>927</v>
      </c>
      <c r="V200" s="38">
        <f>IF(LEFT($B200,4)="_Mil","",_xlfn.IFNA(ROUND(INDEX(Spectrum!$N:$N,MATCH(RIGHT($B200,13)&amp;"|"&amp;$C200&amp;"|"&amp;$D200&amp;"|"&amp;V$14&amp;"|"&amp;"CY2024Q3",Spectrum!$R:$R,0)),0),""))</f>
        <v>880</v>
      </c>
      <c r="W200" s="220">
        <f>IF(LEFT($B200,4)="_Mil","",_xlfn.IFNA(INDEX(Spectrum!$N:$N,MATCH(RIGHT($B200,13)&amp;"|"&amp;$C200&amp;"|"&amp;$D200&amp;"|"&amp;W$14&amp;"|"&amp;"CY2024Q3",Spectrum!$R:$R,0)),""))</f>
        <v>4.1542360000000004E-3</v>
      </c>
      <c r="X200" s="218">
        <f>IF(LEFT($B200,4)="_Mil","",_xlfn.IFNA(ROUND(INDEX(Spectrum!$N:$N,MATCH(RIGHT($B200,13)&amp;"|"&amp;$C200&amp;"|"&amp;$D200&amp;"|"&amp;X$14&amp;"|"&amp;"CY2024Q3",Spectrum!$R:$R,0)),0),""))</f>
        <v>776</v>
      </c>
      <c r="Y200" s="33">
        <f t="shared" si="37"/>
        <v>0.84</v>
      </c>
      <c r="Z200" s="218">
        <f>IF(LEFT($B200,4)="_Mil","",_xlfn.IFNA(ROUND(INDEX(Spectrum!$N:$N,MATCH(RIGHT($B200,13)&amp;"|"&amp;$C200&amp;"|"&amp;$D200&amp;"|"&amp;Z$14&amp;"|"&amp;"CY2024Q3",Spectrum!$R:$R,0)),0),""))</f>
        <v>698</v>
      </c>
      <c r="AA200" s="33">
        <f>IF(LEFT($B200,4)="_Mil","",IFERROR(1/(1/INDEX(Spectrum!$N:$N,MATCH(RIGHT($B200,13)&amp;"|"&amp;$C200&amp;"|"&amp;$D200&amp;"|"&amp;AA$14&amp;"|"&amp;"CY2024Q3",Spectrum!$R:$R,0))),IF(SUM($U200)=0,"",SUM($Z200)/$U200)))</f>
        <v>0.81540460299999995</v>
      </c>
      <c r="AB200" s="33">
        <f t="shared" si="38"/>
        <v>0.89948453608247425</v>
      </c>
      <c r="AC200" s="38">
        <f>IF(LEFT($B200,4)="_Mil","",_xlfn.IFNA(ROUND(INDEX(Spectrum!$N:$N,MATCH(RIGHT($B200,13)&amp;"|"&amp;$C200&amp;"|"&amp;$D200&amp;"|"&amp;AC$14&amp;"|"&amp;"CY2024Q3",Spectrum!$R:$R,0)),0),""))</f>
        <v>182</v>
      </c>
      <c r="AD200" s="38" t="str">
        <f>IF(LEFT($B200,4)="_Mil","",_xlfn.IFNA(ROUND(INDEX(Spectrum!$N:$N,MATCH(RIGHT($B200,13)&amp;"|"&amp;$C200&amp;"|"&amp;$D200&amp;"|"&amp;AD$14&amp;"|"&amp;"CY2024Q3",Spectrum!$R:$R,0)),0),""))</f>
        <v/>
      </c>
      <c r="AE200" s="33">
        <f t="shared" si="39"/>
        <v>0</v>
      </c>
      <c r="AF200" s="218" t="str">
        <f>IF(LEFT($B200,4)="_Mil","",_xlfn.IFNA(ROUND(INDEX(Spectrum!$N:$N,MATCH(RIGHT($B200,13)&amp;"|"&amp;$C200&amp;"|"&amp;$D200&amp;"|"&amp;AF$14&amp;"|"&amp;"CY2024Q3",Spectrum!$R:$R,0)),0),""))</f>
        <v/>
      </c>
      <c r="AG200" s="33" t="str">
        <f t="shared" si="40"/>
        <v/>
      </c>
      <c r="AH200" s="110" t="str">
        <f>IF(LEFT($B200,4)="_Mil","",_xlfn.IFNA(INDEX(Spectrum!$N:$N,MATCH(RIGHT($B200,13)&amp;"|"&amp;$C200&amp;"|"&amp;$D200&amp;"|"&amp;AH$14&amp;"|"&amp;"CY2024Q3",Spectrum!$R:$R,0)),""))</f>
        <v/>
      </c>
      <c r="AI200" s="218">
        <f>IF(LEFT($B200,4)="_Mil","",_xlfn.IFNA(ROUND(INDEX(Spectrum!$N:$N,MATCH(RIGHT($B200,13)&amp;"|"&amp;$C200&amp;"|"&amp;$D200&amp;"|"&amp;AI$14&amp;"|"&amp;"CY2025Q3",Spectrum!$R:$R,0)),0),""))</f>
        <v>17</v>
      </c>
      <c r="AJ200" s="38">
        <f>IF(LEFT($B200,4)="_Mil","",_xlfn.IFNA(ROUND(INDEX(Spectrum!$N:$N,MATCH(RIGHT($B200,13)&amp;"|"&amp;$C200&amp;"|"&amp;$D200&amp;"|"&amp;AJ$14&amp;"|"&amp;"CY2025Q3",Spectrum!$R:$R,0)),0),""))</f>
        <v>784</v>
      </c>
      <c r="AK200" s="218" t="e">
        <f>#REF!</f>
        <v>#REF!</v>
      </c>
      <c r="AL200" s="33">
        <f t="shared" si="41"/>
        <v>0.9</v>
      </c>
      <c r="AM200" s="38" t="e">
        <f>IF(OR(LEFT($B200,4)="_Mil",$C200="&lt;01"),"",ROUND(SUM($AK200)*SUM($AL200),0))</f>
        <v>#REF!</v>
      </c>
      <c r="AN200" s="38" t="str">
        <f>IF($C200="&lt;01",ROUND(INDEX(EID!$P:$P,MATCH($B200,EID!$B:$B,0))/2,0),"")</f>
        <v/>
      </c>
      <c r="AO200" s="38" t="e">
        <f>IF($C200="&lt;01",SUM($AN200),ROUND(SUM($AM200)*SUM($O200)/IF(SUM($Z200)=0,1,$Z200),0))</f>
        <v>#REF!</v>
      </c>
      <c r="AP200" s="218">
        <f>IF(OR($F200="",$C200="&lt;01"),$AO200,ROUND($F200,0))</f>
        <v>745</v>
      </c>
      <c r="AQ200" s="218">
        <f>IF(LEFT($B200,4)="_Mil","",IF(SUM($AP200)=0,SUM($Z200),IF(OR(SUM($Z200)=0,SUM($O200)=0),MAX($AP200,$Z200),ROUND($AP200*$Z200/$O200,0))))</f>
        <v>619</v>
      </c>
      <c r="AR200" s="33" t="e">
        <f>IF(OR(LEFT($B200,4)="_Mil",SUM($AK200)=0),"",SUM($AQ200)/$AK200)</f>
        <v>#REF!</v>
      </c>
      <c r="AS200" s="33">
        <f>IF($C200="&lt;01","",80%)</f>
        <v>0.8</v>
      </c>
      <c r="AT200" s="33">
        <f t="shared" si="49"/>
        <v>0.98</v>
      </c>
      <c r="AU200" s="38">
        <f>IF($C200="&lt;01","",SUM($AP200)-SUM($O200))</f>
        <v>-95</v>
      </c>
      <c r="AV200" s="38">
        <f>IF($C200="&lt;01",ROUND(INDEX(EID!$N:$N,MATCH($B200,EID!$B:$B,0))/2,0),IF(SUM($AT200)=0,"",ROUND((SUM($AP200)-(SUM($O200)*SUM($AS200)))/$AT200,0)))</f>
        <v>74</v>
      </c>
      <c r="AW200" s="33">
        <f t="shared" si="42"/>
        <v>1</v>
      </c>
      <c r="AX200" s="218">
        <f>IF($C200="&lt;01",SUM($AV200),ROUND(SUM($AV200)*SUM($AW200),0))</f>
        <v>74</v>
      </c>
      <c r="AY200" s="79">
        <f t="shared" si="43"/>
        <v>0.7</v>
      </c>
      <c r="AZ200" s="85">
        <f>IF($C200="&lt;01",ROUND(INDEX(EID!$R:$R,MATCH($B200,EID!$B:$B,0))/2,0),ROUND(SUM($O200)+(SUM($AV200)*$AY200),0))</f>
        <v>892</v>
      </c>
      <c r="BA200" s="40">
        <f t="shared" si="47"/>
        <v>0.9</v>
      </c>
      <c r="BB200" s="99">
        <f>IF($C200="&lt;01",ROUND(INDEX(EID!$T:$T,MATCH($B200,EID!$B:$B,0))/2,0),ROUND($AP200*$BA200,0))</f>
        <v>671</v>
      </c>
      <c r="BC200" s="85">
        <f>IF(LEFT($B200,4)="_Mil","",IF(SUM($BB200)=0,SUM($AD200),IF(OR(SUM($AP200)=0,SUM($AQ200)=0),MAX($BB200,$AD200),ROUND($BB200*$AQ200/$AP200,0))))</f>
        <v>558</v>
      </c>
      <c r="BD200" s="33">
        <f t="shared" si="44"/>
        <v>0.95</v>
      </c>
      <c r="BE200" s="218">
        <f>IF($C200="&lt;01",ROUND(INDEX(EID!$V:$V,MATCH($B200,EID!$B:$B,0))/2,0),ROUND($BD200*$BB200,0))</f>
        <v>637</v>
      </c>
      <c r="BF200" s="218">
        <f>IF(LEFT($B200,4)="_Mil","",IF(SUM($BE200)=0,SUM($AF200),IF(OR(SUM($AP200)=0,SUM($AQ200)=0),MAX($BE200,$AF200),ROUND($BE200*$AQ200/$AP200,0))))</f>
        <v>529</v>
      </c>
      <c r="BG200" s="79">
        <f t="shared" si="45"/>
        <v>0.95</v>
      </c>
      <c r="BH200" s="99">
        <f>IF($C200="&lt;01",ROUND(INDEX(EID!$L:$L,MATCH($B200,EID!$B:$B,0)),0)/2,IF(SUM($BG200)=0,"",ROUND($AX200/$BG200,0)))</f>
        <v>78</v>
      </c>
    </row>
    <row r="201" spans="1:60" x14ac:dyDescent="0.2">
      <c r="A201" t="str">
        <f>INDEX(Prioritization!$D:$D,MATCH($B201,Prioritization!$A:$A,0))</f>
        <v>1 - Scale-up: Saturation</v>
      </c>
      <c r="B201" t="s">
        <v>318</v>
      </c>
      <c r="C201" t="s">
        <v>474</v>
      </c>
      <c r="D201" t="s">
        <v>30</v>
      </c>
      <c r="E201" t="str">
        <f t="shared" si="35"/>
        <v>Mangochi District [lLDyBx5XyUi]|10-14|Female</v>
      </c>
      <c r="F201" s="229">
        <v>927</v>
      </c>
      <c r="G201" s="38">
        <v>54</v>
      </c>
      <c r="H201" s="38">
        <v>26</v>
      </c>
      <c r="I201" s="38">
        <v>935</v>
      </c>
      <c r="J201" s="38">
        <v>841</v>
      </c>
      <c r="K201" s="38">
        <v>656</v>
      </c>
      <c r="L201" s="38">
        <v>18</v>
      </c>
      <c r="M201" s="38">
        <v>17</v>
      </c>
      <c r="N201" s="38">
        <v>851</v>
      </c>
      <c r="O201" s="229">
        <v>935</v>
      </c>
      <c r="P201" s="38">
        <v>769</v>
      </c>
      <c r="Q201" s="38">
        <v>731</v>
      </c>
      <c r="R201" s="38">
        <f t="shared" si="36"/>
        <v>0</v>
      </c>
      <c r="S201" s="38">
        <f>IF(LEFT($B201,4)="_Mil","",_xlfn.IFNA(ROUND(INDEX(Spectrum!$N:$N,MATCH(RIGHT($B201,13)&amp;"|"&amp;$C201&amp;"|"&amp;$D201&amp;"|"&amp;S$14&amp;"|"&amp;"CY2023Q4",Spectrum!$R:$R,0)),0),""))</f>
        <v>886</v>
      </c>
      <c r="T201" s="218">
        <f>IF(LEFT($B201,4)="_Mil","",_xlfn.IFNA(ROUND(INDEX(Spectrum!$N:$N,MATCH(RIGHT($B201,13)&amp;"|"&amp;$C201&amp;"|"&amp;$D201&amp;"|"&amp;T$14&amp;"|"&amp;"CY2024Q3",Spectrum!$R:$R,0)),0),""))</f>
        <v>91354</v>
      </c>
      <c r="U201" s="218">
        <f>IF(LEFT($B201,4)="_Mil","",_xlfn.IFNA(ROUND(INDEX(Spectrum!$N:$N,MATCH(RIGHT($B201,13)&amp;"|"&amp;$C201&amp;"|"&amp;$D201&amp;"|"&amp;U$14&amp;"|"&amp;"CY2024Q3",Spectrum!$R:$R,0)),0),""))</f>
        <v>1066</v>
      </c>
      <c r="V201" s="38">
        <f>IF(LEFT($B201,4)="_Mil","",_xlfn.IFNA(ROUND(INDEX(Spectrum!$N:$N,MATCH(RIGHT($B201,13)&amp;"|"&amp;$C201&amp;"|"&amp;$D201&amp;"|"&amp;V$14&amp;"|"&amp;"CY2024Q3",Spectrum!$R:$R,0)),0),""))</f>
        <v>1014</v>
      </c>
      <c r="W201" s="220">
        <f>IF(LEFT($B201,4)="_Mil","",_xlfn.IFNA(INDEX(Spectrum!$N:$N,MATCH(RIGHT($B201,13)&amp;"|"&amp;$C201&amp;"|"&amp;$D201&amp;"|"&amp;W$14&amp;"|"&amp;"CY2024Q3",Spectrum!$R:$R,0)),""))</f>
        <v>1.1669863000000001E-2</v>
      </c>
      <c r="X201" s="218">
        <f>IF(LEFT($B201,4)="_Mil","",_xlfn.IFNA(ROUND(INDEX(Spectrum!$N:$N,MATCH(RIGHT($B201,13)&amp;"|"&amp;$C201&amp;"|"&amp;$D201&amp;"|"&amp;X$14&amp;"|"&amp;"CY2024Q3",Spectrum!$R:$R,0)),0),""))</f>
        <v>920</v>
      </c>
      <c r="Y201" s="33">
        <f t="shared" si="37"/>
        <v>0.86</v>
      </c>
      <c r="Z201" s="218">
        <f>IF(LEFT($B201,4)="_Mil","",_xlfn.IFNA(ROUND(INDEX(Spectrum!$N:$N,MATCH(RIGHT($B201,13)&amp;"|"&amp;$C201&amp;"|"&amp;$D201&amp;"|"&amp;Z$14&amp;"|"&amp;"CY2024Q3",Spectrum!$R:$R,0)),0),""))</f>
        <v>874</v>
      </c>
      <c r="AA201" s="33">
        <f>IF(LEFT($B201,4)="_Mil","",IFERROR(1/(1/INDEX(Spectrum!$N:$N,MATCH(RIGHT($B201,13)&amp;"|"&amp;$C201&amp;"|"&amp;$D201&amp;"|"&amp;AA$14&amp;"|"&amp;"CY2024Q3",Spectrum!$R:$R,0))),IF(SUM($U201)=0,"",SUM($Z201)/$U201)))</f>
        <v>0.84063538999999998</v>
      </c>
      <c r="AB201" s="33">
        <f t="shared" si="38"/>
        <v>0.95</v>
      </c>
      <c r="AC201" s="38">
        <f>IF(LEFT($B201,4)="_Mil","",_xlfn.IFNA(ROUND(INDEX(Spectrum!$N:$N,MATCH(RIGHT($B201,13)&amp;"|"&amp;$C201&amp;"|"&amp;$D201&amp;"|"&amp;AC$14&amp;"|"&amp;"CY2024Q3",Spectrum!$R:$R,0)),0),""))</f>
        <v>141</v>
      </c>
      <c r="AD201" s="38" t="str">
        <f>IF(LEFT($B201,4)="_Mil","",_xlfn.IFNA(ROUND(INDEX(Spectrum!$N:$N,MATCH(RIGHT($B201,13)&amp;"|"&amp;$C201&amp;"|"&amp;$D201&amp;"|"&amp;AD$14&amp;"|"&amp;"CY2024Q3",Spectrum!$R:$R,0)),0),""))</f>
        <v/>
      </c>
      <c r="AE201" s="33">
        <f t="shared" si="39"/>
        <v>0</v>
      </c>
      <c r="AF201" s="218" t="str">
        <f>IF(LEFT($B201,4)="_Mil","",_xlfn.IFNA(ROUND(INDEX(Spectrum!$N:$N,MATCH(RIGHT($B201,13)&amp;"|"&amp;$C201&amp;"|"&amp;$D201&amp;"|"&amp;AF$14&amp;"|"&amp;"CY2024Q3",Spectrum!$R:$R,0)),0),""))</f>
        <v/>
      </c>
      <c r="AG201" s="33" t="str">
        <f t="shared" si="40"/>
        <v/>
      </c>
      <c r="AH201" s="110" t="str">
        <f>IF(LEFT($B201,4)="_Mil","",_xlfn.IFNA(INDEX(Spectrum!$N:$N,MATCH(RIGHT($B201,13)&amp;"|"&amp;$C201&amp;"|"&amp;$D201&amp;"|"&amp;AH$14&amp;"|"&amp;"CY2024Q3",Spectrum!$R:$R,0)),""))</f>
        <v/>
      </c>
      <c r="AI201" s="218">
        <f>IF(LEFT($B201,4)="_Mil","",_xlfn.IFNA(ROUND(INDEX(Spectrum!$N:$N,MATCH(RIGHT($B201,13)&amp;"|"&amp;$C201&amp;"|"&amp;$D201&amp;"|"&amp;AI$14&amp;"|"&amp;"CY2025Q3",Spectrum!$R:$R,0)),0),""))</f>
        <v>0</v>
      </c>
      <c r="AJ201" s="38">
        <f>IF(LEFT($B201,4)="_Mil","",_xlfn.IFNA(ROUND(INDEX(Spectrum!$N:$N,MATCH(RIGHT($B201,13)&amp;"|"&amp;$C201&amp;"|"&amp;$D201&amp;"|"&amp;AJ$14&amp;"|"&amp;"CY2025Q3",Spectrum!$R:$R,0)),0),""))</f>
        <v>975</v>
      </c>
      <c r="AK201" s="218" t="e">
        <f>#REF!</f>
        <v>#REF!</v>
      </c>
      <c r="AL201" s="33">
        <f t="shared" si="41"/>
        <v>0.9</v>
      </c>
      <c r="AM201" s="38" t="e">
        <f>IF(OR(LEFT($B201,4)="_Mil",$C201="&lt;01"),"",ROUND(SUM($AK201)*SUM($AL201),0))</f>
        <v>#REF!</v>
      </c>
      <c r="AN201" s="38" t="str">
        <f>IF($C201="&lt;01",ROUND(INDEX(EID!$P:$P,MATCH($B201,EID!$B:$B,0))/2,0),"")</f>
        <v/>
      </c>
      <c r="AO201" s="38" t="e">
        <f>IF($C201="&lt;01",SUM($AN201),ROUND(SUM($AM201)*SUM($O201)/IF(SUM($Z201)=0,1,$Z201),0))</f>
        <v>#REF!</v>
      </c>
      <c r="AP201" s="218">
        <f>IF(OR($F201="",$C201="&lt;01"),$AO201,ROUND($F201,0))</f>
        <v>927</v>
      </c>
      <c r="AQ201" s="218">
        <f>IF(LEFT($B201,4)="_Mil","",IF(SUM($AP201)=0,SUM($Z201),IF(OR(SUM($Z201)=0,SUM($O201)=0),MAX($AP201,$Z201),ROUND($AP201*$Z201/$O201,0))))</f>
        <v>867</v>
      </c>
      <c r="AR201" s="33" t="e">
        <f>IF(OR(LEFT($B201,4)="_Mil",SUM($AK201)=0),"",SUM($AQ201)/$AK201)</f>
        <v>#REF!</v>
      </c>
      <c r="AS201" s="33">
        <f>IF($C201="&lt;01","",90%)</f>
        <v>0.9</v>
      </c>
      <c r="AT201" s="33">
        <f t="shared" si="49"/>
        <v>0.98</v>
      </c>
      <c r="AU201" s="38">
        <f>IF($C201="&lt;01","",SUM($AP201)-SUM($O201))</f>
        <v>-8</v>
      </c>
      <c r="AV201" s="38">
        <f>IF($C201="&lt;01",ROUND(INDEX(EID!$N:$N,MATCH($B201,EID!$B:$B,0))/2,0),IF(SUM($AT201)=0,"",ROUND((SUM($AP201)-(SUM($O201)*SUM($AS201)))/$AT201,0)))</f>
        <v>87</v>
      </c>
      <c r="AW201" s="33">
        <f t="shared" si="42"/>
        <v>1</v>
      </c>
      <c r="AX201" s="218">
        <f>IF($C201="&lt;01",SUM($AV201),ROUND(SUM($AV201)*SUM($AW201),0))</f>
        <v>87</v>
      </c>
      <c r="AY201" s="79">
        <f t="shared" si="43"/>
        <v>0.7</v>
      </c>
      <c r="AZ201" s="85">
        <f>IF($C201="&lt;01",ROUND(INDEX(EID!$R:$R,MATCH($B201,EID!$B:$B,0))/2,0),ROUND(SUM($O201)+(SUM($AV201)*$AY201),0))</f>
        <v>996</v>
      </c>
      <c r="BA201" s="40">
        <f t="shared" si="47"/>
        <v>0.9</v>
      </c>
      <c r="BB201" s="99">
        <f>IF($C201="&lt;01",ROUND(INDEX(EID!$T:$T,MATCH($B201,EID!$B:$B,0))/2,0),ROUND($AP201*$BA201,0))</f>
        <v>834</v>
      </c>
      <c r="BC201" s="85">
        <f>IF(LEFT($B201,4)="_Mil","",IF(SUM($BB201)=0,SUM($AD201),IF(OR(SUM($AP201)=0,SUM($AQ201)=0),MAX($BB201,$AD201),ROUND($BB201*$AQ201/$AP201,0))))</f>
        <v>780</v>
      </c>
      <c r="BD201" s="33">
        <f t="shared" si="44"/>
        <v>0.95</v>
      </c>
      <c r="BE201" s="218">
        <f>IF($C201="&lt;01",ROUND(INDEX(EID!$V:$V,MATCH($B201,EID!$B:$B,0))/2,0),ROUND($BD201*$BB201,0))</f>
        <v>792</v>
      </c>
      <c r="BF201" s="218">
        <f>IF(LEFT($B201,4)="_Mil","",IF(SUM($BE201)=0,SUM($AF201),IF(OR(SUM($AP201)=0,SUM($AQ201)=0),MAX($BE201,$AF201),ROUND($BE201*$AQ201/$AP201,0))))</f>
        <v>741</v>
      </c>
      <c r="BG201" s="79">
        <f t="shared" si="45"/>
        <v>0.95</v>
      </c>
      <c r="BH201" s="99">
        <f>IF($C201="&lt;01",ROUND(INDEX(EID!$L:$L,MATCH($B201,EID!$B:$B,0)),0)/2,IF(SUM($BG201)=0,"",ROUND($AX201/$BG201,0)))</f>
        <v>92</v>
      </c>
    </row>
    <row r="202" spans="1:60" x14ac:dyDescent="0.2">
      <c r="A202" t="str">
        <f>INDEX(Prioritization!$D:$D,MATCH($B202,Prioritization!$A:$A,0))</f>
        <v>1 - Scale-up: Saturation</v>
      </c>
      <c r="B202" t="s">
        <v>318</v>
      </c>
      <c r="C202" t="s">
        <v>474</v>
      </c>
      <c r="D202" t="s">
        <v>48</v>
      </c>
      <c r="E202" t="str">
        <f t="shared" si="35"/>
        <v>Mangochi District [lLDyBx5XyUi]|10-14|Male</v>
      </c>
      <c r="F202" s="229">
        <v>812</v>
      </c>
      <c r="G202" s="38">
        <v>44</v>
      </c>
      <c r="H202" s="38">
        <v>22</v>
      </c>
      <c r="I202" s="38">
        <v>804</v>
      </c>
      <c r="J202" s="38">
        <v>724</v>
      </c>
      <c r="K202" s="38">
        <v>571</v>
      </c>
      <c r="L202" s="38">
        <v>129</v>
      </c>
      <c r="M202" s="38">
        <v>122</v>
      </c>
      <c r="N202" s="38">
        <v>914</v>
      </c>
      <c r="O202" s="229">
        <v>808</v>
      </c>
      <c r="P202" s="38">
        <v>752</v>
      </c>
      <c r="Q202" s="38">
        <v>714</v>
      </c>
      <c r="R202" s="38">
        <f t="shared" si="36"/>
        <v>4</v>
      </c>
      <c r="S202" s="38">
        <f>IF(LEFT($B202,4)="_Mil","",_xlfn.IFNA(ROUND(INDEX(Spectrum!$N:$N,MATCH(RIGHT($B202,13)&amp;"|"&amp;$C202&amp;"|"&amp;$D202&amp;"|"&amp;S$14&amp;"|"&amp;"CY2023Q4",Spectrum!$R:$R,0)),0),""))</f>
        <v>858</v>
      </c>
      <c r="T202" s="218">
        <f>IF(LEFT($B202,4)="_Mil","",_xlfn.IFNA(ROUND(INDEX(Spectrum!$N:$N,MATCH(RIGHT($B202,13)&amp;"|"&amp;$C202&amp;"|"&amp;$D202&amp;"|"&amp;T$14&amp;"|"&amp;"CY2024Q3",Spectrum!$R:$R,0)),0),""))</f>
        <v>93373</v>
      </c>
      <c r="U202" s="218">
        <f>IF(LEFT($B202,4)="_Mil","",_xlfn.IFNA(ROUND(INDEX(Spectrum!$N:$N,MATCH(RIGHT($B202,13)&amp;"|"&amp;$C202&amp;"|"&amp;$D202&amp;"|"&amp;U$14&amp;"|"&amp;"CY2024Q3",Spectrum!$R:$R,0)),0),""))</f>
        <v>1079</v>
      </c>
      <c r="V202" s="38">
        <f>IF(LEFT($B202,4)="_Mil","",_xlfn.IFNA(ROUND(INDEX(Spectrum!$N:$N,MATCH(RIGHT($B202,13)&amp;"|"&amp;$C202&amp;"|"&amp;$D202&amp;"|"&amp;V$14&amp;"|"&amp;"CY2024Q3",Spectrum!$R:$R,0)),0),""))</f>
        <v>1027</v>
      </c>
      <c r="W202" s="220">
        <f>IF(LEFT($B202,4)="_Mil","",_xlfn.IFNA(INDEX(Spectrum!$N:$N,MATCH(RIGHT($B202,13)&amp;"|"&amp;$C202&amp;"|"&amp;$D202&amp;"|"&amp;W$14&amp;"|"&amp;"CY2024Q3",Spectrum!$R:$R,0)),""))</f>
        <v>1.1553025E-2</v>
      </c>
      <c r="X202" s="218">
        <f>IF(LEFT($B202,4)="_Mil","",_xlfn.IFNA(ROUND(INDEX(Spectrum!$N:$N,MATCH(RIGHT($B202,13)&amp;"|"&amp;$C202&amp;"|"&amp;$D202&amp;"|"&amp;X$14&amp;"|"&amp;"CY2024Q3",Spectrum!$R:$R,0)),0),""))</f>
        <v>931</v>
      </c>
      <c r="Y202" s="33">
        <f t="shared" si="37"/>
        <v>0.86</v>
      </c>
      <c r="Z202" s="218">
        <f>IF(LEFT($B202,4)="_Mil","",_xlfn.IFNA(ROUND(INDEX(Spectrum!$N:$N,MATCH(RIGHT($B202,13)&amp;"|"&amp;$C202&amp;"|"&amp;$D202&amp;"|"&amp;Z$14&amp;"|"&amp;"CY2024Q3",Spectrum!$R:$R,0)),0),""))</f>
        <v>849</v>
      </c>
      <c r="AA202" s="33">
        <f>IF(LEFT($B202,4)="_Mil","",IFERROR(1/(1/INDEX(Spectrum!$N:$N,MATCH(RIGHT($B202,13)&amp;"|"&amp;$C202&amp;"|"&amp;$D202&amp;"|"&amp;AA$14&amp;"|"&amp;"CY2024Q3",Spectrum!$R:$R,0))),IF(SUM($U202)=0,"",SUM($Z202)/$U202)))</f>
        <v>0.840516873</v>
      </c>
      <c r="AB202" s="33">
        <f t="shared" si="38"/>
        <v>0.91192266380236309</v>
      </c>
      <c r="AC202" s="38">
        <f>IF(LEFT($B202,4)="_Mil","",_xlfn.IFNA(ROUND(INDEX(Spectrum!$N:$N,MATCH(RIGHT($B202,13)&amp;"|"&amp;$C202&amp;"|"&amp;$D202&amp;"|"&amp;AC$14&amp;"|"&amp;"CY2024Q3",Spectrum!$R:$R,0)),0),""))</f>
        <v>178</v>
      </c>
      <c r="AD202" s="38" t="str">
        <f>IF(LEFT($B202,4)="_Mil","",_xlfn.IFNA(ROUND(INDEX(Spectrum!$N:$N,MATCH(RIGHT($B202,13)&amp;"|"&amp;$C202&amp;"|"&amp;$D202&amp;"|"&amp;AD$14&amp;"|"&amp;"CY2024Q3",Spectrum!$R:$R,0)),0),""))</f>
        <v/>
      </c>
      <c r="AE202" s="33">
        <f t="shared" si="39"/>
        <v>0</v>
      </c>
      <c r="AF202" s="218" t="str">
        <f>IF(LEFT($B202,4)="_Mil","",_xlfn.IFNA(ROUND(INDEX(Spectrum!$N:$N,MATCH(RIGHT($B202,13)&amp;"|"&amp;$C202&amp;"|"&amp;$D202&amp;"|"&amp;AF$14&amp;"|"&amp;"CY2024Q3",Spectrum!$R:$R,0)),0),""))</f>
        <v/>
      </c>
      <c r="AG202" s="33" t="str">
        <f t="shared" si="40"/>
        <v/>
      </c>
      <c r="AH202" s="110" t="str">
        <f>IF(LEFT($B202,4)="_Mil","",_xlfn.IFNA(INDEX(Spectrum!$N:$N,MATCH(RIGHT($B202,13)&amp;"|"&amp;$C202&amp;"|"&amp;$D202&amp;"|"&amp;AH$14&amp;"|"&amp;"CY2024Q3",Spectrum!$R:$R,0)),""))</f>
        <v/>
      </c>
      <c r="AI202" s="218">
        <f>IF(LEFT($B202,4)="_Mil","",_xlfn.IFNA(ROUND(INDEX(Spectrum!$N:$N,MATCH(RIGHT($B202,13)&amp;"|"&amp;$C202&amp;"|"&amp;$D202&amp;"|"&amp;AI$14&amp;"|"&amp;"CY2025Q3",Spectrum!$R:$R,0)),0),""))</f>
        <v>0</v>
      </c>
      <c r="AJ202" s="38">
        <f>IF(LEFT($B202,4)="_Mil","",_xlfn.IFNA(ROUND(INDEX(Spectrum!$N:$N,MATCH(RIGHT($B202,13)&amp;"|"&amp;$C202&amp;"|"&amp;$D202&amp;"|"&amp;AJ$14&amp;"|"&amp;"CY2025Q3",Spectrum!$R:$R,0)),0),""))</f>
        <v>987</v>
      </c>
      <c r="AK202" s="218" t="e">
        <f>#REF!</f>
        <v>#REF!</v>
      </c>
      <c r="AL202" s="33">
        <f t="shared" si="41"/>
        <v>0.9</v>
      </c>
      <c r="AM202" s="38" t="e">
        <f>IF(OR(LEFT($B202,4)="_Mil",$C202="&lt;01"),"",ROUND(SUM($AK202)*SUM($AL202),0))</f>
        <v>#REF!</v>
      </c>
      <c r="AN202" s="38" t="str">
        <f>IF($C202="&lt;01",ROUND(INDEX(EID!$P:$P,MATCH($B202,EID!$B:$B,0))/2,0),"")</f>
        <v/>
      </c>
      <c r="AO202" s="38" t="e">
        <f>IF($C202="&lt;01",SUM($AN202),ROUND(SUM($AM202)*SUM($O202)/IF(SUM($Z202)=0,1,$Z202),0))</f>
        <v>#REF!</v>
      </c>
      <c r="AP202" s="218">
        <f>IF(OR($F202="",$C202="&lt;01"),$AO202,ROUND($F202,0))</f>
        <v>812</v>
      </c>
      <c r="AQ202" s="218">
        <f>IF(LEFT($B202,4)="_Mil","",IF(SUM($AP202)=0,SUM($Z202),IF(OR(SUM($Z202)=0,SUM($O202)=0),MAX($AP202,$Z202),ROUND($AP202*$Z202/$O202,0))))</f>
        <v>853</v>
      </c>
      <c r="AR202" s="33" t="e">
        <f>IF(OR(LEFT($B202,4)="_Mil",SUM($AK202)=0),"",SUM($AQ202)/$AK202)</f>
        <v>#REF!</v>
      </c>
      <c r="AS202" s="33">
        <f>IF($C202="&lt;01","",98%)</f>
        <v>0.98</v>
      </c>
      <c r="AT202" s="33">
        <f t="shared" si="49"/>
        <v>0.98</v>
      </c>
      <c r="AU202" s="38">
        <f>IF($C202="&lt;01","",SUM($AP202)-SUM($O202))</f>
        <v>4</v>
      </c>
      <c r="AV202" s="38">
        <f>IF($C202="&lt;01",ROUND(INDEX(EID!$N:$N,MATCH($B202,EID!$B:$B,0))/2,0),IF(SUM($AT202)=0,"",ROUND((SUM($AP202)-(SUM($O202)*SUM($AS202)))/$AT202,0)))</f>
        <v>21</v>
      </c>
      <c r="AW202" s="33">
        <f t="shared" si="42"/>
        <v>1</v>
      </c>
      <c r="AX202" s="218">
        <f>IF($C202="&lt;01",SUM($AV202),ROUND(SUM($AV202)*SUM($AW202),0))</f>
        <v>21</v>
      </c>
      <c r="AY202" s="79">
        <f t="shared" si="43"/>
        <v>0.7</v>
      </c>
      <c r="AZ202" s="85">
        <f>IF($C202="&lt;01",ROUND(INDEX(EID!$R:$R,MATCH($B202,EID!$B:$B,0))/2,0),ROUND(SUM($O202)+(SUM($AV202)*$AY202),0))</f>
        <v>823</v>
      </c>
      <c r="BA202" s="40">
        <f t="shared" si="47"/>
        <v>0.9</v>
      </c>
      <c r="BB202" s="99">
        <f>IF($C202="&lt;01",ROUND(INDEX(EID!$T:$T,MATCH($B202,EID!$B:$B,0))/2,0),ROUND($AP202*$BA202,0))</f>
        <v>731</v>
      </c>
      <c r="BC202" s="85">
        <f>IF(LEFT($B202,4)="_Mil","",IF(SUM($BB202)=0,SUM($AD202),IF(OR(SUM($AP202)=0,SUM($AQ202)=0),MAX($BB202,$AD202),ROUND($BB202*$AQ202/$AP202,0))))</f>
        <v>768</v>
      </c>
      <c r="BD202" s="33">
        <f t="shared" si="44"/>
        <v>0.95</v>
      </c>
      <c r="BE202" s="218">
        <f>IF($C202="&lt;01",ROUND(INDEX(EID!$V:$V,MATCH($B202,EID!$B:$B,0))/2,0),ROUND($BD202*$BB202,0))</f>
        <v>694</v>
      </c>
      <c r="BF202" s="218">
        <f>IF(LEFT($B202,4)="_Mil","",IF(SUM($BE202)=0,SUM($AF202),IF(OR(SUM($AP202)=0,SUM($AQ202)=0),MAX($BE202,$AF202),ROUND($BE202*$AQ202/$AP202,0))))</f>
        <v>729</v>
      </c>
      <c r="BG202" s="79">
        <f t="shared" si="45"/>
        <v>0.95</v>
      </c>
      <c r="BH202" s="99">
        <f>IF($C202="&lt;01",ROUND(INDEX(EID!$L:$L,MATCH($B202,EID!$B:$B,0)),0)/2,IF(SUM($BG202)=0,"",ROUND($AX202/$BG202,0)))</f>
        <v>22</v>
      </c>
    </row>
    <row r="203" spans="1:60" x14ac:dyDescent="0.2">
      <c r="A203" t="str">
        <f>INDEX(Prioritization!$D:$D,MATCH($B203,Prioritization!$A:$A,0))</f>
        <v>1 - Scale-up: Saturation</v>
      </c>
      <c r="B203" t="s">
        <v>318</v>
      </c>
      <c r="C203" t="s">
        <v>475</v>
      </c>
      <c r="D203" t="s">
        <v>30</v>
      </c>
      <c r="E203" t="str">
        <f t="shared" si="35"/>
        <v>Mangochi District [lLDyBx5XyUi]|15-24|Female</v>
      </c>
      <c r="F203" s="229">
        <v>3285</v>
      </c>
      <c r="G203" s="38">
        <v>939</v>
      </c>
      <c r="H203" s="38">
        <v>864</v>
      </c>
      <c r="I203" s="38">
        <v>3379</v>
      </c>
      <c r="J203" s="38">
        <v>3081</v>
      </c>
      <c r="K203" s="38">
        <v>2680</v>
      </c>
      <c r="L203" s="38">
        <v>272</v>
      </c>
      <c r="M203" s="38">
        <v>267</v>
      </c>
      <c r="N203" s="38">
        <v>3095</v>
      </c>
      <c r="O203" s="229">
        <v>3367</v>
      </c>
      <c r="P203" s="38">
        <v>2836</v>
      </c>
      <c r="Q203" s="38">
        <v>2692</v>
      </c>
      <c r="R203" s="38">
        <f t="shared" si="36"/>
        <v>-12</v>
      </c>
      <c r="S203" s="38">
        <f>IF(LEFT($B203,4)="_Mil","",_xlfn.IFNA(ROUND(INDEX(Spectrum!$N:$N,MATCH(RIGHT($B203,13)&amp;"|"&amp;$C203&amp;"|"&amp;$D203&amp;"|"&amp;S$14&amp;"|"&amp;"CY2023Q4",Spectrum!$R:$R,0)),0),""))</f>
        <v>3232</v>
      </c>
      <c r="T203" s="218">
        <f>IF(LEFT($B203,4)="_Mil","",_xlfn.IFNA(ROUND(INDEX(Spectrum!$N:$N,MATCH(RIGHT($B203,13)&amp;"|"&amp;$C203&amp;"|"&amp;$D203&amp;"|"&amp;T$14&amp;"|"&amp;"CY2024Q3",Spectrum!$R:$R,0)),0),""))</f>
        <v>159628</v>
      </c>
      <c r="U203" s="218">
        <f>IF(LEFT($B203,4)="_Mil","",_xlfn.IFNA(ROUND(INDEX(Spectrum!$N:$N,MATCH(RIGHT($B203,13)&amp;"|"&amp;$C203&amp;"|"&amp;$D203&amp;"|"&amp;U$14&amp;"|"&amp;"CY2024Q3",Spectrum!$R:$R,0)),0),""))</f>
        <v>3536</v>
      </c>
      <c r="V203" s="38">
        <f>IF(LEFT($B203,4)="_Mil","",_xlfn.IFNA(ROUND(INDEX(Spectrum!$N:$N,MATCH(RIGHT($B203,13)&amp;"|"&amp;$C203&amp;"|"&amp;$D203&amp;"|"&amp;V$14&amp;"|"&amp;"CY2024Q3",Spectrum!$R:$R,0)),0),""))</f>
        <v>3367</v>
      </c>
      <c r="W203" s="220">
        <f>IF(LEFT($B203,4)="_Mil","",_xlfn.IFNA(INDEX(Spectrum!$N:$N,MATCH(RIGHT($B203,13)&amp;"|"&amp;$C203&amp;"|"&amp;$D203&amp;"|"&amp;W$14&amp;"|"&amp;"CY2024Q3",Spectrum!$R:$R,0)),""))</f>
        <v>2.2151093E-2</v>
      </c>
      <c r="X203" s="218">
        <f>IF(LEFT($B203,4)="_Mil","",_xlfn.IFNA(ROUND(INDEX(Spectrum!$N:$N,MATCH(RIGHT($B203,13)&amp;"|"&amp;$C203&amp;"|"&amp;$D203&amp;"|"&amp;X$14&amp;"|"&amp;"CY2024Q3",Spectrum!$R:$R,0)),0),""))</f>
        <v>3336</v>
      </c>
      <c r="Y203" s="33">
        <f t="shared" si="37"/>
        <v>0.94</v>
      </c>
      <c r="Z203" s="218">
        <f>IF(LEFT($B203,4)="_Mil","",_xlfn.IFNA(ROUND(INDEX(Spectrum!$N:$N,MATCH(RIGHT($B203,13)&amp;"|"&amp;$C203&amp;"|"&amp;$D203&amp;"|"&amp;Z$14&amp;"|"&amp;"CY2024Q3",Spectrum!$R:$R,0)),0),""))</f>
        <v>3175</v>
      </c>
      <c r="AA203" s="33">
        <f>IF(LEFT($B203,4)="_Mil","",IFERROR(1/(1/INDEX(Spectrum!$N:$N,MATCH(RIGHT($B203,13)&amp;"|"&amp;$C203&amp;"|"&amp;$D203&amp;"|"&amp;AA$14&amp;"|"&amp;"CY2024Q3",Spectrum!$R:$R,0))),IF(SUM($U203)=0,"",SUM($Z203)/$U203)))</f>
        <v>0.94357294599999997</v>
      </c>
      <c r="AB203" s="33">
        <f t="shared" si="38"/>
        <v>0.9517386091127098</v>
      </c>
      <c r="AC203" s="38">
        <f>IF(LEFT($B203,4)="_Mil","",_xlfn.IFNA(ROUND(INDEX(Spectrum!$N:$N,MATCH(RIGHT($B203,13)&amp;"|"&amp;$C203&amp;"|"&amp;$D203&amp;"|"&amp;AC$14&amp;"|"&amp;"CY2024Q3",Spectrum!$R:$R,0)),0),""))</f>
        <v>193</v>
      </c>
      <c r="AD203" s="38" t="str">
        <f>IF(LEFT($B203,4)="_Mil","",_xlfn.IFNA(ROUND(INDEX(Spectrum!$N:$N,MATCH(RIGHT($B203,13)&amp;"|"&amp;$C203&amp;"|"&amp;$D203&amp;"|"&amp;AD$14&amp;"|"&amp;"CY2024Q3",Spectrum!$R:$R,0)),0),""))</f>
        <v/>
      </c>
      <c r="AE203" s="33">
        <f t="shared" si="39"/>
        <v>0</v>
      </c>
      <c r="AF203" s="218" t="str">
        <f>IF(LEFT($B203,4)="_Mil","",_xlfn.IFNA(ROUND(INDEX(Spectrum!$N:$N,MATCH(RIGHT($B203,13)&amp;"|"&amp;$C203&amp;"|"&amp;$D203&amp;"|"&amp;AF$14&amp;"|"&amp;"CY2024Q3",Spectrum!$R:$R,0)),0),""))</f>
        <v/>
      </c>
      <c r="AG203" s="33" t="str">
        <f t="shared" si="40"/>
        <v/>
      </c>
      <c r="AH203" s="110" t="str">
        <f>IF(LEFT($B203,4)="_Mil","",_xlfn.IFNA(INDEX(Spectrum!$N:$N,MATCH(RIGHT($B203,13)&amp;"|"&amp;$C203&amp;"|"&amp;$D203&amp;"|"&amp;AH$14&amp;"|"&amp;"CY2024Q3",Spectrum!$R:$R,0)),""))</f>
        <v/>
      </c>
      <c r="AI203" s="218">
        <f>IF(LEFT($B203,4)="_Mil","",_xlfn.IFNA(ROUND(INDEX(Spectrum!$N:$N,MATCH(RIGHT($B203,13)&amp;"|"&amp;$C203&amp;"|"&amp;$D203&amp;"|"&amp;AI$14&amp;"|"&amp;"CY2025Q3",Spectrum!$R:$R,0)),0),""))</f>
        <v>202</v>
      </c>
      <c r="AJ203" s="38">
        <f>IF(LEFT($B203,4)="_Mil","",_xlfn.IFNA(ROUND(INDEX(Spectrum!$N:$N,MATCH(RIGHT($B203,13)&amp;"|"&amp;$C203&amp;"|"&amp;$D203&amp;"|"&amp;AJ$14&amp;"|"&amp;"CY2025Q3",Spectrum!$R:$R,0)),0),""))</f>
        <v>3450</v>
      </c>
      <c r="AK203" s="218" t="e">
        <f>#REF!</f>
        <v>#REF!</v>
      </c>
      <c r="AL203" s="33">
        <f t="shared" si="41"/>
        <v>0.94357294599999997</v>
      </c>
      <c r="AM203" s="38" t="e">
        <f>IF(OR(LEFT($B203,4)="_Mil",$C203="&lt;01"),"",ROUND(SUM($AK203)*SUM($AL203),0))</f>
        <v>#REF!</v>
      </c>
      <c r="AN203" s="38" t="str">
        <f>IF($C203="&lt;01",ROUND(INDEX(EID!$P:$P,MATCH($B203,EID!$B:$B,0))/2,0),"")</f>
        <v/>
      </c>
      <c r="AO203" s="38" t="e">
        <f>IF($C203="&lt;01",SUM($AN203),ROUND(SUM($AM203)*SUM($O203)/IF(SUM($Z203)=0,1,$Z203),0))</f>
        <v>#REF!</v>
      </c>
      <c r="AP203" s="218">
        <f>IF(OR($F203="",$C203="&lt;01"),$AO203,ROUND($F203,0))</f>
        <v>3285</v>
      </c>
      <c r="AQ203" s="218">
        <f>IF(LEFT($B203,4)="_Mil","",IF(SUM($AP203)=0,SUM($Z203),IF(OR(SUM($Z203)=0,SUM($O203)=0),MAX($AP203,$Z203),ROUND($AP203*$Z203/$O203,0))))</f>
        <v>3098</v>
      </c>
      <c r="AR203" s="33" t="e">
        <f>IF(OR(LEFT($B203,4)="_Mil",SUM($AK203)=0),"",SUM($AQ203)/$AK203)</f>
        <v>#REF!</v>
      </c>
      <c r="AS203" s="33">
        <f>IF($C203="&lt;01","",83%)</f>
        <v>0.83</v>
      </c>
      <c r="AT203" s="33">
        <f>IF($C203="&lt;01","",90%)</f>
        <v>0.9</v>
      </c>
      <c r="AU203" s="38">
        <f>IF($C203="&lt;01","",SUM($AP203)-SUM($O203))</f>
        <v>-82</v>
      </c>
      <c r="AV203" s="38">
        <f>IF($C203="&lt;01",ROUND(INDEX(EID!$N:$N,MATCH($B203,EID!$B:$B,0))/2,0),IF(SUM($AT203)=0,"",ROUND((SUM($AP203)-(SUM($O203)*SUM($AS203)))/$AT203,0)))</f>
        <v>545</v>
      </c>
      <c r="AW203" s="33">
        <f t="shared" si="42"/>
        <v>1</v>
      </c>
      <c r="AX203" s="218">
        <f>IF($C203="&lt;01",SUM($AV203),ROUND(SUM($AV203)*SUM($AW203),0))</f>
        <v>545</v>
      </c>
      <c r="AY203" s="79">
        <f t="shared" si="43"/>
        <v>0.7</v>
      </c>
      <c r="AZ203" s="85">
        <f>IF($C203="&lt;01",ROUND(INDEX(EID!$R:$R,MATCH($B203,EID!$B:$B,0))/2,0),ROUND(SUM($O203)+(SUM($AV203)*$AY203),0))</f>
        <v>3749</v>
      </c>
      <c r="BA203" s="40">
        <f t="shared" si="47"/>
        <v>0.9</v>
      </c>
      <c r="BB203" s="99">
        <f>IF($C203="&lt;01",ROUND(INDEX(EID!$T:$T,MATCH($B203,EID!$B:$B,0))/2,0),ROUND($AP203*$BA203,0))</f>
        <v>2957</v>
      </c>
      <c r="BC203" s="85">
        <f>IF(LEFT($B203,4)="_Mil","",IF(SUM($BB203)=0,SUM($AD203),IF(OR(SUM($AP203)=0,SUM($AQ203)=0),MAX($BB203,$AD203),ROUND($BB203*$AQ203/$AP203,0))))</f>
        <v>2789</v>
      </c>
      <c r="BD203" s="33">
        <f t="shared" si="44"/>
        <v>0.95</v>
      </c>
      <c r="BE203" s="218">
        <f>IF($C203="&lt;01",ROUND(INDEX(EID!$V:$V,MATCH($B203,EID!$B:$B,0))/2,0),ROUND($BD203*$BB203,0))</f>
        <v>2809</v>
      </c>
      <c r="BF203" s="218">
        <f>IF(LEFT($B203,4)="_Mil","",IF(SUM($BE203)=0,SUM($AF203),IF(OR(SUM($AP203)=0,SUM($AQ203)=0),MAX($BE203,$AF203),ROUND($BE203*$AQ203/$AP203,0))))</f>
        <v>2649</v>
      </c>
      <c r="BG203" s="79">
        <f t="shared" si="45"/>
        <v>0.95</v>
      </c>
      <c r="BH203" s="99">
        <f>IF($C203="&lt;01",ROUND(INDEX(EID!$L:$L,MATCH($B203,EID!$B:$B,0)),0)/2,IF(SUM($BG203)=0,"",ROUND($AX203/$BG203,0)))</f>
        <v>574</v>
      </c>
    </row>
    <row r="204" spans="1:60" x14ac:dyDescent="0.2">
      <c r="A204" t="str">
        <f>INDEX(Prioritization!$D:$D,MATCH($B204,Prioritization!$A:$A,0))</f>
        <v>1 - Scale-up: Saturation</v>
      </c>
      <c r="B204" t="s">
        <v>318</v>
      </c>
      <c r="C204" t="s">
        <v>475</v>
      </c>
      <c r="D204" t="s">
        <v>48</v>
      </c>
      <c r="E204" t="str">
        <f t="shared" si="35"/>
        <v>Mangochi District [lLDyBx5XyUi]|15-24|Male</v>
      </c>
      <c r="F204" s="229">
        <v>1691</v>
      </c>
      <c r="G204" s="38">
        <v>179</v>
      </c>
      <c r="H204" s="38">
        <v>131</v>
      </c>
      <c r="I204" s="38">
        <v>1176</v>
      </c>
      <c r="J204" s="38">
        <v>801</v>
      </c>
      <c r="K204" s="38">
        <v>639</v>
      </c>
      <c r="L204" s="38">
        <v>286</v>
      </c>
      <c r="M204" s="38">
        <v>273</v>
      </c>
      <c r="N204" s="38">
        <v>1908</v>
      </c>
      <c r="O204" s="229">
        <v>1615</v>
      </c>
      <c r="P204" s="38">
        <v>1669</v>
      </c>
      <c r="Q204" s="38">
        <v>1587</v>
      </c>
      <c r="R204" s="38">
        <f t="shared" si="36"/>
        <v>439</v>
      </c>
      <c r="S204" s="38">
        <f>IF(LEFT($B204,4)="_Mil","",_xlfn.IFNA(ROUND(INDEX(Spectrum!$N:$N,MATCH(RIGHT($B204,13)&amp;"|"&amp;$C204&amp;"|"&amp;$D204&amp;"|"&amp;S$14&amp;"|"&amp;"CY2023Q4",Spectrum!$R:$R,0)),0),""))</f>
        <v>1880</v>
      </c>
      <c r="T204" s="218">
        <f>IF(LEFT($B204,4)="_Mil","",_xlfn.IFNA(ROUND(INDEX(Spectrum!$N:$N,MATCH(RIGHT($B204,13)&amp;"|"&amp;$C204&amp;"|"&amp;$D204&amp;"|"&amp;T$14&amp;"|"&amp;"CY2024Q3",Spectrum!$R:$R,0)),0),""))</f>
        <v>141560</v>
      </c>
      <c r="U204" s="218">
        <f>IF(LEFT($B204,4)="_Mil","",_xlfn.IFNA(ROUND(INDEX(Spectrum!$N:$N,MATCH(RIGHT($B204,13)&amp;"|"&amp;$C204&amp;"|"&amp;$D204&amp;"|"&amp;U$14&amp;"|"&amp;"CY2024Q3",Spectrum!$R:$R,0)),0),""))</f>
        <v>2256</v>
      </c>
      <c r="V204" s="38">
        <f>IF(LEFT($B204,4)="_Mil","",_xlfn.IFNA(ROUND(INDEX(Spectrum!$N:$N,MATCH(RIGHT($B204,13)&amp;"|"&amp;$C204&amp;"|"&amp;$D204&amp;"|"&amp;V$14&amp;"|"&amp;"CY2024Q3",Spectrum!$R:$R,0)),0),""))</f>
        <v>2153</v>
      </c>
      <c r="W204" s="220">
        <f>IF(LEFT($B204,4)="_Mil","",_xlfn.IFNA(INDEX(Spectrum!$N:$N,MATCH(RIGHT($B204,13)&amp;"|"&amp;$C204&amp;"|"&amp;$D204&amp;"|"&amp;W$14&amp;"|"&amp;"CY2024Q3",Spectrum!$R:$R,0)),""))</f>
        <v>1.5937185999999999E-2</v>
      </c>
      <c r="X204" s="218">
        <f>IF(LEFT($B204,4)="_Mil","",_xlfn.IFNA(ROUND(INDEX(Spectrum!$N:$N,MATCH(RIGHT($B204,13)&amp;"|"&amp;$C204&amp;"|"&amp;$D204&amp;"|"&amp;X$14&amp;"|"&amp;"CY2024Q3",Spectrum!$R:$R,0)),0),""))</f>
        <v>2070</v>
      </c>
      <c r="Y204" s="33">
        <f t="shared" si="37"/>
        <v>0.92</v>
      </c>
      <c r="Z204" s="218">
        <f>IF(LEFT($B204,4)="_Mil","",_xlfn.IFNA(ROUND(INDEX(Spectrum!$N:$N,MATCH(RIGHT($B204,13)&amp;"|"&amp;$C204&amp;"|"&amp;$D204&amp;"|"&amp;Z$14&amp;"|"&amp;"CY2024Q3",Spectrum!$R:$R,0)),0),""))</f>
        <v>1964</v>
      </c>
      <c r="AA204" s="33">
        <f>IF(LEFT($B204,4)="_Mil","",IFERROR(1/(1/INDEX(Spectrum!$N:$N,MATCH(RIGHT($B204,13)&amp;"|"&amp;$C204&amp;"|"&amp;$D204&amp;"|"&amp;AA$14&amp;"|"&amp;"CY2024Q3",Spectrum!$R:$R,0))),IF(SUM($U204)=0,"",SUM($Z204)/$U204)))</f>
        <v>0.91517324900000008</v>
      </c>
      <c r="AB204" s="33">
        <f t="shared" si="38"/>
        <v>0.94879227053140092</v>
      </c>
      <c r="AC204" s="38">
        <f>IF(LEFT($B204,4)="_Mil","",_xlfn.IFNA(ROUND(INDEX(Spectrum!$N:$N,MATCH(RIGHT($B204,13)&amp;"|"&amp;$C204&amp;"|"&amp;$D204&amp;"|"&amp;AC$14&amp;"|"&amp;"CY2024Q3",Spectrum!$R:$R,0)),0),""))</f>
        <v>189</v>
      </c>
      <c r="AD204" s="38" t="str">
        <f>IF(LEFT($B204,4)="_Mil","",_xlfn.IFNA(ROUND(INDEX(Spectrum!$N:$N,MATCH(RIGHT($B204,13)&amp;"|"&amp;$C204&amp;"|"&amp;$D204&amp;"|"&amp;AD$14&amp;"|"&amp;"CY2024Q3",Spectrum!$R:$R,0)),0),""))</f>
        <v/>
      </c>
      <c r="AE204" s="33">
        <f t="shared" si="39"/>
        <v>0</v>
      </c>
      <c r="AF204" s="218" t="str">
        <f>IF(LEFT($B204,4)="_Mil","",_xlfn.IFNA(ROUND(INDEX(Spectrum!$N:$N,MATCH(RIGHT($B204,13)&amp;"|"&amp;$C204&amp;"|"&amp;$D204&amp;"|"&amp;AF$14&amp;"|"&amp;"CY2024Q3",Spectrum!$R:$R,0)),0),""))</f>
        <v/>
      </c>
      <c r="AG204" s="33" t="str">
        <f t="shared" si="40"/>
        <v/>
      </c>
      <c r="AH204" s="110" t="str">
        <f>IF(LEFT($B204,4)="_Mil","",_xlfn.IFNA(INDEX(Spectrum!$N:$N,MATCH(RIGHT($B204,13)&amp;"|"&amp;$C204&amp;"|"&amp;$D204&amp;"|"&amp;AH$14&amp;"|"&amp;"CY2024Q3",Spectrum!$R:$R,0)),""))</f>
        <v/>
      </c>
      <c r="AI204" s="218">
        <f>IF(LEFT($B204,4)="_Mil","",_xlfn.IFNA(ROUND(INDEX(Spectrum!$N:$N,MATCH(RIGHT($B204,13)&amp;"|"&amp;$C204&amp;"|"&amp;$D204&amp;"|"&amp;AI$14&amp;"|"&amp;"CY2025Q3",Spectrum!$R:$R,0)),0),""))</f>
        <v>29</v>
      </c>
      <c r="AJ204" s="38">
        <f>IF(LEFT($B204,4)="_Mil","",_xlfn.IFNA(ROUND(INDEX(Spectrum!$N:$N,MATCH(RIGHT($B204,13)&amp;"|"&amp;$C204&amp;"|"&amp;$D204&amp;"|"&amp;AJ$14&amp;"|"&amp;"CY2025Q3",Spectrum!$R:$R,0)),0),""))</f>
        <v>2294</v>
      </c>
      <c r="AK204" s="218" t="e">
        <f>#REF!</f>
        <v>#REF!</v>
      </c>
      <c r="AL204" s="33">
        <f t="shared" si="41"/>
        <v>0.91517324900000008</v>
      </c>
      <c r="AM204" s="38" t="e">
        <f>IF(OR(LEFT($B204,4)="_Mil",$C204="&lt;01"),"",ROUND(SUM($AK204)*SUM($AL204),0))</f>
        <v>#REF!</v>
      </c>
      <c r="AN204" s="38" t="str">
        <f>IF($C204="&lt;01",ROUND(INDEX(EID!$P:$P,MATCH($B204,EID!$B:$B,0))/2,0),"")</f>
        <v/>
      </c>
      <c r="AO204" s="38" t="e">
        <f>IF($C204="&lt;01",SUM($AN204),ROUND(SUM($AM204)*SUM($O204)/IF(SUM($Z204)=0,1,$Z204),0))</f>
        <v>#REF!</v>
      </c>
      <c r="AP204" s="218">
        <f>IF(OR($F204="",$C204="&lt;01"),$AO204,ROUND($F204,0))</f>
        <v>1691</v>
      </c>
      <c r="AQ204" s="218">
        <f>IF(LEFT($B204,4)="_Mil","",IF(SUM($AP204)=0,SUM($Z204),IF(OR(SUM($Z204)=0,SUM($O204)=0),MAX($AP204,$Z204),ROUND($AP204*$Z204/$O204,0))))</f>
        <v>2056</v>
      </c>
      <c r="AR204" s="33" t="e">
        <f>IF(OR(LEFT($B204,4)="_Mil",SUM($AK204)=0),"",SUM($AQ204)/$AK204)</f>
        <v>#REF!</v>
      </c>
      <c r="AS204" s="33">
        <f>IF($C204="&lt;01","",98%)</f>
        <v>0.98</v>
      </c>
      <c r="AT204" s="33">
        <f t="shared" si="49"/>
        <v>0.98</v>
      </c>
      <c r="AU204" s="38">
        <f>IF($C204="&lt;01","",SUM($AP204)-SUM($O204))</f>
        <v>76</v>
      </c>
      <c r="AV204" s="38">
        <f>IF($C204="&lt;01",ROUND(INDEX(EID!$N:$N,MATCH($B204,EID!$B:$B,0))/2,0),IF(SUM($AT204)=0,"",ROUND((SUM($AP204)-(SUM($O204)*SUM($AS204)))/$AT204,0)))</f>
        <v>111</v>
      </c>
      <c r="AW204" s="33">
        <f t="shared" si="42"/>
        <v>1</v>
      </c>
      <c r="AX204" s="218">
        <f>IF($C204="&lt;01",SUM($AV204),ROUND(SUM($AV204)*SUM($AW204),0))</f>
        <v>111</v>
      </c>
      <c r="AY204" s="79">
        <f t="shared" si="43"/>
        <v>0.7</v>
      </c>
      <c r="AZ204" s="85">
        <f>IF($C204="&lt;01",ROUND(INDEX(EID!$R:$R,MATCH($B204,EID!$B:$B,0))/2,0),ROUND(SUM($O204)+(SUM($AV204)*$AY204),0))</f>
        <v>1693</v>
      </c>
      <c r="BA204" s="40">
        <f t="shared" si="47"/>
        <v>0.9</v>
      </c>
      <c r="BB204" s="99">
        <f>IF($C204="&lt;01",ROUND(INDEX(EID!$T:$T,MATCH($B204,EID!$B:$B,0))/2,0),ROUND($AP204*$BA204,0))</f>
        <v>1522</v>
      </c>
      <c r="BC204" s="85">
        <f>IF(LEFT($B204,4)="_Mil","",IF(SUM($BB204)=0,SUM($AD204),IF(OR(SUM($AP204)=0,SUM($AQ204)=0),MAX($BB204,$AD204),ROUND($BB204*$AQ204/$AP204,0))))</f>
        <v>1851</v>
      </c>
      <c r="BD204" s="33">
        <f t="shared" si="44"/>
        <v>0.95</v>
      </c>
      <c r="BE204" s="218">
        <f>IF($C204="&lt;01",ROUND(INDEX(EID!$V:$V,MATCH($B204,EID!$B:$B,0))/2,0),ROUND($BD204*$BB204,0))</f>
        <v>1446</v>
      </c>
      <c r="BF204" s="218">
        <f>IF(LEFT($B204,4)="_Mil","",IF(SUM($BE204)=0,SUM($AF204),IF(OR(SUM($AP204)=0,SUM($AQ204)=0),MAX($BE204,$AF204),ROUND($BE204*$AQ204/$AP204,0))))</f>
        <v>1758</v>
      </c>
      <c r="BG204" s="79">
        <f t="shared" si="45"/>
        <v>0.95</v>
      </c>
      <c r="BH204" s="99">
        <f>IF($C204="&lt;01",ROUND(INDEX(EID!$L:$L,MATCH($B204,EID!$B:$B,0)),0)/2,IF(SUM($BG204)=0,"",ROUND($AX204/$BG204,0)))</f>
        <v>117</v>
      </c>
    </row>
    <row r="205" spans="1:60" x14ac:dyDescent="0.2">
      <c r="A205" t="str">
        <f>INDEX(Prioritization!$D:$D,MATCH($B205,Prioritization!$A:$A,0))</f>
        <v>1 - Scale-up: Saturation</v>
      </c>
      <c r="B205" t="s">
        <v>318</v>
      </c>
      <c r="C205" t="s">
        <v>476</v>
      </c>
      <c r="D205" t="s">
        <v>30</v>
      </c>
      <c r="E205" t="str">
        <f t="shared" si="35"/>
        <v>Mangochi District [lLDyBx5XyUi]|25-34|Female</v>
      </c>
      <c r="F205" s="229">
        <v>7831</v>
      </c>
      <c r="G205" s="38">
        <v>1079</v>
      </c>
      <c r="H205" s="38">
        <v>1035</v>
      </c>
      <c r="I205" s="38">
        <v>9658</v>
      </c>
      <c r="J205" s="38">
        <v>9325</v>
      </c>
      <c r="K205" s="38">
        <v>8590</v>
      </c>
      <c r="L205" s="38">
        <v>686</v>
      </c>
      <c r="M205" s="38">
        <v>672</v>
      </c>
      <c r="N205" s="38">
        <v>7798</v>
      </c>
      <c r="O205" s="229">
        <v>8397</v>
      </c>
      <c r="P205" s="38">
        <v>7144</v>
      </c>
      <c r="Q205" s="38">
        <v>6786</v>
      </c>
      <c r="R205" s="38">
        <f t="shared" si="36"/>
        <v>-1261</v>
      </c>
      <c r="S205" s="38">
        <f>IF(LEFT($B205,4)="_Mil","",_xlfn.IFNA(ROUND(INDEX(Spectrum!$N:$N,MATCH(RIGHT($B205,13)&amp;"|"&amp;$C205&amp;"|"&amp;$D205&amp;"|"&amp;S$14&amp;"|"&amp;"CY2023Q4",Spectrum!$R:$R,0)),0),""))</f>
        <v>8588</v>
      </c>
      <c r="T205" s="218">
        <f>IF(LEFT($B205,4)="_Mil","",_xlfn.IFNA(ROUND(INDEX(Spectrum!$N:$N,MATCH(RIGHT($B205,13)&amp;"|"&amp;$C205&amp;"|"&amp;$D205&amp;"|"&amp;T$14&amp;"|"&amp;"CY2024Q3",Spectrum!$R:$R,0)),0),""))</f>
        <v>106616</v>
      </c>
      <c r="U205" s="218">
        <f>IF(LEFT($B205,4)="_Mil","",_xlfn.IFNA(ROUND(INDEX(Spectrum!$N:$N,MATCH(RIGHT($B205,13)&amp;"|"&amp;$C205&amp;"|"&amp;$D205&amp;"|"&amp;U$14&amp;"|"&amp;"CY2024Q3",Spectrum!$R:$R,0)),0),""))</f>
        <v>8827</v>
      </c>
      <c r="V205" s="38">
        <f>IF(LEFT($B205,4)="_Mil","",_xlfn.IFNA(ROUND(INDEX(Spectrum!$N:$N,MATCH(RIGHT($B205,13)&amp;"|"&amp;$C205&amp;"|"&amp;$D205&amp;"|"&amp;V$14&amp;"|"&amp;"CY2024Q3",Spectrum!$R:$R,0)),0),""))</f>
        <v>8397</v>
      </c>
      <c r="W205" s="220">
        <f>IF(LEFT($B205,4)="_Mil","",_xlfn.IFNA(INDEX(Spectrum!$N:$N,MATCH(RIGHT($B205,13)&amp;"|"&amp;$C205&amp;"|"&amp;$D205&amp;"|"&amp;W$14&amp;"|"&amp;"CY2024Q3",Spectrum!$R:$R,0)),""))</f>
        <v>8.2788924E-2</v>
      </c>
      <c r="X205" s="218">
        <f>IF(LEFT($B205,4)="_Mil","",_xlfn.IFNA(ROUND(INDEX(Spectrum!$N:$N,MATCH(RIGHT($B205,13)&amp;"|"&amp;$C205&amp;"|"&amp;$D205&amp;"|"&amp;X$14&amp;"|"&amp;"CY2024Q3",Spectrum!$R:$R,0)),0),""))</f>
        <v>8562</v>
      </c>
      <c r="Y205" s="33">
        <f t="shared" si="37"/>
        <v>0.97</v>
      </c>
      <c r="Z205" s="218">
        <f>IF(LEFT($B205,4)="_Mil","",_xlfn.IFNA(ROUND(INDEX(Spectrum!$N:$N,MATCH(RIGHT($B205,13)&amp;"|"&amp;$C205&amp;"|"&amp;$D205&amp;"|"&amp;Z$14&amp;"|"&amp;"CY2024Q3",Spectrum!$R:$R,0)),0),""))</f>
        <v>8146</v>
      </c>
      <c r="AA205" s="33">
        <f>IF(LEFT($B205,4)="_Mil","",IFERROR(1/(1/INDEX(Spectrum!$N:$N,MATCH(RIGHT($B205,13)&amp;"|"&amp;$C205&amp;"|"&amp;$D205&amp;"|"&amp;AA$14&amp;"|"&amp;"CY2024Q3",Spectrum!$R:$R,0))),IF(SUM($U205)=0,"",SUM($Z205)/$U205)))</f>
        <v>0.970080057</v>
      </c>
      <c r="AB205" s="33">
        <f t="shared" si="38"/>
        <v>0.95141322120999772</v>
      </c>
      <c r="AC205" s="38">
        <f>IF(LEFT($B205,4)="_Mil","",_xlfn.IFNA(ROUND(INDEX(Spectrum!$N:$N,MATCH(RIGHT($B205,13)&amp;"|"&amp;$C205&amp;"|"&amp;$D205&amp;"|"&amp;AC$14&amp;"|"&amp;"CY2024Q3",Spectrum!$R:$R,0)),0),""))</f>
        <v>250</v>
      </c>
      <c r="AD205" s="38" t="str">
        <f>IF(LEFT($B205,4)="_Mil","",_xlfn.IFNA(ROUND(INDEX(Spectrum!$N:$N,MATCH(RIGHT($B205,13)&amp;"|"&amp;$C205&amp;"|"&amp;$D205&amp;"|"&amp;AD$14&amp;"|"&amp;"CY2024Q3",Spectrum!$R:$R,0)),0),""))</f>
        <v/>
      </c>
      <c r="AE205" s="33">
        <f t="shared" si="39"/>
        <v>0</v>
      </c>
      <c r="AF205" s="218" t="str">
        <f>IF(LEFT($B205,4)="_Mil","",_xlfn.IFNA(ROUND(INDEX(Spectrum!$N:$N,MATCH(RIGHT($B205,13)&amp;"|"&amp;$C205&amp;"|"&amp;$D205&amp;"|"&amp;AF$14&amp;"|"&amp;"CY2024Q3",Spectrum!$R:$R,0)),0),""))</f>
        <v/>
      </c>
      <c r="AG205" s="33" t="str">
        <f t="shared" si="40"/>
        <v/>
      </c>
      <c r="AH205" s="110" t="str">
        <f>IF(LEFT($B205,4)="_Mil","",_xlfn.IFNA(INDEX(Spectrum!$N:$N,MATCH(RIGHT($B205,13)&amp;"|"&amp;$C205&amp;"|"&amp;$D205&amp;"|"&amp;AH$14&amp;"|"&amp;"CY2024Q3",Spectrum!$R:$R,0)),""))</f>
        <v/>
      </c>
      <c r="AI205" s="218">
        <f>IF(LEFT($B205,4)="_Mil","",_xlfn.IFNA(ROUND(INDEX(Spectrum!$N:$N,MATCH(RIGHT($B205,13)&amp;"|"&amp;$C205&amp;"|"&amp;$D205&amp;"|"&amp;AI$14&amp;"|"&amp;"CY2025Q3",Spectrum!$R:$R,0)),0),""))</f>
        <v>196</v>
      </c>
      <c r="AJ205" s="38">
        <f>IF(LEFT($B205,4)="_Mil","",_xlfn.IFNA(ROUND(INDEX(Spectrum!$N:$N,MATCH(RIGHT($B205,13)&amp;"|"&amp;$C205&amp;"|"&amp;$D205&amp;"|"&amp;AJ$14&amp;"|"&amp;"CY2025Q3",Spectrum!$R:$R,0)),0),""))</f>
        <v>8231</v>
      </c>
      <c r="AK205" s="218" t="e">
        <f>#REF!</f>
        <v>#REF!</v>
      </c>
      <c r="AL205" s="33">
        <f t="shared" si="41"/>
        <v>0.970080057</v>
      </c>
      <c r="AM205" s="38" t="e">
        <f>IF(OR(LEFT($B205,4)="_Mil",$C205="&lt;01"),"",ROUND(SUM($AK205)*SUM($AL205),0))</f>
        <v>#REF!</v>
      </c>
      <c r="AN205" s="38" t="str">
        <f>IF($C205="&lt;01",ROUND(INDEX(EID!$P:$P,MATCH($B205,EID!$B:$B,0))/2,0),"")</f>
        <v/>
      </c>
      <c r="AO205" s="38" t="e">
        <f>IF($C205="&lt;01",SUM($AN205),ROUND(SUM($AM205)*SUM($O205)/IF(SUM($Z205)=0,1,$Z205),0))</f>
        <v>#REF!</v>
      </c>
      <c r="AP205" s="218">
        <f>IF(OR($F205="",$C205="&lt;01"),$AO205,ROUND($F205,0))</f>
        <v>7831</v>
      </c>
      <c r="AQ205" s="218">
        <f>IF(LEFT($B205,4)="_Mil","",IF(SUM($AP205)=0,SUM($Z205),IF(OR(SUM($Z205)=0,SUM($O205)=0),MAX($AP205,$Z205),ROUND($AP205*$Z205/$O205,0))))</f>
        <v>7597</v>
      </c>
      <c r="AR205" s="33" t="e">
        <f>IF(OR(LEFT($B205,4)="_Mil",SUM($AK205)=0),"",SUM($AQ205)/$AK205)</f>
        <v>#REF!</v>
      </c>
      <c r="AS205" s="33">
        <f>IF($C205="&lt;01","",86%)</f>
        <v>0.86</v>
      </c>
      <c r="AT205" s="33">
        <f>IF($C205="&lt;01","",90%)</f>
        <v>0.9</v>
      </c>
      <c r="AU205" s="38">
        <f>IF($C205="&lt;01","",SUM($AP205)-SUM($O205))</f>
        <v>-566</v>
      </c>
      <c r="AV205" s="38">
        <f>IF($C205="&lt;01",ROUND(INDEX(EID!$N:$N,MATCH($B205,EID!$B:$B,0))/2,0),IF(SUM($AT205)=0,"",ROUND((SUM($AP205)-(SUM($O205)*SUM($AS205)))/$AT205,0)))</f>
        <v>677</v>
      </c>
      <c r="AW205" s="33">
        <f t="shared" si="42"/>
        <v>1</v>
      </c>
      <c r="AX205" s="218">
        <f>IF($C205="&lt;01",SUM($AV205),ROUND(SUM($AV205)*SUM($AW205),0))</f>
        <v>677</v>
      </c>
      <c r="AY205" s="79">
        <f t="shared" si="43"/>
        <v>0.7</v>
      </c>
      <c r="AZ205" s="85">
        <f>IF($C205="&lt;01",ROUND(INDEX(EID!$R:$R,MATCH($B205,EID!$B:$B,0))/2,0),ROUND(SUM($O205)+(SUM($AV205)*$AY205),0))</f>
        <v>8871</v>
      </c>
      <c r="BA205" s="40">
        <f t="shared" si="47"/>
        <v>0.9</v>
      </c>
      <c r="BB205" s="99">
        <f>IF($C205="&lt;01",ROUND(INDEX(EID!$T:$T,MATCH($B205,EID!$B:$B,0))/2,0),ROUND($AP205*$BA205,0))</f>
        <v>7048</v>
      </c>
      <c r="BC205" s="85">
        <f>IF(LEFT($B205,4)="_Mil","",IF(SUM($BB205)=0,SUM($AD205),IF(OR(SUM($AP205)=0,SUM($AQ205)=0),MAX($BB205,$AD205),ROUND($BB205*$AQ205/$AP205,0))))</f>
        <v>6837</v>
      </c>
      <c r="BD205" s="33">
        <f t="shared" si="44"/>
        <v>0.95</v>
      </c>
      <c r="BE205" s="218">
        <f>IF($C205="&lt;01",ROUND(INDEX(EID!$V:$V,MATCH($B205,EID!$B:$B,0))/2,0),ROUND($BD205*$BB205,0))</f>
        <v>6696</v>
      </c>
      <c r="BF205" s="218">
        <f>IF(LEFT($B205,4)="_Mil","",IF(SUM($BE205)=0,SUM($AF205),IF(OR(SUM($AP205)=0,SUM($AQ205)=0),MAX($BE205,$AF205),ROUND($BE205*$AQ205/$AP205,0))))</f>
        <v>6496</v>
      </c>
      <c r="BG205" s="79">
        <f t="shared" si="45"/>
        <v>0.95</v>
      </c>
      <c r="BH205" s="99">
        <f>IF($C205="&lt;01",ROUND(INDEX(EID!$L:$L,MATCH($B205,EID!$B:$B,0)),0)/2,IF(SUM($BG205)=0,"",ROUND($AX205/$BG205,0)))</f>
        <v>713</v>
      </c>
    </row>
    <row r="206" spans="1:60" x14ac:dyDescent="0.2">
      <c r="A206" t="str">
        <f>INDEX(Prioritization!$D:$D,MATCH($B206,Prioritization!$A:$A,0))</f>
        <v>1 - Scale-up: Saturation</v>
      </c>
      <c r="B206" t="s">
        <v>318</v>
      </c>
      <c r="C206" t="s">
        <v>476</v>
      </c>
      <c r="D206" t="s">
        <v>48</v>
      </c>
      <c r="E206" t="str">
        <f t="shared" si="35"/>
        <v>Mangochi District [lLDyBx5XyUi]|25-34|Male</v>
      </c>
      <c r="F206" s="229">
        <v>1897</v>
      </c>
      <c r="G206" s="38">
        <v>515</v>
      </c>
      <c r="H206" s="38">
        <v>458</v>
      </c>
      <c r="I206" s="38">
        <v>1897</v>
      </c>
      <c r="J206" s="38">
        <v>1362</v>
      </c>
      <c r="K206" s="38">
        <v>1241</v>
      </c>
      <c r="L206" s="38">
        <v>35</v>
      </c>
      <c r="M206" s="38">
        <v>33</v>
      </c>
      <c r="N206" s="38">
        <v>2141</v>
      </c>
      <c r="O206" s="229">
        <v>1897</v>
      </c>
      <c r="P206" s="38">
        <v>1942</v>
      </c>
      <c r="Q206" s="38">
        <v>1845</v>
      </c>
      <c r="R206" s="38">
        <f t="shared" si="36"/>
        <v>0</v>
      </c>
      <c r="S206" s="38">
        <f>IF(LEFT($B206,4)="_Mil","",_xlfn.IFNA(ROUND(INDEX(Spectrum!$N:$N,MATCH(RIGHT($B206,13)&amp;"|"&amp;$C206&amp;"|"&amp;$D206&amp;"|"&amp;S$14&amp;"|"&amp;"CY2023Q4",Spectrum!$R:$R,0)),0),""))</f>
        <v>2102</v>
      </c>
      <c r="T206" s="218">
        <f>IF(LEFT($B206,4)="_Mil","",_xlfn.IFNA(ROUND(INDEX(Spectrum!$N:$N,MATCH(RIGHT($B206,13)&amp;"|"&amp;$C206&amp;"|"&amp;$D206&amp;"|"&amp;T$14&amp;"|"&amp;"CY2024Q3",Spectrum!$R:$R,0)),0),""))</f>
        <v>86099</v>
      </c>
      <c r="U206" s="218">
        <f>IF(LEFT($B206,4)="_Mil","",_xlfn.IFNA(ROUND(INDEX(Spectrum!$N:$N,MATCH(RIGHT($B206,13)&amp;"|"&amp;$C206&amp;"|"&amp;$D206&amp;"|"&amp;U$14&amp;"|"&amp;"CY2024Q3",Spectrum!$R:$R,0)),0),""))</f>
        <v>2486</v>
      </c>
      <c r="V206" s="38">
        <f>IF(LEFT($B206,4)="_Mil","",_xlfn.IFNA(ROUND(INDEX(Spectrum!$N:$N,MATCH(RIGHT($B206,13)&amp;"|"&amp;$C206&amp;"|"&amp;$D206&amp;"|"&amp;V$14&amp;"|"&amp;"CY2024Q3",Spectrum!$R:$R,0)),0),""))</f>
        <v>2374</v>
      </c>
      <c r="W206" s="220">
        <f>IF(LEFT($B206,4)="_Mil","",_xlfn.IFNA(INDEX(Spectrum!$N:$N,MATCH(RIGHT($B206,13)&amp;"|"&amp;$C206&amp;"|"&amp;$D206&amp;"|"&amp;W$14&amp;"|"&amp;"CY2024Q3",Spectrum!$R:$R,0)),""))</f>
        <v>2.8876678999999999E-2</v>
      </c>
      <c r="X206" s="218">
        <f>IF(LEFT($B206,4)="_Mil","",_xlfn.IFNA(ROUND(INDEX(Spectrum!$N:$N,MATCH(RIGHT($B206,13)&amp;"|"&amp;$C206&amp;"|"&amp;$D206&amp;"|"&amp;X$14&amp;"|"&amp;"CY2024Q3",Spectrum!$R:$R,0)),0),""))</f>
        <v>2228</v>
      </c>
      <c r="Y206" s="33">
        <f t="shared" si="37"/>
        <v>0.9</v>
      </c>
      <c r="Z206" s="218">
        <f>IF(LEFT($B206,4)="_Mil","",_xlfn.IFNA(ROUND(INDEX(Spectrum!$N:$N,MATCH(RIGHT($B206,13)&amp;"|"&amp;$C206&amp;"|"&amp;$D206&amp;"|"&amp;Z$14&amp;"|"&amp;"CY2024Q3",Spectrum!$R:$R,0)),0),""))</f>
        <v>2099</v>
      </c>
      <c r="AA206" s="33">
        <f>IF(LEFT($B206,4)="_Mil","",IFERROR(1/(1/INDEX(Spectrum!$N:$N,MATCH(RIGHT($B206,13)&amp;"|"&amp;$C206&amp;"|"&amp;$D206&amp;"|"&amp;AA$14&amp;"|"&amp;"CY2024Q3",Spectrum!$R:$R,0))),IF(SUM($U206)=0,"",SUM($Z206)/$U206)))</f>
        <v>0.88935630600000004</v>
      </c>
      <c r="AB206" s="33">
        <f t="shared" si="38"/>
        <v>0.94210053859964094</v>
      </c>
      <c r="AC206" s="38">
        <f>IF(LEFT($B206,4)="_Mil","",_xlfn.IFNA(ROUND(INDEX(Spectrum!$N:$N,MATCH(RIGHT($B206,13)&amp;"|"&amp;$C206&amp;"|"&amp;$D206&amp;"|"&amp;AC$14&amp;"|"&amp;"CY2024Q3",Spectrum!$R:$R,0)),0),""))</f>
        <v>275</v>
      </c>
      <c r="AD206" s="38" t="str">
        <f>IF(LEFT($B206,4)="_Mil","",_xlfn.IFNA(ROUND(INDEX(Spectrum!$N:$N,MATCH(RIGHT($B206,13)&amp;"|"&amp;$C206&amp;"|"&amp;$D206&amp;"|"&amp;AD$14&amp;"|"&amp;"CY2024Q3",Spectrum!$R:$R,0)),0),""))</f>
        <v/>
      </c>
      <c r="AE206" s="33">
        <f t="shared" si="39"/>
        <v>0</v>
      </c>
      <c r="AF206" s="218" t="str">
        <f>IF(LEFT($B206,4)="_Mil","",_xlfn.IFNA(ROUND(INDEX(Spectrum!$N:$N,MATCH(RIGHT($B206,13)&amp;"|"&amp;$C206&amp;"|"&amp;$D206&amp;"|"&amp;AF$14&amp;"|"&amp;"CY2024Q3",Spectrum!$R:$R,0)),0),""))</f>
        <v/>
      </c>
      <c r="AG206" s="33" t="str">
        <f t="shared" si="40"/>
        <v/>
      </c>
      <c r="AH206" s="110" t="str">
        <f>IF(LEFT($B206,4)="_Mil","",_xlfn.IFNA(INDEX(Spectrum!$N:$N,MATCH(RIGHT($B206,13)&amp;"|"&amp;$C206&amp;"|"&amp;$D206&amp;"|"&amp;AH$14&amp;"|"&amp;"CY2024Q3",Spectrum!$R:$R,0)),""))</f>
        <v/>
      </c>
      <c r="AI206" s="218">
        <f>IF(LEFT($B206,4)="_Mil","",_xlfn.IFNA(ROUND(INDEX(Spectrum!$N:$N,MATCH(RIGHT($B206,13)&amp;"|"&amp;$C206&amp;"|"&amp;$D206&amp;"|"&amp;AI$14&amp;"|"&amp;"CY2025Q3",Spectrum!$R:$R,0)),0),""))</f>
        <v>99</v>
      </c>
      <c r="AJ206" s="38">
        <f>IF(LEFT($B206,4)="_Mil","",_xlfn.IFNA(ROUND(INDEX(Spectrum!$N:$N,MATCH(RIGHT($B206,13)&amp;"|"&amp;$C206&amp;"|"&amp;$D206&amp;"|"&amp;AJ$14&amp;"|"&amp;"CY2025Q3",Spectrum!$R:$R,0)),0),""))</f>
        <v>2406</v>
      </c>
      <c r="AK206" s="218" t="e">
        <f>#REF!</f>
        <v>#REF!</v>
      </c>
      <c r="AL206" s="33">
        <f t="shared" si="41"/>
        <v>0.9</v>
      </c>
      <c r="AM206" s="38" t="e">
        <f>IF(OR(LEFT($B206,4)="_Mil",$C206="&lt;01"),"",ROUND(SUM($AK206)*SUM($AL206),0))</f>
        <v>#REF!</v>
      </c>
      <c r="AN206" s="38" t="str">
        <f>IF($C206="&lt;01",ROUND(INDEX(EID!$P:$P,MATCH($B206,EID!$B:$B,0))/2,0),"")</f>
        <v/>
      </c>
      <c r="AO206" s="38" t="e">
        <f>IF($C206="&lt;01",SUM($AN206),ROUND(SUM($AM206)*SUM($O206)/IF(SUM($Z206)=0,1,$Z206),0))</f>
        <v>#REF!</v>
      </c>
      <c r="AP206" s="218">
        <f>IF(OR($F206="",$C206="&lt;01"),$AO206,ROUND($F206,0))</f>
        <v>1897</v>
      </c>
      <c r="AQ206" s="218">
        <f>IF(LEFT($B206,4)="_Mil","",IF(SUM($AP206)=0,SUM($Z206),IF(OR(SUM($Z206)=0,SUM($O206)=0),MAX($AP206,$Z206),ROUND($AP206*$Z206/$O206,0))))</f>
        <v>2099</v>
      </c>
      <c r="AR206" s="33" t="e">
        <f>IF(OR(LEFT($B206,4)="_Mil",SUM($AK206)=0),"",SUM($AQ206)/$AK206)</f>
        <v>#REF!</v>
      </c>
      <c r="AS206" s="33">
        <f t="shared" ref="AS206:AS216" si="52">IF($C206="&lt;01","",98%)</f>
        <v>0.98</v>
      </c>
      <c r="AT206" s="33">
        <f t="shared" si="49"/>
        <v>0.98</v>
      </c>
      <c r="AU206" s="38">
        <f>IF($C206="&lt;01","",SUM($AP206)-SUM($O206))</f>
        <v>0</v>
      </c>
      <c r="AV206" s="38">
        <f>IF($C206="&lt;01",ROUND(INDEX(EID!$N:$N,MATCH($B206,EID!$B:$B,0))/2,0),IF(SUM($AT206)=0,"",ROUND((SUM($AP206)-(SUM($O206)*SUM($AS206)))/$AT206,0)))</f>
        <v>39</v>
      </c>
      <c r="AW206" s="33">
        <f t="shared" si="42"/>
        <v>1</v>
      </c>
      <c r="AX206" s="218">
        <f>IF($C206="&lt;01",SUM($AV206),ROUND(SUM($AV206)*SUM($AW206),0))</f>
        <v>39</v>
      </c>
      <c r="AY206" s="79">
        <f t="shared" si="43"/>
        <v>0.7</v>
      </c>
      <c r="AZ206" s="85">
        <f>IF($C206="&lt;01",ROUND(INDEX(EID!$R:$R,MATCH($B206,EID!$B:$B,0))/2,0),ROUND(SUM($O206)+(SUM($AV206)*$AY206),0))</f>
        <v>1924</v>
      </c>
      <c r="BA206" s="40">
        <f t="shared" si="47"/>
        <v>0.9</v>
      </c>
      <c r="BB206" s="99">
        <f>IF($C206="&lt;01",ROUND(INDEX(EID!$T:$T,MATCH($B206,EID!$B:$B,0))/2,0),ROUND($AP206*$BA206,0))</f>
        <v>1707</v>
      </c>
      <c r="BC206" s="85">
        <f>IF(LEFT($B206,4)="_Mil","",IF(SUM($BB206)=0,SUM($AD206),IF(OR(SUM($AP206)=0,SUM($AQ206)=0),MAX($BB206,$AD206),ROUND($BB206*$AQ206/$AP206,0))))</f>
        <v>1889</v>
      </c>
      <c r="BD206" s="33">
        <f t="shared" si="44"/>
        <v>0.95</v>
      </c>
      <c r="BE206" s="218">
        <f>IF($C206="&lt;01",ROUND(INDEX(EID!$V:$V,MATCH($B206,EID!$B:$B,0))/2,0),ROUND($BD206*$BB206,0))</f>
        <v>1622</v>
      </c>
      <c r="BF206" s="218">
        <f>IF(LEFT($B206,4)="_Mil","",IF(SUM($BE206)=0,SUM($AF206),IF(OR(SUM($AP206)=0,SUM($AQ206)=0),MAX($BE206,$AF206),ROUND($BE206*$AQ206/$AP206,0))))</f>
        <v>1795</v>
      </c>
      <c r="BG206" s="79">
        <f t="shared" si="45"/>
        <v>0.95</v>
      </c>
      <c r="BH206" s="99">
        <f>IF($C206="&lt;01",ROUND(INDEX(EID!$L:$L,MATCH($B206,EID!$B:$B,0)),0)/2,IF(SUM($BG206)=0,"",ROUND($AX206/$BG206,0)))</f>
        <v>41</v>
      </c>
    </row>
    <row r="207" spans="1:60" x14ac:dyDescent="0.2">
      <c r="A207" t="str">
        <f>INDEX(Prioritization!$D:$D,MATCH($B207,Prioritization!$A:$A,0))</f>
        <v>1 - Scale-up: Saturation</v>
      </c>
      <c r="B207" t="s">
        <v>318</v>
      </c>
      <c r="C207" t="s">
        <v>477</v>
      </c>
      <c r="D207" t="s">
        <v>30</v>
      </c>
      <c r="E207" t="str">
        <f t="shared" ref="E207:E270" si="53">$B207&amp;"|"&amp;$C207&amp;"|"&amp;$D207</f>
        <v>Mangochi District [lLDyBx5XyUi]|35-49|Female</v>
      </c>
      <c r="F207" s="229">
        <v>19619</v>
      </c>
      <c r="G207" s="38">
        <v>751</v>
      </c>
      <c r="H207" s="38">
        <v>711</v>
      </c>
      <c r="I207" s="38">
        <v>18507</v>
      </c>
      <c r="J207" s="38">
        <v>15853</v>
      </c>
      <c r="K207" s="38">
        <v>14816</v>
      </c>
      <c r="L207" s="38">
        <v>976</v>
      </c>
      <c r="M207" s="38">
        <v>956</v>
      </c>
      <c r="N207" s="38">
        <v>18077</v>
      </c>
      <c r="O207" s="229">
        <v>19063</v>
      </c>
      <c r="P207" s="38">
        <v>15864</v>
      </c>
      <c r="Q207" s="38">
        <v>15072</v>
      </c>
      <c r="R207" s="38">
        <f t="shared" ref="R207:R270" si="54">IF(AND(SUM($I207)=0,SUM($O207)=0),"",SUM($O207)-$I207)</f>
        <v>556</v>
      </c>
      <c r="S207" s="38">
        <f>IF(LEFT($B207,4)="_Mil","",_xlfn.IFNA(ROUND(INDEX(Spectrum!$N:$N,MATCH(RIGHT($B207,13)&amp;"|"&amp;$C207&amp;"|"&amp;$D207&amp;"|"&amp;S$14&amp;"|"&amp;"CY2023Q4",Spectrum!$R:$R,0)),0),""))</f>
        <v>19204</v>
      </c>
      <c r="T207" s="218">
        <f>IF(LEFT($B207,4)="_Mil","",_xlfn.IFNA(ROUND(INDEX(Spectrum!$N:$N,MATCH(RIGHT($B207,13)&amp;"|"&amp;$C207&amp;"|"&amp;$D207&amp;"|"&amp;T$14&amp;"|"&amp;"CY2024Q3",Spectrum!$R:$R,0)),0),""))</f>
        <v>99896</v>
      </c>
      <c r="U207" s="218">
        <f>IF(LEFT($B207,4)="_Mil","",_xlfn.IFNA(ROUND(INDEX(Spectrum!$N:$N,MATCH(RIGHT($B207,13)&amp;"|"&amp;$C207&amp;"|"&amp;$D207&amp;"|"&amp;U$14&amp;"|"&amp;"CY2024Q3",Spectrum!$R:$R,0)),0),""))</f>
        <v>20538</v>
      </c>
      <c r="V207" s="38">
        <f>IF(LEFT($B207,4)="_Mil","",_xlfn.IFNA(ROUND(INDEX(Spectrum!$N:$N,MATCH(RIGHT($B207,13)&amp;"|"&amp;$C207&amp;"|"&amp;$D207&amp;"|"&amp;V$14&amp;"|"&amp;"CY2024Q3",Spectrum!$R:$R,0)),0),""))</f>
        <v>19625</v>
      </c>
      <c r="W207" s="220">
        <f>IF(LEFT($B207,4)="_Mil","",_xlfn.IFNA(INDEX(Spectrum!$N:$N,MATCH(RIGHT($B207,13)&amp;"|"&amp;$C207&amp;"|"&amp;$D207&amp;"|"&amp;W$14&amp;"|"&amp;"CY2024Q3",Spectrum!$R:$R,0)),""))</f>
        <v>0.205594411</v>
      </c>
      <c r="X207" s="218">
        <f>IF(LEFT($B207,4)="_Mil","",_xlfn.IFNA(ROUND(INDEX(Spectrum!$N:$N,MATCH(RIGHT($B207,13)&amp;"|"&amp;$C207&amp;"|"&amp;$D207&amp;"|"&amp;X$14&amp;"|"&amp;"CY2024Q3",Spectrum!$R:$R,0)),0),""))</f>
        <v>20239</v>
      </c>
      <c r="Y207" s="33">
        <f t="shared" ref="Y207:Y270" si="55">IF(OR(SUM($U207)=0,LEFT($B207,4)="_Mil"),"",ROUND(SUM($X207)/$U207,2))</f>
        <v>0.99</v>
      </c>
      <c r="Z207" s="218">
        <f>IF(LEFT($B207,4)="_Mil","",_xlfn.IFNA(ROUND(INDEX(Spectrum!$N:$N,MATCH(RIGHT($B207,13)&amp;"|"&amp;$C207&amp;"|"&amp;$D207&amp;"|"&amp;Z$14&amp;"|"&amp;"CY2024Q3",Spectrum!$R:$R,0)),0),""))</f>
        <v>19326</v>
      </c>
      <c r="AA207" s="33">
        <f>IF(LEFT($B207,4)="_Mil","",IFERROR(1/(1/INDEX(Spectrum!$N:$N,MATCH(RIGHT($B207,13)&amp;"|"&amp;$C207&amp;"|"&amp;$D207&amp;"|"&amp;AA$14&amp;"|"&amp;"CY2024Q3",Spectrum!$R:$R,0))),IF(SUM($U207)=0,"",SUM($Z207)/$U207)))</f>
        <v>0.98513753599999998</v>
      </c>
      <c r="AB207" s="33">
        <f t="shared" ref="AB207:AB270" si="56">IF(OR(LEFT($B207,4)="_Mil",SUM($X207)=0),"",SUM($Z207)/$X207)</f>
        <v>0.95488907554721081</v>
      </c>
      <c r="AC207" s="38">
        <f>IF(LEFT($B207,4)="_Mil","",_xlfn.IFNA(ROUND(INDEX(Spectrum!$N:$N,MATCH(RIGHT($B207,13)&amp;"|"&amp;$C207&amp;"|"&amp;$D207&amp;"|"&amp;AC$14&amp;"|"&amp;"CY2024Q3",Spectrum!$R:$R,0)),0),""))</f>
        <v>299</v>
      </c>
      <c r="AD207" s="38" t="str">
        <f>IF(LEFT($B207,4)="_Mil","",_xlfn.IFNA(ROUND(INDEX(Spectrum!$N:$N,MATCH(RIGHT($B207,13)&amp;"|"&amp;$C207&amp;"|"&amp;$D207&amp;"|"&amp;AD$14&amp;"|"&amp;"CY2024Q3",Spectrum!$R:$R,0)),0),""))</f>
        <v/>
      </c>
      <c r="AE207" s="33">
        <f t="shared" ref="AE207:AE270" si="57">IF(OR(LEFT($B207,4)="_Mil",SUM($Z207)=0),"",ROUND(SUM($AD207)/$Z207,2))</f>
        <v>0</v>
      </c>
      <c r="AF207" s="218" t="str">
        <f>IF(LEFT($B207,4)="_Mil","",_xlfn.IFNA(ROUND(INDEX(Spectrum!$N:$N,MATCH(RIGHT($B207,13)&amp;"|"&amp;$C207&amp;"|"&amp;$D207&amp;"|"&amp;AF$14&amp;"|"&amp;"CY2024Q3",Spectrum!$R:$R,0)),0),""))</f>
        <v/>
      </c>
      <c r="AG207" s="33" t="str">
        <f t="shared" ref="AG207:AG270" si="58">IF(OR(LEFT($B207,4)="_Mil",SUM($AD207)=0),"",SUM($AF207)/$AD207)</f>
        <v/>
      </c>
      <c r="AH207" s="110" t="str">
        <f>IF(LEFT($B207,4)="_Mil","",_xlfn.IFNA(INDEX(Spectrum!$N:$N,MATCH(RIGHT($B207,13)&amp;"|"&amp;$C207&amp;"|"&amp;$D207&amp;"|"&amp;AH$14&amp;"|"&amp;"CY2024Q3",Spectrum!$R:$R,0)),""))</f>
        <v/>
      </c>
      <c r="AI207" s="218">
        <f>IF(LEFT($B207,4)="_Mil","",_xlfn.IFNA(ROUND(INDEX(Spectrum!$N:$N,MATCH(RIGHT($B207,13)&amp;"|"&amp;$C207&amp;"|"&amp;$D207&amp;"|"&amp;AI$14&amp;"|"&amp;"CY2025Q3",Spectrum!$R:$R,0)),0),""))</f>
        <v>89</v>
      </c>
      <c r="AJ207" s="38">
        <f>IF(LEFT($B207,4)="_Mil","",_xlfn.IFNA(ROUND(INDEX(Spectrum!$N:$N,MATCH(RIGHT($B207,13)&amp;"|"&amp;$C207&amp;"|"&amp;$D207&amp;"|"&amp;AJ$14&amp;"|"&amp;"CY2025Q3",Spectrum!$R:$R,0)),0),""))</f>
        <v>20612</v>
      </c>
      <c r="AK207" s="218" t="e">
        <f>#REF!</f>
        <v>#REF!</v>
      </c>
      <c r="AL207" s="33">
        <f t="shared" ref="AL207:AL270" si="59">IF(OR(LEFT($B207,4)="_Mil",$C207="&lt;01"),"",MAX(SUM($AA207),90%))</f>
        <v>0.98513753599999998</v>
      </c>
      <c r="AM207" s="38" t="e">
        <f>IF(OR(LEFT($B207,4)="_Mil",$C207="&lt;01"),"",ROUND(SUM($AK207)*SUM($AL207),0))</f>
        <v>#REF!</v>
      </c>
      <c r="AN207" s="38" t="str">
        <f>IF($C207="&lt;01",ROUND(INDEX(EID!$P:$P,MATCH($B207,EID!$B:$B,0))/2,0),"")</f>
        <v/>
      </c>
      <c r="AO207" s="38" t="e">
        <f>IF($C207="&lt;01",SUM($AN207),ROUND(SUM($AM207)*SUM($O207)/IF(SUM($Z207)=0,1,$Z207),0))</f>
        <v>#REF!</v>
      </c>
      <c r="AP207" s="218">
        <f>IF(OR($F207="",$C207="&lt;01"),$AO207,ROUND($F207,0))</f>
        <v>19619</v>
      </c>
      <c r="AQ207" s="218">
        <f>IF(LEFT($B207,4)="_Mil","",IF(SUM($AP207)=0,SUM($Z207),IF(OR(SUM($Z207)=0,SUM($O207)=0),MAX($AP207,$Z207),ROUND($AP207*$Z207/$O207,0))))</f>
        <v>19890</v>
      </c>
      <c r="AR207" s="33" t="e">
        <f>IF(OR(LEFT($B207,4)="_Mil",SUM($AK207)=0),"",SUM($AQ207)/$AK207)</f>
        <v>#REF!</v>
      </c>
      <c r="AS207" s="33">
        <f>IF($C207="&lt;01","",99%)</f>
        <v>0.99</v>
      </c>
      <c r="AT207" s="33">
        <f t="shared" si="49"/>
        <v>0.98</v>
      </c>
      <c r="AU207" s="38">
        <f>IF($C207="&lt;01","",SUM($AP207)-SUM($O207))</f>
        <v>556</v>
      </c>
      <c r="AV207" s="38">
        <f>IF($C207="&lt;01",ROUND(INDEX(EID!$N:$N,MATCH($B207,EID!$B:$B,0))/2,0),IF(SUM($AT207)=0,"",ROUND((SUM($AP207)-(SUM($O207)*SUM($AS207)))/$AT207,0)))</f>
        <v>762</v>
      </c>
      <c r="AW207" s="33">
        <f t="shared" ref="AW207:AW270" si="60">IF($C207="&lt;01","",100%)</f>
        <v>1</v>
      </c>
      <c r="AX207" s="218">
        <f>IF($C207="&lt;01",SUM($AV207),ROUND(SUM($AV207)*SUM($AW207),0))</f>
        <v>762</v>
      </c>
      <c r="AY207" s="79">
        <f t="shared" ref="AY207:AY270" si="61">IF($C207="&lt;01","",70%)</f>
        <v>0.7</v>
      </c>
      <c r="AZ207" s="85">
        <f>IF($C207="&lt;01",ROUND(INDEX(EID!$R:$R,MATCH($B207,EID!$B:$B,0))/2,0),ROUND(SUM($O207)+(SUM($AV207)*$AY207),0))</f>
        <v>19596</v>
      </c>
      <c r="BA207" s="40">
        <f t="shared" si="47"/>
        <v>0.9</v>
      </c>
      <c r="BB207" s="99">
        <f>IF($C207="&lt;01",ROUND(INDEX(EID!$T:$T,MATCH($B207,EID!$B:$B,0))/2,0),ROUND($AP207*$BA207,0))</f>
        <v>17657</v>
      </c>
      <c r="BC207" s="85">
        <f>IF(LEFT($B207,4)="_Mil","",IF(SUM($BB207)=0,SUM($AD207),IF(OR(SUM($AP207)=0,SUM($AQ207)=0),MAX($BB207,$AD207),ROUND($BB207*$AQ207/$AP207,0))))</f>
        <v>17901</v>
      </c>
      <c r="BD207" s="33">
        <f t="shared" ref="BD207:BD270" si="62">IF($C207="&lt;01","",95%)</f>
        <v>0.95</v>
      </c>
      <c r="BE207" s="218">
        <f>IF($C207="&lt;01",ROUND(INDEX(EID!$V:$V,MATCH($B207,EID!$B:$B,0))/2,0),ROUND($BD207*$BB207,0))</f>
        <v>16774</v>
      </c>
      <c r="BF207" s="218">
        <f>IF(LEFT($B207,4)="_Mil","",IF(SUM($BE207)=0,SUM($AF207),IF(OR(SUM($AP207)=0,SUM($AQ207)=0),MAX($BE207,$AF207),ROUND($BE207*$AQ207/$AP207,0))))</f>
        <v>17006</v>
      </c>
      <c r="BG207" s="79">
        <f t="shared" ref="BG207:BG270" si="63">IF($C207="&lt;01","",95%)</f>
        <v>0.95</v>
      </c>
      <c r="BH207" s="99">
        <f>IF($C207="&lt;01",ROUND(INDEX(EID!$L:$L,MATCH($B207,EID!$B:$B,0)),0)/2,IF(SUM($BG207)=0,"",ROUND($AX207/$BG207,0)))</f>
        <v>802</v>
      </c>
    </row>
    <row r="208" spans="1:60" x14ac:dyDescent="0.2">
      <c r="A208" t="str">
        <f>INDEX(Prioritization!$D:$D,MATCH($B208,Prioritization!$A:$A,0))</f>
        <v>1 - Scale-up: Saturation</v>
      </c>
      <c r="B208" t="s">
        <v>318</v>
      </c>
      <c r="C208" t="s">
        <v>477</v>
      </c>
      <c r="D208" t="s">
        <v>48</v>
      </c>
      <c r="E208" t="str">
        <f t="shared" si="53"/>
        <v>Mangochi District [lLDyBx5XyUi]|35-49|Male</v>
      </c>
      <c r="F208" s="229">
        <v>7806</v>
      </c>
      <c r="G208" s="38">
        <v>759</v>
      </c>
      <c r="H208" s="38">
        <v>773</v>
      </c>
      <c r="I208" s="38">
        <v>7806</v>
      </c>
      <c r="J208" s="38">
        <v>6080</v>
      </c>
      <c r="K208" s="38">
        <v>5620</v>
      </c>
      <c r="L208" s="38">
        <v>14</v>
      </c>
      <c r="M208" s="38">
        <v>14</v>
      </c>
      <c r="N208" s="38">
        <v>7527</v>
      </c>
      <c r="O208" s="229">
        <v>7806</v>
      </c>
      <c r="P208" s="38">
        <v>6870</v>
      </c>
      <c r="Q208" s="38">
        <v>6525</v>
      </c>
      <c r="R208" s="38">
        <f t="shared" si="54"/>
        <v>0</v>
      </c>
      <c r="S208" s="38">
        <f>IF(LEFT($B208,4)="_Mil","",_xlfn.IFNA(ROUND(INDEX(Spectrum!$N:$N,MATCH(RIGHT($B208,13)&amp;"|"&amp;$C208&amp;"|"&amp;$D208&amp;"|"&amp;S$14&amp;"|"&amp;"CY2023Q4",Spectrum!$R:$R,0)),0),""))</f>
        <v>8006</v>
      </c>
      <c r="T208" s="218">
        <f>IF(LEFT($B208,4)="_Mil","",_xlfn.IFNA(ROUND(INDEX(Spectrum!$N:$N,MATCH(RIGHT($B208,13)&amp;"|"&amp;$C208&amp;"|"&amp;$D208&amp;"|"&amp;T$14&amp;"|"&amp;"CY2024Q3",Spectrum!$R:$R,0)),0),""))</f>
        <v>79516</v>
      </c>
      <c r="U208" s="218">
        <f>IF(LEFT($B208,4)="_Mil","",_xlfn.IFNA(ROUND(INDEX(Spectrum!$N:$N,MATCH(RIGHT($B208,13)&amp;"|"&amp;$C208&amp;"|"&amp;$D208&amp;"|"&amp;U$14&amp;"|"&amp;"CY2024Q3",Spectrum!$R:$R,0)),0),""))</f>
        <v>8975</v>
      </c>
      <c r="V208" s="38">
        <f>IF(LEFT($B208,4)="_Mil","",_xlfn.IFNA(ROUND(INDEX(Spectrum!$N:$N,MATCH(RIGHT($B208,13)&amp;"|"&amp;$C208&amp;"|"&amp;$D208&amp;"|"&amp;V$14&amp;"|"&amp;"CY2024Q3",Spectrum!$R:$R,0)),0),""))</f>
        <v>8548</v>
      </c>
      <c r="W208" s="220">
        <f>IF(LEFT($B208,4)="_Mil","",_xlfn.IFNA(INDEX(Spectrum!$N:$N,MATCH(RIGHT($B208,13)&amp;"|"&amp;$C208&amp;"|"&amp;$D208&amp;"|"&amp;W$14&amp;"|"&amp;"CY2024Q3",Spectrum!$R:$R,0)),""))</f>
        <v>0.112868463</v>
      </c>
      <c r="X208" s="218">
        <f>IF(LEFT($B208,4)="_Mil","",_xlfn.IFNA(ROUND(INDEX(Spectrum!$N:$N,MATCH(RIGHT($B208,13)&amp;"|"&amp;$C208&amp;"|"&amp;$D208&amp;"|"&amp;X$14&amp;"|"&amp;"CY2024Q3",Spectrum!$R:$R,0)),0),""))</f>
        <v>8406</v>
      </c>
      <c r="Y208" s="33">
        <f t="shared" si="55"/>
        <v>0.94</v>
      </c>
      <c r="Z208" s="218">
        <f>IF(LEFT($B208,4)="_Mil","",_xlfn.IFNA(ROUND(INDEX(Spectrum!$N:$N,MATCH(RIGHT($B208,13)&amp;"|"&amp;$C208&amp;"|"&amp;$D208&amp;"|"&amp;Z$14&amp;"|"&amp;"CY2024Q3",Spectrum!$R:$R,0)),0),""))</f>
        <v>7934</v>
      </c>
      <c r="AA208" s="33">
        <f>IF(LEFT($B208,4)="_Mil","",IFERROR(1/(1/INDEX(Spectrum!$N:$N,MATCH(RIGHT($B208,13)&amp;"|"&amp;$C208&amp;"|"&amp;$D208&amp;"|"&amp;AA$14&amp;"|"&amp;"CY2024Q3",Spectrum!$R:$R,0))),IF(SUM($U208)=0,"",SUM($Z208)/$U208)))</f>
        <v>0.93266976599999996</v>
      </c>
      <c r="AB208" s="33">
        <f t="shared" si="56"/>
        <v>0.94384963121579823</v>
      </c>
      <c r="AC208" s="38">
        <f>IF(LEFT($B208,4)="_Mil","",_xlfn.IFNA(ROUND(INDEX(Spectrum!$N:$N,MATCH(RIGHT($B208,13)&amp;"|"&amp;$C208&amp;"|"&amp;$D208&amp;"|"&amp;AC$14&amp;"|"&amp;"CY2024Q3",Spectrum!$R:$R,0)),0),""))</f>
        <v>614</v>
      </c>
      <c r="AD208" s="38" t="str">
        <f>IF(LEFT($B208,4)="_Mil","",_xlfn.IFNA(ROUND(INDEX(Spectrum!$N:$N,MATCH(RIGHT($B208,13)&amp;"|"&amp;$C208&amp;"|"&amp;$D208&amp;"|"&amp;AD$14&amp;"|"&amp;"CY2024Q3",Spectrum!$R:$R,0)),0),""))</f>
        <v/>
      </c>
      <c r="AE208" s="33">
        <f t="shared" si="57"/>
        <v>0</v>
      </c>
      <c r="AF208" s="218" t="str">
        <f>IF(LEFT($B208,4)="_Mil","",_xlfn.IFNA(ROUND(INDEX(Spectrum!$N:$N,MATCH(RIGHT($B208,13)&amp;"|"&amp;$C208&amp;"|"&amp;$D208&amp;"|"&amp;AF$14&amp;"|"&amp;"CY2024Q3",Spectrum!$R:$R,0)),0),""))</f>
        <v/>
      </c>
      <c r="AG208" s="33" t="str">
        <f t="shared" si="58"/>
        <v/>
      </c>
      <c r="AH208" s="110" t="str">
        <f>IF(LEFT($B208,4)="_Mil","",_xlfn.IFNA(INDEX(Spectrum!$N:$N,MATCH(RIGHT($B208,13)&amp;"|"&amp;$C208&amp;"|"&amp;$D208&amp;"|"&amp;AH$14&amp;"|"&amp;"CY2024Q3",Spectrum!$R:$R,0)),""))</f>
        <v/>
      </c>
      <c r="AI208" s="218">
        <f>IF(LEFT($B208,4)="_Mil","",_xlfn.IFNA(ROUND(INDEX(Spectrum!$N:$N,MATCH(RIGHT($B208,13)&amp;"|"&amp;$C208&amp;"|"&amp;$D208&amp;"|"&amp;AI$14&amp;"|"&amp;"CY2025Q3",Spectrum!$R:$R,0)),0),""))</f>
        <v>97</v>
      </c>
      <c r="AJ208" s="38">
        <f>IF(LEFT($B208,4)="_Mil","",_xlfn.IFNA(ROUND(INDEX(Spectrum!$N:$N,MATCH(RIGHT($B208,13)&amp;"|"&amp;$C208&amp;"|"&amp;$D208&amp;"|"&amp;AJ$14&amp;"|"&amp;"CY2025Q3",Spectrum!$R:$R,0)),0),""))</f>
        <v>8584</v>
      </c>
      <c r="AK208" s="218" t="e">
        <f>#REF!</f>
        <v>#REF!</v>
      </c>
      <c r="AL208" s="33">
        <f t="shared" si="59"/>
        <v>0.93266976599999996</v>
      </c>
      <c r="AM208" s="38" t="e">
        <f>IF(OR(LEFT($B208,4)="_Mil",$C208="&lt;01"),"",ROUND(SUM($AK208)*SUM($AL208),0))</f>
        <v>#REF!</v>
      </c>
      <c r="AN208" s="38" t="str">
        <f>IF($C208="&lt;01",ROUND(INDEX(EID!$P:$P,MATCH($B208,EID!$B:$B,0))/2,0),"")</f>
        <v/>
      </c>
      <c r="AO208" s="38" t="e">
        <f>IF($C208="&lt;01",SUM($AN208),ROUND(SUM($AM208)*SUM($O208)/IF(SUM($Z208)=0,1,$Z208),0))</f>
        <v>#REF!</v>
      </c>
      <c r="AP208" s="218">
        <f>IF(OR($F208="",$C208="&lt;01"),$AO208,ROUND($F208,0))</f>
        <v>7806</v>
      </c>
      <c r="AQ208" s="218">
        <f>IF(LEFT($B208,4)="_Mil","",IF(SUM($AP208)=0,SUM($Z208),IF(OR(SUM($Z208)=0,SUM($O208)=0),MAX($AP208,$Z208),ROUND($AP208*$Z208/$O208,0))))</f>
        <v>7934</v>
      </c>
      <c r="AR208" s="33" t="e">
        <f>IF(OR(LEFT($B208,4)="_Mil",SUM($AK208)=0),"",SUM($AQ208)/$AK208)</f>
        <v>#REF!</v>
      </c>
      <c r="AS208" s="33">
        <f t="shared" si="52"/>
        <v>0.98</v>
      </c>
      <c r="AT208" s="33">
        <f t="shared" si="49"/>
        <v>0.98</v>
      </c>
      <c r="AU208" s="38">
        <f>IF($C208="&lt;01","",SUM($AP208)-SUM($O208))</f>
        <v>0</v>
      </c>
      <c r="AV208" s="38">
        <f>IF($C208="&lt;01",ROUND(INDEX(EID!$N:$N,MATCH($B208,EID!$B:$B,0))/2,0),IF(SUM($AT208)=0,"",ROUND((SUM($AP208)-(SUM($O208)*SUM($AS208)))/$AT208,0)))</f>
        <v>159</v>
      </c>
      <c r="AW208" s="33">
        <f t="shared" si="60"/>
        <v>1</v>
      </c>
      <c r="AX208" s="218">
        <f>IF($C208="&lt;01",SUM($AV208),ROUND(SUM($AV208)*SUM($AW208),0))</f>
        <v>159</v>
      </c>
      <c r="AY208" s="79">
        <f t="shared" si="61"/>
        <v>0.7</v>
      </c>
      <c r="AZ208" s="85">
        <f>IF($C208="&lt;01",ROUND(INDEX(EID!$R:$R,MATCH($B208,EID!$B:$B,0))/2,0),ROUND(SUM($O208)+(SUM($AV208)*$AY208),0))</f>
        <v>7917</v>
      </c>
      <c r="BA208" s="40">
        <f t="shared" si="47"/>
        <v>0.9</v>
      </c>
      <c r="BB208" s="99">
        <f>IF($C208="&lt;01",ROUND(INDEX(EID!$T:$T,MATCH($B208,EID!$B:$B,0))/2,0),ROUND($AP208*$BA208,0))</f>
        <v>7025</v>
      </c>
      <c r="BC208" s="85">
        <f>IF(LEFT($B208,4)="_Mil","",IF(SUM($BB208)=0,SUM($AD208),IF(OR(SUM($AP208)=0,SUM($AQ208)=0),MAX($BB208,$AD208),ROUND($BB208*$AQ208/$AP208,0))))</f>
        <v>7140</v>
      </c>
      <c r="BD208" s="33">
        <f t="shared" si="62"/>
        <v>0.95</v>
      </c>
      <c r="BE208" s="218">
        <f>IF($C208="&lt;01",ROUND(INDEX(EID!$V:$V,MATCH($B208,EID!$B:$B,0))/2,0),ROUND($BD208*$BB208,0))</f>
        <v>6674</v>
      </c>
      <c r="BF208" s="218">
        <f>IF(LEFT($B208,4)="_Mil","",IF(SUM($BE208)=0,SUM($AF208),IF(OR(SUM($AP208)=0,SUM($AQ208)=0),MAX($BE208,$AF208),ROUND($BE208*$AQ208/$AP208,0))))</f>
        <v>6783</v>
      </c>
      <c r="BG208" s="79">
        <f t="shared" si="63"/>
        <v>0.95</v>
      </c>
      <c r="BH208" s="99">
        <f>IF($C208="&lt;01",ROUND(INDEX(EID!$L:$L,MATCH($B208,EID!$B:$B,0)),0)/2,IF(SUM($BG208)=0,"",ROUND($AX208/$BG208,0)))</f>
        <v>167</v>
      </c>
    </row>
    <row r="209" spans="1:60" x14ac:dyDescent="0.2">
      <c r="A209" t="str">
        <f>INDEX(Prioritization!$D:$D,MATCH($B209,Prioritization!$A:$A,0))</f>
        <v>1 - Scale-up: Saturation</v>
      </c>
      <c r="B209" t="s">
        <v>318</v>
      </c>
      <c r="C209" t="s">
        <v>478</v>
      </c>
      <c r="D209" t="s">
        <v>30</v>
      </c>
      <c r="E209" t="str">
        <f t="shared" si="53"/>
        <v>Mangochi District [lLDyBx5XyUi]|50+|Female</v>
      </c>
      <c r="F209" s="229">
        <v>8447</v>
      </c>
      <c r="G209" s="38">
        <v>173</v>
      </c>
      <c r="H209" s="38">
        <v>162</v>
      </c>
      <c r="I209" s="38">
        <v>7343</v>
      </c>
      <c r="J209" s="38">
        <v>5874</v>
      </c>
      <c r="K209" s="38">
        <v>5501</v>
      </c>
      <c r="L209" s="38">
        <v>913</v>
      </c>
      <c r="M209" s="38">
        <v>895</v>
      </c>
      <c r="N209" s="38">
        <v>8598</v>
      </c>
      <c r="O209" s="229">
        <v>7895</v>
      </c>
      <c r="P209" s="38">
        <v>7080</v>
      </c>
      <c r="Q209" s="38">
        <v>6727</v>
      </c>
      <c r="R209" s="38">
        <f t="shared" si="54"/>
        <v>552</v>
      </c>
      <c r="S209" s="38">
        <f>IF(LEFT($B209,4)="_Mil","",_xlfn.IFNA(ROUND(INDEX(Spectrum!$N:$N,MATCH(RIGHT($B209,13)&amp;"|"&amp;$C209&amp;"|"&amp;$D209&amp;"|"&amp;S$14&amp;"|"&amp;"CY2023Q4",Spectrum!$R:$R,0)),0),""))</f>
        <v>8762</v>
      </c>
      <c r="T209" s="218">
        <f>IF(LEFT($B209,4)="_Mil","",_xlfn.IFNA(ROUND(INDEX(Spectrum!$N:$N,MATCH(RIGHT($B209,13)&amp;"|"&amp;$C209&amp;"|"&amp;$D209&amp;"|"&amp;T$14&amp;"|"&amp;"CY2024Q3",Spectrum!$R:$R,0)),0),""))</f>
        <v>60110</v>
      </c>
      <c r="U209" s="218">
        <f>IF(LEFT($B209,4)="_Mil","",_xlfn.IFNA(ROUND(INDEX(Spectrum!$N:$N,MATCH(RIGHT($B209,13)&amp;"|"&amp;$C209&amp;"|"&amp;$D209&amp;"|"&amp;U$14&amp;"|"&amp;"CY2024Q3",Spectrum!$R:$R,0)),0),""))</f>
        <v>9787</v>
      </c>
      <c r="V209" s="38">
        <f>IF(LEFT($B209,4)="_Mil","",_xlfn.IFNA(ROUND(INDEX(Spectrum!$N:$N,MATCH(RIGHT($B209,13)&amp;"|"&amp;$C209&amp;"|"&amp;$D209&amp;"|"&amp;V$14&amp;"|"&amp;"CY2024Q3",Spectrum!$R:$R,0)),0),""))</f>
        <v>9356</v>
      </c>
      <c r="W209" s="220">
        <f>IF(LEFT($B209,4)="_Mil","",_xlfn.IFNA(INDEX(Spectrum!$N:$N,MATCH(RIGHT($B209,13)&amp;"|"&amp;$C209&amp;"|"&amp;$D209&amp;"|"&amp;W$14&amp;"|"&amp;"CY2024Q3",Spectrum!$R:$R,0)),""))</f>
        <v>0.162826216</v>
      </c>
      <c r="X209" s="218">
        <f>IF(LEFT($B209,4)="_Mil","",_xlfn.IFNA(ROUND(INDEX(Spectrum!$N:$N,MATCH(RIGHT($B209,13)&amp;"|"&amp;$C209&amp;"|"&amp;$D209&amp;"|"&amp;X$14&amp;"|"&amp;"CY2024Q3",Spectrum!$R:$R,0)),0),""))</f>
        <v>9705</v>
      </c>
      <c r="Y209" s="33">
        <f t="shared" si="55"/>
        <v>0.99</v>
      </c>
      <c r="Z209" s="218">
        <f>IF(LEFT($B209,4)="_Mil","",_xlfn.IFNA(ROUND(INDEX(Spectrum!$N:$N,MATCH(RIGHT($B209,13)&amp;"|"&amp;$C209&amp;"|"&amp;$D209&amp;"|"&amp;Z$14&amp;"|"&amp;"CY2024Q3",Spectrum!$R:$R,0)),0),""))</f>
        <v>9262</v>
      </c>
      <c r="AA209" s="33">
        <f>IF(LEFT($B209,4)="_Mil","",IFERROR(1/(1/INDEX(Spectrum!$N:$N,MATCH(RIGHT($B209,13)&amp;"|"&amp;$C209&amp;"|"&amp;$D209&amp;"|"&amp;AA$14&amp;"|"&amp;"CY2024Q3",Spectrum!$R:$R,0))),IF(SUM($U209)=0,"",SUM($Z209)/$U209)))</f>
        <v>0.98985411400000012</v>
      </c>
      <c r="AB209" s="33">
        <f t="shared" si="56"/>
        <v>0.95435342606903661</v>
      </c>
      <c r="AC209" s="38">
        <f>IF(LEFT($B209,4)="_Mil","",_xlfn.IFNA(ROUND(INDEX(Spectrum!$N:$N,MATCH(RIGHT($B209,13)&amp;"|"&amp;$C209&amp;"|"&amp;$D209&amp;"|"&amp;AC$14&amp;"|"&amp;"CY2024Q3",Spectrum!$R:$R,0)),0),""))</f>
        <v>94</v>
      </c>
      <c r="AD209" s="38" t="str">
        <f>IF(LEFT($B209,4)="_Mil","",_xlfn.IFNA(ROUND(INDEX(Spectrum!$N:$N,MATCH(RIGHT($B209,13)&amp;"|"&amp;$C209&amp;"|"&amp;$D209&amp;"|"&amp;AD$14&amp;"|"&amp;"CY2024Q3",Spectrum!$R:$R,0)),0),""))</f>
        <v/>
      </c>
      <c r="AE209" s="33">
        <f t="shared" si="57"/>
        <v>0</v>
      </c>
      <c r="AF209" s="218" t="str">
        <f>IF(LEFT($B209,4)="_Mil","",_xlfn.IFNA(ROUND(INDEX(Spectrum!$N:$N,MATCH(RIGHT($B209,13)&amp;"|"&amp;$C209&amp;"|"&amp;$D209&amp;"|"&amp;AF$14&amp;"|"&amp;"CY2024Q3",Spectrum!$R:$R,0)),0),""))</f>
        <v/>
      </c>
      <c r="AG209" s="33" t="str">
        <f t="shared" si="58"/>
        <v/>
      </c>
      <c r="AH209" s="110" t="str">
        <f>IF(LEFT($B209,4)="_Mil","",_xlfn.IFNA(INDEX(Spectrum!$N:$N,MATCH(RIGHT($B209,13)&amp;"|"&amp;$C209&amp;"|"&amp;$D209&amp;"|"&amp;AH$14&amp;"|"&amp;"CY2024Q3",Spectrum!$R:$R,0)),""))</f>
        <v/>
      </c>
      <c r="AI209" s="218">
        <f>IF(LEFT($B209,4)="_Mil","",_xlfn.IFNA(ROUND(INDEX(Spectrum!$N:$N,MATCH(RIGHT($B209,13)&amp;"|"&amp;$C209&amp;"|"&amp;$D209&amp;"|"&amp;AI$14&amp;"|"&amp;"CY2025Q3",Spectrum!$R:$R,0)),0),""))</f>
        <v>15</v>
      </c>
      <c r="AJ209" s="38">
        <f>IF(LEFT($B209,4)="_Mil","",_xlfn.IFNA(ROUND(INDEX(Spectrum!$N:$N,MATCH(RIGHT($B209,13)&amp;"|"&amp;$C209&amp;"|"&amp;$D209&amp;"|"&amp;AJ$14&amp;"|"&amp;"CY2025Q3",Spectrum!$R:$R,0)),0),""))</f>
        <v>10549</v>
      </c>
      <c r="AK209" s="218" t="e">
        <f>#REF!</f>
        <v>#REF!</v>
      </c>
      <c r="AL209" s="33">
        <f t="shared" si="59"/>
        <v>0.98985411400000012</v>
      </c>
      <c r="AM209" s="38" t="e">
        <f>IF(OR(LEFT($B209,4)="_Mil",$C209="&lt;01"),"",ROUND(SUM($AK209)*SUM($AL209),0))</f>
        <v>#REF!</v>
      </c>
      <c r="AN209" s="38" t="str">
        <f>IF($C209="&lt;01",ROUND(INDEX(EID!$P:$P,MATCH($B209,EID!$B:$B,0))/2,0),"")</f>
        <v/>
      </c>
      <c r="AO209" s="38" t="e">
        <f>IF($C209="&lt;01",SUM($AN209),ROUND(SUM($AM209)*SUM($O209)/IF(SUM($Z209)=0,1,$Z209),0))</f>
        <v>#REF!</v>
      </c>
      <c r="AP209" s="218">
        <f>IF(OR($F209="",$C209="&lt;01"),$AO209,ROUND($F209,0))</f>
        <v>8447</v>
      </c>
      <c r="AQ209" s="218">
        <f>IF(LEFT($B209,4)="_Mil","",IF(SUM($AP209)=0,SUM($Z209),IF(OR(SUM($Z209)=0,SUM($O209)=0),MAX($AP209,$Z209),ROUND($AP209*$Z209/$O209,0))))</f>
        <v>9910</v>
      </c>
      <c r="AR209" s="33" t="e">
        <f>IF(OR(LEFT($B209,4)="_Mil",SUM($AK209)=0),"",SUM($AQ209)/$AK209)</f>
        <v>#REF!</v>
      </c>
      <c r="AS209" s="33">
        <v>1.02</v>
      </c>
      <c r="AT209" s="33">
        <f>IF($C209="&lt;01","",100%)</f>
        <v>1</v>
      </c>
      <c r="AU209" s="38">
        <f>IF($C209="&lt;01","",SUM($AP209)-SUM($O209))</f>
        <v>552</v>
      </c>
      <c r="AV209" s="38">
        <f>IF($C209="&lt;01",ROUND(INDEX(EID!$N:$N,MATCH($B209,EID!$B:$B,0))/2,0),IF(SUM($AT209)=0,"",ROUND((SUM($AP209)-(SUM($O209)*SUM($AS209)))/$AT209,0)))</f>
        <v>394</v>
      </c>
      <c r="AW209" s="33">
        <v>0.8</v>
      </c>
      <c r="AX209" s="218">
        <f>IF($C209="&lt;01",SUM($AV209),ROUND(SUM($AV209)*SUM($AW209),0))</f>
        <v>315</v>
      </c>
      <c r="AY209" s="79">
        <f t="shared" si="61"/>
        <v>0.7</v>
      </c>
      <c r="AZ209" s="85">
        <f>IF($C209="&lt;01",ROUND(INDEX(EID!$R:$R,MATCH($B209,EID!$B:$B,0))/2,0),ROUND(SUM($O209)+(SUM($AV209)*$AY209),0))</f>
        <v>8171</v>
      </c>
      <c r="BA209" s="40">
        <f t="shared" si="47"/>
        <v>0.9</v>
      </c>
      <c r="BB209" s="99">
        <f>IF($C209="&lt;01",ROUND(INDEX(EID!$T:$T,MATCH($B209,EID!$B:$B,0))/2,0),ROUND($AP209*$BA209,0))</f>
        <v>7602</v>
      </c>
      <c r="BC209" s="85">
        <f>IF(LEFT($B209,4)="_Mil","",IF(SUM($BB209)=0,SUM($AD209),IF(OR(SUM($AP209)=0,SUM($AQ209)=0),MAX($BB209,$AD209),ROUND($BB209*$AQ209/$AP209,0))))</f>
        <v>8919</v>
      </c>
      <c r="BD209" s="33">
        <f t="shared" si="62"/>
        <v>0.95</v>
      </c>
      <c r="BE209" s="218">
        <f>IF($C209="&lt;01",ROUND(INDEX(EID!$V:$V,MATCH($B209,EID!$B:$B,0))/2,0),ROUND($BD209*$BB209,0))</f>
        <v>7222</v>
      </c>
      <c r="BF209" s="218">
        <f>IF(LEFT($B209,4)="_Mil","",IF(SUM($BE209)=0,SUM($AF209),IF(OR(SUM($AP209)=0,SUM($AQ209)=0),MAX($BE209,$AF209),ROUND($BE209*$AQ209/$AP209,0))))</f>
        <v>8473</v>
      </c>
      <c r="BG209" s="79">
        <f t="shared" si="63"/>
        <v>0.95</v>
      </c>
      <c r="BH209" s="99">
        <f>IF($C209="&lt;01",ROUND(INDEX(EID!$L:$L,MATCH($B209,EID!$B:$B,0)),0)/2,IF(SUM($BG209)=0,"",ROUND($AX209/$BG209,0)))</f>
        <v>332</v>
      </c>
    </row>
    <row r="210" spans="1:60" x14ac:dyDescent="0.2">
      <c r="A210" t="str">
        <f>INDEX(Prioritization!$D:$D,MATCH($B210,Prioritization!$A:$A,0))</f>
        <v>1 - Scale-up: Saturation</v>
      </c>
      <c r="B210" t="s">
        <v>318</v>
      </c>
      <c r="C210" t="s">
        <v>478</v>
      </c>
      <c r="D210" t="s">
        <v>48</v>
      </c>
      <c r="E210" t="str">
        <f t="shared" si="53"/>
        <v>Mangochi District [lLDyBx5XyUi]|50+|Male</v>
      </c>
      <c r="F210" s="229">
        <v>7101</v>
      </c>
      <c r="G210" s="38">
        <v>269</v>
      </c>
      <c r="H210" s="38">
        <v>262</v>
      </c>
      <c r="I210" s="38">
        <v>6012</v>
      </c>
      <c r="J210" s="38">
        <v>4578</v>
      </c>
      <c r="K210" s="38">
        <v>4305</v>
      </c>
      <c r="L210" s="38">
        <v>545</v>
      </c>
      <c r="M210" s="38">
        <v>519</v>
      </c>
      <c r="N210" s="38">
        <v>6005</v>
      </c>
      <c r="O210" s="229">
        <v>6580</v>
      </c>
      <c r="P210" s="38">
        <v>5017</v>
      </c>
      <c r="Q210" s="38">
        <v>4766</v>
      </c>
      <c r="R210" s="38">
        <f t="shared" si="54"/>
        <v>568</v>
      </c>
      <c r="S210" s="38">
        <f>IF(LEFT($B210,4)="_Mil","",_xlfn.IFNA(ROUND(INDEX(Spectrum!$N:$N,MATCH(RIGHT($B210,13)&amp;"|"&amp;$C210&amp;"|"&amp;$D210&amp;"|"&amp;S$14&amp;"|"&amp;"CY2023Q4",Spectrum!$R:$R,0)),0),""))</f>
        <v>6077</v>
      </c>
      <c r="T210" s="218">
        <f>IF(LEFT($B210,4)="_Mil","",_xlfn.IFNA(ROUND(INDEX(Spectrum!$N:$N,MATCH(RIGHT($B210,13)&amp;"|"&amp;$C210&amp;"|"&amp;$D210&amp;"|"&amp;T$14&amp;"|"&amp;"CY2024Q3",Spectrum!$R:$R,0)),0),""))</f>
        <v>46320</v>
      </c>
      <c r="U210" s="218">
        <f>IF(LEFT($B210,4)="_Mil","",_xlfn.IFNA(ROUND(INDEX(Spectrum!$N:$N,MATCH(RIGHT($B210,13)&amp;"|"&amp;$C210&amp;"|"&amp;$D210&amp;"|"&amp;U$14&amp;"|"&amp;"CY2024Q3",Spectrum!$R:$R,0)),0),""))</f>
        <v>7068</v>
      </c>
      <c r="V210" s="38">
        <f>IF(LEFT($B210,4)="_Mil","",_xlfn.IFNA(ROUND(INDEX(Spectrum!$N:$N,MATCH(RIGHT($B210,13)&amp;"|"&amp;$C210&amp;"|"&amp;$D210&amp;"|"&amp;V$14&amp;"|"&amp;"CY2024Q3",Spectrum!$R:$R,0)),0),""))</f>
        <v>6740</v>
      </c>
      <c r="W210" s="220">
        <f>IF(LEFT($B210,4)="_Mil","",_xlfn.IFNA(INDEX(Spectrum!$N:$N,MATCH(RIGHT($B210,13)&amp;"|"&amp;$C210&amp;"|"&amp;$D210&amp;"|"&amp;W$14&amp;"|"&amp;"CY2024Q3",Spectrum!$R:$R,0)),""))</f>
        <v>0.15258785599999999</v>
      </c>
      <c r="X210" s="218">
        <f>IF(LEFT($B210,4)="_Mil","",_xlfn.IFNA(ROUND(INDEX(Spectrum!$N:$N,MATCH(RIGHT($B210,13)&amp;"|"&amp;$C210&amp;"|"&amp;$D210&amp;"|"&amp;X$14&amp;"|"&amp;"CY2024Q3",Spectrum!$R:$R,0)),0),""))</f>
        <v>6763</v>
      </c>
      <c r="Y210" s="33">
        <f t="shared" si="55"/>
        <v>0.96</v>
      </c>
      <c r="Z210" s="218">
        <f>IF(LEFT($B210,4)="_Mil","",_xlfn.IFNA(ROUND(INDEX(Spectrum!$N:$N,MATCH(RIGHT($B210,13)&amp;"|"&amp;$C210&amp;"|"&amp;$D210&amp;"|"&amp;Z$14&amp;"|"&amp;"CY2024Q3",Spectrum!$R:$R,0)),0),""))</f>
        <v>6412</v>
      </c>
      <c r="AA210" s="33">
        <f>IF(LEFT($B210,4)="_Mil","",IFERROR(1/(1/INDEX(Spectrum!$N:$N,MATCH(RIGHT($B210,13)&amp;"|"&amp;$C210&amp;"|"&amp;$D210&amp;"|"&amp;AA$14&amp;"|"&amp;"CY2024Q3",Spectrum!$R:$R,0))),IF(SUM($U210)=0,"",SUM($Z210)/$U210)))</f>
        <v>0.95404985099999995</v>
      </c>
      <c r="AB210" s="33">
        <f t="shared" si="56"/>
        <v>0.9480999556409877</v>
      </c>
      <c r="AC210" s="38">
        <f>IF(LEFT($B210,4)="_Mil","",_xlfn.IFNA(ROUND(INDEX(Spectrum!$N:$N,MATCH(RIGHT($B210,13)&amp;"|"&amp;$C210&amp;"|"&amp;$D210&amp;"|"&amp;AC$14&amp;"|"&amp;"CY2024Q3",Spectrum!$R:$R,0)),0),""))</f>
        <v>329</v>
      </c>
      <c r="AD210" s="38" t="str">
        <f>IF(LEFT($B210,4)="_Mil","",_xlfn.IFNA(ROUND(INDEX(Spectrum!$N:$N,MATCH(RIGHT($B210,13)&amp;"|"&amp;$C210&amp;"|"&amp;$D210&amp;"|"&amp;AD$14&amp;"|"&amp;"CY2024Q3",Spectrum!$R:$R,0)),0),""))</f>
        <v/>
      </c>
      <c r="AE210" s="33">
        <f t="shared" si="57"/>
        <v>0</v>
      </c>
      <c r="AF210" s="218" t="str">
        <f>IF(LEFT($B210,4)="_Mil","",_xlfn.IFNA(ROUND(INDEX(Spectrum!$N:$N,MATCH(RIGHT($B210,13)&amp;"|"&amp;$C210&amp;"|"&amp;$D210&amp;"|"&amp;AF$14&amp;"|"&amp;"CY2024Q3",Spectrum!$R:$R,0)),0),""))</f>
        <v/>
      </c>
      <c r="AG210" s="33" t="str">
        <f t="shared" si="58"/>
        <v/>
      </c>
      <c r="AH210" s="110" t="str">
        <f>IF(LEFT($B210,4)="_Mil","",_xlfn.IFNA(INDEX(Spectrum!$N:$N,MATCH(RIGHT($B210,13)&amp;"|"&amp;$C210&amp;"|"&amp;$D210&amp;"|"&amp;AH$14&amp;"|"&amp;"CY2024Q3",Spectrum!$R:$R,0)),""))</f>
        <v/>
      </c>
      <c r="AI210" s="218">
        <f>IF(LEFT($B210,4)="_Mil","",_xlfn.IFNA(ROUND(INDEX(Spectrum!$N:$N,MATCH(RIGHT($B210,13)&amp;"|"&amp;$C210&amp;"|"&amp;$D210&amp;"|"&amp;AI$14&amp;"|"&amp;"CY2025Q3",Spectrum!$R:$R,0)),0),""))</f>
        <v>29</v>
      </c>
      <c r="AJ210" s="38">
        <f>IF(LEFT($B210,4)="_Mil","",_xlfn.IFNA(ROUND(INDEX(Spectrum!$N:$N,MATCH(RIGHT($B210,13)&amp;"|"&amp;$C210&amp;"|"&amp;$D210&amp;"|"&amp;AJ$14&amp;"|"&amp;"CY2025Q3",Spectrum!$R:$R,0)),0),""))</f>
        <v>7448</v>
      </c>
      <c r="AK210" s="218" t="e">
        <f>#REF!</f>
        <v>#REF!</v>
      </c>
      <c r="AL210" s="33">
        <f t="shared" si="59"/>
        <v>0.95404985099999995</v>
      </c>
      <c r="AM210" s="38" t="e">
        <f>IF(OR(LEFT($B210,4)="_Mil",$C210="&lt;01"),"",ROUND(SUM($AK210)*SUM($AL210),0))</f>
        <v>#REF!</v>
      </c>
      <c r="AN210" s="38" t="str">
        <f>IF($C210="&lt;01",ROUND(INDEX(EID!$P:$P,MATCH($B210,EID!$B:$B,0))/2,0),"")</f>
        <v/>
      </c>
      <c r="AO210" s="38" t="e">
        <f>IF($C210="&lt;01",SUM($AN210),ROUND(SUM($AM210)*SUM($O210)/IF(SUM($Z210)=0,1,$Z210),0))</f>
        <v>#REF!</v>
      </c>
      <c r="AP210" s="218">
        <f>IF(OR($F210="",$C210="&lt;01"),$AO210,ROUND($F210,0))</f>
        <v>7101</v>
      </c>
      <c r="AQ210" s="218">
        <f>IF(LEFT($B210,4)="_Mil","",IF(SUM($AP210)=0,SUM($Z210),IF(OR(SUM($Z210)=0,SUM($O210)=0),MAX($AP210,$Z210),ROUND($AP210*$Z210/$O210,0))))</f>
        <v>6920</v>
      </c>
      <c r="AR210" s="33" t="e">
        <f>IF(OR(LEFT($B210,4)="_Mil",SUM($AK210)=0),"",SUM($AQ210)/$AK210)</f>
        <v>#REF!</v>
      </c>
      <c r="AS210" s="33">
        <v>1.02</v>
      </c>
      <c r="AT210" s="33">
        <f>IF($C210="&lt;01","",100%)</f>
        <v>1</v>
      </c>
      <c r="AU210" s="38">
        <f>IF($C210="&lt;01","",SUM($AP210)-SUM($O210))</f>
        <v>521</v>
      </c>
      <c r="AV210" s="38">
        <f>IF($C210="&lt;01",ROUND(INDEX(EID!$N:$N,MATCH($B210,EID!$B:$B,0))/2,0),IF(SUM($AT210)=0,"",ROUND((SUM($AP210)-(SUM($O210)*SUM($AS210)))/$AT210,0)))</f>
        <v>389</v>
      </c>
      <c r="AW210" s="33">
        <v>0.8</v>
      </c>
      <c r="AX210" s="218">
        <f>IF($C210="&lt;01",SUM($AV210),ROUND(SUM($AV210)*SUM($AW210),0))</f>
        <v>311</v>
      </c>
      <c r="AY210" s="79">
        <f t="shared" si="61"/>
        <v>0.7</v>
      </c>
      <c r="AZ210" s="85">
        <f>IF($C210="&lt;01",ROUND(INDEX(EID!$R:$R,MATCH($B210,EID!$B:$B,0))/2,0),ROUND(SUM($O210)+(SUM($AV210)*$AY210),0))</f>
        <v>6852</v>
      </c>
      <c r="BA210" s="40">
        <f t="shared" si="47"/>
        <v>0.9</v>
      </c>
      <c r="BB210" s="99">
        <f>IF($C210="&lt;01",ROUND(INDEX(EID!$T:$T,MATCH($B210,EID!$B:$B,0))/2,0),ROUND($AP210*$BA210,0))</f>
        <v>6391</v>
      </c>
      <c r="BC210" s="85">
        <f>IF(LEFT($B210,4)="_Mil","",IF(SUM($BB210)=0,SUM($AD210),IF(OR(SUM($AP210)=0,SUM($AQ210)=0),MAX($BB210,$AD210),ROUND($BB210*$AQ210/$AP210,0))))</f>
        <v>6228</v>
      </c>
      <c r="BD210" s="33">
        <f t="shared" si="62"/>
        <v>0.95</v>
      </c>
      <c r="BE210" s="218">
        <f>IF($C210="&lt;01",ROUND(INDEX(EID!$V:$V,MATCH($B210,EID!$B:$B,0))/2,0),ROUND($BD210*$BB210,0))</f>
        <v>6071</v>
      </c>
      <c r="BF210" s="218">
        <f>IF(LEFT($B210,4)="_Mil","",IF(SUM($BE210)=0,SUM($AF210),IF(OR(SUM($AP210)=0,SUM($AQ210)=0),MAX($BE210,$AF210),ROUND($BE210*$AQ210/$AP210,0))))</f>
        <v>5916</v>
      </c>
      <c r="BG210" s="79">
        <f t="shared" si="63"/>
        <v>0.95</v>
      </c>
      <c r="BH210" s="99">
        <f>IF($C210="&lt;01",ROUND(INDEX(EID!$L:$L,MATCH($B210,EID!$B:$B,0)),0)/2,IF(SUM($BG210)=0,"",ROUND($AX210/$BG210,0)))</f>
        <v>327</v>
      </c>
    </row>
    <row r="211" spans="1:60" x14ac:dyDescent="0.2">
      <c r="A211" t="str">
        <f>INDEX(Prioritization!$D:$D,MATCH($B211,Prioritization!$A:$A,0))</f>
        <v>4 - Sustained</v>
      </c>
      <c r="B211" t="s">
        <v>302</v>
      </c>
      <c r="C211" t="s">
        <v>426</v>
      </c>
      <c r="D211" t="s">
        <v>30</v>
      </c>
      <c r="E211" t="str">
        <f t="shared" si="53"/>
        <v>Mchinji District [kxuuIFpOXyO]|&lt;01|Female</v>
      </c>
      <c r="F211" s="229">
        <v>10</v>
      </c>
      <c r="G211" s="38">
        <v>18</v>
      </c>
      <c r="H211" s="38">
        <v>8</v>
      </c>
      <c r="I211" s="38">
        <v>9</v>
      </c>
      <c r="J211" s="38">
        <v>106</v>
      </c>
      <c r="K211" s="38">
        <v>96</v>
      </c>
      <c r="L211" s="38"/>
      <c r="M211" s="38">
        <v>8</v>
      </c>
      <c r="N211" s="38">
        <v>8</v>
      </c>
      <c r="O211" s="229">
        <v>11</v>
      </c>
      <c r="P211" s="38">
        <v>5</v>
      </c>
      <c r="Q211" s="38">
        <v>5</v>
      </c>
      <c r="R211" s="38">
        <f t="shared" si="54"/>
        <v>2</v>
      </c>
      <c r="S211" s="38">
        <f>IF(LEFT($B211,4)="_Mil","",_xlfn.IFNA(ROUND(INDEX(Spectrum!$N:$N,MATCH(RIGHT($B211,13)&amp;"|"&amp;$C211&amp;"|"&amp;$D211&amp;"|"&amp;S$14&amp;"|"&amp;"CY2023Q4",Spectrum!$R:$R,0)),0),""))</f>
        <v>8</v>
      </c>
      <c r="T211" s="218">
        <f>IF(LEFT($B211,4)="_Mil","",_xlfn.IFNA(ROUND(INDEX(Spectrum!$N:$N,MATCH(RIGHT($B211,13)&amp;"|"&amp;$C211&amp;"|"&amp;$D211&amp;"|"&amp;T$14&amp;"|"&amp;"CY2024Q3",Spectrum!$R:$R,0)),0),""))</f>
        <v>11115</v>
      </c>
      <c r="U211" s="218">
        <f>IF(LEFT($B211,4)="_Mil","",_xlfn.IFNA(ROUND(INDEX(Spectrum!$N:$N,MATCH(RIGHT($B211,13)&amp;"|"&amp;$C211&amp;"|"&amp;$D211&amp;"|"&amp;U$14&amp;"|"&amp;"CY2024Q3",Spectrum!$R:$R,0)),0),""))</f>
        <v>10</v>
      </c>
      <c r="V211" s="38">
        <f>IF(LEFT($B211,4)="_Mil","",_xlfn.IFNA(ROUND(INDEX(Spectrum!$N:$N,MATCH(RIGHT($B211,13)&amp;"|"&amp;$C211&amp;"|"&amp;$D211&amp;"|"&amp;V$14&amp;"|"&amp;"CY2024Q3",Spectrum!$R:$R,0)),0),""))</f>
        <v>11</v>
      </c>
      <c r="W211" s="220">
        <f>IF(LEFT($B211,4)="_Mil","",_xlfn.IFNA(INDEX(Spectrum!$N:$N,MATCH(RIGHT($B211,13)&amp;"|"&amp;$C211&amp;"|"&amp;$D211&amp;"|"&amp;W$14&amp;"|"&amp;"CY2024Q3",Spectrum!$R:$R,0)),""))</f>
        <v>9.0853799999999997E-4</v>
      </c>
      <c r="X211" s="218">
        <f>IF(LEFT($B211,4)="_Mil","",_xlfn.IFNA(ROUND(INDEX(Spectrum!$N:$N,MATCH(RIGHT($B211,13)&amp;"|"&amp;$C211&amp;"|"&amp;$D211&amp;"|"&amp;X$14&amp;"|"&amp;"CY2024Q3",Spectrum!$R:$R,0)),0),""))</f>
        <v>7</v>
      </c>
      <c r="Y211" s="33">
        <f t="shared" si="55"/>
        <v>0.7</v>
      </c>
      <c r="Z211" s="218">
        <f>IF(LEFT($B211,4)="_Mil","",_xlfn.IFNA(ROUND(INDEX(Spectrum!$N:$N,MATCH(RIGHT($B211,13)&amp;"|"&amp;$C211&amp;"|"&amp;$D211&amp;"|"&amp;Z$14&amp;"|"&amp;"CY2024Q3",Spectrum!$R:$R,0)),0),""))</f>
        <v>7</v>
      </c>
      <c r="AA211" s="33">
        <f>IF(LEFT($B211,4)="_Mil","",IFERROR(1/(1/INDEX(Spectrum!$N:$N,MATCH(RIGHT($B211,13)&amp;"|"&amp;$C211&amp;"|"&amp;$D211&amp;"|"&amp;AA$14&amp;"|"&amp;"CY2024Q3",Spectrum!$R:$R,0))),IF(SUM($U211)=0,"",SUM($Z211)/$U211)))</f>
        <v>0.61245588200000001</v>
      </c>
      <c r="AB211" s="33">
        <f t="shared" si="56"/>
        <v>1</v>
      </c>
      <c r="AC211" s="38">
        <f>IF(LEFT($B211,4)="_Mil","",_xlfn.IFNA(ROUND(INDEX(Spectrum!$N:$N,MATCH(RIGHT($B211,13)&amp;"|"&amp;$C211&amp;"|"&amp;$D211&amp;"|"&amp;AC$14&amp;"|"&amp;"CY2024Q3",Spectrum!$R:$R,0)),0),""))</f>
        <v>4</v>
      </c>
      <c r="AD211" s="38" t="str">
        <f>IF(LEFT($B211,4)="_Mil","",_xlfn.IFNA(ROUND(INDEX(Spectrum!$N:$N,MATCH(RIGHT($B211,13)&amp;"|"&amp;$C211&amp;"|"&amp;$D211&amp;"|"&amp;AD$14&amp;"|"&amp;"CY2024Q3",Spectrum!$R:$R,0)),0),""))</f>
        <v/>
      </c>
      <c r="AE211" s="33">
        <f t="shared" si="57"/>
        <v>0</v>
      </c>
      <c r="AF211" s="218" t="str">
        <f>IF(LEFT($B211,4)="_Mil","",_xlfn.IFNA(ROUND(INDEX(Spectrum!$N:$N,MATCH(RIGHT($B211,13)&amp;"|"&amp;$C211&amp;"|"&amp;$D211&amp;"|"&amp;AF$14&amp;"|"&amp;"CY2024Q3",Spectrum!$R:$R,0)),0),""))</f>
        <v/>
      </c>
      <c r="AG211" s="33" t="str">
        <f t="shared" si="58"/>
        <v/>
      </c>
      <c r="AH211" s="110" t="str">
        <f>IF(LEFT($B211,4)="_Mil","",_xlfn.IFNA(INDEX(Spectrum!$N:$N,MATCH(RIGHT($B211,13)&amp;"|"&amp;$C211&amp;"|"&amp;$D211&amp;"|"&amp;AH$14&amp;"|"&amp;"CY2024Q3",Spectrum!$R:$R,0)),""))</f>
        <v/>
      </c>
      <c r="AI211" s="218">
        <f>IF(LEFT($B211,4)="_Mil","",_xlfn.IFNA(ROUND(INDEX(Spectrum!$N:$N,MATCH(RIGHT($B211,13)&amp;"|"&amp;$C211&amp;"|"&amp;$D211&amp;"|"&amp;AI$14&amp;"|"&amp;"CY2025Q3",Spectrum!$R:$R,0)),0),""))</f>
        <v>13</v>
      </c>
      <c r="AJ211" s="38">
        <f>IF(LEFT($B211,4)="_Mil","",_xlfn.IFNA(ROUND(INDEX(Spectrum!$N:$N,MATCH(RIGHT($B211,13)&amp;"|"&amp;$C211&amp;"|"&amp;$D211&amp;"|"&amp;AJ$14&amp;"|"&amp;"CY2025Q3",Spectrum!$R:$R,0)),0),""))</f>
        <v>9</v>
      </c>
      <c r="AK211" s="218" t="e">
        <f>#REF!</f>
        <v>#REF!</v>
      </c>
      <c r="AL211" s="33" t="str">
        <f t="shared" si="59"/>
        <v/>
      </c>
      <c r="AM211" s="38" t="str">
        <f>IF(OR(LEFT($B211,4)="_Mil",$C211="&lt;01"),"",ROUND(SUM($AK211)*SUM($AL211),0))</f>
        <v/>
      </c>
      <c r="AN211" s="38">
        <f>IF($C211="&lt;01",ROUND(INDEX(EID!$P:$P,MATCH($B211,EID!$B:$B,0))/2,0),"")</f>
        <v>0</v>
      </c>
      <c r="AO211" s="38">
        <f>IF($C211="&lt;01",SUM($AN211),ROUND(SUM($AM211)*SUM($O211)/IF(SUM($Z211)=0,1,$Z211),0))</f>
        <v>0</v>
      </c>
      <c r="AP211" s="218">
        <f>IF(OR($F211="",$C211="&lt;01"),$AO211,ROUND($F211,0))</f>
        <v>0</v>
      </c>
      <c r="AQ211" s="218">
        <f>IF(LEFT($B211,4)="_Mil","",IF(SUM($AP211)=0,SUM($Z211),IF(OR(SUM($Z211)=0,SUM($O211)=0),MAX($AP211,$Z211),ROUND($AP211*$Z211/$O211,0))))</f>
        <v>7</v>
      </c>
      <c r="AR211" s="33" t="e">
        <f>IF(OR(LEFT($B211,4)="_Mil",SUM($AK211)=0),"",SUM($AQ211)/$AK211)</f>
        <v>#REF!</v>
      </c>
      <c r="AS211" s="33" t="str">
        <f t="shared" si="52"/>
        <v/>
      </c>
      <c r="AT211" s="33" t="str">
        <f t="shared" si="49"/>
        <v/>
      </c>
      <c r="AU211" s="38" t="str">
        <f>IF($C211="&lt;01","",SUM($AP211)-SUM($O211))</f>
        <v/>
      </c>
      <c r="AV211" s="38">
        <f>IF($C211="&lt;01",ROUND(INDEX(EID!$N:$N,MATCH($B211,EID!$B:$B,0))/2,0),IF(SUM($AT211)=0,"",ROUND((SUM($AP211)-(SUM($O211)*SUM($AS211)))/$AT211,0)))</f>
        <v>0</v>
      </c>
      <c r="AW211" s="33" t="str">
        <f t="shared" si="60"/>
        <v/>
      </c>
      <c r="AX211" s="218">
        <f>IF($C211="&lt;01",SUM($AV211),ROUND(SUM($AV211)*SUM($AW211),0))</f>
        <v>0</v>
      </c>
      <c r="AY211" s="79" t="str">
        <f t="shared" si="61"/>
        <v/>
      </c>
      <c r="AZ211" s="85">
        <f>IF($C211="&lt;01",ROUND(INDEX(EID!$R:$R,MATCH($B211,EID!$B:$B,0))/2,0),ROUND(SUM($O211)+(SUM($AV211)*$AY211),0))</f>
        <v>0</v>
      </c>
      <c r="BA211" s="40" t="str">
        <f t="shared" si="47"/>
        <v/>
      </c>
      <c r="BB211" s="99">
        <f>IF($C211="&lt;01",ROUND(INDEX(EID!$T:$T,MATCH($B211,EID!$B:$B,0))/2,0),ROUND($AP211*$BA211,0))</f>
        <v>0</v>
      </c>
      <c r="BC211" s="85">
        <f>IF(LEFT($B211,4)="_Mil","",IF(SUM($BB211)=0,SUM($AD211),IF(OR(SUM($AP211)=0,SUM($AQ211)=0),MAX($BB211,$AD211),ROUND($BB211*$AQ211/$AP211,0))))</f>
        <v>0</v>
      </c>
      <c r="BD211" s="33" t="str">
        <f t="shared" si="62"/>
        <v/>
      </c>
      <c r="BE211" s="218">
        <f>IF($C211="&lt;01",ROUND(INDEX(EID!$V:$V,MATCH($B211,EID!$B:$B,0))/2,0),ROUND($BD211*$BB211,0))</f>
        <v>0</v>
      </c>
      <c r="BF211" s="218">
        <f>IF(LEFT($B211,4)="_Mil","",IF(SUM($BE211)=0,SUM($AF211),IF(OR(SUM($AP211)=0,SUM($AQ211)=0),MAX($BE211,$AF211),ROUND($BE211*$AQ211/$AP211,0))))</f>
        <v>0</v>
      </c>
      <c r="BG211" s="79" t="str">
        <f t="shared" si="63"/>
        <v/>
      </c>
      <c r="BH211" s="99">
        <f>IF($C211="&lt;01",ROUND(INDEX(EID!$L:$L,MATCH($B211,EID!$B:$B,0)),0)/2,IF(SUM($BG211)=0,"",ROUND($AX211/$BG211,0)))</f>
        <v>0</v>
      </c>
    </row>
    <row r="212" spans="1:60" x14ac:dyDescent="0.2">
      <c r="A212" t="str">
        <f>INDEX(Prioritization!$D:$D,MATCH($B212,Prioritization!$A:$A,0))</f>
        <v>4 - Sustained</v>
      </c>
      <c r="B212" t="s">
        <v>302</v>
      </c>
      <c r="C212" t="s">
        <v>426</v>
      </c>
      <c r="D212" t="s">
        <v>48</v>
      </c>
      <c r="E212" t="str">
        <f t="shared" si="53"/>
        <v>Mchinji District [kxuuIFpOXyO]|&lt;01|Male</v>
      </c>
      <c r="F212" s="229">
        <v>8</v>
      </c>
      <c r="G212" s="38">
        <v>16</v>
      </c>
      <c r="H212" s="38">
        <v>6</v>
      </c>
      <c r="I212" s="38">
        <v>4</v>
      </c>
      <c r="J212" s="38">
        <v>55</v>
      </c>
      <c r="K212" s="38">
        <v>49</v>
      </c>
      <c r="L212" s="38"/>
      <c r="M212" s="38">
        <v>8</v>
      </c>
      <c r="N212" s="38">
        <v>8</v>
      </c>
      <c r="O212" s="229">
        <v>8</v>
      </c>
      <c r="P212" s="38">
        <v>5</v>
      </c>
      <c r="Q212" s="38">
        <v>5</v>
      </c>
      <c r="R212" s="38">
        <f t="shared" si="54"/>
        <v>4</v>
      </c>
      <c r="S212" s="38">
        <f>IF(LEFT($B212,4)="_Mil","",_xlfn.IFNA(ROUND(INDEX(Spectrum!$N:$N,MATCH(RIGHT($B212,13)&amp;"|"&amp;$C212&amp;"|"&amp;$D212&amp;"|"&amp;S$14&amp;"|"&amp;"CY2023Q4",Spectrum!$R:$R,0)),0),""))</f>
        <v>8</v>
      </c>
      <c r="T212" s="218">
        <f>IF(LEFT($B212,4)="_Mil","",_xlfn.IFNA(ROUND(INDEX(Spectrum!$N:$N,MATCH(RIGHT($B212,13)&amp;"|"&amp;$C212&amp;"|"&amp;$D212&amp;"|"&amp;T$14&amp;"|"&amp;"CY2024Q3",Spectrum!$R:$R,0)),0),""))</f>
        <v>11021</v>
      </c>
      <c r="U212" s="218">
        <f>IF(LEFT($B212,4)="_Mil","",_xlfn.IFNA(ROUND(INDEX(Spectrum!$N:$N,MATCH(RIGHT($B212,13)&amp;"|"&amp;$C212&amp;"|"&amp;$D212&amp;"|"&amp;U$14&amp;"|"&amp;"CY2024Q3",Spectrum!$R:$R,0)),0),""))</f>
        <v>10</v>
      </c>
      <c r="V212" s="38">
        <f>IF(LEFT($B212,4)="_Mil","",_xlfn.IFNA(ROUND(INDEX(Spectrum!$N:$N,MATCH(RIGHT($B212,13)&amp;"|"&amp;$C212&amp;"|"&amp;$D212&amp;"|"&amp;V$14&amp;"|"&amp;"CY2024Q3",Spectrum!$R:$R,0)),0),""))</f>
        <v>11</v>
      </c>
      <c r="W212" s="220">
        <f>IF(LEFT($B212,4)="_Mil","",_xlfn.IFNA(INDEX(Spectrum!$N:$N,MATCH(RIGHT($B212,13)&amp;"|"&amp;$C212&amp;"|"&amp;$D212&amp;"|"&amp;W$14&amp;"|"&amp;"CY2024Q3",Spectrum!$R:$R,0)),""))</f>
        <v>9.2330999999999999E-4</v>
      </c>
      <c r="X212" s="218">
        <f>IF(LEFT($B212,4)="_Mil","",_xlfn.IFNA(ROUND(INDEX(Spectrum!$N:$N,MATCH(RIGHT($B212,13)&amp;"|"&amp;$C212&amp;"|"&amp;$D212&amp;"|"&amp;X$14&amp;"|"&amp;"CY2024Q3",Spectrum!$R:$R,0)),0),""))</f>
        <v>7</v>
      </c>
      <c r="Y212" s="33">
        <f t="shared" si="55"/>
        <v>0.7</v>
      </c>
      <c r="Z212" s="218">
        <f>IF(LEFT($B212,4)="_Mil","",_xlfn.IFNA(ROUND(INDEX(Spectrum!$N:$N,MATCH(RIGHT($B212,13)&amp;"|"&amp;$C212&amp;"|"&amp;$D212&amp;"|"&amp;Z$14&amp;"|"&amp;"CY2024Q3",Spectrum!$R:$R,0)),0),""))</f>
        <v>7</v>
      </c>
      <c r="AA212" s="33">
        <f>IF(LEFT($B212,4)="_Mil","",IFERROR(1/(1/INDEX(Spectrum!$N:$N,MATCH(RIGHT($B212,13)&amp;"|"&amp;$C212&amp;"|"&amp;$D212&amp;"|"&amp;AA$14&amp;"|"&amp;"CY2024Q3",Spectrum!$R:$R,0))),IF(SUM($U212)=0,"",SUM($Z212)/$U212)))</f>
        <v>0.61253701699999996</v>
      </c>
      <c r="AB212" s="33">
        <f t="shared" si="56"/>
        <v>1</v>
      </c>
      <c r="AC212" s="38">
        <f>IF(LEFT($B212,4)="_Mil","",_xlfn.IFNA(ROUND(INDEX(Spectrum!$N:$N,MATCH(RIGHT($B212,13)&amp;"|"&amp;$C212&amp;"|"&amp;$D212&amp;"|"&amp;AC$14&amp;"|"&amp;"CY2024Q3",Spectrum!$R:$R,0)),0),""))</f>
        <v>4</v>
      </c>
      <c r="AD212" s="38" t="str">
        <f>IF(LEFT($B212,4)="_Mil","",_xlfn.IFNA(ROUND(INDEX(Spectrum!$N:$N,MATCH(RIGHT($B212,13)&amp;"|"&amp;$C212&amp;"|"&amp;$D212&amp;"|"&amp;AD$14&amp;"|"&amp;"CY2024Q3",Spectrum!$R:$R,0)),0),""))</f>
        <v/>
      </c>
      <c r="AE212" s="33">
        <f t="shared" si="57"/>
        <v>0</v>
      </c>
      <c r="AF212" s="218" t="str">
        <f>IF(LEFT($B212,4)="_Mil","",_xlfn.IFNA(ROUND(INDEX(Spectrum!$N:$N,MATCH(RIGHT($B212,13)&amp;"|"&amp;$C212&amp;"|"&amp;$D212&amp;"|"&amp;AF$14&amp;"|"&amp;"CY2024Q3",Spectrum!$R:$R,0)),0),""))</f>
        <v/>
      </c>
      <c r="AG212" s="33" t="str">
        <f t="shared" si="58"/>
        <v/>
      </c>
      <c r="AH212" s="110" t="str">
        <f>IF(LEFT($B212,4)="_Mil","",_xlfn.IFNA(INDEX(Spectrum!$N:$N,MATCH(RIGHT($B212,13)&amp;"|"&amp;$C212&amp;"|"&amp;$D212&amp;"|"&amp;AH$14&amp;"|"&amp;"CY2024Q3",Spectrum!$R:$R,0)),""))</f>
        <v/>
      </c>
      <c r="AI212" s="218">
        <f>IF(LEFT($B212,4)="_Mil","",_xlfn.IFNA(ROUND(INDEX(Spectrum!$N:$N,MATCH(RIGHT($B212,13)&amp;"|"&amp;$C212&amp;"|"&amp;$D212&amp;"|"&amp;AI$14&amp;"|"&amp;"CY2025Q3",Spectrum!$R:$R,0)),0),""))</f>
        <v>13</v>
      </c>
      <c r="AJ212" s="38">
        <f>IF(LEFT($B212,4)="_Mil","",_xlfn.IFNA(ROUND(INDEX(Spectrum!$N:$N,MATCH(RIGHT($B212,13)&amp;"|"&amp;$C212&amp;"|"&amp;$D212&amp;"|"&amp;AJ$14&amp;"|"&amp;"CY2025Q3",Spectrum!$R:$R,0)),0),""))</f>
        <v>9</v>
      </c>
      <c r="AK212" s="218" t="e">
        <f>#REF!</f>
        <v>#REF!</v>
      </c>
      <c r="AL212" s="33" t="str">
        <f t="shared" si="59"/>
        <v/>
      </c>
      <c r="AM212" s="38" t="str">
        <f>IF(OR(LEFT($B212,4)="_Mil",$C212="&lt;01"),"",ROUND(SUM($AK212)*SUM($AL212),0))</f>
        <v/>
      </c>
      <c r="AN212" s="38">
        <f>IF($C212="&lt;01",ROUND(INDEX(EID!$P:$P,MATCH($B212,EID!$B:$B,0))/2,0),"")</f>
        <v>0</v>
      </c>
      <c r="AO212" s="38">
        <f>IF($C212="&lt;01",SUM($AN212),ROUND(SUM($AM212)*SUM($O212)/IF(SUM($Z212)=0,1,$Z212),0))</f>
        <v>0</v>
      </c>
      <c r="AP212" s="218">
        <f>IF(OR($F212="",$C212="&lt;01"),$AO212,ROUND($F212,0))</f>
        <v>0</v>
      </c>
      <c r="AQ212" s="218">
        <f>IF(LEFT($B212,4)="_Mil","",IF(SUM($AP212)=0,SUM($Z212),IF(OR(SUM($Z212)=0,SUM($O212)=0),MAX($AP212,$Z212),ROUND($AP212*$Z212/$O212,0))))</f>
        <v>7</v>
      </c>
      <c r="AR212" s="33" t="e">
        <f>IF(OR(LEFT($B212,4)="_Mil",SUM($AK212)=0),"",SUM($AQ212)/$AK212)</f>
        <v>#REF!</v>
      </c>
      <c r="AS212" s="33" t="str">
        <f t="shared" si="52"/>
        <v/>
      </c>
      <c r="AT212" s="33" t="str">
        <f t="shared" si="49"/>
        <v/>
      </c>
      <c r="AU212" s="38" t="str">
        <f>IF($C212="&lt;01","",SUM($AP212)-SUM($O212))</f>
        <v/>
      </c>
      <c r="AV212" s="38">
        <f>IF($C212="&lt;01",ROUND(INDEX(EID!$N:$N,MATCH($B212,EID!$B:$B,0))/2,0),IF(SUM($AT212)=0,"",ROUND((SUM($AP212)-(SUM($O212)*SUM($AS212)))/$AT212,0)))</f>
        <v>0</v>
      </c>
      <c r="AW212" s="33" t="str">
        <f t="shared" si="60"/>
        <v/>
      </c>
      <c r="AX212" s="218">
        <f>IF($C212="&lt;01",SUM($AV212),ROUND(SUM($AV212)*SUM($AW212),0))</f>
        <v>0</v>
      </c>
      <c r="AY212" s="79" t="str">
        <f t="shared" si="61"/>
        <v/>
      </c>
      <c r="AZ212" s="85">
        <f>IF($C212="&lt;01",ROUND(INDEX(EID!$R:$R,MATCH($B212,EID!$B:$B,0))/2,0),ROUND(SUM($O212)+(SUM($AV212)*$AY212),0))</f>
        <v>0</v>
      </c>
      <c r="BA212" s="40" t="str">
        <f t="shared" si="47"/>
        <v/>
      </c>
      <c r="BB212" s="99">
        <f>IF($C212="&lt;01",ROUND(INDEX(EID!$T:$T,MATCH($B212,EID!$B:$B,0))/2,0),ROUND($AP212*$BA212,0))</f>
        <v>0</v>
      </c>
      <c r="BC212" s="85">
        <f>IF(LEFT($B212,4)="_Mil","",IF(SUM($BB212)=0,SUM($AD212),IF(OR(SUM($AP212)=0,SUM($AQ212)=0),MAX($BB212,$AD212),ROUND($BB212*$AQ212/$AP212,0))))</f>
        <v>0</v>
      </c>
      <c r="BD212" s="33" t="str">
        <f t="shared" si="62"/>
        <v/>
      </c>
      <c r="BE212" s="218">
        <f>IF($C212="&lt;01",ROUND(INDEX(EID!$V:$V,MATCH($B212,EID!$B:$B,0))/2,0),ROUND($BD212*$BB212,0))</f>
        <v>0</v>
      </c>
      <c r="BF212" s="218">
        <f>IF(LEFT($B212,4)="_Mil","",IF(SUM($BE212)=0,SUM($AF212),IF(OR(SUM($AP212)=0,SUM($AQ212)=0),MAX($BE212,$AF212),ROUND($BE212*$AQ212/$AP212,0))))</f>
        <v>0</v>
      </c>
      <c r="BG212" s="79" t="str">
        <f t="shared" si="63"/>
        <v/>
      </c>
      <c r="BH212" s="99">
        <f>IF($C212="&lt;01",ROUND(INDEX(EID!$L:$L,MATCH($B212,EID!$B:$B,0)),0)/2,IF(SUM($BG212)=0,"",ROUND($AX212/$BG212,0)))</f>
        <v>0</v>
      </c>
    </row>
    <row r="213" spans="1:60" x14ac:dyDescent="0.2">
      <c r="A213" t="str">
        <f>INDEX(Prioritization!$D:$D,MATCH($B213,Prioritization!$A:$A,0))</f>
        <v>4 - Sustained</v>
      </c>
      <c r="B213" t="s">
        <v>302</v>
      </c>
      <c r="C213" t="s">
        <v>473</v>
      </c>
      <c r="D213" t="s">
        <v>30</v>
      </c>
      <c r="E213" t="str">
        <f t="shared" si="53"/>
        <v>Mchinji District [kxuuIFpOXyO]|01-09|Female</v>
      </c>
      <c r="F213" s="229">
        <v>161</v>
      </c>
      <c r="G213" s="38">
        <v>26</v>
      </c>
      <c r="H213" s="38">
        <v>13</v>
      </c>
      <c r="I213" s="38">
        <v>155</v>
      </c>
      <c r="J213" s="38">
        <v>313</v>
      </c>
      <c r="K213" s="38">
        <v>250</v>
      </c>
      <c r="L213" s="38">
        <v>8</v>
      </c>
      <c r="M213" s="38">
        <v>8</v>
      </c>
      <c r="N213" s="38">
        <v>163</v>
      </c>
      <c r="O213" s="229">
        <v>161</v>
      </c>
      <c r="P213" s="38">
        <v>145</v>
      </c>
      <c r="Q213" s="38">
        <v>138</v>
      </c>
      <c r="R213" s="38">
        <f t="shared" si="54"/>
        <v>6</v>
      </c>
      <c r="S213" s="38">
        <f>IF(LEFT($B213,4)="_Mil","",_xlfn.IFNA(ROUND(INDEX(Spectrum!$N:$N,MATCH(RIGHT($B213,13)&amp;"|"&amp;$C213&amp;"|"&amp;$D213&amp;"|"&amp;S$14&amp;"|"&amp;"CY2023Q4",Spectrum!$R:$R,0)),0),""))</f>
        <v>145</v>
      </c>
      <c r="T213" s="218">
        <f>IF(LEFT($B213,4)="_Mil","",_xlfn.IFNA(ROUND(INDEX(Spectrum!$N:$N,MATCH(RIGHT($B213,13)&amp;"|"&amp;$C213&amp;"|"&amp;$D213&amp;"|"&amp;T$14&amp;"|"&amp;"CY2024Q3",Spectrum!$R:$R,0)),0),""))</f>
        <v>93298</v>
      </c>
      <c r="U213" s="218">
        <f>IF(LEFT($B213,4)="_Mil","",_xlfn.IFNA(ROUND(INDEX(Spectrum!$N:$N,MATCH(RIGHT($B213,13)&amp;"|"&amp;$C213&amp;"|"&amp;$D213&amp;"|"&amp;U$14&amp;"|"&amp;"CY2024Q3",Spectrum!$R:$R,0)),0),""))</f>
        <v>194</v>
      </c>
      <c r="V213" s="38">
        <f>IF(LEFT($B213,4)="_Mil","",_xlfn.IFNA(ROUND(INDEX(Spectrum!$N:$N,MATCH(RIGHT($B213,13)&amp;"|"&amp;$C213&amp;"|"&amp;$D213&amp;"|"&amp;V$14&amp;"|"&amp;"CY2024Q3",Spectrum!$R:$R,0)),0),""))</f>
        <v>214</v>
      </c>
      <c r="W213" s="220">
        <f>IF(LEFT($B213,4)="_Mil","",_xlfn.IFNA(INDEX(Spectrum!$N:$N,MATCH(RIGHT($B213,13)&amp;"|"&amp;$C213&amp;"|"&amp;$D213&amp;"|"&amp;W$14&amp;"|"&amp;"CY2024Q3",Spectrum!$R:$R,0)),""))</f>
        <v>2.080948E-3</v>
      </c>
      <c r="X213" s="218">
        <f>IF(LEFT($B213,4)="_Mil","",_xlfn.IFNA(ROUND(INDEX(Spectrum!$N:$N,MATCH(RIGHT($B213,13)&amp;"|"&amp;$C213&amp;"|"&amp;$D213&amp;"|"&amp;X$14&amp;"|"&amp;"CY2024Q3",Spectrum!$R:$R,0)),0),""))</f>
        <v>136</v>
      </c>
      <c r="Y213" s="33">
        <f t="shared" si="55"/>
        <v>0.7</v>
      </c>
      <c r="Z213" s="218">
        <f>IF(LEFT($B213,4)="_Mil","",_xlfn.IFNA(ROUND(INDEX(Spectrum!$N:$N,MATCH(RIGHT($B213,13)&amp;"|"&amp;$C213&amp;"|"&amp;$D213&amp;"|"&amp;Z$14&amp;"|"&amp;"CY2024Q3",Spectrum!$R:$R,0)),0),""))</f>
        <v>141</v>
      </c>
      <c r="AA213" s="33">
        <f>IF(LEFT($B213,4)="_Mil","",IFERROR(1/(1/INDEX(Spectrum!$N:$N,MATCH(RIGHT($B213,13)&amp;"|"&amp;$C213&amp;"|"&amp;$D213&amp;"|"&amp;AA$14&amp;"|"&amp;"CY2024Q3",Spectrum!$R:$R,0))),IF(SUM($U213)=0,"",SUM($Z213)/$U213)))</f>
        <v>0.65828417299999997</v>
      </c>
      <c r="AB213" s="33">
        <f t="shared" si="56"/>
        <v>1.036764705882353</v>
      </c>
      <c r="AC213" s="38">
        <f>IF(LEFT($B213,4)="_Mil","",_xlfn.IFNA(ROUND(INDEX(Spectrum!$N:$N,MATCH(RIGHT($B213,13)&amp;"|"&amp;$C213&amp;"|"&amp;$D213&amp;"|"&amp;AC$14&amp;"|"&amp;"CY2024Q3",Spectrum!$R:$R,0)),0),""))</f>
        <v>73</v>
      </c>
      <c r="AD213" s="38" t="str">
        <f>IF(LEFT($B213,4)="_Mil","",_xlfn.IFNA(ROUND(INDEX(Spectrum!$N:$N,MATCH(RIGHT($B213,13)&amp;"|"&amp;$C213&amp;"|"&amp;$D213&amp;"|"&amp;AD$14&amp;"|"&amp;"CY2024Q3",Spectrum!$R:$R,0)),0),""))</f>
        <v/>
      </c>
      <c r="AE213" s="33">
        <f t="shared" si="57"/>
        <v>0</v>
      </c>
      <c r="AF213" s="218" t="str">
        <f>IF(LEFT($B213,4)="_Mil","",_xlfn.IFNA(ROUND(INDEX(Spectrum!$N:$N,MATCH(RIGHT($B213,13)&amp;"|"&amp;$C213&amp;"|"&amp;$D213&amp;"|"&amp;AF$14&amp;"|"&amp;"CY2024Q3",Spectrum!$R:$R,0)),0),""))</f>
        <v/>
      </c>
      <c r="AG213" s="33" t="str">
        <f t="shared" si="58"/>
        <v/>
      </c>
      <c r="AH213" s="110" t="str">
        <f>IF(LEFT($B213,4)="_Mil","",_xlfn.IFNA(INDEX(Spectrum!$N:$N,MATCH(RIGHT($B213,13)&amp;"|"&amp;$C213&amp;"|"&amp;$D213&amp;"|"&amp;AH$14&amp;"|"&amp;"CY2024Q3",Spectrum!$R:$R,0)),""))</f>
        <v/>
      </c>
      <c r="AI213" s="218">
        <f>IF(LEFT($B213,4)="_Mil","",_xlfn.IFNA(ROUND(INDEX(Spectrum!$N:$N,MATCH(RIGHT($B213,13)&amp;"|"&amp;$C213&amp;"|"&amp;$D213&amp;"|"&amp;AI$14&amp;"|"&amp;"CY2025Q3",Spectrum!$R:$R,0)),0),""))</f>
        <v>3</v>
      </c>
      <c r="AJ213" s="38">
        <f>IF(LEFT($B213,4)="_Mil","",_xlfn.IFNA(ROUND(INDEX(Spectrum!$N:$N,MATCH(RIGHT($B213,13)&amp;"|"&amp;$C213&amp;"|"&amp;$D213&amp;"|"&amp;AJ$14&amp;"|"&amp;"CY2025Q3",Spectrum!$R:$R,0)),0),""))</f>
        <v>167</v>
      </c>
      <c r="AK213" s="218" t="e">
        <f>#REF!</f>
        <v>#REF!</v>
      </c>
      <c r="AL213" s="33">
        <f t="shared" si="59"/>
        <v>0.9</v>
      </c>
      <c r="AM213" s="38" t="e">
        <f>IF(OR(LEFT($B213,4)="_Mil",$C213="&lt;01"),"",ROUND(SUM($AK213)*SUM($AL213),0))</f>
        <v>#REF!</v>
      </c>
      <c r="AN213" s="38" t="str">
        <f>IF($C213="&lt;01",ROUND(INDEX(EID!$P:$P,MATCH($B213,EID!$B:$B,0))/2,0),"")</f>
        <v/>
      </c>
      <c r="AO213" s="38" t="e">
        <f>IF($C213="&lt;01",SUM($AN213),ROUND(SUM($AM213)*SUM($O213)/IF(SUM($Z213)=0,1,$Z213),0))</f>
        <v>#REF!</v>
      </c>
      <c r="AP213" s="218">
        <f>IF(OR($F213="",$C213="&lt;01"),$AO213,ROUND($F213,0))</f>
        <v>161</v>
      </c>
      <c r="AQ213" s="218">
        <f>IF(LEFT($B213,4)="_Mil","",IF(SUM($AP213)=0,SUM($Z213),IF(OR(SUM($Z213)=0,SUM($O213)=0),MAX($AP213,$Z213),ROUND($AP213*$Z213/$O213,0))))</f>
        <v>141</v>
      </c>
      <c r="AR213" s="33" t="e">
        <f>IF(OR(LEFT($B213,4)="_Mil",SUM($AK213)=0),"",SUM($AQ213)/$AK213)</f>
        <v>#REF!</v>
      </c>
      <c r="AS213" s="33">
        <f t="shared" si="52"/>
        <v>0.98</v>
      </c>
      <c r="AT213" s="33">
        <f t="shared" si="49"/>
        <v>0.98</v>
      </c>
      <c r="AU213" s="38">
        <f>IF($C213="&lt;01","",SUM($AP213)-SUM($O213))</f>
        <v>0</v>
      </c>
      <c r="AV213" s="38">
        <f>IF($C213="&lt;01",ROUND(INDEX(EID!$N:$N,MATCH($B213,EID!$B:$B,0))/2,0),IF(SUM($AT213)=0,"",ROUND((SUM($AP213)-(SUM($O213)*SUM($AS213)))/$AT213,0)))</f>
        <v>3</v>
      </c>
      <c r="AW213" s="33">
        <f t="shared" si="60"/>
        <v>1</v>
      </c>
      <c r="AX213" s="218">
        <f>IF($C213="&lt;01",SUM($AV213),ROUND(SUM($AV213)*SUM($AW213),0))</f>
        <v>3</v>
      </c>
      <c r="AY213" s="79">
        <f t="shared" si="61"/>
        <v>0.7</v>
      </c>
      <c r="AZ213" s="85">
        <f>IF($C213="&lt;01",ROUND(INDEX(EID!$R:$R,MATCH($B213,EID!$B:$B,0))/2,0),ROUND(SUM($O213)+(SUM($AV213)*$AY213),0))</f>
        <v>163</v>
      </c>
      <c r="BA213" s="40">
        <f t="shared" si="47"/>
        <v>0.9</v>
      </c>
      <c r="BB213" s="99">
        <f>IF($C213="&lt;01",ROUND(INDEX(EID!$T:$T,MATCH($B213,EID!$B:$B,0))/2,0),ROUND($AP213*$BA213,0))</f>
        <v>145</v>
      </c>
      <c r="BC213" s="85">
        <f>IF(LEFT($B213,4)="_Mil","",IF(SUM($BB213)=0,SUM($AD213),IF(OR(SUM($AP213)=0,SUM($AQ213)=0),MAX($BB213,$AD213),ROUND($BB213*$AQ213/$AP213,0))))</f>
        <v>127</v>
      </c>
      <c r="BD213" s="33">
        <f t="shared" si="62"/>
        <v>0.95</v>
      </c>
      <c r="BE213" s="218">
        <f>IF($C213="&lt;01",ROUND(INDEX(EID!$V:$V,MATCH($B213,EID!$B:$B,0))/2,0),ROUND($BD213*$BB213,0))</f>
        <v>138</v>
      </c>
      <c r="BF213" s="218">
        <f>IF(LEFT($B213,4)="_Mil","",IF(SUM($BE213)=0,SUM($AF213),IF(OR(SUM($AP213)=0,SUM($AQ213)=0),MAX($BE213,$AF213),ROUND($BE213*$AQ213/$AP213,0))))</f>
        <v>121</v>
      </c>
      <c r="BG213" s="79">
        <f t="shared" si="63"/>
        <v>0.95</v>
      </c>
      <c r="BH213" s="99">
        <f>IF($C213="&lt;01",ROUND(INDEX(EID!$L:$L,MATCH($B213,EID!$B:$B,0)),0)/2,IF(SUM($BG213)=0,"",ROUND($AX213/$BG213,0)))</f>
        <v>3</v>
      </c>
    </row>
    <row r="214" spans="1:60" x14ac:dyDescent="0.2">
      <c r="A214" t="str">
        <f>INDEX(Prioritization!$D:$D,MATCH($B214,Prioritization!$A:$A,0))</f>
        <v>4 - Sustained</v>
      </c>
      <c r="B214" t="s">
        <v>302</v>
      </c>
      <c r="C214" t="s">
        <v>473</v>
      </c>
      <c r="D214" t="s">
        <v>48</v>
      </c>
      <c r="E214" t="str">
        <f t="shared" si="53"/>
        <v>Mchinji District [kxuuIFpOXyO]|01-09|Male</v>
      </c>
      <c r="F214" s="229">
        <v>161</v>
      </c>
      <c r="G214" s="38">
        <v>35</v>
      </c>
      <c r="H214" s="38">
        <v>26</v>
      </c>
      <c r="I214" s="38">
        <v>150</v>
      </c>
      <c r="J214" s="38">
        <v>198</v>
      </c>
      <c r="K214" s="38">
        <v>160</v>
      </c>
      <c r="L214" s="38">
        <v>8</v>
      </c>
      <c r="M214" s="38">
        <v>8</v>
      </c>
      <c r="N214" s="38">
        <v>173</v>
      </c>
      <c r="O214" s="229">
        <v>161</v>
      </c>
      <c r="P214" s="38">
        <v>154</v>
      </c>
      <c r="Q214" s="38">
        <v>146</v>
      </c>
      <c r="R214" s="38">
        <f t="shared" si="54"/>
        <v>11</v>
      </c>
      <c r="S214" s="38">
        <f>IF(LEFT($B214,4)="_Mil","",_xlfn.IFNA(ROUND(INDEX(Spectrum!$N:$N,MATCH(RIGHT($B214,13)&amp;"|"&amp;$C214&amp;"|"&amp;$D214&amp;"|"&amp;S$14&amp;"|"&amp;"CY2023Q4",Spectrum!$R:$R,0)),0),""))</f>
        <v>150</v>
      </c>
      <c r="T214" s="218">
        <f>IF(LEFT($B214,4)="_Mil","",_xlfn.IFNA(ROUND(INDEX(Spectrum!$N:$N,MATCH(RIGHT($B214,13)&amp;"|"&amp;$C214&amp;"|"&amp;$D214&amp;"|"&amp;T$14&amp;"|"&amp;"CY2024Q3",Spectrum!$R:$R,0)),0),""))</f>
        <v>92862</v>
      </c>
      <c r="U214" s="218">
        <f>IF(LEFT($B214,4)="_Mil","",_xlfn.IFNA(ROUND(INDEX(Spectrum!$N:$N,MATCH(RIGHT($B214,13)&amp;"|"&amp;$C214&amp;"|"&amp;$D214&amp;"|"&amp;U$14&amp;"|"&amp;"CY2024Q3",Spectrum!$R:$R,0)),0),""))</f>
        <v>194</v>
      </c>
      <c r="V214" s="38">
        <f>IF(LEFT($B214,4)="_Mil","",_xlfn.IFNA(ROUND(INDEX(Spectrum!$N:$N,MATCH(RIGHT($B214,13)&amp;"|"&amp;$C214&amp;"|"&amp;$D214&amp;"|"&amp;V$14&amp;"|"&amp;"CY2024Q3",Spectrum!$R:$R,0)),0),""))</f>
        <v>214</v>
      </c>
      <c r="W214" s="220">
        <f>IF(LEFT($B214,4)="_Mil","",_xlfn.IFNA(INDEX(Spectrum!$N:$N,MATCH(RIGHT($B214,13)&amp;"|"&amp;$C214&amp;"|"&amp;$D214&amp;"|"&amp;W$14&amp;"|"&amp;"CY2024Q3",Spectrum!$R:$R,0)),""))</f>
        <v>2.0914050000000002E-3</v>
      </c>
      <c r="X214" s="218">
        <f>IF(LEFT($B214,4)="_Mil","",_xlfn.IFNA(ROUND(INDEX(Spectrum!$N:$N,MATCH(RIGHT($B214,13)&amp;"|"&amp;$C214&amp;"|"&amp;$D214&amp;"|"&amp;X$14&amp;"|"&amp;"CY2024Q3",Spectrum!$R:$R,0)),0),""))</f>
        <v>136</v>
      </c>
      <c r="Y214" s="33">
        <f t="shared" si="55"/>
        <v>0.7</v>
      </c>
      <c r="Z214" s="218">
        <f>IF(LEFT($B214,4)="_Mil","",_xlfn.IFNA(ROUND(INDEX(Spectrum!$N:$N,MATCH(RIGHT($B214,13)&amp;"|"&amp;$C214&amp;"|"&amp;$D214&amp;"|"&amp;Z$14&amp;"|"&amp;"CY2024Q3",Spectrum!$R:$R,0)),0),""))</f>
        <v>146</v>
      </c>
      <c r="AA214" s="33">
        <f>IF(LEFT($B214,4)="_Mil","",IFERROR(1/(1/INDEX(Spectrum!$N:$N,MATCH(RIGHT($B214,13)&amp;"|"&amp;$C214&amp;"|"&amp;$D214&amp;"|"&amp;AA$14&amp;"|"&amp;"CY2024Q3",Spectrum!$R:$R,0))),IF(SUM($U214)=0,"",SUM($Z214)/$U214)))</f>
        <v>0.65826665900000003</v>
      </c>
      <c r="AB214" s="33">
        <f t="shared" si="56"/>
        <v>1.0735294117647058</v>
      </c>
      <c r="AC214" s="38">
        <f>IF(LEFT($B214,4)="_Mil","",_xlfn.IFNA(ROUND(INDEX(Spectrum!$N:$N,MATCH(RIGHT($B214,13)&amp;"|"&amp;$C214&amp;"|"&amp;$D214&amp;"|"&amp;AC$14&amp;"|"&amp;"CY2024Q3",Spectrum!$R:$R,0)),0),""))</f>
        <v>68</v>
      </c>
      <c r="AD214" s="38" t="str">
        <f>IF(LEFT($B214,4)="_Mil","",_xlfn.IFNA(ROUND(INDEX(Spectrum!$N:$N,MATCH(RIGHT($B214,13)&amp;"|"&amp;$C214&amp;"|"&amp;$D214&amp;"|"&amp;AD$14&amp;"|"&amp;"CY2024Q3",Spectrum!$R:$R,0)),0),""))</f>
        <v/>
      </c>
      <c r="AE214" s="33">
        <f t="shared" si="57"/>
        <v>0</v>
      </c>
      <c r="AF214" s="218" t="str">
        <f>IF(LEFT($B214,4)="_Mil","",_xlfn.IFNA(ROUND(INDEX(Spectrum!$N:$N,MATCH(RIGHT($B214,13)&amp;"|"&amp;$C214&amp;"|"&amp;$D214&amp;"|"&amp;AF$14&amp;"|"&amp;"CY2024Q3",Spectrum!$R:$R,0)),0),""))</f>
        <v/>
      </c>
      <c r="AG214" s="33" t="str">
        <f t="shared" si="58"/>
        <v/>
      </c>
      <c r="AH214" s="110" t="str">
        <f>IF(LEFT($B214,4)="_Mil","",_xlfn.IFNA(INDEX(Spectrum!$N:$N,MATCH(RIGHT($B214,13)&amp;"|"&amp;$C214&amp;"|"&amp;$D214&amp;"|"&amp;AH$14&amp;"|"&amp;"CY2024Q3",Spectrum!$R:$R,0)),""))</f>
        <v/>
      </c>
      <c r="AI214" s="218">
        <f>IF(LEFT($B214,4)="_Mil","",_xlfn.IFNA(ROUND(INDEX(Spectrum!$N:$N,MATCH(RIGHT($B214,13)&amp;"|"&amp;$C214&amp;"|"&amp;$D214&amp;"|"&amp;AI$14&amp;"|"&amp;"CY2025Q3",Spectrum!$R:$R,0)),0),""))</f>
        <v>3</v>
      </c>
      <c r="AJ214" s="38">
        <f>IF(LEFT($B214,4)="_Mil","",_xlfn.IFNA(ROUND(INDEX(Spectrum!$N:$N,MATCH(RIGHT($B214,13)&amp;"|"&amp;$C214&amp;"|"&amp;$D214&amp;"|"&amp;AJ$14&amp;"|"&amp;"CY2025Q3",Spectrum!$R:$R,0)),0),""))</f>
        <v>168</v>
      </c>
      <c r="AK214" s="218" t="e">
        <f>#REF!</f>
        <v>#REF!</v>
      </c>
      <c r="AL214" s="33">
        <f t="shared" si="59"/>
        <v>0.9</v>
      </c>
      <c r="AM214" s="38" t="e">
        <f>IF(OR(LEFT($B214,4)="_Mil",$C214="&lt;01"),"",ROUND(SUM($AK214)*SUM($AL214),0))</f>
        <v>#REF!</v>
      </c>
      <c r="AN214" s="38" t="str">
        <f>IF($C214="&lt;01",ROUND(INDEX(EID!$P:$P,MATCH($B214,EID!$B:$B,0))/2,0),"")</f>
        <v/>
      </c>
      <c r="AO214" s="38" t="e">
        <f>IF($C214="&lt;01",SUM($AN214),ROUND(SUM($AM214)*SUM($O214)/IF(SUM($Z214)=0,1,$Z214),0))</f>
        <v>#REF!</v>
      </c>
      <c r="AP214" s="218">
        <f>IF(OR($F214="",$C214="&lt;01"),$AO214,ROUND($F214,0))</f>
        <v>161</v>
      </c>
      <c r="AQ214" s="218">
        <f>IF(LEFT($B214,4)="_Mil","",IF(SUM($AP214)=0,SUM($Z214),IF(OR(SUM($Z214)=0,SUM($O214)=0),MAX($AP214,$Z214),ROUND($AP214*$Z214/$O214,0))))</f>
        <v>146</v>
      </c>
      <c r="AR214" s="33" t="e">
        <f>IF(OR(LEFT($B214,4)="_Mil",SUM($AK214)=0),"",SUM($AQ214)/$AK214)</f>
        <v>#REF!</v>
      </c>
      <c r="AS214" s="33">
        <f t="shared" si="52"/>
        <v>0.98</v>
      </c>
      <c r="AT214" s="33">
        <f t="shared" si="49"/>
        <v>0.98</v>
      </c>
      <c r="AU214" s="38">
        <f>IF($C214="&lt;01","",SUM($AP214)-SUM($O214))</f>
        <v>0</v>
      </c>
      <c r="AV214" s="38">
        <f>IF($C214="&lt;01",ROUND(INDEX(EID!$N:$N,MATCH($B214,EID!$B:$B,0))/2,0),IF(SUM($AT214)=0,"",ROUND((SUM($AP214)-(SUM($O214)*SUM($AS214)))/$AT214,0)))</f>
        <v>3</v>
      </c>
      <c r="AW214" s="33">
        <f t="shared" si="60"/>
        <v>1</v>
      </c>
      <c r="AX214" s="218">
        <f>IF($C214="&lt;01",SUM($AV214),ROUND(SUM($AV214)*SUM($AW214),0))</f>
        <v>3</v>
      </c>
      <c r="AY214" s="79">
        <f t="shared" si="61"/>
        <v>0.7</v>
      </c>
      <c r="AZ214" s="85">
        <f>IF($C214="&lt;01",ROUND(INDEX(EID!$R:$R,MATCH($B214,EID!$B:$B,0))/2,0),ROUND(SUM($O214)+(SUM($AV214)*$AY214),0))</f>
        <v>163</v>
      </c>
      <c r="BA214" s="40">
        <f t="shared" si="47"/>
        <v>0.9</v>
      </c>
      <c r="BB214" s="99">
        <f>IF($C214="&lt;01",ROUND(INDEX(EID!$T:$T,MATCH($B214,EID!$B:$B,0))/2,0),ROUND($AP214*$BA214,0))</f>
        <v>145</v>
      </c>
      <c r="BC214" s="85">
        <f>IF(LEFT($B214,4)="_Mil","",IF(SUM($BB214)=0,SUM($AD214),IF(OR(SUM($AP214)=0,SUM($AQ214)=0),MAX($BB214,$AD214),ROUND($BB214*$AQ214/$AP214,0))))</f>
        <v>131</v>
      </c>
      <c r="BD214" s="33">
        <f t="shared" si="62"/>
        <v>0.95</v>
      </c>
      <c r="BE214" s="218">
        <f>IF($C214="&lt;01",ROUND(INDEX(EID!$V:$V,MATCH($B214,EID!$B:$B,0))/2,0),ROUND($BD214*$BB214,0))</f>
        <v>138</v>
      </c>
      <c r="BF214" s="218">
        <f>IF(LEFT($B214,4)="_Mil","",IF(SUM($BE214)=0,SUM($AF214),IF(OR(SUM($AP214)=0,SUM($AQ214)=0),MAX($BE214,$AF214),ROUND($BE214*$AQ214/$AP214,0))))</f>
        <v>125</v>
      </c>
      <c r="BG214" s="79">
        <f t="shared" si="63"/>
        <v>0.95</v>
      </c>
      <c r="BH214" s="99">
        <f>IF($C214="&lt;01",ROUND(INDEX(EID!$L:$L,MATCH($B214,EID!$B:$B,0)),0)/2,IF(SUM($BG214)=0,"",ROUND($AX214/$BG214,0)))</f>
        <v>3</v>
      </c>
    </row>
    <row r="215" spans="1:60" x14ac:dyDescent="0.2">
      <c r="A215" t="str">
        <f>INDEX(Prioritization!$D:$D,MATCH($B215,Prioritization!$A:$A,0))</f>
        <v>4 - Sustained</v>
      </c>
      <c r="B215" t="s">
        <v>302</v>
      </c>
      <c r="C215" t="s">
        <v>474</v>
      </c>
      <c r="D215" t="s">
        <v>30</v>
      </c>
      <c r="E215" t="str">
        <f t="shared" si="53"/>
        <v>Mchinji District [kxuuIFpOXyO]|10-14|Female</v>
      </c>
      <c r="F215" s="229">
        <v>210</v>
      </c>
      <c r="G215" s="38">
        <v>15</v>
      </c>
      <c r="H215" s="38">
        <v>6</v>
      </c>
      <c r="I215" s="38">
        <v>202</v>
      </c>
      <c r="J215" s="38">
        <v>243</v>
      </c>
      <c r="K215" s="38">
        <v>182</v>
      </c>
      <c r="L215" s="38">
        <v>24</v>
      </c>
      <c r="M215" s="38">
        <v>23</v>
      </c>
      <c r="N215" s="38">
        <v>202</v>
      </c>
      <c r="O215" s="229">
        <v>206</v>
      </c>
      <c r="P215" s="38">
        <v>169</v>
      </c>
      <c r="Q215" s="38">
        <v>161</v>
      </c>
      <c r="R215" s="38">
        <f t="shared" si="54"/>
        <v>4</v>
      </c>
      <c r="S215" s="38">
        <f>IF(LEFT($B215,4)="_Mil","",_xlfn.IFNA(ROUND(INDEX(Spectrum!$N:$N,MATCH(RIGHT($B215,13)&amp;"|"&amp;$C215&amp;"|"&amp;$D215&amp;"|"&amp;S$14&amp;"|"&amp;"CY2023Q4",Spectrum!$R:$R,0)),0),""))</f>
        <v>191</v>
      </c>
      <c r="T215" s="218">
        <f>IF(LEFT($B215,4)="_Mil","",_xlfn.IFNA(ROUND(INDEX(Spectrum!$N:$N,MATCH(RIGHT($B215,13)&amp;"|"&amp;$C215&amp;"|"&amp;$D215&amp;"|"&amp;T$14&amp;"|"&amp;"CY2024Q3",Spectrum!$R:$R,0)),0),""))</f>
        <v>49750</v>
      </c>
      <c r="U215" s="218">
        <f>IF(LEFT($B215,4)="_Mil","",_xlfn.IFNA(ROUND(INDEX(Spectrum!$N:$N,MATCH(RIGHT($B215,13)&amp;"|"&amp;$C215&amp;"|"&amp;$D215&amp;"|"&amp;U$14&amp;"|"&amp;"CY2024Q3",Spectrum!$R:$R,0)),0),""))</f>
        <v>248</v>
      </c>
      <c r="V215" s="38">
        <f>IF(LEFT($B215,4)="_Mil","",_xlfn.IFNA(ROUND(INDEX(Spectrum!$N:$N,MATCH(RIGHT($B215,13)&amp;"|"&amp;$C215&amp;"|"&amp;$D215&amp;"|"&amp;V$14&amp;"|"&amp;"CY2024Q3",Spectrum!$R:$R,0)),0),""))</f>
        <v>273</v>
      </c>
      <c r="W215" s="220">
        <f>IF(LEFT($B215,4)="_Mil","",_xlfn.IFNA(INDEX(Spectrum!$N:$N,MATCH(RIGHT($B215,13)&amp;"|"&amp;$C215&amp;"|"&amp;$D215&amp;"|"&amp;W$14&amp;"|"&amp;"CY2024Q3",Spectrum!$R:$R,0)),""))</f>
        <v>4.9892570000000004E-3</v>
      </c>
      <c r="X215" s="218">
        <f>IF(LEFT($B215,4)="_Mil","",_xlfn.IFNA(ROUND(INDEX(Spectrum!$N:$N,MATCH(RIGHT($B215,13)&amp;"|"&amp;$C215&amp;"|"&amp;$D215&amp;"|"&amp;X$14&amp;"|"&amp;"CY2024Q3",Spectrum!$R:$R,0)),0),""))</f>
        <v>184</v>
      </c>
      <c r="Y215" s="33">
        <f t="shared" si="55"/>
        <v>0.74</v>
      </c>
      <c r="Z215" s="218">
        <f>IF(LEFT($B215,4)="_Mil","",_xlfn.IFNA(ROUND(INDEX(Spectrum!$N:$N,MATCH(RIGHT($B215,13)&amp;"|"&amp;$C215&amp;"|"&amp;$D215&amp;"|"&amp;Z$14&amp;"|"&amp;"CY2024Q3",Spectrum!$R:$R,0)),0),""))</f>
        <v>189</v>
      </c>
      <c r="AA215" s="33">
        <f>IF(LEFT($B215,4)="_Mil","",IFERROR(1/(1/INDEX(Spectrum!$N:$N,MATCH(RIGHT($B215,13)&amp;"|"&amp;$C215&amp;"|"&amp;$D215&amp;"|"&amp;AA$14&amp;"|"&amp;"CY2024Q3",Spectrum!$R:$R,0))),IF(SUM($U215)=0,"",SUM($Z215)/$U215)))</f>
        <v>0.69849032899999997</v>
      </c>
      <c r="AB215" s="33">
        <f t="shared" si="56"/>
        <v>1.0271739130434783</v>
      </c>
      <c r="AC215" s="38">
        <f>IF(LEFT($B215,4)="_Mil","",_xlfn.IFNA(ROUND(INDEX(Spectrum!$N:$N,MATCH(RIGHT($B215,13)&amp;"|"&amp;$C215&amp;"|"&amp;$D215&amp;"|"&amp;AC$14&amp;"|"&amp;"CY2024Q3",Spectrum!$R:$R,0)),0),""))</f>
        <v>84</v>
      </c>
      <c r="AD215" s="38" t="str">
        <f>IF(LEFT($B215,4)="_Mil","",_xlfn.IFNA(ROUND(INDEX(Spectrum!$N:$N,MATCH(RIGHT($B215,13)&amp;"|"&amp;$C215&amp;"|"&amp;$D215&amp;"|"&amp;AD$14&amp;"|"&amp;"CY2024Q3",Spectrum!$R:$R,0)),0),""))</f>
        <v/>
      </c>
      <c r="AE215" s="33">
        <f t="shared" si="57"/>
        <v>0</v>
      </c>
      <c r="AF215" s="218" t="str">
        <f>IF(LEFT($B215,4)="_Mil","",_xlfn.IFNA(ROUND(INDEX(Spectrum!$N:$N,MATCH(RIGHT($B215,13)&amp;"|"&amp;$C215&amp;"|"&amp;$D215&amp;"|"&amp;AF$14&amp;"|"&amp;"CY2024Q3",Spectrum!$R:$R,0)),0),""))</f>
        <v/>
      </c>
      <c r="AG215" s="33" t="str">
        <f t="shared" si="58"/>
        <v/>
      </c>
      <c r="AH215" s="110" t="str">
        <f>IF(LEFT($B215,4)="_Mil","",_xlfn.IFNA(INDEX(Spectrum!$N:$N,MATCH(RIGHT($B215,13)&amp;"|"&amp;$C215&amp;"|"&amp;$D215&amp;"|"&amp;AH$14&amp;"|"&amp;"CY2024Q3",Spectrum!$R:$R,0)),""))</f>
        <v/>
      </c>
      <c r="AI215" s="218">
        <f>IF(LEFT($B215,4)="_Mil","",_xlfn.IFNA(ROUND(INDEX(Spectrum!$N:$N,MATCH(RIGHT($B215,13)&amp;"|"&amp;$C215&amp;"|"&amp;$D215&amp;"|"&amp;AI$14&amp;"|"&amp;"CY2025Q3",Spectrum!$R:$R,0)),0),""))</f>
        <v>0</v>
      </c>
      <c r="AJ215" s="38">
        <f>IF(LEFT($B215,4)="_Mil","",_xlfn.IFNA(ROUND(INDEX(Spectrum!$N:$N,MATCH(RIGHT($B215,13)&amp;"|"&amp;$C215&amp;"|"&amp;$D215&amp;"|"&amp;AJ$14&amp;"|"&amp;"CY2025Q3",Spectrum!$R:$R,0)),0),""))</f>
        <v>222</v>
      </c>
      <c r="AK215" s="218" t="e">
        <f>#REF!</f>
        <v>#REF!</v>
      </c>
      <c r="AL215" s="33">
        <f t="shared" si="59"/>
        <v>0.9</v>
      </c>
      <c r="AM215" s="38" t="e">
        <f>IF(OR(LEFT($B215,4)="_Mil",$C215="&lt;01"),"",ROUND(SUM($AK215)*SUM($AL215),0))</f>
        <v>#REF!</v>
      </c>
      <c r="AN215" s="38" t="str">
        <f>IF($C215="&lt;01",ROUND(INDEX(EID!$P:$P,MATCH($B215,EID!$B:$B,0))/2,0),"")</f>
        <v/>
      </c>
      <c r="AO215" s="38" t="e">
        <f>IF($C215="&lt;01",SUM($AN215),ROUND(SUM($AM215)*SUM($O215)/IF(SUM($Z215)=0,1,$Z215),0))</f>
        <v>#REF!</v>
      </c>
      <c r="AP215" s="218">
        <f>IF(OR($F215="",$C215="&lt;01"),$AO215,ROUND($F215,0))</f>
        <v>210</v>
      </c>
      <c r="AQ215" s="218">
        <f>IF(LEFT($B215,4)="_Mil","",IF(SUM($AP215)=0,SUM($Z215),IF(OR(SUM($Z215)=0,SUM($O215)=0),MAX($AP215,$Z215),ROUND($AP215*$Z215/$O215,0))))</f>
        <v>193</v>
      </c>
      <c r="AR215" s="33" t="e">
        <f>IF(OR(LEFT($B215,4)="_Mil",SUM($AK215)=0),"",SUM($AQ215)/$AK215)</f>
        <v>#REF!</v>
      </c>
      <c r="AS215" s="33">
        <f>IF($C215="&lt;01","",90%)</f>
        <v>0.9</v>
      </c>
      <c r="AT215" s="33">
        <f t="shared" si="49"/>
        <v>0.98</v>
      </c>
      <c r="AU215" s="38">
        <f>IF($C215="&lt;01","",SUM($AP215)-SUM($O215))</f>
        <v>4</v>
      </c>
      <c r="AV215" s="38">
        <f>IF($C215="&lt;01",ROUND(INDEX(EID!$N:$N,MATCH($B215,EID!$B:$B,0))/2,0),IF(SUM($AT215)=0,"",ROUND((SUM($AP215)-(SUM($O215)*SUM($AS215)))/$AT215,0)))</f>
        <v>25</v>
      </c>
      <c r="AW215" s="33">
        <f t="shared" si="60"/>
        <v>1</v>
      </c>
      <c r="AX215" s="218">
        <f>IF($C215="&lt;01",SUM($AV215),ROUND(SUM($AV215)*SUM($AW215),0))</f>
        <v>25</v>
      </c>
      <c r="AY215" s="79">
        <f t="shared" si="61"/>
        <v>0.7</v>
      </c>
      <c r="AZ215" s="85">
        <f>IF($C215="&lt;01",ROUND(INDEX(EID!$R:$R,MATCH($B215,EID!$B:$B,0))/2,0),ROUND(SUM($O215)+(SUM($AV215)*$AY215),0))</f>
        <v>224</v>
      </c>
      <c r="BA215" s="40">
        <f t="shared" si="47"/>
        <v>0.9</v>
      </c>
      <c r="BB215" s="99">
        <f>IF($C215="&lt;01",ROUND(INDEX(EID!$T:$T,MATCH($B215,EID!$B:$B,0))/2,0),ROUND($AP215*$BA215,0))</f>
        <v>189</v>
      </c>
      <c r="BC215" s="85">
        <f>IF(LEFT($B215,4)="_Mil","",IF(SUM($BB215)=0,SUM($AD215),IF(OR(SUM($AP215)=0,SUM($AQ215)=0),MAX($BB215,$AD215),ROUND($BB215*$AQ215/$AP215,0))))</f>
        <v>174</v>
      </c>
      <c r="BD215" s="33">
        <f t="shared" si="62"/>
        <v>0.95</v>
      </c>
      <c r="BE215" s="218">
        <f>IF($C215="&lt;01",ROUND(INDEX(EID!$V:$V,MATCH($B215,EID!$B:$B,0))/2,0),ROUND($BD215*$BB215,0))</f>
        <v>180</v>
      </c>
      <c r="BF215" s="218">
        <f>IF(LEFT($B215,4)="_Mil","",IF(SUM($BE215)=0,SUM($AF215),IF(OR(SUM($AP215)=0,SUM($AQ215)=0),MAX($BE215,$AF215),ROUND($BE215*$AQ215/$AP215,0))))</f>
        <v>165</v>
      </c>
      <c r="BG215" s="79">
        <f t="shared" si="63"/>
        <v>0.95</v>
      </c>
      <c r="BH215" s="99">
        <f>IF($C215="&lt;01",ROUND(INDEX(EID!$L:$L,MATCH($B215,EID!$B:$B,0)),0)/2,IF(SUM($BG215)=0,"",ROUND($AX215/$BG215,0)))</f>
        <v>26</v>
      </c>
    </row>
    <row r="216" spans="1:60" x14ac:dyDescent="0.2">
      <c r="A216" t="str">
        <f>INDEX(Prioritization!$D:$D,MATCH($B216,Prioritization!$A:$A,0))</f>
        <v>4 - Sustained</v>
      </c>
      <c r="B216" t="s">
        <v>302</v>
      </c>
      <c r="C216" t="s">
        <v>474</v>
      </c>
      <c r="D216" t="s">
        <v>48</v>
      </c>
      <c r="E216" t="str">
        <f t="shared" si="53"/>
        <v>Mchinji District [kxuuIFpOXyO]|10-14|Male</v>
      </c>
      <c r="F216" s="229">
        <v>204</v>
      </c>
      <c r="G216" s="38">
        <v>11</v>
      </c>
      <c r="H216" s="38">
        <v>9</v>
      </c>
      <c r="I216" s="38">
        <v>183</v>
      </c>
      <c r="J216" s="38">
        <v>205</v>
      </c>
      <c r="K216" s="38">
        <v>142</v>
      </c>
      <c r="L216" s="38">
        <v>25</v>
      </c>
      <c r="M216" s="38">
        <v>24</v>
      </c>
      <c r="N216" s="38">
        <v>214</v>
      </c>
      <c r="O216" s="229">
        <v>204</v>
      </c>
      <c r="P216" s="38">
        <v>179</v>
      </c>
      <c r="Q216" s="38">
        <v>170</v>
      </c>
      <c r="R216" s="38">
        <f t="shared" si="54"/>
        <v>21</v>
      </c>
      <c r="S216" s="38">
        <f>IF(LEFT($B216,4)="_Mil","",_xlfn.IFNA(ROUND(INDEX(Spectrum!$N:$N,MATCH(RIGHT($B216,13)&amp;"|"&amp;$C216&amp;"|"&amp;$D216&amp;"|"&amp;S$14&amp;"|"&amp;"CY2023Q4",Spectrum!$R:$R,0)),0),""))</f>
        <v>196</v>
      </c>
      <c r="T216" s="218">
        <f>IF(LEFT($B216,4)="_Mil","",_xlfn.IFNA(ROUND(INDEX(Spectrum!$N:$N,MATCH(RIGHT($B216,13)&amp;"|"&amp;$C216&amp;"|"&amp;$D216&amp;"|"&amp;T$14&amp;"|"&amp;"CY2024Q3",Spectrum!$R:$R,0)),0),""))</f>
        <v>49600</v>
      </c>
      <c r="U216" s="218">
        <f>IF(LEFT($B216,4)="_Mil","",_xlfn.IFNA(ROUND(INDEX(Spectrum!$N:$N,MATCH(RIGHT($B216,13)&amp;"|"&amp;$C216&amp;"|"&amp;$D216&amp;"|"&amp;U$14&amp;"|"&amp;"CY2024Q3",Spectrum!$R:$R,0)),0),""))</f>
        <v>247</v>
      </c>
      <c r="V216" s="38">
        <f>IF(LEFT($B216,4)="_Mil","",_xlfn.IFNA(ROUND(INDEX(Spectrum!$N:$N,MATCH(RIGHT($B216,13)&amp;"|"&amp;$C216&amp;"|"&amp;$D216&amp;"|"&amp;V$14&amp;"|"&amp;"CY2024Q3",Spectrum!$R:$R,0)),0),""))</f>
        <v>272</v>
      </c>
      <c r="W216" s="220">
        <f>IF(LEFT($B216,4)="_Mil","",_xlfn.IFNA(INDEX(Spectrum!$N:$N,MATCH(RIGHT($B216,13)&amp;"|"&amp;$C216&amp;"|"&amp;$D216&amp;"|"&amp;W$14&amp;"|"&amp;"CY2024Q3",Spectrum!$R:$R,0)),""))</f>
        <v>4.9821609999999997E-3</v>
      </c>
      <c r="X216" s="218">
        <f>IF(LEFT($B216,4)="_Mil","",_xlfn.IFNA(ROUND(INDEX(Spectrum!$N:$N,MATCH(RIGHT($B216,13)&amp;"|"&amp;$C216&amp;"|"&amp;$D216&amp;"|"&amp;X$14&amp;"|"&amp;"CY2024Q3",Spectrum!$R:$R,0)),0),""))</f>
        <v>183</v>
      </c>
      <c r="Y216" s="33">
        <f t="shared" si="55"/>
        <v>0.74</v>
      </c>
      <c r="Z216" s="218">
        <f>IF(LEFT($B216,4)="_Mil","",_xlfn.IFNA(ROUND(INDEX(Spectrum!$N:$N,MATCH(RIGHT($B216,13)&amp;"|"&amp;$C216&amp;"|"&amp;$D216&amp;"|"&amp;Z$14&amp;"|"&amp;"CY2024Q3",Spectrum!$R:$R,0)),0),""))</f>
        <v>194</v>
      </c>
      <c r="AA216" s="33">
        <f>IF(LEFT($B216,4)="_Mil","",IFERROR(1/(1/INDEX(Spectrum!$N:$N,MATCH(RIGHT($B216,13)&amp;"|"&amp;$C216&amp;"|"&amp;$D216&amp;"|"&amp;AA$14&amp;"|"&amp;"CY2024Q3",Spectrum!$R:$R,0))),IF(SUM($U216)=0,"",SUM($Z216)/$U216)))</f>
        <v>0.69812909199999995</v>
      </c>
      <c r="AB216" s="33">
        <f t="shared" si="56"/>
        <v>1.0601092896174864</v>
      </c>
      <c r="AC216" s="38">
        <f>IF(LEFT($B216,4)="_Mil","",_xlfn.IFNA(ROUND(INDEX(Spectrum!$N:$N,MATCH(RIGHT($B216,13)&amp;"|"&amp;$C216&amp;"|"&amp;$D216&amp;"|"&amp;AC$14&amp;"|"&amp;"CY2024Q3",Spectrum!$R:$R,0)),0),""))</f>
        <v>78</v>
      </c>
      <c r="AD216" s="38" t="str">
        <f>IF(LEFT($B216,4)="_Mil","",_xlfn.IFNA(ROUND(INDEX(Spectrum!$N:$N,MATCH(RIGHT($B216,13)&amp;"|"&amp;$C216&amp;"|"&amp;$D216&amp;"|"&amp;AD$14&amp;"|"&amp;"CY2024Q3",Spectrum!$R:$R,0)),0),""))</f>
        <v/>
      </c>
      <c r="AE216" s="33">
        <f t="shared" si="57"/>
        <v>0</v>
      </c>
      <c r="AF216" s="218" t="str">
        <f>IF(LEFT($B216,4)="_Mil","",_xlfn.IFNA(ROUND(INDEX(Spectrum!$N:$N,MATCH(RIGHT($B216,13)&amp;"|"&amp;$C216&amp;"|"&amp;$D216&amp;"|"&amp;AF$14&amp;"|"&amp;"CY2024Q3",Spectrum!$R:$R,0)),0),""))</f>
        <v/>
      </c>
      <c r="AG216" s="33" t="str">
        <f t="shared" si="58"/>
        <v/>
      </c>
      <c r="AH216" s="110" t="str">
        <f>IF(LEFT($B216,4)="_Mil","",_xlfn.IFNA(INDEX(Spectrum!$N:$N,MATCH(RIGHT($B216,13)&amp;"|"&amp;$C216&amp;"|"&amp;$D216&amp;"|"&amp;AH$14&amp;"|"&amp;"CY2024Q3",Spectrum!$R:$R,0)),""))</f>
        <v/>
      </c>
      <c r="AI216" s="218">
        <f>IF(LEFT($B216,4)="_Mil","",_xlfn.IFNA(ROUND(INDEX(Spectrum!$N:$N,MATCH(RIGHT($B216,13)&amp;"|"&amp;$C216&amp;"|"&amp;$D216&amp;"|"&amp;AI$14&amp;"|"&amp;"CY2025Q3",Spectrum!$R:$R,0)),0),""))</f>
        <v>0</v>
      </c>
      <c r="AJ216" s="38">
        <f>IF(LEFT($B216,4)="_Mil","",_xlfn.IFNA(ROUND(INDEX(Spectrum!$N:$N,MATCH(RIGHT($B216,13)&amp;"|"&amp;$C216&amp;"|"&amp;$D216&amp;"|"&amp;AJ$14&amp;"|"&amp;"CY2025Q3",Spectrum!$R:$R,0)),0),""))</f>
        <v>221</v>
      </c>
      <c r="AK216" s="218" t="e">
        <f>#REF!</f>
        <v>#REF!</v>
      </c>
      <c r="AL216" s="33">
        <f t="shared" si="59"/>
        <v>0.9</v>
      </c>
      <c r="AM216" s="38" t="e">
        <f>IF(OR(LEFT($B216,4)="_Mil",$C216="&lt;01"),"",ROUND(SUM($AK216)*SUM($AL216),0))</f>
        <v>#REF!</v>
      </c>
      <c r="AN216" s="38" t="str">
        <f>IF($C216="&lt;01",ROUND(INDEX(EID!$P:$P,MATCH($B216,EID!$B:$B,0))/2,0),"")</f>
        <v/>
      </c>
      <c r="AO216" s="38" t="e">
        <f>IF($C216="&lt;01",SUM($AN216),ROUND(SUM($AM216)*SUM($O216)/IF(SUM($Z216)=0,1,$Z216),0))</f>
        <v>#REF!</v>
      </c>
      <c r="AP216" s="218">
        <f>IF(OR($F216="",$C216="&lt;01"),$AO216,ROUND($F216,0))</f>
        <v>204</v>
      </c>
      <c r="AQ216" s="218">
        <f>IF(LEFT($B216,4)="_Mil","",IF(SUM($AP216)=0,SUM($Z216),IF(OR(SUM($Z216)=0,SUM($O216)=0),MAX($AP216,$Z216),ROUND($AP216*$Z216/$O216,0))))</f>
        <v>194</v>
      </c>
      <c r="AR216" s="33" t="e">
        <f>IF(OR(LEFT($B216,4)="_Mil",SUM($AK216)=0),"",SUM($AQ216)/$AK216)</f>
        <v>#REF!</v>
      </c>
      <c r="AS216" s="33">
        <f t="shared" si="52"/>
        <v>0.98</v>
      </c>
      <c r="AT216" s="33">
        <f t="shared" si="49"/>
        <v>0.98</v>
      </c>
      <c r="AU216" s="38">
        <f>IF($C216="&lt;01","",SUM($AP216)-SUM($O216))</f>
        <v>0</v>
      </c>
      <c r="AV216" s="38">
        <f>IF($C216="&lt;01",ROUND(INDEX(EID!$N:$N,MATCH($B216,EID!$B:$B,0))/2,0),IF(SUM($AT216)=0,"",ROUND((SUM($AP216)-(SUM($O216)*SUM($AS216)))/$AT216,0)))</f>
        <v>4</v>
      </c>
      <c r="AW216" s="33">
        <f t="shared" si="60"/>
        <v>1</v>
      </c>
      <c r="AX216" s="218">
        <f>IF($C216="&lt;01",SUM($AV216),ROUND(SUM($AV216)*SUM($AW216),0))</f>
        <v>4</v>
      </c>
      <c r="AY216" s="79">
        <f t="shared" si="61"/>
        <v>0.7</v>
      </c>
      <c r="AZ216" s="85">
        <f>IF($C216="&lt;01",ROUND(INDEX(EID!$R:$R,MATCH($B216,EID!$B:$B,0))/2,0),ROUND(SUM($O216)+(SUM($AV216)*$AY216),0))</f>
        <v>207</v>
      </c>
      <c r="BA216" s="40">
        <f t="shared" si="47"/>
        <v>0.9</v>
      </c>
      <c r="BB216" s="99">
        <f>IF($C216="&lt;01",ROUND(INDEX(EID!$T:$T,MATCH($B216,EID!$B:$B,0))/2,0),ROUND($AP216*$BA216,0))</f>
        <v>184</v>
      </c>
      <c r="BC216" s="85">
        <f>IF(LEFT($B216,4)="_Mil","",IF(SUM($BB216)=0,SUM($AD216),IF(OR(SUM($AP216)=0,SUM($AQ216)=0),MAX($BB216,$AD216),ROUND($BB216*$AQ216/$AP216,0))))</f>
        <v>175</v>
      </c>
      <c r="BD216" s="33">
        <f t="shared" si="62"/>
        <v>0.95</v>
      </c>
      <c r="BE216" s="218">
        <f>IF($C216="&lt;01",ROUND(INDEX(EID!$V:$V,MATCH($B216,EID!$B:$B,0))/2,0),ROUND($BD216*$BB216,0))</f>
        <v>175</v>
      </c>
      <c r="BF216" s="218">
        <f>IF(LEFT($B216,4)="_Mil","",IF(SUM($BE216)=0,SUM($AF216),IF(OR(SUM($AP216)=0,SUM($AQ216)=0),MAX($BE216,$AF216),ROUND($BE216*$AQ216/$AP216,0))))</f>
        <v>166</v>
      </c>
      <c r="BG216" s="79">
        <f t="shared" si="63"/>
        <v>0.95</v>
      </c>
      <c r="BH216" s="99">
        <f>IF($C216="&lt;01",ROUND(INDEX(EID!$L:$L,MATCH($B216,EID!$B:$B,0)),0)/2,IF(SUM($BG216)=0,"",ROUND($AX216/$BG216,0)))</f>
        <v>4</v>
      </c>
    </row>
    <row r="217" spans="1:60" x14ac:dyDescent="0.2">
      <c r="A217" t="str">
        <f>INDEX(Prioritization!$D:$D,MATCH($B217,Prioritization!$A:$A,0))</f>
        <v>4 - Sustained</v>
      </c>
      <c r="B217" t="s">
        <v>302</v>
      </c>
      <c r="C217" t="s">
        <v>475</v>
      </c>
      <c r="D217" t="s">
        <v>30</v>
      </c>
      <c r="E217" t="str">
        <f t="shared" si="53"/>
        <v>Mchinji District [kxuuIFpOXyO]|15-24|Female</v>
      </c>
      <c r="F217" s="229">
        <v>926</v>
      </c>
      <c r="G217" s="38">
        <v>260</v>
      </c>
      <c r="H217" s="38">
        <v>234</v>
      </c>
      <c r="I217" s="38">
        <v>933</v>
      </c>
      <c r="J217" s="38">
        <v>753</v>
      </c>
      <c r="K217" s="38">
        <v>613</v>
      </c>
      <c r="L217" s="38">
        <v>77</v>
      </c>
      <c r="M217" s="38">
        <v>74</v>
      </c>
      <c r="N217" s="38">
        <v>859</v>
      </c>
      <c r="O217" s="229">
        <v>947</v>
      </c>
      <c r="P217" s="38">
        <v>787</v>
      </c>
      <c r="Q217" s="38">
        <v>748</v>
      </c>
      <c r="R217" s="38">
        <f t="shared" si="54"/>
        <v>14</v>
      </c>
      <c r="S217" s="38">
        <f>IF(LEFT($B217,4)="_Mil","",_xlfn.IFNA(ROUND(INDEX(Spectrum!$N:$N,MATCH(RIGHT($B217,13)&amp;"|"&amp;$C217&amp;"|"&amp;$D217&amp;"|"&amp;S$14&amp;"|"&amp;"CY2023Q4",Spectrum!$R:$R,0)),0),""))</f>
        <v>891</v>
      </c>
      <c r="T217" s="218">
        <f>IF(LEFT($B217,4)="_Mil","",_xlfn.IFNA(ROUND(INDEX(Spectrum!$N:$N,MATCH(RIGHT($B217,13)&amp;"|"&amp;$C217&amp;"|"&amp;$D217&amp;"|"&amp;T$14&amp;"|"&amp;"CY2024Q3",Spectrum!$R:$R,0)),0),""))</f>
        <v>78824</v>
      </c>
      <c r="U217" s="218">
        <f>IF(LEFT($B217,4)="_Mil","",_xlfn.IFNA(ROUND(INDEX(Spectrum!$N:$N,MATCH(RIGHT($B217,13)&amp;"|"&amp;$C217&amp;"|"&amp;$D217&amp;"|"&amp;U$14&amp;"|"&amp;"CY2024Q3",Spectrum!$R:$R,0)),0),""))</f>
        <v>862</v>
      </c>
      <c r="V217" s="38">
        <f>IF(LEFT($B217,4)="_Mil","",_xlfn.IFNA(ROUND(INDEX(Spectrum!$N:$N,MATCH(RIGHT($B217,13)&amp;"|"&amp;$C217&amp;"|"&amp;$D217&amp;"|"&amp;V$14&amp;"|"&amp;"CY2024Q3",Spectrum!$R:$R,0)),0),""))</f>
        <v>947</v>
      </c>
      <c r="W217" s="220">
        <f>IF(LEFT($B217,4)="_Mil","",_xlfn.IFNA(INDEX(Spectrum!$N:$N,MATCH(RIGHT($B217,13)&amp;"|"&amp;$C217&amp;"|"&amp;$D217&amp;"|"&amp;W$14&amp;"|"&amp;"CY2024Q3",Spectrum!$R:$R,0)),""))</f>
        <v>1.0930039000000001E-2</v>
      </c>
      <c r="X217" s="218">
        <f>IF(LEFT($B217,4)="_Mil","",_xlfn.IFNA(ROUND(INDEX(Spectrum!$N:$N,MATCH(RIGHT($B217,13)&amp;"|"&amp;$C217&amp;"|"&amp;$D217&amp;"|"&amp;X$14&amp;"|"&amp;"CY2024Q3",Spectrum!$R:$R,0)),0),""))</f>
        <v>797</v>
      </c>
      <c r="Y217" s="33">
        <f t="shared" si="55"/>
        <v>0.92</v>
      </c>
      <c r="Z217" s="218">
        <f>IF(LEFT($B217,4)="_Mil","",_xlfn.IFNA(ROUND(INDEX(Spectrum!$N:$N,MATCH(RIGHT($B217,13)&amp;"|"&amp;$C217&amp;"|"&amp;$D217&amp;"|"&amp;Z$14&amp;"|"&amp;"CY2024Q3",Spectrum!$R:$R,0)),0),""))</f>
        <v>879</v>
      </c>
      <c r="AA217" s="33">
        <f>IF(LEFT($B217,4)="_Mil","",IFERROR(1/(1/INDEX(Spectrum!$N:$N,MATCH(RIGHT($B217,13)&amp;"|"&amp;$C217&amp;"|"&amp;$D217&amp;"|"&amp;AA$14&amp;"|"&amp;"CY2024Q3",Spectrum!$R:$R,0))),IF(SUM($U217)=0,"",SUM($Z217)/$U217)))</f>
        <v>0.92565124899999984</v>
      </c>
      <c r="AB217" s="33">
        <f t="shared" si="56"/>
        <v>1.1028858218318696</v>
      </c>
      <c r="AC217" s="38">
        <f>IF(LEFT($B217,4)="_Mil","",_xlfn.IFNA(ROUND(INDEX(Spectrum!$N:$N,MATCH(RIGHT($B217,13)&amp;"|"&amp;$C217&amp;"|"&amp;$D217&amp;"|"&amp;AC$14&amp;"|"&amp;"CY2024Q3",Spectrum!$R:$R,0)),0),""))</f>
        <v>68</v>
      </c>
      <c r="AD217" s="38" t="str">
        <f>IF(LEFT($B217,4)="_Mil","",_xlfn.IFNA(ROUND(INDEX(Spectrum!$N:$N,MATCH(RIGHT($B217,13)&amp;"|"&amp;$C217&amp;"|"&amp;$D217&amp;"|"&amp;AD$14&amp;"|"&amp;"CY2024Q3",Spectrum!$R:$R,0)),0),""))</f>
        <v/>
      </c>
      <c r="AE217" s="33">
        <f t="shared" si="57"/>
        <v>0</v>
      </c>
      <c r="AF217" s="218" t="str">
        <f>IF(LEFT($B217,4)="_Mil","",_xlfn.IFNA(ROUND(INDEX(Spectrum!$N:$N,MATCH(RIGHT($B217,13)&amp;"|"&amp;$C217&amp;"|"&amp;$D217&amp;"|"&amp;AF$14&amp;"|"&amp;"CY2024Q3",Spectrum!$R:$R,0)),0),""))</f>
        <v/>
      </c>
      <c r="AG217" s="33" t="str">
        <f t="shared" si="58"/>
        <v/>
      </c>
      <c r="AH217" s="110" t="str">
        <f>IF(LEFT($B217,4)="_Mil","",_xlfn.IFNA(INDEX(Spectrum!$N:$N,MATCH(RIGHT($B217,13)&amp;"|"&amp;$C217&amp;"|"&amp;$D217&amp;"|"&amp;AH$14&amp;"|"&amp;"CY2024Q3",Spectrum!$R:$R,0)),""))</f>
        <v/>
      </c>
      <c r="AI217" s="218">
        <f>IF(LEFT($B217,4)="_Mil","",_xlfn.IFNA(ROUND(INDEX(Spectrum!$N:$N,MATCH(RIGHT($B217,13)&amp;"|"&amp;$C217&amp;"|"&amp;$D217&amp;"|"&amp;AI$14&amp;"|"&amp;"CY2025Q3",Spectrum!$R:$R,0)),0),""))</f>
        <v>54</v>
      </c>
      <c r="AJ217" s="38">
        <f>IF(LEFT($B217,4)="_Mil","",_xlfn.IFNA(ROUND(INDEX(Spectrum!$N:$N,MATCH(RIGHT($B217,13)&amp;"|"&amp;$C217&amp;"|"&amp;$D217&amp;"|"&amp;AJ$14&amp;"|"&amp;"CY2025Q3",Spectrum!$R:$R,0)),0),""))</f>
        <v>843</v>
      </c>
      <c r="AK217" s="218" t="e">
        <f>#REF!</f>
        <v>#REF!</v>
      </c>
      <c r="AL217" s="33">
        <f t="shared" si="59"/>
        <v>0.92565124899999984</v>
      </c>
      <c r="AM217" s="38" t="e">
        <f>IF(OR(LEFT($B217,4)="_Mil",$C217="&lt;01"),"",ROUND(SUM($AK217)*SUM($AL217),0))</f>
        <v>#REF!</v>
      </c>
      <c r="AN217" s="38" t="str">
        <f>IF($C217="&lt;01",ROUND(INDEX(EID!$P:$P,MATCH($B217,EID!$B:$B,0))/2,0),"")</f>
        <v/>
      </c>
      <c r="AO217" s="38" t="e">
        <f>IF($C217="&lt;01",SUM($AN217),ROUND(SUM($AM217)*SUM($O217)/IF(SUM($Z217)=0,1,$Z217),0))</f>
        <v>#REF!</v>
      </c>
      <c r="AP217" s="218">
        <f>IF(OR($F217="",$C217="&lt;01"),$AO217,ROUND($F217,0))</f>
        <v>926</v>
      </c>
      <c r="AQ217" s="218">
        <f>IF(LEFT($B217,4)="_Mil","",IF(SUM($AP217)=0,SUM($Z217),IF(OR(SUM($Z217)=0,SUM($O217)=0),MAX($AP217,$Z217),ROUND($AP217*$Z217/$O217,0))))</f>
        <v>860</v>
      </c>
      <c r="AR217" s="33" t="e">
        <f>IF(OR(LEFT($B217,4)="_Mil",SUM($AK217)=0),"",SUM($AQ217)/$AK217)</f>
        <v>#REF!</v>
      </c>
      <c r="AS217" s="33">
        <f>IF($C217="&lt;01","",90%)</f>
        <v>0.9</v>
      </c>
      <c r="AT217" s="33">
        <f>IF($C217="&lt;01","",90%)</f>
        <v>0.9</v>
      </c>
      <c r="AU217" s="38">
        <f>IF($C217="&lt;01","",SUM($AP217)-SUM($O217))</f>
        <v>-21</v>
      </c>
      <c r="AV217" s="38">
        <f>IF($C217="&lt;01",ROUND(INDEX(EID!$N:$N,MATCH($B217,EID!$B:$B,0))/2,0),IF(SUM($AT217)=0,"",ROUND((SUM($AP217)-(SUM($O217)*SUM($AS217)))/$AT217,0)))</f>
        <v>82</v>
      </c>
      <c r="AW217" s="33">
        <f t="shared" si="60"/>
        <v>1</v>
      </c>
      <c r="AX217" s="218">
        <f>IF($C217="&lt;01",SUM($AV217),ROUND(SUM($AV217)*SUM($AW217),0))</f>
        <v>82</v>
      </c>
      <c r="AY217" s="79">
        <f t="shared" si="61"/>
        <v>0.7</v>
      </c>
      <c r="AZ217" s="85">
        <f>IF($C217="&lt;01",ROUND(INDEX(EID!$R:$R,MATCH($B217,EID!$B:$B,0))/2,0),ROUND(SUM($O217)+(SUM($AV217)*$AY217),0))</f>
        <v>1004</v>
      </c>
      <c r="BA217" s="40">
        <f t="shared" si="47"/>
        <v>0.9</v>
      </c>
      <c r="BB217" s="99">
        <f>IF($C217="&lt;01",ROUND(INDEX(EID!$T:$T,MATCH($B217,EID!$B:$B,0))/2,0),ROUND($AP217*$BA217,0))</f>
        <v>833</v>
      </c>
      <c r="BC217" s="85">
        <f>IF(LEFT($B217,4)="_Mil","",IF(SUM($BB217)=0,SUM($AD217),IF(OR(SUM($AP217)=0,SUM($AQ217)=0),MAX($BB217,$AD217),ROUND($BB217*$AQ217/$AP217,0))))</f>
        <v>774</v>
      </c>
      <c r="BD217" s="33">
        <f t="shared" si="62"/>
        <v>0.95</v>
      </c>
      <c r="BE217" s="218">
        <f>IF($C217="&lt;01",ROUND(INDEX(EID!$V:$V,MATCH($B217,EID!$B:$B,0))/2,0),ROUND($BD217*$BB217,0))</f>
        <v>791</v>
      </c>
      <c r="BF217" s="218">
        <f>IF(LEFT($B217,4)="_Mil","",IF(SUM($BE217)=0,SUM($AF217),IF(OR(SUM($AP217)=0,SUM($AQ217)=0),MAX($BE217,$AF217),ROUND($BE217*$AQ217/$AP217,0))))</f>
        <v>735</v>
      </c>
      <c r="BG217" s="79">
        <f t="shared" si="63"/>
        <v>0.95</v>
      </c>
      <c r="BH217" s="99">
        <f>IF($C217="&lt;01",ROUND(INDEX(EID!$L:$L,MATCH($B217,EID!$B:$B,0)),0)/2,IF(SUM($BG217)=0,"",ROUND($AX217/$BG217,0)))</f>
        <v>86</v>
      </c>
    </row>
    <row r="218" spans="1:60" x14ac:dyDescent="0.2">
      <c r="A218" t="str">
        <f>INDEX(Prioritization!$D:$D,MATCH($B218,Prioritization!$A:$A,0))</f>
        <v>4 - Sustained</v>
      </c>
      <c r="B218" t="s">
        <v>302</v>
      </c>
      <c r="C218" t="s">
        <v>475</v>
      </c>
      <c r="D218" t="s">
        <v>48</v>
      </c>
      <c r="E218" t="str">
        <f t="shared" si="53"/>
        <v>Mchinji District [kxuuIFpOXyO]|15-24|Male</v>
      </c>
      <c r="F218" s="229">
        <v>583</v>
      </c>
      <c r="G218" s="38">
        <v>71</v>
      </c>
      <c r="H218" s="38">
        <v>49</v>
      </c>
      <c r="I218" s="38">
        <v>361</v>
      </c>
      <c r="J218" s="38">
        <v>297</v>
      </c>
      <c r="K218" s="38">
        <v>240</v>
      </c>
      <c r="L218" s="38">
        <v>93</v>
      </c>
      <c r="M218" s="38">
        <v>88</v>
      </c>
      <c r="N218" s="38">
        <v>692</v>
      </c>
      <c r="O218" s="229">
        <v>535</v>
      </c>
      <c r="P218" s="38">
        <v>613</v>
      </c>
      <c r="Q218" s="38">
        <v>582</v>
      </c>
      <c r="R218" s="38">
        <f t="shared" si="54"/>
        <v>174</v>
      </c>
      <c r="S218" s="38">
        <f>IF(LEFT($B218,4)="_Mil","",_xlfn.IFNA(ROUND(INDEX(Spectrum!$N:$N,MATCH(RIGHT($B218,13)&amp;"|"&amp;$C218&amp;"|"&amp;$D218&amp;"|"&amp;S$14&amp;"|"&amp;"CY2023Q4",Spectrum!$R:$R,0)),0),""))</f>
        <v>629</v>
      </c>
      <c r="T218" s="218">
        <f>IF(LEFT($B218,4)="_Mil","",_xlfn.IFNA(ROUND(INDEX(Spectrum!$N:$N,MATCH(RIGHT($B218,13)&amp;"|"&amp;$C218&amp;"|"&amp;$D218&amp;"|"&amp;T$14&amp;"|"&amp;"CY2024Q3",Spectrum!$R:$R,0)),0),""))</f>
        <v>79838</v>
      </c>
      <c r="U218" s="218">
        <f>IF(LEFT($B218,4)="_Mil","",_xlfn.IFNA(ROUND(INDEX(Spectrum!$N:$N,MATCH(RIGHT($B218,13)&amp;"|"&amp;$C218&amp;"|"&amp;$D218&amp;"|"&amp;U$14&amp;"|"&amp;"CY2024Q3",Spectrum!$R:$R,0)),0),""))</f>
        <v>654</v>
      </c>
      <c r="V218" s="38">
        <f>IF(LEFT($B218,4)="_Mil","",_xlfn.IFNA(ROUND(INDEX(Spectrum!$N:$N,MATCH(RIGHT($B218,13)&amp;"|"&amp;$C218&amp;"|"&amp;$D218&amp;"|"&amp;V$14&amp;"|"&amp;"CY2024Q3",Spectrum!$R:$R,0)),0),""))</f>
        <v>713</v>
      </c>
      <c r="W218" s="220">
        <f>IF(LEFT($B218,4)="_Mil","",_xlfn.IFNA(INDEX(Spectrum!$N:$N,MATCH(RIGHT($B218,13)&amp;"|"&amp;$C218&amp;"|"&amp;$D218&amp;"|"&amp;W$14&amp;"|"&amp;"CY2024Q3",Spectrum!$R:$R,0)),""))</f>
        <v>8.1878999999999997E-3</v>
      </c>
      <c r="X218" s="218">
        <f>IF(LEFT($B218,4)="_Mil","",_xlfn.IFNA(ROUND(INDEX(Spectrum!$N:$N,MATCH(RIGHT($B218,13)&amp;"|"&amp;$C218&amp;"|"&amp;$D218&amp;"|"&amp;X$14&amp;"|"&amp;"CY2024Q3",Spectrum!$R:$R,0)),0),""))</f>
        <v>584</v>
      </c>
      <c r="Y218" s="33">
        <f t="shared" si="55"/>
        <v>0.89</v>
      </c>
      <c r="Z218" s="218">
        <f>IF(LEFT($B218,4)="_Mil","",_xlfn.IFNA(ROUND(INDEX(Spectrum!$N:$N,MATCH(RIGHT($B218,13)&amp;"|"&amp;$C218&amp;"|"&amp;$D218&amp;"|"&amp;Z$14&amp;"|"&amp;"CY2024Q3",Spectrum!$R:$R,0)),0),""))</f>
        <v>641</v>
      </c>
      <c r="AA218" s="33">
        <f>IF(LEFT($B218,4)="_Mil","",IFERROR(1/(1/INDEX(Spectrum!$N:$N,MATCH(RIGHT($B218,13)&amp;"|"&amp;$C218&amp;"|"&amp;$D218&amp;"|"&amp;AA$14&amp;"|"&amp;"CY2024Q3",Spectrum!$R:$R,0))),IF(SUM($U218)=0,"",SUM($Z218)/$U218)))</f>
        <v>0.89061911900000013</v>
      </c>
      <c r="AB218" s="33">
        <f t="shared" si="56"/>
        <v>1.0976027397260273</v>
      </c>
      <c r="AC218" s="38">
        <f>IF(LEFT($B218,4)="_Mil","",_xlfn.IFNA(ROUND(INDEX(Spectrum!$N:$N,MATCH(RIGHT($B218,13)&amp;"|"&amp;$C218&amp;"|"&amp;$D218&amp;"|"&amp;AC$14&amp;"|"&amp;"CY2024Q3",Spectrum!$R:$R,0)),0),""))</f>
        <v>72</v>
      </c>
      <c r="AD218" s="38" t="str">
        <f>IF(LEFT($B218,4)="_Mil","",_xlfn.IFNA(ROUND(INDEX(Spectrum!$N:$N,MATCH(RIGHT($B218,13)&amp;"|"&amp;$C218&amp;"|"&amp;$D218&amp;"|"&amp;AD$14&amp;"|"&amp;"CY2024Q3",Spectrum!$R:$R,0)),0),""))</f>
        <v/>
      </c>
      <c r="AE218" s="33">
        <f t="shared" si="57"/>
        <v>0</v>
      </c>
      <c r="AF218" s="218" t="str">
        <f>IF(LEFT($B218,4)="_Mil","",_xlfn.IFNA(ROUND(INDEX(Spectrum!$N:$N,MATCH(RIGHT($B218,13)&amp;"|"&amp;$C218&amp;"|"&amp;$D218&amp;"|"&amp;AF$14&amp;"|"&amp;"CY2024Q3",Spectrum!$R:$R,0)),0),""))</f>
        <v/>
      </c>
      <c r="AG218" s="33" t="str">
        <f t="shared" si="58"/>
        <v/>
      </c>
      <c r="AH218" s="110" t="str">
        <f>IF(LEFT($B218,4)="_Mil","",_xlfn.IFNA(INDEX(Spectrum!$N:$N,MATCH(RIGHT($B218,13)&amp;"|"&amp;$C218&amp;"|"&amp;$D218&amp;"|"&amp;AH$14&amp;"|"&amp;"CY2024Q3",Spectrum!$R:$R,0)),""))</f>
        <v/>
      </c>
      <c r="AI218" s="218">
        <f>IF(LEFT($B218,4)="_Mil","",_xlfn.IFNA(ROUND(INDEX(Spectrum!$N:$N,MATCH(RIGHT($B218,13)&amp;"|"&amp;$C218&amp;"|"&amp;$D218&amp;"|"&amp;AI$14&amp;"|"&amp;"CY2025Q3",Spectrum!$R:$R,0)),0),""))</f>
        <v>9</v>
      </c>
      <c r="AJ218" s="38">
        <f>IF(LEFT($B218,4)="_Mil","",_xlfn.IFNA(ROUND(INDEX(Spectrum!$N:$N,MATCH(RIGHT($B218,13)&amp;"|"&amp;$C218&amp;"|"&amp;$D218&amp;"|"&amp;AJ$14&amp;"|"&amp;"CY2025Q3",Spectrum!$R:$R,0)),0),""))</f>
        <v>641</v>
      </c>
      <c r="AK218" s="218" t="e">
        <f>#REF!</f>
        <v>#REF!</v>
      </c>
      <c r="AL218" s="33">
        <f t="shared" si="59"/>
        <v>0.9</v>
      </c>
      <c r="AM218" s="38" t="e">
        <f>IF(OR(LEFT($B218,4)="_Mil",$C218="&lt;01"),"",ROUND(SUM($AK218)*SUM($AL218),0))</f>
        <v>#REF!</v>
      </c>
      <c r="AN218" s="38" t="str">
        <f>IF($C218="&lt;01",ROUND(INDEX(EID!$P:$P,MATCH($B218,EID!$B:$B,0))/2,0),"")</f>
        <v/>
      </c>
      <c r="AO218" s="38" t="e">
        <f>IF($C218="&lt;01",SUM($AN218),ROUND(SUM($AM218)*SUM($O218)/IF(SUM($Z218)=0,1,$Z218),0))</f>
        <v>#REF!</v>
      </c>
      <c r="AP218" s="218">
        <f>IF(OR($F218="",$C218="&lt;01"),$AO218,ROUND($F218,0))</f>
        <v>583</v>
      </c>
      <c r="AQ218" s="218">
        <f>IF(LEFT($B218,4)="_Mil","",IF(SUM($AP218)=0,SUM($Z218),IF(OR(SUM($Z218)=0,SUM($O218)=0),MAX($AP218,$Z218),ROUND($AP218*$Z218/$O218,0))))</f>
        <v>699</v>
      </c>
      <c r="AR218" s="33" t="e">
        <f>IF(OR(LEFT($B218,4)="_Mil",SUM($AK218)=0),"",SUM($AQ218)/$AK218)</f>
        <v>#REF!</v>
      </c>
      <c r="AS218" s="33">
        <f>IF($C218="&lt;01","",98%)</f>
        <v>0.98</v>
      </c>
      <c r="AT218" s="33">
        <f t="shared" si="49"/>
        <v>0.98</v>
      </c>
      <c r="AU218" s="38">
        <f>IF($C218="&lt;01","",SUM($AP218)-SUM($O218))</f>
        <v>48</v>
      </c>
      <c r="AV218" s="38">
        <f>IF($C218="&lt;01",ROUND(INDEX(EID!$N:$N,MATCH($B218,EID!$B:$B,0))/2,0),IF(SUM($AT218)=0,"",ROUND((SUM($AP218)-(SUM($O218)*SUM($AS218)))/$AT218,0)))</f>
        <v>60</v>
      </c>
      <c r="AW218" s="33">
        <f t="shared" si="60"/>
        <v>1</v>
      </c>
      <c r="AX218" s="218">
        <f>IF($C218="&lt;01",SUM($AV218),ROUND(SUM($AV218)*SUM($AW218),0))</f>
        <v>60</v>
      </c>
      <c r="AY218" s="79">
        <f t="shared" si="61"/>
        <v>0.7</v>
      </c>
      <c r="AZ218" s="85">
        <f>IF($C218="&lt;01",ROUND(INDEX(EID!$R:$R,MATCH($B218,EID!$B:$B,0))/2,0),ROUND(SUM($O218)+(SUM($AV218)*$AY218),0))</f>
        <v>577</v>
      </c>
      <c r="BA218" s="40">
        <f t="shared" si="47"/>
        <v>0.9</v>
      </c>
      <c r="BB218" s="99">
        <f>IF($C218="&lt;01",ROUND(INDEX(EID!$T:$T,MATCH($B218,EID!$B:$B,0))/2,0),ROUND($AP218*$BA218,0))</f>
        <v>525</v>
      </c>
      <c r="BC218" s="85">
        <f>IF(LEFT($B218,4)="_Mil","",IF(SUM($BB218)=0,SUM($AD218),IF(OR(SUM($AP218)=0,SUM($AQ218)=0),MAX($BB218,$AD218),ROUND($BB218*$AQ218/$AP218,0))))</f>
        <v>629</v>
      </c>
      <c r="BD218" s="33">
        <f t="shared" si="62"/>
        <v>0.95</v>
      </c>
      <c r="BE218" s="218">
        <f>IF($C218="&lt;01",ROUND(INDEX(EID!$V:$V,MATCH($B218,EID!$B:$B,0))/2,0),ROUND($BD218*$BB218,0))</f>
        <v>499</v>
      </c>
      <c r="BF218" s="218">
        <f>IF(LEFT($B218,4)="_Mil","",IF(SUM($BE218)=0,SUM($AF218),IF(OR(SUM($AP218)=0,SUM($AQ218)=0),MAX($BE218,$AF218),ROUND($BE218*$AQ218/$AP218,0))))</f>
        <v>598</v>
      </c>
      <c r="BG218" s="79">
        <f t="shared" si="63"/>
        <v>0.95</v>
      </c>
      <c r="BH218" s="99">
        <f>IF($C218="&lt;01",ROUND(INDEX(EID!$L:$L,MATCH($B218,EID!$B:$B,0)),0)/2,IF(SUM($BG218)=0,"",ROUND($AX218/$BG218,0)))</f>
        <v>63</v>
      </c>
    </row>
    <row r="219" spans="1:60" x14ac:dyDescent="0.2">
      <c r="A219" t="str">
        <f>INDEX(Prioritization!$D:$D,MATCH($B219,Prioritization!$A:$A,0))</f>
        <v>4 - Sustained</v>
      </c>
      <c r="B219" t="s">
        <v>302</v>
      </c>
      <c r="C219" t="s">
        <v>476</v>
      </c>
      <c r="D219" t="s">
        <v>30</v>
      </c>
      <c r="E219" t="str">
        <f t="shared" si="53"/>
        <v>Mchinji District [kxuuIFpOXyO]|25-34|Female</v>
      </c>
      <c r="F219" s="229">
        <v>2250</v>
      </c>
      <c r="G219" s="38">
        <v>385</v>
      </c>
      <c r="H219" s="38">
        <v>343</v>
      </c>
      <c r="I219" s="38">
        <v>2674</v>
      </c>
      <c r="J219" s="38">
        <v>1743</v>
      </c>
      <c r="K219" s="38">
        <v>1582</v>
      </c>
      <c r="L219" s="38">
        <v>210</v>
      </c>
      <c r="M219" s="38">
        <v>206</v>
      </c>
      <c r="N219" s="38">
        <v>2383</v>
      </c>
      <c r="O219" s="229">
        <v>2415</v>
      </c>
      <c r="P219" s="38">
        <v>2183</v>
      </c>
      <c r="Q219" s="38">
        <v>2074</v>
      </c>
      <c r="R219" s="38">
        <f t="shared" si="54"/>
        <v>-259</v>
      </c>
      <c r="S219" s="38">
        <f>IF(LEFT($B219,4)="_Mil","",_xlfn.IFNA(ROUND(INDEX(Spectrum!$N:$N,MATCH(RIGHT($B219,13)&amp;"|"&amp;$C219&amp;"|"&amp;$D219&amp;"|"&amp;S$14&amp;"|"&amp;"CY2023Q4",Spectrum!$R:$R,0)),0),""))</f>
        <v>2447</v>
      </c>
      <c r="T219" s="218">
        <f>IF(LEFT($B219,4)="_Mil","",_xlfn.IFNA(ROUND(INDEX(Spectrum!$N:$N,MATCH(RIGHT($B219,13)&amp;"|"&amp;$C219&amp;"|"&amp;$D219&amp;"|"&amp;T$14&amp;"|"&amp;"CY2024Q3",Spectrum!$R:$R,0)),0),""))</f>
        <v>54787</v>
      </c>
      <c r="U219" s="218">
        <f>IF(LEFT($B219,4)="_Mil","",_xlfn.IFNA(ROUND(INDEX(Spectrum!$N:$N,MATCH(RIGHT($B219,13)&amp;"|"&amp;$C219&amp;"|"&amp;$D219&amp;"|"&amp;U$14&amp;"|"&amp;"CY2024Q3",Spectrum!$R:$R,0)),0),""))</f>
        <v>2205</v>
      </c>
      <c r="V219" s="38">
        <f>IF(LEFT($B219,4)="_Mil","",_xlfn.IFNA(ROUND(INDEX(Spectrum!$N:$N,MATCH(RIGHT($B219,13)&amp;"|"&amp;$C219&amp;"|"&amp;$D219&amp;"|"&amp;V$14&amp;"|"&amp;"CY2024Q3",Spectrum!$R:$R,0)),0),""))</f>
        <v>2415</v>
      </c>
      <c r="W219" s="220">
        <f>IF(LEFT($B219,4)="_Mil","",_xlfn.IFNA(INDEX(Spectrum!$N:$N,MATCH(RIGHT($B219,13)&amp;"|"&amp;$C219&amp;"|"&amp;$D219&amp;"|"&amp;W$14&amp;"|"&amp;"CY2024Q3",Spectrum!$R:$R,0)),""))</f>
        <v>4.0245165999999999E-2</v>
      </c>
      <c r="X219" s="218">
        <f>IF(LEFT($B219,4)="_Mil","",_xlfn.IFNA(ROUND(INDEX(Spectrum!$N:$N,MATCH(RIGHT($B219,13)&amp;"|"&amp;$C219&amp;"|"&amp;$D219&amp;"|"&amp;X$14&amp;"|"&amp;"CY2024Q3",Spectrum!$R:$R,0)),0),""))</f>
        <v>2118</v>
      </c>
      <c r="Y219" s="33">
        <f t="shared" si="55"/>
        <v>0.96</v>
      </c>
      <c r="Z219" s="218">
        <f>IF(LEFT($B219,4)="_Mil","",_xlfn.IFNA(ROUND(INDEX(Spectrum!$N:$N,MATCH(RIGHT($B219,13)&amp;"|"&amp;$C219&amp;"|"&amp;$D219&amp;"|"&amp;Z$14&amp;"|"&amp;"CY2024Q3",Spectrum!$R:$R,0)),0),""))</f>
        <v>2317</v>
      </c>
      <c r="AA219" s="33">
        <f>IF(LEFT($B219,4)="_Mil","",IFERROR(1/(1/INDEX(Spectrum!$N:$N,MATCH(RIGHT($B219,13)&amp;"|"&amp;$C219&amp;"|"&amp;$D219&amp;"|"&amp;AA$14&amp;"|"&amp;"CY2024Q3",Spectrum!$R:$R,0))),IF(SUM($U219)=0,"",SUM($Z219)/$U219)))</f>
        <v>0.96035129099999994</v>
      </c>
      <c r="AB219" s="33">
        <f t="shared" si="56"/>
        <v>1.0939565627950898</v>
      </c>
      <c r="AC219" s="38">
        <f>IF(LEFT($B219,4)="_Mil","",_xlfn.IFNA(ROUND(INDEX(Spectrum!$N:$N,MATCH(RIGHT($B219,13)&amp;"|"&amp;$C219&amp;"|"&amp;$D219&amp;"|"&amp;AC$14&amp;"|"&amp;"CY2024Q3",Spectrum!$R:$R,0)),0),""))</f>
        <v>97</v>
      </c>
      <c r="AD219" s="38" t="str">
        <f>IF(LEFT($B219,4)="_Mil","",_xlfn.IFNA(ROUND(INDEX(Spectrum!$N:$N,MATCH(RIGHT($B219,13)&amp;"|"&amp;$C219&amp;"|"&amp;$D219&amp;"|"&amp;AD$14&amp;"|"&amp;"CY2024Q3",Spectrum!$R:$R,0)),0),""))</f>
        <v/>
      </c>
      <c r="AE219" s="33">
        <f t="shared" si="57"/>
        <v>0</v>
      </c>
      <c r="AF219" s="218" t="str">
        <f>IF(LEFT($B219,4)="_Mil","",_xlfn.IFNA(ROUND(INDEX(Spectrum!$N:$N,MATCH(RIGHT($B219,13)&amp;"|"&amp;$C219&amp;"|"&amp;$D219&amp;"|"&amp;AF$14&amp;"|"&amp;"CY2024Q3",Spectrum!$R:$R,0)),0),""))</f>
        <v/>
      </c>
      <c r="AG219" s="33" t="str">
        <f t="shared" si="58"/>
        <v/>
      </c>
      <c r="AH219" s="110" t="str">
        <f>IF(LEFT($B219,4)="_Mil","",_xlfn.IFNA(INDEX(Spectrum!$N:$N,MATCH(RIGHT($B219,13)&amp;"|"&amp;$C219&amp;"|"&amp;$D219&amp;"|"&amp;AH$14&amp;"|"&amp;"CY2024Q3",Spectrum!$R:$R,0)),""))</f>
        <v/>
      </c>
      <c r="AI219" s="218">
        <f>IF(LEFT($B219,4)="_Mil","",_xlfn.IFNA(ROUND(INDEX(Spectrum!$N:$N,MATCH(RIGHT($B219,13)&amp;"|"&amp;$C219&amp;"|"&amp;$D219&amp;"|"&amp;AI$14&amp;"|"&amp;"CY2025Q3",Spectrum!$R:$R,0)),0),""))</f>
        <v>55</v>
      </c>
      <c r="AJ219" s="38">
        <f>IF(LEFT($B219,4)="_Mil","",_xlfn.IFNA(ROUND(INDEX(Spectrum!$N:$N,MATCH(RIGHT($B219,13)&amp;"|"&amp;$C219&amp;"|"&amp;$D219&amp;"|"&amp;AJ$14&amp;"|"&amp;"CY2025Q3",Spectrum!$R:$R,0)),0),""))</f>
        <v>2054</v>
      </c>
      <c r="AK219" s="218" t="e">
        <f>#REF!</f>
        <v>#REF!</v>
      </c>
      <c r="AL219" s="33">
        <f t="shared" si="59"/>
        <v>0.96035129099999994</v>
      </c>
      <c r="AM219" s="38" t="e">
        <f>IF(OR(LEFT($B219,4)="_Mil",$C219="&lt;01"),"",ROUND(SUM($AK219)*SUM($AL219),0))</f>
        <v>#REF!</v>
      </c>
      <c r="AN219" s="38" t="str">
        <f>IF($C219="&lt;01",ROUND(INDEX(EID!$P:$P,MATCH($B219,EID!$B:$B,0))/2,0),"")</f>
        <v/>
      </c>
      <c r="AO219" s="38" t="e">
        <f>IF($C219="&lt;01",SUM($AN219),ROUND(SUM($AM219)*SUM($O219)/IF(SUM($Z219)=0,1,$Z219),0))</f>
        <v>#REF!</v>
      </c>
      <c r="AP219" s="218">
        <f>IF(OR($F219="",$C219="&lt;01"),$AO219,ROUND($F219,0))</f>
        <v>2250</v>
      </c>
      <c r="AQ219" s="218">
        <f>IF(LEFT($B219,4)="_Mil","",IF(SUM($AP219)=0,SUM($Z219),IF(OR(SUM($Z219)=0,SUM($O219)=0),MAX($AP219,$Z219),ROUND($AP219*$Z219/$O219,0))))</f>
        <v>2159</v>
      </c>
      <c r="AR219" s="33" t="e">
        <f>IF(OR(LEFT($B219,4)="_Mil",SUM($AK219)=0),"",SUM($AQ219)/$AK219)</f>
        <v>#REF!</v>
      </c>
      <c r="AS219" s="33">
        <f>IF($C219="&lt;01","",86%)</f>
        <v>0.86</v>
      </c>
      <c r="AT219" s="33">
        <f>IF($C219="&lt;01","",90%)</f>
        <v>0.9</v>
      </c>
      <c r="AU219" s="38">
        <f>IF($C219="&lt;01","",SUM($AP219)-SUM($O219))</f>
        <v>-165</v>
      </c>
      <c r="AV219" s="38">
        <f>IF($C219="&lt;01",ROUND(INDEX(EID!$N:$N,MATCH($B219,EID!$B:$B,0))/2,0),IF(SUM($AT219)=0,"",ROUND((SUM($AP219)-(SUM($O219)*SUM($AS219)))/$AT219,0)))</f>
        <v>192</v>
      </c>
      <c r="AW219" s="33">
        <f t="shared" si="60"/>
        <v>1</v>
      </c>
      <c r="AX219" s="218">
        <f>IF($C219="&lt;01",SUM($AV219),ROUND(SUM($AV219)*SUM($AW219),0))</f>
        <v>192</v>
      </c>
      <c r="AY219" s="79">
        <f t="shared" si="61"/>
        <v>0.7</v>
      </c>
      <c r="AZ219" s="85">
        <f>IF($C219="&lt;01",ROUND(INDEX(EID!$R:$R,MATCH($B219,EID!$B:$B,0))/2,0),ROUND(SUM($O219)+(SUM($AV219)*$AY219),0))</f>
        <v>2549</v>
      </c>
      <c r="BA219" s="40">
        <f t="shared" si="47"/>
        <v>0.9</v>
      </c>
      <c r="BB219" s="99">
        <f>IF($C219="&lt;01",ROUND(INDEX(EID!$T:$T,MATCH($B219,EID!$B:$B,0))/2,0),ROUND($AP219*$BA219,0))</f>
        <v>2025</v>
      </c>
      <c r="BC219" s="85">
        <f>IF(LEFT($B219,4)="_Mil","",IF(SUM($BB219)=0,SUM($AD219),IF(OR(SUM($AP219)=0,SUM($AQ219)=0),MAX($BB219,$AD219),ROUND($BB219*$AQ219/$AP219,0))))</f>
        <v>1943</v>
      </c>
      <c r="BD219" s="33">
        <f t="shared" si="62"/>
        <v>0.95</v>
      </c>
      <c r="BE219" s="218">
        <f>IF($C219="&lt;01",ROUND(INDEX(EID!$V:$V,MATCH($B219,EID!$B:$B,0))/2,0),ROUND($BD219*$BB219,0))</f>
        <v>1924</v>
      </c>
      <c r="BF219" s="218">
        <f>IF(LEFT($B219,4)="_Mil","",IF(SUM($BE219)=0,SUM($AF219),IF(OR(SUM($AP219)=0,SUM($AQ219)=0),MAX($BE219,$AF219),ROUND($BE219*$AQ219/$AP219,0))))</f>
        <v>1846</v>
      </c>
      <c r="BG219" s="79">
        <f t="shared" si="63"/>
        <v>0.95</v>
      </c>
      <c r="BH219" s="99">
        <f>IF($C219="&lt;01",ROUND(INDEX(EID!$L:$L,MATCH($B219,EID!$B:$B,0)),0)/2,IF(SUM($BG219)=0,"",ROUND($AX219/$BG219,0)))</f>
        <v>202</v>
      </c>
    </row>
    <row r="220" spans="1:60" x14ac:dyDescent="0.2">
      <c r="A220" t="str">
        <f>INDEX(Prioritization!$D:$D,MATCH($B220,Prioritization!$A:$A,0))</f>
        <v>4 - Sustained</v>
      </c>
      <c r="B220" t="s">
        <v>302</v>
      </c>
      <c r="C220" t="s">
        <v>476</v>
      </c>
      <c r="D220" t="s">
        <v>48</v>
      </c>
      <c r="E220" t="str">
        <f t="shared" si="53"/>
        <v>Mchinji District [kxuuIFpOXyO]|25-34|Male</v>
      </c>
      <c r="F220" s="229">
        <v>843</v>
      </c>
      <c r="G220" s="38">
        <v>194</v>
      </c>
      <c r="H220" s="38">
        <v>160</v>
      </c>
      <c r="I220" s="38">
        <v>843</v>
      </c>
      <c r="J220" s="38">
        <v>569</v>
      </c>
      <c r="K220" s="38">
        <v>512</v>
      </c>
      <c r="L220" s="38">
        <v>35</v>
      </c>
      <c r="M220" s="38">
        <v>33</v>
      </c>
      <c r="N220" s="38">
        <v>965</v>
      </c>
      <c r="O220" s="229">
        <v>843</v>
      </c>
      <c r="P220" s="38">
        <v>862</v>
      </c>
      <c r="Q220" s="38">
        <v>819</v>
      </c>
      <c r="R220" s="38">
        <f t="shared" si="54"/>
        <v>0</v>
      </c>
      <c r="S220" s="38">
        <f>IF(LEFT($B220,4)="_Mil","",_xlfn.IFNA(ROUND(INDEX(Spectrum!$N:$N,MATCH(RIGHT($B220,13)&amp;"|"&amp;$C220&amp;"|"&amp;$D220&amp;"|"&amp;S$14&amp;"|"&amp;"CY2023Q4",Spectrum!$R:$R,0)),0),""))</f>
        <v>863</v>
      </c>
      <c r="T220" s="218">
        <f>IF(LEFT($B220,4)="_Mil","",_xlfn.IFNA(ROUND(INDEX(Spectrum!$N:$N,MATCH(RIGHT($B220,13)&amp;"|"&amp;$C220&amp;"|"&amp;$D220&amp;"|"&amp;T$14&amp;"|"&amp;"CY2024Q3",Spectrum!$R:$R,0)),0),""))</f>
        <v>53249</v>
      </c>
      <c r="U220" s="218">
        <f>IF(LEFT($B220,4)="_Mil","",_xlfn.IFNA(ROUND(INDEX(Spectrum!$N:$N,MATCH(RIGHT($B220,13)&amp;"|"&amp;$C220&amp;"|"&amp;$D220&amp;"|"&amp;U$14&amp;"|"&amp;"CY2024Q3",Spectrum!$R:$R,0)),0),""))</f>
        <v>910</v>
      </c>
      <c r="V220" s="38">
        <f>IF(LEFT($B220,4)="_Mil","",_xlfn.IFNA(ROUND(INDEX(Spectrum!$N:$N,MATCH(RIGHT($B220,13)&amp;"|"&amp;$C220&amp;"|"&amp;$D220&amp;"|"&amp;V$14&amp;"|"&amp;"CY2024Q3",Spectrum!$R:$R,0)),0),""))</f>
        <v>985</v>
      </c>
      <c r="W220" s="220">
        <f>IF(LEFT($B220,4)="_Mil","",_xlfn.IFNA(INDEX(Spectrum!$N:$N,MATCH(RIGHT($B220,13)&amp;"|"&amp;$C220&amp;"|"&amp;$D220&amp;"|"&amp;W$14&amp;"|"&amp;"CY2024Q3",Spectrum!$R:$R,0)),""))</f>
        <v>1.7091942999999998E-2</v>
      </c>
      <c r="X220" s="218">
        <f>IF(LEFT($B220,4)="_Mil","",_xlfn.IFNA(ROUND(INDEX(Spectrum!$N:$N,MATCH(RIGHT($B220,13)&amp;"|"&amp;$C220&amp;"|"&amp;$D220&amp;"|"&amp;X$14&amp;"|"&amp;"CY2024Q3",Spectrum!$R:$R,0)),0),""))</f>
        <v>790</v>
      </c>
      <c r="Y220" s="33">
        <f t="shared" si="55"/>
        <v>0.87</v>
      </c>
      <c r="Z220" s="218">
        <f>IF(LEFT($B220,4)="_Mil","",_xlfn.IFNA(ROUND(INDEX(Spectrum!$N:$N,MATCH(RIGHT($B220,13)&amp;"|"&amp;$C220&amp;"|"&amp;$D220&amp;"|"&amp;Z$14&amp;"|"&amp;"CY2024Q3",Spectrum!$R:$R,0)),0),""))</f>
        <v>859</v>
      </c>
      <c r="AA220" s="33">
        <f>IF(LEFT($B220,4)="_Mil","",IFERROR(1/(1/INDEX(Spectrum!$N:$N,MATCH(RIGHT($B220,13)&amp;"|"&amp;$C220&amp;"|"&amp;$D220&amp;"|"&amp;AA$14&amp;"|"&amp;"CY2024Q3",Spectrum!$R:$R,0))),IF(SUM($U220)=0,"",SUM($Z220)/$U220)))</f>
        <v>0.85908688699999991</v>
      </c>
      <c r="AB220" s="33">
        <f t="shared" si="56"/>
        <v>1.0873417721518988</v>
      </c>
      <c r="AC220" s="38">
        <f>IF(LEFT($B220,4)="_Mil","",_xlfn.IFNA(ROUND(INDEX(Spectrum!$N:$N,MATCH(RIGHT($B220,13)&amp;"|"&amp;$C220&amp;"|"&amp;$D220&amp;"|"&amp;AC$14&amp;"|"&amp;"CY2024Q3",Spectrum!$R:$R,0)),0),""))</f>
        <v>127</v>
      </c>
      <c r="AD220" s="38" t="str">
        <f>IF(LEFT($B220,4)="_Mil","",_xlfn.IFNA(ROUND(INDEX(Spectrum!$N:$N,MATCH(RIGHT($B220,13)&amp;"|"&amp;$C220&amp;"|"&amp;$D220&amp;"|"&amp;AD$14&amp;"|"&amp;"CY2024Q3",Spectrum!$R:$R,0)),0),""))</f>
        <v/>
      </c>
      <c r="AE220" s="33">
        <f t="shared" si="57"/>
        <v>0</v>
      </c>
      <c r="AF220" s="218" t="str">
        <f>IF(LEFT($B220,4)="_Mil","",_xlfn.IFNA(ROUND(INDEX(Spectrum!$N:$N,MATCH(RIGHT($B220,13)&amp;"|"&amp;$C220&amp;"|"&amp;$D220&amp;"|"&amp;AF$14&amp;"|"&amp;"CY2024Q3",Spectrum!$R:$R,0)),0),""))</f>
        <v/>
      </c>
      <c r="AG220" s="33" t="str">
        <f t="shared" si="58"/>
        <v/>
      </c>
      <c r="AH220" s="110" t="str">
        <f>IF(LEFT($B220,4)="_Mil","",_xlfn.IFNA(INDEX(Spectrum!$N:$N,MATCH(RIGHT($B220,13)&amp;"|"&amp;$C220&amp;"|"&amp;$D220&amp;"|"&amp;AH$14&amp;"|"&amp;"CY2024Q3",Spectrum!$R:$R,0)),""))</f>
        <v/>
      </c>
      <c r="AI220" s="218">
        <f>IF(LEFT($B220,4)="_Mil","",_xlfn.IFNA(ROUND(INDEX(Spectrum!$N:$N,MATCH(RIGHT($B220,13)&amp;"|"&amp;$C220&amp;"|"&amp;$D220&amp;"|"&amp;AI$14&amp;"|"&amp;"CY2025Q3",Spectrum!$R:$R,0)),0),""))</f>
        <v>33</v>
      </c>
      <c r="AJ220" s="38">
        <f>IF(LEFT($B220,4)="_Mil","",_xlfn.IFNA(ROUND(INDEX(Spectrum!$N:$N,MATCH(RIGHT($B220,13)&amp;"|"&amp;$C220&amp;"|"&amp;$D220&amp;"|"&amp;AJ$14&amp;"|"&amp;"CY2025Q3",Spectrum!$R:$R,0)),0),""))</f>
        <v>868</v>
      </c>
      <c r="AK220" s="218" t="e">
        <f>#REF!</f>
        <v>#REF!</v>
      </c>
      <c r="AL220" s="33">
        <f t="shared" si="59"/>
        <v>0.9</v>
      </c>
      <c r="AM220" s="38" t="e">
        <f>IF(OR(LEFT($B220,4)="_Mil",$C220="&lt;01"),"",ROUND(SUM($AK220)*SUM($AL220),0))</f>
        <v>#REF!</v>
      </c>
      <c r="AN220" s="38" t="str">
        <f>IF($C220="&lt;01",ROUND(INDEX(EID!$P:$P,MATCH($B220,EID!$B:$B,0))/2,0),"")</f>
        <v/>
      </c>
      <c r="AO220" s="38" t="e">
        <f>IF($C220="&lt;01",SUM($AN220),ROUND(SUM($AM220)*SUM($O220)/IF(SUM($Z220)=0,1,$Z220),0))</f>
        <v>#REF!</v>
      </c>
      <c r="AP220" s="218">
        <f>IF(OR($F220="",$C220="&lt;01"),$AO220,ROUND($F220,0))</f>
        <v>843</v>
      </c>
      <c r="AQ220" s="218">
        <f>IF(LEFT($B220,4)="_Mil","",IF(SUM($AP220)=0,SUM($Z220),IF(OR(SUM($Z220)=0,SUM($O220)=0),MAX($AP220,$Z220),ROUND($AP220*$Z220/$O220,0))))</f>
        <v>859</v>
      </c>
      <c r="AR220" s="33" t="e">
        <f>IF(OR(LEFT($B220,4)="_Mil",SUM($AK220)=0),"",SUM($AQ220)/$AK220)</f>
        <v>#REF!</v>
      </c>
      <c r="AS220" s="33">
        <f t="shared" ref="AS220:AS228" si="64">IF($C220="&lt;01","",98%)</f>
        <v>0.98</v>
      </c>
      <c r="AT220" s="33">
        <f t="shared" si="49"/>
        <v>0.98</v>
      </c>
      <c r="AU220" s="38">
        <f>IF($C220="&lt;01","",SUM($AP220)-SUM($O220))</f>
        <v>0</v>
      </c>
      <c r="AV220" s="38">
        <f>IF($C220="&lt;01",ROUND(INDEX(EID!$N:$N,MATCH($B220,EID!$B:$B,0))/2,0),IF(SUM($AT220)=0,"",ROUND((SUM($AP220)-(SUM($O220)*SUM($AS220)))/$AT220,0)))</f>
        <v>17</v>
      </c>
      <c r="AW220" s="33">
        <f t="shared" si="60"/>
        <v>1</v>
      </c>
      <c r="AX220" s="218">
        <f>IF($C220="&lt;01",SUM($AV220),ROUND(SUM($AV220)*SUM($AW220),0))</f>
        <v>17</v>
      </c>
      <c r="AY220" s="79">
        <f t="shared" si="61"/>
        <v>0.7</v>
      </c>
      <c r="AZ220" s="85">
        <f>IF($C220="&lt;01",ROUND(INDEX(EID!$R:$R,MATCH($B220,EID!$B:$B,0))/2,0),ROUND(SUM($O220)+(SUM($AV220)*$AY220),0))</f>
        <v>855</v>
      </c>
      <c r="BA220" s="40">
        <f t="shared" si="47"/>
        <v>0.9</v>
      </c>
      <c r="BB220" s="99">
        <f>IF($C220="&lt;01",ROUND(INDEX(EID!$T:$T,MATCH($B220,EID!$B:$B,0))/2,0),ROUND($AP220*$BA220,0))</f>
        <v>759</v>
      </c>
      <c r="BC220" s="85">
        <f>IF(LEFT($B220,4)="_Mil","",IF(SUM($BB220)=0,SUM($AD220),IF(OR(SUM($AP220)=0,SUM($AQ220)=0),MAX($BB220,$AD220),ROUND($BB220*$AQ220/$AP220,0))))</f>
        <v>773</v>
      </c>
      <c r="BD220" s="33">
        <f t="shared" si="62"/>
        <v>0.95</v>
      </c>
      <c r="BE220" s="218">
        <f>IF($C220="&lt;01",ROUND(INDEX(EID!$V:$V,MATCH($B220,EID!$B:$B,0))/2,0),ROUND($BD220*$BB220,0))</f>
        <v>721</v>
      </c>
      <c r="BF220" s="218">
        <f>IF(LEFT($B220,4)="_Mil","",IF(SUM($BE220)=0,SUM($AF220),IF(OR(SUM($AP220)=0,SUM($AQ220)=0),MAX($BE220,$AF220),ROUND($BE220*$AQ220/$AP220,0))))</f>
        <v>735</v>
      </c>
      <c r="BG220" s="79">
        <f t="shared" si="63"/>
        <v>0.95</v>
      </c>
      <c r="BH220" s="99">
        <f>IF($C220="&lt;01",ROUND(INDEX(EID!$L:$L,MATCH($B220,EID!$B:$B,0)),0)/2,IF(SUM($BG220)=0,"",ROUND($AX220/$BG220,0)))</f>
        <v>18</v>
      </c>
    </row>
    <row r="221" spans="1:60" x14ac:dyDescent="0.2">
      <c r="A221" t="str">
        <f>INDEX(Prioritization!$D:$D,MATCH($B221,Prioritization!$A:$A,0))</f>
        <v>4 - Sustained</v>
      </c>
      <c r="B221" t="s">
        <v>302</v>
      </c>
      <c r="C221" t="s">
        <v>477</v>
      </c>
      <c r="D221" t="s">
        <v>30</v>
      </c>
      <c r="E221" t="str">
        <f t="shared" si="53"/>
        <v>Mchinji District [kxuuIFpOXyO]|35-49|Female</v>
      </c>
      <c r="F221" s="229">
        <v>5609</v>
      </c>
      <c r="G221" s="38">
        <v>227</v>
      </c>
      <c r="H221" s="38">
        <v>209</v>
      </c>
      <c r="I221" s="38">
        <v>5473</v>
      </c>
      <c r="J221" s="38">
        <v>3757</v>
      </c>
      <c r="K221" s="38">
        <v>3381</v>
      </c>
      <c r="L221" s="38">
        <v>255</v>
      </c>
      <c r="M221" s="38">
        <v>250</v>
      </c>
      <c r="N221" s="38">
        <v>5900</v>
      </c>
      <c r="O221" s="229">
        <v>5541</v>
      </c>
      <c r="P221" s="38">
        <v>5226</v>
      </c>
      <c r="Q221" s="38">
        <v>4965</v>
      </c>
      <c r="R221" s="38">
        <f t="shared" si="54"/>
        <v>68</v>
      </c>
      <c r="S221" s="38">
        <f>IF(LEFT($B221,4)="_Mil","",_xlfn.IFNA(ROUND(INDEX(Spectrum!$N:$N,MATCH(RIGHT($B221,13)&amp;"|"&amp;$C221&amp;"|"&amp;$D221&amp;"|"&amp;S$14&amp;"|"&amp;"CY2023Q4",Spectrum!$R:$R,0)),0),""))</f>
        <v>6291</v>
      </c>
      <c r="T221" s="218">
        <f>IF(LEFT($B221,4)="_Mil","",_xlfn.IFNA(ROUND(INDEX(Spectrum!$N:$N,MATCH(RIGHT($B221,13)&amp;"|"&amp;$C221&amp;"|"&amp;$D221&amp;"|"&amp;T$14&amp;"|"&amp;"CY2024Q3",Spectrum!$R:$R,0)),0),""))</f>
        <v>54449</v>
      </c>
      <c r="U221" s="218">
        <f>IF(LEFT($B221,4)="_Mil","",_xlfn.IFNA(ROUND(INDEX(Spectrum!$N:$N,MATCH(RIGHT($B221,13)&amp;"|"&amp;$C221&amp;"|"&amp;$D221&amp;"|"&amp;U$14&amp;"|"&amp;"CY2024Q3",Spectrum!$R:$R,0)),0),""))</f>
        <v>5777</v>
      </c>
      <c r="V221" s="38">
        <f>IF(LEFT($B221,4)="_Mil","",_xlfn.IFNA(ROUND(INDEX(Spectrum!$N:$N,MATCH(RIGHT($B221,13)&amp;"|"&amp;$C221&amp;"|"&amp;$D221&amp;"|"&amp;V$14&amp;"|"&amp;"CY2024Q3",Spectrum!$R:$R,0)),0),""))</f>
        <v>6412</v>
      </c>
      <c r="W221" s="220">
        <f>IF(LEFT($B221,4)="_Mil","",_xlfn.IFNA(INDEX(Spectrum!$N:$N,MATCH(RIGHT($B221,13)&amp;"|"&amp;$C221&amp;"|"&amp;$D221&amp;"|"&amp;W$14&amp;"|"&amp;"CY2024Q3",Spectrum!$R:$R,0)),""))</f>
        <v>0.106101604</v>
      </c>
      <c r="X221" s="218">
        <f>IF(LEFT($B221,4)="_Mil","",_xlfn.IFNA(ROUND(INDEX(Spectrum!$N:$N,MATCH(RIGHT($B221,13)&amp;"|"&amp;$C221&amp;"|"&amp;$D221&amp;"|"&amp;X$14&amp;"|"&amp;"CY2024Q3",Spectrum!$R:$R,0)),0),""))</f>
        <v>5665</v>
      </c>
      <c r="Y221" s="33">
        <f t="shared" si="55"/>
        <v>0.98</v>
      </c>
      <c r="Z221" s="218">
        <f>IF(LEFT($B221,4)="_Mil","",_xlfn.IFNA(ROUND(INDEX(Spectrum!$N:$N,MATCH(RIGHT($B221,13)&amp;"|"&amp;$C221&amp;"|"&amp;$D221&amp;"|"&amp;Z$14&amp;"|"&amp;"CY2024Q3",Spectrum!$R:$R,0)),0),""))</f>
        <v>6292</v>
      </c>
      <c r="AA221" s="33">
        <f>IF(LEFT($B221,4)="_Mil","",IFERROR(1/(1/INDEX(Spectrum!$N:$N,MATCH(RIGHT($B221,13)&amp;"|"&amp;$C221&amp;"|"&amp;$D221&amp;"|"&amp;AA$14&amp;"|"&amp;"CY2024Q3",Spectrum!$R:$R,0))),IF(SUM($U221)=0,"",SUM($Z221)/$U221)))</f>
        <v>0.98019103900000004</v>
      </c>
      <c r="AB221" s="33">
        <f t="shared" si="56"/>
        <v>1.1106796116504853</v>
      </c>
      <c r="AC221" s="38">
        <f>IF(LEFT($B221,4)="_Mil","",_xlfn.IFNA(ROUND(INDEX(Spectrum!$N:$N,MATCH(RIGHT($B221,13)&amp;"|"&amp;$C221&amp;"|"&amp;$D221&amp;"|"&amp;AC$14&amp;"|"&amp;"CY2024Q3",Spectrum!$R:$R,0)),0),""))</f>
        <v>120</v>
      </c>
      <c r="AD221" s="38" t="str">
        <f>IF(LEFT($B221,4)="_Mil","",_xlfn.IFNA(ROUND(INDEX(Spectrum!$N:$N,MATCH(RIGHT($B221,13)&amp;"|"&amp;$C221&amp;"|"&amp;$D221&amp;"|"&amp;AD$14&amp;"|"&amp;"CY2024Q3",Spectrum!$R:$R,0)),0),""))</f>
        <v/>
      </c>
      <c r="AE221" s="33">
        <f t="shared" si="57"/>
        <v>0</v>
      </c>
      <c r="AF221" s="218" t="str">
        <f>IF(LEFT($B221,4)="_Mil","",_xlfn.IFNA(ROUND(INDEX(Spectrum!$N:$N,MATCH(RIGHT($B221,13)&amp;"|"&amp;$C221&amp;"|"&amp;$D221&amp;"|"&amp;AF$14&amp;"|"&amp;"CY2024Q3",Spectrum!$R:$R,0)),0),""))</f>
        <v/>
      </c>
      <c r="AG221" s="33" t="str">
        <f t="shared" si="58"/>
        <v/>
      </c>
      <c r="AH221" s="110" t="str">
        <f>IF(LEFT($B221,4)="_Mil","",_xlfn.IFNA(INDEX(Spectrum!$N:$N,MATCH(RIGHT($B221,13)&amp;"|"&amp;$C221&amp;"|"&amp;$D221&amp;"|"&amp;AH$14&amp;"|"&amp;"CY2024Q3",Spectrum!$R:$R,0)),""))</f>
        <v/>
      </c>
      <c r="AI221" s="218">
        <f>IF(LEFT($B221,4)="_Mil","",_xlfn.IFNA(ROUND(INDEX(Spectrum!$N:$N,MATCH(RIGHT($B221,13)&amp;"|"&amp;$C221&amp;"|"&amp;$D221&amp;"|"&amp;AI$14&amp;"|"&amp;"CY2025Q3",Spectrum!$R:$R,0)),0),""))</f>
        <v>29</v>
      </c>
      <c r="AJ221" s="38">
        <f>IF(LEFT($B221,4)="_Mil","",_xlfn.IFNA(ROUND(INDEX(Spectrum!$N:$N,MATCH(RIGHT($B221,13)&amp;"|"&amp;$C221&amp;"|"&amp;$D221&amp;"|"&amp;AJ$14&amp;"|"&amp;"CY2025Q3",Spectrum!$R:$R,0)),0),""))</f>
        <v>5755</v>
      </c>
      <c r="AK221" s="218" t="e">
        <f>#REF!</f>
        <v>#REF!</v>
      </c>
      <c r="AL221" s="33">
        <f t="shared" si="59"/>
        <v>0.98019103900000004</v>
      </c>
      <c r="AM221" s="38" t="e">
        <f>IF(OR(LEFT($B221,4)="_Mil",$C221="&lt;01"),"",ROUND(SUM($AK221)*SUM($AL221),0))</f>
        <v>#REF!</v>
      </c>
      <c r="AN221" s="38" t="str">
        <f>IF($C221="&lt;01",ROUND(INDEX(EID!$P:$P,MATCH($B221,EID!$B:$B,0))/2,0),"")</f>
        <v/>
      </c>
      <c r="AO221" s="38" t="e">
        <f>IF($C221="&lt;01",SUM($AN221),ROUND(SUM($AM221)*SUM($O221)/IF(SUM($Z221)=0,1,$Z221),0))</f>
        <v>#REF!</v>
      </c>
      <c r="AP221" s="218">
        <f>IF(OR($F221="",$C221="&lt;01"),$AO221,ROUND($F221,0))</f>
        <v>5609</v>
      </c>
      <c r="AQ221" s="218">
        <f>IF(LEFT($B221,4)="_Mil","",IF(SUM($AP221)=0,SUM($Z221),IF(OR(SUM($Z221)=0,SUM($O221)=0),MAX($AP221,$Z221),ROUND($AP221*$Z221/$O221,0))))</f>
        <v>6369</v>
      </c>
      <c r="AR221" s="33" t="e">
        <f>IF(OR(LEFT($B221,4)="_Mil",SUM($AK221)=0),"",SUM($AQ221)/$AK221)</f>
        <v>#REF!</v>
      </c>
      <c r="AS221" s="33">
        <f t="shared" si="64"/>
        <v>0.98</v>
      </c>
      <c r="AT221" s="33">
        <f t="shared" si="49"/>
        <v>0.98</v>
      </c>
      <c r="AU221" s="38">
        <f>IF($C221="&lt;01","",SUM($AP221)-SUM($O221))</f>
        <v>68</v>
      </c>
      <c r="AV221" s="38">
        <f>IF($C221="&lt;01",ROUND(INDEX(EID!$N:$N,MATCH($B221,EID!$B:$B,0))/2,0),IF(SUM($AT221)=0,"",ROUND((SUM($AP221)-(SUM($O221)*SUM($AS221)))/$AT221,0)))</f>
        <v>182</v>
      </c>
      <c r="AW221" s="33">
        <f t="shared" si="60"/>
        <v>1</v>
      </c>
      <c r="AX221" s="218">
        <f>IF($C221="&lt;01",SUM($AV221),ROUND(SUM($AV221)*SUM($AW221),0))</f>
        <v>182</v>
      </c>
      <c r="AY221" s="79">
        <f t="shared" si="61"/>
        <v>0.7</v>
      </c>
      <c r="AZ221" s="85">
        <f>IF($C221="&lt;01",ROUND(INDEX(EID!$R:$R,MATCH($B221,EID!$B:$B,0))/2,0),ROUND(SUM($O221)+(SUM($AV221)*$AY221),0))</f>
        <v>5668</v>
      </c>
      <c r="BA221" s="40">
        <f t="shared" si="47"/>
        <v>0.9</v>
      </c>
      <c r="BB221" s="99">
        <f>IF($C221="&lt;01",ROUND(INDEX(EID!$T:$T,MATCH($B221,EID!$B:$B,0))/2,0),ROUND($AP221*$BA221,0))</f>
        <v>5048</v>
      </c>
      <c r="BC221" s="85">
        <f>IF(LEFT($B221,4)="_Mil","",IF(SUM($BB221)=0,SUM($AD221),IF(OR(SUM($AP221)=0,SUM($AQ221)=0),MAX($BB221,$AD221),ROUND($BB221*$AQ221/$AP221,0))))</f>
        <v>5732</v>
      </c>
      <c r="BD221" s="33">
        <f t="shared" si="62"/>
        <v>0.95</v>
      </c>
      <c r="BE221" s="218">
        <f>IF($C221="&lt;01",ROUND(INDEX(EID!$V:$V,MATCH($B221,EID!$B:$B,0))/2,0),ROUND($BD221*$BB221,0))</f>
        <v>4796</v>
      </c>
      <c r="BF221" s="218">
        <f>IF(LEFT($B221,4)="_Mil","",IF(SUM($BE221)=0,SUM($AF221),IF(OR(SUM($AP221)=0,SUM($AQ221)=0),MAX($BE221,$AF221),ROUND($BE221*$AQ221/$AP221,0))))</f>
        <v>5446</v>
      </c>
      <c r="BG221" s="79">
        <f t="shared" si="63"/>
        <v>0.95</v>
      </c>
      <c r="BH221" s="99">
        <f>IF($C221="&lt;01",ROUND(INDEX(EID!$L:$L,MATCH($B221,EID!$B:$B,0)),0)/2,IF(SUM($BG221)=0,"",ROUND($AX221/$BG221,0)))</f>
        <v>192</v>
      </c>
    </row>
    <row r="222" spans="1:60" x14ac:dyDescent="0.2">
      <c r="A222" t="str">
        <f>INDEX(Prioritization!$D:$D,MATCH($B222,Prioritization!$A:$A,0))</f>
        <v>4 - Sustained</v>
      </c>
      <c r="B222" t="s">
        <v>302</v>
      </c>
      <c r="C222" t="s">
        <v>477</v>
      </c>
      <c r="D222" t="s">
        <v>48</v>
      </c>
      <c r="E222" t="str">
        <f t="shared" si="53"/>
        <v>Mchinji District [kxuuIFpOXyO]|35-49|Male</v>
      </c>
      <c r="F222" s="229">
        <v>3347</v>
      </c>
      <c r="G222" s="38">
        <v>232</v>
      </c>
      <c r="H222" s="38">
        <v>238</v>
      </c>
      <c r="I222" s="38">
        <v>3211</v>
      </c>
      <c r="J222" s="38">
        <v>1894</v>
      </c>
      <c r="K222" s="38">
        <v>1668</v>
      </c>
      <c r="L222" s="38">
        <v>54</v>
      </c>
      <c r="M222" s="38">
        <v>51</v>
      </c>
      <c r="N222" s="38">
        <v>3570</v>
      </c>
      <c r="O222" s="229">
        <v>3279</v>
      </c>
      <c r="P222" s="38">
        <v>3223</v>
      </c>
      <c r="Q222" s="38">
        <v>3062</v>
      </c>
      <c r="R222" s="38">
        <f t="shared" si="54"/>
        <v>68</v>
      </c>
      <c r="S222" s="38">
        <f>IF(LEFT($B222,4)="_Mil","",_xlfn.IFNA(ROUND(INDEX(Spectrum!$N:$N,MATCH(RIGHT($B222,13)&amp;"|"&amp;$C222&amp;"|"&amp;$D222&amp;"|"&amp;S$14&amp;"|"&amp;"CY2023Q4",Spectrum!$R:$R,0)),0),""))</f>
        <v>3529</v>
      </c>
      <c r="T222" s="218">
        <f>IF(LEFT($B222,4)="_Mil","",_xlfn.IFNA(ROUND(INDEX(Spectrum!$N:$N,MATCH(RIGHT($B222,13)&amp;"|"&amp;$C222&amp;"|"&amp;$D222&amp;"|"&amp;T$14&amp;"|"&amp;"CY2024Q3",Spectrum!$R:$R,0)),0),""))</f>
        <v>49726</v>
      </c>
      <c r="U222" s="218">
        <f>IF(LEFT($B222,4)="_Mil","",_xlfn.IFNA(ROUND(INDEX(Spectrum!$N:$N,MATCH(RIGHT($B222,13)&amp;"|"&amp;$C222&amp;"|"&amp;$D222&amp;"|"&amp;U$14&amp;"|"&amp;"CY2024Q3",Spectrum!$R:$R,0)),0),""))</f>
        <v>3509</v>
      </c>
      <c r="V222" s="38">
        <f>IF(LEFT($B222,4)="_Mil","",_xlfn.IFNA(ROUND(INDEX(Spectrum!$N:$N,MATCH(RIGHT($B222,13)&amp;"|"&amp;$C222&amp;"|"&amp;$D222&amp;"|"&amp;V$14&amp;"|"&amp;"CY2024Q3",Spectrum!$R:$R,0)),0),""))</f>
        <v>3783</v>
      </c>
      <c r="W222" s="220">
        <f>IF(LEFT($B222,4)="_Mil","",_xlfn.IFNA(INDEX(Spectrum!$N:$N,MATCH(RIGHT($B222,13)&amp;"|"&amp;$C222&amp;"|"&amp;$D222&amp;"|"&amp;W$14&amp;"|"&amp;"CY2024Q3",Spectrum!$R:$R,0)),""))</f>
        <v>7.0566282999999994E-2</v>
      </c>
      <c r="X222" s="218">
        <f>IF(LEFT($B222,4)="_Mil","",_xlfn.IFNA(ROUND(INDEX(Spectrum!$N:$N,MATCH(RIGHT($B222,13)&amp;"|"&amp;$C222&amp;"|"&amp;$D222&amp;"|"&amp;X$14&amp;"|"&amp;"CY2024Q3",Spectrum!$R:$R,0)),0),""))</f>
        <v>3222</v>
      </c>
      <c r="Y222" s="33">
        <f t="shared" si="55"/>
        <v>0.92</v>
      </c>
      <c r="Z222" s="218">
        <f>IF(LEFT($B222,4)="_Mil","",_xlfn.IFNA(ROUND(INDEX(Spectrum!$N:$N,MATCH(RIGHT($B222,13)&amp;"|"&amp;$C222&amp;"|"&amp;$D222&amp;"|"&amp;Z$14&amp;"|"&amp;"CY2024Q3",Spectrum!$R:$R,0)),0),""))</f>
        <v>3493</v>
      </c>
      <c r="AA222" s="33">
        <f>IF(LEFT($B222,4)="_Mil","",IFERROR(1/(1/INDEX(Spectrum!$N:$N,MATCH(RIGHT($B222,13)&amp;"|"&amp;$C222&amp;"|"&amp;$D222&amp;"|"&amp;AA$14&amp;"|"&amp;"CY2024Q3",Spectrum!$R:$R,0))),IF(SUM($U222)=0,"",SUM($Z222)/$U222)))</f>
        <v>0.91316525599999998</v>
      </c>
      <c r="AB222" s="33">
        <f t="shared" si="56"/>
        <v>1.0841092489137183</v>
      </c>
      <c r="AC222" s="38">
        <f>IF(LEFT($B222,4)="_Mil","",_xlfn.IFNA(ROUND(INDEX(Spectrum!$N:$N,MATCH(RIGHT($B222,13)&amp;"|"&amp;$C222&amp;"|"&amp;$D222&amp;"|"&amp;AC$14&amp;"|"&amp;"CY2024Q3",Spectrum!$R:$R,0)),0),""))</f>
        <v>290</v>
      </c>
      <c r="AD222" s="38" t="str">
        <f>IF(LEFT($B222,4)="_Mil","",_xlfn.IFNA(ROUND(INDEX(Spectrum!$N:$N,MATCH(RIGHT($B222,13)&amp;"|"&amp;$C222&amp;"|"&amp;$D222&amp;"|"&amp;AD$14&amp;"|"&amp;"CY2024Q3",Spectrum!$R:$R,0)),0),""))</f>
        <v/>
      </c>
      <c r="AE222" s="33">
        <f t="shared" si="57"/>
        <v>0</v>
      </c>
      <c r="AF222" s="218" t="str">
        <f>IF(LEFT($B222,4)="_Mil","",_xlfn.IFNA(ROUND(INDEX(Spectrum!$N:$N,MATCH(RIGHT($B222,13)&amp;"|"&amp;$C222&amp;"|"&amp;$D222&amp;"|"&amp;AF$14&amp;"|"&amp;"CY2024Q3",Spectrum!$R:$R,0)),0),""))</f>
        <v/>
      </c>
      <c r="AG222" s="33" t="str">
        <f t="shared" si="58"/>
        <v/>
      </c>
      <c r="AH222" s="110" t="str">
        <f>IF(LEFT($B222,4)="_Mil","",_xlfn.IFNA(INDEX(Spectrum!$N:$N,MATCH(RIGHT($B222,13)&amp;"|"&amp;$C222&amp;"|"&amp;$D222&amp;"|"&amp;AH$14&amp;"|"&amp;"CY2024Q3",Spectrum!$R:$R,0)),""))</f>
        <v/>
      </c>
      <c r="AI222" s="218">
        <f>IF(LEFT($B222,4)="_Mil","",_xlfn.IFNA(ROUND(INDEX(Spectrum!$N:$N,MATCH(RIGHT($B222,13)&amp;"|"&amp;$C222&amp;"|"&amp;$D222&amp;"|"&amp;AI$14&amp;"|"&amp;"CY2025Q3",Spectrum!$R:$R,0)),0),""))</f>
        <v>34</v>
      </c>
      <c r="AJ222" s="38">
        <f>IF(LEFT($B222,4)="_Mil","",_xlfn.IFNA(ROUND(INDEX(Spectrum!$N:$N,MATCH(RIGHT($B222,13)&amp;"|"&amp;$C222&amp;"|"&amp;$D222&amp;"|"&amp;AJ$14&amp;"|"&amp;"CY2025Q3",Spectrum!$R:$R,0)),0),""))</f>
        <v>3343</v>
      </c>
      <c r="AK222" s="218" t="e">
        <f>#REF!</f>
        <v>#REF!</v>
      </c>
      <c r="AL222" s="33">
        <f t="shared" si="59"/>
        <v>0.91316525599999998</v>
      </c>
      <c r="AM222" s="38" t="e">
        <f>IF(OR(LEFT($B222,4)="_Mil",$C222="&lt;01"),"",ROUND(SUM($AK222)*SUM($AL222),0))</f>
        <v>#REF!</v>
      </c>
      <c r="AN222" s="38" t="str">
        <f>IF($C222="&lt;01",ROUND(INDEX(EID!$P:$P,MATCH($B222,EID!$B:$B,0))/2,0),"")</f>
        <v/>
      </c>
      <c r="AO222" s="38" t="e">
        <f>IF($C222="&lt;01",SUM($AN222),ROUND(SUM($AM222)*SUM($O222)/IF(SUM($Z222)=0,1,$Z222),0))</f>
        <v>#REF!</v>
      </c>
      <c r="AP222" s="218">
        <f>IF(OR($F222="",$C222="&lt;01"),$AO222,ROUND($F222,0))</f>
        <v>3347</v>
      </c>
      <c r="AQ222" s="218">
        <f>IF(LEFT($B222,4)="_Mil","",IF(SUM($AP222)=0,SUM($Z222),IF(OR(SUM($Z222)=0,SUM($O222)=0),MAX($AP222,$Z222),ROUND($AP222*$Z222/$O222,0))))</f>
        <v>3565</v>
      </c>
      <c r="AR222" s="33" t="e">
        <f>IF(OR(LEFT($B222,4)="_Mil",SUM($AK222)=0),"",SUM($AQ222)/$AK222)</f>
        <v>#REF!</v>
      </c>
      <c r="AS222" s="33">
        <f t="shared" si="64"/>
        <v>0.98</v>
      </c>
      <c r="AT222" s="33">
        <f t="shared" si="49"/>
        <v>0.98</v>
      </c>
      <c r="AU222" s="38">
        <f>IF($C222="&lt;01","",SUM($AP222)-SUM($O222))</f>
        <v>68</v>
      </c>
      <c r="AV222" s="38">
        <f>IF($C222="&lt;01",ROUND(INDEX(EID!$N:$N,MATCH($B222,EID!$B:$B,0))/2,0),IF(SUM($AT222)=0,"",ROUND((SUM($AP222)-(SUM($O222)*SUM($AS222)))/$AT222,0)))</f>
        <v>136</v>
      </c>
      <c r="AW222" s="33">
        <f t="shared" si="60"/>
        <v>1</v>
      </c>
      <c r="AX222" s="218">
        <f>IF($C222="&lt;01",SUM($AV222),ROUND(SUM($AV222)*SUM($AW222),0))</f>
        <v>136</v>
      </c>
      <c r="AY222" s="79">
        <f t="shared" si="61"/>
        <v>0.7</v>
      </c>
      <c r="AZ222" s="85">
        <f>IF($C222="&lt;01",ROUND(INDEX(EID!$R:$R,MATCH($B222,EID!$B:$B,0))/2,0),ROUND(SUM($O222)+(SUM($AV222)*$AY222),0))</f>
        <v>3374</v>
      </c>
      <c r="BA222" s="40">
        <f t="shared" si="47"/>
        <v>0.9</v>
      </c>
      <c r="BB222" s="99">
        <f>IF($C222="&lt;01",ROUND(INDEX(EID!$T:$T,MATCH($B222,EID!$B:$B,0))/2,0),ROUND($AP222*$BA222,0))</f>
        <v>3012</v>
      </c>
      <c r="BC222" s="85">
        <f>IF(LEFT($B222,4)="_Mil","",IF(SUM($BB222)=0,SUM($AD222),IF(OR(SUM($AP222)=0,SUM($AQ222)=0),MAX($BB222,$AD222),ROUND($BB222*$AQ222/$AP222,0))))</f>
        <v>3208</v>
      </c>
      <c r="BD222" s="33">
        <f t="shared" si="62"/>
        <v>0.95</v>
      </c>
      <c r="BE222" s="218">
        <f>IF($C222="&lt;01",ROUND(INDEX(EID!$V:$V,MATCH($B222,EID!$B:$B,0))/2,0),ROUND($BD222*$BB222,0))</f>
        <v>2861</v>
      </c>
      <c r="BF222" s="218">
        <f>IF(LEFT($B222,4)="_Mil","",IF(SUM($BE222)=0,SUM($AF222),IF(OR(SUM($AP222)=0,SUM($AQ222)=0),MAX($BE222,$AF222),ROUND($BE222*$AQ222/$AP222,0))))</f>
        <v>3047</v>
      </c>
      <c r="BG222" s="79">
        <f t="shared" si="63"/>
        <v>0.95</v>
      </c>
      <c r="BH222" s="99">
        <f>IF($C222="&lt;01",ROUND(INDEX(EID!$L:$L,MATCH($B222,EID!$B:$B,0)),0)/2,IF(SUM($BG222)=0,"",ROUND($AX222/$BG222,0)))</f>
        <v>143</v>
      </c>
    </row>
    <row r="223" spans="1:60" x14ac:dyDescent="0.2">
      <c r="A223" t="str">
        <f>INDEX(Prioritization!$D:$D,MATCH($B223,Prioritization!$A:$A,0))</f>
        <v>4 - Sustained</v>
      </c>
      <c r="B223" t="s">
        <v>302</v>
      </c>
      <c r="C223" t="s">
        <v>478</v>
      </c>
      <c r="D223" t="s">
        <v>30</v>
      </c>
      <c r="E223" t="str">
        <f t="shared" si="53"/>
        <v>Mchinji District [kxuuIFpOXyO]|50+|Female</v>
      </c>
      <c r="F223" s="229">
        <v>3138</v>
      </c>
      <c r="G223" s="38">
        <v>47</v>
      </c>
      <c r="H223" s="38">
        <v>43</v>
      </c>
      <c r="I223" s="38">
        <v>2817</v>
      </c>
      <c r="J223" s="38">
        <v>1885</v>
      </c>
      <c r="K223" s="38">
        <v>1704</v>
      </c>
      <c r="L223" s="38">
        <v>108</v>
      </c>
      <c r="M223" s="38">
        <v>106</v>
      </c>
      <c r="N223" s="38">
        <v>2721</v>
      </c>
      <c r="O223" s="229">
        <v>2958</v>
      </c>
      <c r="P223" s="38">
        <v>2402</v>
      </c>
      <c r="Q223" s="38">
        <v>2282</v>
      </c>
      <c r="R223" s="38">
        <f t="shared" si="54"/>
        <v>141</v>
      </c>
      <c r="S223" s="38">
        <f>IF(LEFT($B223,4)="_Mil","",_xlfn.IFNA(ROUND(INDEX(Spectrum!$N:$N,MATCH(RIGHT($B223,13)&amp;"|"&amp;$C223&amp;"|"&amp;$D223&amp;"|"&amp;S$14&amp;"|"&amp;"CY2023Q4",Spectrum!$R:$R,0)),0),""))</f>
        <v>2737</v>
      </c>
      <c r="T223" s="218">
        <f>IF(LEFT($B223,4)="_Mil","",_xlfn.IFNA(ROUND(INDEX(Spectrum!$N:$N,MATCH(RIGHT($B223,13)&amp;"|"&amp;$C223&amp;"|"&amp;$D223&amp;"|"&amp;T$14&amp;"|"&amp;"CY2024Q3",Spectrum!$R:$R,0)),0),""))</f>
        <v>29713</v>
      </c>
      <c r="U223" s="218">
        <f>IF(LEFT($B223,4)="_Mil","",_xlfn.IFNA(ROUND(INDEX(Spectrum!$N:$N,MATCH(RIGHT($B223,13)&amp;"|"&amp;$C223&amp;"|"&amp;$D223&amp;"|"&amp;U$14&amp;"|"&amp;"CY2024Q3",Spectrum!$R:$R,0)),0),""))</f>
        <v>2686</v>
      </c>
      <c r="V223" s="38">
        <f>IF(LEFT($B223,4)="_Mil","",_xlfn.IFNA(ROUND(INDEX(Spectrum!$N:$N,MATCH(RIGHT($B223,13)&amp;"|"&amp;$C223&amp;"|"&amp;$D223&amp;"|"&amp;V$14&amp;"|"&amp;"CY2024Q3",Spectrum!$R:$R,0)),0),""))</f>
        <v>2958</v>
      </c>
      <c r="W223" s="220">
        <f>IF(LEFT($B223,4)="_Mil","",_xlfn.IFNA(INDEX(Spectrum!$N:$N,MATCH(RIGHT($B223,13)&amp;"|"&amp;$C223&amp;"|"&amp;$D223&amp;"|"&amp;W$14&amp;"|"&amp;"CY2024Q3",Spectrum!$R:$R,0)),""))</f>
        <v>9.0410906999999999E-2</v>
      </c>
      <c r="X223" s="218">
        <f>IF(LEFT($B223,4)="_Mil","",_xlfn.IFNA(ROUND(INDEX(Spectrum!$N:$N,MATCH(RIGHT($B223,13)&amp;"|"&amp;$C223&amp;"|"&amp;$D223&amp;"|"&amp;X$14&amp;"|"&amp;"CY2024Q3",Spectrum!$R:$R,0)),0),""))</f>
        <v>2656</v>
      </c>
      <c r="Y223" s="33">
        <f t="shared" si="55"/>
        <v>0.99</v>
      </c>
      <c r="Z223" s="218">
        <f>IF(LEFT($B223,4)="_Mil","",_xlfn.IFNA(ROUND(INDEX(Spectrum!$N:$N,MATCH(RIGHT($B223,13)&amp;"|"&amp;$C223&amp;"|"&amp;$D223&amp;"|"&amp;Z$14&amp;"|"&amp;"CY2024Q3",Spectrum!$R:$R,0)),0),""))</f>
        <v>2917</v>
      </c>
      <c r="AA223" s="33">
        <f>IF(LEFT($B223,4)="_Mil","",IFERROR(1/(1/INDEX(Spectrum!$N:$N,MATCH(RIGHT($B223,13)&amp;"|"&amp;$C223&amp;"|"&amp;$D223&amp;"|"&amp;AA$14&amp;"|"&amp;"CY2024Q3",Spectrum!$R:$R,0))),IF(SUM($U223)=0,"",SUM($Z223)/$U223)))</f>
        <v>0.98636674400000002</v>
      </c>
      <c r="AB223" s="33">
        <f t="shared" si="56"/>
        <v>1.0982680722891567</v>
      </c>
      <c r="AC223" s="38">
        <f>IF(LEFT($B223,4)="_Mil","",_xlfn.IFNA(ROUND(INDEX(Spectrum!$N:$N,MATCH(RIGHT($B223,13)&amp;"|"&amp;$C223&amp;"|"&amp;$D223&amp;"|"&amp;AC$14&amp;"|"&amp;"CY2024Q3",Spectrum!$R:$R,0)),0),""))</f>
        <v>42</v>
      </c>
      <c r="AD223" s="38" t="str">
        <f>IF(LEFT($B223,4)="_Mil","",_xlfn.IFNA(ROUND(INDEX(Spectrum!$N:$N,MATCH(RIGHT($B223,13)&amp;"|"&amp;$C223&amp;"|"&amp;$D223&amp;"|"&amp;AD$14&amp;"|"&amp;"CY2024Q3",Spectrum!$R:$R,0)),0),""))</f>
        <v/>
      </c>
      <c r="AE223" s="33">
        <f t="shared" si="57"/>
        <v>0</v>
      </c>
      <c r="AF223" s="218" t="str">
        <f>IF(LEFT($B223,4)="_Mil","",_xlfn.IFNA(ROUND(INDEX(Spectrum!$N:$N,MATCH(RIGHT($B223,13)&amp;"|"&amp;$C223&amp;"|"&amp;$D223&amp;"|"&amp;AF$14&amp;"|"&amp;"CY2024Q3",Spectrum!$R:$R,0)),0),""))</f>
        <v/>
      </c>
      <c r="AG223" s="33" t="str">
        <f t="shared" si="58"/>
        <v/>
      </c>
      <c r="AH223" s="110" t="str">
        <f>IF(LEFT($B223,4)="_Mil","",_xlfn.IFNA(INDEX(Spectrum!$N:$N,MATCH(RIGHT($B223,13)&amp;"|"&amp;$C223&amp;"|"&amp;$D223&amp;"|"&amp;AH$14&amp;"|"&amp;"CY2024Q3",Spectrum!$R:$R,0)),""))</f>
        <v/>
      </c>
      <c r="AI223" s="218">
        <f>IF(LEFT($B223,4)="_Mil","",_xlfn.IFNA(ROUND(INDEX(Spectrum!$N:$N,MATCH(RIGHT($B223,13)&amp;"|"&amp;$C223&amp;"|"&amp;$D223&amp;"|"&amp;AI$14&amp;"|"&amp;"CY2025Q3",Spectrum!$R:$R,0)),0),""))</f>
        <v>5</v>
      </c>
      <c r="AJ223" s="38">
        <f>IF(LEFT($B223,4)="_Mil","",_xlfn.IFNA(ROUND(INDEX(Spectrum!$N:$N,MATCH(RIGHT($B223,13)&amp;"|"&amp;$C223&amp;"|"&amp;$D223&amp;"|"&amp;AJ$14&amp;"|"&amp;"CY2025Q3",Spectrum!$R:$R,0)),0),""))</f>
        <v>2919</v>
      </c>
      <c r="AK223" s="218" t="e">
        <f>#REF!</f>
        <v>#REF!</v>
      </c>
      <c r="AL223" s="33">
        <f t="shared" si="59"/>
        <v>0.98636674400000002</v>
      </c>
      <c r="AM223" s="38" t="e">
        <f>IF(OR(LEFT($B223,4)="_Mil",$C223="&lt;01"),"",ROUND(SUM($AK223)*SUM($AL223),0))</f>
        <v>#REF!</v>
      </c>
      <c r="AN223" s="38" t="str">
        <f>IF($C223="&lt;01",ROUND(INDEX(EID!$P:$P,MATCH($B223,EID!$B:$B,0))/2,0),"")</f>
        <v/>
      </c>
      <c r="AO223" s="38" t="e">
        <f>IF($C223="&lt;01",SUM($AN223),ROUND(SUM($AM223)*SUM($O223)/IF(SUM($Z223)=0,1,$Z223),0))</f>
        <v>#REF!</v>
      </c>
      <c r="AP223" s="218">
        <f>IF(OR($F223="",$C223="&lt;01"),$AO223,ROUND($F223,0))</f>
        <v>3138</v>
      </c>
      <c r="AQ223" s="218">
        <f>IF(LEFT($B223,4)="_Mil","",IF(SUM($AP223)=0,SUM($Z223),IF(OR(SUM($Z223)=0,SUM($O223)=0),MAX($AP223,$Z223),ROUND($AP223*$Z223/$O223,0))))</f>
        <v>3095</v>
      </c>
      <c r="AR223" s="33" t="e">
        <f>IF(OR(LEFT($B223,4)="_Mil",SUM($AK223)=0),"",SUM($AQ223)/$AK223)</f>
        <v>#REF!</v>
      </c>
      <c r="AS223" s="33">
        <v>1.02</v>
      </c>
      <c r="AT223" s="33">
        <f>IF($C223="&lt;01","",100%)</f>
        <v>1</v>
      </c>
      <c r="AU223" s="38">
        <f>IF($C223="&lt;01","",SUM($AP223)-SUM($O223))</f>
        <v>180</v>
      </c>
      <c r="AV223" s="38">
        <f>IF($C223="&lt;01",ROUND(INDEX(EID!$N:$N,MATCH($B223,EID!$B:$B,0))/2,0),IF(SUM($AT223)=0,"",ROUND((SUM($AP223)-(SUM($O223)*SUM($AS223)))/$AT223,0)))</f>
        <v>121</v>
      </c>
      <c r="AW223" s="33">
        <v>0.8</v>
      </c>
      <c r="AX223" s="218">
        <f>IF($C223="&lt;01",SUM($AV223),ROUND(SUM($AV223)*SUM($AW223),0))</f>
        <v>97</v>
      </c>
      <c r="AY223" s="79">
        <f t="shared" si="61"/>
        <v>0.7</v>
      </c>
      <c r="AZ223" s="85">
        <f>IF($C223="&lt;01",ROUND(INDEX(EID!$R:$R,MATCH($B223,EID!$B:$B,0))/2,0),ROUND(SUM($O223)+(SUM($AV223)*$AY223),0))</f>
        <v>3043</v>
      </c>
      <c r="BA223" s="40">
        <f t="shared" ref="BA223:BA286" si="65">IF($C223="&lt;01","",90%)</f>
        <v>0.9</v>
      </c>
      <c r="BB223" s="99">
        <f>IF($C223="&lt;01",ROUND(INDEX(EID!$T:$T,MATCH($B223,EID!$B:$B,0))/2,0),ROUND($AP223*$BA223,0))</f>
        <v>2824</v>
      </c>
      <c r="BC223" s="85">
        <f>IF(LEFT($B223,4)="_Mil","",IF(SUM($BB223)=0,SUM($AD223),IF(OR(SUM($AP223)=0,SUM($AQ223)=0),MAX($BB223,$AD223),ROUND($BB223*$AQ223/$AP223,0))))</f>
        <v>2785</v>
      </c>
      <c r="BD223" s="33">
        <f t="shared" si="62"/>
        <v>0.95</v>
      </c>
      <c r="BE223" s="218">
        <f>IF($C223="&lt;01",ROUND(INDEX(EID!$V:$V,MATCH($B223,EID!$B:$B,0))/2,0),ROUND($BD223*$BB223,0))</f>
        <v>2683</v>
      </c>
      <c r="BF223" s="218">
        <f>IF(LEFT($B223,4)="_Mil","",IF(SUM($BE223)=0,SUM($AF223),IF(OR(SUM($AP223)=0,SUM($AQ223)=0),MAX($BE223,$AF223),ROUND($BE223*$AQ223/$AP223,0))))</f>
        <v>2646</v>
      </c>
      <c r="BG223" s="79">
        <f t="shared" si="63"/>
        <v>0.95</v>
      </c>
      <c r="BH223" s="99">
        <f>IF($C223="&lt;01",ROUND(INDEX(EID!$L:$L,MATCH($B223,EID!$B:$B,0)),0)/2,IF(SUM($BG223)=0,"",ROUND($AX223/$BG223,0)))</f>
        <v>102</v>
      </c>
    </row>
    <row r="224" spans="1:60" x14ac:dyDescent="0.2">
      <c r="A224" t="str">
        <f>INDEX(Prioritization!$D:$D,MATCH($B224,Prioritization!$A:$A,0))</f>
        <v>4 - Sustained</v>
      </c>
      <c r="B224" t="s">
        <v>302</v>
      </c>
      <c r="C224" t="s">
        <v>478</v>
      </c>
      <c r="D224" t="s">
        <v>48</v>
      </c>
      <c r="E224" t="str">
        <f t="shared" si="53"/>
        <v>Mchinji District [kxuuIFpOXyO]|50+|Male</v>
      </c>
      <c r="F224" s="229">
        <v>2906</v>
      </c>
      <c r="G224" s="38">
        <v>78</v>
      </c>
      <c r="H224" s="38">
        <v>84</v>
      </c>
      <c r="I224" s="38">
        <v>2594</v>
      </c>
      <c r="J224" s="38">
        <v>1639</v>
      </c>
      <c r="K224" s="38">
        <v>1453</v>
      </c>
      <c r="L224" s="38">
        <v>256</v>
      </c>
      <c r="M224" s="38">
        <v>242</v>
      </c>
      <c r="N224" s="38">
        <v>2690</v>
      </c>
      <c r="O224" s="229">
        <v>2750</v>
      </c>
      <c r="P224" s="38">
        <v>2239</v>
      </c>
      <c r="Q224" s="38">
        <v>2127</v>
      </c>
      <c r="R224" s="38">
        <f t="shared" si="54"/>
        <v>156</v>
      </c>
      <c r="S224" s="38">
        <f>IF(LEFT($B224,4)="_Mil","",_xlfn.IFNA(ROUND(INDEX(Spectrum!$N:$N,MATCH(RIGHT($B224,13)&amp;"|"&amp;$C224&amp;"|"&amp;$D224&amp;"|"&amp;S$14&amp;"|"&amp;"CY2023Q4",Spectrum!$R:$R,0)),0),""))</f>
        <v>2554</v>
      </c>
      <c r="T224" s="218">
        <f>IF(LEFT($B224,4)="_Mil","",_xlfn.IFNA(ROUND(INDEX(Spectrum!$N:$N,MATCH(RIGHT($B224,13)&amp;"|"&amp;$C224&amp;"|"&amp;$D224&amp;"|"&amp;T$14&amp;"|"&amp;"CY2024Q3",Spectrum!$R:$R,0)),0),""))</f>
        <v>25904</v>
      </c>
      <c r="U224" s="218">
        <f>IF(LEFT($B224,4)="_Mil","",_xlfn.IFNA(ROUND(INDEX(Spectrum!$N:$N,MATCH(RIGHT($B224,13)&amp;"|"&amp;$C224&amp;"|"&amp;$D224&amp;"|"&amp;U$14&amp;"|"&amp;"CY2024Q3",Spectrum!$R:$R,0)),0),""))</f>
        <v>2642</v>
      </c>
      <c r="V224" s="38">
        <f>IF(LEFT($B224,4)="_Mil","",_xlfn.IFNA(ROUND(INDEX(Spectrum!$N:$N,MATCH(RIGHT($B224,13)&amp;"|"&amp;$C224&amp;"|"&amp;$D224&amp;"|"&amp;V$14&amp;"|"&amp;"CY2024Q3",Spectrum!$R:$R,0)),0),""))</f>
        <v>2864</v>
      </c>
      <c r="W224" s="220">
        <f>IF(LEFT($B224,4)="_Mil","",_xlfn.IFNA(INDEX(Spectrum!$N:$N,MATCH(RIGHT($B224,13)&amp;"|"&amp;$C224&amp;"|"&amp;$D224&amp;"|"&amp;W$14&amp;"|"&amp;"CY2024Q3",Spectrum!$R:$R,0)),""))</f>
        <v>0.101973947</v>
      </c>
      <c r="X224" s="218">
        <f>IF(LEFT($B224,4)="_Mil","",_xlfn.IFNA(ROUND(INDEX(Spectrum!$N:$N,MATCH(RIGHT($B224,13)&amp;"|"&amp;$C224&amp;"|"&amp;$D224&amp;"|"&amp;X$14&amp;"|"&amp;"CY2024Q3",Spectrum!$R:$R,0)),0),""))</f>
        <v>2493</v>
      </c>
      <c r="Y224" s="33">
        <f t="shared" si="55"/>
        <v>0.94</v>
      </c>
      <c r="Z224" s="218">
        <f>IF(LEFT($B224,4)="_Mil","",_xlfn.IFNA(ROUND(INDEX(Spectrum!$N:$N,MATCH(RIGHT($B224,13)&amp;"|"&amp;$C224&amp;"|"&amp;$D224&amp;"|"&amp;Z$14&amp;"|"&amp;"CY2024Q3",Spectrum!$R:$R,0)),0),""))</f>
        <v>2711</v>
      </c>
      <c r="AA224" s="33">
        <f>IF(LEFT($B224,4)="_Mil","",IFERROR(1/(1/INDEX(Spectrum!$N:$N,MATCH(RIGHT($B224,13)&amp;"|"&amp;$C224&amp;"|"&amp;$D224&amp;"|"&amp;AA$14&amp;"|"&amp;"CY2024Q3",Spectrum!$R:$R,0))),IF(SUM($U224)=0,"",SUM($Z224)/$U224)))</f>
        <v>0.94032277099999995</v>
      </c>
      <c r="AB224" s="33">
        <f t="shared" si="56"/>
        <v>1.0874448455675894</v>
      </c>
      <c r="AC224" s="38">
        <f>IF(LEFT($B224,4)="_Mil","",_xlfn.IFNA(ROUND(INDEX(Spectrum!$N:$N,MATCH(RIGHT($B224,13)&amp;"|"&amp;$C224&amp;"|"&amp;$D224&amp;"|"&amp;AC$14&amp;"|"&amp;"CY2024Q3",Spectrum!$R:$R,0)),0),""))</f>
        <v>154</v>
      </c>
      <c r="AD224" s="38" t="str">
        <f>IF(LEFT($B224,4)="_Mil","",_xlfn.IFNA(ROUND(INDEX(Spectrum!$N:$N,MATCH(RIGHT($B224,13)&amp;"|"&amp;$C224&amp;"|"&amp;$D224&amp;"|"&amp;AD$14&amp;"|"&amp;"CY2024Q3",Spectrum!$R:$R,0)),0),""))</f>
        <v/>
      </c>
      <c r="AE224" s="33">
        <f t="shared" si="57"/>
        <v>0</v>
      </c>
      <c r="AF224" s="218" t="str">
        <f>IF(LEFT($B224,4)="_Mil","",_xlfn.IFNA(ROUND(INDEX(Spectrum!$N:$N,MATCH(RIGHT($B224,13)&amp;"|"&amp;$C224&amp;"|"&amp;$D224&amp;"|"&amp;AF$14&amp;"|"&amp;"CY2024Q3",Spectrum!$R:$R,0)),0),""))</f>
        <v/>
      </c>
      <c r="AG224" s="33" t="str">
        <f t="shared" si="58"/>
        <v/>
      </c>
      <c r="AH224" s="110" t="str">
        <f>IF(LEFT($B224,4)="_Mil","",_xlfn.IFNA(INDEX(Spectrum!$N:$N,MATCH(RIGHT($B224,13)&amp;"|"&amp;$C224&amp;"|"&amp;$D224&amp;"|"&amp;AH$14&amp;"|"&amp;"CY2024Q3",Spectrum!$R:$R,0)),""))</f>
        <v/>
      </c>
      <c r="AI224" s="218">
        <f>IF(LEFT($B224,4)="_Mil","",_xlfn.IFNA(ROUND(INDEX(Spectrum!$N:$N,MATCH(RIGHT($B224,13)&amp;"|"&amp;$C224&amp;"|"&amp;$D224&amp;"|"&amp;AI$14&amp;"|"&amp;"CY2025Q3",Spectrum!$R:$R,0)),0),""))</f>
        <v>10</v>
      </c>
      <c r="AJ224" s="38">
        <f>IF(LEFT($B224,4)="_Mil","",_xlfn.IFNA(ROUND(INDEX(Spectrum!$N:$N,MATCH(RIGHT($B224,13)&amp;"|"&amp;$C224&amp;"|"&amp;$D224&amp;"|"&amp;AJ$14&amp;"|"&amp;"CY2025Q3",Spectrum!$R:$R,0)),0),""))</f>
        <v>2799</v>
      </c>
      <c r="AK224" s="218" t="e">
        <f>#REF!</f>
        <v>#REF!</v>
      </c>
      <c r="AL224" s="33">
        <f t="shared" si="59"/>
        <v>0.94032277099999995</v>
      </c>
      <c r="AM224" s="38" t="e">
        <f>IF(OR(LEFT($B224,4)="_Mil",$C224="&lt;01"),"",ROUND(SUM($AK224)*SUM($AL224),0))</f>
        <v>#REF!</v>
      </c>
      <c r="AN224" s="38" t="str">
        <f>IF($C224="&lt;01",ROUND(INDEX(EID!$P:$P,MATCH($B224,EID!$B:$B,0))/2,0),"")</f>
        <v/>
      </c>
      <c r="AO224" s="38" t="e">
        <f>IF($C224="&lt;01",SUM($AN224),ROUND(SUM($AM224)*SUM($O224)/IF(SUM($Z224)=0,1,$Z224),0))</f>
        <v>#REF!</v>
      </c>
      <c r="AP224" s="218">
        <f>IF(OR($F224="",$C224="&lt;01"),$AO224,ROUND($F224,0))</f>
        <v>2906</v>
      </c>
      <c r="AQ224" s="218">
        <f>IF(LEFT($B224,4)="_Mil","",IF(SUM($AP224)=0,SUM($Z224),IF(OR(SUM($Z224)=0,SUM($O224)=0),MAX($AP224,$Z224),ROUND($AP224*$Z224/$O224,0))))</f>
        <v>2865</v>
      </c>
      <c r="AR224" s="33" t="e">
        <f>IF(OR(LEFT($B224,4)="_Mil",SUM($AK224)=0),"",SUM($AQ224)/$AK224)</f>
        <v>#REF!</v>
      </c>
      <c r="AS224" s="33">
        <v>1.02</v>
      </c>
      <c r="AT224" s="33">
        <f>IF($C224="&lt;01","",100%)</f>
        <v>1</v>
      </c>
      <c r="AU224" s="38">
        <f>IF($C224="&lt;01","",SUM($AP224)-SUM($O224))</f>
        <v>156</v>
      </c>
      <c r="AV224" s="38">
        <f>IF($C224="&lt;01",ROUND(INDEX(EID!$N:$N,MATCH($B224,EID!$B:$B,0))/2,0),IF(SUM($AT224)=0,"",ROUND((SUM($AP224)-(SUM($O224)*SUM($AS224)))/$AT224,0)))</f>
        <v>101</v>
      </c>
      <c r="AW224" s="33">
        <v>0.8</v>
      </c>
      <c r="AX224" s="218">
        <f>IF($C224="&lt;01",SUM($AV224),ROUND(SUM($AV224)*SUM($AW224),0))</f>
        <v>81</v>
      </c>
      <c r="AY224" s="79">
        <f t="shared" si="61"/>
        <v>0.7</v>
      </c>
      <c r="AZ224" s="85">
        <f>IF($C224="&lt;01",ROUND(INDEX(EID!$R:$R,MATCH($B224,EID!$B:$B,0))/2,0),ROUND(SUM($O224)+(SUM($AV224)*$AY224),0))</f>
        <v>2821</v>
      </c>
      <c r="BA224" s="40">
        <f t="shared" si="65"/>
        <v>0.9</v>
      </c>
      <c r="BB224" s="99">
        <f>IF($C224="&lt;01",ROUND(INDEX(EID!$T:$T,MATCH($B224,EID!$B:$B,0))/2,0),ROUND($AP224*$BA224,0))</f>
        <v>2615</v>
      </c>
      <c r="BC224" s="85">
        <f>IF(LEFT($B224,4)="_Mil","",IF(SUM($BB224)=0,SUM($AD224),IF(OR(SUM($AP224)=0,SUM($AQ224)=0),MAX($BB224,$AD224),ROUND($BB224*$AQ224/$AP224,0))))</f>
        <v>2578</v>
      </c>
      <c r="BD224" s="33">
        <f t="shared" si="62"/>
        <v>0.95</v>
      </c>
      <c r="BE224" s="218">
        <f>IF($C224="&lt;01",ROUND(INDEX(EID!$V:$V,MATCH($B224,EID!$B:$B,0))/2,0),ROUND($BD224*$BB224,0))</f>
        <v>2484</v>
      </c>
      <c r="BF224" s="218">
        <f>IF(LEFT($B224,4)="_Mil","",IF(SUM($BE224)=0,SUM($AF224),IF(OR(SUM($AP224)=0,SUM($AQ224)=0),MAX($BE224,$AF224),ROUND($BE224*$AQ224/$AP224,0))))</f>
        <v>2449</v>
      </c>
      <c r="BG224" s="79">
        <f t="shared" si="63"/>
        <v>0.95</v>
      </c>
      <c r="BH224" s="99">
        <f>IF($C224="&lt;01",ROUND(INDEX(EID!$L:$L,MATCH($B224,EID!$B:$B,0)),0)/2,IF(SUM($BG224)=0,"",ROUND($AX224/$BG224,0)))</f>
        <v>85</v>
      </c>
    </row>
    <row r="225" spans="1:60" x14ac:dyDescent="0.2">
      <c r="A225" t="str">
        <f>INDEX(Prioritization!$D:$D,MATCH($B225,Prioritization!$A:$A,0))</f>
        <v>INVALID</v>
      </c>
      <c r="B225" t="s">
        <v>319</v>
      </c>
      <c r="C225" t="s">
        <v>426</v>
      </c>
      <c r="D225" t="s">
        <v>30</v>
      </c>
      <c r="E225" t="str">
        <f t="shared" si="53"/>
        <v>Mulanje District [umc2n1Z4wNv]|&lt;01|Female</v>
      </c>
      <c r="F225" s="229">
        <v>25</v>
      </c>
      <c r="G225" s="38">
        <v>27</v>
      </c>
      <c r="H225" s="38">
        <v>15</v>
      </c>
      <c r="I225" s="38">
        <v>10</v>
      </c>
      <c r="J225" s="38">
        <v>42</v>
      </c>
      <c r="K225" s="38">
        <v>40</v>
      </c>
      <c r="L225" s="38"/>
      <c r="M225" s="38">
        <v>26</v>
      </c>
      <c r="N225" s="38">
        <v>25</v>
      </c>
      <c r="O225" s="229">
        <v>25</v>
      </c>
      <c r="P225" s="38">
        <v>17</v>
      </c>
      <c r="Q225" s="38">
        <v>16</v>
      </c>
      <c r="R225" s="38">
        <f t="shared" si="54"/>
        <v>15</v>
      </c>
      <c r="S225" s="38">
        <f>IF(LEFT($B225,4)="_Mil","",_xlfn.IFNA(ROUND(INDEX(Spectrum!$N:$N,MATCH(RIGHT($B225,13)&amp;"|"&amp;$C225&amp;"|"&amp;$D225&amp;"|"&amp;S$14&amp;"|"&amp;"CY2023Q4",Spectrum!$R:$R,0)),0),""))</f>
        <v>32</v>
      </c>
      <c r="T225" s="218">
        <f>IF(LEFT($B225,4)="_Mil","",_xlfn.IFNA(ROUND(INDEX(Spectrum!$N:$N,MATCH(RIGHT($B225,13)&amp;"|"&amp;$C225&amp;"|"&amp;$D225&amp;"|"&amp;T$14&amp;"|"&amp;"CY2024Q3",Spectrum!$R:$R,0)),0),""))</f>
        <v>12620</v>
      </c>
      <c r="U225" s="218">
        <f>IF(LEFT($B225,4)="_Mil","",_xlfn.IFNA(ROUND(INDEX(Spectrum!$N:$N,MATCH(RIGHT($B225,13)&amp;"|"&amp;$C225&amp;"|"&amp;$D225&amp;"|"&amp;U$14&amp;"|"&amp;"CY2024Q3",Spectrum!$R:$R,0)),0),""))</f>
        <v>35</v>
      </c>
      <c r="V225" s="38">
        <f>IF(LEFT($B225,4)="_Mil","",_xlfn.IFNA(ROUND(INDEX(Spectrum!$N:$N,MATCH(RIGHT($B225,13)&amp;"|"&amp;$C225&amp;"|"&amp;$D225&amp;"|"&amp;V$14&amp;"|"&amp;"CY2024Q3",Spectrum!$R:$R,0)),0),""))</f>
        <v>33</v>
      </c>
      <c r="W225" s="220">
        <f>IF(LEFT($B225,4)="_Mil","",_xlfn.IFNA(INDEX(Spectrum!$N:$N,MATCH(RIGHT($B225,13)&amp;"|"&amp;$C225&amp;"|"&amp;$D225&amp;"|"&amp;W$14&amp;"|"&amp;"CY2024Q3",Spectrum!$R:$R,0)),""))</f>
        <v>2.7478730000000001E-3</v>
      </c>
      <c r="X225" s="218">
        <f>IF(LEFT($B225,4)="_Mil","",_xlfn.IFNA(ROUND(INDEX(Spectrum!$N:$N,MATCH(RIGHT($B225,13)&amp;"|"&amp;$C225&amp;"|"&amp;$D225&amp;"|"&amp;X$14&amp;"|"&amp;"CY2024Q3",Spectrum!$R:$R,0)),0),""))</f>
        <v>28</v>
      </c>
      <c r="Y225" s="33">
        <f t="shared" si="55"/>
        <v>0.8</v>
      </c>
      <c r="Z225" s="218">
        <f>IF(LEFT($B225,4)="_Mil","",_xlfn.IFNA(ROUND(INDEX(Spectrum!$N:$N,MATCH(RIGHT($B225,13)&amp;"|"&amp;$C225&amp;"|"&amp;$D225&amp;"|"&amp;Z$14&amp;"|"&amp;"CY2024Q3",Spectrum!$R:$R,0)),0),""))</f>
        <v>27</v>
      </c>
      <c r="AA225" s="33">
        <f>IF(LEFT($B225,4)="_Mil","",IFERROR(1/(1/INDEX(Spectrum!$N:$N,MATCH(RIGHT($B225,13)&amp;"|"&amp;$C225&amp;"|"&amp;$D225&amp;"|"&amp;AA$14&amp;"|"&amp;"CY2024Q3",Spectrum!$R:$R,0))),IF(SUM($U225)=0,"",SUM($Z225)/$U225)))</f>
        <v>0.77879976100000003</v>
      </c>
      <c r="AB225" s="33">
        <f t="shared" si="56"/>
        <v>0.9642857142857143</v>
      </c>
      <c r="AC225" s="38">
        <f>IF(LEFT($B225,4)="_Mil","",_xlfn.IFNA(ROUND(INDEX(Spectrum!$N:$N,MATCH(RIGHT($B225,13)&amp;"|"&amp;$C225&amp;"|"&amp;$D225&amp;"|"&amp;AC$14&amp;"|"&amp;"CY2024Q3",Spectrum!$R:$R,0)),0),""))</f>
        <v>6</v>
      </c>
      <c r="AD225" s="38" t="str">
        <f>IF(LEFT($B225,4)="_Mil","",_xlfn.IFNA(ROUND(INDEX(Spectrum!$N:$N,MATCH(RIGHT($B225,13)&amp;"|"&amp;$C225&amp;"|"&amp;$D225&amp;"|"&amp;AD$14&amp;"|"&amp;"CY2024Q3",Spectrum!$R:$R,0)),0),""))</f>
        <v/>
      </c>
      <c r="AE225" s="33">
        <f t="shared" si="57"/>
        <v>0</v>
      </c>
      <c r="AF225" s="218" t="str">
        <f>IF(LEFT($B225,4)="_Mil","",_xlfn.IFNA(ROUND(INDEX(Spectrum!$N:$N,MATCH(RIGHT($B225,13)&amp;"|"&amp;$C225&amp;"|"&amp;$D225&amp;"|"&amp;AF$14&amp;"|"&amp;"CY2024Q3",Spectrum!$R:$R,0)),0),""))</f>
        <v/>
      </c>
      <c r="AG225" s="33" t="str">
        <f t="shared" si="58"/>
        <v/>
      </c>
      <c r="AH225" s="110" t="str">
        <f>IF(LEFT($B225,4)="_Mil","",_xlfn.IFNA(INDEX(Spectrum!$N:$N,MATCH(RIGHT($B225,13)&amp;"|"&amp;$C225&amp;"|"&amp;$D225&amp;"|"&amp;AH$14&amp;"|"&amp;"CY2024Q3",Spectrum!$R:$R,0)),""))</f>
        <v/>
      </c>
      <c r="AI225" s="218">
        <f>IF(LEFT($B225,4)="_Mil","",_xlfn.IFNA(ROUND(INDEX(Spectrum!$N:$N,MATCH(RIGHT($B225,13)&amp;"|"&amp;$C225&amp;"|"&amp;$D225&amp;"|"&amp;AI$14&amp;"|"&amp;"CY2025Q3",Spectrum!$R:$R,0)),0),""))</f>
        <v>42</v>
      </c>
      <c r="AJ225" s="38">
        <f>IF(LEFT($B225,4)="_Mil","",_xlfn.IFNA(ROUND(INDEX(Spectrum!$N:$N,MATCH(RIGHT($B225,13)&amp;"|"&amp;$C225&amp;"|"&amp;$D225&amp;"|"&amp;AJ$14&amp;"|"&amp;"CY2025Q3",Spectrum!$R:$R,0)),0),""))</f>
        <v>32</v>
      </c>
      <c r="AK225" s="218" t="e">
        <f>#REF!</f>
        <v>#REF!</v>
      </c>
      <c r="AL225" s="33" t="str">
        <f t="shared" si="59"/>
        <v/>
      </c>
      <c r="AM225" s="38" t="str">
        <f>IF(OR(LEFT($B225,4)="_Mil",$C225="&lt;01"),"",ROUND(SUM($AK225)*SUM($AL225),0))</f>
        <v/>
      </c>
      <c r="AN225" s="38">
        <f>IF($C225="&lt;01",ROUND(INDEX(EID!$P:$P,MATCH($B225,EID!$B:$B,0))/2,0),"")</f>
        <v>0</v>
      </c>
      <c r="AO225" s="38">
        <f>IF($C225="&lt;01",SUM($AN225),ROUND(SUM($AM225)*SUM($O225)/IF(SUM($Z225)=0,1,$Z225),0))</f>
        <v>0</v>
      </c>
      <c r="AP225" s="218">
        <f>IF(OR($F225="",$C225="&lt;01"),$AO225,ROUND($F225,0))</f>
        <v>0</v>
      </c>
      <c r="AQ225" s="218">
        <f>IF(LEFT($B225,4)="_Mil","",IF(SUM($AP225)=0,SUM($Z225),IF(OR(SUM($Z225)=0,SUM($O225)=0),MAX($AP225,$Z225),ROUND($AP225*$Z225/$O225,0))))</f>
        <v>27</v>
      </c>
      <c r="AR225" s="33" t="e">
        <f>IF(OR(LEFT($B225,4)="_Mil",SUM($AK225)=0),"",SUM($AQ225)/$AK225)</f>
        <v>#REF!</v>
      </c>
      <c r="AS225" s="33" t="str">
        <f t="shared" si="64"/>
        <v/>
      </c>
      <c r="AT225" s="33" t="str">
        <f t="shared" si="49"/>
        <v/>
      </c>
      <c r="AU225" s="38" t="str">
        <f>IF($C225="&lt;01","",SUM($AP225)-SUM($O225))</f>
        <v/>
      </c>
      <c r="AV225" s="38">
        <f>IF($C225="&lt;01",ROUND(INDEX(EID!$N:$N,MATCH($B225,EID!$B:$B,0))/2,0),IF(SUM($AT225)=0,"",ROUND((SUM($AP225)-(SUM($O225)*SUM($AS225)))/$AT225,0)))</f>
        <v>0</v>
      </c>
      <c r="AW225" s="33" t="str">
        <f t="shared" si="60"/>
        <v/>
      </c>
      <c r="AX225" s="218">
        <f>IF($C225="&lt;01",SUM($AV225),ROUND(SUM($AV225)*SUM($AW225),0))</f>
        <v>0</v>
      </c>
      <c r="AY225" s="79" t="str">
        <f t="shared" si="61"/>
        <v/>
      </c>
      <c r="AZ225" s="85">
        <f>IF($C225="&lt;01",ROUND(INDEX(EID!$R:$R,MATCH($B225,EID!$B:$B,0))/2,0),ROUND(SUM($O225)+(SUM($AV225)*$AY225),0))</f>
        <v>0</v>
      </c>
      <c r="BA225" s="40" t="str">
        <f t="shared" si="65"/>
        <v/>
      </c>
      <c r="BB225" s="99">
        <f>IF($C225="&lt;01",ROUND(INDEX(EID!$T:$T,MATCH($B225,EID!$B:$B,0))/2,0),ROUND($AP225*$BA225,0))</f>
        <v>0</v>
      </c>
      <c r="BC225" s="85">
        <f>IF(LEFT($B225,4)="_Mil","",IF(SUM($BB225)=0,SUM($AD225),IF(OR(SUM($AP225)=0,SUM($AQ225)=0),MAX($BB225,$AD225),ROUND($BB225*$AQ225/$AP225,0))))</f>
        <v>0</v>
      </c>
      <c r="BD225" s="33" t="str">
        <f t="shared" si="62"/>
        <v/>
      </c>
      <c r="BE225" s="218">
        <f>IF($C225="&lt;01",ROUND(INDEX(EID!$V:$V,MATCH($B225,EID!$B:$B,0))/2,0),ROUND($BD225*$BB225,0))</f>
        <v>0</v>
      </c>
      <c r="BF225" s="218">
        <f>IF(LEFT($B225,4)="_Mil","",IF(SUM($BE225)=0,SUM($AF225),IF(OR(SUM($AP225)=0,SUM($AQ225)=0),MAX($BE225,$AF225),ROUND($BE225*$AQ225/$AP225,0))))</f>
        <v>0</v>
      </c>
      <c r="BG225" s="79" t="str">
        <f t="shared" si="63"/>
        <v/>
      </c>
      <c r="BH225" s="99">
        <f>IF($C225="&lt;01",ROUND(INDEX(EID!$L:$L,MATCH($B225,EID!$B:$B,0)),0)/2,IF(SUM($BG225)=0,"",ROUND($AX225/$BG225,0)))</f>
        <v>0</v>
      </c>
    </row>
    <row r="226" spans="1:60" x14ac:dyDescent="0.2">
      <c r="A226" t="str">
        <f>INDEX(Prioritization!$D:$D,MATCH($B226,Prioritization!$A:$A,0))</f>
        <v>INVALID</v>
      </c>
      <c r="B226" t="s">
        <v>319</v>
      </c>
      <c r="C226" t="s">
        <v>426</v>
      </c>
      <c r="D226" t="s">
        <v>48</v>
      </c>
      <c r="E226" t="str">
        <f t="shared" si="53"/>
        <v>Mulanje District [umc2n1Z4wNv]|&lt;01|Male</v>
      </c>
      <c r="F226" s="229">
        <v>26</v>
      </c>
      <c r="G226" s="38">
        <v>28</v>
      </c>
      <c r="H226" s="38">
        <v>8</v>
      </c>
      <c r="I226" s="38">
        <v>5</v>
      </c>
      <c r="J226" s="38">
        <v>34</v>
      </c>
      <c r="K226" s="38">
        <v>29</v>
      </c>
      <c r="L226" s="38"/>
      <c r="M226" s="38">
        <v>26</v>
      </c>
      <c r="N226" s="38">
        <v>25</v>
      </c>
      <c r="O226" s="229">
        <v>26</v>
      </c>
      <c r="P226" s="38">
        <v>17</v>
      </c>
      <c r="Q226" s="38">
        <v>16</v>
      </c>
      <c r="R226" s="38">
        <f t="shared" si="54"/>
        <v>21</v>
      </c>
      <c r="S226" s="38">
        <f>IF(LEFT($B226,4)="_Mil","",_xlfn.IFNA(ROUND(INDEX(Spectrum!$N:$N,MATCH(RIGHT($B226,13)&amp;"|"&amp;$C226&amp;"|"&amp;$D226&amp;"|"&amp;S$14&amp;"|"&amp;"CY2023Q4",Spectrum!$R:$R,0)),0),""))</f>
        <v>31</v>
      </c>
      <c r="T226" s="218">
        <f>IF(LEFT($B226,4)="_Mil","",_xlfn.IFNA(ROUND(INDEX(Spectrum!$N:$N,MATCH(RIGHT($B226,13)&amp;"|"&amp;$C226&amp;"|"&amp;$D226&amp;"|"&amp;T$14&amp;"|"&amp;"CY2024Q3",Spectrum!$R:$R,0)),0),""))</f>
        <v>13029</v>
      </c>
      <c r="U226" s="218">
        <f>IF(LEFT($B226,4)="_Mil","",_xlfn.IFNA(ROUND(INDEX(Spectrum!$N:$N,MATCH(RIGHT($B226,13)&amp;"|"&amp;$C226&amp;"|"&amp;$D226&amp;"|"&amp;U$14&amp;"|"&amp;"CY2024Q3",Spectrum!$R:$R,0)),0),""))</f>
        <v>35</v>
      </c>
      <c r="V226" s="38">
        <f>IF(LEFT($B226,4)="_Mil","",_xlfn.IFNA(ROUND(INDEX(Spectrum!$N:$N,MATCH(RIGHT($B226,13)&amp;"|"&amp;$C226&amp;"|"&amp;$D226&amp;"|"&amp;V$14&amp;"|"&amp;"CY2024Q3",Spectrum!$R:$R,0)),0),""))</f>
        <v>34</v>
      </c>
      <c r="W226" s="220">
        <f>IF(LEFT($B226,4)="_Mil","",_xlfn.IFNA(INDEX(Spectrum!$N:$N,MATCH(RIGHT($B226,13)&amp;"|"&amp;$C226&amp;"|"&amp;$D226&amp;"|"&amp;W$14&amp;"|"&amp;"CY2024Q3",Spectrum!$R:$R,0)),""))</f>
        <v>2.7119230000000002E-3</v>
      </c>
      <c r="X226" s="218">
        <f>IF(LEFT($B226,4)="_Mil","",_xlfn.IFNA(ROUND(INDEX(Spectrum!$N:$N,MATCH(RIGHT($B226,13)&amp;"|"&amp;$C226&amp;"|"&amp;$D226&amp;"|"&amp;X$14&amp;"|"&amp;"CY2024Q3",Spectrum!$R:$R,0)),0),""))</f>
        <v>29</v>
      </c>
      <c r="Y226" s="33">
        <f t="shared" si="55"/>
        <v>0.83</v>
      </c>
      <c r="Z226" s="218">
        <f>IF(LEFT($B226,4)="_Mil","",_xlfn.IFNA(ROUND(INDEX(Spectrum!$N:$N,MATCH(RIGHT($B226,13)&amp;"|"&amp;$C226&amp;"|"&amp;$D226&amp;"|"&amp;Z$14&amp;"|"&amp;"CY2024Q3",Spectrum!$R:$R,0)),0),""))</f>
        <v>26</v>
      </c>
      <c r="AA226" s="33">
        <f>IF(LEFT($B226,4)="_Mil","",IFERROR(1/(1/INDEX(Spectrum!$N:$N,MATCH(RIGHT($B226,13)&amp;"|"&amp;$C226&amp;"|"&amp;$D226&amp;"|"&amp;AA$14&amp;"|"&amp;"CY2024Q3",Spectrum!$R:$R,0))),IF(SUM($U226)=0,"",SUM($Z226)/$U226)))</f>
        <v>0.77868139599999997</v>
      </c>
      <c r="AB226" s="33">
        <f t="shared" si="56"/>
        <v>0.89655172413793105</v>
      </c>
      <c r="AC226" s="38">
        <f>IF(LEFT($B226,4)="_Mil","",_xlfn.IFNA(ROUND(INDEX(Spectrum!$N:$N,MATCH(RIGHT($B226,13)&amp;"|"&amp;$C226&amp;"|"&amp;$D226&amp;"|"&amp;AC$14&amp;"|"&amp;"CY2024Q3",Spectrum!$R:$R,0)),0),""))</f>
        <v>8</v>
      </c>
      <c r="AD226" s="38" t="str">
        <f>IF(LEFT($B226,4)="_Mil","",_xlfn.IFNA(ROUND(INDEX(Spectrum!$N:$N,MATCH(RIGHT($B226,13)&amp;"|"&amp;$C226&amp;"|"&amp;$D226&amp;"|"&amp;AD$14&amp;"|"&amp;"CY2024Q3",Spectrum!$R:$R,0)),0),""))</f>
        <v/>
      </c>
      <c r="AE226" s="33">
        <f t="shared" si="57"/>
        <v>0</v>
      </c>
      <c r="AF226" s="218" t="str">
        <f>IF(LEFT($B226,4)="_Mil","",_xlfn.IFNA(ROUND(INDEX(Spectrum!$N:$N,MATCH(RIGHT($B226,13)&amp;"|"&amp;$C226&amp;"|"&amp;$D226&amp;"|"&amp;AF$14&amp;"|"&amp;"CY2024Q3",Spectrum!$R:$R,0)),0),""))</f>
        <v/>
      </c>
      <c r="AG226" s="33" t="str">
        <f t="shared" si="58"/>
        <v/>
      </c>
      <c r="AH226" s="110" t="str">
        <f>IF(LEFT($B226,4)="_Mil","",_xlfn.IFNA(INDEX(Spectrum!$N:$N,MATCH(RIGHT($B226,13)&amp;"|"&amp;$C226&amp;"|"&amp;$D226&amp;"|"&amp;AH$14&amp;"|"&amp;"CY2024Q3",Spectrum!$R:$R,0)),""))</f>
        <v/>
      </c>
      <c r="AI226" s="218">
        <f>IF(LEFT($B226,4)="_Mil","",_xlfn.IFNA(ROUND(INDEX(Spectrum!$N:$N,MATCH(RIGHT($B226,13)&amp;"|"&amp;$C226&amp;"|"&amp;$D226&amp;"|"&amp;AI$14&amp;"|"&amp;"CY2025Q3",Spectrum!$R:$R,0)),0),""))</f>
        <v>43</v>
      </c>
      <c r="AJ226" s="38">
        <f>IF(LEFT($B226,4)="_Mil","",_xlfn.IFNA(ROUND(INDEX(Spectrum!$N:$N,MATCH(RIGHT($B226,13)&amp;"|"&amp;$C226&amp;"|"&amp;$D226&amp;"|"&amp;AJ$14&amp;"|"&amp;"CY2025Q3",Spectrum!$R:$R,0)),0),""))</f>
        <v>32</v>
      </c>
      <c r="AK226" s="218" t="e">
        <f>#REF!</f>
        <v>#REF!</v>
      </c>
      <c r="AL226" s="33" t="str">
        <f t="shared" si="59"/>
        <v/>
      </c>
      <c r="AM226" s="38" t="str">
        <f>IF(OR(LEFT($B226,4)="_Mil",$C226="&lt;01"),"",ROUND(SUM($AK226)*SUM($AL226),0))</f>
        <v/>
      </c>
      <c r="AN226" s="38">
        <f>IF($C226="&lt;01",ROUND(INDEX(EID!$P:$P,MATCH($B226,EID!$B:$B,0))/2,0),"")</f>
        <v>0</v>
      </c>
      <c r="AO226" s="38">
        <f>IF($C226="&lt;01",SUM($AN226),ROUND(SUM($AM226)*SUM($O226)/IF(SUM($Z226)=0,1,$Z226),0))</f>
        <v>0</v>
      </c>
      <c r="AP226" s="218">
        <f>IF(OR($F226="",$C226="&lt;01"),$AO226,ROUND($F226,0))</f>
        <v>0</v>
      </c>
      <c r="AQ226" s="218">
        <f>IF(LEFT($B226,4)="_Mil","",IF(SUM($AP226)=0,SUM($Z226),IF(OR(SUM($Z226)=0,SUM($O226)=0),MAX($AP226,$Z226),ROUND($AP226*$Z226/$O226,0))))</f>
        <v>26</v>
      </c>
      <c r="AR226" s="33" t="e">
        <f>IF(OR(LEFT($B226,4)="_Mil",SUM($AK226)=0),"",SUM($AQ226)/$AK226)</f>
        <v>#REF!</v>
      </c>
      <c r="AS226" s="33" t="str">
        <f t="shared" si="64"/>
        <v/>
      </c>
      <c r="AT226" s="33" t="str">
        <f t="shared" si="49"/>
        <v/>
      </c>
      <c r="AU226" s="38" t="str">
        <f>IF($C226="&lt;01","",SUM($AP226)-SUM($O226))</f>
        <v/>
      </c>
      <c r="AV226" s="38">
        <f>IF($C226="&lt;01",ROUND(INDEX(EID!$N:$N,MATCH($B226,EID!$B:$B,0))/2,0),IF(SUM($AT226)=0,"",ROUND((SUM($AP226)-(SUM($O226)*SUM($AS226)))/$AT226,0)))</f>
        <v>0</v>
      </c>
      <c r="AW226" s="33" t="str">
        <f t="shared" si="60"/>
        <v/>
      </c>
      <c r="AX226" s="218">
        <f>IF($C226="&lt;01",SUM($AV226),ROUND(SUM($AV226)*SUM($AW226),0))</f>
        <v>0</v>
      </c>
      <c r="AY226" s="79" t="str">
        <f t="shared" si="61"/>
        <v/>
      </c>
      <c r="AZ226" s="85">
        <f>IF($C226="&lt;01",ROUND(INDEX(EID!$R:$R,MATCH($B226,EID!$B:$B,0))/2,0),ROUND(SUM($O226)+(SUM($AV226)*$AY226),0))</f>
        <v>0</v>
      </c>
      <c r="BA226" s="40" t="str">
        <f t="shared" si="65"/>
        <v/>
      </c>
      <c r="BB226" s="99">
        <f>IF($C226="&lt;01",ROUND(INDEX(EID!$T:$T,MATCH($B226,EID!$B:$B,0))/2,0),ROUND($AP226*$BA226,0))</f>
        <v>0</v>
      </c>
      <c r="BC226" s="85">
        <f>IF(LEFT($B226,4)="_Mil","",IF(SUM($BB226)=0,SUM($AD226),IF(OR(SUM($AP226)=0,SUM($AQ226)=0),MAX($BB226,$AD226),ROUND($BB226*$AQ226/$AP226,0))))</f>
        <v>0</v>
      </c>
      <c r="BD226" s="33" t="str">
        <f t="shared" si="62"/>
        <v/>
      </c>
      <c r="BE226" s="218">
        <f>IF($C226="&lt;01",ROUND(INDEX(EID!$V:$V,MATCH($B226,EID!$B:$B,0))/2,0),ROUND($BD226*$BB226,0))</f>
        <v>0</v>
      </c>
      <c r="BF226" s="218">
        <f>IF(LEFT($B226,4)="_Mil","",IF(SUM($BE226)=0,SUM($AF226),IF(OR(SUM($AP226)=0,SUM($AQ226)=0),MAX($BE226,$AF226),ROUND($BE226*$AQ226/$AP226,0))))</f>
        <v>0</v>
      </c>
      <c r="BG226" s="79" t="str">
        <f t="shared" si="63"/>
        <v/>
      </c>
      <c r="BH226" s="99">
        <f>IF($C226="&lt;01",ROUND(INDEX(EID!$L:$L,MATCH($B226,EID!$B:$B,0)),0)/2,IF(SUM($BG226)=0,"",ROUND($AX226/$BG226,0)))</f>
        <v>0</v>
      </c>
    </row>
    <row r="227" spans="1:60" x14ac:dyDescent="0.2">
      <c r="A227" t="str">
        <f>INDEX(Prioritization!$D:$D,MATCH($B227,Prioritization!$A:$A,0))</f>
        <v>INVALID</v>
      </c>
      <c r="B227" t="s">
        <v>319</v>
      </c>
      <c r="C227" t="s">
        <v>473</v>
      </c>
      <c r="D227" t="s">
        <v>30</v>
      </c>
      <c r="E227" t="str">
        <f t="shared" si="53"/>
        <v>Mulanje District [umc2n1Z4wNv]|01-09|Female</v>
      </c>
      <c r="F227" s="229">
        <v>492</v>
      </c>
      <c r="G227" s="38">
        <v>71</v>
      </c>
      <c r="H227" s="38">
        <v>65</v>
      </c>
      <c r="I227" s="38">
        <v>492</v>
      </c>
      <c r="J227" s="38">
        <v>614</v>
      </c>
      <c r="K227" s="38">
        <v>471</v>
      </c>
      <c r="L227" s="38">
        <v>35</v>
      </c>
      <c r="M227" s="38">
        <v>33</v>
      </c>
      <c r="N227" s="38">
        <v>611</v>
      </c>
      <c r="O227" s="229">
        <v>492</v>
      </c>
      <c r="P227" s="38">
        <v>537</v>
      </c>
      <c r="Q227" s="38">
        <v>510</v>
      </c>
      <c r="R227" s="38">
        <f t="shared" si="54"/>
        <v>0</v>
      </c>
      <c r="S227" s="38">
        <f>IF(LEFT($B227,4)="_Mil","",_xlfn.IFNA(ROUND(INDEX(Spectrum!$N:$N,MATCH(RIGHT($B227,13)&amp;"|"&amp;$C227&amp;"|"&amp;$D227&amp;"|"&amp;S$14&amp;"|"&amp;"CY2023Q4",Spectrum!$R:$R,0)),0),""))</f>
        <v>537</v>
      </c>
      <c r="T227" s="218">
        <f>IF(LEFT($B227,4)="_Mil","",_xlfn.IFNA(ROUND(INDEX(Spectrum!$N:$N,MATCH(RIGHT($B227,13)&amp;"|"&amp;$C227&amp;"|"&amp;$D227&amp;"|"&amp;T$14&amp;"|"&amp;"CY2024Q3",Spectrum!$R:$R,0)),0),""))</f>
        <v>104545</v>
      </c>
      <c r="U227" s="218">
        <f>IF(LEFT($B227,4)="_Mil","",_xlfn.IFNA(ROUND(INDEX(Spectrum!$N:$N,MATCH(RIGHT($B227,13)&amp;"|"&amp;$C227&amp;"|"&amp;$D227&amp;"|"&amp;U$14&amp;"|"&amp;"CY2024Q3",Spectrum!$R:$R,0)),0),""))</f>
        <v>624</v>
      </c>
      <c r="V227" s="38">
        <f>IF(LEFT($B227,4)="_Mil","",_xlfn.IFNA(ROUND(INDEX(Spectrum!$N:$N,MATCH(RIGHT($B227,13)&amp;"|"&amp;$C227&amp;"|"&amp;$D227&amp;"|"&amp;V$14&amp;"|"&amp;"CY2024Q3",Spectrum!$R:$R,0)),0),""))</f>
        <v>603</v>
      </c>
      <c r="W227" s="220">
        <f>IF(LEFT($B227,4)="_Mil","",_xlfn.IFNA(INDEX(Spectrum!$N:$N,MATCH(RIGHT($B227,13)&amp;"|"&amp;$C227&amp;"|"&amp;$D227&amp;"|"&amp;W$14&amp;"|"&amp;"CY2024Q3",Spectrum!$R:$R,0)),""))</f>
        <v>5.9697329999999996E-3</v>
      </c>
      <c r="X227" s="218">
        <f>IF(LEFT($B227,4)="_Mil","",_xlfn.IFNA(ROUND(INDEX(Spectrum!$N:$N,MATCH(RIGHT($B227,13)&amp;"|"&amp;$C227&amp;"|"&amp;$D227&amp;"|"&amp;X$14&amp;"|"&amp;"CY2024Q3",Spectrum!$R:$R,0)),0),""))</f>
        <v>528</v>
      </c>
      <c r="Y227" s="33">
        <f t="shared" si="55"/>
        <v>0.85</v>
      </c>
      <c r="Z227" s="218">
        <f>IF(LEFT($B227,4)="_Mil","",_xlfn.IFNA(ROUND(INDEX(Spectrum!$N:$N,MATCH(RIGHT($B227,13)&amp;"|"&amp;$C227&amp;"|"&amp;$D227&amp;"|"&amp;Z$14&amp;"|"&amp;"CY2024Q3",Spectrum!$R:$R,0)),0),""))</f>
        <v>508</v>
      </c>
      <c r="AA227" s="33">
        <f>IF(LEFT($B227,4)="_Mil","",IFERROR(1/(1/INDEX(Spectrum!$N:$N,MATCH(RIGHT($B227,13)&amp;"|"&amp;$C227&amp;"|"&amp;$D227&amp;"|"&amp;AA$14&amp;"|"&amp;"CY2024Q3",Spectrum!$R:$R,0))),IF(SUM($U227)=0,"",SUM($Z227)/$U227)))</f>
        <v>0.82570347600000016</v>
      </c>
      <c r="AB227" s="33">
        <f t="shared" si="56"/>
        <v>0.96212121212121215</v>
      </c>
      <c r="AC227" s="38">
        <f>IF(LEFT($B227,4)="_Mil","",_xlfn.IFNA(ROUND(INDEX(Spectrum!$N:$N,MATCH(RIGHT($B227,13)&amp;"|"&amp;$C227&amp;"|"&amp;$D227&amp;"|"&amp;AC$14&amp;"|"&amp;"CY2024Q3",Spectrum!$R:$R,0)),0),""))</f>
        <v>96</v>
      </c>
      <c r="AD227" s="38" t="str">
        <f>IF(LEFT($B227,4)="_Mil","",_xlfn.IFNA(ROUND(INDEX(Spectrum!$N:$N,MATCH(RIGHT($B227,13)&amp;"|"&amp;$C227&amp;"|"&amp;$D227&amp;"|"&amp;AD$14&amp;"|"&amp;"CY2024Q3",Spectrum!$R:$R,0)),0),""))</f>
        <v/>
      </c>
      <c r="AE227" s="33">
        <f t="shared" si="57"/>
        <v>0</v>
      </c>
      <c r="AF227" s="218" t="str">
        <f>IF(LEFT($B227,4)="_Mil","",_xlfn.IFNA(ROUND(INDEX(Spectrum!$N:$N,MATCH(RIGHT($B227,13)&amp;"|"&amp;$C227&amp;"|"&amp;$D227&amp;"|"&amp;AF$14&amp;"|"&amp;"CY2024Q3",Spectrum!$R:$R,0)),0),""))</f>
        <v/>
      </c>
      <c r="AG227" s="33" t="str">
        <f t="shared" si="58"/>
        <v/>
      </c>
      <c r="AH227" s="110" t="str">
        <f>IF(LEFT($B227,4)="_Mil","",_xlfn.IFNA(INDEX(Spectrum!$N:$N,MATCH(RIGHT($B227,13)&amp;"|"&amp;$C227&amp;"|"&amp;$D227&amp;"|"&amp;AH$14&amp;"|"&amp;"CY2024Q3",Spectrum!$R:$R,0)),""))</f>
        <v/>
      </c>
      <c r="AI227" s="218">
        <f>IF(LEFT($B227,4)="_Mil","",_xlfn.IFNA(ROUND(INDEX(Spectrum!$N:$N,MATCH(RIGHT($B227,13)&amp;"|"&amp;$C227&amp;"|"&amp;$D227&amp;"|"&amp;AI$14&amp;"|"&amp;"CY2025Q3",Spectrum!$R:$R,0)),0),""))</f>
        <v>11</v>
      </c>
      <c r="AJ227" s="38">
        <f>IF(LEFT($B227,4)="_Mil","",_xlfn.IFNA(ROUND(INDEX(Spectrum!$N:$N,MATCH(RIGHT($B227,13)&amp;"|"&amp;$C227&amp;"|"&amp;$D227&amp;"|"&amp;AJ$14&amp;"|"&amp;"CY2025Q3",Spectrum!$R:$R,0)),0),""))</f>
        <v>545</v>
      </c>
      <c r="AK227" s="218" t="e">
        <f>#REF!</f>
        <v>#REF!</v>
      </c>
      <c r="AL227" s="33">
        <f t="shared" si="59"/>
        <v>0.9</v>
      </c>
      <c r="AM227" s="38" t="e">
        <f>IF(OR(LEFT($B227,4)="_Mil",$C227="&lt;01"),"",ROUND(SUM($AK227)*SUM($AL227),0))</f>
        <v>#REF!</v>
      </c>
      <c r="AN227" s="38" t="str">
        <f>IF($C227="&lt;01",ROUND(INDEX(EID!$P:$P,MATCH($B227,EID!$B:$B,0))/2,0),"")</f>
        <v/>
      </c>
      <c r="AO227" s="38" t="e">
        <f>IF($C227="&lt;01",SUM($AN227),ROUND(SUM($AM227)*SUM($O227)/IF(SUM($Z227)=0,1,$Z227),0))</f>
        <v>#REF!</v>
      </c>
      <c r="AP227" s="218">
        <f>IF(OR($F227="",$C227="&lt;01"),$AO227,ROUND($F227,0))</f>
        <v>492</v>
      </c>
      <c r="AQ227" s="218">
        <f>IF(LEFT($B227,4)="_Mil","",IF(SUM($AP227)=0,SUM($Z227),IF(OR(SUM($Z227)=0,SUM($O227)=0),MAX($AP227,$Z227),ROUND($AP227*$Z227/$O227,0))))</f>
        <v>508</v>
      </c>
      <c r="AR227" s="33" t="e">
        <f>IF(OR(LEFT($B227,4)="_Mil",SUM($AK227)=0),"",SUM($AQ227)/$AK227)</f>
        <v>#REF!</v>
      </c>
      <c r="AS227" s="33">
        <f t="shared" si="64"/>
        <v>0.98</v>
      </c>
      <c r="AT227" s="33">
        <f t="shared" si="49"/>
        <v>0.98</v>
      </c>
      <c r="AU227" s="38">
        <f>IF($C227="&lt;01","",SUM($AP227)-SUM($O227))</f>
        <v>0</v>
      </c>
      <c r="AV227" s="38">
        <f>IF($C227="&lt;01",ROUND(INDEX(EID!$N:$N,MATCH($B227,EID!$B:$B,0))/2,0),IF(SUM($AT227)=0,"",ROUND((SUM($AP227)-(SUM($O227)*SUM($AS227)))/$AT227,0)))</f>
        <v>10</v>
      </c>
      <c r="AW227" s="33">
        <f t="shared" si="60"/>
        <v>1</v>
      </c>
      <c r="AX227" s="218">
        <f>IF($C227="&lt;01",SUM($AV227),ROUND(SUM($AV227)*SUM($AW227),0))</f>
        <v>10</v>
      </c>
      <c r="AY227" s="79">
        <f t="shared" si="61"/>
        <v>0.7</v>
      </c>
      <c r="AZ227" s="85">
        <f>IF($C227="&lt;01",ROUND(INDEX(EID!$R:$R,MATCH($B227,EID!$B:$B,0))/2,0),ROUND(SUM($O227)+(SUM($AV227)*$AY227),0))</f>
        <v>499</v>
      </c>
      <c r="BA227" s="40">
        <f t="shared" si="65"/>
        <v>0.9</v>
      </c>
      <c r="BB227" s="99">
        <f>IF($C227="&lt;01",ROUND(INDEX(EID!$T:$T,MATCH($B227,EID!$B:$B,0))/2,0),ROUND($AP227*$BA227,0))</f>
        <v>443</v>
      </c>
      <c r="BC227" s="85">
        <f>IF(LEFT($B227,4)="_Mil","",IF(SUM($BB227)=0,SUM($AD227),IF(OR(SUM($AP227)=0,SUM($AQ227)=0),MAX($BB227,$AD227),ROUND($BB227*$AQ227/$AP227,0))))</f>
        <v>457</v>
      </c>
      <c r="BD227" s="33">
        <f t="shared" si="62"/>
        <v>0.95</v>
      </c>
      <c r="BE227" s="218">
        <f>IF($C227="&lt;01",ROUND(INDEX(EID!$V:$V,MATCH($B227,EID!$B:$B,0))/2,0),ROUND($BD227*$BB227,0))</f>
        <v>421</v>
      </c>
      <c r="BF227" s="218">
        <f>IF(LEFT($B227,4)="_Mil","",IF(SUM($BE227)=0,SUM($AF227),IF(OR(SUM($AP227)=0,SUM($AQ227)=0),MAX($BE227,$AF227),ROUND($BE227*$AQ227/$AP227,0))))</f>
        <v>435</v>
      </c>
      <c r="BG227" s="79">
        <f t="shared" si="63"/>
        <v>0.95</v>
      </c>
      <c r="BH227" s="99">
        <f>IF($C227="&lt;01",ROUND(INDEX(EID!$L:$L,MATCH($B227,EID!$B:$B,0)),0)/2,IF(SUM($BG227)=0,"",ROUND($AX227/$BG227,0)))</f>
        <v>11</v>
      </c>
    </row>
    <row r="228" spans="1:60" x14ac:dyDescent="0.2">
      <c r="A228" t="str">
        <f>INDEX(Prioritization!$D:$D,MATCH($B228,Prioritization!$A:$A,0))</f>
        <v>INVALID</v>
      </c>
      <c r="B228" t="s">
        <v>319</v>
      </c>
      <c r="C228" t="s">
        <v>473</v>
      </c>
      <c r="D228" t="s">
        <v>48</v>
      </c>
      <c r="E228" t="str">
        <f t="shared" si="53"/>
        <v>Mulanje District [umc2n1Z4wNv]|01-09|Male</v>
      </c>
      <c r="F228" s="229">
        <v>468</v>
      </c>
      <c r="G228" s="38">
        <v>50</v>
      </c>
      <c r="H228" s="38">
        <v>42</v>
      </c>
      <c r="I228" s="38">
        <v>468</v>
      </c>
      <c r="J228" s="38">
        <v>530</v>
      </c>
      <c r="K228" s="38">
        <v>415</v>
      </c>
      <c r="L228" s="38">
        <v>35</v>
      </c>
      <c r="M228" s="38">
        <v>33</v>
      </c>
      <c r="N228" s="38">
        <v>610</v>
      </c>
      <c r="O228" s="229">
        <v>468</v>
      </c>
      <c r="P228" s="38">
        <v>536</v>
      </c>
      <c r="Q228" s="38">
        <v>509</v>
      </c>
      <c r="R228" s="38">
        <f t="shared" si="54"/>
        <v>0</v>
      </c>
      <c r="S228" s="38">
        <f>IF(LEFT($B228,4)="_Mil","",_xlfn.IFNA(ROUND(INDEX(Spectrum!$N:$N,MATCH(RIGHT($B228,13)&amp;"|"&amp;$C228&amp;"|"&amp;$D228&amp;"|"&amp;S$14&amp;"|"&amp;"CY2023Q4",Spectrum!$R:$R,0)),0),""))</f>
        <v>522</v>
      </c>
      <c r="T228" s="218">
        <f>IF(LEFT($B228,4)="_Mil","",_xlfn.IFNA(ROUND(INDEX(Spectrum!$N:$N,MATCH(RIGHT($B228,13)&amp;"|"&amp;$C228&amp;"|"&amp;$D228&amp;"|"&amp;T$14&amp;"|"&amp;"CY2024Q3",Spectrum!$R:$R,0)),0),""))</f>
        <v>107685</v>
      </c>
      <c r="U228" s="218">
        <f>IF(LEFT($B228,4)="_Mil","",_xlfn.IFNA(ROUND(INDEX(Spectrum!$N:$N,MATCH(RIGHT($B228,13)&amp;"|"&amp;$C228&amp;"|"&amp;$D228&amp;"|"&amp;U$14&amp;"|"&amp;"CY2024Q3",Spectrum!$R:$R,0)),0),""))</f>
        <v>639</v>
      </c>
      <c r="V228" s="38">
        <f>IF(LEFT($B228,4)="_Mil","",_xlfn.IFNA(ROUND(INDEX(Spectrum!$N:$N,MATCH(RIGHT($B228,13)&amp;"|"&amp;$C228&amp;"|"&amp;$D228&amp;"|"&amp;V$14&amp;"|"&amp;"CY2024Q3",Spectrum!$R:$R,0)),0),""))</f>
        <v>617</v>
      </c>
      <c r="W228" s="220">
        <f>IF(LEFT($B228,4)="_Mil","",_xlfn.IFNA(INDEX(Spectrum!$N:$N,MATCH(RIGHT($B228,13)&amp;"|"&amp;$C228&amp;"|"&amp;$D228&amp;"|"&amp;W$14&amp;"|"&amp;"CY2024Q3",Spectrum!$R:$R,0)),""))</f>
        <v>5.9352240000000002E-3</v>
      </c>
      <c r="X228" s="218">
        <f>IF(LEFT($B228,4)="_Mil","",_xlfn.IFNA(ROUND(INDEX(Spectrum!$N:$N,MATCH(RIGHT($B228,13)&amp;"|"&amp;$C228&amp;"|"&amp;$D228&amp;"|"&amp;X$14&amp;"|"&amp;"CY2024Q3",Spectrum!$R:$R,0)),0),""))</f>
        <v>541</v>
      </c>
      <c r="Y228" s="33">
        <f t="shared" si="55"/>
        <v>0.85</v>
      </c>
      <c r="Z228" s="218">
        <f>IF(LEFT($B228,4)="_Mil","",_xlfn.IFNA(ROUND(INDEX(Spectrum!$N:$N,MATCH(RIGHT($B228,13)&amp;"|"&amp;$C228&amp;"|"&amp;$D228&amp;"|"&amp;Z$14&amp;"|"&amp;"CY2024Q3",Spectrum!$R:$R,0)),0),""))</f>
        <v>495</v>
      </c>
      <c r="AA228" s="33">
        <f>IF(LEFT($B228,4)="_Mil","",IFERROR(1/(1/INDEX(Spectrum!$N:$N,MATCH(RIGHT($B228,13)&amp;"|"&amp;$C228&amp;"|"&amp;$D228&amp;"|"&amp;AA$14&amp;"|"&amp;"CY2024Q3",Spectrum!$R:$R,0))),IF(SUM($U228)=0,"",SUM($Z228)/$U228)))</f>
        <v>0.82560984999999998</v>
      </c>
      <c r="AB228" s="33">
        <f t="shared" si="56"/>
        <v>0.91497227356746769</v>
      </c>
      <c r="AC228" s="38">
        <f>IF(LEFT($B228,4)="_Mil","",_xlfn.IFNA(ROUND(INDEX(Spectrum!$N:$N,MATCH(RIGHT($B228,13)&amp;"|"&amp;$C228&amp;"|"&amp;$D228&amp;"|"&amp;AC$14&amp;"|"&amp;"CY2024Q3",Spectrum!$R:$R,0)),0),""))</f>
        <v>122</v>
      </c>
      <c r="AD228" s="38" t="str">
        <f>IF(LEFT($B228,4)="_Mil","",_xlfn.IFNA(ROUND(INDEX(Spectrum!$N:$N,MATCH(RIGHT($B228,13)&amp;"|"&amp;$C228&amp;"|"&amp;$D228&amp;"|"&amp;AD$14&amp;"|"&amp;"CY2024Q3",Spectrum!$R:$R,0)),0),""))</f>
        <v/>
      </c>
      <c r="AE228" s="33">
        <f t="shared" si="57"/>
        <v>0</v>
      </c>
      <c r="AF228" s="218" t="str">
        <f>IF(LEFT($B228,4)="_Mil","",_xlfn.IFNA(ROUND(INDEX(Spectrum!$N:$N,MATCH(RIGHT($B228,13)&amp;"|"&amp;$C228&amp;"|"&amp;$D228&amp;"|"&amp;AF$14&amp;"|"&amp;"CY2024Q3",Spectrum!$R:$R,0)),0),""))</f>
        <v/>
      </c>
      <c r="AG228" s="33" t="str">
        <f t="shared" si="58"/>
        <v/>
      </c>
      <c r="AH228" s="110" t="str">
        <f>IF(LEFT($B228,4)="_Mil","",_xlfn.IFNA(INDEX(Spectrum!$N:$N,MATCH(RIGHT($B228,13)&amp;"|"&amp;$C228&amp;"|"&amp;$D228&amp;"|"&amp;AH$14&amp;"|"&amp;"CY2024Q3",Spectrum!$R:$R,0)),""))</f>
        <v/>
      </c>
      <c r="AI228" s="218">
        <f>IF(LEFT($B228,4)="_Mil","",_xlfn.IFNA(ROUND(INDEX(Spectrum!$N:$N,MATCH(RIGHT($B228,13)&amp;"|"&amp;$C228&amp;"|"&amp;$D228&amp;"|"&amp;AI$14&amp;"|"&amp;"CY2025Q3",Spectrum!$R:$R,0)),0),""))</f>
        <v>11</v>
      </c>
      <c r="AJ228" s="38">
        <f>IF(LEFT($B228,4)="_Mil","",_xlfn.IFNA(ROUND(INDEX(Spectrum!$N:$N,MATCH(RIGHT($B228,13)&amp;"|"&amp;$C228&amp;"|"&amp;$D228&amp;"|"&amp;AJ$14&amp;"|"&amp;"CY2025Q3",Spectrum!$R:$R,0)),0),""))</f>
        <v>557</v>
      </c>
      <c r="AK228" s="218" t="e">
        <f>#REF!</f>
        <v>#REF!</v>
      </c>
      <c r="AL228" s="33">
        <f t="shared" si="59"/>
        <v>0.9</v>
      </c>
      <c r="AM228" s="38" t="e">
        <f>IF(OR(LEFT($B228,4)="_Mil",$C228="&lt;01"),"",ROUND(SUM($AK228)*SUM($AL228),0))</f>
        <v>#REF!</v>
      </c>
      <c r="AN228" s="38" t="str">
        <f>IF($C228="&lt;01",ROUND(INDEX(EID!$P:$P,MATCH($B228,EID!$B:$B,0))/2,0),"")</f>
        <v/>
      </c>
      <c r="AO228" s="38" t="e">
        <f>IF($C228="&lt;01",SUM($AN228),ROUND(SUM($AM228)*SUM($O228)/IF(SUM($Z228)=0,1,$Z228),0))</f>
        <v>#REF!</v>
      </c>
      <c r="AP228" s="218">
        <f>IF(OR($F228="",$C228="&lt;01"),$AO228,ROUND($F228,0))</f>
        <v>468</v>
      </c>
      <c r="AQ228" s="218">
        <f>IF(LEFT($B228,4)="_Mil","",IF(SUM($AP228)=0,SUM($Z228),IF(OR(SUM($Z228)=0,SUM($O228)=0),MAX($AP228,$Z228),ROUND($AP228*$Z228/$O228,0))))</f>
        <v>495</v>
      </c>
      <c r="AR228" s="33" t="e">
        <f>IF(OR(LEFT($B228,4)="_Mil",SUM($AK228)=0),"",SUM($AQ228)/$AK228)</f>
        <v>#REF!</v>
      </c>
      <c r="AS228" s="33">
        <f t="shared" si="64"/>
        <v>0.98</v>
      </c>
      <c r="AT228" s="33">
        <f t="shared" si="49"/>
        <v>0.98</v>
      </c>
      <c r="AU228" s="38">
        <f>IF($C228="&lt;01","",SUM($AP228)-SUM($O228))</f>
        <v>0</v>
      </c>
      <c r="AV228" s="38">
        <f>IF($C228="&lt;01",ROUND(INDEX(EID!$N:$N,MATCH($B228,EID!$B:$B,0))/2,0),IF(SUM($AT228)=0,"",ROUND((SUM($AP228)-(SUM($O228)*SUM($AS228)))/$AT228,0)))</f>
        <v>10</v>
      </c>
      <c r="AW228" s="33">
        <f t="shared" si="60"/>
        <v>1</v>
      </c>
      <c r="AX228" s="218">
        <f>IF($C228="&lt;01",SUM($AV228),ROUND(SUM($AV228)*SUM($AW228),0))</f>
        <v>10</v>
      </c>
      <c r="AY228" s="79">
        <f t="shared" si="61"/>
        <v>0.7</v>
      </c>
      <c r="AZ228" s="85">
        <f>IF($C228="&lt;01",ROUND(INDEX(EID!$R:$R,MATCH($B228,EID!$B:$B,0))/2,0),ROUND(SUM($O228)+(SUM($AV228)*$AY228),0))</f>
        <v>475</v>
      </c>
      <c r="BA228" s="40">
        <f t="shared" si="65"/>
        <v>0.9</v>
      </c>
      <c r="BB228" s="99">
        <f>IF($C228="&lt;01",ROUND(INDEX(EID!$T:$T,MATCH($B228,EID!$B:$B,0))/2,0),ROUND($AP228*$BA228,0))</f>
        <v>421</v>
      </c>
      <c r="BC228" s="85">
        <f>IF(LEFT($B228,4)="_Mil","",IF(SUM($BB228)=0,SUM($AD228),IF(OR(SUM($AP228)=0,SUM($AQ228)=0),MAX($BB228,$AD228),ROUND($BB228*$AQ228/$AP228,0))))</f>
        <v>445</v>
      </c>
      <c r="BD228" s="33">
        <f t="shared" si="62"/>
        <v>0.95</v>
      </c>
      <c r="BE228" s="218">
        <f>IF($C228="&lt;01",ROUND(INDEX(EID!$V:$V,MATCH($B228,EID!$B:$B,0))/2,0),ROUND($BD228*$BB228,0))</f>
        <v>400</v>
      </c>
      <c r="BF228" s="218">
        <f>IF(LEFT($B228,4)="_Mil","",IF(SUM($BE228)=0,SUM($AF228),IF(OR(SUM($AP228)=0,SUM($AQ228)=0),MAX($BE228,$AF228),ROUND($BE228*$AQ228/$AP228,0))))</f>
        <v>423</v>
      </c>
      <c r="BG228" s="79">
        <f t="shared" si="63"/>
        <v>0.95</v>
      </c>
      <c r="BH228" s="99">
        <f>IF($C228="&lt;01",ROUND(INDEX(EID!$L:$L,MATCH($B228,EID!$B:$B,0)),0)/2,IF(SUM($BG228)=0,"",ROUND($AX228/$BG228,0)))</f>
        <v>11</v>
      </c>
    </row>
    <row r="229" spans="1:60" x14ac:dyDescent="0.2">
      <c r="A229" t="str">
        <f>INDEX(Prioritization!$D:$D,MATCH($B229,Prioritization!$A:$A,0))</f>
        <v>INVALID</v>
      </c>
      <c r="B229" t="s">
        <v>319</v>
      </c>
      <c r="C229" t="s">
        <v>474</v>
      </c>
      <c r="D229" t="s">
        <v>30</v>
      </c>
      <c r="E229" t="str">
        <f t="shared" si="53"/>
        <v>Mulanje District [umc2n1Z4wNv]|10-14|Female</v>
      </c>
      <c r="F229" s="229">
        <v>686</v>
      </c>
      <c r="G229" s="38">
        <v>29</v>
      </c>
      <c r="H229" s="38">
        <v>27</v>
      </c>
      <c r="I229" s="38">
        <v>779</v>
      </c>
      <c r="J229" s="38">
        <v>800</v>
      </c>
      <c r="K229" s="38">
        <v>618</v>
      </c>
      <c r="L229" s="38">
        <v>87</v>
      </c>
      <c r="M229" s="38">
        <v>83</v>
      </c>
      <c r="N229" s="38">
        <v>737</v>
      </c>
      <c r="O229" s="229">
        <v>762</v>
      </c>
      <c r="P229" s="38">
        <v>617</v>
      </c>
      <c r="Q229" s="38">
        <v>586</v>
      </c>
      <c r="R229" s="38">
        <f t="shared" si="54"/>
        <v>-17</v>
      </c>
      <c r="S229" s="38">
        <f>IF(LEFT($B229,4)="_Mil","",_xlfn.IFNA(ROUND(INDEX(Spectrum!$N:$N,MATCH(RIGHT($B229,13)&amp;"|"&amp;$C229&amp;"|"&amp;$D229&amp;"|"&amp;S$14&amp;"|"&amp;"CY2023Q4",Spectrum!$R:$R,0)),0),""))</f>
        <v>660</v>
      </c>
      <c r="T229" s="218">
        <f>IF(LEFT($B229,4)="_Mil","",_xlfn.IFNA(ROUND(INDEX(Spectrum!$N:$N,MATCH(RIGHT($B229,13)&amp;"|"&amp;$C229&amp;"|"&amp;$D229&amp;"|"&amp;T$14&amp;"|"&amp;"CY2024Q3",Spectrum!$R:$R,0)),0),""))</f>
        <v>54585</v>
      </c>
      <c r="U229" s="218">
        <f>IF(LEFT($B229,4)="_Mil","",_xlfn.IFNA(ROUND(INDEX(Spectrum!$N:$N,MATCH(RIGHT($B229,13)&amp;"|"&amp;$C229&amp;"|"&amp;$D229&amp;"|"&amp;U$14&amp;"|"&amp;"CY2024Q3",Spectrum!$R:$R,0)),0),""))</f>
        <v>749</v>
      </c>
      <c r="V229" s="38">
        <f>IF(LEFT($B229,4)="_Mil","",_xlfn.IFNA(ROUND(INDEX(Spectrum!$N:$N,MATCH(RIGHT($B229,13)&amp;"|"&amp;$C229&amp;"|"&amp;$D229&amp;"|"&amp;V$14&amp;"|"&amp;"CY2024Q3",Spectrum!$R:$R,0)),0),""))</f>
        <v>726</v>
      </c>
      <c r="W229" s="220">
        <f>IF(LEFT($B229,4)="_Mil","",_xlfn.IFNA(INDEX(Spectrum!$N:$N,MATCH(RIGHT($B229,13)&amp;"|"&amp;$C229&amp;"|"&amp;$D229&amp;"|"&amp;W$14&amp;"|"&amp;"CY2024Q3",Spectrum!$R:$R,0)),""))</f>
        <v>1.3723185000000001E-2</v>
      </c>
      <c r="X229" s="218">
        <f>IF(LEFT($B229,4)="_Mil","",_xlfn.IFNA(ROUND(INDEX(Spectrum!$N:$N,MATCH(RIGHT($B229,13)&amp;"|"&amp;$C229&amp;"|"&amp;$D229&amp;"|"&amp;X$14&amp;"|"&amp;"CY2024Q3",Spectrum!$R:$R,0)),0),""))</f>
        <v>653</v>
      </c>
      <c r="Y229" s="33">
        <f t="shared" si="55"/>
        <v>0.87</v>
      </c>
      <c r="Z229" s="218">
        <f>IF(LEFT($B229,4)="_Mil","",_xlfn.IFNA(ROUND(INDEX(Spectrum!$N:$N,MATCH(RIGHT($B229,13)&amp;"|"&amp;$C229&amp;"|"&amp;$D229&amp;"|"&amp;Z$14&amp;"|"&amp;"CY2024Q3",Spectrum!$R:$R,0)),0),""))</f>
        <v>636</v>
      </c>
      <c r="AA229" s="33">
        <f>IF(LEFT($B229,4)="_Mil","",IFERROR(1/(1/INDEX(Spectrum!$N:$N,MATCH(RIGHT($B229,13)&amp;"|"&amp;$C229&amp;"|"&amp;$D229&amp;"|"&amp;AA$14&amp;"|"&amp;"CY2024Q3",Spectrum!$R:$R,0))),IF(SUM($U229)=0,"",SUM($Z229)/$U229)))</f>
        <v>0.85001977800000006</v>
      </c>
      <c r="AB229" s="33">
        <f t="shared" si="56"/>
        <v>0.97396630934150075</v>
      </c>
      <c r="AC229" s="38">
        <f>IF(LEFT($B229,4)="_Mil","",_xlfn.IFNA(ROUND(INDEX(Spectrum!$N:$N,MATCH(RIGHT($B229,13)&amp;"|"&amp;$C229&amp;"|"&amp;$D229&amp;"|"&amp;AC$14&amp;"|"&amp;"CY2024Q3",Spectrum!$R:$R,0)),0),""))</f>
        <v>90</v>
      </c>
      <c r="AD229" s="38" t="str">
        <f>IF(LEFT($B229,4)="_Mil","",_xlfn.IFNA(ROUND(INDEX(Spectrum!$N:$N,MATCH(RIGHT($B229,13)&amp;"|"&amp;$C229&amp;"|"&amp;$D229&amp;"|"&amp;AD$14&amp;"|"&amp;"CY2024Q3",Spectrum!$R:$R,0)),0),""))</f>
        <v/>
      </c>
      <c r="AE229" s="33">
        <f t="shared" si="57"/>
        <v>0</v>
      </c>
      <c r="AF229" s="218" t="str">
        <f>IF(LEFT($B229,4)="_Mil","",_xlfn.IFNA(ROUND(INDEX(Spectrum!$N:$N,MATCH(RIGHT($B229,13)&amp;"|"&amp;$C229&amp;"|"&amp;$D229&amp;"|"&amp;AF$14&amp;"|"&amp;"CY2024Q3",Spectrum!$R:$R,0)),0),""))</f>
        <v/>
      </c>
      <c r="AG229" s="33" t="str">
        <f t="shared" si="58"/>
        <v/>
      </c>
      <c r="AH229" s="110" t="str">
        <f>IF(LEFT($B229,4)="_Mil","",_xlfn.IFNA(INDEX(Spectrum!$N:$N,MATCH(RIGHT($B229,13)&amp;"|"&amp;$C229&amp;"|"&amp;$D229&amp;"|"&amp;AH$14&amp;"|"&amp;"CY2024Q3",Spectrum!$R:$R,0)),""))</f>
        <v/>
      </c>
      <c r="AI229" s="218">
        <f>IF(LEFT($B229,4)="_Mil","",_xlfn.IFNA(ROUND(INDEX(Spectrum!$N:$N,MATCH(RIGHT($B229,13)&amp;"|"&amp;$C229&amp;"|"&amp;$D229&amp;"|"&amp;AI$14&amp;"|"&amp;"CY2025Q3",Spectrum!$R:$R,0)),0),""))</f>
        <v>0</v>
      </c>
      <c r="AJ229" s="38">
        <f>IF(LEFT($B229,4)="_Mil","",_xlfn.IFNA(ROUND(INDEX(Spectrum!$N:$N,MATCH(RIGHT($B229,13)&amp;"|"&amp;$C229&amp;"|"&amp;$D229&amp;"|"&amp;AJ$14&amp;"|"&amp;"CY2025Q3",Spectrum!$R:$R,0)),0),""))</f>
        <v>674</v>
      </c>
      <c r="AK229" s="218" t="e">
        <f>#REF!</f>
        <v>#REF!</v>
      </c>
      <c r="AL229" s="33">
        <f t="shared" si="59"/>
        <v>0.9</v>
      </c>
      <c r="AM229" s="38" t="e">
        <f>IF(OR(LEFT($B229,4)="_Mil",$C229="&lt;01"),"",ROUND(SUM($AK229)*SUM($AL229),0))</f>
        <v>#REF!</v>
      </c>
      <c r="AN229" s="38" t="str">
        <f>IF($C229="&lt;01",ROUND(INDEX(EID!$P:$P,MATCH($B229,EID!$B:$B,0))/2,0),"")</f>
        <v/>
      </c>
      <c r="AO229" s="38" t="e">
        <f>IF($C229="&lt;01",SUM($AN229),ROUND(SUM($AM229)*SUM($O229)/IF(SUM($Z229)=0,1,$Z229),0))</f>
        <v>#REF!</v>
      </c>
      <c r="AP229" s="218">
        <f>IF(OR($F229="",$C229="&lt;01"),$AO229,ROUND($F229,0))</f>
        <v>686</v>
      </c>
      <c r="AQ229" s="218">
        <f>IF(LEFT($B229,4)="_Mil","",IF(SUM($AP229)=0,SUM($Z229),IF(OR(SUM($Z229)=0,SUM($O229)=0),MAX($AP229,$Z229),ROUND($AP229*$Z229/$O229,0))))</f>
        <v>573</v>
      </c>
      <c r="AR229" s="33" t="e">
        <f>IF(OR(LEFT($B229,4)="_Mil",SUM($AK229)=0),"",SUM($AQ229)/$AK229)</f>
        <v>#REF!</v>
      </c>
      <c r="AS229" s="33">
        <f>IF($C229="&lt;01","",80%)</f>
        <v>0.8</v>
      </c>
      <c r="AT229" s="33">
        <f t="shared" ref="AT229:AT292" si="66">IF($C229="&lt;01","",98%)</f>
        <v>0.98</v>
      </c>
      <c r="AU229" s="38">
        <f>IF($C229="&lt;01","",SUM($AP229)-SUM($O229))</f>
        <v>-76</v>
      </c>
      <c r="AV229" s="38">
        <f>IF($C229="&lt;01",ROUND(INDEX(EID!$N:$N,MATCH($B229,EID!$B:$B,0))/2,0),IF(SUM($AT229)=0,"",ROUND((SUM($AP229)-(SUM($O229)*SUM($AS229)))/$AT229,0)))</f>
        <v>78</v>
      </c>
      <c r="AW229" s="33">
        <f t="shared" si="60"/>
        <v>1</v>
      </c>
      <c r="AX229" s="218">
        <f>IF($C229="&lt;01",SUM($AV229),ROUND(SUM($AV229)*SUM($AW229),0))</f>
        <v>78</v>
      </c>
      <c r="AY229" s="79">
        <f t="shared" si="61"/>
        <v>0.7</v>
      </c>
      <c r="AZ229" s="85">
        <f>IF($C229="&lt;01",ROUND(INDEX(EID!$R:$R,MATCH($B229,EID!$B:$B,0))/2,0),ROUND(SUM($O229)+(SUM($AV229)*$AY229),0))</f>
        <v>817</v>
      </c>
      <c r="BA229" s="40">
        <f t="shared" si="65"/>
        <v>0.9</v>
      </c>
      <c r="BB229" s="99">
        <f>IF($C229="&lt;01",ROUND(INDEX(EID!$T:$T,MATCH($B229,EID!$B:$B,0))/2,0),ROUND($AP229*$BA229,0))</f>
        <v>617</v>
      </c>
      <c r="BC229" s="85">
        <f>IF(LEFT($B229,4)="_Mil","",IF(SUM($BB229)=0,SUM($AD229),IF(OR(SUM($AP229)=0,SUM($AQ229)=0),MAX($BB229,$AD229),ROUND($BB229*$AQ229/$AP229,0))))</f>
        <v>515</v>
      </c>
      <c r="BD229" s="33">
        <f t="shared" si="62"/>
        <v>0.95</v>
      </c>
      <c r="BE229" s="218">
        <f>IF($C229="&lt;01",ROUND(INDEX(EID!$V:$V,MATCH($B229,EID!$B:$B,0))/2,0),ROUND($BD229*$BB229,0))</f>
        <v>586</v>
      </c>
      <c r="BF229" s="218">
        <f>IF(LEFT($B229,4)="_Mil","",IF(SUM($BE229)=0,SUM($AF229),IF(OR(SUM($AP229)=0,SUM($AQ229)=0),MAX($BE229,$AF229),ROUND($BE229*$AQ229/$AP229,0))))</f>
        <v>489</v>
      </c>
      <c r="BG229" s="79">
        <f t="shared" si="63"/>
        <v>0.95</v>
      </c>
      <c r="BH229" s="99">
        <f>IF($C229="&lt;01",ROUND(INDEX(EID!$L:$L,MATCH($B229,EID!$B:$B,0)),0)/2,IF(SUM($BG229)=0,"",ROUND($AX229/$BG229,0)))</f>
        <v>82</v>
      </c>
    </row>
    <row r="230" spans="1:60" x14ac:dyDescent="0.2">
      <c r="A230" t="str">
        <f>INDEX(Prioritization!$D:$D,MATCH($B230,Prioritization!$A:$A,0))</f>
        <v>INVALID</v>
      </c>
      <c r="B230" t="s">
        <v>319</v>
      </c>
      <c r="C230" t="s">
        <v>474</v>
      </c>
      <c r="D230" t="s">
        <v>48</v>
      </c>
      <c r="E230" t="str">
        <f t="shared" si="53"/>
        <v>Mulanje District [umc2n1Z4wNv]|10-14|Male</v>
      </c>
      <c r="F230" s="229">
        <v>692</v>
      </c>
      <c r="G230" s="38">
        <v>27</v>
      </c>
      <c r="H230" s="38">
        <v>27</v>
      </c>
      <c r="I230" s="38">
        <v>692</v>
      </c>
      <c r="J230" s="38">
        <v>680</v>
      </c>
      <c r="K230" s="38">
        <v>514</v>
      </c>
      <c r="L230" s="38">
        <v>102</v>
      </c>
      <c r="M230" s="38">
        <v>97</v>
      </c>
      <c r="N230" s="38">
        <v>734</v>
      </c>
      <c r="O230" s="229">
        <v>692</v>
      </c>
      <c r="P230" s="38">
        <v>617</v>
      </c>
      <c r="Q230" s="38">
        <v>586</v>
      </c>
      <c r="R230" s="38">
        <f t="shared" si="54"/>
        <v>0</v>
      </c>
      <c r="S230" s="38">
        <f>IF(LEFT($B230,4)="_Mil","",_xlfn.IFNA(ROUND(INDEX(Spectrum!$N:$N,MATCH(RIGHT($B230,13)&amp;"|"&amp;$C230&amp;"|"&amp;$D230&amp;"|"&amp;S$14&amp;"|"&amp;"CY2023Q4",Spectrum!$R:$R,0)),0),""))</f>
        <v>639</v>
      </c>
      <c r="T230" s="218">
        <f>IF(LEFT($B230,4)="_Mil","",_xlfn.IFNA(ROUND(INDEX(Spectrum!$N:$N,MATCH(RIGHT($B230,13)&amp;"|"&amp;$C230&amp;"|"&amp;$D230&amp;"|"&amp;T$14&amp;"|"&amp;"CY2024Q3",Spectrum!$R:$R,0)),0),""))</f>
        <v>56779</v>
      </c>
      <c r="U230" s="218">
        <f>IF(LEFT($B230,4)="_Mil","",_xlfn.IFNA(ROUND(INDEX(Spectrum!$N:$N,MATCH(RIGHT($B230,13)&amp;"|"&amp;$C230&amp;"|"&amp;$D230&amp;"|"&amp;U$14&amp;"|"&amp;"CY2024Q3",Spectrum!$R:$R,0)),0),""))</f>
        <v>766</v>
      </c>
      <c r="V230" s="38">
        <f>IF(LEFT($B230,4)="_Mil","",_xlfn.IFNA(ROUND(INDEX(Spectrum!$N:$N,MATCH(RIGHT($B230,13)&amp;"|"&amp;$C230&amp;"|"&amp;$D230&amp;"|"&amp;V$14&amp;"|"&amp;"CY2024Q3",Spectrum!$R:$R,0)),0),""))</f>
        <v>741</v>
      </c>
      <c r="W230" s="220">
        <f>IF(LEFT($B230,4)="_Mil","",_xlfn.IFNA(INDEX(Spectrum!$N:$N,MATCH(RIGHT($B230,13)&amp;"|"&amp;$C230&amp;"|"&amp;$D230&amp;"|"&amp;W$14&amp;"|"&amp;"CY2024Q3",Spectrum!$R:$R,0)),""))</f>
        <v>1.348486E-2</v>
      </c>
      <c r="X230" s="218">
        <f>IF(LEFT($B230,4)="_Mil","",_xlfn.IFNA(ROUND(INDEX(Spectrum!$N:$N,MATCH(RIGHT($B230,13)&amp;"|"&amp;$C230&amp;"|"&amp;$D230&amp;"|"&amp;X$14&amp;"|"&amp;"CY2024Q3",Spectrum!$R:$R,0)),0),""))</f>
        <v>667</v>
      </c>
      <c r="Y230" s="33">
        <f t="shared" si="55"/>
        <v>0.87</v>
      </c>
      <c r="Z230" s="218">
        <f>IF(LEFT($B230,4)="_Mil","",_xlfn.IFNA(ROUND(INDEX(Spectrum!$N:$N,MATCH(RIGHT($B230,13)&amp;"|"&amp;$C230&amp;"|"&amp;$D230&amp;"|"&amp;Z$14&amp;"|"&amp;"CY2024Q3",Spectrum!$R:$R,0)),0),""))</f>
        <v>619</v>
      </c>
      <c r="AA230" s="33">
        <f>IF(LEFT($B230,4)="_Mil","",IFERROR(1/(1/INDEX(Spectrum!$N:$N,MATCH(RIGHT($B230,13)&amp;"|"&amp;$C230&amp;"|"&amp;$D230&amp;"|"&amp;AA$14&amp;"|"&amp;"CY2024Q3",Spectrum!$R:$R,0))),IF(SUM($U230)=0,"",SUM($Z230)/$U230)))</f>
        <v>0.84970562399999994</v>
      </c>
      <c r="AB230" s="33">
        <f t="shared" si="56"/>
        <v>0.92803598200899551</v>
      </c>
      <c r="AC230" s="38">
        <f>IF(LEFT($B230,4)="_Mil","",_xlfn.IFNA(ROUND(INDEX(Spectrum!$N:$N,MATCH(RIGHT($B230,13)&amp;"|"&amp;$C230&amp;"|"&amp;$D230&amp;"|"&amp;AC$14&amp;"|"&amp;"CY2024Q3",Spectrum!$R:$R,0)),0),""))</f>
        <v>122</v>
      </c>
      <c r="AD230" s="38" t="str">
        <f>IF(LEFT($B230,4)="_Mil","",_xlfn.IFNA(ROUND(INDEX(Spectrum!$N:$N,MATCH(RIGHT($B230,13)&amp;"|"&amp;$C230&amp;"|"&amp;$D230&amp;"|"&amp;AD$14&amp;"|"&amp;"CY2024Q3",Spectrum!$R:$R,0)),0),""))</f>
        <v/>
      </c>
      <c r="AE230" s="33">
        <f t="shared" si="57"/>
        <v>0</v>
      </c>
      <c r="AF230" s="218" t="str">
        <f>IF(LEFT($B230,4)="_Mil","",_xlfn.IFNA(ROUND(INDEX(Spectrum!$N:$N,MATCH(RIGHT($B230,13)&amp;"|"&amp;$C230&amp;"|"&amp;$D230&amp;"|"&amp;AF$14&amp;"|"&amp;"CY2024Q3",Spectrum!$R:$R,0)),0),""))</f>
        <v/>
      </c>
      <c r="AG230" s="33" t="str">
        <f t="shared" si="58"/>
        <v/>
      </c>
      <c r="AH230" s="110" t="str">
        <f>IF(LEFT($B230,4)="_Mil","",_xlfn.IFNA(INDEX(Spectrum!$N:$N,MATCH(RIGHT($B230,13)&amp;"|"&amp;$C230&amp;"|"&amp;$D230&amp;"|"&amp;AH$14&amp;"|"&amp;"CY2024Q3",Spectrum!$R:$R,0)),""))</f>
        <v/>
      </c>
      <c r="AI230" s="218">
        <f>IF(LEFT($B230,4)="_Mil","",_xlfn.IFNA(ROUND(INDEX(Spectrum!$N:$N,MATCH(RIGHT($B230,13)&amp;"|"&amp;$C230&amp;"|"&amp;$D230&amp;"|"&amp;AI$14&amp;"|"&amp;"CY2025Q3",Spectrum!$R:$R,0)),0),""))</f>
        <v>0</v>
      </c>
      <c r="AJ230" s="38">
        <f>IF(LEFT($B230,4)="_Mil","",_xlfn.IFNA(ROUND(INDEX(Spectrum!$N:$N,MATCH(RIGHT($B230,13)&amp;"|"&amp;$C230&amp;"|"&amp;$D230&amp;"|"&amp;AJ$14&amp;"|"&amp;"CY2025Q3",Spectrum!$R:$R,0)),0),""))</f>
        <v>690</v>
      </c>
      <c r="AK230" s="218" t="e">
        <f>#REF!</f>
        <v>#REF!</v>
      </c>
      <c r="AL230" s="33">
        <f t="shared" si="59"/>
        <v>0.9</v>
      </c>
      <c r="AM230" s="38" t="e">
        <f>IF(OR(LEFT($B230,4)="_Mil",$C230="&lt;01"),"",ROUND(SUM($AK230)*SUM($AL230),0))</f>
        <v>#REF!</v>
      </c>
      <c r="AN230" s="38" t="str">
        <f>IF($C230="&lt;01",ROUND(INDEX(EID!$P:$P,MATCH($B230,EID!$B:$B,0))/2,0),"")</f>
        <v/>
      </c>
      <c r="AO230" s="38" t="e">
        <f>IF($C230="&lt;01",SUM($AN230),ROUND(SUM($AM230)*SUM($O230)/IF(SUM($Z230)=0,1,$Z230),0))</f>
        <v>#REF!</v>
      </c>
      <c r="AP230" s="218">
        <f>IF(OR($F230="",$C230="&lt;01"),$AO230,ROUND($F230,0))</f>
        <v>692</v>
      </c>
      <c r="AQ230" s="218">
        <f>IF(LEFT($B230,4)="_Mil","",IF(SUM($AP230)=0,SUM($Z230),IF(OR(SUM($Z230)=0,SUM($O230)=0),MAX($AP230,$Z230),ROUND($AP230*$Z230/$O230,0))))</f>
        <v>619</v>
      </c>
      <c r="AR230" s="33" t="e">
        <f>IF(OR(LEFT($B230,4)="_Mil",SUM($AK230)=0),"",SUM($AQ230)/$AK230)</f>
        <v>#REF!</v>
      </c>
      <c r="AS230" s="33">
        <f t="shared" ref="AS230" si="67">IF($C230="&lt;01","",93%)</f>
        <v>0.93</v>
      </c>
      <c r="AT230" s="33">
        <f t="shared" si="66"/>
        <v>0.98</v>
      </c>
      <c r="AU230" s="38">
        <f>IF($C230="&lt;01","",SUM($AP230)-SUM($O230))</f>
        <v>0</v>
      </c>
      <c r="AV230" s="38">
        <f>IF($C230="&lt;01",ROUND(INDEX(EID!$N:$N,MATCH($B230,EID!$B:$B,0))/2,0),IF(SUM($AT230)=0,"",ROUND((SUM($AP230)-(SUM($O230)*SUM($AS230)))/$AT230,0)))</f>
        <v>49</v>
      </c>
      <c r="AW230" s="33">
        <f t="shared" si="60"/>
        <v>1</v>
      </c>
      <c r="AX230" s="218">
        <f>IF($C230="&lt;01",SUM($AV230),ROUND(SUM($AV230)*SUM($AW230),0))</f>
        <v>49</v>
      </c>
      <c r="AY230" s="79">
        <f t="shared" si="61"/>
        <v>0.7</v>
      </c>
      <c r="AZ230" s="85">
        <f>IF($C230="&lt;01",ROUND(INDEX(EID!$R:$R,MATCH($B230,EID!$B:$B,0))/2,0),ROUND(SUM($O230)+(SUM($AV230)*$AY230),0))</f>
        <v>726</v>
      </c>
      <c r="BA230" s="40">
        <f t="shared" si="65"/>
        <v>0.9</v>
      </c>
      <c r="BB230" s="99">
        <f>IF($C230="&lt;01",ROUND(INDEX(EID!$T:$T,MATCH($B230,EID!$B:$B,0))/2,0),ROUND($AP230*$BA230,0))</f>
        <v>623</v>
      </c>
      <c r="BC230" s="85">
        <f>IF(LEFT($B230,4)="_Mil","",IF(SUM($BB230)=0,SUM($AD230),IF(OR(SUM($AP230)=0,SUM($AQ230)=0),MAX($BB230,$AD230),ROUND($BB230*$AQ230/$AP230,0))))</f>
        <v>557</v>
      </c>
      <c r="BD230" s="33">
        <f t="shared" si="62"/>
        <v>0.95</v>
      </c>
      <c r="BE230" s="218">
        <f>IF($C230="&lt;01",ROUND(INDEX(EID!$V:$V,MATCH($B230,EID!$B:$B,0))/2,0),ROUND($BD230*$BB230,0))</f>
        <v>592</v>
      </c>
      <c r="BF230" s="218">
        <f>IF(LEFT($B230,4)="_Mil","",IF(SUM($BE230)=0,SUM($AF230),IF(OR(SUM($AP230)=0,SUM($AQ230)=0),MAX($BE230,$AF230),ROUND($BE230*$AQ230/$AP230,0))))</f>
        <v>530</v>
      </c>
      <c r="BG230" s="79">
        <f t="shared" si="63"/>
        <v>0.95</v>
      </c>
      <c r="BH230" s="99">
        <f>IF($C230="&lt;01",ROUND(INDEX(EID!$L:$L,MATCH($B230,EID!$B:$B,0)),0)/2,IF(SUM($BG230)=0,"",ROUND($AX230/$BG230,0)))</f>
        <v>52</v>
      </c>
    </row>
    <row r="231" spans="1:60" x14ac:dyDescent="0.2">
      <c r="A231" t="str">
        <f>INDEX(Prioritization!$D:$D,MATCH($B231,Prioritization!$A:$A,0))</f>
        <v>INVALID</v>
      </c>
      <c r="B231" t="s">
        <v>319</v>
      </c>
      <c r="C231" t="s">
        <v>475</v>
      </c>
      <c r="D231" t="s">
        <v>30</v>
      </c>
      <c r="E231" t="str">
        <f t="shared" si="53"/>
        <v>Mulanje District [umc2n1Z4wNv]|15-24|Female</v>
      </c>
      <c r="F231" s="229">
        <v>3024</v>
      </c>
      <c r="G231" s="38">
        <v>732</v>
      </c>
      <c r="H231" s="38">
        <v>686</v>
      </c>
      <c r="I231" s="38">
        <v>3022</v>
      </c>
      <c r="J231" s="38">
        <v>2751</v>
      </c>
      <c r="K231" s="38">
        <v>2479</v>
      </c>
      <c r="L231" s="38">
        <v>278</v>
      </c>
      <c r="M231" s="38">
        <v>272</v>
      </c>
      <c r="N231" s="38">
        <v>3149</v>
      </c>
      <c r="O231" s="229">
        <v>3138</v>
      </c>
      <c r="P231" s="38">
        <v>2885</v>
      </c>
      <c r="Q231" s="38">
        <v>2741</v>
      </c>
      <c r="R231" s="38">
        <f t="shared" si="54"/>
        <v>116</v>
      </c>
      <c r="S231" s="38">
        <f>IF(LEFT($B231,4)="_Mil","",_xlfn.IFNA(ROUND(INDEX(Spectrum!$N:$N,MATCH(RIGHT($B231,13)&amp;"|"&amp;$C231&amp;"|"&amp;$D231&amp;"|"&amp;S$14&amp;"|"&amp;"CY2023Q4",Spectrum!$R:$R,0)),0),""))</f>
        <v>2992</v>
      </c>
      <c r="T231" s="218">
        <f>IF(LEFT($B231,4)="_Mil","",_xlfn.IFNA(ROUND(INDEX(Spectrum!$N:$N,MATCH(RIGHT($B231,13)&amp;"|"&amp;$C231&amp;"|"&amp;$D231&amp;"|"&amp;T$14&amp;"|"&amp;"CY2024Q3",Spectrum!$R:$R,0)),0),""))</f>
        <v>91443</v>
      </c>
      <c r="U231" s="218">
        <f>IF(LEFT($B231,4)="_Mil","",_xlfn.IFNA(ROUND(INDEX(Spectrum!$N:$N,MATCH(RIGHT($B231,13)&amp;"|"&amp;$C231&amp;"|"&amp;$D231&amp;"|"&amp;U$14&amp;"|"&amp;"CY2024Q3",Spectrum!$R:$R,0)),0),""))</f>
        <v>3145</v>
      </c>
      <c r="V231" s="38">
        <f>IF(LEFT($B231,4)="_Mil","",_xlfn.IFNA(ROUND(INDEX(Spectrum!$N:$N,MATCH(RIGHT($B231,13)&amp;"|"&amp;$C231&amp;"|"&amp;$D231&amp;"|"&amp;V$14&amp;"|"&amp;"CY2024Q3",Spectrum!$R:$R,0)),0),""))</f>
        <v>3015</v>
      </c>
      <c r="W231" s="220">
        <f>IF(LEFT($B231,4)="_Mil","",_xlfn.IFNA(INDEX(Spectrum!$N:$N,MATCH(RIGHT($B231,13)&amp;"|"&amp;$C231&amp;"|"&amp;$D231&amp;"|"&amp;W$14&amp;"|"&amp;"CY2024Q3",Spectrum!$R:$R,0)),""))</f>
        <v>3.4388201E-2</v>
      </c>
      <c r="X231" s="218">
        <f>IF(LEFT($B231,4)="_Mil","",_xlfn.IFNA(ROUND(INDEX(Spectrum!$N:$N,MATCH(RIGHT($B231,13)&amp;"|"&amp;$C231&amp;"|"&amp;$D231&amp;"|"&amp;X$14&amp;"|"&amp;"CY2024Q3",Spectrum!$R:$R,0)),0),""))</f>
        <v>3023</v>
      </c>
      <c r="Y231" s="33">
        <f t="shared" si="55"/>
        <v>0.96</v>
      </c>
      <c r="Z231" s="218">
        <f>IF(LEFT($B231,4)="_Mil","",_xlfn.IFNA(ROUND(INDEX(Spectrum!$N:$N,MATCH(RIGHT($B231,13)&amp;"|"&amp;$C231&amp;"|"&amp;$D231&amp;"|"&amp;Z$14&amp;"|"&amp;"CY2024Q3",Spectrum!$R:$R,0)),0),""))</f>
        <v>2890</v>
      </c>
      <c r="AA231" s="33">
        <f>IF(LEFT($B231,4)="_Mil","",IFERROR(1/(1/INDEX(Spectrum!$N:$N,MATCH(RIGHT($B231,13)&amp;"|"&amp;$C231&amp;"|"&amp;$D231&amp;"|"&amp;AA$14&amp;"|"&amp;"CY2024Q3",Spectrum!$R:$R,0))),IF(SUM($U231)=0,"",SUM($Z231)/$U231)))</f>
        <v>0.961381716</v>
      </c>
      <c r="AB231" s="33">
        <f t="shared" si="56"/>
        <v>0.95600396956665568</v>
      </c>
      <c r="AC231" s="38">
        <f>IF(LEFT($B231,4)="_Mil","",_xlfn.IFNA(ROUND(INDEX(Spectrum!$N:$N,MATCH(RIGHT($B231,13)&amp;"|"&amp;$C231&amp;"|"&amp;$D231&amp;"|"&amp;AC$14&amp;"|"&amp;"CY2024Q3",Spectrum!$R:$R,0)),0),""))</f>
        <v>125</v>
      </c>
      <c r="AD231" s="38" t="str">
        <f>IF(LEFT($B231,4)="_Mil","",_xlfn.IFNA(ROUND(INDEX(Spectrum!$N:$N,MATCH(RIGHT($B231,13)&amp;"|"&amp;$C231&amp;"|"&amp;$D231&amp;"|"&amp;AD$14&amp;"|"&amp;"CY2024Q3",Spectrum!$R:$R,0)),0),""))</f>
        <v/>
      </c>
      <c r="AE231" s="33">
        <f t="shared" si="57"/>
        <v>0</v>
      </c>
      <c r="AF231" s="218" t="str">
        <f>IF(LEFT($B231,4)="_Mil","",_xlfn.IFNA(ROUND(INDEX(Spectrum!$N:$N,MATCH(RIGHT($B231,13)&amp;"|"&amp;$C231&amp;"|"&amp;$D231&amp;"|"&amp;AF$14&amp;"|"&amp;"CY2024Q3",Spectrum!$R:$R,0)),0),""))</f>
        <v/>
      </c>
      <c r="AG231" s="33" t="str">
        <f t="shared" si="58"/>
        <v/>
      </c>
      <c r="AH231" s="110" t="str">
        <f>IF(LEFT($B231,4)="_Mil","",_xlfn.IFNA(INDEX(Spectrum!$N:$N,MATCH(RIGHT($B231,13)&amp;"|"&amp;$C231&amp;"|"&amp;$D231&amp;"|"&amp;AH$14&amp;"|"&amp;"CY2024Q3",Spectrum!$R:$R,0)),""))</f>
        <v/>
      </c>
      <c r="AI231" s="218">
        <f>IF(LEFT($B231,4)="_Mil","",_xlfn.IFNA(ROUND(INDEX(Spectrum!$N:$N,MATCH(RIGHT($B231,13)&amp;"|"&amp;$C231&amp;"|"&amp;$D231&amp;"|"&amp;AI$14&amp;"|"&amp;"CY2025Q3",Spectrum!$R:$R,0)),0),""))</f>
        <v>170</v>
      </c>
      <c r="AJ231" s="38">
        <f>IF(LEFT($B231,4)="_Mil","",_xlfn.IFNA(ROUND(INDEX(Spectrum!$N:$N,MATCH(RIGHT($B231,13)&amp;"|"&amp;$C231&amp;"|"&amp;$D231&amp;"|"&amp;AJ$14&amp;"|"&amp;"CY2025Q3",Spectrum!$R:$R,0)),0),""))</f>
        <v>3000</v>
      </c>
      <c r="AK231" s="218" t="e">
        <f>#REF!</f>
        <v>#REF!</v>
      </c>
      <c r="AL231" s="33">
        <f t="shared" si="59"/>
        <v>0.961381716</v>
      </c>
      <c r="AM231" s="38" t="e">
        <f>IF(OR(LEFT($B231,4)="_Mil",$C231="&lt;01"),"",ROUND(SUM($AK231)*SUM($AL231),0))</f>
        <v>#REF!</v>
      </c>
      <c r="AN231" s="38" t="str">
        <f>IF($C231="&lt;01",ROUND(INDEX(EID!$P:$P,MATCH($B231,EID!$B:$B,0))/2,0),"")</f>
        <v/>
      </c>
      <c r="AO231" s="38" t="e">
        <f>IF($C231="&lt;01",SUM($AN231),ROUND(SUM($AM231)*SUM($O231)/IF(SUM($Z231)=0,1,$Z231),0))</f>
        <v>#REF!</v>
      </c>
      <c r="AP231" s="218">
        <f>IF(OR($F231="",$C231="&lt;01"),$AO231,ROUND($F231,0))</f>
        <v>3024</v>
      </c>
      <c r="AQ231" s="218">
        <f>IF(LEFT($B231,4)="_Mil","",IF(SUM($AP231)=0,SUM($Z231),IF(OR(SUM($Z231)=0,SUM($O231)=0),MAX($AP231,$Z231),ROUND($AP231*$Z231/$O231,0))))</f>
        <v>2785</v>
      </c>
      <c r="AR231" s="33" t="e">
        <f>IF(OR(LEFT($B231,4)="_Mil",SUM($AK231)=0),"",SUM($AQ231)/$AK231)</f>
        <v>#REF!</v>
      </c>
      <c r="AS231" s="33">
        <f>IF($C231="&lt;01","",83%)</f>
        <v>0.83</v>
      </c>
      <c r="AT231" s="33">
        <f>IF($C231="&lt;01","",90%)</f>
        <v>0.9</v>
      </c>
      <c r="AU231" s="38">
        <f>IF($C231="&lt;01","",SUM($AP231)-SUM($O231))</f>
        <v>-114</v>
      </c>
      <c r="AV231" s="38">
        <f>IF($C231="&lt;01",ROUND(INDEX(EID!$N:$N,MATCH($B231,EID!$B:$B,0))/2,0),IF(SUM($AT231)=0,"",ROUND((SUM($AP231)-(SUM($O231)*SUM($AS231)))/$AT231,0)))</f>
        <v>466</v>
      </c>
      <c r="AW231" s="33">
        <f t="shared" si="60"/>
        <v>1</v>
      </c>
      <c r="AX231" s="218">
        <f>IF($C231="&lt;01",SUM($AV231),ROUND(SUM($AV231)*SUM($AW231),0))</f>
        <v>466</v>
      </c>
      <c r="AY231" s="79">
        <f t="shared" si="61"/>
        <v>0.7</v>
      </c>
      <c r="AZ231" s="85">
        <f>IF($C231="&lt;01",ROUND(INDEX(EID!$R:$R,MATCH($B231,EID!$B:$B,0))/2,0),ROUND(SUM($O231)+(SUM($AV231)*$AY231),0))</f>
        <v>3464</v>
      </c>
      <c r="BA231" s="40">
        <f t="shared" si="65"/>
        <v>0.9</v>
      </c>
      <c r="BB231" s="99">
        <f>IF($C231="&lt;01",ROUND(INDEX(EID!$T:$T,MATCH($B231,EID!$B:$B,0))/2,0),ROUND($AP231*$BA231,0))</f>
        <v>2722</v>
      </c>
      <c r="BC231" s="85">
        <f>IF(LEFT($B231,4)="_Mil","",IF(SUM($BB231)=0,SUM($AD231),IF(OR(SUM($AP231)=0,SUM($AQ231)=0),MAX($BB231,$AD231),ROUND($BB231*$AQ231/$AP231,0))))</f>
        <v>2507</v>
      </c>
      <c r="BD231" s="33">
        <f t="shared" si="62"/>
        <v>0.95</v>
      </c>
      <c r="BE231" s="218">
        <f>IF($C231="&lt;01",ROUND(INDEX(EID!$V:$V,MATCH($B231,EID!$B:$B,0))/2,0),ROUND($BD231*$BB231,0))</f>
        <v>2586</v>
      </c>
      <c r="BF231" s="218">
        <f>IF(LEFT($B231,4)="_Mil","",IF(SUM($BE231)=0,SUM($AF231),IF(OR(SUM($AP231)=0,SUM($AQ231)=0),MAX($BE231,$AF231),ROUND($BE231*$AQ231/$AP231,0))))</f>
        <v>2382</v>
      </c>
      <c r="BG231" s="79">
        <f t="shared" si="63"/>
        <v>0.95</v>
      </c>
      <c r="BH231" s="99">
        <f>IF($C231="&lt;01",ROUND(INDEX(EID!$L:$L,MATCH($B231,EID!$B:$B,0)),0)/2,IF(SUM($BG231)=0,"",ROUND($AX231/$BG231,0)))</f>
        <v>491</v>
      </c>
    </row>
    <row r="232" spans="1:60" x14ac:dyDescent="0.2">
      <c r="A232" t="str">
        <f>INDEX(Prioritization!$D:$D,MATCH($B232,Prioritization!$A:$A,0))</f>
        <v>INVALID</v>
      </c>
      <c r="B232" t="s">
        <v>319</v>
      </c>
      <c r="C232" t="s">
        <v>475</v>
      </c>
      <c r="D232" t="s">
        <v>48</v>
      </c>
      <c r="E232" t="str">
        <f t="shared" si="53"/>
        <v>Mulanje District [umc2n1Z4wNv]|15-24|Male</v>
      </c>
      <c r="F232" s="229">
        <v>1616</v>
      </c>
      <c r="G232" s="38">
        <v>189</v>
      </c>
      <c r="H232" s="38">
        <v>164</v>
      </c>
      <c r="I232" s="38">
        <v>1153</v>
      </c>
      <c r="J232" s="38">
        <v>899</v>
      </c>
      <c r="K232" s="38">
        <v>751</v>
      </c>
      <c r="L232" s="38">
        <v>269</v>
      </c>
      <c r="M232" s="38">
        <v>256</v>
      </c>
      <c r="N232" s="38">
        <v>2074</v>
      </c>
      <c r="O232" s="229">
        <v>1560</v>
      </c>
      <c r="P232" s="38">
        <v>1844</v>
      </c>
      <c r="Q232" s="38">
        <v>1752</v>
      </c>
      <c r="R232" s="38">
        <f t="shared" si="54"/>
        <v>407</v>
      </c>
      <c r="S232" s="38">
        <f>IF(LEFT($B232,4)="_Mil","",_xlfn.IFNA(ROUND(INDEX(Spectrum!$N:$N,MATCH(RIGHT($B232,13)&amp;"|"&amp;$C232&amp;"|"&amp;$D232&amp;"|"&amp;S$14&amp;"|"&amp;"CY2023Q4",Spectrum!$R:$R,0)),0),""))</f>
        <v>1924</v>
      </c>
      <c r="T232" s="218">
        <f>IF(LEFT($B232,4)="_Mil","",_xlfn.IFNA(ROUND(INDEX(Spectrum!$N:$N,MATCH(RIGHT($B232,13)&amp;"|"&amp;$C232&amp;"|"&amp;$D232&amp;"|"&amp;T$14&amp;"|"&amp;"CY2024Q3",Spectrum!$R:$R,0)),0),""))</f>
        <v>90851</v>
      </c>
      <c r="U232" s="218">
        <f>IF(LEFT($B232,4)="_Mil","",_xlfn.IFNA(ROUND(INDEX(Spectrum!$N:$N,MATCH(RIGHT($B232,13)&amp;"|"&amp;$C232&amp;"|"&amp;$D232&amp;"|"&amp;U$14&amp;"|"&amp;"CY2024Q3",Spectrum!$R:$R,0)),0),""))</f>
        <v>2161</v>
      </c>
      <c r="V232" s="38">
        <f>IF(LEFT($B232,4)="_Mil","",_xlfn.IFNA(ROUND(INDEX(Spectrum!$N:$N,MATCH(RIGHT($B232,13)&amp;"|"&amp;$C232&amp;"|"&amp;$D232&amp;"|"&amp;V$14&amp;"|"&amp;"CY2024Q3",Spectrum!$R:$R,0)),0),""))</f>
        <v>2080</v>
      </c>
      <c r="W232" s="220">
        <f>IF(LEFT($B232,4)="_Mil","",_xlfn.IFNA(INDEX(Spectrum!$N:$N,MATCH(RIGHT($B232,13)&amp;"|"&amp;$C232&amp;"|"&amp;$D232&amp;"|"&amp;W$14&amp;"|"&amp;"CY2024Q3",Spectrum!$R:$R,0)),""))</f>
        <v>2.3782398E-2</v>
      </c>
      <c r="X232" s="218">
        <f>IF(LEFT($B232,4)="_Mil","",_xlfn.IFNA(ROUND(INDEX(Spectrum!$N:$N,MATCH(RIGHT($B232,13)&amp;"|"&amp;$C232&amp;"|"&amp;$D232&amp;"|"&amp;X$14&amp;"|"&amp;"CY2024Q3",Spectrum!$R:$R,0)),0),""))</f>
        <v>2039</v>
      </c>
      <c r="Y232" s="33">
        <f t="shared" si="55"/>
        <v>0.94</v>
      </c>
      <c r="Z232" s="218">
        <f>IF(LEFT($B232,4)="_Mil","",_xlfn.IFNA(ROUND(INDEX(Spectrum!$N:$N,MATCH(RIGHT($B232,13)&amp;"|"&amp;$C232&amp;"|"&amp;$D232&amp;"|"&amp;Z$14&amp;"|"&amp;"CY2024Q3",Spectrum!$R:$R,0)),0),""))</f>
        <v>1929</v>
      </c>
      <c r="AA232" s="33">
        <f>IF(LEFT($B232,4)="_Mil","",IFERROR(1/(1/INDEX(Spectrum!$N:$N,MATCH(RIGHT($B232,13)&amp;"|"&amp;$C232&amp;"|"&amp;$D232&amp;"|"&amp;AA$14&amp;"|"&amp;"CY2024Q3",Spectrum!$R:$R,0))),IF(SUM($U232)=0,"",SUM($Z232)/$U232)))</f>
        <v>0.94219673599999998</v>
      </c>
      <c r="AB232" s="33">
        <f t="shared" si="56"/>
        <v>0.94605198626777831</v>
      </c>
      <c r="AC232" s="38">
        <f>IF(LEFT($B232,4)="_Mil","",_xlfn.IFNA(ROUND(INDEX(Spectrum!$N:$N,MATCH(RIGHT($B232,13)&amp;"|"&amp;$C232&amp;"|"&amp;$D232&amp;"|"&amp;AC$14&amp;"|"&amp;"CY2024Q3",Spectrum!$R:$R,0)),0),""))</f>
        <v>151</v>
      </c>
      <c r="AD232" s="38" t="str">
        <f>IF(LEFT($B232,4)="_Mil","",_xlfn.IFNA(ROUND(INDEX(Spectrum!$N:$N,MATCH(RIGHT($B232,13)&amp;"|"&amp;$C232&amp;"|"&amp;$D232&amp;"|"&amp;AD$14&amp;"|"&amp;"CY2024Q3",Spectrum!$R:$R,0)),0),""))</f>
        <v/>
      </c>
      <c r="AE232" s="33">
        <f t="shared" si="57"/>
        <v>0</v>
      </c>
      <c r="AF232" s="218" t="str">
        <f>IF(LEFT($B232,4)="_Mil","",_xlfn.IFNA(ROUND(INDEX(Spectrum!$N:$N,MATCH(RIGHT($B232,13)&amp;"|"&amp;$C232&amp;"|"&amp;$D232&amp;"|"&amp;AF$14&amp;"|"&amp;"CY2024Q3",Spectrum!$R:$R,0)),0),""))</f>
        <v/>
      </c>
      <c r="AG232" s="33" t="str">
        <f t="shared" si="58"/>
        <v/>
      </c>
      <c r="AH232" s="110" t="str">
        <f>IF(LEFT($B232,4)="_Mil","",_xlfn.IFNA(INDEX(Spectrum!$N:$N,MATCH(RIGHT($B232,13)&amp;"|"&amp;$C232&amp;"|"&amp;$D232&amp;"|"&amp;AH$14&amp;"|"&amp;"CY2024Q3",Spectrum!$R:$R,0)),""))</f>
        <v/>
      </c>
      <c r="AI232" s="218">
        <f>IF(LEFT($B232,4)="_Mil","",_xlfn.IFNA(ROUND(INDEX(Spectrum!$N:$N,MATCH(RIGHT($B232,13)&amp;"|"&amp;$C232&amp;"|"&amp;$D232&amp;"|"&amp;AI$14&amp;"|"&amp;"CY2025Q3",Spectrum!$R:$R,0)),0),""))</f>
        <v>29</v>
      </c>
      <c r="AJ232" s="38">
        <f>IF(LEFT($B232,4)="_Mil","",_xlfn.IFNA(ROUND(INDEX(Spectrum!$N:$N,MATCH(RIGHT($B232,13)&amp;"|"&amp;$C232&amp;"|"&amp;$D232&amp;"|"&amp;AJ$14&amp;"|"&amp;"CY2025Q3",Spectrum!$R:$R,0)),0),""))</f>
        <v>2102</v>
      </c>
      <c r="AK232" s="218" t="e">
        <f>#REF!</f>
        <v>#REF!</v>
      </c>
      <c r="AL232" s="33">
        <f t="shared" si="59"/>
        <v>0.94219673599999998</v>
      </c>
      <c r="AM232" s="38" t="e">
        <f>IF(OR(LEFT($B232,4)="_Mil",$C232="&lt;01"),"",ROUND(SUM($AK232)*SUM($AL232),0))</f>
        <v>#REF!</v>
      </c>
      <c r="AN232" s="38" t="str">
        <f>IF($C232="&lt;01",ROUND(INDEX(EID!$P:$P,MATCH($B232,EID!$B:$B,0))/2,0),"")</f>
        <v/>
      </c>
      <c r="AO232" s="38" t="e">
        <f>IF($C232="&lt;01",SUM($AN232),ROUND(SUM($AM232)*SUM($O232)/IF(SUM($Z232)=0,1,$Z232),0))</f>
        <v>#REF!</v>
      </c>
      <c r="AP232" s="218">
        <f>IF(OR($F232="",$C232="&lt;01"),$AO232,ROUND($F232,0))</f>
        <v>1616</v>
      </c>
      <c r="AQ232" s="218">
        <f>IF(LEFT($B232,4)="_Mil","",IF(SUM($AP232)=0,SUM($Z232),IF(OR(SUM($Z232)=0,SUM($O232)=0),MAX($AP232,$Z232),ROUND($AP232*$Z232/$O232,0))))</f>
        <v>1998</v>
      </c>
      <c r="AR232" s="33" t="e">
        <f>IF(OR(LEFT($B232,4)="_Mil",SUM($AK232)=0),"",SUM($AQ232)/$AK232)</f>
        <v>#REF!</v>
      </c>
      <c r="AS232" s="33">
        <f>IF($C232="&lt;01","",98%)</f>
        <v>0.98</v>
      </c>
      <c r="AT232" s="33">
        <f t="shared" si="66"/>
        <v>0.98</v>
      </c>
      <c r="AU232" s="38">
        <f>IF($C232="&lt;01","",SUM($AP232)-SUM($O232))</f>
        <v>56</v>
      </c>
      <c r="AV232" s="38">
        <f>IF($C232="&lt;01",ROUND(INDEX(EID!$N:$N,MATCH($B232,EID!$B:$B,0))/2,0),IF(SUM($AT232)=0,"",ROUND((SUM($AP232)-(SUM($O232)*SUM($AS232)))/$AT232,0)))</f>
        <v>89</v>
      </c>
      <c r="AW232" s="33">
        <f t="shared" si="60"/>
        <v>1</v>
      </c>
      <c r="AX232" s="218">
        <f>IF($C232="&lt;01",SUM($AV232),ROUND(SUM($AV232)*SUM($AW232),0))</f>
        <v>89</v>
      </c>
      <c r="AY232" s="79">
        <f t="shared" si="61"/>
        <v>0.7</v>
      </c>
      <c r="AZ232" s="85">
        <f>IF($C232="&lt;01",ROUND(INDEX(EID!$R:$R,MATCH($B232,EID!$B:$B,0))/2,0),ROUND(SUM($O232)+(SUM($AV232)*$AY232),0))</f>
        <v>1622</v>
      </c>
      <c r="BA232" s="40">
        <f t="shared" si="65"/>
        <v>0.9</v>
      </c>
      <c r="BB232" s="99">
        <f>IF($C232="&lt;01",ROUND(INDEX(EID!$T:$T,MATCH($B232,EID!$B:$B,0))/2,0),ROUND($AP232*$BA232,0))</f>
        <v>1454</v>
      </c>
      <c r="BC232" s="85">
        <f>IF(LEFT($B232,4)="_Mil","",IF(SUM($BB232)=0,SUM($AD232),IF(OR(SUM($AP232)=0,SUM($AQ232)=0),MAX($BB232,$AD232),ROUND($BB232*$AQ232/$AP232,0))))</f>
        <v>1798</v>
      </c>
      <c r="BD232" s="33">
        <f t="shared" si="62"/>
        <v>0.95</v>
      </c>
      <c r="BE232" s="218">
        <f>IF($C232="&lt;01",ROUND(INDEX(EID!$V:$V,MATCH($B232,EID!$B:$B,0))/2,0),ROUND($BD232*$BB232,0))</f>
        <v>1381</v>
      </c>
      <c r="BF232" s="218">
        <f>IF(LEFT($B232,4)="_Mil","",IF(SUM($BE232)=0,SUM($AF232),IF(OR(SUM($AP232)=0,SUM($AQ232)=0),MAX($BE232,$AF232),ROUND($BE232*$AQ232/$AP232,0))))</f>
        <v>1707</v>
      </c>
      <c r="BG232" s="79">
        <f t="shared" si="63"/>
        <v>0.95</v>
      </c>
      <c r="BH232" s="99">
        <f>IF($C232="&lt;01",ROUND(INDEX(EID!$L:$L,MATCH($B232,EID!$B:$B,0)),0)/2,IF(SUM($BG232)=0,"",ROUND($AX232/$BG232,0)))</f>
        <v>94</v>
      </c>
    </row>
    <row r="233" spans="1:60" x14ac:dyDescent="0.2">
      <c r="A233" t="str">
        <f>INDEX(Prioritization!$D:$D,MATCH($B233,Prioritization!$A:$A,0))</f>
        <v>INVALID</v>
      </c>
      <c r="B233" t="s">
        <v>319</v>
      </c>
      <c r="C233" t="s">
        <v>476</v>
      </c>
      <c r="D233" t="s">
        <v>30</v>
      </c>
      <c r="E233" t="str">
        <f t="shared" si="53"/>
        <v>Mulanje District [umc2n1Z4wNv]|25-34|Female</v>
      </c>
      <c r="F233" s="229">
        <v>7362</v>
      </c>
      <c r="G233" s="38">
        <v>758</v>
      </c>
      <c r="H233" s="38">
        <v>762</v>
      </c>
      <c r="I233" s="38">
        <v>8567</v>
      </c>
      <c r="J233" s="38">
        <v>8073</v>
      </c>
      <c r="K233" s="38">
        <v>7713</v>
      </c>
      <c r="L233" s="38">
        <v>669</v>
      </c>
      <c r="M233" s="38">
        <v>656</v>
      </c>
      <c r="N233" s="38">
        <v>7609</v>
      </c>
      <c r="O233" s="229">
        <v>7901</v>
      </c>
      <c r="P233" s="38">
        <v>6970</v>
      </c>
      <c r="Q233" s="38">
        <v>6622</v>
      </c>
      <c r="R233" s="38">
        <f t="shared" si="54"/>
        <v>-666</v>
      </c>
      <c r="S233" s="38">
        <f>IF(LEFT($B233,4)="_Mil","",_xlfn.IFNA(ROUND(INDEX(Spectrum!$N:$N,MATCH(RIGHT($B233,13)&amp;"|"&amp;$C233&amp;"|"&amp;$D233&amp;"|"&amp;S$14&amp;"|"&amp;"CY2023Q4",Spectrum!$R:$R,0)),0),""))</f>
        <v>7789</v>
      </c>
      <c r="T233" s="218">
        <f>IF(LEFT($B233,4)="_Mil","",_xlfn.IFNA(ROUND(INDEX(Spectrum!$N:$N,MATCH(RIGHT($B233,13)&amp;"|"&amp;$C233&amp;"|"&amp;$D233&amp;"|"&amp;T$14&amp;"|"&amp;"CY2024Q3",Spectrum!$R:$R,0)),0),""))</f>
        <v>61705</v>
      </c>
      <c r="U233" s="218">
        <f>IF(LEFT($B233,4)="_Mil","",_xlfn.IFNA(ROUND(INDEX(Spectrum!$N:$N,MATCH(RIGHT($B233,13)&amp;"|"&amp;$C233&amp;"|"&amp;$D233&amp;"|"&amp;U$14&amp;"|"&amp;"CY2024Q3",Spectrum!$R:$R,0)),0),""))</f>
        <v>7860</v>
      </c>
      <c r="V233" s="38">
        <f>IF(LEFT($B233,4)="_Mil","",_xlfn.IFNA(ROUND(INDEX(Spectrum!$N:$N,MATCH(RIGHT($B233,13)&amp;"|"&amp;$C233&amp;"|"&amp;$D233&amp;"|"&amp;V$14&amp;"|"&amp;"CY2024Q3",Spectrum!$R:$R,0)),0),""))</f>
        <v>7525</v>
      </c>
      <c r="W233" s="220">
        <f>IF(LEFT($B233,4)="_Mil","",_xlfn.IFNA(INDEX(Spectrum!$N:$N,MATCH(RIGHT($B233,13)&amp;"|"&amp;$C233&amp;"|"&amp;$D233&amp;"|"&amp;W$14&amp;"|"&amp;"CY2024Q3",Spectrum!$R:$R,0)),""))</f>
        <v>0.12737716299999999</v>
      </c>
      <c r="X233" s="218">
        <f>IF(LEFT($B233,4)="_Mil","",_xlfn.IFNA(ROUND(INDEX(Spectrum!$N:$N,MATCH(RIGHT($B233,13)&amp;"|"&amp;$C233&amp;"|"&amp;$D233&amp;"|"&amp;X$14&amp;"|"&amp;"CY2024Q3",Spectrum!$R:$R,0)),0),""))</f>
        <v>7701</v>
      </c>
      <c r="Y233" s="33">
        <f t="shared" si="55"/>
        <v>0.98</v>
      </c>
      <c r="Z233" s="218">
        <f>IF(LEFT($B233,4)="_Mil","",_xlfn.IFNA(ROUND(INDEX(Spectrum!$N:$N,MATCH(RIGHT($B233,13)&amp;"|"&amp;$C233&amp;"|"&amp;$D233&amp;"|"&amp;Z$14&amp;"|"&amp;"CY2024Q3",Spectrum!$R:$R,0)),0),""))</f>
        <v>7387</v>
      </c>
      <c r="AA233" s="33">
        <f>IF(LEFT($B233,4)="_Mil","",IFERROR(1/(1/INDEX(Spectrum!$N:$N,MATCH(RIGHT($B233,13)&amp;"|"&amp;$C233&amp;"|"&amp;$D233&amp;"|"&amp;AA$14&amp;"|"&amp;"CY2024Q3",Spectrum!$R:$R,0))),IF(SUM($U233)=0,"",SUM($Z233)/$U233)))</f>
        <v>0.97979461000000001</v>
      </c>
      <c r="AB233" s="33">
        <f t="shared" si="56"/>
        <v>0.95922607453577458</v>
      </c>
      <c r="AC233" s="38">
        <f>IF(LEFT($B233,4)="_Mil","",_xlfn.IFNA(ROUND(INDEX(Spectrum!$N:$N,MATCH(RIGHT($B233,13)&amp;"|"&amp;$C233&amp;"|"&amp;$D233&amp;"|"&amp;AC$14&amp;"|"&amp;"CY2024Q3",Spectrum!$R:$R,0)),0),""))</f>
        <v>138</v>
      </c>
      <c r="AD233" s="38" t="str">
        <f>IF(LEFT($B233,4)="_Mil","",_xlfn.IFNA(ROUND(INDEX(Spectrum!$N:$N,MATCH(RIGHT($B233,13)&amp;"|"&amp;$C233&amp;"|"&amp;$D233&amp;"|"&amp;AD$14&amp;"|"&amp;"CY2024Q3",Spectrum!$R:$R,0)),0),""))</f>
        <v/>
      </c>
      <c r="AE233" s="33">
        <f t="shared" si="57"/>
        <v>0</v>
      </c>
      <c r="AF233" s="218" t="str">
        <f>IF(LEFT($B233,4)="_Mil","",_xlfn.IFNA(ROUND(INDEX(Spectrum!$N:$N,MATCH(RIGHT($B233,13)&amp;"|"&amp;$C233&amp;"|"&amp;$D233&amp;"|"&amp;AF$14&amp;"|"&amp;"CY2024Q3",Spectrum!$R:$R,0)),0),""))</f>
        <v/>
      </c>
      <c r="AG233" s="33" t="str">
        <f t="shared" si="58"/>
        <v/>
      </c>
      <c r="AH233" s="110" t="str">
        <f>IF(LEFT($B233,4)="_Mil","",_xlfn.IFNA(INDEX(Spectrum!$N:$N,MATCH(RIGHT($B233,13)&amp;"|"&amp;$C233&amp;"|"&amp;$D233&amp;"|"&amp;AH$14&amp;"|"&amp;"CY2024Q3",Spectrum!$R:$R,0)),""))</f>
        <v/>
      </c>
      <c r="AI233" s="218">
        <f>IF(LEFT($B233,4)="_Mil","",_xlfn.IFNA(ROUND(INDEX(Spectrum!$N:$N,MATCH(RIGHT($B233,13)&amp;"|"&amp;$C233&amp;"|"&amp;$D233&amp;"|"&amp;AI$14&amp;"|"&amp;"CY2025Q3",Spectrum!$R:$R,0)),0),""))</f>
        <v>162</v>
      </c>
      <c r="AJ233" s="38">
        <f>IF(LEFT($B233,4)="_Mil","",_xlfn.IFNA(ROUND(INDEX(Spectrum!$N:$N,MATCH(RIGHT($B233,13)&amp;"|"&amp;$C233&amp;"|"&amp;$D233&amp;"|"&amp;AJ$14&amp;"|"&amp;"CY2025Q3",Spectrum!$R:$R,0)),0),""))</f>
        <v>7323</v>
      </c>
      <c r="AK233" s="218" t="e">
        <f>#REF!</f>
        <v>#REF!</v>
      </c>
      <c r="AL233" s="33">
        <f t="shared" si="59"/>
        <v>0.97979461000000001</v>
      </c>
      <c r="AM233" s="38" t="e">
        <f>IF(OR(LEFT($B233,4)="_Mil",$C233="&lt;01"),"",ROUND(SUM($AK233)*SUM($AL233),0))</f>
        <v>#REF!</v>
      </c>
      <c r="AN233" s="38" t="str">
        <f>IF($C233="&lt;01",ROUND(INDEX(EID!$P:$P,MATCH($B233,EID!$B:$B,0))/2,0),"")</f>
        <v/>
      </c>
      <c r="AO233" s="38" t="e">
        <f>IF($C233="&lt;01",SUM($AN233),ROUND(SUM($AM233)*SUM($O233)/IF(SUM($Z233)=0,1,$Z233),0))</f>
        <v>#REF!</v>
      </c>
      <c r="AP233" s="218">
        <f>IF(OR($F233="",$C233="&lt;01"),$AO233,ROUND($F233,0))</f>
        <v>7362</v>
      </c>
      <c r="AQ233" s="218">
        <f>IF(LEFT($B233,4)="_Mil","",IF(SUM($AP233)=0,SUM($Z233),IF(OR(SUM($Z233)=0,SUM($O233)=0),MAX($AP233,$Z233),ROUND($AP233*$Z233/$O233,0))))</f>
        <v>6883</v>
      </c>
      <c r="AR233" s="33" t="e">
        <f>IF(OR(LEFT($B233,4)="_Mil",SUM($AK233)=0),"",SUM($AQ233)/$AK233)</f>
        <v>#REF!</v>
      </c>
      <c r="AS233" s="33">
        <f>IF($C233="&lt;01","",88%)</f>
        <v>0.88</v>
      </c>
      <c r="AT233" s="33">
        <f>IF($C233="&lt;01","",90%)</f>
        <v>0.9</v>
      </c>
      <c r="AU233" s="38">
        <f>IF($C233="&lt;01","",SUM($AP233)-SUM($O233))</f>
        <v>-539</v>
      </c>
      <c r="AV233" s="38">
        <f>IF($C233="&lt;01",ROUND(INDEX(EID!$N:$N,MATCH($B233,EID!$B:$B,0))/2,0),IF(SUM($AT233)=0,"",ROUND((SUM($AP233)-(SUM($O233)*SUM($AS233)))/$AT233,0)))</f>
        <v>455</v>
      </c>
      <c r="AW233" s="33">
        <f t="shared" si="60"/>
        <v>1</v>
      </c>
      <c r="AX233" s="218">
        <f>IF($C233="&lt;01",SUM($AV233),ROUND(SUM($AV233)*SUM($AW233),0))</f>
        <v>455</v>
      </c>
      <c r="AY233" s="79">
        <f t="shared" si="61"/>
        <v>0.7</v>
      </c>
      <c r="AZ233" s="85">
        <f>IF($C233="&lt;01",ROUND(INDEX(EID!$R:$R,MATCH($B233,EID!$B:$B,0))/2,0),ROUND(SUM($O233)+(SUM($AV233)*$AY233),0))</f>
        <v>8220</v>
      </c>
      <c r="BA233" s="40">
        <f t="shared" si="65"/>
        <v>0.9</v>
      </c>
      <c r="BB233" s="99">
        <f>IF($C233="&lt;01",ROUND(INDEX(EID!$T:$T,MATCH($B233,EID!$B:$B,0))/2,0),ROUND($AP233*$BA233,0))</f>
        <v>6626</v>
      </c>
      <c r="BC233" s="85">
        <f>IF(LEFT($B233,4)="_Mil","",IF(SUM($BB233)=0,SUM($AD233),IF(OR(SUM($AP233)=0,SUM($AQ233)=0),MAX($BB233,$AD233),ROUND($BB233*$AQ233/$AP233,0))))</f>
        <v>6195</v>
      </c>
      <c r="BD233" s="33">
        <f t="shared" si="62"/>
        <v>0.95</v>
      </c>
      <c r="BE233" s="218">
        <f>IF($C233="&lt;01",ROUND(INDEX(EID!$V:$V,MATCH($B233,EID!$B:$B,0))/2,0),ROUND($BD233*$BB233,0))</f>
        <v>6295</v>
      </c>
      <c r="BF233" s="218">
        <f>IF(LEFT($B233,4)="_Mil","",IF(SUM($BE233)=0,SUM($AF233),IF(OR(SUM($AP233)=0,SUM($AQ233)=0),MAX($BE233,$AF233),ROUND($BE233*$AQ233/$AP233,0))))</f>
        <v>5885</v>
      </c>
      <c r="BG233" s="79">
        <f t="shared" si="63"/>
        <v>0.95</v>
      </c>
      <c r="BH233" s="99">
        <f>IF($C233="&lt;01",ROUND(INDEX(EID!$L:$L,MATCH($B233,EID!$B:$B,0)),0)/2,IF(SUM($BG233)=0,"",ROUND($AX233/$BG233,0)))</f>
        <v>479</v>
      </c>
    </row>
    <row r="234" spans="1:60" x14ac:dyDescent="0.2">
      <c r="A234" t="str">
        <f>INDEX(Prioritization!$D:$D,MATCH($B234,Prioritization!$A:$A,0))</f>
        <v>INVALID</v>
      </c>
      <c r="B234" t="s">
        <v>319</v>
      </c>
      <c r="C234" t="s">
        <v>476</v>
      </c>
      <c r="D234" t="s">
        <v>48</v>
      </c>
      <c r="E234" t="str">
        <f t="shared" si="53"/>
        <v>Mulanje District [umc2n1Z4wNv]|25-34|Male</v>
      </c>
      <c r="F234" s="229">
        <v>2174</v>
      </c>
      <c r="G234" s="38">
        <v>470</v>
      </c>
      <c r="H234" s="38">
        <v>432</v>
      </c>
      <c r="I234" s="38">
        <v>2174</v>
      </c>
      <c r="J234" s="38">
        <v>1716</v>
      </c>
      <c r="K234" s="38">
        <v>1621</v>
      </c>
      <c r="L234" s="38">
        <v>144</v>
      </c>
      <c r="M234" s="38">
        <v>135</v>
      </c>
      <c r="N234" s="38">
        <v>2557</v>
      </c>
      <c r="O234" s="229">
        <v>2174</v>
      </c>
      <c r="P234" s="38">
        <v>2284</v>
      </c>
      <c r="Q234" s="38">
        <v>2170</v>
      </c>
      <c r="R234" s="38">
        <f t="shared" si="54"/>
        <v>0</v>
      </c>
      <c r="S234" s="38">
        <f>IF(LEFT($B234,4)="_Mil","",_xlfn.IFNA(ROUND(INDEX(Spectrum!$N:$N,MATCH(RIGHT($B234,13)&amp;"|"&amp;$C234&amp;"|"&amp;$D234&amp;"|"&amp;S$14&amp;"|"&amp;"CY2023Q4",Spectrum!$R:$R,0)),0),""))</f>
        <v>2357</v>
      </c>
      <c r="T234" s="218">
        <f>IF(LEFT($B234,4)="_Mil","",_xlfn.IFNA(ROUND(INDEX(Spectrum!$N:$N,MATCH(RIGHT($B234,13)&amp;"|"&amp;$C234&amp;"|"&amp;$D234&amp;"|"&amp;T$14&amp;"|"&amp;"CY2024Q3",Spectrum!$R:$R,0)),0),""))</f>
        <v>53971</v>
      </c>
      <c r="U234" s="218">
        <f>IF(LEFT($B234,4)="_Mil","",_xlfn.IFNA(ROUND(INDEX(Spectrum!$N:$N,MATCH(RIGHT($B234,13)&amp;"|"&amp;$C234&amp;"|"&amp;$D234&amp;"|"&amp;U$14&amp;"|"&amp;"CY2024Q3",Spectrum!$R:$R,0)),0),""))</f>
        <v>2712</v>
      </c>
      <c r="V234" s="38">
        <f>IF(LEFT($B234,4)="_Mil","",_xlfn.IFNA(ROUND(INDEX(Spectrum!$N:$N,MATCH(RIGHT($B234,13)&amp;"|"&amp;$C234&amp;"|"&amp;$D234&amp;"|"&amp;V$14&amp;"|"&amp;"CY2024Q3",Spectrum!$R:$R,0)),0),""))</f>
        <v>2603</v>
      </c>
      <c r="W234" s="220">
        <f>IF(LEFT($B234,4)="_Mil","",_xlfn.IFNA(INDEX(Spectrum!$N:$N,MATCH(RIGHT($B234,13)&amp;"|"&amp;$C234&amp;"|"&amp;$D234&amp;"|"&amp;W$14&amp;"|"&amp;"CY2024Q3",Spectrum!$R:$R,0)),""))</f>
        <v>5.0250229E-2</v>
      </c>
      <c r="X234" s="218">
        <f>IF(LEFT($B234,4)="_Mil","",_xlfn.IFNA(ROUND(INDEX(Spectrum!$N:$N,MATCH(RIGHT($B234,13)&amp;"|"&amp;$C234&amp;"|"&amp;$D234&amp;"|"&amp;X$14&amp;"|"&amp;"CY2024Q3",Spectrum!$R:$R,0)),0),""))</f>
        <v>2519</v>
      </c>
      <c r="Y234" s="33">
        <f t="shared" si="55"/>
        <v>0.93</v>
      </c>
      <c r="Z234" s="218">
        <f>IF(LEFT($B234,4)="_Mil","",_xlfn.IFNA(ROUND(INDEX(Spectrum!$N:$N,MATCH(RIGHT($B234,13)&amp;"|"&amp;$C234&amp;"|"&amp;$D234&amp;"|"&amp;Z$14&amp;"|"&amp;"CY2024Q3",Spectrum!$R:$R,0)),0),""))</f>
        <v>2342</v>
      </c>
      <c r="AA234" s="33">
        <f>IF(LEFT($B234,4)="_Mil","",IFERROR(1/(1/INDEX(Spectrum!$N:$N,MATCH(RIGHT($B234,13)&amp;"|"&amp;$C234&amp;"|"&amp;$D234&amp;"|"&amp;AA$14&amp;"|"&amp;"CY2024Q3",Spectrum!$R:$R,0))),IF(SUM($U234)=0,"",SUM($Z234)/$U234)))</f>
        <v>0.92420764700000013</v>
      </c>
      <c r="AB234" s="33">
        <f t="shared" si="56"/>
        <v>0.92973402143707817</v>
      </c>
      <c r="AC234" s="38">
        <f>IF(LEFT($B234,4)="_Mil","",_xlfn.IFNA(ROUND(INDEX(Spectrum!$N:$N,MATCH(RIGHT($B234,13)&amp;"|"&amp;$C234&amp;"|"&amp;$D234&amp;"|"&amp;AC$14&amp;"|"&amp;"CY2024Q3",Spectrum!$R:$R,0)),0),""))</f>
        <v>261</v>
      </c>
      <c r="AD234" s="38" t="str">
        <f>IF(LEFT($B234,4)="_Mil","",_xlfn.IFNA(ROUND(INDEX(Spectrum!$N:$N,MATCH(RIGHT($B234,13)&amp;"|"&amp;$C234&amp;"|"&amp;$D234&amp;"|"&amp;AD$14&amp;"|"&amp;"CY2024Q3",Spectrum!$R:$R,0)),0),""))</f>
        <v/>
      </c>
      <c r="AE234" s="33">
        <f t="shared" si="57"/>
        <v>0</v>
      </c>
      <c r="AF234" s="218" t="str">
        <f>IF(LEFT($B234,4)="_Mil","",_xlfn.IFNA(ROUND(INDEX(Spectrum!$N:$N,MATCH(RIGHT($B234,13)&amp;"|"&amp;$C234&amp;"|"&amp;$D234&amp;"|"&amp;AF$14&amp;"|"&amp;"CY2024Q3",Spectrum!$R:$R,0)),0),""))</f>
        <v/>
      </c>
      <c r="AG234" s="33" t="str">
        <f t="shared" si="58"/>
        <v/>
      </c>
      <c r="AH234" s="110" t="str">
        <f>IF(LEFT($B234,4)="_Mil","",_xlfn.IFNA(INDEX(Spectrum!$N:$N,MATCH(RIGHT($B234,13)&amp;"|"&amp;$C234&amp;"|"&amp;$D234&amp;"|"&amp;AH$14&amp;"|"&amp;"CY2024Q3",Spectrum!$R:$R,0)),""))</f>
        <v/>
      </c>
      <c r="AI234" s="218">
        <f>IF(LEFT($B234,4)="_Mil","",_xlfn.IFNA(ROUND(INDEX(Spectrum!$N:$N,MATCH(RIGHT($B234,13)&amp;"|"&amp;$C234&amp;"|"&amp;$D234&amp;"|"&amp;AI$14&amp;"|"&amp;"CY2025Q3",Spectrum!$R:$R,0)),0),""))</f>
        <v>92</v>
      </c>
      <c r="AJ234" s="38">
        <f>IF(LEFT($B234,4)="_Mil","",_xlfn.IFNA(ROUND(INDEX(Spectrum!$N:$N,MATCH(RIGHT($B234,13)&amp;"|"&amp;$C234&amp;"|"&amp;$D234&amp;"|"&amp;AJ$14&amp;"|"&amp;"CY2025Q3",Spectrum!$R:$R,0)),0),""))</f>
        <v>2611</v>
      </c>
      <c r="AK234" s="218" t="e">
        <f>#REF!</f>
        <v>#REF!</v>
      </c>
      <c r="AL234" s="33">
        <f t="shared" si="59"/>
        <v>0.92420764700000013</v>
      </c>
      <c r="AM234" s="38" t="e">
        <f>IF(OR(LEFT($B234,4)="_Mil",$C234="&lt;01"),"",ROUND(SUM($AK234)*SUM($AL234),0))</f>
        <v>#REF!</v>
      </c>
      <c r="AN234" s="38" t="str">
        <f>IF($C234="&lt;01",ROUND(INDEX(EID!$P:$P,MATCH($B234,EID!$B:$B,0))/2,0),"")</f>
        <v/>
      </c>
      <c r="AO234" s="38" t="e">
        <f>IF($C234="&lt;01",SUM($AN234),ROUND(SUM($AM234)*SUM($O234)/IF(SUM($Z234)=0,1,$Z234),0))</f>
        <v>#REF!</v>
      </c>
      <c r="AP234" s="218">
        <f>IF(OR($F234="",$C234="&lt;01"),$AO234,ROUND($F234,0))</f>
        <v>2174</v>
      </c>
      <c r="AQ234" s="218">
        <f>IF(LEFT($B234,4)="_Mil","",IF(SUM($AP234)=0,SUM($Z234),IF(OR(SUM($Z234)=0,SUM($O234)=0),MAX($AP234,$Z234),ROUND($AP234*$Z234/$O234,0))))</f>
        <v>2342</v>
      </c>
      <c r="AR234" s="33" t="e">
        <f>IF(OR(LEFT($B234,4)="_Mil",SUM($AK234)=0),"",SUM($AQ234)/$AK234)</f>
        <v>#REF!</v>
      </c>
      <c r="AS234" s="33">
        <f>IF($C234="&lt;01","",98%)</f>
        <v>0.98</v>
      </c>
      <c r="AT234" s="33">
        <f t="shared" si="66"/>
        <v>0.98</v>
      </c>
      <c r="AU234" s="38">
        <f>IF($C234="&lt;01","",SUM($AP234)-SUM($O234))</f>
        <v>0</v>
      </c>
      <c r="AV234" s="38">
        <f>IF($C234="&lt;01",ROUND(INDEX(EID!$N:$N,MATCH($B234,EID!$B:$B,0))/2,0),IF(SUM($AT234)=0,"",ROUND((SUM($AP234)-(SUM($O234)*SUM($AS234)))/$AT234,0)))</f>
        <v>44</v>
      </c>
      <c r="AW234" s="33">
        <f t="shared" si="60"/>
        <v>1</v>
      </c>
      <c r="AX234" s="218">
        <f>IF($C234="&lt;01",SUM($AV234),ROUND(SUM($AV234)*SUM($AW234),0))</f>
        <v>44</v>
      </c>
      <c r="AY234" s="79">
        <f t="shared" si="61"/>
        <v>0.7</v>
      </c>
      <c r="AZ234" s="85">
        <f>IF($C234="&lt;01",ROUND(INDEX(EID!$R:$R,MATCH($B234,EID!$B:$B,0))/2,0),ROUND(SUM($O234)+(SUM($AV234)*$AY234),0))</f>
        <v>2205</v>
      </c>
      <c r="BA234" s="40">
        <f t="shared" si="65"/>
        <v>0.9</v>
      </c>
      <c r="BB234" s="99">
        <f>IF($C234="&lt;01",ROUND(INDEX(EID!$T:$T,MATCH($B234,EID!$B:$B,0))/2,0),ROUND($AP234*$BA234,0))</f>
        <v>1957</v>
      </c>
      <c r="BC234" s="85">
        <f>IF(LEFT($B234,4)="_Mil","",IF(SUM($BB234)=0,SUM($AD234),IF(OR(SUM($AP234)=0,SUM($AQ234)=0),MAX($BB234,$AD234),ROUND($BB234*$AQ234/$AP234,0))))</f>
        <v>2108</v>
      </c>
      <c r="BD234" s="33">
        <f t="shared" si="62"/>
        <v>0.95</v>
      </c>
      <c r="BE234" s="218">
        <f>IF($C234="&lt;01",ROUND(INDEX(EID!$V:$V,MATCH($B234,EID!$B:$B,0))/2,0),ROUND($BD234*$BB234,0))</f>
        <v>1859</v>
      </c>
      <c r="BF234" s="218">
        <f>IF(LEFT($B234,4)="_Mil","",IF(SUM($BE234)=0,SUM($AF234),IF(OR(SUM($AP234)=0,SUM($AQ234)=0),MAX($BE234,$AF234),ROUND($BE234*$AQ234/$AP234,0))))</f>
        <v>2003</v>
      </c>
      <c r="BG234" s="79">
        <f t="shared" si="63"/>
        <v>0.95</v>
      </c>
      <c r="BH234" s="99">
        <f>IF($C234="&lt;01",ROUND(INDEX(EID!$L:$L,MATCH($B234,EID!$B:$B,0)),0)/2,IF(SUM($BG234)=0,"",ROUND($AX234/$BG234,0)))</f>
        <v>46</v>
      </c>
    </row>
    <row r="235" spans="1:60" x14ac:dyDescent="0.2">
      <c r="A235" t="str">
        <f>INDEX(Prioritization!$D:$D,MATCH($B235,Prioritization!$A:$A,0))</f>
        <v>INVALID</v>
      </c>
      <c r="B235" t="s">
        <v>319</v>
      </c>
      <c r="C235" t="s">
        <v>477</v>
      </c>
      <c r="D235" t="s">
        <v>30</v>
      </c>
      <c r="E235" t="str">
        <f t="shared" si="53"/>
        <v>Mulanje District [umc2n1Z4wNv]|35-49|Female</v>
      </c>
      <c r="F235" s="229">
        <v>19916</v>
      </c>
      <c r="G235" s="38">
        <v>498</v>
      </c>
      <c r="H235" s="38">
        <v>507</v>
      </c>
      <c r="I235" s="38">
        <v>19277</v>
      </c>
      <c r="J235" s="38">
        <v>16772</v>
      </c>
      <c r="K235" s="38">
        <v>16086</v>
      </c>
      <c r="L235" s="38">
        <v>360</v>
      </c>
      <c r="M235" s="38">
        <v>352</v>
      </c>
      <c r="N235" s="38">
        <v>18558</v>
      </c>
      <c r="O235" s="229">
        <v>19597</v>
      </c>
      <c r="P235" s="38">
        <v>16772</v>
      </c>
      <c r="Q235" s="38">
        <v>15933</v>
      </c>
      <c r="R235" s="38">
        <f t="shared" si="54"/>
        <v>320</v>
      </c>
      <c r="S235" s="38">
        <f>IF(LEFT($B235,4)="_Mil","",_xlfn.IFNA(ROUND(INDEX(Spectrum!$N:$N,MATCH(RIGHT($B235,13)&amp;"|"&amp;$C235&amp;"|"&amp;$D235&amp;"|"&amp;S$14&amp;"|"&amp;"CY2023Q4",Spectrum!$R:$R,0)),0),""))</f>
        <v>18705</v>
      </c>
      <c r="T235" s="218">
        <f>IF(LEFT($B235,4)="_Mil","",_xlfn.IFNA(ROUND(INDEX(Spectrum!$N:$N,MATCH(RIGHT($B235,13)&amp;"|"&amp;$C235&amp;"|"&amp;$D235&amp;"|"&amp;T$14&amp;"|"&amp;"CY2024Q3",Spectrum!$R:$R,0)),0),""))</f>
        <v>65525</v>
      </c>
      <c r="U235" s="218">
        <f>IF(LEFT($B235,4)="_Mil","",_xlfn.IFNA(ROUND(INDEX(Spectrum!$N:$N,MATCH(RIGHT($B235,13)&amp;"|"&amp;$C235&amp;"|"&amp;$D235&amp;"|"&amp;U$14&amp;"|"&amp;"CY2024Q3",Spectrum!$R:$R,0)),0),""))</f>
        <v>19947</v>
      </c>
      <c r="V235" s="38">
        <f>IF(LEFT($B235,4)="_Mil","",_xlfn.IFNA(ROUND(INDEX(Spectrum!$N:$N,MATCH(RIGHT($B235,13)&amp;"|"&amp;$C235&amp;"|"&amp;$D235&amp;"|"&amp;V$14&amp;"|"&amp;"CY2024Q3",Spectrum!$R:$R,0)),0),""))</f>
        <v>18982</v>
      </c>
      <c r="W235" s="220">
        <f>IF(LEFT($B235,4)="_Mil","",_xlfn.IFNA(INDEX(Spectrum!$N:$N,MATCH(RIGHT($B235,13)&amp;"|"&amp;$C235&amp;"|"&amp;$D235&amp;"|"&amp;W$14&amp;"|"&amp;"CY2024Q3",Spectrum!$R:$R,0)),""))</f>
        <v>0.304423783</v>
      </c>
      <c r="X235" s="218">
        <f>IF(LEFT($B235,4)="_Mil","",_xlfn.IFNA(ROUND(INDEX(Spectrum!$N:$N,MATCH(RIGHT($B235,13)&amp;"|"&amp;$C235&amp;"|"&amp;$D235&amp;"|"&amp;X$14&amp;"|"&amp;"CY2024Q3",Spectrum!$R:$R,0)),0),""))</f>
        <v>19752</v>
      </c>
      <c r="Y235" s="33">
        <f t="shared" si="55"/>
        <v>0.99</v>
      </c>
      <c r="Z235" s="218">
        <f>IF(LEFT($B235,4)="_Mil","",_xlfn.IFNA(ROUND(INDEX(Spectrum!$N:$N,MATCH(RIGHT($B235,13)&amp;"|"&amp;$C235&amp;"|"&amp;$D235&amp;"|"&amp;Z$14&amp;"|"&amp;"CY2024Q3",Spectrum!$R:$R,0)),0),""))</f>
        <v>18765</v>
      </c>
      <c r="AA235" s="33">
        <f>IF(LEFT($B235,4)="_Mil","",IFERROR(1/(1/INDEX(Spectrum!$N:$N,MATCH(RIGHT($B235,13)&amp;"|"&amp;$C235&amp;"|"&amp;$D235&amp;"|"&amp;AA$14&amp;"|"&amp;"CY2024Q3",Spectrum!$R:$R,0))),IF(SUM($U235)=0,"",SUM($Z235)/$U235)))</f>
        <v>0.99001191899999996</v>
      </c>
      <c r="AB235" s="33">
        <f t="shared" si="56"/>
        <v>0.95003037667071688</v>
      </c>
      <c r="AC235" s="38">
        <f>IF(LEFT($B235,4)="_Mil","",_xlfn.IFNA(ROUND(INDEX(Spectrum!$N:$N,MATCH(RIGHT($B235,13)&amp;"|"&amp;$C235&amp;"|"&amp;$D235&amp;"|"&amp;AC$14&amp;"|"&amp;"CY2024Q3",Spectrum!$R:$R,0)),0),""))</f>
        <v>217</v>
      </c>
      <c r="AD235" s="38" t="str">
        <f>IF(LEFT($B235,4)="_Mil","",_xlfn.IFNA(ROUND(INDEX(Spectrum!$N:$N,MATCH(RIGHT($B235,13)&amp;"|"&amp;$C235&amp;"|"&amp;$D235&amp;"|"&amp;AD$14&amp;"|"&amp;"CY2024Q3",Spectrum!$R:$R,0)),0),""))</f>
        <v/>
      </c>
      <c r="AE235" s="33">
        <f t="shared" si="57"/>
        <v>0</v>
      </c>
      <c r="AF235" s="218" t="str">
        <f>IF(LEFT($B235,4)="_Mil","",_xlfn.IFNA(ROUND(INDEX(Spectrum!$N:$N,MATCH(RIGHT($B235,13)&amp;"|"&amp;$C235&amp;"|"&amp;$D235&amp;"|"&amp;AF$14&amp;"|"&amp;"CY2024Q3",Spectrum!$R:$R,0)),0),""))</f>
        <v/>
      </c>
      <c r="AG235" s="33" t="str">
        <f t="shared" si="58"/>
        <v/>
      </c>
      <c r="AH235" s="110" t="str">
        <f>IF(LEFT($B235,4)="_Mil","",_xlfn.IFNA(INDEX(Spectrum!$N:$N,MATCH(RIGHT($B235,13)&amp;"|"&amp;$C235&amp;"|"&amp;$D235&amp;"|"&amp;AH$14&amp;"|"&amp;"CY2024Q3",Spectrum!$R:$R,0)),""))</f>
        <v/>
      </c>
      <c r="AI235" s="218">
        <f>IF(LEFT($B235,4)="_Mil","",_xlfn.IFNA(ROUND(INDEX(Spectrum!$N:$N,MATCH(RIGHT($B235,13)&amp;"|"&amp;$C235&amp;"|"&amp;$D235&amp;"|"&amp;AI$14&amp;"|"&amp;"CY2025Q3",Spectrum!$R:$R,0)),0),""))</f>
        <v>78</v>
      </c>
      <c r="AJ235" s="38">
        <f>IF(LEFT($B235,4)="_Mil","",_xlfn.IFNA(ROUND(INDEX(Spectrum!$N:$N,MATCH(RIGHT($B235,13)&amp;"|"&amp;$C235&amp;"|"&amp;$D235&amp;"|"&amp;AJ$14&amp;"|"&amp;"CY2025Q3",Spectrum!$R:$R,0)),0),""))</f>
        <v>19928</v>
      </c>
      <c r="AK235" s="218" t="e">
        <f>#REF!</f>
        <v>#REF!</v>
      </c>
      <c r="AL235" s="33">
        <f t="shared" si="59"/>
        <v>0.99001191899999996</v>
      </c>
      <c r="AM235" s="38" t="e">
        <f>IF(OR(LEFT($B235,4)="_Mil",$C235="&lt;01"),"",ROUND(SUM($AK235)*SUM($AL235),0))</f>
        <v>#REF!</v>
      </c>
      <c r="AN235" s="38" t="str">
        <f>IF($C235="&lt;01",ROUND(INDEX(EID!$P:$P,MATCH($B235,EID!$B:$B,0))/2,0),"")</f>
        <v/>
      </c>
      <c r="AO235" s="38" t="e">
        <f>IF($C235="&lt;01",SUM($AN235),ROUND(SUM($AM235)*SUM($O235)/IF(SUM($Z235)=0,1,$Z235),0))</f>
        <v>#REF!</v>
      </c>
      <c r="AP235" s="218">
        <f>IF(OR($F235="",$C235="&lt;01"),$AO235,ROUND($F235,0))</f>
        <v>19916</v>
      </c>
      <c r="AQ235" s="218">
        <f>IF(LEFT($B235,4)="_Mil","",IF(SUM($AP235)=0,SUM($Z235),IF(OR(SUM($Z235)=0,SUM($O235)=0),MAX($AP235,$Z235),ROUND($AP235*$Z235/$O235,0))))</f>
        <v>19070</v>
      </c>
      <c r="AR235" s="33" t="e">
        <f>IF(OR(LEFT($B235,4)="_Mil",SUM($AK235)=0),"",SUM($AQ235)/$AK235)</f>
        <v>#REF!</v>
      </c>
      <c r="AS235" s="33">
        <f>IF($C235="&lt;01","",98%)</f>
        <v>0.98</v>
      </c>
      <c r="AT235" s="33">
        <f t="shared" si="66"/>
        <v>0.98</v>
      </c>
      <c r="AU235" s="38">
        <f>IF($C235="&lt;01","",SUM($AP235)-SUM($O235))</f>
        <v>319</v>
      </c>
      <c r="AV235" s="38">
        <f>IF($C235="&lt;01",ROUND(INDEX(EID!$N:$N,MATCH($B235,EID!$B:$B,0))/2,0),IF(SUM($AT235)=0,"",ROUND((SUM($AP235)-(SUM($O235)*SUM($AS235)))/$AT235,0)))</f>
        <v>725</v>
      </c>
      <c r="AW235" s="33">
        <f t="shared" si="60"/>
        <v>1</v>
      </c>
      <c r="AX235" s="218">
        <f>IF($C235="&lt;01",SUM($AV235),ROUND(SUM($AV235)*SUM($AW235),0))</f>
        <v>725</v>
      </c>
      <c r="AY235" s="79">
        <f t="shared" si="61"/>
        <v>0.7</v>
      </c>
      <c r="AZ235" s="85">
        <f>IF($C235="&lt;01",ROUND(INDEX(EID!$R:$R,MATCH($B235,EID!$B:$B,0))/2,0),ROUND(SUM($O235)+(SUM($AV235)*$AY235),0))</f>
        <v>20105</v>
      </c>
      <c r="BA235" s="40">
        <f t="shared" si="65"/>
        <v>0.9</v>
      </c>
      <c r="BB235" s="99">
        <f>IF($C235="&lt;01",ROUND(INDEX(EID!$T:$T,MATCH($B235,EID!$B:$B,0))/2,0),ROUND($AP235*$BA235,0))</f>
        <v>17924</v>
      </c>
      <c r="BC235" s="85">
        <f>IF(LEFT($B235,4)="_Mil","",IF(SUM($BB235)=0,SUM($AD235),IF(OR(SUM($AP235)=0,SUM($AQ235)=0),MAX($BB235,$AD235),ROUND($BB235*$AQ235/$AP235,0))))</f>
        <v>17163</v>
      </c>
      <c r="BD235" s="33">
        <f t="shared" si="62"/>
        <v>0.95</v>
      </c>
      <c r="BE235" s="218">
        <f>IF($C235="&lt;01",ROUND(INDEX(EID!$V:$V,MATCH($B235,EID!$B:$B,0))/2,0),ROUND($BD235*$BB235,0))</f>
        <v>17028</v>
      </c>
      <c r="BF235" s="218">
        <f>IF(LEFT($B235,4)="_Mil","",IF(SUM($BE235)=0,SUM($AF235),IF(OR(SUM($AP235)=0,SUM($AQ235)=0),MAX($BE235,$AF235),ROUND($BE235*$AQ235/$AP235,0))))</f>
        <v>16305</v>
      </c>
      <c r="BG235" s="79">
        <f t="shared" si="63"/>
        <v>0.95</v>
      </c>
      <c r="BH235" s="99">
        <f>IF($C235="&lt;01",ROUND(INDEX(EID!$L:$L,MATCH($B235,EID!$B:$B,0)),0)/2,IF(SUM($BG235)=0,"",ROUND($AX235/$BG235,0)))</f>
        <v>763</v>
      </c>
    </row>
    <row r="236" spans="1:60" x14ac:dyDescent="0.2">
      <c r="A236" t="str">
        <f>INDEX(Prioritization!$D:$D,MATCH($B236,Prioritization!$A:$A,0))</f>
        <v>INVALID</v>
      </c>
      <c r="B236" t="s">
        <v>319</v>
      </c>
      <c r="C236" t="s">
        <v>477</v>
      </c>
      <c r="D236" t="s">
        <v>48</v>
      </c>
      <c r="E236" t="str">
        <f t="shared" si="53"/>
        <v>Mulanje District [umc2n1Z4wNv]|35-49|Male</v>
      </c>
      <c r="F236" s="229">
        <v>8896</v>
      </c>
      <c r="G236" s="38">
        <v>578</v>
      </c>
      <c r="H236" s="38">
        <v>618</v>
      </c>
      <c r="I236" s="38">
        <v>8896</v>
      </c>
      <c r="J236" s="38">
        <v>7163</v>
      </c>
      <c r="K236" s="38">
        <v>6855</v>
      </c>
      <c r="L236" s="38">
        <v>128</v>
      </c>
      <c r="M236" s="38">
        <v>122</v>
      </c>
      <c r="N236" s="38">
        <v>8540</v>
      </c>
      <c r="O236" s="229">
        <v>8896</v>
      </c>
      <c r="P236" s="38">
        <v>7710</v>
      </c>
      <c r="Q236" s="38">
        <v>7325</v>
      </c>
      <c r="R236" s="38">
        <f t="shared" si="54"/>
        <v>0</v>
      </c>
      <c r="S236" s="38">
        <f>IF(LEFT($B236,4)="_Mil","",_xlfn.IFNA(ROUND(INDEX(Spectrum!$N:$N,MATCH(RIGHT($B236,13)&amp;"|"&amp;$C236&amp;"|"&amp;$D236&amp;"|"&amp;S$14&amp;"|"&amp;"CY2023Q4",Spectrum!$R:$R,0)),0),""))</f>
        <v>8690</v>
      </c>
      <c r="T236" s="218">
        <f>IF(LEFT($B236,4)="_Mil","",_xlfn.IFNA(ROUND(INDEX(Spectrum!$N:$N,MATCH(RIGHT($B236,13)&amp;"|"&amp;$C236&amp;"|"&amp;$D236&amp;"|"&amp;T$14&amp;"|"&amp;"CY2024Q3",Spectrum!$R:$R,0)),0),""))</f>
        <v>50837</v>
      </c>
      <c r="U236" s="218">
        <f>IF(LEFT($B236,4)="_Mil","",_xlfn.IFNA(ROUND(INDEX(Spectrum!$N:$N,MATCH(RIGHT($B236,13)&amp;"|"&amp;$C236&amp;"|"&amp;$D236&amp;"|"&amp;U$14&amp;"|"&amp;"CY2024Q3",Spectrum!$R:$R,0)),0),""))</f>
        <v>9576</v>
      </c>
      <c r="V236" s="38">
        <f>IF(LEFT($B236,4)="_Mil","",_xlfn.IFNA(ROUND(INDEX(Spectrum!$N:$N,MATCH(RIGHT($B236,13)&amp;"|"&amp;$C236&amp;"|"&amp;$D236&amp;"|"&amp;V$14&amp;"|"&amp;"CY2024Q3",Spectrum!$R:$R,0)),0),""))</f>
        <v>9215</v>
      </c>
      <c r="W236" s="220">
        <f>IF(LEFT($B236,4)="_Mil","",_xlfn.IFNA(INDEX(Spectrum!$N:$N,MATCH(RIGHT($B236,13)&amp;"|"&amp;$C236&amp;"|"&amp;$D236&amp;"|"&amp;W$14&amp;"|"&amp;"CY2024Q3",Spectrum!$R:$R,0)),""))</f>
        <v>0.18836955899999999</v>
      </c>
      <c r="X236" s="218">
        <f>IF(LEFT($B236,4)="_Mil","",_xlfn.IFNA(ROUND(INDEX(Spectrum!$N:$N,MATCH(RIGHT($B236,13)&amp;"|"&amp;$C236&amp;"|"&amp;$D236&amp;"|"&amp;X$14&amp;"|"&amp;"CY2024Q3",Spectrum!$R:$R,0)),0),""))</f>
        <v>9165</v>
      </c>
      <c r="Y236" s="33">
        <f t="shared" si="55"/>
        <v>0.96</v>
      </c>
      <c r="Z236" s="218">
        <f>IF(LEFT($B236,4)="_Mil","",_xlfn.IFNA(ROUND(INDEX(Spectrum!$N:$N,MATCH(RIGHT($B236,13)&amp;"|"&amp;$C236&amp;"|"&amp;$D236&amp;"|"&amp;Z$14&amp;"|"&amp;"CY2024Q3",Spectrum!$R:$R,0)),0),""))</f>
        <v>8606</v>
      </c>
      <c r="AA236" s="33">
        <f>IF(LEFT($B236,4)="_Mil","",IFERROR(1/(1/INDEX(Spectrum!$N:$N,MATCH(RIGHT($B236,13)&amp;"|"&amp;$C236&amp;"|"&amp;$D236&amp;"|"&amp;AA$14&amp;"|"&amp;"CY2024Q3",Spectrum!$R:$R,0))),IF(SUM($U236)=0,"",SUM($Z236)/$U236)))</f>
        <v>0.9544250299999999</v>
      </c>
      <c r="AB236" s="33">
        <f t="shared" si="56"/>
        <v>0.93900709219858158</v>
      </c>
      <c r="AC236" s="38">
        <f>IF(LEFT($B236,4)="_Mil","",_xlfn.IFNA(ROUND(INDEX(Spectrum!$N:$N,MATCH(RIGHT($B236,13)&amp;"|"&amp;$C236&amp;"|"&amp;$D236&amp;"|"&amp;AC$14&amp;"|"&amp;"CY2024Q3",Spectrum!$R:$R,0)),0),""))</f>
        <v>609</v>
      </c>
      <c r="AD236" s="38" t="str">
        <f>IF(LEFT($B236,4)="_Mil","",_xlfn.IFNA(ROUND(INDEX(Spectrum!$N:$N,MATCH(RIGHT($B236,13)&amp;"|"&amp;$C236&amp;"|"&amp;$D236&amp;"|"&amp;AD$14&amp;"|"&amp;"CY2024Q3",Spectrum!$R:$R,0)),0),""))</f>
        <v/>
      </c>
      <c r="AE236" s="33">
        <f t="shared" si="57"/>
        <v>0</v>
      </c>
      <c r="AF236" s="218" t="str">
        <f>IF(LEFT($B236,4)="_Mil","",_xlfn.IFNA(ROUND(INDEX(Spectrum!$N:$N,MATCH(RIGHT($B236,13)&amp;"|"&amp;$C236&amp;"|"&amp;$D236&amp;"|"&amp;AF$14&amp;"|"&amp;"CY2024Q3",Spectrum!$R:$R,0)),0),""))</f>
        <v/>
      </c>
      <c r="AG236" s="33" t="str">
        <f t="shared" si="58"/>
        <v/>
      </c>
      <c r="AH236" s="110" t="str">
        <f>IF(LEFT($B236,4)="_Mil","",_xlfn.IFNA(INDEX(Spectrum!$N:$N,MATCH(RIGHT($B236,13)&amp;"|"&amp;$C236&amp;"|"&amp;$D236&amp;"|"&amp;AH$14&amp;"|"&amp;"CY2024Q3",Spectrum!$R:$R,0)),""))</f>
        <v/>
      </c>
      <c r="AI236" s="218">
        <f>IF(LEFT($B236,4)="_Mil","",_xlfn.IFNA(ROUND(INDEX(Spectrum!$N:$N,MATCH(RIGHT($B236,13)&amp;"|"&amp;$C236&amp;"|"&amp;$D236&amp;"|"&amp;AI$14&amp;"|"&amp;"CY2025Q3",Spectrum!$R:$R,0)),0),""))</f>
        <v>86</v>
      </c>
      <c r="AJ236" s="38">
        <f>IF(LEFT($B236,4)="_Mil","",_xlfn.IFNA(ROUND(INDEX(Spectrum!$N:$N,MATCH(RIGHT($B236,13)&amp;"|"&amp;$C236&amp;"|"&amp;$D236&amp;"|"&amp;AJ$14&amp;"|"&amp;"CY2025Q3",Spectrum!$R:$R,0)),0),""))</f>
        <v>9172</v>
      </c>
      <c r="AK236" s="218" t="e">
        <f>#REF!</f>
        <v>#REF!</v>
      </c>
      <c r="AL236" s="33">
        <f t="shared" si="59"/>
        <v>0.9544250299999999</v>
      </c>
      <c r="AM236" s="38" t="e">
        <f>IF(OR(LEFT($B236,4)="_Mil",$C236="&lt;01"),"",ROUND(SUM($AK236)*SUM($AL236),0))</f>
        <v>#REF!</v>
      </c>
      <c r="AN236" s="38" t="str">
        <f>IF($C236="&lt;01",ROUND(INDEX(EID!$P:$P,MATCH($B236,EID!$B:$B,0))/2,0),"")</f>
        <v/>
      </c>
      <c r="AO236" s="38" t="e">
        <f>IF($C236="&lt;01",SUM($AN236),ROUND(SUM($AM236)*SUM($O236)/IF(SUM($Z236)=0,1,$Z236),0))</f>
        <v>#REF!</v>
      </c>
      <c r="AP236" s="218">
        <f>IF(OR($F236="",$C236="&lt;01"),$AO236,ROUND($F236,0))</f>
        <v>8896</v>
      </c>
      <c r="AQ236" s="218">
        <f>IF(LEFT($B236,4)="_Mil","",IF(SUM($AP236)=0,SUM($Z236),IF(OR(SUM($Z236)=0,SUM($O236)=0),MAX($AP236,$Z236),ROUND($AP236*$Z236/$O236,0))))</f>
        <v>8606</v>
      </c>
      <c r="AR236" s="33" t="e">
        <f>IF(OR(LEFT($B236,4)="_Mil",SUM($AK236)=0),"",SUM($AQ236)/$AK236)</f>
        <v>#REF!</v>
      </c>
      <c r="AS236" s="33">
        <f>IF($C236="&lt;01","",90%)</f>
        <v>0.9</v>
      </c>
      <c r="AT236" s="33">
        <f t="shared" si="66"/>
        <v>0.98</v>
      </c>
      <c r="AU236" s="38">
        <f>IF($C236="&lt;01","",SUM($AP236)-SUM($O236))</f>
        <v>0</v>
      </c>
      <c r="AV236" s="38">
        <f>IF($C236="&lt;01",ROUND(INDEX(EID!$N:$N,MATCH($B236,EID!$B:$B,0))/2,0),IF(SUM($AT236)=0,"",ROUND((SUM($AP236)-(SUM($O236)*SUM($AS236)))/$AT236,0)))</f>
        <v>908</v>
      </c>
      <c r="AW236" s="33">
        <f t="shared" si="60"/>
        <v>1</v>
      </c>
      <c r="AX236" s="218">
        <f>IF($C236="&lt;01",SUM($AV236),ROUND(SUM($AV236)*SUM($AW236),0))</f>
        <v>908</v>
      </c>
      <c r="AY236" s="79">
        <f t="shared" si="61"/>
        <v>0.7</v>
      </c>
      <c r="AZ236" s="85">
        <f>IF($C236="&lt;01",ROUND(INDEX(EID!$R:$R,MATCH($B236,EID!$B:$B,0))/2,0),ROUND(SUM($O236)+(SUM($AV236)*$AY236),0))</f>
        <v>9532</v>
      </c>
      <c r="BA236" s="40">
        <f t="shared" si="65"/>
        <v>0.9</v>
      </c>
      <c r="BB236" s="99">
        <f>IF($C236="&lt;01",ROUND(INDEX(EID!$T:$T,MATCH($B236,EID!$B:$B,0))/2,0),ROUND($AP236*$BA236,0))</f>
        <v>8006</v>
      </c>
      <c r="BC236" s="85">
        <f>IF(LEFT($B236,4)="_Mil","",IF(SUM($BB236)=0,SUM($AD236),IF(OR(SUM($AP236)=0,SUM($AQ236)=0),MAX($BB236,$AD236),ROUND($BB236*$AQ236/$AP236,0))))</f>
        <v>7745</v>
      </c>
      <c r="BD236" s="33">
        <f t="shared" si="62"/>
        <v>0.95</v>
      </c>
      <c r="BE236" s="218">
        <f>IF($C236="&lt;01",ROUND(INDEX(EID!$V:$V,MATCH($B236,EID!$B:$B,0))/2,0),ROUND($BD236*$BB236,0))</f>
        <v>7606</v>
      </c>
      <c r="BF236" s="218">
        <f>IF(LEFT($B236,4)="_Mil","",IF(SUM($BE236)=0,SUM($AF236),IF(OR(SUM($AP236)=0,SUM($AQ236)=0),MAX($BE236,$AF236),ROUND($BE236*$AQ236/$AP236,0))))</f>
        <v>7358</v>
      </c>
      <c r="BG236" s="79">
        <f t="shared" si="63"/>
        <v>0.95</v>
      </c>
      <c r="BH236" s="99">
        <f>IF($C236="&lt;01",ROUND(INDEX(EID!$L:$L,MATCH($B236,EID!$B:$B,0)),0)/2,IF(SUM($BG236)=0,"",ROUND($AX236/$BG236,0)))</f>
        <v>956</v>
      </c>
    </row>
    <row r="237" spans="1:60" x14ac:dyDescent="0.2">
      <c r="A237" t="str">
        <f>INDEX(Prioritization!$D:$D,MATCH($B237,Prioritization!$A:$A,0))</f>
        <v>INVALID</v>
      </c>
      <c r="B237" t="s">
        <v>319</v>
      </c>
      <c r="C237" t="s">
        <v>478</v>
      </c>
      <c r="D237" t="s">
        <v>30</v>
      </c>
      <c r="E237" t="str">
        <f t="shared" si="53"/>
        <v>Mulanje District [umc2n1Z4wNv]|50+|Female</v>
      </c>
      <c r="F237" s="229">
        <v>8792</v>
      </c>
      <c r="G237" s="38">
        <v>131</v>
      </c>
      <c r="H237" s="38">
        <v>144</v>
      </c>
      <c r="I237" s="38">
        <v>7800</v>
      </c>
      <c r="J237" s="38">
        <v>6304</v>
      </c>
      <c r="K237" s="38">
        <v>6075</v>
      </c>
      <c r="L237" s="38">
        <v>893</v>
      </c>
      <c r="M237" s="38">
        <v>875</v>
      </c>
      <c r="N237" s="38">
        <v>8927</v>
      </c>
      <c r="O237" s="229">
        <v>8296</v>
      </c>
      <c r="P237" s="38">
        <v>7401</v>
      </c>
      <c r="Q237" s="38">
        <v>7031</v>
      </c>
      <c r="R237" s="38">
        <f t="shared" si="54"/>
        <v>496</v>
      </c>
      <c r="S237" s="38">
        <f>IF(LEFT($B237,4)="_Mil","",_xlfn.IFNA(ROUND(INDEX(Spectrum!$N:$N,MATCH(RIGHT($B237,13)&amp;"|"&amp;$C237&amp;"|"&amp;$D237&amp;"|"&amp;S$14&amp;"|"&amp;"CY2023Q4",Spectrum!$R:$R,0)),0),""))</f>
        <v>8879</v>
      </c>
      <c r="T237" s="218">
        <f>IF(LEFT($B237,4)="_Mil","",_xlfn.IFNA(ROUND(INDEX(Spectrum!$N:$N,MATCH(RIGHT($B237,13)&amp;"|"&amp;$C237&amp;"|"&amp;$D237&amp;"|"&amp;T$14&amp;"|"&amp;"CY2024Q3",Spectrum!$R:$R,0)),0),""))</f>
        <v>41998</v>
      </c>
      <c r="U237" s="218">
        <f>IF(LEFT($B237,4)="_Mil","",_xlfn.IFNA(ROUND(INDEX(Spectrum!$N:$N,MATCH(RIGHT($B237,13)&amp;"|"&amp;$C237&amp;"|"&amp;$D237&amp;"|"&amp;U$14&amp;"|"&amp;"CY2024Q3",Spectrum!$R:$R,0)),0),""))</f>
        <v>9837</v>
      </c>
      <c r="V237" s="38">
        <f>IF(LEFT($B237,4)="_Mil","",_xlfn.IFNA(ROUND(INDEX(Spectrum!$N:$N,MATCH(RIGHT($B237,13)&amp;"|"&amp;$C237&amp;"|"&amp;$D237&amp;"|"&amp;V$14&amp;"|"&amp;"CY2024Q3",Spectrum!$R:$R,0)),0),""))</f>
        <v>9408</v>
      </c>
      <c r="W237" s="220">
        <f>IF(LEFT($B237,4)="_Mil","",_xlfn.IFNA(INDEX(Spectrum!$N:$N,MATCH(RIGHT($B237,13)&amp;"|"&amp;$C237&amp;"|"&amp;$D237&amp;"|"&amp;W$14&amp;"|"&amp;"CY2024Q3",Spectrum!$R:$R,0)),""))</f>
        <v>0.234222665</v>
      </c>
      <c r="X237" s="218">
        <f>IF(LEFT($B237,4)="_Mil","",_xlfn.IFNA(ROUND(INDEX(Spectrum!$N:$N,MATCH(RIGHT($B237,13)&amp;"|"&amp;$C237&amp;"|"&amp;$D237&amp;"|"&amp;X$14&amp;"|"&amp;"CY2024Q3",Spectrum!$R:$R,0)),0),""))</f>
        <v>9781</v>
      </c>
      <c r="Y237" s="33">
        <f t="shared" si="55"/>
        <v>0.99</v>
      </c>
      <c r="Z237" s="218">
        <f>IF(LEFT($B237,4)="_Mil","",_xlfn.IFNA(ROUND(INDEX(Spectrum!$N:$N,MATCH(RIGHT($B237,13)&amp;"|"&amp;$C237&amp;"|"&amp;$D237&amp;"|"&amp;Z$14&amp;"|"&amp;"CY2024Q3",Spectrum!$R:$R,0)),0),""))</f>
        <v>9356</v>
      </c>
      <c r="AA237" s="33">
        <f>IF(LEFT($B237,4)="_Mil","",IFERROR(1/(1/INDEX(Spectrum!$N:$N,MATCH(RIGHT($B237,13)&amp;"|"&amp;$C237&amp;"|"&amp;$D237&amp;"|"&amp;AA$14&amp;"|"&amp;"CY2024Q3",Spectrum!$R:$R,0))),IF(SUM($U237)=0,"",SUM($Z237)/$U237)))</f>
        <v>0.99320023499999999</v>
      </c>
      <c r="AB237" s="33">
        <f t="shared" si="56"/>
        <v>0.95654841018300785</v>
      </c>
      <c r="AC237" s="38">
        <f>IF(LEFT($B237,4)="_Mil","",_xlfn.IFNA(ROUND(INDEX(Spectrum!$N:$N,MATCH(RIGHT($B237,13)&amp;"|"&amp;$C237&amp;"|"&amp;$D237&amp;"|"&amp;AC$14&amp;"|"&amp;"CY2024Q3",Spectrum!$R:$R,0)),0),""))</f>
        <v>52</v>
      </c>
      <c r="AD237" s="38" t="str">
        <f>IF(LEFT($B237,4)="_Mil","",_xlfn.IFNA(ROUND(INDEX(Spectrum!$N:$N,MATCH(RIGHT($B237,13)&amp;"|"&amp;$C237&amp;"|"&amp;$D237&amp;"|"&amp;AD$14&amp;"|"&amp;"CY2024Q3",Spectrum!$R:$R,0)),0),""))</f>
        <v/>
      </c>
      <c r="AE237" s="33">
        <f t="shared" si="57"/>
        <v>0</v>
      </c>
      <c r="AF237" s="218" t="str">
        <f>IF(LEFT($B237,4)="_Mil","",_xlfn.IFNA(ROUND(INDEX(Spectrum!$N:$N,MATCH(RIGHT($B237,13)&amp;"|"&amp;$C237&amp;"|"&amp;$D237&amp;"|"&amp;AF$14&amp;"|"&amp;"CY2024Q3",Spectrum!$R:$R,0)),0),""))</f>
        <v/>
      </c>
      <c r="AG237" s="33" t="str">
        <f t="shared" si="58"/>
        <v/>
      </c>
      <c r="AH237" s="110" t="str">
        <f>IF(LEFT($B237,4)="_Mil","",_xlfn.IFNA(INDEX(Spectrum!$N:$N,MATCH(RIGHT($B237,13)&amp;"|"&amp;$C237&amp;"|"&amp;$D237&amp;"|"&amp;AH$14&amp;"|"&amp;"CY2024Q3",Spectrum!$R:$R,0)),""))</f>
        <v/>
      </c>
      <c r="AI237" s="218">
        <f>IF(LEFT($B237,4)="_Mil","",_xlfn.IFNA(ROUND(INDEX(Spectrum!$N:$N,MATCH(RIGHT($B237,13)&amp;"|"&amp;$C237&amp;"|"&amp;$D237&amp;"|"&amp;AI$14&amp;"|"&amp;"CY2025Q3",Spectrum!$R:$R,0)),0),""))</f>
        <v>14</v>
      </c>
      <c r="AJ237" s="38">
        <f>IF(LEFT($B237,4)="_Mil","",_xlfn.IFNA(ROUND(INDEX(Spectrum!$N:$N,MATCH(RIGHT($B237,13)&amp;"|"&amp;$C237&amp;"|"&amp;$D237&amp;"|"&amp;AJ$14&amp;"|"&amp;"CY2025Q3",Spectrum!$R:$R,0)),0),""))</f>
        <v>10563</v>
      </c>
      <c r="AK237" s="218" t="e">
        <f>#REF!</f>
        <v>#REF!</v>
      </c>
      <c r="AL237" s="33">
        <f t="shared" si="59"/>
        <v>0.99320023499999999</v>
      </c>
      <c r="AM237" s="38" t="e">
        <f>IF(OR(LEFT($B237,4)="_Mil",$C237="&lt;01"),"",ROUND(SUM($AK237)*SUM($AL237),0))</f>
        <v>#REF!</v>
      </c>
      <c r="AN237" s="38" t="str">
        <f>IF($C237="&lt;01",ROUND(INDEX(EID!$P:$P,MATCH($B237,EID!$B:$B,0))/2,0),"")</f>
        <v/>
      </c>
      <c r="AO237" s="38" t="e">
        <f>IF($C237="&lt;01",SUM($AN237),ROUND(SUM($AM237)*SUM($O237)/IF(SUM($Z237)=0,1,$Z237),0))</f>
        <v>#REF!</v>
      </c>
      <c r="AP237" s="218">
        <f>IF(OR($F237="",$C237="&lt;01"),$AO237,ROUND($F237,0))</f>
        <v>8792</v>
      </c>
      <c r="AQ237" s="218">
        <f>IF(LEFT($B237,4)="_Mil","",IF(SUM($AP237)=0,SUM($Z237),IF(OR(SUM($Z237)=0,SUM($O237)=0),MAX($AP237,$Z237),ROUND($AP237*$Z237/$O237,0))))</f>
        <v>9915</v>
      </c>
      <c r="AR237" s="33" t="e">
        <f>IF(OR(LEFT($B237,4)="_Mil",SUM($AK237)=0),"",SUM($AQ237)/$AK237)</f>
        <v>#REF!</v>
      </c>
      <c r="AS237" s="33">
        <v>1.02</v>
      </c>
      <c r="AT237" s="33">
        <f>IF($C237="&lt;01","",100%)</f>
        <v>1</v>
      </c>
      <c r="AU237" s="38">
        <f>IF($C237="&lt;01","",SUM($AP237)-SUM($O237))</f>
        <v>496</v>
      </c>
      <c r="AV237" s="38">
        <f>IF($C237="&lt;01",ROUND(INDEX(EID!$N:$N,MATCH($B237,EID!$B:$B,0))/2,0),IF(SUM($AT237)=0,"",ROUND((SUM($AP237)-(SUM($O237)*SUM($AS237)))/$AT237,0)))</f>
        <v>330</v>
      </c>
      <c r="AW237" s="33">
        <v>0.8</v>
      </c>
      <c r="AX237" s="218">
        <f>IF($C237="&lt;01",SUM($AV237),ROUND(SUM($AV237)*SUM($AW237),0))</f>
        <v>264</v>
      </c>
      <c r="AY237" s="79">
        <f t="shared" si="61"/>
        <v>0.7</v>
      </c>
      <c r="AZ237" s="85">
        <f>IF($C237="&lt;01",ROUND(INDEX(EID!$R:$R,MATCH($B237,EID!$B:$B,0))/2,0),ROUND(SUM($O237)+(SUM($AV237)*$AY237),0))</f>
        <v>8527</v>
      </c>
      <c r="BA237" s="40">
        <f t="shared" si="65"/>
        <v>0.9</v>
      </c>
      <c r="BB237" s="99">
        <f>IF($C237="&lt;01",ROUND(INDEX(EID!$T:$T,MATCH($B237,EID!$B:$B,0))/2,0),ROUND($AP237*$BA237,0))</f>
        <v>7913</v>
      </c>
      <c r="BC237" s="85">
        <f>IF(LEFT($B237,4)="_Mil","",IF(SUM($BB237)=0,SUM($AD237),IF(OR(SUM($AP237)=0,SUM($AQ237)=0),MAX($BB237,$AD237),ROUND($BB237*$AQ237/$AP237,0))))</f>
        <v>8924</v>
      </c>
      <c r="BD237" s="33">
        <f t="shared" si="62"/>
        <v>0.95</v>
      </c>
      <c r="BE237" s="218">
        <f>IF($C237="&lt;01",ROUND(INDEX(EID!$V:$V,MATCH($B237,EID!$B:$B,0))/2,0),ROUND($BD237*$BB237,0))</f>
        <v>7517</v>
      </c>
      <c r="BF237" s="218">
        <f>IF(LEFT($B237,4)="_Mil","",IF(SUM($BE237)=0,SUM($AF237),IF(OR(SUM($AP237)=0,SUM($AQ237)=0),MAX($BE237,$AF237),ROUND($BE237*$AQ237/$AP237,0))))</f>
        <v>8477</v>
      </c>
      <c r="BG237" s="79">
        <f t="shared" si="63"/>
        <v>0.95</v>
      </c>
      <c r="BH237" s="99">
        <f>IF($C237="&lt;01",ROUND(INDEX(EID!$L:$L,MATCH($B237,EID!$B:$B,0)),0)/2,IF(SUM($BG237)=0,"",ROUND($AX237/$BG237,0)))</f>
        <v>278</v>
      </c>
    </row>
    <row r="238" spans="1:60" x14ac:dyDescent="0.2">
      <c r="A238" t="str">
        <f>INDEX(Prioritization!$D:$D,MATCH($B238,Prioritization!$A:$A,0))</f>
        <v>INVALID</v>
      </c>
      <c r="B238" t="s">
        <v>319</v>
      </c>
      <c r="C238" t="s">
        <v>478</v>
      </c>
      <c r="D238" t="s">
        <v>48</v>
      </c>
      <c r="E238" t="str">
        <f t="shared" si="53"/>
        <v>Mulanje District [umc2n1Z4wNv]|50+|Male</v>
      </c>
      <c r="F238" s="229">
        <v>6357</v>
      </c>
      <c r="G238" s="38">
        <v>167</v>
      </c>
      <c r="H238" s="38">
        <v>163</v>
      </c>
      <c r="I238" s="38">
        <v>5653</v>
      </c>
      <c r="J238" s="38">
        <v>4400</v>
      </c>
      <c r="K238" s="38">
        <v>4219</v>
      </c>
      <c r="L238" s="38">
        <v>555</v>
      </c>
      <c r="M238" s="38">
        <v>527</v>
      </c>
      <c r="N238" s="38">
        <v>6042</v>
      </c>
      <c r="O238" s="229">
        <v>6005</v>
      </c>
      <c r="P238" s="38">
        <v>5044</v>
      </c>
      <c r="Q238" s="38">
        <v>4792</v>
      </c>
      <c r="R238" s="38">
        <f t="shared" si="54"/>
        <v>352</v>
      </c>
      <c r="S238" s="38">
        <f>IF(LEFT($B238,4)="_Mil","",_xlfn.IFNA(ROUND(INDEX(Spectrum!$N:$N,MATCH(RIGHT($B238,13)&amp;"|"&amp;$C238&amp;"|"&amp;$D238&amp;"|"&amp;S$14&amp;"|"&amp;"CY2023Q4",Spectrum!$R:$R,0)),0),""))</f>
        <v>5806</v>
      </c>
      <c r="T238" s="218">
        <f>IF(LEFT($B238,4)="_Mil","",_xlfn.IFNA(ROUND(INDEX(Spectrum!$N:$N,MATCH(RIGHT($B238,13)&amp;"|"&amp;$C238&amp;"|"&amp;$D238&amp;"|"&amp;T$14&amp;"|"&amp;"CY2024Q3",Spectrum!$R:$R,0)),0),""))</f>
        <v>27939</v>
      </c>
      <c r="U238" s="218">
        <f>IF(LEFT($B238,4)="_Mil","",_xlfn.IFNA(ROUND(INDEX(Spectrum!$N:$N,MATCH(RIGHT($B238,13)&amp;"|"&amp;$C238&amp;"|"&amp;$D238&amp;"|"&amp;U$14&amp;"|"&amp;"CY2024Q3",Spectrum!$R:$R,0)),0),""))</f>
        <v>6670</v>
      </c>
      <c r="V238" s="38">
        <f>IF(LEFT($B238,4)="_Mil","",_xlfn.IFNA(ROUND(INDEX(Spectrum!$N:$N,MATCH(RIGHT($B238,13)&amp;"|"&amp;$C238&amp;"|"&amp;$D238&amp;"|"&amp;V$14&amp;"|"&amp;"CY2024Q3",Spectrum!$R:$R,0)),0),""))</f>
        <v>6415</v>
      </c>
      <c r="W238" s="220">
        <f>IF(LEFT($B238,4)="_Mil","",_xlfn.IFNA(INDEX(Spectrum!$N:$N,MATCH(RIGHT($B238,13)&amp;"|"&amp;$C238&amp;"|"&amp;$D238&amp;"|"&amp;W$14&amp;"|"&amp;"CY2024Q3",Spectrum!$R:$R,0)),""))</f>
        <v>0.238734164</v>
      </c>
      <c r="X238" s="218">
        <f>IF(LEFT($B238,4)="_Mil","",_xlfn.IFNA(ROUND(INDEX(Spectrum!$N:$N,MATCH(RIGHT($B238,13)&amp;"|"&amp;$C238&amp;"|"&amp;$D238&amp;"|"&amp;X$14&amp;"|"&amp;"CY2024Q3",Spectrum!$R:$R,0)),0),""))</f>
        <v>6478</v>
      </c>
      <c r="Y238" s="33">
        <f t="shared" si="55"/>
        <v>0.97</v>
      </c>
      <c r="Z238" s="218">
        <f>IF(LEFT($B238,4)="_Mil","",_xlfn.IFNA(ROUND(INDEX(Spectrum!$N:$N,MATCH(RIGHT($B238,13)&amp;"|"&amp;$C238&amp;"|"&amp;$D238&amp;"|"&amp;Z$14&amp;"|"&amp;"CY2024Q3",Spectrum!$R:$R,0)),0),""))</f>
        <v>6141</v>
      </c>
      <c r="AA238" s="33">
        <f>IF(LEFT($B238,4)="_Mil","",IFERROR(1/(1/INDEX(Spectrum!$N:$N,MATCH(RIGHT($B238,13)&amp;"|"&amp;$C238&amp;"|"&amp;$D238&amp;"|"&amp;AA$14&amp;"|"&amp;"CY2024Q3",Spectrum!$R:$R,0))),IF(SUM($U238)=0,"",SUM($Z238)/$U238)))</f>
        <v>0.96930602599999993</v>
      </c>
      <c r="AB238" s="33">
        <f t="shared" si="56"/>
        <v>0.94797777091694968</v>
      </c>
      <c r="AC238" s="38">
        <f>IF(LEFT($B238,4)="_Mil","",_xlfn.IFNA(ROUND(INDEX(Spectrum!$N:$N,MATCH(RIGHT($B238,13)&amp;"|"&amp;$C238&amp;"|"&amp;$D238&amp;"|"&amp;AC$14&amp;"|"&amp;"CY2024Q3",Spectrum!$R:$R,0)),0),""))</f>
        <v>274</v>
      </c>
      <c r="AD238" s="38" t="str">
        <f>IF(LEFT($B238,4)="_Mil","",_xlfn.IFNA(ROUND(INDEX(Spectrum!$N:$N,MATCH(RIGHT($B238,13)&amp;"|"&amp;$C238&amp;"|"&amp;$D238&amp;"|"&amp;AD$14&amp;"|"&amp;"CY2024Q3",Spectrum!$R:$R,0)),0),""))</f>
        <v/>
      </c>
      <c r="AE238" s="33">
        <f t="shared" si="57"/>
        <v>0</v>
      </c>
      <c r="AF238" s="218" t="str">
        <f>IF(LEFT($B238,4)="_Mil","",_xlfn.IFNA(ROUND(INDEX(Spectrum!$N:$N,MATCH(RIGHT($B238,13)&amp;"|"&amp;$C238&amp;"|"&amp;$D238&amp;"|"&amp;AF$14&amp;"|"&amp;"CY2024Q3",Spectrum!$R:$R,0)),0),""))</f>
        <v/>
      </c>
      <c r="AG238" s="33" t="str">
        <f t="shared" si="58"/>
        <v/>
      </c>
      <c r="AH238" s="110" t="str">
        <f>IF(LEFT($B238,4)="_Mil","",_xlfn.IFNA(INDEX(Spectrum!$N:$N,MATCH(RIGHT($B238,13)&amp;"|"&amp;$C238&amp;"|"&amp;$D238&amp;"|"&amp;AH$14&amp;"|"&amp;"CY2024Q3",Spectrum!$R:$R,0)),""))</f>
        <v/>
      </c>
      <c r="AI238" s="218">
        <f>IF(LEFT($B238,4)="_Mil","",_xlfn.IFNA(ROUND(INDEX(Spectrum!$N:$N,MATCH(RIGHT($B238,13)&amp;"|"&amp;$C238&amp;"|"&amp;$D238&amp;"|"&amp;AI$14&amp;"|"&amp;"CY2025Q3",Spectrum!$R:$R,0)),0),""))</f>
        <v>23</v>
      </c>
      <c r="AJ238" s="38">
        <f>IF(LEFT($B238,4)="_Mil","",_xlfn.IFNA(ROUND(INDEX(Spectrum!$N:$N,MATCH(RIGHT($B238,13)&amp;"|"&amp;$C238&amp;"|"&amp;$D238&amp;"|"&amp;AJ$14&amp;"|"&amp;"CY2025Q3",Spectrum!$R:$R,0)),0),""))</f>
        <v>7070</v>
      </c>
      <c r="AK238" s="218" t="e">
        <f>#REF!</f>
        <v>#REF!</v>
      </c>
      <c r="AL238" s="33">
        <f t="shared" si="59"/>
        <v>0.96930602599999993</v>
      </c>
      <c r="AM238" s="38" t="e">
        <f>IF(OR(LEFT($B238,4)="_Mil",$C238="&lt;01"),"",ROUND(SUM($AK238)*SUM($AL238),0))</f>
        <v>#REF!</v>
      </c>
      <c r="AN238" s="38" t="str">
        <f>IF($C238="&lt;01",ROUND(INDEX(EID!$P:$P,MATCH($B238,EID!$B:$B,0))/2,0),"")</f>
        <v/>
      </c>
      <c r="AO238" s="38" t="e">
        <f>IF($C238="&lt;01",SUM($AN238),ROUND(SUM($AM238)*SUM($O238)/IF(SUM($Z238)=0,1,$Z238),0))</f>
        <v>#REF!</v>
      </c>
      <c r="AP238" s="218">
        <f>IF(OR($F238="",$C238="&lt;01"),$AO238,ROUND($F238,0))</f>
        <v>6357</v>
      </c>
      <c r="AQ238" s="218">
        <f>IF(LEFT($B238,4)="_Mil","",IF(SUM($AP238)=0,SUM($Z238),IF(OR(SUM($Z238)=0,SUM($O238)=0),MAX($AP238,$Z238),ROUND($AP238*$Z238/$O238,0))))</f>
        <v>6501</v>
      </c>
      <c r="AR238" s="33" t="e">
        <f>IF(OR(LEFT($B238,4)="_Mil",SUM($AK238)=0),"",SUM($AQ238)/$AK238)</f>
        <v>#REF!</v>
      </c>
      <c r="AS238" s="33">
        <v>1.02</v>
      </c>
      <c r="AT238" s="33">
        <f>IF($C238="&lt;01","",100%)</f>
        <v>1</v>
      </c>
      <c r="AU238" s="38">
        <f>IF($C238="&lt;01","",SUM($AP238)-SUM($O238))</f>
        <v>352</v>
      </c>
      <c r="AV238" s="38">
        <f>IF($C238="&lt;01",ROUND(INDEX(EID!$N:$N,MATCH($B238,EID!$B:$B,0))/2,0),IF(SUM($AT238)=0,"",ROUND((SUM($AP238)-(SUM($O238)*SUM($AS238)))/$AT238,0)))</f>
        <v>232</v>
      </c>
      <c r="AW238" s="33">
        <v>0.8</v>
      </c>
      <c r="AX238" s="218">
        <f>IF($C238="&lt;01",SUM($AV238),ROUND(SUM($AV238)*SUM($AW238),0))</f>
        <v>186</v>
      </c>
      <c r="AY238" s="79">
        <f t="shared" si="61"/>
        <v>0.7</v>
      </c>
      <c r="AZ238" s="85">
        <f>IF($C238="&lt;01",ROUND(INDEX(EID!$R:$R,MATCH($B238,EID!$B:$B,0))/2,0),ROUND(SUM($O238)+(SUM($AV238)*$AY238),0))</f>
        <v>6167</v>
      </c>
      <c r="BA238" s="40">
        <f t="shared" si="65"/>
        <v>0.9</v>
      </c>
      <c r="BB238" s="99">
        <f>IF($C238="&lt;01",ROUND(INDEX(EID!$T:$T,MATCH($B238,EID!$B:$B,0))/2,0),ROUND($AP238*$BA238,0))</f>
        <v>5721</v>
      </c>
      <c r="BC238" s="85">
        <f>IF(LEFT($B238,4)="_Mil","",IF(SUM($BB238)=0,SUM($AD238),IF(OR(SUM($AP238)=0,SUM($AQ238)=0),MAX($BB238,$AD238),ROUND($BB238*$AQ238/$AP238,0))))</f>
        <v>5851</v>
      </c>
      <c r="BD238" s="33">
        <f t="shared" si="62"/>
        <v>0.95</v>
      </c>
      <c r="BE238" s="218">
        <f>IF($C238="&lt;01",ROUND(INDEX(EID!$V:$V,MATCH($B238,EID!$B:$B,0))/2,0),ROUND($BD238*$BB238,0))</f>
        <v>5435</v>
      </c>
      <c r="BF238" s="218">
        <f>IF(LEFT($B238,4)="_Mil","",IF(SUM($BE238)=0,SUM($AF238),IF(OR(SUM($AP238)=0,SUM($AQ238)=0),MAX($BE238,$AF238),ROUND($BE238*$AQ238/$AP238,0))))</f>
        <v>5558</v>
      </c>
      <c r="BG238" s="79">
        <f t="shared" si="63"/>
        <v>0.95</v>
      </c>
      <c r="BH238" s="99">
        <f>IF($C238="&lt;01",ROUND(INDEX(EID!$L:$L,MATCH($B238,EID!$B:$B,0)),0)/2,IF(SUM($BG238)=0,"",ROUND($AX238/$BG238,0)))</f>
        <v>196</v>
      </c>
    </row>
    <row r="239" spans="1:60" x14ac:dyDescent="0.2">
      <c r="A239" t="str">
        <f>INDEX(Prioritization!$D:$D,MATCH($B239,Prioritization!$A:$A,0))</f>
        <v>4 - Sustained</v>
      </c>
      <c r="B239" t="s">
        <v>320</v>
      </c>
      <c r="C239" t="s">
        <v>426</v>
      </c>
      <c r="D239" t="s">
        <v>30</v>
      </c>
      <c r="E239" t="str">
        <f t="shared" si="53"/>
        <v>Mwanza District [wNqJp8oRIcF]|&lt;01|Female</v>
      </c>
      <c r="F239" s="229">
        <v>4</v>
      </c>
      <c r="G239" s="38">
        <v>16</v>
      </c>
      <c r="H239" s="38">
        <v>2</v>
      </c>
      <c r="I239" s="38"/>
      <c r="J239" s="38">
        <v>7</v>
      </c>
      <c r="K239" s="38">
        <v>7</v>
      </c>
      <c r="L239" s="38"/>
      <c r="M239" s="38">
        <v>3</v>
      </c>
      <c r="N239" s="38">
        <v>3</v>
      </c>
      <c r="O239" s="229">
        <v>4</v>
      </c>
      <c r="P239" s="38">
        <v>2</v>
      </c>
      <c r="Q239" s="38">
        <v>2</v>
      </c>
      <c r="R239" s="38">
        <f t="shared" si="54"/>
        <v>4</v>
      </c>
      <c r="S239" s="38">
        <f>IF(LEFT($B239,4)="_Mil","",_xlfn.IFNA(ROUND(INDEX(Spectrum!$N:$N,MATCH(RIGHT($B239,13)&amp;"|"&amp;$C239&amp;"|"&amp;$D239&amp;"|"&amp;S$14&amp;"|"&amp;"CY2023Q4",Spectrum!$R:$R,0)),0),""))</f>
        <v>3</v>
      </c>
      <c r="T239" s="218">
        <f>IF(LEFT($B239,4)="_Mil","",_xlfn.IFNA(ROUND(INDEX(Spectrum!$N:$N,MATCH(RIGHT($B239,13)&amp;"|"&amp;$C239&amp;"|"&amp;$D239&amp;"|"&amp;T$14&amp;"|"&amp;"CY2024Q3",Spectrum!$R:$R,0)),0),""))</f>
        <v>2707</v>
      </c>
      <c r="U239" s="218">
        <f>IF(LEFT($B239,4)="_Mil","",_xlfn.IFNA(ROUND(INDEX(Spectrum!$N:$N,MATCH(RIGHT($B239,13)&amp;"|"&amp;$C239&amp;"|"&amp;$D239&amp;"|"&amp;U$14&amp;"|"&amp;"CY2024Q3",Spectrum!$R:$R,0)),0),""))</f>
        <v>4</v>
      </c>
      <c r="V239" s="38">
        <f>IF(LEFT($B239,4)="_Mil","",_xlfn.IFNA(ROUND(INDEX(Spectrum!$N:$N,MATCH(RIGHT($B239,13)&amp;"|"&amp;$C239&amp;"|"&amp;$D239&amp;"|"&amp;V$14&amp;"|"&amp;"CY2024Q3",Spectrum!$R:$R,0)),0),""))</f>
        <v>5</v>
      </c>
      <c r="W239" s="220">
        <f>IF(LEFT($B239,4)="_Mil","",_xlfn.IFNA(INDEX(Spectrum!$N:$N,MATCH(RIGHT($B239,13)&amp;"|"&amp;$C239&amp;"|"&amp;$D239&amp;"|"&amp;W$14&amp;"|"&amp;"CY2024Q3",Spectrum!$R:$R,0)),""))</f>
        <v>1.4552619999999999E-3</v>
      </c>
      <c r="X239" s="218">
        <f>IF(LEFT($B239,4)="_Mil","",_xlfn.IFNA(ROUND(INDEX(Spectrum!$N:$N,MATCH(RIGHT($B239,13)&amp;"|"&amp;$C239&amp;"|"&amp;$D239&amp;"|"&amp;X$14&amp;"|"&amp;"CY2024Q3",Spectrum!$R:$R,0)),0),""))</f>
        <v>2</v>
      </c>
      <c r="Y239" s="33">
        <f t="shared" si="55"/>
        <v>0.5</v>
      </c>
      <c r="Z239" s="218">
        <f>IF(LEFT($B239,4)="_Mil","",_xlfn.IFNA(ROUND(INDEX(Spectrum!$N:$N,MATCH(RIGHT($B239,13)&amp;"|"&amp;$C239&amp;"|"&amp;$D239&amp;"|"&amp;Z$14&amp;"|"&amp;"CY2024Q3",Spectrum!$R:$R,0)),0),""))</f>
        <v>3</v>
      </c>
      <c r="AA239" s="33">
        <f>IF(LEFT($B239,4)="_Mil","",IFERROR(1/(1/INDEX(Spectrum!$N:$N,MATCH(RIGHT($B239,13)&amp;"|"&amp;$C239&amp;"|"&amp;$D239&amp;"|"&amp;AA$14&amp;"|"&amp;"CY2024Q3",Spectrum!$R:$R,0))),IF(SUM($U239)=0,"",SUM($Z239)/$U239)))</f>
        <v>0.495859773</v>
      </c>
      <c r="AB239" s="33">
        <f t="shared" si="56"/>
        <v>1.5</v>
      </c>
      <c r="AC239" s="38">
        <f>IF(LEFT($B239,4)="_Mil","",_xlfn.IFNA(ROUND(INDEX(Spectrum!$N:$N,MATCH(RIGHT($B239,13)&amp;"|"&amp;$C239&amp;"|"&amp;$D239&amp;"|"&amp;AC$14&amp;"|"&amp;"CY2024Q3",Spectrum!$R:$R,0)),0),""))</f>
        <v>2</v>
      </c>
      <c r="AD239" s="38" t="str">
        <f>IF(LEFT($B239,4)="_Mil","",_xlfn.IFNA(ROUND(INDEX(Spectrum!$N:$N,MATCH(RIGHT($B239,13)&amp;"|"&amp;$C239&amp;"|"&amp;$D239&amp;"|"&amp;AD$14&amp;"|"&amp;"CY2024Q3",Spectrum!$R:$R,0)),0),""))</f>
        <v/>
      </c>
      <c r="AE239" s="33">
        <f t="shared" si="57"/>
        <v>0</v>
      </c>
      <c r="AF239" s="218" t="str">
        <f>IF(LEFT($B239,4)="_Mil","",_xlfn.IFNA(ROUND(INDEX(Spectrum!$N:$N,MATCH(RIGHT($B239,13)&amp;"|"&amp;$C239&amp;"|"&amp;$D239&amp;"|"&amp;AF$14&amp;"|"&amp;"CY2024Q3",Spectrum!$R:$R,0)),0),""))</f>
        <v/>
      </c>
      <c r="AG239" s="33" t="str">
        <f t="shared" si="58"/>
        <v/>
      </c>
      <c r="AH239" s="110" t="str">
        <f>IF(LEFT($B239,4)="_Mil","",_xlfn.IFNA(INDEX(Spectrum!$N:$N,MATCH(RIGHT($B239,13)&amp;"|"&amp;$C239&amp;"|"&amp;$D239&amp;"|"&amp;AH$14&amp;"|"&amp;"CY2024Q3",Spectrum!$R:$R,0)),""))</f>
        <v/>
      </c>
      <c r="AI239" s="218">
        <f>IF(LEFT($B239,4)="_Mil","",_xlfn.IFNA(ROUND(INDEX(Spectrum!$N:$N,MATCH(RIGHT($B239,13)&amp;"|"&amp;$C239&amp;"|"&amp;$D239&amp;"|"&amp;AI$14&amp;"|"&amp;"CY2025Q3",Spectrum!$R:$R,0)),0),""))</f>
        <v>5</v>
      </c>
      <c r="AJ239" s="38">
        <f>IF(LEFT($B239,4)="_Mil","",_xlfn.IFNA(ROUND(INDEX(Spectrum!$N:$N,MATCH(RIGHT($B239,13)&amp;"|"&amp;$C239&amp;"|"&amp;$D239&amp;"|"&amp;AJ$14&amp;"|"&amp;"CY2025Q3",Spectrum!$R:$R,0)),0),""))</f>
        <v>4</v>
      </c>
      <c r="AK239" s="218" t="e">
        <f>#REF!</f>
        <v>#REF!</v>
      </c>
      <c r="AL239" s="33" t="str">
        <f t="shared" si="59"/>
        <v/>
      </c>
      <c r="AM239" s="38" t="str">
        <f>IF(OR(LEFT($B239,4)="_Mil",$C239="&lt;01"),"",ROUND(SUM($AK239)*SUM($AL239),0))</f>
        <v/>
      </c>
      <c r="AN239" s="38">
        <f>IF($C239="&lt;01",ROUND(INDEX(EID!$P:$P,MATCH($B239,EID!$B:$B,0))/2,0),"")</f>
        <v>0</v>
      </c>
      <c r="AO239" s="38">
        <f>IF($C239="&lt;01",SUM($AN239),ROUND(SUM($AM239)*SUM($O239)/IF(SUM($Z239)=0,1,$Z239),0))</f>
        <v>0</v>
      </c>
      <c r="AP239" s="218">
        <f>IF(OR($F239="",$C239="&lt;01"),$AO239,ROUND($F239,0))</f>
        <v>0</v>
      </c>
      <c r="AQ239" s="218">
        <f>IF(LEFT($B239,4)="_Mil","",IF(SUM($AP239)=0,SUM($Z239),IF(OR(SUM($Z239)=0,SUM($O239)=0),MAX($AP239,$Z239),ROUND($AP239*$Z239/$O239,0))))</f>
        <v>3</v>
      </c>
      <c r="AR239" s="33" t="e">
        <f>IF(OR(LEFT($B239,4)="_Mil",SUM($AK239)=0),"",SUM($AQ239)/$AK239)</f>
        <v>#REF!</v>
      </c>
      <c r="AS239" s="33" t="str">
        <f t="shared" ref="AS239:AS244" si="68">IF($C239="&lt;01","",98%)</f>
        <v/>
      </c>
      <c r="AT239" s="33" t="str">
        <f t="shared" si="66"/>
        <v/>
      </c>
      <c r="AU239" s="38" t="str">
        <f>IF($C239="&lt;01","",SUM($AP239)-SUM($O239))</f>
        <v/>
      </c>
      <c r="AV239" s="38">
        <f>IF($C239="&lt;01",ROUND(INDEX(EID!$N:$N,MATCH($B239,EID!$B:$B,0))/2,0),IF(SUM($AT239)=0,"",ROUND((SUM($AP239)-(SUM($O239)*SUM($AS239)))/$AT239,0)))</f>
        <v>0</v>
      </c>
      <c r="AW239" s="33" t="str">
        <f t="shared" si="60"/>
        <v/>
      </c>
      <c r="AX239" s="218">
        <f>IF($C239="&lt;01",SUM($AV239),ROUND(SUM($AV239)*SUM($AW239),0))</f>
        <v>0</v>
      </c>
      <c r="AY239" s="79" t="str">
        <f t="shared" si="61"/>
        <v/>
      </c>
      <c r="AZ239" s="85">
        <f>IF($C239="&lt;01",ROUND(INDEX(EID!$R:$R,MATCH($B239,EID!$B:$B,0))/2,0),ROUND(SUM($O239)+(SUM($AV239)*$AY239),0))</f>
        <v>0</v>
      </c>
      <c r="BA239" s="40" t="str">
        <f t="shared" si="65"/>
        <v/>
      </c>
      <c r="BB239" s="99">
        <f>IF($C239="&lt;01",ROUND(INDEX(EID!$T:$T,MATCH($B239,EID!$B:$B,0))/2,0),ROUND($AP239*$BA239,0))</f>
        <v>0</v>
      </c>
      <c r="BC239" s="85">
        <f>IF(LEFT($B239,4)="_Mil","",IF(SUM($BB239)=0,SUM($AD239),IF(OR(SUM($AP239)=0,SUM($AQ239)=0),MAX($BB239,$AD239),ROUND($BB239*$AQ239/$AP239,0))))</f>
        <v>0</v>
      </c>
      <c r="BD239" s="33" t="str">
        <f t="shared" si="62"/>
        <v/>
      </c>
      <c r="BE239" s="218">
        <f>IF($C239="&lt;01",ROUND(INDEX(EID!$V:$V,MATCH($B239,EID!$B:$B,0))/2,0),ROUND($BD239*$BB239,0))</f>
        <v>0</v>
      </c>
      <c r="BF239" s="218">
        <f>IF(LEFT($B239,4)="_Mil","",IF(SUM($BE239)=0,SUM($AF239),IF(OR(SUM($AP239)=0,SUM($AQ239)=0),MAX($BE239,$AF239),ROUND($BE239*$AQ239/$AP239,0))))</f>
        <v>0</v>
      </c>
      <c r="BG239" s="79" t="str">
        <f t="shared" si="63"/>
        <v/>
      </c>
      <c r="BH239" s="99">
        <f>IF($C239="&lt;01",ROUND(INDEX(EID!$L:$L,MATCH($B239,EID!$B:$B,0)),0)/2,IF(SUM($BG239)=0,"",ROUND($AX239/$BG239,0)))</f>
        <v>0</v>
      </c>
    </row>
    <row r="240" spans="1:60" x14ac:dyDescent="0.2">
      <c r="A240" t="str">
        <f>INDEX(Prioritization!$D:$D,MATCH($B240,Prioritization!$A:$A,0))</f>
        <v>4 - Sustained</v>
      </c>
      <c r="B240" t="s">
        <v>320</v>
      </c>
      <c r="C240" t="s">
        <v>426</v>
      </c>
      <c r="D240" t="s">
        <v>48</v>
      </c>
      <c r="E240" t="str">
        <f t="shared" si="53"/>
        <v>Mwanza District [wNqJp8oRIcF]|&lt;01|Male</v>
      </c>
      <c r="F240" s="229">
        <v>4</v>
      </c>
      <c r="G240" s="38">
        <v>13</v>
      </c>
      <c r="H240" s="38">
        <v>6</v>
      </c>
      <c r="I240" s="38">
        <v>2</v>
      </c>
      <c r="J240" s="38">
        <v>4</v>
      </c>
      <c r="K240" s="38">
        <v>3</v>
      </c>
      <c r="L240" s="38"/>
      <c r="M240" s="38">
        <v>3</v>
      </c>
      <c r="N240" s="38">
        <v>3</v>
      </c>
      <c r="O240" s="229">
        <v>4</v>
      </c>
      <c r="P240" s="38">
        <v>2</v>
      </c>
      <c r="Q240" s="38">
        <v>2</v>
      </c>
      <c r="R240" s="38">
        <f t="shared" si="54"/>
        <v>2</v>
      </c>
      <c r="S240" s="38">
        <f>IF(LEFT($B240,4)="_Mil","",_xlfn.IFNA(ROUND(INDEX(Spectrum!$N:$N,MATCH(RIGHT($B240,13)&amp;"|"&amp;$C240&amp;"|"&amp;$D240&amp;"|"&amp;S$14&amp;"|"&amp;"CY2023Q4",Spectrum!$R:$R,0)),0),""))</f>
        <v>3</v>
      </c>
      <c r="T240" s="218">
        <f>IF(LEFT($B240,4)="_Mil","",_xlfn.IFNA(ROUND(INDEX(Spectrum!$N:$N,MATCH(RIGHT($B240,13)&amp;"|"&amp;$C240&amp;"|"&amp;$D240&amp;"|"&amp;T$14&amp;"|"&amp;"CY2024Q3",Spectrum!$R:$R,0)),0),""))</f>
        <v>2729</v>
      </c>
      <c r="U240" s="218">
        <f>IF(LEFT($B240,4)="_Mil","",_xlfn.IFNA(ROUND(INDEX(Spectrum!$N:$N,MATCH(RIGHT($B240,13)&amp;"|"&amp;$C240&amp;"|"&amp;$D240&amp;"|"&amp;U$14&amp;"|"&amp;"CY2024Q3",Spectrum!$R:$R,0)),0),""))</f>
        <v>4</v>
      </c>
      <c r="V240" s="38">
        <f>IF(LEFT($B240,4)="_Mil","",_xlfn.IFNA(ROUND(INDEX(Spectrum!$N:$N,MATCH(RIGHT($B240,13)&amp;"|"&amp;$C240&amp;"|"&amp;$D240&amp;"|"&amp;V$14&amp;"|"&amp;"CY2024Q3",Spectrum!$R:$R,0)),0),""))</f>
        <v>5</v>
      </c>
      <c r="W240" s="220">
        <f>IF(LEFT($B240,4)="_Mil","",_xlfn.IFNA(INDEX(Spectrum!$N:$N,MATCH(RIGHT($B240,13)&amp;"|"&amp;$C240&amp;"|"&amp;$D240&amp;"|"&amp;W$14&amp;"|"&amp;"CY2024Q3",Spectrum!$R:$R,0)),""))</f>
        <v>1.459637E-3</v>
      </c>
      <c r="X240" s="218">
        <f>IF(LEFT($B240,4)="_Mil","",_xlfn.IFNA(ROUND(INDEX(Spectrum!$N:$N,MATCH(RIGHT($B240,13)&amp;"|"&amp;$C240&amp;"|"&amp;$D240&amp;"|"&amp;X$14&amp;"|"&amp;"CY2024Q3",Spectrum!$R:$R,0)),0),""))</f>
        <v>2</v>
      </c>
      <c r="Y240" s="33">
        <f t="shared" si="55"/>
        <v>0.5</v>
      </c>
      <c r="Z240" s="218">
        <f>IF(LEFT($B240,4)="_Mil","",_xlfn.IFNA(ROUND(INDEX(Spectrum!$N:$N,MATCH(RIGHT($B240,13)&amp;"|"&amp;$C240&amp;"|"&amp;$D240&amp;"|"&amp;Z$14&amp;"|"&amp;"CY2024Q3",Spectrum!$R:$R,0)),0),""))</f>
        <v>3</v>
      </c>
      <c r="AA240" s="33">
        <f>IF(LEFT($B240,4)="_Mil","",IFERROR(1/(1/INDEX(Spectrum!$N:$N,MATCH(RIGHT($B240,13)&amp;"|"&amp;$C240&amp;"|"&amp;$D240&amp;"|"&amp;AA$14&amp;"|"&amp;"CY2024Q3",Spectrum!$R:$R,0))),IF(SUM($U240)=0,"",SUM($Z240)/$U240)))</f>
        <v>0.49553726700000006</v>
      </c>
      <c r="AB240" s="33">
        <f t="shared" si="56"/>
        <v>1.5</v>
      </c>
      <c r="AC240" s="38">
        <f>IF(LEFT($B240,4)="_Mil","",_xlfn.IFNA(ROUND(INDEX(Spectrum!$N:$N,MATCH(RIGHT($B240,13)&amp;"|"&amp;$C240&amp;"|"&amp;$D240&amp;"|"&amp;AC$14&amp;"|"&amp;"CY2024Q3",Spectrum!$R:$R,0)),0),""))</f>
        <v>2</v>
      </c>
      <c r="AD240" s="38" t="str">
        <f>IF(LEFT($B240,4)="_Mil","",_xlfn.IFNA(ROUND(INDEX(Spectrum!$N:$N,MATCH(RIGHT($B240,13)&amp;"|"&amp;$C240&amp;"|"&amp;$D240&amp;"|"&amp;AD$14&amp;"|"&amp;"CY2024Q3",Spectrum!$R:$R,0)),0),""))</f>
        <v/>
      </c>
      <c r="AE240" s="33">
        <f t="shared" si="57"/>
        <v>0</v>
      </c>
      <c r="AF240" s="218" t="str">
        <f>IF(LEFT($B240,4)="_Mil","",_xlfn.IFNA(ROUND(INDEX(Spectrum!$N:$N,MATCH(RIGHT($B240,13)&amp;"|"&amp;$C240&amp;"|"&amp;$D240&amp;"|"&amp;AF$14&amp;"|"&amp;"CY2024Q3",Spectrum!$R:$R,0)),0),""))</f>
        <v/>
      </c>
      <c r="AG240" s="33" t="str">
        <f t="shared" si="58"/>
        <v/>
      </c>
      <c r="AH240" s="110" t="str">
        <f>IF(LEFT($B240,4)="_Mil","",_xlfn.IFNA(INDEX(Spectrum!$N:$N,MATCH(RIGHT($B240,13)&amp;"|"&amp;$C240&amp;"|"&amp;$D240&amp;"|"&amp;AH$14&amp;"|"&amp;"CY2024Q3",Spectrum!$R:$R,0)),""))</f>
        <v/>
      </c>
      <c r="AI240" s="218">
        <f>IF(LEFT($B240,4)="_Mil","",_xlfn.IFNA(ROUND(INDEX(Spectrum!$N:$N,MATCH(RIGHT($B240,13)&amp;"|"&amp;$C240&amp;"|"&amp;$D240&amp;"|"&amp;AI$14&amp;"|"&amp;"CY2025Q3",Spectrum!$R:$R,0)),0),""))</f>
        <v>5</v>
      </c>
      <c r="AJ240" s="38">
        <f>IF(LEFT($B240,4)="_Mil","",_xlfn.IFNA(ROUND(INDEX(Spectrum!$N:$N,MATCH(RIGHT($B240,13)&amp;"|"&amp;$C240&amp;"|"&amp;$D240&amp;"|"&amp;AJ$14&amp;"|"&amp;"CY2025Q3",Spectrum!$R:$R,0)),0),""))</f>
        <v>4</v>
      </c>
      <c r="AK240" s="218" t="e">
        <f>#REF!</f>
        <v>#REF!</v>
      </c>
      <c r="AL240" s="33" t="str">
        <f t="shared" si="59"/>
        <v/>
      </c>
      <c r="AM240" s="38" t="str">
        <f>IF(OR(LEFT($B240,4)="_Mil",$C240="&lt;01"),"",ROUND(SUM($AK240)*SUM($AL240),0))</f>
        <v/>
      </c>
      <c r="AN240" s="38">
        <f>IF($C240="&lt;01",ROUND(INDEX(EID!$P:$P,MATCH($B240,EID!$B:$B,0))/2,0),"")</f>
        <v>0</v>
      </c>
      <c r="AO240" s="38">
        <f>IF($C240="&lt;01",SUM($AN240),ROUND(SUM($AM240)*SUM($O240)/IF(SUM($Z240)=0,1,$Z240),0))</f>
        <v>0</v>
      </c>
      <c r="AP240" s="218">
        <f>IF(OR($F240="",$C240="&lt;01"),$AO240,ROUND($F240,0))</f>
        <v>0</v>
      </c>
      <c r="AQ240" s="218">
        <f>IF(LEFT($B240,4)="_Mil","",IF(SUM($AP240)=0,SUM($Z240),IF(OR(SUM($Z240)=0,SUM($O240)=0),MAX($AP240,$Z240),ROUND($AP240*$Z240/$O240,0))))</f>
        <v>3</v>
      </c>
      <c r="AR240" s="33" t="e">
        <f>IF(OR(LEFT($B240,4)="_Mil",SUM($AK240)=0),"",SUM($AQ240)/$AK240)</f>
        <v>#REF!</v>
      </c>
      <c r="AS240" s="33" t="str">
        <f t="shared" si="68"/>
        <v/>
      </c>
      <c r="AT240" s="33" t="str">
        <f t="shared" si="66"/>
        <v/>
      </c>
      <c r="AU240" s="38" t="str">
        <f>IF($C240="&lt;01","",SUM($AP240)-SUM($O240))</f>
        <v/>
      </c>
      <c r="AV240" s="38">
        <f>IF($C240="&lt;01",ROUND(INDEX(EID!$N:$N,MATCH($B240,EID!$B:$B,0))/2,0),IF(SUM($AT240)=0,"",ROUND((SUM($AP240)-(SUM($O240)*SUM($AS240)))/$AT240,0)))</f>
        <v>0</v>
      </c>
      <c r="AW240" s="33" t="str">
        <f t="shared" si="60"/>
        <v/>
      </c>
      <c r="AX240" s="218">
        <f>IF($C240="&lt;01",SUM($AV240),ROUND(SUM($AV240)*SUM($AW240),0))</f>
        <v>0</v>
      </c>
      <c r="AY240" s="79" t="str">
        <f t="shared" si="61"/>
        <v/>
      </c>
      <c r="AZ240" s="85">
        <f>IF($C240="&lt;01",ROUND(INDEX(EID!$R:$R,MATCH($B240,EID!$B:$B,0))/2,0),ROUND(SUM($O240)+(SUM($AV240)*$AY240),0))</f>
        <v>0</v>
      </c>
      <c r="BA240" s="40" t="str">
        <f t="shared" si="65"/>
        <v/>
      </c>
      <c r="BB240" s="99">
        <f>IF($C240="&lt;01",ROUND(INDEX(EID!$T:$T,MATCH($B240,EID!$B:$B,0))/2,0),ROUND($AP240*$BA240,0))</f>
        <v>0</v>
      </c>
      <c r="BC240" s="85">
        <f>IF(LEFT($B240,4)="_Mil","",IF(SUM($BB240)=0,SUM($AD240),IF(OR(SUM($AP240)=0,SUM($AQ240)=0),MAX($BB240,$AD240),ROUND($BB240*$AQ240/$AP240,0))))</f>
        <v>0</v>
      </c>
      <c r="BD240" s="33" t="str">
        <f t="shared" si="62"/>
        <v/>
      </c>
      <c r="BE240" s="218">
        <f>IF($C240="&lt;01",ROUND(INDEX(EID!$V:$V,MATCH($B240,EID!$B:$B,0))/2,0),ROUND($BD240*$BB240,0))</f>
        <v>0</v>
      </c>
      <c r="BF240" s="218">
        <f>IF(LEFT($B240,4)="_Mil","",IF(SUM($BE240)=0,SUM($AF240),IF(OR(SUM($AP240)=0,SUM($AQ240)=0),MAX($BE240,$AF240),ROUND($BE240*$AQ240/$AP240,0))))</f>
        <v>0</v>
      </c>
      <c r="BG240" s="79" t="str">
        <f t="shared" si="63"/>
        <v/>
      </c>
      <c r="BH240" s="99">
        <f>IF($C240="&lt;01",ROUND(INDEX(EID!$L:$L,MATCH($B240,EID!$B:$B,0)),0)/2,IF(SUM($BG240)=0,"",ROUND($AX240/$BG240,0)))</f>
        <v>0</v>
      </c>
    </row>
    <row r="241" spans="1:60" x14ac:dyDescent="0.2">
      <c r="A241" t="str">
        <f>INDEX(Prioritization!$D:$D,MATCH($B241,Prioritization!$A:$A,0))</f>
        <v>4 - Sustained</v>
      </c>
      <c r="B241" t="s">
        <v>320</v>
      </c>
      <c r="C241" t="s">
        <v>473</v>
      </c>
      <c r="D241" t="s">
        <v>30</v>
      </c>
      <c r="E241" t="str">
        <f t="shared" si="53"/>
        <v>Mwanza District [wNqJp8oRIcF]|01-09|Female</v>
      </c>
      <c r="F241" s="229">
        <v>72</v>
      </c>
      <c r="G241" s="38">
        <v>26</v>
      </c>
      <c r="H241" s="38">
        <v>9</v>
      </c>
      <c r="I241" s="38">
        <v>43</v>
      </c>
      <c r="J241" s="38">
        <v>64</v>
      </c>
      <c r="K241" s="38">
        <v>53</v>
      </c>
      <c r="L241" s="38">
        <v>4</v>
      </c>
      <c r="M241" s="38">
        <v>4</v>
      </c>
      <c r="N241" s="38">
        <v>67</v>
      </c>
      <c r="O241" s="229">
        <v>72</v>
      </c>
      <c r="P241" s="38">
        <v>59</v>
      </c>
      <c r="Q241" s="38">
        <v>56</v>
      </c>
      <c r="R241" s="38">
        <f t="shared" si="54"/>
        <v>29</v>
      </c>
      <c r="S241" s="38">
        <f>IF(LEFT($B241,4)="_Mil","",_xlfn.IFNA(ROUND(INDEX(Spectrum!$N:$N,MATCH(RIGHT($B241,13)&amp;"|"&amp;$C241&amp;"|"&amp;$D241&amp;"|"&amp;S$14&amp;"|"&amp;"CY2023Q4",Spectrum!$R:$R,0)),0),""))</f>
        <v>57</v>
      </c>
      <c r="T241" s="218">
        <f>IF(LEFT($B241,4)="_Mil","",_xlfn.IFNA(ROUND(INDEX(Spectrum!$N:$N,MATCH(RIGHT($B241,13)&amp;"|"&amp;$C241&amp;"|"&amp;$D241&amp;"|"&amp;T$14&amp;"|"&amp;"CY2024Q3",Spectrum!$R:$R,0)),0),""))</f>
        <v>21550</v>
      </c>
      <c r="U241" s="218">
        <f>IF(LEFT($B241,4)="_Mil","",_xlfn.IFNA(ROUND(INDEX(Spectrum!$N:$N,MATCH(RIGHT($B241,13)&amp;"|"&amp;$C241&amp;"|"&amp;$D241&amp;"|"&amp;U$14&amp;"|"&amp;"CY2024Q3",Spectrum!$R:$R,0)),0),""))</f>
        <v>76</v>
      </c>
      <c r="V241" s="38">
        <f>IF(LEFT($B241,4)="_Mil","",_xlfn.IFNA(ROUND(INDEX(Spectrum!$N:$N,MATCH(RIGHT($B241,13)&amp;"|"&amp;$C241&amp;"|"&amp;$D241&amp;"|"&amp;V$14&amp;"|"&amp;"CY2024Q3",Spectrum!$R:$R,0)),0),""))</f>
        <v>96</v>
      </c>
      <c r="W241" s="220">
        <f>IF(LEFT($B241,4)="_Mil","",_xlfn.IFNA(INDEX(Spectrum!$N:$N,MATCH(RIGHT($B241,13)&amp;"|"&amp;$C241&amp;"|"&amp;$D241&amp;"|"&amp;W$14&amp;"|"&amp;"CY2024Q3",Spectrum!$R:$R,0)),""))</f>
        <v>3.5058960000000001E-3</v>
      </c>
      <c r="X241" s="218">
        <f>IF(LEFT($B241,4)="_Mil","",_xlfn.IFNA(ROUND(INDEX(Spectrum!$N:$N,MATCH(RIGHT($B241,13)&amp;"|"&amp;$C241&amp;"|"&amp;$D241&amp;"|"&amp;X$14&amp;"|"&amp;"CY2024Q3",Spectrum!$R:$R,0)),0),""))</f>
        <v>45</v>
      </c>
      <c r="Y241" s="33">
        <f t="shared" si="55"/>
        <v>0.59</v>
      </c>
      <c r="Z241" s="218">
        <f>IF(LEFT($B241,4)="_Mil","",_xlfn.IFNA(ROUND(INDEX(Spectrum!$N:$N,MATCH(RIGHT($B241,13)&amp;"|"&amp;$C241&amp;"|"&amp;$D241&amp;"|"&amp;Z$14&amp;"|"&amp;"CY2024Q3",Spectrum!$R:$R,0)),0),""))</f>
        <v>55</v>
      </c>
      <c r="AA241" s="33">
        <f>IF(LEFT($B241,4)="_Mil","",IFERROR(1/(1/INDEX(Spectrum!$N:$N,MATCH(RIGHT($B241,13)&amp;"|"&amp;$C241&amp;"|"&amp;$D241&amp;"|"&amp;AA$14&amp;"|"&amp;"CY2024Q3",Spectrum!$R:$R,0))),IF(SUM($U241)=0,"",SUM($Z241)/$U241)))</f>
        <v>0.53822641199999999</v>
      </c>
      <c r="AB241" s="33">
        <f t="shared" si="56"/>
        <v>1.2222222222222223</v>
      </c>
      <c r="AC241" s="38">
        <f>IF(LEFT($B241,4)="_Mil","",_xlfn.IFNA(ROUND(INDEX(Spectrum!$N:$N,MATCH(RIGHT($B241,13)&amp;"|"&amp;$C241&amp;"|"&amp;$D241&amp;"|"&amp;AC$14&amp;"|"&amp;"CY2024Q3",Spectrum!$R:$R,0)),0),""))</f>
        <v>40</v>
      </c>
      <c r="AD241" s="38" t="str">
        <f>IF(LEFT($B241,4)="_Mil","",_xlfn.IFNA(ROUND(INDEX(Spectrum!$N:$N,MATCH(RIGHT($B241,13)&amp;"|"&amp;$C241&amp;"|"&amp;$D241&amp;"|"&amp;AD$14&amp;"|"&amp;"CY2024Q3",Spectrum!$R:$R,0)),0),""))</f>
        <v/>
      </c>
      <c r="AE241" s="33">
        <f t="shared" si="57"/>
        <v>0</v>
      </c>
      <c r="AF241" s="218" t="str">
        <f>IF(LEFT($B241,4)="_Mil","",_xlfn.IFNA(ROUND(INDEX(Spectrum!$N:$N,MATCH(RIGHT($B241,13)&amp;"|"&amp;$C241&amp;"|"&amp;$D241&amp;"|"&amp;AF$14&amp;"|"&amp;"CY2024Q3",Spectrum!$R:$R,0)),0),""))</f>
        <v/>
      </c>
      <c r="AG241" s="33" t="str">
        <f t="shared" si="58"/>
        <v/>
      </c>
      <c r="AH241" s="110" t="str">
        <f>IF(LEFT($B241,4)="_Mil","",_xlfn.IFNA(INDEX(Spectrum!$N:$N,MATCH(RIGHT($B241,13)&amp;"|"&amp;$C241&amp;"|"&amp;$D241&amp;"|"&amp;AH$14&amp;"|"&amp;"CY2024Q3",Spectrum!$R:$R,0)),""))</f>
        <v/>
      </c>
      <c r="AI241" s="218">
        <f>IF(LEFT($B241,4)="_Mil","",_xlfn.IFNA(ROUND(INDEX(Spectrum!$N:$N,MATCH(RIGHT($B241,13)&amp;"|"&amp;$C241&amp;"|"&amp;$D241&amp;"|"&amp;AI$14&amp;"|"&amp;"CY2025Q3",Spectrum!$R:$R,0)),0),""))</f>
        <v>1</v>
      </c>
      <c r="AJ241" s="38">
        <f>IF(LEFT($B241,4)="_Mil","",_xlfn.IFNA(ROUND(INDEX(Spectrum!$N:$N,MATCH(RIGHT($B241,13)&amp;"|"&amp;$C241&amp;"|"&amp;$D241&amp;"|"&amp;AJ$14&amp;"|"&amp;"CY2025Q3",Spectrum!$R:$R,0)),0),""))</f>
        <v>65</v>
      </c>
      <c r="AK241" s="218" t="e">
        <f>#REF!</f>
        <v>#REF!</v>
      </c>
      <c r="AL241" s="33">
        <f t="shared" si="59"/>
        <v>0.9</v>
      </c>
      <c r="AM241" s="38" t="e">
        <f>IF(OR(LEFT($B241,4)="_Mil",$C241="&lt;01"),"",ROUND(SUM($AK241)*SUM($AL241),0))</f>
        <v>#REF!</v>
      </c>
      <c r="AN241" s="38" t="str">
        <f>IF($C241="&lt;01",ROUND(INDEX(EID!$P:$P,MATCH($B241,EID!$B:$B,0))/2,0),"")</f>
        <v/>
      </c>
      <c r="AO241" s="38" t="e">
        <f>IF($C241="&lt;01",SUM($AN241),ROUND(SUM($AM241)*SUM($O241)/IF(SUM($Z241)=0,1,$Z241),0))</f>
        <v>#REF!</v>
      </c>
      <c r="AP241" s="218">
        <f>IF(OR($F241="",$C241="&lt;01"),$AO241,ROUND($F241,0))</f>
        <v>72</v>
      </c>
      <c r="AQ241" s="218">
        <f>IF(LEFT($B241,4)="_Mil","",IF(SUM($AP241)=0,SUM($Z241),IF(OR(SUM($Z241)=0,SUM($O241)=0),MAX($AP241,$Z241),ROUND($AP241*$Z241/$O241,0))))</f>
        <v>55</v>
      </c>
      <c r="AR241" s="33" t="e">
        <f>IF(OR(LEFT($B241,4)="_Mil",SUM($AK241)=0),"",SUM($AQ241)/$AK241)</f>
        <v>#REF!</v>
      </c>
      <c r="AS241" s="33">
        <f t="shared" si="68"/>
        <v>0.98</v>
      </c>
      <c r="AT241" s="33">
        <f t="shared" si="66"/>
        <v>0.98</v>
      </c>
      <c r="AU241" s="38">
        <f>IF($C241="&lt;01","",SUM($AP241)-SUM($O241))</f>
        <v>0</v>
      </c>
      <c r="AV241" s="38">
        <f>IF($C241="&lt;01",ROUND(INDEX(EID!$N:$N,MATCH($B241,EID!$B:$B,0))/2,0),IF(SUM($AT241)=0,"",ROUND((SUM($AP241)-(SUM($O241)*SUM($AS241)))/$AT241,0)))</f>
        <v>1</v>
      </c>
      <c r="AW241" s="33">
        <f t="shared" si="60"/>
        <v>1</v>
      </c>
      <c r="AX241" s="218">
        <f>IF($C241="&lt;01",SUM($AV241),ROUND(SUM($AV241)*SUM($AW241),0))</f>
        <v>1</v>
      </c>
      <c r="AY241" s="79">
        <f t="shared" si="61"/>
        <v>0.7</v>
      </c>
      <c r="AZ241" s="85">
        <f>IF($C241="&lt;01",ROUND(INDEX(EID!$R:$R,MATCH($B241,EID!$B:$B,0))/2,0),ROUND(SUM($O241)+(SUM($AV241)*$AY241),0))</f>
        <v>73</v>
      </c>
      <c r="BA241" s="40">
        <f t="shared" si="65"/>
        <v>0.9</v>
      </c>
      <c r="BB241" s="99">
        <f>IF($C241="&lt;01",ROUND(INDEX(EID!$T:$T,MATCH($B241,EID!$B:$B,0))/2,0),ROUND($AP241*$BA241,0))</f>
        <v>65</v>
      </c>
      <c r="BC241" s="85">
        <f>IF(LEFT($B241,4)="_Mil","",IF(SUM($BB241)=0,SUM($AD241),IF(OR(SUM($AP241)=0,SUM($AQ241)=0),MAX($BB241,$AD241),ROUND($BB241*$AQ241/$AP241,0))))</f>
        <v>50</v>
      </c>
      <c r="BD241" s="33">
        <f t="shared" si="62"/>
        <v>0.95</v>
      </c>
      <c r="BE241" s="218">
        <f>IF($C241="&lt;01",ROUND(INDEX(EID!$V:$V,MATCH($B241,EID!$B:$B,0))/2,0),ROUND($BD241*$BB241,0))</f>
        <v>62</v>
      </c>
      <c r="BF241" s="218">
        <f>IF(LEFT($B241,4)="_Mil","",IF(SUM($BE241)=0,SUM($AF241),IF(OR(SUM($AP241)=0,SUM($AQ241)=0),MAX($BE241,$AF241),ROUND($BE241*$AQ241/$AP241,0))))</f>
        <v>47</v>
      </c>
      <c r="BG241" s="79">
        <f t="shared" si="63"/>
        <v>0.95</v>
      </c>
      <c r="BH241" s="99">
        <f>IF($C241="&lt;01",ROUND(INDEX(EID!$L:$L,MATCH($B241,EID!$B:$B,0)),0)/2,IF(SUM($BG241)=0,"",ROUND($AX241/$BG241,0)))</f>
        <v>1</v>
      </c>
    </row>
    <row r="242" spans="1:60" x14ac:dyDescent="0.2">
      <c r="A242" t="str">
        <f>INDEX(Prioritization!$D:$D,MATCH($B242,Prioritization!$A:$A,0))</f>
        <v>4 - Sustained</v>
      </c>
      <c r="B242" t="s">
        <v>320</v>
      </c>
      <c r="C242" t="s">
        <v>473</v>
      </c>
      <c r="D242" t="s">
        <v>48</v>
      </c>
      <c r="E242" t="str">
        <f t="shared" si="53"/>
        <v>Mwanza District [wNqJp8oRIcF]|01-09|Male</v>
      </c>
      <c r="F242" s="229">
        <v>73</v>
      </c>
      <c r="G242" s="38">
        <v>18</v>
      </c>
      <c r="H242" s="38">
        <v>10</v>
      </c>
      <c r="I242" s="38">
        <v>64</v>
      </c>
      <c r="J242" s="38">
        <v>78</v>
      </c>
      <c r="K242" s="38">
        <v>62</v>
      </c>
      <c r="L242" s="38">
        <v>5</v>
      </c>
      <c r="M242" s="38">
        <v>5</v>
      </c>
      <c r="N242" s="38">
        <v>72</v>
      </c>
      <c r="O242" s="229">
        <v>73</v>
      </c>
      <c r="P242" s="38">
        <v>63</v>
      </c>
      <c r="Q242" s="38">
        <v>60</v>
      </c>
      <c r="R242" s="38">
        <f t="shared" si="54"/>
        <v>9</v>
      </c>
      <c r="S242" s="38">
        <f>IF(LEFT($B242,4)="_Mil","",_xlfn.IFNA(ROUND(INDEX(Spectrum!$N:$N,MATCH(RIGHT($B242,13)&amp;"|"&amp;$C242&amp;"|"&amp;$D242&amp;"|"&amp;S$14&amp;"|"&amp;"CY2023Q4",Spectrum!$R:$R,0)),0),""))</f>
        <v>61</v>
      </c>
      <c r="T242" s="218">
        <f>IF(LEFT($B242,4)="_Mil","",_xlfn.IFNA(ROUND(INDEX(Spectrum!$N:$N,MATCH(RIGHT($B242,13)&amp;"|"&amp;$C242&amp;"|"&amp;$D242&amp;"|"&amp;T$14&amp;"|"&amp;"CY2024Q3",Spectrum!$R:$R,0)),0),""))</f>
        <v>21599</v>
      </c>
      <c r="U242" s="218">
        <f>IF(LEFT($B242,4)="_Mil","",_xlfn.IFNA(ROUND(INDEX(Spectrum!$N:$N,MATCH(RIGHT($B242,13)&amp;"|"&amp;$C242&amp;"|"&amp;$D242&amp;"|"&amp;U$14&amp;"|"&amp;"CY2024Q3",Spectrum!$R:$R,0)),0),""))</f>
        <v>76</v>
      </c>
      <c r="V242" s="38">
        <f>IF(LEFT($B242,4)="_Mil","",_xlfn.IFNA(ROUND(INDEX(Spectrum!$N:$N,MATCH(RIGHT($B242,13)&amp;"|"&amp;$C242&amp;"|"&amp;$D242&amp;"|"&amp;V$14&amp;"|"&amp;"CY2024Q3",Spectrum!$R:$R,0)),0),""))</f>
        <v>97</v>
      </c>
      <c r="W242" s="220">
        <f>IF(LEFT($B242,4)="_Mil","",_xlfn.IFNA(INDEX(Spectrum!$N:$N,MATCH(RIGHT($B242,13)&amp;"|"&amp;$C242&amp;"|"&amp;$D242&amp;"|"&amp;W$14&amp;"|"&amp;"CY2024Q3",Spectrum!$R:$R,0)),""))</f>
        <v>3.519178E-3</v>
      </c>
      <c r="X242" s="218">
        <f>IF(LEFT($B242,4)="_Mil","",_xlfn.IFNA(ROUND(INDEX(Spectrum!$N:$N,MATCH(RIGHT($B242,13)&amp;"|"&amp;$C242&amp;"|"&amp;$D242&amp;"|"&amp;X$14&amp;"|"&amp;"CY2024Q3",Spectrum!$R:$R,0)),0),""))</f>
        <v>45</v>
      </c>
      <c r="Y242" s="33">
        <f t="shared" si="55"/>
        <v>0.59</v>
      </c>
      <c r="Z242" s="218">
        <f>IF(LEFT($B242,4)="_Mil","",_xlfn.IFNA(ROUND(INDEX(Spectrum!$N:$N,MATCH(RIGHT($B242,13)&amp;"|"&amp;$C242&amp;"|"&amp;$D242&amp;"|"&amp;Z$14&amp;"|"&amp;"CY2024Q3",Spectrum!$R:$R,0)),0),""))</f>
        <v>59</v>
      </c>
      <c r="AA242" s="33">
        <f>IF(LEFT($B242,4)="_Mil","",IFERROR(1/(1/INDEX(Spectrum!$N:$N,MATCH(RIGHT($B242,13)&amp;"|"&amp;$C242&amp;"|"&amp;$D242&amp;"|"&amp;AA$14&amp;"|"&amp;"CY2024Q3",Spectrum!$R:$R,0))),IF(SUM($U242)=0,"",SUM($Z242)/$U242)))</f>
        <v>0.53777086799999996</v>
      </c>
      <c r="AB242" s="33">
        <f t="shared" si="56"/>
        <v>1.3111111111111111</v>
      </c>
      <c r="AC242" s="38">
        <f>IF(LEFT($B242,4)="_Mil","",_xlfn.IFNA(ROUND(INDEX(Spectrum!$N:$N,MATCH(RIGHT($B242,13)&amp;"|"&amp;$C242&amp;"|"&amp;$D242&amp;"|"&amp;AC$14&amp;"|"&amp;"CY2024Q3",Spectrum!$R:$R,0)),0),""))</f>
        <v>37</v>
      </c>
      <c r="AD242" s="38" t="str">
        <f>IF(LEFT($B242,4)="_Mil","",_xlfn.IFNA(ROUND(INDEX(Spectrum!$N:$N,MATCH(RIGHT($B242,13)&amp;"|"&amp;$C242&amp;"|"&amp;$D242&amp;"|"&amp;AD$14&amp;"|"&amp;"CY2024Q3",Spectrum!$R:$R,0)),0),""))</f>
        <v/>
      </c>
      <c r="AE242" s="33">
        <f t="shared" si="57"/>
        <v>0</v>
      </c>
      <c r="AF242" s="218" t="str">
        <f>IF(LEFT($B242,4)="_Mil","",_xlfn.IFNA(ROUND(INDEX(Spectrum!$N:$N,MATCH(RIGHT($B242,13)&amp;"|"&amp;$C242&amp;"|"&amp;$D242&amp;"|"&amp;AF$14&amp;"|"&amp;"CY2024Q3",Spectrum!$R:$R,0)),0),""))</f>
        <v/>
      </c>
      <c r="AG242" s="33" t="str">
        <f t="shared" si="58"/>
        <v/>
      </c>
      <c r="AH242" s="110" t="str">
        <f>IF(LEFT($B242,4)="_Mil","",_xlfn.IFNA(INDEX(Spectrum!$N:$N,MATCH(RIGHT($B242,13)&amp;"|"&amp;$C242&amp;"|"&amp;$D242&amp;"|"&amp;AH$14&amp;"|"&amp;"CY2024Q3",Spectrum!$R:$R,0)),""))</f>
        <v/>
      </c>
      <c r="AI242" s="218">
        <f>IF(LEFT($B242,4)="_Mil","",_xlfn.IFNA(ROUND(INDEX(Spectrum!$N:$N,MATCH(RIGHT($B242,13)&amp;"|"&amp;$C242&amp;"|"&amp;$D242&amp;"|"&amp;AI$14&amp;"|"&amp;"CY2025Q3",Spectrum!$R:$R,0)),0),""))</f>
        <v>1</v>
      </c>
      <c r="AJ242" s="38">
        <f>IF(LEFT($B242,4)="_Mil","",_xlfn.IFNA(ROUND(INDEX(Spectrum!$N:$N,MATCH(RIGHT($B242,13)&amp;"|"&amp;$C242&amp;"|"&amp;$D242&amp;"|"&amp;AJ$14&amp;"|"&amp;"CY2025Q3",Spectrum!$R:$R,0)),0),""))</f>
        <v>66</v>
      </c>
      <c r="AK242" s="218" t="e">
        <f>#REF!</f>
        <v>#REF!</v>
      </c>
      <c r="AL242" s="33">
        <f t="shared" si="59"/>
        <v>0.9</v>
      </c>
      <c r="AM242" s="38" t="e">
        <f>IF(OR(LEFT($B242,4)="_Mil",$C242="&lt;01"),"",ROUND(SUM($AK242)*SUM($AL242),0))</f>
        <v>#REF!</v>
      </c>
      <c r="AN242" s="38" t="str">
        <f>IF($C242="&lt;01",ROUND(INDEX(EID!$P:$P,MATCH($B242,EID!$B:$B,0))/2,0),"")</f>
        <v/>
      </c>
      <c r="AO242" s="38" t="e">
        <f>IF($C242="&lt;01",SUM($AN242),ROUND(SUM($AM242)*SUM($O242)/IF(SUM($Z242)=0,1,$Z242),0))</f>
        <v>#REF!</v>
      </c>
      <c r="AP242" s="218">
        <f>IF(OR($F242="",$C242="&lt;01"),$AO242,ROUND($F242,0))</f>
        <v>73</v>
      </c>
      <c r="AQ242" s="218">
        <f>IF(LEFT($B242,4)="_Mil","",IF(SUM($AP242)=0,SUM($Z242),IF(OR(SUM($Z242)=0,SUM($O242)=0),MAX($AP242,$Z242),ROUND($AP242*$Z242/$O242,0))))</f>
        <v>59</v>
      </c>
      <c r="AR242" s="33" t="e">
        <f>IF(OR(LEFT($B242,4)="_Mil",SUM($AK242)=0),"",SUM($AQ242)/$AK242)</f>
        <v>#REF!</v>
      </c>
      <c r="AS242" s="33">
        <f t="shared" si="68"/>
        <v>0.98</v>
      </c>
      <c r="AT242" s="33">
        <f t="shared" si="66"/>
        <v>0.98</v>
      </c>
      <c r="AU242" s="38">
        <f>IF($C242="&lt;01","",SUM($AP242)-SUM($O242))</f>
        <v>0</v>
      </c>
      <c r="AV242" s="38">
        <f>IF($C242="&lt;01",ROUND(INDEX(EID!$N:$N,MATCH($B242,EID!$B:$B,0))/2,0),IF(SUM($AT242)=0,"",ROUND((SUM($AP242)-(SUM($O242)*SUM($AS242)))/$AT242,0)))</f>
        <v>1</v>
      </c>
      <c r="AW242" s="33">
        <f t="shared" si="60"/>
        <v>1</v>
      </c>
      <c r="AX242" s="218">
        <f>IF($C242="&lt;01",SUM($AV242),ROUND(SUM($AV242)*SUM($AW242),0))</f>
        <v>1</v>
      </c>
      <c r="AY242" s="79">
        <f t="shared" si="61"/>
        <v>0.7</v>
      </c>
      <c r="AZ242" s="85">
        <f>IF($C242="&lt;01",ROUND(INDEX(EID!$R:$R,MATCH($B242,EID!$B:$B,0))/2,0),ROUND(SUM($O242)+(SUM($AV242)*$AY242),0))</f>
        <v>74</v>
      </c>
      <c r="BA242" s="40">
        <f t="shared" si="65"/>
        <v>0.9</v>
      </c>
      <c r="BB242" s="99">
        <f>IF($C242="&lt;01",ROUND(INDEX(EID!$T:$T,MATCH($B242,EID!$B:$B,0))/2,0),ROUND($AP242*$BA242,0))</f>
        <v>66</v>
      </c>
      <c r="BC242" s="85">
        <f>IF(LEFT($B242,4)="_Mil","",IF(SUM($BB242)=0,SUM($AD242),IF(OR(SUM($AP242)=0,SUM($AQ242)=0),MAX($BB242,$AD242),ROUND($BB242*$AQ242/$AP242,0))))</f>
        <v>53</v>
      </c>
      <c r="BD242" s="33">
        <f t="shared" si="62"/>
        <v>0.95</v>
      </c>
      <c r="BE242" s="218">
        <f>IF($C242="&lt;01",ROUND(INDEX(EID!$V:$V,MATCH($B242,EID!$B:$B,0))/2,0),ROUND($BD242*$BB242,0))</f>
        <v>63</v>
      </c>
      <c r="BF242" s="218">
        <f>IF(LEFT($B242,4)="_Mil","",IF(SUM($BE242)=0,SUM($AF242),IF(OR(SUM($AP242)=0,SUM($AQ242)=0),MAX($BE242,$AF242),ROUND($BE242*$AQ242/$AP242,0))))</f>
        <v>51</v>
      </c>
      <c r="BG242" s="79">
        <f t="shared" si="63"/>
        <v>0.95</v>
      </c>
      <c r="BH242" s="99">
        <f>IF($C242="&lt;01",ROUND(INDEX(EID!$L:$L,MATCH($B242,EID!$B:$B,0)),0)/2,IF(SUM($BG242)=0,"",ROUND($AX242/$BG242,0)))</f>
        <v>1</v>
      </c>
    </row>
    <row r="243" spans="1:60" x14ac:dyDescent="0.2">
      <c r="A243" t="str">
        <f>INDEX(Prioritization!$D:$D,MATCH($B243,Prioritization!$A:$A,0))</f>
        <v>4 - Sustained</v>
      </c>
      <c r="B243" t="s">
        <v>320</v>
      </c>
      <c r="C243" t="s">
        <v>474</v>
      </c>
      <c r="D243" t="s">
        <v>30</v>
      </c>
      <c r="E243" t="str">
        <f t="shared" si="53"/>
        <v>Mwanza District [wNqJp8oRIcF]|10-14|Female</v>
      </c>
      <c r="F243" s="229">
        <v>86</v>
      </c>
      <c r="G243" s="38">
        <v>10</v>
      </c>
      <c r="H243" s="38">
        <v>1</v>
      </c>
      <c r="I243" s="38">
        <v>66</v>
      </c>
      <c r="J243" s="38">
        <v>61</v>
      </c>
      <c r="K243" s="38">
        <v>51</v>
      </c>
      <c r="L243" s="38">
        <v>11</v>
      </c>
      <c r="M243" s="38">
        <v>10</v>
      </c>
      <c r="N243" s="38">
        <v>78</v>
      </c>
      <c r="O243" s="229">
        <v>86</v>
      </c>
      <c r="P243" s="38">
        <v>65</v>
      </c>
      <c r="Q243" s="38">
        <v>62</v>
      </c>
      <c r="R243" s="38">
        <f t="shared" si="54"/>
        <v>20</v>
      </c>
      <c r="S243" s="38">
        <f>IF(LEFT($B243,4)="_Mil","",_xlfn.IFNA(ROUND(INDEX(Spectrum!$N:$N,MATCH(RIGHT($B243,13)&amp;"|"&amp;$C243&amp;"|"&amp;$D243&amp;"|"&amp;S$14&amp;"|"&amp;"CY2023Q4",Spectrum!$R:$R,0)),0),""))</f>
        <v>69</v>
      </c>
      <c r="T243" s="218">
        <f>IF(LEFT($B243,4)="_Mil","",_xlfn.IFNA(ROUND(INDEX(Spectrum!$N:$N,MATCH(RIGHT($B243,13)&amp;"|"&amp;$C243&amp;"|"&amp;$D243&amp;"|"&amp;T$14&amp;"|"&amp;"CY2024Q3",Spectrum!$R:$R,0)),0),""))</f>
        <v>10261</v>
      </c>
      <c r="U243" s="218">
        <f>IF(LEFT($B243,4)="_Mil","",_xlfn.IFNA(ROUND(INDEX(Spectrum!$N:$N,MATCH(RIGHT($B243,13)&amp;"|"&amp;$C243&amp;"|"&amp;$D243&amp;"|"&amp;U$14&amp;"|"&amp;"CY2024Q3",Spectrum!$R:$R,0)),0),""))</f>
        <v>90</v>
      </c>
      <c r="V243" s="38">
        <f>IF(LEFT($B243,4)="_Mil","",_xlfn.IFNA(ROUND(INDEX(Spectrum!$N:$N,MATCH(RIGHT($B243,13)&amp;"|"&amp;$C243&amp;"|"&amp;$D243&amp;"|"&amp;V$14&amp;"|"&amp;"CY2024Q3",Spectrum!$R:$R,0)),0),""))</f>
        <v>114</v>
      </c>
      <c r="W243" s="220">
        <f>IF(LEFT($B243,4)="_Mil","",_xlfn.IFNA(INDEX(Spectrum!$N:$N,MATCH(RIGHT($B243,13)&amp;"|"&amp;$C243&amp;"|"&amp;$D243&amp;"|"&amp;W$14&amp;"|"&amp;"CY2024Q3",Spectrum!$R:$R,0)),""))</f>
        <v>8.7275510000000001E-3</v>
      </c>
      <c r="X243" s="218">
        <f>IF(LEFT($B243,4)="_Mil","",_xlfn.IFNA(ROUND(INDEX(Spectrum!$N:$N,MATCH(RIGHT($B243,13)&amp;"|"&amp;$C243&amp;"|"&amp;$D243&amp;"|"&amp;X$14&amp;"|"&amp;"CY2024Q3",Spectrum!$R:$R,0)),0),""))</f>
        <v>58</v>
      </c>
      <c r="Y243" s="33">
        <f t="shared" si="55"/>
        <v>0.64</v>
      </c>
      <c r="Z243" s="218">
        <f>IF(LEFT($B243,4)="_Mil","",_xlfn.IFNA(ROUND(INDEX(Spectrum!$N:$N,MATCH(RIGHT($B243,13)&amp;"|"&amp;$C243&amp;"|"&amp;$D243&amp;"|"&amp;Z$14&amp;"|"&amp;"CY2024Q3",Spectrum!$R:$R,0)),0),""))</f>
        <v>70</v>
      </c>
      <c r="AA243" s="33">
        <f>IF(LEFT($B243,4)="_Mil","",IFERROR(1/(1/INDEX(Spectrum!$N:$N,MATCH(RIGHT($B243,13)&amp;"|"&amp;$C243&amp;"|"&amp;$D243&amp;"|"&amp;AA$14&amp;"|"&amp;"CY2024Q3",Spectrum!$R:$R,0))),IF(SUM($U243)=0,"",SUM($Z243)/$U243)))</f>
        <v>0.58414217599999996</v>
      </c>
      <c r="AB243" s="33">
        <f t="shared" si="56"/>
        <v>1.2068965517241379</v>
      </c>
      <c r="AC243" s="38">
        <f>IF(LEFT($B243,4)="_Mil","",_xlfn.IFNA(ROUND(INDEX(Spectrum!$N:$N,MATCH(RIGHT($B243,13)&amp;"|"&amp;$C243&amp;"|"&amp;$D243&amp;"|"&amp;AC$14&amp;"|"&amp;"CY2024Q3",Spectrum!$R:$R,0)),0),""))</f>
        <v>44</v>
      </c>
      <c r="AD243" s="38" t="str">
        <f>IF(LEFT($B243,4)="_Mil","",_xlfn.IFNA(ROUND(INDEX(Spectrum!$N:$N,MATCH(RIGHT($B243,13)&amp;"|"&amp;$C243&amp;"|"&amp;$D243&amp;"|"&amp;AD$14&amp;"|"&amp;"CY2024Q3",Spectrum!$R:$R,0)),0),""))</f>
        <v/>
      </c>
      <c r="AE243" s="33">
        <f t="shared" si="57"/>
        <v>0</v>
      </c>
      <c r="AF243" s="218" t="str">
        <f>IF(LEFT($B243,4)="_Mil","",_xlfn.IFNA(ROUND(INDEX(Spectrum!$N:$N,MATCH(RIGHT($B243,13)&amp;"|"&amp;$C243&amp;"|"&amp;$D243&amp;"|"&amp;AF$14&amp;"|"&amp;"CY2024Q3",Spectrum!$R:$R,0)),0),""))</f>
        <v/>
      </c>
      <c r="AG243" s="33" t="str">
        <f t="shared" si="58"/>
        <v/>
      </c>
      <c r="AH243" s="110" t="str">
        <f>IF(LEFT($B243,4)="_Mil","",_xlfn.IFNA(INDEX(Spectrum!$N:$N,MATCH(RIGHT($B243,13)&amp;"|"&amp;$C243&amp;"|"&amp;$D243&amp;"|"&amp;AH$14&amp;"|"&amp;"CY2024Q3",Spectrum!$R:$R,0)),""))</f>
        <v/>
      </c>
      <c r="AI243" s="218">
        <f>IF(LEFT($B243,4)="_Mil","",_xlfn.IFNA(ROUND(INDEX(Spectrum!$N:$N,MATCH(RIGHT($B243,13)&amp;"|"&amp;$C243&amp;"|"&amp;$D243&amp;"|"&amp;AI$14&amp;"|"&amp;"CY2025Q3",Spectrum!$R:$R,0)),0),""))</f>
        <v>0</v>
      </c>
      <c r="AJ243" s="38">
        <f>IF(LEFT($B243,4)="_Mil","",_xlfn.IFNA(ROUND(INDEX(Spectrum!$N:$N,MATCH(RIGHT($B243,13)&amp;"|"&amp;$C243&amp;"|"&amp;$D243&amp;"|"&amp;AJ$14&amp;"|"&amp;"CY2025Q3",Spectrum!$R:$R,0)),0),""))</f>
        <v>81</v>
      </c>
      <c r="AK243" s="218" t="e">
        <f>#REF!</f>
        <v>#REF!</v>
      </c>
      <c r="AL243" s="33">
        <f t="shared" si="59"/>
        <v>0.9</v>
      </c>
      <c r="AM243" s="38" t="e">
        <f>IF(OR(LEFT($B243,4)="_Mil",$C243="&lt;01"),"",ROUND(SUM($AK243)*SUM($AL243),0))</f>
        <v>#REF!</v>
      </c>
      <c r="AN243" s="38" t="str">
        <f>IF($C243="&lt;01",ROUND(INDEX(EID!$P:$P,MATCH($B243,EID!$B:$B,0))/2,0),"")</f>
        <v/>
      </c>
      <c r="AO243" s="38" t="e">
        <f>IF($C243="&lt;01",SUM($AN243),ROUND(SUM($AM243)*SUM($O243)/IF(SUM($Z243)=0,1,$Z243),0))</f>
        <v>#REF!</v>
      </c>
      <c r="AP243" s="218">
        <f>IF(OR($F243="",$C243="&lt;01"),$AO243,ROUND($F243,0))</f>
        <v>86</v>
      </c>
      <c r="AQ243" s="218">
        <f>IF(LEFT($B243,4)="_Mil","",IF(SUM($AP243)=0,SUM($Z243),IF(OR(SUM($Z243)=0,SUM($O243)=0),MAX($AP243,$Z243),ROUND($AP243*$Z243/$O243,0))))</f>
        <v>70</v>
      </c>
      <c r="AR243" s="33" t="e">
        <f>IF(OR(LEFT($B243,4)="_Mil",SUM($AK243)=0),"",SUM($AQ243)/$AK243)</f>
        <v>#REF!</v>
      </c>
      <c r="AS243" s="33">
        <f>IF($C243="&lt;01","",85%)</f>
        <v>0.85</v>
      </c>
      <c r="AT243" s="33">
        <f t="shared" si="66"/>
        <v>0.98</v>
      </c>
      <c r="AU243" s="38">
        <f>IF($C243="&lt;01","",SUM($AP243)-SUM($O243))</f>
        <v>0</v>
      </c>
      <c r="AV243" s="38">
        <f>IF($C243="&lt;01",ROUND(INDEX(EID!$N:$N,MATCH($B243,EID!$B:$B,0))/2,0),IF(SUM($AT243)=0,"",ROUND((SUM($AP243)-(SUM($O243)*SUM($AS243)))/$AT243,0)))</f>
        <v>13</v>
      </c>
      <c r="AW243" s="33">
        <f t="shared" si="60"/>
        <v>1</v>
      </c>
      <c r="AX243" s="218">
        <f>IF($C243="&lt;01",SUM($AV243),ROUND(SUM($AV243)*SUM($AW243),0))</f>
        <v>13</v>
      </c>
      <c r="AY243" s="79">
        <f t="shared" si="61"/>
        <v>0.7</v>
      </c>
      <c r="AZ243" s="85">
        <f>IF($C243="&lt;01",ROUND(INDEX(EID!$R:$R,MATCH($B243,EID!$B:$B,0))/2,0),ROUND(SUM($O243)+(SUM($AV243)*$AY243),0))</f>
        <v>95</v>
      </c>
      <c r="BA243" s="40">
        <f t="shared" si="65"/>
        <v>0.9</v>
      </c>
      <c r="BB243" s="99">
        <f>IF($C243="&lt;01",ROUND(INDEX(EID!$T:$T,MATCH($B243,EID!$B:$B,0))/2,0),ROUND($AP243*$BA243,0))</f>
        <v>77</v>
      </c>
      <c r="BC243" s="85">
        <f>IF(LEFT($B243,4)="_Mil","",IF(SUM($BB243)=0,SUM($AD243),IF(OR(SUM($AP243)=0,SUM($AQ243)=0),MAX($BB243,$AD243),ROUND($BB243*$AQ243/$AP243,0))))</f>
        <v>63</v>
      </c>
      <c r="BD243" s="33">
        <f t="shared" si="62"/>
        <v>0.95</v>
      </c>
      <c r="BE243" s="218">
        <f>IF($C243="&lt;01",ROUND(INDEX(EID!$V:$V,MATCH($B243,EID!$B:$B,0))/2,0),ROUND($BD243*$BB243,0))</f>
        <v>73</v>
      </c>
      <c r="BF243" s="218">
        <f>IF(LEFT($B243,4)="_Mil","",IF(SUM($BE243)=0,SUM($AF243),IF(OR(SUM($AP243)=0,SUM($AQ243)=0),MAX($BE243,$AF243),ROUND($BE243*$AQ243/$AP243,0))))</f>
        <v>59</v>
      </c>
      <c r="BG243" s="79">
        <f t="shared" si="63"/>
        <v>0.95</v>
      </c>
      <c r="BH243" s="99">
        <f>IF($C243="&lt;01",ROUND(INDEX(EID!$L:$L,MATCH($B243,EID!$B:$B,0)),0)/2,IF(SUM($BG243)=0,"",ROUND($AX243/$BG243,0)))</f>
        <v>14</v>
      </c>
    </row>
    <row r="244" spans="1:60" x14ac:dyDescent="0.2">
      <c r="A244" t="str">
        <f>INDEX(Prioritization!$D:$D,MATCH($B244,Prioritization!$A:$A,0))</f>
        <v>4 - Sustained</v>
      </c>
      <c r="B244" t="s">
        <v>320</v>
      </c>
      <c r="C244" t="s">
        <v>474</v>
      </c>
      <c r="D244" t="s">
        <v>48</v>
      </c>
      <c r="E244" t="str">
        <f t="shared" si="53"/>
        <v>Mwanza District [wNqJp8oRIcF]|10-14|Male</v>
      </c>
      <c r="F244" s="229">
        <v>86</v>
      </c>
      <c r="G244" s="38">
        <v>7</v>
      </c>
      <c r="H244" s="38">
        <v>1</v>
      </c>
      <c r="I244" s="38">
        <v>75</v>
      </c>
      <c r="J244" s="38">
        <v>68</v>
      </c>
      <c r="K244" s="38">
        <v>52</v>
      </c>
      <c r="L244" s="38">
        <v>11</v>
      </c>
      <c r="M244" s="38">
        <v>10</v>
      </c>
      <c r="N244" s="38">
        <v>83</v>
      </c>
      <c r="O244" s="229">
        <v>86</v>
      </c>
      <c r="P244" s="38">
        <v>68</v>
      </c>
      <c r="Q244" s="38">
        <v>65</v>
      </c>
      <c r="R244" s="38">
        <f t="shared" si="54"/>
        <v>11</v>
      </c>
      <c r="S244" s="38">
        <f>IF(LEFT($B244,4)="_Mil","",_xlfn.IFNA(ROUND(INDEX(Spectrum!$N:$N,MATCH(RIGHT($B244,13)&amp;"|"&amp;$C244&amp;"|"&amp;$D244&amp;"|"&amp;S$14&amp;"|"&amp;"CY2023Q4",Spectrum!$R:$R,0)),0),""))</f>
        <v>73</v>
      </c>
      <c r="T244" s="218">
        <f>IF(LEFT($B244,4)="_Mil","",_xlfn.IFNA(ROUND(INDEX(Spectrum!$N:$N,MATCH(RIGHT($B244,13)&amp;"|"&amp;$C244&amp;"|"&amp;$D244&amp;"|"&amp;T$14&amp;"|"&amp;"CY2024Q3",Spectrum!$R:$R,0)),0),""))</f>
        <v>10482</v>
      </c>
      <c r="U244" s="218">
        <f>IF(LEFT($B244,4)="_Mil","",_xlfn.IFNA(ROUND(INDEX(Spectrum!$N:$N,MATCH(RIGHT($B244,13)&amp;"|"&amp;$C244&amp;"|"&amp;$D244&amp;"|"&amp;U$14&amp;"|"&amp;"CY2024Q3",Spectrum!$R:$R,0)),0),""))</f>
        <v>89</v>
      </c>
      <c r="V244" s="38">
        <f>IF(LEFT($B244,4)="_Mil","",_xlfn.IFNA(ROUND(INDEX(Spectrum!$N:$N,MATCH(RIGHT($B244,13)&amp;"|"&amp;$C244&amp;"|"&amp;$D244&amp;"|"&amp;V$14&amp;"|"&amp;"CY2024Q3",Spectrum!$R:$R,0)),0),""))</f>
        <v>114</v>
      </c>
      <c r="W244" s="220">
        <f>IF(LEFT($B244,4)="_Mil","",_xlfn.IFNA(INDEX(Spectrum!$N:$N,MATCH(RIGHT($B244,13)&amp;"|"&amp;$C244&amp;"|"&amp;$D244&amp;"|"&amp;W$14&amp;"|"&amp;"CY2024Q3",Spectrum!$R:$R,0)),""))</f>
        <v>8.5257890000000006E-3</v>
      </c>
      <c r="X244" s="218">
        <f>IF(LEFT($B244,4)="_Mil","",_xlfn.IFNA(ROUND(INDEX(Spectrum!$N:$N,MATCH(RIGHT($B244,13)&amp;"|"&amp;$C244&amp;"|"&amp;$D244&amp;"|"&amp;X$14&amp;"|"&amp;"CY2024Q3",Spectrum!$R:$R,0)),0),""))</f>
        <v>57</v>
      </c>
      <c r="Y244" s="33">
        <f t="shared" si="55"/>
        <v>0.64</v>
      </c>
      <c r="Z244" s="218">
        <f>IF(LEFT($B244,4)="_Mil","",_xlfn.IFNA(ROUND(INDEX(Spectrum!$N:$N,MATCH(RIGHT($B244,13)&amp;"|"&amp;$C244&amp;"|"&amp;$D244&amp;"|"&amp;Z$14&amp;"|"&amp;"CY2024Q3",Spectrum!$R:$R,0)),0),""))</f>
        <v>74</v>
      </c>
      <c r="AA244" s="33">
        <f>IF(LEFT($B244,4)="_Mil","",IFERROR(1/(1/INDEX(Spectrum!$N:$N,MATCH(RIGHT($B244,13)&amp;"|"&amp;$C244&amp;"|"&amp;$D244&amp;"|"&amp;AA$14&amp;"|"&amp;"CY2024Q3",Spectrum!$R:$R,0))),IF(SUM($U244)=0,"",SUM($Z244)/$U244)))</f>
        <v>0.58327093100000005</v>
      </c>
      <c r="AB244" s="33">
        <f t="shared" si="56"/>
        <v>1.2982456140350878</v>
      </c>
      <c r="AC244" s="38">
        <f>IF(LEFT($B244,4)="_Mil","",_xlfn.IFNA(ROUND(INDEX(Spectrum!$N:$N,MATCH(RIGHT($B244,13)&amp;"|"&amp;$C244&amp;"|"&amp;$D244&amp;"|"&amp;AC$14&amp;"|"&amp;"CY2024Q3",Spectrum!$R:$R,0)),0),""))</f>
        <v>40</v>
      </c>
      <c r="AD244" s="38" t="str">
        <f>IF(LEFT($B244,4)="_Mil","",_xlfn.IFNA(ROUND(INDEX(Spectrum!$N:$N,MATCH(RIGHT($B244,13)&amp;"|"&amp;$C244&amp;"|"&amp;$D244&amp;"|"&amp;AD$14&amp;"|"&amp;"CY2024Q3",Spectrum!$R:$R,0)),0),""))</f>
        <v/>
      </c>
      <c r="AE244" s="33">
        <f t="shared" si="57"/>
        <v>0</v>
      </c>
      <c r="AF244" s="218" t="str">
        <f>IF(LEFT($B244,4)="_Mil","",_xlfn.IFNA(ROUND(INDEX(Spectrum!$N:$N,MATCH(RIGHT($B244,13)&amp;"|"&amp;$C244&amp;"|"&amp;$D244&amp;"|"&amp;AF$14&amp;"|"&amp;"CY2024Q3",Spectrum!$R:$R,0)),0),""))</f>
        <v/>
      </c>
      <c r="AG244" s="33" t="str">
        <f t="shared" si="58"/>
        <v/>
      </c>
      <c r="AH244" s="110" t="str">
        <f>IF(LEFT($B244,4)="_Mil","",_xlfn.IFNA(INDEX(Spectrum!$N:$N,MATCH(RIGHT($B244,13)&amp;"|"&amp;$C244&amp;"|"&amp;$D244&amp;"|"&amp;AH$14&amp;"|"&amp;"CY2024Q3",Spectrum!$R:$R,0)),""))</f>
        <v/>
      </c>
      <c r="AI244" s="218">
        <f>IF(LEFT($B244,4)="_Mil","",_xlfn.IFNA(ROUND(INDEX(Spectrum!$N:$N,MATCH(RIGHT($B244,13)&amp;"|"&amp;$C244&amp;"|"&amp;$D244&amp;"|"&amp;AI$14&amp;"|"&amp;"CY2025Q3",Spectrum!$R:$R,0)),0),""))</f>
        <v>0</v>
      </c>
      <c r="AJ244" s="38">
        <f>IF(LEFT($B244,4)="_Mil","",_xlfn.IFNA(ROUND(INDEX(Spectrum!$N:$N,MATCH(RIGHT($B244,13)&amp;"|"&amp;$C244&amp;"|"&amp;$D244&amp;"|"&amp;AJ$14&amp;"|"&amp;"CY2025Q3",Spectrum!$R:$R,0)),0),""))</f>
        <v>81</v>
      </c>
      <c r="AK244" s="218" t="e">
        <f>#REF!</f>
        <v>#REF!</v>
      </c>
      <c r="AL244" s="33">
        <f t="shared" si="59"/>
        <v>0.9</v>
      </c>
      <c r="AM244" s="38" t="e">
        <f>IF(OR(LEFT($B244,4)="_Mil",$C244="&lt;01"),"",ROUND(SUM($AK244)*SUM($AL244),0))</f>
        <v>#REF!</v>
      </c>
      <c r="AN244" s="38" t="str">
        <f>IF($C244="&lt;01",ROUND(INDEX(EID!$P:$P,MATCH($B244,EID!$B:$B,0))/2,0),"")</f>
        <v/>
      </c>
      <c r="AO244" s="38" t="e">
        <f>IF($C244="&lt;01",SUM($AN244),ROUND(SUM($AM244)*SUM($O244)/IF(SUM($Z244)=0,1,$Z244),0))</f>
        <v>#REF!</v>
      </c>
      <c r="AP244" s="218">
        <f>IF(OR($F244="",$C244="&lt;01"),$AO244,ROUND($F244,0))</f>
        <v>86</v>
      </c>
      <c r="AQ244" s="218">
        <f>IF(LEFT($B244,4)="_Mil","",IF(SUM($AP244)=0,SUM($Z244),IF(OR(SUM($Z244)=0,SUM($O244)=0),MAX($AP244,$Z244),ROUND($AP244*$Z244/$O244,0))))</f>
        <v>74</v>
      </c>
      <c r="AR244" s="33" t="e">
        <f>IF(OR(LEFT($B244,4)="_Mil",SUM($AK244)=0),"",SUM($AQ244)/$AK244)</f>
        <v>#REF!</v>
      </c>
      <c r="AS244" s="33">
        <f t="shared" si="68"/>
        <v>0.98</v>
      </c>
      <c r="AT244" s="33">
        <f t="shared" si="66"/>
        <v>0.98</v>
      </c>
      <c r="AU244" s="38">
        <f>IF($C244="&lt;01","",SUM($AP244)-SUM($O244))</f>
        <v>0</v>
      </c>
      <c r="AV244" s="38">
        <f>IF($C244="&lt;01",ROUND(INDEX(EID!$N:$N,MATCH($B244,EID!$B:$B,0))/2,0),IF(SUM($AT244)=0,"",ROUND((SUM($AP244)-(SUM($O244)*SUM($AS244)))/$AT244,0)))</f>
        <v>2</v>
      </c>
      <c r="AW244" s="33">
        <f t="shared" si="60"/>
        <v>1</v>
      </c>
      <c r="AX244" s="218">
        <f>IF($C244="&lt;01",SUM($AV244),ROUND(SUM($AV244)*SUM($AW244),0))</f>
        <v>2</v>
      </c>
      <c r="AY244" s="79">
        <f t="shared" si="61"/>
        <v>0.7</v>
      </c>
      <c r="AZ244" s="85">
        <f>IF($C244="&lt;01",ROUND(INDEX(EID!$R:$R,MATCH($B244,EID!$B:$B,0))/2,0),ROUND(SUM($O244)+(SUM($AV244)*$AY244),0))</f>
        <v>87</v>
      </c>
      <c r="BA244" s="40">
        <f t="shared" si="65"/>
        <v>0.9</v>
      </c>
      <c r="BB244" s="99">
        <f>IF($C244="&lt;01",ROUND(INDEX(EID!$T:$T,MATCH($B244,EID!$B:$B,0))/2,0),ROUND($AP244*$BA244,0))</f>
        <v>77</v>
      </c>
      <c r="BC244" s="85">
        <f>IF(LEFT($B244,4)="_Mil","",IF(SUM($BB244)=0,SUM($AD244),IF(OR(SUM($AP244)=0,SUM($AQ244)=0),MAX($BB244,$AD244),ROUND($BB244*$AQ244/$AP244,0))))</f>
        <v>66</v>
      </c>
      <c r="BD244" s="33">
        <f t="shared" si="62"/>
        <v>0.95</v>
      </c>
      <c r="BE244" s="218">
        <f>IF($C244="&lt;01",ROUND(INDEX(EID!$V:$V,MATCH($B244,EID!$B:$B,0))/2,0),ROUND($BD244*$BB244,0))</f>
        <v>73</v>
      </c>
      <c r="BF244" s="218">
        <f>IF(LEFT($B244,4)="_Mil","",IF(SUM($BE244)=0,SUM($AF244),IF(OR(SUM($AP244)=0,SUM($AQ244)=0),MAX($BE244,$AF244),ROUND($BE244*$AQ244/$AP244,0))))</f>
        <v>63</v>
      </c>
      <c r="BG244" s="79">
        <f t="shared" si="63"/>
        <v>0.95</v>
      </c>
      <c r="BH244" s="99">
        <f>IF($C244="&lt;01",ROUND(INDEX(EID!$L:$L,MATCH($B244,EID!$B:$B,0)),0)/2,IF(SUM($BG244)=0,"",ROUND($AX244/$BG244,0)))</f>
        <v>2</v>
      </c>
    </row>
    <row r="245" spans="1:60" x14ac:dyDescent="0.2">
      <c r="A245" t="str">
        <f>INDEX(Prioritization!$D:$D,MATCH($B245,Prioritization!$A:$A,0))</f>
        <v>4 - Sustained</v>
      </c>
      <c r="B245" t="s">
        <v>320</v>
      </c>
      <c r="C245" t="s">
        <v>475</v>
      </c>
      <c r="D245" t="s">
        <v>30</v>
      </c>
      <c r="E245" t="str">
        <f t="shared" si="53"/>
        <v>Mwanza District [wNqJp8oRIcF]|15-24|Female</v>
      </c>
      <c r="F245" s="229">
        <v>412</v>
      </c>
      <c r="G245" s="38">
        <v>184</v>
      </c>
      <c r="H245" s="38">
        <v>146</v>
      </c>
      <c r="I245" s="38">
        <v>546</v>
      </c>
      <c r="J245" s="38">
        <v>388</v>
      </c>
      <c r="K245" s="38">
        <v>353</v>
      </c>
      <c r="L245" s="38">
        <v>36</v>
      </c>
      <c r="M245" s="38">
        <v>35</v>
      </c>
      <c r="N245" s="38">
        <v>409</v>
      </c>
      <c r="O245" s="229">
        <v>426</v>
      </c>
      <c r="P245" s="38">
        <v>374</v>
      </c>
      <c r="Q245" s="38">
        <v>355</v>
      </c>
      <c r="R245" s="38">
        <f t="shared" si="54"/>
        <v>-120</v>
      </c>
      <c r="S245" s="38">
        <f>IF(LEFT($B245,4)="_Mil","",_xlfn.IFNA(ROUND(INDEX(Spectrum!$N:$N,MATCH(RIGHT($B245,13)&amp;"|"&amp;$C245&amp;"|"&amp;$D245&amp;"|"&amp;S$14&amp;"|"&amp;"CY2023Q4",Spectrum!$R:$R,0)),0),""))</f>
        <v>405</v>
      </c>
      <c r="T245" s="218">
        <f>IF(LEFT($B245,4)="_Mil","",_xlfn.IFNA(ROUND(INDEX(Spectrum!$N:$N,MATCH(RIGHT($B245,13)&amp;"|"&amp;$C245&amp;"|"&amp;$D245&amp;"|"&amp;T$14&amp;"|"&amp;"CY2024Q3",Spectrum!$R:$R,0)),0),""))</f>
        <v>18981</v>
      </c>
      <c r="U245" s="218">
        <f>IF(LEFT($B245,4)="_Mil","",_xlfn.IFNA(ROUND(INDEX(Spectrum!$N:$N,MATCH(RIGHT($B245,13)&amp;"|"&amp;$C245&amp;"|"&amp;$D245&amp;"|"&amp;U$14&amp;"|"&amp;"CY2024Q3",Spectrum!$R:$R,0)),0),""))</f>
        <v>337</v>
      </c>
      <c r="V245" s="38">
        <f>IF(LEFT($B245,4)="_Mil","",_xlfn.IFNA(ROUND(INDEX(Spectrum!$N:$N,MATCH(RIGHT($B245,13)&amp;"|"&amp;$C245&amp;"|"&amp;$D245&amp;"|"&amp;V$14&amp;"|"&amp;"CY2024Q3",Spectrum!$R:$R,0)),0),""))</f>
        <v>426</v>
      </c>
      <c r="W245" s="220">
        <f>IF(LEFT($B245,4)="_Mil","",_xlfn.IFNA(INDEX(Spectrum!$N:$N,MATCH(RIGHT($B245,13)&amp;"|"&amp;$C245&amp;"|"&amp;$D245&amp;"|"&amp;W$14&amp;"|"&amp;"CY2024Q3",Spectrum!$R:$R,0)),""))</f>
        <v>1.7743475000000002E-2</v>
      </c>
      <c r="X245" s="218">
        <f>IF(LEFT($B245,4)="_Mil","",_xlfn.IFNA(ROUND(INDEX(Spectrum!$N:$N,MATCH(RIGHT($B245,13)&amp;"|"&amp;$C245&amp;"|"&amp;$D245&amp;"|"&amp;X$14&amp;"|"&amp;"CY2024Q3",Spectrum!$R:$R,0)),0),""))</f>
        <v>311</v>
      </c>
      <c r="Y245" s="33">
        <f t="shared" si="55"/>
        <v>0.92</v>
      </c>
      <c r="Z245" s="218">
        <f>IF(LEFT($B245,4)="_Mil","",_xlfn.IFNA(ROUND(INDEX(Spectrum!$N:$N,MATCH(RIGHT($B245,13)&amp;"|"&amp;$C245&amp;"|"&amp;$D245&amp;"|"&amp;Z$14&amp;"|"&amp;"CY2024Q3",Spectrum!$R:$R,0)),0),""))</f>
        <v>396</v>
      </c>
      <c r="AA245" s="33">
        <f>IF(LEFT($B245,4)="_Mil","",IFERROR(1/(1/INDEX(Spectrum!$N:$N,MATCH(RIGHT($B245,13)&amp;"|"&amp;$C245&amp;"|"&amp;$D245&amp;"|"&amp;AA$14&amp;"|"&amp;"CY2024Q3",Spectrum!$R:$R,0))),IF(SUM($U245)=0,"",SUM($Z245)/$U245)))</f>
        <v>0.92450870200000002</v>
      </c>
      <c r="AB245" s="33">
        <f t="shared" si="56"/>
        <v>1.2733118971061093</v>
      </c>
      <c r="AC245" s="38">
        <f>IF(LEFT($B245,4)="_Mil","",_xlfn.IFNA(ROUND(INDEX(Spectrum!$N:$N,MATCH(RIGHT($B245,13)&amp;"|"&amp;$C245&amp;"|"&amp;$D245&amp;"|"&amp;AC$14&amp;"|"&amp;"CY2024Q3",Spectrum!$R:$R,0)),0),""))</f>
        <v>30</v>
      </c>
      <c r="AD245" s="38" t="str">
        <f>IF(LEFT($B245,4)="_Mil","",_xlfn.IFNA(ROUND(INDEX(Spectrum!$N:$N,MATCH(RIGHT($B245,13)&amp;"|"&amp;$C245&amp;"|"&amp;$D245&amp;"|"&amp;AD$14&amp;"|"&amp;"CY2024Q3",Spectrum!$R:$R,0)),0),""))</f>
        <v/>
      </c>
      <c r="AE245" s="33">
        <f t="shared" si="57"/>
        <v>0</v>
      </c>
      <c r="AF245" s="218" t="str">
        <f>IF(LEFT($B245,4)="_Mil","",_xlfn.IFNA(ROUND(INDEX(Spectrum!$N:$N,MATCH(RIGHT($B245,13)&amp;"|"&amp;$C245&amp;"|"&amp;$D245&amp;"|"&amp;AF$14&amp;"|"&amp;"CY2024Q3",Spectrum!$R:$R,0)),0),""))</f>
        <v/>
      </c>
      <c r="AG245" s="33" t="str">
        <f t="shared" si="58"/>
        <v/>
      </c>
      <c r="AH245" s="110" t="str">
        <f>IF(LEFT($B245,4)="_Mil","",_xlfn.IFNA(INDEX(Spectrum!$N:$N,MATCH(RIGHT($B245,13)&amp;"|"&amp;$C245&amp;"|"&amp;$D245&amp;"|"&amp;AH$14&amp;"|"&amp;"CY2024Q3",Spectrum!$R:$R,0)),""))</f>
        <v/>
      </c>
      <c r="AI245" s="218">
        <f>IF(LEFT($B245,4)="_Mil","",_xlfn.IFNA(ROUND(INDEX(Spectrum!$N:$N,MATCH(RIGHT($B245,13)&amp;"|"&amp;$C245&amp;"|"&amp;$D245&amp;"|"&amp;AI$14&amp;"|"&amp;"CY2025Q3",Spectrum!$R:$R,0)),0),""))</f>
        <v>21</v>
      </c>
      <c r="AJ245" s="38">
        <f>IF(LEFT($B245,4)="_Mil","",_xlfn.IFNA(ROUND(INDEX(Spectrum!$N:$N,MATCH(RIGHT($B245,13)&amp;"|"&amp;$C245&amp;"|"&amp;$D245&amp;"|"&amp;AJ$14&amp;"|"&amp;"CY2025Q3",Spectrum!$R:$R,0)),0),""))</f>
        <v>326</v>
      </c>
      <c r="AK245" s="218" t="e">
        <f>#REF!</f>
        <v>#REF!</v>
      </c>
      <c r="AL245" s="33">
        <f t="shared" si="59"/>
        <v>0.92450870200000002</v>
      </c>
      <c r="AM245" s="38" t="e">
        <f>IF(OR(LEFT($B245,4)="_Mil",$C245="&lt;01"),"",ROUND(SUM($AK245)*SUM($AL245),0))</f>
        <v>#REF!</v>
      </c>
      <c r="AN245" s="38" t="str">
        <f>IF($C245="&lt;01",ROUND(INDEX(EID!$P:$P,MATCH($B245,EID!$B:$B,0))/2,0),"")</f>
        <v/>
      </c>
      <c r="AO245" s="38" t="e">
        <f>IF($C245="&lt;01",SUM($AN245),ROUND(SUM($AM245)*SUM($O245)/IF(SUM($Z245)=0,1,$Z245),0))</f>
        <v>#REF!</v>
      </c>
      <c r="AP245" s="218">
        <f>IF(OR($F245="",$C245="&lt;01"),$AO245,ROUND($F245,0))</f>
        <v>412</v>
      </c>
      <c r="AQ245" s="218">
        <f>IF(LEFT($B245,4)="_Mil","",IF(SUM($AP245)=0,SUM($Z245),IF(OR(SUM($Z245)=0,SUM($O245)=0),MAX($AP245,$Z245),ROUND($AP245*$Z245/$O245,0))))</f>
        <v>383</v>
      </c>
      <c r="AR245" s="33" t="e">
        <f>IF(OR(LEFT($B245,4)="_Mil",SUM($AK245)=0),"",SUM($AQ245)/$AK245)</f>
        <v>#REF!</v>
      </c>
      <c r="AS245" s="33">
        <f>IF($C245="&lt;01","",86%)</f>
        <v>0.86</v>
      </c>
      <c r="AT245" s="33">
        <f>IF($C245="&lt;01","",90%)</f>
        <v>0.9</v>
      </c>
      <c r="AU245" s="38">
        <f>IF($C245="&lt;01","",SUM($AP245)-SUM($O245))</f>
        <v>-14</v>
      </c>
      <c r="AV245" s="38">
        <f>IF($C245="&lt;01",ROUND(INDEX(EID!$N:$N,MATCH($B245,EID!$B:$B,0))/2,0),IF(SUM($AT245)=0,"",ROUND((SUM($AP245)-(SUM($O245)*SUM($AS245)))/$AT245,0)))</f>
        <v>51</v>
      </c>
      <c r="AW245" s="33">
        <f t="shared" si="60"/>
        <v>1</v>
      </c>
      <c r="AX245" s="218">
        <f>IF($C245="&lt;01",SUM($AV245),ROUND(SUM($AV245)*SUM($AW245),0))</f>
        <v>51</v>
      </c>
      <c r="AY245" s="79">
        <f t="shared" si="61"/>
        <v>0.7</v>
      </c>
      <c r="AZ245" s="85">
        <f>IF($C245="&lt;01",ROUND(INDEX(EID!$R:$R,MATCH($B245,EID!$B:$B,0))/2,0),ROUND(SUM($O245)+(SUM($AV245)*$AY245),0))</f>
        <v>462</v>
      </c>
      <c r="BA245" s="40">
        <f t="shared" si="65"/>
        <v>0.9</v>
      </c>
      <c r="BB245" s="99">
        <f>IF($C245="&lt;01",ROUND(INDEX(EID!$T:$T,MATCH($B245,EID!$B:$B,0))/2,0),ROUND($AP245*$BA245,0))</f>
        <v>371</v>
      </c>
      <c r="BC245" s="85">
        <f>IF(LEFT($B245,4)="_Mil","",IF(SUM($BB245)=0,SUM($AD245),IF(OR(SUM($AP245)=0,SUM($AQ245)=0),MAX($BB245,$AD245),ROUND($BB245*$AQ245/$AP245,0))))</f>
        <v>345</v>
      </c>
      <c r="BD245" s="33">
        <f t="shared" si="62"/>
        <v>0.95</v>
      </c>
      <c r="BE245" s="218">
        <f>IF($C245="&lt;01",ROUND(INDEX(EID!$V:$V,MATCH($B245,EID!$B:$B,0))/2,0),ROUND($BD245*$BB245,0))</f>
        <v>352</v>
      </c>
      <c r="BF245" s="218">
        <f>IF(LEFT($B245,4)="_Mil","",IF(SUM($BE245)=0,SUM($AF245),IF(OR(SUM($AP245)=0,SUM($AQ245)=0),MAX($BE245,$AF245),ROUND($BE245*$AQ245/$AP245,0))))</f>
        <v>327</v>
      </c>
      <c r="BG245" s="79">
        <f t="shared" si="63"/>
        <v>0.95</v>
      </c>
      <c r="BH245" s="99">
        <f>IF($C245="&lt;01",ROUND(INDEX(EID!$L:$L,MATCH($B245,EID!$B:$B,0)),0)/2,IF(SUM($BG245)=0,"",ROUND($AX245/$BG245,0)))</f>
        <v>54</v>
      </c>
    </row>
    <row r="246" spans="1:60" x14ac:dyDescent="0.2">
      <c r="A246" t="str">
        <f>INDEX(Prioritization!$D:$D,MATCH($B246,Prioritization!$A:$A,0))</f>
        <v>4 - Sustained</v>
      </c>
      <c r="B246" t="s">
        <v>320</v>
      </c>
      <c r="C246" t="s">
        <v>475</v>
      </c>
      <c r="D246" t="s">
        <v>48</v>
      </c>
      <c r="E246" t="str">
        <f t="shared" si="53"/>
        <v>Mwanza District [wNqJp8oRIcF]|15-24|Male</v>
      </c>
      <c r="F246" s="229">
        <v>228</v>
      </c>
      <c r="G246" s="38">
        <v>60</v>
      </c>
      <c r="H246" s="38">
        <v>36</v>
      </c>
      <c r="I246" s="38">
        <v>165</v>
      </c>
      <c r="J246" s="38">
        <v>105</v>
      </c>
      <c r="K246" s="38">
        <v>81</v>
      </c>
      <c r="L246" s="38">
        <v>42</v>
      </c>
      <c r="M246" s="38">
        <v>40</v>
      </c>
      <c r="N246" s="38">
        <v>279</v>
      </c>
      <c r="O246" s="229">
        <v>220</v>
      </c>
      <c r="P246" s="38">
        <v>244</v>
      </c>
      <c r="Q246" s="38">
        <v>232</v>
      </c>
      <c r="R246" s="38">
        <f t="shared" si="54"/>
        <v>55</v>
      </c>
      <c r="S246" s="38">
        <f>IF(LEFT($B246,4)="_Mil","",_xlfn.IFNA(ROUND(INDEX(Spectrum!$N:$N,MATCH(RIGHT($B246,13)&amp;"|"&amp;$C246&amp;"|"&amp;$D246&amp;"|"&amp;S$14&amp;"|"&amp;"CY2023Q4",Spectrum!$R:$R,0)),0),""))</f>
        <v>257</v>
      </c>
      <c r="T246" s="218">
        <f>IF(LEFT($B246,4)="_Mil","",_xlfn.IFNA(ROUND(INDEX(Spectrum!$N:$N,MATCH(RIGHT($B246,13)&amp;"|"&amp;$C246&amp;"|"&amp;$D246&amp;"|"&amp;T$14&amp;"|"&amp;"CY2024Q3",Spectrum!$R:$R,0)),0),""))</f>
        <v>18857</v>
      </c>
      <c r="U246" s="218">
        <f>IF(LEFT($B246,4)="_Mil","",_xlfn.IFNA(ROUND(INDEX(Spectrum!$N:$N,MATCH(RIGHT($B246,13)&amp;"|"&amp;$C246&amp;"|"&amp;$D246&amp;"|"&amp;U$14&amp;"|"&amp;"CY2024Q3",Spectrum!$R:$R,0)),0),""))</f>
        <v>232</v>
      </c>
      <c r="V246" s="38">
        <f>IF(LEFT($B246,4)="_Mil","",_xlfn.IFNA(ROUND(INDEX(Spectrum!$N:$N,MATCH(RIGHT($B246,13)&amp;"|"&amp;$C246&amp;"|"&amp;$D246&amp;"|"&amp;V$14&amp;"|"&amp;"CY2024Q3",Spectrum!$R:$R,0)),0),""))</f>
        <v>293</v>
      </c>
      <c r="W246" s="220">
        <f>IF(LEFT($B246,4)="_Mil","",_xlfn.IFNA(INDEX(Spectrum!$N:$N,MATCH(RIGHT($B246,13)&amp;"|"&amp;$C246&amp;"|"&amp;$D246&amp;"|"&amp;W$14&amp;"|"&amp;"CY2024Q3",Spectrum!$R:$R,0)),""))</f>
        <v>1.2285348E-2</v>
      </c>
      <c r="X246" s="218">
        <f>IF(LEFT($B246,4)="_Mil","",_xlfn.IFNA(ROUND(INDEX(Spectrum!$N:$N,MATCH(RIGHT($B246,13)&amp;"|"&amp;$C246&amp;"|"&amp;$D246&amp;"|"&amp;X$14&amp;"|"&amp;"CY2024Q3",Spectrum!$R:$R,0)),0),""))</f>
        <v>206</v>
      </c>
      <c r="Y246" s="33">
        <f t="shared" si="55"/>
        <v>0.89</v>
      </c>
      <c r="Z246" s="218">
        <f>IF(LEFT($B246,4)="_Mil","",_xlfn.IFNA(ROUND(INDEX(Spectrum!$N:$N,MATCH(RIGHT($B246,13)&amp;"|"&amp;$C246&amp;"|"&amp;$D246&amp;"|"&amp;Z$14&amp;"|"&amp;"CY2024Q3",Spectrum!$R:$R,0)),0),""))</f>
        <v>263</v>
      </c>
      <c r="AA246" s="33">
        <f>IF(LEFT($B246,4)="_Mil","",IFERROR(1/(1/INDEX(Spectrum!$N:$N,MATCH(RIGHT($B246,13)&amp;"|"&amp;$C246&amp;"|"&amp;$D246&amp;"|"&amp;AA$14&amp;"|"&amp;"CY2024Q3",Spectrum!$R:$R,0))),IF(SUM($U246)=0,"",SUM($Z246)/$U246)))</f>
        <v>0.88483243499999997</v>
      </c>
      <c r="AB246" s="33">
        <f t="shared" si="56"/>
        <v>1.2766990291262137</v>
      </c>
      <c r="AC246" s="38">
        <f>IF(LEFT($B246,4)="_Mil","",_xlfn.IFNA(ROUND(INDEX(Spectrum!$N:$N,MATCH(RIGHT($B246,13)&amp;"|"&amp;$C246&amp;"|"&amp;$D246&amp;"|"&amp;AC$14&amp;"|"&amp;"CY2024Q3",Spectrum!$R:$R,0)),0),""))</f>
        <v>30</v>
      </c>
      <c r="AD246" s="38" t="str">
        <f>IF(LEFT($B246,4)="_Mil","",_xlfn.IFNA(ROUND(INDEX(Spectrum!$N:$N,MATCH(RIGHT($B246,13)&amp;"|"&amp;$C246&amp;"|"&amp;$D246&amp;"|"&amp;AD$14&amp;"|"&amp;"CY2024Q3",Spectrum!$R:$R,0)),0),""))</f>
        <v/>
      </c>
      <c r="AE246" s="33">
        <f t="shared" si="57"/>
        <v>0</v>
      </c>
      <c r="AF246" s="218" t="str">
        <f>IF(LEFT($B246,4)="_Mil","",_xlfn.IFNA(ROUND(INDEX(Spectrum!$N:$N,MATCH(RIGHT($B246,13)&amp;"|"&amp;$C246&amp;"|"&amp;$D246&amp;"|"&amp;AF$14&amp;"|"&amp;"CY2024Q3",Spectrum!$R:$R,0)),0),""))</f>
        <v/>
      </c>
      <c r="AG246" s="33" t="str">
        <f t="shared" si="58"/>
        <v/>
      </c>
      <c r="AH246" s="110" t="str">
        <f>IF(LEFT($B246,4)="_Mil","",_xlfn.IFNA(INDEX(Spectrum!$N:$N,MATCH(RIGHT($B246,13)&amp;"|"&amp;$C246&amp;"|"&amp;$D246&amp;"|"&amp;AH$14&amp;"|"&amp;"CY2024Q3",Spectrum!$R:$R,0)),""))</f>
        <v/>
      </c>
      <c r="AI246" s="218">
        <f>IF(LEFT($B246,4)="_Mil","",_xlfn.IFNA(ROUND(INDEX(Spectrum!$N:$N,MATCH(RIGHT($B246,13)&amp;"|"&amp;$C246&amp;"|"&amp;$D246&amp;"|"&amp;AI$14&amp;"|"&amp;"CY2025Q3",Spectrum!$R:$R,0)),0),""))</f>
        <v>4</v>
      </c>
      <c r="AJ246" s="38">
        <f>IF(LEFT($B246,4)="_Mil","",_xlfn.IFNA(ROUND(INDEX(Spectrum!$N:$N,MATCH(RIGHT($B246,13)&amp;"|"&amp;$C246&amp;"|"&amp;$D246&amp;"|"&amp;AJ$14&amp;"|"&amp;"CY2025Q3",Spectrum!$R:$R,0)),0),""))</f>
        <v>228</v>
      </c>
      <c r="AK246" s="218" t="e">
        <f>#REF!</f>
        <v>#REF!</v>
      </c>
      <c r="AL246" s="33">
        <f t="shared" si="59"/>
        <v>0.9</v>
      </c>
      <c r="AM246" s="38" t="e">
        <f>IF(OR(LEFT($B246,4)="_Mil",$C246="&lt;01"),"",ROUND(SUM($AK246)*SUM($AL246),0))</f>
        <v>#REF!</v>
      </c>
      <c r="AN246" s="38" t="str">
        <f>IF($C246="&lt;01",ROUND(INDEX(EID!$P:$P,MATCH($B246,EID!$B:$B,0))/2,0),"")</f>
        <v/>
      </c>
      <c r="AO246" s="38" t="e">
        <f>IF($C246="&lt;01",SUM($AN246),ROUND(SUM($AM246)*SUM($O246)/IF(SUM($Z246)=0,1,$Z246),0))</f>
        <v>#REF!</v>
      </c>
      <c r="AP246" s="218">
        <f>IF(OR($F246="",$C246="&lt;01"),$AO246,ROUND($F246,0))</f>
        <v>228</v>
      </c>
      <c r="AQ246" s="218">
        <f>IF(LEFT($B246,4)="_Mil","",IF(SUM($AP246)=0,SUM($Z246),IF(OR(SUM($Z246)=0,SUM($O246)=0),MAX($AP246,$Z246),ROUND($AP246*$Z246/$O246,0))))</f>
        <v>273</v>
      </c>
      <c r="AR246" s="33" t="e">
        <f>IF(OR(LEFT($B246,4)="_Mil",SUM($AK246)=0),"",SUM($AQ246)/$AK246)</f>
        <v>#REF!</v>
      </c>
      <c r="AS246" s="33">
        <v>0.85</v>
      </c>
      <c r="AT246" s="33">
        <f t="shared" si="66"/>
        <v>0.98</v>
      </c>
      <c r="AU246" s="38">
        <f>IF($C246="&lt;01","",SUM($AP246)-SUM($O246))</f>
        <v>8</v>
      </c>
      <c r="AV246" s="38">
        <f>IF($C246="&lt;01",ROUND(INDEX(EID!$N:$N,MATCH($B246,EID!$B:$B,0))/2,0),IF(SUM($AT246)=0,"",ROUND((SUM($AP246)-(SUM($O246)*SUM($AS246)))/$AT246,0)))</f>
        <v>42</v>
      </c>
      <c r="AW246" s="33">
        <f t="shared" si="60"/>
        <v>1</v>
      </c>
      <c r="AX246" s="218">
        <f>IF($C246="&lt;01",SUM($AV246),ROUND(SUM($AV246)*SUM($AW246),0))</f>
        <v>42</v>
      </c>
      <c r="AY246" s="79">
        <f t="shared" si="61"/>
        <v>0.7</v>
      </c>
      <c r="AZ246" s="85">
        <f>IF($C246="&lt;01",ROUND(INDEX(EID!$R:$R,MATCH($B246,EID!$B:$B,0))/2,0),ROUND(SUM($O246)+(SUM($AV246)*$AY246),0))</f>
        <v>249</v>
      </c>
      <c r="BA246" s="40">
        <f t="shared" si="65"/>
        <v>0.9</v>
      </c>
      <c r="BB246" s="99">
        <f>IF($C246="&lt;01",ROUND(INDEX(EID!$T:$T,MATCH($B246,EID!$B:$B,0))/2,0),ROUND($AP246*$BA246,0))</f>
        <v>205</v>
      </c>
      <c r="BC246" s="85">
        <f>IF(LEFT($B246,4)="_Mil","",IF(SUM($BB246)=0,SUM($AD246),IF(OR(SUM($AP246)=0,SUM($AQ246)=0),MAX($BB246,$AD246),ROUND($BB246*$AQ246/$AP246,0))))</f>
        <v>245</v>
      </c>
      <c r="BD246" s="33">
        <f t="shared" si="62"/>
        <v>0.95</v>
      </c>
      <c r="BE246" s="218">
        <f>IF($C246="&lt;01",ROUND(INDEX(EID!$V:$V,MATCH($B246,EID!$B:$B,0))/2,0),ROUND($BD246*$BB246,0))</f>
        <v>195</v>
      </c>
      <c r="BF246" s="218">
        <f>IF(LEFT($B246,4)="_Mil","",IF(SUM($BE246)=0,SUM($AF246),IF(OR(SUM($AP246)=0,SUM($AQ246)=0),MAX($BE246,$AF246),ROUND($BE246*$AQ246/$AP246,0))))</f>
        <v>233</v>
      </c>
      <c r="BG246" s="79">
        <f t="shared" si="63"/>
        <v>0.95</v>
      </c>
      <c r="BH246" s="99">
        <f>IF($C246="&lt;01",ROUND(INDEX(EID!$L:$L,MATCH($B246,EID!$B:$B,0)),0)/2,IF(SUM($BG246)=0,"",ROUND($AX246/$BG246,0)))</f>
        <v>44</v>
      </c>
    </row>
    <row r="247" spans="1:60" x14ac:dyDescent="0.2">
      <c r="A247" t="str">
        <f>INDEX(Prioritization!$D:$D,MATCH($B247,Prioritization!$A:$A,0))</f>
        <v>4 - Sustained</v>
      </c>
      <c r="B247" t="s">
        <v>320</v>
      </c>
      <c r="C247" t="s">
        <v>476</v>
      </c>
      <c r="D247" t="s">
        <v>30</v>
      </c>
      <c r="E247" t="str">
        <f t="shared" si="53"/>
        <v>Mwanza District [wNqJp8oRIcF]|25-34|Female</v>
      </c>
      <c r="F247" s="229">
        <v>1016</v>
      </c>
      <c r="G247" s="38">
        <v>183</v>
      </c>
      <c r="H247" s="38">
        <v>171</v>
      </c>
      <c r="I247" s="38">
        <v>1396</v>
      </c>
      <c r="J247" s="38">
        <v>1185</v>
      </c>
      <c r="K247" s="38">
        <v>1116</v>
      </c>
      <c r="L247" s="38">
        <v>87</v>
      </c>
      <c r="M247" s="38">
        <v>84</v>
      </c>
      <c r="N247" s="38">
        <v>983</v>
      </c>
      <c r="O247" s="229">
        <v>1088</v>
      </c>
      <c r="P247" s="38">
        <v>900</v>
      </c>
      <c r="Q247" s="38">
        <v>855</v>
      </c>
      <c r="R247" s="38">
        <f t="shared" si="54"/>
        <v>-308</v>
      </c>
      <c r="S247" s="38">
        <f>IF(LEFT($B247,4)="_Mil","",_xlfn.IFNA(ROUND(INDEX(Spectrum!$N:$N,MATCH(RIGHT($B247,13)&amp;"|"&amp;$C247&amp;"|"&amp;$D247&amp;"|"&amp;S$14&amp;"|"&amp;"CY2023Q4",Spectrum!$R:$R,0)),0),""))</f>
        <v>1100</v>
      </c>
      <c r="T247" s="218">
        <f>IF(LEFT($B247,4)="_Mil","",_xlfn.IFNA(ROUND(INDEX(Spectrum!$N:$N,MATCH(RIGHT($B247,13)&amp;"|"&amp;$C247&amp;"|"&amp;$D247&amp;"|"&amp;T$14&amp;"|"&amp;"CY2024Q3",Spectrum!$R:$R,0)),0),""))</f>
        <v>12499</v>
      </c>
      <c r="U247" s="218">
        <f>IF(LEFT($B247,4)="_Mil","",_xlfn.IFNA(ROUND(INDEX(Spectrum!$N:$N,MATCH(RIGHT($B247,13)&amp;"|"&amp;$C247&amp;"|"&amp;$D247&amp;"|"&amp;U$14&amp;"|"&amp;"CY2024Q3",Spectrum!$R:$R,0)),0),""))</f>
        <v>867</v>
      </c>
      <c r="V247" s="38">
        <f>IF(LEFT($B247,4)="_Mil","",_xlfn.IFNA(ROUND(INDEX(Spectrum!$N:$N,MATCH(RIGHT($B247,13)&amp;"|"&amp;$C247&amp;"|"&amp;$D247&amp;"|"&amp;V$14&amp;"|"&amp;"CY2024Q3",Spectrum!$R:$R,0)),0),""))</f>
        <v>1088</v>
      </c>
      <c r="W247" s="220">
        <f>IF(LEFT($B247,4)="_Mil","",_xlfn.IFNA(INDEX(Spectrum!$N:$N,MATCH(RIGHT($B247,13)&amp;"|"&amp;$C247&amp;"|"&amp;$D247&amp;"|"&amp;W$14&amp;"|"&amp;"CY2024Q3",Spectrum!$R:$R,0)),""))</f>
        <v>6.9331470000000006E-2</v>
      </c>
      <c r="X247" s="218">
        <f>IF(LEFT($B247,4)="_Mil","",_xlfn.IFNA(ROUND(INDEX(Spectrum!$N:$N,MATCH(RIGHT($B247,13)&amp;"|"&amp;$C247&amp;"|"&amp;$D247&amp;"|"&amp;X$14&amp;"|"&amp;"CY2024Q3",Spectrum!$R:$R,0)),0),""))</f>
        <v>832</v>
      </c>
      <c r="Y247" s="33">
        <f t="shared" si="55"/>
        <v>0.96</v>
      </c>
      <c r="Z247" s="218">
        <f>IF(LEFT($B247,4)="_Mil","",_xlfn.IFNA(ROUND(INDEX(Spectrum!$N:$N,MATCH(RIGHT($B247,13)&amp;"|"&amp;$C247&amp;"|"&amp;$D247&amp;"|"&amp;Z$14&amp;"|"&amp;"CY2024Q3",Spectrum!$R:$R,0)),0),""))</f>
        <v>1045</v>
      </c>
      <c r="AA247" s="33">
        <f>IF(LEFT($B247,4)="_Mil","",IFERROR(1/(1/INDEX(Spectrum!$N:$N,MATCH(RIGHT($B247,13)&amp;"|"&amp;$C247&amp;"|"&amp;$D247&amp;"|"&amp;AA$14&amp;"|"&amp;"CY2024Q3",Spectrum!$R:$R,0))),IF(SUM($U247)=0,"",SUM($Z247)/$U247)))</f>
        <v>0.95967726099999995</v>
      </c>
      <c r="AB247" s="33">
        <f t="shared" si="56"/>
        <v>1.2560096153846154</v>
      </c>
      <c r="AC247" s="38">
        <f>IF(LEFT($B247,4)="_Mil","",_xlfn.IFNA(ROUND(INDEX(Spectrum!$N:$N,MATCH(RIGHT($B247,13)&amp;"|"&amp;$C247&amp;"|"&amp;$D247&amp;"|"&amp;AC$14&amp;"|"&amp;"CY2024Q3",Spectrum!$R:$R,0)),0),""))</f>
        <v>43</v>
      </c>
      <c r="AD247" s="38" t="str">
        <f>IF(LEFT($B247,4)="_Mil","",_xlfn.IFNA(ROUND(INDEX(Spectrum!$N:$N,MATCH(RIGHT($B247,13)&amp;"|"&amp;$C247&amp;"|"&amp;$D247&amp;"|"&amp;AD$14&amp;"|"&amp;"CY2024Q3",Spectrum!$R:$R,0)),0),""))</f>
        <v/>
      </c>
      <c r="AE247" s="33">
        <f t="shared" si="57"/>
        <v>0</v>
      </c>
      <c r="AF247" s="218" t="str">
        <f>IF(LEFT($B247,4)="_Mil","",_xlfn.IFNA(ROUND(INDEX(Spectrum!$N:$N,MATCH(RIGHT($B247,13)&amp;"|"&amp;$C247&amp;"|"&amp;$D247&amp;"|"&amp;AF$14&amp;"|"&amp;"CY2024Q3",Spectrum!$R:$R,0)),0),""))</f>
        <v/>
      </c>
      <c r="AG247" s="33" t="str">
        <f t="shared" si="58"/>
        <v/>
      </c>
      <c r="AH247" s="110" t="str">
        <f>IF(LEFT($B247,4)="_Mil","",_xlfn.IFNA(INDEX(Spectrum!$N:$N,MATCH(RIGHT($B247,13)&amp;"|"&amp;$C247&amp;"|"&amp;$D247&amp;"|"&amp;AH$14&amp;"|"&amp;"CY2024Q3",Spectrum!$R:$R,0)),""))</f>
        <v/>
      </c>
      <c r="AI247" s="218">
        <f>IF(LEFT($B247,4)="_Mil","",_xlfn.IFNA(ROUND(INDEX(Spectrum!$N:$N,MATCH(RIGHT($B247,13)&amp;"|"&amp;$C247&amp;"|"&amp;$D247&amp;"|"&amp;AI$14&amp;"|"&amp;"CY2025Q3",Spectrum!$R:$R,0)),0),""))</f>
        <v>20</v>
      </c>
      <c r="AJ247" s="38">
        <f>IF(LEFT($B247,4)="_Mil","",_xlfn.IFNA(ROUND(INDEX(Spectrum!$N:$N,MATCH(RIGHT($B247,13)&amp;"|"&amp;$C247&amp;"|"&amp;$D247&amp;"|"&amp;AJ$14&amp;"|"&amp;"CY2025Q3",Spectrum!$R:$R,0)),0),""))</f>
        <v>810</v>
      </c>
      <c r="AK247" s="218" t="e">
        <f>#REF!</f>
        <v>#REF!</v>
      </c>
      <c r="AL247" s="33">
        <f t="shared" si="59"/>
        <v>0.95967726099999995</v>
      </c>
      <c r="AM247" s="38" t="e">
        <f>IF(OR(LEFT($B247,4)="_Mil",$C247="&lt;01"),"",ROUND(SUM($AK247)*SUM($AL247),0))</f>
        <v>#REF!</v>
      </c>
      <c r="AN247" s="38" t="str">
        <f>IF($C247="&lt;01",ROUND(INDEX(EID!$P:$P,MATCH($B247,EID!$B:$B,0))/2,0),"")</f>
        <v/>
      </c>
      <c r="AO247" s="38" t="e">
        <f>IF($C247="&lt;01",SUM($AN247),ROUND(SUM($AM247)*SUM($O247)/IF(SUM($Z247)=0,1,$Z247),0))</f>
        <v>#REF!</v>
      </c>
      <c r="AP247" s="218">
        <f>IF(OR($F247="",$C247="&lt;01"),$AO247,ROUND($F247,0))</f>
        <v>1016</v>
      </c>
      <c r="AQ247" s="218">
        <f>IF(LEFT($B247,4)="_Mil","",IF(SUM($AP247)=0,SUM($Z247),IF(OR(SUM($Z247)=0,SUM($O247)=0),MAX($AP247,$Z247),ROUND($AP247*$Z247/$O247,0))))</f>
        <v>976</v>
      </c>
      <c r="AR247" s="33" t="e">
        <f>IF(OR(LEFT($B247,4)="_Mil",SUM($AK247)=0),"",SUM($AQ247)/$AK247)</f>
        <v>#REF!</v>
      </c>
      <c r="AS247" s="33">
        <f>IF($C247="&lt;01","",86%)</f>
        <v>0.86</v>
      </c>
      <c r="AT247" s="33">
        <f>IF($C247="&lt;01","",90%)</f>
        <v>0.9</v>
      </c>
      <c r="AU247" s="38">
        <f>IF($C247="&lt;01","",SUM($AP247)-SUM($O247))</f>
        <v>-72</v>
      </c>
      <c r="AV247" s="38">
        <f>IF($C247="&lt;01",ROUND(INDEX(EID!$N:$N,MATCH($B247,EID!$B:$B,0))/2,0),IF(SUM($AT247)=0,"",ROUND((SUM($AP247)-(SUM($O247)*SUM($AS247)))/$AT247,0)))</f>
        <v>89</v>
      </c>
      <c r="AW247" s="33">
        <f t="shared" si="60"/>
        <v>1</v>
      </c>
      <c r="AX247" s="218">
        <f>IF($C247="&lt;01",SUM($AV247),ROUND(SUM($AV247)*SUM($AW247),0))</f>
        <v>89</v>
      </c>
      <c r="AY247" s="79">
        <f t="shared" si="61"/>
        <v>0.7</v>
      </c>
      <c r="AZ247" s="85">
        <f>IF($C247="&lt;01",ROUND(INDEX(EID!$R:$R,MATCH($B247,EID!$B:$B,0))/2,0),ROUND(SUM($O247)+(SUM($AV247)*$AY247),0))</f>
        <v>1150</v>
      </c>
      <c r="BA247" s="40">
        <f t="shared" si="65"/>
        <v>0.9</v>
      </c>
      <c r="BB247" s="99">
        <f>IF($C247="&lt;01",ROUND(INDEX(EID!$T:$T,MATCH($B247,EID!$B:$B,0))/2,0),ROUND($AP247*$BA247,0))</f>
        <v>914</v>
      </c>
      <c r="BC247" s="85">
        <f>IF(LEFT($B247,4)="_Mil","",IF(SUM($BB247)=0,SUM($AD247),IF(OR(SUM($AP247)=0,SUM($AQ247)=0),MAX($BB247,$AD247),ROUND($BB247*$AQ247/$AP247,0))))</f>
        <v>878</v>
      </c>
      <c r="BD247" s="33">
        <f t="shared" si="62"/>
        <v>0.95</v>
      </c>
      <c r="BE247" s="218">
        <f>IF($C247="&lt;01",ROUND(INDEX(EID!$V:$V,MATCH($B247,EID!$B:$B,0))/2,0),ROUND($BD247*$BB247,0))</f>
        <v>868</v>
      </c>
      <c r="BF247" s="218">
        <f>IF(LEFT($B247,4)="_Mil","",IF(SUM($BE247)=0,SUM($AF247),IF(OR(SUM($AP247)=0,SUM($AQ247)=0),MAX($BE247,$AF247),ROUND($BE247*$AQ247/$AP247,0))))</f>
        <v>834</v>
      </c>
      <c r="BG247" s="79">
        <f t="shared" si="63"/>
        <v>0.95</v>
      </c>
      <c r="BH247" s="99">
        <f>IF($C247="&lt;01",ROUND(INDEX(EID!$L:$L,MATCH($B247,EID!$B:$B,0)),0)/2,IF(SUM($BG247)=0,"",ROUND($AX247/$BG247,0)))</f>
        <v>94</v>
      </c>
    </row>
    <row r="248" spans="1:60" x14ac:dyDescent="0.2">
      <c r="A248" t="str">
        <f>INDEX(Prioritization!$D:$D,MATCH($B248,Prioritization!$A:$A,0))</f>
        <v>4 - Sustained</v>
      </c>
      <c r="B248" t="s">
        <v>320</v>
      </c>
      <c r="C248" t="s">
        <v>476</v>
      </c>
      <c r="D248" t="s">
        <v>48</v>
      </c>
      <c r="E248" t="str">
        <f t="shared" si="53"/>
        <v>Mwanza District [wNqJp8oRIcF]|25-34|Male</v>
      </c>
      <c r="F248" s="229">
        <v>385</v>
      </c>
      <c r="G248" s="38">
        <v>90</v>
      </c>
      <c r="H248" s="38">
        <v>78</v>
      </c>
      <c r="I248" s="38">
        <v>415</v>
      </c>
      <c r="J248" s="38">
        <v>243</v>
      </c>
      <c r="K248" s="38">
        <v>227</v>
      </c>
      <c r="L248" s="38">
        <v>7</v>
      </c>
      <c r="M248" s="38">
        <v>8</v>
      </c>
      <c r="N248" s="38">
        <v>376</v>
      </c>
      <c r="O248" s="229">
        <v>402</v>
      </c>
      <c r="P248" s="38">
        <v>340</v>
      </c>
      <c r="Q248" s="38">
        <v>323</v>
      </c>
      <c r="R248" s="38">
        <f t="shared" si="54"/>
        <v>-13</v>
      </c>
      <c r="S248" s="38">
        <f>IF(LEFT($B248,4)="_Mil","",_xlfn.IFNA(ROUND(INDEX(Spectrum!$N:$N,MATCH(RIGHT($B248,13)&amp;"|"&amp;$C248&amp;"|"&amp;$D248&amp;"|"&amp;S$14&amp;"|"&amp;"CY2023Q4",Spectrum!$R:$R,0)),0),""))</f>
        <v>350</v>
      </c>
      <c r="T248" s="218">
        <f>IF(LEFT($B248,4)="_Mil","",_xlfn.IFNA(ROUND(INDEX(Spectrum!$N:$N,MATCH(RIGHT($B248,13)&amp;"|"&amp;$C248&amp;"|"&amp;$D248&amp;"|"&amp;T$14&amp;"|"&amp;"CY2024Q3",Spectrum!$R:$R,0)),0),""))</f>
        <v>12179</v>
      </c>
      <c r="U248" s="218">
        <f>IF(LEFT($B248,4)="_Mil","",_xlfn.IFNA(ROUND(INDEX(Spectrum!$N:$N,MATCH(RIGHT($B248,13)&amp;"|"&amp;$C248&amp;"|"&amp;$D248&amp;"|"&amp;U$14&amp;"|"&amp;"CY2024Q3",Spectrum!$R:$R,0)),0),""))</f>
        <v>323</v>
      </c>
      <c r="V248" s="38">
        <f>IF(LEFT($B248,4)="_Mil","",_xlfn.IFNA(ROUND(INDEX(Spectrum!$N:$N,MATCH(RIGHT($B248,13)&amp;"|"&amp;$C248&amp;"|"&amp;$D248&amp;"|"&amp;V$14&amp;"|"&amp;"CY2024Q3",Spectrum!$R:$R,0)),0),""))</f>
        <v>402</v>
      </c>
      <c r="W248" s="220">
        <f>IF(LEFT($B248,4)="_Mil","",_xlfn.IFNA(INDEX(Spectrum!$N:$N,MATCH(RIGHT($B248,13)&amp;"|"&amp;$C248&amp;"|"&amp;$D248&amp;"|"&amp;W$14&amp;"|"&amp;"CY2024Q3",Spectrum!$R:$R,0)),""))</f>
        <v>2.6507598E-2</v>
      </c>
      <c r="X248" s="218">
        <f>IF(LEFT($B248,4)="_Mil","",_xlfn.IFNA(ROUND(INDEX(Spectrum!$N:$N,MATCH(RIGHT($B248,13)&amp;"|"&amp;$C248&amp;"|"&amp;$D248&amp;"|"&amp;X$14&amp;"|"&amp;"CY2024Q3",Spectrum!$R:$R,0)),0),""))</f>
        <v>278</v>
      </c>
      <c r="Y248" s="33">
        <f t="shared" si="55"/>
        <v>0.86</v>
      </c>
      <c r="Z248" s="218">
        <f>IF(LEFT($B248,4)="_Mil","",_xlfn.IFNA(ROUND(INDEX(Spectrum!$N:$N,MATCH(RIGHT($B248,13)&amp;"|"&amp;$C248&amp;"|"&amp;$D248&amp;"|"&amp;Z$14&amp;"|"&amp;"CY2024Q3",Spectrum!$R:$R,0)),0),""))</f>
        <v>350</v>
      </c>
      <c r="AA248" s="33">
        <f>IF(LEFT($B248,4)="_Mil","",IFERROR(1/(1/INDEX(Spectrum!$N:$N,MATCH(RIGHT($B248,13)&amp;"|"&amp;$C248&amp;"|"&amp;$D248&amp;"|"&amp;AA$14&amp;"|"&amp;"CY2024Q3",Spectrum!$R:$R,0))),IF(SUM($U248)=0,"",SUM($Z248)/$U248)))</f>
        <v>0.851851421</v>
      </c>
      <c r="AB248" s="33">
        <f t="shared" si="56"/>
        <v>1.2589928057553956</v>
      </c>
      <c r="AC248" s="38">
        <f>IF(LEFT($B248,4)="_Mil","",_xlfn.IFNA(ROUND(INDEX(Spectrum!$N:$N,MATCH(RIGHT($B248,13)&amp;"|"&amp;$C248&amp;"|"&amp;$D248&amp;"|"&amp;AC$14&amp;"|"&amp;"CY2024Q3",Spectrum!$R:$R,0)),0),""))</f>
        <v>52</v>
      </c>
      <c r="AD248" s="38" t="str">
        <f>IF(LEFT($B248,4)="_Mil","",_xlfn.IFNA(ROUND(INDEX(Spectrum!$N:$N,MATCH(RIGHT($B248,13)&amp;"|"&amp;$C248&amp;"|"&amp;$D248&amp;"|"&amp;AD$14&amp;"|"&amp;"CY2024Q3",Spectrum!$R:$R,0)),0),""))</f>
        <v/>
      </c>
      <c r="AE248" s="33">
        <f t="shared" si="57"/>
        <v>0</v>
      </c>
      <c r="AF248" s="218" t="str">
        <f>IF(LEFT($B248,4)="_Mil","",_xlfn.IFNA(ROUND(INDEX(Spectrum!$N:$N,MATCH(RIGHT($B248,13)&amp;"|"&amp;$C248&amp;"|"&amp;$D248&amp;"|"&amp;AF$14&amp;"|"&amp;"CY2024Q3",Spectrum!$R:$R,0)),0),""))</f>
        <v/>
      </c>
      <c r="AG248" s="33" t="str">
        <f t="shared" si="58"/>
        <v/>
      </c>
      <c r="AH248" s="110" t="str">
        <f>IF(LEFT($B248,4)="_Mil","",_xlfn.IFNA(INDEX(Spectrum!$N:$N,MATCH(RIGHT($B248,13)&amp;"|"&amp;$C248&amp;"|"&amp;$D248&amp;"|"&amp;AH$14&amp;"|"&amp;"CY2024Q3",Spectrum!$R:$R,0)),""))</f>
        <v/>
      </c>
      <c r="AI248" s="218">
        <f>IF(LEFT($B248,4)="_Mil","",_xlfn.IFNA(ROUND(INDEX(Spectrum!$N:$N,MATCH(RIGHT($B248,13)&amp;"|"&amp;$C248&amp;"|"&amp;$D248&amp;"|"&amp;AI$14&amp;"|"&amp;"CY2025Q3",Spectrum!$R:$R,0)),0),""))</f>
        <v>12</v>
      </c>
      <c r="AJ248" s="38">
        <f>IF(LEFT($B248,4)="_Mil","",_xlfn.IFNA(ROUND(INDEX(Spectrum!$N:$N,MATCH(RIGHT($B248,13)&amp;"|"&amp;$C248&amp;"|"&amp;$D248&amp;"|"&amp;AJ$14&amp;"|"&amp;"CY2025Q3",Spectrum!$R:$R,0)),0),""))</f>
        <v>309</v>
      </c>
      <c r="AK248" s="218" t="e">
        <f>#REF!</f>
        <v>#REF!</v>
      </c>
      <c r="AL248" s="33">
        <f t="shared" si="59"/>
        <v>0.9</v>
      </c>
      <c r="AM248" s="38" t="e">
        <f>IF(OR(LEFT($B248,4)="_Mil",$C248="&lt;01"),"",ROUND(SUM($AK248)*SUM($AL248),0))</f>
        <v>#REF!</v>
      </c>
      <c r="AN248" s="38" t="str">
        <f>IF($C248="&lt;01",ROUND(INDEX(EID!$P:$P,MATCH($B248,EID!$B:$B,0))/2,0),"")</f>
        <v/>
      </c>
      <c r="AO248" s="38" t="e">
        <f>IF($C248="&lt;01",SUM($AN248),ROUND(SUM($AM248)*SUM($O248)/IF(SUM($Z248)=0,1,$Z248),0))</f>
        <v>#REF!</v>
      </c>
      <c r="AP248" s="218">
        <f>IF(OR($F248="",$C248="&lt;01"),$AO248,ROUND($F248,0))</f>
        <v>385</v>
      </c>
      <c r="AQ248" s="218">
        <f>IF(LEFT($B248,4)="_Mil","",IF(SUM($AP248)=0,SUM($Z248),IF(OR(SUM($Z248)=0,SUM($O248)=0),MAX($AP248,$Z248),ROUND($AP248*$Z248/$O248,0))))</f>
        <v>335</v>
      </c>
      <c r="AR248" s="33" t="e">
        <f>IF(OR(LEFT($B248,4)="_Mil",SUM($AK248)=0),"",SUM($AQ248)/$AK248)</f>
        <v>#REF!</v>
      </c>
      <c r="AS248" s="33">
        <v>0.85</v>
      </c>
      <c r="AT248" s="33">
        <f t="shared" si="66"/>
        <v>0.98</v>
      </c>
      <c r="AU248" s="38">
        <f>IF($C248="&lt;01","",SUM($AP248)-SUM($O248))</f>
        <v>-17</v>
      </c>
      <c r="AV248" s="38">
        <f>IF($C248="&lt;01",ROUND(INDEX(EID!$N:$N,MATCH($B248,EID!$B:$B,0))/2,0),IF(SUM($AT248)=0,"",ROUND((SUM($AP248)-(SUM($O248)*SUM($AS248)))/$AT248,0)))</f>
        <v>44</v>
      </c>
      <c r="AW248" s="33">
        <f t="shared" si="60"/>
        <v>1</v>
      </c>
      <c r="AX248" s="218">
        <f>IF($C248="&lt;01",SUM($AV248),ROUND(SUM($AV248)*SUM($AW248),0))</f>
        <v>44</v>
      </c>
      <c r="AY248" s="79">
        <f t="shared" si="61"/>
        <v>0.7</v>
      </c>
      <c r="AZ248" s="85">
        <f>IF($C248="&lt;01",ROUND(INDEX(EID!$R:$R,MATCH($B248,EID!$B:$B,0))/2,0),ROUND(SUM($O248)+(SUM($AV248)*$AY248),0))</f>
        <v>433</v>
      </c>
      <c r="BA248" s="40">
        <f t="shared" si="65"/>
        <v>0.9</v>
      </c>
      <c r="BB248" s="99">
        <f>IF($C248="&lt;01",ROUND(INDEX(EID!$T:$T,MATCH($B248,EID!$B:$B,0))/2,0),ROUND($AP248*$BA248,0))</f>
        <v>347</v>
      </c>
      <c r="BC248" s="85">
        <f>IF(LEFT($B248,4)="_Mil","",IF(SUM($BB248)=0,SUM($AD248),IF(OR(SUM($AP248)=0,SUM($AQ248)=0),MAX($BB248,$AD248),ROUND($BB248*$AQ248/$AP248,0))))</f>
        <v>302</v>
      </c>
      <c r="BD248" s="33">
        <f t="shared" si="62"/>
        <v>0.95</v>
      </c>
      <c r="BE248" s="218">
        <f>IF($C248="&lt;01",ROUND(INDEX(EID!$V:$V,MATCH($B248,EID!$B:$B,0))/2,0),ROUND($BD248*$BB248,0))</f>
        <v>330</v>
      </c>
      <c r="BF248" s="218">
        <f>IF(LEFT($B248,4)="_Mil","",IF(SUM($BE248)=0,SUM($AF248),IF(OR(SUM($AP248)=0,SUM($AQ248)=0),MAX($BE248,$AF248),ROUND($BE248*$AQ248/$AP248,0))))</f>
        <v>287</v>
      </c>
      <c r="BG248" s="79">
        <f t="shared" si="63"/>
        <v>0.95</v>
      </c>
      <c r="BH248" s="99">
        <f>IF($C248="&lt;01",ROUND(INDEX(EID!$L:$L,MATCH($B248,EID!$B:$B,0)),0)/2,IF(SUM($BG248)=0,"",ROUND($AX248/$BG248,0)))</f>
        <v>46</v>
      </c>
    </row>
    <row r="249" spans="1:60" x14ac:dyDescent="0.2">
      <c r="A249" t="str">
        <f>INDEX(Prioritization!$D:$D,MATCH($B249,Prioritization!$A:$A,0))</f>
        <v>4 - Sustained</v>
      </c>
      <c r="B249" t="s">
        <v>320</v>
      </c>
      <c r="C249" t="s">
        <v>477</v>
      </c>
      <c r="D249" t="s">
        <v>30</v>
      </c>
      <c r="E249" t="str">
        <f t="shared" si="53"/>
        <v>Mwanza District [wNqJp8oRIcF]|35-49|Female</v>
      </c>
      <c r="F249" s="229">
        <v>2634</v>
      </c>
      <c r="G249" s="38">
        <v>95</v>
      </c>
      <c r="H249" s="38">
        <v>70</v>
      </c>
      <c r="I249" s="38">
        <v>2379</v>
      </c>
      <c r="J249" s="38">
        <v>2003</v>
      </c>
      <c r="K249" s="38">
        <v>1943</v>
      </c>
      <c r="L249" s="38">
        <v>170</v>
      </c>
      <c r="M249" s="38">
        <v>167</v>
      </c>
      <c r="N249" s="38">
        <v>2385</v>
      </c>
      <c r="O249" s="229">
        <v>2567</v>
      </c>
      <c r="P249" s="38">
        <v>2061</v>
      </c>
      <c r="Q249" s="38">
        <v>1958</v>
      </c>
      <c r="R249" s="38">
        <f t="shared" si="54"/>
        <v>188</v>
      </c>
      <c r="S249" s="38">
        <f>IF(LEFT($B249,4)="_Mil","",_xlfn.IFNA(ROUND(INDEX(Spectrum!$N:$N,MATCH(RIGHT($B249,13)&amp;"|"&amp;$C249&amp;"|"&amp;$D249&amp;"|"&amp;S$14&amp;"|"&amp;"CY2023Q4",Spectrum!$R:$R,0)),0),""))</f>
        <v>2574</v>
      </c>
      <c r="T249" s="218">
        <f>IF(LEFT($B249,4)="_Mil","",_xlfn.IFNA(ROUND(INDEX(Spectrum!$N:$N,MATCH(RIGHT($B249,13)&amp;"|"&amp;$C249&amp;"|"&amp;$D249&amp;"|"&amp;T$14&amp;"|"&amp;"CY2024Q3",Spectrum!$R:$R,0)),0),""))</f>
        <v>12074</v>
      </c>
      <c r="U249" s="218">
        <f>IF(LEFT($B249,4)="_Mil","",_xlfn.IFNA(ROUND(INDEX(Spectrum!$N:$N,MATCH(RIGHT($B249,13)&amp;"|"&amp;$C249&amp;"|"&amp;$D249&amp;"|"&amp;U$14&amp;"|"&amp;"CY2024Q3",Spectrum!$R:$R,0)),0),""))</f>
        <v>2081</v>
      </c>
      <c r="V249" s="38">
        <f>IF(LEFT($B249,4)="_Mil","",_xlfn.IFNA(ROUND(INDEX(Spectrum!$N:$N,MATCH(RIGHT($B249,13)&amp;"|"&amp;$C249&amp;"|"&amp;$D249&amp;"|"&amp;V$14&amp;"|"&amp;"CY2024Q3",Spectrum!$R:$R,0)),0),""))</f>
        <v>2632</v>
      </c>
      <c r="W249" s="220">
        <f>IF(LEFT($B249,4)="_Mil","",_xlfn.IFNA(INDEX(Spectrum!$N:$N,MATCH(RIGHT($B249,13)&amp;"|"&amp;$C249&amp;"|"&amp;$D249&amp;"|"&amp;W$14&amp;"|"&amp;"CY2024Q3",Spectrum!$R:$R,0)),""))</f>
        <v>0.17236664500000001</v>
      </c>
      <c r="X249" s="218">
        <f>IF(LEFT($B249,4)="_Mil","",_xlfn.IFNA(ROUND(INDEX(Spectrum!$N:$N,MATCH(RIGHT($B249,13)&amp;"|"&amp;$C249&amp;"|"&amp;$D249&amp;"|"&amp;X$14&amp;"|"&amp;"CY2024Q3",Spectrum!$R:$R,0)),0),""))</f>
        <v>2040</v>
      </c>
      <c r="Y249" s="33">
        <f t="shared" si="55"/>
        <v>0.98</v>
      </c>
      <c r="Z249" s="218">
        <f>IF(LEFT($B249,4)="_Mil","",_xlfn.IFNA(ROUND(INDEX(Spectrum!$N:$N,MATCH(RIGHT($B249,13)&amp;"|"&amp;$C249&amp;"|"&amp;$D249&amp;"|"&amp;Z$14&amp;"|"&amp;"CY2024Q3",Spectrum!$R:$R,0)),0),""))</f>
        <v>2584</v>
      </c>
      <c r="AA249" s="33">
        <f>IF(LEFT($B249,4)="_Mil","",IFERROR(1/(1/INDEX(Spectrum!$N:$N,MATCH(RIGHT($B249,13)&amp;"|"&amp;$C249&amp;"|"&amp;$D249&amp;"|"&amp;AA$14&amp;"|"&amp;"CY2024Q3",Spectrum!$R:$R,0))),IF(SUM($U249)=0,"",SUM($Z249)/$U249)))</f>
        <v>0.97988412199999997</v>
      </c>
      <c r="AB249" s="33">
        <f t="shared" si="56"/>
        <v>1.2666666666666666</v>
      </c>
      <c r="AC249" s="38">
        <f>IF(LEFT($B249,4)="_Mil","",_xlfn.IFNA(ROUND(INDEX(Spectrum!$N:$N,MATCH(RIGHT($B249,13)&amp;"|"&amp;$C249&amp;"|"&amp;$D249&amp;"|"&amp;AC$14&amp;"|"&amp;"CY2024Q3",Spectrum!$R:$R,0)),0),""))</f>
        <v>48</v>
      </c>
      <c r="AD249" s="38" t="str">
        <f>IF(LEFT($B249,4)="_Mil","",_xlfn.IFNA(ROUND(INDEX(Spectrum!$N:$N,MATCH(RIGHT($B249,13)&amp;"|"&amp;$C249&amp;"|"&amp;$D249&amp;"|"&amp;AD$14&amp;"|"&amp;"CY2024Q3",Spectrum!$R:$R,0)),0),""))</f>
        <v/>
      </c>
      <c r="AE249" s="33">
        <f t="shared" si="57"/>
        <v>0</v>
      </c>
      <c r="AF249" s="218" t="str">
        <f>IF(LEFT($B249,4)="_Mil","",_xlfn.IFNA(ROUND(INDEX(Spectrum!$N:$N,MATCH(RIGHT($B249,13)&amp;"|"&amp;$C249&amp;"|"&amp;$D249&amp;"|"&amp;AF$14&amp;"|"&amp;"CY2024Q3",Spectrum!$R:$R,0)),0),""))</f>
        <v/>
      </c>
      <c r="AG249" s="33" t="str">
        <f t="shared" si="58"/>
        <v/>
      </c>
      <c r="AH249" s="110" t="str">
        <f>IF(LEFT($B249,4)="_Mil","",_xlfn.IFNA(INDEX(Spectrum!$N:$N,MATCH(RIGHT($B249,13)&amp;"|"&amp;$C249&amp;"|"&amp;$D249&amp;"|"&amp;AH$14&amp;"|"&amp;"CY2024Q3",Spectrum!$R:$R,0)),""))</f>
        <v/>
      </c>
      <c r="AI249" s="218">
        <f>IF(LEFT($B249,4)="_Mil","",_xlfn.IFNA(ROUND(INDEX(Spectrum!$N:$N,MATCH(RIGHT($B249,13)&amp;"|"&amp;$C249&amp;"|"&amp;$D249&amp;"|"&amp;AI$14&amp;"|"&amp;"CY2025Q3",Spectrum!$R:$R,0)),0),""))</f>
        <v>10</v>
      </c>
      <c r="AJ249" s="38">
        <f>IF(LEFT($B249,4)="_Mil","",_xlfn.IFNA(ROUND(INDEX(Spectrum!$N:$N,MATCH(RIGHT($B249,13)&amp;"|"&amp;$C249&amp;"|"&amp;$D249&amp;"|"&amp;AJ$14&amp;"|"&amp;"CY2025Q3",Spectrum!$R:$R,0)),0),""))</f>
        <v>2084</v>
      </c>
      <c r="AK249" s="218" t="e">
        <f>#REF!</f>
        <v>#REF!</v>
      </c>
      <c r="AL249" s="33">
        <f t="shared" si="59"/>
        <v>0.97988412199999997</v>
      </c>
      <c r="AM249" s="38" t="e">
        <f>IF(OR(LEFT($B249,4)="_Mil",$C249="&lt;01"),"",ROUND(SUM($AK249)*SUM($AL249),0))</f>
        <v>#REF!</v>
      </c>
      <c r="AN249" s="38" t="str">
        <f>IF($C249="&lt;01",ROUND(INDEX(EID!$P:$P,MATCH($B249,EID!$B:$B,0))/2,0),"")</f>
        <v/>
      </c>
      <c r="AO249" s="38" t="e">
        <f>IF($C249="&lt;01",SUM($AN249),ROUND(SUM($AM249)*SUM($O249)/IF(SUM($Z249)=0,1,$Z249),0))</f>
        <v>#REF!</v>
      </c>
      <c r="AP249" s="218">
        <f>IF(OR($F249="",$C249="&lt;01"),$AO249,ROUND($F249,0))</f>
        <v>2634</v>
      </c>
      <c r="AQ249" s="218">
        <f>IF(LEFT($B249,4)="_Mil","",IF(SUM($AP249)=0,SUM($Z249),IF(OR(SUM($Z249)=0,SUM($O249)=0),MAX($AP249,$Z249),ROUND($AP249*$Z249/$O249,0))))</f>
        <v>2651</v>
      </c>
      <c r="AR249" s="33" t="e">
        <f>IF(OR(LEFT($B249,4)="_Mil",SUM($AK249)=0),"",SUM($AQ249)/$AK249)</f>
        <v>#REF!</v>
      </c>
      <c r="AS249" s="33">
        <f>IF($C249="&lt;01","",98%)</f>
        <v>0.98</v>
      </c>
      <c r="AT249" s="33">
        <f t="shared" si="66"/>
        <v>0.98</v>
      </c>
      <c r="AU249" s="38">
        <f>IF($C249="&lt;01","",SUM($AP249)-SUM($O249))</f>
        <v>67</v>
      </c>
      <c r="AV249" s="38">
        <f>IF($C249="&lt;01",ROUND(INDEX(EID!$N:$N,MATCH($B249,EID!$B:$B,0))/2,0),IF(SUM($AT249)=0,"",ROUND((SUM($AP249)-(SUM($O249)*SUM($AS249)))/$AT249,0)))</f>
        <v>121</v>
      </c>
      <c r="AW249" s="33">
        <f t="shared" si="60"/>
        <v>1</v>
      </c>
      <c r="AX249" s="218">
        <f>IF($C249="&lt;01",SUM($AV249),ROUND(SUM($AV249)*SUM($AW249),0))</f>
        <v>121</v>
      </c>
      <c r="AY249" s="79">
        <f t="shared" si="61"/>
        <v>0.7</v>
      </c>
      <c r="AZ249" s="85">
        <f>IF($C249="&lt;01",ROUND(INDEX(EID!$R:$R,MATCH($B249,EID!$B:$B,0))/2,0),ROUND(SUM($O249)+(SUM($AV249)*$AY249),0))</f>
        <v>2652</v>
      </c>
      <c r="BA249" s="40">
        <f t="shared" si="65"/>
        <v>0.9</v>
      </c>
      <c r="BB249" s="99">
        <f>IF($C249="&lt;01",ROUND(INDEX(EID!$T:$T,MATCH($B249,EID!$B:$B,0))/2,0),ROUND($AP249*$BA249,0))</f>
        <v>2371</v>
      </c>
      <c r="BC249" s="85">
        <f>IF(LEFT($B249,4)="_Mil","",IF(SUM($BB249)=0,SUM($AD249),IF(OR(SUM($AP249)=0,SUM($AQ249)=0),MAX($BB249,$AD249),ROUND($BB249*$AQ249/$AP249,0))))</f>
        <v>2386</v>
      </c>
      <c r="BD249" s="33">
        <f t="shared" si="62"/>
        <v>0.95</v>
      </c>
      <c r="BE249" s="218">
        <f>IF($C249="&lt;01",ROUND(INDEX(EID!$V:$V,MATCH($B249,EID!$B:$B,0))/2,0),ROUND($BD249*$BB249,0))</f>
        <v>2252</v>
      </c>
      <c r="BF249" s="218">
        <f>IF(LEFT($B249,4)="_Mil","",IF(SUM($BE249)=0,SUM($AF249),IF(OR(SUM($AP249)=0,SUM($AQ249)=0),MAX($BE249,$AF249),ROUND($BE249*$AQ249/$AP249,0))))</f>
        <v>2267</v>
      </c>
      <c r="BG249" s="79">
        <f t="shared" si="63"/>
        <v>0.95</v>
      </c>
      <c r="BH249" s="99">
        <f>IF($C249="&lt;01",ROUND(INDEX(EID!$L:$L,MATCH($B249,EID!$B:$B,0)),0)/2,IF(SUM($BG249)=0,"",ROUND($AX249/$BG249,0)))</f>
        <v>127</v>
      </c>
    </row>
    <row r="250" spans="1:60" x14ac:dyDescent="0.2">
      <c r="A250" t="str">
        <f>INDEX(Prioritization!$D:$D,MATCH($B250,Prioritization!$A:$A,0))</f>
        <v>4 - Sustained</v>
      </c>
      <c r="B250" t="s">
        <v>320</v>
      </c>
      <c r="C250" t="s">
        <v>477</v>
      </c>
      <c r="D250" t="s">
        <v>48</v>
      </c>
      <c r="E250" t="str">
        <f t="shared" si="53"/>
        <v>Mwanza District [wNqJp8oRIcF]|35-49|Male</v>
      </c>
      <c r="F250" s="229">
        <v>1356</v>
      </c>
      <c r="G250" s="38">
        <v>103</v>
      </c>
      <c r="H250" s="38">
        <v>96</v>
      </c>
      <c r="I250" s="38">
        <v>1345</v>
      </c>
      <c r="J250" s="38">
        <v>918</v>
      </c>
      <c r="K250" s="38">
        <v>870</v>
      </c>
      <c r="L250" s="38">
        <v>20</v>
      </c>
      <c r="M250" s="38">
        <v>19</v>
      </c>
      <c r="N250" s="38">
        <v>1285</v>
      </c>
      <c r="O250" s="229">
        <v>1416</v>
      </c>
      <c r="P250" s="38">
        <v>1160</v>
      </c>
      <c r="Q250" s="38">
        <v>1102</v>
      </c>
      <c r="R250" s="38">
        <f t="shared" si="54"/>
        <v>71</v>
      </c>
      <c r="S250" s="38">
        <f>IF(LEFT($B250,4)="_Mil","",_xlfn.IFNA(ROUND(INDEX(Spectrum!$N:$N,MATCH(RIGHT($B250,13)&amp;"|"&amp;$C250&amp;"|"&amp;$D250&amp;"|"&amp;S$14&amp;"|"&amp;"CY2023Q4",Spectrum!$R:$R,0)),0),""))</f>
        <v>1316</v>
      </c>
      <c r="T250" s="218">
        <f>IF(LEFT($B250,4)="_Mil","",_xlfn.IFNA(ROUND(INDEX(Spectrum!$N:$N,MATCH(RIGHT($B250,13)&amp;"|"&amp;$C250&amp;"|"&amp;$D250&amp;"|"&amp;T$14&amp;"|"&amp;"CY2024Q3",Spectrum!$R:$R,0)),0),""))</f>
        <v>10745</v>
      </c>
      <c r="U250" s="218">
        <f>IF(LEFT($B250,4)="_Mil","",_xlfn.IFNA(ROUND(INDEX(Spectrum!$N:$N,MATCH(RIGHT($B250,13)&amp;"|"&amp;$C250&amp;"|"&amp;$D250&amp;"|"&amp;U$14&amp;"|"&amp;"CY2024Q3",Spectrum!$R:$R,0)),0),""))</f>
        <v>1130</v>
      </c>
      <c r="V250" s="38">
        <f>IF(LEFT($B250,4)="_Mil","",_xlfn.IFNA(ROUND(INDEX(Spectrum!$N:$N,MATCH(RIGHT($B250,13)&amp;"|"&amp;$C250&amp;"|"&amp;$D250&amp;"|"&amp;V$14&amp;"|"&amp;"CY2024Q3",Spectrum!$R:$R,0)),0),""))</f>
        <v>1416</v>
      </c>
      <c r="W250" s="220">
        <f>IF(LEFT($B250,4)="_Mil","",_xlfn.IFNA(INDEX(Spectrum!$N:$N,MATCH(RIGHT($B250,13)&amp;"|"&amp;$C250&amp;"|"&amp;$D250&amp;"|"&amp;W$14&amp;"|"&amp;"CY2024Q3",Spectrum!$R:$R,0)),""))</f>
        <v>0.105198074</v>
      </c>
      <c r="X250" s="218">
        <f>IF(LEFT($B250,4)="_Mil","",_xlfn.IFNA(ROUND(INDEX(Spectrum!$N:$N,MATCH(RIGHT($B250,13)&amp;"|"&amp;$C250&amp;"|"&amp;$D250&amp;"|"&amp;X$14&amp;"|"&amp;"CY2024Q3",Spectrum!$R:$R,0)),0),""))</f>
        <v>1032</v>
      </c>
      <c r="Y250" s="33">
        <f t="shared" si="55"/>
        <v>0.91</v>
      </c>
      <c r="Z250" s="218">
        <f>IF(LEFT($B250,4)="_Mil","",_xlfn.IFNA(ROUND(INDEX(Spectrum!$N:$N,MATCH(RIGHT($B250,13)&amp;"|"&amp;$C250&amp;"|"&amp;$D250&amp;"|"&amp;Z$14&amp;"|"&amp;"CY2024Q3",Spectrum!$R:$R,0)),0),""))</f>
        <v>1307</v>
      </c>
      <c r="AA250" s="33">
        <f>IF(LEFT($B250,4)="_Mil","",IFERROR(1/(1/INDEX(Spectrum!$N:$N,MATCH(RIGHT($B250,13)&amp;"|"&amp;$C250&amp;"|"&amp;$D250&amp;"|"&amp;AA$14&amp;"|"&amp;"CY2024Q3",Spectrum!$R:$R,0))),IF(SUM($U250)=0,"",SUM($Z250)/$U250)))</f>
        <v>0.90792339799999988</v>
      </c>
      <c r="AB250" s="33">
        <f t="shared" si="56"/>
        <v>1.2664728682170543</v>
      </c>
      <c r="AC250" s="38">
        <f>IF(LEFT($B250,4)="_Mil","",_xlfn.IFNA(ROUND(INDEX(Spectrum!$N:$N,MATCH(RIGHT($B250,13)&amp;"|"&amp;$C250&amp;"|"&amp;$D250&amp;"|"&amp;AC$14&amp;"|"&amp;"CY2024Q3",Spectrum!$R:$R,0)),0),""))</f>
        <v>109</v>
      </c>
      <c r="AD250" s="38" t="str">
        <f>IF(LEFT($B250,4)="_Mil","",_xlfn.IFNA(ROUND(INDEX(Spectrum!$N:$N,MATCH(RIGHT($B250,13)&amp;"|"&amp;$C250&amp;"|"&amp;$D250&amp;"|"&amp;AD$14&amp;"|"&amp;"CY2024Q3",Spectrum!$R:$R,0)),0),""))</f>
        <v/>
      </c>
      <c r="AE250" s="33">
        <f t="shared" si="57"/>
        <v>0</v>
      </c>
      <c r="AF250" s="218" t="str">
        <f>IF(LEFT($B250,4)="_Mil","",_xlfn.IFNA(ROUND(INDEX(Spectrum!$N:$N,MATCH(RIGHT($B250,13)&amp;"|"&amp;$C250&amp;"|"&amp;$D250&amp;"|"&amp;AF$14&amp;"|"&amp;"CY2024Q3",Spectrum!$R:$R,0)),0),""))</f>
        <v/>
      </c>
      <c r="AG250" s="33" t="str">
        <f t="shared" si="58"/>
        <v/>
      </c>
      <c r="AH250" s="110" t="str">
        <f>IF(LEFT($B250,4)="_Mil","",_xlfn.IFNA(INDEX(Spectrum!$N:$N,MATCH(RIGHT($B250,13)&amp;"|"&amp;$C250&amp;"|"&amp;$D250&amp;"|"&amp;AH$14&amp;"|"&amp;"CY2024Q3",Spectrum!$R:$R,0)),""))</f>
        <v/>
      </c>
      <c r="AI250" s="218">
        <f>IF(LEFT($B250,4)="_Mil","",_xlfn.IFNA(ROUND(INDEX(Spectrum!$N:$N,MATCH(RIGHT($B250,13)&amp;"|"&amp;$C250&amp;"|"&amp;$D250&amp;"|"&amp;AI$14&amp;"|"&amp;"CY2025Q3",Spectrum!$R:$R,0)),0),""))</f>
        <v>11</v>
      </c>
      <c r="AJ250" s="38">
        <f>IF(LEFT($B250,4)="_Mil","",_xlfn.IFNA(ROUND(INDEX(Spectrum!$N:$N,MATCH(RIGHT($B250,13)&amp;"|"&amp;$C250&amp;"|"&amp;$D250&amp;"|"&amp;AJ$14&amp;"|"&amp;"CY2025Q3",Spectrum!$R:$R,0)),0),""))</f>
        <v>1083</v>
      </c>
      <c r="AK250" s="218" t="e">
        <f>#REF!</f>
        <v>#REF!</v>
      </c>
      <c r="AL250" s="33">
        <f t="shared" si="59"/>
        <v>0.90792339799999988</v>
      </c>
      <c r="AM250" s="38" t="e">
        <f>IF(OR(LEFT($B250,4)="_Mil",$C250="&lt;01"),"",ROUND(SUM($AK250)*SUM($AL250),0))</f>
        <v>#REF!</v>
      </c>
      <c r="AN250" s="38" t="str">
        <f>IF($C250="&lt;01",ROUND(INDEX(EID!$P:$P,MATCH($B250,EID!$B:$B,0))/2,0),"")</f>
        <v/>
      </c>
      <c r="AO250" s="38" t="e">
        <f>IF($C250="&lt;01",SUM($AN250),ROUND(SUM($AM250)*SUM($O250)/IF(SUM($Z250)=0,1,$Z250),0))</f>
        <v>#REF!</v>
      </c>
      <c r="AP250" s="218">
        <f>IF(OR($F250="",$C250="&lt;01"),$AO250,ROUND($F250,0))</f>
        <v>1356</v>
      </c>
      <c r="AQ250" s="218">
        <f>IF(LEFT($B250,4)="_Mil","",IF(SUM($AP250)=0,SUM($Z250),IF(OR(SUM($Z250)=0,SUM($O250)=0),MAX($AP250,$Z250),ROUND($AP250*$Z250/$O250,0))))</f>
        <v>1252</v>
      </c>
      <c r="AR250" s="33" t="e">
        <f>IF(OR(LEFT($B250,4)="_Mil",SUM($AK250)=0),"",SUM($AQ250)/$AK250)</f>
        <v>#REF!</v>
      </c>
      <c r="AS250" s="33">
        <v>0.85</v>
      </c>
      <c r="AT250" s="33">
        <f t="shared" si="66"/>
        <v>0.98</v>
      </c>
      <c r="AU250" s="38">
        <f>IF($C250="&lt;01","",SUM($AP250)-SUM($O250))</f>
        <v>-60</v>
      </c>
      <c r="AV250" s="38">
        <f>IF($C250="&lt;01",ROUND(INDEX(EID!$N:$N,MATCH($B250,EID!$B:$B,0))/2,0),IF(SUM($AT250)=0,"",ROUND((SUM($AP250)-(SUM($O250)*SUM($AS250)))/$AT250,0)))</f>
        <v>156</v>
      </c>
      <c r="AW250" s="33">
        <f t="shared" si="60"/>
        <v>1</v>
      </c>
      <c r="AX250" s="218">
        <f>IF($C250="&lt;01",SUM($AV250),ROUND(SUM($AV250)*SUM($AW250),0))</f>
        <v>156</v>
      </c>
      <c r="AY250" s="79">
        <f t="shared" si="61"/>
        <v>0.7</v>
      </c>
      <c r="AZ250" s="85">
        <f>IF($C250="&lt;01",ROUND(INDEX(EID!$R:$R,MATCH($B250,EID!$B:$B,0))/2,0),ROUND(SUM($O250)+(SUM($AV250)*$AY250),0))</f>
        <v>1525</v>
      </c>
      <c r="BA250" s="40">
        <f t="shared" si="65"/>
        <v>0.9</v>
      </c>
      <c r="BB250" s="99">
        <f>IF($C250="&lt;01",ROUND(INDEX(EID!$T:$T,MATCH($B250,EID!$B:$B,0))/2,0),ROUND($AP250*$BA250,0))</f>
        <v>1220</v>
      </c>
      <c r="BC250" s="85">
        <f>IF(LEFT($B250,4)="_Mil","",IF(SUM($BB250)=0,SUM($AD250),IF(OR(SUM($AP250)=0,SUM($AQ250)=0),MAX($BB250,$AD250),ROUND($BB250*$AQ250/$AP250,0))))</f>
        <v>1126</v>
      </c>
      <c r="BD250" s="33">
        <f t="shared" si="62"/>
        <v>0.95</v>
      </c>
      <c r="BE250" s="218">
        <f>IF($C250="&lt;01",ROUND(INDEX(EID!$V:$V,MATCH($B250,EID!$B:$B,0))/2,0),ROUND($BD250*$BB250,0))</f>
        <v>1159</v>
      </c>
      <c r="BF250" s="218">
        <f>IF(LEFT($B250,4)="_Mil","",IF(SUM($BE250)=0,SUM($AF250),IF(OR(SUM($AP250)=0,SUM($AQ250)=0),MAX($BE250,$AF250),ROUND($BE250*$AQ250/$AP250,0))))</f>
        <v>1070</v>
      </c>
      <c r="BG250" s="79">
        <f t="shared" si="63"/>
        <v>0.95</v>
      </c>
      <c r="BH250" s="99">
        <f>IF($C250="&lt;01",ROUND(INDEX(EID!$L:$L,MATCH($B250,EID!$B:$B,0)),0)/2,IF(SUM($BG250)=0,"",ROUND($AX250/$BG250,0)))</f>
        <v>164</v>
      </c>
    </row>
    <row r="251" spans="1:60" x14ac:dyDescent="0.2">
      <c r="A251" t="str">
        <f>INDEX(Prioritization!$D:$D,MATCH($B251,Prioritization!$A:$A,0))</f>
        <v>4 - Sustained</v>
      </c>
      <c r="B251" t="s">
        <v>320</v>
      </c>
      <c r="C251" t="s">
        <v>478</v>
      </c>
      <c r="D251" t="s">
        <v>30</v>
      </c>
      <c r="E251" t="str">
        <f t="shared" si="53"/>
        <v>Mwanza District [wNqJp8oRIcF]|50+|Female</v>
      </c>
      <c r="F251" s="229">
        <v>996</v>
      </c>
      <c r="G251" s="38">
        <v>20</v>
      </c>
      <c r="H251" s="38">
        <v>12</v>
      </c>
      <c r="I251" s="38">
        <v>860</v>
      </c>
      <c r="J251" s="38">
        <v>700</v>
      </c>
      <c r="K251" s="38">
        <v>686</v>
      </c>
      <c r="L251" s="38">
        <v>113</v>
      </c>
      <c r="M251" s="38">
        <v>110</v>
      </c>
      <c r="N251" s="38">
        <v>1066</v>
      </c>
      <c r="O251" s="229">
        <v>928</v>
      </c>
      <c r="P251" s="38">
        <v>879</v>
      </c>
      <c r="Q251" s="38">
        <v>835</v>
      </c>
      <c r="R251" s="38">
        <f t="shared" si="54"/>
        <v>68</v>
      </c>
      <c r="S251" s="38">
        <f>IF(LEFT($B251,4)="_Mil","",_xlfn.IFNA(ROUND(INDEX(Spectrum!$N:$N,MATCH(RIGHT($B251,13)&amp;"|"&amp;$C251&amp;"|"&amp;$D251&amp;"|"&amp;S$14&amp;"|"&amp;"CY2023Q4",Spectrum!$R:$R,0)),0),""))</f>
        <v>1122</v>
      </c>
      <c r="T251" s="218">
        <f>IF(LEFT($B251,4)="_Mil","",_xlfn.IFNA(ROUND(INDEX(Spectrum!$N:$N,MATCH(RIGHT($B251,13)&amp;"|"&amp;$C251&amp;"|"&amp;$D251&amp;"|"&amp;T$14&amp;"|"&amp;"CY2024Q3",Spectrum!$R:$R,0)),0),""))</f>
        <v>6722</v>
      </c>
      <c r="U251" s="218">
        <f>IF(LEFT($B251,4)="_Mil","",_xlfn.IFNA(ROUND(INDEX(Spectrum!$N:$N,MATCH(RIGHT($B251,13)&amp;"|"&amp;$C251&amp;"|"&amp;$D251&amp;"|"&amp;U$14&amp;"|"&amp;"CY2024Q3",Spectrum!$R:$R,0)),0),""))</f>
        <v>951</v>
      </c>
      <c r="V251" s="38">
        <f>IF(LEFT($B251,4)="_Mil","",_xlfn.IFNA(ROUND(INDEX(Spectrum!$N:$N,MATCH(RIGHT($B251,13)&amp;"|"&amp;$C251&amp;"|"&amp;$D251&amp;"|"&amp;V$14&amp;"|"&amp;"CY2024Q3",Spectrum!$R:$R,0)),0),""))</f>
        <v>1208</v>
      </c>
      <c r="W251" s="220">
        <f>IF(LEFT($B251,4)="_Mil","",_xlfn.IFNA(INDEX(Spectrum!$N:$N,MATCH(RIGHT($B251,13)&amp;"|"&amp;$C251&amp;"|"&amp;$D251&amp;"|"&amp;W$14&amp;"|"&amp;"CY2024Q3",Spectrum!$R:$R,0)),""))</f>
        <v>0.141427148</v>
      </c>
      <c r="X251" s="218">
        <f>IF(LEFT($B251,4)="_Mil","",_xlfn.IFNA(ROUND(INDEX(Spectrum!$N:$N,MATCH(RIGHT($B251,13)&amp;"|"&amp;$C251&amp;"|"&amp;$D251&amp;"|"&amp;X$14&amp;"|"&amp;"CY2024Q3",Spectrum!$R:$R,0)),0),""))</f>
        <v>940</v>
      </c>
      <c r="Y251" s="33">
        <f t="shared" si="55"/>
        <v>0.99</v>
      </c>
      <c r="Z251" s="218">
        <f>IF(LEFT($B251,4)="_Mil","",_xlfn.IFNA(ROUND(INDEX(Spectrum!$N:$N,MATCH(RIGHT($B251,13)&amp;"|"&amp;$C251&amp;"|"&amp;$D251&amp;"|"&amp;Z$14&amp;"|"&amp;"CY2024Q3",Spectrum!$R:$R,0)),0),""))</f>
        <v>1191</v>
      </c>
      <c r="AA251" s="33">
        <f>IF(LEFT($B251,4)="_Mil","",IFERROR(1/(1/INDEX(Spectrum!$N:$N,MATCH(RIGHT($B251,13)&amp;"|"&amp;$C251&amp;"|"&amp;$D251&amp;"|"&amp;AA$14&amp;"|"&amp;"CY2024Q3",Spectrum!$R:$R,0))),IF(SUM($U251)=0,"",SUM($Z251)/$U251)))</f>
        <v>0.98624378499999987</v>
      </c>
      <c r="AB251" s="33">
        <f t="shared" si="56"/>
        <v>1.2670212765957447</v>
      </c>
      <c r="AC251" s="38">
        <f>IF(LEFT($B251,4)="_Mil","",_xlfn.IFNA(ROUND(INDEX(Spectrum!$N:$N,MATCH(RIGHT($B251,13)&amp;"|"&amp;$C251&amp;"|"&amp;$D251&amp;"|"&amp;AC$14&amp;"|"&amp;"CY2024Q3",Spectrum!$R:$R,0)),0),""))</f>
        <v>16</v>
      </c>
      <c r="AD251" s="38" t="str">
        <f>IF(LEFT($B251,4)="_Mil","",_xlfn.IFNA(ROUND(INDEX(Spectrum!$N:$N,MATCH(RIGHT($B251,13)&amp;"|"&amp;$C251&amp;"|"&amp;$D251&amp;"|"&amp;AD$14&amp;"|"&amp;"CY2024Q3",Spectrum!$R:$R,0)),0),""))</f>
        <v/>
      </c>
      <c r="AE251" s="33">
        <f t="shared" si="57"/>
        <v>0</v>
      </c>
      <c r="AF251" s="218" t="str">
        <f>IF(LEFT($B251,4)="_Mil","",_xlfn.IFNA(ROUND(INDEX(Spectrum!$N:$N,MATCH(RIGHT($B251,13)&amp;"|"&amp;$C251&amp;"|"&amp;$D251&amp;"|"&amp;AF$14&amp;"|"&amp;"CY2024Q3",Spectrum!$R:$R,0)),0),""))</f>
        <v/>
      </c>
      <c r="AG251" s="33" t="str">
        <f t="shared" si="58"/>
        <v/>
      </c>
      <c r="AH251" s="110" t="str">
        <f>IF(LEFT($B251,4)="_Mil","",_xlfn.IFNA(INDEX(Spectrum!$N:$N,MATCH(RIGHT($B251,13)&amp;"|"&amp;$C251&amp;"|"&amp;$D251&amp;"|"&amp;AH$14&amp;"|"&amp;"CY2024Q3",Spectrum!$R:$R,0)),""))</f>
        <v/>
      </c>
      <c r="AI251" s="218">
        <f>IF(LEFT($B251,4)="_Mil","",_xlfn.IFNA(ROUND(INDEX(Spectrum!$N:$N,MATCH(RIGHT($B251,13)&amp;"|"&amp;$C251&amp;"|"&amp;$D251&amp;"|"&amp;AI$14&amp;"|"&amp;"CY2025Q3",Spectrum!$R:$R,0)),0),""))</f>
        <v>2</v>
      </c>
      <c r="AJ251" s="38">
        <f>IF(LEFT($B251,4)="_Mil","",_xlfn.IFNA(ROUND(INDEX(Spectrum!$N:$N,MATCH(RIGHT($B251,13)&amp;"|"&amp;$C251&amp;"|"&amp;$D251&amp;"|"&amp;AJ$14&amp;"|"&amp;"CY2025Q3",Spectrum!$R:$R,0)),0),""))</f>
        <v>1031</v>
      </c>
      <c r="AK251" s="218" t="e">
        <f>#REF!</f>
        <v>#REF!</v>
      </c>
      <c r="AL251" s="33">
        <f t="shared" si="59"/>
        <v>0.98624378499999987</v>
      </c>
      <c r="AM251" s="38" t="e">
        <f>IF(OR(LEFT($B251,4)="_Mil",$C251="&lt;01"),"",ROUND(SUM($AK251)*SUM($AL251),0))</f>
        <v>#REF!</v>
      </c>
      <c r="AN251" s="38" t="str">
        <f>IF($C251="&lt;01",ROUND(INDEX(EID!$P:$P,MATCH($B251,EID!$B:$B,0))/2,0),"")</f>
        <v/>
      </c>
      <c r="AO251" s="38" t="e">
        <f>IF($C251="&lt;01",SUM($AN251),ROUND(SUM($AM251)*SUM($O251)/IF(SUM($Z251)=0,1,$Z251),0))</f>
        <v>#REF!</v>
      </c>
      <c r="AP251" s="218">
        <f>IF(OR($F251="",$C251="&lt;01"),$AO251,ROUND($F251,0))</f>
        <v>996</v>
      </c>
      <c r="AQ251" s="218">
        <f>IF(LEFT($B251,4)="_Mil","",IF(SUM($AP251)=0,SUM($Z251),IF(OR(SUM($Z251)=0,SUM($O251)=0),MAX($AP251,$Z251),ROUND($AP251*$Z251/$O251,0))))</f>
        <v>1278</v>
      </c>
      <c r="AR251" s="33" t="e">
        <f>IF(OR(LEFT($B251,4)="_Mil",SUM($AK251)=0),"",SUM($AQ251)/$AK251)</f>
        <v>#REF!</v>
      </c>
      <c r="AS251" s="33">
        <v>1.02</v>
      </c>
      <c r="AT251" s="33">
        <f>IF($C251="&lt;01","",100%)</f>
        <v>1</v>
      </c>
      <c r="AU251" s="38">
        <f>IF($C251="&lt;01","",SUM($AP251)-SUM($O251))</f>
        <v>68</v>
      </c>
      <c r="AV251" s="38">
        <f>IF($C251="&lt;01",ROUND(INDEX(EID!$N:$N,MATCH($B251,EID!$B:$B,0))/2,0),IF(SUM($AT251)=0,"",ROUND((SUM($AP251)-(SUM($O251)*SUM($AS251)))/$AT251,0)))</f>
        <v>49</v>
      </c>
      <c r="AW251" s="33">
        <v>0.8</v>
      </c>
      <c r="AX251" s="218">
        <f>IF($C251="&lt;01",SUM($AV251),ROUND(SUM($AV251)*SUM($AW251),0))</f>
        <v>39</v>
      </c>
      <c r="AY251" s="79">
        <f t="shared" si="61"/>
        <v>0.7</v>
      </c>
      <c r="AZ251" s="85">
        <f>IF($C251="&lt;01",ROUND(INDEX(EID!$R:$R,MATCH($B251,EID!$B:$B,0))/2,0),ROUND(SUM($O251)+(SUM($AV251)*$AY251),0))</f>
        <v>962</v>
      </c>
      <c r="BA251" s="40">
        <f t="shared" si="65"/>
        <v>0.9</v>
      </c>
      <c r="BB251" s="99">
        <f>IF($C251="&lt;01",ROUND(INDEX(EID!$T:$T,MATCH($B251,EID!$B:$B,0))/2,0),ROUND($AP251*$BA251,0))</f>
        <v>896</v>
      </c>
      <c r="BC251" s="85">
        <f>IF(LEFT($B251,4)="_Mil","",IF(SUM($BB251)=0,SUM($AD251),IF(OR(SUM($AP251)=0,SUM($AQ251)=0),MAX($BB251,$AD251),ROUND($BB251*$AQ251/$AP251,0))))</f>
        <v>1150</v>
      </c>
      <c r="BD251" s="33">
        <f t="shared" si="62"/>
        <v>0.95</v>
      </c>
      <c r="BE251" s="218">
        <f>IF($C251="&lt;01",ROUND(INDEX(EID!$V:$V,MATCH($B251,EID!$B:$B,0))/2,0),ROUND($BD251*$BB251,0))</f>
        <v>851</v>
      </c>
      <c r="BF251" s="218">
        <f>IF(LEFT($B251,4)="_Mil","",IF(SUM($BE251)=0,SUM($AF251),IF(OR(SUM($AP251)=0,SUM($AQ251)=0),MAX($BE251,$AF251),ROUND($BE251*$AQ251/$AP251,0))))</f>
        <v>1092</v>
      </c>
      <c r="BG251" s="79">
        <f t="shared" si="63"/>
        <v>0.95</v>
      </c>
      <c r="BH251" s="99">
        <f>IF($C251="&lt;01",ROUND(INDEX(EID!$L:$L,MATCH($B251,EID!$B:$B,0)),0)/2,IF(SUM($BG251)=0,"",ROUND($AX251/$BG251,0)))</f>
        <v>41</v>
      </c>
    </row>
    <row r="252" spans="1:60" x14ac:dyDescent="0.2">
      <c r="A252" t="str">
        <f>INDEX(Prioritization!$D:$D,MATCH($B252,Prioritization!$A:$A,0))</f>
        <v>4 - Sustained</v>
      </c>
      <c r="B252" t="s">
        <v>320</v>
      </c>
      <c r="C252" t="s">
        <v>478</v>
      </c>
      <c r="D252" t="s">
        <v>48</v>
      </c>
      <c r="E252" t="str">
        <f t="shared" si="53"/>
        <v>Mwanza District [wNqJp8oRIcF]|50+|Male</v>
      </c>
      <c r="F252" s="229">
        <v>876</v>
      </c>
      <c r="G252" s="38">
        <v>18</v>
      </c>
      <c r="H252" s="38">
        <v>23</v>
      </c>
      <c r="I252" s="38">
        <v>740</v>
      </c>
      <c r="J252" s="38">
        <v>564</v>
      </c>
      <c r="K252" s="38">
        <v>544</v>
      </c>
      <c r="L252" s="38">
        <v>82</v>
      </c>
      <c r="M252" s="38">
        <v>78</v>
      </c>
      <c r="N252" s="38">
        <v>879</v>
      </c>
      <c r="O252" s="229">
        <v>808</v>
      </c>
      <c r="P252" s="38">
        <v>733</v>
      </c>
      <c r="Q252" s="38">
        <v>696</v>
      </c>
      <c r="R252" s="38">
        <f t="shared" si="54"/>
        <v>68</v>
      </c>
      <c r="S252" s="38">
        <f>IF(LEFT($B252,4)="_Mil","",_xlfn.IFNA(ROUND(INDEX(Spectrum!$N:$N,MATCH(RIGHT($B252,13)&amp;"|"&amp;$C252&amp;"|"&amp;$D252&amp;"|"&amp;S$14&amp;"|"&amp;"CY2023Q4",Spectrum!$R:$R,0)),0),""))</f>
        <v>861</v>
      </c>
      <c r="T252" s="218">
        <f>IF(LEFT($B252,4)="_Mil","",_xlfn.IFNA(ROUND(INDEX(Spectrum!$N:$N,MATCH(RIGHT($B252,13)&amp;"|"&amp;$C252&amp;"|"&amp;$D252&amp;"|"&amp;T$14&amp;"|"&amp;"CY2024Q3",Spectrum!$R:$R,0)),0),""))</f>
        <v>5143</v>
      </c>
      <c r="U252" s="218">
        <f>IF(LEFT($B252,4)="_Mil","",_xlfn.IFNA(ROUND(INDEX(Spectrum!$N:$N,MATCH(RIGHT($B252,13)&amp;"|"&amp;$C252&amp;"|"&amp;$D252&amp;"|"&amp;U$14&amp;"|"&amp;"CY2024Q3",Spectrum!$R:$R,0)),0),""))</f>
        <v>758</v>
      </c>
      <c r="V252" s="38">
        <f>IF(LEFT($B252,4)="_Mil","",_xlfn.IFNA(ROUND(INDEX(Spectrum!$N:$N,MATCH(RIGHT($B252,13)&amp;"|"&amp;$C252&amp;"|"&amp;$D252&amp;"|"&amp;V$14&amp;"|"&amp;"CY2024Q3",Spectrum!$R:$R,0)),0),""))</f>
        <v>971</v>
      </c>
      <c r="W252" s="220">
        <f>IF(LEFT($B252,4)="_Mil","",_xlfn.IFNA(INDEX(Spectrum!$N:$N,MATCH(RIGHT($B252,13)&amp;"|"&amp;$C252&amp;"|"&amp;$D252&amp;"|"&amp;W$14&amp;"|"&amp;"CY2024Q3",Spectrum!$R:$R,0)),""))</f>
        <v>0.147368692</v>
      </c>
      <c r="X252" s="218">
        <f>IF(LEFT($B252,4)="_Mil","",_xlfn.IFNA(ROUND(INDEX(Spectrum!$N:$N,MATCH(RIGHT($B252,13)&amp;"|"&amp;$C252&amp;"|"&amp;$D252&amp;"|"&amp;X$14&amp;"|"&amp;"CY2024Q3",Spectrum!$R:$R,0)),0),""))</f>
        <v>713</v>
      </c>
      <c r="Y252" s="33">
        <f t="shared" si="55"/>
        <v>0.94</v>
      </c>
      <c r="Z252" s="218">
        <f>IF(LEFT($B252,4)="_Mil","",_xlfn.IFNA(ROUND(INDEX(Spectrum!$N:$N,MATCH(RIGHT($B252,13)&amp;"|"&amp;$C252&amp;"|"&amp;$D252&amp;"|"&amp;Z$14&amp;"|"&amp;"CY2024Q3",Spectrum!$R:$R,0)),0),""))</f>
        <v>918</v>
      </c>
      <c r="AA252" s="33">
        <f>IF(LEFT($B252,4)="_Mil","",IFERROR(1/(1/INDEX(Spectrum!$N:$N,MATCH(RIGHT($B252,13)&amp;"|"&amp;$C252&amp;"|"&amp;$D252&amp;"|"&amp;AA$14&amp;"|"&amp;"CY2024Q3",Spectrum!$R:$R,0))),IF(SUM($U252)=0,"",SUM($Z252)/$U252)))</f>
        <v>0.9366095860000001</v>
      </c>
      <c r="AB252" s="33">
        <f t="shared" si="56"/>
        <v>1.2875175315568022</v>
      </c>
      <c r="AC252" s="38">
        <f>IF(LEFT($B252,4)="_Mil","",_xlfn.IFNA(ROUND(INDEX(Spectrum!$N:$N,MATCH(RIGHT($B252,13)&amp;"|"&amp;$C252&amp;"|"&amp;$D252&amp;"|"&amp;AC$14&amp;"|"&amp;"CY2024Q3",Spectrum!$R:$R,0)),0),""))</f>
        <v>52</v>
      </c>
      <c r="AD252" s="38" t="str">
        <f>IF(LEFT($B252,4)="_Mil","",_xlfn.IFNA(ROUND(INDEX(Spectrum!$N:$N,MATCH(RIGHT($B252,13)&amp;"|"&amp;$C252&amp;"|"&amp;$D252&amp;"|"&amp;AD$14&amp;"|"&amp;"CY2024Q3",Spectrum!$R:$R,0)),0),""))</f>
        <v/>
      </c>
      <c r="AE252" s="33">
        <f t="shared" si="57"/>
        <v>0</v>
      </c>
      <c r="AF252" s="218" t="str">
        <f>IF(LEFT($B252,4)="_Mil","",_xlfn.IFNA(ROUND(INDEX(Spectrum!$N:$N,MATCH(RIGHT($B252,13)&amp;"|"&amp;$C252&amp;"|"&amp;$D252&amp;"|"&amp;AF$14&amp;"|"&amp;"CY2024Q3",Spectrum!$R:$R,0)),0),""))</f>
        <v/>
      </c>
      <c r="AG252" s="33" t="str">
        <f t="shared" si="58"/>
        <v/>
      </c>
      <c r="AH252" s="110" t="str">
        <f>IF(LEFT($B252,4)="_Mil","",_xlfn.IFNA(INDEX(Spectrum!$N:$N,MATCH(RIGHT($B252,13)&amp;"|"&amp;$C252&amp;"|"&amp;$D252&amp;"|"&amp;AH$14&amp;"|"&amp;"CY2024Q3",Spectrum!$R:$R,0)),""))</f>
        <v/>
      </c>
      <c r="AI252" s="218">
        <f>IF(LEFT($B252,4)="_Mil","",_xlfn.IFNA(ROUND(INDEX(Spectrum!$N:$N,MATCH(RIGHT($B252,13)&amp;"|"&amp;$C252&amp;"|"&amp;$D252&amp;"|"&amp;AI$14&amp;"|"&amp;"CY2025Q3",Spectrum!$R:$R,0)),0),""))</f>
        <v>3</v>
      </c>
      <c r="AJ252" s="38">
        <f>IF(LEFT($B252,4)="_Mil","",_xlfn.IFNA(ROUND(INDEX(Spectrum!$N:$N,MATCH(RIGHT($B252,13)&amp;"|"&amp;$C252&amp;"|"&amp;$D252&amp;"|"&amp;AJ$14&amp;"|"&amp;"CY2025Q3",Spectrum!$R:$R,0)),0),""))</f>
        <v>810</v>
      </c>
      <c r="AK252" s="218" t="e">
        <f>#REF!</f>
        <v>#REF!</v>
      </c>
      <c r="AL252" s="33">
        <f t="shared" si="59"/>
        <v>0.9366095860000001</v>
      </c>
      <c r="AM252" s="38" t="e">
        <f>IF(OR(LEFT($B252,4)="_Mil",$C252="&lt;01"),"",ROUND(SUM($AK252)*SUM($AL252),0))</f>
        <v>#REF!</v>
      </c>
      <c r="AN252" s="38" t="str">
        <f>IF($C252="&lt;01",ROUND(INDEX(EID!$P:$P,MATCH($B252,EID!$B:$B,0))/2,0),"")</f>
        <v/>
      </c>
      <c r="AO252" s="38" t="e">
        <f>IF($C252="&lt;01",SUM($AN252),ROUND(SUM($AM252)*SUM($O252)/IF(SUM($Z252)=0,1,$Z252),0))</f>
        <v>#REF!</v>
      </c>
      <c r="AP252" s="218">
        <f>IF(OR($F252="",$C252="&lt;01"),$AO252,ROUND($F252,0))</f>
        <v>876</v>
      </c>
      <c r="AQ252" s="218">
        <f>IF(LEFT($B252,4)="_Mil","",IF(SUM($AP252)=0,SUM($Z252),IF(OR(SUM($Z252)=0,SUM($O252)=0),MAX($AP252,$Z252),ROUND($AP252*$Z252/$O252,0))))</f>
        <v>995</v>
      </c>
      <c r="AR252" s="33" t="e">
        <f>IF(OR(LEFT($B252,4)="_Mil",SUM($AK252)=0),"",SUM($AQ252)/$AK252)</f>
        <v>#REF!</v>
      </c>
      <c r="AS252" s="33">
        <v>1.02</v>
      </c>
      <c r="AT252" s="33">
        <f>IF($C252="&lt;01","",100%)</f>
        <v>1</v>
      </c>
      <c r="AU252" s="38">
        <f>IF($C252="&lt;01","",SUM($AP252)-SUM($O252))</f>
        <v>68</v>
      </c>
      <c r="AV252" s="38">
        <f>IF($C252="&lt;01",ROUND(INDEX(EID!$N:$N,MATCH($B252,EID!$B:$B,0))/2,0),IF(SUM($AT252)=0,"",ROUND((SUM($AP252)-(SUM($O252)*SUM($AS252)))/$AT252,0)))</f>
        <v>52</v>
      </c>
      <c r="AW252" s="33">
        <v>0.8</v>
      </c>
      <c r="AX252" s="218">
        <f>IF($C252="&lt;01",SUM($AV252),ROUND(SUM($AV252)*SUM($AW252),0))</f>
        <v>42</v>
      </c>
      <c r="AY252" s="79">
        <f t="shared" si="61"/>
        <v>0.7</v>
      </c>
      <c r="AZ252" s="85">
        <f>IF($C252="&lt;01",ROUND(INDEX(EID!$R:$R,MATCH($B252,EID!$B:$B,0))/2,0),ROUND(SUM($O252)+(SUM($AV252)*$AY252),0))</f>
        <v>844</v>
      </c>
      <c r="BA252" s="40">
        <f t="shared" si="65"/>
        <v>0.9</v>
      </c>
      <c r="BB252" s="99">
        <f>IF($C252="&lt;01",ROUND(INDEX(EID!$T:$T,MATCH($B252,EID!$B:$B,0))/2,0),ROUND($AP252*$BA252,0))</f>
        <v>788</v>
      </c>
      <c r="BC252" s="85">
        <f>IF(LEFT($B252,4)="_Mil","",IF(SUM($BB252)=0,SUM($AD252),IF(OR(SUM($AP252)=0,SUM($AQ252)=0),MAX($BB252,$AD252),ROUND($BB252*$AQ252/$AP252,0))))</f>
        <v>895</v>
      </c>
      <c r="BD252" s="33">
        <f t="shared" si="62"/>
        <v>0.95</v>
      </c>
      <c r="BE252" s="218">
        <f>IF($C252="&lt;01",ROUND(INDEX(EID!$V:$V,MATCH($B252,EID!$B:$B,0))/2,0),ROUND($BD252*$BB252,0))</f>
        <v>749</v>
      </c>
      <c r="BF252" s="218">
        <f>IF(LEFT($B252,4)="_Mil","",IF(SUM($BE252)=0,SUM($AF252),IF(OR(SUM($AP252)=0,SUM($AQ252)=0),MAX($BE252,$AF252),ROUND($BE252*$AQ252/$AP252,0))))</f>
        <v>851</v>
      </c>
      <c r="BG252" s="79">
        <f t="shared" si="63"/>
        <v>0.95</v>
      </c>
      <c r="BH252" s="99">
        <f>IF($C252="&lt;01",ROUND(INDEX(EID!$L:$L,MATCH($B252,EID!$B:$B,0)),0)/2,IF(SUM($BG252)=0,"",ROUND($AX252/$BG252,0)))</f>
        <v>44</v>
      </c>
    </row>
    <row r="253" spans="1:60" x14ac:dyDescent="0.2">
      <c r="A253" t="str">
        <f>INDEX(Prioritization!$D:$D,MATCH($B253,Prioritization!$A:$A,0))</f>
        <v>1 - Scale-up: Saturation</v>
      </c>
      <c r="B253" t="s">
        <v>310</v>
      </c>
      <c r="C253" t="s">
        <v>426</v>
      </c>
      <c r="D253" t="s">
        <v>30</v>
      </c>
      <c r="E253" t="str">
        <f t="shared" si="53"/>
        <v>Mzimba District [vA4NcHxfMBq]|&lt;01|Female</v>
      </c>
      <c r="F253" s="229">
        <v>24</v>
      </c>
      <c r="G253" s="38">
        <v>128</v>
      </c>
      <c r="H253" s="38">
        <v>19</v>
      </c>
      <c r="I253" s="38">
        <v>16</v>
      </c>
      <c r="J253" s="38">
        <v>94</v>
      </c>
      <c r="K253" s="38">
        <v>86</v>
      </c>
      <c r="L253" s="38"/>
      <c r="M253" s="38">
        <v>28</v>
      </c>
      <c r="N253" s="38">
        <v>26</v>
      </c>
      <c r="O253" s="229">
        <v>20</v>
      </c>
      <c r="P253" s="38">
        <v>18</v>
      </c>
      <c r="Q253" s="38">
        <v>17</v>
      </c>
      <c r="R253" s="38">
        <f t="shared" si="54"/>
        <v>4</v>
      </c>
      <c r="S253" s="38">
        <f>IF(LEFT($B253,4)="_Mil","",_xlfn.IFNA(ROUND(INDEX(Spectrum!$N:$N,MATCH(RIGHT($B253,13)&amp;"|"&amp;$C253&amp;"|"&amp;$D253&amp;"|"&amp;S$14&amp;"|"&amp;"CY2023Q4",Spectrum!$R:$R,0)),0),""))</f>
        <v>18</v>
      </c>
      <c r="T253" s="218">
        <f>IF(LEFT($B253,4)="_Mil","",_xlfn.IFNA(ROUND(INDEX(Spectrum!$N:$N,MATCH(RIGHT($B253,13)&amp;"|"&amp;$C253&amp;"|"&amp;$D253&amp;"|"&amp;T$14&amp;"|"&amp;"CY2024Q3",Spectrum!$R:$R,0)),0),""))</f>
        <v>20181</v>
      </c>
      <c r="U253" s="218">
        <f>IF(LEFT($B253,4)="_Mil","",_xlfn.IFNA(ROUND(INDEX(Spectrum!$N:$N,MATCH(RIGHT($B253,13)&amp;"|"&amp;$C253&amp;"|"&amp;$D253&amp;"|"&amp;U$14&amp;"|"&amp;"CY2024Q3",Spectrum!$R:$R,0)),0),""))</f>
        <v>25</v>
      </c>
      <c r="V253" s="38">
        <f>IF(LEFT($B253,4)="_Mil","",_xlfn.IFNA(ROUND(INDEX(Spectrum!$N:$N,MATCH(RIGHT($B253,13)&amp;"|"&amp;$C253&amp;"|"&amp;$D253&amp;"|"&amp;V$14&amp;"|"&amp;"CY2024Q3",Spectrum!$R:$R,0)),0),""))</f>
        <v>26</v>
      </c>
      <c r="W253" s="220">
        <f>IF(LEFT($B253,4)="_Mil","",_xlfn.IFNA(INDEX(Spectrum!$N:$N,MATCH(RIGHT($B253,13)&amp;"|"&amp;$C253&amp;"|"&amp;$D253&amp;"|"&amp;W$14&amp;"|"&amp;"CY2024Q3",Spectrum!$R:$R,0)),""))</f>
        <v>1.261594E-3</v>
      </c>
      <c r="X253" s="218">
        <f>IF(LEFT($B253,4)="_Mil","",_xlfn.IFNA(ROUND(INDEX(Spectrum!$N:$N,MATCH(RIGHT($B253,13)&amp;"|"&amp;$C253&amp;"|"&amp;$D253&amp;"|"&amp;X$14&amp;"|"&amp;"CY2024Q3",Spectrum!$R:$R,0)),0),""))</f>
        <v>17</v>
      </c>
      <c r="Y253" s="33">
        <f t="shared" si="55"/>
        <v>0.68</v>
      </c>
      <c r="Z253" s="218">
        <f>IF(LEFT($B253,4)="_Mil","",_xlfn.IFNA(ROUND(INDEX(Spectrum!$N:$N,MATCH(RIGHT($B253,13)&amp;"|"&amp;$C253&amp;"|"&amp;$D253&amp;"|"&amp;Z$14&amp;"|"&amp;"CY2024Q3",Spectrum!$R:$R,0)),0),""))</f>
        <v>16</v>
      </c>
      <c r="AA253" s="33">
        <f>IF(LEFT($B253,4)="_Mil","",IFERROR(1/(1/INDEX(Spectrum!$N:$N,MATCH(RIGHT($B253,13)&amp;"|"&amp;$C253&amp;"|"&amp;$D253&amp;"|"&amp;AA$14&amp;"|"&amp;"CY2024Q3",Spectrum!$R:$R,0))),IF(SUM($U253)=0,"",SUM($Z253)/$U253)))</f>
        <v>0.61799754600000001</v>
      </c>
      <c r="AB253" s="33">
        <f t="shared" si="56"/>
        <v>0.94117647058823528</v>
      </c>
      <c r="AC253" s="38">
        <f>IF(LEFT($B253,4)="_Mil","",_xlfn.IFNA(ROUND(INDEX(Spectrum!$N:$N,MATCH(RIGHT($B253,13)&amp;"|"&amp;$C253&amp;"|"&amp;$D253&amp;"|"&amp;AC$14&amp;"|"&amp;"CY2024Q3",Spectrum!$R:$R,0)),0),""))</f>
        <v>11</v>
      </c>
      <c r="AD253" s="38" t="str">
        <f>IF(LEFT($B253,4)="_Mil","",_xlfn.IFNA(ROUND(INDEX(Spectrum!$N:$N,MATCH(RIGHT($B253,13)&amp;"|"&amp;$C253&amp;"|"&amp;$D253&amp;"|"&amp;AD$14&amp;"|"&amp;"CY2024Q3",Spectrum!$R:$R,0)),0),""))</f>
        <v/>
      </c>
      <c r="AE253" s="33">
        <f t="shared" si="57"/>
        <v>0</v>
      </c>
      <c r="AF253" s="218" t="str">
        <f>IF(LEFT($B253,4)="_Mil","",_xlfn.IFNA(ROUND(INDEX(Spectrum!$N:$N,MATCH(RIGHT($B253,13)&amp;"|"&amp;$C253&amp;"|"&amp;$D253&amp;"|"&amp;AF$14&amp;"|"&amp;"CY2024Q3",Spectrum!$R:$R,0)),0),""))</f>
        <v/>
      </c>
      <c r="AG253" s="33" t="str">
        <f t="shared" si="58"/>
        <v/>
      </c>
      <c r="AH253" s="110" t="str">
        <f>IF(LEFT($B253,4)="_Mil","",_xlfn.IFNA(INDEX(Spectrum!$N:$N,MATCH(RIGHT($B253,13)&amp;"|"&amp;$C253&amp;"|"&amp;$D253&amp;"|"&amp;AH$14&amp;"|"&amp;"CY2024Q3",Spectrum!$R:$R,0)),""))</f>
        <v/>
      </c>
      <c r="AI253" s="218">
        <f>IF(LEFT($B253,4)="_Mil","",_xlfn.IFNA(ROUND(INDEX(Spectrum!$N:$N,MATCH(RIGHT($B253,13)&amp;"|"&amp;$C253&amp;"|"&amp;$D253&amp;"|"&amp;AI$14&amp;"|"&amp;"CY2025Q3",Spectrum!$R:$R,0)),0),""))</f>
        <v>28</v>
      </c>
      <c r="AJ253" s="38">
        <f>IF(LEFT($B253,4)="_Mil","",_xlfn.IFNA(ROUND(INDEX(Spectrum!$N:$N,MATCH(RIGHT($B253,13)&amp;"|"&amp;$C253&amp;"|"&amp;$D253&amp;"|"&amp;AJ$14&amp;"|"&amp;"CY2025Q3",Spectrum!$R:$R,0)),0),""))</f>
        <v>23</v>
      </c>
      <c r="AK253" s="218" t="e">
        <f>#REF!</f>
        <v>#REF!</v>
      </c>
      <c r="AL253" s="33" t="str">
        <f t="shared" si="59"/>
        <v/>
      </c>
      <c r="AM253" s="38" t="str">
        <f>IF(OR(LEFT($B253,4)="_Mil",$C253="&lt;01"),"",ROUND(SUM($AK253)*SUM($AL253),0))</f>
        <v/>
      </c>
      <c r="AN253" s="38">
        <f>IF($C253="&lt;01",ROUND(INDEX(EID!$P:$P,MATCH($B253,EID!$B:$B,0))/2,0),"")</f>
        <v>16</v>
      </c>
      <c r="AO253" s="38">
        <f>IF($C253="&lt;01",SUM($AN253),ROUND(SUM($AM253)*SUM($O253)/IF(SUM($Z253)=0,1,$Z253),0))</f>
        <v>16</v>
      </c>
      <c r="AP253" s="218">
        <f>IF(OR($F253="",$C253="&lt;01"),$AO253,ROUND($F253,0))</f>
        <v>16</v>
      </c>
      <c r="AQ253" s="218">
        <f>IF(LEFT($B253,4)="_Mil","",IF(SUM($AP253)=0,SUM($Z253),IF(OR(SUM($Z253)=0,SUM($O253)=0),MAX($AP253,$Z253),ROUND($AP253*$Z253/$O253,0))))</f>
        <v>13</v>
      </c>
      <c r="AR253" s="33" t="e">
        <f>IF(OR(LEFT($B253,4)="_Mil",SUM($AK253)=0),"",SUM($AQ253)/$AK253)</f>
        <v>#REF!</v>
      </c>
      <c r="AS253" s="33" t="str">
        <f t="shared" ref="AS253:AS282" si="69">IF($C253="&lt;01","",98%)</f>
        <v/>
      </c>
      <c r="AT253" s="33" t="str">
        <f t="shared" si="66"/>
        <v/>
      </c>
      <c r="AU253" s="38" t="str">
        <f>IF($C253="&lt;01","",SUM($AP253)-SUM($O253))</f>
        <v/>
      </c>
      <c r="AV253" s="38">
        <f>IF($C253="&lt;01",ROUND(INDEX(EID!$N:$N,MATCH($B253,EID!$B:$B,0))/2,0),IF(SUM($AT253)=0,"",ROUND((SUM($AP253)-(SUM($O253)*SUM($AS253)))/$AT253,0)))</f>
        <v>17</v>
      </c>
      <c r="AW253" s="33" t="str">
        <f t="shared" si="60"/>
        <v/>
      </c>
      <c r="AX253" s="218">
        <f>IF($C253="&lt;01",SUM($AV253),ROUND(SUM($AV253)*SUM($AW253),0))</f>
        <v>17</v>
      </c>
      <c r="AY253" s="79" t="str">
        <f t="shared" si="61"/>
        <v/>
      </c>
      <c r="AZ253" s="85">
        <f>IF($C253="&lt;01",ROUND(INDEX(EID!$R:$R,MATCH($B253,EID!$B:$B,0))/2,0),ROUND(SUM($O253)+(SUM($AV253)*$AY253),0))</f>
        <v>12</v>
      </c>
      <c r="BA253" s="40" t="str">
        <f t="shared" si="65"/>
        <v/>
      </c>
      <c r="BB253" s="99">
        <f>IF($C253="&lt;01",ROUND(INDEX(EID!$T:$T,MATCH($B253,EID!$B:$B,0))/2,0),ROUND($AP253*$BA253,0))</f>
        <v>11</v>
      </c>
      <c r="BC253" s="85">
        <f>IF(LEFT($B253,4)="_Mil","",IF(SUM($BB253)=0,SUM($AD253),IF(OR(SUM($AP253)=0,SUM($AQ253)=0),MAX($BB253,$AD253),ROUND($BB253*$AQ253/$AP253,0))))</f>
        <v>9</v>
      </c>
      <c r="BD253" s="33" t="str">
        <f t="shared" si="62"/>
        <v/>
      </c>
      <c r="BE253" s="218">
        <f>IF($C253="&lt;01",ROUND(INDEX(EID!$V:$V,MATCH($B253,EID!$B:$B,0))/2,0),ROUND($BD253*$BB253,0))</f>
        <v>11</v>
      </c>
      <c r="BF253" s="218">
        <f>IF(LEFT($B253,4)="_Mil","",IF(SUM($BE253)=0,SUM($AF253),IF(OR(SUM($AP253)=0,SUM($AQ253)=0),MAX($BE253,$AF253),ROUND($BE253*$AQ253/$AP253,0))))</f>
        <v>9</v>
      </c>
      <c r="BG253" s="79" t="str">
        <f t="shared" si="63"/>
        <v/>
      </c>
      <c r="BH253" s="99">
        <f>IF($C253="&lt;01",ROUND(INDEX(EID!$L:$L,MATCH($B253,EID!$B:$B,0)),0)/2,IF(SUM($BG253)=0,"",ROUND($AX253/$BG253,0)))</f>
        <v>17.5</v>
      </c>
    </row>
    <row r="254" spans="1:60" x14ac:dyDescent="0.2">
      <c r="A254" t="str">
        <f>INDEX(Prioritization!$D:$D,MATCH($B254,Prioritization!$A:$A,0))</f>
        <v>1 - Scale-up: Saturation</v>
      </c>
      <c r="B254" t="s">
        <v>310</v>
      </c>
      <c r="C254" t="s">
        <v>426</v>
      </c>
      <c r="D254" t="s">
        <v>48</v>
      </c>
      <c r="E254" t="str">
        <f t="shared" si="53"/>
        <v>Mzimba District [vA4NcHxfMBq]|&lt;01|Male</v>
      </c>
      <c r="F254" s="229">
        <v>20</v>
      </c>
      <c r="G254" s="38">
        <v>87</v>
      </c>
      <c r="H254" s="38">
        <v>15</v>
      </c>
      <c r="I254" s="38">
        <v>7</v>
      </c>
      <c r="J254" s="38">
        <v>55</v>
      </c>
      <c r="K254" s="38">
        <v>51</v>
      </c>
      <c r="L254" s="38"/>
      <c r="M254" s="38">
        <v>28</v>
      </c>
      <c r="N254" s="38">
        <v>26</v>
      </c>
      <c r="O254" s="229">
        <v>20</v>
      </c>
      <c r="P254" s="38">
        <v>18</v>
      </c>
      <c r="Q254" s="38">
        <v>17</v>
      </c>
      <c r="R254" s="38">
        <f t="shared" si="54"/>
        <v>13</v>
      </c>
      <c r="S254" s="38">
        <f>IF(LEFT($B254,4)="_Mil","",_xlfn.IFNA(ROUND(INDEX(Spectrum!$N:$N,MATCH(RIGHT($B254,13)&amp;"|"&amp;$C254&amp;"|"&amp;$D254&amp;"|"&amp;S$14&amp;"|"&amp;"CY2023Q4",Spectrum!$R:$R,0)),0),""))</f>
        <v>19</v>
      </c>
      <c r="T254" s="218">
        <f>IF(LEFT($B254,4)="_Mil","",_xlfn.IFNA(ROUND(INDEX(Spectrum!$N:$N,MATCH(RIGHT($B254,13)&amp;"|"&amp;$C254&amp;"|"&amp;$D254&amp;"|"&amp;T$14&amp;"|"&amp;"CY2024Q3",Spectrum!$R:$R,0)),0),""))</f>
        <v>20654</v>
      </c>
      <c r="U254" s="218">
        <f>IF(LEFT($B254,4)="_Mil","",_xlfn.IFNA(ROUND(INDEX(Spectrum!$N:$N,MATCH(RIGHT($B254,13)&amp;"|"&amp;$C254&amp;"|"&amp;$D254&amp;"|"&amp;U$14&amp;"|"&amp;"CY2024Q3",Spectrum!$R:$R,0)),0),""))</f>
        <v>26</v>
      </c>
      <c r="V254" s="38">
        <f>IF(LEFT($B254,4)="_Mil","",_xlfn.IFNA(ROUND(INDEX(Spectrum!$N:$N,MATCH(RIGHT($B254,13)&amp;"|"&amp;$C254&amp;"|"&amp;$D254&amp;"|"&amp;V$14&amp;"|"&amp;"CY2024Q3",Spectrum!$R:$R,0)),0),""))</f>
        <v>27</v>
      </c>
      <c r="W254" s="220">
        <f>IF(LEFT($B254,4)="_Mil","",_xlfn.IFNA(INDEX(Spectrum!$N:$N,MATCH(RIGHT($B254,13)&amp;"|"&amp;$C254&amp;"|"&amp;$D254&amp;"|"&amp;W$14&amp;"|"&amp;"CY2024Q3",Spectrum!$R:$R,0)),""))</f>
        <v>1.247864E-3</v>
      </c>
      <c r="X254" s="218">
        <f>IF(LEFT($B254,4)="_Mil","",_xlfn.IFNA(ROUND(INDEX(Spectrum!$N:$N,MATCH(RIGHT($B254,13)&amp;"|"&amp;$C254&amp;"|"&amp;$D254&amp;"|"&amp;X$14&amp;"|"&amp;"CY2024Q3",Spectrum!$R:$R,0)),0),""))</f>
        <v>17</v>
      </c>
      <c r="Y254" s="33">
        <f t="shared" si="55"/>
        <v>0.65</v>
      </c>
      <c r="Z254" s="218">
        <f>IF(LEFT($B254,4)="_Mil","",_xlfn.IFNA(ROUND(INDEX(Spectrum!$N:$N,MATCH(RIGHT($B254,13)&amp;"|"&amp;$C254&amp;"|"&amp;$D254&amp;"|"&amp;Z$14&amp;"|"&amp;"CY2024Q3",Spectrum!$R:$R,0)),0),""))</f>
        <v>17</v>
      </c>
      <c r="AA254" s="33">
        <f>IF(LEFT($B254,4)="_Mil","",IFERROR(1/(1/INDEX(Spectrum!$N:$N,MATCH(RIGHT($B254,13)&amp;"|"&amp;$C254&amp;"|"&amp;$D254&amp;"|"&amp;AA$14&amp;"|"&amp;"CY2024Q3",Spectrum!$R:$R,0))),IF(SUM($U254)=0,"",SUM($Z254)/$U254)))</f>
        <v>0.61802941300000003</v>
      </c>
      <c r="AB254" s="33">
        <f t="shared" si="56"/>
        <v>1</v>
      </c>
      <c r="AC254" s="38">
        <f>IF(LEFT($B254,4)="_Mil","",_xlfn.IFNA(ROUND(INDEX(Spectrum!$N:$N,MATCH(RIGHT($B254,13)&amp;"|"&amp;$C254&amp;"|"&amp;$D254&amp;"|"&amp;AC$14&amp;"|"&amp;"CY2024Q3",Spectrum!$R:$R,0)),0),""))</f>
        <v>10</v>
      </c>
      <c r="AD254" s="38" t="str">
        <f>IF(LEFT($B254,4)="_Mil","",_xlfn.IFNA(ROUND(INDEX(Spectrum!$N:$N,MATCH(RIGHT($B254,13)&amp;"|"&amp;$C254&amp;"|"&amp;$D254&amp;"|"&amp;AD$14&amp;"|"&amp;"CY2024Q3",Spectrum!$R:$R,0)),0),""))</f>
        <v/>
      </c>
      <c r="AE254" s="33">
        <f t="shared" si="57"/>
        <v>0</v>
      </c>
      <c r="AF254" s="218" t="str">
        <f>IF(LEFT($B254,4)="_Mil","",_xlfn.IFNA(ROUND(INDEX(Spectrum!$N:$N,MATCH(RIGHT($B254,13)&amp;"|"&amp;$C254&amp;"|"&amp;$D254&amp;"|"&amp;AF$14&amp;"|"&amp;"CY2024Q3",Spectrum!$R:$R,0)),0),""))</f>
        <v/>
      </c>
      <c r="AG254" s="33" t="str">
        <f t="shared" si="58"/>
        <v/>
      </c>
      <c r="AH254" s="110" t="str">
        <f>IF(LEFT($B254,4)="_Mil","",_xlfn.IFNA(INDEX(Spectrum!$N:$N,MATCH(RIGHT($B254,13)&amp;"|"&amp;$C254&amp;"|"&amp;$D254&amp;"|"&amp;AH$14&amp;"|"&amp;"CY2024Q3",Spectrum!$R:$R,0)),""))</f>
        <v/>
      </c>
      <c r="AI254" s="218">
        <f>IF(LEFT($B254,4)="_Mil","",_xlfn.IFNA(ROUND(INDEX(Spectrum!$N:$N,MATCH(RIGHT($B254,13)&amp;"|"&amp;$C254&amp;"|"&amp;$D254&amp;"|"&amp;AI$14&amp;"|"&amp;"CY2025Q3",Spectrum!$R:$R,0)),0),""))</f>
        <v>29</v>
      </c>
      <c r="AJ254" s="38">
        <f>IF(LEFT($B254,4)="_Mil","",_xlfn.IFNA(ROUND(INDEX(Spectrum!$N:$N,MATCH(RIGHT($B254,13)&amp;"|"&amp;$C254&amp;"|"&amp;$D254&amp;"|"&amp;AJ$14&amp;"|"&amp;"CY2025Q3",Spectrum!$R:$R,0)),0),""))</f>
        <v>23</v>
      </c>
      <c r="AK254" s="218" t="e">
        <f>#REF!</f>
        <v>#REF!</v>
      </c>
      <c r="AL254" s="33" t="str">
        <f t="shared" si="59"/>
        <v/>
      </c>
      <c r="AM254" s="38" t="str">
        <f>IF(OR(LEFT($B254,4)="_Mil",$C254="&lt;01"),"",ROUND(SUM($AK254)*SUM($AL254),0))</f>
        <v/>
      </c>
      <c r="AN254" s="38">
        <f>IF($C254="&lt;01",ROUND(INDEX(EID!$P:$P,MATCH($B254,EID!$B:$B,0))/2,0),"")</f>
        <v>16</v>
      </c>
      <c r="AO254" s="38">
        <f>IF($C254="&lt;01",SUM($AN254),ROUND(SUM($AM254)*SUM($O254)/IF(SUM($Z254)=0,1,$Z254),0))</f>
        <v>16</v>
      </c>
      <c r="AP254" s="218">
        <f>IF(OR($F254="",$C254="&lt;01"),$AO254,ROUND($F254,0))</f>
        <v>16</v>
      </c>
      <c r="AQ254" s="218">
        <f>IF(LEFT($B254,4)="_Mil","",IF(SUM($AP254)=0,SUM($Z254),IF(OR(SUM($Z254)=0,SUM($O254)=0),MAX($AP254,$Z254),ROUND($AP254*$Z254/$O254,0))))</f>
        <v>14</v>
      </c>
      <c r="AR254" s="33" t="e">
        <f>IF(OR(LEFT($B254,4)="_Mil",SUM($AK254)=0),"",SUM($AQ254)/$AK254)</f>
        <v>#REF!</v>
      </c>
      <c r="AS254" s="33" t="str">
        <f t="shared" si="69"/>
        <v/>
      </c>
      <c r="AT254" s="33" t="str">
        <f t="shared" si="66"/>
        <v/>
      </c>
      <c r="AU254" s="38" t="str">
        <f>IF($C254="&lt;01","",SUM($AP254)-SUM($O254))</f>
        <v/>
      </c>
      <c r="AV254" s="38">
        <f>IF($C254="&lt;01",ROUND(INDEX(EID!$N:$N,MATCH($B254,EID!$B:$B,0))/2,0),IF(SUM($AT254)=0,"",ROUND((SUM($AP254)-(SUM($O254)*SUM($AS254)))/$AT254,0)))</f>
        <v>17</v>
      </c>
      <c r="AW254" s="33" t="str">
        <f t="shared" si="60"/>
        <v/>
      </c>
      <c r="AX254" s="218">
        <f>IF($C254="&lt;01",SUM($AV254),ROUND(SUM($AV254)*SUM($AW254),0))</f>
        <v>17</v>
      </c>
      <c r="AY254" s="79" t="str">
        <f t="shared" si="61"/>
        <v/>
      </c>
      <c r="AZ254" s="85">
        <f>IF($C254="&lt;01",ROUND(INDEX(EID!$R:$R,MATCH($B254,EID!$B:$B,0))/2,0),ROUND(SUM($O254)+(SUM($AV254)*$AY254),0))</f>
        <v>12</v>
      </c>
      <c r="BA254" s="40" t="str">
        <f t="shared" si="65"/>
        <v/>
      </c>
      <c r="BB254" s="99">
        <f>IF($C254="&lt;01",ROUND(INDEX(EID!$T:$T,MATCH($B254,EID!$B:$B,0))/2,0),ROUND($AP254*$BA254,0))</f>
        <v>11</v>
      </c>
      <c r="BC254" s="85">
        <f>IF(LEFT($B254,4)="_Mil","",IF(SUM($BB254)=0,SUM($AD254),IF(OR(SUM($AP254)=0,SUM($AQ254)=0),MAX($BB254,$AD254),ROUND($BB254*$AQ254/$AP254,0))))</f>
        <v>10</v>
      </c>
      <c r="BD254" s="33" t="str">
        <f t="shared" si="62"/>
        <v/>
      </c>
      <c r="BE254" s="218">
        <f>IF($C254="&lt;01",ROUND(INDEX(EID!$V:$V,MATCH($B254,EID!$B:$B,0))/2,0),ROUND($BD254*$BB254,0))</f>
        <v>11</v>
      </c>
      <c r="BF254" s="218">
        <f>IF(LEFT($B254,4)="_Mil","",IF(SUM($BE254)=0,SUM($AF254),IF(OR(SUM($AP254)=0,SUM($AQ254)=0),MAX($BE254,$AF254),ROUND($BE254*$AQ254/$AP254,0))))</f>
        <v>10</v>
      </c>
      <c r="BG254" s="79" t="str">
        <f t="shared" si="63"/>
        <v/>
      </c>
      <c r="BH254" s="99">
        <f>IF($C254="&lt;01",ROUND(INDEX(EID!$L:$L,MATCH($B254,EID!$B:$B,0)),0)/2,IF(SUM($BG254)=0,"",ROUND($AX254/$BG254,0)))</f>
        <v>17.5</v>
      </c>
    </row>
    <row r="255" spans="1:60" x14ac:dyDescent="0.2">
      <c r="A255" t="str">
        <f>INDEX(Prioritization!$D:$D,MATCH($B255,Prioritization!$A:$A,0))</f>
        <v>1 - Scale-up: Saturation</v>
      </c>
      <c r="B255" t="s">
        <v>310</v>
      </c>
      <c r="C255" t="s">
        <v>473</v>
      </c>
      <c r="D255" t="s">
        <v>30</v>
      </c>
      <c r="E255" t="str">
        <f t="shared" si="53"/>
        <v>Mzimba District [vA4NcHxfMBq]|01-09|Female</v>
      </c>
      <c r="F255" s="229">
        <v>369</v>
      </c>
      <c r="G255" s="38">
        <v>245</v>
      </c>
      <c r="H255" s="38">
        <v>52</v>
      </c>
      <c r="I255" s="38">
        <v>369</v>
      </c>
      <c r="J255" s="38">
        <v>471</v>
      </c>
      <c r="K255" s="38">
        <v>383</v>
      </c>
      <c r="L255" s="38">
        <v>21</v>
      </c>
      <c r="M255" s="38">
        <v>20</v>
      </c>
      <c r="N255" s="38">
        <v>368</v>
      </c>
      <c r="O255" s="229">
        <v>369</v>
      </c>
      <c r="P255" s="38">
        <v>323</v>
      </c>
      <c r="Q255" s="38">
        <v>307</v>
      </c>
      <c r="R255" s="38">
        <f t="shared" si="54"/>
        <v>0</v>
      </c>
      <c r="S255" s="38">
        <f>IF(LEFT($B255,4)="_Mil","",_xlfn.IFNA(ROUND(INDEX(Spectrum!$N:$N,MATCH(RIGHT($B255,13)&amp;"|"&amp;$C255&amp;"|"&amp;$D255&amp;"|"&amp;S$14&amp;"|"&amp;"CY2023Q4",Spectrum!$R:$R,0)),0),""))</f>
        <v>322</v>
      </c>
      <c r="T255" s="218">
        <f>IF(LEFT($B255,4)="_Mil","",_xlfn.IFNA(ROUND(INDEX(Spectrum!$N:$N,MATCH(RIGHT($B255,13)&amp;"|"&amp;$C255&amp;"|"&amp;$D255&amp;"|"&amp;T$14&amp;"|"&amp;"CY2024Q3",Spectrum!$R:$R,0)),0),""))</f>
        <v>167330</v>
      </c>
      <c r="U255" s="218">
        <f>IF(LEFT($B255,4)="_Mil","",_xlfn.IFNA(ROUND(INDEX(Spectrum!$N:$N,MATCH(RIGHT($B255,13)&amp;"|"&amp;$C255&amp;"|"&amp;$D255&amp;"|"&amp;U$14&amp;"|"&amp;"CY2024Q3",Spectrum!$R:$R,0)),0),""))</f>
        <v>470</v>
      </c>
      <c r="V255" s="38">
        <f>IF(LEFT($B255,4)="_Mil","",_xlfn.IFNA(ROUND(INDEX(Spectrum!$N:$N,MATCH(RIGHT($B255,13)&amp;"|"&amp;$C255&amp;"|"&amp;$D255&amp;"|"&amp;V$14&amp;"|"&amp;"CY2024Q3",Spectrum!$R:$R,0)),0),""))</f>
        <v>486</v>
      </c>
      <c r="W255" s="220">
        <f>IF(LEFT($B255,4)="_Mil","",_xlfn.IFNA(INDEX(Spectrum!$N:$N,MATCH(RIGHT($B255,13)&amp;"|"&amp;$C255&amp;"|"&amp;$D255&amp;"|"&amp;W$14&amp;"|"&amp;"CY2024Q3",Spectrum!$R:$R,0)),""))</f>
        <v>2.8082810000000001E-3</v>
      </c>
      <c r="X255" s="218">
        <f>IF(LEFT($B255,4)="_Mil","",_xlfn.IFNA(ROUND(INDEX(Spectrum!$N:$N,MATCH(RIGHT($B255,13)&amp;"|"&amp;$C255&amp;"|"&amp;$D255&amp;"|"&amp;X$14&amp;"|"&amp;"CY2024Q3",Spectrum!$R:$R,0)),0),""))</f>
        <v>329</v>
      </c>
      <c r="Y255" s="33">
        <f t="shared" si="55"/>
        <v>0.7</v>
      </c>
      <c r="Z255" s="218">
        <f>IF(LEFT($B255,4)="_Mil","",_xlfn.IFNA(ROUND(INDEX(Spectrum!$N:$N,MATCH(RIGHT($B255,13)&amp;"|"&amp;$C255&amp;"|"&amp;$D255&amp;"|"&amp;Z$14&amp;"|"&amp;"CY2024Q3",Spectrum!$R:$R,0)),0),""))</f>
        <v>316</v>
      </c>
      <c r="AA255" s="33">
        <f>IF(LEFT($B255,4)="_Mil","",IFERROR(1/(1/INDEX(Spectrum!$N:$N,MATCH(RIGHT($B255,13)&amp;"|"&amp;$C255&amp;"|"&amp;$D255&amp;"|"&amp;AA$14&amp;"|"&amp;"CY2024Q3",Spectrum!$R:$R,0))),IF(SUM($U255)=0,"",SUM($Z255)/$U255)))</f>
        <v>0.65912864599999998</v>
      </c>
      <c r="AB255" s="33">
        <f t="shared" si="56"/>
        <v>0.96048632218844987</v>
      </c>
      <c r="AC255" s="38">
        <f>IF(LEFT($B255,4)="_Mil","",_xlfn.IFNA(ROUND(INDEX(Spectrum!$N:$N,MATCH(RIGHT($B255,13)&amp;"|"&amp;$C255&amp;"|"&amp;$D255&amp;"|"&amp;AC$14&amp;"|"&amp;"CY2024Q3",Spectrum!$R:$R,0)),0),""))</f>
        <v>170</v>
      </c>
      <c r="AD255" s="38" t="str">
        <f>IF(LEFT($B255,4)="_Mil","",_xlfn.IFNA(ROUND(INDEX(Spectrum!$N:$N,MATCH(RIGHT($B255,13)&amp;"|"&amp;$C255&amp;"|"&amp;$D255&amp;"|"&amp;AD$14&amp;"|"&amp;"CY2024Q3",Spectrum!$R:$R,0)),0),""))</f>
        <v/>
      </c>
      <c r="AE255" s="33">
        <f t="shared" si="57"/>
        <v>0</v>
      </c>
      <c r="AF255" s="218" t="str">
        <f>IF(LEFT($B255,4)="_Mil","",_xlfn.IFNA(ROUND(INDEX(Spectrum!$N:$N,MATCH(RIGHT($B255,13)&amp;"|"&amp;$C255&amp;"|"&amp;$D255&amp;"|"&amp;AF$14&amp;"|"&amp;"CY2024Q3",Spectrum!$R:$R,0)),0),""))</f>
        <v/>
      </c>
      <c r="AG255" s="33" t="str">
        <f t="shared" si="58"/>
        <v/>
      </c>
      <c r="AH255" s="110" t="str">
        <f>IF(LEFT($B255,4)="_Mil","",_xlfn.IFNA(INDEX(Spectrum!$N:$N,MATCH(RIGHT($B255,13)&amp;"|"&amp;$C255&amp;"|"&amp;$D255&amp;"|"&amp;AH$14&amp;"|"&amp;"CY2024Q3",Spectrum!$R:$R,0)),""))</f>
        <v/>
      </c>
      <c r="AI255" s="218">
        <f>IF(LEFT($B255,4)="_Mil","",_xlfn.IFNA(ROUND(INDEX(Spectrum!$N:$N,MATCH(RIGHT($B255,13)&amp;"|"&amp;$C255&amp;"|"&amp;$D255&amp;"|"&amp;AI$14&amp;"|"&amp;"CY2025Q3",Spectrum!$R:$R,0)),0),""))</f>
        <v>7</v>
      </c>
      <c r="AJ255" s="38">
        <f>IF(LEFT($B255,4)="_Mil","",_xlfn.IFNA(ROUND(INDEX(Spectrum!$N:$N,MATCH(RIGHT($B255,13)&amp;"|"&amp;$C255&amp;"|"&amp;$D255&amp;"|"&amp;AJ$14&amp;"|"&amp;"CY2025Q3",Spectrum!$R:$R,0)),0),""))</f>
        <v>409</v>
      </c>
      <c r="AK255" s="218" t="e">
        <f>#REF!</f>
        <v>#REF!</v>
      </c>
      <c r="AL255" s="33">
        <f t="shared" si="59"/>
        <v>0.9</v>
      </c>
      <c r="AM255" s="38" t="e">
        <f>IF(OR(LEFT($B255,4)="_Mil",$C255="&lt;01"),"",ROUND(SUM($AK255)*SUM($AL255),0))</f>
        <v>#REF!</v>
      </c>
      <c r="AN255" s="38" t="str">
        <f>IF($C255="&lt;01",ROUND(INDEX(EID!$P:$P,MATCH($B255,EID!$B:$B,0))/2,0),"")</f>
        <v/>
      </c>
      <c r="AO255" s="38" t="e">
        <f>IF($C255="&lt;01",SUM($AN255),ROUND(SUM($AM255)*SUM($O255)/IF(SUM($Z255)=0,1,$Z255),0))</f>
        <v>#REF!</v>
      </c>
      <c r="AP255" s="218">
        <f>IF(OR($F255="",$C255="&lt;01"),$AO255,ROUND($F255,0))</f>
        <v>369</v>
      </c>
      <c r="AQ255" s="218">
        <f>IF(LEFT($B255,4)="_Mil","",IF(SUM($AP255)=0,SUM($Z255),IF(OR(SUM($Z255)=0,SUM($O255)=0),MAX($AP255,$Z255),ROUND($AP255*$Z255/$O255,0))))</f>
        <v>316</v>
      </c>
      <c r="AR255" s="33" t="e">
        <f>IF(OR(LEFT($B255,4)="_Mil",SUM($AK255)=0),"",SUM($AQ255)/$AK255)</f>
        <v>#REF!</v>
      </c>
      <c r="AS255" s="33">
        <f t="shared" si="69"/>
        <v>0.98</v>
      </c>
      <c r="AT255" s="33">
        <f t="shared" si="66"/>
        <v>0.98</v>
      </c>
      <c r="AU255" s="38">
        <f>IF($C255="&lt;01","",SUM($AP255)-SUM($O255))</f>
        <v>0</v>
      </c>
      <c r="AV255" s="38">
        <f>IF($C255="&lt;01",ROUND(INDEX(EID!$N:$N,MATCH($B255,EID!$B:$B,0))/2,0),IF(SUM($AT255)=0,"",ROUND((SUM($AP255)-(SUM($O255)*SUM($AS255)))/$AT255,0)))</f>
        <v>8</v>
      </c>
      <c r="AW255" s="33">
        <f t="shared" si="60"/>
        <v>1</v>
      </c>
      <c r="AX255" s="218">
        <f>IF($C255="&lt;01",SUM($AV255),ROUND(SUM($AV255)*SUM($AW255),0))</f>
        <v>8</v>
      </c>
      <c r="AY255" s="79">
        <f t="shared" si="61"/>
        <v>0.7</v>
      </c>
      <c r="AZ255" s="85">
        <f>IF($C255="&lt;01",ROUND(INDEX(EID!$R:$R,MATCH($B255,EID!$B:$B,0))/2,0),ROUND(SUM($O255)+(SUM($AV255)*$AY255),0))</f>
        <v>375</v>
      </c>
      <c r="BA255" s="40">
        <f t="shared" si="65"/>
        <v>0.9</v>
      </c>
      <c r="BB255" s="99">
        <f>IF($C255="&lt;01",ROUND(INDEX(EID!$T:$T,MATCH($B255,EID!$B:$B,0))/2,0),ROUND($AP255*$BA255,0))</f>
        <v>332</v>
      </c>
      <c r="BC255" s="85">
        <f>IF(LEFT($B255,4)="_Mil","",IF(SUM($BB255)=0,SUM($AD255),IF(OR(SUM($AP255)=0,SUM($AQ255)=0),MAX($BB255,$AD255),ROUND($BB255*$AQ255/$AP255,0))))</f>
        <v>284</v>
      </c>
      <c r="BD255" s="33">
        <f t="shared" si="62"/>
        <v>0.95</v>
      </c>
      <c r="BE255" s="218">
        <f>IF($C255="&lt;01",ROUND(INDEX(EID!$V:$V,MATCH($B255,EID!$B:$B,0))/2,0),ROUND($BD255*$BB255,0))</f>
        <v>315</v>
      </c>
      <c r="BF255" s="218">
        <f>IF(LEFT($B255,4)="_Mil","",IF(SUM($BE255)=0,SUM($AF255),IF(OR(SUM($AP255)=0,SUM($AQ255)=0),MAX($BE255,$AF255),ROUND($BE255*$AQ255/$AP255,0))))</f>
        <v>270</v>
      </c>
      <c r="BG255" s="79">
        <f t="shared" si="63"/>
        <v>0.95</v>
      </c>
      <c r="BH255" s="99">
        <f>IF($C255="&lt;01",ROUND(INDEX(EID!$L:$L,MATCH($B255,EID!$B:$B,0)),0)/2,IF(SUM($BG255)=0,"",ROUND($AX255/$BG255,0)))</f>
        <v>8</v>
      </c>
    </row>
    <row r="256" spans="1:60" x14ac:dyDescent="0.2">
      <c r="A256" t="str">
        <f>INDEX(Prioritization!$D:$D,MATCH($B256,Prioritization!$A:$A,0))</f>
        <v>1 - Scale-up: Saturation</v>
      </c>
      <c r="B256" t="s">
        <v>310</v>
      </c>
      <c r="C256" t="s">
        <v>473</v>
      </c>
      <c r="D256" t="s">
        <v>48</v>
      </c>
      <c r="E256" t="str">
        <f t="shared" si="53"/>
        <v>Mzimba District [vA4NcHxfMBq]|01-09|Male</v>
      </c>
      <c r="F256" s="229">
        <v>365</v>
      </c>
      <c r="G256" s="38">
        <v>162</v>
      </c>
      <c r="H256" s="38">
        <v>38</v>
      </c>
      <c r="I256" s="38">
        <v>299</v>
      </c>
      <c r="J256" s="38">
        <v>338</v>
      </c>
      <c r="K256" s="38">
        <v>266</v>
      </c>
      <c r="L256" s="38">
        <v>23</v>
      </c>
      <c r="M256" s="38">
        <v>22</v>
      </c>
      <c r="N256" s="38">
        <v>390</v>
      </c>
      <c r="O256" s="229">
        <v>365</v>
      </c>
      <c r="P256" s="38">
        <v>342</v>
      </c>
      <c r="Q256" s="38">
        <v>326</v>
      </c>
      <c r="R256" s="38">
        <f t="shared" si="54"/>
        <v>66</v>
      </c>
      <c r="S256" s="38">
        <f>IF(LEFT($B256,4)="_Mil","",_xlfn.IFNA(ROUND(INDEX(Spectrum!$N:$N,MATCH(RIGHT($B256,13)&amp;"|"&amp;$C256&amp;"|"&amp;$D256&amp;"|"&amp;S$14&amp;"|"&amp;"CY2023Q4",Spectrum!$R:$R,0)),0),""))</f>
        <v>335</v>
      </c>
      <c r="T256" s="218">
        <f>IF(LEFT($B256,4)="_Mil","",_xlfn.IFNA(ROUND(INDEX(Spectrum!$N:$N,MATCH(RIGHT($B256,13)&amp;"|"&amp;$C256&amp;"|"&amp;$D256&amp;"|"&amp;T$14&amp;"|"&amp;"CY2024Q3",Spectrum!$R:$R,0)),0),""))</f>
        <v>168327</v>
      </c>
      <c r="U256" s="218">
        <f>IF(LEFT($B256,4)="_Mil","",_xlfn.IFNA(ROUND(INDEX(Spectrum!$N:$N,MATCH(RIGHT($B256,13)&amp;"|"&amp;$C256&amp;"|"&amp;$D256&amp;"|"&amp;U$14&amp;"|"&amp;"CY2024Q3",Spectrum!$R:$R,0)),0),""))</f>
        <v>471</v>
      </c>
      <c r="V256" s="38">
        <f>IF(LEFT($B256,4)="_Mil","",_xlfn.IFNA(ROUND(INDEX(Spectrum!$N:$N,MATCH(RIGHT($B256,13)&amp;"|"&amp;$C256&amp;"|"&amp;$D256&amp;"|"&amp;V$14&amp;"|"&amp;"CY2024Q3",Spectrum!$R:$R,0)),0),""))</f>
        <v>487</v>
      </c>
      <c r="W256" s="220">
        <f>IF(LEFT($B256,4)="_Mil","",_xlfn.IFNA(INDEX(Spectrum!$N:$N,MATCH(RIGHT($B256,13)&amp;"|"&amp;$C256&amp;"|"&amp;$D256&amp;"|"&amp;W$14&amp;"|"&amp;"CY2024Q3",Spectrum!$R:$R,0)),""))</f>
        <v>2.8000360000000001E-3</v>
      </c>
      <c r="X256" s="218">
        <f>IF(LEFT($B256,4)="_Mil","",_xlfn.IFNA(ROUND(INDEX(Spectrum!$N:$N,MATCH(RIGHT($B256,13)&amp;"|"&amp;$C256&amp;"|"&amp;$D256&amp;"|"&amp;X$14&amp;"|"&amp;"CY2024Q3",Spectrum!$R:$R,0)),0),""))</f>
        <v>330</v>
      </c>
      <c r="Y256" s="33">
        <f t="shared" si="55"/>
        <v>0.7</v>
      </c>
      <c r="Z256" s="218">
        <f>IF(LEFT($B256,4)="_Mil","",_xlfn.IFNA(ROUND(INDEX(Spectrum!$N:$N,MATCH(RIGHT($B256,13)&amp;"|"&amp;$C256&amp;"|"&amp;$D256&amp;"|"&amp;Z$14&amp;"|"&amp;"CY2024Q3",Spectrum!$R:$R,0)),0),""))</f>
        <v>328</v>
      </c>
      <c r="AA256" s="33">
        <f>IF(LEFT($B256,4)="_Mil","",IFERROR(1/(1/INDEX(Spectrum!$N:$N,MATCH(RIGHT($B256,13)&amp;"|"&amp;$C256&amp;"|"&amp;$D256&amp;"|"&amp;AA$14&amp;"|"&amp;"CY2024Q3",Spectrum!$R:$R,0))),IF(SUM($U256)=0,"",SUM($Z256)/$U256)))</f>
        <v>0.65896781400000004</v>
      </c>
      <c r="AB256" s="33">
        <f t="shared" si="56"/>
        <v>0.9939393939393939</v>
      </c>
      <c r="AC256" s="38">
        <f>IF(LEFT($B256,4)="_Mil","",_xlfn.IFNA(ROUND(INDEX(Spectrum!$N:$N,MATCH(RIGHT($B256,13)&amp;"|"&amp;$C256&amp;"|"&amp;$D256&amp;"|"&amp;AC$14&amp;"|"&amp;"CY2024Q3",Spectrum!$R:$R,0)),0),""))</f>
        <v>159</v>
      </c>
      <c r="AD256" s="38" t="str">
        <f>IF(LEFT($B256,4)="_Mil","",_xlfn.IFNA(ROUND(INDEX(Spectrum!$N:$N,MATCH(RIGHT($B256,13)&amp;"|"&amp;$C256&amp;"|"&amp;$D256&amp;"|"&amp;AD$14&amp;"|"&amp;"CY2024Q3",Spectrum!$R:$R,0)),0),""))</f>
        <v/>
      </c>
      <c r="AE256" s="33">
        <f t="shared" si="57"/>
        <v>0</v>
      </c>
      <c r="AF256" s="218" t="str">
        <f>IF(LEFT($B256,4)="_Mil","",_xlfn.IFNA(ROUND(INDEX(Spectrum!$N:$N,MATCH(RIGHT($B256,13)&amp;"|"&amp;$C256&amp;"|"&amp;$D256&amp;"|"&amp;AF$14&amp;"|"&amp;"CY2024Q3",Spectrum!$R:$R,0)),0),""))</f>
        <v/>
      </c>
      <c r="AG256" s="33" t="str">
        <f t="shared" si="58"/>
        <v/>
      </c>
      <c r="AH256" s="110" t="str">
        <f>IF(LEFT($B256,4)="_Mil","",_xlfn.IFNA(INDEX(Spectrum!$N:$N,MATCH(RIGHT($B256,13)&amp;"|"&amp;$C256&amp;"|"&amp;$D256&amp;"|"&amp;AH$14&amp;"|"&amp;"CY2024Q3",Spectrum!$R:$R,0)),""))</f>
        <v/>
      </c>
      <c r="AI256" s="218">
        <f>IF(LEFT($B256,4)="_Mil","",_xlfn.IFNA(ROUND(INDEX(Spectrum!$N:$N,MATCH(RIGHT($B256,13)&amp;"|"&amp;$C256&amp;"|"&amp;$D256&amp;"|"&amp;AI$14&amp;"|"&amp;"CY2025Q3",Spectrum!$R:$R,0)),0),""))</f>
        <v>7</v>
      </c>
      <c r="AJ256" s="38">
        <f>IF(LEFT($B256,4)="_Mil","",_xlfn.IFNA(ROUND(INDEX(Spectrum!$N:$N,MATCH(RIGHT($B256,13)&amp;"|"&amp;$C256&amp;"|"&amp;$D256&amp;"|"&amp;AJ$14&amp;"|"&amp;"CY2025Q3",Spectrum!$R:$R,0)),0),""))</f>
        <v>411</v>
      </c>
      <c r="AK256" s="218" t="e">
        <f>#REF!</f>
        <v>#REF!</v>
      </c>
      <c r="AL256" s="33">
        <f t="shared" si="59"/>
        <v>0.9</v>
      </c>
      <c r="AM256" s="38" t="e">
        <f>IF(OR(LEFT($B256,4)="_Mil",$C256="&lt;01"),"",ROUND(SUM($AK256)*SUM($AL256),0))</f>
        <v>#REF!</v>
      </c>
      <c r="AN256" s="38" t="str">
        <f>IF($C256="&lt;01",ROUND(INDEX(EID!$P:$P,MATCH($B256,EID!$B:$B,0))/2,0),"")</f>
        <v/>
      </c>
      <c r="AO256" s="38" t="e">
        <f>IF($C256="&lt;01",SUM($AN256),ROUND(SUM($AM256)*SUM($O256)/IF(SUM($Z256)=0,1,$Z256),0))</f>
        <v>#REF!</v>
      </c>
      <c r="AP256" s="218">
        <f>IF(OR($F256="",$C256="&lt;01"),$AO256,ROUND($F256,0))</f>
        <v>365</v>
      </c>
      <c r="AQ256" s="218">
        <f>IF(LEFT($B256,4)="_Mil","",IF(SUM($AP256)=0,SUM($Z256),IF(OR(SUM($Z256)=0,SUM($O256)=0),MAX($AP256,$Z256),ROUND($AP256*$Z256/$O256,0))))</f>
        <v>328</v>
      </c>
      <c r="AR256" s="33" t="e">
        <f>IF(OR(LEFT($B256,4)="_Mil",SUM($AK256)=0),"",SUM($AQ256)/$AK256)</f>
        <v>#REF!</v>
      </c>
      <c r="AS256" s="33">
        <f t="shared" si="69"/>
        <v>0.98</v>
      </c>
      <c r="AT256" s="33">
        <f t="shared" si="66"/>
        <v>0.98</v>
      </c>
      <c r="AU256" s="38">
        <f>IF($C256="&lt;01","",SUM($AP256)-SUM($O256))</f>
        <v>0</v>
      </c>
      <c r="AV256" s="38">
        <f>IF($C256="&lt;01",ROUND(INDEX(EID!$N:$N,MATCH($B256,EID!$B:$B,0))/2,0),IF(SUM($AT256)=0,"",ROUND((SUM($AP256)-(SUM($O256)*SUM($AS256)))/$AT256,0)))</f>
        <v>7</v>
      </c>
      <c r="AW256" s="33">
        <f t="shared" si="60"/>
        <v>1</v>
      </c>
      <c r="AX256" s="218">
        <f>IF($C256="&lt;01",SUM($AV256),ROUND(SUM($AV256)*SUM($AW256),0))</f>
        <v>7</v>
      </c>
      <c r="AY256" s="79">
        <f t="shared" si="61"/>
        <v>0.7</v>
      </c>
      <c r="AZ256" s="85">
        <f>IF($C256="&lt;01",ROUND(INDEX(EID!$R:$R,MATCH($B256,EID!$B:$B,0))/2,0),ROUND(SUM($O256)+(SUM($AV256)*$AY256),0))</f>
        <v>370</v>
      </c>
      <c r="BA256" s="40">
        <f t="shared" si="65"/>
        <v>0.9</v>
      </c>
      <c r="BB256" s="99">
        <f>IF($C256="&lt;01",ROUND(INDEX(EID!$T:$T,MATCH($B256,EID!$B:$B,0))/2,0),ROUND($AP256*$BA256,0))</f>
        <v>329</v>
      </c>
      <c r="BC256" s="85">
        <f>IF(LEFT($B256,4)="_Mil","",IF(SUM($BB256)=0,SUM($AD256),IF(OR(SUM($AP256)=0,SUM($AQ256)=0),MAX($BB256,$AD256),ROUND($BB256*$AQ256/$AP256,0))))</f>
        <v>296</v>
      </c>
      <c r="BD256" s="33">
        <f t="shared" si="62"/>
        <v>0.95</v>
      </c>
      <c r="BE256" s="218">
        <f>IF($C256="&lt;01",ROUND(INDEX(EID!$V:$V,MATCH($B256,EID!$B:$B,0))/2,0),ROUND($BD256*$BB256,0))</f>
        <v>313</v>
      </c>
      <c r="BF256" s="218">
        <f>IF(LEFT($B256,4)="_Mil","",IF(SUM($BE256)=0,SUM($AF256),IF(OR(SUM($AP256)=0,SUM($AQ256)=0),MAX($BE256,$AF256),ROUND($BE256*$AQ256/$AP256,0))))</f>
        <v>281</v>
      </c>
      <c r="BG256" s="79">
        <f t="shared" si="63"/>
        <v>0.95</v>
      </c>
      <c r="BH256" s="99">
        <f>IF($C256="&lt;01",ROUND(INDEX(EID!$L:$L,MATCH($B256,EID!$B:$B,0)),0)/2,IF(SUM($BG256)=0,"",ROUND($AX256/$BG256,0)))</f>
        <v>7</v>
      </c>
    </row>
    <row r="257" spans="1:60" x14ac:dyDescent="0.2">
      <c r="A257" t="str">
        <f>INDEX(Prioritization!$D:$D,MATCH($B257,Prioritization!$A:$A,0))</f>
        <v>1 - Scale-up: Saturation</v>
      </c>
      <c r="B257" t="s">
        <v>310</v>
      </c>
      <c r="C257" t="s">
        <v>474</v>
      </c>
      <c r="D257" t="s">
        <v>30</v>
      </c>
      <c r="E257" t="str">
        <f t="shared" si="53"/>
        <v>Mzimba District [vA4NcHxfMBq]|10-14|Female</v>
      </c>
      <c r="F257" s="229">
        <v>461</v>
      </c>
      <c r="G257" s="38">
        <v>124</v>
      </c>
      <c r="H257" s="38">
        <v>19</v>
      </c>
      <c r="I257" s="38">
        <v>396</v>
      </c>
      <c r="J257" s="38">
        <v>391</v>
      </c>
      <c r="K257" s="38">
        <v>306</v>
      </c>
      <c r="L257" s="38">
        <v>60</v>
      </c>
      <c r="M257" s="38">
        <v>57</v>
      </c>
      <c r="N257" s="38">
        <v>453</v>
      </c>
      <c r="O257" s="229">
        <v>461</v>
      </c>
      <c r="P257" s="38">
        <v>384</v>
      </c>
      <c r="Q257" s="38">
        <v>364</v>
      </c>
      <c r="R257" s="38">
        <f t="shared" si="54"/>
        <v>65</v>
      </c>
      <c r="S257" s="38">
        <f>IF(LEFT($B257,4)="_Mil","",_xlfn.IFNA(ROUND(INDEX(Spectrum!$N:$N,MATCH(RIGHT($B257,13)&amp;"|"&amp;$C257&amp;"|"&amp;$D257&amp;"|"&amp;S$14&amp;"|"&amp;"CY2023Q4",Spectrum!$R:$R,0)),0),""))</f>
        <v>421</v>
      </c>
      <c r="T257" s="218">
        <f>IF(LEFT($B257,4)="_Mil","",_xlfn.IFNA(ROUND(INDEX(Spectrum!$N:$N,MATCH(RIGHT($B257,13)&amp;"|"&amp;$C257&amp;"|"&amp;$D257&amp;"|"&amp;T$14&amp;"|"&amp;"CY2024Q3",Spectrum!$R:$R,0)),0),""))</f>
        <v>93213</v>
      </c>
      <c r="U257" s="218">
        <f>IF(LEFT($B257,4)="_Mil","",_xlfn.IFNA(ROUND(INDEX(Spectrum!$N:$N,MATCH(RIGHT($B257,13)&amp;"|"&amp;$C257&amp;"|"&amp;$D257&amp;"|"&amp;U$14&amp;"|"&amp;"CY2024Q3",Spectrum!$R:$R,0)),0),""))</f>
        <v>592</v>
      </c>
      <c r="V257" s="38">
        <f>IF(LEFT($B257,4)="_Mil","",_xlfn.IFNA(ROUND(INDEX(Spectrum!$N:$N,MATCH(RIGHT($B257,13)&amp;"|"&amp;$C257&amp;"|"&amp;$D257&amp;"|"&amp;V$14&amp;"|"&amp;"CY2024Q3",Spectrum!$R:$R,0)),0),""))</f>
        <v>614</v>
      </c>
      <c r="W257" s="220">
        <f>IF(LEFT($B257,4)="_Mil","",_xlfn.IFNA(INDEX(Spectrum!$N:$N,MATCH(RIGHT($B257,13)&amp;"|"&amp;$C257&amp;"|"&amp;$D257&amp;"|"&amp;W$14&amp;"|"&amp;"CY2024Q3",Spectrum!$R:$R,0)),""))</f>
        <v>6.3559419999999998E-3</v>
      </c>
      <c r="X257" s="218">
        <f>IF(LEFT($B257,4)="_Mil","",_xlfn.IFNA(ROUND(INDEX(Spectrum!$N:$N,MATCH(RIGHT($B257,13)&amp;"|"&amp;$C257&amp;"|"&amp;$D257&amp;"|"&amp;X$14&amp;"|"&amp;"CY2024Q3",Spectrum!$R:$R,0)),0),""))</f>
        <v>438</v>
      </c>
      <c r="Y257" s="33">
        <f t="shared" si="55"/>
        <v>0.74</v>
      </c>
      <c r="Z257" s="218">
        <f>IF(LEFT($B257,4)="_Mil","",_xlfn.IFNA(ROUND(INDEX(Spectrum!$N:$N,MATCH(RIGHT($B257,13)&amp;"|"&amp;$C257&amp;"|"&amp;$D257&amp;"|"&amp;Z$14&amp;"|"&amp;"CY2024Q3",Spectrum!$R:$R,0)),0),""))</f>
        <v>418</v>
      </c>
      <c r="AA257" s="33">
        <f>IF(LEFT($B257,4)="_Mil","",IFERROR(1/(1/INDEX(Spectrum!$N:$N,MATCH(RIGHT($B257,13)&amp;"|"&amp;$C257&amp;"|"&amp;$D257&amp;"|"&amp;AA$14&amp;"|"&amp;"CY2024Q3",Spectrum!$R:$R,0))),IF(SUM($U257)=0,"",SUM($Z257)/$U257)))</f>
        <v>0.69672084099999998</v>
      </c>
      <c r="AB257" s="33">
        <f t="shared" si="56"/>
        <v>0.954337899543379</v>
      </c>
      <c r="AC257" s="38">
        <f>IF(LEFT($B257,4)="_Mil","",_xlfn.IFNA(ROUND(INDEX(Spectrum!$N:$N,MATCH(RIGHT($B257,13)&amp;"|"&amp;$C257&amp;"|"&amp;$D257&amp;"|"&amp;AC$14&amp;"|"&amp;"CY2024Q3",Spectrum!$R:$R,0)),0),""))</f>
        <v>196</v>
      </c>
      <c r="AD257" s="38" t="str">
        <f>IF(LEFT($B257,4)="_Mil","",_xlfn.IFNA(ROUND(INDEX(Spectrum!$N:$N,MATCH(RIGHT($B257,13)&amp;"|"&amp;$C257&amp;"|"&amp;$D257&amp;"|"&amp;AD$14&amp;"|"&amp;"CY2024Q3",Spectrum!$R:$R,0)),0),""))</f>
        <v/>
      </c>
      <c r="AE257" s="33">
        <f t="shared" si="57"/>
        <v>0</v>
      </c>
      <c r="AF257" s="218" t="str">
        <f>IF(LEFT($B257,4)="_Mil","",_xlfn.IFNA(ROUND(INDEX(Spectrum!$N:$N,MATCH(RIGHT($B257,13)&amp;"|"&amp;$C257&amp;"|"&amp;$D257&amp;"|"&amp;AF$14&amp;"|"&amp;"CY2024Q3",Spectrum!$R:$R,0)),0),""))</f>
        <v/>
      </c>
      <c r="AG257" s="33" t="str">
        <f t="shared" si="58"/>
        <v/>
      </c>
      <c r="AH257" s="110" t="str">
        <f>IF(LEFT($B257,4)="_Mil","",_xlfn.IFNA(INDEX(Spectrum!$N:$N,MATCH(RIGHT($B257,13)&amp;"|"&amp;$C257&amp;"|"&amp;$D257&amp;"|"&amp;AH$14&amp;"|"&amp;"CY2024Q3",Spectrum!$R:$R,0)),""))</f>
        <v/>
      </c>
      <c r="AI257" s="218">
        <f>IF(LEFT($B257,4)="_Mil","",_xlfn.IFNA(ROUND(INDEX(Spectrum!$N:$N,MATCH(RIGHT($B257,13)&amp;"|"&amp;$C257&amp;"|"&amp;$D257&amp;"|"&amp;AI$14&amp;"|"&amp;"CY2025Q3",Spectrum!$R:$R,0)),0),""))</f>
        <v>0</v>
      </c>
      <c r="AJ257" s="38">
        <f>IF(LEFT($B257,4)="_Mil","",_xlfn.IFNA(ROUND(INDEX(Spectrum!$N:$N,MATCH(RIGHT($B257,13)&amp;"|"&amp;$C257&amp;"|"&amp;$D257&amp;"|"&amp;AJ$14&amp;"|"&amp;"CY2025Q3",Spectrum!$R:$R,0)),0),""))</f>
        <v>530</v>
      </c>
      <c r="AK257" s="218" t="e">
        <f>#REF!</f>
        <v>#REF!</v>
      </c>
      <c r="AL257" s="33">
        <f t="shared" si="59"/>
        <v>0.9</v>
      </c>
      <c r="AM257" s="38" t="e">
        <f>IF(OR(LEFT($B257,4)="_Mil",$C257="&lt;01"),"",ROUND(SUM($AK257)*SUM($AL257),0))</f>
        <v>#REF!</v>
      </c>
      <c r="AN257" s="38" t="str">
        <f>IF($C257="&lt;01",ROUND(INDEX(EID!$P:$P,MATCH($B257,EID!$B:$B,0))/2,0),"")</f>
        <v/>
      </c>
      <c r="AO257" s="38" t="e">
        <f>IF($C257="&lt;01",SUM($AN257),ROUND(SUM($AM257)*SUM($O257)/IF(SUM($Z257)=0,1,$Z257),0))</f>
        <v>#REF!</v>
      </c>
      <c r="AP257" s="218">
        <f>IF(OR($F257="",$C257="&lt;01"),$AO257,ROUND($F257,0))</f>
        <v>461</v>
      </c>
      <c r="AQ257" s="218">
        <f>IF(LEFT($B257,4)="_Mil","",IF(SUM($AP257)=0,SUM($Z257),IF(OR(SUM($Z257)=0,SUM($O257)=0),MAX($AP257,$Z257),ROUND($AP257*$Z257/$O257,0))))</f>
        <v>418</v>
      </c>
      <c r="AR257" s="33" t="e">
        <f>IF(OR(LEFT($B257,4)="_Mil",SUM($AK257)=0),"",SUM($AQ257)/$AK257)</f>
        <v>#REF!</v>
      </c>
      <c r="AS257" s="33">
        <f t="shared" si="69"/>
        <v>0.98</v>
      </c>
      <c r="AT257" s="33">
        <f t="shared" si="66"/>
        <v>0.98</v>
      </c>
      <c r="AU257" s="38">
        <f>IF($C257="&lt;01","",SUM($AP257)-SUM($O257))</f>
        <v>0</v>
      </c>
      <c r="AV257" s="38">
        <f>IF($C257="&lt;01",ROUND(INDEX(EID!$N:$N,MATCH($B257,EID!$B:$B,0))/2,0),IF(SUM($AT257)=0,"",ROUND((SUM($AP257)-(SUM($O257)*SUM($AS257)))/$AT257,0)))</f>
        <v>9</v>
      </c>
      <c r="AW257" s="33">
        <f t="shared" si="60"/>
        <v>1</v>
      </c>
      <c r="AX257" s="218">
        <f>IF($C257="&lt;01",SUM($AV257),ROUND(SUM($AV257)*SUM($AW257),0))</f>
        <v>9</v>
      </c>
      <c r="AY257" s="79">
        <f t="shared" si="61"/>
        <v>0.7</v>
      </c>
      <c r="AZ257" s="85">
        <f>IF($C257="&lt;01",ROUND(INDEX(EID!$R:$R,MATCH($B257,EID!$B:$B,0))/2,0),ROUND(SUM($O257)+(SUM($AV257)*$AY257),0))</f>
        <v>467</v>
      </c>
      <c r="BA257" s="40">
        <f t="shared" si="65"/>
        <v>0.9</v>
      </c>
      <c r="BB257" s="99">
        <f>IF($C257="&lt;01",ROUND(INDEX(EID!$T:$T,MATCH($B257,EID!$B:$B,0))/2,0),ROUND($AP257*$BA257,0))</f>
        <v>415</v>
      </c>
      <c r="BC257" s="85">
        <f>IF(LEFT($B257,4)="_Mil","",IF(SUM($BB257)=0,SUM($AD257),IF(OR(SUM($AP257)=0,SUM($AQ257)=0),MAX($BB257,$AD257),ROUND($BB257*$AQ257/$AP257,0))))</f>
        <v>376</v>
      </c>
      <c r="BD257" s="33">
        <f t="shared" si="62"/>
        <v>0.95</v>
      </c>
      <c r="BE257" s="218">
        <f>IF($C257="&lt;01",ROUND(INDEX(EID!$V:$V,MATCH($B257,EID!$B:$B,0))/2,0),ROUND($BD257*$BB257,0))</f>
        <v>394</v>
      </c>
      <c r="BF257" s="218">
        <f>IF(LEFT($B257,4)="_Mil","",IF(SUM($BE257)=0,SUM($AF257),IF(OR(SUM($AP257)=0,SUM($AQ257)=0),MAX($BE257,$AF257),ROUND($BE257*$AQ257/$AP257,0))))</f>
        <v>357</v>
      </c>
      <c r="BG257" s="79">
        <f t="shared" si="63"/>
        <v>0.95</v>
      </c>
      <c r="BH257" s="99">
        <f>IF($C257="&lt;01",ROUND(INDEX(EID!$L:$L,MATCH($B257,EID!$B:$B,0)),0)/2,IF(SUM($BG257)=0,"",ROUND($AX257/$BG257,0)))</f>
        <v>9</v>
      </c>
    </row>
    <row r="258" spans="1:60" x14ac:dyDescent="0.2">
      <c r="A258" t="str">
        <f>INDEX(Prioritization!$D:$D,MATCH($B258,Prioritization!$A:$A,0))</f>
        <v>1 - Scale-up: Saturation</v>
      </c>
      <c r="B258" t="s">
        <v>310</v>
      </c>
      <c r="C258" t="s">
        <v>474</v>
      </c>
      <c r="D258" t="s">
        <v>48</v>
      </c>
      <c r="E258" t="str">
        <f t="shared" si="53"/>
        <v>Mzimba District [vA4NcHxfMBq]|10-14|Male</v>
      </c>
      <c r="F258" s="229">
        <v>447</v>
      </c>
      <c r="G258" s="38">
        <v>83</v>
      </c>
      <c r="H258" s="38">
        <v>15</v>
      </c>
      <c r="I258" s="38">
        <v>415</v>
      </c>
      <c r="J258" s="38">
        <v>351</v>
      </c>
      <c r="K258" s="38">
        <v>262</v>
      </c>
      <c r="L258" s="38">
        <v>63</v>
      </c>
      <c r="M258" s="38">
        <v>61</v>
      </c>
      <c r="N258" s="38">
        <v>461</v>
      </c>
      <c r="O258" s="229">
        <v>447</v>
      </c>
      <c r="P258" s="38">
        <v>388</v>
      </c>
      <c r="Q258" s="38">
        <v>370</v>
      </c>
      <c r="R258" s="38">
        <f t="shared" si="54"/>
        <v>32</v>
      </c>
      <c r="S258" s="38">
        <f>IF(LEFT($B258,4)="_Mil","",_xlfn.IFNA(ROUND(INDEX(Spectrum!$N:$N,MATCH(RIGHT($B258,13)&amp;"|"&amp;$C258&amp;"|"&amp;$D258&amp;"|"&amp;S$14&amp;"|"&amp;"CY2023Q4",Spectrum!$R:$R,0)),0),""))</f>
        <v>422</v>
      </c>
      <c r="T258" s="218">
        <f>IF(LEFT($B258,4)="_Mil","",_xlfn.IFNA(ROUND(INDEX(Spectrum!$N:$N,MATCH(RIGHT($B258,13)&amp;"|"&amp;$C258&amp;"|"&amp;$D258&amp;"|"&amp;T$14&amp;"|"&amp;"CY2024Q3",Spectrum!$R:$R,0)),0),""))</f>
        <v>89145</v>
      </c>
      <c r="U258" s="218">
        <f>IF(LEFT($B258,4)="_Mil","",_xlfn.IFNA(ROUND(INDEX(Spectrum!$N:$N,MATCH(RIGHT($B258,13)&amp;"|"&amp;$C258&amp;"|"&amp;$D258&amp;"|"&amp;U$14&amp;"|"&amp;"CY2024Q3",Spectrum!$R:$R,0)),0),""))</f>
        <v>574</v>
      </c>
      <c r="V258" s="38">
        <f>IF(LEFT($B258,4)="_Mil","",_xlfn.IFNA(ROUND(INDEX(Spectrum!$N:$N,MATCH(RIGHT($B258,13)&amp;"|"&amp;$C258&amp;"|"&amp;$D258&amp;"|"&amp;V$14&amp;"|"&amp;"CY2024Q3",Spectrum!$R:$R,0)),0),""))</f>
        <v>596</v>
      </c>
      <c r="W258" s="220">
        <f>IF(LEFT($B258,4)="_Mil","",_xlfn.IFNA(INDEX(Spectrum!$N:$N,MATCH(RIGHT($B258,13)&amp;"|"&amp;$C258&amp;"|"&amp;$D258&amp;"|"&amp;W$14&amp;"|"&amp;"CY2024Q3",Spectrum!$R:$R,0)),""))</f>
        <v>6.4427010000000003E-3</v>
      </c>
      <c r="X258" s="218">
        <f>IF(LEFT($B258,4)="_Mil","",_xlfn.IFNA(ROUND(INDEX(Spectrum!$N:$N,MATCH(RIGHT($B258,13)&amp;"|"&amp;$C258&amp;"|"&amp;$D258&amp;"|"&amp;X$14&amp;"|"&amp;"CY2024Q3",Spectrum!$R:$R,0)),0),""))</f>
        <v>424</v>
      </c>
      <c r="Y258" s="33">
        <f t="shared" si="55"/>
        <v>0.74</v>
      </c>
      <c r="Z258" s="218">
        <f>IF(LEFT($B258,4)="_Mil","",_xlfn.IFNA(ROUND(INDEX(Spectrum!$N:$N,MATCH(RIGHT($B258,13)&amp;"|"&amp;$C258&amp;"|"&amp;$D258&amp;"|"&amp;Z$14&amp;"|"&amp;"CY2024Q3",Spectrum!$R:$R,0)),0),""))</f>
        <v>420</v>
      </c>
      <c r="AA258" s="33">
        <f>IF(LEFT($B258,4)="_Mil","",IFERROR(1/(1/INDEX(Spectrum!$N:$N,MATCH(RIGHT($B258,13)&amp;"|"&amp;$C258&amp;"|"&amp;$D258&amp;"|"&amp;AA$14&amp;"|"&amp;"CY2024Q3",Spectrum!$R:$R,0))),IF(SUM($U258)=0,"",SUM($Z258)/$U258)))</f>
        <v>0.69548312800000001</v>
      </c>
      <c r="AB258" s="33">
        <f t="shared" si="56"/>
        <v>0.99056603773584906</v>
      </c>
      <c r="AC258" s="38">
        <f>IF(LEFT($B258,4)="_Mil","",_xlfn.IFNA(ROUND(INDEX(Spectrum!$N:$N,MATCH(RIGHT($B258,13)&amp;"|"&amp;$C258&amp;"|"&amp;$D258&amp;"|"&amp;AC$14&amp;"|"&amp;"CY2024Q3",Spectrum!$R:$R,0)),0),""))</f>
        <v>176</v>
      </c>
      <c r="AD258" s="38" t="str">
        <f>IF(LEFT($B258,4)="_Mil","",_xlfn.IFNA(ROUND(INDEX(Spectrum!$N:$N,MATCH(RIGHT($B258,13)&amp;"|"&amp;$C258&amp;"|"&amp;$D258&amp;"|"&amp;AD$14&amp;"|"&amp;"CY2024Q3",Spectrum!$R:$R,0)),0),""))</f>
        <v/>
      </c>
      <c r="AE258" s="33">
        <f t="shared" si="57"/>
        <v>0</v>
      </c>
      <c r="AF258" s="218" t="str">
        <f>IF(LEFT($B258,4)="_Mil","",_xlfn.IFNA(ROUND(INDEX(Spectrum!$N:$N,MATCH(RIGHT($B258,13)&amp;"|"&amp;$C258&amp;"|"&amp;$D258&amp;"|"&amp;AF$14&amp;"|"&amp;"CY2024Q3",Spectrum!$R:$R,0)),0),""))</f>
        <v/>
      </c>
      <c r="AG258" s="33" t="str">
        <f t="shared" si="58"/>
        <v/>
      </c>
      <c r="AH258" s="110" t="str">
        <f>IF(LEFT($B258,4)="_Mil","",_xlfn.IFNA(INDEX(Spectrum!$N:$N,MATCH(RIGHT($B258,13)&amp;"|"&amp;$C258&amp;"|"&amp;$D258&amp;"|"&amp;AH$14&amp;"|"&amp;"CY2024Q3",Spectrum!$R:$R,0)),""))</f>
        <v/>
      </c>
      <c r="AI258" s="218">
        <f>IF(LEFT($B258,4)="_Mil","",_xlfn.IFNA(ROUND(INDEX(Spectrum!$N:$N,MATCH(RIGHT($B258,13)&amp;"|"&amp;$C258&amp;"|"&amp;$D258&amp;"|"&amp;AI$14&amp;"|"&amp;"CY2025Q3",Spectrum!$R:$R,0)),0),""))</f>
        <v>0</v>
      </c>
      <c r="AJ258" s="38">
        <f>IF(LEFT($B258,4)="_Mil","",_xlfn.IFNA(ROUND(INDEX(Spectrum!$N:$N,MATCH(RIGHT($B258,13)&amp;"|"&amp;$C258&amp;"|"&amp;$D258&amp;"|"&amp;AJ$14&amp;"|"&amp;"CY2025Q3",Spectrum!$R:$R,0)),0),""))</f>
        <v>516</v>
      </c>
      <c r="AK258" s="218" t="e">
        <f>#REF!</f>
        <v>#REF!</v>
      </c>
      <c r="AL258" s="33">
        <f t="shared" si="59"/>
        <v>0.9</v>
      </c>
      <c r="AM258" s="38" t="e">
        <f>IF(OR(LEFT($B258,4)="_Mil",$C258="&lt;01"),"",ROUND(SUM($AK258)*SUM($AL258),0))</f>
        <v>#REF!</v>
      </c>
      <c r="AN258" s="38" t="str">
        <f>IF($C258="&lt;01",ROUND(INDEX(EID!$P:$P,MATCH($B258,EID!$B:$B,0))/2,0),"")</f>
        <v/>
      </c>
      <c r="AO258" s="38" t="e">
        <f>IF($C258="&lt;01",SUM($AN258),ROUND(SUM($AM258)*SUM($O258)/IF(SUM($Z258)=0,1,$Z258),0))</f>
        <v>#REF!</v>
      </c>
      <c r="AP258" s="218">
        <f>IF(OR($F258="",$C258="&lt;01"),$AO258,ROUND($F258,0))</f>
        <v>447</v>
      </c>
      <c r="AQ258" s="218">
        <f>IF(LEFT($B258,4)="_Mil","",IF(SUM($AP258)=0,SUM($Z258),IF(OR(SUM($Z258)=0,SUM($O258)=0),MAX($AP258,$Z258),ROUND($AP258*$Z258/$O258,0))))</f>
        <v>420</v>
      </c>
      <c r="AR258" s="33" t="e">
        <f>IF(OR(LEFT($B258,4)="_Mil",SUM($AK258)=0),"",SUM($AQ258)/$AK258)</f>
        <v>#REF!</v>
      </c>
      <c r="AS258" s="33">
        <f t="shared" si="69"/>
        <v>0.98</v>
      </c>
      <c r="AT258" s="33">
        <f t="shared" si="66"/>
        <v>0.98</v>
      </c>
      <c r="AU258" s="38">
        <f>IF($C258="&lt;01","",SUM($AP258)-SUM($O258))</f>
        <v>0</v>
      </c>
      <c r="AV258" s="38">
        <f>IF($C258="&lt;01",ROUND(INDEX(EID!$N:$N,MATCH($B258,EID!$B:$B,0))/2,0),IF(SUM($AT258)=0,"",ROUND((SUM($AP258)-(SUM($O258)*SUM($AS258)))/$AT258,0)))</f>
        <v>9</v>
      </c>
      <c r="AW258" s="33">
        <f t="shared" si="60"/>
        <v>1</v>
      </c>
      <c r="AX258" s="218">
        <f>IF($C258="&lt;01",SUM($AV258),ROUND(SUM($AV258)*SUM($AW258),0))</f>
        <v>9</v>
      </c>
      <c r="AY258" s="79">
        <f t="shared" si="61"/>
        <v>0.7</v>
      </c>
      <c r="AZ258" s="85">
        <f>IF($C258="&lt;01",ROUND(INDEX(EID!$R:$R,MATCH($B258,EID!$B:$B,0))/2,0),ROUND(SUM($O258)+(SUM($AV258)*$AY258),0))</f>
        <v>453</v>
      </c>
      <c r="BA258" s="40">
        <f t="shared" si="65"/>
        <v>0.9</v>
      </c>
      <c r="BB258" s="99">
        <f>IF($C258="&lt;01",ROUND(INDEX(EID!$T:$T,MATCH($B258,EID!$B:$B,0))/2,0),ROUND($AP258*$BA258,0))</f>
        <v>402</v>
      </c>
      <c r="BC258" s="85">
        <f>IF(LEFT($B258,4)="_Mil","",IF(SUM($BB258)=0,SUM($AD258),IF(OR(SUM($AP258)=0,SUM($AQ258)=0),MAX($BB258,$AD258),ROUND($BB258*$AQ258/$AP258,0))))</f>
        <v>378</v>
      </c>
      <c r="BD258" s="33">
        <f t="shared" si="62"/>
        <v>0.95</v>
      </c>
      <c r="BE258" s="218">
        <f>IF($C258="&lt;01",ROUND(INDEX(EID!$V:$V,MATCH($B258,EID!$B:$B,0))/2,0),ROUND($BD258*$BB258,0))</f>
        <v>382</v>
      </c>
      <c r="BF258" s="218">
        <f>IF(LEFT($B258,4)="_Mil","",IF(SUM($BE258)=0,SUM($AF258),IF(OR(SUM($AP258)=0,SUM($AQ258)=0),MAX($BE258,$AF258),ROUND($BE258*$AQ258/$AP258,0))))</f>
        <v>359</v>
      </c>
      <c r="BG258" s="79">
        <f t="shared" si="63"/>
        <v>0.95</v>
      </c>
      <c r="BH258" s="99">
        <f>IF($C258="&lt;01",ROUND(INDEX(EID!$L:$L,MATCH($B258,EID!$B:$B,0)),0)/2,IF(SUM($BG258)=0,"",ROUND($AX258/$BG258,0)))</f>
        <v>9</v>
      </c>
    </row>
    <row r="259" spans="1:60" x14ac:dyDescent="0.2">
      <c r="A259" t="str">
        <f>INDEX(Prioritization!$D:$D,MATCH($B259,Prioritization!$A:$A,0))</f>
        <v>1 - Scale-up: Saturation</v>
      </c>
      <c r="B259" t="s">
        <v>310</v>
      </c>
      <c r="C259" t="s">
        <v>475</v>
      </c>
      <c r="D259" t="s">
        <v>30</v>
      </c>
      <c r="E259" t="str">
        <f t="shared" si="53"/>
        <v>Mzimba District [vA4NcHxfMBq]|15-24|Female</v>
      </c>
      <c r="F259" s="229">
        <v>2236</v>
      </c>
      <c r="G259" s="38">
        <v>518</v>
      </c>
      <c r="H259" s="38">
        <v>608</v>
      </c>
      <c r="I259" s="38">
        <v>2236</v>
      </c>
      <c r="J259" s="38">
        <v>1950</v>
      </c>
      <c r="K259" s="38">
        <v>1627</v>
      </c>
      <c r="L259" s="38">
        <v>192</v>
      </c>
      <c r="M259" s="38">
        <v>187</v>
      </c>
      <c r="N259" s="38">
        <v>2166</v>
      </c>
      <c r="O259" s="229">
        <v>2236</v>
      </c>
      <c r="P259" s="38">
        <v>1984</v>
      </c>
      <c r="Q259" s="38">
        <v>1884</v>
      </c>
      <c r="R259" s="38">
        <f t="shared" si="54"/>
        <v>0</v>
      </c>
      <c r="S259" s="38">
        <f>IF(LEFT($B259,4)="_Mil","",_xlfn.IFNA(ROUND(INDEX(Spectrum!$N:$N,MATCH(RIGHT($B259,13)&amp;"|"&amp;$C259&amp;"|"&amp;$D259&amp;"|"&amp;S$14&amp;"|"&amp;"CY2023Q4",Spectrum!$R:$R,0)),0),""))</f>
        <v>2220</v>
      </c>
      <c r="T259" s="218">
        <f>IF(LEFT($B259,4)="_Mil","",_xlfn.IFNA(ROUND(INDEX(Spectrum!$N:$N,MATCH(RIGHT($B259,13)&amp;"|"&amp;$C259&amp;"|"&amp;$D259&amp;"|"&amp;T$14&amp;"|"&amp;"CY2024Q3",Spectrum!$R:$R,0)),0),""))</f>
        <v>162504</v>
      </c>
      <c r="U259" s="218">
        <f>IF(LEFT($B259,4)="_Mil","",_xlfn.IFNA(ROUND(INDEX(Spectrum!$N:$N,MATCH(RIGHT($B259,13)&amp;"|"&amp;$C259&amp;"|"&amp;$D259&amp;"|"&amp;U$14&amp;"|"&amp;"CY2024Q3",Spectrum!$R:$R,0)),0),""))</f>
        <v>2258</v>
      </c>
      <c r="V259" s="38">
        <f>IF(LEFT($B259,4)="_Mil","",_xlfn.IFNA(ROUND(INDEX(Spectrum!$N:$N,MATCH(RIGHT($B259,13)&amp;"|"&amp;$C259&amp;"|"&amp;$D259&amp;"|"&amp;V$14&amp;"|"&amp;"CY2024Q3",Spectrum!$R:$R,0)),0),""))</f>
        <v>2337</v>
      </c>
      <c r="W259" s="220">
        <f>IF(LEFT($B259,4)="_Mil","",_xlfn.IFNA(INDEX(Spectrum!$N:$N,MATCH(RIGHT($B259,13)&amp;"|"&amp;$C259&amp;"|"&amp;$D259&amp;"|"&amp;W$14&amp;"|"&amp;"CY2024Q3",Spectrum!$R:$R,0)),""))</f>
        <v>1.3897512000000001E-2</v>
      </c>
      <c r="X259" s="218">
        <f>IF(LEFT($B259,4)="_Mil","",_xlfn.IFNA(ROUND(INDEX(Spectrum!$N:$N,MATCH(RIGHT($B259,13)&amp;"|"&amp;$C259&amp;"|"&amp;$D259&amp;"|"&amp;X$14&amp;"|"&amp;"CY2024Q3",Spectrum!$R:$R,0)),0),""))</f>
        <v>2098</v>
      </c>
      <c r="Y259" s="33">
        <f t="shared" si="55"/>
        <v>0.93</v>
      </c>
      <c r="Z259" s="218">
        <f>IF(LEFT($B259,4)="_Mil","",_xlfn.IFNA(ROUND(INDEX(Spectrum!$N:$N,MATCH(RIGHT($B259,13)&amp;"|"&amp;$C259&amp;"|"&amp;$D259&amp;"|"&amp;Z$14&amp;"|"&amp;"CY2024Q3",Spectrum!$R:$R,0)),0),""))</f>
        <v>2175</v>
      </c>
      <c r="AA259" s="33">
        <f>IF(LEFT($B259,4)="_Mil","",IFERROR(1/(1/INDEX(Spectrum!$N:$N,MATCH(RIGHT($B259,13)&amp;"|"&amp;$C259&amp;"|"&amp;$D259&amp;"|"&amp;AA$14&amp;"|"&amp;"CY2024Q3",Spectrum!$R:$R,0))),IF(SUM($U259)=0,"",SUM($Z259)/$U259)))</f>
        <v>0.92891963799999999</v>
      </c>
      <c r="AB259" s="33">
        <f t="shared" si="56"/>
        <v>1.0367016205910391</v>
      </c>
      <c r="AC259" s="38">
        <f>IF(LEFT($B259,4)="_Mil","",_xlfn.IFNA(ROUND(INDEX(Spectrum!$N:$N,MATCH(RIGHT($B259,13)&amp;"|"&amp;$C259&amp;"|"&amp;$D259&amp;"|"&amp;AC$14&amp;"|"&amp;"CY2024Q3",Spectrum!$R:$R,0)),0),""))</f>
        <v>162</v>
      </c>
      <c r="AD259" s="38" t="str">
        <f>IF(LEFT($B259,4)="_Mil","",_xlfn.IFNA(ROUND(INDEX(Spectrum!$N:$N,MATCH(RIGHT($B259,13)&amp;"|"&amp;$C259&amp;"|"&amp;$D259&amp;"|"&amp;AD$14&amp;"|"&amp;"CY2024Q3",Spectrum!$R:$R,0)),0),""))</f>
        <v/>
      </c>
      <c r="AE259" s="33">
        <f t="shared" si="57"/>
        <v>0</v>
      </c>
      <c r="AF259" s="218" t="str">
        <f>IF(LEFT($B259,4)="_Mil","",_xlfn.IFNA(ROUND(INDEX(Spectrum!$N:$N,MATCH(RIGHT($B259,13)&amp;"|"&amp;$C259&amp;"|"&amp;$D259&amp;"|"&amp;AF$14&amp;"|"&amp;"CY2024Q3",Spectrum!$R:$R,0)),0),""))</f>
        <v/>
      </c>
      <c r="AG259" s="33" t="str">
        <f t="shared" si="58"/>
        <v/>
      </c>
      <c r="AH259" s="110" t="str">
        <f>IF(LEFT($B259,4)="_Mil","",_xlfn.IFNA(INDEX(Spectrum!$N:$N,MATCH(RIGHT($B259,13)&amp;"|"&amp;$C259&amp;"|"&amp;$D259&amp;"|"&amp;AH$14&amp;"|"&amp;"CY2024Q3",Spectrum!$R:$R,0)),""))</f>
        <v/>
      </c>
      <c r="AI259" s="218">
        <f>IF(LEFT($B259,4)="_Mil","",_xlfn.IFNA(ROUND(INDEX(Spectrum!$N:$N,MATCH(RIGHT($B259,13)&amp;"|"&amp;$C259&amp;"|"&amp;$D259&amp;"|"&amp;AI$14&amp;"|"&amp;"CY2025Q3",Spectrum!$R:$R,0)),0),""))</f>
        <v>147</v>
      </c>
      <c r="AJ259" s="38">
        <f>IF(LEFT($B259,4)="_Mil","",_xlfn.IFNA(ROUND(INDEX(Spectrum!$N:$N,MATCH(RIGHT($B259,13)&amp;"|"&amp;$C259&amp;"|"&amp;$D259&amp;"|"&amp;AJ$14&amp;"|"&amp;"CY2025Q3",Spectrum!$R:$R,0)),0),""))</f>
        <v>2191</v>
      </c>
      <c r="AK259" s="218" t="e">
        <f>#REF!</f>
        <v>#REF!</v>
      </c>
      <c r="AL259" s="33">
        <f t="shared" si="59"/>
        <v>0.92891963799999999</v>
      </c>
      <c r="AM259" s="38" t="e">
        <f>IF(OR(LEFT($B259,4)="_Mil",$C259="&lt;01"),"",ROUND(SUM($AK259)*SUM($AL259),0))</f>
        <v>#REF!</v>
      </c>
      <c r="AN259" s="38" t="str">
        <f>IF($C259="&lt;01",ROUND(INDEX(EID!$P:$P,MATCH($B259,EID!$B:$B,0))/2,0),"")</f>
        <v/>
      </c>
      <c r="AO259" s="38" t="e">
        <f>IF($C259="&lt;01",SUM($AN259),ROUND(SUM($AM259)*SUM($O259)/IF(SUM($Z259)=0,1,$Z259),0))</f>
        <v>#REF!</v>
      </c>
      <c r="AP259" s="218">
        <f>IF(OR($F259="",$C259="&lt;01"),$AO259,ROUND($F259,0))</f>
        <v>2236</v>
      </c>
      <c r="AQ259" s="218">
        <f>IF(LEFT($B259,4)="_Mil","",IF(SUM($AP259)=0,SUM($Z259),IF(OR(SUM($Z259)=0,SUM($O259)=0),MAX($AP259,$Z259),ROUND($AP259*$Z259/$O259,0))))</f>
        <v>2175</v>
      </c>
      <c r="AR259" s="33" t="e">
        <f>IF(OR(LEFT($B259,4)="_Mil",SUM($AK259)=0),"",SUM($AQ259)/$AK259)</f>
        <v>#REF!</v>
      </c>
      <c r="AS259" s="33">
        <f>IF($C259="&lt;01","",84%)</f>
        <v>0.84</v>
      </c>
      <c r="AT259" s="33">
        <f>IF($C259="&lt;01","",90%)</f>
        <v>0.9</v>
      </c>
      <c r="AU259" s="38">
        <f>IF($C259="&lt;01","",SUM($AP259)-SUM($O259))</f>
        <v>0</v>
      </c>
      <c r="AV259" s="38">
        <f>IF($C259="&lt;01",ROUND(INDEX(EID!$N:$N,MATCH($B259,EID!$B:$B,0))/2,0),IF(SUM($AT259)=0,"",ROUND((SUM($AP259)-(SUM($O259)*SUM($AS259)))/$AT259,0)))</f>
        <v>398</v>
      </c>
      <c r="AW259" s="33">
        <f t="shared" si="60"/>
        <v>1</v>
      </c>
      <c r="AX259" s="218">
        <f>IF($C259="&lt;01",SUM($AV259),ROUND(SUM($AV259)*SUM($AW259),0))</f>
        <v>398</v>
      </c>
      <c r="AY259" s="79">
        <f t="shared" si="61"/>
        <v>0.7</v>
      </c>
      <c r="AZ259" s="85">
        <f>IF($C259="&lt;01",ROUND(INDEX(EID!$R:$R,MATCH($B259,EID!$B:$B,0))/2,0),ROUND(SUM($O259)+(SUM($AV259)*$AY259),0))</f>
        <v>2515</v>
      </c>
      <c r="BA259" s="40">
        <f t="shared" si="65"/>
        <v>0.9</v>
      </c>
      <c r="BB259" s="99">
        <f>IF($C259="&lt;01",ROUND(INDEX(EID!$T:$T,MATCH($B259,EID!$B:$B,0))/2,0),ROUND($AP259*$BA259,0))</f>
        <v>2012</v>
      </c>
      <c r="BC259" s="85">
        <f>IF(LEFT($B259,4)="_Mil","",IF(SUM($BB259)=0,SUM($AD259),IF(OR(SUM($AP259)=0,SUM($AQ259)=0),MAX($BB259,$AD259),ROUND($BB259*$AQ259/$AP259,0))))</f>
        <v>1957</v>
      </c>
      <c r="BD259" s="33">
        <f t="shared" si="62"/>
        <v>0.95</v>
      </c>
      <c r="BE259" s="218">
        <f>IF($C259="&lt;01",ROUND(INDEX(EID!$V:$V,MATCH($B259,EID!$B:$B,0))/2,0),ROUND($BD259*$BB259,0))</f>
        <v>1911</v>
      </c>
      <c r="BF259" s="218">
        <f>IF(LEFT($B259,4)="_Mil","",IF(SUM($BE259)=0,SUM($AF259),IF(OR(SUM($AP259)=0,SUM($AQ259)=0),MAX($BE259,$AF259),ROUND($BE259*$AQ259/$AP259,0))))</f>
        <v>1859</v>
      </c>
      <c r="BG259" s="79">
        <f t="shared" si="63"/>
        <v>0.95</v>
      </c>
      <c r="BH259" s="99">
        <f>IF($C259="&lt;01",ROUND(INDEX(EID!$L:$L,MATCH($B259,EID!$B:$B,0)),0)/2,IF(SUM($BG259)=0,"",ROUND($AX259/$BG259,0)))</f>
        <v>419</v>
      </c>
    </row>
    <row r="260" spans="1:60" x14ac:dyDescent="0.2">
      <c r="A260" t="str">
        <f>INDEX(Prioritization!$D:$D,MATCH($B260,Prioritization!$A:$A,0))</f>
        <v>1 - Scale-up: Saturation</v>
      </c>
      <c r="B260" t="s">
        <v>310</v>
      </c>
      <c r="C260" t="s">
        <v>475</v>
      </c>
      <c r="D260" t="s">
        <v>48</v>
      </c>
      <c r="E260" t="str">
        <f t="shared" si="53"/>
        <v>Mzimba District [vA4NcHxfMBq]|15-24|Male</v>
      </c>
      <c r="F260" s="229">
        <v>1302</v>
      </c>
      <c r="G260" s="38">
        <v>219</v>
      </c>
      <c r="H260" s="38">
        <v>97</v>
      </c>
      <c r="I260" s="38">
        <v>1040</v>
      </c>
      <c r="J260" s="38">
        <v>826</v>
      </c>
      <c r="K260" s="38">
        <v>658</v>
      </c>
      <c r="L260" s="38">
        <v>143</v>
      </c>
      <c r="M260" s="38">
        <v>139</v>
      </c>
      <c r="N260" s="38">
        <v>1543</v>
      </c>
      <c r="O260" s="229">
        <v>1230</v>
      </c>
      <c r="P260" s="38">
        <v>1409</v>
      </c>
      <c r="Q260" s="38">
        <v>1339</v>
      </c>
      <c r="R260" s="38">
        <f t="shared" si="54"/>
        <v>190</v>
      </c>
      <c r="S260" s="38">
        <f>IF(LEFT($B260,4)="_Mil","",_xlfn.IFNA(ROUND(INDEX(Spectrum!$N:$N,MATCH(RIGHT($B260,13)&amp;"|"&amp;$C260&amp;"|"&amp;$D260&amp;"|"&amp;S$14&amp;"|"&amp;"CY2023Q4",Spectrum!$R:$R,0)),0),""))</f>
        <v>1461</v>
      </c>
      <c r="T260" s="218">
        <f>IF(LEFT($B260,4)="_Mil","",_xlfn.IFNA(ROUND(INDEX(Spectrum!$N:$N,MATCH(RIGHT($B260,13)&amp;"|"&amp;$C260&amp;"|"&amp;$D260&amp;"|"&amp;T$14&amp;"|"&amp;"CY2024Q3",Spectrum!$R:$R,0)),0),""))</f>
        <v>152017</v>
      </c>
      <c r="U260" s="218">
        <f>IF(LEFT($B260,4)="_Mil","",_xlfn.IFNA(ROUND(INDEX(Spectrum!$N:$N,MATCH(RIGHT($B260,13)&amp;"|"&amp;$C260&amp;"|"&amp;$D260&amp;"|"&amp;U$14&amp;"|"&amp;"CY2024Q3",Spectrum!$R:$R,0)),0),""))</f>
        <v>1579</v>
      </c>
      <c r="V260" s="38">
        <f>IF(LEFT($B260,4)="_Mil","",_xlfn.IFNA(ROUND(INDEX(Spectrum!$N:$N,MATCH(RIGHT($B260,13)&amp;"|"&amp;$C260&amp;"|"&amp;$D260&amp;"|"&amp;V$14&amp;"|"&amp;"CY2024Q3",Spectrum!$R:$R,0)),0),""))</f>
        <v>1640</v>
      </c>
      <c r="W260" s="220">
        <f>IF(LEFT($B260,4)="_Mil","",_xlfn.IFNA(INDEX(Spectrum!$N:$N,MATCH(RIGHT($B260,13)&amp;"|"&amp;$C260&amp;"|"&amp;$D260&amp;"|"&amp;W$14&amp;"|"&amp;"CY2024Q3",Spectrum!$R:$R,0)),""))</f>
        <v>1.0384226999999999E-2</v>
      </c>
      <c r="X260" s="218">
        <f>IF(LEFT($B260,4)="_Mil","",_xlfn.IFNA(ROUND(INDEX(Spectrum!$N:$N,MATCH(RIGHT($B260,13)&amp;"|"&amp;$C260&amp;"|"&amp;$D260&amp;"|"&amp;X$14&amp;"|"&amp;"CY2024Q3",Spectrum!$R:$R,0)),0),""))</f>
        <v>1418</v>
      </c>
      <c r="Y260" s="33">
        <f t="shared" si="55"/>
        <v>0.9</v>
      </c>
      <c r="Z260" s="218">
        <f>IF(LEFT($B260,4)="_Mil","",_xlfn.IFNA(ROUND(INDEX(Spectrum!$N:$N,MATCH(RIGHT($B260,13)&amp;"|"&amp;$C260&amp;"|"&amp;$D260&amp;"|"&amp;Z$14&amp;"|"&amp;"CY2024Q3",Spectrum!$R:$R,0)),0),""))</f>
        <v>1478</v>
      </c>
      <c r="AA260" s="33">
        <f>IF(LEFT($B260,4)="_Mil","",IFERROR(1/(1/INDEX(Spectrum!$N:$N,MATCH(RIGHT($B260,13)&amp;"|"&amp;$C260&amp;"|"&amp;$D260&amp;"|"&amp;AA$14&amp;"|"&amp;"CY2024Q3",Spectrum!$R:$R,0))),IF(SUM($U260)=0,"",SUM($Z260)/$U260)))</f>
        <v>0.89525706800000004</v>
      </c>
      <c r="AB260" s="33">
        <f t="shared" si="56"/>
        <v>1.0423131170662905</v>
      </c>
      <c r="AC260" s="38">
        <f>IF(LEFT($B260,4)="_Mil","",_xlfn.IFNA(ROUND(INDEX(Spectrum!$N:$N,MATCH(RIGHT($B260,13)&amp;"|"&amp;$C260&amp;"|"&amp;$D260&amp;"|"&amp;AC$14&amp;"|"&amp;"CY2024Q3",Spectrum!$R:$R,0)),0),""))</f>
        <v>162</v>
      </c>
      <c r="AD260" s="38" t="str">
        <f>IF(LEFT($B260,4)="_Mil","",_xlfn.IFNA(ROUND(INDEX(Spectrum!$N:$N,MATCH(RIGHT($B260,13)&amp;"|"&amp;$C260&amp;"|"&amp;$D260&amp;"|"&amp;AD$14&amp;"|"&amp;"CY2024Q3",Spectrum!$R:$R,0)),0),""))</f>
        <v/>
      </c>
      <c r="AE260" s="33">
        <f t="shared" si="57"/>
        <v>0</v>
      </c>
      <c r="AF260" s="218" t="str">
        <f>IF(LEFT($B260,4)="_Mil","",_xlfn.IFNA(ROUND(INDEX(Spectrum!$N:$N,MATCH(RIGHT($B260,13)&amp;"|"&amp;$C260&amp;"|"&amp;$D260&amp;"|"&amp;AF$14&amp;"|"&amp;"CY2024Q3",Spectrum!$R:$R,0)),0),""))</f>
        <v/>
      </c>
      <c r="AG260" s="33" t="str">
        <f t="shared" si="58"/>
        <v/>
      </c>
      <c r="AH260" s="110" t="str">
        <f>IF(LEFT($B260,4)="_Mil","",_xlfn.IFNA(INDEX(Spectrum!$N:$N,MATCH(RIGHT($B260,13)&amp;"|"&amp;$C260&amp;"|"&amp;$D260&amp;"|"&amp;AH$14&amp;"|"&amp;"CY2024Q3",Spectrum!$R:$R,0)),""))</f>
        <v/>
      </c>
      <c r="AI260" s="218">
        <f>IF(LEFT($B260,4)="_Mil","",_xlfn.IFNA(ROUND(INDEX(Spectrum!$N:$N,MATCH(RIGHT($B260,13)&amp;"|"&amp;$C260&amp;"|"&amp;$D260&amp;"|"&amp;AI$14&amp;"|"&amp;"CY2025Q3",Spectrum!$R:$R,0)),0),""))</f>
        <v>23</v>
      </c>
      <c r="AJ260" s="38">
        <f>IF(LEFT($B260,4)="_Mil","",_xlfn.IFNA(ROUND(INDEX(Spectrum!$N:$N,MATCH(RIGHT($B260,13)&amp;"|"&amp;$C260&amp;"|"&amp;$D260&amp;"|"&amp;AJ$14&amp;"|"&amp;"CY2025Q3",Spectrum!$R:$R,0)),0),""))</f>
        <v>1540</v>
      </c>
      <c r="AK260" s="218" t="e">
        <f>#REF!</f>
        <v>#REF!</v>
      </c>
      <c r="AL260" s="33">
        <f t="shared" si="59"/>
        <v>0.9</v>
      </c>
      <c r="AM260" s="38" t="e">
        <f>IF(OR(LEFT($B260,4)="_Mil",$C260="&lt;01"),"",ROUND(SUM($AK260)*SUM($AL260),0))</f>
        <v>#REF!</v>
      </c>
      <c r="AN260" s="38" t="str">
        <f>IF($C260="&lt;01",ROUND(INDEX(EID!$P:$P,MATCH($B260,EID!$B:$B,0))/2,0),"")</f>
        <v/>
      </c>
      <c r="AO260" s="38" t="e">
        <f>IF($C260="&lt;01",SUM($AN260),ROUND(SUM($AM260)*SUM($O260)/IF(SUM($Z260)=0,1,$Z260),0))</f>
        <v>#REF!</v>
      </c>
      <c r="AP260" s="218">
        <f>IF(OR($F260="",$C260="&lt;01"),$AO260,ROUND($F260,0))</f>
        <v>1302</v>
      </c>
      <c r="AQ260" s="218">
        <f>IF(LEFT($B260,4)="_Mil","",IF(SUM($AP260)=0,SUM($Z260),IF(OR(SUM($Z260)=0,SUM($O260)=0),MAX($AP260,$Z260),ROUND($AP260*$Z260/$O260,0))))</f>
        <v>1565</v>
      </c>
      <c r="AR260" s="33" t="e">
        <f>IF(OR(LEFT($B260,4)="_Mil",SUM($AK260)=0),"",SUM($AQ260)/$AK260)</f>
        <v>#REF!</v>
      </c>
      <c r="AS260" s="33">
        <f t="shared" si="69"/>
        <v>0.98</v>
      </c>
      <c r="AT260" s="33">
        <f t="shared" si="66"/>
        <v>0.98</v>
      </c>
      <c r="AU260" s="38">
        <f>IF($C260="&lt;01","",SUM($AP260)-SUM($O260))</f>
        <v>72</v>
      </c>
      <c r="AV260" s="38">
        <f>IF($C260="&lt;01",ROUND(INDEX(EID!$N:$N,MATCH($B260,EID!$B:$B,0))/2,0),IF(SUM($AT260)=0,"",ROUND((SUM($AP260)-(SUM($O260)*SUM($AS260)))/$AT260,0)))</f>
        <v>99</v>
      </c>
      <c r="AW260" s="33">
        <f t="shared" si="60"/>
        <v>1</v>
      </c>
      <c r="AX260" s="218">
        <f>IF($C260="&lt;01",SUM($AV260),ROUND(SUM($AV260)*SUM($AW260),0))</f>
        <v>99</v>
      </c>
      <c r="AY260" s="79">
        <f t="shared" si="61"/>
        <v>0.7</v>
      </c>
      <c r="AZ260" s="85">
        <f>IF($C260="&lt;01",ROUND(INDEX(EID!$R:$R,MATCH($B260,EID!$B:$B,0))/2,0),ROUND(SUM($O260)+(SUM($AV260)*$AY260),0))</f>
        <v>1299</v>
      </c>
      <c r="BA260" s="40">
        <f t="shared" si="65"/>
        <v>0.9</v>
      </c>
      <c r="BB260" s="99">
        <f>IF($C260="&lt;01",ROUND(INDEX(EID!$T:$T,MATCH($B260,EID!$B:$B,0))/2,0),ROUND($AP260*$BA260,0))</f>
        <v>1172</v>
      </c>
      <c r="BC260" s="85">
        <f>IF(LEFT($B260,4)="_Mil","",IF(SUM($BB260)=0,SUM($AD260),IF(OR(SUM($AP260)=0,SUM($AQ260)=0),MAX($BB260,$AD260),ROUND($BB260*$AQ260/$AP260,0))))</f>
        <v>1409</v>
      </c>
      <c r="BD260" s="33">
        <f t="shared" si="62"/>
        <v>0.95</v>
      </c>
      <c r="BE260" s="218">
        <f>IF($C260="&lt;01",ROUND(INDEX(EID!$V:$V,MATCH($B260,EID!$B:$B,0))/2,0),ROUND($BD260*$BB260,0))</f>
        <v>1113</v>
      </c>
      <c r="BF260" s="218">
        <f>IF(LEFT($B260,4)="_Mil","",IF(SUM($BE260)=0,SUM($AF260),IF(OR(SUM($AP260)=0,SUM($AQ260)=0),MAX($BE260,$AF260),ROUND($BE260*$AQ260/$AP260,0))))</f>
        <v>1338</v>
      </c>
      <c r="BG260" s="79">
        <f t="shared" si="63"/>
        <v>0.95</v>
      </c>
      <c r="BH260" s="99">
        <f>IF($C260="&lt;01",ROUND(INDEX(EID!$L:$L,MATCH($B260,EID!$B:$B,0)),0)/2,IF(SUM($BG260)=0,"",ROUND($AX260/$BG260,0)))</f>
        <v>104</v>
      </c>
    </row>
    <row r="261" spans="1:60" x14ac:dyDescent="0.2">
      <c r="A261" t="str">
        <f>INDEX(Prioritization!$D:$D,MATCH($B261,Prioritization!$A:$A,0))</f>
        <v>1 - Scale-up: Saturation</v>
      </c>
      <c r="B261" t="s">
        <v>310</v>
      </c>
      <c r="C261" t="s">
        <v>476</v>
      </c>
      <c r="D261" t="s">
        <v>30</v>
      </c>
      <c r="E261" t="str">
        <f t="shared" si="53"/>
        <v>Mzimba District [vA4NcHxfMBq]|25-34|Female</v>
      </c>
      <c r="F261" s="229">
        <v>5781</v>
      </c>
      <c r="G261" s="38">
        <v>779</v>
      </c>
      <c r="H261" s="38">
        <v>901</v>
      </c>
      <c r="I261" s="38">
        <v>5781</v>
      </c>
      <c r="J261" s="38">
        <v>4732</v>
      </c>
      <c r="K261" s="38">
        <v>4355</v>
      </c>
      <c r="L261" s="38">
        <v>402</v>
      </c>
      <c r="M261" s="38">
        <v>394</v>
      </c>
      <c r="N261" s="38">
        <v>5985</v>
      </c>
      <c r="O261" s="229">
        <v>5781</v>
      </c>
      <c r="P261" s="38">
        <v>5572</v>
      </c>
      <c r="Q261" s="38">
        <v>5291</v>
      </c>
      <c r="R261" s="38">
        <f t="shared" si="54"/>
        <v>0</v>
      </c>
      <c r="S261" s="38">
        <f>IF(LEFT($B261,4)="_Mil","",_xlfn.IFNA(ROUND(INDEX(Spectrum!$N:$N,MATCH(RIGHT($B261,13)&amp;"|"&amp;$C261&amp;"|"&amp;$D261&amp;"|"&amp;S$14&amp;"|"&amp;"CY2023Q4",Spectrum!$R:$R,0)),0),""))</f>
        <v>6314</v>
      </c>
      <c r="T261" s="218">
        <f>IF(LEFT($B261,4)="_Mil","",_xlfn.IFNA(ROUND(INDEX(Spectrum!$N:$N,MATCH(RIGHT($B261,13)&amp;"|"&amp;$C261&amp;"|"&amp;$D261&amp;"|"&amp;T$14&amp;"|"&amp;"CY2024Q3",Spectrum!$R:$R,0)),0),""))</f>
        <v>109451</v>
      </c>
      <c r="U261" s="218">
        <f>IF(LEFT($B261,4)="_Mil","",_xlfn.IFNA(ROUND(INDEX(Spectrum!$N:$N,MATCH(RIGHT($B261,13)&amp;"|"&amp;$C261&amp;"|"&amp;$D261&amp;"|"&amp;U$14&amp;"|"&amp;"CY2024Q3",Spectrum!$R:$R,0)),0),""))</f>
        <v>6046</v>
      </c>
      <c r="V261" s="38">
        <f>IF(LEFT($B261,4)="_Mil","",_xlfn.IFNA(ROUND(INDEX(Spectrum!$N:$N,MATCH(RIGHT($B261,13)&amp;"|"&amp;$C261&amp;"|"&amp;$D261&amp;"|"&amp;V$14&amp;"|"&amp;"CY2024Q3",Spectrum!$R:$R,0)),0),""))</f>
        <v>6217</v>
      </c>
      <c r="W261" s="220">
        <f>IF(LEFT($B261,4)="_Mil","",_xlfn.IFNA(INDEX(Spectrum!$N:$N,MATCH(RIGHT($B261,13)&amp;"|"&amp;$C261&amp;"|"&amp;$D261&amp;"|"&amp;W$14&amp;"|"&amp;"CY2024Q3",Spectrum!$R:$R,0)),""))</f>
        <v>5.5235320999999997E-2</v>
      </c>
      <c r="X261" s="218">
        <f>IF(LEFT($B261,4)="_Mil","",_xlfn.IFNA(ROUND(INDEX(Spectrum!$N:$N,MATCH(RIGHT($B261,13)&amp;"|"&amp;$C261&amp;"|"&amp;$D261&amp;"|"&amp;X$14&amp;"|"&amp;"CY2024Q3",Spectrum!$R:$R,0)),0),""))</f>
        <v>5821</v>
      </c>
      <c r="Y261" s="33">
        <f t="shared" si="55"/>
        <v>0.96</v>
      </c>
      <c r="Z261" s="218">
        <f>IF(LEFT($B261,4)="_Mil","",_xlfn.IFNA(ROUND(INDEX(Spectrum!$N:$N,MATCH(RIGHT($B261,13)&amp;"|"&amp;$C261&amp;"|"&amp;$D261&amp;"|"&amp;Z$14&amp;"|"&amp;"CY2024Q3",Spectrum!$R:$R,0)),0),""))</f>
        <v>5982</v>
      </c>
      <c r="AA261" s="33">
        <f>IF(LEFT($B261,4)="_Mil","",IFERROR(1/(1/INDEX(Spectrum!$N:$N,MATCH(RIGHT($B261,13)&amp;"|"&amp;$C261&amp;"|"&amp;$D261&amp;"|"&amp;AA$14&amp;"|"&amp;"CY2024Q3",Spectrum!$R:$R,0))),IF(SUM($U261)=0,"",SUM($Z261)/$U261)))</f>
        <v>0.96281286300000002</v>
      </c>
      <c r="AB261" s="33">
        <f t="shared" si="56"/>
        <v>1.0276584779247553</v>
      </c>
      <c r="AC261" s="38">
        <f>IF(LEFT($B261,4)="_Mil","",_xlfn.IFNA(ROUND(INDEX(Spectrum!$N:$N,MATCH(RIGHT($B261,13)&amp;"|"&amp;$C261&amp;"|"&amp;$D261&amp;"|"&amp;AC$14&amp;"|"&amp;"CY2024Q3",Spectrum!$R:$R,0)),0),""))</f>
        <v>235</v>
      </c>
      <c r="AD261" s="38" t="str">
        <f>IF(LEFT($B261,4)="_Mil","",_xlfn.IFNA(ROUND(INDEX(Spectrum!$N:$N,MATCH(RIGHT($B261,13)&amp;"|"&amp;$C261&amp;"|"&amp;$D261&amp;"|"&amp;AD$14&amp;"|"&amp;"CY2024Q3",Spectrum!$R:$R,0)),0),""))</f>
        <v/>
      </c>
      <c r="AE261" s="33">
        <f t="shared" si="57"/>
        <v>0</v>
      </c>
      <c r="AF261" s="218" t="str">
        <f>IF(LEFT($B261,4)="_Mil","",_xlfn.IFNA(ROUND(INDEX(Spectrum!$N:$N,MATCH(RIGHT($B261,13)&amp;"|"&amp;$C261&amp;"|"&amp;$D261&amp;"|"&amp;AF$14&amp;"|"&amp;"CY2024Q3",Spectrum!$R:$R,0)),0),""))</f>
        <v/>
      </c>
      <c r="AG261" s="33" t="str">
        <f t="shared" si="58"/>
        <v/>
      </c>
      <c r="AH261" s="110" t="str">
        <f>IF(LEFT($B261,4)="_Mil","",_xlfn.IFNA(INDEX(Spectrum!$N:$N,MATCH(RIGHT($B261,13)&amp;"|"&amp;$C261&amp;"|"&amp;$D261&amp;"|"&amp;AH$14&amp;"|"&amp;"CY2024Q3",Spectrum!$R:$R,0)),""))</f>
        <v/>
      </c>
      <c r="AI261" s="218">
        <f>IF(LEFT($B261,4)="_Mil","",_xlfn.IFNA(ROUND(INDEX(Spectrum!$N:$N,MATCH(RIGHT($B261,13)&amp;"|"&amp;$C261&amp;"|"&amp;$D261&amp;"|"&amp;AI$14&amp;"|"&amp;"CY2025Q3",Spectrum!$R:$R,0)),0),""))</f>
        <v>148</v>
      </c>
      <c r="AJ261" s="38">
        <f>IF(LEFT($B261,4)="_Mil","",_xlfn.IFNA(ROUND(INDEX(Spectrum!$N:$N,MATCH(RIGHT($B261,13)&amp;"|"&amp;$C261&amp;"|"&amp;$D261&amp;"|"&amp;AJ$14&amp;"|"&amp;"CY2025Q3",Spectrum!$R:$R,0)),0),""))</f>
        <v>5629</v>
      </c>
      <c r="AK261" s="218" t="e">
        <f>#REF!</f>
        <v>#REF!</v>
      </c>
      <c r="AL261" s="33">
        <f t="shared" si="59"/>
        <v>0.96281286300000002</v>
      </c>
      <c r="AM261" s="38" t="e">
        <f>IF(OR(LEFT($B261,4)="_Mil",$C261="&lt;01"),"",ROUND(SUM($AK261)*SUM($AL261),0))</f>
        <v>#REF!</v>
      </c>
      <c r="AN261" s="38" t="str">
        <f>IF($C261="&lt;01",ROUND(INDEX(EID!$P:$P,MATCH($B261,EID!$B:$B,0))/2,0),"")</f>
        <v/>
      </c>
      <c r="AO261" s="38" t="e">
        <f>IF($C261="&lt;01",SUM($AN261),ROUND(SUM($AM261)*SUM($O261)/IF(SUM($Z261)=0,1,$Z261),0))</f>
        <v>#REF!</v>
      </c>
      <c r="AP261" s="218">
        <f>IF(OR($F261="",$C261="&lt;01"),$AO261,ROUND($F261,0))</f>
        <v>5781</v>
      </c>
      <c r="AQ261" s="218">
        <f>IF(LEFT($B261,4)="_Mil","",IF(SUM($AP261)=0,SUM($Z261),IF(OR(SUM($Z261)=0,SUM($O261)=0),MAX($AP261,$Z261),ROUND($AP261*$Z261/$O261,0))))</f>
        <v>5982</v>
      </c>
      <c r="AR261" s="33" t="e">
        <f>IF(OR(LEFT($B261,4)="_Mil",SUM($AK261)=0),"",SUM($AQ261)/$AK261)</f>
        <v>#REF!</v>
      </c>
      <c r="AS261" s="33">
        <f>IF($C261="&lt;01","",90%)</f>
        <v>0.9</v>
      </c>
      <c r="AT261" s="33">
        <f>IF($C261="&lt;01","",90%)</f>
        <v>0.9</v>
      </c>
      <c r="AU261" s="38">
        <f>IF($C261="&lt;01","",SUM($AP261)-SUM($O261))</f>
        <v>0</v>
      </c>
      <c r="AV261" s="38">
        <f>IF($C261="&lt;01",ROUND(INDEX(EID!$N:$N,MATCH($B261,EID!$B:$B,0))/2,0),IF(SUM($AT261)=0,"",ROUND((SUM($AP261)-(SUM($O261)*SUM($AS261)))/$AT261,0)))</f>
        <v>642</v>
      </c>
      <c r="AW261" s="33">
        <f t="shared" si="60"/>
        <v>1</v>
      </c>
      <c r="AX261" s="218">
        <f>IF($C261="&lt;01",SUM($AV261),ROUND(SUM($AV261)*SUM($AW261),0))</f>
        <v>642</v>
      </c>
      <c r="AY261" s="79">
        <f t="shared" si="61"/>
        <v>0.7</v>
      </c>
      <c r="AZ261" s="85">
        <f>IF($C261="&lt;01",ROUND(INDEX(EID!$R:$R,MATCH($B261,EID!$B:$B,0))/2,0),ROUND(SUM($O261)+(SUM($AV261)*$AY261),0))</f>
        <v>6230</v>
      </c>
      <c r="BA261" s="40">
        <f t="shared" si="65"/>
        <v>0.9</v>
      </c>
      <c r="BB261" s="99">
        <f>IF($C261="&lt;01",ROUND(INDEX(EID!$T:$T,MATCH($B261,EID!$B:$B,0))/2,0),ROUND($AP261*$BA261,0))</f>
        <v>5203</v>
      </c>
      <c r="BC261" s="85">
        <f>IF(LEFT($B261,4)="_Mil","",IF(SUM($BB261)=0,SUM($AD261),IF(OR(SUM($AP261)=0,SUM($AQ261)=0),MAX($BB261,$AD261),ROUND($BB261*$AQ261/$AP261,0))))</f>
        <v>5384</v>
      </c>
      <c r="BD261" s="33">
        <f t="shared" si="62"/>
        <v>0.95</v>
      </c>
      <c r="BE261" s="218">
        <f>IF($C261="&lt;01",ROUND(INDEX(EID!$V:$V,MATCH($B261,EID!$B:$B,0))/2,0),ROUND($BD261*$BB261,0))</f>
        <v>4943</v>
      </c>
      <c r="BF261" s="218">
        <f>IF(LEFT($B261,4)="_Mil","",IF(SUM($BE261)=0,SUM($AF261),IF(OR(SUM($AP261)=0,SUM($AQ261)=0),MAX($BE261,$AF261),ROUND($BE261*$AQ261/$AP261,0))))</f>
        <v>5115</v>
      </c>
      <c r="BG261" s="79">
        <f t="shared" si="63"/>
        <v>0.95</v>
      </c>
      <c r="BH261" s="99">
        <f>IF($C261="&lt;01",ROUND(INDEX(EID!$L:$L,MATCH($B261,EID!$B:$B,0)),0)/2,IF(SUM($BG261)=0,"",ROUND($AX261/$BG261,0)))</f>
        <v>676</v>
      </c>
    </row>
    <row r="262" spans="1:60" x14ac:dyDescent="0.2">
      <c r="A262" t="str">
        <f>INDEX(Prioritization!$D:$D,MATCH($B262,Prioritization!$A:$A,0))</f>
        <v>1 - Scale-up: Saturation</v>
      </c>
      <c r="B262" t="s">
        <v>310</v>
      </c>
      <c r="C262" t="s">
        <v>476</v>
      </c>
      <c r="D262" t="s">
        <v>48</v>
      </c>
      <c r="E262" t="str">
        <f t="shared" si="53"/>
        <v>Mzimba District [vA4NcHxfMBq]|25-34|Male</v>
      </c>
      <c r="F262" s="229">
        <v>1855</v>
      </c>
      <c r="G262" s="38">
        <v>434</v>
      </c>
      <c r="H262" s="38">
        <v>454</v>
      </c>
      <c r="I262" s="38">
        <v>1722</v>
      </c>
      <c r="J262" s="38">
        <v>1235</v>
      </c>
      <c r="K262" s="38">
        <v>1153</v>
      </c>
      <c r="L262" s="38">
        <v>27</v>
      </c>
      <c r="M262" s="38">
        <v>26</v>
      </c>
      <c r="N262" s="38">
        <v>2353</v>
      </c>
      <c r="O262" s="229">
        <v>1847</v>
      </c>
      <c r="P262" s="38">
        <v>2144</v>
      </c>
      <c r="Q262" s="38">
        <v>2036</v>
      </c>
      <c r="R262" s="38">
        <f t="shared" si="54"/>
        <v>125</v>
      </c>
      <c r="S262" s="38">
        <f>IF(LEFT($B262,4)="_Mil","",_xlfn.IFNA(ROUND(INDEX(Spectrum!$N:$N,MATCH(RIGHT($B262,13)&amp;"|"&amp;$C262&amp;"|"&amp;$D262&amp;"|"&amp;S$14&amp;"|"&amp;"CY2023Q4",Spectrum!$R:$R,0)),0),""))</f>
        <v>2177</v>
      </c>
      <c r="T262" s="218">
        <f>IF(LEFT($B262,4)="_Mil","",_xlfn.IFNA(ROUND(INDEX(Spectrum!$N:$N,MATCH(RIGHT($B262,13)&amp;"|"&amp;$C262&amp;"|"&amp;$D262&amp;"|"&amp;T$14&amp;"|"&amp;"CY2024Q3",Spectrum!$R:$R,0)),0),""))</f>
        <v>100517</v>
      </c>
      <c r="U262" s="218">
        <f>IF(LEFT($B262,4)="_Mil","",_xlfn.IFNA(ROUND(INDEX(Spectrum!$N:$N,MATCH(RIGHT($B262,13)&amp;"|"&amp;$C262&amp;"|"&amp;$D262&amp;"|"&amp;U$14&amp;"|"&amp;"CY2024Q3",Spectrum!$R:$R,0)),0),""))</f>
        <v>2388</v>
      </c>
      <c r="V262" s="38">
        <f>IF(LEFT($B262,4)="_Mil","",_xlfn.IFNA(ROUND(INDEX(Spectrum!$N:$N,MATCH(RIGHT($B262,13)&amp;"|"&amp;$C262&amp;"|"&amp;$D262&amp;"|"&amp;V$14&amp;"|"&amp;"CY2024Q3",Spectrum!$R:$R,0)),0),""))</f>
        <v>2463</v>
      </c>
      <c r="W262" s="220">
        <f>IF(LEFT($B262,4)="_Mil","",_xlfn.IFNA(INDEX(Spectrum!$N:$N,MATCH(RIGHT($B262,13)&amp;"|"&amp;$C262&amp;"|"&amp;$D262&amp;"|"&amp;W$14&amp;"|"&amp;"CY2024Q3",Spectrum!$R:$R,0)),""))</f>
        <v>2.3757133E-2</v>
      </c>
      <c r="X262" s="218">
        <f>IF(LEFT($B262,4)="_Mil","",_xlfn.IFNA(ROUND(INDEX(Spectrum!$N:$N,MATCH(RIGHT($B262,13)&amp;"|"&amp;$C262&amp;"|"&amp;$D262&amp;"|"&amp;X$14&amp;"|"&amp;"CY2024Q3",Spectrum!$R:$R,0)),0),""))</f>
        <v>2093</v>
      </c>
      <c r="Y262" s="33">
        <f t="shared" si="55"/>
        <v>0.88</v>
      </c>
      <c r="Z262" s="218">
        <f>IF(LEFT($B262,4)="_Mil","",_xlfn.IFNA(ROUND(INDEX(Spectrum!$N:$N,MATCH(RIGHT($B262,13)&amp;"|"&amp;$C262&amp;"|"&amp;$D262&amp;"|"&amp;Z$14&amp;"|"&amp;"CY2024Q3",Spectrum!$R:$R,0)),0),""))</f>
        <v>2156</v>
      </c>
      <c r="AA262" s="33">
        <f>IF(LEFT($B262,4)="_Mil","",IFERROR(1/(1/INDEX(Spectrum!$N:$N,MATCH(RIGHT($B262,13)&amp;"|"&amp;$C262&amp;"|"&amp;$D262&amp;"|"&amp;AA$14&amp;"|"&amp;"CY2024Q3",Spectrum!$R:$R,0))),IF(SUM($U262)=0,"",SUM($Z262)/$U262)))</f>
        <v>0.86840037299999995</v>
      </c>
      <c r="AB262" s="33">
        <f t="shared" si="56"/>
        <v>1.0301003344481605</v>
      </c>
      <c r="AC262" s="38">
        <f>IF(LEFT($B262,4)="_Mil","",_xlfn.IFNA(ROUND(INDEX(Spectrum!$N:$N,MATCH(RIGHT($B262,13)&amp;"|"&amp;$C262&amp;"|"&amp;$D262&amp;"|"&amp;AC$14&amp;"|"&amp;"CY2024Q3",Spectrum!$R:$R,0)),0),""))</f>
        <v>307</v>
      </c>
      <c r="AD262" s="38" t="str">
        <f>IF(LEFT($B262,4)="_Mil","",_xlfn.IFNA(ROUND(INDEX(Spectrum!$N:$N,MATCH(RIGHT($B262,13)&amp;"|"&amp;$C262&amp;"|"&amp;$D262&amp;"|"&amp;AD$14&amp;"|"&amp;"CY2024Q3",Spectrum!$R:$R,0)),0),""))</f>
        <v/>
      </c>
      <c r="AE262" s="33">
        <f t="shared" si="57"/>
        <v>0</v>
      </c>
      <c r="AF262" s="218" t="str">
        <f>IF(LEFT($B262,4)="_Mil","",_xlfn.IFNA(ROUND(INDEX(Spectrum!$N:$N,MATCH(RIGHT($B262,13)&amp;"|"&amp;$C262&amp;"|"&amp;$D262&amp;"|"&amp;AF$14&amp;"|"&amp;"CY2024Q3",Spectrum!$R:$R,0)),0),""))</f>
        <v/>
      </c>
      <c r="AG262" s="33" t="str">
        <f t="shared" si="58"/>
        <v/>
      </c>
      <c r="AH262" s="110" t="str">
        <f>IF(LEFT($B262,4)="_Mil","",_xlfn.IFNA(INDEX(Spectrum!$N:$N,MATCH(RIGHT($B262,13)&amp;"|"&amp;$C262&amp;"|"&amp;$D262&amp;"|"&amp;AH$14&amp;"|"&amp;"CY2024Q3",Spectrum!$R:$R,0)),""))</f>
        <v/>
      </c>
      <c r="AI262" s="218">
        <f>IF(LEFT($B262,4)="_Mil","",_xlfn.IFNA(ROUND(INDEX(Spectrum!$N:$N,MATCH(RIGHT($B262,13)&amp;"|"&amp;$C262&amp;"|"&amp;$D262&amp;"|"&amp;AI$14&amp;"|"&amp;"CY2025Q3",Spectrum!$R:$R,0)),0),""))</f>
        <v>85</v>
      </c>
      <c r="AJ262" s="38">
        <f>IF(LEFT($B262,4)="_Mil","",_xlfn.IFNA(ROUND(INDEX(Spectrum!$N:$N,MATCH(RIGHT($B262,13)&amp;"|"&amp;$C262&amp;"|"&amp;$D262&amp;"|"&amp;AJ$14&amp;"|"&amp;"CY2025Q3",Spectrum!$R:$R,0)),0),""))</f>
        <v>2264</v>
      </c>
      <c r="AK262" s="218" t="e">
        <f>#REF!</f>
        <v>#REF!</v>
      </c>
      <c r="AL262" s="33">
        <f t="shared" si="59"/>
        <v>0.9</v>
      </c>
      <c r="AM262" s="38" t="e">
        <f>IF(OR(LEFT($B262,4)="_Mil",$C262="&lt;01"),"",ROUND(SUM($AK262)*SUM($AL262),0))</f>
        <v>#REF!</v>
      </c>
      <c r="AN262" s="38" t="str">
        <f>IF($C262="&lt;01",ROUND(INDEX(EID!$P:$P,MATCH($B262,EID!$B:$B,0))/2,0),"")</f>
        <v/>
      </c>
      <c r="AO262" s="38" t="e">
        <f>IF($C262="&lt;01",SUM($AN262),ROUND(SUM($AM262)*SUM($O262)/IF(SUM($Z262)=0,1,$Z262),0))</f>
        <v>#REF!</v>
      </c>
      <c r="AP262" s="218">
        <f>IF(OR($F262="",$C262="&lt;01"),$AO262,ROUND($F262,0))</f>
        <v>1855</v>
      </c>
      <c r="AQ262" s="218">
        <f>IF(LEFT($B262,4)="_Mil","",IF(SUM($AP262)=0,SUM($Z262),IF(OR(SUM($Z262)=0,SUM($O262)=0),MAX($AP262,$Z262),ROUND($AP262*$Z262/$O262,0))))</f>
        <v>2165</v>
      </c>
      <c r="AR262" s="33" t="e">
        <f>IF(OR(LEFT($B262,4)="_Mil",SUM($AK262)=0),"",SUM($AQ262)/$AK262)</f>
        <v>#REF!</v>
      </c>
      <c r="AS262" s="33">
        <f t="shared" si="69"/>
        <v>0.98</v>
      </c>
      <c r="AT262" s="33">
        <f t="shared" si="66"/>
        <v>0.98</v>
      </c>
      <c r="AU262" s="38">
        <f>IF($C262="&lt;01","",SUM($AP262)-SUM($O262))</f>
        <v>8</v>
      </c>
      <c r="AV262" s="38">
        <f>IF($C262="&lt;01",ROUND(INDEX(EID!$N:$N,MATCH($B262,EID!$B:$B,0))/2,0),IF(SUM($AT262)=0,"",ROUND((SUM($AP262)-(SUM($O262)*SUM($AS262)))/$AT262,0)))</f>
        <v>46</v>
      </c>
      <c r="AW262" s="33">
        <f t="shared" si="60"/>
        <v>1</v>
      </c>
      <c r="AX262" s="218">
        <f>IF($C262="&lt;01",SUM($AV262),ROUND(SUM($AV262)*SUM($AW262),0))</f>
        <v>46</v>
      </c>
      <c r="AY262" s="79">
        <f t="shared" si="61"/>
        <v>0.7</v>
      </c>
      <c r="AZ262" s="85">
        <f>IF($C262="&lt;01",ROUND(INDEX(EID!$R:$R,MATCH($B262,EID!$B:$B,0))/2,0),ROUND(SUM($O262)+(SUM($AV262)*$AY262),0))</f>
        <v>1879</v>
      </c>
      <c r="BA262" s="40">
        <f t="shared" si="65"/>
        <v>0.9</v>
      </c>
      <c r="BB262" s="99">
        <f>IF($C262="&lt;01",ROUND(INDEX(EID!$T:$T,MATCH($B262,EID!$B:$B,0))/2,0),ROUND($AP262*$BA262,0))</f>
        <v>1670</v>
      </c>
      <c r="BC262" s="85">
        <f>IF(LEFT($B262,4)="_Mil","",IF(SUM($BB262)=0,SUM($AD262),IF(OR(SUM($AP262)=0,SUM($AQ262)=0),MAX($BB262,$AD262),ROUND($BB262*$AQ262/$AP262,0))))</f>
        <v>1949</v>
      </c>
      <c r="BD262" s="33">
        <f t="shared" si="62"/>
        <v>0.95</v>
      </c>
      <c r="BE262" s="218">
        <f>IF($C262="&lt;01",ROUND(INDEX(EID!$V:$V,MATCH($B262,EID!$B:$B,0))/2,0),ROUND($BD262*$BB262,0))</f>
        <v>1587</v>
      </c>
      <c r="BF262" s="218">
        <f>IF(LEFT($B262,4)="_Mil","",IF(SUM($BE262)=0,SUM($AF262),IF(OR(SUM($AP262)=0,SUM($AQ262)=0),MAX($BE262,$AF262),ROUND($BE262*$AQ262/$AP262,0))))</f>
        <v>1852</v>
      </c>
      <c r="BG262" s="79">
        <f t="shared" si="63"/>
        <v>0.95</v>
      </c>
      <c r="BH262" s="99">
        <f>IF($C262="&lt;01",ROUND(INDEX(EID!$L:$L,MATCH($B262,EID!$B:$B,0)),0)/2,IF(SUM($BG262)=0,"",ROUND($AX262/$BG262,0)))</f>
        <v>48</v>
      </c>
    </row>
    <row r="263" spans="1:60" x14ac:dyDescent="0.2">
      <c r="A263" t="str">
        <f>INDEX(Prioritization!$D:$D,MATCH($B263,Prioritization!$A:$A,0))</f>
        <v>1 - Scale-up: Saturation</v>
      </c>
      <c r="B263" t="s">
        <v>310</v>
      </c>
      <c r="C263" t="s">
        <v>477</v>
      </c>
      <c r="D263" t="s">
        <v>30</v>
      </c>
      <c r="E263" t="str">
        <f t="shared" si="53"/>
        <v>Mzimba District [vA4NcHxfMBq]|35-49|Female</v>
      </c>
      <c r="F263" s="229">
        <v>13647</v>
      </c>
      <c r="G263" s="38">
        <v>726</v>
      </c>
      <c r="H263" s="38">
        <v>694</v>
      </c>
      <c r="I263" s="38">
        <v>13175</v>
      </c>
      <c r="J263" s="38">
        <v>10045</v>
      </c>
      <c r="K263" s="38">
        <v>9243</v>
      </c>
      <c r="L263" s="38">
        <v>1103</v>
      </c>
      <c r="M263" s="38">
        <v>1081</v>
      </c>
      <c r="N263" s="38">
        <v>14476</v>
      </c>
      <c r="O263" s="229">
        <v>13411</v>
      </c>
      <c r="P263" s="38">
        <v>12462</v>
      </c>
      <c r="Q263" s="38">
        <v>11841</v>
      </c>
      <c r="R263" s="38">
        <f t="shared" si="54"/>
        <v>236</v>
      </c>
      <c r="S263" s="38">
        <f>IF(LEFT($B263,4)="_Mil","",_xlfn.IFNA(ROUND(INDEX(Spectrum!$N:$N,MATCH(RIGHT($B263,13)&amp;"|"&amp;$C263&amp;"|"&amp;$D263&amp;"|"&amp;S$14&amp;"|"&amp;"CY2023Q4",Spectrum!$R:$R,0)),0),""))</f>
        <v>14699</v>
      </c>
      <c r="T263" s="218">
        <f>IF(LEFT($B263,4)="_Mil","",_xlfn.IFNA(ROUND(INDEX(Spectrum!$N:$N,MATCH(RIGHT($B263,13)&amp;"|"&amp;$C263&amp;"|"&amp;$D263&amp;"|"&amp;T$14&amp;"|"&amp;"CY2024Q3",Spectrum!$R:$R,0)),0),""))</f>
        <v>107201</v>
      </c>
      <c r="U263" s="218">
        <f>IF(LEFT($B263,4)="_Mil","",_xlfn.IFNA(ROUND(INDEX(Spectrum!$N:$N,MATCH(RIGHT($B263,13)&amp;"|"&amp;$C263&amp;"|"&amp;$D263&amp;"|"&amp;U$14&amp;"|"&amp;"CY2024Q3",Spectrum!$R:$R,0)),0),""))</f>
        <v>14572</v>
      </c>
      <c r="V263" s="38">
        <f>IF(LEFT($B263,4)="_Mil","",_xlfn.IFNA(ROUND(INDEX(Spectrum!$N:$N,MATCH(RIGHT($B263,13)&amp;"|"&amp;$C263&amp;"|"&amp;$D263&amp;"|"&amp;V$14&amp;"|"&amp;"CY2024Q3",Spectrum!$R:$R,0)),0),""))</f>
        <v>15058</v>
      </c>
      <c r="W263" s="220">
        <f>IF(LEFT($B263,4)="_Mil","",_xlfn.IFNA(INDEX(Spectrum!$N:$N,MATCH(RIGHT($B263,13)&amp;"|"&amp;$C263&amp;"|"&amp;$D263&amp;"|"&amp;W$14&amp;"|"&amp;"CY2024Q3",Spectrum!$R:$R,0)),""))</f>
        <v>0.13592779199999999</v>
      </c>
      <c r="X263" s="218">
        <f>IF(LEFT($B263,4)="_Mil","",_xlfn.IFNA(ROUND(INDEX(Spectrum!$N:$N,MATCH(RIGHT($B263,13)&amp;"|"&amp;$C263&amp;"|"&amp;$D263&amp;"|"&amp;X$14&amp;"|"&amp;"CY2024Q3",Spectrum!$R:$R,0)),0),""))</f>
        <v>14303</v>
      </c>
      <c r="Y263" s="33">
        <f t="shared" si="55"/>
        <v>0.98</v>
      </c>
      <c r="Z263" s="218">
        <f>IF(LEFT($B263,4)="_Mil","",_xlfn.IFNA(ROUND(INDEX(Spectrum!$N:$N,MATCH(RIGHT($B263,13)&amp;"|"&amp;$C263&amp;"|"&amp;$D263&amp;"|"&amp;Z$14&amp;"|"&amp;"CY2024Q3",Spectrum!$R:$R,0)),0),""))</f>
        <v>14784</v>
      </c>
      <c r="AA263" s="33">
        <f>IF(LEFT($B263,4)="_Mil","",IFERROR(1/(1/INDEX(Spectrum!$N:$N,MATCH(RIGHT($B263,13)&amp;"|"&amp;$C263&amp;"|"&amp;$D263&amp;"|"&amp;AA$14&amp;"|"&amp;"CY2024Q3",Spectrum!$R:$R,0))),IF(SUM($U263)=0,"",SUM($Z263)/$U263)))</f>
        <v>0.98112466700000001</v>
      </c>
      <c r="AB263" s="33">
        <f t="shared" si="56"/>
        <v>1.0336293085366706</v>
      </c>
      <c r="AC263" s="38">
        <f>IF(LEFT($B263,4)="_Mil","",_xlfn.IFNA(ROUND(INDEX(Spectrum!$N:$N,MATCH(RIGHT($B263,13)&amp;"|"&amp;$C263&amp;"|"&amp;$D263&amp;"|"&amp;AC$14&amp;"|"&amp;"CY2024Q3",Spectrum!$R:$R,0)),0),""))</f>
        <v>273</v>
      </c>
      <c r="AD263" s="38" t="str">
        <f>IF(LEFT($B263,4)="_Mil","",_xlfn.IFNA(ROUND(INDEX(Spectrum!$N:$N,MATCH(RIGHT($B263,13)&amp;"|"&amp;$C263&amp;"|"&amp;$D263&amp;"|"&amp;AD$14&amp;"|"&amp;"CY2024Q3",Spectrum!$R:$R,0)),0),""))</f>
        <v/>
      </c>
      <c r="AE263" s="33">
        <f t="shared" si="57"/>
        <v>0</v>
      </c>
      <c r="AF263" s="218" t="str">
        <f>IF(LEFT($B263,4)="_Mil","",_xlfn.IFNA(ROUND(INDEX(Spectrum!$N:$N,MATCH(RIGHT($B263,13)&amp;"|"&amp;$C263&amp;"|"&amp;$D263&amp;"|"&amp;AF$14&amp;"|"&amp;"CY2024Q3",Spectrum!$R:$R,0)),0),""))</f>
        <v/>
      </c>
      <c r="AG263" s="33" t="str">
        <f t="shared" si="58"/>
        <v/>
      </c>
      <c r="AH263" s="110" t="str">
        <f>IF(LEFT($B263,4)="_Mil","",_xlfn.IFNA(INDEX(Spectrum!$N:$N,MATCH(RIGHT($B263,13)&amp;"|"&amp;$C263&amp;"|"&amp;$D263&amp;"|"&amp;AH$14&amp;"|"&amp;"CY2024Q3",Spectrum!$R:$R,0)),""))</f>
        <v/>
      </c>
      <c r="AI263" s="218">
        <f>IF(LEFT($B263,4)="_Mil","",_xlfn.IFNA(ROUND(INDEX(Spectrum!$N:$N,MATCH(RIGHT($B263,13)&amp;"|"&amp;$C263&amp;"|"&amp;$D263&amp;"|"&amp;AI$14&amp;"|"&amp;"CY2025Q3",Spectrum!$R:$R,0)),0),""))</f>
        <v>69</v>
      </c>
      <c r="AJ263" s="38">
        <f>IF(LEFT($B263,4)="_Mil","",_xlfn.IFNA(ROUND(INDEX(Spectrum!$N:$N,MATCH(RIGHT($B263,13)&amp;"|"&amp;$C263&amp;"|"&amp;$D263&amp;"|"&amp;AJ$14&amp;"|"&amp;"CY2025Q3",Spectrum!$R:$R,0)),0),""))</f>
        <v>14613</v>
      </c>
      <c r="AK263" s="218" t="e">
        <f>#REF!</f>
        <v>#REF!</v>
      </c>
      <c r="AL263" s="33">
        <f t="shared" si="59"/>
        <v>0.98112466700000001</v>
      </c>
      <c r="AM263" s="38" t="e">
        <f>IF(OR(LEFT($B263,4)="_Mil",$C263="&lt;01"),"",ROUND(SUM($AK263)*SUM($AL263),0))</f>
        <v>#REF!</v>
      </c>
      <c r="AN263" s="38" t="str">
        <f>IF($C263="&lt;01",ROUND(INDEX(EID!$P:$P,MATCH($B263,EID!$B:$B,0))/2,0),"")</f>
        <v/>
      </c>
      <c r="AO263" s="38" t="e">
        <f>IF($C263="&lt;01",SUM($AN263),ROUND(SUM($AM263)*SUM($O263)/IF(SUM($Z263)=0,1,$Z263),0))</f>
        <v>#REF!</v>
      </c>
      <c r="AP263" s="218">
        <f>IF(OR($F263="",$C263="&lt;01"),$AO263,ROUND($F263,0))</f>
        <v>13647</v>
      </c>
      <c r="AQ263" s="218">
        <f>IF(LEFT($B263,4)="_Mil","",IF(SUM($AP263)=0,SUM($Z263),IF(OR(SUM($Z263)=0,SUM($O263)=0),MAX($AP263,$Z263),ROUND($AP263*$Z263/$O263,0))))</f>
        <v>15044</v>
      </c>
      <c r="AR263" s="33" t="e">
        <f>IF(OR(LEFT($B263,4)="_Mil",SUM($AK263)=0),"",SUM($AQ263)/$AK263)</f>
        <v>#REF!</v>
      </c>
      <c r="AS263" s="33">
        <f t="shared" si="69"/>
        <v>0.98</v>
      </c>
      <c r="AT263" s="33">
        <f t="shared" si="66"/>
        <v>0.98</v>
      </c>
      <c r="AU263" s="38">
        <f>IF($C263="&lt;01","",SUM($AP263)-SUM($O263))</f>
        <v>236</v>
      </c>
      <c r="AV263" s="38">
        <f>IF($C263="&lt;01",ROUND(INDEX(EID!$N:$N,MATCH($B263,EID!$B:$B,0))/2,0),IF(SUM($AT263)=0,"",ROUND((SUM($AP263)-(SUM($O263)*SUM($AS263)))/$AT263,0)))</f>
        <v>515</v>
      </c>
      <c r="AW263" s="33">
        <f t="shared" si="60"/>
        <v>1</v>
      </c>
      <c r="AX263" s="218">
        <f>IF($C263="&lt;01",SUM($AV263),ROUND(SUM($AV263)*SUM($AW263),0))</f>
        <v>515</v>
      </c>
      <c r="AY263" s="79">
        <f t="shared" si="61"/>
        <v>0.7</v>
      </c>
      <c r="AZ263" s="85">
        <f>IF($C263="&lt;01",ROUND(INDEX(EID!$R:$R,MATCH($B263,EID!$B:$B,0))/2,0),ROUND(SUM($O263)+(SUM($AV263)*$AY263),0))</f>
        <v>13772</v>
      </c>
      <c r="BA263" s="40">
        <f t="shared" si="65"/>
        <v>0.9</v>
      </c>
      <c r="BB263" s="99">
        <f>IF($C263="&lt;01",ROUND(INDEX(EID!$T:$T,MATCH($B263,EID!$B:$B,0))/2,0),ROUND($AP263*$BA263,0))</f>
        <v>12282</v>
      </c>
      <c r="BC263" s="85">
        <f>IF(LEFT($B263,4)="_Mil","",IF(SUM($BB263)=0,SUM($AD263),IF(OR(SUM($AP263)=0,SUM($AQ263)=0),MAX($BB263,$AD263),ROUND($BB263*$AQ263/$AP263,0))))</f>
        <v>13539</v>
      </c>
      <c r="BD263" s="33">
        <f t="shared" si="62"/>
        <v>0.95</v>
      </c>
      <c r="BE263" s="218">
        <f>IF($C263="&lt;01",ROUND(INDEX(EID!$V:$V,MATCH($B263,EID!$B:$B,0))/2,0),ROUND($BD263*$BB263,0))</f>
        <v>11668</v>
      </c>
      <c r="BF263" s="218">
        <f>IF(LEFT($B263,4)="_Mil","",IF(SUM($BE263)=0,SUM($AF263),IF(OR(SUM($AP263)=0,SUM($AQ263)=0),MAX($BE263,$AF263),ROUND($BE263*$AQ263/$AP263,0))))</f>
        <v>12862</v>
      </c>
      <c r="BG263" s="79">
        <f t="shared" si="63"/>
        <v>0.95</v>
      </c>
      <c r="BH263" s="99">
        <f>IF($C263="&lt;01",ROUND(INDEX(EID!$L:$L,MATCH($B263,EID!$B:$B,0)),0)/2,IF(SUM($BG263)=0,"",ROUND($AX263/$BG263,0)))</f>
        <v>542</v>
      </c>
    </row>
    <row r="264" spans="1:60" x14ac:dyDescent="0.2">
      <c r="A264" t="str">
        <f>INDEX(Prioritization!$D:$D,MATCH($B264,Prioritization!$A:$A,0))</f>
        <v>1 - Scale-up: Saturation</v>
      </c>
      <c r="B264" t="s">
        <v>310</v>
      </c>
      <c r="C264" t="s">
        <v>477</v>
      </c>
      <c r="D264" t="s">
        <v>48</v>
      </c>
      <c r="E264" t="str">
        <f t="shared" si="53"/>
        <v>Mzimba District [vA4NcHxfMBq]|35-49|Male</v>
      </c>
      <c r="F264" s="229">
        <v>7185</v>
      </c>
      <c r="G264" s="38">
        <v>625</v>
      </c>
      <c r="H264" s="38">
        <v>750</v>
      </c>
      <c r="I264" s="38">
        <v>7121</v>
      </c>
      <c r="J264" s="38">
        <v>5164</v>
      </c>
      <c r="K264" s="38">
        <v>4751</v>
      </c>
      <c r="L264" s="38">
        <v>123</v>
      </c>
      <c r="M264" s="38">
        <v>116</v>
      </c>
      <c r="N264" s="38">
        <v>8482</v>
      </c>
      <c r="O264" s="229">
        <v>7153</v>
      </c>
      <c r="P264" s="38">
        <v>7661</v>
      </c>
      <c r="Q264" s="38">
        <v>7277</v>
      </c>
      <c r="R264" s="38">
        <f t="shared" si="54"/>
        <v>32</v>
      </c>
      <c r="S264" s="38">
        <f>IF(LEFT($B264,4)="_Mil","",_xlfn.IFNA(ROUND(INDEX(Spectrum!$N:$N,MATCH(RIGHT($B264,13)&amp;"|"&amp;$C264&amp;"|"&amp;$D264&amp;"|"&amp;S$14&amp;"|"&amp;"CY2023Q4",Spectrum!$R:$R,0)),0),""))</f>
        <v>8516</v>
      </c>
      <c r="T264" s="218">
        <f>IF(LEFT($B264,4)="_Mil","",_xlfn.IFNA(ROUND(INDEX(Spectrum!$N:$N,MATCH(RIGHT($B264,13)&amp;"|"&amp;$C264&amp;"|"&amp;$D264&amp;"|"&amp;T$14&amp;"|"&amp;"CY2024Q3",Spectrum!$R:$R,0)),0),""))</f>
        <v>94814</v>
      </c>
      <c r="U264" s="218">
        <f>IF(LEFT($B264,4)="_Mil","",_xlfn.IFNA(ROUND(INDEX(Spectrum!$N:$N,MATCH(RIGHT($B264,13)&amp;"|"&amp;$C264&amp;"|"&amp;$D264&amp;"|"&amp;U$14&amp;"|"&amp;"CY2024Q3",Spectrum!$R:$R,0)),0),""))</f>
        <v>8895</v>
      </c>
      <c r="V264" s="38">
        <f>IF(LEFT($B264,4)="_Mil","",_xlfn.IFNA(ROUND(INDEX(Spectrum!$N:$N,MATCH(RIGHT($B264,13)&amp;"|"&amp;$C264&amp;"|"&amp;$D264&amp;"|"&amp;V$14&amp;"|"&amp;"CY2024Q3",Spectrum!$R:$R,0)),0),""))</f>
        <v>9141</v>
      </c>
      <c r="W264" s="220">
        <f>IF(LEFT($B264,4)="_Mil","",_xlfn.IFNA(INDEX(Spectrum!$N:$N,MATCH(RIGHT($B264,13)&amp;"|"&amp;$C264&amp;"|"&amp;$D264&amp;"|"&amp;W$14&amp;"|"&amp;"CY2024Q3",Spectrum!$R:$R,0)),""))</f>
        <v>9.3812175999999997E-2</v>
      </c>
      <c r="X264" s="218">
        <f>IF(LEFT($B264,4)="_Mil","",_xlfn.IFNA(ROUND(INDEX(Spectrum!$N:$N,MATCH(RIGHT($B264,13)&amp;"|"&amp;$C264&amp;"|"&amp;$D264&amp;"|"&amp;X$14&amp;"|"&amp;"CY2024Q3",Spectrum!$R:$R,0)),0),""))</f>
        <v>8212</v>
      </c>
      <c r="Y264" s="33">
        <f t="shared" si="55"/>
        <v>0.92</v>
      </c>
      <c r="Z264" s="218">
        <f>IF(LEFT($B264,4)="_Mil","",_xlfn.IFNA(ROUND(INDEX(Spectrum!$N:$N,MATCH(RIGHT($B264,13)&amp;"|"&amp;$C264&amp;"|"&amp;$D264&amp;"|"&amp;Z$14&amp;"|"&amp;"CY2024Q3",Spectrum!$R:$R,0)),0),""))</f>
        <v>8451</v>
      </c>
      <c r="AA264" s="33">
        <f>IF(LEFT($B264,4)="_Mil","",IFERROR(1/(1/INDEX(Spectrum!$N:$N,MATCH(RIGHT($B264,13)&amp;"|"&amp;$C264&amp;"|"&amp;$D264&amp;"|"&amp;AA$14&amp;"|"&amp;"CY2024Q3",Spectrum!$R:$R,0))),IF(SUM($U264)=0,"",SUM($Z264)/$U264)))</f>
        <v>0.91850760099999995</v>
      </c>
      <c r="AB264" s="33">
        <f t="shared" si="56"/>
        <v>1.0291037506088652</v>
      </c>
      <c r="AC264" s="38">
        <f>IF(LEFT($B264,4)="_Mil","",_xlfn.IFNA(ROUND(INDEX(Spectrum!$N:$N,MATCH(RIGHT($B264,13)&amp;"|"&amp;$C264&amp;"|"&amp;$D264&amp;"|"&amp;AC$14&amp;"|"&amp;"CY2024Q3",Spectrum!$R:$R,0)),0),""))</f>
        <v>691</v>
      </c>
      <c r="AD264" s="38" t="str">
        <f>IF(LEFT($B264,4)="_Mil","",_xlfn.IFNA(ROUND(INDEX(Spectrum!$N:$N,MATCH(RIGHT($B264,13)&amp;"|"&amp;$C264&amp;"|"&amp;$D264&amp;"|"&amp;AD$14&amp;"|"&amp;"CY2024Q3",Spectrum!$R:$R,0)),0),""))</f>
        <v/>
      </c>
      <c r="AE264" s="33">
        <f t="shared" si="57"/>
        <v>0</v>
      </c>
      <c r="AF264" s="218" t="str">
        <f>IF(LEFT($B264,4)="_Mil","",_xlfn.IFNA(ROUND(INDEX(Spectrum!$N:$N,MATCH(RIGHT($B264,13)&amp;"|"&amp;$C264&amp;"|"&amp;$D264&amp;"|"&amp;AF$14&amp;"|"&amp;"CY2024Q3",Spectrum!$R:$R,0)),0),""))</f>
        <v/>
      </c>
      <c r="AG264" s="33" t="str">
        <f t="shared" si="58"/>
        <v/>
      </c>
      <c r="AH264" s="110" t="str">
        <f>IF(LEFT($B264,4)="_Mil","",_xlfn.IFNA(INDEX(Spectrum!$N:$N,MATCH(RIGHT($B264,13)&amp;"|"&amp;$C264&amp;"|"&amp;$D264&amp;"|"&amp;AH$14&amp;"|"&amp;"CY2024Q3",Spectrum!$R:$R,0)),""))</f>
        <v/>
      </c>
      <c r="AI264" s="218">
        <f>IF(LEFT($B264,4)="_Mil","",_xlfn.IFNA(ROUND(INDEX(Spectrum!$N:$N,MATCH(RIGHT($B264,13)&amp;"|"&amp;$C264&amp;"|"&amp;$D264&amp;"|"&amp;AI$14&amp;"|"&amp;"CY2025Q3",Spectrum!$R:$R,0)),0),""))</f>
        <v>83</v>
      </c>
      <c r="AJ264" s="38">
        <f>IF(LEFT($B264,4)="_Mil","",_xlfn.IFNA(ROUND(INDEX(Spectrum!$N:$N,MATCH(RIGHT($B264,13)&amp;"|"&amp;$C264&amp;"|"&amp;$D264&amp;"|"&amp;AJ$14&amp;"|"&amp;"CY2025Q3",Spectrum!$R:$R,0)),0),""))</f>
        <v>8502</v>
      </c>
      <c r="AK264" s="218" t="e">
        <f>#REF!</f>
        <v>#REF!</v>
      </c>
      <c r="AL264" s="33">
        <f t="shared" si="59"/>
        <v>0.91850760099999995</v>
      </c>
      <c r="AM264" s="38" t="e">
        <f>IF(OR(LEFT($B264,4)="_Mil",$C264="&lt;01"),"",ROUND(SUM($AK264)*SUM($AL264),0))</f>
        <v>#REF!</v>
      </c>
      <c r="AN264" s="38" t="str">
        <f>IF($C264="&lt;01",ROUND(INDEX(EID!$P:$P,MATCH($B264,EID!$B:$B,0))/2,0),"")</f>
        <v/>
      </c>
      <c r="AO264" s="38" t="e">
        <f>IF($C264="&lt;01",SUM($AN264),ROUND(SUM($AM264)*SUM($O264)/IF(SUM($Z264)=0,1,$Z264),0))</f>
        <v>#REF!</v>
      </c>
      <c r="AP264" s="218">
        <f>IF(OR($F264="",$C264="&lt;01"),$AO264,ROUND($F264,0))</f>
        <v>7185</v>
      </c>
      <c r="AQ264" s="218">
        <f>IF(LEFT($B264,4)="_Mil","",IF(SUM($AP264)=0,SUM($Z264),IF(OR(SUM($Z264)=0,SUM($O264)=0),MAX($AP264,$Z264),ROUND($AP264*$Z264/$O264,0))))</f>
        <v>8489</v>
      </c>
      <c r="AR264" s="33" t="e">
        <f>IF(OR(LEFT($B264,4)="_Mil",SUM($AK264)=0),"",SUM($AQ264)/$AK264)</f>
        <v>#REF!</v>
      </c>
      <c r="AS264" s="33">
        <f t="shared" si="69"/>
        <v>0.98</v>
      </c>
      <c r="AT264" s="33">
        <f t="shared" si="66"/>
        <v>0.98</v>
      </c>
      <c r="AU264" s="38">
        <f>IF($C264="&lt;01","",SUM($AP264)-SUM($O264))</f>
        <v>32</v>
      </c>
      <c r="AV264" s="38">
        <f>IF($C264="&lt;01",ROUND(INDEX(EID!$N:$N,MATCH($B264,EID!$B:$B,0))/2,0),IF(SUM($AT264)=0,"",ROUND((SUM($AP264)-(SUM($O264)*SUM($AS264)))/$AT264,0)))</f>
        <v>179</v>
      </c>
      <c r="AW264" s="33">
        <f t="shared" si="60"/>
        <v>1</v>
      </c>
      <c r="AX264" s="218">
        <f>IF($C264="&lt;01",SUM($AV264),ROUND(SUM($AV264)*SUM($AW264),0))</f>
        <v>179</v>
      </c>
      <c r="AY264" s="79">
        <f t="shared" si="61"/>
        <v>0.7</v>
      </c>
      <c r="AZ264" s="85">
        <f>IF($C264="&lt;01",ROUND(INDEX(EID!$R:$R,MATCH($B264,EID!$B:$B,0))/2,0),ROUND(SUM($O264)+(SUM($AV264)*$AY264),0))</f>
        <v>7278</v>
      </c>
      <c r="BA264" s="40">
        <f t="shared" si="65"/>
        <v>0.9</v>
      </c>
      <c r="BB264" s="99">
        <f>IF($C264="&lt;01",ROUND(INDEX(EID!$T:$T,MATCH($B264,EID!$B:$B,0))/2,0),ROUND($AP264*$BA264,0))</f>
        <v>6467</v>
      </c>
      <c r="BC264" s="85">
        <f>IF(LEFT($B264,4)="_Mil","",IF(SUM($BB264)=0,SUM($AD264),IF(OR(SUM($AP264)=0,SUM($AQ264)=0),MAX($BB264,$AD264),ROUND($BB264*$AQ264/$AP264,0))))</f>
        <v>7641</v>
      </c>
      <c r="BD264" s="33">
        <f t="shared" si="62"/>
        <v>0.95</v>
      </c>
      <c r="BE264" s="218">
        <f>IF($C264="&lt;01",ROUND(INDEX(EID!$V:$V,MATCH($B264,EID!$B:$B,0))/2,0),ROUND($BD264*$BB264,0))</f>
        <v>6144</v>
      </c>
      <c r="BF264" s="218">
        <f>IF(LEFT($B264,4)="_Mil","",IF(SUM($BE264)=0,SUM($AF264),IF(OR(SUM($AP264)=0,SUM($AQ264)=0),MAX($BE264,$AF264),ROUND($BE264*$AQ264/$AP264,0))))</f>
        <v>7259</v>
      </c>
      <c r="BG264" s="79">
        <f t="shared" si="63"/>
        <v>0.95</v>
      </c>
      <c r="BH264" s="99">
        <f>IF($C264="&lt;01",ROUND(INDEX(EID!$L:$L,MATCH($B264,EID!$B:$B,0)),0)/2,IF(SUM($BG264)=0,"",ROUND($AX264/$BG264,0)))</f>
        <v>188</v>
      </c>
    </row>
    <row r="265" spans="1:60" x14ac:dyDescent="0.2">
      <c r="A265" t="str">
        <f>INDEX(Prioritization!$D:$D,MATCH($B265,Prioritization!$A:$A,0))</f>
        <v>1 - Scale-up: Saturation</v>
      </c>
      <c r="B265" t="s">
        <v>310</v>
      </c>
      <c r="C265" t="s">
        <v>478</v>
      </c>
      <c r="D265" t="s">
        <v>30</v>
      </c>
      <c r="E265" t="str">
        <f t="shared" si="53"/>
        <v>Mzimba District [vA4NcHxfMBq]|50+|Female</v>
      </c>
      <c r="F265" s="229">
        <v>7219</v>
      </c>
      <c r="G265" s="38">
        <v>197</v>
      </c>
      <c r="H265" s="38">
        <v>144</v>
      </c>
      <c r="I265" s="38">
        <v>7167</v>
      </c>
      <c r="J265" s="38">
        <v>5238</v>
      </c>
      <c r="K265" s="38">
        <v>4867</v>
      </c>
      <c r="L265" s="38">
        <v>232</v>
      </c>
      <c r="M265" s="38">
        <v>226</v>
      </c>
      <c r="N265" s="38">
        <v>6275</v>
      </c>
      <c r="O265" s="229">
        <v>6642</v>
      </c>
      <c r="P265" s="38">
        <v>5557</v>
      </c>
      <c r="Q265" s="38">
        <v>5280</v>
      </c>
      <c r="R265" s="38">
        <f t="shared" si="54"/>
        <v>-525</v>
      </c>
      <c r="S265" s="38">
        <f>IF(LEFT($B265,4)="_Mil","",_xlfn.IFNA(ROUND(INDEX(Spectrum!$N:$N,MATCH(RIGHT($B265,13)&amp;"|"&amp;$C265&amp;"|"&amp;$D265&amp;"|"&amp;S$14&amp;"|"&amp;"CY2023Q4",Spectrum!$R:$R,0)),0),""))</f>
        <v>6153</v>
      </c>
      <c r="T265" s="218">
        <f>IF(LEFT($B265,4)="_Mil","",_xlfn.IFNA(ROUND(INDEX(Spectrum!$N:$N,MATCH(RIGHT($B265,13)&amp;"|"&amp;$C265&amp;"|"&amp;$D265&amp;"|"&amp;T$14&amp;"|"&amp;"CY2024Q3",Spectrum!$R:$R,0)),0),""))</f>
        <v>64600</v>
      </c>
      <c r="U265" s="218">
        <f>IF(LEFT($B265,4)="_Mil","",_xlfn.IFNA(ROUND(INDEX(Spectrum!$N:$N,MATCH(RIGHT($B265,13)&amp;"|"&amp;$C265&amp;"|"&amp;$D265&amp;"|"&amp;U$14&amp;"|"&amp;"CY2024Q3",Spectrum!$R:$R,0)),0),""))</f>
        <v>6441</v>
      </c>
      <c r="V265" s="38">
        <f>IF(LEFT($B265,4)="_Mil","",_xlfn.IFNA(ROUND(INDEX(Spectrum!$N:$N,MATCH(RIGHT($B265,13)&amp;"|"&amp;$C265&amp;"|"&amp;$D265&amp;"|"&amp;V$14&amp;"|"&amp;"CY2024Q3",Spectrum!$R:$R,0)),0),""))</f>
        <v>6642</v>
      </c>
      <c r="W265" s="220">
        <f>IF(LEFT($B265,4)="_Mil","",_xlfn.IFNA(INDEX(Spectrum!$N:$N,MATCH(RIGHT($B265,13)&amp;"|"&amp;$C265&amp;"|"&amp;$D265&amp;"|"&amp;W$14&amp;"|"&amp;"CY2024Q3",Spectrum!$R:$R,0)),""))</f>
        <v>9.9703703000000005E-2</v>
      </c>
      <c r="X265" s="218">
        <f>IF(LEFT($B265,4)="_Mil","",_xlfn.IFNA(ROUND(INDEX(Spectrum!$N:$N,MATCH(RIGHT($B265,13)&amp;"|"&amp;$C265&amp;"|"&amp;$D265&amp;"|"&amp;X$14&amp;"|"&amp;"CY2024Q3",Spectrum!$R:$R,0)),0),""))</f>
        <v>6369</v>
      </c>
      <c r="Y265" s="33">
        <f t="shared" si="55"/>
        <v>0.99</v>
      </c>
      <c r="Z265" s="218">
        <f>IF(LEFT($B265,4)="_Mil","",_xlfn.IFNA(ROUND(INDEX(Spectrum!$N:$N,MATCH(RIGHT($B265,13)&amp;"|"&amp;$C265&amp;"|"&amp;$D265&amp;"|"&amp;Z$14&amp;"|"&amp;"CY2024Q3",Spectrum!$R:$R,0)),0),""))</f>
        <v>6549</v>
      </c>
      <c r="AA265" s="33">
        <f>IF(LEFT($B265,4)="_Mil","",IFERROR(1/(1/INDEX(Spectrum!$N:$N,MATCH(RIGHT($B265,13)&amp;"|"&amp;$C265&amp;"|"&amp;$D265&amp;"|"&amp;AA$14&amp;"|"&amp;"CY2024Q3",Spectrum!$R:$R,0))),IF(SUM($U265)=0,"",SUM($Z265)/$U265)))</f>
        <v>0.98658949699999987</v>
      </c>
      <c r="AB265" s="33">
        <f t="shared" si="56"/>
        <v>1.0282618935468677</v>
      </c>
      <c r="AC265" s="38">
        <f>IF(LEFT($B265,4)="_Mil","",_xlfn.IFNA(ROUND(INDEX(Spectrum!$N:$N,MATCH(RIGHT($B265,13)&amp;"|"&amp;$C265&amp;"|"&amp;$D265&amp;"|"&amp;AC$14&amp;"|"&amp;"CY2024Q3",Spectrum!$R:$R,0)),0),""))</f>
        <v>93</v>
      </c>
      <c r="AD265" s="38" t="str">
        <f>IF(LEFT($B265,4)="_Mil","",_xlfn.IFNA(ROUND(INDEX(Spectrum!$N:$N,MATCH(RIGHT($B265,13)&amp;"|"&amp;$C265&amp;"|"&amp;$D265&amp;"|"&amp;AD$14&amp;"|"&amp;"CY2024Q3",Spectrum!$R:$R,0)),0),""))</f>
        <v/>
      </c>
      <c r="AE265" s="33">
        <f t="shared" si="57"/>
        <v>0</v>
      </c>
      <c r="AF265" s="218" t="str">
        <f>IF(LEFT($B265,4)="_Mil","",_xlfn.IFNA(ROUND(INDEX(Spectrum!$N:$N,MATCH(RIGHT($B265,13)&amp;"|"&amp;$C265&amp;"|"&amp;$D265&amp;"|"&amp;AF$14&amp;"|"&amp;"CY2024Q3",Spectrum!$R:$R,0)),0),""))</f>
        <v/>
      </c>
      <c r="AG265" s="33" t="str">
        <f t="shared" si="58"/>
        <v/>
      </c>
      <c r="AH265" s="110" t="str">
        <f>IF(LEFT($B265,4)="_Mil","",_xlfn.IFNA(INDEX(Spectrum!$N:$N,MATCH(RIGHT($B265,13)&amp;"|"&amp;$C265&amp;"|"&amp;$D265&amp;"|"&amp;AH$14&amp;"|"&amp;"CY2024Q3",Spectrum!$R:$R,0)),""))</f>
        <v/>
      </c>
      <c r="AI265" s="218">
        <f>IF(LEFT($B265,4)="_Mil","",_xlfn.IFNA(ROUND(INDEX(Spectrum!$N:$N,MATCH(RIGHT($B265,13)&amp;"|"&amp;$C265&amp;"|"&amp;$D265&amp;"|"&amp;AI$14&amp;"|"&amp;"CY2025Q3",Spectrum!$R:$R,0)),0),""))</f>
        <v>11</v>
      </c>
      <c r="AJ265" s="38">
        <f>IF(LEFT($B265,4)="_Mil","",_xlfn.IFNA(ROUND(INDEX(Spectrum!$N:$N,MATCH(RIGHT($B265,13)&amp;"|"&amp;$C265&amp;"|"&amp;$D265&amp;"|"&amp;AJ$14&amp;"|"&amp;"CY2025Q3",Spectrum!$R:$R,0)),0),""))</f>
        <v>7000</v>
      </c>
      <c r="AK265" s="218" t="e">
        <f>#REF!</f>
        <v>#REF!</v>
      </c>
      <c r="AL265" s="33">
        <f t="shared" si="59"/>
        <v>0.98658949699999987</v>
      </c>
      <c r="AM265" s="38" t="e">
        <f>IF(OR(LEFT($B265,4)="_Mil",$C265="&lt;01"),"",ROUND(SUM($AK265)*SUM($AL265),0))</f>
        <v>#REF!</v>
      </c>
      <c r="AN265" s="38" t="str">
        <f>IF($C265="&lt;01",ROUND(INDEX(EID!$P:$P,MATCH($B265,EID!$B:$B,0))/2,0),"")</f>
        <v/>
      </c>
      <c r="AO265" s="38" t="e">
        <f>IF($C265="&lt;01",SUM($AN265),ROUND(SUM($AM265)*SUM($O265)/IF(SUM($Z265)=0,1,$Z265),0))</f>
        <v>#REF!</v>
      </c>
      <c r="AP265" s="218">
        <f>IF(OR($F265="",$C265="&lt;01"),$AO265,ROUND($F265,0))</f>
        <v>7219</v>
      </c>
      <c r="AQ265" s="218">
        <f>IF(LEFT($B265,4)="_Mil","",IF(SUM($AP265)=0,SUM($Z265),IF(OR(SUM($Z265)=0,SUM($O265)=0),MAX($AP265,$Z265),ROUND($AP265*$Z265/$O265,0))))</f>
        <v>7118</v>
      </c>
      <c r="AR265" s="33" t="e">
        <f>IF(OR(LEFT($B265,4)="_Mil",SUM($AK265)=0),"",SUM($AQ265)/$AK265)</f>
        <v>#REF!</v>
      </c>
      <c r="AS265" s="33">
        <v>1.02</v>
      </c>
      <c r="AT265" s="33">
        <f>IF($C265="&lt;01","",100%)</f>
        <v>1</v>
      </c>
      <c r="AU265" s="38">
        <f>IF($C265="&lt;01","",SUM($AP265)-SUM($O265))</f>
        <v>577</v>
      </c>
      <c r="AV265" s="38">
        <f>IF($C265="&lt;01",ROUND(INDEX(EID!$N:$N,MATCH($B265,EID!$B:$B,0))/2,0),IF(SUM($AT265)=0,"",ROUND((SUM($AP265)-(SUM($O265)*SUM($AS265)))/$AT265,0)))</f>
        <v>444</v>
      </c>
      <c r="AW265" s="33">
        <v>0.8</v>
      </c>
      <c r="AX265" s="218">
        <f>IF($C265="&lt;01",SUM($AV265),ROUND(SUM($AV265)*SUM($AW265),0))</f>
        <v>355</v>
      </c>
      <c r="AY265" s="79">
        <f t="shared" si="61"/>
        <v>0.7</v>
      </c>
      <c r="AZ265" s="85">
        <f>IF($C265="&lt;01",ROUND(INDEX(EID!$R:$R,MATCH($B265,EID!$B:$B,0))/2,0),ROUND(SUM($O265)+(SUM($AV265)*$AY265),0))</f>
        <v>6953</v>
      </c>
      <c r="BA265" s="40">
        <f t="shared" si="65"/>
        <v>0.9</v>
      </c>
      <c r="BB265" s="99">
        <f>IF($C265="&lt;01",ROUND(INDEX(EID!$T:$T,MATCH($B265,EID!$B:$B,0))/2,0),ROUND($AP265*$BA265,0))</f>
        <v>6497</v>
      </c>
      <c r="BC265" s="85">
        <f>IF(LEFT($B265,4)="_Mil","",IF(SUM($BB265)=0,SUM($AD265),IF(OR(SUM($AP265)=0,SUM($AQ265)=0),MAX($BB265,$AD265),ROUND($BB265*$AQ265/$AP265,0))))</f>
        <v>6406</v>
      </c>
      <c r="BD265" s="33">
        <f t="shared" si="62"/>
        <v>0.95</v>
      </c>
      <c r="BE265" s="218">
        <f>IF($C265="&lt;01",ROUND(INDEX(EID!$V:$V,MATCH($B265,EID!$B:$B,0))/2,0),ROUND($BD265*$BB265,0))</f>
        <v>6172</v>
      </c>
      <c r="BF265" s="218">
        <f>IF(LEFT($B265,4)="_Mil","",IF(SUM($BE265)=0,SUM($AF265),IF(OR(SUM($AP265)=0,SUM($AQ265)=0),MAX($BE265,$AF265),ROUND($BE265*$AQ265/$AP265,0))))</f>
        <v>6086</v>
      </c>
      <c r="BG265" s="79">
        <f t="shared" si="63"/>
        <v>0.95</v>
      </c>
      <c r="BH265" s="99">
        <f>IF($C265="&lt;01",ROUND(INDEX(EID!$L:$L,MATCH($B265,EID!$B:$B,0)),0)/2,IF(SUM($BG265)=0,"",ROUND($AX265/$BG265,0)))</f>
        <v>374</v>
      </c>
    </row>
    <row r="266" spans="1:60" x14ac:dyDescent="0.2">
      <c r="A266" t="str">
        <f>INDEX(Prioritization!$D:$D,MATCH($B266,Prioritization!$A:$A,0))</f>
        <v>1 - Scale-up: Saturation</v>
      </c>
      <c r="B266" t="s">
        <v>310</v>
      </c>
      <c r="C266" t="s">
        <v>478</v>
      </c>
      <c r="D266" t="s">
        <v>48</v>
      </c>
      <c r="E266" t="str">
        <f t="shared" si="53"/>
        <v>Mzimba District [vA4NcHxfMBq]|50+|Male</v>
      </c>
      <c r="F266" s="229">
        <v>6819</v>
      </c>
      <c r="G266" s="38">
        <v>193</v>
      </c>
      <c r="H266" s="38">
        <v>269</v>
      </c>
      <c r="I266" s="38">
        <v>6696</v>
      </c>
      <c r="J266" s="38">
        <v>4691</v>
      </c>
      <c r="K266" s="38">
        <v>4333</v>
      </c>
      <c r="L266" s="38">
        <v>102</v>
      </c>
      <c r="M266" s="38">
        <v>99</v>
      </c>
      <c r="N266" s="38">
        <v>6032</v>
      </c>
      <c r="O266" s="229">
        <v>6418</v>
      </c>
      <c r="P266" s="38">
        <v>5422</v>
      </c>
      <c r="Q266" s="38">
        <v>5152</v>
      </c>
      <c r="R266" s="38">
        <f t="shared" si="54"/>
        <v>-278</v>
      </c>
      <c r="S266" s="38">
        <f>IF(LEFT($B266,4)="_Mil","",_xlfn.IFNA(ROUND(INDEX(Spectrum!$N:$N,MATCH(RIGHT($B266,13)&amp;"|"&amp;$C266&amp;"|"&amp;$D266&amp;"|"&amp;S$14&amp;"|"&amp;"CY2023Q4",Spectrum!$R:$R,0)),0),""))</f>
        <v>5713</v>
      </c>
      <c r="T266" s="218">
        <f>IF(LEFT($B266,4)="_Mil","",_xlfn.IFNA(ROUND(INDEX(Spectrum!$N:$N,MATCH(RIGHT($B266,13)&amp;"|"&amp;$C266&amp;"|"&amp;$D266&amp;"|"&amp;T$14&amp;"|"&amp;"CY2024Q3",Spectrum!$R:$R,0)),0),""))</f>
        <v>54702</v>
      </c>
      <c r="U266" s="218">
        <f>IF(LEFT($B266,4)="_Mil","",_xlfn.IFNA(ROUND(INDEX(Spectrum!$N:$N,MATCH(RIGHT($B266,13)&amp;"|"&amp;$C266&amp;"|"&amp;$D266&amp;"|"&amp;U$14&amp;"|"&amp;"CY2024Q3",Spectrum!$R:$R,0)),0),""))</f>
        <v>6219</v>
      </c>
      <c r="V266" s="38">
        <f>IF(LEFT($B266,4)="_Mil","",_xlfn.IFNA(ROUND(INDEX(Spectrum!$N:$N,MATCH(RIGHT($B266,13)&amp;"|"&amp;$C266&amp;"|"&amp;$D266&amp;"|"&amp;V$14&amp;"|"&amp;"CY2024Q3",Spectrum!$R:$R,0)),0),""))</f>
        <v>6418</v>
      </c>
      <c r="W266" s="220">
        <f>IF(LEFT($B266,4)="_Mil","",_xlfn.IFNA(INDEX(Spectrum!$N:$N,MATCH(RIGHT($B266,13)&amp;"|"&amp;$C266&amp;"|"&amp;$D266&amp;"|"&amp;W$14&amp;"|"&amp;"CY2024Q3",Spectrum!$R:$R,0)),""))</f>
        <v>0.113678979</v>
      </c>
      <c r="X266" s="218">
        <f>IF(LEFT($B266,4)="_Mil","",_xlfn.IFNA(ROUND(INDEX(Spectrum!$N:$N,MATCH(RIGHT($B266,13)&amp;"|"&amp;$C266&amp;"|"&amp;$D266&amp;"|"&amp;X$14&amp;"|"&amp;"CY2024Q3",Spectrum!$R:$R,0)),0),""))</f>
        <v>5881</v>
      </c>
      <c r="Y266" s="33">
        <f t="shared" si="55"/>
        <v>0.95</v>
      </c>
      <c r="Z266" s="218">
        <f>IF(LEFT($B266,4)="_Mil","",_xlfn.IFNA(ROUND(INDEX(Spectrum!$N:$N,MATCH(RIGHT($B266,13)&amp;"|"&amp;$C266&amp;"|"&amp;$D266&amp;"|"&amp;Z$14&amp;"|"&amp;"CY2024Q3",Spectrum!$R:$R,0)),0),""))</f>
        <v>6076</v>
      </c>
      <c r="AA266" s="33">
        <f>IF(LEFT($B266,4)="_Mil","",IFERROR(1/(1/INDEX(Spectrum!$N:$N,MATCH(RIGHT($B266,13)&amp;"|"&amp;$C266&amp;"|"&amp;$D266&amp;"|"&amp;AA$14&amp;"|"&amp;"CY2024Q3",Spectrum!$R:$R,0))),IF(SUM($U266)=0,"",SUM($Z266)/$U266)))</f>
        <v>0.94219619399999999</v>
      </c>
      <c r="AB266" s="33">
        <f t="shared" si="56"/>
        <v>1.0331576262540385</v>
      </c>
      <c r="AC266" s="38">
        <f>IF(LEFT($B266,4)="_Mil","",_xlfn.IFNA(ROUND(INDEX(Spectrum!$N:$N,MATCH(RIGHT($B266,13)&amp;"|"&amp;$C266&amp;"|"&amp;$D266&amp;"|"&amp;AC$14&amp;"|"&amp;"CY2024Q3",Spectrum!$R:$R,0)),0),""))</f>
        <v>341</v>
      </c>
      <c r="AD266" s="38" t="str">
        <f>IF(LEFT($B266,4)="_Mil","",_xlfn.IFNA(ROUND(INDEX(Spectrum!$N:$N,MATCH(RIGHT($B266,13)&amp;"|"&amp;$C266&amp;"|"&amp;$D266&amp;"|"&amp;AD$14&amp;"|"&amp;"CY2024Q3",Spectrum!$R:$R,0)),0),""))</f>
        <v/>
      </c>
      <c r="AE266" s="33">
        <f t="shared" si="57"/>
        <v>0</v>
      </c>
      <c r="AF266" s="218" t="str">
        <f>IF(LEFT($B266,4)="_Mil","",_xlfn.IFNA(ROUND(INDEX(Spectrum!$N:$N,MATCH(RIGHT($B266,13)&amp;"|"&amp;$C266&amp;"|"&amp;$D266&amp;"|"&amp;AF$14&amp;"|"&amp;"CY2024Q3",Spectrum!$R:$R,0)),0),""))</f>
        <v/>
      </c>
      <c r="AG266" s="33" t="str">
        <f t="shared" si="58"/>
        <v/>
      </c>
      <c r="AH266" s="110" t="str">
        <f>IF(LEFT($B266,4)="_Mil","",_xlfn.IFNA(INDEX(Spectrum!$N:$N,MATCH(RIGHT($B266,13)&amp;"|"&amp;$C266&amp;"|"&amp;$D266&amp;"|"&amp;AH$14&amp;"|"&amp;"CY2024Q3",Spectrum!$R:$R,0)),""))</f>
        <v/>
      </c>
      <c r="AI266" s="218">
        <f>IF(LEFT($B266,4)="_Mil","",_xlfn.IFNA(ROUND(INDEX(Spectrum!$N:$N,MATCH(RIGHT($B266,13)&amp;"|"&amp;$C266&amp;"|"&amp;$D266&amp;"|"&amp;AI$14&amp;"|"&amp;"CY2025Q3",Spectrum!$R:$R,0)),0),""))</f>
        <v>23</v>
      </c>
      <c r="AJ266" s="38">
        <f>IF(LEFT($B266,4)="_Mil","",_xlfn.IFNA(ROUND(INDEX(Spectrum!$N:$N,MATCH(RIGHT($B266,13)&amp;"|"&amp;$C266&amp;"|"&amp;$D266&amp;"|"&amp;AJ$14&amp;"|"&amp;"CY2025Q3",Spectrum!$R:$R,0)),0),""))</f>
        <v>6610</v>
      </c>
      <c r="AK266" s="218" t="e">
        <f>#REF!</f>
        <v>#REF!</v>
      </c>
      <c r="AL266" s="33">
        <f t="shared" si="59"/>
        <v>0.94219619399999999</v>
      </c>
      <c r="AM266" s="38" t="e">
        <f>IF(OR(LEFT($B266,4)="_Mil",$C266="&lt;01"),"",ROUND(SUM($AK266)*SUM($AL266),0))</f>
        <v>#REF!</v>
      </c>
      <c r="AN266" s="38" t="str">
        <f>IF($C266="&lt;01",ROUND(INDEX(EID!$P:$P,MATCH($B266,EID!$B:$B,0))/2,0),"")</f>
        <v/>
      </c>
      <c r="AO266" s="38" t="e">
        <f>IF($C266="&lt;01",SUM($AN266),ROUND(SUM($AM266)*SUM($O266)/IF(SUM($Z266)=0,1,$Z266),0))</f>
        <v>#REF!</v>
      </c>
      <c r="AP266" s="218">
        <f>IF(OR($F266="",$C266="&lt;01"),$AO266,ROUND($F266,0))</f>
        <v>6819</v>
      </c>
      <c r="AQ266" s="218">
        <f>IF(LEFT($B266,4)="_Mil","",IF(SUM($AP266)=0,SUM($Z266),IF(OR(SUM($Z266)=0,SUM($O266)=0),MAX($AP266,$Z266),ROUND($AP266*$Z266/$O266,0))))</f>
        <v>6456</v>
      </c>
      <c r="AR266" s="33" t="e">
        <f>IF(OR(LEFT($B266,4)="_Mil",SUM($AK266)=0),"",SUM($AQ266)/$AK266)</f>
        <v>#REF!</v>
      </c>
      <c r="AS266" s="33">
        <v>1.02</v>
      </c>
      <c r="AT266" s="33">
        <f>IF($C266="&lt;01","",100%)</f>
        <v>1</v>
      </c>
      <c r="AU266" s="38">
        <f>IF($C266="&lt;01","",SUM($AP266)-SUM($O266))</f>
        <v>401</v>
      </c>
      <c r="AV266" s="38">
        <f>IF($C266="&lt;01",ROUND(INDEX(EID!$N:$N,MATCH($B266,EID!$B:$B,0))/2,0),IF(SUM($AT266)=0,"",ROUND((SUM($AP266)-(SUM($O266)*SUM($AS266)))/$AT266,0)))</f>
        <v>273</v>
      </c>
      <c r="AW266" s="33">
        <v>0.8</v>
      </c>
      <c r="AX266" s="218">
        <f>IF($C266="&lt;01",SUM($AV266),ROUND(SUM($AV266)*SUM($AW266),0))</f>
        <v>218</v>
      </c>
      <c r="AY266" s="79">
        <f t="shared" si="61"/>
        <v>0.7</v>
      </c>
      <c r="AZ266" s="85">
        <f>IF($C266="&lt;01",ROUND(INDEX(EID!$R:$R,MATCH($B266,EID!$B:$B,0))/2,0),ROUND(SUM($O266)+(SUM($AV266)*$AY266),0))</f>
        <v>6609</v>
      </c>
      <c r="BA266" s="40">
        <f t="shared" si="65"/>
        <v>0.9</v>
      </c>
      <c r="BB266" s="99">
        <f>IF($C266="&lt;01",ROUND(INDEX(EID!$T:$T,MATCH($B266,EID!$B:$B,0))/2,0),ROUND($AP266*$BA266,0))</f>
        <v>6137</v>
      </c>
      <c r="BC266" s="85">
        <f>IF(LEFT($B266,4)="_Mil","",IF(SUM($BB266)=0,SUM($AD266),IF(OR(SUM($AP266)=0,SUM($AQ266)=0),MAX($BB266,$AD266),ROUND($BB266*$AQ266/$AP266,0))))</f>
        <v>5810</v>
      </c>
      <c r="BD266" s="33">
        <f t="shared" si="62"/>
        <v>0.95</v>
      </c>
      <c r="BE266" s="218">
        <f>IF($C266="&lt;01",ROUND(INDEX(EID!$V:$V,MATCH($B266,EID!$B:$B,0))/2,0),ROUND($BD266*$BB266,0))</f>
        <v>5830</v>
      </c>
      <c r="BF266" s="218">
        <f>IF(LEFT($B266,4)="_Mil","",IF(SUM($BE266)=0,SUM($AF266),IF(OR(SUM($AP266)=0,SUM($AQ266)=0),MAX($BE266,$AF266),ROUND($BE266*$AQ266/$AP266,0))))</f>
        <v>5520</v>
      </c>
      <c r="BG266" s="79">
        <f t="shared" si="63"/>
        <v>0.95</v>
      </c>
      <c r="BH266" s="99">
        <f>IF($C266="&lt;01",ROUND(INDEX(EID!$L:$L,MATCH($B266,EID!$B:$B,0)),0)/2,IF(SUM($BG266)=0,"",ROUND($AX266/$BG266,0)))</f>
        <v>229</v>
      </c>
    </row>
    <row r="267" spans="1:60" x14ac:dyDescent="0.2">
      <c r="A267" t="str">
        <f>INDEX(Prioritization!$D:$D,MATCH($B267,Prioritization!$A:$A,0))</f>
        <v>4 - Sustained</v>
      </c>
      <c r="B267" t="s">
        <v>321</v>
      </c>
      <c r="C267" t="s">
        <v>426</v>
      </c>
      <c r="D267" t="s">
        <v>30</v>
      </c>
      <c r="E267" t="str">
        <f t="shared" si="53"/>
        <v>Neno District [gwVYinjBAe9]|&lt;01|Female</v>
      </c>
      <c r="F267" s="229">
        <v>5</v>
      </c>
      <c r="G267" s="38">
        <v>14</v>
      </c>
      <c r="H267" s="38">
        <v>0</v>
      </c>
      <c r="I267" s="38"/>
      <c r="J267" s="38">
        <v>31</v>
      </c>
      <c r="K267" s="38">
        <v>29</v>
      </c>
      <c r="L267" s="38"/>
      <c r="M267" s="38">
        <v>5</v>
      </c>
      <c r="N267" s="38">
        <v>5</v>
      </c>
      <c r="O267" s="229">
        <v>5</v>
      </c>
      <c r="P267" s="38">
        <v>3</v>
      </c>
      <c r="Q267" s="38">
        <v>3</v>
      </c>
      <c r="R267" s="38">
        <f t="shared" si="54"/>
        <v>5</v>
      </c>
      <c r="S267" s="38">
        <f>IF(LEFT($B267,4)="_Mil","",_xlfn.IFNA(ROUND(INDEX(Spectrum!$N:$N,MATCH(RIGHT($B267,13)&amp;"|"&amp;$C267&amp;"|"&amp;$D267&amp;"|"&amp;S$14&amp;"|"&amp;"CY2023Q4",Spectrum!$R:$R,0)),0),""))</f>
        <v>4</v>
      </c>
      <c r="T267" s="218">
        <f>IF(LEFT($B267,4)="_Mil","",_xlfn.IFNA(ROUND(INDEX(Spectrum!$N:$N,MATCH(RIGHT($B267,13)&amp;"|"&amp;$C267&amp;"|"&amp;$D267&amp;"|"&amp;T$14&amp;"|"&amp;"CY2024Q3",Spectrum!$R:$R,0)),0),""))</f>
        <v>2826</v>
      </c>
      <c r="U267" s="218">
        <f>IF(LEFT($B267,4)="_Mil","",_xlfn.IFNA(ROUND(INDEX(Spectrum!$N:$N,MATCH(RIGHT($B267,13)&amp;"|"&amp;$C267&amp;"|"&amp;$D267&amp;"|"&amp;U$14&amp;"|"&amp;"CY2024Q3",Spectrum!$R:$R,0)),0),""))</f>
        <v>4</v>
      </c>
      <c r="V267" s="38">
        <f>IF(LEFT($B267,4)="_Mil","",_xlfn.IFNA(ROUND(INDEX(Spectrum!$N:$N,MATCH(RIGHT($B267,13)&amp;"|"&amp;$C267&amp;"|"&amp;$D267&amp;"|"&amp;V$14&amp;"|"&amp;"CY2024Q3",Spectrum!$R:$R,0)),0),""))</f>
        <v>6</v>
      </c>
      <c r="W267" s="220">
        <f>IF(LEFT($B267,4)="_Mil","",_xlfn.IFNA(INDEX(Spectrum!$N:$N,MATCH(RIGHT($B267,13)&amp;"|"&amp;$C267&amp;"|"&amp;$D267&amp;"|"&amp;W$14&amp;"|"&amp;"CY2024Q3",Spectrum!$R:$R,0)),""))</f>
        <v>1.5536269999999999E-3</v>
      </c>
      <c r="X267" s="218">
        <f>IF(LEFT($B267,4)="_Mil","",_xlfn.IFNA(ROUND(INDEX(Spectrum!$N:$N,MATCH(RIGHT($B267,13)&amp;"|"&amp;$C267&amp;"|"&amp;$D267&amp;"|"&amp;X$14&amp;"|"&amp;"CY2024Q3",Spectrum!$R:$R,0)),0),""))</f>
        <v>3</v>
      </c>
      <c r="Y267" s="33">
        <f t="shared" si="55"/>
        <v>0.75</v>
      </c>
      <c r="Z267" s="218">
        <f>IF(LEFT($B267,4)="_Mil","",_xlfn.IFNA(ROUND(INDEX(Spectrum!$N:$N,MATCH(RIGHT($B267,13)&amp;"|"&amp;$C267&amp;"|"&amp;$D267&amp;"|"&amp;Z$14&amp;"|"&amp;"CY2024Q3",Spectrum!$R:$R,0)),0),""))</f>
        <v>3</v>
      </c>
      <c r="AA267" s="33">
        <f>IF(LEFT($B267,4)="_Mil","",IFERROR(1/(1/INDEX(Spectrum!$N:$N,MATCH(RIGHT($B267,13)&amp;"|"&amp;$C267&amp;"|"&amp;$D267&amp;"|"&amp;AA$14&amp;"|"&amp;"CY2024Q3",Spectrum!$R:$R,0))),IF(SUM($U267)=0,"",SUM($Z267)/$U267)))</f>
        <v>0.61104762700000004</v>
      </c>
      <c r="AB267" s="33">
        <f t="shared" si="56"/>
        <v>1</v>
      </c>
      <c r="AC267" s="38">
        <f>IF(LEFT($B267,4)="_Mil","",_xlfn.IFNA(ROUND(INDEX(Spectrum!$N:$N,MATCH(RIGHT($B267,13)&amp;"|"&amp;$C267&amp;"|"&amp;$D267&amp;"|"&amp;AC$14&amp;"|"&amp;"CY2024Q3",Spectrum!$R:$R,0)),0),""))</f>
        <v>2</v>
      </c>
      <c r="AD267" s="38" t="str">
        <f>IF(LEFT($B267,4)="_Mil","",_xlfn.IFNA(ROUND(INDEX(Spectrum!$N:$N,MATCH(RIGHT($B267,13)&amp;"|"&amp;$C267&amp;"|"&amp;$D267&amp;"|"&amp;AD$14&amp;"|"&amp;"CY2024Q3",Spectrum!$R:$R,0)),0),""))</f>
        <v/>
      </c>
      <c r="AE267" s="33">
        <f t="shared" si="57"/>
        <v>0</v>
      </c>
      <c r="AF267" s="218" t="str">
        <f>IF(LEFT($B267,4)="_Mil","",_xlfn.IFNA(ROUND(INDEX(Spectrum!$N:$N,MATCH(RIGHT($B267,13)&amp;"|"&amp;$C267&amp;"|"&amp;$D267&amp;"|"&amp;AF$14&amp;"|"&amp;"CY2024Q3",Spectrum!$R:$R,0)),0),""))</f>
        <v/>
      </c>
      <c r="AG267" s="33" t="str">
        <f t="shared" si="58"/>
        <v/>
      </c>
      <c r="AH267" s="110" t="str">
        <f>IF(LEFT($B267,4)="_Mil","",_xlfn.IFNA(INDEX(Spectrum!$N:$N,MATCH(RIGHT($B267,13)&amp;"|"&amp;$C267&amp;"|"&amp;$D267&amp;"|"&amp;AH$14&amp;"|"&amp;"CY2024Q3",Spectrum!$R:$R,0)),""))</f>
        <v/>
      </c>
      <c r="AI267" s="218">
        <f>IF(LEFT($B267,4)="_Mil","",_xlfn.IFNA(ROUND(INDEX(Spectrum!$N:$N,MATCH(RIGHT($B267,13)&amp;"|"&amp;$C267&amp;"|"&amp;$D267&amp;"|"&amp;AI$14&amp;"|"&amp;"CY2025Q3",Spectrum!$R:$R,0)),0),""))</f>
        <v>6</v>
      </c>
      <c r="AJ267" s="38">
        <f>IF(LEFT($B267,4)="_Mil","",_xlfn.IFNA(ROUND(INDEX(Spectrum!$N:$N,MATCH(RIGHT($B267,13)&amp;"|"&amp;$C267&amp;"|"&amp;$D267&amp;"|"&amp;AJ$14&amp;"|"&amp;"CY2025Q3",Spectrum!$R:$R,0)),0),""))</f>
        <v>4</v>
      </c>
      <c r="AK267" s="218" t="e">
        <f>#REF!</f>
        <v>#REF!</v>
      </c>
      <c r="AL267" s="33" t="str">
        <f t="shared" si="59"/>
        <v/>
      </c>
      <c r="AM267" s="38" t="str">
        <f>IF(OR(LEFT($B267,4)="_Mil",$C267="&lt;01"),"",ROUND(SUM($AK267)*SUM($AL267),0))</f>
        <v/>
      </c>
      <c r="AN267" s="38">
        <f>IF($C267="&lt;01",ROUND(INDEX(EID!$P:$P,MATCH($B267,EID!$B:$B,0))/2,0),"")</f>
        <v>2</v>
      </c>
      <c r="AO267" s="38">
        <f>IF($C267="&lt;01",SUM($AN267),ROUND(SUM($AM267)*SUM($O267)/IF(SUM($Z267)=0,1,$Z267),0))</f>
        <v>2</v>
      </c>
      <c r="AP267" s="218">
        <f>IF(OR($F267="",$C267="&lt;01"),$AO267,ROUND($F267,0))</f>
        <v>2</v>
      </c>
      <c r="AQ267" s="218">
        <f>IF(LEFT($B267,4)="_Mil","",IF(SUM($AP267)=0,SUM($Z267),IF(OR(SUM($Z267)=0,SUM($O267)=0),MAX($AP267,$Z267),ROUND($AP267*$Z267/$O267,0))))</f>
        <v>1</v>
      </c>
      <c r="AR267" s="33" t="e">
        <f>IF(OR(LEFT($B267,4)="_Mil",SUM($AK267)=0),"",SUM($AQ267)/$AK267)</f>
        <v>#REF!</v>
      </c>
      <c r="AS267" s="33" t="str">
        <f t="shared" si="69"/>
        <v/>
      </c>
      <c r="AT267" s="33" t="str">
        <f t="shared" si="66"/>
        <v/>
      </c>
      <c r="AU267" s="38" t="str">
        <f>IF($C267="&lt;01","",SUM($AP267)-SUM($O267))</f>
        <v/>
      </c>
      <c r="AV267" s="38">
        <f>IF($C267="&lt;01",ROUND(INDEX(EID!$N:$N,MATCH($B267,EID!$B:$B,0))/2,0),IF(SUM($AT267)=0,"",ROUND((SUM($AP267)-(SUM($O267)*SUM($AS267)))/$AT267,0)))</f>
        <v>2</v>
      </c>
      <c r="AW267" s="33" t="str">
        <f t="shared" si="60"/>
        <v/>
      </c>
      <c r="AX267" s="218">
        <f>IF($C267="&lt;01",SUM($AV267),ROUND(SUM($AV267)*SUM($AW267),0))</f>
        <v>2</v>
      </c>
      <c r="AY267" s="79" t="str">
        <f t="shared" si="61"/>
        <v/>
      </c>
      <c r="AZ267" s="85">
        <f>IF($C267="&lt;01",ROUND(INDEX(EID!$R:$R,MATCH($B267,EID!$B:$B,0))/2,0),ROUND(SUM($O267)+(SUM($AV267)*$AY267),0))</f>
        <v>1</v>
      </c>
      <c r="BA267" s="40" t="str">
        <f t="shared" si="65"/>
        <v/>
      </c>
      <c r="BB267" s="99">
        <f>IF($C267="&lt;01",ROUND(INDEX(EID!$T:$T,MATCH($B267,EID!$B:$B,0))/2,0),ROUND($AP267*$BA267,0))</f>
        <v>1</v>
      </c>
      <c r="BC267" s="85">
        <f>IF(LEFT($B267,4)="_Mil","",IF(SUM($BB267)=0,SUM($AD267),IF(OR(SUM($AP267)=0,SUM($AQ267)=0),MAX($BB267,$AD267),ROUND($BB267*$AQ267/$AP267,0))))</f>
        <v>1</v>
      </c>
      <c r="BD267" s="33" t="str">
        <f t="shared" si="62"/>
        <v/>
      </c>
      <c r="BE267" s="218">
        <f>IF($C267="&lt;01",ROUND(INDEX(EID!$V:$V,MATCH($B267,EID!$B:$B,0))/2,0),ROUND($BD267*$BB267,0))</f>
        <v>1</v>
      </c>
      <c r="BF267" s="218">
        <f>IF(LEFT($B267,4)="_Mil","",IF(SUM($BE267)=0,SUM($AF267),IF(OR(SUM($AP267)=0,SUM($AQ267)=0),MAX($BE267,$AF267),ROUND($BE267*$AQ267/$AP267,0))))</f>
        <v>1</v>
      </c>
      <c r="BG267" s="79" t="str">
        <f t="shared" si="63"/>
        <v/>
      </c>
      <c r="BH267" s="99">
        <f>IF($C267="&lt;01",ROUND(INDEX(EID!$L:$L,MATCH($B267,EID!$B:$B,0)),0)/2,IF(SUM($BG267)=0,"",ROUND($AX267/$BG267,0)))</f>
        <v>1.5</v>
      </c>
    </row>
    <row r="268" spans="1:60" x14ac:dyDescent="0.2">
      <c r="A268" t="str">
        <f>INDEX(Prioritization!$D:$D,MATCH($B268,Prioritization!$A:$A,0))</f>
        <v>4 - Sustained</v>
      </c>
      <c r="B268" t="s">
        <v>321</v>
      </c>
      <c r="C268" t="s">
        <v>426</v>
      </c>
      <c r="D268" t="s">
        <v>48</v>
      </c>
      <c r="E268" t="str">
        <f t="shared" si="53"/>
        <v>Neno District [gwVYinjBAe9]|&lt;01|Male</v>
      </c>
      <c r="F268" s="229">
        <v>5</v>
      </c>
      <c r="G268" s="38">
        <v>10</v>
      </c>
      <c r="H268" s="38"/>
      <c r="I268" s="38"/>
      <c r="J268" s="38">
        <v>11</v>
      </c>
      <c r="K268" s="38">
        <v>10</v>
      </c>
      <c r="L268" s="38"/>
      <c r="M268" s="38">
        <v>5</v>
      </c>
      <c r="N268" s="38">
        <v>5</v>
      </c>
      <c r="O268" s="229">
        <v>5</v>
      </c>
      <c r="P268" s="38">
        <v>3</v>
      </c>
      <c r="Q268" s="38">
        <v>3</v>
      </c>
      <c r="R268" s="38">
        <f t="shared" si="54"/>
        <v>5</v>
      </c>
      <c r="S268" s="38">
        <f>IF(LEFT($B268,4)="_Mil","",_xlfn.IFNA(ROUND(INDEX(Spectrum!$N:$N,MATCH(RIGHT($B268,13)&amp;"|"&amp;$C268&amp;"|"&amp;$D268&amp;"|"&amp;S$14&amp;"|"&amp;"CY2023Q4",Spectrum!$R:$R,0)),0),""))</f>
        <v>4</v>
      </c>
      <c r="T268" s="218">
        <f>IF(LEFT($B268,4)="_Mil","",_xlfn.IFNA(ROUND(INDEX(Spectrum!$N:$N,MATCH(RIGHT($B268,13)&amp;"|"&amp;$C268&amp;"|"&amp;$D268&amp;"|"&amp;T$14&amp;"|"&amp;"CY2024Q3",Spectrum!$R:$R,0)),0),""))</f>
        <v>2867</v>
      </c>
      <c r="U268" s="218">
        <f>IF(LEFT($B268,4)="_Mil","",_xlfn.IFNA(ROUND(INDEX(Spectrum!$N:$N,MATCH(RIGHT($B268,13)&amp;"|"&amp;$C268&amp;"|"&amp;$D268&amp;"|"&amp;U$14&amp;"|"&amp;"CY2024Q3",Spectrum!$R:$R,0)),0),""))</f>
        <v>4</v>
      </c>
      <c r="V268" s="38">
        <f>IF(LEFT($B268,4)="_Mil","",_xlfn.IFNA(ROUND(INDEX(Spectrum!$N:$N,MATCH(RIGHT($B268,13)&amp;"|"&amp;$C268&amp;"|"&amp;$D268&amp;"|"&amp;V$14&amp;"|"&amp;"CY2024Q3",Spectrum!$R:$R,0)),0),""))</f>
        <v>6</v>
      </c>
      <c r="W268" s="220">
        <f>IF(LEFT($B268,4)="_Mil","",_xlfn.IFNA(INDEX(Spectrum!$N:$N,MATCH(RIGHT($B268,13)&amp;"|"&amp;$C268&amp;"|"&amp;$D268&amp;"|"&amp;W$14&amp;"|"&amp;"CY2024Q3",Spectrum!$R:$R,0)),""))</f>
        <v>1.5531080000000001E-3</v>
      </c>
      <c r="X268" s="218">
        <f>IF(LEFT($B268,4)="_Mil","",_xlfn.IFNA(ROUND(INDEX(Spectrum!$N:$N,MATCH(RIGHT($B268,13)&amp;"|"&amp;$C268&amp;"|"&amp;$D268&amp;"|"&amp;X$14&amp;"|"&amp;"CY2024Q3",Spectrum!$R:$R,0)),0),""))</f>
        <v>3</v>
      </c>
      <c r="Y268" s="33">
        <f t="shared" si="55"/>
        <v>0.75</v>
      </c>
      <c r="Z268" s="218">
        <f>IF(LEFT($B268,4)="_Mil","",_xlfn.IFNA(ROUND(INDEX(Spectrum!$N:$N,MATCH(RIGHT($B268,13)&amp;"|"&amp;$C268&amp;"|"&amp;$D268&amp;"|"&amp;Z$14&amp;"|"&amp;"CY2024Q3",Spectrum!$R:$R,0)),0),""))</f>
        <v>4</v>
      </c>
      <c r="AA268" s="33">
        <f>IF(LEFT($B268,4)="_Mil","",IFERROR(1/(1/INDEX(Spectrum!$N:$N,MATCH(RIGHT($B268,13)&amp;"|"&amp;$C268&amp;"|"&amp;$D268&amp;"|"&amp;AA$14&amp;"|"&amp;"CY2024Q3",Spectrum!$R:$R,0))),IF(SUM($U268)=0,"",SUM($Z268)/$U268)))</f>
        <v>0.61035315800000001</v>
      </c>
      <c r="AB268" s="33">
        <f t="shared" si="56"/>
        <v>1.3333333333333333</v>
      </c>
      <c r="AC268" s="38">
        <f>IF(LEFT($B268,4)="_Mil","",_xlfn.IFNA(ROUND(INDEX(Spectrum!$N:$N,MATCH(RIGHT($B268,13)&amp;"|"&amp;$C268&amp;"|"&amp;$D268&amp;"|"&amp;AC$14&amp;"|"&amp;"CY2024Q3",Spectrum!$R:$R,0)),0),""))</f>
        <v>2</v>
      </c>
      <c r="AD268" s="38" t="str">
        <f>IF(LEFT($B268,4)="_Mil","",_xlfn.IFNA(ROUND(INDEX(Spectrum!$N:$N,MATCH(RIGHT($B268,13)&amp;"|"&amp;$C268&amp;"|"&amp;$D268&amp;"|"&amp;AD$14&amp;"|"&amp;"CY2024Q3",Spectrum!$R:$R,0)),0),""))</f>
        <v/>
      </c>
      <c r="AE268" s="33">
        <f t="shared" si="57"/>
        <v>0</v>
      </c>
      <c r="AF268" s="218" t="str">
        <f>IF(LEFT($B268,4)="_Mil","",_xlfn.IFNA(ROUND(INDEX(Spectrum!$N:$N,MATCH(RIGHT($B268,13)&amp;"|"&amp;$C268&amp;"|"&amp;$D268&amp;"|"&amp;AF$14&amp;"|"&amp;"CY2024Q3",Spectrum!$R:$R,0)),0),""))</f>
        <v/>
      </c>
      <c r="AG268" s="33" t="str">
        <f t="shared" si="58"/>
        <v/>
      </c>
      <c r="AH268" s="110" t="str">
        <f>IF(LEFT($B268,4)="_Mil","",_xlfn.IFNA(INDEX(Spectrum!$N:$N,MATCH(RIGHT($B268,13)&amp;"|"&amp;$C268&amp;"|"&amp;$D268&amp;"|"&amp;AH$14&amp;"|"&amp;"CY2024Q3",Spectrum!$R:$R,0)),""))</f>
        <v/>
      </c>
      <c r="AI268" s="218">
        <f>IF(LEFT($B268,4)="_Mil","",_xlfn.IFNA(ROUND(INDEX(Spectrum!$N:$N,MATCH(RIGHT($B268,13)&amp;"|"&amp;$C268&amp;"|"&amp;$D268&amp;"|"&amp;AI$14&amp;"|"&amp;"CY2025Q3",Spectrum!$R:$R,0)),0),""))</f>
        <v>6</v>
      </c>
      <c r="AJ268" s="38">
        <f>IF(LEFT($B268,4)="_Mil","",_xlfn.IFNA(ROUND(INDEX(Spectrum!$N:$N,MATCH(RIGHT($B268,13)&amp;"|"&amp;$C268&amp;"|"&amp;$D268&amp;"|"&amp;AJ$14&amp;"|"&amp;"CY2025Q3",Spectrum!$R:$R,0)),0),""))</f>
        <v>4</v>
      </c>
      <c r="AK268" s="218" t="e">
        <f>#REF!</f>
        <v>#REF!</v>
      </c>
      <c r="AL268" s="33" t="str">
        <f t="shared" si="59"/>
        <v/>
      </c>
      <c r="AM268" s="38" t="str">
        <f>IF(OR(LEFT($B268,4)="_Mil",$C268="&lt;01"),"",ROUND(SUM($AK268)*SUM($AL268),0))</f>
        <v/>
      </c>
      <c r="AN268" s="38">
        <f>IF($C268="&lt;01",ROUND(INDEX(EID!$P:$P,MATCH($B268,EID!$B:$B,0))/2,0),"")</f>
        <v>2</v>
      </c>
      <c r="AO268" s="38">
        <f>IF($C268="&lt;01",SUM($AN268),ROUND(SUM($AM268)*SUM($O268)/IF(SUM($Z268)=0,1,$Z268),0))</f>
        <v>2</v>
      </c>
      <c r="AP268" s="218">
        <f>IF(OR($F268="",$C268="&lt;01"),$AO268,ROUND($F268,0))</f>
        <v>2</v>
      </c>
      <c r="AQ268" s="218">
        <f>IF(LEFT($B268,4)="_Mil","",IF(SUM($AP268)=0,SUM($Z268),IF(OR(SUM($Z268)=0,SUM($O268)=0),MAX($AP268,$Z268),ROUND($AP268*$Z268/$O268,0))))</f>
        <v>2</v>
      </c>
      <c r="AR268" s="33" t="e">
        <f>IF(OR(LEFT($B268,4)="_Mil",SUM($AK268)=0),"",SUM($AQ268)/$AK268)</f>
        <v>#REF!</v>
      </c>
      <c r="AS268" s="33" t="str">
        <f t="shared" si="69"/>
        <v/>
      </c>
      <c r="AT268" s="33" t="str">
        <f t="shared" si="66"/>
        <v/>
      </c>
      <c r="AU268" s="38" t="str">
        <f>IF($C268="&lt;01","",SUM($AP268)-SUM($O268))</f>
        <v/>
      </c>
      <c r="AV268" s="38">
        <f>IF($C268="&lt;01",ROUND(INDEX(EID!$N:$N,MATCH($B268,EID!$B:$B,0))/2,0),IF(SUM($AT268)=0,"",ROUND((SUM($AP268)-(SUM($O268)*SUM($AS268)))/$AT268,0)))</f>
        <v>2</v>
      </c>
      <c r="AW268" s="33" t="str">
        <f t="shared" si="60"/>
        <v/>
      </c>
      <c r="AX268" s="218">
        <f>IF($C268="&lt;01",SUM($AV268),ROUND(SUM($AV268)*SUM($AW268),0))</f>
        <v>2</v>
      </c>
      <c r="AY268" s="79" t="str">
        <f t="shared" si="61"/>
        <v/>
      </c>
      <c r="AZ268" s="85">
        <f>IF($C268="&lt;01",ROUND(INDEX(EID!$R:$R,MATCH($B268,EID!$B:$B,0))/2,0),ROUND(SUM($O268)+(SUM($AV268)*$AY268),0))</f>
        <v>1</v>
      </c>
      <c r="BA268" s="40" t="str">
        <f t="shared" si="65"/>
        <v/>
      </c>
      <c r="BB268" s="99">
        <f>IF($C268="&lt;01",ROUND(INDEX(EID!$T:$T,MATCH($B268,EID!$B:$B,0))/2,0),ROUND($AP268*$BA268,0))</f>
        <v>1</v>
      </c>
      <c r="BC268" s="85">
        <f>IF(LEFT($B268,4)="_Mil","",IF(SUM($BB268)=0,SUM($AD268),IF(OR(SUM($AP268)=0,SUM($AQ268)=0),MAX($BB268,$AD268),ROUND($BB268*$AQ268/$AP268,0))))</f>
        <v>1</v>
      </c>
      <c r="BD268" s="33" t="str">
        <f t="shared" si="62"/>
        <v/>
      </c>
      <c r="BE268" s="218">
        <f>IF($C268="&lt;01",ROUND(INDEX(EID!$V:$V,MATCH($B268,EID!$B:$B,0))/2,0),ROUND($BD268*$BB268,0))</f>
        <v>1</v>
      </c>
      <c r="BF268" s="218">
        <f>IF(LEFT($B268,4)="_Mil","",IF(SUM($BE268)=0,SUM($AF268),IF(OR(SUM($AP268)=0,SUM($AQ268)=0),MAX($BE268,$AF268),ROUND($BE268*$AQ268/$AP268,0))))</f>
        <v>1</v>
      </c>
      <c r="BG268" s="79" t="str">
        <f t="shared" si="63"/>
        <v/>
      </c>
      <c r="BH268" s="99">
        <f>IF($C268="&lt;01",ROUND(INDEX(EID!$L:$L,MATCH($B268,EID!$B:$B,0)),0)/2,IF(SUM($BG268)=0,"",ROUND($AX268/$BG268,0)))</f>
        <v>1.5</v>
      </c>
    </row>
    <row r="269" spans="1:60" x14ac:dyDescent="0.2">
      <c r="A269" t="str">
        <f>INDEX(Prioritization!$D:$D,MATCH($B269,Prioritization!$A:$A,0))</f>
        <v>4 - Sustained</v>
      </c>
      <c r="B269" t="s">
        <v>321</v>
      </c>
      <c r="C269" t="s">
        <v>473</v>
      </c>
      <c r="D269" t="s">
        <v>30</v>
      </c>
      <c r="E269" t="str">
        <f t="shared" si="53"/>
        <v>Neno District [gwVYinjBAe9]|01-09|Female</v>
      </c>
      <c r="F269" s="229">
        <v>82</v>
      </c>
      <c r="G269" s="38">
        <v>27</v>
      </c>
      <c r="H269" s="38">
        <v>8</v>
      </c>
      <c r="I269" s="38">
        <v>63</v>
      </c>
      <c r="J269" s="38">
        <v>66</v>
      </c>
      <c r="K269" s="38">
        <v>56</v>
      </c>
      <c r="L269" s="38">
        <v>5</v>
      </c>
      <c r="M269" s="38">
        <v>5</v>
      </c>
      <c r="N269" s="38">
        <v>85</v>
      </c>
      <c r="O269" s="229">
        <v>82</v>
      </c>
      <c r="P269" s="38">
        <v>75</v>
      </c>
      <c r="Q269" s="38">
        <v>71</v>
      </c>
      <c r="R269" s="38">
        <f t="shared" si="54"/>
        <v>19</v>
      </c>
      <c r="S269" s="38">
        <f>IF(LEFT($B269,4)="_Mil","",_xlfn.IFNA(ROUND(INDEX(Spectrum!$N:$N,MATCH(RIGHT($B269,13)&amp;"|"&amp;$C269&amp;"|"&amp;$D269&amp;"|"&amp;S$14&amp;"|"&amp;"CY2023Q4",Spectrum!$R:$R,0)),0),""))</f>
        <v>75</v>
      </c>
      <c r="T269" s="218">
        <f>IF(LEFT($B269,4)="_Mil","",_xlfn.IFNA(ROUND(INDEX(Spectrum!$N:$N,MATCH(RIGHT($B269,13)&amp;"|"&amp;$C269&amp;"|"&amp;$D269&amp;"|"&amp;T$14&amp;"|"&amp;"CY2024Q3",Spectrum!$R:$R,0)),0),""))</f>
        <v>22153</v>
      </c>
      <c r="U269" s="218">
        <f>IF(LEFT($B269,4)="_Mil","",_xlfn.IFNA(ROUND(INDEX(Spectrum!$N:$N,MATCH(RIGHT($B269,13)&amp;"|"&amp;$C269&amp;"|"&amp;$D269&amp;"|"&amp;U$14&amp;"|"&amp;"CY2024Q3",Spectrum!$R:$R,0)),0),""))</f>
        <v>87</v>
      </c>
      <c r="V269" s="38">
        <f>IF(LEFT($B269,4)="_Mil","",_xlfn.IFNA(ROUND(INDEX(Spectrum!$N:$N,MATCH(RIGHT($B269,13)&amp;"|"&amp;$C269&amp;"|"&amp;$D269&amp;"|"&amp;V$14&amp;"|"&amp;"CY2024Q3",Spectrum!$R:$R,0)),0),""))</f>
        <v>109</v>
      </c>
      <c r="W269" s="220">
        <f>IF(LEFT($B269,4)="_Mil","",_xlfn.IFNA(INDEX(Spectrum!$N:$N,MATCH(RIGHT($B269,13)&amp;"|"&amp;$C269&amp;"|"&amp;$D269&amp;"|"&amp;W$14&amp;"|"&amp;"CY2024Q3",Spectrum!$R:$R,0)),""))</f>
        <v>3.9250220000000002E-3</v>
      </c>
      <c r="X269" s="218">
        <f>IF(LEFT($B269,4)="_Mil","",_xlfn.IFNA(ROUND(INDEX(Spectrum!$N:$N,MATCH(RIGHT($B269,13)&amp;"|"&amp;$C269&amp;"|"&amp;$D269&amp;"|"&amp;X$14&amp;"|"&amp;"CY2024Q3",Spectrum!$R:$R,0)),0),""))</f>
        <v>61</v>
      </c>
      <c r="Y269" s="33">
        <f t="shared" si="55"/>
        <v>0.7</v>
      </c>
      <c r="Z269" s="218">
        <f>IF(LEFT($B269,4)="_Mil","",_xlfn.IFNA(ROUND(INDEX(Spectrum!$N:$N,MATCH(RIGHT($B269,13)&amp;"|"&amp;$C269&amp;"|"&amp;$D269&amp;"|"&amp;Z$14&amp;"|"&amp;"CY2024Q3",Spectrum!$R:$R,0)),0),""))</f>
        <v>72</v>
      </c>
      <c r="AA269" s="33">
        <f>IF(LEFT($B269,4)="_Mil","",IFERROR(1/(1/INDEX(Spectrum!$N:$N,MATCH(RIGHT($B269,13)&amp;"|"&amp;$C269&amp;"|"&amp;$D269&amp;"|"&amp;AA$14&amp;"|"&amp;"CY2024Q3",Spectrum!$R:$R,0))),IF(SUM($U269)=0,"",SUM($Z269)/$U269)))</f>
        <v>0.65697352899999995</v>
      </c>
      <c r="AB269" s="33">
        <f t="shared" si="56"/>
        <v>1.180327868852459</v>
      </c>
      <c r="AC269" s="38">
        <f>IF(LEFT($B269,4)="_Mil","",_xlfn.IFNA(ROUND(INDEX(Spectrum!$N:$N,MATCH(RIGHT($B269,13)&amp;"|"&amp;$C269&amp;"|"&amp;$D269&amp;"|"&amp;AC$14&amp;"|"&amp;"CY2024Q3",Spectrum!$R:$R,0)),0),""))</f>
        <v>37</v>
      </c>
      <c r="AD269" s="38" t="str">
        <f>IF(LEFT($B269,4)="_Mil","",_xlfn.IFNA(ROUND(INDEX(Spectrum!$N:$N,MATCH(RIGHT($B269,13)&amp;"|"&amp;$C269&amp;"|"&amp;$D269&amp;"|"&amp;AD$14&amp;"|"&amp;"CY2024Q3",Spectrum!$R:$R,0)),0),""))</f>
        <v/>
      </c>
      <c r="AE269" s="33">
        <f t="shared" si="57"/>
        <v>0</v>
      </c>
      <c r="AF269" s="218" t="str">
        <f>IF(LEFT($B269,4)="_Mil","",_xlfn.IFNA(ROUND(INDEX(Spectrum!$N:$N,MATCH(RIGHT($B269,13)&amp;"|"&amp;$C269&amp;"|"&amp;$D269&amp;"|"&amp;AF$14&amp;"|"&amp;"CY2024Q3",Spectrum!$R:$R,0)),0),""))</f>
        <v/>
      </c>
      <c r="AG269" s="33" t="str">
        <f t="shared" si="58"/>
        <v/>
      </c>
      <c r="AH269" s="110" t="str">
        <f>IF(LEFT($B269,4)="_Mil","",_xlfn.IFNA(INDEX(Spectrum!$N:$N,MATCH(RIGHT($B269,13)&amp;"|"&amp;$C269&amp;"|"&amp;$D269&amp;"|"&amp;AH$14&amp;"|"&amp;"CY2024Q3",Spectrum!$R:$R,0)),""))</f>
        <v/>
      </c>
      <c r="AI269" s="218">
        <f>IF(LEFT($B269,4)="_Mil","",_xlfn.IFNA(ROUND(INDEX(Spectrum!$N:$N,MATCH(RIGHT($B269,13)&amp;"|"&amp;$C269&amp;"|"&amp;$D269&amp;"|"&amp;AI$14&amp;"|"&amp;"CY2025Q3",Spectrum!$R:$R,0)),0),""))</f>
        <v>1</v>
      </c>
      <c r="AJ269" s="38">
        <f>IF(LEFT($B269,4)="_Mil","",_xlfn.IFNA(ROUND(INDEX(Spectrum!$N:$N,MATCH(RIGHT($B269,13)&amp;"|"&amp;$C269&amp;"|"&amp;$D269&amp;"|"&amp;AJ$14&amp;"|"&amp;"CY2025Q3",Spectrum!$R:$R,0)),0),""))</f>
        <v>74</v>
      </c>
      <c r="AK269" s="218" t="e">
        <f>#REF!</f>
        <v>#REF!</v>
      </c>
      <c r="AL269" s="33">
        <f t="shared" si="59"/>
        <v>0.9</v>
      </c>
      <c r="AM269" s="38" t="e">
        <f>IF(OR(LEFT($B269,4)="_Mil",$C269="&lt;01"),"",ROUND(SUM($AK269)*SUM($AL269),0))</f>
        <v>#REF!</v>
      </c>
      <c r="AN269" s="38" t="str">
        <f>IF($C269="&lt;01",ROUND(INDEX(EID!$P:$P,MATCH($B269,EID!$B:$B,0))/2,0),"")</f>
        <v/>
      </c>
      <c r="AO269" s="38" t="e">
        <f>IF($C269="&lt;01",SUM($AN269),ROUND(SUM($AM269)*SUM($O269)/IF(SUM($Z269)=0,1,$Z269),0))</f>
        <v>#REF!</v>
      </c>
      <c r="AP269" s="218">
        <f>IF(OR($F269="",$C269="&lt;01"),$AO269,ROUND($F269,0))</f>
        <v>82</v>
      </c>
      <c r="AQ269" s="218">
        <f>IF(LEFT($B269,4)="_Mil","",IF(SUM($AP269)=0,SUM($Z269),IF(OR(SUM($Z269)=0,SUM($O269)=0),MAX($AP269,$Z269),ROUND($AP269*$Z269/$O269,0))))</f>
        <v>72</v>
      </c>
      <c r="AR269" s="33" t="e">
        <f>IF(OR(LEFT($B269,4)="_Mil",SUM($AK269)=0),"",SUM($AQ269)/$AK269)</f>
        <v>#REF!</v>
      </c>
      <c r="AS269" s="33">
        <f t="shared" si="69"/>
        <v>0.98</v>
      </c>
      <c r="AT269" s="33">
        <f t="shared" si="66"/>
        <v>0.98</v>
      </c>
      <c r="AU269" s="38">
        <f>IF($C269="&lt;01","",SUM($AP269)-SUM($O269))</f>
        <v>0</v>
      </c>
      <c r="AV269" s="38">
        <f>IF($C269="&lt;01",ROUND(INDEX(EID!$N:$N,MATCH($B269,EID!$B:$B,0))/2,0),IF(SUM($AT269)=0,"",ROUND((SUM($AP269)-(SUM($O269)*SUM($AS269)))/$AT269,0)))</f>
        <v>2</v>
      </c>
      <c r="AW269" s="33">
        <f t="shared" si="60"/>
        <v>1</v>
      </c>
      <c r="AX269" s="218">
        <f>IF($C269="&lt;01",SUM($AV269),ROUND(SUM($AV269)*SUM($AW269),0))</f>
        <v>2</v>
      </c>
      <c r="AY269" s="79">
        <f t="shared" si="61"/>
        <v>0.7</v>
      </c>
      <c r="AZ269" s="85">
        <f>IF($C269="&lt;01",ROUND(INDEX(EID!$R:$R,MATCH($B269,EID!$B:$B,0))/2,0),ROUND(SUM($O269)+(SUM($AV269)*$AY269),0))</f>
        <v>83</v>
      </c>
      <c r="BA269" s="40">
        <f t="shared" si="65"/>
        <v>0.9</v>
      </c>
      <c r="BB269" s="99">
        <f>IF($C269="&lt;01",ROUND(INDEX(EID!$T:$T,MATCH($B269,EID!$B:$B,0))/2,0),ROUND($AP269*$BA269,0))</f>
        <v>74</v>
      </c>
      <c r="BC269" s="85">
        <f>IF(LEFT($B269,4)="_Mil","",IF(SUM($BB269)=0,SUM($AD269),IF(OR(SUM($AP269)=0,SUM($AQ269)=0),MAX($BB269,$AD269),ROUND($BB269*$AQ269/$AP269,0))))</f>
        <v>65</v>
      </c>
      <c r="BD269" s="33">
        <f t="shared" si="62"/>
        <v>0.95</v>
      </c>
      <c r="BE269" s="218">
        <f>IF($C269="&lt;01",ROUND(INDEX(EID!$V:$V,MATCH($B269,EID!$B:$B,0))/2,0),ROUND($BD269*$BB269,0))</f>
        <v>70</v>
      </c>
      <c r="BF269" s="218">
        <f>IF(LEFT($B269,4)="_Mil","",IF(SUM($BE269)=0,SUM($AF269),IF(OR(SUM($AP269)=0,SUM($AQ269)=0),MAX($BE269,$AF269),ROUND($BE269*$AQ269/$AP269,0))))</f>
        <v>61</v>
      </c>
      <c r="BG269" s="79">
        <f t="shared" si="63"/>
        <v>0.95</v>
      </c>
      <c r="BH269" s="99">
        <f>IF($C269="&lt;01",ROUND(INDEX(EID!$L:$L,MATCH($B269,EID!$B:$B,0)),0)/2,IF(SUM($BG269)=0,"",ROUND($AX269/$BG269,0)))</f>
        <v>2</v>
      </c>
    </row>
    <row r="270" spans="1:60" x14ac:dyDescent="0.2">
      <c r="A270" t="str">
        <f>INDEX(Prioritization!$D:$D,MATCH($B270,Prioritization!$A:$A,0))</f>
        <v>4 - Sustained</v>
      </c>
      <c r="B270" t="s">
        <v>321</v>
      </c>
      <c r="C270" t="s">
        <v>473</v>
      </c>
      <c r="D270" t="s">
        <v>48</v>
      </c>
      <c r="E270" t="str">
        <f t="shared" si="53"/>
        <v>Neno District [gwVYinjBAe9]|01-09|Male</v>
      </c>
      <c r="F270" s="229">
        <v>84</v>
      </c>
      <c r="G270" s="38">
        <v>19</v>
      </c>
      <c r="H270" s="38">
        <v>4</v>
      </c>
      <c r="I270" s="38">
        <v>54</v>
      </c>
      <c r="J270" s="38">
        <v>32</v>
      </c>
      <c r="K270" s="38">
        <v>28</v>
      </c>
      <c r="L270" s="38">
        <v>5</v>
      </c>
      <c r="M270" s="38">
        <v>5</v>
      </c>
      <c r="N270" s="38">
        <v>90</v>
      </c>
      <c r="O270" s="229">
        <v>84</v>
      </c>
      <c r="P270" s="38">
        <v>79</v>
      </c>
      <c r="Q270" s="38">
        <v>75</v>
      </c>
      <c r="R270" s="38">
        <f t="shared" si="54"/>
        <v>30</v>
      </c>
      <c r="S270" s="38">
        <f>IF(LEFT($B270,4)="_Mil","",_xlfn.IFNA(ROUND(INDEX(Spectrum!$N:$N,MATCH(RIGHT($B270,13)&amp;"|"&amp;$C270&amp;"|"&amp;$D270&amp;"|"&amp;S$14&amp;"|"&amp;"CY2023Q4",Spectrum!$R:$R,0)),0),""))</f>
        <v>79</v>
      </c>
      <c r="T270" s="218">
        <f>IF(LEFT($B270,4)="_Mil","",_xlfn.IFNA(ROUND(INDEX(Spectrum!$N:$N,MATCH(RIGHT($B270,13)&amp;"|"&amp;$C270&amp;"|"&amp;$D270&amp;"|"&amp;T$14&amp;"|"&amp;"CY2024Q3",Spectrum!$R:$R,0)),0),""))</f>
        <v>22742</v>
      </c>
      <c r="U270" s="218">
        <f>IF(LEFT($B270,4)="_Mil","",_xlfn.IFNA(ROUND(INDEX(Spectrum!$N:$N,MATCH(RIGHT($B270,13)&amp;"|"&amp;$C270&amp;"|"&amp;$D270&amp;"|"&amp;U$14&amp;"|"&amp;"CY2024Q3",Spectrum!$R:$R,0)),0),""))</f>
        <v>89</v>
      </c>
      <c r="V270" s="38">
        <f>IF(LEFT($B270,4)="_Mil","",_xlfn.IFNA(ROUND(INDEX(Spectrum!$N:$N,MATCH(RIGHT($B270,13)&amp;"|"&amp;$C270&amp;"|"&amp;$D270&amp;"|"&amp;V$14&amp;"|"&amp;"CY2024Q3",Spectrum!$R:$R,0)),0),""))</f>
        <v>112</v>
      </c>
      <c r="W270" s="220">
        <f>IF(LEFT($B270,4)="_Mil","",_xlfn.IFNA(INDEX(Spectrum!$N:$N,MATCH(RIGHT($B270,13)&amp;"|"&amp;$C270&amp;"|"&amp;$D270&amp;"|"&amp;W$14&amp;"|"&amp;"CY2024Q3",Spectrum!$R:$R,0)),""))</f>
        <v>3.9029630000000002E-3</v>
      </c>
      <c r="X270" s="218">
        <f>IF(LEFT($B270,4)="_Mil","",_xlfn.IFNA(ROUND(INDEX(Spectrum!$N:$N,MATCH(RIGHT($B270,13)&amp;"|"&amp;$C270&amp;"|"&amp;$D270&amp;"|"&amp;X$14&amp;"|"&amp;"CY2024Q3",Spectrum!$R:$R,0)),0),""))</f>
        <v>62</v>
      </c>
      <c r="Y270" s="33">
        <f t="shared" si="55"/>
        <v>0.7</v>
      </c>
      <c r="Z270" s="218">
        <f>IF(LEFT($B270,4)="_Mil","",_xlfn.IFNA(ROUND(INDEX(Spectrum!$N:$N,MATCH(RIGHT($B270,13)&amp;"|"&amp;$C270&amp;"|"&amp;$D270&amp;"|"&amp;Z$14&amp;"|"&amp;"CY2024Q3",Spectrum!$R:$R,0)),0),""))</f>
        <v>76</v>
      </c>
      <c r="AA270" s="33">
        <f>IF(LEFT($B270,4)="_Mil","",IFERROR(1/(1/INDEX(Spectrum!$N:$N,MATCH(RIGHT($B270,13)&amp;"|"&amp;$C270&amp;"|"&amp;$D270&amp;"|"&amp;AA$14&amp;"|"&amp;"CY2024Q3",Spectrum!$R:$R,0))),IF(SUM($U270)=0,"",SUM($Z270)/$U270)))</f>
        <v>0.65628593300000004</v>
      </c>
      <c r="AB270" s="33">
        <f t="shared" si="56"/>
        <v>1.2258064516129032</v>
      </c>
      <c r="AC270" s="38">
        <f>IF(LEFT($B270,4)="_Mil","",_xlfn.IFNA(ROUND(INDEX(Spectrum!$N:$N,MATCH(RIGHT($B270,13)&amp;"|"&amp;$C270&amp;"|"&amp;$D270&amp;"|"&amp;AC$14&amp;"|"&amp;"CY2024Q3",Spectrum!$R:$R,0)),0),""))</f>
        <v>36</v>
      </c>
      <c r="AD270" s="38" t="str">
        <f>IF(LEFT($B270,4)="_Mil","",_xlfn.IFNA(ROUND(INDEX(Spectrum!$N:$N,MATCH(RIGHT($B270,13)&amp;"|"&amp;$C270&amp;"|"&amp;$D270&amp;"|"&amp;AD$14&amp;"|"&amp;"CY2024Q3",Spectrum!$R:$R,0)),0),""))</f>
        <v/>
      </c>
      <c r="AE270" s="33">
        <f t="shared" si="57"/>
        <v>0</v>
      </c>
      <c r="AF270" s="218" t="str">
        <f>IF(LEFT($B270,4)="_Mil","",_xlfn.IFNA(ROUND(INDEX(Spectrum!$N:$N,MATCH(RIGHT($B270,13)&amp;"|"&amp;$C270&amp;"|"&amp;$D270&amp;"|"&amp;AF$14&amp;"|"&amp;"CY2024Q3",Spectrum!$R:$R,0)),0),""))</f>
        <v/>
      </c>
      <c r="AG270" s="33" t="str">
        <f t="shared" si="58"/>
        <v/>
      </c>
      <c r="AH270" s="110" t="str">
        <f>IF(LEFT($B270,4)="_Mil","",_xlfn.IFNA(INDEX(Spectrum!$N:$N,MATCH(RIGHT($B270,13)&amp;"|"&amp;$C270&amp;"|"&amp;$D270&amp;"|"&amp;AH$14&amp;"|"&amp;"CY2024Q3",Spectrum!$R:$R,0)),""))</f>
        <v/>
      </c>
      <c r="AI270" s="218">
        <f>IF(LEFT($B270,4)="_Mil","",_xlfn.IFNA(ROUND(INDEX(Spectrum!$N:$N,MATCH(RIGHT($B270,13)&amp;"|"&amp;$C270&amp;"|"&amp;$D270&amp;"|"&amp;AI$14&amp;"|"&amp;"CY2025Q3",Spectrum!$R:$R,0)),0),""))</f>
        <v>1</v>
      </c>
      <c r="AJ270" s="38">
        <f>IF(LEFT($B270,4)="_Mil","",_xlfn.IFNA(ROUND(INDEX(Spectrum!$N:$N,MATCH(RIGHT($B270,13)&amp;"|"&amp;$C270&amp;"|"&amp;$D270&amp;"|"&amp;AJ$14&amp;"|"&amp;"CY2025Q3",Spectrum!$R:$R,0)),0),""))</f>
        <v>76</v>
      </c>
      <c r="AK270" s="218" t="e">
        <f>#REF!</f>
        <v>#REF!</v>
      </c>
      <c r="AL270" s="33">
        <f t="shared" si="59"/>
        <v>0.9</v>
      </c>
      <c r="AM270" s="38" t="e">
        <f>IF(OR(LEFT($B270,4)="_Mil",$C270="&lt;01"),"",ROUND(SUM($AK270)*SUM($AL270),0))</f>
        <v>#REF!</v>
      </c>
      <c r="AN270" s="38" t="str">
        <f>IF($C270="&lt;01",ROUND(INDEX(EID!$P:$P,MATCH($B270,EID!$B:$B,0))/2,0),"")</f>
        <v/>
      </c>
      <c r="AO270" s="38" t="e">
        <f>IF($C270="&lt;01",SUM($AN270),ROUND(SUM($AM270)*SUM($O270)/IF(SUM($Z270)=0,1,$Z270),0))</f>
        <v>#REF!</v>
      </c>
      <c r="AP270" s="218">
        <f>IF(OR($F270="",$C270="&lt;01"),$AO270,ROUND($F270,0))</f>
        <v>84</v>
      </c>
      <c r="AQ270" s="218">
        <f>IF(LEFT($B270,4)="_Mil","",IF(SUM($AP270)=0,SUM($Z270),IF(OR(SUM($Z270)=0,SUM($O270)=0),MAX($AP270,$Z270),ROUND($AP270*$Z270/$O270,0))))</f>
        <v>76</v>
      </c>
      <c r="AR270" s="33" t="e">
        <f>IF(OR(LEFT($B270,4)="_Mil",SUM($AK270)=0),"",SUM($AQ270)/$AK270)</f>
        <v>#REF!</v>
      </c>
      <c r="AS270" s="33">
        <f t="shared" si="69"/>
        <v>0.98</v>
      </c>
      <c r="AT270" s="33">
        <f t="shared" si="66"/>
        <v>0.98</v>
      </c>
      <c r="AU270" s="38">
        <f>IF($C270="&lt;01","",SUM($AP270)-SUM($O270))</f>
        <v>0</v>
      </c>
      <c r="AV270" s="38">
        <f>IF($C270="&lt;01",ROUND(INDEX(EID!$N:$N,MATCH($B270,EID!$B:$B,0))/2,0),IF(SUM($AT270)=0,"",ROUND((SUM($AP270)-(SUM($O270)*SUM($AS270)))/$AT270,0)))</f>
        <v>2</v>
      </c>
      <c r="AW270" s="33">
        <f t="shared" si="60"/>
        <v>1</v>
      </c>
      <c r="AX270" s="218">
        <f>IF($C270="&lt;01",SUM($AV270),ROUND(SUM($AV270)*SUM($AW270),0))</f>
        <v>2</v>
      </c>
      <c r="AY270" s="79">
        <f t="shared" si="61"/>
        <v>0.7</v>
      </c>
      <c r="AZ270" s="85">
        <f>IF($C270="&lt;01",ROUND(INDEX(EID!$R:$R,MATCH($B270,EID!$B:$B,0))/2,0),ROUND(SUM($O270)+(SUM($AV270)*$AY270),0))</f>
        <v>85</v>
      </c>
      <c r="BA270" s="40">
        <f t="shared" si="65"/>
        <v>0.9</v>
      </c>
      <c r="BB270" s="99">
        <f>IF($C270="&lt;01",ROUND(INDEX(EID!$T:$T,MATCH($B270,EID!$B:$B,0))/2,0),ROUND($AP270*$BA270,0))</f>
        <v>76</v>
      </c>
      <c r="BC270" s="85">
        <f>IF(LEFT($B270,4)="_Mil","",IF(SUM($BB270)=0,SUM($AD270),IF(OR(SUM($AP270)=0,SUM($AQ270)=0),MAX($BB270,$AD270),ROUND($BB270*$AQ270/$AP270,0))))</f>
        <v>69</v>
      </c>
      <c r="BD270" s="33">
        <f t="shared" si="62"/>
        <v>0.95</v>
      </c>
      <c r="BE270" s="218">
        <f>IF($C270="&lt;01",ROUND(INDEX(EID!$V:$V,MATCH($B270,EID!$B:$B,0))/2,0),ROUND($BD270*$BB270,0))</f>
        <v>72</v>
      </c>
      <c r="BF270" s="218">
        <f>IF(LEFT($B270,4)="_Mil","",IF(SUM($BE270)=0,SUM($AF270),IF(OR(SUM($AP270)=0,SUM($AQ270)=0),MAX($BE270,$AF270),ROUND($BE270*$AQ270/$AP270,0))))</f>
        <v>65</v>
      </c>
      <c r="BG270" s="79">
        <f t="shared" si="63"/>
        <v>0.95</v>
      </c>
      <c r="BH270" s="99">
        <f>IF($C270="&lt;01",ROUND(INDEX(EID!$L:$L,MATCH($B270,EID!$B:$B,0)),0)/2,IF(SUM($BG270)=0,"",ROUND($AX270/$BG270,0)))</f>
        <v>2</v>
      </c>
    </row>
    <row r="271" spans="1:60" x14ac:dyDescent="0.2">
      <c r="A271" t="str">
        <f>INDEX(Prioritization!$D:$D,MATCH($B271,Prioritization!$A:$A,0))</f>
        <v>4 - Sustained</v>
      </c>
      <c r="B271" t="s">
        <v>321</v>
      </c>
      <c r="C271" t="s">
        <v>474</v>
      </c>
      <c r="D271" t="s">
        <v>30</v>
      </c>
      <c r="E271" t="str">
        <f t="shared" ref="E271:E334" si="70">$B271&amp;"|"&amp;$C271&amp;"|"&amp;$D271</f>
        <v>Neno District [gwVYinjBAe9]|10-14|Female</v>
      </c>
      <c r="F271" s="229">
        <v>105</v>
      </c>
      <c r="G271" s="38">
        <v>12</v>
      </c>
      <c r="H271" s="38">
        <v>2</v>
      </c>
      <c r="I271" s="38">
        <v>105</v>
      </c>
      <c r="J271" s="38">
        <v>48</v>
      </c>
      <c r="K271" s="38">
        <v>41</v>
      </c>
      <c r="L271" s="38">
        <v>11</v>
      </c>
      <c r="M271" s="38">
        <v>10</v>
      </c>
      <c r="N271" s="38">
        <v>98</v>
      </c>
      <c r="O271" s="229">
        <v>105</v>
      </c>
      <c r="P271" s="38">
        <v>82</v>
      </c>
      <c r="Q271" s="38">
        <v>78</v>
      </c>
      <c r="R271" s="38">
        <f t="shared" ref="R271:R334" si="71">IF(AND(SUM($I271)=0,SUM($O271)=0),"",SUM($O271)-$I271)</f>
        <v>0</v>
      </c>
      <c r="S271" s="38">
        <f>IF(LEFT($B271,4)="_Mil","",_xlfn.IFNA(ROUND(INDEX(Spectrum!$N:$N,MATCH(RIGHT($B271,13)&amp;"|"&amp;$C271&amp;"|"&amp;$D271&amp;"|"&amp;S$14&amp;"|"&amp;"CY2023Q4",Spectrum!$R:$R,0)),0),""))</f>
        <v>91</v>
      </c>
      <c r="T271" s="218">
        <f>IF(LEFT($B271,4)="_Mil","",_xlfn.IFNA(ROUND(INDEX(Spectrum!$N:$N,MATCH(RIGHT($B271,13)&amp;"|"&amp;$C271&amp;"|"&amp;$D271&amp;"|"&amp;T$14&amp;"|"&amp;"CY2024Q3",Spectrum!$R:$R,0)),0),""))</f>
        <v>10568</v>
      </c>
      <c r="U271" s="218">
        <f>IF(LEFT($B271,4)="_Mil","",_xlfn.IFNA(ROUND(INDEX(Spectrum!$N:$N,MATCH(RIGHT($B271,13)&amp;"|"&amp;$C271&amp;"|"&amp;$D271&amp;"|"&amp;U$14&amp;"|"&amp;"CY2024Q3",Spectrum!$R:$R,0)),0),""))</f>
        <v>104</v>
      </c>
      <c r="V271" s="38">
        <f>IF(LEFT($B271,4)="_Mil","",_xlfn.IFNA(ROUND(INDEX(Spectrum!$N:$N,MATCH(RIGHT($B271,13)&amp;"|"&amp;$C271&amp;"|"&amp;$D271&amp;"|"&amp;V$14&amp;"|"&amp;"CY2024Q3",Spectrum!$R:$R,0)),0),""))</f>
        <v>132</v>
      </c>
      <c r="W271" s="220">
        <f>IF(LEFT($B271,4)="_Mil","",_xlfn.IFNA(INDEX(Spectrum!$N:$N,MATCH(RIGHT($B271,13)&amp;"|"&amp;$C271&amp;"|"&amp;$D271&amp;"|"&amp;W$14&amp;"|"&amp;"CY2024Q3",Spectrum!$R:$R,0)),""))</f>
        <v>9.8619080000000008E-3</v>
      </c>
      <c r="X271" s="218">
        <f>IF(LEFT($B271,4)="_Mil","",_xlfn.IFNA(ROUND(INDEX(Spectrum!$N:$N,MATCH(RIGHT($B271,13)&amp;"|"&amp;$C271&amp;"|"&amp;$D271&amp;"|"&amp;X$14&amp;"|"&amp;"CY2024Q3",Spectrum!$R:$R,0)),0),""))</f>
        <v>77</v>
      </c>
      <c r="Y271" s="33">
        <f t="shared" ref="Y271:Y334" si="72">IF(OR(SUM($U271)=0,LEFT($B271,4)="_Mil"),"",ROUND(SUM($X271)/$U271,2))</f>
        <v>0.74</v>
      </c>
      <c r="Z271" s="218">
        <f>IF(LEFT($B271,4)="_Mil","",_xlfn.IFNA(ROUND(INDEX(Spectrum!$N:$N,MATCH(RIGHT($B271,13)&amp;"|"&amp;$C271&amp;"|"&amp;$D271&amp;"|"&amp;Z$14&amp;"|"&amp;"CY2024Q3",Spectrum!$R:$R,0)),0),""))</f>
        <v>92</v>
      </c>
      <c r="AA271" s="33">
        <f>IF(LEFT($B271,4)="_Mil","",IFERROR(1/(1/INDEX(Spectrum!$N:$N,MATCH(RIGHT($B271,13)&amp;"|"&amp;$C271&amp;"|"&amp;$D271&amp;"|"&amp;AA$14&amp;"|"&amp;"CY2024Q3",Spectrum!$R:$R,0))),IF(SUM($U271)=0,"",SUM($Z271)/$U271)))</f>
        <v>0.69704582800000003</v>
      </c>
      <c r="AB271" s="33">
        <f t="shared" ref="AB271:AB334" si="73">IF(OR(LEFT($B271,4)="_Mil",SUM($X271)=0),"",SUM($Z271)/$X271)</f>
        <v>1.1948051948051948</v>
      </c>
      <c r="AC271" s="38">
        <f>IF(LEFT($B271,4)="_Mil","",_xlfn.IFNA(ROUND(INDEX(Spectrum!$N:$N,MATCH(RIGHT($B271,13)&amp;"|"&amp;$C271&amp;"|"&amp;$D271&amp;"|"&amp;AC$14&amp;"|"&amp;"CY2024Q3",Spectrum!$R:$R,0)),0),""))</f>
        <v>40</v>
      </c>
      <c r="AD271" s="38" t="str">
        <f>IF(LEFT($B271,4)="_Mil","",_xlfn.IFNA(ROUND(INDEX(Spectrum!$N:$N,MATCH(RIGHT($B271,13)&amp;"|"&amp;$C271&amp;"|"&amp;$D271&amp;"|"&amp;AD$14&amp;"|"&amp;"CY2024Q3",Spectrum!$R:$R,0)),0),""))</f>
        <v/>
      </c>
      <c r="AE271" s="33">
        <f t="shared" ref="AE271:AE334" si="74">IF(OR(LEFT($B271,4)="_Mil",SUM($Z271)=0),"",ROUND(SUM($AD271)/$Z271,2))</f>
        <v>0</v>
      </c>
      <c r="AF271" s="218" t="str">
        <f>IF(LEFT($B271,4)="_Mil","",_xlfn.IFNA(ROUND(INDEX(Spectrum!$N:$N,MATCH(RIGHT($B271,13)&amp;"|"&amp;$C271&amp;"|"&amp;$D271&amp;"|"&amp;AF$14&amp;"|"&amp;"CY2024Q3",Spectrum!$R:$R,0)),0),""))</f>
        <v/>
      </c>
      <c r="AG271" s="33" t="str">
        <f t="shared" ref="AG271:AG334" si="75">IF(OR(LEFT($B271,4)="_Mil",SUM($AD271)=0),"",SUM($AF271)/$AD271)</f>
        <v/>
      </c>
      <c r="AH271" s="110" t="str">
        <f>IF(LEFT($B271,4)="_Mil","",_xlfn.IFNA(INDEX(Spectrum!$N:$N,MATCH(RIGHT($B271,13)&amp;"|"&amp;$C271&amp;"|"&amp;$D271&amp;"|"&amp;AH$14&amp;"|"&amp;"CY2024Q3",Spectrum!$R:$R,0)),""))</f>
        <v/>
      </c>
      <c r="AI271" s="218">
        <f>IF(LEFT($B271,4)="_Mil","",_xlfn.IFNA(ROUND(INDEX(Spectrum!$N:$N,MATCH(RIGHT($B271,13)&amp;"|"&amp;$C271&amp;"|"&amp;$D271&amp;"|"&amp;AI$14&amp;"|"&amp;"CY2025Q3",Spectrum!$R:$R,0)),0),""))</f>
        <v>0</v>
      </c>
      <c r="AJ271" s="38">
        <f>IF(LEFT($B271,4)="_Mil","",_xlfn.IFNA(ROUND(INDEX(Spectrum!$N:$N,MATCH(RIGHT($B271,13)&amp;"|"&amp;$C271&amp;"|"&amp;$D271&amp;"|"&amp;AJ$14&amp;"|"&amp;"CY2025Q3",Spectrum!$R:$R,0)),0),""))</f>
        <v>94</v>
      </c>
      <c r="AK271" s="218" t="e">
        <f>#REF!</f>
        <v>#REF!</v>
      </c>
      <c r="AL271" s="33">
        <f t="shared" ref="AL271:AL334" si="76">IF(OR(LEFT($B271,4)="_Mil",$C271="&lt;01"),"",MAX(SUM($AA271),90%))</f>
        <v>0.9</v>
      </c>
      <c r="AM271" s="38" t="e">
        <f>IF(OR(LEFT($B271,4)="_Mil",$C271="&lt;01"),"",ROUND(SUM($AK271)*SUM($AL271),0))</f>
        <v>#REF!</v>
      </c>
      <c r="AN271" s="38" t="str">
        <f>IF($C271="&lt;01",ROUND(INDEX(EID!$P:$P,MATCH($B271,EID!$B:$B,0))/2,0),"")</f>
        <v/>
      </c>
      <c r="AO271" s="38" t="e">
        <f>IF($C271="&lt;01",SUM($AN271),ROUND(SUM($AM271)*SUM($O271)/IF(SUM($Z271)=0,1,$Z271),0))</f>
        <v>#REF!</v>
      </c>
      <c r="AP271" s="218">
        <f>IF(OR($F271="",$C271="&lt;01"),$AO271,ROUND($F271,0))</f>
        <v>105</v>
      </c>
      <c r="AQ271" s="218">
        <f>IF(LEFT($B271,4)="_Mil","",IF(SUM($AP271)=0,SUM($Z271),IF(OR(SUM($Z271)=0,SUM($O271)=0),MAX($AP271,$Z271),ROUND($AP271*$Z271/$O271,0))))</f>
        <v>92</v>
      </c>
      <c r="AR271" s="33" t="e">
        <f>IF(OR(LEFT($B271,4)="_Mil",SUM($AK271)=0),"",SUM($AQ271)/$AK271)</f>
        <v>#REF!</v>
      </c>
      <c r="AS271" s="33">
        <f>IF($C271="&lt;01","",90%)</f>
        <v>0.9</v>
      </c>
      <c r="AT271" s="33">
        <f t="shared" si="66"/>
        <v>0.98</v>
      </c>
      <c r="AU271" s="38">
        <f>IF($C271="&lt;01","",SUM($AP271)-SUM($O271))</f>
        <v>0</v>
      </c>
      <c r="AV271" s="38">
        <f>IF($C271="&lt;01",ROUND(INDEX(EID!$N:$N,MATCH($B271,EID!$B:$B,0))/2,0),IF(SUM($AT271)=0,"",ROUND((SUM($AP271)-(SUM($O271)*SUM($AS271)))/$AT271,0)))</f>
        <v>11</v>
      </c>
      <c r="AW271" s="33">
        <f t="shared" ref="AW271:AW334" si="77">IF($C271="&lt;01","",100%)</f>
        <v>1</v>
      </c>
      <c r="AX271" s="218">
        <f>IF($C271="&lt;01",SUM($AV271),ROUND(SUM($AV271)*SUM($AW271),0))</f>
        <v>11</v>
      </c>
      <c r="AY271" s="79">
        <f t="shared" ref="AY271:AY334" si="78">IF($C271="&lt;01","",70%)</f>
        <v>0.7</v>
      </c>
      <c r="AZ271" s="85">
        <f>IF($C271="&lt;01",ROUND(INDEX(EID!$R:$R,MATCH($B271,EID!$B:$B,0))/2,0),ROUND(SUM($O271)+(SUM($AV271)*$AY271),0))</f>
        <v>113</v>
      </c>
      <c r="BA271" s="40">
        <f t="shared" si="65"/>
        <v>0.9</v>
      </c>
      <c r="BB271" s="99">
        <f>IF($C271="&lt;01",ROUND(INDEX(EID!$T:$T,MATCH($B271,EID!$B:$B,0))/2,0),ROUND($AP271*$BA271,0))</f>
        <v>95</v>
      </c>
      <c r="BC271" s="85">
        <f>IF(LEFT($B271,4)="_Mil","",IF(SUM($BB271)=0,SUM($AD271),IF(OR(SUM($AP271)=0,SUM($AQ271)=0),MAX($BB271,$AD271),ROUND($BB271*$AQ271/$AP271,0))))</f>
        <v>83</v>
      </c>
      <c r="BD271" s="33">
        <f t="shared" ref="BD271:BD334" si="79">IF($C271="&lt;01","",95%)</f>
        <v>0.95</v>
      </c>
      <c r="BE271" s="218">
        <f>IF($C271="&lt;01",ROUND(INDEX(EID!$V:$V,MATCH($B271,EID!$B:$B,0))/2,0),ROUND($BD271*$BB271,0))</f>
        <v>90</v>
      </c>
      <c r="BF271" s="218">
        <f>IF(LEFT($B271,4)="_Mil","",IF(SUM($BE271)=0,SUM($AF271),IF(OR(SUM($AP271)=0,SUM($AQ271)=0),MAX($BE271,$AF271),ROUND($BE271*$AQ271/$AP271,0))))</f>
        <v>79</v>
      </c>
      <c r="BG271" s="79">
        <f t="shared" ref="BG271:BG334" si="80">IF($C271="&lt;01","",95%)</f>
        <v>0.95</v>
      </c>
      <c r="BH271" s="99">
        <f>IF($C271="&lt;01",ROUND(INDEX(EID!$L:$L,MATCH($B271,EID!$B:$B,0)),0)/2,IF(SUM($BG271)=0,"",ROUND($AX271/$BG271,0)))</f>
        <v>12</v>
      </c>
    </row>
    <row r="272" spans="1:60" x14ac:dyDescent="0.2">
      <c r="A272" t="str">
        <f>INDEX(Prioritization!$D:$D,MATCH($B272,Prioritization!$A:$A,0))</f>
        <v>4 - Sustained</v>
      </c>
      <c r="B272" t="s">
        <v>321</v>
      </c>
      <c r="C272" t="s">
        <v>474</v>
      </c>
      <c r="D272" t="s">
        <v>48</v>
      </c>
      <c r="E272" t="str">
        <f t="shared" si="70"/>
        <v>Neno District [gwVYinjBAe9]|10-14|Male</v>
      </c>
      <c r="F272" s="229">
        <v>102</v>
      </c>
      <c r="G272" s="38">
        <v>11</v>
      </c>
      <c r="H272" s="38">
        <v>3</v>
      </c>
      <c r="I272" s="38">
        <v>97</v>
      </c>
      <c r="J272" s="38">
        <v>43</v>
      </c>
      <c r="K272" s="38">
        <v>35</v>
      </c>
      <c r="L272" s="38">
        <v>14</v>
      </c>
      <c r="M272" s="38">
        <v>13</v>
      </c>
      <c r="N272" s="38">
        <v>105</v>
      </c>
      <c r="O272" s="229">
        <v>102</v>
      </c>
      <c r="P272" s="38">
        <v>87</v>
      </c>
      <c r="Q272" s="38">
        <v>83</v>
      </c>
      <c r="R272" s="38">
        <f t="shared" si="71"/>
        <v>5</v>
      </c>
      <c r="S272" s="38">
        <f>IF(LEFT($B272,4)="_Mil","",_xlfn.IFNA(ROUND(INDEX(Spectrum!$N:$N,MATCH(RIGHT($B272,13)&amp;"|"&amp;$C272&amp;"|"&amp;$D272&amp;"|"&amp;S$14&amp;"|"&amp;"CY2023Q4",Spectrum!$R:$R,0)),0),""))</f>
        <v>97</v>
      </c>
      <c r="T272" s="218">
        <f>IF(LEFT($B272,4)="_Mil","",_xlfn.IFNA(ROUND(INDEX(Spectrum!$N:$N,MATCH(RIGHT($B272,13)&amp;"|"&amp;$C272&amp;"|"&amp;$D272&amp;"|"&amp;T$14&amp;"|"&amp;"CY2024Q3",Spectrum!$R:$R,0)),0),""))</f>
        <v>10937</v>
      </c>
      <c r="U272" s="218">
        <f>IF(LEFT($B272,4)="_Mil","",_xlfn.IFNA(ROUND(INDEX(Spectrum!$N:$N,MATCH(RIGHT($B272,13)&amp;"|"&amp;$C272&amp;"|"&amp;$D272&amp;"|"&amp;U$14&amp;"|"&amp;"CY2024Q3",Spectrum!$R:$R,0)),0),""))</f>
        <v>107</v>
      </c>
      <c r="V272" s="38">
        <f>IF(LEFT($B272,4)="_Mil","",_xlfn.IFNA(ROUND(INDEX(Spectrum!$N:$N,MATCH(RIGHT($B272,13)&amp;"|"&amp;$C272&amp;"|"&amp;$D272&amp;"|"&amp;V$14&amp;"|"&amp;"CY2024Q3",Spectrum!$R:$R,0)),0),""))</f>
        <v>136</v>
      </c>
      <c r="W272" s="220">
        <f>IF(LEFT($B272,4)="_Mil","",_xlfn.IFNA(INDEX(Spectrum!$N:$N,MATCH(RIGHT($B272,13)&amp;"|"&amp;$C272&amp;"|"&amp;$D272&amp;"|"&amp;W$14&amp;"|"&amp;"CY2024Q3",Spectrum!$R:$R,0)),""))</f>
        <v>9.7957879999999997E-3</v>
      </c>
      <c r="X272" s="218">
        <f>IF(LEFT($B272,4)="_Mil","",_xlfn.IFNA(ROUND(INDEX(Spectrum!$N:$N,MATCH(RIGHT($B272,13)&amp;"|"&amp;$C272&amp;"|"&amp;$D272&amp;"|"&amp;X$14&amp;"|"&amp;"CY2024Q3",Spectrum!$R:$R,0)),0),""))</f>
        <v>79</v>
      </c>
      <c r="Y272" s="33">
        <f t="shared" si="72"/>
        <v>0.74</v>
      </c>
      <c r="Z272" s="218">
        <f>IF(LEFT($B272,4)="_Mil","",_xlfn.IFNA(ROUND(INDEX(Spectrum!$N:$N,MATCH(RIGHT($B272,13)&amp;"|"&amp;$C272&amp;"|"&amp;$D272&amp;"|"&amp;Z$14&amp;"|"&amp;"CY2024Q3",Spectrum!$R:$R,0)),0),""))</f>
        <v>97</v>
      </c>
      <c r="AA272" s="33">
        <f>IF(LEFT($B272,4)="_Mil","",IFERROR(1/(1/INDEX(Spectrum!$N:$N,MATCH(RIGHT($B272,13)&amp;"|"&amp;$C272&amp;"|"&amp;$D272&amp;"|"&amp;AA$14&amp;"|"&amp;"CY2024Q3",Spectrum!$R:$R,0))),IF(SUM($U272)=0,"",SUM($Z272)/$U272)))</f>
        <v>0.69598732100000005</v>
      </c>
      <c r="AB272" s="33">
        <f t="shared" si="73"/>
        <v>1.2278481012658229</v>
      </c>
      <c r="AC272" s="38">
        <f>IF(LEFT($B272,4)="_Mil","",_xlfn.IFNA(ROUND(INDEX(Spectrum!$N:$N,MATCH(RIGHT($B272,13)&amp;"|"&amp;$C272&amp;"|"&amp;$D272&amp;"|"&amp;AC$14&amp;"|"&amp;"CY2024Q3",Spectrum!$R:$R,0)),0),""))</f>
        <v>39</v>
      </c>
      <c r="AD272" s="38" t="str">
        <f>IF(LEFT($B272,4)="_Mil","",_xlfn.IFNA(ROUND(INDEX(Spectrum!$N:$N,MATCH(RIGHT($B272,13)&amp;"|"&amp;$C272&amp;"|"&amp;$D272&amp;"|"&amp;AD$14&amp;"|"&amp;"CY2024Q3",Spectrum!$R:$R,0)),0),""))</f>
        <v/>
      </c>
      <c r="AE272" s="33">
        <f t="shared" si="74"/>
        <v>0</v>
      </c>
      <c r="AF272" s="218" t="str">
        <f>IF(LEFT($B272,4)="_Mil","",_xlfn.IFNA(ROUND(INDEX(Spectrum!$N:$N,MATCH(RIGHT($B272,13)&amp;"|"&amp;$C272&amp;"|"&amp;$D272&amp;"|"&amp;AF$14&amp;"|"&amp;"CY2024Q3",Spectrum!$R:$R,0)),0),""))</f>
        <v/>
      </c>
      <c r="AG272" s="33" t="str">
        <f t="shared" si="75"/>
        <v/>
      </c>
      <c r="AH272" s="110" t="str">
        <f>IF(LEFT($B272,4)="_Mil","",_xlfn.IFNA(INDEX(Spectrum!$N:$N,MATCH(RIGHT($B272,13)&amp;"|"&amp;$C272&amp;"|"&amp;$D272&amp;"|"&amp;AH$14&amp;"|"&amp;"CY2024Q3",Spectrum!$R:$R,0)),""))</f>
        <v/>
      </c>
      <c r="AI272" s="218">
        <f>IF(LEFT($B272,4)="_Mil","",_xlfn.IFNA(ROUND(INDEX(Spectrum!$N:$N,MATCH(RIGHT($B272,13)&amp;"|"&amp;$C272&amp;"|"&amp;$D272&amp;"|"&amp;AI$14&amp;"|"&amp;"CY2025Q3",Spectrum!$R:$R,0)),0),""))</f>
        <v>0</v>
      </c>
      <c r="AJ272" s="38">
        <f>IF(LEFT($B272,4)="_Mil","",_xlfn.IFNA(ROUND(INDEX(Spectrum!$N:$N,MATCH(RIGHT($B272,13)&amp;"|"&amp;$C272&amp;"|"&amp;$D272&amp;"|"&amp;AJ$14&amp;"|"&amp;"CY2025Q3",Spectrum!$R:$R,0)),0),""))</f>
        <v>97</v>
      </c>
      <c r="AK272" s="218" t="e">
        <f>#REF!</f>
        <v>#REF!</v>
      </c>
      <c r="AL272" s="33">
        <f t="shared" si="76"/>
        <v>0.9</v>
      </c>
      <c r="AM272" s="38" t="e">
        <f>IF(OR(LEFT($B272,4)="_Mil",$C272="&lt;01"),"",ROUND(SUM($AK272)*SUM($AL272),0))</f>
        <v>#REF!</v>
      </c>
      <c r="AN272" s="38" t="str">
        <f>IF($C272="&lt;01",ROUND(INDEX(EID!$P:$P,MATCH($B272,EID!$B:$B,0))/2,0),"")</f>
        <v/>
      </c>
      <c r="AO272" s="38" t="e">
        <f>IF($C272="&lt;01",SUM($AN272),ROUND(SUM($AM272)*SUM($O272)/IF(SUM($Z272)=0,1,$Z272),0))</f>
        <v>#REF!</v>
      </c>
      <c r="AP272" s="218">
        <f>IF(OR($F272="",$C272="&lt;01"),$AO272,ROUND($F272,0))</f>
        <v>102</v>
      </c>
      <c r="AQ272" s="218">
        <f>IF(LEFT($B272,4)="_Mil","",IF(SUM($AP272)=0,SUM($Z272),IF(OR(SUM($Z272)=0,SUM($O272)=0),MAX($AP272,$Z272),ROUND($AP272*$Z272/$O272,0))))</f>
        <v>97</v>
      </c>
      <c r="AR272" s="33" t="e">
        <f>IF(OR(LEFT($B272,4)="_Mil",SUM($AK272)=0),"",SUM($AQ272)/$AK272)</f>
        <v>#REF!</v>
      </c>
      <c r="AS272" s="33">
        <f t="shared" si="69"/>
        <v>0.98</v>
      </c>
      <c r="AT272" s="33">
        <f t="shared" si="66"/>
        <v>0.98</v>
      </c>
      <c r="AU272" s="38">
        <f>IF($C272="&lt;01","",SUM($AP272)-SUM($O272))</f>
        <v>0</v>
      </c>
      <c r="AV272" s="38">
        <f>IF($C272="&lt;01",ROUND(INDEX(EID!$N:$N,MATCH($B272,EID!$B:$B,0))/2,0),IF(SUM($AT272)=0,"",ROUND((SUM($AP272)-(SUM($O272)*SUM($AS272)))/$AT272,0)))</f>
        <v>2</v>
      </c>
      <c r="AW272" s="33">
        <f t="shared" si="77"/>
        <v>1</v>
      </c>
      <c r="AX272" s="218">
        <f>IF($C272="&lt;01",SUM($AV272),ROUND(SUM($AV272)*SUM($AW272),0))</f>
        <v>2</v>
      </c>
      <c r="AY272" s="79">
        <f t="shared" si="78"/>
        <v>0.7</v>
      </c>
      <c r="AZ272" s="85">
        <f>IF($C272="&lt;01",ROUND(INDEX(EID!$R:$R,MATCH($B272,EID!$B:$B,0))/2,0),ROUND(SUM($O272)+(SUM($AV272)*$AY272),0))</f>
        <v>103</v>
      </c>
      <c r="BA272" s="40">
        <f t="shared" si="65"/>
        <v>0.9</v>
      </c>
      <c r="BB272" s="99">
        <f>IF($C272="&lt;01",ROUND(INDEX(EID!$T:$T,MATCH($B272,EID!$B:$B,0))/2,0),ROUND($AP272*$BA272,0))</f>
        <v>92</v>
      </c>
      <c r="BC272" s="85">
        <f>IF(LEFT($B272,4)="_Mil","",IF(SUM($BB272)=0,SUM($AD272),IF(OR(SUM($AP272)=0,SUM($AQ272)=0),MAX($BB272,$AD272),ROUND($BB272*$AQ272/$AP272,0))))</f>
        <v>87</v>
      </c>
      <c r="BD272" s="33">
        <f t="shared" si="79"/>
        <v>0.95</v>
      </c>
      <c r="BE272" s="218">
        <f>IF($C272="&lt;01",ROUND(INDEX(EID!$V:$V,MATCH($B272,EID!$B:$B,0))/2,0),ROUND($BD272*$BB272,0))</f>
        <v>87</v>
      </c>
      <c r="BF272" s="218">
        <f>IF(LEFT($B272,4)="_Mil","",IF(SUM($BE272)=0,SUM($AF272),IF(OR(SUM($AP272)=0,SUM($AQ272)=0),MAX($BE272,$AF272),ROUND($BE272*$AQ272/$AP272,0))))</f>
        <v>83</v>
      </c>
      <c r="BG272" s="79">
        <f t="shared" si="80"/>
        <v>0.95</v>
      </c>
      <c r="BH272" s="99">
        <f>IF($C272="&lt;01",ROUND(INDEX(EID!$L:$L,MATCH($B272,EID!$B:$B,0)),0)/2,IF(SUM($BG272)=0,"",ROUND($AX272/$BG272,0)))</f>
        <v>2</v>
      </c>
    </row>
    <row r="273" spans="1:60" x14ac:dyDescent="0.2">
      <c r="A273" t="str">
        <f>INDEX(Prioritization!$D:$D,MATCH($B273,Prioritization!$A:$A,0))</f>
        <v>4 - Sustained</v>
      </c>
      <c r="B273" t="s">
        <v>321</v>
      </c>
      <c r="C273" t="s">
        <v>475</v>
      </c>
      <c r="D273" t="s">
        <v>30</v>
      </c>
      <c r="E273" t="str">
        <f t="shared" si="70"/>
        <v>Neno District [gwVYinjBAe9]|15-24|Female</v>
      </c>
      <c r="F273" s="229">
        <v>453</v>
      </c>
      <c r="G273" s="38">
        <v>102</v>
      </c>
      <c r="H273" s="38">
        <v>105</v>
      </c>
      <c r="I273" s="38">
        <v>464</v>
      </c>
      <c r="J273" s="38">
        <v>286</v>
      </c>
      <c r="K273" s="38">
        <v>266</v>
      </c>
      <c r="L273" s="38">
        <v>41</v>
      </c>
      <c r="M273" s="38">
        <v>40</v>
      </c>
      <c r="N273" s="38">
        <v>458</v>
      </c>
      <c r="O273" s="229">
        <v>464</v>
      </c>
      <c r="P273" s="38">
        <v>419</v>
      </c>
      <c r="Q273" s="38">
        <v>398</v>
      </c>
      <c r="R273" s="38">
        <f t="shared" si="71"/>
        <v>0</v>
      </c>
      <c r="S273" s="38">
        <f>IF(LEFT($B273,4)="_Mil","",_xlfn.IFNA(ROUND(INDEX(Spectrum!$N:$N,MATCH(RIGHT($B273,13)&amp;"|"&amp;$C273&amp;"|"&amp;$D273&amp;"|"&amp;S$14&amp;"|"&amp;"CY2023Q4",Spectrum!$R:$R,0)),0),""))</f>
        <v>449</v>
      </c>
      <c r="T273" s="218">
        <f>IF(LEFT($B273,4)="_Mil","",_xlfn.IFNA(ROUND(INDEX(Spectrum!$N:$N,MATCH(RIGHT($B273,13)&amp;"|"&amp;$C273&amp;"|"&amp;$D273&amp;"|"&amp;T$14&amp;"|"&amp;"CY2024Q3",Spectrum!$R:$R,0)),0),""))</f>
        <v>18436</v>
      </c>
      <c r="U273" s="218">
        <f>IF(LEFT($B273,4)="_Mil","",_xlfn.IFNA(ROUND(INDEX(Spectrum!$N:$N,MATCH(RIGHT($B273,13)&amp;"|"&amp;$C273&amp;"|"&amp;$D273&amp;"|"&amp;U$14&amp;"|"&amp;"CY2024Q3",Spectrum!$R:$R,0)),0),""))</f>
        <v>362</v>
      </c>
      <c r="V273" s="38">
        <f>IF(LEFT($B273,4)="_Mil","",_xlfn.IFNA(ROUND(INDEX(Spectrum!$N:$N,MATCH(RIGHT($B273,13)&amp;"|"&amp;$C273&amp;"|"&amp;$D273&amp;"|"&amp;V$14&amp;"|"&amp;"CY2024Q3",Spectrum!$R:$R,0)),0),""))</f>
        <v>465</v>
      </c>
      <c r="W273" s="220">
        <f>IF(LEFT($B273,4)="_Mil","",_xlfn.IFNA(INDEX(Spectrum!$N:$N,MATCH(RIGHT($B273,13)&amp;"|"&amp;$C273&amp;"|"&amp;$D273&amp;"|"&amp;W$14&amp;"|"&amp;"CY2024Q3",Spectrum!$R:$R,0)),""))</f>
        <v>1.9646265999999999E-2</v>
      </c>
      <c r="X273" s="218">
        <f>IF(LEFT($B273,4)="_Mil","",_xlfn.IFNA(ROUND(INDEX(Spectrum!$N:$N,MATCH(RIGHT($B273,13)&amp;"|"&amp;$C273&amp;"|"&amp;$D273&amp;"|"&amp;X$14&amp;"|"&amp;"CY2024Q3",Spectrum!$R:$R,0)),0),""))</f>
        <v>345</v>
      </c>
      <c r="Y273" s="33">
        <f t="shared" si="72"/>
        <v>0.95</v>
      </c>
      <c r="Z273" s="218">
        <f>IF(LEFT($B273,4)="_Mil","",_xlfn.IFNA(ROUND(INDEX(Spectrum!$N:$N,MATCH(RIGHT($B273,13)&amp;"|"&amp;$C273&amp;"|"&amp;$D273&amp;"|"&amp;Z$14&amp;"|"&amp;"CY2024Q3",Spectrum!$R:$R,0)),0),""))</f>
        <v>441</v>
      </c>
      <c r="AA273" s="33">
        <f>IF(LEFT($B273,4)="_Mil","",IFERROR(1/(1/INDEX(Spectrum!$N:$N,MATCH(RIGHT($B273,13)&amp;"|"&amp;$C273&amp;"|"&amp;$D273&amp;"|"&amp;AA$14&amp;"|"&amp;"CY2024Q3",Spectrum!$R:$R,0))),IF(SUM($U273)=0,"",SUM($Z273)/$U273)))</f>
        <v>0.953167612</v>
      </c>
      <c r="AB273" s="33">
        <f t="shared" si="73"/>
        <v>1.2782608695652173</v>
      </c>
      <c r="AC273" s="38">
        <f>IF(LEFT($B273,4)="_Mil","",_xlfn.IFNA(ROUND(INDEX(Spectrum!$N:$N,MATCH(RIGHT($B273,13)&amp;"|"&amp;$C273&amp;"|"&amp;$D273&amp;"|"&amp;AC$14&amp;"|"&amp;"CY2024Q3",Spectrum!$R:$R,0)),0),""))</f>
        <v>25</v>
      </c>
      <c r="AD273" s="38" t="str">
        <f>IF(LEFT($B273,4)="_Mil","",_xlfn.IFNA(ROUND(INDEX(Spectrum!$N:$N,MATCH(RIGHT($B273,13)&amp;"|"&amp;$C273&amp;"|"&amp;$D273&amp;"|"&amp;AD$14&amp;"|"&amp;"CY2024Q3",Spectrum!$R:$R,0)),0),""))</f>
        <v/>
      </c>
      <c r="AE273" s="33">
        <f t="shared" si="74"/>
        <v>0</v>
      </c>
      <c r="AF273" s="218" t="str">
        <f>IF(LEFT($B273,4)="_Mil","",_xlfn.IFNA(ROUND(INDEX(Spectrum!$N:$N,MATCH(RIGHT($B273,13)&amp;"|"&amp;$C273&amp;"|"&amp;$D273&amp;"|"&amp;AF$14&amp;"|"&amp;"CY2024Q3",Spectrum!$R:$R,0)),0),""))</f>
        <v/>
      </c>
      <c r="AG273" s="33" t="str">
        <f t="shared" si="75"/>
        <v/>
      </c>
      <c r="AH273" s="110" t="str">
        <f>IF(LEFT($B273,4)="_Mil","",_xlfn.IFNA(INDEX(Spectrum!$N:$N,MATCH(RIGHT($B273,13)&amp;"|"&amp;$C273&amp;"|"&amp;$D273&amp;"|"&amp;AH$14&amp;"|"&amp;"CY2024Q3",Spectrum!$R:$R,0)),""))</f>
        <v/>
      </c>
      <c r="AI273" s="218">
        <f>IF(LEFT($B273,4)="_Mil","",_xlfn.IFNA(ROUND(INDEX(Spectrum!$N:$N,MATCH(RIGHT($B273,13)&amp;"|"&amp;$C273&amp;"|"&amp;$D273&amp;"|"&amp;AI$14&amp;"|"&amp;"CY2025Q3",Spectrum!$R:$R,0)),0),""))</f>
        <v>22</v>
      </c>
      <c r="AJ273" s="38">
        <f>IF(LEFT($B273,4)="_Mil","",_xlfn.IFNA(ROUND(INDEX(Spectrum!$N:$N,MATCH(RIGHT($B273,13)&amp;"|"&amp;$C273&amp;"|"&amp;$D273&amp;"|"&amp;AJ$14&amp;"|"&amp;"CY2025Q3",Spectrum!$R:$R,0)),0),""))</f>
        <v>353</v>
      </c>
      <c r="AK273" s="218" t="e">
        <f>#REF!</f>
        <v>#REF!</v>
      </c>
      <c r="AL273" s="33">
        <f t="shared" si="76"/>
        <v>0.953167612</v>
      </c>
      <c r="AM273" s="38" t="e">
        <f>IF(OR(LEFT($B273,4)="_Mil",$C273="&lt;01"),"",ROUND(SUM($AK273)*SUM($AL273),0))</f>
        <v>#REF!</v>
      </c>
      <c r="AN273" s="38" t="str">
        <f>IF($C273="&lt;01",ROUND(INDEX(EID!$P:$P,MATCH($B273,EID!$B:$B,0))/2,0),"")</f>
        <v/>
      </c>
      <c r="AO273" s="38" t="e">
        <f>IF($C273="&lt;01",SUM($AN273),ROUND(SUM($AM273)*SUM($O273)/IF(SUM($Z273)=0,1,$Z273),0))</f>
        <v>#REF!</v>
      </c>
      <c r="AP273" s="218">
        <f>IF(OR($F273="",$C273="&lt;01"),$AO273,ROUND($F273,0))</f>
        <v>453</v>
      </c>
      <c r="AQ273" s="218">
        <f>IF(LEFT($B273,4)="_Mil","",IF(SUM($AP273)=0,SUM($Z273),IF(OR(SUM($Z273)=0,SUM($O273)=0),MAX($AP273,$Z273),ROUND($AP273*$Z273/$O273,0))))</f>
        <v>431</v>
      </c>
      <c r="AR273" s="33" t="e">
        <f>IF(OR(LEFT($B273,4)="_Mil",SUM($AK273)=0),"",SUM($AQ273)/$AK273)</f>
        <v>#REF!</v>
      </c>
      <c r="AS273" s="33">
        <f>IF($C273="&lt;01","",88%)</f>
        <v>0.88</v>
      </c>
      <c r="AT273" s="33">
        <f>IF($C273="&lt;01","",90%)</f>
        <v>0.9</v>
      </c>
      <c r="AU273" s="38">
        <f>IF($C273="&lt;01","",SUM($AP273)-SUM($O273))</f>
        <v>-11</v>
      </c>
      <c r="AV273" s="38">
        <f>IF($C273="&lt;01",ROUND(INDEX(EID!$N:$N,MATCH($B273,EID!$B:$B,0))/2,0),IF(SUM($AT273)=0,"",ROUND((SUM($AP273)-(SUM($O273)*SUM($AS273)))/$AT273,0)))</f>
        <v>50</v>
      </c>
      <c r="AW273" s="33">
        <f t="shared" si="77"/>
        <v>1</v>
      </c>
      <c r="AX273" s="218">
        <f>IF($C273="&lt;01",SUM($AV273),ROUND(SUM($AV273)*SUM($AW273),0))</f>
        <v>50</v>
      </c>
      <c r="AY273" s="79">
        <f t="shared" si="78"/>
        <v>0.7</v>
      </c>
      <c r="AZ273" s="85">
        <f>IF($C273="&lt;01",ROUND(INDEX(EID!$R:$R,MATCH($B273,EID!$B:$B,0))/2,0),ROUND(SUM($O273)+(SUM($AV273)*$AY273),0))</f>
        <v>499</v>
      </c>
      <c r="BA273" s="40">
        <f t="shared" si="65"/>
        <v>0.9</v>
      </c>
      <c r="BB273" s="99">
        <f>IF($C273="&lt;01",ROUND(INDEX(EID!$T:$T,MATCH($B273,EID!$B:$B,0))/2,0),ROUND($AP273*$BA273,0))</f>
        <v>408</v>
      </c>
      <c r="BC273" s="85">
        <f>IF(LEFT($B273,4)="_Mil","",IF(SUM($BB273)=0,SUM($AD273),IF(OR(SUM($AP273)=0,SUM($AQ273)=0),MAX($BB273,$AD273),ROUND($BB273*$AQ273/$AP273,0))))</f>
        <v>388</v>
      </c>
      <c r="BD273" s="33">
        <f t="shared" si="79"/>
        <v>0.95</v>
      </c>
      <c r="BE273" s="218">
        <f>IF($C273="&lt;01",ROUND(INDEX(EID!$V:$V,MATCH($B273,EID!$B:$B,0))/2,0),ROUND($BD273*$BB273,0))</f>
        <v>388</v>
      </c>
      <c r="BF273" s="218">
        <f>IF(LEFT($B273,4)="_Mil","",IF(SUM($BE273)=0,SUM($AF273),IF(OR(SUM($AP273)=0,SUM($AQ273)=0),MAX($BE273,$AF273),ROUND($BE273*$AQ273/$AP273,0))))</f>
        <v>369</v>
      </c>
      <c r="BG273" s="79">
        <f t="shared" si="80"/>
        <v>0.95</v>
      </c>
      <c r="BH273" s="99">
        <f>IF($C273="&lt;01",ROUND(INDEX(EID!$L:$L,MATCH($B273,EID!$B:$B,0)),0)/2,IF(SUM($BG273)=0,"",ROUND($AX273/$BG273,0)))</f>
        <v>53</v>
      </c>
    </row>
    <row r="274" spans="1:60" x14ac:dyDescent="0.2">
      <c r="A274" t="str">
        <f>INDEX(Prioritization!$D:$D,MATCH($B274,Prioritization!$A:$A,0))</f>
        <v>4 - Sustained</v>
      </c>
      <c r="B274" t="s">
        <v>321</v>
      </c>
      <c r="C274" t="s">
        <v>475</v>
      </c>
      <c r="D274" t="s">
        <v>48</v>
      </c>
      <c r="E274" t="str">
        <f t="shared" si="70"/>
        <v>Neno District [gwVYinjBAe9]|15-24|Male</v>
      </c>
      <c r="F274" s="229">
        <v>258</v>
      </c>
      <c r="G274" s="38">
        <v>28</v>
      </c>
      <c r="H274" s="38">
        <v>21</v>
      </c>
      <c r="I274" s="38">
        <v>210</v>
      </c>
      <c r="J274" s="38">
        <v>87</v>
      </c>
      <c r="K274" s="38">
        <v>70</v>
      </c>
      <c r="L274" s="38">
        <v>42</v>
      </c>
      <c r="M274" s="38">
        <v>40</v>
      </c>
      <c r="N274" s="38">
        <v>315</v>
      </c>
      <c r="O274" s="229">
        <v>246</v>
      </c>
      <c r="P274" s="38">
        <v>279</v>
      </c>
      <c r="Q274" s="38">
        <v>265</v>
      </c>
      <c r="R274" s="38">
        <f t="shared" si="71"/>
        <v>36</v>
      </c>
      <c r="S274" s="38">
        <f>IF(LEFT($B274,4)="_Mil","",_xlfn.IFNA(ROUND(INDEX(Spectrum!$N:$N,MATCH(RIGHT($B274,13)&amp;"|"&amp;$C274&amp;"|"&amp;$D274&amp;"|"&amp;S$14&amp;"|"&amp;"CY2023Q4",Spectrum!$R:$R,0)),0),""))</f>
        <v>292</v>
      </c>
      <c r="T274" s="218">
        <f>IF(LEFT($B274,4)="_Mil","",_xlfn.IFNA(ROUND(INDEX(Spectrum!$N:$N,MATCH(RIGHT($B274,13)&amp;"|"&amp;$C274&amp;"|"&amp;$D274&amp;"|"&amp;T$14&amp;"|"&amp;"CY2024Q3",Spectrum!$R:$R,0)),0),""))</f>
        <v>18109</v>
      </c>
      <c r="U274" s="218">
        <f>IF(LEFT($B274,4)="_Mil","",_xlfn.IFNA(ROUND(INDEX(Spectrum!$N:$N,MATCH(RIGHT($B274,13)&amp;"|"&amp;$C274&amp;"|"&amp;$D274&amp;"|"&amp;U$14&amp;"|"&amp;"CY2024Q3",Spectrum!$R:$R,0)),0),""))</f>
        <v>260</v>
      </c>
      <c r="V274" s="38">
        <f>IF(LEFT($B274,4)="_Mil","",_xlfn.IFNA(ROUND(INDEX(Spectrum!$N:$N,MATCH(RIGHT($B274,13)&amp;"|"&amp;$C274&amp;"|"&amp;$D274&amp;"|"&amp;V$14&amp;"|"&amp;"CY2024Q3",Spectrum!$R:$R,0)),0),""))</f>
        <v>328</v>
      </c>
      <c r="W274" s="220">
        <f>IF(LEFT($B274,4)="_Mil","",_xlfn.IFNA(INDEX(Spectrum!$N:$N,MATCH(RIGHT($B274,13)&amp;"|"&amp;$C274&amp;"|"&amp;$D274&amp;"|"&amp;W$14&amp;"|"&amp;"CY2024Q3",Spectrum!$R:$R,0)),""))</f>
        <v>1.4330051E-2</v>
      </c>
      <c r="X274" s="218">
        <f>IF(LEFT($B274,4)="_Mil","",_xlfn.IFNA(ROUND(INDEX(Spectrum!$N:$N,MATCH(RIGHT($B274,13)&amp;"|"&amp;$C274&amp;"|"&amp;$D274&amp;"|"&amp;X$14&amp;"|"&amp;"CY2024Q3",Spectrum!$R:$R,0)),0),""))</f>
        <v>241</v>
      </c>
      <c r="Y274" s="33">
        <f t="shared" si="72"/>
        <v>0.93</v>
      </c>
      <c r="Z274" s="218">
        <f>IF(LEFT($B274,4)="_Mil","",_xlfn.IFNA(ROUND(INDEX(Spectrum!$N:$N,MATCH(RIGHT($B274,13)&amp;"|"&amp;$C274&amp;"|"&amp;$D274&amp;"|"&amp;Z$14&amp;"|"&amp;"CY2024Q3",Spectrum!$R:$R,0)),0),""))</f>
        <v>300</v>
      </c>
      <c r="AA274" s="33">
        <f>IF(LEFT($B274,4)="_Mil","",IFERROR(1/(1/INDEX(Spectrum!$N:$N,MATCH(RIGHT($B274,13)&amp;"|"&amp;$C274&amp;"|"&amp;$D274&amp;"|"&amp;AA$14&amp;"|"&amp;"CY2024Q3",Spectrum!$R:$R,0))),IF(SUM($U274)=0,"",SUM($Z274)/$U274)))</f>
        <v>0.92737244600000002</v>
      </c>
      <c r="AB274" s="33">
        <f t="shared" si="73"/>
        <v>1.2448132780082988</v>
      </c>
      <c r="AC274" s="38">
        <f>IF(LEFT($B274,4)="_Mil","",_xlfn.IFNA(ROUND(INDEX(Spectrum!$N:$N,MATCH(RIGHT($B274,13)&amp;"|"&amp;$C274&amp;"|"&amp;$D274&amp;"|"&amp;AC$14&amp;"|"&amp;"CY2024Q3",Spectrum!$R:$R,0)),0),""))</f>
        <v>28</v>
      </c>
      <c r="AD274" s="38" t="str">
        <f>IF(LEFT($B274,4)="_Mil","",_xlfn.IFNA(ROUND(INDEX(Spectrum!$N:$N,MATCH(RIGHT($B274,13)&amp;"|"&amp;$C274&amp;"|"&amp;$D274&amp;"|"&amp;AD$14&amp;"|"&amp;"CY2024Q3",Spectrum!$R:$R,0)),0),""))</f>
        <v/>
      </c>
      <c r="AE274" s="33">
        <f t="shared" si="74"/>
        <v>0</v>
      </c>
      <c r="AF274" s="218" t="str">
        <f>IF(LEFT($B274,4)="_Mil","",_xlfn.IFNA(ROUND(INDEX(Spectrum!$N:$N,MATCH(RIGHT($B274,13)&amp;"|"&amp;$C274&amp;"|"&amp;$D274&amp;"|"&amp;AF$14&amp;"|"&amp;"CY2024Q3",Spectrum!$R:$R,0)),0),""))</f>
        <v/>
      </c>
      <c r="AG274" s="33" t="str">
        <f t="shared" si="75"/>
        <v/>
      </c>
      <c r="AH274" s="110" t="str">
        <f>IF(LEFT($B274,4)="_Mil","",_xlfn.IFNA(INDEX(Spectrum!$N:$N,MATCH(RIGHT($B274,13)&amp;"|"&amp;$C274&amp;"|"&amp;$D274&amp;"|"&amp;AH$14&amp;"|"&amp;"CY2024Q3",Spectrum!$R:$R,0)),""))</f>
        <v/>
      </c>
      <c r="AI274" s="218">
        <f>IF(LEFT($B274,4)="_Mil","",_xlfn.IFNA(ROUND(INDEX(Spectrum!$N:$N,MATCH(RIGHT($B274,13)&amp;"|"&amp;$C274&amp;"|"&amp;$D274&amp;"|"&amp;AI$14&amp;"|"&amp;"CY2025Q3",Spectrum!$R:$R,0)),0),""))</f>
        <v>4</v>
      </c>
      <c r="AJ274" s="38">
        <f>IF(LEFT($B274,4)="_Mil","",_xlfn.IFNA(ROUND(INDEX(Spectrum!$N:$N,MATCH(RIGHT($B274,13)&amp;"|"&amp;$C274&amp;"|"&amp;$D274&amp;"|"&amp;AJ$14&amp;"|"&amp;"CY2025Q3",Spectrum!$R:$R,0)),0),""))</f>
        <v>258</v>
      </c>
      <c r="AK274" s="218" t="e">
        <f>#REF!</f>
        <v>#REF!</v>
      </c>
      <c r="AL274" s="33">
        <f t="shared" si="76"/>
        <v>0.92737244600000002</v>
      </c>
      <c r="AM274" s="38" t="e">
        <f>IF(OR(LEFT($B274,4)="_Mil",$C274="&lt;01"),"",ROUND(SUM($AK274)*SUM($AL274),0))</f>
        <v>#REF!</v>
      </c>
      <c r="AN274" s="38" t="str">
        <f>IF($C274="&lt;01",ROUND(INDEX(EID!$P:$P,MATCH($B274,EID!$B:$B,0))/2,0),"")</f>
        <v/>
      </c>
      <c r="AO274" s="38" t="e">
        <f>IF($C274="&lt;01",SUM($AN274),ROUND(SUM($AM274)*SUM($O274)/IF(SUM($Z274)=0,1,$Z274),0))</f>
        <v>#REF!</v>
      </c>
      <c r="AP274" s="218">
        <f>IF(OR($F274="",$C274="&lt;01"),$AO274,ROUND($F274,0))</f>
        <v>258</v>
      </c>
      <c r="AQ274" s="218">
        <f>IF(LEFT($B274,4)="_Mil","",IF(SUM($AP274)=0,SUM($Z274),IF(OR(SUM($Z274)=0,SUM($O274)=0),MAX($AP274,$Z274),ROUND($AP274*$Z274/$O274,0))))</f>
        <v>315</v>
      </c>
      <c r="AR274" s="33" t="e">
        <f>IF(OR(LEFT($B274,4)="_Mil",SUM($AK274)=0),"",SUM($AQ274)/$AK274)</f>
        <v>#REF!</v>
      </c>
      <c r="AS274" s="33">
        <f t="shared" si="69"/>
        <v>0.98</v>
      </c>
      <c r="AT274" s="33">
        <f t="shared" si="66"/>
        <v>0.98</v>
      </c>
      <c r="AU274" s="38">
        <f>IF($C274="&lt;01","",SUM($AP274)-SUM($O274))</f>
        <v>12</v>
      </c>
      <c r="AV274" s="38">
        <f>IF($C274="&lt;01",ROUND(INDEX(EID!$N:$N,MATCH($B274,EID!$B:$B,0))/2,0),IF(SUM($AT274)=0,"",ROUND((SUM($AP274)-(SUM($O274)*SUM($AS274)))/$AT274,0)))</f>
        <v>17</v>
      </c>
      <c r="AW274" s="33">
        <f t="shared" si="77"/>
        <v>1</v>
      </c>
      <c r="AX274" s="218">
        <f>IF($C274="&lt;01",SUM($AV274),ROUND(SUM($AV274)*SUM($AW274),0))</f>
        <v>17</v>
      </c>
      <c r="AY274" s="79">
        <f t="shared" si="78"/>
        <v>0.7</v>
      </c>
      <c r="AZ274" s="85">
        <f>IF($C274="&lt;01",ROUND(INDEX(EID!$R:$R,MATCH($B274,EID!$B:$B,0))/2,0),ROUND(SUM($O274)+(SUM($AV274)*$AY274),0))</f>
        <v>258</v>
      </c>
      <c r="BA274" s="40">
        <f t="shared" si="65"/>
        <v>0.9</v>
      </c>
      <c r="BB274" s="99">
        <f>IF($C274="&lt;01",ROUND(INDEX(EID!$T:$T,MATCH($B274,EID!$B:$B,0))/2,0),ROUND($AP274*$BA274,0))</f>
        <v>232</v>
      </c>
      <c r="BC274" s="85">
        <f>IF(LEFT($B274,4)="_Mil","",IF(SUM($BB274)=0,SUM($AD274),IF(OR(SUM($AP274)=0,SUM($AQ274)=0),MAX($BB274,$AD274),ROUND($BB274*$AQ274/$AP274,0))))</f>
        <v>283</v>
      </c>
      <c r="BD274" s="33">
        <f t="shared" si="79"/>
        <v>0.95</v>
      </c>
      <c r="BE274" s="218">
        <f>IF($C274="&lt;01",ROUND(INDEX(EID!$V:$V,MATCH($B274,EID!$B:$B,0))/2,0),ROUND($BD274*$BB274,0))</f>
        <v>220</v>
      </c>
      <c r="BF274" s="218">
        <f>IF(LEFT($B274,4)="_Mil","",IF(SUM($BE274)=0,SUM($AF274),IF(OR(SUM($AP274)=0,SUM($AQ274)=0),MAX($BE274,$AF274),ROUND($BE274*$AQ274/$AP274,0))))</f>
        <v>269</v>
      </c>
      <c r="BG274" s="79">
        <f t="shared" si="80"/>
        <v>0.95</v>
      </c>
      <c r="BH274" s="99">
        <f>IF($C274="&lt;01",ROUND(INDEX(EID!$L:$L,MATCH($B274,EID!$B:$B,0)),0)/2,IF(SUM($BG274)=0,"",ROUND($AX274/$BG274,0)))</f>
        <v>18</v>
      </c>
    </row>
    <row r="275" spans="1:60" x14ac:dyDescent="0.2">
      <c r="A275" t="str">
        <f>INDEX(Prioritization!$D:$D,MATCH($B275,Prioritization!$A:$A,0))</f>
        <v>4 - Sustained</v>
      </c>
      <c r="B275" t="s">
        <v>321</v>
      </c>
      <c r="C275" t="s">
        <v>476</v>
      </c>
      <c r="D275" t="s">
        <v>30</v>
      </c>
      <c r="E275" t="str">
        <f t="shared" si="70"/>
        <v>Neno District [gwVYinjBAe9]|25-34|Female</v>
      </c>
      <c r="F275" s="229">
        <v>1008</v>
      </c>
      <c r="G275" s="38">
        <v>115</v>
      </c>
      <c r="H275" s="38">
        <v>125</v>
      </c>
      <c r="I275" s="38">
        <v>1008</v>
      </c>
      <c r="J275" s="38">
        <v>749</v>
      </c>
      <c r="K275" s="38">
        <v>700</v>
      </c>
      <c r="L275" s="38">
        <v>60</v>
      </c>
      <c r="M275" s="38">
        <v>59</v>
      </c>
      <c r="N275" s="38">
        <v>1071</v>
      </c>
      <c r="O275" s="229">
        <v>1008</v>
      </c>
      <c r="P275" s="38">
        <v>1004</v>
      </c>
      <c r="Q275" s="38">
        <v>954</v>
      </c>
      <c r="R275" s="38">
        <f t="shared" si="71"/>
        <v>0</v>
      </c>
      <c r="S275" s="38">
        <f>IF(LEFT($B275,4)="_Mil","",_xlfn.IFNA(ROUND(INDEX(Spectrum!$N:$N,MATCH(RIGHT($B275,13)&amp;"|"&amp;$C275&amp;"|"&amp;$D275&amp;"|"&amp;S$14&amp;"|"&amp;"CY2023Q4",Spectrum!$R:$R,0)),0),""))</f>
        <v>1160</v>
      </c>
      <c r="T275" s="218">
        <f>IF(LEFT($B275,4)="_Mil","",_xlfn.IFNA(ROUND(INDEX(Spectrum!$N:$N,MATCH(RIGHT($B275,13)&amp;"|"&amp;$C275&amp;"|"&amp;$D275&amp;"|"&amp;T$14&amp;"|"&amp;"CY2024Q3",Spectrum!$R:$R,0)),0),""))</f>
        <v>11886</v>
      </c>
      <c r="U275" s="218">
        <f>IF(LEFT($B275,4)="_Mil","",_xlfn.IFNA(ROUND(INDEX(Spectrum!$N:$N,MATCH(RIGHT($B275,13)&amp;"|"&amp;$C275&amp;"|"&amp;$D275&amp;"|"&amp;U$14&amp;"|"&amp;"CY2024Q3",Spectrum!$R:$R,0)),0),""))</f>
        <v>884</v>
      </c>
      <c r="V275" s="38">
        <f>IF(LEFT($B275,4)="_Mil","",_xlfn.IFNA(ROUND(INDEX(Spectrum!$N:$N,MATCH(RIGHT($B275,13)&amp;"|"&amp;$C275&amp;"|"&amp;$D275&amp;"|"&amp;V$14&amp;"|"&amp;"CY2024Q3",Spectrum!$R:$R,0)),0),""))</f>
        <v>1133</v>
      </c>
      <c r="W275" s="220">
        <f>IF(LEFT($B275,4)="_Mil","",_xlfn.IFNA(INDEX(Spectrum!$N:$N,MATCH(RIGHT($B275,13)&amp;"|"&amp;$C275&amp;"|"&amp;$D275&amp;"|"&amp;W$14&amp;"|"&amp;"CY2024Q3",Spectrum!$R:$R,0)),""))</f>
        <v>7.4380018000000006E-2</v>
      </c>
      <c r="X275" s="218">
        <f>IF(LEFT($B275,4)="_Mil","",_xlfn.IFNA(ROUND(INDEX(Spectrum!$N:$N,MATCH(RIGHT($B275,13)&amp;"|"&amp;$C275&amp;"|"&amp;$D275&amp;"|"&amp;X$14&amp;"|"&amp;"CY2024Q3",Spectrum!$R:$R,0)),0),""))</f>
        <v>862</v>
      </c>
      <c r="Y275" s="33">
        <f t="shared" si="72"/>
        <v>0.98</v>
      </c>
      <c r="Z275" s="218">
        <f>IF(LEFT($B275,4)="_Mil","",_xlfn.IFNA(ROUND(INDEX(Spectrum!$N:$N,MATCH(RIGHT($B275,13)&amp;"|"&amp;$C275&amp;"|"&amp;$D275&amp;"|"&amp;Z$14&amp;"|"&amp;"CY2024Q3",Spectrum!$R:$R,0)),0),""))</f>
        <v>1102</v>
      </c>
      <c r="AA275" s="33">
        <f>IF(LEFT($B275,4)="_Mil","",IFERROR(1/(1/INDEX(Spectrum!$N:$N,MATCH(RIGHT($B275,13)&amp;"|"&amp;$C275&amp;"|"&amp;$D275&amp;"|"&amp;AA$14&amp;"|"&amp;"CY2024Q3",Spectrum!$R:$R,0))),IF(SUM($U275)=0,"",SUM($Z275)/$U275)))</f>
        <v>0.97521978300000001</v>
      </c>
      <c r="AB275" s="33">
        <f t="shared" si="73"/>
        <v>1.2784222737819027</v>
      </c>
      <c r="AC275" s="38">
        <f>IF(LEFT($B275,4)="_Mil","",_xlfn.IFNA(ROUND(INDEX(Spectrum!$N:$N,MATCH(RIGHT($B275,13)&amp;"|"&amp;$C275&amp;"|"&amp;$D275&amp;"|"&amp;AC$14&amp;"|"&amp;"CY2024Q3",Spectrum!$R:$R,0)),0),""))</f>
        <v>31</v>
      </c>
      <c r="AD275" s="38" t="str">
        <f>IF(LEFT($B275,4)="_Mil","",_xlfn.IFNA(ROUND(INDEX(Spectrum!$N:$N,MATCH(RIGHT($B275,13)&amp;"|"&amp;$C275&amp;"|"&amp;$D275&amp;"|"&amp;AD$14&amp;"|"&amp;"CY2024Q3",Spectrum!$R:$R,0)),0),""))</f>
        <v/>
      </c>
      <c r="AE275" s="33">
        <f t="shared" si="74"/>
        <v>0</v>
      </c>
      <c r="AF275" s="218" t="str">
        <f>IF(LEFT($B275,4)="_Mil","",_xlfn.IFNA(ROUND(INDEX(Spectrum!$N:$N,MATCH(RIGHT($B275,13)&amp;"|"&amp;$C275&amp;"|"&amp;$D275&amp;"|"&amp;AF$14&amp;"|"&amp;"CY2024Q3",Spectrum!$R:$R,0)),0),""))</f>
        <v/>
      </c>
      <c r="AG275" s="33" t="str">
        <f t="shared" si="75"/>
        <v/>
      </c>
      <c r="AH275" s="110" t="str">
        <f>IF(LEFT($B275,4)="_Mil","",_xlfn.IFNA(INDEX(Spectrum!$N:$N,MATCH(RIGHT($B275,13)&amp;"|"&amp;$C275&amp;"|"&amp;$D275&amp;"|"&amp;AH$14&amp;"|"&amp;"CY2024Q3",Spectrum!$R:$R,0)),""))</f>
        <v/>
      </c>
      <c r="AI275" s="218">
        <f>IF(LEFT($B275,4)="_Mil","",_xlfn.IFNA(ROUND(INDEX(Spectrum!$N:$N,MATCH(RIGHT($B275,13)&amp;"|"&amp;$C275&amp;"|"&amp;$D275&amp;"|"&amp;AI$14&amp;"|"&amp;"CY2025Q3",Spectrum!$R:$R,0)),0),""))</f>
        <v>20</v>
      </c>
      <c r="AJ275" s="38">
        <f>IF(LEFT($B275,4)="_Mil","",_xlfn.IFNA(ROUND(INDEX(Spectrum!$N:$N,MATCH(RIGHT($B275,13)&amp;"|"&amp;$C275&amp;"|"&amp;$D275&amp;"|"&amp;AJ$14&amp;"|"&amp;"CY2025Q3",Spectrum!$R:$R,0)),0),""))</f>
        <v>827</v>
      </c>
      <c r="AK275" s="218" t="e">
        <f>#REF!</f>
        <v>#REF!</v>
      </c>
      <c r="AL275" s="33">
        <f t="shared" si="76"/>
        <v>0.97521978300000001</v>
      </c>
      <c r="AM275" s="38" t="e">
        <f>IF(OR(LEFT($B275,4)="_Mil",$C275="&lt;01"),"",ROUND(SUM($AK275)*SUM($AL275),0))</f>
        <v>#REF!</v>
      </c>
      <c r="AN275" s="38" t="str">
        <f>IF($C275="&lt;01",ROUND(INDEX(EID!$P:$P,MATCH($B275,EID!$B:$B,0))/2,0),"")</f>
        <v/>
      </c>
      <c r="AO275" s="38" t="e">
        <f>IF($C275="&lt;01",SUM($AN275),ROUND(SUM($AM275)*SUM($O275)/IF(SUM($Z275)=0,1,$Z275),0))</f>
        <v>#REF!</v>
      </c>
      <c r="AP275" s="218">
        <f>IF(OR($F275="",$C275="&lt;01"),$AO275,ROUND($F275,0))</f>
        <v>1008</v>
      </c>
      <c r="AQ275" s="218">
        <f>IF(LEFT($B275,4)="_Mil","",IF(SUM($AP275)=0,SUM($Z275),IF(OR(SUM($Z275)=0,SUM($O275)=0),MAX($AP275,$Z275),ROUND($AP275*$Z275/$O275,0))))</f>
        <v>1102</v>
      </c>
      <c r="AR275" s="33" t="e">
        <f>IF(OR(LEFT($B275,4)="_Mil",SUM($AK275)=0),"",SUM($AQ275)/$AK275)</f>
        <v>#REF!</v>
      </c>
      <c r="AS275" s="33">
        <f>IF($C275="&lt;01","",90%)</f>
        <v>0.9</v>
      </c>
      <c r="AT275" s="33">
        <f>IF($C275="&lt;01","",90%)</f>
        <v>0.9</v>
      </c>
      <c r="AU275" s="38">
        <f>IF($C275="&lt;01","",SUM($AP275)-SUM($O275))</f>
        <v>0</v>
      </c>
      <c r="AV275" s="38">
        <f>IF($C275="&lt;01",ROUND(INDEX(EID!$N:$N,MATCH($B275,EID!$B:$B,0))/2,0),IF(SUM($AT275)=0,"",ROUND((SUM($AP275)-(SUM($O275)*SUM($AS275)))/$AT275,0)))</f>
        <v>112</v>
      </c>
      <c r="AW275" s="33">
        <f t="shared" si="77"/>
        <v>1</v>
      </c>
      <c r="AX275" s="218">
        <f>IF($C275="&lt;01",SUM($AV275),ROUND(SUM($AV275)*SUM($AW275),0))</f>
        <v>112</v>
      </c>
      <c r="AY275" s="79">
        <f t="shared" si="78"/>
        <v>0.7</v>
      </c>
      <c r="AZ275" s="85">
        <f>IF($C275="&lt;01",ROUND(INDEX(EID!$R:$R,MATCH($B275,EID!$B:$B,0))/2,0),ROUND(SUM($O275)+(SUM($AV275)*$AY275),0))</f>
        <v>1086</v>
      </c>
      <c r="BA275" s="40">
        <f t="shared" si="65"/>
        <v>0.9</v>
      </c>
      <c r="BB275" s="99">
        <f>IF($C275="&lt;01",ROUND(INDEX(EID!$T:$T,MATCH($B275,EID!$B:$B,0))/2,0),ROUND($AP275*$BA275,0))</f>
        <v>907</v>
      </c>
      <c r="BC275" s="85">
        <f>IF(LEFT($B275,4)="_Mil","",IF(SUM($BB275)=0,SUM($AD275),IF(OR(SUM($AP275)=0,SUM($AQ275)=0),MAX($BB275,$AD275),ROUND($BB275*$AQ275/$AP275,0))))</f>
        <v>992</v>
      </c>
      <c r="BD275" s="33">
        <f t="shared" si="79"/>
        <v>0.95</v>
      </c>
      <c r="BE275" s="218">
        <f>IF($C275="&lt;01",ROUND(INDEX(EID!$V:$V,MATCH($B275,EID!$B:$B,0))/2,0),ROUND($BD275*$BB275,0))</f>
        <v>862</v>
      </c>
      <c r="BF275" s="218">
        <f>IF(LEFT($B275,4)="_Mil","",IF(SUM($BE275)=0,SUM($AF275),IF(OR(SUM($AP275)=0,SUM($AQ275)=0),MAX($BE275,$AF275),ROUND($BE275*$AQ275/$AP275,0))))</f>
        <v>942</v>
      </c>
      <c r="BG275" s="79">
        <f t="shared" si="80"/>
        <v>0.95</v>
      </c>
      <c r="BH275" s="99">
        <f>IF($C275="&lt;01",ROUND(INDEX(EID!$L:$L,MATCH($B275,EID!$B:$B,0)),0)/2,IF(SUM($BG275)=0,"",ROUND($AX275/$BG275,0)))</f>
        <v>118</v>
      </c>
    </row>
    <row r="276" spans="1:60" x14ac:dyDescent="0.2">
      <c r="A276" t="str">
        <f>INDEX(Prioritization!$D:$D,MATCH($B276,Prioritization!$A:$A,0))</f>
        <v>4 - Sustained</v>
      </c>
      <c r="B276" t="s">
        <v>321</v>
      </c>
      <c r="C276" t="s">
        <v>476</v>
      </c>
      <c r="D276" t="s">
        <v>48</v>
      </c>
      <c r="E276" t="str">
        <f t="shared" si="70"/>
        <v>Neno District [gwVYinjBAe9]|25-34|Male</v>
      </c>
      <c r="F276" s="229">
        <v>304</v>
      </c>
      <c r="G276" s="38">
        <v>65</v>
      </c>
      <c r="H276" s="38">
        <v>67</v>
      </c>
      <c r="I276" s="38">
        <v>242</v>
      </c>
      <c r="J276" s="38">
        <v>189</v>
      </c>
      <c r="K276" s="38">
        <v>182</v>
      </c>
      <c r="L276" s="38">
        <v>18</v>
      </c>
      <c r="M276" s="38">
        <v>17</v>
      </c>
      <c r="N276" s="38">
        <v>411</v>
      </c>
      <c r="O276" s="229">
        <v>304</v>
      </c>
      <c r="P276" s="38">
        <v>365</v>
      </c>
      <c r="Q276" s="38">
        <v>347</v>
      </c>
      <c r="R276" s="38">
        <f t="shared" si="71"/>
        <v>62</v>
      </c>
      <c r="S276" s="38">
        <f>IF(LEFT($B276,4)="_Mil","",_xlfn.IFNA(ROUND(INDEX(Spectrum!$N:$N,MATCH(RIGHT($B276,13)&amp;"|"&amp;$C276&amp;"|"&amp;$D276&amp;"|"&amp;S$14&amp;"|"&amp;"CY2023Q4",Spectrum!$R:$R,0)),0),""))</f>
        <v>361</v>
      </c>
      <c r="T276" s="218">
        <f>IF(LEFT($B276,4)="_Mil","",_xlfn.IFNA(ROUND(INDEX(Spectrum!$N:$N,MATCH(RIGHT($B276,13)&amp;"|"&amp;$C276&amp;"|"&amp;$D276&amp;"|"&amp;T$14&amp;"|"&amp;"CY2024Q3",Spectrum!$R:$R,0)),0),""))</f>
        <v>11371</v>
      </c>
      <c r="U276" s="218">
        <f>IF(LEFT($B276,4)="_Mil","",_xlfn.IFNA(ROUND(INDEX(Spectrum!$N:$N,MATCH(RIGHT($B276,13)&amp;"|"&amp;$C276&amp;"|"&amp;$D276&amp;"|"&amp;U$14&amp;"|"&amp;"CY2024Q3",Spectrum!$R:$R,0)),0),""))</f>
        <v>327</v>
      </c>
      <c r="V276" s="38">
        <f>IF(LEFT($B276,4)="_Mil","",_xlfn.IFNA(ROUND(INDEX(Spectrum!$N:$N,MATCH(RIGHT($B276,13)&amp;"|"&amp;$C276&amp;"|"&amp;$D276&amp;"|"&amp;V$14&amp;"|"&amp;"CY2024Q3",Spectrum!$R:$R,0)),0),""))</f>
        <v>405</v>
      </c>
      <c r="W276" s="220">
        <f>IF(LEFT($B276,4)="_Mil","",_xlfn.IFNA(INDEX(Spectrum!$N:$N,MATCH(RIGHT($B276,13)&amp;"|"&amp;$C276&amp;"|"&amp;$D276&amp;"|"&amp;W$14&amp;"|"&amp;"CY2024Q3",Spectrum!$R:$R,0)),""))</f>
        <v>2.8759356E-2</v>
      </c>
      <c r="X276" s="218">
        <f>IF(LEFT($B276,4)="_Mil","",_xlfn.IFNA(ROUND(INDEX(Spectrum!$N:$N,MATCH(RIGHT($B276,13)&amp;"|"&amp;$C276&amp;"|"&amp;$D276&amp;"|"&amp;X$14&amp;"|"&amp;"CY2024Q3",Spectrum!$R:$R,0)),0),""))</f>
        <v>298</v>
      </c>
      <c r="Y276" s="33">
        <f t="shared" si="72"/>
        <v>0.91</v>
      </c>
      <c r="Z276" s="218">
        <f>IF(LEFT($B276,4)="_Mil","",_xlfn.IFNA(ROUND(INDEX(Spectrum!$N:$N,MATCH(RIGHT($B276,13)&amp;"|"&amp;$C276&amp;"|"&amp;$D276&amp;"|"&amp;Z$14&amp;"|"&amp;"CY2024Q3",Spectrum!$R:$R,0)),0),""))</f>
        <v>360</v>
      </c>
      <c r="AA276" s="33">
        <f>IF(LEFT($B276,4)="_Mil","",IFERROR(1/(1/INDEX(Spectrum!$N:$N,MATCH(RIGHT($B276,13)&amp;"|"&amp;$C276&amp;"|"&amp;$D276&amp;"|"&amp;AA$14&amp;"|"&amp;"CY2024Q3",Spectrum!$R:$R,0))),IF(SUM($U276)=0,"",SUM($Z276)/$U276)))</f>
        <v>0.90508178899999991</v>
      </c>
      <c r="AB276" s="33">
        <f t="shared" si="73"/>
        <v>1.2080536912751678</v>
      </c>
      <c r="AC276" s="38">
        <f>IF(LEFT($B276,4)="_Mil","",_xlfn.IFNA(ROUND(INDEX(Spectrum!$N:$N,MATCH(RIGHT($B276,13)&amp;"|"&amp;$C276&amp;"|"&amp;$D276&amp;"|"&amp;AC$14&amp;"|"&amp;"CY2024Q3",Spectrum!$R:$R,0)),0),""))</f>
        <v>46</v>
      </c>
      <c r="AD276" s="38" t="str">
        <f>IF(LEFT($B276,4)="_Mil","",_xlfn.IFNA(ROUND(INDEX(Spectrum!$N:$N,MATCH(RIGHT($B276,13)&amp;"|"&amp;$C276&amp;"|"&amp;$D276&amp;"|"&amp;AD$14&amp;"|"&amp;"CY2024Q3",Spectrum!$R:$R,0)),0),""))</f>
        <v/>
      </c>
      <c r="AE276" s="33">
        <f t="shared" si="74"/>
        <v>0</v>
      </c>
      <c r="AF276" s="218" t="str">
        <f>IF(LEFT($B276,4)="_Mil","",_xlfn.IFNA(ROUND(INDEX(Spectrum!$N:$N,MATCH(RIGHT($B276,13)&amp;"|"&amp;$C276&amp;"|"&amp;$D276&amp;"|"&amp;AF$14&amp;"|"&amp;"CY2024Q3",Spectrum!$R:$R,0)),0),""))</f>
        <v/>
      </c>
      <c r="AG276" s="33" t="str">
        <f t="shared" si="75"/>
        <v/>
      </c>
      <c r="AH276" s="110" t="str">
        <f>IF(LEFT($B276,4)="_Mil","",_xlfn.IFNA(INDEX(Spectrum!$N:$N,MATCH(RIGHT($B276,13)&amp;"|"&amp;$C276&amp;"|"&amp;$D276&amp;"|"&amp;AH$14&amp;"|"&amp;"CY2024Q3",Spectrum!$R:$R,0)),""))</f>
        <v/>
      </c>
      <c r="AI276" s="218">
        <f>IF(LEFT($B276,4)="_Mil","",_xlfn.IFNA(ROUND(INDEX(Spectrum!$N:$N,MATCH(RIGHT($B276,13)&amp;"|"&amp;$C276&amp;"|"&amp;$D276&amp;"|"&amp;AI$14&amp;"|"&amp;"CY2025Q3",Spectrum!$R:$R,0)),0),""))</f>
        <v>12</v>
      </c>
      <c r="AJ276" s="38">
        <f>IF(LEFT($B276,4)="_Mil","",_xlfn.IFNA(ROUND(INDEX(Spectrum!$N:$N,MATCH(RIGHT($B276,13)&amp;"|"&amp;$C276&amp;"|"&amp;$D276&amp;"|"&amp;AJ$14&amp;"|"&amp;"CY2025Q3",Spectrum!$R:$R,0)),0),""))</f>
        <v>314</v>
      </c>
      <c r="AK276" s="218" t="e">
        <f>#REF!</f>
        <v>#REF!</v>
      </c>
      <c r="AL276" s="33">
        <f t="shared" si="76"/>
        <v>0.90508178899999991</v>
      </c>
      <c r="AM276" s="38" t="e">
        <f>IF(OR(LEFT($B276,4)="_Mil",$C276="&lt;01"),"",ROUND(SUM($AK276)*SUM($AL276),0))</f>
        <v>#REF!</v>
      </c>
      <c r="AN276" s="38" t="str">
        <f>IF($C276="&lt;01",ROUND(INDEX(EID!$P:$P,MATCH($B276,EID!$B:$B,0))/2,0),"")</f>
        <v/>
      </c>
      <c r="AO276" s="38" t="e">
        <f>IF($C276="&lt;01",SUM($AN276),ROUND(SUM($AM276)*SUM($O276)/IF(SUM($Z276)=0,1,$Z276),0))</f>
        <v>#REF!</v>
      </c>
      <c r="AP276" s="218">
        <f>IF(OR($F276="",$C276="&lt;01"),$AO276,ROUND($F276,0))</f>
        <v>304</v>
      </c>
      <c r="AQ276" s="218">
        <f>IF(LEFT($B276,4)="_Mil","",IF(SUM($AP276)=0,SUM($Z276),IF(OR(SUM($Z276)=0,SUM($O276)=0),MAX($AP276,$Z276),ROUND($AP276*$Z276/$O276,0))))</f>
        <v>360</v>
      </c>
      <c r="AR276" s="33" t="e">
        <f>IF(OR(LEFT($B276,4)="_Mil",SUM($AK276)=0),"",SUM($AQ276)/$AK276)</f>
        <v>#REF!</v>
      </c>
      <c r="AS276" s="33">
        <f t="shared" si="69"/>
        <v>0.98</v>
      </c>
      <c r="AT276" s="33">
        <f t="shared" si="66"/>
        <v>0.98</v>
      </c>
      <c r="AU276" s="38">
        <f>IF($C276="&lt;01","",SUM($AP276)-SUM($O276))</f>
        <v>0</v>
      </c>
      <c r="AV276" s="38">
        <f>IF($C276="&lt;01",ROUND(INDEX(EID!$N:$N,MATCH($B276,EID!$B:$B,0))/2,0),IF(SUM($AT276)=0,"",ROUND((SUM($AP276)-(SUM($O276)*SUM($AS276)))/$AT276,0)))</f>
        <v>6</v>
      </c>
      <c r="AW276" s="33">
        <f t="shared" si="77"/>
        <v>1</v>
      </c>
      <c r="AX276" s="218">
        <f>IF($C276="&lt;01",SUM($AV276),ROUND(SUM($AV276)*SUM($AW276),0))</f>
        <v>6</v>
      </c>
      <c r="AY276" s="79">
        <f t="shared" si="78"/>
        <v>0.7</v>
      </c>
      <c r="AZ276" s="85">
        <f>IF($C276="&lt;01",ROUND(INDEX(EID!$R:$R,MATCH($B276,EID!$B:$B,0))/2,0),ROUND(SUM($O276)+(SUM($AV276)*$AY276),0))</f>
        <v>308</v>
      </c>
      <c r="BA276" s="40">
        <f t="shared" si="65"/>
        <v>0.9</v>
      </c>
      <c r="BB276" s="99">
        <f>IF($C276="&lt;01",ROUND(INDEX(EID!$T:$T,MATCH($B276,EID!$B:$B,0))/2,0),ROUND($AP276*$BA276,0))</f>
        <v>274</v>
      </c>
      <c r="BC276" s="85">
        <f>IF(LEFT($B276,4)="_Mil","",IF(SUM($BB276)=0,SUM($AD276),IF(OR(SUM($AP276)=0,SUM($AQ276)=0),MAX($BB276,$AD276),ROUND($BB276*$AQ276/$AP276,0))))</f>
        <v>324</v>
      </c>
      <c r="BD276" s="33">
        <f t="shared" si="79"/>
        <v>0.95</v>
      </c>
      <c r="BE276" s="218">
        <f>IF($C276="&lt;01",ROUND(INDEX(EID!$V:$V,MATCH($B276,EID!$B:$B,0))/2,0),ROUND($BD276*$BB276,0))</f>
        <v>260</v>
      </c>
      <c r="BF276" s="218">
        <f>IF(LEFT($B276,4)="_Mil","",IF(SUM($BE276)=0,SUM($AF276),IF(OR(SUM($AP276)=0,SUM($AQ276)=0),MAX($BE276,$AF276),ROUND($BE276*$AQ276/$AP276,0))))</f>
        <v>308</v>
      </c>
      <c r="BG276" s="79">
        <f t="shared" si="80"/>
        <v>0.95</v>
      </c>
      <c r="BH276" s="99">
        <f>IF($C276="&lt;01",ROUND(INDEX(EID!$L:$L,MATCH($B276,EID!$B:$B,0)),0)/2,IF(SUM($BG276)=0,"",ROUND($AX276/$BG276,0)))</f>
        <v>6</v>
      </c>
    </row>
    <row r="277" spans="1:60" x14ac:dyDescent="0.2">
      <c r="A277" t="str">
        <f>INDEX(Prioritization!$D:$D,MATCH($B277,Prioritization!$A:$A,0))</f>
        <v>4 - Sustained</v>
      </c>
      <c r="B277" t="s">
        <v>321</v>
      </c>
      <c r="C277" t="s">
        <v>477</v>
      </c>
      <c r="D277" t="s">
        <v>30</v>
      </c>
      <c r="E277" t="str">
        <f t="shared" si="70"/>
        <v>Neno District [gwVYinjBAe9]|35-49|Female</v>
      </c>
      <c r="F277" s="229">
        <v>2716</v>
      </c>
      <c r="G277" s="38">
        <v>82</v>
      </c>
      <c r="H277" s="38">
        <v>82</v>
      </c>
      <c r="I277" s="38">
        <v>2716</v>
      </c>
      <c r="J277" s="38">
        <v>1843</v>
      </c>
      <c r="K277" s="38">
        <v>1744</v>
      </c>
      <c r="L277" s="38">
        <v>252</v>
      </c>
      <c r="M277" s="38">
        <v>247</v>
      </c>
      <c r="N277" s="38">
        <v>2813</v>
      </c>
      <c r="O277" s="229">
        <v>2716</v>
      </c>
      <c r="P277" s="38">
        <v>2394</v>
      </c>
      <c r="Q277" s="38">
        <v>2274</v>
      </c>
      <c r="R277" s="38">
        <f t="shared" si="71"/>
        <v>0</v>
      </c>
      <c r="S277" s="38">
        <f>IF(LEFT($B277,4)="_Mil","",_xlfn.IFNA(ROUND(INDEX(Spectrum!$N:$N,MATCH(RIGHT($B277,13)&amp;"|"&amp;$C277&amp;"|"&amp;$D277&amp;"|"&amp;S$14&amp;"|"&amp;"CY2023Q4",Spectrum!$R:$R,0)),0),""))</f>
        <v>2838</v>
      </c>
      <c r="T277" s="218">
        <f>IF(LEFT($B277,4)="_Mil","",_xlfn.IFNA(ROUND(INDEX(Spectrum!$N:$N,MATCH(RIGHT($B277,13)&amp;"|"&amp;$C277&amp;"|"&amp;$D277&amp;"|"&amp;T$14&amp;"|"&amp;"CY2024Q3",Spectrum!$R:$R,0)),0),""))</f>
        <v>12244</v>
      </c>
      <c r="U277" s="218">
        <f>IF(LEFT($B277,4)="_Mil","",_xlfn.IFNA(ROUND(INDEX(Spectrum!$N:$N,MATCH(RIGHT($B277,13)&amp;"|"&amp;$C277&amp;"|"&amp;$D277&amp;"|"&amp;U$14&amp;"|"&amp;"CY2024Q3",Spectrum!$R:$R,0)),0),""))</f>
        <v>2249</v>
      </c>
      <c r="V277" s="38">
        <f>IF(LEFT($B277,4)="_Mil","",_xlfn.IFNA(ROUND(INDEX(Spectrum!$N:$N,MATCH(RIGHT($B277,13)&amp;"|"&amp;$C277&amp;"|"&amp;$D277&amp;"|"&amp;V$14&amp;"|"&amp;"CY2024Q3",Spectrum!$R:$R,0)),0),""))</f>
        <v>2882</v>
      </c>
      <c r="W277" s="220">
        <f>IF(LEFT($B277,4)="_Mil","",_xlfn.IFNA(INDEX(Spectrum!$N:$N,MATCH(RIGHT($B277,13)&amp;"|"&amp;$C277&amp;"|"&amp;$D277&amp;"|"&amp;W$14&amp;"|"&amp;"CY2024Q3",Spectrum!$R:$R,0)),""))</f>
        <v>0.18365247800000001</v>
      </c>
      <c r="X277" s="218">
        <f>IF(LEFT($B277,4)="_Mil","",_xlfn.IFNA(ROUND(INDEX(Spectrum!$N:$N,MATCH(RIGHT($B277,13)&amp;"|"&amp;$C277&amp;"|"&amp;$D277&amp;"|"&amp;X$14&amp;"|"&amp;"CY2024Q3",Spectrum!$R:$R,0)),0),""))</f>
        <v>2222</v>
      </c>
      <c r="Y277" s="33">
        <f t="shared" si="72"/>
        <v>0.99</v>
      </c>
      <c r="Z277" s="218">
        <f>IF(LEFT($B277,4)="_Mil","",_xlfn.IFNA(ROUND(INDEX(Spectrum!$N:$N,MATCH(RIGHT($B277,13)&amp;"|"&amp;$C277&amp;"|"&amp;$D277&amp;"|"&amp;Z$14&amp;"|"&amp;"CY2024Q3",Spectrum!$R:$R,0)),0),""))</f>
        <v>2841</v>
      </c>
      <c r="AA277" s="33">
        <f>IF(LEFT($B277,4)="_Mil","",IFERROR(1/(1/INDEX(Spectrum!$N:$N,MATCH(RIGHT($B277,13)&amp;"|"&amp;$C277&amp;"|"&amp;$D277&amp;"|"&amp;AA$14&amp;"|"&amp;"CY2024Q3",Spectrum!$R:$R,0))),IF(SUM($U277)=0,"",SUM($Z277)/$U277)))</f>
        <v>0.98782882500000002</v>
      </c>
      <c r="AB277" s="33">
        <f t="shared" si="73"/>
        <v>1.2785778577857785</v>
      </c>
      <c r="AC277" s="38">
        <f>IF(LEFT($B277,4)="_Mil","",_xlfn.IFNA(ROUND(INDEX(Spectrum!$N:$N,MATCH(RIGHT($B277,13)&amp;"|"&amp;$C277&amp;"|"&amp;$D277&amp;"|"&amp;AC$14&amp;"|"&amp;"CY2024Q3",Spectrum!$R:$R,0)),0),""))</f>
        <v>41</v>
      </c>
      <c r="AD277" s="38" t="str">
        <f>IF(LEFT($B277,4)="_Mil","",_xlfn.IFNA(ROUND(INDEX(Spectrum!$N:$N,MATCH(RIGHT($B277,13)&amp;"|"&amp;$C277&amp;"|"&amp;$D277&amp;"|"&amp;AD$14&amp;"|"&amp;"CY2024Q3",Spectrum!$R:$R,0)),0),""))</f>
        <v/>
      </c>
      <c r="AE277" s="33">
        <f t="shared" si="74"/>
        <v>0</v>
      </c>
      <c r="AF277" s="218" t="str">
        <f>IF(LEFT($B277,4)="_Mil","",_xlfn.IFNA(ROUND(INDEX(Spectrum!$N:$N,MATCH(RIGHT($B277,13)&amp;"|"&amp;$C277&amp;"|"&amp;$D277&amp;"|"&amp;AF$14&amp;"|"&amp;"CY2024Q3",Spectrum!$R:$R,0)),0),""))</f>
        <v/>
      </c>
      <c r="AG277" s="33" t="str">
        <f t="shared" si="75"/>
        <v/>
      </c>
      <c r="AH277" s="110" t="str">
        <f>IF(LEFT($B277,4)="_Mil","",_xlfn.IFNA(INDEX(Spectrum!$N:$N,MATCH(RIGHT($B277,13)&amp;"|"&amp;$C277&amp;"|"&amp;$D277&amp;"|"&amp;AH$14&amp;"|"&amp;"CY2024Q3",Spectrum!$R:$R,0)),""))</f>
        <v/>
      </c>
      <c r="AI277" s="218">
        <f>IF(LEFT($B277,4)="_Mil","",_xlfn.IFNA(ROUND(INDEX(Spectrum!$N:$N,MATCH(RIGHT($B277,13)&amp;"|"&amp;$C277&amp;"|"&amp;$D277&amp;"|"&amp;AI$14&amp;"|"&amp;"CY2025Q3",Spectrum!$R:$R,0)),0),""))</f>
        <v>10</v>
      </c>
      <c r="AJ277" s="38">
        <f>IF(LEFT($B277,4)="_Mil","",_xlfn.IFNA(ROUND(INDEX(Spectrum!$N:$N,MATCH(RIGHT($B277,13)&amp;"|"&amp;$C277&amp;"|"&amp;$D277&amp;"|"&amp;AJ$14&amp;"|"&amp;"CY2025Q3",Spectrum!$R:$R,0)),0),""))</f>
        <v>2241</v>
      </c>
      <c r="AK277" s="218" t="e">
        <f>#REF!</f>
        <v>#REF!</v>
      </c>
      <c r="AL277" s="33">
        <f t="shared" si="76"/>
        <v>0.98782882500000002</v>
      </c>
      <c r="AM277" s="38" t="e">
        <f>IF(OR(LEFT($B277,4)="_Mil",$C277="&lt;01"),"",ROUND(SUM($AK277)*SUM($AL277),0))</f>
        <v>#REF!</v>
      </c>
      <c r="AN277" s="38" t="str">
        <f>IF($C277="&lt;01",ROUND(INDEX(EID!$P:$P,MATCH($B277,EID!$B:$B,0))/2,0),"")</f>
        <v/>
      </c>
      <c r="AO277" s="38" t="e">
        <f>IF($C277="&lt;01",SUM($AN277),ROUND(SUM($AM277)*SUM($O277)/IF(SUM($Z277)=0,1,$Z277),0))</f>
        <v>#REF!</v>
      </c>
      <c r="AP277" s="218">
        <f>IF(OR($F277="",$C277="&lt;01"),$AO277,ROUND($F277,0))</f>
        <v>2716</v>
      </c>
      <c r="AQ277" s="218">
        <f>IF(LEFT($B277,4)="_Mil","",IF(SUM($AP277)=0,SUM($Z277),IF(OR(SUM($Z277)=0,SUM($O277)=0),MAX($AP277,$Z277),ROUND($AP277*$Z277/$O277,0))))</f>
        <v>2841</v>
      </c>
      <c r="AR277" s="33" t="e">
        <f>IF(OR(LEFT($B277,4)="_Mil",SUM($AK277)=0),"",SUM($AQ277)/$AK277)</f>
        <v>#REF!</v>
      </c>
      <c r="AS277" s="33">
        <f t="shared" si="69"/>
        <v>0.98</v>
      </c>
      <c r="AT277" s="33">
        <f t="shared" si="66"/>
        <v>0.98</v>
      </c>
      <c r="AU277" s="38">
        <f>IF($C277="&lt;01","",SUM($AP277)-SUM($O277))</f>
        <v>0</v>
      </c>
      <c r="AV277" s="38">
        <f>IF($C277="&lt;01",ROUND(INDEX(EID!$N:$N,MATCH($B277,EID!$B:$B,0))/2,0),IF(SUM($AT277)=0,"",ROUND((SUM($AP277)-(SUM($O277)*SUM($AS277)))/$AT277,0)))</f>
        <v>55</v>
      </c>
      <c r="AW277" s="33">
        <f t="shared" si="77"/>
        <v>1</v>
      </c>
      <c r="AX277" s="218">
        <f>IF($C277="&lt;01",SUM($AV277),ROUND(SUM($AV277)*SUM($AW277),0))</f>
        <v>55</v>
      </c>
      <c r="AY277" s="79">
        <f t="shared" si="78"/>
        <v>0.7</v>
      </c>
      <c r="AZ277" s="85">
        <f>IF($C277="&lt;01",ROUND(INDEX(EID!$R:$R,MATCH($B277,EID!$B:$B,0))/2,0),ROUND(SUM($O277)+(SUM($AV277)*$AY277),0))</f>
        <v>2755</v>
      </c>
      <c r="BA277" s="40">
        <f t="shared" si="65"/>
        <v>0.9</v>
      </c>
      <c r="BB277" s="99">
        <f>IF($C277="&lt;01",ROUND(INDEX(EID!$T:$T,MATCH($B277,EID!$B:$B,0))/2,0),ROUND($AP277*$BA277,0))</f>
        <v>2444</v>
      </c>
      <c r="BC277" s="85">
        <f>IF(LEFT($B277,4)="_Mil","",IF(SUM($BB277)=0,SUM($AD277),IF(OR(SUM($AP277)=0,SUM($AQ277)=0),MAX($BB277,$AD277),ROUND($BB277*$AQ277/$AP277,0))))</f>
        <v>2556</v>
      </c>
      <c r="BD277" s="33">
        <f t="shared" si="79"/>
        <v>0.95</v>
      </c>
      <c r="BE277" s="218">
        <f>IF($C277="&lt;01",ROUND(INDEX(EID!$V:$V,MATCH($B277,EID!$B:$B,0))/2,0),ROUND($BD277*$BB277,0))</f>
        <v>2322</v>
      </c>
      <c r="BF277" s="218">
        <f>IF(LEFT($B277,4)="_Mil","",IF(SUM($BE277)=0,SUM($AF277),IF(OR(SUM($AP277)=0,SUM($AQ277)=0),MAX($BE277,$AF277),ROUND($BE277*$AQ277/$AP277,0))))</f>
        <v>2429</v>
      </c>
      <c r="BG277" s="79">
        <f t="shared" si="80"/>
        <v>0.95</v>
      </c>
      <c r="BH277" s="99">
        <f>IF($C277="&lt;01",ROUND(INDEX(EID!$L:$L,MATCH($B277,EID!$B:$B,0)),0)/2,IF(SUM($BG277)=0,"",ROUND($AX277/$BG277,0)))</f>
        <v>58</v>
      </c>
    </row>
    <row r="278" spans="1:60" x14ac:dyDescent="0.2">
      <c r="A278" t="str">
        <f>INDEX(Prioritization!$D:$D,MATCH($B278,Prioritization!$A:$A,0))</f>
        <v>4 - Sustained</v>
      </c>
      <c r="B278" t="s">
        <v>321</v>
      </c>
      <c r="C278" t="s">
        <v>477</v>
      </c>
      <c r="D278" t="s">
        <v>48</v>
      </c>
      <c r="E278" t="str">
        <f t="shared" si="70"/>
        <v>Neno District [gwVYinjBAe9]|35-49|Male</v>
      </c>
      <c r="F278" s="229">
        <v>1178</v>
      </c>
      <c r="G278" s="38">
        <v>80</v>
      </c>
      <c r="H278" s="38">
        <v>89</v>
      </c>
      <c r="I278" s="38">
        <v>1178</v>
      </c>
      <c r="J278" s="38">
        <v>913</v>
      </c>
      <c r="K278" s="38">
        <v>847</v>
      </c>
      <c r="L278" s="38">
        <v>34</v>
      </c>
      <c r="M278" s="38">
        <v>32</v>
      </c>
      <c r="N278" s="38">
        <v>1420</v>
      </c>
      <c r="O278" s="229">
        <v>1178</v>
      </c>
      <c r="P278" s="38">
        <v>1273</v>
      </c>
      <c r="Q278" s="38">
        <v>1209</v>
      </c>
      <c r="R278" s="38">
        <f t="shared" si="71"/>
        <v>0</v>
      </c>
      <c r="S278" s="38">
        <f>IF(LEFT($B278,4)="_Mil","",_xlfn.IFNA(ROUND(INDEX(Spectrum!$N:$N,MATCH(RIGHT($B278,13)&amp;"|"&amp;$C278&amp;"|"&amp;$D278&amp;"|"&amp;S$14&amp;"|"&amp;"CY2023Q4",Spectrum!$R:$R,0)),0),""))</f>
        <v>1364</v>
      </c>
      <c r="T278" s="218">
        <f>IF(LEFT($B278,4)="_Mil","",_xlfn.IFNA(ROUND(INDEX(Spectrum!$N:$N,MATCH(RIGHT($B278,13)&amp;"|"&amp;$C278&amp;"|"&amp;$D278&amp;"|"&amp;T$14&amp;"|"&amp;"CY2024Q3",Spectrum!$R:$R,0)),0),""))</f>
        <v>10319</v>
      </c>
      <c r="U278" s="218">
        <f>IF(LEFT($B278,4)="_Mil","",_xlfn.IFNA(ROUND(INDEX(Spectrum!$N:$N,MATCH(RIGHT($B278,13)&amp;"|"&amp;$C278&amp;"|"&amp;$D278&amp;"|"&amp;U$14&amp;"|"&amp;"CY2024Q3",Spectrum!$R:$R,0)),0),""))</f>
        <v>1175</v>
      </c>
      <c r="V278" s="38">
        <f>IF(LEFT($B278,4)="_Mil","",_xlfn.IFNA(ROUND(INDEX(Spectrum!$N:$N,MATCH(RIGHT($B278,13)&amp;"|"&amp;$C278&amp;"|"&amp;$D278&amp;"|"&amp;V$14&amp;"|"&amp;"CY2024Q3",Spectrum!$R:$R,0)),0),""))</f>
        <v>1454</v>
      </c>
      <c r="W278" s="220">
        <f>IF(LEFT($B278,4)="_Mil","",_xlfn.IFNA(INDEX(Spectrum!$N:$N,MATCH(RIGHT($B278,13)&amp;"|"&amp;$C278&amp;"|"&amp;$D278&amp;"|"&amp;W$14&amp;"|"&amp;"CY2024Q3",Spectrum!$R:$R,0)),""))</f>
        <v>0.11387313</v>
      </c>
      <c r="X278" s="218">
        <f>IF(LEFT($B278,4)="_Mil","",_xlfn.IFNA(ROUND(INDEX(Spectrum!$N:$N,MATCH(RIGHT($B278,13)&amp;"|"&amp;$C278&amp;"|"&amp;$D278&amp;"|"&amp;X$14&amp;"|"&amp;"CY2024Q3",Spectrum!$R:$R,0)),0),""))</f>
        <v>1111</v>
      </c>
      <c r="Y278" s="33">
        <f t="shared" si="72"/>
        <v>0.95</v>
      </c>
      <c r="Z278" s="218">
        <f>IF(LEFT($B278,4)="_Mil","",_xlfn.IFNA(ROUND(INDEX(Spectrum!$N:$N,MATCH(RIGHT($B278,13)&amp;"|"&amp;$C278&amp;"|"&amp;$D278&amp;"|"&amp;Z$14&amp;"|"&amp;"CY2024Q3",Spectrum!$R:$R,0)),0),""))</f>
        <v>1351</v>
      </c>
      <c r="AA278" s="33">
        <f>IF(LEFT($B278,4)="_Mil","",IFERROR(1/(1/INDEX(Spectrum!$N:$N,MATCH(RIGHT($B278,13)&amp;"|"&amp;$C278&amp;"|"&amp;$D278&amp;"|"&amp;AA$14&amp;"|"&amp;"CY2024Q3",Spectrum!$R:$R,0))),IF(SUM($U278)=0,"",SUM($Z278)/$U278)))</f>
        <v>0.94254833299999985</v>
      </c>
      <c r="AB278" s="33">
        <f t="shared" si="73"/>
        <v>1.2160216021602159</v>
      </c>
      <c r="AC278" s="38">
        <f>IF(LEFT($B278,4)="_Mil","",_xlfn.IFNA(ROUND(INDEX(Spectrum!$N:$N,MATCH(RIGHT($B278,13)&amp;"|"&amp;$C278&amp;"|"&amp;$D278&amp;"|"&amp;AC$14&amp;"|"&amp;"CY2024Q3",Spectrum!$R:$R,0)),0),""))</f>
        <v>103</v>
      </c>
      <c r="AD278" s="38" t="str">
        <f>IF(LEFT($B278,4)="_Mil","",_xlfn.IFNA(ROUND(INDEX(Spectrum!$N:$N,MATCH(RIGHT($B278,13)&amp;"|"&amp;$C278&amp;"|"&amp;$D278&amp;"|"&amp;AD$14&amp;"|"&amp;"CY2024Q3",Spectrum!$R:$R,0)),0),""))</f>
        <v/>
      </c>
      <c r="AE278" s="33">
        <f t="shared" si="74"/>
        <v>0</v>
      </c>
      <c r="AF278" s="218" t="str">
        <f>IF(LEFT($B278,4)="_Mil","",_xlfn.IFNA(ROUND(INDEX(Spectrum!$N:$N,MATCH(RIGHT($B278,13)&amp;"|"&amp;$C278&amp;"|"&amp;$D278&amp;"|"&amp;AF$14&amp;"|"&amp;"CY2024Q3",Spectrum!$R:$R,0)),0),""))</f>
        <v/>
      </c>
      <c r="AG278" s="33" t="str">
        <f t="shared" si="75"/>
        <v/>
      </c>
      <c r="AH278" s="110" t="str">
        <f>IF(LEFT($B278,4)="_Mil","",_xlfn.IFNA(INDEX(Spectrum!$N:$N,MATCH(RIGHT($B278,13)&amp;"|"&amp;$C278&amp;"|"&amp;$D278&amp;"|"&amp;AH$14&amp;"|"&amp;"CY2024Q3",Spectrum!$R:$R,0)),""))</f>
        <v/>
      </c>
      <c r="AI278" s="218">
        <f>IF(LEFT($B278,4)="_Mil","",_xlfn.IFNA(ROUND(INDEX(Spectrum!$N:$N,MATCH(RIGHT($B278,13)&amp;"|"&amp;$C278&amp;"|"&amp;$D278&amp;"|"&amp;AI$14&amp;"|"&amp;"CY2025Q3",Spectrum!$R:$R,0)),0),""))</f>
        <v>11</v>
      </c>
      <c r="AJ278" s="38">
        <f>IF(LEFT($B278,4)="_Mil","",_xlfn.IFNA(ROUND(INDEX(Spectrum!$N:$N,MATCH(RIGHT($B278,13)&amp;"|"&amp;$C278&amp;"|"&amp;$D278&amp;"|"&amp;AJ$14&amp;"|"&amp;"CY2025Q3",Spectrum!$R:$R,0)),0),""))</f>
        <v>1123</v>
      </c>
      <c r="AK278" s="218" t="e">
        <f>#REF!</f>
        <v>#REF!</v>
      </c>
      <c r="AL278" s="33">
        <f t="shared" si="76"/>
        <v>0.94254833299999985</v>
      </c>
      <c r="AM278" s="38" t="e">
        <f>IF(OR(LEFT($B278,4)="_Mil",$C278="&lt;01"),"",ROUND(SUM($AK278)*SUM($AL278),0))</f>
        <v>#REF!</v>
      </c>
      <c r="AN278" s="38" t="str">
        <f>IF($C278="&lt;01",ROUND(INDEX(EID!$P:$P,MATCH($B278,EID!$B:$B,0))/2,0),"")</f>
        <v/>
      </c>
      <c r="AO278" s="38" t="e">
        <f>IF($C278="&lt;01",SUM($AN278),ROUND(SUM($AM278)*SUM($O278)/IF(SUM($Z278)=0,1,$Z278),0))</f>
        <v>#REF!</v>
      </c>
      <c r="AP278" s="218">
        <f>IF(OR($F278="",$C278="&lt;01"),$AO278,ROUND($F278,0))</f>
        <v>1178</v>
      </c>
      <c r="AQ278" s="218">
        <f>IF(LEFT($B278,4)="_Mil","",IF(SUM($AP278)=0,SUM($Z278),IF(OR(SUM($Z278)=0,SUM($O278)=0),MAX($AP278,$Z278),ROUND($AP278*$Z278/$O278,0))))</f>
        <v>1351</v>
      </c>
      <c r="AR278" s="33" t="e">
        <f>IF(OR(LEFT($B278,4)="_Mil",SUM($AK278)=0),"",SUM($AQ278)/$AK278)</f>
        <v>#REF!</v>
      </c>
      <c r="AS278" s="33">
        <f t="shared" si="69"/>
        <v>0.98</v>
      </c>
      <c r="AT278" s="33">
        <f t="shared" si="66"/>
        <v>0.98</v>
      </c>
      <c r="AU278" s="38">
        <f>IF($C278="&lt;01","",SUM($AP278)-SUM($O278))</f>
        <v>0</v>
      </c>
      <c r="AV278" s="38">
        <f>IF($C278="&lt;01",ROUND(INDEX(EID!$N:$N,MATCH($B278,EID!$B:$B,0))/2,0),IF(SUM($AT278)=0,"",ROUND((SUM($AP278)-(SUM($O278)*SUM($AS278)))/$AT278,0)))</f>
        <v>24</v>
      </c>
      <c r="AW278" s="33">
        <f t="shared" si="77"/>
        <v>1</v>
      </c>
      <c r="AX278" s="218">
        <f>IF($C278="&lt;01",SUM($AV278),ROUND(SUM($AV278)*SUM($AW278),0))</f>
        <v>24</v>
      </c>
      <c r="AY278" s="79">
        <f t="shared" si="78"/>
        <v>0.7</v>
      </c>
      <c r="AZ278" s="85">
        <f>IF($C278="&lt;01",ROUND(INDEX(EID!$R:$R,MATCH($B278,EID!$B:$B,0))/2,0),ROUND(SUM($O278)+(SUM($AV278)*$AY278),0))</f>
        <v>1195</v>
      </c>
      <c r="BA278" s="40">
        <f t="shared" si="65"/>
        <v>0.9</v>
      </c>
      <c r="BB278" s="99">
        <f>IF($C278="&lt;01",ROUND(INDEX(EID!$T:$T,MATCH($B278,EID!$B:$B,0))/2,0),ROUND($AP278*$BA278,0))</f>
        <v>1060</v>
      </c>
      <c r="BC278" s="85">
        <f>IF(LEFT($B278,4)="_Mil","",IF(SUM($BB278)=0,SUM($AD278),IF(OR(SUM($AP278)=0,SUM($AQ278)=0),MAX($BB278,$AD278),ROUND($BB278*$AQ278/$AP278,0))))</f>
        <v>1216</v>
      </c>
      <c r="BD278" s="33">
        <f t="shared" si="79"/>
        <v>0.95</v>
      </c>
      <c r="BE278" s="218">
        <f>IF($C278="&lt;01",ROUND(INDEX(EID!$V:$V,MATCH($B278,EID!$B:$B,0))/2,0),ROUND($BD278*$BB278,0))</f>
        <v>1007</v>
      </c>
      <c r="BF278" s="218">
        <f>IF(LEFT($B278,4)="_Mil","",IF(SUM($BE278)=0,SUM($AF278),IF(OR(SUM($AP278)=0,SUM($AQ278)=0),MAX($BE278,$AF278),ROUND($BE278*$AQ278/$AP278,0))))</f>
        <v>1155</v>
      </c>
      <c r="BG278" s="79">
        <f t="shared" si="80"/>
        <v>0.95</v>
      </c>
      <c r="BH278" s="99">
        <f>IF($C278="&lt;01",ROUND(INDEX(EID!$L:$L,MATCH($B278,EID!$B:$B,0)),0)/2,IF(SUM($BG278)=0,"",ROUND($AX278/$BG278,0)))</f>
        <v>25</v>
      </c>
    </row>
    <row r="279" spans="1:60" x14ac:dyDescent="0.2">
      <c r="A279" t="str">
        <f>INDEX(Prioritization!$D:$D,MATCH($B279,Prioritization!$A:$A,0))</f>
        <v>4 - Sustained</v>
      </c>
      <c r="B279" t="s">
        <v>321</v>
      </c>
      <c r="C279" t="s">
        <v>478</v>
      </c>
      <c r="D279" t="s">
        <v>30</v>
      </c>
      <c r="E279" t="str">
        <f t="shared" si="70"/>
        <v>Neno District [gwVYinjBAe9]|50+|Female</v>
      </c>
      <c r="F279" s="229">
        <v>1488</v>
      </c>
      <c r="G279" s="38">
        <v>24</v>
      </c>
      <c r="H279" s="38">
        <v>32</v>
      </c>
      <c r="I279" s="38">
        <v>1435</v>
      </c>
      <c r="J279" s="38">
        <v>867</v>
      </c>
      <c r="K279" s="38">
        <v>826</v>
      </c>
      <c r="L279" s="38">
        <v>43</v>
      </c>
      <c r="M279" s="38">
        <v>42</v>
      </c>
      <c r="N279" s="38">
        <v>1288</v>
      </c>
      <c r="O279" s="229">
        <v>1376</v>
      </c>
      <c r="P279" s="38">
        <v>1145</v>
      </c>
      <c r="Q279" s="38">
        <v>1088</v>
      </c>
      <c r="R279" s="38">
        <f t="shared" si="71"/>
        <v>-59</v>
      </c>
      <c r="S279" s="38">
        <f>IF(LEFT($B279,4)="_Mil","",_xlfn.IFNA(ROUND(INDEX(Spectrum!$N:$N,MATCH(RIGHT($B279,13)&amp;"|"&amp;$C279&amp;"|"&amp;$D279&amp;"|"&amp;S$14&amp;"|"&amp;"CY2023Q4",Spectrum!$R:$R,0)),0),""))</f>
        <v>1286</v>
      </c>
      <c r="T279" s="218">
        <f>IF(LEFT($B279,4)="_Mil","",_xlfn.IFNA(ROUND(INDEX(Spectrum!$N:$N,MATCH(RIGHT($B279,13)&amp;"|"&amp;$C279&amp;"|"&amp;$D279&amp;"|"&amp;T$14&amp;"|"&amp;"CY2024Q3",Spectrum!$R:$R,0)),0),""))</f>
        <v>6870</v>
      </c>
      <c r="U279" s="218">
        <f>IF(LEFT($B279,4)="_Mil","",_xlfn.IFNA(ROUND(INDEX(Spectrum!$N:$N,MATCH(RIGHT($B279,13)&amp;"|"&amp;$C279&amp;"|"&amp;$D279&amp;"|"&amp;U$14&amp;"|"&amp;"CY2024Q3",Spectrum!$R:$R,0)),0),""))</f>
        <v>1063</v>
      </c>
      <c r="V279" s="38">
        <f>IF(LEFT($B279,4)="_Mil","",_xlfn.IFNA(ROUND(INDEX(Spectrum!$N:$N,MATCH(RIGHT($B279,13)&amp;"|"&amp;$C279&amp;"|"&amp;$D279&amp;"|"&amp;V$14&amp;"|"&amp;"CY2024Q3",Spectrum!$R:$R,0)),0),""))</f>
        <v>1376</v>
      </c>
      <c r="W279" s="220">
        <f>IF(LEFT($B279,4)="_Mil","",_xlfn.IFNA(INDEX(Spectrum!$N:$N,MATCH(RIGHT($B279,13)&amp;"|"&amp;$C279&amp;"|"&amp;$D279&amp;"|"&amp;W$14&amp;"|"&amp;"CY2024Q3",Spectrum!$R:$R,0)),""))</f>
        <v>0.154734388</v>
      </c>
      <c r="X279" s="218">
        <f>IF(LEFT($B279,4)="_Mil","",_xlfn.IFNA(ROUND(INDEX(Spectrum!$N:$N,MATCH(RIGHT($B279,13)&amp;"|"&amp;$C279&amp;"|"&amp;$D279&amp;"|"&amp;X$14&amp;"|"&amp;"CY2024Q3",Spectrum!$R:$R,0)),0),""))</f>
        <v>1056</v>
      </c>
      <c r="Y279" s="33">
        <f t="shared" si="72"/>
        <v>0.99</v>
      </c>
      <c r="Z279" s="218">
        <f>IF(LEFT($B279,4)="_Mil","",_xlfn.IFNA(ROUND(INDEX(Spectrum!$N:$N,MATCH(RIGHT($B279,13)&amp;"|"&amp;$C279&amp;"|"&amp;$D279&amp;"|"&amp;Z$14&amp;"|"&amp;"CY2024Q3",Spectrum!$R:$R,0)),0),""))</f>
        <v>1364</v>
      </c>
      <c r="AA279" s="33">
        <f>IF(LEFT($B279,4)="_Mil","",IFERROR(1/(1/INDEX(Spectrum!$N:$N,MATCH(RIGHT($B279,13)&amp;"|"&amp;$C279&amp;"|"&amp;$D279&amp;"|"&amp;AA$14&amp;"|"&amp;"CY2024Q3",Spectrum!$R:$R,0))),IF(SUM($U279)=0,"",SUM($Z279)/$U279)))</f>
        <v>0.99166011200000004</v>
      </c>
      <c r="AB279" s="33">
        <f t="shared" si="73"/>
        <v>1.2916666666666667</v>
      </c>
      <c r="AC279" s="38">
        <f>IF(LEFT($B279,4)="_Mil","",_xlfn.IFNA(ROUND(INDEX(Spectrum!$N:$N,MATCH(RIGHT($B279,13)&amp;"|"&amp;$C279&amp;"|"&amp;$D279&amp;"|"&amp;AC$14&amp;"|"&amp;"CY2024Q3",Spectrum!$R:$R,0)),0),""))</f>
        <v>12</v>
      </c>
      <c r="AD279" s="38" t="str">
        <f>IF(LEFT($B279,4)="_Mil","",_xlfn.IFNA(ROUND(INDEX(Spectrum!$N:$N,MATCH(RIGHT($B279,13)&amp;"|"&amp;$C279&amp;"|"&amp;$D279&amp;"|"&amp;AD$14&amp;"|"&amp;"CY2024Q3",Spectrum!$R:$R,0)),0),""))</f>
        <v/>
      </c>
      <c r="AE279" s="33">
        <f t="shared" si="74"/>
        <v>0</v>
      </c>
      <c r="AF279" s="218" t="str">
        <f>IF(LEFT($B279,4)="_Mil","",_xlfn.IFNA(ROUND(INDEX(Spectrum!$N:$N,MATCH(RIGHT($B279,13)&amp;"|"&amp;$C279&amp;"|"&amp;$D279&amp;"|"&amp;AF$14&amp;"|"&amp;"CY2024Q3",Spectrum!$R:$R,0)),0),""))</f>
        <v/>
      </c>
      <c r="AG279" s="33" t="str">
        <f t="shared" si="75"/>
        <v/>
      </c>
      <c r="AH279" s="110" t="str">
        <f>IF(LEFT($B279,4)="_Mil","",_xlfn.IFNA(INDEX(Spectrum!$N:$N,MATCH(RIGHT($B279,13)&amp;"|"&amp;$C279&amp;"|"&amp;$D279&amp;"|"&amp;AH$14&amp;"|"&amp;"CY2024Q3",Spectrum!$R:$R,0)),""))</f>
        <v/>
      </c>
      <c r="AI279" s="218">
        <f>IF(LEFT($B279,4)="_Mil","",_xlfn.IFNA(ROUND(INDEX(Spectrum!$N:$N,MATCH(RIGHT($B279,13)&amp;"|"&amp;$C279&amp;"|"&amp;$D279&amp;"|"&amp;AI$14&amp;"|"&amp;"CY2025Q3",Spectrum!$R:$R,0)),0),""))</f>
        <v>2</v>
      </c>
      <c r="AJ279" s="38">
        <f>IF(LEFT($B279,4)="_Mil","",_xlfn.IFNA(ROUND(INDEX(Spectrum!$N:$N,MATCH(RIGHT($B279,13)&amp;"|"&amp;$C279&amp;"|"&amp;$D279&amp;"|"&amp;AJ$14&amp;"|"&amp;"CY2025Q3",Spectrum!$R:$R,0)),0),""))</f>
        <v>1152</v>
      </c>
      <c r="AK279" s="218" t="e">
        <f>#REF!</f>
        <v>#REF!</v>
      </c>
      <c r="AL279" s="33">
        <f t="shared" si="76"/>
        <v>0.99166011200000004</v>
      </c>
      <c r="AM279" s="38" t="e">
        <f>IF(OR(LEFT($B279,4)="_Mil",$C279="&lt;01"),"",ROUND(SUM($AK279)*SUM($AL279),0))</f>
        <v>#REF!</v>
      </c>
      <c r="AN279" s="38" t="str">
        <f>IF($C279="&lt;01",ROUND(INDEX(EID!$P:$P,MATCH($B279,EID!$B:$B,0))/2,0),"")</f>
        <v/>
      </c>
      <c r="AO279" s="38" t="e">
        <f>IF($C279="&lt;01",SUM($AN279),ROUND(SUM($AM279)*SUM($O279)/IF(SUM($Z279)=0,1,$Z279),0))</f>
        <v>#REF!</v>
      </c>
      <c r="AP279" s="218">
        <f>IF(OR($F279="",$C279="&lt;01"),$AO279,ROUND($F279,0))</f>
        <v>1488</v>
      </c>
      <c r="AQ279" s="218">
        <f>IF(LEFT($B279,4)="_Mil","",IF(SUM($AP279)=0,SUM($Z279),IF(OR(SUM($Z279)=0,SUM($O279)=0),MAX($AP279,$Z279),ROUND($AP279*$Z279/$O279,0))))</f>
        <v>1475</v>
      </c>
      <c r="AR279" s="33" t="e">
        <f>IF(OR(LEFT($B279,4)="_Mil",SUM($AK279)=0),"",SUM($AQ279)/$AK279)</f>
        <v>#REF!</v>
      </c>
      <c r="AS279" s="33">
        <v>1.02</v>
      </c>
      <c r="AT279" s="33">
        <f>IF($C279="&lt;01","",100%)</f>
        <v>1</v>
      </c>
      <c r="AU279" s="38">
        <f>IF($C279="&lt;01","",SUM($AP279)-SUM($O279))</f>
        <v>112</v>
      </c>
      <c r="AV279" s="38">
        <f>IF($C279="&lt;01",ROUND(INDEX(EID!$N:$N,MATCH($B279,EID!$B:$B,0))/2,0),IF(SUM($AT279)=0,"",ROUND((SUM($AP279)-(SUM($O279)*SUM($AS279)))/$AT279,0)))</f>
        <v>84</v>
      </c>
      <c r="AW279" s="33">
        <v>0.8</v>
      </c>
      <c r="AX279" s="218">
        <f>IF($C279="&lt;01",SUM($AV279),ROUND(SUM($AV279)*SUM($AW279),0))</f>
        <v>67</v>
      </c>
      <c r="AY279" s="79">
        <f t="shared" si="78"/>
        <v>0.7</v>
      </c>
      <c r="AZ279" s="85">
        <f>IF($C279="&lt;01",ROUND(INDEX(EID!$R:$R,MATCH($B279,EID!$B:$B,0))/2,0),ROUND(SUM($O279)+(SUM($AV279)*$AY279),0))</f>
        <v>1435</v>
      </c>
      <c r="BA279" s="40">
        <f t="shared" si="65"/>
        <v>0.9</v>
      </c>
      <c r="BB279" s="99">
        <f>IF($C279="&lt;01",ROUND(INDEX(EID!$T:$T,MATCH($B279,EID!$B:$B,0))/2,0),ROUND($AP279*$BA279,0))</f>
        <v>1339</v>
      </c>
      <c r="BC279" s="85">
        <f>IF(LEFT($B279,4)="_Mil","",IF(SUM($BB279)=0,SUM($AD279),IF(OR(SUM($AP279)=0,SUM($AQ279)=0),MAX($BB279,$AD279),ROUND($BB279*$AQ279/$AP279,0))))</f>
        <v>1327</v>
      </c>
      <c r="BD279" s="33">
        <f t="shared" si="79"/>
        <v>0.95</v>
      </c>
      <c r="BE279" s="218">
        <f>IF($C279="&lt;01",ROUND(INDEX(EID!$V:$V,MATCH($B279,EID!$B:$B,0))/2,0),ROUND($BD279*$BB279,0))</f>
        <v>1272</v>
      </c>
      <c r="BF279" s="218">
        <f>IF(LEFT($B279,4)="_Mil","",IF(SUM($BE279)=0,SUM($AF279),IF(OR(SUM($AP279)=0,SUM($AQ279)=0),MAX($BE279,$AF279),ROUND($BE279*$AQ279/$AP279,0))))</f>
        <v>1261</v>
      </c>
      <c r="BG279" s="79">
        <f t="shared" si="80"/>
        <v>0.95</v>
      </c>
      <c r="BH279" s="99">
        <f>IF($C279="&lt;01",ROUND(INDEX(EID!$L:$L,MATCH($B279,EID!$B:$B,0)),0)/2,IF(SUM($BG279)=0,"",ROUND($AX279/$BG279,0)))</f>
        <v>71</v>
      </c>
    </row>
    <row r="280" spans="1:60" x14ac:dyDescent="0.2">
      <c r="A280" t="str">
        <f>INDEX(Prioritization!$D:$D,MATCH($B280,Prioritization!$A:$A,0))</f>
        <v>4 - Sustained</v>
      </c>
      <c r="B280" t="s">
        <v>321</v>
      </c>
      <c r="C280" t="s">
        <v>478</v>
      </c>
      <c r="D280" t="s">
        <v>48</v>
      </c>
      <c r="E280" t="str">
        <f t="shared" si="70"/>
        <v>Neno District [gwVYinjBAe9]|50+|Male</v>
      </c>
      <c r="F280" s="229">
        <v>1155</v>
      </c>
      <c r="G280" s="38">
        <v>22</v>
      </c>
      <c r="H280" s="38">
        <v>34</v>
      </c>
      <c r="I280" s="38">
        <v>1113</v>
      </c>
      <c r="J280" s="38">
        <v>721</v>
      </c>
      <c r="K280" s="38">
        <v>671</v>
      </c>
      <c r="L280" s="38">
        <v>15</v>
      </c>
      <c r="M280" s="38">
        <v>14</v>
      </c>
      <c r="N280" s="38">
        <v>1063</v>
      </c>
      <c r="O280" s="229">
        <v>1099</v>
      </c>
      <c r="P280" s="38">
        <v>959</v>
      </c>
      <c r="Q280" s="38">
        <v>911</v>
      </c>
      <c r="R280" s="38">
        <f t="shared" si="71"/>
        <v>-14</v>
      </c>
      <c r="S280" s="38">
        <f>IF(LEFT($B280,4)="_Mil","",_xlfn.IFNA(ROUND(INDEX(Spectrum!$N:$N,MATCH(RIGHT($B280,13)&amp;"|"&amp;$C280&amp;"|"&amp;$D280&amp;"|"&amp;S$14&amp;"|"&amp;"CY2023Q4",Spectrum!$R:$R,0)),0),""))</f>
        <v>989</v>
      </c>
      <c r="T280" s="218">
        <f>IF(LEFT($B280,4)="_Mil","",_xlfn.IFNA(ROUND(INDEX(Spectrum!$N:$N,MATCH(RIGHT($B280,13)&amp;"|"&amp;$C280&amp;"|"&amp;$D280&amp;"|"&amp;T$14&amp;"|"&amp;"CY2024Q3",Spectrum!$R:$R,0)),0),""))</f>
        <v>5704</v>
      </c>
      <c r="U280" s="218">
        <f>IF(LEFT($B280,4)="_Mil","",_xlfn.IFNA(ROUND(INDEX(Spectrum!$N:$N,MATCH(RIGHT($B280,13)&amp;"|"&amp;$C280&amp;"|"&amp;$D280&amp;"|"&amp;U$14&amp;"|"&amp;"CY2024Q3",Spectrum!$R:$R,0)),0),""))</f>
        <v>891</v>
      </c>
      <c r="V280" s="38">
        <f>IF(LEFT($B280,4)="_Mil","",_xlfn.IFNA(ROUND(INDEX(Spectrum!$N:$N,MATCH(RIGHT($B280,13)&amp;"|"&amp;$C280&amp;"|"&amp;$D280&amp;"|"&amp;V$14&amp;"|"&amp;"CY2024Q3",Spectrum!$R:$R,0)),0),""))</f>
        <v>1099</v>
      </c>
      <c r="W280" s="220">
        <f>IF(LEFT($B280,4)="_Mil","",_xlfn.IFNA(INDEX(Spectrum!$N:$N,MATCH(RIGHT($B280,13)&amp;"|"&amp;$C280&amp;"|"&amp;$D280&amp;"|"&amp;W$14&amp;"|"&amp;"CY2024Q3",Spectrum!$R:$R,0)),""))</f>
        <v>0.15613564199999999</v>
      </c>
      <c r="X280" s="218">
        <f>IF(LEFT($B280,4)="_Mil","",_xlfn.IFNA(ROUND(INDEX(Spectrum!$N:$N,MATCH(RIGHT($B280,13)&amp;"|"&amp;$C280&amp;"|"&amp;$D280&amp;"|"&amp;X$14&amp;"|"&amp;"CY2024Q3",Spectrum!$R:$R,0)),0),""))</f>
        <v>858</v>
      </c>
      <c r="Y280" s="33">
        <f t="shared" si="72"/>
        <v>0.96</v>
      </c>
      <c r="Z280" s="218">
        <f>IF(LEFT($B280,4)="_Mil","",_xlfn.IFNA(ROUND(INDEX(Spectrum!$N:$N,MATCH(RIGHT($B280,13)&amp;"|"&amp;$C280&amp;"|"&amp;$D280&amp;"|"&amp;Z$14&amp;"|"&amp;"CY2024Q3",Spectrum!$R:$R,0)),0),""))</f>
        <v>1046</v>
      </c>
      <c r="AA280" s="33">
        <f>IF(LEFT($B280,4)="_Mil","",IFERROR(1/(1/INDEX(Spectrum!$N:$N,MATCH(RIGHT($B280,13)&amp;"|"&amp;$C280&amp;"|"&amp;$D280&amp;"|"&amp;AA$14&amp;"|"&amp;"CY2024Q3",Spectrum!$R:$R,0))),IF(SUM($U280)=0,"",SUM($Z280)/$U280)))</f>
        <v>0.96101100399999995</v>
      </c>
      <c r="AB280" s="33">
        <f t="shared" si="73"/>
        <v>1.219114219114219</v>
      </c>
      <c r="AC280" s="38">
        <f>IF(LEFT($B280,4)="_Mil","",_xlfn.IFNA(ROUND(INDEX(Spectrum!$N:$N,MATCH(RIGHT($B280,13)&amp;"|"&amp;$C280&amp;"|"&amp;$D280&amp;"|"&amp;AC$14&amp;"|"&amp;"CY2024Q3",Spectrum!$R:$R,0)),0),""))</f>
        <v>52</v>
      </c>
      <c r="AD280" s="38" t="str">
        <f>IF(LEFT($B280,4)="_Mil","",_xlfn.IFNA(ROUND(INDEX(Spectrum!$N:$N,MATCH(RIGHT($B280,13)&amp;"|"&amp;$C280&amp;"|"&amp;$D280&amp;"|"&amp;AD$14&amp;"|"&amp;"CY2024Q3",Spectrum!$R:$R,0)),0),""))</f>
        <v/>
      </c>
      <c r="AE280" s="33">
        <f t="shared" si="74"/>
        <v>0</v>
      </c>
      <c r="AF280" s="218" t="str">
        <f>IF(LEFT($B280,4)="_Mil","",_xlfn.IFNA(ROUND(INDEX(Spectrum!$N:$N,MATCH(RIGHT($B280,13)&amp;"|"&amp;$C280&amp;"|"&amp;$D280&amp;"|"&amp;AF$14&amp;"|"&amp;"CY2024Q3",Spectrum!$R:$R,0)),0),""))</f>
        <v/>
      </c>
      <c r="AG280" s="33" t="str">
        <f t="shared" si="75"/>
        <v/>
      </c>
      <c r="AH280" s="110" t="str">
        <f>IF(LEFT($B280,4)="_Mil","",_xlfn.IFNA(INDEX(Spectrum!$N:$N,MATCH(RIGHT($B280,13)&amp;"|"&amp;$C280&amp;"|"&amp;$D280&amp;"|"&amp;AH$14&amp;"|"&amp;"CY2024Q3",Spectrum!$R:$R,0)),""))</f>
        <v/>
      </c>
      <c r="AI280" s="218">
        <f>IF(LEFT($B280,4)="_Mil","",_xlfn.IFNA(ROUND(INDEX(Spectrum!$N:$N,MATCH(RIGHT($B280,13)&amp;"|"&amp;$C280&amp;"|"&amp;$D280&amp;"|"&amp;AI$14&amp;"|"&amp;"CY2025Q3",Spectrum!$R:$R,0)),0),""))</f>
        <v>3</v>
      </c>
      <c r="AJ280" s="38">
        <f>IF(LEFT($B280,4)="_Mil","",_xlfn.IFNA(ROUND(INDEX(Spectrum!$N:$N,MATCH(RIGHT($B280,13)&amp;"|"&amp;$C280&amp;"|"&amp;$D280&amp;"|"&amp;AJ$14&amp;"|"&amp;"CY2025Q3",Spectrum!$R:$R,0)),0),""))</f>
        <v>942</v>
      </c>
      <c r="AK280" s="218" t="e">
        <f>#REF!</f>
        <v>#REF!</v>
      </c>
      <c r="AL280" s="33">
        <f t="shared" si="76"/>
        <v>0.96101100399999995</v>
      </c>
      <c r="AM280" s="38" t="e">
        <f>IF(OR(LEFT($B280,4)="_Mil",$C280="&lt;01"),"",ROUND(SUM($AK280)*SUM($AL280),0))</f>
        <v>#REF!</v>
      </c>
      <c r="AN280" s="38" t="str">
        <f>IF($C280="&lt;01",ROUND(INDEX(EID!$P:$P,MATCH($B280,EID!$B:$B,0))/2,0),"")</f>
        <v/>
      </c>
      <c r="AO280" s="38" t="e">
        <f>IF($C280="&lt;01",SUM($AN280),ROUND(SUM($AM280)*SUM($O280)/IF(SUM($Z280)=0,1,$Z280),0))</f>
        <v>#REF!</v>
      </c>
      <c r="AP280" s="218">
        <f>IF(OR($F280="",$C280="&lt;01"),$AO280,ROUND($F280,0))</f>
        <v>1155</v>
      </c>
      <c r="AQ280" s="218">
        <f>IF(LEFT($B280,4)="_Mil","",IF(SUM($AP280)=0,SUM($Z280),IF(OR(SUM($Z280)=0,SUM($O280)=0),MAX($AP280,$Z280),ROUND($AP280*$Z280/$O280,0))))</f>
        <v>1099</v>
      </c>
      <c r="AR280" s="33" t="e">
        <f>IF(OR(LEFT($B280,4)="_Mil",SUM($AK280)=0),"",SUM($AQ280)/$AK280)</f>
        <v>#REF!</v>
      </c>
      <c r="AS280" s="33">
        <v>1.02</v>
      </c>
      <c r="AT280" s="33">
        <f>IF($C280="&lt;01","",100%)</f>
        <v>1</v>
      </c>
      <c r="AU280" s="38">
        <f>IF($C280="&lt;01","",SUM($AP280)-SUM($O280))</f>
        <v>56</v>
      </c>
      <c r="AV280" s="38">
        <f>IF($C280="&lt;01",ROUND(INDEX(EID!$N:$N,MATCH($B280,EID!$B:$B,0))/2,0),IF(SUM($AT280)=0,"",ROUND((SUM($AP280)-(SUM($O280)*SUM($AS280)))/$AT280,0)))</f>
        <v>34</v>
      </c>
      <c r="AW280" s="33">
        <v>0.8</v>
      </c>
      <c r="AX280" s="218">
        <f>IF($C280="&lt;01",SUM($AV280),ROUND(SUM($AV280)*SUM($AW280),0))</f>
        <v>27</v>
      </c>
      <c r="AY280" s="79">
        <f t="shared" si="78"/>
        <v>0.7</v>
      </c>
      <c r="AZ280" s="85">
        <f>IF($C280="&lt;01",ROUND(INDEX(EID!$R:$R,MATCH($B280,EID!$B:$B,0))/2,0),ROUND(SUM($O280)+(SUM($AV280)*$AY280),0))</f>
        <v>1123</v>
      </c>
      <c r="BA280" s="40">
        <f t="shared" si="65"/>
        <v>0.9</v>
      </c>
      <c r="BB280" s="99">
        <f>IF($C280="&lt;01",ROUND(INDEX(EID!$T:$T,MATCH($B280,EID!$B:$B,0))/2,0),ROUND($AP280*$BA280,0))</f>
        <v>1040</v>
      </c>
      <c r="BC280" s="85">
        <f>IF(LEFT($B280,4)="_Mil","",IF(SUM($BB280)=0,SUM($AD280),IF(OR(SUM($AP280)=0,SUM($AQ280)=0),MAX($BB280,$AD280),ROUND($BB280*$AQ280/$AP280,0))))</f>
        <v>990</v>
      </c>
      <c r="BD280" s="33">
        <f t="shared" si="79"/>
        <v>0.95</v>
      </c>
      <c r="BE280" s="218">
        <f>IF($C280="&lt;01",ROUND(INDEX(EID!$V:$V,MATCH($B280,EID!$B:$B,0))/2,0),ROUND($BD280*$BB280,0))</f>
        <v>988</v>
      </c>
      <c r="BF280" s="218">
        <f>IF(LEFT($B280,4)="_Mil","",IF(SUM($BE280)=0,SUM($AF280),IF(OR(SUM($AP280)=0,SUM($AQ280)=0),MAX($BE280,$AF280),ROUND($BE280*$AQ280/$AP280,0))))</f>
        <v>940</v>
      </c>
      <c r="BG280" s="79">
        <f t="shared" si="80"/>
        <v>0.95</v>
      </c>
      <c r="BH280" s="99">
        <f>IF($C280="&lt;01",ROUND(INDEX(EID!$L:$L,MATCH($B280,EID!$B:$B,0)),0)/2,IF(SUM($BG280)=0,"",ROUND($AX280/$BG280,0)))</f>
        <v>28</v>
      </c>
    </row>
    <row r="281" spans="1:60" x14ac:dyDescent="0.2">
      <c r="A281" t="str">
        <f>INDEX(Prioritization!$D:$D,MATCH($B281,Prioritization!$A:$A,0))</f>
        <v>4 - Sustained</v>
      </c>
      <c r="B281" t="s">
        <v>311</v>
      </c>
      <c r="C281" t="s">
        <v>426</v>
      </c>
      <c r="D281" t="s">
        <v>30</v>
      </c>
      <c r="E281" t="str">
        <f t="shared" si="70"/>
        <v>Nkhata Bay District [E7zpfyBt7Tw]|&lt;01|Female</v>
      </c>
      <c r="F281" s="229">
        <v>5</v>
      </c>
      <c r="G281" s="38">
        <v>41</v>
      </c>
      <c r="H281" s="38">
        <v>7</v>
      </c>
      <c r="I281" s="38">
        <v>3</v>
      </c>
      <c r="J281" s="38">
        <v>11</v>
      </c>
      <c r="K281" s="38">
        <v>9</v>
      </c>
      <c r="L281" s="38"/>
      <c r="M281" s="38">
        <v>7</v>
      </c>
      <c r="N281" s="38">
        <v>7</v>
      </c>
      <c r="O281" s="229">
        <v>5</v>
      </c>
      <c r="P281" s="38">
        <v>4</v>
      </c>
      <c r="Q281" s="38">
        <v>4</v>
      </c>
      <c r="R281" s="38">
        <f t="shared" si="71"/>
        <v>2</v>
      </c>
      <c r="S281" s="38">
        <f>IF(LEFT($B281,4)="_Mil","",_xlfn.IFNA(ROUND(INDEX(Spectrum!$N:$N,MATCH(RIGHT($B281,13)&amp;"|"&amp;$C281&amp;"|"&amp;$D281&amp;"|"&amp;S$14&amp;"|"&amp;"CY2023Q4",Spectrum!$R:$R,0)),0),""))</f>
        <v>4</v>
      </c>
      <c r="T281" s="218">
        <f>IF(LEFT($B281,4)="_Mil","",_xlfn.IFNA(ROUND(INDEX(Spectrum!$N:$N,MATCH(RIGHT($B281,13)&amp;"|"&amp;$C281&amp;"|"&amp;$D281&amp;"|"&amp;T$14&amp;"|"&amp;"CY2024Q3",Spectrum!$R:$R,0)),0),""))</f>
        <v>4827</v>
      </c>
      <c r="U281" s="218">
        <f>IF(LEFT($B281,4)="_Mil","",_xlfn.IFNA(ROUND(INDEX(Spectrum!$N:$N,MATCH(RIGHT($B281,13)&amp;"|"&amp;$C281&amp;"|"&amp;$D281&amp;"|"&amp;U$14&amp;"|"&amp;"CY2024Q3",Spectrum!$R:$R,0)),0),""))</f>
        <v>7</v>
      </c>
      <c r="V281" s="38">
        <f>IF(LEFT($B281,4)="_Mil","",_xlfn.IFNA(ROUND(INDEX(Spectrum!$N:$N,MATCH(RIGHT($B281,13)&amp;"|"&amp;$C281&amp;"|"&amp;$D281&amp;"|"&amp;V$14&amp;"|"&amp;"CY2024Q3",Spectrum!$R:$R,0)),0),""))</f>
        <v>6</v>
      </c>
      <c r="W281" s="220">
        <f>IF(LEFT($B281,4)="_Mil","",_xlfn.IFNA(INDEX(Spectrum!$N:$N,MATCH(RIGHT($B281,13)&amp;"|"&amp;$C281&amp;"|"&amp;$D281&amp;"|"&amp;W$14&amp;"|"&amp;"CY2024Q3",Spectrum!$R:$R,0)),""))</f>
        <v>1.5281279999999999E-3</v>
      </c>
      <c r="X281" s="218">
        <f>IF(LEFT($B281,4)="_Mil","",_xlfn.IFNA(ROUND(INDEX(Spectrum!$N:$N,MATCH(RIGHT($B281,13)&amp;"|"&amp;$C281&amp;"|"&amp;$D281&amp;"|"&amp;X$14&amp;"|"&amp;"CY2024Q3",Spectrum!$R:$R,0)),0),""))</f>
        <v>5</v>
      </c>
      <c r="Y281" s="33">
        <f t="shared" si="72"/>
        <v>0.71</v>
      </c>
      <c r="Z281" s="218">
        <f>IF(LEFT($B281,4)="_Mil","",_xlfn.IFNA(ROUND(INDEX(Spectrum!$N:$N,MATCH(RIGHT($B281,13)&amp;"|"&amp;$C281&amp;"|"&amp;$D281&amp;"|"&amp;Z$14&amp;"|"&amp;"CY2024Q3",Spectrum!$R:$R,0)),0),""))</f>
        <v>4</v>
      </c>
      <c r="AA281" s="33">
        <f>IF(LEFT($B281,4)="_Mil","",IFERROR(1/(1/INDEX(Spectrum!$N:$N,MATCH(RIGHT($B281,13)&amp;"|"&amp;$C281&amp;"|"&amp;$D281&amp;"|"&amp;AA$14&amp;"|"&amp;"CY2024Q3",Spectrum!$R:$R,0))),IF(SUM($U281)=0,"",SUM($Z281)/$U281)))</f>
        <v>0.60395633000000004</v>
      </c>
      <c r="AB281" s="33">
        <f t="shared" si="73"/>
        <v>0.8</v>
      </c>
      <c r="AC281" s="38">
        <f>IF(LEFT($B281,4)="_Mil","",_xlfn.IFNA(ROUND(INDEX(Spectrum!$N:$N,MATCH(RIGHT($B281,13)&amp;"|"&amp;$C281&amp;"|"&amp;$D281&amp;"|"&amp;AC$14&amp;"|"&amp;"CY2024Q3",Spectrum!$R:$R,0)),0),""))</f>
        <v>3</v>
      </c>
      <c r="AD281" s="38" t="str">
        <f>IF(LEFT($B281,4)="_Mil","",_xlfn.IFNA(ROUND(INDEX(Spectrum!$N:$N,MATCH(RIGHT($B281,13)&amp;"|"&amp;$C281&amp;"|"&amp;$D281&amp;"|"&amp;AD$14&amp;"|"&amp;"CY2024Q3",Spectrum!$R:$R,0)),0),""))</f>
        <v/>
      </c>
      <c r="AE281" s="33">
        <f t="shared" si="74"/>
        <v>0</v>
      </c>
      <c r="AF281" s="218" t="str">
        <f>IF(LEFT($B281,4)="_Mil","",_xlfn.IFNA(ROUND(INDEX(Spectrum!$N:$N,MATCH(RIGHT($B281,13)&amp;"|"&amp;$C281&amp;"|"&amp;$D281&amp;"|"&amp;AF$14&amp;"|"&amp;"CY2024Q3",Spectrum!$R:$R,0)),0),""))</f>
        <v/>
      </c>
      <c r="AG281" s="33" t="str">
        <f t="shared" si="75"/>
        <v/>
      </c>
      <c r="AH281" s="110" t="str">
        <f>IF(LEFT($B281,4)="_Mil","",_xlfn.IFNA(INDEX(Spectrum!$N:$N,MATCH(RIGHT($B281,13)&amp;"|"&amp;$C281&amp;"|"&amp;$D281&amp;"|"&amp;AH$14&amp;"|"&amp;"CY2024Q3",Spectrum!$R:$R,0)),""))</f>
        <v/>
      </c>
      <c r="AI281" s="218">
        <f>IF(LEFT($B281,4)="_Mil","",_xlfn.IFNA(ROUND(INDEX(Spectrum!$N:$N,MATCH(RIGHT($B281,13)&amp;"|"&amp;$C281&amp;"|"&amp;$D281&amp;"|"&amp;AI$14&amp;"|"&amp;"CY2025Q3",Spectrum!$R:$R,0)),0),""))</f>
        <v>9</v>
      </c>
      <c r="AJ281" s="38">
        <f>IF(LEFT($B281,4)="_Mil","",_xlfn.IFNA(ROUND(INDEX(Spectrum!$N:$N,MATCH(RIGHT($B281,13)&amp;"|"&amp;$C281&amp;"|"&amp;$D281&amp;"|"&amp;AJ$14&amp;"|"&amp;"CY2025Q3",Spectrum!$R:$R,0)),0),""))</f>
        <v>7</v>
      </c>
      <c r="AK281" s="218" t="e">
        <f>#REF!</f>
        <v>#REF!</v>
      </c>
      <c r="AL281" s="33" t="str">
        <f t="shared" si="76"/>
        <v/>
      </c>
      <c r="AM281" s="38" t="str">
        <f>IF(OR(LEFT($B281,4)="_Mil",$C281="&lt;01"),"",ROUND(SUM($AK281)*SUM($AL281),0))</f>
        <v/>
      </c>
      <c r="AN281" s="38">
        <f>IF($C281="&lt;01",ROUND(INDEX(EID!$P:$P,MATCH($B281,EID!$B:$B,0))/2,0),"")</f>
        <v>0</v>
      </c>
      <c r="AO281" s="38">
        <f>IF($C281="&lt;01",SUM($AN281),ROUND(SUM($AM281)*SUM($O281)/IF(SUM($Z281)=0,1,$Z281),0))</f>
        <v>0</v>
      </c>
      <c r="AP281" s="218">
        <f>IF(OR($F281="",$C281="&lt;01"),$AO281,ROUND($F281,0))</f>
        <v>0</v>
      </c>
      <c r="AQ281" s="218">
        <f>IF(LEFT($B281,4)="_Mil","",IF(SUM($AP281)=0,SUM($Z281),IF(OR(SUM($Z281)=0,SUM($O281)=0),MAX($AP281,$Z281),ROUND($AP281*$Z281/$O281,0))))</f>
        <v>4</v>
      </c>
      <c r="AR281" s="33" t="e">
        <f>IF(OR(LEFT($B281,4)="_Mil",SUM($AK281)=0),"",SUM($AQ281)/$AK281)</f>
        <v>#REF!</v>
      </c>
      <c r="AS281" s="33" t="str">
        <f t="shared" si="69"/>
        <v/>
      </c>
      <c r="AT281" s="33" t="str">
        <f t="shared" si="66"/>
        <v/>
      </c>
      <c r="AU281" s="38" t="str">
        <f>IF($C281="&lt;01","",SUM($AP281)-SUM($O281))</f>
        <v/>
      </c>
      <c r="AV281" s="38">
        <f>IF($C281="&lt;01",ROUND(INDEX(EID!$N:$N,MATCH($B281,EID!$B:$B,0))/2,0),IF(SUM($AT281)=0,"",ROUND((SUM($AP281)-(SUM($O281)*SUM($AS281)))/$AT281,0)))</f>
        <v>0</v>
      </c>
      <c r="AW281" s="33" t="str">
        <f t="shared" si="77"/>
        <v/>
      </c>
      <c r="AX281" s="218">
        <f>IF($C281="&lt;01",SUM($AV281),ROUND(SUM($AV281)*SUM($AW281),0))</f>
        <v>0</v>
      </c>
      <c r="AY281" s="79" t="str">
        <f t="shared" si="78"/>
        <v/>
      </c>
      <c r="AZ281" s="85">
        <f>IF($C281="&lt;01",ROUND(INDEX(EID!$R:$R,MATCH($B281,EID!$B:$B,0))/2,0),ROUND(SUM($O281)+(SUM($AV281)*$AY281),0))</f>
        <v>0</v>
      </c>
      <c r="BA281" s="40" t="str">
        <f t="shared" si="65"/>
        <v/>
      </c>
      <c r="BB281" s="99">
        <f>IF($C281="&lt;01",ROUND(INDEX(EID!$T:$T,MATCH($B281,EID!$B:$B,0))/2,0),ROUND($AP281*$BA281,0))</f>
        <v>0</v>
      </c>
      <c r="BC281" s="85">
        <f>IF(LEFT($B281,4)="_Mil","",IF(SUM($BB281)=0,SUM($AD281),IF(OR(SUM($AP281)=0,SUM($AQ281)=0),MAX($BB281,$AD281),ROUND($BB281*$AQ281/$AP281,0))))</f>
        <v>0</v>
      </c>
      <c r="BD281" s="33" t="str">
        <f t="shared" si="79"/>
        <v/>
      </c>
      <c r="BE281" s="218">
        <f>IF($C281="&lt;01",ROUND(INDEX(EID!$V:$V,MATCH($B281,EID!$B:$B,0))/2,0),ROUND($BD281*$BB281,0))</f>
        <v>0</v>
      </c>
      <c r="BF281" s="218">
        <f>IF(LEFT($B281,4)="_Mil","",IF(SUM($BE281)=0,SUM($AF281),IF(OR(SUM($AP281)=0,SUM($AQ281)=0),MAX($BE281,$AF281),ROUND($BE281*$AQ281/$AP281,0))))</f>
        <v>0</v>
      </c>
      <c r="BG281" s="79" t="str">
        <f t="shared" si="80"/>
        <v/>
      </c>
      <c r="BH281" s="99">
        <f>IF($C281="&lt;01",ROUND(INDEX(EID!$L:$L,MATCH($B281,EID!$B:$B,0)),0)/2,IF(SUM($BG281)=0,"",ROUND($AX281/$BG281,0)))</f>
        <v>0</v>
      </c>
    </row>
    <row r="282" spans="1:60" x14ac:dyDescent="0.2">
      <c r="A282" t="str">
        <f>INDEX(Prioritization!$D:$D,MATCH($B282,Prioritization!$A:$A,0))</f>
        <v>4 - Sustained</v>
      </c>
      <c r="B282" t="s">
        <v>311</v>
      </c>
      <c r="C282" t="s">
        <v>426</v>
      </c>
      <c r="D282" t="s">
        <v>48</v>
      </c>
      <c r="E282" t="str">
        <f t="shared" si="70"/>
        <v>Nkhata Bay District [E7zpfyBt7Tw]|&lt;01|Male</v>
      </c>
      <c r="F282" s="229">
        <v>5</v>
      </c>
      <c r="G282" s="38">
        <v>30</v>
      </c>
      <c r="H282" s="38">
        <v>4</v>
      </c>
      <c r="I282" s="38">
        <v>2</v>
      </c>
      <c r="J282" s="38">
        <v>9</v>
      </c>
      <c r="K282" s="38">
        <v>6</v>
      </c>
      <c r="L282" s="38"/>
      <c r="M282" s="38">
        <v>7</v>
      </c>
      <c r="N282" s="38">
        <v>7</v>
      </c>
      <c r="O282" s="229">
        <v>5</v>
      </c>
      <c r="P282" s="38">
        <v>4</v>
      </c>
      <c r="Q282" s="38">
        <v>4</v>
      </c>
      <c r="R282" s="38">
        <f t="shared" si="71"/>
        <v>3</v>
      </c>
      <c r="S282" s="38">
        <f>IF(LEFT($B282,4)="_Mil","",_xlfn.IFNA(ROUND(INDEX(Spectrum!$N:$N,MATCH(RIGHT($B282,13)&amp;"|"&amp;$C282&amp;"|"&amp;$D282&amp;"|"&amp;S$14&amp;"|"&amp;"CY2023Q4",Spectrum!$R:$R,0)),0),""))</f>
        <v>5</v>
      </c>
      <c r="T282" s="218">
        <f>IF(LEFT($B282,4)="_Mil","",_xlfn.IFNA(ROUND(INDEX(Spectrum!$N:$N,MATCH(RIGHT($B282,13)&amp;"|"&amp;$C282&amp;"|"&amp;$D282&amp;"|"&amp;T$14&amp;"|"&amp;"CY2024Q3",Spectrum!$R:$R,0)),0),""))</f>
        <v>5080</v>
      </c>
      <c r="U282" s="218">
        <f>IF(LEFT($B282,4)="_Mil","",_xlfn.IFNA(ROUND(INDEX(Spectrum!$N:$N,MATCH(RIGHT($B282,13)&amp;"|"&amp;$C282&amp;"|"&amp;$D282&amp;"|"&amp;U$14&amp;"|"&amp;"CY2024Q3",Spectrum!$R:$R,0)),0),""))</f>
        <v>8</v>
      </c>
      <c r="V282" s="38">
        <f>IF(LEFT($B282,4)="_Mil","",_xlfn.IFNA(ROUND(INDEX(Spectrum!$N:$N,MATCH(RIGHT($B282,13)&amp;"|"&amp;$C282&amp;"|"&amp;$D282&amp;"|"&amp;V$14&amp;"|"&amp;"CY2024Q3",Spectrum!$R:$R,0)),0),""))</f>
        <v>6</v>
      </c>
      <c r="W282" s="220">
        <f>IF(LEFT($B282,4)="_Mil","",_xlfn.IFNA(INDEX(Spectrum!$N:$N,MATCH(RIGHT($B282,13)&amp;"|"&amp;$C282&amp;"|"&amp;$D282&amp;"|"&amp;W$14&amp;"|"&amp;"CY2024Q3",Spectrum!$R:$R,0)),""))</f>
        <v>1.483795E-3</v>
      </c>
      <c r="X282" s="218">
        <f>IF(LEFT($B282,4)="_Mil","",_xlfn.IFNA(ROUND(INDEX(Spectrum!$N:$N,MATCH(RIGHT($B282,13)&amp;"|"&amp;$C282&amp;"|"&amp;$D282&amp;"|"&amp;X$14&amp;"|"&amp;"CY2024Q3",Spectrum!$R:$R,0)),0),""))</f>
        <v>5</v>
      </c>
      <c r="Y282" s="33">
        <f t="shared" si="72"/>
        <v>0.63</v>
      </c>
      <c r="Z282" s="218">
        <f>IF(LEFT($B282,4)="_Mil","",_xlfn.IFNA(ROUND(INDEX(Spectrum!$N:$N,MATCH(RIGHT($B282,13)&amp;"|"&amp;$C282&amp;"|"&amp;$D282&amp;"|"&amp;Z$14&amp;"|"&amp;"CY2024Q3",Spectrum!$R:$R,0)),0),""))</f>
        <v>4</v>
      </c>
      <c r="AA282" s="33">
        <f>IF(LEFT($B282,4)="_Mil","",IFERROR(1/(1/INDEX(Spectrum!$N:$N,MATCH(RIGHT($B282,13)&amp;"|"&amp;$C282&amp;"|"&amp;$D282&amp;"|"&amp;AA$14&amp;"|"&amp;"CY2024Q3",Spectrum!$R:$R,0))),IF(SUM($U282)=0,"",SUM($Z282)/$U282)))</f>
        <v>0.60418133100000004</v>
      </c>
      <c r="AB282" s="33">
        <f t="shared" si="73"/>
        <v>0.8</v>
      </c>
      <c r="AC282" s="38">
        <f>IF(LEFT($B282,4)="_Mil","",_xlfn.IFNA(ROUND(INDEX(Spectrum!$N:$N,MATCH(RIGHT($B282,13)&amp;"|"&amp;$C282&amp;"|"&amp;$D282&amp;"|"&amp;AC$14&amp;"|"&amp;"CY2024Q3",Spectrum!$R:$R,0)),0),""))</f>
        <v>2</v>
      </c>
      <c r="AD282" s="38" t="str">
        <f>IF(LEFT($B282,4)="_Mil","",_xlfn.IFNA(ROUND(INDEX(Spectrum!$N:$N,MATCH(RIGHT($B282,13)&amp;"|"&amp;$C282&amp;"|"&amp;$D282&amp;"|"&amp;AD$14&amp;"|"&amp;"CY2024Q3",Spectrum!$R:$R,0)),0),""))</f>
        <v/>
      </c>
      <c r="AE282" s="33">
        <f t="shared" si="74"/>
        <v>0</v>
      </c>
      <c r="AF282" s="218" t="str">
        <f>IF(LEFT($B282,4)="_Mil","",_xlfn.IFNA(ROUND(INDEX(Spectrum!$N:$N,MATCH(RIGHT($B282,13)&amp;"|"&amp;$C282&amp;"|"&amp;$D282&amp;"|"&amp;AF$14&amp;"|"&amp;"CY2024Q3",Spectrum!$R:$R,0)),0),""))</f>
        <v/>
      </c>
      <c r="AG282" s="33" t="str">
        <f t="shared" si="75"/>
        <v/>
      </c>
      <c r="AH282" s="110" t="str">
        <f>IF(LEFT($B282,4)="_Mil","",_xlfn.IFNA(INDEX(Spectrum!$N:$N,MATCH(RIGHT($B282,13)&amp;"|"&amp;$C282&amp;"|"&amp;$D282&amp;"|"&amp;AH$14&amp;"|"&amp;"CY2024Q3",Spectrum!$R:$R,0)),""))</f>
        <v/>
      </c>
      <c r="AI282" s="218">
        <f>IF(LEFT($B282,4)="_Mil","",_xlfn.IFNA(ROUND(INDEX(Spectrum!$N:$N,MATCH(RIGHT($B282,13)&amp;"|"&amp;$C282&amp;"|"&amp;$D282&amp;"|"&amp;AI$14&amp;"|"&amp;"CY2025Q3",Spectrum!$R:$R,0)),0),""))</f>
        <v>9</v>
      </c>
      <c r="AJ282" s="38">
        <f>IF(LEFT($B282,4)="_Mil","",_xlfn.IFNA(ROUND(INDEX(Spectrum!$N:$N,MATCH(RIGHT($B282,13)&amp;"|"&amp;$C282&amp;"|"&amp;$D282&amp;"|"&amp;AJ$14&amp;"|"&amp;"CY2025Q3",Spectrum!$R:$R,0)),0),""))</f>
        <v>7</v>
      </c>
      <c r="AK282" s="218" t="e">
        <f>#REF!</f>
        <v>#REF!</v>
      </c>
      <c r="AL282" s="33" t="str">
        <f t="shared" si="76"/>
        <v/>
      </c>
      <c r="AM282" s="38" t="str">
        <f>IF(OR(LEFT($B282,4)="_Mil",$C282="&lt;01"),"",ROUND(SUM($AK282)*SUM($AL282),0))</f>
        <v/>
      </c>
      <c r="AN282" s="38">
        <f>IF($C282="&lt;01",ROUND(INDEX(EID!$P:$P,MATCH($B282,EID!$B:$B,0))/2,0),"")</f>
        <v>0</v>
      </c>
      <c r="AO282" s="38">
        <f>IF($C282="&lt;01",SUM($AN282),ROUND(SUM($AM282)*SUM($O282)/IF(SUM($Z282)=0,1,$Z282),0))</f>
        <v>0</v>
      </c>
      <c r="AP282" s="218">
        <f>IF(OR($F282="",$C282="&lt;01"),$AO282,ROUND($F282,0))</f>
        <v>0</v>
      </c>
      <c r="AQ282" s="218">
        <f>IF(LEFT($B282,4)="_Mil","",IF(SUM($AP282)=0,SUM($Z282),IF(OR(SUM($Z282)=0,SUM($O282)=0),MAX($AP282,$Z282),ROUND($AP282*$Z282/$O282,0))))</f>
        <v>4</v>
      </c>
      <c r="AR282" s="33" t="e">
        <f>IF(OR(LEFT($B282,4)="_Mil",SUM($AK282)=0),"",SUM($AQ282)/$AK282)</f>
        <v>#REF!</v>
      </c>
      <c r="AS282" s="33" t="str">
        <f t="shared" si="69"/>
        <v/>
      </c>
      <c r="AT282" s="33" t="str">
        <f t="shared" si="66"/>
        <v/>
      </c>
      <c r="AU282" s="38" t="str">
        <f>IF($C282="&lt;01","",SUM($AP282)-SUM($O282))</f>
        <v/>
      </c>
      <c r="AV282" s="38">
        <f>IF($C282="&lt;01",ROUND(INDEX(EID!$N:$N,MATCH($B282,EID!$B:$B,0))/2,0),IF(SUM($AT282)=0,"",ROUND((SUM($AP282)-(SUM($O282)*SUM($AS282)))/$AT282,0)))</f>
        <v>0</v>
      </c>
      <c r="AW282" s="33" t="str">
        <f t="shared" si="77"/>
        <v/>
      </c>
      <c r="AX282" s="218">
        <f>IF($C282="&lt;01",SUM($AV282),ROUND(SUM($AV282)*SUM($AW282),0))</f>
        <v>0</v>
      </c>
      <c r="AY282" s="79" t="str">
        <f t="shared" si="78"/>
        <v/>
      </c>
      <c r="AZ282" s="85">
        <f>IF($C282="&lt;01",ROUND(INDEX(EID!$R:$R,MATCH($B282,EID!$B:$B,0))/2,0),ROUND(SUM($O282)+(SUM($AV282)*$AY282),0))</f>
        <v>0</v>
      </c>
      <c r="BA282" s="40" t="str">
        <f t="shared" si="65"/>
        <v/>
      </c>
      <c r="BB282" s="99">
        <f>IF($C282="&lt;01",ROUND(INDEX(EID!$T:$T,MATCH($B282,EID!$B:$B,0))/2,0),ROUND($AP282*$BA282,0))</f>
        <v>0</v>
      </c>
      <c r="BC282" s="85">
        <f>IF(LEFT($B282,4)="_Mil","",IF(SUM($BB282)=0,SUM($AD282),IF(OR(SUM($AP282)=0,SUM($AQ282)=0),MAX($BB282,$AD282),ROUND($BB282*$AQ282/$AP282,0))))</f>
        <v>0</v>
      </c>
      <c r="BD282" s="33" t="str">
        <f t="shared" si="79"/>
        <v/>
      </c>
      <c r="BE282" s="218">
        <f>IF($C282="&lt;01",ROUND(INDEX(EID!$V:$V,MATCH($B282,EID!$B:$B,0))/2,0),ROUND($BD282*$BB282,0))</f>
        <v>0</v>
      </c>
      <c r="BF282" s="218">
        <f>IF(LEFT($B282,4)="_Mil","",IF(SUM($BE282)=0,SUM($AF282),IF(OR(SUM($AP282)=0,SUM($AQ282)=0),MAX($BE282,$AF282),ROUND($BE282*$AQ282/$AP282,0))))</f>
        <v>0</v>
      </c>
      <c r="BG282" s="79" t="str">
        <f t="shared" si="80"/>
        <v/>
      </c>
      <c r="BH282" s="99">
        <f>IF($C282="&lt;01",ROUND(INDEX(EID!$L:$L,MATCH($B282,EID!$B:$B,0)),0)/2,IF(SUM($BG282)=0,"",ROUND($AX282/$BG282,0)))</f>
        <v>0</v>
      </c>
    </row>
    <row r="283" spans="1:60" x14ac:dyDescent="0.2">
      <c r="A283" t="str">
        <f>INDEX(Prioritization!$D:$D,MATCH($B283,Prioritization!$A:$A,0))</f>
        <v>4 - Sustained</v>
      </c>
      <c r="B283" t="s">
        <v>311</v>
      </c>
      <c r="C283" t="s">
        <v>473</v>
      </c>
      <c r="D283" t="s">
        <v>30</v>
      </c>
      <c r="E283" t="str">
        <f t="shared" si="70"/>
        <v>Nkhata Bay District [E7zpfyBt7Tw]|01-09|Female</v>
      </c>
      <c r="F283" s="229">
        <v>96</v>
      </c>
      <c r="G283" s="38">
        <v>71</v>
      </c>
      <c r="H283" s="38">
        <v>16</v>
      </c>
      <c r="I283" s="38">
        <v>96</v>
      </c>
      <c r="J283" s="38">
        <v>107</v>
      </c>
      <c r="K283" s="38">
        <v>67</v>
      </c>
      <c r="L283" s="38">
        <v>5</v>
      </c>
      <c r="M283" s="38">
        <v>5</v>
      </c>
      <c r="N283" s="38">
        <v>99</v>
      </c>
      <c r="O283" s="229">
        <v>96</v>
      </c>
      <c r="P283" s="38">
        <v>87</v>
      </c>
      <c r="Q283" s="38">
        <v>83</v>
      </c>
      <c r="R283" s="38">
        <f t="shared" si="71"/>
        <v>0</v>
      </c>
      <c r="S283" s="38">
        <f>IF(LEFT($B283,4)="_Mil","",_xlfn.IFNA(ROUND(INDEX(Spectrum!$N:$N,MATCH(RIGHT($B283,13)&amp;"|"&amp;$C283&amp;"|"&amp;$D283&amp;"|"&amp;S$14&amp;"|"&amp;"CY2023Q4",Spectrum!$R:$R,0)),0),""))</f>
        <v>79</v>
      </c>
      <c r="T283" s="218">
        <f>IF(LEFT($B283,4)="_Mil","",_xlfn.IFNA(ROUND(INDEX(Spectrum!$N:$N,MATCH(RIGHT($B283,13)&amp;"|"&amp;$C283&amp;"|"&amp;$D283&amp;"|"&amp;T$14&amp;"|"&amp;"CY2024Q3",Spectrum!$R:$R,0)),0),""))</f>
        <v>39871</v>
      </c>
      <c r="U283" s="218">
        <f>IF(LEFT($B283,4)="_Mil","",_xlfn.IFNA(ROUND(INDEX(Spectrum!$N:$N,MATCH(RIGHT($B283,13)&amp;"|"&amp;$C283&amp;"|"&amp;$D283&amp;"|"&amp;U$14&amp;"|"&amp;"CY2024Q3",Spectrum!$R:$R,0)),0),""))</f>
        <v>145</v>
      </c>
      <c r="V283" s="38">
        <f>IF(LEFT($B283,4)="_Mil","",_xlfn.IFNA(ROUND(INDEX(Spectrum!$N:$N,MATCH(RIGHT($B283,13)&amp;"|"&amp;$C283&amp;"|"&amp;$D283&amp;"|"&amp;V$14&amp;"|"&amp;"CY2024Q3",Spectrum!$R:$R,0)),0),""))</f>
        <v>121</v>
      </c>
      <c r="W283" s="220">
        <f>IF(LEFT($B283,4)="_Mil","",_xlfn.IFNA(INDEX(Spectrum!$N:$N,MATCH(RIGHT($B283,13)&amp;"|"&amp;$C283&amp;"|"&amp;$D283&amp;"|"&amp;W$14&amp;"|"&amp;"CY2024Q3",Spectrum!$R:$R,0)),""))</f>
        <v>3.6281130000000001E-3</v>
      </c>
      <c r="X283" s="218">
        <f>IF(LEFT($B283,4)="_Mil","",_xlfn.IFNA(ROUND(INDEX(Spectrum!$N:$N,MATCH(RIGHT($B283,13)&amp;"|"&amp;$C283&amp;"|"&amp;$D283&amp;"|"&amp;X$14&amp;"|"&amp;"CY2024Q3",Spectrum!$R:$R,0)),0),""))</f>
        <v>100</v>
      </c>
      <c r="Y283" s="33">
        <f t="shared" si="72"/>
        <v>0.69</v>
      </c>
      <c r="Z283" s="218">
        <f>IF(LEFT($B283,4)="_Mil","",_xlfn.IFNA(ROUND(INDEX(Spectrum!$N:$N,MATCH(RIGHT($B283,13)&amp;"|"&amp;$C283&amp;"|"&amp;$D283&amp;"|"&amp;Z$14&amp;"|"&amp;"CY2024Q3",Spectrum!$R:$R,0)),0),""))</f>
        <v>77</v>
      </c>
      <c r="AA283" s="33">
        <f>IF(LEFT($B283,4)="_Mil","",IFERROR(1/(1/INDEX(Spectrum!$N:$N,MATCH(RIGHT($B283,13)&amp;"|"&amp;$C283&amp;"|"&amp;$D283&amp;"|"&amp;AA$14&amp;"|"&amp;"CY2024Q3",Spectrum!$R:$R,0))),IF(SUM($U283)=0,"",SUM($Z283)/$U283)))</f>
        <v>0.65018489199999996</v>
      </c>
      <c r="AB283" s="33">
        <f t="shared" si="73"/>
        <v>0.77</v>
      </c>
      <c r="AC283" s="38">
        <f>IF(LEFT($B283,4)="_Mil","",_xlfn.IFNA(ROUND(INDEX(Spectrum!$N:$N,MATCH(RIGHT($B283,13)&amp;"|"&amp;$C283&amp;"|"&amp;$D283&amp;"|"&amp;AC$14&amp;"|"&amp;"CY2024Q3",Spectrum!$R:$R,0)),0),""))</f>
        <v>44</v>
      </c>
      <c r="AD283" s="38" t="str">
        <f>IF(LEFT($B283,4)="_Mil","",_xlfn.IFNA(ROUND(INDEX(Spectrum!$N:$N,MATCH(RIGHT($B283,13)&amp;"|"&amp;$C283&amp;"|"&amp;$D283&amp;"|"&amp;AD$14&amp;"|"&amp;"CY2024Q3",Spectrum!$R:$R,0)),0),""))</f>
        <v/>
      </c>
      <c r="AE283" s="33">
        <f t="shared" si="74"/>
        <v>0</v>
      </c>
      <c r="AF283" s="218" t="str">
        <f>IF(LEFT($B283,4)="_Mil","",_xlfn.IFNA(ROUND(INDEX(Spectrum!$N:$N,MATCH(RIGHT($B283,13)&amp;"|"&amp;$C283&amp;"|"&amp;$D283&amp;"|"&amp;AF$14&amp;"|"&amp;"CY2024Q3",Spectrum!$R:$R,0)),0),""))</f>
        <v/>
      </c>
      <c r="AG283" s="33" t="str">
        <f t="shared" si="75"/>
        <v/>
      </c>
      <c r="AH283" s="110" t="str">
        <f>IF(LEFT($B283,4)="_Mil","",_xlfn.IFNA(INDEX(Spectrum!$N:$N,MATCH(RIGHT($B283,13)&amp;"|"&amp;$C283&amp;"|"&amp;$D283&amp;"|"&amp;AH$14&amp;"|"&amp;"CY2024Q3",Spectrum!$R:$R,0)),""))</f>
        <v/>
      </c>
      <c r="AI283" s="218">
        <f>IF(LEFT($B283,4)="_Mil","",_xlfn.IFNA(ROUND(INDEX(Spectrum!$N:$N,MATCH(RIGHT($B283,13)&amp;"|"&amp;$C283&amp;"|"&amp;$D283&amp;"|"&amp;AI$14&amp;"|"&amp;"CY2025Q3",Spectrum!$R:$R,0)),0),""))</f>
        <v>2</v>
      </c>
      <c r="AJ283" s="38">
        <f>IF(LEFT($B283,4)="_Mil","",_xlfn.IFNA(ROUND(INDEX(Spectrum!$N:$N,MATCH(RIGHT($B283,13)&amp;"|"&amp;$C283&amp;"|"&amp;$D283&amp;"|"&amp;AJ$14&amp;"|"&amp;"CY2025Q3",Spectrum!$R:$R,0)),0),""))</f>
        <v>124</v>
      </c>
      <c r="AK283" s="218" t="e">
        <f>#REF!</f>
        <v>#REF!</v>
      </c>
      <c r="AL283" s="33">
        <f t="shared" si="76"/>
        <v>0.9</v>
      </c>
      <c r="AM283" s="38" t="e">
        <f>IF(OR(LEFT($B283,4)="_Mil",$C283="&lt;01"),"",ROUND(SUM($AK283)*SUM($AL283),0))</f>
        <v>#REF!</v>
      </c>
      <c r="AN283" s="38" t="str">
        <f>IF($C283="&lt;01",ROUND(INDEX(EID!$P:$P,MATCH($B283,EID!$B:$B,0))/2,0),"")</f>
        <v/>
      </c>
      <c r="AO283" s="38" t="e">
        <f>IF($C283="&lt;01",SUM($AN283),ROUND(SUM($AM283)*SUM($O283)/IF(SUM($Z283)=0,1,$Z283),0))</f>
        <v>#REF!</v>
      </c>
      <c r="AP283" s="218">
        <f>IF(OR($F283="",$C283="&lt;01"),$AO283,ROUND($F283,0))</f>
        <v>96</v>
      </c>
      <c r="AQ283" s="218">
        <f>IF(LEFT($B283,4)="_Mil","",IF(SUM($AP283)=0,SUM($Z283),IF(OR(SUM($Z283)=0,SUM($O283)=0),MAX($AP283,$Z283),ROUND($AP283*$Z283/$O283,0))))</f>
        <v>77</v>
      </c>
      <c r="AR283" s="33" t="e">
        <f>IF(OR(LEFT($B283,4)="_Mil",SUM($AK283)=0),"",SUM($AQ283)/$AK283)</f>
        <v>#REF!</v>
      </c>
      <c r="AS283" s="33">
        <f t="shared" ref="AS283:AS310" si="81">IF($C283="&lt;01","",98%)</f>
        <v>0.98</v>
      </c>
      <c r="AT283" s="33">
        <f t="shared" si="66"/>
        <v>0.98</v>
      </c>
      <c r="AU283" s="38">
        <f>IF($C283="&lt;01","",SUM($AP283)-SUM($O283))</f>
        <v>0</v>
      </c>
      <c r="AV283" s="38">
        <f>IF($C283="&lt;01",ROUND(INDEX(EID!$N:$N,MATCH($B283,EID!$B:$B,0))/2,0),IF(SUM($AT283)=0,"",ROUND((SUM($AP283)-(SUM($O283)*SUM($AS283)))/$AT283,0)))</f>
        <v>2</v>
      </c>
      <c r="AW283" s="33">
        <f t="shared" si="77"/>
        <v>1</v>
      </c>
      <c r="AX283" s="218">
        <f>IF($C283="&lt;01",SUM($AV283),ROUND(SUM($AV283)*SUM($AW283),0))</f>
        <v>2</v>
      </c>
      <c r="AY283" s="79">
        <f t="shared" si="78"/>
        <v>0.7</v>
      </c>
      <c r="AZ283" s="85">
        <f>IF($C283="&lt;01",ROUND(INDEX(EID!$R:$R,MATCH($B283,EID!$B:$B,0))/2,0),ROUND(SUM($O283)+(SUM($AV283)*$AY283),0))</f>
        <v>97</v>
      </c>
      <c r="BA283" s="40">
        <f t="shared" si="65"/>
        <v>0.9</v>
      </c>
      <c r="BB283" s="99">
        <f>IF($C283="&lt;01",ROUND(INDEX(EID!$T:$T,MATCH($B283,EID!$B:$B,0))/2,0),ROUND($AP283*$BA283,0))</f>
        <v>86</v>
      </c>
      <c r="BC283" s="85">
        <f>IF(LEFT($B283,4)="_Mil","",IF(SUM($BB283)=0,SUM($AD283),IF(OR(SUM($AP283)=0,SUM($AQ283)=0),MAX($BB283,$AD283),ROUND($BB283*$AQ283/$AP283,0))))</f>
        <v>69</v>
      </c>
      <c r="BD283" s="33">
        <f t="shared" si="79"/>
        <v>0.95</v>
      </c>
      <c r="BE283" s="218">
        <f>IF($C283="&lt;01",ROUND(INDEX(EID!$V:$V,MATCH($B283,EID!$B:$B,0))/2,0),ROUND($BD283*$BB283,0))</f>
        <v>82</v>
      </c>
      <c r="BF283" s="218">
        <f>IF(LEFT($B283,4)="_Mil","",IF(SUM($BE283)=0,SUM($AF283),IF(OR(SUM($AP283)=0,SUM($AQ283)=0),MAX($BE283,$AF283),ROUND($BE283*$AQ283/$AP283,0))))</f>
        <v>66</v>
      </c>
      <c r="BG283" s="79">
        <f t="shared" si="80"/>
        <v>0.95</v>
      </c>
      <c r="BH283" s="99">
        <f>IF($C283="&lt;01",ROUND(INDEX(EID!$L:$L,MATCH($B283,EID!$B:$B,0)),0)/2,IF(SUM($BG283)=0,"",ROUND($AX283/$BG283,0)))</f>
        <v>2</v>
      </c>
    </row>
    <row r="284" spans="1:60" x14ac:dyDescent="0.2">
      <c r="A284" t="str">
        <f>INDEX(Prioritization!$D:$D,MATCH($B284,Prioritization!$A:$A,0))</f>
        <v>4 - Sustained</v>
      </c>
      <c r="B284" t="s">
        <v>311</v>
      </c>
      <c r="C284" t="s">
        <v>473</v>
      </c>
      <c r="D284" t="s">
        <v>48</v>
      </c>
      <c r="E284" t="str">
        <f t="shared" si="70"/>
        <v>Nkhata Bay District [E7zpfyBt7Tw]|01-09|Male</v>
      </c>
      <c r="F284" s="229">
        <v>92</v>
      </c>
      <c r="G284" s="38">
        <v>51</v>
      </c>
      <c r="H284" s="38">
        <v>14</v>
      </c>
      <c r="I284" s="38">
        <v>74</v>
      </c>
      <c r="J284" s="38">
        <v>95</v>
      </c>
      <c r="K284" s="38">
        <v>59</v>
      </c>
      <c r="L284" s="38">
        <v>5</v>
      </c>
      <c r="M284" s="38">
        <v>5</v>
      </c>
      <c r="N284" s="38">
        <v>103</v>
      </c>
      <c r="O284" s="229">
        <v>92</v>
      </c>
      <c r="P284" s="38">
        <v>91</v>
      </c>
      <c r="Q284" s="38">
        <v>86</v>
      </c>
      <c r="R284" s="38">
        <f t="shared" si="71"/>
        <v>18</v>
      </c>
      <c r="S284" s="38">
        <f>IF(LEFT($B284,4)="_Mil","",_xlfn.IFNA(ROUND(INDEX(Spectrum!$N:$N,MATCH(RIGHT($B284,13)&amp;"|"&amp;$C284&amp;"|"&amp;$D284&amp;"|"&amp;S$14&amp;"|"&amp;"CY2023Q4",Spectrum!$R:$R,0)),0),""))</f>
        <v>85</v>
      </c>
      <c r="T284" s="218">
        <f>IF(LEFT($B284,4)="_Mil","",_xlfn.IFNA(ROUND(INDEX(Spectrum!$N:$N,MATCH(RIGHT($B284,13)&amp;"|"&amp;$C284&amp;"|"&amp;$D284&amp;"|"&amp;T$14&amp;"|"&amp;"CY2024Q3",Spectrum!$R:$R,0)),0),""))</f>
        <v>40887</v>
      </c>
      <c r="U284" s="218">
        <f>IF(LEFT($B284,4)="_Mil","",_xlfn.IFNA(ROUND(INDEX(Spectrum!$N:$N,MATCH(RIGHT($B284,13)&amp;"|"&amp;$C284&amp;"|"&amp;$D284&amp;"|"&amp;U$14&amp;"|"&amp;"CY2024Q3",Spectrum!$R:$R,0)),0),""))</f>
        <v>147</v>
      </c>
      <c r="V284" s="38">
        <f>IF(LEFT($B284,4)="_Mil","",_xlfn.IFNA(ROUND(INDEX(Spectrum!$N:$N,MATCH(RIGHT($B284,13)&amp;"|"&amp;$C284&amp;"|"&amp;$D284&amp;"|"&amp;V$14&amp;"|"&amp;"CY2024Q3",Spectrum!$R:$R,0)),0),""))</f>
        <v>123</v>
      </c>
      <c r="W284" s="220">
        <f>IF(LEFT($B284,4)="_Mil","",_xlfn.IFNA(INDEX(Spectrum!$N:$N,MATCH(RIGHT($B284,13)&amp;"|"&amp;$C284&amp;"|"&amp;$D284&amp;"|"&amp;W$14&amp;"|"&amp;"CY2024Q3",Spectrum!$R:$R,0)),""))</f>
        <v>3.6016519999999999E-3</v>
      </c>
      <c r="X284" s="218">
        <f>IF(LEFT($B284,4)="_Mil","",_xlfn.IFNA(ROUND(INDEX(Spectrum!$N:$N,MATCH(RIGHT($B284,13)&amp;"|"&amp;$C284&amp;"|"&amp;$D284&amp;"|"&amp;X$14&amp;"|"&amp;"CY2024Q3",Spectrum!$R:$R,0)),0),""))</f>
        <v>102</v>
      </c>
      <c r="Y284" s="33">
        <f t="shared" si="72"/>
        <v>0.69</v>
      </c>
      <c r="Z284" s="218">
        <f>IF(LEFT($B284,4)="_Mil","",_xlfn.IFNA(ROUND(INDEX(Spectrum!$N:$N,MATCH(RIGHT($B284,13)&amp;"|"&amp;$C284&amp;"|"&amp;$D284&amp;"|"&amp;Z$14&amp;"|"&amp;"CY2024Q3",Spectrum!$R:$R,0)),0),""))</f>
        <v>82</v>
      </c>
      <c r="AA284" s="33">
        <f>IF(LEFT($B284,4)="_Mil","",IFERROR(1/(1/INDEX(Spectrum!$N:$N,MATCH(RIGHT($B284,13)&amp;"|"&amp;$C284&amp;"|"&amp;$D284&amp;"|"&amp;AA$14&amp;"|"&amp;"CY2024Q3",Spectrum!$R:$R,0))),IF(SUM($U284)=0,"",SUM($Z284)/$U284)))</f>
        <v>0.65033589300000005</v>
      </c>
      <c r="AB284" s="33">
        <f t="shared" si="73"/>
        <v>0.80392156862745101</v>
      </c>
      <c r="AC284" s="38">
        <f>IF(LEFT($B284,4)="_Mil","",_xlfn.IFNA(ROUND(INDEX(Spectrum!$N:$N,MATCH(RIGHT($B284,13)&amp;"|"&amp;$C284&amp;"|"&amp;$D284&amp;"|"&amp;AC$14&amp;"|"&amp;"CY2024Q3",Spectrum!$R:$R,0)),0),""))</f>
        <v>41</v>
      </c>
      <c r="AD284" s="38" t="str">
        <f>IF(LEFT($B284,4)="_Mil","",_xlfn.IFNA(ROUND(INDEX(Spectrum!$N:$N,MATCH(RIGHT($B284,13)&amp;"|"&amp;$C284&amp;"|"&amp;$D284&amp;"|"&amp;AD$14&amp;"|"&amp;"CY2024Q3",Spectrum!$R:$R,0)),0),""))</f>
        <v/>
      </c>
      <c r="AE284" s="33">
        <f t="shared" si="74"/>
        <v>0</v>
      </c>
      <c r="AF284" s="218" t="str">
        <f>IF(LEFT($B284,4)="_Mil","",_xlfn.IFNA(ROUND(INDEX(Spectrum!$N:$N,MATCH(RIGHT($B284,13)&amp;"|"&amp;$C284&amp;"|"&amp;$D284&amp;"|"&amp;AF$14&amp;"|"&amp;"CY2024Q3",Spectrum!$R:$R,0)),0),""))</f>
        <v/>
      </c>
      <c r="AG284" s="33" t="str">
        <f t="shared" si="75"/>
        <v/>
      </c>
      <c r="AH284" s="110" t="str">
        <f>IF(LEFT($B284,4)="_Mil","",_xlfn.IFNA(INDEX(Spectrum!$N:$N,MATCH(RIGHT($B284,13)&amp;"|"&amp;$C284&amp;"|"&amp;$D284&amp;"|"&amp;AH$14&amp;"|"&amp;"CY2024Q3",Spectrum!$R:$R,0)),""))</f>
        <v/>
      </c>
      <c r="AI284" s="218">
        <f>IF(LEFT($B284,4)="_Mil","",_xlfn.IFNA(ROUND(INDEX(Spectrum!$N:$N,MATCH(RIGHT($B284,13)&amp;"|"&amp;$C284&amp;"|"&amp;$D284&amp;"|"&amp;AI$14&amp;"|"&amp;"CY2025Q3",Spectrum!$R:$R,0)),0),""))</f>
        <v>2</v>
      </c>
      <c r="AJ284" s="38">
        <f>IF(LEFT($B284,4)="_Mil","",_xlfn.IFNA(ROUND(INDEX(Spectrum!$N:$N,MATCH(RIGHT($B284,13)&amp;"|"&amp;$C284&amp;"|"&amp;$D284&amp;"|"&amp;AJ$14&amp;"|"&amp;"CY2025Q3",Spectrum!$R:$R,0)),0),""))</f>
        <v>126</v>
      </c>
      <c r="AK284" s="218" t="e">
        <f>#REF!</f>
        <v>#REF!</v>
      </c>
      <c r="AL284" s="33">
        <f t="shared" si="76"/>
        <v>0.9</v>
      </c>
      <c r="AM284" s="38" t="e">
        <f>IF(OR(LEFT($B284,4)="_Mil",$C284="&lt;01"),"",ROUND(SUM($AK284)*SUM($AL284),0))</f>
        <v>#REF!</v>
      </c>
      <c r="AN284" s="38" t="str">
        <f>IF($C284="&lt;01",ROUND(INDEX(EID!$P:$P,MATCH($B284,EID!$B:$B,0))/2,0),"")</f>
        <v/>
      </c>
      <c r="AO284" s="38" t="e">
        <f>IF($C284="&lt;01",SUM($AN284),ROUND(SUM($AM284)*SUM($O284)/IF(SUM($Z284)=0,1,$Z284),0))</f>
        <v>#REF!</v>
      </c>
      <c r="AP284" s="218">
        <f>IF(OR($F284="",$C284="&lt;01"),$AO284,ROUND($F284,0))</f>
        <v>92</v>
      </c>
      <c r="AQ284" s="218">
        <f>IF(LEFT($B284,4)="_Mil","",IF(SUM($AP284)=0,SUM($Z284),IF(OR(SUM($Z284)=0,SUM($O284)=0),MAX($AP284,$Z284),ROUND($AP284*$Z284/$O284,0))))</f>
        <v>82</v>
      </c>
      <c r="AR284" s="33" t="e">
        <f>IF(OR(LEFT($B284,4)="_Mil",SUM($AK284)=0),"",SUM($AQ284)/$AK284)</f>
        <v>#REF!</v>
      </c>
      <c r="AS284" s="33">
        <f t="shared" si="81"/>
        <v>0.98</v>
      </c>
      <c r="AT284" s="33">
        <f t="shared" si="66"/>
        <v>0.98</v>
      </c>
      <c r="AU284" s="38">
        <f>IF($C284="&lt;01","",SUM($AP284)-SUM($O284))</f>
        <v>0</v>
      </c>
      <c r="AV284" s="38">
        <f>IF($C284="&lt;01",ROUND(INDEX(EID!$N:$N,MATCH($B284,EID!$B:$B,0))/2,0),IF(SUM($AT284)=0,"",ROUND((SUM($AP284)-(SUM($O284)*SUM($AS284)))/$AT284,0)))</f>
        <v>2</v>
      </c>
      <c r="AW284" s="33">
        <f t="shared" si="77"/>
        <v>1</v>
      </c>
      <c r="AX284" s="218">
        <f>IF($C284="&lt;01",SUM($AV284),ROUND(SUM($AV284)*SUM($AW284),0))</f>
        <v>2</v>
      </c>
      <c r="AY284" s="79">
        <f t="shared" si="78"/>
        <v>0.7</v>
      </c>
      <c r="AZ284" s="85">
        <f>IF($C284="&lt;01",ROUND(INDEX(EID!$R:$R,MATCH($B284,EID!$B:$B,0))/2,0),ROUND(SUM($O284)+(SUM($AV284)*$AY284),0))</f>
        <v>93</v>
      </c>
      <c r="BA284" s="40">
        <f t="shared" si="65"/>
        <v>0.9</v>
      </c>
      <c r="BB284" s="99">
        <f>IF($C284="&lt;01",ROUND(INDEX(EID!$T:$T,MATCH($B284,EID!$B:$B,0))/2,0),ROUND($AP284*$BA284,0))</f>
        <v>83</v>
      </c>
      <c r="BC284" s="85">
        <f>IF(LEFT($B284,4)="_Mil","",IF(SUM($BB284)=0,SUM($AD284),IF(OR(SUM($AP284)=0,SUM($AQ284)=0),MAX($BB284,$AD284),ROUND($BB284*$AQ284/$AP284,0))))</f>
        <v>74</v>
      </c>
      <c r="BD284" s="33">
        <f t="shared" si="79"/>
        <v>0.95</v>
      </c>
      <c r="BE284" s="218">
        <f>IF($C284="&lt;01",ROUND(INDEX(EID!$V:$V,MATCH($B284,EID!$B:$B,0))/2,0),ROUND($BD284*$BB284,0))</f>
        <v>79</v>
      </c>
      <c r="BF284" s="218">
        <f>IF(LEFT($B284,4)="_Mil","",IF(SUM($BE284)=0,SUM($AF284),IF(OR(SUM($AP284)=0,SUM($AQ284)=0),MAX($BE284,$AF284),ROUND($BE284*$AQ284/$AP284,0))))</f>
        <v>70</v>
      </c>
      <c r="BG284" s="79">
        <f t="shared" si="80"/>
        <v>0.95</v>
      </c>
      <c r="BH284" s="99">
        <f>IF($C284="&lt;01",ROUND(INDEX(EID!$L:$L,MATCH($B284,EID!$B:$B,0)),0)/2,IF(SUM($BG284)=0,"",ROUND($AX284/$BG284,0)))</f>
        <v>2</v>
      </c>
    </row>
    <row r="285" spans="1:60" x14ac:dyDescent="0.2">
      <c r="A285" t="str">
        <f>INDEX(Prioritization!$D:$D,MATCH($B285,Prioritization!$A:$A,0))</f>
        <v>4 - Sustained</v>
      </c>
      <c r="B285" t="s">
        <v>311</v>
      </c>
      <c r="C285" t="s">
        <v>474</v>
      </c>
      <c r="D285" t="s">
        <v>30</v>
      </c>
      <c r="E285" t="str">
        <f t="shared" si="70"/>
        <v>Nkhata Bay District [E7zpfyBt7Tw]|10-14|Female</v>
      </c>
      <c r="F285" s="229">
        <v>121</v>
      </c>
      <c r="G285" s="38">
        <v>36</v>
      </c>
      <c r="H285" s="38">
        <v>7</v>
      </c>
      <c r="I285" s="38">
        <v>108</v>
      </c>
      <c r="J285" s="38">
        <v>141</v>
      </c>
      <c r="K285" s="38">
        <v>77</v>
      </c>
      <c r="L285" s="38">
        <v>14</v>
      </c>
      <c r="M285" s="38">
        <v>13</v>
      </c>
      <c r="N285" s="38">
        <v>127</v>
      </c>
      <c r="O285" s="229">
        <v>121</v>
      </c>
      <c r="P285" s="38">
        <v>107</v>
      </c>
      <c r="Q285" s="38">
        <v>102</v>
      </c>
      <c r="R285" s="38">
        <f t="shared" si="71"/>
        <v>13</v>
      </c>
      <c r="S285" s="38">
        <f>IF(LEFT($B285,4)="_Mil","",_xlfn.IFNA(ROUND(INDEX(Spectrum!$N:$N,MATCH(RIGHT($B285,13)&amp;"|"&amp;$C285&amp;"|"&amp;$D285&amp;"|"&amp;S$14&amp;"|"&amp;"CY2023Q4",Spectrum!$R:$R,0)),0),""))</f>
        <v>109</v>
      </c>
      <c r="T285" s="218">
        <f>IF(LEFT($B285,4)="_Mil","",_xlfn.IFNA(ROUND(INDEX(Spectrum!$N:$N,MATCH(RIGHT($B285,13)&amp;"|"&amp;$C285&amp;"|"&amp;$D285&amp;"|"&amp;T$14&amp;"|"&amp;"CY2024Q3",Spectrum!$R:$R,0)),0),""))</f>
        <v>23386</v>
      </c>
      <c r="U285" s="218">
        <f>IF(LEFT($B285,4)="_Mil","",_xlfn.IFNA(ROUND(INDEX(Spectrum!$N:$N,MATCH(RIGHT($B285,13)&amp;"|"&amp;$C285&amp;"|"&amp;$D285&amp;"|"&amp;U$14&amp;"|"&amp;"CY2024Q3",Spectrum!$R:$R,0)),0),""))</f>
        <v>192</v>
      </c>
      <c r="V285" s="38">
        <f>IF(LEFT($B285,4)="_Mil","",_xlfn.IFNA(ROUND(INDEX(Spectrum!$N:$N,MATCH(RIGHT($B285,13)&amp;"|"&amp;$C285&amp;"|"&amp;$D285&amp;"|"&amp;V$14&amp;"|"&amp;"CY2024Q3",Spectrum!$R:$R,0)),0),""))</f>
        <v>161</v>
      </c>
      <c r="W285" s="220">
        <f>IF(LEFT($B285,4)="_Mil","",_xlfn.IFNA(INDEX(Spectrum!$N:$N,MATCH(RIGHT($B285,13)&amp;"|"&amp;$C285&amp;"|"&amp;$D285&amp;"|"&amp;W$14&amp;"|"&amp;"CY2024Q3",Spectrum!$R:$R,0)),""))</f>
        <v>8.2164300000000003E-3</v>
      </c>
      <c r="X285" s="218">
        <f>IF(LEFT($B285,4)="_Mil","",_xlfn.IFNA(ROUND(INDEX(Spectrum!$N:$N,MATCH(RIGHT($B285,13)&amp;"|"&amp;$C285&amp;"|"&amp;$D285&amp;"|"&amp;X$14&amp;"|"&amp;"CY2024Q3",Spectrum!$R:$R,0)),0),""))</f>
        <v>141</v>
      </c>
      <c r="Y285" s="33">
        <f t="shared" si="72"/>
        <v>0.73</v>
      </c>
      <c r="Z285" s="218">
        <f>IF(LEFT($B285,4)="_Mil","",_xlfn.IFNA(ROUND(INDEX(Spectrum!$N:$N,MATCH(RIGHT($B285,13)&amp;"|"&amp;$C285&amp;"|"&amp;$D285&amp;"|"&amp;Z$14&amp;"|"&amp;"CY2024Q3",Spectrum!$R:$R,0)),0),""))</f>
        <v>108</v>
      </c>
      <c r="AA285" s="33">
        <f>IF(LEFT($B285,4)="_Mil","",IFERROR(1/(1/INDEX(Spectrum!$N:$N,MATCH(RIGHT($B285,13)&amp;"|"&amp;$C285&amp;"|"&amp;$D285&amp;"|"&amp;AA$14&amp;"|"&amp;"CY2024Q3",Spectrum!$R:$R,0))),IF(SUM($U285)=0,"",SUM($Z285)/$U285)))</f>
        <v>0.69107622199999996</v>
      </c>
      <c r="AB285" s="33">
        <f t="shared" si="73"/>
        <v>0.76595744680851063</v>
      </c>
      <c r="AC285" s="38">
        <f>IF(LEFT($B285,4)="_Mil","",_xlfn.IFNA(ROUND(INDEX(Spectrum!$N:$N,MATCH(RIGHT($B285,13)&amp;"|"&amp;$C285&amp;"|"&amp;$D285&amp;"|"&amp;AC$14&amp;"|"&amp;"CY2024Q3",Spectrum!$R:$R,0)),0),""))</f>
        <v>53</v>
      </c>
      <c r="AD285" s="38" t="str">
        <f>IF(LEFT($B285,4)="_Mil","",_xlfn.IFNA(ROUND(INDEX(Spectrum!$N:$N,MATCH(RIGHT($B285,13)&amp;"|"&amp;$C285&amp;"|"&amp;$D285&amp;"|"&amp;AD$14&amp;"|"&amp;"CY2024Q3",Spectrum!$R:$R,0)),0),""))</f>
        <v/>
      </c>
      <c r="AE285" s="33">
        <f t="shared" si="74"/>
        <v>0</v>
      </c>
      <c r="AF285" s="218" t="str">
        <f>IF(LEFT($B285,4)="_Mil","",_xlfn.IFNA(ROUND(INDEX(Spectrum!$N:$N,MATCH(RIGHT($B285,13)&amp;"|"&amp;$C285&amp;"|"&amp;$D285&amp;"|"&amp;AF$14&amp;"|"&amp;"CY2024Q3",Spectrum!$R:$R,0)),0),""))</f>
        <v/>
      </c>
      <c r="AG285" s="33" t="str">
        <f t="shared" si="75"/>
        <v/>
      </c>
      <c r="AH285" s="110" t="str">
        <f>IF(LEFT($B285,4)="_Mil","",_xlfn.IFNA(INDEX(Spectrum!$N:$N,MATCH(RIGHT($B285,13)&amp;"|"&amp;$C285&amp;"|"&amp;$D285&amp;"|"&amp;AH$14&amp;"|"&amp;"CY2024Q3",Spectrum!$R:$R,0)),""))</f>
        <v/>
      </c>
      <c r="AI285" s="218">
        <f>IF(LEFT($B285,4)="_Mil","",_xlfn.IFNA(ROUND(INDEX(Spectrum!$N:$N,MATCH(RIGHT($B285,13)&amp;"|"&amp;$C285&amp;"|"&amp;$D285&amp;"|"&amp;AI$14&amp;"|"&amp;"CY2025Q3",Spectrum!$R:$R,0)),0),""))</f>
        <v>0</v>
      </c>
      <c r="AJ285" s="38">
        <f>IF(LEFT($B285,4)="_Mil","",_xlfn.IFNA(ROUND(INDEX(Spectrum!$N:$N,MATCH(RIGHT($B285,13)&amp;"|"&amp;$C285&amp;"|"&amp;$D285&amp;"|"&amp;AJ$14&amp;"|"&amp;"CY2025Q3",Spectrum!$R:$R,0)),0),""))</f>
        <v>171</v>
      </c>
      <c r="AK285" s="218" t="e">
        <f>#REF!</f>
        <v>#REF!</v>
      </c>
      <c r="AL285" s="33">
        <f t="shared" si="76"/>
        <v>0.9</v>
      </c>
      <c r="AM285" s="38" t="e">
        <f>IF(OR(LEFT($B285,4)="_Mil",$C285="&lt;01"),"",ROUND(SUM($AK285)*SUM($AL285),0))</f>
        <v>#REF!</v>
      </c>
      <c r="AN285" s="38" t="str">
        <f>IF($C285="&lt;01",ROUND(INDEX(EID!$P:$P,MATCH($B285,EID!$B:$B,0))/2,0),"")</f>
        <v/>
      </c>
      <c r="AO285" s="38" t="e">
        <f>IF($C285="&lt;01",SUM($AN285),ROUND(SUM($AM285)*SUM($O285)/IF(SUM($Z285)=0,1,$Z285),0))</f>
        <v>#REF!</v>
      </c>
      <c r="AP285" s="218">
        <f>IF(OR($F285="",$C285="&lt;01"),$AO285,ROUND($F285,0))</f>
        <v>121</v>
      </c>
      <c r="AQ285" s="218">
        <f>IF(LEFT($B285,4)="_Mil","",IF(SUM($AP285)=0,SUM($Z285),IF(OR(SUM($Z285)=0,SUM($O285)=0),MAX($AP285,$Z285),ROUND($AP285*$Z285/$O285,0))))</f>
        <v>108</v>
      </c>
      <c r="AR285" s="33" t="e">
        <f>IF(OR(LEFT($B285,4)="_Mil",SUM($AK285)=0),"",SUM($AQ285)/$AK285)</f>
        <v>#REF!</v>
      </c>
      <c r="AS285" s="33">
        <f>IF($C285="&lt;01","",90%)</f>
        <v>0.9</v>
      </c>
      <c r="AT285" s="33">
        <f t="shared" si="66"/>
        <v>0.98</v>
      </c>
      <c r="AU285" s="38">
        <f>IF($C285="&lt;01","",SUM($AP285)-SUM($O285))</f>
        <v>0</v>
      </c>
      <c r="AV285" s="38">
        <f>IF($C285="&lt;01",ROUND(INDEX(EID!$N:$N,MATCH($B285,EID!$B:$B,0))/2,0),IF(SUM($AT285)=0,"",ROUND((SUM($AP285)-(SUM($O285)*SUM($AS285)))/$AT285,0)))</f>
        <v>12</v>
      </c>
      <c r="AW285" s="33">
        <f t="shared" si="77"/>
        <v>1</v>
      </c>
      <c r="AX285" s="218">
        <f>IF($C285="&lt;01",SUM($AV285),ROUND(SUM($AV285)*SUM($AW285),0))</f>
        <v>12</v>
      </c>
      <c r="AY285" s="79">
        <f t="shared" si="78"/>
        <v>0.7</v>
      </c>
      <c r="AZ285" s="85">
        <f>IF($C285="&lt;01",ROUND(INDEX(EID!$R:$R,MATCH($B285,EID!$B:$B,0))/2,0),ROUND(SUM($O285)+(SUM($AV285)*$AY285),0))</f>
        <v>129</v>
      </c>
      <c r="BA285" s="40">
        <f t="shared" si="65"/>
        <v>0.9</v>
      </c>
      <c r="BB285" s="99">
        <f>IF($C285="&lt;01",ROUND(INDEX(EID!$T:$T,MATCH($B285,EID!$B:$B,0))/2,0),ROUND($AP285*$BA285,0))</f>
        <v>109</v>
      </c>
      <c r="BC285" s="85">
        <f>IF(LEFT($B285,4)="_Mil","",IF(SUM($BB285)=0,SUM($AD285),IF(OR(SUM($AP285)=0,SUM($AQ285)=0),MAX($BB285,$AD285),ROUND($BB285*$AQ285/$AP285,0))))</f>
        <v>97</v>
      </c>
      <c r="BD285" s="33">
        <f t="shared" si="79"/>
        <v>0.95</v>
      </c>
      <c r="BE285" s="218">
        <f>IF($C285="&lt;01",ROUND(INDEX(EID!$V:$V,MATCH($B285,EID!$B:$B,0))/2,0),ROUND($BD285*$BB285,0))</f>
        <v>104</v>
      </c>
      <c r="BF285" s="218">
        <f>IF(LEFT($B285,4)="_Mil","",IF(SUM($BE285)=0,SUM($AF285),IF(OR(SUM($AP285)=0,SUM($AQ285)=0),MAX($BE285,$AF285),ROUND($BE285*$AQ285/$AP285,0))))</f>
        <v>93</v>
      </c>
      <c r="BG285" s="79">
        <f t="shared" si="80"/>
        <v>0.95</v>
      </c>
      <c r="BH285" s="99">
        <f>IF($C285="&lt;01",ROUND(INDEX(EID!$L:$L,MATCH($B285,EID!$B:$B,0)),0)/2,IF(SUM($BG285)=0,"",ROUND($AX285/$BG285,0)))</f>
        <v>13</v>
      </c>
    </row>
    <row r="286" spans="1:60" x14ac:dyDescent="0.2">
      <c r="A286" t="str">
        <f>INDEX(Prioritization!$D:$D,MATCH($B286,Prioritization!$A:$A,0))</f>
        <v>4 - Sustained</v>
      </c>
      <c r="B286" t="s">
        <v>311</v>
      </c>
      <c r="C286" t="s">
        <v>474</v>
      </c>
      <c r="D286" t="s">
        <v>48</v>
      </c>
      <c r="E286" t="str">
        <f t="shared" si="70"/>
        <v>Nkhata Bay District [E7zpfyBt7Tw]|10-14|Male</v>
      </c>
      <c r="F286" s="229">
        <v>120</v>
      </c>
      <c r="G286" s="38">
        <v>26</v>
      </c>
      <c r="H286" s="38">
        <v>3</v>
      </c>
      <c r="I286" s="38">
        <v>100</v>
      </c>
      <c r="J286" s="38">
        <v>99</v>
      </c>
      <c r="K286" s="38">
        <v>58</v>
      </c>
      <c r="L286" s="38">
        <v>15</v>
      </c>
      <c r="M286" s="38">
        <v>15</v>
      </c>
      <c r="N286" s="38">
        <v>131</v>
      </c>
      <c r="O286" s="229">
        <v>120</v>
      </c>
      <c r="P286" s="38">
        <v>110</v>
      </c>
      <c r="Q286" s="38">
        <v>105</v>
      </c>
      <c r="R286" s="38">
        <f t="shared" si="71"/>
        <v>20</v>
      </c>
      <c r="S286" s="38">
        <f>IF(LEFT($B286,4)="_Mil","",_xlfn.IFNA(ROUND(INDEX(Spectrum!$N:$N,MATCH(RIGHT($B286,13)&amp;"|"&amp;$C286&amp;"|"&amp;$D286&amp;"|"&amp;S$14&amp;"|"&amp;"CY2023Q4",Spectrum!$R:$R,0)),0),""))</f>
        <v>113</v>
      </c>
      <c r="T286" s="218">
        <f>IF(LEFT($B286,4)="_Mil","",_xlfn.IFNA(ROUND(INDEX(Spectrum!$N:$N,MATCH(RIGHT($B286,13)&amp;"|"&amp;$C286&amp;"|"&amp;$D286&amp;"|"&amp;T$14&amp;"|"&amp;"CY2024Q3",Spectrum!$R:$R,0)),0),""))</f>
        <v>23387</v>
      </c>
      <c r="U286" s="218">
        <f>IF(LEFT($B286,4)="_Mil","",_xlfn.IFNA(ROUND(INDEX(Spectrum!$N:$N,MATCH(RIGHT($B286,13)&amp;"|"&amp;$C286&amp;"|"&amp;$D286&amp;"|"&amp;U$14&amp;"|"&amp;"CY2024Q3",Spectrum!$R:$R,0)),0),""))</f>
        <v>191</v>
      </c>
      <c r="V286" s="38">
        <f>IF(LEFT($B286,4)="_Mil","",_xlfn.IFNA(ROUND(INDEX(Spectrum!$N:$N,MATCH(RIGHT($B286,13)&amp;"|"&amp;$C286&amp;"|"&amp;$D286&amp;"|"&amp;V$14&amp;"|"&amp;"CY2024Q3",Spectrum!$R:$R,0)),0),""))</f>
        <v>160</v>
      </c>
      <c r="W286" s="220">
        <f>IF(LEFT($B286,4)="_Mil","",_xlfn.IFNA(INDEX(Spectrum!$N:$N,MATCH(RIGHT($B286,13)&amp;"|"&amp;$C286&amp;"|"&amp;$D286&amp;"|"&amp;W$14&amp;"|"&amp;"CY2024Q3",Spectrum!$R:$R,0)),""))</f>
        <v>8.1872830000000001E-3</v>
      </c>
      <c r="X286" s="218">
        <f>IF(LEFT($B286,4)="_Mil","",_xlfn.IFNA(ROUND(INDEX(Spectrum!$N:$N,MATCH(RIGHT($B286,13)&amp;"|"&amp;$C286&amp;"|"&amp;$D286&amp;"|"&amp;X$14&amp;"|"&amp;"CY2024Q3",Spectrum!$R:$R,0)),0),""))</f>
        <v>141</v>
      </c>
      <c r="Y286" s="33">
        <f t="shared" si="72"/>
        <v>0.74</v>
      </c>
      <c r="Z286" s="218">
        <f>IF(LEFT($B286,4)="_Mil","",_xlfn.IFNA(ROUND(INDEX(Spectrum!$N:$N,MATCH(RIGHT($B286,13)&amp;"|"&amp;$C286&amp;"|"&amp;$D286&amp;"|"&amp;Z$14&amp;"|"&amp;"CY2024Q3",Spectrum!$R:$R,0)),0),""))</f>
        <v>112</v>
      </c>
      <c r="AA286" s="33">
        <f>IF(LEFT($B286,4)="_Mil","",IFERROR(1/(1/INDEX(Spectrum!$N:$N,MATCH(RIGHT($B286,13)&amp;"|"&amp;$C286&amp;"|"&amp;$D286&amp;"|"&amp;AA$14&amp;"|"&amp;"CY2024Q3",Spectrum!$R:$R,0))),IF(SUM($U286)=0,"",SUM($Z286)/$U286)))</f>
        <v>0.69084721699999996</v>
      </c>
      <c r="AB286" s="33">
        <f t="shared" si="73"/>
        <v>0.79432624113475181</v>
      </c>
      <c r="AC286" s="38">
        <f>IF(LEFT($B286,4)="_Mil","",_xlfn.IFNA(ROUND(INDEX(Spectrum!$N:$N,MATCH(RIGHT($B286,13)&amp;"|"&amp;$C286&amp;"|"&amp;$D286&amp;"|"&amp;AC$14&amp;"|"&amp;"CY2024Q3",Spectrum!$R:$R,0)),0),""))</f>
        <v>48</v>
      </c>
      <c r="AD286" s="38" t="str">
        <f>IF(LEFT($B286,4)="_Mil","",_xlfn.IFNA(ROUND(INDEX(Spectrum!$N:$N,MATCH(RIGHT($B286,13)&amp;"|"&amp;$C286&amp;"|"&amp;$D286&amp;"|"&amp;AD$14&amp;"|"&amp;"CY2024Q3",Spectrum!$R:$R,0)),0),""))</f>
        <v/>
      </c>
      <c r="AE286" s="33">
        <f t="shared" si="74"/>
        <v>0</v>
      </c>
      <c r="AF286" s="218" t="str">
        <f>IF(LEFT($B286,4)="_Mil","",_xlfn.IFNA(ROUND(INDEX(Spectrum!$N:$N,MATCH(RIGHT($B286,13)&amp;"|"&amp;$C286&amp;"|"&amp;$D286&amp;"|"&amp;AF$14&amp;"|"&amp;"CY2024Q3",Spectrum!$R:$R,0)),0),""))</f>
        <v/>
      </c>
      <c r="AG286" s="33" t="str">
        <f t="shared" si="75"/>
        <v/>
      </c>
      <c r="AH286" s="110" t="str">
        <f>IF(LEFT($B286,4)="_Mil","",_xlfn.IFNA(INDEX(Spectrum!$N:$N,MATCH(RIGHT($B286,13)&amp;"|"&amp;$C286&amp;"|"&amp;$D286&amp;"|"&amp;AH$14&amp;"|"&amp;"CY2024Q3",Spectrum!$R:$R,0)),""))</f>
        <v/>
      </c>
      <c r="AI286" s="218">
        <f>IF(LEFT($B286,4)="_Mil","",_xlfn.IFNA(ROUND(INDEX(Spectrum!$N:$N,MATCH(RIGHT($B286,13)&amp;"|"&amp;$C286&amp;"|"&amp;$D286&amp;"|"&amp;AI$14&amp;"|"&amp;"CY2025Q3",Spectrum!$R:$R,0)),0),""))</f>
        <v>0</v>
      </c>
      <c r="AJ286" s="38">
        <f>IF(LEFT($B286,4)="_Mil","",_xlfn.IFNA(ROUND(INDEX(Spectrum!$N:$N,MATCH(RIGHT($B286,13)&amp;"|"&amp;$C286&amp;"|"&amp;$D286&amp;"|"&amp;AJ$14&amp;"|"&amp;"CY2025Q3",Spectrum!$R:$R,0)),0),""))</f>
        <v>171</v>
      </c>
      <c r="AK286" s="218" t="e">
        <f>#REF!</f>
        <v>#REF!</v>
      </c>
      <c r="AL286" s="33">
        <f t="shared" si="76"/>
        <v>0.9</v>
      </c>
      <c r="AM286" s="38" t="e">
        <f>IF(OR(LEFT($B286,4)="_Mil",$C286="&lt;01"),"",ROUND(SUM($AK286)*SUM($AL286),0))</f>
        <v>#REF!</v>
      </c>
      <c r="AN286" s="38" t="str">
        <f>IF($C286="&lt;01",ROUND(INDEX(EID!$P:$P,MATCH($B286,EID!$B:$B,0))/2,0),"")</f>
        <v/>
      </c>
      <c r="AO286" s="38" t="e">
        <f>IF($C286="&lt;01",SUM($AN286),ROUND(SUM($AM286)*SUM($O286)/IF(SUM($Z286)=0,1,$Z286),0))</f>
        <v>#REF!</v>
      </c>
      <c r="AP286" s="218">
        <f>IF(OR($F286="",$C286="&lt;01"),$AO286,ROUND($F286,0))</f>
        <v>120</v>
      </c>
      <c r="AQ286" s="218">
        <f>IF(LEFT($B286,4)="_Mil","",IF(SUM($AP286)=0,SUM($Z286),IF(OR(SUM($Z286)=0,SUM($O286)=0),MAX($AP286,$Z286),ROUND($AP286*$Z286/$O286,0))))</f>
        <v>112</v>
      </c>
      <c r="AR286" s="33" t="e">
        <f>IF(OR(LEFT($B286,4)="_Mil",SUM($AK286)=0),"",SUM($AQ286)/$AK286)</f>
        <v>#REF!</v>
      </c>
      <c r="AS286" s="33">
        <f t="shared" si="81"/>
        <v>0.98</v>
      </c>
      <c r="AT286" s="33">
        <f t="shared" si="66"/>
        <v>0.98</v>
      </c>
      <c r="AU286" s="38">
        <f>IF($C286="&lt;01","",SUM($AP286)-SUM($O286))</f>
        <v>0</v>
      </c>
      <c r="AV286" s="38">
        <f>IF($C286="&lt;01",ROUND(INDEX(EID!$N:$N,MATCH($B286,EID!$B:$B,0))/2,0),IF(SUM($AT286)=0,"",ROUND((SUM($AP286)-(SUM($O286)*SUM($AS286)))/$AT286,0)))</f>
        <v>2</v>
      </c>
      <c r="AW286" s="33">
        <f t="shared" si="77"/>
        <v>1</v>
      </c>
      <c r="AX286" s="218">
        <f>IF($C286="&lt;01",SUM($AV286),ROUND(SUM($AV286)*SUM($AW286),0))</f>
        <v>2</v>
      </c>
      <c r="AY286" s="79">
        <f t="shared" si="78"/>
        <v>0.7</v>
      </c>
      <c r="AZ286" s="85">
        <f>IF($C286="&lt;01",ROUND(INDEX(EID!$R:$R,MATCH($B286,EID!$B:$B,0))/2,0),ROUND(SUM($O286)+(SUM($AV286)*$AY286),0))</f>
        <v>121</v>
      </c>
      <c r="BA286" s="40">
        <f t="shared" si="65"/>
        <v>0.9</v>
      </c>
      <c r="BB286" s="99">
        <f>IF($C286="&lt;01",ROUND(INDEX(EID!$T:$T,MATCH($B286,EID!$B:$B,0))/2,0),ROUND($AP286*$BA286,0))</f>
        <v>108</v>
      </c>
      <c r="BC286" s="85">
        <f>IF(LEFT($B286,4)="_Mil","",IF(SUM($BB286)=0,SUM($AD286),IF(OR(SUM($AP286)=0,SUM($AQ286)=0),MAX($BB286,$AD286),ROUND($BB286*$AQ286/$AP286,0))))</f>
        <v>101</v>
      </c>
      <c r="BD286" s="33">
        <f t="shared" si="79"/>
        <v>0.95</v>
      </c>
      <c r="BE286" s="218">
        <f>IF($C286="&lt;01",ROUND(INDEX(EID!$V:$V,MATCH($B286,EID!$B:$B,0))/2,0),ROUND($BD286*$BB286,0))</f>
        <v>103</v>
      </c>
      <c r="BF286" s="218">
        <f>IF(LEFT($B286,4)="_Mil","",IF(SUM($BE286)=0,SUM($AF286),IF(OR(SUM($AP286)=0,SUM($AQ286)=0),MAX($BE286,$AF286),ROUND($BE286*$AQ286/$AP286,0))))</f>
        <v>96</v>
      </c>
      <c r="BG286" s="79">
        <f t="shared" si="80"/>
        <v>0.95</v>
      </c>
      <c r="BH286" s="99">
        <f>IF($C286="&lt;01",ROUND(INDEX(EID!$L:$L,MATCH($B286,EID!$B:$B,0)),0)/2,IF(SUM($BG286)=0,"",ROUND($AX286/$BG286,0)))</f>
        <v>2</v>
      </c>
    </row>
    <row r="287" spans="1:60" x14ac:dyDescent="0.2">
      <c r="A287" t="str">
        <f>INDEX(Prioritization!$D:$D,MATCH($B287,Prioritization!$A:$A,0))</f>
        <v>4 - Sustained</v>
      </c>
      <c r="B287" t="s">
        <v>311</v>
      </c>
      <c r="C287" t="s">
        <v>475</v>
      </c>
      <c r="D287" t="s">
        <v>30</v>
      </c>
      <c r="E287" t="str">
        <f t="shared" si="70"/>
        <v>Nkhata Bay District [E7zpfyBt7Tw]|15-24|Female</v>
      </c>
      <c r="F287" s="229">
        <v>473</v>
      </c>
      <c r="G287" s="38">
        <v>124</v>
      </c>
      <c r="H287" s="38">
        <v>122</v>
      </c>
      <c r="I287" s="38">
        <v>473</v>
      </c>
      <c r="J287" s="38">
        <v>431</v>
      </c>
      <c r="K287" s="38">
        <v>341</v>
      </c>
      <c r="L287" s="38">
        <v>48</v>
      </c>
      <c r="M287" s="38">
        <v>47</v>
      </c>
      <c r="N287" s="38">
        <v>544</v>
      </c>
      <c r="O287" s="229">
        <v>473</v>
      </c>
      <c r="P287" s="38">
        <v>499</v>
      </c>
      <c r="Q287" s="38">
        <v>474</v>
      </c>
      <c r="R287" s="38">
        <f t="shared" si="71"/>
        <v>0</v>
      </c>
      <c r="S287" s="38">
        <f>IF(LEFT($B287,4)="_Mil","",_xlfn.IFNA(ROUND(INDEX(Spectrum!$N:$N,MATCH(RIGHT($B287,13)&amp;"|"&amp;$C287&amp;"|"&amp;$D287&amp;"|"&amp;S$14&amp;"|"&amp;"CY2023Q4",Spectrum!$R:$R,0)),0),""))</f>
        <v>559</v>
      </c>
      <c r="T287" s="218">
        <f>IF(LEFT($B287,4)="_Mil","",_xlfn.IFNA(ROUND(INDEX(Spectrum!$N:$N,MATCH(RIGHT($B287,13)&amp;"|"&amp;$C287&amp;"|"&amp;$D287&amp;"|"&amp;T$14&amp;"|"&amp;"CY2024Q3",Spectrum!$R:$R,0)),0),""))</f>
        <v>39277</v>
      </c>
      <c r="U287" s="218">
        <f>IF(LEFT($B287,4)="_Mil","",_xlfn.IFNA(ROUND(INDEX(Spectrum!$N:$N,MATCH(RIGHT($B287,13)&amp;"|"&amp;$C287&amp;"|"&amp;$D287&amp;"|"&amp;U$14&amp;"|"&amp;"CY2024Q3",Spectrum!$R:$R,0)),0),""))</f>
        <v>706</v>
      </c>
      <c r="V287" s="38">
        <f>IF(LEFT($B287,4)="_Mil","",_xlfn.IFNA(ROUND(INDEX(Spectrum!$N:$N,MATCH(RIGHT($B287,13)&amp;"|"&amp;$C287&amp;"|"&amp;$D287&amp;"|"&amp;V$14&amp;"|"&amp;"CY2024Q3",Spectrum!$R:$R,0)),0),""))</f>
        <v>590</v>
      </c>
      <c r="W287" s="220">
        <f>IF(LEFT($B287,4)="_Mil","",_xlfn.IFNA(INDEX(Spectrum!$N:$N,MATCH(RIGHT($B287,13)&amp;"|"&amp;$C287&amp;"|"&amp;$D287&amp;"|"&amp;W$14&amp;"|"&amp;"CY2024Q3",Spectrum!$R:$R,0)),""))</f>
        <v>1.7973386000000001E-2</v>
      </c>
      <c r="X287" s="218">
        <f>IF(LEFT($B287,4)="_Mil","",_xlfn.IFNA(ROUND(INDEX(Spectrum!$N:$N,MATCH(RIGHT($B287,13)&amp;"|"&amp;$C287&amp;"|"&amp;$D287&amp;"|"&amp;X$14&amp;"|"&amp;"CY2024Q3",Spectrum!$R:$R,0)),0),""))</f>
        <v>657</v>
      </c>
      <c r="Y287" s="33">
        <f t="shared" si="72"/>
        <v>0.93</v>
      </c>
      <c r="Z287" s="218">
        <f>IF(LEFT($B287,4)="_Mil","",_xlfn.IFNA(ROUND(INDEX(Spectrum!$N:$N,MATCH(RIGHT($B287,13)&amp;"|"&amp;$C287&amp;"|"&amp;$D287&amp;"|"&amp;Z$14&amp;"|"&amp;"CY2024Q3",Spectrum!$R:$R,0)),0),""))</f>
        <v>550</v>
      </c>
      <c r="AA287" s="33">
        <f>IF(LEFT($B287,4)="_Mil","",IFERROR(1/(1/INDEX(Spectrum!$N:$N,MATCH(RIGHT($B287,13)&amp;"|"&amp;$C287&amp;"|"&amp;$D287&amp;"|"&amp;AA$14&amp;"|"&amp;"CY2024Q3",Spectrum!$R:$R,0))),IF(SUM($U287)=0,"",SUM($Z287)/$U287)))</f>
        <v>0.93130131999999988</v>
      </c>
      <c r="AB287" s="33">
        <f t="shared" si="73"/>
        <v>0.83713850837138504</v>
      </c>
      <c r="AC287" s="38">
        <f>IF(LEFT($B287,4)="_Mil","",_xlfn.IFNA(ROUND(INDEX(Spectrum!$N:$N,MATCH(RIGHT($B287,13)&amp;"|"&amp;$C287&amp;"|"&amp;$D287&amp;"|"&amp;AC$14&amp;"|"&amp;"CY2024Q3",Spectrum!$R:$R,0)),0),""))</f>
        <v>40</v>
      </c>
      <c r="AD287" s="38" t="str">
        <f>IF(LEFT($B287,4)="_Mil","",_xlfn.IFNA(ROUND(INDEX(Spectrum!$N:$N,MATCH(RIGHT($B287,13)&amp;"|"&amp;$C287&amp;"|"&amp;$D287&amp;"|"&amp;AD$14&amp;"|"&amp;"CY2024Q3",Spectrum!$R:$R,0)),0),""))</f>
        <v/>
      </c>
      <c r="AE287" s="33">
        <f t="shared" si="74"/>
        <v>0</v>
      </c>
      <c r="AF287" s="218" t="str">
        <f>IF(LEFT($B287,4)="_Mil","",_xlfn.IFNA(ROUND(INDEX(Spectrum!$N:$N,MATCH(RIGHT($B287,13)&amp;"|"&amp;$C287&amp;"|"&amp;$D287&amp;"|"&amp;AF$14&amp;"|"&amp;"CY2024Q3",Spectrum!$R:$R,0)),0),""))</f>
        <v/>
      </c>
      <c r="AG287" s="33" t="str">
        <f t="shared" si="75"/>
        <v/>
      </c>
      <c r="AH287" s="110" t="str">
        <f>IF(LEFT($B287,4)="_Mil","",_xlfn.IFNA(INDEX(Spectrum!$N:$N,MATCH(RIGHT($B287,13)&amp;"|"&amp;$C287&amp;"|"&amp;$D287&amp;"|"&amp;AH$14&amp;"|"&amp;"CY2024Q3",Spectrum!$R:$R,0)),""))</f>
        <v/>
      </c>
      <c r="AI287" s="218">
        <f>IF(LEFT($B287,4)="_Mil","",_xlfn.IFNA(ROUND(INDEX(Spectrum!$N:$N,MATCH(RIGHT($B287,13)&amp;"|"&amp;$C287&amp;"|"&amp;$D287&amp;"|"&amp;AI$14&amp;"|"&amp;"CY2025Q3",Spectrum!$R:$R,0)),0),""))</f>
        <v>43</v>
      </c>
      <c r="AJ287" s="38">
        <f>IF(LEFT($B287,4)="_Mil","",_xlfn.IFNA(ROUND(INDEX(Spectrum!$N:$N,MATCH(RIGHT($B287,13)&amp;"|"&amp;$C287&amp;"|"&amp;$D287&amp;"|"&amp;AJ$14&amp;"|"&amp;"CY2025Q3",Spectrum!$R:$R,0)),0),""))</f>
        <v>687</v>
      </c>
      <c r="AK287" s="218" t="e">
        <f>#REF!</f>
        <v>#REF!</v>
      </c>
      <c r="AL287" s="33">
        <f t="shared" si="76"/>
        <v>0.93130131999999988</v>
      </c>
      <c r="AM287" s="38" t="e">
        <f>IF(OR(LEFT($B287,4)="_Mil",$C287="&lt;01"),"",ROUND(SUM($AK287)*SUM($AL287),0))</f>
        <v>#REF!</v>
      </c>
      <c r="AN287" s="38" t="str">
        <f>IF($C287="&lt;01",ROUND(INDEX(EID!$P:$P,MATCH($B287,EID!$B:$B,0))/2,0),"")</f>
        <v/>
      </c>
      <c r="AO287" s="38" t="e">
        <f>IF($C287="&lt;01",SUM($AN287),ROUND(SUM($AM287)*SUM($O287)/IF(SUM($Z287)=0,1,$Z287),0))</f>
        <v>#REF!</v>
      </c>
      <c r="AP287" s="218">
        <f>IF(OR($F287="",$C287="&lt;01"),$AO287,ROUND($F287,0))</f>
        <v>473</v>
      </c>
      <c r="AQ287" s="218">
        <f>IF(LEFT($B287,4)="_Mil","",IF(SUM($AP287)=0,SUM($Z287),IF(OR(SUM($Z287)=0,SUM($O287)=0),MAX($AP287,$Z287),ROUND($AP287*$Z287/$O287,0))))</f>
        <v>550</v>
      </c>
      <c r="AR287" s="33" t="e">
        <f>IF(OR(LEFT($B287,4)="_Mil",SUM($AK287)=0),"",SUM($AQ287)/$AK287)</f>
        <v>#REF!</v>
      </c>
      <c r="AS287" s="33">
        <f>IF($C287="&lt;01","",83%)</f>
        <v>0.83</v>
      </c>
      <c r="AT287" s="33">
        <f>IF($C287="&lt;01","",90%)</f>
        <v>0.9</v>
      </c>
      <c r="AU287" s="38">
        <f>IF($C287="&lt;01","",SUM($AP287)-SUM($O287))</f>
        <v>0</v>
      </c>
      <c r="AV287" s="38">
        <f>IF($C287="&lt;01",ROUND(INDEX(EID!$N:$N,MATCH($B287,EID!$B:$B,0))/2,0),IF(SUM($AT287)=0,"",ROUND((SUM($AP287)-(SUM($O287)*SUM($AS287)))/$AT287,0)))</f>
        <v>89</v>
      </c>
      <c r="AW287" s="33">
        <f t="shared" si="77"/>
        <v>1</v>
      </c>
      <c r="AX287" s="218">
        <f>IF($C287="&lt;01",SUM($AV287),ROUND(SUM($AV287)*SUM($AW287),0))</f>
        <v>89</v>
      </c>
      <c r="AY287" s="79">
        <f t="shared" si="78"/>
        <v>0.7</v>
      </c>
      <c r="AZ287" s="85">
        <f>IF($C287="&lt;01",ROUND(INDEX(EID!$R:$R,MATCH($B287,EID!$B:$B,0))/2,0),ROUND(SUM($O287)+(SUM($AV287)*$AY287),0))</f>
        <v>535</v>
      </c>
      <c r="BA287" s="40">
        <f t="shared" ref="BA287:BA350" si="82">IF($C287="&lt;01","",90%)</f>
        <v>0.9</v>
      </c>
      <c r="BB287" s="99">
        <f>IF($C287="&lt;01",ROUND(INDEX(EID!$T:$T,MATCH($B287,EID!$B:$B,0))/2,0),ROUND($AP287*$BA287,0))</f>
        <v>426</v>
      </c>
      <c r="BC287" s="85">
        <f>IF(LEFT($B287,4)="_Mil","",IF(SUM($BB287)=0,SUM($AD287),IF(OR(SUM($AP287)=0,SUM($AQ287)=0),MAX($BB287,$AD287),ROUND($BB287*$AQ287/$AP287,0))))</f>
        <v>495</v>
      </c>
      <c r="BD287" s="33">
        <f t="shared" si="79"/>
        <v>0.95</v>
      </c>
      <c r="BE287" s="218">
        <f>IF($C287="&lt;01",ROUND(INDEX(EID!$V:$V,MATCH($B287,EID!$B:$B,0))/2,0),ROUND($BD287*$BB287,0))</f>
        <v>405</v>
      </c>
      <c r="BF287" s="218">
        <f>IF(LEFT($B287,4)="_Mil","",IF(SUM($BE287)=0,SUM($AF287),IF(OR(SUM($AP287)=0,SUM($AQ287)=0),MAX($BE287,$AF287),ROUND($BE287*$AQ287/$AP287,0))))</f>
        <v>471</v>
      </c>
      <c r="BG287" s="79">
        <f t="shared" si="80"/>
        <v>0.95</v>
      </c>
      <c r="BH287" s="99">
        <f>IF($C287="&lt;01",ROUND(INDEX(EID!$L:$L,MATCH($B287,EID!$B:$B,0)),0)/2,IF(SUM($BG287)=0,"",ROUND($AX287/$BG287,0)))</f>
        <v>94</v>
      </c>
    </row>
    <row r="288" spans="1:60" x14ac:dyDescent="0.2">
      <c r="A288" t="str">
        <f>INDEX(Prioritization!$D:$D,MATCH($B288,Prioritization!$A:$A,0))</f>
        <v>4 - Sustained</v>
      </c>
      <c r="B288" t="s">
        <v>311</v>
      </c>
      <c r="C288" t="s">
        <v>475</v>
      </c>
      <c r="D288" t="s">
        <v>48</v>
      </c>
      <c r="E288" t="str">
        <f t="shared" si="70"/>
        <v>Nkhata Bay District [E7zpfyBt7Tw]|15-24|Male</v>
      </c>
      <c r="F288" s="229">
        <v>361</v>
      </c>
      <c r="G288" s="38">
        <v>52</v>
      </c>
      <c r="H288" s="38">
        <v>31</v>
      </c>
      <c r="I288" s="38">
        <v>239</v>
      </c>
      <c r="J288" s="38">
        <v>221</v>
      </c>
      <c r="K288" s="38">
        <v>128</v>
      </c>
      <c r="L288" s="38">
        <v>52</v>
      </c>
      <c r="M288" s="38">
        <v>49</v>
      </c>
      <c r="N288" s="38">
        <v>449</v>
      </c>
      <c r="O288" s="229">
        <v>349</v>
      </c>
      <c r="P288" s="38">
        <v>403</v>
      </c>
      <c r="Q288" s="38">
        <v>383</v>
      </c>
      <c r="R288" s="38">
        <f t="shared" si="71"/>
        <v>110</v>
      </c>
      <c r="S288" s="38">
        <f>IF(LEFT($B288,4)="_Mil","",_xlfn.IFNA(ROUND(INDEX(Spectrum!$N:$N,MATCH(RIGHT($B288,13)&amp;"|"&amp;$C288&amp;"|"&amp;$D288&amp;"|"&amp;S$14&amp;"|"&amp;"CY2023Q4",Spectrum!$R:$R,0)),0),""))</f>
        <v>417</v>
      </c>
      <c r="T288" s="218">
        <f>IF(LEFT($B288,4)="_Mil","",_xlfn.IFNA(ROUND(INDEX(Spectrum!$N:$N,MATCH(RIGHT($B288,13)&amp;"|"&amp;$C288&amp;"|"&amp;$D288&amp;"|"&amp;T$14&amp;"|"&amp;"CY2024Q3",Spectrum!$R:$R,0)),0),""))</f>
        <v>38988</v>
      </c>
      <c r="U288" s="218">
        <f>IF(LEFT($B288,4)="_Mil","",_xlfn.IFNA(ROUND(INDEX(Spectrum!$N:$N,MATCH(RIGHT($B288,13)&amp;"|"&amp;$C288&amp;"|"&amp;$D288&amp;"|"&amp;U$14&amp;"|"&amp;"CY2024Q3",Spectrum!$R:$R,0)),0),""))</f>
        <v>559</v>
      </c>
      <c r="V288" s="38">
        <f>IF(LEFT($B288,4)="_Mil","",_xlfn.IFNA(ROUND(INDEX(Spectrum!$N:$N,MATCH(RIGHT($B288,13)&amp;"|"&amp;$C288&amp;"|"&amp;$D288&amp;"|"&amp;V$14&amp;"|"&amp;"CY2024Q3",Spectrum!$R:$R,0)),0),""))</f>
        <v>465</v>
      </c>
      <c r="W288" s="220">
        <f>IF(LEFT($B288,4)="_Mil","",_xlfn.IFNA(INDEX(Spectrum!$N:$N,MATCH(RIGHT($B288,13)&amp;"|"&amp;$C288&amp;"|"&amp;$D288&amp;"|"&amp;W$14&amp;"|"&amp;"CY2024Q3",Spectrum!$R:$R,0)),""))</f>
        <v>1.4339184E-2</v>
      </c>
      <c r="X288" s="218">
        <f>IF(LEFT($B288,4)="_Mil","",_xlfn.IFNA(ROUND(INDEX(Spectrum!$N:$N,MATCH(RIGHT($B288,13)&amp;"|"&amp;$C288&amp;"|"&amp;$D288&amp;"|"&amp;X$14&amp;"|"&amp;"CY2024Q3",Spectrum!$R:$R,0)),0),""))</f>
        <v>505</v>
      </c>
      <c r="Y288" s="33">
        <f t="shared" si="72"/>
        <v>0.9</v>
      </c>
      <c r="Z288" s="218">
        <f>IF(LEFT($B288,4)="_Mil","",_xlfn.IFNA(ROUND(INDEX(Spectrum!$N:$N,MATCH(RIGHT($B288,13)&amp;"|"&amp;$C288&amp;"|"&amp;$D288&amp;"|"&amp;Z$14&amp;"|"&amp;"CY2024Q3",Spectrum!$R:$R,0)),0),""))</f>
        <v>420</v>
      </c>
      <c r="AA288" s="33">
        <f>IF(LEFT($B288,4)="_Mil","",IFERROR(1/(1/INDEX(Spectrum!$N:$N,MATCH(RIGHT($B288,13)&amp;"|"&amp;$C288&amp;"|"&amp;$D288&amp;"|"&amp;AA$14&amp;"|"&amp;"CY2024Q3",Spectrum!$R:$R,0))),IF(SUM($U288)=0,"",SUM($Z288)/$U288)))</f>
        <v>0.89991666600000009</v>
      </c>
      <c r="AB288" s="33">
        <f t="shared" si="73"/>
        <v>0.83168316831683164</v>
      </c>
      <c r="AC288" s="38">
        <f>IF(LEFT($B288,4)="_Mil","",_xlfn.IFNA(ROUND(INDEX(Spectrum!$N:$N,MATCH(RIGHT($B288,13)&amp;"|"&amp;$C288&amp;"|"&amp;$D288&amp;"|"&amp;AC$14&amp;"|"&amp;"CY2024Q3",Spectrum!$R:$R,0)),0),""))</f>
        <v>45</v>
      </c>
      <c r="AD288" s="38" t="str">
        <f>IF(LEFT($B288,4)="_Mil","",_xlfn.IFNA(ROUND(INDEX(Spectrum!$N:$N,MATCH(RIGHT($B288,13)&amp;"|"&amp;$C288&amp;"|"&amp;$D288&amp;"|"&amp;AD$14&amp;"|"&amp;"CY2024Q3",Spectrum!$R:$R,0)),0),""))</f>
        <v/>
      </c>
      <c r="AE288" s="33">
        <f t="shared" si="74"/>
        <v>0</v>
      </c>
      <c r="AF288" s="218" t="str">
        <f>IF(LEFT($B288,4)="_Mil","",_xlfn.IFNA(ROUND(INDEX(Spectrum!$N:$N,MATCH(RIGHT($B288,13)&amp;"|"&amp;$C288&amp;"|"&amp;$D288&amp;"|"&amp;AF$14&amp;"|"&amp;"CY2024Q3",Spectrum!$R:$R,0)),0),""))</f>
        <v/>
      </c>
      <c r="AG288" s="33" t="str">
        <f t="shared" si="75"/>
        <v/>
      </c>
      <c r="AH288" s="110" t="str">
        <f>IF(LEFT($B288,4)="_Mil","",_xlfn.IFNA(INDEX(Spectrum!$N:$N,MATCH(RIGHT($B288,13)&amp;"|"&amp;$C288&amp;"|"&amp;$D288&amp;"|"&amp;AH$14&amp;"|"&amp;"CY2024Q3",Spectrum!$R:$R,0)),""))</f>
        <v/>
      </c>
      <c r="AI288" s="218">
        <f>IF(LEFT($B288,4)="_Mil","",_xlfn.IFNA(ROUND(INDEX(Spectrum!$N:$N,MATCH(RIGHT($B288,13)&amp;"|"&amp;$C288&amp;"|"&amp;$D288&amp;"|"&amp;AI$14&amp;"|"&amp;"CY2025Q3",Spectrum!$R:$R,0)),0),""))</f>
        <v>7</v>
      </c>
      <c r="AJ288" s="38">
        <f>IF(LEFT($B288,4)="_Mil","",_xlfn.IFNA(ROUND(INDEX(Spectrum!$N:$N,MATCH(RIGHT($B288,13)&amp;"|"&amp;$C288&amp;"|"&amp;$D288&amp;"|"&amp;AJ$14&amp;"|"&amp;"CY2025Q3",Spectrum!$R:$R,0)),0),""))</f>
        <v>541</v>
      </c>
      <c r="AK288" s="218" t="e">
        <f>#REF!</f>
        <v>#REF!</v>
      </c>
      <c r="AL288" s="33">
        <f t="shared" si="76"/>
        <v>0.9</v>
      </c>
      <c r="AM288" s="38" t="e">
        <f>IF(OR(LEFT($B288,4)="_Mil",$C288="&lt;01"),"",ROUND(SUM($AK288)*SUM($AL288),0))</f>
        <v>#REF!</v>
      </c>
      <c r="AN288" s="38" t="str">
        <f>IF($C288="&lt;01",ROUND(INDEX(EID!$P:$P,MATCH($B288,EID!$B:$B,0))/2,0),"")</f>
        <v/>
      </c>
      <c r="AO288" s="38" t="e">
        <f>IF($C288="&lt;01",SUM($AN288),ROUND(SUM($AM288)*SUM($O288)/IF(SUM($Z288)=0,1,$Z288),0))</f>
        <v>#REF!</v>
      </c>
      <c r="AP288" s="218">
        <f>IF(OR($F288="",$C288="&lt;01"),$AO288,ROUND($F288,0))</f>
        <v>361</v>
      </c>
      <c r="AQ288" s="218">
        <f>IF(LEFT($B288,4)="_Mil","",IF(SUM($AP288)=0,SUM($Z288),IF(OR(SUM($Z288)=0,SUM($O288)=0),MAX($AP288,$Z288),ROUND($AP288*$Z288/$O288,0))))</f>
        <v>434</v>
      </c>
      <c r="AR288" s="33" t="e">
        <f>IF(OR(LEFT($B288,4)="_Mil",SUM($AK288)=0),"",SUM($AQ288)/$AK288)</f>
        <v>#REF!</v>
      </c>
      <c r="AS288" s="33">
        <f t="shared" si="81"/>
        <v>0.98</v>
      </c>
      <c r="AT288" s="33">
        <f t="shared" si="66"/>
        <v>0.98</v>
      </c>
      <c r="AU288" s="38">
        <f>IF($C288="&lt;01","",SUM($AP288)-SUM($O288))</f>
        <v>12</v>
      </c>
      <c r="AV288" s="38">
        <f>IF($C288="&lt;01",ROUND(INDEX(EID!$N:$N,MATCH($B288,EID!$B:$B,0))/2,0),IF(SUM($AT288)=0,"",ROUND((SUM($AP288)-(SUM($O288)*SUM($AS288)))/$AT288,0)))</f>
        <v>19</v>
      </c>
      <c r="AW288" s="33">
        <f t="shared" si="77"/>
        <v>1</v>
      </c>
      <c r="AX288" s="218">
        <f>IF($C288="&lt;01",SUM($AV288),ROUND(SUM($AV288)*SUM($AW288),0))</f>
        <v>19</v>
      </c>
      <c r="AY288" s="79">
        <f t="shared" si="78"/>
        <v>0.7</v>
      </c>
      <c r="AZ288" s="85">
        <f>IF($C288="&lt;01",ROUND(INDEX(EID!$R:$R,MATCH($B288,EID!$B:$B,0))/2,0),ROUND(SUM($O288)+(SUM($AV288)*$AY288),0))</f>
        <v>362</v>
      </c>
      <c r="BA288" s="40">
        <f t="shared" si="82"/>
        <v>0.9</v>
      </c>
      <c r="BB288" s="99">
        <f>IF($C288="&lt;01",ROUND(INDEX(EID!$T:$T,MATCH($B288,EID!$B:$B,0))/2,0),ROUND($AP288*$BA288,0))</f>
        <v>325</v>
      </c>
      <c r="BC288" s="85">
        <f>IF(LEFT($B288,4)="_Mil","",IF(SUM($BB288)=0,SUM($AD288),IF(OR(SUM($AP288)=0,SUM($AQ288)=0),MAX($BB288,$AD288),ROUND($BB288*$AQ288/$AP288,0))))</f>
        <v>391</v>
      </c>
      <c r="BD288" s="33">
        <f t="shared" si="79"/>
        <v>0.95</v>
      </c>
      <c r="BE288" s="218">
        <f>IF($C288="&lt;01",ROUND(INDEX(EID!$V:$V,MATCH($B288,EID!$B:$B,0))/2,0),ROUND($BD288*$BB288,0))</f>
        <v>309</v>
      </c>
      <c r="BF288" s="218">
        <f>IF(LEFT($B288,4)="_Mil","",IF(SUM($BE288)=0,SUM($AF288),IF(OR(SUM($AP288)=0,SUM($AQ288)=0),MAX($BE288,$AF288),ROUND($BE288*$AQ288/$AP288,0))))</f>
        <v>371</v>
      </c>
      <c r="BG288" s="79">
        <f t="shared" si="80"/>
        <v>0.95</v>
      </c>
      <c r="BH288" s="99">
        <f>IF($C288="&lt;01",ROUND(INDEX(EID!$L:$L,MATCH($B288,EID!$B:$B,0)),0)/2,IF(SUM($BG288)=0,"",ROUND($AX288/$BG288,0)))</f>
        <v>20</v>
      </c>
    </row>
    <row r="289" spans="1:60" x14ac:dyDescent="0.2">
      <c r="A289" t="str">
        <f>INDEX(Prioritization!$D:$D,MATCH($B289,Prioritization!$A:$A,0))</f>
        <v>4 - Sustained</v>
      </c>
      <c r="B289" t="s">
        <v>311</v>
      </c>
      <c r="C289" t="s">
        <v>476</v>
      </c>
      <c r="D289" t="s">
        <v>30</v>
      </c>
      <c r="E289" t="str">
        <f t="shared" si="70"/>
        <v>Nkhata Bay District [E7zpfyBt7Tw]|25-34|Female</v>
      </c>
      <c r="F289" s="229">
        <v>1078</v>
      </c>
      <c r="G289" s="38">
        <v>176</v>
      </c>
      <c r="H289" s="38">
        <v>198</v>
      </c>
      <c r="I289" s="38">
        <v>1078</v>
      </c>
      <c r="J289" s="38">
        <v>884</v>
      </c>
      <c r="K289" s="38">
        <v>764</v>
      </c>
      <c r="L289" s="38">
        <v>129</v>
      </c>
      <c r="M289" s="38">
        <v>127</v>
      </c>
      <c r="N289" s="38">
        <v>1323</v>
      </c>
      <c r="O289" s="229">
        <v>1078</v>
      </c>
      <c r="P289" s="38">
        <v>1203</v>
      </c>
      <c r="Q289" s="38">
        <v>1143</v>
      </c>
      <c r="R289" s="38">
        <f t="shared" si="71"/>
        <v>0</v>
      </c>
      <c r="S289" s="38">
        <f>IF(LEFT($B289,4)="_Mil","",_xlfn.IFNA(ROUND(INDEX(Spectrum!$N:$N,MATCH(RIGHT($B289,13)&amp;"|"&amp;$C289&amp;"|"&amp;$D289&amp;"|"&amp;S$14&amp;"|"&amp;"CY2023Q4",Spectrum!$R:$R,0)),0),""))</f>
        <v>1352</v>
      </c>
      <c r="T289" s="218">
        <f>IF(LEFT($B289,4)="_Mil","",_xlfn.IFNA(ROUND(INDEX(Spectrum!$N:$N,MATCH(RIGHT($B289,13)&amp;"|"&amp;$C289&amp;"|"&amp;$D289&amp;"|"&amp;T$14&amp;"|"&amp;"CY2024Q3",Spectrum!$R:$R,0)),0),""))</f>
        <v>23378</v>
      </c>
      <c r="U289" s="218">
        <f>IF(LEFT($B289,4)="_Mil","",_xlfn.IFNA(ROUND(INDEX(Spectrum!$N:$N,MATCH(RIGHT($B289,13)&amp;"|"&amp;$C289&amp;"|"&amp;$D289&amp;"|"&amp;U$14&amp;"|"&amp;"CY2024Q3",Spectrum!$R:$R,0)),0),""))</f>
        <v>1597</v>
      </c>
      <c r="V289" s="38">
        <f>IF(LEFT($B289,4)="_Mil","",_xlfn.IFNA(ROUND(INDEX(Spectrum!$N:$N,MATCH(RIGHT($B289,13)&amp;"|"&amp;$C289&amp;"|"&amp;$D289&amp;"|"&amp;V$14&amp;"|"&amp;"CY2024Q3",Spectrum!$R:$R,0)),0),""))</f>
        <v>1341</v>
      </c>
      <c r="W289" s="220">
        <f>IF(LEFT($B289,4)="_Mil","",_xlfn.IFNA(INDEX(Spectrum!$N:$N,MATCH(RIGHT($B289,13)&amp;"|"&amp;$C289&amp;"|"&amp;$D289&amp;"|"&amp;W$14&amp;"|"&amp;"CY2024Q3",Spectrum!$R:$R,0)),""))</f>
        <v>6.8292254999999996E-2</v>
      </c>
      <c r="X289" s="218">
        <f>IF(LEFT($B289,4)="_Mil","",_xlfn.IFNA(ROUND(INDEX(Spectrum!$N:$N,MATCH(RIGHT($B289,13)&amp;"|"&amp;$C289&amp;"|"&amp;$D289&amp;"|"&amp;X$14&amp;"|"&amp;"CY2024Q3",Spectrum!$R:$R,0)),0),""))</f>
        <v>1538</v>
      </c>
      <c r="Y289" s="33">
        <f t="shared" si="72"/>
        <v>0.96</v>
      </c>
      <c r="Z289" s="218">
        <f>IF(LEFT($B289,4)="_Mil","",_xlfn.IFNA(ROUND(INDEX(Spectrum!$N:$N,MATCH(RIGHT($B289,13)&amp;"|"&amp;$C289&amp;"|"&amp;$D289&amp;"|"&amp;Z$14&amp;"|"&amp;"CY2024Q3",Spectrum!$R:$R,0)),0),""))</f>
        <v>1291</v>
      </c>
      <c r="AA289" s="33">
        <f>IF(LEFT($B289,4)="_Mil","",IFERROR(1/(1/INDEX(Spectrum!$N:$N,MATCH(RIGHT($B289,13)&amp;"|"&amp;$C289&amp;"|"&amp;$D289&amp;"|"&amp;AA$14&amp;"|"&amp;"CY2024Q3",Spectrum!$R:$R,0))),IF(SUM($U289)=0,"",SUM($Z289)/$U289)))</f>
        <v>0.96306522700000008</v>
      </c>
      <c r="AB289" s="33">
        <f t="shared" si="73"/>
        <v>0.83940182054616386</v>
      </c>
      <c r="AC289" s="38">
        <f>IF(LEFT($B289,4)="_Mil","",_xlfn.IFNA(ROUND(INDEX(Spectrum!$N:$N,MATCH(RIGHT($B289,13)&amp;"|"&amp;$C289&amp;"|"&amp;$D289&amp;"|"&amp;AC$14&amp;"|"&amp;"CY2024Q3",Spectrum!$R:$R,0)),0),""))</f>
        <v>51</v>
      </c>
      <c r="AD289" s="38" t="str">
        <f>IF(LEFT($B289,4)="_Mil","",_xlfn.IFNA(ROUND(INDEX(Spectrum!$N:$N,MATCH(RIGHT($B289,13)&amp;"|"&amp;$C289&amp;"|"&amp;$D289&amp;"|"&amp;AD$14&amp;"|"&amp;"CY2024Q3",Spectrum!$R:$R,0)),0),""))</f>
        <v/>
      </c>
      <c r="AE289" s="33">
        <f t="shared" si="74"/>
        <v>0</v>
      </c>
      <c r="AF289" s="218" t="str">
        <f>IF(LEFT($B289,4)="_Mil","",_xlfn.IFNA(ROUND(INDEX(Spectrum!$N:$N,MATCH(RIGHT($B289,13)&amp;"|"&amp;$C289&amp;"|"&amp;$D289&amp;"|"&amp;AF$14&amp;"|"&amp;"CY2024Q3",Spectrum!$R:$R,0)),0),""))</f>
        <v/>
      </c>
      <c r="AG289" s="33" t="str">
        <f t="shared" si="75"/>
        <v/>
      </c>
      <c r="AH289" s="110" t="str">
        <f>IF(LEFT($B289,4)="_Mil","",_xlfn.IFNA(INDEX(Spectrum!$N:$N,MATCH(RIGHT($B289,13)&amp;"|"&amp;$C289&amp;"|"&amp;$D289&amp;"|"&amp;AH$14&amp;"|"&amp;"CY2024Q3",Spectrum!$R:$R,0)),""))</f>
        <v/>
      </c>
      <c r="AI289" s="218">
        <f>IF(LEFT($B289,4)="_Mil","",_xlfn.IFNA(ROUND(INDEX(Spectrum!$N:$N,MATCH(RIGHT($B289,13)&amp;"|"&amp;$C289&amp;"|"&amp;$D289&amp;"|"&amp;AI$14&amp;"|"&amp;"CY2025Q3",Spectrum!$R:$R,0)),0),""))</f>
        <v>38</v>
      </c>
      <c r="AJ289" s="38">
        <f>IF(LEFT($B289,4)="_Mil","",_xlfn.IFNA(ROUND(INDEX(Spectrum!$N:$N,MATCH(RIGHT($B289,13)&amp;"|"&amp;$C289&amp;"|"&amp;$D289&amp;"|"&amp;AJ$14&amp;"|"&amp;"CY2025Q3",Spectrum!$R:$R,0)),0),""))</f>
        <v>1504</v>
      </c>
      <c r="AK289" s="218" t="e">
        <f>#REF!</f>
        <v>#REF!</v>
      </c>
      <c r="AL289" s="33">
        <f t="shared" si="76"/>
        <v>0.96306522700000008</v>
      </c>
      <c r="AM289" s="38" t="e">
        <f>IF(OR(LEFT($B289,4)="_Mil",$C289="&lt;01"),"",ROUND(SUM($AK289)*SUM($AL289),0))</f>
        <v>#REF!</v>
      </c>
      <c r="AN289" s="38" t="str">
        <f>IF($C289="&lt;01",ROUND(INDEX(EID!$P:$P,MATCH($B289,EID!$B:$B,0))/2,0),"")</f>
        <v/>
      </c>
      <c r="AO289" s="38" t="e">
        <f>IF($C289="&lt;01",SUM($AN289),ROUND(SUM($AM289)*SUM($O289)/IF(SUM($Z289)=0,1,$Z289),0))</f>
        <v>#REF!</v>
      </c>
      <c r="AP289" s="218">
        <f>IF(OR($F289="",$C289="&lt;01"),$AO289,ROUND($F289,0))</f>
        <v>1078</v>
      </c>
      <c r="AQ289" s="218">
        <f>IF(LEFT($B289,4)="_Mil","",IF(SUM($AP289)=0,SUM($Z289),IF(OR(SUM($Z289)=0,SUM($O289)=0),MAX($AP289,$Z289),ROUND($AP289*$Z289/$O289,0))))</f>
        <v>1291</v>
      </c>
      <c r="AR289" s="33" t="e">
        <f>IF(OR(LEFT($B289,4)="_Mil",SUM($AK289)=0),"",SUM($AQ289)/$AK289)</f>
        <v>#REF!</v>
      </c>
      <c r="AS289" s="33">
        <f>IF($C289="&lt;01","",88%)</f>
        <v>0.88</v>
      </c>
      <c r="AT289" s="33">
        <f>IF($C289="&lt;01","",90%)</f>
        <v>0.9</v>
      </c>
      <c r="AU289" s="38">
        <f>IF($C289="&lt;01","",SUM($AP289)-SUM($O289))</f>
        <v>0</v>
      </c>
      <c r="AV289" s="38">
        <f>IF($C289="&lt;01",ROUND(INDEX(EID!$N:$N,MATCH($B289,EID!$B:$B,0))/2,0),IF(SUM($AT289)=0,"",ROUND((SUM($AP289)-(SUM($O289)*SUM($AS289)))/$AT289,0)))</f>
        <v>144</v>
      </c>
      <c r="AW289" s="33">
        <f t="shared" si="77"/>
        <v>1</v>
      </c>
      <c r="AX289" s="218">
        <f>IF($C289="&lt;01",SUM($AV289),ROUND(SUM($AV289)*SUM($AW289),0))</f>
        <v>144</v>
      </c>
      <c r="AY289" s="79">
        <f t="shared" si="78"/>
        <v>0.7</v>
      </c>
      <c r="AZ289" s="85">
        <f>IF($C289="&lt;01",ROUND(INDEX(EID!$R:$R,MATCH($B289,EID!$B:$B,0))/2,0),ROUND(SUM($O289)+(SUM($AV289)*$AY289),0))</f>
        <v>1179</v>
      </c>
      <c r="BA289" s="40">
        <f t="shared" si="82"/>
        <v>0.9</v>
      </c>
      <c r="BB289" s="99">
        <f>IF($C289="&lt;01",ROUND(INDEX(EID!$T:$T,MATCH($B289,EID!$B:$B,0))/2,0),ROUND($AP289*$BA289,0))</f>
        <v>970</v>
      </c>
      <c r="BC289" s="85">
        <f>IF(LEFT($B289,4)="_Mil","",IF(SUM($BB289)=0,SUM($AD289),IF(OR(SUM($AP289)=0,SUM($AQ289)=0),MAX($BB289,$AD289),ROUND($BB289*$AQ289/$AP289,0))))</f>
        <v>1162</v>
      </c>
      <c r="BD289" s="33">
        <f t="shared" si="79"/>
        <v>0.95</v>
      </c>
      <c r="BE289" s="218">
        <f>IF($C289="&lt;01",ROUND(INDEX(EID!$V:$V,MATCH($B289,EID!$B:$B,0))/2,0),ROUND($BD289*$BB289,0))</f>
        <v>922</v>
      </c>
      <c r="BF289" s="218">
        <f>IF(LEFT($B289,4)="_Mil","",IF(SUM($BE289)=0,SUM($AF289),IF(OR(SUM($AP289)=0,SUM($AQ289)=0),MAX($BE289,$AF289),ROUND($BE289*$AQ289/$AP289,0))))</f>
        <v>1104</v>
      </c>
      <c r="BG289" s="79">
        <f t="shared" si="80"/>
        <v>0.95</v>
      </c>
      <c r="BH289" s="99">
        <f>IF($C289="&lt;01",ROUND(INDEX(EID!$L:$L,MATCH($B289,EID!$B:$B,0)),0)/2,IF(SUM($BG289)=0,"",ROUND($AX289/$BG289,0)))</f>
        <v>152</v>
      </c>
    </row>
    <row r="290" spans="1:60" x14ac:dyDescent="0.2">
      <c r="A290" t="str">
        <f>INDEX(Prioritization!$D:$D,MATCH($B290,Prioritization!$A:$A,0))</f>
        <v>4 - Sustained</v>
      </c>
      <c r="B290" t="s">
        <v>311</v>
      </c>
      <c r="C290" t="s">
        <v>476</v>
      </c>
      <c r="D290" t="s">
        <v>48</v>
      </c>
      <c r="E290" t="str">
        <f t="shared" si="70"/>
        <v>Nkhata Bay District [E7zpfyBt7Tw]|25-34|Male</v>
      </c>
      <c r="F290" s="229">
        <v>455</v>
      </c>
      <c r="G290" s="38">
        <v>109</v>
      </c>
      <c r="H290" s="38">
        <v>93</v>
      </c>
      <c r="I290" s="38">
        <v>358</v>
      </c>
      <c r="J290" s="38">
        <v>256</v>
      </c>
      <c r="K290" s="38">
        <v>218</v>
      </c>
      <c r="L290" s="38">
        <v>26</v>
      </c>
      <c r="M290" s="38">
        <v>25</v>
      </c>
      <c r="N290" s="38">
        <v>576</v>
      </c>
      <c r="O290" s="229">
        <v>439</v>
      </c>
      <c r="P290" s="38">
        <v>511</v>
      </c>
      <c r="Q290" s="38">
        <v>485</v>
      </c>
      <c r="R290" s="38">
        <f t="shared" si="71"/>
        <v>81</v>
      </c>
      <c r="S290" s="38">
        <f>IF(LEFT($B290,4)="_Mil","",_xlfn.IFNA(ROUND(INDEX(Spectrum!$N:$N,MATCH(RIGHT($B290,13)&amp;"|"&amp;$C290&amp;"|"&amp;$D290&amp;"|"&amp;S$14&amp;"|"&amp;"CY2023Q4",Spectrum!$R:$R,0)),0),""))</f>
        <v>512</v>
      </c>
      <c r="T290" s="218">
        <f>IF(LEFT($B290,4)="_Mil","",_xlfn.IFNA(ROUND(INDEX(Spectrum!$N:$N,MATCH(RIGHT($B290,13)&amp;"|"&amp;$C290&amp;"|"&amp;$D290&amp;"|"&amp;T$14&amp;"|"&amp;"CY2024Q3",Spectrum!$R:$R,0)),0),""))</f>
        <v>21959</v>
      </c>
      <c r="U290" s="218">
        <f>IF(LEFT($B290,4)="_Mil","",_xlfn.IFNA(ROUND(INDEX(Spectrum!$N:$N,MATCH(RIGHT($B290,13)&amp;"|"&amp;$C290&amp;"|"&amp;$D290&amp;"|"&amp;U$14&amp;"|"&amp;"CY2024Q3",Spectrum!$R:$R,0)),0),""))</f>
        <v>700</v>
      </c>
      <c r="V290" s="38">
        <f>IF(LEFT($B290,4)="_Mil","",_xlfn.IFNA(ROUND(INDEX(Spectrum!$N:$N,MATCH(RIGHT($B290,13)&amp;"|"&amp;$C290&amp;"|"&amp;$D290&amp;"|"&amp;V$14&amp;"|"&amp;"CY2024Q3",Spectrum!$R:$R,0)),0),""))</f>
        <v>585</v>
      </c>
      <c r="W290" s="220">
        <f>IF(LEFT($B290,4)="_Mil","",_xlfn.IFNA(INDEX(Spectrum!$N:$N,MATCH(RIGHT($B290,13)&amp;"|"&amp;$C290&amp;"|"&amp;$D290&amp;"|"&amp;W$14&amp;"|"&amp;"CY2024Q3",Spectrum!$R:$R,0)),""))</f>
        <v>3.1860667000000002E-2</v>
      </c>
      <c r="X290" s="218">
        <f>IF(LEFT($B290,4)="_Mil","",_xlfn.IFNA(ROUND(INDEX(Spectrum!$N:$N,MATCH(RIGHT($B290,13)&amp;"|"&amp;$C290&amp;"|"&amp;$D290&amp;"|"&amp;X$14&amp;"|"&amp;"CY2024Q3",Spectrum!$R:$R,0)),0),""))</f>
        <v>615</v>
      </c>
      <c r="Y290" s="33">
        <f t="shared" si="72"/>
        <v>0.88</v>
      </c>
      <c r="Z290" s="218">
        <f>IF(LEFT($B290,4)="_Mil","",_xlfn.IFNA(ROUND(INDEX(Spectrum!$N:$N,MATCH(RIGHT($B290,13)&amp;"|"&amp;$C290&amp;"|"&amp;$D290&amp;"|"&amp;Z$14&amp;"|"&amp;"CY2024Q3",Spectrum!$R:$R,0)),0),""))</f>
        <v>512</v>
      </c>
      <c r="AA290" s="33">
        <f>IF(LEFT($B290,4)="_Mil","",IFERROR(1/(1/INDEX(Spectrum!$N:$N,MATCH(RIGHT($B290,13)&amp;"|"&amp;$C290&amp;"|"&amp;$D290&amp;"|"&amp;AA$14&amp;"|"&amp;"CY2024Q3",Spectrum!$R:$R,0))),IF(SUM($U290)=0,"",SUM($Z290)/$U290)))</f>
        <v>0.87060098799999996</v>
      </c>
      <c r="AB290" s="33">
        <f t="shared" si="73"/>
        <v>0.83252032520325203</v>
      </c>
      <c r="AC290" s="38">
        <f>IF(LEFT($B290,4)="_Mil","",_xlfn.IFNA(ROUND(INDEX(Spectrum!$N:$N,MATCH(RIGHT($B290,13)&amp;"|"&amp;$C290&amp;"|"&amp;$D290&amp;"|"&amp;AC$14&amp;"|"&amp;"CY2024Q3",Spectrum!$R:$R,0)),0),""))</f>
        <v>72</v>
      </c>
      <c r="AD290" s="38" t="str">
        <f>IF(LEFT($B290,4)="_Mil","",_xlfn.IFNA(ROUND(INDEX(Spectrum!$N:$N,MATCH(RIGHT($B290,13)&amp;"|"&amp;$C290&amp;"|"&amp;$D290&amp;"|"&amp;AD$14&amp;"|"&amp;"CY2024Q3",Spectrum!$R:$R,0)),0),""))</f>
        <v/>
      </c>
      <c r="AE290" s="33">
        <f t="shared" si="74"/>
        <v>0</v>
      </c>
      <c r="AF290" s="218" t="str">
        <f>IF(LEFT($B290,4)="_Mil","",_xlfn.IFNA(ROUND(INDEX(Spectrum!$N:$N,MATCH(RIGHT($B290,13)&amp;"|"&amp;$C290&amp;"|"&amp;$D290&amp;"|"&amp;AF$14&amp;"|"&amp;"CY2024Q3",Spectrum!$R:$R,0)),0),""))</f>
        <v/>
      </c>
      <c r="AG290" s="33" t="str">
        <f t="shared" si="75"/>
        <v/>
      </c>
      <c r="AH290" s="110" t="str">
        <f>IF(LEFT($B290,4)="_Mil","",_xlfn.IFNA(INDEX(Spectrum!$N:$N,MATCH(RIGHT($B290,13)&amp;"|"&amp;$C290&amp;"|"&amp;$D290&amp;"|"&amp;AH$14&amp;"|"&amp;"CY2024Q3",Spectrum!$R:$R,0)),""))</f>
        <v/>
      </c>
      <c r="AI290" s="218">
        <f>IF(LEFT($B290,4)="_Mil","",_xlfn.IFNA(ROUND(INDEX(Spectrum!$N:$N,MATCH(RIGHT($B290,13)&amp;"|"&amp;$C290&amp;"|"&amp;$D290&amp;"|"&amp;AI$14&amp;"|"&amp;"CY2025Q3",Spectrum!$R:$R,0)),0),""))</f>
        <v>22</v>
      </c>
      <c r="AJ290" s="38">
        <f>IF(LEFT($B290,4)="_Mil","",_xlfn.IFNA(ROUND(INDEX(Spectrum!$N:$N,MATCH(RIGHT($B290,13)&amp;"|"&amp;$C290&amp;"|"&amp;$D290&amp;"|"&amp;AJ$14&amp;"|"&amp;"CY2025Q3",Spectrum!$R:$R,0)),0),""))</f>
        <v>673</v>
      </c>
      <c r="AK290" s="218" t="e">
        <f>#REF!</f>
        <v>#REF!</v>
      </c>
      <c r="AL290" s="33">
        <f t="shared" si="76"/>
        <v>0.9</v>
      </c>
      <c r="AM290" s="38" t="e">
        <f>IF(OR(LEFT($B290,4)="_Mil",$C290="&lt;01"),"",ROUND(SUM($AK290)*SUM($AL290),0))</f>
        <v>#REF!</v>
      </c>
      <c r="AN290" s="38" t="str">
        <f>IF($C290="&lt;01",ROUND(INDEX(EID!$P:$P,MATCH($B290,EID!$B:$B,0))/2,0),"")</f>
        <v/>
      </c>
      <c r="AO290" s="38" t="e">
        <f>IF($C290="&lt;01",SUM($AN290),ROUND(SUM($AM290)*SUM($O290)/IF(SUM($Z290)=0,1,$Z290),0))</f>
        <v>#REF!</v>
      </c>
      <c r="AP290" s="218">
        <f>IF(OR($F290="",$C290="&lt;01"),$AO290,ROUND($F290,0))</f>
        <v>455</v>
      </c>
      <c r="AQ290" s="218">
        <f>IF(LEFT($B290,4)="_Mil","",IF(SUM($AP290)=0,SUM($Z290),IF(OR(SUM($Z290)=0,SUM($O290)=0),MAX($AP290,$Z290),ROUND($AP290*$Z290/$O290,0))))</f>
        <v>531</v>
      </c>
      <c r="AR290" s="33" t="e">
        <f>IF(OR(LEFT($B290,4)="_Mil",SUM($AK290)=0),"",SUM($AQ290)/$AK290)</f>
        <v>#REF!</v>
      </c>
      <c r="AS290" s="33">
        <f t="shared" si="81"/>
        <v>0.98</v>
      </c>
      <c r="AT290" s="33">
        <f t="shared" si="66"/>
        <v>0.98</v>
      </c>
      <c r="AU290" s="38">
        <f>IF($C290="&lt;01","",SUM($AP290)-SUM($O290))</f>
        <v>16</v>
      </c>
      <c r="AV290" s="38">
        <f>IF($C290="&lt;01",ROUND(INDEX(EID!$N:$N,MATCH($B290,EID!$B:$B,0))/2,0),IF(SUM($AT290)=0,"",ROUND((SUM($AP290)-(SUM($O290)*SUM($AS290)))/$AT290,0)))</f>
        <v>25</v>
      </c>
      <c r="AW290" s="33">
        <f t="shared" si="77"/>
        <v>1</v>
      </c>
      <c r="AX290" s="218">
        <f>IF($C290="&lt;01",SUM($AV290),ROUND(SUM($AV290)*SUM($AW290),0))</f>
        <v>25</v>
      </c>
      <c r="AY290" s="79">
        <f t="shared" si="78"/>
        <v>0.7</v>
      </c>
      <c r="AZ290" s="85">
        <f>IF($C290="&lt;01",ROUND(INDEX(EID!$R:$R,MATCH($B290,EID!$B:$B,0))/2,0),ROUND(SUM($O290)+(SUM($AV290)*$AY290),0))</f>
        <v>457</v>
      </c>
      <c r="BA290" s="40">
        <f t="shared" si="82"/>
        <v>0.9</v>
      </c>
      <c r="BB290" s="99">
        <f>IF($C290="&lt;01",ROUND(INDEX(EID!$T:$T,MATCH($B290,EID!$B:$B,0))/2,0),ROUND($AP290*$BA290,0))</f>
        <v>410</v>
      </c>
      <c r="BC290" s="85">
        <f>IF(LEFT($B290,4)="_Mil","",IF(SUM($BB290)=0,SUM($AD290),IF(OR(SUM($AP290)=0,SUM($AQ290)=0),MAX($BB290,$AD290),ROUND($BB290*$AQ290/$AP290,0))))</f>
        <v>478</v>
      </c>
      <c r="BD290" s="33">
        <f t="shared" si="79"/>
        <v>0.95</v>
      </c>
      <c r="BE290" s="218">
        <f>IF($C290="&lt;01",ROUND(INDEX(EID!$V:$V,MATCH($B290,EID!$B:$B,0))/2,0),ROUND($BD290*$BB290,0))</f>
        <v>390</v>
      </c>
      <c r="BF290" s="218">
        <f>IF(LEFT($B290,4)="_Mil","",IF(SUM($BE290)=0,SUM($AF290),IF(OR(SUM($AP290)=0,SUM($AQ290)=0),MAX($BE290,$AF290),ROUND($BE290*$AQ290/$AP290,0))))</f>
        <v>455</v>
      </c>
      <c r="BG290" s="79">
        <f t="shared" si="80"/>
        <v>0.95</v>
      </c>
      <c r="BH290" s="99">
        <f>IF($C290="&lt;01",ROUND(INDEX(EID!$L:$L,MATCH($B290,EID!$B:$B,0)),0)/2,IF(SUM($BG290)=0,"",ROUND($AX290/$BG290,0)))</f>
        <v>26</v>
      </c>
    </row>
    <row r="291" spans="1:60" x14ac:dyDescent="0.2">
      <c r="A291" t="str">
        <f>INDEX(Prioritization!$D:$D,MATCH($B291,Prioritization!$A:$A,0))</f>
        <v>4 - Sustained</v>
      </c>
      <c r="B291" t="s">
        <v>311</v>
      </c>
      <c r="C291" t="s">
        <v>477</v>
      </c>
      <c r="D291" t="s">
        <v>30</v>
      </c>
      <c r="E291" t="str">
        <f t="shared" si="70"/>
        <v>Nkhata Bay District [E7zpfyBt7Tw]|35-49|Female</v>
      </c>
      <c r="F291" s="229">
        <v>3321</v>
      </c>
      <c r="G291" s="38">
        <v>179</v>
      </c>
      <c r="H291" s="38">
        <v>166</v>
      </c>
      <c r="I291" s="38">
        <v>3321</v>
      </c>
      <c r="J291" s="38">
        <v>2815</v>
      </c>
      <c r="K291" s="38">
        <v>2469</v>
      </c>
      <c r="L291" s="38">
        <v>65</v>
      </c>
      <c r="M291" s="38">
        <v>64</v>
      </c>
      <c r="N291" s="38">
        <v>3393</v>
      </c>
      <c r="O291" s="229">
        <v>3321</v>
      </c>
      <c r="P291" s="38">
        <v>3066</v>
      </c>
      <c r="Q291" s="38">
        <v>2913</v>
      </c>
      <c r="R291" s="38">
        <f t="shared" si="71"/>
        <v>0</v>
      </c>
      <c r="S291" s="38">
        <f>IF(LEFT($B291,4)="_Mil","",_xlfn.IFNA(ROUND(INDEX(Spectrum!$N:$N,MATCH(RIGHT($B291,13)&amp;"|"&amp;$C291&amp;"|"&amp;$D291&amp;"|"&amp;S$14&amp;"|"&amp;"CY2023Q4",Spectrum!$R:$R,0)),0),""))</f>
        <v>3335</v>
      </c>
      <c r="T291" s="218">
        <f>IF(LEFT($B291,4)="_Mil","",_xlfn.IFNA(ROUND(INDEX(Spectrum!$N:$N,MATCH(RIGHT($B291,13)&amp;"|"&amp;$C291&amp;"|"&amp;$D291&amp;"|"&amp;T$14&amp;"|"&amp;"CY2024Q3",Spectrum!$R:$R,0)),0),""))</f>
        <v>24431</v>
      </c>
      <c r="U291" s="218">
        <f>IF(LEFT($B291,4)="_Mil","",_xlfn.IFNA(ROUND(INDEX(Spectrum!$N:$N,MATCH(RIGHT($B291,13)&amp;"|"&amp;$C291&amp;"|"&amp;$D291&amp;"|"&amp;U$14&amp;"|"&amp;"CY2024Q3",Spectrum!$R:$R,0)),0),""))</f>
        <v>4026</v>
      </c>
      <c r="V291" s="38">
        <f>IF(LEFT($B291,4)="_Mil","",_xlfn.IFNA(ROUND(INDEX(Spectrum!$N:$N,MATCH(RIGHT($B291,13)&amp;"|"&amp;$C291&amp;"|"&amp;$D291&amp;"|"&amp;V$14&amp;"|"&amp;"CY2024Q3",Spectrum!$R:$R,0)),0),""))</f>
        <v>3395</v>
      </c>
      <c r="W291" s="220">
        <f>IF(LEFT($B291,4)="_Mil","",_xlfn.IFNA(INDEX(Spectrum!$N:$N,MATCH(RIGHT($B291,13)&amp;"|"&amp;$C291&amp;"|"&amp;$D291&amp;"|"&amp;W$14&amp;"|"&amp;"CY2024Q3",Spectrum!$R:$R,0)),""))</f>
        <v>0.16477068</v>
      </c>
      <c r="X291" s="218">
        <f>IF(LEFT($B291,4)="_Mil","",_xlfn.IFNA(ROUND(INDEX(Spectrum!$N:$N,MATCH(RIGHT($B291,13)&amp;"|"&amp;$C291&amp;"|"&amp;$D291&amp;"|"&amp;X$14&amp;"|"&amp;"CY2024Q3",Spectrum!$R:$R,0)),0),""))</f>
        <v>3954</v>
      </c>
      <c r="Y291" s="33">
        <f t="shared" si="72"/>
        <v>0.98</v>
      </c>
      <c r="Z291" s="218">
        <f>IF(LEFT($B291,4)="_Mil","",_xlfn.IFNA(ROUND(INDEX(Spectrum!$N:$N,MATCH(RIGHT($B291,13)&amp;"|"&amp;$C291&amp;"|"&amp;$D291&amp;"|"&amp;Z$14&amp;"|"&amp;"CY2024Q3",Spectrum!$R:$R,0)),0),""))</f>
        <v>3335</v>
      </c>
      <c r="AA291" s="33">
        <f>IF(LEFT($B291,4)="_Mil","",IFERROR(1/(1/INDEX(Spectrum!$N:$N,MATCH(RIGHT($B291,13)&amp;"|"&amp;$C291&amp;"|"&amp;$D291&amp;"|"&amp;AA$14&amp;"|"&amp;"CY2024Q3",Spectrum!$R:$R,0))),IF(SUM($U291)=0,"",SUM($Z291)/$U291)))</f>
        <v>0.98181460399999987</v>
      </c>
      <c r="AB291" s="33">
        <f t="shared" si="73"/>
        <v>0.8434496712190187</v>
      </c>
      <c r="AC291" s="38">
        <f>IF(LEFT($B291,4)="_Mil","",_xlfn.IFNA(ROUND(INDEX(Spectrum!$N:$N,MATCH(RIGHT($B291,13)&amp;"|"&amp;$C291&amp;"|"&amp;$D291&amp;"|"&amp;AC$14&amp;"|"&amp;"CY2024Q3",Spectrum!$R:$R,0)),0),""))</f>
        <v>60</v>
      </c>
      <c r="AD291" s="38" t="str">
        <f>IF(LEFT($B291,4)="_Mil","",_xlfn.IFNA(ROUND(INDEX(Spectrum!$N:$N,MATCH(RIGHT($B291,13)&amp;"|"&amp;$C291&amp;"|"&amp;$D291&amp;"|"&amp;AD$14&amp;"|"&amp;"CY2024Q3",Spectrum!$R:$R,0)),0),""))</f>
        <v/>
      </c>
      <c r="AE291" s="33">
        <f t="shared" si="74"/>
        <v>0</v>
      </c>
      <c r="AF291" s="218" t="str">
        <f>IF(LEFT($B291,4)="_Mil","",_xlfn.IFNA(ROUND(INDEX(Spectrum!$N:$N,MATCH(RIGHT($B291,13)&amp;"|"&amp;$C291&amp;"|"&amp;$D291&amp;"|"&amp;AF$14&amp;"|"&amp;"CY2024Q3",Spectrum!$R:$R,0)),0),""))</f>
        <v/>
      </c>
      <c r="AG291" s="33" t="str">
        <f t="shared" si="75"/>
        <v/>
      </c>
      <c r="AH291" s="110" t="str">
        <f>IF(LEFT($B291,4)="_Mil","",_xlfn.IFNA(INDEX(Spectrum!$N:$N,MATCH(RIGHT($B291,13)&amp;"|"&amp;$C291&amp;"|"&amp;$D291&amp;"|"&amp;AH$14&amp;"|"&amp;"CY2024Q3",Spectrum!$R:$R,0)),""))</f>
        <v/>
      </c>
      <c r="AI291" s="218">
        <f>IF(LEFT($B291,4)="_Mil","",_xlfn.IFNA(ROUND(INDEX(Spectrum!$N:$N,MATCH(RIGHT($B291,13)&amp;"|"&amp;$C291&amp;"|"&amp;$D291&amp;"|"&amp;AI$14&amp;"|"&amp;"CY2025Q3",Spectrum!$R:$R,0)),0),""))</f>
        <v>20</v>
      </c>
      <c r="AJ291" s="38">
        <f>IF(LEFT($B291,4)="_Mil","",_xlfn.IFNA(ROUND(INDEX(Spectrum!$N:$N,MATCH(RIGHT($B291,13)&amp;"|"&amp;$C291&amp;"|"&amp;$D291&amp;"|"&amp;AJ$14&amp;"|"&amp;"CY2025Q3",Spectrum!$R:$R,0)),0),""))</f>
        <v>4009</v>
      </c>
      <c r="AK291" s="218" t="e">
        <f>#REF!</f>
        <v>#REF!</v>
      </c>
      <c r="AL291" s="33">
        <f t="shared" si="76"/>
        <v>0.98181460399999987</v>
      </c>
      <c r="AM291" s="38" t="e">
        <f>IF(OR(LEFT($B291,4)="_Mil",$C291="&lt;01"),"",ROUND(SUM($AK291)*SUM($AL291),0))</f>
        <v>#REF!</v>
      </c>
      <c r="AN291" s="38" t="str">
        <f>IF($C291="&lt;01",ROUND(INDEX(EID!$P:$P,MATCH($B291,EID!$B:$B,0))/2,0),"")</f>
        <v/>
      </c>
      <c r="AO291" s="38" t="e">
        <f>IF($C291="&lt;01",SUM($AN291),ROUND(SUM($AM291)*SUM($O291)/IF(SUM($Z291)=0,1,$Z291),0))</f>
        <v>#REF!</v>
      </c>
      <c r="AP291" s="218">
        <f>IF(OR($F291="",$C291="&lt;01"),$AO291,ROUND($F291,0))</f>
        <v>3321</v>
      </c>
      <c r="AQ291" s="218">
        <f>IF(LEFT($B291,4)="_Mil","",IF(SUM($AP291)=0,SUM($Z291),IF(OR(SUM($Z291)=0,SUM($O291)=0),MAX($AP291,$Z291),ROUND($AP291*$Z291/$O291,0))))</f>
        <v>3335</v>
      </c>
      <c r="AR291" s="33" t="e">
        <f>IF(OR(LEFT($B291,4)="_Mil",SUM($AK291)=0),"",SUM($AQ291)/$AK291)</f>
        <v>#REF!</v>
      </c>
      <c r="AS291" s="33">
        <f t="shared" si="81"/>
        <v>0.98</v>
      </c>
      <c r="AT291" s="33">
        <f t="shared" si="66"/>
        <v>0.98</v>
      </c>
      <c r="AU291" s="38">
        <f>IF($C291="&lt;01","",SUM($AP291)-SUM($O291))</f>
        <v>0</v>
      </c>
      <c r="AV291" s="38">
        <f>IF($C291="&lt;01",ROUND(INDEX(EID!$N:$N,MATCH($B291,EID!$B:$B,0))/2,0),IF(SUM($AT291)=0,"",ROUND((SUM($AP291)-(SUM($O291)*SUM($AS291)))/$AT291,0)))</f>
        <v>68</v>
      </c>
      <c r="AW291" s="33">
        <f t="shared" si="77"/>
        <v>1</v>
      </c>
      <c r="AX291" s="218">
        <f>IF($C291="&lt;01",SUM($AV291),ROUND(SUM($AV291)*SUM($AW291),0))</f>
        <v>68</v>
      </c>
      <c r="AY291" s="79">
        <f t="shared" si="78"/>
        <v>0.7</v>
      </c>
      <c r="AZ291" s="85">
        <f>IF($C291="&lt;01",ROUND(INDEX(EID!$R:$R,MATCH($B291,EID!$B:$B,0))/2,0),ROUND(SUM($O291)+(SUM($AV291)*$AY291),0))</f>
        <v>3369</v>
      </c>
      <c r="BA291" s="40">
        <f t="shared" si="82"/>
        <v>0.9</v>
      </c>
      <c r="BB291" s="99">
        <f>IF($C291="&lt;01",ROUND(INDEX(EID!$T:$T,MATCH($B291,EID!$B:$B,0))/2,0),ROUND($AP291*$BA291,0))</f>
        <v>2989</v>
      </c>
      <c r="BC291" s="85">
        <f>IF(LEFT($B291,4)="_Mil","",IF(SUM($BB291)=0,SUM($AD291),IF(OR(SUM($AP291)=0,SUM($AQ291)=0),MAX($BB291,$AD291),ROUND($BB291*$AQ291/$AP291,0))))</f>
        <v>3002</v>
      </c>
      <c r="BD291" s="33">
        <f t="shared" si="79"/>
        <v>0.95</v>
      </c>
      <c r="BE291" s="218">
        <f>IF($C291="&lt;01",ROUND(INDEX(EID!$V:$V,MATCH($B291,EID!$B:$B,0))/2,0),ROUND($BD291*$BB291,0))</f>
        <v>2840</v>
      </c>
      <c r="BF291" s="218">
        <f>IF(LEFT($B291,4)="_Mil","",IF(SUM($BE291)=0,SUM($AF291),IF(OR(SUM($AP291)=0,SUM($AQ291)=0),MAX($BE291,$AF291),ROUND($BE291*$AQ291/$AP291,0))))</f>
        <v>2852</v>
      </c>
      <c r="BG291" s="79">
        <f t="shared" si="80"/>
        <v>0.95</v>
      </c>
      <c r="BH291" s="99">
        <f>IF($C291="&lt;01",ROUND(INDEX(EID!$L:$L,MATCH($B291,EID!$B:$B,0)),0)/2,IF(SUM($BG291)=0,"",ROUND($AX291/$BG291,0)))</f>
        <v>72</v>
      </c>
    </row>
    <row r="292" spans="1:60" x14ac:dyDescent="0.2">
      <c r="A292" t="str">
        <f>INDEX(Prioritization!$D:$D,MATCH($B292,Prioritization!$A:$A,0))</f>
        <v>4 - Sustained</v>
      </c>
      <c r="B292" t="s">
        <v>311</v>
      </c>
      <c r="C292" t="s">
        <v>477</v>
      </c>
      <c r="D292" t="s">
        <v>48</v>
      </c>
      <c r="E292" t="str">
        <f t="shared" si="70"/>
        <v>Nkhata Bay District [E7zpfyBt7Tw]|35-49|Male</v>
      </c>
      <c r="F292" s="229">
        <v>1841</v>
      </c>
      <c r="G292" s="38">
        <v>153</v>
      </c>
      <c r="H292" s="38">
        <v>176</v>
      </c>
      <c r="I292" s="38">
        <v>1841</v>
      </c>
      <c r="J292" s="38">
        <v>1559</v>
      </c>
      <c r="K292" s="38">
        <v>1328</v>
      </c>
      <c r="L292" s="38">
        <v>32</v>
      </c>
      <c r="M292" s="38">
        <v>31</v>
      </c>
      <c r="N292" s="38">
        <v>2040</v>
      </c>
      <c r="O292" s="229">
        <v>1841</v>
      </c>
      <c r="P292" s="38">
        <v>1842</v>
      </c>
      <c r="Q292" s="38">
        <v>1750</v>
      </c>
      <c r="R292" s="38">
        <f t="shared" si="71"/>
        <v>0</v>
      </c>
      <c r="S292" s="38">
        <f>IF(LEFT($B292,4)="_Mil","",_xlfn.IFNA(ROUND(INDEX(Spectrum!$N:$N,MATCH(RIGHT($B292,13)&amp;"|"&amp;$C292&amp;"|"&amp;$D292&amp;"|"&amp;S$14&amp;"|"&amp;"CY2023Q4",Spectrum!$R:$R,0)),0),""))</f>
        <v>2000</v>
      </c>
      <c r="T292" s="218">
        <f>IF(LEFT($B292,4)="_Mil","",_xlfn.IFNA(ROUND(INDEX(Spectrum!$N:$N,MATCH(RIGHT($B292,13)&amp;"|"&amp;$C292&amp;"|"&amp;$D292&amp;"|"&amp;T$14&amp;"|"&amp;"CY2024Q3",Spectrum!$R:$R,0)),0),""))</f>
        <v>21458</v>
      </c>
      <c r="U292" s="218">
        <f>IF(LEFT($B292,4)="_Mil","",_xlfn.IFNA(ROUND(INDEX(Spectrum!$N:$N,MATCH(RIGHT($B292,13)&amp;"|"&amp;$C292&amp;"|"&amp;$D292&amp;"|"&amp;U$14&amp;"|"&amp;"CY2024Q3",Spectrum!$R:$R,0)),0),""))</f>
        <v>2558</v>
      </c>
      <c r="V292" s="38">
        <f>IF(LEFT($B292,4)="_Mil","",_xlfn.IFNA(ROUND(INDEX(Spectrum!$N:$N,MATCH(RIGHT($B292,13)&amp;"|"&amp;$C292&amp;"|"&amp;$D292&amp;"|"&amp;V$14&amp;"|"&amp;"CY2024Q3",Spectrum!$R:$R,0)),0),""))</f>
        <v>2136</v>
      </c>
      <c r="W292" s="220">
        <f>IF(LEFT($B292,4)="_Mil","",_xlfn.IFNA(INDEX(Spectrum!$N:$N,MATCH(RIGHT($B292,13)&amp;"|"&amp;$C292&amp;"|"&amp;$D292&amp;"|"&amp;W$14&amp;"|"&amp;"CY2024Q3",Spectrum!$R:$R,0)),""))</f>
        <v>0.11922395199999999</v>
      </c>
      <c r="X292" s="218">
        <f>IF(LEFT($B292,4)="_Mil","",_xlfn.IFNA(ROUND(INDEX(Spectrum!$N:$N,MATCH(RIGHT($B292,13)&amp;"|"&amp;$C292&amp;"|"&amp;$D292&amp;"|"&amp;X$14&amp;"|"&amp;"CY2024Q3",Spectrum!$R:$R,0)),0),""))</f>
        <v>2368</v>
      </c>
      <c r="Y292" s="33">
        <f t="shared" si="72"/>
        <v>0.93</v>
      </c>
      <c r="Z292" s="218">
        <f>IF(LEFT($B292,4)="_Mil","",_xlfn.IFNA(ROUND(INDEX(Spectrum!$N:$N,MATCH(RIGHT($B292,13)&amp;"|"&amp;$C292&amp;"|"&amp;$D292&amp;"|"&amp;Z$14&amp;"|"&amp;"CY2024Q3",Spectrum!$R:$R,0)),0),""))</f>
        <v>1977</v>
      </c>
      <c r="AA292" s="33">
        <f>IF(LEFT($B292,4)="_Mil","",IFERROR(1/(1/INDEX(Spectrum!$N:$N,MATCH(RIGHT($B292,13)&amp;"|"&amp;$C292&amp;"|"&amp;$D292&amp;"|"&amp;AA$14&amp;"|"&amp;"CY2024Q3",Spectrum!$R:$R,0))),IF(SUM($U292)=0,"",SUM($Z292)/$U292)))</f>
        <v>0.92083868099999988</v>
      </c>
      <c r="AB292" s="33">
        <f t="shared" si="73"/>
        <v>0.8348817567567568</v>
      </c>
      <c r="AC292" s="38">
        <f>IF(LEFT($B292,4)="_Mil","",_xlfn.IFNA(ROUND(INDEX(Spectrum!$N:$N,MATCH(RIGHT($B292,13)&amp;"|"&amp;$C292&amp;"|"&amp;$D292&amp;"|"&amp;AC$14&amp;"|"&amp;"CY2024Q3",Spectrum!$R:$R,0)),0),""))</f>
        <v>160</v>
      </c>
      <c r="AD292" s="38" t="str">
        <f>IF(LEFT($B292,4)="_Mil","",_xlfn.IFNA(ROUND(INDEX(Spectrum!$N:$N,MATCH(RIGHT($B292,13)&amp;"|"&amp;$C292&amp;"|"&amp;$D292&amp;"|"&amp;AD$14&amp;"|"&amp;"CY2024Q3",Spectrum!$R:$R,0)),0),""))</f>
        <v/>
      </c>
      <c r="AE292" s="33">
        <f t="shared" si="74"/>
        <v>0</v>
      </c>
      <c r="AF292" s="218" t="str">
        <f>IF(LEFT($B292,4)="_Mil","",_xlfn.IFNA(ROUND(INDEX(Spectrum!$N:$N,MATCH(RIGHT($B292,13)&amp;"|"&amp;$C292&amp;"|"&amp;$D292&amp;"|"&amp;AF$14&amp;"|"&amp;"CY2024Q3",Spectrum!$R:$R,0)),0),""))</f>
        <v/>
      </c>
      <c r="AG292" s="33" t="str">
        <f t="shared" si="75"/>
        <v/>
      </c>
      <c r="AH292" s="110" t="str">
        <f>IF(LEFT($B292,4)="_Mil","",_xlfn.IFNA(INDEX(Spectrum!$N:$N,MATCH(RIGHT($B292,13)&amp;"|"&amp;$C292&amp;"|"&amp;$D292&amp;"|"&amp;AH$14&amp;"|"&amp;"CY2024Q3",Spectrum!$R:$R,0)),""))</f>
        <v/>
      </c>
      <c r="AI292" s="218">
        <f>IF(LEFT($B292,4)="_Mil","",_xlfn.IFNA(ROUND(INDEX(Spectrum!$N:$N,MATCH(RIGHT($B292,13)&amp;"|"&amp;$C292&amp;"|"&amp;$D292&amp;"|"&amp;AI$14&amp;"|"&amp;"CY2025Q3",Spectrum!$R:$R,0)),0),""))</f>
        <v>22</v>
      </c>
      <c r="AJ292" s="38">
        <f>IF(LEFT($B292,4)="_Mil","",_xlfn.IFNA(ROUND(INDEX(Spectrum!$N:$N,MATCH(RIGHT($B292,13)&amp;"|"&amp;$C292&amp;"|"&amp;$D292&amp;"|"&amp;AJ$14&amp;"|"&amp;"CY2025Q3",Spectrum!$R:$R,0)),0),""))</f>
        <v>2435</v>
      </c>
      <c r="AK292" s="218" t="e">
        <f>#REF!</f>
        <v>#REF!</v>
      </c>
      <c r="AL292" s="33">
        <f t="shared" si="76"/>
        <v>0.92083868099999988</v>
      </c>
      <c r="AM292" s="38" t="e">
        <f>IF(OR(LEFT($B292,4)="_Mil",$C292="&lt;01"),"",ROUND(SUM($AK292)*SUM($AL292),0))</f>
        <v>#REF!</v>
      </c>
      <c r="AN292" s="38" t="str">
        <f>IF($C292="&lt;01",ROUND(INDEX(EID!$P:$P,MATCH($B292,EID!$B:$B,0))/2,0),"")</f>
        <v/>
      </c>
      <c r="AO292" s="38" t="e">
        <f>IF($C292="&lt;01",SUM($AN292),ROUND(SUM($AM292)*SUM($O292)/IF(SUM($Z292)=0,1,$Z292),0))</f>
        <v>#REF!</v>
      </c>
      <c r="AP292" s="218">
        <f>IF(OR($F292="",$C292="&lt;01"),$AO292,ROUND($F292,0))</f>
        <v>1841</v>
      </c>
      <c r="AQ292" s="218">
        <f>IF(LEFT($B292,4)="_Mil","",IF(SUM($AP292)=0,SUM($Z292),IF(OR(SUM($Z292)=0,SUM($O292)=0),MAX($AP292,$Z292),ROUND($AP292*$Z292/$O292,0))))</f>
        <v>1977</v>
      </c>
      <c r="AR292" s="33" t="e">
        <f>IF(OR(LEFT($B292,4)="_Mil",SUM($AK292)=0),"",SUM($AQ292)/$AK292)</f>
        <v>#REF!</v>
      </c>
      <c r="AS292" s="33">
        <f t="shared" si="81"/>
        <v>0.98</v>
      </c>
      <c r="AT292" s="33">
        <f t="shared" si="66"/>
        <v>0.98</v>
      </c>
      <c r="AU292" s="38">
        <f>IF($C292="&lt;01","",SUM($AP292)-SUM($O292))</f>
        <v>0</v>
      </c>
      <c r="AV292" s="38">
        <f>IF($C292="&lt;01",ROUND(INDEX(EID!$N:$N,MATCH($B292,EID!$B:$B,0))/2,0),IF(SUM($AT292)=0,"",ROUND((SUM($AP292)-(SUM($O292)*SUM($AS292)))/$AT292,0)))</f>
        <v>38</v>
      </c>
      <c r="AW292" s="33">
        <f t="shared" si="77"/>
        <v>1</v>
      </c>
      <c r="AX292" s="218">
        <f>IF($C292="&lt;01",SUM($AV292),ROUND(SUM($AV292)*SUM($AW292),0))</f>
        <v>38</v>
      </c>
      <c r="AY292" s="79">
        <f t="shared" si="78"/>
        <v>0.7</v>
      </c>
      <c r="AZ292" s="85">
        <f>IF($C292="&lt;01",ROUND(INDEX(EID!$R:$R,MATCH($B292,EID!$B:$B,0))/2,0),ROUND(SUM($O292)+(SUM($AV292)*$AY292),0))</f>
        <v>1868</v>
      </c>
      <c r="BA292" s="40">
        <f t="shared" si="82"/>
        <v>0.9</v>
      </c>
      <c r="BB292" s="99">
        <f>IF($C292="&lt;01",ROUND(INDEX(EID!$T:$T,MATCH($B292,EID!$B:$B,0))/2,0),ROUND($AP292*$BA292,0))</f>
        <v>1657</v>
      </c>
      <c r="BC292" s="85">
        <f>IF(LEFT($B292,4)="_Mil","",IF(SUM($BB292)=0,SUM($AD292),IF(OR(SUM($AP292)=0,SUM($AQ292)=0),MAX($BB292,$AD292),ROUND($BB292*$AQ292/$AP292,0))))</f>
        <v>1779</v>
      </c>
      <c r="BD292" s="33">
        <f t="shared" si="79"/>
        <v>0.95</v>
      </c>
      <c r="BE292" s="218">
        <f>IF($C292="&lt;01",ROUND(INDEX(EID!$V:$V,MATCH($B292,EID!$B:$B,0))/2,0),ROUND($BD292*$BB292,0))</f>
        <v>1574</v>
      </c>
      <c r="BF292" s="218">
        <f>IF(LEFT($B292,4)="_Mil","",IF(SUM($BE292)=0,SUM($AF292),IF(OR(SUM($AP292)=0,SUM($AQ292)=0),MAX($BE292,$AF292),ROUND($BE292*$AQ292/$AP292,0))))</f>
        <v>1690</v>
      </c>
      <c r="BG292" s="79">
        <f t="shared" si="80"/>
        <v>0.95</v>
      </c>
      <c r="BH292" s="99">
        <f>IF($C292="&lt;01",ROUND(INDEX(EID!$L:$L,MATCH($B292,EID!$B:$B,0)),0)/2,IF(SUM($BG292)=0,"",ROUND($AX292/$BG292,0)))</f>
        <v>40</v>
      </c>
    </row>
    <row r="293" spans="1:60" x14ac:dyDescent="0.2">
      <c r="A293" t="str">
        <f>INDEX(Prioritization!$D:$D,MATCH($B293,Prioritization!$A:$A,0))</f>
        <v>4 - Sustained</v>
      </c>
      <c r="B293" t="s">
        <v>311</v>
      </c>
      <c r="C293" t="s">
        <v>478</v>
      </c>
      <c r="D293" t="s">
        <v>30</v>
      </c>
      <c r="E293" t="str">
        <f t="shared" si="70"/>
        <v>Nkhata Bay District [E7zpfyBt7Tw]|50+|Female</v>
      </c>
      <c r="F293" s="229">
        <v>1924</v>
      </c>
      <c r="G293" s="38">
        <v>51</v>
      </c>
      <c r="H293" s="38">
        <v>46</v>
      </c>
      <c r="I293" s="38">
        <v>1893</v>
      </c>
      <c r="J293" s="38">
        <v>1681</v>
      </c>
      <c r="K293" s="38">
        <v>1441</v>
      </c>
      <c r="L293" s="38">
        <v>45</v>
      </c>
      <c r="M293" s="38">
        <v>44</v>
      </c>
      <c r="N293" s="38">
        <v>1707</v>
      </c>
      <c r="O293" s="229">
        <v>1794</v>
      </c>
      <c r="P293" s="38">
        <v>1526</v>
      </c>
      <c r="Q293" s="38">
        <v>1450</v>
      </c>
      <c r="R293" s="38">
        <f t="shared" si="71"/>
        <v>-99</v>
      </c>
      <c r="S293" s="38">
        <f>IF(LEFT($B293,4)="_Mil","",_xlfn.IFNA(ROUND(INDEX(Spectrum!$N:$N,MATCH(RIGHT($B293,13)&amp;"|"&amp;$C293&amp;"|"&amp;$D293&amp;"|"&amp;S$14&amp;"|"&amp;"CY2023Q4",Spectrum!$R:$R,0)),0),""))</f>
        <v>1680</v>
      </c>
      <c r="T293" s="218">
        <f>IF(LEFT($B293,4)="_Mil","",_xlfn.IFNA(ROUND(INDEX(Spectrum!$N:$N,MATCH(RIGHT($B293,13)&amp;"|"&amp;$C293&amp;"|"&amp;$D293&amp;"|"&amp;T$14&amp;"|"&amp;"CY2024Q3",Spectrum!$R:$R,0)),0),""))</f>
        <v>16740</v>
      </c>
      <c r="U293" s="218">
        <f>IF(LEFT($B293,4)="_Mil","",_xlfn.IFNA(ROUND(INDEX(Spectrum!$N:$N,MATCH(RIGHT($B293,13)&amp;"|"&amp;$C293&amp;"|"&amp;$D293&amp;"|"&amp;U$14&amp;"|"&amp;"CY2024Q3",Spectrum!$R:$R,0)),0),""))</f>
        <v>2156</v>
      </c>
      <c r="V293" s="38">
        <f>IF(LEFT($B293,4)="_Mil","",_xlfn.IFNA(ROUND(INDEX(Spectrum!$N:$N,MATCH(RIGHT($B293,13)&amp;"|"&amp;$C293&amp;"|"&amp;$D293&amp;"|"&amp;V$14&amp;"|"&amp;"CY2024Q3",Spectrum!$R:$R,0)),0),""))</f>
        <v>1794</v>
      </c>
      <c r="W293" s="220">
        <f>IF(LEFT($B293,4)="_Mil","",_xlfn.IFNA(INDEX(Spectrum!$N:$N,MATCH(RIGHT($B293,13)&amp;"|"&amp;$C293&amp;"|"&amp;$D293&amp;"|"&amp;W$14&amp;"|"&amp;"CY2024Q3",Spectrum!$R:$R,0)),""))</f>
        <v>0.128782797</v>
      </c>
      <c r="X293" s="218">
        <f>IF(LEFT($B293,4)="_Mil","",_xlfn.IFNA(ROUND(INDEX(Spectrum!$N:$N,MATCH(RIGHT($B293,13)&amp;"|"&amp;$C293&amp;"|"&amp;$D293&amp;"|"&amp;X$14&amp;"|"&amp;"CY2024Q3",Spectrum!$R:$R,0)),0),""))</f>
        <v>2134</v>
      </c>
      <c r="Y293" s="33">
        <f t="shared" si="72"/>
        <v>0.99</v>
      </c>
      <c r="Z293" s="218">
        <f>IF(LEFT($B293,4)="_Mil","",_xlfn.IFNA(ROUND(INDEX(Spectrum!$N:$N,MATCH(RIGHT($B293,13)&amp;"|"&amp;$C293&amp;"|"&amp;$D293&amp;"|"&amp;Z$14&amp;"|"&amp;"CY2024Q3",Spectrum!$R:$R,0)),0),""))</f>
        <v>1770</v>
      </c>
      <c r="AA293" s="33">
        <f>IF(LEFT($B293,4)="_Mil","",IFERROR(1/(1/INDEX(Spectrum!$N:$N,MATCH(RIGHT($B293,13)&amp;"|"&amp;$C293&amp;"|"&amp;$D293&amp;"|"&amp;AA$14&amp;"|"&amp;"CY2024Q3",Spectrum!$R:$R,0))),IF(SUM($U293)=0,"",SUM($Z293)/$U293)))</f>
        <v>0.98751988199999996</v>
      </c>
      <c r="AB293" s="33">
        <f t="shared" si="73"/>
        <v>0.82942830365510778</v>
      </c>
      <c r="AC293" s="38">
        <f>IF(LEFT($B293,4)="_Mil","",_xlfn.IFNA(ROUND(INDEX(Spectrum!$N:$N,MATCH(RIGHT($B293,13)&amp;"|"&amp;$C293&amp;"|"&amp;$D293&amp;"|"&amp;AC$14&amp;"|"&amp;"CY2024Q3",Spectrum!$R:$R,0)),0),""))</f>
        <v>23</v>
      </c>
      <c r="AD293" s="38" t="str">
        <f>IF(LEFT($B293,4)="_Mil","",_xlfn.IFNA(ROUND(INDEX(Spectrum!$N:$N,MATCH(RIGHT($B293,13)&amp;"|"&amp;$C293&amp;"|"&amp;$D293&amp;"|"&amp;AD$14&amp;"|"&amp;"CY2024Q3",Spectrum!$R:$R,0)),0),""))</f>
        <v/>
      </c>
      <c r="AE293" s="33">
        <f t="shared" si="74"/>
        <v>0</v>
      </c>
      <c r="AF293" s="218" t="str">
        <f>IF(LEFT($B293,4)="_Mil","",_xlfn.IFNA(ROUND(INDEX(Spectrum!$N:$N,MATCH(RIGHT($B293,13)&amp;"|"&amp;$C293&amp;"|"&amp;$D293&amp;"|"&amp;AF$14&amp;"|"&amp;"CY2024Q3",Spectrum!$R:$R,0)),0),""))</f>
        <v/>
      </c>
      <c r="AG293" s="33" t="str">
        <f t="shared" si="75"/>
        <v/>
      </c>
      <c r="AH293" s="110" t="str">
        <f>IF(LEFT($B293,4)="_Mil","",_xlfn.IFNA(INDEX(Spectrum!$N:$N,MATCH(RIGHT($B293,13)&amp;"|"&amp;$C293&amp;"|"&amp;$D293&amp;"|"&amp;AH$14&amp;"|"&amp;"CY2024Q3",Spectrum!$R:$R,0)),""))</f>
        <v/>
      </c>
      <c r="AI293" s="218">
        <f>IF(LEFT($B293,4)="_Mil","",_xlfn.IFNA(ROUND(INDEX(Spectrum!$N:$N,MATCH(RIGHT($B293,13)&amp;"|"&amp;$C293&amp;"|"&amp;$D293&amp;"|"&amp;AI$14&amp;"|"&amp;"CY2025Q3",Spectrum!$R:$R,0)),0),""))</f>
        <v>4</v>
      </c>
      <c r="AJ293" s="38">
        <f>IF(LEFT($B293,4)="_Mil","",_xlfn.IFNA(ROUND(INDEX(Spectrum!$N:$N,MATCH(RIGHT($B293,13)&amp;"|"&amp;$C293&amp;"|"&amp;$D293&amp;"|"&amp;AJ$14&amp;"|"&amp;"CY2025Q3",Spectrum!$R:$R,0)),0),""))</f>
        <v>2311</v>
      </c>
      <c r="AK293" s="218" t="e">
        <f>#REF!</f>
        <v>#REF!</v>
      </c>
      <c r="AL293" s="33">
        <f t="shared" si="76"/>
        <v>0.98751988199999996</v>
      </c>
      <c r="AM293" s="38" t="e">
        <f>IF(OR(LEFT($B293,4)="_Mil",$C293="&lt;01"),"",ROUND(SUM($AK293)*SUM($AL293),0))</f>
        <v>#REF!</v>
      </c>
      <c r="AN293" s="38" t="str">
        <f>IF($C293="&lt;01",ROUND(INDEX(EID!$P:$P,MATCH($B293,EID!$B:$B,0))/2,0),"")</f>
        <v/>
      </c>
      <c r="AO293" s="38" t="e">
        <f>IF($C293="&lt;01",SUM($AN293),ROUND(SUM($AM293)*SUM($O293)/IF(SUM($Z293)=0,1,$Z293),0))</f>
        <v>#REF!</v>
      </c>
      <c r="AP293" s="218">
        <f>IF(OR($F293="",$C293="&lt;01"),$AO293,ROUND($F293,0))</f>
        <v>1924</v>
      </c>
      <c r="AQ293" s="218">
        <f>IF(LEFT($B293,4)="_Mil","",IF(SUM($AP293)=0,SUM($Z293),IF(OR(SUM($Z293)=0,SUM($O293)=0),MAX($AP293,$Z293),ROUND($AP293*$Z293/$O293,0))))</f>
        <v>1898</v>
      </c>
      <c r="AR293" s="33" t="e">
        <f>IF(OR(LEFT($B293,4)="_Mil",SUM($AK293)=0),"",SUM($AQ293)/$AK293)</f>
        <v>#REF!</v>
      </c>
      <c r="AS293" s="33">
        <v>1.02</v>
      </c>
      <c r="AT293" s="33">
        <f>IF($C293="&lt;01","",100%)</f>
        <v>1</v>
      </c>
      <c r="AU293" s="38">
        <f>IF($C293="&lt;01","",SUM($AP293)-SUM($O293))</f>
        <v>130</v>
      </c>
      <c r="AV293" s="38">
        <f>IF($C293="&lt;01",ROUND(INDEX(EID!$N:$N,MATCH($B293,EID!$B:$B,0))/2,0),IF(SUM($AT293)=0,"",ROUND((SUM($AP293)-(SUM($O293)*SUM($AS293)))/$AT293,0)))</f>
        <v>94</v>
      </c>
      <c r="AW293" s="33">
        <v>0.8</v>
      </c>
      <c r="AX293" s="218">
        <f>IF($C293="&lt;01",SUM($AV293),ROUND(SUM($AV293)*SUM($AW293),0))</f>
        <v>75</v>
      </c>
      <c r="AY293" s="79">
        <f t="shared" si="78"/>
        <v>0.7</v>
      </c>
      <c r="AZ293" s="85">
        <f>IF($C293="&lt;01",ROUND(INDEX(EID!$R:$R,MATCH($B293,EID!$B:$B,0))/2,0),ROUND(SUM($O293)+(SUM($AV293)*$AY293),0))</f>
        <v>1860</v>
      </c>
      <c r="BA293" s="40">
        <f t="shared" si="82"/>
        <v>0.9</v>
      </c>
      <c r="BB293" s="99">
        <f>IF($C293="&lt;01",ROUND(INDEX(EID!$T:$T,MATCH($B293,EID!$B:$B,0))/2,0),ROUND($AP293*$BA293,0))</f>
        <v>1732</v>
      </c>
      <c r="BC293" s="85">
        <f>IF(LEFT($B293,4)="_Mil","",IF(SUM($BB293)=0,SUM($AD293),IF(OR(SUM($AP293)=0,SUM($AQ293)=0),MAX($BB293,$AD293),ROUND($BB293*$AQ293/$AP293,0))))</f>
        <v>1709</v>
      </c>
      <c r="BD293" s="33">
        <f t="shared" si="79"/>
        <v>0.95</v>
      </c>
      <c r="BE293" s="218">
        <f>IF($C293="&lt;01",ROUND(INDEX(EID!$V:$V,MATCH($B293,EID!$B:$B,0))/2,0),ROUND($BD293*$BB293,0))</f>
        <v>1645</v>
      </c>
      <c r="BF293" s="218">
        <f>IF(LEFT($B293,4)="_Mil","",IF(SUM($BE293)=0,SUM($AF293),IF(OR(SUM($AP293)=0,SUM($AQ293)=0),MAX($BE293,$AF293),ROUND($BE293*$AQ293/$AP293,0))))</f>
        <v>1623</v>
      </c>
      <c r="BG293" s="79">
        <f t="shared" si="80"/>
        <v>0.95</v>
      </c>
      <c r="BH293" s="99">
        <f>IF($C293="&lt;01",ROUND(INDEX(EID!$L:$L,MATCH($B293,EID!$B:$B,0)),0)/2,IF(SUM($BG293)=0,"",ROUND($AX293/$BG293,0)))</f>
        <v>79</v>
      </c>
    </row>
    <row r="294" spans="1:60" x14ac:dyDescent="0.2">
      <c r="A294" t="str">
        <f>INDEX(Prioritization!$D:$D,MATCH($B294,Prioritization!$A:$A,0))</f>
        <v>4 - Sustained</v>
      </c>
      <c r="B294" t="s">
        <v>311</v>
      </c>
      <c r="C294" t="s">
        <v>478</v>
      </c>
      <c r="D294" t="s">
        <v>48</v>
      </c>
      <c r="E294" t="str">
        <f t="shared" si="70"/>
        <v>Nkhata Bay District [E7zpfyBt7Tw]|50+|Male</v>
      </c>
      <c r="F294" s="229">
        <v>1796</v>
      </c>
      <c r="G294" s="38">
        <v>47</v>
      </c>
      <c r="H294" s="38">
        <v>79</v>
      </c>
      <c r="I294" s="38">
        <v>1811</v>
      </c>
      <c r="J294" s="38">
        <v>1570</v>
      </c>
      <c r="K294" s="38">
        <v>1337</v>
      </c>
      <c r="L294" s="38">
        <v>21</v>
      </c>
      <c r="M294" s="38">
        <v>20</v>
      </c>
      <c r="N294" s="38">
        <v>1632</v>
      </c>
      <c r="O294" s="229">
        <v>1712</v>
      </c>
      <c r="P294" s="38">
        <v>1473</v>
      </c>
      <c r="Q294" s="38">
        <v>1399</v>
      </c>
      <c r="R294" s="38">
        <f t="shared" si="71"/>
        <v>-99</v>
      </c>
      <c r="S294" s="38">
        <f>IF(LEFT($B294,4)="_Mil","",_xlfn.IFNA(ROUND(INDEX(Spectrum!$N:$N,MATCH(RIGHT($B294,13)&amp;"|"&amp;$C294&amp;"|"&amp;$D294&amp;"|"&amp;S$14&amp;"|"&amp;"CY2023Q4",Spectrum!$R:$R,0)),0),""))</f>
        <v>1538</v>
      </c>
      <c r="T294" s="218">
        <f>IF(LEFT($B294,4)="_Mil","",_xlfn.IFNA(ROUND(INDEX(Spectrum!$N:$N,MATCH(RIGHT($B294,13)&amp;"|"&amp;$C294&amp;"|"&amp;$D294&amp;"|"&amp;T$14&amp;"|"&amp;"CY2024Q3",Spectrum!$R:$R,0)),0),""))</f>
        <v>13116</v>
      </c>
      <c r="U294" s="218">
        <f>IF(LEFT($B294,4)="_Mil","",_xlfn.IFNA(ROUND(INDEX(Spectrum!$N:$N,MATCH(RIGHT($B294,13)&amp;"|"&amp;$C294&amp;"|"&amp;$D294&amp;"|"&amp;U$14&amp;"|"&amp;"CY2024Q3",Spectrum!$R:$R,0)),0),""))</f>
        <v>2054</v>
      </c>
      <c r="V294" s="38">
        <f>IF(LEFT($B294,4)="_Mil","",_xlfn.IFNA(ROUND(INDEX(Spectrum!$N:$N,MATCH(RIGHT($B294,13)&amp;"|"&amp;$C294&amp;"|"&amp;$D294&amp;"|"&amp;V$14&amp;"|"&amp;"CY2024Q3",Spectrum!$R:$R,0)),0),""))</f>
        <v>1712</v>
      </c>
      <c r="W294" s="220">
        <f>IF(LEFT($B294,4)="_Mil","",_xlfn.IFNA(INDEX(Spectrum!$N:$N,MATCH(RIGHT($B294,13)&amp;"|"&amp;$C294&amp;"|"&amp;$D294&amp;"|"&amp;W$14&amp;"|"&amp;"CY2024Q3",Spectrum!$R:$R,0)),""))</f>
        <v>0.15662590100000001</v>
      </c>
      <c r="X294" s="218">
        <f>IF(LEFT($B294,4)="_Mil","",_xlfn.IFNA(ROUND(INDEX(Spectrum!$N:$N,MATCH(RIGHT($B294,13)&amp;"|"&amp;$C294&amp;"|"&amp;$D294&amp;"|"&amp;X$14&amp;"|"&amp;"CY2024Q3",Spectrum!$R:$R,0)),0),""))</f>
        <v>1949</v>
      </c>
      <c r="Y294" s="33">
        <f t="shared" si="72"/>
        <v>0.95</v>
      </c>
      <c r="Z294" s="218">
        <f>IF(LEFT($B294,4)="_Mil","",_xlfn.IFNA(ROUND(INDEX(Spectrum!$N:$N,MATCH(RIGHT($B294,13)&amp;"|"&amp;$C294&amp;"|"&amp;$D294&amp;"|"&amp;Z$14&amp;"|"&amp;"CY2024Q3",Spectrum!$R:$R,0)),0),""))</f>
        <v>1623</v>
      </c>
      <c r="AA294" s="33">
        <f>IF(LEFT($B294,4)="_Mil","",IFERROR(1/(1/INDEX(Spectrum!$N:$N,MATCH(RIGHT($B294,13)&amp;"|"&amp;$C294&amp;"|"&amp;$D294&amp;"|"&amp;AA$14&amp;"|"&amp;"CY2024Q3",Spectrum!$R:$R,0))),IF(SUM($U294)=0,"",SUM($Z294)/$U294)))</f>
        <v>0.94559209499999997</v>
      </c>
      <c r="AB294" s="33">
        <f t="shared" si="73"/>
        <v>0.83273473576192925</v>
      </c>
      <c r="AC294" s="38">
        <f>IF(LEFT($B294,4)="_Mil","",_xlfn.IFNA(ROUND(INDEX(Spectrum!$N:$N,MATCH(RIGHT($B294,13)&amp;"|"&amp;$C294&amp;"|"&amp;$D294&amp;"|"&amp;AC$14&amp;"|"&amp;"CY2024Q3",Spectrum!$R:$R,0)),0),""))</f>
        <v>89</v>
      </c>
      <c r="AD294" s="38" t="str">
        <f>IF(LEFT($B294,4)="_Mil","",_xlfn.IFNA(ROUND(INDEX(Spectrum!$N:$N,MATCH(RIGHT($B294,13)&amp;"|"&amp;$C294&amp;"|"&amp;$D294&amp;"|"&amp;AD$14&amp;"|"&amp;"CY2024Q3",Spectrum!$R:$R,0)),0),""))</f>
        <v/>
      </c>
      <c r="AE294" s="33">
        <f t="shared" si="74"/>
        <v>0</v>
      </c>
      <c r="AF294" s="218" t="str">
        <f>IF(LEFT($B294,4)="_Mil","",_xlfn.IFNA(ROUND(INDEX(Spectrum!$N:$N,MATCH(RIGHT($B294,13)&amp;"|"&amp;$C294&amp;"|"&amp;$D294&amp;"|"&amp;AF$14&amp;"|"&amp;"CY2024Q3",Spectrum!$R:$R,0)),0),""))</f>
        <v/>
      </c>
      <c r="AG294" s="33" t="str">
        <f t="shared" si="75"/>
        <v/>
      </c>
      <c r="AH294" s="110" t="str">
        <f>IF(LEFT($B294,4)="_Mil","",_xlfn.IFNA(INDEX(Spectrum!$N:$N,MATCH(RIGHT($B294,13)&amp;"|"&amp;$C294&amp;"|"&amp;$D294&amp;"|"&amp;AH$14&amp;"|"&amp;"CY2024Q3",Spectrum!$R:$R,0)),""))</f>
        <v/>
      </c>
      <c r="AI294" s="218">
        <f>IF(LEFT($B294,4)="_Mil","",_xlfn.IFNA(ROUND(INDEX(Spectrum!$N:$N,MATCH(RIGHT($B294,13)&amp;"|"&amp;$C294&amp;"|"&amp;$D294&amp;"|"&amp;AI$14&amp;"|"&amp;"CY2025Q3",Spectrum!$R:$R,0)),0),""))</f>
        <v>7</v>
      </c>
      <c r="AJ294" s="38">
        <f>IF(LEFT($B294,4)="_Mil","",_xlfn.IFNA(ROUND(INDEX(Spectrum!$N:$N,MATCH(RIGHT($B294,13)&amp;"|"&amp;$C294&amp;"|"&amp;$D294&amp;"|"&amp;AJ$14&amp;"|"&amp;"CY2025Q3",Spectrum!$R:$R,0)),0),""))</f>
        <v>2162</v>
      </c>
      <c r="AK294" s="218" t="e">
        <f>#REF!</f>
        <v>#REF!</v>
      </c>
      <c r="AL294" s="33">
        <f t="shared" si="76"/>
        <v>0.94559209499999997</v>
      </c>
      <c r="AM294" s="38" t="e">
        <f>IF(OR(LEFT($B294,4)="_Mil",$C294="&lt;01"),"",ROUND(SUM($AK294)*SUM($AL294),0))</f>
        <v>#REF!</v>
      </c>
      <c r="AN294" s="38" t="str">
        <f>IF($C294="&lt;01",ROUND(INDEX(EID!$P:$P,MATCH($B294,EID!$B:$B,0))/2,0),"")</f>
        <v/>
      </c>
      <c r="AO294" s="38" t="e">
        <f>IF($C294="&lt;01",SUM($AN294),ROUND(SUM($AM294)*SUM($O294)/IF(SUM($Z294)=0,1,$Z294),0))</f>
        <v>#REF!</v>
      </c>
      <c r="AP294" s="218">
        <f>IF(OR($F294="",$C294="&lt;01"),$AO294,ROUND($F294,0))</f>
        <v>1796</v>
      </c>
      <c r="AQ294" s="218">
        <f>IF(LEFT($B294,4)="_Mil","",IF(SUM($AP294)=0,SUM($Z294),IF(OR(SUM($Z294)=0,SUM($O294)=0),MAX($AP294,$Z294),ROUND($AP294*$Z294/$O294,0))))</f>
        <v>1703</v>
      </c>
      <c r="AR294" s="33" t="e">
        <f>IF(OR(LEFT($B294,4)="_Mil",SUM($AK294)=0),"",SUM($AQ294)/$AK294)</f>
        <v>#REF!</v>
      </c>
      <c r="AS294" s="33">
        <v>1.02</v>
      </c>
      <c r="AT294" s="33">
        <f>IF($C294="&lt;01","",100%)</f>
        <v>1</v>
      </c>
      <c r="AU294" s="38">
        <f>IF($C294="&lt;01","",SUM($AP294)-SUM($O294))</f>
        <v>84</v>
      </c>
      <c r="AV294" s="38">
        <f>IF($C294="&lt;01",ROUND(INDEX(EID!$N:$N,MATCH($B294,EID!$B:$B,0))/2,0),IF(SUM($AT294)=0,"",ROUND((SUM($AP294)-(SUM($O294)*SUM($AS294)))/$AT294,0)))</f>
        <v>50</v>
      </c>
      <c r="AW294" s="33">
        <v>0.8</v>
      </c>
      <c r="AX294" s="218">
        <f>IF($C294="&lt;01",SUM($AV294),ROUND(SUM($AV294)*SUM($AW294),0))</f>
        <v>40</v>
      </c>
      <c r="AY294" s="79">
        <f t="shared" si="78"/>
        <v>0.7</v>
      </c>
      <c r="AZ294" s="85">
        <f>IF($C294="&lt;01",ROUND(INDEX(EID!$R:$R,MATCH($B294,EID!$B:$B,0))/2,0),ROUND(SUM($O294)+(SUM($AV294)*$AY294),0))</f>
        <v>1747</v>
      </c>
      <c r="BA294" s="40">
        <f t="shared" si="82"/>
        <v>0.9</v>
      </c>
      <c r="BB294" s="99">
        <f>IF($C294="&lt;01",ROUND(INDEX(EID!$T:$T,MATCH($B294,EID!$B:$B,0))/2,0),ROUND($AP294*$BA294,0))</f>
        <v>1616</v>
      </c>
      <c r="BC294" s="85">
        <f>IF(LEFT($B294,4)="_Mil","",IF(SUM($BB294)=0,SUM($AD294),IF(OR(SUM($AP294)=0,SUM($AQ294)=0),MAX($BB294,$AD294),ROUND($BB294*$AQ294/$AP294,0))))</f>
        <v>1532</v>
      </c>
      <c r="BD294" s="33">
        <f t="shared" si="79"/>
        <v>0.95</v>
      </c>
      <c r="BE294" s="218">
        <f>IF($C294="&lt;01",ROUND(INDEX(EID!$V:$V,MATCH($B294,EID!$B:$B,0))/2,0),ROUND($BD294*$BB294,0))</f>
        <v>1535</v>
      </c>
      <c r="BF294" s="218">
        <f>IF(LEFT($B294,4)="_Mil","",IF(SUM($BE294)=0,SUM($AF294),IF(OR(SUM($AP294)=0,SUM($AQ294)=0),MAX($BE294,$AF294),ROUND($BE294*$AQ294/$AP294,0))))</f>
        <v>1456</v>
      </c>
      <c r="BG294" s="79">
        <f t="shared" si="80"/>
        <v>0.95</v>
      </c>
      <c r="BH294" s="99">
        <f>IF($C294="&lt;01",ROUND(INDEX(EID!$L:$L,MATCH($B294,EID!$B:$B,0)),0)/2,IF(SUM($BG294)=0,"",ROUND($AX294/$BG294,0)))</f>
        <v>42</v>
      </c>
    </row>
    <row r="295" spans="1:60" x14ac:dyDescent="0.2">
      <c r="A295" t="str">
        <f>INDEX(Prioritization!$D:$D,MATCH($B295,Prioritization!$A:$A,0))</f>
        <v>4 - Sustained</v>
      </c>
      <c r="B295" t="s">
        <v>303</v>
      </c>
      <c r="C295" t="s">
        <v>426</v>
      </c>
      <c r="D295" t="s">
        <v>30</v>
      </c>
      <c r="E295" t="str">
        <f t="shared" si="70"/>
        <v>Nkhotakota District [YCKiBAp8QAg]|&lt;01|Female</v>
      </c>
      <c r="F295" s="229">
        <v>8</v>
      </c>
      <c r="G295" s="38">
        <v>38</v>
      </c>
      <c r="H295" s="38">
        <v>8</v>
      </c>
      <c r="I295" s="38">
        <v>5</v>
      </c>
      <c r="J295" s="38">
        <v>21</v>
      </c>
      <c r="K295" s="38">
        <v>20</v>
      </c>
      <c r="L295" s="38"/>
      <c r="M295" s="38">
        <v>6</v>
      </c>
      <c r="N295" s="38">
        <v>6</v>
      </c>
      <c r="O295" s="229">
        <v>8</v>
      </c>
      <c r="P295" s="38">
        <v>4</v>
      </c>
      <c r="Q295" s="38">
        <v>4</v>
      </c>
      <c r="R295" s="38">
        <f t="shared" si="71"/>
        <v>3</v>
      </c>
      <c r="S295" s="38">
        <f>IF(LEFT($B295,4)="_Mil","",_xlfn.IFNA(ROUND(INDEX(Spectrum!$N:$N,MATCH(RIGHT($B295,13)&amp;"|"&amp;$C295&amp;"|"&amp;$D295&amp;"|"&amp;S$14&amp;"|"&amp;"CY2023Q4",Spectrum!$R:$R,0)),0),""))</f>
        <v>6</v>
      </c>
      <c r="T295" s="218">
        <f>IF(LEFT($B295,4)="_Mil","",_xlfn.IFNA(ROUND(INDEX(Spectrum!$N:$N,MATCH(RIGHT($B295,13)&amp;"|"&amp;$C295&amp;"|"&amp;$D295&amp;"|"&amp;T$14&amp;"|"&amp;"CY2024Q3",Spectrum!$R:$R,0)),0),""))</f>
        <v>7668</v>
      </c>
      <c r="U295" s="218">
        <f>IF(LEFT($B295,4)="_Mil","",_xlfn.IFNA(ROUND(INDEX(Spectrum!$N:$N,MATCH(RIGHT($B295,13)&amp;"|"&amp;$C295&amp;"|"&amp;$D295&amp;"|"&amp;U$14&amp;"|"&amp;"CY2024Q3",Spectrum!$R:$R,0)),0),""))</f>
        <v>8</v>
      </c>
      <c r="V295" s="38">
        <f>IF(LEFT($B295,4)="_Mil","",_xlfn.IFNA(ROUND(INDEX(Spectrum!$N:$N,MATCH(RIGHT($B295,13)&amp;"|"&amp;$C295&amp;"|"&amp;$D295&amp;"|"&amp;V$14&amp;"|"&amp;"CY2024Q3",Spectrum!$R:$R,0)),0),""))</f>
        <v>8</v>
      </c>
      <c r="W295" s="220">
        <f>IF(LEFT($B295,4)="_Mil","",_xlfn.IFNA(INDEX(Spectrum!$N:$N,MATCH(RIGHT($B295,13)&amp;"|"&amp;$C295&amp;"|"&amp;$D295&amp;"|"&amp;W$14&amp;"|"&amp;"CY2024Q3",Spectrum!$R:$R,0)),""))</f>
        <v>9.873970000000001E-4</v>
      </c>
      <c r="X295" s="218">
        <f>IF(LEFT($B295,4)="_Mil","",_xlfn.IFNA(ROUND(INDEX(Spectrum!$N:$N,MATCH(RIGHT($B295,13)&amp;"|"&amp;$C295&amp;"|"&amp;$D295&amp;"|"&amp;X$14&amp;"|"&amp;"CY2024Q3",Spectrum!$R:$R,0)),0),""))</f>
        <v>5</v>
      </c>
      <c r="Y295" s="33">
        <f t="shared" si="72"/>
        <v>0.63</v>
      </c>
      <c r="Z295" s="218">
        <f>IF(LEFT($B295,4)="_Mil","",_xlfn.IFNA(ROUND(INDEX(Spectrum!$N:$N,MATCH(RIGHT($B295,13)&amp;"|"&amp;$C295&amp;"|"&amp;$D295&amp;"|"&amp;Z$14&amp;"|"&amp;"CY2024Q3",Spectrum!$R:$R,0)),0),""))</f>
        <v>5</v>
      </c>
      <c r="AA295" s="33">
        <f>IF(LEFT($B295,4)="_Mil","",IFERROR(1/(1/INDEX(Spectrum!$N:$N,MATCH(RIGHT($B295,13)&amp;"|"&amp;$C295&amp;"|"&amp;$D295&amp;"|"&amp;AA$14&amp;"|"&amp;"CY2024Q3",Spectrum!$R:$R,0))),IF(SUM($U295)=0,"",SUM($Z295)/$U295)))</f>
        <v>0.637563039</v>
      </c>
      <c r="AB295" s="33">
        <f t="shared" si="73"/>
        <v>1</v>
      </c>
      <c r="AC295" s="38">
        <f>IF(LEFT($B295,4)="_Mil","",_xlfn.IFNA(ROUND(INDEX(Spectrum!$N:$N,MATCH(RIGHT($B295,13)&amp;"|"&amp;$C295&amp;"|"&amp;$D295&amp;"|"&amp;AC$14&amp;"|"&amp;"CY2024Q3",Spectrum!$R:$R,0)),0),""))</f>
        <v>3</v>
      </c>
      <c r="AD295" s="38" t="str">
        <f>IF(LEFT($B295,4)="_Mil","",_xlfn.IFNA(ROUND(INDEX(Spectrum!$N:$N,MATCH(RIGHT($B295,13)&amp;"|"&amp;$C295&amp;"|"&amp;$D295&amp;"|"&amp;AD$14&amp;"|"&amp;"CY2024Q3",Spectrum!$R:$R,0)),0),""))</f>
        <v/>
      </c>
      <c r="AE295" s="33">
        <f t="shared" si="74"/>
        <v>0</v>
      </c>
      <c r="AF295" s="218" t="str">
        <f>IF(LEFT($B295,4)="_Mil","",_xlfn.IFNA(ROUND(INDEX(Spectrum!$N:$N,MATCH(RIGHT($B295,13)&amp;"|"&amp;$C295&amp;"|"&amp;$D295&amp;"|"&amp;AF$14&amp;"|"&amp;"CY2024Q3",Spectrum!$R:$R,0)),0),""))</f>
        <v/>
      </c>
      <c r="AG295" s="33" t="str">
        <f t="shared" si="75"/>
        <v/>
      </c>
      <c r="AH295" s="110" t="str">
        <f>IF(LEFT($B295,4)="_Mil","",_xlfn.IFNA(INDEX(Spectrum!$N:$N,MATCH(RIGHT($B295,13)&amp;"|"&amp;$C295&amp;"|"&amp;$D295&amp;"|"&amp;AH$14&amp;"|"&amp;"CY2024Q3",Spectrum!$R:$R,0)),""))</f>
        <v/>
      </c>
      <c r="AI295" s="218">
        <f>IF(LEFT($B295,4)="_Mil","",_xlfn.IFNA(ROUND(INDEX(Spectrum!$N:$N,MATCH(RIGHT($B295,13)&amp;"|"&amp;$C295&amp;"|"&amp;$D295&amp;"|"&amp;AI$14&amp;"|"&amp;"CY2025Q3",Spectrum!$R:$R,0)),0),""))</f>
        <v>10</v>
      </c>
      <c r="AJ295" s="38">
        <f>IF(LEFT($B295,4)="_Mil","",_xlfn.IFNA(ROUND(INDEX(Spectrum!$N:$N,MATCH(RIGHT($B295,13)&amp;"|"&amp;$C295&amp;"|"&amp;$D295&amp;"|"&amp;AJ$14&amp;"|"&amp;"CY2025Q3",Spectrum!$R:$R,0)),0),""))</f>
        <v>7</v>
      </c>
      <c r="AK295" s="218" t="e">
        <f>#REF!</f>
        <v>#REF!</v>
      </c>
      <c r="AL295" s="33" t="str">
        <f t="shared" si="76"/>
        <v/>
      </c>
      <c r="AM295" s="38" t="str">
        <f>IF(OR(LEFT($B295,4)="_Mil",$C295="&lt;01"),"",ROUND(SUM($AK295)*SUM($AL295),0))</f>
        <v/>
      </c>
      <c r="AN295" s="38">
        <f>IF($C295="&lt;01",ROUND(INDEX(EID!$P:$P,MATCH($B295,EID!$B:$B,0))/2,0),"")</f>
        <v>0</v>
      </c>
      <c r="AO295" s="38">
        <f>IF($C295="&lt;01",SUM($AN295),ROUND(SUM($AM295)*SUM($O295)/IF(SUM($Z295)=0,1,$Z295),0))</f>
        <v>0</v>
      </c>
      <c r="AP295" s="218">
        <f>IF(OR($F295="",$C295="&lt;01"),$AO295,ROUND($F295,0))</f>
        <v>0</v>
      </c>
      <c r="AQ295" s="218">
        <f>IF(LEFT($B295,4)="_Mil","",IF(SUM($AP295)=0,SUM($Z295),IF(OR(SUM($Z295)=0,SUM($O295)=0),MAX($AP295,$Z295),ROUND($AP295*$Z295/$O295,0))))</f>
        <v>5</v>
      </c>
      <c r="AR295" s="33" t="e">
        <f>IF(OR(LEFT($B295,4)="_Mil",SUM($AK295)=0),"",SUM($AQ295)/$AK295)</f>
        <v>#REF!</v>
      </c>
      <c r="AS295" s="33" t="str">
        <f t="shared" si="81"/>
        <v/>
      </c>
      <c r="AT295" s="33" t="str">
        <f t="shared" ref="AT295:AT356" si="83">IF($C295="&lt;01","",98%)</f>
        <v/>
      </c>
      <c r="AU295" s="38" t="str">
        <f>IF($C295="&lt;01","",SUM($AP295)-SUM($O295))</f>
        <v/>
      </c>
      <c r="AV295" s="38">
        <f>IF($C295="&lt;01",ROUND(INDEX(EID!$N:$N,MATCH($B295,EID!$B:$B,0))/2,0),IF(SUM($AT295)=0,"",ROUND((SUM($AP295)-(SUM($O295)*SUM($AS295)))/$AT295,0)))</f>
        <v>0</v>
      </c>
      <c r="AW295" s="33" t="str">
        <f t="shared" si="77"/>
        <v/>
      </c>
      <c r="AX295" s="218">
        <f>IF($C295="&lt;01",SUM($AV295),ROUND(SUM($AV295)*SUM($AW295),0))</f>
        <v>0</v>
      </c>
      <c r="AY295" s="79" t="str">
        <f t="shared" si="78"/>
        <v/>
      </c>
      <c r="AZ295" s="85">
        <f>IF($C295="&lt;01",ROUND(INDEX(EID!$R:$R,MATCH($B295,EID!$B:$B,0))/2,0),ROUND(SUM($O295)+(SUM($AV295)*$AY295),0))</f>
        <v>0</v>
      </c>
      <c r="BA295" s="40" t="str">
        <f t="shared" si="82"/>
        <v/>
      </c>
      <c r="BB295" s="99">
        <f>IF($C295="&lt;01",ROUND(INDEX(EID!$T:$T,MATCH($B295,EID!$B:$B,0))/2,0),ROUND($AP295*$BA295,0))</f>
        <v>0</v>
      </c>
      <c r="BC295" s="85">
        <f>IF(LEFT($B295,4)="_Mil","",IF(SUM($BB295)=0,SUM($AD295),IF(OR(SUM($AP295)=0,SUM($AQ295)=0),MAX($BB295,$AD295),ROUND($BB295*$AQ295/$AP295,0))))</f>
        <v>0</v>
      </c>
      <c r="BD295" s="33" t="str">
        <f t="shared" si="79"/>
        <v/>
      </c>
      <c r="BE295" s="218">
        <f>IF($C295="&lt;01",ROUND(INDEX(EID!$V:$V,MATCH($B295,EID!$B:$B,0))/2,0),ROUND($BD295*$BB295,0))</f>
        <v>0</v>
      </c>
      <c r="BF295" s="218">
        <f>IF(LEFT($B295,4)="_Mil","",IF(SUM($BE295)=0,SUM($AF295),IF(OR(SUM($AP295)=0,SUM($AQ295)=0),MAX($BE295,$AF295),ROUND($BE295*$AQ295/$AP295,0))))</f>
        <v>0</v>
      </c>
      <c r="BG295" s="79" t="str">
        <f t="shared" si="80"/>
        <v/>
      </c>
      <c r="BH295" s="99">
        <f>IF($C295="&lt;01",ROUND(INDEX(EID!$L:$L,MATCH($B295,EID!$B:$B,0)),0)/2,IF(SUM($BG295)=0,"",ROUND($AX295/$BG295,0)))</f>
        <v>0</v>
      </c>
    </row>
    <row r="296" spans="1:60" x14ac:dyDescent="0.2">
      <c r="A296" t="str">
        <f>INDEX(Prioritization!$D:$D,MATCH($B296,Prioritization!$A:$A,0))</f>
        <v>4 - Sustained</v>
      </c>
      <c r="B296" t="s">
        <v>303</v>
      </c>
      <c r="C296" t="s">
        <v>426</v>
      </c>
      <c r="D296" t="s">
        <v>48</v>
      </c>
      <c r="E296" t="str">
        <f t="shared" si="70"/>
        <v>Nkhotakota District [YCKiBAp8QAg]|&lt;01|Male</v>
      </c>
      <c r="F296" s="229">
        <v>7</v>
      </c>
      <c r="G296" s="38">
        <v>26</v>
      </c>
      <c r="H296" s="38">
        <v>8</v>
      </c>
      <c r="I296" s="38">
        <v>3</v>
      </c>
      <c r="J296" s="38">
        <v>11</v>
      </c>
      <c r="K296" s="38">
        <v>9</v>
      </c>
      <c r="L296" s="38"/>
      <c r="M296" s="38">
        <v>6</v>
      </c>
      <c r="N296" s="38">
        <v>6</v>
      </c>
      <c r="O296" s="229">
        <v>7</v>
      </c>
      <c r="P296" s="38">
        <v>4</v>
      </c>
      <c r="Q296" s="38">
        <v>4</v>
      </c>
      <c r="R296" s="38">
        <f t="shared" si="71"/>
        <v>4</v>
      </c>
      <c r="S296" s="38">
        <f>IF(LEFT($B296,4)="_Mil","",_xlfn.IFNA(ROUND(INDEX(Spectrum!$N:$N,MATCH(RIGHT($B296,13)&amp;"|"&amp;$C296&amp;"|"&amp;$D296&amp;"|"&amp;S$14&amp;"|"&amp;"CY2023Q4",Spectrum!$R:$R,0)),0),""))</f>
        <v>6</v>
      </c>
      <c r="T296" s="218">
        <f>IF(LEFT($B296,4)="_Mil","",_xlfn.IFNA(ROUND(INDEX(Spectrum!$N:$N,MATCH(RIGHT($B296,13)&amp;"|"&amp;$C296&amp;"|"&amp;$D296&amp;"|"&amp;T$14&amp;"|"&amp;"CY2024Q3",Spectrum!$R:$R,0)),0),""))</f>
        <v>7696</v>
      </c>
      <c r="U296" s="218">
        <f>IF(LEFT($B296,4)="_Mil","",_xlfn.IFNA(ROUND(INDEX(Spectrum!$N:$N,MATCH(RIGHT($B296,13)&amp;"|"&amp;$C296&amp;"|"&amp;$D296&amp;"|"&amp;U$14&amp;"|"&amp;"CY2024Q3",Spectrum!$R:$R,0)),0),""))</f>
        <v>8</v>
      </c>
      <c r="V296" s="38">
        <f>IF(LEFT($B296,4)="_Mil","",_xlfn.IFNA(ROUND(INDEX(Spectrum!$N:$N,MATCH(RIGHT($B296,13)&amp;"|"&amp;$C296&amp;"|"&amp;$D296&amp;"|"&amp;V$14&amp;"|"&amp;"CY2024Q3",Spectrum!$R:$R,0)),0),""))</f>
        <v>9</v>
      </c>
      <c r="W296" s="220">
        <f>IF(LEFT($B296,4)="_Mil","",_xlfn.IFNA(INDEX(Spectrum!$N:$N,MATCH(RIGHT($B296,13)&amp;"|"&amp;$C296&amp;"|"&amp;$D296&amp;"|"&amp;W$14&amp;"|"&amp;"CY2024Q3",Spectrum!$R:$R,0)),""))</f>
        <v>9.9529400000000008E-4</v>
      </c>
      <c r="X296" s="218">
        <f>IF(LEFT($B296,4)="_Mil","",_xlfn.IFNA(ROUND(INDEX(Spectrum!$N:$N,MATCH(RIGHT($B296,13)&amp;"|"&amp;$C296&amp;"|"&amp;$D296&amp;"|"&amp;X$14&amp;"|"&amp;"CY2024Q3",Spectrum!$R:$R,0)),0),""))</f>
        <v>5</v>
      </c>
      <c r="Y296" s="33">
        <f t="shared" si="72"/>
        <v>0.63</v>
      </c>
      <c r="Z296" s="218">
        <f>IF(LEFT($B296,4)="_Mil","",_xlfn.IFNA(ROUND(INDEX(Spectrum!$N:$N,MATCH(RIGHT($B296,13)&amp;"|"&amp;$C296&amp;"|"&amp;$D296&amp;"|"&amp;Z$14&amp;"|"&amp;"CY2024Q3",Spectrum!$R:$R,0)),0),""))</f>
        <v>6</v>
      </c>
      <c r="AA296" s="33">
        <f>IF(LEFT($B296,4)="_Mil","",IFERROR(1/(1/INDEX(Spectrum!$N:$N,MATCH(RIGHT($B296,13)&amp;"|"&amp;$C296&amp;"|"&amp;$D296&amp;"|"&amp;AA$14&amp;"|"&amp;"CY2024Q3",Spectrum!$R:$R,0))),IF(SUM($U296)=0,"",SUM($Z296)/$U296)))</f>
        <v>0.63770792899999995</v>
      </c>
      <c r="AB296" s="33">
        <f t="shared" si="73"/>
        <v>1.2</v>
      </c>
      <c r="AC296" s="38">
        <f>IF(LEFT($B296,4)="_Mil","",_xlfn.IFNA(ROUND(INDEX(Spectrum!$N:$N,MATCH(RIGHT($B296,13)&amp;"|"&amp;$C296&amp;"|"&amp;$D296&amp;"|"&amp;AC$14&amp;"|"&amp;"CY2024Q3",Spectrum!$R:$R,0)),0),""))</f>
        <v>3</v>
      </c>
      <c r="AD296" s="38" t="str">
        <f>IF(LEFT($B296,4)="_Mil","",_xlfn.IFNA(ROUND(INDEX(Spectrum!$N:$N,MATCH(RIGHT($B296,13)&amp;"|"&amp;$C296&amp;"|"&amp;$D296&amp;"|"&amp;AD$14&amp;"|"&amp;"CY2024Q3",Spectrum!$R:$R,0)),0),""))</f>
        <v/>
      </c>
      <c r="AE296" s="33">
        <f t="shared" si="74"/>
        <v>0</v>
      </c>
      <c r="AF296" s="218" t="str">
        <f>IF(LEFT($B296,4)="_Mil","",_xlfn.IFNA(ROUND(INDEX(Spectrum!$N:$N,MATCH(RIGHT($B296,13)&amp;"|"&amp;$C296&amp;"|"&amp;$D296&amp;"|"&amp;AF$14&amp;"|"&amp;"CY2024Q3",Spectrum!$R:$R,0)),0),""))</f>
        <v/>
      </c>
      <c r="AG296" s="33" t="str">
        <f t="shared" si="75"/>
        <v/>
      </c>
      <c r="AH296" s="110" t="str">
        <f>IF(LEFT($B296,4)="_Mil","",_xlfn.IFNA(INDEX(Spectrum!$N:$N,MATCH(RIGHT($B296,13)&amp;"|"&amp;$C296&amp;"|"&amp;$D296&amp;"|"&amp;AH$14&amp;"|"&amp;"CY2024Q3",Spectrum!$R:$R,0)),""))</f>
        <v/>
      </c>
      <c r="AI296" s="218">
        <f>IF(LEFT($B296,4)="_Mil","",_xlfn.IFNA(ROUND(INDEX(Spectrum!$N:$N,MATCH(RIGHT($B296,13)&amp;"|"&amp;$C296&amp;"|"&amp;$D296&amp;"|"&amp;AI$14&amp;"|"&amp;"CY2025Q3",Spectrum!$R:$R,0)),0),""))</f>
        <v>10</v>
      </c>
      <c r="AJ296" s="38">
        <f>IF(LEFT($B296,4)="_Mil","",_xlfn.IFNA(ROUND(INDEX(Spectrum!$N:$N,MATCH(RIGHT($B296,13)&amp;"|"&amp;$C296&amp;"|"&amp;$D296&amp;"|"&amp;AJ$14&amp;"|"&amp;"CY2025Q3",Spectrum!$R:$R,0)),0),""))</f>
        <v>7</v>
      </c>
      <c r="AK296" s="218" t="e">
        <f>#REF!</f>
        <v>#REF!</v>
      </c>
      <c r="AL296" s="33" t="str">
        <f t="shared" si="76"/>
        <v/>
      </c>
      <c r="AM296" s="38" t="str">
        <f>IF(OR(LEFT($B296,4)="_Mil",$C296="&lt;01"),"",ROUND(SUM($AK296)*SUM($AL296),0))</f>
        <v/>
      </c>
      <c r="AN296" s="38">
        <f>IF($C296="&lt;01",ROUND(INDEX(EID!$P:$P,MATCH($B296,EID!$B:$B,0))/2,0),"")</f>
        <v>0</v>
      </c>
      <c r="AO296" s="38">
        <f>IF($C296="&lt;01",SUM($AN296),ROUND(SUM($AM296)*SUM($O296)/IF(SUM($Z296)=0,1,$Z296),0))</f>
        <v>0</v>
      </c>
      <c r="AP296" s="218">
        <f>IF(OR($F296="",$C296="&lt;01"),$AO296,ROUND($F296,0))</f>
        <v>0</v>
      </c>
      <c r="AQ296" s="218">
        <f>IF(LEFT($B296,4)="_Mil","",IF(SUM($AP296)=0,SUM($Z296),IF(OR(SUM($Z296)=0,SUM($O296)=0),MAX($AP296,$Z296),ROUND($AP296*$Z296/$O296,0))))</f>
        <v>6</v>
      </c>
      <c r="AR296" s="33" t="e">
        <f>IF(OR(LEFT($B296,4)="_Mil",SUM($AK296)=0),"",SUM($AQ296)/$AK296)</f>
        <v>#REF!</v>
      </c>
      <c r="AS296" s="33" t="str">
        <f t="shared" si="81"/>
        <v/>
      </c>
      <c r="AT296" s="33" t="str">
        <f t="shared" si="83"/>
        <v/>
      </c>
      <c r="AU296" s="38" t="str">
        <f>IF($C296="&lt;01","",SUM($AP296)-SUM($O296))</f>
        <v/>
      </c>
      <c r="AV296" s="38">
        <f>IF($C296="&lt;01",ROUND(INDEX(EID!$N:$N,MATCH($B296,EID!$B:$B,0))/2,0),IF(SUM($AT296)=0,"",ROUND((SUM($AP296)-(SUM($O296)*SUM($AS296)))/$AT296,0)))</f>
        <v>0</v>
      </c>
      <c r="AW296" s="33" t="str">
        <f t="shared" si="77"/>
        <v/>
      </c>
      <c r="AX296" s="218">
        <f>IF($C296="&lt;01",SUM($AV296),ROUND(SUM($AV296)*SUM($AW296),0))</f>
        <v>0</v>
      </c>
      <c r="AY296" s="79" t="str">
        <f t="shared" si="78"/>
        <v/>
      </c>
      <c r="AZ296" s="85">
        <f>IF($C296="&lt;01",ROUND(INDEX(EID!$R:$R,MATCH($B296,EID!$B:$B,0))/2,0),ROUND(SUM($O296)+(SUM($AV296)*$AY296),0))</f>
        <v>0</v>
      </c>
      <c r="BA296" s="40" t="str">
        <f t="shared" si="82"/>
        <v/>
      </c>
      <c r="BB296" s="99">
        <f>IF($C296="&lt;01",ROUND(INDEX(EID!$T:$T,MATCH($B296,EID!$B:$B,0))/2,0),ROUND($AP296*$BA296,0))</f>
        <v>0</v>
      </c>
      <c r="BC296" s="85">
        <f>IF(LEFT($B296,4)="_Mil","",IF(SUM($BB296)=0,SUM($AD296),IF(OR(SUM($AP296)=0,SUM($AQ296)=0),MAX($BB296,$AD296),ROUND($BB296*$AQ296/$AP296,0))))</f>
        <v>0</v>
      </c>
      <c r="BD296" s="33" t="str">
        <f t="shared" si="79"/>
        <v/>
      </c>
      <c r="BE296" s="218">
        <f>IF($C296="&lt;01",ROUND(INDEX(EID!$V:$V,MATCH($B296,EID!$B:$B,0))/2,0),ROUND($BD296*$BB296,0))</f>
        <v>0</v>
      </c>
      <c r="BF296" s="218">
        <f>IF(LEFT($B296,4)="_Mil","",IF(SUM($BE296)=0,SUM($AF296),IF(OR(SUM($AP296)=0,SUM($AQ296)=0),MAX($BE296,$AF296),ROUND($BE296*$AQ296/$AP296,0))))</f>
        <v>0</v>
      </c>
      <c r="BG296" s="79" t="str">
        <f t="shared" si="80"/>
        <v/>
      </c>
      <c r="BH296" s="99">
        <f>IF($C296="&lt;01",ROUND(INDEX(EID!$L:$L,MATCH($B296,EID!$B:$B,0)),0)/2,IF(SUM($BG296)=0,"",ROUND($AX296/$BG296,0)))</f>
        <v>0</v>
      </c>
    </row>
    <row r="297" spans="1:60" x14ac:dyDescent="0.2">
      <c r="A297" t="str">
        <f>INDEX(Prioritization!$D:$D,MATCH($B297,Prioritization!$A:$A,0))</f>
        <v>4 - Sustained</v>
      </c>
      <c r="B297" t="s">
        <v>303</v>
      </c>
      <c r="C297" t="s">
        <v>473</v>
      </c>
      <c r="D297" t="s">
        <v>30</v>
      </c>
      <c r="E297" t="str">
        <f t="shared" si="70"/>
        <v>Nkhotakota District [YCKiBAp8QAg]|01-09|Female</v>
      </c>
      <c r="F297" s="229">
        <v>125</v>
      </c>
      <c r="G297" s="38">
        <v>69</v>
      </c>
      <c r="H297" s="38">
        <v>17</v>
      </c>
      <c r="I297" s="38">
        <v>124</v>
      </c>
      <c r="J297" s="38">
        <v>112</v>
      </c>
      <c r="K297" s="38">
        <v>93</v>
      </c>
      <c r="L297" s="38">
        <v>6</v>
      </c>
      <c r="M297" s="38">
        <v>6</v>
      </c>
      <c r="N297" s="38">
        <v>134</v>
      </c>
      <c r="O297" s="229">
        <v>125</v>
      </c>
      <c r="P297" s="38">
        <v>119</v>
      </c>
      <c r="Q297" s="38">
        <v>113</v>
      </c>
      <c r="R297" s="38">
        <f t="shared" si="71"/>
        <v>1</v>
      </c>
      <c r="S297" s="38">
        <f>IF(LEFT($B297,4)="_Mil","",_xlfn.IFNA(ROUND(INDEX(Spectrum!$N:$N,MATCH(RIGHT($B297,13)&amp;"|"&amp;$C297&amp;"|"&amp;$D297&amp;"|"&amp;S$14&amp;"|"&amp;"CY2023Q4",Spectrum!$R:$R,0)),0),""))</f>
        <v>118</v>
      </c>
      <c r="T297" s="218">
        <f>IF(LEFT($B297,4)="_Mil","",_xlfn.IFNA(ROUND(INDEX(Spectrum!$N:$N,MATCH(RIGHT($B297,13)&amp;"|"&amp;$C297&amp;"|"&amp;$D297&amp;"|"&amp;T$14&amp;"|"&amp;"CY2024Q3",Spectrum!$R:$R,0)),0),""))</f>
        <v>62404</v>
      </c>
      <c r="U297" s="218">
        <f>IF(LEFT($B297,4)="_Mil","",_xlfn.IFNA(ROUND(INDEX(Spectrum!$N:$N,MATCH(RIGHT($B297,13)&amp;"|"&amp;$C297&amp;"|"&amp;$D297&amp;"|"&amp;U$14&amp;"|"&amp;"CY2024Q3",Spectrum!$R:$R,0)),0),""))</f>
        <v>150</v>
      </c>
      <c r="V297" s="38">
        <f>IF(LEFT($B297,4)="_Mil","",_xlfn.IFNA(ROUND(INDEX(Spectrum!$N:$N,MATCH(RIGHT($B297,13)&amp;"|"&amp;$C297&amp;"|"&amp;$D297&amp;"|"&amp;V$14&amp;"|"&amp;"CY2024Q3",Spectrum!$R:$R,0)),0),""))</f>
        <v>167</v>
      </c>
      <c r="W297" s="220">
        <f>IF(LEFT($B297,4)="_Mil","",_xlfn.IFNA(INDEX(Spectrum!$N:$N,MATCH(RIGHT($B297,13)&amp;"|"&amp;$C297&amp;"|"&amp;$D297&amp;"|"&amp;W$14&amp;"|"&amp;"CY2024Q3",Spectrum!$R:$R,0)),""))</f>
        <v>2.4055629999999999E-3</v>
      </c>
      <c r="X297" s="218">
        <f>IF(LEFT($B297,4)="_Mil","",_xlfn.IFNA(ROUND(INDEX(Spectrum!$N:$N,MATCH(RIGHT($B297,13)&amp;"|"&amp;$C297&amp;"|"&amp;$D297&amp;"|"&amp;X$14&amp;"|"&amp;"CY2024Q3",Spectrum!$R:$R,0)),0),""))</f>
        <v>108</v>
      </c>
      <c r="Y297" s="33">
        <f t="shared" si="72"/>
        <v>0.72</v>
      </c>
      <c r="Z297" s="218">
        <f>IF(LEFT($B297,4)="_Mil","",_xlfn.IFNA(ROUND(INDEX(Spectrum!$N:$N,MATCH(RIGHT($B297,13)&amp;"|"&amp;$C297&amp;"|"&amp;$D297&amp;"|"&amp;Z$14&amp;"|"&amp;"CY2024Q3",Spectrum!$R:$R,0)),0),""))</f>
        <v>114</v>
      </c>
      <c r="AA297" s="33">
        <f>IF(LEFT($B297,4)="_Mil","",IFERROR(1/(1/INDEX(Spectrum!$N:$N,MATCH(RIGHT($B297,13)&amp;"|"&amp;$C297&amp;"|"&amp;$D297&amp;"|"&amp;AA$14&amp;"|"&amp;"CY2024Q3",Spectrum!$R:$R,0))),IF(SUM($U297)=0,"",SUM($Z297)/$U297)))</f>
        <v>0.68445976200000003</v>
      </c>
      <c r="AB297" s="33">
        <f t="shared" si="73"/>
        <v>1.0555555555555556</v>
      </c>
      <c r="AC297" s="38">
        <f>IF(LEFT($B297,4)="_Mil","",_xlfn.IFNA(ROUND(INDEX(Spectrum!$N:$N,MATCH(RIGHT($B297,13)&amp;"|"&amp;$C297&amp;"|"&amp;$D297&amp;"|"&amp;AC$14&amp;"|"&amp;"CY2024Q3",Spectrum!$R:$R,0)),0),""))</f>
        <v>53</v>
      </c>
      <c r="AD297" s="38" t="str">
        <f>IF(LEFT($B297,4)="_Mil","",_xlfn.IFNA(ROUND(INDEX(Spectrum!$N:$N,MATCH(RIGHT($B297,13)&amp;"|"&amp;$C297&amp;"|"&amp;$D297&amp;"|"&amp;AD$14&amp;"|"&amp;"CY2024Q3",Spectrum!$R:$R,0)),0),""))</f>
        <v/>
      </c>
      <c r="AE297" s="33">
        <f t="shared" si="74"/>
        <v>0</v>
      </c>
      <c r="AF297" s="218" t="str">
        <f>IF(LEFT($B297,4)="_Mil","",_xlfn.IFNA(ROUND(INDEX(Spectrum!$N:$N,MATCH(RIGHT($B297,13)&amp;"|"&amp;$C297&amp;"|"&amp;$D297&amp;"|"&amp;AF$14&amp;"|"&amp;"CY2024Q3",Spectrum!$R:$R,0)),0),""))</f>
        <v/>
      </c>
      <c r="AG297" s="33" t="str">
        <f t="shared" si="75"/>
        <v/>
      </c>
      <c r="AH297" s="110" t="str">
        <f>IF(LEFT($B297,4)="_Mil","",_xlfn.IFNA(INDEX(Spectrum!$N:$N,MATCH(RIGHT($B297,13)&amp;"|"&amp;$C297&amp;"|"&amp;$D297&amp;"|"&amp;AH$14&amp;"|"&amp;"CY2024Q3",Spectrum!$R:$R,0)),""))</f>
        <v/>
      </c>
      <c r="AI297" s="218">
        <f>IF(LEFT($B297,4)="_Mil","",_xlfn.IFNA(ROUND(INDEX(Spectrum!$N:$N,MATCH(RIGHT($B297,13)&amp;"|"&amp;$C297&amp;"|"&amp;$D297&amp;"|"&amp;AI$14&amp;"|"&amp;"CY2025Q3",Spectrum!$R:$R,0)),0),""))</f>
        <v>2</v>
      </c>
      <c r="AJ297" s="38">
        <f>IF(LEFT($B297,4)="_Mil","",_xlfn.IFNA(ROUND(INDEX(Spectrum!$N:$N,MATCH(RIGHT($B297,13)&amp;"|"&amp;$C297&amp;"|"&amp;$D297&amp;"|"&amp;AJ$14&amp;"|"&amp;"CY2025Q3",Spectrum!$R:$R,0)),0),""))</f>
        <v>128</v>
      </c>
      <c r="AK297" s="218" t="e">
        <f>#REF!</f>
        <v>#REF!</v>
      </c>
      <c r="AL297" s="33">
        <f t="shared" si="76"/>
        <v>0.9</v>
      </c>
      <c r="AM297" s="38" t="e">
        <f>IF(OR(LEFT($B297,4)="_Mil",$C297="&lt;01"),"",ROUND(SUM($AK297)*SUM($AL297),0))</f>
        <v>#REF!</v>
      </c>
      <c r="AN297" s="38" t="str">
        <f>IF($C297="&lt;01",ROUND(INDEX(EID!$P:$P,MATCH($B297,EID!$B:$B,0))/2,0),"")</f>
        <v/>
      </c>
      <c r="AO297" s="38" t="e">
        <f>IF($C297="&lt;01",SUM($AN297),ROUND(SUM($AM297)*SUM($O297)/IF(SUM($Z297)=0,1,$Z297),0))</f>
        <v>#REF!</v>
      </c>
      <c r="AP297" s="218">
        <f>IF(OR($F297="",$C297="&lt;01"),$AO297,ROUND($F297,0))</f>
        <v>125</v>
      </c>
      <c r="AQ297" s="218">
        <f>IF(LEFT($B297,4)="_Mil","",IF(SUM($AP297)=0,SUM($Z297),IF(OR(SUM($Z297)=0,SUM($O297)=0),MAX($AP297,$Z297),ROUND($AP297*$Z297/$O297,0))))</f>
        <v>114</v>
      </c>
      <c r="AR297" s="33" t="e">
        <f>IF(OR(LEFT($B297,4)="_Mil",SUM($AK297)=0),"",SUM($AQ297)/$AK297)</f>
        <v>#REF!</v>
      </c>
      <c r="AS297" s="33">
        <f t="shared" si="81"/>
        <v>0.98</v>
      </c>
      <c r="AT297" s="33">
        <f t="shared" si="83"/>
        <v>0.98</v>
      </c>
      <c r="AU297" s="38">
        <f>IF($C297="&lt;01","",SUM($AP297)-SUM($O297))</f>
        <v>0</v>
      </c>
      <c r="AV297" s="38">
        <f>IF($C297="&lt;01",ROUND(INDEX(EID!$N:$N,MATCH($B297,EID!$B:$B,0))/2,0),IF(SUM($AT297)=0,"",ROUND((SUM($AP297)-(SUM($O297)*SUM($AS297)))/$AT297,0)))</f>
        <v>3</v>
      </c>
      <c r="AW297" s="33">
        <f t="shared" si="77"/>
        <v>1</v>
      </c>
      <c r="AX297" s="218">
        <f>IF($C297="&lt;01",SUM($AV297),ROUND(SUM($AV297)*SUM($AW297),0))</f>
        <v>3</v>
      </c>
      <c r="AY297" s="79">
        <f t="shared" si="78"/>
        <v>0.7</v>
      </c>
      <c r="AZ297" s="85">
        <f>IF($C297="&lt;01",ROUND(INDEX(EID!$R:$R,MATCH($B297,EID!$B:$B,0))/2,0),ROUND(SUM($O297)+(SUM($AV297)*$AY297),0))</f>
        <v>127</v>
      </c>
      <c r="BA297" s="40">
        <f t="shared" si="82"/>
        <v>0.9</v>
      </c>
      <c r="BB297" s="99">
        <f>IF($C297="&lt;01",ROUND(INDEX(EID!$T:$T,MATCH($B297,EID!$B:$B,0))/2,0),ROUND($AP297*$BA297,0))</f>
        <v>113</v>
      </c>
      <c r="BC297" s="85">
        <f>IF(LEFT($B297,4)="_Mil","",IF(SUM($BB297)=0,SUM($AD297),IF(OR(SUM($AP297)=0,SUM($AQ297)=0),MAX($BB297,$AD297),ROUND($BB297*$AQ297/$AP297,0))))</f>
        <v>103</v>
      </c>
      <c r="BD297" s="33">
        <f t="shared" si="79"/>
        <v>0.95</v>
      </c>
      <c r="BE297" s="218">
        <f>IF($C297="&lt;01",ROUND(INDEX(EID!$V:$V,MATCH($B297,EID!$B:$B,0))/2,0),ROUND($BD297*$BB297,0))</f>
        <v>107</v>
      </c>
      <c r="BF297" s="218">
        <f>IF(LEFT($B297,4)="_Mil","",IF(SUM($BE297)=0,SUM($AF297),IF(OR(SUM($AP297)=0,SUM($AQ297)=0),MAX($BE297,$AF297),ROUND($BE297*$AQ297/$AP297,0))))</f>
        <v>98</v>
      </c>
      <c r="BG297" s="79">
        <f t="shared" si="80"/>
        <v>0.95</v>
      </c>
      <c r="BH297" s="99">
        <f>IF($C297="&lt;01",ROUND(INDEX(EID!$L:$L,MATCH($B297,EID!$B:$B,0)),0)/2,IF(SUM($BG297)=0,"",ROUND($AX297/$BG297,0)))</f>
        <v>3</v>
      </c>
    </row>
    <row r="298" spans="1:60" x14ac:dyDescent="0.2">
      <c r="A298" t="str">
        <f>INDEX(Prioritization!$D:$D,MATCH($B298,Prioritization!$A:$A,0))</f>
        <v>4 - Sustained</v>
      </c>
      <c r="B298" t="s">
        <v>303</v>
      </c>
      <c r="C298" t="s">
        <v>473</v>
      </c>
      <c r="D298" t="s">
        <v>48</v>
      </c>
      <c r="E298" t="str">
        <f t="shared" si="70"/>
        <v>Nkhotakota District [YCKiBAp8QAg]|01-09|Male</v>
      </c>
      <c r="F298" s="229">
        <v>127</v>
      </c>
      <c r="G298" s="38">
        <v>48</v>
      </c>
      <c r="H298" s="38">
        <v>23</v>
      </c>
      <c r="I298" s="38">
        <v>127</v>
      </c>
      <c r="J298" s="38">
        <v>120</v>
      </c>
      <c r="K298" s="38">
        <v>91</v>
      </c>
      <c r="L298" s="38">
        <v>7</v>
      </c>
      <c r="M298" s="38">
        <v>7</v>
      </c>
      <c r="N298" s="38">
        <v>141</v>
      </c>
      <c r="O298" s="229">
        <v>127</v>
      </c>
      <c r="P298" s="38">
        <v>124</v>
      </c>
      <c r="Q298" s="38">
        <v>118</v>
      </c>
      <c r="R298" s="38">
        <f t="shared" si="71"/>
        <v>0</v>
      </c>
      <c r="S298" s="38">
        <f>IF(LEFT($B298,4)="_Mil","",_xlfn.IFNA(ROUND(INDEX(Spectrum!$N:$N,MATCH(RIGHT($B298,13)&amp;"|"&amp;$C298&amp;"|"&amp;$D298&amp;"|"&amp;S$14&amp;"|"&amp;"CY2023Q4",Spectrum!$R:$R,0)),0),""))</f>
        <v>122</v>
      </c>
      <c r="T298" s="218">
        <f>IF(LEFT($B298,4)="_Mil","",_xlfn.IFNA(ROUND(INDEX(Spectrum!$N:$N,MATCH(RIGHT($B298,13)&amp;"|"&amp;$C298&amp;"|"&amp;$D298&amp;"|"&amp;T$14&amp;"|"&amp;"CY2024Q3",Spectrum!$R:$R,0)),0),""))</f>
        <v>62799</v>
      </c>
      <c r="U298" s="218">
        <f>IF(LEFT($B298,4)="_Mil","",_xlfn.IFNA(ROUND(INDEX(Spectrum!$N:$N,MATCH(RIGHT($B298,13)&amp;"|"&amp;$C298&amp;"|"&amp;$D298&amp;"|"&amp;U$14&amp;"|"&amp;"CY2024Q3",Spectrum!$R:$R,0)),0),""))</f>
        <v>151</v>
      </c>
      <c r="V298" s="38">
        <f>IF(LEFT($B298,4)="_Mil","",_xlfn.IFNA(ROUND(INDEX(Spectrum!$N:$N,MATCH(RIGHT($B298,13)&amp;"|"&amp;$C298&amp;"|"&amp;$D298&amp;"|"&amp;V$14&amp;"|"&amp;"CY2024Q3",Spectrum!$R:$R,0)),0),""))</f>
        <v>169</v>
      </c>
      <c r="W298" s="220">
        <f>IF(LEFT($B298,4)="_Mil","",_xlfn.IFNA(INDEX(Spectrum!$N:$N,MATCH(RIGHT($B298,13)&amp;"|"&amp;$C298&amp;"|"&amp;$D298&amp;"|"&amp;W$14&amp;"|"&amp;"CY2024Q3",Spectrum!$R:$R,0)),""))</f>
        <v>2.4094670000000002E-3</v>
      </c>
      <c r="X298" s="218">
        <f>IF(LEFT($B298,4)="_Mil","",_xlfn.IFNA(ROUND(INDEX(Spectrum!$N:$N,MATCH(RIGHT($B298,13)&amp;"|"&amp;$C298&amp;"|"&amp;$D298&amp;"|"&amp;X$14&amp;"|"&amp;"CY2024Q3",Spectrum!$R:$R,0)),0),""))</f>
        <v>109</v>
      </c>
      <c r="Y298" s="33">
        <f t="shared" si="72"/>
        <v>0.72</v>
      </c>
      <c r="Z298" s="218">
        <f>IF(LEFT($B298,4)="_Mil","",_xlfn.IFNA(ROUND(INDEX(Spectrum!$N:$N,MATCH(RIGHT($B298,13)&amp;"|"&amp;$C298&amp;"|"&amp;$D298&amp;"|"&amp;Z$14&amp;"|"&amp;"CY2024Q3",Spectrum!$R:$R,0)),0),""))</f>
        <v>117</v>
      </c>
      <c r="AA298" s="33">
        <f>IF(LEFT($B298,4)="_Mil","",IFERROR(1/(1/INDEX(Spectrum!$N:$N,MATCH(RIGHT($B298,13)&amp;"|"&amp;$C298&amp;"|"&amp;$D298&amp;"|"&amp;AA$14&amp;"|"&amp;"CY2024Q3",Spectrum!$R:$R,0))),IF(SUM($U298)=0,"",SUM($Z298)/$U298)))</f>
        <v>0.68454166500000002</v>
      </c>
      <c r="AB298" s="33">
        <f t="shared" si="73"/>
        <v>1.073394495412844</v>
      </c>
      <c r="AC298" s="38">
        <f>IF(LEFT($B298,4)="_Mil","",_xlfn.IFNA(ROUND(INDEX(Spectrum!$N:$N,MATCH(RIGHT($B298,13)&amp;"|"&amp;$C298&amp;"|"&amp;$D298&amp;"|"&amp;AC$14&amp;"|"&amp;"CY2024Q3",Spectrum!$R:$R,0)),0),""))</f>
        <v>51</v>
      </c>
      <c r="AD298" s="38" t="str">
        <f>IF(LEFT($B298,4)="_Mil","",_xlfn.IFNA(ROUND(INDEX(Spectrum!$N:$N,MATCH(RIGHT($B298,13)&amp;"|"&amp;$C298&amp;"|"&amp;$D298&amp;"|"&amp;AD$14&amp;"|"&amp;"CY2024Q3",Spectrum!$R:$R,0)),0),""))</f>
        <v/>
      </c>
      <c r="AE298" s="33">
        <f t="shared" si="74"/>
        <v>0</v>
      </c>
      <c r="AF298" s="218" t="str">
        <f>IF(LEFT($B298,4)="_Mil","",_xlfn.IFNA(ROUND(INDEX(Spectrum!$N:$N,MATCH(RIGHT($B298,13)&amp;"|"&amp;$C298&amp;"|"&amp;$D298&amp;"|"&amp;AF$14&amp;"|"&amp;"CY2024Q3",Spectrum!$R:$R,0)),0),""))</f>
        <v/>
      </c>
      <c r="AG298" s="33" t="str">
        <f t="shared" si="75"/>
        <v/>
      </c>
      <c r="AH298" s="110" t="str">
        <f>IF(LEFT($B298,4)="_Mil","",_xlfn.IFNA(INDEX(Spectrum!$N:$N,MATCH(RIGHT($B298,13)&amp;"|"&amp;$C298&amp;"|"&amp;$D298&amp;"|"&amp;AH$14&amp;"|"&amp;"CY2024Q3",Spectrum!$R:$R,0)),""))</f>
        <v/>
      </c>
      <c r="AI298" s="218">
        <f>IF(LEFT($B298,4)="_Mil","",_xlfn.IFNA(ROUND(INDEX(Spectrum!$N:$N,MATCH(RIGHT($B298,13)&amp;"|"&amp;$C298&amp;"|"&amp;$D298&amp;"|"&amp;AI$14&amp;"|"&amp;"CY2025Q3",Spectrum!$R:$R,0)),0),""))</f>
        <v>2</v>
      </c>
      <c r="AJ298" s="38">
        <f>IF(LEFT($B298,4)="_Mil","",_xlfn.IFNA(ROUND(INDEX(Spectrum!$N:$N,MATCH(RIGHT($B298,13)&amp;"|"&amp;$C298&amp;"|"&amp;$D298&amp;"|"&amp;AJ$14&amp;"|"&amp;"CY2025Q3",Spectrum!$R:$R,0)),0),""))</f>
        <v>130</v>
      </c>
      <c r="AK298" s="218" t="e">
        <f>#REF!</f>
        <v>#REF!</v>
      </c>
      <c r="AL298" s="33">
        <f t="shared" si="76"/>
        <v>0.9</v>
      </c>
      <c r="AM298" s="38" t="e">
        <f>IF(OR(LEFT($B298,4)="_Mil",$C298="&lt;01"),"",ROUND(SUM($AK298)*SUM($AL298),0))</f>
        <v>#REF!</v>
      </c>
      <c r="AN298" s="38" t="str">
        <f>IF($C298="&lt;01",ROUND(INDEX(EID!$P:$P,MATCH($B298,EID!$B:$B,0))/2,0),"")</f>
        <v/>
      </c>
      <c r="AO298" s="38" t="e">
        <f>IF($C298="&lt;01",SUM($AN298),ROUND(SUM($AM298)*SUM($O298)/IF(SUM($Z298)=0,1,$Z298),0))</f>
        <v>#REF!</v>
      </c>
      <c r="AP298" s="218">
        <f>IF(OR($F298="",$C298="&lt;01"),$AO298,ROUND($F298,0))</f>
        <v>127</v>
      </c>
      <c r="AQ298" s="218">
        <f>IF(LEFT($B298,4)="_Mil","",IF(SUM($AP298)=0,SUM($Z298),IF(OR(SUM($Z298)=0,SUM($O298)=0),MAX($AP298,$Z298),ROUND($AP298*$Z298/$O298,0))))</f>
        <v>117</v>
      </c>
      <c r="AR298" s="33" t="e">
        <f>IF(OR(LEFT($B298,4)="_Mil",SUM($AK298)=0),"",SUM($AQ298)/$AK298)</f>
        <v>#REF!</v>
      </c>
      <c r="AS298" s="33">
        <f t="shared" si="81"/>
        <v>0.98</v>
      </c>
      <c r="AT298" s="33">
        <f t="shared" si="83"/>
        <v>0.98</v>
      </c>
      <c r="AU298" s="38">
        <f>IF($C298="&lt;01","",SUM($AP298)-SUM($O298))</f>
        <v>0</v>
      </c>
      <c r="AV298" s="38">
        <f>IF($C298="&lt;01",ROUND(INDEX(EID!$N:$N,MATCH($B298,EID!$B:$B,0))/2,0),IF(SUM($AT298)=0,"",ROUND((SUM($AP298)-(SUM($O298)*SUM($AS298)))/$AT298,0)))</f>
        <v>3</v>
      </c>
      <c r="AW298" s="33">
        <f t="shared" si="77"/>
        <v>1</v>
      </c>
      <c r="AX298" s="218">
        <f>IF($C298="&lt;01",SUM($AV298),ROUND(SUM($AV298)*SUM($AW298),0))</f>
        <v>3</v>
      </c>
      <c r="AY298" s="79">
        <f t="shared" si="78"/>
        <v>0.7</v>
      </c>
      <c r="AZ298" s="85">
        <f>IF($C298="&lt;01",ROUND(INDEX(EID!$R:$R,MATCH($B298,EID!$B:$B,0))/2,0),ROUND(SUM($O298)+(SUM($AV298)*$AY298),0))</f>
        <v>129</v>
      </c>
      <c r="BA298" s="40">
        <f t="shared" si="82"/>
        <v>0.9</v>
      </c>
      <c r="BB298" s="99">
        <f>IF($C298="&lt;01",ROUND(INDEX(EID!$T:$T,MATCH($B298,EID!$B:$B,0))/2,0),ROUND($AP298*$BA298,0))</f>
        <v>114</v>
      </c>
      <c r="BC298" s="85">
        <f>IF(LEFT($B298,4)="_Mil","",IF(SUM($BB298)=0,SUM($AD298),IF(OR(SUM($AP298)=0,SUM($AQ298)=0),MAX($BB298,$AD298),ROUND($BB298*$AQ298/$AP298,0))))</f>
        <v>105</v>
      </c>
      <c r="BD298" s="33">
        <f t="shared" si="79"/>
        <v>0.95</v>
      </c>
      <c r="BE298" s="218">
        <f>IF($C298="&lt;01",ROUND(INDEX(EID!$V:$V,MATCH($B298,EID!$B:$B,0))/2,0),ROUND($BD298*$BB298,0))</f>
        <v>108</v>
      </c>
      <c r="BF298" s="218">
        <f>IF(LEFT($B298,4)="_Mil","",IF(SUM($BE298)=0,SUM($AF298),IF(OR(SUM($AP298)=0,SUM($AQ298)=0),MAX($BE298,$AF298),ROUND($BE298*$AQ298/$AP298,0))))</f>
        <v>99</v>
      </c>
      <c r="BG298" s="79">
        <f t="shared" si="80"/>
        <v>0.95</v>
      </c>
      <c r="BH298" s="99">
        <f>IF($C298="&lt;01",ROUND(INDEX(EID!$L:$L,MATCH($B298,EID!$B:$B,0)),0)/2,IF(SUM($BG298)=0,"",ROUND($AX298/$BG298,0)))</f>
        <v>3</v>
      </c>
    </row>
    <row r="299" spans="1:60" x14ac:dyDescent="0.2">
      <c r="A299" t="str">
        <f>INDEX(Prioritization!$D:$D,MATCH($B299,Prioritization!$A:$A,0))</f>
        <v>4 - Sustained</v>
      </c>
      <c r="B299" t="s">
        <v>303</v>
      </c>
      <c r="C299" t="s">
        <v>474</v>
      </c>
      <c r="D299" t="s">
        <v>30</v>
      </c>
      <c r="E299" t="str">
        <f t="shared" si="70"/>
        <v>Nkhotakota District [YCKiBAp8QAg]|10-14|Female</v>
      </c>
      <c r="F299" s="229">
        <v>160</v>
      </c>
      <c r="G299" s="38">
        <v>36</v>
      </c>
      <c r="H299" s="38">
        <v>8</v>
      </c>
      <c r="I299" s="38">
        <v>147</v>
      </c>
      <c r="J299" s="38">
        <v>113</v>
      </c>
      <c r="K299" s="38">
        <v>86</v>
      </c>
      <c r="L299" s="38">
        <v>20</v>
      </c>
      <c r="M299" s="38">
        <v>19</v>
      </c>
      <c r="N299" s="38">
        <v>165</v>
      </c>
      <c r="O299" s="229">
        <v>160</v>
      </c>
      <c r="P299" s="38">
        <v>138</v>
      </c>
      <c r="Q299" s="38">
        <v>131</v>
      </c>
      <c r="R299" s="38">
        <f t="shared" si="71"/>
        <v>13</v>
      </c>
      <c r="S299" s="38">
        <f>IF(LEFT($B299,4)="_Mil","",_xlfn.IFNA(ROUND(INDEX(Spectrum!$N:$N,MATCH(RIGHT($B299,13)&amp;"|"&amp;$C299&amp;"|"&amp;$D299&amp;"|"&amp;S$14&amp;"|"&amp;"CY2023Q4",Spectrum!$R:$R,0)),0),""))</f>
        <v>153</v>
      </c>
      <c r="T299" s="218">
        <f>IF(LEFT($B299,4)="_Mil","",_xlfn.IFNA(ROUND(INDEX(Spectrum!$N:$N,MATCH(RIGHT($B299,13)&amp;"|"&amp;$C299&amp;"|"&amp;$D299&amp;"|"&amp;T$14&amp;"|"&amp;"CY2024Q3",Spectrum!$R:$R,0)),0),""))</f>
        <v>32630</v>
      </c>
      <c r="U299" s="218">
        <f>IF(LEFT($B299,4)="_Mil","",_xlfn.IFNA(ROUND(INDEX(Spectrum!$N:$N,MATCH(RIGHT($B299,13)&amp;"|"&amp;$C299&amp;"|"&amp;$D299&amp;"|"&amp;U$14&amp;"|"&amp;"CY2024Q3",Spectrum!$R:$R,0)),0),""))</f>
        <v>191</v>
      </c>
      <c r="V299" s="38">
        <f>IF(LEFT($B299,4)="_Mil","",_xlfn.IFNA(ROUND(INDEX(Spectrum!$N:$N,MATCH(RIGHT($B299,13)&amp;"|"&amp;$C299&amp;"|"&amp;$D299&amp;"|"&amp;V$14&amp;"|"&amp;"CY2024Q3",Spectrum!$R:$R,0)),0),""))</f>
        <v>213</v>
      </c>
      <c r="W299" s="220">
        <f>IF(LEFT($B299,4)="_Mil","",_xlfn.IFNA(INDEX(Spectrum!$N:$N,MATCH(RIGHT($B299,13)&amp;"|"&amp;$C299&amp;"|"&amp;$D299&amp;"|"&amp;W$14&amp;"|"&amp;"CY2024Q3",Spectrum!$R:$R,0)),""))</f>
        <v>5.8517439999999999E-3</v>
      </c>
      <c r="X299" s="218">
        <f>IF(LEFT($B299,4)="_Mil","",_xlfn.IFNA(ROUND(INDEX(Spectrum!$N:$N,MATCH(RIGHT($B299,13)&amp;"|"&amp;$C299&amp;"|"&amp;$D299&amp;"|"&amp;X$14&amp;"|"&amp;"CY2024Q3",Spectrum!$R:$R,0)),0),""))</f>
        <v>146</v>
      </c>
      <c r="Y299" s="33">
        <f t="shared" si="72"/>
        <v>0.76</v>
      </c>
      <c r="Z299" s="218">
        <f>IF(LEFT($B299,4)="_Mil","",_xlfn.IFNA(ROUND(INDEX(Spectrum!$N:$N,MATCH(RIGHT($B299,13)&amp;"|"&amp;$C299&amp;"|"&amp;$D299&amp;"|"&amp;Z$14&amp;"|"&amp;"CY2024Q3",Spectrum!$R:$R,0)),0),""))</f>
        <v>152</v>
      </c>
      <c r="AA299" s="33">
        <f>IF(LEFT($B299,4)="_Mil","",IFERROR(1/(1/INDEX(Spectrum!$N:$N,MATCH(RIGHT($B299,13)&amp;"|"&amp;$C299&amp;"|"&amp;$D299&amp;"|"&amp;AA$14&amp;"|"&amp;"CY2024Q3",Spectrum!$R:$R,0))),IF(SUM($U299)=0,"",SUM($Z299)/$U299)))</f>
        <v>0.72282444800000001</v>
      </c>
      <c r="AB299" s="33">
        <f t="shared" si="73"/>
        <v>1.0410958904109588</v>
      </c>
      <c r="AC299" s="38">
        <f>IF(LEFT($B299,4)="_Mil","",_xlfn.IFNA(ROUND(INDEX(Spectrum!$N:$N,MATCH(RIGHT($B299,13)&amp;"|"&amp;$C299&amp;"|"&amp;$D299&amp;"|"&amp;AC$14&amp;"|"&amp;"CY2024Q3",Spectrum!$R:$R,0)),0),""))</f>
        <v>61</v>
      </c>
      <c r="AD299" s="38" t="str">
        <f>IF(LEFT($B299,4)="_Mil","",_xlfn.IFNA(ROUND(INDEX(Spectrum!$N:$N,MATCH(RIGHT($B299,13)&amp;"|"&amp;$C299&amp;"|"&amp;$D299&amp;"|"&amp;AD$14&amp;"|"&amp;"CY2024Q3",Spectrum!$R:$R,0)),0),""))</f>
        <v/>
      </c>
      <c r="AE299" s="33">
        <f t="shared" si="74"/>
        <v>0</v>
      </c>
      <c r="AF299" s="218" t="str">
        <f>IF(LEFT($B299,4)="_Mil","",_xlfn.IFNA(ROUND(INDEX(Spectrum!$N:$N,MATCH(RIGHT($B299,13)&amp;"|"&amp;$C299&amp;"|"&amp;$D299&amp;"|"&amp;AF$14&amp;"|"&amp;"CY2024Q3",Spectrum!$R:$R,0)),0),""))</f>
        <v/>
      </c>
      <c r="AG299" s="33" t="str">
        <f t="shared" si="75"/>
        <v/>
      </c>
      <c r="AH299" s="110" t="str">
        <f>IF(LEFT($B299,4)="_Mil","",_xlfn.IFNA(INDEX(Spectrum!$N:$N,MATCH(RIGHT($B299,13)&amp;"|"&amp;$C299&amp;"|"&amp;$D299&amp;"|"&amp;AH$14&amp;"|"&amp;"CY2024Q3",Spectrum!$R:$R,0)),""))</f>
        <v/>
      </c>
      <c r="AI299" s="218">
        <f>IF(LEFT($B299,4)="_Mil","",_xlfn.IFNA(ROUND(INDEX(Spectrum!$N:$N,MATCH(RIGHT($B299,13)&amp;"|"&amp;$C299&amp;"|"&amp;$D299&amp;"|"&amp;AI$14&amp;"|"&amp;"CY2025Q3",Spectrum!$R:$R,0)),0),""))</f>
        <v>0</v>
      </c>
      <c r="AJ299" s="38">
        <f>IF(LEFT($B299,4)="_Mil","",_xlfn.IFNA(ROUND(INDEX(Spectrum!$N:$N,MATCH(RIGHT($B299,13)&amp;"|"&amp;$C299&amp;"|"&amp;$D299&amp;"|"&amp;AJ$14&amp;"|"&amp;"CY2025Q3",Spectrum!$R:$R,0)),0),""))</f>
        <v>171</v>
      </c>
      <c r="AK299" s="218" t="e">
        <f>#REF!</f>
        <v>#REF!</v>
      </c>
      <c r="AL299" s="33">
        <f t="shared" si="76"/>
        <v>0.9</v>
      </c>
      <c r="AM299" s="38" t="e">
        <f>IF(OR(LEFT($B299,4)="_Mil",$C299="&lt;01"),"",ROUND(SUM($AK299)*SUM($AL299),0))</f>
        <v>#REF!</v>
      </c>
      <c r="AN299" s="38" t="str">
        <f>IF($C299="&lt;01",ROUND(INDEX(EID!$P:$P,MATCH($B299,EID!$B:$B,0))/2,0),"")</f>
        <v/>
      </c>
      <c r="AO299" s="38" t="e">
        <f>IF($C299="&lt;01",SUM($AN299),ROUND(SUM($AM299)*SUM($O299)/IF(SUM($Z299)=0,1,$Z299),0))</f>
        <v>#REF!</v>
      </c>
      <c r="AP299" s="218">
        <f>IF(OR($F299="",$C299="&lt;01"),$AO299,ROUND($F299,0))</f>
        <v>160</v>
      </c>
      <c r="AQ299" s="218">
        <f>IF(LEFT($B299,4)="_Mil","",IF(SUM($AP299)=0,SUM($Z299),IF(OR(SUM($Z299)=0,SUM($O299)=0),MAX($AP299,$Z299),ROUND($AP299*$Z299/$O299,0))))</f>
        <v>152</v>
      </c>
      <c r="AR299" s="33" t="e">
        <f>IF(OR(LEFT($B299,4)="_Mil",SUM($AK299)=0),"",SUM($AQ299)/$AK299)</f>
        <v>#REF!</v>
      </c>
      <c r="AS299" s="33">
        <f>IF($C299="&lt;01","",90%)</f>
        <v>0.9</v>
      </c>
      <c r="AT299" s="33">
        <f t="shared" si="83"/>
        <v>0.98</v>
      </c>
      <c r="AU299" s="38">
        <f>IF($C299="&lt;01","",SUM($AP299)-SUM($O299))</f>
        <v>0</v>
      </c>
      <c r="AV299" s="38">
        <f>IF($C299="&lt;01",ROUND(INDEX(EID!$N:$N,MATCH($B299,EID!$B:$B,0))/2,0),IF(SUM($AT299)=0,"",ROUND((SUM($AP299)-(SUM($O299)*SUM($AS299)))/$AT299,0)))</f>
        <v>16</v>
      </c>
      <c r="AW299" s="33">
        <f t="shared" si="77"/>
        <v>1</v>
      </c>
      <c r="AX299" s="218">
        <f>IF($C299="&lt;01",SUM($AV299),ROUND(SUM($AV299)*SUM($AW299),0))</f>
        <v>16</v>
      </c>
      <c r="AY299" s="79">
        <f t="shared" si="78"/>
        <v>0.7</v>
      </c>
      <c r="AZ299" s="85">
        <f>IF($C299="&lt;01",ROUND(INDEX(EID!$R:$R,MATCH($B299,EID!$B:$B,0))/2,0),ROUND(SUM($O299)+(SUM($AV299)*$AY299),0))</f>
        <v>171</v>
      </c>
      <c r="BA299" s="40">
        <f t="shared" si="82"/>
        <v>0.9</v>
      </c>
      <c r="BB299" s="99">
        <f>IF($C299="&lt;01",ROUND(INDEX(EID!$T:$T,MATCH($B299,EID!$B:$B,0))/2,0),ROUND($AP299*$BA299,0))</f>
        <v>144</v>
      </c>
      <c r="BC299" s="85">
        <f>IF(LEFT($B299,4)="_Mil","",IF(SUM($BB299)=0,SUM($AD299),IF(OR(SUM($AP299)=0,SUM($AQ299)=0),MAX($BB299,$AD299),ROUND($BB299*$AQ299/$AP299,0))))</f>
        <v>137</v>
      </c>
      <c r="BD299" s="33">
        <f t="shared" si="79"/>
        <v>0.95</v>
      </c>
      <c r="BE299" s="218">
        <f>IF($C299="&lt;01",ROUND(INDEX(EID!$V:$V,MATCH($B299,EID!$B:$B,0))/2,0),ROUND($BD299*$BB299,0))</f>
        <v>137</v>
      </c>
      <c r="BF299" s="218">
        <f>IF(LEFT($B299,4)="_Mil","",IF(SUM($BE299)=0,SUM($AF299),IF(OR(SUM($AP299)=0,SUM($AQ299)=0),MAX($BE299,$AF299),ROUND($BE299*$AQ299/$AP299,0))))</f>
        <v>130</v>
      </c>
      <c r="BG299" s="79">
        <f t="shared" si="80"/>
        <v>0.95</v>
      </c>
      <c r="BH299" s="99">
        <f>IF($C299="&lt;01",ROUND(INDEX(EID!$L:$L,MATCH($B299,EID!$B:$B,0)),0)/2,IF(SUM($BG299)=0,"",ROUND($AX299/$BG299,0)))</f>
        <v>17</v>
      </c>
    </row>
    <row r="300" spans="1:60" x14ac:dyDescent="0.2">
      <c r="A300" t="str">
        <f>INDEX(Prioritization!$D:$D,MATCH($B300,Prioritization!$A:$A,0))</f>
        <v>4 - Sustained</v>
      </c>
      <c r="B300" t="s">
        <v>303</v>
      </c>
      <c r="C300" t="s">
        <v>474</v>
      </c>
      <c r="D300" t="s">
        <v>48</v>
      </c>
      <c r="E300" t="str">
        <f t="shared" si="70"/>
        <v>Nkhotakota District [YCKiBAp8QAg]|10-14|Male</v>
      </c>
      <c r="F300" s="229">
        <v>159</v>
      </c>
      <c r="G300" s="38">
        <v>20</v>
      </c>
      <c r="H300" s="38">
        <v>5</v>
      </c>
      <c r="I300" s="38">
        <v>142</v>
      </c>
      <c r="J300" s="38">
        <v>107</v>
      </c>
      <c r="K300" s="38">
        <v>77</v>
      </c>
      <c r="L300" s="38">
        <v>21</v>
      </c>
      <c r="M300" s="38">
        <v>20</v>
      </c>
      <c r="N300" s="38">
        <v>171</v>
      </c>
      <c r="O300" s="229">
        <v>159</v>
      </c>
      <c r="P300" s="38">
        <v>142</v>
      </c>
      <c r="Q300" s="38">
        <v>135</v>
      </c>
      <c r="R300" s="38">
        <f t="shared" si="71"/>
        <v>17</v>
      </c>
      <c r="S300" s="38">
        <f>IF(LEFT($B300,4)="_Mil","",_xlfn.IFNA(ROUND(INDEX(Spectrum!$N:$N,MATCH(RIGHT($B300,13)&amp;"|"&amp;$C300&amp;"|"&amp;$D300&amp;"|"&amp;S$14&amp;"|"&amp;"CY2023Q4",Spectrum!$R:$R,0)),0),""))</f>
        <v>156</v>
      </c>
      <c r="T300" s="218">
        <f>IF(LEFT($B300,4)="_Mil","",_xlfn.IFNA(ROUND(INDEX(Spectrum!$N:$N,MATCH(RIGHT($B300,13)&amp;"|"&amp;$C300&amp;"|"&amp;$D300&amp;"|"&amp;T$14&amp;"|"&amp;"CY2024Q3",Spectrum!$R:$R,0)),0),""))</f>
        <v>31941</v>
      </c>
      <c r="U300" s="218">
        <f>IF(LEFT($B300,4)="_Mil","",_xlfn.IFNA(ROUND(INDEX(Spectrum!$N:$N,MATCH(RIGHT($B300,13)&amp;"|"&amp;$C300&amp;"|"&amp;$D300&amp;"|"&amp;U$14&amp;"|"&amp;"CY2024Q3",Spectrum!$R:$R,0)),0),""))</f>
        <v>190</v>
      </c>
      <c r="V300" s="38">
        <f>IF(LEFT($B300,4)="_Mil","",_xlfn.IFNA(ROUND(INDEX(Spectrum!$N:$N,MATCH(RIGHT($B300,13)&amp;"|"&amp;$C300&amp;"|"&amp;$D300&amp;"|"&amp;V$14&amp;"|"&amp;"CY2024Q3",Spectrum!$R:$R,0)),0),""))</f>
        <v>212</v>
      </c>
      <c r="W300" s="220">
        <f>IF(LEFT($B300,4)="_Mil","",_xlfn.IFNA(INDEX(Spectrum!$N:$N,MATCH(RIGHT($B300,13)&amp;"|"&amp;$C300&amp;"|"&amp;$D300&amp;"|"&amp;W$14&amp;"|"&amp;"CY2024Q3",Spectrum!$R:$R,0)),""))</f>
        <v>5.9488359999999999E-3</v>
      </c>
      <c r="X300" s="218">
        <f>IF(LEFT($B300,4)="_Mil","",_xlfn.IFNA(ROUND(INDEX(Spectrum!$N:$N,MATCH(RIGHT($B300,13)&amp;"|"&amp;$C300&amp;"|"&amp;$D300&amp;"|"&amp;X$14&amp;"|"&amp;"CY2024Q3",Spectrum!$R:$R,0)),0),""))</f>
        <v>145</v>
      </c>
      <c r="Y300" s="33">
        <f t="shared" si="72"/>
        <v>0.76</v>
      </c>
      <c r="Z300" s="218">
        <f>IF(LEFT($B300,4)="_Mil","",_xlfn.IFNA(ROUND(INDEX(Spectrum!$N:$N,MATCH(RIGHT($B300,13)&amp;"|"&amp;$C300&amp;"|"&amp;$D300&amp;"|"&amp;Z$14&amp;"|"&amp;"CY2024Q3",Spectrum!$R:$R,0)),0),""))</f>
        <v>155</v>
      </c>
      <c r="AA300" s="33">
        <f>IF(LEFT($B300,4)="_Mil","",IFERROR(1/(1/INDEX(Spectrum!$N:$N,MATCH(RIGHT($B300,13)&amp;"|"&amp;$C300&amp;"|"&amp;$D300&amp;"|"&amp;AA$14&amp;"|"&amp;"CY2024Q3",Spectrum!$R:$R,0))),IF(SUM($U300)=0,"",SUM($Z300)/$U300)))</f>
        <v>0.72255380000000002</v>
      </c>
      <c r="AB300" s="33">
        <f t="shared" si="73"/>
        <v>1.0689655172413792</v>
      </c>
      <c r="AC300" s="38">
        <f>IF(LEFT($B300,4)="_Mil","",_xlfn.IFNA(ROUND(INDEX(Spectrum!$N:$N,MATCH(RIGHT($B300,13)&amp;"|"&amp;$C300&amp;"|"&amp;$D300&amp;"|"&amp;AC$14&amp;"|"&amp;"CY2024Q3",Spectrum!$R:$R,0)),0),""))</f>
        <v>57</v>
      </c>
      <c r="AD300" s="38" t="str">
        <f>IF(LEFT($B300,4)="_Mil","",_xlfn.IFNA(ROUND(INDEX(Spectrum!$N:$N,MATCH(RIGHT($B300,13)&amp;"|"&amp;$C300&amp;"|"&amp;$D300&amp;"|"&amp;AD$14&amp;"|"&amp;"CY2024Q3",Spectrum!$R:$R,0)),0),""))</f>
        <v/>
      </c>
      <c r="AE300" s="33">
        <f t="shared" si="74"/>
        <v>0</v>
      </c>
      <c r="AF300" s="218" t="str">
        <f>IF(LEFT($B300,4)="_Mil","",_xlfn.IFNA(ROUND(INDEX(Spectrum!$N:$N,MATCH(RIGHT($B300,13)&amp;"|"&amp;$C300&amp;"|"&amp;$D300&amp;"|"&amp;AF$14&amp;"|"&amp;"CY2024Q3",Spectrum!$R:$R,0)),0),""))</f>
        <v/>
      </c>
      <c r="AG300" s="33" t="str">
        <f t="shared" si="75"/>
        <v/>
      </c>
      <c r="AH300" s="110" t="str">
        <f>IF(LEFT($B300,4)="_Mil","",_xlfn.IFNA(INDEX(Spectrum!$N:$N,MATCH(RIGHT($B300,13)&amp;"|"&amp;$C300&amp;"|"&amp;$D300&amp;"|"&amp;AH$14&amp;"|"&amp;"CY2024Q3",Spectrum!$R:$R,0)),""))</f>
        <v/>
      </c>
      <c r="AI300" s="218">
        <f>IF(LEFT($B300,4)="_Mil","",_xlfn.IFNA(ROUND(INDEX(Spectrum!$N:$N,MATCH(RIGHT($B300,13)&amp;"|"&amp;$C300&amp;"|"&amp;$D300&amp;"|"&amp;AI$14&amp;"|"&amp;"CY2025Q3",Spectrum!$R:$R,0)),0),""))</f>
        <v>0</v>
      </c>
      <c r="AJ300" s="38">
        <f>IF(LEFT($B300,4)="_Mil","",_xlfn.IFNA(ROUND(INDEX(Spectrum!$N:$N,MATCH(RIGHT($B300,13)&amp;"|"&amp;$C300&amp;"|"&amp;$D300&amp;"|"&amp;AJ$14&amp;"|"&amp;"CY2025Q3",Spectrum!$R:$R,0)),0),""))</f>
        <v>171</v>
      </c>
      <c r="AK300" s="218" t="e">
        <f>#REF!</f>
        <v>#REF!</v>
      </c>
      <c r="AL300" s="33">
        <f t="shared" si="76"/>
        <v>0.9</v>
      </c>
      <c r="AM300" s="38" t="e">
        <f>IF(OR(LEFT($B300,4)="_Mil",$C300="&lt;01"),"",ROUND(SUM($AK300)*SUM($AL300),0))</f>
        <v>#REF!</v>
      </c>
      <c r="AN300" s="38" t="str">
        <f>IF($C300="&lt;01",ROUND(INDEX(EID!$P:$P,MATCH($B300,EID!$B:$B,0))/2,0),"")</f>
        <v/>
      </c>
      <c r="AO300" s="38" t="e">
        <f>IF($C300="&lt;01",SUM($AN300),ROUND(SUM($AM300)*SUM($O300)/IF(SUM($Z300)=0,1,$Z300),0))</f>
        <v>#REF!</v>
      </c>
      <c r="AP300" s="218">
        <f>IF(OR($F300="",$C300="&lt;01"),$AO300,ROUND($F300,0))</f>
        <v>159</v>
      </c>
      <c r="AQ300" s="218">
        <f>IF(LEFT($B300,4)="_Mil","",IF(SUM($AP300)=0,SUM($Z300),IF(OR(SUM($Z300)=0,SUM($O300)=0),MAX($AP300,$Z300),ROUND($AP300*$Z300/$O300,0))))</f>
        <v>155</v>
      </c>
      <c r="AR300" s="33" t="e">
        <f>IF(OR(LEFT($B300,4)="_Mil",SUM($AK300)=0),"",SUM($AQ300)/$AK300)</f>
        <v>#REF!</v>
      </c>
      <c r="AS300" s="33">
        <f t="shared" si="81"/>
        <v>0.98</v>
      </c>
      <c r="AT300" s="33">
        <f t="shared" si="83"/>
        <v>0.98</v>
      </c>
      <c r="AU300" s="38">
        <f>IF($C300="&lt;01","",SUM($AP300)-SUM($O300))</f>
        <v>0</v>
      </c>
      <c r="AV300" s="38">
        <f>IF($C300="&lt;01",ROUND(INDEX(EID!$N:$N,MATCH($B300,EID!$B:$B,0))/2,0),IF(SUM($AT300)=0,"",ROUND((SUM($AP300)-(SUM($O300)*SUM($AS300)))/$AT300,0)))</f>
        <v>3</v>
      </c>
      <c r="AW300" s="33">
        <f t="shared" si="77"/>
        <v>1</v>
      </c>
      <c r="AX300" s="218">
        <f>IF($C300="&lt;01",SUM($AV300),ROUND(SUM($AV300)*SUM($AW300),0))</f>
        <v>3</v>
      </c>
      <c r="AY300" s="79">
        <f t="shared" si="78"/>
        <v>0.7</v>
      </c>
      <c r="AZ300" s="85">
        <f>IF($C300="&lt;01",ROUND(INDEX(EID!$R:$R,MATCH($B300,EID!$B:$B,0))/2,0),ROUND(SUM($O300)+(SUM($AV300)*$AY300),0))</f>
        <v>161</v>
      </c>
      <c r="BA300" s="40">
        <f t="shared" si="82"/>
        <v>0.9</v>
      </c>
      <c r="BB300" s="99">
        <f>IF($C300="&lt;01",ROUND(INDEX(EID!$T:$T,MATCH($B300,EID!$B:$B,0))/2,0),ROUND($AP300*$BA300,0))</f>
        <v>143</v>
      </c>
      <c r="BC300" s="85">
        <f>IF(LEFT($B300,4)="_Mil","",IF(SUM($BB300)=0,SUM($AD300),IF(OR(SUM($AP300)=0,SUM($AQ300)=0),MAX($BB300,$AD300),ROUND($BB300*$AQ300/$AP300,0))))</f>
        <v>139</v>
      </c>
      <c r="BD300" s="33">
        <f t="shared" si="79"/>
        <v>0.95</v>
      </c>
      <c r="BE300" s="218">
        <f>IF($C300="&lt;01",ROUND(INDEX(EID!$V:$V,MATCH($B300,EID!$B:$B,0))/2,0),ROUND($BD300*$BB300,0))</f>
        <v>136</v>
      </c>
      <c r="BF300" s="218">
        <f>IF(LEFT($B300,4)="_Mil","",IF(SUM($BE300)=0,SUM($AF300),IF(OR(SUM($AP300)=0,SUM($AQ300)=0),MAX($BE300,$AF300),ROUND($BE300*$AQ300/$AP300,0))))</f>
        <v>133</v>
      </c>
      <c r="BG300" s="79">
        <f t="shared" si="80"/>
        <v>0.95</v>
      </c>
      <c r="BH300" s="99">
        <f>IF($C300="&lt;01",ROUND(INDEX(EID!$L:$L,MATCH($B300,EID!$B:$B,0)),0)/2,IF(SUM($BG300)=0,"",ROUND($AX300/$BG300,0)))</f>
        <v>3</v>
      </c>
    </row>
    <row r="301" spans="1:60" x14ac:dyDescent="0.2">
      <c r="A301" t="str">
        <f>INDEX(Prioritization!$D:$D,MATCH($B301,Prioritization!$A:$A,0))</f>
        <v>4 - Sustained</v>
      </c>
      <c r="B301" t="s">
        <v>303</v>
      </c>
      <c r="C301" t="s">
        <v>475</v>
      </c>
      <c r="D301" t="s">
        <v>30</v>
      </c>
      <c r="E301" t="str">
        <f t="shared" si="70"/>
        <v>Nkhotakota District [YCKiBAp8QAg]|15-24|Female</v>
      </c>
      <c r="F301" s="229">
        <v>645</v>
      </c>
      <c r="G301" s="38">
        <v>181</v>
      </c>
      <c r="H301" s="38">
        <v>194</v>
      </c>
      <c r="I301" s="38">
        <v>645</v>
      </c>
      <c r="J301" s="38">
        <v>436</v>
      </c>
      <c r="K301" s="38">
        <v>390</v>
      </c>
      <c r="L301" s="38">
        <v>58</v>
      </c>
      <c r="M301" s="38">
        <v>57</v>
      </c>
      <c r="N301" s="38">
        <v>666</v>
      </c>
      <c r="O301" s="229">
        <v>645</v>
      </c>
      <c r="P301" s="38">
        <v>610</v>
      </c>
      <c r="Q301" s="38">
        <v>580</v>
      </c>
      <c r="R301" s="38">
        <f t="shared" si="71"/>
        <v>0</v>
      </c>
      <c r="S301" s="38">
        <f>IF(LEFT($B301,4)="_Mil","",_xlfn.IFNA(ROUND(INDEX(Spectrum!$N:$N,MATCH(RIGHT($B301,13)&amp;"|"&amp;$C301&amp;"|"&amp;$D301&amp;"|"&amp;S$14&amp;"|"&amp;"CY2023Q4",Spectrum!$R:$R,0)),0),""))</f>
        <v>691</v>
      </c>
      <c r="T301" s="218">
        <f>IF(LEFT($B301,4)="_Mil","",_xlfn.IFNA(ROUND(INDEX(Spectrum!$N:$N,MATCH(RIGHT($B301,13)&amp;"|"&amp;$C301&amp;"|"&amp;$D301&amp;"|"&amp;T$14&amp;"|"&amp;"CY2024Q3",Spectrum!$R:$R,0)),0),""))</f>
        <v>53085</v>
      </c>
      <c r="U301" s="218">
        <f>IF(LEFT($B301,4)="_Mil","",_xlfn.IFNA(ROUND(INDEX(Spectrum!$N:$N,MATCH(RIGHT($B301,13)&amp;"|"&amp;$C301&amp;"|"&amp;$D301&amp;"|"&amp;U$14&amp;"|"&amp;"CY2024Q3",Spectrum!$R:$R,0)),0),""))</f>
        <v>652</v>
      </c>
      <c r="V301" s="38">
        <f>IF(LEFT($B301,4)="_Mil","",_xlfn.IFNA(ROUND(INDEX(Spectrum!$N:$N,MATCH(RIGHT($B301,13)&amp;"|"&amp;$C301&amp;"|"&amp;$D301&amp;"|"&amp;V$14&amp;"|"&amp;"CY2024Q3",Spectrum!$R:$R,0)),0),""))</f>
        <v>729</v>
      </c>
      <c r="W301" s="220">
        <f>IF(LEFT($B301,4)="_Mil","",_xlfn.IFNA(INDEX(Spectrum!$N:$N,MATCH(RIGHT($B301,13)&amp;"|"&amp;$C301&amp;"|"&amp;$D301&amp;"|"&amp;W$14&amp;"|"&amp;"CY2024Q3",Spectrum!$R:$R,0)),""))</f>
        <v>1.2286593E-2</v>
      </c>
      <c r="X301" s="218">
        <f>IF(LEFT($B301,4)="_Mil","",_xlfn.IFNA(ROUND(INDEX(Spectrum!$N:$N,MATCH(RIGHT($B301,13)&amp;"|"&amp;$C301&amp;"|"&amp;$D301&amp;"|"&amp;X$14&amp;"|"&amp;"CY2024Q3",Spectrum!$R:$R,0)),0),""))</f>
        <v>609</v>
      </c>
      <c r="Y301" s="33">
        <f t="shared" si="72"/>
        <v>0.93</v>
      </c>
      <c r="Z301" s="218">
        <f>IF(LEFT($B301,4)="_Mil","",_xlfn.IFNA(ROUND(INDEX(Spectrum!$N:$N,MATCH(RIGHT($B301,13)&amp;"|"&amp;$C301&amp;"|"&amp;$D301&amp;"|"&amp;Z$14&amp;"|"&amp;"CY2024Q3",Spectrum!$R:$R,0)),0),""))</f>
        <v>682</v>
      </c>
      <c r="AA301" s="33">
        <f>IF(LEFT($B301,4)="_Mil","",IFERROR(1/(1/INDEX(Spectrum!$N:$N,MATCH(RIGHT($B301,13)&amp;"|"&amp;$C301&amp;"|"&amp;$D301&amp;"|"&amp;AA$14&amp;"|"&amp;"CY2024Q3",Spectrum!$R:$R,0))),IF(SUM($U301)=0,"",SUM($Z301)/$U301)))</f>
        <v>0.93421819900000003</v>
      </c>
      <c r="AB301" s="33">
        <f t="shared" si="73"/>
        <v>1.1198686371100164</v>
      </c>
      <c r="AC301" s="38">
        <f>IF(LEFT($B301,4)="_Mil","",_xlfn.IFNA(ROUND(INDEX(Spectrum!$N:$N,MATCH(RIGHT($B301,13)&amp;"|"&amp;$C301&amp;"|"&amp;$D301&amp;"|"&amp;AC$14&amp;"|"&amp;"CY2024Q3",Spectrum!$R:$R,0)),0),""))</f>
        <v>47</v>
      </c>
      <c r="AD301" s="38" t="str">
        <f>IF(LEFT($B301,4)="_Mil","",_xlfn.IFNA(ROUND(INDEX(Spectrum!$N:$N,MATCH(RIGHT($B301,13)&amp;"|"&amp;$C301&amp;"|"&amp;$D301&amp;"|"&amp;AD$14&amp;"|"&amp;"CY2024Q3",Spectrum!$R:$R,0)),0),""))</f>
        <v/>
      </c>
      <c r="AE301" s="33">
        <f t="shared" si="74"/>
        <v>0</v>
      </c>
      <c r="AF301" s="218" t="str">
        <f>IF(LEFT($B301,4)="_Mil","",_xlfn.IFNA(ROUND(INDEX(Spectrum!$N:$N,MATCH(RIGHT($B301,13)&amp;"|"&amp;$C301&amp;"|"&amp;$D301&amp;"|"&amp;AF$14&amp;"|"&amp;"CY2024Q3",Spectrum!$R:$R,0)),0),""))</f>
        <v/>
      </c>
      <c r="AG301" s="33" t="str">
        <f t="shared" si="75"/>
        <v/>
      </c>
      <c r="AH301" s="110" t="str">
        <f>IF(LEFT($B301,4)="_Mil","",_xlfn.IFNA(INDEX(Spectrum!$N:$N,MATCH(RIGHT($B301,13)&amp;"|"&amp;$C301&amp;"|"&amp;$D301&amp;"|"&amp;AH$14&amp;"|"&amp;"CY2024Q3",Spectrum!$R:$R,0)),""))</f>
        <v/>
      </c>
      <c r="AI301" s="218">
        <f>IF(LEFT($B301,4)="_Mil","",_xlfn.IFNA(ROUND(INDEX(Spectrum!$N:$N,MATCH(RIGHT($B301,13)&amp;"|"&amp;$C301&amp;"|"&amp;$D301&amp;"|"&amp;AI$14&amp;"|"&amp;"CY2025Q3",Spectrum!$R:$R,0)),0),""))</f>
        <v>40</v>
      </c>
      <c r="AJ301" s="38">
        <f>IF(LEFT($B301,4)="_Mil","",_xlfn.IFNA(ROUND(INDEX(Spectrum!$N:$N,MATCH(RIGHT($B301,13)&amp;"|"&amp;$C301&amp;"|"&amp;$D301&amp;"|"&amp;AJ$14&amp;"|"&amp;"CY2025Q3",Spectrum!$R:$R,0)),0),""))</f>
        <v>639</v>
      </c>
      <c r="AK301" s="218" t="e">
        <f>#REF!</f>
        <v>#REF!</v>
      </c>
      <c r="AL301" s="33">
        <f t="shared" si="76"/>
        <v>0.93421819900000003</v>
      </c>
      <c r="AM301" s="38" t="e">
        <f>IF(OR(LEFT($B301,4)="_Mil",$C301="&lt;01"),"",ROUND(SUM($AK301)*SUM($AL301),0))</f>
        <v>#REF!</v>
      </c>
      <c r="AN301" s="38" t="str">
        <f>IF($C301="&lt;01",ROUND(INDEX(EID!$P:$P,MATCH($B301,EID!$B:$B,0))/2,0),"")</f>
        <v/>
      </c>
      <c r="AO301" s="38" t="e">
        <f>IF($C301="&lt;01",SUM($AN301),ROUND(SUM($AM301)*SUM($O301)/IF(SUM($Z301)=0,1,$Z301),0))</f>
        <v>#REF!</v>
      </c>
      <c r="AP301" s="218">
        <f>IF(OR($F301="",$C301="&lt;01"),$AO301,ROUND($F301,0))</f>
        <v>645</v>
      </c>
      <c r="AQ301" s="218">
        <f>IF(LEFT($B301,4)="_Mil","",IF(SUM($AP301)=0,SUM($Z301),IF(OR(SUM($Z301)=0,SUM($O301)=0),MAX($AP301,$Z301),ROUND($AP301*$Z301/$O301,0))))</f>
        <v>682</v>
      </c>
      <c r="AR301" s="33" t="e">
        <f>IF(OR(LEFT($B301,4)="_Mil",SUM($AK301)=0),"",SUM($AQ301)/$AK301)</f>
        <v>#REF!</v>
      </c>
      <c r="AS301" s="33">
        <f>IF($C301="&lt;01","",88%)</f>
        <v>0.88</v>
      </c>
      <c r="AT301" s="33">
        <f>IF($C301="&lt;01","",90%)</f>
        <v>0.9</v>
      </c>
      <c r="AU301" s="38">
        <f>IF($C301="&lt;01","",SUM($AP301)-SUM($O301))</f>
        <v>0</v>
      </c>
      <c r="AV301" s="38">
        <f>IF($C301="&lt;01",ROUND(INDEX(EID!$N:$N,MATCH($B301,EID!$B:$B,0))/2,0),IF(SUM($AT301)=0,"",ROUND((SUM($AP301)-(SUM($O301)*SUM($AS301)))/$AT301,0)))</f>
        <v>86</v>
      </c>
      <c r="AW301" s="33">
        <f t="shared" si="77"/>
        <v>1</v>
      </c>
      <c r="AX301" s="218">
        <f>IF($C301="&lt;01",SUM($AV301),ROUND(SUM($AV301)*SUM($AW301),0))</f>
        <v>86</v>
      </c>
      <c r="AY301" s="79">
        <f t="shared" si="78"/>
        <v>0.7</v>
      </c>
      <c r="AZ301" s="85">
        <f>IF($C301="&lt;01",ROUND(INDEX(EID!$R:$R,MATCH($B301,EID!$B:$B,0))/2,0),ROUND(SUM($O301)+(SUM($AV301)*$AY301),0))</f>
        <v>705</v>
      </c>
      <c r="BA301" s="40">
        <f t="shared" si="82"/>
        <v>0.9</v>
      </c>
      <c r="BB301" s="99">
        <f>IF($C301="&lt;01",ROUND(INDEX(EID!$T:$T,MATCH($B301,EID!$B:$B,0))/2,0),ROUND($AP301*$BA301,0))</f>
        <v>581</v>
      </c>
      <c r="BC301" s="85">
        <f>IF(LEFT($B301,4)="_Mil","",IF(SUM($BB301)=0,SUM($AD301),IF(OR(SUM($AP301)=0,SUM($AQ301)=0),MAX($BB301,$AD301),ROUND($BB301*$AQ301/$AP301,0))))</f>
        <v>614</v>
      </c>
      <c r="BD301" s="33">
        <f t="shared" si="79"/>
        <v>0.95</v>
      </c>
      <c r="BE301" s="218">
        <f>IF($C301="&lt;01",ROUND(INDEX(EID!$V:$V,MATCH($B301,EID!$B:$B,0))/2,0),ROUND($BD301*$BB301,0))</f>
        <v>552</v>
      </c>
      <c r="BF301" s="218">
        <f>IF(LEFT($B301,4)="_Mil","",IF(SUM($BE301)=0,SUM($AF301),IF(OR(SUM($AP301)=0,SUM($AQ301)=0),MAX($BE301,$AF301),ROUND($BE301*$AQ301/$AP301,0))))</f>
        <v>584</v>
      </c>
      <c r="BG301" s="79">
        <f t="shared" si="80"/>
        <v>0.95</v>
      </c>
      <c r="BH301" s="99">
        <f>IF($C301="&lt;01",ROUND(INDEX(EID!$L:$L,MATCH($B301,EID!$B:$B,0)),0)/2,IF(SUM($BG301)=0,"",ROUND($AX301/$BG301,0)))</f>
        <v>91</v>
      </c>
    </row>
    <row r="302" spans="1:60" x14ac:dyDescent="0.2">
      <c r="A302" t="str">
        <f>INDEX(Prioritization!$D:$D,MATCH($B302,Prioritization!$A:$A,0))</f>
        <v>4 - Sustained</v>
      </c>
      <c r="B302" t="s">
        <v>303</v>
      </c>
      <c r="C302" t="s">
        <v>475</v>
      </c>
      <c r="D302" t="s">
        <v>48</v>
      </c>
      <c r="E302" t="str">
        <f t="shared" si="70"/>
        <v>Nkhotakota District [YCKiBAp8QAg]|15-24|Male</v>
      </c>
      <c r="F302" s="229">
        <v>404</v>
      </c>
      <c r="G302" s="38">
        <v>52</v>
      </c>
      <c r="H302" s="38">
        <v>35</v>
      </c>
      <c r="I302" s="38">
        <v>296</v>
      </c>
      <c r="J302" s="38">
        <v>186</v>
      </c>
      <c r="K302" s="38">
        <v>145</v>
      </c>
      <c r="L302" s="38">
        <v>72</v>
      </c>
      <c r="M302" s="38">
        <v>68</v>
      </c>
      <c r="N302" s="38">
        <v>519</v>
      </c>
      <c r="O302" s="229">
        <v>404</v>
      </c>
      <c r="P302" s="38">
        <v>459</v>
      </c>
      <c r="Q302" s="38">
        <v>436</v>
      </c>
      <c r="R302" s="38">
        <f t="shared" si="71"/>
        <v>108</v>
      </c>
      <c r="S302" s="38">
        <f>IF(LEFT($B302,4)="_Mil","",_xlfn.IFNA(ROUND(INDEX(Spectrum!$N:$N,MATCH(RIGHT($B302,13)&amp;"|"&amp;$C302&amp;"|"&amp;$D302&amp;"|"&amp;S$14&amp;"|"&amp;"CY2023Q4",Spectrum!$R:$R,0)),0),""))</f>
        <v>477</v>
      </c>
      <c r="T302" s="218">
        <f>IF(LEFT($B302,4)="_Mil","",_xlfn.IFNA(ROUND(INDEX(Spectrum!$N:$N,MATCH(RIGHT($B302,13)&amp;"|"&amp;$C302&amp;"|"&amp;$D302&amp;"|"&amp;T$14&amp;"|"&amp;"CY2024Q3",Spectrum!$R:$R,0)),0),""))</f>
        <v>52190</v>
      </c>
      <c r="U302" s="218">
        <f>IF(LEFT($B302,4)="_Mil","",_xlfn.IFNA(ROUND(INDEX(Spectrum!$N:$N,MATCH(RIGHT($B302,13)&amp;"|"&amp;$C302&amp;"|"&amp;$D302&amp;"|"&amp;U$14&amp;"|"&amp;"CY2024Q3",Spectrum!$R:$R,0)),0),""))</f>
        <v>482</v>
      </c>
      <c r="V302" s="38">
        <f>IF(LEFT($B302,4)="_Mil","",_xlfn.IFNA(ROUND(INDEX(Spectrum!$N:$N,MATCH(RIGHT($B302,13)&amp;"|"&amp;$C302&amp;"|"&amp;$D302&amp;"|"&amp;V$14&amp;"|"&amp;"CY2024Q3",Spectrum!$R:$R,0)),0),""))</f>
        <v>538</v>
      </c>
      <c r="W302" s="220">
        <f>IF(LEFT($B302,4)="_Mil","",_xlfn.IFNA(INDEX(Spectrum!$N:$N,MATCH(RIGHT($B302,13)&amp;"|"&amp;$C302&amp;"|"&amp;$D302&amp;"|"&amp;W$14&amp;"|"&amp;"CY2024Q3",Spectrum!$R:$R,0)),""))</f>
        <v>9.2323449999999994E-3</v>
      </c>
      <c r="X302" s="218">
        <f>IF(LEFT($B302,4)="_Mil","",_xlfn.IFNA(ROUND(INDEX(Spectrum!$N:$N,MATCH(RIGHT($B302,13)&amp;"|"&amp;$C302&amp;"|"&amp;$D302&amp;"|"&amp;X$14&amp;"|"&amp;"CY2024Q3",Spectrum!$R:$R,0)),0),""))</f>
        <v>437</v>
      </c>
      <c r="Y302" s="33">
        <f t="shared" si="72"/>
        <v>0.91</v>
      </c>
      <c r="Z302" s="218">
        <f>IF(LEFT($B302,4)="_Mil","",_xlfn.IFNA(ROUND(INDEX(Spectrum!$N:$N,MATCH(RIGHT($B302,13)&amp;"|"&amp;$C302&amp;"|"&amp;$D302&amp;"|"&amp;Z$14&amp;"|"&amp;"CY2024Q3",Spectrum!$R:$R,0)),0),""))</f>
        <v>487</v>
      </c>
      <c r="AA302" s="33">
        <f>IF(LEFT($B302,4)="_Mil","",IFERROR(1/(1/INDEX(Spectrum!$N:$N,MATCH(RIGHT($B302,13)&amp;"|"&amp;$C302&amp;"|"&amp;$D302&amp;"|"&amp;AA$14&amp;"|"&amp;"CY2024Q3",Spectrum!$R:$R,0))),IF(SUM($U302)=0,"",SUM($Z302)/$U302)))</f>
        <v>0.90349623899999998</v>
      </c>
      <c r="AB302" s="33">
        <f t="shared" si="73"/>
        <v>1.1144164759725401</v>
      </c>
      <c r="AC302" s="38">
        <f>IF(LEFT($B302,4)="_Mil","",_xlfn.IFNA(ROUND(INDEX(Spectrum!$N:$N,MATCH(RIGHT($B302,13)&amp;"|"&amp;$C302&amp;"|"&amp;$D302&amp;"|"&amp;AC$14&amp;"|"&amp;"CY2024Q3",Spectrum!$R:$R,0)),0),""))</f>
        <v>51</v>
      </c>
      <c r="AD302" s="38" t="str">
        <f>IF(LEFT($B302,4)="_Mil","",_xlfn.IFNA(ROUND(INDEX(Spectrum!$N:$N,MATCH(RIGHT($B302,13)&amp;"|"&amp;$C302&amp;"|"&amp;$D302&amp;"|"&amp;AD$14&amp;"|"&amp;"CY2024Q3",Spectrum!$R:$R,0)),0),""))</f>
        <v/>
      </c>
      <c r="AE302" s="33">
        <f t="shared" si="74"/>
        <v>0</v>
      </c>
      <c r="AF302" s="218" t="str">
        <f>IF(LEFT($B302,4)="_Mil","",_xlfn.IFNA(ROUND(INDEX(Spectrum!$N:$N,MATCH(RIGHT($B302,13)&amp;"|"&amp;$C302&amp;"|"&amp;$D302&amp;"|"&amp;AF$14&amp;"|"&amp;"CY2024Q3",Spectrum!$R:$R,0)),0),""))</f>
        <v/>
      </c>
      <c r="AG302" s="33" t="str">
        <f t="shared" si="75"/>
        <v/>
      </c>
      <c r="AH302" s="110" t="str">
        <f>IF(LEFT($B302,4)="_Mil","",_xlfn.IFNA(INDEX(Spectrum!$N:$N,MATCH(RIGHT($B302,13)&amp;"|"&amp;$C302&amp;"|"&amp;$D302&amp;"|"&amp;AH$14&amp;"|"&amp;"CY2024Q3",Spectrum!$R:$R,0)),""))</f>
        <v/>
      </c>
      <c r="AI302" s="218">
        <f>IF(LEFT($B302,4)="_Mil","",_xlfn.IFNA(ROUND(INDEX(Spectrum!$N:$N,MATCH(RIGHT($B302,13)&amp;"|"&amp;$C302&amp;"|"&amp;$D302&amp;"|"&amp;AI$14&amp;"|"&amp;"CY2025Q3",Spectrum!$R:$R,0)),0),""))</f>
        <v>7</v>
      </c>
      <c r="AJ302" s="38">
        <f>IF(LEFT($B302,4)="_Mil","",_xlfn.IFNA(ROUND(INDEX(Spectrum!$N:$N,MATCH(RIGHT($B302,13)&amp;"|"&amp;$C302&amp;"|"&amp;$D302&amp;"|"&amp;AJ$14&amp;"|"&amp;"CY2025Q3",Spectrum!$R:$R,0)),0),""))</f>
        <v>475</v>
      </c>
      <c r="AK302" s="218" t="e">
        <f>#REF!</f>
        <v>#REF!</v>
      </c>
      <c r="AL302" s="33">
        <f t="shared" si="76"/>
        <v>0.90349623899999998</v>
      </c>
      <c r="AM302" s="38" t="e">
        <f>IF(OR(LEFT($B302,4)="_Mil",$C302="&lt;01"),"",ROUND(SUM($AK302)*SUM($AL302),0))</f>
        <v>#REF!</v>
      </c>
      <c r="AN302" s="38" t="str">
        <f>IF($C302="&lt;01",ROUND(INDEX(EID!$P:$P,MATCH($B302,EID!$B:$B,0))/2,0),"")</f>
        <v/>
      </c>
      <c r="AO302" s="38" t="e">
        <f>IF($C302="&lt;01",SUM($AN302),ROUND(SUM($AM302)*SUM($O302)/IF(SUM($Z302)=0,1,$Z302),0))</f>
        <v>#REF!</v>
      </c>
      <c r="AP302" s="218">
        <f>IF(OR($F302="",$C302="&lt;01"),$AO302,ROUND($F302,0))</f>
        <v>404</v>
      </c>
      <c r="AQ302" s="218">
        <f>IF(LEFT($B302,4)="_Mil","",IF(SUM($AP302)=0,SUM($Z302),IF(OR(SUM($Z302)=0,SUM($O302)=0),MAX($AP302,$Z302),ROUND($AP302*$Z302/$O302,0))))</f>
        <v>487</v>
      </c>
      <c r="AR302" s="33" t="e">
        <f>IF(OR(LEFT($B302,4)="_Mil",SUM($AK302)=0),"",SUM($AQ302)/$AK302)</f>
        <v>#REF!</v>
      </c>
      <c r="AS302" s="33">
        <f t="shared" si="81"/>
        <v>0.98</v>
      </c>
      <c r="AT302" s="33">
        <f t="shared" si="83"/>
        <v>0.98</v>
      </c>
      <c r="AU302" s="38">
        <f>IF($C302="&lt;01","",SUM($AP302)-SUM($O302))</f>
        <v>0</v>
      </c>
      <c r="AV302" s="38">
        <f>IF($C302="&lt;01",ROUND(INDEX(EID!$N:$N,MATCH($B302,EID!$B:$B,0))/2,0),IF(SUM($AT302)=0,"",ROUND((SUM($AP302)-(SUM($O302)*SUM($AS302)))/$AT302,0)))</f>
        <v>8</v>
      </c>
      <c r="AW302" s="33">
        <f t="shared" si="77"/>
        <v>1</v>
      </c>
      <c r="AX302" s="218">
        <f>IF($C302="&lt;01",SUM($AV302),ROUND(SUM($AV302)*SUM($AW302),0))</f>
        <v>8</v>
      </c>
      <c r="AY302" s="79">
        <f t="shared" si="78"/>
        <v>0.7</v>
      </c>
      <c r="AZ302" s="85">
        <f>IF($C302="&lt;01",ROUND(INDEX(EID!$R:$R,MATCH($B302,EID!$B:$B,0))/2,0),ROUND(SUM($O302)+(SUM($AV302)*$AY302),0))</f>
        <v>410</v>
      </c>
      <c r="BA302" s="40">
        <f t="shared" si="82"/>
        <v>0.9</v>
      </c>
      <c r="BB302" s="99">
        <f>IF($C302="&lt;01",ROUND(INDEX(EID!$T:$T,MATCH($B302,EID!$B:$B,0))/2,0),ROUND($AP302*$BA302,0))</f>
        <v>364</v>
      </c>
      <c r="BC302" s="85">
        <f>IF(LEFT($B302,4)="_Mil","",IF(SUM($BB302)=0,SUM($AD302),IF(OR(SUM($AP302)=0,SUM($AQ302)=0),MAX($BB302,$AD302),ROUND($BB302*$AQ302/$AP302,0))))</f>
        <v>439</v>
      </c>
      <c r="BD302" s="33">
        <f t="shared" si="79"/>
        <v>0.95</v>
      </c>
      <c r="BE302" s="218">
        <f>IF($C302="&lt;01",ROUND(INDEX(EID!$V:$V,MATCH($B302,EID!$B:$B,0))/2,0),ROUND($BD302*$BB302,0))</f>
        <v>346</v>
      </c>
      <c r="BF302" s="218">
        <f>IF(LEFT($B302,4)="_Mil","",IF(SUM($BE302)=0,SUM($AF302),IF(OR(SUM($AP302)=0,SUM($AQ302)=0),MAX($BE302,$AF302),ROUND($BE302*$AQ302/$AP302,0))))</f>
        <v>417</v>
      </c>
      <c r="BG302" s="79">
        <f t="shared" si="80"/>
        <v>0.95</v>
      </c>
      <c r="BH302" s="99">
        <f>IF($C302="&lt;01",ROUND(INDEX(EID!$L:$L,MATCH($B302,EID!$B:$B,0)),0)/2,IF(SUM($BG302)=0,"",ROUND($AX302/$BG302,0)))</f>
        <v>8</v>
      </c>
    </row>
    <row r="303" spans="1:60" x14ac:dyDescent="0.2">
      <c r="A303" t="str">
        <f>INDEX(Prioritization!$D:$D,MATCH($B303,Prioritization!$A:$A,0))</f>
        <v>4 - Sustained</v>
      </c>
      <c r="B303" t="s">
        <v>303</v>
      </c>
      <c r="C303" t="s">
        <v>476</v>
      </c>
      <c r="D303" t="s">
        <v>30</v>
      </c>
      <c r="E303" t="str">
        <f t="shared" si="70"/>
        <v>Nkhotakota District [YCKiBAp8QAg]|25-34|Female</v>
      </c>
      <c r="F303" s="229">
        <v>1609</v>
      </c>
      <c r="G303" s="38">
        <v>272</v>
      </c>
      <c r="H303" s="38">
        <v>300</v>
      </c>
      <c r="I303" s="38">
        <v>1609</v>
      </c>
      <c r="J303" s="38">
        <v>974</v>
      </c>
      <c r="K303" s="38">
        <v>899</v>
      </c>
      <c r="L303" s="38">
        <v>154</v>
      </c>
      <c r="M303" s="38">
        <v>152</v>
      </c>
      <c r="N303" s="38">
        <v>1724</v>
      </c>
      <c r="O303" s="229">
        <v>1609</v>
      </c>
      <c r="P303" s="38">
        <v>1576</v>
      </c>
      <c r="Q303" s="38">
        <v>1497</v>
      </c>
      <c r="R303" s="38">
        <f t="shared" si="71"/>
        <v>0</v>
      </c>
      <c r="S303" s="38">
        <f>IF(LEFT($B303,4)="_Mil","",_xlfn.IFNA(ROUND(INDEX(Spectrum!$N:$N,MATCH(RIGHT($B303,13)&amp;"|"&amp;$C303&amp;"|"&amp;$D303&amp;"|"&amp;S$14&amp;"|"&amp;"CY2023Q4",Spectrum!$R:$R,0)),0),""))</f>
        <v>1785</v>
      </c>
      <c r="T303" s="218">
        <f>IF(LEFT($B303,4)="_Mil","",_xlfn.IFNA(ROUND(INDEX(Spectrum!$N:$N,MATCH(RIGHT($B303,13)&amp;"|"&amp;$C303&amp;"|"&amp;$D303&amp;"|"&amp;T$14&amp;"|"&amp;"CY2024Q3",Spectrum!$R:$R,0)),0),""))</f>
        <v>34640</v>
      </c>
      <c r="U303" s="218">
        <f>IF(LEFT($B303,4)="_Mil","",_xlfn.IFNA(ROUND(INDEX(Spectrum!$N:$N,MATCH(RIGHT($B303,13)&amp;"|"&amp;$C303&amp;"|"&amp;$D303&amp;"|"&amp;U$14&amp;"|"&amp;"CY2024Q3",Spectrum!$R:$R,0)),0),""))</f>
        <v>1575</v>
      </c>
      <c r="V303" s="38">
        <f>IF(LEFT($B303,4)="_Mil","",_xlfn.IFNA(ROUND(INDEX(Spectrum!$N:$N,MATCH(RIGHT($B303,13)&amp;"|"&amp;$C303&amp;"|"&amp;$D303&amp;"|"&amp;V$14&amp;"|"&amp;"CY2024Q3",Spectrum!$R:$R,0)),0),""))</f>
        <v>1758</v>
      </c>
      <c r="W303" s="220">
        <f>IF(LEFT($B303,4)="_Mil","",_xlfn.IFNA(INDEX(Spectrum!$N:$N,MATCH(RIGHT($B303,13)&amp;"|"&amp;$C303&amp;"|"&amp;$D303&amp;"|"&amp;W$14&amp;"|"&amp;"CY2024Q3",Spectrum!$R:$R,0)),""))</f>
        <v>4.5468874999999999E-2</v>
      </c>
      <c r="X303" s="218">
        <f>IF(LEFT($B303,4)="_Mil","",_xlfn.IFNA(ROUND(INDEX(Spectrum!$N:$N,MATCH(RIGHT($B303,13)&amp;"|"&amp;$C303&amp;"|"&amp;$D303&amp;"|"&amp;X$14&amp;"|"&amp;"CY2024Q3",Spectrum!$R:$R,0)),0),""))</f>
        <v>1520</v>
      </c>
      <c r="Y303" s="33">
        <f t="shared" si="72"/>
        <v>0.97</v>
      </c>
      <c r="Z303" s="218">
        <f>IF(LEFT($B303,4)="_Mil","",_xlfn.IFNA(ROUND(INDEX(Spectrum!$N:$N,MATCH(RIGHT($B303,13)&amp;"|"&amp;$C303&amp;"|"&amp;$D303&amp;"|"&amp;Z$14&amp;"|"&amp;"CY2024Q3",Spectrum!$R:$R,0)),0),""))</f>
        <v>1696</v>
      </c>
      <c r="AA303" s="33">
        <f>IF(LEFT($B303,4)="_Mil","",IFERROR(1/(1/INDEX(Spectrum!$N:$N,MATCH(RIGHT($B303,13)&amp;"|"&amp;$C303&amp;"|"&amp;$D303&amp;"|"&amp;AA$14&amp;"|"&amp;"CY2024Q3",Spectrum!$R:$R,0))),IF(SUM($U303)=0,"",SUM($Z303)/$U303)))</f>
        <v>0.96493463199999996</v>
      </c>
      <c r="AB303" s="33">
        <f t="shared" si="73"/>
        <v>1.1157894736842104</v>
      </c>
      <c r="AC303" s="38">
        <f>IF(LEFT($B303,4)="_Mil","",_xlfn.IFNA(ROUND(INDEX(Spectrum!$N:$N,MATCH(RIGHT($B303,13)&amp;"|"&amp;$C303&amp;"|"&amp;$D303&amp;"|"&amp;AC$14&amp;"|"&amp;"CY2024Q3",Spectrum!$R:$R,0)),0),""))</f>
        <v>62</v>
      </c>
      <c r="AD303" s="38" t="str">
        <f>IF(LEFT($B303,4)="_Mil","",_xlfn.IFNA(ROUND(INDEX(Spectrum!$N:$N,MATCH(RIGHT($B303,13)&amp;"|"&amp;$C303&amp;"|"&amp;$D303&amp;"|"&amp;AD$14&amp;"|"&amp;"CY2024Q3",Spectrum!$R:$R,0)),0),""))</f>
        <v/>
      </c>
      <c r="AE303" s="33">
        <f t="shared" si="74"/>
        <v>0</v>
      </c>
      <c r="AF303" s="218" t="str">
        <f>IF(LEFT($B303,4)="_Mil","",_xlfn.IFNA(ROUND(INDEX(Spectrum!$N:$N,MATCH(RIGHT($B303,13)&amp;"|"&amp;$C303&amp;"|"&amp;$D303&amp;"|"&amp;AF$14&amp;"|"&amp;"CY2024Q3",Spectrum!$R:$R,0)),0),""))</f>
        <v/>
      </c>
      <c r="AG303" s="33" t="str">
        <f t="shared" si="75"/>
        <v/>
      </c>
      <c r="AH303" s="110" t="str">
        <f>IF(LEFT($B303,4)="_Mil","",_xlfn.IFNA(INDEX(Spectrum!$N:$N,MATCH(RIGHT($B303,13)&amp;"|"&amp;$C303&amp;"|"&amp;$D303&amp;"|"&amp;AH$14&amp;"|"&amp;"CY2024Q3",Spectrum!$R:$R,0)),""))</f>
        <v/>
      </c>
      <c r="AI303" s="218">
        <f>IF(LEFT($B303,4)="_Mil","",_xlfn.IFNA(ROUND(INDEX(Spectrum!$N:$N,MATCH(RIGHT($B303,13)&amp;"|"&amp;$C303&amp;"|"&amp;$D303&amp;"|"&amp;AI$14&amp;"|"&amp;"CY2025Q3",Spectrum!$R:$R,0)),0),""))</f>
        <v>39</v>
      </c>
      <c r="AJ303" s="38">
        <f>IF(LEFT($B303,4)="_Mil","",_xlfn.IFNA(ROUND(INDEX(Spectrum!$N:$N,MATCH(RIGHT($B303,13)&amp;"|"&amp;$C303&amp;"|"&amp;$D303&amp;"|"&amp;AJ$14&amp;"|"&amp;"CY2025Q3",Spectrum!$R:$R,0)),0),""))</f>
        <v>1473</v>
      </c>
      <c r="AK303" s="218" t="e">
        <f>#REF!</f>
        <v>#REF!</v>
      </c>
      <c r="AL303" s="33">
        <f t="shared" si="76"/>
        <v>0.96493463199999996</v>
      </c>
      <c r="AM303" s="38" t="e">
        <f>IF(OR(LEFT($B303,4)="_Mil",$C303="&lt;01"),"",ROUND(SUM($AK303)*SUM($AL303),0))</f>
        <v>#REF!</v>
      </c>
      <c r="AN303" s="38" t="str">
        <f>IF($C303="&lt;01",ROUND(INDEX(EID!$P:$P,MATCH($B303,EID!$B:$B,0))/2,0),"")</f>
        <v/>
      </c>
      <c r="AO303" s="38" t="e">
        <f>IF($C303="&lt;01",SUM($AN303),ROUND(SUM($AM303)*SUM($O303)/IF(SUM($Z303)=0,1,$Z303),0))</f>
        <v>#REF!</v>
      </c>
      <c r="AP303" s="218">
        <f>IF(OR($F303="",$C303="&lt;01"),$AO303,ROUND($F303,0))</f>
        <v>1609</v>
      </c>
      <c r="AQ303" s="218">
        <f>IF(LEFT($B303,4)="_Mil","",IF(SUM($AP303)=0,SUM($Z303),IF(OR(SUM($Z303)=0,SUM($O303)=0),MAX($AP303,$Z303),ROUND($AP303*$Z303/$O303,0))))</f>
        <v>1696</v>
      </c>
      <c r="AR303" s="33" t="e">
        <f>IF(OR(LEFT($B303,4)="_Mil",SUM($AK303)=0),"",SUM($AQ303)/$AK303)</f>
        <v>#REF!</v>
      </c>
      <c r="AS303" s="33">
        <f>IF($C303="&lt;01","",88%)</f>
        <v>0.88</v>
      </c>
      <c r="AT303" s="33">
        <f>IF($C303="&lt;01","",90%)</f>
        <v>0.9</v>
      </c>
      <c r="AU303" s="38">
        <f>IF($C303="&lt;01","",SUM($AP303)-SUM($O303))</f>
        <v>0</v>
      </c>
      <c r="AV303" s="38">
        <f>IF($C303="&lt;01",ROUND(INDEX(EID!$N:$N,MATCH($B303,EID!$B:$B,0))/2,0),IF(SUM($AT303)=0,"",ROUND((SUM($AP303)-(SUM($O303)*SUM($AS303)))/$AT303,0)))</f>
        <v>215</v>
      </c>
      <c r="AW303" s="33">
        <f t="shared" si="77"/>
        <v>1</v>
      </c>
      <c r="AX303" s="218">
        <f>IF($C303="&lt;01",SUM($AV303),ROUND(SUM($AV303)*SUM($AW303),0))</f>
        <v>215</v>
      </c>
      <c r="AY303" s="79">
        <f t="shared" si="78"/>
        <v>0.7</v>
      </c>
      <c r="AZ303" s="85">
        <f>IF($C303="&lt;01",ROUND(INDEX(EID!$R:$R,MATCH($B303,EID!$B:$B,0))/2,0),ROUND(SUM($O303)+(SUM($AV303)*$AY303),0))</f>
        <v>1760</v>
      </c>
      <c r="BA303" s="40">
        <f t="shared" si="82"/>
        <v>0.9</v>
      </c>
      <c r="BB303" s="99">
        <f>IF($C303="&lt;01",ROUND(INDEX(EID!$T:$T,MATCH($B303,EID!$B:$B,0))/2,0),ROUND($AP303*$BA303,0))</f>
        <v>1448</v>
      </c>
      <c r="BC303" s="85">
        <f>IF(LEFT($B303,4)="_Mil","",IF(SUM($BB303)=0,SUM($AD303),IF(OR(SUM($AP303)=0,SUM($AQ303)=0),MAX($BB303,$AD303),ROUND($BB303*$AQ303/$AP303,0))))</f>
        <v>1526</v>
      </c>
      <c r="BD303" s="33">
        <f t="shared" si="79"/>
        <v>0.95</v>
      </c>
      <c r="BE303" s="218">
        <f>IF($C303="&lt;01",ROUND(INDEX(EID!$V:$V,MATCH($B303,EID!$B:$B,0))/2,0),ROUND($BD303*$BB303,0))</f>
        <v>1376</v>
      </c>
      <c r="BF303" s="218">
        <f>IF(LEFT($B303,4)="_Mil","",IF(SUM($BE303)=0,SUM($AF303),IF(OR(SUM($AP303)=0,SUM($AQ303)=0),MAX($BE303,$AF303),ROUND($BE303*$AQ303/$AP303,0))))</f>
        <v>1450</v>
      </c>
      <c r="BG303" s="79">
        <f t="shared" si="80"/>
        <v>0.95</v>
      </c>
      <c r="BH303" s="99">
        <f>IF($C303="&lt;01",ROUND(INDEX(EID!$L:$L,MATCH($B303,EID!$B:$B,0)),0)/2,IF(SUM($BG303)=0,"",ROUND($AX303/$BG303,0)))</f>
        <v>226</v>
      </c>
    </row>
    <row r="304" spans="1:60" x14ac:dyDescent="0.2">
      <c r="A304" t="str">
        <f>INDEX(Prioritization!$D:$D,MATCH($B304,Prioritization!$A:$A,0))</f>
        <v>4 - Sustained</v>
      </c>
      <c r="B304" t="s">
        <v>303</v>
      </c>
      <c r="C304" t="s">
        <v>476</v>
      </c>
      <c r="D304" t="s">
        <v>48</v>
      </c>
      <c r="E304" t="str">
        <f t="shared" si="70"/>
        <v>Nkhotakota District [YCKiBAp8QAg]|25-34|Male</v>
      </c>
      <c r="F304" s="229">
        <v>509</v>
      </c>
      <c r="G304" s="38">
        <v>153</v>
      </c>
      <c r="H304" s="38">
        <v>144</v>
      </c>
      <c r="I304" s="38">
        <v>430</v>
      </c>
      <c r="J304" s="38">
        <v>246</v>
      </c>
      <c r="K304" s="38">
        <v>225</v>
      </c>
      <c r="L304" s="38">
        <v>28</v>
      </c>
      <c r="M304" s="38">
        <v>27</v>
      </c>
      <c r="N304" s="38">
        <v>670</v>
      </c>
      <c r="O304" s="229">
        <v>509</v>
      </c>
      <c r="P304" s="38">
        <v>597</v>
      </c>
      <c r="Q304" s="38">
        <v>567</v>
      </c>
      <c r="R304" s="38">
        <f t="shared" si="71"/>
        <v>79</v>
      </c>
      <c r="S304" s="38">
        <f>IF(LEFT($B304,4)="_Mil","",_xlfn.IFNA(ROUND(INDEX(Spectrum!$N:$N,MATCH(RIGHT($B304,13)&amp;"|"&amp;$C304&amp;"|"&amp;$D304&amp;"|"&amp;S$14&amp;"|"&amp;"CY2023Q4",Spectrum!$R:$R,0)),0),""))</f>
        <v>597</v>
      </c>
      <c r="T304" s="218">
        <f>IF(LEFT($B304,4)="_Mil","",_xlfn.IFNA(ROUND(INDEX(Spectrum!$N:$N,MATCH(RIGHT($B304,13)&amp;"|"&amp;$C304&amp;"|"&amp;$D304&amp;"|"&amp;T$14&amp;"|"&amp;"CY2024Q3",Spectrum!$R:$R,0)),0),""))</f>
        <v>32017</v>
      </c>
      <c r="U304" s="218">
        <f>IF(LEFT($B304,4)="_Mil","",_xlfn.IFNA(ROUND(INDEX(Spectrum!$N:$N,MATCH(RIGHT($B304,13)&amp;"|"&amp;$C304&amp;"|"&amp;$D304&amp;"|"&amp;U$14&amp;"|"&amp;"CY2024Q3",Spectrum!$R:$R,0)),0),""))</f>
        <v>609</v>
      </c>
      <c r="V304" s="38">
        <f>IF(LEFT($B304,4)="_Mil","",_xlfn.IFNA(ROUND(INDEX(Spectrum!$N:$N,MATCH(RIGHT($B304,13)&amp;"|"&amp;$C304&amp;"|"&amp;$D304&amp;"|"&amp;V$14&amp;"|"&amp;"CY2024Q3",Spectrum!$R:$R,0)),0),""))</f>
        <v>679</v>
      </c>
      <c r="W304" s="220">
        <f>IF(LEFT($B304,4)="_Mil","",_xlfn.IFNA(INDEX(Spectrum!$N:$N,MATCH(RIGHT($B304,13)&amp;"|"&amp;$C304&amp;"|"&amp;$D304&amp;"|"&amp;W$14&amp;"|"&amp;"CY2024Q3",Spectrum!$R:$R,0)),""))</f>
        <v>1.9017213000000002E-2</v>
      </c>
      <c r="X304" s="218">
        <f>IF(LEFT($B304,4)="_Mil","",_xlfn.IFNA(ROUND(INDEX(Spectrum!$N:$N,MATCH(RIGHT($B304,13)&amp;"|"&amp;$C304&amp;"|"&amp;$D304&amp;"|"&amp;X$14&amp;"|"&amp;"CY2024Q3",Spectrum!$R:$R,0)),0),""))</f>
        <v>537</v>
      </c>
      <c r="Y304" s="33">
        <f t="shared" si="72"/>
        <v>0.88</v>
      </c>
      <c r="Z304" s="218">
        <f>IF(LEFT($B304,4)="_Mil","",_xlfn.IFNA(ROUND(INDEX(Spectrum!$N:$N,MATCH(RIGHT($B304,13)&amp;"|"&amp;$C304&amp;"|"&amp;$D304&amp;"|"&amp;Z$14&amp;"|"&amp;"CY2024Q3",Spectrum!$R:$R,0)),0),""))</f>
        <v>596</v>
      </c>
      <c r="AA304" s="33">
        <f>IF(LEFT($B304,4)="_Mil","",IFERROR(1/(1/INDEX(Spectrum!$N:$N,MATCH(RIGHT($B304,13)&amp;"|"&amp;$C304&amp;"|"&amp;$D304&amp;"|"&amp;AA$14&amp;"|"&amp;"CY2024Q3",Spectrum!$R:$R,0))),IF(SUM($U304)=0,"",SUM($Z304)/$U304)))</f>
        <v>0.87478092399999996</v>
      </c>
      <c r="AB304" s="33">
        <f t="shared" si="73"/>
        <v>1.1098696461824953</v>
      </c>
      <c r="AC304" s="38">
        <f>IF(LEFT($B304,4)="_Mil","",_xlfn.IFNA(ROUND(INDEX(Spectrum!$N:$N,MATCH(RIGHT($B304,13)&amp;"|"&amp;$C304&amp;"|"&amp;$D304&amp;"|"&amp;AC$14&amp;"|"&amp;"CY2024Q3",Spectrum!$R:$R,0)),0),""))</f>
        <v>83</v>
      </c>
      <c r="AD304" s="38" t="str">
        <f>IF(LEFT($B304,4)="_Mil","",_xlfn.IFNA(ROUND(INDEX(Spectrum!$N:$N,MATCH(RIGHT($B304,13)&amp;"|"&amp;$C304&amp;"|"&amp;$D304&amp;"|"&amp;AD$14&amp;"|"&amp;"CY2024Q3",Spectrum!$R:$R,0)),0),""))</f>
        <v/>
      </c>
      <c r="AE304" s="33">
        <f t="shared" si="74"/>
        <v>0</v>
      </c>
      <c r="AF304" s="218" t="str">
        <f>IF(LEFT($B304,4)="_Mil","",_xlfn.IFNA(ROUND(INDEX(Spectrum!$N:$N,MATCH(RIGHT($B304,13)&amp;"|"&amp;$C304&amp;"|"&amp;$D304&amp;"|"&amp;AF$14&amp;"|"&amp;"CY2024Q3",Spectrum!$R:$R,0)),0),""))</f>
        <v/>
      </c>
      <c r="AG304" s="33" t="str">
        <f t="shared" si="75"/>
        <v/>
      </c>
      <c r="AH304" s="110" t="str">
        <f>IF(LEFT($B304,4)="_Mil","",_xlfn.IFNA(INDEX(Spectrum!$N:$N,MATCH(RIGHT($B304,13)&amp;"|"&amp;$C304&amp;"|"&amp;$D304&amp;"|"&amp;AH$14&amp;"|"&amp;"CY2024Q3",Spectrum!$R:$R,0)),""))</f>
        <v/>
      </c>
      <c r="AI304" s="218">
        <f>IF(LEFT($B304,4)="_Mil","",_xlfn.IFNA(ROUND(INDEX(Spectrum!$N:$N,MATCH(RIGHT($B304,13)&amp;"|"&amp;$C304&amp;"|"&amp;$D304&amp;"|"&amp;AI$14&amp;"|"&amp;"CY2025Q3",Spectrum!$R:$R,0)),0),""))</f>
        <v>22</v>
      </c>
      <c r="AJ304" s="38">
        <f>IF(LEFT($B304,4)="_Mil","",_xlfn.IFNA(ROUND(INDEX(Spectrum!$N:$N,MATCH(RIGHT($B304,13)&amp;"|"&amp;$C304&amp;"|"&amp;$D304&amp;"|"&amp;AJ$14&amp;"|"&amp;"CY2025Q3",Spectrum!$R:$R,0)),0),""))</f>
        <v>585</v>
      </c>
      <c r="AK304" s="218" t="e">
        <f>#REF!</f>
        <v>#REF!</v>
      </c>
      <c r="AL304" s="33">
        <f t="shared" si="76"/>
        <v>0.9</v>
      </c>
      <c r="AM304" s="38" t="e">
        <f>IF(OR(LEFT($B304,4)="_Mil",$C304="&lt;01"),"",ROUND(SUM($AK304)*SUM($AL304),0))</f>
        <v>#REF!</v>
      </c>
      <c r="AN304" s="38" t="str">
        <f>IF($C304="&lt;01",ROUND(INDEX(EID!$P:$P,MATCH($B304,EID!$B:$B,0))/2,0),"")</f>
        <v/>
      </c>
      <c r="AO304" s="38" t="e">
        <f>IF($C304="&lt;01",SUM($AN304),ROUND(SUM($AM304)*SUM($O304)/IF(SUM($Z304)=0,1,$Z304),0))</f>
        <v>#REF!</v>
      </c>
      <c r="AP304" s="218">
        <f>IF(OR($F304="",$C304="&lt;01"),$AO304,ROUND($F304,0))</f>
        <v>509</v>
      </c>
      <c r="AQ304" s="218">
        <f>IF(LEFT($B304,4)="_Mil","",IF(SUM($AP304)=0,SUM($Z304),IF(OR(SUM($Z304)=0,SUM($O304)=0),MAX($AP304,$Z304),ROUND($AP304*$Z304/$O304,0))))</f>
        <v>596</v>
      </c>
      <c r="AR304" s="33" t="e">
        <f>IF(OR(LEFT($B304,4)="_Mil",SUM($AK304)=0),"",SUM($AQ304)/$AK304)</f>
        <v>#REF!</v>
      </c>
      <c r="AS304" s="33">
        <f t="shared" si="81"/>
        <v>0.98</v>
      </c>
      <c r="AT304" s="33">
        <f t="shared" si="83"/>
        <v>0.98</v>
      </c>
      <c r="AU304" s="38">
        <f>IF($C304="&lt;01","",SUM($AP304)-SUM($O304))</f>
        <v>0</v>
      </c>
      <c r="AV304" s="38">
        <f>IF($C304="&lt;01",ROUND(INDEX(EID!$N:$N,MATCH($B304,EID!$B:$B,0))/2,0),IF(SUM($AT304)=0,"",ROUND((SUM($AP304)-(SUM($O304)*SUM($AS304)))/$AT304,0)))</f>
        <v>10</v>
      </c>
      <c r="AW304" s="33">
        <f t="shared" si="77"/>
        <v>1</v>
      </c>
      <c r="AX304" s="218">
        <f>IF($C304="&lt;01",SUM($AV304),ROUND(SUM($AV304)*SUM($AW304),0))</f>
        <v>10</v>
      </c>
      <c r="AY304" s="79">
        <f t="shared" si="78"/>
        <v>0.7</v>
      </c>
      <c r="AZ304" s="85">
        <f>IF($C304="&lt;01",ROUND(INDEX(EID!$R:$R,MATCH($B304,EID!$B:$B,0))/2,0),ROUND(SUM($O304)+(SUM($AV304)*$AY304),0))</f>
        <v>516</v>
      </c>
      <c r="BA304" s="40">
        <f t="shared" si="82"/>
        <v>0.9</v>
      </c>
      <c r="BB304" s="99">
        <f>IF($C304="&lt;01",ROUND(INDEX(EID!$T:$T,MATCH($B304,EID!$B:$B,0))/2,0),ROUND($AP304*$BA304,0))</f>
        <v>458</v>
      </c>
      <c r="BC304" s="85">
        <f>IF(LEFT($B304,4)="_Mil","",IF(SUM($BB304)=0,SUM($AD304),IF(OR(SUM($AP304)=0,SUM($AQ304)=0),MAX($BB304,$AD304),ROUND($BB304*$AQ304/$AP304,0))))</f>
        <v>536</v>
      </c>
      <c r="BD304" s="33">
        <f t="shared" si="79"/>
        <v>0.95</v>
      </c>
      <c r="BE304" s="218">
        <f>IF($C304="&lt;01",ROUND(INDEX(EID!$V:$V,MATCH($B304,EID!$B:$B,0))/2,0),ROUND($BD304*$BB304,0))</f>
        <v>435</v>
      </c>
      <c r="BF304" s="218">
        <f>IF(LEFT($B304,4)="_Mil","",IF(SUM($BE304)=0,SUM($AF304),IF(OR(SUM($AP304)=0,SUM($AQ304)=0),MAX($BE304,$AF304),ROUND($BE304*$AQ304/$AP304,0))))</f>
        <v>509</v>
      </c>
      <c r="BG304" s="79">
        <f t="shared" si="80"/>
        <v>0.95</v>
      </c>
      <c r="BH304" s="99">
        <f>IF($C304="&lt;01",ROUND(INDEX(EID!$L:$L,MATCH($B304,EID!$B:$B,0)),0)/2,IF(SUM($BG304)=0,"",ROUND($AX304/$BG304,0)))</f>
        <v>11</v>
      </c>
    </row>
    <row r="305" spans="1:60" x14ac:dyDescent="0.2">
      <c r="A305" t="str">
        <f>INDEX(Prioritization!$D:$D,MATCH($B305,Prioritization!$A:$A,0))</f>
        <v>4 - Sustained</v>
      </c>
      <c r="B305" t="s">
        <v>303</v>
      </c>
      <c r="C305" t="s">
        <v>477</v>
      </c>
      <c r="D305" t="s">
        <v>30</v>
      </c>
      <c r="E305" t="str">
        <f t="shared" si="70"/>
        <v>Nkhotakota District [YCKiBAp8QAg]|35-49|Female</v>
      </c>
      <c r="F305" s="229">
        <v>4407</v>
      </c>
      <c r="G305" s="38">
        <v>244</v>
      </c>
      <c r="H305" s="38">
        <v>255</v>
      </c>
      <c r="I305" s="38">
        <v>4231</v>
      </c>
      <c r="J305" s="38">
        <v>2333</v>
      </c>
      <c r="K305" s="38">
        <v>2213</v>
      </c>
      <c r="L305" s="38">
        <v>400</v>
      </c>
      <c r="M305" s="38">
        <v>392</v>
      </c>
      <c r="N305" s="38">
        <v>4442</v>
      </c>
      <c r="O305" s="229">
        <v>4319</v>
      </c>
      <c r="P305" s="38">
        <v>3778</v>
      </c>
      <c r="Q305" s="38">
        <v>3589</v>
      </c>
      <c r="R305" s="38">
        <f t="shared" si="71"/>
        <v>88</v>
      </c>
      <c r="S305" s="38">
        <f>IF(LEFT($B305,4)="_Mil","",_xlfn.IFNA(ROUND(INDEX(Spectrum!$N:$N,MATCH(RIGHT($B305,13)&amp;"|"&amp;$C305&amp;"|"&amp;$D305&amp;"|"&amp;S$14&amp;"|"&amp;"CY2023Q4",Spectrum!$R:$R,0)),0),""))</f>
        <v>4492</v>
      </c>
      <c r="T305" s="218">
        <f>IF(LEFT($B305,4)="_Mil","",_xlfn.IFNA(ROUND(INDEX(Spectrum!$N:$N,MATCH(RIGHT($B305,13)&amp;"|"&amp;$C305&amp;"|"&amp;$D305&amp;"|"&amp;T$14&amp;"|"&amp;"CY2024Q3",Spectrum!$R:$R,0)),0),""))</f>
        <v>34201</v>
      </c>
      <c r="U305" s="218">
        <f>IF(LEFT($B305,4)="_Mil","",_xlfn.IFNA(ROUND(INDEX(Spectrum!$N:$N,MATCH(RIGHT($B305,13)&amp;"|"&amp;$C305&amp;"|"&amp;$D305&amp;"|"&amp;U$14&amp;"|"&amp;"CY2024Q3",Spectrum!$R:$R,0)),0),""))</f>
        <v>4069</v>
      </c>
      <c r="V305" s="38">
        <f>IF(LEFT($B305,4)="_Mil","",_xlfn.IFNA(ROUND(INDEX(Spectrum!$N:$N,MATCH(RIGHT($B305,13)&amp;"|"&amp;$C305&amp;"|"&amp;$D305&amp;"|"&amp;V$14&amp;"|"&amp;"CY2024Q3",Spectrum!$R:$R,0)),0),""))</f>
        <v>4577</v>
      </c>
      <c r="W305" s="220">
        <f>IF(LEFT($B305,4)="_Mil","",_xlfn.IFNA(INDEX(Spectrum!$N:$N,MATCH(RIGHT($B305,13)&amp;"|"&amp;$C305&amp;"|"&amp;$D305&amp;"|"&amp;W$14&amp;"|"&amp;"CY2024Q3",Spectrum!$R:$R,0)),""))</f>
        <v>0.118977256</v>
      </c>
      <c r="X305" s="218">
        <f>IF(LEFT($B305,4)="_Mil","",_xlfn.IFNA(ROUND(INDEX(Spectrum!$N:$N,MATCH(RIGHT($B305,13)&amp;"|"&amp;$C305&amp;"|"&amp;$D305&amp;"|"&amp;X$14&amp;"|"&amp;"CY2024Q3",Spectrum!$R:$R,0)),0),""))</f>
        <v>4000</v>
      </c>
      <c r="Y305" s="33">
        <f t="shared" si="72"/>
        <v>0.98</v>
      </c>
      <c r="Z305" s="218">
        <f>IF(LEFT($B305,4)="_Mil","",_xlfn.IFNA(ROUND(INDEX(Spectrum!$N:$N,MATCH(RIGHT($B305,13)&amp;"|"&amp;$C305&amp;"|"&amp;$D305&amp;"|"&amp;Z$14&amp;"|"&amp;"CY2024Q3",Spectrum!$R:$R,0)),0),""))</f>
        <v>4499</v>
      </c>
      <c r="AA305" s="33">
        <f>IF(LEFT($B305,4)="_Mil","",IFERROR(1/(1/INDEX(Spectrum!$N:$N,MATCH(RIGHT($B305,13)&amp;"|"&amp;$C305&amp;"|"&amp;$D305&amp;"|"&amp;AA$14&amp;"|"&amp;"CY2024Q3",Spectrum!$R:$R,0))),IF(SUM($U305)=0,"",SUM($Z305)/$U305)))</f>
        <v>0.98257627400000003</v>
      </c>
      <c r="AB305" s="33">
        <f t="shared" si="73"/>
        <v>1.1247499999999999</v>
      </c>
      <c r="AC305" s="38">
        <f>IF(LEFT($B305,4)="_Mil","",_xlfn.IFNA(ROUND(INDEX(Spectrum!$N:$N,MATCH(RIGHT($B305,13)&amp;"|"&amp;$C305&amp;"|"&amp;$D305&amp;"|"&amp;AC$14&amp;"|"&amp;"CY2024Q3",Spectrum!$R:$R,0)),0),""))</f>
        <v>78</v>
      </c>
      <c r="AD305" s="38" t="str">
        <f>IF(LEFT($B305,4)="_Mil","",_xlfn.IFNA(ROUND(INDEX(Spectrum!$N:$N,MATCH(RIGHT($B305,13)&amp;"|"&amp;$C305&amp;"|"&amp;$D305&amp;"|"&amp;AD$14&amp;"|"&amp;"CY2024Q3",Spectrum!$R:$R,0)),0),""))</f>
        <v/>
      </c>
      <c r="AE305" s="33">
        <f t="shared" si="74"/>
        <v>0</v>
      </c>
      <c r="AF305" s="218" t="str">
        <f>IF(LEFT($B305,4)="_Mil","",_xlfn.IFNA(ROUND(INDEX(Spectrum!$N:$N,MATCH(RIGHT($B305,13)&amp;"|"&amp;$C305&amp;"|"&amp;$D305&amp;"|"&amp;AF$14&amp;"|"&amp;"CY2024Q3",Spectrum!$R:$R,0)),0),""))</f>
        <v/>
      </c>
      <c r="AG305" s="33" t="str">
        <f t="shared" si="75"/>
        <v/>
      </c>
      <c r="AH305" s="110" t="str">
        <f>IF(LEFT($B305,4)="_Mil","",_xlfn.IFNA(INDEX(Spectrum!$N:$N,MATCH(RIGHT($B305,13)&amp;"|"&amp;$C305&amp;"|"&amp;$D305&amp;"|"&amp;AH$14&amp;"|"&amp;"CY2024Q3",Spectrum!$R:$R,0)),""))</f>
        <v/>
      </c>
      <c r="AI305" s="218">
        <f>IF(LEFT($B305,4)="_Mil","",_xlfn.IFNA(ROUND(INDEX(Spectrum!$N:$N,MATCH(RIGHT($B305,13)&amp;"|"&amp;$C305&amp;"|"&amp;$D305&amp;"|"&amp;AI$14&amp;"|"&amp;"CY2025Q3",Spectrum!$R:$R,0)),0),""))</f>
        <v>20</v>
      </c>
      <c r="AJ305" s="38">
        <f>IF(LEFT($B305,4)="_Mil","",_xlfn.IFNA(ROUND(INDEX(Spectrum!$N:$N,MATCH(RIGHT($B305,13)&amp;"|"&amp;$C305&amp;"|"&amp;$D305&amp;"|"&amp;AJ$14&amp;"|"&amp;"CY2025Q3",Spectrum!$R:$R,0)),0),""))</f>
        <v>4060</v>
      </c>
      <c r="AK305" s="218" t="e">
        <f>#REF!</f>
        <v>#REF!</v>
      </c>
      <c r="AL305" s="33">
        <f t="shared" si="76"/>
        <v>0.98257627400000003</v>
      </c>
      <c r="AM305" s="38" t="e">
        <f>IF(OR(LEFT($B305,4)="_Mil",$C305="&lt;01"),"",ROUND(SUM($AK305)*SUM($AL305),0))</f>
        <v>#REF!</v>
      </c>
      <c r="AN305" s="38" t="str">
        <f>IF($C305="&lt;01",ROUND(INDEX(EID!$P:$P,MATCH($B305,EID!$B:$B,0))/2,0),"")</f>
        <v/>
      </c>
      <c r="AO305" s="38" t="e">
        <f>IF($C305="&lt;01",SUM($AN305),ROUND(SUM($AM305)*SUM($O305)/IF(SUM($Z305)=0,1,$Z305),0))</f>
        <v>#REF!</v>
      </c>
      <c r="AP305" s="218">
        <f>IF(OR($F305="",$C305="&lt;01"),$AO305,ROUND($F305,0))</f>
        <v>4407</v>
      </c>
      <c r="AQ305" s="218">
        <f>IF(LEFT($B305,4)="_Mil","",IF(SUM($AP305)=0,SUM($Z305),IF(OR(SUM($Z305)=0,SUM($O305)=0),MAX($AP305,$Z305),ROUND($AP305*$Z305/$O305,0))))</f>
        <v>4591</v>
      </c>
      <c r="AR305" s="33" t="e">
        <f>IF(OR(LEFT($B305,4)="_Mil",SUM($AK305)=0),"",SUM($AQ305)/$AK305)</f>
        <v>#REF!</v>
      </c>
      <c r="AS305" s="33">
        <f t="shared" si="81"/>
        <v>0.98</v>
      </c>
      <c r="AT305" s="33">
        <f t="shared" si="83"/>
        <v>0.98</v>
      </c>
      <c r="AU305" s="38">
        <f>IF($C305="&lt;01","",SUM($AP305)-SUM($O305))</f>
        <v>88</v>
      </c>
      <c r="AV305" s="38">
        <f>IF($C305="&lt;01",ROUND(INDEX(EID!$N:$N,MATCH($B305,EID!$B:$B,0))/2,0),IF(SUM($AT305)=0,"",ROUND((SUM($AP305)-(SUM($O305)*SUM($AS305)))/$AT305,0)))</f>
        <v>178</v>
      </c>
      <c r="AW305" s="33">
        <f t="shared" si="77"/>
        <v>1</v>
      </c>
      <c r="AX305" s="218">
        <f>IF($C305="&lt;01",SUM($AV305),ROUND(SUM($AV305)*SUM($AW305),0))</f>
        <v>178</v>
      </c>
      <c r="AY305" s="79">
        <f t="shared" si="78"/>
        <v>0.7</v>
      </c>
      <c r="AZ305" s="85">
        <f>IF($C305="&lt;01",ROUND(INDEX(EID!$R:$R,MATCH($B305,EID!$B:$B,0))/2,0),ROUND(SUM($O305)+(SUM($AV305)*$AY305),0))</f>
        <v>4444</v>
      </c>
      <c r="BA305" s="40">
        <f t="shared" si="82"/>
        <v>0.9</v>
      </c>
      <c r="BB305" s="99">
        <f>IF($C305="&lt;01",ROUND(INDEX(EID!$T:$T,MATCH($B305,EID!$B:$B,0))/2,0),ROUND($AP305*$BA305,0))</f>
        <v>3966</v>
      </c>
      <c r="BC305" s="85">
        <f>IF(LEFT($B305,4)="_Mil","",IF(SUM($BB305)=0,SUM($AD305),IF(OR(SUM($AP305)=0,SUM($AQ305)=0),MAX($BB305,$AD305),ROUND($BB305*$AQ305/$AP305,0))))</f>
        <v>4132</v>
      </c>
      <c r="BD305" s="33">
        <f t="shared" si="79"/>
        <v>0.95</v>
      </c>
      <c r="BE305" s="218">
        <f>IF($C305="&lt;01",ROUND(INDEX(EID!$V:$V,MATCH($B305,EID!$B:$B,0))/2,0),ROUND($BD305*$BB305,0))</f>
        <v>3768</v>
      </c>
      <c r="BF305" s="218">
        <f>IF(LEFT($B305,4)="_Mil","",IF(SUM($BE305)=0,SUM($AF305),IF(OR(SUM($AP305)=0,SUM($AQ305)=0),MAX($BE305,$AF305),ROUND($BE305*$AQ305/$AP305,0))))</f>
        <v>3925</v>
      </c>
      <c r="BG305" s="79">
        <f t="shared" si="80"/>
        <v>0.95</v>
      </c>
      <c r="BH305" s="99">
        <f>IF($C305="&lt;01",ROUND(INDEX(EID!$L:$L,MATCH($B305,EID!$B:$B,0)),0)/2,IF(SUM($BG305)=0,"",ROUND($AX305/$BG305,0)))</f>
        <v>187</v>
      </c>
    </row>
    <row r="306" spans="1:60" x14ac:dyDescent="0.2">
      <c r="A306" t="str">
        <f>INDEX(Prioritization!$D:$D,MATCH($B306,Prioritization!$A:$A,0))</f>
        <v>4 - Sustained</v>
      </c>
      <c r="B306" t="s">
        <v>303</v>
      </c>
      <c r="C306" t="s">
        <v>477</v>
      </c>
      <c r="D306" t="s">
        <v>48</v>
      </c>
      <c r="E306" t="str">
        <f t="shared" si="70"/>
        <v>Nkhotakota District [YCKiBAp8QAg]|35-49|Male</v>
      </c>
      <c r="F306" s="229">
        <v>2111</v>
      </c>
      <c r="G306" s="38">
        <v>218</v>
      </c>
      <c r="H306" s="38">
        <v>249</v>
      </c>
      <c r="I306" s="38">
        <v>2111</v>
      </c>
      <c r="J306" s="38">
        <v>1176</v>
      </c>
      <c r="K306" s="38">
        <v>1133</v>
      </c>
      <c r="L306" s="38">
        <v>76</v>
      </c>
      <c r="M306" s="38">
        <v>72</v>
      </c>
      <c r="N306" s="38">
        <v>2509</v>
      </c>
      <c r="O306" s="229">
        <v>2111</v>
      </c>
      <c r="P306" s="38">
        <v>2238</v>
      </c>
      <c r="Q306" s="38">
        <v>2126</v>
      </c>
      <c r="R306" s="38">
        <f t="shared" si="71"/>
        <v>0</v>
      </c>
      <c r="S306" s="38">
        <f>IF(LEFT($B306,4)="_Mil","",_xlfn.IFNA(ROUND(INDEX(Spectrum!$N:$N,MATCH(RIGHT($B306,13)&amp;"|"&amp;$C306&amp;"|"&amp;$D306&amp;"|"&amp;S$14&amp;"|"&amp;"CY2023Q4",Spectrum!$R:$R,0)),0),""))</f>
        <v>2445</v>
      </c>
      <c r="T306" s="218">
        <f>IF(LEFT($B306,4)="_Mil","",_xlfn.IFNA(ROUND(INDEX(Spectrum!$N:$N,MATCH(RIGHT($B306,13)&amp;"|"&amp;$C306&amp;"|"&amp;$D306&amp;"|"&amp;T$14&amp;"|"&amp;"CY2024Q3",Spectrum!$R:$R,0)),0),""))</f>
        <v>30849</v>
      </c>
      <c r="U306" s="218">
        <f>IF(LEFT($B306,4)="_Mil","",_xlfn.IFNA(ROUND(INDEX(Spectrum!$N:$N,MATCH(RIGHT($B306,13)&amp;"|"&amp;$C306&amp;"|"&amp;$D306&amp;"|"&amp;U$14&amp;"|"&amp;"CY2024Q3",Spectrum!$R:$R,0)),0),""))</f>
        <v>2358</v>
      </c>
      <c r="V306" s="38">
        <f>IF(LEFT($B306,4)="_Mil","",_xlfn.IFNA(ROUND(INDEX(Spectrum!$N:$N,MATCH(RIGHT($B306,13)&amp;"|"&amp;$C306&amp;"|"&amp;$D306&amp;"|"&amp;V$14&amp;"|"&amp;"CY2024Q3",Spectrum!$R:$R,0)),0),""))</f>
        <v>2608</v>
      </c>
      <c r="W306" s="220">
        <f>IF(LEFT($B306,4)="_Mil","",_xlfn.IFNA(INDEX(Spectrum!$N:$N,MATCH(RIGHT($B306,13)&amp;"|"&amp;$C306&amp;"|"&amp;$D306&amp;"|"&amp;W$14&amp;"|"&amp;"CY2024Q3",Spectrum!$R:$R,0)),""))</f>
        <v>7.6437272000000001E-2</v>
      </c>
      <c r="X306" s="218">
        <f>IF(LEFT($B306,4)="_Mil","",_xlfn.IFNA(ROUND(INDEX(Spectrum!$N:$N,MATCH(RIGHT($B306,13)&amp;"|"&amp;$C306&amp;"|"&amp;$D306&amp;"|"&amp;X$14&amp;"|"&amp;"CY2024Q3",Spectrum!$R:$R,0)),0),""))</f>
        <v>2189</v>
      </c>
      <c r="Y306" s="33">
        <f t="shared" si="72"/>
        <v>0.93</v>
      </c>
      <c r="Z306" s="218">
        <f>IF(LEFT($B306,4)="_Mil","",_xlfn.IFNA(ROUND(INDEX(Spectrum!$N:$N,MATCH(RIGHT($B306,13)&amp;"|"&amp;$C306&amp;"|"&amp;$D306&amp;"|"&amp;Z$14&amp;"|"&amp;"CY2024Q3",Spectrum!$R:$R,0)),0),""))</f>
        <v>2415</v>
      </c>
      <c r="AA306" s="33">
        <f>IF(LEFT($B306,4)="_Mil","",IFERROR(1/(1/INDEX(Spectrum!$N:$N,MATCH(RIGHT($B306,13)&amp;"|"&amp;$C306&amp;"|"&amp;$D306&amp;"|"&amp;AA$14&amp;"|"&amp;"CY2024Q3",Spectrum!$R:$R,0))),IF(SUM($U306)=0,"",SUM($Z306)/$U306)))</f>
        <v>0.92371606699999997</v>
      </c>
      <c r="AB306" s="33">
        <f t="shared" si="73"/>
        <v>1.1032434901781636</v>
      </c>
      <c r="AC306" s="38">
        <f>IF(LEFT($B306,4)="_Mil","",_xlfn.IFNA(ROUND(INDEX(Spectrum!$N:$N,MATCH(RIGHT($B306,13)&amp;"|"&amp;$C306&amp;"|"&amp;$D306&amp;"|"&amp;AC$14&amp;"|"&amp;"CY2024Q3",Spectrum!$R:$R,0)),0),""))</f>
        <v>193</v>
      </c>
      <c r="AD306" s="38" t="str">
        <f>IF(LEFT($B306,4)="_Mil","",_xlfn.IFNA(ROUND(INDEX(Spectrum!$N:$N,MATCH(RIGHT($B306,13)&amp;"|"&amp;$C306&amp;"|"&amp;$D306&amp;"|"&amp;AD$14&amp;"|"&amp;"CY2024Q3",Spectrum!$R:$R,0)),0),""))</f>
        <v/>
      </c>
      <c r="AE306" s="33">
        <f t="shared" si="74"/>
        <v>0</v>
      </c>
      <c r="AF306" s="218" t="str">
        <f>IF(LEFT($B306,4)="_Mil","",_xlfn.IFNA(ROUND(INDEX(Spectrum!$N:$N,MATCH(RIGHT($B306,13)&amp;"|"&amp;$C306&amp;"|"&amp;$D306&amp;"|"&amp;AF$14&amp;"|"&amp;"CY2024Q3",Spectrum!$R:$R,0)),0),""))</f>
        <v/>
      </c>
      <c r="AG306" s="33" t="str">
        <f t="shared" si="75"/>
        <v/>
      </c>
      <c r="AH306" s="110" t="str">
        <f>IF(LEFT($B306,4)="_Mil","",_xlfn.IFNA(INDEX(Spectrum!$N:$N,MATCH(RIGHT($B306,13)&amp;"|"&amp;$C306&amp;"|"&amp;$D306&amp;"|"&amp;AH$14&amp;"|"&amp;"CY2024Q3",Spectrum!$R:$R,0)),""))</f>
        <v/>
      </c>
      <c r="AI306" s="218">
        <f>IF(LEFT($B306,4)="_Mil","",_xlfn.IFNA(ROUND(INDEX(Spectrum!$N:$N,MATCH(RIGHT($B306,13)&amp;"|"&amp;$C306&amp;"|"&amp;$D306&amp;"|"&amp;AI$14&amp;"|"&amp;"CY2025Q3",Spectrum!$R:$R,0)),0),""))</f>
        <v>23</v>
      </c>
      <c r="AJ306" s="38">
        <f>IF(LEFT($B306,4)="_Mil","",_xlfn.IFNA(ROUND(INDEX(Spectrum!$N:$N,MATCH(RIGHT($B306,13)&amp;"|"&amp;$C306&amp;"|"&amp;$D306&amp;"|"&amp;AJ$14&amp;"|"&amp;"CY2025Q3",Spectrum!$R:$R,0)),0),""))</f>
        <v>2243</v>
      </c>
      <c r="AK306" s="218" t="e">
        <f>#REF!</f>
        <v>#REF!</v>
      </c>
      <c r="AL306" s="33">
        <f t="shared" si="76"/>
        <v>0.92371606699999997</v>
      </c>
      <c r="AM306" s="38" t="e">
        <f>IF(OR(LEFT($B306,4)="_Mil",$C306="&lt;01"),"",ROUND(SUM($AK306)*SUM($AL306),0))</f>
        <v>#REF!</v>
      </c>
      <c r="AN306" s="38" t="str">
        <f>IF($C306="&lt;01",ROUND(INDEX(EID!$P:$P,MATCH($B306,EID!$B:$B,0))/2,0),"")</f>
        <v/>
      </c>
      <c r="AO306" s="38" t="e">
        <f>IF($C306="&lt;01",SUM($AN306),ROUND(SUM($AM306)*SUM($O306)/IF(SUM($Z306)=0,1,$Z306),0))</f>
        <v>#REF!</v>
      </c>
      <c r="AP306" s="218">
        <f>IF(OR($F306="",$C306="&lt;01"),$AO306,ROUND($F306,0))</f>
        <v>2111</v>
      </c>
      <c r="AQ306" s="218">
        <f>IF(LEFT($B306,4)="_Mil","",IF(SUM($AP306)=0,SUM($Z306),IF(OR(SUM($Z306)=0,SUM($O306)=0),MAX($AP306,$Z306),ROUND($AP306*$Z306/$O306,0))))</f>
        <v>2415</v>
      </c>
      <c r="AR306" s="33" t="e">
        <f>IF(OR(LEFT($B306,4)="_Mil",SUM($AK306)=0),"",SUM($AQ306)/$AK306)</f>
        <v>#REF!</v>
      </c>
      <c r="AS306" s="33">
        <f t="shared" si="81"/>
        <v>0.98</v>
      </c>
      <c r="AT306" s="33">
        <f t="shared" si="83"/>
        <v>0.98</v>
      </c>
      <c r="AU306" s="38">
        <f>IF($C306="&lt;01","",SUM($AP306)-SUM($O306))</f>
        <v>0</v>
      </c>
      <c r="AV306" s="38">
        <f>IF($C306="&lt;01",ROUND(INDEX(EID!$N:$N,MATCH($B306,EID!$B:$B,0))/2,0),IF(SUM($AT306)=0,"",ROUND((SUM($AP306)-(SUM($O306)*SUM($AS306)))/$AT306,0)))</f>
        <v>43</v>
      </c>
      <c r="AW306" s="33">
        <f t="shared" si="77"/>
        <v>1</v>
      </c>
      <c r="AX306" s="218">
        <f>IF($C306="&lt;01",SUM($AV306),ROUND(SUM($AV306)*SUM($AW306),0))</f>
        <v>43</v>
      </c>
      <c r="AY306" s="79">
        <f t="shared" si="78"/>
        <v>0.7</v>
      </c>
      <c r="AZ306" s="85">
        <f>IF($C306="&lt;01",ROUND(INDEX(EID!$R:$R,MATCH($B306,EID!$B:$B,0))/2,0),ROUND(SUM($O306)+(SUM($AV306)*$AY306),0))</f>
        <v>2141</v>
      </c>
      <c r="BA306" s="40">
        <f t="shared" si="82"/>
        <v>0.9</v>
      </c>
      <c r="BB306" s="99">
        <f>IF($C306="&lt;01",ROUND(INDEX(EID!$T:$T,MATCH($B306,EID!$B:$B,0))/2,0),ROUND($AP306*$BA306,0))</f>
        <v>1900</v>
      </c>
      <c r="BC306" s="85">
        <f>IF(LEFT($B306,4)="_Mil","",IF(SUM($BB306)=0,SUM($AD306),IF(OR(SUM($AP306)=0,SUM($AQ306)=0),MAX($BB306,$AD306),ROUND($BB306*$AQ306/$AP306,0))))</f>
        <v>2174</v>
      </c>
      <c r="BD306" s="33">
        <f t="shared" si="79"/>
        <v>0.95</v>
      </c>
      <c r="BE306" s="218">
        <f>IF($C306="&lt;01",ROUND(INDEX(EID!$V:$V,MATCH($B306,EID!$B:$B,0))/2,0),ROUND($BD306*$BB306,0))</f>
        <v>1805</v>
      </c>
      <c r="BF306" s="218">
        <f>IF(LEFT($B306,4)="_Mil","",IF(SUM($BE306)=0,SUM($AF306),IF(OR(SUM($AP306)=0,SUM($AQ306)=0),MAX($BE306,$AF306),ROUND($BE306*$AQ306/$AP306,0))))</f>
        <v>2065</v>
      </c>
      <c r="BG306" s="79">
        <f t="shared" si="80"/>
        <v>0.95</v>
      </c>
      <c r="BH306" s="99">
        <f>IF($C306="&lt;01",ROUND(INDEX(EID!$L:$L,MATCH($B306,EID!$B:$B,0)),0)/2,IF(SUM($BG306)=0,"",ROUND($AX306/$BG306,0)))</f>
        <v>45</v>
      </c>
    </row>
    <row r="307" spans="1:60" x14ac:dyDescent="0.2">
      <c r="A307" t="str">
        <f>INDEX(Prioritization!$D:$D,MATCH($B307,Prioritization!$A:$A,0))</f>
        <v>4 - Sustained</v>
      </c>
      <c r="B307" t="s">
        <v>303</v>
      </c>
      <c r="C307" t="s">
        <v>478</v>
      </c>
      <c r="D307" t="s">
        <v>30</v>
      </c>
      <c r="E307" t="str">
        <f t="shared" si="70"/>
        <v>Nkhotakota District [YCKiBAp8QAg]|50+|Female</v>
      </c>
      <c r="F307" s="229">
        <v>2198</v>
      </c>
      <c r="G307" s="38">
        <v>60</v>
      </c>
      <c r="H307" s="38">
        <v>53</v>
      </c>
      <c r="I307" s="38">
        <v>2100</v>
      </c>
      <c r="J307" s="38">
        <v>1161</v>
      </c>
      <c r="K307" s="38">
        <v>1114</v>
      </c>
      <c r="L307" s="38">
        <v>72</v>
      </c>
      <c r="M307" s="38">
        <v>71</v>
      </c>
      <c r="N307" s="38">
        <v>1889</v>
      </c>
      <c r="O307" s="229">
        <v>2038</v>
      </c>
      <c r="P307" s="38">
        <v>1670</v>
      </c>
      <c r="Q307" s="38">
        <v>1587</v>
      </c>
      <c r="R307" s="38">
        <f t="shared" si="71"/>
        <v>-62</v>
      </c>
      <c r="S307" s="38">
        <f>IF(LEFT($B307,4)="_Mil","",_xlfn.IFNA(ROUND(INDEX(Spectrum!$N:$N,MATCH(RIGHT($B307,13)&amp;"|"&amp;$C307&amp;"|"&amp;$D307&amp;"|"&amp;S$14&amp;"|"&amp;"CY2023Q4",Spectrum!$R:$R,0)),0),""))</f>
        <v>1889</v>
      </c>
      <c r="T307" s="218">
        <f>IF(LEFT($B307,4)="_Mil","",_xlfn.IFNA(ROUND(INDEX(Spectrum!$N:$N,MATCH(RIGHT($B307,13)&amp;"|"&amp;$C307&amp;"|"&amp;$D307&amp;"|"&amp;T$14&amp;"|"&amp;"CY2024Q3",Spectrum!$R:$R,0)),0),""))</f>
        <v>18414</v>
      </c>
      <c r="U307" s="218">
        <f>IF(LEFT($B307,4)="_Mil","",_xlfn.IFNA(ROUND(INDEX(Spectrum!$N:$N,MATCH(RIGHT($B307,13)&amp;"|"&amp;$C307&amp;"|"&amp;$D307&amp;"|"&amp;U$14&amp;"|"&amp;"CY2024Q3",Spectrum!$R:$R,0)),0),""))</f>
        <v>1797</v>
      </c>
      <c r="V307" s="38">
        <f>IF(LEFT($B307,4)="_Mil","",_xlfn.IFNA(ROUND(INDEX(Spectrum!$N:$N,MATCH(RIGHT($B307,13)&amp;"|"&amp;$C307&amp;"|"&amp;$D307&amp;"|"&amp;V$14&amp;"|"&amp;"CY2024Q3",Spectrum!$R:$R,0)),0),""))</f>
        <v>2038</v>
      </c>
      <c r="W307" s="220">
        <f>IF(LEFT($B307,4)="_Mil","",_xlfn.IFNA(INDEX(Spectrum!$N:$N,MATCH(RIGHT($B307,13)&amp;"|"&amp;$C307&amp;"|"&amp;$D307&amp;"|"&amp;W$14&amp;"|"&amp;"CY2024Q3",Spectrum!$R:$R,0)),""))</f>
        <v>9.7609396000000001E-2</v>
      </c>
      <c r="X307" s="218">
        <f>IF(LEFT($B307,4)="_Mil","",_xlfn.IFNA(ROUND(INDEX(Spectrum!$N:$N,MATCH(RIGHT($B307,13)&amp;"|"&amp;$C307&amp;"|"&amp;$D307&amp;"|"&amp;X$14&amp;"|"&amp;"CY2024Q3",Spectrum!$R:$R,0)),0),""))</f>
        <v>1780</v>
      </c>
      <c r="Y307" s="33">
        <f t="shared" si="72"/>
        <v>0.99</v>
      </c>
      <c r="Z307" s="218">
        <f>IF(LEFT($B307,4)="_Mil","",_xlfn.IFNA(ROUND(INDEX(Spectrum!$N:$N,MATCH(RIGHT($B307,13)&amp;"|"&amp;$C307&amp;"|"&amp;$D307&amp;"|"&amp;Z$14&amp;"|"&amp;"CY2024Q3",Spectrum!$R:$R,0)),0),""))</f>
        <v>2013</v>
      </c>
      <c r="AA307" s="33">
        <f>IF(LEFT($B307,4)="_Mil","",IFERROR(1/(1/INDEX(Spectrum!$N:$N,MATCH(RIGHT($B307,13)&amp;"|"&amp;$C307&amp;"|"&amp;$D307&amp;"|"&amp;AA$14&amp;"|"&amp;"CY2024Q3",Spectrum!$R:$R,0))),IF(SUM($U307)=0,"",SUM($Z307)/$U307)))</f>
        <v>0.98803872700000006</v>
      </c>
      <c r="AB307" s="33">
        <f t="shared" si="73"/>
        <v>1.1308988764044945</v>
      </c>
      <c r="AC307" s="38">
        <f>IF(LEFT($B307,4)="_Mil","",_xlfn.IFNA(ROUND(INDEX(Spectrum!$N:$N,MATCH(RIGHT($B307,13)&amp;"|"&amp;$C307&amp;"|"&amp;$D307&amp;"|"&amp;AC$14&amp;"|"&amp;"CY2024Q3",Spectrum!$R:$R,0)),0),""))</f>
        <v>25</v>
      </c>
      <c r="AD307" s="38" t="str">
        <f>IF(LEFT($B307,4)="_Mil","",_xlfn.IFNA(ROUND(INDEX(Spectrum!$N:$N,MATCH(RIGHT($B307,13)&amp;"|"&amp;$C307&amp;"|"&amp;$D307&amp;"|"&amp;AD$14&amp;"|"&amp;"CY2024Q3",Spectrum!$R:$R,0)),0),""))</f>
        <v/>
      </c>
      <c r="AE307" s="33">
        <f t="shared" si="74"/>
        <v>0</v>
      </c>
      <c r="AF307" s="218" t="str">
        <f>IF(LEFT($B307,4)="_Mil","",_xlfn.IFNA(ROUND(INDEX(Spectrum!$N:$N,MATCH(RIGHT($B307,13)&amp;"|"&amp;$C307&amp;"|"&amp;$D307&amp;"|"&amp;AF$14&amp;"|"&amp;"CY2024Q3",Spectrum!$R:$R,0)),0),""))</f>
        <v/>
      </c>
      <c r="AG307" s="33" t="str">
        <f t="shared" si="75"/>
        <v/>
      </c>
      <c r="AH307" s="110" t="str">
        <f>IF(LEFT($B307,4)="_Mil","",_xlfn.IFNA(INDEX(Spectrum!$N:$N,MATCH(RIGHT($B307,13)&amp;"|"&amp;$C307&amp;"|"&amp;$D307&amp;"|"&amp;AH$14&amp;"|"&amp;"CY2024Q3",Spectrum!$R:$R,0)),""))</f>
        <v/>
      </c>
      <c r="AI307" s="218">
        <f>IF(LEFT($B307,4)="_Mil","",_xlfn.IFNA(ROUND(INDEX(Spectrum!$N:$N,MATCH(RIGHT($B307,13)&amp;"|"&amp;$C307&amp;"|"&amp;$D307&amp;"|"&amp;AI$14&amp;"|"&amp;"CY2025Q3",Spectrum!$R:$R,0)),0),""))</f>
        <v>3</v>
      </c>
      <c r="AJ307" s="38">
        <f>IF(LEFT($B307,4)="_Mil","",_xlfn.IFNA(ROUND(INDEX(Spectrum!$N:$N,MATCH(RIGHT($B307,13)&amp;"|"&amp;$C307&amp;"|"&amp;$D307&amp;"|"&amp;AJ$14&amp;"|"&amp;"CY2025Q3",Spectrum!$R:$R,0)),0),""))</f>
        <v>1959</v>
      </c>
      <c r="AK307" s="218" t="e">
        <f>#REF!</f>
        <v>#REF!</v>
      </c>
      <c r="AL307" s="33">
        <f t="shared" si="76"/>
        <v>0.98803872700000006</v>
      </c>
      <c r="AM307" s="38" t="e">
        <f>IF(OR(LEFT($B307,4)="_Mil",$C307="&lt;01"),"",ROUND(SUM($AK307)*SUM($AL307),0))</f>
        <v>#REF!</v>
      </c>
      <c r="AN307" s="38" t="str">
        <f>IF($C307="&lt;01",ROUND(INDEX(EID!$P:$P,MATCH($B307,EID!$B:$B,0))/2,0),"")</f>
        <v/>
      </c>
      <c r="AO307" s="38" t="e">
        <f>IF($C307="&lt;01",SUM($AN307),ROUND(SUM($AM307)*SUM($O307)/IF(SUM($Z307)=0,1,$Z307),0))</f>
        <v>#REF!</v>
      </c>
      <c r="AP307" s="218">
        <f>IF(OR($F307="",$C307="&lt;01"),$AO307,ROUND($F307,0))</f>
        <v>2198</v>
      </c>
      <c r="AQ307" s="218">
        <f>IF(LEFT($B307,4)="_Mil","",IF(SUM($AP307)=0,SUM($Z307),IF(OR(SUM($Z307)=0,SUM($O307)=0),MAX($AP307,$Z307),ROUND($AP307*$Z307/$O307,0))))</f>
        <v>2171</v>
      </c>
      <c r="AR307" s="33" t="e">
        <f>IF(OR(LEFT($B307,4)="_Mil",SUM($AK307)=0),"",SUM($AQ307)/$AK307)</f>
        <v>#REF!</v>
      </c>
      <c r="AS307" s="33">
        <v>1.02</v>
      </c>
      <c r="AT307" s="33">
        <f>IF($C307="&lt;01","",100%)</f>
        <v>1</v>
      </c>
      <c r="AU307" s="38">
        <f>IF($C307="&lt;01","",SUM($AP307)-SUM($O307))</f>
        <v>160</v>
      </c>
      <c r="AV307" s="38">
        <f>IF($C307="&lt;01",ROUND(INDEX(EID!$N:$N,MATCH($B307,EID!$B:$B,0))/2,0),IF(SUM($AT307)=0,"",ROUND((SUM($AP307)-(SUM($O307)*SUM($AS307)))/$AT307,0)))</f>
        <v>119</v>
      </c>
      <c r="AW307" s="33">
        <v>0.8</v>
      </c>
      <c r="AX307" s="218">
        <f>IF($C307="&lt;01",SUM($AV307),ROUND(SUM($AV307)*SUM($AW307),0))</f>
        <v>95</v>
      </c>
      <c r="AY307" s="79">
        <f t="shared" si="78"/>
        <v>0.7</v>
      </c>
      <c r="AZ307" s="85">
        <f>IF($C307="&lt;01",ROUND(INDEX(EID!$R:$R,MATCH($B307,EID!$B:$B,0))/2,0),ROUND(SUM($O307)+(SUM($AV307)*$AY307),0))</f>
        <v>2121</v>
      </c>
      <c r="BA307" s="40">
        <f t="shared" si="82"/>
        <v>0.9</v>
      </c>
      <c r="BB307" s="99">
        <f>IF($C307="&lt;01",ROUND(INDEX(EID!$T:$T,MATCH($B307,EID!$B:$B,0))/2,0),ROUND($AP307*$BA307,0))</f>
        <v>1978</v>
      </c>
      <c r="BC307" s="85">
        <f>IF(LEFT($B307,4)="_Mil","",IF(SUM($BB307)=0,SUM($AD307),IF(OR(SUM($AP307)=0,SUM($AQ307)=0),MAX($BB307,$AD307),ROUND($BB307*$AQ307/$AP307,0))))</f>
        <v>1954</v>
      </c>
      <c r="BD307" s="33">
        <f t="shared" si="79"/>
        <v>0.95</v>
      </c>
      <c r="BE307" s="218">
        <f>IF($C307="&lt;01",ROUND(INDEX(EID!$V:$V,MATCH($B307,EID!$B:$B,0))/2,0),ROUND($BD307*$BB307,0))</f>
        <v>1879</v>
      </c>
      <c r="BF307" s="218">
        <f>IF(LEFT($B307,4)="_Mil","",IF(SUM($BE307)=0,SUM($AF307),IF(OR(SUM($AP307)=0,SUM($AQ307)=0),MAX($BE307,$AF307),ROUND($BE307*$AQ307/$AP307,0))))</f>
        <v>1856</v>
      </c>
      <c r="BG307" s="79">
        <f t="shared" si="80"/>
        <v>0.95</v>
      </c>
      <c r="BH307" s="99">
        <f>IF($C307="&lt;01",ROUND(INDEX(EID!$L:$L,MATCH($B307,EID!$B:$B,0)),0)/2,IF(SUM($BG307)=0,"",ROUND($AX307/$BG307,0)))</f>
        <v>100</v>
      </c>
    </row>
    <row r="308" spans="1:60" x14ac:dyDescent="0.2">
      <c r="A308" t="str">
        <f>INDEX(Prioritization!$D:$D,MATCH($B308,Prioritization!$A:$A,0))</f>
        <v>4 - Sustained</v>
      </c>
      <c r="B308" t="s">
        <v>303</v>
      </c>
      <c r="C308" t="s">
        <v>478</v>
      </c>
      <c r="D308" t="s">
        <v>48</v>
      </c>
      <c r="E308" t="str">
        <f t="shared" si="70"/>
        <v>Nkhotakota District [YCKiBAp8QAg]|50+|Male</v>
      </c>
      <c r="F308" s="229">
        <v>2137</v>
      </c>
      <c r="G308" s="38">
        <v>68</v>
      </c>
      <c r="H308" s="38">
        <v>85</v>
      </c>
      <c r="I308" s="38">
        <v>2102</v>
      </c>
      <c r="J308" s="38">
        <v>1083</v>
      </c>
      <c r="K308" s="38">
        <v>1045</v>
      </c>
      <c r="L308" s="38">
        <v>29</v>
      </c>
      <c r="M308" s="38">
        <v>28</v>
      </c>
      <c r="N308" s="38">
        <v>1898</v>
      </c>
      <c r="O308" s="229">
        <v>2021</v>
      </c>
      <c r="P308" s="38">
        <v>1709</v>
      </c>
      <c r="Q308" s="38">
        <v>1624</v>
      </c>
      <c r="R308" s="38">
        <f t="shared" si="71"/>
        <v>-81</v>
      </c>
      <c r="S308" s="38">
        <f>IF(LEFT($B308,4)="_Mil","",_xlfn.IFNA(ROUND(INDEX(Spectrum!$N:$N,MATCH(RIGHT($B308,13)&amp;"|"&amp;$C308&amp;"|"&amp;$D308&amp;"|"&amp;S$14&amp;"|"&amp;"CY2023Q4",Spectrum!$R:$R,0)),0),""))</f>
        <v>1810</v>
      </c>
      <c r="T308" s="218">
        <f>IF(LEFT($B308,4)="_Mil","",_xlfn.IFNA(ROUND(INDEX(Spectrum!$N:$N,MATCH(RIGHT($B308,13)&amp;"|"&amp;$C308&amp;"|"&amp;$D308&amp;"|"&amp;T$14&amp;"|"&amp;"CY2024Q3",Spectrum!$R:$R,0)),0),""))</f>
        <v>16737</v>
      </c>
      <c r="U308" s="218">
        <f>IF(LEFT($B308,4)="_Mil","",_xlfn.IFNA(ROUND(INDEX(Spectrum!$N:$N,MATCH(RIGHT($B308,13)&amp;"|"&amp;$C308&amp;"|"&amp;$D308&amp;"|"&amp;U$14&amp;"|"&amp;"CY2024Q3",Spectrum!$R:$R,0)),0),""))</f>
        <v>1816</v>
      </c>
      <c r="V308" s="38">
        <f>IF(LEFT($B308,4)="_Mil","",_xlfn.IFNA(ROUND(INDEX(Spectrum!$N:$N,MATCH(RIGHT($B308,13)&amp;"|"&amp;$C308&amp;"|"&amp;$D308&amp;"|"&amp;V$14&amp;"|"&amp;"CY2024Q3",Spectrum!$R:$R,0)),0),""))</f>
        <v>2021</v>
      </c>
      <c r="W308" s="220">
        <f>IF(LEFT($B308,4)="_Mil","",_xlfn.IFNA(INDEX(Spectrum!$N:$N,MATCH(RIGHT($B308,13)&amp;"|"&amp;$C308&amp;"|"&amp;$D308&amp;"|"&amp;W$14&amp;"|"&amp;"CY2024Q3",Spectrum!$R:$R,0)),""))</f>
        <v>0.108521255</v>
      </c>
      <c r="X308" s="218">
        <f>IF(LEFT($B308,4)="_Mil","",_xlfn.IFNA(ROUND(INDEX(Spectrum!$N:$N,MATCH(RIGHT($B308,13)&amp;"|"&amp;$C308&amp;"|"&amp;$D308&amp;"|"&amp;X$14&amp;"|"&amp;"CY2024Q3",Spectrum!$R:$R,0)),0),""))</f>
        <v>1727</v>
      </c>
      <c r="Y308" s="33">
        <f t="shared" si="72"/>
        <v>0.95</v>
      </c>
      <c r="Z308" s="218">
        <f>IF(LEFT($B308,4)="_Mil","",_xlfn.IFNA(ROUND(INDEX(Spectrum!$N:$N,MATCH(RIGHT($B308,13)&amp;"|"&amp;$C308&amp;"|"&amp;$D308&amp;"|"&amp;Z$14&amp;"|"&amp;"CY2024Q3",Spectrum!$R:$R,0)),0),""))</f>
        <v>1918</v>
      </c>
      <c r="AA308" s="33">
        <f>IF(LEFT($B308,4)="_Mil","",IFERROR(1/(1/INDEX(Spectrum!$N:$N,MATCH(RIGHT($B308,13)&amp;"|"&amp;$C308&amp;"|"&amp;$D308&amp;"|"&amp;AA$14&amp;"|"&amp;"CY2024Q3",Spectrum!$R:$R,0))),IF(SUM($U308)=0,"",SUM($Z308)/$U308)))</f>
        <v>0.9475505540000001</v>
      </c>
      <c r="AB308" s="33">
        <f t="shared" si="73"/>
        <v>1.1105964099594672</v>
      </c>
      <c r="AC308" s="38">
        <f>IF(LEFT($B308,4)="_Mil","",_xlfn.IFNA(ROUND(INDEX(Spectrum!$N:$N,MATCH(RIGHT($B308,13)&amp;"|"&amp;$C308&amp;"|"&amp;$D308&amp;"|"&amp;AC$14&amp;"|"&amp;"CY2024Q3",Spectrum!$R:$R,0)),0),""))</f>
        <v>103</v>
      </c>
      <c r="AD308" s="38" t="str">
        <f>IF(LEFT($B308,4)="_Mil","",_xlfn.IFNA(ROUND(INDEX(Spectrum!$N:$N,MATCH(RIGHT($B308,13)&amp;"|"&amp;$C308&amp;"|"&amp;$D308&amp;"|"&amp;AD$14&amp;"|"&amp;"CY2024Q3",Spectrum!$R:$R,0)),0),""))</f>
        <v/>
      </c>
      <c r="AE308" s="33">
        <f t="shared" si="74"/>
        <v>0</v>
      </c>
      <c r="AF308" s="218" t="str">
        <f>IF(LEFT($B308,4)="_Mil","",_xlfn.IFNA(ROUND(INDEX(Spectrum!$N:$N,MATCH(RIGHT($B308,13)&amp;"|"&amp;$C308&amp;"|"&amp;$D308&amp;"|"&amp;AF$14&amp;"|"&amp;"CY2024Q3",Spectrum!$R:$R,0)),0),""))</f>
        <v/>
      </c>
      <c r="AG308" s="33" t="str">
        <f t="shared" si="75"/>
        <v/>
      </c>
      <c r="AH308" s="110" t="str">
        <f>IF(LEFT($B308,4)="_Mil","",_xlfn.IFNA(INDEX(Spectrum!$N:$N,MATCH(RIGHT($B308,13)&amp;"|"&amp;$C308&amp;"|"&amp;$D308&amp;"|"&amp;AH$14&amp;"|"&amp;"CY2024Q3",Spectrum!$R:$R,0)),""))</f>
        <v/>
      </c>
      <c r="AI308" s="218">
        <f>IF(LEFT($B308,4)="_Mil","",_xlfn.IFNA(ROUND(INDEX(Spectrum!$N:$N,MATCH(RIGHT($B308,13)&amp;"|"&amp;$C308&amp;"|"&amp;$D308&amp;"|"&amp;AI$14&amp;"|"&amp;"CY2025Q3",Spectrum!$R:$R,0)),0),""))</f>
        <v>7</v>
      </c>
      <c r="AJ308" s="38">
        <f>IF(LEFT($B308,4)="_Mil","",_xlfn.IFNA(ROUND(INDEX(Spectrum!$N:$N,MATCH(RIGHT($B308,13)&amp;"|"&amp;$C308&amp;"|"&amp;$D308&amp;"|"&amp;AJ$14&amp;"|"&amp;"CY2025Q3",Spectrum!$R:$R,0)),0),""))</f>
        <v>1922</v>
      </c>
      <c r="AK308" s="218" t="e">
        <f>#REF!</f>
        <v>#REF!</v>
      </c>
      <c r="AL308" s="33">
        <f t="shared" si="76"/>
        <v>0.9475505540000001</v>
      </c>
      <c r="AM308" s="38" t="e">
        <f>IF(OR(LEFT($B308,4)="_Mil",$C308="&lt;01"),"",ROUND(SUM($AK308)*SUM($AL308),0))</f>
        <v>#REF!</v>
      </c>
      <c r="AN308" s="38" t="str">
        <f>IF($C308="&lt;01",ROUND(INDEX(EID!$P:$P,MATCH($B308,EID!$B:$B,0))/2,0),"")</f>
        <v/>
      </c>
      <c r="AO308" s="38" t="e">
        <f>IF($C308="&lt;01",SUM($AN308),ROUND(SUM($AM308)*SUM($O308)/IF(SUM($Z308)=0,1,$Z308),0))</f>
        <v>#REF!</v>
      </c>
      <c r="AP308" s="218">
        <f>IF(OR($F308="",$C308="&lt;01"),$AO308,ROUND($F308,0))</f>
        <v>2137</v>
      </c>
      <c r="AQ308" s="218">
        <f>IF(LEFT($B308,4)="_Mil","",IF(SUM($AP308)=0,SUM($Z308),IF(OR(SUM($Z308)=0,SUM($O308)=0),MAX($AP308,$Z308),ROUND($AP308*$Z308/$O308,0))))</f>
        <v>2028</v>
      </c>
      <c r="AR308" s="33" t="e">
        <f>IF(OR(LEFT($B308,4)="_Mil",SUM($AK308)=0),"",SUM($AQ308)/$AK308)</f>
        <v>#REF!</v>
      </c>
      <c r="AS308" s="33">
        <v>1.02</v>
      </c>
      <c r="AT308" s="33">
        <f>IF($C308="&lt;01","",100%)</f>
        <v>1</v>
      </c>
      <c r="AU308" s="38">
        <f>IF($C308="&lt;01","",SUM($AP308)-SUM($O308))</f>
        <v>116</v>
      </c>
      <c r="AV308" s="38">
        <f>IF($C308="&lt;01",ROUND(INDEX(EID!$N:$N,MATCH($B308,EID!$B:$B,0))/2,0),IF(SUM($AT308)=0,"",ROUND((SUM($AP308)-(SUM($O308)*SUM($AS308)))/$AT308,0)))</f>
        <v>76</v>
      </c>
      <c r="AW308" s="33">
        <v>0.8</v>
      </c>
      <c r="AX308" s="218">
        <f>IF($C308="&lt;01",SUM($AV308),ROUND(SUM($AV308)*SUM($AW308),0))</f>
        <v>61</v>
      </c>
      <c r="AY308" s="79">
        <f t="shared" si="78"/>
        <v>0.7</v>
      </c>
      <c r="AZ308" s="85">
        <f>IF($C308="&lt;01",ROUND(INDEX(EID!$R:$R,MATCH($B308,EID!$B:$B,0))/2,0),ROUND(SUM($O308)+(SUM($AV308)*$AY308),0))</f>
        <v>2074</v>
      </c>
      <c r="BA308" s="40">
        <f t="shared" si="82"/>
        <v>0.9</v>
      </c>
      <c r="BB308" s="99">
        <f>IF($C308="&lt;01",ROUND(INDEX(EID!$T:$T,MATCH($B308,EID!$B:$B,0))/2,0),ROUND($AP308*$BA308,0))</f>
        <v>1923</v>
      </c>
      <c r="BC308" s="85">
        <f>IF(LEFT($B308,4)="_Mil","",IF(SUM($BB308)=0,SUM($AD308),IF(OR(SUM($AP308)=0,SUM($AQ308)=0),MAX($BB308,$AD308),ROUND($BB308*$AQ308/$AP308,0))))</f>
        <v>1825</v>
      </c>
      <c r="BD308" s="33">
        <f t="shared" si="79"/>
        <v>0.95</v>
      </c>
      <c r="BE308" s="218">
        <f>IF($C308="&lt;01",ROUND(INDEX(EID!$V:$V,MATCH($B308,EID!$B:$B,0))/2,0),ROUND($BD308*$BB308,0))</f>
        <v>1827</v>
      </c>
      <c r="BF308" s="218">
        <f>IF(LEFT($B308,4)="_Mil","",IF(SUM($BE308)=0,SUM($AF308),IF(OR(SUM($AP308)=0,SUM($AQ308)=0),MAX($BE308,$AF308),ROUND($BE308*$AQ308/$AP308,0))))</f>
        <v>1734</v>
      </c>
      <c r="BG308" s="79">
        <f t="shared" si="80"/>
        <v>0.95</v>
      </c>
      <c r="BH308" s="99">
        <f>IF($C308="&lt;01",ROUND(INDEX(EID!$L:$L,MATCH($B308,EID!$B:$B,0)),0)/2,IF(SUM($BG308)=0,"",ROUND($AX308/$BG308,0)))</f>
        <v>64</v>
      </c>
    </row>
    <row r="309" spans="1:60" x14ac:dyDescent="0.2">
      <c r="A309" t="str">
        <f>INDEX(Prioritization!$D:$D,MATCH($B309,Prioritization!$A:$A,0))</f>
        <v>INVALID</v>
      </c>
      <c r="B309" t="s">
        <v>322</v>
      </c>
      <c r="C309" t="s">
        <v>426</v>
      </c>
      <c r="D309" t="s">
        <v>30</v>
      </c>
      <c r="E309" t="str">
        <f t="shared" si="70"/>
        <v>Nsanje District [rpw540fmNUz]|&lt;01|Female</v>
      </c>
      <c r="F309" s="229">
        <v>11</v>
      </c>
      <c r="G309" s="38">
        <v>20</v>
      </c>
      <c r="H309" s="38">
        <v>11</v>
      </c>
      <c r="I309" s="38">
        <v>6</v>
      </c>
      <c r="J309" s="38">
        <v>47</v>
      </c>
      <c r="K309" s="38">
        <v>43</v>
      </c>
      <c r="L309" s="38"/>
      <c r="M309" s="38">
        <v>14</v>
      </c>
      <c r="N309" s="38">
        <v>13</v>
      </c>
      <c r="O309" s="229">
        <v>11</v>
      </c>
      <c r="P309" s="38">
        <v>9</v>
      </c>
      <c r="Q309" s="38">
        <v>9</v>
      </c>
      <c r="R309" s="38">
        <f t="shared" si="71"/>
        <v>5</v>
      </c>
      <c r="S309" s="38">
        <f>IF(LEFT($B309,4)="_Mil","",_xlfn.IFNA(ROUND(INDEX(Spectrum!$N:$N,MATCH(RIGHT($B309,13)&amp;"|"&amp;$C309&amp;"|"&amp;$D309&amp;"|"&amp;S$14&amp;"|"&amp;"CY2023Q4",Spectrum!$R:$R,0)),0),""))</f>
        <v>14</v>
      </c>
      <c r="T309" s="218">
        <f>IF(LEFT($B309,4)="_Mil","",_xlfn.IFNA(ROUND(INDEX(Spectrum!$N:$N,MATCH(RIGHT($B309,13)&amp;"|"&amp;$C309&amp;"|"&amp;$D309&amp;"|"&amp;T$14&amp;"|"&amp;"CY2024Q3",Spectrum!$R:$R,0)),0),""))</f>
        <v>6330</v>
      </c>
      <c r="U309" s="218">
        <f>IF(LEFT($B309,4)="_Mil","",_xlfn.IFNA(ROUND(INDEX(Spectrum!$N:$N,MATCH(RIGHT($B309,13)&amp;"|"&amp;$C309&amp;"|"&amp;$D309&amp;"|"&amp;U$14&amp;"|"&amp;"CY2024Q3",Spectrum!$R:$R,0)),0),""))</f>
        <v>13</v>
      </c>
      <c r="V309" s="38">
        <f>IF(LEFT($B309,4)="_Mil","",_xlfn.IFNA(ROUND(INDEX(Spectrum!$N:$N,MATCH(RIGHT($B309,13)&amp;"|"&amp;$C309&amp;"|"&amp;$D309&amp;"|"&amp;V$14&amp;"|"&amp;"CY2024Q3",Spectrum!$R:$R,0)),0),""))</f>
        <v>15</v>
      </c>
      <c r="W309" s="220">
        <f>IF(LEFT($B309,4)="_Mil","",_xlfn.IFNA(INDEX(Spectrum!$N:$N,MATCH(RIGHT($B309,13)&amp;"|"&amp;$C309&amp;"|"&amp;$D309&amp;"|"&amp;W$14&amp;"|"&amp;"CY2024Q3",Spectrum!$R:$R,0)),""))</f>
        <v>2.0020289999999998E-3</v>
      </c>
      <c r="X309" s="218">
        <f>IF(LEFT($B309,4)="_Mil","",_xlfn.IFNA(ROUND(INDEX(Spectrum!$N:$N,MATCH(RIGHT($B309,13)&amp;"|"&amp;$C309&amp;"|"&amp;$D309&amp;"|"&amp;X$14&amp;"|"&amp;"CY2024Q3",Spectrum!$R:$R,0)),0),""))</f>
        <v>10</v>
      </c>
      <c r="Y309" s="33">
        <f t="shared" si="72"/>
        <v>0.77</v>
      </c>
      <c r="Z309" s="218">
        <f>IF(LEFT($B309,4)="_Mil","",_xlfn.IFNA(ROUND(INDEX(Spectrum!$N:$N,MATCH(RIGHT($B309,13)&amp;"|"&amp;$C309&amp;"|"&amp;$D309&amp;"|"&amp;Z$14&amp;"|"&amp;"CY2024Q3",Spectrum!$R:$R,0)),0),""))</f>
        <v>12</v>
      </c>
      <c r="AA309" s="33">
        <f>IF(LEFT($B309,4)="_Mil","",IFERROR(1/(1/INDEX(Spectrum!$N:$N,MATCH(RIGHT($B309,13)&amp;"|"&amp;$C309&amp;"|"&amp;$D309&amp;"|"&amp;AA$14&amp;"|"&amp;"CY2024Q3",Spectrum!$R:$R,0))),IF(SUM($U309)=0,"",SUM($Z309)/$U309)))</f>
        <v>0.78115453800000012</v>
      </c>
      <c r="AB309" s="33">
        <f t="shared" si="73"/>
        <v>1.2</v>
      </c>
      <c r="AC309" s="38">
        <f>IF(LEFT($B309,4)="_Mil","",_xlfn.IFNA(ROUND(INDEX(Spectrum!$N:$N,MATCH(RIGHT($B309,13)&amp;"|"&amp;$C309&amp;"|"&amp;$D309&amp;"|"&amp;AC$14&amp;"|"&amp;"CY2024Q3",Spectrum!$R:$R,0)),0),""))</f>
        <v>3</v>
      </c>
      <c r="AD309" s="38" t="str">
        <f>IF(LEFT($B309,4)="_Mil","",_xlfn.IFNA(ROUND(INDEX(Spectrum!$N:$N,MATCH(RIGHT($B309,13)&amp;"|"&amp;$C309&amp;"|"&amp;$D309&amp;"|"&amp;AD$14&amp;"|"&amp;"CY2024Q3",Spectrum!$R:$R,0)),0),""))</f>
        <v/>
      </c>
      <c r="AE309" s="33">
        <f t="shared" si="74"/>
        <v>0</v>
      </c>
      <c r="AF309" s="218" t="str">
        <f>IF(LEFT($B309,4)="_Mil","",_xlfn.IFNA(ROUND(INDEX(Spectrum!$N:$N,MATCH(RIGHT($B309,13)&amp;"|"&amp;$C309&amp;"|"&amp;$D309&amp;"|"&amp;AF$14&amp;"|"&amp;"CY2024Q3",Spectrum!$R:$R,0)),0),""))</f>
        <v/>
      </c>
      <c r="AG309" s="33" t="str">
        <f t="shared" si="75"/>
        <v/>
      </c>
      <c r="AH309" s="110" t="str">
        <f>IF(LEFT($B309,4)="_Mil","",_xlfn.IFNA(INDEX(Spectrum!$N:$N,MATCH(RIGHT($B309,13)&amp;"|"&amp;$C309&amp;"|"&amp;$D309&amp;"|"&amp;AH$14&amp;"|"&amp;"CY2024Q3",Spectrum!$R:$R,0)),""))</f>
        <v/>
      </c>
      <c r="AI309" s="218">
        <f>IF(LEFT($B309,4)="_Mil","",_xlfn.IFNA(ROUND(INDEX(Spectrum!$N:$N,MATCH(RIGHT($B309,13)&amp;"|"&amp;$C309&amp;"|"&amp;$D309&amp;"|"&amp;AI$14&amp;"|"&amp;"CY2025Q3",Spectrum!$R:$R,0)),0),""))</f>
        <v>17</v>
      </c>
      <c r="AJ309" s="38">
        <f>IF(LEFT($B309,4)="_Mil","",_xlfn.IFNA(ROUND(INDEX(Spectrum!$N:$N,MATCH(RIGHT($B309,13)&amp;"|"&amp;$C309&amp;"|"&amp;$D309&amp;"|"&amp;AJ$14&amp;"|"&amp;"CY2025Q3",Spectrum!$R:$R,0)),0),""))</f>
        <v>11</v>
      </c>
      <c r="AK309" s="218" t="e">
        <f>#REF!</f>
        <v>#REF!</v>
      </c>
      <c r="AL309" s="33" t="str">
        <f t="shared" si="76"/>
        <v/>
      </c>
      <c r="AM309" s="38" t="str">
        <f>IF(OR(LEFT($B309,4)="_Mil",$C309="&lt;01"),"",ROUND(SUM($AK309)*SUM($AL309),0))</f>
        <v/>
      </c>
      <c r="AN309" s="38">
        <f>IF($C309="&lt;01",ROUND(INDEX(EID!$P:$P,MATCH($B309,EID!$B:$B,0))/2,0),"")</f>
        <v>0</v>
      </c>
      <c r="AO309" s="38">
        <f>IF($C309="&lt;01",SUM($AN309),ROUND(SUM($AM309)*SUM($O309)/IF(SUM($Z309)=0,1,$Z309),0))</f>
        <v>0</v>
      </c>
      <c r="AP309" s="218">
        <f>IF(OR($F309="",$C309="&lt;01"),$AO309,ROUND($F309,0))</f>
        <v>0</v>
      </c>
      <c r="AQ309" s="218">
        <f>IF(LEFT($B309,4)="_Mil","",IF(SUM($AP309)=0,SUM($Z309),IF(OR(SUM($Z309)=0,SUM($O309)=0),MAX($AP309,$Z309),ROUND($AP309*$Z309/$O309,0))))</f>
        <v>12</v>
      </c>
      <c r="AR309" s="33" t="e">
        <f>IF(OR(LEFT($B309,4)="_Mil",SUM($AK309)=0),"",SUM($AQ309)/$AK309)</f>
        <v>#REF!</v>
      </c>
      <c r="AS309" s="33" t="str">
        <f t="shared" si="81"/>
        <v/>
      </c>
      <c r="AT309" s="33" t="str">
        <f t="shared" si="83"/>
        <v/>
      </c>
      <c r="AU309" s="38" t="str">
        <f>IF($C309="&lt;01","",SUM($AP309)-SUM($O309))</f>
        <v/>
      </c>
      <c r="AV309" s="38">
        <f>IF($C309="&lt;01",ROUND(INDEX(EID!$N:$N,MATCH($B309,EID!$B:$B,0))/2,0),IF(SUM($AT309)=0,"",ROUND((SUM($AP309)-(SUM($O309)*SUM($AS309)))/$AT309,0)))</f>
        <v>0</v>
      </c>
      <c r="AW309" s="33" t="str">
        <f t="shared" si="77"/>
        <v/>
      </c>
      <c r="AX309" s="218">
        <f>IF($C309="&lt;01",SUM($AV309),ROUND(SUM($AV309)*SUM($AW309),0))</f>
        <v>0</v>
      </c>
      <c r="AY309" s="79" t="str">
        <f t="shared" si="78"/>
        <v/>
      </c>
      <c r="AZ309" s="85">
        <f>IF($C309="&lt;01",ROUND(INDEX(EID!$R:$R,MATCH($B309,EID!$B:$B,0))/2,0),ROUND(SUM($O309)+(SUM($AV309)*$AY309),0))</f>
        <v>0</v>
      </c>
      <c r="BA309" s="40" t="str">
        <f t="shared" si="82"/>
        <v/>
      </c>
      <c r="BB309" s="99">
        <f>IF($C309="&lt;01",ROUND(INDEX(EID!$T:$T,MATCH($B309,EID!$B:$B,0))/2,0),ROUND($AP309*$BA309,0))</f>
        <v>0</v>
      </c>
      <c r="BC309" s="85">
        <f>IF(LEFT($B309,4)="_Mil","",IF(SUM($BB309)=0,SUM($AD309),IF(OR(SUM($AP309)=0,SUM($AQ309)=0),MAX($BB309,$AD309),ROUND($BB309*$AQ309/$AP309,0))))</f>
        <v>0</v>
      </c>
      <c r="BD309" s="33" t="str">
        <f t="shared" si="79"/>
        <v/>
      </c>
      <c r="BE309" s="218">
        <f>IF($C309="&lt;01",ROUND(INDEX(EID!$V:$V,MATCH($B309,EID!$B:$B,0))/2,0),ROUND($BD309*$BB309,0))</f>
        <v>0</v>
      </c>
      <c r="BF309" s="218">
        <f>IF(LEFT($B309,4)="_Mil","",IF(SUM($BE309)=0,SUM($AF309),IF(OR(SUM($AP309)=0,SUM($AQ309)=0),MAX($BE309,$AF309),ROUND($BE309*$AQ309/$AP309,0))))</f>
        <v>0</v>
      </c>
      <c r="BG309" s="79" t="str">
        <f t="shared" si="80"/>
        <v/>
      </c>
      <c r="BH309" s="99">
        <f>IF($C309="&lt;01",ROUND(INDEX(EID!$L:$L,MATCH($B309,EID!$B:$B,0)),0)/2,IF(SUM($BG309)=0,"",ROUND($AX309/$BG309,0)))</f>
        <v>0</v>
      </c>
    </row>
    <row r="310" spans="1:60" x14ac:dyDescent="0.2">
      <c r="A310" t="str">
        <f>INDEX(Prioritization!$D:$D,MATCH($B310,Prioritization!$A:$A,0))</f>
        <v>INVALID</v>
      </c>
      <c r="B310" t="s">
        <v>322</v>
      </c>
      <c r="C310" t="s">
        <v>426</v>
      </c>
      <c r="D310" t="s">
        <v>48</v>
      </c>
      <c r="E310" t="str">
        <f t="shared" si="70"/>
        <v>Nsanje District [rpw540fmNUz]|&lt;01|Male</v>
      </c>
      <c r="F310" s="229">
        <v>11</v>
      </c>
      <c r="G310" s="38">
        <v>19</v>
      </c>
      <c r="H310" s="38">
        <v>12</v>
      </c>
      <c r="I310" s="38">
        <v>1</v>
      </c>
      <c r="J310" s="38">
        <v>22</v>
      </c>
      <c r="K310" s="38">
        <v>19</v>
      </c>
      <c r="L310" s="38"/>
      <c r="M310" s="38">
        <v>14</v>
      </c>
      <c r="N310" s="38">
        <v>13</v>
      </c>
      <c r="O310" s="229">
        <v>11</v>
      </c>
      <c r="P310" s="38">
        <v>9</v>
      </c>
      <c r="Q310" s="38">
        <v>9</v>
      </c>
      <c r="R310" s="38">
        <f t="shared" si="71"/>
        <v>10</v>
      </c>
      <c r="S310" s="38">
        <f>IF(LEFT($B310,4)="_Mil","",_xlfn.IFNA(ROUND(INDEX(Spectrum!$N:$N,MATCH(RIGHT($B310,13)&amp;"|"&amp;$C310&amp;"|"&amp;$D310&amp;"|"&amp;S$14&amp;"|"&amp;"CY2023Q4",Spectrum!$R:$R,0)),0),""))</f>
        <v>13</v>
      </c>
      <c r="T310" s="218">
        <f>IF(LEFT($B310,4)="_Mil","",_xlfn.IFNA(ROUND(INDEX(Spectrum!$N:$N,MATCH(RIGHT($B310,13)&amp;"|"&amp;$C310&amp;"|"&amp;$D310&amp;"|"&amp;T$14&amp;"|"&amp;"CY2024Q3",Spectrum!$R:$R,0)),0),""))</f>
        <v>6160</v>
      </c>
      <c r="U310" s="218">
        <f>IF(LEFT($B310,4)="_Mil","",_xlfn.IFNA(ROUND(INDEX(Spectrum!$N:$N,MATCH(RIGHT($B310,13)&amp;"|"&amp;$C310&amp;"|"&amp;$D310&amp;"|"&amp;U$14&amp;"|"&amp;"CY2024Q3",Spectrum!$R:$R,0)),0),""))</f>
        <v>13</v>
      </c>
      <c r="V310" s="38">
        <f>IF(LEFT($B310,4)="_Mil","",_xlfn.IFNA(ROUND(INDEX(Spectrum!$N:$N,MATCH(RIGHT($B310,13)&amp;"|"&amp;$C310&amp;"|"&amp;$D310&amp;"|"&amp;V$14&amp;"|"&amp;"CY2024Q3",Spectrum!$R:$R,0)),0),""))</f>
        <v>15</v>
      </c>
      <c r="W310" s="220">
        <f>IF(LEFT($B310,4)="_Mil","",_xlfn.IFNA(INDEX(Spectrum!$N:$N,MATCH(RIGHT($B310,13)&amp;"|"&amp;$C310&amp;"|"&amp;$D310&amp;"|"&amp;W$14&amp;"|"&amp;"CY2024Q3",Spectrum!$R:$R,0)),""))</f>
        <v>2.061284E-3</v>
      </c>
      <c r="X310" s="218">
        <f>IF(LEFT($B310,4)="_Mil","",_xlfn.IFNA(ROUND(INDEX(Spectrum!$N:$N,MATCH(RIGHT($B310,13)&amp;"|"&amp;$C310&amp;"|"&amp;$D310&amp;"|"&amp;X$14&amp;"|"&amp;"CY2024Q3",Spectrum!$R:$R,0)),0),""))</f>
        <v>10</v>
      </c>
      <c r="Y310" s="33">
        <f t="shared" si="72"/>
        <v>0.77</v>
      </c>
      <c r="Z310" s="218">
        <f>IF(LEFT($B310,4)="_Mil","",_xlfn.IFNA(ROUND(INDEX(Spectrum!$N:$N,MATCH(RIGHT($B310,13)&amp;"|"&amp;$C310&amp;"|"&amp;$D310&amp;"|"&amp;Z$14&amp;"|"&amp;"CY2024Q3",Spectrum!$R:$R,0)),0),""))</f>
        <v>11</v>
      </c>
      <c r="AA310" s="33">
        <f>IF(LEFT($B310,4)="_Mil","",IFERROR(1/(1/INDEX(Spectrum!$N:$N,MATCH(RIGHT($B310,13)&amp;"|"&amp;$C310&amp;"|"&amp;$D310&amp;"|"&amp;AA$14&amp;"|"&amp;"CY2024Q3",Spectrum!$R:$R,0))),IF(SUM($U310)=0,"",SUM($Z310)/$U310)))</f>
        <v>0.78110216500000007</v>
      </c>
      <c r="AB310" s="33">
        <f t="shared" si="73"/>
        <v>1.1000000000000001</v>
      </c>
      <c r="AC310" s="38">
        <f>IF(LEFT($B310,4)="_Mil","",_xlfn.IFNA(ROUND(INDEX(Spectrum!$N:$N,MATCH(RIGHT($B310,13)&amp;"|"&amp;$C310&amp;"|"&amp;$D310&amp;"|"&amp;AC$14&amp;"|"&amp;"CY2024Q3",Spectrum!$R:$R,0)),0),""))</f>
        <v>4</v>
      </c>
      <c r="AD310" s="38" t="str">
        <f>IF(LEFT($B310,4)="_Mil","",_xlfn.IFNA(ROUND(INDEX(Spectrum!$N:$N,MATCH(RIGHT($B310,13)&amp;"|"&amp;$C310&amp;"|"&amp;$D310&amp;"|"&amp;AD$14&amp;"|"&amp;"CY2024Q3",Spectrum!$R:$R,0)),0),""))</f>
        <v/>
      </c>
      <c r="AE310" s="33">
        <f t="shared" si="74"/>
        <v>0</v>
      </c>
      <c r="AF310" s="218" t="str">
        <f>IF(LEFT($B310,4)="_Mil","",_xlfn.IFNA(ROUND(INDEX(Spectrum!$N:$N,MATCH(RIGHT($B310,13)&amp;"|"&amp;$C310&amp;"|"&amp;$D310&amp;"|"&amp;AF$14&amp;"|"&amp;"CY2024Q3",Spectrum!$R:$R,0)),0),""))</f>
        <v/>
      </c>
      <c r="AG310" s="33" t="str">
        <f t="shared" si="75"/>
        <v/>
      </c>
      <c r="AH310" s="110" t="str">
        <f>IF(LEFT($B310,4)="_Mil","",_xlfn.IFNA(INDEX(Spectrum!$N:$N,MATCH(RIGHT($B310,13)&amp;"|"&amp;$C310&amp;"|"&amp;$D310&amp;"|"&amp;AH$14&amp;"|"&amp;"CY2024Q3",Spectrum!$R:$R,0)),""))</f>
        <v/>
      </c>
      <c r="AI310" s="218">
        <f>IF(LEFT($B310,4)="_Mil","",_xlfn.IFNA(ROUND(INDEX(Spectrum!$N:$N,MATCH(RIGHT($B310,13)&amp;"|"&amp;$C310&amp;"|"&amp;$D310&amp;"|"&amp;AI$14&amp;"|"&amp;"CY2025Q3",Spectrum!$R:$R,0)),0),""))</f>
        <v>16</v>
      </c>
      <c r="AJ310" s="38">
        <f>IF(LEFT($B310,4)="_Mil","",_xlfn.IFNA(ROUND(INDEX(Spectrum!$N:$N,MATCH(RIGHT($B310,13)&amp;"|"&amp;$C310&amp;"|"&amp;$D310&amp;"|"&amp;AJ$14&amp;"|"&amp;"CY2025Q3",Spectrum!$R:$R,0)),0),""))</f>
        <v>11</v>
      </c>
      <c r="AK310" s="218" t="e">
        <f>#REF!</f>
        <v>#REF!</v>
      </c>
      <c r="AL310" s="33" t="str">
        <f t="shared" si="76"/>
        <v/>
      </c>
      <c r="AM310" s="38" t="str">
        <f>IF(OR(LEFT($B310,4)="_Mil",$C310="&lt;01"),"",ROUND(SUM($AK310)*SUM($AL310),0))</f>
        <v/>
      </c>
      <c r="AN310" s="38">
        <f>IF($C310="&lt;01",ROUND(INDEX(EID!$P:$P,MATCH($B310,EID!$B:$B,0))/2,0),"")</f>
        <v>0</v>
      </c>
      <c r="AO310" s="38">
        <f>IF($C310="&lt;01",SUM($AN310),ROUND(SUM($AM310)*SUM($O310)/IF(SUM($Z310)=0,1,$Z310),0))</f>
        <v>0</v>
      </c>
      <c r="AP310" s="218">
        <f>IF(OR($F310="",$C310="&lt;01"),$AO310,ROUND($F310,0))</f>
        <v>0</v>
      </c>
      <c r="AQ310" s="218">
        <f>IF(LEFT($B310,4)="_Mil","",IF(SUM($AP310)=0,SUM($Z310),IF(OR(SUM($Z310)=0,SUM($O310)=0),MAX($AP310,$Z310),ROUND($AP310*$Z310/$O310,0))))</f>
        <v>11</v>
      </c>
      <c r="AR310" s="33" t="e">
        <f>IF(OR(LEFT($B310,4)="_Mil",SUM($AK310)=0),"",SUM($AQ310)/$AK310)</f>
        <v>#REF!</v>
      </c>
      <c r="AS310" s="33" t="str">
        <f t="shared" si="81"/>
        <v/>
      </c>
      <c r="AT310" s="33" t="str">
        <f t="shared" si="83"/>
        <v/>
      </c>
      <c r="AU310" s="38" t="str">
        <f>IF($C310="&lt;01","",SUM($AP310)-SUM($O310))</f>
        <v/>
      </c>
      <c r="AV310" s="38">
        <f>IF($C310="&lt;01",ROUND(INDEX(EID!$N:$N,MATCH($B310,EID!$B:$B,0))/2,0),IF(SUM($AT310)=0,"",ROUND((SUM($AP310)-(SUM($O310)*SUM($AS310)))/$AT310,0)))</f>
        <v>0</v>
      </c>
      <c r="AW310" s="33" t="str">
        <f t="shared" si="77"/>
        <v/>
      </c>
      <c r="AX310" s="218">
        <f>IF($C310="&lt;01",SUM($AV310),ROUND(SUM($AV310)*SUM($AW310),0))</f>
        <v>0</v>
      </c>
      <c r="AY310" s="79" t="str">
        <f t="shared" si="78"/>
        <v/>
      </c>
      <c r="AZ310" s="85">
        <f>IF($C310="&lt;01",ROUND(INDEX(EID!$R:$R,MATCH($B310,EID!$B:$B,0))/2,0),ROUND(SUM($O310)+(SUM($AV310)*$AY310),0))</f>
        <v>0</v>
      </c>
      <c r="BA310" s="40" t="str">
        <f t="shared" si="82"/>
        <v/>
      </c>
      <c r="BB310" s="99">
        <f>IF($C310="&lt;01",ROUND(INDEX(EID!$T:$T,MATCH($B310,EID!$B:$B,0))/2,0),ROUND($AP310*$BA310,0))</f>
        <v>0</v>
      </c>
      <c r="BC310" s="85">
        <f>IF(LEFT($B310,4)="_Mil","",IF(SUM($BB310)=0,SUM($AD310),IF(OR(SUM($AP310)=0,SUM($AQ310)=0),MAX($BB310,$AD310),ROUND($BB310*$AQ310/$AP310,0))))</f>
        <v>0</v>
      </c>
      <c r="BD310" s="33" t="str">
        <f t="shared" si="79"/>
        <v/>
      </c>
      <c r="BE310" s="218">
        <f>IF($C310="&lt;01",ROUND(INDEX(EID!$V:$V,MATCH($B310,EID!$B:$B,0))/2,0),ROUND($BD310*$BB310,0))</f>
        <v>0</v>
      </c>
      <c r="BF310" s="218">
        <f>IF(LEFT($B310,4)="_Mil","",IF(SUM($BE310)=0,SUM($AF310),IF(OR(SUM($AP310)=0,SUM($AQ310)=0),MAX($BE310,$AF310),ROUND($BE310*$AQ310/$AP310,0))))</f>
        <v>0</v>
      </c>
      <c r="BG310" s="79" t="str">
        <f t="shared" si="80"/>
        <v/>
      </c>
      <c r="BH310" s="99">
        <f>IF($C310="&lt;01",ROUND(INDEX(EID!$L:$L,MATCH($B310,EID!$B:$B,0)),0)/2,IF(SUM($BG310)=0,"",ROUND($AX310/$BG310,0)))</f>
        <v>0</v>
      </c>
    </row>
    <row r="311" spans="1:60" x14ac:dyDescent="0.2">
      <c r="A311" t="str">
        <f>INDEX(Prioritization!$D:$D,MATCH($B311,Prioritization!$A:$A,0))</f>
        <v>INVALID</v>
      </c>
      <c r="B311" t="s">
        <v>322</v>
      </c>
      <c r="C311" t="s">
        <v>473</v>
      </c>
      <c r="D311" t="s">
        <v>30</v>
      </c>
      <c r="E311" t="str">
        <f t="shared" si="70"/>
        <v>Nsanje District [rpw540fmNUz]|01-09|Female</v>
      </c>
      <c r="F311" s="229">
        <v>270</v>
      </c>
      <c r="G311" s="38">
        <v>38</v>
      </c>
      <c r="H311" s="38">
        <v>32</v>
      </c>
      <c r="I311" s="38">
        <v>291</v>
      </c>
      <c r="J311" s="38">
        <v>383</v>
      </c>
      <c r="K311" s="38">
        <v>290</v>
      </c>
      <c r="L311" s="38">
        <v>7</v>
      </c>
      <c r="M311" s="38">
        <v>7</v>
      </c>
      <c r="N311" s="38">
        <v>312</v>
      </c>
      <c r="O311" s="229">
        <v>291</v>
      </c>
      <c r="P311" s="38">
        <v>282</v>
      </c>
      <c r="Q311" s="38">
        <v>268</v>
      </c>
      <c r="R311" s="38">
        <f t="shared" si="71"/>
        <v>0</v>
      </c>
      <c r="S311" s="38">
        <f>IF(LEFT($B311,4)="_Mil","",_xlfn.IFNA(ROUND(INDEX(Spectrum!$N:$N,MATCH(RIGHT($B311,13)&amp;"|"&amp;$C311&amp;"|"&amp;$D311&amp;"|"&amp;S$14&amp;"|"&amp;"CY2023Q4",Spectrum!$R:$R,0)),0),""))</f>
        <v>272</v>
      </c>
      <c r="T311" s="218">
        <f>IF(LEFT($B311,4)="_Mil","",_xlfn.IFNA(ROUND(INDEX(Spectrum!$N:$N,MATCH(RIGHT($B311,13)&amp;"|"&amp;$C311&amp;"|"&amp;$D311&amp;"|"&amp;T$14&amp;"|"&amp;"CY2024Q3",Spectrum!$R:$R,0)),0),""))</f>
        <v>50846</v>
      </c>
      <c r="U311" s="218">
        <f>IF(LEFT($B311,4)="_Mil","",_xlfn.IFNA(ROUND(INDEX(Spectrum!$N:$N,MATCH(RIGHT($B311,13)&amp;"|"&amp;$C311&amp;"|"&amp;$D311&amp;"|"&amp;U$14&amp;"|"&amp;"CY2024Q3",Spectrum!$R:$R,0)),0),""))</f>
        <v>261</v>
      </c>
      <c r="V311" s="38">
        <f>IF(LEFT($B311,4)="_Mil","",_xlfn.IFNA(ROUND(INDEX(Spectrum!$N:$N,MATCH(RIGHT($B311,13)&amp;"|"&amp;$C311&amp;"|"&amp;$D311&amp;"|"&amp;V$14&amp;"|"&amp;"CY2024Q3",Spectrum!$R:$R,0)),0),""))</f>
        <v>302</v>
      </c>
      <c r="W311" s="220">
        <f>IF(LEFT($B311,4)="_Mil","",_xlfn.IFNA(INDEX(Spectrum!$N:$N,MATCH(RIGHT($B311,13)&amp;"|"&amp;$C311&amp;"|"&amp;$D311&amp;"|"&amp;W$14&amp;"|"&amp;"CY2024Q3",Spectrum!$R:$R,0)),""))</f>
        <v>5.1262510000000001E-3</v>
      </c>
      <c r="X311" s="218">
        <f>IF(LEFT($B311,4)="_Mil","",_xlfn.IFNA(ROUND(INDEX(Spectrum!$N:$N,MATCH(RIGHT($B311,13)&amp;"|"&amp;$C311&amp;"|"&amp;$D311&amp;"|"&amp;X$14&amp;"|"&amp;"CY2024Q3",Spectrum!$R:$R,0)),0),""))</f>
        <v>221</v>
      </c>
      <c r="Y311" s="33">
        <f t="shared" si="72"/>
        <v>0.85</v>
      </c>
      <c r="Z311" s="218">
        <f>IF(LEFT($B311,4)="_Mil","",_xlfn.IFNA(ROUND(INDEX(Spectrum!$N:$N,MATCH(RIGHT($B311,13)&amp;"|"&amp;$C311&amp;"|"&amp;$D311&amp;"|"&amp;Z$14&amp;"|"&amp;"CY2024Q3",Spectrum!$R:$R,0)),0),""))</f>
        <v>252</v>
      </c>
      <c r="AA311" s="33">
        <f>IF(LEFT($B311,4)="_Mil","",IFERROR(1/(1/INDEX(Spectrum!$N:$N,MATCH(RIGHT($B311,13)&amp;"|"&amp;$C311&amp;"|"&amp;$D311&amp;"|"&amp;AA$14&amp;"|"&amp;"CY2024Q3",Spectrum!$R:$R,0))),IF(SUM($U311)=0,"",SUM($Z311)/$U311)))</f>
        <v>0.82886012499999995</v>
      </c>
      <c r="AB311" s="33">
        <f t="shared" si="73"/>
        <v>1.1402714932126696</v>
      </c>
      <c r="AC311" s="38">
        <f>IF(LEFT($B311,4)="_Mil","",_xlfn.IFNA(ROUND(INDEX(Spectrum!$N:$N,MATCH(RIGHT($B311,13)&amp;"|"&amp;$C311&amp;"|"&amp;$D311&amp;"|"&amp;AC$14&amp;"|"&amp;"CY2024Q3",Spectrum!$R:$R,0)),0),""))</f>
        <v>50</v>
      </c>
      <c r="AD311" s="38" t="str">
        <f>IF(LEFT($B311,4)="_Mil","",_xlfn.IFNA(ROUND(INDEX(Spectrum!$N:$N,MATCH(RIGHT($B311,13)&amp;"|"&amp;$C311&amp;"|"&amp;$D311&amp;"|"&amp;AD$14&amp;"|"&amp;"CY2024Q3",Spectrum!$R:$R,0)),0),""))</f>
        <v/>
      </c>
      <c r="AE311" s="33">
        <f t="shared" si="74"/>
        <v>0</v>
      </c>
      <c r="AF311" s="218" t="str">
        <f>IF(LEFT($B311,4)="_Mil","",_xlfn.IFNA(ROUND(INDEX(Spectrum!$N:$N,MATCH(RIGHT($B311,13)&amp;"|"&amp;$C311&amp;"|"&amp;$D311&amp;"|"&amp;AF$14&amp;"|"&amp;"CY2024Q3",Spectrum!$R:$R,0)),0),""))</f>
        <v/>
      </c>
      <c r="AG311" s="33" t="str">
        <f t="shared" si="75"/>
        <v/>
      </c>
      <c r="AH311" s="110" t="str">
        <f>IF(LEFT($B311,4)="_Mil","",_xlfn.IFNA(INDEX(Spectrum!$N:$N,MATCH(RIGHT($B311,13)&amp;"|"&amp;$C311&amp;"|"&amp;$D311&amp;"|"&amp;AH$14&amp;"|"&amp;"CY2024Q3",Spectrum!$R:$R,0)),""))</f>
        <v/>
      </c>
      <c r="AI311" s="218">
        <f>IF(LEFT($B311,4)="_Mil","",_xlfn.IFNA(ROUND(INDEX(Spectrum!$N:$N,MATCH(RIGHT($B311,13)&amp;"|"&amp;$C311&amp;"|"&amp;$D311&amp;"|"&amp;AI$14&amp;"|"&amp;"CY2025Q3",Spectrum!$R:$R,0)),0),""))</f>
        <v>4</v>
      </c>
      <c r="AJ311" s="38">
        <f>IF(LEFT($B311,4)="_Mil","",_xlfn.IFNA(ROUND(INDEX(Spectrum!$N:$N,MATCH(RIGHT($B311,13)&amp;"|"&amp;$C311&amp;"|"&amp;$D311&amp;"|"&amp;AJ$14&amp;"|"&amp;"CY2025Q3",Spectrum!$R:$R,0)),0),""))</f>
        <v>221</v>
      </c>
      <c r="AK311" s="218" t="e">
        <f>#REF!</f>
        <v>#REF!</v>
      </c>
      <c r="AL311" s="33">
        <f t="shared" si="76"/>
        <v>0.9</v>
      </c>
      <c r="AM311" s="38" t="e">
        <f>IF(OR(LEFT($B311,4)="_Mil",$C311="&lt;01"),"",ROUND(SUM($AK311)*SUM($AL311),0))</f>
        <v>#REF!</v>
      </c>
      <c r="AN311" s="38" t="str">
        <f>IF($C311="&lt;01",ROUND(INDEX(EID!$P:$P,MATCH($B311,EID!$B:$B,0))/2,0),"")</f>
        <v/>
      </c>
      <c r="AO311" s="38" t="e">
        <f>IF($C311="&lt;01",SUM($AN311),ROUND(SUM($AM311)*SUM($O311)/IF(SUM($Z311)=0,1,$Z311),0))</f>
        <v>#REF!</v>
      </c>
      <c r="AP311" s="218">
        <f>IF(OR($F311="",$C311="&lt;01"),$AO311,ROUND($F311,0))</f>
        <v>270</v>
      </c>
      <c r="AQ311" s="218">
        <f>IF(LEFT($B311,4)="_Mil","",IF(SUM($AP311)=0,SUM($Z311),IF(OR(SUM($Z311)=0,SUM($O311)=0),MAX($AP311,$Z311),ROUND($AP311*$Z311/$O311,0))))</f>
        <v>234</v>
      </c>
      <c r="AR311" s="33" t="e">
        <f>IF(OR(LEFT($B311,4)="_Mil",SUM($AK311)=0),"",SUM($AQ311)/$AK311)</f>
        <v>#REF!</v>
      </c>
      <c r="AS311" s="33">
        <f>IF($C311="&lt;01","",80%)</f>
        <v>0.8</v>
      </c>
      <c r="AT311" s="33">
        <f t="shared" si="83"/>
        <v>0.98</v>
      </c>
      <c r="AU311" s="38">
        <f>IF($C311="&lt;01","",SUM($AP311)-SUM($O311))</f>
        <v>-21</v>
      </c>
      <c r="AV311" s="38">
        <f>IF($C311="&lt;01",ROUND(INDEX(EID!$N:$N,MATCH($B311,EID!$B:$B,0))/2,0),IF(SUM($AT311)=0,"",ROUND((SUM($AP311)-(SUM($O311)*SUM($AS311)))/$AT311,0)))</f>
        <v>38</v>
      </c>
      <c r="AW311" s="33">
        <f t="shared" si="77"/>
        <v>1</v>
      </c>
      <c r="AX311" s="218">
        <f>IF($C311="&lt;01",SUM($AV311),ROUND(SUM($AV311)*SUM($AW311),0))</f>
        <v>38</v>
      </c>
      <c r="AY311" s="79">
        <f t="shared" si="78"/>
        <v>0.7</v>
      </c>
      <c r="AZ311" s="85">
        <f>IF($C311="&lt;01",ROUND(INDEX(EID!$R:$R,MATCH($B311,EID!$B:$B,0))/2,0),ROUND(SUM($O311)+(SUM($AV311)*$AY311),0))</f>
        <v>318</v>
      </c>
      <c r="BA311" s="40">
        <f t="shared" si="82"/>
        <v>0.9</v>
      </c>
      <c r="BB311" s="99">
        <f>IF($C311="&lt;01",ROUND(INDEX(EID!$T:$T,MATCH($B311,EID!$B:$B,0))/2,0),ROUND($AP311*$BA311,0))</f>
        <v>243</v>
      </c>
      <c r="BC311" s="85">
        <f>IF(LEFT($B311,4)="_Mil","",IF(SUM($BB311)=0,SUM($AD311),IF(OR(SUM($AP311)=0,SUM($AQ311)=0),MAX($BB311,$AD311),ROUND($BB311*$AQ311/$AP311,0))))</f>
        <v>211</v>
      </c>
      <c r="BD311" s="33">
        <f t="shared" si="79"/>
        <v>0.95</v>
      </c>
      <c r="BE311" s="218">
        <f>IF($C311="&lt;01",ROUND(INDEX(EID!$V:$V,MATCH($B311,EID!$B:$B,0))/2,0),ROUND($BD311*$BB311,0))</f>
        <v>231</v>
      </c>
      <c r="BF311" s="218">
        <f>IF(LEFT($B311,4)="_Mil","",IF(SUM($BE311)=0,SUM($AF311),IF(OR(SUM($AP311)=0,SUM($AQ311)=0),MAX($BE311,$AF311),ROUND($BE311*$AQ311/$AP311,0))))</f>
        <v>200</v>
      </c>
      <c r="BG311" s="79">
        <f t="shared" si="80"/>
        <v>0.95</v>
      </c>
      <c r="BH311" s="99">
        <f>IF($C311="&lt;01",ROUND(INDEX(EID!$L:$L,MATCH($B311,EID!$B:$B,0)),0)/2,IF(SUM($BG311)=0,"",ROUND($AX311/$BG311,0)))</f>
        <v>40</v>
      </c>
    </row>
    <row r="312" spans="1:60" x14ac:dyDescent="0.2">
      <c r="A312" t="str">
        <f>INDEX(Prioritization!$D:$D,MATCH($B312,Prioritization!$A:$A,0))</f>
        <v>INVALID</v>
      </c>
      <c r="B312" t="s">
        <v>322</v>
      </c>
      <c r="C312" t="s">
        <v>473</v>
      </c>
      <c r="D312" t="s">
        <v>48</v>
      </c>
      <c r="E312" t="str">
        <f t="shared" si="70"/>
        <v>Nsanje District [rpw540fmNUz]|01-09|Male</v>
      </c>
      <c r="F312" s="229">
        <v>270</v>
      </c>
      <c r="G312" s="38">
        <v>36</v>
      </c>
      <c r="H312" s="38">
        <v>32</v>
      </c>
      <c r="I312" s="38">
        <v>301</v>
      </c>
      <c r="J312" s="38">
        <v>357</v>
      </c>
      <c r="K312" s="38">
        <v>271</v>
      </c>
      <c r="L312" s="38">
        <v>15</v>
      </c>
      <c r="M312" s="38">
        <v>14</v>
      </c>
      <c r="N312" s="38">
        <v>299</v>
      </c>
      <c r="O312" s="229">
        <v>301</v>
      </c>
      <c r="P312" s="38">
        <v>265</v>
      </c>
      <c r="Q312" s="38">
        <v>252</v>
      </c>
      <c r="R312" s="38">
        <f t="shared" si="71"/>
        <v>0</v>
      </c>
      <c r="S312" s="38">
        <f>IF(LEFT($B312,4)="_Mil","",_xlfn.IFNA(ROUND(INDEX(Spectrum!$N:$N,MATCH(RIGHT($B312,13)&amp;"|"&amp;$C312&amp;"|"&amp;$D312&amp;"|"&amp;S$14&amp;"|"&amp;"CY2023Q4",Spectrum!$R:$R,0)),0),""))</f>
        <v>258</v>
      </c>
      <c r="T312" s="218">
        <f>IF(LEFT($B312,4)="_Mil","",_xlfn.IFNA(ROUND(INDEX(Spectrum!$N:$N,MATCH(RIGHT($B312,13)&amp;"|"&amp;$C312&amp;"|"&amp;$D312&amp;"|"&amp;T$14&amp;"|"&amp;"CY2024Q3",Spectrum!$R:$R,0)),0),""))</f>
        <v>50000</v>
      </c>
      <c r="U312" s="218">
        <f>IF(LEFT($B312,4)="_Mil","",_xlfn.IFNA(ROUND(INDEX(Spectrum!$N:$N,MATCH(RIGHT($B312,13)&amp;"|"&amp;$C312&amp;"|"&amp;$D312&amp;"|"&amp;U$14&amp;"|"&amp;"CY2024Q3",Spectrum!$R:$R,0)),0),""))</f>
        <v>260</v>
      </c>
      <c r="V312" s="38">
        <f>IF(LEFT($B312,4)="_Mil","",_xlfn.IFNA(ROUND(INDEX(Spectrum!$N:$N,MATCH(RIGHT($B312,13)&amp;"|"&amp;$C312&amp;"|"&amp;$D312&amp;"|"&amp;V$14&amp;"|"&amp;"CY2024Q3",Spectrum!$R:$R,0)),0),""))</f>
        <v>302</v>
      </c>
      <c r="W312" s="220">
        <f>IF(LEFT($B312,4)="_Mil","",_xlfn.IFNA(INDEX(Spectrum!$N:$N,MATCH(RIGHT($B312,13)&amp;"|"&amp;$C312&amp;"|"&amp;$D312&amp;"|"&amp;W$14&amp;"|"&amp;"CY2024Q3",Spectrum!$R:$R,0)),""))</f>
        <v>5.2028370000000001E-3</v>
      </c>
      <c r="X312" s="218">
        <f>IF(LEFT($B312,4)="_Mil","",_xlfn.IFNA(ROUND(INDEX(Spectrum!$N:$N,MATCH(RIGHT($B312,13)&amp;"|"&amp;$C312&amp;"|"&amp;$D312&amp;"|"&amp;X$14&amp;"|"&amp;"CY2024Q3",Spectrum!$R:$R,0)),0),""))</f>
        <v>221</v>
      </c>
      <c r="Y312" s="33">
        <f t="shared" si="72"/>
        <v>0.85</v>
      </c>
      <c r="Z312" s="218">
        <f>IF(LEFT($B312,4)="_Mil","",_xlfn.IFNA(ROUND(INDEX(Spectrum!$N:$N,MATCH(RIGHT($B312,13)&amp;"|"&amp;$C312&amp;"|"&amp;$D312&amp;"|"&amp;Z$14&amp;"|"&amp;"CY2024Q3",Spectrum!$R:$R,0)),0),""))</f>
        <v>241</v>
      </c>
      <c r="AA312" s="33">
        <f>IF(LEFT($B312,4)="_Mil","",IFERROR(1/(1/INDEX(Spectrum!$N:$N,MATCH(RIGHT($B312,13)&amp;"|"&amp;$C312&amp;"|"&amp;$D312&amp;"|"&amp;AA$14&amp;"|"&amp;"CY2024Q3",Spectrum!$R:$R,0))),IF(SUM($U312)=0,"",SUM($Z312)/$U312)))</f>
        <v>0.82878834199999996</v>
      </c>
      <c r="AB312" s="33">
        <f t="shared" si="73"/>
        <v>1.090497737556561</v>
      </c>
      <c r="AC312" s="38">
        <f>IF(LEFT($B312,4)="_Mil","",_xlfn.IFNA(ROUND(INDEX(Spectrum!$N:$N,MATCH(RIGHT($B312,13)&amp;"|"&amp;$C312&amp;"|"&amp;$D312&amp;"|"&amp;AC$14&amp;"|"&amp;"CY2024Q3",Spectrum!$R:$R,0)),0),""))</f>
        <v>61</v>
      </c>
      <c r="AD312" s="38" t="str">
        <f>IF(LEFT($B312,4)="_Mil","",_xlfn.IFNA(ROUND(INDEX(Spectrum!$N:$N,MATCH(RIGHT($B312,13)&amp;"|"&amp;$C312&amp;"|"&amp;$D312&amp;"|"&amp;AD$14&amp;"|"&amp;"CY2024Q3",Spectrum!$R:$R,0)),0),""))</f>
        <v/>
      </c>
      <c r="AE312" s="33">
        <f t="shared" si="74"/>
        <v>0</v>
      </c>
      <c r="AF312" s="218" t="str">
        <f>IF(LEFT($B312,4)="_Mil","",_xlfn.IFNA(ROUND(INDEX(Spectrum!$N:$N,MATCH(RIGHT($B312,13)&amp;"|"&amp;$C312&amp;"|"&amp;$D312&amp;"|"&amp;AF$14&amp;"|"&amp;"CY2024Q3",Spectrum!$R:$R,0)),0),""))</f>
        <v/>
      </c>
      <c r="AG312" s="33" t="str">
        <f t="shared" si="75"/>
        <v/>
      </c>
      <c r="AH312" s="110" t="str">
        <f>IF(LEFT($B312,4)="_Mil","",_xlfn.IFNA(INDEX(Spectrum!$N:$N,MATCH(RIGHT($B312,13)&amp;"|"&amp;$C312&amp;"|"&amp;$D312&amp;"|"&amp;AH$14&amp;"|"&amp;"CY2024Q3",Spectrum!$R:$R,0)),""))</f>
        <v/>
      </c>
      <c r="AI312" s="218">
        <f>IF(LEFT($B312,4)="_Mil","",_xlfn.IFNA(ROUND(INDEX(Spectrum!$N:$N,MATCH(RIGHT($B312,13)&amp;"|"&amp;$C312&amp;"|"&amp;$D312&amp;"|"&amp;AI$14&amp;"|"&amp;"CY2025Q3",Spectrum!$R:$R,0)),0),""))</f>
        <v>4</v>
      </c>
      <c r="AJ312" s="38">
        <f>IF(LEFT($B312,4)="_Mil","",_xlfn.IFNA(ROUND(INDEX(Spectrum!$N:$N,MATCH(RIGHT($B312,13)&amp;"|"&amp;$C312&amp;"|"&amp;$D312&amp;"|"&amp;AJ$14&amp;"|"&amp;"CY2025Q3",Spectrum!$R:$R,0)),0),""))</f>
        <v>221</v>
      </c>
      <c r="AK312" s="218" t="e">
        <f>#REF!</f>
        <v>#REF!</v>
      </c>
      <c r="AL312" s="33">
        <f t="shared" si="76"/>
        <v>0.9</v>
      </c>
      <c r="AM312" s="38" t="e">
        <f>IF(OR(LEFT($B312,4)="_Mil",$C312="&lt;01"),"",ROUND(SUM($AK312)*SUM($AL312),0))</f>
        <v>#REF!</v>
      </c>
      <c r="AN312" s="38" t="str">
        <f>IF($C312="&lt;01",ROUND(INDEX(EID!$P:$P,MATCH($B312,EID!$B:$B,0))/2,0),"")</f>
        <v/>
      </c>
      <c r="AO312" s="38" t="e">
        <f>IF($C312="&lt;01",SUM($AN312),ROUND(SUM($AM312)*SUM($O312)/IF(SUM($Z312)=0,1,$Z312),0))</f>
        <v>#REF!</v>
      </c>
      <c r="AP312" s="218">
        <f>IF(OR($F312="",$C312="&lt;01"),$AO312,ROUND($F312,0))</f>
        <v>270</v>
      </c>
      <c r="AQ312" s="218">
        <f>IF(LEFT($B312,4)="_Mil","",IF(SUM($AP312)=0,SUM($Z312),IF(OR(SUM($Z312)=0,SUM($O312)=0),MAX($AP312,$Z312),ROUND($AP312*$Z312/$O312,0))))</f>
        <v>216</v>
      </c>
      <c r="AR312" s="33" t="e">
        <f>IF(OR(LEFT($B312,4)="_Mil",SUM($AK312)=0),"",SUM($AQ312)/$AK312)</f>
        <v>#REF!</v>
      </c>
      <c r="AS312" s="33">
        <f>IF($C312="&lt;01","",80%)</f>
        <v>0.8</v>
      </c>
      <c r="AT312" s="33">
        <f t="shared" si="83"/>
        <v>0.98</v>
      </c>
      <c r="AU312" s="38">
        <f>IF($C312="&lt;01","",SUM($AP312)-SUM($O312))</f>
        <v>-31</v>
      </c>
      <c r="AV312" s="38">
        <f>IF($C312="&lt;01",ROUND(INDEX(EID!$N:$N,MATCH($B312,EID!$B:$B,0))/2,0),IF(SUM($AT312)=0,"",ROUND((SUM($AP312)-(SUM($O312)*SUM($AS312)))/$AT312,0)))</f>
        <v>30</v>
      </c>
      <c r="AW312" s="33">
        <f t="shared" si="77"/>
        <v>1</v>
      </c>
      <c r="AX312" s="218">
        <f>IF($C312="&lt;01",SUM($AV312),ROUND(SUM($AV312)*SUM($AW312),0))</f>
        <v>30</v>
      </c>
      <c r="AY312" s="79">
        <f t="shared" si="78"/>
        <v>0.7</v>
      </c>
      <c r="AZ312" s="85">
        <f>IF($C312="&lt;01",ROUND(INDEX(EID!$R:$R,MATCH($B312,EID!$B:$B,0))/2,0),ROUND(SUM($O312)+(SUM($AV312)*$AY312),0))</f>
        <v>322</v>
      </c>
      <c r="BA312" s="40">
        <f t="shared" si="82"/>
        <v>0.9</v>
      </c>
      <c r="BB312" s="99">
        <f>IF($C312="&lt;01",ROUND(INDEX(EID!$T:$T,MATCH($B312,EID!$B:$B,0))/2,0),ROUND($AP312*$BA312,0))</f>
        <v>243</v>
      </c>
      <c r="BC312" s="85">
        <f>IF(LEFT($B312,4)="_Mil","",IF(SUM($BB312)=0,SUM($AD312),IF(OR(SUM($AP312)=0,SUM($AQ312)=0),MAX($BB312,$AD312),ROUND($BB312*$AQ312/$AP312,0))))</f>
        <v>194</v>
      </c>
      <c r="BD312" s="33">
        <f t="shared" si="79"/>
        <v>0.95</v>
      </c>
      <c r="BE312" s="218">
        <f>IF($C312="&lt;01",ROUND(INDEX(EID!$V:$V,MATCH($B312,EID!$B:$B,0))/2,0),ROUND($BD312*$BB312,0))</f>
        <v>231</v>
      </c>
      <c r="BF312" s="218">
        <f>IF(LEFT($B312,4)="_Mil","",IF(SUM($BE312)=0,SUM($AF312),IF(OR(SUM($AP312)=0,SUM($AQ312)=0),MAX($BE312,$AF312),ROUND($BE312*$AQ312/$AP312,0))))</f>
        <v>185</v>
      </c>
      <c r="BG312" s="79">
        <f t="shared" si="80"/>
        <v>0.95</v>
      </c>
      <c r="BH312" s="99">
        <f>IF($C312="&lt;01",ROUND(INDEX(EID!$L:$L,MATCH($B312,EID!$B:$B,0)),0)/2,IF(SUM($BG312)=0,"",ROUND($AX312/$BG312,0)))</f>
        <v>32</v>
      </c>
    </row>
    <row r="313" spans="1:60" x14ac:dyDescent="0.2">
      <c r="A313" t="str">
        <f>INDEX(Prioritization!$D:$D,MATCH($B313,Prioritization!$A:$A,0))</f>
        <v>INVALID</v>
      </c>
      <c r="B313" t="s">
        <v>322</v>
      </c>
      <c r="C313" t="s">
        <v>474</v>
      </c>
      <c r="D313" t="s">
        <v>30</v>
      </c>
      <c r="E313" t="str">
        <f t="shared" si="70"/>
        <v>Nsanje District [rpw540fmNUz]|10-14|Female</v>
      </c>
      <c r="F313" s="229">
        <v>331</v>
      </c>
      <c r="G313" s="38">
        <v>16</v>
      </c>
      <c r="H313" s="38">
        <v>18</v>
      </c>
      <c r="I313" s="38">
        <v>331</v>
      </c>
      <c r="J313" s="38">
        <v>326</v>
      </c>
      <c r="K313" s="38">
        <v>244</v>
      </c>
      <c r="L313" s="38">
        <v>7</v>
      </c>
      <c r="M313" s="38">
        <v>7</v>
      </c>
      <c r="N313" s="38">
        <v>329</v>
      </c>
      <c r="O313" s="229">
        <v>331</v>
      </c>
      <c r="P313" s="38">
        <v>297</v>
      </c>
      <c r="Q313" s="38">
        <v>282</v>
      </c>
      <c r="R313" s="38">
        <f t="shared" si="71"/>
        <v>0</v>
      </c>
      <c r="S313" s="38">
        <f>IF(LEFT($B313,4)="_Mil","",_xlfn.IFNA(ROUND(INDEX(Spectrum!$N:$N,MATCH(RIGHT($B313,13)&amp;"|"&amp;$C313&amp;"|"&amp;$D313&amp;"|"&amp;S$14&amp;"|"&amp;"CY2023Q4",Spectrum!$R:$R,0)),0),""))</f>
        <v>326</v>
      </c>
      <c r="T313" s="218">
        <f>IF(LEFT($B313,4)="_Mil","",_xlfn.IFNA(ROUND(INDEX(Spectrum!$N:$N,MATCH(RIGHT($B313,13)&amp;"|"&amp;$C313&amp;"|"&amp;$D313&amp;"|"&amp;T$14&amp;"|"&amp;"CY2024Q3",Spectrum!$R:$R,0)),0),""))</f>
        <v>22370</v>
      </c>
      <c r="U313" s="218">
        <f>IF(LEFT($B313,4)="_Mil","",_xlfn.IFNA(ROUND(INDEX(Spectrum!$N:$N,MATCH(RIGHT($B313,13)&amp;"|"&amp;$C313&amp;"|"&amp;$D313&amp;"|"&amp;U$14&amp;"|"&amp;"CY2024Q3",Spectrum!$R:$R,0)),0),""))</f>
        <v>316</v>
      </c>
      <c r="V313" s="38">
        <f>IF(LEFT($B313,4)="_Mil","",_xlfn.IFNA(ROUND(INDEX(Spectrum!$N:$N,MATCH(RIGHT($B313,13)&amp;"|"&amp;$C313&amp;"|"&amp;$D313&amp;"|"&amp;V$14&amp;"|"&amp;"CY2024Q3",Spectrum!$R:$R,0)),0),""))</f>
        <v>367</v>
      </c>
      <c r="W313" s="220">
        <f>IF(LEFT($B313,4)="_Mil","",_xlfn.IFNA(INDEX(Spectrum!$N:$N,MATCH(RIGHT($B313,13)&amp;"|"&amp;$C313&amp;"|"&amp;$D313&amp;"|"&amp;W$14&amp;"|"&amp;"CY2024Q3",Spectrum!$R:$R,0)),""))</f>
        <v>1.4146051E-2</v>
      </c>
      <c r="X313" s="218">
        <f>IF(LEFT($B313,4)="_Mil","",_xlfn.IFNA(ROUND(INDEX(Spectrum!$N:$N,MATCH(RIGHT($B313,13)&amp;"|"&amp;$C313&amp;"|"&amp;$D313&amp;"|"&amp;X$14&amp;"|"&amp;"CY2024Q3",Spectrum!$R:$R,0)),0),""))</f>
        <v>276</v>
      </c>
      <c r="Y313" s="33">
        <f t="shared" si="72"/>
        <v>0.87</v>
      </c>
      <c r="Z313" s="218">
        <f>IF(LEFT($B313,4)="_Mil","",_xlfn.IFNA(ROUND(INDEX(Spectrum!$N:$N,MATCH(RIGHT($B313,13)&amp;"|"&amp;$C313&amp;"|"&amp;$D313&amp;"|"&amp;Z$14&amp;"|"&amp;"CY2024Q3",Spectrum!$R:$R,0)),0),""))</f>
        <v>318</v>
      </c>
      <c r="AA313" s="33">
        <f>IF(LEFT($B313,4)="_Mil","",IFERROR(1/(1/INDEX(Spectrum!$N:$N,MATCH(RIGHT($B313,13)&amp;"|"&amp;$C313&amp;"|"&amp;$D313&amp;"|"&amp;AA$14&amp;"|"&amp;"CY2024Q3",Spectrum!$R:$R,0))),IF(SUM($U313)=0,"",SUM($Z313)/$U313)))</f>
        <v>0.85258405900000001</v>
      </c>
      <c r="AB313" s="33">
        <f t="shared" si="73"/>
        <v>1.1521739130434783</v>
      </c>
      <c r="AC313" s="38">
        <f>IF(LEFT($B313,4)="_Mil","",_xlfn.IFNA(ROUND(INDEX(Spectrum!$N:$N,MATCH(RIGHT($B313,13)&amp;"|"&amp;$C313&amp;"|"&amp;$D313&amp;"|"&amp;AC$14&amp;"|"&amp;"CY2024Q3",Spectrum!$R:$R,0)),0),""))</f>
        <v>49</v>
      </c>
      <c r="AD313" s="38" t="str">
        <f>IF(LEFT($B313,4)="_Mil","",_xlfn.IFNA(ROUND(INDEX(Spectrum!$N:$N,MATCH(RIGHT($B313,13)&amp;"|"&amp;$C313&amp;"|"&amp;$D313&amp;"|"&amp;AD$14&amp;"|"&amp;"CY2024Q3",Spectrum!$R:$R,0)),0),""))</f>
        <v/>
      </c>
      <c r="AE313" s="33">
        <f t="shared" si="74"/>
        <v>0</v>
      </c>
      <c r="AF313" s="218" t="str">
        <f>IF(LEFT($B313,4)="_Mil","",_xlfn.IFNA(ROUND(INDEX(Spectrum!$N:$N,MATCH(RIGHT($B313,13)&amp;"|"&amp;$C313&amp;"|"&amp;$D313&amp;"|"&amp;AF$14&amp;"|"&amp;"CY2024Q3",Spectrum!$R:$R,0)),0),""))</f>
        <v/>
      </c>
      <c r="AG313" s="33" t="str">
        <f t="shared" si="75"/>
        <v/>
      </c>
      <c r="AH313" s="110" t="str">
        <f>IF(LEFT($B313,4)="_Mil","",_xlfn.IFNA(INDEX(Spectrum!$N:$N,MATCH(RIGHT($B313,13)&amp;"|"&amp;$C313&amp;"|"&amp;$D313&amp;"|"&amp;AH$14&amp;"|"&amp;"CY2024Q3",Spectrum!$R:$R,0)),""))</f>
        <v/>
      </c>
      <c r="AI313" s="218">
        <f>IF(LEFT($B313,4)="_Mil","",_xlfn.IFNA(ROUND(INDEX(Spectrum!$N:$N,MATCH(RIGHT($B313,13)&amp;"|"&amp;$C313&amp;"|"&amp;$D313&amp;"|"&amp;AI$14&amp;"|"&amp;"CY2025Q3",Spectrum!$R:$R,0)),0),""))</f>
        <v>0</v>
      </c>
      <c r="AJ313" s="38">
        <f>IF(LEFT($B313,4)="_Mil","",_xlfn.IFNA(ROUND(INDEX(Spectrum!$N:$N,MATCH(RIGHT($B313,13)&amp;"|"&amp;$C313&amp;"|"&amp;$D313&amp;"|"&amp;AJ$14&amp;"|"&amp;"CY2025Q3",Spectrum!$R:$R,0)),0),""))</f>
        <v>287</v>
      </c>
      <c r="AK313" s="218" t="e">
        <f>#REF!</f>
        <v>#REF!</v>
      </c>
      <c r="AL313" s="33">
        <f t="shared" si="76"/>
        <v>0.9</v>
      </c>
      <c r="AM313" s="38" t="e">
        <f>IF(OR(LEFT($B313,4)="_Mil",$C313="&lt;01"),"",ROUND(SUM($AK313)*SUM($AL313),0))</f>
        <v>#REF!</v>
      </c>
      <c r="AN313" s="38" t="str">
        <f>IF($C313="&lt;01",ROUND(INDEX(EID!$P:$P,MATCH($B313,EID!$B:$B,0))/2,0),"")</f>
        <v/>
      </c>
      <c r="AO313" s="38" t="e">
        <f>IF($C313="&lt;01",SUM($AN313),ROUND(SUM($AM313)*SUM($O313)/IF(SUM($Z313)=0,1,$Z313),0))</f>
        <v>#REF!</v>
      </c>
      <c r="AP313" s="218">
        <f>IF(OR($F313="",$C313="&lt;01"),$AO313,ROUND($F313,0))</f>
        <v>331</v>
      </c>
      <c r="AQ313" s="218">
        <f>IF(LEFT($B313,4)="_Mil","",IF(SUM($AP313)=0,SUM($Z313),IF(OR(SUM($Z313)=0,SUM($O313)=0),MAX($AP313,$Z313),ROUND($AP313*$Z313/$O313,0))))</f>
        <v>318</v>
      </c>
      <c r="AR313" s="33" t="e">
        <f>IF(OR(LEFT($B313,4)="_Mil",SUM($AK313)=0),"",SUM($AQ313)/$AK313)</f>
        <v>#REF!</v>
      </c>
      <c r="AS313" s="33">
        <f>IF($C313="&lt;01","",90%)</f>
        <v>0.9</v>
      </c>
      <c r="AT313" s="33">
        <f t="shared" si="83"/>
        <v>0.98</v>
      </c>
      <c r="AU313" s="38">
        <f>IF($C313="&lt;01","",SUM($AP313)-SUM($O313))</f>
        <v>0</v>
      </c>
      <c r="AV313" s="38">
        <f>IF($C313="&lt;01",ROUND(INDEX(EID!$N:$N,MATCH($B313,EID!$B:$B,0))/2,0),IF(SUM($AT313)=0,"",ROUND((SUM($AP313)-(SUM($O313)*SUM($AS313)))/$AT313,0)))</f>
        <v>34</v>
      </c>
      <c r="AW313" s="33">
        <f t="shared" si="77"/>
        <v>1</v>
      </c>
      <c r="AX313" s="218">
        <f>IF($C313="&lt;01",SUM($AV313),ROUND(SUM($AV313)*SUM($AW313),0))</f>
        <v>34</v>
      </c>
      <c r="AY313" s="79">
        <f t="shared" si="78"/>
        <v>0.7</v>
      </c>
      <c r="AZ313" s="85">
        <f>IF($C313="&lt;01",ROUND(INDEX(EID!$R:$R,MATCH($B313,EID!$B:$B,0))/2,0),ROUND(SUM($O313)+(SUM($AV313)*$AY313),0))</f>
        <v>355</v>
      </c>
      <c r="BA313" s="40">
        <f t="shared" si="82"/>
        <v>0.9</v>
      </c>
      <c r="BB313" s="99">
        <f>IF($C313="&lt;01",ROUND(INDEX(EID!$T:$T,MATCH($B313,EID!$B:$B,0))/2,0),ROUND($AP313*$BA313,0))</f>
        <v>298</v>
      </c>
      <c r="BC313" s="85">
        <f>IF(LEFT($B313,4)="_Mil","",IF(SUM($BB313)=0,SUM($AD313),IF(OR(SUM($AP313)=0,SUM($AQ313)=0),MAX($BB313,$AD313),ROUND($BB313*$AQ313/$AP313,0))))</f>
        <v>286</v>
      </c>
      <c r="BD313" s="33">
        <f t="shared" si="79"/>
        <v>0.95</v>
      </c>
      <c r="BE313" s="218">
        <f>IF($C313="&lt;01",ROUND(INDEX(EID!$V:$V,MATCH($B313,EID!$B:$B,0))/2,0),ROUND($BD313*$BB313,0))</f>
        <v>283</v>
      </c>
      <c r="BF313" s="218">
        <f>IF(LEFT($B313,4)="_Mil","",IF(SUM($BE313)=0,SUM($AF313),IF(OR(SUM($AP313)=0,SUM($AQ313)=0),MAX($BE313,$AF313),ROUND($BE313*$AQ313/$AP313,0))))</f>
        <v>272</v>
      </c>
      <c r="BG313" s="79">
        <f t="shared" si="80"/>
        <v>0.95</v>
      </c>
      <c r="BH313" s="99">
        <f>IF($C313="&lt;01",ROUND(INDEX(EID!$L:$L,MATCH($B313,EID!$B:$B,0)),0)/2,IF(SUM($BG313)=0,"",ROUND($AX313/$BG313,0)))</f>
        <v>36</v>
      </c>
    </row>
    <row r="314" spans="1:60" x14ac:dyDescent="0.2">
      <c r="A314" t="str">
        <f>INDEX(Prioritization!$D:$D,MATCH($B314,Prioritization!$A:$A,0))</f>
        <v>INVALID</v>
      </c>
      <c r="B314" t="s">
        <v>322</v>
      </c>
      <c r="C314" t="s">
        <v>474</v>
      </c>
      <c r="D314" t="s">
        <v>48</v>
      </c>
      <c r="E314" t="str">
        <f t="shared" si="70"/>
        <v>Nsanje District [rpw540fmNUz]|10-14|Male</v>
      </c>
      <c r="F314" s="229">
        <v>329</v>
      </c>
      <c r="G314" s="38">
        <v>11</v>
      </c>
      <c r="H314" s="38">
        <v>9</v>
      </c>
      <c r="I314" s="38">
        <v>297</v>
      </c>
      <c r="J314" s="38">
        <v>314</v>
      </c>
      <c r="K314" s="38">
        <v>224</v>
      </c>
      <c r="L314" s="38">
        <v>45</v>
      </c>
      <c r="M314" s="38">
        <v>43</v>
      </c>
      <c r="N314" s="38">
        <v>343</v>
      </c>
      <c r="O314" s="229">
        <v>313</v>
      </c>
      <c r="P314" s="38">
        <v>284</v>
      </c>
      <c r="Q314" s="38">
        <v>270</v>
      </c>
      <c r="R314" s="38">
        <f t="shared" si="71"/>
        <v>16</v>
      </c>
      <c r="S314" s="38">
        <f>IF(LEFT($B314,4)="_Mil","",_xlfn.IFNA(ROUND(INDEX(Spectrum!$N:$N,MATCH(RIGHT($B314,13)&amp;"|"&amp;$C314&amp;"|"&amp;$D314&amp;"|"&amp;S$14&amp;"|"&amp;"CY2023Q4",Spectrum!$R:$R,0)),0),""))</f>
        <v>311</v>
      </c>
      <c r="T314" s="218">
        <f>IF(LEFT($B314,4)="_Mil","",_xlfn.IFNA(ROUND(INDEX(Spectrum!$N:$N,MATCH(RIGHT($B314,13)&amp;"|"&amp;$C314&amp;"|"&amp;$D314&amp;"|"&amp;T$14&amp;"|"&amp;"CY2024Q3",Spectrum!$R:$R,0)),0),""))</f>
        <v>22407</v>
      </c>
      <c r="U314" s="218">
        <f>IF(LEFT($B314,4)="_Mil","",_xlfn.IFNA(ROUND(INDEX(Spectrum!$N:$N,MATCH(RIGHT($B314,13)&amp;"|"&amp;$C314&amp;"|"&amp;$D314&amp;"|"&amp;U$14&amp;"|"&amp;"CY2024Q3",Spectrum!$R:$R,0)),0),""))</f>
        <v>317</v>
      </c>
      <c r="V314" s="38">
        <f>IF(LEFT($B314,4)="_Mil","",_xlfn.IFNA(ROUND(INDEX(Spectrum!$N:$N,MATCH(RIGHT($B314,13)&amp;"|"&amp;$C314&amp;"|"&amp;$D314&amp;"|"&amp;V$14&amp;"|"&amp;"CY2024Q3",Spectrum!$R:$R,0)),0),""))</f>
        <v>368</v>
      </c>
      <c r="W314" s="220">
        <f>IF(LEFT($B314,4)="_Mil","",_xlfn.IFNA(INDEX(Spectrum!$N:$N,MATCH(RIGHT($B314,13)&amp;"|"&amp;$C314&amp;"|"&amp;$D314&amp;"|"&amp;W$14&amp;"|"&amp;"CY2024Q3",Spectrum!$R:$R,0)),""))</f>
        <v>1.4135958000000001E-2</v>
      </c>
      <c r="X314" s="218">
        <f>IF(LEFT($B314,4)="_Mil","",_xlfn.IFNA(ROUND(INDEX(Spectrum!$N:$N,MATCH(RIGHT($B314,13)&amp;"|"&amp;$C314&amp;"|"&amp;$D314&amp;"|"&amp;X$14&amp;"|"&amp;"CY2024Q3",Spectrum!$R:$R,0)),0),""))</f>
        <v>277</v>
      </c>
      <c r="Y314" s="33">
        <f t="shared" si="72"/>
        <v>0.87</v>
      </c>
      <c r="Z314" s="218">
        <f>IF(LEFT($B314,4)="_Mil","",_xlfn.IFNA(ROUND(INDEX(Spectrum!$N:$N,MATCH(RIGHT($B314,13)&amp;"|"&amp;$C314&amp;"|"&amp;$D314&amp;"|"&amp;Z$14&amp;"|"&amp;"CY2024Q3",Spectrum!$R:$R,0)),0),""))</f>
        <v>305</v>
      </c>
      <c r="AA314" s="33">
        <f>IF(LEFT($B314,4)="_Mil","",IFERROR(1/(1/INDEX(Spectrum!$N:$N,MATCH(RIGHT($B314,13)&amp;"|"&amp;$C314&amp;"|"&amp;$D314&amp;"|"&amp;AA$14&amp;"|"&amp;"CY2024Q3",Spectrum!$R:$R,0))),IF(SUM($U314)=0,"",SUM($Z314)/$U314)))</f>
        <v>0.85231247799999998</v>
      </c>
      <c r="AB314" s="33">
        <f t="shared" si="73"/>
        <v>1.1010830324909748</v>
      </c>
      <c r="AC314" s="38">
        <f>IF(LEFT($B314,4)="_Mil","",_xlfn.IFNA(ROUND(INDEX(Spectrum!$N:$N,MATCH(RIGHT($B314,13)&amp;"|"&amp;$C314&amp;"|"&amp;$D314&amp;"|"&amp;AC$14&amp;"|"&amp;"CY2024Q3",Spectrum!$R:$R,0)),0),""))</f>
        <v>63</v>
      </c>
      <c r="AD314" s="38" t="str">
        <f>IF(LEFT($B314,4)="_Mil","",_xlfn.IFNA(ROUND(INDEX(Spectrum!$N:$N,MATCH(RIGHT($B314,13)&amp;"|"&amp;$C314&amp;"|"&amp;$D314&amp;"|"&amp;AD$14&amp;"|"&amp;"CY2024Q3",Spectrum!$R:$R,0)),0),""))</f>
        <v/>
      </c>
      <c r="AE314" s="33">
        <f t="shared" si="74"/>
        <v>0</v>
      </c>
      <c r="AF314" s="218" t="str">
        <f>IF(LEFT($B314,4)="_Mil","",_xlfn.IFNA(ROUND(INDEX(Spectrum!$N:$N,MATCH(RIGHT($B314,13)&amp;"|"&amp;$C314&amp;"|"&amp;$D314&amp;"|"&amp;AF$14&amp;"|"&amp;"CY2024Q3",Spectrum!$R:$R,0)),0),""))</f>
        <v/>
      </c>
      <c r="AG314" s="33" t="str">
        <f t="shared" si="75"/>
        <v/>
      </c>
      <c r="AH314" s="110" t="str">
        <f>IF(LEFT($B314,4)="_Mil","",_xlfn.IFNA(INDEX(Spectrum!$N:$N,MATCH(RIGHT($B314,13)&amp;"|"&amp;$C314&amp;"|"&amp;$D314&amp;"|"&amp;AH$14&amp;"|"&amp;"CY2024Q3",Spectrum!$R:$R,0)),""))</f>
        <v/>
      </c>
      <c r="AI314" s="218">
        <f>IF(LEFT($B314,4)="_Mil","",_xlfn.IFNA(ROUND(INDEX(Spectrum!$N:$N,MATCH(RIGHT($B314,13)&amp;"|"&amp;$C314&amp;"|"&amp;$D314&amp;"|"&amp;AI$14&amp;"|"&amp;"CY2025Q3",Spectrum!$R:$R,0)),0),""))</f>
        <v>0</v>
      </c>
      <c r="AJ314" s="38">
        <f>IF(LEFT($B314,4)="_Mil","",_xlfn.IFNA(ROUND(INDEX(Spectrum!$N:$N,MATCH(RIGHT($B314,13)&amp;"|"&amp;$C314&amp;"|"&amp;$D314&amp;"|"&amp;AJ$14&amp;"|"&amp;"CY2025Q3",Spectrum!$R:$R,0)),0),""))</f>
        <v>287</v>
      </c>
      <c r="AK314" s="218" t="e">
        <f>#REF!</f>
        <v>#REF!</v>
      </c>
      <c r="AL314" s="33">
        <f t="shared" si="76"/>
        <v>0.9</v>
      </c>
      <c r="AM314" s="38" t="e">
        <f>IF(OR(LEFT($B314,4)="_Mil",$C314="&lt;01"),"",ROUND(SUM($AK314)*SUM($AL314),0))</f>
        <v>#REF!</v>
      </c>
      <c r="AN314" s="38" t="str">
        <f>IF($C314="&lt;01",ROUND(INDEX(EID!$P:$P,MATCH($B314,EID!$B:$B,0))/2,0),"")</f>
        <v/>
      </c>
      <c r="AO314" s="38" t="e">
        <f>IF($C314="&lt;01",SUM($AN314),ROUND(SUM($AM314)*SUM($O314)/IF(SUM($Z314)=0,1,$Z314),0))</f>
        <v>#REF!</v>
      </c>
      <c r="AP314" s="218">
        <f>IF(OR($F314="",$C314="&lt;01"),$AO314,ROUND($F314,0))</f>
        <v>329</v>
      </c>
      <c r="AQ314" s="218">
        <f>IF(LEFT($B314,4)="_Mil","",IF(SUM($AP314)=0,SUM($Z314),IF(OR(SUM($Z314)=0,SUM($O314)=0),MAX($AP314,$Z314),ROUND($AP314*$Z314/$O314,0))))</f>
        <v>321</v>
      </c>
      <c r="AR314" s="33" t="e">
        <f>IF(OR(LEFT($B314,4)="_Mil",SUM($AK314)=0),"",SUM($AQ314)/$AK314)</f>
        <v>#REF!</v>
      </c>
      <c r="AS314" s="33">
        <f>IF($C314="&lt;01","",98%)</f>
        <v>0.98</v>
      </c>
      <c r="AT314" s="33">
        <f t="shared" si="83"/>
        <v>0.98</v>
      </c>
      <c r="AU314" s="38">
        <f>IF($C314="&lt;01","",SUM($AP314)-SUM($O314))</f>
        <v>16</v>
      </c>
      <c r="AV314" s="38">
        <f>IF($C314="&lt;01",ROUND(INDEX(EID!$N:$N,MATCH($B314,EID!$B:$B,0))/2,0),IF(SUM($AT314)=0,"",ROUND((SUM($AP314)-(SUM($O314)*SUM($AS314)))/$AT314,0)))</f>
        <v>23</v>
      </c>
      <c r="AW314" s="33">
        <f t="shared" si="77"/>
        <v>1</v>
      </c>
      <c r="AX314" s="218">
        <f>IF($C314="&lt;01",SUM($AV314),ROUND(SUM($AV314)*SUM($AW314),0))</f>
        <v>23</v>
      </c>
      <c r="AY314" s="79">
        <f t="shared" si="78"/>
        <v>0.7</v>
      </c>
      <c r="AZ314" s="85">
        <f>IF($C314="&lt;01",ROUND(INDEX(EID!$R:$R,MATCH($B314,EID!$B:$B,0))/2,0),ROUND(SUM($O314)+(SUM($AV314)*$AY314),0))</f>
        <v>329</v>
      </c>
      <c r="BA314" s="40">
        <f t="shared" si="82"/>
        <v>0.9</v>
      </c>
      <c r="BB314" s="99">
        <f>IF($C314="&lt;01",ROUND(INDEX(EID!$T:$T,MATCH($B314,EID!$B:$B,0))/2,0),ROUND($AP314*$BA314,0))</f>
        <v>296</v>
      </c>
      <c r="BC314" s="85">
        <f>IF(LEFT($B314,4)="_Mil","",IF(SUM($BB314)=0,SUM($AD314),IF(OR(SUM($AP314)=0,SUM($AQ314)=0),MAX($BB314,$AD314),ROUND($BB314*$AQ314/$AP314,0))))</f>
        <v>289</v>
      </c>
      <c r="BD314" s="33">
        <f t="shared" si="79"/>
        <v>0.95</v>
      </c>
      <c r="BE314" s="218">
        <f>IF($C314="&lt;01",ROUND(INDEX(EID!$V:$V,MATCH($B314,EID!$B:$B,0))/2,0),ROUND($BD314*$BB314,0))</f>
        <v>281</v>
      </c>
      <c r="BF314" s="218">
        <f>IF(LEFT($B314,4)="_Mil","",IF(SUM($BE314)=0,SUM($AF314),IF(OR(SUM($AP314)=0,SUM($AQ314)=0),MAX($BE314,$AF314),ROUND($BE314*$AQ314/$AP314,0))))</f>
        <v>274</v>
      </c>
      <c r="BG314" s="79">
        <f t="shared" si="80"/>
        <v>0.95</v>
      </c>
      <c r="BH314" s="99">
        <f>IF($C314="&lt;01",ROUND(INDEX(EID!$L:$L,MATCH($B314,EID!$B:$B,0)),0)/2,IF(SUM($BG314)=0,"",ROUND($AX314/$BG314,0)))</f>
        <v>24</v>
      </c>
    </row>
    <row r="315" spans="1:60" x14ac:dyDescent="0.2">
      <c r="A315" t="str">
        <f>INDEX(Prioritization!$D:$D,MATCH($B315,Prioritization!$A:$A,0))</f>
        <v>INVALID</v>
      </c>
      <c r="B315" t="s">
        <v>322</v>
      </c>
      <c r="C315" t="s">
        <v>475</v>
      </c>
      <c r="D315" t="s">
        <v>30</v>
      </c>
      <c r="E315" t="str">
        <f t="shared" si="70"/>
        <v>Nsanje District [rpw540fmNUz]|15-24|Female</v>
      </c>
      <c r="F315" s="229">
        <v>1293</v>
      </c>
      <c r="G315" s="38">
        <v>337</v>
      </c>
      <c r="H315" s="38">
        <v>328</v>
      </c>
      <c r="I315" s="38">
        <v>1293</v>
      </c>
      <c r="J315" s="38">
        <v>1204</v>
      </c>
      <c r="K315" s="38">
        <v>1033</v>
      </c>
      <c r="L315" s="38">
        <v>109</v>
      </c>
      <c r="M315" s="38">
        <v>107</v>
      </c>
      <c r="N315" s="38">
        <v>1241</v>
      </c>
      <c r="O315" s="229">
        <v>1293</v>
      </c>
      <c r="P315" s="38">
        <v>1137</v>
      </c>
      <c r="Q315" s="38">
        <v>1080</v>
      </c>
      <c r="R315" s="38">
        <f t="shared" si="71"/>
        <v>0</v>
      </c>
      <c r="S315" s="38">
        <f>IF(LEFT($B315,4)="_Mil","",_xlfn.IFNA(ROUND(INDEX(Spectrum!$N:$N,MATCH(RIGHT($B315,13)&amp;"|"&amp;$C315&amp;"|"&amp;$D315&amp;"|"&amp;S$14&amp;"|"&amp;"CY2023Q4",Spectrum!$R:$R,0)),0),""))</f>
        <v>1231</v>
      </c>
      <c r="T315" s="218">
        <f>IF(LEFT($B315,4)="_Mil","",_xlfn.IFNA(ROUND(INDEX(Spectrum!$N:$N,MATCH(RIGHT($B315,13)&amp;"|"&amp;$C315&amp;"|"&amp;$D315&amp;"|"&amp;T$14&amp;"|"&amp;"CY2024Q3",Spectrum!$R:$R,0)),0),""))</f>
        <v>38727</v>
      </c>
      <c r="U315" s="218">
        <f>IF(LEFT($B315,4)="_Mil","",_xlfn.IFNA(ROUND(INDEX(Spectrum!$N:$N,MATCH(RIGHT($B315,13)&amp;"|"&amp;$C315&amp;"|"&amp;$D315&amp;"|"&amp;U$14&amp;"|"&amp;"CY2024Q3",Spectrum!$R:$R,0)),0),""))</f>
        <v>1079</v>
      </c>
      <c r="V315" s="38">
        <f>IF(LEFT($B315,4)="_Mil","",_xlfn.IFNA(ROUND(INDEX(Spectrum!$N:$N,MATCH(RIGHT($B315,13)&amp;"|"&amp;$C315&amp;"|"&amp;$D315&amp;"|"&amp;V$14&amp;"|"&amp;"CY2024Q3",Spectrum!$R:$R,0)),0),""))</f>
        <v>1269</v>
      </c>
      <c r="W315" s="220">
        <f>IF(LEFT($B315,4)="_Mil","",_xlfn.IFNA(INDEX(Spectrum!$N:$N,MATCH(RIGHT($B315,13)&amp;"|"&amp;$C315&amp;"|"&amp;$D315&amp;"|"&amp;W$14&amp;"|"&amp;"CY2024Q3",Spectrum!$R:$R,0)),""))</f>
        <v>2.78628E-2</v>
      </c>
      <c r="X315" s="218">
        <f>IF(LEFT($B315,4)="_Mil","",_xlfn.IFNA(ROUND(INDEX(Spectrum!$N:$N,MATCH(RIGHT($B315,13)&amp;"|"&amp;$C315&amp;"|"&amp;$D315&amp;"|"&amp;X$14&amp;"|"&amp;"CY2024Q3",Spectrum!$R:$R,0)),0),""))</f>
        <v>1026</v>
      </c>
      <c r="Y315" s="33">
        <f t="shared" si="72"/>
        <v>0.95</v>
      </c>
      <c r="Z315" s="218">
        <f>IF(LEFT($B315,4)="_Mil","",_xlfn.IFNA(ROUND(INDEX(Spectrum!$N:$N,MATCH(RIGHT($B315,13)&amp;"|"&amp;$C315&amp;"|"&amp;$D315&amp;"|"&amp;Z$14&amp;"|"&amp;"CY2024Q3",Spectrum!$R:$R,0)),0),""))</f>
        <v>1204</v>
      </c>
      <c r="AA315" s="33">
        <f>IF(LEFT($B315,4)="_Mil","",IFERROR(1/(1/INDEX(Spectrum!$N:$N,MATCH(RIGHT($B315,13)&amp;"|"&amp;$C315&amp;"|"&amp;$D315&amp;"|"&amp;AA$14&amp;"|"&amp;"CY2024Q3",Spectrum!$R:$R,0))),IF(SUM($U315)=0,"",SUM($Z315)/$U315)))</f>
        <v>0.95070151899999999</v>
      </c>
      <c r="AB315" s="33">
        <f t="shared" si="73"/>
        <v>1.1734892787524367</v>
      </c>
      <c r="AC315" s="38">
        <f>IF(LEFT($B315,4)="_Mil","",_xlfn.IFNA(ROUND(INDEX(Spectrum!$N:$N,MATCH(RIGHT($B315,13)&amp;"|"&amp;$C315&amp;"|"&amp;$D315&amp;"|"&amp;AC$14&amp;"|"&amp;"CY2024Q3",Spectrum!$R:$R,0)),0),""))</f>
        <v>65</v>
      </c>
      <c r="AD315" s="38" t="str">
        <f>IF(LEFT($B315,4)="_Mil","",_xlfn.IFNA(ROUND(INDEX(Spectrum!$N:$N,MATCH(RIGHT($B315,13)&amp;"|"&amp;$C315&amp;"|"&amp;$D315&amp;"|"&amp;AD$14&amp;"|"&amp;"CY2024Q3",Spectrum!$R:$R,0)),0),""))</f>
        <v/>
      </c>
      <c r="AE315" s="33">
        <f t="shared" si="74"/>
        <v>0</v>
      </c>
      <c r="AF315" s="218" t="str">
        <f>IF(LEFT($B315,4)="_Mil","",_xlfn.IFNA(ROUND(INDEX(Spectrum!$N:$N,MATCH(RIGHT($B315,13)&amp;"|"&amp;$C315&amp;"|"&amp;$D315&amp;"|"&amp;AF$14&amp;"|"&amp;"CY2024Q3",Spectrum!$R:$R,0)),0),""))</f>
        <v/>
      </c>
      <c r="AG315" s="33" t="str">
        <f t="shared" si="75"/>
        <v/>
      </c>
      <c r="AH315" s="110" t="str">
        <f>IF(LEFT($B315,4)="_Mil","",_xlfn.IFNA(INDEX(Spectrum!$N:$N,MATCH(RIGHT($B315,13)&amp;"|"&amp;$C315&amp;"|"&amp;$D315&amp;"|"&amp;AH$14&amp;"|"&amp;"CY2024Q3",Spectrum!$R:$R,0)),""))</f>
        <v/>
      </c>
      <c r="AI315" s="218">
        <f>IF(LEFT($B315,4)="_Mil","",_xlfn.IFNA(ROUND(INDEX(Spectrum!$N:$N,MATCH(RIGHT($B315,13)&amp;"|"&amp;$C315&amp;"|"&amp;$D315&amp;"|"&amp;AI$14&amp;"|"&amp;"CY2025Q3",Spectrum!$R:$R,0)),0),""))</f>
        <v>58</v>
      </c>
      <c r="AJ315" s="38">
        <f>IF(LEFT($B315,4)="_Mil","",_xlfn.IFNA(ROUND(INDEX(Spectrum!$N:$N,MATCH(RIGHT($B315,13)&amp;"|"&amp;$C315&amp;"|"&amp;$D315&amp;"|"&amp;AJ$14&amp;"|"&amp;"CY2025Q3",Spectrum!$R:$R,0)),0),""))</f>
        <v>1048</v>
      </c>
      <c r="AK315" s="218" t="e">
        <f>#REF!</f>
        <v>#REF!</v>
      </c>
      <c r="AL315" s="33">
        <f t="shared" si="76"/>
        <v>0.95070151899999999</v>
      </c>
      <c r="AM315" s="38" t="e">
        <f>IF(OR(LEFT($B315,4)="_Mil",$C315="&lt;01"),"",ROUND(SUM($AK315)*SUM($AL315),0))</f>
        <v>#REF!</v>
      </c>
      <c r="AN315" s="38" t="str">
        <f>IF($C315="&lt;01",ROUND(INDEX(EID!$P:$P,MATCH($B315,EID!$B:$B,0))/2,0),"")</f>
        <v/>
      </c>
      <c r="AO315" s="38" t="e">
        <f>IF($C315="&lt;01",SUM($AN315),ROUND(SUM($AM315)*SUM($O315)/IF(SUM($Z315)=0,1,$Z315),0))</f>
        <v>#REF!</v>
      </c>
      <c r="AP315" s="218">
        <f>IF(OR($F315="",$C315="&lt;01"),$AO315,ROUND($F315,0))</f>
        <v>1293</v>
      </c>
      <c r="AQ315" s="218">
        <f>IF(LEFT($B315,4)="_Mil","",IF(SUM($AP315)=0,SUM($Z315),IF(OR(SUM($Z315)=0,SUM($O315)=0),MAX($AP315,$Z315),ROUND($AP315*$Z315/$O315,0))))</f>
        <v>1204</v>
      </c>
      <c r="AR315" s="33" t="e">
        <f>IF(OR(LEFT($B315,4)="_Mil",SUM($AK315)=0),"",SUM($AQ315)/$AK315)</f>
        <v>#REF!</v>
      </c>
      <c r="AS315" s="33">
        <f>IF($C315="&lt;01","",83%)</f>
        <v>0.83</v>
      </c>
      <c r="AT315" s="33">
        <f>IF($C315="&lt;01","",90%)</f>
        <v>0.9</v>
      </c>
      <c r="AU315" s="38">
        <f>IF($C315="&lt;01","",SUM($AP315)-SUM($O315))</f>
        <v>0</v>
      </c>
      <c r="AV315" s="38">
        <f>IF($C315="&lt;01",ROUND(INDEX(EID!$N:$N,MATCH($B315,EID!$B:$B,0))/2,0),IF(SUM($AT315)=0,"",ROUND((SUM($AP315)-(SUM($O315)*SUM($AS315)))/$AT315,0)))</f>
        <v>244</v>
      </c>
      <c r="AW315" s="33">
        <f t="shared" si="77"/>
        <v>1</v>
      </c>
      <c r="AX315" s="218">
        <f>IF($C315="&lt;01",SUM($AV315),ROUND(SUM($AV315)*SUM($AW315),0))</f>
        <v>244</v>
      </c>
      <c r="AY315" s="79">
        <f t="shared" si="78"/>
        <v>0.7</v>
      </c>
      <c r="AZ315" s="85">
        <f>IF($C315="&lt;01",ROUND(INDEX(EID!$R:$R,MATCH($B315,EID!$B:$B,0))/2,0),ROUND(SUM($O315)+(SUM($AV315)*$AY315),0))</f>
        <v>1464</v>
      </c>
      <c r="BA315" s="40">
        <f t="shared" si="82"/>
        <v>0.9</v>
      </c>
      <c r="BB315" s="99">
        <f>IF($C315="&lt;01",ROUND(INDEX(EID!$T:$T,MATCH($B315,EID!$B:$B,0))/2,0),ROUND($AP315*$BA315,0))</f>
        <v>1164</v>
      </c>
      <c r="BC315" s="85">
        <f>IF(LEFT($B315,4)="_Mil","",IF(SUM($BB315)=0,SUM($AD315),IF(OR(SUM($AP315)=0,SUM($AQ315)=0),MAX($BB315,$AD315),ROUND($BB315*$AQ315/$AP315,0))))</f>
        <v>1084</v>
      </c>
      <c r="BD315" s="33">
        <f t="shared" si="79"/>
        <v>0.95</v>
      </c>
      <c r="BE315" s="218">
        <f>IF($C315="&lt;01",ROUND(INDEX(EID!$V:$V,MATCH($B315,EID!$B:$B,0))/2,0),ROUND($BD315*$BB315,0))</f>
        <v>1106</v>
      </c>
      <c r="BF315" s="218">
        <f>IF(LEFT($B315,4)="_Mil","",IF(SUM($BE315)=0,SUM($AF315),IF(OR(SUM($AP315)=0,SUM($AQ315)=0),MAX($BE315,$AF315),ROUND($BE315*$AQ315/$AP315,0))))</f>
        <v>1030</v>
      </c>
      <c r="BG315" s="79">
        <f t="shared" si="80"/>
        <v>0.95</v>
      </c>
      <c r="BH315" s="99">
        <f>IF($C315="&lt;01",ROUND(INDEX(EID!$L:$L,MATCH($B315,EID!$B:$B,0)),0)/2,IF(SUM($BG315)=0,"",ROUND($AX315/$BG315,0)))</f>
        <v>257</v>
      </c>
    </row>
    <row r="316" spans="1:60" x14ac:dyDescent="0.2">
      <c r="A316" t="str">
        <f>INDEX(Prioritization!$D:$D,MATCH($B316,Prioritization!$A:$A,0))</f>
        <v>INVALID</v>
      </c>
      <c r="B316" t="s">
        <v>322</v>
      </c>
      <c r="C316" t="s">
        <v>475</v>
      </c>
      <c r="D316" t="s">
        <v>48</v>
      </c>
      <c r="E316" t="str">
        <f t="shared" si="70"/>
        <v>Nsanje District [rpw540fmNUz]|15-24|Male</v>
      </c>
      <c r="F316" s="229">
        <v>680</v>
      </c>
      <c r="G316" s="38">
        <v>72</v>
      </c>
      <c r="H316" s="38">
        <v>73</v>
      </c>
      <c r="I316" s="38">
        <v>464</v>
      </c>
      <c r="J316" s="38">
        <v>415</v>
      </c>
      <c r="K316" s="38">
        <v>331</v>
      </c>
      <c r="L316" s="38">
        <v>119</v>
      </c>
      <c r="M316" s="38">
        <v>113</v>
      </c>
      <c r="N316" s="38">
        <v>824</v>
      </c>
      <c r="O316" s="229">
        <v>638</v>
      </c>
      <c r="P316" s="38">
        <v>724</v>
      </c>
      <c r="Q316" s="38">
        <v>688</v>
      </c>
      <c r="R316" s="38">
        <f t="shared" si="71"/>
        <v>174</v>
      </c>
      <c r="S316" s="38">
        <f>IF(LEFT($B316,4)="_Mil","",_xlfn.IFNA(ROUND(INDEX(Spectrum!$N:$N,MATCH(RIGHT($B316,13)&amp;"|"&amp;$C316&amp;"|"&amp;$D316&amp;"|"&amp;S$14&amp;"|"&amp;"CY2023Q4",Spectrum!$R:$R,0)),0),""))</f>
        <v>756</v>
      </c>
      <c r="T316" s="218">
        <f>IF(LEFT($B316,4)="_Mil","",_xlfn.IFNA(ROUND(INDEX(Spectrum!$N:$N,MATCH(RIGHT($B316,13)&amp;"|"&amp;$C316&amp;"|"&amp;$D316&amp;"|"&amp;T$14&amp;"|"&amp;"CY2024Q3",Spectrum!$R:$R,0)),0),""))</f>
        <v>36682</v>
      </c>
      <c r="U316" s="218">
        <f>IF(LEFT($B316,4)="_Mil","",_xlfn.IFNA(ROUND(INDEX(Spectrum!$N:$N,MATCH(RIGHT($B316,13)&amp;"|"&amp;$C316&amp;"|"&amp;$D316&amp;"|"&amp;U$14&amp;"|"&amp;"CY2024Q3",Spectrum!$R:$R,0)),0),""))</f>
        <v>716</v>
      </c>
      <c r="V316" s="38">
        <f>IF(LEFT($B316,4)="_Mil","",_xlfn.IFNA(ROUND(INDEX(Spectrum!$N:$N,MATCH(RIGHT($B316,13)&amp;"|"&amp;$C316&amp;"|"&amp;$D316&amp;"|"&amp;V$14&amp;"|"&amp;"CY2024Q3",Spectrum!$R:$R,0)),0),""))</f>
        <v>850</v>
      </c>
      <c r="W316" s="220">
        <f>IF(LEFT($B316,4)="_Mil","",_xlfn.IFNA(INDEX(Spectrum!$N:$N,MATCH(RIGHT($B316,13)&amp;"|"&amp;$C316&amp;"|"&amp;$D316&amp;"|"&amp;W$14&amp;"|"&amp;"CY2024Q3",Spectrum!$R:$R,0)),""))</f>
        <v>1.9515329000000001E-2</v>
      </c>
      <c r="X316" s="218">
        <f>IF(LEFT($B316,4)="_Mil","",_xlfn.IFNA(ROUND(INDEX(Spectrum!$N:$N,MATCH(RIGHT($B316,13)&amp;"|"&amp;$C316&amp;"|"&amp;$D316&amp;"|"&amp;X$14&amp;"|"&amp;"CY2024Q3",Spectrum!$R:$R,0)),0),""))</f>
        <v>662</v>
      </c>
      <c r="Y316" s="33">
        <f t="shared" si="72"/>
        <v>0.92</v>
      </c>
      <c r="Z316" s="218">
        <f>IF(LEFT($B316,4)="_Mil","",_xlfn.IFNA(ROUND(INDEX(Spectrum!$N:$N,MATCH(RIGHT($B316,13)&amp;"|"&amp;$C316&amp;"|"&amp;$D316&amp;"|"&amp;Z$14&amp;"|"&amp;"CY2024Q3",Spectrum!$R:$R,0)),0),""))</f>
        <v>778</v>
      </c>
      <c r="AA316" s="33">
        <f>IF(LEFT($B316,4)="_Mil","",IFERROR(1/(1/INDEX(Spectrum!$N:$N,MATCH(RIGHT($B316,13)&amp;"|"&amp;$C316&amp;"|"&amp;$D316&amp;"|"&amp;AA$14&amp;"|"&amp;"CY2024Q3",Spectrum!$R:$R,0))),IF(SUM($U316)=0,"",SUM($Z316)/$U316)))</f>
        <v>0.92256944600000002</v>
      </c>
      <c r="AB316" s="33">
        <f t="shared" si="73"/>
        <v>1.1752265861027191</v>
      </c>
      <c r="AC316" s="38">
        <f>IF(LEFT($B316,4)="_Mil","",_xlfn.IFNA(ROUND(INDEX(Spectrum!$N:$N,MATCH(RIGHT($B316,13)&amp;"|"&amp;$C316&amp;"|"&amp;$D316&amp;"|"&amp;AC$14&amp;"|"&amp;"CY2024Q3",Spectrum!$R:$R,0)),0),""))</f>
        <v>71</v>
      </c>
      <c r="AD316" s="38" t="str">
        <f>IF(LEFT($B316,4)="_Mil","",_xlfn.IFNA(ROUND(INDEX(Spectrum!$N:$N,MATCH(RIGHT($B316,13)&amp;"|"&amp;$C316&amp;"|"&amp;$D316&amp;"|"&amp;AD$14&amp;"|"&amp;"CY2024Q3",Spectrum!$R:$R,0)),0),""))</f>
        <v/>
      </c>
      <c r="AE316" s="33">
        <f t="shared" si="74"/>
        <v>0</v>
      </c>
      <c r="AF316" s="218" t="str">
        <f>IF(LEFT($B316,4)="_Mil","",_xlfn.IFNA(ROUND(INDEX(Spectrum!$N:$N,MATCH(RIGHT($B316,13)&amp;"|"&amp;$C316&amp;"|"&amp;$D316&amp;"|"&amp;AF$14&amp;"|"&amp;"CY2024Q3",Spectrum!$R:$R,0)),0),""))</f>
        <v/>
      </c>
      <c r="AG316" s="33" t="str">
        <f t="shared" si="75"/>
        <v/>
      </c>
      <c r="AH316" s="110" t="str">
        <f>IF(LEFT($B316,4)="_Mil","",_xlfn.IFNA(INDEX(Spectrum!$N:$N,MATCH(RIGHT($B316,13)&amp;"|"&amp;$C316&amp;"|"&amp;$D316&amp;"|"&amp;AH$14&amp;"|"&amp;"CY2024Q3",Spectrum!$R:$R,0)),""))</f>
        <v/>
      </c>
      <c r="AI316" s="218">
        <f>IF(LEFT($B316,4)="_Mil","",_xlfn.IFNA(ROUND(INDEX(Spectrum!$N:$N,MATCH(RIGHT($B316,13)&amp;"|"&amp;$C316&amp;"|"&amp;$D316&amp;"|"&amp;AI$14&amp;"|"&amp;"CY2025Q3",Spectrum!$R:$R,0)),0),""))</f>
        <v>9</v>
      </c>
      <c r="AJ316" s="38">
        <f>IF(LEFT($B316,4)="_Mil","",_xlfn.IFNA(ROUND(INDEX(Spectrum!$N:$N,MATCH(RIGHT($B316,13)&amp;"|"&amp;$C316&amp;"|"&amp;$D316&amp;"|"&amp;AJ$14&amp;"|"&amp;"CY2025Q3",Spectrum!$R:$R,0)),0),""))</f>
        <v>718</v>
      </c>
      <c r="AK316" s="218" t="e">
        <f>#REF!</f>
        <v>#REF!</v>
      </c>
      <c r="AL316" s="33">
        <f t="shared" si="76"/>
        <v>0.92256944600000002</v>
      </c>
      <c r="AM316" s="38" t="e">
        <f>IF(OR(LEFT($B316,4)="_Mil",$C316="&lt;01"),"",ROUND(SUM($AK316)*SUM($AL316),0))</f>
        <v>#REF!</v>
      </c>
      <c r="AN316" s="38" t="str">
        <f>IF($C316="&lt;01",ROUND(INDEX(EID!$P:$P,MATCH($B316,EID!$B:$B,0))/2,0),"")</f>
        <v/>
      </c>
      <c r="AO316" s="38" t="e">
        <f>IF($C316="&lt;01",SUM($AN316),ROUND(SUM($AM316)*SUM($O316)/IF(SUM($Z316)=0,1,$Z316),0))</f>
        <v>#REF!</v>
      </c>
      <c r="AP316" s="218">
        <f>IF(OR($F316="",$C316="&lt;01"),$AO316,ROUND($F316,0))</f>
        <v>680</v>
      </c>
      <c r="AQ316" s="218">
        <f>IF(LEFT($B316,4)="_Mil","",IF(SUM($AP316)=0,SUM($Z316),IF(OR(SUM($Z316)=0,SUM($O316)=0),MAX($AP316,$Z316),ROUND($AP316*$Z316/$O316,0))))</f>
        <v>829</v>
      </c>
      <c r="AR316" s="33" t="e">
        <f>IF(OR(LEFT($B316,4)="_Mil",SUM($AK316)=0),"",SUM($AQ316)/$AK316)</f>
        <v>#REF!</v>
      </c>
      <c r="AS316" s="33">
        <f>IF($C316="&lt;01","",98%)</f>
        <v>0.98</v>
      </c>
      <c r="AT316" s="33">
        <f t="shared" si="83"/>
        <v>0.98</v>
      </c>
      <c r="AU316" s="38">
        <f>IF($C316="&lt;01","",SUM($AP316)-SUM($O316))</f>
        <v>42</v>
      </c>
      <c r="AV316" s="38">
        <f>IF($C316="&lt;01",ROUND(INDEX(EID!$N:$N,MATCH($B316,EID!$B:$B,0))/2,0),IF(SUM($AT316)=0,"",ROUND((SUM($AP316)-(SUM($O316)*SUM($AS316)))/$AT316,0)))</f>
        <v>56</v>
      </c>
      <c r="AW316" s="33">
        <f t="shared" si="77"/>
        <v>1</v>
      </c>
      <c r="AX316" s="218">
        <f>IF($C316="&lt;01",SUM($AV316),ROUND(SUM($AV316)*SUM($AW316),0))</f>
        <v>56</v>
      </c>
      <c r="AY316" s="79">
        <f t="shared" si="78"/>
        <v>0.7</v>
      </c>
      <c r="AZ316" s="85">
        <f>IF($C316="&lt;01",ROUND(INDEX(EID!$R:$R,MATCH($B316,EID!$B:$B,0))/2,0),ROUND(SUM($O316)+(SUM($AV316)*$AY316),0))</f>
        <v>677</v>
      </c>
      <c r="BA316" s="40">
        <f t="shared" si="82"/>
        <v>0.9</v>
      </c>
      <c r="BB316" s="99">
        <f>IF($C316="&lt;01",ROUND(INDEX(EID!$T:$T,MATCH($B316,EID!$B:$B,0))/2,0),ROUND($AP316*$BA316,0))</f>
        <v>612</v>
      </c>
      <c r="BC316" s="85">
        <f>IF(LEFT($B316,4)="_Mil","",IF(SUM($BB316)=0,SUM($AD316),IF(OR(SUM($AP316)=0,SUM($AQ316)=0),MAX($BB316,$AD316),ROUND($BB316*$AQ316/$AP316,0))))</f>
        <v>746</v>
      </c>
      <c r="BD316" s="33">
        <f t="shared" si="79"/>
        <v>0.95</v>
      </c>
      <c r="BE316" s="218">
        <f>IF($C316="&lt;01",ROUND(INDEX(EID!$V:$V,MATCH($B316,EID!$B:$B,0))/2,0),ROUND($BD316*$BB316,0))</f>
        <v>581</v>
      </c>
      <c r="BF316" s="218">
        <f>IF(LEFT($B316,4)="_Mil","",IF(SUM($BE316)=0,SUM($AF316),IF(OR(SUM($AP316)=0,SUM($AQ316)=0),MAX($BE316,$AF316),ROUND($BE316*$AQ316/$AP316,0))))</f>
        <v>708</v>
      </c>
      <c r="BG316" s="79">
        <f t="shared" si="80"/>
        <v>0.95</v>
      </c>
      <c r="BH316" s="99">
        <f>IF($C316="&lt;01",ROUND(INDEX(EID!$L:$L,MATCH($B316,EID!$B:$B,0)),0)/2,IF(SUM($BG316)=0,"",ROUND($AX316/$BG316,0)))</f>
        <v>59</v>
      </c>
    </row>
    <row r="317" spans="1:60" x14ac:dyDescent="0.2">
      <c r="A317" t="str">
        <f>INDEX(Prioritization!$D:$D,MATCH($B317,Prioritization!$A:$A,0))</f>
        <v>INVALID</v>
      </c>
      <c r="B317" t="s">
        <v>322</v>
      </c>
      <c r="C317" t="s">
        <v>476</v>
      </c>
      <c r="D317" t="s">
        <v>30</v>
      </c>
      <c r="E317" t="str">
        <f t="shared" si="70"/>
        <v>Nsanje District [rpw540fmNUz]|25-34|Female</v>
      </c>
      <c r="F317" s="229">
        <v>3023</v>
      </c>
      <c r="G317" s="38">
        <v>356</v>
      </c>
      <c r="H317" s="38">
        <v>368</v>
      </c>
      <c r="I317" s="38">
        <v>3627</v>
      </c>
      <c r="J317" s="38">
        <v>3131</v>
      </c>
      <c r="K317" s="38">
        <v>2935</v>
      </c>
      <c r="L317" s="38">
        <v>262</v>
      </c>
      <c r="M317" s="38">
        <v>258</v>
      </c>
      <c r="N317" s="38">
        <v>2998</v>
      </c>
      <c r="O317" s="229">
        <v>3237</v>
      </c>
      <c r="P317" s="38">
        <v>2746</v>
      </c>
      <c r="Q317" s="38">
        <v>2609</v>
      </c>
      <c r="R317" s="38">
        <f t="shared" si="71"/>
        <v>-390</v>
      </c>
      <c r="S317" s="38">
        <f>IF(LEFT($B317,4)="_Mil","",_xlfn.IFNA(ROUND(INDEX(Spectrum!$N:$N,MATCH(RIGHT($B317,13)&amp;"|"&amp;$C317&amp;"|"&amp;$D317&amp;"|"&amp;S$14&amp;"|"&amp;"CY2023Q4",Spectrum!$R:$R,0)),0),""))</f>
        <v>3163</v>
      </c>
      <c r="T317" s="218">
        <f>IF(LEFT($B317,4)="_Mil","",_xlfn.IFNA(ROUND(INDEX(Spectrum!$N:$N,MATCH(RIGHT($B317,13)&amp;"|"&amp;$C317&amp;"|"&amp;$D317&amp;"|"&amp;T$14&amp;"|"&amp;"CY2024Q3",Spectrum!$R:$R,0)),0),""))</f>
        <v>25181</v>
      </c>
      <c r="U317" s="218">
        <f>IF(LEFT($B317,4)="_Mil","",_xlfn.IFNA(ROUND(INDEX(Spectrum!$N:$N,MATCH(RIGHT($B317,13)&amp;"|"&amp;$C317&amp;"|"&amp;$D317&amp;"|"&amp;U$14&amp;"|"&amp;"CY2024Q3",Spectrum!$R:$R,0)),0),""))</f>
        <v>2614</v>
      </c>
      <c r="V317" s="38">
        <f>IF(LEFT($B317,4)="_Mil","",_xlfn.IFNA(ROUND(INDEX(Spectrum!$N:$N,MATCH(RIGHT($B317,13)&amp;"|"&amp;$C317&amp;"|"&amp;$D317&amp;"|"&amp;V$14&amp;"|"&amp;"CY2024Q3",Spectrum!$R:$R,0)),0),""))</f>
        <v>3083</v>
      </c>
      <c r="W317" s="220">
        <f>IF(LEFT($B317,4)="_Mil","",_xlfn.IFNA(INDEX(Spectrum!$N:$N,MATCH(RIGHT($B317,13)&amp;"|"&amp;$C317&amp;"|"&amp;$D317&amp;"|"&amp;W$14&amp;"|"&amp;"CY2024Q3",Spectrum!$R:$R,0)),""))</f>
        <v>0.103820359</v>
      </c>
      <c r="X317" s="218">
        <f>IF(LEFT($B317,4)="_Mil","",_xlfn.IFNA(ROUND(INDEX(Spectrum!$N:$N,MATCH(RIGHT($B317,13)&amp;"|"&amp;$C317&amp;"|"&amp;$D317&amp;"|"&amp;X$14&amp;"|"&amp;"CY2024Q3",Spectrum!$R:$R,0)),0),""))</f>
        <v>2546</v>
      </c>
      <c r="Y317" s="33">
        <f t="shared" si="72"/>
        <v>0.97</v>
      </c>
      <c r="Z317" s="218">
        <f>IF(LEFT($B317,4)="_Mil","",_xlfn.IFNA(ROUND(INDEX(Spectrum!$N:$N,MATCH(RIGHT($B317,13)&amp;"|"&amp;$C317&amp;"|"&amp;$D317&amp;"|"&amp;Z$14&amp;"|"&amp;"CY2024Q3",Spectrum!$R:$R,0)),0),""))</f>
        <v>3004</v>
      </c>
      <c r="AA317" s="33">
        <f>IF(LEFT($B317,4)="_Mil","",IFERROR(1/(1/INDEX(Spectrum!$N:$N,MATCH(RIGHT($B317,13)&amp;"|"&amp;$C317&amp;"|"&amp;$D317&amp;"|"&amp;AA$14&amp;"|"&amp;"CY2024Q3",Spectrum!$R:$R,0))),IF(SUM($U317)=0,"",SUM($Z317)/$U317)))</f>
        <v>0.97385967500000004</v>
      </c>
      <c r="AB317" s="33">
        <f t="shared" si="73"/>
        <v>1.1798900235663787</v>
      </c>
      <c r="AC317" s="38">
        <f>IF(LEFT($B317,4)="_Mil","",_xlfn.IFNA(ROUND(INDEX(Spectrum!$N:$N,MATCH(RIGHT($B317,13)&amp;"|"&amp;$C317&amp;"|"&amp;$D317&amp;"|"&amp;AC$14&amp;"|"&amp;"CY2024Q3",Spectrum!$R:$R,0)),0),""))</f>
        <v>79</v>
      </c>
      <c r="AD317" s="38" t="str">
        <f>IF(LEFT($B317,4)="_Mil","",_xlfn.IFNA(ROUND(INDEX(Spectrum!$N:$N,MATCH(RIGHT($B317,13)&amp;"|"&amp;$C317&amp;"|"&amp;$D317&amp;"|"&amp;AD$14&amp;"|"&amp;"CY2024Q3",Spectrum!$R:$R,0)),0),""))</f>
        <v/>
      </c>
      <c r="AE317" s="33">
        <f t="shared" si="74"/>
        <v>0</v>
      </c>
      <c r="AF317" s="218" t="str">
        <f>IF(LEFT($B317,4)="_Mil","",_xlfn.IFNA(ROUND(INDEX(Spectrum!$N:$N,MATCH(RIGHT($B317,13)&amp;"|"&amp;$C317&amp;"|"&amp;$D317&amp;"|"&amp;AF$14&amp;"|"&amp;"CY2024Q3",Spectrum!$R:$R,0)),0),""))</f>
        <v/>
      </c>
      <c r="AG317" s="33" t="str">
        <f t="shared" si="75"/>
        <v/>
      </c>
      <c r="AH317" s="110" t="str">
        <f>IF(LEFT($B317,4)="_Mil","",_xlfn.IFNA(INDEX(Spectrum!$N:$N,MATCH(RIGHT($B317,13)&amp;"|"&amp;$C317&amp;"|"&amp;$D317&amp;"|"&amp;AH$14&amp;"|"&amp;"CY2024Q3",Spectrum!$R:$R,0)),""))</f>
        <v/>
      </c>
      <c r="AI317" s="218">
        <f>IF(LEFT($B317,4)="_Mil","",_xlfn.IFNA(ROUND(INDEX(Spectrum!$N:$N,MATCH(RIGHT($B317,13)&amp;"|"&amp;$C317&amp;"|"&amp;$D317&amp;"|"&amp;AI$14&amp;"|"&amp;"CY2025Q3",Spectrum!$R:$R,0)),0),""))</f>
        <v>55</v>
      </c>
      <c r="AJ317" s="38">
        <f>IF(LEFT($B317,4)="_Mil","",_xlfn.IFNA(ROUND(INDEX(Spectrum!$N:$N,MATCH(RIGHT($B317,13)&amp;"|"&amp;$C317&amp;"|"&amp;$D317&amp;"|"&amp;AJ$14&amp;"|"&amp;"CY2025Q3",Spectrum!$R:$R,0)),0),""))</f>
        <v>2442</v>
      </c>
      <c r="AK317" s="218" t="e">
        <f>#REF!</f>
        <v>#REF!</v>
      </c>
      <c r="AL317" s="33">
        <f t="shared" si="76"/>
        <v>0.97385967500000004</v>
      </c>
      <c r="AM317" s="38" t="e">
        <f>IF(OR(LEFT($B317,4)="_Mil",$C317="&lt;01"),"",ROUND(SUM($AK317)*SUM($AL317),0))</f>
        <v>#REF!</v>
      </c>
      <c r="AN317" s="38" t="str">
        <f>IF($C317="&lt;01",ROUND(INDEX(EID!$P:$P,MATCH($B317,EID!$B:$B,0))/2,0),"")</f>
        <v/>
      </c>
      <c r="AO317" s="38" t="e">
        <f>IF($C317="&lt;01",SUM($AN317),ROUND(SUM($AM317)*SUM($O317)/IF(SUM($Z317)=0,1,$Z317),0))</f>
        <v>#REF!</v>
      </c>
      <c r="AP317" s="218">
        <f>IF(OR($F317="",$C317="&lt;01"),$AO317,ROUND($F317,0))</f>
        <v>3023</v>
      </c>
      <c r="AQ317" s="218">
        <f>IF(LEFT($B317,4)="_Mil","",IF(SUM($AP317)=0,SUM($Z317),IF(OR(SUM($Z317)=0,SUM($O317)=0),MAX($AP317,$Z317),ROUND($AP317*$Z317/$O317,0))))</f>
        <v>2805</v>
      </c>
      <c r="AR317" s="33" t="e">
        <f>IF(OR(LEFT($B317,4)="_Mil",SUM($AK317)=0),"",SUM($AQ317)/$AK317)</f>
        <v>#REF!</v>
      </c>
      <c r="AS317" s="33">
        <f>IF($C317="&lt;01","",88%)</f>
        <v>0.88</v>
      </c>
      <c r="AT317" s="33">
        <f>IF($C317="&lt;01","",90%)</f>
        <v>0.9</v>
      </c>
      <c r="AU317" s="38">
        <f>IF($C317="&lt;01","",SUM($AP317)-SUM($O317))</f>
        <v>-214</v>
      </c>
      <c r="AV317" s="38">
        <f>IF($C317="&lt;01",ROUND(INDEX(EID!$N:$N,MATCH($B317,EID!$B:$B,0))/2,0),IF(SUM($AT317)=0,"",ROUND((SUM($AP317)-(SUM($O317)*SUM($AS317)))/$AT317,0)))</f>
        <v>194</v>
      </c>
      <c r="AW317" s="33">
        <f t="shared" si="77"/>
        <v>1</v>
      </c>
      <c r="AX317" s="218">
        <f>IF($C317="&lt;01",SUM($AV317),ROUND(SUM($AV317)*SUM($AW317),0))</f>
        <v>194</v>
      </c>
      <c r="AY317" s="79">
        <f t="shared" si="78"/>
        <v>0.7</v>
      </c>
      <c r="AZ317" s="85">
        <f>IF($C317="&lt;01",ROUND(INDEX(EID!$R:$R,MATCH($B317,EID!$B:$B,0))/2,0),ROUND(SUM($O317)+(SUM($AV317)*$AY317),0))</f>
        <v>3373</v>
      </c>
      <c r="BA317" s="40">
        <f t="shared" si="82"/>
        <v>0.9</v>
      </c>
      <c r="BB317" s="99">
        <f>IF($C317="&lt;01",ROUND(INDEX(EID!$T:$T,MATCH($B317,EID!$B:$B,0))/2,0),ROUND($AP317*$BA317,0))</f>
        <v>2721</v>
      </c>
      <c r="BC317" s="85">
        <f>IF(LEFT($B317,4)="_Mil","",IF(SUM($BB317)=0,SUM($AD317),IF(OR(SUM($AP317)=0,SUM($AQ317)=0),MAX($BB317,$AD317),ROUND($BB317*$AQ317/$AP317,0))))</f>
        <v>2525</v>
      </c>
      <c r="BD317" s="33">
        <f t="shared" si="79"/>
        <v>0.95</v>
      </c>
      <c r="BE317" s="218">
        <f>IF($C317="&lt;01",ROUND(INDEX(EID!$V:$V,MATCH($B317,EID!$B:$B,0))/2,0),ROUND($BD317*$BB317,0))</f>
        <v>2585</v>
      </c>
      <c r="BF317" s="218">
        <f>IF(LEFT($B317,4)="_Mil","",IF(SUM($BE317)=0,SUM($AF317),IF(OR(SUM($AP317)=0,SUM($AQ317)=0),MAX($BE317,$AF317),ROUND($BE317*$AQ317/$AP317,0))))</f>
        <v>2399</v>
      </c>
      <c r="BG317" s="79">
        <f t="shared" si="80"/>
        <v>0.95</v>
      </c>
      <c r="BH317" s="99">
        <f>IF($C317="&lt;01",ROUND(INDEX(EID!$L:$L,MATCH($B317,EID!$B:$B,0)),0)/2,IF(SUM($BG317)=0,"",ROUND($AX317/$BG317,0)))</f>
        <v>204</v>
      </c>
    </row>
    <row r="318" spans="1:60" x14ac:dyDescent="0.2">
      <c r="A318" t="str">
        <f>INDEX(Prioritization!$D:$D,MATCH($B318,Prioritization!$A:$A,0))</f>
        <v>INVALID</v>
      </c>
      <c r="B318" t="s">
        <v>322</v>
      </c>
      <c r="C318" t="s">
        <v>476</v>
      </c>
      <c r="D318" t="s">
        <v>48</v>
      </c>
      <c r="E318" t="str">
        <f t="shared" si="70"/>
        <v>Nsanje District [rpw540fmNUz]|25-34|Male</v>
      </c>
      <c r="F318" s="229">
        <v>903</v>
      </c>
      <c r="G318" s="38">
        <v>239</v>
      </c>
      <c r="H318" s="38">
        <v>225</v>
      </c>
      <c r="I318" s="38">
        <v>903</v>
      </c>
      <c r="J318" s="38">
        <v>689</v>
      </c>
      <c r="K318" s="38">
        <v>629</v>
      </c>
      <c r="L318" s="38">
        <v>21</v>
      </c>
      <c r="M318" s="38">
        <v>20</v>
      </c>
      <c r="N318" s="38">
        <v>975</v>
      </c>
      <c r="O318" s="229">
        <v>903</v>
      </c>
      <c r="P318" s="38">
        <v>881</v>
      </c>
      <c r="Q318" s="38">
        <v>837</v>
      </c>
      <c r="R318" s="38">
        <f t="shared" si="71"/>
        <v>0</v>
      </c>
      <c r="S318" s="38">
        <f>IF(LEFT($B318,4)="_Mil","",_xlfn.IFNA(ROUND(INDEX(Spectrum!$N:$N,MATCH(RIGHT($B318,13)&amp;"|"&amp;$C318&amp;"|"&amp;$D318&amp;"|"&amp;S$14&amp;"|"&amp;"CY2023Q4",Spectrum!$R:$R,0)),0),""))</f>
        <v>881</v>
      </c>
      <c r="T318" s="218">
        <f>IF(LEFT($B318,4)="_Mil","",_xlfn.IFNA(ROUND(INDEX(Spectrum!$N:$N,MATCH(RIGHT($B318,13)&amp;"|"&amp;$C318&amp;"|"&amp;$D318&amp;"|"&amp;T$14&amp;"|"&amp;"CY2024Q3",Spectrum!$R:$R,0)),0),""))</f>
        <v>21541</v>
      </c>
      <c r="U318" s="218">
        <f>IF(LEFT($B318,4)="_Mil","",_xlfn.IFNA(ROUND(INDEX(Spectrum!$N:$N,MATCH(RIGHT($B318,13)&amp;"|"&amp;$C318&amp;"|"&amp;$D318&amp;"|"&amp;U$14&amp;"|"&amp;"CY2024Q3",Spectrum!$R:$R,0)),0),""))</f>
        <v>821</v>
      </c>
      <c r="V318" s="38">
        <f>IF(LEFT($B318,4)="_Mil","",_xlfn.IFNA(ROUND(INDEX(Spectrum!$N:$N,MATCH(RIGHT($B318,13)&amp;"|"&amp;$C318&amp;"|"&amp;$D318&amp;"|"&amp;V$14&amp;"|"&amp;"CY2024Q3",Spectrum!$R:$R,0)),0),""))</f>
        <v>990</v>
      </c>
      <c r="W318" s="220">
        <f>IF(LEFT($B318,4)="_Mil","",_xlfn.IFNA(INDEX(Spectrum!$N:$N,MATCH(RIGHT($B318,13)&amp;"|"&amp;$C318&amp;"|"&amp;$D318&amp;"|"&amp;W$14&amp;"|"&amp;"CY2024Q3",Spectrum!$R:$R,0)),""))</f>
        <v>3.8130184999999997E-2</v>
      </c>
      <c r="X318" s="218">
        <f>IF(LEFT($B318,4)="_Mil","",_xlfn.IFNA(ROUND(INDEX(Spectrum!$N:$N,MATCH(RIGHT($B318,13)&amp;"|"&amp;$C318&amp;"|"&amp;$D318&amp;"|"&amp;X$14&amp;"|"&amp;"CY2024Q3",Spectrum!$R:$R,0)),0),""))</f>
        <v>743</v>
      </c>
      <c r="Y318" s="33">
        <f t="shared" si="72"/>
        <v>0.9</v>
      </c>
      <c r="Z318" s="218">
        <f>IF(LEFT($B318,4)="_Mil","",_xlfn.IFNA(ROUND(INDEX(Spectrum!$N:$N,MATCH(RIGHT($B318,13)&amp;"|"&amp;$C318&amp;"|"&amp;$D318&amp;"|"&amp;Z$14&amp;"|"&amp;"CY2024Q3",Spectrum!$R:$R,0)),0),""))</f>
        <v>879</v>
      </c>
      <c r="AA318" s="33">
        <f>IF(LEFT($B318,4)="_Mil","",IFERROR(1/(1/INDEX(Spectrum!$N:$N,MATCH(RIGHT($B318,13)&amp;"|"&amp;$C318&amp;"|"&amp;$D318&amp;"|"&amp;AA$14&amp;"|"&amp;"CY2024Q3",Spectrum!$R:$R,0))),IF(SUM($U318)=0,"",SUM($Z318)/$U318)))</f>
        <v>0.89897509900000006</v>
      </c>
      <c r="AB318" s="33">
        <f t="shared" si="73"/>
        <v>1.1830417227456258</v>
      </c>
      <c r="AC318" s="38">
        <f>IF(LEFT($B318,4)="_Mil","",_xlfn.IFNA(ROUND(INDEX(Spectrum!$N:$N,MATCH(RIGHT($B318,13)&amp;"|"&amp;$C318&amp;"|"&amp;$D318&amp;"|"&amp;AC$14&amp;"|"&amp;"CY2024Q3",Spectrum!$R:$R,0)),0),""))</f>
        <v>111</v>
      </c>
      <c r="AD318" s="38" t="str">
        <f>IF(LEFT($B318,4)="_Mil","",_xlfn.IFNA(ROUND(INDEX(Spectrum!$N:$N,MATCH(RIGHT($B318,13)&amp;"|"&amp;$C318&amp;"|"&amp;$D318&amp;"|"&amp;AD$14&amp;"|"&amp;"CY2024Q3",Spectrum!$R:$R,0)),0),""))</f>
        <v/>
      </c>
      <c r="AE318" s="33">
        <f t="shared" si="74"/>
        <v>0</v>
      </c>
      <c r="AF318" s="218" t="str">
        <f>IF(LEFT($B318,4)="_Mil","",_xlfn.IFNA(ROUND(INDEX(Spectrum!$N:$N,MATCH(RIGHT($B318,13)&amp;"|"&amp;$C318&amp;"|"&amp;$D318&amp;"|"&amp;AF$14&amp;"|"&amp;"CY2024Q3",Spectrum!$R:$R,0)),0),""))</f>
        <v/>
      </c>
      <c r="AG318" s="33" t="str">
        <f t="shared" si="75"/>
        <v/>
      </c>
      <c r="AH318" s="110" t="str">
        <f>IF(LEFT($B318,4)="_Mil","",_xlfn.IFNA(INDEX(Spectrum!$N:$N,MATCH(RIGHT($B318,13)&amp;"|"&amp;$C318&amp;"|"&amp;$D318&amp;"|"&amp;AH$14&amp;"|"&amp;"CY2024Q3",Spectrum!$R:$R,0)),""))</f>
        <v/>
      </c>
      <c r="AI318" s="218">
        <f>IF(LEFT($B318,4)="_Mil","",_xlfn.IFNA(ROUND(INDEX(Spectrum!$N:$N,MATCH(RIGHT($B318,13)&amp;"|"&amp;$C318&amp;"|"&amp;$D318&amp;"|"&amp;AI$14&amp;"|"&amp;"CY2025Q3",Spectrum!$R:$R,0)),0),""))</f>
        <v>29</v>
      </c>
      <c r="AJ318" s="38">
        <f>IF(LEFT($B318,4)="_Mil","",_xlfn.IFNA(ROUND(INDEX(Spectrum!$N:$N,MATCH(RIGHT($B318,13)&amp;"|"&amp;$C318&amp;"|"&amp;$D318&amp;"|"&amp;AJ$14&amp;"|"&amp;"CY2025Q3",Spectrum!$R:$R,0)),0),""))</f>
        <v>794</v>
      </c>
      <c r="AK318" s="218" t="e">
        <f>#REF!</f>
        <v>#REF!</v>
      </c>
      <c r="AL318" s="33">
        <f t="shared" si="76"/>
        <v>0.9</v>
      </c>
      <c r="AM318" s="38" t="e">
        <f>IF(OR(LEFT($B318,4)="_Mil",$C318="&lt;01"),"",ROUND(SUM($AK318)*SUM($AL318),0))</f>
        <v>#REF!</v>
      </c>
      <c r="AN318" s="38" t="str">
        <f>IF($C318="&lt;01",ROUND(INDEX(EID!$P:$P,MATCH($B318,EID!$B:$B,0))/2,0),"")</f>
        <v/>
      </c>
      <c r="AO318" s="38" t="e">
        <f>IF($C318="&lt;01",SUM($AN318),ROUND(SUM($AM318)*SUM($O318)/IF(SUM($Z318)=0,1,$Z318),0))</f>
        <v>#REF!</v>
      </c>
      <c r="AP318" s="218">
        <f>IF(OR($F318="",$C318="&lt;01"),$AO318,ROUND($F318,0))</f>
        <v>903</v>
      </c>
      <c r="AQ318" s="218">
        <f>IF(LEFT($B318,4)="_Mil","",IF(SUM($AP318)=0,SUM($Z318),IF(OR(SUM($Z318)=0,SUM($O318)=0),MAX($AP318,$Z318),ROUND($AP318*$Z318/$O318,0))))</f>
        <v>879</v>
      </c>
      <c r="AR318" s="33" t="e">
        <f>IF(OR(LEFT($B318,4)="_Mil",SUM($AK318)=0),"",SUM($AQ318)/$AK318)</f>
        <v>#REF!</v>
      </c>
      <c r="AS318" s="33">
        <f>IF($C318="&lt;01","",95%)</f>
        <v>0.95</v>
      </c>
      <c r="AT318" s="33">
        <f t="shared" si="83"/>
        <v>0.98</v>
      </c>
      <c r="AU318" s="38">
        <f>IF($C318="&lt;01","",SUM($AP318)-SUM($O318))</f>
        <v>0</v>
      </c>
      <c r="AV318" s="38">
        <f>IF($C318="&lt;01",ROUND(INDEX(EID!$N:$N,MATCH($B318,EID!$B:$B,0))/2,0),IF(SUM($AT318)=0,"",ROUND((SUM($AP318)-(SUM($O318)*SUM($AS318)))/$AT318,0)))</f>
        <v>46</v>
      </c>
      <c r="AW318" s="33">
        <f t="shared" si="77"/>
        <v>1</v>
      </c>
      <c r="AX318" s="218">
        <f>IF($C318="&lt;01",SUM($AV318),ROUND(SUM($AV318)*SUM($AW318),0))</f>
        <v>46</v>
      </c>
      <c r="AY318" s="79">
        <f t="shared" si="78"/>
        <v>0.7</v>
      </c>
      <c r="AZ318" s="85">
        <f>IF($C318="&lt;01",ROUND(INDEX(EID!$R:$R,MATCH($B318,EID!$B:$B,0))/2,0),ROUND(SUM($O318)+(SUM($AV318)*$AY318),0))</f>
        <v>935</v>
      </c>
      <c r="BA318" s="40">
        <f t="shared" si="82"/>
        <v>0.9</v>
      </c>
      <c r="BB318" s="99">
        <f>IF($C318="&lt;01",ROUND(INDEX(EID!$T:$T,MATCH($B318,EID!$B:$B,0))/2,0),ROUND($AP318*$BA318,0))</f>
        <v>813</v>
      </c>
      <c r="BC318" s="85">
        <f>IF(LEFT($B318,4)="_Mil","",IF(SUM($BB318)=0,SUM($AD318),IF(OR(SUM($AP318)=0,SUM($AQ318)=0),MAX($BB318,$AD318),ROUND($BB318*$AQ318/$AP318,0))))</f>
        <v>791</v>
      </c>
      <c r="BD318" s="33">
        <f t="shared" si="79"/>
        <v>0.95</v>
      </c>
      <c r="BE318" s="218">
        <f>IF($C318="&lt;01",ROUND(INDEX(EID!$V:$V,MATCH($B318,EID!$B:$B,0))/2,0),ROUND($BD318*$BB318,0))</f>
        <v>772</v>
      </c>
      <c r="BF318" s="218">
        <f>IF(LEFT($B318,4)="_Mil","",IF(SUM($BE318)=0,SUM($AF318),IF(OR(SUM($AP318)=0,SUM($AQ318)=0),MAX($BE318,$AF318),ROUND($BE318*$AQ318/$AP318,0))))</f>
        <v>751</v>
      </c>
      <c r="BG318" s="79">
        <f t="shared" si="80"/>
        <v>0.95</v>
      </c>
      <c r="BH318" s="99">
        <f>IF($C318="&lt;01",ROUND(INDEX(EID!$L:$L,MATCH($B318,EID!$B:$B,0)),0)/2,IF(SUM($BG318)=0,"",ROUND($AX318/$BG318,0)))</f>
        <v>48</v>
      </c>
    </row>
    <row r="319" spans="1:60" x14ac:dyDescent="0.2">
      <c r="A319" t="str">
        <f>INDEX(Prioritization!$D:$D,MATCH($B319,Prioritization!$A:$A,0))</f>
        <v>INVALID</v>
      </c>
      <c r="B319" t="s">
        <v>322</v>
      </c>
      <c r="C319" t="s">
        <v>477</v>
      </c>
      <c r="D319" t="s">
        <v>30</v>
      </c>
      <c r="E319" t="str">
        <f t="shared" si="70"/>
        <v>Nsanje District [rpw540fmNUz]|35-49|Female</v>
      </c>
      <c r="F319" s="229">
        <v>7360</v>
      </c>
      <c r="G319" s="38">
        <v>247</v>
      </c>
      <c r="H319" s="38">
        <v>257</v>
      </c>
      <c r="I319" s="38">
        <v>7216</v>
      </c>
      <c r="J319" s="38">
        <v>5898</v>
      </c>
      <c r="K319" s="38">
        <v>5531</v>
      </c>
      <c r="L319" s="38">
        <v>495</v>
      </c>
      <c r="M319" s="38">
        <v>486</v>
      </c>
      <c r="N319" s="38">
        <v>7236</v>
      </c>
      <c r="O319" s="229">
        <v>7288</v>
      </c>
      <c r="P319" s="38">
        <v>6271</v>
      </c>
      <c r="Q319" s="38">
        <v>5957</v>
      </c>
      <c r="R319" s="38">
        <f t="shared" si="71"/>
        <v>72</v>
      </c>
      <c r="S319" s="38">
        <f>IF(LEFT($B319,4)="_Mil","",_xlfn.IFNA(ROUND(INDEX(Spectrum!$N:$N,MATCH(RIGHT($B319,13)&amp;"|"&amp;$C319&amp;"|"&amp;$D319&amp;"|"&amp;S$14&amp;"|"&amp;"CY2023Q4",Spectrum!$R:$R,0)),0),""))</f>
        <v>7188</v>
      </c>
      <c r="T319" s="218">
        <f>IF(LEFT($B319,4)="_Mil","",_xlfn.IFNA(ROUND(INDEX(Spectrum!$N:$N,MATCH(RIGHT($B319,13)&amp;"|"&amp;$C319&amp;"|"&amp;$D319&amp;"|"&amp;T$14&amp;"|"&amp;"CY2024Q3",Spectrum!$R:$R,0)),0),""))</f>
        <v>25444</v>
      </c>
      <c r="U319" s="218">
        <f>IF(LEFT($B319,4)="_Mil","",_xlfn.IFNA(ROUND(INDEX(Spectrum!$N:$N,MATCH(RIGHT($B319,13)&amp;"|"&amp;$C319&amp;"|"&amp;$D319&amp;"|"&amp;U$14&amp;"|"&amp;"CY2024Q3",Spectrum!$R:$R,0)),0),""))</f>
        <v>6132</v>
      </c>
      <c r="V319" s="38">
        <f>IF(LEFT($B319,4)="_Mil","",_xlfn.IFNA(ROUND(INDEX(Spectrum!$N:$N,MATCH(RIGHT($B319,13)&amp;"|"&amp;$C319&amp;"|"&amp;$D319&amp;"|"&amp;V$14&amp;"|"&amp;"CY2024Q3",Spectrum!$R:$R,0)),0),""))</f>
        <v>7312</v>
      </c>
      <c r="W319" s="220">
        <f>IF(LEFT($B319,4)="_Mil","",_xlfn.IFNA(INDEX(Spectrum!$N:$N,MATCH(RIGHT($B319,13)&amp;"|"&amp;$C319&amp;"|"&amp;$D319&amp;"|"&amp;W$14&amp;"|"&amp;"CY2024Q3",Spectrum!$R:$R,0)),""))</f>
        <v>0.240999512</v>
      </c>
      <c r="X319" s="218">
        <f>IF(LEFT($B319,4)="_Mil","",_xlfn.IFNA(ROUND(INDEX(Spectrum!$N:$N,MATCH(RIGHT($B319,13)&amp;"|"&amp;$C319&amp;"|"&amp;$D319&amp;"|"&amp;X$14&amp;"|"&amp;"CY2024Q3",Spectrum!$R:$R,0)),0),""))</f>
        <v>6055</v>
      </c>
      <c r="Y319" s="33">
        <f t="shared" si="72"/>
        <v>0.99</v>
      </c>
      <c r="Z319" s="218">
        <f>IF(LEFT($B319,4)="_Mil","",_xlfn.IFNA(ROUND(INDEX(Spectrum!$N:$N,MATCH(RIGHT($B319,13)&amp;"|"&amp;$C319&amp;"|"&amp;$D319&amp;"|"&amp;Z$14&amp;"|"&amp;"CY2024Q3",Spectrum!$R:$R,0)),0),""))</f>
        <v>7212</v>
      </c>
      <c r="AA319" s="33">
        <f>IF(LEFT($B319,4)="_Mil","",IFERROR(1/(1/INDEX(Spectrum!$N:$N,MATCH(RIGHT($B319,13)&amp;"|"&amp;$C319&amp;"|"&amp;$D319&amp;"|"&amp;AA$14&amp;"|"&amp;"CY2024Q3",Spectrum!$R:$R,0))),IF(SUM($U319)=0,"",SUM($Z319)/$U319)))</f>
        <v>0.98713408399999991</v>
      </c>
      <c r="AB319" s="33">
        <f t="shared" si="73"/>
        <v>1.191081750619323</v>
      </c>
      <c r="AC319" s="38">
        <f>IF(LEFT($B319,4)="_Mil","",_xlfn.IFNA(ROUND(INDEX(Spectrum!$N:$N,MATCH(RIGHT($B319,13)&amp;"|"&amp;$C319&amp;"|"&amp;$D319&amp;"|"&amp;AC$14&amp;"|"&amp;"CY2024Q3",Spectrum!$R:$R,0)),0),""))</f>
        <v>100</v>
      </c>
      <c r="AD319" s="38" t="str">
        <f>IF(LEFT($B319,4)="_Mil","",_xlfn.IFNA(ROUND(INDEX(Spectrum!$N:$N,MATCH(RIGHT($B319,13)&amp;"|"&amp;$C319&amp;"|"&amp;$D319&amp;"|"&amp;AD$14&amp;"|"&amp;"CY2024Q3",Spectrum!$R:$R,0)),0),""))</f>
        <v/>
      </c>
      <c r="AE319" s="33">
        <f t="shared" si="74"/>
        <v>0</v>
      </c>
      <c r="AF319" s="218" t="str">
        <f>IF(LEFT($B319,4)="_Mil","",_xlfn.IFNA(ROUND(INDEX(Spectrum!$N:$N,MATCH(RIGHT($B319,13)&amp;"|"&amp;$C319&amp;"|"&amp;$D319&amp;"|"&amp;AF$14&amp;"|"&amp;"CY2024Q3",Spectrum!$R:$R,0)),0),""))</f>
        <v/>
      </c>
      <c r="AG319" s="33" t="str">
        <f t="shared" si="75"/>
        <v/>
      </c>
      <c r="AH319" s="110" t="str">
        <f>IF(LEFT($B319,4)="_Mil","",_xlfn.IFNA(INDEX(Spectrum!$N:$N,MATCH(RIGHT($B319,13)&amp;"|"&amp;$C319&amp;"|"&amp;$D319&amp;"|"&amp;AH$14&amp;"|"&amp;"CY2024Q3",Spectrum!$R:$R,0)),""))</f>
        <v/>
      </c>
      <c r="AI319" s="218">
        <f>IF(LEFT($B319,4)="_Mil","",_xlfn.IFNA(ROUND(INDEX(Spectrum!$N:$N,MATCH(RIGHT($B319,13)&amp;"|"&amp;$C319&amp;"|"&amp;$D319&amp;"|"&amp;AI$14&amp;"|"&amp;"CY2025Q3",Spectrum!$R:$R,0)),0),""))</f>
        <v>26</v>
      </c>
      <c r="AJ319" s="38">
        <f>IF(LEFT($B319,4)="_Mil","",_xlfn.IFNA(ROUND(INDEX(Spectrum!$N:$N,MATCH(RIGHT($B319,13)&amp;"|"&amp;$C319&amp;"|"&amp;$D319&amp;"|"&amp;AJ$14&amp;"|"&amp;"CY2025Q3",Spectrum!$R:$R,0)),0),""))</f>
        <v>6133</v>
      </c>
      <c r="AK319" s="218" t="e">
        <f>#REF!</f>
        <v>#REF!</v>
      </c>
      <c r="AL319" s="33">
        <f t="shared" si="76"/>
        <v>0.98713408399999991</v>
      </c>
      <c r="AM319" s="38" t="e">
        <f>IF(OR(LEFT($B319,4)="_Mil",$C319="&lt;01"),"",ROUND(SUM($AK319)*SUM($AL319),0))</f>
        <v>#REF!</v>
      </c>
      <c r="AN319" s="38" t="str">
        <f>IF($C319="&lt;01",ROUND(INDEX(EID!$P:$P,MATCH($B319,EID!$B:$B,0))/2,0),"")</f>
        <v/>
      </c>
      <c r="AO319" s="38" t="e">
        <f>IF($C319="&lt;01",SUM($AN319),ROUND(SUM($AM319)*SUM($O319)/IF(SUM($Z319)=0,1,$Z319),0))</f>
        <v>#REF!</v>
      </c>
      <c r="AP319" s="218">
        <f>IF(OR($F319="",$C319="&lt;01"),$AO319,ROUND($F319,0))</f>
        <v>7360</v>
      </c>
      <c r="AQ319" s="218">
        <f>IF(LEFT($B319,4)="_Mil","",IF(SUM($AP319)=0,SUM($Z319),IF(OR(SUM($Z319)=0,SUM($O319)=0),MAX($AP319,$Z319),ROUND($AP319*$Z319/$O319,0))))</f>
        <v>7283</v>
      </c>
      <c r="AR319" s="33" t="e">
        <f>IF(OR(LEFT($B319,4)="_Mil",SUM($AK319)=0),"",SUM($AQ319)/$AK319)</f>
        <v>#REF!</v>
      </c>
      <c r="AS319" s="33">
        <f t="shared" ref="AS319:AS330" si="84">IF($C319="&lt;01","",98%)</f>
        <v>0.98</v>
      </c>
      <c r="AT319" s="33">
        <f t="shared" si="83"/>
        <v>0.98</v>
      </c>
      <c r="AU319" s="38">
        <f>IF($C319="&lt;01","",SUM($AP319)-SUM($O319))</f>
        <v>72</v>
      </c>
      <c r="AV319" s="38">
        <f>IF($C319="&lt;01",ROUND(INDEX(EID!$N:$N,MATCH($B319,EID!$B:$B,0))/2,0),IF(SUM($AT319)=0,"",ROUND((SUM($AP319)-(SUM($O319)*SUM($AS319)))/$AT319,0)))</f>
        <v>222</v>
      </c>
      <c r="AW319" s="33">
        <f t="shared" si="77"/>
        <v>1</v>
      </c>
      <c r="AX319" s="218">
        <f>IF($C319="&lt;01",SUM($AV319),ROUND(SUM($AV319)*SUM($AW319),0))</f>
        <v>222</v>
      </c>
      <c r="AY319" s="79">
        <f t="shared" si="78"/>
        <v>0.7</v>
      </c>
      <c r="AZ319" s="85">
        <f>IF($C319="&lt;01",ROUND(INDEX(EID!$R:$R,MATCH($B319,EID!$B:$B,0))/2,0),ROUND(SUM($O319)+(SUM($AV319)*$AY319),0))</f>
        <v>7443</v>
      </c>
      <c r="BA319" s="40">
        <f t="shared" si="82"/>
        <v>0.9</v>
      </c>
      <c r="BB319" s="99">
        <f>IF($C319="&lt;01",ROUND(INDEX(EID!$T:$T,MATCH($B319,EID!$B:$B,0))/2,0),ROUND($AP319*$BA319,0))</f>
        <v>6624</v>
      </c>
      <c r="BC319" s="85">
        <f>IF(LEFT($B319,4)="_Mil","",IF(SUM($BB319)=0,SUM($AD319),IF(OR(SUM($AP319)=0,SUM($AQ319)=0),MAX($BB319,$AD319),ROUND($BB319*$AQ319/$AP319,0))))</f>
        <v>6555</v>
      </c>
      <c r="BD319" s="33">
        <f t="shared" si="79"/>
        <v>0.95</v>
      </c>
      <c r="BE319" s="218">
        <f>IF($C319="&lt;01",ROUND(INDEX(EID!$V:$V,MATCH($B319,EID!$B:$B,0))/2,0),ROUND($BD319*$BB319,0))</f>
        <v>6293</v>
      </c>
      <c r="BF319" s="218">
        <f>IF(LEFT($B319,4)="_Mil","",IF(SUM($BE319)=0,SUM($AF319),IF(OR(SUM($AP319)=0,SUM($AQ319)=0),MAX($BE319,$AF319),ROUND($BE319*$AQ319/$AP319,0))))</f>
        <v>6227</v>
      </c>
      <c r="BG319" s="79">
        <f t="shared" si="80"/>
        <v>0.95</v>
      </c>
      <c r="BH319" s="99">
        <f>IF($C319="&lt;01",ROUND(INDEX(EID!$L:$L,MATCH($B319,EID!$B:$B,0)),0)/2,IF(SUM($BG319)=0,"",ROUND($AX319/$BG319,0)))</f>
        <v>234</v>
      </c>
    </row>
    <row r="320" spans="1:60" x14ac:dyDescent="0.2">
      <c r="A320" t="str">
        <f>INDEX(Prioritization!$D:$D,MATCH($B320,Prioritization!$A:$A,0))</f>
        <v>INVALID</v>
      </c>
      <c r="B320" t="s">
        <v>322</v>
      </c>
      <c r="C320" t="s">
        <v>477</v>
      </c>
      <c r="D320" t="s">
        <v>48</v>
      </c>
      <c r="E320" t="str">
        <f t="shared" si="70"/>
        <v>Nsanje District [rpw540fmNUz]|35-49|Male</v>
      </c>
      <c r="F320" s="229">
        <v>3340</v>
      </c>
      <c r="G320" s="38">
        <v>293</v>
      </c>
      <c r="H320" s="38">
        <v>289</v>
      </c>
      <c r="I320" s="38">
        <v>3340</v>
      </c>
      <c r="J320" s="38">
        <v>2498</v>
      </c>
      <c r="K320" s="38">
        <v>2326</v>
      </c>
      <c r="L320" s="38">
        <v>54</v>
      </c>
      <c r="M320" s="38">
        <v>50</v>
      </c>
      <c r="N320" s="38">
        <v>3491</v>
      </c>
      <c r="O320" s="229">
        <v>3340</v>
      </c>
      <c r="P320" s="38">
        <v>3152</v>
      </c>
      <c r="Q320" s="38">
        <v>2994</v>
      </c>
      <c r="R320" s="38">
        <f t="shared" si="71"/>
        <v>0</v>
      </c>
      <c r="S320" s="38">
        <f>IF(LEFT($B320,4)="_Mil","",_xlfn.IFNA(ROUND(INDEX(Spectrum!$N:$N,MATCH(RIGHT($B320,13)&amp;"|"&amp;$C320&amp;"|"&amp;$D320&amp;"|"&amp;S$14&amp;"|"&amp;"CY2023Q4",Spectrum!$R:$R,0)),0),""))</f>
        <v>3359</v>
      </c>
      <c r="T320" s="218">
        <f>IF(LEFT($B320,4)="_Mil","",_xlfn.IFNA(ROUND(INDEX(Spectrum!$N:$N,MATCH(RIGHT($B320,13)&amp;"|"&amp;$C320&amp;"|"&amp;$D320&amp;"|"&amp;T$14&amp;"|"&amp;"CY2024Q3",Spectrum!$R:$R,0)),0),""))</f>
        <v>20925</v>
      </c>
      <c r="U320" s="218">
        <f>IF(LEFT($B320,4)="_Mil","",_xlfn.IFNA(ROUND(INDEX(Spectrum!$N:$N,MATCH(RIGHT($B320,13)&amp;"|"&amp;$C320&amp;"|"&amp;$D320&amp;"|"&amp;U$14&amp;"|"&amp;"CY2024Q3",Spectrum!$R:$R,0)),0),""))</f>
        <v>2953</v>
      </c>
      <c r="V320" s="38">
        <f>IF(LEFT($B320,4)="_Mil","",_xlfn.IFNA(ROUND(INDEX(Spectrum!$N:$N,MATCH(RIGHT($B320,13)&amp;"|"&amp;$C320&amp;"|"&amp;$D320&amp;"|"&amp;V$14&amp;"|"&amp;"CY2024Q3",Spectrum!$R:$R,0)),0),""))</f>
        <v>3567</v>
      </c>
      <c r="W320" s="220">
        <f>IF(LEFT($B320,4)="_Mil","",_xlfn.IFNA(INDEX(Spectrum!$N:$N,MATCH(RIGHT($B320,13)&amp;"|"&amp;$C320&amp;"|"&amp;$D320&amp;"|"&amp;W$14&amp;"|"&amp;"CY2024Q3",Spectrum!$R:$R,0)),""))</f>
        <v>0.14111537299999999</v>
      </c>
      <c r="X320" s="218">
        <f>IF(LEFT($B320,4)="_Mil","",_xlfn.IFNA(ROUND(INDEX(Spectrum!$N:$N,MATCH(RIGHT($B320,13)&amp;"|"&amp;$C320&amp;"|"&amp;$D320&amp;"|"&amp;X$14&amp;"|"&amp;"CY2024Q3",Spectrum!$R:$R,0)),0),""))</f>
        <v>2784</v>
      </c>
      <c r="Y320" s="33">
        <f t="shared" si="72"/>
        <v>0.94</v>
      </c>
      <c r="Z320" s="218">
        <f>IF(LEFT($B320,4)="_Mil","",_xlfn.IFNA(ROUND(INDEX(Spectrum!$N:$N,MATCH(RIGHT($B320,13)&amp;"|"&amp;$C320&amp;"|"&amp;$D320&amp;"|"&amp;Z$14&amp;"|"&amp;"CY2024Q3",Spectrum!$R:$R,0)),0),""))</f>
        <v>3317</v>
      </c>
      <c r="AA320" s="33">
        <f>IF(LEFT($B320,4)="_Mil","",IFERROR(1/(1/INDEX(Spectrum!$N:$N,MATCH(RIGHT($B320,13)&amp;"|"&amp;$C320&amp;"|"&amp;$D320&amp;"|"&amp;AA$14&amp;"|"&amp;"CY2024Q3",Spectrum!$R:$R,0))),IF(SUM($U320)=0,"",SUM($Z320)/$U320)))</f>
        <v>0.93908005200000011</v>
      </c>
      <c r="AB320" s="33">
        <f t="shared" si="73"/>
        <v>1.1914511494252873</v>
      </c>
      <c r="AC320" s="38">
        <f>IF(LEFT($B320,4)="_Mil","",_xlfn.IFNA(ROUND(INDEX(Spectrum!$N:$N,MATCH(RIGHT($B320,13)&amp;"|"&amp;$C320&amp;"|"&amp;$D320&amp;"|"&amp;AC$14&amp;"|"&amp;"CY2024Q3",Spectrum!$R:$R,0)),0),""))</f>
        <v>249</v>
      </c>
      <c r="AD320" s="38" t="str">
        <f>IF(LEFT($B320,4)="_Mil","",_xlfn.IFNA(ROUND(INDEX(Spectrum!$N:$N,MATCH(RIGHT($B320,13)&amp;"|"&amp;$C320&amp;"|"&amp;$D320&amp;"|"&amp;AD$14&amp;"|"&amp;"CY2024Q3",Spectrum!$R:$R,0)),0),""))</f>
        <v/>
      </c>
      <c r="AE320" s="33">
        <f t="shared" si="74"/>
        <v>0</v>
      </c>
      <c r="AF320" s="218" t="str">
        <f>IF(LEFT($B320,4)="_Mil","",_xlfn.IFNA(ROUND(INDEX(Spectrum!$N:$N,MATCH(RIGHT($B320,13)&amp;"|"&amp;$C320&amp;"|"&amp;$D320&amp;"|"&amp;AF$14&amp;"|"&amp;"CY2024Q3",Spectrum!$R:$R,0)),0),""))</f>
        <v/>
      </c>
      <c r="AG320" s="33" t="str">
        <f t="shared" si="75"/>
        <v/>
      </c>
      <c r="AH320" s="110" t="str">
        <f>IF(LEFT($B320,4)="_Mil","",_xlfn.IFNA(INDEX(Spectrum!$N:$N,MATCH(RIGHT($B320,13)&amp;"|"&amp;$C320&amp;"|"&amp;$D320&amp;"|"&amp;AH$14&amp;"|"&amp;"CY2024Q3",Spectrum!$R:$R,0)),""))</f>
        <v/>
      </c>
      <c r="AI320" s="218">
        <f>IF(LEFT($B320,4)="_Mil","",_xlfn.IFNA(ROUND(INDEX(Spectrum!$N:$N,MATCH(RIGHT($B320,13)&amp;"|"&amp;$C320&amp;"|"&amp;$D320&amp;"|"&amp;AI$14&amp;"|"&amp;"CY2025Q3",Spectrum!$R:$R,0)),0),""))</f>
        <v>30</v>
      </c>
      <c r="AJ320" s="38">
        <f>IF(LEFT($B320,4)="_Mil","",_xlfn.IFNA(ROUND(INDEX(Spectrum!$N:$N,MATCH(RIGHT($B320,13)&amp;"|"&amp;$C320&amp;"|"&amp;$D320&amp;"|"&amp;AJ$14&amp;"|"&amp;"CY2025Q3",Spectrum!$R:$R,0)),0),""))</f>
        <v>2815</v>
      </c>
      <c r="AK320" s="218" t="e">
        <f>#REF!</f>
        <v>#REF!</v>
      </c>
      <c r="AL320" s="33">
        <f t="shared" si="76"/>
        <v>0.93908005200000011</v>
      </c>
      <c r="AM320" s="38" t="e">
        <f>IF(OR(LEFT($B320,4)="_Mil",$C320="&lt;01"),"",ROUND(SUM($AK320)*SUM($AL320),0))</f>
        <v>#REF!</v>
      </c>
      <c r="AN320" s="38" t="str">
        <f>IF($C320="&lt;01",ROUND(INDEX(EID!$P:$P,MATCH($B320,EID!$B:$B,0))/2,0),"")</f>
        <v/>
      </c>
      <c r="AO320" s="38" t="e">
        <f>IF($C320="&lt;01",SUM($AN320),ROUND(SUM($AM320)*SUM($O320)/IF(SUM($Z320)=0,1,$Z320),0))</f>
        <v>#REF!</v>
      </c>
      <c r="AP320" s="218">
        <f>IF(OR($F320="",$C320="&lt;01"),$AO320,ROUND($F320,0))</f>
        <v>3340</v>
      </c>
      <c r="AQ320" s="218">
        <f>IF(LEFT($B320,4)="_Mil","",IF(SUM($AP320)=0,SUM($Z320),IF(OR(SUM($Z320)=0,SUM($O320)=0),MAX($AP320,$Z320),ROUND($AP320*$Z320/$O320,0))))</f>
        <v>3317</v>
      </c>
      <c r="AR320" s="33" t="e">
        <f>IF(OR(LEFT($B320,4)="_Mil",SUM($AK320)=0),"",SUM($AQ320)/$AK320)</f>
        <v>#REF!</v>
      </c>
      <c r="AS320" s="33">
        <f t="shared" si="84"/>
        <v>0.98</v>
      </c>
      <c r="AT320" s="33">
        <f t="shared" si="83"/>
        <v>0.98</v>
      </c>
      <c r="AU320" s="38">
        <f>IF($C320="&lt;01","",SUM($AP320)-SUM($O320))</f>
        <v>0</v>
      </c>
      <c r="AV320" s="38">
        <f>IF($C320="&lt;01",ROUND(INDEX(EID!$N:$N,MATCH($B320,EID!$B:$B,0))/2,0),IF(SUM($AT320)=0,"",ROUND((SUM($AP320)-(SUM($O320)*SUM($AS320)))/$AT320,0)))</f>
        <v>68</v>
      </c>
      <c r="AW320" s="33">
        <f t="shared" si="77"/>
        <v>1</v>
      </c>
      <c r="AX320" s="218">
        <f>IF($C320="&lt;01",SUM($AV320),ROUND(SUM($AV320)*SUM($AW320),0))</f>
        <v>68</v>
      </c>
      <c r="AY320" s="79">
        <f t="shared" si="78"/>
        <v>0.7</v>
      </c>
      <c r="AZ320" s="85">
        <f>IF($C320="&lt;01",ROUND(INDEX(EID!$R:$R,MATCH($B320,EID!$B:$B,0))/2,0),ROUND(SUM($O320)+(SUM($AV320)*$AY320),0))</f>
        <v>3388</v>
      </c>
      <c r="BA320" s="40">
        <f t="shared" si="82"/>
        <v>0.9</v>
      </c>
      <c r="BB320" s="99">
        <f>IF($C320="&lt;01",ROUND(INDEX(EID!$T:$T,MATCH($B320,EID!$B:$B,0))/2,0),ROUND($AP320*$BA320,0))</f>
        <v>3006</v>
      </c>
      <c r="BC320" s="85">
        <f>IF(LEFT($B320,4)="_Mil","",IF(SUM($BB320)=0,SUM($AD320),IF(OR(SUM($AP320)=0,SUM($AQ320)=0),MAX($BB320,$AD320),ROUND($BB320*$AQ320/$AP320,0))))</f>
        <v>2985</v>
      </c>
      <c r="BD320" s="33">
        <f t="shared" si="79"/>
        <v>0.95</v>
      </c>
      <c r="BE320" s="218">
        <f>IF($C320="&lt;01",ROUND(INDEX(EID!$V:$V,MATCH($B320,EID!$B:$B,0))/2,0),ROUND($BD320*$BB320,0))</f>
        <v>2856</v>
      </c>
      <c r="BF320" s="218">
        <f>IF(LEFT($B320,4)="_Mil","",IF(SUM($BE320)=0,SUM($AF320),IF(OR(SUM($AP320)=0,SUM($AQ320)=0),MAX($BE320,$AF320),ROUND($BE320*$AQ320/$AP320,0))))</f>
        <v>2836</v>
      </c>
      <c r="BG320" s="79">
        <f t="shared" si="80"/>
        <v>0.95</v>
      </c>
      <c r="BH320" s="99">
        <f>IF($C320="&lt;01",ROUND(INDEX(EID!$L:$L,MATCH($B320,EID!$B:$B,0)),0)/2,IF(SUM($BG320)=0,"",ROUND($AX320/$BG320,0)))</f>
        <v>72</v>
      </c>
    </row>
    <row r="321" spans="1:60" x14ac:dyDescent="0.2">
      <c r="A321" t="str">
        <f>INDEX(Prioritization!$D:$D,MATCH($B321,Prioritization!$A:$A,0))</f>
        <v>INVALID</v>
      </c>
      <c r="B321" t="s">
        <v>322</v>
      </c>
      <c r="C321" t="s">
        <v>478</v>
      </c>
      <c r="D321" t="s">
        <v>30</v>
      </c>
      <c r="E321" t="str">
        <f t="shared" si="70"/>
        <v>Nsanje District [rpw540fmNUz]|50+|Female</v>
      </c>
      <c r="F321" s="229">
        <v>3235</v>
      </c>
      <c r="G321" s="38">
        <v>50</v>
      </c>
      <c r="H321" s="38">
        <v>57</v>
      </c>
      <c r="I321" s="38">
        <v>3031</v>
      </c>
      <c r="J321" s="38">
        <v>2489</v>
      </c>
      <c r="K321" s="38">
        <v>2352</v>
      </c>
      <c r="L321" s="38">
        <v>373</v>
      </c>
      <c r="M321" s="38">
        <v>366</v>
      </c>
      <c r="N321" s="38">
        <v>3607</v>
      </c>
      <c r="O321" s="229">
        <v>3107</v>
      </c>
      <c r="P321" s="38">
        <v>2980</v>
      </c>
      <c r="Q321" s="38">
        <v>2831</v>
      </c>
      <c r="R321" s="38">
        <f t="shared" si="71"/>
        <v>76</v>
      </c>
      <c r="S321" s="38">
        <f>IF(LEFT($B321,4)="_Mil","",_xlfn.IFNA(ROUND(INDEX(Spectrum!$N:$N,MATCH(RIGHT($B321,13)&amp;"|"&amp;$C321&amp;"|"&amp;$D321&amp;"|"&amp;S$14&amp;"|"&amp;"CY2023Q4",Spectrum!$R:$R,0)),0),""))</f>
        <v>3545</v>
      </c>
      <c r="T321" s="218">
        <f>IF(LEFT($B321,4)="_Mil","",_xlfn.IFNA(ROUND(INDEX(Spectrum!$N:$N,MATCH(RIGHT($B321,13)&amp;"|"&amp;$C321&amp;"|"&amp;$D321&amp;"|"&amp;T$14&amp;"|"&amp;"CY2024Q3",Spectrum!$R:$R,0)),0),""))</f>
        <v>16655</v>
      </c>
      <c r="U321" s="218">
        <f>IF(LEFT($B321,4)="_Mil","",_xlfn.IFNA(ROUND(INDEX(Spectrum!$N:$N,MATCH(RIGHT($B321,13)&amp;"|"&amp;$C321&amp;"|"&amp;$D321&amp;"|"&amp;U$14&amp;"|"&amp;"CY2024Q3",Spectrum!$R:$R,0)),0),""))</f>
        <v>3188</v>
      </c>
      <c r="V321" s="38">
        <f>IF(LEFT($B321,4)="_Mil","",_xlfn.IFNA(ROUND(INDEX(Spectrum!$N:$N,MATCH(RIGHT($B321,13)&amp;"|"&amp;$C321&amp;"|"&amp;$D321&amp;"|"&amp;V$14&amp;"|"&amp;"CY2024Q3",Spectrum!$R:$R,0)),0),""))</f>
        <v>3768</v>
      </c>
      <c r="W321" s="220">
        <f>IF(LEFT($B321,4)="_Mil","",_xlfn.IFNA(INDEX(Spectrum!$N:$N,MATCH(RIGHT($B321,13)&amp;"|"&amp;$C321&amp;"|"&amp;$D321&amp;"|"&amp;W$14&amp;"|"&amp;"CY2024Q3",Spectrum!$R:$R,0)),""))</f>
        <v>0.19139657299999999</v>
      </c>
      <c r="X321" s="218">
        <f>IF(LEFT($B321,4)="_Mil","",_xlfn.IFNA(ROUND(INDEX(Spectrum!$N:$N,MATCH(RIGHT($B321,13)&amp;"|"&amp;$C321&amp;"|"&amp;$D321&amp;"|"&amp;X$14&amp;"|"&amp;"CY2024Q3",Spectrum!$R:$R,0)),0),""))</f>
        <v>3164</v>
      </c>
      <c r="Y321" s="33">
        <f t="shared" si="72"/>
        <v>0.99</v>
      </c>
      <c r="Z321" s="218">
        <f>IF(LEFT($B321,4)="_Mil","",_xlfn.IFNA(ROUND(INDEX(Spectrum!$N:$N,MATCH(RIGHT($B321,13)&amp;"|"&amp;$C321&amp;"|"&amp;$D321&amp;"|"&amp;Z$14&amp;"|"&amp;"CY2024Q3",Spectrum!$R:$R,0)),0),""))</f>
        <v>3736</v>
      </c>
      <c r="AA321" s="33">
        <f>IF(LEFT($B321,4)="_Mil","",IFERROR(1/(1/INDEX(Spectrum!$N:$N,MATCH(RIGHT($B321,13)&amp;"|"&amp;$C321&amp;"|"&amp;$D321&amp;"|"&amp;AA$14&amp;"|"&amp;"CY2024Q3",Spectrum!$R:$R,0))),IF(SUM($U321)=0,"",SUM($Z321)/$U321)))</f>
        <v>0.99118106800000016</v>
      </c>
      <c r="AB321" s="33">
        <f t="shared" si="73"/>
        <v>1.1807838179519596</v>
      </c>
      <c r="AC321" s="38">
        <f>IF(LEFT($B321,4)="_Mil","",_xlfn.IFNA(ROUND(INDEX(Spectrum!$N:$N,MATCH(RIGHT($B321,13)&amp;"|"&amp;$C321&amp;"|"&amp;$D321&amp;"|"&amp;AC$14&amp;"|"&amp;"CY2024Q3",Spectrum!$R:$R,0)),0),""))</f>
        <v>31</v>
      </c>
      <c r="AD321" s="38" t="str">
        <f>IF(LEFT($B321,4)="_Mil","",_xlfn.IFNA(ROUND(INDEX(Spectrum!$N:$N,MATCH(RIGHT($B321,13)&amp;"|"&amp;$C321&amp;"|"&amp;$D321&amp;"|"&amp;AD$14&amp;"|"&amp;"CY2024Q3",Spectrum!$R:$R,0)),0),""))</f>
        <v/>
      </c>
      <c r="AE321" s="33">
        <f t="shared" si="74"/>
        <v>0</v>
      </c>
      <c r="AF321" s="218" t="str">
        <f>IF(LEFT($B321,4)="_Mil","",_xlfn.IFNA(ROUND(INDEX(Spectrum!$N:$N,MATCH(RIGHT($B321,13)&amp;"|"&amp;$C321&amp;"|"&amp;$D321&amp;"|"&amp;AF$14&amp;"|"&amp;"CY2024Q3",Spectrum!$R:$R,0)),0),""))</f>
        <v/>
      </c>
      <c r="AG321" s="33" t="str">
        <f t="shared" si="75"/>
        <v/>
      </c>
      <c r="AH321" s="110" t="str">
        <f>IF(LEFT($B321,4)="_Mil","",_xlfn.IFNA(INDEX(Spectrum!$N:$N,MATCH(RIGHT($B321,13)&amp;"|"&amp;$C321&amp;"|"&amp;$D321&amp;"|"&amp;AH$14&amp;"|"&amp;"CY2024Q3",Spectrum!$R:$R,0)),""))</f>
        <v/>
      </c>
      <c r="AI321" s="218">
        <f>IF(LEFT($B321,4)="_Mil","",_xlfn.IFNA(ROUND(INDEX(Spectrum!$N:$N,MATCH(RIGHT($B321,13)&amp;"|"&amp;$C321&amp;"|"&amp;$D321&amp;"|"&amp;AI$14&amp;"|"&amp;"CY2025Q3",Spectrum!$R:$R,0)),0),""))</f>
        <v>5</v>
      </c>
      <c r="AJ321" s="38">
        <f>IF(LEFT($B321,4)="_Mil","",_xlfn.IFNA(ROUND(INDEX(Spectrum!$N:$N,MATCH(RIGHT($B321,13)&amp;"|"&amp;$C321&amp;"|"&amp;$D321&amp;"|"&amp;AJ$14&amp;"|"&amp;"CY2025Q3",Spectrum!$R:$R,0)),0),""))</f>
        <v>3419</v>
      </c>
      <c r="AK321" s="218" t="e">
        <f>#REF!</f>
        <v>#REF!</v>
      </c>
      <c r="AL321" s="33">
        <f t="shared" si="76"/>
        <v>0.99118106800000016</v>
      </c>
      <c r="AM321" s="38" t="e">
        <f>IF(OR(LEFT($B321,4)="_Mil",$C321="&lt;01"),"",ROUND(SUM($AK321)*SUM($AL321),0))</f>
        <v>#REF!</v>
      </c>
      <c r="AN321" s="38" t="str">
        <f>IF($C321="&lt;01",ROUND(INDEX(EID!$P:$P,MATCH($B321,EID!$B:$B,0))/2,0),"")</f>
        <v/>
      </c>
      <c r="AO321" s="38" t="e">
        <f>IF($C321="&lt;01",SUM($AN321),ROUND(SUM($AM321)*SUM($O321)/IF(SUM($Z321)=0,1,$Z321),0))</f>
        <v>#REF!</v>
      </c>
      <c r="AP321" s="218">
        <f>IF(OR($F321="",$C321="&lt;01"),$AO321,ROUND($F321,0))</f>
        <v>3235</v>
      </c>
      <c r="AQ321" s="218">
        <f>IF(LEFT($B321,4)="_Mil","",IF(SUM($AP321)=0,SUM($Z321),IF(OR(SUM($Z321)=0,SUM($O321)=0),MAX($AP321,$Z321),ROUND($AP321*$Z321/$O321,0))))</f>
        <v>3890</v>
      </c>
      <c r="AR321" s="33" t="e">
        <f>IF(OR(LEFT($B321,4)="_Mil",SUM($AK321)=0),"",SUM($AQ321)/$AK321)</f>
        <v>#REF!</v>
      </c>
      <c r="AS321" s="33">
        <v>1.02</v>
      </c>
      <c r="AT321" s="33">
        <f>IF($C321="&lt;01","",100%)</f>
        <v>1</v>
      </c>
      <c r="AU321" s="38">
        <f>IF($C321="&lt;01","",SUM($AP321)-SUM($O321))</f>
        <v>128</v>
      </c>
      <c r="AV321" s="38">
        <f>IF($C321="&lt;01",ROUND(INDEX(EID!$N:$N,MATCH($B321,EID!$B:$B,0))/2,0),IF(SUM($AT321)=0,"",ROUND((SUM($AP321)-(SUM($O321)*SUM($AS321)))/$AT321,0)))</f>
        <v>66</v>
      </c>
      <c r="AW321" s="33">
        <v>0.8</v>
      </c>
      <c r="AX321" s="218">
        <f>IF($C321="&lt;01",SUM($AV321),ROUND(SUM($AV321)*SUM($AW321),0))</f>
        <v>53</v>
      </c>
      <c r="AY321" s="79">
        <f t="shared" si="78"/>
        <v>0.7</v>
      </c>
      <c r="AZ321" s="85">
        <f>IF($C321="&lt;01",ROUND(INDEX(EID!$R:$R,MATCH($B321,EID!$B:$B,0))/2,0),ROUND(SUM($O321)+(SUM($AV321)*$AY321),0))</f>
        <v>3153</v>
      </c>
      <c r="BA321" s="40">
        <f t="shared" si="82"/>
        <v>0.9</v>
      </c>
      <c r="BB321" s="99">
        <f>IF($C321="&lt;01",ROUND(INDEX(EID!$T:$T,MATCH($B321,EID!$B:$B,0))/2,0),ROUND($AP321*$BA321,0))</f>
        <v>2912</v>
      </c>
      <c r="BC321" s="85">
        <f>IF(LEFT($B321,4)="_Mil","",IF(SUM($BB321)=0,SUM($AD321),IF(OR(SUM($AP321)=0,SUM($AQ321)=0),MAX($BB321,$AD321),ROUND($BB321*$AQ321/$AP321,0))))</f>
        <v>3502</v>
      </c>
      <c r="BD321" s="33">
        <f t="shared" si="79"/>
        <v>0.95</v>
      </c>
      <c r="BE321" s="218">
        <f>IF($C321="&lt;01",ROUND(INDEX(EID!$V:$V,MATCH($B321,EID!$B:$B,0))/2,0),ROUND($BD321*$BB321,0))</f>
        <v>2766</v>
      </c>
      <c r="BF321" s="218">
        <f>IF(LEFT($B321,4)="_Mil","",IF(SUM($BE321)=0,SUM($AF321),IF(OR(SUM($AP321)=0,SUM($AQ321)=0),MAX($BE321,$AF321),ROUND($BE321*$AQ321/$AP321,0))))</f>
        <v>3326</v>
      </c>
      <c r="BG321" s="79">
        <f t="shared" si="80"/>
        <v>0.95</v>
      </c>
      <c r="BH321" s="99">
        <f>IF($C321="&lt;01",ROUND(INDEX(EID!$L:$L,MATCH($B321,EID!$B:$B,0)),0)/2,IF(SUM($BG321)=0,"",ROUND($AX321/$BG321,0)))</f>
        <v>56</v>
      </c>
    </row>
    <row r="322" spans="1:60" x14ac:dyDescent="0.2">
      <c r="A322" t="str">
        <f>INDEX(Prioritization!$D:$D,MATCH($B322,Prioritization!$A:$A,0))</f>
        <v>INVALID</v>
      </c>
      <c r="B322" t="s">
        <v>322</v>
      </c>
      <c r="C322" t="s">
        <v>478</v>
      </c>
      <c r="D322" t="s">
        <v>48</v>
      </c>
      <c r="E322" t="str">
        <f t="shared" si="70"/>
        <v>Nsanje District [rpw540fmNUz]|50+|Male</v>
      </c>
      <c r="F322" s="229">
        <v>2615</v>
      </c>
      <c r="G322" s="38">
        <v>86</v>
      </c>
      <c r="H322" s="38">
        <v>94</v>
      </c>
      <c r="I322" s="38">
        <v>2495</v>
      </c>
      <c r="J322" s="38">
        <v>1905</v>
      </c>
      <c r="K322" s="38">
        <v>1777</v>
      </c>
      <c r="L322" s="38">
        <v>246</v>
      </c>
      <c r="M322" s="38">
        <v>234</v>
      </c>
      <c r="N322" s="38">
        <v>2681</v>
      </c>
      <c r="O322" s="229">
        <v>2555</v>
      </c>
      <c r="P322" s="38">
        <v>2237</v>
      </c>
      <c r="Q322" s="38">
        <v>2125</v>
      </c>
      <c r="R322" s="38">
        <f t="shared" si="71"/>
        <v>60</v>
      </c>
      <c r="S322" s="38">
        <f>IF(LEFT($B322,4)="_Mil","",_xlfn.IFNA(ROUND(INDEX(Spectrum!$N:$N,MATCH(RIGHT($B322,13)&amp;"|"&amp;$C322&amp;"|"&amp;$D322&amp;"|"&amp;S$14&amp;"|"&amp;"CY2023Q4",Spectrum!$R:$R,0)),0),""))</f>
        <v>2495</v>
      </c>
      <c r="T322" s="218">
        <f>IF(LEFT($B322,4)="_Mil","",_xlfn.IFNA(ROUND(INDEX(Spectrum!$N:$N,MATCH(RIGHT($B322,13)&amp;"|"&amp;$C322&amp;"|"&amp;$D322&amp;"|"&amp;T$14&amp;"|"&amp;"CY2024Q3",Spectrum!$R:$R,0)),0),""))</f>
        <v>12232</v>
      </c>
      <c r="U322" s="218">
        <f>IF(LEFT($B322,4)="_Mil","",_xlfn.IFNA(ROUND(INDEX(Spectrum!$N:$N,MATCH(RIGHT($B322,13)&amp;"|"&amp;$C322&amp;"|"&amp;$D322&amp;"|"&amp;U$14&amp;"|"&amp;"CY2024Q3",Spectrum!$R:$R,0)),0),""))</f>
        <v>2303</v>
      </c>
      <c r="V322" s="38">
        <f>IF(LEFT($B322,4)="_Mil","",_xlfn.IFNA(ROUND(INDEX(Spectrum!$N:$N,MATCH(RIGHT($B322,13)&amp;"|"&amp;$C322&amp;"|"&amp;$D322&amp;"|"&amp;V$14&amp;"|"&amp;"CY2024Q3",Spectrum!$R:$R,0)),0),""))</f>
        <v>2767</v>
      </c>
      <c r="W322" s="220">
        <f>IF(LEFT($B322,4)="_Mil","",_xlfn.IFNA(INDEX(Spectrum!$N:$N,MATCH(RIGHT($B322,13)&amp;"|"&amp;$C322&amp;"|"&amp;$D322&amp;"|"&amp;W$14&amp;"|"&amp;"CY2024Q3",Spectrum!$R:$R,0)),""))</f>
        <v>0.18826631899999999</v>
      </c>
      <c r="X322" s="218">
        <f>IF(LEFT($B322,4)="_Mil","",_xlfn.IFNA(ROUND(INDEX(Spectrum!$N:$N,MATCH(RIGHT($B322,13)&amp;"|"&amp;$C322&amp;"|"&amp;$D322&amp;"|"&amp;X$14&amp;"|"&amp;"CY2024Q3",Spectrum!$R:$R,0)),0),""))</f>
        <v>2213</v>
      </c>
      <c r="Y322" s="33">
        <f t="shared" si="72"/>
        <v>0.96</v>
      </c>
      <c r="Z322" s="218">
        <f>IF(LEFT($B322,4)="_Mil","",_xlfn.IFNA(ROUND(INDEX(Spectrum!$N:$N,MATCH(RIGHT($B322,13)&amp;"|"&amp;$C322&amp;"|"&amp;$D322&amp;"|"&amp;Z$14&amp;"|"&amp;"CY2024Q3",Spectrum!$R:$R,0)),0),""))</f>
        <v>2636</v>
      </c>
      <c r="AA322" s="33">
        <f>IF(LEFT($B322,4)="_Mil","",IFERROR(1/(1/INDEX(Spectrum!$N:$N,MATCH(RIGHT($B322,13)&amp;"|"&amp;$C322&amp;"|"&amp;$D322&amp;"|"&amp;AA$14&amp;"|"&amp;"CY2024Q3",Spectrum!$R:$R,0))),IF(SUM($U322)=0,"",SUM($Z322)/$U322)))</f>
        <v>0.95835509800000007</v>
      </c>
      <c r="AB322" s="33">
        <f t="shared" si="73"/>
        <v>1.1911432444645278</v>
      </c>
      <c r="AC322" s="38">
        <f>IF(LEFT($B322,4)="_Mil","",_xlfn.IFNA(ROUND(INDEX(Spectrum!$N:$N,MATCH(RIGHT($B322,13)&amp;"|"&amp;$C322&amp;"|"&amp;$D322&amp;"|"&amp;AC$14&amp;"|"&amp;"CY2024Q3",Spectrum!$R:$R,0)),0),""))</f>
        <v>131</v>
      </c>
      <c r="AD322" s="38" t="str">
        <f>IF(LEFT($B322,4)="_Mil","",_xlfn.IFNA(ROUND(INDEX(Spectrum!$N:$N,MATCH(RIGHT($B322,13)&amp;"|"&amp;$C322&amp;"|"&amp;$D322&amp;"|"&amp;AD$14&amp;"|"&amp;"CY2024Q3",Spectrum!$R:$R,0)),0),""))</f>
        <v/>
      </c>
      <c r="AE322" s="33">
        <f t="shared" si="74"/>
        <v>0</v>
      </c>
      <c r="AF322" s="218" t="str">
        <f>IF(LEFT($B322,4)="_Mil","",_xlfn.IFNA(ROUND(INDEX(Spectrum!$N:$N,MATCH(RIGHT($B322,13)&amp;"|"&amp;$C322&amp;"|"&amp;$D322&amp;"|"&amp;AF$14&amp;"|"&amp;"CY2024Q3",Spectrum!$R:$R,0)),0),""))</f>
        <v/>
      </c>
      <c r="AG322" s="33" t="str">
        <f t="shared" si="75"/>
        <v/>
      </c>
      <c r="AH322" s="110" t="str">
        <f>IF(LEFT($B322,4)="_Mil","",_xlfn.IFNA(INDEX(Spectrum!$N:$N,MATCH(RIGHT($B322,13)&amp;"|"&amp;$C322&amp;"|"&amp;$D322&amp;"|"&amp;AH$14&amp;"|"&amp;"CY2024Q3",Spectrum!$R:$R,0)),""))</f>
        <v/>
      </c>
      <c r="AI322" s="218">
        <f>IF(LEFT($B322,4)="_Mil","",_xlfn.IFNA(ROUND(INDEX(Spectrum!$N:$N,MATCH(RIGHT($B322,13)&amp;"|"&amp;$C322&amp;"|"&amp;$D322&amp;"|"&amp;AI$14&amp;"|"&amp;"CY2025Q3",Spectrum!$R:$R,0)),0),""))</f>
        <v>9</v>
      </c>
      <c r="AJ322" s="38">
        <f>IF(LEFT($B322,4)="_Mil","",_xlfn.IFNA(ROUND(INDEX(Spectrum!$N:$N,MATCH(RIGHT($B322,13)&amp;"|"&amp;$C322&amp;"|"&amp;$D322&amp;"|"&amp;AJ$14&amp;"|"&amp;"CY2025Q3",Spectrum!$R:$R,0)),0),""))</f>
        <v>2431</v>
      </c>
      <c r="AK322" s="218" t="e">
        <f>#REF!</f>
        <v>#REF!</v>
      </c>
      <c r="AL322" s="33">
        <f t="shared" si="76"/>
        <v>0.95835509800000007</v>
      </c>
      <c r="AM322" s="38" t="e">
        <f>IF(OR(LEFT($B322,4)="_Mil",$C322="&lt;01"),"",ROUND(SUM($AK322)*SUM($AL322),0))</f>
        <v>#REF!</v>
      </c>
      <c r="AN322" s="38" t="str">
        <f>IF($C322="&lt;01",ROUND(INDEX(EID!$P:$P,MATCH($B322,EID!$B:$B,0))/2,0),"")</f>
        <v/>
      </c>
      <c r="AO322" s="38" t="e">
        <f>IF($C322="&lt;01",SUM($AN322),ROUND(SUM($AM322)*SUM($O322)/IF(SUM($Z322)=0,1,$Z322),0))</f>
        <v>#REF!</v>
      </c>
      <c r="AP322" s="218">
        <f>IF(OR($F322="",$C322="&lt;01"),$AO322,ROUND($F322,0))</f>
        <v>2615</v>
      </c>
      <c r="AQ322" s="218">
        <f>IF(LEFT($B322,4)="_Mil","",IF(SUM($AP322)=0,SUM($Z322),IF(OR(SUM($Z322)=0,SUM($O322)=0),MAX($AP322,$Z322),ROUND($AP322*$Z322/$O322,0))))</f>
        <v>2698</v>
      </c>
      <c r="AR322" s="33" t="e">
        <f>IF(OR(LEFT($B322,4)="_Mil",SUM($AK322)=0),"",SUM($AQ322)/$AK322)</f>
        <v>#REF!</v>
      </c>
      <c r="AS322" s="33">
        <v>1.02</v>
      </c>
      <c r="AT322" s="33">
        <f>IF($C322="&lt;01","",100%)</f>
        <v>1</v>
      </c>
      <c r="AU322" s="38">
        <f>IF($C322="&lt;01","",SUM($AP322)-SUM($O322))</f>
        <v>60</v>
      </c>
      <c r="AV322" s="38">
        <f>IF($C322="&lt;01",ROUND(INDEX(EID!$N:$N,MATCH($B322,EID!$B:$B,0))/2,0),IF(SUM($AT322)=0,"",ROUND((SUM($AP322)-(SUM($O322)*SUM($AS322)))/$AT322,0)))</f>
        <v>9</v>
      </c>
      <c r="AW322" s="33">
        <v>0.8</v>
      </c>
      <c r="AX322" s="218">
        <f>IF($C322="&lt;01",SUM($AV322),ROUND(SUM($AV322)*SUM($AW322),0))</f>
        <v>7</v>
      </c>
      <c r="AY322" s="79">
        <f t="shared" si="78"/>
        <v>0.7</v>
      </c>
      <c r="AZ322" s="85">
        <f>IF($C322="&lt;01",ROUND(INDEX(EID!$R:$R,MATCH($B322,EID!$B:$B,0))/2,0),ROUND(SUM($O322)+(SUM($AV322)*$AY322),0))</f>
        <v>2561</v>
      </c>
      <c r="BA322" s="40">
        <f t="shared" si="82"/>
        <v>0.9</v>
      </c>
      <c r="BB322" s="99">
        <f>IF($C322="&lt;01",ROUND(INDEX(EID!$T:$T,MATCH($B322,EID!$B:$B,0))/2,0),ROUND($AP322*$BA322,0))</f>
        <v>2354</v>
      </c>
      <c r="BC322" s="85">
        <f>IF(LEFT($B322,4)="_Mil","",IF(SUM($BB322)=0,SUM($AD322),IF(OR(SUM($AP322)=0,SUM($AQ322)=0),MAX($BB322,$AD322),ROUND($BB322*$AQ322/$AP322,0))))</f>
        <v>2429</v>
      </c>
      <c r="BD322" s="33">
        <f t="shared" si="79"/>
        <v>0.95</v>
      </c>
      <c r="BE322" s="218">
        <f>IF($C322="&lt;01",ROUND(INDEX(EID!$V:$V,MATCH($B322,EID!$B:$B,0))/2,0),ROUND($BD322*$BB322,0))</f>
        <v>2236</v>
      </c>
      <c r="BF322" s="218">
        <f>IF(LEFT($B322,4)="_Mil","",IF(SUM($BE322)=0,SUM($AF322),IF(OR(SUM($AP322)=0,SUM($AQ322)=0),MAX($BE322,$AF322),ROUND($BE322*$AQ322/$AP322,0))))</f>
        <v>2307</v>
      </c>
      <c r="BG322" s="79">
        <f t="shared" si="80"/>
        <v>0.95</v>
      </c>
      <c r="BH322" s="99">
        <f>IF($C322="&lt;01",ROUND(INDEX(EID!$L:$L,MATCH($B322,EID!$B:$B,0)),0)/2,IF(SUM($BG322)=0,"",ROUND($AX322/$BG322,0)))</f>
        <v>7</v>
      </c>
    </row>
    <row r="323" spans="1:60" x14ac:dyDescent="0.2">
      <c r="A323" t="str">
        <f>INDEX(Prioritization!$D:$D,MATCH($B323,Prioritization!$A:$A,0))</f>
        <v>4 - Sustained</v>
      </c>
      <c r="B323" t="s">
        <v>304</v>
      </c>
      <c r="C323" t="s">
        <v>426</v>
      </c>
      <c r="D323" t="s">
        <v>30</v>
      </c>
      <c r="E323" t="str">
        <f t="shared" si="70"/>
        <v>Ntcheu District [am530wpaGvr]|&lt;01|Female</v>
      </c>
      <c r="F323" s="229">
        <v>17</v>
      </c>
      <c r="G323" s="38">
        <v>39</v>
      </c>
      <c r="H323" s="38">
        <v>7</v>
      </c>
      <c r="I323" s="38">
        <v>5</v>
      </c>
      <c r="J323" s="38">
        <v>22</v>
      </c>
      <c r="K323" s="38">
        <v>21</v>
      </c>
      <c r="L323" s="38"/>
      <c r="M323" s="38">
        <v>17</v>
      </c>
      <c r="N323" s="38">
        <v>16</v>
      </c>
      <c r="O323" s="229">
        <v>14</v>
      </c>
      <c r="P323" s="38">
        <v>11</v>
      </c>
      <c r="Q323" s="38">
        <v>11</v>
      </c>
      <c r="R323" s="38">
        <f t="shared" si="71"/>
        <v>9</v>
      </c>
      <c r="S323" s="38">
        <f>IF(LEFT($B323,4)="_Mil","",_xlfn.IFNA(ROUND(INDEX(Spectrum!$N:$N,MATCH(RIGHT($B323,13)&amp;"|"&amp;$C323&amp;"|"&amp;$D323&amp;"|"&amp;S$14&amp;"|"&amp;"CY2023Q4",Spectrum!$R:$R,0)),0),""))</f>
        <v>15</v>
      </c>
      <c r="T323" s="218">
        <f>IF(LEFT($B323,4)="_Mil","",_xlfn.IFNA(ROUND(INDEX(Spectrum!$N:$N,MATCH(RIGHT($B323,13)&amp;"|"&amp;$C323&amp;"|"&amp;$D323&amp;"|"&amp;T$14&amp;"|"&amp;"CY2024Q3",Spectrum!$R:$R,0)),0),""))</f>
        <v>11931</v>
      </c>
      <c r="U323" s="218">
        <f>IF(LEFT($B323,4)="_Mil","",_xlfn.IFNA(ROUND(INDEX(Spectrum!$N:$N,MATCH(RIGHT($B323,13)&amp;"|"&amp;$C323&amp;"|"&amp;$D323&amp;"|"&amp;U$14&amp;"|"&amp;"CY2024Q3",Spectrum!$R:$R,0)),0),""))</f>
        <v>16</v>
      </c>
      <c r="V323" s="38">
        <f>IF(LEFT($B323,4)="_Mil","",_xlfn.IFNA(ROUND(INDEX(Spectrum!$N:$N,MATCH(RIGHT($B323,13)&amp;"|"&amp;$C323&amp;"|"&amp;$D323&amp;"|"&amp;V$14&amp;"|"&amp;"CY2024Q3",Spectrum!$R:$R,0)),0),""))</f>
        <v>19</v>
      </c>
      <c r="W323" s="220">
        <f>IF(LEFT($B323,4)="_Mil","",_xlfn.IFNA(INDEX(Spectrum!$N:$N,MATCH(RIGHT($B323,13)&amp;"|"&amp;$C323&amp;"|"&amp;$D323&amp;"|"&amp;W$14&amp;"|"&amp;"CY2024Q3",Spectrum!$R:$R,0)),""))</f>
        <v>1.3030629999999999E-3</v>
      </c>
      <c r="X323" s="218">
        <f>IF(LEFT($B323,4)="_Mil","",_xlfn.IFNA(ROUND(INDEX(Spectrum!$N:$N,MATCH(RIGHT($B323,13)&amp;"|"&amp;$C323&amp;"|"&amp;$D323&amp;"|"&amp;X$14&amp;"|"&amp;"CY2024Q3",Spectrum!$R:$R,0)),0),""))</f>
        <v>11</v>
      </c>
      <c r="Y323" s="33">
        <f t="shared" si="72"/>
        <v>0.69</v>
      </c>
      <c r="Z323" s="218">
        <f>IF(LEFT($B323,4)="_Mil","",_xlfn.IFNA(ROUND(INDEX(Spectrum!$N:$N,MATCH(RIGHT($B323,13)&amp;"|"&amp;$C323&amp;"|"&amp;$D323&amp;"|"&amp;Z$14&amp;"|"&amp;"CY2024Q3",Spectrum!$R:$R,0)),0),""))</f>
        <v>12</v>
      </c>
      <c r="AA323" s="33">
        <f>IF(LEFT($B323,4)="_Mil","",IFERROR(1/(1/INDEX(Spectrum!$N:$N,MATCH(RIGHT($B323,13)&amp;"|"&amp;$C323&amp;"|"&amp;$D323&amp;"|"&amp;AA$14&amp;"|"&amp;"CY2024Q3",Spectrum!$R:$R,0))),IF(SUM($U323)=0,"",SUM($Z323)/$U323)))</f>
        <v>0.658667373</v>
      </c>
      <c r="AB323" s="33">
        <f t="shared" si="73"/>
        <v>1.0909090909090908</v>
      </c>
      <c r="AC323" s="38">
        <f>IF(LEFT($B323,4)="_Mil","",_xlfn.IFNA(ROUND(INDEX(Spectrum!$N:$N,MATCH(RIGHT($B323,13)&amp;"|"&amp;$C323&amp;"|"&amp;$D323&amp;"|"&amp;AC$14&amp;"|"&amp;"CY2024Q3",Spectrum!$R:$R,0)),0),""))</f>
        <v>6</v>
      </c>
      <c r="AD323" s="38" t="str">
        <f>IF(LEFT($B323,4)="_Mil","",_xlfn.IFNA(ROUND(INDEX(Spectrum!$N:$N,MATCH(RIGHT($B323,13)&amp;"|"&amp;$C323&amp;"|"&amp;$D323&amp;"|"&amp;AD$14&amp;"|"&amp;"CY2024Q3",Spectrum!$R:$R,0)),0),""))</f>
        <v/>
      </c>
      <c r="AE323" s="33">
        <f t="shared" si="74"/>
        <v>0</v>
      </c>
      <c r="AF323" s="218" t="str">
        <f>IF(LEFT($B323,4)="_Mil","",_xlfn.IFNA(ROUND(INDEX(Spectrum!$N:$N,MATCH(RIGHT($B323,13)&amp;"|"&amp;$C323&amp;"|"&amp;$D323&amp;"|"&amp;AF$14&amp;"|"&amp;"CY2024Q3",Spectrum!$R:$R,0)),0),""))</f>
        <v/>
      </c>
      <c r="AG323" s="33" t="str">
        <f t="shared" si="75"/>
        <v/>
      </c>
      <c r="AH323" s="110" t="str">
        <f>IF(LEFT($B323,4)="_Mil","",_xlfn.IFNA(INDEX(Spectrum!$N:$N,MATCH(RIGHT($B323,13)&amp;"|"&amp;$C323&amp;"|"&amp;$D323&amp;"|"&amp;AH$14&amp;"|"&amp;"CY2024Q3",Spectrum!$R:$R,0)),""))</f>
        <v/>
      </c>
      <c r="AI323" s="218">
        <f>IF(LEFT($B323,4)="_Mil","",_xlfn.IFNA(ROUND(INDEX(Spectrum!$N:$N,MATCH(RIGHT($B323,13)&amp;"|"&amp;$C323&amp;"|"&amp;$D323&amp;"|"&amp;AI$14&amp;"|"&amp;"CY2025Q3",Spectrum!$R:$R,0)),0),""))</f>
        <v>18</v>
      </c>
      <c r="AJ323" s="38">
        <f>IF(LEFT($B323,4)="_Mil","",_xlfn.IFNA(ROUND(INDEX(Spectrum!$N:$N,MATCH(RIGHT($B323,13)&amp;"|"&amp;$C323&amp;"|"&amp;$D323&amp;"|"&amp;AJ$14&amp;"|"&amp;"CY2025Q3",Spectrum!$R:$R,0)),0),""))</f>
        <v>14</v>
      </c>
      <c r="AK323" s="218" t="e">
        <f>#REF!</f>
        <v>#REF!</v>
      </c>
      <c r="AL323" s="33" t="str">
        <f t="shared" si="76"/>
        <v/>
      </c>
      <c r="AM323" s="38" t="str">
        <f>IF(OR(LEFT($B323,4)="_Mil",$C323="&lt;01"),"",ROUND(SUM($AK323)*SUM($AL323),0))</f>
        <v/>
      </c>
      <c r="AN323" s="38">
        <f>IF($C323="&lt;01",ROUND(INDEX(EID!$P:$P,MATCH($B323,EID!$B:$B,0))/2,0),"")</f>
        <v>0</v>
      </c>
      <c r="AO323" s="38">
        <f>IF($C323="&lt;01",SUM($AN323),ROUND(SUM($AM323)*SUM($O323)/IF(SUM($Z323)=0,1,$Z323),0))</f>
        <v>0</v>
      </c>
      <c r="AP323" s="218">
        <f>IF(OR($F323="",$C323="&lt;01"),$AO323,ROUND($F323,0))</f>
        <v>0</v>
      </c>
      <c r="AQ323" s="218">
        <f>IF(LEFT($B323,4)="_Mil","",IF(SUM($AP323)=0,SUM($Z323),IF(OR(SUM($Z323)=0,SUM($O323)=0),MAX($AP323,$Z323),ROUND($AP323*$Z323/$O323,0))))</f>
        <v>12</v>
      </c>
      <c r="AR323" s="33" t="e">
        <f>IF(OR(LEFT($B323,4)="_Mil",SUM($AK323)=0),"",SUM($AQ323)/$AK323)</f>
        <v>#REF!</v>
      </c>
      <c r="AS323" s="33" t="str">
        <f t="shared" si="84"/>
        <v/>
      </c>
      <c r="AT323" s="33" t="str">
        <f t="shared" si="83"/>
        <v/>
      </c>
      <c r="AU323" s="38" t="str">
        <f>IF($C323="&lt;01","",SUM($AP323)-SUM($O323))</f>
        <v/>
      </c>
      <c r="AV323" s="38">
        <f>IF($C323="&lt;01",ROUND(INDEX(EID!$N:$N,MATCH($B323,EID!$B:$B,0))/2,0),IF(SUM($AT323)=0,"",ROUND((SUM($AP323)-(SUM($O323)*SUM($AS323)))/$AT323,0)))</f>
        <v>0</v>
      </c>
      <c r="AW323" s="33" t="str">
        <f t="shared" si="77"/>
        <v/>
      </c>
      <c r="AX323" s="218">
        <f>IF($C323="&lt;01",SUM($AV323),ROUND(SUM($AV323)*SUM($AW323),0))</f>
        <v>0</v>
      </c>
      <c r="AY323" s="79" t="str">
        <f t="shared" si="78"/>
        <v/>
      </c>
      <c r="AZ323" s="85">
        <f>IF($C323="&lt;01",ROUND(INDEX(EID!$R:$R,MATCH($B323,EID!$B:$B,0))/2,0),ROUND(SUM($O323)+(SUM($AV323)*$AY323),0))</f>
        <v>0</v>
      </c>
      <c r="BA323" s="40" t="str">
        <f t="shared" si="82"/>
        <v/>
      </c>
      <c r="BB323" s="99">
        <f>IF($C323="&lt;01",ROUND(INDEX(EID!$T:$T,MATCH($B323,EID!$B:$B,0))/2,0),ROUND($AP323*$BA323,0))</f>
        <v>0</v>
      </c>
      <c r="BC323" s="85">
        <f>IF(LEFT($B323,4)="_Mil","",IF(SUM($BB323)=0,SUM($AD323),IF(OR(SUM($AP323)=0,SUM($AQ323)=0),MAX($BB323,$AD323),ROUND($BB323*$AQ323/$AP323,0))))</f>
        <v>0</v>
      </c>
      <c r="BD323" s="33" t="str">
        <f t="shared" si="79"/>
        <v/>
      </c>
      <c r="BE323" s="218">
        <f>IF($C323="&lt;01",ROUND(INDEX(EID!$V:$V,MATCH($B323,EID!$B:$B,0))/2,0),ROUND($BD323*$BB323,0))</f>
        <v>0</v>
      </c>
      <c r="BF323" s="218">
        <f>IF(LEFT($B323,4)="_Mil","",IF(SUM($BE323)=0,SUM($AF323),IF(OR(SUM($AP323)=0,SUM($AQ323)=0),MAX($BE323,$AF323),ROUND($BE323*$AQ323/$AP323,0))))</f>
        <v>0</v>
      </c>
      <c r="BG323" s="79" t="str">
        <f t="shared" si="80"/>
        <v/>
      </c>
      <c r="BH323" s="99">
        <f>IF($C323="&lt;01",ROUND(INDEX(EID!$L:$L,MATCH($B323,EID!$B:$B,0)),0)/2,IF(SUM($BG323)=0,"",ROUND($AX323/$BG323,0)))</f>
        <v>0</v>
      </c>
    </row>
    <row r="324" spans="1:60" x14ac:dyDescent="0.2">
      <c r="A324" t="str">
        <f>INDEX(Prioritization!$D:$D,MATCH($B324,Prioritization!$A:$A,0))</f>
        <v>4 - Sustained</v>
      </c>
      <c r="B324" t="s">
        <v>304</v>
      </c>
      <c r="C324" t="s">
        <v>426</v>
      </c>
      <c r="D324" t="s">
        <v>48</v>
      </c>
      <c r="E324" t="str">
        <f t="shared" si="70"/>
        <v>Ntcheu District [am530wpaGvr]|&lt;01|Male</v>
      </c>
      <c r="F324" s="229">
        <v>14</v>
      </c>
      <c r="G324" s="38">
        <v>28</v>
      </c>
      <c r="H324" s="38">
        <v>5</v>
      </c>
      <c r="I324" s="38">
        <v>5</v>
      </c>
      <c r="J324" s="38">
        <v>11</v>
      </c>
      <c r="K324" s="38">
        <v>10</v>
      </c>
      <c r="L324" s="38"/>
      <c r="M324" s="38">
        <v>17</v>
      </c>
      <c r="N324" s="38">
        <v>16</v>
      </c>
      <c r="O324" s="229">
        <v>14</v>
      </c>
      <c r="P324" s="38">
        <v>11</v>
      </c>
      <c r="Q324" s="38">
        <v>11</v>
      </c>
      <c r="R324" s="38">
        <f t="shared" si="71"/>
        <v>9</v>
      </c>
      <c r="S324" s="38">
        <f>IF(LEFT($B324,4)="_Mil","",_xlfn.IFNA(ROUND(INDEX(Spectrum!$N:$N,MATCH(RIGHT($B324,13)&amp;"|"&amp;$C324&amp;"|"&amp;$D324&amp;"|"&amp;S$14&amp;"|"&amp;"CY2023Q4",Spectrum!$R:$R,0)),0),""))</f>
        <v>15</v>
      </c>
      <c r="T324" s="218">
        <f>IF(LEFT($B324,4)="_Mil","",_xlfn.IFNA(ROUND(INDEX(Spectrum!$N:$N,MATCH(RIGHT($B324,13)&amp;"|"&amp;$C324&amp;"|"&amp;$D324&amp;"|"&amp;T$14&amp;"|"&amp;"CY2024Q3",Spectrum!$R:$R,0)),0),""))</f>
        <v>12444</v>
      </c>
      <c r="U324" s="218">
        <f>IF(LEFT($B324,4)="_Mil","",_xlfn.IFNA(ROUND(INDEX(Spectrum!$N:$N,MATCH(RIGHT($B324,13)&amp;"|"&amp;$C324&amp;"|"&amp;$D324&amp;"|"&amp;U$14&amp;"|"&amp;"CY2024Q3",Spectrum!$R:$R,0)),0),""))</f>
        <v>16</v>
      </c>
      <c r="V324" s="38">
        <f>IF(LEFT($B324,4)="_Mil","",_xlfn.IFNA(ROUND(INDEX(Spectrum!$N:$N,MATCH(RIGHT($B324,13)&amp;"|"&amp;$C324&amp;"|"&amp;$D324&amp;"|"&amp;V$14&amp;"|"&amp;"CY2024Q3",Spectrum!$R:$R,0)),0),""))</f>
        <v>19</v>
      </c>
      <c r="W324" s="220">
        <f>IF(LEFT($B324,4)="_Mil","",_xlfn.IFNA(INDEX(Spectrum!$N:$N,MATCH(RIGHT($B324,13)&amp;"|"&amp;$C324&amp;"|"&amp;$D324&amp;"|"&amp;W$14&amp;"|"&amp;"CY2024Q3",Spectrum!$R:$R,0)),""))</f>
        <v>1.2762579999999999E-3</v>
      </c>
      <c r="X324" s="218">
        <f>IF(LEFT($B324,4)="_Mil","",_xlfn.IFNA(ROUND(INDEX(Spectrum!$N:$N,MATCH(RIGHT($B324,13)&amp;"|"&amp;$C324&amp;"|"&amp;$D324&amp;"|"&amp;X$14&amp;"|"&amp;"CY2024Q3",Spectrum!$R:$R,0)),0),""))</f>
        <v>11</v>
      </c>
      <c r="Y324" s="33">
        <f t="shared" si="72"/>
        <v>0.69</v>
      </c>
      <c r="Z324" s="218">
        <f>IF(LEFT($B324,4)="_Mil","",_xlfn.IFNA(ROUND(INDEX(Spectrum!$N:$N,MATCH(RIGHT($B324,13)&amp;"|"&amp;$C324&amp;"|"&amp;$D324&amp;"|"&amp;Z$14&amp;"|"&amp;"CY2024Q3",Spectrum!$R:$R,0)),0),""))</f>
        <v>13</v>
      </c>
      <c r="AA324" s="33">
        <f>IF(LEFT($B324,4)="_Mil","",IFERROR(1/(1/INDEX(Spectrum!$N:$N,MATCH(RIGHT($B324,13)&amp;"|"&amp;$C324&amp;"|"&amp;$D324&amp;"|"&amp;AA$14&amp;"|"&amp;"CY2024Q3",Spectrum!$R:$R,0))),IF(SUM($U324)=0,"",SUM($Z324)/$U324)))</f>
        <v>0.65892561800000005</v>
      </c>
      <c r="AB324" s="33">
        <f t="shared" si="73"/>
        <v>1.1818181818181819</v>
      </c>
      <c r="AC324" s="38">
        <f>IF(LEFT($B324,4)="_Mil","",_xlfn.IFNA(ROUND(INDEX(Spectrum!$N:$N,MATCH(RIGHT($B324,13)&amp;"|"&amp;$C324&amp;"|"&amp;$D324&amp;"|"&amp;AC$14&amp;"|"&amp;"CY2024Q3",Spectrum!$R:$R,0)),0),""))</f>
        <v>6</v>
      </c>
      <c r="AD324" s="38" t="str">
        <f>IF(LEFT($B324,4)="_Mil","",_xlfn.IFNA(ROUND(INDEX(Spectrum!$N:$N,MATCH(RIGHT($B324,13)&amp;"|"&amp;$C324&amp;"|"&amp;$D324&amp;"|"&amp;AD$14&amp;"|"&amp;"CY2024Q3",Spectrum!$R:$R,0)),0),""))</f>
        <v/>
      </c>
      <c r="AE324" s="33">
        <f t="shared" si="74"/>
        <v>0</v>
      </c>
      <c r="AF324" s="218" t="str">
        <f>IF(LEFT($B324,4)="_Mil","",_xlfn.IFNA(ROUND(INDEX(Spectrum!$N:$N,MATCH(RIGHT($B324,13)&amp;"|"&amp;$C324&amp;"|"&amp;$D324&amp;"|"&amp;AF$14&amp;"|"&amp;"CY2024Q3",Spectrum!$R:$R,0)),0),""))</f>
        <v/>
      </c>
      <c r="AG324" s="33" t="str">
        <f t="shared" si="75"/>
        <v/>
      </c>
      <c r="AH324" s="110" t="str">
        <f>IF(LEFT($B324,4)="_Mil","",_xlfn.IFNA(INDEX(Spectrum!$N:$N,MATCH(RIGHT($B324,13)&amp;"|"&amp;$C324&amp;"|"&amp;$D324&amp;"|"&amp;AH$14&amp;"|"&amp;"CY2024Q3",Spectrum!$R:$R,0)),""))</f>
        <v/>
      </c>
      <c r="AI324" s="218">
        <f>IF(LEFT($B324,4)="_Mil","",_xlfn.IFNA(ROUND(INDEX(Spectrum!$N:$N,MATCH(RIGHT($B324,13)&amp;"|"&amp;$C324&amp;"|"&amp;$D324&amp;"|"&amp;AI$14&amp;"|"&amp;"CY2025Q3",Spectrum!$R:$R,0)),0),""))</f>
        <v>19</v>
      </c>
      <c r="AJ324" s="38">
        <f>IF(LEFT($B324,4)="_Mil","",_xlfn.IFNA(ROUND(INDEX(Spectrum!$N:$N,MATCH(RIGHT($B324,13)&amp;"|"&amp;$C324&amp;"|"&amp;$D324&amp;"|"&amp;AJ$14&amp;"|"&amp;"CY2025Q3",Spectrum!$R:$R,0)),0),""))</f>
        <v>14</v>
      </c>
      <c r="AK324" s="218" t="e">
        <f>#REF!</f>
        <v>#REF!</v>
      </c>
      <c r="AL324" s="33" t="str">
        <f t="shared" si="76"/>
        <v/>
      </c>
      <c r="AM324" s="38" t="str">
        <f>IF(OR(LEFT($B324,4)="_Mil",$C324="&lt;01"),"",ROUND(SUM($AK324)*SUM($AL324),0))</f>
        <v/>
      </c>
      <c r="AN324" s="38">
        <f>IF($C324="&lt;01",ROUND(INDEX(EID!$P:$P,MATCH($B324,EID!$B:$B,0))/2,0),"")</f>
        <v>0</v>
      </c>
      <c r="AO324" s="38">
        <f>IF($C324="&lt;01",SUM($AN324),ROUND(SUM($AM324)*SUM($O324)/IF(SUM($Z324)=0,1,$Z324),0))</f>
        <v>0</v>
      </c>
      <c r="AP324" s="218">
        <f>IF(OR($F324="",$C324="&lt;01"),$AO324,ROUND($F324,0))</f>
        <v>0</v>
      </c>
      <c r="AQ324" s="218">
        <f>IF(LEFT($B324,4)="_Mil","",IF(SUM($AP324)=0,SUM($Z324),IF(OR(SUM($Z324)=0,SUM($O324)=0),MAX($AP324,$Z324),ROUND($AP324*$Z324/$O324,0))))</f>
        <v>13</v>
      </c>
      <c r="AR324" s="33" t="e">
        <f>IF(OR(LEFT($B324,4)="_Mil",SUM($AK324)=0),"",SUM($AQ324)/$AK324)</f>
        <v>#REF!</v>
      </c>
      <c r="AS324" s="33" t="str">
        <f t="shared" si="84"/>
        <v/>
      </c>
      <c r="AT324" s="33" t="str">
        <f t="shared" si="83"/>
        <v/>
      </c>
      <c r="AU324" s="38" t="str">
        <f>IF($C324="&lt;01","",SUM($AP324)-SUM($O324))</f>
        <v/>
      </c>
      <c r="AV324" s="38">
        <f>IF($C324="&lt;01",ROUND(INDEX(EID!$N:$N,MATCH($B324,EID!$B:$B,0))/2,0),IF(SUM($AT324)=0,"",ROUND((SUM($AP324)-(SUM($O324)*SUM($AS324)))/$AT324,0)))</f>
        <v>0</v>
      </c>
      <c r="AW324" s="33" t="str">
        <f t="shared" si="77"/>
        <v/>
      </c>
      <c r="AX324" s="218">
        <f>IF($C324="&lt;01",SUM($AV324),ROUND(SUM($AV324)*SUM($AW324),0))</f>
        <v>0</v>
      </c>
      <c r="AY324" s="79" t="str">
        <f t="shared" si="78"/>
        <v/>
      </c>
      <c r="AZ324" s="85">
        <f>IF($C324="&lt;01",ROUND(INDEX(EID!$R:$R,MATCH($B324,EID!$B:$B,0))/2,0),ROUND(SUM($O324)+(SUM($AV324)*$AY324),0))</f>
        <v>0</v>
      </c>
      <c r="BA324" s="40" t="str">
        <f t="shared" si="82"/>
        <v/>
      </c>
      <c r="BB324" s="99">
        <f>IF($C324="&lt;01",ROUND(INDEX(EID!$T:$T,MATCH($B324,EID!$B:$B,0))/2,0),ROUND($AP324*$BA324,0))</f>
        <v>0</v>
      </c>
      <c r="BC324" s="85">
        <f>IF(LEFT($B324,4)="_Mil","",IF(SUM($BB324)=0,SUM($AD324),IF(OR(SUM($AP324)=0,SUM($AQ324)=0),MAX($BB324,$AD324),ROUND($BB324*$AQ324/$AP324,0))))</f>
        <v>0</v>
      </c>
      <c r="BD324" s="33" t="str">
        <f t="shared" si="79"/>
        <v/>
      </c>
      <c r="BE324" s="218">
        <f>IF($C324="&lt;01",ROUND(INDEX(EID!$V:$V,MATCH($B324,EID!$B:$B,0))/2,0),ROUND($BD324*$BB324,0))</f>
        <v>0</v>
      </c>
      <c r="BF324" s="218">
        <f>IF(LEFT($B324,4)="_Mil","",IF(SUM($BE324)=0,SUM($AF324),IF(OR(SUM($AP324)=0,SUM($AQ324)=0),MAX($BE324,$AF324),ROUND($BE324*$AQ324/$AP324,0))))</f>
        <v>0</v>
      </c>
      <c r="BG324" s="79" t="str">
        <f t="shared" si="80"/>
        <v/>
      </c>
      <c r="BH324" s="99">
        <f>IF($C324="&lt;01",ROUND(INDEX(EID!$L:$L,MATCH($B324,EID!$B:$B,0)),0)/2,IF(SUM($BG324)=0,"",ROUND($AX324/$BG324,0)))</f>
        <v>0</v>
      </c>
    </row>
    <row r="325" spans="1:60" x14ac:dyDescent="0.2">
      <c r="A325" t="str">
        <f>INDEX(Prioritization!$D:$D,MATCH($B325,Prioritization!$A:$A,0))</f>
        <v>4 - Sustained</v>
      </c>
      <c r="B325" t="s">
        <v>304</v>
      </c>
      <c r="C325" t="s">
        <v>473</v>
      </c>
      <c r="D325" t="s">
        <v>30</v>
      </c>
      <c r="E325" t="str">
        <f t="shared" si="70"/>
        <v>Ntcheu District [am530wpaGvr]|01-09|Female</v>
      </c>
      <c r="F325" s="229">
        <v>278</v>
      </c>
      <c r="G325" s="38">
        <v>81</v>
      </c>
      <c r="H325" s="38">
        <v>34</v>
      </c>
      <c r="I325" s="38">
        <v>278</v>
      </c>
      <c r="J325" s="38">
        <v>255</v>
      </c>
      <c r="K325" s="38">
        <v>206</v>
      </c>
      <c r="L325" s="38">
        <v>17</v>
      </c>
      <c r="M325" s="38">
        <v>16</v>
      </c>
      <c r="N325" s="38">
        <v>325</v>
      </c>
      <c r="O325" s="229">
        <v>278</v>
      </c>
      <c r="P325" s="38">
        <v>286</v>
      </c>
      <c r="Q325" s="38">
        <v>272</v>
      </c>
      <c r="R325" s="38">
        <f t="shared" si="71"/>
        <v>0</v>
      </c>
      <c r="S325" s="38">
        <f>IF(LEFT($B325,4)="_Mil","",_xlfn.IFNA(ROUND(INDEX(Spectrum!$N:$N,MATCH(RIGHT($B325,13)&amp;"|"&amp;$C325&amp;"|"&amp;$D325&amp;"|"&amp;S$14&amp;"|"&amp;"CY2023Q4",Spectrum!$R:$R,0)),0),""))</f>
        <v>270</v>
      </c>
      <c r="T325" s="218">
        <f>IF(LEFT($B325,4)="_Mil","",_xlfn.IFNA(ROUND(INDEX(Spectrum!$N:$N,MATCH(RIGHT($B325,13)&amp;"|"&amp;$C325&amp;"|"&amp;$D325&amp;"|"&amp;T$14&amp;"|"&amp;"CY2024Q3",Spectrum!$R:$R,0)),0),""))</f>
        <v>99048</v>
      </c>
      <c r="U325" s="218">
        <f>IF(LEFT($B325,4)="_Mil","",_xlfn.IFNA(ROUND(INDEX(Spectrum!$N:$N,MATCH(RIGHT($B325,13)&amp;"|"&amp;$C325&amp;"|"&amp;$D325&amp;"|"&amp;U$14&amp;"|"&amp;"CY2024Q3",Spectrum!$R:$R,0)),0),""))</f>
        <v>300</v>
      </c>
      <c r="V325" s="38">
        <f>IF(LEFT($B325,4)="_Mil","",_xlfn.IFNA(ROUND(INDEX(Spectrum!$N:$N,MATCH(RIGHT($B325,13)&amp;"|"&amp;$C325&amp;"|"&amp;$D325&amp;"|"&amp;V$14&amp;"|"&amp;"CY2024Q3",Spectrum!$R:$R,0)),0),""))</f>
        <v>363</v>
      </c>
      <c r="W325" s="220">
        <f>IF(LEFT($B325,4)="_Mil","",_xlfn.IFNA(INDEX(Spectrum!$N:$N,MATCH(RIGHT($B325,13)&amp;"|"&amp;$C325&amp;"|"&amp;$D325&amp;"|"&amp;W$14&amp;"|"&amp;"CY2024Q3",Spectrum!$R:$R,0)),""))</f>
        <v>3.0261590000000001E-3</v>
      </c>
      <c r="X325" s="218">
        <f>IF(LEFT($B325,4)="_Mil","",_xlfn.IFNA(ROUND(INDEX(Spectrum!$N:$N,MATCH(RIGHT($B325,13)&amp;"|"&amp;$C325&amp;"|"&amp;$D325&amp;"|"&amp;X$14&amp;"|"&amp;"CY2024Q3",Spectrum!$R:$R,0)),0),""))</f>
        <v>222</v>
      </c>
      <c r="Y325" s="33">
        <f t="shared" si="72"/>
        <v>0.74</v>
      </c>
      <c r="Z325" s="218">
        <f>IF(LEFT($B325,4)="_Mil","",_xlfn.IFNA(ROUND(INDEX(Spectrum!$N:$N,MATCH(RIGHT($B325,13)&amp;"|"&amp;$C325&amp;"|"&amp;$D325&amp;"|"&amp;Z$14&amp;"|"&amp;"CY2024Q3",Spectrum!$R:$R,0)),0),""))</f>
        <v>259</v>
      </c>
      <c r="AA325" s="33">
        <f>IF(LEFT($B325,4)="_Mil","",IFERROR(1/(1/INDEX(Spectrum!$N:$N,MATCH(RIGHT($B325,13)&amp;"|"&amp;$C325&amp;"|"&amp;$D325&amp;"|"&amp;AA$14&amp;"|"&amp;"CY2024Q3",Spectrum!$R:$R,0))),IF(SUM($U325)=0,"",SUM($Z325)/$U325)))</f>
        <v>0.70570888799999998</v>
      </c>
      <c r="AB325" s="33">
        <f t="shared" si="73"/>
        <v>1.1666666666666667</v>
      </c>
      <c r="AC325" s="38">
        <f>IF(LEFT($B325,4)="_Mil","",_xlfn.IFNA(ROUND(INDEX(Spectrum!$N:$N,MATCH(RIGHT($B325,13)&amp;"|"&amp;$C325&amp;"|"&amp;$D325&amp;"|"&amp;AC$14&amp;"|"&amp;"CY2024Q3",Spectrum!$R:$R,0)),0),""))</f>
        <v>105</v>
      </c>
      <c r="AD325" s="38" t="str">
        <f>IF(LEFT($B325,4)="_Mil","",_xlfn.IFNA(ROUND(INDEX(Spectrum!$N:$N,MATCH(RIGHT($B325,13)&amp;"|"&amp;$C325&amp;"|"&amp;$D325&amp;"|"&amp;AD$14&amp;"|"&amp;"CY2024Q3",Spectrum!$R:$R,0)),0),""))</f>
        <v/>
      </c>
      <c r="AE325" s="33">
        <f t="shared" si="74"/>
        <v>0</v>
      </c>
      <c r="AF325" s="218" t="str">
        <f>IF(LEFT($B325,4)="_Mil","",_xlfn.IFNA(ROUND(INDEX(Spectrum!$N:$N,MATCH(RIGHT($B325,13)&amp;"|"&amp;$C325&amp;"|"&amp;$D325&amp;"|"&amp;AF$14&amp;"|"&amp;"CY2024Q3",Spectrum!$R:$R,0)),0),""))</f>
        <v/>
      </c>
      <c r="AG325" s="33" t="str">
        <f t="shared" si="75"/>
        <v/>
      </c>
      <c r="AH325" s="110" t="str">
        <f>IF(LEFT($B325,4)="_Mil","",_xlfn.IFNA(INDEX(Spectrum!$N:$N,MATCH(RIGHT($B325,13)&amp;"|"&amp;$C325&amp;"|"&amp;$D325&amp;"|"&amp;AH$14&amp;"|"&amp;"CY2024Q3",Spectrum!$R:$R,0)),""))</f>
        <v/>
      </c>
      <c r="AI325" s="218">
        <f>IF(LEFT($B325,4)="_Mil","",_xlfn.IFNA(ROUND(INDEX(Spectrum!$N:$N,MATCH(RIGHT($B325,13)&amp;"|"&amp;$C325&amp;"|"&amp;$D325&amp;"|"&amp;AI$14&amp;"|"&amp;"CY2025Q3",Spectrum!$R:$R,0)),0),""))</f>
        <v>5</v>
      </c>
      <c r="AJ325" s="38">
        <f>IF(LEFT($B325,4)="_Mil","",_xlfn.IFNA(ROUND(INDEX(Spectrum!$N:$N,MATCH(RIGHT($B325,13)&amp;"|"&amp;$C325&amp;"|"&amp;$D325&amp;"|"&amp;AJ$14&amp;"|"&amp;"CY2025Q3",Spectrum!$R:$R,0)),0),""))</f>
        <v>258</v>
      </c>
      <c r="AK325" s="218" t="e">
        <f>#REF!</f>
        <v>#REF!</v>
      </c>
      <c r="AL325" s="33">
        <f t="shared" si="76"/>
        <v>0.9</v>
      </c>
      <c r="AM325" s="38" t="e">
        <f>IF(OR(LEFT($B325,4)="_Mil",$C325="&lt;01"),"",ROUND(SUM($AK325)*SUM($AL325),0))</f>
        <v>#REF!</v>
      </c>
      <c r="AN325" s="38" t="str">
        <f>IF($C325="&lt;01",ROUND(INDEX(EID!$P:$P,MATCH($B325,EID!$B:$B,0))/2,0),"")</f>
        <v/>
      </c>
      <c r="AO325" s="38" t="e">
        <f>IF($C325="&lt;01",SUM($AN325),ROUND(SUM($AM325)*SUM($O325)/IF(SUM($Z325)=0,1,$Z325),0))</f>
        <v>#REF!</v>
      </c>
      <c r="AP325" s="218">
        <f>IF(OR($F325="",$C325="&lt;01"),$AO325,ROUND($F325,0))</f>
        <v>278</v>
      </c>
      <c r="AQ325" s="218">
        <f>IF(LEFT($B325,4)="_Mil","",IF(SUM($AP325)=0,SUM($Z325),IF(OR(SUM($Z325)=0,SUM($O325)=0),MAX($AP325,$Z325),ROUND($AP325*$Z325/$O325,0))))</f>
        <v>259</v>
      </c>
      <c r="AR325" s="33" t="e">
        <f>IF(OR(LEFT($B325,4)="_Mil",SUM($AK325)=0),"",SUM($AQ325)/$AK325)</f>
        <v>#REF!</v>
      </c>
      <c r="AS325" s="33">
        <f t="shared" si="84"/>
        <v>0.98</v>
      </c>
      <c r="AT325" s="33">
        <f t="shared" si="83"/>
        <v>0.98</v>
      </c>
      <c r="AU325" s="38">
        <f>IF($C325="&lt;01","",SUM($AP325)-SUM($O325))</f>
        <v>0</v>
      </c>
      <c r="AV325" s="38">
        <f>IF($C325="&lt;01",ROUND(INDEX(EID!$N:$N,MATCH($B325,EID!$B:$B,0))/2,0),IF(SUM($AT325)=0,"",ROUND((SUM($AP325)-(SUM($O325)*SUM($AS325)))/$AT325,0)))</f>
        <v>6</v>
      </c>
      <c r="AW325" s="33">
        <f t="shared" si="77"/>
        <v>1</v>
      </c>
      <c r="AX325" s="218">
        <f>IF($C325="&lt;01",SUM($AV325),ROUND(SUM($AV325)*SUM($AW325),0))</f>
        <v>6</v>
      </c>
      <c r="AY325" s="79">
        <f t="shared" si="78"/>
        <v>0.7</v>
      </c>
      <c r="AZ325" s="85">
        <f>IF($C325="&lt;01",ROUND(INDEX(EID!$R:$R,MATCH($B325,EID!$B:$B,0))/2,0),ROUND(SUM($O325)+(SUM($AV325)*$AY325),0))</f>
        <v>282</v>
      </c>
      <c r="BA325" s="40">
        <f t="shared" si="82"/>
        <v>0.9</v>
      </c>
      <c r="BB325" s="99">
        <f>IF($C325="&lt;01",ROUND(INDEX(EID!$T:$T,MATCH($B325,EID!$B:$B,0))/2,0),ROUND($AP325*$BA325,0))</f>
        <v>250</v>
      </c>
      <c r="BC325" s="85">
        <f>IF(LEFT($B325,4)="_Mil","",IF(SUM($BB325)=0,SUM($AD325),IF(OR(SUM($AP325)=0,SUM($AQ325)=0),MAX($BB325,$AD325),ROUND($BB325*$AQ325/$AP325,0))))</f>
        <v>233</v>
      </c>
      <c r="BD325" s="33">
        <f t="shared" si="79"/>
        <v>0.95</v>
      </c>
      <c r="BE325" s="218">
        <f>IF($C325="&lt;01",ROUND(INDEX(EID!$V:$V,MATCH($B325,EID!$B:$B,0))/2,0),ROUND($BD325*$BB325,0))</f>
        <v>238</v>
      </c>
      <c r="BF325" s="218">
        <f>IF(LEFT($B325,4)="_Mil","",IF(SUM($BE325)=0,SUM($AF325),IF(OR(SUM($AP325)=0,SUM($AQ325)=0),MAX($BE325,$AF325),ROUND($BE325*$AQ325/$AP325,0))))</f>
        <v>222</v>
      </c>
      <c r="BG325" s="79">
        <f t="shared" si="80"/>
        <v>0.95</v>
      </c>
      <c r="BH325" s="99">
        <f>IF($C325="&lt;01",ROUND(INDEX(EID!$L:$L,MATCH($B325,EID!$B:$B,0)),0)/2,IF(SUM($BG325)=0,"",ROUND($AX325/$BG325,0)))</f>
        <v>6</v>
      </c>
    </row>
    <row r="326" spans="1:60" x14ac:dyDescent="0.2">
      <c r="A326" t="str">
        <f>INDEX(Prioritization!$D:$D,MATCH($B326,Prioritization!$A:$A,0))</f>
        <v>4 - Sustained</v>
      </c>
      <c r="B326" t="s">
        <v>304</v>
      </c>
      <c r="C326" t="s">
        <v>473</v>
      </c>
      <c r="D326" t="s">
        <v>48</v>
      </c>
      <c r="E326" t="str">
        <f t="shared" si="70"/>
        <v>Ntcheu District [am530wpaGvr]|01-09|Male</v>
      </c>
      <c r="F326" s="229">
        <v>279</v>
      </c>
      <c r="G326" s="38">
        <v>56</v>
      </c>
      <c r="H326" s="38">
        <v>27</v>
      </c>
      <c r="I326" s="38">
        <v>267</v>
      </c>
      <c r="J326" s="38">
        <v>211</v>
      </c>
      <c r="K326" s="38">
        <v>179</v>
      </c>
      <c r="L326" s="38">
        <v>16</v>
      </c>
      <c r="M326" s="38">
        <v>15</v>
      </c>
      <c r="N326" s="38">
        <v>327</v>
      </c>
      <c r="O326" s="229">
        <v>279</v>
      </c>
      <c r="P326" s="38">
        <v>289</v>
      </c>
      <c r="Q326" s="38">
        <v>275</v>
      </c>
      <c r="R326" s="38">
        <f t="shared" si="71"/>
        <v>12</v>
      </c>
      <c r="S326" s="38">
        <f>IF(LEFT($B326,4)="_Mil","",_xlfn.IFNA(ROUND(INDEX(Spectrum!$N:$N,MATCH(RIGHT($B326,13)&amp;"|"&amp;$C326&amp;"|"&amp;$D326&amp;"|"&amp;S$14&amp;"|"&amp;"CY2023Q4",Spectrum!$R:$R,0)),0),""))</f>
        <v>279</v>
      </c>
      <c r="T326" s="218">
        <f>IF(LEFT($B326,4)="_Mil","",_xlfn.IFNA(ROUND(INDEX(Spectrum!$N:$N,MATCH(RIGHT($B326,13)&amp;"|"&amp;$C326&amp;"|"&amp;$D326&amp;"|"&amp;T$14&amp;"|"&amp;"CY2024Q3",Spectrum!$R:$R,0)),0),""))</f>
        <v>103038</v>
      </c>
      <c r="U326" s="218">
        <f>IF(LEFT($B326,4)="_Mil","",_xlfn.IFNA(ROUND(INDEX(Spectrum!$N:$N,MATCH(RIGHT($B326,13)&amp;"|"&amp;$C326&amp;"|"&amp;$D326&amp;"|"&amp;U$14&amp;"|"&amp;"CY2024Q3",Spectrum!$R:$R,0)),0),""))</f>
        <v>307</v>
      </c>
      <c r="V326" s="38">
        <f>IF(LEFT($B326,4)="_Mil","",_xlfn.IFNA(ROUND(INDEX(Spectrum!$N:$N,MATCH(RIGHT($B326,13)&amp;"|"&amp;$C326&amp;"|"&amp;$D326&amp;"|"&amp;V$14&amp;"|"&amp;"CY2024Q3",Spectrum!$R:$R,0)),0),""))</f>
        <v>372</v>
      </c>
      <c r="W326" s="220">
        <f>IF(LEFT($B326,4)="_Mil","",_xlfn.IFNA(INDEX(Spectrum!$N:$N,MATCH(RIGHT($B326,13)&amp;"|"&amp;$C326&amp;"|"&amp;$D326&amp;"|"&amp;W$14&amp;"|"&amp;"CY2024Q3",Spectrum!$R:$R,0)),""))</f>
        <v>2.981835E-3</v>
      </c>
      <c r="X326" s="218">
        <f>IF(LEFT($B326,4)="_Mil","",_xlfn.IFNA(ROUND(INDEX(Spectrum!$N:$N,MATCH(RIGHT($B326,13)&amp;"|"&amp;$C326&amp;"|"&amp;$D326&amp;"|"&amp;X$14&amp;"|"&amp;"CY2024Q3",Spectrum!$R:$R,0)),0),""))</f>
        <v>228</v>
      </c>
      <c r="Y326" s="33">
        <f t="shared" si="72"/>
        <v>0.74</v>
      </c>
      <c r="Z326" s="218">
        <f>IF(LEFT($B326,4)="_Mil","",_xlfn.IFNA(ROUND(INDEX(Spectrum!$N:$N,MATCH(RIGHT($B326,13)&amp;"|"&amp;$C326&amp;"|"&amp;$D326&amp;"|"&amp;Z$14&amp;"|"&amp;"CY2024Q3",Spectrum!$R:$R,0)),0),""))</f>
        <v>267</v>
      </c>
      <c r="AA326" s="33">
        <f>IF(LEFT($B326,4)="_Mil","",IFERROR(1/(1/INDEX(Spectrum!$N:$N,MATCH(RIGHT($B326,13)&amp;"|"&amp;$C326&amp;"|"&amp;$D326&amp;"|"&amp;AA$14&amp;"|"&amp;"CY2024Q3",Spectrum!$R:$R,0))),IF(SUM($U326)=0,"",SUM($Z326)/$U326)))</f>
        <v>0.70595324400000004</v>
      </c>
      <c r="AB326" s="33">
        <f t="shared" si="73"/>
        <v>1.1710526315789473</v>
      </c>
      <c r="AC326" s="38">
        <f>IF(LEFT($B326,4)="_Mil","",_xlfn.IFNA(ROUND(INDEX(Spectrum!$N:$N,MATCH(RIGHT($B326,13)&amp;"|"&amp;$C326&amp;"|"&amp;$D326&amp;"|"&amp;AC$14&amp;"|"&amp;"CY2024Q3",Spectrum!$R:$R,0)),0),""))</f>
        <v>105</v>
      </c>
      <c r="AD326" s="38" t="str">
        <f>IF(LEFT($B326,4)="_Mil","",_xlfn.IFNA(ROUND(INDEX(Spectrum!$N:$N,MATCH(RIGHT($B326,13)&amp;"|"&amp;$C326&amp;"|"&amp;$D326&amp;"|"&amp;AD$14&amp;"|"&amp;"CY2024Q3",Spectrum!$R:$R,0)),0),""))</f>
        <v/>
      </c>
      <c r="AE326" s="33">
        <f t="shared" si="74"/>
        <v>0</v>
      </c>
      <c r="AF326" s="218" t="str">
        <f>IF(LEFT($B326,4)="_Mil","",_xlfn.IFNA(ROUND(INDEX(Spectrum!$N:$N,MATCH(RIGHT($B326,13)&amp;"|"&amp;$C326&amp;"|"&amp;$D326&amp;"|"&amp;AF$14&amp;"|"&amp;"CY2024Q3",Spectrum!$R:$R,0)),0),""))</f>
        <v/>
      </c>
      <c r="AG326" s="33" t="str">
        <f t="shared" si="75"/>
        <v/>
      </c>
      <c r="AH326" s="110" t="str">
        <f>IF(LEFT($B326,4)="_Mil","",_xlfn.IFNA(INDEX(Spectrum!$N:$N,MATCH(RIGHT($B326,13)&amp;"|"&amp;$C326&amp;"|"&amp;$D326&amp;"|"&amp;AH$14&amp;"|"&amp;"CY2024Q3",Spectrum!$R:$R,0)),""))</f>
        <v/>
      </c>
      <c r="AI326" s="218">
        <f>IF(LEFT($B326,4)="_Mil","",_xlfn.IFNA(ROUND(INDEX(Spectrum!$N:$N,MATCH(RIGHT($B326,13)&amp;"|"&amp;$C326&amp;"|"&amp;$D326&amp;"|"&amp;AI$14&amp;"|"&amp;"CY2025Q3",Spectrum!$R:$R,0)),0),""))</f>
        <v>5</v>
      </c>
      <c r="AJ326" s="38">
        <f>IF(LEFT($B326,4)="_Mil","",_xlfn.IFNA(ROUND(INDEX(Spectrum!$N:$N,MATCH(RIGHT($B326,13)&amp;"|"&amp;$C326&amp;"|"&amp;$D326&amp;"|"&amp;AJ$14&amp;"|"&amp;"CY2025Q3",Spectrum!$R:$R,0)),0),""))</f>
        <v>264</v>
      </c>
      <c r="AK326" s="218" t="e">
        <f>#REF!</f>
        <v>#REF!</v>
      </c>
      <c r="AL326" s="33">
        <f t="shared" si="76"/>
        <v>0.9</v>
      </c>
      <c r="AM326" s="38" t="e">
        <f>IF(OR(LEFT($B326,4)="_Mil",$C326="&lt;01"),"",ROUND(SUM($AK326)*SUM($AL326),0))</f>
        <v>#REF!</v>
      </c>
      <c r="AN326" s="38" t="str">
        <f>IF($C326="&lt;01",ROUND(INDEX(EID!$P:$P,MATCH($B326,EID!$B:$B,0))/2,0),"")</f>
        <v/>
      </c>
      <c r="AO326" s="38" t="e">
        <f>IF($C326="&lt;01",SUM($AN326),ROUND(SUM($AM326)*SUM($O326)/IF(SUM($Z326)=0,1,$Z326),0))</f>
        <v>#REF!</v>
      </c>
      <c r="AP326" s="218">
        <f>IF(OR($F326="",$C326="&lt;01"),$AO326,ROUND($F326,0))</f>
        <v>279</v>
      </c>
      <c r="AQ326" s="218">
        <f>IF(LEFT($B326,4)="_Mil","",IF(SUM($AP326)=0,SUM($Z326),IF(OR(SUM($Z326)=0,SUM($O326)=0),MAX($AP326,$Z326),ROUND($AP326*$Z326/$O326,0))))</f>
        <v>267</v>
      </c>
      <c r="AR326" s="33" t="e">
        <f>IF(OR(LEFT($B326,4)="_Mil",SUM($AK326)=0),"",SUM($AQ326)/$AK326)</f>
        <v>#REF!</v>
      </c>
      <c r="AS326" s="33">
        <f t="shared" si="84"/>
        <v>0.98</v>
      </c>
      <c r="AT326" s="33">
        <f t="shared" si="83"/>
        <v>0.98</v>
      </c>
      <c r="AU326" s="38">
        <f>IF($C326="&lt;01","",SUM($AP326)-SUM($O326))</f>
        <v>0</v>
      </c>
      <c r="AV326" s="38">
        <f>IF($C326="&lt;01",ROUND(INDEX(EID!$N:$N,MATCH($B326,EID!$B:$B,0))/2,0),IF(SUM($AT326)=0,"",ROUND((SUM($AP326)-(SUM($O326)*SUM($AS326)))/$AT326,0)))</f>
        <v>6</v>
      </c>
      <c r="AW326" s="33">
        <f t="shared" si="77"/>
        <v>1</v>
      </c>
      <c r="AX326" s="218">
        <f>IF($C326="&lt;01",SUM($AV326),ROUND(SUM($AV326)*SUM($AW326),0))</f>
        <v>6</v>
      </c>
      <c r="AY326" s="79">
        <f t="shared" si="78"/>
        <v>0.7</v>
      </c>
      <c r="AZ326" s="85">
        <f>IF($C326="&lt;01",ROUND(INDEX(EID!$R:$R,MATCH($B326,EID!$B:$B,0))/2,0),ROUND(SUM($O326)+(SUM($AV326)*$AY326),0))</f>
        <v>283</v>
      </c>
      <c r="BA326" s="40">
        <f t="shared" si="82"/>
        <v>0.9</v>
      </c>
      <c r="BB326" s="99">
        <f>IF($C326="&lt;01",ROUND(INDEX(EID!$T:$T,MATCH($B326,EID!$B:$B,0))/2,0),ROUND($AP326*$BA326,0))</f>
        <v>251</v>
      </c>
      <c r="BC326" s="85">
        <f>IF(LEFT($B326,4)="_Mil","",IF(SUM($BB326)=0,SUM($AD326),IF(OR(SUM($AP326)=0,SUM($AQ326)=0),MAX($BB326,$AD326),ROUND($BB326*$AQ326/$AP326,0))))</f>
        <v>240</v>
      </c>
      <c r="BD326" s="33">
        <f t="shared" si="79"/>
        <v>0.95</v>
      </c>
      <c r="BE326" s="218">
        <f>IF($C326="&lt;01",ROUND(INDEX(EID!$V:$V,MATCH($B326,EID!$B:$B,0))/2,0),ROUND($BD326*$BB326,0))</f>
        <v>238</v>
      </c>
      <c r="BF326" s="218">
        <f>IF(LEFT($B326,4)="_Mil","",IF(SUM($BE326)=0,SUM($AF326),IF(OR(SUM($AP326)=0,SUM($AQ326)=0),MAX($BE326,$AF326),ROUND($BE326*$AQ326/$AP326,0))))</f>
        <v>228</v>
      </c>
      <c r="BG326" s="79">
        <f t="shared" si="80"/>
        <v>0.95</v>
      </c>
      <c r="BH326" s="99">
        <f>IF($C326="&lt;01",ROUND(INDEX(EID!$L:$L,MATCH($B326,EID!$B:$B,0)),0)/2,IF(SUM($BG326)=0,"",ROUND($AX326/$BG326,0)))</f>
        <v>6</v>
      </c>
    </row>
    <row r="327" spans="1:60" x14ac:dyDescent="0.2">
      <c r="A327" t="str">
        <f>INDEX(Prioritization!$D:$D,MATCH($B327,Prioritization!$A:$A,0))</f>
        <v>4 - Sustained</v>
      </c>
      <c r="B327" t="s">
        <v>304</v>
      </c>
      <c r="C327" t="s">
        <v>474</v>
      </c>
      <c r="D327" t="s">
        <v>30</v>
      </c>
      <c r="E327" t="str">
        <f t="shared" si="70"/>
        <v>Ntcheu District [am530wpaGvr]|10-14|Female</v>
      </c>
      <c r="F327" s="229">
        <v>345</v>
      </c>
      <c r="G327" s="38">
        <v>40</v>
      </c>
      <c r="H327" s="38">
        <v>14</v>
      </c>
      <c r="I327" s="38">
        <v>342</v>
      </c>
      <c r="J327" s="38">
        <v>316</v>
      </c>
      <c r="K327" s="38">
        <v>252</v>
      </c>
      <c r="L327" s="38">
        <v>47</v>
      </c>
      <c r="M327" s="38">
        <v>45</v>
      </c>
      <c r="N327" s="38">
        <v>394</v>
      </c>
      <c r="O327" s="229">
        <v>345</v>
      </c>
      <c r="P327" s="38">
        <v>329</v>
      </c>
      <c r="Q327" s="38">
        <v>313</v>
      </c>
      <c r="R327" s="38">
        <f t="shared" si="71"/>
        <v>3</v>
      </c>
      <c r="S327" s="38">
        <f>IF(LEFT($B327,4)="_Mil","",_xlfn.IFNA(ROUND(INDEX(Spectrum!$N:$N,MATCH(RIGHT($B327,13)&amp;"|"&amp;$C327&amp;"|"&amp;$D327&amp;"|"&amp;S$14&amp;"|"&amp;"CY2023Q4",Spectrum!$R:$R,0)),0),""))</f>
        <v>347</v>
      </c>
      <c r="T327" s="218">
        <f>IF(LEFT($B327,4)="_Mil","",_xlfn.IFNA(ROUND(INDEX(Spectrum!$N:$N,MATCH(RIGHT($B327,13)&amp;"|"&amp;$C327&amp;"|"&amp;$D327&amp;"|"&amp;T$14&amp;"|"&amp;"CY2024Q3",Spectrum!$R:$R,0)),0),""))</f>
        <v>53856</v>
      </c>
      <c r="U327" s="218">
        <f>IF(LEFT($B327,4)="_Mil","",_xlfn.IFNA(ROUND(INDEX(Spectrum!$N:$N,MATCH(RIGHT($B327,13)&amp;"|"&amp;$C327&amp;"|"&amp;$D327&amp;"|"&amp;U$14&amp;"|"&amp;"CY2024Q3",Spectrum!$R:$R,0)),0),""))</f>
        <v>384</v>
      </c>
      <c r="V327" s="38">
        <f>IF(LEFT($B327,4)="_Mil","",_xlfn.IFNA(ROUND(INDEX(Spectrum!$N:$N,MATCH(RIGHT($B327,13)&amp;"|"&amp;$C327&amp;"|"&amp;$D327&amp;"|"&amp;V$14&amp;"|"&amp;"CY2024Q3",Spectrum!$R:$R,0)),0),""))</f>
        <v>460</v>
      </c>
      <c r="W327" s="220">
        <f>IF(LEFT($B327,4)="_Mil","",_xlfn.IFNA(INDEX(Spectrum!$N:$N,MATCH(RIGHT($B327,13)&amp;"|"&amp;$C327&amp;"|"&amp;$D327&amp;"|"&amp;W$14&amp;"|"&amp;"CY2024Q3",Spectrum!$R:$R,0)),""))</f>
        <v>7.1284089999999996E-3</v>
      </c>
      <c r="X327" s="218">
        <f>IF(LEFT($B327,4)="_Mil","",_xlfn.IFNA(ROUND(INDEX(Spectrum!$N:$N,MATCH(RIGHT($B327,13)&amp;"|"&amp;$C327&amp;"|"&amp;$D327&amp;"|"&amp;X$14&amp;"|"&amp;"CY2024Q3",Spectrum!$R:$R,0)),0),""))</f>
        <v>299</v>
      </c>
      <c r="Y327" s="33">
        <f t="shared" si="72"/>
        <v>0.78</v>
      </c>
      <c r="Z327" s="218">
        <f>IF(LEFT($B327,4)="_Mil","",_xlfn.IFNA(ROUND(INDEX(Spectrum!$N:$N,MATCH(RIGHT($B327,13)&amp;"|"&amp;$C327&amp;"|"&amp;$D327&amp;"|"&amp;Z$14&amp;"|"&amp;"CY2024Q3",Spectrum!$R:$R,0)),0),""))</f>
        <v>343</v>
      </c>
      <c r="AA327" s="33">
        <f>IF(LEFT($B327,4)="_Mil","",IFERROR(1/(1/INDEX(Spectrum!$N:$N,MATCH(RIGHT($B327,13)&amp;"|"&amp;$C327&amp;"|"&amp;$D327&amp;"|"&amp;AA$14&amp;"|"&amp;"CY2024Q3",Spectrum!$R:$R,0))),IF(SUM($U327)=0,"",SUM($Z327)/$U327)))</f>
        <v>0.74253842000000014</v>
      </c>
      <c r="AB327" s="33">
        <f t="shared" si="73"/>
        <v>1.1471571906354514</v>
      </c>
      <c r="AC327" s="38">
        <f>IF(LEFT($B327,4)="_Mil","",_xlfn.IFNA(ROUND(INDEX(Spectrum!$N:$N,MATCH(RIGHT($B327,13)&amp;"|"&amp;$C327&amp;"|"&amp;$D327&amp;"|"&amp;AC$14&amp;"|"&amp;"CY2024Q3",Spectrum!$R:$R,0)),0),""))</f>
        <v>117</v>
      </c>
      <c r="AD327" s="38" t="str">
        <f>IF(LEFT($B327,4)="_Mil","",_xlfn.IFNA(ROUND(INDEX(Spectrum!$N:$N,MATCH(RIGHT($B327,13)&amp;"|"&amp;$C327&amp;"|"&amp;$D327&amp;"|"&amp;AD$14&amp;"|"&amp;"CY2024Q3",Spectrum!$R:$R,0)),0),""))</f>
        <v/>
      </c>
      <c r="AE327" s="33">
        <f t="shared" si="74"/>
        <v>0</v>
      </c>
      <c r="AF327" s="218" t="str">
        <f>IF(LEFT($B327,4)="_Mil","",_xlfn.IFNA(ROUND(INDEX(Spectrum!$N:$N,MATCH(RIGHT($B327,13)&amp;"|"&amp;$C327&amp;"|"&amp;$D327&amp;"|"&amp;AF$14&amp;"|"&amp;"CY2024Q3",Spectrum!$R:$R,0)),0),""))</f>
        <v/>
      </c>
      <c r="AG327" s="33" t="str">
        <f t="shared" si="75"/>
        <v/>
      </c>
      <c r="AH327" s="110" t="str">
        <f>IF(LEFT($B327,4)="_Mil","",_xlfn.IFNA(INDEX(Spectrum!$N:$N,MATCH(RIGHT($B327,13)&amp;"|"&amp;$C327&amp;"|"&amp;$D327&amp;"|"&amp;AH$14&amp;"|"&amp;"CY2024Q3",Spectrum!$R:$R,0)),""))</f>
        <v/>
      </c>
      <c r="AI327" s="218">
        <f>IF(LEFT($B327,4)="_Mil","",_xlfn.IFNA(ROUND(INDEX(Spectrum!$N:$N,MATCH(RIGHT($B327,13)&amp;"|"&amp;$C327&amp;"|"&amp;$D327&amp;"|"&amp;AI$14&amp;"|"&amp;"CY2025Q3",Spectrum!$R:$R,0)),0),""))</f>
        <v>0</v>
      </c>
      <c r="AJ327" s="38">
        <f>IF(LEFT($B327,4)="_Mil","",_xlfn.IFNA(ROUND(INDEX(Spectrum!$N:$N,MATCH(RIGHT($B327,13)&amp;"|"&amp;$C327&amp;"|"&amp;$D327&amp;"|"&amp;AJ$14&amp;"|"&amp;"CY2025Q3",Spectrum!$R:$R,0)),0),""))</f>
        <v>344</v>
      </c>
      <c r="AK327" s="218" t="e">
        <f>#REF!</f>
        <v>#REF!</v>
      </c>
      <c r="AL327" s="33">
        <f t="shared" si="76"/>
        <v>0.9</v>
      </c>
      <c r="AM327" s="38" t="e">
        <f>IF(OR(LEFT($B327,4)="_Mil",$C327="&lt;01"),"",ROUND(SUM($AK327)*SUM($AL327),0))</f>
        <v>#REF!</v>
      </c>
      <c r="AN327" s="38" t="str">
        <f>IF($C327="&lt;01",ROUND(INDEX(EID!$P:$P,MATCH($B327,EID!$B:$B,0))/2,0),"")</f>
        <v/>
      </c>
      <c r="AO327" s="38" t="e">
        <f>IF($C327="&lt;01",SUM($AN327),ROUND(SUM($AM327)*SUM($O327)/IF(SUM($Z327)=0,1,$Z327),0))</f>
        <v>#REF!</v>
      </c>
      <c r="AP327" s="218">
        <f>IF(OR($F327="",$C327="&lt;01"),$AO327,ROUND($F327,0))</f>
        <v>345</v>
      </c>
      <c r="AQ327" s="218">
        <f>IF(LEFT($B327,4)="_Mil","",IF(SUM($AP327)=0,SUM($Z327),IF(OR(SUM($Z327)=0,SUM($O327)=0),MAX($AP327,$Z327),ROUND($AP327*$Z327/$O327,0))))</f>
        <v>343</v>
      </c>
      <c r="AR327" s="33" t="e">
        <f>IF(OR(LEFT($B327,4)="_Mil",SUM($AK327)=0),"",SUM($AQ327)/$AK327)</f>
        <v>#REF!</v>
      </c>
      <c r="AS327" s="33">
        <f>IF($C327="&lt;01","",90%)</f>
        <v>0.9</v>
      </c>
      <c r="AT327" s="33">
        <f t="shared" si="83"/>
        <v>0.98</v>
      </c>
      <c r="AU327" s="38">
        <f>IF($C327="&lt;01","",SUM($AP327)-SUM($O327))</f>
        <v>0</v>
      </c>
      <c r="AV327" s="38">
        <f>IF($C327="&lt;01",ROUND(INDEX(EID!$N:$N,MATCH($B327,EID!$B:$B,0))/2,0),IF(SUM($AT327)=0,"",ROUND((SUM($AP327)-(SUM($O327)*SUM($AS327)))/$AT327,0)))</f>
        <v>35</v>
      </c>
      <c r="AW327" s="33">
        <f t="shared" si="77"/>
        <v>1</v>
      </c>
      <c r="AX327" s="218">
        <f>IF($C327="&lt;01",SUM($AV327),ROUND(SUM($AV327)*SUM($AW327),0))</f>
        <v>35</v>
      </c>
      <c r="AY327" s="79">
        <f t="shared" si="78"/>
        <v>0.7</v>
      </c>
      <c r="AZ327" s="85">
        <f>IF($C327="&lt;01",ROUND(INDEX(EID!$R:$R,MATCH($B327,EID!$B:$B,0))/2,0),ROUND(SUM($O327)+(SUM($AV327)*$AY327),0))</f>
        <v>370</v>
      </c>
      <c r="BA327" s="40">
        <f t="shared" si="82"/>
        <v>0.9</v>
      </c>
      <c r="BB327" s="99">
        <f>IF($C327="&lt;01",ROUND(INDEX(EID!$T:$T,MATCH($B327,EID!$B:$B,0))/2,0),ROUND($AP327*$BA327,0))</f>
        <v>311</v>
      </c>
      <c r="BC327" s="85">
        <f>IF(LEFT($B327,4)="_Mil","",IF(SUM($BB327)=0,SUM($AD327),IF(OR(SUM($AP327)=0,SUM($AQ327)=0),MAX($BB327,$AD327),ROUND($BB327*$AQ327/$AP327,0))))</f>
        <v>309</v>
      </c>
      <c r="BD327" s="33">
        <f t="shared" si="79"/>
        <v>0.95</v>
      </c>
      <c r="BE327" s="218">
        <f>IF($C327="&lt;01",ROUND(INDEX(EID!$V:$V,MATCH($B327,EID!$B:$B,0))/2,0),ROUND($BD327*$BB327,0))</f>
        <v>295</v>
      </c>
      <c r="BF327" s="218">
        <f>IF(LEFT($B327,4)="_Mil","",IF(SUM($BE327)=0,SUM($AF327),IF(OR(SUM($AP327)=0,SUM($AQ327)=0),MAX($BE327,$AF327),ROUND($BE327*$AQ327/$AP327,0))))</f>
        <v>293</v>
      </c>
      <c r="BG327" s="79">
        <f t="shared" si="80"/>
        <v>0.95</v>
      </c>
      <c r="BH327" s="99">
        <f>IF($C327="&lt;01",ROUND(INDEX(EID!$L:$L,MATCH($B327,EID!$B:$B,0)),0)/2,IF(SUM($BG327)=0,"",ROUND($AX327/$BG327,0)))</f>
        <v>37</v>
      </c>
    </row>
    <row r="328" spans="1:60" x14ac:dyDescent="0.2">
      <c r="A328" t="str">
        <f>INDEX(Prioritization!$D:$D,MATCH($B328,Prioritization!$A:$A,0))</f>
        <v>4 - Sustained</v>
      </c>
      <c r="B328" t="s">
        <v>304</v>
      </c>
      <c r="C328" t="s">
        <v>474</v>
      </c>
      <c r="D328" t="s">
        <v>48</v>
      </c>
      <c r="E328" t="str">
        <f t="shared" si="70"/>
        <v>Ntcheu District [am530wpaGvr]|10-14|Male</v>
      </c>
      <c r="F328" s="229">
        <v>355</v>
      </c>
      <c r="G328" s="38">
        <v>27</v>
      </c>
      <c r="H328" s="38">
        <v>9</v>
      </c>
      <c r="I328" s="38">
        <v>355</v>
      </c>
      <c r="J328" s="38">
        <v>282</v>
      </c>
      <c r="K328" s="38">
        <v>222</v>
      </c>
      <c r="L328" s="38">
        <v>47</v>
      </c>
      <c r="M328" s="38">
        <v>45</v>
      </c>
      <c r="N328" s="38">
        <v>396</v>
      </c>
      <c r="O328" s="229">
        <v>355</v>
      </c>
      <c r="P328" s="38">
        <v>331</v>
      </c>
      <c r="Q328" s="38">
        <v>314</v>
      </c>
      <c r="R328" s="38">
        <f t="shared" si="71"/>
        <v>0</v>
      </c>
      <c r="S328" s="38">
        <f>IF(LEFT($B328,4)="_Mil","",_xlfn.IFNA(ROUND(INDEX(Spectrum!$N:$N,MATCH(RIGHT($B328,13)&amp;"|"&amp;$C328&amp;"|"&amp;$D328&amp;"|"&amp;S$14&amp;"|"&amp;"CY2023Q4",Spectrum!$R:$R,0)),0),""))</f>
        <v>357</v>
      </c>
      <c r="T328" s="218">
        <f>IF(LEFT($B328,4)="_Mil","",_xlfn.IFNA(ROUND(INDEX(Spectrum!$N:$N,MATCH(RIGHT($B328,13)&amp;"|"&amp;$C328&amp;"|"&amp;$D328&amp;"|"&amp;T$14&amp;"|"&amp;"CY2024Q3",Spectrum!$R:$R,0)),0),""))</f>
        <v>55456</v>
      </c>
      <c r="U328" s="218">
        <f>IF(LEFT($B328,4)="_Mil","",_xlfn.IFNA(ROUND(INDEX(Spectrum!$N:$N,MATCH(RIGHT($B328,13)&amp;"|"&amp;$C328&amp;"|"&amp;$D328&amp;"|"&amp;U$14&amp;"|"&amp;"CY2024Q3",Spectrum!$R:$R,0)),0),""))</f>
        <v>391</v>
      </c>
      <c r="V328" s="38">
        <f>IF(LEFT($B328,4)="_Mil","",_xlfn.IFNA(ROUND(INDEX(Spectrum!$N:$N,MATCH(RIGHT($B328,13)&amp;"|"&amp;$C328&amp;"|"&amp;$D328&amp;"|"&amp;V$14&amp;"|"&amp;"CY2024Q3",Spectrum!$R:$R,0)),0),""))</f>
        <v>469</v>
      </c>
      <c r="W328" s="220">
        <f>IF(LEFT($B328,4)="_Mil","",_xlfn.IFNA(INDEX(Spectrum!$N:$N,MATCH(RIGHT($B328,13)&amp;"|"&amp;$C328&amp;"|"&amp;$D328&amp;"|"&amp;W$14&amp;"|"&amp;"CY2024Q3",Spectrum!$R:$R,0)),""))</f>
        <v>7.0572839999999996E-3</v>
      </c>
      <c r="X328" s="218">
        <f>IF(LEFT($B328,4)="_Mil","",_xlfn.IFNA(ROUND(INDEX(Spectrum!$N:$N,MATCH(RIGHT($B328,13)&amp;"|"&amp;$C328&amp;"|"&amp;$D328&amp;"|"&amp;X$14&amp;"|"&amp;"CY2024Q3",Spectrum!$R:$R,0)),0),""))</f>
        <v>305</v>
      </c>
      <c r="Y328" s="33">
        <f t="shared" si="72"/>
        <v>0.78</v>
      </c>
      <c r="Z328" s="218">
        <f>IF(LEFT($B328,4)="_Mil","",_xlfn.IFNA(ROUND(INDEX(Spectrum!$N:$N,MATCH(RIGHT($B328,13)&amp;"|"&amp;$C328&amp;"|"&amp;$D328&amp;"|"&amp;Z$14&amp;"|"&amp;"CY2024Q3",Spectrum!$R:$R,0)),0),""))</f>
        <v>352</v>
      </c>
      <c r="AA328" s="33">
        <f>IF(LEFT($B328,4)="_Mil","",IFERROR(1/(1/INDEX(Spectrum!$N:$N,MATCH(RIGHT($B328,13)&amp;"|"&amp;$C328&amp;"|"&amp;$D328&amp;"|"&amp;AA$14&amp;"|"&amp;"CY2024Q3",Spectrum!$R:$R,0))),IF(SUM($U328)=0,"",SUM($Z328)/$U328)))</f>
        <v>0.74239079200000002</v>
      </c>
      <c r="AB328" s="33">
        <f t="shared" si="73"/>
        <v>1.1540983606557378</v>
      </c>
      <c r="AC328" s="38">
        <f>IF(LEFT($B328,4)="_Mil","",_xlfn.IFNA(ROUND(INDEX(Spectrum!$N:$N,MATCH(RIGHT($B328,13)&amp;"|"&amp;$C328&amp;"|"&amp;$D328&amp;"|"&amp;AC$14&amp;"|"&amp;"CY2024Q3",Spectrum!$R:$R,0)),0),""))</f>
        <v>117</v>
      </c>
      <c r="AD328" s="38" t="str">
        <f>IF(LEFT($B328,4)="_Mil","",_xlfn.IFNA(ROUND(INDEX(Spectrum!$N:$N,MATCH(RIGHT($B328,13)&amp;"|"&amp;$C328&amp;"|"&amp;$D328&amp;"|"&amp;AD$14&amp;"|"&amp;"CY2024Q3",Spectrum!$R:$R,0)),0),""))</f>
        <v/>
      </c>
      <c r="AE328" s="33">
        <f t="shared" si="74"/>
        <v>0</v>
      </c>
      <c r="AF328" s="218" t="str">
        <f>IF(LEFT($B328,4)="_Mil","",_xlfn.IFNA(ROUND(INDEX(Spectrum!$N:$N,MATCH(RIGHT($B328,13)&amp;"|"&amp;$C328&amp;"|"&amp;$D328&amp;"|"&amp;AF$14&amp;"|"&amp;"CY2024Q3",Spectrum!$R:$R,0)),0),""))</f>
        <v/>
      </c>
      <c r="AG328" s="33" t="str">
        <f t="shared" si="75"/>
        <v/>
      </c>
      <c r="AH328" s="110" t="str">
        <f>IF(LEFT($B328,4)="_Mil","",_xlfn.IFNA(INDEX(Spectrum!$N:$N,MATCH(RIGHT($B328,13)&amp;"|"&amp;$C328&amp;"|"&amp;$D328&amp;"|"&amp;AH$14&amp;"|"&amp;"CY2024Q3",Spectrum!$R:$R,0)),""))</f>
        <v/>
      </c>
      <c r="AI328" s="218">
        <f>IF(LEFT($B328,4)="_Mil","",_xlfn.IFNA(ROUND(INDEX(Spectrum!$N:$N,MATCH(RIGHT($B328,13)&amp;"|"&amp;$C328&amp;"|"&amp;$D328&amp;"|"&amp;AI$14&amp;"|"&amp;"CY2025Q3",Spectrum!$R:$R,0)),0),""))</f>
        <v>0</v>
      </c>
      <c r="AJ328" s="38">
        <f>IF(LEFT($B328,4)="_Mil","",_xlfn.IFNA(ROUND(INDEX(Spectrum!$N:$N,MATCH(RIGHT($B328,13)&amp;"|"&amp;$C328&amp;"|"&amp;$D328&amp;"|"&amp;AJ$14&amp;"|"&amp;"CY2025Q3",Spectrum!$R:$R,0)),0),""))</f>
        <v>351</v>
      </c>
      <c r="AK328" s="218" t="e">
        <f>#REF!</f>
        <v>#REF!</v>
      </c>
      <c r="AL328" s="33">
        <f t="shared" si="76"/>
        <v>0.9</v>
      </c>
      <c r="AM328" s="38" t="e">
        <f>IF(OR(LEFT($B328,4)="_Mil",$C328="&lt;01"),"",ROUND(SUM($AK328)*SUM($AL328),0))</f>
        <v>#REF!</v>
      </c>
      <c r="AN328" s="38" t="str">
        <f>IF($C328="&lt;01",ROUND(INDEX(EID!$P:$P,MATCH($B328,EID!$B:$B,0))/2,0),"")</f>
        <v/>
      </c>
      <c r="AO328" s="38" t="e">
        <f>IF($C328="&lt;01",SUM($AN328),ROUND(SUM($AM328)*SUM($O328)/IF(SUM($Z328)=0,1,$Z328),0))</f>
        <v>#REF!</v>
      </c>
      <c r="AP328" s="218">
        <f>IF(OR($F328="",$C328="&lt;01"),$AO328,ROUND($F328,0))</f>
        <v>355</v>
      </c>
      <c r="AQ328" s="218">
        <f>IF(LEFT($B328,4)="_Mil","",IF(SUM($AP328)=0,SUM($Z328),IF(OR(SUM($Z328)=0,SUM($O328)=0),MAX($AP328,$Z328),ROUND($AP328*$Z328/$O328,0))))</f>
        <v>352</v>
      </c>
      <c r="AR328" s="33" t="e">
        <f>IF(OR(LEFT($B328,4)="_Mil",SUM($AK328)=0),"",SUM($AQ328)/$AK328)</f>
        <v>#REF!</v>
      </c>
      <c r="AS328" s="33">
        <f t="shared" si="84"/>
        <v>0.98</v>
      </c>
      <c r="AT328" s="33">
        <f t="shared" si="83"/>
        <v>0.98</v>
      </c>
      <c r="AU328" s="38">
        <f>IF($C328="&lt;01","",SUM($AP328)-SUM($O328))</f>
        <v>0</v>
      </c>
      <c r="AV328" s="38">
        <f>IF($C328="&lt;01",ROUND(INDEX(EID!$N:$N,MATCH($B328,EID!$B:$B,0))/2,0),IF(SUM($AT328)=0,"",ROUND((SUM($AP328)-(SUM($O328)*SUM($AS328)))/$AT328,0)))</f>
        <v>7</v>
      </c>
      <c r="AW328" s="33">
        <f t="shared" si="77"/>
        <v>1</v>
      </c>
      <c r="AX328" s="218">
        <f>IF($C328="&lt;01",SUM($AV328),ROUND(SUM($AV328)*SUM($AW328),0))</f>
        <v>7</v>
      </c>
      <c r="AY328" s="79">
        <f t="shared" si="78"/>
        <v>0.7</v>
      </c>
      <c r="AZ328" s="85">
        <f>IF($C328="&lt;01",ROUND(INDEX(EID!$R:$R,MATCH($B328,EID!$B:$B,0))/2,0),ROUND(SUM($O328)+(SUM($AV328)*$AY328),0))</f>
        <v>360</v>
      </c>
      <c r="BA328" s="40">
        <f t="shared" si="82"/>
        <v>0.9</v>
      </c>
      <c r="BB328" s="99">
        <f>IF($C328="&lt;01",ROUND(INDEX(EID!$T:$T,MATCH($B328,EID!$B:$B,0))/2,0),ROUND($AP328*$BA328,0))</f>
        <v>320</v>
      </c>
      <c r="BC328" s="85">
        <f>IF(LEFT($B328,4)="_Mil","",IF(SUM($BB328)=0,SUM($AD328),IF(OR(SUM($AP328)=0,SUM($AQ328)=0),MAX($BB328,$AD328),ROUND($BB328*$AQ328/$AP328,0))))</f>
        <v>317</v>
      </c>
      <c r="BD328" s="33">
        <f t="shared" si="79"/>
        <v>0.95</v>
      </c>
      <c r="BE328" s="218">
        <f>IF($C328="&lt;01",ROUND(INDEX(EID!$V:$V,MATCH($B328,EID!$B:$B,0))/2,0),ROUND($BD328*$BB328,0))</f>
        <v>304</v>
      </c>
      <c r="BF328" s="218">
        <f>IF(LEFT($B328,4)="_Mil","",IF(SUM($BE328)=0,SUM($AF328),IF(OR(SUM($AP328)=0,SUM($AQ328)=0),MAX($BE328,$AF328),ROUND($BE328*$AQ328/$AP328,0))))</f>
        <v>301</v>
      </c>
      <c r="BG328" s="79">
        <f t="shared" si="80"/>
        <v>0.95</v>
      </c>
      <c r="BH328" s="99">
        <f>IF($C328="&lt;01",ROUND(INDEX(EID!$L:$L,MATCH($B328,EID!$B:$B,0)),0)/2,IF(SUM($BG328)=0,"",ROUND($AX328/$BG328,0)))</f>
        <v>7</v>
      </c>
    </row>
    <row r="329" spans="1:60" x14ac:dyDescent="0.2">
      <c r="A329" t="str">
        <f>INDEX(Prioritization!$D:$D,MATCH($B329,Prioritization!$A:$A,0))</f>
        <v>4 - Sustained</v>
      </c>
      <c r="B329" t="s">
        <v>304</v>
      </c>
      <c r="C329" t="s">
        <v>475</v>
      </c>
      <c r="D329" t="s">
        <v>30</v>
      </c>
      <c r="E329" t="str">
        <f t="shared" si="70"/>
        <v>Ntcheu District [am530wpaGvr]|15-24|Female</v>
      </c>
      <c r="F329" s="229">
        <v>1555</v>
      </c>
      <c r="G329" s="38">
        <v>392</v>
      </c>
      <c r="H329" s="38">
        <v>383</v>
      </c>
      <c r="I329" s="38">
        <v>1572</v>
      </c>
      <c r="J329" s="38">
        <v>1108</v>
      </c>
      <c r="K329" s="38">
        <v>980</v>
      </c>
      <c r="L329" s="38">
        <v>136</v>
      </c>
      <c r="M329" s="38">
        <v>133</v>
      </c>
      <c r="N329" s="38">
        <v>1541</v>
      </c>
      <c r="O329" s="229">
        <v>1572</v>
      </c>
      <c r="P329" s="38">
        <v>1411</v>
      </c>
      <c r="Q329" s="38">
        <v>1340</v>
      </c>
      <c r="R329" s="38">
        <f t="shared" si="71"/>
        <v>0</v>
      </c>
      <c r="S329" s="38">
        <f>IF(LEFT($B329,4)="_Mil","",_xlfn.IFNA(ROUND(INDEX(Spectrum!$N:$N,MATCH(RIGHT($B329,13)&amp;"|"&amp;$C329&amp;"|"&amp;$D329&amp;"|"&amp;S$14&amp;"|"&amp;"CY2023Q4",Spectrum!$R:$R,0)),0),""))</f>
        <v>1493</v>
      </c>
      <c r="T329" s="218">
        <f>IF(LEFT($B329,4)="_Mil","",_xlfn.IFNA(ROUND(INDEX(Spectrum!$N:$N,MATCH(RIGHT($B329,13)&amp;"|"&amp;$C329&amp;"|"&amp;$D329&amp;"|"&amp;T$14&amp;"|"&amp;"CY2024Q3",Spectrum!$R:$R,0)),0),""))</f>
        <v>89059</v>
      </c>
      <c r="U329" s="218">
        <f>IF(LEFT($B329,4)="_Mil","",_xlfn.IFNA(ROUND(INDEX(Spectrum!$N:$N,MATCH(RIGHT($B329,13)&amp;"|"&amp;$C329&amp;"|"&amp;$D329&amp;"|"&amp;U$14&amp;"|"&amp;"CY2024Q3",Spectrum!$R:$R,0)),0),""))</f>
        <v>1335</v>
      </c>
      <c r="V329" s="38">
        <f>IF(LEFT($B329,4)="_Mil","",_xlfn.IFNA(ROUND(INDEX(Spectrum!$N:$N,MATCH(RIGHT($B329,13)&amp;"|"&amp;$C329&amp;"|"&amp;$D329&amp;"|"&amp;V$14&amp;"|"&amp;"CY2024Q3",Spectrum!$R:$R,0)),0),""))</f>
        <v>1594</v>
      </c>
      <c r="W329" s="220">
        <f>IF(LEFT($B329,4)="_Mil","",_xlfn.IFNA(INDEX(Spectrum!$N:$N,MATCH(RIGHT($B329,13)&amp;"|"&amp;$C329&amp;"|"&amp;$D329&amp;"|"&amp;W$14&amp;"|"&amp;"CY2024Q3",Spectrum!$R:$R,0)),""))</f>
        <v>1.4988258000000001E-2</v>
      </c>
      <c r="X329" s="218">
        <f>IF(LEFT($B329,4)="_Mil","",_xlfn.IFNA(ROUND(INDEX(Spectrum!$N:$N,MATCH(RIGHT($B329,13)&amp;"|"&amp;$C329&amp;"|"&amp;$D329&amp;"|"&amp;X$14&amp;"|"&amp;"CY2024Q3",Spectrum!$R:$R,0)),0),""))</f>
        <v>1222</v>
      </c>
      <c r="Y329" s="33">
        <f t="shared" si="72"/>
        <v>0.92</v>
      </c>
      <c r="Z329" s="218">
        <f>IF(LEFT($B329,4)="_Mil","",_xlfn.IFNA(ROUND(INDEX(Spectrum!$N:$N,MATCH(RIGHT($B329,13)&amp;"|"&amp;$C329&amp;"|"&amp;$D329&amp;"|"&amp;Z$14&amp;"|"&amp;"CY2024Q3",Spectrum!$R:$R,0)),0),""))</f>
        <v>1470</v>
      </c>
      <c r="AA329" s="33">
        <f>IF(LEFT($B329,4)="_Mil","",IFERROR(1/(1/INDEX(Spectrum!$N:$N,MATCH(RIGHT($B329,13)&amp;"|"&amp;$C329&amp;"|"&amp;$D329&amp;"|"&amp;AA$14&amp;"|"&amp;"CY2024Q3",Spectrum!$R:$R,0))),IF(SUM($U329)=0,"",SUM($Z329)/$U329)))</f>
        <v>0.91552181600000015</v>
      </c>
      <c r="AB329" s="33">
        <f t="shared" si="73"/>
        <v>1.2029459901800328</v>
      </c>
      <c r="AC329" s="38">
        <f>IF(LEFT($B329,4)="_Mil","",_xlfn.IFNA(ROUND(INDEX(Spectrum!$N:$N,MATCH(RIGHT($B329,13)&amp;"|"&amp;$C329&amp;"|"&amp;$D329&amp;"|"&amp;AC$14&amp;"|"&amp;"CY2024Q3",Spectrum!$R:$R,0)),0),""))</f>
        <v>123</v>
      </c>
      <c r="AD329" s="38" t="str">
        <f>IF(LEFT($B329,4)="_Mil","",_xlfn.IFNA(ROUND(INDEX(Spectrum!$N:$N,MATCH(RIGHT($B329,13)&amp;"|"&amp;$C329&amp;"|"&amp;$D329&amp;"|"&amp;AD$14&amp;"|"&amp;"CY2024Q3",Spectrum!$R:$R,0)),0),""))</f>
        <v/>
      </c>
      <c r="AE329" s="33">
        <f t="shared" si="74"/>
        <v>0</v>
      </c>
      <c r="AF329" s="218" t="str">
        <f>IF(LEFT($B329,4)="_Mil","",_xlfn.IFNA(ROUND(INDEX(Spectrum!$N:$N,MATCH(RIGHT($B329,13)&amp;"|"&amp;$C329&amp;"|"&amp;$D329&amp;"|"&amp;AF$14&amp;"|"&amp;"CY2024Q3",Spectrum!$R:$R,0)),0),""))</f>
        <v/>
      </c>
      <c r="AG329" s="33" t="str">
        <f t="shared" si="75"/>
        <v/>
      </c>
      <c r="AH329" s="110" t="str">
        <f>IF(LEFT($B329,4)="_Mil","",_xlfn.IFNA(INDEX(Spectrum!$N:$N,MATCH(RIGHT($B329,13)&amp;"|"&amp;$C329&amp;"|"&amp;$D329&amp;"|"&amp;AH$14&amp;"|"&amp;"CY2024Q3",Spectrum!$R:$R,0)),""))</f>
        <v/>
      </c>
      <c r="AI329" s="218">
        <f>IF(LEFT($B329,4)="_Mil","",_xlfn.IFNA(ROUND(INDEX(Spectrum!$N:$N,MATCH(RIGHT($B329,13)&amp;"|"&amp;$C329&amp;"|"&amp;$D329&amp;"|"&amp;AI$14&amp;"|"&amp;"CY2025Q3",Spectrum!$R:$R,0)),0),""))</f>
        <v>80</v>
      </c>
      <c r="AJ329" s="38">
        <f>IF(LEFT($B329,4)="_Mil","",_xlfn.IFNA(ROUND(INDEX(Spectrum!$N:$N,MATCH(RIGHT($B329,13)&amp;"|"&amp;$C329&amp;"|"&amp;$D329&amp;"|"&amp;AJ$14&amp;"|"&amp;"CY2025Q3",Spectrum!$R:$R,0)),0),""))</f>
        <v>1303</v>
      </c>
      <c r="AK329" s="218" t="e">
        <f>#REF!</f>
        <v>#REF!</v>
      </c>
      <c r="AL329" s="33">
        <f t="shared" si="76"/>
        <v>0.91552181600000015</v>
      </c>
      <c r="AM329" s="38" t="e">
        <f>IF(OR(LEFT($B329,4)="_Mil",$C329="&lt;01"),"",ROUND(SUM($AK329)*SUM($AL329),0))</f>
        <v>#REF!</v>
      </c>
      <c r="AN329" s="38" t="str">
        <f>IF($C329="&lt;01",ROUND(INDEX(EID!$P:$P,MATCH($B329,EID!$B:$B,0))/2,0),"")</f>
        <v/>
      </c>
      <c r="AO329" s="38" t="e">
        <f>IF($C329="&lt;01",SUM($AN329),ROUND(SUM($AM329)*SUM($O329)/IF(SUM($Z329)=0,1,$Z329),0))</f>
        <v>#REF!</v>
      </c>
      <c r="AP329" s="218">
        <f>IF(OR($F329="",$C329="&lt;01"),$AO329,ROUND($F329,0))</f>
        <v>1555</v>
      </c>
      <c r="AQ329" s="218">
        <f>IF(LEFT($B329,4)="_Mil","",IF(SUM($AP329)=0,SUM($Z329),IF(OR(SUM($Z329)=0,SUM($O329)=0),MAX($AP329,$Z329),ROUND($AP329*$Z329/$O329,0))))</f>
        <v>1454</v>
      </c>
      <c r="AR329" s="33" t="e">
        <f>IF(OR(LEFT($B329,4)="_Mil",SUM($AK329)=0),"",SUM($AQ329)/$AK329)</f>
        <v>#REF!</v>
      </c>
      <c r="AS329" s="33">
        <f>IF($C329="&lt;01","",86%)</f>
        <v>0.86</v>
      </c>
      <c r="AT329" s="33">
        <f>IF($C329="&lt;01","",90%)</f>
        <v>0.9</v>
      </c>
      <c r="AU329" s="38">
        <f>IF($C329="&lt;01","",SUM($AP329)-SUM($O329))</f>
        <v>-17</v>
      </c>
      <c r="AV329" s="38">
        <f>IF($C329="&lt;01",ROUND(INDEX(EID!$N:$N,MATCH($B329,EID!$B:$B,0))/2,0),IF(SUM($AT329)=0,"",ROUND((SUM($AP329)-(SUM($O329)*SUM($AS329)))/$AT329,0)))</f>
        <v>226</v>
      </c>
      <c r="AW329" s="33">
        <f t="shared" si="77"/>
        <v>1</v>
      </c>
      <c r="AX329" s="218">
        <f>IF($C329="&lt;01",SUM($AV329),ROUND(SUM($AV329)*SUM($AW329),0))</f>
        <v>226</v>
      </c>
      <c r="AY329" s="79">
        <f t="shared" si="78"/>
        <v>0.7</v>
      </c>
      <c r="AZ329" s="85">
        <f>IF($C329="&lt;01",ROUND(INDEX(EID!$R:$R,MATCH($B329,EID!$B:$B,0))/2,0),ROUND(SUM($O329)+(SUM($AV329)*$AY329),0))</f>
        <v>1730</v>
      </c>
      <c r="BA329" s="40">
        <f t="shared" si="82"/>
        <v>0.9</v>
      </c>
      <c r="BB329" s="99">
        <f>IF($C329="&lt;01",ROUND(INDEX(EID!$T:$T,MATCH($B329,EID!$B:$B,0))/2,0),ROUND($AP329*$BA329,0))</f>
        <v>1400</v>
      </c>
      <c r="BC329" s="85">
        <f>IF(LEFT($B329,4)="_Mil","",IF(SUM($BB329)=0,SUM($AD329),IF(OR(SUM($AP329)=0,SUM($AQ329)=0),MAX($BB329,$AD329),ROUND($BB329*$AQ329/$AP329,0))))</f>
        <v>1309</v>
      </c>
      <c r="BD329" s="33">
        <f t="shared" si="79"/>
        <v>0.95</v>
      </c>
      <c r="BE329" s="218">
        <f>IF($C329="&lt;01",ROUND(INDEX(EID!$V:$V,MATCH($B329,EID!$B:$B,0))/2,0),ROUND($BD329*$BB329,0))</f>
        <v>1330</v>
      </c>
      <c r="BF329" s="218">
        <f>IF(LEFT($B329,4)="_Mil","",IF(SUM($BE329)=0,SUM($AF329),IF(OR(SUM($AP329)=0,SUM($AQ329)=0),MAX($BE329,$AF329),ROUND($BE329*$AQ329/$AP329,0))))</f>
        <v>1244</v>
      </c>
      <c r="BG329" s="79">
        <f t="shared" si="80"/>
        <v>0.95</v>
      </c>
      <c r="BH329" s="99">
        <f>IF($C329="&lt;01",ROUND(INDEX(EID!$L:$L,MATCH($B329,EID!$B:$B,0)),0)/2,IF(SUM($BG329)=0,"",ROUND($AX329/$BG329,0)))</f>
        <v>238</v>
      </c>
    </row>
    <row r="330" spans="1:60" x14ac:dyDescent="0.2">
      <c r="A330" t="str">
        <f>INDEX(Prioritization!$D:$D,MATCH($B330,Prioritization!$A:$A,0))</f>
        <v>4 - Sustained</v>
      </c>
      <c r="B330" t="s">
        <v>304</v>
      </c>
      <c r="C330" t="s">
        <v>475</v>
      </c>
      <c r="D330" t="s">
        <v>48</v>
      </c>
      <c r="E330" t="str">
        <f t="shared" si="70"/>
        <v>Ntcheu District [am530wpaGvr]|15-24|Male</v>
      </c>
      <c r="F330" s="229">
        <v>885</v>
      </c>
      <c r="G330" s="38">
        <v>123</v>
      </c>
      <c r="H330" s="38">
        <v>92</v>
      </c>
      <c r="I330" s="38">
        <v>682</v>
      </c>
      <c r="J330" s="38">
        <v>457</v>
      </c>
      <c r="K330" s="38">
        <v>384</v>
      </c>
      <c r="L330" s="38">
        <v>151</v>
      </c>
      <c r="M330" s="38">
        <v>144</v>
      </c>
      <c r="N330" s="38">
        <v>1056</v>
      </c>
      <c r="O330" s="229">
        <v>853</v>
      </c>
      <c r="P330" s="38">
        <v>930</v>
      </c>
      <c r="Q330" s="38">
        <v>884</v>
      </c>
      <c r="R330" s="38">
        <f t="shared" si="71"/>
        <v>171</v>
      </c>
      <c r="S330" s="38">
        <f>IF(LEFT($B330,4)="_Mil","",_xlfn.IFNA(ROUND(INDEX(Spectrum!$N:$N,MATCH(RIGHT($B330,13)&amp;"|"&amp;$C330&amp;"|"&amp;$D330&amp;"|"&amp;S$14&amp;"|"&amp;"CY2023Q4",Spectrum!$R:$R,0)),0),""))</f>
        <v>983</v>
      </c>
      <c r="T330" s="218">
        <f>IF(LEFT($B330,4)="_Mil","",_xlfn.IFNA(ROUND(INDEX(Spectrum!$N:$N,MATCH(RIGHT($B330,13)&amp;"|"&amp;$C330&amp;"|"&amp;$D330&amp;"|"&amp;T$14&amp;"|"&amp;"CY2024Q3",Spectrum!$R:$R,0)),0),""))</f>
        <v>91383</v>
      </c>
      <c r="U330" s="218">
        <f>IF(LEFT($B330,4)="_Mil","",_xlfn.IFNA(ROUND(INDEX(Spectrum!$N:$N,MATCH(RIGHT($B330,13)&amp;"|"&amp;$C330&amp;"|"&amp;$D330&amp;"|"&amp;U$14&amp;"|"&amp;"CY2024Q3",Spectrum!$R:$R,0)),0),""))</f>
        <v>969</v>
      </c>
      <c r="V330" s="38">
        <f>IF(LEFT($B330,4)="_Mil","",_xlfn.IFNA(ROUND(INDEX(Spectrum!$N:$N,MATCH(RIGHT($B330,13)&amp;"|"&amp;$C330&amp;"|"&amp;$D330&amp;"|"&amp;V$14&amp;"|"&amp;"CY2024Q3",Spectrum!$R:$R,0)),0),""))</f>
        <v>1137</v>
      </c>
      <c r="W330" s="220">
        <f>IF(LEFT($B330,4)="_Mil","",_xlfn.IFNA(INDEX(Spectrum!$N:$N,MATCH(RIGHT($B330,13)&amp;"|"&amp;$C330&amp;"|"&amp;$D330&amp;"|"&amp;W$14&amp;"|"&amp;"CY2024Q3",Spectrum!$R:$R,0)),""))</f>
        <v>1.0605262000000001E-2</v>
      </c>
      <c r="X330" s="218">
        <f>IF(LEFT($B330,4)="_Mil","",_xlfn.IFNA(ROUND(INDEX(Spectrum!$N:$N,MATCH(RIGHT($B330,13)&amp;"|"&amp;$C330&amp;"|"&amp;$D330&amp;"|"&amp;X$14&amp;"|"&amp;"CY2024Q3",Spectrum!$R:$R,0)),0),""))</f>
        <v>852</v>
      </c>
      <c r="Y330" s="33">
        <f t="shared" si="72"/>
        <v>0.88</v>
      </c>
      <c r="Z330" s="218">
        <f>IF(LEFT($B330,4)="_Mil","",_xlfn.IFNA(ROUND(INDEX(Spectrum!$N:$N,MATCH(RIGHT($B330,13)&amp;"|"&amp;$C330&amp;"|"&amp;$D330&amp;"|"&amp;Z$14&amp;"|"&amp;"CY2024Q3",Spectrum!$R:$R,0)),0),""))</f>
        <v>1015</v>
      </c>
      <c r="AA330" s="33">
        <f>IF(LEFT($B330,4)="_Mil","",IFERROR(1/(1/INDEX(Spectrum!$N:$N,MATCH(RIGHT($B330,13)&amp;"|"&amp;$C330&amp;"|"&amp;$D330&amp;"|"&amp;AA$14&amp;"|"&amp;"CY2024Q3",Spectrum!$R:$R,0))),IF(SUM($U330)=0,"",SUM($Z330)/$U330)))</f>
        <v>0.87517345000000002</v>
      </c>
      <c r="AB330" s="33">
        <f t="shared" si="73"/>
        <v>1.1913145539906103</v>
      </c>
      <c r="AC330" s="38">
        <f>IF(LEFT($B330,4)="_Mil","",_xlfn.IFNA(ROUND(INDEX(Spectrum!$N:$N,MATCH(RIGHT($B330,13)&amp;"|"&amp;$C330&amp;"|"&amp;$D330&amp;"|"&amp;AC$14&amp;"|"&amp;"CY2024Q3",Spectrum!$R:$R,0)),0),""))</f>
        <v>122</v>
      </c>
      <c r="AD330" s="38" t="str">
        <f>IF(LEFT($B330,4)="_Mil","",_xlfn.IFNA(ROUND(INDEX(Spectrum!$N:$N,MATCH(RIGHT($B330,13)&amp;"|"&amp;$C330&amp;"|"&amp;$D330&amp;"|"&amp;AD$14&amp;"|"&amp;"CY2024Q3",Spectrum!$R:$R,0)),0),""))</f>
        <v/>
      </c>
      <c r="AE330" s="33">
        <f t="shared" si="74"/>
        <v>0</v>
      </c>
      <c r="AF330" s="218" t="str">
        <f>IF(LEFT($B330,4)="_Mil","",_xlfn.IFNA(ROUND(INDEX(Spectrum!$N:$N,MATCH(RIGHT($B330,13)&amp;"|"&amp;$C330&amp;"|"&amp;$D330&amp;"|"&amp;AF$14&amp;"|"&amp;"CY2024Q3",Spectrum!$R:$R,0)),0),""))</f>
        <v/>
      </c>
      <c r="AG330" s="33" t="str">
        <f t="shared" si="75"/>
        <v/>
      </c>
      <c r="AH330" s="110" t="str">
        <f>IF(LEFT($B330,4)="_Mil","",_xlfn.IFNA(INDEX(Spectrum!$N:$N,MATCH(RIGHT($B330,13)&amp;"|"&amp;$C330&amp;"|"&amp;$D330&amp;"|"&amp;AH$14&amp;"|"&amp;"CY2024Q3",Spectrum!$R:$R,0)),""))</f>
        <v/>
      </c>
      <c r="AI330" s="218">
        <f>IF(LEFT($B330,4)="_Mil","",_xlfn.IFNA(ROUND(INDEX(Spectrum!$N:$N,MATCH(RIGHT($B330,13)&amp;"|"&amp;$C330&amp;"|"&amp;$D330&amp;"|"&amp;AI$14&amp;"|"&amp;"CY2025Q3",Spectrum!$R:$R,0)),0),""))</f>
        <v>14</v>
      </c>
      <c r="AJ330" s="38">
        <f>IF(LEFT($B330,4)="_Mil","",_xlfn.IFNA(ROUND(INDEX(Spectrum!$N:$N,MATCH(RIGHT($B330,13)&amp;"|"&amp;$C330&amp;"|"&amp;$D330&amp;"|"&amp;AJ$14&amp;"|"&amp;"CY2025Q3",Spectrum!$R:$R,0)),0),""))</f>
        <v>962</v>
      </c>
      <c r="AK330" s="218" t="e">
        <f>#REF!</f>
        <v>#REF!</v>
      </c>
      <c r="AL330" s="33">
        <f t="shared" si="76"/>
        <v>0.9</v>
      </c>
      <c r="AM330" s="38" t="e">
        <f>IF(OR(LEFT($B330,4)="_Mil",$C330="&lt;01"),"",ROUND(SUM($AK330)*SUM($AL330),0))</f>
        <v>#REF!</v>
      </c>
      <c r="AN330" s="38" t="str">
        <f>IF($C330="&lt;01",ROUND(INDEX(EID!$P:$P,MATCH($B330,EID!$B:$B,0))/2,0),"")</f>
        <v/>
      </c>
      <c r="AO330" s="38" t="e">
        <f>IF($C330="&lt;01",SUM($AN330),ROUND(SUM($AM330)*SUM($O330)/IF(SUM($Z330)=0,1,$Z330),0))</f>
        <v>#REF!</v>
      </c>
      <c r="AP330" s="218">
        <f>IF(OR($F330="",$C330="&lt;01"),$AO330,ROUND($F330,0))</f>
        <v>885</v>
      </c>
      <c r="AQ330" s="218">
        <f>IF(LEFT($B330,4)="_Mil","",IF(SUM($AP330)=0,SUM($Z330),IF(OR(SUM($Z330)=0,SUM($O330)=0),MAX($AP330,$Z330),ROUND($AP330*$Z330/$O330,0))))</f>
        <v>1053</v>
      </c>
      <c r="AR330" s="33" t="e">
        <f>IF(OR(LEFT($B330,4)="_Mil",SUM($AK330)=0),"",SUM($AQ330)/$AK330)</f>
        <v>#REF!</v>
      </c>
      <c r="AS330" s="33">
        <f t="shared" si="84"/>
        <v>0.98</v>
      </c>
      <c r="AT330" s="33">
        <f t="shared" si="83"/>
        <v>0.98</v>
      </c>
      <c r="AU330" s="38">
        <f>IF($C330="&lt;01","",SUM($AP330)-SUM($O330))</f>
        <v>32</v>
      </c>
      <c r="AV330" s="38">
        <f>IF($C330="&lt;01",ROUND(INDEX(EID!$N:$N,MATCH($B330,EID!$B:$B,0))/2,0),IF(SUM($AT330)=0,"",ROUND((SUM($AP330)-(SUM($O330)*SUM($AS330)))/$AT330,0)))</f>
        <v>50</v>
      </c>
      <c r="AW330" s="33">
        <f t="shared" si="77"/>
        <v>1</v>
      </c>
      <c r="AX330" s="218">
        <f>IF($C330="&lt;01",SUM($AV330),ROUND(SUM($AV330)*SUM($AW330),0))</f>
        <v>50</v>
      </c>
      <c r="AY330" s="79">
        <f t="shared" si="78"/>
        <v>0.7</v>
      </c>
      <c r="AZ330" s="85">
        <f>IF($C330="&lt;01",ROUND(INDEX(EID!$R:$R,MATCH($B330,EID!$B:$B,0))/2,0),ROUND(SUM($O330)+(SUM($AV330)*$AY330),0))</f>
        <v>888</v>
      </c>
      <c r="BA330" s="40">
        <f t="shared" si="82"/>
        <v>0.9</v>
      </c>
      <c r="BB330" s="99">
        <f>IF($C330="&lt;01",ROUND(INDEX(EID!$T:$T,MATCH($B330,EID!$B:$B,0))/2,0),ROUND($AP330*$BA330,0))</f>
        <v>797</v>
      </c>
      <c r="BC330" s="85">
        <f>IF(LEFT($B330,4)="_Mil","",IF(SUM($BB330)=0,SUM($AD330),IF(OR(SUM($AP330)=0,SUM($AQ330)=0),MAX($BB330,$AD330),ROUND($BB330*$AQ330/$AP330,0))))</f>
        <v>948</v>
      </c>
      <c r="BD330" s="33">
        <f t="shared" si="79"/>
        <v>0.95</v>
      </c>
      <c r="BE330" s="218">
        <f>IF($C330="&lt;01",ROUND(INDEX(EID!$V:$V,MATCH($B330,EID!$B:$B,0))/2,0),ROUND($BD330*$BB330,0))</f>
        <v>757</v>
      </c>
      <c r="BF330" s="218">
        <f>IF(LEFT($B330,4)="_Mil","",IF(SUM($BE330)=0,SUM($AF330),IF(OR(SUM($AP330)=0,SUM($AQ330)=0),MAX($BE330,$AF330),ROUND($BE330*$AQ330/$AP330,0))))</f>
        <v>901</v>
      </c>
      <c r="BG330" s="79">
        <f t="shared" si="80"/>
        <v>0.95</v>
      </c>
      <c r="BH330" s="99">
        <f>IF($C330="&lt;01",ROUND(INDEX(EID!$L:$L,MATCH($B330,EID!$B:$B,0)),0)/2,IF(SUM($BG330)=0,"",ROUND($AX330/$BG330,0)))</f>
        <v>53</v>
      </c>
    </row>
    <row r="331" spans="1:60" x14ac:dyDescent="0.2">
      <c r="A331" t="str">
        <f>INDEX(Prioritization!$D:$D,MATCH($B331,Prioritization!$A:$A,0))</f>
        <v>4 - Sustained</v>
      </c>
      <c r="B331" t="s">
        <v>304</v>
      </c>
      <c r="C331" t="s">
        <v>476</v>
      </c>
      <c r="D331" t="s">
        <v>30</v>
      </c>
      <c r="E331" t="str">
        <f t="shared" si="70"/>
        <v>Ntcheu District [am530wpaGvr]|25-34|Female</v>
      </c>
      <c r="F331" s="229">
        <v>3624</v>
      </c>
      <c r="G331" s="38">
        <v>465</v>
      </c>
      <c r="H331" s="38">
        <v>502</v>
      </c>
      <c r="I331" s="38">
        <v>3938</v>
      </c>
      <c r="J331" s="38">
        <v>2708</v>
      </c>
      <c r="K331" s="38">
        <v>2582</v>
      </c>
      <c r="L331" s="38">
        <v>206</v>
      </c>
      <c r="M331" s="38">
        <v>203</v>
      </c>
      <c r="N331" s="38">
        <v>3655</v>
      </c>
      <c r="O331" s="229">
        <v>3879</v>
      </c>
      <c r="P331" s="38">
        <v>3429</v>
      </c>
      <c r="Q331" s="38">
        <v>3258</v>
      </c>
      <c r="R331" s="38">
        <f t="shared" si="71"/>
        <v>-59</v>
      </c>
      <c r="S331" s="38">
        <f>IF(LEFT($B331,4)="_Mil","",_xlfn.IFNA(ROUND(INDEX(Spectrum!$N:$N,MATCH(RIGHT($B331,13)&amp;"|"&amp;$C331&amp;"|"&amp;$D331&amp;"|"&amp;S$14&amp;"|"&amp;"CY2023Q4",Spectrum!$R:$R,0)),0),""))</f>
        <v>3904</v>
      </c>
      <c r="T331" s="218">
        <f>IF(LEFT($B331,4)="_Mil","",_xlfn.IFNA(ROUND(INDEX(Spectrum!$N:$N,MATCH(RIGHT($B331,13)&amp;"|"&amp;$C331&amp;"|"&amp;$D331&amp;"|"&amp;T$14&amp;"|"&amp;"CY2024Q3",Spectrum!$R:$R,0)),0),""))</f>
        <v>59017</v>
      </c>
      <c r="U331" s="218">
        <f>IF(LEFT($B331,4)="_Mil","",_xlfn.IFNA(ROUND(INDEX(Spectrum!$N:$N,MATCH(RIGHT($B331,13)&amp;"|"&amp;$C331&amp;"|"&amp;$D331&amp;"|"&amp;U$14&amp;"|"&amp;"CY2024Q3",Spectrum!$R:$R,0)),0),""))</f>
        <v>3251</v>
      </c>
      <c r="V331" s="38">
        <f>IF(LEFT($B331,4)="_Mil","",_xlfn.IFNA(ROUND(INDEX(Spectrum!$N:$N,MATCH(RIGHT($B331,13)&amp;"|"&amp;$C331&amp;"|"&amp;$D331&amp;"|"&amp;V$14&amp;"|"&amp;"CY2024Q3",Spectrum!$R:$R,0)),0),""))</f>
        <v>3879</v>
      </c>
      <c r="W331" s="220">
        <f>IF(LEFT($B331,4)="_Mil","",_xlfn.IFNA(INDEX(Spectrum!$N:$N,MATCH(RIGHT($B331,13)&amp;"|"&amp;$C331&amp;"|"&amp;$D331&amp;"|"&amp;W$14&amp;"|"&amp;"CY2024Q3",Spectrum!$R:$R,0)),""))</f>
        <v>5.5089781999999997E-2</v>
      </c>
      <c r="X331" s="218">
        <f>IF(LEFT($B331,4)="_Mil","",_xlfn.IFNA(ROUND(INDEX(Spectrum!$N:$N,MATCH(RIGHT($B331,13)&amp;"|"&amp;$C331&amp;"|"&amp;$D331&amp;"|"&amp;X$14&amp;"|"&amp;"CY2024Q3",Spectrum!$R:$R,0)),0),""))</f>
        <v>3103</v>
      </c>
      <c r="Y331" s="33">
        <f t="shared" si="72"/>
        <v>0.95</v>
      </c>
      <c r="Z331" s="218">
        <f>IF(LEFT($B331,4)="_Mil","",_xlfn.IFNA(ROUND(INDEX(Spectrum!$N:$N,MATCH(RIGHT($B331,13)&amp;"|"&amp;$C331&amp;"|"&amp;$D331&amp;"|"&amp;Z$14&amp;"|"&amp;"CY2024Q3",Spectrum!$R:$R,0)),0),""))</f>
        <v>3706</v>
      </c>
      <c r="AA331" s="33">
        <f>IF(LEFT($B331,4)="_Mil","",IFERROR(1/(1/INDEX(Spectrum!$N:$N,MATCH(RIGHT($B331,13)&amp;"|"&amp;$C331&amp;"|"&amp;$D331&amp;"|"&amp;AA$14&amp;"|"&amp;"CY2024Q3",Spectrum!$R:$R,0))),IF(SUM($U331)=0,"",SUM($Z331)/$U331)))</f>
        <v>0.95456085000000013</v>
      </c>
      <c r="AB331" s="33">
        <f t="shared" si="73"/>
        <v>1.1943280696100549</v>
      </c>
      <c r="AC331" s="38">
        <f>IF(LEFT($B331,4)="_Mil","",_xlfn.IFNA(ROUND(INDEX(Spectrum!$N:$N,MATCH(RIGHT($B331,13)&amp;"|"&amp;$C331&amp;"|"&amp;$D331&amp;"|"&amp;AC$14&amp;"|"&amp;"CY2024Q3",Spectrum!$R:$R,0)),0),""))</f>
        <v>173</v>
      </c>
      <c r="AD331" s="38" t="str">
        <f>IF(LEFT($B331,4)="_Mil","",_xlfn.IFNA(ROUND(INDEX(Spectrum!$N:$N,MATCH(RIGHT($B331,13)&amp;"|"&amp;$C331&amp;"|"&amp;$D331&amp;"|"&amp;AD$14&amp;"|"&amp;"CY2024Q3",Spectrum!$R:$R,0)),0),""))</f>
        <v/>
      </c>
      <c r="AE331" s="33">
        <f t="shared" si="74"/>
        <v>0</v>
      </c>
      <c r="AF331" s="218" t="str">
        <f>IF(LEFT($B331,4)="_Mil","",_xlfn.IFNA(ROUND(INDEX(Spectrum!$N:$N,MATCH(RIGHT($B331,13)&amp;"|"&amp;$C331&amp;"|"&amp;$D331&amp;"|"&amp;AF$14&amp;"|"&amp;"CY2024Q3",Spectrum!$R:$R,0)),0),""))</f>
        <v/>
      </c>
      <c r="AG331" s="33" t="str">
        <f t="shared" si="75"/>
        <v/>
      </c>
      <c r="AH331" s="110" t="str">
        <f>IF(LEFT($B331,4)="_Mil","",_xlfn.IFNA(INDEX(Spectrum!$N:$N,MATCH(RIGHT($B331,13)&amp;"|"&amp;$C331&amp;"|"&amp;$D331&amp;"|"&amp;AH$14&amp;"|"&amp;"CY2024Q3",Spectrum!$R:$R,0)),""))</f>
        <v/>
      </c>
      <c r="AI331" s="218">
        <f>IF(LEFT($B331,4)="_Mil","",_xlfn.IFNA(ROUND(INDEX(Spectrum!$N:$N,MATCH(RIGHT($B331,13)&amp;"|"&amp;$C331&amp;"|"&amp;$D331&amp;"|"&amp;AI$14&amp;"|"&amp;"CY2025Q3",Spectrum!$R:$R,0)),0),""))</f>
        <v>78</v>
      </c>
      <c r="AJ331" s="38">
        <f>IF(LEFT($B331,4)="_Mil","",_xlfn.IFNA(ROUND(INDEX(Spectrum!$N:$N,MATCH(RIGHT($B331,13)&amp;"|"&amp;$C331&amp;"|"&amp;$D331&amp;"|"&amp;AJ$14&amp;"|"&amp;"CY2025Q3",Spectrum!$R:$R,0)),0),""))</f>
        <v>3038</v>
      </c>
      <c r="AK331" s="218" t="e">
        <f>#REF!</f>
        <v>#REF!</v>
      </c>
      <c r="AL331" s="33">
        <f t="shared" si="76"/>
        <v>0.95456085000000013</v>
      </c>
      <c r="AM331" s="38" t="e">
        <f>IF(OR(LEFT($B331,4)="_Mil",$C331="&lt;01"),"",ROUND(SUM($AK331)*SUM($AL331),0))</f>
        <v>#REF!</v>
      </c>
      <c r="AN331" s="38" t="str">
        <f>IF($C331="&lt;01",ROUND(INDEX(EID!$P:$P,MATCH($B331,EID!$B:$B,0))/2,0),"")</f>
        <v/>
      </c>
      <c r="AO331" s="38" t="e">
        <f>IF($C331="&lt;01",SUM($AN331),ROUND(SUM($AM331)*SUM($O331)/IF(SUM($Z331)=0,1,$Z331),0))</f>
        <v>#REF!</v>
      </c>
      <c r="AP331" s="218">
        <f>IF(OR($F331="",$C331="&lt;01"),$AO331,ROUND($F331,0))</f>
        <v>3624</v>
      </c>
      <c r="AQ331" s="218">
        <f>IF(LEFT($B331,4)="_Mil","",IF(SUM($AP331)=0,SUM($Z331),IF(OR(SUM($Z331)=0,SUM($O331)=0),MAX($AP331,$Z331),ROUND($AP331*$Z331/$O331,0))))</f>
        <v>3462</v>
      </c>
      <c r="AR331" s="33" t="e">
        <f>IF(OR(LEFT($B331,4)="_Mil",SUM($AK331)=0),"",SUM($AQ331)/$AK331)</f>
        <v>#REF!</v>
      </c>
      <c r="AS331" s="33">
        <f>IF($C331="&lt;01","",88%)</f>
        <v>0.88</v>
      </c>
      <c r="AT331" s="33">
        <f>IF($C331="&lt;01","",90%)</f>
        <v>0.9</v>
      </c>
      <c r="AU331" s="38">
        <f>IF($C331="&lt;01","",SUM($AP331)-SUM($O331))</f>
        <v>-255</v>
      </c>
      <c r="AV331" s="38">
        <f>IF($C331="&lt;01",ROUND(INDEX(EID!$N:$N,MATCH($B331,EID!$B:$B,0))/2,0),IF(SUM($AT331)=0,"",ROUND((SUM($AP331)-(SUM($O331)*SUM($AS331)))/$AT331,0)))</f>
        <v>234</v>
      </c>
      <c r="AW331" s="33">
        <f t="shared" si="77"/>
        <v>1</v>
      </c>
      <c r="AX331" s="218">
        <f>IF($C331="&lt;01",SUM($AV331),ROUND(SUM($AV331)*SUM($AW331),0))</f>
        <v>234</v>
      </c>
      <c r="AY331" s="79">
        <f t="shared" si="78"/>
        <v>0.7</v>
      </c>
      <c r="AZ331" s="85">
        <f>IF($C331="&lt;01",ROUND(INDEX(EID!$R:$R,MATCH($B331,EID!$B:$B,0))/2,0),ROUND(SUM($O331)+(SUM($AV331)*$AY331),0))</f>
        <v>4043</v>
      </c>
      <c r="BA331" s="40">
        <f t="shared" si="82"/>
        <v>0.9</v>
      </c>
      <c r="BB331" s="99">
        <f>IF($C331="&lt;01",ROUND(INDEX(EID!$T:$T,MATCH($B331,EID!$B:$B,0))/2,0),ROUND($AP331*$BA331,0))</f>
        <v>3262</v>
      </c>
      <c r="BC331" s="85">
        <f>IF(LEFT($B331,4)="_Mil","",IF(SUM($BB331)=0,SUM($AD331),IF(OR(SUM($AP331)=0,SUM($AQ331)=0),MAX($BB331,$AD331),ROUND($BB331*$AQ331/$AP331,0))))</f>
        <v>3116</v>
      </c>
      <c r="BD331" s="33">
        <f t="shared" si="79"/>
        <v>0.95</v>
      </c>
      <c r="BE331" s="218">
        <f>IF($C331="&lt;01",ROUND(INDEX(EID!$V:$V,MATCH($B331,EID!$B:$B,0))/2,0),ROUND($BD331*$BB331,0))</f>
        <v>3099</v>
      </c>
      <c r="BF331" s="218">
        <f>IF(LEFT($B331,4)="_Mil","",IF(SUM($BE331)=0,SUM($AF331),IF(OR(SUM($AP331)=0,SUM($AQ331)=0),MAX($BE331,$AF331),ROUND($BE331*$AQ331/$AP331,0))))</f>
        <v>2960</v>
      </c>
      <c r="BG331" s="79">
        <f t="shared" si="80"/>
        <v>0.95</v>
      </c>
      <c r="BH331" s="99">
        <f>IF($C331="&lt;01",ROUND(INDEX(EID!$L:$L,MATCH($B331,EID!$B:$B,0)),0)/2,IF(SUM($BG331)=0,"",ROUND($AX331/$BG331,0)))</f>
        <v>246</v>
      </c>
    </row>
    <row r="332" spans="1:60" x14ac:dyDescent="0.2">
      <c r="A332" t="str">
        <f>INDEX(Prioritization!$D:$D,MATCH($B332,Prioritization!$A:$A,0))</f>
        <v>4 - Sustained</v>
      </c>
      <c r="B332" t="s">
        <v>304</v>
      </c>
      <c r="C332" t="s">
        <v>476</v>
      </c>
      <c r="D332" t="s">
        <v>48</v>
      </c>
      <c r="E332" t="str">
        <f t="shared" si="70"/>
        <v>Ntcheu District [am530wpaGvr]|25-34|Male</v>
      </c>
      <c r="F332" s="229">
        <v>1235</v>
      </c>
      <c r="G332" s="38">
        <v>252</v>
      </c>
      <c r="H332" s="38">
        <v>262</v>
      </c>
      <c r="I332" s="38">
        <v>1235</v>
      </c>
      <c r="J332" s="38">
        <v>764</v>
      </c>
      <c r="K332" s="38">
        <v>726</v>
      </c>
      <c r="L332" s="38">
        <v>28</v>
      </c>
      <c r="M332" s="38">
        <v>27</v>
      </c>
      <c r="N332" s="38">
        <v>1298</v>
      </c>
      <c r="O332" s="229">
        <v>1235</v>
      </c>
      <c r="P332" s="38">
        <v>1174</v>
      </c>
      <c r="Q332" s="38">
        <v>1115</v>
      </c>
      <c r="R332" s="38">
        <f t="shared" si="71"/>
        <v>0</v>
      </c>
      <c r="S332" s="38">
        <f>IF(LEFT($B332,4)="_Mil","",_xlfn.IFNA(ROUND(INDEX(Spectrum!$N:$N,MATCH(RIGHT($B332,13)&amp;"|"&amp;$C332&amp;"|"&amp;$D332&amp;"|"&amp;S$14&amp;"|"&amp;"CY2023Q4",Spectrum!$R:$R,0)),0),""))</f>
        <v>1192</v>
      </c>
      <c r="T332" s="218">
        <f>IF(LEFT($B332,4)="_Mil","",_xlfn.IFNA(ROUND(INDEX(Spectrum!$N:$N,MATCH(RIGHT($B332,13)&amp;"|"&amp;$C332&amp;"|"&amp;$D332&amp;"|"&amp;T$14&amp;"|"&amp;"CY2024Q3",Spectrum!$R:$R,0)),0),""))</f>
        <v>56371</v>
      </c>
      <c r="U332" s="218">
        <f>IF(LEFT($B332,4)="_Mil","",_xlfn.IFNA(ROUND(INDEX(Spectrum!$N:$N,MATCH(RIGHT($B332,13)&amp;"|"&amp;$C332&amp;"|"&amp;$D332&amp;"|"&amp;U$14&amp;"|"&amp;"CY2024Q3",Spectrum!$R:$R,0)),0),""))</f>
        <v>1199</v>
      </c>
      <c r="V332" s="38">
        <f>IF(LEFT($B332,4)="_Mil","",_xlfn.IFNA(ROUND(INDEX(Spectrum!$N:$N,MATCH(RIGHT($B332,13)&amp;"|"&amp;$C332&amp;"|"&amp;$D332&amp;"|"&amp;V$14&amp;"|"&amp;"CY2024Q3",Spectrum!$R:$R,0)),0),""))</f>
        <v>1383</v>
      </c>
      <c r="W332" s="220">
        <f>IF(LEFT($B332,4)="_Mil","",_xlfn.IFNA(INDEX(Spectrum!$N:$N,MATCH(RIGHT($B332,13)&amp;"|"&amp;$C332&amp;"|"&amp;$D332&amp;"|"&amp;W$14&amp;"|"&amp;"CY2024Q3",Spectrum!$R:$R,0)),""))</f>
        <v>2.1278411000000001E-2</v>
      </c>
      <c r="X332" s="218">
        <f>IF(LEFT($B332,4)="_Mil","",_xlfn.IFNA(ROUND(INDEX(Spectrum!$N:$N,MATCH(RIGHT($B332,13)&amp;"|"&amp;$C332&amp;"|"&amp;$D332&amp;"|"&amp;X$14&amp;"|"&amp;"CY2024Q3",Spectrum!$R:$R,0)),0),""))</f>
        <v>1019</v>
      </c>
      <c r="Y332" s="33">
        <f t="shared" si="72"/>
        <v>0.85</v>
      </c>
      <c r="Z332" s="218">
        <f>IF(LEFT($B332,4)="_Mil","",_xlfn.IFNA(ROUND(INDEX(Spectrum!$N:$N,MATCH(RIGHT($B332,13)&amp;"|"&amp;$C332&amp;"|"&amp;$D332&amp;"|"&amp;Z$14&amp;"|"&amp;"CY2024Q3",Spectrum!$R:$R,0)),0),""))</f>
        <v>1196</v>
      </c>
      <c r="AA332" s="33">
        <f>IF(LEFT($B332,4)="_Mil","",IFERROR(1/(1/INDEX(Spectrum!$N:$N,MATCH(RIGHT($B332,13)&amp;"|"&amp;$C332&amp;"|"&amp;$D332&amp;"|"&amp;AA$14&amp;"|"&amp;"CY2024Q3",Spectrum!$R:$R,0))),IF(SUM($U332)=0,"",SUM($Z332)/$U332)))</f>
        <v>0.83954640999999997</v>
      </c>
      <c r="AB332" s="33">
        <f t="shared" si="73"/>
        <v>1.1736997055937193</v>
      </c>
      <c r="AC332" s="38">
        <f>IF(LEFT($B332,4)="_Mil","",_xlfn.IFNA(ROUND(INDEX(Spectrum!$N:$N,MATCH(RIGHT($B332,13)&amp;"|"&amp;$C332&amp;"|"&amp;$D332&amp;"|"&amp;AC$14&amp;"|"&amp;"CY2024Q3",Spectrum!$R:$R,0)),0),""))</f>
        <v>187</v>
      </c>
      <c r="AD332" s="38" t="str">
        <f>IF(LEFT($B332,4)="_Mil","",_xlfn.IFNA(ROUND(INDEX(Spectrum!$N:$N,MATCH(RIGHT($B332,13)&amp;"|"&amp;$C332&amp;"|"&amp;$D332&amp;"|"&amp;AD$14&amp;"|"&amp;"CY2024Q3",Spectrum!$R:$R,0)),0),""))</f>
        <v/>
      </c>
      <c r="AE332" s="33">
        <f t="shared" si="74"/>
        <v>0</v>
      </c>
      <c r="AF332" s="218" t="str">
        <f>IF(LEFT($B332,4)="_Mil","",_xlfn.IFNA(ROUND(INDEX(Spectrum!$N:$N,MATCH(RIGHT($B332,13)&amp;"|"&amp;$C332&amp;"|"&amp;$D332&amp;"|"&amp;AF$14&amp;"|"&amp;"CY2024Q3",Spectrum!$R:$R,0)),0),""))</f>
        <v/>
      </c>
      <c r="AG332" s="33" t="str">
        <f t="shared" si="75"/>
        <v/>
      </c>
      <c r="AH332" s="110" t="str">
        <f>IF(LEFT($B332,4)="_Mil","",_xlfn.IFNA(INDEX(Spectrum!$N:$N,MATCH(RIGHT($B332,13)&amp;"|"&amp;$C332&amp;"|"&amp;$D332&amp;"|"&amp;AH$14&amp;"|"&amp;"CY2024Q3",Spectrum!$R:$R,0)),""))</f>
        <v/>
      </c>
      <c r="AI332" s="218">
        <f>IF(LEFT($B332,4)="_Mil","",_xlfn.IFNA(ROUND(INDEX(Spectrum!$N:$N,MATCH(RIGHT($B332,13)&amp;"|"&amp;$C332&amp;"|"&amp;$D332&amp;"|"&amp;AI$14&amp;"|"&amp;"CY2025Q3",Spectrum!$R:$R,0)),0),""))</f>
        <v>46</v>
      </c>
      <c r="AJ332" s="38">
        <f>IF(LEFT($B332,4)="_Mil","",_xlfn.IFNA(ROUND(INDEX(Spectrum!$N:$N,MATCH(RIGHT($B332,13)&amp;"|"&amp;$C332&amp;"|"&amp;$D332&amp;"|"&amp;AJ$14&amp;"|"&amp;"CY2025Q3",Spectrum!$R:$R,0)),0),""))</f>
        <v>1156</v>
      </c>
      <c r="AK332" s="218" t="e">
        <f>#REF!</f>
        <v>#REF!</v>
      </c>
      <c r="AL332" s="33">
        <f t="shared" si="76"/>
        <v>0.9</v>
      </c>
      <c r="AM332" s="38" t="e">
        <f>IF(OR(LEFT($B332,4)="_Mil",$C332="&lt;01"),"",ROUND(SUM($AK332)*SUM($AL332),0))</f>
        <v>#REF!</v>
      </c>
      <c r="AN332" s="38" t="str">
        <f>IF($C332="&lt;01",ROUND(INDEX(EID!$P:$P,MATCH($B332,EID!$B:$B,0))/2,0),"")</f>
        <v/>
      </c>
      <c r="AO332" s="38" t="e">
        <f>IF($C332="&lt;01",SUM($AN332),ROUND(SUM($AM332)*SUM($O332)/IF(SUM($Z332)=0,1,$Z332),0))</f>
        <v>#REF!</v>
      </c>
      <c r="AP332" s="218">
        <f>IF(OR($F332="",$C332="&lt;01"),$AO332,ROUND($F332,0))</f>
        <v>1235</v>
      </c>
      <c r="AQ332" s="218">
        <f>IF(LEFT($B332,4)="_Mil","",IF(SUM($AP332)=0,SUM($Z332),IF(OR(SUM($Z332)=0,SUM($O332)=0),MAX($AP332,$Z332),ROUND($AP332*$Z332/$O332,0))))</f>
        <v>1196</v>
      </c>
      <c r="AR332" s="33" t="e">
        <f>IF(OR(LEFT($B332,4)="_Mil",SUM($AK332)=0),"",SUM($AQ332)/$AK332)</f>
        <v>#REF!</v>
      </c>
      <c r="AS332" s="33">
        <f t="shared" ref="AS332:AS354" si="85">IF($C332="&lt;01","",98%)</f>
        <v>0.98</v>
      </c>
      <c r="AT332" s="33">
        <f t="shared" si="83"/>
        <v>0.98</v>
      </c>
      <c r="AU332" s="38">
        <f>IF($C332="&lt;01","",SUM($AP332)-SUM($O332))</f>
        <v>0</v>
      </c>
      <c r="AV332" s="38">
        <f>IF($C332="&lt;01",ROUND(INDEX(EID!$N:$N,MATCH($B332,EID!$B:$B,0))/2,0),IF(SUM($AT332)=0,"",ROUND((SUM($AP332)-(SUM($O332)*SUM($AS332)))/$AT332,0)))</f>
        <v>25</v>
      </c>
      <c r="AW332" s="33">
        <f t="shared" si="77"/>
        <v>1</v>
      </c>
      <c r="AX332" s="218">
        <f>IF($C332="&lt;01",SUM($AV332),ROUND(SUM($AV332)*SUM($AW332),0))</f>
        <v>25</v>
      </c>
      <c r="AY332" s="79">
        <f t="shared" si="78"/>
        <v>0.7</v>
      </c>
      <c r="AZ332" s="85">
        <f>IF($C332="&lt;01",ROUND(INDEX(EID!$R:$R,MATCH($B332,EID!$B:$B,0))/2,0),ROUND(SUM($O332)+(SUM($AV332)*$AY332),0))</f>
        <v>1253</v>
      </c>
      <c r="BA332" s="40">
        <f t="shared" si="82"/>
        <v>0.9</v>
      </c>
      <c r="BB332" s="99">
        <f>IF($C332="&lt;01",ROUND(INDEX(EID!$T:$T,MATCH($B332,EID!$B:$B,0))/2,0),ROUND($AP332*$BA332,0))</f>
        <v>1112</v>
      </c>
      <c r="BC332" s="85">
        <f>IF(LEFT($B332,4)="_Mil","",IF(SUM($BB332)=0,SUM($AD332),IF(OR(SUM($AP332)=0,SUM($AQ332)=0),MAX($BB332,$AD332),ROUND($BB332*$AQ332/$AP332,0))))</f>
        <v>1077</v>
      </c>
      <c r="BD332" s="33">
        <f t="shared" si="79"/>
        <v>0.95</v>
      </c>
      <c r="BE332" s="218">
        <f>IF($C332="&lt;01",ROUND(INDEX(EID!$V:$V,MATCH($B332,EID!$B:$B,0))/2,0),ROUND($BD332*$BB332,0))</f>
        <v>1056</v>
      </c>
      <c r="BF332" s="218">
        <f>IF(LEFT($B332,4)="_Mil","",IF(SUM($BE332)=0,SUM($AF332),IF(OR(SUM($AP332)=0,SUM($AQ332)=0),MAX($BE332,$AF332),ROUND($BE332*$AQ332/$AP332,0))))</f>
        <v>1023</v>
      </c>
      <c r="BG332" s="79">
        <f t="shared" si="80"/>
        <v>0.95</v>
      </c>
      <c r="BH332" s="99">
        <f>IF($C332="&lt;01",ROUND(INDEX(EID!$L:$L,MATCH($B332,EID!$B:$B,0)),0)/2,IF(SUM($BG332)=0,"",ROUND($AX332/$BG332,0)))</f>
        <v>26</v>
      </c>
    </row>
    <row r="333" spans="1:60" x14ac:dyDescent="0.2">
      <c r="A333" t="str">
        <f>INDEX(Prioritization!$D:$D,MATCH($B333,Prioritization!$A:$A,0))</f>
        <v>4 - Sustained</v>
      </c>
      <c r="B333" t="s">
        <v>304</v>
      </c>
      <c r="C333" t="s">
        <v>477</v>
      </c>
      <c r="D333" t="s">
        <v>30</v>
      </c>
      <c r="E333" t="str">
        <f t="shared" si="70"/>
        <v>Ntcheu District [am530wpaGvr]|35-49|Female</v>
      </c>
      <c r="F333" s="229">
        <v>10004</v>
      </c>
      <c r="G333" s="38">
        <v>340</v>
      </c>
      <c r="H333" s="38">
        <v>356</v>
      </c>
      <c r="I333" s="38">
        <v>9660</v>
      </c>
      <c r="J333" s="38">
        <v>7071</v>
      </c>
      <c r="K333" s="38">
        <v>6811</v>
      </c>
      <c r="L333" s="38">
        <v>413</v>
      </c>
      <c r="M333" s="38">
        <v>406</v>
      </c>
      <c r="N333" s="38">
        <v>9573</v>
      </c>
      <c r="O333" s="229">
        <v>9832</v>
      </c>
      <c r="P333" s="38">
        <v>8479</v>
      </c>
      <c r="Q333" s="38">
        <v>8055</v>
      </c>
      <c r="R333" s="38">
        <f t="shared" si="71"/>
        <v>172</v>
      </c>
      <c r="S333" s="38">
        <f>IF(LEFT($B333,4)="_Mil","",_xlfn.IFNA(ROUND(INDEX(Spectrum!$N:$N,MATCH(RIGHT($B333,13)&amp;"|"&amp;$C333&amp;"|"&amp;$D333&amp;"|"&amp;S$14&amp;"|"&amp;"CY2023Q4",Spectrum!$R:$R,0)),0),""))</f>
        <v>10168</v>
      </c>
      <c r="T333" s="218">
        <f>IF(LEFT($B333,4)="_Mil","",_xlfn.IFNA(ROUND(INDEX(Spectrum!$N:$N,MATCH(RIGHT($B333,13)&amp;"|"&amp;$C333&amp;"|"&amp;$D333&amp;"|"&amp;T$14&amp;"|"&amp;"CY2024Q3",Spectrum!$R:$R,0)),0),""))</f>
        <v>62971</v>
      </c>
      <c r="U333" s="218">
        <f>IF(LEFT($B333,4)="_Mil","",_xlfn.IFNA(ROUND(INDEX(Spectrum!$N:$N,MATCH(RIGHT($B333,13)&amp;"|"&amp;$C333&amp;"|"&amp;$D333&amp;"|"&amp;U$14&amp;"|"&amp;"CY2024Q3",Spectrum!$R:$R,0)),0),""))</f>
        <v>8833</v>
      </c>
      <c r="V333" s="38">
        <f>IF(LEFT($B333,4)="_Mil","",_xlfn.IFNA(ROUND(INDEX(Spectrum!$N:$N,MATCH(RIGHT($B333,13)&amp;"|"&amp;$C333&amp;"|"&amp;$D333&amp;"|"&amp;V$14&amp;"|"&amp;"CY2024Q3",Spectrum!$R:$R,0)),0),""))</f>
        <v>10382</v>
      </c>
      <c r="W333" s="220">
        <f>IF(LEFT($B333,4)="_Mil","",_xlfn.IFNA(INDEX(Spectrum!$N:$N,MATCH(RIGHT($B333,13)&amp;"|"&amp;$C333&amp;"|"&amp;$D333&amp;"|"&amp;W$14&amp;"|"&amp;"CY2024Q3",Spectrum!$R:$R,0)),""))</f>
        <v>0.14027089600000001</v>
      </c>
      <c r="X333" s="218">
        <f>IF(LEFT($B333,4)="_Mil","",_xlfn.IFNA(ROUND(INDEX(Spectrum!$N:$N,MATCH(RIGHT($B333,13)&amp;"|"&amp;$C333&amp;"|"&amp;$D333&amp;"|"&amp;X$14&amp;"|"&amp;"CY2024Q3",Spectrum!$R:$R,0)),0),""))</f>
        <v>8637</v>
      </c>
      <c r="Y333" s="33">
        <f t="shared" si="72"/>
        <v>0.98</v>
      </c>
      <c r="Z333" s="218">
        <f>IF(LEFT($B333,4)="_Mil","",_xlfn.IFNA(ROUND(INDEX(Spectrum!$N:$N,MATCH(RIGHT($B333,13)&amp;"|"&amp;$C333&amp;"|"&amp;$D333&amp;"|"&amp;Z$14&amp;"|"&amp;"CY2024Q3",Spectrum!$R:$R,0)),0),""))</f>
        <v>10172</v>
      </c>
      <c r="AA333" s="33">
        <f>IF(LEFT($B333,4)="_Mil","",IFERROR(1/(1/INDEX(Spectrum!$N:$N,MATCH(RIGHT($B333,13)&amp;"|"&amp;$C333&amp;"|"&amp;$D333&amp;"|"&amp;AA$14&amp;"|"&amp;"CY2024Q3",Spectrum!$R:$R,0))),IF(SUM($U333)=0,"",SUM($Z333)/$U333)))</f>
        <v>0.97728523500000009</v>
      </c>
      <c r="AB333" s="33">
        <f t="shared" si="73"/>
        <v>1.177723746671298</v>
      </c>
      <c r="AC333" s="38">
        <f>IF(LEFT($B333,4)="_Mil","",_xlfn.IFNA(ROUND(INDEX(Spectrum!$N:$N,MATCH(RIGHT($B333,13)&amp;"|"&amp;$C333&amp;"|"&amp;$D333&amp;"|"&amp;AC$14&amp;"|"&amp;"CY2024Q3",Spectrum!$R:$R,0)),0),""))</f>
        <v>211</v>
      </c>
      <c r="AD333" s="38" t="str">
        <f>IF(LEFT($B333,4)="_Mil","",_xlfn.IFNA(ROUND(INDEX(Spectrum!$N:$N,MATCH(RIGHT($B333,13)&amp;"|"&amp;$C333&amp;"|"&amp;$D333&amp;"|"&amp;AD$14&amp;"|"&amp;"CY2024Q3",Spectrum!$R:$R,0)),0),""))</f>
        <v/>
      </c>
      <c r="AE333" s="33">
        <f t="shared" si="74"/>
        <v>0</v>
      </c>
      <c r="AF333" s="218" t="str">
        <f>IF(LEFT($B333,4)="_Mil","",_xlfn.IFNA(ROUND(INDEX(Spectrum!$N:$N,MATCH(RIGHT($B333,13)&amp;"|"&amp;$C333&amp;"|"&amp;$D333&amp;"|"&amp;AF$14&amp;"|"&amp;"CY2024Q3",Spectrum!$R:$R,0)),0),""))</f>
        <v/>
      </c>
      <c r="AG333" s="33" t="str">
        <f t="shared" si="75"/>
        <v/>
      </c>
      <c r="AH333" s="110" t="str">
        <f>IF(LEFT($B333,4)="_Mil","",_xlfn.IFNA(INDEX(Spectrum!$N:$N,MATCH(RIGHT($B333,13)&amp;"|"&amp;$C333&amp;"|"&amp;$D333&amp;"|"&amp;AH$14&amp;"|"&amp;"CY2024Q3",Spectrum!$R:$R,0)),""))</f>
        <v/>
      </c>
      <c r="AI333" s="218">
        <f>IF(LEFT($B333,4)="_Mil","",_xlfn.IFNA(ROUND(INDEX(Spectrum!$N:$N,MATCH(RIGHT($B333,13)&amp;"|"&amp;$C333&amp;"|"&amp;$D333&amp;"|"&amp;AI$14&amp;"|"&amp;"CY2025Q3",Spectrum!$R:$R,0)),0),""))</f>
        <v>43</v>
      </c>
      <c r="AJ333" s="38">
        <f>IF(LEFT($B333,4)="_Mil","",_xlfn.IFNA(ROUND(INDEX(Spectrum!$N:$N,MATCH(RIGHT($B333,13)&amp;"|"&amp;$C333&amp;"|"&amp;$D333&amp;"|"&amp;AJ$14&amp;"|"&amp;"CY2025Q3",Spectrum!$R:$R,0)),0),""))</f>
        <v>8788</v>
      </c>
      <c r="AK333" s="218" t="e">
        <f>#REF!</f>
        <v>#REF!</v>
      </c>
      <c r="AL333" s="33">
        <f t="shared" si="76"/>
        <v>0.97728523500000009</v>
      </c>
      <c r="AM333" s="38" t="e">
        <f>IF(OR(LEFT($B333,4)="_Mil",$C333="&lt;01"),"",ROUND(SUM($AK333)*SUM($AL333),0))</f>
        <v>#REF!</v>
      </c>
      <c r="AN333" s="38" t="str">
        <f>IF($C333="&lt;01",ROUND(INDEX(EID!$P:$P,MATCH($B333,EID!$B:$B,0))/2,0),"")</f>
        <v/>
      </c>
      <c r="AO333" s="38" t="e">
        <f>IF($C333="&lt;01",SUM($AN333),ROUND(SUM($AM333)*SUM($O333)/IF(SUM($Z333)=0,1,$Z333),0))</f>
        <v>#REF!</v>
      </c>
      <c r="AP333" s="218">
        <f>IF(OR($F333="",$C333="&lt;01"),$AO333,ROUND($F333,0))</f>
        <v>10004</v>
      </c>
      <c r="AQ333" s="218">
        <f>IF(LEFT($B333,4)="_Mil","",IF(SUM($AP333)=0,SUM($Z333),IF(OR(SUM($Z333)=0,SUM($O333)=0),MAX($AP333,$Z333),ROUND($AP333*$Z333/$O333,0))))</f>
        <v>10350</v>
      </c>
      <c r="AR333" s="33" t="e">
        <f>IF(OR(LEFT($B333,4)="_Mil",SUM($AK333)=0),"",SUM($AQ333)/$AK333)</f>
        <v>#REF!</v>
      </c>
      <c r="AS333" s="33">
        <f t="shared" si="85"/>
        <v>0.98</v>
      </c>
      <c r="AT333" s="33">
        <f t="shared" si="83"/>
        <v>0.98</v>
      </c>
      <c r="AU333" s="38">
        <f>IF($C333="&lt;01","",SUM($AP333)-SUM($O333))</f>
        <v>172</v>
      </c>
      <c r="AV333" s="38">
        <f>IF($C333="&lt;01",ROUND(INDEX(EID!$N:$N,MATCH($B333,EID!$B:$B,0))/2,0),IF(SUM($AT333)=0,"",ROUND((SUM($AP333)-(SUM($O333)*SUM($AS333)))/$AT333,0)))</f>
        <v>376</v>
      </c>
      <c r="AW333" s="33">
        <f t="shared" si="77"/>
        <v>1</v>
      </c>
      <c r="AX333" s="218">
        <f>IF($C333="&lt;01",SUM($AV333),ROUND(SUM($AV333)*SUM($AW333),0))</f>
        <v>376</v>
      </c>
      <c r="AY333" s="79">
        <f t="shared" si="78"/>
        <v>0.7</v>
      </c>
      <c r="AZ333" s="85">
        <f>IF($C333="&lt;01",ROUND(INDEX(EID!$R:$R,MATCH($B333,EID!$B:$B,0))/2,0),ROUND(SUM($O333)+(SUM($AV333)*$AY333),0))</f>
        <v>10095</v>
      </c>
      <c r="BA333" s="40">
        <f t="shared" si="82"/>
        <v>0.9</v>
      </c>
      <c r="BB333" s="99">
        <f>IF($C333="&lt;01",ROUND(INDEX(EID!$T:$T,MATCH($B333,EID!$B:$B,0))/2,0),ROUND($AP333*$BA333,0))</f>
        <v>9004</v>
      </c>
      <c r="BC333" s="85">
        <f>IF(LEFT($B333,4)="_Mil","",IF(SUM($BB333)=0,SUM($AD333),IF(OR(SUM($AP333)=0,SUM($AQ333)=0),MAX($BB333,$AD333),ROUND($BB333*$AQ333/$AP333,0))))</f>
        <v>9315</v>
      </c>
      <c r="BD333" s="33">
        <f t="shared" si="79"/>
        <v>0.95</v>
      </c>
      <c r="BE333" s="218">
        <f>IF($C333="&lt;01",ROUND(INDEX(EID!$V:$V,MATCH($B333,EID!$B:$B,0))/2,0),ROUND($BD333*$BB333,0))</f>
        <v>8554</v>
      </c>
      <c r="BF333" s="218">
        <f>IF(LEFT($B333,4)="_Mil","",IF(SUM($BE333)=0,SUM($AF333),IF(OR(SUM($AP333)=0,SUM($AQ333)=0),MAX($BE333,$AF333),ROUND($BE333*$AQ333/$AP333,0))))</f>
        <v>8850</v>
      </c>
      <c r="BG333" s="79">
        <f t="shared" si="80"/>
        <v>0.95</v>
      </c>
      <c r="BH333" s="99">
        <f>IF($C333="&lt;01",ROUND(INDEX(EID!$L:$L,MATCH($B333,EID!$B:$B,0)),0)/2,IF(SUM($BG333)=0,"",ROUND($AX333/$BG333,0)))</f>
        <v>396</v>
      </c>
    </row>
    <row r="334" spans="1:60" x14ac:dyDescent="0.2">
      <c r="A334" t="str">
        <f>INDEX(Prioritization!$D:$D,MATCH($B334,Prioritization!$A:$A,0))</f>
        <v>4 - Sustained</v>
      </c>
      <c r="B334" t="s">
        <v>304</v>
      </c>
      <c r="C334" t="s">
        <v>477</v>
      </c>
      <c r="D334" t="s">
        <v>48</v>
      </c>
      <c r="E334" t="str">
        <f t="shared" si="70"/>
        <v>Ntcheu District [am530wpaGvr]|35-49|Male</v>
      </c>
      <c r="F334" s="229">
        <v>4875</v>
      </c>
      <c r="G334" s="38">
        <v>353</v>
      </c>
      <c r="H334" s="38">
        <v>402</v>
      </c>
      <c r="I334" s="38">
        <v>4555</v>
      </c>
      <c r="J334" s="38">
        <v>3150</v>
      </c>
      <c r="K334" s="38">
        <v>3029</v>
      </c>
      <c r="L334" s="38">
        <v>72</v>
      </c>
      <c r="M334" s="38">
        <v>68</v>
      </c>
      <c r="N334" s="38">
        <v>4761</v>
      </c>
      <c r="O334" s="229">
        <v>4715</v>
      </c>
      <c r="P334" s="38">
        <v>4298</v>
      </c>
      <c r="Q334" s="38">
        <v>4083</v>
      </c>
      <c r="R334" s="38">
        <f t="shared" si="71"/>
        <v>160</v>
      </c>
      <c r="S334" s="38">
        <f>IF(LEFT($B334,4)="_Mil","",_xlfn.IFNA(ROUND(INDEX(Spectrum!$N:$N,MATCH(RIGHT($B334,13)&amp;"|"&amp;$C334&amp;"|"&amp;$D334&amp;"|"&amp;S$14&amp;"|"&amp;"CY2023Q4",Spectrum!$R:$R,0)),0),""))</f>
        <v>4812</v>
      </c>
      <c r="T334" s="218">
        <f>IF(LEFT($B334,4)="_Mil","",_xlfn.IFNA(ROUND(INDEX(Spectrum!$N:$N,MATCH(RIGHT($B334,13)&amp;"|"&amp;$C334&amp;"|"&amp;$D334&amp;"|"&amp;T$14&amp;"|"&amp;"CY2024Q3",Spectrum!$R:$R,0)),0),""))</f>
        <v>54163</v>
      </c>
      <c r="U334" s="218">
        <f>IF(LEFT($B334,4)="_Mil","",_xlfn.IFNA(ROUND(INDEX(Spectrum!$N:$N,MATCH(RIGHT($B334,13)&amp;"|"&amp;$C334&amp;"|"&amp;$D334&amp;"|"&amp;U$14&amp;"|"&amp;"CY2024Q3",Spectrum!$R:$R,0)),0),""))</f>
        <v>4555</v>
      </c>
      <c r="V334" s="38">
        <f>IF(LEFT($B334,4)="_Mil","",_xlfn.IFNA(ROUND(INDEX(Spectrum!$N:$N,MATCH(RIGHT($B334,13)&amp;"|"&amp;$C334&amp;"|"&amp;$D334&amp;"|"&amp;V$14&amp;"|"&amp;"CY2024Q3",Spectrum!$R:$R,0)),0),""))</f>
        <v>5187</v>
      </c>
      <c r="W334" s="220">
        <f>IF(LEFT($B334,4)="_Mil","",_xlfn.IFNA(INDEX(Spectrum!$N:$N,MATCH(RIGHT($B334,13)&amp;"|"&amp;$C334&amp;"|"&amp;$D334&amp;"|"&amp;W$14&amp;"|"&amp;"CY2024Q3",Spectrum!$R:$R,0)),""))</f>
        <v>8.409266E-2</v>
      </c>
      <c r="X334" s="218">
        <f>IF(LEFT($B334,4)="_Mil","",_xlfn.IFNA(ROUND(INDEX(Spectrum!$N:$N,MATCH(RIGHT($B334,13)&amp;"|"&amp;$C334&amp;"|"&amp;$D334&amp;"|"&amp;X$14&amp;"|"&amp;"CY2024Q3",Spectrum!$R:$R,0)),0),""))</f>
        <v>4127</v>
      </c>
      <c r="Y334" s="33">
        <f t="shared" si="72"/>
        <v>0.91</v>
      </c>
      <c r="Z334" s="218">
        <f>IF(LEFT($B334,4)="_Mil","",_xlfn.IFNA(ROUND(INDEX(Spectrum!$N:$N,MATCH(RIGHT($B334,13)&amp;"|"&amp;$C334&amp;"|"&amp;$D334&amp;"|"&amp;Z$14&amp;"|"&amp;"CY2024Q3",Spectrum!$R:$R,0)),0),""))</f>
        <v>4775</v>
      </c>
      <c r="AA334" s="33">
        <f>IF(LEFT($B334,4)="_Mil","",IFERROR(1/(1/INDEX(Spectrum!$N:$N,MATCH(RIGHT($B334,13)&amp;"|"&amp;$C334&amp;"|"&amp;$D334&amp;"|"&amp;AA$14&amp;"|"&amp;"CY2024Q3",Spectrum!$R:$R,0))),IF(SUM($U334)=0,"",SUM($Z334)/$U334)))</f>
        <v>0.90023134500000002</v>
      </c>
      <c r="AB334" s="33">
        <f t="shared" si="73"/>
        <v>1.1570147807123818</v>
      </c>
      <c r="AC334" s="38">
        <f>IF(LEFT($B334,4)="_Mil","",_xlfn.IFNA(ROUND(INDEX(Spectrum!$N:$N,MATCH(RIGHT($B334,13)&amp;"|"&amp;$C334&amp;"|"&amp;$D334&amp;"|"&amp;AC$14&amp;"|"&amp;"CY2024Q3",Spectrum!$R:$R,0)),0),""))</f>
        <v>412</v>
      </c>
      <c r="AD334" s="38" t="str">
        <f>IF(LEFT($B334,4)="_Mil","",_xlfn.IFNA(ROUND(INDEX(Spectrum!$N:$N,MATCH(RIGHT($B334,13)&amp;"|"&amp;$C334&amp;"|"&amp;$D334&amp;"|"&amp;AD$14&amp;"|"&amp;"CY2024Q3",Spectrum!$R:$R,0)),0),""))</f>
        <v/>
      </c>
      <c r="AE334" s="33">
        <f t="shared" si="74"/>
        <v>0</v>
      </c>
      <c r="AF334" s="218" t="str">
        <f>IF(LEFT($B334,4)="_Mil","",_xlfn.IFNA(ROUND(INDEX(Spectrum!$N:$N,MATCH(RIGHT($B334,13)&amp;"|"&amp;$C334&amp;"|"&amp;$D334&amp;"|"&amp;AF$14&amp;"|"&amp;"CY2024Q3",Spectrum!$R:$R,0)),0),""))</f>
        <v/>
      </c>
      <c r="AG334" s="33" t="str">
        <f t="shared" si="75"/>
        <v/>
      </c>
      <c r="AH334" s="110" t="str">
        <f>IF(LEFT($B334,4)="_Mil","",_xlfn.IFNA(INDEX(Spectrum!$N:$N,MATCH(RIGHT($B334,13)&amp;"|"&amp;$C334&amp;"|"&amp;$D334&amp;"|"&amp;AH$14&amp;"|"&amp;"CY2024Q3",Spectrum!$R:$R,0)),""))</f>
        <v/>
      </c>
      <c r="AI334" s="218">
        <f>IF(LEFT($B334,4)="_Mil","",_xlfn.IFNA(ROUND(INDEX(Spectrum!$N:$N,MATCH(RIGHT($B334,13)&amp;"|"&amp;$C334&amp;"|"&amp;$D334&amp;"|"&amp;AI$14&amp;"|"&amp;"CY2025Q3",Spectrum!$R:$R,0)),0),""))</f>
        <v>48</v>
      </c>
      <c r="AJ334" s="38">
        <f>IF(LEFT($B334,4)="_Mil","",_xlfn.IFNA(ROUND(INDEX(Spectrum!$N:$N,MATCH(RIGHT($B334,13)&amp;"|"&amp;$C334&amp;"|"&amp;$D334&amp;"|"&amp;AJ$14&amp;"|"&amp;"CY2025Q3",Spectrum!$R:$R,0)),0),""))</f>
        <v>4347</v>
      </c>
      <c r="AK334" s="218" t="e">
        <f>#REF!</f>
        <v>#REF!</v>
      </c>
      <c r="AL334" s="33">
        <f t="shared" si="76"/>
        <v>0.90023134500000002</v>
      </c>
      <c r="AM334" s="38" t="e">
        <f>IF(OR(LEFT($B334,4)="_Mil",$C334="&lt;01"),"",ROUND(SUM($AK334)*SUM($AL334),0))</f>
        <v>#REF!</v>
      </c>
      <c r="AN334" s="38" t="str">
        <f>IF($C334="&lt;01",ROUND(INDEX(EID!$P:$P,MATCH($B334,EID!$B:$B,0))/2,0),"")</f>
        <v/>
      </c>
      <c r="AO334" s="38" t="e">
        <f>IF($C334="&lt;01",SUM($AN334),ROUND(SUM($AM334)*SUM($O334)/IF(SUM($Z334)=0,1,$Z334),0))</f>
        <v>#REF!</v>
      </c>
      <c r="AP334" s="218">
        <f>IF(OR($F334="",$C334="&lt;01"),$AO334,ROUND($F334,0))</f>
        <v>4875</v>
      </c>
      <c r="AQ334" s="218">
        <f>IF(LEFT($B334,4)="_Mil","",IF(SUM($AP334)=0,SUM($Z334),IF(OR(SUM($Z334)=0,SUM($O334)=0),MAX($AP334,$Z334),ROUND($AP334*$Z334/$O334,0))))</f>
        <v>4937</v>
      </c>
      <c r="AR334" s="33" t="e">
        <f>IF(OR(LEFT($B334,4)="_Mil",SUM($AK334)=0),"",SUM($AQ334)/$AK334)</f>
        <v>#REF!</v>
      </c>
      <c r="AS334" s="33">
        <f t="shared" si="85"/>
        <v>0.98</v>
      </c>
      <c r="AT334" s="33">
        <f t="shared" si="83"/>
        <v>0.98</v>
      </c>
      <c r="AU334" s="38">
        <f>IF($C334="&lt;01","",SUM($AP334)-SUM($O334))</f>
        <v>160</v>
      </c>
      <c r="AV334" s="38">
        <f>IF($C334="&lt;01",ROUND(INDEX(EID!$N:$N,MATCH($B334,EID!$B:$B,0))/2,0),IF(SUM($AT334)=0,"",ROUND((SUM($AP334)-(SUM($O334)*SUM($AS334)))/$AT334,0)))</f>
        <v>259</v>
      </c>
      <c r="AW334" s="33">
        <f t="shared" si="77"/>
        <v>1</v>
      </c>
      <c r="AX334" s="218">
        <f>IF($C334="&lt;01",SUM($AV334),ROUND(SUM($AV334)*SUM($AW334),0))</f>
        <v>259</v>
      </c>
      <c r="AY334" s="79">
        <f t="shared" si="78"/>
        <v>0.7</v>
      </c>
      <c r="AZ334" s="85">
        <f>IF($C334="&lt;01",ROUND(INDEX(EID!$R:$R,MATCH($B334,EID!$B:$B,0))/2,0),ROUND(SUM($O334)+(SUM($AV334)*$AY334),0))</f>
        <v>4896</v>
      </c>
      <c r="BA334" s="40">
        <f t="shared" si="82"/>
        <v>0.9</v>
      </c>
      <c r="BB334" s="99">
        <f>IF($C334="&lt;01",ROUND(INDEX(EID!$T:$T,MATCH($B334,EID!$B:$B,0))/2,0),ROUND($AP334*$BA334,0))</f>
        <v>4388</v>
      </c>
      <c r="BC334" s="85">
        <f>IF(LEFT($B334,4)="_Mil","",IF(SUM($BB334)=0,SUM($AD334),IF(OR(SUM($AP334)=0,SUM($AQ334)=0),MAX($BB334,$AD334),ROUND($BB334*$AQ334/$AP334,0))))</f>
        <v>4444</v>
      </c>
      <c r="BD334" s="33">
        <f t="shared" si="79"/>
        <v>0.95</v>
      </c>
      <c r="BE334" s="218">
        <f>IF($C334="&lt;01",ROUND(INDEX(EID!$V:$V,MATCH($B334,EID!$B:$B,0))/2,0),ROUND($BD334*$BB334,0))</f>
        <v>4169</v>
      </c>
      <c r="BF334" s="218">
        <f>IF(LEFT($B334,4)="_Mil","",IF(SUM($BE334)=0,SUM($AF334),IF(OR(SUM($AP334)=0,SUM($AQ334)=0),MAX($BE334,$AF334),ROUND($BE334*$AQ334/$AP334,0))))</f>
        <v>4222</v>
      </c>
      <c r="BG334" s="79">
        <f t="shared" si="80"/>
        <v>0.95</v>
      </c>
      <c r="BH334" s="99">
        <f>IF($C334="&lt;01",ROUND(INDEX(EID!$L:$L,MATCH($B334,EID!$B:$B,0)),0)/2,IF(SUM($BG334)=0,"",ROUND($AX334/$BG334,0)))</f>
        <v>273</v>
      </c>
    </row>
    <row r="335" spans="1:60" x14ac:dyDescent="0.2">
      <c r="A335" t="str">
        <f>INDEX(Prioritization!$D:$D,MATCH($B335,Prioritization!$A:$A,0))</f>
        <v>4 - Sustained</v>
      </c>
      <c r="B335" t="s">
        <v>304</v>
      </c>
      <c r="C335" t="s">
        <v>478</v>
      </c>
      <c r="D335" t="s">
        <v>30</v>
      </c>
      <c r="E335" t="str">
        <f t="shared" ref="E335:E398" si="86">$B335&amp;"|"&amp;$C335&amp;"|"&amp;$D335</f>
        <v>Ntcheu District [am530wpaGvr]|50+|Female</v>
      </c>
      <c r="F335" s="229">
        <v>5591</v>
      </c>
      <c r="G335" s="38">
        <v>76</v>
      </c>
      <c r="H335" s="38">
        <v>82</v>
      </c>
      <c r="I335" s="38">
        <v>4753</v>
      </c>
      <c r="J335" s="38">
        <v>3314</v>
      </c>
      <c r="K335" s="38">
        <v>3193</v>
      </c>
      <c r="L335" s="38">
        <v>497</v>
      </c>
      <c r="M335" s="38">
        <v>487</v>
      </c>
      <c r="N335" s="38">
        <v>4872</v>
      </c>
      <c r="O335" s="229">
        <v>5197</v>
      </c>
      <c r="P335" s="38">
        <v>4031</v>
      </c>
      <c r="Q335" s="38">
        <v>3829</v>
      </c>
      <c r="R335" s="38">
        <f t="shared" ref="R335:R398" si="87">IF(AND(SUM($I335)=0,SUM($O335)=0),"",SUM($O335)-$I335)</f>
        <v>444</v>
      </c>
      <c r="S335" s="38">
        <f>IF(LEFT($B335,4)="_Mil","",_xlfn.IFNA(ROUND(INDEX(Spectrum!$N:$N,MATCH(RIGHT($B335,13)&amp;"|"&amp;$C335&amp;"|"&amp;$D335&amp;"|"&amp;S$14&amp;"|"&amp;"CY2023Q4",Spectrum!$R:$R,0)),0),""))</f>
        <v>4844</v>
      </c>
      <c r="T335" s="218">
        <f>IF(LEFT($B335,4)="_Mil","",_xlfn.IFNA(ROUND(INDEX(Spectrum!$N:$N,MATCH(RIGHT($B335,13)&amp;"|"&amp;$C335&amp;"|"&amp;$D335&amp;"|"&amp;T$14&amp;"|"&amp;"CY2024Q3",Spectrum!$R:$R,0)),0),""))</f>
        <v>42479</v>
      </c>
      <c r="U335" s="218">
        <f>IF(LEFT($B335,4)="_Mil","",_xlfn.IFNA(ROUND(INDEX(Spectrum!$N:$N,MATCH(RIGHT($B335,13)&amp;"|"&amp;$C335&amp;"|"&amp;$D335&amp;"|"&amp;U$14&amp;"|"&amp;"CY2024Q3",Spectrum!$R:$R,0)),0),""))</f>
        <v>4475</v>
      </c>
      <c r="V335" s="38">
        <f>IF(LEFT($B335,4)="_Mil","",_xlfn.IFNA(ROUND(INDEX(Spectrum!$N:$N,MATCH(RIGHT($B335,13)&amp;"|"&amp;$C335&amp;"|"&amp;$D335&amp;"|"&amp;V$14&amp;"|"&amp;"CY2024Q3",Spectrum!$R:$R,0)),0),""))</f>
        <v>5197</v>
      </c>
      <c r="W335" s="220">
        <f>IF(LEFT($B335,4)="_Mil","",_xlfn.IFNA(INDEX(Spectrum!$N:$N,MATCH(RIGHT($B335,13)&amp;"|"&amp;$C335&amp;"|"&amp;$D335&amp;"|"&amp;W$14&amp;"|"&amp;"CY2024Q3",Spectrum!$R:$R,0)),""))</f>
        <v>0.105358067</v>
      </c>
      <c r="X335" s="218">
        <f>IF(LEFT($B335,4)="_Mil","",_xlfn.IFNA(ROUND(INDEX(Spectrum!$N:$N,MATCH(RIGHT($B335,13)&amp;"|"&amp;$C335&amp;"|"&amp;$D335&amp;"|"&amp;X$14&amp;"|"&amp;"CY2024Q3",Spectrum!$R:$R,0)),0),""))</f>
        <v>4418</v>
      </c>
      <c r="Y335" s="33">
        <f t="shared" ref="Y335:Y398" si="88">IF(OR(SUM($U335)=0,LEFT($B335,4)="_Mil"),"",ROUND(SUM($X335)/$U335,2))</f>
        <v>0.99</v>
      </c>
      <c r="Z335" s="218">
        <f>IF(LEFT($B335,4)="_Mil","",_xlfn.IFNA(ROUND(INDEX(Spectrum!$N:$N,MATCH(RIGHT($B335,13)&amp;"|"&amp;$C335&amp;"|"&amp;$D335&amp;"|"&amp;Z$14&amp;"|"&amp;"CY2024Q3",Spectrum!$R:$R,0)),0),""))</f>
        <v>5114</v>
      </c>
      <c r="AA335" s="33">
        <f>IF(LEFT($B335,4)="_Mil","",IFERROR(1/(1/INDEX(Spectrum!$N:$N,MATCH(RIGHT($B335,13)&amp;"|"&amp;$C335&amp;"|"&amp;$D335&amp;"|"&amp;AA$14&amp;"|"&amp;"CY2024Q3",Spectrum!$R:$R,0))),IF(SUM($U335)=0,"",SUM($Z335)/$U335)))</f>
        <v>0.98439424099999995</v>
      </c>
      <c r="AB335" s="33">
        <f t="shared" ref="AB335:AB398" si="89">IF(OR(LEFT($B335,4)="_Mil",SUM($X335)=0),"",SUM($Z335)/$X335)</f>
        <v>1.1575373472159347</v>
      </c>
      <c r="AC335" s="38">
        <f>IF(LEFT($B335,4)="_Mil","",_xlfn.IFNA(ROUND(INDEX(Spectrum!$N:$N,MATCH(RIGHT($B335,13)&amp;"|"&amp;$C335&amp;"|"&amp;$D335&amp;"|"&amp;AC$14&amp;"|"&amp;"CY2024Q3",Spectrum!$R:$R,0)),0),""))</f>
        <v>83</v>
      </c>
      <c r="AD335" s="38" t="str">
        <f>IF(LEFT($B335,4)="_Mil","",_xlfn.IFNA(ROUND(INDEX(Spectrum!$N:$N,MATCH(RIGHT($B335,13)&amp;"|"&amp;$C335&amp;"|"&amp;$D335&amp;"|"&amp;AD$14&amp;"|"&amp;"CY2024Q3",Spectrum!$R:$R,0)),0),""))</f>
        <v/>
      </c>
      <c r="AE335" s="33">
        <f t="shared" ref="AE335:AE398" si="90">IF(OR(LEFT($B335,4)="_Mil",SUM($Z335)=0),"",ROUND(SUM($AD335)/$Z335,2))</f>
        <v>0</v>
      </c>
      <c r="AF335" s="218" t="str">
        <f>IF(LEFT($B335,4)="_Mil","",_xlfn.IFNA(ROUND(INDEX(Spectrum!$N:$N,MATCH(RIGHT($B335,13)&amp;"|"&amp;$C335&amp;"|"&amp;$D335&amp;"|"&amp;AF$14&amp;"|"&amp;"CY2024Q3",Spectrum!$R:$R,0)),0),""))</f>
        <v/>
      </c>
      <c r="AG335" s="33" t="str">
        <f t="shared" ref="AG335:AG398" si="91">IF(OR(LEFT($B335,4)="_Mil",SUM($AD335)=0),"",SUM($AF335)/$AD335)</f>
        <v/>
      </c>
      <c r="AH335" s="110" t="str">
        <f>IF(LEFT($B335,4)="_Mil","",_xlfn.IFNA(INDEX(Spectrum!$N:$N,MATCH(RIGHT($B335,13)&amp;"|"&amp;$C335&amp;"|"&amp;$D335&amp;"|"&amp;AH$14&amp;"|"&amp;"CY2024Q3",Spectrum!$R:$R,0)),""))</f>
        <v/>
      </c>
      <c r="AI335" s="218">
        <f>IF(LEFT($B335,4)="_Mil","",_xlfn.IFNA(ROUND(INDEX(Spectrum!$N:$N,MATCH(RIGHT($B335,13)&amp;"|"&amp;$C335&amp;"|"&amp;$D335&amp;"|"&amp;AI$14&amp;"|"&amp;"CY2025Q3",Spectrum!$R:$R,0)),0),""))</f>
        <v>8</v>
      </c>
      <c r="AJ335" s="38">
        <f>IF(LEFT($B335,4)="_Mil","",_xlfn.IFNA(ROUND(INDEX(Spectrum!$N:$N,MATCH(RIGHT($B335,13)&amp;"|"&amp;$C335&amp;"|"&amp;$D335&amp;"|"&amp;AJ$14&amp;"|"&amp;"CY2025Q3",Spectrum!$R:$R,0)),0),""))</f>
        <v>4812</v>
      </c>
      <c r="AK335" s="218" t="e">
        <f>#REF!</f>
        <v>#REF!</v>
      </c>
      <c r="AL335" s="33">
        <f t="shared" ref="AL335:AL398" si="92">IF(OR(LEFT($B335,4)="_Mil",$C335="&lt;01"),"",MAX(SUM($AA335),90%))</f>
        <v>0.98439424099999995</v>
      </c>
      <c r="AM335" s="38" t="e">
        <f>IF(OR(LEFT($B335,4)="_Mil",$C335="&lt;01"),"",ROUND(SUM($AK335)*SUM($AL335),0))</f>
        <v>#REF!</v>
      </c>
      <c r="AN335" s="38" t="str">
        <f>IF($C335="&lt;01",ROUND(INDEX(EID!$P:$P,MATCH($B335,EID!$B:$B,0))/2,0),"")</f>
        <v/>
      </c>
      <c r="AO335" s="38" t="e">
        <f>IF($C335="&lt;01",SUM($AN335),ROUND(SUM($AM335)*SUM($O335)/IF(SUM($Z335)=0,1,$Z335),0))</f>
        <v>#REF!</v>
      </c>
      <c r="AP335" s="218">
        <f>IF(OR($F335="",$C335="&lt;01"),$AO335,ROUND($F335,0))</f>
        <v>5591</v>
      </c>
      <c r="AQ335" s="218">
        <f>IF(LEFT($B335,4)="_Mil","",IF(SUM($AP335)=0,SUM($Z335),IF(OR(SUM($Z335)=0,SUM($O335)=0),MAX($AP335,$Z335),ROUND($AP335*$Z335/$O335,0))))</f>
        <v>5502</v>
      </c>
      <c r="AR335" s="33" t="e">
        <f>IF(OR(LEFT($B335,4)="_Mil",SUM($AK335)=0),"",SUM($AQ335)/$AK335)</f>
        <v>#REF!</v>
      </c>
      <c r="AS335" s="33">
        <v>1.02</v>
      </c>
      <c r="AT335" s="33">
        <f>IF($C335="&lt;01","",100%)</f>
        <v>1</v>
      </c>
      <c r="AU335" s="38">
        <f>IF($C335="&lt;01","",SUM($AP335)-SUM($O335))</f>
        <v>394</v>
      </c>
      <c r="AV335" s="38">
        <f>IF($C335="&lt;01",ROUND(INDEX(EID!$N:$N,MATCH($B335,EID!$B:$B,0))/2,0),IF(SUM($AT335)=0,"",ROUND((SUM($AP335)-(SUM($O335)*SUM($AS335)))/$AT335,0)))</f>
        <v>290</v>
      </c>
      <c r="AW335" s="33">
        <v>0.8</v>
      </c>
      <c r="AX335" s="218">
        <f>IF($C335="&lt;01",SUM($AV335),ROUND(SUM($AV335)*SUM($AW335),0))</f>
        <v>232</v>
      </c>
      <c r="AY335" s="79">
        <f t="shared" ref="AY335:AY398" si="93">IF($C335="&lt;01","",70%)</f>
        <v>0.7</v>
      </c>
      <c r="AZ335" s="85">
        <f>IF($C335="&lt;01",ROUND(INDEX(EID!$R:$R,MATCH($B335,EID!$B:$B,0))/2,0),ROUND(SUM($O335)+(SUM($AV335)*$AY335),0))</f>
        <v>5400</v>
      </c>
      <c r="BA335" s="40">
        <f t="shared" si="82"/>
        <v>0.9</v>
      </c>
      <c r="BB335" s="99">
        <f>IF($C335="&lt;01",ROUND(INDEX(EID!$T:$T,MATCH($B335,EID!$B:$B,0))/2,0),ROUND($AP335*$BA335,0))</f>
        <v>5032</v>
      </c>
      <c r="BC335" s="85">
        <f>IF(LEFT($B335,4)="_Mil","",IF(SUM($BB335)=0,SUM($AD335),IF(OR(SUM($AP335)=0,SUM($AQ335)=0),MAX($BB335,$AD335),ROUND($BB335*$AQ335/$AP335,0))))</f>
        <v>4952</v>
      </c>
      <c r="BD335" s="33">
        <f t="shared" ref="BD335:BD398" si="94">IF($C335="&lt;01","",95%)</f>
        <v>0.95</v>
      </c>
      <c r="BE335" s="218">
        <f>IF($C335="&lt;01",ROUND(INDEX(EID!$V:$V,MATCH($B335,EID!$B:$B,0))/2,0),ROUND($BD335*$BB335,0))</f>
        <v>4780</v>
      </c>
      <c r="BF335" s="218">
        <f>IF(LEFT($B335,4)="_Mil","",IF(SUM($BE335)=0,SUM($AF335),IF(OR(SUM($AP335)=0,SUM($AQ335)=0),MAX($BE335,$AF335),ROUND($BE335*$AQ335/$AP335,0))))</f>
        <v>4704</v>
      </c>
      <c r="BG335" s="79">
        <f t="shared" ref="BG335:BG398" si="95">IF($C335="&lt;01","",95%)</f>
        <v>0.95</v>
      </c>
      <c r="BH335" s="99">
        <f>IF($C335="&lt;01",ROUND(INDEX(EID!$L:$L,MATCH($B335,EID!$B:$B,0)),0)/2,IF(SUM($BG335)=0,"",ROUND($AX335/$BG335,0)))</f>
        <v>244</v>
      </c>
    </row>
    <row r="336" spans="1:60" x14ac:dyDescent="0.2">
      <c r="A336" t="str">
        <f>INDEX(Prioritization!$D:$D,MATCH($B336,Prioritization!$A:$A,0))</f>
        <v>4 - Sustained</v>
      </c>
      <c r="B336" t="s">
        <v>304</v>
      </c>
      <c r="C336" t="s">
        <v>478</v>
      </c>
      <c r="D336" t="s">
        <v>48</v>
      </c>
      <c r="E336" t="str">
        <f t="shared" si="86"/>
        <v>Ntcheu District [am530wpaGvr]|50+|Male</v>
      </c>
      <c r="F336" s="229">
        <v>4142</v>
      </c>
      <c r="G336" s="38">
        <v>96</v>
      </c>
      <c r="H336" s="38">
        <v>118</v>
      </c>
      <c r="I336" s="38">
        <v>3387</v>
      </c>
      <c r="J336" s="38">
        <v>2380</v>
      </c>
      <c r="K336" s="38">
        <v>2292</v>
      </c>
      <c r="L336" s="38">
        <v>331</v>
      </c>
      <c r="M336" s="38">
        <v>314</v>
      </c>
      <c r="N336" s="38">
        <v>3617</v>
      </c>
      <c r="O336" s="229">
        <v>3767</v>
      </c>
      <c r="P336" s="38">
        <v>3021</v>
      </c>
      <c r="Q336" s="38">
        <v>2870</v>
      </c>
      <c r="R336" s="38">
        <f t="shared" si="87"/>
        <v>380</v>
      </c>
      <c r="S336" s="38">
        <f>IF(LEFT($B336,4)="_Mil","",_xlfn.IFNA(ROUND(INDEX(Spectrum!$N:$N,MATCH(RIGHT($B336,13)&amp;"|"&amp;$C336&amp;"|"&amp;$D336&amp;"|"&amp;S$14&amp;"|"&amp;"CY2023Q4",Spectrum!$R:$R,0)),0),""))</f>
        <v>3488</v>
      </c>
      <c r="T336" s="218">
        <f>IF(LEFT($B336,4)="_Mil","",_xlfn.IFNA(ROUND(INDEX(Spectrum!$N:$N,MATCH(RIGHT($B336,13)&amp;"|"&amp;$C336&amp;"|"&amp;$D336&amp;"|"&amp;T$14&amp;"|"&amp;"CY2024Q3",Spectrum!$R:$R,0)),0),""))</f>
        <v>30684</v>
      </c>
      <c r="U336" s="218">
        <f>IF(LEFT($B336,4)="_Mil","",_xlfn.IFNA(ROUND(INDEX(Spectrum!$N:$N,MATCH(RIGHT($B336,13)&amp;"|"&amp;$C336&amp;"|"&amp;$D336&amp;"|"&amp;U$14&amp;"|"&amp;"CY2024Q3",Spectrum!$R:$R,0)),0),""))</f>
        <v>3414</v>
      </c>
      <c r="V336" s="38">
        <f>IF(LEFT($B336,4)="_Mil","",_xlfn.IFNA(ROUND(INDEX(Spectrum!$N:$N,MATCH(RIGHT($B336,13)&amp;"|"&amp;$C336&amp;"|"&amp;$D336&amp;"|"&amp;V$14&amp;"|"&amp;"CY2024Q3",Spectrum!$R:$R,0)),0),""))</f>
        <v>3919</v>
      </c>
      <c r="W336" s="220">
        <f>IF(LEFT($B336,4)="_Mil","",_xlfn.IFNA(INDEX(Spectrum!$N:$N,MATCH(RIGHT($B336,13)&amp;"|"&amp;$C336&amp;"|"&amp;$D336&amp;"|"&amp;W$14&amp;"|"&amp;"CY2024Q3",Spectrum!$R:$R,0)),""))</f>
        <v>0.11127217</v>
      </c>
      <c r="X336" s="218">
        <f>IF(LEFT($B336,4)="_Mil","",_xlfn.IFNA(ROUND(INDEX(Spectrum!$N:$N,MATCH(RIGHT($B336,13)&amp;"|"&amp;$C336&amp;"|"&amp;$D336&amp;"|"&amp;X$14&amp;"|"&amp;"CY2024Q3",Spectrum!$R:$R,0)),0),""))</f>
        <v>3193</v>
      </c>
      <c r="Y336" s="33">
        <f t="shared" si="88"/>
        <v>0.94</v>
      </c>
      <c r="Z336" s="218">
        <f>IF(LEFT($B336,4)="_Mil","",_xlfn.IFNA(ROUND(INDEX(Spectrum!$N:$N,MATCH(RIGHT($B336,13)&amp;"|"&amp;$C336&amp;"|"&amp;$D336&amp;"|"&amp;Z$14&amp;"|"&amp;"CY2024Q3",Spectrum!$R:$R,0)),0),""))</f>
        <v>3698</v>
      </c>
      <c r="AA336" s="33">
        <f>IF(LEFT($B336,4)="_Mil","",IFERROR(1/(1/INDEX(Spectrum!$N:$N,MATCH(RIGHT($B336,13)&amp;"|"&amp;$C336&amp;"|"&amp;$D336&amp;"|"&amp;AA$14&amp;"|"&amp;"CY2024Q3",Spectrum!$R:$R,0))),IF(SUM($U336)=0,"",SUM($Z336)/$U336)))</f>
        <v>0.93104606199999995</v>
      </c>
      <c r="AB336" s="33">
        <f t="shared" si="89"/>
        <v>1.1581584716567492</v>
      </c>
      <c r="AC336" s="38">
        <f>IF(LEFT($B336,4)="_Mil","",_xlfn.IFNA(ROUND(INDEX(Spectrum!$N:$N,MATCH(RIGHT($B336,13)&amp;"|"&amp;$C336&amp;"|"&amp;$D336&amp;"|"&amp;AC$14&amp;"|"&amp;"CY2024Q3",Spectrum!$R:$R,0)),0),""))</f>
        <v>221</v>
      </c>
      <c r="AD336" s="38" t="str">
        <f>IF(LEFT($B336,4)="_Mil","",_xlfn.IFNA(ROUND(INDEX(Spectrum!$N:$N,MATCH(RIGHT($B336,13)&amp;"|"&amp;$C336&amp;"|"&amp;$D336&amp;"|"&amp;AD$14&amp;"|"&amp;"CY2024Q3",Spectrum!$R:$R,0)),0),""))</f>
        <v/>
      </c>
      <c r="AE336" s="33">
        <f t="shared" si="90"/>
        <v>0</v>
      </c>
      <c r="AF336" s="218" t="str">
        <f>IF(LEFT($B336,4)="_Mil","",_xlfn.IFNA(ROUND(INDEX(Spectrum!$N:$N,MATCH(RIGHT($B336,13)&amp;"|"&amp;$C336&amp;"|"&amp;$D336&amp;"|"&amp;AF$14&amp;"|"&amp;"CY2024Q3",Spectrum!$R:$R,0)),0),""))</f>
        <v/>
      </c>
      <c r="AG336" s="33" t="str">
        <f t="shared" si="91"/>
        <v/>
      </c>
      <c r="AH336" s="110" t="str">
        <f>IF(LEFT($B336,4)="_Mil","",_xlfn.IFNA(INDEX(Spectrum!$N:$N,MATCH(RIGHT($B336,13)&amp;"|"&amp;$C336&amp;"|"&amp;$D336&amp;"|"&amp;AH$14&amp;"|"&amp;"CY2024Q3",Spectrum!$R:$R,0)),""))</f>
        <v/>
      </c>
      <c r="AI336" s="218">
        <f>IF(LEFT($B336,4)="_Mil","",_xlfn.IFNA(ROUND(INDEX(Spectrum!$N:$N,MATCH(RIGHT($B336,13)&amp;"|"&amp;$C336&amp;"|"&amp;$D336&amp;"|"&amp;AI$14&amp;"|"&amp;"CY2025Q3",Spectrum!$R:$R,0)),0),""))</f>
        <v>14</v>
      </c>
      <c r="AJ336" s="38">
        <f>IF(LEFT($B336,4)="_Mil","",_xlfn.IFNA(ROUND(INDEX(Spectrum!$N:$N,MATCH(RIGHT($B336,13)&amp;"|"&amp;$C336&amp;"|"&amp;$D336&amp;"|"&amp;AJ$14&amp;"|"&amp;"CY2025Q3",Spectrum!$R:$R,0)),0),""))</f>
        <v>3611</v>
      </c>
      <c r="AK336" s="218" t="e">
        <f>#REF!</f>
        <v>#REF!</v>
      </c>
      <c r="AL336" s="33">
        <f t="shared" si="92"/>
        <v>0.93104606199999995</v>
      </c>
      <c r="AM336" s="38" t="e">
        <f>IF(OR(LEFT($B336,4)="_Mil",$C336="&lt;01"),"",ROUND(SUM($AK336)*SUM($AL336),0))</f>
        <v>#REF!</v>
      </c>
      <c r="AN336" s="38" t="str">
        <f>IF($C336="&lt;01",ROUND(INDEX(EID!$P:$P,MATCH($B336,EID!$B:$B,0))/2,0),"")</f>
        <v/>
      </c>
      <c r="AO336" s="38" t="e">
        <f>IF($C336="&lt;01",SUM($AN336),ROUND(SUM($AM336)*SUM($O336)/IF(SUM($Z336)=0,1,$Z336),0))</f>
        <v>#REF!</v>
      </c>
      <c r="AP336" s="218">
        <f>IF(OR($F336="",$C336="&lt;01"),$AO336,ROUND($F336,0))</f>
        <v>4142</v>
      </c>
      <c r="AQ336" s="218">
        <f>IF(LEFT($B336,4)="_Mil","",IF(SUM($AP336)=0,SUM($Z336),IF(OR(SUM($Z336)=0,SUM($O336)=0),MAX($AP336,$Z336),ROUND($AP336*$Z336/$O336,0))))</f>
        <v>4066</v>
      </c>
      <c r="AR336" s="33" t="e">
        <f>IF(OR(LEFT($B336,4)="_Mil",SUM($AK336)=0),"",SUM($AQ336)/$AK336)</f>
        <v>#REF!</v>
      </c>
      <c r="AS336" s="33">
        <v>1.02</v>
      </c>
      <c r="AT336" s="33">
        <f>IF($C336="&lt;01","",100%)</f>
        <v>1</v>
      </c>
      <c r="AU336" s="38">
        <f>IF($C336="&lt;01","",SUM($AP336)-SUM($O336))</f>
        <v>375</v>
      </c>
      <c r="AV336" s="38">
        <f>IF($C336="&lt;01",ROUND(INDEX(EID!$N:$N,MATCH($B336,EID!$B:$B,0))/2,0),IF(SUM($AT336)=0,"",ROUND((SUM($AP336)-(SUM($O336)*SUM($AS336)))/$AT336,0)))</f>
        <v>300</v>
      </c>
      <c r="AW336" s="33">
        <v>0.8</v>
      </c>
      <c r="AX336" s="218">
        <f>IF($C336="&lt;01",SUM($AV336),ROUND(SUM($AV336)*SUM($AW336),0))</f>
        <v>240</v>
      </c>
      <c r="AY336" s="79">
        <f t="shared" si="93"/>
        <v>0.7</v>
      </c>
      <c r="AZ336" s="85">
        <f>IF($C336="&lt;01",ROUND(INDEX(EID!$R:$R,MATCH($B336,EID!$B:$B,0))/2,0),ROUND(SUM($O336)+(SUM($AV336)*$AY336),0))</f>
        <v>3977</v>
      </c>
      <c r="BA336" s="40">
        <f t="shared" si="82"/>
        <v>0.9</v>
      </c>
      <c r="BB336" s="99">
        <f>IF($C336="&lt;01",ROUND(INDEX(EID!$T:$T,MATCH($B336,EID!$B:$B,0))/2,0),ROUND($AP336*$BA336,0))</f>
        <v>3728</v>
      </c>
      <c r="BC336" s="85">
        <f>IF(LEFT($B336,4)="_Mil","",IF(SUM($BB336)=0,SUM($AD336),IF(OR(SUM($AP336)=0,SUM($AQ336)=0),MAX($BB336,$AD336),ROUND($BB336*$AQ336/$AP336,0))))</f>
        <v>3660</v>
      </c>
      <c r="BD336" s="33">
        <f t="shared" si="94"/>
        <v>0.95</v>
      </c>
      <c r="BE336" s="218">
        <f>IF($C336="&lt;01",ROUND(INDEX(EID!$V:$V,MATCH($B336,EID!$B:$B,0))/2,0),ROUND($BD336*$BB336,0))</f>
        <v>3542</v>
      </c>
      <c r="BF336" s="218">
        <f>IF(LEFT($B336,4)="_Mil","",IF(SUM($BE336)=0,SUM($AF336),IF(OR(SUM($AP336)=0,SUM($AQ336)=0),MAX($BE336,$AF336),ROUND($BE336*$AQ336/$AP336,0))))</f>
        <v>3477</v>
      </c>
      <c r="BG336" s="79">
        <f t="shared" si="95"/>
        <v>0.95</v>
      </c>
      <c r="BH336" s="99">
        <f>IF($C336="&lt;01",ROUND(INDEX(EID!$L:$L,MATCH($B336,EID!$B:$B,0)),0)/2,IF(SUM($BG336)=0,"",ROUND($AX336/$BG336,0)))</f>
        <v>253</v>
      </c>
    </row>
    <row r="337" spans="1:60" x14ac:dyDescent="0.2">
      <c r="A337" t="str">
        <f>INDEX(Prioritization!$D:$D,MATCH($B337,Prioritization!$A:$A,0))</f>
        <v>4 - Sustained</v>
      </c>
      <c r="B337" t="s">
        <v>305</v>
      </c>
      <c r="C337" t="s">
        <v>426</v>
      </c>
      <c r="D337" t="s">
        <v>30</v>
      </c>
      <c r="E337" t="str">
        <f t="shared" si="86"/>
        <v>Ntchisi District [fiRkU6gEjLz]|&lt;01|Female</v>
      </c>
      <c r="F337" s="229">
        <v>2</v>
      </c>
      <c r="G337" s="38">
        <v>17</v>
      </c>
      <c r="H337" s="38">
        <v>2</v>
      </c>
      <c r="I337" s="38">
        <v>2</v>
      </c>
      <c r="J337" s="38">
        <v>14</v>
      </c>
      <c r="K337" s="38">
        <v>13</v>
      </c>
      <c r="L337" s="38"/>
      <c r="M337" s="38">
        <v>3</v>
      </c>
      <c r="N337" s="38">
        <v>3</v>
      </c>
      <c r="O337" s="229">
        <v>2</v>
      </c>
      <c r="P337" s="38">
        <v>2</v>
      </c>
      <c r="Q337" s="38">
        <v>2</v>
      </c>
      <c r="R337" s="38">
        <f t="shared" si="87"/>
        <v>0</v>
      </c>
      <c r="S337" s="38">
        <f>IF(LEFT($B337,4)="_Mil","",_xlfn.IFNA(ROUND(INDEX(Spectrum!$N:$N,MATCH(RIGHT($B337,13)&amp;"|"&amp;$C337&amp;"|"&amp;$D337&amp;"|"&amp;S$14&amp;"|"&amp;"CY2023Q4",Spectrum!$R:$R,0)),0),""))</f>
        <v>2</v>
      </c>
      <c r="T337" s="218">
        <f>IF(LEFT($B337,4)="_Mil","",_xlfn.IFNA(ROUND(INDEX(Spectrum!$N:$N,MATCH(RIGHT($B337,13)&amp;"|"&amp;$C337&amp;"|"&amp;$D337&amp;"|"&amp;T$14&amp;"|"&amp;"CY2024Q3",Spectrum!$R:$R,0)),0),""))</f>
        <v>6096</v>
      </c>
      <c r="U337" s="218">
        <f>IF(LEFT($B337,4)="_Mil","",_xlfn.IFNA(ROUND(INDEX(Spectrum!$N:$N,MATCH(RIGHT($B337,13)&amp;"|"&amp;$C337&amp;"|"&amp;$D337&amp;"|"&amp;U$14&amp;"|"&amp;"CY2024Q3",Spectrum!$R:$R,0)),0),""))</f>
        <v>3</v>
      </c>
      <c r="V337" s="38">
        <f>IF(LEFT($B337,4)="_Mil","",_xlfn.IFNA(ROUND(INDEX(Spectrum!$N:$N,MATCH(RIGHT($B337,13)&amp;"|"&amp;$C337&amp;"|"&amp;$D337&amp;"|"&amp;V$14&amp;"|"&amp;"CY2024Q3",Spectrum!$R:$R,0)),0),""))</f>
        <v>3</v>
      </c>
      <c r="W337" s="220">
        <f>IF(LEFT($B337,4)="_Mil","",_xlfn.IFNA(INDEX(Spectrum!$N:$N,MATCH(RIGHT($B337,13)&amp;"|"&amp;$C337&amp;"|"&amp;$D337&amp;"|"&amp;W$14&amp;"|"&amp;"CY2024Q3",Spectrum!$R:$R,0)),""))</f>
        <v>4.39975E-4</v>
      </c>
      <c r="X337" s="218">
        <f>IF(LEFT($B337,4)="_Mil","",_xlfn.IFNA(ROUND(INDEX(Spectrum!$N:$N,MATCH(RIGHT($B337,13)&amp;"|"&amp;$C337&amp;"|"&amp;$D337&amp;"|"&amp;X$14&amp;"|"&amp;"CY2024Q3",Spectrum!$R:$R,0)),0),""))</f>
        <v>2</v>
      </c>
      <c r="Y337" s="33">
        <f t="shared" si="88"/>
        <v>0.67</v>
      </c>
      <c r="Z337" s="218">
        <f>IF(LEFT($B337,4)="_Mil","",_xlfn.IFNA(ROUND(INDEX(Spectrum!$N:$N,MATCH(RIGHT($B337,13)&amp;"|"&amp;$C337&amp;"|"&amp;$D337&amp;"|"&amp;Z$14&amp;"|"&amp;"CY2024Q3",Spectrum!$R:$R,0)),0),""))</f>
        <v>2</v>
      </c>
      <c r="AA337" s="33">
        <f>IF(LEFT($B337,4)="_Mil","",IFERROR(1/(1/INDEX(Spectrum!$N:$N,MATCH(RIGHT($B337,13)&amp;"|"&amp;$C337&amp;"|"&amp;$D337&amp;"|"&amp;AA$14&amp;"|"&amp;"CY2024Q3",Spectrum!$R:$R,0))),IF(SUM($U337)=0,"",SUM($Z337)/$U337)))</f>
        <v>0.65624877000000004</v>
      </c>
      <c r="AB337" s="33">
        <f t="shared" si="89"/>
        <v>1</v>
      </c>
      <c r="AC337" s="38">
        <f>IF(LEFT($B337,4)="_Mil","",_xlfn.IFNA(ROUND(INDEX(Spectrum!$N:$N,MATCH(RIGHT($B337,13)&amp;"|"&amp;$C337&amp;"|"&amp;$D337&amp;"|"&amp;AC$14&amp;"|"&amp;"CY2024Q3",Spectrum!$R:$R,0)),0),""))</f>
        <v>1</v>
      </c>
      <c r="AD337" s="38" t="str">
        <f>IF(LEFT($B337,4)="_Mil","",_xlfn.IFNA(ROUND(INDEX(Spectrum!$N:$N,MATCH(RIGHT($B337,13)&amp;"|"&amp;$C337&amp;"|"&amp;$D337&amp;"|"&amp;AD$14&amp;"|"&amp;"CY2024Q3",Spectrum!$R:$R,0)),0),""))</f>
        <v/>
      </c>
      <c r="AE337" s="33">
        <f t="shared" si="90"/>
        <v>0</v>
      </c>
      <c r="AF337" s="218" t="str">
        <f>IF(LEFT($B337,4)="_Mil","",_xlfn.IFNA(ROUND(INDEX(Spectrum!$N:$N,MATCH(RIGHT($B337,13)&amp;"|"&amp;$C337&amp;"|"&amp;$D337&amp;"|"&amp;AF$14&amp;"|"&amp;"CY2024Q3",Spectrum!$R:$R,0)),0),""))</f>
        <v/>
      </c>
      <c r="AG337" s="33" t="str">
        <f t="shared" si="91"/>
        <v/>
      </c>
      <c r="AH337" s="110" t="str">
        <f>IF(LEFT($B337,4)="_Mil","",_xlfn.IFNA(INDEX(Spectrum!$N:$N,MATCH(RIGHT($B337,13)&amp;"|"&amp;$C337&amp;"|"&amp;$D337&amp;"|"&amp;AH$14&amp;"|"&amp;"CY2024Q3",Spectrum!$R:$R,0)),""))</f>
        <v/>
      </c>
      <c r="AI337" s="218">
        <f>IF(LEFT($B337,4)="_Mil","",_xlfn.IFNA(ROUND(INDEX(Spectrum!$N:$N,MATCH(RIGHT($B337,13)&amp;"|"&amp;$C337&amp;"|"&amp;$D337&amp;"|"&amp;AI$14&amp;"|"&amp;"CY2025Q3",Spectrum!$R:$R,0)),0),""))</f>
        <v>3</v>
      </c>
      <c r="AJ337" s="38">
        <f>IF(LEFT($B337,4)="_Mil","",_xlfn.IFNA(ROUND(INDEX(Spectrum!$N:$N,MATCH(RIGHT($B337,13)&amp;"|"&amp;$C337&amp;"|"&amp;$D337&amp;"|"&amp;AJ$14&amp;"|"&amp;"CY2025Q3",Spectrum!$R:$R,0)),0),""))</f>
        <v>2</v>
      </c>
      <c r="AK337" s="218" t="e">
        <f>#REF!</f>
        <v>#REF!</v>
      </c>
      <c r="AL337" s="33" t="str">
        <f t="shared" si="92"/>
        <v/>
      </c>
      <c r="AM337" s="38" t="str">
        <f>IF(OR(LEFT($B337,4)="_Mil",$C337="&lt;01"),"",ROUND(SUM($AK337)*SUM($AL337),0))</f>
        <v/>
      </c>
      <c r="AN337" s="38">
        <f>IF($C337="&lt;01",ROUND(INDEX(EID!$P:$P,MATCH($B337,EID!$B:$B,0))/2,0),"")</f>
        <v>2</v>
      </c>
      <c r="AO337" s="38">
        <f>IF($C337="&lt;01",SUM($AN337),ROUND(SUM($AM337)*SUM($O337)/IF(SUM($Z337)=0,1,$Z337),0))</f>
        <v>2</v>
      </c>
      <c r="AP337" s="218">
        <f>IF(OR($F337="",$C337="&lt;01"),$AO337,ROUND($F337,0))</f>
        <v>2</v>
      </c>
      <c r="AQ337" s="218">
        <f>IF(LEFT($B337,4)="_Mil","",IF(SUM($AP337)=0,SUM($Z337),IF(OR(SUM($Z337)=0,SUM($O337)=0),MAX($AP337,$Z337),ROUND($AP337*$Z337/$O337,0))))</f>
        <v>2</v>
      </c>
      <c r="AR337" s="33" t="e">
        <f>IF(OR(LEFT($B337,4)="_Mil",SUM($AK337)=0),"",SUM($AQ337)/$AK337)</f>
        <v>#REF!</v>
      </c>
      <c r="AS337" s="33" t="str">
        <f t="shared" si="85"/>
        <v/>
      </c>
      <c r="AT337" s="33" t="str">
        <f t="shared" si="83"/>
        <v/>
      </c>
      <c r="AU337" s="38" t="str">
        <f>IF($C337="&lt;01","",SUM($AP337)-SUM($O337))</f>
        <v/>
      </c>
      <c r="AV337" s="38">
        <f>IF($C337="&lt;01",ROUND(INDEX(EID!$N:$N,MATCH($B337,EID!$B:$B,0))/2,0),IF(SUM($AT337)=0,"",ROUND((SUM($AP337)-(SUM($O337)*SUM($AS337)))/$AT337,0)))</f>
        <v>2</v>
      </c>
      <c r="AW337" s="33" t="str">
        <f t="shared" ref="AW337:AW398" si="96">IF($C337="&lt;01","",100%)</f>
        <v/>
      </c>
      <c r="AX337" s="218">
        <f>IF($C337="&lt;01",SUM($AV337),ROUND(SUM($AV337)*SUM($AW337),0))</f>
        <v>2</v>
      </c>
      <c r="AY337" s="79" t="str">
        <f t="shared" si="93"/>
        <v/>
      </c>
      <c r="AZ337" s="85">
        <f>IF($C337="&lt;01",ROUND(INDEX(EID!$R:$R,MATCH($B337,EID!$B:$B,0))/2,0),ROUND(SUM($O337)+(SUM($AV337)*$AY337),0))</f>
        <v>1</v>
      </c>
      <c r="BA337" s="40" t="str">
        <f t="shared" si="82"/>
        <v/>
      </c>
      <c r="BB337" s="99">
        <f>IF($C337="&lt;01",ROUND(INDEX(EID!$T:$T,MATCH($B337,EID!$B:$B,0))/2,0),ROUND($AP337*$BA337,0))</f>
        <v>1</v>
      </c>
      <c r="BC337" s="85">
        <f>IF(LEFT($B337,4)="_Mil","",IF(SUM($BB337)=0,SUM($AD337),IF(OR(SUM($AP337)=0,SUM($AQ337)=0),MAX($BB337,$AD337),ROUND($BB337*$AQ337/$AP337,0))))</f>
        <v>1</v>
      </c>
      <c r="BD337" s="33" t="str">
        <f t="shared" si="94"/>
        <v/>
      </c>
      <c r="BE337" s="218">
        <f>IF($C337="&lt;01",ROUND(INDEX(EID!$V:$V,MATCH($B337,EID!$B:$B,0))/2,0),ROUND($BD337*$BB337,0))</f>
        <v>1</v>
      </c>
      <c r="BF337" s="218">
        <f>IF(LEFT($B337,4)="_Mil","",IF(SUM($BE337)=0,SUM($AF337),IF(OR(SUM($AP337)=0,SUM($AQ337)=0),MAX($BE337,$AF337),ROUND($BE337*$AQ337/$AP337,0))))</f>
        <v>1</v>
      </c>
      <c r="BG337" s="79" t="str">
        <f t="shared" si="95"/>
        <v/>
      </c>
      <c r="BH337" s="99">
        <f>IF($C337="&lt;01",ROUND(INDEX(EID!$L:$L,MATCH($B337,EID!$B:$B,0)),0)/2,IF(SUM($BG337)=0,"",ROUND($AX337/$BG337,0)))</f>
        <v>1.5</v>
      </c>
    </row>
    <row r="338" spans="1:60" x14ac:dyDescent="0.2">
      <c r="A338" t="str">
        <f>INDEX(Prioritization!$D:$D,MATCH($B338,Prioritization!$A:$A,0))</f>
        <v>4 - Sustained</v>
      </c>
      <c r="B338" t="s">
        <v>305</v>
      </c>
      <c r="C338" t="s">
        <v>426</v>
      </c>
      <c r="D338" t="s">
        <v>48</v>
      </c>
      <c r="E338" t="str">
        <f t="shared" si="86"/>
        <v>Ntchisi District [fiRkU6gEjLz]|&lt;01|Male</v>
      </c>
      <c r="F338" s="229">
        <v>3</v>
      </c>
      <c r="G338" s="38">
        <v>11</v>
      </c>
      <c r="H338" s="38">
        <v>4</v>
      </c>
      <c r="I338" s="38">
        <v>5</v>
      </c>
      <c r="J338" s="38">
        <v>6</v>
      </c>
      <c r="K338" s="38">
        <v>6</v>
      </c>
      <c r="L338" s="38"/>
      <c r="M338" s="38">
        <v>3</v>
      </c>
      <c r="N338" s="38">
        <v>3</v>
      </c>
      <c r="O338" s="229">
        <v>3</v>
      </c>
      <c r="P338" s="38">
        <v>2</v>
      </c>
      <c r="Q338" s="38">
        <v>2</v>
      </c>
      <c r="R338" s="38">
        <f t="shared" si="87"/>
        <v>-2</v>
      </c>
      <c r="S338" s="38">
        <f>IF(LEFT($B338,4)="_Mil","",_xlfn.IFNA(ROUND(INDEX(Spectrum!$N:$N,MATCH(RIGHT($B338,13)&amp;"|"&amp;$C338&amp;"|"&amp;$D338&amp;"|"&amp;S$14&amp;"|"&amp;"CY2023Q4",Spectrum!$R:$R,0)),0),""))</f>
        <v>2</v>
      </c>
      <c r="T338" s="218">
        <f>IF(LEFT($B338,4)="_Mil","",_xlfn.IFNA(ROUND(INDEX(Spectrum!$N:$N,MATCH(RIGHT($B338,13)&amp;"|"&amp;$C338&amp;"|"&amp;$D338&amp;"|"&amp;T$14&amp;"|"&amp;"CY2024Q3",Spectrum!$R:$R,0)),0),""))</f>
        <v>6109</v>
      </c>
      <c r="U338" s="218">
        <f>IF(LEFT($B338,4)="_Mil","",_xlfn.IFNA(ROUND(INDEX(Spectrum!$N:$N,MATCH(RIGHT($B338,13)&amp;"|"&amp;$C338&amp;"|"&amp;$D338&amp;"|"&amp;U$14&amp;"|"&amp;"CY2024Q3",Spectrum!$R:$R,0)),0),""))</f>
        <v>3</v>
      </c>
      <c r="V338" s="38">
        <f>IF(LEFT($B338,4)="_Mil","",_xlfn.IFNA(ROUND(INDEX(Spectrum!$N:$N,MATCH(RIGHT($B338,13)&amp;"|"&amp;$C338&amp;"|"&amp;$D338&amp;"|"&amp;V$14&amp;"|"&amp;"CY2024Q3",Spectrum!$R:$R,0)),0),""))</f>
        <v>3</v>
      </c>
      <c r="W338" s="220">
        <f>IF(LEFT($B338,4)="_Mil","",_xlfn.IFNA(INDEX(Spectrum!$N:$N,MATCH(RIGHT($B338,13)&amp;"|"&amp;$C338&amp;"|"&amp;$D338&amp;"|"&amp;W$14&amp;"|"&amp;"CY2024Q3",Spectrum!$R:$R,0)),""))</f>
        <v>4.4318100000000001E-4</v>
      </c>
      <c r="X338" s="218">
        <f>IF(LEFT($B338,4)="_Mil","",_xlfn.IFNA(ROUND(INDEX(Spectrum!$N:$N,MATCH(RIGHT($B338,13)&amp;"|"&amp;$C338&amp;"|"&amp;$D338&amp;"|"&amp;X$14&amp;"|"&amp;"CY2024Q3",Spectrum!$R:$R,0)),0),""))</f>
        <v>2</v>
      </c>
      <c r="Y338" s="33">
        <f t="shared" si="88"/>
        <v>0.67</v>
      </c>
      <c r="Z338" s="218">
        <f>IF(LEFT($B338,4)="_Mil","",_xlfn.IFNA(ROUND(INDEX(Spectrum!$N:$N,MATCH(RIGHT($B338,13)&amp;"|"&amp;$C338&amp;"|"&amp;$D338&amp;"|"&amp;Z$14&amp;"|"&amp;"CY2024Q3",Spectrum!$R:$R,0)),0),""))</f>
        <v>2</v>
      </c>
      <c r="AA338" s="33">
        <f>IF(LEFT($B338,4)="_Mil","",IFERROR(1/(1/INDEX(Spectrum!$N:$N,MATCH(RIGHT($B338,13)&amp;"|"&amp;$C338&amp;"|"&amp;$D338&amp;"|"&amp;AA$14&amp;"|"&amp;"CY2024Q3",Spectrum!$R:$R,0))),IF(SUM($U338)=0,"",SUM($Z338)/$U338)))</f>
        <v>0.65584712700000003</v>
      </c>
      <c r="AB338" s="33">
        <f t="shared" si="89"/>
        <v>1</v>
      </c>
      <c r="AC338" s="38">
        <f>IF(LEFT($B338,4)="_Mil","",_xlfn.IFNA(ROUND(INDEX(Spectrum!$N:$N,MATCH(RIGHT($B338,13)&amp;"|"&amp;$C338&amp;"|"&amp;$D338&amp;"|"&amp;AC$14&amp;"|"&amp;"CY2024Q3",Spectrum!$R:$R,0)),0),""))</f>
        <v>1</v>
      </c>
      <c r="AD338" s="38" t="str">
        <f>IF(LEFT($B338,4)="_Mil","",_xlfn.IFNA(ROUND(INDEX(Spectrum!$N:$N,MATCH(RIGHT($B338,13)&amp;"|"&amp;$C338&amp;"|"&amp;$D338&amp;"|"&amp;AD$14&amp;"|"&amp;"CY2024Q3",Spectrum!$R:$R,0)),0),""))</f>
        <v/>
      </c>
      <c r="AE338" s="33">
        <f t="shared" si="90"/>
        <v>0</v>
      </c>
      <c r="AF338" s="218" t="str">
        <f>IF(LEFT($B338,4)="_Mil","",_xlfn.IFNA(ROUND(INDEX(Spectrum!$N:$N,MATCH(RIGHT($B338,13)&amp;"|"&amp;$C338&amp;"|"&amp;$D338&amp;"|"&amp;AF$14&amp;"|"&amp;"CY2024Q3",Spectrum!$R:$R,0)),0),""))</f>
        <v/>
      </c>
      <c r="AG338" s="33" t="str">
        <f t="shared" si="91"/>
        <v/>
      </c>
      <c r="AH338" s="110" t="str">
        <f>IF(LEFT($B338,4)="_Mil","",_xlfn.IFNA(INDEX(Spectrum!$N:$N,MATCH(RIGHT($B338,13)&amp;"|"&amp;$C338&amp;"|"&amp;$D338&amp;"|"&amp;AH$14&amp;"|"&amp;"CY2024Q3",Spectrum!$R:$R,0)),""))</f>
        <v/>
      </c>
      <c r="AI338" s="218">
        <f>IF(LEFT($B338,4)="_Mil","",_xlfn.IFNA(ROUND(INDEX(Spectrum!$N:$N,MATCH(RIGHT($B338,13)&amp;"|"&amp;$C338&amp;"|"&amp;$D338&amp;"|"&amp;AI$14&amp;"|"&amp;"CY2025Q3",Spectrum!$R:$R,0)),0),""))</f>
        <v>3</v>
      </c>
      <c r="AJ338" s="38">
        <f>IF(LEFT($B338,4)="_Mil","",_xlfn.IFNA(ROUND(INDEX(Spectrum!$N:$N,MATCH(RIGHT($B338,13)&amp;"|"&amp;$C338&amp;"|"&amp;$D338&amp;"|"&amp;AJ$14&amp;"|"&amp;"CY2025Q3",Spectrum!$R:$R,0)),0),""))</f>
        <v>2</v>
      </c>
      <c r="AK338" s="218" t="e">
        <f>#REF!</f>
        <v>#REF!</v>
      </c>
      <c r="AL338" s="33" t="str">
        <f t="shared" si="92"/>
        <v/>
      </c>
      <c r="AM338" s="38" t="str">
        <f>IF(OR(LEFT($B338,4)="_Mil",$C338="&lt;01"),"",ROUND(SUM($AK338)*SUM($AL338),0))</f>
        <v/>
      </c>
      <c r="AN338" s="38">
        <f>IF($C338="&lt;01",ROUND(INDEX(EID!$P:$P,MATCH($B338,EID!$B:$B,0))/2,0),"")</f>
        <v>2</v>
      </c>
      <c r="AO338" s="38">
        <f>IF($C338="&lt;01",SUM($AN338),ROUND(SUM($AM338)*SUM($O338)/IF(SUM($Z338)=0,1,$Z338),0))</f>
        <v>2</v>
      </c>
      <c r="AP338" s="218">
        <f>IF(OR($F338="",$C338="&lt;01"),$AO338,ROUND($F338,0))</f>
        <v>2</v>
      </c>
      <c r="AQ338" s="218">
        <f>IF(LEFT($B338,4)="_Mil","",IF(SUM($AP338)=0,SUM($Z338),IF(OR(SUM($Z338)=0,SUM($O338)=0),MAX($AP338,$Z338),ROUND($AP338*$Z338/$O338,0))))</f>
        <v>1</v>
      </c>
      <c r="AR338" s="33" t="e">
        <f>IF(OR(LEFT($B338,4)="_Mil",SUM($AK338)=0),"",SUM($AQ338)/$AK338)</f>
        <v>#REF!</v>
      </c>
      <c r="AS338" s="33" t="str">
        <f t="shared" si="85"/>
        <v/>
      </c>
      <c r="AT338" s="33" t="str">
        <f t="shared" si="83"/>
        <v/>
      </c>
      <c r="AU338" s="38" t="str">
        <f>IF($C338="&lt;01","",SUM($AP338)-SUM($O338))</f>
        <v/>
      </c>
      <c r="AV338" s="38">
        <f>IF($C338="&lt;01",ROUND(INDEX(EID!$N:$N,MATCH($B338,EID!$B:$B,0))/2,0),IF(SUM($AT338)=0,"",ROUND((SUM($AP338)-(SUM($O338)*SUM($AS338)))/$AT338,0)))</f>
        <v>2</v>
      </c>
      <c r="AW338" s="33" t="str">
        <f t="shared" si="96"/>
        <v/>
      </c>
      <c r="AX338" s="218">
        <f>IF($C338="&lt;01",SUM($AV338),ROUND(SUM($AV338)*SUM($AW338),0))</f>
        <v>2</v>
      </c>
      <c r="AY338" s="79" t="str">
        <f t="shared" si="93"/>
        <v/>
      </c>
      <c r="AZ338" s="85">
        <f>IF($C338="&lt;01",ROUND(INDEX(EID!$R:$R,MATCH($B338,EID!$B:$B,0))/2,0),ROUND(SUM($O338)+(SUM($AV338)*$AY338),0))</f>
        <v>1</v>
      </c>
      <c r="BA338" s="40" t="str">
        <f t="shared" si="82"/>
        <v/>
      </c>
      <c r="BB338" s="99">
        <f>IF($C338="&lt;01",ROUND(INDEX(EID!$T:$T,MATCH($B338,EID!$B:$B,0))/2,0),ROUND($AP338*$BA338,0))</f>
        <v>1</v>
      </c>
      <c r="BC338" s="85">
        <f>IF(LEFT($B338,4)="_Mil","",IF(SUM($BB338)=0,SUM($AD338),IF(OR(SUM($AP338)=0,SUM($AQ338)=0),MAX($BB338,$AD338),ROUND($BB338*$AQ338/$AP338,0))))</f>
        <v>1</v>
      </c>
      <c r="BD338" s="33" t="str">
        <f t="shared" si="94"/>
        <v/>
      </c>
      <c r="BE338" s="218">
        <f>IF($C338="&lt;01",ROUND(INDEX(EID!$V:$V,MATCH($B338,EID!$B:$B,0))/2,0),ROUND($BD338*$BB338,0))</f>
        <v>1</v>
      </c>
      <c r="BF338" s="218">
        <f>IF(LEFT($B338,4)="_Mil","",IF(SUM($BE338)=0,SUM($AF338),IF(OR(SUM($AP338)=0,SUM($AQ338)=0),MAX($BE338,$AF338),ROUND($BE338*$AQ338/$AP338,0))))</f>
        <v>1</v>
      </c>
      <c r="BG338" s="79" t="str">
        <f t="shared" si="95"/>
        <v/>
      </c>
      <c r="BH338" s="99">
        <f>IF($C338="&lt;01",ROUND(INDEX(EID!$L:$L,MATCH($B338,EID!$B:$B,0)),0)/2,IF(SUM($BG338)=0,"",ROUND($AX338/$BG338,0)))</f>
        <v>1.5</v>
      </c>
    </row>
    <row r="339" spans="1:60" x14ac:dyDescent="0.2">
      <c r="A339" t="str">
        <f>INDEX(Prioritization!$D:$D,MATCH($B339,Prioritization!$A:$A,0))</f>
        <v>4 - Sustained</v>
      </c>
      <c r="B339" t="s">
        <v>305</v>
      </c>
      <c r="C339" t="s">
        <v>473</v>
      </c>
      <c r="D339" t="s">
        <v>30</v>
      </c>
      <c r="E339" t="str">
        <f t="shared" si="86"/>
        <v>Ntchisi District [fiRkU6gEjLz]|01-09|Female</v>
      </c>
      <c r="F339" s="229">
        <v>47</v>
      </c>
      <c r="G339" s="38">
        <v>24</v>
      </c>
      <c r="H339" s="38">
        <v>3</v>
      </c>
      <c r="I339" s="38">
        <v>47</v>
      </c>
      <c r="J339" s="38">
        <v>36</v>
      </c>
      <c r="K339" s="38">
        <v>27</v>
      </c>
      <c r="L339" s="38">
        <v>2</v>
      </c>
      <c r="M339" s="38">
        <v>2</v>
      </c>
      <c r="N339" s="38">
        <v>45</v>
      </c>
      <c r="O339" s="229">
        <v>47</v>
      </c>
      <c r="P339" s="38">
        <v>40</v>
      </c>
      <c r="Q339" s="38">
        <v>38</v>
      </c>
      <c r="R339" s="38">
        <f t="shared" si="87"/>
        <v>0</v>
      </c>
      <c r="S339" s="38">
        <f>IF(LEFT($B339,4)="_Mil","",_xlfn.IFNA(ROUND(INDEX(Spectrum!$N:$N,MATCH(RIGHT($B339,13)&amp;"|"&amp;$C339&amp;"|"&amp;$D339&amp;"|"&amp;S$14&amp;"|"&amp;"CY2023Q4",Spectrum!$R:$R,0)),0),""))</f>
        <v>39</v>
      </c>
      <c r="T339" s="218">
        <f>IF(LEFT($B339,4)="_Mil","",_xlfn.IFNA(ROUND(INDEX(Spectrum!$N:$N,MATCH(RIGHT($B339,13)&amp;"|"&amp;$C339&amp;"|"&amp;$D339&amp;"|"&amp;T$14&amp;"|"&amp;"CY2024Q3",Spectrum!$R:$R,0)),0),""))</f>
        <v>50237</v>
      </c>
      <c r="U339" s="218">
        <f>IF(LEFT($B339,4)="_Mil","",_xlfn.IFNA(ROUND(INDEX(Spectrum!$N:$N,MATCH(RIGHT($B339,13)&amp;"|"&amp;$C339&amp;"|"&amp;$D339&amp;"|"&amp;U$14&amp;"|"&amp;"CY2024Q3",Spectrum!$R:$R,0)),0),""))</f>
        <v>52</v>
      </c>
      <c r="V339" s="38">
        <f>IF(LEFT($B339,4)="_Mil","",_xlfn.IFNA(ROUND(INDEX(Spectrum!$N:$N,MATCH(RIGHT($B339,13)&amp;"|"&amp;$C339&amp;"|"&amp;$D339&amp;"|"&amp;V$14&amp;"|"&amp;"CY2024Q3",Spectrum!$R:$R,0)),0),""))</f>
        <v>54</v>
      </c>
      <c r="W339" s="220">
        <f>IF(LEFT($B339,4)="_Mil","",_xlfn.IFNA(INDEX(Spectrum!$N:$N,MATCH(RIGHT($B339,13)&amp;"|"&amp;$C339&amp;"|"&amp;$D339&amp;"|"&amp;W$14&amp;"|"&amp;"CY2024Q3",Spectrum!$R:$R,0)),""))</f>
        <v>1.0336010000000001E-3</v>
      </c>
      <c r="X339" s="218">
        <f>IF(LEFT($B339,4)="_Mil","",_xlfn.IFNA(ROUND(INDEX(Spectrum!$N:$N,MATCH(RIGHT($B339,13)&amp;"|"&amp;$C339&amp;"|"&amp;$D339&amp;"|"&amp;X$14&amp;"|"&amp;"CY2024Q3",Spectrum!$R:$R,0)),0),""))</f>
        <v>38</v>
      </c>
      <c r="Y339" s="33">
        <f t="shared" si="88"/>
        <v>0.73</v>
      </c>
      <c r="Z339" s="218">
        <f>IF(LEFT($B339,4)="_Mil","",_xlfn.IFNA(ROUND(INDEX(Spectrum!$N:$N,MATCH(RIGHT($B339,13)&amp;"|"&amp;$C339&amp;"|"&amp;$D339&amp;"|"&amp;Z$14&amp;"|"&amp;"CY2024Q3",Spectrum!$R:$R,0)),0),""))</f>
        <v>38</v>
      </c>
      <c r="AA339" s="33">
        <f>IF(LEFT($B339,4)="_Mil","",IFERROR(1/(1/INDEX(Spectrum!$N:$N,MATCH(RIGHT($B339,13)&amp;"|"&amp;$C339&amp;"|"&amp;$D339&amp;"|"&amp;AA$14&amp;"|"&amp;"CY2024Q3",Spectrum!$R:$R,0))),IF(SUM($U339)=0,"",SUM($Z339)/$U339)))</f>
        <v>0.70310582200000005</v>
      </c>
      <c r="AB339" s="33">
        <f t="shared" si="89"/>
        <v>1</v>
      </c>
      <c r="AC339" s="38">
        <f>IF(LEFT($B339,4)="_Mil","",_xlfn.IFNA(ROUND(INDEX(Spectrum!$N:$N,MATCH(RIGHT($B339,13)&amp;"|"&amp;$C339&amp;"|"&amp;$D339&amp;"|"&amp;AC$14&amp;"|"&amp;"CY2024Q3",Spectrum!$R:$R,0)),0),""))</f>
        <v>16</v>
      </c>
      <c r="AD339" s="38" t="str">
        <f>IF(LEFT($B339,4)="_Mil","",_xlfn.IFNA(ROUND(INDEX(Spectrum!$N:$N,MATCH(RIGHT($B339,13)&amp;"|"&amp;$C339&amp;"|"&amp;$D339&amp;"|"&amp;AD$14&amp;"|"&amp;"CY2024Q3",Spectrum!$R:$R,0)),0),""))</f>
        <v/>
      </c>
      <c r="AE339" s="33">
        <f t="shared" si="90"/>
        <v>0</v>
      </c>
      <c r="AF339" s="218" t="str">
        <f>IF(LEFT($B339,4)="_Mil","",_xlfn.IFNA(ROUND(INDEX(Spectrum!$N:$N,MATCH(RIGHT($B339,13)&amp;"|"&amp;$C339&amp;"|"&amp;$D339&amp;"|"&amp;AF$14&amp;"|"&amp;"CY2024Q3",Spectrum!$R:$R,0)),0),""))</f>
        <v/>
      </c>
      <c r="AG339" s="33" t="str">
        <f t="shared" si="91"/>
        <v/>
      </c>
      <c r="AH339" s="110" t="str">
        <f>IF(LEFT($B339,4)="_Mil","",_xlfn.IFNA(INDEX(Spectrum!$N:$N,MATCH(RIGHT($B339,13)&amp;"|"&amp;$C339&amp;"|"&amp;$D339&amp;"|"&amp;AH$14&amp;"|"&amp;"CY2024Q3",Spectrum!$R:$R,0)),""))</f>
        <v/>
      </c>
      <c r="AI339" s="218">
        <f>IF(LEFT($B339,4)="_Mil","",_xlfn.IFNA(ROUND(INDEX(Spectrum!$N:$N,MATCH(RIGHT($B339,13)&amp;"|"&amp;$C339&amp;"|"&amp;$D339&amp;"|"&amp;AI$14&amp;"|"&amp;"CY2025Q3",Spectrum!$R:$R,0)),0),""))</f>
        <v>1</v>
      </c>
      <c r="AJ339" s="38">
        <f>IF(LEFT($B339,4)="_Mil","",_xlfn.IFNA(ROUND(INDEX(Spectrum!$N:$N,MATCH(RIGHT($B339,13)&amp;"|"&amp;$C339&amp;"|"&amp;$D339&amp;"|"&amp;AJ$14&amp;"|"&amp;"CY2025Q3",Spectrum!$R:$R,0)),0),""))</f>
        <v>45</v>
      </c>
      <c r="AK339" s="218" t="e">
        <f>#REF!</f>
        <v>#REF!</v>
      </c>
      <c r="AL339" s="33">
        <f t="shared" si="92"/>
        <v>0.9</v>
      </c>
      <c r="AM339" s="38" t="e">
        <f>IF(OR(LEFT($B339,4)="_Mil",$C339="&lt;01"),"",ROUND(SUM($AK339)*SUM($AL339),0))</f>
        <v>#REF!</v>
      </c>
      <c r="AN339" s="38" t="str">
        <f>IF($C339="&lt;01",ROUND(INDEX(EID!$P:$P,MATCH($B339,EID!$B:$B,0))/2,0),"")</f>
        <v/>
      </c>
      <c r="AO339" s="38" t="e">
        <f>IF($C339="&lt;01",SUM($AN339),ROUND(SUM($AM339)*SUM($O339)/IF(SUM($Z339)=0,1,$Z339),0))</f>
        <v>#REF!</v>
      </c>
      <c r="AP339" s="218">
        <f>IF(OR($F339="",$C339="&lt;01"),$AO339,ROUND($F339,0))</f>
        <v>47</v>
      </c>
      <c r="AQ339" s="218">
        <f>IF(LEFT($B339,4)="_Mil","",IF(SUM($AP339)=0,SUM($Z339),IF(OR(SUM($Z339)=0,SUM($O339)=0),MAX($AP339,$Z339),ROUND($AP339*$Z339/$O339,0))))</f>
        <v>38</v>
      </c>
      <c r="AR339" s="33" t="e">
        <f>IF(OR(LEFT($B339,4)="_Mil",SUM($AK339)=0),"",SUM($AQ339)/$AK339)</f>
        <v>#REF!</v>
      </c>
      <c r="AS339" s="33">
        <f t="shared" si="85"/>
        <v>0.98</v>
      </c>
      <c r="AT339" s="33">
        <f t="shared" si="83"/>
        <v>0.98</v>
      </c>
      <c r="AU339" s="38">
        <f>IF($C339="&lt;01","",SUM($AP339)-SUM($O339))</f>
        <v>0</v>
      </c>
      <c r="AV339" s="38">
        <f>IF($C339="&lt;01",ROUND(INDEX(EID!$N:$N,MATCH($B339,EID!$B:$B,0))/2,0),IF(SUM($AT339)=0,"",ROUND((SUM($AP339)-(SUM($O339)*SUM($AS339)))/$AT339,0)))</f>
        <v>1</v>
      </c>
      <c r="AW339" s="33">
        <f t="shared" si="96"/>
        <v>1</v>
      </c>
      <c r="AX339" s="218">
        <f>IF($C339="&lt;01",SUM($AV339),ROUND(SUM($AV339)*SUM($AW339),0))</f>
        <v>1</v>
      </c>
      <c r="AY339" s="79">
        <f t="shared" si="93"/>
        <v>0.7</v>
      </c>
      <c r="AZ339" s="85">
        <f>IF($C339="&lt;01",ROUND(INDEX(EID!$R:$R,MATCH($B339,EID!$B:$B,0))/2,0),ROUND(SUM($O339)+(SUM($AV339)*$AY339),0))</f>
        <v>48</v>
      </c>
      <c r="BA339" s="40">
        <f t="shared" si="82"/>
        <v>0.9</v>
      </c>
      <c r="BB339" s="99">
        <f>IF($C339="&lt;01",ROUND(INDEX(EID!$T:$T,MATCH($B339,EID!$B:$B,0))/2,0),ROUND($AP339*$BA339,0))</f>
        <v>42</v>
      </c>
      <c r="BC339" s="85">
        <f>IF(LEFT($B339,4)="_Mil","",IF(SUM($BB339)=0,SUM($AD339),IF(OR(SUM($AP339)=0,SUM($AQ339)=0),MAX($BB339,$AD339),ROUND($BB339*$AQ339/$AP339,0))))</f>
        <v>34</v>
      </c>
      <c r="BD339" s="33">
        <f t="shared" si="94"/>
        <v>0.95</v>
      </c>
      <c r="BE339" s="218">
        <f>IF($C339="&lt;01",ROUND(INDEX(EID!$V:$V,MATCH($B339,EID!$B:$B,0))/2,0),ROUND($BD339*$BB339,0))</f>
        <v>40</v>
      </c>
      <c r="BF339" s="218">
        <f>IF(LEFT($B339,4)="_Mil","",IF(SUM($BE339)=0,SUM($AF339),IF(OR(SUM($AP339)=0,SUM($AQ339)=0),MAX($BE339,$AF339),ROUND($BE339*$AQ339/$AP339,0))))</f>
        <v>32</v>
      </c>
      <c r="BG339" s="79">
        <f t="shared" si="95"/>
        <v>0.95</v>
      </c>
      <c r="BH339" s="99">
        <f>IF($C339="&lt;01",ROUND(INDEX(EID!$L:$L,MATCH($B339,EID!$B:$B,0)),0)/2,IF(SUM($BG339)=0,"",ROUND($AX339/$BG339,0)))</f>
        <v>1</v>
      </c>
    </row>
    <row r="340" spans="1:60" x14ac:dyDescent="0.2">
      <c r="A340" t="str">
        <f>INDEX(Prioritization!$D:$D,MATCH($B340,Prioritization!$A:$A,0))</f>
        <v>4 - Sustained</v>
      </c>
      <c r="B340" t="s">
        <v>305</v>
      </c>
      <c r="C340" t="s">
        <v>473</v>
      </c>
      <c r="D340" t="s">
        <v>48</v>
      </c>
      <c r="E340" t="str">
        <f t="shared" si="86"/>
        <v>Ntchisi District [fiRkU6gEjLz]|01-09|Male</v>
      </c>
      <c r="F340" s="229">
        <v>41</v>
      </c>
      <c r="G340" s="38">
        <v>15</v>
      </c>
      <c r="H340" s="38">
        <v>5</v>
      </c>
      <c r="I340" s="38">
        <v>37</v>
      </c>
      <c r="J340" s="38">
        <v>41</v>
      </c>
      <c r="K340" s="38">
        <v>36</v>
      </c>
      <c r="L340" s="38">
        <v>2</v>
      </c>
      <c r="M340" s="38">
        <v>2</v>
      </c>
      <c r="N340" s="38">
        <v>47</v>
      </c>
      <c r="O340" s="229">
        <v>41</v>
      </c>
      <c r="P340" s="38">
        <v>41</v>
      </c>
      <c r="Q340" s="38">
        <v>39</v>
      </c>
      <c r="R340" s="38">
        <f t="shared" si="87"/>
        <v>4</v>
      </c>
      <c r="S340" s="38">
        <f>IF(LEFT($B340,4)="_Mil","",_xlfn.IFNA(ROUND(INDEX(Spectrum!$N:$N,MATCH(RIGHT($B340,13)&amp;"|"&amp;$C340&amp;"|"&amp;$D340&amp;"|"&amp;S$14&amp;"|"&amp;"CY2023Q4",Spectrum!$R:$R,0)),0),""))</f>
        <v>40</v>
      </c>
      <c r="T340" s="218">
        <f>IF(LEFT($B340,4)="_Mil","",_xlfn.IFNA(ROUND(INDEX(Spectrum!$N:$N,MATCH(RIGHT($B340,13)&amp;"|"&amp;$C340&amp;"|"&amp;$D340&amp;"|"&amp;T$14&amp;"|"&amp;"CY2024Q3",Spectrum!$R:$R,0)),0),""))</f>
        <v>50717</v>
      </c>
      <c r="U340" s="218">
        <f>IF(LEFT($B340,4)="_Mil","",_xlfn.IFNA(ROUND(INDEX(Spectrum!$N:$N,MATCH(RIGHT($B340,13)&amp;"|"&amp;$C340&amp;"|"&amp;$D340&amp;"|"&amp;U$14&amp;"|"&amp;"CY2024Q3",Spectrum!$R:$R,0)),0),""))</f>
        <v>52</v>
      </c>
      <c r="V340" s="38">
        <f>IF(LEFT($B340,4)="_Mil","",_xlfn.IFNA(ROUND(INDEX(Spectrum!$N:$N,MATCH(RIGHT($B340,13)&amp;"|"&amp;$C340&amp;"|"&amp;$D340&amp;"|"&amp;V$14&amp;"|"&amp;"CY2024Q3",Spectrum!$R:$R,0)),0),""))</f>
        <v>54</v>
      </c>
      <c r="W340" s="220">
        <f>IF(LEFT($B340,4)="_Mil","",_xlfn.IFNA(INDEX(Spectrum!$N:$N,MATCH(RIGHT($B340,13)&amp;"|"&amp;$C340&amp;"|"&amp;$D340&amp;"|"&amp;W$14&amp;"|"&amp;"CY2024Q3",Spectrum!$R:$R,0)),""))</f>
        <v>1.029896E-3</v>
      </c>
      <c r="X340" s="218">
        <f>IF(LEFT($B340,4)="_Mil","",_xlfn.IFNA(ROUND(INDEX(Spectrum!$N:$N,MATCH(RIGHT($B340,13)&amp;"|"&amp;$C340&amp;"|"&amp;$D340&amp;"|"&amp;X$14&amp;"|"&amp;"CY2024Q3",Spectrum!$R:$R,0)),0),""))</f>
        <v>39</v>
      </c>
      <c r="Y340" s="33">
        <f t="shared" si="88"/>
        <v>0.75</v>
      </c>
      <c r="Z340" s="218">
        <f>IF(LEFT($B340,4)="_Mil","",_xlfn.IFNA(ROUND(INDEX(Spectrum!$N:$N,MATCH(RIGHT($B340,13)&amp;"|"&amp;$C340&amp;"|"&amp;$D340&amp;"|"&amp;Z$14&amp;"|"&amp;"CY2024Q3",Spectrum!$R:$R,0)),0),""))</f>
        <v>38</v>
      </c>
      <c r="AA340" s="33">
        <f>IF(LEFT($B340,4)="_Mil","",IFERROR(1/(1/INDEX(Spectrum!$N:$N,MATCH(RIGHT($B340,13)&amp;"|"&amp;$C340&amp;"|"&amp;$D340&amp;"|"&amp;AA$14&amp;"|"&amp;"CY2024Q3",Spectrum!$R:$R,0))),IF(SUM($U340)=0,"",SUM($Z340)/$U340)))</f>
        <v>0.70265834500000002</v>
      </c>
      <c r="AB340" s="33">
        <f t="shared" si="89"/>
        <v>0.97435897435897434</v>
      </c>
      <c r="AC340" s="38">
        <f>IF(LEFT($B340,4)="_Mil","",_xlfn.IFNA(ROUND(INDEX(Spectrum!$N:$N,MATCH(RIGHT($B340,13)&amp;"|"&amp;$C340&amp;"|"&amp;$D340&amp;"|"&amp;AC$14&amp;"|"&amp;"CY2024Q3",Spectrum!$R:$R,0)),0),""))</f>
        <v>16</v>
      </c>
      <c r="AD340" s="38" t="str">
        <f>IF(LEFT($B340,4)="_Mil","",_xlfn.IFNA(ROUND(INDEX(Spectrum!$N:$N,MATCH(RIGHT($B340,13)&amp;"|"&amp;$C340&amp;"|"&amp;$D340&amp;"|"&amp;AD$14&amp;"|"&amp;"CY2024Q3",Spectrum!$R:$R,0)),0),""))</f>
        <v/>
      </c>
      <c r="AE340" s="33">
        <f t="shared" si="90"/>
        <v>0</v>
      </c>
      <c r="AF340" s="218" t="str">
        <f>IF(LEFT($B340,4)="_Mil","",_xlfn.IFNA(ROUND(INDEX(Spectrum!$N:$N,MATCH(RIGHT($B340,13)&amp;"|"&amp;$C340&amp;"|"&amp;$D340&amp;"|"&amp;AF$14&amp;"|"&amp;"CY2024Q3",Spectrum!$R:$R,0)),0),""))</f>
        <v/>
      </c>
      <c r="AG340" s="33" t="str">
        <f t="shared" si="91"/>
        <v/>
      </c>
      <c r="AH340" s="110" t="str">
        <f>IF(LEFT($B340,4)="_Mil","",_xlfn.IFNA(INDEX(Spectrum!$N:$N,MATCH(RIGHT($B340,13)&amp;"|"&amp;$C340&amp;"|"&amp;$D340&amp;"|"&amp;AH$14&amp;"|"&amp;"CY2024Q3",Spectrum!$R:$R,0)),""))</f>
        <v/>
      </c>
      <c r="AI340" s="218">
        <f>IF(LEFT($B340,4)="_Mil","",_xlfn.IFNA(ROUND(INDEX(Spectrum!$N:$N,MATCH(RIGHT($B340,13)&amp;"|"&amp;$C340&amp;"|"&amp;$D340&amp;"|"&amp;AI$14&amp;"|"&amp;"CY2025Q3",Spectrum!$R:$R,0)),0),""))</f>
        <v>1</v>
      </c>
      <c r="AJ340" s="38">
        <f>IF(LEFT($B340,4)="_Mil","",_xlfn.IFNA(ROUND(INDEX(Spectrum!$N:$N,MATCH(RIGHT($B340,13)&amp;"|"&amp;$C340&amp;"|"&amp;$D340&amp;"|"&amp;AJ$14&amp;"|"&amp;"CY2025Q3",Spectrum!$R:$R,0)),0),""))</f>
        <v>45</v>
      </c>
      <c r="AK340" s="218" t="e">
        <f>#REF!</f>
        <v>#REF!</v>
      </c>
      <c r="AL340" s="33">
        <f t="shared" si="92"/>
        <v>0.9</v>
      </c>
      <c r="AM340" s="38" t="e">
        <f>IF(OR(LEFT($B340,4)="_Mil",$C340="&lt;01"),"",ROUND(SUM($AK340)*SUM($AL340),0))</f>
        <v>#REF!</v>
      </c>
      <c r="AN340" s="38" t="str">
        <f>IF($C340="&lt;01",ROUND(INDEX(EID!$P:$P,MATCH($B340,EID!$B:$B,0))/2,0),"")</f>
        <v/>
      </c>
      <c r="AO340" s="38" t="e">
        <f>IF($C340="&lt;01",SUM($AN340),ROUND(SUM($AM340)*SUM($O340)/IF(SUM($Z340)=0,1,$Z340),0))</f>
        <v>#REF!</v>
      </c>
      <c r="AP340" s="218">
        <f>IF(OR($F340="",$C340="&lt;01"),$AO340,ROUND($F340,0))</f>
        <v>41</v>
      </c>
      <c r="AQ340" s="218">
        <f>IF(LEFT($B340,4)="_Mil","",IF(SUM($AP340)=0,SUM($Z340),IF(OR(SUM($Z340)=0,SUM($O340)=0),MAX($AP340,$Z340),ROUND($AP340*$Z340/$O340,0))))</f>
        <v>38</v>
      </c>
      <c r="AR340" s="33" t="e">
        <f>IF(OR(LEFT($B340,4)="_Mil",SUM($AK340)=0),"",SUM($AQ340)/$AK340)</f>
        <v>#REF!</v>
      </c>
      <c r="AS340" s="33">
        <f t="shared" si="85"/>
        <v>0.98</v>
      </c>
      <c r="AT340" s="33">
        <f t="shared" si="83"/>
        <v>0.98</v>
      </c>
      <c r="AU340" s="38">
        <f>IF($C340="&lt;01","",SUM($AP340)-SUM($O340))</f>
        <v>0</v>
      </c>
      <c r="AV340" s="38">
        <f>IF($C340="&lt;01",ROUND(INDEX(EID!$N:$N,MATCH($B340,EID!$B:$B,0))/2,0),IF(SUM($AT340)=0,"",ROUND((SUM($AP340)-(SUM($O340)*SUM($AS340)))/$AT340,0)))</f>
        <v>1</v>
      </c>
      <c r="AW340" s="33">
        <f t="shared" si="96"/>
        <v>1</v>
      </c>
      <c r="AX340" s="218">
        <f>IF($C340="&lt;01",SUM($AV340),ROUND(SUM($AV340)*SUM($AW340),0))</f>
        <v>1</v>
      </c>
      <c r="AY340" s="79">
        <f t="shared" si="93"/>
        <v>0.7</v>
      </c>
      <c r="AZ340" s="85">
        <f>IF($C340="&lt;01",ROUND(INDEX(EID!$R:$R,MATCH($B340,EID!$B:$B,0))/2,0),ROUND(SUM($O340)+(SUM($AV340)*$AY340),0))</f>
        <v>42</v>
      </c>
      <c r="BA340" s="40">
        <f t="shared" si="82"/>
        <v>0.9</v>
      </c>
      <c r="BB340" s="99">
        <f>IF($C340="&lt;01",ROUND(INDEX(EID!$T:$T,MATCH($B340,EID!$B:$B,0))/2,0),ROUND($AP340*$BA340,0))</f>
        <v>37</v>
      </c>
      <c r="BC340" s="85">
        <f>IF(LEFT($B340,4)="_Mil","",IF(SUM($BB340)=0,SUM($AD340),IF(OR(SUM($AP340)=0,SUM($AQ340)=0),MAX($BB340,$AD340),ROUND($BB340*$AQ340/$AP340,0))))</f>
        <v>34</v>
      </c>
      <c r="BD340" s="33">
        <f t="shared" si="94"/>
        <v>0.95</v>
      </c>
      <c r="BE340" s="218">
        <f>IF($C340="&lt;01",ROUND(INDEX(EID!$V:$V,MATCH($B340,EID!$B:$B,0))/2,0),ROUND($BD340*$BB340,0))</f>
        <v>35</v>
      </c>
      <c r="BF340" s="218">
        <f>IF(LEFT($B340,4)="_Mil","",IF(SUM($BE340)=0,SUM($AF340),IF(OR(SUM($AP340)=0,SUM($AQ340)=0),MAX($BE340,$AF340),ROUND($BE340*$AQ340/$AP340,0))))</f>
        <v>32</v>
      </c>
      <c r="BG340" s="79">
        <f t="shared" si="95"/>
        <v>0.95</v>
      </c>
      <c r="BH340" s="99">
        <f>IF($C340="&lt;01",ROUND(INDEX(EID!$L:$L,MATCH($B340,EID!$B:$B,0)),0)/2,IF(SUM($BG340)=0,"",ROUND($AX340/$BG340,0)))</f>
        <v>1</v>
      </c>
    </row>
    <row r="341" spans="1:60" x14ac:dyDescent="0.2">
      <c r="A341" t="str">
        <f>INDEX(Prioritization!$D:$D,MATCH($B341,Prioritization!$A:$A,0))</f>
        <v>4 - Sustained</v>
      </c>
      <c r="B341" t="s">
        <v>305</v>
      </c>
      <c r="C341" t="s">
        <v>474</v>
      </c>
      <c r="D341" t="s">
        <v>30</v>
      </c>
      <c r="E341" t="str">
        <f t="shared" si="86"/>
        <v>Ntchisi District [fiRkU6gEjLz]|10-14|Female</v>
      </c>
      <c r="F341" s="229">
        <v>55</v>
      </c>
      <c r="G341" s="38">
        <v>11</v>
      </c>
      <c r="H341" s="38">
        <v>2</v>
      </c>
      <c r="I341" s="38">
        <v>55</v>
      </c>
      <c r="J341" s="38">
        <v>51</v>
      </c>
      <c r="K341" s="38">
        <v>42</v>
      </c>
      <c r="L341" s="38">
        <v>6</v>
      </c>
      <c r="M341" s="38">
        <v>6</v>
      </c>
      <c r="N341" s="38">
        <v>55</v>
      </c>
      <c r="O341" s="229">
        <v>55</v>
      </c>
      <c r="P341" s="38">
        <v>46</v>
      </c>
      <c r="Q341" s="38">
        <v>44</v>
      </c>
      <c r="R341" s="38">
        <f t="shared" si="87"/>
        <v>0</v>
      </c>
      <c r="S341" s="38">
        <f>IF(LEFT($B341,4)="_Mil","",_xlfn.IFNA(ROUND(INDEX(Spectrum!$N:$N,MATCH(RIGHT($B341,13)&amp;"|"&amp;$C341&amp;"|"&amp;$D341&amp;"|"&amp;S$14&amp;"|"&amp;"CY2023Q4",Spectrum!$R:$R,0)),0),""))</f>
        <v>51</v>
      </c>
      <c r="T341" s="218">
        <f>IF(LEFT($B341,4)="_Mil","",_xlfn.IFNA(ROUND(INDEX(Spectrum!$N:$N,MATCH(RIGHT($B341,13)&amp;"|"&amp;$C341&amp;"|"&amp;$D341&amp;"|"&amp;T$14&amp;"|"&amp;"CY2024Q3",Spectrum!$R:$R,0)),0),""))</f>
        <v>27191</v>
      </c>
      <c r="U341" s="218">
        <f>IF(LEFT($B341,4)="_Mil","",_xlfn.IFNA(ROUND(INDEX(Spectrum!$N:$N,MATCH(RIGHT($B341,13)&amp;"|"&amp;$C341&amp;"|"&amp;$D341&amp;"|"&amp;U$14&amp;"|"&amp;"CY2024Q3",Spectrum!$R:$R,0)),0),""))</f>
        <v>66</v>
      </c>
      <c r="V341" s="38">
        <f>IF(LEFT($B341,4)="_Mil","",_xlfn.IFNA(ROUND(INDEX(Spectrum!$N:$N,MATCH(RIGHT($B341,13)&amp;"|"&amp;$C341&amp;"|"&amp;$D341&amp;"|"&amp;V$14&amp;"|"&amp;"CY2024Q3",Spectrum!$R:$R,0)),0),""))</f>
        <v>69</v>
      </c>
      <c r="W341" s="220">
        <f>IF(LEFT($B341,4)="_Mil","",_xlfn.IFNA(INDEX(Spectrum!$N:$N,MATCH(RIGHT($B341,13)&amp;"|"&amp;$C341&amp;"|"&amp;$D341&amp;"|"&amp;W$14&amp;"|"&amp;"CY2024Q3",Spectrum!$R:$R,0)),""))</f>
        <v>2.4384699999999999E-3</v>
      </c>
      <c r="X341" s="218">
        <f>IF(LEFT($B341,4)="_Mil","",_xlfn.IFNA(ROUND(INDEX(Spectrum!$N:$N,MATCH(RIGHT($B341,13)&amp;"|"&amp;$C341&amp;"|"&amp;$D341&amp;"|"&amp;X$14&amp;"|"&amp;"CY2024Q3",Spectrum!$R:$R,0)),0),""))</f>
        <v>52</v>
      </c>
      <c r="Y341" s="33">
        <f t="shared" si="88"/>
        <v>0.79</v>
      </c>
      <c r="Z341" s="218">
        <f>IF(LEFT($B341,4)="_Mil","",_xlfn.IFNA(ROUND(INDEX(Spectrum!$N:$N,MATCH(RIGHT($B341,13)&amp;"|"&amp;$C341&amp;"|"&amp;$D341&amp;"|"&amp;Z$14&amp;"|"&amp;"CY2024Q3",Spectrum!$R:$R,0)),0),""))</f>
        <v>50</v>
      </c>
      <c r="AA341" s="33">
        <f>IF(LEFT($B341,4)="_Mil","",IFERROR(1/(1/INDEX(Spectrum!$N:$N,MATCH(RIGHT($B341,13)&amp;"|"&amp;$C341&amp;"|"&amp;$D341&amp;"|"&amp;AA$14&amp;"|"&amp;"CY2024Q3",Spectrum!$R:$R,0))),IF(SUM($U341)=0,"",SUM($Z341)/$U341)))</f>
        <v>0.74002315799999996</v>
      </c>
      <c r="AB341" s="33">
        <f t="shared" si="89"/>
        <v>0.96153846153846156</v>
      </c>
      <c r="AC341" s="38">
        <f>IF(LEFT($B341,4)="_Mil","",_xlfn.IFNA(ROUND(INDEX(Spectrum!$N:$N,MATCH(RIGHT($B341,13)&amp;"|"&amp;$C341&amp;"|"&amp;$D341&amp;"|"&amp;AC$14&amp;"|"&amp;"CY2024Q3",Spectrum!$R:$R,0)),0),""))</f>
        <v>18</v>
      </c>
      <c r="AD341" s="38" t="str">
        <f>IF(LEFT($B341,4)="_Mil","",_xlfn.IFNA(ROUND(INDEX(Spectrum!$N:$N,MATCH(RIGHT($B341,13)&amp;"|"&amp;$C341&amp;"|"&amp;$D341&amp;"|"&amp;AD$14&amp;"|"&amp;"CY2024Q3",Spectrum!$R:$R,0)),0),""))</f>
        <v/>
      </c>
      <c r="AE341" s="33">
        <f t="shared" si="90"/>
        <v>0</v>
      </c>
      <c r="AF341" s="218" t="str">
        <f>IF(LEFT($B341,4)="_Mil","",_xlfn.IFNA(ROUND(INDEX(Spectrum!$N:$N,MATCH(RIGHT($B341,13)&amp;"|"&amp;$C341&amp;"|"&amp;$D341&amp;"|"&amp;AF$14&amp;"|"&amp;"CY2024Q3",Spectrum!$R:$R,0)),0),""))</f>
        <v/>
      </c>
      <c r="AG341" s="33" t="str">
        <f t="shared" si="91"/>
        <v/>
      </c>
      <c r="AH341" s="110" t="str">
        <f>IF(LEFT($B341,4)="_Mil","",_xlfn.IFNA(INDEX(Spectrum!$N:$N,MATCH(RIGHT($B341,13)&amp;"|"&amp;$C341&amp;"|"&amp;$D341&amp;"|"&amp;AH$14&amp;"|"&amp;"CY2024Q3",Spectrum!$R:$R,0)),""))</f>
        <v/>
      </c>
      <c r="AI341" s="218">
        <f>IF(LEFT($B341,4)="_Mil","",_xlfn.IFNA(ROUND(INDEX(Spectrum!$N:$N,MATCH(RIGHT($B341,13)&amp;"|"&amp;$C341&amp;"|"&amp;$D341&amp;"|"&amp;AI$14&amp;"|"&amp;"CY2025Q3",Spectrum!$R:$R,0)),0),""))</f>
        <v>0</v>
      </c>
      <c r="AJ341" s="38">
        <f>IF(LEFT($B341,4)="_Mil","",_xlfn.IFNA(ROUND(INDEX(Spectrum!$N:$N,MATCH(RIGHT($B341,13)&amp;"|"&amp;$C341&amp;"|"&amp;$D341&amp;"|"&amp;AJ$14&amp;"|"&amp;"CY2025Q3",Spectrum!$R:$R,0)),0),""))</f>
        <v>59</v>
      </c>
      <c r="AK341" s="218" t="e">
        <f>#REF!</f>
        <v>#REF!</v>
      </c>
      <c r="AL341" s="33">
        <f t="shared" si="92"/>
        <v>0.9</v>
      </c>
      <c r="AM341" s="38" t="e">
        <f>IF(OR(LEFT($B341,4)="_Mil",$C341="&lt;01"),"",ROUND(SUM($AK341)*SUM($AL341),0))</f>
        <v>#REF!</v>
      </c>
      <c r="AN341" s="38" t="str">
        <f>IF($C341="&lt;01",ROUND(INDEX(EID!$P:$P,MATCH($B341,EID!$B:$B,0))/2,0),"")</f>
        <v/>
      </c>
      <c r="AO341" s="38" t="e">
        <f>IF($C341="&lt;01",SUM($AN341),ROUND(SUM($AM341)*SUM($O341)/IF(SUM($Z341)=0,1,$Z341),0))</f>
        <v>#REF!</v>
      </c>
      <c r="AP341" s="218">
        <f>IF(OR($F341="",$C341="&lt;01"),$AO341,ROUND($F341,0))</f>
        <v>55</v>
      </c>
      <c r="AQ341" s="218">
        <f>IF(LEFT($B341,4)="_Mil","",IF(SUM($AP341)=0,SUM($Z341),IF(OR(SUM($Z341)=0,SUM($O341)=0),MAX($AP341,$Z341),ROUND($AP341*$Z341/$O341,0))))</f>
        <v>50</v>
      </c>
      <c r="AR341" s="33" t="e">
        <f>IF(OR(LEFT($B341,4)="_Mil",SUM($AK341)=0),"",SUM($AQ341)/$AK341)</f>
        <v>#REF!</v>
      </c>
      <c r="AS341" s="33">
        <f>IF($C341="&lt;01","",80%)</f>
        <v>0.8</v>
      </c>
      <c r="AT341" s="33">
        <f>IF($C341="&lt;01","",90%)</f>
        <v>0.9</v>
      </c>
      <c r="AU341" s="38">
        <f>IF($C341="&lt;01","",SUM($AP341)-SUM($O341))</f>
        <v>0</v>
      </c>
      <c r="AV341" s="38">
        <f>IF($C341="&lt;01",ROUND(INDEX(EID!$N:$N,MATCH($B341,EID!$B:$B,0))/2,0),IF(SUM($AT341)=0,"",ROUND((SUM($AP341)-(SUM($O341)*SUM($AS341)))/$AT341,0)))</f>
        <v>12</v>
      </c>
      <c r="AW341" s="33">
        <f t="shared" si="96"/>
        <v>1</v>
      </c>
      <c r="AX341" s="218">
        <f>IF($C341="&lt;01",SUM($AV341),ROUND(SUM($AV341)*SUM($AW341),0))</f>
        <v>12</v>
      </c>
      <c r="AY341" s="79">
        <f t="shared" si="93"/>
        <v>0.7</v>
      </c>
      <c r="AZ341" s="85">
        <f>IF($C341="&lt;01",ROUND(INDEX(EID!$R:$R,MATCH($B341,EID!$B:$B,0))/2,0),ROUND(SUM($O341)+(SUM($AV341)*$AY341),0))</f>
        <v>63</v>
      </c>
      <c r="BA341" s="40">
        <f t="shared" si="82"/>
        <v>0.9</v>
      </c>
      <c r="BB341" s="99">
        <f>IF($C341="&lt;01",ROUND(INDEX(EID!$T:$T,MATCH($B341,EID!$B:$B,0))/2,0),ROUND($AP341*$BA341,0))</f>
        <v>50</v>
      </c>
      <c r="BC341" s="85">
        <f>IF(LEFT($B341,4)="_Mil","",IF(SUM($BB341)=0,SUM($AD341),IF(OR(SUM($AP341)=0,SUM($AQ341)=0),MAX($BB341,$AD341),ROUND($BB341*$AQ341/$AP341,0))))</f>
        <v>45</v>
      </c>
      <c r="BD341" s="33">
        <f t="shared" si="94"/>
        <v>0.95</v>
      </c>
      <c r="BE341" s="218">
        <f>IF($C341="&lt;01",ROUND(INDEX(EID!$V:$V,MATCH($B341,EID!$B:$B,0))/2,0),ROUND($BD341*$BB341,0))</f>
        <v>48</v>
      </c>
      <c r="BF341" s="218">
        <f>IF(LEFT($B341,4)="_Mil","",IF(SUM($BE341)=0,SUM($AF341),IF(OR(SUM($AP341)=0,SUM($AQ341)=0),MAX($BE341,$AF341),ROUND($BE341*$AQ341/$AP341,0))))</f>
        <v>44</v>
      </c>
      <c r="BG341" s="79">
        <f t="shared" si="95"/>
        <v>0.95</v>
      </c>
      <c r="BH341" s="99">
        <f>IF($C341="&lt;01",ROUND(INDEX(EID!$L:$L,MATCH($B341,EID!$B:$B,0)),0)/2,IF(SUM($BG341)=0,"",ROUND($AX341/$BG341,0)))</f>
        <v>13</v>
      </c>
    </row>
    <row r="342" spans="1:60" x14ac:dyDescent="0.2">
      <c r="A342" t="str">
        <f>INDEX(Prioritization!$D:$D,MATCH($B342,Prioritization!$A:$A,0))</f>
        <v>4 - Sustained</v>
      </c>
      <c r="B342" t="s">
        <v>305</v>
      </c>
      <c r="C342" t="s">
        <v>474</v>
      </c>
      <c r="D342" t="s">
        <v>48</v>
      </c>
      <c r="E342" t="str">
        <f t="shared" si="86"/>
        <v>Ntchisi District [fiRkU6gEjLz]|10-14|Male</v>
      </c>
      <c r="F342" s="229">
        <v>52</v>
      </c>
      <c r="G342" s="38">
        <v>8</v>
      </c>
      <c r="H342" s="38">
        <v>0</v>
      </c>
      <c r="I342" s="38">
        <v>51</v>
      </c>
      <c r="J342" s="38">
        <v>47</v>
      </c>
      <c r="K342" s="38">
        <v>42</v>
      </c>
      <c r="L342" s="38">
        <v>7</v>
      </c>
      <c r="M342" s="38">
        <v>7</v>
      </c>
      <c r="N342" s="38">
        <v>58</v>
      </c>
      <c r="O342" s="229">
        <v>52</v>
      </c>
      <c r="P342" s="38">
        <v>48</v>
      </c>
      <c r="Q342" s="38">
        <v>46</v>
      </c>
      <c r="R342" s="38">
        <f t="shared" si="87"/>
        <v>1</v>
      </c>
      <c r="S342" s="38">
        <f>IF(LEFT($B342,4)="_Mil","",_xlfn.IFNA(ROUND(INDEX(Spectrum!$N:$N,MATCH(RIGHT($B342,13)&amp;"|"&amp;$C342&amp;"|"&amp;$D342&amp;"|"&amp;S$14&amp;"|"&amp;"CY2023Q4",Spectrum!$R:$R,0)),0),""))</f>
        <v>52</v>
      </c>
      <c r="T342" s="218">
        <f>IF(LEFT($B342,4)="_Mil","",_xlfn.IFNA(ROUND(INDEX(Spectrum!$N:$N,MATCH(RIGHT($B342,13)&amp;"|"&amp;$C342&amp;"|"&amp;$D342&amp;"|"&amp;T$14&amp;"|"&amp;"CY2024Q3",Spectrum!$R:$R,0)),0),""))</f>
        <v>26981</v>
      </c>
      <c r="U342" s="218">
        <f>IF(LEFT($B342,4)="_Mil","",_xlfn.IFNA(ROUND(INDEX(Spectrum!$N:$N,MATCH(RIGHT($B342,13)&amp;"|"&amp;$C342&amp;"|"&amp;$D342&amp;"|"&amp;U$14&amp;"|"&amp;"CY2024Q3",Spectrum!$R:$R,0)),0),""))</f>
        <v>66</v>
      </c>
      <c r="V342" s="38">
        <f>IF(LEFT($B342,4)="_Mil","",_xlfn.IFNA(ROUND(INDEX(Spectrum!$N:$N,MATCH(RIGHT($B342,13)&amp;"|"&amp;$C342&amp;"|"&amp;$D342&amp;"|"&amp;V$14&amp;"|"&amp;"CY2024Q3",Spectrum!$R:$R,0)),0),""))</f>
        <v>69</v>
      </c>
      <c r="W342" s="220">
        <f>IF(LEFT($B342,4)="_Mil","",_xlfn.IFNA(INDEX(Spectrum!$N:$N,MATCH(RIGHT($B342,13)&amp;"|"&amp;$C342&amp;"|"&amp;$D342&amp;"|"&amp;W$14&amp;"|"&amp;"CY2024Q3",Spectrum!$R:$R,0)),""))</f>
        <v>2.4557530000000002E-3</v>
      </c>
      <c r="X342" s="218">
        <f>IF(LEFT($B342,4)="_Mil","",_xlfn.IFNA(ROUND(INDEX(Spectrum!$N:$N,MATCH(RIGHT($B342,13)&amp;"|"&amp;$C342&amp;"|"&amp;$D342&amp;"|"&amp;X$14&amp;"|"&amp;"CY2024Q3",Spectrum!$R:$R,0)),0),""))</f>
        <v>51</v>
      </c>
      <c r="Y342" s="33">
        <f t="shared" si="88"/>
        <v>0.77</v>
      </c>
      <c r="Z342" s="218">
        <f>IF(LEFT($B342,4)="_Mil","",_xlfn.IFNA(ROUND(INDEX(Spectrum!$N:$N,MATCH(RIGHT($B342,13)&amp;"|"&amp;$C342&amp;"|"&amp;$D342&amp;"|"&amp;Z$14&amp;"|"&amp;"CY2024Q3",Spectrum!$R:$R,0)),0),""))</f>
        <v>51</v>
      </c>
      <c r="AA342" s="33">
        <f>IF(LEFT($B342,4)="_Mil","",IFERROR(1/(1/INDEX(Spectrum!$N:$N,MATCH(RIGHT($B342,13)&amp;"|"&amp;$C342&amp;"|"&amp;$D342&amp;"|"&amp;AA$14&amp;"|"&amp;"CY2024Q3",Spectrum!$R:$R,0))),IF(SUM($U342)=0,"",SUM($Z342)/$U342)))</f>
        <v>0.73929039100000005</v>
      </c>
      <c r="AB342" s="33">
        <f t="shared" si="89"/>
        <v>1</v>
      </c>
      <c r="AC342" s="38">
        <f>IF(LEFT($B342,4)="_Mil","",_xlfn.IFNA(ROUND(INDEX(Spectrum!$N:$N,MATCH(RIGHT($B342,13)&amp;"|"&amp;$C342&amp;"|"&amp;$D342&amp;"|"&amp;AC$14&amp;"|"&amp;"CY2024Q3",Spectrum!$R:$R,0)),0),""))</f>
        <v>18</v>
      </c>
      <c r="AD342" s="38" t="str">
        <f>IF(LEFT($B342,4)="_Mil","",_xlfn.IFNA(ROUND(INDEX(Spectrum!$N:$N,MATCH(RIGHT($B342,13)&amp;"|"&amp;$C342&amp;"|"&amp;$D342&amp;"|"&amp;AD$14&amp;"|"&amp;"CY2024Q3",Spectrum!$R:$R,0)),0),""))</f>
        <v/>
      </c>
      <c r="AE342" s="33">
        <f t="shared" si="90"/>
        <v>0</v>
      </c>
      <c r="AF342" s="218" t="str">
        <f>IF(LEFT($B342,4)="_Mil","",_xlfn.IFNA(ROUND(INDEX(Spectrum!$N:$N,MATCH(RIGHT($B342,13)&amp;"|"&amp;$C342&amp;"|"&amp;$D342&amp;"|"&amp;AF$14&amp;"|"&amp;"CY2024Q3",Spectrum!$R:$R,0)),0),""))</f>
        <v/>
      </c>
      <c r="AG342" s="33" t="str">
        <f t="shared" si="91"/>
        <v/>
      </c>
      <c r="AH342" s="110" t="str">
        <f>IF(LEFT($B342,4)="_Mil","",_xlfn.IFNA(INDEX(Spectrum!$N:$N,MATCH(RIGHT($B342,13)&amp;"|"&amp;$C342&amp;"|"&amp;$D342&amp;"|"&amp;AH$14&amp;"|"&amp;"CY2024Q3",Spectrum!$R:$R,0)),""))</f>
        <v/>
      </c>
      <c r="AI342" s="218">
        <f>IF(LEFT($B342,4)="_Mil","",_xlfn.IFNA(ROUND(INDEX(Spectrum!$N:$N,MATCH(RIGHT($B342,13)&amp;"|"&amp;$C342&amp;"|"&amp;$D342&amp;"|"&amp;AI$14&amp;"|"&amp;"CY2025Q3",Spectrum!$R:$R,0)),0),""))</f>
        <v>0</v>
      </c>
      <c r="AJ342" s="38">
        <f>IF(LEFT($B342,4)="_Mil","",_xlfn.IFNA(ROUND(INDEX(Spectrum!$N:$N,MATCH(RIGHT($B342,13)&amp;"|"&amp;$C342&amp;"|"&amp;$D342&amp;"|"&amp;AJ$14&amp;"|"&amp;"CY2025Q3",Spectrum!$R:$R,0)),0),""))</f>
        <v>59</v>
      </c>
      <c r="AK342" s="218" t="e">
        <f>#REF!</f>
        <v>#REF!</v>
      </c>
      <c r="AL342" s="33">
        <f t="shared" si="92"/>
        <v>0.9</v>
      </c>
      <c r="AM342" s="38" t="e">
        <f>IF(OR(LEFT($B342,4)="_Mil",$C342="&lt;01"),"",ROUND(SUM($AK342)*SUM($AL342),0))</f>
        <v>#REF!</v>
      </c>
      <c r="AN342" s="38" t="str">
        <f>IF($C342="&lt;01",ROUND(INDEX(EID!$P:$P,MATCH($B342,EID!$B:$B,0))/2,0),"")</f>
        <v/>
      </c>
      <c r="AO342" s="38" t="e">
        <f>IF($C342="&lt;01",SUM($AN342),ROUND(SUM($AM342)*SUM($O342)/IF(SUM($Z342)=0,1,$Z342),0))</f>
        <v>#REF!</v>
      </c>
      <c r="AP342" s="218">
        <f>IF(OR($F342="",$C342="&lt;01"),$AO342,ROUND($F342,0))</f>
        <v>52</v>
      </c>
      <c r="AQ342" s="218">
        <f>IF(LEFT($B342,4)="_Mil","",IF(SUM($AP342)=0,SUM($Z342),IF(OR(SUM($Z342)=0,SUM($O342)=0),MAX($AP342,$Z342),ROUND($AP342*$Z342/$O342,0))))</f>
        <v>51</v>
      </c>
      <c r="AR342" s="33" t="e">
        <f>IF(OR(LEFT($B342,4)="_Mil",SUM($AK342)=0),"",SUM($AQ342)/$AK342)</f>
        <v>#REF!</v>
      </c>
      <c r="AS342" s="33">
        <f t="shared" si="85"/>
        <v>0.98</v>
      </c>
      <c r="AT342" s="33">
        <f t="shared" si="83"/>
        <v>0.98</v>
      </c>
      <c r="AU342" s="38">
        <f>IF($C342="&lt;01","",SUM($AP342)-SUM($O342))</f>
        <v>0</v>
      </c>
      <c r="AV342" s="38">
        <f>IF($C342="&lt;01",ROUND(INDEX(EID!$N:$N,MATCH($B342,EID!$B:$B,0))/2,0),IF(SUM($AT342)=0,"",ROUND((SUM($AP342)-(SUM($O342)*SUM($AS342)))/$AT342,0)))</f>
        <v>1</v>
      </c>
      <c r="AW342" s="33">
        <f t="shared" si="96"/>
        <v>1</v>
      </c>
      <c r="AX342" s="218">
        <f>IF($C342="&lt;01",SUM($AV342),ROUND(SUM($AV342)*SUM($AW342),0))</f>
        <v>1</v>
      </c>
      <c r="AY342" s="79">
        <f t="shared" si="93"/>
        <v>0.7</v>
      </c>
      <c r="AZ342" s="85">
        <f>IF($C342="&lt;01",ROUND(INDEX(EID!$R:$R,MATCH($B342,EID!$B:$B,0))/2,0),ROUND(SUM($O342)+(SUM($AV342)*$AY342),0))</f>
        <v>53</v>
      </c>
      <c r="BA342" s="40">
        <f t="shared" si="82"/>
        <v>0.9</v>
      </c>
      <c r="BB342" s="99">
        <f>IF($C342="&lt;01",ROUND(INDEX(EID!$T:$T,MATCH($B342,EID!$B:$B,0))/2,0),ROUND($AP342*$BA342,0))</f>
        <v>47</v>
      </c>
      <c r="BC342" s="85">
        <f>IF(LEFT($B342,4)="_Mil","",IF(SUM($BB342)=0,SUM($AD342),IF(OR(SUM($AP342)=0,SUM($AQ342)=0),MAX($BB342,$AD342),ROUND($BB342*$AQ342/$AP342,0))))</f>
        <v>46</v>
      </c>
      <c r="BD342" s="33">
        <f t="shared" si="94"/>
        <v>0.95</v>
      </c>
      <c r="BE342" s="218">
        <f>IF($C342="&lt;01",ROUND(INDEX(EID!$V:$V,MATCH($B342,EID!$B:$B,0))/2,0),ROUND($BD342*$BB342,0))</f>
        <v>45</v>
      </c>
      <c r="BF342" s="218">
        <f>IF(LEFT($B342,4)="_Mil","",IF(SUM($BE342)=0,SUM($AF342),IF(OR(SUM($AP342)=0,SUM($AQ342)=0),MAX($BE342,$AF342),ROUND($BE342*$AQ342/$AP342,0))))</f>
        <v>44</v>
      </c>
      <c r="BG342" s="79">
        <f t="shared" si="95"/>
        <v>0.95</v>
      </c>
      <c r="BH342" s="99">
        <f>IF($C342="&lt;01",ROUND(INDEX(EID!$L:$L,MATCH($B342,EID!$B:$B,0)),0)/2,IF(SUM($BG342)=0,"",ROUND($AX342/$BG342,0)))</f>
        <v>1</v>
      </c>
    </row>
    <row r="343" spans="1:60" x14ac:dyDescent="0.2">
      <c r="A343" t="str">
        <f>INDEX(Prioritization!$D:$D,MATCH($B343,Prioritization!$A:$A,0))</f>
        <v>4 - Sustained</v>
      </c>
      <c r="B343" t="s">
        <v>305</v>
      </c>
      <c r="C343" t="s">
        <v>475</v>
      </c>
      <c r="D343" t="s">
        <v>30</v>
      </c>
      <c r="E343" t="str">
        <f t="shared" si="86"/>
        <v>Ntchisi District [fiRkU6gEjLz]|15-24|Female</v>
      </c>
      <c r="F343" s="229">
        <v>194</v>
      </c>
      <c r="G343" s="38">
        <v>41</v>
      </c>
      <c r="H343" s="38">
        <v>55</v>
      </c>
      <c r="I343" s="38">
        <v>194</v>
      </c>
      <c r="J343" s="38">
        <v>159</v>
      </c>
      <c r="K343" s="38">
        <v>140</v>
      </c>
      <c r="L343" s="38">
        <v>19</v>
      </c>
      <c r="M343" s="38">
        <v>18</v>
      </c>
      <c r="N343" s="38">
        <v>216</v>
      </c>
      <c r="O343" s="229">
        <v>194</v>
      </c>
      <c r="P343" s="38">
        <v>198</v>
      </c>
      <c r="Q343" s="38">
        <v>188</v>
      </c>
      <c r="R343" s="38">
        <f t="shared" si="87"/>
        <v>0</v>
      </c>
      <c r="S343" s="38">
        <f>IF(LEFT($B343,4)="_Mil","",_xlfn.IFNA(ROUND(INDEX(Spectrum!$N:$N,MATCH(RIGHT($B343,13)&amp;"|"&amp;$C343&amp;"|"&amp;$D343&amp;"|"&amp;S$14&amp;"|"&amp;"CY2023Q4",Spectrum!$R:$R,0)),0),""))</f>
        <v>220</v>
      </c>
      <c r="T343" s="218">
        <f>IF(LEFT($B343,4)="_Mil","",_xlfn.IFNA(ROUND(INDEX(Spectrum!$N:$N,MATCH(RIGHT($B343,13)&amp;"|"&amp;$C343&amp;"|"&amp;$D343&amp;"|"&amp;T$14&amp;"|"&amp;"CY2024Q3",Spectrum!$R:$R,0)),0),""))</f>
        <v>43060</v>
      </c>
      <c r="U343" s="218">
        <f>IF(LEFT($B343,4)="_Mil","",_xlfn.IFNA(ROUND(INDEX(Spectrum!$N:$N,MATCH(RIGHT($B343,13)&amp;"|"&amp;$C343&amp;"|"&amp;$D343&amp;"|"&amp;U$14&amp;"|"&amp;"CY2024Q3",Spectrum!$R:$R,0)),0),""))</f>
        <v>225</v>
      </c>
      <c r="V343" s="38">
        <f>IF(LEFT($B343,4)="_Mil","",_xlfn.IFNA(ROUND(INDEX(Spectrum!$N:$N,MATCH(RIGHT($B343,13)&amp;"|"&amp;$C343&amp;"|"&amp;$D343&amp;"|"&amp;V$14&amp;"|"&amp;"CY2024Q3",Spectrum!$R:$R,0)),0),""))</f>
        <v>233</v>
      </c>
      <c r="W343" s="220">
        <f>IF(LEFT($B343,4)="_Mil","",_xlfn.IFNA(INDEX(Spectrum!$N:$N,MATCH(RIGHT($B343,13)&amp;"|"&amp;$C343&amp;"|"&amp;$D343&amp;"|"&amp;W$14&amp;"|"&amp;"CY2024Q3",Spectrum!$R:$R,0)),""))</f>
        <v>5.2141679999999999E-3</v>
      </c>
      <c r="X343" s="218">
        <f>IF(LEFT($B343,4)="_Mil","",_xlfn.IFNA(ROUND(INDEX(Spectrum!$N:$N,MATCH(RIGHT($B343,13)&amp;"|"&amp;$C343&amp;"|"&amp;$D343&amp;"|"&amp;X$14&amp;"|"&amp;"CY2024Q3",Spectrum!$R:$R,0)),0),""))</f>
        <v>209</v>
      </c>
      <c r="Y343" s="33">
        <f t="shared" si="88"/>
        <v>0.93</v>
      </c>
      <c r="Z343" s="218">
        <f>IF(LEFT($B343,4)="_Mil","",_xlfn.IFNA(ROUND(INDEX(Spectrum!$N:$N,MATCH(RIGHT($B343,13)&amp;"|"&amp;$C343&amp;"|"&amp;$D343&amp;"|"&amp;Z$14&amp;"|"&amp;"CY2024Q3",Spectrum!$R:$R,0)),0),""))</f>
        <v>218</v>
      </c>
      <c r="AA343" s="33">
        <f>IF(LEFT($B343,4)="_Mil","",IFERROR(1/(1/INDEX(Spectrum!$N:$N,MATCH(RIGHT($B343,13)&amp;"|"&amp;$C343&amp;"|"&amp;$D343&amp;"|"&amp;AA$14&amp;"|"&amp;"CY2024Q3",Spectrum!$R:$R,0))),IF(SUM($U343)=0,"",SUM($Z343)/$U343)))</f>
        <v>0.93177653699999985</v>
      </c>
      <c r="AB343" s="33">
        <f t="shared" si="89"/>
        <v>1.0430622009569377</v>
      </c>
      <c r="AC343" s="38">
        <f>IF(LEFT($B343,4)="_Mil","",_xlfn.IFNA(ROUND(INDEX(Spectrum!$N:$N,MATCH(RIGHT($B343,13)&amp;"|"&amp;$C343&amp;"|"&amp;$D343&amp;"|"&amp;AC$14&amp;"|"&amp;"CY2024Q3",Spectrum!$R:$R,0)),0),""))</f>
        <v>16</v>
      </c>
      <c r="AD343" s="38" t="str">
        <f>IF(LEFT($B343,4)="_Mil","",_xlfn.IFNA(ROUND(INDEX(Spectrum!$N:$N,MATCH(RIGHT($B343,13)&amp;"|"&amp;$C343&amp;"|"&amp;$D343&amp;"|"&amp;AD$14&amp;"|"&amp;"CY2024Q3",Spectrum!$R:$R,0)),0),""))</f>
        <v/>
      </c>
      <c r="AE343" s="33">
        <f t="shared" si="90"/>
        <v>0</v>
      </c>
      <c r="AF343" s="218" t="str">
        <f>IF(LEFT($B343,4)="_Mil","",_xlfn.IFNA(ROUND(INDEX(Spectrum!$N:$N,MATCH(RIGHT($B343,13)&amp;"|"&amp;$C343&amp;"|"&amp;$D343&amp;"|"&amp;AF$14&amp;"|"&amp;"CY2024Q3",Spectrum!$R:$R,0)),0),""))</f>
        <v/>
      </c>
      <c r="AG343" s="33" t="str">
        <f t="shared" si="91"/>
        <v/>
      </c>
      <c r="AH343" s="110" t="str">
        <f>IF(LEFT($B343,4)="_Mil","",_xlfn.IFNA(INDEX(Spectrum!$N:$N,MATCH(RIGHT($B343,13)&amp;"|"&amp;$C343&amp;"|"&amp;$D343&amp;"|"&amp;AH$14&amp;"|"&amp;"CY2024Q3",Spectrum!$R:$R,0)),""))</f>
        <v/>
      </c>
      <c r="AI343" s="218">
        <f>IF(LEFT($B343,4)="_Mil","",_xlfn.IFNA(ROUND(INDEX(Spectrum!$N:$N,MATCH(RIGHT($B343,13)&amp;"|"&amp;$C343&amp;"|"&amp;$D343&amp;"|"&amp;AI$14&amp;"|"&amp;"CY2025Q3",Spectrum!$R:$R,0)),0),""))</f>
        <v>14</v>
      </c>
      <c r="AJ343" s="38">
        <f>IF(LEFT($B343,4)="_Mil","",_xlfn.IFNA(ROUND(INDEX(Spectrum!$N:$N,MATCH(RIGHT($B343,13)&amp;"|"&amp;$C343&amp;"|"&amp;$D343&amp;"|"&amp;AJ$14&amp;"|"&amp;"CY2025Q3",Spectrum!$R:$R,0)),0),""))</f>
        <v>221</v>
      </c>
      <c r="AK343" s="218" t="e">
        <f>#REF!</f>
        <v>#REF!</v>
      </c>
      <c r="AL343" s="33">
        <f t="shared" si="92"/>
        <v>0.93177653699999985</v>
      </c>
      <c r="AM343" s="38" t="e">
        <f>IF(OR(LEFT($B343,4)="_Mil",$C343="&lt;01"),"",ROUND(SUM($AK343)*SUM($AL343),0))</f>
        <v>#REF!</v>
      </c>
      <c r="AN343" s="38" t="str">
        <f>IF($C343="&lt;01",ROUND(INDEX(EID!$P:$P,MATCH($B343,EID!$B:$B,0))/2,0),"")</f>
        <v/>
      </c>
      <c r="AO343" s="38" t="e">
        <f>IF($C343="&lt;01",SUM($AN343),ROUND(SUM($AM343)*SUM($O343)/IF(SUM($Z343)=0,1,$Z343),0))</f>
        <v>#REF!</v>
      </c>
      <c r="AP343" s="218">
        <f>IF(OR($F343="",$C343="&lt;01"),$AO343,ROUND($F343,0))</f>
        <v>194</v>
      </c>
      <c r="AQ343" s="218">
        <f>IF(LEFT($B343,4)="_Mil","",IF(SUM($AP343)=0,SUM($Z343),IF(OR(SUM($Z343)=0,SUM($O343)=0),MAX($AP343,$Z343),ROUND($AP343*$Z343/$O343,0))))</f>
        <v>218</v>
      </c>
      <c r="AR343" s="33" t="e">
        <f>IF(OR(LEFT($B343,4)="_Mil",SUM($AK343)=0),"",SUM($AQ343)/$AK343)</f>
        <v>#REF!</v>
      </c>
      <c r="AS343" s="33">
        <f>IF($C343="&lt;01","",90%)</f>
        <v>0.9</v>
      </c>
      <c r="AT343" s="33">
        <f>IF($C343="&lt;01","",90%)</f>
        <v>0.9</v>
      </c>
      <c r="AU343" s="38">
        <f>IF($C343="&lt;01","",SUM($AP343)-SUM($O343))</f>
        <v>0</v>
      </c>
      <c r="AV343" s="38">
        <f>IF($C343="&lt;01",ROUND(INDEX(EID!$N:$N,MATCH($B343,EID!$B:$B,0))/2,0),IF(SUM($AT343)=0,"",ROUND((SUM($AP343)-(SUM($O343)*SUM($AS343)))/$AT343,0)))</f>
        <v>22</v>
      </c>
      <c r="AW343" s="33">
        <f t="shared" si="96"/>
        <v>1</v>
      </c>
      <c r="AX343" s="218">
        <f>IF($C343="&lt;01",SUM($AV343),ROUND(SUM($AV343)*SUM($AW343),0))</f>
        <v>22</v>
      </c>
      <c r="AY343" s="79">
        <f t="shared" si="93"/>
        <v>0.7</v>
      </c>
      <c r="AZ343" s="85">
        <f>IF($C343="&lt;01",ROUND(INDEX(EID!$R:$R,MATCH($B343,EID!$B:$B,0))/2,0),ROUND(SUM($O343)+(SUM($AV343)*$AY343),0))</f>
        <v>209</v>
      </c>
      <c r="BA343" s="40">
        <f t="shared" si="82"/>
        <v>0.9</v>
      </c>
      <c r="BB343" s="99">
        <f>IF($C343="&lt;01",ROUND(INDEX(EID!$T:$T,MATCH($B343,EID!$B:$B,0))/2,0),ROUND($AP343*$BA343,0))</f>
        <v>175</v>
      </c>
      <c r="BC343" s="85">
        <f>IF(LEFT($B343,4)="_Mil","",IF(SUM($BB343)=0,SUM($AD343),IF(OR(SUM($AP343)=0,SUM($AQ343)=0),MAX($BB343,$AD343),ROUND($BB343*$AQ343/$AP343,0))))</f>
        <v>197</v>
      </c>
      <c r="BD343" s="33">
        <f t="shared" si="94"/>
        <v>0.95</v>
      </c>
      <c r="BE343" s="218">
        <f>IF($C343="&lt;01",ROUND(INDEX(EID!$V:$V,MATCH($B343,EID!$B:$B,0))/2,0),ROUND($BD343*$BB343,0))</f>
        <v>166</v>
      </c>
      <c r="BF343" s="218">
        <f>IF(LEFT($B343,4)="_Mil","",IF(SUM($BE343)=0,SUM($AF343),IF(OR(SUM($AP343)=0,SUM($AQ343)=0),MAX($BE343,$AF343),ROUND($BE343*$AQ343/$AP343,0))))</f>
        <v>187</v>
      </c>
      <c r="BG343" s="79">
        <f t="shared" si="95"/>
        <v>0.95</v>
      </c>
      <c r="BH343" s="99">
        <f>IF($C343="&lt;01",ROUND(INDEX(EID!$L:$L,MATCH($B343,EID!$B:$B,0)),0)/2,IF(SUM($BG343)=0,"",ROUND($AX343/$BG343,0)))</f>
        <v>23</v>
      </c>
    </row>
    <row r="344" spans="1:60" x14ac:dyDescent="0.2">
      <c r="A344" t="str">
        <f>INDEX(Prioritization!$D:$D,MATCH($B344,Prioritization!$A:$A,0))</f>
        <v>4 - Sustained</v>
      </c>
      <c r="B344" t="s">
        <v>305</v>
      </c>
      <c r="C344" t="s">
        <v>475</v>
      </c>
      <c r="D344" t="s">
        <v>48</v>
      </c>
      <c r="E344" t="str">
        <f t="shared" si="86"/>
        <v>Ntchisi District [fiRkU6gEjLz]|15-24|Male</v>
      </c>
      <c r="F344" s="229">
        <v>138</v>
      </c>
      <c r="G344" s="38">
        <v>17</v>
      </c>
      <c r="H344" s="38">
        <v>12</v>
      </c>
      <c r="I344" s="38">
        <v>119</v>
      </c>
      <c r="J344" s="38">
        <v>102</v>
      </c>
      <c r="K344" s="38">
        <v>88</v>
      </c>
      <c r="L344" s="38">
        <v>23</v>
      </c>
      <c r="M344" s="38">
        <v>22</v>
      </c>
      <c r="N344" s="38">
        <v>171</v>
      </c>
      <c r="O344" s="229">
        <v>131</v>
      </c>
      <c r="P344" s="38">
        <v>151</v>
      </c>
      <c r="Q344" s="38">
        <v>143</v>
      </c>
      <c r="R344" s="38">
        <f t="shared" si="87"/>
        <v>12</v>
      </c>
      <c r="S344" s="38">
        <f>IF(LEFT($B344,4)="_Mil","",_xlfn.IFNA(ROUND(INDEX(Spectrum!$N:$N,MATCH(RIGHT($B344,13)&amp;"|"&amp;$C344&amp;"|"&amp;$D344&amp;"|"&amp;S$14&amp;"|"&amp;"CY2023Q4",Spectrum!$R:$R,0)),0),""))</f>
        <v>155</v>
      </c>
      <c r="T344" s="218">
        <f>IF(LEFT($B344,4)="_Mil","",_xlfn.IFNA(ROUND(INDEX(Spectrum!$N:$N,MATCH(RIGHT($B344,13)&amp;"|"&amp;$C344&amp;"|"&amp;$D344&amp;"|"&amp;T$14&amp;"|"&amp;"CY2024Q3",Spectrum!$R:$R,0)),0),""))</f>
        <v>43324</v>
      </c>
      <c r="U344" s="218">
        <f>IF(LEFT($B344,4)="_Mil","",_xlfn.IFNA(ROUND(INDEX(Spectrum!$N:$N,MATCH(RIGHT($B344,13)&amp;"|"&amp;$C344&amp;"|"&amp;$D344&amp;"|"&amp;U$14&amp;"|"&amp;"CY2024Q3",Spectrum!$R:$R,0)),0),""))</f>
        <v>170</v>
      </c>
      <c r="V344" s="38">
        <f>IF(LEFT($B344,4)="_Mil","",_xlfn.IFNA(ROUND(INDEX(Spectrum!$N:$N,MATCH(RIGHT($B344,13)&amp;"|"&amp;$C344&amp;"|"&amp;$D344&amp;"|"&amp;V$14&amp;"|"&amp;"CY2024Q3",Spectrum!$R:$R,0)),0),""))</f>
        <v>175</v>
      </c>
      <c r="W344" s="220">
        <f>IF(LEFT($B344,4)="_Mil","",_xlfn.IFNA(INDEX(Spectrum!$N:$N,MATCH(RIGHT($B344,13)&amp;"|"&amp;$C344&amp;"|"&amp;$D344&amp;"|"&amp;W$14&amp;"|"&amp;"CY2024Q3",Spectrum!$R:$R,0)),""))</f>
        <v>3.9300029999999996E-3</v>
      </c>
      <c r="X344" s="218">
        <f>IF(LEFT($B344,4)="_Mil","",_xlfn.IFNA(ROUND(INDEX(Spectrum!$N:$N,MATCH(RIGHT($B344,13)&amp;"|"&amp;$C344&amp;"|"&amp;$D344&amp;"|"&amp;X$14&amp;"|"&amp;"CY2024Q3",Spectrum!$R:$R,0)),0),""))</f>
        <v>154</v>
      </c>
      <c r="Y344" s="33">
        <f t="shared" si="88"/>
        <v>0.91</v>
      </c>
      <c r="Z344" s="218">
        <f>IF(LEFT($B344,4)="_Mil","",_xlfn.IFNA(ROUND(INDEX(Spectrum!$N:$N,MATCH(RIGHT($B344,13)&amp;"|"&amp;$C344&amp;"|"&amp;$D344&amp;"|"&amp;Z$14&amp;"|"&amp;"CY2024Q3",Spectrum!$R:$R,0)),0),""))</f>
        <v>158</v>
      </c>
      <c r="AA344" s="33">
        <f>IF(LEFT($B344,4)="_Mil","",IFERROR(1/(1/INDEX(Spectrum!$N:$N,MATCH(RIGHT($B344,13)&amp;"|"&amp;$C344&amp;"|"&amp;$D344&amp;"|"&amp;AA$14&amp;"|"&amp;"CY2024Q3",Spectrum!$R:$R,0))),IF(SUM($U344)=0,"",SUM($Z344)/$U344)))</f>
        <v>0.89981646599999998</v>
      </c>
      <c r="AB344" s="33">
        <f t="shared" si="89"/>
        <v>1.025974025974026</v>
      </c>
      <c r="AC344" s="38">
        <f>IF(LEFT($B344,4)="_Mil","",_xlfn.IFNA(ROUND(INDEX(Spectrum!$N:$N,MATCH(RIGHT($B344,13)&amp;"|"&amp;$C344&amp;"|"&amp;$D344&amp;"|"&amp;AC$14&amp;"|"&amp;"CY2024Q3",Spectrum!$R:$R,0)),0),""))</f>
        <v>17</v>
      </c>
      <c r="AD344" s="38" t="str">
        <f>IF(LEFT($B344,4)="_Mil","",_xlfn.IFNA(ROUND(INDEX(Spectrum!$N:$N,MATCH(RIGHT($B344,13)&amp;"|"&amp;$C344&amp;"|"&amp;$D344&amp;"|"&amp;AD$14&amp;"|"&amp;"CY2024Q3",Spectrum!$R:$R,0)),0),""))</f>
        <v/>
      </c>
      <c r="AE344" s="33">
        <f t="shared" si="90"/>
        <v>0</v>
      </c>
      <c r="AF344" s="218" t="str">
        <f>IF(LEFT($B344,4)="_Mil","",_xlfn.IFNA(ROUND(INDEX(Spectrum!$N:$N,MATCH(RIGHT($B344,13)&amp;"|"&amp;$C344&amp;"|"&amp;$D344&amp;"|"&amp;AF$14&amp;"|"&amp;"CY2024Q3",Spectrum!$R:$R,0)),0),""))</f>
        <v/>
      </c>
      <c r="AG344" s="33" t="str">
        <f t="shared" si="91"/>
        <v/>
      </c>
      <c r="AH344" s="110" t="str">
        <f>IF(LEFT($B344,4)="_Mil","",_xlfn.IFNA(INDEX(Spectrum!$N:$N,MATCH(RIGHT($B344,13)&amp;"|"&amp;$C344&amp;"|"&amp;$D344&amp;"|"&amp;AH$14&amp;"|"&amp;"CY2024Q3",Spectrum!$R:$R,0)),""))</f>
        <v/>
      </c>
      <c r="AI344" s="218">
        <f>IF(LEFT($B344,4)="_Mil","",_xlfn.IFNA(ROUND(INDEX(Spectrum!$N:$N,MATCH(RIGHT($B344,13)&amp;"|"&amp;$C344&amp;"|"&amp;$D344&amp;"|"&amp;AI$14&amp;"|"&amp;"CY2025Q3",Spectrum!$R:$R,0)),0),""))</f>
        <v>2</v>
      </c>
      <c r="AJ344" s="38">
        <f>IF(LEFT($B344,4)="_Mil","",_xlfn.IFNA(ROUND(INDEX(Spectrum!$N:$N,MATCH(RIGHT($B344,13)&amp;"|"&amp;$C344&amp;"|"&amp;$D344&amp;"|"&amp;AJ$14&amp;"|"&amp;"CY2025Q3",Spectrum!$R:$R,0)),0),""))</f>
        <v>168</v>
      </c>
      <c r="AK344" s="218" t="e">
        <f>#REF!</f>
        <v>#REF!</v>
      </c>
      <c r="AL344" s="33">
        <f t="shared" si="92"/>
        <v>0.9</v>
      </c>
      <c r="AM344" s="38" t="e">
        <f>IF(OR(LEFT($B344,4)="_Mil",$C344="&lt;01"),"",ROUND(SUM($AK344)*SUM($AL344),0))</f>
        <v>#REF!</v>
      </c>
      <c r="AN344" s="38" t="str">
        <f>IF($C344="&lt;01",ROUND(INDEX(EID!$P:$P,MATCH($B344,EID!$B:$B,0))/2,0),"")</f>
        <v/>
      </c>
      <c r="AO344" s="38" t="e">
        <f>IF($C344="&lt;01",SUM($AN344),ROUND(SUM($AM344)*SUM($O344)/IF(SUM($Z344)=0,1,$Z344),0))</f>
        <v>#REF!</v>
      </c>
      <c r="AP344" s="218">
        <f>IF(OR($F344="",$C344="&lt;01"),$AO344,ROUND($F344,0))</f>
        <v>138</v>
      </c>
      <c r="AQ344" s="218">
        <f>IF(LEFT($B344,4)="_Mil","",IF(SUM($AP344)=0,SUM($Z344),IF(OR(SUM($Z344)=0,SUM($O344)=0),MAX($AP344,$Z344),ROUND($AP344*$Z344/$O344,0))))</f>
        <v>166</v>
      </c>
      <c r="AR344" s="33" t="e">
        <f>IF(OR(LEFT($B344,4)="_Mil",SUM($AK344)=0),"",SUM($AQ344)/$AK344)</f>
        <v>#REF!</v>
      </c>
      <c r="AS344" s="33">
        <f t="shared" si="85"/>
        <v>0.98</v>
      </c>
      <c r="AT344" s="33">
        <f t="shared" si="83"/>
        <v>0.98</v>
      </c>
      <c r="AU344" s="38">
        <f>IF($C344="&lt;01","",SUM($AP344)-SUM($O344))</f>
        <v>7</v>
      </c>
      <c r="AV344" s="38">
        <f>IF($C344="&lt;01",ROUND(INDEX(EID!$N:$N,MATCH($B344,EID!$B:$B,0))/2,0),IF(SUM($AT344)=0,"",ROUND((SUM($AP344)-(SUM($O344)*SUM($AS344)))/$AT344,0)))</f>
        <v>10</v>
      </c>
      <c r="AW344" s="33">
        <f t="shared" si="96"/>
        <v>1</v>
      </c>
      <c r="AX344" s="218">
        <f>IF($C344="&lt;01",SUM($AV344),ROUND(SUM($AV344)*SUM($AW344),0))</f>
        <v>10</v>
      </c>
      <c r="AY344" s="79">
        <f t="shared" si="93"/>
        <v>0.7</v>
      </c>
      <c r="AZ344" s="85">
        <f>IF($C344="&lt;01",ROUND(INDEX(EID!$R:$R,MATCH($B344,EID!$B:$B,0))/2,0),ROUND(SUM($O344)+(SUM($AV344)*$AY344),0))</f>
        <v>138</v>
      </c>
      <c r="BA344" s="40">
        <f t="shared" si="82"/>
        <v>0.9</v>
      </c>
      <c r="BB344" s="99">
        <f>IF($C344="&lt;01",ROUND(INDEX(EID!$T:$T,MATCH($B344,EID!$B:$B,0))/2,0),ROUND($AP344*$BA344,0))</f>
        <v>124</v>
      </c>
      <c r="BC344" s="85">
        <f>IF(LEFT($B344,4)="_Mil","",IF(SUM($BB344)=0,SUM($AD344),IF(OR(SUM($AP344)=0,SUM($AQ344)=0),MAX($BB344,$AD344),ROUND($BB344*$AQ344/$AP344,0))))</f>
        <v>149</v>
      </c>
      <c r="BD344" s="33">
        <f t="shared" si="94"/>
        <v>0.95</v>
      </c>
      <c r="BE344" s="218">
        <f>IF($C344="&lt;01",ROUND(INDEX(EID!$V:$V,MATCH($B344,EID!$B:$B,0))/2,0),ROUND($BD344*$BB344,0))</f>
        <v>118</v>
      </c>
      <c r="BF344" s="218">
        <f>IF(LEFT($B344,4)="_Mil","",IF(SUM($BE344)=0,SUM($AF344),IF(OR(SUM($AP344)=0,SUM($AQ344)=0),MAX($BE344,$AF344),ROUND($BE344*$AQ344/$AP344,0))))</f>
        <v>142</v>
      </c>
      <c r="BG344" s="79">
        <f t="shared" si="95"/>
        <v>0.95</v>
      </c>
      <c r="BH344" s="99">
        <f>IF($C344="&lt;01",ROUND(INDEX(EID!$L:$L,MATCH($B344,EID!$B:$B,0)),0)/2,IF(SUM($BG344)=0,"",ROUND($AX344/$BG344,0)))</f>
        <v>11</v>
      </c>
    </row>
    <row r="345" spans="1:60" x14ac:dyDescent="0.2">
      <c r="A345" t="str">
        <f>INDEX(Prioritization!$D:$D,MATCH($B345,Prioritization!$A:$A,0))</f>
        <v>4 - Sustained</v>
      </c>
      <c r="B345" t="s">
        <v>305</v>
      </c>
      <c r="C345" t="s">
        <v>476</v>
      </c>
      <c r="D345" t="s">
        <v>30</v>
      </c>
      <c r="E345" t="str">
        <f t="shared" si="86"/>
        <v>Ntchisi District [fiRkU6gEjLz]|25-34|Female</v>
      </c>
      <c r="F345" s="229">
        <v>442</v>
      </c>
      <c r="G345" s="38">
        <v>54</v>
      </c>
      <c r="H345" s="38">
        <v>70</v>
      </c>
      <c r="I345" s="38">
        <v>442</v>
      </c>
      <c r="J345" s="38">
        <v>371</v>
      </c>
      <c r="K345" s="38">
        <v>351</v>
      </c>
      <c r="L345" s="38">
        <v>48</v>
      </c>
      <c r="M345" s="38">
        <v>47</v>
      </c>
      <c r="N345" s="38">
        <v>542</v>
      </c>
      <c r="O345" s="229">
        <v>442</v>
      </c>
      <c r="P345" s="38">
        <v>497</v>
      </c>
      <c r="Q345" s="38">
        <v>472</v>
      </c>
      <c r="R345" s="38">
        <f t="shared" si="87"/>
        <v>0</v>
      </c>
      <c r="S345" s="38">
        <f>IF(LEFT($B345,4)="_Mil","",_xlfn.IFNA(ROUND(INDEX(Spectrum!$N:$N,MATCH(RIGHT($B345,13)&amp;"|"&amp;$C345&amp;"|"&amp;$D345&amp;"|"&amp;S$14&amp;"|"&amp;"CY2023Q4",Spectrum!$R:$R,0)),0),""))</f>
        <v>585</v>
      </c>
      <c r="T345" s="218">
        <f>IF(LEFT($B345,4)="_Mil","",_xlfn.IFNA(ROUND(INDEX(Spectrum!$N:$N,MATCH(RIGHT($B345,13)&amp;"|"&amp;$C345&amp;"|"&amp;$D345&amp;"|"&amp;T$14&amp;"|"&amp;"CY2024Q3",Spectrum!$R:$R,0)),0),""))</f>
        <v>28944</v>
      </c>
      <c r="U345" s="218">
        <f>IF(LEFT($B345,4)="_Mil","",_xlfn.IFNA(ROUND(INDEX(Spectrum!$N:$N,MATCH(RIGHT($B345,13)&amp;"|"&amp;$C345&amp;"|"&amp;$D345&amp;"|"&amp;U$14&amp;"|"&amp;"CY2024Q3",Spectrum!$R:$R,0)),0),""))</f>
        <v>555</v>
      </c>
      <c r="V345" s="38">
        <f>IF(LEFT($B345,4)="_Mil","",_xlfn.IFNA(ROUND(INDEX(Spectrum!$N:$N,MATCH(RIGHT($B345,13)&amp;"|"&amp;$C345&amp;"|"&amp;$D345&amp;"|"&amp;V$14&amp;"|"&amp;"CY2024Q3",Spectrum!$R:$R,0)),0),""))</f>
        <v>576</v>
      </c>
      <c r="W345" s="220">
        <f>IF(LEFT($B345,4)="_Mil","",_xlfn.IFNA(INDEX(Spectrum!$N:$N,MATCH(RIGHT($B345,13)&amp;"|"&amp;$C345&amp;"|"&amp;$D345&amp;"|"&amp;W$14&amp;"|"&amp;"CY2024Q3",Spectrum!$R:$R,0)),""))</f>
        <v>1.9174152999999999E-2</v>
      </c>
      <c r="X345" s="218">
        <f>IF(LEFT($B345,4)="_Mil","",_xlfn.IFNA(ROUND(INDEX(Spectrum!$N:$N,MATCH(RIGHT($B345,13)&amp;"|"&amp;$C345&amp;"|"&amp;$D345&amp;"|"&amp;X$14&amp;"|"&amp;"CY2024Q3",Spectrum!$R:$R,0)),0),""))</f>
        <v>535</v>
      </c>
      <c r="Y345" s="33">
        <f t="shared" si="88"/>
        <v>0.96</v>
      </c>
      <c r="Z345" s="218">
        <f>IF(LEFT($B345,4)="_Mil","",_xlfn.IFNA(ROUND(INDEX(Spectrum!$N:$N,MATCH(RIGHT($B345,13)&amp;"|"&amp;$C345&amp;"|"&amp;$D345&amp;"|"&amp;Z$14&amp;"|"&amp;"CY2024Q3",Spectrum!$R:$R,0)),0),""))</f>
        <v>555</v>
      </c>
      <c r="AA345" s="33">
        <f>IF(LEFT($B345,4)="_Mil","",IFERROR(1/(1/INDEX(Spectrum!$N:$N,MATCH(RIGHT($B345,13)&amp;"|"&amp;$C345&amp;"|"&amp;$D345&amp;"|"&amp;AA$14&amp;"|"&amp;"CY2024Q3",Spectrum!$R:$R,0))),IF(SUM($U345)=0,"",SUM($Z345)/$U345)))</f>
        <v>0.96369239500000015</v>
      </c>
      <c r="AB345" s="33">
        <f t="shared" si="89"/>
        <v>1.0373831775700935</v>
      </c>
      <c r="AC345" s="38">
        <f>IF(LEFT($B345,4)="_Mil","",_xlfn.IFNA(ROUND(INDEX(Spectrum!$N:$N,MATCH(RIGHT($B345,13)&amp;"|"&amp;$C345&amp;"|"&amp;$D345&amp;"|"&amp;AC$14&amp;"|"&amp;"CY2024Q3",Spectrum!$R:$R,0)),0),""))</f>
        <v>21</v>
      </c>
      <c r="AD345" s="38" t="str">
        <f>IF(LEFT($B345,4)="_Mil","",_xlfn.IFNA(ROUND(INDEX(Spectrum!$N:$N,MATCH(RIGHT($B345,13)&amp;"|"&amp;$C345&amp;"|"&amp;$D345&amp;"|"&amp;AD$14&amp;"|"&amp;"CY2024Q3",Spectrum!$R:$R,0)),0),""))</f>
        <v/>
      </c>
      <c r="AE345" s="33">
        <f t="shared" si="90"/>
        <v>0</v>
      </c>
      <c r="AF345" s="218" t="str">
        <f>IF(LEFT($B345,4)="_Mil","",_xlfn.IFNA(ROUND(INDEX(Spectrum!$N:$N,MATCH(RIGHT($B345,13)&amp;"|"&amp;$C345&amp;"|"&amp;$D345&amp;"|"&amp;AF$14&amp;"|"&amp;"CY2024Q3",Spectrum!$R:$R,0)),0),""))</f>
        <v/>
      </c>
      <c r="AG345" s="33" t="str">
        <f t="shared" si="91"/>
        <v/>
      </c>
      <c r="AH345" s="110" t="str">
        <f>IF(LEFT($B345,4)="_Mil","",_xlfn.IFNA(INDEX(Spectrum!$N:$N,MATCH(RIGHT($B345,13)&amp;"|"&amp;$C345&amp;"|"&amp;$D345&amp;"|"&amp;AH$14&amp;"|"&amp;"CY2024Q3",Spectrum!$R:$R,0)),""))</f>
        <v/>
      </c>
      <c r="AI345" s="218">
        <f>IF(LEFT($B345,4)="_Mil","",_xlfn.IFNA(ROUND(INDEX(Spectrum!$N:$N,MATCH(RIGHT($B345,13)&amp;"|"&amp;$C345&amp;"|"&amp;$D345&amp;"|"&amp;AI$14&amp;"|"&amp;"CY2025Q3",Spectrum!$R:$R,0)),0),""))</f>
        <v>14</v>
      </c>
      <c r="AJ345" s="38">
        <f>IF(LEFT($B345,4)="_Mil","",_xlfn.IFNA(ROUND(INDEX(Spectrum!$N:$N,MATCH(RIGHT($B345,13)&amp;"|"&amp;$C345&amp;"|"&amp;$D345&amp;"|"&amp;AJ$14&amp;"|"&amp;"CY2025Q3",Spectrum!$R:$R,0)),0),""))</f>
        <v>518</v>
      </c>
      <c r="AK345" s="218" t="e">
        <f>#REF!</f>
        <v>#REF!</v>
      </c>
      <c r="AL345" s="33">
        <f t="shared" si="92"/>
        <v>0.96369239500000015</v>
      </c>
      <c r="AM345" s="38" t="e">
        <f>IF(OR(LEFT($B345,4)="_Mil",$C345="&lt;01"),"",ROUND(SUM($AK345)*SUM($AL345),0))</f>
        <v>#REF!</v>
      </c>
      <c r="AN345" s="38" t="str">
        <f>IF($C345="&lt;01",ROUND(INDEX(EID!$P:$P,MATCH($B345,EID!$B:$B,0))/2,0),"")</f>
        <v/>
      </c>
      <c r="AO345" s="38" t="e">
        <f>IF($C345="&lt;01",SUM($AN345),ROUND(SUM($AM345)*SUM($O345)/IF(SUM($Z345)=0,1,$Z345),0))</f>
        <v>#REF!</v>
      </c>
      <c r="AP345" s="218">
        <f>IF(OR($F345="",$C345="&lt;01"),$AO345,ROUND($F345,0))</f>
        <v>442</v>
      </c>
      <c r="AQ345" s="218">
        <f>IF(LEFT($B345,4)="_Mil","",IF(SUM($AP345)=0,SUM($Z345),IF(OR(SUM($Z345)=0,SUM($O345)=0),MAX($AP345,$Z345),ROUND($AP345*$Z345/$O345,0))))</f>
        <v>555</v>
      </c>
      <c r="AR345" s="33" t="e">
        <f>IF(OR(LEFT($B345,4)="_Mil",SUM($AK345)=0),"",SUM($AQ345)/$AK345)</f>
        <v>#REF!</v>
      </c>
      <c r="AS345" s="33">
        <f>IF($C345="&lt;01","",90%)</f>
        <v>0.9</v>
      </c>
      <c r="AT345" s="33">
        <f>IF($C345="&lt;01","",90%)</f>
        <v>0.9</v>
      </c>
      <c r="AU345" s="38">
        <f>IF($C345="&lt;01","",SUM($AP345)-SUM($O345))</f>
        <v>0</v>
      </c>
      <c r="AV345" s="38">
        <f>IF($C345="&lt;01",ROUND(INDEX(EID!$N:$N,MATCH($B345,EID!$B:$B,0))/2,0),IF(SUM($AT345)=0,"",ROUND((SUM($AP345)-(SUM($O345)*SUM($AS345)))/$AT345,0)))</f>
        <v>49</v>
      </c>
      <c r="AW345" s="33">
        <f t="shared" si="96"/>
        <v>1</v>
      </c>
      <c r="AX345" s="218">
        <f>IF($C345="&lt;01",SUM($AV345),ROUND(SUM($AV345)*SUM($AW345),0))</f>
        <v>49</v>
      </c>
      <c r="AY345" s="79">
        <f t="shared" si="93"/>
        <v>0.7</v>
      </c>
      <c r="AZ345" s="85">
        <f>IF($C345="&lt;01",ROUND(INDEX(EID!$R:$R,MATCH($B345,EID!$B:$B,0))/2,0),ROUND(SUM($O345)+(SUM($AV345)*$AY345),0))</f>
        <v>476</v>
      </c>
      <c r="BA345" s="40">
        <f t="shared" si="82"/>
        <v>0.9</v>
      </c>
      <c r="BB345" s="99">
        <f>IF($C345="&lt;01",ROUND(INDEX(EID!$T:$T,MATCH($B345,EID!$B:$B,0))/2,0),ROUND($AP345*$BA345,0))</f>
        <v>398</v>
      </c>
      <c r="BC345" s="85">
        <f>IF(LEFT($B345,4)="_Mil","",IF(SUM($BB345)=0,SUM($AD345),IF(OR(SUM($AP345)=0,SUM($AQ345)=0),MAX($BB345,$AD345),ROUND($BB345*$AQ345/$AP345,0))))</f>
        <v>500</v>
      </c>
      <c r="BD345" s="33">
        <f t="shared" si="94"/>
        <v>0.95</v>
      </c>
      <c r="BE345" s="218">
        <f>IF($C345="&lt;01",ROUND(INDEX(EID!$V:$V,MATCH($B345,EID!$B:$B,0))/2,0),ROUND($BD345*$BB345,0))</f>
        <v>378</v>
      </c>
      <c r="BF345" s="218">
        <f>IF(LEFT($B345,4)="_Mil","",IF(SUM($BE345)=0,SUM($AF345),IF(OR(SUM($AP345)=0,SUM($AQ345)=0),MAX($BE345,$AF345),ROUND($BE345*$AQ345/$AP345,0))))</f>
        <v>475</v>
      </c>
      <c r="BG345" s="79">
        <f t="shared" si="95"/>
        <v>0.95</v>
      </c>
      <c r="BH345" s="99">
        <f>IF($C345="&lt;01",ROUND(INDEX(EID!$L:$L,MATCH($B345,EID!$B:$B,0)),0)/2,IF(SUM($BG345)=0,"",ROUND($AX345/$BG345,0)))</f>
        <v>52</v>
      </c>
    </row>
    <row r="346" spans="1:60" x14ac:dyDescent="0.2">
      <c r="A346" t="str">
        <f>INDEX(Prioritization!$D:$D,MATCH($B346,Prioritization!$A:$A,0))</f>
        <v>4 - Sustained</v>
      </c>
      <c r="B346" t="s">
        <v>305</v>
      </c>
      <c r="C346" t="s">
        <v>476</v>
      </c>
      <c r="D346" t="s">
        <v>48</v>
      </c>
      <c r="E346" t="str">
        <f t="shared" si="86"/>
        <v>Ntchisi District [fiRkU6gEjLz]|25-34|Male</v>
      </c>
      <c r="F346" s="229">
        <v>180</v>
      </c>
      <c r="G346" s="38">
        <v>31</v>
      </c>
      <c r="H346" s="38">
        <v>47</v>
      </c>
      <c r="I346" s="38">
        <v>178</v>
      </c>
      <c r="J346" s="38">
        <v>130</v>
      </c>
      <c r="K346" s="38">
        <v>122</v>
      </c>
      <c r="L346" s="38">
        <v>11</v>
      </c>
      <c r="M346" s="38">
        <v>10</v>
      </c>
      <c r="N346" s="38">
        <v>232</v>
      </c>
      <c r="O346" s="229">
        <v>178</v>
      </c>
      <c r="P346" s="38">
        <v>206</v>
      </c>
      <c r="Q346" s="38">
        <v>196</v>
      </c>
      <c r="R346" s="38">
        <f t="shared" si="87"/>
        <v>0</v>
      </c>
      <c r="S346" s="38">
        <f>IF(LEFT($B346,4)="_Mil","",_xlfn.IFNA(ROUND(INDEX(Spectrum!$N:$N,MATCH(RIGHT($B346,13)&amp;"|"&amp;$C346&amp;"|"&amp;$D346&amp;"|"&amp;S$14&amp;"|"&amp;"CY2023Q4",Spectrum!$R:$R,0)),0),""))</f>
        <v>207</v>
      </c>
      <c r="T346" s="218">
        <f>IF(LEFT($B346,4)="_Mil","",_xlfn.IFNA(ROUND(INDEX(Spectrum!$N:$N,MATCH(RIGHT($B346,13)&amp;"|"&amp;$C346&amp;"|"&amp;$D346&amp;"|"&amp;T$14&amp;"|"&amp;"CY2024Q3",Spectrum!$R:$R,0)),0),""))</f>
        <v>28097</v>
      </c>
      <c r="U346" s="218">
        <f>IF(LEFT($B346,4)="_Mil","",_xlfn.IFNA(ROUND(INDEX(Spectrum!$N:$N,MATCH(RIGHT($B346,13)&amp;"|"&amp;$C346&amp;"|"&amp;$D346&amp;"|"&amp;U$14&amp;"|"&amp;"CY2024Q3",Spectrum!$R:$R,0)),0),""))</f>
        <v>230</v>
      </c>
      <c r="V346" s="38">
        <f>IF(LEFT($B346,4)="_Mil","",_xlfn.IFNA(ROUND(INDEX(Spectrum!$N:$N,MATCH(RIGHT($B346,13)&amp;"|"&amp;$C346&amp;"|"&amp;$D346&amp;"|"&amp;V$14&amp;"|"&amp;"CY2024Q3",Spectrum!$R:$R,0)),0),""))</f>
        <v>235</v>
      </c>
      <c r="W346" s="220">
        <f>IF(LEFT($B346,4)="_Mil","",_xlfn.IFNA(INDEX(Spectrum!$N:$N,MATCH(RIGHT($B346,13)&amp;"|"&amp;$C346&amp;"|"&amp;$D346&amp;"|"&amp;W$14&amp;"|"&amp;"CY2024Q3",Spectrum!$R:$R,0)),""))</f>
        <v>8.1821299999999993E-3</v>
      </c>
      <c r="X346" s="218">
        <f>IF(LEFT($B346,4)="_Mil","",_xlfn.IFNA(ROUND(INDEX(Spectrum!$N:$N,MATCH(RIGHT($B346,13)&amp;"|"&amp;$C346&amp;"|"&amp;$D346&amp;"|"&amp;X$14&amp;"|"&amp;"CY2024Q3",Spectrum!$R:$R,0)),0),""))</f>
        <v>202</v>
      </c>
      <c r="Y346" s="33">
        <f t="shared" si="88"/>
        <v>0.88</v>
      </c>
      <c r="Z346" s="218">
        <f>IF(LEFT($B346,4)="_Mil","",_xlfn.IFNA(ROUND(INDEX(Spectrum!$N:$N,MATCH(RIGHT($B346,13)&amp;"|"&amp;$C346&amp;"|"&amp;$D346&amp;"|"&amp;Z$14&amp;"|"&amp;"CY2024Q3",Spectrum!$R:$R,0)),0),""))</f>
        <v>206</v>
      </c>
      <c r="AA346" s="33">
        <f>IF(LEFT($B346,4)="_Mil","",IFERROR(1/(1/INDEX(Spectrum!$N:$N,MATCH(RIGHT($B346,13)&amp;"|"&amp;$C346&amp;"|"&amp;$D346&amp;"|"&amp;AA$14&amp;"|"&amp;"CY2024Q3",Spectrum!$R:$R,0))),IF(SUM($U346)=0,"",SUM($Z346)/$U346)))</f>
        <v>0.87049392800000003</v>
      </c>
      <c r="AB346" s="33">
        <f t="shared" si="89"/>
        <v>1.0198019801980198</v>
      </c>
      <c r="AC346" s="38">
        <f>IF(LEFT($B346,4)="_Mil","",_xlfn.IFNA(ROUND(INDEX(Spectrum!$N:$N,MATCH(RIGHT($B346,13)&amp;"|"&amp;$C346&amp;"|"&amp;$D346&amp;"|"&amp;AC$14&amp;"|"&amp;"CY2024Q3",Spectrum!$R:$R,0)),0),""))</f>
        <v>29</v>
      </c>
      <c r="AD346" s="38" t="str">
        <f>IF(LEFT($B346,4)="_Mil","",_xlfn.IFNA(ROUND(INDEX(Spectrum!$N:$N,MATCH(RIGHT($B346,13)&amp;"|"&amp;$C346&amp;"|"&amp;$D346&amp;"|"&amp;AD$14&amp;"|"&amp;"CY2024Q3",Spectrum!$R:$R,0)),0),""))</f>
        <v/>
      </c>
      <c r="AE346" s="33">
        <f t="shared" si="90"/>
        <v>0</v>
      </c>
      <c r="AF346" s="218" t="str">
        <f>IF(LEFT($B346,4)="_Mil","",_xlfn.IFNA(ROUND(INDEX(Spectrum!$N:$N,MATCH(RIGHT($B346,13)&amp;"|"&amp;$C346&amp;"|"&amp;$D346&amp;"|"&amp;AF$14&amp;"|"&amp;"CY2024Q3",Spectrum!$R:$R,0)),0),""))</f>
        <v/>
      </c>
      <c r="AG346" s="33" t="str">
        <f t="shared" si="91"/>
        <v/>
      </c>
      <c r="AH346" s="110" t="str">
        <f>IF(LEFT($B346,4)="_Mil","",_xlfn.IFNA(INDEX(Spectrum!$N:$N,MATCH(RIGHT($B346,13)&amp;"|"&amp;$C346&amp;"|"&amp;$D346&amp;"|"&amp;AH$14&amp;"|"&amp;"CY2024Q3",Spectrum!$R:$R,0)),""))</f>
        <v/>
      </c>
      <c r="AI346" s="218">
        <f>IF(LEFT($B346,4)="_Mil","",_xlfn.IFNA(ROUND(INDEX(Spectrum!$N:$N,MATCH(RIGHT($B346,13)&amp;"|"&amp;$C346&amp;"|"&amp;$D346&amp;"|"&amp;AI$14&amp;"|"&amp;"CY2025Q3",Spectrum!$R:$R,0)),0),""))</f>
        <v>9</v>
      </c>
      <c r="AJ346" s="38">
        <f>IF(LEFT($B346,4)="_Mil","",_xlfn.IFNA(ROUND(INDEX(Spectrum!$N:$N,MATCH(RIGHT($B346,13)&amp;"|"&amp;$C346&amp;"|"&amp;$D346&amp;"|"&amp;AJ$14&amp;"|"&amp;"CY2025Q3",Spectrum!$R:$R,0)),0),""))</f>
        <v>220</v>
      </c>
      <c r="AK346" s="218" t="e">
        <f>#REF!</f>
        <v>#REF!</v>
      </c>
      <c r="AL346" s="33">
        <f t="shared" si="92"/>
        <v>0.9</v>
      </c>
      <c r="AM346" s="38" t="e">
        <f>IF(OR(LEFT($B346,4)="_Mil",$C346="&lt;01"),"",ROUND(SUM($AK346)*SUM($AL346),0))</f>
        <v>#REF!</v>
      </c>
      <c r="AN346" s="38" t="str">
        <f>IF($C346="&lt;01",ROUND(INDEX(EID!$P:$P,MATCH($B346,EID!$B:$B,0))/2,0),"")</f>
        <v/>
      </c>
      <c r="AO346" s="38" t="e">
        <f>IF($C346="&lt;01",SUM($AN346),ROUND(SUM($AM346)*SUM($O346)/IF(SUM($Z346)=0,1,$Z346),0))</f>
        <v>#REF!</v>
      </c>
      <c r="AP346" s="218">
        <f>IF(OR($F346="",$C346="&lt;01"),$AO346,ROUND($F346,0))</f>
        <v>180</v>
      </c>
      <c r="AQ346" s="218">
        <f>IF(LEFT($B346,4)="_Mil","",IF(SUM($AP346)=0,SUM($Z346),IF(OR(SUM($Z346)=0,SUM($O346)=0),MAX($AP346,$Z346),ROUND($AP346*$Z346/$O346,0))))</f>
        <v>208</v>
      </c>
      <c r="AR346" s="33" t="e">
        <f>IF(OR(LEFT($B346,4)="_Mil",SUM($AK346)=0),"",SUM($AQ346)/$AK346)</f>
        <v>#REF!</v>
      </c>
      <c r="AS346" s="33">
        <f t="shared" si="85"/>
        <v>0.98</v>
      </c>
      <c r="AT346" s="33">
        <f t="shared" si="83"/>
        <v>0.98</v>
      </c>
      <c r="AU346" s="38">
        <f>IF($C346="&lt;01","",SUM($AP346)-SUM($O346))</f>
        <v>2</v>
      </c>
      <c r="AV346" s="38">
        <f>IF($C346="&lt;01",ROUND(INDEX(EID!$N:$N,MATCH($B346,EID!$B:$B,0))/2,0),IF(SUM($AT346)=0,"",ROUND((SUM($AP346)-(SUM($O346)*SUM($AS346)))/$AT346,0)))</f>
        <v>6</v>
      </c>
      <c r="AW346" s="33">
        <f t="shared" si="96"/>
        <v>1</v>
      </c>
      <c r="AX346" s="218">
        <f>IF($C346="&lt;01",SUM($AV346),ROUND(SUM($AV346)*SUM($AW346),0))</f>
        <v>6</v>
      </c>
      <c r="AY346" s="79">
        <f t="shared" si="93"/>
        <v>0.7</v>
      </c>
      <c r="AZ346" s="85">
        <f>IF($C346="&lt;01",ROUND(INDEX(EID!$R:$R,MATCH($B346,EID!$B:$B,0))/2,0),ROUND(SUM($O346)+(SUM($AV346)*$AY346),0))</f>
        <v>182</v>
      </c>
      <c r="BA346" s="40">
        <f t="shared" si="82"/>
        <v>0.9</v>
      </c>
      <c r="BB346" s="99">
        <f>IF($C346="&lt;01",ROUND(INDEX(EID!$T:$T,MATCH($B346,EID!$B:$B,0))/2,0),ROUND($AP346*$BA346,0))</f>
        <v>162</v>
      </c>
      <c r="BC346" s="85">
        <f>IF(LEFT($B346,4)="_Mil","",IF(SUM($BB346)=0,SUM($AD346),IF(OR(SUM($AP346)=0,SUM($AQ346)=0),MAX($BB346,$AD346),ROUND($BB346*$AQ346/$AP346,0))))</f>
        <v>187</v>
      </c>
      <c r="BD346" s="33">
        <f t="shared" si="94"/>
        <v>0.95</v>
      </c>
      <c r="BE346" s="218">
        <f>IF($C346="&lt;01",ROUND(INDEX(EID!$V:$V,MATCH($B346,EID!$B:$B,0))/2,0),ROUND($BD346*$BB346,0))</f>
        <v>154</v>
      </c>
      <c r="BF346" s="218">
        <f>IF(LEFT($B346,4)="_Mil","",IF(SUM($BE346)=0,SUM($AF346),IF(OR(SUM($AP346)=0,SUM($AQ346)=0),MAX($BE346,$AF346),ROUND($BE346*$AQ346/$AP346,0))))</f>
        <v>178</v>
      </c>
      <c r="BG346" s="79">
        <f t="shared" si="95"/>
        <v>0.95</v>
      </c>
      <c r="BH346" s="99">
        <f>IF($C346="&lt;01",ROUND(INDEX(EID!$L:$L,MATCH($B346,EID!$B:$B,0)),0)/2,IF(SUM($BG346)=0,"",ROUND($AX346/$BG346,0)))</f>
        <v>6</v>
      </c>
    </row>
    <row r="347" spans="1:60" x14ac:dyDescent="0.2">
      <c r="A347" t="str">
        <f>INDEX(Prioritization!$D:$D,MATCH($B347,Prioritization!$A:$A,0))</f>
        <v>4 - Sustained</v>
      </c>
      <c r="B347" t="s">
        <v>305</v>
      </c>
      <c r="C347" t="s">
        <v>477</v>
      </c>
      <c r="D347" t="s">
        <v>30</v>
      </c>
      <c r="E347" t="str">
        <f t="shared" si="86"/>
        <v>Ntchisi District [fiRkU6gEjLz]|35-49|Female</v>
      </c>
      <c r="F347" s="229">
        <v>1447</v>
      </c>
      <c r="G347" s="38">
        <v>59</v>
      </c>
      <c r="H347" s="38">
        <v>58</v>
      </c>
      <c r="I347" s="38">
        <v>1447</v>
      </c>
      <c r="J347" s="38">
        <v>1111</v>
      </c>
      <c r="K347" s="38">
        <v>1076</v>
      </c>
      <c r="L347" s="38">
        <v>142</v>
      </c>
      <c r="M347" s="38">
        <v>139</v>
      </c>
      <c r="N347" s="38">
        <v>1579</v>
      </c>
      <c r="O347" s="229">
        <v>1447</v>
      </c>
      <c r="P347" s="38">
        <v>1344</v>
      </c>
      <c r="Q347" s="38">
        <v>1277</v>
      </c>
      <c r="R347" s="38">
        <f t="shared" si="87"/>
        <v>0</v>
      </c>
      <c r="S347" s="38">
        <f>IF(LEFT($B347,4)="_Mil","",_xlfn.IFNA(ROUND(INDEX(Spectrum!$N:$N,MATCH(RIGHT($B347,13)&amp;"|"&amp;$C347&amp;"|"&amp;$D347&amp;"|"&amp;S$14&amp;"|"&amp;"CY2023Q4",Spectrum!$R:$R,0)),0),""))</f>
        <v>1571</v>
      </c>
      <c r="T347" s="218">
        <f>IF(LEFT($B347,4)="_Mil","",_xlfn.IFNA(ROUND(INDEX(Spectrum!$N:$N,MATCH(RIGHT($B347,13)&amp;"|"&amp;$C347&amp;"|"&amp;$D347&amp;"|"&amp;T$14&amp;"|"&amp;"CY2024Q3",Spectrum!$R:$R,0)),0),""))</f>
        <v>29676</v>
      </c>
      <c r="U347" s="218">
        <f>IF(LEFT($B347,4)="_Mil","",_xlfn.IFNA(ROUND(INDEX(Spectrum!$N:$N,MATCH(RIGHT($B347,13)&amp;"|"&amp;$C347&amp;"|"&amp;$D347&amp;"|"&amp;U$14&amp;"|"&amp;"CY2024Q3",Spectrum!$R:$R,0)),0),""))</f>
        <v>1532</v>
      </c>
      <c r="V347" s="38">
        <f>IF(LEFT($B347,4)="_Mil","",_xlfn.IFNA(ROUND(INDEX(Spectrum!$N:$N,MATCH(RIGHT($B347,13)&amp;"|"&amp;$C347&amp;"|"&amp;$D347&amp;"|"&amp;V$14&amp;"|"&amp;"CY2024Q3",Spectrum!$R:$R,0)),0),""))</f>
        <v>1596</v>
      </c>
      <c r="W347" s="220">
        <f>IF(LEFT($B347,4)="_Mil","",_xlfn.IFNA(INDEX(Spectrum!$N:$N,MATCH(RIGHT($B347,13)&amp;"|"&amp;$C347&amp;"|"&amp;$D347&amp;"|"&amp;W$14&amp;"|"&amp;"CY2024Q3",Spectrum!$R:$R,0)),""))</f>
        <v>5.1629192999999997E-2</v>
      </c>
      <c r="X347" s="218">
        <f>IF(LEFT($B347,4)="_Mil","",_xlfn.IFNA(ROUND(INDEX(Spectrum!$N:$N,MATCH(RIGHT($B347,13)&amp;"|"&amp;$C347&amp;"|"&amp;$D347&amp;"|"&amp;X$14&amp;"|"&amp;"CY2024Q3",Spectrum!$R:$R,0)),0),""))</f>
        <v>1505</v>
      </c>
      <c r="Y347" s="33">
        <f t="shared" si="88"/>
        <v>0.98</v>
      </c>
      <c r="Z347" s="218">
        <f>IF(LEFT($B347,4)="_Mil","",_xlfn.IFNA(ROUND(INDEX(Spectrum!$N:$N,MATCH(RIGHT($B347,13)&amp;"|"&amp;$C347&amp;"|"&amp;$D347&amp;"|"&amp;Z$14&amp;"|"&amp;"CY2024Q3",Spectrum!$R:$R,0)),0),""))</f>
        <v>1568</v>
      </c>
      <c r="AA347" s="33">
        <f>IF(LEFT($B347,4)="_Mil","",IFERROR(1/(1/INDEX(Spectrum!$N:$N,MATCH(RIGHT($B347,13)&amp;"|"&amp;$C347&amp;"|"&amp;$D347&amp;"|"&amp;AA$14&amp;"|"&amp;"CY2024Q3",Spectrum!$R:$R,0))),IF(SUM($U347)=0,"",SUM($Z347)/$U347)))</f>
        <v>0.98197121600000004</v>
      </c>
      <c r="AB347" s="33">
        <f t="shared" si="89"/>
        <v>1.0418604651162791</v>
      </c>
      <c r="AC347" s="38">
        <f>IF(LEFT($B347,4)="_Mil","",_xlfn.IFNA(ROUND(INDEX(Spectrum!$N:$N,MATCH(RIGHT($B347,13)&amp;"|"&amp;$C347&amp;"|"&amp;$D347&amp;"|"&amp;AC$14&amp;"|"&amp;"CY2024Q3",Spectrum!$R:$R,0)),0),""))</f>
        <v>28</v>
      </c>
      <c r="AD347" s="38" t="str">
        <f>IF(LEFT($B347,4)="_Mil","",_xlfn.IFNA(ROUND(INDEX(Spectrum!$N:$N,MATCH(RIGHT($B347,13)&amp;"|"&amp;$C347&amp;"|"&amp;$D347&amp;"|"&amp;AD$14&amp;"|"&amp;"CY2024Q3",Spectrum!$R:$R,0)),0),""))</f>
        <v/>
      </c>
      <c r="AE347" s="33">
        <f t="shared" si="90"/>
        <v>0</v>
      </c>
      <c r="AF347" s="218" t="str">
        <f>IF(LEFT($B347,4)="_Mil","",_xlfn.IFNA(ROUND(INDEX(Spectrum!$N:$N,MATCH(RIGHT($B347,13)&amp;"|"&amp;$C347&amp;"|"&amp;$D347&amp;"|"&amp;AF$14&amp;"|"&amp;"CY2024Q3",Spectrum!$R:$R,0)),0),""))</f>
        <v/>
      </c>
      <c r="AG347" s="33" t="str">
        <f t="shared" si="91"/>
        <v/>
      </c>
      <c r="AH347" s="110" t="str">
        <f>IF(LEFT($B347,4)="_Mil","",_xlfn.IFNA(INDEX(Spectrum!$N:$N,MATCH(RIGHT($B347,13)&amp;"|"&amp;$C347&amp;"|"&amp;$D347&amp;"|"&amp;AH$14&amp;"|"&amp;"CY2024Q3",Spectrum!$R:$R,0)),""))</f>
        <v/>
      </c>
      <c r="AI347" s="218">
        <f>IF(LEFT($B347,4)="_Mil","",_xlfn.IFNA(ROUND(INDEX(Spectrum!$N:$N,MATCH(RIGHT($B347,13)&amp;"|"&amp;$C347&amp;"|"&amp;$D347&amp;"|"&amp;AI$14&amp;"|"&amp;"CY2025Q3",Spectrum!$R:$R,0)),0),""))</f>
        <v>8</v>
      </c>
      <c r="AJ347" s="38">
        <f>IF(LEFT($B347,4)="_Mil","",_xlfn.IFNA(ROUND(INDEX(Spectrum!$N:$N,MATCH(RIGHT($B347,13)&amp;"|"&amp;$C347&amp;"|"&amp;$D347&amp;"|"&amp;AJ$14&amp;"|"&amp;"CY2025Q3",Spectrum!$R:$R,0)),0),""))</f>
        <v>1520</v>
      </c>
      <c r="AK347" s="218" t="e">
        <f>#REF!</f>
        <v>#REF!</v>
      </c>
      <c r="AL347" s="33">
        <f t="shared" si="92"/>
        <v>0.98197121600000004</v>
      </c>
      <c r="AM347" s="38" t="e">
        <f>IF(OR(LEFT($B347,4)="_Mil",$C347="&lt;01"),"",ROUND(SUM($AK347)*SUM($AL347),0))</f>
        <v>#REF!</v>
      </c>
      <c r="AN347" s="38" t="str">
        <f>IF($C347="&lt;01",ROUND(INDEX(EID!$P:$P,MATCH($B347,EID!$B:$B,0))/2,0),"")</f>
        <v/>
      </c>
      <c r="AO347" s="38" t="e">
        <f>IF($C347="&lt;01",SUM($AN347),ROUND(SUM($AM347)*SUM($O347)/IF(SUM($Z347)=0,1,$Z347),0))</f>
        <v>#REF!</v>
      </c>
      <c r="AP347" s="218">
        <f>IF(OR($F347="",$C347="&lt;01"),$AO347,ROUND($F347,0))</f>
        <v>1447</v>
      </c>
      <c r="AQ347" s="218">
        <f>IF(LEFT($B347,4)="_Mil","",IF(SUM($AP347)=0,SUM($Z347),IF(OR(SUM($Z347)=0,SUM($O347)=0),MAX($AP347,$Z347),ROUND($AP347*$Z347/$O347,0))))</f>
        <v>1568</v>
      </c>
      <c r="AR347" s="33" t="e">
        <f>IF(OR(LEFT($B347,4)="_Mil",SUM($AK347)=0),"",SUM($AQ347)/$AK347)</f>
        <v>#REF!</v>
      </c>
      <c r="AS347" s="33">
        <f t="shared" si="85"/>
        <v>0.98</v>
      </c>
      <c r="AT347" s="33">
        <f t="shared" si="83"/>
        <v>0.98</v>
      </c>
      <c r="AU347" s="38">
        <f>IF($C347="&lt;01","",SUM($AP347)-SUM($O347))</f>
        <v>0</v>
      </c>
      <c r="AV347" s="38">
        <f>IF($C347="&lt;01",ROUND(INDEX(EID!$N:$N,MATCH($B347,EID!$B:$B,0))/2,0),IF(SUM($AT347)=0,"",ROUND((SUM($AP347)-(SUM($O347)*SUM($AS347)))/$AT347,0)))</f>
        <v>30</v>
      </c>
      <c r="AW347" s="33">
        <f t="shared" si="96"/>
        <v>1</v>
      </c>
      <c r="AX347" s="218">
        <f>IF($C347="&lt;01",SUM($AV347),ROUND(SUM($AV347)*SUM($AW347),0))</f>
        <v>30</v>
      </c>
      <c r="AY347" s="79">
        <f t="shared" si="93"/>
        <v>0.7</v>
      </c>
      <c r="AZ347" s="85">
        <f>IF($C347="&lt;01",ROUND(INDEX(EID!$R:$R,MATCH($B347,EID!$B:$B,0))/2,0),ROUND(SUM($O347)+(SUM($AV347)*$AY347),0))</f>
        <v>1468</v>
      </c>
      <c r="BA347" s="40">
        <f t="shared" si="82"/>
        <v>0.9</v>
      </c>
      <c r="BB347" s="99">
        <f>IF($C347="&lt;01",ROUND(INDEX(EID!$T:$T,MATCH($B347,EID!$B:$B,0))/2,0),ROUND($AP347*$BA347,0))</f>
        <v>1302</v>
      </c>
      <c r="BC347" s="85">
        <f>IF(LEFT($B347,4)="_Mil","",IF(SUM($BB347)=0,SUM($AD347),IF(OR(SUM($AP347)=0,SUM($AQ347)=0),MAX($BB347,$AD347),ROUND($BB347*$AQ347/$AP347,0))))</f>
        <v>1411</v>
      </c>
      <c r="BD347" s="33">
        <f t="shared" si="94"/>
        <v>0.95</v>
      </c>
      <c r="BE347" s="218">
        <f>IF($C347="&lt;01",ROUND(INDEX(EID!$V:$V,MATCH($B347,EID!$B:$B,0))/2,0),ROUND($BD347*$BB347,0))</f>
        <v>1237</v>
      </c>
      <c r="BF347" s="218">
        <f>IF(LEFT($B347,4)="_Mil","",IF(SUM($BE347)=0,SUM($AF347),IF(OR(SUM($AP347)=0,SUM($AQ347)=0),MAX($BE347,$AF347),ROUND($BE347*$AQ347/$AP347,0))))</f>
        <v>1340</v>
      </c>
      <c r="BG347" s="79">
        <f t="shared" si="95"/>
        <v>0.95</v>
      </c>
      <c r="BH347" s="99">
        <f>IF($C347="&lt;01",ROUND(INDEX(EID!$L:$L,MATCH($B347,EID!$B:$B,0)),0)/2,IF(SUM($BG347)=0,"",ROUND($AX347/$BG347,0)))</f>
        <v>32</v>
      </c>
    </row>
    <row r="348" spans="1:60" x14ac:dyDescent="0.2">
      <c r="A348" t="str">
        <f>INDEX(Prioritization!$D:$D,MATCH($B348,Prioritization!$A:$A,0))</f>
        <v>4 - Sustained</v>
      </c>
      <c r="B348" t="s">
        <v>305</v>
      </c>
      <c r="C348" t="s">
        <v>477</v>
      </c>
      <c r="D348" t="s">
        <v>48</v>
      </c>
      <c r="E348" t="str">
        <f t="shared" si="86"/>
        <v>Ntchisi District [fiRkU6gEjLz]|35-49|Male</v>
      </c>
      <c r="F348" s="229">
        <v>704</v>
      </c>
      <c r="G348" s="38">
        <v>46</v>
      </c>
      <c r="H348" s="38">
        <v>51</v>
      </c>
      <c r="I348" s="38">
        <v>695</v>
      </c>
      <c r="J348" s="38">
        <v>550</v>
      </c>
      <c r="K348" s="38">
        <v>524</v>
      </c>
      <c r="L348" s="38">
        <v>18</v>
      </c>
      <c r="M348" s="38">
        <v>17</v>
      </c>
      <c r="N348" s="38">
        <v>879</v>
      </c>
      <c r="O348" s="229">
        <v>695</v>
      </c>
      <c r="P348" s="38">
        <v>790</v>
      </c>
      <c r="Q348" s="38">
        <v>751</v>
      </c>
      <c r="R348" s="38">
        <f t="shared" si="87"/>
        <v>0</v>
      </c>
      <c r="S348" s="38">
        <f>IF(LEFT($B348,4)="_Mil","",_xlfn.IFNA(ROUND(INDEX(Spectrum!$N:$N,MATCH(RIGHT($B348,13)&amp;"|"&amp;$C348&amp;"|"&amp;$D348&amp;"|"&amp;S$14&amp;"|"&amp;"CY2023Q4",Spectrum!$R:$R,0)),0),""))</f>
        <v>867</v>
      </c>
      <c r="T348" s="218">
        <f>IF(LEFT($B348,4)="_Mil","",_xlfn.IFNA(ROUND(INDEX(Spectrum!$N:$N,MATCH(RIGHT($B348,13)&amp;"|"&amp;$C348&amp;"|"&amp;$D348&amp;"|"&amp;T$14&amp;"|"&amp;"CY2024Q3",Spectrum!$R:$R,0)),0),""))</f>
        <v>26499</v>
      </c>
      <c r="U348" s="218">
        <f>IF(LEFT($B348,4)="_Mil","",_xlfn.IFNA(ROUND(INDEX(Spectrum!$N:$N,MATCH(RIGHT($B348,13)&amp;"|"&amp;$C348&amp;"|"&amp;$D348&amp;"|"&amp;U$14&amp;"|"&amp;"CY2024Q3",Spectrum!$R:$R,0)),0),""))</f>
        <v>916</v>
      </c>
      <c r="V348" s="38">
        <f>IF(LEFT($B348,4)="_Mil","",_xlfn.IFNA(ROUND(INDEX(Spectrum!$N:$N,MATCH(RIGHT($B348,13)&amp;"|"&amp;$C348&amp;"|"&amp;$D348&amp;"|"&amp;V$14&amp;"|"&amp;"CY2024Q3",Spectrum!$R:$R,0)),0),""))</f>
        <v>925</v>
      </c>
      <c r="W348" s="220">
        <f>IF(LEFT($B348,4)="_Mil","",_xlfn.IFNA(INDEX(Spectrum!$N:$N,MATCH(RIGHT($B348,13)&amp;"|"&amp;$C348&amp;"|"&amp;$D348&amp;"|"&amp;W$14&amp;"|"&amp;"CY2024Q3",Spectrum!$R:$R,0)),""))</f>
        <v>3.4548983999999998E-2</v>
      </c>
      <c r="X348" s="218">
        <f>IF(LEFT($B348,4)="_Mil","",_xlfn.IFNA(ROUND(INDEX(Spectrum!$N:$N,MATCH(RIGHT($B348,13)&amp;"|"&amp;$C348&amp;"|"&amp;$D348&amp;"|"&amp;X$14&amp;"|"&amp;"CY2024Q3",Spectrum!$R:$R,0)),0),""))</f>
        <v>847</v>
      </c>
      <c r="Y348" s="33">
        <f t="shared" si="88"/>
        <v>0.92</v>
      </c>
      <c r="Z348" s="218">
        <f>IF(LEFT($B348,4)="_Mil","",_xlfn.IFNA(ROUND(INDEX(Spectrum!$N:$N,MATCH(RIGHT($B348,13)&amp;"|"&amp;$C348&amp;"|"&amp;$D348&amp;"|"&amp;Z$14&amp;"|"&amp;"CY2024Q3",Spectrum!$R:$R,0)),0),""))</f>
        <v>856</v>
      </c>
      <c r="AA348" s="33">
        <f>IF(LEFT($B348,4)="_Mil","",IFERROR(1/(1/INDEX(Spectrum!$N:$N,MATCH(RIGHT($B348,13)&amp;"|"&amp;$C348&amp;"|"&amp;$D348&amp;"|"&amp;AA$14&amp;"|"&amp;"CY2024Q3",Spectrum!$R:$R,0))),IF(SUM($U348)=0,"",SUM($Z348)/$U348)))</f>
        <v>0.92068153900000016</v>
      </c>
      <c r="AB348" s="33">
        <f t="shared" si="89"/>
        <v>1.0106257378984651</v>
      </c>
      <c r="AC348" s="38">
        <f>IF(LEFT($B348,4)="_Mil","",_xlfn.IFNA(ROUND(INDEX(Spectrum!$N:$N,MATCH(RIGHT($B348,13)&amp;"|"&amp;$C348&amp;"|"&amp;$D348&amp;"|"&amp;AC$14&amp;"|"&amp;"CY2024Q3",Spectrum!$R:$R,0)),0),""))</f>
        <v>69</v>
      </c>
      <c r="AD348" s="38" t="str">
        <f>IF(LEFT($B348,4)="_Mil","",_xlfn.IFNA(ROUND(INDEX(Spectrum!$N:$N,MATCH(RIGHT($B348,13)&amp;"|"&amp;$C348&amp;"|"&amp;$D348&amp;"|"&amp;AD$14&amp;"|"&amp;"CY2024Q3",Spectrum!$R:$R,0)),0),""))</f>
        <v/>
      </c>
      <c r="AE348" s="33">
        <f t="shared" si="90"/>
        <v>0</v>
      </c>
      <c r="AF348" s="218" t="str">
        <f>IF(LEFT($B348,4)="_Mil","",_xlfn.IFNA(ROUND(INDEX(Spectrum!$N:$N,MATCH(RIGHT($B348,13)&amp;"|"&amp;$C348&amp;"|"&amp;$D348&amp;"|"&amp;AF$14&amp;"|"&amp;"CY2024Q3",Spectrum!$R:$R,0)),0),""))</f>
        <v/>
      </c>
      <c r="AG348" s="33" t="str">
        <f t="shared" si="91"/>
        <v/>
      </c>
      <c r="AH348" s="110" t="str">
        <f>IF(LEFT($B348,4)="_Mil","",_xlfn.IFNA(INDEX(Spectrum!$N:$N,MATCH(RIGHT($B348,13)&amp;"|"&amp;$C348&amp;"|"&amp;$D348&amp;"|"&amp;AH$14&amp;"|"&amp;"CY2024Q3",Spectrum!$R:$R,0)),""))</f>
        <v/>
      </c>
      <c r="AI348" s="218">
        <f>IF(LEFT($B348,4)="_Mil","",_xlfn.IFNA(ROUND(INDEX(Spectrum!$N:$N,MATCH(RIGHT($B348,13)&amp;"|"&amp;$C348&amp;"|"&amp;$D348&amp;"|"&amp;AI$14&amp;"|"&amp;"CY2025Q3",Spectrum!$R:$R,0)),0),""))</f>
        <v>9</v>
      </c>
      <c r="AJ348" s="38">
        <f>IF(LEFT($B348,4)="_Mil","",_xlfn.IFNA(ROUND(INDEX(Spectrum!$N:$N,MATCH(RIGHT($B348,13)&amp;"|"&amp;$C348&amp;"|"&amp;$D348&amp;"|"&amp;AJ$14&amp;"|"&amp;"CY2025Q3",Spectrum!$R:$R,0)),0),""))</f>
        <v>870</v>
      </c>
      <c r="AK348" s="218" t="e">
        <f>#REF!</f>
        <v>#REF!</v>
      </c>
      <c r="AL348" s="33">
        <f t="shared" si="92"/>
        <v>0.92068153900000016</v>
      </c>
      <c r="AM348" s="38" t="e">
        <f>IF(OR(LEFT($B348,4)="_Mil",$C348="&lt;01"),"",ROUND(SUM($AK348)*SUM($AL348),0))</f>
        <v>#REF!</v>
      </c>
      <c r="AN348" s="38" t="str">
        <f>IF($C348="&lt;01",ROUND(INDEX(EID!$P:$P,MATCH($B348,EID!$B:$B,0))/2,0),"")</f>
        <v/>
      </c>
      <c r="AO348" s="38" t="e">
        <f>IF($C348="&lt;01",SUM($AN348),ROUND(SUM($AM348)*SUM($O348)/IF(SUM($Z348)=0,1,$Z348),0))</f>
        <v>#REF!</v>
      </c>
      <c r="AP348" s="218">
        <f>IF(OR($F348="",$C348="&lt;01"),$AO348,ROUND($F348,0))</f>
        <v>704</v>
      </c>
      <c r="AQ348" s="218">
        <f>IF(LEFT($B348,4)="_Mil","",IF(SUM($AP348)=0,SUM($Z348),IF(OR(SUM($Z348)=0,SUM($O348)=0),MAX($AP348,$Z348),ROUND($AP348*$Z348/$O348,0))))</f>
        <v>867</v>
      </c>
      <c r="AR348" s="33" t="e">
        <f>IF(OR(LEFT($B348,4)="_Mil",SUM($AK348)=0),"",SUM($AQ348)/$AK348)</f>
        <v>#REF!</v>
      </c>
      <c r="AS348" s="33">
        <f t="shared" si="85"/>
        <v>0.98</v>
      </c>
      <c r="AT348" s="33">
        <f t="shared" si="83"/>
        <v>0.98</v>
      </c>
      <c r="AU348" s="38">
        <f>IF($C348="&lt;01","",SUM($AP348)-SUM($O348))</f>
        <v>9</v>
      </c>
      <c r="AV348" s="38">
        <f>IF($C348="&lt;01",ROUND(INDEX(EID!$N:$N,MATCH($B348,EID!$B:$B,0))/2,0),IF(SUM($AT348)=0,"",ROUND((SUM($AP348)-(SUM($O348)*SUM($AS348)))/$AT348,0)))</f>
        <v>23</v>
      </c>
      <c r="AW348" s="33">
        <f t="shared" si="96"/>
        <v>1</v>
      </c>
      <c r="AX348" s="218">
        <f>IF($C348="&lt;01",SUM($AV348),ROUND(SUM($AV348)*SUM($AW348),0))</f>
        <v>23</v>
      </c>
      <c r="AY348" s="79">
        <f t="shared" si="93"/>
        <v>0.7</v>
      </c>
      <c r="AZ348" s="85">
        <f>IF($C348="&lt;01",ROUND(INDEX(EID!$R:$R,MATCH($B348,EID!$B:$B,0))/2,0),ROUND(SUM($O348)+(SUM($AV348)*$AY348),0))</f>
        <v>711</v>
      </c>
      <c r="BA348" s="40">
        <f t="shared" si="82"/>
        <v>0.9</v>
      </c>
      <c r="BB348" s="99">
        <f>IF($C348="&lt;01",ROUND(INDEX(EID!$T:$T,MATCH($B348,EID!$B:$B,0))/2,0),ROUND($AP348*$BA348,0))</f>
        <v>634</v>
      </c>
      <c r="BC348" s="85">
        <f>IF(LEFT($B348,4)="_Mil","",IF(SUM($BB348)=0,SUM($AD348),IF(OR(SUM($AP348)=0,SUM($AQ348)=0),MAX($BB348,$AD348),ROUND($BB348*$AQ348/$AP348,0))))</f>
        <v>781</v>
      </c>
      <c r="BD348" s="33">
        <f t="shared" si="94"/>
        <v>0.95</v>
      </c>
      <c r="BE348" s="218">
        <f>IF($C348="&lt;01",ROUND(INDEX(EID!$V:$V,MATCH($B348,EID!$B:$B,0))/2,0),ROUND($BD348*$BB348,0))</f>
        <v>602</v>
      </c>
      <c r="BF348" s="218">
        <f>IF(LEFT($B348,4)="_Mil","",IF(SUM($BE348)=0,SUM($AF348),IF(OR(SUM($AP348)=0,SUM($AQ348)=0),MAX($BE348,$AF348),ROUND($BE348*$AQ348/$AP348,0))))</f>
        <v>741</v>
      </c>
      <c r="BG348" s="79">
        <f t="shared" si="95"/>
        <v>0.95</v>
      </c>
      <c r="BH348" s="99">
        <f>IF($C348="&lt;01",ROUND(INDEX(EID!$L:$L,MATCH($B348,EID!$B:$B,0)),0)/2,IF(SUM($BG348)=0,"",ROUND($AX348/$BG348,0)))</f>
        <v>24</v>
      </c>
    </row>
    <row r="349" spans="1:60" x14ac:dyDescent="0.2">
      <c r="A349" t="str">
        <f>INDEX(Prioritization!$D:$D,MATCH($B349,Prioritization!$A:$A,0))</f>
        <v>4 - Sustained</v>
      </c>
      <c r="B349" t="s">
        <v>305</v>
      </c>
      <c r="C349" t="s">
        <v>478</v>
      </c>
      <c r="D349" t="s">
        <v>30</v>
      </c>
      <c r="E349" t="str">
        <f t="shared" si="86"/>
        <v>Ntchisi District [fiRkU6gEjLz]|50+|Female</v>
      </c>
      <c r="F349" s="229">
        <v>865</v>
      </c>
      <c r="G349" s="38">
        <v>15</v>
      </c>
      <c r="H349" s="38">
        <v>14</v>
      </c>
      <c r="I349" s="38">
        <v>915</v>
      </c>
      <c r="J349" s="38">
        <v>673</v>
      </c>
      <c r="K349" s="38">
        <v>658</v>
      </c>
      <c r="L349" s="38">
        <v>27</v>
      </c>
      <c r="M349" s="38">
        <v>26</v>
      </c>
      <c r="N349" s="38">
        <v>715</v>
      </c>
      <c r="O349" s="229">
        <v>797</v>
      </c>
      <c r="P349" s="38">
        <v>634</v>
      </c>
      <c r="Q349" s="38">
        <v>602</v>
      </c>
      <c r="R349" s="38">
        <f t="shared" si="87"/>
        <v>-118</v>
      </c>
      <c r="S349" s="38">
        <f>IF(LEFT($B349,4)="_Mil","",_xlfn.IFNA(ROUND(INDEX(Spectrum!$N:$N,MATCH(RIGHT($B349,13)&amp;"|"&amp;$C349&amp;"|"&amp;$D349&amp;"|"&amp;S$14&amp;"|"&amp;"CY2023Q4",Spectrum!$R:$R,0)),0),""))</f>
        <v>704</v>
      </c>
      <c r="T349" s="218">
        <f>IF(LEFT($B349,4)="_Mil","",_xlfn.IFNA(ROUND(INDEX(Spectrum!$N:$N,MATCH(RIGHT($B349,13)&amp;"|"&amp;$C349&amp;"|"&amp;$D349&amp;"|"&amp;T$14&amp;"|"&amp;"CY2024Q3",Spectrum!$R:$R,0)),0),""))</f>
        <v>17940</v>
      </c>
      <c r="U349" s="218">
        <f>IF(LEFT($B349,4)="_Mil","",_xlfn.IFNA(ROUND(INDEX(Spectrum!$N:$N,MATCH(RIGHT($B349,13)&amp;"|"&amp;$C349&amp;"|"&amp;$D349&amp;"|"&amp;U$14&amp;"|"&amp;"CY2024Q3",Spectrum!$R:$R,0)),0),""))</f>
        <v>744</v>
      </c>
      <c r="V349" s="38">
        <f>IF(LEFT($B349,4)="_Mil","",_xlfn.IFNA(ROUND(INDEX(Spectrum!$N:$N,MATCH(RIGHT($B349,13)&amp;"|"&amp;$C349&amp;"|"&amp;$D349&amp;"|"&amp;V$14&amp;"|"&amp;"CY2024Q3",Spectrum!$R:$R,0)),0),""))</f>
        <v>759</v>
      </c>
      <c r="W349" s="220">
        <f>IF(LEFT($B349,4)="_Mil","",_xlfn.IFNA(INDEX(Spectrum!$N:$N,MATCH(RIGHT($B349,13)&amp;"|"&amp;$C349&amp;"|"&amp;$D349&amp;"|"&amp;W$14&amp;"|"&amp;"CY2024Q3",Spectrum!$R:$R,0)),""))</f>
        <v>4.1472736000000003E-2</v>
      </c>
      <c r="X349" s="218">
        <f>IF(LEFT($B349,4)="_Mil","",_xlfn.IFNA(ROUND(INDEX(Spectrum!$N:$N,MATCH(RIGHT($B349,13)&amp;"|"&amp;$C349&amp;"|"&amp;$D349&amp;"|"&amp;X$14&amp;"|"&amp;"CY2024Q3",Spectrum!$R:$R,0)),0),""))</f>
        <v>736</v>
      </c>
      <c r="Y349" s="33">
        <f t="shared" si="88"/>
        <v>0.99</v>
      </c>
      <c r="Z349" s="218">
        <f>IF(LEFT($B349,4)="_Mil","",_xlfn.IFNA(ROUND(INDEX(Spectrum!$N:$N,MATCH(RIGHT($B349,13)&amp;"|"&amp;$C349&amp;"|"&amp;$D349&amp;"|"&amp;Z$14&amp;"|"&amp;"CY2024Q3",Spectrum!$R:$R,0)),0),""))</f>
        <v>749</v>
      </c>
      <c r="AA349" s="33">
        <f>IF(LEFT($B349,4)="_Mil","",IFERROR(1/(1/INDEX(Spectrum!$N:$N,MATCH(RIGHT($B349,13)&amp;"|"&amp;$C349&amp;"|"&amp;$D349&amp;"|"&amp;AA$14&amp;"|"&amp;"CY2024Q3",Spectrum!$R:$R,0))),IF(SUM($U349)=0,"",SUM($Z349)/$U349)))</f>
        <v>0.98757174000000003</v>
      </c>
      <c r="AB349" s="33">
        <f t="shared" si="89"/>
        <v>1.017663043478261</v>
      </c>
      <c r="AC349" s="38">
        <f>IF(LEFT($B349,4)="_Mil","",_xlfn.IFNA(ROUND(INDEX(Spectrum!$N:$N,MATCH(RIGHT($B349,13)&amp;"|"&amp;$C349&amp;"|"&amp;$D349&amp;"|"&amp;AC$14&amp;"|"&amp;"CY2024Q3",Spectrum!$R:$R,0)),0),""))</f>
        <v>10</v>
      </c>
      <c r="AD349" s="38" t="str">
        <f>IF(LEFT($B349,4)="_Mil","",_xlfn.IFNA(ROUND(INDEX(Spectrum!$N:$N,MATCH(RIGHT($B349,13)&amp;"|"&amp;$C349&amp;"|"&amp;$D349&amp;"|"&amp;AD$14&amp;"|"&amp;"CY2024Q3",Spectrum!$R:$R,0)),0),""))</f>
        <v/>
      </c>
      <c r="AE349" s="33">
        <f t="shared" si="90"/>
        <v>0</v>
      </c>
      <c r="AF349" s="218" t="str">
        <f>IF(LEFT($B349,4)="_Mil","",_xlfn.IFNA(ROUND(INDEX(Spectrum!$N:$N,MATCH(RIGHT($B349,13)&amp;"|"&amp;$C349&amp;"|"&amp;$D349&amp;"|"&amp;AF$14&amp;"|"&amp;"CY2024Q3",Spectrum!$R:$R,0)),0),""))</f>
        <v/>
      </c>
      <c r="AG349" s="33" t="str">
        <f t="shared" si="91"/>
        <v/>
      </c>
      <c r="AH349" s="110" t="str">
        <f>IF(LEFT($B349,4)="_Mil","",_xlfn.IFNA(INDEX(Spectrum!$N:$N,MATCH(RIGHT($B349,13)&amp;"|"&amp;$C349&amp;"|"&amp;$D349&amp;"|"&amp;AH$14&amp;"|"&amp;"CY2024Q3",Spectrum!$R:$R,0)),""))</f>
        <v/>
      </c>
      <c r="AI349" s="218">
        <f>IF(LEFT($B349,4)="_Mil","",_xlfn.IFNA(ROUND(INDEX(Spectrum!$N:$N,MATCH(RIGHT($B349,13)&amp;"|"&amp;$C349&amp;"|"&amp;$D349&amp;"|"&amp;AI$14&amp;"|"&amp;"CY2025Q3",Spectrum!$R:$R,0)),0),""))</f>
        <v>1</v>
      </c>
      <c r="AJ349" s="38">
        <f>IF(LEFT($B349,4)="_Mil","",_xlfn.IFNA(ROUND(INDEX(Spectrum!$N:$N,MATCH(RIGHT($B349,13)&amp;"|"&amp;$C349&amp;"|"&amp;$D349&amp;"|"&amp;AJ$14&amp;"|"&amp;"CY2025Q3",Spectrum!$R:$R,0)),0),""))</f>
        <v>807</v>
      </c>
      <c r="AK349" s="218" t="e">
        <f>#REF!</f>
        <v>#REF!</v>
      </c>
      <c r="AL349" s="33">
        <f t="shared" si="92"/>
        <v>0.98757174000000003</v>
      </c>
      <c r="AM349" s="38" t="e">
        <f>IF(OR(LEFT($B349,4)="_Mil",$C349="&lt;01"),"",ROUND(SUM($AK349)*SUM($AL349),0))</f>
        <v>#REF!</v>
      </c>
      <c r="AN349" s="38" t="str">
        <f>IF($C349="&lt;01",ROUND(INDEX(EID!$P:$P,MATCH($B349,EID!$B:$B,0))/2,0),"")</f>
        <v/>
      </c>
      <c r="AO349" s="38" t="e">
        <f>IF($C349="&lt;01",SUM($AN349),ROUND(SUM($AM349)*SUM($O349)/IF(SUM($Z349)=0,1,$Z349),0))</f>
        <v>#REF!</v>
      </c>
      <c r="AP349" s="218">
        <f>IF(OR($F349="",$C349="&lt;01"),$AO349,ROUND($F349,0))</f>
        <v>865</v>
      </c>
      <c r="AQ349" s="218">
        <f>IF(LEFT($B349,4)="_Mil","",IF(SUM($AP349)=0,SUM($Z349),IF(OR(SUM($Z349)=0,SUM($O349)=0),MAX($AP349,$Z349),ROUND($AP349*$Z349/$O349,0))))</f>
        <v>813</v>
      </c>
      <c r="AR349" s="33" t="e">
        <f>IF(OR(LEFT($B349,4)="_Mil",SUM($AK349)=0),"",SUM($AQ349)/$AK349)</f>
        <v>#REF!</v>
      </c>
      <c r="AS349" s="33">
        <v>1.02</v>
      </c>
      <c r="AT349" s="33">
        <f>IF($C349="&lt;01","",100%)</f>
        <v>1</v>
      </c>
      <c r="AU349" s="38">
        <f>IF($C349="&lt;01","",SUM($AP349)-SUM($O349))</f>
        <v>68</v>
      </c>
      <c r="AV349" s="38">
        <f>IF($C349="&lt;01",ROUND(INDEX(EID!$N:$N,MATCH($B349,EID!$B:$B,0))/2,0),IF(SUM($AT349)=0,"",ROUND((SUM($AP349)-(SUM($O349)*SUM($AS349)))/$AT349,0)))</f>
        <v>52</v>
      </c>
      <c r="AW349" s="33">
        <v>0.8</v>
      </c>
      <c r="AX349" s="218">
        <f>IF($C349="&lt;01",SUM($AV349),ROUND(SUM($AV349)*SUM($AW349),0))</f>
        <v>42</v>
      </c>
      <c r="AY349" s="79">
        <f t="shared" si="93"/>
        <v>0.7</v>
      </c>
      <c r="AZ349" s="85">
        <f>IF($C349="&lt;01",ROUND(INDEX(EID!$R:$R,MATCH($B349,EID!$B:$B,0))/2,0),ROUND(SUM($O349)+(SUM($AV349)*$AY349),0))</f>
        <v>833</v>
      </c>
      <c r="BA349" s="40">
        <f t="shared" si="82"/>
        <v>0.9</v>
      </c>
      <c r="BB349" s="99">
        <f>IF($C349="&lt;01",ROUND(INDEX(EID!$T:$T,MATCH($B349,EID!$B:$B,0))/2,0),ROUND($AP349*$BA349,0))</f>
        <v>779</v>
      </c>
      <c r="BC349" s="85">
        <f>IF(LEFT($B349,4)="_Mil","",IF(SUM($BB349)=0,SUM($AD349),IF(OR(SUM($AP349)=0,SUM($AQ349)=0),MAX($BB349,$AD349),ROUND($BB349*$AQ349/$AP349,0))))</f>
        <v>732</v>
      </c>
      <c r="BD349" s="33">
        <f t="shared" si="94"/>
        <v>0.95</v>
      </c>
      <c r="BE349" s="218">
        <f>IF($C349="&lt;01",ROUND(INDEX(EID!$V:$V,MATCH($B349,EID!$B:$B,0))/2,0),ROUND($BD349*$BB349,0))</f>
        <v>740</v>
      </c>
      <c r="BF349" s="218">
        <f>IF(LEFT($B349,4)="_Mil","",IF(SUM($BE349)=0,SUM($AF349),IF(OR(SUM($AP349)=0,SUM($AQ349)=0),MAX($BE349,$AF349),ROUND($BE349*$AQ349/$AP349,0))))</f>
        <v>696</v>
      </c>
      <c r="BG349" s="79">
        <f t="shared" si="95"/>
        <v>0.95</v>
      </c>
      <c r="BH349" s="99">
        <f>IF($C349="&lt;01",ROUND(INDEX(EID!$L:$L,MATCH($B349,EID!$B:$B,0)),0)/2,IF(SUM($BG349)=0,"",ROUND($AX349/$BG349,0)))</f>
        <v>44</v>
      </c>
    </row>
    <row r="350" spans="1:60" x14ac:dyDescent="0.2">
      <c r="A350" t="str">
        <f>INDEX(Prioritization!$D:$D,MATCH($B350,Prioritization!$A:$A,0))</f>
        <v>4 - Sustained</v>
      </c>
      <c r="B350" t="s">
        <v>305</v>
      </c>
      <c r="C350" t="s">
        <v>478</v>
      </c>
      <c r="D350" t="s">
        <v>48</v>
      </c>
      <c r="E350" t="str">
        <f t="shared" si="86"/>
        <v>Ntchisi District [fiRkU6gEjLz]|50+|Male</v>
      </c>
      <c r="F350" s="229">
        <v>790</v>
      </c>
      <c r="G350" s="38">
        <v>17</v>
      </c>
      <c r="H350" s="38">
        <v>25</v>
      </c>
      <c r="I350" s="38">
        <v>758</v>
      </c>
      <c r="J350" s="38">
        <v>576</v>
      </c>
      <c r="K350" s="38">
        <v>565</v>
      </c>
      <c r="L350" s="38">
        <v>9</v>
      </c>
      <c r="M350" s="38">
        <v>9</v>
      </c>
      <c r="N350" s="38">
        <v>669</v>
      </c>
      <c r="O350" s="229">
        <v>746</v>
      </c>
      <c r="P350" s="38">
        <v>603</v>
      </c>
      <c r="Q350" s="38">
        <v>573</v>
      </c>
      <c r="R350" s="38">
        <f t="shared" si="87"/>
        <v>-12</v>
      </c>
      <c r="S350" s="38">
        <f>IF(LEFT($B350,4)="_Mil","",_xlfn.IFNA(ROUND(INDEX(Spectrum!$N:$N,MATCH(RIGHT($B350,13)&amp;"|"&amp;$C350&amp;"|"&amp;$D350&amp;"|"&amp;S$14&amp;"|"&amp;"CY2023Q4",Spectrum!$R:$R,0)),0),""))</f>
        <v>635</v>
      </c>
      <c r="T350" s="218">
        <f>IF(LEFT($B350,4)="_Mil","",_xlfn.IFNA(ROUND(INDEX(Spectrum!$N:$N,MATCH(RIGHT($B350,13)&amp;"|"&amp;$C350&amp;"|"&amp;$D350&amp;"|"&amp;T$14&amp;"|"&amp;"CY2024Q3",Spectrum!$R:$R,0)),0),""))</f>
        <v>14476</v>
      </c>
      <c r="U350" s="218">
        <f>IF(LEFT($B350,4)="_Mil","",_xlfn.IFNA(ROUND(INDEX(Spectrum!$N:$N,MATCH(RIGHT($B350,13)&amp;"|"&amp;$C350&amp;"|"&amp;$D350&amp;"|"&amp;U$14&amp;"|"&amp;"CY2024Q3",Spectrum!$R:$R,0)),0),""))</f>
        <v>699</v>
      </c>
      <c r="V350" s="38">
        <f>IF(LEFT($B350,4)="_Mil","",_xlfn.IFNA(ROUND(INDEX(Spectrum!$N:$N,MATCH(RIGHT($B350,13)&amp;"|"&amp;$C350&amp;"|"&amp;$D350&amp;"|"&amp;V$14&amp;"|"&amp;"CY2024Q3",Spectrum!$R:$R,0)),0),""))</f>
        <v>710</v>
      </c>
      <c r="W350" s="220">
        <f>IF(LEFT($B350,4)="_Mil","",_xlfn.IFNA(INDEX(Spectrum!$N:$N,MATCH(RIGHT($B350,13)&amp;"|"&amp;$C350&amp;"|"&amp;$D350&amp;"|"&amp;W$14&amp;"|"&amp;"CY2024Q3",Spectrum!$R:$R,0)),""))</f>
        <v>4.8310389000000002E-2</v>
      </c>
      <c r="X350" s="218">
        <f>IF(LEFT($B350,4)="_Mil","",_xlfn.IFNA(ROUND(INDEX(Spectrum!$N:$N,MATCH(RIGHT($B350,13)&amp;"|"&amp;$C350&amp;"|"&amp;$D350&amp;"|"&amp;X$14&amp;"|"&amp;"CY2024Q3",Spectrum!$R:$R,0)),0),""))</f>
        <v>664</v>
      </c>
      <c r="Y350" s="33">
        <f t="shared" si="88"/>
        <v>0.95</v>
      </c>
      <c r="Z350" s="218">
        <f>IF(LEFT($B350,4)="_Mil","",_xlfn.IFNA(ROUND(INDEX(Spectrum!$N:$N,MATCH(RIGHT($B350,13)&amp;"|"&amp;$C350&amp;"|"&amp;$D350&amp;"|"&amp;Z$14&amp;"|"&amp;"CY2024Q3",Spectrum!$R:$R,0)),0),""))</f>
        <v>673</v>
      </c>
      <c r="AA350" s="33">
        <f>IF(LEFT($B350,4)="_Mil","",IFERROR(1/(1/INDEX(Spectrum!$N:$N,MATCH(RIGHT($B350,13)&amp;"|"&amp;$C350&amp;"|"&amp;$D350&amp;"|"&amp;AA$14&amp;"|"&amp;"CY2024Q3",Spectrum!$R:$R,0))),IF(SUM($U350)=0,"",SUM($Z350)/$U350)))</f>
        <v>0.94551303299999989</v>
      </c>
      <c r="AB350" s="33">
        <f t="shared" si="89"/>
        <v>1.0135542168674698</v>
      </c>
      <c r="AC350" s="38">
        <f>IF(LEFT($B350,4)="_Mil","",_xlfn.IFNA(ROUND(INDEX(Spectrum!$N:$N,MATCH(RIGHT($B350,13)&amp;"|"&amp;$C350&amp;"|"&amp;$D350&amp;"|"&amp;AC$14&amp;"|"&amp;"CY2024Q3",Spectrum!$R:$R,0)),0),""))</f>
        <v>37</v>
      </c>
      <c r="AD350" s="38" t="str">
        <f>IF(LEFT($B350,4)="_Mil","",_xlfn.IFNA(ROUND(INDEX(Spectrum!$N:$N,MATCH(RIGHT($B350,13)&amp;"|"&amp;$C350&amp;"|"&amp;$D350&amp;"|"&amp;AD$14&amp;"|"&amp;"CY2024Q3",Spectrum!$R:$R,0)),0),""))</f>
        <v/>
      </c>
      <c r="AE350" s="33">
        <f t="shared" si="90"/>
        <v>0</v>
      </c>
      <c r="AF350" s="218" t="str">
        <f>IF(LEFT($B350,4)="_Mil","",_xlfn.IFNA(ROUND(INDEX(Spectrum!$N:$N,MATCH(RIGHT($B350,13)&amp;"|"&amp;$C350&amp;"|"&amp;$D350&amp;"|"&amp;AF$14&amp;"|"&amp;"CY2024Q3",Spectrum!$R:$R,0)),0),""))</f>
        <v/>
      </c>
      <c r="AG350" s="33" t="str">
        <f t="shared" si="91"/>
        <v/>
      </c>
      <c r="AH350" s="110" t="str">
        <f>IF(LEFT($B350,4)="_Mil","",_xlfn.IFNA(INDEX(Spectrum!$N:$N,MATCH(RIGHT($B350,13)&amp;"|"&amp;$C350&amp;"|"&amp;$D350&amp;"|"&amp;AH$14&amp;"|"&amp;"CY2024Q3",Spectrum!$R:$R,0)),""))</f>
        <v/>
      </c>
      <c r="AI350" s="218">
        <f>IF(LEFT($B350,4)="_Mil","",_xlfn.IFNA(ROUND(INDEX(Spectrum!$N:$N,MATCH(RIGHT($B350,13)&amp;"|"&amp;$C350&amp;"|"&amp;$D350&amp;"|"&amp;AI$14&amp;"|"&amp;"CY2025Q3",Spectrum!$R:$R,0)),0),""))</f>
        <v>3</v>
      </c>
      <c r="AJ350" s="38">
        <f>IF(LEFT($B350,4)="_Mil","",_xlfn.IFNA(ROUND(INDEX(Spectrum!$N:$N,MATCH(RIGHT($B350,13)&amp;"|"&amp;$C350&amp;"|"&amp;$D350&amp;"|"&amp;AJ$14&amp;"|"&amp;"CY2025Q3",Spectrum!$R:$R,0)),0),""))</f>
        <v>741</v>
      </c>
      <c r="AK350" s="218" t="e">
        <f>#REF!</f>
        <v>#REF!</v>
      </c>
      <c r="AL350" s="33">
        <f t="shared" si="92"/>
        <v>0.94551303299999989</v>
      </c>
      <c r="AM350" s="38" t="e">
        <f>IF(OR(LEFT($B350,4)="_Mil",$C350="&lt;01"),"",ROUND(SUM($AK350)*SUM($AL350),0))</f>
        <v>#REF!</v>
      </c>
      <c r="AN350" s="38" t="str">
        <f>IF($C350="&lt;01",ROUND(INDEX(EID!$P:$P,MATCH($B350,EID!$B:$B,0))/2,0),"")</f>
        <v/>
      </c>
      <c r="AO350" s="38" t="e">
        <f>IF($C350="&lt;01",SUM($AN350),ROUND(SUM($AM350)*SUM($O350)/IF(SUM($Z350)=0,1,$Z350),0))</f>
        <v>#REF!</v>
      </c>
      <c r="AP350" s="218">
        <f>IF(OR($F350="",$C350="&lt;01"),$AO350,ROUND($F350,0))</f>
        <v>790</v>
      </c>
      <c r="AQ350" s="218">
        <f>IF(LEFT($B350,4)="_Mil","",IF(SUM($AP350)=0,SUM($Z350),IF(OR(SUM($Z350)=0,SUM($O350)=0),MAX($AP350,$Z350),ROUND($AP350*$Z350/$O350,0))))</f>
        <v>713</v>
      </c>
      <c r="AR350" s="33" t="e">
        <f>IF(OR(LEFT($B350,4)="_Mil",SUM($AK350)=0),"",SUM($AQ350)/$AK350)</f>
        <v>#REF!</v>
      </c>
      <c r="AS350" s="33">
        <v>1.02</v>
      </c>
      <c r="AT350" s="33">
        <f>IF($C350="&lt;01","",100%)</f>
        <v>1</v>
      </c>
      <c r="AU350" s="38">
        <f>IF($C350="&lt;01","",SUM($AP350)-SUM($O350))</f>
        <v>44</v>
      </c>
      <c r="AV350" s="38">
        <f>IF($C350="&lt;01",ROUND(INDEX(EID!$N:$N,MATCH($B350,EID!$B:$B,0))/2,0),IF(SUM($AT350)=0,"",ROUND((SUM($AP350)-(SUM($O350)*SUM($AS350)))/$AT350,0)))</f>
        <v>29</v>
      </c>
      <c r="AW350" s="33">
        <v>0.8</v>
      </c>
      <c r="AX350" s="218">
        <f>IF($C350="&lt;01",SUM($AV350),ROUND(SUM($AV350)*SUM($AW350),0))</f>
        <v>23</v>
      </c>
      <c r="AY350" s="79">
        <f t="shared" si="93"/>
        <v>0.7</v>
      </c>
      <c r="AZ350" s="85">
        <f>IF($C350="&lt;01",ROUND(INDEX(EID!$R:$R,MATCH($B350,EID!$B:$B,0))/2,0),ROUND(SUM($O350)+(SUM($AV350)*$AY350),0))</f>
        <v>766</v>
      </c>
      <c r="BA350" s="40">
        <f t="shared" si="82"/>
        <v>0.9</v>
      </c>
      <c r="BB350" s="99">
        <f>IF($C350="&lt;01",ROUND(INDEX(EID!$T:$T,MATCH($B350,EID!$B:$B,0))/2,0),ROUND($AP350*$BA350,0))</f>
        <v>711</v>
      </c>
      <c r="BC350" s="85">
        <f>IF(LEFT($B350,4)="_Mil","",IF(SUM($BB350)=0,SUM($AD350),IF(OR(SUM($AP350)=0,SUM($AQ350)=0),MAX($BB350,$AD350),ROUND($BB350*$AQ350/$AP350,0))))</f>
        <v>642</v>
      </c>
      <c r="BD350" s="33">
        <f t="shared" si="94"/>
        <v>0.95</v>
      </c>
      <c r="BE350" s="218">
        <f>IF($C350="&lt;01",ROUND(INDEX(EID!$V:$V,MATCH($B350,EID!$B:$B,0))/2,0),ROUND($BD350*$BB350,0))</f>
        <v>675</v>
      </c>
      <c r="BF350" s="218">
        <f>IF(LEFT($B350,4)="_Mil","",IF(SUM($BE350)=0,SUM($AF350),IF(OR(SUM($AP350)=0,SUM($AQ350)=0),MAX($BE350,$AF350),ROUND($BE350*$AQ350/$AP350,0))))</f>
        <v>609</v>
      </c>
      <c r="BG350" s="79">
        <f t="shared" si="95"/>
        <v>0.95</v>
      </c>
      <c r="BH350" s="99">
        <f>IF($C350="&lt;01",ROUND(INDEX(EID!$L:$L,MATCH($B350,EID!$B:$B,0)),0)/2,IF(SUM($BG350)=0,"",ROUND($AX350/$BG350,0)))</f>
        <v>24</v>
      </c>
    </row>
    <row r="351" spans="1:60" x14ac:dyDescent="0.2">
      <c r="A351" t="str">
        <f>INDEX(Prioritization!$D:$D,MATCH($B351,Prioritization!$A:$A,0))</f>
        <v>INVALID</v>
      </c>
      <c r="B351" t="s">
        <v>323</v>
      </c>
      <c r="C351" t="s">
        <v>426</v>
      </c>
      <c r="D351" t="s">
        <v>30</v>
      </c>
      <c r="E351" t="str">
        <f t="shared" si="86"/>
        <v>Phalombe District [AZyWpGzhcaA]|&lt;01|Female</v>
      </c>
      <c r="F351" s="229">
        <v>16</v>
      </c>
      <c r="G351" s="38">
        <v>12</v>
      </c>
      <c r="H351" s="38">
        <v>11</v>
      </c>
      <c r="I351" s="38">
        <v>4</v>
      </c>
      <c r="J351" s="38">
        <v>131</v>
      </c>
      <c r="K351" s="38">
        <v>117</v>
      </c>
      <c r="L351" s="38"/>
      <c r="M351" s="38">
        <v>18</v>
      </c>
      <c r="N351" s="38">
        <v>17</v>
      </c>
      <c r="O351" s="229">
        <v>16</v>
      </c>
      <c r="P351" s="38">
        <v>12</v>
      </c>
      <c r="Q351" s="38">
        <v>12</v>
      </c>
      <c r="R351" s="38">
        <f t="shared" si="87"/>
        <v>12</v>
      </c>
      <c r="S351" s="38">
        <f>IF(LEFT($B351,4)="_Mil","",_xlfn.IFNA(ROUND(INDEX(Spectrum!$N:$N,MATCH(RIGHT($B351,13)&amp;"|"&amp;$C351&amp;"|"&amp;$D351&amp;"|"&amp;S$14&amp;"|"&amp;"CY2023Q4",Spectrum!$R:$R,0)),0),""))</f>
        <v>20</v>
      </c>
      <c r="T351" s="218">
        <f>IF(LEFT($B351,4)="_Mil","",_xlfn.IFNA(ROUND(INDEX(Spectrum!$N:$N,MATCH(RIGHT($B351,13)&amp;"|"&amp;$C351&amp;"|"&amp;$D351&amp;"|"&amp;T$14&amp;"|"&amp;"CY2024Q3",Spectrum!$R:$R,0)),0),""))</f>
        <v>8785</v>
      </c>
      <c r="U351" s="218">
        <f>IF(LEFT($B351,4)="_Mil","",_xlfn.IFNA(ROUND(INDEX(Spectrum!$N:$N,MATCH(RIGHT($B351,13)&amp;"|"&amp;$C351&amp;"|"&amp;$D351&amp;"|"&amp;U$14&amp;"|"&amp;"CY2024Q3",Spectrum!$R:$R,0)),0),""))</f>
        <v>22</v>
      </c>
      <c r="V351" s="38">
        <f>IF(LEFT($B351,4)="_Mil","",_xlfn.IFNA(ROUND(INDEX(Spectrum!$N:$N,MATCH(RIGHT($B351,13)&amp;"|"&amp;$C351&amp;"|"&amp;$D351&amp;"|"&amp;V$14&amp;"|"&amp;"CY2024Q3",Spectrum!$R:$R,0)),0),""))</f>
        <v>19</v>
      </c>
      <c r="W351" s="220">
        <f>IF(LEFT($B351,4)="_Mil","",_xlfn.IFNA(INDEX(Spectrum!$N:$N,MATCH(RIGHT($B351,13)&amp;"|"&amp;$C351&amp;"|"&amp;$D351&amp;"|"&amp;W$14&amp;"|"&amp;"CY2024Q3",Spectrum!$R:$R,0)),""))</f>
        <v>2.5514550000000002E-3</v>
      </c>
      <c r="X351" s="218">
        <f>IF(LEFT($B351,4)="_Mil","",_xlfn.IFNA(ROUND(INDEX(Spectrum!$N:$N,MATCH(RIGHT($B351,13)&amp;"|"&amp;$C351&amp;"|"&amp;$D351&amp;"|"&amp;X$14&amp;"|"&amp;"CY2024Q3",Spectrum!$R:$R,0)),0),""))</f>
        <v>19</v>
      </c>
      <c r="Y351" s="33">
        <f t="shared" si="88"/>
        <v>0.86</v>
      </c>
      <c r="Z351" s="218">
        <f>IF(LEFT($B351,4)="_Mil","",_xlfn.IFNA(ROUND(INDEX(Spectrum!$N:$N,MATCH(RIGHT($B351,13)&amp;"|"&amp;$C351&amp;"|"&amp;$D351&amp;"|"&amp;Z$14&amp;"|"&amp;"CY2024Q3",Spectrum!$R:$R,0)),0),""))</f>
        <v>16</v>
      </c>
      <c r="AA351" s="33">
        <f>IF(LEFT($B351,4)="_Mil","",IFERROR(1/(1/INDEX(Spectrum!$N:$N,MATCH(RIGHT($B351,13)&amp;"|"&amp;$C351&amp;"|"&amp;$D351&amp;"|"&amp;AA$14&amp;"|"&amp;"CY2024Q3",Spectrum!$R:$R,0))),IF(SUM($U351)=0,"",SUM($Z351)/$U351)))</f>
        <v>0.81518243800000001</v>
      </c>
      <c r="AB351" s="33">
        <f t="shared" si="89"/>
        <v>0.84210526315789469</v>
      </c>
      <c r="AC351" s="38">
        <f>IF(LEFT($B351,4)="_Mil","",_xlfn.IFNA(ROUND(INDEX(Spectrum!$N:$N,MATCH(RIGHT($B351,13)&amp;"|"&amp;$C351&amp;"|"&amp;$D351&amp;"|"&amp;AC$14&amp;"|"&amp;"CY2024Q3",Spectrum!$R:$R,0)),0),""))</f>
        <v>2</v>
      </c>
      <c r="AD351" s="38" t="str">
        <f>IF(LEFT($B351,4)="_Mil","",_xlfn.IFNA(ROUND(INDEX(Spectrum!$N:$N,MATCH(RIGHT($B351,13)&amp;"|"&amp;$C351&amp;"|"&amp;$D351&amp;"|"&amp;AD$14&amp;"|"&amp;"CY2024Q3",Spectrum!$R:$R,0)),0),""))</f>
        <v/>
      </c>
      <c r="AE351" s="33">
        <f t="shared" si="90"/>
        <v>0</v>
      </c>
      <c r="AF351" s="218" t="str">
        <f>IF(LEFT($B351,4)="_Mil","",_xlfn.IFNA(ROUND(INDEX(Spectrum!$N:$N,MATCH(RIGHT($B351,13)&amp;"|"&amp;$C351&amp;"|"&amp;$D351&amp;"|"&amp;AF$14&amp;"|"&amp;"CY2024Q3",Spectrum!$R:$R,0)),0),""))</f>
        <v/>
      </c>
      <c r="AG351" s="33" t="str">
        <f t="shared" si="91"/>
        <v/>
      </c>
      <c r="AH351" s="110" t="str">
        <f>IF(LEFT($B351,4)="_Mil","",_xlfn.IFNA(INDEX(Spectrum!$N:$N,MATCH(RIGHT($B351,13)&amp;"|"&amp;$C351&amp;"|"&amp;$D351&amp;"|"&amp;AH$14&amp;"|"&amp;"CY2024Q3",Spectrum!$R:$R,0)),""))</f>
        <v/>
      </c>
      <c r="AI351" s="218">
        <f>IF(LEFT($B351,4)="_Mil","",_xlfn.IFNA(ROUND(INDEX(Spectrum!$N:$N,MATCH(RIGHT($B351,13)&amp;"|"&amp;$C351&amp;"|"&amp;$D351&amp;"|"&amp;AI$14&amp;"|"&amp;"CY2025Q3",Spectrum!$R:$R,0)),0),""))</f>
        <v>29</v>
      </c>
      <c r="AJ351" s="38">
        <f>IF(LEFT($B351,4)="_Mil","",_xlfn.IFNA(ROUND(INDEX(Spectrum!$N:$N,MATCH(RIGHT($B351,13)&amp;"|"&amp;$C351&amp;"|"&amp;$D351&amp;"|"&amp;AJ$14&amp;"|"&amp;"CY2025Q3",Spectrum!$R:$R,0)),0),""))</f>
        <v>20</v>
      </c>
      <c r="AK351" s="218" t="e">
        <f>#REF!</f>
        <v>#REF!</v>
      </c>
      <c r="AL351" s="33" t="str">
        <f t="shared" si="92"/>
        <v/>
      </c>
      <c r="AM351" s="38" t="str">
        <f>IF(OR(LEFT($B351,4)="_Mil",$C351="&lt;01"),"",ROUND(SUM($AK351)*SUM($AL351),0))</f>
        <v/>
      </c>
      <c r="AN351" s="38">
        <f>IF($C351="&lt;01",ROUND(INDEX(EID!$P:$P,MATCH($B351,EID!$B:$B,0))/2,0),"")</f>
        <v>10</v>
      </c>
      <c r="AO351" s="38">
        <f>IF($C351="&lt;01",SUM($AN351),ROUND(SUM($AM351)*SUM($O351)/IF(SUM($Z351)=0,1,$Z351),0))</f>
        <v>10</v>
      </c>
      <c r="AP351" s="218">
        <f>IF(OR($F351="",$C351="&lt;01"),$AO351,ROUND($F351,0))</f>
        <v>10</v>
      </c>
      <c r="AQ351" s="218">
        <f>IF(LEFT($B351,4)="_Mil","",IF(SUM($AP351)=0,SUM($Z351),IF(OR(SUM($Z351)=0,SUM($O351)=0),MAX($AP351,$Z351),ROUND($AP351*$Z351/$O351,0))))</f>
        <v>10</v>
      </c>
      <c r="AR351" s="33" t="e">
        <f>IF(OR(LEFT($B351,4)="_Mil",SUM($AK351)=0),"",SUM($AQ351)/$AK351)</f>
        <v>#REF!</v>
      </c>
      <c r="AS351" s="33" t="str">
        <f t="shared" si="85"/>
        <v/>
      </c>
      <c r="AT351" s="33" t="str">
        <f t="shared" si="83"/>
        <v/>
      </c>
      <c r="AU351" s="38" t="str">
        <f>IF($C351="&lt;01","",SUM($AP351)-SUM($O351))</f>
        <v/>
      </c>
      <c r="AV351" s="38">
        <f>IF($C351="&lt;01",ROUND(INDEX(EID!$N:$N,MATCH($B351,EID!$B:$B,0))/2,0),IF(SUM($AT351)=0,"",ROUND((SUM($AP351)-(SUM($O351)*SUM($AS351)))/$AT351,0)))</f>
        <v>10</v>
      </c>
      <c r="AW351" s="33" t="str">
        <f t="shared" si="96"/>
        <v/>
      </c>
      <c r="AX351" s="218">
        <f>IF($C351="&lt;01",SUM($AV351),ROUND(SUM($AV351)*SUM($AW351),0))</f>
        <v>10</v>
      </c>
      <c r="AY351" s="79" t="str">
        <f t="shared" si="93"/>
        <v/>
      </c>
      <c r="AZ351" s="85">
        <f>IF($C351="&lt;01",ROUND(INDEX(EID!$R:$R,MATCH($B351,EID!$B:$B,0))/2,0),ROUND(SUM($O351)+(SUM($AV351)*$AY351),0))</f>
        <v>7</v>
      </c>
      <c r="BA351" s="40" t="str">
        <f t="shared" ref="BA351:BA414" si="97">IF($C351="&lt;01","",90%)</f>
        <v/>
      </c>
      <c r="BB351" s="99">
        <f>IF($C351="&lt;01",ROUND(INDEX(EID!$T:$T,MATCH($B351,EID!$B:$B,0))/2,0),ROUND($AP351*$BA351,0))</f>
        <v>6</v>
      </c>
      <c r="BC351" s="85">
        <f>IF(LEFT($B351,4)="_Mil","",IF(SUM($BB351)=0,SUM($AD351),IF(OR(SUM($AP351)=0,SUM($AQ351)=0),MAX($BB351,$AD351),ROUND($BB351*$AQ351/$AP351,0))))</f>
        <v>6</v>
      </c>
      <c r="BD351" s="33" t="str">
        <f t="shared" si="94"/>
        <v/>
      </c>
      <c r="BE351" s="218">
        <f>IF($C351="&lt;01",ROUND(INDEX(EID!$V:$V,MATCH($B351,EID!$B:$B,0))/2,0),ROUND($BD351*$BB351,0))</f>
        <v>6</v>
      </c>
      <c r="BF351" s="218">
        <f>IF(LEFT($B351,4)="_Mil","",IF(SUM($BE351)=0,SUM($AF351),IF(OR(SUM($AP351)=0,SUM($AQ351)=0),MAX($BE351,$AF351),ROUND($BE351*$AQ351/$AP351,0))))</f>
        <v>6</v>
      </c>
      <c r="BG351" s="79" t="str">
        <f t="shared" si="95"/>
        <v/>
      </c>
      <c r="BH351" s="99">
        <f>IF($C351="&lt;01",ROUND(INDEX(EID!$L:$L,MATCH($B351,EID!$B:$B,0)),0)/2,IF(SUM($BG351)=0,"",ROUND($AX351/$BG351,0)))</f>
        <v>10</v>
      </c>
    </row>
    <row r="352" spans="1:60" x14ac:dyDescent="0.2">
      <c r="A352" t="str">
        <f>INDEX(Prioritization!$D:$D,MATCH($B352,Prioritization!$A:$A,0))</f>
        <v>INVALID</v>
      </c>
      <c r="B352" t="s">
        <v>323</v>
      </c>
      <c r="C352" t="s">
        <v>426</v>
      </c>
      <c r="D352" t="s">
        <v>48</v>
      </c>
      <c r="E352" t="str">
        <f t="shared" si="86"/>
        <v>Phalombe District [AZyWpGzhcaA]|&lt;01|Male</v>
      </c>
      <c r="F352" s="229">
        <v>16</v>
      </c>
      <c r="G352" s="38">
        <v>14</v>
      </c>
      <c r="H352" s="38">
        <v>11</v>
      </c>
      <c r="I352" s="38">
        <v>6</v>
      </c>
      <c r="J352" s="38">
        <v>81</v>
      </c>
      <c r="K352" s="38">
        <v>74</v>
      </c>
      <c r="L352" s="38"/>
      <c r="M352" s="38">
        <v>18</v>
      </c>
      <c r="N352" s="38">
        <v>17</v>
      </c>
      <c r="O352" s="229">
        <v>16</v>
      </c>
      <c r="P352" s="38">
        <v>12</v>
      </c>
      <c r="Q352" s="38">
        <v>12</v>
      </c>
      <c r="R352" s="38">
        <f t="shared" si="87"/>
        <v>10</v>
      </c>
      <c r="S352" s="38">
        <f>IF(LEFT($B352,4)="_Mil","",_xlfn.IFNA(ROUND(INDEX(Spectrum!$N:$N,MATCH(RIGHT($B352,13)&amp;"|"&amp;$C352&amp;"|"&amp;$D352&amp;"|"&amp;S$14&amp;"|"&amp;"CY2023Q4",Spectrum!$R:$R,0)),0),""))</f>
        <v>18</v>
      </c>
      <c r="T352" s="218">
        <f>IF(LEFT($B352,4)="_Mil","",_xlfn.IFNA(ROUND(INDEX(Spectrum!$N:$N,MATCH(RIGHT($B352,13)&amp;"|"&amp;$C352&amp;"|"&amp;$D352&amp;"|"&amp;T$14&amp;"|"&amp;"CY2024Q3",Spectrum!$R:$R,0)),0),""))</f>
        <v>8961</v>
      </c>
      <c r="U352" s="218">
        <f>IF(LEFT($B352,4)="_Mil","",_xlfn.IFNA(ROUND(INDEX(Spectrum!$N:$N,MATCH(RIGHT($B352,13)&amp;"|"&amp;$C352&amp;"|"&amp;$D352&amp;"|"&amp;U$14&amp;"|"&amp;"CY2024Q3",Spectrum!$R:$R,0)),0),""))</f>
        <v>23</v>
      </c>
      <c r="V352" s="38">
        <f>IF(LEFT($B352,4)="_Mil","",_xlfn.IFNA(ROUND(INDEX(Spectrum!$N:$N,MATCH(RIGHT($B352,13)&amp;"|"&amp;$C352&amp;"|"&amp;$D352&amp;"|"&amp;V$14&amp;"|"&amp;"CY2024Q3",Spectrum!$R:$R,0)),0),""))</f>
        <v>19</v>
      </c>
      <c r="W352" s="220">
        <f>IF(LEFT($B352,4)="_Mil","",_xlfn.IFNA(INDEX(Spectrum!$N:$N,MATCH(RIGHT($B352,13)&amp;"|"&amp;$C352&amp;"|"&amp;$D352&amp;"|"&amp;W$14&amp;"|"&amp;"CY2024Q3",Spectrum!$R:$R,0)),""))</f>
        <v>2.5377759999999998E-3</v>
      </c>
      <c r="X352" s="218">
        <f>IF(LEFT($B352,4)="_Mil","",_xlfn.IFNA(ROUND(INDEX(Spectrum!$N:$N,MATCH(RIGHT($B352,13)&amp;"|"&amp;$C352&amp;"|"&amp;$D352&amp;"|"&amp;X$14&amp;"|"&amp;"CY2024Q3",Spectrum!$R:$R,0)),0),""))</f>
        <v>19</v>
      </c>
      <c r="Y352" s="33">
        <f t="shared" si="88"/>
        <v>0.83</v>
      </c>
      <c r="Z352" s="218">
        <f>IF(LEFT($B352,4)="_Mil","",_xlfn.IFNA(ROUND(INDEX(Spectrum!$N:$N,MATCH(RIGHT($B352,13)&amp;"|"&amp;$C352&amp;"|"&amp;$D352&amp;"|"&amp;Z$14&amp;"|"&amp;"CY2024Q3",Spectrum!$R:$R,0)),0),""))</f>
        <v>15</v>
      </c>
      <c r="AA352" s="33">
        <f>IF(LEFT($B352,4)="_Mil","",IFERROR(1/(1/INDEX(Spectrum!$N:$N,MATCH(RIGHT($B352,13)&amp;"|"&amp;$C352&amp;"|"&amp;$D352&amp;"|"&amp;AA$14&amp;"|"&amp;"CY2024Q3",Spectrum!$R:$R,0))),IF(SUM($U352)=0,"",SUM($Z352)/$U352)))</f>
        <v>0.815178191</v>
      </c>
      <c r="AB352" s="33">
        <f t="shared" si="89"/>
        <v>0.78947368421052633</v>
      </c>
      <c r="AC352" s="38">
        <f>IF(LEFT($B352,4)="_Mil","",_xlfn.IFNA(ROUND(INDEX(Spectrum!$N:$N,MATCH(RIGHT($B352,13)&amp;"|"&amp;$C352&amp;"|"&amp;$D352&amp;"|"&amp;AC$14&amp;"|"&amp;"CY2024Q3",Spectrum!$R:$R,0)),0),""))</f>
        <v>4</v>
      </c>
      <c r="AD352" s="38" t="str">
        <f>IF(LEFT($B352,4)="_Mil","",_xlfn.IFNA(ROUND(INDEX(Spectrum!$N:$N,MATCH(RIGHT($B352,13)&amp;"|"&amp;$C352&amp;"|"&amp;$D352&amp;"|"&amp;AD$14&amp;"|"&amp;"CY2024Q3",Spectrum!$R:$R,0)),0),""))</f>
        <v/>
      </c>
      <c r="AE352" s="33">
        <f t="shared" si="90"/>
        <v>0</v>
      </c>
      <c r="AF352" s="218" t="str">
        <f>IF(LEFT($B352,4)="_Mil","",_xlfn.IFNA(ROUND(INDEX(Spectrum!$N:$N,MATCH(RIGHT($B352,13)&amp;"|"&amp;$C352&amp;"|"&amp;$D352&amp;"|"&amp;AF$14&amp;"|"&amp;"CY2024Q3",Spectrum!$R:$R,0)),0),""))</f>
        <v/>
      </c>
      <c r="AG352" s="33" t="str">
        <f t="shared" si="91"/>
        <v/>
      </c>
      <c r="AH352" s="110" t="str">
        <f>IF(LEFT($B352,4)="_Mil","",_xlfn.IFNA(INDEX(Spectrum!$N:$N,MATCH(RIGHT($B352,13)&amp;"|"&amp;$C352&amp;"|"&amp;$D352&amp;"|"&amp;AH$14&amp;"|"&amp;"CY2024Q3",Spectrum!$R:$R,0)),""))</f>
        <v/>
      </c>
      <c r="AI352" s="218">
        <f>IF(LEFT($B352,4)="_Mil","",_xlfn.IFNA(ROUND(INDEX(Spectrum!$N:$N,MATCH(RIGHT($B352,13)&amp;"|"&amp;$C352&amp;"|"&amp;$D352&amp;"|"&amp;AI$14&amp;"|"&amp;"CY2025Q3",Spectrum!$R:$R,0)),0),""))</f>
        <v>30</v>
      </c>
      <c r="AJ352" s="38">
        <f>IF(LEFT($B352,4)="_Mil","",_xlfn.IFNA(ROUND(INDEX(Spectrum!$N:$N,MATCH(RIGHT($B352,13)&amp;"|"&amp;$C352&amp;"|"&amp;$D352&amp;"|"&amp;AJ$14&amp;"|"&amp;"CY2025Q3",Spectrum!$R:$R,0)),0),""))</f>
        <v>20</v>
      </c>
      <c r="AK352" s="218" t="e">
        <f>#REF!</f>
        <v>#REF!</v>
      </c>
      <c r="AL352" s="33" t="str">
        <f t="shared" si="92"/>
        <v/>
      </c>
      <c r="AM352" s="38" t="str">
        <f>IF(OR(LEFT($B352,4)="_Mil",$C352="&lt;01"),"",ROUND(SUM($AK352)*SUM($AL352),0))</f>
        <v/>
      </c>
      <c r="AN352" s="38">
        <f>IF($C352="&lt;01",ROUND(INDEX(EID!$P:$P,MATCH($B352,EID!$B:$B,0))/2,0),"")</f>
        <v>10</v>
      </c>
      <c r="AO352" s="38">
        <f>IF($C352="&lt;01",SUM($AN352),ROUND(SUM($AM352)*SUM($O352)/IF(SUM($Z352)=0,1,$Z352),0))</f>
        <v>10</v>
      </c>
      <c r="AP352" s="218">
        <f>IF(OR($F352="",$C352="&lt;01"),$AO352,ROUND($F352,0))</f>
        <v>10</v>
      </c>
      <c r="AQ352" s="218">
        <f>IF(LEFT($B352,4)="_Mil","",IF(SUM($AP352)=0,SUM($Z352),IF(OR(SUM($Z352)=0,SUM($O352)=0),MAX($AP352,$Z352),ROUND($AP352*$Z352/$O352,0))))</f>
        <v>9</v>
      </c>
      <c r="AR352" s="33" t="e">
        <f>IF(OR(LEFT($B352,4)="_Mil",SUM($AK352)=0),"",SUM($AQ352)/$AK352)</f>
        <v>#REF!</v>
      </c>
      <c r="AS352" s="33" t="str">
        <f t="shared" si="85"/>
        <v/>
      </c>
      <c r="AT352" s="33" t="str">
        <f t="shared" si="83"/>
        <v/>
      </c>
      <c r="AU352" s="38" t="str">
        <f>IF($C352="&lt;01","",SUM($AP352)-SUM($O352))</f>
        <v/>
      </c>
      <c r="AV352" s="38">
        <f>IF($C352="&lt;01",ROUND(INDEX(EID!$N:$N,MATCH($B352,EID!$B:$B,0))/2,0),IF(SUM($AT352)=0,"",ROUND((SUM($AP352)-(SUM($O352)*SUM($AS352)))/$AT352,0)))</f>
        <v>10</v>
      </c>
      <c r="AW352" s="33" t="str">
        <f t="shared" si="96"/>
        <v/>
      </c>
      <c r="AX352" s="218">
        <f>IF($C352="&lt;01",SUM($AV352),ROUND(SUM($AV352)*SUM($AW352),0))</f>
        <v>10</v>
      </c>
      <c r="AY352" s="79" t="str">
        <f t="shared" si="93"/>
        <v/>
      </c>
      <c r="AZ352" s="85">
        <f>IF($C352="&lt;01",ROUND(INDEX(EID!$R:$R,MATCH($B352,EID!$B:$B,0))/2,0),ROUND(SUM($O352)+(SUM($AV352)*$AY352),0))</f>
        <v>7</v>
      </c>
      <c r="BA352" s="40" t="str">
        <f t="shared" si="97"/>
        <v/>
      </c>
      <c r="BB352" s="99">
        <f>IF($C352="&lt;01",ROUND(INDEX(EID!$T:$T,MATCH($B352,EID!$B:$B,0))/2,0),ROUND($AP352*$BA352,0))</f>
        <v>6</v>
      </c>
      <c r="BC352" s="85">
        <f>IF(LEFT($B352,4)="_Mil","",IF(SUM($BB352)=0,SUM($AD352),IF(OR(SUM($AP352)=0,SUM($AQ352)=0),MAX($BB352,$AD352),ROUND($BB352*$AQ352/$AP352,0))))</f>
        <v>5</v>
      </c>
      <c r="BD352" s="33" t="str">
        <f t="shared" si="94"/>
        <v/>
      </c>
      <c r="BE352" s="218">
        <f>IF($C352="&lt;01",ROUND(INDEX(EID!$V:$V,MATCH($B352,EID!$B:$B,0))/2,0),ROUND($BD352*$BB352,0))</f>
        <v>6</v>
      </c>
      <c r="BF352" s="218">
        <f>IF(LEFT($B352,4)="_Mil","",IF(SUM($BE352)=0,SUM($AF352),IF(OR(SUM($AP352)=0,SUM($AQ352)=0),MAX($BE352,$AF352),ROUND($BE352*$AQ352/$AP352,0))))</f>
        <v>5</v>
      </c>
      <c r="BG352" s="79" t="str">
        <f t="shared" si="95"/>
        <v/>
      </c>
      <c r="BH352" s="99">
        <f>IF($C352="&lt;01",ROUND(INDEX(EID!$L:$L,MATCH($B352,EID!$B:$B,0)),0)/2,IF(SUM($BG352)=0,"",ROUND($AX352/$BG352,0)))</f>
        <v>10</v>
      </c>
    </row>
    <row r="353" spans="1:60" x14ac:dyDescent="0.2">
      <c r="A353" t="str">
        <f>INDEX(Prioritization!$D:$D,MATCH($B353,Prioritization!$A:$A,0))</f>
        <v>INVALID</v>
      </c>
      <c r="B353" t="s">
        <v>323</v>
      </c>
      <c r="C353" t="s">
        <v>473</v>
      </c>
      <c r="D353" t="s">
        <v>30</v>
      </c>
      <c r="E353" t="str">
        <f t="shared" si="86"/>
        <v>Phalombe District [AZyWpGzhcaA]|01-09|Female</v>
      </c>
      <c r="F353" s="229">
        <v>322</v>
      </c>
      <c r="G353" s="38">
        <v>37</v>
      </c>
      <c r="H353" s="38">
        <v>33</v>
      </c>
      <c r="I353" s="38">
        <v>322</v>
      </c>
      <c r="J353" s="38">
        <v>518</v>
      </c>
      <c r="K353" s="38">
        <v>397</v>
      </c>
      <c r="L353" s="38">
        <v>1</v>
      </c>
      <c r="M353" s="38">
        <v>1</v>
      </c>
      <c r="N353" s="38">
        <v>441</v>
      </c>
      <c r="O353" s="229">
        <v>322</v>
      </c>
      <c r="P353" s="38">
        <v>404</v>
      </c>
      <c r="Q353" s="38">
        <v>384</v>
      </c>
      <c r="R353" s="38">
        <f t="shared" si="87"/>
        <v>0</v>
      </c>
      <c r="S353" s="38">
        <f>IF(LEFT($B353,4)="_Mil","",_xlfn.IFNA(ROUND(INDEX(Spectrum!$N:$N,MATCH(RIGHT($B353,13)&amp;"|"&amp;$C353&amp;"|"&amp;$D353&amp;"|"&amp;S$14&amp;"|"&amp;"CY2023Q4",Spectrum!$R:$R,0)),0),""))</f>
        <v>365</v>
      </c>
      <c r="T353" s="218">
        <f>IF(LEFT($B353,4)="_Mil","",_xlfn.IFNA(ROUND(INDEX(Spectrum!$N:$N,MATCH(RIGHT($B353,13)&amp;"|"&amp;$C353&amp;"|"&amp;$D353&amp;"|"&amp;T$14&amp;"|"&amp;"CY2024Q3",Spectrum!$R:$R,0)),0),""))</f>
        <v>73174</v>
      </c>
      <c r="U353" s="218">
        <f>IF(LEFT($B353,4)="_Mil","",_xlfn.IFNA(ROUND(INDEX(Spectrum!$N:$N,MATCH(RIGHT($B353,13)&amp;"|"&amp;$C353&amp;"|"&amp;$D353&amp;"|"&amp;U$14&amp;"|"&amp;"CY2024Q3",Spectrum!$R:$R,0)),0),""))</f>
        <v>443</v>
      </c>
      <c r="V353" s="38">
        <f>IF(LEFT($B353,4)="_Mil","",_xlfn.IFNA(ROUND(INDEX(Spectrum!$N:$N,MATCH(RIGHT($B353,13)&amp;"|"&amp;$C353&amp;"|"&amp;$D353&amp;"|"&amp;V$14&amp;"|"&amp;"CY2024Q3",Spectrum!$R:$R,0)),0),""))</f>
        <v>378</v>
      </c>
      <c r="W353" s="220">
        <f>IF(LEFT($B353,4)="_Mil","",_xlfn.IFNA(INDEX(Spectrum!$N:$N,MATCH(RIGHT($B353,13)&amp;"|"&amp;$C353&amp;"|"&amp;$D353&amp;"|"&amp;W$14&amp;"|"&amp;"CY2024Q3",Spectrum!$R:$R,0)),""))</f>
        <v>6.0539030000000002E-3</v>
      </c>
      <c r="X353" s="218">
        <f>IF(LEFT($B353,4)="_Mil","",_xlfn.IFNA(ROUND(INDEX(Spectrum!$N:$N,MATCH(RIGHT($B353,13)&amp;"|"&amp;$C353&amp;"|"&amp;$D353&amp;"|"&amp;X$14&amp;"|"&amp;"CY2024Q3",Spectrum!$R:$R,0)),0),""))</f>
        <v>389</v>
      </c>
      <c r="Y353" s="33">
        <f t="shared" si="88"/>
        <v>0.88</v>
      </c>
      <c r="Z353" s="218">
        <f>IF(LEFT($B353,4)="_Mil","",_xlfn.IFNA(ROUND(INDEX(Spectrum!$N:$N,MATCH(RIGHT($B353,13)&amp;"|"&amp;$C353&amp;"|"&amp;$D353&amp;"|"&amp;Z$14&amp;"|"&amp;"CY2024Q3",Spectrum!$R:$R,0)),0),""))</f>
        <v>336</v>
      </c>
      <c r="AA353" s="33">
        <f>IF(LEFT($B353,4)="_Mil","",IFERROR(1/(1/INDEX(Spectrum!$N:$N,MATCH(RIGHT($B353,13)&amp;"|"&amp;$C353&amp;"|"&amp;$D353&amp;"|"&amp;AA$14&amp;"|"&amp;"CY2024Q3",Spectrum!$R:$R,0))),IF(SUM($U353)=0,"",SUM($Z353)/$U353)))</f>
        <v>0.86244275100000001</v>
      </c>
      <c r="AB353" s="33">
        <f t="shared" si="89"/>
        <v>0.86375321336760924</v>
      </c>
      <c r="AC353" s="38">
        <f>IF(LEFT($B353,4)="_Mil","",_xlfn.IFNA(ROUND(INDEX(Spectrum!$N:$N,MATCH(RIGHT($B353,13)&amp;"|"&amp;$C353&amp;"|"&amp;$D353&amp;"|"&amp;AC$14&amp;"|"&amp;"CY2024Q3",Spectrum!$R:$R,0)),0),""))</f>
        <v>42</v>
      </c>
      <c r="AD353" s="38" t="str">
        <f>IF(LEFT($B353,4)="_Mil","",_xlfn.IFNA(ROUND(INDEX(Spectrum!$N:$N,MATCH(RIGHT($B353,13)&amp;"|"&amp;$C353&amp;"|"&amp;$D353&amp;"|"&amp;AD$14&amp;"|"&amp;"CY2024Q3",Spectrum!$R:$R,0)),0),""))</f>
        <v/>
      </c>
      <c r="AE353" s="33">
        <f t="shared" si="90"/>
        <v>0</v>
      </c>
      <c r="AF353" s="218" t="str">
        <f>IF(LEFT($B353,4)="_Mil","",_xlfn.IFNA(ROUND(INDEX(Spectrum!$N:$N,MATCH(RIGHT($B353,13)&amp;"|"&amp;$C353&amp;"|"&amp;$D353&amp;"|"&amp;AF$14&amp;"|"&amp;"CY2024Q3",Spectrum!$R:$R,0)),0),""))</f>
        <v/>
      </c>
      <c r="AG353" s="33" t="str">
        <f t="shared" si="91"/>
        <v/>
      </c>
      <c r="AH353" s="110" t="str">
        <f>IF(LEFT($B353,4)="_Mil","",_xlfn.IFNA(INDEX(Spectrum!$N:$N,MATCH(RIGHT($B353,13)&amp;"|"&amp;$C353&amp;"|"&amp;$D353&amp;"|"&amp;AH$14&amp;"|"&amp;"CY2024Q3",Spectrum!$R:$R,0)),""))</f>
        <v/>
      </c>
      <c r="AI353" s="218">
        <f>IF(LEFT($B353,4)="_Mil","",_xlfn.IFNA(ROUND(INDEX(Spectrum!$N:$N,MATCH(RIGHT($B353,13)&amp;"|"&amp;$C353&amp;"|"&amp;$D353&amp;"|"&amp;AI$14&amp;"|"&amp;"CY2025Q3",Spectrum!$R:$R,0)),0),""))</f>
        <v>7</v>
      </c>
      <c r="AJ353" s="38">
        <f>IF(LEFT($B353,4)="_Mil","",_xlfn.IFNA(ROUND(INDEX(Spectrum!$N:$N,MATCH(RIGHT($B353,13)&amp;"|"&amp;$C353&amp;"|"&amp;$D353&amp;"|"&amp;AJ$14&amp;"|"&amp;"CY2025Q3",Spectrum!$R:$R,0)),0),""))</f>
        <v>379</v>
      </c>
      <c r="AK353" s="218" t="e">
        <f>#REF!</f>
        <v>#REF!</v>
      </c>
      <c r="AL353" s="33">
        <f t="shared" si="92"/>
        <v>0.9</v>
      </c>
      <c r="AM353" s="38" t="e">
        <f>IF(OR(LEFT($B353,4)="_Mil",$C353="&lt;01"),"",ROUND(SUM($AK353)*SUM($AL353),0))</f>
        <v>#REF!</v>
      </c>
      <c r="AN353" s="38" t="str">
        <f>IF($C353="&lt;01",ROUND(INDEX(EID!$P:$P,MATCH($B353,EID!$B:$B,0))/2,0),"")</f>
        <v/>
      </c>
      <c r="AO353" s="38" t="e">
        <f>IF($C353="&lt;01",SUM($AN353),ROUND(SUM($AM353)*SUM($O353)/IF(SUM($Z353)=0,1,$Z353),0))</f>
        <v>#REF!</v>
      </c>
      <c r="AP353" s="218">
        <f>IF(OR($F353="",$C353="&lt;01"),$AO353,ROUND($F353,0))</f>
        <v>322</v>
      </c>
      <c r="AQ353" s="218">
        <f>IF(LEFT($B353,4)="_Mil","",IF(SUM($AP353)=0,SUM($Z353),IF(OR(SUM($Z353)=0,SUM($O353)=0),MAX($AP353,$Z353),ROUND($AP353*$Z353/$O353,0))))</f>
        <v>336</v>
      </c>
      <c r="AR353" s="33" t="e">
        <f>IF(OR(LEFT($B353,4)="_Mil",SUM($AK353)=0),"",SUM($AQ353)/$AK353)</f>
        <v>#REF!</v>
      </c>
      <c r="AS353" s="33">
        <f t="shared" si="85"/>
        <v>0.98</v>
      </c>
      <c r="AT353" s="33">
        <f t="shared" si="83"/>
        <v>0.98</v>
      </c>
      <c r="AU353" s="38">
        <f>IF($C353="&lt;01","",SUM($AP353)-SUM($O353))</f>
        <v>0</v>
      </c>
      <c r="AV353" s="38">
        <f>IF($C353="&lt;01",ROUND(INDEX(EID!$N:$N,MATCH($B353,EID!$B:$B,0))/2,0),IF(SUM($AT353)=0,"",ROUND((SUM($AP353)-(SUM($O353)*SUM($AS353)))/$AT353,0)))</f>
        <v>7</v>
      </c>
      <c r="AW353" s="33">
        <f t="shared" si="96"/>
        <v>1</v>
      </c>
      <c r="AX353" s="218">
        <f>IF($C353="&lt;01",SUM($AV353),ROUND(SUM($AV353)*SUM($AW353),0))</f>
        <v>7</v>
      </c>
      <c r="AY353" s="79">
        <f t="shared" si="93"/>
        <v>0.7</v>
      </c>
      <c r="AZ353" s="85">
        <f>IF($C353="&lt;01",ROUND(INDEX(EID!$R:$R,MATCH($B353,EID!$B:$B,0))/2,0),ROUND(SUM($O353)+(SUM($AV353)*$AY353),0))</f>
        <v>327</v>
      </c>
      <c r="BA353" s="40">
        <f t="shared" si="97"/>
        <v>0.9</v>
      </c>
      <c r="BB353" s="99">
        <f>IF($C353="&lt;01",ROUND(INDEX(EID!$T:$T,MATCH($B353,EID!$B:$B,0))/2,0),ROUND($AP353*$BA353,0))</f>
        <v>290</v>
      </c>
      <c r="BC353" s="85">
        <f>IF(LEFT($B353,4)="_Mil","",IF(SUM($BB353)=0,SUM($AD353),IF(OR(SUM($AP353)=0,SUM($AQ353)=0),MAX($BB353,$AD353),ROUND($BB353*$AQ353/$AP353,0))))</f>
        <v>303</v>
      </c>
      <c r="BD353" s="33">
        <f t="shared" si="94"/>
        <v>0.95</v>
      </c>
      <c r="BE353" s="218">
        <f>IF($C353="&lt;01",ROUND(INDEX(EID!$V:$V,MATCH($B353,EID!$B:$B,0))/2,0),ROUND($BD353*$BB353,0))</f>
        <v>276</v>
      </c>
      <c r="BF353" s="218">
        <f>IF(LEFT($B353,4)="_Mil","",IF(SUM($BE353)=0,SUM($AF353),IF(OR(SUM($AP353)=0,SUM($AQ353)=0),MAX($BE353,$AF353),ROUND($BE353*$AQ353/$AP353,0))))</f>
        <v>288</v>
      </c>
      <c r="BG353" s="79">
        <f t="shared" si="95"/>
        <v>0.95</v>
      </c>
      <c r="BH353" s="99">
        <f>IF($C353="&lt;01",ROUND(INDEX(EID!$L:$L,MATCH($B353,EID!$B:$B,0)),0)/2,IF(SUM($BG353)=0,"",ROUND($AX353/$BG353,0)))</f>
        <v>7</v>
      </c>
    </row>
    <row r="354" spans="1:60" x14ac:dyDescent="0.2">
      <c r="A354" t="str">
        <f>INDEX(Prioritization!$D:$D,MATCH($B354,Prioritization!$A:$A,0))</f>
        <v>INVALID</v>
      </c>
      <c r="B354" t="s">
        <v>323</v>
      </c>
      <c r="C354" t="s">
        <v>473</v>
      </c>
      <c r="D354" t="s">
        <v>48</v>
      </c>
      <c r="E354" t="str">
        <f t="shared" si="86"/>
        <v>Phalombe District [AZyWpGzhcaA]|01-09|Male</v>
      </c>
      <c r="F354" s="229">
        <v>326</v>
      </c>
      <c r="G354" s="38">
        <v>39</v>
      </c>
      <c r="H354" s="38">
        <v>30</v>
      </c>
      <c r="I354" s="38">
        <v>319</v>
      </c>
      <c r="J354" s="38">
        <v>492</v>
      </c>
      <c r="K354" s="38">
        <v>378</v>
      </c>
      <c r="L354" s="38">
        <v>21</v>
      </c>
      <c r="M354" s="38">
        <v>20</v>
      </c>
      <c r="N354" s="38">
        <v>434</v>
      </c>
      <c r="O354" s="229">
        <v>326</v>
      </c>
      <c r="P354" s="38">
        <v>384</v>
      </c>
      <c r="Q354" s="38">
        <v>365</v>
      </c>
      <c r="R354" s="38">
        <f t="shared" si="87"/>
        <v>7</v>
      </c>
      <c r="S354" s="38">
        <f>IF(LEFT($B354,4)="_Mil","",_xlfn.IFNA(ROUND(INDEX(Spectrum!$N:$N,MATCH(RIGHT($B354,13)&amp;"|"&amp;$C354&amp;"|"&amp;$D354&amp;"|"&amp;S$14&amp;"|"&amp;"CY2023Q4",Spectrum!$R:$R,0)),0),""))</f>
        <v>344</v>
      </c>
      <c r="T354" s="218">
        <f>IF(LEFT($B354,4)="_Mil","",_xlfn.IFNA(ROUND(INDEX(Spectrum!$N:$N,MATCH(RIGHT($B354,13)&amp;"|"&amp;$C354&amp;"|"&amp;$D354&amp;"|"&amp;T$14&amp;"|"&amp;"CY2024Q3",Spectrum!$R:$R,0)),0),""))</f>
        <v>74644</v>
      </c>
      <c r="U354" s="218">
        <f>IF(LEFT($B354,4)="_Mil","",_xlfn.IFNA(ROUND(INDEX(Spectrum!$N:$N,MATCH(RIGHT($B354,13)&amp;"|"&amp;$C354&amp;"|"&amp;$D354&amp;"|"&amp;U$14&amp;"|"&amp;"CY2024Q3",Spectrum!$R:$R,0)),0),""))</f>
        <v>450</v>
      </c>
      <c r="V354" s="38">
        <f>IF(LEFT($B354,4)="_Mil","",_xlfn.IFNA(ROUND(INDEX(Spectrum!$N:$N,MATCH(RIGHT($B354,13)&amp;"|"&amp;$C354&amp;"|"&amp;$D354&amp;"|"&amp;V$14&amp;"|"&amp;"CY2024Q3",Spectrum!$R:$R,0)),0),""))</f>
        <v>384</v>
      </c>
      <c r="W354" s="220">
        <f>IF(LEFT($B354,4)="_Mil","",_xlfn.IFNA(INDEX(Spectrum!$N:$N,MATCH(RIGHT($B354,13)&amp;"|"&amp;$C354&amp;"|"&amp;$D354&amp;"|"&amp;W$14&amp;"|"&amp;"CY2024Q3",Spectrum!$R:$R,0)),""))</f>
        <v>6.0281960000000004E-3</v>
      </c>
      <c r="X354" s="218">
        <f>IF(LEFT($B354,4)="_Mil","",_xlfn.IFNA(ROUND(INDEX(Spectrum!$N:$N,MATCH(RIGHT($B354,13)&amp;"|"&amp;$C354&amp;"|"&amp;$D354&amp;"|"&amp;X$14&amp;"|"&amp;"CY2024Q3",Spectrum!$R:$R,0)),0),""))</f>
        <v>395</v>
      </c>
      <c r="Y354" s="33">
        <f t="shared" si="88"/>
        <v>0.88</v>
      </c>
      <c r="Z354" s="218">
        <f>IF(LEFT($B354,4)="_Mil","",_xlfn.IFNA(ROUND(INDEX(Spectrum!$N:$N,MATCH(RIGHT($B354,13)&amp;"|"&amp;$C354&amp;"|"&amp;$D354&amp;"|"&amp;Z$14&amp;"|"&amp;"CY2024Q3",Spectrum!$R:$R,0)),0),""))</f>
        <v>319</v>
      </c>
      <c r="AA354" s="33">
        <f>IF(LEFT($B354,4)="_Mil","",IFERROR(1/(1/INDEX(Spectrum!$N:$N,MATCH(RIGHT($B354,13)&amp;"|"&amp;$C354&amp;"|"&amp;$D354&amp;"|"&amp;AA$14&amp;"|"&amp;"CY2024Q3",Spectrum!$R:$R,0))),IF(SUM($U354)=0,"",SUM($Z354)/$U354)))</f>
        <v>0.86244139099999995</v>
      </c>
      <c r="AB354" s="33">
        <f t="shared" si="89"/>
        <v>0.80759493670886073</v>
      </c>
      <c r="AC354" s="38">
        <f>IF(LEFT($B354,4)="_Mil","",_xlfn.IFNA(ROUND(INDEX(Spectrum!$N:$N,MATCH(RIGHT($B354,13)&amp;"|"&amp;$C354&amp;"|"&amp;$D354&amp;"|"&amp;AC$14&amp;"|"&amp;"CY2024Q3",Spectrum!$R:$R,0)),0),""))</f>
        <v>65</v>
      </c>
      <c r="AD354" s="38" t="str">
        <f>IF(LEFT($B354,4)="_Mil","",_xlfn.IFNA(ROUND(INDEX(Spectrum!$N:$N,MATCH(RIGHT($B354,13)&amp;"|"&amp;$C354&amp;"|"&amp;$D354&amp;"|"&amp;AD$14&amp;"|"&amp;"CY2024Q3",Spectrum!$R:$R,0)),0),""))</f>
        <v/>
      </c>
      <c r="AE354" s="33">
        <f t="shared" si="90"/>
        <v>0</v>
      </c>
      <c r="AF354" s="218" t="str">
        <f>IF(LEFT($B354,4)="_Mil","",_xlfn.IFNA(ROUND(INDEX(Spectrum!$N:$N,MATCH(RIGHT($B354,13)&amp;"|"&amp;$C354&amp;"|"&amp;$D354&amp;"|"&amp;AF$14&amp;"|"&amp;"CY2024Q3",Spectrum!$R:$R,0)),0),""))</f>
        <v/>
      </c>
      <c r="AG354" s="33" t="str">
        <f t="shared" si="91"/>
        <v/>
      </c>
      <c r="AH354" s="110" t="str">
        <f>IF(LEFT($B354,4)="_Mil","",_xlfn.IFNA(INDEX(Spectrum!$N:$N,MATCH(RIGHT($B354,13)&amp;"|"&amp;$C354&amp;"|"&amp;$D354&amp;"|"&amp;AH$14&amp;"|"&amp;"CY2024Q3",Spectrum!$R:$R,0)),""))</f>
        <v/>
      </c>
      <c r="AI354" s="218">
        <f>IF(LEFT($B354,4)="_Mil","",_xlfn.IFNA(ROUND(INDEX(Spectrum!$N:$N,MATCH(RIGHT($B354,13)&amp;"|"&amp;$C354&amp;"|"&amp;$D354&amp;"|"&amp;AI$14&amp;"|"&amp;"CY2025Q3",Spectrum!$R:$R,0)),0),""))</f>
        <v>8</v>
      </c>
      <c r="AJ354" s="38">
        <f>IF(LEFT($B354,4)="_Mil","",_xlfn.IFNA(ROUND(INDEX(Spectrum!$N:$N,MATCH(RIGHT($B354,13)&amp;"|"&amp;$C354&amp;"|"&amp;$D354&amp;"|"&amp;AJ$14&amp;"|"&amp;"CY2025Q3",Spectrum!$R:$R,0)),0),""))</f>
        <v>385</v>
      </c>
      <c r="AK354" s="218" t="e">
        <f>#REF!</f>
        <v>#REF!</v>
      </c>
      <c r="AL354" s="33">
        <f t="shared" si="92"/>
        <v>0.9</v>
      </c>
      <c r="AM354" s="38" t="e">
        <f>IF(OR(LEFT($B354,4)="_Mil",$C354="&lt;01"),"",ROUND(SUM($AK354)*SUM($AL354),0))</f>
        <v>#REF!</v>
      </c>
      <c r="AN354" s="38" t="str">
        <f>IF($C354="&lt;01",ROUND(INDEX(EID!$P:$P,MATCH($B354,EID!$B:$B,0))/2,0),"")</f>
        <v/>
      </c>
      <c r="AO354" s="38" t="e">
        <f>IF($C354="&lt;01",SUM($AN354),ROUND(SUM($AM354)*SUM($O354)/IF(SUM($Z354)=0,1,$Z354),0))</f>
        <v>#REF!</v>
      </c>
      <c r="AP354" s="218">
        <f>IF(OR($F354="",$C354="&lt;01"),$AO354,ROUND($F354,0))</f>
        <v>326</v>
      </c>
      <c r="AQ354" s="218">
        <f>IF(LEFT($B354,4)="_Mil","",IF(SUM($AP354)=0,SUM($Z354),IF(OR(SUM($Z354)=0,SUM($O354)=0),MAX($AP354,$Z354),ROUND($AP354*$Z354/$O354,0))))</f>
        <v>319</v>
      </c>
      <c r="AR354" s="33" t="e">
        <f>IF(OR(LEFT($B354,4)="_Mil",SUM($AK354)=0),"",SUM($AQ354)/$AK354)</f>
        <v>#REF!</v>
      </c>
      <c r="AS354" s="33">
        <f t="shared" si="85"/>
        <v>0.98</v>
      </c>
      <c r="AT354" s="33">
        <f t="shared" si="83"/>
        <v>0.98</v>
      </c>
      <c r="AU354" s="38">
        <f>IF($C354="&lt;01","",SUM($AP354)-SUM($O354))</f>
        <v>0</v>
      </c>
      <c r="AV354" s="38">
        <f>IF($C354="&lt;01",ROUND(INDEX(EID!$N:$N,MATCH($B354,EID!$B:$B,0))/2,0),IF(SUM($AT354)=0,"",ROUND((SUM($AP354)-(SUM($O354)*SUM($AS354)))/$AT354,0)))</f>
        <v>7</v>
      </c>
      <c r="AW354" s="33">
        <f t="shared" si="96"/>
        <v>1</v>
      </c>
      <c r="AX354" s="218">
        <f>IF($C354="&lt;01",SUM($AV354),ROUND(SUM($AV354)*SUM($AW354),0))</f>
        <v>7</v>
      </c>
      <c r="AY354" s="79">
        <f t="shared" si="93"/>
        <v>0.7</v>
      </c>
      <c r="AZ354" s="85">
        <f>IF($C354="&lt;01",ROUND(INDEX(EID!$R:$R,MATCH($B354,EID!$B:$B,0))/2,0),ROUND(SUM($O354)+(SUM($AV354)*$AY354),0))</f>
        <v>331</v>
      </c>
      <c r="BA354" s="40">
        <f t="shared" si="97"/>
        <v>0.9</v>
      </c>
      <c r="BB354" s="99">
        <f>IF($C354="&lt;01",ROUND(INDEX(EID!$T:$T,MATCH($B354,EID!$B:$B,0))/2,0),ROUND($AP354*$BA354,0))</f>
        <v>293</v>
      </c>
      <c r="BC354" s="85">
        <f>IF(LEFT($B354,4)="_Mil","",IF(SUM($BB354)=0,SUM($AD354),IF(OR(SUM($AP354)=0,SUM($AQ354)=0),MAX($BB354,$AD354),ROUND($BB354*$AQ354/$AP354,0))))</f>
        <v>287</v>
      </c>
      <c r="BD354" s="33">
        <f t="shared" si="94"/>
        <v>0.95</v>
      </c>
      <c r="BE354" s="218">
        <f>IF($C354="&lt;01",ROUND(INDEX(EID!$V:$V,MATCH($B354,EID!$B:$B,0))/2,0),ROUND($BD354*$BB354,0))</f>
        <v>278</v>
      </c>
      <c r="BF354" s="218">
        <f>IF(LEFT($B354,4)="_Mil","",IF(SUM($BE354)=0,SUM($AF354),IF(OR(SUM($AP354)=0,SUM($AQ354)=0),MAX($BE354,$AF354),ROUND($BE354*$AQ354/$AP354,0))))</f>
        <v>272</v>
      </c>
      <c r="BG354" s="79">
        <f t="shared" si="95"/>
        <v>0.95</v>
      </c>
      <c r="BH354" s="99">
        <f>IF($C354="&lt;01",ROUND(INDEX(EID!$L:$L,MATCH($B354,EID!$B:$B,0)),0)/2,IF(SUM($BG354)=0,"",ROUND($AX354/$BG354,0)))</f>
        <v>7</v>
      </c>
    </row>
    <row r="355" spans="1:60" x14ac:dyDescent="0.2">
      <c r="A355" t="str">
        <f>INDEX(Prioritization!$D:$D,MATCH($B355,Prioritization!$A:$A,0))</f>
        <v>INVALID</v>
      </c>
      <c r="B355" t="s">
        <v>323</v>
      </c>
      <c r="C355" t="s">
        <v>474</v>
      </c>
      <c r="D355" t="s">
        <v>30</v>
      </c>
      <c r="E355" t="str">
        <f t="shared" si="86"/>
        <v>Phalombe District [AZyWpGzhcaA]|10-14|Female</v>
      </c>
      <c r="F355" s="229">
        <v>471</v>
      </c>
      <c r="G355" s="38">
        <v>29</v>
      </c>
      <c r="H355" s="38">
        <v>24</v>
      </c>
      <c r="I355" s="38">
        <v>521</v>
      </c>
      <c r="J355" s="38">
        <v>671</v>
      </c>
      <c r="K355" s="38">
        <v>510</v>
      </c>
      <c r="L355" s="38">
        <v>11</v>
      </c>
      <c r="M355" s="38">
        <v>11</v>
      </c>
      <c r="N355" s="38">
        <v>504</v>
      </c>
      <c r="O355" s="229">
        <v>521</v>
      </c>
      <c r="P355" s="38">
        <v>455</v>
      </c>
      <c r="Q355" s="38">
        <v>432</v>
      </c>
      <c r="R355" s="38">
        <f t="shared" si="87"/>
        <v>0</v>
      </c>
      <c r="S355" s="38">
        <f>IF(LEFT($B355,4)="_Mil","",_xlfn.IFNA(ROUND(INDEX(Spectrum!$N:$N,MATCH(RIGHT($B355,13)&amp;"|"&amp;$C355&amp;"|"&amp;$D355&amp;"|"&amp;S$14&amp;"|"&amp;"CY2023Q4",Spectrum!$R:$R,0)),0),""))</f>
        <v>458</v>
      </c>
      <c r="T355" s="218">
        <f>IF(LEFT($B355,4)="_Mil","",_xlfn.IFNA(ROUND(INDEX(Spectrum!$N:$N,MATCH(RIGHT($B355,13)&amp;"|"&amp;$C355&amp;"|"&amp;$D355&amp;"|"&amp;T$14&amp;"|"&amp;"CY2024Q3",Spectrum!$R:$R,0)),0),""))</f>
        <v>36005</v>
      </c>
      <c r="U355" s="218">
        <f>IF(LEFT($B355,4)="_Mil","",_xlfn.IFNA(ROUND(INDEX(Spectrum!$N:$N,MATCH(RIGHT($B355,13)&amp;"|"&amp;$C355&amp;"|"&amp;$D355&amp;"|"&amp;U$14&amp;"|"&amp;"CY2024Q3",Spectrum!$R:$R,0)),0),""))</f>
        <v>557</v>
      </c>
      <c r="V355" s="38">
        <f>IF(LEFT($B355,4)="_Mil","",_xlfn.IFNA(ROUND(INDEX(Spectrum!$N:$N,MATCH(RIGHT($B355,13)&amp;"|"&amp;$C355&amp;"|"&amp;$D355&amp;"|"&amp;V$14&amp;"|"&amp;"CY2024Q3",Spectrum!$R:$R,0)),0),""))</f>
        <v>475</v>
      </c>
      <c r="W355" s="220">
        <f>IF(LEFT($B355,4)="_Mil","",_xlfn.IFNA(INDEX(Spectrum!$N:$N,MATCH(RIGHT($B355,13)&amp;"|"&amp;$C355&amp;"|"&amp;$D355&amp;"|"&amp;W$14&amp;"|"&amp;"CY2024Q3",Spectrum!$R:$R,0)),""))</f>
        <v>1.5477388E-2</v>
      </c>
      <c r="X355" s="218">
        <f>IF(LEFT($B355,4)="_Mil","",_xlfn.IFNA(ROUND(INDEX(Spectrum!$N:$N,MATCH(RIGHT($B355,13)&amp;"|"&amp;$C355&amp;"|"&amp;$D355&amp;"|"&amp;X$14&amp;"|"&amp;"CY2024Q3",Spectrum!$R:$R,0)),0),""))</f>
        <v>501</v>
      </c>
      <c r="Y355" s="33">
        <f t="shared" si="88"/>
        <v>0.9</v>
      </c>
      <c r="Z355" s="218">
        <f>IF(LEFT($B355,4)="_Mil","",_xlfn.IFNA(ROUND(INDEX(Spectrum!$N:$N,MATCH(RIGHT($B355,13)&amp;"|"&amp;$C355&amp;"|"&amp;$D355&amp;"|"&amp;Z$14&amp;"|"&amp;"CY2024Q3",Spectrum!$R:$R,0)),0),""))</f>
        <v>439</v>
      </c>
      <c r="AA355" s="33">
        <f>IF(LEFT($B355,4)="_Mil","",IFERROR(1/(1/INDEX(Spectrum!$N:$N,MATCH(RIGHT($B355,13)&amp;"|"&amp;$C355&amp;"|"&amp;$D355&amp;"|"&amp;AA$14&amp;"|"&amp;"CY2024Q3",Spectrum!$R:$R,0))),IF(SUM($U355)=0,"",SUM($Z355)/$U355)))</f>
        <v>0.881937164</v>
      </c>
      <c r="AB355" s="33">
        <f t="shared" si="89"/>
        <v>0.87624750499001991</v>
      </c>
      <c r="AC355" s="38">
        <f>IF(LEFT($B355,4)="_Mil","",_xlfn.IFNA(ROUND(INDEX(Spectrum!$N:$N,MATCH(RIGHT($B355,13)&amp;"|"&amp;$C355&amp;"|"&amp;$D355&amp;"|"&amp;AC$14&amp;"|"&amp;"CY2024Q3",Spectrum!$R:$R,0)),0),""))</f>
        <v>37</v>
      </c>
      <c r="AD355" s="38" t="str">
        <f>IF(LEFT($B355,4)="_Mil","",_xlfn.IFNA(ROUND(INDEX(Spectrum!$N:$N,MATCH(RIGHT($B355,13)&amp;"|"&amp;$C355&amp;"|"&amp;$D355&amp;"|"&amp;AD$14&amp;"|"&amp;"CY2024Q3",Spectrum!$R:$R,0)),0),""))</f>
        <v/>
      </c>
      <c r="AE355" s="33">
        <f t="shared" si="90"/>
        <v>0</v>
      </c>
      <c r="AF355" s="218" t="str">
        <f>IF(LEFT($B355,4)="_Mil","",_xlfn.IFNA(ROUND(INDEX(Spectrum!$N:$N,MATCH(RIGHT($B355,13)&amp;"|"&amp;$C355&amp;"|"&amp;$D355&amp;"|"&amp;AF$14&amp;"|"&amp;"CY2024Q3",Spectrum!$R:$R,0)),0),""))</f>
        <v/>
      </c>
      <c r="AG355" s="33" t="str">
        <f t="shared" si="91"/>
        <v/>
      </c>
      <c r="AH355" s="110" t="str">
        <f>IF(LEFT($B355,4)="_Mil","",_xlfn.IFNA(INDEX(Spectrum!$N:$N,MATCH(RIGHT($B355,13)&amp;"|"&amp;$C355&amp;"|"&amp;$D355&amp;"|"&amp;AH$14&amp;"|"&amp;"CY2024Q3",Spectrum!$R:$R,0)),""))</f>
        <v/>
      </c>
      <c r="AI355" s="218">
        <f>IF(LEFT($B355,4)="_Mil","",_xlfn.IFNA(ROUND(INDEX(Spectrum!$N:$N,MATCH(RIGHT($B355,13)&amp;"|"&amp;$C355&amp;"|"&amp;$D355&amp;"|"&amp;AI$14&amp;"|"&amp;"CY2025Q3",Spectrum!$R:$R,0)),0),""))</f>
        <v>0</v>
      </c>
      <c r="AJ355" s="38">
        <f>IF(LEFT($B355,4)="_Mil","",_xlfn.IFNA(ROUND(INDEX(Spectrum!$N:$N,MATCH(RIGHT($B355,13)&amp;"|"&amp;$C355&amp;"|"&amp;$D355&amp;"|"&amp;AJ$14&amp;"|"&amp;"CY2025Q3",Spectrum!$R:$R,0)),0),""))</f>
        <v>501</v>
      </c>
      <c r="AK355" s="218" t="e">
        <f>#REF!</f>
        <v>#REF!</v>
      </c>
      <c r="AL355" s="33">
        <f t="shared" si="92"/>
        <v>0.9</v>
      </c>
      <c r="AM355" s="38" t="e">
        <f>IF(OR(LEFT($B355,4)="_Mil",$C355="&lt;01"),"",ROUND(SUM($AK355)*SUM($AL355),0))</f>
        <v>#REF!</v>
      </c>
      <c r="AN355" s="38" t="str">
        <f>IF($C355="&lt;01",ROUND(INDEX(EID!$P:$P,MATCH($B355,EID!$B:$B,0))/2,0),"")</f>
        <v/>
      </c>
      <c r="AO355" s="38" t="e">
        <f>IF($C355="&lt;01",SUM($AN355),ROUND(SUM($AM355)*SUM($O355)/IF(SUM($Z355)=0,1,$Z355),0))</f>
        <v>#REF!</v>
      </c>
      <c r="AP355" s="218">
        <f>IF(OR($F355="",$C355="&lt;01"),$AO355,ROUND($F355,0))</f>
        <v>471</v>
      </c>
      <c r="AQ355" s="218">
        <f>IF(LEFT($B355,4)="_Mil","",IF(SUM($AP355)=0,SUM($Z355),IF(OR(SUM($Z355)=0,SUM($O355)=0),MAX($AP355,$Z355),ROUND($AP355*$Z355/$O355,0))))</f>
        <v>397</v>
      </c>
      <c r="AR355" s="33" t="e">
        <f>IF(OR(LEFT($B355,4)="_Mil",SUM($AK355)=0),"",SUM($AQ355)/$AK355)</f>
        <v>#REF!</v>
      </c>
      <c r="AS355" s="33">
        <f>IF($C355="&lt;01","",80%)</f>
        <v>0.8</v>
      </c>
      <c r="AT355" s="33">
        <f t="shared" si="83"/>
        <v>0.98</v>
      </c>
      <c r="AU355" s="38">
        <f>IF($C355="&lt;01","",SUM($AP355)-SUM($O355))</f>
        <v>-50</v>
      </c>
      <c r="AV355" s="38">
        <f>IF($C355="&lt;01",ROUND(INDEX(EID!$N:$N,MATCH($B355,EID!$B:$B,0))/2,0),IF(SUM($AT355)=0,"",ROUND((SUM($AP355)-(SUM($O355)*SUM($AS355)))/$AT355,0)))</f>
        <v>55</v>
      </c>
      <c r="AW355" s="33">
        <f t="shared" si="96"/>
        <v>1</v>
      </c>
      <c r="AX355" s="218">
        <f>IF($C355="&lt;01",SUM($AV355),ROUND(SUM($AV355)*SUM($AW355),0))</f>
        <v>55</v>
      </c>
      <c r="AY355" s="79">
        <f t="shared" si="93"/>
        <v>0.7</v>
      </c>
      <c r="AZ355" s="85">
        <f>IF($C355="&lt;01",ROUND(INDEX(EID!$R:$R,MATCH($B355,EID!$B:$B,0))/2,0),ROUND(SUM($O355)+(SUM($AV355)*$AY355),0))</f>
        <v>560</v>
      </c>
      <c r="BA355" s="40">
        <f t="shared" si="97"/>
        <v>0.9</v>
      </c>
      <c r="BB355" s="99">
        <f>IF($C355="&lt;01",ROUND(INDEX(EID!$T:$T,MATCH($B355,EID!$B:$B,0))/2,0),ROUND($AP355*$BA355,0))</f>
        <v>424</v>
      </c>
      <c r="BC355" s="85">
        <f>IF(LEFT($B355,4)="_Mil","",IF(SUM($BB355)=0,SUM($AD355),IF(OR(SUM($AP355)=0,SUM($AQ355)=0),MAX($BB355,$AD355),ROUND($BB355*$AQ355/$AP355,0))))</f>
        <v>357</v>
      </c>
      <c r="BD355" s="33">
        <f t="shared" si="94"/>
        <v>0.95</v>
      </c>
      <c r="BE355" s="218">
        <f>IF($C355="&lt;01",ROUND(INDEX(EID!$V:$V,MATCH($B355,EID!$B:$B,0))/2,0),ROUND($BD355*$BB355,0))</f>
        <v>403</v>
      </c>
      <c r="BF355" s="218">
        <f>IF(LEFT($B355,4)="_Mil","",IF(SUM($BE355)=0,SUM($AF355),IF(OR(SUM($AP355)=0,SUM($AQ355)=0),MAX($BE355,$AF355),ROUND($BE355*$AQ355/$AP355,0))))</f>
        <v>340</v>
      </c>
      <c r="BG355" s="79">
        <f t="shared" si="95"/>
        <v>0.95</v>
      </c>
      <c r="BH355" s="99">
        <f>IF($C355="&lt;01",ROUND(INDEX(EID!$L:$L,MATCH($B355,EID!$B:$B,0)),0)/2,IF(SUM($BG355)=0,"",ROUND($AX355/$BG355,0)))</f>
        <v>58</v>
      </c>
    </row>
    <row r="356" spans="1:60" x14ac:dyDescent="0.2">
      <c r="A356" t="str">
        <f>INDEX(Prioritization!$D:$D,MATCH($B356,Prioritization!$A:$A,0))</f>
        <v>INVALID</v>
      </c>
      <c r="B356" t="s">
        <v>323</v>
      </c>
      <c r="C356" t="s">
        <v>474</v>
      </c>
      <c r="D356" t="s">
        <v>48</v>
      </c>
      <c r="E356" t="str">
        <f t="shared" si="86"/>
        <v>Phalombe District [AZyWpGzhcaA]|10-14|Male</v>
      </c>
      <c r="F356" s="229">
        <v>476</v>
      </c>
      <c r="G356" s="38">
        <v>21</v>
      </c>
      <c r="H356" s="38">
        <v>16</v>
      </c>
      <c r="I356" s="38">
        <v>504</v>
      </c>
      <c r="J356" s="38">
        <v>626</v>
      </c>
      <c r="K356" s="38">
        <v>482</v>
      </c>
      <c r="L356" s="38">
        <v>84</v>
      </c>
      <c r="M356" s="38">
        <v>80</v>
      </c>
      <c r="N356" s="38">
        <v>524</v>
      </c>
      <c r="O356" s="229">
        <v>504</v>
      </c>
      <c r="P356" s="38">
        <v>441</v>
      </c>
      <c r="Q356" s="38">
        <v>419</v>
      </c>
      <c r="R356" s="38">
        <f t="shared" si="87"/>
        <v>0</v>
      </c>
      <c r="S356" s="38">
        <f>IF(LEFT($B356,4)="_Mil","",_xlfn.IFNA(ROUND(INDEX(Spectrum!$N:$N,MATCH(RIGHT($B356,13)&amp;"|"&amp;$C356&amp;"|"&amp;$D356&amp;"|"&amp;S$14&amp;"|"&amp;"CY2023Q4",Spectrum!$R:$R,0)),0),""))</f>
        <v>430</v>
      </c>
      <c r="T356" s="218">
        <f>IF(LEFT($B356,4)="_Mil","",_xlfn.IFNA(ROUND(INDEX(Spectrum!$N:$N,MATCH(RIGHT($B356,13)&amp;"|"&amp;$C356&amp;"|"&amp;$D356&amp;"|"&amp;T$14&amp;"|"&amp;"CY2024Q3",Spectrum!$R:$R,0)),0),""))</f>
        <v>37080</v>
      </c>
      <c r="U356" s="218">
        <f>IF(LEFT($B356,4)="_Mil","",_xlfn.IFNA(ROUND(INDEX(Spectrum!$N:$N,MATCH(RIGHT($B356,13)&amp;"|"&amp;$C356&amp;"|"&amp;$D356&amp;"|"&amp;U$14&amp;"|"&amp;"CY2024Q3",Spectrum!$R:$R,0)),0),""))</f>
        <v>564</v>
      </c>
      <c r="V356" s="38">
        <f>IF(LEFT($B356,4)="_Mil","",_xlfn.IFNA(ROUND(INDEX(Spectrum!$N:$N,MATCH(RIGHT($B356,13)&amp;"|"&amp;$C356&amp;"|"&amp;$D356&amp;"|"&amp;V$14&amp;"|"&amp;"CY2024Q3",Spectrum!$R:$R,0)),0),""))</f>
        <v>481</v>
      </c>
      <c r="W356" s="220">
        <f>IF(LEFT($B356,4)="_Mil","",_xlfn.IFNA(INDEX(Spectrum!$N:$N,MATCH(RIGHT($B356,13)&amp;"|"&amp;$C356&amp;"|"&amp;$D356&amp;"|"&amp;W$14&amp;"|"&amp;"CY2024Q3",Spectrum!$R:$R,0)),""))</f>
        <v>1.52096E-2</v>
      </c>
      <c r="X356" s="218">
        <f>IF(LEFT($B356,4)="_Mil","",_xlfn.IFNA(ROUND(INDEX(Spectrum!$N:$N,MATCH(RIGHT($B356,13)&amp;"|"&amp;$C356&amp;"|"&amp;$D356&amp;"|"&amp;X$14&amp;"|"&amp;"CY2024Q3",Spectrum!$R:$R,0)),0),""))</f>
        <v>507</v>
      </c>
      <c r="Y356" s="33">
        <f t="shared" si="88"/>
        <v>0.9</v>
      </c>
      <c r="Z356" s="218">
        <f>IF(LEFT($B356,4)="_Mil","",_xlfn.IFNA(ROUND(INDEX(Spectrum!$N:$N,MATCH(RIGHT($B356,13)&amp;"|"&amp;$C356&amp;"|"&amp;$D356&amp;"|"&amp;Z$14&amp;"|"&amp;"CY2024Q3",Spectrum!$R:$R,0)),0),""))</f>
        <v>416</v>
      </c>
      <c r="AA356" s="33">
        <f>IF(LEFT($B356,4)="_Mil","",IFERROR(1/(1/INDEX(Spectrum!$N:$N,MATCH(RIGHT($B356,13)&amp;"|"&amp;$C356&amp;"|"&amp;$D356&amp;"|"&amp;AA$14&amp;"|"&amp;"CY2024Q3",Spectrum!$R:$R,0))),IF(SUM($U356)=0,"",SUM($Z356)/$U356)))</f>
        <v>0.88175382400000002</v>
      </c>
      <c r="AB356" s="33">
        <f t="shared" si="89"/>
        <v>0.82051282051282048</v>
      </c>
      <c r="AC356" s="38">
        <f>IF(LEFT($B356,4)="_Mil","",_xlfn.IFNA(ROUND(INDEX(Spectrum!$N:$N,MATCH(RIGHT($B356,13)&amp;"|"&amp;$C356&amp;"|"&amp;$D356&amp;"|"&amp;AC$14&amp;"|"&amp;"CY2024Q3",Spectrum!$R:$R,0)),0),""))</f>
        <v>65</v>
      </c>
      <c r="AD356" s="38" t="str">
        <f>IF(LEFT($B356,4)="_Mil","",_xlfn.IFNA(ROUND(INDEX(Spectrum!$N:$N,MATCH(RIGHT($B356,13)&amp;"|"&amp;$C356&amp;"|"&amp;$D356&amp;"|"&amp;AD$14&amp;"|"&amp;"CY2024Q3",Spectrum!$R:$R,0)),0),""))</f>
        <v/>
      </c>
      <c r="AE356" s="33">
        <f t="shared" si="90"/>
        <v>0</v>
      </c>
      <c r="AF356" s="218" t="str">
        <f>IF(LEFT($B356,4)="_Mil","",_xlfn.IFNA(ROUND(INDEX(Spectrum!$N:$N,MATCH(RIGHT($B356,13)&amp;"|"&amp;$C356&amp;"|"&amp;$D356&amp;"|"&amp;AF$14&amp;"|"&amp;"CY2024Q3",Spectrum!$R:$R,0)),0),""))</f>
        <v/>
      </c>
      <c r="AG356" s="33" t="str">
        <f t="shared" si="91"/>
        <v/>
      </c>
      <c r="AH356" s="110" t="str">
        <f>IF(LEFT($B356,4)="_Mil","",_xlfn.IFNA(INDEX(Spectrum!$N:$N,MATCH(RIGHT($B356,13)&amp;"|"&amp;$C356&amp;"|"&amp;$D356&amp;"|"&amp;AH$14&amp;"|"&amp;"CY2024Q3",Spectrum!$R:$R,0)),""))</f>
        <v/>
      </c>
      <c r="AI356" s="218">
        <f>IF(LEFT($B356,4)="_Mil","",_xlfn.IFNA(ROUND(INDEX(Spectrum!$N:$N,MATCH(RIGHT($B356,13)&amp;"|"&amp;$C356&amp;"|"&amp;$D356&amp;"|"&amp;AI$14&amp;"|"&amp;"CY2025Q3",Spectrum!$R:$R,0)),0),""))</f>
        <v>0</v>
      </c>
      <c r="AJ356" s="38">
        <f>IF(LEFT($B356,4)="_Mil","",_xlfn.IFNA(ROUND(INDEX(Spectrum!$N:$N,MATCH(RIGHT($B356,13)&amp;"|"&amp;$C356&amp;"|"&amp;$D356&amp;"|"&amp;AJ$14&amp;"|"&amp;"CY2025Q3",Spectrum!$R:$R,0)),0),""))</f>
        <v>508</v>
      </c>
      <c r="AK356" s="218" t="e">
        <f>#REF!</f>
        <v>#REF!</v>
      </c>
      <c r="AL356" s="33">
        <f t="shared" si="92"/>
        <v>0.9</v>
      </c>
      <c r="AM356" s="38" t="e">
        <f>IF(OR(LEFT($B356,4)="_Mil",$C356="&lt;01"),"",ROUND(SUM($AK356)*SUM($AL356),0))</f>
        <v>#REF!</v>
      </c>
      <c r="AN356" s="38" t="str">
        <f>IF($C356="&lt;01",ROUND(INDEX(EID!$P:$P,MATCH($B356,EID!$B:$B,0))/2,0),"")</f>
        <v/>
      </c>
      <c r="AO356" s="38" t="e">
        <f>IF($C356="&lt;01",SUM($AN356),ROUND(SUM($AM356)*SUM($O356)/IF(SUM($Z356)=0,1,$Z356),0))</f>
        <v>#REF!</v>
      </c>
      <c r="AP356" s="218">
        <f>IF(OR($F356="",$C356="&lt;01"),$AO356,ROUND($F356,0))</f>
        <v>476</v>
      </c>
      <c r="AQ356" s="218">
        <f>IF(LEFT($B356,4)="_Mil","",IF(SUM($AP356)=0,SUM($Z356),IF(OR(SUM($Z356)=0,SUM($O356)=0),MAX($AP356,$Z356),ROUND($AP356*$Z356/$O356,0))))</f>
        <v>393</v>
      </c>
      <c r="AR356" s="33" t="e">
        <f>IF(OR(LEFT($B356,4)="_Mil",SUM($AK356)=0),"",SUM($AQ356)/$AK356)</f>
        <v>#REF!</v>
      </c>
      <c r="AS356" s="33">
        <f>IF($C356="&lt;01","",80%)</f>
        <v>0.8</v>
      </c>
      <c r="AT356" s="33">
        <f t="shared" si="83"/>
        <v>0.98</v>
      </c>
      <c r="AU356" s="38">
        <f>IF($C356="&lt;01","",SUM($AP356)-SUM($O356))</f>
        <v>-28</v>
      </c>
      <c r="AV356" s="38">
        <f>IF($C356="&lt;01",ROUND(INDEX(EID!$N:$N,MATCH($B356,EID!$B:$B,0))/2,0),IF(SUM($AT356)=0,"",ROUND((SUM($AP356)-(SUM($O356)*SUM($AS356)))/$AT356,0)))</f>
        <v>74</v>
      </c>
      <c r="AW356" s="33">
        <f t="shared" si="96"/>
        <v>1</v>
      </c>
      <c r="AX356" s="218">
        <f>IF($C356="&lt;01",SUM($AV356),ROUND(SUM($AV356)*SUM($AW356),0))</f>
        <v>74</v>
      </c>
      <c r="AY356" s="79">
        <f t="shared" si="93"/>
        <v>0.7</v>
      </c>
      <c r="AZ356" s="85">
        <f>IF($C356="&lt;01",ROUND(INDEX(EID!$R:$R,MATCH($B356,EID!$B:$B,0))/2,0),ROUND(SUM($O356)+(SUM($AV356)*$AY356),0))</f>
        <v>556</v>
      </c>
      <c r="BA356" s="40">
        <f t="shared" si="97"/>
        <v>0.9</v>
      </c>
      <c r="BB356" s="99">
        <f>IF($C356="&lt;01",ROUND(INDEX(EID!$T:$T,MATCH($B356,EID!$B:$B,0))/2,0),ROUND($AP356*$BA356,0))</f>
        <v>428</v>
      </c>
      <c r="BC356" s="85">
        <f>IF(LEFT($B356,4)="_Mil","",IF(SUM($BB356)=0,SUM($AD356),IF(OR(SUM($AP356)=0,SUM($AQ356)=0),MAX($BB356,$AD356),ROUND($BB356*$AQ356/$AP356,0))))</f>
        <v>353</v>
      </c>
      <c r="BD356" s="33">
        <f t="shared" si="94"/>
        <v>0.95</v>
      </c>
      <c r="BE356" s="218">
        <f>IF($C356="&lt;01",ROUND(INDEX(EID!$V:$V,MATCH($B356,EID!$B:$B,0))/2,0),ROUND($BD356*$BB356,0))</f>
        <v>407</v>
      </c>
      <c r="BF356" s="218">
        <f>IF(LEFT($B356,4)="_Mil","",IF(SUM($BE356)=0,SUM($AF356),IF(OR(SUM($AP356)=0,SUM($AQ356)=0),MAX($BE356,$AF356),ROUND($BE356*$AQ356/$AP356,0))))</f>
        <v>336</v>
      </c>
      <c r="BG356" s="79">
        <f t="shared" si="95"/>
        <v>0.95</v>
      </c>
      <c r="BH356" s="99">
        <f>IF($C356="&lt;01",ROUND(INDEX(EID!$L:$L,MATCH($B356,EID!$B:$B,0)),0)/2,IF(SUM($BG356)=0,"",ROUND($AX356/$BG356,0)))</f>
        <v>78</v>
      </c>
    </row>
    <row r="357" spans="1:60" x14ac:dyDescent="0.2">
      <c r="A357" t="str">
        <f>INDEX(Prioritization!$D:$D,MATCH($B357,Prioritization!$A:$A,0))</f>
        <v>INVALID</v>
      </c>
      <c r="B357" t="s">
        <v>323</v>
      </c>
      <c r="C357" t="s">
        <v>475</v>
      </c>
      <c r="D357" t="s">
        <v>30</v>
      </c>
      <c r="E357" t="str">
        <f t="shared" si="86"/>
        <v>Phalombe District [AZyWpGzhcaA]|15-24|Female</v>
      </c>
      <c r="F357" s="229">
        <v>1775</v>
      </c>
      <c r="G357" s="38">
        <v>375</v>
      </c>
      <c r="H357" s="38">
        <v>352</v>
      </c>
      <c r="I357" s="38">
        <v>1775</v>
      </c>
      <c r="J357" s="38">
        <v>1989</v>
      </c>
      <c r="K357" s="38">
        <v>1789</v>
      </c>
      <c r="L357" s="38">
        <v>164</v>
      </c>
      <c r="M357" s="38">
        <v>161</v>
      </c>
      <c r="N357" s="38">
        <v>1863</v>
      </c>
      <c r="O357" s="229">
        <v>1775</v>
      </c>
      <c r="P357" s="38">
        <v>1706</v>
      </c>
      <c r="Q357" s="38">
        <v>1621</v>
      </c>
      <c r="R357" s="38">
        <f t="shared" si="87"/>
        <v>0</v>
      </c>
      <c r="S357" s="38">
        <f>IF(LEFT($B357,4)="_Mil","",_xlfn.IFNA(ROUND(INDEX(Spectrum!$N:$N,MATCH(RIGHT($B357,13)&amp;"|"&amp;$C357&amp;"|"&amp;$D357&amp;"|"&amp;S$14&amp;"|"&amp;"CY2023Q4",Spectrum!$R:$R,0)),0),""))</f>
        <v>1695</v>
      </c>
      <c r="T357" s="218">
        <f>IF(LEFT($B357,4)="_Mil","",_xlfn.IFNA(ROUND(INDEX(Spectrum!$N:$N,MATCH(RIGHT($B357,13)&amp;"|"&amp;$C357&amp;"|"&amp;$D357&amp;"|"&amp;T$14&amp;"|"&amp;"CY2024Q3",Spectrum!$R:$R,0)),0),""))</f>
        <v>56280</v>
      </c>
      <c r="U357" s="218">
        <f>IF(LEFT($B357,4)="_Mil","",_xlfn.IFNA(ROUND(INDEX(Spectrum!$N:$N,MATCH(RIGHT($B357,13)&amp;"|"&amp;$C357&amp;"|"&amp;$D357&amp;"|"&amp;U$14&amp;"|"&amp;"CY2024Q3",Spectrum!$R:$R,0)),0),""))</f>
        <v>2006</v>
      </c>
      <c r="V357" s="38">
        <f>IF(LEFT($B357,4)="_Mil","",_xlfn.IFNA(ROUND(INDEX(Spectrum!$N:$N,MATCH(RIGHT($B357,13)&amp;"|"&amp;$C357&amp;"|"&amp;$D357&amp;"|"&amp;V$14&amp;"|"&amp;"CY2024Q3",Spectrum!$R:$R,0)),0),""))</f>
        <v>1712</v>
      </c>
      <c r="W357" s="220">
        <f>IF(LEFT($B357,4)="_Mil","",_xlfn.IFNA(INDEX(Spectrum!$N:$N,MATCH(RIGHT($B357,13)&amp;"|"&amp;$C357&amp;"|"&amp;$D357&amp;"|"&amp;W$14&amp;"|"&amp;"CY2024Q3",Spectrum!$R:$R,0)),""))</f>
        <v>3.5641812000000002E-2</v>
      </c>
      <c r="X357" s="218">
        <f>IF(LEFT($B357,4)="_Mil","",_xlfn.IFNA(ROUND(INDEX(Spectrum!$N:$N,MATCH(RIGHT($B357,13)&amp;"|"&amp;$C357&amp;"|"&amp;$D357&amp;"|"&amp;X$14&amp;"|"&amp;"CY2024Q3",Spectrum!$R:$R,0)),0),""))</f>
        <v>1945</v>
      </c>
      <c r="Y357" s="33">
        <f t="shared" si="88"/>
        <v>0.97</v>
      </c>
      <c r="Z357" s="218">
        <f>IF(LEFT($B357,4)="_Mil","",_xlfn.IFNA(ROUND(INDEX(Spectrum!$N:$N,MATCH(RIGHT($B357,13)&amp;"|"&amp;$C357&amp;"|"&amp;$D357&amp;"|"&amp;Z$14&amp;"|"&amp;"CY2024Q3",Spectrum!$R:$R,0)),0),""))</f>
        <v>1653</v>
      </c>
      <c r="AA357" s="33">
        <f>IF(LEFT($B357,4)="_Mil","",IFERROR(1/(1/INDEX(Spectrum!$N:$N,MATCH(RIGHT($B357,13)&amp;"|"&amp;$C357&amp;"|"&amp;$D357&amp;"|"&amp;AA$14&amp;"|"&amp;"CY2024Q3",Spectrum!$R:$R,0))),IF(SUM($U357)=0,"",SUM($Z357)/$U357)))</f>
        <v>0.96984132700000014</v>
      </c>
      <c r="AB357" s="33">
        <f t="shared" si="89"/>
        <v>0.84987146529562985</v>
      </c>
      <c r="AC357" s="38">
        <f>IF(LEFT($B357,4)="_Mil","",_xlfn.IFNA(ROUND(INDEX(Spectrum!$N:$N,MATCH(RIGHT($B357,13)&amp;"|"&amp;$C357&amp;"|"&amp;$D357&amp;"|"&amp;AC$14&amp;"|"&amp;"CY2024Q3",Spectrum!$R:$R,0)),0),""))</f>
        <v>59</v>
      </c>
      <c r="AD357" s="38" t="str">
        <f>IF(LEFT($B357,4)="_Mil","",_xlfn.IFNA(ROUND(INDEX(Spectrum!$N:$N,MATCH(RIGHT($B357,13)&amp;"|"&amp;$C357&amp;"|"&amp;$D357&amp;"|"&amp;AD$14&amp;"|"&amp;"CY2024Q3",Spectrum!$R:$R,0)),0),""))</f>
        <v/>
      </c>
      <c r="AE357" s="33">
        <f t="shared" si="90"/>
        <v>0</v>
      </c>
      <c r="AF357" s="218" t="str">
        <f>IF(LEFT($B357,4)="_Mil","",_xlfn.IFNA(ROUND(INDEX(Spectrum!$N:$N,MATCH(RIGHT($B357,13)&amp;"|"&amp;$C357&amp;"|"&amp;$D357&amp;"|"&amp;AF$14&amp;"|"&amp;"CY2024Q3",Spectrum!$R:$R,0)),0),""))</f>
        <v/>
      </c>
      <c r="AG357" s="33" t="str">
        <f t="shared" si="91"/>
        <v/>
      </c>
      <c r="AH357" s="110" t="str">
        <f>IF(LEFT($B357,4)="_Mil","",_xlfn.IFNA(INDEX(Spectrum!$N:$N,MATCH(RIGHT($B357,13)&amp;"|"&amp;$C357&amp;"|"&amp;$D357&amp;"|"&amp;AH$14&amp;"|"&amp;"CY2024Q3",Spectrum!$R:$R,0)),""))</f>
        <v/>
      </c>
      <c r="AI357" s="218">
        <f>IF(LEFT($B357,4)="_Mil","",_xlfn.IFNA(ROUND(INDEX(Spectrum!$N:$N,MATCH(RIGHT($B357,13)&amp;"|"&amp;$C357&amp;"|"&amp;$D357&amp;"|"&amp;AI$14&amp;"|"&amp;"CY2025Q3",Spectrum!$R:$R,0)),0),""))</f>
        <v>104</v>
      </c>
      <c r="AJ357" s="38">
        <f>IF(LEFT($B357,4)="_Mil","",_xlfn.IFNA(ROUND(INDEX(Spectrum!$N:$N,MATCH(RIGHT($B357,13)&amp;"|"&amp;$C357&amp;"|"&amp;$D357&amp;"|"&amp;AJ$14&amp;"|"&amp;"CY2025Q3",Spectrum!$R:$R,0)),0),""))</f>
        <v>1939</v>
      </c>
      <c r="AK357" s="218" t="e">
        <f>#REF!</f>
        <v>#REF!</v>
      </c>
      <c r="AL357" s="33">
        <f t="shared" si="92"/>
        <v>0.96984132700000014</v>
      </c>
      <c r="AM357" s="38" t="e">
        <f>IF(OR(LEFT($B357,4)="_Mil",$C357="&lt;01"),"",ROUND(SUM($AK357)*SUM($AL357),0))</f>
        <v>#REF!</v>
      </c>
      <c r="AN357" s="38" t="str">
        <f>IF($C357="&lt;01",ROUND(INDEX(EID!$P:$P,MATCH($B357,EID!$B:$B,0))/2,0),"")</f>
        <v/>
      </c>
      <c r="AO357" s="38" t="e">
        <f>IF($C357="&lt;01",SUM($AN357),ROUND(SUM($AM357)*SUM($O357)/IF(SUM($Z357)=0,1,$Z357),0))</f>
        <v>#REF!</v>
      </c>
      <c r="AP357" s="218">
        <f>IF(OR($F357="",$C357="&lt;01"),$AO357,ROUND($F357,0))</f>
        <v>1775</v>
      </c>
      <c r="AQ357" s="218">
        <f>IF(LEFT($B357,4)="_Mil","",IF(SUM($AP357)=0,SUM($Z357),IF(OR(SUM($Z357)=0,SUM($O357)=0),MAX($AP357,$Z357),ROUND($AP357*$Z357/$O357,0))))</f>
        <v>1653</v>
      </c>
      <c r="AR357" s="33" t="e">
        <f>IF(OR(LEFT($B357,4)="_Mil",SUM($AK357)=0),"",SUM($AQ357)/$AK357)</f>
        <v>#REF!</v>
      </c>
      <c r="AS357" s="33">
        <f>IF($C357="&lt;01","",80%)</f>
        <v>0.8</v>
      </c>
      <c r="AT357" s="33">
        <f>IF($C357="&lt;01","",90%)</f>
        <v>0.9</v>
      </c>
      <c r="AU357" s="38">
        <f>IF($C357="&lt;01","",SUM($AP357)-SUM($O357))</f>
        <v>0</v>
      </c>
      <c r="AV357" s="38">
        <f>IF($C357="&lt;01",ROUND(INDEX(EID!$N:$N,MATCH($B357,EID!$B:$B,0))/2,0),IF(SUM($AT357)=0,"",ROUND((SUM($AP357)-(SUM($O357)*SUM($AS357)))/$AT357,0)))</f>
        <v>394</v>
      </c>
      <c r="AW357" s="33">
        <f t="shared" si="96"/>
        <v>1</v>
      </c>
      <c r="AX357" s="218">
        <f>IF($C357="&lt;01",SUM($AV357),ROUND(SUM($AV357)*SUM($AW357),0))</f>
        <v>394</v>
      </c>
      <c r="AY357" s="79">
        <f t="shared" si="93"/>
        <v>0.7</v>
      </c>
      <c r="AZ357" s="85">
        <f>IF($C357="&lt;01",ROUND(INDEX(EID!$R:$R,MATCH($B357,EID!$B:$B,0))/2,0),ROUND(SUM($O357)+(SUM($AV357)*$AY357),0))</f>
        <v>2051</v>
      </c>
      <c r="BA357" s="40">
        <f t="shared" si="97"/>
        <v>0.9</v>
      </c>
      <c r="BB357" s="99">
        <f>IF($C357="&lt;01",ROUND(INDEX(EID!$T:$T,MATCH($B357,EID!$B:$B,0))/2,0),ROUND($AP357*$BA357,0))</f>
        <v>1598</v>
      </c>
      <c r="BC357" s="85">
        <f>IF(LEFT($B357,4)="_Mil","",IF(SUM($BB357)=0,SUM($AD357),IF(OR(SUM($AP357)=0,SUM($AQ357)=0),MAX($BB357,$AD357),ROUND($BB357*$AQ357/$AP357,0))))</f>
        <v>1488</v>
      </c>
      <c r="BD357" s="33">
        <f t="shared" si="94"/>
        <v>0.95</v>
      </c>
      <c r="BE357" s="218">
        <f>IF($C357="&lt;01",ROUND(INDEX(EID!$V:$V,MATCH($B357,EID!$B:$B,0))/2,0),ROUND($BD357*$BB357,0))</f>
        <v>1518</v>
      </c>
      <c r="BF357" s="218">
        <f>IF(LEFT($B357,4)="_Mil","",IF(SUM($BE357)=0,SUM($AF357),IF(OR(SUM($AP357)=0,SUM($AQ357)=0),MAX($BE357,$AF357),ROUND($BE357*$AQ357/$AP357,0))))</f>
        <v>1414</v>
      </c>
      <c r="BG357" s="79">
        <f t="shared" si="95"/>
        <v>0.95</v>
      </c>
      <c r="BH357" s="99">
        <f>IF($C357="&lt;01",ROUND(INDEX(EID!$L:$L,MATCH($B357,EID!$B:$B,0)),0)/2,IF(SUM($BG357)=0,"",ROUND($AX357/$BG357,0)))</f>
        <v>415</v>
      </c>
    </row>
    <row r="358" spans="1:60" x14ac:dyDescent="0.2">
      <c r="A358" t="str">
        <f>INDEX(Prioritization!$D:$D,MATCH($B358,Prioritization!$A:$A,0))</f>
        <v>INVALID</v>
      </c>
      <c r="B358" t="s">
        <v>323</v>
      </c>
      <c r="C358" t="s">
        <v>475</v>
      </c>
      <c r="D358" t="s">
        <v>48</v>
      </c>
      <c r="E358" t="str">
        <f t="shared" si="86"/>
        <v>Phalombe District [AZyWpGzhcaA]|15-24|Male</v>
      </c>
      <c r="F358" s="229">
        <v>1088</v>
      </c>
      <c r="G358" s="38">
        <v>134</v>
      </c>
      <c r="H358" s="38">
        <v>94</v>
      </c>
      <c r="I358" s="38">
        <v>717</v>
      </c>
      <c r="J358" s="38">
        <v>658</v>
      </c>
      <c r="K358" s="38">
        <v>579</v>
      </c>
      <c r="L358" s="38">
        <v>210</v>
      </c>
      <c r="M358" s="38">
        <v>200</v>
      </c>
      <c r="N358" s="38">
        <v>1303</v>
      </c>
      <c r="O358" s="229">
        <v>1040</v>
      </c>
      <c r="P358" s="38">
        <v>1131</v>
      </c>
      <c r="Q358" s="38">
        <v>1074</v>
      </c>
      <c r="R358" s="38">
        <f t="shared" si="87"/>
        <v>323</v>
      </c>
      <c r="S358" s="38">
        <f>IF(LEFT($B358,4)="_Mil","",_xlfn.IFNA(ROUND(INDEX(Spectrum!$N:$N,MATCH(RIGHT($B358,13)&amp;"|"&amp;$C358&amp;"|"&amp;$D358&amp;"|"&amp;S$14&amp;"|"&amp;"CY2023Q4",Spectrum!$R:$R,0)),0),""))</f>
        <v>1128</v>
      </c>
      <c r="T358" s="218">
        <f>IF(LEFT($B358,4)="_Mil","",_xlfn.IFNA(ROUND(INDEX(Spectrum!$N:$N,MATCH(RIGHT($B358,13)&amp;"|"&amp;$C358&amp;"|"&amp;$D358&amp;"|"&amp;T$14&amp;"|"&amp;"CY2024Q3",Spectrum!$R:$R,0)),0),""))</f>
        <v>57613</v>
      </c>
      <c r="U358" s="218">
        <f>IF(LEFT($B358,4)="_Mil","",_xlfn.IFNA(ROUND(INDEX(Spectrum!$N:$N,MATCH(RIGHT($B358,13)&amp;"|"&amp;$C358&amp;"|"&amp;$D358&amp;"|"&amp;U$14&amp;"|"&amp;"CY2024Q3",Spectrum!$R:$R,0)),0),""))</f>
        <v>1431</v>
      </c>
      <c r="V358" s="38">
        <f>IF(LEFT($B358,4)="_Mil","",_xlfn.IFNA(ROUND(INDEX(Spectrum!$N:$N,MATCH(RIGHT($B358,13)&amp;"|"&amp;$C358&amp;"|"&amp;$D358&amp;"|"&amp;V$14&amp;"|"&amp;"CY2024Q3",Spectrum!$R:$R,0)),0),""))</f>
        <v>1223</v>
      </c>
      <c r="W358" s="220">
        <f>IF(LEFT($B358,4)="_Mil","",_xlfn.IFNA(INDEX(Spectrum!$N:$N,MATCH(RIGHT($B358,13)&amp;"|"&amp;$C358&amp;"|"&amp;$D358&amp;"|"&amp;W$14&amp;"|"&amp;"CY2024Q3",Spectrum!$R:$R,0)),""))</f>
        <v>2.4836566000000001E-2</v>
      </c>
      <c r="X358" s="218">
        <f>IF(LEFT($B358,4)="_Mil","",_xlfn.IFNA(ROUND(INDEX(Spectrum!$N:$N,MATCH(RIGHT($B358,13)&amp;"|"&amp;$C358&amp;"|"&amp;$D358&amp;"|"&amp;X$14&amp;"|"&amp;"CY2024Q3",Spectrum!$R:$R,0)),0),""))</f>
        <v>1366</v>
      </c>
      <c r="Y358" s="33">
        <f t="shared" si="88"/>
        <v>0.95</v>
      </c>
      <c r="Z358" s="218">
        <f>IF(LEFT($B358,4)="_Mil","",_xlfn.IFNA(ROUND(INDEX(Spectrum!$N:$N,MATCH(RIGHT($B358,13)&amp;"|"&amp;$C358&amp;"|"&amp;$D358&amp;"|"&amp;Z$14&amp;"|"&amp;"CY2024Q3",Spectrum!$R:$R,0)),0),""))</f>
        <v>1142</v>
      </c>
      <c r="AA358" s="33">
        <f>IF(LEFT($B358,4)="_Mil","",IFERROR(1/(1/INDEX(Spectrum!$N:$N,MATCH(RIGHT($B358,13)&amp;"|"&amp;$C358&amp;"|"&amp;$D358&amp;"|"&amp;AA$14&amp;"|"&amp;"CY2024Q3",Spectrum!$R:$R,0))),IF(SUM($U358)=0,"",SUM($Z358)/$U358)))</f>
        <v>0.95348282400000006</v>
      </c>
      <c r="AB358" s="33">
        <f t="shared" si="89"/>
        <v>0.83601756954612005</v>
      </c>
      <c r="AC358" s="38">
        <f>IF(LEFT($B358,4)="_Mil","",_xlfn.IFNA(ROUND(INDEX(Spectrum!$N:$N,MATCH(RIGHT($B358,13)&amp;"|"&amp;$C358&amp;"|"&amp;$D358&amp;"|"&amp;AC$14&amp;"|"&amp;"CY2024Q3",Spectrum!$R:$R,0)),0),""))</f>
        <v>81</v>
      </c>
      <c r="AD358" s="38" t="str">
        <f>IF(LEFT($B358,4)="_Mil","",_xlfn.IFNA(ROUND(INDEX(Spectrum!$N:$N,MATCH(RIGHT($B358,13)&amp;"|"&amp;$C358&amp;"|"&amp;$D358&amp;"|"&amp;AD$14&amp;"|"&amp;"CY2024Q3",Spectrum!$R:$R,0)),0),""))</f>
        <v/>
      </c>
      <c r="AE358" s="33">
        <f t="shared" si="90"/>
        <v>0</v>
      </c>
      <c r="AF358" s="218" t="str">
        <f>IF(LEFT($B358,4)="_Mil","",_xlfn.IFNA(ROUND(INDEX(Spectrum!$N:$N,MATCH(RIGHT($B358,13)&amp;"|"&amp;$C358&amp;"|"&amp;$D358&amp;"|"&amp;AF$14&amp;"|"&amp;"CY2024Q3",Spectrum!$R:$R,0)),0),""))</f>
        <v/>
      </c>
      <c r="AG358" s="33" t="str">
        <f t="shared" si="91"/>
        <v/>
      </c>
      <c r="AH358" s="110" t="str">
        <f>IF(LEFT($B358,4)="_Mil","",_xlfn.IFNA(INDEX(Spectrum!$N:$N,MATCH(RIGHT($B358,13)&amp;"|"&amp;$C358&amp;"|"&amp;$D358&amp;"|"&amp;AH$14&amp;"|"&amp;"CY2024Q3",Spectrum!$R:$R,0)),""))</f>
        <v/>
      </c>
      <c r="AI358" s="218">
        <f>IF(LEFT($B358,4)="_Mil","",_xlfn.IFNA(ROUND(INDEX(Spectrum!$N:$N,MATCH(RIGHT($B358,13)&amp;"|"&amp;$C358&amp;"|"&amp;$D358&amp;"|"&amp;AI$14&amp;"|"&amp;"CY2025Q3",Spectrum!$R:$R,0)),0),""))</f>
        <v>18</v>
      </c>
      <c r="AJ358" s="38">
        <f>IF(LEFT($B358,4)="_Mil","",_xlfn.IFNA(ROUND(INDEX(Spectrum!$N:$N,MATCH(RIGHT($B358,13)&amp;"|"&amp;$C358&amp;"|"&amp;$D358&amp;"|"&amp;AJ$14&amp;"|"&amp;"CY2025Q3",Spectrum!$R:$R,0)),0),""))</f>
        <v>1412</v>
      </c>
      <c r="AK358" s="218" t="e">
        <f>#REF!</f>
        <v>#REF!</v>
      </c>
      <c r="AL358" s="33">
        <f t="shared" si="92"/>
        <v>0.95348282400000006</v>
      </c>
      <c r="AM358" s="38" t="e">
        <f>IF(OR(LEFT($B358,4)="_Mil",$C358="&lt;01"),"",ROUND(SUM($AK358)*SUM($AL358),0))</f>
        <v>#REF!</v>
      </c>
      <c r="AN358" s="38" t="str">
        <f>IF($C358="&lt;01",ROUND(INDEX(EID!$P:$P,MATCH($B358,EID!$B:$B,0))/2,0),"")</f>
        <v/>
      </c>
      <c r="AO358" s="38" t="e">
        <f>IF($C358="&lt;01",SUM($AN358),ROUND(SUM($AM358)*SUM($O358)/IF(SUM($Z358)=0,1,$Z358),0))</f>
        <v>#REF!</v>
      </c>
      <c r="AP358" s="218">
        <f>IF(OR($F358="",$C358="&lt;01"),$AO358,ROUND($F358,0))</f>
        <v>1088</v>
      </c>
      <c r="AQ358" s="218">
        <f>IF(LEFT($B358,4)="_Mil","",IF(SUM($AP358)=0,SUM($Z358),IF(OR(SUM($Z358)=0,SUM($O358)=0),MAX($AP358,$Z358),ROUND($AP358*$Z358/$O358,0))))</f>
        <v>1195</v>
      </c>
      <c r="AR358" s="33" t="e">
        <f>IF(OR(LEFT($B358,4)="_Mil",SUM($AK358)=0),"",SUM($AQ358)/$AK358)</f>
        <v>#REF!</v>
      </c>
      <c r="AS358" s="33">
        <f>IF($C358="&lt;01","",98%)</f>
        <v>0.98</v>
      </c>
      <c r="AT358" s="33">
        <f t="shared" ref="AT358:AT418" si="98">IF($C358="&lt;01","",98%)</f>
        <v>0.98</v>
      </c>
      <c r="AU358" s="38">
        <f>IF($C358="&lt;01","",SUM($AP358)-SUM($O358))</f>
        <v>48</v>
      </c>
      <c r="AV358" s="38">
        <f>IF($C358="&lt;01",ROUND(INDEX(EID!$N:$N,MATCH($B358,EID!$B:$B,0))/2,0),IF(SUM($AT358)=0,"",ROUND((SUM($AP358)-(SUM($O358)*SUM($AS358)))/$AT358,0)))</f>
        <v>70</v>
      </c>
      <c r="AW358" s="33">
        <f t="shared" si="96"/>
        <v>1</v>
      </c>
      <c r="AX358" s="218">
        <f>IF($C358="&lt;01",SUM($AV358),ROUND(SUM($AV358)*SUM($AW358),0))</f>
        <v>70</v>
      </c>
      <c r="AY358" s="79">
        <f t="shared" si="93"/>
        <v>0.7</v>
      </c>
      <c r="AZ358" s="85">
        <f>IF($C358="&lt;01",ROUND(INDEX(EID!$R:$R,MATCH($B358,EID!$B:$B,0))/2,0),ROUND(SUM($O358)+(SUM($AV358)*$AY358),0))</f>
        <v>1089</v>
      </c>
      <c r="BA358" s="40">
        <f t="shared" si="97"/>
        <v>0.9</v>
      </c>
      <c r="BB358" s="99">
        <f>IF($C358="&lt;01",ROUND(INDEX(EID!$T:$T,MATCH($B358,EID!$B:$B,0))/2,0),ROUND($AP358*$BA358,0))</f>
        <v>979</v>
      </c>
      <c r="BC358" s="85">
        <f>IF(LEFT($B358,4)="_Mil","",IF(SUM($BB358)=0,SUM($AD358),IF(OR(SUM($AP358)=0,SUM($AQ358)=0),MAX($BB358,$AD358),ROUND($BB358*$AQ358/$AP358,0))))</f>
        <v>1075</v>
      </c>
      <c r="BD358" s="33">
        <f t="shared" si="94"/>
        <v>0.95</v>
      </c>
      <c r="BE358" s="218">
        <f>IF($C358="&lt;01",ROUND(INDEX(EID!$V:$V,MATCH($B358,EID!$B:$B,0))/2,0),ROUND($BD358*$BB358,0))</f>
        <v>930</v>
      </c>
      <c r="BF358" s="218">
        <f>IF(LEFT($B358,4)="_Mil","",IF(SUM($BE358)=0,SUM($AF358),IF(OR(SUM($AP358)=0,SUM($AQ358)=0),MAX($BE358,$AF358),ROUND($BE358*$AQ358/$AP358,0))))</f>
        <v>1021</v>
      </c>
      <c r="BG358" s="79">
        <f t="shared" si="95"/>
        <v>0.95</v>
      </c>
      <c r="BH358" s="99">
        <f>IF($C358="&lt;01",ROUND(INDEX(EID!$L:$L,MATCH($B358,EID!$B:$B,0)),0)/2,IF(SUM($BG358)=0,"",ROUND($AX358/$BG358,0)))</f>
        <v>74</v>
      </c>
    </row>
    <row r="359" spans="1:60" x14ac:dyDescent="0.2">
      <c r="A359" t="str">
        <f>INDEX(Prioritization!$D:$D,MATCH($B359,Prioritization!$A:$A,0))</f>
        <v>INVALID</v>
      </c>
      <c r="B359" t="s">
        <v>323</v>
      </c>
      <c r="C359" t="s">
        <v>476</v>
      </c>
      <c r="D359" t="s">
        <v>30</v>
      </c>
      <c r="E359" t="str">
        <f t="shared" si="86"/>
        <v>Phalombe District [AZyWpGzhcaA]|25-34|Female</v>
      </c>
      <c r="F359" s="229">
        <v>4236</v>
      </c>
      <c r="G359" s="38">
        <v>325</v>
      </c>
      <c r="H359" s="38">
        <v>317</v>
      </c>
      <c r="I359" s="38">
        <v>4913</v>
      </c>
      <c r="J359" s="38">
        <v>5116</v>
      </c>
      <c r="K359" s="38">
        <v>4893</v>
      </c>
      <c r="L359" s="38">
        <v>400</v>
      </c>
      <c r="M359" s="38">
        <v>393</v>
      </c>
      <c r="N359" s="38">
        <v>4560</v>
      </c>
      <c r="O359" s="229">
        <v>4550</v>
      </c>
      <c r="P359" s="38">
        <v>4177</v>
      </c>
      <c r="Q359" s="38">
        <v>3968</v>
      </c>
      <c r="R359" s="38">
        <f t="shared" si="87"/>
        <v>-363</v>
      </c>
      <c r="S359" s="38">
        <f>IF(LEFT($B359,4)="_Mil","",_xlfn.IFNA(ROUND(INDEX(Spectrum!$N:$N,MATCH(RIGHT($B359,13)&amp;"|"&amp;$C359&amp;"|"&amp;$D359&amp;"|"&amp;S$14&amp;"|"&amp;"CY2023Q4",Spectrum!$R:$R,0)),0),""))</f>
        <v>4308</v>
      </c>
      <c r="T359" s="218">
        <f>IF(LEFT($B359,4)="_Mil","",_xlfn.IFNA(ROUND(INDEX(Spectrum!$N:$N,MATCH(RIGHT($B359,13)&amp;"|"&amp;$C359&amp;"|"&amp;$D359&amp;"|"&amp;T$14&amp;"|"&amp;"CY2024Q3",Spectrum!$R:$R,0)),0),""))</f>
        <v>38527</v>
      </c>
      <c r="U359" s="218">
        <f>IF(LEFT($B359,4)="_Mil","",_xlfn.IFNA(ROUND(INDEX(Spectrum!$N:$N,MATCH(RIGHT($B359,13)&amp;"|"&amp;$C359&amp;"|"&amp;$D359&amp;"|"&amp;U$14&amp;"|"&amp;"CY2024Q3",Spectrum!$R:$R,0)),0),""))</f>
        <v>4842</v>
      </c>
      <c r="V359" s="38">
        <f>IF(LEFT($B359,4)="_Mil","",_xlfn.IFNA(ROUND(INDEX(Spectrum!$N:$N,MATCH(RIGHT($B359,13)&amp;"|"&amp;$C359&amp;"|"&amp;$D359&amp;"|"&amp;V$14&amp;"|"&amp;"CY2024Q3",Spectrum!$R:$R,0)),0),""))</f>
        <v>4136</v>
      </c>
      <c r="W359" s="220">
        <f>IF(LEFT($B359,4)="_Mil","",_xlfn.IFNA(INDEX(Spectrum!$N:$N,MATCH(RIGHT($B359,13)&amp;"|"&amp;$C359&amp;"|"&amp;$D359&amp;"|"&amp;W$14&amp;"|"&amp;"CY2024Q3",Spectrum!$R:$R,0)),""))</f>
        <v>0.125687242</v>
      </c>
      <c r="X359" s="218">
        <f>IF(LEFT($B359,4)="_Mil","",_xlfn.IFNA(ROUND(INDEX(Spectrum!$N:$N,MATCH(RIGHT($B359,13)&amp;"|"&amp;$C359&amp;"|"&amp;$D359&amp;"|"&amp;X$14&amp;"|"&amp;"CY2024Q3",Spectrum!$R:$R,0)),0),""))</f>
        <v>4766</v>
      </c>
      <c r="Y359" s="33">
        <f t="shared" si="88"/>
        <v>0.98</v>
      </c>
      <c r="Z359" s="218">
        <f>IF(LEFT($B359,4)="_Mil","",_xlfn.IFNA(ROUND(INDEX(Spectrum!$N:$N,MATCH(RIGHT($B359,13)&amp;"|"&amp;$C359&amp;"|"&amp;$D359&amp;"|"&amp;Z$14&amp;"|"&amp;"CY2024Q3",Spectrum!$R:$R,0)),0),""))</f>
        <v>4081</v>
      </c>
      <c r="AA359" s="33">
        <f>IF(LEFT($B359,4)="_Mil","",IFERROR(1/(1/INDEX(Spectrum!$N:$N,MATCH(RIGHT($B359,13)&amp;"|"&amp;$C359&amp;"|"&amp;$D359&amp;"|"&amp;AA$14&amp;"|"&amp;"CY2024Q3",Spectrum!$R:$R,0))),IF(SUM($U359)=0,"",SUM($Z359)/$U359)))</f>
        <v>0.98423557100000003</v>
      </c>
      <c r="AB359" s="33">
        <f t="shared" si="89"/>
        <v>0.85627360469995806</v>
      </c>
      <c r="AC359" s="38">
        <f>IF(LEFT($B359,4)="_Mil","",_xlfn.IFNA(ROUND(INDEX(Spectrum!$N:$N,MATCH(RIGHT($B359,13)&amp;"|"&amp;$C359&amp;"|"&amp;$D359&amp;"|"&amp;AC$14&amp;"|"&amp;"CY2024Q3",Spectrum!$R:$R,0)),0),""))</f>
        <v>55</v>
      </c>
      <c r="AD359" s="38" t="str">
        <f>IF(LEFT($B359,4)="_Mil","",_xlfn.IFNA(ROUND(INDEX(Spectrum!$N:$N,MATCH(RIGHT($B359,13)&amp;"|"&amp;$C359&amp;"|"&amp;$D359&amp;"|"&amp;AD$14&amp;"|"&amp;"CY2024Q3",Spectrum!$R:$R,0)),0),""))</f>
        <v/>
      </c>
      <c r="AE359" s="33">
        <f t="shared" si="90"/>
        <v>0</v>
      </c>
      <c r="AF359" s="218" t="str">
        <f>IF(LEFT($B359,4)="_Mil","",_xlfn.IFNA(ROUND(INDEX(Spectrum!$N:$N,MATCH(RIGHT($B359,13)&amp;"|"&amp;$C359&amp;"|"&amp;$D359&amp;"|"&amp;AF$14&amp;"|"&amp;"CY2024Q3",Spectrum!$R:$R,0)),0),""))</f>
        <v/>
      </c>
      <c r="AG359" s="33" t="str">
        <f t="shared" si="91"/>
        <v/>
      </c>
      <c r="AH359" s="110" t="str">
        <f>IF(LEFT($B359,4)="_Mil","",_xlfn.IFNA(INDEX(Spectrum!$N:$N,MATCH(RIGHT($B359,13)&amp;"|"&amp;$C359&amp;"|"&amp;$D359&amp;"|"&amp;AH$14&amp;"|"&amp;"CY2024Q3",Spectrum!$R:$R,0)),""))</f>
        <v/>
      </c>
      <c r="AI359" s="218">
        <f>IF(LEFT($B359,4)="_Mil","",_xlfn.IFNA(ROUND(INDEX(Spectrum!$N:$N,MATCH(RIGHT($B359,13)&amp;"|"&amp;$C359&amp;"|"&amp;$D359&amp;"|"&amp;AI$14&amp;"|"&amp;"CY2025Q3",Spectrum!$R:$R,0)),0),""))</f>
        <v>102</v>
      </c>
      <c r="AJ359" s="38">
        <f>IF(LEFT($B359,4)="_Mil","",_xlfn.IFNA(ROUND(INDEX(Spectrum!$N:$N,MATCH(RIGHT($B359,13)&amp;"|"&amp;$C359&amp;"|"&amp;$D359&amp;"|"&amp;AJ$14&amp;"|"&amp;"CY2025Q3",Spectrum!$R:$R,0)),0),""))</f>
        <v>4509</v>
      </c>
      <c r="AK359" s="218" t="e">
        <f>#REF!</f>
        <v>#REF!</v>
      </c>
      <c r="AL359" s="33">
        <f t="shared" si="92"/>
        <v>0.98423557100000003</v>
      </c>
      <c r="AM359" s="38" t="e">
        <f>IF(OR(LEFT($B359,4)="_Mil",$C359="&lt;01"),"",ROUND(SUM($AK359)*SUM($AL359),0))</f>
        <v>#REF!</v>
      </c>
      <c r="AN359" s="38" t="str">
        <f>IF($C359="&lt;01",ROUND(INDEX(EID!$P:$P,MATCH($B359,EID!$B:$B,0))/2,0),"")</f>
        <v/>
      </c>
      <c r="AO359" s="38" t="e">
        <f>IF($C359="&lt;01",SUM($AN359),ROUND(SUM($AM359)*SUM($O359)/IF(SUM($Z359)=0,1,$Z359),0))</f>
        <v>#REF!</v>
      </c>
      <c r="AP359" s="218">
        <f>IF(OR($F359="",$C359="&lt;01"),$AO359,ROUND($F359,0))</f>
        <v>4236</v>
      </c>
      <c r="AQ359" s="218">
        <f>IF(LEFT($B359,4)="_Mil","",IF(SUM($AP359)=0,SUM($Z359),IF(OR(SUM($Z359)=0,SUM($O359)=0),MAX($AP359,$Z359),ROUND($AP359*$Z359/$O359,0))))</f>
        <v>3799</v>
      </c>
      <c r="AR359" s="33" t="e">
        <f>IF(OR(LEFT($B359,4)="_Mil",SUM($AK359)=0),"",SUM($AQ359)/$AK359)</f>
        <v>#REF!</v>
      </c>
      <c r="AS359" s="33">
        <f>IF($C359="&lt;01","",85%)</f>
        <v>0.85</v>
      </c>
      <c r="AT359" s="33">
        <f>IF($C359="&lt;01","",90%)</f>
        <v>0.9</v>
      </c>
      <c r="AU359" s="38">
        <f>IF($C359="&lt;01","",SUM($AP359)-SUM($O359))</f>
        <v>-314</v>
      </c>
      <c r="AV359" s="38">
        <f>IF($C359="&lt;01",ROUND(INDEX(EID!$N:$N,MATCH($B359,EID!$B:$B,0))/2,0),IF(SUM($AT359)=0,"",ROUND((SUM($AP359)-(SUM($O359)*SUM($AS359)))/$AT359,0)))</f>
        <v>409</v>
      </c>
      <c r="AW359" s="33">
        <f t="shared" si="96"/>
        <v>1</v>
      </c>
      <c r="AX359" s="218">
        <f>IF($C359="&lt;01",SUM($AV359),ROUND(SUM($AV359)*SUM($AW359),0))</f>
        <v>409</v>
      </c>
      <c r="AY359" s="79">
        <f t="shared" si="93"/>
        <v>0.7</v>
      </c>
      <c r="AZ359" s="85">
        <f>IF($C359="&lt;01",ROUND(INDEX(EID!$R:$R,MATCH($B359,EID!$B:$B,0))/2,0),ROUND(SUM($O359)+(SUM($AV359)*$AY359),0))</f>
        <v>4836</v>
      </c>
      <c r="BA359" s="40">
        <f t="shared" si="97"/>
        <v>0.9</v>
      </c>
      <c r="BB359" s="99">
        <f>IF($C359="&lt;01",ROUND(INDEX(EID!$T:$T,MATCH($B359,EID!$B:$B,0))/2,0),ROUND($AP359*$BA359,0))</f>
        <v>3812</v>
      </c>
      <c r="BC359" s="85">
        <f>IF(LEFT($B359,4)="_Mil","",IF(SUM($BB359)=0,SUM($AD359),IF(OR(SUM($AP359)=0,SUM($AQ359)=0),MAX($BB359,$AD359),ROUND($BB359*$AQ359/$AP359,0))))</f>
        <v>3419</v>
      </c>
      <c r="BD359" s="33">
        <f t="shared" si="94"/>
        <v>0.95</v>
      </c>
      <c r="BE359" s="218">
        <f>IF($C359="&lt;01",ROUND(INDEX(EID!$V:$V,MATCH($B359,EID!$B:$B,0))/2,0),ROUND($BD359*$BB359,0))</f>
        <v>3621</v>
      </c>
      <c r="BF359" s="218">
        <f>IF(LEFT($B359,4)="_Mil","",IF(SUM($BE359)=0,SUM($AF359),IF(OR(SUM($AP359)=0,SUM($AQ359)=0),MAX($BE359,$AF359),ROUND($BE359*$AQ359/$AP359,0))))</f>
        <v>3247</v>
      </c>
      <c r="BG359" s="79">
        <f t="shared" si="95"/>
        <v>0.95</v>
      </c>
      <c r="BH359" s="99">
        <f>IF($C359="&lt;01",ROUND(INDEX(EID!$L:$L,MATCH($B359,EID!$B:$B,0)),0)/2,IF(SUM($BG359)=0,"",ROUND($AX359/$BG359,0)))</f>
        <v>431</v>
      </c>
    </row>
    <row r="360" spans="1:60" x14ac:dyDescent="0.2">
      <c r="A360" t="str">
        <f>INDEX(Prioritization!$D:$D,MATCH($B360,Prioritization!$A:$A,0))</f>
        <v>INVALID</v>
      </c>
      <c r="B360" t="s">
        <v>323</v>
      </c>
      <c r="C360" t="s">
        <v>476</v>
      </c>
      <c r="D360" t="s">
        <v>48</v>
      </c>
      <c r="E360" t="str">
        <f t="shared" si="86"/>
        <v>Phalombe District [AZyWpGzhcaA]|25-34|Male</v>
      </c>
      <c r="F360" s="229">
        <v>1412</v>
      </c>
      <c r="G360" s="38">
        <v>280</v>
      </c>
      <c r="H360" s="38">
        <v>238</v>
      </c>
      <c r="I360" s="38">
        <v>1412</v>
      </c>
      <c r="J360" s="38">
        <v>1214</v>
      </c>
      <c r="K360" s="38">
        <v>1155</v>
      </c>
      <c r="L360" s="38">
        <v>27</v>
      </c>
      <c r="M360" s="38">
        <v>25</v>
      </c>
      <c r="N360" s="38">
        <v>1528</v>
      </c>
      <c r="O360" s="229">
        <v>1412</v>
      </c>
      <c r="P360" s="38">
        <v>1385</v>
      </c>
      <c r="Q360" s="38">
        <v>1317</v>
      </c>
      <c r="R360" s="38">
        <f t="shared" si="87"/>
        <v>0</v>
      </c>
      <c r="S360" s="38">
        <f>IF(LEFT($B360,4)="_Mil","",_xlfn.IFNA(ROUND(INDEX(Spectrum!$N:$N,MATCH(RIGHT($B360,13)&amp;"|"&amp;$C360&amp;"|"&amp;$D360&amp;"|"&amp;S$14&amp;"|"&amp;"CY2023Q4",Spectrum!$R:$R,0)),0),""))</f>
        <v>1356</v>
      </c>
      <c r="T360" s="218">
        <f>IF(LEFT($B360,4)="_Mil","",_xlfn.IFNA(ROUND(INDEX(Spectrum!$N:$N,MATCH(RIGHT($B360,13)&amp;"|"&amp;$C360&amp;"|"&amp;$D360&amp;"|"&amp;T$14&amp;"|"&amp;"CY2024Q3",Spectrum!$R:$R,0)),0),""))</f>
        <v>35221</v>
      </c>
      <c r="U360" s="218">
        <f>IF(LEFT($B360,4)="_Mil","",_xlfn.IFNA(ROUND(INDEX(Spectrum!$N:$N,MATCH(RIGHT($B360,13)&amp;"|"&amp;$C360&amp;"|"&amp;$D360&amp;"|"&amp;U$14&amp;"|"&amp;"CY2024Q3",Spectrum!$R:$R,0)),0),""))</f>
        <v>1735</v>
      </c>
      <c r="V360" s="38">
        <f>IF(LEFT($B360,4)="_Mil","",_xlfn.IFNA(ROUND(INDEX(Spectrum!$N:$N,MATCH(RIGHT($B360,13)&amp;"|"&amp;$C360&amp;"|"&amp;$D360&amp;"|"&amp;V$14&amp;"|"&amp;"CY2024Q3",Spectrum!$R:$R,0)),0),""))</f>
        <v>1482</v>
      </c>
      <c r="W360" s="220">
        <f>IF(LEFT($B360,4)="_Mil","",_xlfn.IFNA(INDEX(Spectrum!$N:$N,MATCH(RIGHT($B360,13)&amp;"|"&amp;$C360&amp;"|"&amp;$D360&amp;"|"&amp;W$14&amp;"|"&amp;"CY2024Q3",Spectrum!$R:$R,0)),""))</f>
        <v>4.9266281000000002E-2</v>
      </c>
      <c r="X360" s="218">
        <f>IF(LEFT($B360,4)="_Mil","",_xlfn.IFNA(ROUND(INDEX(Spectrum!$N:$N,MATCH(RIGHT($B360,13)&amp;"|"&amp;$C360&amp;"|"&amp;$D360&amp;"|"&amp;X$14&amp;"|"&amp;"CY2024Q3",Spectrum!$R:$R,0)),0),""))</f>
        <v>1635</v>
      </c>
      <c r="Y360" s="33">
        <f t="shared" si="88"/>
        <v>0.94</v>
      </c>
      <c r="Z360" s="218">
        <f>IF(LEFT($B360,4)="_Mil","",_xlfn.IFNA(ROUND(INDEX(Spectrum!$N:$N,MATCH(RIGHT($B360,13)&amp;"|"&amp;$C360&amp;"|"&amp;$D360&amp;"|"&amp;Z$14&amp;"|"&amp;"CY2024Q3",Spectrum!$R:$R,0)),0),""))</f>
        <v>1343</v>
      </c>
      <c r="AA360" s="33">
        <f>IF(LEFT($B360,4)="_Mil","",IFERROR(1/(1/INDEX(Spectrum!$N:$N,MATCH(RIGHT($B360,13)&amp;"|"&amp;$C360&amp;"|"&amp;$D360&amp;"|"&amp;AA$14&amp;"|"&amp;"CY2024Q3",Spectrum!$R:$R,0))),IF(SUM($U360)=0,"",SUM($Z360)/$U360)))</f>
        <v>0.93871762599999997</v>
      </c>
      <c r="AB360" s="33">
        <f t="shared" si="89"/>
        <v>0.82140672782874613</v>
      </c>
      <c r="AC360" s="38">
        <f>IF(LEFT($B360,4)="_Mil","",_xlfn.IFNA(ROUND(INDEX(Spectrum!$N:$N,MATCH(RIGHT($B360,13)&amp;"|"&amp;$C360&amp;"|"&amp;$D360&amp;"|"&amp;AC$14&amp;"|"&amp;"CY2024Q3",Spectrum!$R:$R,0)),0),""))</f>
        <v>139</v>
      </c>
      <c r="AD360" s="38" t="str">
        <f>IF(LEFT($B360,4)="_Mil","",_xlfn.IFNA(ROUND(INDEX(Spectrum!$N:$N,MATCH(RIGHT($B360,13)&amp;"|"&amp;$C360&amp;"|"&amp;$D360&amp;"|"&amp;AD$14&amp;"|"&amp;"CY2024Q3",Spectrum!$R:$R,0)),0),""))</f>
        <v/>
      </c>
      <c r="AE360" s="33">
        <f t="shared" si="90"/>
        <v>0</v>
      </c>
      <c r="AF360" s="218" t="str">
        <f>IF(LEFT($B360,4)="_Mil","",_xlfn.IFNA(ROUND(INDEX(Spectrum!$N:$N,MATCH(RIGHT($B360,13)&amp;"|"&amp;$C360&amp;"|"&amp;$D360&amp;"|"&amp;AF$14&amp;"|"&amp;"CY2024Q3",Spectrum!$R:$R,0)),0),""))</f>
        <v/>
      </c>
      <c r="AG360" s="33" t="str">
        <f t="shared" si="91"/>
        <v/>
      </c>
      <c r="AH360" s="110" t="str">
        <f>IF(LEFT($B360,4)="_Mil","",_xlfn.IFNA(INDEX(Spectrum!$N:$N,MATCH(RIGHT($B360,13)&amp;"|"&amp;$C360&amp;"|"&amp;$D360&amp;"|"&amp;AH$14&amp;"|"&amp;"CY2024Q3",Spectrum!$R:$R,0)),""))</f>
        <v/>
      </c>
      <c r="AI360" s="218">
        <f>IF(LEFT($B360,4)="_Mil","",_xlfn.IFNA(ROUND(INDEX(Spectrum!$N:$N,MATCH(RIGHT($B360,13)&amp;"|"&amp;$C360&amp;"|"&amp;$D360&amp;"|"&amp;AI$14&amp;"|"&amp;"CY2025Q3",Spectrum!$R:$R,0)),0),""))</f>
        <v>60</v>
      </c>
      <c r="AJ360" s="38">
        <f>IF(LEFT($B360,4)="_Mil","",_xlfn.IFNA(ROUND(INDEX(Spectrum!$N:$N,MATCH(RIGHT($B360,13)&amp;"|"&amp;$C360&amp;"|"&amp;$D360&amp;"|"&amp;AJ$14&amp;"|"&amp;"CY2025Q3",Spectrum!$R:$R,0)),0),""))</f>
        <v>1669</v>
      </c>
      <c r="AK360" s="218" t="e">
        <f>#REF!</f>
        <v>#REF!</v>
      </c>
      <c r="AL360" s="33">
        <f t="shared" si="92"/>
        <v>0.93871762599999997</v>
      </c>
      <c r="AM360" s="38" t="e">
        <f>IF(OR(LEFT($B360,4)="_Mil",$C360="&lt;01"),"",ROUND(SUM($AK360)*SUM($AL360),0))</f>
        <v>#REF!</v>
      </c>
      <c r="AN360" s="38" t="str">
        <f>IF($C360="&lt;01",ROUND(INDEX(EID!$P:$P,MATCH($B360,EID!$B:$B,0))/2,0),"")</f>
        <v/>
      </c>
      <c r="AO360" s="38" t="e">
        <f>IF($C360="&lt;01",SUM($AN360),ROUND(SUM($AM360)*SUM($O360)/IF(SUM($Z360)=0,1,$Z360),0))</f>
        <v>#REF!</v>
      </c>
      <c r="AP360" s="218">
        <f>IF(OR($F360="",$C360="&lt;01"),$AO360,ROUND($F360,0))</f>
        <v>1412</v>
      </c>
      <c r="AQ360" s="218">
        <f>IF(LEFT($B360,4)="_Mil","",IF(SUM($AP360)=0,SUM($Z360),IF(OR(SUM($Z360)=0,SUM($O360)=0),MAX($AP360,$Z360),ROUND($AP360*$Z360/$O360,0))))</f>
        <v>1343</v>
      </c>
      <c r="AR360" s="33" t="e">
        <f>IF(OR(LEFT($B360,4)="_Mil",SUM($AK360)=0),"",SUM($AQ360)/$AK360)</f>
        <v>#REF!</v>
      </c>
      <c r="AS360" s="33">
        <f>IF($C360="&lt;01","",98%)</f>
        <v>0.98</v>
      </c>
      <c r="AT360" s="33">
        <f t="shared" si="98"/>
        <v>0.98</v>
      </c>
      <c r="AU360" s="38">
        <f>IF($C360="&lt;01","",SUM($AP360)-SUM($O360))</f>
        <v>0</v>
      </c>
      <c r="AV360" s="38">
        <f>IF($C360="&lt;01",ROUND(INDEX(EID!$N:$N,MATCH($B360,EID!$B:$B,0))/2,0),IF(SUM($AT360)=0,"",ROUND((SUM($AP360)-(SUM($O360)*SUM($AS360)))/$AT360,0)))</f>
        <v>29</v>
      </c>
      <c r="AW360" s="33">
        <f t="shared" si="96"/>
        <v>1</v>
      </c>
      <c r="AX360" s="218">
        <f>IF($C360="&lt;01",SUM($AV360),ROUND(SUM($AV360)*SUM($AW360),0))</f>
        <v>29</v>
      </c>
      <c r="AY360" s="79">
        <f t="shared" si="93"/>
        <v>0.7</v>
      </c>
      <c r="AZ360" s="85">
        <f>IF($C360="&lt;01",ROUND(INDEX(EID!$R:$R,MATCH($B360,EID!$B:$B,0))/2,0),ROUND(SUM($O360)+(SUM($AV360)*$AY360),0))</f>
        <v>1432</v>
      </c>
      <c r="BA360" s="40">
        <f t="shared" si="97"/>
        <v>0.9</v>
      </c>
      <c r="BB360" s="99">
        <f>IF($C360="&lt;01",ROUND(INDEX(EID!$T:$T,MATCH($B360,EID!$B:$B,0))/2,0),ROUND($AP360*$BA360,0))</f>
        <v>1271</v>
      </c>
      <c r="BC360" s="85">
        <f>IF(LEFT($B360,4)="_Mil","",IF(SUM($BB360)=0,SUM($AD360),IF(OR(SUM($AP360)=0,SUM($AQ360)=0),MAX($BB360,$AD360),ROUND($BB360*$AQ360/$AP360,0))))</f>
        <v>1209</v>
      </c>
      <c r="BD360" s="33">
        <f t="shared" si="94"/>
        <v>0.95</v>
      </c>
      <c r="BE360" s="218">
        <f>IF($C360="&lt;01",ROUND(INDEX(EID!$V:$V,MATCH($B360,EID!$B:$B,0))/2,0),ROUND($BD360*$BB360,0))</f>
        <v>1207</v>
      </c>
      <c r="BF360" s="218">
        <f>IF(LEFT($B360,4)="_Mil","",IF(SUM($BE360)=0,SUM($AF360),IF(OR(SUM($AP360)=0,SUM($AQ360)=0),MAX($BE360,$AF360),ROUND($BE360*$AQ360/$AP360,0))))</f>
        <v>1148</v>
      </c>
      <c r="BG360" s="79">
        <f t="shared" si="95"/>
        <v>0.95</v>
      </c>
      <c r="BH360" s="99">
        <f>IF($C360="&lt;01",ROUND(INDEX(EID!$L:$L,MATCH($B360,EID!$B:$B,0)),0)/2,IF(SUM($BG360)=0,"",ROUND($AX360/$BG360,0)))</f>
        <v>31</v>
      </c>
    </row>
    <row r="361" spans="1:60" x14ac:dyDescent="0.2">
      <c r="A361" t="str">
        <f>INDEX(Prioritization!$D:$D,MATCH($B361,Prioritization!$A:$A,0))</f>
        <v>INVALID</v>
      </c>
      <c r="B361" t="s">
        <v>323</v>
      </c>
      <c r="C361" t="s">
        <v>477</v>
      </c>
      <c r="D361" t="s">
        <v>30</v>
      </c>
      <c r="E361" t="str">
        <f t="shared" si="86"/>
        <v>Phalombe District [AZyWpGzhcaA]|35-49|Female</v>
      </c>
      <c r="F361" s="229">
        <v>10008</v>
      </c>
      <c r="G361" s="38">
        <v>223</v>
      </c>
      <c r="H361" s="38">
        <v>198</v>
      </c>
      <c r="I361" s="38">
        <v>10008</v>
      </c>
      <c r="J361" s="38">
        <v>9878</v>
      </c>
      <c r="K361" s="38">
        <v>9540</v>
      </c>
      <c r="L361" s="38">
        <v>204</v>
      </c>
      <c r="M361" s="38">
        <v>201</v>
      </c>
      <c r="N361" s="38">
        <v>10599</v>
      </c>
      <c r="O361" s="229">
        <v>10008</v>
      </c>
      <c r="P361" s="38">
        <v>9579</v>
      </c>
      <c r="Q361" s="38">
        <v>9100</v>
      </c>
      <c r="R361" s="38">
        <f t="shared" si="87"/>
        <v>0</v>
      </c>
      <c r="S361" s="38">
        <f>IF(LEFT($B361,4)="_Mil","",_xlfn.IFNA(ROUND(INDEX(Spectrum!$N:$N,MATCH(RIGHT($B361,13)&amp;"|"&amp;$C361&amp;"|"&amp;$D361&amp;"|"&amp;S$14&amp;"|"&amp;"CY2023Q4",Spectrum!$R:$R,0)),0),""))</f>
        <v>9633</v>
      </c>
      <c r="T361" s="218">
        <f>IF(LEFT($B361,4)="_Mil","",_xlfn.IFNA(ROUND(INDEX(Spectrum!$N:$N,MATCH(RIGHT($B361,13)&amp;"|"&amp;$C361&amp;"|"&amp;$D361&amp;"|"&amp;T$14&amp;"|"&amp;"CY2024Q3",Spectrum!$R:$R,0)),0),""))</f>
        <v>37371</v>
      </c>
      <c r="U361" s="218">
        <f>IF(LEFT($B361,4)="_Mil","",_xlfn.IFNA(ROUND(INDEX(Spectrum!$N:$N,MATCH(RIGHT($B361,13)&amp;"|"&amp;$C361&amp;"|"&amp;$D361&amp;"|"&amp;U$14&amp;"|"&amp;"CY2024Q3",Spectrum!$R:$R,0)),0),""))</f>
        <v>11509</v>
      </c>
      <c r="V361" s="38">
        <f>IF(LEFT($B361,4)="_Mil","",_xlfn.IFNA(ROUND(INDEX(Spectrum!$N:$N,MATCH(RIGHT($B361,13)&amp;"|"&amp;$C361&amp;"|"&amp;$D361&amp;"|"&amp;V$14&amp;"|"&amp;"CY2024Q3",Spectrum!$R:$R,0)),0),""))</f>
        <v>9800</v>
      </c>
      <c r="W361" s="220">
        <f>IF(LEFT($B361,4)="_Mil","",_xlfn.IFNA(INDEX(Spectrum!$N:$N,MATCH(RIGHT($B361,13)&amp;"|"&amp;$C361&amp;"|"&amp;$D361&amp;"|"&amp;W$14&amp;"|"&amp;"CY2024Q3",Spectrum!$R:$R,0)),""))</f>
        <v>0.30795450600000002</v>
      </c>
      <c r="X361" s="218">
        <f>IF(LEFT($B361,4)="_Mil","",_xlfn.IFNA(ROUND(INDEX(Spectrum!$N:$N,MATCH(RIGHT($B361,13)&amp;"|"&amp;$C361&amp;"|"&amp;$D361&amp;"|"&amp;X$14&amp;"|"&amp;"CY2024Q3",Spectrum!$R:$R,0)),0),""))</f>
        <v>11421</v>
      </c>
      <c r="Y361" s="33">
        <f t="shared" si="88"/>
        <v>0.99</v>
      </c>
      <c r="Z361" s="218">
        <f>IF(LEFT($B361,4)="_Mil","",_xlfn.IFNA(ROUND(INDEX(Spectrum!$N:$N,MATCH(RIGHT($B361,13)&amp;"|"&amp;$C361&amp;"|"&amp;$D361&amp;"|"&amp;Z$14&amp;"|"&amp;"CY2024Q3",Spectrum!$R:$R,0)),0),""))</f>
        <v>9705</v>
      </c>
      <c r="AA361" s="33">
        <f>IF(LEFT($B361,4)="_Mil","",IFERROR(1/(1/INDEX(Spectrum!$N:$N,MATCH(RIGHT($B361,13)&amp;"|"&amp;$C361&amp;"|"&amp;$D361&amp;"|"&amp;AA$14&amp;"|"&amp;"CY2024Q3",Spectrum!$R:$R,0))),IF(SUM($U361)=0,"",SUM($Z361)/$U361)))</f>
        <v>0.99220979999999992</v>
      </c>
      <c r="AB361" s="33">
        <f t="shared" si="89"/>
        <v>0.84975045967953766</v>
      </c>
      <c r="AC361" s="38">
        <f>IF(LEFT($B361,4)="_Mil","",_xlfn.IFNA(ROUND(INDEX(Spectrum!$N:$N,MATCH(RIGHT($B361,13)&amp;"|"&amp;$C361&amp;"|"&amp;$D361&amp;"|"&amp;AC$14&amp;"|"&amp;"CY2024Q3",Spectrum!$R:$R,0)),0),""))</f>
        <v>95</v>
      </c>
      <c r="AD361" s="38" t="str">
        <f>IF(LEFT($B361,4)="_Mil","",_xlfn.IFNA(ROUND(INDEX(Spectrum!$N:$N,MATCH(RIGHT($B361,13)&amp;"|"&amp;$C361&amp;"|"&amp;$D361&amp;"|"&amp;AD$14&amp;"|"&amp;"CY2024Q3",Spectrum!$R:$R,0)),0),""))</f>
        <v/>
      </c>
      <c r="AE361" s="33">
        <f t="shared" si="90"/>
        <v>0</v>
      </c>
      <c r="AF361" s="218" t="str">
        <f>IF(LEFT($B361,4)="_Mil","",_xlfn.IFNA(ROUND(INDEX(Spectrum!$N:$N,MATCH(RIGHT($B361,13)&amp;"|"&amp;$C361&amp;"|"&amp;$D361&amp;"|"&amp;AF$14&amp;"|"&amp;"CY2024Q3",Spectrum!$R:$R,0)),0),""))</f>
        <v/>
      </c>
      <c r="AG361" s="33" t="str">
        <f t="shared" si="91"/>
        <v/>
      </c>
      <c r="AH361" s="110" t="str">
        <f>IF(LEFT($B361,4)="_Mil","",_xlfn.IFNA(INDEX(Spectrum!$N:$N,MATCH(RIGHT($B361,13)&amp;"|"&amp;$C361&amp;"|"&amp;$D361&amp;"|"&amp;AH$14&amp;"|"&amp;"CY2024Q3",Spectrum!$R:$R,0)),""))</f>
        <v/>
      </c>
      <c r="AI361" s="218">
        <f>IF(LEFT($B361,4)="_Mil","",_xlfn.IFNA(ROUND(INDEX(Spectrum!$N:$N,MATCH(RIGHT($B361,13)&amp;"|"&amp;$C361&amp;"|"&amp;$D361&amp;"|"&amp;AI$14&amp;"|"&amp;"CY2025Q3",Spectrum!$R:$R,0)),0),""))</f>
        <v>44</v>
      </c>
      <c r="AJ361" s="38">
        <f>IF(LEFT($B361,4)="_Mil","",_xlfn.IFNA(ROUND(INDEX(Spectrum!$N:$N,MATCH(RIGHT($B361,13)&amp;"|"&amp;$C361&amp;"|"&amp;$D361&amp;"|"&amp;AJ$14&amp;"|"&amp;"CY2025Q3",Spectrum!$R:$R,0)),0),""))</f>
        <v>11558</v>
      </c>
      <c r="AK361" s="218" t="e">
        <f>#REF!</f>
        <v>#REF!</v>
      </c>
      <c r="AL361" s="33">
        <f t="shared" si="92"/>
        <v>0.99220979999999992</v>
      </c>
      <c r="AM361" s="38" t="e">
        <f>IF(OR(LEFT($B361,4)="_Mil",$C361="&lt;01"),"",ROUND(SUM($AK361)*SUM($AL361),0))</f>
        <v>#REF!</v>
      </c>
      <c r="AN361" s="38" t="str">
        <f>IF($C361="&lt;01",ROUND(INDEX(EID!$P:$P,MATCH($B361,EID!$B:$B,0))/2,0),"")</f>
        <v/>
      </c>
      <c r="AO361" s="38" t="e">
        <f>IF($C361="&lt;01",SUM($AN361),ROUND(SUM($AM361)*SUM($O361)/IF(SUM($Z361)=0,1,$Z361),0))</f>
        <v>#REF!</v>
      </c>
      <c r="AP361" s="218">
        <f>IF(OR($F361="",$C361="&lt;01"),$AO361,ROUND($F361,0))</f>
        <v>10008</v>
      </c>
      <c r="AQ361" s="218">
        <f>IF(LEFT($B361,4)="_Mil","",IF(SUM($AP361)=0,SUM($Z361),IF(OR(SUM($Z361)=0,SUM($O361)=0),MAX($AP361,$Z361),ROUND($AP361*$Z361/$O361,0))))</f>
        <v>9705</v>
      </c>
      <c r="AR361" s="33" t="e">
        <f>IF(OR(LEFT($B361,4)="_Mil",SUM($AK361)=0),"",SUM($AQ361)/$AK361)</f>
        <v>#REF!</v>
      </c>
      <c r="AS361" s="33">
        <f>IF($C361="&lt;01","",98%)</f>
        <v>0.98</v>
      </c>
      <c r="AT361" s="33">
        <f t="shared" si="98"/>
        <v>0.98</v>
      </c>
      <c r="AU361" s="38">
        <f>IF($C361="&lt;01","",SUM($AP361)-SUM($O361))</f>
        <v>0</v>
      </c>
      <c r="AV361" s="38">
        <f>IF($C361="&lt;01",ROUND(INDEX(EID!$N:$N,MATCH($B361,EID!$B:$B,0))/2,0),IF(SUM($AT361)=0,"",ROUND((SUM($AP361)-(SUM($O361)*SUM($AS361)))/$AT361,0)))</f>
        <v>204</v>
      </c>
      <c r="AW361" s="33">
        <f t="shared" si="96"/>
        <v>1</v>
      </c>
      <c r="AX361" s="218">
        <f>IF($C361="&lt;01",SUM($AV361),ROUND(SUM($AV361)*SUM($AW361),0))</f>
        <v>204</v>
      </c>
      <c r="AY361" s="79">
        <f t="shared" si="93"/>
        <v>0.7</v>
      </c>
      <c r="AZ361" s="85">
        <f>IF($C361="&lt;01",ROUND(INDEX(EID!$R:$R,MATCH($B361,EID!$B:$B,0))/2,0),ROUND(SUM($O361)+(SUM($AV361)*$AY361),0))</f>
        <v>10151</v>
      </c>
      <c r="BA361" s="40">
        <f t="shared" si="97"/>
        <v>0.9</v>
      </c>
      <c r="BB361" s="99">
        <f>IF($C361="&lt;01",ROUND(INDEX(EID!$T:$T,MATCH($B361,EID!$B:$B,0))/2,0),ROUND($AP361*$BA361,0))</f>
        <v>9007</v>
      </c>
      <c r="BC361" s="85">
        <f>IF(LEFT($B361,4)="_Mil","",IF(SUM($BB361)=0,SUM($AD361),IF(OR(SUM($AP361)=0,SUM($AQ361)=0),MAX($BB361,$AD361),ROUND($BB361*$AQ361/$AP361,0))))</f>
        <v>8734</v>
      </c>
      <c r="BD361" s="33">
        <f t="shared" si="94"/>
        <v>0.95</v>
      </c>
      <c r="BE361" s="218">
        <f>IF($C361="&lt;01",ROUND(INDEX(EID!$V:$V,MATCH($B361,EID!$B:$B,0))/2,0),ROUND($BD361*$BB361,0))</f>
        <v>8557</v>
      </c>
      <c r="BF361" s="218">
        <f>IF(LEFT($B361,4)="_Mil","",IF(SUM($BE361)=0,SUM($AF361),IF(OR(SUM($AP361)=0,SUM($AQ361)=0),MAX($BE361,$AF361),ROUND($BE361*$AQ361/$AP361,0))))</f>
        <v>8298</v>
      </c>
      <c r="BG361" s="79">
        <f t="shared" si="95"/>
        <v>0.95</v>
      </c>
      <c r="BH361" s="99">
        <f>IF($C361="&lt;01",ROUND(INDEX(EID!$L:$L,MATCH($B361,EID!$B:$B,0)),0)/2,IF(SUM($BG361)=0,"",ROUND($AX361/$BG361,0)))</f>
        <v>215</v>
      </c>
    </row>
    <row r="362" spans="1:60" x14ac:dyDescent="0.2">
      <c r="A362" t="str">
        <f>INDEX(Prioritization!$D:$D,MATCH($B362,Prioritization!$A:$A,0))</f>
        <v>INVALID</v>
      </c>
      <c r="B362" t="s">
        <v>323</v>
      </c>
      <c r="C362" t="s">
        <v>477</v>
      </c>
      <c r="D362" t="s">
        <v>48</v>
      </c>
      <c r="E362" t="str">
        <f t="shared" si="86"/>
        <v>Phalombe District [AZyWpGzhcaA]|35-49|Male</v>
      </c>
      <c r="F362" s="229">
        <v>4926</v>
      </c>
      <c r="G362" s="38">
        <v>290</v>
      </c>
      <c r="H362" s="38">
        <v>282</v>
      </c>
      <c r="I362" s="38">
        <v>4926</v>
      </c>
      <c r="J362" s="38">
        <v>4203</v>
      </c>
      <c r="K362" s="38">
        <v>4046</v>
      </c>
      <c r="L362" s="38">
        <v>80</v>
      </c>
      <c r="M362" s="38">
        <v>76</v>
      </c>
      <c r="N362" s="38">
        <v>5282</v>
      </c>
      <c r="O362" s="229">
        <v>4926</v>
      </c>
      <c r="P362" s="38">
        <v>4768</v>
      </c>
      <c r="Q362" s="38">
        <v>4532</v>
      </c>
      <c r="R362" s="38">
        <f t="shared" si="87"/>
        <v>0</v>
      </c>
      <c r="S362" s="38">
        <f>IF(LEFT($B362,4)="_Mil","",_xlfn.IFNA(ROUND(INDEX(Spectrum!$N:$N,MATCH(RIGHT($B362,13)&amp;"|"&amp;$C362&amp;"|"&amp;$D362&amp;"|"&amp;S$14&amp;"|"&amp;"CY2023Q4",Spectrum!$R:$R,0)),0),""))</f>
        <v>4756</v>
      </c>
      <c r="T362" s="218">
        <f>IF(LEFT($B362,4)="_Mil","",_xlfn.IFNA(ROUND(INDEX(Spectrum!$N:$N,MATCH(RIGHT($B362,13)&amp;"|"&amp;$C362&amp;"|"&amp;$D362&amp;"|"&amp;T$14&amp;"|"&amp;"CY2024Q3",Spectrum!$R:$R,0)),0),""))</f>
        <v>31050</v>
      </c>
      <c r="U362" s="218">
        <f>IF(LEFT($B362,4)="_Mil","",_xlfn.IFNA(ROUND(INDEX(Spectrum!$N:$N,MATCH(RIGHT($B362,13)&amp;"|"&amp;$C362&amp;"|"&amp;$D362&amp;"|"&amp;U$14&amp;"|"&amp;"CY2024Q3",Spectrum!$R:$R,0)),0),""))</f>
        <v>5873</v>
      </c>
      <c r="V362" s="38">
        <f>IF(LEFT($B362,4)="_Mil","",_xlfn.IFNA(ROUND(INDEX(Spectrum!$N:$N,MATCH(RIGHT($B362,13)&amp;"|"&amp;$C362&amp;"|"&amp;$D362&amp;"|"&amp;V$14&amp;"|"&amp;"CY2024Q3",Spectrum!$R:$R,0)),0),""))</f>
        <v>5042</v>
      </c>
      <c r="W362" s="220">
        <f>IF(LEFT($B362,4)="_Mil","",_xlfn.IFNA(INDEX(Spectrum!$N:$N,MATCH(RIGHT($B362,13)&amp;"|"&amp;$C362&amp;"|"&amp;$D362&amp;"|"&amp;W$14&amp;"|"&amp;"CY2024Q3",Spectrum!$R:$R,0)),""))</f>
        <v>0.18914888299999999</v>
      </c>
      <c r="X362" s="218">
        <f>IF(LEFT($B362,4)="_Mil","",_xlfn.IFNA(ROUND(INDEX(Spectrum!$N:$N,MATCH(RIGHT($B362,13)&amp;"|"&amp;$C362&amp;"|"&amp;$D362&amp;"|"&amp;X$14&amp;"|"&amp;"CY2024Q3",Spectrum!$R:$R,0)),0),""))</f>
        <v>5670</v>
      </c>
      <c r="Y362" s="33">
        <f t="shared" si="88"/>
        <v>0.97</v>
      </c>
      <c r="Z362" s="218">
        <f>IF(LEFT($B362,4)="_Mil","",_xlfn.IFNA(ROUND(INDEX(Spectrum!$N:$N,MATCH(RIGHT($B362,13)&amp;"|"&amp;$C362&amp;"|"&amp;$D362&amp;"|"&amp;Z$14&amp;"|"&amp;"CY2024Q3",Spectrum!$R:$R,0)),0),""))</f>
        <v>4720</v>
      </c>
      <c r="AA362" s="33">
        <f>IF(LEFT($B362,4)="_Mil","",IFERROR(1/(1/INDEX(Spectrum!$N:$N,MATCH(RIGHT($B362,13)&amp;"|"&amp;$C362&amp;"|"&amp;$D362&amp;"|"&amp;AA$14&amp;"|"&amp;"CY2024Q3",Spectrum!$R:$R,0))),IF(SUM($U362)=0,"",SUM($Z362)/$U362)))</f>
        <v>0.96324561200000014</v>
      </c>
      <c r="AB362" s="33">
        <f t="shared" si="89"/>
        <v>0.83245149911816574</v>
      </c>
      <c r="AC362" s="38">
        <f>IF(LEFT($B362,4)="_Mil","",_xlfn.IFNA(ROUND(INDEX(Spectrum!$N:$N,MATCH(RIGHT($B362,13)&amp;"|"&amp;$C362&amp;"|"&amp;$D362&amp;"|"&amp;AC$14&amp;"|"&amp;"CY2024Q3",Spectrum!$R:$R,0)),0),""))</f>
        <v>322</v>
      </c>
      <c r="AD362" s="38" t="str">
        <f>IF(LEFT($B362,4)="_Mil","",_xlfn.IFNA(ROUND(INDEX(Spectrum!$N:$N,MATCH(RIGHT($B362,13)&amp;"|"&amp;$C362&amp;"|"&amp;$D362&amp;"|"&amp;AD$14&amp;"|"&amp;"CY2024Q3",Spectrum!$R:$R,0)),0),""))</f>
        <v/>
      </c>
      <c r="AE362" s="33">
        <f t="shared" si="90"/>
        <v>0</v>
      </c>
      <c r="AF362" s="218" t="str">
        <f>IF(LEFT($B362,4)="_Mil","",_xlfn.IFNA(ROUND(INDEX(Spectrum!$N:$N,MATCH(RIGHT($B362,13)&amp;"|"&amp;$C362&amp;"|"&amp;$D362&amp;"|"&amp;AF$14&amp;"|"&amp;"CY2024Q3",Spectrum!$R:$R,0)),0),""))</f>
        <v/>
      </c>
      <c r="AG362" s="33" t="str">
        <f t="shared" si="91"/>
        <v/>
      </c>
      <c r="AH362" s="110" t="str">
        <f>IF(LEFT($B362,4)="_Mil","",_xlfn.IFNA(INDEX(Spectrum!$N:$N,MATCH(RIGHT($B362,13)&amp;"|"&amp;$C362&amp;"|"&amp;$D362&amp;"|"&amp;AH$14&amp;"|"&amp;"CY2024Q3",Spectrum!$R:$R,0)),""))</f>
        <v/>
      </c>
      <c r="AI362" s="218">
        <f>IF(LEFT($B362,4)="_Mil","",_xlfn.IFNA(ROUND(INDEX(Spectrum!$N:$N,MATCH(RIGHT($B362,13)&amp;"|"&amp;$C362&amp;"|"&amp;$D362&amp;"|"&amp;AI$14&amp;"|"&amp;"CY2025Q3",Spectrum!$R:$R,0)),0),""))</f>
        <v>53</v>
      </c>
      <c r="AJ362" s="38">
        <f>IF(LEFT($B362,4)="_Mil","",_xlfn.IFNA(ROUND(INDEX(Spectrum!$N:$N,MATCH(RIGHT($B362,13)&amp;"|"&amp;$C362&amp;"|"&amp;$D362&amp;"|"&amp;AJ$14&amp;"|"&amp;"CY2025Q3",Spectrum!$R:$R,0)),0),""))</f>
        <v>5645</v>
      </c>
      <c r="AK362" s="218" t="e">
        <f>#REF!</f>
        <v>#REF!</v>
      </c>
      <c r="AL362" s="33">
        <f t="shared" si="92"/>
        <v>0.96324561200000014</v>
      </c>
      <c r="AM362" s="38" t="e">
        <f>IF(OR(LEFT($B362,4)="_Mil",$C362="&lt;01"),"",ROUND(SUM($AK362)*SUM($AL362),0))</f>
        <v>#REF!</v>
      </c>
      <c r="AN362" s="38" t="str">
        <f>IF($C362="&lt;01",ROUND(INDEX(EID!$P:$P,MATCH($B362,EID!$B:$B,0))/2,0),"")</f>
        <v/>
      </c>
      <c r="AO362" s="38" t="e">
        <f>IF($C362="&lt;01",SUM($AN362),ROUND(SUM($AM362)*SUM($O362)/IF(SUM($Z362)=0,1,$Z362),0))</f>
        <v>#REF!</v>
      </c>
      <c r="AP362" s="218">
        <f>IF(OR($F362="",$C362="&lt;01"),$AO362,ROUND($F362,0))</f>
        <v>4926</v>
      </c>
      <c r="AQ362" s="218">
        <f>IF(LEFT($B362,4)="_Mil","",IF(SUM($AP362)=0,SUM($Z362),IF(OR(SUM($Z362)=0,SUM($O362)=0),MAX($AP362,$Z362),ROUND($AP362*$Z362/$O362,0))))</f>
        <v>4720</v>
      </c>
      <c r="AR362" s="33" t="e">
        <f>IF(OR(LEFT($B362,4)="_Mil",SUM($AK362)=0),"",SUM($AQ362)/$AK362)</f>
        <v>#REF!</v>
      </c>
      <c r="AS362" s="33">
        <f>IF($C362="&lt;01","",85%)</f>
        <v>0.85</v>
      </c>
      <c r="AT362" s="33">
        <f>IF($C362="&lt;01","",90%)</f>
        <v>0.9</v>
      </c>
      <c r="AU362" s="38">
        <f>IF($C362="&lt;01","",SUM($AP362)-SUM($O362))</f>
        <v>0</v>
      </c>
      <c r="AV362" s="38">
        <f>IF($C362="&lt;01",ROUND(INDEX(EID!$N:$N,MATCH($B362,EID!$B:$B,0))/2,0),IF(SUM($AT362)=0,"",ROUND((SUM($AP362)-(SUM($O362)*SUM($AS362)))/$AT362,0)))</f>
        <v>821</v>
      </c>
      <c r="AW362" s="33">
        <f t="shared" si="96"/>
        <v>1</v>
      </c>
      <c r="AX362" s="218">
        <f>IF($C362="&lt;01",SUM($AV362),ROUND(SUM($AV362)*SUM($AW362),0))</f>
        <v>821</v>
      </c>
      <c r="AY362" s="79">
        <f t="shared" si="93"/>
        <v>0.7</v>
      </c>
      <c r="AZ362" s="85">
        <f>IF($C362="&lt;01",ROUND(INDEX(EID!$R:$R,MATCH($B362,EID!$B:$B,0))/2,0),ROUND(SUM($O362)+(SUM($AV362)*$AY362),0))</f>
        <v>5501</v>
      </c>
      <c r="BA362" s="40">
        <f t="shared" si="97"/>
        <v>0.9</v>
      </c>
      <c r="BB362" s="99">
        <f>IF($C362="&lt;01",ROUND(INDEX(EID!$T:$T,MATCH($B362,EID!$B:$B,0))/2,0),ROUND($AP362*$BA362,0))</f>
        <v>4433</v>
      </c>
      <c r="BC362" s="85">
        <f>IF(LEFT($B362,4)="_Mil","",IF(SUM($BB362)=0,SUM($AD362),IF(OR(SUM($AP362)=0,SUM($AQ362)=0),MAX($BB362,$AD362),ROUND($BB362*$AQ362/$AP362,0))))</f>
        <v>4248</v>
      </c>
      <c r="BD362" s="33">
        <f t="shared" si="94"/>
        <v>0.95</v>
      </c>
      <c r="BE362" s="218">
        <f>IF($C362="&lt;01",ROUND(INDEX(EID!$V:$V,MATCH($B362,EID!$B:$B,0))/2,0),ROUND($BD362*$BB362,0))</f>
        <v>4211</v>
      </c>
      <c r="BF362" s="218">
        <f>IF(LEFT($B362,4)="_Mil","",IF(SUM($BE362)=0,SUM($AF362),IF(OR(SUM($AP362)=0,SUM($AQ362)=0),MAX($BE362,$AF362),ROUND($BE362*$AQ362/$AP362,0))))</f>
        <v>4035</v>
      </c>
      <c r="BG362" s="79">
        <f t="shared" si="95"/>
        <v>0.95</v>
      </c>
      <c r="BH362" s="99">
        <f>IF($C362="&lt;01",ROUND(INDEX(EID!$L:$L,MATCH($B362,EID!$B:$B,0)),0)/2,IF(SUM($BG362)=0,"",ROUND($AX362/$BG362,0)))</f>
        <v>864</v>
      </c>
    </row>
    <row r="363" spans="1:60" x14ac:dyDescent="0.2">
      <c r="A363" t="str">
        <f>INDEX(Prioritization!$D:$D,MATCH($B363,Prioritization!$A:$A,0))</f>
        <v>INVALID</v>
      </c>
      <c r="B363" t="s">
        <v>323</v>
      </c>
      <c r="C363" t="s">
        <v>478</v>
      </c>
      <c r="D363" t="s">
        <v>30</v>
      </c>
      <c r="E363" t="str">
        <f t="shared" si="86"/>
        <v>Phalombe District [AZyWpGzhcaA]|50+|Female</v>
      </c>
      <c r="F363" s="229">
        <v>4275</v>
      </c>
      <c r="G363" s="38">
        <v>69</v>
      </c>
      <c r="H363" s="38">
        <v>75</v>
      </c>
      <c r="I363" s="38">
        <v>3714</v>
      </c>
      <c r="J363" s="38">
        <v>3267</v>
      </c>
      <c r="K363" s="38">
        <v>3151</v>
      </c>
      <c r="L363" s="38">
        <v>502</v>
      </c>
      <c r="M363" s="38">
        <v>494</v>
      </c>
      <c r="N363" s="38">
        <v>4907</v>
      </c>
      <c r="O363" s="229">
        <v>3978</v>
      </c>
      <c r="P363" s="38">
        <v>4057</v>
      </c>
      <c r="Q363" s="38">
        <v>3854</v>
      </c>
      <c r="R363" s="38">
        <f t="shared" si="87"/>
        <v>264</v>
      </c>
      <c r="S363" s="38">
        <f>IF(LEFT($B363,4)="_Mil","",_xlfn.IFNA(ROUND(INDEX(Spectrum!$N:$N,MATCH(RIGHT($B363,13)&amp;"|"&amp;$C363&amp;"|"&amp;$D363&amp;"|"&amp;S$14&amp;"|"&amp;"CY2023Q4",Spectrum!$R:$R,0)),0),""))</f>
        <v>4423</v>
      </c>
      <c r="T363" s="218">
        <f>IF(LEFT($B363,4)="_Mil","",_xlfn.IFNA(ROUND(INDEX(Spectrum!$N:$N,MATCH(RIGHT($B363,13)&amp;"|"&amp;$C363&amp;"|"&amp;$D363&amp;"|"&amp;T$14&amp;"|"&amp;"CY2024Q3",Spectrum!$R:$R,0)),0),""))</f>
        <v>23211</v>
      </c>
      <c r="U363" s="218">
        <f>IF(LEFT($B363,4)="_Mil","",_xlfn.IFNA(ROUND(INDEX(Spectrum!$N:$N,MATCH(RIGHT($B363,13)&amp;"|"&amp;$C363&amp;"|"&amp;$D363&amp;"|"&amp;U$14&amp;"|"&amp;"CY2024Q3",Spectrum!$R:$R,0)),0),""))</f>
        <v>5456</v>
      </c>
      <c r="V363" s="38">
        <f>IF(LEFT($B363,4)="_Mil","",_xlfn.IFNA(ROUND(INDEX(Spectrum!$N:$N,MATCH(RIGHT($B363,13)&amp;"|"&amp;$C363&amp;"|"&amp;$D363&amp;"|"&amp;V$14&amp;"|"&amp;"CY2024Q3",Spectrum!$R:$R,0)),0),""))</f>
        <v>4680</v>
      </c>
      <c r="W363" s="220">
        <f>IF(LEFT($B363,4)="_Mil","",_xlfn.IFNA(INDEX(Spectrum!$N:$N,MATCH(RIGHT($B363,13)&amp;"|"&amp;$C363&amp;"|"&amp;$D363&amp;"|"&amp;W$14&amp;"|"&amp;"CY2024Q3",Spectrum!$R:$R,0)),""))</f>
        <v>0.23504441100000001</v>
      </c>
      <c r="X363" s="218">
        <f>IF(LEFT($B363,4)="_Mil","",_xlfn.IFNA(ROUND(INDEX(Spectrum!$N:$N,MATCH(RIGHT($B363,13)&amp;"|"&amp;$C363&amp;"|"&amp;$D363&amp;"|"&amp;X$14&amp;"|"&amp;"CY2024Q3",Spectrum!$R:$R,0)),0),""))</f>
        <v>5432</v>
      </c>
      <c r="Y363" s="33">
        <f t="shared" si="88"/>
        <v>1</v>
      </c>
      <c r="Z363" s="218">
        <f>IF(LEFT($B363,4)="_Mil","",_xlfn.IFNA(ROUND(INDEX(Spectrum!$N:$N,MATCH(RIGHT($B363,13)&amp;"|"&amp;$C363&amp;"|"&amp;$D363&amp;"|"&amp;Z$14&amp;"|"&amp;"CY2024Q3",Spectrum!$R:$R,0)),0),""))</f>
        <v>4664</v>
      </c>
      <c r="AA363" s="33">
        <f>IF(LEFT($B363,4)="_Mil","",IFERROR(1/(1/INDEX(Spectrum!$N:$N,MATCH(RIGHT($B363,13)&amp;"|"&amp;$C363&amp;"|"&amp;$D363&amp;"|"&amp;AA$14&amp;"|"&amp;"CY2024Q3",Spectrum!$R:$R,0))),IF(SUM($U363)=0,"",SUM($Z363)/$U363)))</f>
        <v>0.99472093100000014</v>
      </c>
      <c r="AB363" s="33">
        <f t="shared" si="89"/>
        <v>0.85861561119293073</v>
      </c>
      <c r="AC363" s="38">
        <f>IF(LEFT($B363,4)="_Mil","",_xlfn.IFNA(ROUND(INDEX(Spectrum!$N:$N,MATCH(RIGHT($B363,13)&amp;"|"&amp;$C363&amp;"|"&amp;$D363&amp;"|"&amp;AC$14&amp;"|"&amp;"CY2024Q3",Spectrum!$R:$R,0)),0),""))</f>
        <v>16</v>
      </c>
      <c r="AD363" s="38" t="str">
        <f>IF(LEFT($B363,4)="_Mil","",_xlfn.IFNA(ROUND(INDEX(Spectrum!$N:$N,MATCH(RIGHT($B363,13)&amp;"|"&amp;$C363&amp;"|"&amp;$D363&amp;"|"&amp;AD$14&amp;"|"&amp;"CY2024Q3",Spectrum!$R:$R,0)),0),""))</f>
        <v/>
      </c>
      <c r="AE363" s="33">
        <f t="shared" si="90"/>
        <v>0</v>
      </c>
      <c r="AF363" s="218" t="str">
        <f>IF(LEFT($B363,4)="_Mil","",_xlfn.IFNA(ROUND(INDEX(Spectrum!$N:$N,MATCH(RIGHT($B363,13)&amp;"|"&amp;$C363&amp;"|"&amp;$D363&amp;"|"&amp;AF$14&amp;"|"&amp;"CY2024Q3",Spectrum!$R:$R,0)),0),""))</f>
        <v/>
      </c>
      <c r="AG363" s="33" t="str">
        <f t="shared" si="91"/>
        <v/>
      </c>
      <c r="AH363" s="110" t="str">
        <f>IF(LEFT($B363,4)="_Mil","",_xlfn.IFNA(INDEX(Spectrum!$N:$N,MATCH(RIGHT($B363,13)&amp;"|"&amp;$C363&amp;"|"&amp;$D363&amp;"|"&amp;AH$14&amp;"|"&amp;"CY2024Q3",Spectrum!$R:$R,0)),""))</f>
        <v/>
      </c>
      <c r="AI363" s="218">
        <f>IF(LEFT($B363,4)="_Mil","",_xlfn.IFNA(ROUND(INDEX(Spectrum!$N:$N,MATCH(RIGHT($B363,13)&amp;"|"&amp;$C363&amp;"|"&amp;$D363&amp;"|"&amp;AI$14&amp;"|"&amp;"CY2025Q3",Spectrum!$R:$R,0)),0),""))</f>
        <v>8</v>
      </c>
      <c r="AJ363" s="38">
        <f>IF(LEFT($B363,4)="_Mil","",_xlfn.IFNA(ROUND(INDEX(Spectrum!$N:$N,MATCH(RIGHT($B363,13)&amp;"|"&amp;$C363&amp;"|"&amp;$D363&amp;"|"&amp;AJ$14&amp;"|"&amp;"CY2025Q3",Spectrum!$R:$R,0)),0),""))</f>
        <v>5864</v>
      </c>
      <c r="AK363" s="218" t="e">
        <f>#REF!</f>
        <v>#REF!</v>
      </c>
      <c r="AL363" s="33">
        <f t="shared" si="92"/>
        <v>0.99472093100000014</v>
      </c>
      <c r="AM363" s="38" t="e">
        <f>IF(OR(LEFT($B363,4)="_Mil",$C363="&lt;01"),"",ROUND(SUM($AK363)*SUM($AL363),0))</f>
        <v>#REF!</v>
      </c>
      <c r="AN363" s="38" t="str">
        <f>IF($C363="&lt;01",ROUND(INDEX(EID!$P:$P,MATCH($B363,EID!$B:$B,0))/2,0),"")</f>
        <v/>
      </c>
      <c r="AO363" s="38" t="e">
        <f>IF($C363="&lt;01",SUM($AN363),ROUND(SUM($AM363)*SUM($O363)/IF(SUM($Z363)=0,1,$Z363),0))</f>
        <v>#REF!</v>
      </c>
      <c r="AP363" s="218">
        <f>IF(OR($F363="",$C363="&lt;01"),$AO363,ROUND($F363,0))</f>
        <v>4275</v>
      </c>
      <c r="AQ363" s="218">
        <f>IF(LEFT($B363,4)="_Mil","",IF(SUM($AP363)=0,SUM($Z363),IF(OR(SUM($Z363)=0,SUM($O363)=0),MAX($AP363,$Z363),ROUND($AP363*$Z363/$O363,0))))</f>
        <v>5012</v>
      </c>
      <c r="AR363" s="33" t="e">
        <f>IF(OR(LEFT($B363,4)="_Mil",SUM($AK363)=0),"",SUM($AQ363)/$AK363)</f>
        <v>#REF!</v>
      </c>
      <c r="AS363" s="33">
        <v>1.02</v>
      </c>
      <c r="AT363" s="33">
        <f>IF($C363="&lt;01","",100%)</f>
        <v>1</v>
      </c>
      <c r="AU363" s="38">
        <f>IF($C363="&lt;01","",SUM($AP363)-SUM($O363))</f>
        <v>297</v>
      </c>
      <c r="AV363" s="38">
        <f>IF($C363="&lt;01",ROUND(INDEX(EID!$N:$N,MATCH($B363,EID!$B:$B,0))/2,0),IF(SUM($AT363)=0,"",ROUND((SUM($AP363)-(SUM($O363)*SUM($AS363)))/$AT363,0)))</f>
        <v>217</v>
      </c>
      <c r="AW363" s="33">
        <v>0.8</v>
      </c>
      <c r="AX363" s="218">
        <f>IF($C363="&lt;01",SUM($AV363),ROUND(SUM($AV363)*SUM($AW363),0))</f>
        <v>174</v>
      </c>
      <c r="AY363" s="79">
        <f t="shared" si="93"/>
        <v>0.7</v>
      </c>
      <c r="AZ363" s="85">
        <f>IF($C363="&lt;01",ROUND(INDEX(EID!$R:$R,MATCH($B363,EID!$B:$B,0))/2,0),ROUND(SUM($O363)+(SUM($AV363)*$AY363),0))</f>
        <v>4130</v>
      </c>
      <c r="BA363" s="40">
        <f t="shared" si="97"/>
        <v>0.9</v>
      </c>
      <c r="BB363" s="99">
        <f>IF($C363="&lt;01",ROUND(INDEX(EID!$T:$T,MATCH($B363,EID!$B:$B,0))/2,0),ROUND($AP363*$BA363,0))</f>
        <v>3848</v>
      </c>
      <c r="BC363" s="85">
        <f>IF(LEFT($B363,4)="_Mil","",IF(SUM($BB363)=0,SUM($AD363),IF(OR(SUM($AP363)=0,SUM($AQ363)=0),MAX($BB363,$AD363),ROUND($BB363*$AQ363/$AP363,0))))</f>
        <v>4511</v>
      </c>
      <c r="BD363" s="33">
        <f t="shared" si="94"/>
        <v>0.95</v>
      </c>
      <c r="BE363" s="218">
        <f>IF($C363="&lt;01",ROUND(INDEX(EID!$V:$V,MATCH($B363,EID!$B:$B,0))/2,0),ROUND($BD363*$BB363,0))</f>
        <v>3656</v>
      </c>
      <c r="BF363" s="218">
        <f>IF(LEFT($B363,4)="_Mil","",IF(SUM($BE363)=0,SUM($AF363),IF(OR(SUM($AP363)=0,SUM($AQ363)=0),MAX($BE363,$AF363),ROUND($BE363*$AQ363/$AP363,0))))</f>
        <v>4286</v>
      </c>
      <c r="BG363" s="79">
        <f t="shared" si="95"/>
        <v>0.95</v>
      </c>
      <c r="BH363" s="99">
        <f>IF($C363="&lt;01",ROUND(INDEX(EID!$L:$L,MATCH($B363,EID!$B:$B,0)),0)/2,IF(SUM($BG363)=0,"",ROUND($AX363/$BG363,0)))</f>
        <v>183</v>
      </c>
    </row>
    <row r="364" spans="1:60" x14ac:dyDescent="0.2">
      <c r="A364" t="str">
        <f>INDEX(Prioritization!$D:$D,MATCH($B364,Prioritization!$A:$A,0))</f>
        <v>INVALID</v>
      </c>
      <c r="B364" t="s">
        <v>323</v>
      </c>
      <c r="C364" t="s">
        <v>478</v>
      </c>
      <c r="D364" t="s">
        <v>48</v>
      </c>
      <c r="E364" t="str">
        <f t="shared" si="86"/>
        <v>Phalombe District [AZyWpGzhcaA]|50+|Male</v>
      </c>
      <c r="F364" s="229">
        <v>3072</v>
      </c>
      <c r="G364" s="38">
        <v>78</v>
      </c>
      <c r="H364" s="38">
        <v>89</v>
      </c>
      <c r="I364" s="38">
        <v>2739</v>
      </c>
      <c r="J364" s="38">
        <v>2351</v>
      </c>
      <c r="K364" s="38">
        <v>2267</v>
      </c>
      <c r="L364" s="38">
        <v>326</v>
      </c>
      <c r="M364" s="38">
        <v>310</v>
      </c>
      <c r="N364" s="38">
        <v>3509</v>
      </c>
      <c r="O364" s="229">
        <v>2895</v>
      </c>
      <c r="P364" s="38">
        <v>2926</v>
      </c>
      <c r="Q364" s="38">
        <v>2780</v>
      </c>
      <c r="R364" s="38">
        <f t="shared" si="87"/>
        <v>156</v>
      </c>
      <c r="S364" s="38">
        <f>IF(LEFT($B364,4)="_Mil","",_xlfn.IFNA(ROUND(INDEX(Spectrum!$N:$N,MATCH(RIGHT($B364,13)&amp;"|"&amp;$C364&amp;"|"&amp;$D364&amp;"|"&amp;S$14&amp;"|"&amp;"CY2023Q4",Spectrum!$R:$R,0)),0),""))</f>
        <v>3090</v>
      </c>
      <c r="T364" s="218">
        <f>IF(LEFT($B364,4)="_Mil","",_xlfn.IFNA(ROUND(INDEX(Spectrum!$N:$N,MATCH(RIGHT($B364,13)&amp;"|"&amp;$C364&amp;"|"&amp;$D364&amp;"|"&amp;T$14&amp;"|"&amp;"CY2024Q3",Spectrum!$R:$R,0)),0),""))</f>
        <v>16717</v>
      </c>
      <c r="U364" s="218">
        <f>IF(LEFT($B364,4)="_Mil","",_xlfn.IFNA(ROUND(INDEX(Spectrum!$N:$N,MATCH(RIGHT($B364,13)&amp;"|"&amp;$C364&amp;"|"&amp;$D364&amp;"|"&amp;U$14&amp;"|"&amp;"CY2024Q3",Spectrum!$R:$R,0)),0),""))</f>
        <v>3970</v>
      </c>
      <c r="V364" s="38">
        <f>IF(LEFT($B364,4)="_Mil","",_xlfn.IFNA(ROUND(INDEX(Spectrum!$N:$N,MATCH(RIGHT($B364,13)&amp;"|"&amp;$C364&amp;"|"&amp;$D364&amp;"|"&amp;V$14&amp;"|"&amp;"CY2024Q3",Spectrum!$R:$R,0)),0),""))</f>
        <v>3406</v>
      </c>
      <c r="W364" s="220">
        <f>IF(LEFT($B364,4)="_Mil","",_xlfn.IFNA(INDEX(Spectrum!$N:$N,MATCH(RIGHT($B364,13)&amp;"|"&amp;$C364&amp;"|"&amp;$D364&amp;"|"&amp;W$14&amp;"|"&amp;"CY2024Q3",Spectrum!$R:$R,0)),""))</f>
        <v>0.23748361700000001</v>
      </c>
      <c r="X364" s="218">
        <f>IF(LEFT($B364,4)="_Mil","",_xlfn.IFNA(ROUND(INDEX(Spectrum!$N:$N,MATCH(RIGHT($B364,13)&amp;"|"&amp;$C364&amp;"|"&amp;$D364&amp;"|"&amp;X$14&amp;"|"&amp;"CY2024Q3",Spectrum!$R:$R,0)),0),""))</f>
        <v>3878</v>
      </c>
      <c r="Y364" s="33">
        <f t="shared" si="88"/>
        <v>0.98</v>
      </c>
      <c r="Z364" s="218">
        <f>IF(LEFT($B364,4)="_Mil","",_xlfn.IFNA(ROUND(INDEX(Spectrum!$N:$N,MATCH(RIGHT($B364,13)&amp;"|"&amp;$C364&amp;"|"&amp;$D364&amp;"|"&amp;Z$14&amp;"|"&amp;"CY2024Q3",Spectrum!$R:$R,0)),0),""))</f>
        <v>3269</v>
      </c>
      <c r="AA364" s="33">
        <f>IF(LEFT($B364,4)="_Mil","",IFERROR(1/(1/INDEX(Spectrum!$N:$N,MATCH(RIGHT($B364,13)&amp;"|"&amp;$C364&amp;"|"&amp;$D364&amp;"|"&amp;AA$14&amp;"|"&amp;"CY2024Q3",Spectrum!$R:$R,0))),IF(SUM($U364)=0,"",SUM($Z364)/$U364)))</f>
        <v>0.97539912299999998</v>
      </c>
      <c r="AB364" s="33">
        <f t="shared" si="89"/>
        <v>0.84296028880866425</v>
      </c>
      <c r="AC364" s="38">
        <f>IF(LEFT($B364,4)="_Mil","",_xlfn.IFNA(ROUND(INDEX(Spectrum!$N:$N,MATCH(RIGHT($B364,13)&amp;"|"&amp;$C364&amp;"|"&amp;$D364&amp;"|"&amp;AC$14&amp;"|"&amp;"CY2024Q3",Spectrum!$R:$R,0)),0),""))</f>
        <v>138</v>
      </c>
      <c r="AD364" s="38" t="str">
        <f>IF(LEFT($B364,4)="_Mil","",_xlfn.IFNA(ROUND(INDEX(Spectrum!$N:$N,MATCH(RIGHT($B364,13)&amp;"|"&amp;$C364&amp;"|"&amp;$D364&amp;"|"&amp;AD$14&amp;"|"&amp;"CY2024Q3",Spectrum!$R:$R,0)),0),""))</f>
        <v/>
      </c>
      <c r="AE364" s="33">
        <f t="shared" si="90"/>
        <v>0</v>
      </c>
      <c r="AF364" s="218" t="str">
        <f>IF(LEFT($B364,4)="_Mil","",_xlfn.IFNA(ROUND(INDEX(Spectrum!$N:$N,MATCH(RIGHT($B364,13)&amp;"|"&amp;$C364&amp;"|"&amp;$D364&amp;"|"&amp;AF$14&amp;"|"&amp;"CY2024Q3",Spectrum!$R:$R,0)),0),""))</f>
        <v/>
      </c>
      <c r="AG364" s="33" t="str">
        <f t="shared" si="91"/>
        <v/>
      </c>
      <c r="AH364" s="110" t="str">
        <f>IF(LEFT($B364,4)="_Mil","",_xlfn.IFNA(INDEX(Spectrum!$N:$N,MATCH(RIGHT($B364,13)&amp;"|"&amp;$C364&amp;"|"&amp;$D364&amp;"|"&amp;AH$14&amp;"|"&amp;"CY2024Q3",Spectrum!$R:$R,0)),""))</f>
        <v/>
      </c>
      <c r="AI364" s="218">
        <f>IF(LEFT($B364,4)="_Mil","",_xlfn.IFNA(ROUND(INDEX(Spectrum!$N:$N,MATCH(RIGHT($B364,13)&amp;"|"&amp;$C364&amp;"|"&amp;$D364&amp;"|"&amp;AI$14&amp;"|"&amp;"CY2025Q3",Spectrum!$R:$R,0)),0),""))</f>
        <v>14</v>
      </c>
      <c r="AJ364" s="38">
        <f>IF(LEFT($B364,4)="_Mil","",_xlfn.IFNA(ROUND(INDEX(Spectrum!$N:$N,MATCH(RIGHT($B364,13)&amp;"|"&amp;$C364&amp;"|"&amp;$D364&amp;"|"&amp;AJ$14&amp;"|"&amp;"CY2025Q3",Spectrum!$R:$R,0)),0),""))</f>
        <v>4212</v>
      </c>
      <c r="AK364" s="218" t="e">
        <f>#REF!</f>
        <v>#REF!</v>
      </c>
      <c r="AL364" s="33">
        <f t="shared" si="92"/>
        <v>0.97539912299999998</v>
      </c>
      <c r="AM364" s="38" t="e">
        <f>IF(OR(LEFT($B364,4)="_Mil",$C364="&lt;01"),"",ROUND(SUM($AK364)*SUM($AL364),0))</f>
        <v>#REF!</v>
      </c>
      <c r="AN364" s="38" t="str">
        <f>IF($C364="&lt;01",ROUND(INDEX(EID!$P:$P,MATCH($B364,EID!$B:$B,0))/2,0),"")</f>
        <v/>
      </c>
      <c r="AO364" s="38" t="e">
        <f>IF($C364="&lt;01",SUM($AN364),ROUND(SUM($AM364)*SUM($O364)/IF(SUM($Z364)=0,1,$Z364),0))</f>
        <v>#REF!</v>
      </c>
      <c r="AP364" s="218">
        <f>IF(OR($F364="",$C364="&lt;01"),$AO364,ROUND($F364,0))</f>
        <v>3072</v>
      </c>
      <c r="AQ364" s="218">
        <f>IF(LEFT($B364,4)="_Mil","",IF(SUM($AP364)=0,SUM($Z364),IF(OR(SUM($Z364)=0,SUM($O364)=0),MAX($AP364,$Z364),ROUND($AP364*$Z364/$O364,0))))</f>
        <v>3469</v>
      </c>
      <c r="AR364" s="33" t="e">
        <f>IF(OR(LEFT($B364,4)="_Mil",SUM($AK364)=0),"",SUM($AQ364)/$AK364)</f>
        <v>#REF!</v>
      </c>
      <c r="AS364" s="33">
        <v>1.02</v>
      </c>
      <c r="AT364" s="33">
        <f>IF($C364="&lt;01","",100%)</f>
        <v>1</v>
      </c>
      <c r="AU364" s="38">
        <f>IF($C364="&lt;01","",SUM($AP364)-SUM($O364))</f>
        <v>177</v>
      </c>
      <c r="AV364" s="38">
        <f>IF($C364="&lt;01",ROUND(INDEX(EID!$N:$N,MATCH($B364,EID!$B:$B,0))/2,0),IF(SUM($AT364)=0,"",ROUND((SUM($AP364)-(SUM($O364)*SUM($AS364)))/$AT364,0)))</f>
        <v>119</v>
      </c>
      <c r="AW364" s="33">
        <v>0.8</v>
      </c>
      <c r="AX364" s="218">
        <f>IF($C364="&lt;01",SUM($AV364),ROUND(SUM($AV364)*SUM($AW364),0))</f>
        <v>95</v>
      </c>
      <c r="AY364" s="79">
        <f t="shared" si="93"/>
        <v>0.7</v>
      </c>
      <c r="AZ364" s="85">
        <f>IF($C364="&lt;01",ROUND(INDEX(EID!$R:$R,MATCH($B364,EID!$B:$B,0))/2,0),ROUND(SUM($O364)+(SUM($AV364)*$AY364),0))</f>
        <v>2978</v>
      </c>
      <c r="BA364" s="40">
        <f t="shared" si="97"/>
        <v>0.9</v>
      </c>
      <c r="BB364" s="99">
        <f>IF($C364="&lt;01",ROUND(INDEX(EID!$T:$T,MATCH($B364,EID!$B:$B,0))/2,0),ROUND($AP364*$BA364,0))</f>
        <v>2765</v>
      </c>
      <c r="BC364" s="85">
        <f>IF(LEFT($B364,4)="_Mil","",IF(SUM($BB364)=0,SUM($AD364),IF(OR(SUM($AP364)=0,SUM($AQ364)=0),MAX($BB364,$AD364),ROUND($BB364*$AQ364/$AP364,0))))</f>
        <v>3122</v>
      </c>
      <c r="BD364" s="33">
        <f t="shared" si="94"/>
        <v>0.95</v>
      </c>
      <c r="BE364" s="218">
        <f>IF($C364="&lt;01",ROUND(INDEX(EID!$V:$V,MATCH($B364,EID!$B:$B,0))/2,0),ROUND($BD364*$BB364,0))</f>
        <v>2627</v>
      </c>
      <c r="BF364" s="218">
        <f>IF(LEFT($B364,4)="_Mil","",IF(SUM($BE364)=0,SUM($AF364),IF(OR(SUM($AP364)=0,SUM($AQ364)=0),MAX($BE364,$AF364),ROUND($BE364*$AQ364/$AP364,0))))</f>
        <v>2966</v>
      </c>
      <c r="BG364" s="79">
        <f t="shared" si="95"/>
        <v>0.95</v>
      </c>
      <c r="BH364" s="99">
        <f>IF($C364="&lt;01",ROUND(INDEX(EID!$L:$L,MATCH($B364,EID!$B:$B,0)),0)/2,IF(SUM($BG364)=0,"",ROUND($AX364/$BG364,0)))</f>
        <v>100</v>
      </c>
    </row>
    <row r="365" spans="1:60" x14ac:dyDescent="0.2">
      <c r="A365" t="str">
        <f>INDEX(Prioritization!$D:$D,MATCH($B365,Prioritization!$A:$A,0))</f>
        <v>4 - Sustained</v>
      </c>
      <c r="B365" t="s">
        <v>312</v>
      </c>
      <c r="C365" t="s">
        <v>426</v>
      </c>
      <c r="D365" t="s">
        <v>30</v>
      </c>
      <c r="E365" t="str">
        <f t="shared" si="86"/>
        <v>Rumphi District [lPTyjLi4w3d]|&lt;01|Female</v>
      </c>
      <c r="F365" s="229">
        <v>4</v>
      </c>
      <c r="G365" s="38">
        <v>26</v>
      </c>
      <c r="H365" s="38">
        <v>4</v>
      </c>
      <c r="I365" s="38">
        <v>2</v>
      </c>
      <c r="J365" s="38">
        <v>4</v>
      </c>
      <c r="K365" s="38">
        <v>4</v>
      </c>
      <c r="L365" s="38"/>
      <c r="M365" s="38">
        <v>4</v>
      </c>
      <c r="N365" s="38">
        <v>4</v>
      </c>
      <c r="O365" s="229">
        <v>4</v>
      </c>
      <c r="P365" s="38">
        <v>3</v>
      </c>
      <c r="Q365" s="38">
        <v>3</v>
      </c>
      <c r="R365" s="38">
        <f t="shared" si="87"/>
        <v>2</v>
      </c>
      <c r="S365" s="38">
        <f>IF(LEFT($B365,4)="_Mil","",_xlfn.IFNA(ROUND(INDEX(Spectrum!$N:$N,MATCH(RIGHT($B365,13)&amp;"|"&amp;$C365&amp;"|"&amp;$D365&amp;"|"&amp;S$14&amp;"|"&amp;"CY2023Q4",Spectrum!$R:$R,0)),0),""))</f>
        <v>4</v>
      </c>
      <c r="T365" s="218">
        <f>IF(LEFT($B365,4)="_Mil","",_xlfn.IFNA(ROUND(INDEX(Spectrum!$N:$N,MATCH(RIGHT($B365,13)&amp;"|"&amp;$C365&amp;"|"&amp;$D365&amp;"|"&amp;T$14&amp;"|"&amp;"CY2024Q3",Spectrum!$R:$R,0)),0),""))</f>
        <v>4093</v>
      </c>
      <c r="U365" s="218">
        <f>IF(LEFT($B365,4)="_Mil","",_xlfn.IFNA(ROUND(INDEX(Spectrum!$N:$N,MATCH(RIGHT($B365,13)&amp;"|"&amp;$C365&amp;"|"&amp;$D365&amp;"|"&amp;U$14&amp;"|"&amp;"CY2024Q3",Spectrum!$R:$R,0)),0),""))</f>
        <v>5</v>
      </c>
      <c r="V365" s="38">
        <f>IF(LEFT($B365,4)="_Mil","",_xlfn.IFNA(ROUND(INDEX(Spectrum!$N:$N,MATCH(RIGHT($B365,13)&amp;"|"&amp;$C365&amp;"|"&amp;$D365&amp;"|"&amp;V$14&amp;"|"&amp;"CY2024Q3",Spectrum!$R:$R,0)),0),""))</f>
        <v>5</v>
      </c>
      <c r="W365" s="220">
        <f>IF(LEFT($B365,4)="_Mil","",_xlfn.IFNA(INDEX(Spectrum!$N:$N,MATCH(RIGHT($B365,13)&amp;"|"&amp;$C365&amp;"|"&amp;$D365&amp;"|"&amp;W$14&amp;"|"&amp;"CY2024Q3",Spectrum!$R:$R,0)),""))</f>
        <v>1.1276560000000001E-3</v>
      </c>
      <c r="X365" s="218">
        <f>IF(LEFT($B365,4)="_Mil","",_xlfn.IFNA(ROUND(INDEX(Spectrum!$N:$N,MATCH(RIGHT($B365,13)&amp;"|"&amp;$C365&amp;"|"&amp;$D365&amp;"|"&amp;X$14&amp;"|"&amp;"CY2024Q3",Spectrum!$R:$R,0)),0),""))</f>
        <v>3</v>
      </c>
      <c r="Y365" s="33">
        <f t="shared" si="88"/>
        <v>0.6</v>
      </c>
      <c r="Z365" s="218">
        <f>IF(LEFT($B365,4)="_Mil","",_xlfn.IFNA(ROUND(INDEX(Spectrum!$N:$N,MATCH(RIGHT($B365,13)&amp;"|"&amp;$C365&amp;"|"&amp;$D365&amp;"|"&amp;Z$14&amp;"|"&amp;"CY2024Q3",Spectrum!$R:$R,0)),0),""))</f>
        <v>3</v>
      </c>
      <c r="AA365" s="33">
        <f>IF(LEFT($B365,4)="_Mil","",IFERROR(1/(1/INDEX(Spectrum!$N:$N,MATCH(RIGHT($B365,13)&amp;"|"&amp;$C365&amp;"|"&amp;$D365&amp;"|"&amp;AA$14&amp;"|"&amp;"CY2024Q3",Spectrum!$R:$R,0))),IF(SUM($U365)=0,"",SUM($Z365)/$U365)))</f>
        <v>0.66197463300000003</v>
      </c>
      <c r="AB365" s="33">
        <f t="shared" si="89"/>
        <v>1</v>
      </c>
      <c r="AC365" s="38">
        <f>IF(LEFT($B365,4)="_Mil","",_xlfn.IFNA(ROUND(INDEX(Spectrum!$N:$N,MATCH(RIGHT($B365,13)&amp;"|"&amp;$C365&amp;"|"&amp;$D365&amp;"|"&amp;AC$14&amp;"|"&amp;"CY2024Q3",Spectrum!$R:$R,0)),0),""))</f>
        <v>2</v>
      </c>
      <c r="AD365" s="38" t="str">
        <f>IF(LEFT($B365,4)="_Mil","",_xlfn.IFNA(ROUND(INDEX(Spectrum!$N:$N,MATCH(RIGHT($B365,13)&amp;"|"&amp;$C365&amp;"|"&amp;$D365&amp;"|"&amp;AD$14&amp;"|"&amp;"CY2024Q3",Spectrum!$R:$R,0)),0),""))</f>
        <v/>
      </c>
      <c r="AE365" s="33">
        <f t="shared" si="90"/>
        <v>0</v>
      </c>
      <c r="AF365" s="218" t="str">
        <f>IF(LEFT($B365,4)="_Mil","",_xlfn.IFNA(ROUND(INDEX(Spectrum!$N:$N,MATCH(RIGHT($B365,13)&amp;"|"&amp;$C365&amp;"|"&amp;$D365&amp;"|"&amp;AF$14&amp;"|"&amp;"CY2024Q3",Spectrum!$R:$R,0)),0),""))</f>
        <v/>
      </c>
      <c r="AG365" s="33" t="str">
        <f t="shared" si="91"/>
        <v/>
      </c>
      <c r="AH365" s="110" t="str">
        <f>IF(LEFT($B365,4)="_Mil","",_xlfn.IFNA(INDEX(Spectrum!$N:$N,MATCH(RIGHT($B365,13)&amp;"|"&amp;$C365&amp;"|"&amp;$D365&amp;"|"&amp;AH$14&amp;"|"&amp;"CY2024Q3",Spectrum!$R:$R,0)),""))</f>
        <v/>
      </c>
      <c r="AI365" s="218">
        <f>IF(LEFT($B365,4)="_Mil","",_xlfn.IFNA(ROUND(INDEX(Spectrum!$N:$N,MATCH(RIGHT($B365,13)&amp;"|"&amp;$C365&amp;"|"&amp;$D365&amp;"|"&amp;AI$14&amp;"|"&amp;"CY2025Q3",Spectrum!$R:$R,0)),0),""))</f>
        <v>5</v>
      </c>
      <c r="AJ365" s="38">
        <f>IF(LEFT($B365,4)="_Mil","",_xlfn.IFNA(ROUND(INDEX(Spectrum!$N:$N,MATCH(RIGHT($B365,13)&amp;"|"&amp;$C365&amp;"|"&amp;$D365&amp;"|"&amp;AJ$14&amp;"|"&amp;"CY2025Q3",Spectrum!$R:$R,0)),0),""))</f>
        <v>4</v>
      </c>
      <c r="AK365" s="218" t="e">
        <f>#REF!</f>
        <v>#REF!</v>
      </c>
      <c r="AL365" s="33" t="str">
        <f t="shared" si="92"/>
        <v/>
      </c>
      <c r="AM365" s="38" t="str">
        <f>IF(OR(LEFT($B365,4)="_Mil",$C365="&lt;01"),"",ROUND(SUM($AK365)*SUM($AL365),0))</f>
        <v/>
      </c>
      <c r="AN365" s="38">
        <f>IF($C365="&lt;01",ROUND(INDEX(EID!$P:$P,MATCH($B365,EID!$B:$B,0))/2,0),"")</f>
        <v>3</v>
      </c>
      <c r="AO365" s="38">
        <f>IF($C365="&lt;01",SUM($AN365),ROUND(SUM($AM365)*SUM($O365)/IF(SUM($Z365)=0,1,$Z365),0))</f>
        <v>3</v>
      </c>
      <c r="AP365" s="218">
        <f>IF(OR($F365="",$C365="&lt;01"),$AO365,ROUND($F365,0))</f>
        <v>3</v>
      </c>
      <c r="AQ365" s="218">
        <f>IF(LEFT($B365,4)="_Mil","",IF(SUM($AP365)=0,SUM($Z365),IF(OR(SUM($Z365)=0,SUM($O365)=0),MAX($AP365,$Z365),ROUND($AP365*$Z365/$O365,0))))</f>
        <v>2</v>
      </c>
      <c r="AR365" s="33" t="e">
        <f>IF(OR(LEFT($B365,4)="_Mil",SUM($AK365)=0),"",SUM($AQ365)/$AK365)</f>
        <v>#REF!</v>
      </c>
      <c r="AS365" s="33" t="str">
        <f t="shared" ref="AS365:AS370" si="99">IF($C365="&lt;01","",98%)</f>
        <v/>
      </c>
      <c r="AT365" s="33" t="str">
        <f t="shared" si="98"/>
        <v/>
      </c>
      <c r="AU365" s="38" t="str">
        <f>IF($C365="&lt;01","",SUM($AP365)-SUM($O365))</f>
        <v/>
      </c>
      <c r="AV365" s="38">
        <f>IF($C365="&lt;01",ROUND(INDEX(EID!$N:$N,MATCH($B365,EID!$B:$B,0))/2,0),IF(SUM($AT365)=0,"",ROUND((SUM($AP365)-(SUM($O365)*SUM($AS365)))/$AT365,0)))</f>
        <v>3</v>
      </c>
      <c r="AW365" s="33" t="str">
        <f t="shared" si="96"/>
        <v/>
      </c>
      <c r="AX365" s="218">
        <f>IF($C365="&lt;01",SUM($AV365),ROUND(SUM($AV365)*SUM($AW365),0))</f>
        <v>3</v>
      </c>
      <c r="AY365" s="79" t="str">
        <f t="shared" si="93"/>
        <v/>
      </c>
      <c r="AZ365" s="85">
        <f>IF($C365="&lt;01",ROUND(INDEX(EID!$R:$R,MATCH($B365,EID!$B:$B,0))/2,0),ROUND(SUM($O365)+(SUM($AV365)*$AY365),0))</f>
        <v>2</v>
      </c>
      <c r="BA365" s="40" t="str">
        <f t="shared" si="97"/>
        <v/>
      </c>
      <c r="BB365" s="99">
        <f>IF($C365="&lt;01",ROUND(INDEX(EID!$T:$T,MATCH($B365,EID!$B:$B,0))/2,0),ROUND($AP365*$BA365,0))</f>
        <v>2</v>
      </c>
      <c r="BC365" s="85">
        <f>IF(LEFT($B365,4)="_Mil","",IF(SUM($BB365)=0,SUM($AD365),IF(OR(SUM($AP365)=0,SUM($AQ365)=0),MAX($BB365,$AD365),ROUND($BB365*$AQ365/$AP365,0))))</f>
        <v>1</v>
      </c>
      <c r="BD365" s="33" t="str">
        <f t="shared" si="94"/>
        <v/>
      </c>
      <c r="BE365" s="218">
        <f>IF($C365="&lt;01",ROUND(INDEX(EID!$V:$V,MATCH($B365,EID!$B:$B,0))/2,0),ROUND($BD365*$BB365,0))</f>
        <v>2</v>
      </c>
      <c r="BF365" s="218">
        <f>IF(LEFT($B365,4)="_Mil","",IF(SUM($BE365)=0,SUM($AF365),IF(OR(SUM($AP365)=0,SUM($AQ365)=0),MAX($BE365,$AF365),ROUND($BE365*$AQ365/$AP365,0))))</f>
        <v>1</v>
      </c>
      <c r="BG365" s="79" t="str">
        <f t="shared" si="95"/>
        <v/>
      </c>
      <c r="BH365" s="99">
        <f>IF($C365="&lt;01",ROUND(INDEX(EID!$L:$L,MATCH($B365,EID!$B:$B,0)),0)/2,IF(SUM($BG365)=0,"",ROUND($AX365/$BG365,0)))</f>
        <v>3</v>
      </c>
    </row>
    <row r="366" spans="1:60" x14ac:dyDescent="0.2">
      <c r="A366" t="str">
        <f>INDEX(Prioritization!$D:$D,MATCH($B366,Prioritization!$A:$A,0))</f>
        <v>4 - Sustained</v>
      </c>
      <c r="B366" t="s">
        <v>312</v>
      </c>
      <c r="C366" t="s">
        <v>426</v>
      </c>
      <c r="D366" t="s">
        <v>48</v>
      </c>
      <c r="E366" t="str">
        <f t="shared" si="86"/>
        <v>Rumphi District [lPTyjLi4w3d]|&lt;01|Male</v>
      </c>
      <c r="F366" s="229">
        <v>4</v>
      </c>
      <c r="G366" s="38">
        <v>18</v>
      </c>
      <c r="H366" s="38">
        <v>4</v>
      </c>
      <c r="I366" s="38">
        <v>4</v>
      </c>
      <c r="J366" s="38">
        <v>6</v>
      </c>
      <c r="K366" s="38">
        <v>5</v>
      </c>
      <c r="L366" s="38"/>
      <c r="M366" s="38">
        <v>4</v>
      </c>
      <c r="N366" s="38">
        <v>4</v>
      </c>
      <c r="O366" s="229">
        <v>4</v>
      </c>
      <c r="P366" s="38">
        <v>3</v>
      </c>
      <c r="Q366" s="38">
        <v>3</v>
      </c>
      <c r="R366" s="38">
        <f t="shared" si="87"/>
        <v>0</v>
      </c>
      <c r="S366" s="38">
        <f>IF(LEFT($B366,4)="_Mil","",_xlfn.IFNA(ROUND(INDEX(Spectrum!$N:$N,MATCH(RIGHT($B366,13)&amp;"|"&amp;$C366&amp;"|"&amp;$D366&amp;"|"&amp;S$14&amp;"|"&amp;"CY2023Q4",Spectrum!$R:$R,0)),0),""))</f>
        <v>4</v>
      </c>
      <c r="T366" s="218">
        <f>IF(LEFT($B366,4)="_Mil","",_xlfn.IFNA(ROUND(INDEX(Spectrum!$N:$N,MATCH(RIGHT($B366,13)&amp;"|"&amp;$C366&amp;"|"&amp;$D366&amp;"|"&amp;T$14&amp;"|"&amp;"CY2024Q3",Spectrum!$R:$R,0)),0),""))</f>
        <v>4118</v>
      </c>
      <c r="U366" s="218">
        <f>IF(LEFT($B366,4)="_Mil","",_xlfn.IFNA(ROUND(INDEX(Spectrum!$N:$N,MATCH(RIGHT($B366,13)&amp;"|"&amp;$C366&amp;"|"&amp;$D366&amp;"|"&amp;U$14&amp;"|"&amp;"CY2024Q3",Spectrum!$R:$R,0)),0),""))</f>
        <v>5</v>
      </c>
      <c r="V366" s="38">
        <f>IF(LEFT($B366,4)="_Mil","",_xlfn.IFNA(ROUND(INDEX(Spectrum!$N:$N,MATCH(RIGHT($B366,13)&amp;"|"&amp;$C366&amp;"|"&amp;$D366&amp;"|"&amp;V$14&amp;"|"&amp;"CY2024Q3",Spectrum!$R:$R,0)),0),""))</f>
        <v>5</v>
      </c>
      <c r="W366" s="220">
        <f>IF(LEFT($B366,4)="_Mil","",_xlfn.IFNA(INDEX(Spectrum!$N:$N,MATCH(RIGHT($B366,13)&amp;"|"&amp;$C366&amp;"|"&amp;$D366&amp;"|"&amp;W$14&amp;"|"&amp;"CY2024Q3",Spectrum!$R:$R,0)),""))</f>
        <v>1.127351E-3</v>
      </c>
      <c r="X366" s="218">
        <f>IF(LEFT($B366,4)="_Mil","",_xlfn.IFNA(ROUND(INDEX(Spectrum!$N:$N,MATCH(RIGHT($B366,13)&amp;"|"&amp;$C366&amp;"|"&amp;$D366&amp;"|"&amp;X$14&amp;"|"&amp;"CY2024Q3",Spectrum!$R:$R,0)),0),""))</f>
        <v>3</v>
      </c>
      <c r="Y366" s="33">
        <f t="shared" si="88"/>
        <v>0.6</v>
      </c>
      <c r="Z366" s="218">
        <f>IF(LEFT($B366,4)="_Mil","",_xlfn.IFNA(ROUND(INDEX(Spectrum!$N:$N,MATCH(RIGHT($B366,13)&amp;"|"&amp;$C366&amp;"|"&amp;$D366&amp;"|"&amp;Z$14&amp;"|"&amp;"CY2024Q3",Spectrum!$R:$R,0)),0),""))</f>
        <v>3</v>
      </c>
      <c r="AA366" s="33">
        <f>IF(LEFT($B366,4)="_Mil","",IFERROR(1/(1/INDEX(Spectrum!$N:$N,MATCH(RIGHT($B366,13)&amp;"|"&amp;$C366&amp;"|"&amp;$D366&amp;"|"&amp;AA$14&amp;"|"&amp;"CY2024Q3",Spectrum!$R:$R,0))),IF(SUM($U366)=0,"",SUM($Z366)/$U366)))</f>
        <v>0.66174916900000003</v>
      </c>
      <c r="AB366" s="33">
        <f t="shared" si="89"/>
        <v>1</v>
      </c>
      <c r="AC366" s="38">
        <f>IF(LEFT($B366,4)="_Mil","",_xlfn.IFNA(ROUND(INDEX(Spectrum!$N:$N,MATCH(RIGHT($B366,13)&amp;"|"&amp;$C366&amp;"|"&amp;$D366&amp;"|"&amp;AC$14&amp;"|"&amp;"CY2024Q3",Spectrum!$R:$R,0)),0),""))</f>
        <v>2</v>
      </c>
      <c r="AD366" s="38" t="str">
        <f>IF(LEFT($B366,4)="_Mil","",_xlfn.IFNA(ROUND(INDEX(Spectrum!$N:$N,MATCH(RIGHT($B366,13)&amp;"|"&amp;$C366&amp;"|"&amp;$D366&amp;"|"&amp;AD$14&amp;"|"&amp;"CY2024Q3",Spectrum!$R:$R,0)),0),""))</f>
        <v/>
      </c>
      <c r="AE366" s="33">
        <f t="shared" si="90"/>
        <v>0</v>
      </c>
      <c r="AF366" s="218" t="str">
        <f>IF(LEFT($B366,4)="_Mil","",_xlfn.IFNA(ROUND(INDEX(Spectrum!$N:$N,MATCH(RIGHT($B366,13)&amp;"|"&amp;$C366&amp;"|"&amp;$D366&amp;"|"&amp;AF$14&amp;"|"&amp;"CY2024Q3",Spectrum!$R:$R,0)),0),""))</f>
        <v/>
      </c>
      <c r="AG366" s="33" t="str">
        <f t="shared" si="91"/>
        <v/>
      </c>
      <c r="AH366" s="110" t="str">
        <f>IF(LEFT($B366,4)="_Mil","",_xlfn.IFNA(INDEX(Spectrum!$N:$N,MATCH(RIGHT($B366,13)&amp;"|"&amp;$C366&amp;"|"&amp;$D366&amp;"|"&amp;AH$14&amp;"|"&amp;"CY2024Q3",Spectrum!$R:$R,0)),""))</f>
        <v/>
      </c>
      <c r="AI366" s="218">
        <f>IF(LEFT($B366,4)="_Mil","",_xlfn.IFNA(ROUND(INDEX(Spectrum!$N:$N,MATCH(RIGHT($B366,13)&amp;"|"&amp;$C366&amp;"|"&amp;$D366&amp;"|"&amp;AI$14&amp;"|"&amp;"CY2025Q3",Spectrum!$R:$R,0)),0),""))</f>
        <v>5</v>
      </c>
      <c r="AJ366" s="38">
        <f>IF(LEFT($B366,4)="_Mil","",_xlfn.IFNA(ROUND(INDEX(Spectrum!$N:$N,MATCH(RIGHT($B366,13)&amp;"|"&amp;$C366&amp;"|"&amp;$D366&amp;"|"&amp;AJ$14&amp;"|"&amp;"CY2025Q3",Spectrum!$R:$R,0)),0),""))</f>
        <v>4</v>
      </c>
      <c r="AK366" s="218" t="e">
        <f>#REF!</f>
        <v>#REF!</v>
      </c>
      <c r="AL366" s="33" t="str">
        <f t="shared" si="92"/>
        <v/>
      </c>
      <c r="AM366" s="38" t="str">
        <f>IF(OR(LEFT($B366,4)="_Mil",$C366="&lt;01"),"",ROUND(SUM($AK366)*SUM($AL366),0))</f>
        <v/>
      </c>
      <c r="AN366" s="38">
        <f>IF($C366="&lt;01",ROUND(INDEX(EID!$P:$P,MATCH($B366,EID!$B:$B,0))/2,0),"")</f>
        <v>3</v>
      </c>
      <c r="AO366" s="38">
        <f>IF($C366="&lt;01",SUM($AN366),ROUND(SUM($AM366)*SUM($O366)/IF(SUM($Z366)=0,1,$Z366),0))</f>
        <v>3</v>
      </c>
      <c r="AP366" s="218">
        <f>IF(OR($F366="",$C366="&lt;01"),$AO366,ROUND($F366,0))</f>
        <v>3</v>
      </c>
      <c r="AQ366" s="218">
        <f>IF(LEFT($B366,4)="_Mil","",IF(SUM($AP366)=0,SUM($Z366),IF(OR(SUM($Z366)=0,SUM($O366)=0),MAX($AP366,$Z366),ROUND($AP366*$Z366/$O366,0))))</f>
        <v>2</v>
      </c>
      <c r="AR366" s="33" t="e">
        <f>IF(OR(LEFT($B366,4)="_Mil",SUM($AK366)=0),"",SUM($AQ366)/$AK366)</f>
        <v>#REF!</v>
      </c>
      <c r="AS366" s="33" t="str">
        <f t="shared" si="99"/>
        <v/>
      </c>
      <c r="AT366" s="33" t="str">
        <f t="shared" si="98"/>
        <v/>
      </c>
      <c r="AU366" s="38" t="str">
        <f>IF($C366="&lt;01","",SUM($AP366)-SUM($O366))</f>
        <v/>
      </c>
      <c r="AV366" s="38">
        <f>IF($C366="&lt;01",ROUND(INDEX(EID!$N:$N,MATCH($B366,EID!$B:$B,0))/2,0),IF(SUM($AT366)=0,"",ROUND((SUM($AP366)-(SUM($O366)*SUM($AS366)))/$AT366,0)))</f>
        <v>3</v>
      </c>
      <c r="AW366" s="33" t="str">
        <f t="shared" si="96"/>
        <v/>
      </c>
      <c r="AX366" s="218">
        <f>IF($C366="&lt;01",SUM($AV366),ROUND(SUM($AV366)*SUM($AW366),0))</f>
        <v>3</v>
      </c>
      <c r="AY366" s="79" t="str">
        <f t="shared" si="93"/>
        <v/>
      </c>
      <c r="AZ366" s="85">
        <f>IF($C366="&lt;01",ROUND(INDEX(EID!$R:$R,MATCH($B366,EID!$B:$B,0))/2,0),ROUND(SUM($O366)+(SUM($AV366)*$AY366),0))</f>
        <v>2</v>
      </c>
      <c r="BA366" s="40" t="str">
        <f t="shared" si="97"/>
        <v/>
      </c>
      <c r="BB366" s="99">
        <f>IF($C366="&lt;01",ROUND(INDEX(EID!$T:$T,MATCH($B366,EID!$B:$B,0))/2,0),ROUND($AP366*$BA366,0))</f>
        <v>2</v>
      </c>
      <c r="BC366" s="85">
        <f>IF(LEFT($B366,4)="_Mil","",IF(SUM($BB366)=0,SUM($AD366),IF(OR(SUM($AP366)=0,SUM($AQ366)=0),MAX($BB366,$AD366),ROUND($BB366*$AQ366/$AP366,0))))</f>
        <v>1</v>
      </c>
      <c r="BD366" s="33" t="str">
        <f t="shared" si="94"/>
        <v/>
      </c>
      <c r="BE366" s="218">
        <f>IF($C366="&lt;01",ROUND(INDEX(EID!$V:$V,MATCH($B366,EID!$B:$B,0))/2,0),ROUND($BD366*$BB366,0))</f>
        <v>2</v>
      </c>
      <c r="BF366" s="218">
        <f>IF(LEFT($B366,4)="_Mil","",IF(SUM($BE366)=0,SUM($AF366),IF(OR(SUM($AP366)=0,SUM($AQ366)=0),MAX($BE366,$AF366),ROUND($BE366*$AQ366/$AP366,0))))</f>
        <v>1</v>
      </c>
      <c r="BG366" s="79" t="str">
        <f t="shared" si="95"/>
        <v/>
      </c>
      <c r="BH366" s="99">
        <f>IF($C366="&lt;01",ROUND(INDEX(EID!$L:$L,MATCH($B366,EID!$B:$B,0)),0)/2,IF(SUM($BG366)=0,"",ROUND($AX366/$BG366,0)))</f>
        <v>3</v>
      </c>
    </row>
    <row r="367" spans="1:60" x14ac:dyDescent="0.2">
      <c r="A367" t="str">
        <f>INDEX(Prioritization!$D:$D,MATCH($B367,Prioritization!$A:$A,0))</f>
        <v>4 - Sustained</v>
      </c>
      <c r="B367" t="s">
        <v>312</v>
      </c>
      <c r="C367" t="s">
        <v>473</v>
      </c>
      <c r="D367" t="s">
        <v>30</v>
      </c>
      <c r="E367" t="str">
        <f t="shared" si="86"/>
        <v>Rumphi District [lPTyjLi4w3d]|01-09|Female</v>
      </c>
      <c r="F367" s="229">
        <v>70</v>
      </c>
      <c r="G367" s="38">
        <v>52</v>
      </c>
      <c r="H367" s="38">
        <v>13</v>
      </c>
      <c r="I367" s="38">
        <v>70</v>
      </c>
      <c r="J367" s="38">
        <v>81</v>
      </c>
      <c r="K367" s="38">
        <v>60</v>
      </c>
      <c r="L367" s="38">
        <v>4</v>
      </c>
      <c r="M367" s="38">
        <v>4</v>
      </c>
      <c r="N367" s="38">
        <v>81</v>
      </c>
      <c r="O367" s="229">
        <v>70</v>
      </c>
      <c r="P367" s="38">
        <v>72</v>
      </c>
      <c r="Q367" s="38">
        <v>68</v>
      </c>
      <c r="R367" s="38">
        <f t="shared" si="87"/>
        <v>0</v>
      </c>
      <c r="S367" s="38">
        <f>IF(LEFT($B367,4)="_Mil","",_xlfn.IFNA(ROUND(INDEX(Spectrum!$N:$N,MATCH(RIGHT($B367,13)&amp;"|"&amp;$C367&amp;"|"&amp;$D367&amp;"|"&amp;S$14&amp;"|"&amp;"CY2023Q4",Spectrum!$R:$R,0)),0),""))</f>
        <v>68</v>
      </c>
      <c r="T367" s="218">
        <f>IF(LEFT($B367,4)="_Mil","",_xlfn.IFNA(ROUND(INDEX(Spectrum!$N:$N,MATCH(RIGHT($B367,13)&amp;"|"&amp;$C367&amp;"|"&amp;$D367&amp;"|"&amp;T$14&amp;"|"&amp;"CY2024Q3",Spectrum!$R:$R,0)),0),""))</f>
        <v>33709</v>
      </c>
      <c r="U367" s="218">
        <f>IF(LEFT($B367,4)="_Mil","",_xlfn.IFNA(ROUND(INDEX(Spectrum!$N:$N,MATCH(RIGHT($B367,13)&amp;"|"&amp;$C367&amp;"|"&amp;$D367&amp;"|"&amp;U$14&amp;"|"&amp;"CY2024Q3",Spectrum!$R:$R,0)),0),""))</f>
        <v>90</v>
      </c>
      <c r="V367" s="38">
        <f>IF(LEFT($B367,4)="_Mil","",_xlfn.IFNA(ROUND(INDEX(Spectrum!$N:$N,MATCH(RIGHT($B367,13)&amp;"|"&amp;$C367&amp;"|"&amp;$D367&amp;"|"&amp;V$14&amp;"|"&amp;"CY2024Q3",Spectrum!$R:$R,0)),0),""))</f>
        <v>93</v>
      </c>
      <c r="W367" s="220">
        <f>IF(LEFT($B367,4)="_Mil","",_xlfn.IFNA(INDEX(Spectrum!$N:$N,MATCH(RIGHT($B367,13)&amp;"|"&amp;$C367&amp;"|"&amp;$D367&amp;"|"&amp;W$14&amp;"|"&amp;"CY2024Q3",Spectrum!$R:$R,0)),""))</f>
        <v>2.6652809999999998E-3</v>
      </c>
      <c r="X367" s="218">
        <f>IF(LEFT($B367,4)="_Mil","",_xlfn.IFNA(ROUND(INDEX(Spectrum!$N:$N,MATCH(RIGHT($B367,13)&amp;"|"&amp;$C367&amp;"|"&amp;$D367&amp;"|"&amp;X$14&amp;"|"&amp;"CY2024Q3",Spectrum!$R:$R,0)),0),""))</f>
        <v>67</v>
      </c>
      <c r="Y367" s="33">
        <f t="shared" si="88"/>
        <v>0.74</v>
      </c>
      <c r="Z367" s="218">
        <f>IF(LEFT($B367,4)="_Mil","",_xlfn.IFNA(ROUND(INDEX(Spectrum!$N:$N,MATCH(RIGHT($B367,13)&amp;"|"&amp;$C367&amp;"|"&amp;$D367&amp;"|"&amp;Z$14&amp;"|"&amp;"CY2024Q3",Spectrum!$R:$R,0)),0),""))</f>
        <v>65</v>
      </c>
      <c r="AA367" s="33">
        <f>IF(LEFT($B367,4)="_Mil","",IFERROR(1/(1/INDEX(Spectrum!$N:$N,MATCH(RIGHT($B367,13)&amp;"|"&amp;$C367&amp;"|"&amp;$D367&amp;"|"&amp;AA$14&amp;"|"&amp;"CY2024Q3",Spectrum!$R:$R,0))),IF(SUM($U367)=0,"",SUM($Z367)/$U367)))</f>
        <v>0.70896089900000003</v>
      </c>
      <c r="AB367" s="33">
        <f t="shared" si="89"/>
        <v>0.97014925373134331</v>
      </c>
      <c r="AC367" s="38">
        <f>IF(LEFT($B367,4)="_Mil","",_xlfn.IFNA(ROUND(INDEX(Spectrum!$N:$N,MATCH(RIGHT($B367,13)&amp;"|"&amp;$C367&amp;"|"&amp;$D367&amp;"|"&amp;AC$14&amp;"|"&amp;"CY2024Q3",Spectrum!$R:$R,0)),0),""))</f>
        <v>28</v>
      </c>
      <c r="AD367" s="38" t="str">
        <f>IF(LEFT($B367,4)="_Mil","",_xlfn.IFNA(ROUND(INDEX(Spectrum!$N:$N,MATCH(RIGHT($B367,13)&amp;"|"&amp;$C367&amp;"|"&amp;$D367&amp;"|"&amp;AD$14&amp;"|"&amp;"CY2024Q3",Spectrum!$R:$R,0)),0),""))</f>
        <v/>
      </c>
      <c r="AE367" s="33">
        <f t="shared" si="90"/>
        <v>0</v>
      </c>
      <c r="AF367" s="218" t="str">
        <f>IF(LEFT($B367,4)="_Mil","",_xlfn.IFNA(ROUND(INDEX(Spectrum!$N:$N,MATCH(RIGHT($B367,13)&amp;"|"&amp;$C367&amp;"|"&amp;$D367&amp;"|"&amp;AF$14&amp;"|"&amp;"CY2024Q3",Spectrum!$R:$R,0)),0),""))</f>
        <v/>
      </c>
      <c r="AG367" s="33" t="str">
        <f t="shared" si="91"/>
        <v/>
      </c>
      <c r="AH367" s="110" t="str">
        <f>IF(LEFT($B367,4)="_Mil","",_xlfn.IFNA(INDEX(Spectrum!$N:$N,MATCH(RIGHT($B367,13)&amp;"|"&amp;$C367&amp;"|"&amp;$D367&amp;"|"&amp;AH$14&amp;"|"&amp;"CY2024Q3",Spectrum!$R:$R,0)),""))</f>
        <v/>
      </c>
      <c r="AI367" s="218">
        <f>IF(LEFT($B367,4)="_Mil","",_xlfn.IFNA(ROUND(INDEX(Spectrum!$N:$N,MATCH(RIGHT($B367,13)&amp;"|"&amp;$C367&amp;"|"&amp;$D367&amp;"|"&amp;AI$14&amp;"|"&amp;"CY2025Q3",Spectrum!$R:$R,0)),0),""))</f>
        <v>1</v>
      </c>
      <c r="AJ367" s="38">
        <f>IF(LEFT($B367,4)="_Mil","",_xlfn.IFNA(ROUND(INDEX(Spectrum!$N:$N,MATCH(RIGHT($B367,13)&amp;"|"&amp;$C367&amp;"|"&amp;$D367&amp;"|"&amp;AJ$14&amp;"|"&amp;"CY2025Q3",Spectrum!$R:$R,0)),0),""))</f>
        <v>77</v>
      </c>
      <c r="AK367" s="218" t="e">
        <f>#REF!</f>
        <v>#REF!</v>
      </c>
      <c r="AL367" s="33">
        <f t="shared" si="92"/>
        <v>0.9</v>
      </c>
      <c r="AM367" s="38" t="e">
        <f>IF(OR(LEFT($B367,4)="_Mil",$C367="&lt;01"),"",ROUND(SUM($AK367)*SUM($AL367),0))</f>
        <v>#REF!</v>
      </c>
      <c r="AN367" s="38" t="str">
        <f>IF($C367="&lt;01",ROUND(INDEX(EID!$P:$P,MATCH($B367,EID!$B:$B,0))/2,0),"")</f>
        <v/>
      </c>
      <c r="AO367" s="38" t="e">
        <f>IF($C367="&lt;01",SUM($AN367),ROUND(SUM($AM367)*SUM($O367)/IF(SUM($Z367)=0,1,$Z367),0))</f>
        <v>#REF!</v>
      </c>
      <c r="AP367" s="218">
        <f>IF(OR($F367="",$C367="&lt;01"),$AO367,ROUND($F367,0))</f>
        <v>70</v>
      </c>
      <c r="AQ367" s="218">
        <f>IF(LEFT($B367,4)="_Mil","",IF(SUM($AP367)=0,SUM($Z367),IF(OR(SUM($Z367)=0,SUM($O367)=0),MAX($AP367,$Z367),ROUND($AP367*$Z367/$O367,0))))</f>
        <v>65</v>
      </c>
      <c r="AR367" s="33" t="e">
        <f>IF(OR(LEFT($B367,4)="_Mil",SUM($AK367)=0),"",SUM($AQ367)/$AK367)</f>
        <v>#REF!</v>
      </c>
      <c r="AS367" s="33">
        <f t="shared" si="99"/>
        <v>0.98</v>
      </c>
      <c r="AT367" s="33">
        <f t="shared" si="98"/>
        <v>0.98</v>
      </c>
      <c r="AU367" s="38">
        <f>IF($C367="&lt;01","",SUM($AP367)-SUM($O367))</f>
        <v>0</v>
      </c>
      <c r="AV367" s="38">
        <f>IF($C367="&lt;01",ROUND(INDEX(EID!$N:$N,MATCH($B367,EID!$B:$B,0))/2,0),IF(SUM($AT367)=0,"",ROUND((SUM($AP367)-(SUM($O367)*SUM($AS367)))/$AT367,0)))</f>
        <v>1</v>
      </c>
      <c r="AW367" s="33">
        <f t="shared" si="96"/>
        <v>1</v>
      </c>
      <c r="AX367" s="218">
        <f>IF($C367="&lt;01",SUM($AV367),ROUND(SUM($AV367)*SUM($AW367),0))</f>
        <v>1</v>
      </c>
      <c r="AY367" s="79">
        <f t="shared" si="93"/>
        <v>0.7</v>
      </c>
      <c r="AZ367" s="85">
        <f>IF($C367="&lt;01",ROUND(INDEX(EID!$R:$R,MATCH($B367,EID!$B:$B,0))/2,0),ROUND(SUM($O367)+(SUM($AV367)*$AY367),0))</f>
        <v>71</v>
      </c>
      <c r="BA367" s="40">
        <f t="shared" si="97"/>
        <v>0.9</v>
      </c>
      <c r="BB367" s="99">
        <f>IF($C367="&lt;01",ROUND(INDEX(EID!$T:$T,MATCH($B367,EID!$B:$B,0))/2,0),ROUND($AP367*$BA367,0))</f>
        <v>63</v>
      </c>
      <c r="BC367" s="85">
        <f>IF(LEFT($B367,4)="_Mil","",IF(SUM($BB367)=0,SUM($AD367),IF(OR(SUM($AP367)=0,SUM($AQ367)=0),MAX($BB367,$AD367),ROUND($BB367*$AQ367/$AP367,0))))</f>
        <v>59</v>
      </c>
      <c r="BD367" s="33">
        <f t="shared" si="94"/>
        <v>0.95</v>
      </c>
      <c r="BE367" s="218">
        <f>IF($C367="&lt;01",ROUND(INDEX(EID!$V:$V,MATCH($B367,EID!$B:$B,0))/2,0),ROUND($BD367*$BB367,0))</f>
        <v>60</v>
      </c>
      <c r="BF367" s="218">
        <f>IF(LEFT($B367,4)="_Mil","",IF(SUM($BE367)=0,SUM($AF367),IF(OR(SUM($AP367)=0,SUM($AQ367)=0),MAX($BE367,$AF367),ROUND($BE367*$AQ367/$AP367,0))))</f>
        <v>56</v>
      </c>
      <c r="BG367" s="79">
        <f t="shared" si="95"/>
        <v>0.95</v>
      </c>
      <c r="BH367" s="99">
        <f>IF($C367="&lt;01",ROUND(INDEX(EID!$L:$L,MATCH($B367,EID!$B:$B,0)),0)/2,IF(SUM($BG367)=0,"",ROUND($AX367/$BG367,0)))</f>
        <v>1</v>
      </c>
    </row>
    <row r="368" spans="1:60" x14ac:dyDescent="0.2">
      <c r="A368" t="str">
        <f>INDEX(Prioritization!$D:$D,MATCH($B368,Prioritization!$A:$A,0))</f>
        <v>4 - Sustained</v>
      </c>
      <c r="B368" t="s">
        <v>312</v>
      </c>
      <c r="C368" t="s">
        <v>473</v>
      </c>
      <c r="D368" t="s">
        <v>48</v>
      </c>
      <c r="E368" t="str">
        <f t="shared" si="86"/>
        <v>Rumphi District [lPTyjLi4w3d]|01-09|Male</v>
      </c>
      <c r="F368" s="229">
        <v>72</v>
      </c>
      <c r="G368" s="38">
        <v>35</v>
      </c>
      <c r="H368" s="38">
        <v>9</v>
      </c>
      <c r="I368" s="38">
        <v>72</v>
      </c>
      <c r="J368" s="38">
        <v>76</v>
      </c>
      <c r="K368" s="38">
        <v>45</v>
      </c>
      <c r="L368" s="38">
        <v>4</v>
      </c>
      <c r="M368" s="38">
        <v>4</v>
      </c>
      <c r="N368" s="38">
        <v>81</v>
      </c>
      <c r="O368" s="229">
        <v>72</v>
      </c>
      <c r="P368" s="38">
        <v>72</v>
      </c>
      <c r="Q368" s="38">
        <v>68</v>
      </c>
      <c r="R368" s="38">
        <f t="shared" si="87"/>
        <v>0</v>
      </c>
      <c r="S368" s="38">
        <f>IF(LEFT($B368,4)="_Mil","",_xlfn.IFNA(ROUND(INDEX(Spectrum!$N:$N,MATCH(RIGHT($B368,13)&amp;"|"&amp;$C368&amp;"|"&amp;$D368&amp;"|"&amp;S$14&amp;"|"&amp;"CY2023Q4",Spectrum!$R:$R,0)),0),""))</f>
        <v>69</v>
      </c>
      <c r="T368" s="218">
        <f>IF(LEFT($B368,4)="_Mil","",_xlfn.IFNA(ROUND(INDEX(Spectrum!$N:$N,MATCH(RIGHT($B368,13)&amp;"|"&amp;$C368&amp;"|"&amp;$D368&amp;"|"&amp;T$14&amp;"|"&amp;"CY2024Q3",Spectrum!$R:$R,0)),0),""))</f>
        <v>33548</v>
      </c>
      <c r="U368" s="218">
        <f>IF(LEFT($B368,4)="_Mil","",_xlfn.IFNA(ROUND(INDEX(Spectrum!$N:$N,MATCH(RIGHT($B368,13)&amp;"|"&amp;$C368&amp;"|"&amp;$D368&amp;"|"&amp;U$14&amp;"|"&amp;"CY2024Q3",Spectrum!$R:$R,0)),0),""))</f>
        <v>89</v>
      </c>
      <c r="V368" s="38">
        <f>IF(LEFT($B368,4)="_Mil","",_xlfn.IFNA(ROUND(INDEX(Spectrum!$N:$N,MATCH(RIGHT($B368,13)&amp;"|"&amp;$C368&amp;"|"&amp;$D368&amp;"|"&amp;V$14&amp;"|"&amp;"CY2024Q3",Spectrum!$R:$R,0)),0),""))</f>
        <v>93</v>
      </c>
      <c r="W368" s="220">
        <f>IF(LEFT($B368,4)="_Mil","",_xlfn.IFNA(INDEX(Spectrum!$N:$N,MATCH(RIGHT($B368,13)&amp;"|"&amp;$C368&amp;"|"&amp;$D368&amp;"|"&amp;W$14&amp;"|"&amp;"CY2024Q3",Spectrum!$R:$R,0)),""))</f>
        <v>2.6633970000000001E-3</v>
      </c>
      <c r="X368" s="218">
        <f>IF(LEFT($B368,4)="_Mil","",_xlfn.IFNA(ROUND(INDEX(Spectrum!$N:$N,MATCH(RIGHT($B368,13)&amp;"|"&amp;$C368&amp;"|"&amp;$D368&amp;"|"&amp;X$14&amp;"|"&amp;"CY2024Q3",Spectrum!$R:$R,0)),0),""))</f>
        <v>66</v>
      </c>
      <c r="Y368" s="33">
        <f t="shared" si="88"/>
        <v>0.74</v>
      </c>
      <c r="Z368" s="218">
        <f>IF(LEFT($B368,4)="_Mil","",_xlfn.IFNA(ROUND(INDEX(Spectrum!$N:$N,MATCH(RIGHT($B368,13)&amp;"|"&amp;$C368&amp;"|"&amp;$D368&amp;"|"&amp;Z$14&amp;"|"&amp;"CY2024Q3",Spectrum!$R:$R,0)),0),""))</f>
        <v>66</v>
      </c>
      <c r="AA368" s="33">
        <f>IF(LEFT($B368,4)="_Mil","",IFERROR(1/(1/INDEX(Spectrum!$N:$N,MATCH(RIGHT($B368,13)&amp;"|"&amp;$C368&amp;"|"&amp;$D368&amp;"|"&amp;AA$14&amp;"|"&amp;"CY2024Q3",Spectrum!$R:$R,0))),IF(SUM($U368)=0,"",SUM($Z368)/$U368)))</f>
        <v>0.70863553899999998</v>
      </c>
      <c r="AB368" s="33">
        <f t="shared" si="89"/>
        <v>1</v>
      </c>
      <c r="AC368" s="38">
        <f>IF(LEFT($B368,4)="_Mil","",_xlfn.IFNA(ROUND(INDEX(Spectrum!$N:$N,MATCH(RIGHT($B368,13)&amp;"|"&amp;$C368&amp;"|"&amp;$D368&amp;"|"&amp;AC$14&amp;"|"&amp;"CY2024Q3",Spectrum!$R:$R,0)),0),""))</f>
        <v>27</v>
      </c>
      <c r="AD368" s="38" t="str">
        <f>IF(LEFT($B368,4)="_Mil","",_xlfn.IFNA(ROUND(INDEX(Spectrum!$N:$N,MATCH(RIGHT($B368,13)&amp;"|"&amp;$C368&amp;"|"&amp;$D368&amp;"|"&amp;AD$14&amp;"|"&amp;"CY2024Q3",Spectrum!$R:$R,0)),0),""))</f>
        <v/>
      </c>
      <c r="AE368" s="33">
        <f t="shared" si="90"/>
        <v>0</v>
      </c>
      <c r="AF368" s="218" t="str">
        <f>IF(LEFT($B368,4)="_Mil","",_xlfn.IFNA(ROUND(INDEX(Spectrum!$N:$N,MATCH(RIGHT($B368,13)&amp;"|"&amp;$C368&amp;"|"&amp;$D368&amp;"|"&amp;AF$14&amp;"|"&amp;"CY2024Q3",Spectrum!$R:$R,0)),0),""))</f>
        <v/>
      </c>
      <c r="AG368" s="33" t="str">
        <f t="shared" si="91"/>
        <v/>
      </c>
      <c r="AH368" s="110" t="str">
        <f>IF(LEFT($B368,4)="_Mil","",_xlfn.IFNA(INDEX(Spectrum!$N:$N,MATCH(RIGHT($B368,13)&amp;"|"&amp;$C368&amp;"|"&amp;$D368&amp;"|"&amp;AH$14&amp;"|"&amp;"CY2024Q3",Spectrum!$R:$R,0)),""))</f>
        <v/>
      </c>
      <c r="AI368" s="218">
        <f>IF(LEFT($B368,4)="_Mil","",_xlfn.IFNA(ROUND(INDEX(Spectrum!$N:$N,MATCH(RIGHT($B368,13)&amp;"|"&amp;$C368&amp;"|"&amp;$D368&amp;"|"&amp;AI$14&amp;"|"&amp;"CY2025Q3",Spectrum!$R:$R,0)),0),""))</f>
        <v>1</v>
      </c>
      <c r="AJ368" s="38">
        <f>IF(LEFT($B368,4)="_Mil","",_xlfn.IFNA(ROUND(INDEX(Spectrum!$N:$N,MATCH(RIGHT($B368,13)&amp;"|"&amp;$C368&amp;"|"&amp;$D368&amp;"|"&amp;AJ$14&amp;"|"&amp;"CY2025Q3",Spectrum!$R:$R,0)),0),""))</f>
        <v>77</v>
      </c>
      <c r="AK368" s="218" t="e">
        <f>#REF!</f>
        <v>#REF!</v>
      </c>
      <c r="AL368" s="33">
        <f t="shared" si="92"/>
        <v>0.9</v>
      </c>
      <c r="AM368" s="38" t="e">
        <f>IF(OR(LEFT($B368,4)="_Mil",$C368="&lt;01"),"",ROUND(SUM($AK368)*SUM($AL368),0))</f>
        <v>#REF!</v>
      </c>
      <c r="AN368" s="38" t="str">
        <f>IF($C368="&lt;01",ROUND(INDEX(EID!$P:$P,MATCH($B368,EID!$B:$B,0))/2,0),"")</f>
        <v/>
      </c>
      <c r="AO368" s="38" t="e">
        <f>IF($C368="&lt;01",SUM($AN368),ROUND(SUM($AM368)*SUM($O368)/IF(SUM($Z368)=0,1,$Z368),0))</f>
        <v>#REF!</v>
      </c>
      <c r="AP368" s="218">
        <f>IF(OR($F368="",$C368="&lt;01"),$AO368,ROUND($F368,0))</f>
        <v>72</v>
      </c>
      <c r="AQ368" s="218">
        <f>IF(LEFT($B368,4)="_Mil","",IF(SUM($AP368)=0,SUM($Z368),IF(OR(SUM($Z368)=0,SUM($O368)=0),MAX($AP368,$Z368),ROUND($AP368*$Z368/$O368,0))))</f>
        <v>66</v>
      </c>
      <c r="AR368" s="33" t="e">
        <f>IF(OR(LEFT($B368,4)="_Mil",SUM($AK368)=0),"",SUM($AQ368)/$AK368)</f>
        <v>#REF!</v>
      </c>
      <c r="AS368" s="33">
        <f t="shared" si="99"/>
        <v>0.98</v>
      </c>
      <c r="AT368" s="33">
        <f t="shared" si="98"/>
        <v>0.98</v>
      </c>
      <c r="AU368" s="38">
        <f>IF($C368="&lt;01","",SUM($AP368)-SUM($O368))</f>
        <v>0</v>
      </c>
      <c r="AV368" s="38">
        <f>IF($C368="&lt;01",ROUND(INDEX(EID!$N:$N,MATCH($B368,EID!$B:$B,0))/2,0),IF(SUM($AT368)=0,"",ROUND((SUM($AP368)-(SUM($O368)*SUM($AS368)))/$AT368,0)))</f>
        <v>1</v>
      </c>
      <c r="AW368" s="33">
        <f t="shared" si="96"/>
        <v>1</v>
      </c>
      <c r="AX368" s="218">
        <f>IF($C368="&lt;01",SUM($AV368),ROUND(SUM($AV368)*SUM($AW368),0))</f>
        <v>1</v>
      </c>
      <c r="AY368" s="79">
        <f t="shared" si="93"/>
        <v>0.7</v>
      </c>
      <c r="AZ368" s="85">
        <f>IF($C368="&lt;01",ROUND(INDEX(EID!$R:$R,MATCH($B368,EID!$B:$B,0))/2,0),ROUND(SUM($O368)+(SUM($AV368)*$AY368),0))</f>
        <v>73</v>
      </c>
      <c r="BA368" s="40">
        <f t="shared" si="97"/>
        <v>0.9</v>
      </c>
      <c r="BB368" s="99">
        <f>IF($C368="&lt;01",ROUND(INDEX(EID!$T:$T,MATCH($B368,EID!$B:$B,0))/2,0),ROUND($AP368*$BA368,0))</f>
        <v>65</v>
      </c>
      <c r="BC368" s="85">
        <f>IF(LEFT($B368,4)="_Mil","",IF(SUM($BB368)=0,SUM($AD368),IF(OR(SUM($AP368)=0,SUM($AQ368)=0),MAX($BB368,$AD368),ROUND($BB368*$AQ368/$AP368,0))))</f>
        <v>60</v>
      </c>
      <c r="BD368" s="33">
        <f t="shared" si="94"/>
        <v>0.95</v>
      </c>
      <c r="BE368" s="218">
        <f>IF($C368="&lt;01",ROUND(INDEX(EID!$V:$V,MATCH($B368,EID!$B:$B,0))/2,0),ROUND($BD368*$BB368,0))</f>
        <v>62</v>
      </c>
      <c r="BF368" s="218">
        <f>IF(LEFT($B368,4)="_Mil","",IF(SUM($BE368)=0,SUM($AF368),IF(OR(SUM($AP368)=0,SUM($AQ368)=0),MAX($BE368,$AF368),ROUND($BE368*$AQ368/$AP368,0))))</f>
        <v>57</v>
      </c>
      <c r="BG368" s="79">
        <f t="shared" si="95"/>
        <v>0.95</v>
      </c>
      <c r="BH368" s="99">
        <f>IF($C368="&lt;01",ROUND(INDEX(EID!$L:$L,MATCH($B368,EID!$B:$B,0)),0)/2,IF(SUM($BG368)=0,"",ROUND($AX368/$BG368,0)))</f>
        <v>1</v>
      </c>
    </row>
    <row r="369" spans="1:60" x14ac:dyDescent="0.2">
      <c r="A369" t="str">
        <f>INDEX(Prioritization!$D:$D,MATCH($B369,Prioritization!$A:$A,0))</f>
        <v>4 - Sustained</v>
      </c>
      <c r="B369" t="s">
        <v>312</v>
      </c>
      <c r="C369" t="s">
        <v>474</v>
      </c>
      <c r="D369" t="s">
        <v>30</v>
      </c>
      <c r="E369" t="str">
        <f t="shared" si="86"/>
        <v>Rumphi District [lPTyjLi4w3d]|10-14|Female</v>
      </c>
      <c r="F369" s="229">
        <v>91</v>
      </c>
      <c r="G369" s="38">
        <v>27</v>
      </c>
      <c r="H369" s="38">
        <v>2</v>
      </c>
      <c r="I369" s="38">
        <v>84</v>
      </c>
      <c r="J369" s="38">
        <v>114</v>
      </c>
      <c r="K369" s="38">
        <v>71</v>
      </c>
      <c r="L369" s="38">
        <v>12</v>
      </c>
      <c r="M369" s="38">
        <v>11</v>
      </c>
      <c r="N369" s="38">
        <v>102</v>
      </c>
      <c r="O369" s="229">
        <v>91</v>
      </c>
      <c r="P369" s="38">
        <v>86</v>
      </c>
      <c r="Q369" s="38">
        <v>82</v>
      </c>
      <c r="R369" s="38">
        <f t="shared" si="87"/>
        <v>7</v>
      </c>
      <c r="S369" s="38">
        <f>IF(LEFT($B369,4)="_Mil","",_xlfn.IFNA(ROUND(INDEX(Spectrum!$N:$N,MATCH(RIGHT($B369,13)&amp;"|"&amp;$C369&amp;"|"&amp;$D369&amp;"|"&amp;S$14&amp;"|"&amp;"CY2023Q4",Spectrum!$R:$R,0)),0),""))</f>
        <v>90</v>
      </c>
      <c r="T369" s="218">
        <f>IF(LEFT($B369,4)="_Mil","",_xlfn.IFNA(ROUND(INDEX(Spectrum!$N:$N,MATCH(RIGHT($B369,13)&amp;"|"&amp;$C369&amp;"|"&amp;$D369&amp;"|"&amp;T$14&amp;"|"&amp;"CY2024Q3",Spectrum!$R:$R,0)),0),""))</f>
        <v>18621</v>
      </c>
      <c r="U369" s="218">
        <f>IF(LEFT($B369,4)="_Mil","",_xlfn.IFNA(ROUND(INDEX(Spectrum!$N:$N,MATCH(RIGHT($B369,13)&amp;"|"&amp;$C369&amp;"|"&amp;$D369&amp;"|"&amp;U$14&amp;"|"&amp;"CY2024Q3",Spectrum!$R:$R,0)),0),""))</f>
        <v>116</v>
      </c>
      <c r="V369" s="38">
        <f>IF(LEFT($B369,4)="_Mil","",_xlfn.IFNA(ROUND(INDEX(Spectrum!$N:$N,MATCH(RIGHT($B369,13)&amp;"|"&amp;$C369&amp;"|"&amp;$D369&amp;"|"&amp;V$14&amp;"|"&amp;"CY2024Q3",Spectrum!$R:$R,0)),0),""))</f>
        <v>121</v>
      </c>
      <c r="W369" s="220">
        <f>IF(LEFT($B369,4)="_Mil","",_xlfn.IFNA(INDEX(Spectrum!$N:$N,MATCH(RIGHT($B369,13)&amp;"|"&amp;$C369&amp;"|"&amp;$D369&amp;"|"&amp;W$14&amp;"|"&amp;"CY2024Q3",Spectrum!$R:$R,0)),""))</f>
        <v>6.2346229999999999E-3</v>
      </c>
      <c r="X369" s="218">
        <f>IF(LEFT($B369,4)="_Mil","",_xlfn.IFNA(ROUND(INDEX(Spectrum!$N:$N,MATCH(RIGHT($B369,13)&amp;"|"&amp;$C369&amp;"|"&amp;$D369&amp;"|"&amp;X$14&amp;"|"&amp;"CY2024Q3",Spectrum!$R:$R,0)),0),""))</f>
        <v>91</v>
      </c>
      <c r="Y369" s="33">
        <f t="shared" si="88"/>
        <v>0.78</v>
      </c>
      <c r="Z369" s="218">
        <f>IF(LEFT($B369,4)="_Mil","",_xlfn.IFNA(ROUND(INDEX(Spectrum!$N:$N,MATCH(RIGHT($B369,13)&amp;"|"&amp;$C369&amp;"|"&amp;$D369&amp;"|"&amp;Z$14&amp;"|"&amp;"CY2024Q3",Spectrum!$R:$R,0)),0),""))</f>
        <v>89</v>
      </c>
      <c r="AA369" s="33">
        <f>IF(LEFT($B369,4)="_Mil","",IFERROR(1/(1/INDEX(Spectrum!$N:$N,MATCH(RIGHT($B369,13)&amp;"|"&amp;$C369&amp;"|"&amp;$D369&amp;"|"&amp;AA$14&amp;"|"&amp;"CY2024Q3",Spectrum!$R:$R,0))),IF(SUM($U369)=0,"",SUM($Z369)/$U369)))</f>
        <v>0.74536502100000002</v>
      </c>
      <c r="AB369" s="33">
        <f t="shared" si="89"/>
        <v>0.97802197802197799</v>
      </c>
      <c r="AC369" s="38">
        <f>IF(LEFT($B369,4)="_Mil","",_xlfn.IFNA(ROUND(INDEX(Spectrum!$N:$N,MATCH(RIGHT($B369,13)&amp;"|"&amp;$C369&amp;"|"&amp;$D369&amp;"|"&amp;AC$14&amp;"|"&amp;"CY2024Q3",Spectrum!$R:$R,0)),0),""))</f>
        <v>32</v>
      </c>
      <c r="AD369" s="38" t="str">
        <f>IF(LEFT($B369,4)="_Mil","",_xlfn.IFNA(ROUND(INDEX(Spectrum!$N:$N,MATCH(RIGHT($B369,13)&amp;"|"&amp;$C369&amp;"|"&amp;$D369&amp;"|"&amp;AD$14&amp;"|"&amp;"CY2024Q3",Spectrum!$R:$R,0)),0),""))</f>
        <v/>
      </c>
      <c r="AE369" s="33">
        <f t="shared" si="90"/>
        <v>0</v>
      </c>
      <c r="AF369" s="218" t="str">
        <f>IF(LEFT($B369,4)="_Mil","",_xlfn.IFNA(ROUND(INDEX(Spectrum!$N:$N,MATCH(RIGHT($B369,13)&amp;"|"&amp;$C369&amp;"|"&amp;$D369&amp;"|"&amp;AF$14&amp;"|"&amp;"CY2024Q3",Spectrum!$R:$R,0)),0),""))</f>
        <v/>
      </c>
      <c r="AG369" s="33" t="str">
        <f t="shared" si="91"/>
        <v/>
      </c>
      <c r="AH369" s="110" t="str">
        <f>IF(LEFT($B369,4)="_Mil","",_xlfn.IFNA(INDEX(Spectrum!$N:$N,MATCH(RIGHT($B369,13)&amp;"|"&amp;$C369&amp;"|"&amp;$D369&amp;"|"&amp;AH$14&amp;"|"&amp;"CY2024Q3",Spectrum!$R:$R,0)),""))</f>
        <v/>
      </c>
      <c r="AI369" s="218">
        <f>IF(LEFT($B369,4)="_Mil","",_xlfn.IFNA(ROUND(INDEX(Spectrum!$N:$N,MATCH(RIGHT($B369,13)&amp;"|"&amp;$C369&amp;"|"&amp;$D369&amp;"|"&amp;AI$14&amp;"|"&amp;"CY2025Q3",Spectrum!$R:$R,0)),0),""))</f>
        <v>0</v>
      </c>
      <c r="AJ369" s="38">
        <f>IF(LEFT($B369,4)="_Mil","",_xlfn.IFNA(ROUND(INDEX(Spectrum!$N:$N,MATCH(RIGHT($B369,13)&amp;"|"&amp;$C369&amp;"|"&amp;$D369&amp;"|"&amp;AJ$14&amp;"|"&amp;"CY2025Q3",Spectrum!$R:$R,0)),0),""))</f>
        <v>104</v>
      </c>
      <c r="AK369" s="218" t="e">
        <f>#REF!</f>
        <v>#REF!</v>
      </c>
      <c r="AL369" s="33">
        <f t="shared" si="92"/>
        <v>0.9</v>
      </c>
      <c r="AM369" s="38" t="e">
        <f>IF(OR(LEFT($B369,4)="_Mil",$C369="&lt;01"),"",ROUND(SUM($AK369)*SUM($AL369),0))</f>
        <v>#REF!</v>
      </c>
      <c r="AN369" s="38" t="str">
        <f>IF($C369="&lt;01",ROUND(INDEX(EID!$P:$P,MATCH($B369,EID!$B:$B,0))/2,0),"")</f>
        <v/>
      </c>
      <c r="AO369" s="38" t="e">
        <f>IF($C369="&lt;01",SUM($AN369),ROUND(SUM($AM369)*SUM($O369)/IF(SUM($Z369)=0,1,$Z369),0))</f>
        <v>#REF!</v>
      </c>
      <c r="AP369" s="218">
        <f>IF(OR($F369="",$C369="&lt;01"),$AO369,ROUND($F369,0))</f>
        <v>91</v>
      </c>
      <c r="AQ369" s="218">
        <f>IF(LEFT($B369,4)="_Mil","",IF(SUM($AP369)=0,SUM($Z369),IF(OR(SUM($Z369)=0,SUM($O369)=0),MAX($AP369,$Z369),ROUND($AP369*$Z369/$O369,0))))</f>
        <v>89</v>
      </c>
      <c r="AR369" s="33" t="e">
        <f>IF(OR(LEFT($B369,4)="_Mil",SUM($AK369)=0),"",SUM($AQ369)/$AK369)</f>
        <v>#REF!</v>
      </c>
      <c r="AS369" s="33">
        <f>IF($C369="&lt;01","",90%)</f>
        <v>0.9</v>
      </c>
      <c r="AT369" s="33">
        <f t="shared" si="98"/>
        <v>0.98</v>
      </c>
      <c r="AU369" s="38">
        <f>IF($C369="&lt;01","",SUM($AP369)-SUM($O369))</f>
        <v>0</v>
      </c>
      <c r="AV369" s="38">
        <f>IF($C369="&lt;01",ROUND(INDEX(EID!$N:$N,MATCH($B369,EID!$B:$B,0))/2,0),IF(SUM($AT369)=0,"",ROUND((SUM($AP369)-(SUM($O369)*SUM($AS369)))/$AT369,0)))</f>
        <v>9</v>
      </c>
      <c r="AW369" s="33">
        <f t="shared" si="96"/>
        <v>1</v>
      </c>
      <c r="AX369" s="218">
        <f>IF($C369="&lt;01",SUM($AV369),ROUND(SUM($AV369)*SUM($AW369),0))</f>
        <v>9</v>
      </c>
      <c r="AY369" s="79">
        <f t="shared" si="93"/>
        <v>0.7</v>
      </c>
      <c r="AZ369" s="85">
        <f>IF($C369="&lt;01",ROUND(INDEX(EID!$R:$R,MATCH($B369,EID!$B:$B,0))/2,0),ROUND(SUM($O369)+(SUM($AV369)*$AY369),0))</f>
        <v>97</v>
      </c>
      <c r="BA369" s="40">
        <f t="shared" si="97"/>
        <v>0.9</v>
      </c>
      <c r="BB369" s="99">
        <f>IF($C369="&lt;01",ROUND(INDEX(EID!$T:$T,MATCH($B369,EID!$B:$B,0))/2,0),ROUND($AP369*$BA369,0))</f>
        <v>82</v>
      </c>
      <c r="BC369" s="85">
        <f>IF(LEFT($B369,4)="_Mil","",IF(SUM($BB369)=0,SUM($AD369),IF(OR(SUM($AP369)=0,SUM($AQ369)=0),MAX($BB369,$AD369),ROUND($BB369*$AQ369/$AP369,0))))</f>
        <v>80</v>
      </c>
      <c r="BD369" s="33">
        <f t="shared" si="94"/>
        <v>0.95</v>
      </c>
      <c r="BE369" s="218">
        <f>IF($C369="&lt;01",ROUND(INDEX(EID!$V:$V,MATCH($B369,EID!$B:$B,0))/2,0),ROUND($BD369*$BB369,0))</f>
        <v>78</v>
      </c>
      <c r="BF369" s="218">
        <f>IF(LEFT($B369,4)="_Mil","",IF(SUM($BE369)=0,SUM($AF369),IF(OR(SUM($AP369)=0,SUM($AQ369)=0),MAX($BE369,$AF369),ROUND($BE369*$AQ369/$AP369,0))))</f>
        <v>76</v>
      </c>
      <c r="BG369" s="79">
        <f t="shared" si="95"/>
        <v>0.95</v>
      </c>
      <c r="BH369" s="99">
        <f>IF($C369="&lt;01",ROUND(INDEX(EID!$L:$L,MATCH($B369,EID!$B:$B,0)),0)/2,IF(SUM($BG369)=0,"",ROUND($AX369/$BG369,0)))</f>
        <v>9</v>
      </c>
    </row>
    <row r="370" spans="1:60" x14ac:dyDescent="0.2">
      <c r="A370" t="str">
        <f>INDEX(Prioritization!$D:$D,MATCH($B370,Prioritization!$A:$A,0))</f>
        <v>4 - Sustained</v>
      </c>
      <c r="B370" t="s">
        <v>312</v>
      </c>
      <c r="C370" t="s">
        <v>474</v>
      </c>
      <c r="D370" t="s">
        <v>48</v>
      </c>
      <c r="E370" t="str">
        <f t="shared" si="86"/>
        <v>Rumphi District [lPTyjLi4w3d]|10-14|Male</v>
      </c>
      <c r="F370" s="229">
        <v>90</v>
      </c>
      <c r="G370" s="38">
        <v>20</v>
      </c>
      <c r="H370" s="38">
        <v>2</v>
      </c>
      <c r="I370" s="38">
        <v>90</v>
      </c>
      <c r="J370" s="38">
        <v>108</v>
      </c>
      <c r="K370" s="38">
        <v>71</v>
      </c>
      <c r="L370" s="38">
        <v>13</v>
      </c>
      <c r="M370" s="38">
        <v>11</v>
      </c>
      <c r="N370" s="38">
        <v>101</v>
      </c>
      <c r="O370" s="229">
        <v>90</v>
      </c>
      <c r="P370" s="38">
        <v>85</v>
      </c>
      <c r="Q370" s="38">
        <v>81</v>
      </c>
      <c r="R370" s="38">
        <f t="shared" si="87"/>
        <v>0</v>
      </c>
      <c r="S370" s="38">
        <f>IF(LEFT($B370,4)="_Mil","",_xlfn.IFNA(ROUND(INDEX(Spectrum!$N:$N,MATCH(RIGHT($B370,13)&amp;"|"&amp;$C370&amp;"|"&amp;$D370&amp;"|"&amp;S$14&amp;"|"&amp;"CY2023Q4",Spectrum!$R:$R,0)),0),""))</f>
        <v>90</v>
      </c>
      <c r="T370" s="218">
        <f>IF(LEFT($B370,4)="_Mil","",_xlfn.IFNA(ROUND(INDEX(Spectrum!$N:$N,MATCH(RIGHT($B370,13)&amp;"|"&amp;$C370&amp;"|"&amp;$D370&amp;"|"&amp;T$14&amp;"|"&amp;"CY2024Q3",Spectrum!$R:$R,0)),0),""))</f>
        <v>18490</v>
      </c>
      <c r="U370" s="218">
        <f>IF(LEFT($B370,4)="_Mil","",_xlfn.IFNA(ROUND(INDEX(Spectrum!$N:$N,MATCH(RIGHT($B370,13)&amp;"|"&amp;$C370&amp;"|"&amp;$D370&amp;"|"&amp;U$14&amp;"|"&amp;"CY2024Q3",Spectrum!$R:$R,0)),0),""))</f>
        <v>114</v>
      </c>
      <c r="V370" s="38">
        <f>IF(LEFT($B370,4)="_Mil","",_xlfn.IFNA(ROUND(INDEX(Spectrum!$N:$N,MATCH(RIGHT($B370,13)&amp;"|"&amp;$C370&amp;"|"&amp;$D370&amp;"|"&amp;V$14&amp;"|"&amp;"CY2024Q3",Spectrum!$R:$R,0)),0),""))</f>
        <v>119</v>
      </c>
      <c r="W370" s="220">
        <f>IF(LEFT($B370,4)="_Mil","",_xlfn.IFNA(INDEX(Spectrum!$N:$N,MATCH(RIGHT($B370,13)&amp;"|"&amp;$C370&amp;"|"&amp;$D370&amp;"|"&amp;W$14&amp;"|"&amp;"CY2024Q3",Spectrum!$R:$R,0)),""))</f>
        <v>6.1865430000000001E-3</v>
      </c>
      <c r="X370" s="218">
        <f>IF(LEFT($B370,4)="_Mil","",_xlfn.IFNA(ROUND(INDEX(Spectrum!$N:$N,MATCH(RIGHT($B370,13)&amp;"|"&amp;$C370&amp;"|"&amp;$D370&amp;"|"&amp;X$14&amp;"|"&amp;"CY2024Q3",Spectrum!$R:$R,0)),0),""))</f>
        <v>89</v>
      </c>
      <c r="Y370" s="33">
        <f t="shared" si="88"/>
        <v>0.78</v>
      </c>
      <c r="Z370" s="218">
        <f>IF(LEFT($B370,4)="_Mil","",_xlfn.IFNA(ROUND(INDEX(Spectrum!$N:$N,MATCH(RIGHT($B370,13)&amp;"|"&amp;$C370&amp;"|"&amp;$D370&amp;"|"&amp;Z$14&amp;"|"&amp;"CY2024Q3",Spectrum!$R:$R,0)),0),""))</f>
        <v>89</v>
      </c>
      <c r="AA370" s="33">
        <f>IF(LEFT($B370,4)="_Mil","",IFERROR(1/(1/INDEX(Spectrum!$N:$N,MATCH(RIGHT($B370,13)&amp;"|"&amp;$C370&amp;"|"&amp;$D370&amp;"|"&amp;AA$14&amp;"|"&amp;"CY2024Q3",Spectrum!$R:$R,0))),IF(SUM($U370)=0,"",SUM($Z370)/$U370)))</f>
        <v>0.74479041499999987</v>
      </c>
      <c r="AB370" s="33">
        <f t="shared" si="89"/>
        <v>1</v>
      </c>
      <c r="AC370" s="38">
        <f>IF(LEFT($B370,4)="_Mil","",_xlfn.IFNA(ROUND(INDEX(Spectrum!$N:$N,MATCH(RIGHT($B370,13)&amp;"|"&amp;$C370&amp;"|"&amp;$D370&amp;"|"&amp;AC$14&amp;"|"&amp;"CY2024Q3",Spectrum!$R:$R,0)),0),""))</f>
        <v>30</v>
      </c>
      <c r="AD370" s="38" t="str">
        <f>IF(LEFT($B370,4)="_Mil","",_xlfn.IFNA(ROUND(INDEX(Spectrum!$N:$N,MATCH(RIGHT($B370,13)&amp;"|"&amp;$C370&amp;"|"&amp;$D370&amp;"|"&amp;AD$14&amp;"|"&amp;"CY2024Q3",Spectrum!$R:$R,0)),0),""))</f>
        <v/>
      </c>
      <c r="AE370" s="33">
        <f t="shared" si="90"/>
        <v>0</v>
      </c>
      <c r="AF370" s="218" t="str">
        <f>IF(LEFT($B370,4)="_Mil","",_xlfn.IFNA(ROUND(INDEX(Spectrum!$N:$N,MATCH(RIGHT($B370,13)&amp;"|"&amp;$C370&amp;"|"&amp;$D370&amp;"|"&amp;AF$14&amp;"|"&amp;"CY2024Q3",Spectrum!$R:$R,0)),0),""))</f>
        <v/>
      </c>
      <c r="AG370" s="33" t="str">
        <f t="shared" si="91"/>
        <v/>
      </c>
      <c r="AH370" s="110" t="str">
        <f>IF(LEFT($B370,4)="_Mil","",_xlfn.IFNA(INDEX(Spectrum!$N:$N,MATCH(RIGHT($B370,13)&amp;"|"&amp;$C370&amp;"|"&amp;$D370&amp;"|"&amp;AH$14&amp;"|"&amp;"CY2024Q3",Spectrum!$R:$R,0)),""))</f>
        <v/>
      </c>
      <c r="AI370" s="218">
        <f>IF(LEFT($B370,4)="_Mil","",_xlfn.IFNA(ROUND(INDEX(Spectrum!$N:$N,MATCH(RIGHT($B370,13)&amp;"|"&amp;$C370&amp;"|"&amp;$D370&amp;"|"&amp;AI$14&amp;"|"&amp;"CY2025Q3",Spectrum!$R:$R,0)),0),""))</f>
        <v>0</v>
      </c>
      <c r="AJ370" s="38">
        <f>IF(LEFT($B370,4)="_Mil","",_xlfn.IFNA(ROUND(INDEX(Spectrum!$N:$N,MATCH(RIGHT($B370,13)&amp;"|"&amp;$C370&amp;"|"&amp;$D370&amp;"|"&amp;AJ$14&amp;"|"&amp;"CY2025Q3",Spectrum!$R:$R,0)),0),""))</f>
        <v>102</v>
      </c>
      <c r="AK370" s="218" t="e">
        <f>#REF!</f>
        <v>#REF!</v>
      </c>
      <c r="AL370" s="33">
        <f t="shared" si="92"/>
        <v>0.9</v>
      </c>
      <c r="AM370" s="38" t="e">
        <f>IF(OR(LEFT($B370,4)="_Mil",$C370="&lt;01"),"",ROUND(SUM($AK370)*SUM($AL370),0))</f>
        <v>#REF!</v>
      </c>
      <c r="AN370" s="38" t="str">
        <f>IF($C370="&lt;01",ROUND(INDEX(EID!$P:$P,MATCH($B370,EID!$B:$B,0))/2,0),"")</f>
        <v/>
      </c>
      <c r="AO370" s="38" t="e">
        <f>IF($C370="&lt;01",SUM($AN370),ROUND(SUM($AM370)*SUM($O370)/IF(SUM($Z370)=0,1,$Z370),0))</f>
        <v>#REF!</v>
      </c>
      <c r="AP370" s="218">
        <f>IF(OR($F370="",$C370="&lt;01"),$AO370,ROUND($F370,0))</f>
        <v>90</v>
      </c>
      <c r="AQ370" s="218">
        <f>IF(LEFT($B370,4)="_Mil","",IF(SUM($AP370)=0,SUM($Z370),IF(OR(SUM($Z370)=0,SUM($O370)=0),MAX($AP370,$Z370),ROUND($AP370*$Z370/$O370,0))))</f>
        <v>89</v>
      </c>
      <c r="AR370" s="33" t="e">
        <f>IF(OR(LEFT($B370,4)="_Mil",SUM($AK370)=0),"",SUM($AQ370)/$AK370)</f>
        <v>#REF!</v>
      </c>
      <c r="AS370" s="33">
        <f t="shared" si="99"/>
        <v>0.98</v>
      </c>
      <c r="AT370" s="33">
        <f t="shared" si="98"/>
        <v>0.98</v>
      </c>
      <c r="AU370" s="38">
        <f>IF($C370="&lt;01","",SUM($AP370)-SUM($O370))</f>
        <v>0</v>
      </c>
      <c r="AV370" s="38">
        <f>IF($C370="&lt;01",ROUND(INDEX(EID!$N:$N,MATCH($B370,EID!$B:$B,0))/2,0),IF(SUM($AT370)=0,"",ROUND((SUM($AP370)-(SUM($O370)*SUM($AS370)))/$AT370,0)))</f>
        <v>2</v>
      </c>
      <c r="AW370" s="33">
        <f t="shared" si="96"/>
        <v>1</v>
      </c>
      <c r="AX370" s="218">
        <f>IF($C370="&lt;01",SUM($AV370),ROUND(SUM($AV370)*SUM($AW370),0))</f>
        <v>2</v>
      </c>
      <c r="AY370" s="79">
        <f t="shared" si="93"/>
        <v>0.7</v>
      </c>
      <c r="AZ370" s="85">
        <f>IF($C370="&lt;01",ROUND(INDEX(EID!$R:$R,MATCH($B370,EID!$B:$B,0))/2,0),ROUND(SUM($O370)+(SUM($AV370)*$AY370),0))</f>
        <v>91</v>
      </c>
      <c r="BA370" s="40">
        <f t="shared" si="97"/>
        <v>0.9</v>
      </c>
      <c r="BB370" s="99">
        <f>IF($C370="&lt;01",ROUND(INDEX(EID!$T:$T,MATCH($B370,EID!$B:$B,0))/2,0),ROUND($AP370*$BA370,0))</f>
        <v>81</v>
      </c>
      <c r="BC370" s="85">
        <f>IF(LEFT($B370,4)="_Mil","",IF(SUM($BB370)=0,SUM($AD370),IF(OR(SUM($AP370)=0,SUM($AQ370)=0),MAX($BB370,$AD370),ROUND($BB370*$AQ370/$AP370,0))))</f>
        <v>80</v>
      </c>
      <c r="BD370" s="33">
        <f t="shared" si="94"/>
        <v>0.95</v>
      </c>
      <c r="BE370" s="218">
        <f>IF($C370="&lt;01",ROUND(INDEX(EID!$V:$V,MATCH($B370,EID!$B:$B,0))/2,0),ROUND($BD370*$BB370,0))</f>
        <v>77</v>
      </c>
      <c r="BF370" s="218">
        <f>IF(LEFT($B370,4)="_Mil","",IF(SUM($BE370)=0,SUM($AF370),IF(OR(SUM($AP370)=0,SUM($AQ370)=0),MAX($BE370,$AF370),ROUND($BE370*$AQ370/$AP370,0))))</f>
        <v>76</v>
      </c>
      <c r="BG370" s="79">
        <f t="shared" si="95"/>
        <v>0.95</v>
      </c>
      <c r="BH370" s="99">
        <f>IF($C370="&lt;01",ROUND(INDEX(EID!$L:$L,MATCH($B370,EID!$B:$B,0)),0)/2,IF(SUM($BG370)=0,"",ROUND($AX370/$BG370,0)))</f>
        <v>2</v>
      </c>
    </row>
    <row r="371" spans="1:60" x14ac:dyDescent="0.2">
      <c r="A371" t="str">
        <f>INDEX(Prioritization!$D:$D,MATCH($B371,Prioritization!$A:$A,0))</f>
        <v>4 - Sustained</v>
      </c>
      <c r="B371" t="s">
        <v>312</v>
      </c>
      <c r="C371" t="s">
        <v>475</v>
      </c>
      <c r="D371" t="s">
        <v>30</v>
      </c>
      <c r="E371" t="str">
        <f t="shared" si="86"/>
        <v>Rumphi District [lPTyjLi4w3d]|15-24|Female</v>
      </c>
      <c r="F371" s="229">
        <v>411</v>
      </c>
      <c r="G371" s="38">
        <v>74</v>
      </c>
      <c r="H371" s="38">
        <v>101</v>
      </c>
      <c r="I371" s="38">
        <v>455</v>
      </c>
      <c r="J371" s="38">
        <v>379</v>
      </c>
      <c r="K371" s="38">
        <v>296</v>
      </c>
      <c r="L371" s="38">
        <v>37</v>
      </c>
      <c r="M371" s="38">
        <v>36</v>
      </c>
      <c r="N371" s="38">
        <v>412</v>
      </c>
      <c r="O371" s="229">
        <v>420</v>
      </c>
      <c r="P371" s="38">
        <v>377</v>
      </c>
      <c r="Q371" s="38">
        <v>358</v>
      </c>
      <c r="R371" s="38">
        <f t="shared" si="87"/>
        <v>-35</v>
      </c>
      <c r="S371" s="38">
        <f>IF(LEFT($B371,4)="_Mil","",_xlfn.IFNA(ROUND(INDEX(Spectrum!$N:$N,MATCH(RIGHT($B371,13)&amp;"|"&amp;$C371&amp;"|"&amp;$D371&amp;"|"&amp;S$14&amp;"|"&amp;"CY2023Q4",Spectrum!$R:$R,0)),0),""))</f>
        <v>397</v>
      </c>
      <c r="T371" s="218">
        <f>IF(LEFT($B371,4)="_Mil","",_xlfn.IFNA(ROUND(INDEX(Spectrum!$N:$N,MATCH(RIGHT($B371,13)&amp;"|"&amp;$C371&amp;"|"&amp;$D371&amp;"|"&amp;T$14&amp;"|"&amp;"CY2024Q3",Spectrum!$R:$R,0)),0),""))</f>
        <v>31076</v>
      </c>
      <c r="U371" s="218">
        <f>IF(LEFT($B371,4)="_Mil","",_xlfn.IFNA(ROUND(INDEX(Spectrum!$N:$N,MATCH(RIGHT($B371,13)&amp;"|"&amp;$C371&amp;"|"&amp;$D371&amp;"|"&amp;U$14&amp;"|"&amp;"CY2024Q3",Spectrum!$R:$R,0)),0),""))</f>
        <v>402</v>
      </c>
      <c r="V371" s="38">
        <f>IF(LEFT($B371,4)="_Mil","",_xlfn.IFNA(ROUND(INDEX(Spectrum!$N:$N,MATCH(RIGHT($B371,13)&amp;"|"&amp;$C371&amp;"|"&amp;$D371&amp;"|"&amp;V$14&amp;"|"&amp;"CY2024Q3",Spectrum!$R:$R,0)),0),""))</f>
        <v>420</v>
      </c>
      <c r="W371" s="220">
        <f>IF(LEFT($B371,4)="_Mil","",_xlfn.IFNA(INDEX(Spectrum!$N:$N,MATCH(RIGHT($B371,13)&amp;"|"&amp;$C371&amp;"|"&amp;$D371&amp;"|"&amp;W$14&amp;"|"&amp;"CY2024Q3",Spectrum!$R:$R,0)),""))</f>
        <v>1.2926517E-2</v>
      </c>
      <c r="X371" s="218">
        <f>IF(LEFT($B371,4)="_Mil","",_xlfn.IFNA(ROUND(INDEX(Spectrum!$N:$N,MATCH(RIGHT($B371,13)&amp;"|"&amp;$C371&amp;"|"&amp;$D371&amp;"|"&amp;X$14&amp;"|"&amp;"CY2024Q3",Spectrum!$R:$R,0)),0),""))</f>
        <v>375</v>
      </c>
      <c r="Y371" s="33">
        <f t="shared" si="88"/>
        <v>0.93</v>
      </c>
      <c r="Z371" s="218">
        <f>IF(LEFT($B371,4)="_Mil","",_xlfn.IFNA(ROUND(INDEX(Spectrum!$N:$N,MATCH(RIGHT($B371,13)&amp;"|"&amp;$C371&amp;"|"&amp;$D371&amp;"|"&amp;Z$14&amp;"|"&amp;"CY2024Q3",Spectrum!$R:$R,0)),0),""))</f>
        <v>392</v>
      </c>
      <c r="AA371" s="33">
        <f>IF(LEFT($B371,4)="_Mil","",IFERROR(1/(1/INDEX(Spectrum!$N:$N,MATCH(RIGHT($B371,13)&amp;"|"&amp;$C371&amp;"|"&amp;$D371&amp;"|"&amp;AA$14&amp;"|"&amp;"CY2024Q3",Spectrum!$R:$R,0))),IF(SUM($U371)=0,"",SUM($Z371)/$U371)))</f>
        <v>0.93293244500000017</v>
      </c>
      <c r="AB371" s="33">
        <f t="shared" si="89"/>
        <v>1.0453333333333332</v>
      </c>
      <c r="AC371" s="38">
        <f>IF(LEFT($B371,4)="_Mil","",_xlfn.IFNA(ROUND(INDEX(Spectrum!$N:$N,MATCH(RIGHT($B371,13)&amp;"|"&amp;$C371&amp;"|"&amp;$D371&amp;"|"&amp;AC$14&amp;"|"&amp;"CY2024Q3",Spectrum!$R:$R,0)),0),""))</f>
        <v>28</v>
      </c>
      <c r="AD371" s="38" t="str">
        <f>IF(LEFT($B371,4)="_Mil","",_xlfn.IFNA(ROUND(INDEX(Spectrum!$N:$N,MATCH(RIGHT($B371,13)&amp;"|"&amp;$C371&amp;"|"&amp;$D371&amp;"|"&amp;AD$14&amp;"|"&amp;"CY2024Q3",Spectrum!$R:$R,0)),0),""))</f>
        <v/>
      </c>
      <c r="AE371" s="33">
        <f t="shared" si="90"/>
        <v>0</v>
      </c>
      <c r="AF371" s="218" t="str">
        <f>IF(LEFT($B371,4)="_Mil","",_xlfn.IFNA(ROUND(INDEX(Spectrum!$N:$N,MATCH(RIGHT($B371,13)&amp;"|"&amp;$C371&amp;"|"&amp;$D371&amp;"|"&amp;AF$14&amp;"|"&amp;"CY2024Q3",Spectrum!$R:$R,0)),0),""))</f>
        <v/>
      </c>
      <c r="AG371" s="33" t="str">
        <f t="shared" si="91"/>
        <v/>
      </c>
      <c r="AH371" s="110" t="str">
        <f>IF(LEFT($B371,4)="_Mil","",_xlfn.IFNA(INDEX(Spectrum!$N:$N,MATCH(RIGHT($B371,13)&amp;"|"&amp;$C371&amp;"|"&amp;$D371&amp;"|"&amp;AH$14&amp;"|"&amp;"CY2024Q3",Spectrum!$R:$R,0)),""))</f>
        <v/>
      </c>
      <c r="AI371" s="218">
        <f>IF(LEFT($B371,4)="_Mil","",_xlfn.IFNA(ROUND(INDEX(Spectrum!$N:$N,MATCH(RIGHT($B371,13)&amp;"|"&amp;$C371&amp;"|"&amp;$D371&amp;"|"&amp;AI$14&amp;"|"&amp;"CY2025Q3",Spectrum!$R:$R,0)),0),""))</f>
        <v>25</v>
      </c>
      <c r="AJ371" s="38">
        <f>IF(LEFT($B371,4)="_Mil","",_xlfn.IFNA(ROUND(INDEX(Spectrum!$N:$N,MATCH(RIGHT($B371,13)&amp;"|"&amp;$C371&amp;"|"&amp;$D371&amp;"|"&amp;AJ$14&amp;"|"&amp;"CY2025Q3",Spectrum!$R:$R,0)),0),""))</f>
        <v>393</v>
      </c>
      <c r="AK371" s="218" t="e">
        <f>#REF!</f>
        <v>#REF!</v>
      </c>
      <c r="AL371" s="33">
        <f t="shared" si="92"/>
        <v>0.93293244500000017</v>
      </c>
      <c r="AM371" s="38" t="e">
        <f>IF(OR(LEFT($B371,4)="_Mil",$C371="&lt;01"),"",ROUND(SUM($AK371)*SUM($AL371),0))</f>
        <v>#REF!</v>
      </c>
      <c r="AN371" s="38" t="str">
        <f>IF($C371="&lt;01",ROUND(INDEX(EID!$P:$P,MATCH($B371,EID!$B:$B,0))/2,0),"")</f>
        <v/>
      </c>
      <c r="AO371" s="38" t="e">
        <f>IF($C371="&lt;01",SUM($AN371),ROUND(SUM($AM371)*SUM($O371)/IF(SUM($Z371)=0,1,$Z371),0))</f>
        <v>#REF!</v>
      </c>
      <c r="AP371" s="218">
        <f>IF(OR($F371="",$C371="&lt;01"),$AO371,ROUND($F371,0))</f>
        <v>411</v>
      </c>
      <c r="AQ371" s="218">
        <f>IF(LEFT($B371,4)="_Mil","",IF(SUM($AP371)=0,SUM($Z371),IF(OR(SUM($Z371)=0,SUM($O371)=0),MAX($AP371,$Z371),ROUND($AP371*$Z371/$O371,0))))</f>
        <v>384</v>
      </c>
      <c r="AR371" s="33" t="e">
        <f>IF(OR(LEFT($B371,4)="_Mil",SUM($AK371)=0),"",SUM($AQ371)/$AK371)</f>
        <v>#REF!</v>
      </c>
      <c r="AS371" s="33">
        <f>IF($C371="&lt;01","",86%)</f>
        <v>0.86</v>
      </c>
      <c r="AT371" s="33">
        <f>IF($C371="&lt;01","",90%)</f>
        <v>0.9</v>
      </c>
      <c r="AU371" s="38">
        <f>IF($C371="&lt;01","",SUM($AP371)-SUM($O371))</f>
        <v>-9</v>
      </c>
      <c r="AV371" s="38">
        <f>IF($C371="&lt;01",ROUND(INDEX(EID!$N:$N,MATCH($B371,EID!$B:$B,0))/2,0),IF(SUM($AT371)=0,"",ROUND((SUM($AP371)-(SUM($O371)*SUM($AS371)))/$AT371,0)))</f>
        <v>55</v>
      </c>
      <c r="AW371" s="33">
        <f t="shared" si="96"/>
        <v>1</v>
      </c>
      <c r="AX371" s="218">
        <f>IF($C371="&lt;01",SUM($AV371),ROUND(SUM($AV371)*SUM($AW371),0))</f>
        <v>55</v>
      </c>
      <c r="AY371" s="79">
        <f t="shared" si="93"/>
        <v>0.7</v>
      </c>
      <c r="AZ371" s="85">
        <f>IF($C371="&lt;01",ROUND(INDEX(EID!$R:$R,MATCH($B371,EID!$B:$B,0))/2,0),ROUND(SUM($O371)+(SUM($AV371)*$AY371),0))</f>
        <v>459</v>
      </c>
      <c r="BA371" s="40">
        <f t="shared" si="97"/>
        <v>0.9</v>
      </c>
      <c r="BB371" s="99">
        <f>IF($C371="&lt;01",ROUND(INDEX(EID!$T:$T,MATCH($B371,EID!$B:$B,0))/2,0),ROUND($AP371*$BA371,0))</f>
        <v>370</v>
      </c>
      <c r="BC371" s="85">
        <f>IF(LEFT($B371,4)="_Mil","",IF(SUM($BB371)=0,SUM($AD371),IF(OR(SUM($AP371)=0,SUM($AQ371)=0),MAX($BB371,$AD371),ROUND($BB371*$AQ371/$AP371,0))))</f>
        <v>346</v>
      </c>
      <c r="BD371" s="33">
        <f t="shared" si="94"/>
        <v>0.95</v>
      </c>
      <c r="BE371" s="218">
        <f>IF($C371="&lt;01",ROUND(INDEX(EID!$V:$V,MATCH($B371,EID!$B:$B,0))/2,0),ROUND($BD371*$BB371,0))</f>
        <v>352</v>
      </c>
      <c r="BF371" s="218">
        <f>IF(LEFT($B371,4)="_Mil","",IF(SUM($BE371)=0,SUM($AF371),IF(OR(SUM($AP371)=0,SUM($AQ371)=0),MAX($BE371,$AF371),ROUND($BE371*$AQ371/$AP371,0))))</f>
        <v>329</v>
      </c>
      <c r="BG371" s="79">
        <f t="shared" si="95"/>
        <v>0.95</v>
      </c>
      <c r="BH371" s="99">
        <f>IF($C371="&lt;01",ROUND(INDEX(EID!$L:$L,MATCH($B371,EID!$B:$B,0)),0)/2,IF(SUM($BG371)=0,"",ROUND($AX371/$BG371,0)))</f>
        <v>58</v>
      </c>
    </row>
    <row r="372" spans="1:60" x14ac:dyDescent="0.2">
      <c r="A372" t="str">
        <f>INDEX(Prioritization!$D:$D,MATCH($B372,Prioritization!$A:$A,0))</f>
        <v>4 - Sustained</v>
      </c>
      <c r="B372" t="s">
        <v>312</v>
      </c>
      <c r="C372" t="s">
        <v>475</v>
      </c>
      <c r="D372" t="s">
        <v>48</v>
      </c>
      <c r="E372" t="str">
        <f t="shared" si="86"/>
        <v>Rumphi District [lPTyjLi4w3d]|15-24|Male</v>
      </c>
      <c r="F372" s="229">
        <v>242</v>
      </c>
      <c r="G372" s="38">
        <v>47</v>
      </c>
      <c r="H372" s="38">
        <v>29</v>
      </c>
      <c r="I372" s="38">
        <v>239</v>
      </c>
      <c r="J372" s="38">
        <v>201</v>
      </c>
      <c r="K372" s="38">
        <v>136</v>
      </c>
      <c r="L372" s="38">
        <v>45</v>
      </c>
      <c r="M372" s="38">
        <v>43</v>
      </c>
      <c r="N372" s="38">
        <v>316</v>
      </c>
      <c r="O372" s="229">
        <v>242</v>
      </c>
      <c r="P372" s="38">
        <v>278</v>
      </c>
      <c r="Q372" s="38">
        <v>264</v>
      </c>
      <c r="R372" s="38">
        <f t="shared" si="87"/>
        <v>3</v>
      </c>
      <c r="S372" s="38">
        <f>IF(LEFT($B372,4)="_Mil","",_xlfn.IFNA(ROUND(INDEX(Spectrum!$N:$N,MATCH(RIGHT($B372,13)&amp;"|"&amp;$C372&amp;"|"&amp;$D372&amp;"|"&amp;S$14&amp;"|"&amp;"CY2023Q4",Spectrum!$R:$R,0)),0),""))</f>
        <v>289</v>
      </c>
      <c r="T372" s="218">
        <f>IF(LEFT($B372,4)="_Mil","",_xlfn.IFNA(ROUND(INDEX(Spectrum!$N:$N,MATCH(RIGHT($B372,13)&amp;"|"&amp;$C372&amp;"|"&amp;$D372&amp;"|"&amp;T$14&amp;"|"&amp;"CY2024Q3",Spectrum!$R:$R,0)),0),""))</f>
        <v>30149</v>
      </c>
      <c r="U372" s="218">
        <f>IF(LEFT($B372,4)="_Mil","",_xlfn.IFNA(ROUND(INDEX(Spectrum!$N:$N,MATCH(RIGHT($B372,13)&amp;"|"&amp;$C372&amp;"|"&amp;$D372&amp;"|"&amp;U$14&amp;"|"&amp;"CY2024Q3",Spectrum!$R:$R,0)),0),""))</f>
        <v>310</v>
      </c>
      <c r="V372" s="38">
        <f>IF(LEFT($B372,4)="_Mil","",_xlfn.IFNA(ROUND(INDEX(Spectrum!$N:$N,MATCH(RIGHT($B372,13)&amp;"|"&amp;$C372&amp;"|"&amp;$D372&amp;"|"&amp;V$14&amp;"|"&amp;"CY2024Q3",Spectrum!$R:$R,0)),0),""))</f>
        <v>323</v>
      </c>
      <c r="W372" s="220">
        <f>IF(LEFT($B372,4)="_Mil","",_xlfn.IFNA(INDEX(Spectrum!$N:$N,MATCH(RIGHT($B372,13)&amp;"|"&amp;$C372&amp;"|"&amp;$D372&amp;"|"&amp;W$14&amp;"|"&amp;"CY2024Q3",Spectrum!$R:$R,0)),""))</f>
        <v>1.0293546000000001E-2</v>
      </c>
      <c r="X372" s="218">
        <f>IF(LEFT($B372,4)="_Mil","",_xlfn.IFNA(ROUND(INDEX(Spectrum!$N:$N,MATCH(RIGHT($B372,13)&amp;"|"&amp;$C372&amp;"|"&amp;$D372&amp;"|"&amp;X$14&amp;"|"&amp;"CY2024Q3",Spectrum!$R:$R,0)),0),""))</f>
        <v>281</v>
      </c>
      <c r="Y372" s="33">
        <f t="shared" si="88"/>
        <v>0.91</v>
      </c>
      <c r="Z372" s="218">
        <f>IF(LEFT($B372,4)="_Mil","",_xlfn.IFNA(ROUND(INDEX(Spectrum!$N:$N,MATCH(RIGHT($B372,13)&amp;"|"&amp;$C372&amp;"|"&amp;$D372&amp;"|"&amp;Z$14&amp;"|"&amp;"CY2024Q3",Spectrum!$R:$R,0)),0),""))</f>
        <v>292</v>
      </c>
      <c r="AA372" s="33">
        <f>IF(LEFT($B372,4)="_Mil","",IFERROR(1/(1/INDEX(Spectrum!$N:$N,MATCH(RIGHT($B372,13)&amp;"|"&amp;$C372&amp;"|"&amp;$D372&amp;"|"&amp;AA$14&amp;"|"&amp;"CY2024Q3",Spectrum!$R:$R,0))),IF(SUM($U372)=0,"",SUM($Z372)/$U372)))</f>
        <v>0.903059948</v>
      </c>
      <c r="AB372" s="33">
        <f t="shared" si="89"/>
        <v>1.0391459074733096</v>
      </c>
      <c r="AC372" s="38">
        <f>IF(LEFT($B372,4)="_Mil","",_xlfn.IFNA(ROUND(INDEX(Spectrum!$N:$N,MATCH(RIGHT($B372,13)&amp;"|"&amp;$C372&amp;"|"&amp;$D372&amp;"|"&amp;AC$14&amp;"|"&amp;"CY2024Q3",Spectrum!$R:$R,0)),0),""))</f>
        <v>31</v>
      </c>
      <c r="AD372" s="38" t="str">
        <f>IF(LEFT($B372,4)="_Mil","",_xlfn.IFNA(ROUND(INDEX(Spectrum!$N:$N,MATCH(RIGHT($B372,13)&amp;"|"&amp;$C372&amp;"|"&amp;$D372&amp;"|"&amp;AD$14&amp;"|"&amp;"CY2024Q3",Spectrum!$R:$R,0)),0),""))</f>
        <v/>
      </c>
      <c r="AE372" s="33">
        <f t="shared" si="90"/>
        <v>0</v>
      </c>
      <c r="AF372" s="218" t="str">
        <f>IF(LEFT($B372,4)="_Mil","",_xlfn.IFNA(ROUND(INDEX(Spectrum!$N:$N,MATCH(RIGHT($B372,13)&amp;"|"&amp;$C372&amp;"|"&amp;$D372&amp;"|"&amp;AF$14&amp;"|"&amp;"CY2024Q3",Spectrum!$R:$R,0)),0),""))</f>
        <v/>
      </c>
      <c r="AG372" s="33" t="str">
        <f t="shared" si="91"/>
        <v/>
      </c>
      <c r="AH372" s="110" t="str">
        <f>IF(LEFT($B372,4)="_Mil","",_xlfn.IFNA(INDEX(Spectrum!$N:$N,MATCH(RIGHT($B372,13)&amp;"|"&amp;$C372&amp;"|"&amp;$D372&amp;"|"&amp;AH$14&amp;"|"&amp;"CY2024Q3",Spectrum!$R:$R,0)),""))</f>
        <v/>
      </c>
      <c r="AI372" s="218">
        <f>IF(LEFT($B372,4)="_Mil","",_xlfn.IFNA(ROUND(INDEX(Spectrum!$N:$N,MATCH(RIGHT($B372,13)&amp;"|"&amp;$C372&amp;"|"&amp;$D372&amp;"|"&amp;AI$14&amp;"|"&amp;"CY2025Q3",Spectrum!$R:$R,0)),0),""))</f>
        <v>4</v>
      </c>
      <c r="AJ372" s="38">
        <f>IF(LEFT($B372,4)="_Mil","",_xlfn.IFNA(ROUND(INDEX(Spectrum!$N:$N,MATCH(RIGHT($B372,13)&amp;"|"&amp;$C372&amp;"|"&amp;$D372&amp;"|"&amp;AJ$14&amp;"|"&amp;"CY2025Q3",Spectrum!$R:$R,0)),0),""))</f>
        <v>303</v>
      </c>
      <c r="AK372" s="218" t="e">
        <f>#REF!</f>
        <v>#REF!</v>
      </c>
      <c r="AL372" s="33">
        <f t="shared" si="92"/>
        <v>0.903059948</v>
      </c>
      <c r="AM372" s="38" t="e">
        <f>IF(OR(LEFT($B372,4)="_Mil",$C372="&lt;01"),"",ROUND(SUM($AK372)*SUM($AL372),0))</f>
        <v>#REF!</v>
      </c>
      <c r="AN372" s="38" t="str">
        <f>IF($C372="&lt;01",ROUND(INDEX(EID!$P:$P,MATCH($B372,EID!$B:$B,0))/2,0),"")</f>
        <v/>
      </c>
      <c r="AO372" s="38" t="e">
        <f>IF($C372="&lt;01",SUM($AN372),ROUND(SUM($AM372)*SUM($O372)/IF(SUM($Z372)=0,1,$Z372),0))</f>
        <v>#REF!</v>
      </c>
      <c r="AP372" s="218">
        <f>IF(OR($F372="",$C372="&lt;01"),$AO372,ROUND($F372,0))</f>
        <v>242</v>
      </c>
      <c r="AQ372" s="218">
        <f>IF(LEFT($B372,4)="_Mil","",IF(SUM($AP372)=0,SUM($Z372),IF(OR(SUM($Z372)=0,SUM($O372)=0),MAX($AP372,$Z372),ROUND($AP372*$Z372/$O372,0))))</f>
        <v>292</v>
      </c>
      <c r="AR372" s="33" t="e">
        <f>IF(OR(LEFT($B372,4)="_Mil",SUM($AK372)=0),"",SUM($AQ372)/$AK372)</f>
        <v>#REF!</v>
      </c>
      <c r="AS372" s="33">
        <f>IF($C372="&lt;01","",98%)</f>
        <v>0.98</v>
      </c>
      <c r="AT372" s="33">
        <f t="shared" si="98"/>
        <v>0.98</v>
      </c>
      <c r="AU372" s="38">
        <f>IF($C372="&lt;01","",SUM($AP372)-SUM($O372))</f>
        <v>0</v>
      </c>
      <c r="AV372" s="38">
        <f>IF($C372="&lt;01",ROUND(INDEX(EID!$N:$N,MATCH($B372,EID!$B:$B,0))/2,0),IF(SUM($AT372)=0,"",ROUND((SUM($AP372)-(SUM($O372)*SUM($AS372)))/$AT372,0)))</f>
        <v>5</v>
      </c>
      <c r="AW372" s="33">
        <f t="shared" si="96"/>
        <v>1</v>
      </c>
      <c r="AX372" s="218">
        <f>IF($C372="&lt;01",SUM($AV372),ROUND(SUM($AV372)*SUM($AW372),0))</f>
        <v>5</v>
      </c>
      <c r="AY372" s="79">
        <f t="shared" si="93"/>
        <v>0.7</v>
      </c>
      <c r="AZ372" s="85">
        <f>IF($C372="&lt;01",ROUND(INDEX(EID!$R:$R,MATCH($B372,EID!$B:$B,0))/2,0),ROUND(SUM($O372)+(SUM($AV372)*$AY372),0))</f>
        <v>246</v>
      </c>
      <c r="BA372" s="40">
        <f t="shared" si="97"/>
        <v>0.9</v>
      </c>
      <c r="BB372" s="99">
        <f>IF($C372="&lt;01",ROUND(INDEX(EID!$T:$T,MATCH($B372,EID!$B:$B,0))/2,0),ROUND($AP372*$BA372,0))</f>
        <v>218</v>
      </c>
      <c r="BC372" s="85">
        <f>IF(LEFT($B372,4)="_Mil","",IF(SUM($BB372)=0,SUM($AD372),IF(OR(SUM($AP372)=0,SUM($AQ372)=0),MAX($BB372,$AD372),ROUND($BB372*$AQ372/$AP372,0))))</f>
        <v>263</v>
      </c>
      <c r="BD372" s="33">
        <f t="shared" si="94"/>
        <v>0.95</v>
      </c>
      <c r="BE372" s="218">
        <f>IF($C372="&lt;01",ROUND(INDEX(EID!$V:$V,MATCH($B372,EID!$B:$B,0))/2,0),ROUND($BD372*$BB372,0))</f>
        <v>207</v>
      </c>
      <c r="BF372" s="218">
        <f>IF(LEFT($B372,4)="_Mil","",IF(SUM($BE372)=0,SUM($AF372),IF(OR(SUM($AP372)=0,SUM($AQ372)=0),MAX($BE372,$AF372),ROUND($BE372*$AQ372/$AP372,0))))</f>
        <v>250</v>
      </c>
      <c r="BG372" s="79">
        <f t="shared" si="95"/>
        <v>0.95</v>
      </c>
      <c r="BH372" s="99">
        <f>IF($C372="&lt;01",ROUND(INDEX(EID!$L:$L,MATCH($B372,EID!$B:$B,0)),0)/2,IF(SUM($BG372)=0,"",ROUND($AX372/$BG372,0)))</f>
        <v>5</v>
      </c>
    </row>
    <row r="373" spans="1:60" x14ac:dyDescent="0.2">
      <c r="A373" t="str">
        <f>INDEX(Prioritization!$D:$D,MATCH($B373,Prioritization!$A:$A,0))</f>
        <v>4 - Sustained</v>
      </c>
      <c r="B373" t="s">
        <v>312</v>
      </c>
      <c r="C373" t="s">
        <v>476</v>
      </c>
      <c r="D373" t="s">
        <v>30</v>
      </c>
      <c r="E373" t="str">
        <f t="shared" si="86"/>
        <v>Rumphi District [lPTyjLi4w3d]|25-34|Female</v>
      </c>
      <c r="F373" s="229">
        <v>957</v>
      </c>
      <c r="G373" s="38">
        <v>105</v>
      </c>
      <c r="H373" s="38">
        <v>143</v>
      </c>
      <c r="I373" s="38">
        <v>982</v>
      </c>
      <c r="J373" s="38">
        <v>771</v>
      </c>
      <c r="K373" s="38">
        <v>705</v>
      </c>
      <c r="L373" s="38">
        <v>92</v>
      </c>
      <c r="M373" s="38">
        <v>89</v>
      </c>
      <c r="N373" s="38">
        <v>1014</v>
      </c>
      <c r="O373" s="229">
        <v>1024</v>
      </c>
      <c r="P373" s="38">
        <v>927</v>
      </c>
      <c r="Q373" s="38">
        <v>881</v>
      </c>
      <c r="R373" s="38">
        <f t="shared" si="87"/>
        <v>42</v>
      </c>
      <c r="S373" s="38">
        <f>IF(LEFT($B373,4)="_Mil","",_xlfn.IFNA(ROUND(INDEX(Spectrum!$N:$N,MATCH(RIGHT($B373,13)&amp;"|"&amp;$C373&amp;"|"&amp;$D373&amp;"|"&amp;S$14&amp;"|"&amp;"CY2023Q4",Spectrum!$R:$R,0)),0),""))</f>
        <v>1039</v>
      </c>
      <c r="T373" s="218">
        <f>IF(LEFT($B373,4)="_Mil","",_xlfn.IFNA(ROUND(INDEX(Spectrum!$N:$N,MATCH(RIGHT($B373,13)&amp;"|"&amp;$C373&amp;"|"&amp;$D373&amp;"|"&amp;T$14&amp;"|"&amp;"CY2024Q3",Spectrum!$R:$R,0)),0),""))</f>
        <v>20516</v>
      </c>
      <c r="U373" s="218">
        <f>IF(LEFT($B373,4)="_Mil","",_xlfn.IFNA(ROUND(INDEX(Spectrum!$N:$N,MATCH(RIGHT($B373,13)&amp;"|"&amp;$C373&amp;"|"&amp;$D373&amp;"|"&amp;U$14&amp;"|"&amp;"CY2024Q3",Spectrum!$R:$R,0)),0),""))</f>
        <v>985</v>
      </c>
      <c r="V373" s="38">
        <f>IF(LEFT($B373,4)="_Mil","",_xlfn.IFNA(ROUND(INDEX(Spectrum!$N:$N,MATCH(RIGHT($B373,13)&amp;"|"&amp;$C373&amp;"|"&amp;$D373&amp;"|"&amp;V$14&amp;"|"&amp;"CY2024Q3",Spectrum!$R:$R,0)),0),""))</f>
        <v>1024</v>
      </c>
      <c r="W373" s="220">
        <f>IF(LEFT($B373,4)="_Mil","",_xlfn.IFNA(INDEX(Spectrum!$N:$N,MATCH(RIGHT($B373,13)&amp;"|"&amp;$C373&amp;"|"&amp;$D373&amp;"|"&amp;W$14&amp;"|"&amp;"CY2024Q3",Spectrum!$R:$R,0)),""))</f>
        <v>4.7989641999999999E-2</v>
      </c>
      <c r="X373" s="218">
        <f>IF(LEFT($B373,4)="_Mil","",_xlfn.IFNA(ROUND(INDEX(Spectrum!$N:$N,MATCH(RIGHT($B373,13)&amp;"|"&amp;$C373&amp;"|"&amp;$D373&amp;"|"&amp;X$14&amp;"|"&amp;"CY2024Q3",Spectrum!$R:$R,0)),0),""))</f>
        <v>949</v>
      </c>
      <c r="Y373" s="33">
        <f t="shared" si="88"/>
        <v>0.96</v>
      </c>
      <c r="Z373" s="218">
        <f>IF(LEFT($B373,4)="_Mil","",_xlfn.IFNA(ROUND(INDEX(Spectrum!$N:$N,MATCH(RIGHT($B373,13)&amp;"|"&amp;$C373&amp;"|"&amp;$D373&amp;"|"&amp;Z$14&amp;"|"&amp;"CY2024Q3",Spectrum!$R:$R,0)),0),""))</f>
        <v>987</v>
      </c>
      <c r="AA373" s="33">
        <f>IF(LEFT($B373,4)="_Mil","",IFERROR(1/(1/INDEX(Spectrum!$N:$N,MATCH(RIGHT($B373,13)&amp;"|"&amp;$C373&amp;"|"&amp;$D373&amp;"|"&amp;AA$14&amp;"|"&amp;"CY2024Q3",Spectrum!$R:$R,0))),IF(SUM($U373)=0,"",SUM($Z373)/$U373)))</f>
        <v>0.96423711199999984</v>
      </c>
      <c r="AB373" s="33">
        <f t="shared" si="89"/>
        <v>1.0400421496311907</v>
      </c>
      <c r="AC373" s="38">
        <f>IF(LEFT($B373,4)="_Mil","",_xlfn.IFNA(ROUND(INDEX(Spectrum!$N:$N,MATCH(RIGHT($B373,13)&amp;"|"&amp;$C373&amp;"|"&amp;$D373&amp;"|"&amp;AC$14&amp;"|"&amp;"CY2024Q3",Spectrum!$R:$R,0)),0),""))</f>
        <v>37</v>
      </c>
      <c r="AD373" s="38" t="str">
        <f>IF(LEFT($B373,4)="_Mil","",_xlfn.IFNA(ROUND(INDEX(Spectrum!$N:$N,MATCH(RIGHT($B373,13)&amp;"|"&amp;$C373&amp;"|"&amp;$D373&amp;"|"&amp;AD$14&amp;"|"&amp;"CY2024Q3",Spectrum!$R:$R,0)),0),""))</f>
        <v/>
      </c>
      <c r="AE373" s="33">
        <f t="shared" si="90"/>
        <v>0</v>
      </c>
      <c r="AF373" s="218" t="str">
        <f>IF(LEFT($B373,4)="_Mil","",_xlfn.IFNA(ROUND(INDEX(Spectrum!$N:$N,MATCH(RIGHT($B373,13)&amp;"|"&amp;$C373&amp;"|"&amp;$D373&amp;"|"&amp;AF$14&amp;"|"&amp;"CY2024Q3",Spectrum!$R:$R,0)),0),""))</f>
        <v/>
      </c>
      <c r="AG373" s="33" t="str">
        <f t="shared" si="91"/>
        <v/>
      </c>
      <c r="AH373" s="110" t="str">
        <f>IF(LEFT($B373,4)="_Mil","",_xlfn.IFNA(INDEX(Spectrum!$N:$N,MATCH(RIGHT($B373,13)&amp;"|"&amp;$C373&amp;"|"&amp;$D373&amp;"|"&amp;AH$14&amp;"|"&amp;"CY2024Q3",Spectrum!$R:$R,0)),""))</f>
        <v/>
      </c>
      <c r="AI373" s="218">
        <f>IF(LEFT($B373,4)="_Mil","",_xlfn.IFNA(ROUND(INDEX(Spectrum!$N:$N,MATCH(RIGHT($B373,13)&amp;"|"&amp;$C373&amp;"|"&amp;$D373&amp;"|"&amp;AI$14&amp;"|"&amp;"CY2025Q3",Spectrum!$R:$R,0)),0),""))</f>
        <v>24</v>
      </c>
      <c r="AJ373" s="38">
        <f>IF(LEFT($B373,4)="_Mil","",_xlfn.IFNA(ROUND(INDEX(Spectrum!$N:$N,MATCH(RIGHT($B373,13)&amp;"|"&amp;$C373&amp;"|"&amp;$D373&amp;"|"&amp;AJ$14&amp;"|"&amp;"CY2025Q3",Spectrum!$R:$R,0)),0),""))</f>
        <v>920</v>
      </c>
      <c r="AK373" s="218" t="e">
        <f>#REF!</f>
        <v>#REF!</v>
      </c>
      <c r="AL373" s="33">
        <f t="shared" si="92"/>
        <v>0.96423711199999984</v>
      </c>
      <c r="AM373" s="38" t="e">
        <f>IF(OR(LEFT($B373,4)="_Mil",$C373="&lt;01"),"",ROUND(SUM($AK373)*SUM($AL373),0))</f>
        <v>#REF!</v>
      </c>
      <c r="AN373" s="38" t="str">
        <f>IF($C373="&lt;01",ROUND(INDEX(EID!$P:$P,MATCH($B373,EID!$B:$B,0))/2,0),"")</f>
        <v/>
      </c>
      <c r="AO373" s="38" t="e">
        <f>IF($C373="&lt;01",SUM($AN373),ROUND(SUM($AM373)*SUM($O373)/IF(SUM($Z373)=0,1,$Z373),0))</f>
        <v>#REF!</v>
      </c>
      <c r="AP373" s="218">
        <f>IF(OR($F373="",$C373="&lt;01"),$AO373,ROUND($F373,0))</f>
        <v>957</v>
      </c>
      <c r="AQ373" s="218">
        <f>IF(LEFT($B373,4)="_Mil","",IF(SUM($AP373)=0,SUM($Z373),IF(OR(SUM($Z373)=0,SUM($O373)=0),MAX($AP373,$Z373),ROUND($AP373*$Z373/$O373,0))))</f>
        <v>922</v>
      </c>
      <c r="AR373" s="33" t="e">
        <f>IF(OR(LEFT($B373,4)="_Mil",SUM($AK373)=0),"",SUM($AQ373)/$AK373)</f>
        <v>#REF!</v>
      </c>
      <c r="AS373" s="33">
        <f>IF($C373="&lt;01","",88%)</f>
        <v>0.88</v>
      </c>
      <c r="AT373" s="33">
        <f>IF($C373="&lt;01","",90%)</f>
        <v>0.9</v>
      </c>
      <c r="AU373" s="38">
        <f>IF($C373="&lt;01","",SUM($AP373)-SUM($O373))</f>
        <v>-67</v>
      </c>
      <c r="AV373" s="38">
        <f>IF($C373="&lt;01",ROUND(INDEX(EID!$N:$N,MATCH($B373,EID!$B:$B,0))/2,0),IF(SUM($AT373)=0,"",ROUND((SUM($AP373)-(SUM($O373)*SUM($AS373)))/$AT373,0)))</f>
        <v>62</v>
      </c>
      <c r="AW373" s="33">
        <f t="shared" si="96"/>
        <v>1</v>
      </c>
      <c r="AX373" s="218">
        <f>IF($C373="&lt;01",SUM($AV373),ROUND(SUM($AV373)*SUM($AW373),0))</f>
        <v>62</v>
      </c>
      <c r="AY373" s="79">
        <f t="shared" si="93"/>
        <v>0.7</v>
      </c>
      <c r="AZ373" s="85">
        <f>IF($C373="&lt;01",ROUND(INDEX(EID!$R:$R,MATCH($B373,EID!$B:$B,0))/2,0),ROUND(SUM($O373)+(SUM($AV373)*$AY373),0))</f>
        <v>1067</v>
      </c>
      <c r="BA373" s="40">
        <f t="shared" si="97"/>
        <v>0.9</v>
      </c>
      <c r="BB373" s="99">
        <f>IF($C373="&lt;01",ROUND(INDEX(EID!$T:$T,MATCH($B373,EID!$B:$B,0))/2,0),ROUND($AP373*$BA373,0))</f>
        <v>861</v>
      </c>
      <c r="BC373" s="85">
        <f>IF(LEFT($B373,4)="_Mil","",IF(SUM($BB373)=0,SUM($AD373),IF(OR(SUM($AP373)=0,SUM($AQ373)=0),MAX($BB373,$AD373),ROUND($BB373*$AQ373/$AP373,0))))</f>
        <v>830</v>
      </c>
      <c r="BD373" s="33">
        <f t="shared" si="94"/>
        <v>0.95</v>
      </c>
      <c r="BE373" s="218">
        <f>IF($C373="&lt;01",ROUND(INDEX(EID!$V:$V,MATCH($B373,EID!$B:$B,0))/2,0),ROUND($BD373*$BB373,0))</f>
        <v>818</v>
      </c>
      <c r="BF373" s="218">
        <f>IF(LEFT($B373,4)="_Mil","",IF(SUM($BE373)=0,SUM($AF373),IF(OR(SUM($AP373)=0,SUM($AQ373)=0),MAX($BE373,$AF373),ROUND($BE373*$AQ373/$AP373,0))))</f>
        <v>788</v>
      </c>
      <c r="BG373" s="79">
        <f t="shared" si="95"/>
        <v>0.95</v>
      </c>
      <c r="BH373" s="99">
        <f>IF($C373="&lt;01",ROUND(INDEX(EID!$L:$L,MATCH($B373,EID!$B:$B,0)),0)/2,IF(SUM($BG373)=0,"",ROUND($AX373/$BG373,0)))</f>
        <v>65</v>
      </c>
    </row>
    <row r="374" spans="1:60" x14ac:dyDescent="0.2">
      <c r="A374" t="str">
        <f>INDEX(Prioritization!$D:$D,MATCH($B374,Prioritization!$A:$A,0))</f>
        <v>4 - Sustained</v>
      </c>
      <c r="B374" t="s">
        <v>312</v>
      </c>
      <c r="C374" t="s">
        <v>476</v>
      </c>
      <c r="D374" t="s">
        <v>48</v>
      </c>
      <c r="E374" t="str">
        <f t="shared" si="86"/>
        <v>Rumphi District [lPTyjLi4w3d]|25-34|Male</v>
      </c>
      <c r="F374" s="229">
        <v>339</v>
      </c>
      <c r="G374" s="38">
        <v>65</v>
      </c>
      <c r="H374" s="38">
        <v>79</v>
      </c>
      <c r="I374" s="38">
        <v>339</v>
      </c>
      <c r="J374" s="38">
        <v>250</v>
      </c>
      <c r="K374" s="38">
        <v>220</v>
      </c>
      <c r="L374" s="38">
        <v>15</v>
      </c>
      <c r="M374" s="38">
        <v>14</v>
      </c>
      <c r="N374" s="38">
        <v>424</v>
      </c>
      <c r="O374" s="229">
        <v>339</v>
      </c>
      <c r="P374" s="38">
        <v>379</v>
      </c>
      <c r="Q374" s="38">
        <v>360</v>
      </c>
      <c r="R374" s="38">
        <f t="shared" si="87"/>
        <v>0</v>
      </c>
      <c r="S374" s="38">
        <f>IF(LEFT($B374,4)="_Mil","",_xlfn.IFNA(ROUND(INDEX(Spectrum!$N:$N,MATCH(RIGHT($B374,13)&amp;"|"&amp;$C374&amp;"|"&amp;$D374&amp;"|"&amp;S$14&amp;"|"&amp;"CY2023Q4",Spectrum!$R:$R,0)),0),""))</f>
        <v>382</v>
      </c>
      <c r="T374" s="218">
        <f>IF(LEFT($B374,4)="_Mil","",_xlfn.IFNA(ROUND(INDEX(Spectrum!$N:$N,MATCH(RIGHT($B374,13)&amp;"|"&amp;$C374&amp;"|"&amp;$D374&amp;"|"&amp;T$14&amp;"|"&amp;"CY2024Q3",Spectrum!$R:$R,0)),0),""))</f>
        <v>19303</v>
      </c>
      <c r="U374" s="218">
        <f>IF(LEFT($B374,4)="_Mil","",_xlfn.IFNA(ROUND(INDEX(Spectrum!$N:$N,MATCH(RIGHT($B374,13)&amp;"|"&amp;$C374&amp;"|"&amp;$D374&amp;"|"&amp;U$14&amp;"|"&amp;"CY2024Q3",Spectrum!$R:$R,0)),0),""))</f>
        <v>418</v>
      </c>
      <c r="V374" s="38">
        <f>IF(LEFT($B374,4)="_Mil","",_xlfn.IFNA(ROUND(INDEX(Spectrum!$N:$N,MATCH(RIGHT($B374,13)&amp;"|"&amp;$C374&amp;"|"&amp;$D374&amp;"|"&amp;V$14&amp;"|"&amp;"CY2024Q3",Spectrum!$R:$R,0)),0),""))</f>
        <v>433</v>
      </c>
      <c r="W374" s="220">
        <f>IF(LEFT($B374,4)="_Mil","",_xlfn.IFNA(INDEX(Spectrum!$N:$N,MATCH(RIGHT($B374,13)&amp;"|"&amp;$C374&amp;"|"&amp;$D374&amp;"|"&amp;W$14&amp;"|"&amp;"CY2024Q3",Spectrum!$R:$R,0)),""))</f>
        <v>2.1667559999999999E-2</v>
      </c>
      <c r="X374" s="218">
        <f>IF(LEFT($B374,4)="_Mil","",_xlfn.IFNA(ROUND(INDEX(Spectrum!$N:$N,MATCH(RIGHT($B374,13)&amp;"|"&amp;$C374&amp;"|"&amp;$D374&amp;"|"&amp;X$14&amp;"|"&amp;"CY2024Q3",Spectrum!$R:$R,0)),0),""))</f>
        <v>369</v>
      </c>
      <c r="Y374" s="33">
        <f t="shared" si="88"/>
        <v>0.88</v>
      </c>
      <c r="Z374" s="218">
        <f>IF(LEFT($B374,4)="_Mil","",_xlfn.IFNA(ROUND(INDEX(Spectrum!$N:$N,MATCH(RIGHT($B374,13)&amp;"|"&amp;$C374&amp;"|"&amp;$D374&amp;"|"&amp;Z$14&amp;"|"&amp;"CY2024Q3",Spectrum!$R:$R,0)),0),""))</f>
        <v>380</v>
      </c>
      <c r="AA374" s="33">
        <f>IF(LEFT($B374,4)="_Mil","",IFERROR(1/(1/INDEX(Spectrum!$N:$N,MATCH(RIGHT($B374,13)&amp;"|"&amp;$C374&amp;"|"&amp;$D374&amp;"|"&amp;AA$14&amp;"|"&amp;"CY2024Q3",Spectrum!$R:$R,0))),IF(SUM($U374)=0,"",SUM($Z374)/$U374)))</f>
        <v>0.87441124999999997</v>
      </c>
      <c r="AB374" s="33">
        <f t="shared" si="89"/>
        <v>1.0298102981029811</v>
      </c>
      <c r="AC374" s="38">
        <f>IF(LEFT($B374,4)="_Mil","",_xlfn.IFNA(ROUND(INDEX(Spectrum!$N:$N,MATCH(RIGHT($B374,13)&amp;"|"&amp;$C374&amp;"|"&amp;$D374&amp;"|"&amp;AC$14&amp;"|"&amp;"CY2024Q3",Spectrum!$R:$R,0)),0),""))</f>
        <v>53</v>
      </c>
      <c r="AD374" s="38" t="str">
        <f>IF(LEFT($B374,4)="_Mil","",_xlfn.IFNA(ROUND(INDEX(Spectrum!$N:$N,MATCH(RIGHT($B374,13)&amp;"|"&amp;$C374&amp;"|"&amp;$D374&amp;"|"&amp;AD$14&amp;"|"&amp;"CY2024Q3",Spectrum!$R:$R,0)),0),""))</f>
        <v/>
      </c>
      <c r="AE374" s="33">
        <f t="shared" si="90"/>
        <v>0</v>
      </c>
      <c r="AF374" s="218" t="str">
        <f>IF(LEFT($B374,4)="_Mil","",_xlfn.IFNA(ROUND(INDEX(Spectrum!$N:$N,MATCH(RIGHT($B374,13)&amp;"|"&amp;$C374&amp;"|"&amp;$D374&amp;"|"&amp;AF$14&amp;"|"&amp;"CY2024Q3",Spectrum!$R:$R,0)),0),""))</f>
        <v/>
      </c>
      <c r="AG374" s="33" t="str">
        <f t="shared" si="91"/>
        <v/>
      </c>
      <c r="AH374" s="110" t="str">
        <f>IF(LEFT($B374,4)="_Mil","",_xlfn.IFNA(INDEX(Spectrum!$N:$N,MATCH(RIGHT($B374,13)&amp;"|"&amp;$C374&amp;"|"&amp;$D374&amp;"|"&amp;AH$14&amp;"|"&amp;"CY2024Q3",Spectrum!$R:$R,0)),""))</f>
        <v/>
      </c>
      <c r="AI374" s="218">
        <f>IF(LEFT($B374,4)="_Mil","",_xlfn.IFNA(ROUND(INDEX(Spectrum!$N:$N,MATCH(RIGHT($B374,13)&amp;"|"&amp;$C374&amp;"|"&amp;$D374&amp;"|"&amp;AI$14&amp;"|"&amp;"CY2025Q3",Spectrum!$R:$R,0)),0),""))</f>
        <v>14</v>
      </c>
      <c r="AJ374" s="38">
        <f>IF(LEFT($B374,4)="_Mil","",_xlfn.IFNA(ROUND(INDEX(Spectrum!$N:$N,MATCH(RIGHT($B374,13)&amp;"|"&amp;$C374&amp;"|"&amp;$D374&amp;"|"&amp;AJ$14&amp;"|"&amp;"CY2025Q3",Spectrum!$R:$R,0)),0),""))</f>
        <v>399</v>
      </c>
      <c r="AK374" s="218" t="e">
        <f>#REF!</f>
        <v>#REF!</v>
      </c>
      <c r="AL374" s="33">
        <f t="shared" si="92"/>
        <v>0.9</v>
      </c>
      <c r="AM374" s="38" t="e">
        <f>IF(OR(LEFT($B374,4)="_Mil",$C374="&lt;01"),"",ROUND(SUM($AK374)*SUM($AL374),0))</f>
        <v>#REF!</v>
      </c>
      <c r="AN374" s="38" t="str">
        <f>IF($C374="&lt;01",ROUND(INDEX(EID!$P:$P,MATCH($B374,EID!$B:$B,0))/2,0),"")</f>
        <v/>
      </c>
      <c r="AO374" s="38" t="e">
        <f>IF($C374="&lt;01",SUM($AN374),ROUND(SUM($AM374)*SUM($O374)/IF(SUM($Z374)=0,1,$Z374),0))</f>
        <v>#REF!</v>
      </c>
      <c r="AP374" s="218">
        <f>IF(OR($F374="",$C374="&lt;01"),$AO374,ROUND($F374,0))</f>
        <v>339</v>
      </c>
      <c r="AQ374" s="218">
        <f>IF(LEFT($B374,4)="_Mil","",IF(SUM($AP374)=0,SUM($Z374),IF(OR(SUM($Z374)=0,SUM($O374)=0),MAX($AP374,$Z374),ROUND($AP374*$Z374/$O374,0))))</f>
        <v>380</v>
      </c>
      <c r="AR374" s="33" t="e">
        <f>IF(OR(LEFT($B374,4)="_Mil",SUM($AK374)=0),"",SUM($AQ374)/$AK374)</f>
        <v>#REF!</v>
      </c>
      <c r="AS374" s="33">
        <f t="shared" ref="AS374:AS386" si="100">IF($C374="&lt;01","",98%)</f>
        <v>0.98</v>
      </c>
      <c r="AT374" s="33">
        <f t="shared" si="98"/>
        <v>0.98</v>
      </c>
      <c r="AU374" s="38">
        <f>IF($C374="&lt;01","",SUM($AP374)-SUM($O374))</f>
        <v>0</v>
      </c>
      <c r="AV374" s="38">
        <f>IF($C374="&lt;01",ROUND(INDEX(EID!$N:$N,MATCH($B374,EID!$B:$B,0))/2,0),IF(SUM($AT374)=0,"",ROUND((SUM($AP374)-(SUM($O374)*SUM($AS374)))/$AT374,0)))</f>
        <v>7</v>
      </c>
      <c r="AW374" s="33">
        <f t="shared" si="96"/>
        <v>1</v>
      </c>
      <c r="AX374" s="218">
        <f>IF($C374="&lt;01",SUM($AV374),ROUND(SUM($AV374)*SUM($AW374),0))</f>
        <v>7</v>
      </c>
      <c r="AY374" s="79">
        <f t="shared" si="93"/>
        <v>0.7</v>
      </c>
      <c r="AZ374" s="85">
        <f>IF($C374="&lt;01",ROUND(INDEX(EID!$R:$R,MATCH($B374,EID!$B:$B,0))/2,0),ROUND(SUM($O374)+(SUM($AV374)*$AY374),0))</f>
        <v>344</v>
      </c>
      <c r="BA374" s="40">
        <f t="shared" si="97"/>
        <v>0.9</v>
      </c>
      <c r="BB374" s="99">
        <f>IF($C374="&lt;01",ROUND(INDEX(EID!$T:$T,MATCH($B374,EID!$B:$B,0))/2,0),ROUND($AP374*$BA374,0))</f>
        <v>305</v>
      </c>
      <c r="BC374" s="85">
        <f>IF(LEFT($B374,4)="_Mil","",IF(SUM($BB374)=0,SUM($AD374),IF(OR(SUM($AP374)=0,SUM($AQ374)=0),MAX($BB374,$AD374),ROUND($BB374*$AQ374/$AP374,0))))</f>
        <v>342</v>
      </c>
      <c r="BD374" s="33">
        <f t="shared" si="94"/>
        <v>0.95</v>
      </c>
      <c r="BE374" s="218">
        <f>IF($C374="&lt;01",ROUND(INDEX(EID!$V:$V,MATCH($B374,EID!$B:$B,0))/2,0),ROUND($BD374*$BB374,0))</f>
        <v>290</v>
      </c>
      <c r="BF374" s="218">
        <f>IF(LEFT($B374,4)="_Mil","",IF(SUM($BE374)=0,SUM($AF374),IF(OR(SUM($AP374)=0,SUM($AQ374)=0),MAX($BE374,$AF374),ROUND($BE374*$AQ374/$AP374,0))))</f>
        <v>325</v>
      </c>
      <c r="BG374" s="79">
        <f t="shared" si="95"/>
        <v>0.95</v>
      </c>
      <c r="BH374" s="99">
        <f>IF($C374="&lt;01",ROUND(INDEX(EID!$L:$L,MATCH($B374,EID!$B:$B,0)),0)/2,IF(SUM($BG374)=0,"",ROUND($AX374/$BG374,0)))</f>
        <v>7</v>
      </c>
    </row>
    <row r="375" spans="1:60" x14ac:dyDescent="0.2">
      <c r="A375" t="str">
        <f>INDEX(Prioritization!$D:$D,MATCH($B375,Prioritization!$A:$A,0))</f>
        <v>4 - Sustained</v>
      </c>
      <c r="B375" t="s">
        <v>312</v>
      </c>
      <c r="C375" t="s">
        <v>477</v>
      </c>
      <c r="D375" t="s">
        <v>30</v>
      </c>
      <c r="E375" t="str">
        <f t="shared" si="86"/>
        <v>Rumphi District [lPTyjLi4w3d]|35-49|Female</v>
      </c>
      <c r="F375" s="229">
        <v>2339</v>
      </c>
      <c r="G375" s="38">
        <v>104</v>
      </c>
      <c r="H375" s="38">
        <v>89</v>
      </c>
      <c r="I375" s="38">
        <v>2339</v>
      </c>
      <c r="J375" s="38">
        <v>1938</v>
      </c>
      <c r="K375" s="38">
        <v>1738</v>
      </c>
      <c r="L375" s="38">
        <v>240</v>
      </c>
      <c r="M375" s="38">
        <v>235</v>
      </c>
      <c r="N375" s="38">
        <v>2677</v>
      </c>
      <c r="O375" s="229">
        <v>2339</v>
      </c>
      <c r="P375" s="38">
        <v>2278</v>
      </c>
      <c r="Q375" s="38">
        <v>2164</v>
      </c>
      <c r="R375" s="38">
        <f t="shared" si="87"/>
        <v>0</v>
      </c>
      <c r="S375" s="38">
        <f>IF(LEFT($B375,4)="_Mil","",_xlfn.IFNA(ROUND(INDEX(Spectrum!$N:$N,MATCH(RIGHT($B375,13)&amp;"|"&amp;$C375&amp;"|"&amp;$D375&amp;"|"&amp;S$14&amp;"|"&amp;"CY2023Q4",Spectrum!$R:$R,0)),0),""))</f>
        <v>2647</v>
      </c>
      <c r="T375" s="218">
        <f>IF(LEFT($B375,4)="_Mil","",_xlfn.IFNA(ROUND(INDEX(Spectrum!$N:$N,MATCH(RIGHT($B375,13)&amp;"|"&amp;$C375&amp;"|"&amp;$D375&amp;"|"&amp;T$14&amp;"|"&amp;"CY2024Q3",Spectrum!$R:$R,0)),0),""))</f>
        <v>21003</v>
      </c>
      <c r="U375" s="218">
        <f>IF(LEFT($B375,4)="_Mil","",_xlfn.IFNA(ROUND(INDEX(Spectrum!$N:$N,MATCH(RIGHT($B375,13)&amp;"|"&amp;$C375&amp;"|"&amp;$D375&amp;"|"&amp;U$14&amp;"|"&amp;"CY2024Q3",Spectrum!$R:$R,0)),0),""))</f>
        <v>2582</v>
      </c>
      <c r="V375" s="38">
        <f>IF(LEFT($B375,4)="_Mil","",_xlfn.IFNA(ROUND(INDEX(Spectrum!$N:$N,MATCH(RIGHT($B375,13)&amp;"|"&amp;$C375&amp;"|"&amp;$D375&amp;"|"&amp;V$14&amp;"|"&amp;"CY2024Q3",Spectrum!$R:$R,0)),0),""))</f>
        <v>2695</v>
      </c>
      <c r="W375" s="220">
        <f>IF(LEFT($B375,4)="_Mil","",_xlfn.IFNA(INDEX(Spectrum!$N:$N,MATCH(RIGHT($B375,13)&amp;"|"&amp;$C375&amp;"|"&amp;$D375&amp;"|"&amp;W$14&amp;"|"&amp;"CY2024Q3",Spectrum!$R:$R,0)),""))</f>
        <v>0.122955473</v>
      </c>
      <c r="X375" s="218">
        <f>IF(LEFT($B375,4)="_Mil","",_xlfn.IFNA(ROUND(INDEX(Spectrum!$N:$N,MATCH(RIGHT($B375,13)&amp;"|"&amp;$C375&amp;"|"&amp;$D375&amp;"|"&amp;X$14&amp;"|"&amp;"CY2024Q3",Spectrum!$R:$R,0)),0),""))</f>
        <v>2538</v>
      </c>
      <c r="Y375" s="33">
        <f t="shared" si="88"/>
        <v>0.98</v>
      </c>
      <c r="Z375" s="218">
        <f>IF(LEFT($B375,4)="_Mil","",_xlfn.IFNA(ROUND(INDEX(Spectrum!$N:$N,MATCH(RIGHT($B375,13)&amp;"|"&amp;$C375&amp;"|"&amp;$D375&amp;"|"&amp;Z$14&amp;"|"&amp;"CY2024Q3",Spectrum!$R:$R,0)),0),""))</f>
        <v>2648</v>
      </c>
      <c r="AA375" s="33">
        <f>IF(LEFT($B375,4)="_Mil","",IFERROR(1/(1/INDEX(Spectrum!$N:$N,MATCH(RIGHT($B375,13)&amp;"|"&amp;$C375&amp;"|"&amp;$D375&amp;"|"&amp;AA$14&amp;"|"&amp;"CY2024Q3",Spectrum!$R:$R,0))),IF(SUM($U375)=0,"",SUM($Z375)/$U375)))</f>
        <v>0.98222830700000008</v>
      </c>
      <c r="AB375" s="33">
        <f t="shared" si="89"/>
        <v>1.0433412135539795</v>
      </c>
      <c r="AC375" s="38">
        <f>IF(LEFT($B375,4)="_Mil","",_xlfn.IFNA(ROUND(INDEX(Spectrum!$N:$N,MATCH(RIGHT($B375,13)&amp;"|"&amp;$C375&amp;"|"&amp;$D375&amp;"|"&amp;AC$14&amp;"|"&amp;"CY2024Q3",Spectrum!$R:$R,0)),0),""))</f>
        <v>47</v>
      </c>
      <c r="AD375" s="38" t="str">
        <f>IF(LEFT($B375,4)="_Mil","",_xlfn.IFNA(ROUND(INDEX(Spectrum!$N:$N,MATCH(RIGHT($B375,13)&amp;"|"&amp;$C375&amp;"|"&amp;$D375&amp;"|"&amp;AD$14&amp;"|"&amp;"CY2024Q3",Spectrum!$R:$R,0)),0),""))</f>
        <v/>
      </c>
      <c r="AE375" s="33">
        <f t="shared" si="90"/>
        <v>0</v>
      </c>
      <c r="AF375" s="218" t="str">
        <f>IF(LEFT($B375,4)="_Mil","",_xlfn.IFNA(ROUND(INDEX(Spectrum!$N:$N,MATCH(RIGHT($B375,13)&amp;"|"&amp;$C375&amp;"|"&amp;$D375&amp;"|"&amp;AF$14&amp;"|"&amp;"CY2024Q3",Spectrum!$R:$R,0)),0),""))</f>
        <v/>
      </c>
      <c r="AG375" s="33" t="str">
        <f t="shared" si="91"/>
        <v/>
      </c>
      <c r="AH375" s="110" t="str">
        <f>IF(LEFT($B375,4)="_Mil","",_xlfn.IFNA(INDEX(Spectrum!$N:$N,MATCH(RIGHT($B375,13)&amp;"|"&amp;$C375&amp;"|"&amp;$D375&amp;"|"&amp;AH$14&amp;"|"&amp;"CY2024Q3",Spectrum!$R:$R,0)),""))</f>
        <v/>
      </c>
      <c r="AI375" s="218">
        <f>IF(LEFT($B375,4)="_Mil","",_xlfn.IFNA(ROUND(INDEX(Spectrum!$N:$N,MATCH(RIGHT($B375,13)&amp;"|"&amp;$C375&amp;"|"&amp;$D375&amp;"|"&amp;AI$14&amp;"|"&amp;"CY2025Q3",Spectrum!$R:$R,0)),0),""))</f>
        <v>13</v>
      </c>
      <c r="AJ375" s="38">
        <f>IF(LEFT($B375,4)="_Mil","",_xlfn.IFNA(ROUND(INDEX(Spectrum!$N:$N,MATCH(RIGHT($B375,13)&amp;"|"&amp;$C375&amp;"|"&amp;$D375&amp;"|"&amp;AJ$14&amp;"|"&amp;"CY2025Q3",Spectrum!$R:$R,0)),0),""))</f>
        <v>2572</v>
      </c>
      <c r="AK375" s="218" t="e">
        <f>#REF!</f>
        <v>#REF!</v>
      </c>
      <c r="AL375" s="33">
        <f t="shared" si="92"/>
        <v>0.98222830700000008</v>
      </c>
      <c r="AM375" s="38" t="e">
        <f>IF(OR(LEFT($B375,4)="_Mil",$C375="&lt;01"),"",ROUND(SUM($AK375)*SUM($AL375),0))</f>
        <v>#REF!</v>
      </c>
      <c r="AN375" s="38" t="str">
        <f>IF($C375="&lt;01",ROUND(INDEX(EID!$P:$P,MATCH($B375,EID!$B:$B,0))/2,0),"")</f>
        <v/>
      </c>
      <c r="AO375" s="38" t="e">
        <f>IF($C375="&lt;01",SUM($AN375),ROUND(SUM($AM375)*SUM($O375)/IF(SUM($Z375)=0,1,$Z375),0))</f>
        <v>#REF!</v>
      </c>
      <c r="AP375" s="218">
        <f>IF(OR($F375="",$C375="&lt;01"),$AO375,ROUND($F375,0))</f>
        <v>2339</v>
      </c>
      <c r="AQ375" s="218">
        <f>IF(LEFT($B375,4)="_Mil","",IF(SUM($AP375)=0,SUM($Z375),IF(OR(SUM($Z375)=0,SUM($O375)=0),MAX($AP375,$Z375),ROUND($AP375*$Z375/$O375,0))))</f>
        <v>2648</v>
      </c>
      <c r="AR375" s="33" t="e">
        <f>IF(OR(LEFT($B375,4)="_Mil",SUM($AK375)=0),"",SUM($AQ375)/$AK375)</f>
        <v>#REF!</v>
      </c>
      <c r="AS375" s="33">
        <f t="shared" si="100"/>
        <v>0.98</v>
      </c>
      <c r="AT375" s="33">
        <f t="shared" si="98"/>
        <v>0.98</v>
      </c>
      <c r="AU375" s="38">
        <f>IF($C375="&lt;01","",SUM($AP375)-SUM($O375))</f>
        <v>0</v>
      </c>
      <c r="AV375" s="38">
        <f>IF($C375="&lt;01",ROUND(INDEX(EID!$N:$N,MATCH($B375,EID!$B:$B,0))/2,0),IF(SUM($AT375)=0,"",ROUND((SUM($AP375)-(SUM($O375)*SUM($AS375)))/$AT375,0)))</f>
        <v>48</v>
      </c>
      <c r="AW375" s="33">
        <f t="shared" si="96"/>
        <v>1</v>
      </c>
      <c r="AX375" s="218">
        <f>IF($C375="&lt;01",SUM($AV375),ROUND(SUM($AV375)*SUM($AW375),0))</f>
        <v>48</v>
      </c>
      <c r="AY375" s="79">
        <f t="shared" si="93"/>
        <v>0.7</v>
      </c>
      <c r="AZ375" s="85">
        <f>IF($C375="&lt;01",ROUND(INDEX(EID!$R:$R,MATCH($B375,EID!$B:$B,0))/2,0),ROUND(SUM($O375)+(SUM($AV375)*$AY375),0))</f>
        <v>2373</v>
      </c>
      <c r="BA375" s="40">
        <f t="shared" si="97"/>
        <v>0.9</v>
      </c>
      <c r="BB375" s="99">
        <f>IF($C375="&lt;01",ROUND(INDEX(EID!$T:$T,MATCH($B375,EID!$B:$B,0))/2,0),ROUND($AP375*$BA375,0))</f>
        <v>2105</v>
      </c>
      <c r="BC375" s="85">
        <f>IF(LEFT($B375,4)="_Mil","",IF(SUM($BB375)=0,SUM($AD375),IF(OR(SUM($AP375)=0,SUM($AQ375)=0),MAX($BB375,$AD375),ROUND($BB375*$AQ375/$AP375,0))))</f>
        <v>2383</v>
      </c>
      <c r="BD375" s="33">
        <f t="shared" si="94"/>
        <v>0.95</v>
      </c>
      <c r="BE375" s="218">
        <f>IF($C375="&lt;01",ROUND(INDEX(EID!$V:$V,MATCH($B375,EID!$B:$B,0))/2,0),ROUND($BD375*$BB375,0))</f>
        <v>2000</v>
      </c>
      <c r="BF375" s="218">
        <f>IF(LEFT($B375,4)="_Mil","",IF(SUM($BE375)=0,SUM($AF375),IF(OR(SUM($AP375)=0,SUM($AQ375)=0),MAX($BE375,$AF375),ROUND($BE375*$AQ375/$AP375,0))))</f>
        <v>2264</v>
      </c>
      <c r="BG375" s="79">
        <f t="shared" si="95"/>
        <v>0.95</v>
      </c>
      <c r="BH375" s="99">
        <f>IF($C375="&lt;01",ROUND(INDEX(EID!$L:$L,MATCH($B375,EID!$B:$B,0)),0)/2,IF(SUM($BG375)=0,"",ROUND($AX375/$BG375,0)))</f>
        <v>51</v>
      </c>
    </row>
    <row r="376" spans="1:60" x14ac:dyDescent="0.2">
      <c r="A376" t="str">
        <f>INDEX(Prioritization!$D:$D,MATCH($B376,Prioritization!$A:$A,0))</f>
        <v>4 - Sustained</v>
      </c>
      <c r="B376" t="s">
        <v>312</v>
      </c>
      <c r="C376" t="s">
        <v>477</v>
      </c>
      <c r="D376" t="s">
        <v>48</v>
      </c>
      <c r="E376" t="str">
        <f t="shared" si="86"/>
        <v>Rumphi District [lPTyjLi4w3d]|35-49|Male</v>
      </c>
      <c r="F376" s="229">
        <v>1558</v>
      </c>
      <c r="G376" s="38">
        <v>96</v>
      </c>
      <c r="H376" s="38">
        <v>128</v>
      </c>
      <c r="I376" s="38">
        <v>1446</v>
      </c>
      <c r="J376" s="38">
        <v>1155</v>
      </c>
      <c r="K376" s="38">
        <v>991</v>
      </c>
      <c r="L376" s="38">
        <v>80</v>
      </c>
      <c r="M376" s="38">
        <v>76</v>
      </c>
      <c r="N376" s="38">
        <v>1670</v>
      </c>
      <c r="O376" s="229">
        <v>1502</v>
      </c>
      <c r="P376" s="38">
        <v>1469</v>
      </c>
      <c r="Q376" s="38">
        <v>1396</v>
      </c>
      <c r="R376" s="38">
        <f t="shared" si="87"/>
        <v>56</v>
      </c>
      <c r="S376" s="38">
        <f>IF(LEFT($B376,4)="_Mil","",_xlfn.IFNA(ROUND(INDEX(Spectrum!$N:$N,MATCH(RIGHT($B376,13)&amp;"|"&amp;$C376&amp;"|"&amp;$D376&amp;"|"&amp;S$14&amp;"|"&amp;"CY2023Q4",Spectrum!$R:$R,0)),0),""))</f>
        <v>1599</v>
      </c>
      <c r="T376" s="218">
        <f>IF(LEFT($B376,4)="_Mil","",_xlfn.IFNA(ROUND(INDEX(Spectrum!$N:$N,MATCH(RIGHT($B376,13)&amp;"|"&amp;$C376&amp;"|"&amp;$D376&amp;"|"&amp;T$14&amp;"|"&amp;"CY2024Q3",Spectrum!$R:$R,0)),0),""))</f>
        <v>19383</v>
      </c>
      <c r="U376" s="218">
        <f>IF(LEFT($B376,4)="_Mil","",_xlfn.IFNA(ROUND(INDEX(Spectrum!$N:$N,MATCH(RIGHT($B376,13)&amp;"|"&amp;$C376&amp;"|"&amp;$D376&amp;"|"&amp;U$14&amp;"|"&amp;"CY2024Q3",Spectrum!$R:$R,0)),0),""))</f>
        <v>1669</v>
      </c>
      <c r="V376" s="38">
        <f>IF(LEFT($B376,4)="_Mil","",_xlfn.IFNA(ROUND(INDEX(Spectrum!$N:$N,MATCH(RIGHT($B376,13)&amp;"|"&amp;$C376&amp;"|"&amp;$D376&amp;"|"&amp;V$14&amp;"|"&amp;"CY2024Q3",Spectrum!$R:$R,0)),0),""))</f>
        <v>1705</v>
      </c>
      <c r="W376" s="220">
        <f>IF(LEFT($B376,4)="_Mil","",_xlfn.IFNA(INDEX(Spectrum!$N:$N,MATCH(RIGHT($B376,13)&amp;"|"&amp;$C376&amp;"|"&amp;$D376&amp;"|"&amp;W$14&amp;"|"&amp;"CY2024Q3",Spectrum!$R:$R,0)),""))</f>
        <v>8.6110010000000001E-2</v>
      </c>
      <c r="X376" s="218">
        <f>IF(LEFT($B376,4)="_Mil","",_xlfn.IFNA(ROUND(INDEX(Spectrum!$N:$N,MATCH(RIGHT($B376,13)&amp;"|"&amp;$C376&amp;"|"&amp;$D376&amp;"|"&amp;X$14&amp;"|"&amp;"CY2024Q3",Spectrum!$R:$R,0)),0),""))</f>
        <v>1548</v>
      </c>
      <c r="Y376" s="33">
        <f t="shared" si="88"/>
        <v>0.93</v>
      </c>
      <c r="Z376" s="218">
        <f>IF(LEFT($B376,4)="_Mil","",_xlfn.IFNA(ROUND(INDEX(Spectrum!$N:$N,MATCH(RIGHT($B376,13)&amp;"|"&amp;$C376&amp;"|"&amp;$D376&amp;"|"&amp;Z$14&amp;"|"&amp;"CY2024Q3",Spectrum!$R:$R,0)),0),""))</f>
        <v>1579</v>
      </c>
      <c r="AA376" s="33">
        <f>IF(LEFT($B376,4)="_Mil","",IFERROR(1/(1/INDEX(Spectrum!$N:$N,MATCH(RIGHT($B376,13)&amp;"|"&amp;$C376&amp;"|"&amp;$D376&amp;"|"&amp;AA$14&amp;"|"&amp;"CY2024Q3",Spectrum!$R:$R,0))),IF(SUM($U376)=0,"",SUM($Z376)/$U376)))</f>
        <v>0.92321659099999998</v>
      </c>
      <c r="AB376" s="33">
        <f t="shared" si="89"/>
        <v>1.0200258397932818</v>
      </c>
      <c r="AC376" s="38">
        <f>IF(LEFT($B376,4)="_Mil","",_xlfn.IFNA(ROUND(INDEX(Spectrum!$N:$N,MATCH(RIGHT($B376,13)&amp;"|"&amp;$C376&amp;"|"&amp;$D376&amp;"|"&amp;AC$14&amp;"|"&amp;"CY2024Q3",Spectrum!$R:$R,0)),0),""))</f>
        <v>126</v>
      </c>
      <c r="AD376" s="38" t="str">
        <f>IF(LEFT($B376,4)="_Mil","",_xlfn.IFNA(ROUND(INDEX(Spectrum!$N:$N,MATCH(RIGHT($B376,13)&amp;"|"&amp;$C376&amp;"|"&amp;$D376&amp;"|"&amp;AD$14&amp;"|"&amp;"CY2024Q3",Spectrum!$R:$R,0)),0),""))</f>
        <v/>
      </c>
      <c r="AE376" s="33">
        <f t="shared" si="90"/>
        <v>0</v>
      </c>
      <c r="AF376" s="218" t="str">
        <f>IF(LEFT($B376,4)="_Mil","",_xlfn.IFNA(ROUND(INDEX(Spectrum!$N:$N,MATCH(RIGHT($B376,13)&amp;"|"&amp;$C376&amp;"|"&amp;$D376&amp;"|"&amp;AF$14&amp;"|"&amp;"CY2024Q3",Spectrum!$R:$R,0)),0),""))</f>
        <v/>
      </c>
      <c r="AG376" s="33" t="str">
        <f t="shared" si="91"/>
        <v/>
      </c>
      <c r="AH376" s="110" t="str">
        <f>IF(LEFT($B376,4)="_Mil","",_xlfn.IFNA(INDEX(Spectrum!$N:$N,MATCH(RIGHT($B376,13)&amp;"|"&amp;$C376&amp;"|"&amp;$D376&amp;"|"&amp;AH$14&amp;"|"&amp;"CY2024Q3",Spectrum!$R:$R,0)),""))</f>
        <v/>
      </c>
      <c r="AI376" s="218">
        <f>IF(LEFT($B376,4)="_Mil","",_xlfn.IFNA(ROUND(INDEX(Spectrum!$N:$N,MATCH(RIGHT($B376,13)&amp;"|"&amp;$C376&amp;"|"&amp;$D376&amp;"|"&amp;AI$14&amp;"|"&amp;"CY2025Q3",Spectrum!$R:$R,0)),0),""))</f>
        <v>15</v>
      </c>
      <c r="AJ376" s="38">
        <f>IF(LEFT($B376,4)="_Mil","",_xlfn.IFNA(ROUND(INDEX(Spectrum!$N:$N,MATCH(RIGHT($B376,13)&amp;"|"&amp;$C376&amp;"|"&amp;$D376&amp;"|"&amp;AJ$14&amp;"|"&amp;"CY2025Q3",Spectrum!$R:$R,0)),0),""))</f>
        <v>1585</v>
      </c>
      <c r="AK376" s="218" t="e">
        <f>#REF!</f>
        <v>#REF!</v>
      </c>
      <c r="AL376" s="33">
        <f t="shared" si="92"/>
        <v>0.92321659099999998</v>
      </c>
      <c r="AM376" s="38" t="e">
        <f>IF(OR(LEFT($B376,4)="_Mil",$C376="&lt;01"),"",ROUND(SUM($AK376)*SUM($AL376),0))</f>
        <v>#REF!</v>
      </c>
      <c r="AN376" s="38" t="str">
        <f>IF($C376="&lt;01",ROUND(INDEX(EID!$P:$P,MATCH($B376,EID!$B:$B,0))/2,0),"")</f>
        <v/>
      </c>
      <c r="AO376" s="38" t="e">
        <f>IF($C376="&lt;01",SUM($AN376),ROUND(SUM($AM376)*SUM($O376)/IF(SUM($Z376)=0,1,$Z376),0))</f>
        <v>#REF!</v>
      </c>
      <c r="AP376" s="218">
        <f>IF(OR($F376="",$C376="&lt;01"),$AO376,ROUND($F376,0))</f>
        <v>1558</v>
      </c>
      <c r="AQ376" s="218">
        <f>IF(LEFT($B376,4)="_Mil","",IF(SUM($AP376)=0,SUM($Z376),IF(OR(SUM($Z376)=0,SUM($O376)=0),MAX($AP376,$Z376),ROUND($AP376*$Z376/$O376,0))))</f>
        <v>1638</v>
      </c>
      <c r="AR376" s="33" t="e">
        <f>IF(OR(LEFT($B376,4)="_Mil",SUM($AK376)=0),"",SUM($AQ376)/$AK376)</f>
        <v>#REF!</v>
      </c>
      <c r="AS376" s="33">
        <f t="shared" si="100"/>
        <v>0.98</v>
      </c>
      <c r="AT376" s="33">
        <f t="shared" si="98"/>
        <v>0.98</v>
      </c>
      <c r="AU376" s="38">
        <f>IF($C376="&lt;01","",SUM($AP376)-SUM($O376))</f>
        <v>56</v>
      </c>
      <c r="AV376" s="38">
        <f>IF($C376="&lt;01",ROUND(INDEX(EID!$N:$N,MATCH($B376,EID!$B:$B,0))/2,0),IF(SUM($AT376)=0,"",ROUND((SUM($AP376)-(SUM($O376)*SUM($AS376)))/$AT376,0)))</f>
        <v>88</v>
      </c>
      <c r="AW376" s="33">
        <f t="shared" si="96"/>
        <v>1</v>
      </c>
      <c r="AX376" s="218">
        <f>IF($C376="&lt;01",SUM($AV376),ROUND(SUM($AV376)*SUM($AW376),0))</f>
        <v>88</v>
      </c>
      <c r="AY376" s="79">
        <f t="shared" si="93"/>
        <v>0.7</v>
      </c>
      <c r="AZ376" s="85">
        <f>IF($C376="&lt;01",ROUND(INDEX(EID!$R:$R,MATCH($B376,EID!$B:$B,0))/2,0),ROUND(SUM($O376)+(SUM($AV376)*$AY376),0))</f>
        <v>1564</v>
      </c>
      <c r="BA376" s="40">
        <f t="shared" si="97"/>
        <v>0.9</v>
      </c>
      <c r="BB376" s="99">
        <f>IF($C376="&lt;01",ROUND(INDEX(EID!$T:$T,MATCH($B376,EID!$B:$B,0))/2,0),ROUND($AP376*$BA376,0))</f>
        <v>1402</v>
      </c>
      <c r="BC376" s="85">
        <f>IF(LEFT($B376,4)="_Mil","",IF(SUM($BB376)=0,SUM($AD376),IF(OR(SUM($AP376)=0,SUM($AQ376)=0),MAX($BB376,$AD376),ROUND($BB376*$AQ376/$AP376,0))))</f>
        <v>1474</v>
      </c>
      <c r="BD376" s="33">
        <f t="shared" si="94"/>
        <v>0.95</v>
      </c>
      <c r="BE376" s="218">
        <f>IF($C376="&lt;01",ROUND(INDEX(EID!$V:$V,MATCH($B376,EID!$B:$B,0))/2,0),ROUND($BD376*$BB376,0))</f>
        <v>1332</v>
      </c>
      <c r="BF376" s="218">
        <f>IF(LEFT($B376,4)="_Mil","",IF(SUM($BE376)=0,SUM($AF376),IF(OR(SUM($AP376)=0,SUM($AQ376)=0),MAX($BE376,$AF376),ROUND($BE376*$AQ376/$AP376,0))))</f>
        <v>1400</v>
      </c>
      <c r="BG376" s="79">
        <f t="shared" si="95"/>
        <v>0.95</v>
      </c>
      <c r="BH376" s="99">
        <f>IF($C376="&lt;01",ROUND(INDEX(EID!$L:$L,MATCH($B376,EID!$B:$B,0)),0)/2,IF(SUM($BG376)=0,"",ROUND($AX376/$BG376,0)))</f>
        <v>93</v>
      </c>
    </row>
    <row r="377" spans="1:60" x14ac:dyDescent="0.2">
      <c r="A377" t="str">
        <f>INDEX(Prioritization!$D:$D,MATCH($B377,Prioritization!$A:$A,0))</f>
        <v>4 - Sustained</v>
      </c>
      <c r="B377" t="s">
        <v>312</v>
      </c>
      <c r="C377" t="s">
        <v>478</v>
      </c>
      <c r="D377" t="s">
        <v>30</v>
      </c>
      <c r="E377" t="str">
        <f t="shared" si="86"/>
        <v>Rumphi District [lPTyjLi4w3d]|50+|Female</v>
      </c>
      <c r="F377" s="229">
        <v>1396</v>
      </c>
      <c r="G377" s="38">
        <v>29</v>
      </c>
      <c r="H377" s="38">
        <v>24</v>
      </c>
      <c r="I377" s="38">
        <v>1450</v>
      </c>
      <c r="J377" s="38">
        <v>1152</v>
      </c>
      <c r="K377" s="38">
        <v>1000</v>
      </c>
      <c r="L377" s="38">
        <v>43</v>
      </c>
      <c r="M377" s="38">
        <v>42</v>
      </c>
      <c r="N377" s="38">
        <v>1223</v>
      </c>
      <c r="O377" s="229">
        <v>1292</v>
      </c>
      <c r="P377" s="38">
        <v>1085</v>
      </c>
      <c r="Q377" s="38">
        <v>1031</v>
      </c>
      <c r="R377" s="38">
        <f t="shared" si="87"/>
        <v>-158</v>
      </c>
      <c r="S377" s="38">
        <f>IF(LEFT($B377,4)="_Mil","",_xlfn.IFNA(ROUND(INDEX(Spectrum!$N:$N,MATCH(RIGHT($B377,13)&amp;"|"&amp;$C377&amp;"|"&amp;$D377&amp;"|"&amp;S$14&amp;"|"&amp;"CY2023Q4",Spectrum!$R:$R,0)),0),""))</f>
        <v>1202</v>
      </c>
      <c r="T377" s="218">
        <f>IF(LEFT($B377,4)="_Mil","",_xlfn.IFNA(ROUND(INDEX(Spectrum!$N:$N,MATCH(RIGHT($B377,13)&amp;"|"&amp;$C377&amp;"|"&amp;$D377&amp;"|"&amp;T$14&amp;"|"&amp;"CY2024Q3",Spectrum!$R:$R,0)),0),""))</f>
        <v>12245</v>
      </c>
      <c r="U377" s="218">
        <f>IF(LEFT($B377,4)="_Mil","",_xlfn.IFNA(ROUND(INDEX(Spectrum!$N:$N,MATCH(RIGHT($B377,13)&amp;"|"&amp;$C377&amp;"|"&amp;$D377&amp;"|"&amp;U$14&amp;"|"&amp;"CY2024Q3",Spectrum!$R:$R,0)),0),""))</f>
        <v>1243</v>
      </c>
      <c r="V377" s="38">
        <f>IF(LEFT($B377,4)="_Mil","",_xlfn.IFNA(ROUND(INDEX(Spectrum!$N:$N,MATCH(RIGHT($B377,13)&amp;"|"&amp;$C377&amp;"|"&amp;$D377&amp;"|"&amp;V$14&amp;"|"&amp;"CY2024Q3",Spectrum!$R:$R,0)),0),""))</f>
        <v>1292</v>
      </c>
      <c r="W377" s="220">
        <f>IF(LEFT($B377,4)="_Mil","",_xlfn.IFNA(INDEX(Spectrum!$N:$N,MATCH(RIGHT($B377,13)&amp;"|"&amp;$C377&amp;"|"&amp;$D377&amp;"|"&amp;W$14&amp;"|"&amp;"CY2024Q3",Spectrum!$R:$R,0)),""))</f>
        <v>0.101483992</v>
      </c>
      <c r="X377" s="218">
        <f>IF(LEFT($B377,4)="_Mil","",_xlfn.IFNA(ROUND(INDEX(Spectrum!$N:$N,MATCH(RIGHT($B377,13)&amp;"|"&amp;$C377&amp;"|"&amp;$D377&amp;"|"&amp;X$14&amp;"|"&amp;"CY2024Q3",Spectrum!$R:$R,0)),0),""))</f>
        <v>1230</v>
      </c>
      <c r="Y377" s="33">
        <f t="shared" si="88"/>
        <v>0.99</v>
      </c>
      <c r="Z377" s="218">
        <f>IF(LEFT($B377,4)="_Mil","",_xlfn.IFNA(ROUND(INDEX(Spectrum!$N:$N,MATCH(RIGHT($B377,13)&amp;"|"&amp;$C377&amp;"|"&amp;$D377&amp;"|"&amp;Z$14&amp;"|"&amp;"CY2024Q3",Spectrum!$R:$R,0)),0),""))</f>
        <v>1275</v>
      </c>
      <c r="AA377" s="33">
        <f>IF(LEFT($B377,4)="_Mil","",IFERROR(1/(1/INDEX(Spectrum!$N:$N,MATCH(RIGHT($B377,13)&amp;"|"&amp;$C377&amp;"|"&amp;$D377&amp;"|"&amp;AA$14&amp;"|"&amp;"CY2024Q3",Spectrum!$R:$R,0))),IF(SUM($U377)=0,"",SUM($Z377)/$U377)))</f>
        <v>0.98776393200000001</v>
      </c>
      <c r="AB377" s="33">
        <f t="shared" si="89"/>
        <v>1.0365853658536586</v>
      </c>
      <c r="AC377" s="38">
        <f>IF(LEFT($B377,4)="_Mil","",_xlfn.IFNA(ROUND(INDEX(Spectrum!$N:$N,MATCH(RIGHT($B377,13)&amp;"|"&amp;$C377&amp;"|"&amp;$D377&amp;"|"&amp;AC$14&amp;"|"&amp;"CY2024Q3",Spectrum!$R:$R,0)),0),""))</f>
        <v>16</v>
      </c>
      <c r="AD377" s="38" t="str">
        <f>IF(LEFT($B377,4)="_Mil","",_xlfn.IFNA(ROUND(INDEX(Spectrum!$N:$N,MATCH(RIGHT($B377,13)&amp;"|"&amp;$C377&amp;"|"&amp;$D377&amp;"|"&amp;AD$14&amp;"|"&amp;"CY2024Q3",Spectrum!$R:$R,0)),0),""))</f>
        <v/>
      </c>
      <c r="AE377" s="33">
        <f t="shared" si="90"/>
        <v>0</v>
      </c>
      <c r="AF377" s="218" t="str">
        <f>IF(LEFT($B377,4)="_Mil","",_xlfn.IFNA(ROUND(INDEX(Spectrum!$N:$N,MATCH(RIGHT($B377,13)&amp;"|"&amp;$C377&amp;"|"&amp;$D377&amp;"|"&amp;AF$14&amp;"|"&amp;"CY2024Q3",Spectrum!$R:$R,0)),0),""))</f>
        <v/>
      </c>
      <c r="AG377" s="33" t="str">
        <f t="shared" si="91"/>
        <v/>
      </c>
      <c r="AH377" s="110" t="str">
        <f>IF(LEFT($B377,4)="_Mil","",_xlfn.IFNA(INDEX(Spectrum!$N:$N,MATCH(RIGHT($B377,13)&amp;"|"&amp;$C377&amp;"|"&amp;$D377&amp;"|"&amp;AH$14&amp;"|"&amp;"CY2024Q3",Spectrum!$R:$R,0)),""))</f>
        <v/>
      </c>
      <c r="AI377" s="218">
        <f>IF(LEFT($B377,4)="_Mil","",_xlfn.IFNA(ROUND(INDEX(Spectrum!$N:$N,MATCH(RIGHT($B377,13)&amp;"|"&amp;$C377&amp;"|"&amp;$D377&amp;"|"&amp;AI$14&amp;"|"&amp;"CY2025Q3",Spectrum!$R:$R,0)),0),""))</f>
        <v>2</v>
      </c>
      <c r="AJ377" s="38">
        <f>IF(LEFT($B377,4)="_Mil","",_xlfn.IFNA(ROUND(INDEX(Spectrum!$N:$N,MATCH(RIGHT($B377,13)&amp;"|"&amp;$C377&amp;"|"&amp;$D377&amp;"|"&amp;AJ$14&amp;"|"&amp;"CY2025Q3",Spectrum!$R:$R,0)),0),""))</f>
        <v>1345</v>
      </c>
      <c r="AK377" s="218" t="e">
        <f>#REF!</f>
        <v>#REF!</v>
      </c>
      <c r="AL377" s="33">
        <f t="shared" si="92"/>
        <v>0.98776393200000001</v>
      </c>
      <c r="AM377" s="38" t="e">
        <f>IF(OR(LEFT($B377,4)="_Mil",$C377="&lt;01"),"",ROUND(SUM($AK377)*SUM($AL377),0))</f>
        <v>#REF!</v>
      </c>
      <c r="AN377" s="38" t="str">
        <f>IF($C377="&lt;01",ROUND(INDEX(EID!$P:$P,MATCH($B377,EID!$B:$B,0))/2,0),"")</f>
        <v/>
      </c>
      <c r="AO377" s="38" t="e">
        <f>IF($C377="&lt;01",SUM($AN377),ROUND(SUM($AM377)*SUM($O377)/IF(SUM($Z377)=0,1,$Z377),0))</f>
        <v>#REF!</v>
      </c>
      <c r="AP377" s="218">
        <f>IF(OR($F377="",$C377="&lt;01"),$AO377,ROUND($F377,0))</f>
        <v>1396</v>
      </c>
      <c r="AQ377" s="218">
        <f>IF(LEFT($B377,4)="_Mil","",IF(SUM($AP377)=0,SUM($Z377),IF(OR(SUM($Z377)=0,SUM($O377)=0),MAX($AP377,$Z377),ROUND($AP377*$Z377/$O377,0))))</f>
        <v>1378</v>
      </c>
      <c r="AR377" s="33" t="e">
        <f>IF(OR(LEFT($B377,4)="_Mil",SUM($AK377)=0),"",SUM($AQ377)/$AK377)</f>
        <v>#REF!</v>
      </c>
      <c r="AS377" s="33">
        <v>1.02</v>
      </c>
      <c r="AT377" s="33">
        <f>IF($C377="&lt;01","",100%)</f>
        <v>1</v>
      </c>
      <c r="AU377" s="38">
        <f>IF($C377="&lt;01","",SUM($AP377)-SUM($O377))</f>
        <v>104</v>
      </c>
      <c r="AV377" s="38">
        <f>IF($C377="&lt;01",ROUND(INDEX(EID!$N:$N,MATCH($B377,EID!$B:$B,0))/2,0),IF(SUM($AT377)=0,"",ROUND((SUM($AP377)-(SUM($O377)*SUM($AS377)))/$AT377,0)))</f>
        <v>78</v>
      </c>
      <c r="AW377" s="33">
        <v>0.8</v>
      </c>
      <c r="AX377" s="218">
        <f>IF($C377="&lt;01",SUM($AV377),ROUND(SUM($AV377)*SUM($AW377),0))</f>
        <v>62</v>
      </c>
      <c r="AY377" s="79">
        <f t="shared" si="93"/>
        <v>0.7</v>
      </c>
      <c r="AZ377" s="85">
        <f>IF($C377="&lt;01",ROUND(INDEX(EID!$R:$R,MATCH($B377,EID!$B:$B,0))/2,0),ROUND(SUM($O377)+(SUM($AV377)*$AY377),0))</f>
        <v>1347</v>
      </c>
      <c r="BA377" s="40">
        <f t="shared" si="97"/>
        <v>0.9</v>
      </c>
      <c r="BB377" s="99">
        <f>IF($C377="&lt;01",ROUND(INDEX(EID!$T:$T,MATCH($B377,EID!$B:$B,0))/2,0),ROUND($AP377*$BA377,0))</f>
        <v>1256</v>
      </c>
      <c r="BC377" s="85">
        <f>IF(LEFT($B377,4)="_Mil","",IF(SUM($BB377)=0,SUM($AD377),IF(OR(SUM($AP377)=0,SUM($AQ377)=0),MAX($BB377,$AD377),ROUND($BB377*$AQ377/$AP377,0))))</f>
        <v>1240</v>
      </c>
      <c r="BD377" s="33">
        <f t="shared" si="94"/>
        <v>0.95</v>
      </c>
      <c r="BE377" s="218">
        <f>IF($C377="&lt;01",ROUND(INDEX(EID!$V:$V,MATCH($B377,EID!$B:$B,0))/2,0),ROUND($BD377*$BB377,0))</f>
        <v>1193</v>
      </c>
      <c r="BF377" s="218">
        <f>IF(LEFT($B377,4)="_Mil","",IF(SUM($BE377)=0,SUM($AF377),IF(OR(SUM($AP377)=0,SUM($AQ377)=0),MAX($BE377,$AF377),ROUND($BE377*$AQ377/$AP377,0))))</f>
        <v>1178</v>
      </c>
      <c r="BG377" s="79">
        <f t="shared" si="95"/>
        <v>0.95</v>
      </c>
      <c r="BH377" s="99">
        <f>IF($C377="&lt;01",ROUND(INDEX(EID!$L:$L,MATCH($B377,EID!$B:$B,0)),0)/2,IF(SUM($BG377)=0,"",ROUND($AX377/$BG377,0)))</f>
        <v>65</v>
      </c>
    </row>
    <row r="378" spans="1:60" x14ac:dyDescent="0.2">
      <c r="A378" t="str">
        <f>INDEX(Prioritization!$D:$D,MATCH($B378,Prioritization!$A:$A,0))</f>
        <v>4 - Sustained</v>
      </c>
      <c r="B378" t="s">
        <v>312</v>
      </c>
      <c r="C378" t="s">
        <v>478</v>
      </c>
      <c r="D378" t="s">
        <v>48</v>
      </c>
      <c r="E378" t="str">
        <f t="shared" si="86"/>
        <v>Rumphi District [lPTyjLi4w3d]|50+|Male</v>
      </c>
      <c r="F378" s="229">
        <v>1378</v>
      </c>
      <c r="G378" s="38">
        <v>29</v>
      </c>
      <c r="H378" s="38">
        <v>35</v>
      </c>
      <c r="I378" s="38">
        <v>1300</v>
      </c>
      <c r="J378" s="38">
        <v>1036</v>
      </c>
      <c r="K378" s="38">
        <v>922</v>
      </c>
      <c r="L378" s="38">
        <v>19</v>
      </c>
      <c r="M378" s="38">
        <v>18</v>
      </c>
      <c r="N378" s="38">
        <v>1227</v>
      </c>
      <c r="O378" s="229">
        <v>1302</v>
      </c>
      <c r="P378" s="38">
        <v>1105</v>
      </c>
      <c r="Q378" s="38">
        <v>1050</v>
      </c>
      <c r="R378" s="38">
        <f t="shared" si="87"/>
        <v>2</v>
      </c>
      <c r="S378" s="38">
        <f>IF(LEFT($B378,4)="_Mil","",_xlfn.IFNA(ROUND(INDEX(Spectrum!$N:$N,MATCH(RIGHT($B378,13)&amp;"|"&amp;$C378&amp;"|"&amp;$D378&amp;"|"&amp;S$14&amp;"|"&amp;"CY2023Q4",Spectrum!$R:$R,0)),0),""))</f>
        <v>1166</v>
      </c>
      <c r="T378" s="218">
        <f>IF(LEFT($B378,4)="_Mil","",_xlfn.IFNA(ROUND(INDEX(Spectrum!$N:$N,MATCH(RIGHT($B378,13)&amp;"|"&amp;$C378&amp;"|"&amp;$D378&amp;"|"&amp;T$14&amp;"|"&amp;"CY2024Q3",Spectrum!$R:$R,0)),0),""))</f>
        <v>10570</v>
      </c>
      <c r="U378" s="218">
        <f>IF(LEFT($B378,4)="_Mil","",_xlfn.IFNA(ROUND(INDEX(Spectrum!$N:$N,MATCH(RIGHT($B378,13)&amp;"|"&amp;$C378&amp;"|"&amp;$D378&amp;"|"&amp;U$14&amp;"|"&amp;"CY2024Q3",Spectrum!$R:$R,0)),0),""))</f>
        <v>1267</v>
      </c>
      <c r="V378" s="38">
        <f>IF(LEFT($B378,4)="_Mil","",_xlfn.IFNA(ROUND(INDEX(Spectrum!$N:$N,MATCH(RIGHT($B378,13)&amp;"|"&amp;$C378&amp;"|"&amp;$D378&amp;"|"&amp;V$14&amp;"|"&amp;"CY2024Q3",Spectrum!$R:$R,0)),0),""))</f>
        <v>1302</v>
      </c>
      <c r="W378" s="220">
        <f>IF(LEFT($B378,4)="_Mil","",_xlfn.IFNA(INDEX(Spectrum!$N:$N,MATCH(RIGHT($B378,13)&amp;"|"&amp;$C378&amp;"|"&amp;$D378&amp;"|"&amp;W$14&amp;"|"&amp;"CY2024Q3",Spectrum!$R:$R,0)),""))</f>
        <v>0.11990174100000001</v>
      </c>
      <c r="X378" s="218">
        <f>IF(LEFT($B378,4)="_Mil","",_xlfn.IFNA(ROUND(INDEX(Spectrum!$N:$N,MATCH(RIGHT($B378,13)&amp;"|"&amp;$C378&amp;"|"&amp;$D378&amp;"|"&amp;X$14&amp;"|"&amp;"CY2024Q3",Spectrum!$R:$R,0)),0),""))</f>
        <v>1205</v>
      </c>
      <c r="Y378" s="33">
        <f t="shared" si="88"/>
        <v>0.95</v>
      </c>
      <c r="Z378" s="218">
        <f>IF(LEFT($B378,4)="_Mil","",_xlfn.IFNA(ROUND(INDEX(Spectrum!$N:$N,MATCH(RIGHT($B378,13)&amp;"|"&amp;$C378&amp;"|"&amp;$D378&amp;"|"&amp;Z$14&amp;"|"&amp;"CY2024Q3",Spectrum!$R:$R,0)),0),""))</f>
        <v>1236</v>
      </c>
      <c r="AA378" s="33">
        <f>IF(LEFT($B378,4)="_Mil","",IFERROR(1/(1/INDEX(Spectrum!$N:$N,MATCH(RIGHT($B378,13)&amp;"|"&amp;$C378&amp;"|"&amp;$D378&amp;"|"&amp;AA$14&amp;"|"&amp;"CY2024Q3",Spectrum!$R:$R,0))),IF(SUM($U378)=0,"",SUM($Z378)/$U378)))</f>
        <v>0.94738130499999995</v>
      </c>
      <c r="AB378" s="33">
        <f t="shared" si="89"/>
        <v>1.0257261410788381</v>
      </c>
      <c r="AC378" s="38">
        <f>IF(LEFT($B378,4)="_Mil","",_xlfn.IFNA(ROUND(INDEX(Spectrum!$N:$N,MATCH(RIGHT($B378,13)&amp;"|"&amp;$C378&amp;"|"&amp;$D378&amp;"|"&amp;AC$14&amp;"|"&amp;"CY2024Q3",Spectrum!$R:$R,0)),0),""))</f>
        <v>67</v>
      </c>
      <c r="AD378" s="38" t="str">
        <f>IF(LEFT($B378,4)="_Mil","",_xlfn.IFNA(ROUND(INDEX(Spectrum!$N:$N,MATCH(RIGHT($B378,13)&amp;"|"&amp;$C378&amp;"|"&amp;$D378&amp;"|"&amp;AD$14&amp;"|"&amp;"CY2024Q3",Spectrum!$R:$R,0)),0),""))</f>
        <v/>
      </c>
      <c r="AE378" s="33">
        <f t="shared" si="90"/>
        <v>0</v>
      </c>
      <c r="AF378" s="218" t="str">
        <f>IF(LEFT($B378,4)="_Mil","",_xlfn.IFNA(ROUND(INDEX(Spectrum!$N:$N,MATCH(RIGHT($B378,13)&amp;"|"&amp;$C378&amp;"|"&amp;$D378&amp;"|"&amp;AF$14&amp;"|"&amp;"CY2024Q3",Spectrum!$R:$R,0)),0),""))</f>
        <v/>
      </c>
      <c r="AG378" s="33" t="str">
        <f t="shared" si="91"/>
        <v/>
      </c>
      <c r="AH378" s="110" t="str">
        <f>IF(LEFT($B378,4)="_Mil","",_xlfn.IFNA(INDEX(Spectrum!$N:$N,MATCH(RIGHT($B378,13)&amp;"|"&amp;$C378&amp;"|"&amp;$D378&amp;"|"&amp;AH$14&amp;"|"&amp;"CY2024Q3",Spectrum!$R:$R,0)),""))</f>
        <v/>
      </c>
      <c r="AI378" s="218">
        <f>IF(LEFT($B378,4)="_Mil","",_xlfn.IFNA(ROUND(INDEX(Spectrum!$N:$N,MATCH(RIGHT($B378,13)&amp;"|"&amp;$C378&amp;"|"&amp;$D378&amp;"|"&amp;AI$14&amp;"|"&amp;"CY2025Q3",Spectrum!$R:$R,0)),0),""))</f>
        <v>4</v>
      </c>
      <c r="AJ378" s="38">
        <f>IF(LEFT($B378,4)="_Mil","",_xlfn.IFNA(ROUND(INDEX(Spectrum!$N:$N,MATCH(RIGHT($B378,13)&amp;"|"&amp;$C378&amp;"|"&amp;$D378&amp;"|"&amp;AJ$14&amp;"|"&amp;"CY2025Q3",Spectrum!$R:$R,0)),0),""))</f>
        <v>1341</v>
      </c>
      <c r="AK378" s="218" t="e">
        <f>#REF!</f>
        <v>#REF!</v>
      </c>
      <c r="AL378" s="33">
        <f t="shared" si="92"/>
        <v>0.94738130499999995</v>
      </c>
      <c r="AM378" s="38" t="e">
        <f>IF(OR(LEFT($B378,4)="_Mil",$C378="&lt;01"),"",ROUND(SUM($AK378)*SUM($AL378),0))</f>
        <v>#REF!</v>
      </c>
      <c r="AN378" s="38" t="str">
        <f>IF($C378="&lt;01",ROUND(INDEX(EID!$P:$P,MATCH($B378,EID!$B:$B,0))/2,0),"")</f>
        <v/>
      </c>
      <c r="AO378" s="38" t="e">
        <f>IF($C378="&lt;01",SUM($AN378),ROUND(SUM($AM378)*SUM($O378)/IF(SUM($Z378)=0,1,$Z378),0))</f>
        <v>#REF!</v>
      </c>
      <c r="AP378" s="218">
        <f>IF(OR($F378="",$C378="&lt;01"),$AO378,ROUND($F378,0))</f>
        <v>1378</v>
      </c>
      <c r="AQ378" s="218">
        <f>IF(LEFT($B378,4)="_Mil","",IF(SUM($AP378)=0,SUM($Z378),IF(OR(SUM($Z378)=0,SUM($O378)=0),MAX($AP378,$Z378),ROUND($AP378*$Z378/$O378,0))))</f>
        <v>1308</v>
      </c>
      <c r="AR378" s="33" t="e">
        <f>IF(OR(LEFT($B378,4)="_Mil",SUM($AK378)=0),"",SUM($AQ378)/$AK378)</f>
        <v>#REF!</v>
      </c>
      <c r="AS378" s="33">
        <v>1.02</v>
      </c>
      <c r="AT378" s="33">
        <f>IF($C378="&lt;01","",100%)</f>
        <v>1</v>
      </c>
      <c r="AU378" s="38">
        <f>IF($C378="&lt;01","",SUM($AP378)-SUM($O378))</f>
        <v>76</v>
      </c>
      <c r="AV378" s="38">
        <f>IF($C378="&lt;01",ROUND(INDEX(EID!$N:$N,MATCH($B378,EID!$B:$B,0))/2,0),IF(SUM($AT378)=0,"",ROUND((SUM($AP378)-(SUM($O378)*SUM($AS378)))/$AT378,0)))</f>
        <v>50</v>
      </c>
      <c r="AW378" s="33">
        <v>0.8</v>
      </c>
      <c r="AX378" s="218">
        <f>IF($C378="&lt;01",SUM($AV378),ROUND(SUM($AV378)*SUM($AW378),0))</f>
        <v>40</v>
      </c>
      <c r="AY378" s="79">
        <f t="shared" si="93"/>
        <v>0.7</v>
      </c>
      <c r="AZ378" s="85">
        <f>IF($C378="&lt;01",ROUND(INDEX(EID!$R:$R,MATCH($B378,EID!$B:$B,0))/2,0),ROUND(SUM($O378)+(SUM($AV378)*$AY378),0))</f>
        <v>1337</v>
      </c>
      <c r="BA378" s="40">
        <f t="shared" si="97"/>
        <v>0.9</v>
      </c>
      <c r="BB378" s="99">
        <f>IF($C378="&lt;01",ROUND(INDEX(EID!$T:$T,MATCH($B378,EID!$B:$B,0))/2,0),ROUND($AP378*$BA378,0))</f>
        <v>1240</v>
      </c>
      <c r="BC378" s="85">
        <f>IF(LEFT($B378,4)="_Mil","",IF(SUM($BB378)=0,SUM($AD378),IF(OR(SUM($AP378)=0,SUM($AQ378)=0),MAX($BB378,$AD378),ROUND($BB378*$AQ378/$AP378,0))))</f>
        <v>1177</v>
      </c>
      <c r="BD378" s="33">
        <f t="shared" si="94"/>
        <v>0.95</v>
      </c>
      <c r="BE378" s="218">
        <f>IF($C378="&lt;01",ROUND(INDEX(EID!$V:$V,MATCH($B378,EID!$B:$B,0))/2,0),ROUND($BD378*$BB378,0))</f>
        <v>1178</v>
      </c>
      <c r="BF378" s="218">
        <f>IF(LEFT($B378,4)="_Mil","",IF(SUM($BE378)=0,SUM($AF378),IF(OR(SUM($AP378)=0,SUM($AQ378)=0),MAX($BE378,$AF378),ROUND($BE378*$AQ378/$AP378,0))))</f>
        <v>1118</v>
      </c>
      <c r="BG378" s="79">
        <f t="shared" si="95"/>
        <v>0.95</v>
      </c>
      <c r="BH378" s="99">
        <f>IF($C378="&lt;01",ROUND(INDEX(EID!$L:$L,MATCH($B378,EID!$B:$B,0)),0)/2,IF(SUM($BG378)=0,"",ROUND($AX378/$BG378,0)))</f>
        <v>42</v>
      </c>
    </row>
    <row r="379" spans="1:60" x14ac:dyDescent="0.2">
      <c r="A379" t="str">
        <f>INDEX(Prioritization!$D:$D,MATCH($B379,Prioritization!$A:$A,0))</f>
        <v>4 - Sustained</v>
      </c>
      <c r="B379" t="s">
        <v>306</v>
      </c>
      <c r="C379" t="s">
        <v>426</v>
      </c>
      <c r="D379" t="s">
        <v>30</v>
      </c>
      <c r="E379" t="str">
        <f t="shared" si="86"/>
        <v>Salima District [msW2zpIN7up]|&lt;01|Female</v>
      </c>
      <c r="F379" s="229">
        <v>10</v>
      </c>
      <c r="G379" s="38">
        <v>17</v>
      </c>
      <c r="H379" s="38">
        <v>11</v>
      </c>
      <c r="I379" s="38">
        <v>8</v>
      </c>
      <c r="J379" s="38">
        <v>7</v>
      </c>
      <c r="K379" s="38">
        <v>6</v>
      </c>
      <c r="L379" s="38"/>
      <c r="M379" s="38">
        <v>10</v>
      </c>
      <c r="N379" s="38">
        <v>10</v>
      </c>
      <c r="O379" s="229">
        <v>11</v>
      </c>
      <c r="P379" s="38">
        <v>6</v>
      </c>
      <c r="Q379" s="38">
        <v>6</v>
      </c>
      <c r="R379" s="38">
        <f t="shared" si="87"/>
        <v>3</v>
      </c>
      <c r="S379" s="38">
        <f>IF(LEFT($B379,4)="_Mil","",_xlfn.IFNA(ROUND(INDEX(Spectrum!$N:$N,MATCH(RIGHT($B379,13)&amp;"|"&amp;$C379&amp;"|"&amp;$D379&amp;"|"&amp;S$14&amp;"|"&amp;"CY2023Q4",Spectrum!$R:$R,0)),0),""))</f>
        <v>10</v>
      </c>
      <c r="T379" s="218">
        <f>IF(LEFT($B379,4)="_Mil","",_xlfn.IFNA(ROUND(INDEX(Spectrum!$N:$N,MATCH(RIGHT($B379,13)&amp;"|"&amp;$C379&amp;"|"&amp;$D379&amp;"|"&amp;T$14&amp;"|"&amp;"CY2024Q3",Spectrum!$R:$R,0)),0),""))</f>
        <v>9912</v>
      </c>
      <c r="U379" s="218">
        <f>IF(LEFT($B379,4)="_Mil","",_xlfn.IFNA(ROUND(INDEX(Spectrum!$N:$N,MATCH(RIGHT($B379,13)&amp;"|"&amp;$C379&amp;"|"&amp;$D379&amp;"|"&amp;U$14&amp;"|"&amp;"CY2024Q3",Spectrum!$R:$R,0)),0),""))</f>
        <v>12</v>
      </c>
      <c r="V379" s="38">
        <f>IF(LEFT($B379,4)="_Mil","",_xlfn.IFNA(ROUND(INDEX(Spectrum!$N:$N,MATCH(RIGHT($B379,13)&amp;"|"&amp;$C379&amp;"|"&amp;$D379&amp;"|"&amp;V$14&amp;"|"&amp;"CY2024Q3",Spectrum!$R:$R,0)),0),""))</f>
        <v>11</v>
      </c>
      <c r="W379" s="220">
        <f>IF(LEFT($B379,4)="_Mil","",_xlfn.IFNA(INDEX(Spectrum!$N:$N,MATCH(RIGHT($B379,13)&amp;"|"&amp;$C379&amp;"|"&amp;$D379&amp;"|"&amp;W$14&amp;"|"&amp;"CY2024Q3",Spectrum!$R:$R,0)),""))</f>
        <v>1.174011E-3</v>
      </c>
      <c r="X379" s="218">
        <f>IF(LEFT($B379,4)="_Mil","",_xlfn.IFNA(ROUND(INDEX(Spectrum!$N:$N,MATCH(RIGHT($B379,13)&amp;"|"&amp;$C379&amp;"|"&amp;$D379&amp;"|"&amp;X$14&amp;"|"&amp;"CY2024Q3",Spectrum!$R:$R,0)),0),""))</f>
        <v>9</v>
      </c>
      <c r="Y379" s="33">
        <f t="shared" si="88"/>
        <v>0.75</v>
      </c>
      <c r="Z379" s="218">
        <f>IF(LEFT($B379,4)="_Mil","",_xlfn.IFNA(ROUND(INDEX(Spectrum!$N:$N,MATCH(RIGHT($B379,13)&amp;"|"&amp;$C379&amp;"|"&amp;$D379&amp;"|"&amp;Z$14&amp;"|"&amp;"CY2024Q3",Spectrum!$R:$R,0)),0),""))</f>
        <v>8</v>
      </c>
      <c r="AA379" s="33">
        <f>IF(LEFT($B379,4)="_Mil","",IFERROR(1/(1/INDEX(Spectrum!$N:$N,MATCH(RIGHT($B379,13)&amp;"|"&amp;$C379&amp;"|"&amp;$D379&amp;"|"&amp;AA$14&amp;"|"&amp;"CY2024Q3",Spectrum!$R:$R,0))),IF(SUM($U379)=0,"",SUM($Z379)/$U379)))</f>
        <v>0.73050089299999998</v>
      </c>
      <c r="AB379" s="33">
        <f t="shared" si="89"/>
        <v>0.88888888888888884</v>
      </c>
      <c r="AC379" s="38">
        <f>IF(LEFT($B379,4)="_Mil","",_xlfn.IFNA(ROUND(INDEX(Spectrum!$N:$N,MATCH(RIGHT($B379,13)&amp;"|"&amp;$C379&amp;"|"&amp;$D379&amp;"|"&amp;AC$14&amp;"|"&amp;"CY2024Q3",Spectrum!$R:$R,0)),0),""))</f>
        <v>3</v>
      </c>
      <c r="AD379" s="38" t="str">
        <f>IF(LEFT($B379,4)="_Mil","",_xlfn.IFNA(ROUND(INDEX(Spectrum!$N:$N,MATCH(RIGHT($B379,13)&amp;"|"&amp;$C379&amp;"|"&amp;$D379&amp;"|"&amp;AD$14&amp;"|"&amp;"CY2024Q3",Spectrum!$R:$R,0)),0),""))</f>
        <v/>
      </c>
      <c r="AE379" s="33">
        <f t="shared" si="90"/>
        <v>0</v>
      </c>
      <c r="AF379" s="218" t="str">
        <f>IF(LEFT($B379,4)="_Mil","",_xlfn.IFNA(ROUND(INDEX(Spectrum!$N:$N,MATCH(RIGHT($B379,13)&amp;"|"&amp;$C379&amp;"|"&amp;$D379&amp;"|"&amp;AF$14&amp;"|"&amp;"CY2024Q3",Spectrum!$R:$R,0)),0),""))</f>
        <v/>
      </c>
      <c r="AG379" s="33" t="str">
        <f t="shared" si="91"/>
        <v/>
      </c>
      <c r="AH379" s="110" t="str">
        <f>IF(LEFT($B379,4)="_Mil","",_xlfn.IFNA(INDEX(Spectrum!$N:$N,MATCH(RIGHT($B379,13)&amp;"|"&amp;$C379&amp;"|"&amp;$D379&amp;"|"&amp;AH$14&amp;"|"&amp;"CY2024Q3",Spectrum!$R:$R,0)),""))</f>
        <v/>
      </c>
      <c r="AI379" s="218">
        <f>IF(LEFT($B379,4)="_Mil","",_xlfn.IFNA(ROUND(INDEX(Spectrum!$N:$N,MATCH(RIGHT($B379,13)&amp;"|"&amp;$C379&amp;"|"&amp;$D379&amp;"|"&amp;AI$14&amp;"|"&amp;"CY2025Q3",Spectrum!$R:$R,0)),0),""))</f>
        <v>15</v>
      </c>
      <c r="AJ379" s="38">
        <f>IF(LEFT($B379,4)="_Mil","",_xlfn.IFNA(ROUND(INDEX(Spectrum!$N:$N,MATCH(RIGHT($B379,13)&amp;"|"&amp;$C379&amp;"|"&amp;$D379&amp;"|"&amp;AJ$14&amp;"|"&amp;"CY2025Q3",Spectrum!$R:$R,0)),0),""))</f>
        <v>10</v>
      </c>
      <c r="AK379" s="218" t="e">
        <f>#REF!</f>
        <v>#REF!</v>
      </c>
      <c r="AL379" s="33" t="str">
        <f t="shared" si="92"/>
        <v/>
      </c>
      <c r="AM379" s="38" t="str">
        <f>IF(OR(LEFT($B379,4)="_Mil",$C379="&lt;01"),"",ROUND(SUM($AK379)*SUM($AL379),0))</f>
        <v/>
      </c>
      <c r="AN379" s="38">
        <f>IF($C379="&lt;01",ROUND(INDEX(EID!$P:$P,MATCH($B379,EID!$B:$B,0))/2,0),"")</f>
        <v>9</v>
      </c>
      <c r="AO379" s="38">
        <f>IF($C379="&lt;01",SUM($AN379),ROUND(SUM($AM379)*SUM($O379)/IF(SUM($Z379)=0,1,$Z379),0))</f>
        <v>9</v>
      </c>
      <c r="AP379" s="218">
        <f>IF(OR($F379="",$C379="&lt;01"),$AO379,ROUND($F379,0))</f>
        <v>9</v>
      </c>
      <c r="AQ379" s="218">
        <f>IF(LEFT($B379,4)="_Mil","",IF(SUM($AP379)=0,SUM($Z379),IF(OR(SUM($Z379)=0,SUM($O379)=0),MAX($AP379,$Z379),ROUND($AP379*$Z379/$O379,0))))</f>
        <v>7</v>
      </c>
      <c r="AR379" s="33" t="e">
        <f>IF(OR(LEFT($B379,4)="_Mil",SUM($AK379)=0),"",SUM($AQ379)/$AK379)</f>
        <v>#REF!</v>
      </c>
      <c r="AS379" s="33" t="str">
        <f t="shared" si="100"/>
        <v/>
      </c>
      <c r="AT379" s="33" t="str">
        <f t="shared" si="98"/>
        <v/>
      </c>
      <c r="AU379" s="38" t="str">
        <f>IF($C379="&lt;01","",SUM($AP379)-SUM($O379))</f>
        <v/>
      </c>
      <c r="AV379" s="38">
        <f>IF($C379="&lt;01",ROUND(INDEX(EID!$N:$N,MATCH($B379,EID!$B:$B,0))/2,0),IF(SUM($AT379)=0,"",ROUND((SUM($AP379)-(SUM($O379)*SUM($AS379)))/$AT379,0)))</f>
        <v>9</v>
      </c>
      <c r="AW379" s="33" t="str">
        <f t="shared" si="96"/>
        <v/>
      </c>
      <c r="AX379" s="218">
        <f>IF($C379="&lt;01",SUM($AV379),ROUND(SUM($AV379)*SUM($AW379),0))</f>
        <v>9</v>
      </c>
      <c r="AY379" s="79" t="str">
        <f t="shared" si="93"/>
        <v/>
      </c>
      <c r="AZ379" s="85">
        <f>IF($C379="&lt;01",ROUND(INDEX(EID!$R:$R,MATCH($B379,EID!$B:$B,0))/2,0),ROUND(SUM($O379)+(SUM($AV379)*$AY379),0))</f>
        <v>7</v>
      </c>
      <c r="BA379" s="40" t="str">
        <f t="shared" si="97"/>
        <v/>
      </c>
      <c r="BB379" s="99">
        <f>IF($C379="&lt;01",ROUND(INDEX(EID!$T:$T,MATCH($B379,EID!$B:$B,0))/2,0),ROUND($AP379*$BA379,0))</f>
        <v>6</v>
      </c>
      <c r="BC379" s="85">
        <f>IF(LEFT($B379,4)="_Mil","",IF(SUM($BB379)=0,SUM($AD379),IF(OR(SUM($AP379)=0,SUM($AQ379)=0),MAX($BB379,$AD379),ROUND($BB379*$AQ379/$AP379,0))))</f>
        <v>5</v>
      </c>
      <c r="BD379" s="33" t="str">
        <f t="shared" si="94"/>
        <v/>
      </c>
      <c r="BE379" s="218">
        <f>IF($C379="&lt;01",ROUND(INDEX(EID!$V:$V,MATCH($B379,EID!$B:$B,0))/2,0),ROUND($BD379*$BB379,0))</f>
        <v>6</v>
      </c>
      <c r="BF379" s="218">
        <f>IF(LEFT($B379,4)="_Mil","",IF(SUM($BE379)=0,SUM($AF379),IF(OR(SUM($AP379)=0,SUM($AQ379)=0),MAX($BE379,$AF379),ROUND($BE379*$AQ379/$AP379,0))))</f>
        <v>5</v>
      </c>
      <c r="BG379" s="79" t="str">
        <f t="shared" si="95"/>
        <v/>
      </c>
      <c r="BH379" s="99">
        <f>IF($C379="&lt;01",ROUND(INDEX(EID!$L:$L,MATCH($B379,EID!$B:$B,0)),0)/2,IF(SUM($BG379)=0,"",ROUND($AX379/$BG379,0)))</f>
        <v>9.5</v>
      </c>
    </row>
    <row r="380" spans="1:60" x14ac:dyDescent="0.2">
      <c r="A380" t="str">
        <f>INDEX(Prioritization!$D:$D,MATCH($B380,Prioritization!$A:$A,0))</f>
        <v>4 - Sustained</v>
      </c>
      <c r="B380" t="s">
        <v>306</v>
      </c>
      <c r="C380" t="s">
        <v>426</v>
      </c>
      <c r="D380" t="s">
        <v>48</v>
      </c>
      <c r="E380" t="str">
        <f t="shared" si="86"/>
        <v>Salima District [msW2zpIN7up]|&lt;01|Male</v>
      </c>
      <c r="F380" s="229">
        <v>8</v>
      </c>
      <c r="G380" s="38">
        <v>11</v>
      </c>
      <c r="H380" s="38">
        <v>4</v>
      </c>
      <c r="I380" s="38">
        <v>1</v>
      </c>
      <c r="J380" s="38">
        <v>3</v>
      </c>
      <c r="K380" s="38">
        <v>1</v>
      </c>
      <c r="L380" s="38"/>
      <c r="M380" s="38">
        <v>10</v>
      </c>
      <c r="N380" s="38">
        <v>10</v>
      </c>
      <c r="O380" s="229">
        <v>8</v>
      </c>
      <c r="P380" s="38">
        <v>6</v>
      </c>
      <c r="Q380" s="38">
        <v>6</v>
      </c>
      <c r="R380" s="38">
        <f t="shared" si="87"/>
        <v>7</v>
      </c>
      <c r="S380" s="38">
        <f>IF(LEFT($B380,4)="_Mil","",_xlfn.IFNA(ROUND(INDEX(Spectrum!$N:$N,MATCH(RIGHT($B380,13)&amp;"|"&amp;$C380&amp;"|"&amp;$D380&amp;"|"&amp;S$14&amp;"|"&amp;"CY2023Q4",Spectrum!$R:$R,0)),0),""))</f>
        <v>9</v>
      </c>
      <c r="T380" s="218">
        <f>IF(LEFT($B380,4)="_Mil","",_xlfn.IFNA(ROUND(INDEX(Spectrum!$N:$N,MATCH(RIGHT($B380,13)&amp;"|"&amp;$C380&amp;"|"&amp;$D380&amp;"|"&amp;T$14&amp;"|"&amp;"CY2024Q3",Spectrum!$R:$R,0)),0),""))</f>
        <v>10059</v>
      </c>
      <c r="U380" s="218">
        <f>IF(LEFT($B380,4)="_Mil","",_xlfn.IFNA(ROUND(INDEX(Spectrum!$N:$N,MATCH(RIGHT($B380,13)&amp;"|"&amp;$C380&amp;"|"&amp;$D380&amp;"|"&amp;U$14&amp;"|"&amp;"CY2024Q3",Spectrum!$R:$R,0)),0),""))</f>
        <v>12</v>
      </c>
      <c r="V380" s="38">
        <f>IF(LEFT($B380,4)="_Mil","",_xlfn.IFNA(ROUND(INDEX(Spectrum!$N:$N,MATCH(RIGHT($B380,13)&amp;"|"&amp;$C380&amp;"|"&amp;$D380&amp;"|"&amp;V$14&amp;"|"&amp;"CY2024Q3",Spectrum!$R:$R,0)),0),""))</f>
        <v>11</v>
      </c>
      <c r="W380" s="220">
        <f>IF(LEFT($B380,4)="_Mil","",_xlfn.IFNA(INDEX(Spectrum!$N:$N,MATCH(RIGHT($B380,13)&amp;"|"&amp;$C380&amp;"|"&amp;$D380&amp;"|"&amp;W$14&amp;"|"&amp;"CY2024Q3",Spectrum!$R:$R,0)),""))</f>
        <v>1.1741309999999999E-3</v>
      </c>
      <c r="X380" s="218">
        <f>IF(LEFT($B380,4)="_Mil","",_xlfn.IFNA(ROUND(INDEX(Spectrum!$N:$N,MATCH(RIGHT($B380,13)&amp;"|"&amp;$C380&amp;"|"&amp;$D380&amp;"|"&amp;X$14&amp;"|"&amp;"CY2024Q3",Spectrum!$R:$R,0)),0),""))</f>
        <v>9</v>
      </c>
      <c r="Y380" s="33">
        <f t="shared" si="88"/>
        <v>0.75</v>
      </c>
      <c r="Z380" s="218">
        <f>IF(LEFT($B380,4)="_Mil","",_xlfn.IFNA(ROUND(INDEX(Spectrum!$N:$N,MATCH(RIGHT($B380,13)&amp;"|"&amp;$C380&amp;"|"&amp;$D380&amp;"|"&amp;Z$14&amp;"|"&amp;"CY2024Q3",Spectrum!$R:$R,0)),0),""))</f>
        <v>8</v>
      </c>
      <c r="AA380" s="33">
        <f>IF(LEFT($B380,4)="_Mil","",IFERROR(1/(1/INDEX(Spectrum!$N:$N,MATCH(RIGHT($B380,13)&amp;"|"&amp;$C380&amp;"|"&amp;$D380&amp;"|"&amp;AA$14&amp;"|"&amp;"CY2024Q3",Spectrum!$R:$R,0))),IF(SUM($U380)=0,"",SUM($Z380)/$U380)))</f>
        <v>0.73066687100000005</v>
      </c>
      <c r="AB380" s="33">
        <f t="shared" si="89"/>
        <v>0.88888888888888884</v>
      </c>
      <c r="AC380" s="38">
        <f>IF(LEFT($B380,4)="_Mil","",_xlfn.IFNA(ROUND(INDEX(Spectrum!$N:$N,MATCH(RIGHT($B380,13)&amp;"|"&amp;$C380&amp;"|"&amp;$D380&amp;"|"&amp;AC$14&amp;"|"&amp;"CY2024Q3",Spectrum!$R:$R,0)),0),""))</f>
        <v>3</v>
      </c>
      <c r="AD380" s="38" t="str">
        <f>IF(LEFT($B380,4)="_Mil","",_xlfn.IFNA(ROUND(INDEX(Spectrum!$N:$N,MATCH(RIGHT($B380,13)&amp;"|"&amp;$C380&amp;"|"&amp;$D380&amp;"|"&amp;AD$14&amp;"|"&amp;"CY2024Q3",Spectrum!$R:$R,0)),0),""))</f>
        <v/>
      </c>
      <c r="AE380" s="33">
        <f t="shared" si="90"/>
        <v>0</v>
      </c>
      <c r="AF380" s="218" t="str">
        <f>IF(LEFT($B380,4)="_Mil","",_xlfn.IFNA(ROUND(INDEX(Spectrum!$N:$N,MATCH(RIGHT($B380,13)&amp;"|"&amp;$C380&amp;"|"&amp;$D380&amp;"|"&amp;AF$14&amp;"|"&amp;"CY2024Q3",Spectrum!$R:$R,0)),0),""))</f>
        <v/>
      </c>
      <c r="AG380" s="33" t="str">
        <f t="shared" si="91"/>
        <v/>
      </c>
      <c r="AH380" s="110" t="str">
        <f>IF(LEFT($B380,4)="_Mil","",_xlfn.IFNA(INDEX(Spectrum!$N:$N,MATCH(RIGHT($B380,13)&amp;"|"&amp;$C380&amp;"|"&amp;$D380&amp;"|"&amp;AH$14&amp;"|"&amp;"CY2024Q3",Spectrum!$R:$R,0)),""))</f>
        <v/>
      </c>
      <c r="AI380" s="218">
        <f>IF(LEFT($B380,4)="_Mil","",_xlfn.IFNA(ROUND(INDEX(Spectrum!$N:$N,MATCH(RIGHT($B380,13)&amp;"|"&amp;$C380&amp;"|"&amp;$D380&amp;"|"&amp;AI$14&amp;"|"&amp;"CY2025Q3",Spectrum!$R:$R,0)),0),""))</f>
        <v>16</v>
      </c>
      <c r="AJ380" s="38">
        <f>IF(LEFT($B380,4)="_Mil","",_xlfn.IFNA(ROUND(INDEX(Spectrum!$N:$N,MATCH(RIGHT($B380,13)&amp;"|"&amp;$C380&amp;"|"&amp;$D380&amp;"|"&amp;AJ$14&amp;"|"&amp;"CY2025Q3",Spectrum!$R:$R,0)),0),""))</f>
        <v>11</v>
      </c>
      <c r="AK380" s="218" t="e">
        <f>#REF!</f>
        <v>#REF!</v>
      </c>
      <c r="AL380" s="33" t="str">
        <f t="shared" si="92"/>
        <v/>
      </c>
      <c r="AM380" s="38" t="str">
        <f>IF(OR(LEFT($B380,4)="_Mil",$C380="&lt;01"),"",ROUND(SUM($AK380)*SUM($AL380),0))</f>
        <v/>
      </c>
      <c r="AN380" s="38">
        <f>IF($C380="&lt;01",ROUND(INDEX(EID!$P:$P,MATCH($B380,EID!$B:$B,0))/2,0),"")</f>
        <v>9</v>
      </c>
      <c r="AO380" s="38">
        <f>IF($C380="&lt;01",SUM($AN380),ROUND(SUM($AM380)*SUM($O380)/IF(SUM($Z380)=0,1,$Z380),0))</f>
        <v>9</v>
      </c>
      <c r="AP380" s="218">
        <f>IF(OR($F380="",$C380="&lt;01"),$AO380,ROUND($F380,0))</f>
        <v>9</v>
      </c>
      <c r="AQ380" s="218">
        <f>IF(LEFT($B380,4)="_Mil","",IF(SUM($AP380)=0,SUM($Z380),IF(OR(SUM($Z380)=0,SUM($O380)=0),MAX($AP380,$Z380),ROUND($AP380*$Z380/$O380,0))))</f>
        <v>9</v>
      </c>
      <c r="AR380" s="33" t="e">
        <f>IF(OR(LEFT($B380,4)="_Mil",SUM($AK380)=0),"",SUM($AQ380)/$AK380)</f>
        <v>#REF!</v>
      </c>
      <c r="AS380" s="33" t="str">
        <f t="shared" si="100"/>
        <v/>
      </c>
      <c r="AT380" s="33" t="str">
        <f t="shared" si="98"/>
        <v/>
      </c>
      <c r="AU380" s="38" t="str">
        <f>IF($C380="&lt;01","",SUM($AP380)-SUM($O380))</f>
        <v/>
      </c>
      <c r="AV380" s="38">
        <f>IF($C380="&lt;01",ROUND(INDEX(EID!$N:$N,MATCH($B380,EID!$B:$B,0))/2,0),IF(SUM($AT380)=0,"",ROUND((SUM($AP380)-(SUM($O380)*SUM($AS380)))/$AT380,0)))</f>
        <v>9</v>
      </c>
      <c r="AW380" s="33" t="str">
        <f t="shared" si="96"/>
        <v/>
      </c>
      <c r="AX380" s="218">
        <f>IF($C380="&lt;01",SUM($AV380),ROUND(SUM($AV380)*SUM($AW380),0))</f>
        <v>9</v>
      </c>
      <c r="AY380" s="79" t="str">
        <f t="shared" si="93"/>
        <v/>
      </c>
      <c r="AZ380" s="85">
        <f>IF($C380="&lt;01",ROUND(INDEX(EID!$R:$R,MATCH($B380,EID!$B:$B,0))/2,0),ROUND(SUM($O380)+(SUM($AV380)*$AY380),0))</f>
        <v>7</v>
      </c>
      <c r="BA380" s="40" t="str">
        <f t="shared" si="97"/>
        <v/>
      </c>
      <c r="BB380" s="99">
        <f>IF($C380="&lt;01",ROUND(INDEX(EID!$T:$T,MATCH($B380,EID!$B:$B,0))/2,0),ROUND($AP380*$BA380,0))</f>
        <v>6</v>
      </c>
      <c r="BC380" s="85">
        <f>IF(LEFT($B380,4)="_Mil","",IF(SUM($BB380)=0,SUM($AD380),IF(OR(SUM($AP380)=0,SUM($AQ380)=0),MAX($BB380,$AD380),ROUND($BB380*$AQ380/$AP380,0))))</f>
        <v>6</v>
      </c>
      <c r="BD380" s="33" t="str">
        <f t="shared" si="94"/>
        <v/>
      </c>
      <c r="BE380" s="218">
        <f>IF($C380="&lt;01",ROUND(INDEX(EID!$V:$V,MATCH($B380,EID!$B:$B,0))/2,0),ROUND($BD380*$BB380,0))</f>
        <v>6</v>
      </c>
      <c r="BF380" s="218">
        <f>IF(LEFT($B380,4)="_Mil","",IF(SUM($BE380)=0,SUM($AF380),IF(OR(SUM($AP380)=0,SUM($AQ380)=0),MAX($BE380,$AF380),ROUND($BE380*$AQ380/$AP380,0))))</f>
        <v>6</v>
      </c>
      <c r="BG380" s="79" t="str">
        <f t="shared" si="95"/>
        <v/>
      </c>
      <c r="BH380" s="99">
        <f>IF($C380="&lt;01",ROUND(INDEX(EID!$L:$L,MATCH($B380,EID!$B:$B,0)),0)/2,IF(SUM($BG380)=0,"",ROUND($AX380/$BG380,0)))</f>
        <v>9.5</v>
      </c>
    </row>
    <row r="381" spans="1:60" x14ac:dyDescent="0.2">
      <c r="A381" t="str">
        <f>INDEX(Prioritization!$D:$D,MATCH($B381,Prioritization!$A:$A,0))</f>
        <v>4 - Sustained</v>
      </c>
      <c r="B381" t="s">
        <v>306</v>
      </c>
      <c r="C381" t="s">
        <v>473</v>
      </c>
      <c r="D381" t="s">
        <v>30</v>
      </c>
      <c r="E381" t="str">
        <f t="shared" si="86"/>
        <v>Salima District [msW2zpIN7up]|01-09|Female</v>
      </c>
      <c r="F381" s="229">
        <v>164</v>
      </c>
      <c r="G381" s="38">
        <v>35</v>
      </c>
      <c r="H381" s="38">
        <v>20</v>
      </c>
      <c r="I381" s="38">
        <v>164</v>
      </c>
      <c r="J381" s="38">
        <v>133</v>
      </c>
      <c r="K381" s="38">
        <v>94</v>
      </c>
      <c r="L381" s="38">
        <v>11</v>
      </c>
      <c r="M381" s="38">
        <v>10</v>
      </c>
      <c r="N381" s="38">
        <v>204</v>
      </c>
      <c r="O381" s="229">
        <v>164</v>
      </c>
      <c r="P381" s="38">
        <v>181</v>
      </c>
      <c r="Q381" s="38">
        <v>172</v>
      </c>
      <c r="R381" s="38">
        <f t="shared" si="87"/>
        <v>0</v>
      </c>
      <c r="S381" s="38">
        <f>IF(LEFT($B381,4)="_Mil","",_xlfn.IFNA(ROUND(INDEX(Spectrum!$N:$N,MATCH(RIGHT($B381,13)&amp;"|"&amp;$C381&amp;"|"&amp;$D381&amp;"|"&amp;S$14&amp;"|"&amp;"CY2023Q4",Spectrum!$R:$R,0)),0),""))</f>
        <v>180</v>
      </c>
      <c r="T381" s="218">
        <f>IF(LEFT($B381,4)="_Mil","",_xlfn.IFNA(ROUND(INDEX(Spectrum!$N:$N,MATCH(RIGHT($B381,13)&amp;"|"&amp;$C381&amp;"|"&amp;$D381&amp;"|"&amp;T$14&amp;"|"&amp;"CY2024Q3",Spectrum!$R:$R,0)),0),""))</f>
        <v>80270</v>
      </c>
      <c r="U381" s="218">
        <f>IF(LEFT($B381,4)="_Mil","",_xlfn.IFNA(ROUND(INDEX(Spectrum!$N:$N,MATCH(RIGHT($B381,13)&amp;"|"&amp;$C381&amp;"|"&amp;$D381&amp;"|"&amp;U$14&amp;"|"&amp;"CY2024Q3",Spectrum!$R:$R,0)),0),""))</f>
        <v>231</v>
      </c>
      <c r="V381" s="38">
        <f>IF(LEFT($B381,4)="_Mil","",_xlfn.IFNA(ROUND(INDEX(Spectrum!$N:$N,MATCH(RIGHT($B381,13)&amp;"|"&amp;$C381&amp;"|"&amp;$D381&amp;"|"&amp;V$14&amp;"|"&amp;"CY2024Q3",Spectrum!$R:$R,0)),0),""))</f>
        <v>217</v>
      </c>
      <c r="W381" s="220">
        <f>IF(LEFT($B381,4)="_Mil","",_xlfn.IFNA(INDEX(Spectrum!$N:$N,MATCH(RIGHT($B381,13)&amp;"|"&amp;$C381&amp;"|"&amp;$D381&amp;"|"&amp;W$14&amp;"|"&amp;"CY2024Q3",Spectrum!$R:$R,0)),""))</f>
        <v>2.8755170000000002E-3</v>
      </c>
      <c r="X381" s="218">
        <f>IF(LEFT($B381,4)="_Mil","",_xlfn.IFNA(ROUND(INDEX(Spectrum!$N:$N,MATCH(RIGHT($B381,13)&amp;"|"&amp;$C381&amp;"|"&amp;$D381&amp;"|"&amp;X$14&amp;"|"&amp;"CY2024Q3",Spectrum!$R:$R,0)),0),""))</f>
        <v>186</v>
      </c>
      <c r="Y381" s="33">
        <f t="shared" si="88"/>
        <v>0.81</v>
      </c>
      <c r="Z381" s="218">
        <f>IF(LEFT($B381,4)="_Mil","",_xlfn.IFNA(ROUND(INDEX(Spectrum!$N:$N,MATCH(RIGHT($B381,13)&amp;"|"&amp;$C381&amp;"|"&amp;$D381&amp;"|"&amp;Z$14&amp;"|"&amp;"CY2024Q3",Spectrum!$R:$R,0)),0),""))</f>
        <v>169</v>
      </c>
      <c r="AA381" s="33">
        <f>IF(LEFT($B381,4)="_Mil","",IFERROR(1/(1/INDEX(Spectrum!$N:$N,MATCH(RIGHT($B381,13)&amp;"|"&amp;$C381&amp;"|"&amp;$D381&amp;"|"&amp;AA$14&amp;"|"&amp;"CY2024Q3",Spectrum!$R:$R,0))),IF(SUM($U381)=0,"",SUM($Z381)/$U381)))</f>
        <v>0.77828722500000003</v>
      </c>
      <c r="AB381" s="33">
        <f t="shared" si="89"/>
        <v>0.90860215053763438</v>
      </c>
      <c r="AC381" s="38">
        <f>IF(LEFT($B381,4)="_Mil","",_xlfn.IFNA(ROUND(INDEX(Spectrum!$N:$N,MATCH(RIGHT($B381,13)&amp;"|"&amp;$C381&amp;"|"&amp;$D381&amp;"|"&amp;AC$14&amp;"|"&amp;"CY2024Q3",Spectrum!$R:$R,0)),0),""))</f>
        <v>48</v>
      </c>
      <c r="AD381" s="38" t="str">
        <f>IF(LEFT($B381,4)="_Mil","",_xlfn.IFNA(ROUND(INDEX(Spectrum!$N:$N,MATCH(RIGHT($B381,13)&amp;"|"&amp;$C381&amp;"|"&amp;$D381&amp;"|"&amp;AD$14&amp;"|"&amp;"CY2024Q3",Spectrum!$R:$R,0)),0),""))</f>
        <v/>
      </c>
      <c r="AE381" s="33">
        <f t="shared" si="90"/>
        <v>0</v>
      </c>
      <c r="AF381" s="218" t="str">
        <f>IF(LEFT($B381,4)="_Mil","",_xlfn.IFNA(ROUND(INDEX(Spectrum!$N:$N,MATCH(RIGHT($B381,13)&amp;"|"&amp;$C381&amp;"|"&amp;$D381&amp;"|"&amp;AF$14&amp;"|"&amp;"CY2024Q3",Spectrum!$R:$R,0)),0),""))</f>
        <v/>
      </c>
      <c r="AG381" s="33" t="str">
        <f t="shared" si="91"/>
        <v/>
      </c>
      <c r="AH381" s="110" t="str">
        <f>IF(LEFT($B381,4)="_Mil","",_xlfn.IFNA(INDEX(Spectrum!$N:$N,MATCH(RIGHT($B381,13)&amp;"|"&amp;$C381&amp;"|"&amp;$D381&amp;"|"&amp;AH$14&amp;"|"&amp;"CY2024Q3",Spectrum!$R:$R,0)),""))</f>
        <v/>
      </c>
      <c r="AI381" s="218">
        <f>IF(LEFT($B381,4)="_Mil","",_xlfn.IFNA(ROUND(INDEX(Spectrum!$N:$N,MATCH(RIGHT($B381,13)&amp;"|"&amp;$C381&amp;"|"&amp;$D381&amp;"|"&amp;AI$14&amp;"|"&amp;"CY2025Q3",Spectrum!$R:$R,0)),0),""))</f>
        <v>4</v>
      </c>
      <c r="AJ381" s="38">
        <f>IF(LEFT($B381,4)="_Mil","",_xlfn.IFNA(ROUND(INDEX(Spectrum!$N:$N,MATCH(RIGHT($B381,13)&amp;"|"&amp;$C381&amp;"|"&amp;$D381&amp;"|"&amp;AJ$14&amp;"|"&amp;"CY2025Q3",Spectrum!$R:$R,0)),0),""))</f>
        <v>198</v>
      </c>
      <c r="AK381" s="218" t="e">
        <f>#REF!</f>
        <v>#REF!</v>
      </c>
      <c r="AL381" s="33">
        <f t="shared" si="92"/>
        <v>0.9</v>
      </c>
      <c r="AM381" s="38" t="e">
        <f>IF(OR(LEFT($B381,4)="_Mil",$C381="&lt;01"),"",ROUND(SUM($AK381)*SUM($AL381),0))</f>
        <v>#REF!</v>
      </c>
      <c r="AN381" s="38" t="str">
        <f>IF($C381="&lt;01",ROUND(INDEX(EID!$P:$P,MATCH($B381,EID!$B:$B,0))/2,0),"")</f>
        <v/>
      </c>
      <c r="AO381" s="38" t="e">
        <f>IF($C381="&lt;01",SUM($AN381),ROUND(SUM($AM381)*SUM($O381)/IF(SUM($Z381)=0,1,$Z381),0))</f>
        <v>#REF!</v>
      </c>
      <c r="AP381" s="218">
        <f>IF(OR($F381="",$C381="&lt;01"),$AO381,ROUND($F381,0))</f>
        <v>164</v>
      </c>
      <c r="AQ381" s="218">
        <f>IF(LEFT($B381,4)="_Mil","",IF(SUM($AP381)=0,SUM($Z381),IF(OR(SUM($Z381)=0,SUM($O381)=0),MAX($AP381,$Z381),ROUND($AP381*$Z381/$O381,0))))</f>
        <v>169</v>
      </c>
      <c r="AR381" s="33" t="e">
        <f>IF(OR(LEFT($B381,4)="_Mil",SUM($AK381)=0),"",SUM($AQ381)/$AK381)</f>
        <v>#REF!</v>
      </c>
      <c r="AS381" s="33">
        <f t="shared" si="100"/>
        <v>0.98</v>
      </c>
      <c r="AT381" s="33">
        <f t="shared" si="98"/>
        <v>0.98</v>
      </c>
      <c r="AU381" s="38">
        <f>IF($C381="&lt;01","",SUM($AP381)-SUM($O381))</f>
        <v>0</v>
      </c>
      <c r="AV381" s="38">
        <f>IF($C381="&lt;01",ROUND(INDEX(EID!$N:$N,MATCH($B381,EID!$B:$B,0))/2,0),IF(SUM($AT381)=0,"",ROUND((SUM($AP381)-(SUM($O381)*SUM($AS381)))/$AT381,0)))</f>
        <v>3</v>
      </c>
      <c r="AW381" s="33">
        <f t="shared" si="96"/>
        <v>1</v>
      </c>
      <c r="AX381" s="218">
        <f>IF($C381="&lt;01",SUM($AV381),ROUND(SUM($AV381)*SUM($AW381),0))</f>
        <v>3</v>
      </c>
      <c r="AY381" s="79">
        <f t="shared" si="93"/>
        <v>0.7</v>
      </c>
      <c r="AZ381" s="85">
        <f>IF($C381="&lt;01",ROUND(INDEX(EID!$R:$R,MATCH($B381,EID!$B:$B,0))/2,0),ROUND(SUM($O381)+(SUM($AV381)*$AY381),0))</f>
        <v>166</v>
      </c>
      <c r="BA381" s="40">
        <f t="shared" si="97"/>
        <v>0.9</v>
      </c>
      <c r="BB381" s="99">
        <f>IF($C381="&lt;01",ROUND(INDEX(EID!$T:$T,MATCH($B381,EID!$B:$B,0))/2,0),ROUND($AP381*$BA381,0))</f>
        <v>148</v>
      </c>
      <c r="BC381" s="85">
        <f>IF(LEFT($B381,4)="_Mil","",IF(SUM($BB381)=0,SUM($AD381),IF(OR(SUM($AP381)=0,SUM($AQ381)=0),MAX($BB381,$AD381),ROUND($BB381*$AQ381/$AP381,0))))</f>
        <v>153</v>
      </c>
      <c r="BD381" s="33">
        <f t="shared" si="94"/>
        <v>0.95</v>
      </c>
      <c r="BE381" s="218">
        <f>IF($C381="&lt;01",ROUND(INDEX(EID!$V:$V,MATCH($B381,EID!$B:$B,0))/2,0),ROUND($BD381*$BB381,0))</f>
        <v>141</v>
      </c>
      <c r="BF381" s="218">
        <f>IF(LEFT($B381,4)="_Mil","",IF(SUM($BE381)=0,SUM($AF381),IF(OR(SUM($AP381)=0,SUM($AQ381)=0),MAX($BE381,$AF381),ROUND($BE381*$AQ381/$AP381,0))))</f>
        <v>145</v>
      </c>
      <c r="BG381" s="79">
        <f t="shared" si="95"/>
        <v>0.95</v>
      </c>
      <c r="BH381" s="99">
        <f>IF($C381="&lt;01",ROUND(INDEX(EID!$L:$L,MATCH($B381,EID!$B:$B,0)),0)/2,IF(SUM($BG381)=0,"",ROUND($AX381/$BG381,0)))</f>
        <v>3</v>
      </c>
    </row>
    <row r="382" spans="1:60" x14ac:dyDescent="0.2">
      <c r="A382" t="str">
        <f>INDEX(Prioritization!$D:$D,MATCH($B382,Prioritization!$A:$A,0))</f>
        <v>4 - Sustained</v>
      </c>
      <c r="B382" t="s">
        <v>306</v>
      </c>
      <c r="C382" t="s">
        <v>473</v>
      </c>
      <c r="D382" t="s">
        <v>48</v>
      </c>
      <c r="E382" t="str">
        <f t="shared" si="86"/>
        <v>Salima District [msW2zpIN7up]|01-09|Male</v>
      </c>
      <c r="F382" s="229">
        <v>182</v>
      </c>
      <c r="G382" s="38">
        <v>29</v>
      </c>
      <c r="H382" s="38">
        <v>27</v>
      </c>
      <c r="I382" s="38">
        <v>182</v>
      </c>
      <c r="J382" s="38">
        <v>149</v>
      </c>
      <c r="K382" s="38">
        <v>113</v>
      </c>
      <c r="L382" s="38">
        <v>11</v>
      </c>
      <c r="M382" s="38">
        <v>10</v>
      </c>
      <c r="N382" s="38">
        <v>206</v>
      </c>
      <c r="O382" s="229">
        <v>182</v>
      </c>
      <c r="P382" s="38">
        <v>181</v>
      </c>
      <c r="Q382" s="38">
        <v>172</v>
      </c>
      <c r="R382" s="38">
        <f t="shared" si="87"/>
        <v>0</v>
      </c>
      <c r="S382" s="38">
        <f>IF(LEFT($B382,4)="_Mil","",_xlfn.IFNA(ROUND(INDEX(Spectrum!$N:$N,MATCH(RIGHT($B382,13)&amp;"|"&amp;$C382&amp;"|"&amp;$D382&amp;"|"&amp;S$14&amp;"|"&amp;"CY2023Q4",Spectrum!$R:$R,0)),0),""))</f>
        <v>177</v>
      </c>
      <c r="T382" s="218">
        <f>IF(LEFT($B382,4)="_Mil","",_xlfn.IFNA(ROUND(INDEX(Spectrum!$N:$N,MATCH(RIGHT($B382,13)&amp;"|"&amp;$C382&amp;"|"&amp;$D382&amp;"|"&amp;T$14&amp;"|"&amp;"CY2024Q3",Spectrum!$R:$R,0)),0),""))</f>
        <v>80981</v>
      </c>
      <c r="U382" s="218">
        <f>IF(LEFT($B382,4)="_Mil","",_xlfn.IFNA(ROUND(INDEX(Spectrum!$N:$N,MATCH(RIGHT($B382,13)&amp;"|"&amp;$C382&amp;"|"&amp;$D382&amp;"|"&amp;U$14&amp;"|"&amp;"CY2024Q3",Spectrum!$R:$R,0)),0),""))</f>
        <v>233</v>
      </c>
      <c r="V382" s="38">
        <f>IF(LEFT($B382,4)="_Mil","",_xlfn.IFNA(ROUND(INDEX(Spectrum!$N:$N,MATCH(RIGHT($B382,13)&amp;"|"&amp;$C382&amp;"|"&amp;$D382&amp;"|"&amp;V$14&amp;"|"&amp;"CY2024Q3",Spectrum!$R:$R,0)),0),""))</f>
        <v>219</v>
      </c>
      <c r="W382" s="220">
        <f>IF(LEFT($B382,4)="_Mil","",_xlfn.IFNA(INDEX(Spectrum!$N:$N,MATCH(RIGHT($B382,13)&amp;"|"&amp;$C382&amp;"|"&amp;$D382&amp;"|"&amp;W$14&amp;"|"&amp;"CY2024Q3",Spectrum!$R:$R,0)),""))</f>
        <v>2.878804E-3</v>
      </c>
      <c r="X382" s="218">
        <f>IF(LEFT($B382,4)="_Mil","",_xlfn.IFNA(ROUND(INDEX(Spectrum!$N:$N,MATCH(RIGHT($B382,13)&amp;"|"&amp;$C382&amp;"|"&amp;$D382&amp;"|"&amp;X$14&amp;"|"&amp;"CY2024Q3",Spectrum!$R:$R,0)),0),""))</f>
        <v>188</v>
      </c>
      <c r="Y382" s="33">
        <f t="shared" si="88"/>
        <v>0.81</v>
      </c>
      <c r="Z382" s="218">
        <f>IF(LEFT($B382,4)="_Mil","",_xlfn.IFNA(ROUND(INDEX(Spectrum!$N:$N,MATCH(RIGHT($B382,13)&amp;"|"&amp;$C382&amp;"|"&amp;$D382&amp;"|"&amp;Z$14&amp;"|"&amp;"CY2024Q3",Spectrum!$R:$R,0)),0),""))</f>
        <v>167</v>
      </c>
      <c r="AA382" s="33">
        <f>IF(LEFT($B382,4)="_Mil","",IFERROR(1/(1/INDEX(Spectrum!$N:$N,MATCH(RIGHT($B382,13)&amp;"|"&amp;$C382&amp;"|"&amp;$D382&amp;"|"&amp;AA$14&amp;"|"&amp;"CY2024Q3",Spectrum!$R:$R,0))),IF(SUM($U382)=0,"",SUM($Z382)/$U382)))</f>
        <v>0.77840935</v>
      </c>
      <c r="AB382" s="33">
        <f t="shared" si="89"/>
        <v>0.88829787234042556</v>
      </c>
      <c r="AC382" s="38">
        <f>IF(LEFT($B382,4)="_Mil","",_xlfn.IFNA(ROUND(INDEX(Spectrum!$N:$N,MATCH(RIGHT($B382,13)&amp;"|"&amp;$C382&amp;"|"&amp;$D382&amp;"|"&amp;AC$14&amp;"|"&amp;"CY2024Q3",Spectrum!$R:$R,0)),0),""))</f>
        <v>52</v>
      </c>
      <c r="AD382" s="38" t="str">
        <f>IF(LEFT($B382,4)="_Mil","",_xlfn.IFNA(ROUND(INDEX(Spectrum!$N:$N,MATCH(RIGHT($B382,13)&amp;"|"&amp;$C382&amp;"|"&amp;$D382&amp;"|"&amp;AD$14&amp;"|"&amp;"CY2024Q3",Spectrum!$R:$R,0)),0),""))</f>
        <v/>
      </c>
      <c r="AE382" s="33">
        <f t="shared" si="90"/>
        <v>0</v>
      </c>
      <c r="AF382" s="218" t="str">
        <f>IF(LEFT($B382,4)="_Mil","",_xlfn.IFNA(ROUND(INDEX(Spectrum!$N:$N,MATCH(RIGHT($B382,13)&amp;"|"&amp;$C382&amp;"|"&amp;$D382&amp;"|"&amp;AF$14&amp;"|"&amp;"CY2024Q3",Spectrum!$R:$R,0)),0),""))</f>
        <v/>
      </c>
      <c r="AG382" s="33" t="str">
        <f t="shared" si="91"/>
        <v/>
      </c>
      <c r="AH382" s="110" t="str">
        <f>IF(LEFT($B382,4)="_Mil","",_xlfn.IFNA(INDEX(Spectrum!$N:$N,MATCH(RIGHT($B382,13)&amp;"|"&amp;$C382&amp;"|"&amp;$D382&amp;"|"&amp;AH$14&amp;"|"&amp;"CY2024Q3",Spectrum!$R:$R,0)),""))</f>
        <v/>
      </c>
      <c r="AI382" s="218">
        <f>IF(LEFT($B382,4)="_Mil","",_xlfn.IFNA(ROUND(INDEX(Spectrum!$N:$N,MATCH(RIGHT($B382,13)&amp;"|"&amp;$C382&amp;"|"&amp;$D382&amp;"|"&amp;AI$14&amp;"|"&amp;"CY2025Q3",Spectrum!$R:$R,0)),0),""))</f>
        <v>4</v>
      </c>
      <c r="AJ382" s="38">
        <f>IF(LEFT($B382,4)="_Mil","",_xlfn.IFNA(ROUND(INDEX(Spectrum!$N:$N,MATCH(RIGHT($B382,13)&amp;"|"&amp;$C382&amp;"|"&amp;$D382&amp;"|"&amp;AJ$14&amp;"|"&amp;"CY2025Q3",Spectrum!$R:$R,0)),0),""))</f>
        <v>200</v>
      </c>
      <c r="AK382" s="218" t="e">
        <f>#REF!</f>
        <v>#REF!</v>
      </c>
      <c r="AL382" s="33">
        <f t="shared" si="92"/>
        <v>0.9</v>
      </c>
      <c r="AM382" s="38" t="e">
        <f>IF(OR(LEFT($B382,4)="_Mil",$C382="&lt;01"),"",ROUND(SUM($AK382)*SUM($AL382),0))</f>
        <v>#REF!</v>
      </c>
      <c r="AN382" s="38" t="str">
        <f>IF($C382="&lt;01",ROUND(INDEX(EID!$P:$P,MATCH($B382,EID!$B:$B,0))/2,0),"")</f>
        <v/>
      </c>
      <c r="AO382" s="38" t="e">
        <f>IF($C382="&lt;01",SUM($AN382),ROUND(SUM($AM382)*SUM($O382)/IF(SUM($Z382)=0,1,$Z382),0))</f>
        <v>#REF!</v>
      </c>
      <c r="AP382" s="218">
        <f>IF(OR($F382="",$C382="&lt;01"),$AO382,ROUND($F382,0))</f>
        <v>182</v>
      </c>
      <c r="AQ382" s="218">
        <f>IF(LEFT($B382,4)="_Mil","",IF(SUM($AP382)=0,SUM($Z382),IF(OR(SUM($Z382)=0,SUM($O382)=0),MAX($AP382,$Z382),ROUND($AP382*$Z382/$O382,0))))</f>
        <v>167</v>
      </c>
      <c r="AR382" s="33" t="e">
        <f>IF(OR(LEFT($B382,4)="_Mil",SUM($AK382)=0),"",SUM($AQ382)/$AK382)</f>
        <v>#REF!</v>
      </c>
      <c r="AS382" s="33">
        <f t="shared" si="100"/>
        <v>0.98</v>
      </c>
      <c r="AT382" s="33">
        <f t="shared" si="98"/>
        <v>0.98</v>
      </c>
      <c r="AU382" s="38">
        <f>IF($C382="&lt;01","",SUM($AP382)-SUM($O382))</f>
        <v>0</v>
      </c>
      <c r="AV382" s="38">
        <f>IF($C382="&lt;01",ROUND(INDEX(EID!$N:$N,MATCH($B382,EID!$B:$B,0))/2,0),IF(SUM($AT382)=0,"",ROUND((SUM($AP382)-(SUM($O382)*SUM($AS382)))/$AT382,0)))</f>
        <v>4</v>
      </c>
      <c r="AW382" s="33">
        <f t="shared" si="96"/>
        <v>1</v>
      </c>
      <c r="AX382" s="218">
        <f>IF($C382="&lt;01",SUM($AV382),ROUND(SUM($AV382)*SUM($AW382),0))</f>
        <v>4</v>
      </c>
      <c r="AY382" s="79">
        <f t="shared" si="93"/>
        <v>0.7</v>
      </c>
      <c r="AZ382" s="85">
        <f>IF($C382="&lt;01",ROUND(INDEX(EID!$R:$R,MATCH($B382,EID!$B:$B,0))/2,0),ROUND(SUM($O382)+(SUM($AV382)*$AY382),0))</f>
        <v>185</v>
      </c>
      <c r="BA382" s="40">
        <f t="shared" si="97"/>
        <v>0.9</v>
      </c>
      <c r="BB382" s="99">
        <f>IF($C382="&lt;01",ROUND(INDEX(EID!$T:$T,MATCH($B382,EID!$B:$B,0))/2,0),ROUND($AP382*$BA382,0))</f>
        <v>164</v>
      </c>
      <c r="BC382" s="85">
        <f>IF(LEFT($B382,4)="_Mil","",IF(SUM($BB382)=0,SUM($AD382),IF(OR(SUM($AP382)=0,SUM($AQ382)=0),MAX($BB382,$AD382),ROUND($BB382*$AQ382/$AP382,0))))</f>
        <v>150</v>
      </c>
      <c r="BD382" s="33">
        <f t="shared" si="94"/>
        <v>0.95</v>
      </c>
      <c r="BE382" s="218">
        <f>IF($C382="&lt;01",ROUND(INDEX(EID!$V:$V,MATCH($B382,EID!$B:$B,0))/2,0),ROUND($BD382*$BB382,0))</f>
        <v>156</v>
      </c>
      <c r="BF382" s="218">
        <f>IF(LEFT($B382,4)="_Mil","",IF(SUM($BE382)=0,SUM($AF382),IF(OR(SUM($AP382)=0,SUM($AQ382)=0),MAX($BE382,$AF382),ROUND($BE382*$AQ382/$AP382,0))))</f>
        <v>143</v>
      </c>
      <c r="BG382" s="79">
        <f t="shared" si="95"/>
        <v>0.95</v>
      </c>
      <c r="BH382" s="99">
        <f>IF($C382="&lt;01",ROUND(INDEX(EID!$L:$L,MATCH($B382,EID!$B:$B,0)),0)/2,IF(SUM($BG382)=0,"",ROUND($AX382/$BG382,0)))</f>
        <v>4</v>
      </c>
    </row>
    <row r="383" spans="1:60" x14ac:dyDescent="0.2">
      <c r="A383" t="str">
        <f>INDEX(Prioritization!$D:$D,MATCH($B383,Prioritization!$A:$A,0))</f>
        <v>4 - Sustained</v>
      </c>
      <c r="B383" t="s">
        <v>306</v>
      </c>
      <c r="C383" t="s">
        <v>474</v>
      </c>
      <c r="D383" t="s">
        <v>30</v>
      </c>
      <c r="E383" t="str">
        <f t="shared" si="86"/>
        <v>Salima District [msW2zpIN7up]|10-14|Female</v>
      </c>
      <c r="F383" s="229">
        <v>238</v>
      </c>
      <c r="G383" s="38">
        <v>20</v>
      </c>
      <c r="H383" s="38">
        <v>8</v>
      </c>
      <c r="I383" s="38">
        <v>238</v>
      </c>
      <c r="J383" s="38">
        <v>156</v>
      </c>
      <c r="K383" s="38">
        <v>103</v>
      </c>
      <c r="L383" s="38">
        <v>31</v>
      </c>
      <c r="M383" s="38">
        <v>29</v>
      </c>
      <c r="N383" s="38">
        <v>244</v>
      </c>
      <c r="O383" s="229">
        <v>238</v>
      </c>
      <c r="P383" s="38">
        <v>203</v>
      </c>
      <c r="Q383" s="38">
        <v>193</v>
      </c>
      <c r="R383" s="38">
        <f t="shared" si="87"/>
        <v>0</v>
      </c>
      <c r="S383" s="38">
        <f>IF(LEFT($B383,4)="_Mil","",_xlfn.IFNA(ROUND(INDEX(Spectrum!$N:$N,MATCH(RIGHT($B383,13)&amp;"|"&amp;$C383&amp;"|"&amp;$D383&amp;"|"&amp;S$14&amp;"|"&amp;"CY2023Q4",Spectrum!$R:$R,0)),0),""))</f>
        <v>226</v>
      </c>
      <c r="T383" s="218">
        <f>IF(LEFT($B383,4)="_Mil","",_xlfn.IFNA(ROUND(INDEX(Spectrum!$N:$N,MATCH(RIGHT($B383,13)&amp;"|"&amp;$C383&amp;"|"&amp;$D383&amp;"|"&amp;T$14&amp;"|"&amp;"CY2024Q3",Spectrum!$R:$R,0)),0),""))</f>
        <v>40118</v>
      </c>
      <c r="U383" s="218">
        <f>IF(LEFT($B383,4)="_Mil","",_xlfn.IFNA(ROUND(INDEX(Spectrum!$N:$N,MATCH(RIGHT($B383,13)&amp;"|"&amp;$C383&amp;"|"&amp;$D383&amp;"|"&amp;U$14&amp;"|"&amp;"CY2024Q3",Spectrum!$R:$R,0)),0),""))</f>
        <v>288</v>
      </c>
      <c r="V383" s="38">
        <f>IF(LEFT($B383,4)="_Mil","",_xlfn.IFNA(ROUND(INDEX(Spectrum!$N:$N,MATCH(RIGHT($B383,13)&amp;"|"&amp;$C383&amp;"|"&amp;$D383&amp;"|"&amp;V$14&amp;"|"&amp;"CY2024Q3",Spectrum!$R:$R,0)),0),""))</f>
        <v>271</v>
      </c>
      <c r="W383" s="220">
        <f>IF(LEFT($B383,4)="_Mil","",_xlfn.IFNA(INDEX(Spectrum!$N:$N,MATCH(RIGHT($B383,13)&amp;"|"&amp;$C383&amp;"|"&amp;$D383&amp;"|"&amp;W$14&amp;"|"&amp;"CY2024Q3",Spectrum!$R:$R,0)),""))</f>
        <v>7.189974E-3</v>
      </c>
      <c r="X383" s="218">
        <f>IF(LEFT($B383,4)="_Mil","",_xlfn.IFNA(ROUND(INDEX(Spectrum!$N:$N,MATCH(RIGHT($B383,13)&amp;"|"&amp;$C383&amp;"|"&amp;$D383&amp;"|"&amp;X$14&amp;"|"&amp;"CY2024Q3",Spectrum!$R:$R,0)),0),""))</f>
        <v>241</v>
      </c>
      <c r="Y383" s="33">
        <f t="shared" si="88"/>
        <v>0.84</v>
      </c>
      <c r="Z383" s="218">
        <f>IF(LEFT($B383,4)="_Mil","",_xlfn.IFNA(ROUND(INDEX(Spectrum!$N:$N,MATCH(RIGHT($B383,13)&amp;"|"&amp;$C383&amp;"|"&amp;$D383&amp;"|"&amp;Z$14&amp;"|"&amp;"CY2024Q3",Spectrum!$R:$R,0)),0),""))</f>
        <v>221</v>
      </c>
      <c r="AA383" s="33">
        <f>IF(LEFT($B383,4)="_Mil","",IFERROR(1/(1/INDEX(Spectrum!$N:$N,MATCH(RIGHT($B383,13)&amp;"|"&amp;$C383&amp;"|"&amp;$D383&amp;"|"&amp;AA$14&amp;"|"&amp;"CY2024Q3",Spectrum!$R:$R,0))),IF(SUM($U383)=0,"",SUM($Z383)/$U383)))</f>
        <v>0.80802627000000016</v>
      </c>
      <c r="AB383" s="33">
        <f t="shared" si="89"/>
        <v>0.91701244813278004</v>
      </c>
      <c r="AC383" s="38">
        <f>IF(LEFT($B383,4)="_Mil","",_xlfn.IFNA(ROUND(INDEX(Spectrum!$N:$N,MATCH(RIGHT($B383,13)&amp;"|"&amp;$C383&amp;"|"&amp;$D383&amp;"|"&amp;AC$14&amp;"|"&amp;"CY2024Q3",Spectrum!$R:$R,0)),0),""))</f>
        <v>50</v>
      </c>
      <c r="AD383" s="38" t="str">
        <f>IF(LEFT($B383,4)="_Mil","",_xlfn.IFNA(ROUND(INDEX(Spectrum!$N:$N,MATCH(RIGHT($B383,13)&amp;"|"&amp;$C383&amp;"|"&amp;$D383&amp;"|"&amp;AD$14&amp;"|"&amp;"CY2024Q3",Spectrum!$R:$R,0)),0),""))</f>
        <v/>
      </c>
      <c r="AE383" s="33">
        <f t="shared" si="90"/>
        <v>0</v>
      </c>
      <c r="AF383" s="218" t="str">
        <f>IF(LEFT($B383,4)="_Mil","",_xlfn.IFNA(ROUND(INDEX(Spectrum!$N:$N,MATCH(RIGHT($B383,13)&amp;"|"&amp;$C383&amp;"|"&amp;$D383&amp;"|"&amp;AF$14&amp;"|"&amp;"CY2024Q3",Spectrum!$R:$R,0)),0),""))</f>
        <v/>
      </c>
      <c r="AG383" s="33" t="str">
        <f t="shared" si="91"/>
        <v/>
      </c>
      <c r="AH383" s="110" t="str">
        <f>IF(LEFT($B383,4)="_Mil","",_xlfn.IFNA(INDEX(Spectrum!$N:$N,MATCH(RIGHT($B383,13)&amp;"|"&amp;$C383&amp;"|"&amp;$D383&amp;"|"&amp;AH$14&amp;"|"&amp;"CY2024Q3",Spectrum!$R:$R,0)),""))</f>
        <v/>
      </c>
      <c r="AI383" s="218">
        <f>IF(LEFT($B383,4)="_Mil","",_xlfn.IFNA(ROUND(INDEX(Spectrum!$N:$N,MATCH(RIGHT($B383,13)&amp;"|"&amp;$C383&amp;"|"&amp;$D383&amp;"|"&amp;AI$14&amp;"|"&amp;"CY2025Q3",Spectrum!$R:$R,0)),0),""))</f>
        <v>0</v>
      </c>
      <c r="AJ383" s="38">
        <f>IF(LEFT($B383,4)="_Mil","",_xlfn.IFNA(ROUND(INDEX(Spectrum!$N:$N,MATCH(RIGHT($B383,13)&amp;"|"&amp;$C383&amp;"|"&amp;$D383&amp;"|"&amp;AJ$14&amp;"|"&amp;"CY2025Q3",Spectrum!$R:$R,0)),0),""))</f>
        <v>260</v>
      </c>
      <c r="AK383" s="218" t="e">
        <f>#REF!</f>
        <v>#REF!</v>
      </c>
      <c r="AL383" s="33">
        <f t="shared" si="92"/>
        <v>0.9</v>
      </c>
      <c r="AM383" s="38" t="e">
        <f>IF(OR(LEFT($B383,4)="_Mil",$C383="&lt;01"),"",ROUND(SUM($AK383)*SUM($AL383),0))</f>
        <v>#REF!</v>
      </c>
      <c r="AN383" s="38" t="str">
        <f>IF($C383="&lt;01",ROUND(INDEX(EID!$P:$P,MATCH($B383,EID!$B:$B,0))/2,0),"")</f>
        <v/>
      </c>
      <c r="AO383" s="38" t="e">
        <f>IF($C383="&lt;01",SUM($AN383),ROUND(SUM($AM383)*SUM($O383)/IF(SUM($Z383)=0,1,$Z383),0))</f>
        <v>#REF!</v>
      </c>
      <c r="AP383" s="218">
        <f>IF(OR($F383="",$C383="&lt;01"),$AO383,ROUND($F383,0))</f>
        <v>238</v>
      </c>
      <c r="AQ383" s="218">
        <f>IF(LEFT($B383,4)="_Mil","",IF(SUM($AP383)=0,SUM($Z383),IF(OR(SUM($Z383)=0,SUM($O383)=0),MAX($AP383,$Z383),ROUND($AP383*$Z383/$O383,0))))</f>
        <v>221</v>
      </c>
      <c r="AR383" s="33" t="e">
        <f>IF(OR(LEFT($B383,4)="_Mil",SUM($AK383)=0),"",SUM($AQ383)/$AK383)</f>
        <v>#REF!</v>
      </c>
      <c r="AS383" s="33">
        <f>IF($C383="&lt;01","",90%)</f>
        <v>0.9</v>
      </c>
      <c r="AT383" s="33">
        <f t="shared" si="98"/>
        <v>0.98</v>
      </c>
      <c r="AU383" s="38">
        <f>IF($C383="&lt;01","",SUM($AP383)-SUM($O383))</f>
        <v>0</v>
      </c>
      <c r="AV383" s="38">
        <f>IF($C383="&lt;01",ROUND(INDEX(EID!$N:$N,MATCH($B383,EID!$B:$B,0))/2,0),IF(SUM($AT383)=0,"",ROUND((SUM($AP383)-(SUM($O383)*SUM($AS383)))/$AT383,0)))</f>
        <v>24</v>
      </c>
      <c r="AW383" s="33">
        <f t="shared" si="96"/>
        <v>1</v>
      </c>
      <c r="AX383" s="218">
        <f>IF($C383="&lt;01",SUM($AV383),ROUND(SUM($AV383)*SUM($AW383),0))</f>
        <v>24</v>
      </c>
      <c r="AY383" s="79">
        <f t="shared" si="93"/>
        <v>0.7</v>
      </c>
      <c r="AZ383" s="85">
        <f>IF($C383="&lt;01",ROUND(INDEX(EID!$R:$R,MATCH($B383,EID!$B:$B,0))/2,0),ROUND(SUM($O383)+(SUM($AV383)*$AY383),0))</f>
        <v>255</v>
      </c>
      <c r="BA383" s="40">
        <f t="shared" si="97"/>
        <v>0.9</v>
      </c>
      <c r="BB383" s="99">
        <f>IF($C383="&lt;01",ROUND(INDEX(EID!$T:$T,MATCH($B383,EID!$B:$B,0))/2,0),ROUND($AP383*$BA383,0))</f>
        <v>214</v>
      </c>
      <c r="BC383" s="85">
        <f>IF(LEFT($B383,4)="_Mil","",IF(SUM($BB383)=0,SUM($AD383),IF(OR(SUM($AP383)=0,SUM($AQ383)=0),MAX($BB383,$AD383),ROUND($BB383*$AQ383/$AP383,0))))</f>
        <v>199</v>
      </c>
      <c r="BD383" s="33">
        <f t="shared" si="94"/>
        <v>0.95</v>
      </c>
      <c r="BE383" s="218">
        <f>IF($C383="&lt;01",ROUND(INDEX(EID!$V:$V,MATCH($B383,EID!$B:$B,0))/2,0),ROUND($BD383*$BB383,0))</f>
        <v>203</v>
      </c>
      <c r="BF383" s="218">
        <f>IF(LEFT($B383,4)="_Mil","",IF(SUM($BE383)=0,SUM($AF383),IF(OR(SUM($AP383)=0,SUM($AQ383)=0),MAX($BE383,$AF383),ROUND($BE383*$AQ383/$AP383,0))))</f>
        <v>189</v>
      </c>
      <c r="BG383" s="79">
        <f t="shared" si="95"/>
        <v>0.95</v>
      </c>
      <c r="BH383" s="99">
        <f>IF($C383="&lt;01",ROUND(INDEX(EID!$L:$L,MATCH($B383,EID!$B:$B,0)),0)/2,IF(SUM($BG383)=0,"",ROUND($AX383/$BG383,0)))</f>
        <v>25</v>
      </c>
    </row>
    <row r="384" spans="1:60" x14ac:dyDescent="0.2">
      <c r="A384" t="str">
        <f>INDEX(Prioritization!$D:$D,MATCH($B384,Prioritization!$A:$A,0))</f>
        <v>4 - Sustained</v>
      </c>
      <c r="B384" t="s">
        <v>306</v>
      </c>
      <c r="C384" t="s">
        <v>474</v>
      </c>
      <c r="D384" t="s">
        <v>48</v>
      </c>
      <c r="E384" t="str">
        <f t="shared" si="86"/>
        <v>Salima District [msW2zpIN7up]|10-14|Male</v>
      </c>
      <c r="F384" s="229">
        <v>203</v>
      </c>
      <c r="G384" s="38">
        <v>11</v>
      </c>
      <c r="H384" s="38">
        <v>5</v>
      </c>
      <c r="I384" s="38">
        <v>193</v>
      </c>
      <c r="J384" s="38">
        <v>147</v>
      </c>
      <c r="K384" s="38">
        <v>91</v>
      </c>
      <c r="L384" s="38">
        <v>31</v>
      </c>
      <c r="M384" s="38">
        <v>29</v>
      </c>
      <c r="N384" s="38">
        <v>244</v>
      </c>
      <c r="O384" s="229">
        <v>203</v>
      </c>
      <c r="P384" s="38">
        <v>203</v>
      </c>
      <c r="Q384" s="38">
        <v>193</v>
      </c>
      <c r="R384" s="38">
        <f t="shared" si="87"/>
        <v>10</v>
      </c>
      <c r="S384" s="38">
        <f>IF(LEFT($B384,4)="_Mil","",_xlfn.IFNA(ROUND(INDEX(Spectrum!$N:$N,MATCH(RIGHT($B384,13)&amp;"|"&amp;$C384&amp;"|"&amp;$D384&amp;"|"&amp;S$14&amp;"|"&amp;"CY2023Q4",Spectrum!$R:$R,0)),0),""))</f>
        <v>221</v>
      </c>
      <c r="T384" s="218">
        <f>IF(LEFT($B384,4)="_Mil","",_xlfn.IFNA(ROUND(INDEX(Spectrum!$N:$N,MATCH(RIGHT($B384,13)&amp;"|"&amp;$C384&amp;"|"&amp;$D384&amp;"|"&amp;T$14&amp;"|"&amp;"CY2024Q3",Spectrum!$R:$R,0)),0),""))</f>
        <v>40590</v>
      </c>
      <c r="U384" s="218">
        <f>IF(LEFT($B384,4)="_Mil","",_xlfn.IFNA(ROUND(INDEX(Spectrum!$N:$N,MATCH(RIGHT($B384,13)&amp;"|"&amp;$C384&amp;"|"&amp;$D384&amp;"|"&amp;U$14&amp;"|"&amp;"CY2024Q3",Spectrum!$R:$R,0)),0),""))</f>
        <v>289</v>
      </c>
      <c r="V384" s="38">
        <f>IF(LEFT($B384,4)="_Mil","",_xlfn.IFNA(ROUND(INDEX(Spectrum!$N:$N,MATCH(RIGHT($B384,13)&amp;"|"&amp;$C384&amp;"|"&amp;$D384&amp;"|"&amp;V$14&amp;"|"&amp;"CY2024Q3",Spectrum!$R:$R,0)),0),""))</f>
        <v>271</v>
      </c>
      <c r="W384" s="220">
        <f>IF(LEFT($B384,4)="_Mil","",_xlfn.IFNA(INDEX(Spectrum!$N:$N,MATCH(RIGHT($B384,13)&amp;"|"&amp;$C384&amp;"|"&amp;$D384&amp;"|"&amp;W$14&amp;"|"&amp;"CY2024Q3",Spectrum!$R:$R,0)),""))</f>
        <v>7.1141399999999997E-3</v>
      </c>
      <c r="X384" s="218">
        <f>IF(LEFT($B384,4)="_Mil","",_xlfn.IFNA(ROUND(INDEX(Spectrum!$N:$N,MATCH(RIGHT($B384,13)&amp;"|"&amp;$C384&amp;"|"&amp;$D384&amp;"|"&amp;X$14&amp;"|"&amp;"CY2024Q3",Spectrum!$R:$R,0)),0),""))</f>
        <v>241</v>
      </c>
      <c r="Y384" s="33">
        <f t="shared" si="88"/>
        <v>0.83</v>
      </c>
      <c r="Z384" s="218">
        <f>IF(LEFT($B384,4)="_Mil","",_xlfn.IFNA(ROUND(INDEX(Spectrum!$N:$N,MATCH(RIGHT($B384,13)&amp;"|"&amp;$C384&amp;"|"&amp;$D384&amp;"|"&amp;Z$14&amp;"|"&amp;"CY2024Q3",Spectrum!$R:$R,0)),0),""))</f>
        <v>217</v>
      </c>
      <c r="AA384" s="33">
        <f>IF(LEFT($B384,4)="_Mil","",IFERROR(1/(1/INDEX(Spectrum!$N:$N,MATCH(RIGHT($B384,13)&amp;"|"&amp;$C384&amp;"|"&amp;$D384&amp;"|"&amp;AA$14&amp;"|"&amp;"CY2024Q3",Spectrum!$R:$R,0))),IF(SUM($U384)=0,"",SUM($Z384)/$U384)))</f>
        <v>0.80787807499999997</v>
      </c>
      <c r="AB384" s="33">
        <f t="shared" si="89"/>
        <v>0.90041493775933612</v>
      </c>
      <c r="AC384" s="38">
        <f>IF(LEFT($B384,4)="_Mil","",_xlfn.IFNA(ROUND(INDEX(Spectrum!$N:$N,MATCH(RIGHT($B384,13)&amp;"|"&amp;$C384&amp;"|"&amp;$D384&amp;"|"&amp;AC$14&amp;"|"&amp;"CY2024Q3",Spectrum!$R:$R,0)),0),""))</f>
        <v>55</v>
      </c>
      <c r="AD384" s="38" t="str">
        <f>IF(LEFT($B384,4)="_Mil","",_xlfn.IFNA(ROUND(INDEX(Spectrum!$N:$N,MATCH(RIGHT($B384,13)&amp;"|"&amp;$C384&amp;"|"&amp;$D384&amp;"|"&amp;AD$14&amp;"|"&amp;"CY2024Q3",Spectrum!$R:$R,0)),0),""))</f>
        <v/>
      </c>
      <c r="AE384" s="33">
        <f t="shared" si="90"/>
        <v>0</v>
      </c>
      <c r="AF384" s="218" t="str">
        <f>IF(LEFT($B384,4)="_Mil","",_xlfn.IFNA(ROUND(INDEX(Spectrum!$N:$N,MATCH(RIGHT($B384,13)&amp;"|"&amp;$C384&amp;"|"&amp;$D384&amp;"|"&amp;AF$14&amp;"|"&amp;"CY2024Q3",Spectrum!$R:$R,0)),0),""))</f>
        <v/>
      </c>
      <c r="AG384" s="33" t="str">
        <f t="shared" si="91"/>
        <v/>
      </c>
      <c r="AH384" s="110" t="str">
        <f>IF(LEFT($B384,4)="_Mil","",_xlfn.IFNA(INDEX(Spectrum!$N:$N,MATCH(RIGHT($B384,13)&amp;"|"&amp;$C384&amp;"|"&amp;$D384&amp;"|"&amp;AH$14&amp;"|"&amp;"CY2024Q3",Spectrum!$R:$R,0)),""))</f>
        <v/>
      </c>
      <c r="AI384" s="218">
        <f>IF(LEFT($B384,4)="_Mil","",_xlfn.IFNA(ROUND(INDEX(Spectrum!$N:$N,MATCH(RIGHT($B384,13)&amp;"|"&amp;$C384&amp;"|"&amp;$D384&amp;"|"&amp;AI$14&amp;"|"&amp;"CY2025Q3",Spectrum!$R:$R,0)),0),""))</f>
        <v>0</v>
      </c>
      <c r="AJ384" s="38">
        <f>IF(LEFT($B384,4)="_Mil","",_xlfn.IFNA(ROUND(INDEX(Spectrum!$N:$N,MATCH(RIGHT($B384,13)&amp;"|"&amp;$C384&amp;"|"&amp;$D384&amp;"|"&amp;AJ$14&amp;"|"&amp;"CY2025Q3",Spectrum!$R:$R,0)),0),""))</f>
        <v>261</v>
      </c>
      <c r="AK384" s="218" t="e">
        <f>#REF!</f>
        <v>#REF!</v>
      </c>
      <c r="AL384" s="33">
        <f t="shared" si="92"/>
        <v>0.9</v>
      </c>
      <c r="AM384" s="38" t="e">
        <f>IF(OR(LEFT($B384,4)="_Mil",$C384="&lt;01"),"",ROUND(SUM($AK384)*SUM($AL384),0))</f>
        <v>#REF!</v>
      </c>
      <c r="AN384" s="38" t="str">
        <f>IF($C384="&lt;01",ROUND(INDEX(EID!$P:$P,MATCH($B384,EID!$B:$B,0))/2,0),"")</f>
        <v/>
      </c>
      <c r="AO384" s="38" t="e">
        <f>IF($C384="&lt;01",SUM($AN384),ROUND(SUM($AM384)*SUM($O384)/IF(SUM($Z384)=0,1,$Z384),0))</f>
        <v>#REF!</v>
      </c>
      <c r="AP384" s="218">
        <f>IF(OR($F384="",$C384="&lt;01"),$AO384,ROUND($F384,0))</f>
        <v>203</v>
      </c>
      <c r="AQ384" s="218">
        <f>IF(LEFT($B384,4)="_Mil","",IF(SUM($AP384)=0,SUM($Z384),IF(OR(SUM($Z384)=0,SUM($O384)=0),MAX($AP384,$Z384),ROUND($AP384*$Z384/$O384,0))))</f>
        <v>217</v>
      </c>
      <c r="AR384" s="33" t="e">
        <f>IF(OR(LEFT($B384,4)="_Mil",SUM($AK384)=0),"",SUM($AQ384)/$AK384)</f>
        <v>#REF!</v>
      </c>
      <c r="AS384" s="33">
        <f t="shared" si="100"/>
        <v>0.98</v>
      </c>
      <c r="AT384" s="33">
        <f t="shared" si="98"/>
        <v>0.98</v>
      </c>
      <c r="AU384" s="38">
        <f>IF($C384="&lt;01","",SUM($AP384)-SUM($O384))</f>
        <v>0</v>
      </c>
      <c r="AV384" s="38">
        <f>IF($C384="&lt;01",ROUND(INDEX(EID!$N:$N,MATCH($B384,EID!$B:$B,0))/2,0),IF(SUM($AT384)=0,"",ROUND((SUM($AP384)-(SUM($O384)*SUM($AS384)))/$AT384,0)))</f>
        <v>4</v>
      </c>
      <c r="AW384" s="33">
        <f t="shared" si="96"/>
        <v>1</v>
      </c>
      <c r="AX384" s="218">
        <f>IF($C384="&lt;01",SUM($AV384),ROUND(SUM($AV384)*SUM($AW384),0))</f>
        <v>4</v>
      </c>
      <c r="AY384" s="79">
        <f t="shared" si="93"/>
        <v>0.7</v>
      </c>
      <c r="AZ384" s="85">
        <f>IF($C384="&lt;01",ROUND(INDEX(EID!$R:$R,MATCH($B384,EID!$B:$B,0))/2,0),ROUND(SUM($O384)+(SUM($AV384)*$AY384),0))</f>
        <v>206</v>
      </c>
      <c r="BA384" s="40">
        <f t="shared" si="97"/>
        <v>0.9</v>
      </c>
      <c r="BB384" s="99">
        <f>IF($C384="&lt;01",ROUND(INDEX(EID!$T:$T,MATCH($B384,EID!$B:$B,0))/2,0),ROUND($AP384*$BA384,0))</f>
        <v>183</v>
      </c>
      <c r="BC384" s="85">
        <f>IF(LEFT($B384,4)="_Mil","",IF(SUM($BB384)=0,SUM($AD384),IF(OR(SUM($AP384)=0,SUM($AQ384)=0),MAX($BB384,$AD384),ROUND($BB384*$AQ384/$AP384,0))))</f>
        <v>196</v>
      </c>
      <c r="BD384" s="33">
        <f t="shared" si="94"/>
        <v>0.95</v>
      </c>
      <c r="BE384" s="218">
        <f>IF($C384="&lt;01",ROUND(INDEX(EID!$V:$V,MATCH($B384,EID!$B:$B,0))/2,0),ROUND($BD384*$BB384,0))</f>
        <v>174</v>
      </c>
      <c r="BF384" s="218">
        <f>IF(LEFT($B384,4)="_Mil","",IF(SUM($BE384)=0,SUM($AF384),IF(OR(SUM($AP384)=0,SUM($AQ384)=0),MAX($BE384,$AF384),ROUND($BE384*$AQ384/$AP384,0))))</f>
        <v>186</v>
      </c>
      <c r="BG384" s="79">
        <f t="shared" si="95"/>
        <v>0.95</v>
      </c>
      <c r="BH384" s="99">
        <f>IF($C384="&lt;01",ROUND(INDEX(EID!$L:$L,MATCH($B384,EID!$B:$B,0)),0)/2,IF(SUM($BG384)=0,"",ROUND($AX384/$BG384,0)))</f>
        <v>4</v>
      </c>
    </row>
    <row r="385" spans="1:60" x14ac:dyDescent="0.2">
      <c r="A385" t="str">
        <f>INDEX(Prioritization!$D:$D,MATCH($B385,Prioritization!$A:$A,0))</f>
        <v>4 - Sustained</v>
      </c>
      <c r="B385" t="s">
        <v>306</v>
      </c>
      <c r="C385" t="s">
        <v>475</v>
      </c>
      <c r="D385" t="s">
        <v>30</v>
      </c>
      <c r="E385" t="str">
        <f t="shared" si="86"/>
        <v>Salima District [msW2zpIN7up]|15-24|Female</v>
      </c>
      <c r="F385" s="229">
        <v>732</v>
      </c>
      <c r="G385" s="38">
        <v>208</v>
      </c>
      <c r="H385" s="38">
        <v>192</v>
      </c>
      <c r="I385" s="38">
        <v>732</v>
      </c>
      <c r="J385" s="38">
        <v>557</v>
      </c>
      <c r="K385" s="38">
        <v>466</v>
      </c>
      <c r="L385" s="38">
        <v>76</v>
      </c>
      <c r="M385" s="38">
        <v>74</v>
      </c>
      <c r="N385" s="38">
        <v>859</v>
      </c>
      <c r="O385" s="229">
        <v>732</v>
      </c>
      <c r="P385" s="38">
        <v>787</v>
      </c>
      <c r="Q385" s="38">
        <v>748</v>
      </c>
      <c r="R385" s="38">
        <f t="shared" si="87"/>
        <v>0</v>
      </c>
      <c r="S385" s="38">
        <f>IF(LEFT($B385,4)="_Mil","",_xlfn.IFNA(ROUND(INDEX(Spectrum!$N:$N,MATCH(RIGHT($B385,13)&amp;"|"&amp;$C385&amp;"|"&amp;$D385&amp;"|"&amp;S$14&amp;"|"&amp;"CY2023Q4",Spectrum!$R:$R,0)),0),""))</f>
        <v>876</v>
      </c>
      <c r="T385" s="218">
        <f>IF(LEFT($B385,4)="_Mil","",_xlfn.IFNA(ROUND(INDEX(Spectrum!$N:$N,MATCH(RIGHT($B385,13)&amp;"|"&amp;$C385&amp;"|"&amp;$D385&amp;"|"&amp;T$14&amp;"|"&amp;"CY2024Q3",Spectrum!$R:$R,0)),0),""))</f>
        <v>65175</v>
      </c>
      <c r="U385" s="218">
        <f>IF(LEFT($B385,4)="_Mil","",_xlfn.IFNA(ROUND(INDEX(Spectrum!$N:$N,MATCH(RIGHT($B385,13)&amp;"|"&amp;$C385&amp;"|"&amp;$D385&amp;"|"&amp;U$14&amp;"|"&amp;"CY2024Q3",Spectrum!$R:$R,0)),0),""))</f>
        <v>968</v>
      </c>
      <c r="V385" s="38">
        <f>IF(LEFT($B385,4)="_Mil","",_xlfn.IFNA(ROUND(INDEX(Spectrum!$N:$N,MATCH(RIGHT($B385,13)&amp;"|"&amp;$C385&amp;"|"&amp;$D385&amp;"|"&amp;V$14&amp;"|"&amp;"CY2024Q3",Spectrum!$R:$R,0)),0),""))</f>
        <v>912</v>
      </c>
      <c r="W385" s="220">
        <f>IF(LEFT($B385,4)="_Mil","",_xlfn.IFNA(INDEX(Spectrum!$N:$N,MATCH(RIGHT($B385,13)&amp;"|"&amp;$C385&amp;"|"&amp;$D385&amp;"|"&amp;W$14&amp;"|"&amp;"CY2024Q3",Spectrum!$R:$R,0)),""))</f>
        <v>1.4857617E-2</v>
      </c>
      <c r="X385" s="218">
        <f>IF(LEFT($B385,4)="_Mil","",_xlfn.IFNA(ROUND(INDEX(Spectrum!$N:$N,MATCH(RIGHT($B385,13)&amp;"|"&amp;$C385&amp;"|"&amp;$D385&amp;"|"&amp;X$14&amp;"|"&amp;"CY2024Q3",Spectrum!$R:$R,0)),0),""))</f>
        <v>918</v>
      </c>
      <c r="Y385" s="33">
        <f t="shared" si="88"/>
        <v>0.95</v>
      </c>
      <c r="Z385" s="218">
        <f>IF(LEFT($B385,4)="_Mil","",_xlfn.IFNA(ROUND(INDEX(Spectrum!$N:$N,MATCH(RIGHT($B385,13)&amp;"|"&amp;$C385&amp;"|"&amp;$D385&amp;"|"&amp;Z$14&amp;"|"&amp;"CY2024Q3",Spectrum!$R:$R,0)),0),""))</f>
        <v>863</v>
      </c>
      <c r="AA385" s="33">
        <f>IF(LEFT($B385,4)="_Mil","",IFERROR(1/(1/INDEX(Spectrum!$N:$N,MATCH(RIGHT($B385,13)&amp;"|"&amp;$C385&amp;"|"&amp;$D385&amp;"|"&amp;AA$14&amp;"|"&amp;"CY2024Q3",Spectrum!$R:$R,0))),IF(SUM($U385)=0,"",SUM($Z385)/$U385)))</f>
        <v>0.94846739200000008</v>
      </c>
      <c r="AB385" s="33">
        <f t="shared" si="89"/>
        <v>0.94008714596949894</v>
      </c>
      <c r="AC385" s="38">
        <f>IF(LEFT($B385,4)="_Mil","",_xlfn.IFNA(ROUND(INDEX(Spectrum!$N:$N,MATCH(RIGHT($B385,13)&amp;"|"&amp;$C385&amp;"|"&amp;$D385&amp;"|"&amp;AC$14&amp;"|"&amp;"CY2024Q3",Spectrum!$R:$R,0)),0),""))</f>
        <v>49</v>
      </c>
      <c r="AD385" s="38" t="str">
        <f>IF(LEFT($B385,4)="_Mil","",_xlfn.IFNA(ROUND(INDEX(Spectrum!$N:$N,MATCH(RIGHT($B385,13)&amp;"|"&amp;$C385&amp;"|"&amp;$D385&amp;"|"&amp;AD$14&amp;"|"&amp;"CY2024Q3",Spectrum!$R:$R,0)),0),""))</f>
        <v/>
      </c>
      <c r="AE385" s="33">
        <f t="shared" si="90"/>
        <v>0</v>
      </c>
      <c r="AF385" s="218" t="str">
        <f>IF(LEFT($B385,4)="_Mil","",_xlfn.IFNA(ROUND(INDEX(Spectrum!$N:$N,MATCH(RIGHT($B385,13)&amp;"|"&amp;$C385&amp;"|"&amp;$D385&amp;"|"&amp;AF$14&amp;"|"&amp;"CY2024Q3",Spectrum!$R:$R,0)),0),""))</f>
        <v/>
      </c>
      <c r="AG385" s="33" t="str">
        <f t="shared" si="91"/>
        <v/>
      </c>
      <c r="AH385" s="110" t="str">
        <f>IF(LEFT($B385,4)="_Mil","",_xlfn.IFNA(INDEX(Spectrum!$N:$N,MATCH(RIGHT($B385,13)&amp;"|"&amp;$C385&amp;"|"&amp;$D385&amp;"|"&amp;AH$14&amp;"|"&amp;"CY2024Q3",Spectrum!$R:$R,0)),""))</f>
        <v/>
      </c>
      <c r="AI385" s="218">
        <f>IF(LEFT($B385,4)="_Mil","",_xlfn.IFNA(ROUND(INDEX(Spectrum!$N:$N,MATCH(RIGHT($B385,13)&amp;"|"&amp;$C385&amp;"|"&amp;$D385&amp;"|"&amp;AI$14&amp;"|"&amp;"CY2025Q3",Spectrum!$R:$R,0)),0),""))</f>
        <v>56</v>
      </c>
      <c r="AJ385" s="38">
        <f>IF(LEFT($B385,4)="_Mil","",_xlfn.IFNA(ROUND(INDEX(Spectrum!$N:$N,MATCH(RIGHT($B385,13)&amp;"|"&amp;$C385&amp;"|"&amp;$D385&amp;"|"&amp;AJ$14&amp;"|"&amp;"CY2025Q3",Spectrum!$R:$R,0)),0),""))</f>
        <v>946</v>
      </c>
      <c r="AK385" s="218" t="e">
        <f>#REF!</f>
        <v>#REF!</v>
      </c>
      <c r="AL385" s="33">
        <f t="shared" si="92"/>
        <v>0.94846739200000008</v>
      </c>
      <c r="AM385" s="38" t="e">
        <f>IF(OR(LEFT($B385,4)="_Mil",$C385="&lt;01"),"",ROUND(SUM($AK385)*SUM($AL385),0))</f>
        <v>#REF!</v>
      </c>
      <c r="AN385" s="38" t="str">
        <f>IF($C385="&lt;01",ROUND(INDEX(EID!$P:$P,MATCH($B385,EID!$B:$B,0))/2,0),"")</f>
        <v/>
      </c>
      <c r="AO385" s="38" t="e">
        <f>IF($C385="&lt;01",SUM($AN385),ROUND(SUM($AM385)*SUM($O385)/IF(SUM($Z385)=0,1,$Z385),0))</f>
        <v>#REF!</v>
      </c>
      <c r="AP385" s="218">
        <f>IF(OR($F385="",$C385="&lt;01"),$AO385,ROUND($F385,0))</f>
        <v>732</v>
      </c>
      <c r="AQ385" s="218">
        <f>IF(LEFT($B385,4)="_Mil","",IF(SUM($AP385)=0,SUM($Z385),IF(OR(SUM($Z385)=0,SUM($O385)=0),MAX($AP385,$Z385),ROUND($AP385*$Z385/$O385,0))))</f>
        <v>863</v>
      </c>
      <c r="AR385" s="33" t="e">
        <f>IF(OR(LEFT($B385,4)="_Mil",SUM($AK385)=0),"",SUM($AQ385)/$AK385)</f>
        <v>#REF!</v>
      </c>
      <c r="AS385" s="33">
        <f>IF($C385="&lt;01","",83%)</f>
        <v>0.83</v>
      </c>
      <c r="AT385" s="33">
        <f>IF($C385="&lt;01","",90%)</f>
        <v>0.9</v>
      </c>
      <c r="AU385" s="38">
        <f>IF($C385="&lt;01","",SUM($AP385)-SUM($O385))</f>
        <v>0</v>
      </c>
      <c r="AV385" s="38">
        <f>IF($C385="&lt;01",ROUND(INDEX(EID!$N:$N,MATCH($B385,EID!$B:$B,0))/2,0),IF(SUM($AT385)=0,"",ROUND((SUM($AP385)-(SUM($O385)*SUM($AS385)))/$AT385,0)))</f>
        <v>138</v>
      </c>
      <c r="AW385" s="33">
        <f t="shared" si="96"/>
        <v>1</v>
      </c>
      <c r="AX385" s="218">
        <f>IF($C385="&lt;01",SUM($AV385),ROUND(SUM($AV385)*SUM($AW385),0))</f>
        <v>138</v>
      </c>
      <c r="AY385" s="79">
        <f t="shared" si="93"/>
        <v>0.7</v>
      </c>
      <c r="AZ385" s="85">
        <f>IF($C385="&lt;01",ROUND(INDEX(EID!$R:$R,MATCH($B385,EID!$B:$B,0))/2,0),ROUND(SUM($O385)+(SUM($AV385)*$AY385),0))</f>
        <v>829</v>
      </c>
      <c r="BA385" s="40">
        <f t="shared" si="97"/>
        <v>0.9</v>
      </c>
      <c r="BB385" s="99">
        <f>IF($C385="&lt;01",ROUND(INDEX(EID!$T:$T,MATCH($B385,EID!$B:$B,0))/2,0),ROUND($AP385*$BA385,0))</f>
        <v>659</v>
      </c>
      <c r="BC385" s="85">
        <f>IF(LEFT($B385,4)="_Mil","",IF(SUM($BB385)=0,SUM($AD385),IF(OR(SUM($AP385)=0,SUM($AQ385)=0),MAX($BB385,$AD385),ROUND($BB385*$AQ385/$AP385,0))))</f>
        <v>777</v>
      </c>
      <c r="BD385" s="33">
        <f t="shared" si="94"/>
        <v>0.95</v>
      </c>
      <c r="BE385" s="218">
        <f>IF($C385="&lt;01",ROUND(INDEX(EID!$V:$V,MATCH($B385,EID!$B:$B,0))/2,0),ROUND($BD385*$BB385,0))</f>
        <v>626</v>
      </c>
      <c r="BF385" s="218">
        <f>IF(LEFT($B385,4)="_Mil","",IF(SUM($BE385)=0,SUM($AF385),IF(OR(SUM($AP385)=0,SUM($AQ385)=0),MAX($BE385,$AF385),ROUND($BE385*$AQ385/$AP385,0))))</f>
        <v>738</v>
      </c>
      <c r="BG385" s="79">
        <f t="shared" si="95"/>
        <v>0.95</v>
      </c>
      <c r="BH385" s="99">
        <f>IF($C385="&lt;01",ROUND(INDEX(EID!$L:$L,MATCH($B385,EID!$B:$B,0)),0)/2,IF(SUM($BG385)=0,"",ROUND($AX385/$BG385,0)))</f>
        <v>145</v>
      </c>
    </row>
    <row r="386" spans="1:60" x14ac:dyDescent="0.2">
      <c r="A386" t="str">
        <f>INDEX(Prioritization!$D:$D,MATCH($B386,Prioritization!$A:$A,0))</f>
        <v>4 - Sustained</v>
      </c>
      <c r="B386" t="s">
        <v>306</v>
      </c>
      <c r="C386" t="s">
        <v>475</v>
      </c>
      <c r="D386" t="s">
        <v>48</v>
      </c>
      <c r="E386" t="str">
        <f t="shared" si="86"/>
        <v>Salima District [msW2zpIN7up]|15-24|Male</v>
      </c>
      <c r="F386" s="229">
        <v>498</v>
      </c>
      <c r="G386" s="38">
        <v>44</v>
      </c>
      <c r="H386" s="38">
        <v>40</v>
      </c>
      <c r="I386" s="38">
        <v>348</v>
      </c>
      <c r="J386" s="38">
        <v>227</v>
      </c>
      <c r="K386" s="38">
        <v>171</v>
      </c>
      <c r="L386" s="38">
        <v>54</v>
      </c>
      <c r="M386" s="38">
        <v>50</v>
      </c>
      <c r="N386" s="38">
        <v>586</v>
      </c>
      <c r="O386" s="229">
        <v>478</v>
      </c>
      <c r="P386" s="38">
        <v>536</v>
      </c>
      <c r="Q386" s="38">
        <v>509</v>
      </c>
      <c r="R386" s="38">
        <f t="shared" si="87"/>
        <v>130</v>
      </c>
      <c r="S386" s="38">
        <f>IF(LEFT($B386,4)="_Mil","",_xlfn.IFNA(ROUND(INDEX(Spectrum!$N:$N,MATCH(RIGHT($B386,13)&amp;"|"&amp;$C386&amp;"|"&amp;$D386&amp;"|"&amp;S$14&amp;"|"&amp;"CY2023Q4",Spectrum!$R:$R,0)),0),""))</f>
        <v>567</v>
      </c>
      <c r="T386" s="218">
        <f>IF(LEFT($B386,4)="_Mil","",_xlfn.IFNA(ROUND(INDEX(Spectrum!$N:$N,MATCH(RIGHT($B386,13)&amp;"|"&amp;$C386&amp;"|"&amp;$D386&amp;"|"&amp;T$14&amp;"|"&amp;"CY2024Q3",Spectrum!$R:$R,0)),0),""))</f>
        <v>62495</v>
      </c>
      <c r="U386" s="218">
        <f>IF(LEFT($B386,4)="_Mil","",_xlfn.IFNA(ROUND(INDEX(Spectrum!$N:$N,MATCH(RIGHT($B386,13)&amp;"|"&amp;$C386&amp;"|"&amp;$D386&amp;"|"&amp;U$14&amp;"|"&amp;"CY2024Q3",Spectrum!$R:$R,0)),0),""))</f>
        <v>675</v>
      </c>
      <c r="V386" s="38">
        <f>IF(LEFT($B386,4)="_Mil","",_xlfn.IFNA(ROUND(INDEX(Spectrum!$N:$N,MATCH(RIGHT($B386,13)&amp;"|"&amp;$C386&amp;"|"&amp;$D386&amp;"|"&amp;V$14&amp;"|"&amp;"CY2024Q3",Spectrum!$R:$R,0)),0),""))</f>
        <v>637</v>
      </c>
      <c r="W386" s="220">
        <f>IF(LEFT($B386,4)="_Mil","",_xlfn.IFNA(INDEX(Spectrum!$N:$N,MATCH(RIGHT($B386,13)&amp;"|"&amp;$C386&amp;"|"&amp;$D386&amp;"|"&amp;W$14&amp;"|"&amp;"CY2024Q3",Spectrum!$R:$R,0)),""))</f>
        <v>1.079423E-2</v>
      </c>
      <c r="X386" s="218">
        <f>IF(LEFT($B386,4)="_Mil","",_xlfn.IFNA(ROUND(INDEX(Spectrum!$N:$N,MATCH(RIGHT($B386,13)&amp;"|"&amp;$C386&amp;"|"&amp;$D386&amp;"|"&amp;X$14&amp;"|"&amp;"CY2024Q3",Spectrum!$R:$R,0)),0),""))</f>
        <v>625</v>
      </c>
      <c r="Y386" s="33">
        <f t="shared" si="88"/>
        <v>0.93</v>
      </c>
      <c r="Z386" s="218">
        <f>IF(LEFT($B386,4)="_Mil","",_xlfn.IFNA(ROUND(INDEX(Spectrum!$N:$N,MATCH(RIGHT($B386,13)&amp;"|"&amp;$C386&amp;"|"&amp;$D386&amp;"|"&amp;Z$14&amp;"|"&amp;"CY2024Q3",Spectrum!$R:$R,0)),0),""))</f>
        <v>583</v>
      </c>
      <c r="AA386" s="33">
        <f>IF(LEFT($B386,4)="_Mil","",IFERROR(1/(1/INDEX(Spectrum!$N:$N,MATCH(RIGHT($B386,13)&amp;"|"&amp;$C386&amp;"|"&amp;$D386&amp;"|"&amp;AA$14&amp;"|"&amp;"CY2024Q3",Spectrum!$R:$R,0))),IF(SUM($U386)=0,"",SUM($Z386)/$U386)))</f>
        <v>0.92394196200000001</v>
      </c>
      <c r="AB386" s="33">
        <f t="shared" si="89"/>
        <v>0.93279999999999996</v>
      </c>
      <c r="AC386" s="38">
        <f>IF(LEFT($B386,4)="_Mil","",_xlfn.IFNA(ROUND(INDEX(Spectrum!$N:$N,MATCH(RIGHT($B386,13)&amp;"|"&amp;$C386&amp;"|"&amp;$D386&amp;"|"&amp;AC$14&amp;"|"&amp;"CY2024Q3",Spectrum!$R:$R,0)),0),""))</f>
        <v>53</v>
      </c>
      <c r="AD386" s="38" t="str">
        <f>IF(LEFT($B386,4)="_Mil","",_xlfn.IFNA(ROUND(INDEX(Spectrum!$N:$N,MATCH(RIGHT($B386,13)&amp;"|"&amp;$C386&amp;"|"&amp;$D386&amp;"|"&amp;AD$14&amp;"|"&amp;"CY2024Q3",Spectrum!$R:$R,0)),0),""))</f>
        <v/>
      </c>
      <c r="AE386" s="33">
        <f t="shared" si="90"/>
        <v>0</v>
      </c>
      <c r="AF386" s="218" t="str">
        <f>IF(LEFT($B386,4)="_Mil","",_xlfn.IFNA(ROUND(INDEX(Spectrum!$N:$N,MATCH(RIGHT($B386,13)&amp;"|"&amp;$C386&amp;"|"&amp;$D386&amp;"|"&amp;AF$14&amp;"|"&amp;"CY2024Q3",Spectrum!$R:$R,0)),0),""))</f>
        <v/>
      </c>
      <c r="AG386" s="33" t="str">
        <f t="shared" si="91"/>
        <v/>
      </c>
      <c r="AH386" s="110" t="str">
        <f>IF(LEFT($B386,4)="_Mil","",_xlfn.IFNA(INDEX(Spectrum!$N:$N,MATCH(RIGHT($B386,13)&amp;"|"&amp;$C386&amp;"|"&amp;$D386&amp;"|"&amp;AH$14&amp;"|"&amp;"CY2024Q3",Spectrum!$R:$R,0)),""))</f>
        <v/>
      </c>
      <c r="AI386" s="218">
        <f>IF(LEFT($B386,4)="_Mil","",_xlfn.IFNA(ROUND(INDEX(Spectrum!$N:$N,MATCH(RIGHT($B386,13)&amp;"|"&amp;$C386&amp;"|"&amp;$D386&amp;"|"&amp;AI$14&amp;"|"&amp;"CY2025Q3",Spectrum!$R:$R,0)),0),""))</f>
        <v>9</v>
      </c>
      <c r="AJ386" s="38">
        <f>IF(LEFT($B386,4)="_Mil","",_xlfn.IFNA(ROUND(INDEX(Spectrum!$N:$N,MATCH(RIGHT($B386,13)&amp;"|"&amp;$C386&amp;"|"&amp;$D386&amp;"|"&amp;AJ$14&amp;"|"&amp;"CY2025Q3",Spectrum!$R:$R,0)),0),""))</f>
        <v>675</v>
      </c>
      <c r="AK386" s="218" t="e">
        <f>#REF!</f>
        <v>#REF!</v>
      </c>
      <c r="AL386" s="33">
        <f t="shared" si="92"/>
        <v>0.92394196200000001</v>
      </c>
      <c r="AM386" s="38" t="e">
        <f>IF(OR(LEFT($B386,4)="_Mil",$C386="&lt;01"),"",ROUND(SUM($AK386)*SUM($AL386),0))</f>
        <v>#REF!</v>
      </c>
      <c r="AN386" s="38" t="str">
        <f>IF($C386="&lt;01",ROUND(INDEX(EID!$P:$P,MATCH($B386,EID!$B:$B,0))/2,0),"")</f>
        <v/>
      </c>
      <c r="AO386" s="38" t="e">
        <f>IF($C386="&lt;01",SUM($AN386),ROUND(SUM($AM386)*SUM($O386)/IF(SUM($Z386)=0,1,$Z386),0))</f>
        <v>#REF!</v>
      </c>
      <c r="AP386" s="218">
        <f>IF(OR($F386="",$C386="&lt;01"),$AO386,ROUND($F386,0))</f>
        <v>498</v>
      </c>
      <c r="AQ386" s="218">
        <f>IF(LEFT($B386,4)="_Mil","",IF(SUM($AP386)=0,SUM($Z386),IF(OR(SUM($Z386)=0,SUM($O386)=0),MAX($AP386,$Z386),ROUND($AP386*$Z386/$O386,0))))</f>
        <v>607</v>
      </c>
      <c r="AR386" s="33" t="e">
        <f>IF(OR(LEFT($B386,4)="_Mil",SUM($AK386)=0),"",SUM($AQ386)/$AK386)</f>
        <v>#REF!</v>
      </c>
      <c r="AS386" s="33">
        <f t="shared" si="100"/>
        <v>0.98</v>
      </c>
      <c r="AT386" s="33">
        <f t="shared" si="98"/>
        <v>0.98</v>
      </c>
      <c r="AU386" s="38">
        <f>IF($C386="&lt;01","",SUM($AP386)-SUM($O386))</f>
        <v>20</v>
      </c>
      <c r="AV386" s="38">
        <f>IF($C386="&lt;01",ROUND(INDEX(EID!$N:$N,MATCH($B386,EID!$B:$B,0))/2,0),IF(SUM($AT386)=0,"",ROUND((SUM($AP386)-(SUM($O386)*SUM($AS386)))/$AT386,0)))</f>
        <v>30</v>
      </c>
      <c r="AW386" s="33">
        <f t="shared" si="96"/>
        <v>1</v>
      </c>
      <c r="AX386" s="218">
        <f>IF($C386="&lt;01",SUM($AV386),ROUND(SUM($AV386)*SUM($AW386),0))</f>
        <v>30</v>
      </c>
      <c r="AY386" s="79">
        <f t="shared" si="93"/>
        <v>0.7</v>
      </c>
      <c r="AZ386" s="85">
        <f>IF($C386="&lt;01",ROUND(INDEX(EID!$R:$R,MATCH($B386,EID!$B:$B,0))/2,0),ROUND(SUM($O386)+(SUM($AV386)*$AY386),0))</f>
        <v>499</v>
      </c>
      <c r="BA386" s="40">
        <f t="shared" si="97"/>
        <v>0.9</v>
      </c>
      <c r="BB386" s="99">
        <f>IF($C386="&lt;01",ROUND(INDEX(EID!$T:$T,MATCH($B386,EID!$B:$B,0))/2,0),ROUND($AP386*$BA386,0))</f>
        <v>448</v>
      </c>
      <c r="BC386" s="85">
        <f>IF(LEFT($B386,4)="_Mil","",IF(SUM($BB386)=0,SUM($AD386),IF(OR(SUM($AP386)=0,SUM($AQ386)=0),MAX($BB386,$AD386),ROUND($BB386*$AQ386/$AP386,0))))</f>
        <v>546</v>
      </c>
      <c r="BD386" s="33">
        <f t="shared" si="94"/>
        <v>0.95</v>
      </c>
      <c r="BE386" s="218">
        <f>IF($C386="&lt;01",ROUND(INDEX(EID!$V:$V,MATCH($B386,EID!$B:$B,0))/2,0),ROUND($BD386*$BB386,0))</f>
        <v>426</v>
      </c>
      <c r="BF386" s="218">
        <f>IF(LEFT($B386,4)="_Mil","",IF(SUM($BE386)=0,SUM($AF386),IF(OR(SUM($AP386)=0,SUM($AQ386)=0),MAX($BE386,$AF386),ROUND($BE386*$AQ386/$AP386,0))))</f>
        <v>519</v>
      </c>
      <c r="BG386" s="79">
        <f t="shared" si="95"/>
        <v>0.95</v>
      </c>
      <c r="BH386" s="99">
        <f>IF($C386="&lt;01",ROUND(INDEX(EID!$L:$L,MATCH($B386,EID!$B:$B,0)),0)/2,IF(SUM($BG386)=0,"",ROUND($AX386/$BG386,0)))</f>
        <v>32</v>
      </c>
    </row>
    <row r="387" spans="1:60" x14ac:dyDescent="0.2">
      <c r="A387" t="str">
        <f>INDEX(Prioritization!$D:$D,MATCH($B387,Prioritization!$A:$A,0))</f>
        <v>4 - Sustained</v>
      </c>
      <c r="B387" t="s">
        <v>306</v>
      </c>
      <c r="C387" t="s">
        <v>476</v>
      </c>
      <c r="D387" t="s">
        <v>30</v>
      </c>
      <c r="E387" t="str">
        <f t="shared" si="86"/>
        <v>Salima District [msW2zpIN7up]|25-34|Female</v>
      </c>
      <c r="F387" s="229">
        <v>2129</v>
      </c>
      <c r="G387" s="38">
        <v>254</v>
      </c>
      <c r="H387" s="38">
        <v>291</v>
      </c>
      <c r="I387" s="38">
        <v>2164</v>
      </c>
      <c r="J387" s="38">
        <v>1767</v>
      </c>
      <c r="K387" s="38">
        <v>1610</v>
      </c>
      <c r="L387" s="38">
        <v>203</v>
      </c>
      <c r="M387" s="38">
        <v>199</v>
      </c>
      <c r="N387" s="38">
        <v>2306</v>
      </c>
      <c r="O387" s="229">
        <v>2164</v>
      </c>
      <c r="P387" s="38">
        <v>2111</v>
      </c>
      <c r="Q387" s="38">
        <v>2006</v>
      </c>
      <c r="R387" s="38">
        <f t="shared" si="87"/>
        <v>0</v>
      </c>
      <c r="S387" s="38">
        <f>IF(LEFT($B387,4)="_Mil","",_xlfn.IFNA(ROUND(INDEX(Spectrum!$N:$N,MATCH(RIGHT($B387,13)&amp;"|"&amp;$C387&amp;"|"&amp;$D387&amp;"|"&amp;S$14&amp;"|"&amp;"CY2023Q4",Spectrum!$R:$R,0)),0),""))</f>
        <v>2350</v>
      </c>
      <c r="T387" s="218">
        <f>IF(LEFT($B387,4)="_Mil","",_xlfn.IFNA(ROUND(INDEX(Spectrum!$N:$N,MATCH(RIGHT($B387,13)&amp;"|"&amp;$C387&amp;"|"&amp;$D387&amp;"|"&amp;T$14&amp;"|"&amp;"CY2024Q3",Spectrum!$R:$R,0)),0),""))</f>
        <v>44531</v>
      </c>
      <c r="U387" s="218">
        <f>IF(LEFT($B387,4)="_Mil","",_xlfn.IFNA(ROUND(INDEX(Spectrum!$N:$N,MATCH(RIGHT($B387,13)&amp;"|"&amp;$C387&amp;"|"&amp;$D387&amp;"|"&amp;U$14&amp;"|"&amp;"CY2024Q3",Spectrum!$R:$R,0)),0),""))</f>
        <v>2428</v>
      </c>
      <c r="V387" s="38">
        <f>IF(LEFT($B387,4)="_Mil","",_xlfn.IFNA(ROUND(INDEX(Spectrum!$N:$N,MATCH(RIGHT($B387,13)&amp;"|"&amp;$C387&amp;"|"&amp;$D387&amp;"|"&amp;V$14&amp;"|"&amp;"CY2024Q3",Spectrum!$R:$R,0)),0),""))</f>
        <v>2287</v>
      </c>
      <c r="W387" s="220">
        <f>IF(LEFT($B387,4)="_Mil","",_xlfn.IFNA(INDEX(Spectrum!$N:$N,MATCH(RIGHT($B387,13)&amp;"|"&amp;$C387&amp;"|"&amp;$D387&amp;"|"&amp;W$14&amp;"|"&amp;"CY2024Q3",Spectrum!$R:$R,0)),""))</f>
        <v>5.4532056000000002E-2</v>
      </c>
      <c r="X387" s="218">
        <f>IF(LEFT($B387,4)="_Mil","",_xlfn.IFNA(ROUND(INDEX(Spectrum!$N:$N,MATCH(RIGHT($B387,13)&amp;"|"&amp;$C387&amp;"|"&amp;$D387&amp;"|"&amp;X$14&amp;"|"&amp;"CY2024Q3",Spectrum!$R:$R,0)),0),""))</f>
        <v>2362</v>
      </c>
      <c r="Y387" s="33">
        <f t="shared" si="88"/>
        <v>0.97</v>
      </c>
      <c r="Z387" s="218">
        <f>IF(LEFT($B387,4)="_Mil","",_xlfn.IFNA(ROUND(INDEX(Spectrum!$N:$N,MATCH(RIGHT($B387,13)&amp;"|"&amp;$C387&amp;"|"&amp;$D387&amp;"|"&amp;Z$14&amp;"|"&amp;"CY2024Q3",Spectrum!$R:$R,0)),0),""))</f>
        <v>2225</v>
      </c>
      <c r="AA387" s="33">
        <f>IF(LEFT($B387,4)="_Mil","",IFERROR(1/(1/INDEX(Spectrum!$N:$N,MATCH(RIGHT($B387,13)&amp;"|"&amp;$C387&amp;"|"&amp;$D387&amp;"|"&amp;AA$14&amp;"|"&amp;"CY2024Q3",Spectrum!$R:$R,0))),IF(SUM($U387)=0,"",SUM($Z387)/$U387)))</f>
        <v>0.97282246999999999</v>
      </c>
      <c r="AB387" s="33">
        <f t="shared" si="89"/>
        <v>0.94199830651989835</v>
      </c>
      <c r="AC387" s="38">
        <f>IF(LEFT($B387,4)="_Mil","",_xlfn.IFNA(ROUND(INDEX(Spectrum!$N:$N,MATCH(RIGHT($B387,13)&amp;"|"&amp;$C387&amp;"|"&amp;$D387&amp;"|"&amp;AC$14&amp;"|"&amp;"CY2024Q3",Spectrum!$R:$R,0)),0),""))</f>
        <v>62</v>
      </c>
      <c r="AD387" s="38" t="str">
        <f>IF(LEFT($B387,4)="_Mil","",_xlfn.IFNA(ROUND(INDEX(Spectrum!$N:$N,MATCH(RIGHT($B387,13)&amp;"|"&amp;$C387&amp;"|"&amp;$D387&amp;"|"&amp;AD$14&amp;"|"&amp;"CY2024Q3",Spectrum!$R:$R,0)),0),""))</f>
        <v/>
      </c>
      <c r="AE387" s="33">
        <f t="shared" si="90"/>
        <v>0</v>
      </c>
      <c r="AF387" s="218" t="str">
        <f>IF(LEFT($B387,4)="_Mil","",_xlfn.IFNA(ROUND(INDEX(Spectrum!$N:$N,MATCH(RIGHT($B387,13)&amp;"|"&amp;$C387&amp;"|"&amp;$D387&amp;"|"&amp;AF$14&amp;"|"&amp;"CY2024Q3",Spectrum!$R:$R,0)),0),""))</f>
        <v/>
      </c>
      <c r="AG387" s="33" t="str">
        <f t="shared" si="91"/>
        <v/>
      </c>
      <c r="AH387" s="110" t="str">
        <f>IF(LEFT($B387,4)="_Mil","",_xlfn.IFNA(INDEX(Spectrum!$N:$N,MATCH(RIGHT($B387,13)&amp;"|"&amp;$C387&amp;"|"&amp;$D387&amp;"|"&amp;AH$14&amp;"|"&amp;"CY2024Q3",Spectrum!$R:$R,0)),""))</f>
        <v/>
      </c>
      <c r="AI387" s="218">
        <f>IF(LEFT($B387,4)="_Mil","",_xlfn.IFNA(ROUND(INDEX(Spectrum!$N:$N,MATCH(RIGHT($B387,13)&amp;"|"&amp;$C387&amp;"|"&amp;$D387&amp;"|"&amp;AI$14&amp;"|"&amp;"CY2025Q3",Spectrum!$R:$R,0)),0),""))</f>
        <v>57</v>
      </c>
      <c r="AJ387" s="38">
        <f>IF(LEFT($B387,4)="_Mil","",_xlfn.IFNA(ROUND(INDEX(Spectrum!$N:$N,MATCH(RIGHT($B387,13)&amp;"|"&amp;$C387&amp;"|"&amp;$D387&amp;"|"&amp;AJ$14&amp;"|"&amp;"CY2025Q3",Spectrum!$R:$R,0)),0),""))</f>
        <v>2260</v>
      </c>
      <c r="AK387" s="218" t="e">
        <f>#REF!</f>
        <v>#REF!</v>
      </c>
      <c r="AL387" s="33">
        <f t="shared" si="92"/>
        <v>0.97282246999999999</v>
      </c>
      <c r="AM387" s="38" t="e">
        <f>IF(OR(LEFT($B387,4)="_Mil",$C387="&lt;01"),"",ROUND(SUM($AK387)*SUM($AL387),0))</f>
        <v>#REF!</v>
      </c>
      <c r="AN387" s="38" t="str">
        <f>IF($C387="&lt;01",ROUND(INDEX(EID!$P:$P,MATCH($B387,EID!$B:$B,0))/2,0),"")</f>
        <v/>
      </c>
      <c r="AO387" s="38" t="e">
        <f>IF($C387="&lt;01",SUM($AN387),ROUND(SUM($AM387)*SUM($O387)/IF(SUM($Z387)=0,1,$Z387),0))</f>
        <v>#REF!</v>
      </c>
      <c r="AP387" s="218">
        <f>IF(OR($F387="",$C387="&lt;01"),$AO387,ROUND($F387,0))</f>
        <v>2129</v>
      </c>
      <c r="AQ387" s="218">
        <f>IF(LEFT($B387,4)="_Mil","",IF(SUM($AP387)=0,SUM($Z387),IF(OR(SUM($Z387)=0,SUM($O387)=0),MAX($AP387,$Z387),ROUND($AP387*$Z387/$O387,0))))</f>
        <v>2189</v>
      </c>
      <c r="AR387" s="33" t="e">
        <f>IF(OR(LEFT($B387,4)="_Mil",SUM($AK387)=0),"",SUM($AQ387)/$AK387)</f>
        <v>#REF!</v>
      </c>
      <c r="AS387" s="33">
        <f>IF($C387="&lt;01","",83%)</f>
        <v>0.83</v>
      </c>
      <c r="AT387" s="33">
        <f>IF($C387="&lt;01","",90%)</f>
        <v>0.9</v>
      </c>
      <c r="AU387" s="38">
        <f>IF($C387="&lt;01","",SUM($AP387)-SUM($O387))</f>
        <v>-35</v>
      </c>
      <c r="AV387" s="38">
        <f>IF($C387="&lt;01",ROUND(INDEX(EID!$N:$N,MATCH($B387,EID!$B:$B,0))/2,0),IF(SUM($AT387)=0,"",ROUND((SUM($AP387)-(SUM($O387)*SUM($AS387)))/$AT387,0)))</f>
        <v>370</v>
      </c>
      <c r="AW387" s="33">
        <f t="shared" si="96"/>
        <v>1</v>
      </c>
      <c r="AX387" s="218">
        <f>IF($C387="&lt;01",SUM($AV387),ROUND(SUM($AV387)*SUM($AW387),0))</f>
        <v>370</v>
      </c>
      <c r="AY387" s="79">
        <f t="shared" si="93"/>
        <v>0.7</v>
      </c>
      <c r="AZ387" s="85">
        <f>IF($C387="&lt;01",ROUND(INDEX(EID!$R:$R,MATCH($B387,EID!$B:$B,0))/2,0),ROUND(SUM($O387)+(SUM($AV387)*$AY387),0))</f>
        <v>2423</v>
      </c>
      <c r="BA387" s="40">
        <f t="shared" si="97"/>
        <v>0.9</v>
      </c>
      <c r="BB387" s="99">
        <f>IF($C387="&lt;01",ROUND(INDEX(EID!$T:$T,MATCH($B387,EID!$B:$B,0))/2,0),ROUND($AP387*$BA387,0))</f>
        <v>1916</v>
      </c>
      <c r="BC387" s="85">
        <f>IF(LEFT($B387,4)="_Mil","",IF(SUM($BB387)=0,SUM($AD387),IF(OR(SUM($AP387)=0,SUM($AQ387)=0),MAX($BB387,$AD387),ROUND($BB387*$AQ387/$AP387,0))))</f>
        <v>1970</v>
      </c>
      <c r="BD387" s="33">
        <f t="shared" si="94"/>
        <v>0.95</v>
      </c>
      <c r="BE387" s="218">
        <f>IF($C387="&lt;01",ROUND(INDEX(EID!$V:$V,MATCH($B387,EID!$B:$B,0))/2,0),ROUND($BD387*$BB387,0))</f>
        <v>1820</v>
      </c>
      <c r="BF387" s="218">
        <f>IF(LEFT($B387,4)="_Mil","",IF(SUM($BE387)=0,SUM($AF387),IF(OR(SUM($AP387)=0,SUM($AQ387)=0),MAX($BE387,$AF387),ROUND($BE387*$AQ387/$AP387,0))))</f>
        <v>1871</v>
      </c>
      <c r="BG387" s="79">
        <f t="shared" si="95"/>
        <v>0.95</v>
      </c>
      <c r="BH387" s="99">
        <f>IF($C387="&lt;01",ROUND(INDEX(EID!$L:$L,MATCH($B387,EID!$B:$B,0)),0)/2,IF(SUM($BG387)=0,"",ROUND($AX387/$BG387,0)))</f>
        <v>389</v>
      </c>
    </row>
    <row r="388" spans="1:60" x14ac:dyDescent="0.2">
      <c r="A388" t="str">
        <f>INDEX(Prioritization!$D:$D,MATCH($B388,Prioritization!$A:$A,0))</f>
        <v>4 - Sustained</v>
      </c>
      <c r="B388" t="s">
        <v>306</v>
      </c>
      <c r="C388" t="s">
        <v>476</v>
      </c>
      <c r="D388" t="s">
        <v>48</v>
      </c>
      <c r="E388" t="str">
        <f t="shared" si="86"/>
        <v>Salima District [msW2zpIN7up]|25-34|Male</v>
      </c>
      <c r="F388" s="229">
        <v>578</v>
      </c>
      <c r="G388" s="38">
        <v>113</v>
      </c>
      <c r="H388" s="38">
        <v>110</v>
      </c>
      <c r="I388" s="38">
        <v>471</v>
      </c>
      <c r="J388" s="38">
        <v>355</v>
      </c>
      <c r="K388" s="38">
        <v>313</v>
      </c>
      <c r="L388" s="38">
        <v>16</v>
      </c>
      <c r="M388" s="38">
        <v>16</v>
      </c>
      <c r="N388" s="38">
        <v>759</v>
      </c>
      <c r="O388" s="229">
        <v>578</v>
      </c>
      <c r="P388" s="38">
        <v>686</v>
      </c>
      <c r="Q388" s="38">
        <v>652</v>
      </c>
      <c r="R388" s="38">
        <f t="shared" si="87"/>
        <v>107</v>
      </c>
      <c r="S388" s="38">
        <f>IF(LEFT($B388,4)="_Mil","",_xlfn.IFNA(ROUND(INDEX(Spectrum!$N:$N,MATCH(RIGHT($B388,13)&amp;"|"&amp;$C388&amp;"|"&amp;$D388&amp;"|"&amp;S$14&amp;"|"&amp;"CY2023Q4",Spectrum!$R:$R,0)),0),""))</f>
        <v>688</v>
      </c>
      <c r="T388" s="218">
        <f>IF(LEFT($B388,4)="_Mil","",_xlfn.IFNA(ROUND(INDEX(Spectrum!$N:$N,MATCH(RIGHT($B388,13)&amp;"|"&amp;$C388&amp;"|"&amp;$D388&amp;"|"&amp;T$14&amp;"|"&amp;"CY2024Q3",Spectrum!$R:$R,0)),0),""))</f>
        <v>39574</v>
      </c>
      <c r="U388" s="218">
        <f>IF(LEFT($B388,4)="_Mil","",_xlfn.IFNA(ROUND(INDEX(Spectrum!$N:$N,MATCH(RIGHT($B388,13)&amp;"|"&amp;$C388&amp;"|"&amp;$D388&amp;"|"&amp;U$14&amp;"|"&amp;"CY2024Q3",Spectrum!$R:$R,0)),0),""))</f>
        <v>810</v>
      </c>
      <c r="V388" s="38">
        <f>IF(LEFT($B388,4)="_Mil","",_xlfn.IFNA(ROUND(INDEX(Spectrum!$N:$N,MATCH(RIGHT($B388,13)&amp;"|"&amp;$C388&amp;"|"&amp;$D388&amp;"|"&amp;V$14&amp;"|"&amp;"CY2024Q3",Spectrum!$R:$R,0)),0),""))</f>
        <v>770</v>
      </c>
      <c r="W388" s="220">
        <f>IF(LEFT($B388,4)="_Mil","",_xlfn.IFNA(INDEX(Spectrum!$N:$N,MATCH(RIGHT($B388,13)&amp;"|"&amp;$C388&amp;"|"&amp;$D388&amp;"|"&amp;W$14&amp;"|"&amp;"CY2024Q3",Spectrum!$R:$R,0)),""))</f>
        <v>2.0466472999999999E-2</v>
      </c>
      <c r="X388" s="218">
        <f>IF(LEFT($B388,4)="_Mil","",_xlfn.IFNA(ROUND(INDEX(Spectrum!$N:$N,MATCH(RIGHT($B388,13)&amp;"|"&amp;$C388&amp;"|"&amp;$D388&amp;"|"&amp;X$14&amp;"|"&amp;"CY2024Q3",Spectrum!$R:$R,0)),0),""))</f>
        <v>734</v>
      </c>
      <c r="Y388" s="33">
        <f t="shared" si="88"/>
        <v>0.91</v>
      </c>
      <c r="Z388" s="218">
        <f>IF(LEFT($B388,4)="_Mil","",_xlfn.IFNA(ROUND(INDEX(Spectrum!$N:$N,MATCH(RIGHT($B388,13)&amp;"|"&amp;$C388&amp;"|"&amp;$D388&amp;"|"&amp;Z$14&amp;"|"&amp;"CY2024Q3",Spectrum!$R:$R,0)),0),""))</f>
        <v>684</v>
      </c>
      <c r="AA388" s="33">
        <f>IF(LEFT($B388,4)="_Mil","",IFERROR(1/(1/INDEX(Spectrum!$N:$N,MATCH(RIGHT($B388,13)&amp;"|"&amp;$C388&amp;"|"&amp;$D388&amp;"|"&amp;AA$14&amp;"|"&amp;"CY2024Q3",Spectrum!$R:$R,0))),IF(SUM($U388)=0,"",SUM($Z388)/$U388)))</f>
        <v>0.90049973300000008</v>
      </c>
      <c r="AB388" s="33">
        <f t="shared" si="89"/>
        <v>0.93188010899182561</v>
      </c>
      <c r="AC388" s="38">
        <f>IF(LEFT($B388,4)="_Mil","",_xlfn.IFNA(ROUND(INDEX(Spectrum!$N:$N,MATCH(RIGHT($B388,13)&amp;"|"&amp;$C388&amp;"|"&amp;$D388&amp;"|"&amp;AC$14&amp;"|"&amp;"CY2024Q3",Spectrum!$R:$R,0)),0),""))</f>
        <v>86</v>
      </c>
      <c r="AD388" s="38" t="str">
        <f>IF(LEFT($B388,4)="_Mil","",_xlfn.IFNA(ROUND(INDEX(Spectrum!$N:$N,MATCH(RIGHT($B388,13)&amp;"|"&amp;$C388&amp;"|"&amp;$D388&amp;"|"&amp;AD$14&amp;"|"&amp;"CY2024Q3",Spectrum!$R:$R,0)),0),""))</f>
        <v/>
      </c>
      <c r="AE388" s="33">
        <f t="shared" si="90"/>
        <v>0</v>
      </c>
      <c r="AF388" s="218" t="str">
        <f>IF(LEFT($B388,4)="_Mil","",_xlfn.IFNA(ROUND(INDEX(Spectrum!$N:$N,MATCH(RIGHT($B388,13)&amp;"|"&amp;$C388&amp;"|"&amp;$D388&amp;"|"&amp;AF$14&amp;"|"&amp;"CY2024Q3",Spectrum!$R:$R,0)),0),""))</f>
        <v/>
      </c>
      <c r="AG388" s="33" t="str">
        <f t="shared" si="91"/>
        <v/>
      </c>
      <c r="AH388" s="110" t="str">
        <f>IF(LEFT($B388,4)="_Mil","",_xlfn.IFNA(INDEX(Spectrum!$N:$N,MATCH(RIGHT($B388,13)&amp;"|"&amp;$C388&amp;"|"&amp;$D388&amp;"|"&amp;AH$14&amp;"|"&amp;"CY2024Q3",Spectrum!$R:$R,0)),""))</f>
        <v/>
      </c>
      <c r="AI388" s="218">
        <f>IF(LEFT($B388,4)="_Mil","",_xlfn.IFNA(ROUND(INDEX(Spectrum!$N:$N,MATCH(RIGHT($B388,13)&amp;"|"&amp;$C388&amp;"|"&amp;$D388&amp;"|"&amp;AI$14&amp;"|"&amp;"CY2025Q3",Spectrum!$R:$R,0)),0),""))</f>
        <v>31</v>
      </c>
      <c r="AJ388" s="38">
        <f>IF(LEFT($B388,4)="_Mil","",_xlfn.IFNA(ROUND(INDEX(Spectrum!$N:$N,MATCH(RIGHT($B388,13)&amp;"|"&amp;$C388&amp;"|"&amp;$D388&amp;"|"&amp;AJ$14&amp;"|"&amp;"CY2025Q3",Spectrum!$R:$R,0)),0),""))</f>
        <v>779</v>
      </c>
      <c r="AK388" s="218" t="e">
        <f>#REF!</f>
        <v>#REF!</v>
      </c>
      <c r="AL388" s="33">
        <f t="shared" si="92"/>
        <v>0.90049973300000008</v>
      </c>
      <c r="AM388" s="38" t="e">
        <f>IF(OR(LEFT($B388,4)="_Mil",$C388="&lt;01"),"",ROUND(SUM($AK388)*SUM($AL388),0))</f>
        <v>#REF!</v>
      </c>
      <c r="AN388" s="38" t="str">
        <f>IF($C388="&lt;01",ROUND(INDEX(EID!$P:$P,MATCH($B388,EID!$B:$B,0))/2,0),"")</f>
        <v/>
      </c>
      <c r="AO388" s="38" t="e">
        <f>IF($C388="&lt;01",SUM($AN388),ROUND(SUM($AM388)*SUM($O388)/IF(SUM($Z388)=0,1,$Z388),0))</f>
        <v>#REF!</v>
      </c>
      <c r="AP388" s="218">
        <f>IF(OR($F388="",$C388="&lt;01"),$AO388,ROUND($F388,0))</f>
        <v>578</v>
      </c>
      <c r="AQ388" s="218">
        <f>IF(LEFT($B388,4)="_Mil","",IF(SUM($AP388)=0,SUM($Z388),IF(OR(SUM($Z388)=0,SUM($O388)=0),MAX($AP388,$Z388),ROUND($AP388*$Z388/$O388,0))))</f>
        <v>684</v>
      </c>
      <c r="AR388" s="33" t="e">
        <f>IF(OR(LEFT($B388,4)="_Mil",SUM($AK388)=0),"",SUM($AQ388)/$AK388)</f>
        <v>#REF!</v>
      </c>
      <c r="AS388" s="33">
        <f t="shared" ref="AS388:AS400" si="101">IF($C388="&lt;01","",98%)</f>
        <v>0.98</v>
      </c>
      <c r="AT388" s="33">
        <f t="shared" si="98"/>
        <v>0.98</v>
      </c>
      <c r="AU388" s="38">
        <f>IF($C388="&lt;01","",SUM($AP388)-SUM($O388))</f>
        <v>0</v>
      </c>
      <c r="AV388" s="38">
        <f>IF($C388="&lt;01",ROUND(INDEX(EID!$N:$N,MATCH($B388,EID!$B:$B,0))/2,0),IF(SUM($AT388)=0,"",ROUND((SUM($AP388)-(SUM($O388)*SUM($AS388)))/$AT388,0)))</f>
        <v>12</v>
      </c>
      <c r="AW388" s="33">
        <f t="shared" si="96"/>
        <v>1</v>
      </c>
      <c r="AX388" s="218">
        <f>IF($C388="&lt;01",SUM($AV388),ROUND(SUM($AV388)*SUM($AW388),0))</f>
        <v>12</v>
      </c>
      <c r="AY388" s="79">
        <f t="shared" si="93"/>
        <v>0.7</v>
      </c>
      <c r="AZ388" s="85">
        <f>IF($C388="&lt;01",ROUND(INDEX(EID!$R:$R,MATCH($B388,EID!$B:$B,0))/2,0),ROUND(SUM($O388)+(SUM($AV388)*$AY388),0))</f>
        <v>586</v>
      </c>
      <c r="BA388" s="40">
        <f t="shared" si="97"/>
        <v>0.9</v>
      </c>
      <c r="BB388" s="99">
        <f>IF($C388="&lt;01",ROUND(INDEX(EID!$T:$T,MATCH($B388,EID!$B:$B,0))/2,0),ROUND($AP388*$BA388,0))</f>
        <v>520</v>
      </c>
      <c r="BC388" s="85">
        <f>IF(LEFT($B388,4)="_Mil","",IF(SUM($BB388)=0,SUM($AD388),IF(OR(SUM($AP388)=0,SUM($AQ388)=0),MAX($BB388,$AD388),ROUND($BB388*$AQ388/$AP388,0))))</f>
        <v>615</v>
      </c>
      <c r="BD388" s="33">
        <f t="shared" si="94"/>
        <v>0.95</v>
      </c>
      <c r="BE388" s="218">
        <f>IF($C388="&lt;01",ROUND(INDEX(EID!$V:$V,MATCH($B388,EID!$B:$B,0))/2,0),ROUND($BD388*$BB388,0))</f>
        <v>494</v>
      </c>
      <c r="BF388" s="218">
        <f>IF(LEFT($B388,4)="_Mil","",IF(SUM($BE388)=0,SUM($AF388),IF(OR(SUM($AP388)=0,SUM($AQ388)=0),MAX($BE388,$AF388),ROUND($BE388*$AQ388/$AP388,0))))</f>
        <v>585</v>
      </c>
      <c r="BG388" s="79">
        <f t="shared" si="95"/>
        <v>0.95</v>
      </c>
      <c r="BH388" s="99">
        <f>IF($C388="&lt;01",ROUND(INDEX(EID!$L:$L,MATCH($B388,EID!$B:$B,0)),0)/2,IF(SUM($BG388)=0,"",ROUND($AX388/$BG388,0)))</f>
        <v>13</v>
      </c>
    </row>
    <row r="389" spans="1:60" x14ac:dyDescent="0.2">
      <c r="A389" t="str">
        <f>INDEX(Prioritization!$D:$D,MATCH($B389,Prioritization!$A:$A,0))</f>
        <v>4 - Sustained</v>
      </c>
      <c r="B389" t="s">
        <v>306</v>
      </c>
      <c r="C389" t="s">
        <v>477</v>
      </c>
      <c r="D389" t="s">
        <v>30</v>
      </c>
      <c r="E389" t="str">
        <f t="shared" si="86"/>
        <v>Salima District [msW2zpIN7up]|35-49|Female</v>
      </c>
      <c r="F389" s="229">
        <v>5691</v>
      </c>
      <c r="G389" s="38">
        <v>205</v>
      </c>
      <c r="H389" s="38">
        <v>199</v>
      </c>
      <c r="I389" s="38">
        <v>5603</v>
      </c>
      <c r="J389" s="38">
        <v>4345</v>
      </c>
      <c r="K389" s="38">
        <v>3907</v>
      </c>
      <c r="L389" s="38">
        <v>282</v>
      </c>
      <c r="M389" s="38">
        <v>276</v>
      </c>
      <c r="N389" s="38">
        <v>5676</v>
      </c>
      <c r="O389" s="229">
        <v>5647</v>
      </c>
      <c r="P389" s="38">
        <v>4999</v>
      </c>
      <c r="Q389" s="38">
        <v>4749</v>
      </c>
      <c r="R389" s="38">
        <f t="shared" si="87"/>
        <v>44</v>
      </c>
      <c r="S389" s="38">
        <f>IF(LEFT($B389,4)="_Mil","",_xlfn.IFNA(ROUND(INDEX(Spectrum!$N:$N,MATCH(RIGHT($B389,13)&amp;"|"&amp;$C389&amp;"|"&amp;$D389&amp;"|"&amp;S$14&amp;"|"&amp;"CY2023Q4",Spectrum!$R:$R,0)),0),""))</f>
        <v>5816</v>
      </c>
      <c r="T389" s="218">
        <f>IF(LEFT($B389,4)="_Mil","",_xlfn.IFNA(ROUND(INDEX(Spectrum!$N:$N,MATCH(RIGHT($B389,13)&amp;"|"&amp;$C389&amp;"|"&amp;$D389&amp;"|"&amp;T$14&amp;"|"&amp;"CY2024Q3",Spectrum!$R:$R,0)),0),""))</f>
        <v>43663</v>
      </c>
      <c r="U389" s="218">
        <f>IF(LEFT($B389,4)="_Mil","",_xlfn.IFNA(ROUND(INDEX(Spectrum!$N:$N,MATCH(RIGHT($B389,13)&amp;"|"&amp;$C389&amp;"|"&amp;$D389&amp;"|"&amp;U$14&amp;"|"&amp;"CY2024Q3",Spectrum!$R:$R,0)),0),""))</f>
        <v>6219</v>
      </c>
      <c r="V389" s="38">
        <f>IF(LEFT($B389,4)="_Mil","",_xlfn.IFNA(ROUND(INDEX(Spectrum!$N:$N,MATCH(RIGHT($B389,13)&amp;"|"&amp;$C389&amp;"|"&amp;$D389&amp;"|"&amp;V$14&amp;"|"&amp;"CY2024Q3",Spectrum!$R:$R,0)),0),""))</f>
        <v>5918</v>
      </c>
      <c r="W389" s="220">
        <f>IF(LEFT($B389,4)="_Mil","",_xlfn.IFNA(INDEX(Spectrum!$N:$N,MATCH(RIGHT($B389,13)&amp;"|"&amp;$C389&amp;"|"&amp;$D389&amp;"|"&amp;W$14&amp;"|"&amp;"CY2024Q3",Spectrum!$R:$R,0)),""))</f>
        <v>0.14243650599999999</v>
      </c>
      <c r="X389" s="218">
        <f>IF(LEFT($B389,4)="_Mil","",_xlfn.IFNA(ROUND(INDEX(Spectrum!$N:$N,MATCH(RIGHT($B389,13)&amp;"|"&amp;$C389&amp;"|"&amp;$D389&amp;"|"&amp;X$14&amp;"|"&amp;"CY2024Q3",Spectrum!$R:$R,0)),0),""))</f>
        <v>6137</v>
      </c>
      <c r="Y389" s="33">
        <f t="shared" si="88"/>
        <v>0.99</v>
      </c>
      <c r="Z389" s="218">
        <f>IF(LEFT($B389,4)="_Mil","",_xlfn.IFNA(ROUND(INDEX(Spectrum!$N:$N,MATCH(RIGHT($B389,13)&amp;"|"&amp;$C389&amp;"|"&amp;$D389&amp;"|"&amp;Z$14&amp;"|"&amp;"CY2024Q3",Spectrum!$R:$R,0)),0),""))</f>
        <v>5833</v>
      </c>
      <c r="AA389" s="33">
        <f>IF(LEFT($B389,4)="_Mil","",IFERROR(1/(1/INDEX(Spectrum!$N:$N,MATCH(RIGHT($B389,13)&amp;"|"&amp;$C389&amp;"|"&amp;$D389&amp;"|"&amp;AA$14&amp;"|"&amp;"CY2024Q3",Spectrum!$R:$R,0))),IF(SUM($U389)=0,"",SUM($Z389)/$U389)))</f>
        <v>0.98652527599999995</v>
      </c>
      <c r="AB389" s="33">
        <f t="shared" si="89"/>
        <v>0.9504643962848297</v>
      </c>
      <c r="AC389" s="38">
        <f>IF(LEFT($B389,4)="_Mil","",_xlfn.IFNA(ROUND(INDEX(Spectrum!$N:$N,MATCH(RIGHT($B389,13)&amp;"|"&amp;$C389&amp;"|"&amp;$D389&amp;"|"&amp;AC$14&amp;"|"&amp;"CY2024Q3",Spectrum!$R:$R,0)),0),""))</f>
        <v>85</v>
      </c>
      <c r="AD389" s="38" t="str">
        <f>IF(LEFT($B389,4)="_Mil","",_xlfn.IFNA(ROUND(INDEX(Spectrum!$N:$N,MATCH(RIGHT($B389,13)&amp;"|"&amp;$C389&amp;"|"&amp;$D389&amp;"|"&amp;AD$14&amp;"|"&amp;"CY2024Q3",Spectrum!$R:$R,0)),0),""))</f>
        <v/>
      </c>
      <c r="AE389" s="33">
        <f t="shared" si="90"/>
        <v>0</v>
      </c>
      <c r="AF389" s="218" t="str">
        <f>IF(LEFT($B389,4)="_Mil","",_xlfn.IFNA(ROUND(INDEX(Spectrum!$N:$N,MATCH(RIGHT($B389,13)&amp;"|"&amp;$C389&amp;"|"&amp;$D389&amp;"|"&amp;AF$14&amp;"|"&amp;"CY2024Q3",Spectrum!$R:$R,0)),0),""))</f>
        <v/>
      </c>
      <c r="AG389" s="33" t="str">
        <f t="shared" si="91"/>
        <v/>
      </c>
      <c r="AH389" s="110" t="str">
        <f>IF(LEFT($B389,4)="_Mil","",_xlfn.IFNA(INDEX(Spectrum!$N:$N,MATCH(RIGHT($B389,13)&amp;"|"&amp;$C389&amp;"|"&amp;$D389&amp;"|"&amp;AH$14&amp;"|"&amp;"CY2024Q3",Spectrum!$R:$R,0)),""))</f>
        <v/>
      </c>
      <c r="AI389" s="218">
        <f>IF(LEFT($B389,4)="_Mil","",_xlfn.IFNA(ROUND(INDEX(Spectrum!$N:$N,MATCH(RIGHT($B389,13)&amp;"|"&amp;$C389&amp;"|"&amp;$D389&amp;"|"&amp;AI$14&amp;"|"&amp;"CY2025Q3",Spectrum!$R:$R,0)),0),""))</f>
        <v>28</v>
      </c>
      <c r="AJ389" s="38">
        <f>IF(LEFT($B389,4)="_Mil","",_xlfn.IFNA(ROUND(INDEX(Spectrum!$N:$N,MATCH(RIGHT($B389,13)&amp;"|"&amp;$C389&amp;"|"&amp;$D389&amp;"|"&amp;AJ$14&amp;"|"&amp;"CY2025Q3",Spectrum!$R:$R,0)),0),""))</f>
        <v>6214</v>
      </c>
      <c r="AK389" s="218" t="e">
        <f>#REF!</f>
        <v>#REF!</v>
      </c>
      <c r="AL389" s="33">
        <f t="shared" si="92"/>
        <v>0.98652527599999995</v>
      </c>
      <c r="AM389" s="38" t="e">
        <f>IF(OR(LEFT($B389,4)="_Mil",$C389="&lt;01"),"",ROUND(SUM($AK389)*SUM($AL389),0))</f>
        <v>#REF!</v>
      </c>
      <c r="AN389" s="38" t="str">
        <f>IF($C389="&lt;01",ROUND(INDEX(EID!$P:$P,MATCH($B389,EID!$B:$B,0))/2,0),"")</f>
        <v/>
      </c>
      <c r="AO389" s="38" t="e">
        <f>IF($C389="&lt;01",SUM($AN389),ROUND(SUM($AM389)*SUM($O389)/IF(SUM($Z389)=0,1,$Z389),0))</f>
        <v>#REF!</v>
      </c>
      <c r="AP389" s="218">
        <f>IF(OR($F389="",$C389="&lt;01"),$AO389,ROUND($F389,0))</f>
        <v>5691</v>
      </c>
      <c r="AQ389" s="218">
        <f>IF(LEFT($B389,4)="_Mil","",IF(SUM($AP389)=0,SUM($Z389),IF(OR(SUM($Z389)=0,SUM($O389)=0),MAX($AP389,$Z389),ROUND($AP389*$Z389/$O389,0))))</f>
        <v>5878</v>
      </c>
      <c r="AR389" s="33" t="e">
        <f>IF(OR(LEFT($B389,4)="_Mil",SUM($AK389)=0),"",SUM($AQ389)/$AK389)</f>
        <v>#REF!</v>
      </c>
      <c r="AS389" s="33">
        <f t="shared" si="101"/>
        <v>0.98</v>
      </c>
      <c r="AT389" s="33">
        <f t="shared" si="98"/>
        <v>0.98</v>
      </c>
      <c r="AU389" s="38">
        <f>IF($C389="&lt;01","",SUM($AP389)-SUM($O389))</f>
        <v>44</v>
      </c>
      <c r="AV389" s="38">
        <f>IF($C389="&lt;01",ROUND(INDEX(EID!$N:$N,MATCH($B389,EID!$B:$B,0))/2,0),IF(SUM($AT389)=0,"",ROUND((SUM($AP389)-(SUM($O389)*SUM($AS389)))/$AT389,0)))</f>
        <v>160</v>
      </c>
      <c r="AW389" s="33">
        <f t="shared" si="96"/>
        <v>1</v>
      </c>
      <c r="AX389" s="218">
        <f>IF($C389="&lt;01",SUM($AV389),ROUND(SUM($AV389)*SUM($AW389),0))</f>
        <v>160</v>
      </c>
      <c r="AY389" s="79">
        <f t="shared" si="93"/>
        <v>0.7</v>
      </c>
      <c r="AZ389" s="85">
        <f>IF($C389="&lt;01",ROUND(INDEX(EID!$R:$R,MATCH($B389,EID!$B:$B,0))/2,0),ROUND(SUM($O389)+(SUM($AV389)*$AY389),0))</f>
        <v>5759</v>
      </c>
      <c r="BA389" s="40">
        <f t="shared" si="97"/>
        <v>0.9</v>
      </c>
      <c r="BB389" s="99">
        <f>IF($C389="&lt;01",ROUND(INDEX(EID!$T:$T,MATCH($B389,EID!$B:$B,0))/2,0),ROUND($AP389*$BA389,0))</f>
        <v>5122</v>
      </c>
      <c r="BC389" s="85">
        <f>IF(LEFT($B389,4)="_Mil","",IF(SUM($BB389)=0,SUM($AD389),IF(OR(SUM($AP389)=0,SUM($AQ389)=0),MAX($BB389,$AD389),ROUND($BB389*$AQ389/$AP389,0))))</f>
        <v>5290</v>
      </c>
      <c r="BD389" s="33">
        <f t="shared" si="94"/>
        <v>0.95</v>
      </c>
      <c r="BE389" s="218">
        <f>IF($C389="&lt;01",ROUND(INDEX(EID!$V:$V,MATCH($B389,EID!$B:$B,0))/2,0),ROUND($BD389*$BB389,0))</f>
        <v>4866</v>
      </c>
      <c r="BF389" s="218">
        <f>IF(LEFT($B389,4)="_Mil","",IF(SUM($BE389)=0,SUM($AF389),IF(OR(SUM($AP389)=0,SUM($AQ389)=0),MAX($BE389,$AF389),ROUND($BE389*$AQ389/$AP389,0))))</f>
        <v>5026</v>
      </c>
      <c r="BG389" s="79">
        <f t="shared" si="95"/>
        <v>0.95</v>
      </c>
      <c r="BH389" s="99">
        <f>IF($C389="&lt;01",ROUND(INDEX(EID!$L:$L,MATCH($B389,EID!$B:$B,0)),0)/2,IF(SUM($BG389)=0,"",ROUND($AX389/$BG389,0)))</f>
        <v>168</v>
      </c>
    </row>
    <row r="390" spans="1:60" x14ac:dyDescent="0.2">
      <c r="A390" t="str">
        <f>INDEX(Prioritization!$D:$D,MATCH($B390,Prioritization!$A:$A,0))</f>
        <v>4 - Sustained</v>
      </c>
      <c r="B390" t="s">
        <v>306</v>
      </c>
      <c r="C390" t="s">
        <v>477</v>
      </c>
      <c r="D390" t="s">
        <v>48</v>
      </c>
      <c r="E390" t="str">
        <f t="shared" si="86"/>
        <v>Salima District [msW2zpIN7up]|35-49|Male</v>
      </c>
      <c r="F390" s="229">
        <v>2478</v>
      </c>
      <c r="G390" s="38">
        <v>194</v>
      </c>
      <c r="H390" s="38">
        <v>219</v>
      </c>
      <c r="I390" s="38">
        <v>2478</v>
      </c>
      <c r="J390" s="38">
        <v>1829</v>
      </c>
      <c r="K390" s="38">
        <v>1647</v>
      </c>
      <c r="L390" s="38">
        <v>44</v>
      </c>
      <c r="M390" s="38">
        <v>42</v>
      </c>
      <c r="N390" s="38">
        <v>2933</v>
      </c>
      <c r="O390" s="229">
        <v>2478</v>
      </c>
      <c r="P390" s="38">
        <v>2648</v>
      </c>
      <c r="Q390" s="38">
        <v>2516</v>
      </c>
      <c r="R390" s="38">
        <f t="shared" si="87"/>
        <v>0</v>
      </c>
      <c r="S390" s="38">
        <f>IF(LEFT($B390,4)="_Mil","",_xlfn.IFNA(ROUND(INDEX(Spectrum!$N:$N,MATCH(RIGHT($B390,13)&amp;"|"&amp;$C390&amp;"|"&amp;$D390&amp;"|"&amp;S$14&amp;"|"&amp;"CY2023Q4",Spectrum!$R:$R,0)),0),""))</f>
        <v>2859</v>
      </c>
      <c r="T390" s="218">
        <f>IF(LEFT($B390,4)="_Mil","",_xlfn.IFNA(ROUND(INDEX(Spectrum!$N:$N,MATCH(RIGHT($B390,13)&amp;"|"&amp;$C390&amp;"|"&amp;$D390&amp;"|"&amp;T$14&amp;"|"&amp;"CY2024Q3",Spectrum!$R:$R,0)),0),""))</f>
        <v>39162</v>
      </c>
      <c r="U390" s="218">
        <f>IF(LEFT($B390,4)="_Mil","",_xlfn.IFNA(ROUND(INDEX(Spectrum!$N:$N,MATCH(RIGHT($B390,13)&amp;"|"&amp;$C390&amp;"|"&amp;$D390&amp;"|"&amp;U$14&amp;"|"&amp;"CY2024Q3",Spectrum!$R:$R,0)),0),""))</f>
        <v>3210</v>
      </c>
      <c r="V390" s="38">
        <f>IF(LEFT($B390,4)="_Mil","",_xlfn.IFNA(ROUND(INDEX(Spectrum!$N:$N,MATCH(RIGHT($B390,13)&amp;"|"&amp;$C390&amp;"|"&amp;$D390&amp;"|"&amp;V$14&amp;"|"&amp;"CY2024Q3",Spectrum!$R:$R,0)),0),""))</f>
        <v>3033</v>
      </c>
      <c r="W390" s="220">
        <f>IF(LEFT($B390,4)="_Mil","",_xlfn.IFNA(INDEX(Spectrum!$N:$N,MATCH(RIGHT($B390,13)&amp;"|"&amp;$C390&amp;"|"&amp;$D390&amp;"|"&amp;W$14&amp;"|"&amp;"CY2024Q3",Spectrum!$R:$R,0)),""))</f>
        <v>8.1975430000000002E-2</v>
      </c>
      <c r="X390" s="218">
        <f>IF(LEFT($B390,4)="_Mil","",_xlfn.IFNA(ROUND(INDEX(Spectrum!$N:$N,MATCH(RIGHT($B390,13)&amp;"|"&amp;$C390&amp;"|"&amp;$D390&amp;"|"&amp;X$14&amp;"|"&amp;"CY2024Q3",Spectrum!$R:$R,0)),0),""))</f>
        <v>3029</v>
      </c>
      <c r="Y390" s="33">
        <f t="shared" si="88"/>
        <v>0.94</v>
      </c>
      <c r="Z390" s="218">
        <f>IF(LEFT($B390,4)="_Mil","",_xlfn.IFNA(ROUND(INDEX(Spectrum!$N:$N,MATCH(RIGHT($B390,13)&amp;"|"&amp;$C390&amp;"|"&amp;$D390&amp;"|"&amp;Z$14&amp;"|"&amp;"CY2024Q3",Spectrum!$R:$R,0)),0),""))</f>
        <v>2821</v>
      </c>
      <c r="AA390" s="33">
        <f>IF(LEFT($B390,4)="_Mil","",IFERROR(1/(1/INDEX(Spectrum!$N:$N,MATCH(RIGHT($B390,13)&amp;"|"&amp;$C390&amp;"|"&amp;$D390&amp;"|"&amp;AA$14&amp;"|"&amp;"CY2024Q3",Spectrum!$R:$R,0))),IF(SUM($U390)=0,"",SUM($Z390)/$U390)))</f>
        <v>0.94003702500000008</v>
      </c>
      <c r="AB390" s="33">
        <f t="shared" si="89"/>
        <v>0.93133047210300424</v>
      </c>
      <c r="AC390" s="38">
        <f>IF(LEFT($B390,4)="_Mil","",_xlfn.IFNA(ROUND(INDEX(Spectrum!$N:$N,MATCH(RIGHT($B390,13)&amp;"|"&amp;$C390&amp;"|"&amp;$D390&amp;"|"&amp;AC$14&amp;"|"&amp;"CY2024Q3",Spectrum!$R:$R,0)),0),""))</f>
        <v>212</v>
      </c>
      <c r="AD390" s="38" t="str">
        <f>IF(LEFT($B390,4)="_Mil","",_xlfn.IFNA(ROUND(INDEX(Spectrum!$N:$N,MATCH(RIGHT($B390,13)&amp;"|"&amp;$C390&amp;"|"&amp;$D390&amp;"|"&amp;AD$14&amp;"|"&amp;"CY2024Q3",Spectrum!$R:$R,0)),0),""))</f>
        <v/>
      </c>
      <c r="AE390" s="33">
        <f t="shared" si="90"/>
        <v>0</v>
      </c>
      <c r="AF390" s="218" t="str">
        <f>IF(LEFT($B390,4)="_Mil","",_xlfn.IFNA(ROUND(INDEX(Spectrum!$N:$N,MATCH(RIGHT($B390,13)&amp;"|"&amp;$C390&amp;"|"&amp;$D390&amp;"|"&amp;AF$14&amp;"|"&amp;"CY2024Q3",Spectrum!$R:$R,0)),0),""))</f>
        <v/>
      </c>
      <c r="AG390" s="33" t="str">
        <f t="shared" si="91"/>
        <v/>
      </c>
      <c r="AH390" s="110" t="str">
        <f>IF(LEFT($B390,4)="_Mil","",_xlfn.IFNA(INDEX(Spectrum!$N:$N,MATCH(RIGHT($B390,13)&amp;"|"&amp;$C390&amp;"|"&amp;$D390&amp;"|"&amp;AH$14&amp;"|"&amp;"CY2024Q3",Spectrum!$R:$R,0)),""))</f>
        <v/>
      </c>
      <c r="AI390" s="218">
        <f>IF(LEFT($B390,4)="_Mil","",_xlfn.IFNA(ROUND(INDEX(Spectrum!$N:$N,MATCH(RIGHT($B390,13)&amp;"|"&amp;$C390&amp;"|"&amp;$D390&amp;"|"&amp;AI$14&amp;"|"&amp;"CY2025Q3",Spectrum!$R:$R,0)),0),""))</f>
        <v>33</v>
      </c>
      <c r="AJ390" s="38">
        <f>IF(LEFT($B390,4)="_Mil","",_xlfn.IFNA(ROUND(INDEX(Spectrum!$N:$N,MATCH(RIGHT($B390,13)&amp;"|"&amp;$C390&amp;"|"&amp;$D390&amp;"|"&amp;AJ$14&amp;"|"&amp;"CY2025Q3",Spectrum!$R:$R,0)),0),""))</f>
        <v>3055</v>
      </c>
      <c r="AK390" s="218" t="e">
        <f>#REF!</f>
        <v>#REF!</v>
      </c>
      <c r="AL390" s="33">
        <f t="shared" si="92"/>
        <v>0.94003702500000008</v>
      </c>
      <c r="AM390" s="38" t="e">
        <f>IF(OR(LEFT($B390,4)="_Mil",$C390="&lt;01"),"",ROUND(SUM($AK390)*SUM($AL390),0))</f>
        <v>#REF!</v>
      </c>
      <c r="AN390" s="38" t="str">
        <f>IF($C390="&lt;01",ROUND(INDEX(EID!$P:$P,MATCH($B390,EID!$B:$B,0))/2,0),"")</f>
        <v/>
      </c>
      <c r="AO390" s="38" t="e">
        <f>IF($C390="&lt;01",SUM($AN390),ROUND(SUM($AM390)*SUM($O390)/IF(SUM($Z390)=0,1,$Z390),0))</f>
        <v>#REF!</v>
      </c>
      <c r="AP390" s="218">
        <f>IF(OR($F390="",$C390="&lt;01"),$AO390,ROUND($F390,0))</f>
        <v>2478</v>
      </c>
      <c r="AQ390" s="218">
        <f>IF(LEFT($B390,4)="_Mil","",IF(SUM($AP390)=0,SUM($Z390),IF(OR(SUM($Z390)=0,SUM($O390)=0),MAX($AP390,$Z390),ROUND($AP390*$Z390/$O390,0))))</f>
        <v>2821</v>
      </c>
      <c r="AR390" s="33" t="e">
        <f>IF(OR(LEFT($B390,4)="_Mil",SUM($AK390)=0),"",SUM($AQ390)/$AK390)</f>
        <v>#REF!</v>
      </c>
      <c r="AS390" s="33">
        <f t="shared" si="101"/>
        <v>0.98</v>
      </c>
      <c r="AT390" s="33">
        <f t="shared" si="98"/>
        <v>0.98</v>
      </c>
      <c r="AU390" s="38">
        <f>IF($C390="&lt;01","",SUM($AP390)-SUM($O390))</f>
        <v>0</v>
      </c>
      <c r="AV390" s="38">
        <f>IF($C390="&lt;01",ROUND(INDEX(EID!$N:$N,MATCH($B390,EID!$B:$B,0))/2,0),IF(SUM($AT390)=0,"",ROUND((SUM($AP390)-(SUM($O390)*SUM($AS390)))/$AT390,0)))</f>
        <v>51</v>
      </c>
      <c r="AW390" s="33">
        <f t="shared" si="96"/>
        <v>1</v>
      </c>
      <c r="AX390" s="218">
        <f>IF($C390="&lt;01",SUM($AV390),ROUND(SUM($AV390)*SUM($AW390),0))</f>
        <v>51</v>
      </c>
      <c r="AY390" s="79">
        <f t="shared" si="93"/>
        <v>0.7</v>
      </c>
      <c r="AZ390" s="85">
        <f>IF($C390="&lt;01",ROUND(INDEX(EID!$R:$R,MATCH($B390,EID!$B:$B,0))/2,0),ROUND(SUM($O390)+(SUM($AV390)*$AY390),0))</f>
        <v>2514</v>
      </c>
      <c r="BA390" s="40">
        <f t="shared" si="97"/>
        <v>0.9</v>
      </c>
      <c r="BB390" s="99">
        <f>IF($C390="&lt;01",ROUND(INDEX(EID!$T:$T,MATCH($B390,EID!$B:$B,0))/2,0),ROUND($AP390*$BA390,0))</f>
        <v>2230</v>
      </c>
      <c r="BC390" s="85">
        <f>IF(LEFT($B390,4)="_Mil","",IF(SUM($BB390)=0,SUM($AD390),IF(OR(SUM($AP390)=0,SUM($AQ390)=0),MAX($BB390,$AD390),ROUND($BB390*$AQ390/$AP390,0))))</f>
        <v>2539</v>
      </c>
      <c r="BD390" s="33">
        <f t="shared" si="94"/>
        <v>0.95</v>
      </c>
      <c r="BE390" s="218">
        <f>IF($C390="&lt;01",ROUND(INDEX(EID!$V:$V,MATCH($B390,EID!$B:$B,0))/2,0),ROUND($BD390*$BB390,0))</f>
        <v>2119</v>
      </c>
      <c r="BF390" s="218">
        <f>IF(LEFT($B390,4)="_Mil","",IF(SUM($BE390)=0,SUM($AF390),IF(OR(SUM($AP390)=0,SUM($AQ390)=0),MAX($BE390,$AF390),ROUND($BE390*$AQ390/$AP390,0))))</f>
        <v>2412</v>
      </c>
      <c r="BG390" s="79">
        <f t="shared" si="95"/>
        <v>0.95</v>
      </c>
      <c r="BH390" s="99">
        <f>IF($C390="&lt;01",ROUND(INDEX(EID!$L:$L,MATCH($B390,EID!$B:$B,0)),0)/2,IF(SUM($BG390)=0,"",ROUND($AX390/$BG390,0)))</f>
        <v>54</v>
      </c>
    </row>
    <row r="391" spans="1:60" x14ac:dyDescent="0.2">
      <c r="A391" t="str">
        <f>INDEX(Prioritization!$D:$D,MATCH($B391,Prioritization!$A:$A,0))</f>
        <v>4 - Sustained</v>
      </c>
      <c r="B391" t="s">
        <v>306</v>
      </c>
      <c r="C391" t="s">
        <v>478</v>
      </c>
      <c r="D391" t="s">
        <v>30</v>
      </c>
      <c r="E391" t="str">
        <f t="shared" si="86"/>
        <v>Salima District [msW2zpIN7up]|50+|Female</v>
      </c>
      <c r="F391" s="229">
        <v>2880</v>
      </c>
      <c r="G391" s="38">
        <v>60</v>
      </c>
      <c r="H391" s="38">
        <v>54</v>
      </c>
      <c r="I391" s="38">
        <v>2478</v>
      </c>
      <c r="J391" s="38">
        <v>1767</v>
      </c>
      <c r="K391" s="38">
        <v>1592</v>
      </c>
      <c r="L391" s="38">
        <v>285</v>
      </c>
      <c r="M391" s="38">
        <v>279</v>
      </c>
      <c r="N391" s="38">
        <v>2548</v>
      </c>
      <c r="O391" s="229">
        <v>2660</v>
      </c>
      <c r="P391" s="38">
        <v>2086</v>
      </c>
      <c r="Q391" s="38">
        <v>1981</v>
      </c>
      <c r="R391" s="38">
        <f t="shared" si="87"/>
        <v>182</v>
      </c>
      <c r="S391" s="38">
        <f>IF(LEFT($B391,4)="_Mil","",_xlfn.IFNA(ROUND(INDEX(Spectrum!$N:$N,MATCH(RIGHT($B391,13)&amp;"|"&amp;$C391&amp;"|"&amp;$D391&amp;"|"&amp;S$14&amp;"|"&amp;"CY2023Q4",Spectrum!$R:$R,0)),0),""))</f>
        <v>2479</v>
      </c>
      <c r="T391" s="218">
        <f>IF(LEFT($B391,4)="_Mil","",_xlfn.IFNA(ROUND(INDEX(Spectrum!$N:$N,MATCH(RIGHT($B391,13)&amp;"|"&amp;$C391&amp;"|"&amp;$D391&amp;"|"&amp;T$14&amp;"|"&amp;"CY2024Q3",Spectrum!$R:$R,0)),0),""))</f>
        <v>24676</v>
      </c>
      <c r="U391" s="218">
        <f>IF(LEFT($B391,4)="_Mil","",_xlfn.IFNA(ROUND(INDEX(Spectrum!$N:$N,MATCH(RIGHT($B391,13)&amp;"|"&amp;$C391&amp;"|"&amp;$D391&amp;"|"&amp;U$14&amp;"|"&amp;"CY2024Q3",Spectrum!$R:$R,0)),0),""))</f>
        <v>2799</v>
      </c>
      <c r="V391" s="38">
        <f>IF(LEFT($B391,4)="_Mil","",_xlfn.IFNA(ROUND(INDEX(Spectrum!$N:$N,MATCH(RIGHT($B391,13)&amp;"|"&amp;$C391&amp;"|"&amp;$D391&amp;"|"&amp;V$14&amp;"|"&amp;"CY2024Q3",Spectrum!$R:$R,0)),0),""))</f>
        <v>2660</v>
      </c>
      <c r="W391" s="220">
        <f>IF(LEFT($B391,4)="_Mil","",_xlfn.IFNA(INDEX(Spectrum!$N:$N,MATCH(RIGHT($B391,13)&amp;"|"&amp;$C391&amp;"|"&amp;$D391&amp;"|"&amp;W$14&amp;"|"&amp;"CY2024Q3",Spectrum!$R:$R,0)),""))</f>
        <v>0.113417276</v>
      </c>
      <c r="X391" s="218">
        <f>IF(LEFT($B391,4)="_Mil","",_xlfn.IFNA(ROUND(INDEX(Spectrum!$N:$N,MATCH(RIGHT($B391,13)&amp;"|"&amp;$C391&amp;"|"&amp;$D391&amp;"|"&amp;X$14&amp;"|"&amp;"CY2024Q3",Spectrum!$R:$R,0)),0),""))</f>
        <v>2777</v>
      </c>
      <c r="Y391" s="33">
        <f t="shared" si="88"/>
        <v>0.99</v>
      </c>
      <c r="Z391" s="218">
        <f>IF(LEFT($B391,4)="_Mil","",_xlfn.IFNA(ROUND(INDEX(Spectrum!$N:$N,MATCH(RIGHT($B391,13)&amp;"|"&amp;$C391&amp;"|"&amp;$D391&amp;"|"&amp;Z$14&amp;"|"&amp;"CY2024Q3",Spectrum!$R:$R,0)),0),""))</f>
        <v>2636</v>
      </c>
      <c r="AA391" s="33">
        <f>IF(LEFT($B391,4)="_Mil","",IFERROR(1/(1/INDEX(Spectrum!$N:$N,MATCH(RIGHT($B391,13)&amp;"|"&amp;$C391&amp;"|"&amp;$D391&amp;"|"&amp;AA$14&amp;"|"&amp;"CY2024Q3",Spectrum!$R:$R,0))),IF(SUM($U391)=0,"",SUM($Z391)/$U391)))</f>
        <v>0.99076948200000015</v>
      </c>
      <c r="AB391" s="33">
        <f t="shared" si="89"/>
        <v>0.9492257832193014</v>
      </c>
      <c r="AC391" s="38">
        <f>IF(LEFT($B391,4)="_Mil","",_xlfn.IFNA(ROUND(INDEX(Spectrum!$N:$N,MATCH(RIGHT($B391,13)&amp;"|"&amp;$C391&amp;"|"&amp;$D391&amp;"|"&amp;AC$14&amp;"|"&amp;"CY2024Q3",Spectrum!$R:$R,0)),0),""))</f>
        <v>24</v>
      </c>
      <c r="AD391" s="38" t="str">
        <f>IF(LEFT($B391,4)="_Mil","",_xlfn.IFNA(ROUND(INDEX(Spectrum!$N:$N,MATCH(RIGHT($B391,13)&amp;"|"&amp;$C391&amp;"|"&amp;$D391&amp;"|"&amp;AD$14&amp;"|"&amp;"CY2024Q3",Spectrum!$R:$R,0)),0),""))</f>
        <v/>
      </c>
      <c r="AE391" s="33">
        <f t="shared" si="90"/>
        <v>0</v>
      </c>
      <c r="AF391" s="218" t="str">
        <f>IF(LEFT($B391,4)="_Mil","",_xlfn.IFNA(ROUND(INDEX(Spectrum!$N:$N,MATCH(RIGHT($B391,13)&amp;"|"&amp;$C391&amp;"|"&amp;$D391&amp;"|"&amp;AF$14&amp;"|"&amp;"CY2024Q3",Spectrum!$R:$R,0)),0),""))</f>
        <v/>
      </c>
      <c r="AG391" s="33" t="str">
        <f t="shared" si="91"/>
        <v/>
      </c>
      <c r="AH391" s="110" t="str">
        <f>IF(LEFT($B391,4)="_Mil","",_xlfn.IFNA(INDEX(Spectrum!$N:$N,MATCH(RIGHT($B391,13)&amp;"|"&amp;$C391&amp;"|"&amp;$D391&amp;"|"&amp;AH$14&amp;"|"&amp;"CY2024Q3",Spectrum!$R:$R,0)),""))</f>
        <v/>
      </c>
      <c r="AI391" s="218">
        <f>IF(LEFT($B391,4)="_Mil","",_xlfn.IFNA(ROUND(INDEX(Spectrum!$N:$N,MATCH(RIGHT($B391,13)&amp;"|"&amp;$C391&amp;"|"&amp;$D391&amp;"|"&amp;AI$14&amp;"|"&amp;"CY2025Q3",Spectrum!$R:$R,0)),0),""))</f>
        <v>4</v>
      </c>
      <c r="AJ391" s="38">
        <f>IF(LEFT($B391,4)="_Mil","",_xlfn.IFNA(ROUND(INDEX(Spectrum!$N:$N,MATCH(RIGHT($B391,13)&amp;"|"&amp;$C391&amp;"|"&amp;$D391&amp;"|"&amp;AJ$14&amp;"|"&amp;"CY2025Q3",Spectrum!$R:$R,0)),0),""))</f>
        <v>3038</v>
      </c>
      <c r="AK391" s="218" t="e">
        <f>#REF!</f>
        <v>#REF!</v>
      </c>
      <c r="AL391" s="33">
        <f t="shared" si="92"/>
        <v>0.99076948200000015</v>
      </c>
      <c r="AM391" s="38" t="e">
        <f>IF(OR(LEFT($B391,4)="_Mil",$C391="&lt;01"),"",ROUND(SUM($AK391)*SUM($AL391),0))</f>
        <v>#REF!</v>
      </c>
      <c r="AN391" s="38" t="str">
        <f>IF($C391="&lt;01",ROUND(INDEX(EID!$P:$P,MATCH($B391,EID!$B:$B,0))/2,0),"")</f>
        <v/>
      </c>
      <c r="AO391" s="38" t="e">
        <f>IF($C391="&lt;01",SUM($AN391),ROUND(SUM($AM391)*SUM($O391)/IF(SUM($Z391)=0,1,$Z391),0))</f>
        <v>#REF!</v>
      </c>
      <c r="AP391" s="218">
        <f>IF(OR($F391="",$C391="&lt;01"),$AO391,ROUND($F391,0))</f>
        <v>2880</v>
      </c>
      <c r="AQ391" s="218">
        <f>IF(LEFT($B391,4)="_Mil","",IF(SUM($AP391)=0,SUM($Z391),IF(OR(SUM($Z391)=0,SUM($O391)=0),MAX($AP391,$Z391),ROUND($AP391*$Z391/$O391,0))))</f>
        <v>2854</v>
      </c>
      <c r="AR391" s="33" t="e">
        <f>IF(OR(LEFT($B391,4)="_Mil",SUM($AK391)=0),"",SUM($AQ391)/$AK391)</f>
        <v>#REF!</v>
      </c>
      <c r="AS391" s="33">
        <v>1.02</v>
      </c>
      <c r="AT391" s="33">
        <f>IF($C391="&lt;01","",100%)</f>
        <v>1</v>
      </c>
      <c r="AU391" s="38">
        <f>IF($C391="&lt;01","",SUM($AP391)-SUM($O391))</f>
        <v>220</v>
      </c>
      <c r="AV391" s="38">
        <f>IF($C391="&lt;01",ROUND(INDEX(EID!$N:$N,MATCH($B391,EID!$B:$B,0))/2,0),IF(SUM($AT391)=0,"",ROUND((SUM($AP391)-(SUM($O391)*SUM($AS391)))/$AT391,0)))</f>
        <v>167</v>
      </c>
      <c r="AW391" s="33">
        <v>0.8</v>
      </c>
      <c r="AX391" s="218">
        <f>IF($C391="&lt;01",SUM($AV391),ROUND(SUM($AV391)*SUM($AW391),0))</f>
        <v>134</v>
      </c>
      <c r="AY391" s="79">
        <f t="shared" si="93"/>
        <v>0.7</v>
      </c>
      <c r="AZ391" s="85">
        <f>IF($C391="&lt;01",ROUND(INDEX(EID!$R:$R,MATCH($B391,EID!$B:$B,0))/2,0),ROUND(SUM($O391)+(SUM($AV391)*$AY391),0))</f>
        <v>2777</v>
      </c>
      <c r="BA391" s="40">
        <f t="shared" si="97"/>
        <v>0.9</v>
      </c>
      <c r="BB391" s="99">
        <f>IF($C391="&lt;01",ROUND(INDEX(EID!$T:$T,MATCH($B391,EID!$B:$B,0))/2,0),ROUND($AP391*$BA391,0))</f>
        <v>2592</v>
      </c>
      <c r="BC391" s="85">
        <f>IF(LEFT($B391,4)="_Mil","",IF(SUM($BB391)=0,SUM($AD391),IF(OR(SUM($AP391)=0,SUM($AQ391)=0),MAX($BB391,$AD391),ROUND($BB391*$AQ391/$AP391,0))))</f>
        <v>2569</v>
      </c>
      <c r="BD391" s="33">
        <f t="shared" si="94"/>
        <v>0.95</v>
      </c>
      <c r="BE391" s="218">
        <f>IF($C391="&lt;01",ROUND(INDEX(EID!$V:$V,MATCH($B391,EID!$B:$B,0))/2,0),ROUND($BD391*$BB391,0))</f>
        <v>2462</v>
      </c>
      <c r="BF391" s="218">
        <f>IF(LEFT($B391,4)="_Mil","",IF(SUM($BE391)=0,SUM($AF391),IF(OR(SUM($AP391)=0,SUM($AQ391)=0),MAX($BE391,$AF391),ROUND($BE391*$AQ391/$AP391,0))))</f>
        <v>2440</v>
      </c>
      <c r="BG391" s="79">
        <f t="shared" si="95"/>
        <v>0.95</v>
      </c>
      <c r="BH391" s="99">
        <f>IF($C391="&lt;01",ROUND(INDEX(EID!$L:$L,MATCH($B391,EID!$B:$B,0)),0)/2,IF(SUM($BG391)=0,"",ROUND($AX391/$BG391,0)))</f>
        <v>141</v>
      </c>
    </row>
    <row r="392" spans="1:60" x14ac:dyDescent="0.2">
      <c r="A392" t="str">
        <f>INDEX(Prioritization!$D:$D,MATCH($B392,Prioritization!$A:$A,0))</f>
        <v>4 - Sustained</v>
      </c>
      <c r="B392" t="s">
        <v>306</v>
      </c>
      <c r="C392" t="s">
        <v>478</v>
      </c>
      <c r="D392" t="s">
        <v>48</v>
      </c>
      <c r="E392" t="str">
        <f t="shared" si="86"/>
        <v>Salima District [msW2zpIN7up]|50+|Male</v>
      </c>
      <c r="F392" s="229">
        <v>2357</v>
      </c>
      <c r="G392" s="38">
        <v>66</v>
      </c>
      <c r="H392" s="38">
        <v>69</v>
      </c>
      <c r="I392" s="38">
        <v>2220</v>
      </c>
      <c r="J392" s="38">
        <v>1618</v>
      </c>
      <c r="K392" s="38">
        <v>1442</v>
      </c>
      <c r="L392" s="38">
        <v>208</v>
      </c>
      <c r="M392" s="38">
        <v>198</v>
      </c>
      <c r="N392" s="38">
        <v>2132</v>
      </c>
      <c r="O392" s="229">
        <v>2221</v>
      </c>
      <c r="P392" s="38">
        <v>1769</v>
      </c>
      <c r="Q392" s="38">
        <v>1681</v>
      </c>
      <c r="R392" s="38">
        <f t="shared" si="87"/>
        <v>1</v>
      </c>
      <c r="S392" s="38">
        <f>IF(LEFT($B392,4)="_Mil","",_xlfn.IFNA(ROUND(INDEX(Spectrum!$N:$N,MATCH(RIGHT($B392,13)&amp;"|"&amp;$C392&amp;"|"&amp;$D392&amp;"|"&amp;S$14&amp;"|"&amp;"CY2023Q4",Spectrum!$R:$R,0)),0),""))</f>
        <v>1992</v>
      </c>
      <c r="T392" s="218">
        <f>IF(LEFT($B392,4)="_Mil","",_xlfn.IFNA(ROUND(INDEX(Spectrum!$N:$N,MATCH(RIGHT($B392,13)&amp;"|"&amp;$C392&amp;"|"&amp;$D392&amp;"|"&amp;T$14&amp;"|"&amp;"CY2024Q3",Spectrum!$R:$R,0)),0),""))</f>
        <v>19907</v>
      </c>
      <c r="U392" s="218">
        <f>IF(LEFT($B392,4)="_Mil","",_xlfn.IFNA(ROUND(INDEX(Spectrum!$N:$N,MATCH(RIGHT($B392,13)&amp;"|"&amp;$C392&amp;"|"&amp;$D392&amp;"|"&amp;U$14&amp;"|"&amp;"CY2024Q3",Spectrum!$R:$R,0)),0),""))</f>
        <v>2330</v>
      </c>
      <c r="V392" s="38">
        <f>IF(LEFT($B392,4)="_Mil","",_xlfn.IFNA(ROUND(INDEX(Spectrum!$N:$N,MATCH(RIGHT($B392,13)&amp;"|"&amp;$C392&amp;"|"&amp;$D392&amp;"|"&amp;V$14&amp;"|"&amp;"CY2024Q3",Spectrum!$R:$R,0)),0),""))</f>
        <v>2221</v>
      </c>
      <c r="W392" s="220">
        <f>IF(LEFT($B392,4)="_Mil","",_xlfn.IFNA(INDEX(Spectrum!$N:$N,MATCH(RIGHT($B392,13)&amp;"|"&amp;$C392&amp;"|"&amp;$D392&amp;"|"&amp;W$14&amp;"|"&amp;"CY2024Q3",Spectrum!$R:$R,0)),""))</f>
        <v>0.11703311</v>
      </c>
      <c r="X392" s="218">
        <f>IF(LEFT($B392,4)="_Mil","",_xlfn.IFNA(ROUND(INDEX(Spectrum!$N:$N,MATCH(RIGHT($B392,13)&amp;"|"&amp;$C392&amp;"|"&amp;$D392&amp;"|"&amp;X$14&amp;"|"&amp;"CY2024Q3",Spectrum!$R:$R,0)),0),""))</f>
        <v>2240</v>
      </c>
      <c r="Y392" s="33">
        <f t="shared" si="88"/>
        <v>0.96</v>
      </c>
      <c r="Z392" s="218">
        <f>IF(LEFT($B392,4)="_Mil","",_xlfn.IFNA(ROUND(INDEX(Spectrum!$N:$N,MATCH(RIGHT($B392,13)&amp;"|"&amp;$C392&amp;"|"&amp;$D392&amp;"|"&amp;Z$14&amp;"|"&amp;"CY2024Q3",Spectrum!$R:$R,0)),0),""))</f>
        <v>2116</v>
      </c>
      <c r="AA392" s="33">
        <f>IF(LEFT($B392,4)="_Mil","",IFERROR(1/(1/INDEX(Spectrum!$N:$N,MATCH(RIGHT($B392,13)&amp;"|"&amp;$C392&amp;"|"&amp;$D392&amp;"|"&amp;AA$14&amp;"|"&amp;"CY2024Q3",Spectrum!$R:$R,0))),IF(SUM($U392)=0,"",SUM($Z392)/$U392)))</f>
        <v>0.95897100299999993</v>
      </c>
      <c r="AB392" s="33">
        <f t="shared" si="89"/>
        <v>0.94464285714285712</v>
      </c>
      <c r="AC392" s="38">
        <f>IF(LEFT($B392,4)="_Mil","",_xlfn.IFNA(ROUND(INDEX(Spectrum!$N:$N,MATCH(RIGHT($B392,13)&amp;"|"&amp;$C392&amp;"|"&amp;$D392&amp;"|"&amp;AC$14&amp;"|"&amp;"CY2024Q3",Spectrum!$R:$R,0)),0),""))</f>
        <v>105</v>
      </c>
      <c r="AD392" s="38" t="str">
        <f>IF(LEFT($B392,4)="_Mil","",_xlfn.IFNA(ROUND(INDEX(Spectrum!$N:$N,MATCH(RIGHT($B392,13)&amp;"|"&amp;$C392&amp;"|"&amp;$D392&amp;"|"&amp;AD$14&amp;"|"&amp;"CY2024Q3",Spectrum!$R:$R,0)),0),""))</f>
        <v/>
      </c>
      <c r="AE392" s="33">
        <f t="shared" si="90"/>
        <v>0</v>
      </c>
      <c r="AF392" s="218" t="str">
        <f>IF(LEFT($B392,4)="_Mil","",_xlfn.IFNA(ROUND(INDEX(Spectrum!$N:$N,MATCH(RIGHT($B392,13)&amp;"|"&amp;$C392&amp;"|"&amp;$D392&amp;"|"&amp;AF$14&amp;"|"&amp;"CY2024Q3",Spectrum!$R:$R,0)),0),""))</f>
        <v/>
      </c>
      <c r="AG392" s="33" t="str">
        <f t="shared" si="91"/>
        <v/>
      </c>
      <c r="AH392" s="110" t="str">
        <f>IF(LEFT($B392,4)="_Mil","",_xlfn.IFNA(INDEX(Spectrum!$N:$N,MATCH(RIGHT($B392,13)&amp;"|"&amp;$C392&amp;"|"&amp;$D392&amp;"|"&amp;AH$14&amp;"|"&amp;"CY2024Q3",Spectrum!$R:$R,0)),""))</f>
        <v/>
      </c>
      <c r="AI392" s="218">
        <f>IF(LEFT($B392,4)="_Mil","",_xlfn.IFNA(ROUND(INDEX(Spectrum!$N:$N,MATCH(RIGHT($B392,13)&amp;"|"&amp;$C392&amp;"|"&amp;$D392&amp;"|"&amp;AI$14&amp;"|"&amp;"CY2025Q3",Spectrum!$R:$R,0)),0),""))</f>
        <v>9</v>
      </c>
      <c r="AJ392" s="38">
        <f>IF(LEFT($B392,4)="_Mil","",_xlfn.IFNA(ROUND(INDEX(Spectrum!$N:$N,MATCH(RIGHT($B392,13)&amp;"|"&amp;$C392&amp;"|"&amp;$D392&amp;"|"&amp;AJ$14&amp;"|"&amp;"CY2025Q3",Spectrum!$R:$R,0)),0),""))</f>
        <v>2478</v>
      </c>
      <c r="AK392" s="218" t="e">
        <f>#REF!</f>
        <v>#REF!</v>
      </c>
      <c r="AL392" s="33">
        <f t="shared" si="92"/>
        <v>0.95897100299999993</v>
      </c>
      <c r="AM392" s="38" t="e">
        <f>IF(OR(LEFT($B392,4)="_Mil",$C392="&lt;01"),"",ROUND(SUM($AK392)*SUM($AL392),0))</f>
        <v>#REF!</v>
      </c>
      <c r="AN392" s="38" t="str">
        <f>IF($C392="&lt;01",ROUND(INDEX(EID!$P:$P,MATCH($B392,EID!$B:$B,0))/2,0),"")</f>
        <v/>
      </c>
      <c r="AO392" s="38" t="e">
        <f>IF($C392="&lt;01",SUM($AN392),ROUND(SUM($AM392)*SUM($O392)/IF(SUM($Z392)=0,1,$Z392),0))</f>
        <v>#REF!</v>
      </c>
      <c r="AP392" s="218">
        <f>IF(OR($F392="",$C392="&lt;01"),$AO392,ROUND($F392,0))</f>
        <v>2357</v>
      </c>
      <c r="AQ392" s="218">
        <f>IF(LEFT($B392,4)="_Mil","",IF(SUM($AP392)=0,SUM($Z392),IF(OR(SUM($Z392)=0,SUM($O392)=0),MAX($AP392,$Z392),ROUND($AP392*$Z392/$O392,0))))</f>
        <v>2246</v>
      </c>
      <c r="AR392" s="33" t="e">
        <f>IF(OR(LEFT($B392,4)="_Mil",SUM($AK392)=0),"",SUM($AQ392)/$AK392)</f>
        <v>#REF!</v>
      </c>
      <c r="AS392" s="33">
        <v>1.02</v>
      </c>
      <c r="AT392" s="33">
        <f>IF($C392="&lt;01","",100%)</f>
        <v>1</v>
      </c>
      <c r="AU392" s="38">
        <f>IF($C392="&lt;01","",SUM($AP392)-SUM($O392))</f>
        <v>136</v>
      </c>
      <c r="AV392" s="38">
        <f>IF($C392="&lt;01",ROUND(INDEX(EID!$N:$N,MATCH($B392,EID!$B:$B,0))/2,0),IF(SUM($AT392)=0,"",ROUND((SUM($AP392)-(SUM($O392)*SUM($AS392)))/$AT392,0)))</f>
        <v>92</v>
      </c>
      <c r="AW392" s="33">
        <v>0.8</v>
      </c>
      <c r="AX392" s="218">
        <f>IF($C392="&lt;01",SUM($AV392),ROUND(SUM($AV392)*SUM($AW392),0))</f>
        <v>74</v>
      </c>
      <c r="AY392" s="79">
        <f t="shared" si="93"/>
        <v>0.7</v>
      </c>
      <c r="AZ392" s="85">
        <f>IF($C392="&lt;01",ROUND(INDEX(EID!$R:$R,MATCH($B392,EID!$B:$B,0))/2,0),ROUND(SUM($O392)+(SUM($AV392)*$AY392),0))</f>
        <v>2285</v>
      </c>
      <c r="BA392" s="40">
        <f t="shared" si="97"/>
        <v>0.9</v>
      </c>
      <c r="BB392" s="99">
        <f>IF($C392="&lt;01",ROUND(INDEX(EID!$T:$T,MATCH($B392,EID!$B:$B,0))/2,0),ROUND($AP392*$BA392,0))</f>
        <v>2121</v>
      </c>
      <c r="BC392" s="85">
        <f>IF(LEFT($B392,4)="_Mil","",IF(SUM($BB392)=0,SUM($AD392),IF(OR(SUM($AP392)=0,SUM($AQ392)=0),MAX($BB392,$AD392),ROUND($BB392*$AQ392/$AP392,0))))</f>
        <v>2021</v>
      </c>
      <c r="BD392" s="33">
        <f t="shared" si="94"/>
        <v>0.95</v>
      </c>
      <c r="BE392" s="218">
        <f>IF($C392="&lt;01",ROUND(INDEX(EID!$V:$V,MATCH($B392,EID!$B:$B,0))/2,0),ROUND($BD392*$BB392,0))</f>
        <v>2015</v>
      </c>
      <c r="BF392" s="218">
        <f>IF(LEFT($B392,4)="_Mil","",IF(SUM($BE392)=0,SUM($AF392),IF(OR(SUM($AP392)=0,SUM($AQ392)=0),MAX($BE392,$AF392),ROUND($BE392*$AQ392/$AP392,0))))</f>
        <v>1920</v>
      </c>
      <c r="BG392" s="79">
        <f t="shared" si="95"/>
        <v>0.95</v>
      </c>
      <c r="BH392" s="99">
        <f>IF($C392="&lt;01",ROUND(INDEX(EID!$L:$L,MATCH($B392,EID!$B:$B,0)),0)/2,IF(SUM($BG392)=0,"",ROUND($AX392/$BG392,0)))</f>
        <v>78</v>
      </c>
    </row>
    <row r="393" spans="1:60" x14ac:dyDescent="0.2">
      <c r="A393" t="str">
        <f>INDEX(Prioritization!$D:$D,MATCH($B393,Prioritization!$A:$A,0))</f>
        <v>INVALID</v>
      </c>
      <c r="B393" t="s">
        <v>324</v>
      </c>
      <c r="C393" t="s">
        <v>426</v>
      </c>
      <c r="D393" t="s">
        <v>30</v>
      </c>
      <c r="E393" t="str">
        <f t="shared" si="86"/>
        <v>Thyolo District [ul0y9diGujK]|&lt;01|Female</v>
      </c>
      <c r="F393" s="229">
        <v>25</v>
      </c>
      <c r="G393" s="38">
        <v>22</v>
      </c>
      <c r="H393" s="38">
        <v>12</v>
      </c>
      <c r="I393" s="38">
        <v>4</v>
      </c>
      <c r="J393" s="38">
        <v>92</v>
      </c>
      <c r="K393" s="38">
        <v>87</v>
      </c>
      <c r="L393" s="38"/>
      <c r="M393" s="38">
        <v>31</v>
      </c>
      <c r="N393" s="38">
        <v>30</v>
      </c>
      <c r="O393" s="229">
        <v>25</v>
      </c>
      <c r="P393" s="38">
        <v>21</v>
      </c>
      <c r="Q393" s="38">
        <v>20</v>
      </c>
      <c r="R393" s="38">
        <f t="shared" si="87"/>
        <v>21</v>
      </c>
      <c r="S393" s="38">
        <f>IF(LEFT($B393,4)="_Mil","",_xlfn.IFNA(ROUND(INDEX(Spectrum!$N:$N,MATCH(RIGHT($B393,13)&amp;"|"&amp;$C393&amp;"|"&amp;$D393&amp;"|"&amp;S$14&amp;"|"&amp;"CY2023Q4",Spectrum!$R:$R,0)),0),""))</f>
        <v>23</v>
      </c>
      <c r="T393" s="218">
        <f>IF(LEFT($B393,4)="_Mil","",_xlfn.IFNA(ROUND(INDEX(Spectrum!$N:$N,MATCH(RIGHT($B393,13)&amp;"|"&amp;$C393&amp;"|"&amp;$D393&amp;"|"&amp;T$14&amp;"|"&amp;"CY2024Q3",Spectrum!$R:$R,0)),0),""))</f>
        <v>12321</v>
      </c>
      <c r="U393" s="218">
        <f>IF(LEFT($B393,4)="_Mil","",_xlfn.IFNA(ROUND(INDEX(Spectrum!$N:$N,MATCH(RIGHT($B393,13)&amp;"|"&amp;$C393&amp;"|"&amp;$D393&amp;"|"&amp;U$14&amp;"|"&amp;"CY2024Q3",Spectrum!$R:$R,0)),0),""))</f>
        <v>37</v>
      </c>
      <c r="V393" s="38">
        <f>IF(LEFT($B393,4)="_Mil","",_xlfn.IFNA(ROUND(INDEX(Spectrum!$N:$N,MATCH(RIGHT($B393,13)&amp;"|"&amp;$C393&amp;"|"&amp;$D393&amp;"|"&amp;V$14&amp;"|"&amp;"CY2024Q3",Spectrum!$R:$R,0)),0),""))</f>
        <v>33</v>
      </c>
      <c r="W393" s="220">
        <f>IF(LEFT($B393,4)="_Mil","",_xlfn.IFNA(INDEX(Spectrum!$N:$N,MATCH(RIGHT($B393,13)&amp;"|"&amp;$C393&amp;"|"&amp;$D393&amp;"|"&amp;W$14&amp;"|"&amp;"CY2024Q3",Spectrum!$R:$R,0)),""))</f>
        <v>2.9897690000000002E-3</v>
      </c>
      <c r="X393" s="218">
        <f>IF(LEFT($B393,4)="_Mil","",_xlfn.IFNA(ROUND(INDEX(Spectrum!$N:$N,MATCH(RIGHT($B393,13)&amp;"|"&amp;$C393&amp;"|"&amp;$D393&amp;"|"&amp;X$14&amp;"|"&amp;"CY2024Q3",Spectrum!$R:$R,0)),0),""))</f>
        <v>24</v>
      </c>
      <c r="Y393" s="33">
        <f t="shared" si="88"/>
        <v>0.65</v>
      </c>
      <c r="Z393" s="218">
        <f>IF(LEFT($B393,4)="_Mil","",_xlfn.IFNA(ROUND(INDEX(Spectrum!$N:$N,MATCH(RIGHT($B393,13)&amp;"|"&amp;$C393&amp;"|"&amp;$D393&amp;"|"&amp;Z$14&amp;"|"&amp;"CY2024Q3",Spectrum!$R:$R,0)),0),""))</f>
        <v>20</v>
      </c>
      <c r="AA393" s="33">
        <f>IF(LEFT($B393,4)="_Mil","",IFERROR(1/(1/INDEX(Spectrum!$N:$N,MATCH(RIGHT($B393,13)&amp;"|"&amp;$C393&amp;"|"&amp;$D393&amp;"|"&amp;AA$14&amp;"|"&amp;"CY2024Q3",Spectrum!$R:$R,0))),IF(SUM($U393)=0,"",SUM($Z393)/$U393)))</f>
        <v>0.60210805099999998</v>
      </c>
      <c r="AB393" s="33">
        <f t="shared" si="89"/>
        <v>0.83333333333333337</v>
      </c>
      <c r="AC393" s="38">
        <f>IF(LEFT($B393,4)="_Mil","",_xlfn.IFNA(ROUND(INDEX(Spectrum!$N:$N,MATCH(RIGHT($B393,13)&amp;"|"&amp;$C393&amp;"|"&amp;$D393&amp;"|"&amp;AC$14&amp;"|"&amp;"CY2024Q3",Spectrum!$R:$R,0)),0),""))</f>
        <v>14</v>
      </c>
      <c r="AD393" s="38" t="str">
        <f>IF(LEFT($B393,4)="_Mil","",_xlfn.IFNA(ROUND(INDEX(Spectrum!$N:$N,MATCH(RIGHT($B393,13)&amp;"|"&amp;$C393&amp;"|"&amp;$D393&amp;"|"&amp;AD$14&amp;"|"&amp;"CY2024Q3",Spectrum!$R:$R,0)),0),""))</f>
        <v/>
      </c>
      <c r="AE393" s="33">
        <f t="shared" si="90"/>
        <v>0</v>
      </c>
      <c r="AF393" s="218" t="str">
        <f>IF(LEFT($B393,4)="_Mil","",_xlfn.IFNA(ROUND(INDEX(Spectrum!$N:$N,MATCH(RIGHT($B393,13)&amp;"|"&amp;$C393&amp;"|"&amp;$D393&amp;"|"&amp;AF$14&amp;"|"&amp;"CY2024Q3",Spectrum!$R:$R,0)),0),""))</f>
        <v/>
      </c>
      <c r="AG393" s="33" t="str">
        <f t="shared" si="91"/>
        <v/>
      </c>
      <c r="AH393" s="110" t="str">
        <f>IF(LEFT($B393,4)="_Mil","",_xlfn.IFNA(INDEX(Spectrum!$N:$N,MATCH(RIGHT($B393,13)&amp;"|"&amp;$C393&amp;"|"&amp;$D393&amp;"|"&amp;AH$14&amp;"|"&amp;"CY2024Q3",Spectrum!$R:$R,0)),""))</f>
        <v/>
      </c>
      <c r="AI393" s="218">
        <f>IF(LEFT($B393,4)="_Mil","",_xlfn.IFNA(ROUND(INDEX(Spectrum!$N:$N,MATCH(RIGHT($B393,13)&amp;"|"&amp;$C393&amp;"|"&amp;$D393&amp;"|"&amp;AI$14&amp;"|"&amp;"CY2025Q3",Spectrum!$R:$R,0)),0),""))</f>
        <v>40</v>
      </c>
      <c r="AJ393" s="38">
        <f>IF(LEFT($B393,4)="_Mil","",_xlfn.IFNA(ROUND(INDEX(Spectrum!$N:$N,MATCH(RIGHT($B393,13)&amp;"|"&amp;$C393&amp;"|"&amp;$D393&amp;"|"&amp;AJ$14&amp;"|"&amp;"CY2025Q3",Spectrum!$R:$R,0)),0),""))</f>
        <v>33</v>
      </c>
      <c r="AK393" s="218" t="e">
        <f>#REF!</f>
        <v>#REF!</v>
      </c>
      <c r="AL393" s="33" t="str">
        <f t="shared" si="92"/>
        <v/>
      </c>
      <c r="AM393" s="38" t="str">
        <f>IF(OR(LEFT($B393,4)="_Mil",$C393="&lt;01"),"",ROUND(SUM($AK393)*SUM($AL393),0))</f>
        <v/>
      </c>
      <c r="AN393" s="38">
        <f>IF($C393="&lt;01",ROUND(INDEX(EID!$P:$P,MATCH($B393,EID!$B:$B,0))/2,0),"")</f>
        <v>11</v>
      </c>
      <c r="AO393" s="38">
        <f>IF($C393="&lt;01",SUM($AN393),ROUND(SUM($AM393)*SUM($O393)/IF(SUM($Z393)=0,1,$Z393),0))</f>
        <v>11</v>
      </c>
      <c r="AP393" s="218">
        <f>IF(OR($F393="",$C393="&lt;01"),$AO393,ROUND($F393,0))</f>
        <v>11</v>
      </c>
      <c r="AQ393" s="218">
        <f>IF(LEFT($B393,4)="_Mil","",IF(SUM($AP393)=0,SUM($Z393),IF(OR(SUM($Z393)=0,SUM($O393)=0),MAX($AP393,$Z393),ROUND($AP393*$Z393/$O393,0))))</f>
        <v>9</v>
      </c>
      <c r="AR393" s="33" t="e">
        <f>IF(OR(LEFT($B393,4)="_Mil",SUM($AK393)=0),"",SUM($AQ393)/$AK393)</f>
        <v>#REF!</v>
      </c>
      <c r="AS393" s="33" t="str">
        <f t="shared" si="101"/>
        <v/>
      </c>
      <c r="AT393" s="33" t="str">
        <f t="shared" si="98"/>
        <v/>
      </c>
      <c r="AU393" s="38" t="str">
        <f>IF($C393="&lt;01","",SUM($AP393)-SUM($O393))</f>
        <v/>
      </c>
      <c r="AV393" s="38">
        <f>IF($C393="&lt;01",ROUND(INDEX(EID!$N:$N,MATCH($B393,EID!$B:$B,0))/2,0),IF(SUM($AT393)=0,"",ROUND((SUM($AP393)-(SUM($O393)*SUM($AS393)))/$AT393,0)))</f>
        <v>11</v>
      </c>
      <c r="AW393" s="33" t="str">
        <f t="shared" si="96"/>
        <v/>
      </c>
      <c r="AX393" s="218">
        <f>IF($C393="&lt;01",SUM($AV393),ROUND(SUM($AV393)*SUM($AW393),0))</f>
        <v>11</v>
      </c>
      <c r="AY393" s="79" t="str">
        <f t="shared" si="93"/>
        <v/>
      </c>
      <c r="AZ393" s="85">
        <f>IF($C393="&lt;01",ROUND(INDEX(EID!$R:$R,MATCH($B393,EID!$B:$B,0))/2,0),ROUND(SUM($O393)+(SUM($AV393)*$AY393),0))</f>
        <v>8</v>
      </c>
      <c r="BA393" s="40" t="str">
        <f t="shared" si="97"/>
        <v/>
      </c>
      <c r="BB393" s="99">
        <f>IF($C393="&lt;01",ROUND(INDEX(EID!$T:$T,MATCH($B393,EID!$B:$B,0))/2,0),ROUND($AP393*$BA393,0))</f>
        <v>7</v>
      </c>
      <c r="BC393" s="85">
        <f>IF(LEFT($B393,4)="_Mil","",IF(SUM($BB393)=0,SUM($AD393),IF(OR(SUM($AP393)=0,SUM($AQ393)=0),MAX($BB393,$AD393),ROUND($BB393*$AQ393/$AP393,0))))</f>
        <v>6</v>
      </c>
      <c r="BD393" s="33" t="str">
        <f t="shared" si="94"/>
        <v/>
      </c>
      <c r="BE393" s="218">
        <f>IF($C393="&lt;01",ROUND(INDEX(EID!$V:$V,MATCH($B393,EID!$B:$B,0))/2,0),ROUND($BD393*$BB393,0))</f>
        <v>7</v>
      </c>
      <c r="BF393" s="218">
        <f>IF(LEFT($B393,4)="_Mil","",IF(SUM($BE393)=0,SUM($AF393),IF(OR(SUM($AP393)=0,SUM($AQ393)=0),MAX($BE393,$AF393),ROUND($BE393*$AQ393/$AP393,0))))</f>
        <v>6</v>
      </c>
      <c r="BG393" s="79" t="str">
        <f t="shared" si="95"/>
        <v/>
      </c>
      <c r="BH393" s="99">
        <f>IF($C393="&lt;01",ROUND(INDEX(EID!$L:$L,MATCH($B393,EID!$B:$B,0)),0)/2,IF(SUM($BG393)=0,"",ROUND($AX393/$BG393,0)))</f>
        <v>11</v>
      </c>
    </row>
    <row r="394" spans="1:60" x14ac:dyDescent="0.2">
      <c r="A394" t="str">
        <f>INDEX(Prioritization!$D:$D,MATCH($B394,Prioritization!$A:$A,0))</f>
        <v>INVALID</v>
      </c>
      <c r="B394" t="s">
        <v>324</v>
      </c>
      <c r="C394" t="s">
        <v>426</v>
      </c>
      <c r="D394" t="s">
        <v>48</v>
      </c>
      <c r="E394" t="str">
        <f t="shared" si="86"/>
        <v>Thyolo District [ul0y9diGujK]|&lt;01|Male</v>
      </c>
      <c r="F394" s="229">
        <v>30</v>
      </c>
      <c r="G394" s="38">
        <v>20</v>
      </c>
      <c r="H394" s="38">
        <v>14</v>
      </c>
      <c r="I394" s="38">
        <v>10</v>
      </c>
      <c r="J394" s="38">
        <v>41</v>
      </c>
      <c r="K394" s="38">
        <v>38</v>
      </c>
      <c r="L394" s="38"/>
      <c r="M394" s="38">
        <v>31</v>
      </c>
      <c r="N394" s="38">
        <v>30</v>
      </c>
      <c r="O394" s="229">
        <v>26</v>
      </c>
      <c r="P394" s="38">
        <v>21</v>
      </c>
      <c r="Q394" s="38">
        <v>20</v>
      </c>
      <c r="R394" s="38">
        <f t="shared" si="87"/>
        <v>16</v>
      </c>
      <c r="S394" s="38">
        <f>IF(LEFT($B394,4)="_Mil","",_xlfn.IFNA(ROUND(INDEX(Spectrum!$N:$N,MATCH(RIGHT($B394,13)&amp;"|"&amp;$C394&amp;"|"&amp;$D394&amp;"|"&amp;S$14&amp;"|"&amp;"CY2023Q4",Spectrum!$R:$R,0)),0),""))</f>
        <v>24</v>
      </c>
      <c r="T394" s="218">
        <f>IF(LEFT($B394,4)="_Mil","",_xlfn.IFNA(ROUND(INDEX(Spectrum!$N:$N,MATCH(RIGHT($B394,13)&amp;"|"&amp;$C394&amp;"|"&amp;$D394&amp;"|"&amp;T$14&amp;"|"&amp;"CY2024Q3",Spectrum!$R:$R,0)),0),""))</f>
        <v>12511</v>
      </c>
      <c r="U394" s="218">
        <f>IF(LEFT($B394,4)="_Mil","",_xlfn.IFNA(ROUND(INDEX(Spectrum!$N:$N,MATCH(RIGHT($B394,13)&amp;"|"&amp;$C394&amp;"|"&amp;$D394&amp;"|"&amp;U$14&amp;"|"&amp;"CY2024Q3",Spectrum!$R:$R,0)),0),""))</f>
        <v>37</v>
      </c>
      <c r="V394" s="38">
        <f>IF(LEFT($B394,4)="_Mil","",_xlfn.IFNA(ROUND(INDEX(Spectrum!$N:$N,MATCH(RIGHT($B394,13)&amp;"|"&amp;$C394&amp;"|"&amp;$D394&amp;"|"&amp;V$14&amp;"|"&amp;"CY2024Q3",Spectrum!$R:$R,0)),0),""))</f>
        <v>34</v>
      </c>
      <c r="W394" s="220">
        <f>IF(LEFT($B394,4)="_Mil","",_xlfn.IFNA(INDEX(Spectrum!$N:$N,MATCH(RIGHT($B394,13)&amp;"|"&amp;$C394&amp;"|"&amp;$D394&amp;"|"&amp;W$14&amp;"|"&amp;"CY2024Q3",Spectrum!$R:$R,0)),""))</f>
        <v>2.9904319999999999E-3</v>
      </c>
      <c r="X394" s="218">
        <f>IF(LEFT($B394,4)="_Mil","",_xlfn.IFNA(ROUND(INDEX(Spectrum!$N:$N,MATCH(RIGHT($B394,13)&amp;"|"&amp;$C394&amp;"|"&amp;$D394&amp;"|"&amp;X$14&amp;"|"&amp;"CY2024Q3",Spectrum!$R:$R,0)),0),""))</f>
        <v>24</v>
      </c>
      <c r="Y394" s="33">
        <f t="shared" si="88"/>
        <v>0.65</v>
      </c>
      <c r="Z394" s="218">
        <f>IF(LEFT($B394,4)="_Mil","",_xlfn.IFNA(ROUND(INDEX(Spectrum!$N:$N,MATCH(RIGHT($B394,13)&amp;"|"&amp;$C394&amp;"|"&amp;$D394&amp;"|"&amp;Z$14&amp;"|"&amp;"CY2024Q3",Spectrum!$R:$R,0)),0),""))</f>
        <v>21</v>
      </c>
      <c r="AA394" s="33">
        <f>IF(LEFT($B394,4)="_Mil","",IFERROR(1/(1/INDEX(Spectrum!$N:$N,MATCH(RIGHT($B394,13)&amp;"|"&amp;$C394&amp;"|"&amp;$D394&amp;"|"&amp;AA$14&amp;"|"&amp;"CY2024Q3",Spectrum!$R:$R,0))),IF(SUM($U394)=0,"",SUM($Z394)/$U394)))</f>
        <v>0.602619452</v>
      </c>
      <c r="AB394" s="33">
        <f t="shared" si="89"/>
        <v>0.875</v>
      </c>
      <c r="AC394" s="38">
        <f>IF(LEFT($B394,4)="_Mil","",_xlfn.IFNA(ROUND(INDEX(Spectrum!$N:$N,MATCH(RIGHT($B394,13)&amp;"|"&amp;$C394&amp;"|"&amp;$D394&amp;"|"&amp;AC$14&amp;"|"&amp;"CY2024Q3",Spectrum!$R:$R,0)),0),""))</f>
        <v>13</v>
      </c>
      <c r="AD394" s="38" t="str">
        <f>IF(LEFT($B394,4)="_Mil","",_xlfn.IFNA(ROUND(INDEX(Spectrum!$N:$N,MATCH(RIGHT($B394,13)&amp;"|"&amp;$C394&amp;"|"&amp;$D394&amp;"|"&amp;AD$14&amp;"|"&amp;"CY2024Q3",Spectrum!$R:$R,0)),0),""))</f>
        <v/>
      </c>
      <c r="AE394" s="33">
        <f t="shared" si="90"/>
        <v>0</v>
      </c>
      <c r="AF394" s="218" t="str">
        <f>IF(LEFT($B394,4)="_Mil","",_xlfn.IFNA(ROUND(INDEX(Spectrum!$N:$N,MATCH(RIGHT($B394,13)&amp;"|"&amp;$C394&amp;"|"&amp;$D394&amp;"|"&amp;AF$14&amp;"|"&amp;"CY2024Q3",Spectrum!$R:$R,0)),0),""))</f>
        <v/>
      </c>
      <c r="AG394" s="33" t="str">
        <f t="shared" si="91"/>
        <v/>
      </c>
      <c r="AH394" s="110" t="str">
        <f>IF(LEFT($B394,4)="_Mil","",_xlfn.IFNA(INDEX(Spectrum!$N:$N,MATCH(RIGHT($B394,13)&amp;"|"&amp;$C394&amp;"|"&amp;$D394&amp;"|"&amp;AH$14&amp;"|"&amp;"CY2024Q3",Spectrum!$R:$R,0)),""))</f>
        <v/>
      </c>
      <c r="AI394" s="218">
        <f>IF(LEFT($B394,4)="_Mil","",_xlfn.IFNA(ROUND(INDEX(Spectrum!$N:$N,MATCH(RIGHT($B394,13)&amp;"|"&amp;$C394&amp;"|"&amp;$D394&amp;"|"&amp;AI$14&amp;"|"&amp;"CY2025Q3",Spectrum!$R:$R,0)),0),""))</f>
        <v>41</v>
      </c>
      <c r="AJ394" s="38">
        <f>IF(LEFT($B394,4)="_Mil","",_xlfn.IFNA(ROUND(INDEX(Spectrum!$N:$N,MATCH(RIGHT($B394,13)&amp;"|"&amp;$C394&amp;"|"&amp;$D394&amp;"|"&amp;AJ$14&amp;"|"&amp;"CY2025Q3",Spectrum!$R:$R,0)),0),""))</f>
        <v>34</v>
      </c>
      <c r="AK394" s="218" t="e">
        <f>#REF!</f>
        <v>#REF!</v>
      </c>
      <c r="AL394" s="33" t="str">
        <f t="shared" si="92"/>
        <v/>
      </c>
      <c r="AM394" s="38" t="str">
        <f>IF(OR(LEFT($B394,4)="_Mil",$C394="&lt;01"),"",ROUND(SUM($AK394)*SUM($AL394),0))</f>
        <v/>
      </c>
      <c r="AN394" s="38">
        <f>IF($C394="&lt;01",ROUND(INDEX(EID!$P:$P,MATCH($B394,EID!$B:$B,0))/2,0),"")</f>
        <v>11</v>
      </c>
      <c r="AO394" s="38">
        <f>IF($C394="&lt;01",SUM($AN394),ROUND(SUM($AM394)*SUM($O394)/IF(SUM($Z394)=0,1,$Z394),0))</f>
        <v>11</v>
      </c>
      <c r="AP394" s="218">
        <f>IF(OR($F394="",$C394="&lt;01"),$AO394,ROUND($F394,0))</f>
        <v>11</v>
      </c>
      <c r="AQ394" s="218">
        <f>IF(LEFT($B394,4)="_Mil","",IF(SUM($AP394)=0,SUM($Z394),IF(OR(SUM($Z394)=0,SUM($O394)=0),MAX($AP394,$Z394),ROUND($AP394*$Z394/$O394,0))))</f>
        <v>9</v>
      </c>
      <c r="AR394" s="33" t="e">
        <f>IF(OR(LEFT($B394,4)="_Mil",SUM($AK394)=0),"",SUM($AQ394)/$AK394)</f>
        <v>#REF!</v>
      </c>
      <c r="AS394" s="33" t="str">
        <f t="shared" si="101"/>
        <v/>
      </c>
      <c r="AT394" s="33" t="str">
        <f t="shared" si="98"/>
        <v/>
      </c>
      <c r="AU394" s="38" t="str">
        <f>IF($C394="&lt;01","",SUM($AP394)-SUM($O394))</f>
        <v/>
      </c>
      <c r="AV394" s="38">
        <f>IF($C394="&lt;01",ROUND(INDEX(EID!$N:$N,MATCH($B394,EID!$B:$B,0))/2,0),IF(SUM($AT394)=0,"",ROUND((SUM($AP394)-(SUM($O394)*SUM($AS394)))/$AT394,0)))</f>
        <v>11</v>
      </c>
      <c r="AW394" s="33" t="str">
        <f t="shared" si="96"/>
        <v/>
      </c>
      <c r="AX394" s="218">
        <f>IF($C394="&lt;01",SUM($AV394),ROUND(SUM($AV394)*SUM($AW394),0))</f>
        <v>11</v>
      </c>
      <c r="AY394" s="79" t="str">
        <f t="shared" si="93"/>
        <v/>
      </c>
      <c r="AZ394" s="85">
        <f>IF($C394="&lt;01",ROUND(INDEX(EID!$R:$R,MATCH($B394,EID!$B:$B,0))/2,0),ROUND(SUM($O394)+(SUM($AV394)*$AY394),0))</f>
        <v>8</v>
      </c>
      <c r="BA394" s="40" t="str">
        <f t="shared" si="97"/>
        <v/>
      </c>
      <c r="BB394" s="99">
        <f>IF($C394="&lt;01",ROUND(INDEX(EID!$T:$T,MATCH($B394,EID!$B:$B,0))/2,0),ROUND($AP394*$BA394,0))</f>
        <v>7</v>
      </c>
      <c r="BC394" s="85">
        <f>IF(LEFT($B394,4)="_Mil","",IF(SUM($BB394)=0,SUM($AD394),IF(OR(SUM($AP394)=0,SUM($AQ394)=0),MAX($BB394,$AD394),ROUND($BB394*$AQ394/$AP394,0))))</f>
        <v>6</v>
      </c>
      <c r="BD394" s="33" t="str">
        <f t="shared" si="94"/>
        <v/>
      </c>
      <c r="BE394" s="218">
        <f>IF($C394="&lt;01",ROUND(INDEX(EID!$V:$V,MATCH($B394,EID!$B:$B,0))/2,0),ROUND($BD394*$BB394,0))</f>
        <v>7</v>
      </c>
      <c r="BF394" s="218">
        <f>IF(LEFT($B394,4)="_Mil","",IF(SUM($BE394)=0,SUM($AF394),IF(OR(SUM($AP394)=0,SUM($AQ394)=0),MAX($BE394,$AF394),ROUND($BE394*$AQ394/$AP394,0))))</f>
        <v>6</v>
      </c>
      <c r="BG394" s="79" t="str">
        <f t="shared" si="95"/>
        <v/>
      </c>
      <c r="BH394" s="99">
        <f>IF($C394="&lt;01",ROUND(INDEX(EID!$L:$L,MATCH($B394,EID!$B:$B,0)),0)/2,IF(SUM($BG394)=0,"",ROUND($AX394/$BG394,0)))</f>
        <v>11</v>
      </c>
    </row>
    <row r="395" spans="1:60" x14ac:dyDescent="0.2">
      <c r="A395" t="str">
        <f>INDEX(Prioritization!$D:$D,MATCH($B395,Prioritization!$A:$A,0))</f>
        <v>INVALID</v>
      </c>
      <c r="B395" t="s">
        <v>324</v>
      </c>
      <c r="C395" t="s">
        <v>473</v>
      </c>
      <c r="D395" t="s">
        <v>30</v>
      </c>
      <c r="E395" t="str">
        <f t="shared" si="86"/>
        <v>Thyolo District [ul0y9diGujK]|01-09|Female</v>
      </c>
      <c r="F395" s="229">
        <v>455</v>
      </c>
      <c r="G395" s="38">
        <v>58</v>
      </c>
      <c r="H395" s="38">
        <v>44</v>
      </c>
      <c r="I395" s="38">
        <v>402</v>
      </c>
      <c r="J395" s="38">
        <v>581</v>
      </c>
      <c r="K395" s="38">
        <v>478</v>
      </c>
      <c r="L395" s="38">
        <v>28</v>
      </c>
      <c r="M395" s="38">
        <v>27</v>
      </c>
      <c r="N395" s="38">
        <v>490</v>
      </c>
      <c r="O395" s="229">
        <v>455</v>
      </c>
      <c r="P395" s="38">
        <v>431</v>
      </c>
      <c r="Q395" s="38">
        <v>409</v>
      </c>
      <c r="R395" s="38">
        <f t="shared" si="87"/>
        <v>53</v>
      </c>
      <c r="S395" s="38">
        <f>IF(LEFT($B395,4)="_Mil","",_xlfn.IFNA(ROUND(INDEX(Spectrum!$N:$N,MATCH(RIGHT($B395,13)&amp;"|"&amp;$C395&amp;"|"&amp;$D395&amp;"|"&amp;S$14&amp;"|"&amp;"CY2023Q4",Spectrum!$R:$R,0)),0),""))</f>
        <v>398</v>
      </c>
      <c r="T395" s="218">
        <f>IF(LEFT($B395,4)="_Mil","",_xlfn.IFNA(ROUND(INDEX(Spectrum!$N:$N,MATCH(RIGHT($B395,13)&amp;"|"&amp;$C395&amp;"|"&amp;$D395&amp;"|"&amp;T$14&amp;"|"&amp;"CY2024Q3",Spectrum!$R:$R,0)),0),""))</f>
        <v>104761</v>
      </c>
      <c r="U395" s="218">
        <f>IF(LEFT($B395,4)="_Mil","",_xlfn.IFNA(ROUND(INDEX(Spectrum!$N:$N,MATCH(RIGHT($B395,13)&amp;"|"&amp;$C395&amp;"|"&amp;$D395&amp;"|"&amp;U$14&amp;"|"&amp;"CY2024Q3",Spectrum!$R:$R,0)),0),""))</f>
        <v>674</v>
      </c>
      <c r="V395" s="38">
        <f>IF(LEFT($B395,4)="_Mil","",_xlfn.IFNA(ROUND(INDEX(Spectrum!$N:$N,MATCH(RIGHT($B395,13)&amp;"|"&amp;$C395&amp;"|"&amp;$D395&amp;"|"&amp;V$14&amp;"|"&amp;"CY2024Q3",Spectrum!$R:$R,0)),0),""))</f>
        <v>606</v>
      </c>
      <c r="W395" s="220">
        <f>IF(LEFT($B395,4)="_Mil","",_xlfn.IFNA(INDEX(Spectrum!$N:$N,MATCH(RIGHT($B395,13)&amp;"|"&amp;$C395&amp;"|"&amp;$D395&amp;"|"&amp;W$14&amp;"|"&amp;"CY2024Q3",Spectrum!$R:$R,0)),""))</f>
        <v>6.4321329999999996E-3</v>
      </c>
      <c r="X395" s="218">
        <f>IF(LEFT($B395,4)="_Mil","",_xlfn.IFNA(ROUND(INDEX(Spectrum!$N:$N,MATCH(RIGHT($B395,13)&amp;"|"&amp;$C395&amp;"|"&amp;$D395&amp;"|"&amp;X$14&amp;"|"&amp;"CY2024Q3",Spectrum!$R:$R,0)),0),""))</f>
        <v>464</v>
      </c>
      <c r="Y395" s="33">
        <f t="shared" si="88"/>
        <v>0.69</v>
      </c>
      <c r="Z395" s="218">
        <f>IF(LEFT($B395,4)="_Mil","",_xlfn.IFNA(ROUND(INDEX(Spectrum!$N:$N,MATCH(RIGHT($B395,13)&amp;"|"&amp;$C395&amp;"|"&amp;$D395&amp;"|"&amp;Z$14&amp;"|"&amp;"CY2024Q3",Spectrum!$R:$R,0)),0),""))</f>
        <v>390</v>
      </c>
      <c r="AA395" s="33">
        <f>IF(LEFT($B395,4)="_Mil","",IFERROR(1/(1/INDEX(Spectrum!$N:$N,MATCH(RIGHT($B395,13)&amp;"|"&amp;$C395&amp;"|"&amp;$D395&amp;"|"&amp;AA$14&amp;"|"&amp;"CY2024Q3",Spectrum!$R:$R,0))),IF(SUM($U395)=0,"",SUM($Z395)/$U395)))</f>
        <v>0.64762971499999999</v>
      </c>
      <c r="AB395" s="33">
        <f t="shared" si="89"/>
        <v>0.84051724137931039</v>
      </c>
      <c r="AC395" s="38">
        <f>IF(LEFT($B395,4)="_Mil","",_xlfn.IFNA(ROUND(INDEX(Spectrum!$N:$N,MATCH(RIGHT($B395,13)&amp;"|"&amp;$C395&amp;"|"&amp;$D395&amp;"|"&amp;AC$14&amp;"|"&amp;"CY2024Q3",Spectrum!$R:$R,0)),0),""))</f>
        <v>215</v>
      </c>
      <c r="AD395" s="38" t="str">
        <f>IF(LEFT($B395,4)="_Mil","",_xlfn.IFNA(ROUND(INDEX(Spectrum!$N:$N,MATCH(RIGHT($B395,13)&amp;"|"&amp;$C395&amp;"|"&amp;$D395&amp;"|"&amp;AD$14&amp;"|"&amp;"CY2024Q3",Spectrum!$R:$R,0)),0),""))</f>
        <v/>
      </c>
      <c r="AE395" s="33">
        <f t="shared" si="90"/>
        <v>0</v>
      </c>
      <c r="AF395" s="218" t="str">
        <f>IF(LEFT($B395,4)="_Mil","",_xlfn.IFNA(ROUND(INDEX(Spectrum!$N:$N,MATCH(RIGHT($B395,13)&amp;"|"&amp;$C395&amp;"|"&amp;$D395&amp;"|"&amp;AF$14&amp;"|"&amp;"CY2024Q3",Spectrum!$R:$R,0)),0),""))</f>
        <v/>
      </c>
      <c r="AG395" s="33" t="str">
        <f t="shared" si="91"/>
        <v/>
      </c>
      <c r="AH395" s="110" t="str">
        <f>IF(LEFT($B395,4)="_Mil","",_xlfn.IFNA(INDEX(Spectrum!$N:$N,MATCH(RIGHT($B395,13)&amp;"|"&amp;$C395&amp;"|"&amp;$D395&amp;"|"&amp;AH$14&amp;"|"&amp;"CY2024Q3",Spectrum!$R:$R,0)),""))</f>
        <v/>
      </c>
      <c r="AI395" s="218">
        <f>IF(LEFT($B395,4)="_Mil","",_xlfn.IFNA(ROUND(INDEX(Spectrum!$N:$N,MATCH(RIGHT($B395,13)&amp;"|"&amp;$C395&amp;"|"&amp;$D395&amp;"|"&amp;AI$14&amp;"|"&amp;"CY2025Q3",Spectrum!$R:$R,0)),0),""))</f>
        <v>10</v>
      </c>
      <c r="AJ395" s="38">
        <f>IF(LEFT($B395,4)="_Mil","",_xlfn.IFNA(ROUND(INDEX(Spectrum!$N:$N,MATCH(RIGHT($B395,13)&amp;"|"&amp;$C395&amp;"|"&amp;$D395&amp;"|"&amp;AJ$14&amp;"|"&amp;"CY2025Q3",Spectrum!$R:$R,0)),0),""))</f>
        <v>586</v>
      </c>
      <c r="AK395" s="218" t="e">
        <f>#REF!</f>
        <v>#REF!</v>
      </c>
      <c r="AL395" s="33">
        <f t="shared" si="92"/>
        <v>0.9</v>
      </c>
      <c r="AM395" s="38" t="e">
        <f>IF(OR(LEFT($B395,4)="_Mil",$C395="&lt;01"),"",ROUND(SUM($AK395)*SUM($AL395),0))</f>
        <v>#REF!</v>
      </c>
      <c r="AN395" s="38" t="str">
        <f>IF($C395="&lt;01",ROUND(INDEX(EID!$P:$P,MATCH($B395,EID!$B:$B,0))/2,0),"")</f>
        <v/>
      </c>
      <c r="AO395" s="38" t="e">
        <f>IF($C395="&lt;01",SUM($AN395),ROUND(SUM($AM395)*SUM($O395)/IF(SUM($Z395)=0,1,$Z395),0))</f>
        <v>#REF!</v>
      </c>
      <c r="AP395" s="218">
        <f>IF(OR($F395="",$C395="&lt;01"),$AO395,ROUND($F395,0))</f>
        <v>455</v>
      </c>
      <c r="AQ395" s="218">
        <f>IF(LEFT($B395,4)="_Mil","",IF(SUM($AP395)=0,SUM($Z395),IF(OR(SUM($Z395)=0,SUM($O395)=0),MAX($AP395,$Z395),ROUND($AP395*$Z395/$O395,0))))</f>
        <v>390</v>
      </c>
      <c r="AR395" s="33" t="e">
        <f>IF(OR(LEFT($B395,4)="_Mil",SUM($AK395)=0),"",SUM($AQ395)/$AK395)</f>
        <v>#REF!</v>
      </c>
      <c r="AS395" s="33">
        <f t="shared" si="101"/>
        <v>0.98</v>
      </c>
      <c r="AT395" s="33">
        <f t="shared" si="98"/>
        <v>0.98</v>
      </c>
      <c r="AU395" s="38">
        <f>IF($C395="&lt;01","",SUM($AP395)-SUM($O395))</f>
        <v>0</v>
      </c>
      <c r="AV395" s="38">
        <f>IF($C395="&lt;01",ROUND(INDEX(EID!$N:$N,MATCH($B395,EID!$B:$B,0))/2,0),IF(SUM($AT395)=0,"",ROUND((SUM($AP395)-(SUM($O395)*SUM($AS395)))/$AT395,0)))</f>
        <v>9</v>
      </c>
      <c r="AW395" s="33">
        <f t="shared" si="96"/>
        <v>1</v>
      </c>
      <c r="AX395" s="218">
        <f>IF($C395="&lt;01",SUM($AV395),ROUND(SUM($AV395)*SUM($AW395),0))</f>
        <v>9</v>
      </c>
      <c r="AY395" s="79">
        <f t="shared" si="93"/>
        <v>0.7</v>
      </c>
      <c r="AZ395" s="85">
        <f>IF($C395="&lt;01",ROUND(INDEX(EID!$R:$R,MATCH($B395,EID!$B:$B,0))/2,0),ROUND(SUM($O395)+(SUM($AV395)*$AY395),0))</f>
        <v>461</v>
      </c>
      <c r="BA395" s="40">
        <f t="shared" si="97"/>
        <v>0.9</v>
      </c>
      <c r="BB395" s="99">
        <f>IF($C395="&lt;01",ROUND(INDEX(EID!$T:$T,MATCH($B395,EID!$B:$B,0))/2,0),ROUND($AP395*$BA395,0))</f>
        <v>410</v>
      </c>
      <c r="BC395" s="85">
        <f>IF(LEFT($B395,4)="_Mil","",IF(SUM($BB395)=0,SUM($AD395),IF(OR(SUM($AP395)=0,SUM($AQ395)=0),MAX($BB395,$AD395),ROUND($BB395*$AQ395/$AP395,0))))</f>
        <v>351</v>
      </c>
      <c r="BD395" s="33">
        <f t="shared" si="94"/>
        <v>0.95</v>
      </c>
      <c r="BE395" s="218">
        <f>IF($C395="&lt;01",ROUND(INDEX(EID!$V:$V,MATCH($B395,EID!$B:$B,0))/2,0),ROUND($BD395*$BB395,0))</f>
        <v>390</v>
      </c>
      <c r="BF395" s="218">
        <f>IF(LEFT($B395,4)="_Mil","",IF(SUM($BE395)=0,SUM($AF395),IF(OR(SUM($AP395)=0,SUM($AQ395)=0),MAX($BE395,$AF395),ROUND($BE395*$AQ395/$AP395,0))))</f>
        <v>334</v>
      </c>
      <c r="BG395" s="79">
        <f t="shared" si="95"/>
        <v>0.95</v>
      </c>
      <c r="BH395" s="99">
        <f>IF($C395="&lt;01",ROUND(INDEX(EID!$L:$L,MATCH($B395,EID!$B:$B,0)),0)/2,IF(SUM($BG395)=0,"",ROUND($AX395/$BG395,0)))</f>
        <v>9</v>
      </c>
    </row>
    <row r="396" spans="1:60" x14ac:dyDescent="0.2">
      <c r="A396" t="str">
        <f>INDEX(Prioritization!$D:$D,MATCH($B396,Prioritization!$A:$A,0))</f>
        <v>INVALID</v>
      </c>
      <c r="B396" t="s">
        <v>324</v>
      </c>
      <c r="C396" t="s">
        <v>473</v>
      </c>
      <c r="D396" t="s">
        <v>48</v>
      </c>
      <c r="E396" t="str">
        <f t="shared" si="86"/>
        <v>Thyolo District [ul0y9diGujK]|01-09|Male</v>
      </c>
      <c r="F396" s="229">
        <v>462</v>
      </c>
      <c r="G396" s="38">
        <v>47</v>
      </c>
      <c r="H396" s="38">
        <v>37</v>
      </c>
      <c r="I396" s="38">
        <v>371</v>
      </c>
      <c r="J396" s="38">
        <v>455</v>
      </c>
      <c r="K396" s="38">
        <v>375</v>
      </c>
      <c r="L396" s="38">
        <v>31</v>
      </c>
      <c r="M396" s="38">
        <v>29</v>
      </c>
      <c r="N396" s="38">
        <v>522</v>
      </c>
      <c r="O396" s="229">
        <v>462</v>
      </c>
      <c r="P396" s="38">
        <v>458</v>
      </c>
      <c r="Q396" s="38">
        <v>435</v>
      </c>
      <c r="R396" s="38">
        <f t="shared" si="87"/>
        <v>91</v>
      </c>
      <c r="S396" s="38">
        <f>IF(LEFT($B396,4)="_Mil","",_xlfn.IFNA(ROUND(INDEX(Spectrum!$N:$N,MATCH(RIGHT($B396,13)&amp;"|"&amp;$C396&amp;"|"&amp;$D396&amp;"|"&amp;S$14&amp;"|"&amp;"CY2023Q4",Spectrum!$R:$R,0)),0),""))</f>
        <v>423</v>
      </c>
      <c r="T396" s="218">
        <f>IF(LEFT($B396,4)="_Mil","",_xlfn.IFNA(ROUND(INDEX(Spectrum!$N:$N,MATCH(RIGHT($B396,13)&amp;"|"&amp;$C396&amp;"|"&amp;$D396&amp;"|"&amp;T$14&amp;"|"&amp;"CY2024Q3",Spectrum!$R:$R,0)),0),""))</f>
        <v>106226</v>
      </c>
      <c r="U396" s="218">
        <f>IF(LEFT($B396,4)="_Mil","",_xlfn.IFNA(ROUND(INDEX(Spectrum!$N:$N,MATCH(RIGHT($B396,13)&amp;"|"&amp;$C396&amp;"|"&amp;$D396&amp;"|"&amp;U$14&amp;"|"&amp;"CY2024Q3",Spectrum!$R:$R,0)),0),""))</f>
        <v>686</v>
      </c>
      <c r="V396" s="38">
        <f>IF(LEFT($B396,4)="_Mil","",_xlfn.IFNA(ROUND(INDEX(Spectrum!$N:$N,MATCH(RIGHT($B396,13)&amp;"|"&amp;$C396&amp;"|"&amp;$D396&amp;"|"&amp;V$14&amp;"|"&amp;"CY2024Q3",Spectrum!$R:$R,0)),0),""))</f>
        <v>616</v>
      </c>
      <c r="W396" s="220">
        <f>IF(LEFT($B396,4)="_Mil","",_xlfn.IFNA(INDEX(Spectrum!$N:$N,MATCH(RIGHT($B396,13)&amp;"|"&amp;$C396&amp;"|"&amp;$D396&amp;"|"&amp;W$14&amp;"|"&amp;"CY2024Q3",Spectrum!$R:$R,0)),""))</f>
        <v>6.4562730000000002E-3</v>
      </c>
      <c r="X396" s="218">
        <f>IF(LEFT($B396,4)="_Mil","",_xlfn.IFNA(ROUND(INDEX(Spectrum!$N:$N,MATCH(RIGHT($B396,13)&amp;"|"&amp;$C396&amp;"|"&amp;$D396&amp;"|"&amp;X$14&amp;"|"&amp;"CY2024Q3",Spectrum!$R:$R,0)),0),""))</f>
        <v>473</v>
      </c>
      <c r="Y396" s="33">
        <f t="shared" si="88"/>
        <v>0.69</v>
      </c>
      <c r="Z396" s="218">
        <f>IF(LEFT($B396,4)="_Mil","",_xlfn.IFNA(ROUND(INDEX(Spectrum!$N:$N,MATCH(RIGHT($B396,13)&amp;"|"&amp;$C396&amp;"|"&amp;$D396&amp;"|"&amp;Z$14&amp;"|"&amp;"CY2024Q3",Spectrum!$R:$R,0)),0),""))</f>
        <v>413</v>
      </c>
      <c r="AA396" s="33">
        <f>IF(LEFT($B396,4)="_Mil","",IFERROR(1/(1/INDEX(Spectrum!$N:$N,MATCH(RIGHT($B396,13)&amp;"|"&amp;$C396&amp;"|"&amp;$D396&amp;"|"&amp;AA$14&amp;"|"&amp;"CY2024Q3",Spectrum!$R:$R,0))),IF(SUM($U396)=0,"",SUM($Z396)/$U396)))</f>
        <v>0.64811048599999999</v>
      </c>
      <c r="AB396" s="33">
        <f t="shared" si="89"/>
        <v>0.87315010570824525</v>
      </c>
      <c r="AC396" s="38">
        <f>IF(LEFT($B396,4)="_Mil","",_xlfn.IFNA(ROUND(INDEX(Spectrum!$N:$N,MATCH(RIGHT($B396,13)&amp;"|"&amp;$C396&amp;"|"&amp;$D396&amp;"|"&amp;AC$14&amp;"|"&amp;"CY2024Q3",Spectrum!$R:$R,0)),0),""))</f>
        <v>203</v>
      </c>
      <c r="AD396" s="38" t="str">
        <f>IF(LEFT($B396,4)="_Mil","",_xlfn.IFNA(ROUND(INDEX(Spectrum!$N:$N,MATCH(RIGHT($B396,13)&amp;"|"&amp;$C396&amp;"|"&amp;$D396&amp;"|"&amp;AD$14&amp;"|"&amp;"CY2024Q3",Spectrum!$R:$R,0)),0),""))</f>
        <v/>
      </c>
      <c r="AE396" s="33">
        <f t="shared" si="90"/>
        <v>0</v>
      </c>
      <c r="AF396" s="218" t="str">
        <f>IF(LEFT($B396,4)="_Mil","",_xlfn.IFNA(ROUND(INDEX(Spectrum!$N:$N,MATCH(RIGHT($B396,13)&amp;"|"&amp;$C396&amp;"|"&amp;$D396&amp;"|"&amp;AF$14&amp;"|"&amp;"CY2024Q3",Spectrum!$R:$R,0)),0),""))</f>
        <v/>
      </c>
      <c r="AG396" s="33" t="str">
        <f t="shared" si="91"/>
        <v/>
      </c>
      <c r="AH396" s="110" t="str">
        <f>IF(LEFT($B396,4)="_Mil","",_xlfn.IFNA(INDEX(Spectrum!$N:$N,MATCH(RIGHT($B396,13)&amp;"|"&amp;$C396&amp;"|"&amp;$D396&amp;"|"&amp;AH$14&amp;"|"&amp;"CY2024Q3",Spectrum!$R:$R,0)),""))</f>
        <v/>
      </c>
      <c r="AI396" s="218">
        <f>IF(LEFT($B396,4)="_Mil","",_xlfn.IFNA(ROUND(INDEX(Spectrum!$N:$N,MATCH(RIGHT($B396,13)&amp;"|"&amp;$C396&amp;"|"&amp;$D396&amp;"|"&amp;AI$14&amp;"|"&amp;"CY2025Q3",Spectrum!$R:$R,0)),0),""))</f>
        <v>10</v>
      </c>
      <c r="AJ396" s="38">
        <f>IF(LEFT($B396,4)="_Mil","",_xlfn.IFNA(ROUND(INDEX(Spectrum!$N:$N,MATCH(RIGHT($B396,13)&amp;"|"&amp;$C396&amp;"|"&amp;$D396&amp;"|"&amp;AJ$14&amp;"|"&amp;"CY2025Q3",Spectrum!$R:$R,0)),0),""))</f>
        <v>597</v>
      </c>
      <c r="AK396" s="218" t="e">
        <f>#REF!</f>
        <v>#REF!</v>
      </c>
      <c r="AL396" s="33">
        <f t="shared" si="92"/>
        <v>0.9</v>
      </c>
      <c r="AM396" s="38" t="e">
        <f>IF(OR(LEFT($B396,4)="_Mil",$C396="&lt;01"),"",ROUND(SUM($AK396)*SUM($AL396),0))</f>
        <v>#REF!</v>
      </c>
      <c r="AN396" s="38" t="str">
        <f>IF($C396="&lt;01",ROUND(INDEX(EID!$P:$P,MATCH($B396,EID!$B:$B,0))/2,0),"")</f>
        <v/>
      </c>
      <c r="AO396" s="38" t="e">
        <f>IF($C396="&lt;01",SUM($AN396),ROUND(SUM($AM396)*SUM($O396)/IF(SUM($Z396)=0,1,$Z396),0))</f>
        <v>#REF!</v>
      </c>
      <c r="AP396" s="218">
        <f>IF(OR($F396="",$C396="&lt;01"),$AO396,ROUND($F396,0))</f>
        <v>462</v>
      </c>
      <c r="AQ396" s="218">
        <f>IF(LEFT($B396,4)="_Mil","",IF(SUM($AP396)=0,SUM($Z396),IF(OR(SUM($Z396)=0,SUM($O396)=0),MAX($AP396,$Z396),ROUND($AP396*$Z396/$O396,0))))</f>
        <v>413</v>
      </c>
      <c r="AR396" s="33" t="e">
        <f>IF(OR(LEFT($B396,4)="_Mil",SUM($AK396)=0),"",SUM($AQ396)/$AK396)</f>
        <v>#REF!</v>
      </c>
      <c r="AS396" s="33">
        <f t="shared" si="101"/>
        <v>0.98</v>
      </c>
      <c r="AT396" s="33">
        <f t="shared" si="98"/>
        <v>0.98</v>
      </c>
      <c r="AU396" s="38">
        <f>IF($C396="&lt;01","",SUM($AP396)-SUM($O396))</f>
        <v>0</v>
      </c>
      <c r="AV396" s="38">
        <f>IF($C396="&lt;01",ROUND(INDEX(EID!$N:$N,MATCH($B396,EID!$B:$B,0))/2,0),IF(SUM($AT396)=0,"",ROUND((SUM($AP396)-(SUM($O396)*SUM($AS396)))/$AT396,0)))</f>
        <v>9</v>
      </c>
      <c r="AW396" s="33">
        <f t="shared" si="96"/>
        <v>1</v>
      </c>
      <c r="AX396" s="218">
        <f>IF($C396="&lt;01",SUM($AV396),ROUND(SUM($AV396)*SUM($AW396),0))</f>
        <v>9</v>
      </c>
      <c r="AY396" s="79">
        <f t="shared" si="93"/>
        <v>0.7</v>
      </c>
      <c r="AZ396" s="85">
        <f>IF($C396="&lt;01",ROUND(INDEX(EID!$R:$R,MATCH($B396,EID!$B:$B,0))/2,0),ROUND(SUM($O396)+(SUM($AV396)*$AY396),0))</f>
        <v>468</v>
      </c>
      <c r="BA396" s="40">
        <f t="shared" si="97"/>
        <v>0.9</v>
      </c>
      <c r="BB396" s="99">
        <f>IF($C396="&lt;01",ROUND(INDEX(EID!$T:$T,MATCH($B396,EID!$B:$B,0))/2,0),ROUND($AP396*$BA396,0))</f>
        <v>416</v>
      </c>
      <c r="BC396" s="85">
        <f>IF(LEFT($B396,4)="_Mil","",IF(SUM($BB396)=0,SUM($AD396),IF(OR(SUM($AP396)=0,SUM($AQ396)=0),MAX($BB396,$AD396),ROUND($BB396*$AQ396/$AP396,0))))</f>
        <v>372</v>
      </c>
      <c r="BD396" s="33">
        <f t="shared" si="94"/>
        <v>0.95</v>
      </c>
      <c r="BE396" s="218">
        <f>IF($C396="&lt;01",ROUND(INDEX(EID!$V:$V,MATCH($B396,EID!$B:$B,0))/2,0),ROUND($BD396*$BB396,0))</f>
        <v>395</v>
      </c>
      <c r="BF396" s="218">
        <f>IF(LEFT($B396,4)="_Mil","",IF(SUM($BE396)=0,SUM($AF396),IF(OR(SUM($AP396)=0,SUM($AQ396)=0),MAX($BE396,$AF396),ROUND($BE396*$AQ396/$AP396,0))))</f>
        <v>353</v>
      </c>
      <c r="BG396" s="79">
        <f t="shared" si="95"/>
        <v>0.95</v>
      </c>
      <c r="BH396" s="99">
        <f>IF($C396="&lt;01",ROUND(INDEX(EID!$L:$L,MATCH($B396,EID!$B:$B,0)),0)/2,IF(SUM($BG396)=0,"",ROUND($AX396/$BG396,0)))</f>
        <v>9</v>
      </c>
    </row>
    <row r="397" spans="1:60" x14ac:dyDescent="0.2">
      <c r="A397" t="str">
        <f>INDEX(Prioritization!$D:$D,MATCH($B397,Prioritization!$A:$A,0))</f>
        <v>INVALID</v>
      </c>
      <c r="B397" t="s">
        <v>324</v>
      </c>
      <c r="C397" t="s">
        <v>474</v>
      </c>
      <c r="D397" t="s">
        <v>30</v>
      </c>
      <c r="E397" t="str">
        <f t="shared" si="86"/>
        <v>Thyolo District [ul0y9diGujK]|10-14|Female</v>
      </c>
      <c r="F397" s="229">
        <v>566</v>
      </c>
      <c r="G397" s="38">
        <v>31</v>
      </c>
      <c r="H397" s="38">
        <v>17</v>
      </c>
      <c r="I397" s="38">
        <v>557</v>
      </c>
      <c r="J397" s="38">
        <v>648</v>
      </c>
      <c r="K397" s="38">
        <v>549</v>
      </c>
      <c r="L397" s="38">
        <v>81</v>
      </c>
      <c r="M397" s="38">
        <v>77</v>
      </c>
      <c r="N397" s="38">
        <v>601</v>
      </c>
      <c r="O397" s="229">
        <v>566</v>
      </c>
      <c r="P397" s="38">
        <v>507</v>
      </c>
      <c r="Q397" s="38">
        <v>482</v>
      </c>
      <c r="R397" s="38">
        <f t="shared" si="87"/>
        <v>9</v>
      </c>
      <c r="S397" s="38">
        <f>IF(LEFT($B397,4)="_Mil","",_xlfn.IFNA(ROUND(INDEX(Spectrum!$N:$N,MATCH(RIGHT($B397,13)&amp;"|"&amp;$C397&amp;"|"&amp;$D397&amp;"|"&amp;S$14&amp;"|"&amp;"CY2023Q4",Spectrum!$R:$R,0)),0),""))</f>
        <v>515</v>
      </c>
      <c r="T397" s="218">
        <f>IF(LEFT($B397,4)="_Mil","",_xlfn.IFNA(ROUND(INDEX(Spectrum!$N:$N,MATCH(RIGHT($B397,13)&amp;"|"&amp;$C397&amp;"|"&amp;$D397&amp;"|"&amp;T$14&amp;"|"&amp;"CY2024Q3",Spectrum!$R:$R,0)),0),""))</f>
        <v>57044</v>
      </c>
      <c r="U397" s="218">
        <f>IF(LEFT($B397,4)="_Mil","",_xlfn.IFNA(ROUND(INDEX(Spectrum!$N:$N,MATCH(RIGHT($B397,13)&amp;"|"&amp;$C397&amp;"|"&amp;$D397&amp;"|"&amp;U$14&amp;"|"&amp;"CY2024Q3",Spectrum!$R:$R,0)),0),""))</f>
        <v>843</v>
      </c>
      <c r="V397" s="38">
        <f>IF(LEFT($B397,4)="_Mil","",_xlfn.IFNA(ROUND(INDEX(Spectrum!$N:$N,MATCH(RIGHT($B397,13)&amp;"|"&amp;$C397&amp;"|"&amp;$D397&amp;"|"&amp;V$14&amp;"|"&amp;"CY2024Q3",Spectrum!$R:$R,0)),0),""))</f>
        <v>755</v>
      </c>
      <c r="W397" s="220">
        <f>IF(LEFT($B397,4)="_Mil","",_xlfn.IFNA(INDEX(Spectrum!$N:$N,MATCH(RIGHT($B397,13)&amp;"|"&amp;$C397&amp;"|"&amp;$D397&amp;"|"&amp;W$14&amp;"|"&amp;"CY2024Q3",Spectrum!$R:$R,0)),""))</f>
        <v>1.4784179999999999E-2</v>
      </c>
      <c r="X397" s="218">
        <f>IF(LEFT($B397,4)="_Mil","",_xlfn.IFNA(ROUND(INDEX(Spectrum!$N:$N,MATCH(RIGHT($B397,13)&amp;"|"&amp;$C397&amp;"|"&amp;$D397&amp;"|"&amp;X$14&amp;"|"&amp;"CY2024Q3",Spectrum!$R:$R,0)),0),""))</f>
        <v>618</v>
      </c>
      <c r="Y397" s="33">
        <f t="shared" si="88"/>
        <v>0.73</v>
      </c>
      <c r="Z397" s="218">
        <f>IF(LEFT($B397,4)="_Mil","",_xlfn.IFNA(ROUND(INDEX(Spectrum!$N:$N,MATCH(RIGHT($B397,13)&amp;"|"&amp;$C397&amp;"|"&amp;$D397&amp;"|"&amp;Z$14&amp;"|"&amp;"CY2024Q3",Spectrum!$R:$R,0)),0),""))</f>
        <v>512</v>
      </c>
      <c r="AA397" s="33">
        <f>IF(LEFT($B397,4)="_Mil","",IFERROR(1/(1/INDEX(Spectrum!$N:$N,MATCH(RIGHT($B397,13)&amp;"|"&amp;$C397&amp;"|"&amp;$D397&amp;"|"&amp;AA$14&amp;"|"&amp;"CY2024Q3",Spectrum!$R:$R,0))),IF(SUM($U397)=0,"",SUM($Z397)/$U397)))</f>
        <v>0.68907048900000001</v>
      </c>
      <c r="AB397" s="33">
        <f t="shared" si="89"/>
        <v>0.82847896440129454</v>
      </c>
      <c r="AC397" s="38">
        <f>IF(LEFT($B397,4)="_Mil","",_xlfn.IFNA(ROUND(INDEX(Spectrum!$N:$N,MATCH(RIGHT($B397,13)&amp;"|"&amp;$C397&amp;"|"&amp;$D397&amp;"|"&amp;AC$14&amp;"|"&amp;"CY2024Q3",Spectrum!$R:$R,0)),0),""))</f>
        <v>243</v>
      </c>
      <c r="AD397" s="38" t="str">
        <f>IF(LEFT($B397,4)="_Mil","",_xlfn.IFNA(ROUND(INDEX(Spectrum!$N:$N,MATCH(RIGHT($B397,13)&amp;"|"&amp;$C397&amp;"|"&amp;$D397&amp;"|"&amp;AD$14&amp;"|"&amp;"CY2024Q3",Spectrum!$R:$R,0)),0),""))</f>
        <v/>
      </c>
      <c r="AE397" s="33">
        <f t="shared" si="90"/>
        <v>0</v>
      </c>
      <c r="AF397" s="218" t="str">
        <f>IF(LEFT($B397,4)="_Mil","",_xlfn.IFNA(ROUND(INDEX(Spectrum!$N:$N,MATCH(RIGHT($B397,13)&amp;"|"&amp;$C397&amp;"|"&amp;$D397&amp;"|"&amp;AF$14&amp;"|"&amp;"CY2024Q3",Spectrum!$R:$R,0)),0),""))</f>
        <v/>
      </c>
      <c r="AG397" s="33" t="str">
        <f t="shared" si="91"/>
        <v/>
      </c>
      <c r="AH397" s="110" t="str">
        <f>IF(LEFT($B397,4)="_Mil","",_xlfn.IFNA(INDEX(Spectrum!$N:$N,MATCH(RIGHT($B397,13)&amp;"|"&amp;$C397&amp;"|"&amp;$D397&amp;"|"&amp;AH$14&amp;"|"&amp;"CY2024Q3",Spectrum!$R:$R,0)),""))</f>
        <v/>
      </c>
      <c r="AI397" s="218">
        <f>IF(LEFT($B397,4)="_Mil","",_xlfn.IFNA(ROUND(INDEX(Spectrum!$N:$N,MATCH(RIGHT($B397,13)&amp;"|"&amp;$C397&amp;"|"&amp;$D397&amp;"|"&amp;AI$14&amp;"|"&amp;"CY2025Q3",Spectrum!$R:$R,0)),0),""))</f>
        <v>0</v>
      </c>
      <c r="AJ397" s="38">
        <f>IF(LEFT($B397,4)="_Mil","",_xlfn.IFNA(ROUND(INDEX(Spectrum!$N:$N,MATCH(RIGHT($B397,13)&amp;"|"&amp;$C397&amp;"|"&amp;$D397&amp;"|"&amp;AJ$14&amp;"|"&amp;"CY2025Q3",Spectrum!$R:$R,0)),0),""))</f>
        <v>755</v>
      </c>
      <c r="AK397" s="218" t="e">
        <f>#REF!</f>
        <v>#REF!</v>
      </c>
      <c r="AL397" s="33">
        <f t="shared" si="92"/>
        <v>0.9</v>
      </c>
      <c r="AM397" s="38" t="e">
        <f>IF(OR(LEFT($B397,4)="_Mil",$C397="&lt;01"),"",ROUND(SUM($AK397)*SUM($AL397),0))</f>
        <v>#REF!</v>
      </c>
      <c r="AN397" s="38" t="str">
        <f>IF($C397="&lt;01",ROUND(INDEX(EID!$P:$P,MATCH($B397,EID!$B:$B,0))/2,0),"")</f>
        <v/>
      </c>
      <c r="AO397" s="38" t="e">
        <f>IF($C397="&lt;01",SUM($AN397),ROUND(SUM($AM397)*SUM($O397)/IF(SUM($Z397)=0,1,$Z397),0))</f>
        <v>#REF!</v>
      </c>
      <c r="AP397" s="218">
        <f>IF(OR($F397="",$C397="&lt;01"),$AO397,ROUND($F397,0))</f>
        <v>566</v>
      </c>
      <c r="AQ397" s="218">
        <f>IF(LEFT($B397,4)="_Mil","",IF(SUM($AP397)=0,SUM($Z397),IF(OR(SUM($Z397)=0,SUM($O397)=0),MAX($AP397,$Z397),ROUND($AP397*$Z397/$O397,0))))</f>
        <v>512</v>
      </c>
      <c r="AR397" s="33" t="e">
        <f>IF(OR(LEFT($B397,4)="_Mil",SUM($AK397)=0),"",SUM($AQ397)/$AK397)</f>
        <v>#REF!</v>
      </c>
      <c r="AS397" s="33">
        <f t="shared" si="101"/>
        <v>0.98</v>
      </c>
      <c r="AT397" s="33">
        <f t="shared" si="98"/>
        <v>0.98</v>
      </c>
      <c r="AU397" s="38">
        <f>IF($C397="&lt;01","",SUM($AP397)-SUM($O397))</f>
        <v>0</v>
      </c>
      <c r="AV397" s="38">
        <f>IF($C397="&lt;01",ROUND(INDEX(EID!$N:$N,MATCH($B397,EID!$B:$B,0))/2,0),IF(SUM($AT397)=0,"",ROUND((SUM($AP397)-(SUM($O397)*SUM($AS397)))/$AT397,0)))</f>
        <v>12</v>
      </c>
      <c r="AW397" s="33">
        <f t="shared" si="96"/>
        <v>1</v>
      </c>
      <c r="AX397" s="218">
        <f>IF($C397="&lt;01",SUM($AV397),ROUND(SUM($AV397)*SUM($AW397),0))</f>
        <v>12</v>
      </c>
      <c r="AY397" s="79">
        <f t="shared" si="93"/>
        <v>0.7</v>
      </c>
      <c r="AZ397" s="85">
        <f>IF($C397="&lt;01",ROUND(INDEX(EID!$R:$R,MATCH($B397,EID!$B:$B,0))/2,0),ROUND(SUM($O397)+(SUM($AV397)*$AY397),0))</f>
        <v>574</v>
      </c>
      <c r="BA397" s="40">
        <f t="shared" si="97"/>
        <v>0.9</v>
      </c>
      <c r="BB397" s="99">
        <f>IF($C397="&lt;01",ROUND(INDEX(EID!$T:$T,MATCH($B397,EID!$B:$B,0))/2,0),ROUND($AP397*$BA397,0))</f>
        <v>509</v>
      </c>
      <c r="BC397" s="85">
        <f>IF(LEFT($B397,4)="_Mil","",IF(SUM($BB397)=0,SUM($AD397),IF(OR(SUM($AP397)=0,SUM($AQ397)=0),MAX($BB397,$AD397),ROUND($BB397*$AQ397/$AP397,0))))</f>
        <v>460</v>
      </c>
      <c r="BD397" s="33">
        <f t="shared" si="94"/>
        <v>0.95</v>
      </c>
      <c r="BE397" s="218">
        <f>IF($C397="&lt;01",ROUND(INDEX(EID!$V:$V,MATCH($B397,EID!$B:$B,0))/2,0),ROUND($BD397*$BB397,0))</f>
        <v>484</v>
      </c>
      <c r="BF397" s="218">
        <f>IF(LEFT($B397,4)="_Mil","",IF(SUM($BE397)=0,SUM($AF397),IF(OR(SUM($AP397)=0,SUM($AQ397)=0),MAX($BE397,$AF397),ROUND($BE397*$AQ397/$AP397,0))))</f>
        <v>438</v>
      </c>
      <c r="BG397" s="79">
        <f t="shared" si="95"/>
        <v>0.95</v>
      </c>
      <c r="BH397" s="99">
        <f>IF($C397="&lt;01",ROUND(INDEX(EID!$L:$L,MATCH($B397,EID!$B:$B,0)),0)/2,IF(SUM($BG397)=0,"",ROUND($AX397/$BG397,0)))</f>
        <v>13</v>
      </c>
    </row>
    <row r="398" spans="1:60" x14ac:dyDescent="0.2">
      <c r="A398" t="str">
        <f>INDEX(Prioritization!$D:$D,MATCH($B398,Prioritization!$A:$A,0))</f>
        <v>INVALID</v>
      </c>
      <c r="B398" t="s">
        <v>324</v>
      </c>
      <c r="C398" t="s">
        <v>474</v>
      </c>
      <c r="D398" t="s">
        <v>48</v>
      </c>
      <c r="E398" t="str">
        <f t="shared" si="86"/>
        <v>Thyolo District [ul0y9diGujK]|10-14|Male</v>
      </c>
      <c r="F398" s="229">
        <v>578</v>
      </c>
      <c r="G398" s="38">
        <v>14</v>
      </c>
      <c r="H398" s="38">
        <v>17</v>
      </c>
      <c r="I398" s="38">
        <v>578</v>
      </c>
      <c r="J398" s="38">
        <v>605</v>
      </c>
      <c r="K398" s="38">
        <v>468</v>
      </c>
      <c r="L398" s="38">
        <v>85</v>
      </c>
      <c r="M398" s="38">
        <v>81</v>
      </c>
      <c r="N398" s="38">
        <v>635</v>
      </c>
      <c r="O398" s="229">
        <v>578</v>
      </c>
      <c r="P398" s="38">
        <v>536</v>
      </c>
      <c r="Q398" s="38">
        <v>509</v>
      </c>
      <c r="R398" s="38">
        <f t="shared" si="87"/>
        <v>0</v>
      </c>
      <c r="S398" s="38">
        <f>IF(LEFT($B398,4)="_Mil","",_xlfn.IFNA(ROUND(INDEX(Spectrum!$N:$N,MATCH(RIGHT($B398,13)&amp;"|"&amp;$C398&amp;"|"&amp;$D398&amp;"|"&amp;S$14&amp;"|"&amp;"CY2023Q4",Spectrum!$R:$R,0)),0),""))</f>
        <v>542</v>
      </c>
      <c r="T398" s="218">
        <f>IF(LEFT($B398,4)="_Mil","",_xlfn.IFNA(ROUND(INDEX(Spectrum!$N:$N,MATCH(RIGHT($B398,13)&amp;"|"&amp;$C398&amp;"|"&amp;$D398&amp;"|"&amp;T$14&amp;"|"&amp;"CY2024Q3",Spectrum!$R:$R,0)),0),""))</f>
        <v>58051</v>
      </c>
      <c r="U398" s="218">
        <f>IF(LEFT($B398,4)="_Mil","",_xlfn.IFNA(ROUND(INDEX(Spectrum!$N:$N,MATCH(RIGHT($B398,13)&amp;"|"&amp;$C398&amp;"|"&amp;$D398&amp;"|"&amp;U$14&amp;"|"&amp;"CY2024Q3",Spectrum!$R:$R,0)),0),""))</f>
        <v>853</v>
      </c>
      <c r="V398" s="38">
        <f>IF(LEFT($B398,4)="_Mil","",_xlfn.IFNA(ROUND(INDEX(Spectrum!$N:$N,MATCH(RIGHT($B398,13)&amp;"|"&amp;$C398&amp;"|"&amp;$D398&amp;"|"&amp;V$14&amp;"|"&amp;"CY2024Q3",Spectrum!$R:$R,0)),0),""))</f>
        <v>764</v>
      </c>
      <c r="W398" s="220">
        <f>IF(LEFT($B398,4)="_Mil","",_xlfn.IFNA(INDEX(Spectrum!$N:$N,MATCH(RIGHT($B398,13)&amp;"|"&amp;$C398&amp;"|"&amp;$D398&amp;"|"&amp;W$14&amp;"|"&amp;"CY2024Q3",Spectrum!$R:$R,0)),""))</f>
        <v>1.4697913E-2</v>
      </c>
      <c r="X398" s="218">
        <f>IF(LEFT($B398,4)="_Mil","",_xlfn.IFNA(ROUND(INDEX(Spectrum!$N:$N,MATCH(RIGHT($B398,13)&amp;"|"&amp;$C398&amp;"|"&amp;$D398&amp;"|"&amp;X$14&amp;"|"&amp;"CY2024Q3",Spectrum!$R:$R,0)),0),""))</f>
        <v>626</v>
      </c>
      <c r="Y398" s="33">
        <f t="shared" si="88"/>
        <v>0.73</v>
      </c>
      <c r="Z398" s="218">
        <f>IF(LEFT($B398,4)="_Mil","",_xlfn.IFNA(ROUND(INDEX(Spectrum!$N:$N,MATCH(RIGHT($B398,13)&amp;"|"&amp;$C398&amp;"|"&amp;$D398&amp;"|"&amp;Z$14&amp;"|"&amp;"CY2024Q3",Spectrum!$R:$R,0)),0),""))</f>
        <v>538</v>
      </c>
      <c r="AA398" s="33">
        <f>IF(LEFT($B398,4)="_Mil","",IFERROR(1/(1/INDEX(Spectrum!$N:$N,MATCH(RIGHT($B398,13)&amp;"|"&amp;$C398&amp;"|"&amp;$D398&amp;"|"&amp;AA$14&amp;"|"&amp;"CY2024Q3",Spectrum!$R:$R,0))),IF(SUM($U398)=0,"",SUM($Z398)/$U398)))</f>
        <v>0.68910099300000005</v>
      </c>
      <c r="AB398" s="33">
        <f t="shared" si="89"/>
        <v>0.85942492012779548</v>
      </c>
      <c r="AC398" s="38">
        <f>IF(LEFT($B398,4)="_Mil","",_xlfn.IFNA(ROUND(INDEX(Spectrum!$N:$N,MATCH(RIGHT($B398,13)&amp;"|"&amp;$C398&amp;"|"&amp;$D398&amp;"|"&amp;AC$14&amp;"|"&amp;"CY2024Q3",Spectrum!$R:$R,0)),0),""))</f>
        <v>226</v>
      </c>
      <c r="AD398" s="38" t="str">
        <f>IF(LEFT($B398,4)="_Mil","",_xlfn.IFNA(ROUND(INDEX(Spectrum!$N:$N,MATCH(RIGHT($B398,13)&amp;"|"&amp;$C398&amp;"|"&amp;$D398&amp;"|"&amp;AD$14&amp;"|"&amp;"CY2024Q3",Spectrum!$R:$R,0)),0),""))</f>
        <v/>
      </c>
      <c r="AE398" s="33">
        <f t="shared" si="90"/>
        <v>0</v>
      </c>
      <c r="AF398" s="218" t="str">
        <f>IF(LEFT($B398,4)="_Mil","",_xlfn.IFNA(ROUND(INDEX(Spectrum!$N:$N,MATCH(RIGHT($B398,13)&amp;"|"&amp;$C398&amp;"|"&amp;$D398&amp;"|"&amp;AF$14&amp;"|"&amp;"CY2024Q3",Spectrum!$R:$R,0)),0),""))</f>
        <v/>
      </c>
      <c r="AG398" s="33" t="str">
        <f t="shared" si="91"/>
        <v/>
      </c>
      <c r="AH398" s="110" t="str">
        <f>IF(LEFT($B398,4)="_Mil","",_xlfn.IFNA(INDEX(Spectrum!$N:$N,MATCH(RIGHT($B398,13)&amp;"|"&amp;$C398&amp;"|"&amp;$D398&amp;"|"&amp;AH$14&amp;"|"&amp;"CY2024Q3",Spectrum!$R:$R,0)),""))</f>
        <v/>
      </c>
      <c r="AI398" s="218">
        <f>IF(LEFT($B398,4)="_Mil","",_xlfn.IFNA(ROUND(INDEX(Spectrum!$N:$N,MATCH(RIGHT($B398,13)&amp;"|"&amp;$C398&amp;"|"&amp;$D398&amp;"|"&amp;AI$14&amp;"|"&amp;"CY2025Q3",Spectrum!$R:$R,0)),0),""))</f>
        <v>0</v>
      </c>
      <c r="AJ398" s="38">
        <f>IF(LEFT($B398,4)="_Mil","",_xlfn.IFNA(ROUND(INDEX(Spectrum!$N:$N,MATCH(RIGHT($B398,13)&amp;"|"&amp;$C398&amp;"|"&amp;$D398&amp;"|"&amp;AJ$14&amp;"|"&amp;"CY2025Q3",Spectrum!$R:$R,0)),0),""))</f>
        <v>765</v>
      </c>
      <c r="AK398" s="218" t="e">
        <f>#REF!</f>
        <v>#REF!</v>
      </c>
      <c r="AL398" s="33">
        <f t="shared" si="92"/>
        <v>0.9</v>
      </c>
      <c r="AM398" s="38" t="e">
        <f>IF(OR(LEFT($B398,4)="_Mil",$C398="&lt;01"),"",ROUND(SUM($AK398)*SUM($AL398),0))</f>
        <v>#REF!</v>
      </c>
      <c r="AN398" s="38" t="str">
        <f>IF($C398="&lt;01",ROUND(INDEX(EID!$P:$P,MATCH($B398,EID!$B:$B,0))/2,0),"")</f>
        <v/>
      </c>
      <c r="AO398" s="38" t="e">
        <f>IF($C398="&lt;01",SUM($AN398),ROUND(SUM($AM398)*SUM($O398)/IF(SUM($Z398)=0,1,$Z398),0))</f>
        <v>#REF!</v>
      </c>
      <c r="AP398" s="218">
        <f>IF(OR($F398="",$C398="&lt;01"),$AO398,ROUND($F398,0))</f>
        <v>578</v>
      </c>
      <c r="AQ398" s="218">
        <f>IF(LEFT($B398,4)="_Mil","",IF(SUM($AP398)=0,SUM($Z398),IF(OR(SUM($Z398)=0,SUM($O398)=0),MAX($AP398,$Z398),ROUND($AP398*$Z398/$O398,0))))</f>
        <v>538</v>
      </c>
      <c r="AR398" s="33" t="e">
        <f>IF(OR(LEFT($B398,4)="_Mil",SUM($AK398)=0),"",SUM($AQ398)/$AK398)</f>
        <v>#REF!</v>
      </c>
      <c r="AS398" s="33">
        <f t="shared" si="101"/>
        <v>0.98</v>
      </c>
      <c r="AT398" s="33">
        <f t="shared" si="98"/>
        <v>0.98</v>
      </c>
      <c r="AU398" s="38">
        <f>IF($C398="&lt;01","",SUM($AP398)-SUM($O398))</f>
        <v>0</v>
      </c>
      <c r="AV398" s="38">
        <f>IF($C398="&lt;01",ROUND(INDEX(EID!$N:$N,MATCH($B398,EID!$B:$B,0))/2,0),IF(SUM($AT398)=0,"",ROUND((SUM($AP398)-(SUM($O398)*SUM($AS398)))/$AT398,0)))</f>
        <v>12</v>
      </c>
      <c r="AW398" s="33">
        <f t="shared" si="96"/>
        <v>1</v>
      </c>
      <c r="AX398" s="218">
        <f>IF($C398="&lt;01",SUM($AV398),ROUND(SUM($AV398)*SUM($AW398),0))</f>
        <v>12</v>
      </c>
      <c r="AY398" s="79">
        <f t="shared" si="93"/>
        <v>0.7</v>
      </c>
      <c r="AZ398" s="85">
        <f>IF($C398="&lt;01",ROUND(INDEX(EID!$R:$R,MATCH($B398,EID!$B:$B,0))/2,0),ROUND(SUM($O398)+(SUM($AV398)*$AY398),0))</f>
        <v>586</v>
      </c>
      <c r="BA398" s="40">
        <f t="shared" si="97"/>
        <v>0.9</v>
      </c>
      <c r="BB398" s="99">
        <f>IF($C398="&lt;01",ROUND(INDEX(EID!$T:$T,MATCH($B398,EID!$B:$B,0))/2,0),ROUND($AP398*$BA398,0))</f>
        <v>520</v>
      </c>
      <c r="BC398" s="85">
        <f>IF(LEFT($B398,4)="_Mil","",IF(SUM($BB398)=0,SUM($AD398),IF(OR(SUM($AP398)=0,SUM($AQ398)=0),MAX($BB398,$AD398),ROUND($BB398*$AQ398/$AP398,0))))</f>
        <v>484</v>
      </c>
      <c r="BD398" s="33">
        <f t="shared" si="94"/>
        <v>0.95</v>
      </c>
      <c r="BE398" s="218">
        <f>IF($C398="&lt;01",ROUND(INDEX(EID!$V:$V,MATCH($B398,EID!$B:$B,0))/2,0),ROUND($BD398*$BB398,0))</f>
        <v>494</v>
      </c>
      <c r="BF398" s="218">
        <f>IF(LEFT($B398,4)="_Mil","",IF(SUM($BE398)=0,SUM($AF398),IF(OR(SUM($AP398)=0,SUM($AQ398)=0),MAX($BE398,$AF398),ROUND($BE398*$AQ398/$AP398,0))))</f>
        <v>460</v>
      </c>
      <c r="BG398" s="79">
        <f t="shared" si="95"/>
        <v>0.95</v>
      </c>
      <c r="BH398" s="99">
        <f>IF($C398="&lt;01",ROUND(INDEX(EID!$L:$L,MATCH($B398,EID!$B:$B,0)),0)/2,IF(SUM($BG398)=0,"",ROUND($AX398/$BG398,0)))</f>
        <v>13</v>
      </c>
    </row>
    <row r="399" spans="1:60" x14ac:dyDescent="0.2">
      <c r="A399" t="str">
        <f>INDEX(Prioritization!$D:$D,MATCH($B399,Prioritization!$A:$A,0))</f>
        <v>INVALID</v>
      </c>
      <c r="B399" t="s">
        <v>324</v>
      </c>
      <c r="C399" t="s">
        <v>475</v>
      </c>
      <c r="D399" t="s">
        <v>30</v>
      </c>
      <c r="E399" t="str">
        <f t="shared" ref="E399:E420" si="102">$B399&amp;"|"&amp;$C399&amp;"|"&amp;$D399</f>
        <v>Thyolo District [ul0y9diGujK]|15-24|Female</v>
      </c>
      <c r="F399" s="229">
        <v>2913</v>
      </c>
      <c r="G399" s="38">
        <v>625</v>
      </c>
      <c r="H399" s="38">
        <v>551</v>
      </c>
      <c r="I399" s="38">
        <v>2782</v>
      </c>
      <c r="J399" s="38">
        <v>2361</v>
      </c>
      <c r="K399" s="38">
        <v>2103</v>
      </c>
      <c r="L399" s="38">
        <v>198</v>
      </c>
      <c r="M399" s="38">
        <v>194</v>
      </c>
      <c r="N399" s="38">
        <v>2941</v>
      </c>
      <c r="O399" s="229">
        <v>2854</v>
      </c>
      <c r="P399" s="38">
        <v>2737</v>
      </c>
      <c r="Q399" s="38">
        <v>2600</v>
      </c>
      <c r="R399" s="38">
        <f t="shared" ref="R399:R420" si="103">IF(AND(SUM($I399)=0,SUM($O399)=0),"",SUM($O399)-$I399)</f>
        <v>72</v>
      </c>
      <c r="S399" s="38">
        <f>IF(LEFT($B399,4)="_Mil","",_xlfn.IFNA(ROUND(INDEX(Spectrum!$N:$N,MATCH(RIGHT($B399,13)&amp;"|"&amp;$C399&amp;"|"&amp;$D399&amp;"|"&amp;S$14&amp;"|"&amp;"CY2023Q4",Spectrum!$R:$R,0)),0),""))</f>
        <v>2956</v>
      </c>
      <c r="T399" s="218">
        <f>IF(LEFT($B399,4)="_Mil","",_xlfn.IFNA(ROUND(INDEX(Spectrum!$N:$N,MATCH(RIGHT($B399,13)&amp;"|"&amp;$C399&amp;"|"&amp;$D399&amp;"|"&amp;T$14&amp;"|"&amp;"CY2024Q3",Spectrum!$R:$R,0)),0),""))</f>
        <v>94960</v>
      </c>
      <c r="U399" s="218">
        <f>IF(LEFT($B399,4)="_Mil","",_xlfn.IFNA(ROUND(INDEX(Spectrum!$N:$N,MATCH(RIGHT($B399,13)&amp;"|"&amp;$C399&amp;"|"&amp;$D399&amp;"|"&amp;U$14&amp;"|"&amp;"CY2024Q3",Spectrum!$R:$R,0)),0),""))</f>
        <v>3402</v>
      </c>
      <c r="V399" s="38">
        <f>IF(LEFT($B399,4)="_Mil","",_xlfn.IFNA(ROUND(INDEX(Spectrum!$N:$N,MATCH(RIGHT($B399,13)&amp;"|"&amp;$C399&amp;"|"&amp;$D399&amp;"|"&amp;V$14&amp;"|"&amp;"CY2024Q3",Spectrum!$R:$R,0)),0),""))</f>
        <v>3041</v>
      </c>
      <c r="W399" s="220">
        <f>IF(LEFT($B399,4)="_Mil","",_xlfn.IFNA(INDEX(Spectrum!$N:$N,MATCH(RIGHT($B399,13)&amp;"|"&amp;$C399&amp;"|"&amp;$D399&amp;"|"&amp;W$14&amp;"|"&amp;"CY2024Q3",Spectrum!$R:$R,0)),""))</f>
        <v>3.5830616000000003E-2</v>
      </c>
      <c r="X399" s="218">
        <f>IF(LEFT($B399,4)="_Mil","",_xlfn.IFNA(ROUND(INDEX(Spectrum!$N:$N,MATCH(RIGHT($B399,13)&amp;"|"&amp;$C399&amp;"|"&amp;$D399&amp;"|"&amp;X$14&amp;"|"&amp;"CY2024Q3",Spectrum!$R:$R,0)),0),""))</f>
        <v>3208</v>
      </c>
      <c r="Y399" s="33">
        <f t="shared" ref="Y399:Y420" si="104">IF(OR(SUM($U399)=0,LEFT($B399,4)="_Mil"),"",ROUND(SUM($X399)/$U399,2))</f>
        <v>0.94</v>
      </c>
      <c r="Z399" s="218">
        <f>IF(LEFT($B399,4)="_Mil","",_xlfn.IFNA(ROUND(INDEX(Spectrum!$N:$N,MATCH(RIGHT($B399,13)&amp;"|"&amp;$C399&amp;"|"&amp;$D399&amp;"|"&amp;Z$14&amp;"|"&amp;"CY2024Q3",Spectrum!$R:$R,0)),0),""))</f>
        <v>2866</v>
      </c>
      <c r="AA399" s="33">
        <f>IF(LEFT($B399,4)="_Mil","",IFERROR(1/(1/INDEX(Spectrum!$N:$N,MATCH(RIGHT($B399,13)&amp;"|"&amp;$C399&amp;"|"&amp;$D399&amp;"|"&amp;AA$14&amp;"|"&amp;"CY2024Q3",Spectrum!$R:$R,0))),IF(SUM($U399)=0,"",SUM($Z399)/$U399)))</f>
        <v>0.94278845899999997</v>
      </c>
      <c r="AB399" s="33">
        <f t="shared" ref="AB399:AB420" si="105">IF(OR(LEFT($B399,4)="_Mil",SUM($X399)=0),"",SUM($Z399)/$X399)</f>
        <v>0.89339152119700749</v>
      </c>
      <c r="AC399" s="38">
        <f>IF(LEFT($B399,4)="_Mil","",_xlfn.IFNA(ROUND(INDEX(Spectrum!$N:$N,MATCH(RIGHT($B399,13)&amp;"|"&amp;$C399&amp;"|"&amp;$D399&amp;"|"&amp;AC$14&amp;"|"&amp;"CY2024Q3",Spectrum!$R:$R,0)),0),""))</f>
        <v>175</v>
      </c>
      <c r="AD399" s="38" t="str">
        <f>IF(LEFT($B399,4)="_Mil","",_xlfn.IFNA(ROUND(INDEX(Spectrum!$N:$N,MATCH(RIGHT($B399,13)&amp;"|"&amp;$C399&amp;"|"&amp;$D399&amp;"|"&amp;AD$14&amp;"|"&amp;"CY2024Q3",Spectrum!$R:$R,0)),0),""))</f>
        <v/>
      </c>
      <c r="AE399" s="33">
        <f t="shared" ref="AE399:AE420" si="106">IF(OR(LEFT($B399,4)="_Mil",SUM($Z399)=0),"",ROUND(SUM($AD399)/$Z399,2))</f>
        <v>0</v>
      </c>
      <c r="AF399" s="218" t="str">
        <f>IF(LEFT($B399,4)="_Mil","",_xlfn.IFNA(ROUND(INDEX(Spectrum!$N:$N,MATCH(RIGHT($B399,13)&amp;"|"&amp;$C399&amp;"|"&amp;$D399&amp;"|"&amp;AF$14&amp;"|"&amp;"CY2024Q3",Spectrum!$R:$R,0)),0),""))</f>
        <v/>
      </c>
      <c r="AG399" s="33" t="str">
        <f t="shared" ref="AG399:AG420" si="107">IF(OR(LEFT($B399,4)="_Mil",SUM($AD399)=0),"",SUM($AF399)/$AD399)</f>
        <v/>
      </c>
      <c r="AH399" s="110" t="str">
        <f>IF(LEFT($B399,4)="_Mil","",_xlfn.IFNA(INDEX(Spectrum!$N:$N,MATCH(RIGHT($B399,13)&amp;"|"&amp;$C399&amp;"|"&amp;$D399&amp;"|"&amp;AH$14&amp;"|"&amp;"CY2024Q3",Spectrum!$R:$R,0)),""))</f>
        <v/>
      </c>
      <c r="AI399" s="218">
        <f>IF(LEFT($B399,4)="_Mil","",_xlfn.IFNA(ROUND(INDEX(Spectrum!$N:$N,MATCH(RIGHT($B399,13)&amp;"|"&amp;$C399&amp;"|"&amp;$D399&amp;"|"&amp;AI$14&amp;"|"&amp;"CY2025Q3",Spectrum!$R:$R,0)),0),""))</f>
        <v>180</v>
      </c>
      <c r="AJ399" s="38">
        <f>IF(LEFT($B399,4)="_Mil","",_xlfn.IFNA(ROUND(INDEX(Spectrum!$N:$N,MATCH(RIGHT($B399,13)&amp;"|"&amp;$C399&amp;"|"&amp;$D399&amp;"|"&amp;AJ$14&amp;"|"&amp;"CY2025Q3",Spectrum!$R:$R,0)),0),""))</f>
        <v>3259</v>
      </c>
      <c r="AK399" s="218" t="e">
        <f>#REF!</f>
        <v>#REF!</v>
      </c>
      <c r="AL399" s="33">
        <f t="shared" ref="AL399:AL420" si="108">IF(OR(LEFT($B399,4)="_Mil",$C399="&lt;01"),"",MAX(SUM($AA399),90%))</f>
        <v>0.94278845899999997</v>
      </c>
      <c r="AM399" s="38" t="e">
        <f>IF(OR(LEFT($B399,4)="_Mil",$C399="&lt;01"),"",ROUND(SUM($AK399)*SUM($AL399),0))</f>
        <v>#REF!</v>
      </c>
      <c r="AN399" s="38" t="str">
        <f>IF($C399="&lt;01",ROUND(INDEX(EID!$P:$P,MATCH($B399,EID!$B:$B,0))/2,0),"")</f>
        <v/>
      </c>
      <c r="AO399" s="38" t="e">
        <f>IF($C399="&lt;01",SUM($AN399),ROUND(SUM($AM399)*SUM($O399)/IF(SUM($Z399)=0,1,$Z399),0))</f>
        <v>#REF!</v>
      </c>
      <c r="AP399" s="218">
        <f>IF(OR($F399="",$C399="&lt;01"),$AO399,ROUND($F399,0))</f>
        <v>2913</v>
      </c>
      <c r="AQ399" s="218">
        <f>IF(LEFT($B399,4)="_Mil","",IF(SUM($AP399)=0,SUM($Z399),IF(OR(SUM($Z399)=0,SUM($O399)=0),MAX($AP399,$Z399),ROUND($AP399*$Z399/$O399,0))))</f>
        <v>2925</v>
      </c>
      <c r="AR399" s="33" t="e">
        <f>IF(OR(LEFT($B399,4)="_Mil",SUM($AK399)=0),"",SUM($AQ399)/$AK399)</f>
        <v>#REF!</v>
      </c>
      <c r="AS399" s="33">
        <f>IF($C399="&lt;01","",88%)</f>
        <v>0.88</v>
      </c>
      <c r="AT399" s="33">
        <f>IF($C399="&lt;01","",90%)</f>
        <v>0.9</v>
      </c>
      <c r="AU399" s="38">
        <f>IF($C399="&lt;01","",SUM($AP399)-SUM($O399))</f>
        <v>59</v>
      </c>
      <c r="AV399" s="38">
        <f>IF($C399="&lt;01",ROUND(INDEX(EID!$N:$N,MATCH($B399,EID!$B:$B,0))/2,0),IF(SUM($AT399)=0,"",ROUND((SUM($AP399)-(SUM($O399)*SUM($AS399)))/$AT399,0)))</f>
        <v>446</v>
      </c>
      <c r="AW399" s="33">
        <f t="shared" ref="AW399:AW418" si="109">IF($C399="&lt;01","",100%)</f>
        <v>1</v>
      </c>
      <c r="AX399" s="218">
        <f>IF($C399="&lt;01",SUM($AV399),ROUND(SUM($AV399)*SUM($AW399),0))</f>
        <v>446</v>
      </c>
      <c r="AY399" s="79">
        <f t="shared" ref="AY399:AY420" si="110">IF($C399="&lt;01","",70%)</f>
        <v>0.7</v>
      </c>
      <c r="AZ399" s="85">
        <f>IF($C399="&lt;01",ROUND(INDEX(EID!$R:$R,MATCH($B399,EID!$B:$B,0))/2,0),ROUND(SUM($O399)+(SUM($AV399)*$AY399),0))</f>
        <v>3166</v>
      </c>
      <c r="BA399" s="40">
        <f t="shared" si="97"/>
        <v>0.9</v>
      </c>
      <c r="BB399" s="99">
        <f>IF($C399="&lt;01",ROUND(INDEX(EID!$T:$T,MATCH($B399,EID!$B:$B,0))/2,0),ROUND($AP399*$BA399,0))</f>
        <v>2622</v>
      </c>
      <c r="BC399" s="85">
        <f>IF(LEFT($B399,4)="_Mil","",IF(SUM($BB399)=0,SUM($AD399),IF(OR(SUM($AP399)=0,SUM($AQ399)=0),MAX($BB399,$AD399),ROUND($BB399*$AQ399/$AP399,0))))</f>
        <v>2633</v>
      </c>
      <c r="BD399" s="33">
        <f t="shared" ref="BD399:BD420" si="111">IF($C399="&lt;01","",95%)</f>
        <v>0.95</v>
      </c>
      <c r="BE399" s="218">
        <f>IF($C399="&lt;01",ROUND(INDEX(EID!$V:$V,MATCH($B399,EID!$B:$B,0))/2,0),ROUND($BD399*$BB399,0))</f>
        <v>2491</v>
      </c>
      <c r="BF399" s="218">
        <f>IF(LEFT($B399,4)="_Mil","",IF(SUM($BE399)=0,SUM($AF399),IF(OR(SUM($AP399)=0,SUM($AQ399)=0),MAX($BE399,$AF399),ROUND($BE399*$AQ399/$AP399,0))))</f>
        <v>2501</v>
      </c>
      <c r="BG399" s="79">
        <f t="shared" ref="BG399:BG420" si="112">IF($C399="&lt;01","",95%)</f>
        <v>0.95</v>
      </c>
      <c r="BH399" s="99">
        <f>IF($C399="&lt;01",ROUND(INDEX(EID!$L:$L,MATCH($B399,EID!$B:$B,0)),0)/2,IF(SUM($BG399)=0,"",ROUND($AX399/$BG399,0)))</f>
        <v>469</v>
      </c>
    </row>
    <row r="400" spans="1:60" x14ac:dyDescent="0.2">
      <c r="A400" t="str">
        <f>INDEX(Prioritization!$D:$D,MATCH($B400,Prioritization!$A:$A,0))</f>
        <v>INVALID</v>
      </c>
      <c r="B400" t="s">
        <v>324</v>
      </c>
      <c r="C400" t="s">
        <v>475</v>
      </c>
      <c r="D400" t="s">
        <v>48</v>
      </c>
      <c r="E400" t="str">
        <f t="shared" si="102"/>
        <v>Thyolo District [ul0y9diGujK]|15-24|Male</v>
      </c>
      <c r="F400" s="229">
        <v>1599</v>
      </c>
      <c r="G400" s="38">
        <v>137</v>
      </c>
      <c r="H400" s="38">
        <v>98</v>
      </c>
      <c r="I400" s="38">
        <v>1389</v>
      </c>
      <c r="J400" s="38">
        <v>1049</v>
      </c>
      <c r="K400" s="38">
        <v>908</v>
      </c>
      <c r="L400" s="38">
        <v>314</v>
      </c>
      <c r="M400" s="38">
        <v>297</v>
      </c>
      <c r="N400" s="38">
        <v>2136</v>
      </c>
      <c r="O400" s="229">
        <v>1599</v>
      </c>
      <c r="P400" s="38">
        <v>1875</v>
      </c>
      <c r="Q400" s="38">
        <v>1781</v>
      </c>
      <c r="R400" s="38">
        <f t="shared" si="103"/>
        <v>210</v>
      </c>
      <c r="S400" s="38">
        <f>IF(LEFT($B400,4)="_Mil","",_xlfn.IFNA(ROUND(INDEX(Spectrum!$N:$N,MATCH(RIGHT($B400,13)&amp;"|"&amp;$C400&amp;"|"&amp;$D400&amp;"|"&amp;S$14&amp;"|"&amp;"CY2023Q4",Spectrum!$R:$R,0)),0),""))</f>
        <v>1925</v>
      </c>
      <c r="T400" s="218">
        <f>IF(LEFT($B400,4)="_Mil","",_xlfn.IFNA(ROUND(INDEX(Spectrum!$N:$N,MATCH(RIGHT($B400,13)&amp;"|"&amp;$C400&amp;"|"&amp;$D400&amp;"|"&amp;T$14&amp;"|"&amp;"CY2024Q3",Spectrum!$R:$R,0)),0),""))</f>
        <v>91430</v>
      </c>
      <c r="U400" s="218">
        <f>IF(LEFT($B400,4)="_Mil","",_xlfn.IFNA(ROUND(INDEX(Spectrum!$N:$N,MATCH(RIGHT($B400,13)&amp;"|"&amp;$C400&amp;"|"&amp;$D400&amp;"|"&amp;U$14&amp;"|"&amp;"CY2024Q3",Spectrum!$R:$R,0)),0),""))</f>
        <v>2384</v>
      </c>
      <c r="V400" s="38">
        <f>IF(LEFT($B400,4)="_Mil","",_xlfn.IFNA(ROUND(INDEX(Spectrum!$N:$N,MATCH(RIGHT($B400,13)&amp;"|"&amp;$C400&amp;"|"&amp;$D400&amp;"|"&amp;V$14&amp;"|"&amp;"CY2024Q3",Spectrum!$R:$R,0)),0),""))</f>
        <v>2132</v>
      </c>
      <c r="W400" s="220">
        <f>IF(LEFT($B400,4)="_Mil","",_xlfn.IFNA(INDEX(Spectrum!$N:$N,MATCH(RIGHT($B400,13)&amp;"|"&amp;$C400&amp;"|"&amp;$D400&amp;"|"&amp;W$14&amp;"|"&amp;"CY2024Q3",Spectrum!$R:$R,0)),""))</f>
        <v>2.6076021000000001E-2</v>
      </c>
      <c r="X400" s="218">
        <f>IF(LEFT($B400,4)="_Mil","",_xlfn.IFNA(ROUND(INDEX(Spectrum!$N:$N,MATCH(RIGHT($B400,13)&amp;"|"&amp;$C400&amp;"|"&amp;$D400&amp;"|"&amp;X$14&amp;"|"&amp;"CY2024Q3",Spectrum!$R:$R,0)),0),""))</f>
        <v>2180</v>
      </c>
      <c r="Y400" s="33">
        <f t="shared" si="104"/>
        <v>0.91</v>
      </c>
      <c r="Z400" s="218">
        <f>IF(LEFT($B400,4)="_Mil","",_xlfn.IFNA(ROUND(INDEX(Spectrum!$N:$N,MATCH(RIGHT($B400,13)&amp;"|"&amp;$C400&amp;"|"&amp;$D400&amp;"|"&amp;Z$14&amp;"|"&amp;"CY2024Q3",Spectrum!$R:$R,0)),0),""))</f>
        <v>1942</v>
      </c>
      <c r="AA400" s="33">
        <f>IF(LEFT($B400,4)="_Mil","",IFERROR(1/(1/INDEX(Spectrum!$N:$N,MATCH(RIGHT($B400,13)&amp;"|"&amp;$C400&amp;"|"&amp;$D400&amp;"|"&amp;AA$14&amp;"|"&amp;"CY2024Q3",Spectrum!$R:$R,0))),IF(SUM($U400)=0,"",SUM($Z400)/$U400)))</f>
        <v>0.91191234399999987</v>
      </c>
      <c r="AB400" s="33">
        <f t="shared" si="105"/>
        <v>0.89082568807339446</v>
      </c>
      <c r="AC400" s="38">
        <f>IF(LEFT($B400,4)="_Mil","",_xlfn.IFNA(ROUND(INDEX(Spectrum!$N:$N,MATCH(RIGHT($B400,13)&amp;"|"&amp;$C400&amp;"|"&amp;$D400&amp;"|"&amp;AC$14&amp;"|"&amp;"CY2024Q3",Spectrum!$R:$R,0)),0),""))</f>
        <v>190</v>
      </c>
      <c r="AD400" s="38" t="str">
        <f>IF(LEFT($B400,4)="_Mil","",_xlfn.IFNA(ROUND(INDEX(Spectrum!$N:$N,MATCH(RIGHT($B400,13)&amp;"|"&amp;$C400&amp;"|"&amp;$D400&amp;"|"&amp;AD$14&amp;"|"&amp;"CY2024Q3",Spectrum!$R:$R,0)),0),""))</f>
        <v/>
      </c>
      <c r="AE400" s="33">
        <f t="shared" si="106"/>
        <v>0</v>
      </c>
      <c r="AF400" s="218" t="str">
        <f>IF(LEFT($B400,4)="_Mil","",_xlfn.IFNA(ROUND(INDEX(Spectrum!$N:$N,MATCH(RIGHT($B400,13)&amp;"|"&amp;$C400&amp;"|"&amp;$D400&amp;"|"&amp;AF$14&amp;"|"&amp;"CY2024Q3",Spectrum!$R:$R,0)),0),""))</f>
        <v/>
      </c>
      <c r="AG400" s="33" t="str">
        <f t="shared" si="107"/>
        <v/>
      </c>
      <c r="AH400" s="110" t="str">
        <f>IF(LEFT($B400,4)="_Mil","",_xlfn.IFNA(INDEX(Spectrum!$N:$N,MATCH(RIGHT($B400,13)&amp;"|"&amp;$C400&amp;"|"&amp;$D400&amp;"|"&amp;AH$14&amp;"|"&amp;"CY2024Q3",Spectrum!$R:$R,0)),""))</f>
        <v/>
      </c>
      <c r="AI400" s="218">
        <f>IF(LEFT($B400,4)="_Mil","",_xlfn.IFNA(ROUND(INDEX(Spectrum!$N:$N,MATCH(RIGHT($B400,13)&amp;"|"&amp;$C400&amp;"|"&amp;$D400&amp;"|"&amp;AI$14&amp;"|"&amp;"CY2025Q3",Spectrum!$R:$R,0)),0),""))</f>
        <v>30</v>
      </c>
      <c r="AJ400" s="38">
        <f>IF(LEFT($B400,4)="_Mil","",_xlfn.IFNA(ROUND(INDEX(Spectrum!$N:$N,MATCH(RIGHT($B400,13)&amp;"|"&amp;$C400&amp;"|"&amp;$D400&amp;"|"&amp;AJ$14&amp;"|"&amp;"CY2025Q3",Spectrum!$R:$R,0)),0),""))</f>
        <v>2322</v>
      </c>
      <c r="AK400" s="218" t="e">
        <f>#REF!</f>
        <v>#REF!</v>
      </c>
      <c r="AL400" s="33">
        <f t="shared" si="108"/>
        <v>0.91191234399999987</v>
      </c>
      <c r="AM400" s="38" t="e">
        <f>IF(OR(LEFT($B400,4)="_Mil",$C400="&lt;01"),"",ROUND(SUM($AK400)*SUM($AL400),0))</f>
        <v>#REF!</v>
      </c>
      <c r="AN400" s="38" t="str">
        <f>IF($C400="&lt;01",ROUND(INDEX(EID!$P:$P,MATCH($B400,EID!$B:$B,0))/2,0),"")</f>
        <v/>
      </c>
      <c r="AO400" s="38" t="e">
        <f>IF($C400="&lt;01",SUM($AN400),ROUND(SUM($AM400)*SUM($O400)/IF(SUM($Z400)=0,1,$Z400),0))</f>
        <v>#REF!</v>
      </c>
      <c r="AP400" s="218">
        <f>IF(OR($F400="",$C400="&lt;01"),$AO400,ROUND($F400,0))</f>
        <v>1599</v>
      </c>
      <c r="AQ400" s="218">
        <f>IF(LEFT($B400,4)="_Mil","",IF(SUM($AP400)=0,SUM($Z400),IF(OR(SUM($Z400)=0,SUM($O400)=0),MAX($AP400,$Z400),ROUND($AP400*$Z400/$O400,0))))</f>
        <v>1942</v>
      </c>
      <c r="AR400" s="33" t="e">
        <f>IF(OR(LEFT($B400,4)="_Mil",SUM($AK400)=0),"",SUM($AQ400)/$AK400)</f>
        <v>#REF!</v>
      </c>
      <c r="AS400" s="33">
        <f t="shared" si="101"/>
        <v>0.98</v>
      </c>
      <c r="AT400" s="33">
        <f t="shared" si="98"/>
        <v>0.98</v>
      </c>
      <c r="AU400" s="38">
        <f>IF($C400="&lt;01","",SUM($AP400)-SUM($O400))</f>
        <v>0</v>
      </c>
      <c r="AV400" s="38">
        <f>IF($C400="&lt;01",ROUND(INDEX(EID!$N:$N,MATCH($B400,EID!$B:$B,0))/2,0),IF(SUM($AT400)=0,"",ROUND((SUM($AP400)-(SUM($O400)*SUM($AS400)))/$AT400,0)))</f>
        <v>33</v>
      </c>
      <c r="AW400" s="33">
        <f t="shared" si="109"/>
        <v>1</v>
      </c>
      <c r="AX400" s="218">
        <f>IF($C400="&lt;01",SUM($AV400),ROUND(SUM($AV400)*SUM($AW400),0))</f>
        <v>33</v>
      </c>
      <c r="AY400" s="79">
        <f t="shared" si="110"/>
        <v>0.7</v>
      </c>
      <c r="AZ400" s="85">
        <f>IF($C400="&lt;01",ROUND(INDEX(EID!$R:$R,MATCH($B400,EID!$B:$B,0))/2,0),ROUND(SUM($O400)+(SUM($AV400)*$AY400),0))</f>
        <v>1622</v>
      </c>
      <c r="BA400" s="40">
        <f t="shared" si="97"/>
        <v>0.9</v>
      </c>
      <c r="BB400" s="99">
        <f>IF($C400="&lt;01",ROUND(INDEX(EID!$T:$T,MATCH($B400,EID!$B:$B,0))/2,0),ROUND($AP400*$BA400,0))</f>
        <v>1439</v>
      </c>
      <c r="BC400" s="85">
        <f>IF(LEFT($B400,4)="_Mil","",IF(SUM($BB400)=0,SUM($AD400),IF(OR(SUM($AP400)=0,SUM($AQ400)=0),MAX($BB400,$AD400),ROUND($BB400*$AQ400/$AP400,0))))</f>
        <v>1748</v>
      </c>
      <c r="BD400" s="33">
        <f t="shared" si="111"/>
        <v>0.95</v>
      </c>
      <c r="BE400" s="218">
        <f>IF($C400="&lt;01",ROUND(INDEX(EID!$V:$V,MATCH($B400,EID!$B:$B,0))/2,0),ROUND($BD400*$BB400,0))</f>
        <v>1367</v>
      </c>
      <c r="BF400" s="218">
        <f>IF(LEFT($B400,4)="_Mil","",IF(SUM($BE400)=0,SUM($AF400),IF(OR(SUM($AP400)=0,SUM($AQ400)=0),MAX($BE400,$AF400),ROUND($BE400*$AQ400/$AP400,0))))</f>
        <v>1660</v>
      </c>
      <c r="BG400" s="79">
        <f t="shared" si="112"/>
        <v>0.95</v>
      </c>
      <c r="BH400" s="99">
        <f>IF($C400="&lt;01",ROUND(INDEX(EID!$L:$L,MATCH($B400,EID!$B:$B,0)),0)/2,IF(SUM($BG400)=0,"",ROUND($AX400/$BG400,0)))</f>
        <v>35</v>
      </c>
    </row>
    <row r="401" spans="1:60" x14ac:dyDescent="0.2">
      <c r="A401" t="str">
        <f>INDEX(Prioritization!$D:$D,MATCH($B401,Prioritization!$A:$A,0))</f>
        <v>INVALID</v>
      </c>
      <c r="B401" t="s">
        <v>324</v>
      </c>
      <c r="C401" t="s">
        <v>476</v>
      </c>
      <c r="D401" t="s">
        <v>30</v>
      </c>
      <c r="E401" t="str">
        <f t="shared" si="102"/>
        <v>Thyolo District [ul0y9diGujK]|25-34|Female</v>
      </c>
      <c r="F401" s="229">
        <v>6886</v>
      </c>
      <c r="G401" s="38">
        <v>656</v>
      </c>
      <c r="H401" s="38">
        <v>682</v>
      </c>
      <c r="I401" s="38">
        <v>7092</v>
      </c>
      <c r="J401" s="38">
        <v>5787</v>
      </c>
      <c r="K401" s="38">
        <v>5519</v>
      </c>
      <c r="L401" s="38">
        <v>410</v>
      </c>
      <c r="M401" s="38">
        <v>401</v>
      </c>
      <c r="N401" s="38">
        <v>7212</v>
      </c>
      <c r="O401" s="229">
        <v>7092</v>
      </c>
      <c r="P401" s="38">
        <v>6766</v>
      </c>
      <c r="Q401" s="38">
        <v>6428</v>
      </c>
      <c r="R401" s="38">
        <f t="shared" si="103"/>
        <v>0</v>
      </c>
      <c r="S401" s="38">
        <f>IF(LEFT($B401,4)="_Mil","",_xlfn.IFNA(ROUND(INDEX(Spectrum!$N:$N,MATCH(RIGHT($B401,13)&amp;"|"&amp;$C401&amp;"|"&amp;$D401&amp;"|"&amp;S$14&amp;"|"&amp;"CY2023Q4",Spectrum!$R:$R,0)),0),""))</f>
        <v>7536</v>
      </c>
      <c r="T401" s="218">
        <f>IF(LEFT($B401,4)="_Mil","",_xlfn.IFNA(ROUND(INDEX(Spectrum!$N:$N,MATCH(RIGHT($B401,13)&amp;"|"&amp;$C401&amp;"|"&amp;$D401&amp;"|"&amp;T$14&amp;"|"&amp;"CY2024Q3",Spectrum!$R:$R,0)),0),""))</f>
        <v>63274</v>
      </c>
      <c r="U401" s="218">
        <f>IF(LEFT($B401,4)="_Mil","",_xlfn.IFNA(ROUND(INDEX(Spectrum!$N:$N,MATCH(RIGHT($B401,13)&amp;"|"&amp;$C401&amp;"|"&amp;$D401&amp;"|"&amp;U$14&amp;"|"&amp;"CY2024Q3",Spectrum!$R:$R,0)),0),""))</f>
        <v>8216</v>
      </c>
      <c r="V401" s="38">
        <f>IF(LEFT($B401,4)="_Mil","",_xlfn.IFNA(ROUND(INDEX(Spectrum!$N:$N,MATCH(RIGHT($B401,13)&amp;"|"&amp;$C401&amp;"|"&amp;$D401&amp;"|"&amp;V$14&amp;"|"&amp;"CY2024Q3",Spectrum!$R:$R,0)),0),""))</f>
        <v>7376</v>
      </c>
      <c r="W401" s="220">
        <f>IF(LEFT($B401,4)="_Mil","",_xlfn.IFNA(INDEX(Spectrum!$N:$N,MATCH(RIGHT($B401,13)&amp;"|"&amp;$C401&amp;"|"&amp;$D401&amp;"|"&amp;W$14&amp;"|"&amp;"CY2024Q3",Spectrum!$R:$R,0)),""))</f>
        <v>0.12984515699999999</v>
      </c>
      <c r="X401" s="218">
        <f>IF(LEFT($B401,4)="_Mil","",_xlfn.IFNA(ROUND(INDEX(Spectrum!$N:$N,MATCH(RIGHT($B401,13)&amp;"|"&amp;$C401&amp;"|"&amp;$D401&amp;"|"&amp;X$14&amp;"|"&amp;"CY2024Q3",Spectrum!$R:$R,0)),0),""))</f>
        <v>7967</v>
      </c>
      <c r="Y401" s="33">
        <f t="shared" si="104"/>
        <v>0.97</v>
      </c>
      <c r="Z401" s="218">
        <f>IF(LEFT($B401,4)="_Mil","",_xlfn.IFNA(ROUND(INDEX(Spectrum!$N:$N,MATCH(RIGHT($B401,13)&amp;"|"&amp;$C401&amp;"|"&amp;$D401&amp;"|"&amp;Z$14&amp;"|"&amp;"CY2024Q3",Spectrum!$R:$R,0)),0),""))</f>
        <v>7156</v>
      </c>
      <c r="AA401" s="33">
        <f>IF(LEFT($B401,4)="_Mil","",IFERROR(1/(1/INDEX(Spectrum!$N:$N,MATCH(RIGHT($B401,13)&amp;"|"&amp;$C401&amp;"|"&amp;$D401&amp;"|"&amp;AA$14&amp;"|"&amp;"CY2024Q3",Spectrum!$R:$R,0))),IF(SUM($U401)=0,"",SUM($Z401)/$U401)))</f>
        <v>0.96969375599999985</v>
      </c>
      <c r="AB401" s="33">
        <f t="shared" si="105"/>
        <v>0.898205096021087</v>
      </c>
      <c r="AC401" s="38">
        <f>IF(LEFT($B401,4)="_Mil","",_xlfn.IFNA(ROUND(INDEX(Spectrum!$N:$N,MATCH(RIGHT($B401,13)&amp;"|"&amp;$C401&amp;"|"&amp;$D401&amp;"|"&amp;AC$14&amp;"|"&amp;"CY2024Q3",Spectrum!$R:$R,0)),0),""))</f>
        <v>221</v>
      </c>
      <c r="AD401" s="38" t="str">
        <f>IF(LEFT($B401,4)="_Mil","",_xlfn.IFNA(ROUND(INDEX(Spectrum!$N:$N,MATCH(RIGHT($B401,13)&amp;"|"&amp;$C401&amp;"|"&amp;$D401&amp;"|"&amp;AD$14&amp;"|"&amp;"CY2024Q3",Spectrum!$R:$R,0)),0),""))</f>
        <v/>
      </c>
      <c r="AE401" s="33">
        <f t="shared" si="106"/>
        <v>0</v>
      </c>
      <c r="AF401" s="218" t="str">
        <f>IF(LEFT($B401,4)="_Mil","",_xlfn.IFNA(ROUND(INDEX(Spectrum!$N:$N,MATCH(RIGHT($B401,13)&amp;"|"&amp;$C401&amp;"|"&amp;$D401&amp;"|"&amp;AF$14&amp;"|"&amp;"CY2024Q3",Spectrum!$R:$R,0)),0),""))</f>
        <v/>
      </c>
      <c r="AG401" s="33" t="str">
        <f t="shared" si="107"/>
        <v/>
      </c>
      <c r="AH401" s="110" t="str">
        <f>IF(LEFT($B401,4)="_Mil","",_xlfn.IFNA(INDEX(Spectrum!$N:$N,MATCH(RIGHT($B401,13)&amp;"|"&amp;$C401&amp;"|"&amp;$D401&amp;"|"&amp;AH$14&amp;"|"&amp;"CY2024Q3",Spectrum!$R:$R,0)),""))</f>
        <v/>
      </c>
      <c r="AI401" s="218">
        <f>IF(LEFT($B401,4)="_Mil","",_xlfn.IFNA(ROUND(INDEX(Spectrum!$N:$N,MATCH(RIGHT($B401,13)&amp;"|"&amp;$C401&amp;"|"&amp;$D401&amp;"|"&amp;AI$14&amp;"|"&amp;"CY2025Q3",Spectrum!$R:$R,0)),0),""))</f>
        <v>170</v>
      </c>
      <c r="AJ401" s="38">
        <f>IF(LEFT($B401,4)="_Mil","",_xlfn.IFNA(ROUND(INDEX(Spectrum!$N:$N,MATCH(RIGHT($B401,13)&amp;"|"&amp;$C401&amp;"|"&amp;$D401&amp;"|"&amp;AJ$14&amp;"|"&amp;"CY2025Q3",Spectrum!$R:$R,0)),0),""))</f>
        <v>7671</v>
      </c>
      <c r="AK401" s="218" t="e">
        <f>#REF!</f>
        <v>#REF!</v>
      </c>
      <c r="AL401" s="33">
        <f t="shared" si="108"/>
        <v>0.96969375599999985</v>
      </c>
      <c r="AM401" s="38" t="e">
        <f>IF(OR(LEFT($B401,4)="_Mil",$C401="&lt;01"),"",ROUND(SUM($AK401)*SUM($AL401),0))</f>
        <v>#REF!</v>
      </c>
      <c r="AN401" s="38" t="str">
        <f>IF($C401="&lt;01",ROUND(INDEX(EID!$P:$P,MATCH($B401,EID!$B:$B,0))/2,0),"")</f>
        <v/>
      </c>
      <c r="AO401" s="38" t="e">
        <f>IF($C401="&lt;01",SUM($AN401),ROUND(SUM($AM401)*SUM($O401)/IF(SUM($Z401)=0,1,$Z401),0))</f>
        <v>#REF!</v>
      </c>
      <c r="AP401" s="218">
        <f>IF(OR($F401="",$C401="&lt;01"),$AO401,ROUND($F401,0))</f>
        <v>6886</v>
      </c>
      <c r="AQ401" s="218">
        <f>IF(LEFT($B401,4)="_Mil","",IF(SUM($AP401)=0,SUM($Z401),IF(OR(SUM($Z401)=0,SUM($O401)=0),MAX($AP401,$Z401),ROUND($AP401*$Z401/$O401,0))))</f>
        <v>6948</v>
      </c>
      <c r="AR401" s="33" t="e">
        <f>IF(OR(LEFT($B401,4)="_Mil",SUM($AK401)=0),"",SUM($AQ401)/$AK401)</f>
        <v>#REF!</v>
      </c>
      <c r="AS401" s="33">
        <f>IF($C401="&lt;01","",86%)</f>
        <v>0.86</v>
      </c>
      <c r="AT401" s="33">
        <f>IF($C401="&lt;01","",90%)</f>
        <v>0.9</v>
      </c>
      <c r="AU401" s="38">
        <f>IF($C401="&lt;01","",SUM($AP401)-SUM($O401))</f>
        <v>-206</v>
      </c>
      <c r="AV401" s="38">
        <f>IF($C401="&lt;01",ROUND(INDEX(EID!$N:$N,MATCH($B401,EID!$B:$B,0))/2,0),IF(SUM($AT401)=0,"",ROUND((SUM($AP401)-(SUM($O401)*SUM($AS401)))/$AT401,0)))</f>
        <v>874</v>
      </c>
      <c r="AW401" s="33">
        <f t="shared" si="109"/>
        <v>1</v>
      </c>
      <c r="AX401" s="218">
        <f>IF($C401="&lt;01",SUM($AV401),ROUND(SUM($AV401)*SUM($AW401),0))</f>
        <v>874</v>
      </c>
      <c r="AY401" s="79">
        <f t="shared" si="110"/>
        <v>0.7</v>
      </c>
      <c r="AZ401" s="85">
        <f>IF($C401="&lt;01",ROUND(INDEX(EID!$R:$R,MATCH($B401,EID!$B:$B,0))/2,0),ROUND(SUM($O401)+(SUM($AV401)*$AY401),0))</f>
        <v>7704</v>
      </c>
      <c r="BA401" s="40">
        <f t="shared" si="97"/>
        <v>0.9</v>
      </c>
      <c r="BB401" s="99">
        <f>IF($C401="&lt;01",ROUND(INDEX(EID!$T:$T,MATCH($B401,EID!$B:$B,0))/2,0),ROUND($AP401*$BA401,0))</f>
        <v>6197</v>
      </c>
      <c r="BC401" s="85">
        <f>IF(LEFT($B401,4)="_Mil","",IF(SUM($BB401)=0,SUM($AD401),IF(OR(SUM($AP401)=0,SUM($AQ401)=0),MAX($BB401,$AD401),ROUND($BB401*$AQ401/$AP401,0))))</f>
        <v>6253</v>
      </c>
      <c r="BD401" s="33">
        <f t="shared" si="111"/>
        <v>0.95</v>
      </c>
      <c r="BE401" s="218">
        <f>IF($C401="&lt;01",ROUND(INDEX(EID!$V:$V,MATCH($B401,EID!$B:$B,0))/2,0),ROUND($BD401*$BB401,0))</f>
        <v>5887</v>
      </c>
      <c r="BF401" s="218">
        <f>IF(LEFT($B401,4)="_Mil","",IF(SUM($BE401)=0,SUM($AF401),IF(OR(SUM($AP401)=0,SUM($AQ401)=0),MAX($BE401,$AF401),ROUND($BE401*$AQ401/$AP401,0))))</f>
        <v>5940</v>
      </c>
      <c r="BG401" s="79">
        <f t="shared" si="112"/>
        <v>0.95</v>
      </c>
      <c r="BH401" s="99">
        <f>IF($C401="&lt;01",ROUND(INDEX(EID!$L:$L,MATCH($B401,EID!$B:$B,0)),0)/2,IF(SUM($BG401)=0,"",ROUND($AX401/$BG401,0)))</f>
        <v>920</v>
      </c>
    </row>
    <row r="402" spans="1:60" x14ac:dyDescent="0.2">
      <c r="A402" t="str">
        <f>INDEX(Prioritization!$D:$D,MATCH($B402,Prioritization!$A:$A,0))</f>
        <v>INVALID</v>
      </c>
      <c r="B402" t="s">
        <v>324</v>
      </c>
      <c r="C402" t="s">
        <v>476</v>
      </c>
      <c r="D402" t="s">
        <v>48</v>
      </c>
      <c r="E402" t="str">
        <f t="shared" si="102"/>
        <v>Thyolo District [ul0y9diGujK]|25-34|Male</v>
      </c>
      <c r="F402" s="229">
        <v>1934</v>
      </c>
      <c r="G402" s="38">
        <v>356</v>
      </c>
      <c r="H402" s="38">
        <v>328</v>
      </c>
      <c r="I402" s="38">
        <v>1763</v>
      </c>
      <c r="J402" s="38">
        <v>1196</v>
      </c>
      <c r="K402" s="38">
        <v>1132</v>
      </c>
      <c r="L402" s="38">
        <v>117</v>
      </c>
      <c r="M402" s="38">
        <v>111</v>
      </c>
      <c r="N402" s="38">
        <v>2556</v>
      </c>
      <c r="O402" s="229">
        <v>1934</v>
      </c>
      <c r="P402" s="38">
        <v>2267</v>
      </c>
      <c r="Q402" s="38">
        <v>2154</v>
      </c>
      <c r="R402" s="38">
        <f t="shared" si="103"/>
        <v>171</v>
      </c>
      <c r="S402" s="38">
        <f>IF(LEFT($B402,4)="_Mil","",_xlfn.IFNA(ROUND(INDEX(Spectrum!$N:$N,MATCH(RIGHT($B402,13)&amp;"|"&amp;$C402&amp;"|"&amp;$D402&amp;"|"&amp;S$14&amp;"|"&amp;"CY2023Q4",Spectrum!$R:$R,0)),0),""))</f>
        <v>2279</v>
      </c>
      <c r="T402" s="218">
        <f>IF(LEFT($B402,4)="_Mil","",_xlfn.IFNA(ROUND(INDEX(Spectrum!$N:$N,MATCH(RIGHT($B402,13)&amp;"|"&amp;$C402&amp;"|"&amp;$D402&amp;"|"&amp;T$14&amp;"|"&amp;"CY2024Q3",Spectrum!$R:$R,0)),0),""))</f>
        <v>52244</v>
      </c>
      <c r="U402" s="218">
        <f>IF(LEFT($B402,4)="_Mil","",_xlfn.IFNA(ROUND(INDEX(Spectrum!$N:$N,MATCH(RIGHT($B402,13)&amp;"|"&amp;$C402&amp;"|"&amp;$D402&amp;"|"&amp;U$14&amp;"|"&amp;"CY2024Q3",Spectrum!$R:$R,0)),0),""))</f>
        <v>2860</v>
      </c>
      <c r="V402" s="38">
        <f>IF(LEFT($B402,4)="_Mil","",_xlfn.IFNA(ROUND(INDEX(Spectrum!$N:$N,MATCH(RIGHT($B402,13)&amp;"|"&amp;$C402&amp;"|"&amp;$D402&amp;"|"&amp;V$14&amp;"|"&amp;"CY2024Q3",Spectrum!$R:$R,0)),0),""))</f>
        <v>2579</v>
      </c>
      <c r="W402" s="220">
        <f>IF(LEFT($B402,4)="_Mil","",_xlfn.IFNA(INDEX(Spectrum!$N:$N,MATCH(RIGHT($B402,13)&amp;"|"&amp;$C402&amp;"|"&amp;$D402&amp;"|"&amp;W$14&amp;"|"&amp;"CY2024Q3",Spectrum!$R:$R,0)),""))</f>
        <v>5.4746511999999997E-2</v>
      </c>
      <c r="X402" s="218">
        <f>IF(LEFT($B402,4)="_Mil","",_xlfn.IFNA(ROUND(INDEX(Spectrum!$N:$N,MATCH(RIGHT($B402,13)&amp;"|"&amp;$C402&amp;"|"&amp;$D402&amp;"|"&amp;X$14&amp;"|"&amp;"CY2024Q3",Spectrum!$R:$R,0)),0),""))</f>
        <v>2553</v>
      </c>
      <c r="Y402" s="33">
        <f t="shared" si="104"/>
        <v>0.89</v>
      </c>
      <c r="Z402" s="218">
        <f>IF(LEFT($B402,4)="_Mil","",_xlfn.IFNA(ROUND(INDEX(Spectrum!$N:$N,MATCH(RIGHT($B402,13)&amp;"|"&amp;$C402&amp;"|"&amp;$D402&amp;"|"&amp;Z$14&amp;"|"&amp;"CY2024Q3",Spectrum!$R:$R,0)),0),""))</f>
        <v>2277</v>
      </c>
      <c r="AA402" s="33">
        <f>IF(LEFT($B402,4)="_Mil","",IFERROR(1/(1/INDEX(Spectrum!$N:$N,MATCH(RIGHT($B402,13)&amp;"|"&amp;$C402&amp;"|"&amp;$D402&amp;"|"&amp;AA$14&amp;"|"&amp;"CY2024Q3",Spectrum!$R:$R,0))),IF(SUM($U402)=0,"",SUM($Z402)/$U402)))</f>
        <v>0.88571062700000003</v>
      </c>
      <c r="AB402" s="33">
        <f t="shared" si="105"/>
        <v>0.89189189189189189</v>
      </c>
      <c r="AC402" s="38">
        <f>IF(LEFT($B402,4)="_Mil","",_xlfn.IFNA(ROUND(INDEX(Spectrum!$N:$N,MATCH(RIGHT($B402,13)&amp;"|"&amp;$C402&amp;"|"&amp;$D402&amp;"|"&amp;AC$14&amp;"|"&amp;"CY2024Q3",Spectrum!$R:$R,0)),0),""))</f>
        <v>302</v>
      </c>
      <c r="AD402" s="38" t="str">
        <f>IF(LEFT($B402,4)="_Mil","",_xlfn.IFNA(ROUND(INDEX(Spectrum!$N:$N,MATCH(RIGHT($B402,13)&amp;"|"&amp;$C402&amp;"|"&amp;$D402&amp;"|"&amp;AD$14&amp;"|"&amp;"CY2024Q3",Spectrum!$R:$R,0)),0),""))</f>
        <v/>
      </c>
      <c r="AE402" s="33">
        <f t="shared" si="106"/>
        <v>0</v>
      </c>
      <c r="AF402" s="218" t="str">
        <f>IF(LEFT($B402,4)="_Mil","",_xlfn.IFNA(ROUND(INDEX(Spectrum!$N:$N,MATCH(RIGHT($B402,13)&amp;"|"&amp;$C402&amp;"|"&amp;$D402&amp;"|"&amp;AF$14&amp;"|"&amp;"CY2024Q3",Spectrum!$R:$R,0)),0),""))</f>
        <v/>
      </c>
      <c r="AG402" s="33" t="str">
        <f t="shared" si="107"/>
        <v/>
      </c>
      <c r="AH402" s="110" t="str">
        <f>IF(LEFT($B402,4)="_Mil","",_xlfn.IFNA(INDEX(Spectrum!$N:$N,MATCH(RIGHT($B402,13)&amp;"|"&amp;$C402&amp;"|"&amp;$D402&amp;"|"&amp;AH$14&amp;"|"&amp;"CY2024Q3",Spectrum!$R:$R,0)),""))</f>
        <v/>
      </c>
      <c r="AI402" s="218">
        <f>IF(LEFT($B402,4)="_Mil","",_xlfn.IFNA(ROUND(INDEX(Spectrum!$N:$N,MATCH(RIGHT($B402,13)&amp;"|"&amp;$C402&amp;"|"&amp;$D402&amp;"|"&amp;AI$14&amp;"|"&amp;"CY2025Q3",Spectrum!$R:$R,0)),0),""))</f>
        <v>91</v>
      </c>
      <c r="AJ402" s="38">
        <f>IF(LEFT($B402,4)="_Mil","",_xlfn.IFNA(ROUND(INDEX(Spectrum!$N:$N,MATCH(RIGHT($B402,13)&amp;"|"&amp;$C402&amp;"|"&amp;$D402&amp;"|"&amp;AJ$14&amp;"|"&amp;"CY2025Q3",Spectrum!$R:$R,0)),0),""))</f>
        <v>2758</v>
      </c>
      <c r="AK402" s="218" t="e">
        <f>#REF!</f>
        <v>#REF!</v>
      </c>
      <c r="AL402" s="33">
        <f t="shared" si="108"/>
        <v>0.9</v>
      </c>
      <c r="AM402" s="38" t="e">
        <f>IF(OR(LEFT($B402,4)="_Mil",$C402="&lt;01"),"",ROUND(SUM($AK402)*SUM($AL402),0))</f>
        <v>#REF!</v>
      </c>
      <c r="AN402" s="38" t="str">
        <f>IF($C402="&lt;01",ROUND(INDEX(EID!$P:$P,MATCH($B402,EID!$B:$B,0))/2,0),"")</f>
        <v/>
      </c>
      <c r="AO402" s="38" t="e">
        <f>IF($C402="&lt;01",SUM($AN402),ROUND(SUM($AM402)*SUM($O402)/IF(SUM($Z402)=0,1,$Z402),0))</f>
        <v>#REF!</v>
      </c>
      <c r="AP402" s="218">
        <f>IF(OR($F402="",$C402="&lt;01"),$AO402,ROUND($F402,0))</f>
        <v>1934</v>
      </c>
      <c r="AQ402" s="218">
        <f>IF(LEFT($B402,4)="_Mil","",IF(SUM($AP402)=0,SUM($Z402),IF(OR(SUM($Z402)=0,SUM($O402)=0),MAX($AP402,$Z402),ROUND($AP402*$Z402/$O402,0))))</f>
        <v>2277</v>
      </c>
      <c r="AR402" s="33" t="e">
        <f>IF(OR(LEFT($B402,4)="_Mil",SUM($AK402)=0),"",SUM($AQ402)/$AK402)</f>
        <v>#REF!</v>
      </c>
      <c r="AS402" s="33">
        <f t="shared" ref="AS402:AS414" si="113">IF($C402="&lt;01","",98%)</f>
        <v>0.98</v>
      </c>
      <c r="AT402" s="33">
        <f t="shared" si="98"/>
        <v>0.98</v>
      </c>
      <c r="AU402" s="38">
        <f>IF($C402="&lt;01","",SUM($AP402)-SUM($O402))</f>
        <v>0</v>
      </c>
      <c r="AV402" s="38">
        <f>IF($C402="&lt;01",ROUND(INDEX(EID!$N:$N,MATCH($B402,EID!$B:$B,0))/2,0),IF(SUM($AT402)=0,"",ROUND((SUM($AP402)-(SUM($O402)*SUM($AS402)))/$AT402,0)))</f>
        <v>39</v>
      </c>
      <c r="AW402" s="33">
        <f t="shared" si="109"/>
        <v>1</v>
      </c>
      <c r="AX402" s="218">
        <f>IF($C402="&lt;01",SUM($AV402),ROUND(SUM($AV402)*SUM($AW402),0))</f>
        <v>39</v>
      </c>
      <c r="AY402" s="79">
        <f t="shared" si="110"/>
        <v>0.7</v>
      </c>
      <c r="AZ402" s="85">
        <f>IF($C402="&lt;01",ROUND(INDEX(EID!$R:$R,MATCH($B402,EID!$B:$B,0))/2,0),ROUND(SUM($O402)+(SUM($AV402)*$AY402),0))</f>
        <v>1961</v>
      </c>
      <c r="BA402" s="40">
        <f t="shared" si="97"/>
        <v>0.9</v>
      </c>
      <c r="BB402" s="99">
        <f>IF($C402="&lt;01",ROUND(INDEX(EID!$T:$T,MATCH($B402,EID!$B:$B,0))/2,0),ROUND($AP402*$BA402,0))</f>
        <v>1741</v>
      </c>
      <c r="BC402" s="85">
        <f>IF(LEFT($B402,4)="_Mil","",IF(SUM($BB402)=0,SUM($AD402),IF(OR(SUM($AP402)=0,SUM($AQ402)=0),MAX($BB402,$AD402),ROUND($BB402*$AQ402/$AP402,0))))</f>
        <v>2050</v>
      </c>
      <c r="BD402" s="33">
        <f t="shared" si="111"/>
        <v>0.95</v>
      </c>
      <c r="BE402" s="218">
        <f>IF($C402="&lt;01",ROUND(INDEX(EID!$V:$V,MATCH($B402,EID!$B:$B,0))/2,0),ROUND($BD402*$BB402,0))</f>
        <v>1654</v>
      </c>
      <c r="BF402" s="218">
        <f>IF(LEFT($B402,4)="_Mil","",IF(SUM($BE402)=0,SUM($AF402),IF(OR(SUM($AP402)=0,SUM($AQ402)=0),MAX($BE402,$AF402),ROUND($BE402*$AQ402/$AP402,0))))</f>
        <v>1947</v>
      </c>
      <c r="BG402" s="79">
        <f t="shared" si="112"/>
        <v>0.95</v>
      </c>
      <c r="BH402" s="99">
        <f>IF($C402="&lt;01",ROUND(INDEX(EID!$L:$L,MATCH($B402,EID!$B:$B,0)),0)/2,IF(SUM($BG402)=0,"",ROUND($AX402/$BG402,0)))</f>
        <v>41</v>
      </c>
    </row>
    <row r="403" spans="1:60" x14ac:dyDescent="0.2">
      <c r="A403" t="str">
        <f>INDEX(Prioritization!$D:$D,MATCH($B403,Prioritization!$A:$A,0))</f>
        <v>INVALID</v>
      </c>
      <c r="B403" t="s">
        <v>324</v>
      </c>
      <c r="C403" t="s">
        <v>477</v>
      </c>
      <c r="D403" t="s">
        <v>30</v>
      </c>
      <c r="E403" t="str">
        <f t="shared" si="102"/>
        <v>Thyolo District [ul0y9diGujK]|35-49|Female</v>
      </c>
      <c r="F403" s="229">
        <v>19006</v>
      </c>
      <c r="G403" s="38">
        <v>448</v>
      </c>
      <c r="H403" s="38">
        <v>462</v>
      </c>
      <c r="I403" s="38">
        <v>19331</v>
      </c>
      <c r="J403" s="38">
        <v>15934</v>
      </c>
      <c r="K403" s="38">
        <v>15400</v>
      </c>
      <c r="L403" s="38">
        <v>368</v>
      </c>
      <c r="M403" s="38">
        <v>361</v>
      </c>
      <c r="N403" s="38">
        <v>19062</v>
      </c>
      <c r="O403" s="229">
        <v>19096</v>
      </c>
      <c r="P403" s="38">
        <v>17228</v>
      </c>
      <c r="Q403" s="38">
        <v>16367</v>
      </c>
      <c r="R403" s="38">
        <f t="shared" si="103"/>
        <v>-235</v>
      </c>
      <c r="S403" s="38">
        <f>IF(LEFT($B403,4)="_Mil","",_xlfn.IFNA(ROUND(INDEX(Spectrum!$N:$N,MATCH(RIGHT($B403,13)&amp;"|"&amp;$C403&amp;"|"&amp;$D403&amp;"|"&amp;S$14&amp;"|"&amp;"CY2023Q4",Spectrum!$R:$R,0)),0),""))</f>
        <v>18811</v>
      </c>
      <c r="T403" s="218">
        <f>IF(LEFT($B403,4)="_Mil","",_xlfn.IFNA(ROUND(INDEX(Spectrum!$N:$N,MATCH(RIGHT($B403,13)&amp;"|"&amp;$C403&amp;"|"&amp;$D403&amp;"|"&amp;T$14&amp;"|"&amp;"CY2024Q3",Spectrum!$R:$R,0)),0),""))</f>
        <v>71748</v>
      </c>
      <c r="U403" s="218">
        <f>IF(LEFT($B403,4)="_Mil","",_xlfn.IFNA(ROUND(INDEX(Spectrum!$N:$N,MATCH(RIGHT($B403,13)&amp;"|"&amp;$C403&amp;"|"&amp;$D403&amp;"|"&amp;U$14&amp;"|"&amp;"CY2024Q3",Spectrum!$R:$R,0)),0),""))</f>
        <v>21434</v>
      </c>
      <c r="V403" s="38">
        <f>IF(LEFT($B403,4)="_Mil","",_xlfn.IFNA(ROUND(INDEX(Spectrum!$N:$N,MATCH(RIGHT($B403,13)&amp;"|"&amp;$C403&amp;"|"&amp;$D403&amp;"|"&amp;V$14&amp;"|"&amp;"CY2024Q3",Spectrum!$R:$R,0)),0),""))</f>
        <v>19096</v>
      </c>
      <c r="W403" s="220">
        <f>IF(LEFT($B403,4)="_Mil","",_xlfn.IFNA(INDEX(Spectrum!$N:$N,MATCH(RIGHT($B403,13)&amp;"|"&amp;$C403&amp;"|"&amp;$D403&amp;"|"&amp;W$14&amp;"|"&amp;"CY2024Q3",Spectrum!$R:$R,0)),""))</f>
        <v>0.29874725000000002</v>
      </c>
      <c r="X403" s="218">
        <f>IF(LEFT($B403,4)="_Mil","",_xlfn.IFNA(ROUND(INDEX(Spectrum!$N:$N,MATCH(RIGHT($B403,13)&amp;"|"&amp;$C403&amp;"|"&amp;$D403&amp;"|"&amp;X$14&amp;"|"&amp;"CY2024Q3",Spectrum!$R:$R,0)),0),""))</f>
        <v>21121</v>
      </c>
      <c r="Y403" s="33">
        <f t="shared" si="104"/>
        <v>0.99</v>
      </c>
      <c r="Z403" s="218">
        <f>IF(LEFT($B403,4)="_Mil","",_xlfn.IFNA(ROUND(INDEX(Spectrum!$N:$N,MATCH(RIGHT($B403,13)&amp;"|"&amp;$C403&amp;"|"&amp;$D403&amp;"|"&amp;Z$14&amp;"|"&amp;"CY2024Q3",Spectrum!$R:$R,0)),0),""))</f>
        <v>18807</v>
      </c>
      <c r="AA403" s="33">
        <f>IF(LEFT($B403,4)="_Mil","",IFERROR(1/(1/INDEX(Spectrum!$N:$N,MATCH(RIGHT($B403,13)&amp;"|"&amp;$C403&amp;"|"&amp;$D403&amp;"|"&amp;AA$14&amp;"|"&amp;"CY2024Q3",Spectrum!$R:$R,0))),IF(SUM($U403)=0,"",SUM($Z403)/$U403)))</f>
        <v>0.98503778099999995</v>
      </c>
      <c r="AB403" s="33">
        <f t="shared" si="105"/>
        <v>0.89044079352303396</v>
      </c>
      <c r="AC403" s="38">
        <f>IF(LEFT($B403,4)="_Mil","",_xlfn.IFNA(ROUND(INDEX(Spectrum!$N:$N,MATCH(RIGHT($B403,13)&amp;"|"&amp;$C403&amp;"|"&amp;$D403&amp;"|"&amp;AC$14&amp;"|"&amp;"CY2024Q3",Spectrum!$R:$R,0)),0),""))</f>
        <v>289</v>
      </c>
      <c r="AD403" s="38" t="str">
        <f>IF(LEFT($B403,4)="_Mil","",_xlfn.IFNA(ROUND(INDEX(Spectrum!$N:$N,MATCH(RIGHT($B403,13)&amp;"|"&amp;$C403&amp;"|"&amp;$D403&amp;"|"&amp;AD$14&amp;"|"&amp;"CY2024Q3",Spectrum!$R:$R,0)),0),""))</f>
        <v/>
      </c>
      <c r="AE403" s="33">
        <f t="shared" si="106"/>
        <v>0</v>
      </c>
      <c r="AF403" s="218" t="str">
        <f>IF(LEFT($B403,4)="_Mil","",_xlfn.IFNA(ROUND(INDEX(Spectrum!$N:$N,MATCH(RIGHT($B403,13)&amp;"|"&amp;$C403&amp;"|"&amp;$D403&amp;"|"&amp;AF$14&amp;"|"&amp;"CY2024Q3",Spectrum!$R:$R,0)),0),""))</f>
        <v/>
      </c>
      <c r="AG403" s="33" t="str">
        <f t="shared" si="107"/>
        <v/>
      </c>
      <c r="AH403" s="110" t="str">
        <f>IF(LEFT($B403,4)="_Mil","",_xlfn.IFNA(INDEX(Spectrum!$N:$N,MATCH(RIGHT($B403,13)&amp;"|"&amp;$C403&amp;"|"&amp;$D403&amp;"|"&amp;AH$14&amp;"|"&amp;"CY2024Q3",Spectrum!$R:$R,0)),""))</f>
        <v/>
      </c>
      <c r="AI403" s="218">
        <f>IF(LEFT($B403,4)="_Mil","",_xlfn.IFNA(ROUND(INDEX(Spectrum!$N:$N,MATCH(RIGHT($B403,13)&amp;"|"&amp;$C403&amp;"|"&amp;$D403&amp;"|"&amp;AI$14&amp;"|"&amp;"CY2025Q3",Spectrum!$R:$R,0)),0),""))</f>
        <v>88</v>
      </c>
      <c r="AJ403" s="38">
        <f>IF(LEFT($B403,4)="_Mil","",_xlfn.IFNA(ROUND(INDEX(Spectrum!$N:$N,MATCH(RIGHT($B403,13)&amp;"|"&amp;$C403&amp;"|"&amp;$D403&amp;"|"&amp;AJ$14&amp;"|"&amp;"CY2025Q3",Spectrum!$R:$R,0)),0),""))</f>
        <v>21322</v>
      </c>
      <c r="AK403" s="218" t="e">
        <f>#REF!</f>
        <v>#REF!</v>
      </c>
      <c r="AL403" s="33">
        <f t="shared" si="108"/>
        <v>0.98503778099999995</v>
      </c>
      <c r="AM403" s="38" t="e">
        <f>IF(OR(LEFT($B403,4)="_Mil",$C403="&lt;01"),"",ROUND(SUM($AK403)*SUM($AL403),0))</f>
        <v>#REF!</v>
      </c>
      <c r="AN403" s="38" t="str">
        <f>IF($C403="&lt;01",ROUND(INDEX(EID!$P:$P,MATCH($B403,EID!$B:$B,0))/2,0),"")</f>
        <v/>
      </c>
      <c r="AO403" s="38" t="e">
        <f>IF($C403="&lt;01",SUM($AN403),ROUND(SUM($AM403)*SUM($O403)/IF(SUM($Z403)=0,1,$Z403),0))</f>
        <v>#REF!</v>
      </c>
      <c r="AP403" s="218">
        <f>IF(OR($F403="",$C403="&lt;01"),$AO403,ROUND($F403,0))</f>
        <v>19006</v>
      </c>
      <c r="AQ403" s="218">
        <f>IF(LEFT($B403,4)="_Mil","",IF(SUM($AP403)=0,SUM($Z403),IF(OR(SUM($Z403)=0,SUM($O403)=0),MAX($AP403,$Z403),ROUND($AP403*$Z403/$O403,0))))</f>
        <v>18718</v>
      </c>
      <c r="AR403" s="33" t="e">
        <f>IF(OR(LEFT($B403,4)="_Mil",SUM($AK403)=0),"",SUM($AQ403)/$AK403)</f>
        <v>#REF!</v>
      </c>
      <c r="AS403" s="33">
        <f t="shared" si="113"/>
        <v>0.98</v>
      </c>
      <c r="AT403" s="33">
        <f t="shared" si="98"/>
        <v>0.98</v>
      </c>
      <c r="AU403" s="38">
        <f>IF($C403="&lt;01","",SUM($AP403)-SUM($O403))</f>
        <v>-90</v>
      </c>
      <c r="AV403" s="38">
        <f>IF($C403="&lt;01",ROUND(INDEX(EID!$N:$N,MATCH($B403,EID!$B:$B,0))/2,0),IF(SUM($AT403)=0,"",ROUND((SUM($AP403)-(SUM($O403)*SUM($AS403)))/$AT403,0)))</f>
        <v>298</v>
      </c>
      <c r="AW403" s="33">
        <f t="shared" si="109"/>
        <v>1</v>
      </c>
      <c r="AX403" s="218">
        <f>IF($C403="&lt;01",SUM($AV403),ROUND(SUM($AV403)*SUM($AW403),0))</f>
        <v>298</v>
      </c>
      <c r="AY403" s="79">
        <f t="shared" si="110"/>
        <v>0.7</v>
      </c>
      <c r="AZ403" s="85">
        <f>IF($C403="&lt;01",ROUND(INDEX(EID!$R:$R,MATCH($B403,EID!$B:$B,0))/2,0),ROUND(SUM($O403)+(SUM($AV403)*$AY403),0))</f>
        <v>19305</v>
      </c>
      <c r="BA403" s="40">
        <f t="shared" si="97"/>
        <v>0.9</v>
      </c>
      <c r="BB403" s="99">
        <f>IF($C403="&lt;01",ROUND(INDEX(EID!$T:$T,MATCH($B403,EID!$B:$B,0))/2,0),ROUND($AP403*$BA403,0))</f>
        <v>17105</v>
      </c>
      <c r="BC403" s="85">
        <f>IF(LEFT($B403,4)="_Mil","",IF(SUM($BB403)=0,SUM($AD403),IF(OR(SUM($AP403)=0,SUM($AQ403)=0),MAX($BB403,$AD403),ROUND($BB403*$AQ403/$AP403,0))))</f>
        <v>16846</v>
      </c>
      <c r="BD403" s="33">
        <f t="shared" si="111"/>
        <v>0.95</v>
      </c>
      <c r="BE403" s="218">
        <f>IF($C403="&lt;01",ROUND(INDEX(EID!$V:$V,MATCH($B403,EID!$B:$B,0))/2,0),ROUND($BD403*$BB403,0))</f>
        <v>16250</v>
      </c>
      <c r="BF403" s="218">
        <f>IF(LEFT($B403,4)="_Mil","",IF(SUM($BE403)=0,SUM($AF403),IF(OR(SUM($AP403)=0,SUM($AQ403)=0),MAX($BE403,$AF403),ROUND($BE403*$AQ403/$AP403,0))))</f>
        <v>16004</v>
      </c>
      <c r="BG403" s="79">
        <f t="shared" si="112"/>
        <v>0.95</v>
      </c>
      <c r="BH403" s="99">
        <f>IF($C403="&lt;01",ROUND(INDEX(EID!$L:$L,MATCH($B403,EID!$B:$B,0)),0)/2,IF(SUM($BG403)=0,"",ROUND($AX403/$BG403,0)))</f>
        <v>314</v>
      </c>
    </row>
    <row r="404" spans="1:60" x14ac:dyDescent="0.2">
      <c r="A404" t="str">
        <f>INDEX(Prioritization!$D:$D,MATCH($B404,Prioritization!$A:$A,0))</f>
        <v>INVALID</v>
      </c>
      <c r="B404" t="s">
        <v>324</v>
      </c>
      <c r="C404" t="s">
        <v>477</v>
      </c>
      <c r="D404" t="s">
        <v>48</v>
      </c>
      <c r="E404" t="str">
        <f t="shared" si="102"/>
        <v>Thyolo District [ul0y9diGujK]|35-49|Male</v>
      </c>
      <c r="F404" s="229">
        <v>8400</v>
      </c>
      <c r="G404" s="38">
        <v>473</v>
      </c>
      <c r="H404" s="38">
        <v>501</v>
      </c>
      <c r="I404" s="38">
        <v>8400</v>
      </c>
      <c r="J404" s="38">
        <v>6082</v>
      </c>
      <c r="K404" s="38">
        <v>5850</v>
      </c>
      <c r="L404" s="38">
        <v>133</v>
      </c>
      <c r="M404" s="38">
        <v>126</v>
      </c>
      <c r="N404" s="38">
        <v>8785</v>
      </c>
      <c r="O404" s="229">
        <v>8400</v>
      </c>
      <c r="P404" s="38">
        <v>7932</v>
      </c>
      <c r="Q404" s="38">
        <v>7535</v>
      </c>
      <c r="R404" s="38">
        <f t="shared" si="103"/>
        <v>0</v>
      </c>
      <c r="S404" s="38">
        <f>IF(LEFT($B404,4)="_Mil","",_xlfn.IFNA(ROUND(INDEX(Spectrum!$N:$N,MATCH(RIGHT($B404,13)&amp;"|"&amp;$C404&amp;"|"&amp;$D404&amp;"|"&amp;S$14&amp;"|"&amp;"CY2023Q4",Spectrum!$R:$R,0)),0),""))</f>
        <v>8765</v>
      </c>
      <c r="T404" s="218">
        <f>IF(LEFT($B404,4)="_Mil","",_xlfn.IFNA(ROUND(INDEX(Spectrum!$N:$N,MATCH(RIGHT($B404,13)&amp;"|"&amp;$C404&amp;"|"&amp;$D404&amp;"|"&amp;T$14&amp;"|"&amp;"CY2024Q3",Spectrum!$R:$R,0)),0),""))</f>
        <v>52380</v>
      </c>
      <c r="U404" s="218">
        <f>IF(LEFT($B404,4)="_Mil","",_xlfn.IFNA(ROUND(INDEX(Spectrum!$N:$N,MATCH(RIGHT($B404,13)&amp;"|"&amp;$C404&amp;"|"&amp;$D404&amp;"|"&amp;U$14&amp;"|"&amp;"CY2024Q3",Spectrum!$R:$R,0)),0),""))</f>
        <v>10327</v>
      </c>
      <c r="V404" s="38">
        <f>IF(LEFT($B404,4)="_Mil","",_xlfn.IFNA(ROUND(INDEX(Spectrum!$N:$N,MATCH(RIGHT($B404,13)&amp;"|"&amp;$C404&amp;"|"&amp;$D404&amp;"|"&amp;V$14&amp;"|"&amp;"CY2024Q3",Spectrum!$R:$R,0)),0),""))</f>
        <v>9339</v>
      </c>
      <c r="W404" s="220">
        <f>IF(LEFT($B404,4)="_Mil","",_xlfn.IFNA(INDEX(Spectrum!$N:$N,MATCH(RIGHT($B404,13)&amp;"|"&amp;$C404&amp;"|"&amp;$D404&amp;"|"&amp;W$14&amp;"|"&amp;"CY2024Q3",Spectrum!$R:$R,0)),""))</f>
        <v>0.19715259700000001</v>
      </c>
      <c r="X404" s="218">
        <f>IF(LEFT($B404,4)="_Mil","",_xlfn.IFNA(ROUND(INDEX(Spectrum!$N:$N,MATCH(RIGHT($B404,13)&amp;"|"&amp;$C404&amp;"|"&amp;$D404&amp;"|"&amp;X$14&amp;"|"&amp;"CY2024Q3",Spectrum!$R:$R,0)),0),""))</f>
        <v>9651</v>
      </c>
      <c r="Y404" s="33">
        <f t="shared" si="104"/>
        <v>0.93</v>
      </c>
      <c r="Z404" s="218">
        <f>IF(LEFT($B404,4)="_Mil","",_xlfn.IFNA(ROUND(INDEX(Spectrum!$N:$N,MATCH(RIGHT($B404,13)&amp;"|"&amp;$C404&amp;"|"&amp;$D404&amp;"|"&amp;Z$14&amp;"|"&amp;"CY2024Q3",Spectrum!$R:$R,0)),0),""))</f>
        <v>8665</v>
      </c>
      <c r="AA404" s="33">
        <f>IF(LEFT($B404,4)="_Mil","",IFERROR(1/(1/INDEX(Spectrum!$N:$N,MATCH(RIGHT($B404,13)&amp;"|"&amp;$C404&amp;"|"&amp;$D404&amp;"|"&amp;AA$14&amp;"|"&amp;"CY2024Q3",Spectrum!$R:$R,0))),IF(SUM($U404)=0,"",SUM($Z404)/$U404)))</f>
        <v>0.93047459600000004</v>
      </c>
      <c r="AB404" s="33">
        <f t="shared" si="105"/>
        <v>0.89783442130349189</v>
      </c>
      <c r="AC404" s="38">
        <f>IF(LEFT($B404,4)="_Mil","",_xlfn.IFNA(ROUND(INDEX(Spectrum!$N:$N,MATCH(RIGHT($B404,13)&amp;"|"&amp;$C404&amp;"|"&amp;$D404&amp;"|"&amp;AC$14&amp;"|"&amp;"CY2024Q3",Spectrum!$R:$R,0)),0),""))</f>
        <v>674</v>
      </c>
      <c r="AD404" s="38" t="str">
        <f>IF(LEFT($B404,4)="_Mil","",_xlfn.IFNA(ROUND(INDEX(Spectrum!$N:$N,MATCH(RIGHT($B404,13)&amp;"|"&amp;$C404&amp;"|"&amp;$D404&amp;"|"&amp;AD$14&amp;"|"&amp;"CY2024Q3",Spectrum!$R:$R,0)),0),""))</f>
        <v/>
      </c>
      <c r="AE404" s="33">
        <f t="shared" si="106"/>
        <v>0</v>
      </c>
      <c r="AF404" s="218" t="str">
        <f>IF(LEFT($B404,4)="_Mil","",_xlfn.IFNA(ROUND(INDEX(Spectrum!$N:$N,MATCH(RIGHT($B404,13)&amp;"|"&amp;$C404&amp;"|"&amp;$D404&amp;"|"&amp;AF$14&amp;"|"&amp;"CY2024Q3",Spectrum!$R:$R,0)),0),""))</f>
        <v/>
      </c>
      <c r="AG404" s="33" t="str">
        <f t="shared" si="107"/>
        <v/>
      </c>
      <c r="AH404" s="110" t="str">
        <f>IF(LEFT($B404,4)="_Mil","",_xlfn.IFNA(INDEX(Spectrum!$N:$N,MATCH(RIGHT($B404,13)&amp;"|"&amp;$C404&amp;"|"&amp;$D404&amp;"|"&amp;AH$14&amp;"|"&amp;"CY2024Q3",Spectrum!$R:$R,0)),""))</f>
        <v/>
      </c>
      <c r="AI404" s="218">
        <f>IF(LEFT($B404,4)="_Mil","",_xlfn.IFNA(ROUND(INDEX(Spectrum!$N:$N,MATCH(RIGHT($B404,13)&amp;"|"&amp;$C404&amp;"|"&amp;$D404&amp;"|"&amp;AI$14&amp;"|"&amp;"CY2025Q3",Spectrum!$R:$R,0)),0),""))</f>
        <v>90</v>
      </c>
      <c r="AJ404" s="38">
        <f>IF(LEFT($B404,4)="_Mil","",_xlfn.IFNA(ROUND(INDEX(Spectrum!$N:$N,MATCH(RIGHT($B404,13)&amp;"|"&amp;$C404&amp;"|"&amp;$D404&amp;"|"&amp;AJ$14&amp;"|"&amp;"CY2025Q3",Spectrum!$R:$R,0)),0),""))</f>
        <v>9849</v>
      </c>
      <c r="AK404" s="218" t="e">
        <f>#REF!</f>
        <v>#REF!</v>
      </c>
      <c r="AL404" s="33">
        <f t="shared" si="108"/>
        <v>0.93047459600000004</v>
      </c>
      <c r="AM404" s="38" t="e">
        <f>IF(OR(LEFT($B404,4)="_Mil",$C404="&lt;01"),"",ROUND(SUM($AK404)*SUM($AL404),0))</f>
        <v>#REF!</v>
      </c>
      <c r="AN404" s="38" t="str">
        <f>IF($C404="&lt;01",ROUND(INDEX(EID!$P:$P,MATCH($B404,EID!$B:$B,0))/2,0),"")</f>
        <v/>
      </c>
      <c r="AO404" s="38" t="e">
        <f>IF($C404="&lt;01",SUM($AN404),ROUND(SUM($AM404)*SUM($O404)/IF(SUM($Z404)=0,1,$Z404),0))</f>
        <v>#REF!</v>
      </c>
      <c r="AP404" s="218">
        <f>IF(OR($F404="",$C404="&lt;01"),$AO404,ROUND($F404,0))</f>
        <v>8400</v>
      </c>
      <c r="AQ404" s="218">
        <f>IF(LEFT($B404,4)="_Mil","",IF(SUM($AP404)=0,SUM($Z404),IF(OR(SUM($Z404)=0,SUM($O404)=0),MAX($AP404,$Z404),ROUND($AP404*$Z404/$O404,0))))</f>
        <v>8665</v>
      </c>
      <c r="AR404" s="33" t="e">
        <f>IF(OR(LEFT($B404,4)="_Mil",SUM($AK404)=0),"",SUM($AQ404)/$AK404)</f>
        <v>#REF!</v>
      </c>
      <c r="AS404" s="33">
        <f t="shared" si="113"/>
        <v>0.98</v>
      </c>
      <c r="AT404" s="33">
        <f t="shared" si="98"/>
        <v>0.98</v>
      </c>
      <c r="AU404" s="38">
        <f>IF($C404="&lt;01","",SUM($AP404)-SUM($O404))</f>
        <v>0</v>
      </c>
      <c r="AV404" s="38">
        <f>IF($C404="&lt;01",ROUND(INDEX(EID!$N:$N,MATCH($B404,EID!$B:$B,0))/2,0),IF(SUM($AT404)=0,"",ROUND((SUM($AP404)-(SUM($O404)*SUM($AS404)))/$AT404,0)))</f>
        <v>171</v>
      </c>
      <c r="AW404" s="33">
        <f t="shared" si="109"/>
        <v>1</v>
      </c>
      <c r="AX404" s="218">
        <f>IF($C404="&lt;01",SUM($AV404),ROUND(SUM($AV404)*SUM($AW404),0))</f>
        <v>171</v>
      </c>
      <c r="AY404" s="79">
        <f t="shared" si="110"/>
        <v>0.7</v>
      </c>
      <c r="AZ404" s="85">
        <f>IF($C404="&lt;01",ROUND(INDEX(EID!$R:$R,MATCH($B404,EID!$B:$B,0))/2,0),ROUND(SUM($O404)+(SUM($AV404)*$AY404),0))</f>
        <v>8520</v>
      </c>
      <c r="BA404" s="40">
        <f t="shared" si="97"/>
        <v>0.9</v>
      </c>
      <c r="BB404" s="99">
        <f>IF($C404="&lt;01",ROUND(INDEX(EID!$T:$T,MATCH($B404,EID!$B:$B,0))/2,0),ROUND($AP404*$BA404,0))</f>
        <v>7560</v>
      </c>
      <c r="BC404" s="85">
        <f>IF(LEFT($B404,4)="_Mil","",IF(SUM($BB404)=0,SUM($AD404),IF(OR(SUM($AP404)=0,SUM($AQ404)=0),MAX($BB404,$AD404),ROUND($BB404*$AQ404/$AP404,0))))</f>
        <v>7799</v>
      </c>
      <c r="BD404" s="33">
        <f t="shared" si="111"/>
        <v>0.95</v>
      </c>
      <c r="BE404" s="218">
        <f>IF($C404="&lt;01",ROUND(INDEX(EID!$V:$V,MATCH($B404,EID!$B:$B,0))/2,0),ROUND($BD404*$BB404,0))</f>
        <v>7182</v>
      </c>
      <c r="BF404" s="218">
        <f>IF(LEFT($B404,4)="_Mil","",IF(SUM($BE404)=0,SUM($AF404),IF(OR(SUM($AP404)=0,SUM($AQ404)=0),MAX($BE404,$AF404),ROUND($BE404*$AQ404/$AP404,0))))</f>
        <v>7409</v>
      </c>
      <c r="BG404" s="79">
        <f t="shared" si="112"/>
        <v>0.95</v>
      </c>
      <c r="BH404" s="99">
        <f>IF($C404="&lt;01",ROUND(INDEX(EID!$L:$L,MATCH($B404,EID!$B:$B,0)),0)/2,IF(SUM($BG404)=0,"",ROUND($AX404/$BG404,0)))</f>
        <v>180</v>
      </c>
    </row>
    <row r="405" spans="1:60" x14ac:dyDescent="0.2">
      <c r="A405" t="str">
        <f>INDEX(Prioritization!$D:$D,MATCH($B405,Prioritization!$A:$A,0))</f>
        <v>INVALID</v>
      </c>
      <c r="B405" t="s">
        <v>324</v>
      </c>
      <c r="C405" t="s">
        <v>478</v>
      </c>
      <c r="D405" t="s">
        <v>30</v>
      </c>
      <c r="E405" t="str">
        <f t="shared" si="102"/>
        <v>Thyolo District [ul0y9diGujK]|50+|Female</v>
      </c>
      <c r="F405" s="229">
        <v>10278</v>
      </c>
      <c r="G405" s="38">
        <v>116</v>
      </c>
      <c r="H405" s="38">
        <v>111</v>
      </c>
      <c r="I405" s="38">
        <v>9290</v>
      </c>
      <c r="J405" s="38">
        <v>7467</v>
      </c>
      <c r="K405" s="38">
        <v>7294</v>
      </c>
      <c r="L405" s="38">
        <v>948</v>
      </c>
      <c r="M405" s="38">
        <v>929</v>
      </c>
      <c r="N405" s="38">
        <v>9218</v>
      </c>
      <c r="O405" s="229">
        <v>9638</v>
      </c>
      <c r="P405" s="38">
        <v>7619</v>
      </c>
      <c r="Q405" s="38">
        <v>7238</v>
      </c>
      <c r="R405" s="38">
        <f t="shared" si="103"/>
        <v>348</v>
      </c>
      <c r="S405" s="38">
        <f>IF(LEFT($B405,4)="_Mil","",_xlfn.IFNA(ROUND(INDEX(Spectrum!$N:$N,MATCH(RIGHT($B405,13)&amp;"|"&amp;$C405&amp;"|"&amp;$D405&amp;"|"&amp;S$14&amp;"|"&amp;"CY2023Q4",Spectrum!$R:$R,0)),0),""))</f>
        <v>9029</v>
      </c>
      <c r="T405" s="218">
        <f>IF(LEFT($B405,4)="_Mil","",_xlfn.IFNA(ROUND(INDEX(Spectrum!$N:$N,MATCH(RIGHT($B405,13)&amp;"|"&amp;$C405&amp;"|"&amp;$D405&amp;"|"&amp;T$14&amp;"|"&amp;"CY2024Q3",Spectrum!$R:$R,0)),0),""))</f>
        <v>43595</v>
      </c>
      <c r="U405" s="218">
        <f>IF(LEFT($B405,4)="_Mil","",_xlfn.IFNA(ROUND(INDEX(Spectrum!$N:$N,MATCH(RIGHT($B405,13)&amp;"|"&amp;$C405&amp;"|"&amp;$D405&amp;"|"&amp;U$14&amp;"|"&amp;"CY2024Q3",Spectrum!$R:$R,0)),0),""))</f>
        <v>10801</v>
      </c>
      <c r="V405" s="38">
        <f>IF(LEFT($B405,4)="_Mil","",_xlfn.IFNA(ROUND(INDEX(Spectrum!$N:$N,MATCH(RIGHT($B405,13)&amp;"|"&amp;$C405&amp;"|"&amp;$D405&amp;"|"&amp;V$14&amp;"|"&amp;"CY2024Q3",Spectrum!$R:$R,0)),0),""))</f>
        <v>9638</v>
      </c>
      <c r="W405" s="220">
        <f>IF(LEFT($B405,4)="_Mil","",_xlfn.IFNA(INDEX(Spectrum!$N:$N,MATCH(RIGHT($B405,13)&amp;"|"&amp;$C405&amp;"|"&amp;$D405&amp;"|"&amp;W$14&amp;"|"&amp;"CY2024Q3",Spectrum!$R:$R,0)),""))</f>
        <v>0.247746414</v>
      </c>
      <c r="X405" s="218">
        <f>IF(LEFT($B405,4)="_Mil","",_xlfn.IFNA(ROUND(INDEX(Spectrum!$N:$N,MATCH(RIGHT($B405,13)&amp;"|"&amp;$C405&amp;"|"&amp;$D405&amp;"|"&amp;X$14&amp;"|"&amp;"CY2024Q3",Spectrum!$R:$R,0)),0),""))</f>
        <v>10709</v>
      </c>
      <c r="Y405" s="33">
        <f t="shared" si="104"/>
        <v>0.99</v>
      </c>
      <c r="Z405" s="218">
        <f>IF(LEFT($B405,4)="_Mil","",_xlfn.IFNA(ROUND(INDEX(Spectrum!$N:$N,MATCH(RIGHT($B405,13)&amp;"|"&amp;$C405&amp;"|"&amp;$D405&amp;"|"&amp;Z$14&amp;"|"&amp;"CY2024Q3",Spectrum!$R:$R,0)),0),""))</f>
        <v>9541</v>
      </c>
      <c r="AA405" s="33">
        <f>IF(LEFT($B405,4)="_Mil","",IFERROR(1/(1/INDEX(Spectrum!$N:$N,MATCH(RIGHT($B405,13)&amp;"|"&amp;$C405&amp;"|"&amp;$D405&amp;"|"&amp;AA$14&amp;"|"&amp;"CY2024Q3",Spectrum!$R:$R,0))),IF(SUM($U405)=0,"",SUM($Z405)/$U405)))</f>
        <v>0.98972613899999995</v>
      </c>
      <c r="AB405" s="33">
        <f t="shared" si="105"/>
        <v>0.89093286021103746</v>
      </c>
      <c r="AC405" s="38">
        <f>IF(LEFT($B405,4)="_Mil","",_xlfn.IFNA(ROUND(INDEX(Spectrum!$N:$N,MATCH(RIGHT($B405,13)&amp;"|"&amp;$C405&amp;"|"&amp;$D405&amp;"|"&amp;AC$14&amp;"|"&amp;"CY2024Q3",Spectrum!$R:$R,0)),0),""))</f>
        <v>97</v>
      </c>
      <c r="AD405" s="38" t="str">
        <f>IF(LEFT($B405,4)="_Mil","",_xlfn.IFNA(ROUND(INDEX(Spectrum!$N:$N,MATCH(RIGHT($B405,13)&amp;"|"&amp;$C405&amp;"|"&amp;$D405&amp;"|"&amp;AD$14&amp;"|"&amp;"CY2024Q3",Spectrum!$R:$R,0)),0),""))</f>
        <v/>
      </c>
      <c r="AE405" s="33">
        <f t="shared" si="106"/>
        <v>0</v>
      </c>
      <c r="AF405" s="218" t="str">
        <f>IF(LEFT($B405,4)="_Mil","",_xlfn.IFNA(ROUND(INDEX(Spectrum!$N:$N,MATCH(RIGHT($B405,13)&amp;"|"&amp;$C405&amp;"|"&amp;$D405&amp;"|"&amp;AF$14&amp;"|"&amp;"CY2024Q3",Spectrum!$R:$R,0)),0),""))</f>
        <v/>
      </c>
      <c r="AG405" s="33" t="str">
        <f t="shared" si="107"/>
        <v/>
      </c>
      <c r="AH405" s="110" t="str">
        <f>IF(LEFT($B405,4)="_Mil","",_xlfn.IFNA(INDEX(Spectrum!$N:$N,MATCH(RIGHT($B405,13)&amp;"|"&amp;$C405&amp;"|"&amp;$D405&amp;"|"&amp;AH$14&amp;"|"&amp;"CY2024Q3",Spectrum!$R:$R,0)),""))</f>
        <v/>
      </c>
      <c r="AI405" s="218">
        <f>IF(LEFT($B405,4)="_Mil","",_xlfn.IFNA(ROUND(INDEX(Spectrum!$N:$N,MATCH(RIGHT($B405,13)&amp;"|"&amp;$C405&amp;"|"&amp;$D405&amp;"|"&amp;AI$14&amp;"|"&amp;"CY2025Q3",Spectrum!$R:$R,0)),0),""))</f>
        <v>15</v>
      </c>
      <c r="AJ405" s="38">
        <f>IF(LEFT($B405,4)="_Mil","",_xlfn.IFNA(ROUND(INDEX(Spectrum!$N:$N,MATCH(RIGHT($B405,13)&amp;"|"&amp;$C405&amp;"|"&amp;$D405&amp;"|"&amp;AJ$14&amp;"|"&amp;"CY2025Q3",Spectrum!$R:$R,0)),0),""))</f>
        <v>11628</v>
      </c>
      <c r="AK405" s="218" t="e">
        <f>#REF!</f>
        <v>#REF!</v>
      </c>
      <c r="AL405" s="33">
        <f t="shared" si="108"/>
        <v>0.98972613899999995</v>
      </c>
      <c r="AM405" s="38" t="e">
        <f>IF(OR(LEFT($B405,4)="_Mil",$C405="&lt;01"),"",ROUND(SUM($AK405)*SUM($AL405),0))</f>
        <v>#REF!</v>
      </c>
      <c r="AN405" s="38" t="str">
        <f>IF($C405="&lt;01",ROUND(INDEX(EID!$P:$P,MATCH($B405,EID!$B:$B,0))/2,0),"")</f>
        <v/>
      </c>
      <c r="AO405" s="38" t="e">
        <f>IF($C405="&lt;01",SUM($AN405),ROUND(SUM($AM405)*SUM($O405)/IF(SUM($Z405)=0,1,$Z405),0))</f>
        <v>#REF!</v>
      </c>
      <c r="AP405" s="218">
        <f>IF(OR($F405="",$C405="&lt;01"),$AO405,ROUND($F405,0))</f>
        <v>10278</v>
      </c>
      <c r="AQ405" s="218">
        <f>IF(LEFT($B405,4)="_Mil","",IF(SUM($AP405)=0,SUM($Z405),IF(OR(SUM($Z405)=0,SUM($O405)=0),MAX($AP405,$Z405),ROUND($AP405*$Z405/$O405,0))))</f>
        <v>10175</v>
      </c>
      <c r="AR405" s="33" t="e">
        <f>IF(OR(LEFT($B405,4)="_Mil",SUM($AK405)=0),"",SUM($AQ405)/$AK405)</f>
        <v>#REF!</v>
      </c>
      <c r="AS405" s="33">
        <v>1.02</v>
      </c>
      <c r="AT405" s="33">
        <f>IF($C405="&lt;01","",100%)</f>
        <v>1</v>
      </c>
      <c r="AU405" s="38">
        <f>IF($C405="&lt;01","",SUM($AP405)-SUM($O405))</f>
        <v>640</v>
      </c>
      <c r="AV405" s="38">
        <f>IF($C405="&lt;01",ROUND(INDEX(EID!$N:$N,MATCH($B405,EID!$B:$B,0))/2,0),IF(SUM($AT405)=0,"",ROUND((SUM($AP405)-(SUM($O405)*SUM($AS405)))/$AT405,0)))</f>
        <v>447</v>
      </c>
      <c r="AW405" s="33">
        <v>0.8</v>
      </c>
      <c r="AX405" s="218">
        <f>IF($C405="&lt;01",SUM($AV405),ROUND(SUM($AV405)*SUM($AW405),0))</f>
        <v>358</v>
      </c>
      <c r="AY405" s="79">
        <f t="shared" si="110"/>
        <v>0.7</v>
      </c>
      <c r="AZ405" s="85">
        <f>IF($C405="&lt;01",ROUND(INDEX(EID!$R:$R,MATCH($B405,EID!$B:$B,0))/2,0),ROUND(SUM($O405)+(SUM($AV405)*$AY405),0))</f>
        <v>9951</v>
      </c>
      <c r="BA405" s="40">
        <f t="shared" si="97"/>
        <v>0.9</v>
      </c>
      <c r="BB405" s="99">
        <f>IF($C405="&lt;01",ROUND(INDEX(EID!$T:$T,MATCH($B405,EID!$B:$B,0))/2,0),ROUND($AP405*$BA405,0))</f>
        <v>9250</v>
      </c>
      <c r="BC405" s="85">
        <f>IF(LEFT($B405,4)="_Mil","",IF(SUM($BB405)=0,SUM($AD405),IF(OR(SUM($AP405)=0,SUM($AQ405)=0),MAX($BB405,$AD405),ROUND($BB405*$AQ405/$AP405,0))))</f>
        <v>9157</v>
      </c>
      <c r="BD405" s="33">
        <f t="shared" si="111"/>
        <v>0.95</v>
      </c>
      <c r="BE405" s="218">
        <f>IF($C405="&lt;01",ROUND(INDEX(EID!$V:$V,MATCH($B405,EID!$B:$B,0))/2,0),ROUND($BD405*$BB405,0))</f>
        <v>8788</v>
      </c>
      <c r="BF405" s="218">
        <f>IF(LEFT($B405,4)="_Mil","",IF(SUM($BE405)=0,SUM($AF405),IF(OR(SUM($AP405)=0,SUM($AQ405)=0),MAX($BE405,$AF405),ROUND($BE405*$AQ405/$AP405,0))))</f>
        <v>8700</v>
      </c>
      <c r="BG405" s="79">
        <f t="shared" si="112"/>
        <v>0.95</v>
      </c>
      <c r="BH405" s="99">
        <f>IF($C405="&lt;01",ROUND(INDEX(EID!$L:$L,MATCH($B405,EID!$B:$B,0)),0)/2,IF(SUM($BG405)=0,"",ROUND($AX405/$BG405,0)))</f>
        <v>377</v>
      </c>
    </row>
    <row r="406" spans="1:60" x14ac:dyDescent="0.2">
      <c r="A406" t="str">
        <f>INDEX(Prioritization!$D:$D,MATCH($B406,Prioritization!$A:$A,0))</f>
        <v>INVALID</v>
      </c>
      <c r="B406" t="s">
        <v>324</v>
      </c>
      <c r="C406" t="s">
        <v>478</v>
      </c>
      <c r="D406" t="s">
        <v>48</v>
      </c>
      <c r="E406" t="str">
        <f t="shared" si="102"/>
        <v>Thyolo District [ul0y9diGujK]|50+|Male</v>
      </c>
      <c r="F406" s="229">
        <v>7511</v>
      </c>
      <c r="G406" s="38">
        <v>129</v>
      </c>
      <c r="H406" s="38">
        <v>149</v>
      </c>
      <c r="I406" s="38">
        <v>7026</v>
      </c>
      <c r="J406" s="38">
        <v>5194</v>
      </c>
      <c r="K406" s="38">
        <v>5046</v>
      </c>
      <c r="L406" s="38">
        <v>602</v>
      </c>
      <c r="M406" s="38">
        <v>572</v>
      </c>
      <c r="N406" s="38">
        <v>6690</v>
      </c>
      <c r="O406" s="229">
        <v>7119</v>
      </c>
      <c r="P406" s="38">
        <v>5595</v>
      </c>
      <c r="Q406" s="38">
        <v>5315</v>
      </c>
      <c r="R406" s="38">
        <f t="shared" si="103"/>
        <v>93</v>
      </c>
      <c r="S406" s="38">
        <f>IF(LEFT($B406,4)="_Mil","",_xlfn.IFNA(ROUND(INDEX(Spectrum!$N:$N,MATCH(RIGHT($B406,13)&amp;"|"&amp;$C406&amp;"|"&amp;$D406&amp;"|"&amp;S$14&amp;"|"&amp;"CY2023Q4",Spectrum!$R:$R,0)),0),""))</f>
        <v>6407</v>
      </c>
      <c r="T406" s="218">
        <f>IF(LEFT($B406,4)="_Mil","",_xlfn.IFNA(ROUND(INDEX(Spectrum!$N:$N,MATCH(RIGHT($B406,13)&amp;"|"&amp;$C406&amp;"|"&amp;$D406&amp;"|"&amp;T$14&amp;"|"&amp;"CY2024Q3",Spectrum!$R:$R,0)),0),""))</f>
        <v>30884</v>
      </c>
      <c r="U406" s="218">
        <f>IF(LEFT($B406,4)="_Mil","",_xlfn.IFNA(ROUND(INDEX(Spectrum!$N:$N,MATCH(RIGHT($B406,13)&amp;"|"&amp;$C406&amp;"|"&amp;$D406&amp;"|"&amp;U$14&amp;"|"&amp;"CY2024Q3",Spectrum!$R:$R,0)),0),""))</f>
        <v>7943</v>
      </c>
      <c r="V406" s="38">
        <f>IF(LEFT($B406,4)="_Mil","",_xlfn.IFNA(ROUND(INDEX(Spectrum!$N:$N,MATCH(RIGHT($B406,13)&amp;"|"&amp;$C406&amp;"|"&amp;$D406&amp;"|"&amp;V$14&amp;"|"&amp;"CY2024Q3",Spectrum!$R:$R,0)),0),""))</f>
        <v>7119</v>
      </c>
      <c r="W406" s="220">
        <f>IF(LEFT($B406,4)="_Mil","",_xlfn.IFNA(INDEX(Spectrum!$N:$N,MATCH(RIGHT($B406,13)&amp;"|"&amp;$C406&amp;"|"&amp;$D406&amp;"|"&amp;W$14&amp;"|"&amp;"CY2024Q3",Spectrum!$R:$R,0)),""))</f>
        <v>0.25717641000000002</v>
      </c>
      <c r="X406" s="218">
        <f>IF(LEFT($B406,4)="_Mil","",_xlfn.IFNA(ROUND(INDEX(Spectrum!$N:$N,MATCH(RIGHT($B406,13)&amp;"|"&amp;$C406&amp;"|"&amp;$D406&amp;"|"&amp;X$14&amp;"|"&amp;"CY2024Q3",Spectrum!$R:$R,0)),0),""))</f>
        <v>7588</v>
      </c>
      <c r="Y406" s="33">
        <f t="shared" si="104"/>
        <v>0.96</v>
      </c>
      <c r="Z406" s="218">
        <f>IF(LEFT($B406,4)="_Mil","",_xlfn.IFNA(ROUND(INDEX(Spectrum!$N:$N,MATCH(RIGHT($B406,13)&amp;"|"&amp;$C406&amp;"|"&amp;$D406&amp;"|"&amp;Z$14&amp;"|"&amp;"CY2024Q3",Spectrum!$R:$R,0)),0),""))</f>
        <v>6769</v>
      </c>
      <c r="AA406" s="33">
        <f>IF(LEFT($B406,4)="_Mil","",IFERROR(1/(1/INDEX(Spectrum!$N:$N,MATCH(RIGHT($B406,13)&amp;"|"&amp;$C406&amp;"|"&amp;$D406&amp;"|"&amp;AA$14&amp;"|"&amp;"CY2024Q3",Spectrum!$R:$R,0))),IF(SUM($U406)=0,"",SUM($Z406)/$U406)))</f>
        <v>0.95247974299999993</v>
      </c>
      <c r="AB406" s="33">
        <f t="shared" si="105"/>
        <v>0.89206642066420661</v>
      </c>
      <c r="AC406" s="38">
        <f>IF(LEFT($B406,4)="_Mil","",_xlfn.IFNA(ROUND(INDEX(Spectrum!$N:$N,MATCH(RIGHT($B406,13)&amp;"|"&amp;$C406&amp;"|"&amp;$D406&amp;"|"&amp;AC$14&amp;"|"&amp;"CY2024Q3",Spectrum!$R:$R,0)),0),""))</f>
        <v>350</v>
      </c>
      <c r="AD406" s="38" t="str">
        <f>IF(LEFT($B406,4)="_Mil","",_xlfn.IFNA(ROUND(INDEX(Spectrum!$N:$N,MATCH(RIGHT($B406,13)&amp;"|"&amp;$C406&amp;"|"&amp;$D406&amp;"|"&amp;AD$14&amp;"|"&amp;"CY2024Q3",Spectrum!$R:$R,0)),0),""))</f>
        <v/>
      </c>
      <c r="AE406" s="33">
        <f t="shared" si="106"/>
        <v>0</v>
      </c>
      <c r="AF406" s="218" t="str">
        <f>IF(LEFT($B406,4)="_Mil","",_xlfn.IFNA(ROUND(INDEX(Spectrum!$N:$N,MATCH(RIGHT($B406,13)&amp;"|"&amp;$C406&amp;"|"&amp;$D406&amp;"|"&amp;AF$14&amp;"|"&amp;"CY2024Q3",Spectrum!$R:$R,0)),0),""))</f>
        <v/>
      </c>
      <c r="AG406" s="33" t="str">
        <f t="shared" si="107"/>
        <v/>
      </c>
      <c r="AH406" s="110" t="str">
        <f>IF(LEFT($B406,4)="_Mil","",_xlfn.IFNA(INDEX(Spectrum!$N:$N,MATCH(RIGHT($B406,13)&amp;"|"&amp;$C406&amp;"|"&amp;$D406&amp;"|"&amp;AH$14&amp;"|"&amp;"CY2024Q3",Spectrum!$R:$R,0)),""))</f>
        <v/>
      </c>
      <c r="AI406" s="218">
        <f>IF(LEFT($B406,4)="_Mil","",_xlfn.IFNA(ROUND(INDEX(Spectrum!$N:$N,MATCH(RIGHT($B406,13)&amp;"|"&amp;$C406&amp;"|"&amp;$D406&amp;"|"&amp;AI$14&amp;"|"&amp;"CY2025Q3",Spectrum!$R:$R,0)),0),""))</f>
        <v>26</v>
      </c>
      <c r="AJ406" s="38">
        <f>IF(LEFT($B406,4)="_Mil","",_xlfn.IFNA(ROUND(INDEX(Spectrum!$N:$N,MATCH(RIGHT($B406,13)&amp;"|"&amp;$C406&amp;"|"&amp;$D406&amp;"|"&amp;AJ$14&amp;"|"&amp;"CY2025Q3",Spectrum!$R:$R,0)),0),""))</f>
        <v>8375</v>
      </c>
      <c r="AK406" s="218" t="e">
        <f>#REF!</f>
        <v>#REF!</v>
      </c>
      <c r="AL406" s="33">
        <f t="shared" si="108"/>
        <v>0.95247974299999993</v>
      </c>
      <c r="AM406" s="38" t="e">
        <f>IF(OR(LEFT($B406,4)="_Mil",$C406="&lt;01"),"",ROUND(SUM($AK406)*SUM($AL406),0))</f>
        <v>#REF!</v>
      </c>
      <c r="AN406" s="38" t="str">
        <f>IF($C406="&lt;01",ROUND(INDEX(EID!$P:$P,MATCH($B406,EID!$B:$B,0))/2,0),"")</f>
        <v/>
      </c>
      <c r="AO406" s="38" t="e">
        <f>IF($C406="&lt;01",SUM($AN406),ROUND(SUM($AM406)*SUM($O406)/IF(SUM($Z406)=0,1,$Z406),0))</f>
        <v>#REF!</v>
      </c>
      <c r="AP406" s="218">
        <f>IF(OR($F406="",$C406="&lt;01"),$AO406,ROUND($F406,0))</f>
        <v>7511</v>
      </c>
      <c r="AQ406" s="218">
        <f>IF(LEFT($B406,4)="_Mil","",IF(SUM($AP406)=0,SUM($Z406),IF(OR(SUM($Z406)=0,SUM($O406)=0),MAX($AP406,$Z406),ROUND($AP406*$Z406/$O406,0))))</f>
        <v>7142</v>
      </c>
      <c r="AR406" s="33" t="e">
        <f>IF(OR(LEFT($B406,4)="_Mil",SUM($AK406)=0),"",SUM($AQ406)/$AK406)</f>
        <v>#REF!</v>
      </c>
      <c r="AS406" s="33">
        <v>1.02</v>
      </c>
      <c r="AT406" s="33">
        <f>IF($C406="&lt;01","",100%)</f>
        <v>1</v>
      </c>
      <c r="AU406" s="38">
        <f>IF($C406="&lt;01","",SUM($AP406)-SUM($O406))</f>
        <v>392</v>
      </c>
      <c r="AV406" s="38">
        <f>IF($C406="&lt;01",ROUND(INDEX(EID!$N:$N,MATCH($B406,EID!$B:$B,0))/2,0),IF(SUM($AT406)=0,"",ROUND((SUM($AP406)-(SUM($O406)*SUM($AS406)))/$AT406,0)))</f>
        <v>250</v>
      </c>
      <c r="AW406" s="33">
        <v>0.8</v>
      </c>
      <c r="AX406" s="218">
        <f>IF($C406="&lt;01",SUM($AV406),ROUND(SUM($AV406)*SUM($AW406),0))</f>
        <v>200</v>
      </c>
      <c r="AY406" s="79">
        <f t="shared" si="110"/>
        <v>0.7</v>
      </c>
      <c r="AZ406" s="85">
        <f>IF($C406="&lt;01",ROUND(INDEX(EID!$R:$R,MATCH($B406,EID!$B:$B,0))/2,0),ROUND(SUM($O406)+(SUM($AV406)*$AY406),0))</f>
        <v>7294</v>
      </c>
      <c r="BA406" s="40">
        <f t="shared" si="97"/>
        <v>0.9</v>
      </c>
      <c r="BB406" s="99">
        <f>IF($C406="&lt;01",ROUND(INDEX(EID!$T:$T,MATCH($B406,EID!$B:$B,0))/2,0),ROUND($AP406*$BA406,0))</f>
        <v>6760</v>
      </c>
      <c r="BC406" s="85">
        <f>IF(LEFT($B406,4)="_Mil","",IF(SUM($BB406)=0,SUM($AD406),IF(OR(SUM($AP406)=0,SUM($AQ406)=0),MAX($BB406,$AD406),ROUND($BB406*$AQ406/$AP406,0))))</f>
        <v>6428</v>
      </c>
      <c r="BD406" s="33">
        <f t="shared" si="111"/>
        <v>0.95</v>
      </c>
      <c r="BE406" s="218">
        <f>IF($C406="&lt;01",ROUND(INDEX(EID!$V:$V,MATCH($B406,EID!$B:$B,0))/2,0),ROUND($BD406*$BB406,0))</f>
        <v>6422</v>
      </c>
      <c r="BF406" s="218">
        <f>IF(LEFT($B406,4)="_Mil","",IF(SUM($BE406)=0,SUM($AF406),IF(OR(SUM($AP406)=0,SUM($AQ406)=0),MAX($BE406,$AF406),ROUND($BE406*$AQ406/$AP406,0))))</f>
        <v>6107</v>
      </c>
      <c r="BG406" s="79">
        <f t="shared" si="112"/>
        <v>0.95</v>
      </c>
      <c r="BH406" s="99">
        <f>IF($C406="&lt;01",ROUND(INDEX(EID!$L:$L,MATCH($B406,EID!$B:$B,0)),0)/2,IF(SUM($BG406)=0,"",ROUND($AX406/$BG406,0)))</f>
        <v>211</v>
      </c>
    </row>
    <row r="407" spans="1:60" x14ac:dyDescent="0.2">
      <c r="A407" t="str">
        <f>INDEX(Prioritization!$D:$D,MATCH($B407,Prioritization!$A:$A,0))</f>
        <v>1 - Scale-up: Saturation</v>
      </c>
      <c r="B407" t="s">
        <v>325</v>
      </c>
      <c r="C407" t="s">
        <v>426</v>
      </c>
      <c r="D407" t="s">
        <v>30</v>
      </c>
      <c r="E407" t="str">
        <f t="shared" si="102"/>
        <v>Zomba District [fyEoGEPERdI]|&lt;01|Female</v>
      </c>
      <c r="F407" s="229">
        <v>33</v>
      </c>
      <c r="G407" s="38">
        <v>22</v>
      </c>
      <c r="H407" s="38">
        <v>29</v>
      </c>
      <c r="I407" s="38">
        <v>15</v>
      </c>
      <c r="J407" s="38">
        <v>60</v>
      </c>
      <c r="K407" s="38">
        <v>56</v>
      </c>
      <c r="L407" s="38"/>
      <c r="M407" s="38">
        <v>34</v>
      </c>
      <c r="N407" s="38">
        <v>34</v>
      </c>
      <c r="O407" s="229">
        <v>29</v>
      </c>
      <c r="P407" s="38">
        <v>21</v>
      </c>
      <c r="Q407" s="38">
        <v>20</v>
      </c>
      <c r="R407" s="38">
        <f t="shared" si="103"/>
        <v>14</v>
      </c>
      <c r="S407" s="38">
        <f>IF(LEFT($B407,4)="_Mil","",_xlfn.IFNA(ROUND(INDEX(Spectrum!$N:$N,MATCH(RIGHT($B407,13)&amp;"|"&amp;$C407&amp;"|"&amp;$D407&amp;"|"&amp;S$14&amp;"|"&amp;"CY2023Q4",Spectrum!$R:$R,0)),0),""))</f>
        <v>31</v>
      </c>
      <c r="T407" s="218">
        <f>IF(LEFT($B407,4)="_Mil","",_xlfn.IFNA(ROUND(INDEX(Spectrum!$N:$N,MATCH(RIGHT($B407,13)&amp;"|"&amp;$C407&amp;"|"&amp;$D407&amp;"|"&amp;T$14&amp;"|"&amp;"CY2024Q3",Spectrum!$R:$R,0)),0),""))</f>
        <v>16034</v>
      </c>
      <c r="U407" s="218">
        <f>IF(LEFT($B407,4)="_Mil","",_xlfn.IFNA(ROUND(INDEX(Spectrum!$N:$N,MATCH(RIGHT($B407,13)&amp;"|"&amp;$C407&amp;"|"&amp;$D407&amp;"|"&amp;U$14&amp;"|"&amp;"CY2024Q3",Spectrum!$R:$R,0)),0),""))</f>
        <v>39</v>
      </c>
      <c r="V407" s="38">
        <f>IF(LEFT($B407,4)="_Mil","",_xlfn.IFNA(ROUND(INDEX(Spectrum!$N:$N,MATCH(RIGHT($B407,13)&amp;"|"&amp;$C407&amp;"|"&amp;$D407&amp;"|"&amp;V$14&amp;"|"&amp;"CY2024Q3",Spectrum!$R:$R,0)),0),""))</f>
        <v>39</v>
      </c>
      <c r="W407" s="220">
        <f>IF(LEFT($B407,4)="_Mil","",_xlfn.IFNA(INDEX(Spectrum!$N:$N,MATCH(RIGHT($B407,13)&amp;"|"&amp;$C407&amp;"|"&amp;$D407&amp;"|"&amp;W$14&amp;"|"&amp;"CY2024Q3",Spectrum!$R:$R,0)),""))</f>
        <v>2.4329149999999999E-3</v>
      </c>
      <c r="X407" s="218">
        <f>IF(LEFT($B407,4)="_Mil","",_xlfn.IFNA(ROUND(INDEX(Spectrum!$N:$N,MATCH(RIGHT($B407,13)&amp;"|"&amp;$C407&amp;"|"&amp;$D407&amp;"|"&amp;X$14&amp;"|"&amp;"CY2024Q3",Spectrum!$R:$R,0)),0),""))</f>
        <v>28</v>
      </c>
      <c r="Y407" s="33">
        <f t="shared" si="104"/>
        <v>0.72</v>
      </c>
      <c r="Z407" s="218">
        <f>IF(LEFT($B407,4)="_Mil","",_xlfn.IFNA(ROUND(INDEX(Spectrum!$N:$N,MATCH(RIGHT($B407,13)&amp;"|"&amp;$C407&amp;"|"&amp;$D407&amp;"|"&amp;Z$14&amp;"|"&amp;"CY2024Q3",Spectrum!$R:$R,0)),0),""))</f>
        <v>26</v>
      </c>
      <c r="AA407" s="33">
        <f>IF(LEFT($B407,4)="_Mil","",IFERROR(1/(1/INDEX(Spectrum!$N:$N,MATCH(RIGHT($B407,13)&amp;"|"&amp;$C407&amp;"|"&amp;$D407&amp;"|"&amp;AA$14&amp;"|"&amp;"CY2024Q3",Spectrum!$R:$R,0))),IF(SUM($U407)=0,"",SUM($Z407)/$U407)))</f>
        <v>0.67260841599999999</v>
      </c>
      <c r="AB407" s="33">
        <f t="shared" si="105"/>
        <v>0.9285714285714286</v>
      </c>
      <c r="AC407" s="38">
        <f>IF(LEFT($B407,4)="_Mil","",_xlfn.IFNA(ROUND(INDEX(Spectrum!$N:$N,MATCH(RIGHT($B407,13)&amp;"|"&amp;$C407&amp;"|"&amp;$D407&amp;"|"&amp;AC$14&amp;"|"&amp;"CY2024Q3",Spectrum!$R:$R,0)),0),""))</f>
        <v>12</v>
      </c>
      <c r="AD407" s="38" t="str">
        <f>IF(LEFT($B407,4)="_Mil","",_xlfn.IFNA(ROUND(INDEX(Spectrum!$N:$N,MATCH(RIGHT($B407,13)&amp;"|"&amp;$C407&amp;"|"&amp;$D407&amp;"|"&amp;AD$14&amp;"|"&amp;"CY2024Q3",Spectrum!$R:$R,0)),0),""))</f>
        <v/>
      </c>
      <c r="AE407" s="33">
        <f t="shared" si="106"/>
        <v>0</v>
      </c>
      <c r="AF407" s="218" t="str">
        <f>IF(LEFT($B407,4)="_Mil","",_xlfn.IFNA(ROUND(INDEX(Spectrum!$N:$N,MATCH(RIGHT($B407,13)&amp;"|"&amp;$C407&amp;"|"&amp;$D407&amp;"|"&amp;AF$14&amp;"|"&amp;"CY2024Q3",Spectrum!$R:$R,0)),0),""))</f>
        <v/>
      </c>
      <c r="AG407" s="33" t="str">
        <f t="shared" si="107"/>
        <v/>
      </c>
      <c r="AH407" s="110" t="str">
        <f>IF(LEFT($B407,4)="_Mil","",_xlfn.IFNA(INDEX(Spectrum!$N:$N,MATCH(RIGHT($B407,13)&amp;"|"&amp;$C407&amp;"|"&amp;$D407&amp;"|"&amp;AH$14&amp;"|"&amp;"CY2024Q3",Spectrum!$R:$R,0)),""))</f>
        <v/>
      </c>
      <c r="AI407" s="218">
        <f>IF(LEFT($B407,4)="_Mil","",_xlfn.IFNA(ROUND(INDEX(Spectrum!$N:$N,MATCH(RIGHT($B407,13)&amp;"|"&amp;$C407&amp;"|"&amp;$D407&amp;"|"&amp;AI$14&amp;"|"&amp;"CY2025Q3",Spectrum!$R:$R,0)),0),""))</f>
        <v>46</v>
      </c>
      <c r="AJ407" s="38">
        <f>IF(LEFT($B407,4)="_Mil","",_xlfn.IFNA(ROUND(INDEX(Spectrum!$N:$N,MATCH(RIGHT($B407,13)&amp;"|"&amp;$C407&amp;"|"&amp;$D407&amp;"|"&amp;AJ$14&amp;"|"&amp;"CY2025Q3",Spectrum!$R:$R,0)),0),""))</f>
        <v>35</v>
      </c>
      <c r="AK407" s="218" t="e">
        <f>#REF!</f>
        <v>#REF!</v>
      </c>
      <c r="AL407" s="33" t="str">
        <f t="shared" si="108"/>
        <v/>
      </c>
      <c r="AM407" s="38" t="str">
        <f>IF(OR(LEFT($B407,4)="_Mil",$C407="&lt;01"),"",ROUND(SUM($AK407)*SUM($AL407),0))</f>
        <v/>
      </c>
      <c r="AN407" s="38">
        <f>IF($C407="&lt;01",ROUND(INDEX(EID!$P:$P,MATCH($B407,EID!$B:$B,0))/2,0),"")</f>
        <v>9</v>
      </c>
      <c r="AO407" s="38">
        <f>IF($C407="&lt;01",SUM($AN407),ROUND(SUM($AM407)*SUM($O407)/IF(SUM($Z407)=0,1,$Z407),0))</f>
        <v>9</v>
      </c>
      <c r="AP407" s="218">
        <f>IF(OR($F407="",$C407="&lt;01"),$AO407,ROUND($F407,0))</f>
        <v>9</v>
      </c>
      <c r="AQ407" s="218">
        <f>IF(LEFT($B407,4)="_Mil","",IF(SUM($AP407)=0,SUM($Z407),IF(OR(SUM($Z407)=0,SUM($O407)=0),MAX($AP407,$Z407),ROUND($AP407*$Z407/$O407,0))))</f>
        <v>8</v>
      </c>
      <c r="AR407" s="33" t="e">
        <f>IF(OR(LEFT($B407,4)="_Mil",SUM($AK407)=0),"",SUM($AQ407)/$AK407)</f>
        <v>#REF!</v>
      </c>
      <c r="AS407" s="33" t="str">
        <f t="shared" si="113"/>
        <v/>
      </c>
      <c r="AT407" s="33" t="str">
        <f t="shared" si="98"/>
        <v/>
      </c>
      <c r="AU407" s="38" t="str">
        <f>IF($C407="&lt;01","",SUM($AP407)-SUM($O407))</f>
        <v/>
      </c>
      <c r="AV407" s="38">
        <f>IF($C407="&lt;01",ROUND(INDEX(EID!$N:$N,MATCH($B407,EID!$B:$B,0))/2,0),IF(SUM($AT407)=0,"",ROUND((SUM($AP407)-(SUM($O407)*SUM($AS407)))/$AT407,0)))</f>
        <v>9</v>
      </c>
      <c r="AW407" s="33" t="str">
        <f t="shared" si="109"/>
        <v/>
      </c>
      <c r="AX407" s="218">
        <f>IF($C407="&lt;01",SUM($AV407),ROUND(SUM($AV407)*SUM($AW407),0))</f>
        <v>9</v>
      </c>
      <c r="AY407" s="79" t="str">
        <f t="shared" si="110"/>
        <v/>
      </c>
      <c r="AZ407" s="85">
        <f>IF($C407="&lt;01",ROUND(INDEX(EID!$R:$R,MATCH($B407,EID!$B:$B,0))/2,0),ROUND(SUM($O407)+(SUM($AV407)*$AY407),0))</f>
        <v>7</v>
      </c>
      <c r="BA407" s="40" t="str">
        <f t="shared" si="97"/>
        <v/>
      </c>
      <c r="BB407" s="99">
        <f>IF($C407="&lt;01",ROUND(INDEX(EID!$T:$T,MATCH($B407,EID!$B:$B,0))/2,0),ROUND($AP407*$BA407,0))</f>
        <v>6</v>
      </c>
      <c r="BC407" s="85">
        <f>IF(LEFT($B407,4)="_Mil","",IF(SUM($BB407)=0,SUM($AD407),IF(OR(SUM($AP407)=0,SUM($AQ407)=0),MAX($BB407,$AD407),ROUND($BB407*$AQ407/$AP407,0))))</f>
        <v>5</v>
      </c>
      <c r="BD407" s="33" t="str">
        <f t="shared" si="111"/>
        <v/>
      </c>
      <c r="BE407" s="218">
        <f>IF($C407="&lt;01",ROUND(INDEX(EID!$V:$V,MATCH($B407,EID!$B:$B,0))/2,0),ROUND($BD407*$BB407,0))</f>
        <v>6</v>
      </c>
      <c r="BF407" s="218">
        <f>IF(LEFT($B407,4)="_Mil","",IF(SUM($BE407)=0,SUM($AF407),IF(OR(SUM($AP407)=0,SUM($AQ407)=0),MAX($BE407,$AF407),ROUND($BE407*$AQ407/$AP407,0))))</f>
        <v>5</v>
      </c>
      <c r="BG407" s="79" t="str">
        <f t="shared" si="112"/>
        <v/>
      </c>
      <c r="BH407" s="99">
        <f>IF($C407="&lt;01",ROUND(INDEX(EID!$L:$L,MATCH($B407,EID!$B:$B,0)),0)/2,IF(SUM($BG407)=0,"",ROUND($AX407/$BG407,0)))</f>
        <v>9.5</v>
      </c>
    </row>
    <row r="408" spans="1:60" x14ac:dyDescent="0.2">
      <c r="A408" t="str">
        <f>INDEX(Prioritization!$D:$D,MATCH($B408,Prioritization!$A:$A,0))</f>
        <v>1 - Scale-up: Saturation</v>
      </c>
      <c r="B408" t="s">
        <v>325</v>
      </c>
      <c r="C408" t="s">
        <v>426</v>
      </c>
      <c r="D408" t="s">
        <v>48</v>
      </c>
      <c r="E408" t="str">
        <f t="shared" si="102"/>
        <v>Zomba District [fyEoGEPERdI]|&lt;01|Male</v>
      </c>
      <c r="F408" s="229">
        <v>33</v>
      </c>
      <c r="G408" s="38">
        <v>20</v>
      </c>
      <c r="H408" s="38">
        <v>15</v>
      </c>
      <c r="I408" s="38">
        <v>6</v>
      </c>
      <c r="J408" s="38">
        <v>20</v>
      </c>
      <c r="K408" s="38">
        <v>19</v>
      </c>
      <c r="L408" s="38"/>
      <c r="M408" s="38">
        <v>34</v>
      </c>
      <c r="N408" s="38">
        <v>34</v>
      </c>
      <c r="O408" s="229">
        <v>29</v>
      </c>
      <c r="P408" s="38">
        <v>21</v>
      </c>
      <c r="Q408" s="38">
        <v>20</v>
      </c>
      <c r="R408" s="38">
        <f t="shared" si="103"/>
        <v>23</v>
      </c>
      <c r="S408" s="38">
        <f>IF(LEFT($B408,4)="_Mil","",_xlfn.IFNA(ROUND(INDEX(Spectrum!$N:$N,MATCH(RIGHT($B408,13)&amp;"|"&amp;$C408&amp;"|"&amp;$D408&amp;"|"&amp;S$14&amp;"|"&amp;"CY2023Q4",Spectrum!$R:$R,0)),0),""))</f>
        <v>31</v>
      </c>
      <c r="T408" s="218">
        <f>IF(LEFT($B408,4)="_Mil","",_xlfn.IFNA(ROUND(INDEX(Spectrum!$N:$N,MATCH(RIGHT($B408,13)&amp;"|"&amp;$C408&amp;"|"&amp;$D408&amp;"|"&amp;T$14&amp;"|"&amp;"CY2024Q3",Spectrum!$R:$R,0)),0),""))</f>
        <v>16300</v>
      </c>
      <c r="U408" s="218">
        <f>IF(LEFT($B408,4)="_Mil","",_xlfn.IFNA(ROUND(INDEX(Spectrum!$N:$N,MATCH(RIGHT($B408,13)&amp;"|"&amp;$C408&amp;"|"&amp;$D408&amp;"|"&amp;U$14&amp;"|"&amp;"CY2024Q3",Spectrum!$R:$R,0)),0),""))</f>
        <v>40</v>
      </c>
      <c r="V408" s="38">
        <f>IF(LEFT($B408,4)="_Mil","",_xlfn.IFNA(ROUND(INDEX(Spectrum!$N:$N,MATCH(RIGHT($B408,13)&amp;"|"&amp;$C408&amp;"|"&amp;$D408&amp;"|"&amp;V$14&amp;"|"&amp;"CY2024Q3",Spectrum!$R:$R,0)),0),""))</f>
        <v>39</v>
      </c>
      <c r="W408" s="220">
        <f>IF(LEFT($B408,4)="_Mil","",_xlfn.IFNA(INDEX(Spectrum!$N:$N,MATCH(RIGHT($B408,13)&amp;"|"&amp;$C408&amp;"|"&amp;$D408&amp;"|"&amp;W$14&amp;"|"&amp;"CY2024Q3",Spectrum!$R:$R,0)),""))</f>
        <v>2.431332E-3</v>
      </c>
      <c r="X408" s="218">
        <f>IF(LEFT($B408,4)="_Mil","",_xlfn.IFNA(ROUND(INDEX(Spectrum!$N:$N,MATCH(RIGHT($B408,13)&amp;"|"&amp;$C408&amp;"|"&amp;$D408&amp;"|"&amp;X$14&amp;"|"&amp;"CY2024Q3",Spectrum!$R:$R,0)),0),""))</f>
        <v>28</v>
      </c>
      <c r="Y408" s="33">
        <f t="shared" si="104"/>
        <v>0.7</v>
      </c>
      <c r="Z408" s="218">
        <f>IF(LEFT($B408,4)="_Mil","",_xlfn.IFNA(ROUND(INDEX(Spectrum!$N:$N,MATCH(RIGHT($B408,13)&amp;"|"&amp;$C408&amp;"|"&amp;$D408&amp;"|"&amp;Z$14&amp;"|"&amp;"CY2024Q3",Spectrum!$R:$R,0)),0),""))</f>
        <v>27</v>
      </c>
      <c r="AA408" s="33">
        <f>IF(LEFT($B408,4)="_Mil","",IFERROR(1/(1/INDEX(Spectrum!$N:$N,MATCH(RIGHT($B408,13)&amp;"|"&amp;$C408&amp;"|"&amp;$D408&amp;"|"&amp;AA$14&amp;"|"&amp;"CY2024Q3",Spectrum!$R:$R,0))),IF(SUM($U408)=0,"",SUM($Z408)/$U408)))</f>
        <v>0.67298957800000003</v>
      </c>
      <c r="AB408" s="33">
        <f t="shared" si="105"/>
        <v>0.9642857142857143</v>
      </c>
      <c r="AC408" s="38">
        <f>IF(LEFT($B408,4)="_Mil","",_xlfn.IFNA(ROUND(INDEX(Spectrum!$N:$N,MATCH(RIGHT($B408,13)&amp;"|"&amp;$C408&amp;"|"&amp;$D408&amp;"|"&amp;AC$14&amp;"|"&amp;"CY2024Q3",Spectrum!$R:$R,0)),0),""))</f>
        <v>13</v>
      </c>
      <c r="AD408" s="38" t="str">
        <f>IF(LEFT($B408,4)="_Mil","",_xlfn.IFNA(ROUND(INDEX(Spectrum!$N:$N,MATCH(RIGHT($B408,13)&amp;"|"&amp;$C408&amp;"|"&amp;$D408&amp;"|"&amp;AD$14&amp;"|"&amp;"CY2024Q3",Spectrum!$R:$R,0)),0),""))</f>
        <v/>
      </c>
      <c r="AE408" s="33">
        <f t="shared" si="106"/>
        <v>0</v>
      </c>
      <c r="AF408" s="218" t="str">
        <f>IF(LEFT($B408,4)="_Mil","",_xlfn.IFNA(ROUND(INDEX(Spectrum!$N:$N,MATCH(RIGHT($B408,13)&amp;"|"&amp;$C408&amp;"|"&amp;$D408&amp;"|"&amp;AF$14&amp;"|"&amp;"CY2024Q3",Spectrum!$R:$R,0)),0),""))</f>
        <v/>
      </c>
      <c r="AG408" s="33" t="str">
        <f t="shared" si="107"/>
        <v/>
      </c>
      <c r="AH408" s="110" t="str">
        <f>IF(LEFT($B408,4)="_Mil","",_xlfn.IFNA(INDEX(Spectrum!$N:$N,MATCH(RIGHT($B408,13)&amp;"|"&amp;$C408&amp;"|"&amp;$D408&amp;"|"&amp;AH$14&amp;"|"&amp;"CY2024Q3",Spectrum!$R:$R,0)),""))</f>
        <v/>
      </c>
      <c r="AI408" s="218">
        <f>IF(LEFT($B408,4)="_Mil","",_xlfn.IFNA(ROUND(INDEX(Spectrum!$N:$N,MATCH(RIGHT($B408,13)&amp;"|"&amp;$C408&amp;"|"&amp;$D408&amp;"|"&amp;AI$14&amp;"|"&amp;"CY2025Q3",Spectrum!$R:$R,0)),0),""))</f>
        <v>46</v>
      </c>
      <c r="AJ408" s="38">
        <f>IF(LEFT($B408,4)="_Mil","",_xlfn.IFNA(ROUND(INDEX(Spectrum!$N:$N,MATCH(RIGHT($B408,13)&amp;"|"&amp;$C408&amp;"|"&amp;$D408&amp;"|"&amp;AJ$14&amp;"|"&amp;"CY2025Q3",Spectrum!$R:$R,0)),0),""))</f>
        <v>36</v>
      </c>
      <c r="AK408" s="218" t="e">
        <f>#REF!</f>
        <v>#REF!</v>
      </c>
      <c r="AL408" s="33" t="str">
        <f t="shared" si="108"/>
        <v/>
      </c>
      <c r="AM408" s="38" t="str">
        <f>IF(OR(LEFT($B408,4)="_Mil",$C408="&lt;01"),"",ROUND(SUM($AK408)*SUM($AL408),0))</f>
        <v/>
      </c>
      <c r="AN408" s="38">
        <f>IF($C408="&lt;01",ROUND(INDEX(EID!$P:$P,MATCH($B408,EID!$B:$B,0))/2,0),"")</f>
        <v>9</v>
      </c>
      <c r="AO408" s="38">
        <f>IF($C408="&lt;01",SUM($AN408),ROUND(SUM($AM408)*SUM($O408)/IF(SUM($Z408)=0,1,$Z408),0))</f>
        <v>9</v>
      </c>
      <c r="AP408" s="218">
        <f>IF(OR($F408="",$C408="&lt;01"),$AO408,ROUND($F408,0))</f>
        <v>9</v>
      </c>
      <c r="AQ408" s="218">
        <f>IF(LEFT($B408,4)="_Mil","",IF(SUM($AP408)=0,SUM($Z408),IF(OR(SUM($Z408)=0,SUM($O408)=0),MAX($AP408,$Z408),ROUND($AP408*$Z408/$O408,0))))</f>
        <v>8</v>
      </c>
      <c r="AR408" s="33" t="e">
        <f>IF(OR(LEFT($B408,4)="_Mil",SUM($AK408)=0),"",SUM($AQ408)/$AK408)</f>
        <v>#REF!</v>
      </c>
      <c r="AS408" s="33" t="str">
        <f t="shared" si="113"/>
        <v/>
      </c>
      <c r="AT408" s="33" t="str">
        <f t="shared" si="98"/>
        <v/>
      </c>
      <c r="AU408" s="38" t="str">
        <f>IF($C408="&lt;01","",SUM($AP408)-SUM($O408))</f>
        <v/>
      </c>
      <c r="AV408" s="38">
        <f>IF($C408="&lt;01",ROUND(INDEX(EID!$N:$N,MATCH($B408,EID!$B:$B,0))/2,0),IF(SUM($AT408)=0,"",ROUND((SUM($AP408)-(SUM($O408)*SUM($AS408)))/$AT408,0)))</f>
        <v>9</v>
      </c>
      <c r="AW408" s="33" t="str">
        <f t="shared" si="109"/>
        <v/>
      </c>
      <c r="AX408" s="218">
        <f>IF($C408="&lt;01",SUM($AV408),ROUND(SUM($AV408)*SUM($AW408),0))</f>
        <v>9</v>
      </c>
      <c r="AY408" s="79" t="str">
        <f t="shared" si="110"/>
        <v/>
      </c>
      <c r="AZ408" s="85">
        <f>IF($C408="&lt;01",ROUND(INDEX(EID!$R:$R,MATCH($B408,EID!$B:$B,0))/2,0),ROUND(SUM($O408)+(SUM($AV408)*$AY408),0))</f>
        <v>7</v>
      </c>
      <c r="BA408" s="40" t="str">
        <f t="shared" si="97"/>
        <v/>
      </c>
      <c r="BB408" s="99">
        <f>IF($C408="&lt;01",ROUND(INDEX(EID!$T:$T,MATCH($B408,EID!$B:$B,0))/2,0),ROUND($AP408*$BA408,0))</f>
        <v>6</v>
      </c>
      <c r="BC408" s="85">
        <f>IF(LEFT($B408,4)="_Mil","",IF(SUM($BB408)=0,SUM($AD408),IF(OR(SUM($AP408)=0,SUM($AQ408)=0),MAX($BB408,$AD408),ROUND($BB408*$AQ408/$AP408,0))))</f>
        <v>5</v>
      </c>
      <c r="BD408" s="33" t="str">
        <f t="shared" si="111"/>
        <v/>
      </c>
      <c r="BE408" s="218">
        <f>IF($C408="&lt;01",ROUND(INDEX(EID!$V:$V,MATCH($B408,EID!$B:$B,0))/2,0),ROUND($BD408*$BB408,0))</f>
        <v>6</v>
      </c>
      <c r="BF408" s="218">
        <f>IF(LEFT($B408,4)="_Mil","",IF(SUM($BE408)=0,SUM($AF408),IF(OR(SUM($AP408)=0,SUM($AQ408)=0),MAX($BE408,$AF408),ROUND($BE408*$AQ408/$AP408,0))))</f>
        <v>5</v>
      </c>
      <c r="BG408" s="79" t="str">
        <f t="shared" si="112"/>
        <v/>
      </c>
      <c r="BH408" s="99">
        <f>IF($C408="&lt;01",ROUND(INDEX(EID!$L:$L,MATCH($B408,EID!$B:$B,0)),0)/2,IF(SUM($BG408)=0,"",ROUND($AX408/$BG408,0)))</f>
        <v>9.5</v>
      </c>
    </row>
    <row r="409" spans="1:60" x14ac:dyDescent="0.2">
      <c r="A409" t="str">
        <f>INDEX(Prioritization!$D:$D,MATCH($B409,Prioritization!$A:$A,0))</f>
        <v>1 - Scale-up: Saturation</v>
      </c>
      <c r="B409" t="s">
        <v>325</v>
      </c>
      <c r="C409" t="s">
        <v>473</v>
      </c>
      <c r="D409" t="s">
        <v>30</v>
      </c>
      <c r="E409" t="str">
        <f t="shared" si="102"/>
        <v>Zomba District [fyEoGEPERdI]|01-09|Female</v>
      </c>
      <c r="F409" s="229">
        <v>542</v>
      </c>
      <c r="G409" s="38">
        <v>66</v>
      </c>
      <c r="H409" s="38">
        <v>55</v>
      </c>
      <c r="I409" s="38">
        <v>526</v>
      </c>
      <c r="J409" s="38">
        <v>683</v>
      </c>
      <c r="K409" s="38">
        <v>551</v>
      </c>
      <c r="L409" s="38">
        <v>36</v>
      </c>
      <c r="M409" s="38">
        <v>34</v>
      </c>
      <c r="N409" s="38">
        <v>615</v>
      </c>
      <c r="O409" s="229">
        <v>542</v>
      </c>
      <c r="P409" s="38">
        <v>542</v>
      </c>
      <c r="Q409" s="38">
        <v>514</v>
      </c>
      <c r="R409" s="38">
        <f t="shared" si="103"/>
        <v>16</v>
      </c>
      <c r="S409" s="38">
        <f>IF(LEFT($B409,4)="_Mil","",_xlfn.IFNA(ROUND(INDEX(Spectrum!$N:$N,MATCH(RIGHT($B409,13)&amp;"|"&amp;$C409&amp;"|"&amp;$D409&amp;"|"&amp;S$14&amp;"|"&amp;"CY2023Q4",Spectrum!$R:$R,0)),0),""))</f>
        <v>547</v>
      </c>
      <c r="T409" s="218">
        <f>IF(LEFT($B409,4)="_Mil","",_xlfn.IFNA(ROUND(INDEX(Spectrum!$N:$N,MATCH(RIGHT($B409,13)&amp;"|"&amp;$C409&amp;"|"&amp;$D409&amp;"|"&amp;T$14&amp;"|"&amp;"CY2024Q3",Spectrum!$R:$R,0)),0),""))</f>
        <v>132738</v>
      </c>
      <c r="U409" s="218">
        <f>IF(LEFT($B409,4)="_Mil","",_xlfn.IFNA(ROUND(INDEX(Spectrum!$N:$N,MATCH(RIGHT($B409,13)&amp;"|"&amp;$C409&amp;"|"&amp;$D409&amp;"|"&amp;U$14&amp;"|"&amp;"CY2024Q3",Spectrum!$R:$R,0)),0),""))</f>
        <v>730</v>
      </c>
      <c r="V409" s="38">
        <f>IF(LEFT($B409,4)="_Mil","",_xlfn.IFNA(ROUND(INDEX(Spectrum!$N:$N,MATCH(RIGHT($B409,13)&amp;"|"&amp;$C409&amp;"|"&amp;$D409&amp;"|"&amp;V$14&amp;"|"&amp;"CY2024Q3",Spectrum!$R:$R,0)),0),""))</f>
        <v>722</v>
      </c>
      <c r="W409" s="220">
        <f>IF(LEFT($B409,4)="_Mil","",_xlfn.IFNA(INDEX(Spectrum!$N:$N,MATCH(RIGHT($B409,13)&amp;"|"&amp;$C409&amp;"|"&amp;$D409&amp;"|"&amp;W$14&amp;"|"&amp;"CY2024Q3",Spectrum!$R:$R,0)),""))</f>
        <v>5.4958330000000003E-3</v>
      </c>
      <c r="X409" s="218">
        <f>IF(LEFT($B409,4)="_Mil","",_xlfn.IFNA(ROUND(INDEX(Spectrum!$N:$N,MATCH(RIGHT($B409,13)&amp;"|"&amp;$C409&amp;"|"&amp;$D409&amp;"|"&amp;X$14&amp;"|"&amp;"CY2024Q3",Spectrum!$R:$R,0)),0),""))</f>
        <v>550</v>
      </c>
      <c r="Y409" s="33">
        <f t="shared" si="104"/>
        <v>0.75</v>
      </c>
      <c r="Z409" s="218">
        <f>IF(LEFT($B409,4)="_Mil","",_xlfn.IFNA(ROUND(INDEX(Spectrum!$N:$N,MATCH(RIGHT($B409,13)&amp;"|"&amp;$C409&amp;"|"&amp;$D409&amp;"|"&amp;Z$14&amp;"|"&amp;"CY2024Q3",Spectrum!$R:$R,0)),0),""))</f>
        <v>526</v>
      </c>
      <c r="AA409" s="33">
        <f>IF(LEFT($B409,4)="_Mil","",IFERROR(1/(1/INDEX(Spectrum!$N:$N,MATCH(RIGHT($B409,13)&amp;"|"&amp;$C409&amp;"|"&amp;$D409&amp;"|"&amp;AA$14&amp;"|"&amp;"CY2024Q3",Spectrum!$R:$R,0))),IF(SUM($U409)=0,"",SUM($Z409)/$U409)))</f>
        <v>0.72084813599999997</v>
      </c>
      <c r="AB409" s="33">
        <f t="shared" si="105"/>
        <v>0.95636363636363642</v>
      </c>
      <c r="AC409" s="38">
        <f>IF(LEFT($B409,4)="_Mil","",_xlfn.IFNA(ROUND(INDEX(Spectrum!$N:$N,MATCH(RIGHT($B409,13)&amp;"|"&amp;$C409&amp;"|"&amp;$D409&amp;"|"&amp;AC$14&amp;"|"&amp;"CY2024Q3",Spectrum!$R:$R,0)),0),""))</f>
        <v>197</v>
      </c>
      <c r="AD409" s="38" t="str">
        <f>IF(LEFT($B409,4)="_Mil","",_xlfn.IFNA(ROUND(INDEX(Spectrum!$N:$N,MATCH(RIGHT($B409,13)&amp;"|"&amp;$C409&amp;"|"&amp;$D409&amp;"|"&amp;AD$14&amp;"|"&amp;"CY2024Q3",Spectrum!$R:$R,0)),0),""))</f>
        <v/>
      </c>
      <c r="AE409" s="33">
        <f t="shared" si="106"/>
        <v>0</v>
      </c>
      <c r="AF409" s="218" t="str">
        <f>IF(LEFT($B409,4)="_Mil","",_xlfn.IFNA(ROUND(INDEX(Spectrum!$N:$N,MATCH(RIGHT($B409,13)&amp;"|"&amp;$C409&amp;"|"&amp;$D409&amp;"|"&amp;AF$14&amp;"|"&amp;"CY2024Q3",Spectrum!$R:$R,0)),0),""))</f>
        <v/>
      </c>
      <c r="AG409" s="33" t="str">
        <f t="shared" si="107"/>
        <v/>
      </c>
      <c r="AH409" s="110" t="str">
        <f>IF(LEFT($B409,4)="_Mil","",_xlfn.IFNA(INDEX(Spectrum!$N:$N,MATCH(RIGHT($B409,13)&amp;"|"&amp;$C409&amp;"|"&amp;$D409&amp;"|"&amp;AH$14&amp;"|"&amp;"CY2024Q3",Spectrum!$R:$R,0)),""))</f>
        <v/>
      </c>
      <c r="AI409" s="218">
        <f>IF(LEFT($B409,4)="_Mil","",_xlfn.IFNA(ROUND(INDEX(Spectrum!$N:$N,MATCH(RIGHT($B409,13)&amp;"|"&amp;$C409&amp;"|"&amp;$D409&amp;"|"&amp;AI$14&amp;"|"&amp;"CY2025Q3",Spectrum!$R:$R,0)),0),""))</f>
        <v>11</v>
      </c>
      <c r="AJ409" s="38">
        <f>IF(LEFT($B409,4)="_Mil","",_xlfn.IFNA(ROUND(INDEX(Spectrum!$N:$N,MATCH(RIGHT($B409,13)&amp;"|"&amp;$C409&amp;"|"&amp;$D409&amp;"|"&amp;AJ$14&amp;"|"&amp;"CY2025Q3",Spectrum!$R:$R,0)),0),""))</f>
        <v>632</v>
      </c>
      <c r="AK409" s="218" t="e">
        <f>#REF!</f>
        <v>#REF!</v>
      </c>
      <c r="AL409" s="33">
        <f t="shared" si="108"/>
        <v>0.9</v>
      </c>
      <c r="AM409" s="38" t="e">
        <f>IF(OR(LEFT($B409,4)="_Mil",$C409="&lt;01"),"",ROUND(SUM($AK409)*SUM($AL409),0))</f>
        <v>#REF!</v>
      </c>
      <c r="AN409" s="38" t="str">
        <f>IF($C409="&lt;01",ROUND(INDEX(EID!$P:$P,MATCH($B409,EID!$B:$B,0))/2,0),"")</f>
        <v/>
      </c>
      <c r="AO409" s="38" t="e">
        <f>IF($C409="&lt;01",SUM($AN409),ROUND(SUM($AM409)*SUM($O409)/IF(SUM($Z409)=0,1,$Z409),0))</f>
        <v>#REF!</v>
      </c>
      <c r="AP409" s="218">
        <f>IF(OR($F409="",$C409="&lt;01"),$AO409,ROUND($F409,0))</f>
        <v>542</v>
      </c>
      <c r="AQ409" s="218">
        <f>IF(LEFT($B409,4)="_Mil","",IF(SUM($AP409)=0,SUM($Z409),IF(OR(SUM($Z409)=0,SUM($O409)=0),MAX($AP409,$Z409),ROUND($AP409*$Z409/$O409,0))))</f>
        <v>526</v>
      </c>
      <c r="AR409" s="33" t="e">
        <f>IF(OR(LEFT($B409,4)="_Mil",SUM($AK409)=0),"",SUM($AQ409)/$AK409)</f>
        <v>#REF!</v>
      </c>
      <c r="AS409" s="33">
        <f t="shared" si="113"/>
        <v>0.98</v>
      </c>
      <c r="AT409" s="33">
        <f t="shared" si="98"/>
        <v>0.98</v>
      </c>
      <c r="AU409" s="38">
        <f>IF($C409="&lt;01","",SUM($AP409)-SUM($O409))</f>
        <v>0</v>
      </c>
      <c r="AV409" s="38">
        <f>IF($C409="&lt;01",ROUND(INDEX(EID!$N:$N,MATCH($B409,EID!$B:$B,0))/2,0),IF(SUM($AT409)=0,"",ROUND((SUM($AP409)-(SUM($O409)*SUM($AS409)))/$AT409,0)))</f>
        <v>11</v>
      </c>
      <c r="AW409" s="33">
        <f t="shared" si="109"/>
        <v>1</v>
      </c>
      <c r="AX409" s="218">
        <f>IF($C409="&lt;01",SUM($AV409),ROUND(SUM($AV409)*SUM($AW409),0))</f>
        <v>11</v>
      </c>
      <c r="AY409" s="79">
        <f t="shared" si="110"/>
        <v>0.7</v>
      </c>
      <c r="AZ409" s="85">
        <f>IF($C409="&lt;01",ROUND(INDEX(EID!$R:$R,MATCH($B409,EID!$B:$B,0))/2,0),ROUND(SUM($O409)+(SUM($AV409)*$AY409),0))</f>
        <v>550</v>
      </c>
      <c r="BA409" s="40">
        <f t="shared" si="97"/>
        <v>0.9</v>
      </c>
      <c r="BB409" s="99">
        <f>IF($C409="&lt;01",ROUND(INDEX(EID!$T:$T,MATCH($B409,EID!$B:$B,0))/2,0),ROUND($AP409*$BA409,0))</f>
        <v>488</v>
      </c>
      <c r="BC409" s="85">
        <f>IF(LEFT($B409,4)="_Mil","",IF(SUM($BB409)=0,SUM($AD409),IF(OR(SUM($AP409)=0,SUM($AQ409)=0),MAX($BB409,$AD409),ROUND($BB409*$AQ409/$AP409,0))))</f>
        <v>474</v>
      </c>
      <c r="BD409" s="33">
        <f t="shared" si="111"/>
        <v>0.95</v>
      </c>
      <c r="BE409" s="218">
        <f>IF($C409="&lt;01",ROUND(INDEX(EID!$V:$V,MATCH($B409,EID!$B:$B,0))/2,0),ROUND($BD409*$BB409,0))</f>
        <v>464</v>
      </c>
      <c r="BF409" s="218">
        <f>IF(LEFT($B409,4)="_Mil","",IF(SUM($BE409)=0,SUM($AF409),IF(OR(SUM($AP409)=0,SUM($AQ409)=0),MAX($BE409,$AF409),ROUND($BE409*$AQ409/$AP409,0))))</f>
        <v>450</v>
      </c>
      <c r="BG409" s="79">
        <f t="shared" si="112"/>
        <v>0.95</v>
      </c>
      <c r="BH409" s="99">
        <f>IF($C409="&lt;01",ROUND(INDEX(EID!$L:$L,MATCH($B409,EID!$B:$B,0)),0)/2,IF(SUM($BG409)=0,"",ROUND($AX409/$BG409,0)))</f>
        <v>12</v>
      </c>
    </row>
    <row r="410" spans="1:60" x14ac:dyDescent="0.2">
      <c r="A410" t="str">
        <f>INDEX(Prioritization!$D:$D,MATCH($B410,Prioritization!$A:$A,0))</f>
        <v>1 - Scale-up: Saturation</v>
      </c>
      <c r="B410" t="s">
        <v>325</v>
      </c>
      <c r="C410" t="s">
        <v>473</v>
      </c>
      <c r="D410" t="s">
        <v>48</v>
      </c>
      <c r="E410" t="str">
        <f t="shared" si="102"/>
        <v>Zomba District [fyEoGEPERdI]|01-09|Male</v>
      </c>
      <c r="F410" s="229">
        <v>552</v>
      </c>
      <c r="G410" s="38">
        <v>59</v>
      </c>
      <c r="H410" s="38">
        <v>32</v>
      </c>
      <c r="I410" s="38">
        <v>469</v>
      </c>
      <c r="J410" s="38">
        <v>530</v>
      </c>
      <c r="K410" s="38">
        <v>421</v>
      </c>
      <c r="L410" s="38">
        <v>35</v>
      </c>
      <c r="M410" s="38">
        <v>34</v>
      </c>
      <c r="N410" s="38">
        <v>633</v>
      </c>
      <c r="O410" s="229">
        <v>552</v>
      </c>
      <c r="P410" s="38">
        <v>556</v>
      </c>
      <c r="Q410" s="38">
        <v>528</v>
      </c>
      <c r="R410" s="38">
        <f t="shared" si="103"/>
        <v>83</v>
      </c>
      <c r="S410" s="38">
        <f>IF(LEFT($B410,4)="_Mil","",_xlfn.IFNA(ROUND(INDEX(Spectrum!$N:$N,MATCH(RIGHT($B410,13)&amp;"|"&amp;$C410&amp;"|"&amp;$D410&amp;"|"&amp;S$14&amp;"|"&amp;"CY2023Q4",Spectrum!$R:$R,0)),0),""))</f>
        <v>559</v>
      </c>
      <c r="T410" s="218">
        <f>IF(LEFT($B410,4)="_Mil","",_xlfn.IFNA(ROUND(INDEX(Spectrum!$N:$N,MATCH(RIGHT($B410,13)&amp;"|"&amp;$C410&amp;"|"&amp;$D410&amp;"|"&amp;T$14&amp;"|"&amp;"CY2024Q3",Spectrum!$R:$R,0)),0),""))</f>
        <v>135331</v>
      </c>
      <c r="U410" s="218">
        <f>IF(LEFT($B410,4)="_Mil","",_xlfn.IFNA(ROUND(INDEX(Spectrum!$N:$N,MATCH(RIGHT($B410,13)&amp;"|"&amp;$C410&amp;"|"&amp;$D410&amp;"|"&amp;U$14&amp;"|"&amp;"CY2024Q3",Spectrum!$R:$R,0)),0),""))</f>
        <v>744</v>
      </c>
      <c r="V410" s="38">
        <f>IF(LEFT($B410,4)="_Mil","",_xlfn.IFNA(ROUND(INDEX(Spectrum!$N:$N,MATCH(RIGHT($B410,13)&amp;"|"&amp;$C410&amp;"|"&amp;$D410&amp;"|"&amp;V$14&amp;"|"&amp;"CY2024Q3",Spectrum!$R:$R,0)),0),""))</f>
        <v>736</v>
      </c>
      <c r="W410" s="220">
        <f>IF(LEFT($B410,4)="_Mil","",_xlfn.IFNA(INDEX(Spectrum!$N:$N,MATCH(RIGHT($B410,13)&amp;"|"&amp;$C410&amp;"|"&amp;$D410&amp;"|"&amp;W$14&amp;"|"&amp;"CY2024Q3",Spectrum!$R:$R,0)),""))</f>
        <v>5.4952289999999999E-3</v>
      </c>
      <c r="X410" s="218">
        <f>IF(LEFT($B410,4)="_Mil","",_xlfn.IFNA(ROUND(INDEX(Spectrum!$N:$N,MATCH(RIGHT($B410,13)&amp;"|"&amp;$C410&amp;"|"&amp;$D410&amp;"|"&amp;X$14&amp;"|"&amp;"CY2024Q3",Spectrum!$R:$R,0)),0),""))</f>
        <v>561</v>
      </c>
      <c r="Y410" s="33">
        <f t="shared" si="104"/>
        <v>0.75</v>
      </c>
      <c r="Z410" s="218">
        <f>IF(LEFT($B410,4)="_Mil","",_xlfn.IFNA(ROUND(INDEX(Spectrum!$N:$N,MATCH(RIGHT($B410,13)&amp;"|"&amp;$C410&amp;"|"&amp;$D410&amp;"|"&amp;Z$14&amp;"|"&amp;"CY2024Q3",Spectrum!$R:$R,0)),0),""))</f>
        <v>537</v>
      </c>
      <c r="AA410" s="33">
        <f>IF(LEFT($B410,4)="_Mil","",IFERROR(1/(1/INDEX(Spectrum!$N:$N,MATCH(RIGHT($B410,13)&amp;"|"&amp;$C410&amp;"|"&amp;$D410&amp;"|"&amp;AA$14&amp;"|"&amp;"CY2024Q3",Spectrum!$R:$R,0))),IF(SUM($U410)=0,"",SUM($Z410)/$U410)))</f>
        <v>0.72123726700000002</v>
      </c>
      <c r="AB410" s="33">
        <f t="shared" si="105"/>
        <v>0.95721925133689845</v>
      </c>
      <c r="AC410" s="38">
        <f>IF(LEFT($B410,4)="_Mil","",_xlfn.IFNA(ROUND(INDEX(Spectrum!$N:$N,MATCH(RIGHT($B410,13)&amp;"|"&amp;$C410&amp;"|"&amp;$D410&amp;"|"&amp;AC$14&amp;"|"&amp;"CY2024Q3",Spectrum!$R:$R,0)),0),""))</f>
        <v>200</v>
      </c>
      <c r="AD410" s="38" t="str">
        <f>IF(LEFT($B410,4)="_Mil","",_xlfn.IFNA(ROUND(INDEX(Spectrum!$N:$N,MATCH(RIGHT($B410,13)&amp;"|"&amp;$C410&amp;"|"&amp;$D410&amp;"|"&amp;AD$14&amp;"|"&amp;"CY2024Q3",Spectrum!$R:$R,0)),0),""))</f>
        <v/>
      </c>
      <c r="AE410" s="33">
        <f t="shared" si="106"/>
        <v>0</v>
      </c>
      <c r="AF410" s="218" t="str">
        <f>IF(LEFT($B410,4)="_Mil","",_xlfn.IFNA(ROUND(INDEX(Spectrum!$N:$N,MATCH(RIGHT($B410,13)&amp;"|"&amp;$C410&amp;"|"&amp;$D410&amp;"|"&amp;AF$14&amp;"|"&amp;"CY2024Q3",Spectrum!$R:$R,0)),0),""))</f>
        <v/>
      </c>
      <c r="AG410" s="33" t="str">
        <f t="shared" si="107"/>
        <v/>
      </c>
      <c r="AH410" s="110" t="str">
        <f>IF(LEFT($B410,4)="_Mil","",_xlfn.IFNA(INDEX(Spectrum!$N:$N,MATCH(RIGHT($B410,13)&amp;"|"&amp;$C410&amp;"|"&amp;$D410&amp;"|"&amp;AH$14&amp;"|"&amp;"CY2024Q3",Spectrum!$R:$R,0)),""))</f>
        <v/>
      </c>
      <c r="AI410" s="218">
        <f>IF(LEFT($B410,4)="_Mil","",_xlfn.IFNA(ROUND(INDEX(Spectrum!$N:$N,MATCH(RIGHT($B410,13)&amp;"|"&amp;$C410&amp;"|"&amp;$D410&amp;"|"&amp;AI$14&amp;"|"&amp;"CY2025Q3",Spectrum!$R:$R,0)),0),""))</f>
        <v>12</v>
      </c>
      <c r="AJ410" s="38">
        <f>IF(LEFT($B410,4)="_Mil","",_xlfn.IFNA(ROUND(INDEX(Spectrum!$N:$N,MATCH(RIGHT($B410,13)&amp;"|"&amp;$C410&amp;"|"&amp;$D410&amp;"|"&amp;AJ$14&amp;"|"&amp;"CY2025Q3",Spectrum!$R:$R,0)),0),""))</f>
        <v>644</v>
      </c>
      <c r="AK410" s="218" t="e">
        <f>#REF!</f>
        <v>#REF!</v>
      </c>
      <c r="AL410" s="33">
        <f t="shared" si="108"/>
        <v>0.9</v>
      </c>
      <c r="AM410" s="38" t="e">
        <f>IF(OR(LEFT($B410,4)="_Mil",$C410="&lt;01"),"",ROUND(SUM($AK410)*SUM($AL410),0))</f>
        <v>#REF!</v>
      </c>
      <c r="AN410" s="38" t="str">
        <f>IF($C410="&lt;01",ROUND(INDEX(EID!$P:$P,MATCH($B410,EID!$B:$B,0))/2,0),"")</f>
        <v/>
      </c>
      <c r="AO410" s="38" t="e">
        <f>IF($C410="&lt;01",SUM($AN410),ROUND(SUM($AM410)*SUM($O410)/IF(SUM($Z410)=0,1,$Z410),0))</f>
        <v>#REF!</v>
      </c>
      <c r="AP410" s="218">
        <f>IF(OR($F410="",$C410="&lt;01"),$AO410,ROUND($F410,0))</f>
        <v>552</v>
      </c>
      <c r="AQ410" s="218">
        <f>IF(LEFT($B410,4)="_Mil","",IF(SUM($AP410)=0,SUM($Z410),IF(OR(SUM($Z410)=0,SUM($O410)=0),MAX($AP410,$Z410),ROUND($AP410*$Z410/$O410,0))))</f>
        <v>537</v>
      </c>
      <c r="AR410" s="33" t="e">
        <f>IF(OR(LEFT($B410,4)="_Mil",SUM($AK410)=0),"",SUM($AQ410)/$AK410)</f>
        <v>#REF!</v>
      </c>
      <c r="AS410" s="33">
        <f t="shared" si="113"/>
        <v>0.98</v>
      </c>
      <c r="AT410" s="33">
        <f t="shared" si="98"/>
        <v>0.98</v>
      </c>
      <c r="AU410" s="38">
        <f>IF($C410="&lt;01","",SUM($AP410)-SUM($O410))</f>
        <v>0</v>
      </c>
      <c r="AV410" s="38">
        <f>IF($C410="&lt;01",ROUND(INDEX(EID!$N:$N,MATCH($B410,EID!$B:$B,0))/2,0),IF(SUM($AT410)=0,"",ROUND((SUM($AP410)-(SUM($O410)*SUM($AS410)))/$AT410,0)))</f>
        <v>11</v>
      </c>
      <c r="AW410" s="33">
        <f t="shared" si="109"/>
        <v>1</v>
      </c>
      <c r="AX410" s="218">
        <f>IF($C410="&lt;01",SUM($AV410),ROUND(SUM($AV410)*SUM($AW410),0))</f>
        <v>11</v>
      </c>
      <c r="AY410" s="79">
        <f t="shared" si="110"/>
        <v>0.7</v>
      </c>
      <c r="AZ410" s="85">
        <f>IF($C410="&lt;01",ROUND(INDEX(EID!$R:$R,MATCH($B410,EID!$B:$B,0))/2,0),ROUND(SUM($O410)+(SUM($AV410)*$AY410),0))</f>
        <v>560</v>
      </c>
      <c r="BA410" s="40">
        <f t="shared" si="97"/>
        <v>0.9</v>
      </c>
      <c r="BB410" s="99">
        <f>IF($C410="&lt;01",ROUND(INDEX(EID!$T:$T,MATCH($B410,EID!$B:$B,0))/2,0),ROUND($AP410*$BA410,0))</f>
        <v>497</v>
      </c>
      <c r="BC410" s="85">
        <f>IF(LEFT($B410,4)="_Mil","",IF(SUM($BB410)=0,SUM($AD410),IF(OR(SUM($AP410)=0,SUM($AQ410)=0),MAX($BB410,$AD410),ROUND($BB410*$AQ410/$AP410,0))))</f>
        <v>483</v>
      </c>
      <c r="BD410" s="33">
        <f t="shared" si="111"/>
        <v>0.95</v>
      </c>
      <c r="BE410" s="218">
        <f>IF($C410="&lt;01",ROUND(INDEX(EID!$V:$V,MATCH($B410,EID!$B:$B,0))/2,0),ROUND($BD410*$BB410,0))</f>
        <v>472</v>
      </c>
      <c r="BF410" s="218">
        <f>IF(LEFT($B410,4)="_Mil","",IF(SUM($BE410)=0,SUM($AF410),IF(OR(SUM($AP410)=0,SUM($AQ410)=0),MAX($BE410,$AF410),ROUND($BE410*$AQ410/$AP410,0))))</f>
        <v>459</v>
      </c>
      <c r="BG410" s="79">
        <f t="shared" si="112"/>
        <v>0.95</v>
      </c>
      <c r="BH410" s="99">
        <f>IF($C410="&lt;01",ROUND(INDEX(EID!$L:$L,MATCH($B410,EID!$B:$B,0)),0)/2,IF(SUM($BG410)=0,"",ROUND($AX410/$BG410,0)))</f>
        <v>12</v>
      </c>
    </row>
    <row r="411" spans="1:60" x14ac:dyDescent="0.2">
      <c r="A411" t="str">
        <f>INDEX(Prioritization!$D:$D,MATCH($B411,Prioritization!$A:$A,0))</f>
        <v>1 - Scale-up: Saturation</v>
      </c>
      <c r="B411" t="s">
        <v>325</v>
      </c>
      <c r="C411" t="s">
        <v>474</v>
      </c>
      <c r="D411" t="s">
        <v>30</v>
      </c>
      <c r="E411" t="str">
        <f t="shared" si="102"/>
        <v>Zomba District [fyEoGEPERdI]|10-14|Female</v>
      </c>
      <c r="F411" s="229">
        <v>745</v>
      </c>
      <c r="G411" s="38">
        <v>40</v>
      </c>
      <c r="H411" s="38">
        <v>23</v>
      </c>
      <c r="I411" s="38">
        <v>737</v>
      </c>
      <c r="J411" s="38">
        <v>732</v>
      </c>
      <c r="K411" s="38">
        <v>600</v>
      </c>
      <c r="L411" s="38">
        <v>103</v>
      </c>
      <c r="M411" s="38">
        <v>97</v>
      </c>
      <c r="N411" s="38">
        <v>733</v>
      </c>
      <c r="O411" s="229">
        <v>741</v>
      </c>
      <c r="P411" s="38">
        <v>615</v>
      </c>
      <c r="Q411" s="38">
        <v>584</v>
      </c>
      <c r="R411" s="38">
        <f t="shared" si="103"/>
        <v>4</v>
      </c>
      <c r="S411" s="38">
        <f>IF(LEFT($B411,4)="_Mil","",_xlfn.IFNA(ROUND(INDEX(Spectrum!$N:$N,MATCH(RIGHT($B411,13)&amp;"|"&amp;$C411&amp;"|"&amp;$D411&amp;"|"&amp;S$14&amp;"|"&amp;"CY2023Q4",Spectrum!$R:$R,0)),0),""))</f>
        <v>683</v>
      </c>
      <c r="T411" s="218">
        <f>IF(LEFT($B411,4)="_Mil","",_xlfn.IFNA(ROUND(INDEX(Spectrum!$N:$N,MATCH(RIGHT($B411,13)&amp;"|"&amp;$C411&amp;"|"&amp;$D411&amp;"|"&amp;T$14&amp;"|"&amp;"CY2024Q3",Spectrum!$R:$R,0)),0),""))</f>
        <v>67070</v>
      </c>
      <c r="U411" s="218">
        <f>IF(LEFT($B411,4)="_Mil","",_xlfn.IFNA(ROUND(INDEX(Spectrum!$N:$N,MATCH(RIGHT($B411,13)&amp;"|"&amp;$C411&amp;"|"&amp;$D411&amp;"|"&amp;U$14&amp;"|"&amp;"CY2024Q3",Spectrum!$R:$R,0)),0),""))</f>
        <v>890</v>
      </c>
      <c r="V411" s="38">
        <f>IF(LEFT($B411,4)="_Mil","",_xlfn.IFNA(ROUND(INDEX(Spectrum!$N:$N,MATCH(RIGHT($B411,13)&amp;"|"&amp;$C411&amp;"|"&amp;$D411&amp;"|"&amp;V$14&amp;"|"&amp;"CY2024Q3",Spectrum!$R:$R,0)),0),""))</f>
        <v>881</v>
      </c>
      <c r="W411" s="220">
        <f>IF(LEFT($B411,4)="_Mil","",_xlfn.IFNA(INDEX(Spectrum!$N:$N,MATCH(RIGHT($B411,13)&amp;"|"&amp;$C411&amp;"|"&amp;$D411&amp;"|"&amp;W$14&amp;"|"&amp;"CY2024Q3",Spectrum!$R:$R,0)),""))</f>
        <v>1.3273541999999999E-2</v>
      </c>
      <c r="X411" s="218">
        <f>IF(LEFT($B411,4)="_Mil","",_xlfn.IFNA(ROUND(INDEX(Spectrum!$N:$N,MATCH(RIGHT($B411,13)&amp;"|"&amp;$C411&amp;"|"&amp;$D411&amp;"|"&amp;X$14&amp;"|"&amp;"CY2024Q3",Spectrum!$R:$R,0)),0),""))</f>
        <v>705</v>
      </c>
      <c r="Y411" s="33">
        <f t="shared" si="104"/>
        <v>0.79</v>
      </c>
      <c r="Z411" s="218">
        <f>IF(LEFT($B411,4)="_Mil","",_xlfn.IFNA(ROUND(INDEX(Spectrum!$N:$N,MATCH(RIGHT($B411,13)&amp;"|"&amp;$C411&amp;"|"&amp;$D411&amp;"|"&amp;Z$14&amp;"|"&amp;"CY2024Q3",Spectrum!$R:$R,0)),0),""))</f>
        <v>673</v>
      </c>
      <c r="AA411" s="33">
        <f>IF(LEFT($B411,4)="_Mil","",IFERROR(1/(1/INDEX(Spectrum!$N:$N,MATCH(RIGHT($B411,13)&amp;"|"&amp;$C411&amp;"|"&amp;$D411&amp;"|"&amp;AA$14&amp;"|"&amp;"CY2024Q3",Spectrum!$R:$R,0))),IF(SUM($U411)=0,"",SUM($Z411)/$U411)))</f>
        <v>0.75721107200000004</v>
      </c>
      <c r="AB411" s="33">
        <f t="shared" si="105"/>
        <v>0.95460992907801423</v>
      </c>
      <c r="AC411" s="38">
        <f>IF(LEFT($B411,4)="_Mil","",_xlfn.IFNA(ROUND(INDEX(Spectrum!$N:$N,MATCH(RIGHT($B411,13)&amp;"|"&amp;$C411&amp;"|"&amp;$D411&amp;"|"&amp;AC$14&amp;"|"&amp;"CY2024Q3",Spectrum!$R:$R,0)),0),""))</f>
        <v>208</v>
      </c>
      <c r="AD411" s="38" t="str">
        <f>IF(LEFT($B411,4)="_Mil","",_xlfn.IFNA(ROUND(INDEX(Spectrum!$N:$N,MATCH(RIGHT($B411,13)&amp;"|"&amp;$C411&amp;"|"&amp;$D411&amp;"|"&amp;AD$14&amp;"|"&amp;"CY2024Q3",Spectrum!$R:$R,0)),0),""))</f>
        <v/>
      </c>
      <c r="AE411" s="33">
        <f t="shared" si="106"/>
        <v>0</v>
      </c>
      <c r="AF411" s="218" t="str">
        <f>IF(LEFT($B411,4)="_Mil","",_xlfn.IFNA(ROUND(INDEX(Spectrum!$N:$N,MATCH(RIGHT($B411,13)&amp;"|"&amp;$C411&amp;"|"&amp;$D411&amp;"|"&amp;AF$14&amp;"|"&amp;"CY2024Q3",Spectrum!$R:$R,0)),0),""))</f>
        <v/>
      </c>
      <c r="AG411" s="33" t="str">
        <f t="shared" si="107"/>
        <v/>
      </c>
      <c r="AH411" s="110" t="str">
        <f>IF(LEFT($B411,4)="_Mil","",_xlfn.IFNA(INDEX(Spectrum!$N:$N,MATCH(RIGHT($B411,13)&amp;"|"&amp;$C411&amp;"|"&amp;$D411&amp;"|"&amp;AH$14&amp;"|"&amp;"CY2024Q3",Spectrum!$R:$R,0)),""))</f>
        <v/>
      </c>
      <c r="AI411" s="218">
        <f>IF(LEFT($B411,4)="_Mil","",_xlfn.IFNA(ROUND(INDEX(Spectrum!$N:$N,MATCH(RIGHT($B411,13)&amp;"|"&amp;$C411&amp;"|"&amp;$D411&amp;"|"&amp;AI$14&amp;"|"&amp;"CY2025Q3",Spectrum!$R:$R,0)),0),""))</f>
        <v>0</v>
      </c>
      <c r="AJ411" s="38">
        <f>IF(LEFT($B411,4)="_Mil","",_xlfn.IFNA(ROUND(INDEX(Spectrum!$N:$N,MATCH(RIGHT($B411,13)&amp;"|"&amp;$C411&amp;"|"&amp;$D411&amp;"|"&amp;AJ$14&amp;"|"&amp;"CY2025Q3",Spectrum!$R:$R,0)),0),""))</f>
        <v>801</v>
      </c>
      <c r="AK411" s="218" t="e">
        <f>#REF!</f>
        <v>#REF!</v>
      </c>
      <c r="AL411" s="33">
        <f t="shared" si="108"/>
        <v>0.9</v>
      </c>
      <c r="AM411" s="38" t="e">
        <f>IF(OR(LEFT($B411,4)="_Mil",$C411="&lt;01"),"",ROUND(SUM($AK411)*SUM($AL411),0))</f>
        <v>#REF!</v>
      </c>
      <c r="AN411" s="38" t="str">
        <f>IF($C411="&lt;01",ROUND(INDEX(EID!$P:$P,MATCH($B411,EID!$B:$B,0))/2,0),"")</f>
        <v/>
      </c>
      <c r="AO411" s="38" t="e">
        <f>IF($C411="&lt;01",SUM($AN411),ROUND(SUM($AM411)*SUM($O411)/IF(SUM($Z411)=0,1,$Z411),0))</f>
        <v>#REF!</v>
      </c>
      <c r="AP411" s="218">
        <f>IF(OR($F411="",$C411="&lt;01"),$AO411,ROUND($F411,0))</f>
        <v>745</v>
      </c>
      <c r="AQ411" s="218">
        <f>IF(LEFT($B411,4)="_Mil","",IF(SUM($AP411)=0,SUM($Z411),IF(OR(SUM($Z411)=0,SUM($O411)=0),MAX($AP411,$Z411),ROUND($AP411*$Z411/$O411,0))))</f>
        <v>677</v>
      </c>
      <c r="AR411" s="33" t="e">
        <f>IF(OR(LEFT($B411,4)="_Mil",SUM($AK411)=0),"",SUM($AQ411)/$AK411)</f>
        <v>#REF!</v>
      </c>
      <c r="AS411" s="33">
        <f t="shared" si="113"/>
        <v>0.98</v>
      </c>
      <c r="AT411" s="33">
        <f t="shared" si="98"/>
        <v>0.98</v>
      </c>
      <c r="AU411" s="38">
        <f>IF($C411="&lt;01","",SUM($AP411)-SUM($O411))</f>
        <v>4</v>
      </c>
      <c r="AV411" s="38">
        <f>IF($C411="&lt;01",ROUND(INDEX(EID!$N:$N,MATCH($B411,EID!$B:$B,0))/2,0),IF(SUM($AT411)=0,"",ROUND((SUM($AP411)-(SUM($O411)*SUM($AS411)))/$AT411,0)))</f>
        <v>19</v>
      </c>
      <c r="AW411" s="33">
        <f t="shared" si="109"/>
        <v>1</v>
      </c>
      <c r="AX411" s="218">
        <f>IF($C411="&lt;01",SUM($AV411),ROUND(SUM($AV411)*SUM($AW411),0))</f>
        <v>19</v>
      </c>
      <c r="AY411" s="79">
        <f t="shared" si="110"/>
        <v>0.7</v>
      </c>
      <c r="AZ411" s="85">
        <f>IF($C411="&lt;01",ROUND(INDEX(EID!$R:$R,MATCH($B411,EID!$B:$B,0))/2,0),ROUND(SUM($O411)+(SUM($AV411)*$AY411),0))</f>
        <v>754</v>
      </c>
      <c r="BA411" s="40">
        <f t="shared" si="97"/>
        <v>0.9</v>
      </c>
      <c r="BB411" s="99">
        <f>IF($C411="&lt;01",ROUND(INDEX(EID!$T:$T,MATCH($B411,EID!$B:$B,0))/2,0),ROUND($AP411*$BA411,0))</f>
        <v>671</v>
      </c>
      <c r="BC411" s="85">
        <f>IF(LEFT($B411,4)="_Mil","",IF(SUM($BB411)=0,SUM($AD411),IF(OR(SUM($AP411)=0,SUM($AQ411)=0),MAX($BB411,$AD411),ROUND($BB411*$AQ411/$AP411,0))))</f>
        <v>610</v>
      </c>
      <c r="BD411" s="33">
        <f t="shared" si="111"/>
        <v>0.95</v>
      </c>
      <c r="BE411" s="218">
        <f>IF($C411="&lt;01",ROUND(INDEX(EID!$V:$V,MATCH($B411,EID!$B:$B,0))/2,0),ROUND($BD411*$BB411,0))</f>
        <v>637</v>
      </c>
      <c r="BF411" s="218">
        <f>IF(LEFT($B411,4)="_Mil","",IF(SUM($BE411)=0,SUM($AF411),IF(OR(SUM($AP411)=0,SUM($AQ411)=0),MAX($BE411,$AF411),ROUND($BE411*$AQ411/$AP411,0))))</f>
        <v>579</v>
      </c>
      <c r="BG411" s="79">
        <f t="shared" si="112"/>
        <v>0.95</v>
      </c>
      <c r="BH411" s="99">
        <f>IF($C411="&lt;01",ROUND(INDEX(EID!$L:$L,MATCH($B411,EID!$B:$B,0)),0)/2,IF(SUM($BG411)=0,"",ROUND($AX411/$BG411,0)))</f>
        <v>20</v>
      </c>
    </row>
    <row r="412" spans="1:60" x14ac:dyDescent="0.2">
      <c r="A412" t="str">
        <f>INDEX(Prioritization!$D:$D,MATCH($B412,Prioritization!$A:$A,0))</f>
        <v>1 - Scale-up: Saturation</v>
      </c>
      <c r="B412" t="s">
        <v>325</v>
      </c>
      <c r="C412" t="s">
        <v>474</v>
      </c>
      <c r="D412" t="s">
        <v>48</v>
      </c>
      <c r="E412" t="str">
        <f t="shared" si="102"/>
        <v>Zomba District [fyEoGEPERdI]|10-14|Male</v>
      </c>
      <c r="F412" s="229">
        <v>745</v>
      </c>
      <c r="G412" s="38">
        <v>30</v>
      </c>
      <c r="H412" s="38">
        <v>16</v>
      </c>
      <c r="I412" s="38">
        <v>745</v>
      </c>
      <c r="J412" s="38">
        <v>774</v>
      </c>
      <c r="K412" s="38">
        <v>596</v>
      </c>
      <c r="L412" s="38">
        <v>106</v>
      </c>
      <c r="M412" s="38">
        <v>101</v>
      </c>
      <c r="N412" s="38">
        <v>743</v>
      </c>
      <c r="O412" s="229">
        <v>745</v>
      </c>
      <c r="P412" s="38">
        <v>621</v>
      </c>
      <c r="Q412" s="38">
        <v>591</v>
      </c>
      <c r="R412" s="38">
        <f t="shared" si="103"/>
        <v>0</v>
      </c>
      <c r="S412" s="38">
        <f>IF(LEFT($B412,4)="_Mil","",_xlfn.IFNA(ROUND(INDEX(Spectrum!$N:$N,MATCH(RIGHT($B412,13)&amp;"|"&amp;$C412&amp;"|"&amp;$D412&amp;"|"&amp;S$14&amp;"|"&amp;"CY2023Q4",Spectrum!$R:$R,0)),0),""))</f>
        <v>687</v>
      </c>
      <c r="T412" s="218">
        <f>IF(LEFT($B412,4)="_Mil","",_xlfn.IFNA(ROUND(INDEX(Spectrum!$N:$N,MATCH(RIGHT($B412,13)&amp;"|"&amp;$C412&amp;"|"&amp;$D412&amp;"|"&amp;T$14&amp;"|"&amp;"CY2024Q3",Spectrum!$R:$R,0)),0),""))</f>
        <v>67340</v>
      </c>
      <c r="U412" s="218">
        <f>IF(LEFT($B412,4)="_Mil","",_xlfn.IFNA(ROUND(INDEX(Spectrum!$N:$N,MATCH(RIGHT($B412,13)&amp;"|"&amp;$C412&amp;"|"&amp;$D412&amp;"|"&amp;U$14&amp;"|"&amp;"CY2024Q3",Spectrum!$R:$R,0)),0),""))</f>
        <v>897</v>
      </c>
      <c r="V412" s="38">
        <f>IF(LEFT($B412,4)="_Mil","",_xlfn.IFNA(ROUND(INDEX(Spectrum!$N:$N,MATCH(RIGHT($B412,13)&amp;"|"&amp;$C412&amp;"|"&amp;$D412&amp;"|"&amp;V$14&amp;"|"&amp;"CY2024Q3",Spectrum!$R:$R,0)),0),""))</f>
        <v>887</v>
      </c>
      <c r="W412" s="220">
        <f>IF(LEFT($B412,4)="_Mil","",_xlfn.IFNA(INDEX(Spectrum!$N:$N,MATCH(RIGHT($B412,13)&amp;"|"&amp;$C412&amp;"|"&amp;$D412&amp;"|"&amp;W$14&amp;"|"&amp;"CY2024Q3",Spectrum!$R:$R,0)),""))</f>
        <v>1.3316186000000001E-2</v>
      </c>
      <c r="X412" s="218">
        <f>IF(LEFT($B412,4)="_Mil","",_xlfn.IFNA(ROUND(INDEX(Spectrum!$N:$N,MATCH(RIGHT($B412,13)&amp;"|"&amp;$C412&amp;"|"&amp;$D412&amp;"|"&amp;X$14&amp;"|"&amp;"CY2024Q3",Spectrum!$R:$R,0)),0),""))</f>
        <v>710</v>
      </c>
      <c r="Y412" s="33">
        <f t="shared" si="104"/>
        <v>0.79</v>
      </c>
      <c r="Z412" s="218">
        <f>IF(LEFT($B412,4)="_Mil","",_xlfn.IFNA(ROUND(INDEX(Spectrum!$N:$N,MATCH(RIGHT($B412,13)&amp;"|"&amp;$C412&amp;"|"&amp;$D412&amp;"|"&amp;Z$14&amp;"|"&amp;"CY2024Q3",Spectrum!$R:$R,0)),0),""))</f>
        <v>678</v>
      </c>
      <c r="AA412" s="33">
        <f>IF(LEFT($B412,4)="_Mil","",IFERROR(1/(1/INDEX(Spectrum!$N:$N,MATCH(RIGHT($B412,13)&amp;"|"&amp;$C412&amp;"|"&amp;$D412&amp;"|"&amp;AA$14&amp;"|"&amp;"CY2024Q3",Spectrum!$R:$R,0))),IF(SUM($U412)=0,"",SUM($Z412)/$U412)))</f>
        <v>0.75747239600000005</v>
      </c>
      <c r="AB412" s="33">
        <f t="shared" si="105"/>
        <v>0.95492957746478868</v>
      </c>
      <c r="AC412" s="38">
        <f>IF(LEFT($B412,4)="_Mil","",_xlfn.IFNA(ROUND(INDEX(Spectrum!$N:$N,MATCH(RIGHT($B412,13)&amp;"|"&amp;$C412&amp;"|"&amp;$D412&amp;"|"&amp;AC$14&amp;"|"&amp;"CY2024Q3",Spectrum!$R:$R,0)),0),""))</f>
        <v>210</v>
      </c>
      <c r="AD412" s="38" t="str">
        <f>IF(LEFT($B412,4)="_Mil","",_xlfn.IFNA(ROUND(INDEX(Spectrum!$N:$N,MATCH(RIGHT($B412,13)&amp;"|"&amp;$C412&amp;"|"&amp;$D412&amp;"|"&amp;AD$14&amp;"|"&amp;"CY2024Q3",Spectrum!$R:$R,0)),0),""))</f>
        <v/>
      </c>
      <c r="AE412" s="33">
        <f t="shared" si="106"/>
        <v>0</v>
      </c>
      <c r="AF412" s="218" t="str">
        <f>IF(LEFT($B412,4)="_Mil","",_xlfn.IFNA(ROUND(INDEX(Spectrum!$N:$N,MATCH(RIGHT($B412,13)&amp;"|"&amp;$C412&amp;"|"&amp;$D412&amp;"|"&amp;AF$14&amp;"|"&amp;"CY2024Q3",Spectrum!$R:$R,0)),0),""))</f>
        <v/>
      </c>
      <c r="AG412" s="33" t="str">
        <f t="shared" si="107"/>
        <v/>
      </c>
      <c r="AH412" s="110" t="str">
        <f>IF(LEFT($B412,4)="_Mil","",_xlfn.IFNA(INDEX(Spectrum!$N:$N,MATCH(RIGHT($B412,13)&amp;"|"&amp;$C412&amp;"|"&amp;$D412&amp;"|"&amp;AH$14&amp;"|"&amp;"CY2024Q3",Spectrum!$R:$R,0)),""))</f>
        <v/>
      </c>
      <c r="AI412" s="218">
        <f>IF(LEFT($B412,4)="_Mil","",_xlfn.IFNA(ROUND(INDEX(Spectrum!$N:$N,MATCH(RIGHT($B412,13)&amp;"|"&amp;$C412&amp;"|"&amp;$D412&amp;"|"&amp;AI$14&amp;"|"&amp;"CY2025Q3",Spectrum!$R:$R,0)),0),""))</f>
        <v>0</v>
      </c>
      <c r="AJ412" s="38">
        <f>IF(LEFT($B412,4)="_Mil","",_xlfn.IFNA(ROUND(INDEX(Spectrum!$N:$N,MATCH(RIGHT($B412,13)&amp;"|"&amp;$C412&amp;"|"&amp;$D412&amp;"|"&amp;AJ$14&amp;"|"&amp;"CY2025Q3",Spectrum!$R:$R,0)),0),""))</f>
        <v>809</v>
      </c>
      <c r="AK412" s="218" t="e">
        <f>#REF!</f>
        <v>#REF!</v>
      </c>
      <c r="AL412" s="33">
        <f t="shared" si="108"/>
        <v>0.9</v>
      </c>
      <c r="AM412" s="38" t="e">
        <f>IF(OR(LEFT($B412,4)="_Mil",$C412="&lt;01"),"",ROUND(SUM($AK412)*SUM($AL412),0))</f>
        <v>#REF!</v>
      </c>
      <c r="AN412" s="38" t="str">
        <f>IF($C412="&lt;01",ROUND(INDEX(EID!$P:$P,MATCH($B412,EID!$B:$B,0))/2,0),"")</f>
        <v/>
      </c>
      <c r="AO412" s="38" t="e">
        <f>IF($C412="&lt;01",SUM($AN412),ROUND(SUM($AM412)*SUM($O412)/IF(SUM($Z412)=0,1,$Z412),0))</f>
        <v>#REF!</v>
      </c>
      <c r="AP412" s="218">
        <f>IF(OR($F412="",$C412="&lt;01"),$AO412,ROUND($F412,0))</f>
        <v>745</v>
      </c>
      <c r="AQ412" s="218">
        <f>IF(LEFT($B412,4)="_Mil","",IF(SUM($AP412)=0,SUM($Z412),IF(OR(SUM($Z412)=0,SUM($O412)=0),MAX($AP412,$Z412),ROUND($AP412*$Z412/$O412,0))))</f>
        <v>678</v>
      </c>
      <c r="AR412" s="33" t="e">
        <f>IF(OR(LEFT($B412,4)="_Mil",SUM($AK412)=0),"",SUM($AQ412)/$AK412)</f>
        <v>#REF!</v>
      </c>
      <c r="AS412" s="33">
        <f t="shared" si="113"/>
        <v>0.98</v>
      </c>
      <c r="AT412" s="33">
        <f t="shared" si="98"/>
        <v>0.98</v>
      </c>
      <c r="AU412" s="38">
        <f>IF($C412="&lt;01","",SUM($AP412)-SUM($O412))</f>
        <v>0</v>
      </c>
      <c r="AV412" s="38">
        <f>IF($C412="&lt;01",ROUND(INDEX(EID!$N:$N,MATCH($B412,EID!$B:$B,0))/2,0),IF(SUM($AT412)=0,"",ROUND((SUM($AP412)-(SUM($O412)*SUM($AS412)))/$AT412,0)))</f>
        <v>15</v>
      </c>
      <c r="AW412" s="33">
        <f t="shared" si="109"/>
        <v>1</v>
      </c>
      <c r="AX412" s="218">
        <f>IF($C412="&lt;01",SUM($AV412),ROUND(SUM($AV412)*SUM($AW412),0))</f>
        <v>15</v>
      </c>
      <c r="AY412" s="79">
        <f t="shared" si="110"/>
        <v>0.7</v>
      </c>
      <c r="AZ412" s="85">
        <f>IF($C412="&lt;01",ROUND(INDEX(EID!$R:$R,MATCH($B412,EID!$B:$B,0))/2,0),ROUND(SUM($O412)+(SUM($AV412)*$AY412),0))</f>
        <v>756</v>
      </c>
      <c r="BA412" s="40">
        <f t="shared" si="97"/>
        <v>0.9</v>
      </c>
      <c r="BB412" s="99">
        <f>IF($C412="&lt;01",ROUND(INDEX(EID!$T:$T,MATCH($B412,EID!$B:$B,0))/2,0),ROUND($AP412*$BA412,0))</f>
        <v>671</v>
      </c>
      <c r="BC412" s="85">
        <f>IF(LEFT($B412,4)="_Mil","",IF(SUM($BB412)=0,SUM($AD412),IF(OR(SUM($AP412)=0,SUM($AQ412)=0),MAX($BB412,$AD412),ROUND($BB412*$AQ412/$AP412,0))))</f>
        <v>611</v>
      </c>
      <c r="BD412" s="33">
        <f t="shared" si="111"/>
        <v>0.95</v>
      </c>
      <c r="BE412" s="218">
        <f>IF($C412="&lt;01",ROUND(INDEX(EID!$V:$V,MATCH($B412,EID!$B:$B,0))/2,0),ROUND($BD412*$BB412,0))</f>
        <v>637</v>
      </c>
      <c r="BF412" s="218">
        <f>IF(LEFT($B412,4)="_Mil","",IF(SUM($BE412)=0,SUM($AF412),IF(OR(SUM($AP412)=0,SUM($AQ412)=0),MAX($BE412,$AF412),ROUND($BE412*$AQ412/$AP412,0))))</f>
        <v>580</v>
      </c>
      <c r="BG412" s="79">
        <f t="shared" si="112"/>
        <v>0.95</v>
      </c>
      <c r="BH412" s="99">
        <f>IF($C412="&lt;01",ROUND(INDEX(EID!$L:$L,MATCH($B412,EID!$B:$B,0)),0)/2,IF(SUM($BG412)=0,"",ROUND($AX412/$BG412,0)))</f>
        <v>16</v>
      </c>
    </row>
    <row r="413" spans="1:60" x14ac:dyDescent="0.2">
      <c r="A413" t="str">
        <f>INDEX(Prioritization!$D:$D,MATCH($B413,Prioritization!$A:$A,0))</f>
        <v>1 - Scale-up: Saturation</v>
      </c>
      <c r="B413" t="s">
        <v>325</v>
      </c>
      <c r="C413" t="s">
        <v>475</v>
      </c>
      <c r="D413" t="s">
        <v>30</v>
      </c>
      <c r="E413" t="str">
        <f t="shared" si="102"/>
        <v>Zomba District [fyEoGEPERdI]|15-24|Female</v>
      </c>
      <c r="F413" s="229">
        <v>3194</v>
      </c>
      <c r="G413" s="38">
        <v>657</v>
      </c>
      <c r="H413" s="38">
        <v>617</v>
      </c>
      <c r="I413" s="38">
        <v>3194</v>
      </c>
      <c r="J413" s="38">
        <v>2936</v>
      </c>
      <c r="K413" s="38">
        <v>2612</v>
      </c>
      <c r="L413" s="38">
        <v>267</v>
      </c>
      <c r="M413" s="38">
        <v>262</v>
      </c>
      <c r="N413" s="38">
        <v>3023</v>
      </c>
      <c r="O413" s="229">
        <v>3194</v>
      </c>
      <c r="P413" s="38">
        <v>2769</v>
      </c>
      <c r="Q413" s="38">
        <v>2631</v>
      </c>
      <c r="R413" s="38">
        <f t="shared" si="103"/>
        <v>0</v>
      </c>
      <c r="S413" s="38">
        <f>IF(LEFT($B413,4)="_Mil","",_xlfn.IFNA(ROUND(INDEX(Spectrum!$N:$N,MATCH(RIGHT($B413,13)&amp;"|"&amp;$C413&amp;"|"&amp;$D413&amp;"|"&amp;S$14&amp;"|"&amp;"CY2023Q4",Spectrum!$R:$R,0)),0),""))</f>
        <v>3349</v>
      </c>
      <c r="T413" s="218">
        <f>IF(LEFT($B413,4)="_Mil","",_xlfn.IFNA(ROUND(INDEX(Spectrum!$N:$N,MATCH(RIGHT($B413,13)&amp;"|"&amp;$C413&amp;"|"&amp;$D413&amp;"|"&amp;T$14&amp;"|"&amp;"CY2024Q3",Spectrum!$R:$R,0)),0),""))</f>
        <v>114375</v>
      </c>
      <c r="U413" s="218">
        <f>IF(LEFT($B413,4)="_Mil","",_xlfn.IFNA(ROUND(INDEX(Spectrum!$N:$N,MATCH(RIGHT($B413,13)&amp;"|"&amp;$C413&amp;"|"&amp;$D413&amp;"|"&amp;U$14&amp;"|"&amp;"CY2024Q3",Spectrum!$R:$R,0)),0),""))</f>
        <v>3471</v>
      </c>
      <c r="V413" s="38">
        <f>IF(LEFT($B413,4)="_Mil","",_xlfn.IFNA(ROUND(INDEX(Spectrum!$N:$N,MATCH(RIGHT($B413,13)&amp;"|"&amp;$C413&amp;"|"&amp;$D413&amp;"|"&amp;V$14&amp;"|"&amp;"CY2024Q3",Spectrum!$R:$R,0)),0),""))</f>
        <v>3443</v>
      </c>
      <c r="W413" s="220">
        <f>IF(LEFT($B413,4)="_Mil","",_xlfn.IFNA(INDEX(Spectrum!$N:$N,MATCH(RIGHT($B413,13)&amp;"|"&amp;$C413&amp;"|"&amp;$D413&amp;"|"&amp;W$14&amp;"|"&amp;"CY2024Q3",Spectrum!$R:$R,0)),""))</f>
        <v>3.0345459000000002E-2</v>
      </c>
      <c r="X413" s="218">
        <f>IF(LEFT($B413,4)="_Mil","",_xlfn.IFNA(ROUND(INDEX(Spectrum!$N:$N,MATCH(RIGHT($B413,13)&amp;"|"&amp;$C413&amp;"|"&amp;$D413&amp;"|"&amp;X$14&amp;"|"&amp;"CY2024Q3",Spectrum!$R:$R,0)),0),""))</f>
        <v>3276</v>
      </c>
      <c r="Y413" s="33">
        <f t="shared" si="104"/>
        <v>0.94</v>
      </c>
      <c r="Z413" s="218">
        <f>IF(LEFT($B413,4)="_Mil","",_xlfn.IFNA(ROUND(INDEX(Spectrum!$N:$N,MATCH(RIGHT($B413,13)&amp;"|"&amp;$C413&amp;"|"&amp;$D413&amp;"|"&amp;Z$14&amp;"|"&amp;"CY2024Q3",Spectrum!$R:$R,0)),0),""))</f>
        <v>3253</v>
      </c>
      <c r="AA413" s="33">
        <f>IF(LEFT($B413,4)="_Mil","",IFERROR(1/(1/INDEX(Spectrum!$N:$N,MATCH(RIGHT($B413,13)&amp;"|"&amp;$C413&amp;"|"&amp;$D413&amp;"|"&amp;AA$14&amp;"|"&amp;"CY2024Q3",Spectrum!$R:$R,0))),IF(SUM($U413)=0,"",SUM($Z413)/$U413)))</f>
        <v>0.94401551399999983</v>
      </c>
      <c r="AB413" s="33">
        <f t="shared" si="105"/>
        <v>0.992979242979243</v>
      </c>
      <c r="AC413" s="38">
        <f>IF(LEFT($B413,4)="_Mil","",_xlfn.IFNA(ROUND(INDEX(Spectrum!$N:$N,MATCH(RIGHT($B413,13)&amp;"|"&amp;$C413&amp;"|"&amp;$D413&amp;"|"&amp;AC$14&amp;"|"&amp;"CY2024Q3",Spectrum!$R:$R,0)),0),""))</f>
        <v>190</v>
      </c>
      <c r="AD413" s="38" t="str">
        <f>IF(LEFT($B413,4)="_Mil","",_xlfn.IFNA(ROUND(INDEX(Spectrum!$N:$N,MATCH(RIGHT($B413,13)&amp;"|"&amp;$C413&amp;"|"&amp;$D413&amp;"|"&amp;AD$14&amp;"|"&amp;"CY2024Q3",Spectrum!$R:$R,0)),0),""))</f>
        <v/>
      </c>
      <c r="AE413" s="33">
        <f t="shared" si="106"/>
        <v>0</v>
      </c>
      <c r="AF413" s="218" t="str">
        <f>IF(LEFT($B413,4)="_Mil","",_xlfn.IFNA(ROUND(INDEX(Spectrum!$N:$N,MATCH(RIGHT($B413,13)&amp;"|"&amp;$C413&amp;"|"&amp;$D413&amp;"|"&amp;AF$14&amp;"|"&amp;"CY2024Q3",Spectrum!$R:$R,0)),0),""))</f>
        <v/>
      </c>
      <c r="AG413" s="33" t="str">
        <f t="shared" si="107"/>
        <v/>
      </c>
      <c r="AH413" s="110" t="str">
        <f>IF(LEFT($B413,4)="_Mil","",_xlfn.IFNA(INDEX(Spectrum!$N:$N,MATCH(RIGHT($B413,13)&amp;"|"&amp;$C413&amp;"|"&amp;$D413&amp;"|"&amp;AH$14&amp;"|"&amp;"CY2024Q3",Spectrum!$R:$R,0)),""))</f>
        <v/>
      </c>
      <c r="AI413" s="218">
        <f>IF(LEFT($B413,4)="_Mil","",_xlfn.IFNA(ROUND(INDEX(Spectrum!$N:$N,MATCH(RIGHT($B413,13)&amp;"|"&amp;$C413&amp;"|"&amp;$D413&amp;"|"&amp;AI$14&amp;"|"&amp;"CY2025Q3",Spectrum!$R:$R,0)),0),""))</f>
        <v>197</v>
      </c>
      <c r="AJ413" s="38">
        <f>IF(LEFT($B413,4)="_Mil","",_xlfn.IFNA(ROUND(INDEX(Spectrum!$N:$N,MATCH(RIGHT($B413,13)&amp;"|"&amp;$C413&amp;"|"&amp;$D413&amp;"|"&amp;AJ$14&amp;"|"&amp;"CY2025Q3",Spectrum!$R:$R,0)),0),""))</f>
        <v>3338</v>
      </c>
      <c r="AK413" s="218" t="e">
        <f>#REF!</f>
        <v>#REF!</v>
      </c>
      <c r="AL413" s="33">
        <f t="shared" si="108"/>
        <v>0.94401551399999983</v>
      </c>
      <c r="AM413" s="38" t="e">
        <f>IF(OR(LEFT($B413,4)="_Mil",$C413="&lt;01"),"",ROUND(SUM($AK413)*SUM($AL413),0))</f>
        <v>#REF!</v>
      </c>
      <c r="AN413" s="38" t="str">
        <f>IF($C413="&lt;01",ROUND(INDEX(EID!$P:$P,MATCH($B413,EID!$B:$B,0))/2,0),"")</f>
        <v/>
      </c>
      <c r="AO413" s="38" t="e">
        <f>IF($C413="&lt;01",SUM($AN413),ROUND(SUM($AM413)*SUM($O413)/IF(SUM($Z413)=0,1,$Z413),0))</f>
        <v>#REF!</v>
      </c>
      <c r="AP413" s="218">
        <f>IF(OR($F413="",$C413="&lt;01"),$AO413,ROUND($F413,0))</f>
        <v>3194</v>
      </c>
      <c r="AQ413" s="218">
        <f>IF(LEFT($B413,4)="_Mil","",IF(SUM($AP413)=0,SUM($Z413),IF(OR(SUM($Z413)=0,SUM($O413)=0),MAX($AP413,$Z413),ROUND($AP413*$Z413/$O413,0))))</f>
        <v>3253</v>
      </c>
      <c r="AR413" s="33" t="e">
        <f>IF(OR(LEFT($B413,4)="_Mil",SUM($AK413)=0),"",SUM($AQ413)/$AK413)</f>
        <v>#REF!</v>
      </c>
      <c r="AS413" s="33">
        <f>IF($C413="&lt;01","",85%)</f>
        <v>0.85</v>
      </c>
      <c r="AT413" s="33">
        <f>IF($C413="&lt;01","",90%)</f>
        <v>0.9</v>
      </c>
      <c r="AU413" s="38">
        <f>IF($C413="&lt;01","",SUM($AP413)-SUM($O413))</f>
        <v>0</v>
      </c>
      <c r="AV413" s="38">
        <f>IF($C413="&lt;01",ROUND(INDEX(EID!$N:$N,MATCH($B413,EID!$B:$B,0))/2,0),IF(SUM($AT413)=0,"",ROUND((SUM($AP413)-(SUM($O413)*SUM($AS413)))/$AT413,0)))</f>
        <v>532</v>
      </c>
      <c r="AW413" s="33">
        <f t="shared" si="109"/>
        <v>1</v>
      </c>
      <c r="AX413" s="218">
        <f>IF($C413="&lt;01",SUM($AV413),ROUND(SUM($AV413)*SUM($AW413),0))</f>
        <v>532</v>
      </c>
      <c r="AY413" s="79">
        <f t="shared" si="110"/>
        <v>0.7</v>
      </c>
      <c r="AZ413" s="85">
        <f>IF($C413="&lt;01",ROUND(INDEX(EID!$R:$R,MATCH($B413,EID!$B:$B,0))/2,0),ROUND(SUM($O413)+(SUM($AV413)*$AY413),0))</f>
        <v>3566</v>
      </c>
      <c r="BA413" s="40">
        <f t="shared" si="97"/>
        <v>0.9</v>
      </c>
      <c r="BB413" s="99">
        <f>IF($C413="&lt;01",ROUND(INDEX(EID!$T:$T,MATCH($B413,EID!$B:$B,0))/2,0),ROUND($AP413*$BA413,0))</f>
        <v>2875</v>
      </c>
      <c r="BC413" s="85">
        <f>IF(LEFT($B413,4)="_Mil","",IF(SUM($BB413)=0,SUM($AD413),IF(OR(SUM($AP413)=0,SUM($AQ413)=0),MAX($BB413,$AD413),ROUND($BB413*$AQ413/$AP413,0))))</f>
        <v>2928</v>
      </c>
      <c r="BD413" s="33">
        <f t="shared" si="111"/>
        <v>0.95</v>
      </c>
      <c r="BE413" s="218">
        <f>IF($C413="&lt;01",ROUND(INDEX(EID!$V:$V,MATCH($B413,EID!$B:$B,0))/2,0),ROUND($BD413*$BB413,0))</f>
        <v>2731</v>
      </c>
      <c r="BF413" s="218">
        <f>IF(LEFT($B413,4)="_Mil","",IF(SUM($BE413)=0,SUM($AF413),IF(OR(SUM($AP413)=0,SUM($AQ413)=0),MAX($BE413,$AF413),ROUND($BE413*$AQ413/$AP413,0))))</f>
        <v>2781</v>
      </c>
      <c r="BG413" s="79">
        <f t="shared" si="112"/>
        <v>0.95</v>
      </c>
      <c r="BH413" s="99">
        <f>IF($C413="&lt;01",ROUND(INDEX(EID!$L:$L,MATCH($B413,EID!$B:$B,0)),0)/2,IF(SUM($BG413)=0,"",ROUND($AX413/$BG413,0)))</f>
        <v>560</v>
      </c>
    </row>
    <row r="414" spans="1:60" x14ac:dyDescent="0.2">
      <c r="A414" t="str">
        <f>INDEX(Prioritization!$D:$D,MATCH($B414,Prioritization!$A:$A,0))</f>
        <v>1 - Scale-up: Saturation</v>
      </c>
      <c r="B414" t="s">
        <v>325</v>
      </c>
      <c r="C414" t="s">
        <v>475</v>
      </c>
      <c r="D414" t="s">
        <v>48</v>
      </c>
      <c r="E414" t="str">
        <f t="shared" si="102"/>
        <v>Zomba District [fyEoGEPERdI]|15-24|Male</v>
      </c>
      <c r="F414" s="229">
        <v>1901</v>
      </c>
      <c r="G414" s="38">
        <v>194</v>
      </c>
      <c r="H414" s="38">
        <v>141</v>
      </c>
      <c r="I414" s="38">
        <v>1541</v>
      </c>
      <c r="J414" s="38">
        <v>1190</v>
      </c>
      <c r="K414" s="38">
        <v>1005</v>
      </c>
      <c r="L414" s="38">
        <v>237</v>
      </c>
      <c r="M414" s="38">
        <v>224</v>
      </c>
      <c r="N414" s="38">
        <v>2176</v>
      </c>
      <c r="O414" s="229">
        <v>1781</v>
      </c>
      <c r="P414" s="38">
        <v>1966</v>
      </c>
      <c r="Q414" s="38">
        <v>1869</v>
      </c>
      <c r="R414" s="38">
        <f t="shared" si="103"/>
        <v>240</v>
      </c>
      <c r="S414" s="38">
        <f>IF(LEFT($B414,4)="_Mil","",_xlfn.IFNA(ROUND(INDEX(Spectrum!$N:$N,MATCH(RIGHT($B414,13)&amp;"|"&amp;$C414&amp;"|"&amp;$D414&amp;"|"&amp;S$14&amp;"|"&amp;"CY2023Q4",Spectrum!$R:$R,0)),0),""))</f>
        <v>2143</v>
      </c>
      <c r="T414" s="218">
        <f>IF(LEFT($B414,4)="_Mil","",_xlfn.IFNA(ROUND(INDEX(Spectrum!$N:$N,MATCH(RIGHT($B414,13)&amp;"|"&amp;$C414&amp;"|"&amp;$D414&amp;"|"&amp;T$14&amp;"|"&amp;"CY2024Q3",Spectrum!$R:$R,0)),0),""))</f>
        <v>110935</v>
      </c>
      <c r="U414" s="218">
        <f>IF(LEFT($B414,4)="_Mil","",_xlfn.IFNA(ROUND(INDEX(Spectrum!$N:$N,MATCH(RIGHT($B414,13)&amp;"|"&amp;$C414&amp;"|"&amp;$D414&amp;"|"&amp;U$14&amp;"|"&amp;"CY2024Q3",Spectrum!$R:$R,0)),0),""))</f>
        <v>2383</v>
      </c>
      <c r="V414" s="38">
        <f>IF(LEFT($B414,4)="_Mil","",_xlfn.IFNA(ROUND(INDEX(Spectrum!$N:$N,MATCH(RIGHT($B414,13)&amp;"|"&amp;$C414&amp;"|"&amp;$D414&amp;"|"&amp;V$14&amp;"|"&amp;"CY2024Q3",Spectrum!$R:$R,0)),0),""))</f>
        <v>2375</v>
      </c>
      <c r="W414" s="220">
        <f>IF(LEFT($B414,4)="_Mil","",_xlfn.IFNA(INDEX(Spectrum!$N:$N,MATCH(RIGHT($B414,13)&amp;"|"&amp;$C414&amp;"|"&amp;$D414&amp;"|"&amp;W$14&amp;"|"&amp;"CY2024Q3",Spectrum!$R:$R,0)),""))</f>
        <v>2.1483163999999999E-2</v>
      </c>
      <c r="X414" s="218">
        <f>IF(LEFT($B414,4)="_Mil","",_xlfn.IFNA(ROUND(INDEX(Spectrum!$N:$N,MATCH(RIGHT($B414,13)&amp;"|"&amp;$C414&amp;"|"&amp;$D414&amp;"|"&amp;X$14&amp;"|"&amp;"CY2024Q3",Spectrum!$R:$R,0)),0),""))</f>
        <v>2181</v>
      </c>
      <c r="Y414" s="33">
        <f t="shared" si="104"/>
        <v>0.92</v>
      </c>
      <c r="Z414" s="218">
        <f>IF(LEFT($B414,4)="_Mil","",_xlfn.IFNA(ROUND(INDEX(Spectrum!$N:$N,MATCH(RIGHT($B414,13)&amp;"|"&amp;$C414&amp;"|"&amp;$D414&amp;"|"&amp;Z$14&amp;"|"&amp;"CY2024Q3",Spectrum!$R:$R,0)),0),""))</f>
        <v>2167</v>
      </c>
      <c r="AA414" s="33">
        <f>IF(LEFT($B414,4)="_Mil","",IFERROR(1/(1/INDEX(Spectrum!$N:$N,MATCH(RIGHT($B414,13)&amp;"|"&amp;$C414&amp;"|"&amp;$D414&amp;"|"&amp;AA$14&amp;"|"&amp;"CY2024Q3",Spectrum!$R:$R,0))),IF(SUM($U414)=0,"",SUM($Z414)/$U414)))</f>
        <v>0.91281844899999987</v>
      </c>
      <c r="AB414" s="33">
        <f t="shared" si="105"/>
        <v>0.99358092618065108</v>
      </c>
      <c r="AC414" s="38">
        <f>IF(LEFT($B414,4)="_Mil","",_xlfn.IFNA(ROUND(INDEX(Spectrum!$N:$N,MATCH(RIGHT($B414,13)&amp;"|"&amp;$C414&amp;"|"&amp;$D414&amp;"|"&amp;AC$14&amp;"|"&amp;"CY2024Q3",Spectrum!$R:$R,0)),0),""))</f>
        <v>208</v>
      </c>
      <c r="AD414" s="38" t="str">
        <f>IF(LEFT($B414,4)="_Mil","",_xlfn.IFNA(ROUND(INDEX(Spectrum!$N:$N,MATCH(RIGHT($B414,13)&amp;"|"&amp;$C414&amp;"|"&amp;$D414&amp;"|"&amp;AD$14&amp;"|"&amp;"CY2024Q3",Spectrum!$R:$R,0)),0),""))</f>
        <v/>
      </c>
      <c r="AE414" s="33">
        <f t="shared" si="106"/>
        <v>0</v>
      </c>
      <c r="AF414" s="218" t="str">
        <f>IF(LEFT($B414,4)="_Mil","",_xlfn.IFNA(ROUND(INDEX(Spectrum!$N:$N,MATCH(RIGHT($B414,13)&amp;"|"&amp;$C414&amp;"|"&amp;$D414&amp;"|"&amp;AF$14&amp;"|"&amp;"CY2024Q3",Spectrum!$R:$R,0)),0),""))</f>
        <v/>
      </c>
      <c r="AG414" s="33" t="str">
        <f t="shared" si="107"/>
        <v/>
      </c>
      <c r="AH414" s="110" t="str">
        <f>IF(LEFT($B414,4)="_Mil","",_xlfn.IFNA(INDEX(Spectrum!$N:$N,MATCH(RIGHT($B414,13)&amp;"|"&amp;$C414&amp;"|"&amp;$D414&amp;"|"&amp;AH$14&amp;"|"&amp;"CY2024Q3",Spectrum!$R:$R,0)),""))</f>
        <v/>
      </c>
      <c r="AI414" s="218">
        <f>IF(LEFT($B414,4)="_Mil","",_xlfn.IFNA(ROUND(INDEX(Spectrum!$N:$N,MATCH(RIGHT($B414,13)&amp;"|"&amp;$C414&amp;"|"&amp;$D414&amp;"|"&amp;AI$14&amp;"|"&amp;"CY2025Q3",Spectrum!$R:$R,0)),0),""))</f>
        <v>33</v>
      </c>
      <c r="AJ414" s="38">
        <f>IF(LEFT($B414,4)="_Mil","",_xlfn.IFNA(ROUND(INDEX(Spectrum!$N:$N,MATCH(RIGHT($B414,13)&amp;"|"&amp;$C414&amp;"|"&amp;$D414&amp;"|"&amp;AJ$14&amp;"|"&amp;"CY2025Q3",Spectrum!$R:$R,0)),0),""))</f>
        <v>2334</v>
      </c>
      <c r="AK414" s="218" t="e">
        <f>#REF!</f>
        <v>#REF!</v>
      </c>
      <c r="AL414" s="33">
        <f t="shared" si="108"/>
        <v>0.91281844899999987</v>
      </c>
      <c r="AM414" s="38" t="e">
        <f>IF(OR(LEFT($B414,4)="_Mil",$C414="&lt;01"),"",ROUND(SUM($AK414)*SUM($AL414),0))</f>
        <v>#REF!</v>
      </c>
      <c r="AN414" s="38" t="str">
        <f>IF($C414="&lt;01",ROUND(INDEX(EID!$P:$P,MATCH($B414,EID!$B:$B,0))/2,0),"")</f>
        <v/>
      </c>
      <c r="AO414" s="38" t="e">
        <f>IF($C414="&lt;01",SUM($AN414),ROUND(SUM($AM414)*SUM($O414)/IF(SUM($Z414)=0,1,$Z414),0))</f>
        <v>#REF!</v>
      </c>
      <c r="AP414" s="218">
        <f>IF(OR($F414="",$C414="&lt;01"),$AO414,ROUND($F414,0))</f>
        <v>1901</v>
      </c>
      <c r="AQ414" s="218">
        <f>IF(LEFT($B414,4)="_Mil","",IF(SUM($AP414)=0,SUM($Z414),IF(OR(SUM($Z414)=0,SUM($O414)=0),MAX($AP414,$Z414),ROUND($AP414*$Z414/$O414,0))))</f>
        <v>2313</v>
      </c>
      <c r="AR414" s="33" t="e">
        <f>IF(OR(LEFT($B414,4)="_Mil",SUM($AK414)=0),"",SUM($AQ414)/$AK414)</f>
        <v>#REF!</v>
      </c>
      <c r="AS414" s="33">
        <f t="shared" si="113"/>
        <v>0.98</v>
      </c>
      <c r="AT414" s="33">
        <f t="shared" si="98"/>
        <v>0.98</v>
      </c>
      <c r="AU414" s="38">
        <f>IF($C414="&lt;01","",SUM($AP414)-SUM($O414))</f>
        <v>120</v>
      </c>
      <c r="AV414" s="38">
        <f>IF($C414="&lt;01",ROUND(INDEX(EID!$N:$N,MATCH($B414,EID!$B:$B,0))/2,0),IF(SUM($AT414)=0,"",ROUND((SUM($AP414)-(SUM($O414)*SUM($AS414)))/$AT414,0)))</f>
        <v>159</v>
      </c>
      <c r="AW414" s="33">
        <f t="shared" si="109"/>
        <v>1</v>
      </c>
      <c r="AX414" s="218">
        <f>IF($C414="&lt;01",SUM($AV414),ROUND(SUM($AV414)*SUM($AW414),0))</f>
        <v>159</v>
      </c>
      <c r="AY414" s="79">
        <f t="shared" si="110"/>
        <v>0.7</v>
      </c>
      <c r="AZ414" s="85">
        <f>IF($C414="&lt;01",ROUND(INDEX(EID!$R:$R,MATCH($B414,EID!$B:$B,0))/2,0),ROUND(SUM($O414)+(SUM($AV414)*$AY414),0))</f>
        <v>1892</v>
      </c>
      <c r="BA414" s="40">
        <f t="shared" si="97"/>
        <v>0.9</v>
      </c>
      <c r="BB414" s="99">
        <f>IF($C414="&lt;01",ROUND(INDEX(EID!$T:$T,MATCH($B414,EID!$B:$B,0))/2,0),ROUND($AP414*$BA414,0))</f>
        <v>1711</v>
      </c>
      <c r="BC414" s="85">
        <f>IF(LEFT($B414,4)="_Mil","",IF(SUM($BB414)=0,SUM($AD414),IF(OR(SUM($AP414)=0,SUM($AQ414)=0),MAX($BB414,$AD414),ROUND($BB414*$AQ414/$AP414,0))))</f>
        <v>2082</v>
      </c>
      <c r="BD414" s="33">
        <f t="shared" si="111"/>
        <v>0.95</v>
      </c>
      <c r="BE414" s="218">
        <f>IF($C414="&lt;01",ROUND(INDEX(EID!$V:$V,MATCH($B414,EID!$B:$B,0))/2,0),ROUND($BD414*$BB414,0))</f>
        <v>1625</v>
      </c>
      <c r="BF414" s="218">
        <f>IF(LEFT($B414,4)="_Mil","",IF(SUM($BE414)=0,SUM($AF414),IF(OR(SUM($AP414)=0,SUM($AQ414)=0),MAX($BE414,$AF414),ROUND($BE414*$AQ414/$AP414,0))))</f>
        <v>1977</v>
      </c>
      <c r="BG414" s="79">
        <f t="shared" si="112"/>
        <v>0.95</v>
      </c>
      <c r="BH414" s="99">
        <f>IF($C414="&lt;01",ROUND(INDEX(EID!$L:$L,MATCH($B414,EID!$B:$B,0)),0)/2,IF(SUM($BG414)=0,"",ROUND($AX414/$BG414,0)))</f>
        <v>167</v>
      </c>
    </row>
    <row r="415" spans="1:60" x14ac:dyDescent="0.2">
      <c r="A415" t="str">
        <f>INDEX(Prioritization!$D:$D,MATCH($B415,Prioritization!$A:$A,0))</f>
        <v>1 - Scale-up: Saturation</v>
      </c>
      <c r="B415" t="s">
        <v>325</v>
      </c>
      <c r="C415" t="s">
        <v>476</v>
      </c>
      <c r="D415" t="s">
        <v>30</v>
      </c>
      <c r="E415" t="str">
        <f t="shared" si="102"/>
        <v>Zomba District [fyEoGEPERdI]|25-34|Female</v>
      </c>
      <c r="F415" s="229">
        <v>8202</v>
      </c>
      <c r="G415" s="38">
        <v>1034</v>
      </c>
      <c r="H415" s="38">
        <v>952</v>
      </c>
      <c r="I415" s="38">
        <v>8699</v>
      </c>
      <c r="J415" s="38">
        <v>7577</v>
      </c>
      <c r="K415" s="38">
        <v>7209</v>
      </c>
      <c r="L415" s="38">
        <v>741</v>
      </c>
      <c r="M415" s="38">
        <v>723</v>
      </c>
      <c r="N415" s="38">
        <v>8382</v>
      </c>
      <c r="O415" s="229">
        <v>8699</v>
      </c>
      <c r="P415" s="38">
        <v>7678</v>
      </c>
      <c r="Q415" s="38">
        <v>7294</v>
      </c>
      <c r="R415" s="38">
        <f t="shared" si="103"/>
        <v>0</v>
      </c>
      <c r="S415" s="38">
        <f>IF(LEFT($B415,4)="_Mil","",_xlfn.IFNA(ROUND(INDEX(Spectrum!$N:$N,MATCH(RIGHT($B415,13)&amp;"|"&amp;$C415&amp;"|"&amp;$D415&amp;"|"&amp;S$14&amp;"|"&amp;"CY2023Q4",Spectrum!$R:$R,0)),0),""))</f>
        <v>9030</v>
      </c>
      <c r="T415" s="218">
        <f>IF(LEFT($B415,4)="_Mil","",_xlfn.IFNA(ROUND(INDEX(Spectrum!$N:$N,MATCH(RIGHT($B415,13)&amp;"|"&amp;$C415&amp;"|"&amp;$D415&amp;"|"&amp;T$14&amp;"|"&amp;"CY2024Q3",Spectrum!$R:$R,0)),0),""))</f>
        <v>78033</v>
      </c>
      <c r="U415" s="218">
        <f>IF(LEFT($B415,4)="_Mil","",_xlfn.IFNA(ROUND(INDEX(Spectrum!$N:$N,MATCH(RIGHT($B415,13)&amp;"|"&amp;$C415&amp;"|"&amp;$D415&amp;"|"&amp;U$14&amp;"|"&amp;"CY2024Q3",Spectrum!$R:$R,0)),0),""))</f>
        <v>8867</v>
      </c>
      <c r="V415" s="38">
        <f>IF(LEFT($B415,4)="_Mil","",_xlfn.IFNA(ROUND(INDEX(Spectrum!$N:$N,MATCH(RIGHT($B415,13)&amp;"|"&amp;$C415&amp;"|"&amp;$D415&amp;"|"&amp;V$14&amp;"|"&amp;"CY2024Q3",Spectrum!$R:$R,0)),0),""))</f>
        <v>8807</v>
      </c>
      <c r="W415" s="220">
        <f>IF(LEFT($B415,4)="_Mil","",_xlfn.IFNA(INDEX(Spectrum!$N:$N,MATCH(RIGHT($B415,13)&amp;"|"&amp;$C415&amp;"|"&amp;$D415&amp;"|"&amp;W$14&amp;"|"&amp;"CY2024Q3",Spectrum!$R:$R,0)),""))</f>
        <v>0.113633519</v>
      </c>
      <c r="X415" s="218">
        <f>IF(LEFT($B415,4)="_Mil","",_xlfn.IFNA(ROUND(INDEX(Spectrum!$N:$N,MATCH(RIGHT($B415,13)&amp;"|"&amp;$C415&amp;"|"&amp;$D415&amp;"|"&amp;X$14&amp;"|"&amp;"CY2024Q3",Spectrum!$R:$R,0)),0),""))</f>
        <v>8606</v>
      </c>
      <c r="Y415" s="33">
        <f t="shared" si="104"/>
        <v>0.97</v>
      </c>
      <c r="Z415" s="218">
        <f>IF(LEFT($B415,4)="_Mil","",_xlfn.IFNA(ROUND(INDEX(Spectrum!$N:$N,MATCH(RIGHT($B415,13)&amp;"|"&amp;$C415&amp;"|"&amp;$D415&amp;"|"&amp;Z$14&amp;"|"&amp;"CY2024Q3",Spectrum!$R:$R,0)),0),""))</f>
        <v>8559</v>
      </c>
      <c r="AA415" s="33">
        <f>IF(LEFT($B415,4)="_Mil","",IFERROR(1/(1/INDEX(Spectrum!$N:$N,MATCH(RIGHT($B415,13)&amp;"|"&amp;$C415&amp;"|"&amp;$D415&amp;"|"&amp;AA$14&amp;"|"&amp;"CY2024Q3",Spectrum!$R:$R,0))),IF(SUM($U415)=0,"",SUM($Z415)/$U415)))</f>
        <v>0.97052296500000002</v>
      </c>
      <c r="AB415" s="33">
        <f t="shared" si="105"/>
        <v>0.99453869393446437</v>
      </c>
      <c r="AC415" s="38">
        <f>IF(LEFT($B415,4)="_Mil","",_xlfn.IFNA(ROUND(INDEX(Spectrum!$N:$N,MATCH(RIGHT($B415,13)&amp;"|"&amp;$C415&amp;"|"&amp;$D415&amp;"|"&amp;AC$14&amp;"|"&amp;"CY2024Q3",Spectrum!$R:$R,0)),0),""))</f>
        <v>248</v>
      </c>
      <c r="AD415" s="38" t="str">
        <f>IF(LEFT($B415,4)="_Mil","",_xlfn.IFNA(ROUND(INDEX(Spectrum!$N:$N,MATCH(RIGHT($B415,13)&amp;"|"&amp;$C415&amp;"|"&amp;$D415&amp;"|"&amp;AD$14&amp;"|"&amp;"CY2024Q3",Spectrum!$R:$R,0)),0),""))</f>
        <v/>
      </c>
      <c r="AE415" s="33">
        <f t="shared" si="106"/>
        <v>0</v>
      </c>
      <c r="AF415" s="218" t="str">
        <f>IF(LEFT($B415,4)="_Mil","",_xlfn.IFNA(ROUND(INDEX(Spectrum!$N:$N,MATCH(RIGHT($B415,13)&amp;"|"&amp;$C415&amp;"|"&amp;$D415&amp;"|"&amp;AF$14&amp;"|"&amp;"CY2024Q3",Spectrum!$R:$R,0)),0),""))</f>
        <v/>
      </c>
      <c r="AG415" s="33" t="str">
        <f t="shared" si="107"/>
        <v/>
      </c>
      <c r="AH415" s="110" t="str">
        <f>IF(LEFT($B415,4)="_Mil","",_xlfn.IFNA(INDEX(Spectrum!$N:$N,MATCH(RIGHT($B415,13)&amp;"|"&amp;$C415&amp;"|"&amp;$D415&amp;"|"&amp;AH$14&amp;"|"&amp;"CY2024Q3",Spectrum!$R:$R,0)),""))</f>
        <v/>
      </c>
      <c r="AI415" s="218">
        <f>IF(LEFT($B415,4)="_Mil","",_xlfn.IFNA(ROUND(INDEX(Spectrum!$N:$N,MATCH(RIGHT($B415,13)&amp;"|"&amp;$C415&amp;"|"&amp;$D415&amp;"|"&amp;AI$14&amp;"|"&amp;"CY2025Q3",Spectrum!$R:$R,0)),0),""))</f>
        <v>192</v>
      </c>
      <c r="AJ415" s="38">
        <f>IF(LEFT($B415,4)="_Mil","",_xlfn.IFNA(ROUND(INDEX(Spectrum!$N:$N,MATCH(RIGHT($B415,13)&amp;"|"&amp;$C415&amp;"|"&amp;$D415&amp;"|"&amp;AJ$14&amp;"|"&amp;"CY2025Q3",Spectrum!$R:$R,0)),0),""))</f>
        <v>8259</v>
      </c>
      <c r="AK415" s="218" t="e">
        <f>#REF!</f>
        <v>#REF!</v>
      </c>
      <c r="AL415" s="33">
        <f t="shared" si="108"/>
        <v>0.97052296500000002</v>
      </c>
      <c r="AM415" s="38" t="e">
        <f>IF(OR(LEFT($B415,4)="_Mil",$C415="&lt;01"),"",ROUND(SUM($AK415)*SUM($AL415),0))</f>
        <v>#REF!</v>
      </c>
      <c r="AN415" s="38" t="str">
        <f>IF($C415="&lt;01",ROUND(INDEX(EID!$P:$P,MATCH($B415,EID!$B:$B,0))/2,0),"")</f>
        <v/>
      </c>
      <c r="AO415" s="38" t="e">
        <f>IF($C415="&lt;01",SUM($AN415),ROUND(SUM($AM415)*SUM($O415)/IF(SUM($Z415)=0,1,$Z415),0))</f>
        <v>#REF!</v>
      </c>
      <c r="AP415" s="218">
        <f>IF(OR($F415="",$C415="&lt;01"),$AO415,ROUND($F415,0))</f>
        <v>8202</v>
      </c>
      <c r="AQ415" s="218">
        <f>IF(LEFT($B415,4)="_Mil","",IF(SUM($AP415)=0,SUM($Z415),IF(OR(SUM($Z415)=0,SUM($O415)=0),MAX($AP415,$Z415),ROUND($AP415*$Z415/$O415,0))))</f>
        <v>8070</v>
      </c>
      <c r="AR415" s="33" t="e">
        <f>IF(OR(LEFT($B415,4)="_Mil",SUM($AK415)=0),"",SUM($AQ415)/$AK415)</f>
        <v>#REF!</v>
      </c>
      <c r="AS415" s="33">
        <f>IF($C415="&lt;01","",82%)</f>
        <v>0.82</v>
      </c>
      <c r="AT415" s="33">
        <f>IF($C415="&lt;01","",90%)</f>
        <v>0.9</v>
      </c>
      <c r="AU415" s="38">
        <f>IF($C415="&lt;01","",SUM($AP415)-SUM($O415))</f>
        <v>-497</v>
      </c>
      <c r="AV415" s="38">
        <f>IF($C415="&lt;01",ROUND(INDEX(EID!$N:$N,MATCH($B415,EID!$B:$B,0))/2,0),IF(SUM($AT415)=0,"",ROUND((SUM($AP415)-(SUM($O415)*SUM($AS415)))/$AT415,0)))</f>
        <v>1188</v>
      </c>
      <c r="AW415" s="33">
        <f t="shared" si="109"/>
        <v>1</v>
      </c>
      <c r="AX415" s="218">
        <f>IF($C415="&lt;01",SUM($AV415),ROUND(SUM($AV415)*SUM($AW415),0))</f>
        <v>1188</v>
      </c>
      <c r="AY415" s="79">
        <f t="shared" si="110"/>
        <v>0.7</v>
      </c>
      <c r="AZ415" s="85">
        <f>IF($C415="&lt;01",ROUND(INDEX(EID!$R:$R,MATCH($B415,EID!$B:$B,0))/2,0),ROUND(SUM($O415)+(SUM($AV415)*$AY415),0))</f>
        <v>9531</v>
      </c>
      <c r="BA415" s="40">
        <f t="shared" ref="BA415:BA420" si="114">IF($C415="&lt;01","",90%)</f>
        <v>0.9</v>
      </c>
      <c r="BB415" s="99">
        <f>IF($C415="&lt;01",ROUND(INDEX(EID!$T:$T,MATCH($B415,EID!$B:$B,0))/2,0),ROUND($AP415*$BA415,0))</f>
        <v>7382</v>
      </c>
      <c r="BC415" s="85">
        <f>IF(LEFT($B415,4)="_Mil","",IF(SUM($BB415)=0,SUM($AD415),IF(OR(SUM($AP415)=0,SUM($AQ415)=0),MAX($BB415,$AD415),ROUND($BB415*$AQ415/$AP415,0))))</f>
        <v>7263</v>
      </c>
      <c r="BD415" s="33">
        <f t="shared" si="111"/>
        <v>0.95</v>
      </c>
      <c r="BE415" s="218">
        <f>IF($C415="&lt;01",ROUND(INDEX(EID!$V:$V,MATCH($B415,EID!$B:$B,0))/2,0),ROUND($BD415*$BB415,0))</f>
        <v>7013</v>
      </c>
      <c r="BF415" s="218">
        <f>IF(LEFT($B415,4)="_Mil","",IF(SUM($BE415)=0,SUM($AF415),IF(OR(SUM($AP415)=0,SUM($AQ415)=0),MAX($BE415,$AF415),ROUND($BE415*$AQ415/$AP415,0))))</f>
        <v>6900</v>
      </c>
      <c r="BG415" s="79">
        <f t="shared" si="112"/>
        <v>0.95</v>
      </c>
      <c r="BH415" s="99">
        <f>IF($C415="&lt;01",ROUND(INDEX(EID!$L:$L,MATCH($B415,EID!$B:$B,0)),0)/2,IF(SUM($BG415)=0,"",ROUND($AX415/$BG415,0)))</f>
        <v>1251</v>
      </c>
    </row>
    <row r="416" spans="1:60" x14ac:dyDescent="0.2">
      <c r="A416" t="str">
        <f>INDEX(Prioritization!$D:$D,MATCH($B416,Prioritization!$A:$A,0))</f>
        <v>1 - Scale-up: Saturation</v>
      </c>
      <c r="B416" t="s">
        <v>325</v>
      </c>
      <c r="C416" t="s">
        <v>476</v>
      </c>
      <c r="D416" t="s">
        <v>48</v>
      </c>
      <c r="E416" t="str">
        <f t="shared" si="102"/>
        <v>Zomba District [fyEoGEPERdI]|25-34|Male</v>
      </c>
      <c r="F416" s="229">
        <v>2532</v>
      </c>
      <c r="G416" s="38">
        <v>430</v>
      </c>
      <c r="H416" s="38">
        <v>394</v>
      </c>
      <c r="I416" s="38">
        <v>2532</v>
      </c>
      <c r="J416" s="38">
        <v>1703</v>
      </c>
      <c r="K416" s="38">
        <v>1593</v>
      </c>
      <c r="L416" s="38">
        <v>55</v>
      </c>
      <c r="M416" s="38">
        <v>52</v>
      </c>
      <c r="N416" s="38">
        <v>2933</v>
      </c>
      <c r="O416" s="229">
        <v>2532</v>
      </c>
      <c r="P416" s="38">
        <v>2656</v>
      </c>
      <c r="Q416" s="38">
        <v>2523</v>
      </c>
      <c r="R416" s="38">
        <f t="shared" si="103"/>
        <v>0</v>
      </c>
      <c r="S416" s="38">
        <f>IF(LEFT($B416,4)="_Mil","",_xlfn.IFNA(ROUND(INDEX(Spectrum!$N:$N,MATCH(RIGHT($B416,13)&amp;"|"&amp;$C416&amp;"|"&amp;$D416&amp;"|"&amp;S$14&amp;"|"&amp;"CY2023Q4",Spectrum!$R:$R,0)),0),""))</f>
        <v>2871</v>
      </c>
      <c r="T416" s="218">
        <f>IF(LEFT($B416,4)="_Mil","",_xlfn.IFNA(ROUND(INDEX(Spectrum!$N:$N,MATCH(RIGHT($B416,13)&amp;"|"&amp;$C416&amp;"|"&amp;$D416&amp;"|"&amp;T$14&amp;"|"&amp;"CY2024Q3",Spectrum!$R:$R,0)),0),""))</f>
        <v>69407</v>
      </c>
      <c r="U416" s="218">
        <f>IF(LEFT($B416,4)="_Mil","",_xlfn.IFNA(ROUND(INDEX(Spectrum!$N:$N,MATCH(RIGHT($B416,13)&amp;"|"&amp;$C416&amp;"|"&amp;$D416&amp;"|"&amp;U$14&amp;"|"&amp;"CY2024Q3",Spectrum!$R:$R,0)),0),""))</f>
        <v>3224</v>
      </c>
      <c r="V416" s="38">
        <f>IF(LEFT($B416,4)="_Mil","",_xlfn.IFNA(ROUND(INDEX(Spectrum!$N:$N,MATCH(RIGHT($B416,13)&amp;"|"&amp;$C416&amp;"|"&amp;$D416&amp;"|"&amp;V$14&amp;"|"&amp;"CY2024Q3",Spectrum!$R:$R,0)),0),""))</f>
        <v>3218</v>
      </c>
      <c r="W416" s="220">
        <f>IF(LEFT($B416,4)="_Mil","",_xlfn.IFNA(INDEX(Spectrum!$N:$N,MATCH(RIGHT($B416,13)&amp;"|"&amp;$C416&amp;"|"&amp;$D416&amp;"|"&amp;W$14&amp;"|"&amp;"CY2024Q3",Spectrum!$R:$R,0)),""))</f>
        <v>4.6445605000000001E-2</v>
      </c>
      <c r="X416" s="218">
        <f>IF(LEFT($B416,4)="_Mil","",_xlfn.IFNA(ROUND(INDEX(Spectrum!$N:$N,MATCH(RIGHT($B416,13)&amp;"|"&amp;$C416&amp;"|"&amp;$D416&amp;"|"&amp;X$14&amp;"|"&amp;"CY2024Q3",Spectrum!$R:$R,0)),0),""))</f>
        <v>2884</v>
      </c>
      <c r="Y416" s="33">
        <f t="shared" si="104"/>
        <v>0.89</v>
      </c>
      <c r="Z416" s="218">
        <f>IF(LEFT($B416,4)="_Mil","",_xlfn.IFNA(ROUND(INDEX(Spectrum!$N:$N,MATCH(RIGHT($B416,13)&amp;"|"&amp;$C416&amp;"|"&amp;$D416&amp;"|"&amp;Z$14&amp;"|"&amp;"CY2024Q3",Spectrum!$R:$R,0)),0),""))</f>
        <v>2849</v>
      </c>
      <c r="AA416" s="33">
        <f>IF(LEFT($B416,4)="_Mil","",IFERROR(1/(1/INDEX(Spectrum!$N:$N,MATCH(RIGHT($B416,13)&amp;"|"&amp;$C416&amp;"|"&amp;$D416&amp;"|"&amp;AA$14&amp;"|"&amp;"CY2024Q3",Spectrum!$R:$R,0))),IF(SUM($U416)=0,"",SUM($Z416)/$U416)))</f>
        <v>0.88782268799999986</v>
      </c>
      <c r="AB416" s="33">
        <f t="shared" si="105"/>
        <v>0.98786407766990292</v>
      </c>
      <c r="AC416" s="38">
        <f>IF(LEFT($B416,4)="_Mil","",_xlfn.IFNA(ROUND(INDEX(Spectrum!$N:$N,MATCH(RIGHT($B416,13)&amp;"|"&amp;$C416&amp;"|"&amp;$D416&amp;"|"&amp;AC$14&amp;"|"&amp;"CY2024Q3",Spectrum!$R:$R,0)),0),""))</f>
        <v>369</v>
      </c>
      <c r="AD416" s="38" t="str">
        <f>IF(LEFT($B416,4)="_Mil","",_xlfn.IFNA(ROUND(INDEX(Spectrum!$N:$N,MATCH(RIGHT($B416,13)&amp;"|"&amp;$C416&amp;"|"&amp;$D416&amp;"|"&amp;AD$14&amp;"|"&amp;"CY2024Q3",Spectrum!$R:$R,0)),0),""))</f>
        <v/>
      </c>
      <c r="AE416" s="33">
        <f t="shared" si="106"/>
        <v>0</v>
      </c>
      <c r="AF416" s="218" t="str">
        <f>IF(LEFT($B416,4)="_Mil","",_xlfn.IFNA(ROUND(INDEX(Spectrum!$N:$N,MATCH(RIGHT($B416,13)&amp;"|"&amp;$C416&amp;"|"&amp;$D416&amp;"|"&amp;AF$14&amp;"|"&amp;"CY2024Q3",Spectrum!$R:$R,0)),0),""))</f>
        <v/>
      </c>
      <c r="AG416" s="33" t="str">
        <f t="shared" si="107"/>
        <v/>
      </c>
      <c r="AH416" s="110" t="str">
        <f>IF(LEFT($B416,4)="_Mil","",_xlfn.IFNA(INDEX(Spectrum!$N:$N,MATCH(RIGHT($B416,13)&amp;"|"&amp;$C416&amp;"|"&amp;$D416&amp;"|"&amp;AH$14&amp;"|"&amp;"CY2024Q3",Spectrum!$R:$R,0)),""))</f>
        <v/>
      </c>
      <c r="AI416" s="218">
        <f>IF(LEFT($B416,4)="_Mil","",_xlfn.IFNA(ROUND(INDEX(Spectrum!$N:$N,MATCH(RIGHT($B416,13)&amp;"|"&amp;$C416&amp;"|"&amp;$D416&amp;"|"&amp;AI$14&amp;"|"&amp;"CY2025Q3",Spectrum!$R:$R,0)),0),""))</f>
        <v>110</v>
      </c>
      <c r="AJ416" s="38">
        <f>IF(LEFT($B416,4)="_Mil","",_xlfn.IFNA(ROUND(INDEX(Spectrum!$N:$N,MATCH(RIGHT($B416,13)&amp;"|"&amp;$C416&amp;"|"&amp;$D416&amp;"|"&amp;AJ$14&amp;"|"&amp;"CY2025Q3",Spectrum!$R:$R,0)),0),""))</f>
        <v>3080</v>
      </c>
      <c r="AK416" s="218" t="e">
        <f>#REF!</f>
        <v>#REF!</v>
      </c>
      <c r="AL416" s="33">
        <f t="shared" si="108"/>
        <v>0.9</v>
      </c>
      <c r="AM416" s="38" t="e">
        <f>IF(OR(LEFT($B416,4)="_Mil",$C416="&lt;01"),"",ROUND(SUM($AK416)*SUM($AL416),0))</f>
        <v>#REF!</v>
      </c>
      <c r="AN416" s="38" t="str">
        <f>IF($C416="&lt;01",ROUND(INDEX(EID!$P:$P,MATCH($B416,EID!$B:$B,0))/2,0),"")</f>
        <v/>
      </c>
      <c r="AO416" s="38" t="e">
        <f>IF($C416="&lt;01",SUM($AN416),ROUND(SUM($AM416)*SUM($O416)/IF(SUM($Z416)=0,1,$Z416),0))</f>
        <v>#REF!</v>
      </c>
      <c r="AP416" s="218">
        <f>IF(OR($F416="",$C416="&lt;01"),$AO416,ROUND($F416,0))</f>
        <v>2532</v>
      </c>
      <c r="AQ416" s="218">
        <f>IF(LEFT($B416,4)="_Mil","",IF(SUM($AP416)=0,SUM($Z416),IF(OR(SUM($Z416)=0,SUM($O416)=0),MAX($AP416,$Z416),ROUND($AP416*$Z416/$O416,0))))</f>
        <v>2849</v>
      </c>
      <c r="AR416" s="33" t="e">
        <f>IF(OR(LEFT($B416,4)="_Mil",SUM($AK416)=0),"",SUM($AQ416)/$AK416)</f>
        <v>#REF!</v>
      </c>
      <c r="AS416" s="33">
        <f>IF($C416="&lt;01","",98%)</f>
        <v>0.98</v>
      </c>
      <c r="AT416" s="33">
        <f t="shared" si="98"/>
        <v>0.98</v>
      </c>
      <c r="AU416" s="38">
        <f>IF($C416="&lt;01","",SUM($AP416)-SUM($O416))</f>
        <v>0</v>
      </c>
      <c r="AV416" s="38">
        <f>IF($C416="&lt;01",ROUND(INDEX(EID!$N:$N,MATCH($B416,EID!$B:$B,0))/2,0),IF(SUM($AT416)=0,"",ROUND((SUM($AP416)-(SUM($O416)*SUM($AS416)))/$AT416,0)))</f>
        <v>52</v>
      </c>
      <c r="AW416" s="33">
        <f t="shared" si="109"/>
        <v>1</v>
      </c>
      <c r="AX416" s="218">
        <f>IF($C416="&lt;01",SUM($AV416),ROUND(SUM($AV416)*SUM($AW416),0))</f>
        <v>52</v>
      </c>
      <c r="AY416" s="79">
        <f t="shared" si="110"/>
        <v>0.7</v>
      </c>
      <c r="AZ416" s="85">
        <f>IF($C416="&lt;01",ROUND(INDEX(EID!$R:$R,MATCH($B416,EID!$B:$B,0))/2,0),ROUND(SUM($O416)+(SUM($AV416)*$AY416),0))</f>
        <v>2568</v>
      </c>
      <c r="BA416" s="40">
        <f t="shared" si="114"/>
        <v>0.9</v>
      </c>
      <c r="BB416" s="99">
        <f>IF($C416="&lt;01",ROUND(INDEX(EID!$T:$T,MATCH($B416,EID!$B:$B,0))/2,0),ROUND($AP416*$BA416,0))</f>
        <v>2279</v>
      </c>
      <c r="BC416" s="85">
        <f>IF(LEFT($B416,4)="_Mil","",IF(SUM($BB416)=0,SUM($AD416),IF(OR(SUM($AP416)=0,SUM($AQ416)=0),MAX($BB416,$AD416),ROUND($BB416*$AQ416/$AP416,0))))</f>
        <v>2564</v>
      </c>
      <c r="BD416" s="33">
        <f t="shared" si="111"/>
        <v>0.95</v>
      </c>
      <c r="BE416" s="218">
        <f>IF($C416="&lt;01",ROUND(INDEX(EID!$V:$V,MATCH($B416,EID!$B:$B,0))/2,0),ROUND($BD416*$BB416,0))</f>
        <v>2165</v>
      </c>
      <c r="BF416" s="218">
        <f>IF(LEFT($B416,4)="_Mil","",IF(SUM($BE416)=0,SUM($AF416),IF(OR(SUM($AP416)=0,SUM($AQ416)=0),MAX($BE416,$AF416),ROUND($BE416*$AQ416/$AP416,0))))</f>
        <v>2436</v>
      </c>
      <c r="BG416" s="79">
        <f t="shared" si="112"/>
        <v>0.95</v>
      </c>
      <c r="BH416" s="99">
        <f>IF($C416="&lt;01",ROUND(INDEX(EID!$L:$L,MATCH($B416,EID!$B:$B,0)),0)/2,IF(SUM($BG416)=0,"",ROUND($AX416/$BG416,0)))</f>
        <v>55</v>
      </c>
    </row>
    <row r="417" spans="1:60" x14ac:dyDescent="0.2">
      <c r="A417" t="str">
        <f>INDEX(Prioritization!$D:$D,MATCH($B417,Prioritization!$A:$A,0))</f>
        <v>1 - Scale-up: Saturation</v>
      </c>
      <c r="B417" t="s">
        <v>325</v>
      </c>
      <c r="C417" t="s">
        <v>477</v>
      </c>
      <c r="D417" t="s">
        <v>30</v>
      </c>
      <c r="E417" t="str">
        <f t="shared" si="102"/>
        <v>Zomba District [fyEoGEPERdI]|35-49|Female</v>
      </c>
      <c r="F417" s="229">
        <v>21107</v>
      </c>
      <c r="G417" s="38">
        <v>640</v>
      </c>
      <c r="H417" s="38">
        <v>619</v>
      </c>
      <c r="I417" s="38">
        <v>20109</v>
      </c>
      <c r="J417" s="38">
        <v>17566</v>
      </c>
      <c r="K417" s="38">
        <v>16968</v>
      </c>
      <c r="L417" s="38">
        <v>1081</v>
      </c>
      <c r="M417" s="38">
        <v>1057</v>
      </c>
      <c r="N417" s="38">
        <v>19321</v>
      </c>
      <c r="O417" s="229">
        <v>20681</v>
      </c>
      <c r="P417" s="38">
        <v>16930</v>
      </c>
      <c r="Q417" s="38">
        <v>16084</v>
      </c>
      <c r="R417" s="38">
        <f t="shared" si="103"/>
        <v>572</v>
      </c>
      <c r="S417" s="38">
        <f>IF(LEFT($B417,4)="_Mil","",_xlfn.IFNA(ROUND(INDEX(Spectrum!$N:$N,MATCH(RIGHT($B417,13)&amp;"|"&amp;$C417&amp;"|"&amp;$D417&amp;"|"&amp;S$14&amp;"|"&amp;"CY2023Q4",Spectrum!$R:$R,0)),0),""))</f>
        <v>20586</v>
      </c>
      <c r="T417" s="218">
        <f>IF(LEFT($B417,4)="_Mil","",_xlfn.IFNA(ROUND(INDEX(Spectrum!$N:$N,MATCH(RIGHT($B417,13)&amp;"|"&amp;$C417&amp;"|"&amp;$D417&amp;"|"&amp;T$14&amp;"|"&amp;"CY2024Q3",Spectrum!$R:$R,0)),0),""))</f>
        <v>79543</v>
      </c>
      <c r="U417" s="218">
        <f>IF(LEFT($B417,4)="_Mil","",_xlfn.IFNA(ROUND(INDEX(Spectrum!$N:$N,MATCH(RIGHT($B417,13)&amp;"|"&amp;$C417&amp;"|"&amp;$D417&amp;"|"&amp;U$14&amp;"|"&amp;"CY2024Q3",Spectrum!$R:$R,0)),0),""))</f>
        <v>21361</v>
      </c>
      <c r="V417" s="38">
        <f>IF(LEFT($B417,4)="_Mil","",_xlfn.IFNA(ROUND(INDEX(Spectrum!$N:$N,MATCH(RIGHT($B417,13)&amp;"|"&amp;$C417&amp;"|"&amp;$D417&amp;"|"&amp;V$14&amp;"|"&amp;"CY2024Q3",Spectrum!$R:$R,0)),0),""))</f>
        <v>21033</v>
      </c>
      <c r="W417" s="220">
        <f>IF(LEFT($B417,4)="_Mil","",_xlfn.IFNA(INDEX(Spectrum!$N:$N,MATCH(RIGHT($B417,13)&amp;"|"&amp;$C417&amp;"|"&amp;$D417&amp;"|"&amp;W$14&amp;"|"&amp;"CY2024Q3",Spectrum!$R:$R,0)),""))</f>
        <v>0.26854677599999999</v>
      </c>
      <c r="X417" s="218">
        <f>IF(LEFT($B417,4)="_Mil","",_xlfn.IFNA(ROUND(INDEX(Spectrum!$N:$N,MATCH(RIGHT($B417,13)&amp;"|"&amp;$C417&amp;"|"&amp;$D417&amp;"|"&amp;X$14&amp;"|"&amp;"CY2024Q3",Spectrum!$R:$R,0)),0),""))</f>
        <v>21053</v>
      </c>
      <c r="Y417" s="33">
        <f t="shared" si="104"/>
        <v>0.99</v>
      </c>
      <c r="Z417" s="218">
        <f>IF(LEFT($B417,4)="_Mil","",_xlfn.IFNA(ROUND(INDEX(Spectrum!$N:$N,MATCH(RIGHT($B417,13)&amp;"|"&amp;$C417&amp;"|"&amp;$D417&amp;"|"&amp;Z$14&amp;"|"&amp;"CY2024Q3",Spectrum!$R:$R,0)),0),""))</f>
        <v>20723</v>
      </c>
      <c r="AA417" s="33">
        <f>IF(LEFT($B417,4)="_Mil","",IFERROR(1/(1/INDEX(Spectrum!$N:$N,MATCH(RIGHT($B417,13)&amp;"|"&amp;$C417&amp;"|"&amp;$D417&amp;"|"&amp;AA$14&amp;"|"&amp;"CY2024Q3",Spectrum!$R:$R,0))),IF(SUM($U417)=0,"",SUM($Z417)/$U417)))</f>
        <v>0.98528611099999996</v>
      </c>
      <c r="AB417" s="33">
        <f t="shared" si="105"/>
        <v>0.98432527430769956</v>
      </c>
      <c r="AC417" s="38">
        <f>IF(LEFT($B417,4)="_Mil","",_xlfn.IFNA(ROUND(INDEX(Spectrum!$N:$N,MATCH(RIGHT($B417,13)&amp;"|"&amp;$C417&amp;"|"&amp;$D417&amp;"|"&amp;AC$14&amp;"|"&amp;"CY2024Q3",Spectrum!$R:$R,0)),0),""))</f>
        <v>310</v>
      </c>
      <c r="AD417" s="38" t="str">
        <f>IF(LEFT($B417,4)="_Mil","",_xlfn.IFNA(ROUND(INDEX(Spectrum!$N:$N,MATCH(RIGHT($B417,13)&amp;"|"&amp;$C417&amp;"|"&amp;$D417&amp;"|"&amp;AD$14&amp;"|"&amp;"CY2024Q3",Spectrum!$R:$R,0)),0),""))</f>
        <v/>
      </c>
      <c r="AE417" s="33">
        <f t="shared" si="106"/>
        <v>0</v>
      </c>
      <c r="AF417" s="218" t="str">
        <f>IF(LEFT($B417,4)="_Mil","",_xlfn.IFNA(ROUND(INDEX(Spectrum!$N:$N,MATCH(RIGHT($B417,13)&amp;"|"&amp;$C417&amp;"|"&amp;$D417&amp;"|"&amp;AF$14&amp;"|"&amp;"CY2024Q3",Spectrum!$R:$R,0)),0),""))</f>
        <v/>
      </c>
      <c r="AG417" s="33" t="str">
        <f t="shared" si="107"/>
        <v/>
      </c>
      <c r="AH417" s="110" t="str">
        <f>IF(LEFT($B417,4)="_Mil","",_xlfn.IFNA(INDEX(Spectrum!$N:$N,MATCH(RIGHT($B417,13)&amp;"|"&amp;$C417&amp;"|"&amp;$D417&amp;"|"&amp;AH$14&amp;"|"&amp;"CY2024Q3",Spectrum!$R:$R,0)),""))</f>
        <v/>
      </c>
      <c r="AI417" s="218">
        <f>IF(LEFT($B417,4)="_Mil","",_xlfn.IFNA(ROUND(INDEX(Spectrum!$N:$N,MATCH(RIGHT($B417,13)&amp;"|"&amp;$C417&amp;"|"&amp;$D417&amp;"|"&amp;AI$14&amp;"|"&amp;"CY2025Q3",Spectrum!$R:$R,0)),0),""))</f>
        <v>88</v>
      </c>
      <c r="AJ417" s="38">
        <f>IF(LEFT($B417,4)="_Mil","",_xlfn.IFNA(ROUND(INDEX(Spectrum!$N:$N,MATCH(RIGHT($B417,13)&amp;"|"&amp;$C417&amp;"|"&amp;$D417&amp;"|"&amp;AJ$14&amp;"|"&amp;"CY2025Q3",Spectrum!$R:$R,0)),0),""))</f>
        <v>21427</v>
      </c>
      <c r="AK417" s="218" t="e">
        <f>#REF!</f>
        <v>#REF!</v>
      </c>
      <c r="AL417" s="33">
        <f t="shared" si="108"/>
        <v>0.98528611099999996</v>
      </c>
      <c r="AM417" s="38" t="e">
        <f>IF(OR(LEFT($B417,4)="_Mil",$C417="&lt;01"),"",ROUND(SUM($AK417)*SUM($AL417),0))</f>
        <v>#REF!</v>
      </c>
      <c r="AN417" s="38" t="str">
        <f>IF($C417="&lt;01",ROUND(INDEX(EID!$P:$P,MATCH($B417,EID!$B:$B,0))/2,0),"")</f>
        <v/>
      </c>
      <c r="AO417" s="38" t="e">
        <f>IF($C417="&lt;01",SUM($AN417),ROUND(SUM($AM417)*SUM($O417)/IF(SUM($Z417)=0,1,$Z417),0))</f>
        <v>#REF!</v>
      </c>
      <c r="AP417" s="218">
        <f>IF(OR($F417="",$C417="&lt;01"),$AO417,ROUND($F417,0))</f>
        <v>21107</v>
      </c>
      <c r="AQ417" s="218">
        <f>IF(LEFT($B417,4)="_Mil","",IF(SUM($AP417)=0,SUM($Z417),IF(OR(SUM($Z417)=0,SUM($O417)=0),MAX($AP417,$Z417),ROUND($AP417*$Z417/$O417,0))))</f>
        <v>21150</v>
      </c>
      <c r="AR417" s="33" t="e">
        <f>IF(OR(LEFT($B417,4)="_Mil",SUM($AK417)=0),"",SUM($AQ417)/$AK417)</f>
        <v>#REF!</v>
      </c>
      <c r="AS417" s="33">
        <f>IF($C417="&lt;01","",99%)</f>
        <v>0.99</v>
      </c>
      <c r="AT417" s="33">
        <f t="shared" si="98"/>
        <v>0.98</v>
      </c>
      <c r="AU417" s="38">
        <f>IF($C417="&lt;01","",SUM($AP417)-SUM($O417))</f>
        <v>426</v>
      </c>
      <c r="AV417" s="38">
        <f>IF($C417="&lt;01",ROUND(INDEX(EID!$N:$N,MATCH($B417,EID!$B:$B,0))/2,0),IF(SUM($AT417)=0,"",ROUND((SUM($AP417)-(SUM($O417)*SUM($AS417)))/$AT417,0)))</f>
        <v>646</v>
      </c>
      <c r="AW417" s="33">
        <f t="shared" si="109"/>
        <v>1</v>
      </c>
      <c r="AX417" s="218">
        <f>IF($C417="&lt;01",SUM($AV417),ROUND(SUM($AV417)*SUM($AW417),0))</f>
        <v>646</v>
      </c>
      <c r="AY417" s="79">
        <f t="shared" si="110"/>
        <v>0.7</v>
      </c>
      <c r="AZ417" s="85">
        <f>IF($C417="&lt;01",ROUND(INDEX(EID!$R:$R,MATCH($B417,EID!$B:$B,0))/2,0),ROUND(SUM($O417)+(SUM($AV417)*$AY417),0))</f>
        <v>21133</v>
      </c>
      <c r="BA417" s="40">
        <f t="shared" si="114"/>
        <v>0.9</v>
      </c>
      <c r="BB417" s="99">
        <f>IF($C417="&lt;01",ROUND(INDEX(EID!$T:$T,MATCH($B417,EID!$B:$B,0))/2,0),ROUND($AP417*$BA417,0))</f>
        <v>18996</v>
      </c>
      <c r="BC417" s="85">
        <f>IF(LEFT($B417,4)="_Mil","",IF(SUM($BB417)=0,SUM($AD417),IF(OR(SUM($AP417)=0,SUM($AQ417)=0),MAX($BB417,$AD417),ROUND($BB417*$AQ417/$AP417,0))))</f>
        <v>19035</v>
      </c>
      <c r="BD417" s="33">
        <f t="shared" si="111"/>
        <v>0.95</v>
      </c>
      <c r="BE417" s="218">
        <f>IF($C417="&lt;01",ROUND(INDEX(EID!$V:$V,MATCH($B417,EID!$B:$B,0))/2,0),ROUND($BD417*$BB417,0))</f>
        <v>18046</v>
      </c>
      <c r="BF417" s="218">
        <f>IF(LEFT($B417,4)="_Mil","",IF(SUM($BE417)=0,SUM($AF417),IF(OR(SUM($AP417)=0,SUM($AQ417)=0),MAX($BE417,$AF417),ROUND($BE417*$AQ417/$AP417,0))))</f>
        <v>18083</v>
      </c>
      <c r="BG417" s="79">
        <f t="shared" si="112"/>
        <v>0.95</v>
      </c>
      <c r="BH417" s="99">
        <f>IF($C417="&lt;01",ROUND(INDEX(EID!$L:$L,MATCH($B417,EID!$B:$B,0)),0)/2,IF(SUM($BG417)=0,"",ROUND($AX417/$BG417,0)))</f>
        <v>680</v>
      </c>
    </row>
    <row r="418" spans="1:60" x14ac:dyDescent="0.2">
      <c r="A418" t="str">
        <f>INDEX(Prioritization!$D:$D,MATCH($B418,Prioritization!$A:$A,0))</f>
        <v>1 - Scale-up: Saturation</v>
      </c>
      <c r="B418" t="s">
        <v>325</v>
      </c>
      <c r="C418" t="s">
        <v>477</v>
      </c>
      <c r="D418" t="s">
        <v>48</v>
      </c>
      <c r="E418" t="str">
        <f t="shared" si="102"/>
        <v>Zomba District [fyEoGEPERdI]|35-49|Male</v>
      </c>
      <c r="F418" s="229">
        <v>10477</v>
      </c>
      <c r="G418" s="38">
        <v>708</v>
      </c>
      <c r="H418" s="38">
        <v>659</v>
      </c>
      <c r="I418" s="38">
        <v>9741</v>
      </c>
      <c r="J418" s="38">
        <v>7325</v>
      </c>
      <c r="K418" s="38">
        <v>7034</v>
      </c>
      <c r="L418" s="38">
        <v>146</v>
      </c>
      <c r="M418" s="38">
        <v>140</v>
      </c>
      <c r="N418" s="38">
        <v>9807</v>
      </c>
      <c r="O418" s="229">
        <v>10109</v>
      </c>
      <c r="P418" s="38">
        <v>8854</v>
      </c>
      <c r="Q418" s="38">
        <v>8410</v>
      </c>
      <c r="R418" s="38">
        <f t="shared" si="103"/>
        <v>368</v>
      </c>
      <c r="S418" s="38">
        <f>IF(LEFT($B418,4)="_Mil","",_xlfn.IFNA(ROUND(INDEX(Spectrum!$N:$N,MATCH(RIGHT($B418,13)&amp;"|"&amp;$C418&amp;"|"&amp;$D418&amp;"|"&amp;S$14&amp;"|"&amp;"CY2023Q4",Spectrum!$R:$R,0)),0),""))</f>
        <v>10280</v>
      </c>
      <c r="T418" s="218">
        <f>IF(LEFT($B418,4)="_Mil","",_xlfn.IFNA(ROUND(INDEX(Spectrum!$N:$N,MATCH(RIGHT($B418,13)&amp;"|"&amp;$C418&amp;"|"&amp;$D418&amp;"|"&amp;T$14&amp;"|"&amp;"CY2024Q3",Spectrum!$R:$R,0)),0),""))</f>
        <v>63975</v>
      </c>
      <c r="U418" s="218">
        <f>IF(LEFT($B418,4)="_Mil","",_xlfn.IFNA(ROUND(INDEX(Spectrum!$N:$N,MATCH(RIGHT($B418,13)&amp;"|"&amp;$C418&amp;"|"&amp;$D418&amp;"|"&amp;U$14&amp;"|"&amp;"CY2024Q3",Spectrum!$R:$R,0)),0),""))</f>
        <v>11008</v>
      </c>
      <c r="V418" s="38">
        <f>IF(LEFT($B418,4)="_Mil","",_xlfn.IFNA(ROUND(INDEX(Spectrum!$N:$N,MATCH(RIGHT($B418,13)&amp;"|"&amp;$C418&amp;"|"&amp;$D418&amp;"|"&amp;V$14&amp;"|"&amp;"CY2024Q3",Spectrum!$R:$R,0)),0),""))</f>
        <v>11019</v>
      </c>
      <c r="W418" s="220">
        <f>IF(LEFT($B418,4)="_Mil","",_xlfn.IFNA(INDEX(Spectrum!$N:$N,MATCH(RIGHT($B418,13)&amp;"|"&amp;$C418&amp;"|"&amp;$D418&amp;"|"&amp;W$14&amp;"|"&amp;"CY2024Q3",Spectrum!$R:$R,0)),""))</f>
        <v>0.172068998</v>
      </c>
      <c r="X418" s="218">
        <f>IF(LEFT($B418,4)="_Mil","",_xlfn.IFNA(ROUND(INDEX(Spectrum!$N:$N,MATCH(RIGHT($B418,13)&amp;"|"&amp;$C418&amp;"|"&amp;$D418&amp;"|"&amp;X$14&amp;"|"&amp;"CY2024Q3",Spectrum!$R:$R,0)),0),""))</f>
        <v>10292</v>
      </c>
      <c r="Y418" s="33">
        <f t="shared" si="104"/>
        <v>0.93</v>
      </c>
      <c r="Z418" s="218">
        <f>IF(LEFT($B418,4)="_Mil","",_xlfn.IFNA(ROUND(INDEX(Spectrum!$N:$N,MATCH(RIGHT($B418,13)&amp;"|"&amp;$C418&amp;"|"&amp;$D418&amp;"|"&amp;Z$14&amp;"|"&amp;"CY2024Q3",Spectrum!$R:$R,0)),0),""))</f>
        <v>10226</v>
      </c>
      <c r="AA418" s="33">
        <f>IF(LEFT($B418,4)="_Mil","",IFERROR(1/(1/INDEX(Spectrum!$N:$N,MATCH(RIGHT($B418,13)&amp;"|"&amp;$C418&amp;"|"&amp;$D418&amp;"|"&amp;AA$14&amp;"|"&amp;"CY2024Q3",Spectrum!$R:$R,0))),IF(SUM($U418)=0,"",SUM($Z418)/$U418)))</f>
        <v>0.93094442099999986</v>
      </c>
      <c r="AB418" s="33">
        <f t="shared" si="105"/>
        <v>0.99358725223474542</v>
      </c>
      <c r="AC418" s="38">
        <f>IF(LEFT($B418,4)="_Mil","",_xlfn.IFNA(ROUND(INDEX(Spectrum!$N:$N,MATCH(RIGHT($B418,13)&amp;"|"&amp;$C418&amp;"|"&amp;$D418&amp;"|"&amp;AC$14&amp;"|"&amp;"CY2024Q3",Spectrum!$R:$R,0)),0),""))</f>
        <v>793</v>
      </c>
      <c r="AD418" s="38" t="str">
        <f>IF(LEFT($B418,4)="_Mil","",_xlfn.IFNA(ROUND(INDEX(Spectrum!$N:$N,MATCH(RIGHT($B418,13)&amp;"|"&amp;$C418&amp;"|"&amp;$D418&amp;"|"&amp;AD$14&amp;"|"&amp;"CY2024Q3",Spectrum!$R:$R,0)),0),""))</f>
        <v/>
      </c>
      <c r="AE418" s="33">
        <f t="shared" si="106"/>
        <v>0</v>
      </c>
      <c r="AF418" s="218" t="str">
        <f>IF(LEFT($B418,4)="_Mil","",_xlfn.IFNA(ROUND(INDEX(Spectrum!$N:$N,MATCH(RIGHT($B418,13)&amp;"|"&amp;$C418&amp;"|"&amp;$D418&amp;"|"&amp;AF$14&amp;"|"&amp;"CY2024Q3",Spectrum!$R:$R,0)),0),""))</f>
        <v/>
      </c>
      <c r="AG418" s="33" t="str">
        <f t="shared" si="107"/>
        <v/>
      </c>
      <c r="AH418" s="110" t="str">
        <f>IF(LEFT($B418,4)="_Mil","",_xlfn.IFNA(INDEX(Spectrum!$N:$N,MATCH(RIGHT($B418,13)&amp;"|"&amp;$C418&amp;"|"&amp;$D418&amp;"|"&amp;AH$14&amp;"|"&amp;"CY2024Q3",Spectrum!$R:$R,0)),""))</f>
        <v/>
      </c>
      <c r="AI418" s="218">
        <f>IF(LEFT($B418,4)="_Mil","",_xlfn.IFNA(ROUND(INDEX(Spectrum!$N:$N,MATCH(RIGHT($B418,13)&amp;"|"&amp;$C418&amp;"|"&amp;$D418&amp;"|"&amp;AI$14&amp;"|"&amp;"CY2025Q3",Spectrum!$R:$R,0)),0),""))</f>
        <v>99</v>
      </c>
      <c r="AJ418" s="38">
        <f>IF(LEFT($B418,4)="_Mil","",_xlfn.IFNA(ROUND(INDEX(Spectrum!$N:$N,MATCH(RIGHT($B418,13)&amp;"|"&amp;$C418&amp;"|"&amp;$D418&amp;"|"&amp;AJ$14&amp;"|"&amp;"CY2025Q3",Spectrum!$R:$R,0)),0),""))</f>
        <v>10576</v>
      </c>
      <c r="AK418" s="218" t="e">
        <f>#REF!</f>
        <v>#REF!</v>
      </c>
      <c r="AL418" s="33">
        <f t="shared" si="108"/>
        <v>0.93094442099999986</v>
      </c>
      <c r="AM418" s="38" t="e">
        <f>IF(OR(LEFT($B418,4)="_Mil",$C418="&lt;01"),"",ROUND(SUM($AK418)*SUM($AL418),0))</f>
        <v>#REF!</v>
      </c>
      <c r="AN418" s="38" t="str">
        <f>IF($C418="&lt;01",ROUND(INDEX(EID!$P:$P,MATCH($B418,EID!$B:$B,0))/2,0),"")</f>
        <v/>
      </c>
      <c r="AO418" s="38" t="e">
        <f>IF($C418="&lt;01",SUM($AN418),ROUND(SUM($AM418)*SUM($O418)/IF(SUM($Z418)=0,1,$Z418),0))</f>
        <v>#REF!</v>
      </c>
      <c r="AP418" s="218">
        <f>IF(OR($F418="",$C418="&lt;01"),$AO418,ROUND($F418,0))</f>
        <v>10477</v>
      </c>
      <c r="AQ418" s="218">
        <f>IF(LEFT($B418,4)="_Mil","",IF(SUM($AP418)=0,SUM($Z418),IF(OR(SUM($Z418)=0,SUM($O418)=0),MAX($AP418,$Z418),ROUND($AP418*$Z418/$O418,0))))</f>
        <v>10598</v>
      </c>
      <c r="AR418" s="33" t="e">
        <f>IF(OR(LEFT($B418,4)="_Mil",SUM($AK418)=0),"",SUM($AQ418)/$AK418)</f>
        <v>#REF!</v>
      </c>
      <c r="AS418" s="33">
        <f>IF($C418="&lt;01","",98%)</f>
        <v>0.98</v>
      </c>
      <c r="AT418" s="33">
        <f t="shared" si="98"/>
        <v>0.98</v>
      </c>
      <c r="AU418" s="38">
        <f>IF($C418="&lt;01","",SUM($AP418)-SUM($O418))</f>
        <v>368</v>
      </c>
      <c r="AV418" s="38">
        <f>IF($C418="&lt;01",ROUND(INDEX(EID!$N:$N,MATCH($B418,EID!$B:$B,0))/2,0),IF(SUM($AT418)=0,"",ROUND((SUM($AP418)-(SUM($O418)*SUM($AS418)))/$AT418,0)))</f>
        <v>582</v>
      </c>
      <c r="AW418" s="33">
        <f t="shared" si="109"/>
        <v>1</v>
      </c>
      <c r="AX418" s="218">
        <f>IF($C418="&lt;01",SUM($AV418),ROUND(SUM($AV418)*SUM($AW418),0))</f>
        <v>582</v>
      </c>
      <c r="AY418" s="79">
        <f t="shared" si="110"/>
        <v>0.7</v>
      </c>
      <c r="AZ418" s="85">
        <f>IF($C418="&lt;01",ROUND(INDEX(EID!$R:$R,MATCH($B418,EID!$B:$B,0))/2,0),ROUND(SUM($O418)+(SUM($AV418)*$AY418),0))</f>
        <v>10516</v>
      </c>
      <c r="BA418" s="40">
        <f t="shared" si="114"/>
        <v>0.9</v>
      </c>
      <c r="BB418" s="99">
        <f>IF($C418="&lt;01",ROUND(INDEX(EID!$T:$T,MATCH($B418,EID!$B:$B,0))/2,0),ROUND($AP418*$BA418,0))</f>
        <v>9429</v>
      </c>
      <c r="BC418" s="85">
        <f>IF(LEFT($B418,4)="_Mil","",IF(SUM($BB418)=0,SUM($AD418),IF(OR(SUM($AP418)=0,SUM($AQ418)=0),MAX($BB418,$AD418),ROUND($BB418*$AQ418/$AP418,0))))</f>
        <v>9538</v>
      </c>
      <c r="BD418" s="33">
        <f t="shared" si="111"/>
        <v>0.95</v>
      </c>
      <c r="BE418" s="218">
        <f>IF($C418="&lt;01",ROUND(INDEX(EID!$V:$V,MATCH($B418,EID!$B:$B,0))/2,0),ROUND($BD418*$BB418,0))</f>
        <v>8958</v>
      </c>
      <c r="BF418" s="218">
        <f>IF(LEFT($B418,4)="_Mil","",IF(SUM($BE418)=0,SUM($AF418),IF(OR(SUM($AP418)=0,SUM($AQ418)=0),MAX($BE418,$AF418),ROUND($BE418*$AQ418/$AP418,0))))</f>
        <v>9061</v>
      </c>
      <c r="BG418" s="79">
        <f t="shared" si="112"/>
        <v>0.95</v>
      </c>
      <c r="BH418" s="99">
        <f>IF($C418="&lt;01",ROUND(INDEX(EID!$L:$L,MATCH($B418,EID!$B:$B,0)),0)/2,IF(SUM($BG418)=0,"",ROUND($AX418/$BG418,0)))</f>
        <v>613</v>
      </c>
    </row>
    <row r="419" spans="1:60" x14ac:dyDescent="0.2">
      <c r="A419" t="str">
        <f>INDEX(Prioritization!$D:$D,MATCH($B419,Prioritization!$A:$A,0))</f>
        <v>1 - Scale-up: Saturation</v>
      </c>
      <c r="B419" t="s">
        <v>325</v>
      </c>
      <c r="C419" t="s">
        <v>478</v>
      </c>
      <c r="D419" t="s">
        <v>30</v>
      </c>
      <c r="E419" t="str">
        <f t="shared" si="102"/>
        <v>Zomba District [fyEoGEPERdI]|50+|Female</v>
      </c>
      <c r="F419" s="229">
        <v>10303</v>
      </c>
      <c r="G419" s="38">
        <v>123</v>
      </c>
      <c r="H419" s="38">
        <v>145</v>
      </c>
      <c r="I419" s="38">
        <v>9126</v>
      </c>
      <c r="J419" s="38">
        <v>7716</v>
      </c>
      <c r="K419" s="38">
        <v>7513</v>
      </c>
      <c r="L419" s="38">
        <v>277</v>
      </c>
      <c r="M419" s="38">
        <v>270</v>
      </c>
      <c r="N419" s="38">
        <v>8932</v>
      </c>
      <c r="O419" s="229">
        <v>9530</v>
      </c>
      <c r="P419" s="38">
        <v>7956</v>
      </c>
      <c r="Q419" s="38">
        <v>7558</v>
      </c>
      <c r="R419" s="38">
        <f t="shared" si="103"/>
        <v>404</v>
      </c>
      <c r="S419" s="38">
        <f>IF(LEFT($B419,4)="_Mil","",_xlfn.IFNA(ROUND(INDEX(Spectrum!$N:$N,MATCH(RIGHT($B419,13)&amp;"|"&amp;$C419&amp;"|"&amp;$D419&amp;"|"&amp;S$14&amp;"|"&amp;"CY2023Q4",Spectrum!$R:$R,0)),0),""))</f>
        <v>8912</v>
      </c>
      <c r="T419" s="218">
        <f>IF(LEFT($B419,4)="_Mil","",_xlfn.IFNA(ROUND(INDEX(Spectrum!$N:$N,MATCH(RIGHT($B419,13)&amp;"|"&amp;$C419&amp;"|"&amp;$D419&amp;"|"&amp;T$14&amp;"|"&amp;"CY2024Q3",Spectrum!$R:$R,0)),0),""))</f>
        <v>46614</v>
      </c>
      <c r="U419" s="218">
        <f>IF(LEFT($B419,4)="_Mil","",_xlfn.IFNA(ROUND(INDEX(Spectrum!$N:$N,MATCH(RIGHT($B419,13)&amp;"|"&amp;$C419&amp;"|"&amp;$D419&amp;"|"&amp;U$14&amp;"|"&amp;"CY2024Q3",Spectrum!$R:$R,0)),0),""))</f>
        <v>9647</v>
      </c>
      <c r="V419" s="38">
        <f>IF(LEFT($B419,4)="_Mil","",_xlfn.IFNA(ROUND(INDEX(Spectrum!$N:$N,MATCH(RIGHT($B419,13)&amp;"|"&amp;$C419&amp;"|"&amp;$D419&amp;"|"&amp;V$14&amp;"|"&amp;"CY2024Q3",Spectrum!$R:$R,0)),0),""))</f>
        <v>9530</v>
      </c>
      <c r="W419" s="220">
        <f>IF(LEFT($B419,4)="_Mil","",_xlfn.IFNA(INDEX(Spectrum!$N:$N,MATCH(RIGHT($B419,13)&amp;"|"&amp;$C419&amp;"|"&amp;$D419&amp;"|"&amp;W$14&amp;"|"&amp;"CY2024Q3",Spectrum!$R:$R,0)),""))</f>
        <v>0.206953098</v>
      </c>
      <c r="X419" s="218">
        <f>IF(LEFT($B419,4)="_Mil","",_xlfn.IFNA(ROUND(INDEX(Spectrum!$N:$N,MATCH(RIGHT($B419,13)&amp;"|"&amp;$C419&amp;"|"&amp;$D419&amp;"|"&amp;X$14&amp;"|"&amp;"CY2024Q3",Spectrum!$R:$R,0)),0),""))</f>
        <v>9566</v>
      </c>
      <c r="Y419" s="33">
        <f t="shared" si="104"/>
        <v>0.99</v>
      </c>
      <c r="Z419" s="218">
        <f>IF(LEFT($B419,4)="_Mil","",_xlfn.IFNA(ROUND(INDEX(Spectrum!$N:$N,MATCH(RIGHT($B419,13)&amp;"|"&amp;$C419&amp;"|"&amp;$D419&amp;"|"&amp;Z$14&amp;"|"&amp;"CY2024Q3",Spectrum!$R:$R,0)),0),""))</f>
        <v>9439</v>
      </c>
      <c r="AA419" s="33">
        <f>IF(LEFT($B419,4)="_Mil","",IFERROR(1/(1/INDEX(Spectrum!$N:$N,MATCH(RIGHT($B419,13)&amp;"|"&amp;$C419&amp;"|"&amp;$D419&amp;"|"&amp;AA$14&amp;"|"&amp;"CY2024Q3",Spectrum!$R:$R,0))),IF(SUM($U419)=0,"",SUM($Z419)/$U419)))</f>
        <v>0.98989951200000015</v>
      </c>
      <c r="AB419" s="33">
        <f t="shared" si="105"/>
        <v>0.98672381350616767</v>
      </c>
      <c r="AC419" s="38">
        <f>IF(LEFT($B419,4)="_Mil","",_xlfn.IFNA(ROUND(INDEX(Spectrum!$N:$N,MATCH(RIGHT($B419,13)&amp;"|"&amp;$C419&amp;"|"&amp;$D419&amp;"|"&amp;AC$14&amp;"|"&amp;"CY2024Q3",Spectrum!$R:$R,0)),0),""))</f>
        <v>91</v>
      </c>
      <c r="AD419" s="38" t="str">
        <f>IF(LEFT($B419,4)="_Mil","",_xlfn.IFNA(ROUND(INDEX(Spectrum!$N:$N,MATCH(RIGHT($B419,13)&amp;"|"&amp;$C419&amp;"|"&amp;$D419&amp;"|"&amp;AD$14&amp;"|"&amp;"CY2024Q3",Spectrum!$R:$R,0)),0),""))</f>
        <v/>
      </c>
      <c r="AE419" s="33">
        <f t="shared" si="106"/>
        <v>0</v>
      </c>
      <c r="AF419" s="218" t="str">
        <f>IF(LEFT($B419,4)="_Mil","",_xlfn.IFNA(ROUND(INDEX(Spectrum!$N:$N,MATCH(RIGHT($B419,13)&amp;"|"&amp;$C419&amp;"|"&amp;$D419&amp;"|"&amp;AF$14&amp;"|"&amp;"CY2024Q3",Spectrum!$R:$R,0)),0),""))</f>
        <v/>
      </c>
      <c r="AG419" s="33" t="str">
        <f t="shared" si="107"/>
        <v/>
      </c>
      <c r="AH419" s="110" t="str">
        <f>IF(LEFT($B419,4)="_Mil","",_xlfn.IFNA(INDEX(Spectrum!$N:$N,MATCH(RIGHT($B419,13)&amp;"|"&amp;$C419&amp;"|"&amp;$D419&amp;"|"&amp;AH$14&amp;"|"&amp;"CY2024Q3",Spectrum!$R:$R,0)),""))</f>
        <v/>
      </c>
      <c r="AI419" s="218">
        <f>IF(LEFT($B419,4)="_Mil","",_xlfn.IFNA(ROUND(INDEX(Spectrum!$N:$N,MATCH(RIGHT($B419,13)&amp;"|"&amp;$C419&amp;"|"&amp;$D419&amp;"|"&amp;AI$14&amp;"|"&amp;"CY2025Q3",Spectrum!$R:$R,0)),0),""))</f>
        <v>14</v>
      </c>
      <c r="AJ419" s="38">
        <f>IF(LEFT($B419,4)="_Mil","",_xlfn.IFNA(ROUND(INDEX(Spectrum!$N:$N,MATCH(RIGHT($B419,13)&amp;"|"&amp;$C419&amp;"|"&amp;$D419&amp;"|"&amp;AJ$14&amp;"|"&amp;"CY2025Q3",Spectrum!$R:$R,0)),0),""))</f>
        <v>10432</v>
      </c>
      <c r="AK419" s="218" t="e">
        <f>#REF!</f>
        <v>#REF!</v>
      </c>
      <c r="AL419" s="33">
        <f t="shared" si="108"/>
        <v>0.98989951200000015</v>
      </c>
      <c r="AM419" s="38" t="e">
        <f>IF(OR(LEFT($B419,4)="_Mil",$C419="&lt;01"),"",ROUND(SUM($AK419)*SUM($AL419),0))</f>
        <v>#REF!</v>
      </c>
      <c r="AN419" s="38" t="str">
        <f>IF($C419="&lt;01",ROUND(INDEX(EID!$P:$P,MATCH($B419,EID!$B:$B,0))/2,0),"")</f>
        <v/>
      </c>
      <c r="AO419" s="38" t="e">
        <f>IF($C419="&lt;01",SUM($AN419),ROUND(SUM($AM419)*SUM($O419)/IF(SUM($Z419)=0,1,$Z419),0))</f>
        <v>#REF!</v>
      </c>
      <c r="AP419" s="218">
        <f>IF(OR($F419="",$C419="&lt;01"),$AO419,ROUND($F419,0))</f>
        <v>10303</v>
      </c>
      <c r="AQ419" s="218">
        <f>IF(LEFT($B419,4)="_Mil","",IF(SUM($AP419)=0,SUM($Z419),IF(OR(SUM($Z419)=0,SUM($O419)=0),MAX($AP419,$Z419),ROUND($AP419*$Z419/$O419,0))))</f>
        <v>10205</v>
      </c>
      <c r="AR419" s="33" t="e">
        <f>IF(OR(LEFT($B419,4)="_Mil",SUM($AK419)=0),"",SUM($AQ419)/$AK419)</f>
        <v>#REF!</v>
      </c>
      <c r="AS419" s="33">
        <v>1.02</v>
      </c>
      <c r="AT419" s="33">
        <f>IF($C419="&lt;01","",100%)</f>
        <v>1</v>
      </c>
      <c r="AU419" s="38">
        <f>IF($C419="&lt;01","",SUM($AP419)-SUM($O419))</f>
        <v>773</v>
      </c>
      <c r="AV419" s="38">
        <f>IF($C419="&lt;01",ROUND(INDEX(EID!$N:$N,MATCH($B419,EID!$B:$B,0))/2,0),IF(SUM($AT419)=0,"",ROUND((SUM($AP419)-(SUM($O419)*SUM($AS419)))/$AT419,0)))</f>
        <v>582</v>
      </c>
      <c r="AW419" s="33">
        <v>0.8</v>
      </c>
      <c r="AX419" s="218">
        <f>IF($C419="&lt;01",SUM($AV419),ROUND(SUM($AV419)*SUM($AW419),0))</f>
        <v>466</v>
      </c>
      <c r="AY419" s="79">
        <f t="shared" si="110"/>
        <v>0.7</v>
      </c>
      <c r="AZ419" s="85">
        <f>IF($C419="&lt;01",ROUND(INDEX(EID!$R:$R,MATCH($B419,EID!$B:$B,0))/2,0),ROUND(SUM($O419)+(SUM($AV419)*$AY419),0))</f>
        <v>9937</v>
      </c>
      <c r="BA419" s="40">
        <f t="shared" si="114"/>
        <v>0.9</v>
      </c>
      <c r="BB419" s="99">
        <f>IF($C419="&lt;01",ROUND(INDEX(EID!$T:$T,MATCH($B419,EID!$B:$B,0))/2,0),ROUND($AP419*$BA419,0))</f>
        <v>9273</v>
      </c>
      <c r="BC419" s="85">
        <f>IF(LEFT($B419,4)="_Mil","",IF(SUM($BB419)=0,SUM($AD419),IF(OR(SUM($AP419)=0,SUM($AQ419)=0),MAX($BB419,$AD419),ROUND($BB419*$AQ419/$AP419,0))))</f>
        <v>9185</v>
      </c>
      <c r="BD419" s="33">
        <f t="shared" si="111"/>
        <v>0.95</v>
      </c>
      <c r="BE419" s="218">
        <f>IF($C419="&lt;01",ROUND(INDEX(EID!$V:$V,MATCH($B419,EID!$B:$B,0))/2,0),ROUND($BD419*$BB419,0))</f>
        <v>8809</v>
      </c>
      <c r="BF419" s="218">
        <f>IF(LEFT($B419,4)="_Mil","",IF(SUM($BE419)=0,SUM($AF419),IF(OR(SUM($AP419)=0,SUM($AQ419)=0),MAX($BE419,$AF419),ROUND($BE419*$AQ419/$AP419,0))))</f>
        <v>8725</v>
      </c>
      <c r="BG419" s="79">
        <f t="shared" si="112"/>
        <v>0.95</v>
      </c>
      <c r="BH419" s="99">
        <f>IF($C419="&lt;01",ROUND(INDEX(EID!$L:$L,MATCH($B419,EID!$B:$B,0)),0)/2,IF(SUM($BG419)=0,"",ROUND($AX419/$BG419,0)))</f>
        <v>491</v>
      </c>
    </row>
    <row r="420" spans="1:60" x14ac:dyDescent="0.2">
      <c r="A420" t="str">
        <f>INDEX(Prioritization!$D:$D,MATCH($B420,Prioritization!$A:$A,0))</f>
        <v>1 - Scale-up: Saturation</v>
      </c>
      <c r="B420" t="s">
        <v>325</v>
      </c>
      <c r="C420" t="s">
        <v>478</v>
      </c>
      <c r="D420" t="s">
        <v>48</v>
      </c>
      <c r="E420" t="str">
        <f t="shared" si="102"/>
        <v>Zomba District [fyEoGEPERdI]|50+|Male</v>
      </c>
      <c r="F420" s="229">
        <v>7974</v>
      </c>
      <c r="G420" s="38">
        <v>162</v>
      </c>
      <c r="H420" s="38">
        <v>195</v>
      </c>
      <c r="I420" s="38">
        <v>7100</v>
      </c>
      <c r="J420" s="38">
        <v>5621</v>
      </c>
      <c r="K420" s="38">
        <v>5464</v>
      </c>
      <c r="L420" s="38">
        <v>646</v>
      </c>
      <c r="M420" s="38">
        <v>614</v>
      </c>
      <c r="N420" s="38">
        <v>6920</v>
      </c>
      <c r="O420" s="229">
        <v>7513</v>
      </c>
      <c r="P420" s="38">
        <v>5767</v>
      </c>
      <c r="Q420" s="38">
        <v>5480</v>
      </c>
      <c r="R420" s="38">
        <f t="shared" si="103"/>
        <v>413</v>
      </c>
      <c r="S420" s="38">
        <f>IF(LEFT($B420,4)="_Mil","",_xlfn.IFNA(ROUND(INDEX(Spectrum!$N:$N,MATCH(RIGHT($B420,13)&amp;"|"&amp;$C420&amp;"|"&amp;$D420&amp;"|"&amp;S$14&amp;"|"&amp;"CY2023Q4",Spectrum!$R:$R,0)),0),""))</f>
        <v>6739</v>
      </c>
      <c r="T420" s="218">
        <f>IF(LEFT($B420,4)="_Mil","",_xlfn.IFNA(ROUND(INDEX(Spectrum!$N:$N,MATCH(RIGHT($B420,13)&amp;"|"&amp;$C420&amp;"|"&amp;$D420&amp;"|"&amp;T$14&amp;"|"&amp;"CY2024Q3",Spectrum!$R:$R,0)),0),""))</f>
        <v>35214</v>
      </c>
      <c r="U420" s="218">
        <f>IF(LEFT($B420,4)="_Mil","",_xlfn.IFNA(ROUND(INDEX(Spectrum!$N:$N,MATCH(RIGHT($B420,13)&amp;"|"&amp;$C420&amp;"|"&amp;$D420&amp;"|"&amp;U$14&amp;"|"&amp;"CY2024Q3",Spectrum!$R:$R,0)),0),""))</f>
        <v>7588</v>
      </c>
      <c r="V420" s="38">
        <f>IF(LEFT($B420,4)="_Mil","",_xlfn.IFNA(ROUND(INDEX(Spectrum!$N:$N,MATCH(RIGHT($B420,13)&amp;"|"&amp;$C420&amp;"|"&amp;$D420&amp;"|"&amp;V$14&amp;"|"&amp;"CY2024Q3",Spectrum!$R:$R,0)),0),""))</f>
        <v>7513</v>
      </c>
      <c r="W420" s="220">
        <f>IF(LEFT($B420,4)="_Mil","",_xlfn.IFNA(INDEX(Spectrum!$N:$N,MATCH(RIGHT($B420,13)&amp;"|"&amp;$C420&amp;"|"&amp;$D420&amp;"|"&amp;W$14&amp;"|"&amp;"CY2024Q3",Spectrum!$R:$R,0)),""))</f>
        <v>0.21549512700000001</v>
      </c>
      <c r="X420" s="218">
        <f>IF(LEFT($B420,4)="_Mil","",_xlfn.IFNA(ROUND(INDEX(Spectrum!$N:$N,MATCH(RIGHT($B420,13)&amp;"|"&amp;$C420&amp;"|"&amp;$D420&amp;"|"&amp;X$14&amp;"|"&amp;"CY2024Q3",Spectrum!$R:$R,0)),0),""))</f>
        <v>7252</v>
      </c>
      <c r="Y420" s="33">
        <f t="shared" si="104"/>
        <v>0.96</v>
      </c>
      <c r="Z420" s="218">
        <f>IF(LEFT($B420,4)="_Mil","",_xlfn.IFNA(ROUND(INDEX(Spectrum!$N:$N,MATCH(RIGHT($B420,13)&amp;"|"&amp;$C420&amp;"|"&amp;$D420&amp;"|"&amp;Z$14&amp;"|"&amp;"CY2024Q3",Spectrum!$R:$R,0)),0),""))</f>
        <v>7148</v>
      </c>
      <c r="AA420" s="33">
        <f>IF(LEFT($B420,4)="_Mil","",IFERROR(1/(1/INDEX(Spectrum!$N:$N,MATCH(RIGHT($B420,13)&amp;"|"&amp;$C420&amp;"|"&amp;$D420&amp;"|"&amp;AA$14&amp;"|"&amp;"CY2024Q3",Spectrum!$R:$R,0))),IF(SUM($U420)=0,"",SUM($Z420)/$U420)))</f>
        <v>0.95286562399999997</v>
      </c>
      <c r="AB420" s="33">
        <f t="shared" si="105"/>
        <v>0.98565912851627135</v>
      </c>
      <c r="AC420" s="38">
        <f>IF(LEFT($B420,4)="_Mil","",_xlfn.IFNA(ROUND(INDEX(Spectrum!$N:$N,MATCH(RIGHT($B420,13)&amp;"|"&amp;$C420&amp;"|"&amp;$D420&amp;"|"&amp;AC$14&amp;"|"&amp;"CY2024Q3",Spectrum!$R:$R,0)),0),""))</f>
        <v>365</v>
      </c>
      <c r="AD420" s="38" t="str">
        <f>IF(LEFT($B420,4)="_Mil","",_xlfn.IFNA(ROUND(INDEX(Spectrum!$N:$N,MATCH(RIGHT($B420,13)&amp;"|"&amp;$C420&amp;"|"&amp;$D420&amp;"|"&amp;AD$14&amp;"|"&amp;"CY2024Q3",Spectrum!$R:$R,0)),0),""))</f>
        <v/>
      </c>
      <c r="AE420" s="33">
        <f t="shared" si="106"/>
        <v>0</v>
      </c>
      <c r="AF420" s="218" t="str">
        <f>IF(LEFT($B420,4)="_Mil","",_xlfn.IFNA(ROUND(INDEX(Spectrum!$N:$N,MATCH(RIGHT($B420,13)&amp;"|"&amp;$C420&amp;"|"&amp;$D420&amp;"|"&amp;AF$14&amp;"|"&amp;"CY2024Q3",Spectrum!$R:$R,0)),0),""))</f>
        <v/>
      </c>
      <c r="AG420" s="33" t="str">
        <f t="shared" si="107"/>
        <v/>
      </c>
      <c r="AH420" s="110" t="str">
        <f>IF(LEFT($B420,4)="_Mil","",_xlfn.IFNA(INDEX(Spectrum!$N:$N,MATCH(RIGHT($B420,13)&amp;"|"&amp;$C420&amp;"|"&amp;$D420&amp;"|"&amp;AH$14&amp;"|"&amp;"CY2024Q3",Spectrum!$R:$R,0)),""))</f>
        <v/>
      </c>
      <c r="AI420" s="218">
        <f>IF(LEFT($B420,4)="_Mil","",_xlfn.IFNA(ROUND(INDEX(Spectrum!$N:$N,MATCH(RIGHT($B420,13)&amp;"|"&amp;$C420&amp;"|"&amp;$D420&amp;"|"&amp;AI$14&amp;"|"&amp;"CY2025Q3",Spectrum!$R:$R,0)),0),""))</f>
        <v>27</v>
      </c>
      <c r="AJ420" s="38">
        <f>IF(LEFT($B420,4)="_Mil","",_xlfn.IFNA(ROUND(INDEX(Spectrum!$N:$N,MATCH(RIGHT($B420,13)&amp;"|"&amp;$C420&amp;"|"&amp;$D420&amp;"|"&amp;AJ$14&amp;"|"&amp;"CY2025Q3",Spectrum!$R:$R,0)),0),""))</f>
        <v>8049</v>
      </c>
      <c r="AK420" s="218" t="e">
        <f>#REF!</f>
        <v>#REF!</v>
      </c>
      <c r="AL420" s="33">
        <f t="shared" si="108"/>
        <v>0.95286562399999997</v>
      </c>
      <c r="AM420" s="38" t="e">
        <f>IF(OR(LEFT($B420,4)="_Mil",$C420="&lt;01"),"",ROUND(SUM($AK420)*SUM($AL420),0))</f>
        <v>#REF!</v>
      </c>
      <c r="AN420" s="38" t="str">
        <f>IF($C420="&lt;01",ROUND(INDEX(EID!$P:$P,MATCH($B420,EID!$B:$B,0))/2,0),"")</f>
        <v/>
      </c>
      <c r="AO420" s="38" t="e">
        <f>IF($C420="&lt;01",SUM($AN420),ROUND(SUM($AM420)*SUM($O420)/IF(SUM($Z420)=0,1,$Z420),0))</f>
        <v>#REF!</v>
      </c>
      <c r="AP420" s="218">
        <f>IF(OR($F420="",$C420="&lt;01"),$AO420,ROUND($F420,0))</f>
        <v>7974</v>
      </c>
      <c r="AQ420" s="218">
        <f>IF(LEFT($B420,4)="_Mil","",IF(SUM($AP420)=0,SUM($Z420),IF(OR(SUM($Z420)=0,SUM($O420)=0),MAX($AP420,$Z420),ROUND($AP420*$Z420/$O420,0))))</f>
        <v>7587</v>
      </c>
      <c r="AR420" s="33" t="e">
        <f>IF(OR(LEFT($B420,4)="_Mil",SUM($AK420)=0),"",SUM($AQ420)/$AK420)</f>
        <v>#REF!</v>
      </c>
      <c r="AS420" s="33">
        <v>1.02</v>
      </c>
      <c r="AT420" s="33">
        <f>IF($C420="&lt;01","",100%)</f>
        <v>1</v>
      </c>
      <c r="AU420" s="38">
        <f>IF($C420="&lt;01","",SUM($AP420)-SUM($O420))</f>
        <v>461</v>
      </c>
      <c r="AV420" s="38">
        <f>IF($C420="&lt;01",ROUND(INDEX(EID!$N:$N,MATCH($B420,EID!$B:$B,0))/2,0),IF(SUM($AT420)=0,"",ROUND((SUM($AP420)-(SUM($O420)*SUM($AS420)))/$AT420,0)))</f>
        <v>311</v>
      </c>
      <c r="AW420" s="33">
        <v>0.8</v>
      </c>
      <c r="AX420" s="218">
        <f>IF($C420="&lt;01",SUM($AV420),ROUND(SUM($AV420)*SUM($AW420),0))</f>
        <v>249</v>
      </c>
      <c r="AY420" s="79">
        <f t="shared" si="110"/>
        <v>0.7</v>
      </c>
      <c r="AZ420" s="85">
        <f>IF($C420="&lt;01",ROUND(INDEX(EID!$R:$R,MATCH($B420,EID!$B:$B,0))/2,0),ROUND(SUM($O420)+(SUM($AV420)*$AY420),0))</f>
        <v>7731</v>
      </c>
      <c r="BA420" s="40">
        <f t="shared" si="114"/>
        <v>0.9</v>
      </c>
      <c r="BB420" s="99">
        <f>IF($C420="&lt;01",ROUND(INDEX(EID!$T:$T,MATCH($B420,EID!$B:$B,0))/2,0),ROUND($AP420*$BA420,0))</f>
        <v>7177</v>
      </c>
      <c r="BC420" s="85">
        <f>IF(LEFT($B420,4)="_Mil","",IF(SUM($BB420)=0,SUM($AD420),IF(OR(SUM($AP420)=0,SUM($AQ420)=0),MAX($BB420,$AD420),ROUND($BB420*$AQ420/$AP420,0))))</f>
        <v>6829</v>
      </c>
      <c r="BD420" s="33">
        <f t="shared" si="111"/>
        <v>0.95</v>
      </c>
      <c r="BE420" s="218">
        <f>IF($C420="&lt;01",ROUND(INDEX(EID!$V:$V,MATCH($B420,EID!$B:$B,0))/2,0),ROUND($BD420*$BB420,0))</f>
        <v>6818</v>
      </c>
      <c r="BF420" s="218">
        <f>IF(LEFT($B420,4)="_Mil","",IF(SUM($BE420)=0,SUM($AF420),IF(OR(SUM($AP420)=0,SUM($AQ420)=0),MAX($BE420,$AF420),ROUND($BE420*$AQ420/$AP420,0))))</f>
        <v>6487</v>
      </c>
      <c r="BG420" s="79">
        <f t="shared" si="112"/>
        <v>0.95</v>
      </c>
      <c r="BH420" s="99">
        <f>IF($C420="&lt;01",ROUND(INDEX(EID!$L:$L,MATCH($B420,EID!$B:$B,0)),0)/2,IF(SUM($BG420)=0,"",ROUND($AX420/$BG420,0)))</f>
        <v>262</v>
      </c>
    </row>
    <row r="421" spans="1:60" x14ac:dyDescent="0.2">
      <c r="AY421" s="79"/>
      <c r="AZ421" s="85"/>
      <c r="BA421" s="40"/>
      <c r="BB421" s="99"/>
      <c r="BC421" s="85"/>
      <c r="BG421" s="79"/>
      <c r="BH421" s="99"/>
    </row>
    <row r="422" spans="1:60" x14ac:dyDescent="0.2">
      <c r="AY422" s="79"/>
      <c r="AZ422" s="85"/>
      <c r="BA422" s="40"/>
      <c r="BB422" s="99"/>
      <c r="BC422" s="85"/>
      <c r="BG422" s="79"/>
      <c r="BH422" s="99"/>
    </row>
    <row r="423" spans="1:60" x14ac:dyDescent="0.2">
      <c r="AY423" s="79"/>
      <c r="AZ423" s="85"/>
      <c r="BA423" s="40"/>
      <c r="BB423" s="99"/>
      <c r="BC423" s="85"/>
      <c r="BG423" s="79"/>
      <c r="BH423" s="99"/>
    </row>
    <row r="424" spans="1:60" x14ac:dyDescent="0.2">
      <c r="AY424" s="79"/>
      <c r="AZ424" s="85"/>
      <c r="BA424" s="40"/>
      <c r="BB424" s="99"/>
      <c r="BC424" s="85"/>
      <c r="BG424" s="79"/>
      <c r="BH424" s="99"/>
    </row>
    <row r="425" spans="1:60" x14ac:dyDescent="0.2">
      <c r="AY425" s="79"/>
      <c r="AZ425" s="85"/>
      <c r="BA425" s="40"/>
      <c r="BB425" s="99"/>
      <c r="BC425" s="85"/>
      <c r="BG425" s="79"/>
      <c r="BH425" s="99"/>
    </row>
    <row r="426" spans="1:60" x14ac:dyDescent="0.2">
      <c r="AY426" s="79"/>
      <c r="AZ426" s="85"/>
      <c r="BA426" s="40"/>
      <c r="BB426" s="99"/>
      <c r="BC426" s="85"/>
      <c r="BG426" s="79"/>
      <c r="BH426" s="99"/>
    </row>
    <row r="427" spans="1:60" x14ac:dyDescent="0.2">
      <c r="AY427" s="79"/>
      <c r="AZ427" s="85"/>
      <c r="BA427" s="40"/>
      <c r="BB427" s="99"/>
      <c r="BC427" s="85"/>
      <c r="BG427" s="79"/>
      <c r="BH427" s="99"/>
    </row>
    <row r="428" spans="1:60" x14ac:dyDescent="0.2">
      <c r="AY428" s="79"/>
      <c r="AZ428" s="85"/>
      <c r="BA428" s="40"/>
      <c r="BB428" s="99"/>
      <c r="BC428" s="85"/>
      <c r="BG428" s="79"/>
      <c r="BH428" s="99"/>
    </row>
    <row r="429" spans="1:60" x14ac:dyDescent="0.2">
      <c r="AY429" s="79"/>
      <c r="AZ429" s="85"/>
      <c r="BA429" s="40"/>
      <c r="BB429" s="99"/>
      <c r="BC429" s="85"/>
      <c r="BG429" s="79"/>
      <c r="BH429" s="99"/>
    </row>
    <row r="430" spans="1:60" x14ac:dyDescent="0.2">
      <c r="AY430" s="79"/>
      <c r="AZ430" s="85"/>
      <c r="BA430" s="40"/>
      <c r="BB430" s="99"/>
      <c r="BC430" s="85"/>
      <c r="BG430" s="79"/>
      <c r="BH430" s="99"/>
    </row>
    <row r="431" spans="1:60" x14ac:dyDescent="0.2">
      <c r="AY431" s="79"/>
      <c r="AZ431" s="85"/>
      <c r="BA431" s="40"/>
      <c r="BB431" s="99"/>
      <c r="BC431" s="85"/>
      <c r="BG431" s="79"/>
      <c r="BH431" s="99"/>
    </row>
    <row r="432" spans="1:60" x14ac:dyDescent="0.2">
      <c r="AY432" s="79"/>
      <c r="AZ432" s="85"/>
      <c r="BA432" s="40"/>
      <c r="BB432" s="99"/>
      <c r="BC432" s="85"/>
      <c r="BG432" s="79"/>
      <c r="BH432" s="99"/>
    </row>
    <row r="433" spans="51:60" x14ac:dyDescent="0.2">
      <c r="AY433" s="79"/>
      <c r="AZ433" s="85"/>
      <c r="BA433" s="40"/>
      <c r="BB433" s="99"/>
      <c r="BC433" s="85"/>
      <c r="BG433" s="79"/>
      <c r="BH433" s="99"/>
    </row>
    <row r="434" spans="51:60" x14ac:dyDescent="0.2">
      <c r="AY434" s="79"/>
      <c r="AZ434" s="85"/>
      <c r="BA434" s="40"/>
      <c r="BB434" s="99"/>
      <c r="BC434" s="85"/>
      <c r="BG434" s="79"/>
      <c r="BH434" s="99"/>
    </row>
    <row r="435" spans="51:60" x14ac:dyDescent="0.2">
      <c r="AY435" s="79"/>
      <c r="AZ435" s="85"/>
      <c r="BA435" s="40"/>
      <c r="BB435" s="99"/>
      <c r="BC435" s="85"/>
      <c r="BG435" s="79"/>
      <c r="BH435" s="99"/>
    </row>
    <row r="436" spans="51:60" x14ac:dyDescent="0.2">
      <c r="AY436" s="79"/>
      <c r="AZ436" s="85"/>
      <c r="BA436" s="40"/>
      <c r="BB436" s="99"/>
      <c r="BC436" s="85"/>
      <c r="BG436" s="79"/>
      <c r="BH436" s="99"/>
    </row>
    <row r="437" spans="51:60" x14ac:dyDescent="0.2">
      <c r="AY437" s="79"/>
      <c r="AZ437" s="85"/>
      <c r="BA437" s="40"/>
      <c r="BB437" s="99"/>
      <c r="BC437" s="85"/>
      <c r="BG437" s="79"/>
      <c r="BH437" s="99"/>
    </row>
    <row r="438" spans="51:60" x14ac:dyDescent="0.2">
      <c r="AY438" s="79"/>
      <c r="AZ438" s="85"/>
      <c r="BA438" s="40"/>
      <c r="BB438" s="99"/>
      <c r="BC438" s="85"/>
      <c r="BG438" s="79"/>
      <c r="BH438" s="99"/>
    </row>
    <row r="439" spans="51:60" x14ac:dyDescent="0.2">
      <c r="AY439" s="79"/>
      <c r="AZ439" s="85"/>
      <c r="BA439" s="40"/>
      <c r="BB439" s="99"/>
      <c r="BC439" s="85"/>
      <c r="BG439" s="79"/>
      <c r="BH439" s="99"/>
    </row>
    <row r="440" spans="51:60" x14ac:dyDescent="0.2">
      <c r="AY440" s="79"/>
      <c r="AZ440" s="85"/>
      <c r="BA440" s="40"/>
      <c r="BB440" s="99"/>
      <c r="BC440" s="85"/>
      <c r="BG440" s="79"/>
      <c r="BH440" s="99"/>
    </row>
    <row r="441" spans="51:60" x14ac:dyDescent="0.2">
      <c r="AY441" s="79"/>
      <c r="AZ441" s="85"/>
      <c r="BA441" s="40"/>
      <c r="BB441" s="99"/>
      <c r="BC441" s="85"/>
      <c r="BG441" s="79"/>
      <c r="BH441" s="99"/>
    </row>
    <row r="442" spans="51:60" x14ac:dyDescent="0.2">
      <c r="AY442" s="79"/>
      <c r="AZ442" s="85"/>
      <c r="BA442" s="40"/>
      <c r="BB442" s="99"/>
      <c r="BC442" s="85"/>
      <c r="BG442" s="79"/>
      <c r="BH442" s="99"/>
    </row>
    <row r="443" spans="51:60" x14ac:dyDescent="0.2">
      <c r="AY443" s="79"/>
      <c r="AZ443" s="85"/>
      <c r="BA443" s="40"/>
      <c r="BB443" s="99"/>
      <c r="BC443" s="85"/>
      <c r="BG443" s="79"/>
      <c r="BH443" s="99"/>
    </row>
    <row r="444" spans="51:60" x14ac:dyDescent="0.2">
      <c r="AY444" s="79"/>
      <c r="AZ444" s="85"/>
      <c r="BA444" s="40"/>
      <c r="BB444" s="99"/>
      <c r="BC444" s="85"/>
      <c r="BG444" s="79"/>
      <c r="BH444" s="99"/>
    </row>
    <row r="445" spans="51:60" x14ac:dyDescent="0.2">
      <c r="AY445" s="79"/>
      <c r="AZ445" s="85"/>
      <c r="BA445" s="40"/>
      <c r="BB445" s="99"/>
      <c r="BC445" s="85"/>
      <c r="BG445" s="79"/>
      <c r="BH445" s="99"/>
    </row>
    <row r="446" spans="51:60" x14ac:dyDescent="0.2">
      <c r="AY446" s="79"/>
      <c r="AZ446" s="85"/>
      <c r="BA446" s="40"/>
      <c r="BB446" s="99"/>
      <c r="BC446" s="85"/>
      <c r="BG446" s="79"/>
      <c r="BH446" s="99"/>
    </row>
    <row r="447" spans="51:60" x14ac:dyDescent="0.2">
      <c r="AY447" s="79"/>
      <c r="AZ447" s="85"/>
      <c r="BA447" s="40"/>
      <c r="BB447" s="99"/>
      <c r="BC447" s="85"/>
      <c r="BG447" s="79"/>
      <c r="BH447" s="99"/>
    </row>
    <row r="448" spans="51:60" x14ac:dyDescent="0.2">
      <c r="AY448" s="79"/>
      <c r="AZ448" s="85"/>
      <c r="BA448" s="40"/>
      <c r="BB448" s="99"/>
      <c r="BC448" s="85"/>
      <c r="BG448" s="79"/>
      <c r="BH448" s="99"/>
    </row>
    <row r="449" spans="51:60" x14ac:dyDescent="0.2">
      <c r="AY449" s="79"/>
      <c r="AZ449" s="85"/>
      <c r="BA449" s="40"/>
      <c r="BB449" s="99"/>
      <c r="BC449" s="85"/>
      <c r="BG449" s="79"/>
      <c r="BH449" s="99"/>
    </row>
    <row r="450" spans="51:60" x14ac:dyDescent="0.2">
      <c r="AY450" s="79"/>
      <c r="AZ450" s="85"/>
      <c r="BA450" s="40"/>
      <c r="BB450" s="99"/>
      <c r="BC450" s="85"/>
      <c r="BG450" s="79"/>
      <c r="BH450" s="99"/>
    </row>
    <row r="451" spans="51:60" x14ac:dyDescent="0.2">
      <c r="AY451" s="79"/>
      <c r="AZ451" s="85"/>
      <c r="BA451" s="40"/>
      <c r="BB451" s="99"/>
      <c r="BC451" s="85"/>
      <c r="BG451" s="79"/>
      <c r="BH451" s="99"/>
    </row>
    <row r="452" spans="51:60" x14ac:dyDescent="0.2">
      <c r="AY452" s="79"/>
      <c r="AZ452" s="85"/>
      <c r="BA452" s="40"/>
      <c r="BB452" s="99"/>
      <c r="BC452" s="85"/>
      <c r="BG452" s="79"/>
      <c r="BH452" s="99"/>
    </row>
    <row r="453" spans="51:60" x14ac:dyDescent="0.2">
      <c r="AY453" s="79"/>
      <c r="AZ453" s="85"/>
      <c r="BA453" s="40"/>
      <c r="BB453" s="99"/>
      <c r="BC453" s="85"/>
      <c r="BG453" s="79"/>
      <c r="BH453" s="99"/>
    </row>
    <row r="454" spans="51:60" x14ac:dyDescent="0.2">
      <c r="AY454" s="79"/>
      <c r="AZ454" s="85"/>
      <c r="BA454" s="40"/>
      <c r="BB454" s="99"/>
      <c r="BC454" s="85"/>
      <c r="BG454" s="79"/>
      <c r="BH454" s="99"/>
    </row>
    <row r="455" spans="51:60" x14ac:dyDescent="0.2">
      <c r="AY455" s="79"/>
      <c r="AZ455" s="85"/>
      <c r="BA455" s="40"/>
      <c r="BB455" s="99"/>
      <c r="BC455" s="85"/>
      <c r="BG455" s="79"/>
      <c r="BH455" s="99"/>
    </row>
    <row r="456" spans="51:60" x14ac:dyDescent="0.2">
      <c r="AY456" s="79"/>
      <c r="AZ456" s="85"/>
      <c r="BA456" s="40"/>
      <c r="BB456" s="99"/>
      <c r="BC456" s="85"/>
      <c r="BG456" s="79"/>
      <c r="BH456" s="99"/>
    </row>
    <row r="457" spans="51:60" x14ac:dyDescent="0.2">
      <c r="AY457" s="79"/>
      <c r="AZ457" s="85"/>
      <c r="BA457" s="40"/>
      <c r="BB457" s="99"/>
      <c r="BC457" s="85"/>
      <c r="BG457" s="79"/>
      <c r="BH457" s="99"/>
    </row>
    <row r="458" spans="51:60" x14ac:dyDescent="0.2">
      <c r="AY458" s="79"/>
      <c r="AZ458" s="85"/>
      <c r="BA458" s="40"/>
      <c r="BB458" s="99"/>
      <c r="BC458" s="85"/>
      <c r="BG458" s="79"/>
      <c r="BH458" s="99"/>
    </row>
    <row r="459" spans="51:60" x14ac:dyDescent="0.2">
      <c r="AY459" s="79"/>
      <c r="AZ459" s="85"/>
      <c r="BA459" s="40"/>
      <c r="BB459" s="99"/>
      <c r="BC459" s="85"/>
      <c r="BG459" s="79"/>
      <c r="BH459" s="99"/>
    </row>
    <row r="460" spans="51:60" x14ac:dyDescent="0.2">
      <c r="AY460" s="79"/>
      <c r="AZ460" s="85"/>
      <c r="BA460" s="40"/>
      <c r="BB460" s="99"/>
      <c r="BC460" s="85"/>
      <c r="BG460" s="79"/>
      <c r="BH460" s="99"/>
    </row>
    <row r="461" spans="51:60" x14ac:dyDescent="0.2">
      <c r="AY461" s="79"/>
      <c r="AZ461" s="85"/>
      <c r="BA461" s="40"/>
      <c r="BB461" s="99"/>
      <c r="BC461" s="85"/>
      <c r="BG461" s="79"/>
      <c r="BH461" s="99"/>
    </row>
    <row r="462" spans="51:60" x14ac:dyDescent="0.2">
      <c r="AY462" s="79"/>
      <c r="AZ462" s="85"/>
      <c r="BA462" s="40"/>
      <c r="BB462" s="99"/>
      <c r="BC462" s="85"/>
      <c r="BG462" s="79"/>
      <c r="BH462" s="99"/>
    </row>
    <row r="463" spans="51:60" x14ac:dyDescent="0.2">
      <c r="AY463" s="79"/>
      <c r="AZ463" s="85"/>
      <c r="BA463" s="40"/>
      <c r="BB463" s="99"/>
      <c r="BC463" s="85"/>
      <c r="BG463" s="79"/>
      <c r="BH463" s="99"/>
    </row>
    <row r="464" spans="51:60" x14ac:dyDescent="0.2">
      <c r="AY464" s="79"/>
      <c r="AZ464" s="85"/>
      <c r="BA464" s="40"/>
      <c r="BB464" s="99"/>
      <c r="BC464" s="85"/>
      <c r="BG464" s="79"/>
      <c r="BH464" s="99"/>
    </row>
    <row r="465" spans="51:60" x14ac:dyDescent="0.2">
      <c r="AY465" s="79"/>
      <c r="AZ465" s="85"/>
      <c r="BA465" s="40"/>
      <c r="BB465" s="99"/>
      <c r="BC465" s="85"/>
      <c r="BG465" s="79"/>
      <c r="BH465" s="99"/>
    </row>
    <row r="466" spans="51:60" x14ac:dyDescent="0.2">
      <c r="AY466" s="79"/>
      <c r="AZ466" s="85"/>
      <c r="BA466" s="40"/>
      <c r="BB466" s="99"/>
      <c r="BC466" s="85"/>
      <c r="BG466" s="79"/>
      <c r="BH466" s="99"/>
    </row>
    <row r="467" spans="51:60" x14ac:dyDescent="0.2">
      <c r="AY467" s="79"/>
      <c r="AZ467" s="85"/>
      <c r="BA467" s="40"/>
      <c r="BB467" s="99"/>
      <c r="BC467" s="85"/>
      <c r="BG467" s="79"/>
      <c r="BH467" s="99"/>
    </row>
    <row r="468" spans="51:60" x14ac:dyDescent="0.2">
      <c r="AY468" s="79"/>
      <c r="AZ468" s="85"/>
      <c r="BA468" s="40"/>
      <c r="BB468" s="99"/>
      <c r="BC468" s="85"/>
      <c r="BG468" s="79"/>
      <c r="BH468" s="99"/>
    </row>
    <row r="469" spans="51:60" x14ac:dyDescent="0.2">
      <c r="AY469" s="79"/>
      <c r="AZ469" s="85"/>
      <c r="BA469" s="40"/>
      <c r="BB469" s="99"/>
      <c r="BC469" s="85"/>
      <c r="BG469" s="79"/>
      <c r="BH469" s="99"/>
    </row>
    <row r="470" spans="51:60" x14ac:dyDescent="0.2">
      <c r="AY470" s="79"/>
      <c r="AZ470" s="85"/>
      <c r="BA470" s="40"/>
      <c r="BB470" s="99"/>
      <c r="BC470" s="85"/>
      <c r="BG470" s="79"/>
      <c r="BH470" s="99"/>
    </row>
    <row r="471" spans="51:60" x14ac:dyDescent="0.2">
      <c r="AY471" s="79"/>
      <c r="AZ471" s="85"/>
      <c r="BA471" s="40"/>
      <c r="BB471" s="99"/>
      <c r="BC471" s="85"/>
      <c r="BG471" s="79"/>
      <c r="BH471" s="99"/>
    </row>
    <row r="472" spans="51:60" x14ac:dyDescent="0.2">
      <c r="AY472" s="79"/>
      <c r="AZ472" s="85"/>
      <c r="BA472" s="40"/>
      <c r="BB472" s="99"/>
      <c r="BC472" s="85"/>
      <c r="BG472" s="79"/>
      <c r="BH472" s="99"/>
    </row>
    <row r="473" spans="51:60" x14ac:dyDescent="0.2">
      <c r="AY473" s="79"/>
      <c r="AZ473" s="85"/>
      <c r="BA473" s="40"/>
      <c r="BB473" s="99"/>
      <c r="BC473" s="85"/>
      <c r="BG473" s="79"/>
      <c r="BH473" s="99"/>
    </row>
    <row r="474" spans="51:60" x14ac:dyDescent="0.2">
      <c r="AY474" s="79"/>
      <c r="AZ474" s="85"/>
      <c r="BA474" s="40"/>
      <c r="BB474" s="99"/>
      <c r="BC474" s="85"/>
      <c r="BG474" s="79"/>
      <c r="BH474" s="99"/>
    </row>
    <row r="475" spans="51:60" x14ac:dyDescent="0.2">
      <c r="AY475" s="79"/>
      <c r="AZ475" s="85"/>
      <c r="BA475" s="40"/>
      <c r="BB475" s="99"/>
      <c r="BC475" s="85"/>
      <c r="BG475" s="79"/>
      <c r="BH475" s="99"/>
    </row>
    <row r="476" spans="51:60" x14ac:dyDescent="0.2">
      <c r="AY476" s="79"/>
      <c r="AZ476" s="85"/>
      <c r="BA476" s="40"/>
      <c r="BB476" s="99"/>
      <c r="BC476" s="85"/>
      <c r="BG476" s="79"/>
      <c r="BH476" s="99"/>
    </row>
    <row r="477" spans="51:60" x14ac:dyDescent="0.2">
      <c r="AY477" s="79"/>
      <c r="AZ477" s="85"/>
      <c r="BA477" s="40"/>
      <c r="BB477" s="99"/>
      <c r="BC477" s="85"/>
      <c r="BG477" s="79"/>
      <c r="BH477" s="99"/>
    </row>
    <row r="478" spans="51:60" x14ac:dyDescent="0.2">
      <c r="AY478" s="79"/>
      <c r="AZ478" s="85"/>
      <c r="BA478" s="40"/>
      <c r="BB478" s="99"/>
      <c r="BC478" s="85"/>
      <c r="BG478" s="79"/>
      <c r="BH478" s="99"/>
    </row>
    <row r="479" spans="51:60" x14ac:dyDescent="0.2">
      <c r="AY479" s="79"/>
      <c r="AZ479" s="85"/>
      <c r="BA479" s="40"/>
      <c r="BB479" s="99"/>
      <c r="BC479" s="85"/>
      <c r="BG479" s="79"/>
      <c r="BH479" s="99"/>
    </row>
    <row r="480" spans="51:60" x14ac:dyDescent="0.2">
      <c r="AY480" s="79"/>
      <c r="AZ480" s="85"/>
      <c r="BA480" s="40"/>
      <c r="BB480" s="99"/>
      <c r="BC480" s="85"/>
      <c r="BG480" s="79"/>
      <c r="BH480" s="99"/>
    </row>
    <row r="481" spans="51:60" x14ac:dyDescent="0.2">
      <c r="AY481" s="79"/>
      <c r="AZ481" s="85"/>
      <c r="BA481" s="40"/>
      <c r="BB481" s="99"/>
      <c r="BC481" s="85"/>
      <c r="BG481" s="79"/>
      <c r="BH481" s="99"/>
    </row>
    <row r="482" spans="51:60" x14ac:dyDescent="0.2">
      <c r="AY482" s="79"/>
      <c r="AZ482" s="85"/>
      <c r="BA482" s="40"/>
      <c r="BB482" s="99"/>
      <c r="BC482" s="85"/>
      <c r="BG482" s="79"/>
      <c r="BH482" s="99"/>
    </row>
    <row r="483" spans="51:60" x14ac:dyDescent="0.2">
      <c r="AY483" s="79"/>
      <c r="AZ483" s="85"/>
      <c r="BA483" s="40"/>
      <c r="BB483" s="99"/>
      <c r="BC483" s="85"/>
      <c r="BG483" s="79"/>
      <c r="BH483" s="99"/>
    </row>
    <row r="484" spans="51:60" x14ac:dyDescent="0.2">
      <c r="AY484" s="79"/>
      <c r="AZ484" s="85"/>
      <c r="BA484" s="40"/>
      <c r="BB484" s="99"/>
      <c r="BC484" s="85"/>
      <c r="BG484" s="79"/>
      <c r="BH484" s="99"/>
    </row>
    <row r="485" spans="51:60" x14ac:dyDescent="0.2">
      <c r="AY485" s="79"/>
      <c r="AZ485" s="85"/>
      <c r="BA485" s="40"/>
      <c r="BB485" s="99"/>
      <c r="BC485" s="85"/>
      <c r="BG485" s="79"/>
      <c r="BH485" s="99"/>
    </row>
    <row r="486" spans="51:60" x14ac:dyDescent="0.2">
      <c r="AY486" s="79"/>
      <c r="AZ486" s="85"/>
      <c r="BA486" s="40"/>
      <c r="BB486" s="99"/>
      <c r="BC486" s="85"/>
      <c r="BG486" s="79"/>
      <c r="BH486" s="99"/>
    </row>
    <row r="487" spans="51:60" x14ac:dyDescent="0.2">
      <c r="AY487" s="79"/>
      <c r="AZ487" s="85"/>
      <c r="BA487" s="40"/>
      <c r="BB487" s="99"/>
      <c r="BC487" s="85"/>
      <c r="BG487" s="79"/>
      <c r="BH487" s="99"/>
    </row>
    <row r="488" spans="51:60" x14ac:dyDescent="0.2">
      <c r="AY488" s="79"/>
      <c r="AZ488" s="85"/>
      <c r="BA488" s="40"/>
      <c r="BB488" s="99"/>
      <c r="BC488" s="85"/>
      <c r="BG488" s="79"/>
      <c r="BH488" s="99"/>
    </row>
    <row r="489" spans="51:60" x14ac:dyDescent="0.2">
      <c r="AY489" s="79"/>
      <c r="AZ489" s="85"/>
      <c r="BA489" s="40"/>
      <c r="BB489" s="99"/>
      <c r="BC489" s="85"/>
      <c r="BG489" s="79"/>
      <c r="BH489" s="99"/>
    </row>
    <row r="490" spans="51:60" x14ac:dyDescent="0.2">
      <c r="AY490" s="79"/>
      <c r="AZ490" s="85"/>
      <c r="BA490" s="40"/>
      <c r="BB490" s="99"/>
      <c r="BC490" s="85"/>
      <c r="BG490" s="79"/>
      <c r="BH490" s="99"/>
    </row>
    <row r="491" spans="51:60" x14ac:dyDescent="0.2">
      <c r="AY491" s="79"/>
      <c r="AZ491" s="85"/>
      <c r="BA491" s="40"/>
      <c r="BB491" s="99"/>
      <c r="BC491" s="85"/>
      <c r="BG491" s="79"/>
      <c r="BH491" s="99"/>
    </row>
    <row r="492" spans="51:60" x14ac:dyDescent="0.2">
      <c r="AY492" s="79"/>
      <c r="AZ492" s="85"/>
      <c r="BA492" s="40"/>
      <c r="BB492" s="99"/>
      <c r="BC492" s="85"/>
      <c r="BG492" s="79"/>
      <c r="BH492" s="99"/>
    </row>
    <row r="493" spans="51:60" x14ac:dyDescent="0.2">
      <c r="AY493" s="79"/>
      <c r="AZ493" s="85"/>
      <c r="BA493" s="40"/>
      <c r="BB493" s="99"/>
      <c r="BC493" s="85"/>
      <c r="BG493" s="79"/>
      <c r="BH493" s="99"/>
    </row>
    <row r="494" spans="51:60" x14ac:dyDescent="0.2">
      <c r="AY494" s="79"/>
      <c r="AZ494" s="85"/>
      <c r="BA494" s="40"/>
      <c r="BB494" s="99"/>
      <c r="BC494" s="85"/>
      <c r="BG494" s="79"/>
      <c r="BH494" s="99"/>
    </row>
    <row r="495" spans="51:60" x14ac:dyDescent="0.2">
      <c r="AY495" s="79"/>
      <c r="AZ495" s="85"/>
      <c r="BA495" s="40"/>
      <c r="BB495" s="99"/>
      <c r="BC495" s="85"/>
      <c r="BG495" s="79"/>
      <c r="BH495" s="99"/>
    </row>
    <row r="496" spans="51:60" x14ac:dyDescent="0.2">
      <c r="AY496" s="79"/>
      <c r="AZ496" s="85"/>
      <c r="BA496" s="40"/>
      <c r="BB496" s="99"/>
      <c r="BC496" s="85"/>
      <c r="BG496" s="79"/>
      <c r="BH496" s="99"/>
    </row>
    <row r="497" spans="51:60" x14ac:dyDescent="0.2">
      <c r="AY497" s="79"/>
      <c r="AZ497" s="85"/>
      <c r="BA497" s="40"/>
      <c r="BB497" s="99"/>
      <c r="BC497" s="85"/>
      <c r="BG497" s="79"/>
      <c r="BH497" s="99"/>
    </row>
    <row r="498" spans="51:60" x14ac:dyDescent="0.2">
      <c r="AY498" s="79"/>
      <c r="AZ498" s="85"/>
      <c r="BA498" s="40"/>
      <c r="BB498" s="99"/>
      <c r="BC498" s="85"/>
      <c r="BG498" s="79"/>
      <c r="BH498" s="99"/>
    </row>
    <row r="499" spans="51:60" x14ac:dyDescent="0.2">
      <c r="AY499" s="79"/>
      <c r="AZ499" s="85"/>
      <c r="BA499" s="40"/>
      <c r="BB499" s="99"/>
      <c r="BC499" s="85"/>
      <c r="BG499" s="79"/>
      <c r="BH499" s="99"/>
    </row>
    <row r="500" spans="51:60" x14ac:dyDescent="0.2">
      <c r="AY500" s="79"/>
      <c r="AZ500" s="85"/>
      <c r="BA500" s="40"/>
      <c r="BB500" s="99"/>
      <c r="BC500" s="85"/>
      <c r="BG500" s="79"/>
      <c r="BH500" s="99"/>
    </row>
    <row r="501" spans="51:60" x14ac:dyDescent="0.2">
      <c r="AY501" s="79"/>
      <c r="AZ501" s="85"/>
      <c r="BA501" s="40"/>
      <c r="BB501" s="99"/>
      <c r="BC501" s="85"/>
      <c r="BG501" s="79"/>
      <c r="BH501" s="99"/>
    </row>
    <row r="502" spans="51:60" x14ac:dyDescent="0.2">
      <c r="AY502" s="79"/>
      <c r="AZ502" s="85"/>
      <c r="BA502" s="40"/>
      <c r="BB502" s="99"/>
      <c r="BC502" s="85"/>
      <c r="BG502" s="79"/>
      <c r="BH502" s="99"/>
    </row>
    <row r="503" spans="51:60" x14ac:dyDescent="0.2">
      <c r="AY503" s="79"/>
      <c r="AZ503" s="85"/>
      <c r="BA503" s="40"/>
      <c r="BB503" s="99"/>
      <c r="BC503" s="85"/>
      <c r="BG503" s="79"/>
      <c r="BH503" s="99"/>
    </row>
    <row r="504" spans="51:60" x14ac:dyDescent="0.2">
      <c r="AY504" s="79"/>
      <c r="AZ504" s="85"/>
      <c r="BA504" s="40"/>
      <c r="BB504" s="99"/>
      <c r="BC504" s="85"/>
      <c r="BG504" s="79"/>
      <c r="BH504" s="99"/>
    </row>
    <row r="505" spans="51:60" x14ac:dyDescent="0.2">
      <c r="AY505" s="79"/>
      <c r="AZ505" s="85"/>
      <c r="BA505" s="40"/>
      <c r="BB505" s="99"/>
      <c r="BC505" s="85"/>
      <c r="BG505" s="79"/>
      <c r="BH505" s="99"/>
    </row>
    <row r="506" spans="51:60" x14ac:dyDescent="0.2">
      <c r="AY506" s="79"/>
      <c r="AZ506" s="85"/>
      <c r="BA506" s="40"/>
      <c r="BB506" s="99"/>
      <c r="BC506" s="85"/>
      <c r="BG506" s="79"/>
      <c r="BH506" s="99"/>
    </row>
    <row r="507" spans="51:60" x14ac:dyDescent="0.2">
      <c r="AY507" s="79"/>
      <c r="AZ507" s="85"/>
      <c r="BA507" s="40"/>
      <c r="BB507" s="99"/>
      <c r="BC507" s="85"/>
      <c r="BG507" s="79"/>
      <c r="BH507" s="99"/>
    </row>
    <row r="508" spans="51:60" x14ac:dyDescent="0.2">
      <c r="AY508" s="79"/>
      <c r="AZ508" s="85"/>
      <c r="BA508" s="40"/>
      <c r="BB508" s="99"/>
      <c r="BC508" s="85"/>
      <c r="BG508" s="79"/>
      <c r="BH508" s="99"/>
    </row>
    <row r="509" spans="51:60" x14ac:dyDescent="0.2">
      <c r="AY509" s="79"/>
      <c r="AZ509" s="85"/>
      <c r="BA509" s="40"/>
      <c r="BB509" s="99"/>
      <c r="BC509" s="85"/>
      <c r="BG509" s="79"/>
      <c r="BH509" s="99"/>
    </row>
    <row r="510" spans="51:60" x14ac:dyDescent="0.2">
      <c r="AY510" s="79"/>
      <c r="AZ510" s="85"/>
      <c r="BA510" s="40"/>
      <c r="BB510" s="99"/>
      <c r="BC510" s="85"/>
      <c r="BG510" s="79"/>
      <c r="BH510" s="99"/>
    </row>
    <row r="511" spans="51:60" x14ac:dyDescent="0.2">
      <c r="AY511" s="79"/>
      <c r="AZ511" s="85"/>
      <c r="BA511" s="40"/>
      <c r="BB511" s="99"/>
      <c r="BC511" s="85"/>
      <c r="BG511" s="79"/>
      <c r="BH511" s="99"/>
    </row>
    <row r="512" spans="51:60" x14ac:dyDescent="0.2">
      <c r="AY512" s="79"/>
      <c r="AZ512" s="85"/>
      <c r="BA512" s="40"/>
      <c r="BB512" s="99"/>
      <c r="BC512" s="85"/>
      <c r="BG512" s="79"/>
      <c r="BH512" s="99"/>
    </row>
    <row r="513" spans="51:60" x14ac:dyDescent="0.2">
      <c r="AY513" s="79"/>
      <c r="AZ513" s="85"/>
      <c r="BA513" s="40"/>
      <c r="BB513" s="99"/>
      <c r="BC513" s="85"/>
      <c r="BG513" s="79"/>
      <c r="BH513" s="99"/>
    </row>
    <row r="514" spans="51:60" x14ac:dyDescent="0.2">
      <c r="AY514" s="79"/>
      <c r="AZ514" s="85"/>
      <c r="BA514" s="40"/>
      <c r="BB514" s="99"/>
      <c r="BC514" s="85"/>
      <c r="BG514" s="79"/>
      <c r="BH514" s="99"/>
    </row>
    <row r="515" spans="51:60" x14ac:dyDescent="0.2">
      <c r="AY515" s="79"/>
      <c r="AZ515" s="85"/>
      <c r="BA515" s="40"/>
      <c r="BB515" s="99"/>
      <c r="BC515" s="85"/>
      <c r="BG515" s="79"/>
      <c r="BH515" s="99"/>
    </row>
    <row r="516" spans="51:60" x14ac:dyDescent="0.2">
      <c r="AY516" s="79"/>
      <c r="AZ516" s="85"/>
      <c r="BA516" s="40"/>
      <c r="BB516" s="99"/>
      <c r="BC516" s="85"/>
      <c r="BG516" s="79"/>
      <c r="BH516" s="99"/>
    </row>
    <row r="517" spans="51:60" x14ac:dyDescent="0.2">
      <c r="AY517" s="79"/>
      <c r="AZ517" s="85"/>
      <c r="BA517" s="40"/>
      <c r="BB517" s="99"/>
      <c r="BC517" s="85"/>
      <c r="BG517" s="79"/>
      <c r="BH517" s="99"/>
    </row>
    <row r="518" spans="51:60" x14ac:dyDescent="0.2">
      <c r="AY518" s="79"/>
      <c r="AZ518" s="85"/>
      <c r="BA518" s="40"/>
      <c r="BB518" s="99"/>
      <c r="BC518" s="85"/>
      <c r="BG518" s="79"/>
      <c r="BH518" s="99"/>
    </row>
    <row r="519" spans="51:60" x14ac:dyDescent="0.2">
      <c r="AY519" s="79"/>
      <c r="AZ519" s="85"/>
      <c r="BA519" s="40"/>
      <c r="BB519" s="99"/>
      <c r="BC519" s="85"/>
      <c r="BG519" s="79"/>
      <c r="BH519" s="99"/>
    </row>
    <row r="520" spans="51:60" x14ac:dyDescent="0.2">
      <c r="AY520" s="79"/>
      <c r="AZ520" s="85"/>
      <c r="BA520" s="40"/>
      <c r="BB520" s="99"/>
      <c r="BC520" s="85"/>
      <c r="BG520" s="79"/>
      <c r="BH520" s="99"/>
    </row>
    <row r="521" spans="51:60" x14ac:dyDescent="0.2">
      <c r="AY521" s="79"/>
      <c r="AZ521" s="85"/>
      <c r="BA521" s="40"/>
      <c r="BB521" s="99"/>
      <c r="BC521" s="85"/>
      <c r="BG521" s="79"/>
      <c r="BH521" s="99"/>
    </row>
    <row r="522" spans="51:60" x14ac:dyDescent="0.2">
      <c r="AY522" s="79"/>
      <c r="AZ522" s="85"/>
      <c r="BA522" s="40"/>
      <c r="BB522" s="99"/>
      <c r="BC522" s="85"/>
      <c r="BG522" s="79"/>
      <c r="BH522" s="99"/>
    </row>
    <row r="523" spans="51:60" x14ac:dyDescent="0.2">
      <c r="AY523" s="79"/>
      <c r="AZ523" s="85"/>
      <c r="BA523" s="40"/>
      <c r="BB523" s="99"/>
      <c r="BC523" s="85"/>
      <c r="BG523" s="79"/>
      <c r="BH523" s="99"/>
    </row>
    <row r="524" spans="51:60" x14ac:dyDescent="0.2">
      <c r="AY524" s="79"/>
      <c r="AZ524" s="85"/>
      <c r="BA524" s="40"/>
      <c r="BB524" s="99"/>
      <c r="BC524" s="85"/>
      <c r="BG524" s="79"/>
      <c r="BH524" s="99"/>
    </row>
    <row r="525" spans="51:60" x14ac:dyDescent="0.2">
      <c r="AY525" s="79"/>
      <c r="AZ525" s="85"/>
      <c r="BA525" s="40"/>
      <c r="BB525" s="99"/>
      <c r="BC525" s="85"/>
      <c r="BG525" s="79"/>
      <c r="BH525" s="99"/>
    </row>
    <row r="526" spans="51:60" x14ac:dyDescent="0.2">
      <c r="AY526" s="79"/>
      <c r="AZ526" s="85"/>
      <c r="BA526" s="40"/>
      <c r="BB526" s="99"/>
      <c r="BC526" s="85"/>
      <c r="BG526" s="79"/>
      <c r="BH526" s="99"/>
    </row>
    <row r="527" spans="51:60" x14ac:dyDescent="0.2">
      <c r="AY527" s="79"/>
      <c r="AZ527" s="85"/>
      <c r="BA527" s="40"/>
      <c r="BB527" s="99"/>
      <c r="BC527" s="85"/>
      <c r="BG527" s="79"/>
      <c r="BH527" s="99"/>
    </row>
    <row r="528" spans="51:60" x14ac:dyDescent="0.2">
      <c r="AY528" s="79"/>
      <c r="AZ528" s="85"/>
      <c r="BA528" s="40"/>
      <c r="BB528" s="99"/>
      <c r="BC528" s="85"/>
      <c r="BG528" s="79"/>
      <c r="BH528" s="99"/>
    </row>
    <row r="529" spans="51:60" x14ac:dyDescent="0.2">
      <c r="AY529" s="79"/>
      <c r="AZ529" s="85"/>
      <c r="BA529" s="40"/>
      <c r="BB529" s="99"/>
      <c r="BC529" s="85"/>
      <c r="BG529" s="79"/>
      <c r="BH529" s="99"/>
    </row>
    <row r="530" spans="51:60" x14ac:dyDescent="0.2">
      <c r="AY530" s="79"/>
      <c r="AZ530" s="85"/>
      <c r="BA530" s="40"/>
      <c r="BB530" s="99"/>
      <c r="BC530" s="85"/>
      <c r="BG530" s="79"/>
      <c r="BH530" s="99"/>
    </row>
    <row r="531" spans="51:60" x14ac:dyDescent="0.2">
      <c r="AY531" s="79"/>
      <c r="AZ531" s="85"/>
      <c r="BA531" s="40"/>
      <c r="BB531" s="99"/>
      <c r="BC531" s="85"/>
      <c r="BG531" s="79"/>
      <c r="BH531" s="99"/>
    </row>
    <row r="532" spans="51:60" x14ac:dyDescent="0.2">
      <c r="AY532" s="79"/>
      <c r="AZ532" s="85"/>
      <c r="BA532" s="40"/>
      <c r="BB532" s="99"/>
      <c r="BC532" s="85"/>
      <c r="BG532" s="79"/>
      <c r="BH532" s="99"/>
    </row>
    <row r="533" spans="51:60" x14ac:dyDescent="0.2">
      <c r="AY533" s="79"/>
      <c r="AZ533" s="85"/>
      <c r="BA533" s="40"/>
      <c r="BB533" s="99"/>
      <c r="BC533" s="85"/>
      <c r="BG533" s="79"/>
      <c r="BH533" s="99"/>
    </row>
    <row r="534" spans="51:60" x14ac:dyDescent="0.2">
      <c r="AY534" s="79"/>
      <c r="AZ534" s="85"/>
      <c r="BA534" s="40"/>
      <c r="BB534" s="99"/>
      <c r="BC534" s="85"/>
      <c r="BG534" s="79"/>
      <c r="BH534" s="99"/>
    </row>
    <row r="535" spans="51:60" x14ac:dyDescent="0.2">
      <c r="AY535" s="79"/>
      <c r="AZ535" s="85"/>
      <c r="BA535" s="40"/>
      <c r="BB535" s="99"/>
      <c r="BC535" s="85"/>
      <c r="BG535" s="79"/>
      <c r="BH535" s="99"/>
    </row>
    <row r="536" spans="51:60" x14ac:dyDescent="0.2">
      <c r="AY536" s="79"/>
      <c r="AZ536" s="85"/>
      <c r="BA536" s="40"/>
      <c r="BB536" s="99"/>
      <c r="BC536" s="85"/>
      <c r="BG536" s="79"/>
      <c r="BH536" s="99"/>
    </row>
    <row r="537" spans="51:60" x14ac:dyDescent="0.2">
      <c r="AY537" s="79"/>
      <c r="AZ537" s="85"/>
      <c r="BA537" s="40"/>
      <c r="BB537" s="99"/>
      <c r="BC537" s="85"/>
      <c r="BG537" s="79"/>
      <c r="BH537" s="99"/>
    </row>
    <row r="538" spans="51:60" x14ac:dyDescent="0.2">
      <c r="AY538" s="79"/>
      <c r="AZ538" s="85"/>
      <c r="BA538" s="40"/>
      <c r="BB538" s="99"/>
      <c r="BC538" s="85"/>
      <c r="BG538" s="79"/>
      <c r="BH538" s="99"/>
    </row>
    <row r="539" spans="51:60" x14ac:dyDescent="0.2">
      <c r="AY539" s="79"/>
      <c r="AZ539" s="85"/>
      <c r="BA539" s="40"/>
      <c r="BB539" s="99"/>
      <c r="BC539" s="85"/>
      <c r="BG539" s="79"/>
      <c r="BH539" s="99"/>
    </row>
    <row r="540" spans="51:60" x14ac:dyDescent="0.2">
      <c r="AY540" s="79"/>
      <c r="AZ540" s="85"/>
      <c r="BA540" s="40"/>
      <c r="BB540" s="99"/>
      <c r="BC540" s="85"/>
      <c r="BG540" s="79"/>
      <c r="BH540" s="99"/>
    </row>
    <row r="541" spans="51:60" x14ac:dyDescent="0.2">
      <c r="AY541" s="79"/>
      <c r="AZ541" s="85"/>
      <c r="BA541" s="40"/>
      <c r="BB541" s="99"/>
      <c r="BC541" s="85"/>
      <c r="BG541" s="79"/>
      <c r="BH541" s="99"/>
    </row>
    <row r="542" spans="51:60" x14ac:dyDescent="0.2">
      <c r="AY542" s="79"/>
      <c r="AZ542" s="85"/>
      <c r="BA542" s="40"/>
      <c r="BB542" s="99"/>
      <c r="BC542" s="85"/>
      <c r="BG542" s="79"/>
      <c r="BH542" s="99"/>
    </row>
    <row r="543" spans="51:60" x14ac:dyDescent="0.2">
      <c r="AY543" s="79"/>
      <c r="AZ543" s="85"/>
      <c r="BA543" s="40"/>
      <c r="BB543" s="99"/>
      <c r="BC543" s="85"/>
      <c r="BG543" s="79"/>
      <c r="BH543" s="99"/>
    </row>
    <row r="544" spans="51:60" x14ac:dyDescent="0.2">
      <c r="AY544" s="79"/>
      <c r="AZ544" s="85"/>
      <c r="BA544" s="40"/>
      <c r="BB544" s="99"/>
      <c r="BC544" s="85"/>
      <c r="BG544" s="79"/>
      <c r="BH544" s="99"/>
    </row>
    <row r="545" spans="51:60" x14ac:dyDescent="0.2">
      <c r="AY545" s="79"/>
      <c r="AZ545" s="85"/>
      <c r="BA545" s="40"/>
      <c r="BB545" s="99"/>
      <c r="BC545" s="85"/>
      <c r="BG545" s="79"/>
      <c r="BH545" s="99"/>
    </row>
    <row r="546" spans="51:60" x14ac:dyDescent="0.2">
      <c r="AY546" s="79"/>
      <c r="AZ546" s="85"/>
      <c r="BA546" s="40"/>
      <c r="BB546" s="99"/>
      <c r="BC546" s="85"/>
      <c r="BG546" s="79"/>
      <c r="BH546" s="99"/>
    </row>
    <row r="547" spans="51:60" x14ac:dyDescent="0.2">
      <c r="AY547" s="79"/>
      <c r="AZ547" s="85"/>
      <c r="BA547" s="40"/>
      <c r="BB547" s="99"/>
      <c r="BC547" s="85"/>
      <c r="BG547" s="79"/>
      <c r="BH547" s="99"/>
    </row>
    <row r="548" spans="51:60" x14ac:dyDescent="0.2">
      <c r="AY548" s="79"/>
      <c r="AZ548" s="85"/>
      <c r="BA548" s="40"/>
      <c r="BB548" s="99"/>
      <c r="BC548" s="85"/>
      <c r="BG548" s="79"/>
      <c r="BH548" s="99"/>
    </row>
    <row r="549" spans="51:60" x14ac:dyDescent="0.2">
      <c r="AY549" s="79"/>
      <c r="AZ549" s="85"/>
      <c r="BA549" s="40"/>
      <c r="BB549" s="99"/>
      <c r="BC549" s="85"/>
      <c r="BG549" s="79"/>
      <c r="BH549" s="99"/>
    </row>
    <row r="550" spans="51:60" x14ac:dyDescent="0.2">
      <c r="AY550" s="79"/>
      <c r="AZ550" s="85"/>
      <c r="BA550" s="40"/>
      <c r="BB550" s="99"/>
      <c r="BC550" s="85"/>
      <c r="BG550" s="79"/>
      <c r="BH550" s="99"/>
    </row>
    <row r="551" spans="51:60" x14ac:dyDescent="0.2">
      <c r="AY551" s="79"/>
      <c r="AZ551" s="85"/>
      <c r="BA551" s="40"/>
      <c r="BB551" s="99"/>
      <c r="BC551" s="85"/>
      <c r="BG551" s="79"/>
      <c r="BH551" s="99"/>
    </row>
    <row r="552" spans="51:60" x14ac:dyDescent="0.2">
      <c r="AY552" s="79"/>
      <c r="AZ552" s="85"/>
      <c r="BA552" s="40"/>
      <c r="BB552" s="99"/>
      <c r="BC552" s="85"/>
      <c r="BG552" s="79"/>
      <c r="BH552" s="99"/>
    </row>
    <row r="553" spans="51:60" x14ac:dyDescent="0.2">
      <c r="AY553" s="79"/>
      <c r="AZ553" s="85"/>
      <c r="BA553" s="40"/>
      <c r="BB553" s="99"/>
      <c r="BC553" s="85"/>
      <c r="BG553" s="79"/>
      <c r="BH553" s="99"/>
    </row>
    <row r="554" spans="51:60" x14ac:dyDescent="0.2">
      <c r="AY554" s="79"/>
      <c r="AZ554" s="85"/>
      <c r="BA554" s="40"/>
      <c r="BB554" s="99"/>
      <c r="BC554" s="85"/>
      <c r="BG554" s="79"/>
      <c r="BH554" s="99"/>
    </row>
    <row r="555" spans="51:60" x14ac:dyDescent="0.2">
      <c r="AY555" s="79"/>
      <c r="AZ555" s="85"/>
      <c r="BA555" s="40"/>
      <c r="BB555" s="99"/>
      <c r="BC555" s="85"/>
      <c r="BG555" s="79"/>
      <c r="BH555" s="99"/>
    </row>
    <row r="556" spans="51:60" x14ac:dyDescent="0.2">
      <c r="AY556" s="79"/>
      <c r="AZ556" s="85"/>
      <c r="BA556" s="40"/>
      <c r="BB556" s="99"/>
      <c r="BC556" s="85"/>
      <c r="BG556" s="79"/>
      <c r="BH556" s="99"/>
    </row>
    <row r="557" spans="51:60" x14ac:dyDescent="0.2">
      <c r="AY557" s="79"/>
      <c r="AZ557" s="85"/>
      <c r="BA557" s="40"/>
      <c r="BB557" s="99"/>
      <c r="BC557" s="85"/>
      <c r="BG557" s="79"/>
      <c r="BH557" s="99"/>
    </row>
    <row r="558" spans="51:60" x14ac:dyDescent="0.2">
      <c r="AY558" s="79"/>
      <c r="AZ558" s="85"/>
      <c r="BA558" s="40"/>
      <c r="BB558" s="99"/>
      <c r="BC558" s="85"/>
      <c r="BG558" s="79"/>
      <c r="BH558" s="99"/>
    </row>
    <row r="559" spans="51:60" x14ac:dyDescent="0.2">
      <c r="AY559" s="79"/>
      <c r="AZ559" s="85"/>
      <c r="BA559" s="40"/>
      <c r="BB559" s="99"/>
      <c r="BC559" s="85"/>
      <c r="BG559" s="79"/>
      <c r="BH559" s="99"/>
    </row>
    <row r="560" spans="51:60" x14ac:dyDescent="0.2">
      <c r="AY560" s="79"/>
      <c r="AZ560" s="85"/>
      <c r="BA560" s="40"/>
      <c r="BB560" s="99"/>
      <c r="BC560" s="85"/>
      <c r="BG560" s="79"/>
      <c r="BH560" s="99"/>
    </row>
    <row r="561" spans="51:60" x14ac:dyDescent="0.2">
      <c r="AY561" s="79"/>
      <c r="AZ561" s="85"/>
      <c r="BA561" s="40"/>
      <c r="BB561" s="99"/>
      <c r="BC561" s="85"/>
      <c r="BG561" s="79"/>
      <c r="BH561" s="99"/>
    </row>
    <row r="562" spans="51:60" x14ac:dyDescent="0.2">
      <c r="AY562" s="79"/>
      <c r="AZ562" s="85"/>
      <c r="BA562" s="40"/>
      <c r="BB562" s="99"/>
      <c r="BC562" s="85"/>
      <c r="BG562" s="79"/>
      <c r="BH562" s="99"/>
    </row>
    <row r="563" spans="51:60" x14ac:dyDescent="0.2">
      <c r="AY563" s="79"/>
      <c r="AZ563" s="85"/>
      <c r="BA563" s="40"/>
      <c r="BB563" s="99"/>
      <c r="BC563" s="85"/>
      <c r="BG563" s="79"/>
      <c r="BH563" s="99"/>
    </row>
    <row r="564" spans="51:60" x14ac:dyDescent="0.2">
      <c r="AY564" s="79"/>
      <c r="AZ564" s="85"/>
      <c r="BA564" s="40"/>
      <c r="BB564" s="99"/>
      <c r="BC564" s="85"/>
      <c r="BG564" s="79"/>
      <c r="BH564" s="99"/>
    </row>
    <row r="565" spans="51:60" x14ac:dyDescent="0.2">
      <c r="AY565" s="79"/>
      <c r="AZ565" s="85"/>
      <c r="BA565" s="40"/>
      <c r="BB565" s="99"/>
      <c r="BC565" s="85"/>
      <c r="BG565" s="79"/>
      <c r="BH565" s="99"/>
    </row>
    <row r="566" spans="51:60" x14ac:dyDescent="0.2">
      <c r="AY566" s="79"/>
      <c r="AZ566" s="85"/>
      <c r="BA566" s="40"/>
      <c r="BB566" s="99"/>
      <c r="BC566" s="85"/>
      <c r="BG566" s="79"/>
      <c r="BH566" s="99"/>
    </row>
    <row r="567" spans="51:60" x14ac:dyDescent="0.2">
      <c r="AY567" s="79"/>
      <c r="AZ567" s="85"/>
      <c r="BA567" s="40"/>
      <c r="BB567" s="99"/>
      <c r="BC567" s="85"/>
      <c r="BG567" s="79"/>
      <c r="BH567" s="99"/>
    </row>
    <row r="568" spans="51:60" x14ac:dyDescent="0.2">
      <c r="AY568" s="79"/>
      <c r="AZ568" s="85"/>
      <c r="BA568" s="40"/>
      <c r="BB568" s="99"/>
      <c r="BC568" s="85"/>
      <c r="BG568" s="79"/>
      <c r="BH568" s="99"/>
    </row>
    <row r="569" spans="51:60" x14ac:dyDescent="0.2">
      <c r="AY569" s="79"/>
      <c r="AZ569" s="85"/>
      <c r="BA569" s="40"/>
      <c r="BB569" s="99"/>
      <c r="BC569" s="85"/>
      <c r="BG569" s="79"/>
      <c r="BH569" s="99"/>
    </row>
    <row r="570" spans="51:60" x14ac:dyDescent="0.2">
      <c r="AY570" s="79"/>
      <c r="AZ570" s="85"/>
      <c r="BA570" s="40"/>
      <c r="BB570" s="99"/>
      <c r="BC570" s="85"/>
      <c r="BG570" s="79"/>
      <c r="BH570" s="99"/>
    </row>
    <row r="571" spans="51:60" x14ac:dyDescent="0.2">
      <c r="AY571" s="79"/>
      <c r="AZ571" s="85"/>
      <c r="BA571" s="40"/>
      <c r="BB571" s="99"/>
      <c r="BC571" s="85"/>
      <c r="BG571" s="79"/>
      <c r="BH571" s="99"/>
    </row>
    <row r="572" spans="51:60" x14ac:dyDescent="0.2">
      <c r="AY572" s="79"/>
      <c r="AZ572" s="85"/>
      <c r="BA572" s="40"/>
      <c r="BB572" s="99"/>
      <c r="BC572" s="85"/>
      <c r="BG572" s="79"/>
      <c r="BH572" s="99"/>
    </row>
    <row r="573" spans="51:60" x14ac:dyDescent="0.2">
      <c r="AY573" s="79"/>
      <c r="AZ573" s="85"/>
      <c r="BA573" s="40"/>
      <c r="BB573" s="99"/>
      <c r="BC573" s="85"/>
      <c r="BG573" s="79"/>
      <c r="BH573" s="99"/>
    </row>
    <row r="574" spans="51:60" x14ac:dyDescent="0.2">
      <c r="AY574" s="79"/>
      <c r="AZ574" s="85"/>
      <c r="BA574" s="40"/>
      <c r="BB574" s="99"/>
      <c r="BC574" s="85"/>
      <c r="BG574" s="79"/>
      <c r="BH574" s="99"/>
    </row>
    <row r="575" spans="51:60" x14ac:dyDescent="0.2">
      <c r="AY575" s="79"/>
      <c r="AZ575" s="85"/>
      <c r="BA575" s="40"/>
      <c r="BB575" s="99"/>
      <c r="BC575" s="85"/>
      <c r="BG575" s="79"/>
      <c r="BH575" s="99"/>
    </row>
    <row r="576" spans="51:60" x14ac:dyDescent="0.2">
      <c r="AY576" s="79"/>
      <c r="AZ576" s="85"/>
      <c r="BA576" s="40"/>
      <c r="BB576" s="99"/>
      <c r="BC576" s="85"/>
      <c r="BG576" s="79"/>
      <c r="BH576" s="99"/>
    </row>
    <row r="577" spans="51:60" x14ac:dyDescent="0.2">
      <c r="AY577" s="79"/>
      <c r="AZ577" s="85"/>
      <c r="BA577" s="40"/>
      <c r="BB577" s="99"/>
      <c r="BC577" s="85"/>
      <c r="BG577" s="79"/>
      <c r="BH577" s="99"/>
    </row>
    <row r="578" spans="51:60" x14ac:dyDescent="0.2">
      <c r="AY578" s="79"/>
      <c r="AZ578" s="85"/>
      <c r="BA578" s="40"/>
      <c r="BB578" s="99"/>
      <c r="BC578" s="85"/>
      <c r="BG578" s="79"/>
      <c r="BH578" s="99"/>
    </row>
    <row r="579" spans="51:60" x14ac:dyDescent="0.2">
      <c r="AY579" s="79"/>
      <c r="AZ579" s="85"/>
      <c r="BA579" s="40"/>
      <c r="BB579" s="99"/>
      <c r="BC579" s="85"/>
      <c r="BG579" s="79"/>
      <c r="BH579" s="99"/>
    </row>
    <row r="580" spans="51:60" x14ac:dyDescent="0.2">
      <c r="AY580" s="79"/>
      <c r="AZ580" s="85"/>
      <c r="BA580" s="40"/>
      <c r="BB580" s="99"/>
      <c r="BC580" s="85"/>
      <c r="BG580" s="79"/>
      <c r="BH580" s="99"/>
    </row>
    <row r="581" spans="51:60" x14ac:dyDescent="0.2">
      <c r="AY581" s="79"/>
      <c r="AZ581" s="85"/>
      <c r="BA581" s="40"/>
      <c r="BB581" s="99"/>
      <c r="BC581" s="85"/>
      <c r="BG581" s="79"/>
      <c r="BH581" s="99"/>
    </row>
    <row r="582" spans="51:60" x14ac:dyDescent="0.2">
      <c r="AY582" s="79"/>
      <c r="AZ582" s="85"/>
      <c r="BA582" s="40"/>
      <c r="BB582" s="99"/>
      <c r="BC582" s="85"/>
      <c r="BG582" s="79"/>
      <c r="BH582" s="99"/>
    </row>
    <row r="583" spans="51:60" x14ac:dyDescent="0.2">
      <c r="AY583" s="79"/>
      <c r="AZ583" s="85"/>
      <c r="BA583" s="40"/>
      <c r="BB583" s="99"/>
      <c r="BC583" s="85"/>
      <c r="BG583" s="79"/>
      <c r="BH583" s="99"/>
    </row>
    <row r="584" spans="51:60" x14ac:dyDescent="0.2">
      <c r="AY584" s="79"/>
      <c r="AZ584" s="85"/>
      <c r="BA584" s="40"/>
      <c r="BB584" s="99"/>
      <c r="BC584" s="85"/>
      <c r="BG584" s="79"/>
      <c r="BH584" s="99"/>
    </row>
    <row r="585" spans="51:60" x14ac:dyDescent="0.2">
      <c r="AY585" s="79"/>
      <c r="AZ585" s="85"/>
      <c r="BA585" s="40"/>
      <c r="BB585" s="99"/>
      <c r="BC585" s="85"/>
      <c r="BG585" s="79"/>
      <c r="BH585" s="99"/>
    </row>
    <row r="586" spans="51:60" x14ac:dyDescent="0.2">
      <c r="AY586" s="79"/>
      <c r="AZ586" s="85"/>
      <c r="BA586" s="40"/>
      <c r="BB586" s="99"/>
      <c r="BC586" s="85"/>
      <c r="BG586" s="79"/>
      <c r="BH586" s="99"/>
    </row>
    <row r="587" spans="51:60" x14ac:dyDescent="0.2">
      <c r="AY587" s="79"/>
      <c r="AZ587" s="85"/>
      <c r="BA587" s="40"/>
      <c r="BB587" s="99"/>
      <c r="BC587" s="85"/>
      <c r="BG587" s="79"/>
      <c r="BH587" s="99"/>
    </row>
    <row r="588" spans="51:60" x14ac:dyDescent="0.2">
      <c r="AY588" s="79"/>
      <c r="AZ588" s="85"/>
      <c r="BA588" s="40"/>
      <c r="BB588" s="99"/>
      <c r="BC588" s="85"/>
      <c r="BG588" s="79"/>
      <c r="BH588" s="99"/>
    </row>
    <row r="589" spans="51:60" x14ac:dyDescent="0.2">
      <c r="AY589" s="79"/>
      <c r="AZ589" s="85"/>
      <c r="BA589" s="40"/>
      <c r="BB589" s="99"/>
      <c r="BC589" s="85"/>
      <c r="BG589" s="79"/>
      <c r="BH589" s="99"/>
    </row>
    <row r="590" spans="51:60" x14ac:dyDescent="0.2">
      <c r="AY590" s="79"/>
      <c r="AZ590" s="85"/>
      <c r="BA590" s="40"/>
      <c r="BB590" s="99"/>
      <c r="BC590" s="85"/>
      <c r="BG590" s="79"/>
      <c r="BH590" s="99"/>
    </row>
    <row r="591" spans="51:60" x14ac:dyDescent="0.2">
      <c r="AY591" s="79"/>
      <c r="AZ591" s="85"/>
      <c r="BA591" s="40"/>
      <c r="BB591" s="99"/>
      <c r="BC591" s="85"/>
      <c r="BG591" s="79"/>
      <c r="BH591" s="99"/>
    </row>
    <row r="592" spans="51:60" x14ac:dyDescent="0.2">
      <c r="AY592" s="79"/>
      <c r="AZ592" s="85"/>
      <c r="BA592" s="40"/>
      <c r="BB592" s="99"/>
      <c r="BC592" s="85"/>
      <c r="BG592" s="79"/>
      <c r="BH592" s="99"/>
    </row>
    <row r="593" spans="51:60" x14ac:dyDescent="0.2">
      <c r="AY593" s="79"/>
      <c r="AZ593" s="85"/>
      <c r="BA593" s="40"/>
      <c r="BB593" s="99"/>
      <c r="BC593" s="85"/>
      <c r="BG593" s="79"/>
      <c r="BH593" s="99"/>
    </row>
    <row r="594" spans="51:60" x14ac:dyDescent="0.2">
      <c r="AY594" s="79"/>
      <c r="AZ594" s="85"/>
      <c r="BA594" s="40"/>
      <c r="BB594" s="99"/>
      <c r="BC594" s="85"/>
      <c r="BG594" s="79"/>
      <c r="BH594" s="99"/>
    </row>
    <row r="595" spans="51:60" x14ac:dyDescent="0.2">
      <c r="AY595" s="79"/>
      <c r="AZ595" s="85"/>
      <c r="BA595" s="40"/>
      <c r="BB595" s="99"/>
      <c r="BC595" s="85"/>
      <c r="BG595" s="79"/>
      <c r="BH595" s="99"/>
    </row>
    <row r="596" spans="51:60" x14ac:dyDescent="0.2">
      <c r="AY596" s="79"/>
      <c r="AZ596" s="85"/>
      <c r="BA596" s="40"/>
      <c r="BB596" s="99"/>
      <c r="BC596" s="85"/>
      <c r="BG596" s="79"/>
      <c r="BH596" s="99"/>
    </row>
    <row r="597" spans="51:60" x14ac:dyDescent="0.2">
      <c r="AY597" s="79"/>
      <c r="AZ597" s="85"/>
      <c r="BA597" s="40"/>
      <c r="BB597" s="99"/>
      <c r="BC597" s="85"/>
      <c r="BG597" s="79"/>
      <c r="BH597" s="99"/>
    </row>
    <row r="598" spans="51:60" x14ac:dyDescent="0.2">
      <c r="AY598" s="79"/>
      <c r="AZ598" s="85"/>
      <c r="BA598" s="40"/>
      <c r="BB598" s="99"/>
      <c r="BC598" s="85"/>
      <c r="BG598" s="79"/>
      <c r="BH598" s="99"/>
    </row>
    <row r="599" spans="51:60" x14ac:dyDescent="0.2">
      <c r="AY599" s="79"/>
      <c r="AZ599" s="85"/>
      <c r="BA599" s="40"/>
      <c r="BB599" s="99"/>
      <c r="BC599" s="85"/>
      <c r="BG599" s="79"/>
      <c r="BH599" s="99"/>
    </row>
    <row r="600" spans="51:60" x14ac:dyDescent="0.2">
      <c r="AY600" s="79"/>
      <c r="AZ600" s="85"/>
      <c r="BA600" s="40"/>
      <c r="BB600" s="99"/>
      <c r="BC600" s="85"/>
      <c r="BG600" s="79"/>
      <c r="BH600" s="99"/>
    </row>
    <row r="601" spans="51:60" x14ac:dyDescent="0.2">
      <c r="AY601" s="79"/>
      <c r="AZ601" s="85"/>
      <c r="BA601" s="40"/>
      <c r="BB601" s="99"/>
      <c r="BC601" s="85"/>
      <c r="BG601" s="79"/>
      <c r="BH601" s="99"/>
    </row>
    <row r="602" spans="51:60" x14ac:dyDescent="0.2">
      <c r="AY602" s="79"/>
      <c r="AZ602" s="85"/>
      <c r="BA602" s="40"/>
      <c r="BB602" s="99"/>
      <c r="BC602" s="85"/>
      <c r="BG602" s="79"/>
      <c r="BH602" s="99"/>
    </row>
    <row r="603" spans="51:60" x14ac:dyDescent="0.2">
      <c r="AY603" s="79"/>
      <c r="AZ603" s="85"/>
      <c r="BA603" s="40"/>
      <c r="BB603" s="99"/>
      <c r="BC603" s="85"/>
      <c r="BG603" s="79"/>
      <c r="BH603" s="99"/>
    </row>
    <row r="604" spans="51:60" x14ac:dyDescent="0.2">
      <c r="AY604" s="79"/>
      <c r="AZ604" s="85"/>
      <c r="BA604" s="40"/>
      <c r="BB604" s="99"/>
      <c r="BC604" s="85"/>
      <c r="BG604" s="79"/>
      <c r="BH604" s="99"/>
    </row>
    <row r="605" spans="51:60" x14ac:dyDescent="0.2">
      <c r="AY605" s="79"/>
      <c r="AZ605" s="85"/>
      <c r="BA605" s="40"/>
      <c r="BB605" s="99"/>
      <c r="BC605" s="85"/>
      <c r="BG605" s="79"/>
      <c r="BH605" s="99"/>
    </row>
    <row r="606" spans="51:60" x14ac:dyDescent="0.2">
      <c r="AY606" s="79"/>
      <c r="AZ606" s="85"/>
      <c r="BA606" s="40"/>
      <c r="BB606" s="99"/>
      <c r="BC606" s="85"/>
      <c r="BG606" s="79"/>
      <c r="BH606" s="99"/>
    </row>
    <row r="607" spans="51:60" x14ac:dyDescent="0.2">
      <c r="AY607" s="79"/>
      <c r="AZ607" s="85"/>
      <c r="BA607" s="40"/>
      <c r="BB607" s="99"/>
      <c r="BC607" s="85"/>
      <c r="BG607" s="79"/>
      <c r="BH607" s="99"/>
    </row>
    <row r="608" spans="51:60" x14ac:dyDescent="0.2">
      <c r="AY608" s="79"/>
      <c r="AZ608" s="85"/>
      <c r="BA608" s="40"/>
      <c r="BB608" s="99"/>
      <c r="BC608" s="85"/>
      <c r="BG608" s="79"/>
      <c r="BH608" s="99"/>
    </row>
    <row r="609" spans="51:60" x14ac:dyDescent="0.2">
      <c r="AY609" s="79"/>
      <c r="AZ609" s="85"/>
      <c r="BA609" s="40"/>
      <c r="BB609" s="99"/>
      <c r="BC609" s="85"/>
      <c r="BG609" s="79"/>
      <c r="BH609" s="99"/>
    </row>
    <row r="610" spans="51:60" x14ac:dyDescent="0.2">
      <c r="AY610" s="79"/>
      <c r="AZ610" s="85"/>
      <c r="BA610" s="40"/>
      <c r="BB610" s="99"/>
      <c r="BC610" s="85"/>
      <c r="BG610" s="79"/>
      <c r="BH610" s="99"/>
    </row>
    <row r="611" spans="51:60" x14ac:dyDescent="0.2">
      <c r="AY611" s="79"/>
      <c r="AZ611" s="85"/>
      <c r="BA611" s="40"/>
      <c r="BB611" s="99"/>
      <c r="BC611" s="85"/>
      <c r="BG611" s="79"/>
      <c r="BH611" s="99"/>
    </row>
    <row r="612" spans="51:60" x14ac:dyDescent="0.2">
      <c r="AY612" s="79"/>
      <c r="AZ612" s="85"/>
      <c r="BA612" s="40"/>
      <c r="BB612" s="99"/>
      <c r="BC612" s="85"/>
      <c r="BG612" s="79"/>
      <c r="BH612" s="99"/>
    </row>
    <row r="613" spans="51:60" x14ac:dyDescent="0.2">
      <c r="AY613" s="79"/>
      <c r="AZ613" s="85"/>
      <c r="BA613" s="40"/>
      <c r="BB613" s="99"/>
      <c r="BC613" s="85"/>
      <c r="BG613" s="79"/>
      <c r="BH613" s="99"/>
    </row>
    <row r="614" spans="51:60" x14ac:dyDescent="0.2">
      <c r="AY614" s="79"/>
      <c r="AZ614" s="85"/>
      <c r="BA614" s="40"/>
      <c r="BB614" s="99"/>
      <c r="BC614" s="85"/>
      <c r="BG614" s="79"/>
      <c r="BH614" s="99"/>
    </row>
    <row r="615" spans="51:60" x14ac:dyDescent="0.2">
      <c r="AY615" s="79"/>
      <c r="AZ615" s="85"/>
      <c r="BA615" s="40"/>
      <c r="BB615" s="99"/>
      <c r="BC615" s="85"/>
      <c r="BG615" s="79"/>
      <c r="BH615" s="99"/>
    </row>
    <row r="616" spans="51:60" x14ac:dyDescent="0.2">
      <c r="AY616" s="79"/>
      <c r="AZ616" s="85"/>
      <c r="BA616" s="40"/>
      <c r="BB616" s="99"/>
      <c r="BC616" s="85"/>
      <c r="BG616" s="79"/>
      <c r="BH616" s="99"/>
    </row>
    <row r="617" spans="51:60" x14ac:dyDescent="0.2">
      <c r="AY617" s="79"/>
      <c r="AZ617" s="85"/>
      <c r="BA617" s="40"/>
      <c r="BB617" s="99"/>
      <c r="BC617" s="85"/>
      <c r="BG617" s="79"/>
      <c r="BH617" s="99"/>
    </row>
    <row r="618" spans="51:60" x14ac:dyDescent="0.2">
      <c r="AY618" s="79"/>
      <c r="AZ618" s="85"/>
      <c r="BA618" s="40"/>
      <c r="BB618" s="99"/>
      <c r="BC618" s="85"/>
      <c r="BG618" s="79"/>
      <c r="BH618" s="99"/>
    </row>
    <row r="619" spans="51:60" x14ac:dyDescent="0.2">
      <c r="AY619" s="79"/>
      <c r="AZ619" s="85"/>
      <c r="BA619" s="40"/>
      <c r="BB619" s="99"/>
      <c r="BC619" s="85"/>
      <c r="BG619" s="79"/>
      <c r="BH619" s="99"/>
    </row>
    <row r="620" spans="51:60" x14ac:dyDescent="0.2">
      <c r="AY620" s="79"/>
      <c r="AZ620" s="85"/>
      <c r="BA620" s="40"/>
      <c r="BB620" s="99"/>
      <c r="BC620" s="85"/>
      <c r="BG620" s="79"/>
      <c r="BH620" s="99"/>
    </row>
    <row r="621" spans="51:60" x14ac:dyDescent="0.2">
      <c r="AY621" s="79"/>
      <c r="AZ621" s="85"/>
      <c r="BA621" s="40"/>
      <c r="BB621" s="99"/>
      <c r="BC621" s="85"/>
      <c r="BG621" s="79"/>
      <c r="BH621" s="99"/>
    </row>
    <row r="622" spans="51:60" x14ac:dyDescent="0.2">
      <c r="AY622" s="79"/>
      <c r="AZ622" s="85"/>
      <c r="BA622" s="40"/>
      <c r="BB622" s="99"/>
      <c r="BC622" s="85"/>
      <c r="BG622" s="79"/>
      <c r="BH622" s="99"/>
    </row>
    <row r="623" spans="51:60" x14ac:dyDescent="0.2">
      <c r="AY623" s="79"/>
      <c r="AZ623" s="85"/>
      <c r="BA623" s="40"/>
      <c r="BB623" s="99"/>
      <c r="BC623" s="85"/>
      <c r="BG623" s="79"/>
      <c r="BH623" s="99"/>
    </row>
    <row r="624" spans="51:60" x14ac:dyDescent="0.2">
      <c r="AY624" s="79"/>
      <c r="AZ624" s="85"/>
      <c r="BA624" s="40"/>
      <c r="BB624" s="99"/>
      <c r="BC624" s="85"/>
      <c r="BG624" s="79"/>
      <c r="BH624" s="99"/>
    </row>
    <row r="625" spans="51:60" x14ac:dyDescent="0.2">
      <c r="AY625" s="79"/>
      <c r="AZ625" s="85"/>
      <c r="BA625" s="40"/>
      <c r="BB625" s="99"/>
      <c r="BC625" s="85"/>
      <c r="BG625" s="79"/>
      <c r="BH625" s="99"/>
    </row>
    <row r="626" spans="51:60" x14ac:dyDescent="0.2">
      <c r="AY626" s="79"/>
      <c r="AZ626" s="85"/>
      <c r="BA626" s="40"/>
      <c r="BB626" s="99"/>
      <c r="BC626" s="85"/>
      <c r="BG626" s="79"/>
      <c r="BH626" s="99"/>
    </row>
    <row r="627" spans="51:60" x14ac:dyDescent="0.2">
      <c r="AY627" s="79"/>
      <c r="AZ627" s="85"/>
      <c r="BA627" s="40"/>
      <c r="BB627" s="99"/>
      <c r="BC627" s="85"/>
      <c r="BG627" s="79"/>
      <c r="BH627" s="99"/>
    </row>
    <row r="628" spans="51:60" x14ac:dyDescent="0.2">
      <c r="AY628" s="79"/>
      <c r="AZ628" s="85"/>
      <c r="BA628" s="40"/>
      <c r="BB628" s="99"/>
      <c r="BC628" s="85"/>
      <c r="BG628" s="79"/>
      <c r="BH628" s="99"/>
    </row>
    <row r="629" spans="51:60" x14ac:dyDescent="0.2">
      <c r="AY629" s="79"/>
      <c r="AZ629" s="85"/>
      <c r="BA629" s="40"/>
      <c r="BB629" s="99"/>
      <c r="BC629" s="85"/>
      <c r="BG629" s="79"/>
      <c r="BH629" s="99"/>
    </row>
    <row r="630" spans="51:60" x14ac:dyDescent="0.2">
      <c r="AY630" s="79"/>
      <c r="AZ630" s="85"/>
      <c r="BA630" s="40"/>
      <c r="BB630" s="99"/>
      <c r="BC630" s="85"/>
      <c r="BG630" s="79"/>
      <c r="BH630" s="99"/>
    </row>
    <row r="631" spans="51:60" x14ac:dyDescent="0.2">
      <c r="AY631" s="79"/>
      <c r="AZ631" s="85"/>
      <c r="BA631" s="40"/>
      <c r="BB631" s="99"/>
      <c r="BC631" s="85"/>
      <c r="BG631" s="79"/>
      <c r="BH631" s="99"/>
    </row>
    <row r="632" spans="51:60" x14ac:dyDescent="0.2">
      <c r="AY632" s="79"/>
      <c r="AZ632" s="85"/>
      <c r="BA632" s="40"/>
      <c r="BB632" s="99"/>
      <c r="BC632" s="85"/>
      <c r="BG632" s="79"/>
      <c r="BH632" s="99"/>
    </row>
    <row r="633" spans="51:60" x14ac:dyDescent="0.2">
      <c r="AY633" s="79"/>
      <c r="AZ633" s="85"/>
      <c r="BA633" s="40"/>
      <c r="BB633" s="99"/>
      <c r="BC633" s="85"/>
      <c r="BG633" s="79"/>
      <c r="BH633" s="99"/>
    </row>
    <row r="634" spans="51:60" x14ac:dyDescent="0.2">
      <c r="AY634" s="79"/>
      <c r="AZ634" s="85"/>
      <c r="BA634" s="40"/>
      <c r="BB634" s="99"/>
      <c r="BC634" s="85"/>
      <c r="BG634" s="79"/>
      <c r="BH634" s="99"/>
    </row>
    <row r="635" spans="51:60" x14ac:dyDescent="0.2">
      <c r="AY635" s="79"/>
      <c r="AZ635" s="85"/>
      <c r="BA635" s="40"/>
      <c r="BB635" s="99"/>
      <c r="BC635" s="85"/>
      <c r="BG635" s="79"/>
      <c r="BH635" s="99"/>
    </row>
    <row r="636" spans="51:60" x14ac:dyDescent="0.2">
      <c r="AY636" s="79"/>
      <c r="AZ636" s="85"/>
      <c r="BA636" s="40"/>
      <c r="BB636" s="99"/>
      <c r="BC636" s="85"/>
      <c r="BG636" s="79"/>
      <c r="BH636" s="99"/>
    </row>
    <row r="637" spans="51:60" x14ac:dyDescent="0.2">
      <c r="AY637" s="79"/>
      <c r="AZ637" s="85"/>
      <c r="BA637" s="40"/>
      <c r="BB637" s="99"/>
      <c r="BC637" s="85"/>
      <c r="BG637" s="79"/>
      <c r="BH637" s="99"/>
    </row>
    <row r="638" spans="51:60" x14ac:dyDescent="0.2">
      <c r="AY638" s="79"/>
      <c r="AZ638" s="85"/>
      <c r="BA638" s="40"/>
      <c r="BB638" s="99"/>
      <c r="BC638" s="85"/>
      <c r="BG638" s="79"/>
      <c r="BH638" s="99"/>
    </row>
    <row r="639" spans="51:60" x14ac:dyDescent="0.2">
      <c r="AY639" s="79"/>
      <c r="AZ639" s="85"/>
      <c r="BA639" s="40"/>
      <c r="BB639" s="99"/>
      <c r="BC639" s="85"/>
      <c r="BG639" s="79"/>
      <c r="BH639" s="99"/>
    </row>
    <row r="640" spans="51:60" x14ac:dyDescent="0.2">
      <c r="AY640" s="79"/>
      <c r="AZ640" s="85"/>
      <c r="BA640" s="40"/>
      <c r="BB640" s="99"/>
      <c r="BC640" s="85"/>
      <c r="BG640" s="79"/>
      <c r="BH640" s="99"/>
    </row>
    <row r="641" spans="51:60" x14ac:dyDescent="0.2">
      <c r="AY641" s="79"/>
      <c r="AZ641" s="85"/>
      <c r="BA641" s="40"/>
      <c r="BB641" s="99"/>
      <c r="BC641" s="85"/>
      <c r="BG641" s="79"/>
      <c r="BH641" s="99"/>
    </row>
    <row r="642" spans="51:60" x14ac:dyDescent="0.2">
      <c r="AY642" s="79"/>
      <c r="AZ642" s="85"/>
      <c r="BA642" s="40"/>
      <c r="BB642" s="99"/>
      <c r="BC642" s="85"/>
      <c r="BG642" s="79"/>
      <c r="BH642" s="99"/>
    </row>
    <row r="643" spans="51:60" x14ac:dyDescent="0.2">
      <c r="AY643" s="79"/>
      <c r="AZ643" s="85"/>
      <c r="BA643" s="40"/>
      <c r="BB643" s="99"/>
      <c r="BC643" s="85"/>
      <c r="BG643" s="79"/>
      <c r="BH643" s="99"/>
    </row>
    <row r="644" spans="51:60" x14ac:dyDescent="0.2">
      <c r="AY644" s="79"/>
      <c r="AZ644" s="85"/>
      <c r="BA644" s="40"/>
      <c r="BB644" s="99"/>
      <c r="BC644" s="85"/>
      <c r="BG644" s="79"/>
      <c r="BH644" s="99"/>
    </row>
    <row r="645" spans="51:60" x14ac:dyDescent="0.2">
      <c r="AY645" s="79"/>
      <c r="AZ645" s="85"/>
      <c r="BA645" s="40"/>
      <c r="BB645" s="99"/>
      <c r="BC645" s="85"/>
      <c r="BG645" s="79"/>
      <c r="BH645" s="99"/>
    </row>
    <row r="646" spans="51:60" x14ac:dyDescent="0.2">
      <c r="AY646" s="79"/>
      <c r="AZ646" s="85"/>
      <c r="BA646" s="40"/>
      <c r="BB646" s="99"/>
      <c r="BC646" s="85"/>
      <c r="BG646" s="79"/>
      <c r="BH646" s="99"/>
    </row>
    <row r="647" spans="51:60" x14ac:dyDescent="0.2">
      <c r="AY647" s="79"/>
      <c r="AZ647" s="85"/>
      <c r="BA647" s="40"/>
      <c r="BB647" s="99"/>
      <c r="BC647" s="85"/>
      <c r="BG647" s="79"/>
      <c r="BH647" s="99"/>
    </row>
    <row r="648" spans="51:60" x14ac:dyDescent="0.2">
      <c r="AY648" s="79"/>
      <c r="AZ648" s="85"/>
      <c r="BA648" s="40"/>
      <c r="BB648" s="99"/>
      <c r="BC648" s="85"/>
      <c r="BG648" s="79"/>
      <c r="BH648" s="99"/>
    </row>
    <row r="649" spans="51:60" x14ac:dyDescent="0.2">
      <c r="AY649" s="79"/>
      <c r="AZ649" s="85"/>
      <c r="BA649" s="40"/>
      <c r="BB649" s="99"/>
      <c r="BC649" s="85"/>
      <c r="BG649" s="79"/>
      <c r="BH649" s="99"/>
    </row>
    <row r="650" spans="51:60" x14ac:dyDescent="0.2">
      <c r="AY650" s="79"/>
      <c r="AZ650" s="85"/>
      <c r="BA650" s="40"/>
      <c r="BB650" s="99"/>
      <c r="BC650" s="85"/>
      <c r="BG650" s="79"/>
      <c r="BH650" s="99"/>
    </row>
    <row r="651" spans="51:60" x14ac:dyDescent="0.2">
      <c r="AY651" s="79"/>
      <c r="AZ651" s="85"/>
      <c r="BA651" s="40"/>
      <c r="BB651" s="99"/>
      <c r="BC651" s="85"/>
      <c r="BG651" s="79"/>
      <c r="BH651" s="99"/>
    </row>
    <row r="652" spans="51:60" x14ac:dyDescent="0.2">
      <c r="AY652" s="79"/>
      <c r="AZ652" s="85"/>
      <c r="BA652" s="40"/>
      <c r="BB652" s="99"/>
      <c r="BC652" s="85"/>
      <c r="BG652" s="79"/>
      <c r="BH652" s="99"/>
    </row>
    <row r="653" spans="51:60" x14ac:dyDescent="0.2">
      <c r="AY653" s="79"/>
      <c r="AZ653" s="85"/>
      <c r="BA653" s="40"/>
      <c r="BB653" s="99"/>
      <c r="BC653" s="85"/>
      <c r="BG653" s="79"/>
      <c r="BH653" s="99"/>
    </row>
    <row r="654" spans="51:60" x14ac:dyDescent="0.2">
      <c r="AY654" s="79"/>
      <c r="AZ654" s="85"/>
      <c r="BA654" s="40"/>
      <c r="BB654" s="99"/>
      <c r="BC654" s="85"/>
      <c r="BG654" s="79"/>
      <c r="BH654" s="99"/>
    </row>
    <row r="655" spans="51:60" x14ac:dyDescent="0.2">
      <c r="AY655" s="79"/>
      <c r="AZ655" s="85"/>
      <c r="BA655" s="40"/>
      <c r="BB655" s="99"/>
      <c r="BC655" s="85"/>
      <c r="BG655" s="79"/>
      <c r="BH655" s="99"/>
    </row>
    <row r="656" spans="51:60" x14ac:dyDescent="0.2">
      <c r="AY656" s="79"/>
      <c r="AZ656" s="85"/>
      <c r="BA656" s="40"/>
      <c r="BB656" s="99"/>
      <c r="BC656" s="85"/>
      <c r="BG656" s="79"/>
      <c r="BH656" s="99"/>
    </row>
    <row r="657" spans="51:60" x14ac:dyDescent="0.2">
      <c r="AY657" s="79"/>
      <c r="AZ657" s="85"/>
      <c r="BA657" s="40"/>
      <c r="BB657" s="99"/>
      <c r="BC657" s="85"/>
      <c r="BG657" s="79"/>
      <c r="BH657" s="99"/>
    </row>
    <row r="658" spans="51:60" x14ac:dyDescent="0.2">
      <c r="AY658" s="79"/>
      <c r="AZ658" s="85"/>
      <c r="BA658" s="40"/>
      <c r="BB658" s="99"/>
      <c r="BC658" s="85"/>
      <c r="BG658" s="79"/>
      <c r="BH658" s="99"/>
    </row>
    <row r="659" spans="51:60" x14ac:dyDescent="0.2">
      <c r="AY659" s="79"/>
      <c r="AZ659" s="85"/>
      <c r="BA659" s="40"/>
      <c r="BB659" s="99"/>
      <c r="BC659" s="85"/>
      <c r="BG659" s="79"/>
      <c r="BH659" s="99"/>
    </row>
    <row r="660" spans="51:60" x14ac:dyDescent="0.2">
      <c r="AY660" s="79"/>
      <c r="AZ660" s="85"/>
      <c r="BA660" s="40"/>
      <c r="BB660" s="99"/>
      <c r="BC660" s="85"/>
      <c r="BG660" s="79"/>
      <c r="BH660" s="99"/>
    </row>
    <row r="661" spans="51:60" x14ac:dyDescent="0.2">
      <c r="AY661" s="79"/>
      <c r="AZ661" s="85"/>
      <c r="BA661" s="40"/>
      <c r="BB661" s="99"/>
      <c r="BC661" s="85"/>
      <c r="BG661" s="79"/>
      <c r="BH661" s="99"/>
    </row>
    <row r="662" spans="51:60" x14ac:dyDescent="0.2">
      <c r="AY662" s="79"/>
      <c r="AZ662" s="85"/>
      <c r="BA662" s="40"/>
      <c r="BB662" s="99"/>
      <c r="BC662" s="85"/>
      <c r="BG662" s="79"/>
      <c r="BH662" s="99"/>
    </row>
    <row r="663" spans="51:60" x14ac:dyDescent="0.2">
      <c r="AY663" s="79"/>
      <c r="AZ663" s="85"/>
      <c r="BA663" s="40"/>
      <c r="BB663" s="99"/>
      <c r="BC663" s="85"/>
      <c r="BG663" s="79"/>
      <c r="BH663" s="99"/>
    </row>
    <row r="664" spans="51:60" x14ac:dyDescent="0.2">
      <c r="AY664" s="79"/>
      <c r="AZ664" s="85"/>
      <c r="BA664" s="40"/>
      <c r="BB664" s="99"/>
      <c r="BC664" s="85"/>
      <c r="BG664" s="79"/>
      <c r="BH664" s="99"/>
    </row>
    <row r="665" spans="51:60" x14ac:dyDescent="0.2">
      <c r="AY665" s="79"/>
      <c r="AZ665" s="85"/>
      <c r="BA665" s="40"/>
      <c r="BB665" s="99"/>
      <c r="BC665" s="85"/>
      <c r="BG665" s="79"/>
      <c r="BH665" s="99"/>
    </row>
    <row r="666" spans="51:60" x14ac:dyDescent="0.2">
      <c r="AY666" s="79"/>
      <c r="AZ666" s="85"/>
      <c r="BA666" s="40"/>
      <c r="BB666" s="99"/>
      <c r="BC666" s="85"/>
      <c r="BG666" s="79"/>
      <c r="BH666" s="99"/>
    </row>
    <row r="667" spans="51:60" x14ac:dyDescent="0.2">
      <c r="AY667" s="79"/>
      <c r="AZ667" s="85"/>
      <c r="BA667" s="40"/>
      <c r="BB667" s="99"/>
      <c r="BC667" s="85"/>
      <c r="BG667" s="79"/>
      <c r="BH667" s="99"/>
    </row>
    <row r="668" spans="51:60" x14ac:dyDescent="0.2">
      <c r="AY668" s="79"/>
      <c r="AZ668" s="85"/>
      <c r="BA668" s="40"/>
      <c r="BB668" s="99"/>
      <c r="BC668" s="85"/>
      <c r="BG668" s="79"/>
      <c r="BH668" s="99"/>
    </row>
    <row r="669" spans="51:60" x14ac:dyDescent="0.2">
      <c r="AY669" s="79"/>
      <c r="AZ669" s="85"/>
      <c r="BA669" s="40"/>
      <c r="BB669" s="99"/>
      <c r="BC669" s="85"/>
      <c r="BG669" s="79"/>
      <c r="BH669" s="99"/>
    </row>
    <row r="670" spans="51:60" x14ac:dyDescent="0.2">
      <c r="AY670" s="79"/>
      <c r="AZ670" s="85"/>
      <c r="BA670" s="40"/>
      <c r="BB670" s="99"/>
      <c r="BC670" s="85"/>
      <c r="BG670" s="79"/>
      <c r="BH670" s="99"/>
    </row>
    <row r="671" spans="51:60" x14ac:dyDescent="0.2">
      <c r="AY671" s="79"/>
      <c r="AZ671" s="85"/>
      <c r="BA671" s="40"/>
      <c r="BB671" s="99"/>
      <c r="BC671" s="85"/>
      <c r="BG671" s="79"/>
      <c r="BH671" s="99"/>
    </row>
    <row r="672" spans="51:60" x14ac:dyDescent="0.2">
      <c r="AY672" s="79"/>
      <c r="AZ672" s="85"/>
      <c r="BA672" s="40"/>
      <c r="BB672" s="99"/>
      <c r="BC672" s="85"/>
      <c r="BG672" s="79"/>
      <c r="BH672" s="99"/>
    </row>
    <row r="673" spans="51:60" x14ac:dyDescent="0.2">
      <c r="AY673" s="79"/>
      <c r="AZ673" s="85"/>
      <c r="BA673" s="40"/>
      <c r="BB673" s="99"/>
      <c r="BC673" s="85"/>
      <c r="BG673" s="79"/>
      <c r="BH673" s="99"/>
    </row>
    <row r="674" spans="51:60" x14ac:dyDescent="0.2">
      <c r="AY674" s="79"/>
      <c r="AZ674" s="85"/>
      <c r="BA674" s="40"/>
      <c r="BB674" s="99"/>
      <c r="BC674" s="85"/>
      <c r="BG674" s="79"/>
      <c r="BH674" s="99"/>
    </row>
    <row r="675" spans="51:60" x14ac:dyDescent="0.2">
      <c r="AY675" s="79"/>
      <c r="AZ675" s="85"/>
      <c r="BA675" s="40"/>
      <c r="BB675" s="99"/>
      <c r="BC675" s="85"/>
      <c r="BG675" s="79"/>
      <c r="BH675" s="99"/>
    </row>
    <row r="676" spans="51:60" x14ac:dyDescent="0.2">
      <c r="AY676" s="79"/>
      <c r="AZ676" s="85"/>
      <c r="BA676" s="40"/>
      <c r="BB676" s="99"/>
      <c r="BC676" s="85"/>
      <c r="BG676" s="79"/>
      <c r="BH676" s="99"/>
    </row>
    <row r="677" spans="51:60" x14ac:dyDescent="0.2">
      <c r="AY677" s="79"/>
      <c r="AZ677" s="85"/>
      <c r="BA677" s="40"/>
      <c r="BB677" s="99"/>
      <c r="BC677" s="85"/>
      <c r="BG677" s="79"/>
      <c r="BH677" s="99"/>
    </row>
    <row r="678" spans="51:60" x14ac:dyDescent="0.2">
      <c r="AY678" s="79"/>
      <c r="AZ678" s="85"/>
      <c r="BA678" s="40"/>
      <c r="BB678" s="99"/>
      <c r="BC678" s="85"/>
      <c r="BG678" s="79"/>
      <c r="BH678" s="99"/>
    </row>
    <row r="679" spans="51:60" x14ac:dyDescent="0.2">
      <c r="AY679" s="79"/>
      <c r="AZ679" s="85"/>
      <c r="BA679" s="40"/>
      <c r="BB679" s="99"/>
      <c r="BC679" s="85"/>
      <c r="BG679" s="79"/>
      <c r="BH679" s="99"/>
    </row>
    <row r="680" spans="51:60" x14ac:dyDescent="0.2">
      <c r="AY680" s="79"/>
      <c r="AZ680" s="85"/>
      <c r="BA680" s="40"/>
      <c r="BB680" s="99"/>
      <c r="BC680" s="85"/>
      <c r="BG680" s="79"/>
      <c r="BH680" s="99"/>
    </row>
    <row r="681" spans="51:60" x14ac:dyDescent="0.2">
      <c r="AY681" s="79"/>
      <c r="AZ681" s="85"/>
      <c r="BA681" s="40"/>
      <c r="BB681" s="99"/>
      <c r="BC681" s="85"/>
      <c r="BG681" s="79"/>
      <c r="BH681" s="99"/>
    </row>
    <row r="682" spans="51:60" x14ac:dyDescent="0.2">
      <c r="AY682" s="79"/>
      <c r="AZ682" s="85"/>
      <c r="BA682" s="40"/>
      <c r="BB682" s="99"/>
      <c r="BC682" s="85"/>
      <c r="BG682" s="79"/>
      <c r="BH682" s="99"/>
    </row>
    <row r="683" spans="51:60" x14ac:dyDescent="0.2">
      <c r="AY683" s="79"/>
      <c r="AZ683" s="85"/>
      <c r="BA683" s="40"/>
      <c r="BB683" s="99"/>
      <c r="BC683" s="85"/>
      <c r="BG683" s="79"/>
      <c r="BH683" s="99"/>
    </row>
    <row r="684" spans="51:60" x14ac:dyDescent="0.2">
      <c r="AY684" s="79"/>
      <c r="AZ684" s="85"/>
      <c r="BA684" s="40"/>
      <c r="BB684" s="99"/>
      <c r="BC684" s="85"/>
      <c r="BG684" s="79"/>
      <c r="BH684" s="99"/>
    </row>
    <row r="685" spans="51:60" x14ac:dyDescent="0.2">
      <c r="AY685" s="79"/>
      <c r="AZ685" s="85"/>
      <c r="BA685" s="40"/>
      <c r="BB685" s="99"/>
      <c r="BC685" s="85"/>
      <c r="BG685" s="79"/>
      <c r="BH685" s="99"/>
    </row>
    <row r="686" spans="51:60" x14ac:dyDescent="0.2">
      <c r="AY686" s="79"/>
      <c r="AZ686" s="85"/>
      <c r="BA686" s="40"/>
      <c r="BB686" s="99"/>
      <c r="BC686" s="85"/>
      <c r="BG686" s="79"/>
      <c r="BH686" s="99"/>
    </row>
    <row r="687" spans="51:60" x14ac:dyDescent="0.2">
      <c r="AY687" s="79"/>
      <c r="AZ687" s="85"/>
      <c r="BA687" s="40"/>
      <c r="BB687" s="99"/>
      <c r="BC687" s="85"/>
      <c r="BG687" s="79"/>
      <c r="BH687" s="99"/>
    </row>
    <row r="688" spans="51:60" x14ac:dyDescent="0.2">
      <c r="AY688" s="79"/>
      <c r="AZ688" s="85"/>
      <c r="BA688" s="40"/>
      <c r="BB688" s="99"/>
      <c r="BC688" s="85"/>
      <c r="BG688" s="79"/>
      <c r="BH688" s="99"/>
    </row>
    <row r="689" spans="51:60" x14ac:dyDescent="0.2">
      <c r="AY689" s="79"/>
      <c r="AZ689" s="85"/>
      <c r="BA689" s="40"/>
      <c r="BB689" s="99"/>
      <c r="BC689" s="85"/>
      <c r="BG689" s="79"/>
      <c r="BH689" s="99"/>
    </row>
    <row r="690" spans="51:60" x14ac:dyDescent="0.2">
      <c r="AY690" s="79"/>
      <c r="AZ690" s="85"/>
      <c r="BA690" s="40"/>
      <c r="BB690" s="99"/>
      <c r="BC690" s="85"/>
      <c r="BG690" s="79"/>
      <c r="BH690" s="99"/>
    </row>
    <row r="691" spans="51:60" x14ac:dyDescent="0.2">
      <c r="AY691" s="79"/>
      <c r="AZ691" s="85"/>
      <c r="BA691" s="40"/>
      <c r="BB691" s="99"/>
      <c r="BC691" s="85"/>
      <c r="BG691" s="79"/>
      <c r="BH691" s="99"/>
    </row>
    <row r="692" spans="51:60" x14ac:dyDescent="0.2">
      <c r="AY692" s="79"/>
      <c r="AZ692" s="85"/>
      <c r="BA692" s="40"/>
      <c r="BB692" s="99"/>
      <c r="BC692" s="85"/>
      <c r="BG692" s="79"/>
      <c r="BH692" s="99"/>
    </row>
    <row r="693" spans="51:60" x14ac:dyDescent="0.2">
      <c r="AY693" s="79"/>
      <c r="AZ693" s="85"/>
      <c r="BA693" s="40"/>
      <c r="BB693" s="99"/>
      <c r="BC693" s="85"/>
      <c r="BG693" s="79"/>
      <c r="BH693" s="99"/>
    </row>
    <row r="694" spans="51:60" x14ac:dyDescent="0.2">
      <c r="AY694" s="79"/>
      <c r="AZ694" s="85"/>
      <c r="BA694" s="40"/>
      <c r="BB694" s="99"/>
      <c r="BC694" s="85"/>
      <c r="BG694" s="79"/>
      <c r="BH694" s="99"/>
    </row>
    <row r="695" spans="51:60" x14ac:dyDescent="0.2">
      <c r="AY695" s="79"/>
      <c r="AZ695" s="85"/>
      <c r="BA695" s="40"/>
      <c r="BB695" s="99"/>
      <c r="BC695" s="85"/>
      <c r="BG695" s="79"/>
      <c r="BH695" s="99"/>
    </row>
    <row r="696" spans="51:60" x14ac:dyDescent="0.2">
      <c r="AY696" s="79"/>
      <c r="AZ696" s="85"/>
      <c r="BA696" s="40"/>
      <c r="BB696" s="99"/>
      <c r="BC696" s="85"/>
      <c r="BG696" s="79"/>
      <c r="BH696" s="99"/>
    </row>
    <row r="697" spans="51:60" x14ac:dyDescent="0.2">
      <c r="AY697" s="79"/>
      <c r="AZ697" s="85"/>
      <c r="BA697" s="40"/>
      <c r="BB697" s="99"/>
      <c r="BC697" s="85"/>
      <c r="BG697" s="79"/>
      <c r="BH697" s="99"/>
    </row>
    <row r="698" spans="51:60" x14ac:dyDescent="0.2">
      <c r="AY698" s="79"/>
      <c r="AZ698" s="85"/>
      <c r="BA698" s="40"/>
      <c r="BB698" s="99"/>
      <c r="BC698" s="85"/>
      <c r="BG698" s="79"/>
      <c r="BH698" s="99"/>
    </row>
    <row r="699" spans="51:60" x14ac:dyDescent="0.2">
      <c r="AY699" s="79"/>
      <c r="AZ699" s="85"/>
      <c r="BA699" s="40"/>
      <c r="BB699" s="99"/>
      <c r="BC699" s="85"/>
      <c r="BG699" s="79"/>
      <c r="BH699" s="99"/>
    </row>
    <row r="700" spans="51:60" x14ac:dyDescent="0.2">
      <c r="AY700" s="79"/>
      <c r="AZ700" s="85"/>
      <c r="BA700" s="40"/>
      <c r="BB700" s="99"/>
      <c r="BC700" s="85"/>
      <c r="BG700" s="79"/>
      <c r="BH700" s="99"/>
    </row>
    <row r="701" spans="51:60" x14ac:dyDescent="0.2">
      <c r="AY701" s="79"/>
      <c r="AZ701" s="85"/>
      <c r="BA701" s="40"/>
      <c r="BB701" s="99"/>
      <c r="BC701" s="85"/>
      <c r="BG701" s="79"/>
      <c r="BH701" s="99"/>
    </row>
    <row r="702" spans="51:60" x14ac:dyDescent="0.2">
      <c r="AY702" s="79"/>
      <c r="AZ702" s="85"/>
      <c r="BA702" s="40"/>
      <c r="BB702" s="99"/>
      <c r="BC702" s="85"/>
      <c r="BG702" s="79"/>
      <c r="BH702" s="99"/>
    </row>
    <row r="703" spans="51:60" x14ac:dyDescent="0.2">
      <c r="AY703" s="79"/>
      <c r="AZ703" s="85"/>
      <c r="BA703" s="40"/>
      <c r="BB703" s="99"/>
      <c r="BC703" s="85"/>
      <c r="BG703" s="79"/>
      <c r="BH703" s="99"/>
    </row>
    <row r="704" spans="51:60" x14ac:dyDescent="0.2">
      <c r="AY704" s="79"/>
      <c r="AZ704" s="85"/>
      <c r="BA704" s="40"/>
      <c r="BB704" s="99"/>
      <c r="BC704" s="85"/>
      <c r="BG704" s="79"/>
      <c r="BH704" s="99"/>
    </row>
    <row r="705" spans="51:60" x14ac:dyDescent="0.2">
      <c r="AY705" s="79"/>
      <c r="AZ705" s="85"/>
      <c r="BA705" s="40"/>
      <c r="BB705" s="99"/>
      <c r="BC705" s="85"/>
      <c r="BG705" s="79"/>
      <c r="BH705" s="99"/>
    </row>
    <row r="706" spans="51:60" x14ac:dyDescent="0.2">
      <c r="AY706" s="79"/>
      <c r="AZ706" s="85"/>
      <c r="BA706" s="40"/>
      <c r="BB706" s="99"/>
      <c r="BC706" s="85"/>
      <c r="BG706" s="79"/>
      <c r="BH706" s="99"/>
    </row>
    <row r="707" spans="51:60" x14ac:dyDescent="0.2">
      <c r="AY707" s="79"/>
      <c r="AZ707" s="85"/>
      <c r="BA707" s="40"/>
      <c r="BB707" s="99"/>
      <c r="BC707" s="85"/>
      <c r="BG707" s="79"/>
      <c r="BH707" s="99"/>
    </row>
    <row r="708" spans="51:60" x14ac:dyDescent="0.2">
      <c r="AY708" s="79"/>
      <c r="AZ708" s="85"/>
      <c r="BA708" s="40"/>
      <c r="BB708" s="99"/>
      <c r="BC708" s="85"/>
      <c r="BG708" s="79"/>
      <c r="BH708" s="99"/>
    </row>
    <row r="709" spans="51:60" x14ac:dyDescent="0.2">
      <c r="AY709" s="79"/>
      <c r="AZ709" s="85"/>
      <c r="BA709" s="40"/>
      <c r="BB709" s="99"/>
      <c r="BC709" s="85"/>
      <c r="BG709" s="79"/>
      <c r="BH709" s="99"/>
    </row>
    <row r="710" spans="51:60" x14ac:dyDescent="0.2">
      <c r="AY710" s="79"/>
      <c r="AZ710" s="85"/>
      <c r="BA710" s="40"/>
      <c r="BB710" s="99"/>
      <c r="BC710" s="85"/>
      <c r="BG710" s="79"/>
      <c r="BH710" s="99"/>
    </row>
    <row r="711" spans="51:60" x14ac:dyDescent="0.2">
      <c r="AY711" s="79"/>
      <c r="AZ711" s="85"/>
      <c r="BA711" s="40"/>
      <c r="BB711" s="99"/>
      <c r="BC711" s="85"/>
      <c r="BG711" s="79"/>
      <c r="BH711" s="99"/>
    </row>
    <row r="712" spans="51:60" x14ac:dyDescent="0.2">
      <c r="AY712" s="79"/>
      <c r="AZ712" s="85"/>
      <c r="BA712" s="40"/>
      <c r="BB712" s="99"/>
      <c r="BC712" s="85"/>
      <c r="BG712" s="79"/>
      <c r="BH712" s="99"/>
    </row>
    <row r="713" spans="51:60" x14ac:dyDescent="0.2">
      <c r="AY713" s="79"/>
      <c r="AZ713" s="85"/>
      <c r="BA713" s="40"/>
      <c r="BB713" s="99"/>
      <c r="BC713" s="85"/>
      <c r="BG713" s="79"/>
      <c r="BH713" s="99"/>
    </row>
    <row r="714" spans="51:60" x14ac:dyDescent="0.2">
      <c r="AY714" s="79"/>
      <c r="AZ714" s="85"/>
      <c r="BA714" s="40"/>
      <c r="BB714" s="99"/>
      <c r="BC714" s="85"/>
      <c r="BG714" s="79"/>
      <c r="BH714" s="99"/>
    </row>
    <row r="715" spans="51:60" x14ac:dyDescent="0.2">
      <c r="AY715" s="79"/>
      <c r="AZ715" s="85"/>
      <c r="BA715" s="40"/>
      <c r="BB715" s="99"/>
      <c r="BC715" s="85"/>
      <c r="BG715" s="79"/>
      <c r="BH715" s="99"/>
    </row>
    <row r="716" spans="51:60" x14ac:dyDescent="0.2">
      <c r="AY716" s="79"/>
      <c r="AZ716" s="85"/>
      <c r="BA716" s="40"/>
      <c r="BB716" s="99"/>
      <c r="BC716" s="85"/>
      <c r="BG716" s="79"/>
      <c r="BH716" s="99"/>
    </row>
    <row r="717" spans="51:60" x14ac:dyDescent="0.2">
      <c r="AY717" s="79"/>
      <c r="AZ717" s="85"/>
      <c r="BA717" s="40"/>
      <c r="BB717" s="99"/>
      <c r="BC717" s="85"/>
      <c r="BG717" s="79"/>
      <c r="BH717" s="99"/>
    </row>
    <row r="718" spans="51:60" x14ac:dyDescent="0.2">
      <c r="AY718" s="79"/>
      <c r="AZ718" s="85"/>
      <c r="BA718" s="40"/>
      <c r="BB718" s="99"/>
      <c r="BC718" s="85"/>
      <c r="BG718" s="79"/>
      <c r="BH718" s="99"/>
    </row>
    <row r="719" spans="51:60" x14ac:dyDescent="0.2">
      <c r="AY719" s="79"/>
      <c r="AZ719" s="85"/>
      <c r="BA719" s="40"/>
      <c r="BB719" s="99"/>
      <c r="BC719" s="85"/>
      <c r="BG719" s="79"/>
      <c r="BH719" s="99"/>
    </row>
    <row r="720" spans="51:60" x14ac:dyDescent="0.2">
      <c r="AY720" s="79"/>
      <c r="AZ720" s="85"/>
      <c r="BA720" s="40"/>
      <c r="BB720" s="99"/>
      <c r="BC720" s="85"/>
      <c r="BG720" s="79"/>
      <c r="BH720" s="99"/>
    </row>
    <row r="721" spans="51:60" x14ac:dyDescent="0.2">
      <c r="AY721" s="79"/>
      <c r="AZ721" s="85"/>
      <c r="BA721" s="40"/>
      <c r="BB721" s="99"/>
      <c r="BC721" s="85"/>
      <c r="BG721" s="79"/>
      <c r="BH721" s="99"/>
    </row>
    <row r="722" spans="51:60" x14ac:dyDescent="0.2">
      <c r="AY722" s="79"/>
      <c r="AZ722" s="85"/>
      <c r="BA722" s="40"/>
      <c r="BB722" s="99"/>
      <c r="BC722" s="85"/>
      <c r="BG722" s="79"/>
      <c r="BH722" s="99"/>
    </row>
    <row r="723" spans="51:60" x14ac:dyDescent="0.2">
      <c r="AY723" s="79"/>
      <c r="AZ723" s="85"/>
      <c r="BA723" s="40"/>
      <c r="BB723" s="99"/>
      <c r="BC723" s="85"/>
      <c r="BG723" s="79"/>
      <c r="BH723" s="99"/>
    </row>
    <row r="724" spans="51:60" x14ac:dyDescent="0.2">
      <c r="AY724" s="79"/>
      <c r="AZ724" s="85"/>
      <c r="BA724" s="40"/>
      <c r="BB724" s="99"/>
      <c r="BC724" s="85"/>
      <c r="BG724" s="79"/>
      <c r="BH724" s="99"/>
    </row>
    <row r="725" spans="51:60" x14ac:dyDescent="0.2">
      <c r="AY725" s="79"/>
      <c r="AZ725" s="85"/>
      <c r="BA725" s="40"/>
      <c r="BB725" s="99"/>
      <c r="BC725" s="85"/>
      <c r="BG725" s="79"/>
      <c r="BH725" s="99"/>
    </row>
    <row r="726" spans="51:60" x14ac:dyDescent="0.2">
      <c r="AY726" s="79"/>
      <c r="AZ726" s="85"/>
      <c r="BA726" s="40"/>
      <c r="BB726" s="99"/>
      <c r="BC726" s="85"/>
      <c r="BG726" s="79"/>
      <c r="BH726" s="99"/>
    </row>
    <row r="727" spans="51:60" x14ac:dyDescent="0.2">
      <c r="AY727" s="79"/>
      <c r="AZ727" s="85"/>
      <c r="BA727" s="40"/>
      <c r="BB727" s="99"/>
      <c r="BC727" s="85"/>
      <c r="BG727" s="79"/>
      <c r="BH727" s="99"/>
    </row>
    <row r="728" spans="51:60" x14ac:dyDescent="0.2">
      <c r="AY728" s="79"/>
      <c r="AZ728" s="85"/>
      <c r="BA728" s="40"/>
      <c r="BB728" s="99"/>
      <c r="BC728" s="85"/>
      <c r="BG728" s="79"/>
      <c r="BH728" s="99"/>
    </row>
    <row r="729" spans="51:60" x14ac:dyDescent="0.2">
      <c r="AY729" s="79"/>
      <c r="AZ729" s="85"/>
      <c r="BA729" s="40"/>
      <c r="BB729" s="99"/>
      <c r="BC729" s="85"/>
      <c r="BG729" s="79"/>
      <c r="BH729" s="99"/>
    </row>
    <row r="730" spans="51:60" x14ac:dyDescent="0.2">
      <c r="AY730" s="79"/>
      <c r="AZ730" s="85"/>
      <c r="BA730" s="40"/>
      <c r="BB730" s="99"/>
      <c r="BC730" s="85"/>
      <c r="BG730" s="79"/>
      <c r="BH730" s="99"/>
    </row>
    <row r="731" spans="51:60" x14ac:dyDescent="0.2">
      <c r="AY731" s="79"/>
      <c r="AZ731" s="85"/>
      <c r="BA731" s="40"/>
      <c r="BB731" s="99"/>
      <c r="BC731" s="85"/>
      <c r="BG731" s="79"/>
      <c r="BH731" s="99"/>
    </row>
    <row r="732" spans="51:60" x14ac:dyDescent="0.2">
      <c r="AY732" s="79"/>
      <c r="AZ732" s="85"/>
      <c r="BA732" s="40"/>
      <c r="BB732" s="99"/>
      <c r="BC732" s="85"/>
      <c r="BG732" s="79"/>
      <c r="BH732" s="99"/>
    </row>
    <row r="733" spans="51:60" x14ac:dyDescent="0.2">
      <c r="AY733" s="79"/>
      <c r="AZ733" s="85"/>
      <c r="BA733" s="40"/>
      <c r="BB733" s="99"/>
      <c r="BC733" s="85"/>
      <c r="BG733" s="79"/>
      <c r="BH733" s="99"/>
    </row>
    <row r="734" spans="51:60" x14ac:dyDescent="0.2">
      <c r="AY734" s="79"/>
      <c r="AZ734" s="85"/>
      <c r="BA734" s="40"/>
      <c r="BB734" s="99"/>
      <c r="BC734" s="85"/>
      <c r="BG734" s="79"/>
      <c r="BH734" s="99"/>
    </row>
    <row r="735" spans="51:60" x14ac:dyDescent="0.2">
      <c r="AY735" s="79"/>
      <c r="AZ735" s="85"/>
      <c r="BA735" s="40"/>
      <c r="BB735" s="99"/>
      <c r="BC735" s="85"/>
      <c r="BG735" s="79"/>
      <c r="BH735" s="99"/>
    </row>
    <row r="736" spans="51:60" x14ac:dyDescent="0.2">
      <c r="AY736" s="79"/>
      <c r="AZ736" s="85"/>
      <c r="BA736" s="40"/>
      <c r="BB736" s="99"/>
      <c r="BC736" s="85"/>
      <c r="BG736" s="79"/>
      <c r="BH736" s="99"/>
    </row>
    <row r="737" spans="51:60" x14ac:dyDescent="0.2">
      <c r="AY737" s="79"/>
      <c r="AZ737" s="85"/>
      <c r="BA737" s="40"/>
      <c r="BB737" s="99"/>
      <c r="BC737" s="85"/>
      <c r="BG737" s="79"/>
      <c r="BH737" s="99"/>
    </row>
    <row r="738" spans="51:60" x14ac:dyDescent="0.2">
      <c r="AY738" s="79"/>
      <c r="AZ738" s="85"/>
      <c r="BA738" s="40"/>
      <c r="BB738" s="99"/>
      <c r="BC738" s="85"/>
      <c r="BG738" s="79"/>
      <c r="BH738" s="99"/>
    </row>
    <row r="739" spans="51:60" x14ac:dyDescent="0.2">
      <c r="AY739" s="79"/>
      <c r="AZ739" s="85"/>
      <c r="BA739" s="40"/>
      <c r="BB739" s="99"/>
      <c r="BC739" s="85"/>
      <c r="BG739" s="79"/>
      <c r="BH739" s="99"/>
    </row>
    <row r="740" spans="51:60" x14ac:dyDescent="0.2">
      <c r="AY740" s="79"/>
      <c r="AZ740" s="85"/>
      <c r="BA740" s="40"/>
      <c r="BB740" s="99"/>
      <c r="BC740" s="85"/>
      <c r="BG740" s="79"/>
      <c r="BH740" s="99"/>
    </row>
    <row r="741" spans="51:60" x14ac:dyDescent="0.2">
      <c r="AY741" s="79"/>
      <c r="AZ741" s="85"/>
      <c r="BA741" s="40"/>
      <c r="BB741" s="99"/>
      <c r="BC741" s="85"/>
      <c r="BG741" s="79"/>
      <c r="BH741" s="99"/>
    </row>
    <row r="742" spans="51:60" x14ac:dyDescent="0.2">
      <c r="AY742" s="79"/>
      <c r="AZ742" s="85"/>
      <c r="BA742" s="40"/>
      <c r="BB742" s="99"/>
      <c r="BC742" s="85"/>
      <c r="BG742" s="79"/>
      <c r="BH742" s="99"/>
    </row>
    <row r="743" spans="51:60" x14ac:dyDescent="0.2">
      <c r="AY743" s="79"/>
      <c r="AZ743" s="85"/>
      <c r="BA743" s="40"/>
      <c r="BB743" s="99"/>
      <c r="BC743" s="85"/>
      <c r="BG743" s="79"/>
      <c r="BH743" s="99"/>
    </row>
    <row r="744" spans="51:60" x14ac:dyDescent="0.2">
      <c r="AY744" s="79"/>
      <c r="AZ744" s="85"/>
      <c r="BA744" s="40"/>
      <c r="BB744" s="99"/>
      <c r="BC744" s="85"/>
      <c r="BG744" s="79"/>
      <c r="BH744" s="99"/>
    </row>
    <row r="745" spans="51:60" x14ac:dyDescent="0.2">
      <c r="AY745" s="79"/>
      <c r="AZ745" s="85"/>
      <c r="BA745" s="40"/>
      <c r="BB745" s="99"/>
      <c r="BC745" s="85"/>
      <c r="BG745" s="79"/>
      <c r="BH745" s="99"/>
    </row>
    <row r="746" spans="51:60" x14ac:dyDescent="0.2">
      <c r="AY746" s="79"/>
      <c r="AZ746" s="85"/>
      <c r="BA746" s="40"/>
      <c r="BB746" s="99"/>
      <c r="BC746" s="85"/>
      <c r="BG746" s="79"/>
      <c r="BH746" s="99"/>
    </row>
    <row r="747" spans="51:60" x14ac:dyDescent="0.2">
      <c r="AY747" s="79"/>
      <c r="AZ747" s="85"/>
      <c r="BA747" s="40"/>
      <c r="BB747" s="99"/>
      <c r="BC747" s="85"/>
      <c r="BG747" s="79"/>
      <c r="BH747" s="99"/>
    </row>
    <row r="748" spans="51:60" x14ac:dyDescent="0.2">
      <c r="AY748" s="79"/>
      <c r="AZ748" s="85"/>
      <c r="BA748" s="40"/>
      <c r="BB748" s="99"/>
      <c r="BC748" s="85"/>
      <c r="BG748" s="79"/>
      <c r="BH748" s="99"/>
    </row>
    <row r="749" spans="51:60" x14ac:dyDescent="0.2">
      <c r="AY749" s="79"/>
      <c r="AZ749" s="85"/>
      <c r="BA749" s="40"/>
      <c r="BB749" s="99"/>
      <c r="BC749" s="85"/>
      <c r="BG749" s="79"/>
      <c r="BH749" s="99"/>
    </row>
    <row r="750" spans="51:60" x14ac:dyDescent="0.2">
      <c r="AY750" s="79"/>
      <c r="AZ750" s="85"/>
      <c r="BA750" s="40"/>
      <c r="BB750" s="99"/>
      <c r="BC750" s="85"/>
      <c r="BG750" s="79"/>
      <c r="BH750" s="99"/>
    </row>
    <row r="751" spans="51:60" x14ac:dyDescent="0.2">
      <c r="AY751" s="79"/>
      <c r="AZ751" s="85"/>
      <c r="BA751" s="40"/>
      <c r="BB751" s="99"/>
      <c r="BC751" s="85"/>
      <c r="BG751" s="79"/>
      <c r="BH751" s="99"/>
    </row>
    <row r="752" spans="51:60" x14ac:dyDescent="0.2">
      <c r="AY752" s="79"/>
      <c r="AZ752" s="85"/>
      <c r="BA752" s="40"/>
      <c r="BB752" s="99"/>
      <c r="BC752" s="85"/>
      <c r="BG752" s="79"/>
      <c r="BH752" s="99"/>
    </row>
    <row r="753" spans="51:60" x14ac:dyDescent="0.2">
      <c r="AY753" s="79"/>
      <c r="AZ753" s="85"/>
      <c r="BA753" s="40"/>
      <c r="BB753" s="99"/>
      <c r="BC753" s="85"/>
      <c r="BG753" s="79"/>
      <c r="BH753" s="99"/>
    </row>
    <row r="754" spans="51:60" x14ac:dyDescent="0.2">
      <c r="AY754" s="79"/>
      <c r="AZ754" s="85"/>
      <c r="BA754" s="40"/>
      <c r="BB754" s="99"/>
      <c r="BC754" s="85"/>
      <c r="BG754" s="79"/>
      <c r="BH754" s="99"/>
    </row>
    <row r="755" spans="51:60" x14ac:dyDescent="0.2">
      <c r="AY755" s="79"/>
      <c r="AZ755" s="85"/>
      <c r="BA755" s="40"/>
      <c r="BB755" s="99"/>
      <c r="BC755" s="85"/>
      <c r="BG755" s="79"/>
      <c r="BH755" s="99"/>
    </row>
    <row r="756" spans="51:60" x14ac:dyDescent="0.2">
      <c r="AY756" s="79"/>
      <c r="AZ756" s="85"/>
      <c r="BA756" s="40"/>
      <c r="BB756" s="99"/>
      <c r="BC756" s="85"/>
      <c r="BG756" s="79"/>
      <c r="BH756" s="99"/>
    </row>
    <row r="757" spans="51:60" x14ac:dyDescent="0.2">
      <c r="AY757" s="79"/>
      <c r="AZ757" s="85"/>
      <c r="BA757" s="40"/>
      <c r="BB757" s="99"/>
      <c r="BC757" s="85"/>
      <c r="BG757" s="79"/>
      <c r="BH757" s="99"/>
    </row>
    <row r="758" spans="51:60" x14ac:dyDescent="0.2">
      <c r="AY758" s="79"/>
      <c r="AZ758" s="85"/>
      <c r="BA758" s="40"/>
      <c r="BB758" s="99"/>
      <c r="BC758" s="85"/>
      <c r="BG758" s="79"/>
      <c r="BH758" s="99"/>
    </row>
    <row r="759" spans="51:60" x14ac:dyDescent="0.2">
      <c r="AY759" s="79"/>
      <c r="AZ759" s="85"/>
      <c r="BA759" s="40"/>
      <c r="BB759" s="99"/>
      <c r="BC759" s="85"/>
      <c r="BG759" s="79"/>
      <c r="BH759" s="99"/>
    </row>
    <row r="760" spans="51:60" x14ac:dyDescent="0.2">
      <c r="AY760" s="79"/>
      <c r="AZ760" s="85"/>
      <c r="BA760" s="40"/>
      <c r="BB760" s="99"/>
      <c r="BC760" s="85"/>
      <c r="BG760" s="79"/>
      <c r="BH760" s="99"/>
    </row>
    <row r="761" spans="51:60" x14ac:dyDescent="0.2">
      <c r="AY761" s="79"/>
      <c r="AZ761" s="85"/>
      <c r="BA761" s="40"/>
      <c r="BB761" s="99"/>
      <c r="BC761" s="85"/>
      <c r="BG761" s="79"/>
      <c r="BH761" s="99"/>
    </row>
    <row r="762" spans="51:60" x14ac:dyDescent="0.2">
      <c r="AY762" s="79"/>
      <c r="AZ762" s="85"/>
      <c r="BA762" s="40"/>
      <c r="BB762" s="99"/>
      <c r="BC762" s="85"/>
      <c r="BG762" s="79"/>
      <c r="BH762" s="99"/>
    </row>
    <row r="763" spans="51:60" x14ac:dyDescent="0.2">
      <c r="AY763" s="79"/>
      <c r="AZ763" s="85"/>
      <c r="BA763" s="40"/>
      <c r="BB763" s="99"/>
      <c r="BC763" s="85"/>
      <c r="BG763" s="79"/>
      <c r="BH763" s="99"/>
    </row>
    <row r="764" spans="51:60" x14ac:dyDescent="0.2">
      <c r="AY764" s="79"/>
      <c r="AZ764" s="85"/>
      <c r="BA764" s="40"/>
      <c r="BB764" s="99"/>
      <c r="BC764" s="85"/>
      <c r="BG764" s="79"/>
      <c r="BH764" s="99"/>
    </row>
    <row r="765" spans="51:60" x14ac:dyDescent="0.2">
      <c r="AY765" s="79"/>
      <c r="AZ765" s="85"/>
      <c r="BA765" s="40"/>
      <c r="BB765" s="99"/>
      <c r="BC765" s="85"/>
      <c r="BG765" s="79"/>
      <c r="BH765" s="99"/>
    </row>
    <row r="766" spans="51:60" x14ac:dyDescent="0.2">
      <c r="AY766" s="79"/>
      <c r="AZ766" s="85"/>
      <c r="BA766" s="40"/>
      <c r="BB766" s="99"/>
      <c r="BC766" s="85"/>
      <c r="BG766" s="79"/>
      <c r="BH766" s="99"/>
    </row>
    <row r="767" spans="51:60" x14ac:dyDescent="0.2">
      <c r="AY767" s="79"/>
      <c r="AZ767" s="85"/>
      <c r="BA767" s="40"/>
      <c r="BB767" s="99"/>
      <c r="BC767" s="85"/>
      <c r="BG767" s="79"/>
      <c r="BH767" s="99"/>
    </row>
    <row r="768" spans="51:60" x14ac:dyDescent="0.2">
      <c r="AY768" s="79"/>
      <c r="AZ768" s="85"/>
      <c r="BA768" s="40"/>
      <c r="BB768" s="99"/>
      <c r="BC768" s="85"/>
      <c r="BG768" s="79"/>
      <c r="BH768" s="99"/>
    </row>
    <row r="769" spans="51:60" x14ac:dyDescent="0.2">
      <c r="AY769" s="79"/>
      <c r="AZ769" s="85"/>
      <c r="BA769" s="40"/>
      <c r="BB769" s="99"/>
      <c r="BC769" s="85"/>
      <c r="BG769" s="79"/>
      <c r="BH769" s="99"/>
    </row>
    <row r="770" spans="51:60" x14ac:dyDescent="0.2">
      <c r="AY770" s="79"/>
      <c r="AZ770" s="85"/>
      <c r="BA770" s="40"/>
      <c r="BB770" s="99"/>
      <c r="BC770" s="85"/>
      <c r="BG770" s="79"/>
      <c r="BH770" s="99"/>
    </row>
    <row r="771" spans="51:60" x14ac:dyDescent="0.2">
      <c r="AY771" s="79"/>
      <c r="AZ771" s="85"/>
      <c r="BA771" s="40"/>
      <c r="BB771" s="99"/>
      <c r="BC771" s="85"/>
      <c r="BG771" s="79"/>
      <c r="BH771" s="99"/>
    </row>
    <row r="772" spans="51:60" x14ac:dyDescent="0.2">
      <c r="AY772" s="79"/>
      <c r="AZ772" s="85"/>
      <c r="BA772" s="40"/>
      <c r="BB772" s="99"/>
      <c r="BC772" s="85"/>
      <c r="BG772" s="79"/>
      <c r="BH772" s="99"/>
    </row>
    <row r="773" spans="51:60" x14ac:dyDescent="0.2">
      <c r="AY773" s="79"/>
      <c r="AZ773" s="85"/>
      <c r="BA773" s="40"/>
      <c r="BB773" s="99"/>
      <c r="BC773" s="85"/>
      <c r="BG773" s="79"/>
      <c r="BH773" s="99"/>
    </row>
    <row r="774" spans="51:60" x14ac:dyDescent="0.2">
      <c r="AY774" s="79"/>
      <c r="AZ774" s="85"/>
      <c r="BA774" s="40"/>
      <c r="BB774" s="99"/>
      <c r="BC774" s="85"/>
      <c r="BG774" s="79"/>
      <c r="BH774" s="99"/>
    </row>
    <row r="775" spans="51:60" x14ac:dyDescent="0.2">
      <c r="AY775" s="79"/>
      <c r="AZ775" s="85"/>
      <c r="BA775" s="40"/>
      <c r="BB775" s="99"/>
      <c r="BC775" s="85"/>
      <c r="BG775" s="79"/>
      <c r="BH775" s="99"/>
    </row>
    <row r="776" spans="51:60" x14ac:dyDescent="0.2">
      <c r="AY776" s="79"/>
      <c r="AZ776" s="85"/>
      <c r="BA776" s="40"/>
      <c r="BB776" s="99"/>
      <c r="BC776" s="85"/>
      <c r="BG776" s="79"/>
      <c r="BH776" s="99"/>
    </row>
    <row r="777" spans="51:60" x14ac:dyDescent="0.2">
      <c r="AY777" s="79"/>
      <c r="AZ777" s="85"/>
      <c r="BA777" s="40"/>
      <c r="BB777" s="99"/>
      <c r="BC777" s="85"/>
      <c r="BG777" s="79"/>
      <c r="BH777" s="99"/>
    </row>
    <row r="778" spans="51:60" x14ac:dyDescent="0.2">
      <c r="AY778" s="79"/>
      <c r="AZ778" s="85"/>
      <c r="BA778" s="40"/>
      <c r="BB778" s="99"/>
      <c r="BC778" s="85"/>
      <c r="BG778" s="79"/>
      <c r="BH778" s="99"/>
    </row>
    <row r="779" spans="51:60" x14ac:dyDescent="0.2">
      <c r="AY779" s="79"/>
      <c r="AZ779" s="85"/>
      <c r="BA779" s="40"/>
      <c r="BB779" s="99"/>
      <c r="BC779" s="85"/>
      <c r="BG779" s="79"/>
      <c r="BH779" s="99"/>
    </row>
    <row r="780" spans="51:60" x14ac:dyDescent="0.2">
      <c r="AY780" s="79"/>
      <c r="AZ780" s="85"/>
      <c r="BA780" s="40"/>
      <c r="BB780" s="99"/>
      <c r="BC780" s="85"/>
      <c r="BG780" s="79"/>
      <c r="BH780" s="99"/>
    </row>
    <row r="781" spans="51:60" x14ac:dyDescent="0.2">
      <c r="AY781" s="79"/>
      <c r="AZ781" s="85"/>
      <c r="BA781" s="40"/>
      <c r="BB781" s="99"/>
      <c r="BC781" s="85"/>
      <c r="BG781" s="79"/>
      <c r="BH781" s="99"/>
    </row>
    <row r="782" spans="51:60" x14ac:dyDescent="0.2">
      <c r="AY782" s="79"/>
      <c r="AZ782" s="85"/>
      <c r="BA782" s="40"/>
      <c r="BB782" s="99"/>
      <c r="BC782" s="85"/>
      <c r="BG782" s="79"/>
      <c r="BH782" s="99"/>
    </row>
    <row r="783" spans="51:60" x14ac:dyDescent="0.2">
      <c r="AY783" s="79"/>
      <c r="AZ783" s="85"/>
      <c r="BA783" s="40"/>
      <c r="BB783" s="99"/>
      <c r="BC783" s="85"/>
      <c r="BG783" s="79"/>
      <c r="BH783" s="99"/>
    </row>
    <row r="784" spans="51:60" x14ac:dyDescent="0.2">
      <c r="AY784" s="79"/>
      <c r="AZ784" s="85"/>
      <c r="BA784" s="40"/>
      <c r="BB784" s="99"/>
      <c r="BC784" s="85"/>
      <c r="BG784" s="79"/>
      <c r="BH784" s="99"/>
    </row>
    <row r="785" spans="51:60" x14ac:dyDescent="0.2">
      <c r="AY785" s="79"/>
      <c r="AZ785" s="85"/>
      <c r="BA785" s="40"/>
      <c r="BB785" s="99"/>
      <c r="BC785" s="85"/>
      <c r="BG785" s="79"/>
      <c r="BH785" s="99"/>
    </row>
    <row r="786" spans="51:60" x14ac:dyDescent="0.2">
      <c r="AY786" s="79"/>
      <c r="AZ786" s="85"/>
      <c r="BA786" s="40"/>
      <c r="BB786" s="99"/>
      <c r="BC786" s="85"/>
      <c r="BG786" s="79"/>
      <c r="BH786" s="99"/>
    </row>
    <row r="787" spans="51:60" x14ac:dyDescent="0.2">
      <c r="AY787" s="79"/>
      <c r="AZ787" s="85"/>
      <c r="BA787" s="40"/>
      <c r="BB787" s="99"/>
      <c r="BC787" s="85"/>
      <c r="BG787" s="79"/>
      <c r="BH787" s="99"/>
    </row>
    <row r="788" spans="51:60" x14ac:dyDescent="0.2">
      <c r="AY788" s="79"/>
      <c r="AZ788" s="85"/>
      <c r="BA788" s="40"/>
      <c r="BB788" s="99"/>
      <c r="BC788" s="85"/>
      <c r="BG788" s="79"/>
      <c r="BH788" s="99"/>
    </row>
    <row r="789" spans="51:60" x14ac:dyDescent="0.2">
      <c r="AY789" s="79"/>
      <c r="AZ789" s="85"/>
      <c r="BA789" s="40"/>
      <c r="BB789" s="99"/>
      <c r="BC789" s="85"/>
      <c r="BG789" s="79"/>
      <c r="BH789" s="99"/>
    </row>
    <row r="790" spans="51:60" x14ac:dyDescent="0.2">
      <c r="AY790" s="79"/>
      <c r="AZ790" s="85"/>
      <c r="BA790" s="40"/>
      <c r="BB790" s="99"/>
      <c r="BC790" s="85"/>
      <c r="BG790" s="79"/>
      <c r="BH790" s="99"/>
    </row>
    <row r="791" spans="51:60" x14ac:dyDescent="0.2">
      <c r="AY791" s="79"/>
      <c r="AZ791" s="85"/>
      <c r="BA791" s="40"/>
      <c r="BB791" s="99"/>
      <c r="BC791" s="85"/>
      <c r="BG791" s="79"/>
      <c r="BH791" s="99"/>
    </row>
    <row r="792" spans="51:60" x14ac:dyDescent="0.2">
      <c r="AY792" s="79"/>
      <c r="AZ792" s="85"/>
      <c r="BA792" s="40"/>
      <c r="BB792" s="99"/>
      <c r="BC792" s="85"/>
      <c r="BG792" s="79"/>
      <c r="BH792" s="99"/>
    </row>
    <row r="793" spans="51:60" x14ac:dyDescent="0.2">
      <c r="AY793" s="79"/>
      <c r="AZ793" s="85"/>
      <c r="BA793" s="40"/>
      <c r="BB793" s="99"/>
      <c r="BC793" s="85"/>
      <c r="BG793" s="79"/>
      <c r="BH793" s="99"/>
    </row>
    <row r="794" spans="51:60" x14ac:dyDescent="0.2">
      <c r="AY794" s="79"/>
      <c r="AZ794" s="85"/>
      <c r="BA794" s="40"/>
      <c r="BB794" s="99"/>
      <c r="BC794" s="85"/>
      <c r="BG794" s="79"/>
      <c r="BH794" s="99"/>
    </row>
    <row r="795" spans="51:60" x14ac:dyDescent="0.2">
      <c r="AY795" s="79"/>
      <c r="AZ795" s="85"/>
      <c r="BA795" s="40"/>
      <c r="BB795" s="99"/>
      <c r="BC795" s="85"/>
      <c r="BG795" s="79"/>
      <c r="BH795" s="99"/>
    </row>
    <row r="796" spans="51:60" x14ac:dyDescent="0.2">
      <c r="AY796" s="79"/>
      <c r="AZ796" s="85"/>
      <c r="BA796" s="40"/>
      <c r="BB796" s="99"/>
      <c r="BC796" s="85"/>
      <c r="BG796" s="79"/>
      <c r="BH796" s="99"/>
    </row>
    <row r="797" spans="51:60" x14ac:dyDescent="0.2">
      <c r="AY797" s="79"/>
      <c r="AZ797" s="85"/>
      <c r="BA797" s="40"/>
      <c r="BB797" s="99"/>
      <c r="BC797" s="85"/>
      <c r="BG797" s="79"/>
      <c r="BH797" s="99"/>
    </row>
    <row r="798" spans="51:60" x14ac:dyDescent="0.2">
      <c r="AY798" s="79"/>
      <c r="AZ798" s="85"/>
      <c r="BA798" s="40"/>
      <c r="BB798" s="99"/>
      <c r="BC798" s="85"/>
      <c r="BG798" s="79"/>
      <c r="BH798" s="99"/>
    </row>
    <row r="799" spans="51:60" x14ac:dyDescent="0.2">
      <c r="AY799" s="79"/>
      <c r="AZ799" s="85"/>
      <c r="BA799" s="40"/>
      <c r="BB799" s="99"/>
      <c r="BC799" s="85"/>
      <c r="BG799" s="79"/>
      <c r="BH799" s="99"/>
    </row>
    <row r="800" spans="51:60" x14ac:dyDescent="0.2">
      <c r="AY800" s="79"/>
      <c r="AZ800" s="85"/>
      <c r="BA800" s="40"/>
      <c r="BB800" s="99"/>
      <c r="BC800" s="85"/>
      <c r="BG800" s="79"/>
      <c r="BH800" s="99"/>
    </row>
    <row r="801" spans="51:60" x14ac:dyDescent="0.2">
      <c r="AY801" s="79"/>
      <c r="AZ801" s="85"/>
      <c r="BA801" s="40"/>
      <c r="BB801" s="99"/>
      <c r="BC801" s="85"/>
      <c r="BG801" s="79"/>
      <c r="BH801" s="99"/>
    </row>
    <row r="802" spans="51:60" x14ac:dyDescent="0.2">
      <c r="AY802" s="79"/>
      <c r="AZ802" s="85"/>
      <c r="BA802" s="40"/>
      <c r="BB802" s="99"/>
      <c r="BC802" s="85"/>
      <c r="BG802" s="79"/>
      <c r="BH802" s="99"/>
    </row>
    <row r="803" spans="51:60" x14ac:dyDescent="0.2">
      <c r="AY803" s="79"/>
      <c r="AZ803" s="85"/>
      <c r="BA803" s="40"/>
      <c r="BB803" s="99"/>
      <c r="BC803" s="85"/>
      <c r="BG803" s="79"/>
      <c r="BH803" s="99"/>
    </row>
    <row r="804" spans="51:60" x14ac:dyDescent="0.2">
      <c r="AY804" s="79"/>
      <c r="AZ804" s="85"/>
      <c r="BA804" s="40"/>
      <c r="BB804" s="99"/>
      <c r="BC804" s="85"/>
      <c r="BG804" s="79"/>
      <c r="BH804" s="99"/>
    </row>
    <row r="805" spans="51:60" x14ac:dyDescent="0.2">
      <c r="AY805" s="79"/>
      <c r="AZ805" s="85"/>
      <c r="BA805" s="40"/>
      <c r="BB805" s="99"/>
      <c r="BC805" s="85"/>
      <c r="BG805" s="79"/>
      <c r="BH805" s="99"/>
    </row>
    <row r="806" spans="51:60" x14ac:dyDescent="0.2">
      <c r="AY806" s="79"/>
      <c r="AZ806" s="85"/>
      <c r="BA806" s="40"/>
      <c r="BB806" s="99"/>
      <c r="BC806" s="85"/>
      <c r="BG806" s="79"/>
      <c r="BH806" s="99"/>
    </row>
    <row r="807" spans="51:60" x14ac:dyDescent="0.2">
      <c r="AY807" s="79"/>
      <c r="AZ807" s="85"/>
      <c r="BA807" s="40"/>
      <c r="BB807" s="99"/>
      <c r="BC807" s="85"/>
      <c r="BG807" s="79"/>
      <c r="BH807" s="99"/>
    </row>
    <row r="808" spans="51:60" x14ac:dyDescent="0.2">
      <c r="AY808" s="79"/>
      <c r="AZ808" s="85"/>
      <c r="BA808" s="40"/>
      <c r="BB808" s="99"/>
      <c r="BC808" s="85"/>
      <c r="BG808" s="79"/>
      <c r="BH808" s="99"/>
    </row>
    <row r="809" spans="51:60" x14ac:dyDescent="0.2">
      <c r="AY809" s="79"/>
      <c r="AZ809" s="85"/>
      <c r="BA809" s="40"/>
      <c r="BB809" s="99"/>
      <c r="BC809" s="85"/>
      <c r="BG809" s="79"/>
      <c r="BH809" s="99"/>
    </row>
    <row r="810" spans="51:60" x14ac:dyDescent="0.2">
      <c r="AY810" s="79"/>
      <c r="AZ810" s="85"/>
      <c r="BA810" s="40"/>
      <c r="BB810" s="99"/>
      <c r="BC810" s="85"/>
      <c r="BG810" s="79"/>
      <c r="BH810" s="99"/>
    </row>
    <row r="811" spans="51:60" x14ac:dyDescent="0.2">
      <c r="AY811" s="79"/>
      <c r="AZ811" s="85"/>
      <c r="BA811" s="40"/>
      <c r="BB811" s="99"/>
      <c r="BC811" s="85"/>
      <c r="BG811" s="79"/>
      <c r="BH811" s="99"/>
    </row>
    <row r="812" spans="51:60" x14ac:dyDescent="0.2">
      <c r="AY812" s="79"/>
      <c r="AZ812" s="85"/>
      <c r="BA812" s="40"/>
      <c r="BB812" s="99"/>
      <c r="BC812" s="85"/>
      <c r="BG812" s="79"/>
      <c r="BH812" s="99"/>
    </row>
    <row r="813" spans="51:60" x14ac:dyDescent="0.2">
      <c r="AY813" s="79"/>
      <c r="AZ813" s="85"/>
      <c r="BA813" s="40"/>
      <c r="BB813" s="99"/>
      <c r="BC813" s="85"/>
      <c r="BG813" s="79"/>
      <c r="BH813" s="99"/>
    </row>
    <row r="814" spans="51:60" x14ac:dyDescent="0.2">
      <c r="AY814" s="79"/>
      <c r="AZ814" s="85"/>
      <c r="BA814" s="40"/>
      <c r="BB814" s="99"/>
      <c r="BC814" s="85"/>
      <c r="BG814" s="79"/>
      <c r="BH814" s="99"/>
    </row>
    <row r="815" spans="51:60" x14ac:dyDescent="0.2">
      <c r="AY815" s="79"/>
      <c r="AZ815" s="85"/>
      <c r="BA815" s="40"/>
      <c r="BB815" s="99"/>
      <c r="BC815" s="85"/>
      <c r="BG815" s="79"/>
      <c r="BH815" s="99"/>
    </row>
    <row r="816" spans="51:60" x14ac:dyDescent="0.2">
      <c r="AY816" s="79"/>
      <c r="AZ816" s="85"/>
      <c r="BA816" s="40"/>
      <c r="BB816" s="99"/>
      <c r="BC816" s="85"/>
      <c r="BG816" s="79"/>
      <c r="BH816" s="99"/>
    </row>
    <row r="817" spans="51:60" x14ac:dyDescent="0.2">
      <c r="AY817" s="79"/>
      <c r="AZ817" s="85"/>
      <c r="BA817" s="40"/>
      <c r="BB817" s="99"/>
      <c r="BC817" s="85"/>
      <c r="BG817" s="79"/>
      <c r="BH817" s="99"/>
    </row>
    <row r="818" spans="51:60" x14ac:dyDescent="0.2">
      <c r="AY818" s="79"/>
      <c r="AZ818" s="85"/>
      <c r="BA818" s="40"/>
      <c r="BB818" s="99"/>
      <c r="BC818" s="85"/>
      <c r="BG818" s="79"/>
      <c r="BH818" s="99"/>
    </row>
    <row r="819" spans="51:60" x14ac:dyDescent="0.2">
      <c r="AY819" s="79"/>
      <c r="AZ819" s="85"/>
      <c r="BA819" s="40"/>
      <c r="BB819" s="99"/>
      <c r="BC819" s="85"/>
      <c r="BG819" s="79"/>
      <c r="BH819" s="99"/>
    </row>
    <row r="820" spans="51:60" x14ac:dyDescent="0.2">
      <c r="AY820" s="79"/>
      <c r="AZ820" s="85"/>
      <c r="BA820" s="40"/>
      <c r="BB820" s="99"/>
      <c r="BC820" s="85"/>
      <c r="BG820" s="79"/>
      <c r="BH820" s="99"/>
    </row>
    <row r="821" spans="51:60" x14ac:dyDescent="0.2">
      <c r="AY821" s="79"/>
      <c r="AZ821" s="85"/>
      <c r="BA821" s="40"/>
      <c r="BB821" s="99"/>
      <c r="BC821" s="85"/>
      <c r="BG821" s="79"/>
      <c r="BH821" s="99"/>
    </row>
    <row r="822" spans="51:60" x14ac:dyDescent="0.2">
      <c r="AY822" s="79"/>
      <c r="AZ822" s="85"/>
      <c r="BA822" s="40"/>
      <c r="BB822" s="99"/>
      <c r="BC822" s="85"/>
      <c r="BG822" s="79"/>
      <c r="BH822" s="99"/>
    </row>
    <row r="823" spans="51:60" x14ac:dyDescent="0.2">
      <c r="AY823" s="79"/>
      <c r="AZ823" s="85"/>
      <c r="BA823" s="40"/>
      <c r="BB823" s="99"/>
      <c r="BC823" s="85"/>
      <c r="BG823" s="79"/>
      <c r="BH823" s="99"/>
    </row>
    <row r="824" spans="51:60" x14ac:dyDescent="0.2">
      <c r="AY824" s="79"/>
      <c r="AZ824" s="85"/>
      <c r="BA824" s="40"/>
      <c r="BB824" s="99"/>
      <c r="BC824" s="85"/>
      <c r="BG824" s="79"/>
      <c r="BH824" s="99"/>
    </row>
    <row r="825" spans="51:60" x14ac:dyDescent="0.2">
      <c r="AY825" s="79"/>
      <c r="AZ825" s="85"/>
      <c r="BA825" s="40"/>
      <c r="BB825" s="99"/>
      <c r="BC825" s="85"/>
      <c r="BG825" s="79"/>
      <c r="BH825" s="99"/>
    </row>
    <row r="826" spans="51:60" x14ac:dyDescent="0.2">
      <c r="AY826" s="79"/>
      <c r="AZ826" s="85"/>
      <c r="BA826" s="40"/>
      <c r="BB826" s="99"/>
      <c r="BC826" s="85"/>
      <c r="BG826" s="79"/>
      <c r="BH826" s="99"/>
    </row>
    <row r="827" spans="51:60" x14ac:dyDescent="0.2">
      <c r="AY827" s="79"/>
      <c r="AZ827" s="85"/>
      <c r="BA827" s="40"/>
      <c r="BB827" s="99"/>
      <c r="BC827" s="85"/>
      <c r="BG827" s="79"/>
      <c r="BH827" s="99"/>
    </row>
    <row r="828" spans="51:60" x14ac:dyDescent="0.2">
      <c r="AY828" s="79"/>
      <c r="AZ828" s="85"/>
      <c r="BA828" s="40"/>
      <c r="BB828" s="99"/>
      <c r="BC828" s="85"/>
      <c r="BG828" s="79"/>
      <c r="BH828" s="99"/>
    </row>
    <row r="829" spans="51:60" x14ac:dyDescent="0.2">
      <c r="AY829" s="79"/>
      <c r="AZ829" s="85"/>
      <c r="BA829" s="40"/>
      <c r="BB829" s="99"/>
      <c r="BC829" s="85"/>
      <c r="BG829" s="79"/>
      <c r="BH829" s="99"/>
    </row>
    <row r="830" spans="51:60" x14ac:dyDescent="0.2">
      <c r="AY830" s="79"/>
      <c r="AZ830" s="85"/>
      <c r="BA830" s="40"/>
      <c r="BB830" s="99"/>
      <c r="BC830" s="85"/>
      <c r="BG830" s="79"/>
      <c r="BH830" s="99"/>
    </row>
    <row r="831" spans="51:60" x14ac:dyDescent="0.2">
      <c r="AY831" s="79"/>
      <c r="AZ831" s="85"/>
      <c r="BA831" s="40"/>
      <c r="BB831" s="99"/>
      <c r="BC831" s="85"/>
      <c r="BG831" s="79"/>
      <c r="BH831" s="99"/>
    </row>
    <row r="832" spans="51:60" x14ac:dyDescent="0.2">
      <c r="AY832" s="79"/>
      <c r="AZ832" s="85"/>
      <c r="BA832" s="40"/>
      <c r="BB832" s="99"/>
      <c r="BC832" s="85"/>
      <c r="BG832" s="79"/>
      <c r="BH832" s="99"/>
    </row>
    <row r="833" spans="51:60" x14ac:dyDescent="0.2">
      <c r="AY833" s="79"/>
      <c r="AZ833" s="85"/>
      <c r="BA833" s="40"/>
      <c r="BB833" s="99"/>
      <c r="BC833" s="85"/>
      <c r="BG833" s="79"/>
      <c r="BH833" s="99"/>
    </row>
    <row r="834" spans="51:60" x14ac:dyDescent="0.2">
      <c r="AY834" s="79"/>
      <c r="AZ834" s="85"/>
      <c r="BA834" s="40"/>
      <c r="BB834" s="99"/>
      <c r="BC834" s="85"/>
      <c r="BG834" s="79"/>
      <c r="BH834" s="99"/>
    </row>
    <row r="835" spans="51:60" x14ac:dyDescent="0.2">
      <c r="AY835" s="79"/>
      <c r="AZ835" s="85"/>
      <c r="BA835" s="40"/>
      <c r="BB835" s="99"/>
      <c r="BC835" s="85"/>
      <c r="BG835" s="79"/>
      <c r="BH835" s="99"/>
    </row>
    <row r="836" spans="51:60" x14ac:dyDescent="0.2">
      <c r="AY836" s="79"/>
      <c r="AZ836" s="85"/>
      <c r="BA836" s="40"/>
      <c r="BB836" s="99"/>
      <c r="BC836" s="85"/>
      <c r="BG836" s="79"/>
      <c r="BH836" s="99"/>
    </row>
    <row r="837" spans="51:60" x14ac:dyDescent="0.2">
      <c r="AY837" s="79"/>
      <c r="AZ837" s="85"/>
      <c r="BA837" s="40"/>
      <c r="BB837" s="99"/>
      <c r="BC837" s="85"/>
      <c r="BG837" s="79"/>
      <c r="BH837" s="99"/>
    </row>
    <row r="838" spans="51:60" x14ac:dyDescent="0.2">
      <c r="AY838" s="79"/>
      <c r="AZ838" s="85"/>
      <c r="BA838" s="40"/>
      <c r="BB838" s="99"/>
      <c r="BC838" s="85"/>
      <c r="BG838" s="79"/>
      <c r="BH838" s="99"/>
    </row>
    <row r="839" spans="51:60" x14ac:dyDescent="0.2">
      <c r="AY839" s="79"/>
      <c r="AZ839" s="85"/>
      <c r="BA839" s="40"/>
      <c r="BB839" s="99"/>
      <c r="BC839" s="85"/>
      <c r="BG839" s="79"/>
      <c r="BH839" s="99"/>
    </row>
    <row r="840" spans="51:60" x14ac:dyDescent="0.2">
      <c r="AY840" s="79"/>
      <c r="AZ840" s="85"/>
      <c r="BA840" s="40"/>
      <c r="BB840" s="99"/>
      <c r="BC840" s="85"/>
      <c r="BG840" s="79"/>
      <c r="BH840" s="99"/>
    </row>
    <row r="841" spans="51:60" x14ac:dyDescent="0.2">
      <c r="AY841" s="79"/>
      <c r="AZ841" s="85"/>
      <c r="BA841" s="40"/>
      <c r="BB841" s="99"/>
      <c r="BC841" s="85"/>
      <c r="BG841" s="79"/>
      <c r="BH841" s="99"/>
    </row>
    <row r="842" spans="51:60" x14ac:dyDescent="0.2">
      <c r="AY842" s="79"/>
      <c r="AZ842" s="85"/>
      <c r="BA842" s="40"/>
      <c r="BB842" s="99"/>
      <c r="BC842" s="85"/>
      <c r="BG842" s="79"/>
      <c r="BH842" s="99"/>
    </row>
    <row r="843" spans="51:60" x14ac:dyDescent="0.2">
      <c r="AY843" s="79"/>
      <c r="AZ843" s="85"/>
      <c r="BA843" s="40"/>
      <c r="BB843" s="99"/>
      <c r="BC843" s="85"/>
      <c r="BG843" s="79"/>
      <c r="BH843" s="99"/>
    </row>
    <row r="844" spans="51:60" x14ac:dyDescent="0.2">
      <c r="AY844" s="79"/>
      <c r="AZ844" s="85"/>
      <c r="BA844" s="40"/>
      <c r="BB844" s="99"/>
      <c r="BC844" s="85"/>
      <c r="BG844" s="79"/>
      <c r="BH844" s="99"/>
    </row>
    <row r="845" spans="51:60" x14ac:dyDescent="0.2">
      <c r="AY845" s="79"/>
      <c r="AZ845" s="85"/>
      <c r="BA845" s="40"/>
      <c r="BB845" s="99"/>
      <c r="BC845" s="85"/>
      <c r="BG845" s="79"/>
      <c r="BH845" s="99"/>
    </row>
    <row r="846" spans="51:60" x14ac:dyDescent="0.2">
      <c r="AY846" s="79"/>
      <c r="AZ846" s="85"/>
      <c r="BA846" s="40"/>
      <c r="BB846" s="99"/>
      <c r="BC846" s="85"/>
      <c r="BG846" s="79"/>
      <c r="BH846" s="99"/>
    </row>
    <row r="847" spans="51:60" x14ac:dyDescent="0.2">
      <c r="AY847" s="79"/>
      <c r="AZ847" s="85"/>
      <c r="BA847" s="40"/>
      <c r="BB847" s="99"/>
      <c r="BC847" s="85"/>
      <c r="BG847" s="79"/>
      <c r="BH847" s="99"/>
    </row>
    <row r="848" spans="51:60" x14ac:dyDescent="0.2">
      <c r="AY848" s="79"/>
      <c r="AZ848" s="85"/>
      <c r="BA848" s="40"/>
      <c r="BB848" s="99"/>
      <c r="BC848" s="85"/>
      <c r="BG848" s="79"/>
      <c r="BH848" s="99"/>
    </row>
    <row r="849" spans="51:60" x14ac:dyDescent="0.2">
      <c r="AY849" s="79"/>
      <c r="AZ849" s="85"/>
      <c r="BA849" s="40"/>
      <c r="BB849" s="99"/>
      <c r="BC849" s="85"/>
      <c r="BG849" s="79"/>
      <c r="BH849" s="99"/>
    </row>
    <row r="850" spans="51:60" x14ac:dyDescent="0.2">
      <c r="AY850" s="79"/>
      <c r="AZ850" s="85"/>
      <c r="BA850" s="40"/>
      <c r="BB850" s="99"/>
      <c r="BC850" s="85"/>
      <c r="BG850" s="79"/>
      <c r="BH850" s="99"/>
    </row>
    <row r="851" spans="51:60" x14ac:dyDescent="0.2">
      <c r="AY851" s="79"/>
      <c r="AZ851" s="85"/>
      <c r="BA851" s="40"/>
      <c r="BB851" s="99"/>
      <c r="BC851" s="85"/>
      <c r="BG851" s="79"/>
      <c r="BH851" s="99"/>
    </row>
    <row r="852" spans="51:60" x14ac:dyDescent="0.2">
      <c r="AY852" s="79"/>
      <c r="AZ852" s="85"/>
      <c r="BA852" s="40"/>
      <c r="BB852" s="99"/>
      <c r="BC852" s="85"/>
      <c r="BG852" s="79"/>
      <c r="BH852" s="99"/>
    </row>
    <row r="853" spans="51:60" x14ac:dyDescent="0.2">
      <c r="AY853" s="79"/>
      <c r="AZ853" s="85"/>
      <c r="BA853" s="40"/>
      <c r="BB853" s="99"/>
      <c r="BC853" s="85"/>
      <c r="BG853" s="79"/>
      <c r="BH853" s="99"/>
    </row>
    <row r="854" spans="51:60" x14ac:dyDescent="0.2">
      <c r="AY854" s="79"/>
      <c r="AZ854" s="85"/>
      <c r="BA854" s="40"/>
      <c r="BB854" s="99"/>
      <c r="BC854" s="85"/>
      <c r="BG854" s="79"/>
      <c r="BH854" s="99"/>
    </row>
    <row r="855" spans="51:60" x14ac:dyDescent="0.2">
      <c r="AY855" s="79"/>
      <c r="AZ855" s="85"/>
      <c r="BA855" s="40"/>
      <c r="BB855" s="99"/>
      <c r="BC855" s="85"/>
      <c r="BG855" s="79"/>
      <c r="BH855" s="99"/>
    </row>
    <row r="856" spans="51:60" x14ac:dyDescent="0.2">
      <c r="AY856" s="79"/>
      <c r="AZ856" s="85"/>
      <c r="BA856" s="40"/>
      <c r="BB856" s="99"/>
      <c r="BC856" s="85"/>
      <c r="BG856" s="79"/>
      <c r="BH856" s="99"/>
    </row>
    <row r="857" spans="51:60" x14ac:dyDescent="0.2">
      <c r="AY857" s="79"/>
      <c r="AZ857" s="85"/>
      <c r="BA857" s="40"/>
      <c r="BB857" s="99"/>
      <c r="BC857" s="85"/>
      <c r="BG857" s="79"/>
      <c r="BH857" s="99"/>
    </row>
    <row r="858" spans="51:60" x14ac:dyDescent="0.2">
      <c r="AY858" s="79"/>
      <c r="AZ858" s="85"/>
      <c r="BA858" s="40"/>
      <c r="BB858" s="99"/>
      <c r="BC858" s="85"/>
      <c r="BG858" s="79"/>
      <c r="BH858" s="99"/>
    </row>
    <row r="859" spans="51:60" x14ac:dyDescent="0.2">
      <c r="AY859" s="79"/>
      <c r="AZ859" s="85"/>
      <c r="BA859" s="40"/>
      <c r="BB859" s="99"/>
      <c r="BC859" s="85"/>
      <c r="BG859" s="79"/>
      <c r="BH859" s="99"/>
    </row>
    <row r="860" spans="51:60" x14ac:dyDescent="0.2">
      <c r="AY860" s="79"/>
      <c r="AZ860" s="85"/>
      <c r="BA860" s="40"/>
      <c r="BB860" s="99"/>
      <c r="BC860" s="85"/>
      <c r="BG860" s="79"/>
      <c r="BH860" s="99"/>
    </row>
    <row r="861" spans="51:60" x14ac:dyDescent="0.2">
      <c r="AY861" s="79"/>
      <c r="AZ861" s="85"/>
      <c r="BA861" s="40"/>
      <c r="BB861" s="99"/>
      <c r="BC861" s="85"/>
      <c r="BG861" s="79"/>
      <c r="BH861" s="99"/>
    </row>
    <row r="862" spans="51:60" x14ac:dyDescent="0.2">
      <c r="AY862" s="79"/>
      <c r="AZ862" s="85"/>
      <c r="BA862" s="40"/>
      <c r="BB862" s="99"/>
      <c r="BC862" s="85"/>
      <c r="BG862" s="79"/>
      <c r="BH862" s="99"/>
    </row>
    <row r="863" spans="51:60" x14ac:dyDescent="0.2">
      <c r="AY863" s="79"/>
      <c r="AZ863" s="85"/>
      <c r="BA863" s="40"/>
      <c r="BB863" s="99"/>
      <c r="BC863" s="85"/>
      <c r="BG863" s="79"/>
      <c r="BH863" s="99"/>
    </row>
    <row r="864" spans="51:60" x14ac:dyDescent="0.2">
      <c r="AY864" s="79"/>
      <c r="AZ864" s="85"/>
      <c r="BA864" s="40"/>
      <c r="BB864" s="99"/>
      <c r="BC864" s="85"/>
      <c r="BG864" s="79"/>
      <c r="BH864" s="99"/>
    </row>
    <row r="865" spans="51:60" x14ac:dyDescent="0.2">
      <c r="AY865" s="79"/>
      <c r="AZ865" s="85"/>
      <c r="BA865" s="40"/>
      <c r="BB865" s="99"/>
      <c r="BC865" s="85"/>
      <c r="BG865" s="79"/>
      <c r="BH865" s="99"/>
    </row>
    <row r="866" spans="51:60" x14ac:dyDescent="0.2">
      <c r="AY866" s="79"/>
      <c r="AZ866" s="85"/>
      <c r="BA866" s="40"/>
      <c r="BB866" s="99"/>
      <c r="BC866" s="85"/>
      <c r="BG866" s="79"/>
      <c r="BH866" s="99"/>
    </row>
    <row r="867" spans="51:60" x14ac:dyDescent="0.2">
      <c r="AY867" s="79"/>
      <c r="AZ867" s="85"/>
      <c r="BA867" s="40"/>
      <c r="BB867" s="99"/>
      <c r="BC867" s="85"/>
      <c r="BG867" s="79"/>
      <c r="BH867" s="99"/>
    </row>
    <row r="868" spans="51:60" x14ac:dyDescent="0.2">
      <c r="AY868" s="79"/>
      <c r="AZ868" s="85"/>
      <c r="BA868" s="40"/>
      <c r="BB868" s="99"/>
      <c r="BC868" s="85"/>
      <c r="BG868" s="79"/>
      <c r="BH868" s="99"/>
    </row>
    <row r="869" spans="51:60" x14ac:dyDescent="0.2">
      <c r="AY869" s="79"/>
      <c r="AZ869" s="85"/>
      <c r="BA869" s="40"/>
      <c r="BB869" s="99"/>
      <c r="BC869" s="85"/>
      <c r="BG869" s="79"/>
      <c r="BH869" s="99"/>
    </row>
    <row r="870" spans="51:60" x14ac:dyDescent="0.2">
      <c r="AY870" s="79"/>
      <c r="AZ870" s="85"/>
      <c r="BA870" s="40"/>
      <c r="BB870" s="99"/>
      <c r="BC870" s="85"/>
      <c r="BG870" s="79"/>
      <c r="BH870" s="99"/>
    </row>
    <row r="871" spans="51:60" x14ac:dyDescent="0.2">
      <c r="AY871" s="79"/>
      <c r="AZ871" s="85"/>
      <c r="BA871" s="40"/>
      <c r="BB871" s="99"/>
      <c r="BC871" s="85"/>
      <c r="BG871" s="79"/>
      <c r="BH871" s="99"/>
    </row>
    <row r="872" spans="51:60" x14ac:dyDescent="0.2">
      <c r="AY872" s="79"/>
      <c r="AZ872" s="85"/>
      <c r="BA872" s="40"/>
      <c r="BB872" s="99"/>
      <c r="BC872" s="85"/>
      <c r="BG872" s="79"/>
      <c r="BH872" s="99"/>
    </row>
    <row r="873" spans="51:60" x14ac:dyDescent="0.2">
      <c r="AY873" s="79"/>
      <c r="AZ873" s="85"/>
      <c r="BA873" s="40"/>
      <c r="BB873" s="99"/>
      <c r="BC873" s="85"/>
      <c r="BG873" s="79"/>
      <c r="BH873" s="99"/>
    </row>
    <row r="874" spans="51:60" x14ac:dyDescent="0.2">
      <c r="AY874" s="79"/>
      <c r="AZ874" s="85"/>
      <c r="BA874" s="40"/>
      <c r="BB874" s="99"/>
      <c r="BC874" s="85"/>
      <c r="BG874" s="79"/>
      <c r="BH874" s="99"/>
    </row>
    <row r="875" spans="51:60" x14ac:dyDescent="0.2">
      <c r="AY875" s="79"/>
      <c r="AZ875" s="85"/>
      <c r="BA875" s="40"/>
      <c r="BB875" s="99"/>
      <c r="BC875" s="85"/>
      <c r="BG875" s="79"/>
      <c r="BH875" s="99"/>
    </row>
    <row r="876" spans="51:60" x14ac:dyDescent="0.2">
      <c r="AY876" s="79"/>
      <c r="AZ876" s="85"/>
      <c r="BA876" s="40"/>
      <c r="BB876" s="99"/>
      <c r="BC876" s="85"/>
      <c r="BG876" s="79"/>
      <c r="BH876" s="99"/>
    </row>
    <row r="877" spans="51:60" x14ac:dyDescent="0.2">
      <c r="AY877" s="79"/>
      <c r="AZ877" s="85"/>
      <c r="BA877" s="40"/>
      <c r="BB877" s="99"/>
      <c r="BC877" s="85"/>
      <c r="BG877" s="79"/>
      <c r="BH877" s="99"/>
    </row>
    <row r="878" spans="51:60" x14ac:dyDescent="0.2">
      <c r="AY878" s="79"/>
      <c r="AZ878" s="85"/>
      <c r="BA878" s="40"/>
      <c r="BB878" s="99"/>
      <c r="BC878" s="85"/>
      <c r="BG878" s="79"/>
      <c r="BH878" s="99"/>
    </row>
    <row r="879" spans="51:60" x14ac:dyDescent="0.2">
      <c r="AY879" s="79"/>
      <c r="AZ879" s="85"/>
      <c r="BA879" s="40"/>
      <c r="BB879" s="99"/>
      <c r="BC879" s="85"/>
      <c r="BG879" s="79"/>
      <c r="BH879" s="99"/>
    </row>
    <row r="880" spans="51:60" x14ac:dyDescent="0.2">
      <c r="AY880" s="79"/>
      <c r="AZ880" s="85"/>
      <c r="BA880" s="40"/>
      <c r="BB880" s="99"/>
      <c r="BC880" s="85"/>
      <c r="BG880" s="79"/>
      <c r="BH880" s="99"/>
    </row>
    <row r="881" spans="51:60" x14ac:dyDescent="0.2">
      <c r="AY881" s="79"/>
      <c r="AZ881" s="85"/>
      <c r="BA881" s="40"/>
      <c r="BB881" s="99"/>
      <c r="BC881" s="85"/>
      <c r="BG881" s="79"/>
      <c r="BH881" s="99"/>
    </row>
    <row r="882" spans="51:60" x14ac:dyDescent="0.2">
      <c r="AY882" s="79"/>
      <c r="AZ882" s="85"/>
      <c r="BA882" s="40"/>
      <c r="BB882" s="99"/>
      <c r="BC882" s="85"/>
      <c r="BG882" s="79"/>
      <c r="BH882" s="99"/>
    </row>
    <row r="883" spans="51:60" x14ac:dyDescent="0.2">
      <c r="AY883" s="79"/>
      <c r="AZ883" s="85"/>
      <c r="BA883" s="40"/>
      <c r="BB883" s="99"/>
      <c r="BC883" s="85"/>
      <c r="BG883" s="79"/>
      <c r="BH883" s="99"/>
    </row>
    <row r="884" spans="51:60" x14ac:dyDescent="0.2">
      <c r="AY884" s="79"/>
      <c r="AZ884" s="85"/>
      <c r="BA884" s="40"/>
      <c r="BB884" s="99"/>
      <c r="BC884" s="85"/>
      <c r="BG884" s="79"/>
      <c r="BH884" s="99"/>
    </row>
    <row r="885" spans="51:60" x14ac:dyDescent="0.2">
      <c r="AY885" s="79"/>
      <c r="AZ885" s="85"/>
      <c r="BA885" s="40"/>
      <c r="BB885" s="99"/>
      <c r="BC885" s="85"/>
      <c r="BG885" s="79"/>
      <c r="BH885" s="99"/>
    </row>
    <row r="886" spans="51:60" x14ac:dyDescent="0.2">
      <c r="AY886" s="79"/>
      <c r="AZ886" s="85"/>
      <c r="BA886" s="40"/>
      <c r="BB886" s="99"/>
      <c r="BC886" s="85"/>
      <c r="BG886" s="79"/>
      <c r="BH886" s="99"/>
    </row>
    <row r="887" spans="51:60" x14ac:dyDescent="0.2">
      <c r="AY887" s="79"/>
      <c r="AZ887" s="85"/>
      <c r="BA887" s="40"/>
      <c r="BB887" s="99"/>
      <c r="BC887" s="85"/>
      <c r="BG887" s="79"/>
      <c r="BH887" s="99"/>
    </row>
    <row r="888" spans="51:60" x14ac:dyDescent="0.2">
      <c r="AY888" s="79"/>
      <c r="AZ888" s="85"/>
      <c r="BA888" s="40"/>
      <c r="BB888" s="99"/>
      <c r="BC888" s="85"/>
      <c r="BG888" s="79"/>
      <c r="BH888" s="99"/>
    </row>
    <row r="889" spans="51:60" x14ac:dyDescent="0.2">
      <c r="AY889" s="79"/>
      <c r="AZ889" s="85"/>
      <c r="BA889" s="40"/>
      <c r="BB889" s="99"/>
      <c r="BC889" s="85"/>
      <c r="BG889" s="79"/>
      <c r="BH889" s="99"/>
    </row>
    <row r="890" spans="51:60" x14ac:dyDescent="0.2">
      <c r="AY890" s="79"/>
      <c r="AZ890" s="85"/>
      <c r="BA890" s="40"/>
      <c r="BB890" s="99"/>
      <c r="BC890" s="85"/>
      <c r="BG890" s="79"/>
      <c r="BH890" s="99"/>
    </row>
    <row r="891" spans="51:60" x14ac:dyDescent="0.2">
      <c r="AY891" s="79"/>
      <c r="AZ891" s="85"/>
      <c r="BA891" s="40"/>
      <c r="BB891" s="99"/>
      <c r="BC891" s="85"/>
      <c r="BG891" s="79"/>
      <c r="BH891" s="99"/>
    </row>
    <row r="892" spans="51:60" x14ac:dyDescent="0.2">
      <c r="AY892" s="79"/>
      <c r="AZ892" s="85"/>
      <c r="BA892" s="40"/>
      <c r="BB892" s="99"/>
      <c r="BC892" s="85"/>
      <c r="BG892" s="79"/>
      <c r="BH892" s="99"/>
    </row>
    <row r="893" spans="51:60" x14ac:dyDescent="0.2">
      <c r="AY893" s="79"/>
      <c r="AZ893" s="85"/>
      <c r="BA893" s="40"/>
      <c r="BB893" s="99"/>
      <c r="BC893" s="85"/>
      <c r="BG893" s="79"/>
      <c r="BH893" s="99"/>
    </row>
    <row r="894" spans="51:60" x14ac:dyDescent="0.2">
      <c r="AY894" s="79"/>
      <c r="AZ894" s="85"/>
      <c r="BA894" s="40"/>
      <c r="BB894" s="99"/>
      <c r="BC894" s="85"/>
      <c r="BG894" s="79"/>
      <c r="BH894" s="99"/>
    </row>
    <row r="895" spans="51:60" x14ac:dyDescent="0.2">
      <c r="AY895" s="79"/>
      <c r="AZ895" s="85"/>
      <c r="BA895" s="40"/>
      <c r="BB895" s="99"/>
      <c r="BC895" s="85"/>
      <c r="BG895" s="79"/>
      <c r="BH895" s="99"/>
    </row>
    <row r="896" spans="51:60" x14ac:dyDescent="0.2">
      <c r="AY896" s="79"/>
      <c r="AZ896" s="85"/>
      <c r="BA896" s="40"/>
      <c r="BB896" s="99"/>
      <c r="BC896" s="85"/>
      <c r="BG896" s="79"/>
      <c r="BH896" s="99"/>
    </row>
    <row r="897" spans="51:60" x14ac:dyDescent="0.2">
      <c r="AY897" s="79"/>
      <c r="AZ897" s="85"/>
      <c r="BA897" s="40"/>
      <c r="BB897" s="99"/>
      <c r="BC897" s="85"/>
      <c r="BG897" s="79"/>
      <c r="BH897" s="99"/>
    </row>
    <row r="898" spans="51:60" x14ac:dyDescent="0.2">
      <c r="AY898" s="79"/>
      <c r="AZ898" s="85"/>
      <c r="BA898" s="40"/>
      <c r="BB898" s="99"/>
      <c r="BC898" s="85"/>
      <c r="BG898" s="79"/>
      <c r="BH898" s="99"/>
    </row>
    <row r="899" spans="51:60" x14ac:dyDescent="0.2">
      <c r="AY899" s="79"/>
      <c r="AZ899" s="85"/>
      <c r="BA899" s="40"/>
      <c r="BB899" s="99"/>
      <c r="BC899" s="85"/>
      <c r="BG899" s="79"/>
      <c r="BH899" s="99"/>
    </row>
    <row r="900" spans="51:60" x14ac:dyDescent="0.2">
      <c r="AY900" s="79"/>
      <c r="AZ900" s="85"/>
      <c r="BA900" s="40"/>
      <c r="BB900" s="99"/>
      <c r="BC900" s="85"/>
      <c r="BG900" s="79"/>
      <c r="BH900" s="99"/>
    </row>
    <row r="901" spans="51:60" x14ac:dyDescent="0.2">
      <c r="AY901" s="79"/>
      <c r="AZ901" s="85"/>
      <c r="BA901" s="40"/>
      <c r="BB901" s="99"/>
      <c r="BC901" s="85"/>
      <c r="BG901" s="79"/>
      <c r="BH901" s="99"/>
    </row>
    <row r="902" spans="51:60" x14ac:dyDescent="0.2">
      <c r="AY902" s="79"/>
      <c r="AZ902" s="85"/>
      <c r="BA902" s="40"/>
      <c r="BB902" s="99"/>
      <c r="BC902" s="85"/>
      <c r="BG902" s="79"/>
      <c r="BH902" s="99"/>
    </row>
    <row r="903" spans="51:60" x14ac:dyDescent="0.2">
      <c r="AY903" s="79"/>
      <c r="AZ903" s="85"/>
      <c r="BA903" s="40"/>
      <c r="BB903" s="99"/>
      <c r="BC903" s="85"/>
      <c r="BG903" s="79"/>
      <c r="BH903" s="99"/>
    </row>
    <row r="904" spans="51:60" x14ac:dyDescent="0.2">
      <c r="AY904" s="79"/>
      <c r="AZ904" s="85"/>
      <c r="BA904" s="40"/>
      <c r="BB904" s="99"/>
      <c r="BC904" s="85"/>
      <c r="BG904" s="79"/>
      <c r="BH904" s="99"/>
    </row>
    <row r="905" spans="51:60" x14ac:dyDescent="0.2">
      <c r="AY905" s="79"/>
      <c r="AZ905" s="85"/>
      <c r="BA905" s="40"/>
      <c r="BB905" s="99"/>
      <c r="BC905" s="85"/>
      <c r="BG905" s="79"/>
      <c r="BH905" s="99"/>
    </row>
    <row r="906" spans="51:60" x14ac:dyDescent="0.2">
      <c r="AY906" s="79"/>
      <c r="AZ906" s="85"/>
      <c r="BA906" s="40"/>
      <c r="BB906" s="99"/>
      <c r="BC906" s="85"/>
      <c r="BG906" s="79"/>
      <c r="BH906" s="99"/>
    </row>
    <row r="907" spans="51:60" x14ac:dyDescent="0.2">
      <c r="AY907" s="79"/>
      <c r="AZ907" s="85"/>
      <c r="BA907" s="40"/>
      <c r="BB907" s="99"/>
      <c r="BC907" s="85"/>
      <c r="BG907" s="79"/>
      <c r="BH907" s="99"/>
    </row>
    <row r="908" spans="51:60" x14ac:dyDescent="0.2">
      <c r="AY908" s="79"/>
      <c r="AZ908" s="85"/>
      <c r="BA908" s="40"/>
      <c r="BB908" s="99"/>
      <c r="BC908" s="85"/>
      <c r="BG908" s="79"/>
      <c r="BH908" s="99"/>
    </row>
    <row r="909" spans="51:60" x14ac:dyDescent="0.2">
      <c r="AY909" s="79"/>
      <c r="AZ909" s="85"/>
      <c r="BA909" s="40"/>
      <c r="BB909" s="99"/>
      <c r="BC909" s="85"/>
      <c r="BG909" s="79"/>
      <c r="BH909" s="99"/>
    </row>
    <row r="910" spans="51:60" x14ac:dyDescent="0.2">
      <c r="AY910" s="79"/>
      <c r="AZ910" s="85"/>
      <c r="BA910" s="40"/>
      <c r="BB910" s="99"/>
      <c r="BC910" s="85"/>
      <c r="BG910" s="79"/>
      <c r="BH910" s="99"/>
    </row>
    <row r="911" spans="51:60" x14ac:dyDescent="0.2">
      <c r="AY911" s="79"/>
      <c r="AZ911" s="85"/>
      <c r="BA911" s="40"/>
      <c r="BB911" s="99"/>
      <c r="BC911" s="85"/>
      <c r="BG911" s="79"/>
      <c r="BH911" s="99"/>
    </row>
    <row r="912" spans="51:60" x14ac:dyDescent="0.2">
      <c r="AY912" s="79"/>
      <c r="AZ912" s="85"/>
      <c r="BA912" s="40"/>
      <c r="BB912" s="99"/>
      <c r="BC912" s="85"/>
      <c r="BG912" s="79"/>
      <c r="BH912" s="99"/>
    </row>
    <row r="913" spans="51:60" x14ac:dyDescent="0.2">
      <c r="AY913" s="79"/>
      <c r="AZ913" s="85"/>
      <c r="BA913" s="40"/>
      <c r="BB913" s="99"/>
      <c r="BC913" s="85"/>
      <c r="BG913" s="79"/>
      <c r="BH913" s="99"/>
    </row>
    <row r="914" spans="51:60" x14ac:dyDescent="0.2">
      <c r="AY914" s="79"/>
      <c r="AZ914" s="85"/>
      <c r="BA914" s="40"/>
      <c r="BB914" s="99"/>
      <c r="BC914" s="85"/>
      <c r="BG914" s="79"/>
      <c r="BH914" s="99"/>
    </row>
    <row r="915" spans="51:60" x14ac:dyDescent="0.2">
      <c r="AY915" s="79"/>
      <c r="AZ915" s="85"/>
      <c r="BA915" s="40"/>
      <c r="BB915" s="99"/>
      <c r="BC915" s="85"/>
      <c r="BG915" s="79"/>
      <c r="BH915" s="99"/>
    </row>
    <row r="916" spans="51:60" x14ac:dyDescent="0.2">
      <c r="AY916" s="79"/>
      <c r="AZ916" s="85"/>
      <c r="BA916" s="40"/>
      <c r="BB916" s="99"/>
      <c r="BC916" s="85"/>
      <c r="BG916" s="79"/>
      <c r="BH916" s="99"/>
    </row>
    <row r="917" spans="51:60" x14ac:dyDescent="0.2">
      <c r="AY917" s="79"/>
      <c r="AZ917" s="85"/>
      <c r="BA917" s="40"/>
      <c r="BB917" s="99"/>
      <c r="BC917" s="85"/>
      <c r="BG917" s="79"/>
      <c r="BH917" s="99"/>
    </row>
    <row r="918" spans="51:60" x14ac:dyDescent="0.2">
      <c r="AY918" s="79"/>
      <c r="AZ918" s="85"/>
      <c r="BA918" s="40"/>
      <c r="BB918" s="99"/>
      <c r="BC918" s="85"/>
      <c r="BG918" s="79"/>
      <c r="BH918" s="99"/>
    </row>
    <row r="919" spans="51:60" x14ac:dyDescent="0.2">
      <c r="AY919" s="79"/>
      <c r="AZ919" s="85"/>
      <c r="BA919" s="40"/>
      <c r="BB919" s="99"/>
      <c r="BC919" s="85"/>
      <c r="BG919" s="79"/>
      <c r="BH919" s="99"/>
    </row>
    <row r="920" spans="51:60" x14ac:dyDescent="0.2">
      <c r="AY920" s="79"/>
      <c r="AZ920" s="85"/>
      <c r="BA920" s="40"/>
      <c r="BB920" s="99"/>
      <c r="BC920" s="85"/>
      <c r="BG920" s="79"/>
      <c r="BH920" s="99"/>
    </row>
    <row r="921" spans="51:60" x14ac:dyDescent="0.2">
      <c r="AY921" s="79"/>
      <c r="AZ921" s="85"/>
      <c r="BA921" s="40"/>
      <c r="BB921" s="99"/>
      <c r="BC921" s="85"/>
      <c r="BG921" s="79"/>
      <c r="BH921" s="99"/>
    </row>
    <row r="922" spans="51:60" x14ac:dyDescent="0.2">
      <c r="AY922" s="79"/>
      <c r="AZ922" s="85"/>
      <c r="BA922" s="40"/>
      <c r="BB922" s="99"/>
      <c r="BC922" s="85"/>
      <c r="BG922" s="79"/>
      <c r="BH922" s="99"/>
    </row>
    <row r="923" spans="51:60" x14ac:dyDescent="0.2">
      <c r="AY923" s="79"/>
      <c r="AZ923" s="85"/>
      <c r="BA923" s="40"/>
      <c r="BB923" s="99"/>
      <c r="BC923" s="85"/>
      <c r="BG923" s="79"/>
      <c r="BH923" s="99"/>
    </row>
    <row r="924" spans="51:60" x14ac:dyDescent="0.2">
      <c r="AY924" s="79"/>
      <c r="AZ924" s="85"/>
      <c r="BA924" s="40"/>
      <c r="BB924" s="99"/>
      <c r="BC924" s="85"/>
      <c r="BG924" s="79"/>
      <c r="BH924" s="99"/>
    </row>
    <row r="925" spans="51:60" x14ac:dyDescent="0.2">
      <c r="AY925" s="79"/>
      <c r="AZ925" s="85"/>
      <c r="BA925" s="40"/>
      <c r="BB925" s="99"/>
      <c r="BC925" s="85"/>
      <c r="BG925" s="79"/>
      <c r="BH925" s="99"/>
    </row>
    <row r="926" spans="51:60" x14ac:dyDescent="0.2">
      <c r="AY926" s="79"/>
      <c r="AZ926" s="85"/>
      <c r="BA926" s="40"/>
      <c r="BB926" s="99"/>
      <c r="BC926" s="85"/>
      <c r="BG926" s="79"/>
      <c r="BH926" s="99"/>
    </row>
    <row r="927" spans="51:60" x14ac:dyDescent="0.2">
      <c r="AY927" s="79"/>
      <c r="AZ927" s="85"/>
      <c r="BA927" s="40"/>
      <c r="BB927" s="99"/>
      <c r="BC927" s="85"/>
      <c r="BG927" s="79"/>
      <c r="BH927" s="99"/>
    </row>
    <row r="928" spans="51:60" x14ac:dyDescent="0.2">
      <c r="AY928" s="79"/>
      <c r="AZ928" s="85"/>
      <c r="BA928" s="40"/>
      <c r="BB928" s="99"/>
      <c r="BC928" s="85"/>
      <c r="BG928" s="79"/>
      <c r="BH928" s="99"/>
    </row>
    <row r="929" spans="51:60" x14ac:dyDescent="0.2">
      <c r="AY929" s="79"/>
      <c r="AZ929" s="85"/>
      <c r="BA929" s="40"/>
      <c r="BB929" s="99"/>
      <c r="BC929" s="85"/>
      <c r="BG929" s="79"/>
      <c r="BH929" s="99"/>
    </row>
    <row r="930" spans="51:60" x14ac:dyDescent="0.2">
      <c r="AY930" s="79"/>
      <c r="AZ930" s="85"/>
      <c r="BA930" s="40"/>
      <c r="BB930" s="99"/>
      <c r="BC930" s="85"/>
      <c r="BG930" s="79"/>
      <c r="BH930" s="99"/>
    </row>
    <row r="931" spans="51:60" x14ac:dyDescent="0.2">
      <c r="AY931" s="79"/>
      <c r="AZ931" s="85"/>
      <c r="BA931" s="40"/>
      <c r="BB931" s="99"/>
      <c r="BC931" s="85"/>
      <c r="BG931" s="79"/>
      <c r="BH931" s="99"/>
    </row>
    <row r="932" spans="51:60" x14ac:dyDescent="0.2">
      <c r="AY932" s="79"/>
      <c r="AZ932" s="85"/>
      <c r="BA932" s="40"/>
      <c r="BB932" s="99"/>
      <c r="BC932" s="85"/>
      <c r="BG932" s="79"/>
      <c r="BH932" s="99"/>
    </row>
    <row r="933" spans="51:60" x14ac:dyDescent="0.2">
      <c r="AY933" s="79"/>
      <c r="AZ933" s="85"/>
      <c r="BA933" s="40"/>
      <c r="BB933" s="99"/>
      <c r="BC933" s="85"/>
      <c r="BG933" s="79"/>
      <c r="BH933" s="99"/>
    </row>
    <row r="934" spans="51:60" x14ac:dyDescent="0.2">
      <c r="AY934" s="79"/>
      <c r="AZ934" s="85"/>
      <c r="BA934" s="40"/>
      <c r="BB934" s="99"/>
      <c r="BC934" s="85"/>
      <c r="BG934" s="79"/>
      <c r="BH934" s="99"/>
    </row>
    <row r="935" spans="51:60" x14ac:dyDescent="0.2">
      <c r="AY935" s="79"/>
      <c r="AZ935" s="85"/>
      <c r="BA935" s="40"/>
      <c r="BB935" s="99"/>
      <c r="BC935" s="85"/>
      <c r="BG935" s="79"/>
      <c r="BH935" s="99"/>
    </row>
    <row r="936" spans="51:60" x14ac:dyDescent="0.2">
      <c r="AY936" s="79"/>
      <c r="AZ936" s="85"/>
      <c r="BA936" s="40"/>
      <c r="BB936" s="99"/>
      <c r="BC936" s="85"/>
      <c r="BG936" s="79"/>
      <c r="BH936" s="99"/>
    </row>
    <row r="937" spans="51:60" x14ac:dyDescent="0.2">
      <c r="AY937" s="79"/>
      <c r="AZ937" s="85"/>
      <c r="BA937" s="40"/>
      <c r="BB937" s="99"/>
      <c r="BC937" s="85"/>
      <c r="BG937" s="79"/>
      <c r="BH937" s="99"/>
    </row>
    <row r="938" spans="51:60" x14ac:dyDescent="0.2">
      <c r="AY938" s="79"/>
      <c r="AZ938" s="85"/>
      <c r="BA938" s="40"/>
      <c r="BB938" s="99"/>
      <c r="BC938" s="85"/>
      <c r="BG938" s="79"/>
      <c r="BH938" s="99"/>
    </row>
    <row r="939" spans="51:60" x14ac:dyDescent="0.2">
      <c r="AY939" s="79"/>
      <c r="AZ939" s="85"/>
      <c r="BA939" s="40"/>
      <c r="BB939" s="99"/>
      <c r="BC939" s="85"/>
      <c r="BG939" s="79"/>
      <c r="BH939" s="99"/>
    </row>
    <row r="940" spans="51:60" x14ac:dyDescent="0.2">
      <c r="AY940" s="79"/>
      <c r="AZ940" s="85"/>
      <c r="BA940" s="40"/>
      <c r="BB940" s="99"/>
      <c r="BC940" s="85"/>
      <c r="BG940" s="79"/>
      <c r="BH940" s="99"/>
    </row>
    <row r="941" spans="51:60" x14ac:dyDescent="0.2">
      <c r="AY941" s="79"/>
      <c r="AZ941" s="85"/>
      <c r="BA941" s="40"/>
      <c r="BB941" s="99"/>
      <c r="BC941" s="85"/>
      <c r="BG941" s="79"/>
      <c r="BH941" s="99"/>
    </row>
    <row r="942" spans="51:60" x14ac:dyDescent="0.2">
      <c r="AY942" s="79"/>
      <c r="AZ942" s="85"/>
      <c r="BA942" s="40"/>
      <c r="BB942" s="99"/>
      <c r="BC942" s="85"/>
      <c r="BG942" s="79"/>
      <c r="BH942" s="99"/>
    </row>
    <row r="943" spans="51:60" x14ac:dyDescent="0.2">
      <c r="AY943" s="79"/>
      <c r="AZ943" s="85"/>
      <c r="BA943" s="40"/>
      <c r="BB943" s="99"/>
      <c r="BC943" s="85"/>
      <c r="BG943" s="79"/>
      <c r="BH943" s="99"/>
    </row>
    <row r="944" spans="51:60" x14ac:dyDescent="0.2">
      <c r="AY944" s="79"/>
      <c r="AZ944" s="85"/>
      <c r="BA944" s="40"/>
      <c r="BB944" s="99"/>
      <c r="BC944" s="85"/>
      <c r="BG944" s="79"/>
      <c r="BH944" s="99"/>
    </row>
    <row r="945" spans="51:60" x14ac:dyDescent="0.2">
      <c r="AY945" s="79"/>
      <c r="AZ945" s="85"/>
      <c r="BA945" s="40"/>
      <c r="BB945" s="99"/>
      <c r="BC945" s="85"/>
      <c r="BG945" s="79"/>
      <c r="BH945" s="99"/>
    </row>
    <row r="946" spans="51:60" x14ac:dyDescent="0.2">
      <c r="AY946" s="79"/>
      <c r="AZ946" s="85"/>
      <c r="BA946" s="40"/>
      <c r="BB946" s="99"/>
      <c r="BC946" s="85"/>
      <c r="BG946" s="79"/>
      <c r="BH946" s="99"/>
    </row>
    <row r="947" spans="51:60" x14ac:dyDescent="0.2">
      <c r="AY947" s="79"/>
      <c r="AZ947" s="85"/>
      <c r="BA947" s="40"/>
      <c r="BB947" s="99"/>
      <c r="BC947" s="85"/>
      <c r="BG947" s="79"/>
      <c r="BH947" s="99"/>
    </row>
    <row r="948" spans="51:60" x14ac:dyDescent="0.2">
      <c r="AY948" s="79"/>
      <c r="AZ948" s="85"/>
      <c r="BA948" s="40"/>
      <c r="BB948" s="99"/>
      <c r="BC948" s="85"/>
      <c r="BG948" s="79"/>
      <c r="BH948" s="99"/>
    </row>
    <row r="949" spans="51:60" x14ac:dyDescent="0.2">
      <c r="AY949" s="79"/>
      <c r="AZ949" s="85"/>
      <c r="BA949" s="40"/>
      <c r="BB949" s="99"/>
      <c r="BC949" s="85"/>
      <c r="BG949" s="79"/>
      <c r="BH949" s="99"/>
    </row>
    <row r="950" spans="51:60" x14ac:dyDescent="0.2">
      <c r="AY950" s="79"/>
      <c r="AZ950" s="85"/>
      <c r="BA950" s="40"/>
      <c r="BB950" s="99"/>
      <c r="BC950" s="85"/>
      <c r="BG950" s="79"/>
      <c r="BH950" s="99"/>
    </row>
    <row r="951" spans="51:60" x14ac:dyDescent="0.2">
      <c r="AY951" s="79"/>
      <c r="AZ951" s="85"/>
      <c r="BA951" s="40"/>
      <c r="BB951" s="99"/>
      <c r="BC951" s="85"/>
      <c r="BG951" s="79"/>
      <c r="BH951" s="99"/>
    </row>
    <row r="952" spans="51:60" x14ac:dyDescent="0.2">
      <c r="AY952" s="79"/>
      <c r="AZ952" s="85"/>
      <c r="BA952" s="40"/>
      <c r="BB952" s="99"/>
      <c r="BC952" s="85"/>
      <c r="BG952" s="79"/>
      <c r="BH952" s="99"/>
    </row>
    <row r="953" spans="51:60" x14ac:dyDescent="0.2">
      <c r="AY953" s="79"/>
      <c r="AZ953" s="85"/>
      <c r="BA953" s="40"/>
      <c r="BB953" s="99"/>
      <c r="BC953" s="85"/>
      <c r="BG953" s="79"/>
      <c r="BH953" s="99"/>
    </row>
    <row r="954" spans="51:60" x14ac:dyDescent="0.2">
      <c r="AY954" s="79"/>
      <c r="AZ954" s="85"/>
      <c r="BA954" s="40"/>
      <c r="BB954" s="99"/>
      <c r="BC954" s="85"/>
      <c r="BG954" s="79"/>
      <c r="BH954" s="99"/>
    </row>
    <row r="955" spans="51:60" x14ac:dyDescent="0.2">
      <c r="AY955" s="79"/>
      <c r="AZ955" s="85"/>
      <c r="BA955" s="40"/>
      <c r="BB955" s="99"/>
      <c r="BC955" s="85"/>
      <c r="BG955" s="79"/>
      <c r="BH955" s="99"/>
    </row>
    <row r="956" spans="51:60" x14ac:dyDescent="0.2">
      <c r="AY956" s="79"/>
      <c r="AZ956" s="85"/>
      <c r="BA956" s="40"/>
      <c r="BB956" s="99"/>
      <c r="BC956" s="85"/>
      <c r="BG956" s="79"/>
      <c r="BH956" s="99"/>
    </row>
    <row r="957" spans="51:60" x14ac:dyDescent="0.2">
      <c r="AY957" s="79"/>
      <c r="AZ957" s="85"/>
      <c r="BA957" s="40"/>
      <c r="BB957" s="99"/>
      <c r="BC957" s="85"/>
      <c r="BG957" s="79"/>
      <c r="BH957" s="99"/>
    </row>
    <row r="958" spans="51:60" x14ac:dyDescent="0.2">
      <c r="AY958" s="79"/>
      <c r="AZ958" s="85"/>
      <c r="BA958" s="40"/>
      <c r="BB958" s="99"/>
      <c r="BC958" s="85"/>
      <c r="BG958" s="79"/>
      <c r="BH958" s="99"/>
    </row>
    <row r="959" spans="51:60" x14ac:dyDescent="0.2">
      <c r="AY959" s="79"/>
      <c r="AZ959" s="85"/>
      <c r="BA959" s="40"/>
      <c r="BB959" s="99"/>
      <c r="BC959" s="85"/>
      <c r="BG959" s="79"/>
      <c r="BH959" s="99"/>
    </row>
    <row r="960" spans="51:60" x14ac:dyDescent="0.2">
      <c r="AY960" s="79"/>
      <c r="AZ960" s="85"/>
      <c r="BA960" s="40"/>
      <c r="BB960" s="99"/>
      <c r="BC960" s="85"/>
      <c r="BG960" s="79"/>
      <c r="BH960" s="99"/>
    </row>
    <row r="961" spans="51:60" x14ac:dyDescent="0.2">
      <c r="AY961" s="79"/>
      <c r="AZ961" s="85"/>
      <c r="BA961" s="40"/>
      <c r="BB961" s="99"/>
      <c r="BC961" s="85"/>
      <c r="BG961" s="79"/>
      <c r="BH961" s="99"/>
    </row>
    <row r="962" spans="51:60" x14ac:dyDescent="0.2">
      <c r="AY962" s="79"/>
      <c r="AZ962" s="85"/>
      <c r="BA962" s="40"/>
      <c r="BB962" s="99"/>
      <c r="BC962" s="85"/>
      <c r="BG962" s="79"/>
      <c r="BH962" s="99"/>
    </row>
    <row r="963" spans="51:60" x14ac:dyDescent="0.2">
      <c r="AY963" s="79"/>
      <c r="AZ963" s="85"/>
      <c r="BA963" s="40"/>
      <c r="BB963" s="99"/>
      <c r="BC963" s="85"/>
      <c r="BG963" s="79"/>
      <c r="BH963" s="99"/>
    </row>
    <row r="964" spans="51:60" x14ac:dyDescent="0.2">
      <c r="AY964" s="79"/>
      <c r="AZ964" s="85"/>
      <c r="BA964" s="40"/>
      <c r="BB964" s="99"/>
      <c r="BC964" s="85"/>
      <c r="BG964" s="79"/>
      <c r="BH964" s="99"/>
    </row>
    <row r="965" spans="51:60" x14ac:dyDescent="0.2">
      <c r="AY965" s="79"/>
      <c r="AZ965" s="85"/>
      <c r="BA965" s="40"/>
      <c r="BB965" s="99"/>
      <c r="BC965" s="85"/>
      <c r="BG965" s="79"/>
      <c r="BH965" s="99"/>
    </row>
    <row r="966" spans="51:60" x14ac:dyDescent="0.2">
      <c r="AY966" s="79"/>
      <c r="AZ966" s="85"/>
      <c r="BA966" s="40"/>
      <c r="BB966" s="99"/>
      <c r="BC966" s="85"/>
      <c r="BG966" s="79"/>
      <c r="BH966" s="99"/>
    </row>
    <row r="967" spans="51:60" x14ac:dyDescent="0.2">
      <c r="AY967" s="79"/>
      <c r="AZ967" s="85"/>
      <c r="BA967" s="40"/>
      <c r="BB967" s="99"/>
      <c r="BC967" s="85"/>
      <c r="BG967" s="79"/>
      <c r="BH967" s="99"/>
    </row>
    <row r="968" spans="51:60" x14ac:dyDescent="0.2">
      <c r="AY968" s="79"/>
      <c r="AZ968" s="85"/>
      <c r="BA968" s="40"/>
      <c r="BB968" s="99"/>
      <c r="BC968" s="85"/>
      <c r="BG968" s="79"/>
      <c r="BH968" s="99"/>
    </row>
    <row r="969" spans="51:60" x14ac:dyDescent="0.2">
      <c r="AY969" s="79"/>
      <c r="AZ969" s="85"/>
      <c r="BA969" s="40"/>
      <c r="BB969" s="99"/>
      <c r="BC969" s="85"/>
      <c r="BG969" s="79"/>
      <c r="BH969" s="99"/>
    </row>
    <row r="970" spans="51:60" x14ac:dyDescent="0.2">
      <c r="AY970" s="79"/>
      <c r="AZ970" s="85"/>
      <c r="BA970" s="40"/>
      <c r="BB970" s="99"/>
      <c r="BC970" s="85"/>
      <c r="BG970" s="79"/>
      <c r="BH970" s="99"/>
    </row>
    <row r="971" spans="51:60" x14ac:dyDescent="0.2">
      <c r="AY971" s="79"/>
      <c r="AZ971" s="85"/>
      <c r="BA971" s="40"/>
      <c r="BB971" s="99"/>
      <c r="BC971" s="85"/>
      <c r="BG971" s="79"/>
      <c r="BH971" s="99"/>
    </row>
    <row r="972" spans="51:60" x14ac:dyDescent="0.2">
      <c r="AY972" s="79"/>
      <c r="AZ972" s="85"/>
      <c r="BA972" s="40"/>
      <c r="BB972" s="99"/>
      <c r="BC972" s="85"/>
      <c r="BG972" s="79"/>
      <c r="BH972" s="99"/>
    </row>
    <row r="973" spans="51:60" x14ac:dyDescent="0.2">
      <c r="AY973" s="79"/>
      <c r="AZ973" s="85"/>
      <c r="BA973" s="40"/>
      <c r="BB973" s="99"/>
      <c r="BC973" s="85"/>
      <c r="BG973" s="79"/>
      <c r="BH973" s="99"/>
    </row>
    <row r="974" spans="51:60" x14ac:dyDescent="0.2">
      <c r="AY974" s="79"/>
      <c r="AZ974" s="85"/>
      <c r="BA974" s="40"/>
      <c r="BB974" s="99"/>
      <c r="BC974" s="85"/>
      <c r="BG974" s="79"/>
      <c r="BH974" s="99"/>
    </row>
    <row r="975" spans="51:60" x14ac:dyDescent="0.2">
      <c r="AY975" s="79"/>
      <c r="AZ975" s="85"/>
      <c r="BA975" s="40"/>
      <c r="BB975" s="99"/>
      <c r="BC975" s="85"/>
      <c r="BG975" s="79"/>
      <c r="BH975" s="99"/>
    </row>
    <row r="976" spans="51:60" x14ac:dyDescent="0.2">
      <c r="AY976" s="79"/>
      <c r="AZ976" s="85"/>
      <c r="BA976" s="40"/>
      <c r="BB976" s="99"/>
      <c r="BC976" s="85"/>
      <c r="BG976" s="79"/>
      <c r="BH976" s="99"/>
    </row>
    <row r="977" spans="51:60" x14ac:dyDescent="0.2">
      <c r="AY977" s="79"/>
      <c r="AZ977" s="85"/>
      <c r="BA977" s="40"/>
      <c r="BB977" s="99"/>
      <c r="BC977" s="85"/>
      <c r="BG977" s="79"/>
      <c r="BH977" s="99"/>
    </row>
    <row r="978" spans="51:60" x14ac:dyDescent="0.2">
      <c r="AY978" s="79"/>
      <c r="AZ978" s="85"/>
      <c r="BA978" s="40"/>
      <c r="BB978" s="99"/>
      <c r="BC978" s="85"/>
      <c r="BG978" s="79"/>
      <c r="BH978" s="99"/>
    </row>
    <row r="979" spans="51:60" x14ac:dyDescent="0.2">
      <c r="AY979" s="79"/>
      <c r="AZ979" s="85"/>
      <c r="BA979" s="40"/>
      <c r="BB979" s="99"/>
      <c r="BC979" s="85"/>
      <c r="BG979" s="79"/>
      <c r="BH979" s="99"/>
    </row>
    <row r="980" spans="51:60" x14ac:dyDescent="0.2">
      <c r="AY980" s="79"/>
      <c r="AZ980" s="85"/>
      <c r="BA980" s="40"/>
      <c r="BB980" s="99"/>
      <c r="BC980" s="85"/>
      <c r="BG980" s="79"/>
      <c r="BH980" s="99"/>
    </row>
    <row r="981" spans="51:60" x14ac:dyDescent="0.2">
      <c r="AY981" s="79"/>
      <c r="AZ981" s="85"/>
      <c r="BA981" s="40"/>
      <c r="BB981" s="99"/>
      <c r="BC981" s="85"/>
      <c r="BG981" s="79"/>
      <c r="BH981" s="99"/>
    </row>
    <row r="982" spans="51:60" x14ac:dyDescent="0.2">
      <c r="AY982" s="79"/>
      <c r="AZ982" s="85"/>
      <c r="BA982" s="40"/>
      <c r="BB982" s="99"/>
      <c r="BC982" s="85"/>
      <c r="BG982" s="79"/>
      <c r="BH982" s="99"/>
    </row>
    <row r="983" spans="51:60" x14ac:dyDescent="0.2">
      <c r="AY983" s="79"/>
      <c r="AZ983" s="85"/>
      <c r="BA983" s="40"/>
      <c r="BB983" s="99"/>
      <c r="BC983" s="85"/>
      <c r="BG983" s="79"/>
      <c r="BH983" s="99"/>
    </row>
    <row r="984" spans="51:60" x14ac:dyDescent="0.2">
      <c r="AY984" s="79"/>
      <c r="AZ984" s="85"/>
      <c r="BA984" s="40"/>
      <c r="BB984" s="99"/>
      <c r="BC984" s="85"/>
      <c r="BG984" s="79"/>
      <c r="BH984" s="99"/>
    </row>
    <row r="985" spans="51:60" x14ac:dyDescent="0.2">
      <c r="AY985" s="79"/>
      <c r="AZ985" s="85"/>
      <c r="BA985" s="40"/>
      <c r="BB985" s="99"/>
      <c r="BC985" s="85"/>
      <c r="BG985" s="79"/>
      <c r="BH985" s="99"/>
    </row>
    <row r="986" spans="51:60" x14ac:dyDescent="0.2">
      <c r="AY986" s="79"/>
      <c r="AZ986" s="85"/>
      <c r="BA986" s="40"/>
      <c r="BB986" s="99"/>
      <c r="BC986" s="85"/>
      <c r="BG986" s="79"/>
      <c r="BH986" s="99"/>
    </row>
    <row r="987" spans="51:60" x14ac:dyDescent="0.2">
      <c r="AY987" s="79"/>
      <c r="AZ987" s="85"/>
      <c r="BA987" s="40"/>
      <c r="BB987" s="99"/>
      <c r="BC987" s="85"/>
      <c r="BG987" s="79"/>
      <c r="BH987" s="99"/>
    </row>
    <row r="988" spans="51:60" x14ac:dyDescent="0.2">
      <c r="AY988" s="79"/>
      <c r="AZ988" s="85"/>
      <c r="BA988" s="40"/>
      <c r="BB988" s="99"/>
      <c r="BC988" s="85"/>
      <c r="BG988" s="79"/>
      <c r="BH988" s="99"/>
    </row>
    <row r="989" spans="51:60" x14ac:dyDescent="0.2">
      <c r="AY989" s="79"/>
      <c r="AZ989" s="85"/>
      <c r="BA989" s="40"/>
      <c r="BB989" s="99"/>
      <c r="BC989" s="85"/>
      <c r="BG989" s="79"/>
      <c r="BH989" s="99"/>
    </row>
    <row r="990" spans="51:60" x14ac:dyDescent="0.2">
      <c r="AY990" s="79"/>
      <c r="AZ990" s="85"/>
      <c r="BA990" s="40"/>
      <c r="BB990" s="99"/>
      <c r="BC990" s="85"/>
      <c r="BG990" s="79"/>
      <c r="BH990" s="99"/>
    </row>
    <row r="991" spans="51:60" x14ac:dyDescent="0.2">
      <c r="AY991" s="79"/>
      <c r="AZ991" s="85"/>
      <c r="BA991" s="40"/>
      <c r="BB991" s="99"/>
      <c r="BC991" s="85"/>
      <c r="BG991" s="79"/>
      <c r="BH991" s="99"/>
    </row>
    <row r="992" spans="51:60" x14ac:dyDescent="0.2">
      <c r="AY992" s="79"/>
      <c r="AZ992" s="85"/>
      <c r="BA992" s="40"/>
      <c r="BB992" s="99"/>
      <c r="BC992" s="85"/>
      <c r="BG992" s="79"/>
      <c r="BH992" s="99"/>
    </row>
    <row r="993" spans="51:60" x14ac:dyDescent="0.2">
      <c r="AY993" s="79"/>
      <c r="AZ993" s="85"/>
      <c r="BA993" s="40"/>
      <c r="BB993" s="99"/>
      <c r="BC993" s="85"/>
      <c r="BG993" s="79"/>
      <c r="BH993" s="99"/>
    </row>
    <row r="994" spans="51:60" x14ac:dyDescent="0.2">
      <c r="AY994" s="79"/>
      <c r="AZ994" s="85"/>
      <c r="BA994" s="40"/>
      <c r="BB994" s="99"/>
      <c r="BC994" s="85"/>
      <c r="BG994" s="79"/>
      <c r="BH994" s="99"/>
    </row>
    <row r="995" spans="51:60" x14ac:dyDescent="0.2">
      <c r="AY995" s="79"/>
      <c r="AZ995" s="85"/>
      <c r="BA995" s="40"/>
      <c r="BB995" s="99"/>
      <c r="BC995" s="85"/>
      <c r="BG995" s="79"/>
      <c r="BH995" s="99"/>
    </row>
    <row r="996" spans="51:60" x14ac:dyDescent="0.2">
      <c r="AY996" s="79"/>
      <c r="AZ996" s="85"/>
      <c r="BA996" s="40"/>
      <c r="BB996" s="99"/>
      <c r="BC996" s="85"/>
      <c r="BG996" s="79"/>
      <c r="BH996" s="99"/>
    </row>
    <row r="997" spans="51:60" x14ac:dyDescent="0.2">
      <c r="AY997" s="79"/>
      <c r="AZ997" s="85"/>
      <c r="BA997" s="40"/>
      <c r="BB997" s="99"/>
      <c r="BC997" s="85"/>
      <c r="BG997" s="79"/>
      <c r="BH997" s="99"/>
    </row>
    <row r="998" spans="51:60" x14ac:dyDescent="0.2">
      <c r="AY998" s="79"/>
      <c r="AZ998" s="85"/>
      <c r="BA998" s="40"/>
      <c r="BB998" s="99"/>
      <c r="BC998" s="85"/>
      <c r="BG998" s="79"/>
      <c r="BH998" s="99"/>
    </row>
    <row r="999" spans="51:60" x14ac:dyDescent="0.2">
      <c r="AY999" s="79"/>
      <c r="AZ999" s="85"/>
      <c r="BA999" s="40"/>
      <c r="BB999" s="99"/>
      <c r="BC999" s="85"/>
      <c r="BG999" s="79"/>
      <c r="BH999" s="99"/>
    </row>
    <row r="1000" spans="51:60" x14ac:dyDescent="0.2">
      <c r="AY1000" s="79"/>
      <c r="AZ1000" s="85"/>
      <c r="BA1000" s="40"/>
      <c r="BB1000" s="99"/>
      <c r="BC1000" s="85"/>
      <c r="BG1000" s="79"/>
      <c r="BH1000" s="99"/>
    </row>
    <row r="1001" spans="51:60" x14ac:dyDescent="0.2">
      <c r="AY1001" s="79"/>
      <c r="AZ1001" s="85"/>
      <c r="BA1001" s="40"/>
      <c r="BB1001" s="99"/>
      <c r="BC1001" s="85"/>
      <c r="BG1001" s="79"/>
      <c r="BH1001" s="99"/>
    </row>
    <row r="1002" spans="51:60" x14ac:dyDescent="0.2">
      <c r="AY1002" s="79"/>
      <c r="AZ1002" s="85"/>
      <c r="BA1002" s="40"/>
      <c r="BB1002" s="99"/>
      <c r="BC1002" s="85"/>
      <c r="BG1002" s="79"/>
      <c r="BH1002" s="99"/>
    </row>
    <row r="1003" spans="51:60" x14ac:dyDescent="0.2">
      <c r="AY1003" s="79"/>
      <c r="AZ1003" s="85"/>
      <c r="BA1003" s="40"/>
      <c r="BB1003" s="99"/>
      <c r="BC1003" s="85"/>
      <c r="BG1003" s="79"/>
      <c r="BH1003" s="99"/>
    </row>
    <row r="1004" spans="51:60" x14ac:dyDescent="0.2">
      <c r="AY1004" s="79"/>
      <c r="AZ1004" s="85"/>
      <c r="BA1004" s="40"/>
      <c r="BB1004" s="99"/>
      <c r="BC1004" s="85"/>
      <c r="BG1004" s="79"/>
      <c r="BH1004" s="99"/>
    </row>
    <row r="1005" spans="51:60" x14ac:dyDescent="0.2">
      <c r="AY1005" s="79"/>
      <c r="AZ1005" s="85"/>
      <c r="BA1005" s="40"/>
      <c r="BB1005" s="99"/>
      <c r="BC1005" s="85"/>
      <c r="BG1005" s="79"/>
      <c r="BH1005" s="99"/>
    </row>
    <row r="1006" spans="51:60" x14ac:dyDescent="0.2">
      <c r="AY1006" s="79"/>
      <c r="AZ1006" s="85"/>
      <c r="BA1006" s="40"/>
      <c r="BB1006" s="99"/>
      <c r="BC1006" s="85"/>
      <c r="BG1006" s="79"/>
      <c r="BH1006" s="99"/>
    </row>
    <row r="1007" spans="51:60" x14ac:dyDescent="0.2">
      <c r="AY1007" s="79"/>
      <c r="AZ1007" s="85"/>
      <c r="BA1007" s="40"/>
      <c r="BB1007" s="99"/>
      <c r="BC1007" s="85"/>
      <c r="BG1007" s="79"/>
      <c r="BH1007" s="99"/>
    </row>
    <row r="1008" spans="51:60" x14ac:dyDescent="0.2">
      <c r="AY1008" s="79"/>
      <c r="AZ1008" s="85"/>
      <c r="BA1008" s="40"/>
      <c r="BB1008" s="99"/>
      <c r="BC1008" s="85"/>
      <c r="BG1008" s="79"/>
      <c r="BH1008" s="99"/>
    </row>
    <row r="1009" spans="51:60" x14ac:dyDescent="0.2">
      <c r="AY1009" s="79"/>
      <c r="AZ1009" s="85"/>
      <c r="BA1009" s="40"/>
      <c r="BB1009" s="99"/>
      <c r="BC1009" s="85"/>
      <c r="BG1009" s="79"/>
      <c r="BH1009" s="99"/>
    </row>
    <row r="1010" spans="51:60" x14ac:dyDescent="0.2">
      <c r="AY1010" s="79"/>
      <c r="AZ1010" s="85"/>
      <c r="BA1010" s="40"/>
      <c r="BB1010" s="99"/>
      <c r="BC1010" s="85"/>
      <c r="BG1010" s="79"/>
      <c r="BH1010" s="99"/>
    </row>
    <row r="1011" spans="51:60" x14ac:dyDescent="0.2">
      <c r="AY1011" s="79"/>
      <c r="AZ1011" s="85"/>
      <c r="BA1011" s="40"/>
      <c r="BB1011" s="99"/>
      <c r="BC1011" s="85"/>
      <c r="BG1011" s="79"/>
      <c r="BH1011" s="99"/>
    </row>
    <row r="1012" spans="51:60" x14ac:dyDescent="0.2">
      <c r="AY1012" s="79"/>
      <c r="AZ1012" s="85"/>
      <c r="BA1012" s="40"/>
      <c r="BB1012" s="99"/>
      <c r="BC1012" s="85"/>
      <c r="BG1012" s="79"/>
      <c r="BH1012" s="99"/>
    </row>
    <row r="1013" spans="51:60" x14ac:dyDescent="0.2">
      <c r="AY1013" s="79"/>
      <c r="AZ1013" s="85"/>
      <c r="BA1013" s="40"/>
      <c r="BB1013" s="99"/>
      <c r="BC1013" s="85"/>
      <c r="BG1013" s="79"/>
      <c r="BH1013" s="99"/>
    </row>
    <row r="1014" spans="51:60" x14ac:dyDescent="0.2">
      <c r="AY1014" s="79"/>
      <c r="AZ1014" s="85"/>
      <c r="BA1014" s="40"/>
      <c r="BB1014" s="99"/>
      <c r="BC1014" s="85"/>
      <c r="BG1014" s="79"/>
      <c r="BH1014" s="99"/>
    </row>
    <row r="1015" spans="51:60" x14ac:dyDescent="0.2">
      <c r="AY1015" s="79"/>
      <c r="AZ1015" s="85"/>
      <c r="BA1015" s="40"/>
      <c r="BB1015" s="99"/>
      <c r="BC1015" s="85"/>
      <c r="BG1015" s="79"/>
      <c r="BH1015" s="99"/>
    </row>
    <row r="1016" spans="51:60" x14ac:dyDescent="0.2">
      <c r="AY1016" s="79"/>
      <c r="AZ1016" s="85"/>
      <c r="BA1016" s="40"/>
      <c r="BB1016" s="99"/>
      <c r="BC1016" s="85"/>
      <c r="BG1016" s="79"/>
      <c r="BH1016" s="99"/>
    </row>
    <row r="1017" spans="51:60" x14ac:dyDescent="0.2">
      <c r="AY1017" s="79"/>
      <c r="AZ1017" s="85"/>
      <c r="BA1017" s="40"/>
      <c r="BB1017" s="99"/>
      <c r="BC1017" s="85"/>
      <c r="BG1017" s="79"/>
      <c r="BH1017" s="99"/>
    </row>
    <row r="1018" spans="51:60" x14ac:dyDescent="0.2">
      <c r="AY1018" s="79"/>
      <c r="AZ1018" s="85"/>
      <c r="BA1018" s="40"/>
      <c r="BB1018" s="99"/>
      <c r="BC1018" s="85"/>
      <c r="BG1018" s="79"/>
      <c r="BH1018" s="99"/>
    </row>
    <row r="1019" spans="51:60" x14ac:dyDescent="0.2">
      <c r="AY1019" s="79"/>
      <c r="AZ1019" s="85"/>
      <c r="BA1019" s="40"/>
      <c r="BB1019" s="99"/>
      <c r="BC1019" s="85"/>
      <c r="BG1019" s="79"/>
      <c r="BH1019" s="99"/>
    </row>
    <row r="1020" spans="51:60" x14ac:dyDescent="0.2">
      <c r="AY1020" s="79"/>
      <c r="AZ1020" s="85"/>
      <c r="BA1020" s="40"/>
      <c r="BB1020" s="99"/>
      <c r="BC1020" s="85"/>
      <c r="BG1020" s="79"/>
      <c r="BH1020" s="99"/>
    </row>
    <row r="1021" spans="51:60" x14ac:dyDescent="0.2">
      <c r="AY1021" s="79"/>
      <c r="AZ1021" s="85"/>
      <c r="BA1021" s="40"/>
      <c r="BB1021" s="99"/>
      <c r="BC1021" s="85"/>
      <c r="BG1021" s="79"/>
      <c r="BH1021" s="99"/>
    </row>
    <row r="1022" spans="51:60" x14ac:dyDescent="0.2">
      <c r="AY1022" s="79"/>
      <c r="AZ1022" s="85"/>
      <c r="BA1022" s="40"/>
      <c r="BB1022" s="99"/>
      <c r="BC1022" s="85"/>
      <c r="BG1022" s="79"/>
      <c r="BH1022" s="99"/>
    </row>
    <row r="1023" spans="51:60" x14ac:dyDescent="0.2">
      <c r="AY1023" s="79"/>
      <c r="AZ1023" s="85"/>
      <c r="BA1023" s="40"/>
      <c r="BB1023" s="99"/>
      <c r="BC1023" s="85"/>
      <c r="BG1023" s="79"/>
      <c r="BH1023" s="99"/>
    </row>
    <row r="1024" spans="51:60" x14ac:dyDescent="0.2">
      <c r="AY1024" s="79"/>
      <c r="AZ1024" s="85"/>
      <c r="BA1024" s="40"/>
      <c r="BB1024" s="99"/>
      <c r="BC1024" s="85"/>
      <c r="BG1024" s="79"/>
      <c r="BH1024" s="99"/>
    </row>
    <row r="1025" spans="51:60" x14ac:dyDescent="0.2">
      <c r="AY1025" s="79"/>
      <c r="AZ1025" s="85"/>
      <c r="BA1025" s="40"/>
      <c r="BB1025" s="99"/>
      <c r="BC1025" s="85"/>
      <c r="BG1025" s="79"/>
      <c r="BH1025" s="99"/>
    </row>
    <row r="1026" spans="51:60" x14ac:dyDescent="0.2">
      <c r="AY1026" s="79"/>
      <c r="AZ1026" s="85"/>
      <c r="BA1026" s="40"/>
      <c r="BB1026" s="99"/>
      <c r="BC1026" s="85"/>
      <c r="BG1026" s="79"/>
      <c r="BH1026" s="99"/>
    </row>
    <row r="1027" spans="51:60" x14ac:dyDescent="0.2">
      <c r="AY1027" s="79"/>
      <c r="AZ1027" s="85"/>
      <c r="BA1027" s="40"/>
      <c r="BB1027" s="99"/>
      <c r="BC1027" s="85"/>
      <c r="BG1027" s="79"/>
      <c r="BH1027" s="99"/>
    </row>
    <row r="1028" spans="51:60" x14ac:dyDescent="0.2">
      <c r="AY1028" s="79"/>
      <c r="AZ1028" s="85"/>
      <c r="BA1028" s="40"/>
      <c r="BB1028" s="99"/>
      <c r="BC1028" s="85"/>
      <c r="BG1028" s="79"/>
      <c r="BH1028" s="99"/>
    </row>
    <row r="1029" spans="51:60" x14ac:dyDescent="0.2">
      <c r="AY1029" s="79"/>
      <c r="AZ1029" s="85"/>
      <c r="BA1029" s="40"/>
      <c r="BB1029" s="99"/>
      <c r="BC1029" s="85"/>
      <c r="BG1029" s="79"/>
      <c r="BH1029" s="99"/>
    </row>
    <row r="1030" spans="51:60" x14ac:dyDescent="0.2">
      <c r="AY1030" s="79"/>
      <c r="AZ1030" s="85"/>
      <c r="BA1030" s="40"/>
      <c r="BB1030" s="99"/>
      <c r="BC1030" s="85"/>
      <c r="BG1030" s="79"/>
      <c r="BH1030" s="99"/>
    </row>
    <row r="1031" spans="51:60" x14ac:dyDescent="0.2">
      <c r="AY1031" s="79"/>
      <c r="AZ1031" s="85"/>
      <c r="BA1031" s="40"/>
      <c r="BB1031" s="99"/>
      <c r="BC1031" s="85"/>
      <c r="BG1031" s="79"/>
      <c r="BH1031" s="99"/>
    </row>
    <row r="1032" spans="51:60" x14ac:dyDescent="0.2">
      <c r="AY1032" s="79"/>
      <c r="AZ1032" s="85"/>
      <c r="BA1032" s="40"/>
      <c r="BB1032" s="99"/>
      <c r="BC1032" s="85"/>
      <c r="BG1032" s="79"/>
      <c r="BH1032" s="99"/>
    </row>
    <row r="1033" spans="51:60" x14ac:dyDescent="0.2">
      <c r="AY1033" s="79"/>
      <c r="AZ1033" s="85"/>
      <c r="BA1033" s="40"/>
      <c r="BB1033" s="99"/>
      <c r="BC1033" s="85"/>
      <c r="BG1033" s="79"/>
      <c r="BH1033" s="99"/>
    </row>
    <row r="1034" spans="51:60" x14ac:dyDescent="0.2">
      <c r="AY1034" s="79"/>
      <c r="AZ1034" s="85"/>
      <c r="BA1034" s="40"/>
      <c r="BB1034" s="99"/>
      <c r="BC1034" s="85"/>
      <c r="BG1034" s="79"/>
      <c r="BH1034" s="99"/>
    </row>
    <row r="1035" spans="51:60" x14ac:dyDescent="0.2">
      <c r="AY1035" s="79"/>
      <c r="AZ1035" s="85"/>
      <c r="BA1035" s="40"/>
      <c r="BB1035" s="99"/>
      <c r="BC1035" s="85"/>
      <c r="BG1035" s="79"/>
      <c r="BH1035" s="99"/>
    </row>
    <row r="1036" spans="51:60" x14ac:dyDescent="0.2">
      <c r="AY1036" s="79"/>
      <c r="AZ1036" s="85"/>
      <c r="BA1036" s="40"/>
      <c r="BB1036" s="99"/>
      <c r="BC1036" s="85"/>
      <c r="BG1036" s="79"/>
      <c r="BH1036" s="99"/>
    </row>
    <row r="1037" spans="51:60" x14ac:dyDescent="0.2">
      <c r="AY1037" s="79"/>
      <c r="AZ1037" s="85"/>
      <c r="BA1037" s="40"/>
      <c r="BB1037" s="99"/>
      <c r="BC1037" s="85"/>
      <c r="BG1037" s="79"/>
      <c r="BH1037" s="99"/>
    </row>
    <row r="1038" spans="51:60" x14ac:dyDescent="0.2">
      <c r="AY1038" s="79"/>
      <c r="AZ1038" s="85"/>
      <c r="BA1038" s="40"/>
      <c r="BB1038" s="99"/>
      <c r="BC1038" s="85"/>
      <c r="BG1038" s="79"/>
      <c r="BH1038" s="99"/>
    </row>
    <row r="1039" spans="51:60" x14ac:dyDescent="0.2">
      <c r="AY1039" s="79"/>
      <c r="AZ1039" s="85"/>
      <c r="BA1039" s="40"/>
      <c r="BB1039" s="99"/>
      <c r="BC1039" s="85"/>
      <c r="BG1039" s="79"/>
      <c r="BH1039" s="99"/>
    </row>
    <row r="1040" spans="51:60" x14ac:dyDescent="0.2">
      <c r="AY1040" s="79"/>
      <c r="AZ1040" s="85"/>
      <c r="BA1040" s="40"/>
      <c r="BB1040" s="99"/>
      <c r="BC1040" s="85"/>
      <c r="BG1040" s="79"/>
      <c r="BH1040" s="99"/>
    </row>
    <row r="1041" spans="51:60" x14ac:dyDescent="0.2">
      <c r="AY1041" s="79"/>
      <c r="AZ1041" s="85"/>
      <c r="BA1041" s="40"/>
      <c r="BB1041" s="99"/>
      <c r="BC1041" s="85"/>
      <c r="BG1041" s="79"/>
      <c r="BH1041" s="99"/>
    </row>
    <row r="1042" spans="51:60" x14ac:dyDescent="0.2">
      <c r="AY1042" s="79"/>
      <c r="AZ1042" s="85"/>
      <c r="BA1042" s="40"/>
      <c r="BB1042" s="99"/>
      <c r="BC1042" s="85"/>
      <c r="BG1042" s="79"/>
      <c r="BH1042" s="99"/>
    </row>
    <row r="1043" spans="51:60" x14ac:dyDescent="0.2">
      <c r="AY1043" s="79"/>
      <c r="AZ1043" s="85"/>
      <c r="BA1043" s="40"/>
      <c r="BB1043" s="99"/>
      <c r="BC1043" s="85"/>
      <c r="BG1043" s="79"/>
      <c r="BH1043" s="99"/>
    </row>
    <row r="1044" spans="51:60" x14ac:dyDescent="0.2">
      <c r="AY1044" s="79"/>
      <c r="AZ1044" s="85"/>
      <c r="BA1044" s="40"/>
      <c r="BB1044" s="99"/>
      <c r="BC1044" s="85"/>
      <c r="BG1044" s="79"/>
      <c r="BH1044" s="99"/>
    </row>
    <row r="1045" spans="51:60" x14ac:dyDescent="0.2">
      <c r="AY1045" s="79"/>
      <c r="AZ1045" s="85"/>
      <c r="BA1045" s="40"/>
      <c r="BB1045" s="99"/>
      <c r="BC1045" s="85"/>
      <c r="BG1045" s="79"/>
      <c r="BH1045" s="99"/>
    </row>
    <row r="1046" spans="51:60" x14ac:dyDescent="0.2">
      <c r="AY1046" s="79"/>
      <c r="AZ1046" s="85"/>
      <c r="BA1046" s="40"/>
      <c r="BB1046" s="99"/>
      <c r="BC1046" s="85"/>
      <c r="BG1046" s="79"/>
      <c r="BH1046" s="99"/>
    </row>
    <row r="1047" spans="51:60" x14ac:dyDescent="0.2">
      <c r="AY1047" s="79"/>
      <c r="AZ1047" s="85"/>
      <c r="BA1047" s="40"/>
      <c r="BB1047" s="99"/>
      <c r="BC1047" s="85"/>
      <c r="BG1047" s="79"/>
      <c r="BH1047" s="99"/>
    </row>
    <row r="1048" spans="51:60" x14ac:dyDescent="0.2">
      <c r="AY1048" s="79"/>
      <c r="AZ1048" s="85"/>
      <c r="BA1048" s="40"/>
      <c r="BB1048" s="99"/>
      <c r="BC1048" s="85"/>
      <c r="BG1048" s="79"/>
      <c r="BH1048" s="99"/>
    </row>
    <row r="1049" spans="51:60" x14ac:dyDescent="0.2">
      <c r="AY1049" s="79"/>
      <c r="AZ1049" s="85"/>
      <c r="BA1049" s="40"/>
      <c r="BB1049" s="99"/>
      <c r="BC1049" s="85"/>
      <c r="BG1049" s="79"/>
      <c r="BH1049" s="99"/>
    </row>
    <row r="1050" spans="51:60" x14ac:dyDescent="0.2">
      <c r="AY1050" s="79"/>
      <c r="AZ1050" s="85"/>
      <c r="BA1050" s="40"/>
      <c r="BB1050" s="99"/>
      <c r="BC1050" s="85"/>
      <c r="BG1050" s="79"/>
      <c r="BH1050" s="99"/>
    </row>
    <row r="1051" spans="51:60" x14ac:dyDescent="0.2">
      <c r="AY1051" s="79"/>
      <c r="AZ1051" s="85"/>
      <c r="BA1051" s="40"/>
      <c r="BB1051" s="99"/>
      <c r="BC1051" s="85"/>
      <c r="BG1051" s="79"/>
      <c r="BH1051" s="99"/>
    </row>
    <row r="1052" spans="51:60" x14ac:dyDescent="0.2">
      <c r="AY1052" s="79"/>
      <c r="AZ1052" s="85"/>
      <c r="BA1052" s="40"/>
      <c r="BB1052" s="99"/>
      <c r="BC1052" s="85"/>
      <c r="BG1052" s="79"/>
      <c r="BH1052" s="99"/>
    </row>
    <row r="1053" spans="51:60" x14ac:dyDescent="0.2">
      <c r="AY1053" s="79"/>
      <c r="AZ1053" s="85"/>
      <c r="BA1053" s="40"/>
      <c r="BB1053" s="99"/>
      <c r="BC1053" s="85"/>
      <c r="BG1053" s="79"/>
      <c r="BH1053" s="99"/>
    </row>
    <row r="1054" spans="51:60" x14ac:dyDescent="0.2">
      <c r="AY1054" s="79"/>
      <c r="AZ1054" s="85"/>
      <c r="BA1054" s="40"/>
      <c r="BB1054" s="99"/>
      <c r="BC1054" s="85"/>
      <c r="BG1054" s="79"/>
      <c r="BH1054" s="99"/>
    </row>
    <row r="1055" spans="51:60" x14ac:dyDescent="0.2">
      <c r="AY1055" s="79"/>
      <c r="AZ1055" s="85"/>
      <c r="BA1055" s="40"/>
      <c r="BB1055" s="99"/>
      <c r="BC1055" s="85"/>
      <c r="BG1055" s="79"/>
      <c r="BH1055" s="99"/>
    </row>
    <row r="1056" spans="51:60" x14ac:dyDescent="0.2">
      <c r="AY1056" s="79"/>
      <c r="AZ1056" s="85"/>
      <c r="BA1056" s="40"/>
      <c r="BB1056" s="99"/>
      <c r="BC1056" s="85"/>
      <c r="BG1056" s="79"/>
      <c r="BH1056" s="99"/>
    </row>
    <row r="1057" spans="51:60" x14ac:dyDescent="0.2">
      <c r="AY1057" s="79"/>
      <c r="AZ1057" s="85"/>
      <c r="BA1057" s="40"/>
      <c r="BB1057" s="99"/>
      <c r="BC1057" s="85"/>
      <c r="BG1057" s="79"/>
      <c r="BH1057" s="99"/>
    </row>
    <row r="1058" spans="51:60" x14ac:dyDescent="0.2">
      <c r="AY1058" s="79"/>
      <c r="AZ1058" s="85"/>
      <c r="BA1058" s="40"/>
      <c r="BB1058" s="99"/>
      <c r="BC1058" s="85"/>
      <c r="BG1058" s="79"/>
      <c r="BH1058" s="99"/>
    </row>
    <row r="1059" spans="51:60" x14ac:dyDescent="0.2">
      <c r="AY1059" s="79"/>
      <c r="AZ1059" s="85"/>
      <c r="BA1059" s="40"/>
      <c r="BB1059" s="99"/>
      <c r="BC1059" s="85"/>
      <c r="BG1059" s="79"/>
      <c r="BH1059" s="99"/>
    </row>
    <row r="1060" spans="51:60" x14ac:dyDescent="0.2">
      <c r="AY1060" s="79"/>
      <c r="AZ1060" s="85"/>
      <c r="BA1060" s="40"/>
      <c r="BB1060" s="99"/>
      <c r="BC1060" s="85"/>
      <c r="BG1060" s="79"/>
      <c r="BH1060" s="99"/>
    </row>
    <row r="1061" spans="51:60" x14ac:dyDescent="0.2">
      <c r="AY1061" s="79"/>
      <c r="AZ1061" s="85"/>
      <c r="BA1061" s="40"/>
      <c r="BB1061" s="99"/>
      <c r="BC1061" s="85"/>
      <c r="BG1061" s="79"/>
      <c r="BH1061" s="99"/>
    </row>
    <row r="1062" spans="51:60" x14ac:dyDescent="0.2">
      <c r="AY1062" s="79"/>
      <c r="AZ1062" s="85"/>
      <c r="BA1062" s="40"/>
      <c r="BB1062" s="99"/>
      <c r="BC1062" s="85"/>
      <c r="BG1062" s="79"/>
      <c r="BH1062" s="99"/>
    </row>
    <row r="1063" spans="51:60" x14ac:dyDescent="0.2">
      <c r="AY1063" s="79"/>
      <c r="AZ1063" s="85"/>
      <c r="BA1063" s="40"/>
      <c r="BB1063" s="99"/>
      <c r="BC1063" s="85"/>
      <c r="BG1063" s="79"/>
      <c r="BH1063" s="99"/>
    </row>
    <row r="1064" spans="51:60" x14ac:dyDescent="0.2">
      <c r="AY1064" s="79"/>
      <c r="AZ1064" s="85"/>
      <c r="BA1064" s="40"/>
      <c r="BB1064" s="99"/>
      <c r="BC1064" s="85"/>
      <c r="BG1064" s="79"/>
      <c r="BH1064" s="99"/>
    </row>
    <row r="1065" spans="51:60" x14ac:dyDescent="0.2">
      <c r="AY1065" s="79"/>
      <c r="AZ1065" s="85"/>
      <c r="BA1065" s="40"/>
      <c r="BB1065" s="99"/>
      <c r="BC1065" s="85"/>
      <c r="BG1065" s="79"/>
      <c r="BH1065" s="99"/>
    </row>
    <row r="1066" spans="51:60" x14ac:dyDescent="0.2">
      <c r="AY1066" s="79"/>
      <c r="AZ1066" s="85"/>
      <c r="BA1066" s="40"/>
      <c r="BB1066" s="99"/>
      <c r="BC1066" s="85"/>
      <c r="BG1066" s="79"/>
      <c r="BH1066" s="99"/>
    </row>
    <row r="1067" spans="51:60" x14ac:dyDescent="0.2">
      <c r="AY1067" s="79"/>
      <c r="AZ1067" s="85"/>
      <c r="BA1067" s="40"/>
      <c r="BB1067" s="99"/>
      <c r="BC1067" s="85"/>
      <c r="BG1067" s="79"/>
      <c r="BH1067" s="99"/>
    </row>
    <row r="1068" spans="51:60" x14ac:dyDescent="0.2">
      <c r="AY1068" s="79"/>
      <c r="AZ1068" s="85"/>
      <c r="BA1068" s="40"/>
      <c r="BB1068" s="99"/>
      <c r="BC1068" s="85"/>
      <c r="BG1068" s="79"/>
      <c r="BH1068" s="99"/>
    </row>
    <row r="1069" spans="51:60" x14ac:dyDescent="0.2">
      <c r="AY1069" s="79"/>
      <c r="AZ1069" s="85"/>
      <c r="BA1069" s="40"/>
      <c r="BB1069" s="99"/>
      <c r="BC1069" s="85"/>
      <c r="BG1069" s="79"/>
      <c r="BH1069" s="99"/>
    </row>
    <row r="1070" spans="51:60" x14ac:dyDescent="0.2">
      <c r="AY1070" s="79"/>
      <c r="AZ1070" s="85"/>
      <c r="BA1070" s="40"/>
      <c r="BB1070" s="99"/>
      <c r="BC1070" s="85"/>
      <c r="BG1070" s="79"/>
      <c r="BH1070" s="99"/>
    </row>
    <row r="1071" spans="51:60" x14ac:dyDescent="0.2">
      <c r="AY1071" s="79"/>
      <c r="AZ1071" s="85"/>
      <c r="BA1071" s="40"/>
      <c r="BB1071" s="99"/>
      <c r="BC1071" s="85"/>
      <c r="BG1071" s="79"/>
      <c r="BH1071" s="99"/>
    </row>
    <row r="1072" spans="51:60" x14ac:dyDescent="0.2">
      <c r="AY1072" s="79"/>
      <c r="AZ1072" s="85"/>
      <c r="BA1072" s="40"/>
      <c r="BB1072" s="99"/>
      <c r="BC1072" s="85"/>
      <c r="BG1072" s="79"/>
      <c r="BH1072" s="99"/>
    </row>
    <row r="1073" spans="51:60" x14ac:dyDescent="0.2">
      <c r="AY1073" s="79"/>
      <c r="AZ1073" s="85"/>
      <c r="BA1073" s="40"/>
      <c r="BB1073" s="99"/>
      <c r="BC1073" s="85"/>
      <c r="BG1073" s="79"/>
      <c r="BH1073" s="99"/>
    </row>
    <row r="1074" spans="51:60" x14ac:dyDescent="0.2">
      <c r="AY1074" s="79"/>
      <c r="AZ1074" s="85"/>
      <c r="BA1074" s="40"/>
      <c r="BB1074" s="99"/>
      <c r="BC1074" s="85"/>
      <c r="BG1074" s="79"/>
      <c r="BH1074" s="99"/>
    </row>
    <row r="1075" spans="51:60" x14ac:dyDescent="0.2">
      <c r="AY1075" s="79"/>
      <c r="AZ1075" s="85"/>
      <c r="BA1075" s="40"/>
      <c r="BB1075" s="99"/>
      <c r="BC1075" s="85"/>
      <c r="BG1075" s="79"/>
      <c r="BH1075" s="99"/>
    </row>
    <row r="1076" spans="51:60" x14ac:dyDescent="0.2">
      <c r="AY1076" s="79"/>
      <c r="AZ1076" s="85"/>
      <c r="BA1076" s="40"/>
      <c r="BB1076" s="99"/>
      <c r="BC1076" s="85"/>
      <c r="BG1076" s="79"/>
      <c r="BH1076" s="99"/>
    </row>
    <row r="1077" spans="51:60" x14ac:dyDescent="0.2">
      <c r="AY1077" s="79"/>
      <c r="AZ1077" s="85"/>
      <c r="BA1077" s="40"/>
      <c r="BB1077" s="99"/>
      <c r="BC1077" s="85"/>
      <c r="BG1077" s="79"/>
      <c r="BH1077" s="99"/>
    </row>
    <row r="1078" spans="51:60" x14ac:dyDescent="0.2">
      <c r="AY1078" s="79"/>
      <c r="AZ1078" s="85"/>
      <c r="BA1078" s="40"/>
      <c r="BB1078" s="99"/>
      <c r="BC1078" s="85"/>
      <c r="BG1078" s="79"/>
      <c r="BH1078" s="99"/>
    </row>
    <row r="1079" spans="51:60" x14ac:dyDescent="0.2">
      <c r="AY1079" s="79"/>
      <c r="AZ1079" s="85"/>
      <c r="BA1079" s="40"/>
      <c r="BB1079" s="99"/>
      <c r="BC1079" s="85"/>
      <c r="BG1079" s="79"/>
      <c r="BH1079" s="99"/>
    </row>
    <row r="1080" spans="51:60" x14ac:dyDescent="0.2">
      <c r="AY1080" s="79"/>
      <c r="AZ1080" s="85"/>
      <c r="BA1080" s="40"/>
      <c r="BB1080" s="99"/>
      <c r="BC1080" s="85"/>
      <c r="BG1080" s="79"/>
      <c r="BH1080" s="99"/>
    </row>
    <row r="1081" spans="51:60" x14ac:dyDescent="0.2">
      <c r="AY1081" s="79"/>
      <c r="AZ1081" s="85"/>
      <c r="BA1081" s="40"/>
      <c r="BB1081" s="99"/>
      <c r="BC1081" s="85"/>
      <c r="BG1081" s="79"/>
      <c r="BH1081" s="99"/>
    </row>
    <row r="1082" spans="51:60" x14ac:dyDescent="0.2">
      <c r="AY1082" s="79"/>
      <c r="AZ1082" s="85"/>
      <c r="BA1082" s="40"/>
      <c r="BB1082" s="99"/>
      <c r="BC1082" s="85"/>
      <c r="BG1082" s="79"/>
      <c r="BH1082" s="99"/>
    </row>
    <row r="1083" spans="51:60" x14ac:dyDescent="0.2">
      <c r="AY1083" s="79"/>
      <c r="AZ1083" s="85"/>
      <c r="BA1083" s="40"/>
      <c r="BB1083" s="99"/>
      <c r="BC1083" s="85"/>
      <c r="BG1083" s="79"/>
      <c r="BH1083" s="99"/>
    </row>
    <row r="1084" spans="51:60" x14ac:dyDescent="0.2">
      <c r="AY1084" s="79"/>
      <c r="AZ1084" s="85"/>
      <c r="BA1084" s="40"/>
      <c r="BB1084" s="99"/>
      <c r="BC1084" s="85"/>
      <c r="BG1084" s="79"/>
      <c r="BH1084" s="99"/>
    </row>
    <row r="1085" spans="51:60" x14ac:dyDescent="0.2">
      <c r="AY1085" s="79"/>
      <c r="AZ1085" s="85"/>
      <c r="BA1085" s="40"/>
      <c r="BB1085" s="99"/>
      <c r="BC1085" s="85"/>
      <c r="BG1085" s="79"/>
      <c r="BH1085" s="99"/>
    </row>
    <row r="1086" spans="51:60" x14ac:dyDescent="0.2">
      <c r="AY1086" s="79"/>
      <c r="AZ1086" s="85"/>
      <c r="BA1086" s="40"/>
      <c r="BB1086" s="99"/>
      <c r="BC1086" s="85"/>
      <c r="BG1086" s="79"/>
      <c r="BH1086" s="99"/>
    </row>
    <row r="1087" spans="51:60" x14ac:dyDescent="0.2">
      <c r="AY1087" s="79"/>
      <c r="AZ1087" s="85"/>
      <c r="BA1087" s="40"/>
      <c r="BB1087" s="99"/>
      <c r="BC1087" s="85"/>
      <c r="BG1087" s="79"/>
      <c r="BH1087" s="99"/>
    </row>
    <row r="1088" spans="51:60" x14ac:dyDescent="0.2">
      <c r="AY1088" s="79"/>
      <c r="AZ1088" s="85"/>
      <c r="BA1088" s="40"/>
      <c r="BB1088" s="99"/>
      <c r="BC1088" s="85"/>
      <c r="BG1088" s="79"/>
      <c r="BH1088" s="99"/>
    </row>
    <row r="1089" spans="51:60" x14ac:dyDescent="0.2">
      <c r="AY1089" s="79"/>
      <c r="AZ1089" s="85"/>
      <c r="BA1089" s="40"/>
      <c r="BB1089" s="99"/>
      <c r="BC1089" s="85"/>
      <c r="BG1089" s="79"/>
      <c r="BH1089" s="99"/>
    </row>
    <row r="1090" spans="51:60" x14ac:dyDescent="0.2">
      <c r="AY1090" s="79"/>
      <c r="AZ1090" s="85"/>
      <c r="BA1090" s="40"/>
      <c r="BB1090" s="99"/>
      <c r="BC1090" s="85"/>
      <c r="BG1090" s="79"/>
      <c r="BH1090" s="99"/>
    </row>
    <row r="1091" spans="51:60" x14ac:dyDescent="0.2">
      <c r="AY1091" s="79"/>
      <c r="AZ1091" s="85"/>
      <c r="BA1091" s="40"/>
      <c r="BB1091" s="99"/>
      <c r="BC1091" s="85"/>
      <c r="BG1091" s="79"/>
      <c r="BH1091" s="99"/>
    </row>
    <row r="1092" spans="51:60" x14ac:dyDescent="0.2">
      <c r="AY1092" s="79"/>
      <c r="AZ1092" s="85"/>
      <c r="BA1092" s="40"/>
      <c r="BB1092" s="99"/>
      <c r="BC1092" s="85"/>
      <c r="BG1092" s="79"/>
      <c r="BH1092" s="99"/>
    </row>
    <row r="1093" spans="51:60" x14ac:dyDescent="0.2">
      <c r="AY1093" s="79"/>
      <c r="AZ1093" s="85"/>
      <c r="BA1093" s="40"/>
      <c r="BB1093" s="99"/>
      <c r="BC1093" s="85"/>
      <c r="BG1093" s="79"/>
      <c r="BH1093" s="99"/>
    </row>
    <row r="1094" spans="51:60" x14ac:dyDescent="0.2">
      <c r="AY1094" s="79"/>
      <c r="AZ1094" s="85"/>
      <c r="BA1094" s="40"/>
      <c r="BB1094" s="99"/>
      <c r="BC1094" s="85"/>
      <c r="BG1094" s="79"/>
      <c r="BH1094" s="99"/>
    </row>
    <row r="1095" spans="51:60" x14ac:dyDescent="0.2">
      <c r="AY1095" s="79"/>
      <c r="AZ1095" s="85"/>
      <c r="BA1095" s="40"/>
      <c r="BB1095" s="99"/>
      <c r="BC1095" s="85"/>
      <c r="BG1095" s="79"/>
      <c r="BH1095" s="99"/>
    </row>
    <row r="1096" spans="51:60" x14ac:dyDescent="0.2">
      <c r="AY1096" s="79"/>
      <c r="AZ1096" s="85"/>
      <c r="BA1096" s="40"/>
      <c r="BB1096" s="99"/>
      <c r="BC1096" s="85"/>
      <c r="BG1096" s="79"/>
      <c r="BH1096" s="99"/>
    </row>
    <row r="1097" spans="51:60" x14ac:dyDescent="0.2">
      <c r="AY1097" s="79"/>
      <c r="AZ1097" s="85"/>
      <c r="BA1097" s="40"/>
      <c r="BB1097" s="99"/>
      <c r="BC1097" s="85"/>
      <c r="BG1097" s="79"/>
      <c r="BH1097" s="99"/>
    </row>
    <row r="1098" spans="51:60" x14ac:dyDescent="0.2">
      <c r="AY1098" s="79"/>
      <c r="AZ1098" s="85"/>
      <c r="BA1098" s="40"/>
      <c r="BB1098" s="99"/>
      <c r="BC1098" s="85"/>
      <c r="BG1098" s="79"/>
      <c r="BH1098" s="99"/>
    </row>
    <row r="1099" spans="51:60" x14ac:dyDescent="0.2">
      <c r="AY1099" s="79"/>
      <c r="AZ1099" s="85"/>
      <c r="BA1099" s="40"/>
      <c r="BB1099" s="99"/>
      <c r="BC1099" s="85"/>
      <c r="BG1099" s="79"/>
      <c r="BH1099" s="99"/>
    </row>
    <row r="1100" spans="51:60" x14ac:dyDescent="0.2">
      <c r="AY1100" s="79"/>
      <c r="AZ1100" s="85"/>
      <c r="BA1100" s="40"/>
      <c r="BB1100" s="99"/>
      <c r="BC1100" s="85"/>
      <c r="BG1100" s="79"/>
      <c r="BH1100" s="99"/>
    </row>
    <row r="1101" spans="51:60" x14ac:dyDescent="0.2">
      <c r="AY1101" s="79"/>
      <c r="AZ1101" s="85"/>
      <c r="BA1101" s="40"/>
      <c r="BB1101" s="99"/>
      <c r="BC1101" s="85"/>
      <c r="BG1101" s="79"/>
      <c r="BH1101" s="99"/>
    </row>
    <row r="1102" spans="51:60" x14ac:dyDescent="0.2">
      <c r="AY1102" s="79"/>
      <c r="AZ1102" s="85"/>
      <c r="BA1102" s="40"/>
      <c r="BB1102" s="99"/>
      <c r="BC1102" s="85"/>
      <c r="BG1102" s="79"/>
      <c r="BH1102" s="99"/>
    </row>
    <row r="1103" spans="51:60" x14ac:dyDescent="0.2">
      <c r="AY1103" s="79"/>
      <c r="AZ1103" s="85"/>
      <c r="BA1103" s="40"/>
      <c r="BB1103" s="99"/>
      <c r="BC1103" s="85"/>
      <c r="BG1103" s="79"/>
      <c r="BH1103" s="99"/>
    </row>
    <row r="1104" spans="51:60" x14ac:dyDescent="0.2">
      <c r="AY1104" s="79"/>
      <c r="AZ1104" s="85"/>
      <c r="BA1104" s="40"/>
      <c r="BB1104" s="99"/>
      <c r="BC1104" s="85"/>
      <c r="BG1104" s="79"/>
      <c r="BH1104" s="99"/>
    </row>
    <row r="1105" spans="51:60" x14ac:dyDescent="0.2">
      <c r="AY1105" s="79"/>
      <c r="AZ1105" s="85"/>
      <c r="BA1105" s="40"/>
      <c r="BB1105" s="99"/>
      <c r="BC1105" s="85"/>
      <c r="BG1105" s="79"/>
      <c r="BH1105" s="99"/>
    </row>
    <row r="1106" spans="51:60" x14ac:dyDescent="0.2">
      <c r="AY1106" s="79"/>
      <c r="AZ1106" s="85"/>
      <c r="BA1106" s="40"/>
      <c r="BB1106" s="99"/>
      <c r="BC1106" s="85"/>
      <c r="BG1106" s="79"/>
      <c r="BH1106" s="99"/>
    </row>
    <row r="1107" spans="51:60" x14ac:dyDescent="0.2">
      <c r="AY1107" s="79"/>
      <c r="AZ1107" s="85"/>
      <c r="BA1107" s="40"/>
      <c r="BB1107" s="99"/>
      <c r="BC1107" s="85"/>
      <c r="BG1107" s="79"/>
      <c r="BH1107" s="99"/>
    </row>
    <row r="1108" spans="51:60" x14ac:dyDescent="0.2">
      <c r="AY1108" s="79"/>
      <c r="AZ1108" s="85"/>
      <c r="BA1108" s="40"/>
      <c r="BB1108" s="99"/>
      <c r="BC1108" s="85"/>
      <c r="BG1108" s="79"/>
      <c r="BH1108" s="99"/>
    </row>
    <row r="1109" spans="51:60" x14ac:dyDescent="0.2">
      <c r="AY1109" s="79"/>
      <c r="AZ1109" s="85"/>
      <c r="BA1109" s="40"/>
      <c r="BB1109" s="99"/>
      <c r="BC1109" s="85"/>
      <c r="BG1109" s="79"/>
      <c r="BH1109" s="99"/>
    </row>
    <row r="1110" spans="51:60" x14ac:dyDescent="0.2">
      <c r="AY1110" s="79"/>
      <c r="AZ1110" s="85"/>
      <c r="BA1110" s="40"/>
      <c r="BB1110" s="99"/>
      <c r="BC1110" s="85"/>
      <c r="BG1110" s="79"/>
      <c r="BH1110" s="99"/>
    </row>
    <row r="1111" spans="51:60" x14ac:dyDescent="0.2">
      <c r="AY1111" s="79"/>
      <c r="AZ1111" s="85"/>
      <c r="BA1111" s="40"/>
      <c r="BB1111" s="99"/>
      <c r="BC1111" s="85"/>
      <c r="BG1111" s="79"/>
      <c r="BH1111" s="99"/>
    </row>
    <row r="1112" spans="51:60" x14ac:dyDescent="0.2">
      <c r="AY1112" s="79"/>
      <c r="AZ1112" s="85"/>
      <c r="BA1112" s="40"/>
      <c r="BB1112" s="99"/>
      <c r="BC1112" s="85"/>
      <c r="BG1112" s="79"/>
      <c r="BH1112" s="99"/>
    </row>
    <row r="1113" spans="51:60" x14ac:dyDescent="0.2">
      <c r="AY1113" s="79"/>
      <c r="AZ1113" s="85"/>
      <c r="BA1113" s="40"/>
      <c r="BB1113" s="99"/>
      <c r="BC1113" s="85"/>
      <c r="BG1113" s="79"/>
      <c r="BH1113" s="99"/>
    </row>
    <row r="1114" spans="51:60" x14ac:dyDescent="0.2">
      <c r="AY1114" s="79"/>
      <c r="AZ1114" s="85"/>
      <c r="BA1114" s="40"/>
      <c r="BB1114" s="99"/>
      <c r="BC1114" s="85"/>
      <c r="BG1114" s="79"/>
      <c r="BH1114" s="99"/>
    </row>
    <row r="1115" spans="51:60" x14ac:dyDescent="0.2">
      <c r="AY1115" s="79"/>
      <c r="AZ1115" s="85"/>
      <c r="BA1115" s="40"/>
      <c r="BB1115" s="99"/>
      <c r="BC1115" s="85"/>
      <c r="BG1115" s="79"/>
      <c r="BH1115" s="99"/>
    </row>
    <row r="1116" spans="51:60" x14ac:dyDescent="0.2">
      <c r="AY1116" s="79"/>
      <c r="AZ1116" s="85"/>
      <c r="BA1116" s="40"/>
      <c r="BB1116" s="99"/>
      <c r="BC1116" s="85"/>
      <c r="BG1116" s="79"/>
      <c r="BH1116" s="99"/>
    </row>
    <row r="1117" spans="51:60" x14ac:dyDescent="0.2">
      <c r="AY1117" s="79"/>
      <c r="AZ1117" s="85"/>
      <c r="BA1117" s="40"/>
      <c r="BB1117" s="99"/>
      <c r="BC1117" s="85"/>
      <c r="BG1117" s="79"/>
      <c r="BH1117" s="99"/>
    </row>
    <row r="1118" spans="51:60" x14ac:dyDescent="0.2">
      <c r="AY1118" s="79"/>
      <c r="AZ1118" s="85"/>
      <c r="BA1118" s="40"/>
      <c r="BB1118" s="99"/>
      <c r="BC1118" s="85"/>
      <c r="BG1118" s="79"/>
      <c r="BH1118" s="99"/>
    </row>
    <row r="1119" spans="51:60" x14ac:dyDescent="0.2">
      <c r="AY1119" s="79"/>
      <c r="AZ1119" s="85"/>
      <c r="BA1119" s="40"/>
      <c r="BB1119" s="99"/>
      <c r="BC1119" s="85"/>
      <c r="BG1119" s="79"/>
      <c r="BH1119" s="99"/>
    </row>
    <row r="1120" spans="51:60" x14ac:dyDescent="0.2">
      <c r="AY1120" s="79"/>
      <c r="AZ1120" s="85"/>
      <c r="BA1120" s="40"/>
      <c r="BB1120" s="99"/>
      <c r="BC1120" s="85"/>
      <c r="BG1120" s="79"/>
      <c r="BH1120" s="99"/>
    </row>
    <row r="1121" spans="51:60" x14ac:dyDescent="0.2">
      <c r="AY1121" s="79"/>
      <c r="AZ1121" s="85"/>
      <c r="BA1121" s="40"/>
      <c r="BB1121" s="99"/>
      <c r="BC1121" s="85"/>
      <c r="BG1121" s="79"/>
      <c r="BH1121" s="99"/>
    </row>
    <row r="1122" spans="51:60" x14ac:dyDescent="0.2">
      <c r="AY1122" s="79"/>
      <c r="AZ1122" s="85"/>
      <c r="BA1122" s="40"/>
      <c r="BB1122" s="99"/>
      <c r="BC1122" s="85"/>
      <c r="BG1122" s="79"/>
      <c r="BH1122" s="99"/>
    </row>
    <row r="1123" spans="51:60" x14ac:dyDescent="0.2">
      <c r="AY1123" s="79"/>
      <c r="AZ1123" s="85"/>
      <c r="BA1123" s="40"/>
      <c r="BB1123" s="99"/>
      <c r="BC1123" s="85"/>
      <c r="BG1123" s="79"/>
      <c r="BH1123" s="99"/>
    </row>
    <row r="1124" spans="51:60" x14ac:dyDescent="0.2">
      <c r="AY1124" s="79"/>
      <c r="AZ1124" s="85"/>
      <c r="BA1124" s="40"/>
      <c r="BB1124" s="99"/>
      <c r="BC1124" s="85"/>
      <c r="BG1124" s="79"/>
      <c r="BH1124" s="99"/>
    </row>
    <row r="1125" spans="51:60" x14ac:dyDescent="0.2">
      <c r="AY1125" s="79"/>
      <c r="AZ1125" s="85"/>
      <c r="BA1125" s="40"/>
      <c r="BB1125" s="99"/>
      <c r="BC1125" s="85"/>
      <c r="BG1125" s="79"/>
      <c r="BH1125" s="99"/>
    </row>
    <row r="1126" spans="51:60" x14ac:dyDescent="0.2">
      <c r="AY1126" s="79"/>
      <c r="AZ1126" s="85"/>
      <c r="BA1126" s="40"/>
      <c r="BB1126" s="99"/>
      <c r="BC1126" s="85"/>
      <c r="BG1126" s="79"/>
      <c r="BH1126" s="99"/>
    </row>
    <row r="1127" spans="51:60" x14ac:dyDescent="0.2">
      <c r="AY1127" s="79"/>
      <c r="AZ1127" s="85"/>
      <c r="BA1127" s="40"/>
      <c r="BB1127" s="99"/>
      <c r="BC1127" s="85"/>
      <c r="BG1127" s="79"/>
      <c r="BH1127" s="99"/>
    </row>
    <row r="1128" spans="51:60" x14ac:dyDescent="0.2">
      <c r="AY1128" s="79"/>
      <c r="AZ1128" s="85"/>
      <c r="BA1128" s="40"/>
      <c r="BB1128" s="99"/>
      <c r="BC1128" s="85"/>
      <c r="BG1128" s="79"/>
      <c r="BH1128" s="99"/>
    </row>
    <row r="1129" spans="51:60" x14ac:dyDescent="0.2">
      <c r="AY1129" s="79"/>
      <c r="AZ1129" s="85"/>
      <c r="BA1129" s="40"/>
      <c r="BB1129" s="99"/>
      <c r="BC1129" s="85"/>
      <c r="BG1129" s="79"/>
      <c r="BH1129" s="99"/>
    </row>
    <row r="1130" spans="51:60" x14ac:dyDescent="0.2">
      <c r="AY1130" s="79"/>
      <c r="AZ1130" s="85"/>
      <c r="BA1130" s="40"/>
      <c r="BB1130" s="99"/>
      <c r="BC1130" s="85"/>
      <c r="BG1130" s="79"/>
      <c r="BH1130" s="99"/>
    </row>
    <row r="1131" spans="51:60" x14ac:dyDescent="0.2">
      <c r="AY1131" s="79"/>
      <c r="AZ1131" s="85"/>
      <c r="BA1131" s="40"/>
      <c r="BB1131" s="99"/>
      <c r="BC1131" s="85"/>
      <c r="BG1131" s="79"/>
      <c r="BH1131" s="99"/>
    </row>
    <row r="1132" spans="51:60" x14ac:dyDescent="0.2">
      <c r="AY1132" s="79"/>
      <c r="AZ1132" s="85"/>
      <c r="BA1132" s="40"/>
      <c r="BB1132" s="99"/>
      <c r="BC1132" s="85"/>
      <c r="BG1132" s="79"/>
      <c r="BH1132" s="99"/>
    </row>
    <row r="1133" spans="51:60" x14ac:dyDescent="0.2">
      <c r="AY1133" s="79"/>
      <c r="AZ1133" s="85"/>
      <c r="BA1133" s="40"/>
      <c r="BB1133" s="99"/>
      <c r="BC1133" s="85"/>
      <c r="BG1133" s="79"/>
      <c r="BH1133" s="99"/>
    </row>
    <row r="1134" spans="51:60" x14ac:dyDescent="0.2">
      <c r="AY1134" s="79"/>
      <c r="AZ1134" s="85"/>
      <c r="BA1134" s="40"/>
      <c r="BB1134" s="99"/>
      <c r="BC1134" s="85"/>
      <c r="BG1134" s="79"/>
      <c r="BH1134" s="99"/>
    </row>
    <row r="1135" spans="51:60" x14ac:dyDescent="0.2">
      <c r="AY1135" s="79"/>
      <c r="AZ1135" s="85"/>
      <c r="BA1135" s="40"/>
      <c r="BB1135" s="99"/>
      <c r="BC1135" s="85"/>
      <c r="BG1135" s="79"/>
      <c r="BH1135" s="99"/>
    </row>
    <row r="1136" spans="51:60" x14ac:dyDescent="0.2">
      <c r="AY1136" s="79"/>
      <c r="AZ1136" s="85"/>
      <c r="BA1136" s="40"/>
      <c r="BB1136" s="99"/>
      <c r="BC1136" s="85"/>
      <c r="BG1136" s="79"/>
      <c r="BH1136" s="99"/>
    </row>
    <row r="1137" spans="51:60" x14ac:dyDescent="0.2">
      <c r="AY1137" s="79"/>
      <c r="AZ1137" s="85"/>
      <c r="BA1137" s="40"/>
      <c r="BB1137" s="99"/>
      <c r="BC1137" s="85"/>
      <c r="BG1137" s="79"/>
      <c r="BH1137" s="99"/>
    </row>
    <row r="1138" spans="51:60" x14ac:dyDescent="0.2">
      <c r="AY1138" s="79"/>
      <c r="AZ1138" s="85"/>
      <c r="BA1138" s="40"/>
      <c r="BB1138" s="99"/>
      <c r="BC1138" s="85"/>
      <c r="BG1138" s="79"/>
      <c r="BH1138" s="99"/>
    </row>
    <row r="1139" spans="51:60" x14ac:dyDescent="0.2">
      <c r="AY1139" s="79"/>
      <c r="AZ1139" s="85"/>
      <c r="BA1139" s="40"/>
      <c r="BB1139" s="99"/>
      <c r="BC1139" s="85"/>
      <c r="BG1139" s="79"/>
      <c r="BH1139" s="99"/>
    </row>
    <row r="1140" spans="51:60" x14ac:dyDescent="0.2">
      <c r="AY1140" s="79"/>
      <c r="AZ1140" s="85"/>
      <c r="BA1140" s="40"/>
      <c r="BB1140" s="99"/>
      <c r="BC1140" s="85"/>
      <c r="BG1140" s="79"/>
      <c r="BH1140" s="99"/>
    </row>
    <row r="1141" spans="51:60" x14ac:dyDescent="0.2">
      <c r="AY1141" s="79"/>
      <c r="AZ1141" s="85"/>
      <c r="BA1141" s="40"/>
      <c r="BB1141" s="99"/>
      <c r="BC1141" s="85"/>
      <c r="BG1141" s="79"/>
      <c r="BH1141" s="99"/>
    </row>
    <row r="1142" spans="51:60" x14ac:dyDescent="0.2">
      <c r="AY1142" s="79"/>
      <c r="AZ1142" s="85"/>
      <c r="BA1142" s="40"/>
      <c r="BB1142" s="99"/>
      <c r="BC1142" s="85"/>
      <c r="BG1142" s="79"/>
      <c r="BH1142" s="99"/>
    </row>
    <row r="1143" spans="51:60" x14ac:dyDescent="0.2">
      <c r="AY1143" s="79"/>
      <c r="AZ1143" s="85"/>
      <c r="BA1143" s="40"/>
      <c r="BB1143" s="99"/>
      <c r="BC1143" s="85"/>
      <c r="BG1143" s="79"/>
      <c r="BH1143" s="99"/>
    </row>
    <row r="1144" spans="51:60" x14ac:dyDescent="0.2">
      <c r="AY1144" s="79"/>
      <c r="AZ1144" s="85"/>
      <c r="BA1144" s="40"/>
      <c r="BB1144" s="99"/>
      <c r="BC1144" s="85"/>
      <c r="BG1144" s="79"/>
      <c r="BH1144" s="99"/>
    </row>
    <row r="1145" spans="51:60" x14ac:dyDescent="0.2">
      <c r="AY1145" s="79"/>
      <c r="AZ1145" s="85"/>
      <c r="BA1145" s="40"/>
      <c r="BB1145" s="99"/>
      <c r="BC1145" s="85"/>
      <c r="BG1145" s="79"/>
      <c r="BH1145" s="99"/>
    </row>
    <row r="1146" spans="51:60" x14ac:dyDescent="0.2">
      <c r="AY1146" s="79"/>
      <c r="AZ1146" s="85"/>
      <c r="BA1146" s="40"/>
      <c r="BB1146" s="99"/>
      <c r="BC1146" s="85"/>
      <c r="BG1146" s="79"/>
      <c r="BH1146" s="99"/>
    </row>
    <row r="1147" spans="51:60" x14ac:dyDescent="0.2">
      <c r="AY1147" s="79"/>
      <c r="AZ1147" s="85"/>
      <c r="BA1147" s="40"/>
      <c r="BB1147" s="99"/>
      <c r="BC1147" s="85"/>
      <c r="BG1147" s="79"/>
      <c r="BH1147" s="99"/>
    </row>
    <row r="1148" spans="51:60" x14ac:dyDescent="0.2">
      <c r="AY1148" s="79"/>
      <c r="AZ1148" s="85"/>
      <c r="BA1148" s="40"/>
      <c r="BB1148" s="99"/>
      <c r="BC1148" s="85"/>
      <c r="BG1148" s="79"/>
      <c r="BH1148" s="99"/>
    </row>
    <row r="1149" spans="51:60" x14ac:dyDescent="0.2">
      <c r="AY1149" s="79"/>
      <c r="AZ1149" s="85"/>
      <c r="BA1149" s="40"/>
      <c r="BB1149" s="99"/>
      <c r="BC1149" s="85"/>
      <c r="BG1149" s="79"/>
      <c r="BH1149" s="99"/>
    </row>
    <row r="1150" spans="51:60" x14ac:dyDescent="0.2">
      <c r="AY1150" s="79"/>
      <c r="AZ1150" s="85"/>
      <c r="BA1150" s="40"/>
      <c r="BB1150" s="99"/>
      <c r="BC1150" s="85"/>
      <c r="BG1150" s="79"/>
      <c r="BH1150" s="99"/>
    </row>
    <row r="1151" spans="51:60" x14ac:dyDescent="0.2">
      <c r="AY1151" s="79"/>
      <c r="AZ1151" s="85"/>
      <c r="BA1151" s="40"/>
      <c r="BB1151" s="99"/>
      <c r="BC1151" s="85"/>
      <c r="BG1151" s="79"/>
      <c r="BH1151" s="99"/>
    </row>
    <row r="1152" spans="51:60" x14ac:dyDescent="0.2">
      <c r="AY1152" s="79"/>
      <c r="AZ1152" s="85"/>
      <c r="BA1152" s="40"/>
      <c r="BB1152" s="99"/>
      <c r="BC1152" s="85"/>
      <c r="BG1152" s="79"/>
      <c r="BH1152" s="99"/>
    </row>
    <row r="1153" spans="51:60" x14ac:dyDescent="0.2">
      <c r="AY1153" s="79"/>
      <c r="AZ1153" s="85"/>
      <c r="BA1153" s="40"/>
      <c r="BB1153" s="99"/>
      <c r="BC1153" s="85"/>
      <c r="BG1153" s="79"/>
      <c r="BH1153" s="99"/>
    </row>
    <row r="1154" spans="51:60" x14ac:dyDescent="0.2">
      <c r="AY1154" s="79"/>
      <c r="AZ1154" s="85"/>
      <c r="BA1154" s="40"/>
      <c r="BB1154" s="99"/>
      <c r="BC1154" s="85"/>
      <c r="BG1154" s="79"/>
      <c r="BH1154" s="99"/>
    </row>
    <row r="1155" spans="51:60" x14ac:dyDescent="0.2">
      <c r="AY1155" s="79"/>
      <c r="AZ1155" s="85"/>
      <c r="BA1155" s="40"/>
      <c r="BB1155" s="99"/>
      <c r="BC1155" s="85"/>
      <c r="BG1155" s="79"/>
      <c r="BH1155" s="99"/>
    </row>
    <row r="1156" spans="51:60" x14ac:dyDescent="0.2">
      <c r="AY1156" s="79"/>
      <c r="AZ1156" s="85"/>
      <c r="BA1156" s="40"/>
      <c r="BB1156" s="99"/>
      <c r="BC1156" s="85"/>
      <c r="BG1156" s="79"/>
      <c r="BH1156" s="99"/>
    </row>
    <row r="1157" spans="51:60" x14ac:dyDescent="0.2">
      <c r="AY1157" s="79"/>
      <c r="AZ1157" s="85"/>
      <c r="BA1157" s="40"/>
      <c r="BB1157" s="99"/>
      <c r="BC1157" s="85"/>
      <c r="BG1157" s="79"/>
      <c r="BH1157" s="99"/>
    </row>
    <row r="1158" spans="51:60" x14ac:dyDescent="0.2">
      <c r="AY1158" s="79"/>
      <c r="AZ1158" s="85"/>
      <c r="BA1158" s="40"/>
      <c r="BB1158" s="99"/>
      <c r="BC1158" s="85"/>
      <c r="BG1158" s="79"/>
      <c r="BH1158" s="99"/>
    </row>
    <row r="1159" spans="51:60" x14ac:dyDescent="0.2">
      <c r="AY1159" s="79"/>
      <c r="AZ1159" s="85"/>
      <c r="BA1159" s="40"/>
      <c r="BB1159" s="99"/>
      <c r="BC1159" s="85"/>
      <c r="BG1159" s="79"/>
      <c r="BH1159" s="99"/>
    </row>
    <row r="1160" spans="51:60" x14ac:dyDescent="0.2">
      <c r="AY1160" s="79"/>
      <c r="AZ1160" s="85"/>
      <c r="BA1160" s="40"/>
      <c r="BB1160" s="99"/>
      <c r="BC1160" s="85"/>
      <c r="BG1160" s="79"/>
      <c r="BH1160" s="99"/>
    </row>
    <row r="1161" spans="51:60" x14ac:dyDescent="0.2">
      <c r="AY1161" s="79"/>
      <c r="AZ1161" s="85"/>
      <c r="BA1161" s="40"/>
      <c r="BB1161" s="99"/>
      <c r="BC1161" s="85"/>
      <c r="BG1161" s="79"/>
      <c r="BH1161" s="99"/>
    </row>
    <row r="1162" spans="51:60" x14ac:dyDescent="0.2">
      <c r="AY1162" s="79"/>
      <c r="AZ1162" s="85"/>
      <c r="BA1162" s="40"/>
      <c r="BB1162" s="99"/>
      <c r="BC1162" s="85"/>
      <c r="BG1162" s="79"/>
      <c r="BH1162" s="99"/>
    </row>
    <row r="1163" spans="51:60" x14ac:dyDescent="0.2">
      <c r="AY1163" s="79"/>
      <c r="AZ1163" s="85"/>
      <c r="BA1163" s="40"/>
      <c r="BB1163" s="99"/>
      <c r="BC1163" s="85"/>
      <c r="BG1163" s="79"/>
      <c r="BH1163" s="99"/>
    </row>
    <row r="1164" spans="51:60" x14ac:dyDescent="0.2">
      <c r="AY1164" s="79"/>
      <c r="AZ1164" s="85"/>
      <c r="BA1164" s="40"/>
      <c r="BB1164" s="99"/>
      <c r="BC1164" s="85"/>
      <c r="BG1164" s="79"/>
      <c r="BH1164" s="99"/>
    </row>
    <row r="1165" spans="51:60" x14ac:dyDescent="0.2">
      <c r="AY1165" s="79"/>
      <c r="AZ1165" s="85"/>
      <c r="BA1165" s="40"/>
      <c r="BB1165" s="99"/>
      <c r="BC1165" s="85"/>
      <c r="BG1165" s="79"/>
      <c r="BH1165" s="99"/>
    </row>
    <row r="1166" spans="51:60" x14ac:dyDescent="0.2">
      <c r="AY1166" s="79"/>
      <c r="AZ1166" s="85"/>
      <c r="BA1166" s="40"/>
      <c r="BB1166" s="99"/>
      <c r="BC1166" s="85"/>
      <c r="BG1166" s="79"/>
      <c r="BH1166" s="99"/>
    </row>
    <row r="1167" spans="51:60" x14ac:dyDescent="0.2">
      <c r="AY1167" s="79"/>
      <c r="AZ1167" s="85"/>
      <c r="BA1167" s="40"/>
      <c r="BB1167" s="99"/>
      <c r="BC1167" s="85"/>
      <c r="BG1167" s="79"/>
      <c r="BH1167" s="99"/>
    </row>
    <row r="1168" spans="51:60" x14ac:dyDescent="0.2">
      <c r="AY1168" s="79"/>
      <c r="AZ1168" s="85"/>
      <c r="BA1168" s="40"/>
      <c r="BB1168" s="99"/>
      <c r="BC1168" s="85"/>
      <c r="BG1168" s="79"/>
      <c r="BH1168" s="99"/>
    </row>
    <row r="1169" spans="51:60" x14ac:dyDescent="0.2">
      <c r="AY1169" s="79"/>
      <c r="AZ1169" s="85"/>
      <c r="BA1169" s="40"/>
      <c r="BB1169" s="99"/>
      <c r="BC1169" s="85"/>
      <c r="BG1169" s="79"/>
      <c r="BH1169" s="99"/>
    </row>
    <row r="1170" spans="51:60" x14ac:dyDescent="0.2">
      <c r="AY1170" s="79"/>
      <c r="AZ1170" s="85"/>
      <c r="BA1170" s="40"/>
      <c r="BB1170" s="99"/>
      <c r="BC1170" s="85"/>
      <c r="BG1170" s="79"/>
      <c r="BH1170" s="99"/>
    </row>
    <row r="1171" spans="51:60" x14ac:dyDescent="0.2">
      <c r="AY1171" s="79"/>
      <c r="AZ1171" s="85"/>
      <c r="BA1171" s="40"/>
      <c r="BB1171" s="99"/>
      <c r="BC1171" s="85"/>
      <c r="BG1171" s="79"/>
      <c r="BH1171" s="99"/>
    </row>
    <row r="1172" spans="51:60" x14ac:dyDescent="0.2">
      <c r="AY1172" s="79"/>
      <c r="AZ1172" s="85"/>
      <c r="BA1172" s="40"/>
      <c r="BB1172" s="99"/>
      <c r="BC1172" s="85"/>
      <c r="BG1172" s="79"/>
      <c r="BH1172" s="99"/>
    </row>
    <row r="1173" spans="51:60" x14ac:dyDescent="0.2">
      <c r="AY1173" s="79"/>
      <c r="AZ1173" s="85"/>
      <c r="BA1173" s="40"/>
      <c r="BB1173" s="99"/>
      <c r="BC1173" s="85"/>
      <c r="BG1173" s="79"/>
      <c r="BH1173" s="99"/>
    </row>
    <row r="1174" spans="51:60" x14ac:dyDescent="0.2">
      <c r="AY1174" s="79"/>
      <c r="AZ1174" s="85"/>
      <c r="BA1174" s="40"/>
      <c r="BB1174" s="99"/>
      <c r="BC1174" s="85"/>
      <c r="BG1174" s="79"/>
      <c r="BH1174" s="99"/>
    </row>
    <row r="1175" spans="51:60" x14ac:dyDescent="0.2">
      <c r="AY1175" s="79"/>
      <c r="AZ1175" s="85"/>
      <c r="BA1175" s="40"/>
      <c r="BB1175" s="99"/>
      <c r="BC1175" s="85"/>
      <c r="BG1175" s="79"/>
      <c r="BH1175" s="99"/>
    </row>
    <row r="1176" spans="51:60" x14ac:dyDescent="0.2">
      <c r="AY1176" s="79"/>
      <c r="AZ1176" s="85"/>
      <c r="BA1176" s="40"/>
      <c r="BB1176" s="99"/>
      <c r="BC1176" s="85"/>
      <c r="BG1176" s="79"/>
      <c r="BH1176" s="99"/>
    </row>
    <row r="1177" spans="51:60" x14ac:dyDescent="0.2">
      <c r="AY1177" s="79"/>
      <c r="AZ1177" s="85"/>
      <c r="BA1177" s="40"/>
      <c r="BB1177" s="99"/>
      <c r="BC1177" s="85"/>
      <c r="BG1177" s="79"/>
      <c r="BH1177" s="99"/>
    </row>
    <row r="1178" spans="51:60" x14ac:dyDescent="0.2">
      <c r="AY1178" s="79"/>
      <c r="AZ1178" s="85"/>
      <c r="BA1178" s="40"/>
      <c r="BB1178" s="99"/>
      <c r="BC1178" s="85"/>
      <c r="BG1178" s="79"/>
      <c r="BH1178" s="99"/>
    </row>
    <row r="1179" spans="51:60" x14ac:dyDescent="0.2">
      <c r="AY1179" s="79"/>
      <c r="AZ1179" s="85"/>
      <c r="BA1179" s="40"/>
      <c r="BB1179" s="99"/>
      <c r="BC1179" s="85"/>
      <c r="BG1179" s="79"/>
      <c r="BH1179" s="99"/>
    </row>
    <row r="1180" spans="51:60" x14ac:dyDescent="0.2">
      <c r="AY1180" s="79"/>
      <c r="AZ1180" s="85"/>
      <c r="BA1180" s="40"/>
      <c r="BB1180" s="99"/>
      <c r="BC1180" s="85"/>
      <c r="BG1180" s="79"/>
      <c r="BH1180" s="99"/>
    </row>
    <row r="1181" spans="51:60" x14ac:dyDescent="0.2">
      <c r="AY1181" s="79"/>
      <c r="AZ1181" s="85"/>
      <c r="BA1181" s="40"/>
      <c r="BB1181" s="99"/>
      <c r="BC1181" s="85"/>
      <c r="BG1181" s="79"/>
      <c r="BH1181" s="99"/>
    </row>
    <row r="1182" spans="51:60" x14ac:dyDescent="0.2">
      <c r="AY1182" s="79"/>
      <c r="AZ1182" s="85"/>
      <c r="BA1182" s="40"/>
      <c r="BB1182" s="99"/>
      <c r="BC1182" s="85"/>
      <c r="BG1182" s="79"/>
      <c r="BH1182" s="99"/>
    </row>
    <row r="1183" spans="51:60" x14ac:dyDescent="0.2">
      <c r="AY1183" s="79"/>
      <c r="AZ1183" s="85"/>
      <c r="BA1183" s="40"/>
      <c r="BB1183" s="99"/>
      <c r="BC1183" s="85"/>
      <c r="BG1183" s="79"/>
      <c r="BH1183" s="99"/>
    </row>
    <row r="1184" spans="51:60" x14ac:dyDescent="0.2">
      <c r="AY1184" s="79"/>
      <c r="AZ1184" s="85"/>
      <c r="BA1184" s="40"/>
      <c r="BB1184" s="99"/>
      <c r="BC1184" s="85"/>
      <c r="BG1184" s="79"/>
      <c r="BH1184" s="99"/>
    </row>
    <row r="1185" spans="51:60" x14ac:dyDescent="0.2">
      <c r="AY1185" s="79"/>
      <c r="AZ1185" s="85"/>
      <c r="BA1185" s="40"/>
      <c r="BB1185" s="99"/>
      <c r="BC1185" s="85"/>
      <c r="BG1185" s="79"/>
      <c r="BH1185" s="99"/>
    </row>
    <row r="1186" spans="51:60" x14ac:dyDescent="0.2">
      <c r="AY1186" s="79"/>
      <c r="AZ1186" s="85"/>
      <c r="BA1186" s="40"/>
      <c r="BB1186" s="99"/>
      <c r="BC1186" s="85"/>
      <c r="BG1186" s="79"/>
      <c r="BH1186" s="99"/>
    </row>
    <row r="1187" spans="51:60" x14ac:dyDescent="0.2">
      <c r="AY1187" s="79"/>
      <c r="AZ1187" s="85"/>
      <c r="BA1187" s="40"/>
      <c r="BB1187" s="99"/>
      <c r="BC1187" s="85"/>
      <c r="BG1187" s="79"/>
      <c r="BH1187" s="99"/>
    </row>
    <row r="1188" spans="51:60" x14ac:dyDescent="0.2">
      <c r="AY1188" s="79"/>
      <c r="AZ1188" s="85"/>
      <c r="BA1188" s="40"/>
      <c r="BB1188" s="99"/>
      <c r="BC1188" s="85"/>
      <c r="BG1188" s="79"/>
      <c r="BH1188" s="99"/>
    </row>
    <row r="1189" spans="51:60" x14ac:dyDescent="0.2">
      <c r="AY1189" s="79"/>
      <c r="AZ1189" s="85"/>
      <c r="BA1189" s="40"/>
      <c r="BB1189" s="99"/>
      <c r="BC1189" s="85"/>
      <c r="BG1189" s="79"/>
      <c r="BH1189" s="99"/>
    </row>
    <row r="1190" spans="51:60" x14ac:dyDescent="0.2">
      <c r="AY1190" s="79"/>
      <c r="AZ1190" s="85"/>
      <c r="BA1190" s="40"/>
      <c r="BB1190" s="99"/>
      <c r="BC1190" s="85"/>
      <c r="BG1190" s="79"/>
      <c r="BH1190" s="99"/>
    </row>
    <row r="1191" spans="51:60" x14ac:dyDescent="0.2">
      <c r="AY1191" s="79"/>
      <c r="AZ1191" s="85"/>
      <c r="BA1191" s="40"/>
      <c r="BB1191" s="99"/>
      <c r="BC1191" s="85"/>
      <c r="BG1191" s="79"/>
      <c r="BH1191" s="99"/>
    </row>
    <row r="1192" spans="51:60" x14ac:dyDescent="0.2">
      <c r="AY1192" s="79"/>
      <c r="AZ1192" s="85"/>
      <c r="BA1192" s="40"/>
      <c r="BB1192" s="99"/>
      <c r="BC1192" s="85"/>
      <c r="BG1192" s="79"/>
      <c r="BH1192" s="99"/>
    </row>
    <row r="1193" spans="51:60" x14ac:dyDescent="0.2">
      <c r="AY1193" s="79"/>
      <c r="AZ1193" s="85"/>
      <c r="BA1193" s="40"/>
      <c r="BB1193" s="99"/>
      <c r="BC1193" s="85"/>
      <c r="BG1193" s="79"/>
      <c r="BH1193" s="99"/>
    </row>
    <row r="1194" spans="51:60" x14ac:dyDescent="0.2">
      <c r="AY1194" s="79"/>
      <c r="AZ1194" s="85"/>
      <c r="BA1194" s="40"/>
      <c r="BB1194" s="99"/>
      <c r="BC1194" s="85"/>
      <c r="BG1194" s="79"/>
      <c r="BH1194" s="99"/>
    </row>
    <row r="1195" spans="51:60" x14ac:dyDescent="0.2">
      <c r="AY1195" s="79"/>
      <c r="AZ1195" s="85"/>
      <c r="BA1195" s="40"/>
      <c r="BB1195" s="99"/>
      <c r="BC1195" s="85"/>
      <c r="BG1195" s="79"/>
      <c r="BH1195" s="99"/>
    </row>
    <row r="1196" spans="51:60" x14ac:dyDescent="0.2">
      <c r="AY1196" s="79"/>
      <c r="AZ1196" s="85"/>
      <c r="BA1196" s="40"/>
      <c r="BB1196" s="99"/>
      <c r="BC1196" s="85"/>
      <c r="BG1196" s="79"/>
      <c r="BH1196" s="99"/>
    </row>
    <row r="1197" spans="51:60" x14ac:dyDescent="0.2">
      <c r="AY1197" s="79"/>
      <c r="AZ1197" s="85"/>
      <c r="BA1197" s="40"/>
      <c r="BB1197" s="99"/>
      <c r="BC1197" s="85"/>
      <c r="BG1197" s="79"/>
      <c r="BH1197" s="99"/>
    </row>
    <row r="1198" spans="51:60" x14ac:dyDescent="0.2">
      <c r="AY1198" s="79"/>
      <c r="AZ1198" s="85"/>
      <c r="BA1198" s="40"/>
      <c r="BB1198" s="99"/>
      <c r="BC1198" s="85"/>
      <c r="BG1198" s="79"/>
      <c r="BH1198" s="99"/>
    </row>
    <row r="1199" spans="51:60" x14ac:dyDescent="0.2">
      <c r="AY1199" s="79"/>
      <c r="AZ1199" s="85"/>
      <c r="BA1199" s="40"/>
      <c r="BB1199" s="99"/>
      <c r="BC1199" s="85"/>
      <c r="BG1199" s="79"/>
      <c r="BH1199" s="99"/>
    </row>
    <row r="1200" spans="51:60" x14ac:dyDescent="0.2">
      <c r="AY1200" s="79"/>
      <c r="AZ1200" s="85"/>
      <c r="BA1200" s="40"/>
      <c r="BB1200" s="99"/>
      <c r="BC1200" s="85"/>
      <c r="BG1200" s="79"/>
      <c r="BH1200" s="99"/>
    </row>
    <row r="1201" spans="51:60" x14ac:dyDescent="0.2">
      <c r="AY1201" s="79"/>
      <c r="AZ1201" s="85"/>
      <c r="BA1201" s="40"/>
      <c r="BB1201" s="99"/>
      <c r="BC1201" s="85"/>
      <c r="BG1201" s="79"/>
      <c r="BH1201" s="99"/>
    </row>
    <row r="1202" spans="51:60" x14ac:dyDescent="0.2">
      <c r="AY1202" s="79"/>
      <c r="AZ1202" s="85"/>
      <c r="BA1202" s="40"/>
      <c r="BB1202" s="99"/>
      <c r="BC1202" s="85"/>
      <c r="BG1202" s="79"/>
      <c r="BH1202" s="99"/>
    </row>
    <row r="1203" spans="51:60" x14ac:dyDescent="0.2">
      <c r="AY1203" s="79"/>
      <c r="AZ1203" s="85"/>
      <c r="BA1203" s="40"/>
      <c r="BB1203" s="99"/>
      <c r="BC1203" s="85"/>
      <c r="BG1203" s="79"/>
      <c r="BH1203" s="99"/>
    </row>
    <row r="1204" spans="51:60" x14ac:dyDescent="0.2">
      <c r="AY1204" s="79"/>
      <c r="AZ1204" s="85"/>
      <c r="BA1204" s="40"/>
      <c r="BB1204" s="99"/>
      <c r="BC1204" s="85"/>
      <c r="BG1204" s="79"/>
      <c r="BH1204" s="99"/>
    </row>
    <row r="1205" spans="51:60" x14ac:dyDescent="0.2">
      <c r="AY1205" s="79"/>
      <c r="AZ1205" s="85"/>
      <c r="BA1205" s="40"/>
      <c r="BB1205" s="99"/>
      <c r="BC1205" s="85"/>
      <c r="BG1205" s="79"/>
      <c r="BH1205" s="99"/>
    </row>
    <row r="1206" spans="51:60" x14ac:dyDescent="0.2">
      <c r="AY1206" s="79"/>
      <c r="AZ1206" s="85"/>
      <c r="BA1206" s="40"/>
      <c r="BB1206" s="99"/>
      <c r="BC1206" s="85"/>
      <c r="BG1206" s="79"/>
      <c r="BH1206" s="99"/>
    </row>
    <row r="1207" spans="51:60" x14ac:dyDescent="0.2">
      <c r="AY1207" s="79"/>
      <c r="AZ1207" s="85"/>
      <c r="BA1207" s="40"/>
      <c r="BB1207" s="99"/>
      <c r="BC1207" s="85"/>
      <c r="BG1207" s="79"/>
      <c r="BH1207" s="99"/>
    </row>
    <row r="1208" spans="51:60" x14ac:dyDescent="0.2">
      <c r="AY1208" s="79"/>
      <c r="AZ1208" s="85"/>
      <c r="BA1208" s="40"/>
      <c r="BB1208" s="99"/>
      <c r="BC1208" s="85"/>
      <c r="BG1208" s="79"/>
      <c r="BH1208" s="99"/>
    </row>
    <row r="1209" spans="51:60" x14ac:dyDescent="0.2">
      <c r="AY1209" s="79"/>
      <c r="AZ1209" s="85"/>
      <c r="BA1209" s="40"/>
      <c r="BB1209" s="99"/>
      <c r="BC1209" s="85"/>
      <c r="BG1209" s="79"/>
      <c r="BH1209" s="99"/>
    </row>
    <row r="1210" spans="51:60" x14ac:dyDescent="0.2">
      <c r="AY1210" s="79"/>
      <c r="AZ1210" s="85"/>
      <c r="BA1210" s="40"/>
      <c r="BB1210" s="99"/>
      <c r="BC1210" s="85"/>
      <c r="BG1210" s="79"/>
      <c r="BH1210" s="99"/>
    </row>
    <row r="1211" spans="51:60" x14ac:dyDescent="0.2">
      <c r="AY1211" s="79"/>
      <c r="AZ1211" s="85"/>
      <c r="BA1211" s="40"/>
      <c r="BB1211" s="99"/>
      <c r="BC1211" s="85"/>
      <c r="BG1211" s="79"/>
      <c r="BH1211" s="99"/>
    </row>
    <row r="1212" spans="51:60" x14ac:dyDescent="0.2">
      <c r="AY1212" s="79"/>
      <c r="AZ1212" s="85"/>
      <c r="BA1212" s="40"/>
      <c r="BB1212" s="99"/>
      <c r="BC1212" s="85"/>
      <c r="BG1212" s="79"/>
      <c r="BH1212" s="99"/>
    </row>
    <row r="1213" spans="51:60" x14ac:dyDescent="0.2">
      <c r="AY1213" s="79"/>
      <c r="AZ1213" s="85"/>
      <c r="BA1213" s="40"/>
      <c r="BB1213" s="99"/>
      <c r="BC1213" s="85"/>
      <c r="BG1213" s="79"/>
      <c r="BH1213" s="99"/>
    </row>
    <row r="1214" spans="51:60" x14ac:dyDescent="0.2">
      <c r="AY1214" s="79"/>
      <c r="AZ1214" s="85"/>
      <c r="BA1214" s="40"/>
      <c r="BB1214" s="99"/>
      <c r="BC1214" s="85"/>
      <c r="BG1214" s="79"/>
      <c r="BH1214" s="99"/>
    </row>
    <row r="1215" spans="51:60" x14ac:dyDescent="0.2">
      <c r="AY1215" s="79"/>
      <c r="AZ1215" s="85"/>
      <c r="BA1215" s="40"/>
      <c r="BB1215" s="99"/>
      <c r="BC1215" s="85"/>
      <c r="BG1215" s="79"/>
      <c r="BH1215" s="99"/>
    </row>
    <row r="1216" spans="51:60" x14ac:dyDescent="0.2">
      <c r="AY1216" s="79"/>
      <c r="AZ1216" s="85"/>
      <c r="BA1216" s="40"/>
      <c r="BB1216" s="99"/>
      <c r="BC1216" s="85"/>
      <c r="BG1216" s="79"/>
      <c r="BH1216" s="99"/>
    </row>
    <row r="1217" spans="51:60" x14ac:dyDescent="0.2">
      <c r="AY1217" s="79"/>
      <c r="AZ1217" s="85"/>
      <c r="BA1217" s="40"/>
      <c r="BB1217" s="99"/>
      <c r="BC1217" s="85"/>
      <c r="BG1217" s="79"/>
      <c r="BH1217" s="99"/>
    </row>
    <row r="1218" spans="51:60" x14ac:dyDescent="0.2">
      <c r="AY1218" s="79"/>
      <c r="AZ1218" s="85"/>
      <c r="BA1218" s="40"/>
      <c r="BB1218" s="99"/>
      <c r="BC1218" s="85"/>
      <c r="BG1218" s="79"/>
      <c r="BH1218" s="99"/>
    </row>
    <row r="1219" spans="51:60" x14ac:dyDescent="0.2">
      <c r="AY1219" s="79"/>
      <c r="AZ1219" s="85"/>
      <c r="BA1219" s="40"/>
      <c r="BB1219" s="99"/>
      <c r="BC1219" s="85"/>
      <c r="BG1219" s="79"/>
      <c r="BH1219" s="99"/>
    </row>
    <row r="1220" spans="51:60" x14ac:dyDescent="0.2">
      <c r="AY1220" s="79"/>
      <c r="AZ1220" s="85"/>
      <c r="BA1220" s="40"/>
      <c r="BB1220" s="99"/>
      <c r="BC1220" s="85"/>
      <c r="BG1220" s="79"/>
      <c r="BH1220" s="99"/>
    </row>
    <row r="1221" spans="51:60" x14ac:dyDescent="0.2">
      <c r="AY1221" s="79"/>
      <c r="AZ1221" s="85"/>
      <c r="BA1221" s="40"/>
      <c r="BB1221" s="99"/>
      <c r="BC1221" s="85"/>
      <c r="BG1221" s="79"/>
      <c r="BH1221" s="99"/>
    </row>
    <row r="1222" spans="51:60" x14ac:dyDescent="0.2">
      <c r="AY1222" s="79"/>
      <c r="AZ1222" s="85"/>
      <c r="BA1222" s="40"/>
      <c r="BB1222" s="99"/>
      <c r="BC1222" s="85"/>
      <c r="BG1222" s="79"/>
      <c r="BH1222" s="99"/>
    </row>
    <row r="1223" spans="51:60" x14ac:dyDescent="0.2">
      <c r="AY1223" s="79"/>
      <c r="AZ1223" s="85"/>
      <c r="BA1223" s="40"/>
      <c r="BB1223" s="99"/>
      <c r="BC1223" s="85"/>
      <c r="BG1223" s="79"/>
      <c r="BH1223" s="99"/>
    </row>
    <row r="1224" spans="51:60" x14ac:dyDescent="0.2">
      <c r="AY1224" s="79"/>
      <c r="AZ1224" s="85"/>
      <c r="BA1224" s="40"/>
      <c r="BB1224" s="99"/>
      <c r="BC1224" s="85"/>
      <c r="BG1224" s="79"/>
      <c r="BH1224" s="99"/>
    </row>
    <row r="1225" spans="51:60" x14ac:dyDescent="0.2">
      <c r="AY1225" s="79"/>
      <c r="AZ1225" s="85"/>
      <c r="BA1225" s="40"/>
      <c r="BB1225" s="99"/>
      <c r="BC1225" s="85"/>
      <c r="BG1225" s="79"/>
      <c r="BH1225" s="99"/>
    </row>
    <row r="1226" spans="51:60" x14ac:dyDescent="0.2">
      <c r="AY1226" s="79"/>
      <c r="AZ1226" s="85"/>
      <c r="BA1226" s="40"/>
      <c r="BB1226" s="99"/>
      <c r="BC1226" s="85"/>
      <c r="BG1226" s="79"/>
      <c r="BH1226" s="99"/>
    </row>
    <row r="1227" spans="51:60" x14ac:dyDescent="0.2">
      <c r="AY1227" s="79"/>
      <c r="AZ1227" s="85"/>
      <c r="BA1227" s="40"/>
      <c r="BB1227" s="99"/>
      <c r="BC1227" s="85"/>
      <c r="BG1227" s="79"/>
      <c r="BH1227" s="99"/>
    </row>
    <row r="1228" spans="51:60" x14ac:dyDescent="0.2">
      <c r="AY1228" s="79"/>
      <c r="AZ1228" s="85"/>
      <c r="BA1228" s="40"/>
      <c r="BB1228" s="99"/>
      <c r="BC1228" s="85"/>
      <c r="BG1228" s="79"/>
      <c r="BH1228" s="99"/>
    </row>
    <row r="1229" spans="51:60" x14ac:dyDescent="0.2">
      <c r="AY1229" s="79"/>
      <c r="AZ1229" s="85"/>
      <c r="BA1229" s="40"/>
      <c r="BB1229" s="99"/>
      <c r="BC1229" s="85"/>
      <c r="BG1229" s="79"/>
      <c r="BH1229" s="99"/>
    </row>
    <row r="1230" spans="51:60" x14ac:dyDescent="0.2">
      <c r="AY1230" s="79"/>
      <c r="AZ1230" s="85"/>
      <c r="BA1230" s="40"/>
      <c r="BB1230" s="99"/>
      <c r="BC1230" s="85"/>
      <c r="BG1230" s="79"/>
      <c r="BH1230" s="99"/>
    </row>
    <row r="1231" spans="51:60" x14ac:dyDescent="0.2">
      <c r="AY1231" s="79"/>
      <c r="AZ1231" s="85"/>
      <c r="BA1231" s="40"/>
      <c r="BB1231" s="99"/>
      <c r="BC1231" s="85"/>
      <c r="BG1231" s="79"/>
      <c r="BH1231" s="99"/>
    </row>
    <row r="1232" spans="51:60" x14ac:dyDescent="0.2">
      <c r="AY1232" s="79"/>
      <c r="AZ1232" s="85"/>
      <c r="BA1232" s="40"/>
      <c r="BB1232" s="99"/>
      <c r="BC1232" s="85"/>
      <c r="BG1232" s="79"/>
      <c r="BH1232" s="99"/>
    </row>
    <row r="1233" spans="51:60" x14ac:dyDescent="0.2">
      <c r="AY1233" s="79"/>
      <c r="AZ1233" s="85"/>
      <c r="BA1233" s="40"/>
      <c r="BB1233" s="99"/>
      <c r="BC1233" s="85"/>
      <c r="BG1233" s="79"/>
      <c r="BH1233" s="99"/>
    </row>
    <row r="1234" spans="51:60" x14ac:dyDescent="0.2">
      <c r="AY1234" s="79"/>
      <c r="AZ1234" s="85"/>
      <c r="BA1234" s="40"/>
      <c r="BB1234" s="99"/>
      <c r="BC1234" s="85"/>
      <c r="BG1234" s="79"/>
      <c r="BH1234" s="99"/>
    </row>
    <row r="1235" spans="51:60" x14ac:dyDescent="0.2">
      <c r="AY1235" s="79"/>
      <c r="AZ1235" s="85"/>
      <c r="BA1235" s="40"/>
      <c r="BB1235" s="99"/>
      <c r="BC1235" s="85"/>
      <c r="BG1235" s="79"/>
      <c r="BH1235" s="99"/>
    </row>
    <row r="1236" spans="51:60" x14ac:dyDescent="0.2">
      <c r="AY1236" s="79"/>
      <c r="AZ1236" s="85"/>
      <c r="BA1236" s="40"/>
      <c r="BB1236" s="99"/>
      <c r="BC1236" s="85"/>
      <c r="BG1236" s="79"/>
      <c r="BH1236" s="99"/>
    </row>
    <row r="1237" spans="51:60" x14ac:dyDescent="0.2">
      <c r="AY1237" s="79"/>
      <c r="AZ1237" s="85"/>
      <c r="BA1237" s="40"/>
      <c r="BB1237" s="99"/>
      <c r="BC1237" s="85"/>
      <c r="BG1237" s="79"/>
      <c r="BH1237" s="99"/>
    </row>
    <row r="1238" spans="51:60" x14ac:dyDescent="0.2">
      <c r="AY1238" s="79"/>
      <c r="AZ1238" s="85"/>
      <c r="BA1238" s="40"/>
      <c r="BB1238" s="99"/>
      <c r="BC1238" s="85"/>
      <c r="BG1238" s="79"/>
      <c r="BH1238" s="99"/>
    </row>
    <row r="1239" spans="51:60" x14ac:dyDescent="0.2">
      <c r="AY1239" s="79"/>
      <c r="AZ1239" s="85"/>
      <c r="BA1239" s="40"/>
      <c r="BB1239" s="99"/>
      <c r="BC1239" s="85"/>
      <c r="BG1239" s="79"/>
      <c r="BH1239" s="99"/>
    </row>
    <row r="1240" spans="51:60" x14ac:dyDescent="0.2">
      <c r="AY1240" s="79"/>
      <c r="AZ1240" s="85"/>
      <c r="BA1240" s="40"/>
      <c r="BB1240" s="99"/>
      <c r="BC1240" s="85"/>
      <c r="BG1240" s="79"/>
      <c r="BH1240" s="99"/>
    </row>
    <row r="1241" spans="51:60" x14ac:dyDescent="0.2">
      <c r="AY1241" s="79"/>
      <c r="AZ1241" s="85"/>
      <c r="BA1241" s="40"/>
      <c r="BB1241" s="99"/>
      <c r="BC1241" s="85"/>
      <c r="BG1241" s="79"/>
      <c r="BH1241" s="99"/>
    </row>
    <row r="1242" spans="51:60" x14ac:dyDescent="0.2">
      <c r="AY1242" s="79"/>
      <c r="AZ1242" s="85"/>
      <c r="BA1242" s="40"/>
      <c r="BB1242" s="99"/>
      <c r="BC1242" s="85"/>
      <c r="BG1242" s="79"/>
      <c r="BH1242" s="99"/>
    </row>
    <row r="1243" spans="51:60" x14ac:dyDescent="0.2">
      <c r="AY1243" s="79"/>
      <c r="AZ1243" s="85"/>
      <c r="BA1243" s="40"/>
      <c r="BB1243" s="99"/>
      <c r="BC1243" s="85"/>
      <c r="BG1243" s="79"/>
      <c r="BH1243" s="99"/>
    </row>
    <row r="1244" spans="51:60" x14ac:dyDescent="0.2">
      <c r="AY1244" s="79"/>
      <c r="AZ1244" s="85"/>
      <c r="BA1244" s="40"/>
      <c r="BB1244" s="99"/>
      <c r="BC1244" s="85"/>
      <c r="BG1244" s="79"/>
      <c r="BH1244" s="99"/>
    </row>
    <row r="1245" spans="51:60" x14ac:dyDescent="0.2">
      <c r="AY1245" s="79"/>
      <c r="AZ1245" s="85"/>
      <c r="BA1245" s="40"/>
      <c r="BB1245" s="99"/>
      <c r="BC1245" s="85"/>
      <c r="BG1245" s="79"/>
      <c r="BH1245" s="99"/>
    </row>
    <row r="1246" spans="51:60" x14ac:dyDescent="0.2">
      <c r="AY1246" s="79"/>
      <c r="AZ1246" s="85"/>
      <c r="BA1246" s="40"/>
      <c r="BB1246" s="99"/>
      <c r="BC1246" s="85"/>
      <c r="BG1246" s="79"/>
      <c r="BH1246" s="99"/>
    </row>
    <row r="1247" spans="51:60" x14ac:dyDescent="0.2">
      <c r="AY1247" s="79"/>
      <c r="AZ1247" s="85"/>
      <c r="BA1247" s="40"/>
      <c r="BB1247" s="99"/>
      <c r="BC1247" s="85"/>
      <c r="BG1247" s="79"/>
      <c r="BH1247" s="99"/>
    </row>
    <row r="1248" spans="51:60" x14ac:dyDescent="0.2">
      <c r="AY1248" s="79"/>
      <c r="AZ1248" s="85"/>
      <c r="BA1248" s="40"/>
      <c r="BB1248" s="99"/>
      <c r="BC1248" s="85"/>
      <c r="BG1248" s="79"/>
      <c r="BH1248" s="99"/>
    </row>
    <row r="1249" spans="51:60" x14ac:dyDescent="0.2">
      <c r="AY1249" s="79"/>
      <c r="AZ1249" s="85"/>
      <c r="BA1249" s="40"/>
      <c r="BB1249" s="99"/>
      <c r="BC1249" s="85"/>
      <c r="BG1249" s="79"/>
      <c r="BH1249" s="99"/>
    </row>
    <row r="1250" spans="51:60" x14ac:dyDescent="0.2">
      <c r="AY1250" s="79"/>
      <c r="AZ1250" s="85"/>
      <c r="BA1250" s="40"/>
      <c r="BB1250" s="99"/>
      <c r="BC1250" s="85"/>
      <c r="BG1250" s="79"/>
      <c r="BH1250" s="99"/>
    </row>
    <row r="1251" spans="51:60" x14ac:dyDescent="0.2">
      <c r="AY1251" s="79"/>
      <c r="AZ1251" s="85"/>
      <c r="BA1251" s="40"/>
      <c r="BB1251" s="99"/>
      <c r="BC1251" s="85"/>
      <c r="BG1251" s="79"/>
      <c r="BH1251" s="99"/>
    </row>
    <row r="1252" spans="51:60" x14ac:dyDescent="0.2">
      <c r="AY1252" s="79"/>
      <c r="AZ1252" s="85"/>
      <c r="BA1252" s="40"/>
      <c r="BB1252" s="99"/>
      <c r="BC1252" s="85"/>
      <c r="BG1252" s="79"/>
      <c r="BH1252" s="99"/>
    </row>
    <row r="1253" spans="51:60" x14ac:dyDescent="0.2">
      <c r="AY1253" s="79"/>
      <c r="AZ1253" s="85"/>
      <c r="BA1253" s="40"/>
      <c r="BB1253" s="99"/>
      <c r="BC1253" s="85"/>
      <c r="BG1253" s="79"/>
      <c r="BH1253" s="99"/>
    </row>
    <row r="1254" spans="51:60" x14ac:dyDescent="0.2">
      <c r="AY1254" s="79"/>
      <c r="AZ1254" s="85"/>
      <c r="BA1254" s="40"/>
      <c r="BB1254" s="99"/>
      <c r="BC1254" s="85"/>
      <c r="BG1254" s="79"/>
      <c r="BH1254" s="99"/>
    </row>
    <row r="1255" spans="51:60" x14ac:dyDescent="0.2">
      <c r="AY1255" s="79"/>
      <c r="AZ1255" s="85"/>
      <c r="BA1255" s="40"/>
      <c r="BB1255" s="99"/>
      <c r="BC1255" s="85"/>
      <c r="BG1255" s="79"/>
      <c r="BH1255" s="99"/>
    </row>
    <row r="1256" spans="51:60" x14ac:dyDescent="0.2">
      <c r="AY1256" s="79"/>
      <c r="AZ1256" s="85"/>
      <c r="BA1256" s="40"/>
      <c r="BB1256" s="99"/>
      <c r="BC1256" s="85"/>
      <c r="BG1256" s="79"/>
      <c r="BH1256" s="99"/>
    </row>
    <row r="1257" spans="51:60" x14ac:dyDescent="0.2">
      <c r="AY1257" s="79"/>
      <c r="AZ1257" s="85"/>
      <c r="BA1257" s="40"/>
      <c r="BB1257" s="99"/>
      <c r="BC1257" s="85"/>
      <c r="BG1257" s="79"/>
      <c r="BH1257" s="99"/>
    </row>
    <row r="1258" spans="51:60" x14ac:dyDescent="0.2">
      <c r="AY1258" s="79"/>
      <c r="AZ1258" s="85"/>
      <c r="BA1258" s="40"/>
      <c r="BB1258" s="99"/>
      <c r="BC1258" s="85"/>
      <c r="BG1258" s="79"/>
      <c r="BH1258" s="99"/>
    </row>
    <row r="1259" spans="51:60" x14ac:dyDescent="0.2">
      <c r="AY1259" s="79"/>
      <c r="AZ1259" s="85"/>
      <c r="BA1259" s="40"/>
      <c r="BB1259" s="99"/>
      <c r="BC1259" s="85"/>
      <c r="BG1259" s="79"/>
      <c r="BH1259" s="99"/>
    </row>
    <row r="1260" spans="51:60" x14ac:dyDescent="0.2">
      <c r="AY1260" s="79"/>
      <c r="AZ1260" s="85"/>
      <c r="BA1260" s="40"/>
      <c r="BB1260" s="99"/>
      <c r="BC1260" s="85"/>
      <c r="BG1260" s="79"/>
      <c r="BH1260" s="99"/>
    </row>
    <row r="1261" spans="51:60" x14ac:dyDescent="0.2">
      <c r="AY1261" s="79"/>
      <c r="AZ1261" s="85"/>
      <c r="BA1261" s="40"/>
      <c r="BB1261" s="99"/>
      <c r="BC1261" s="85"/>
      <c r="BG1261" s="79"/>
      <c r="BH1261" s="99"/>
    </row>
    <row r="1262" spans="51:60" x14ac:dyDescent="0.2">
      <c r="AY1262" s="79"/>
      <c r="AZ1262" s="85"/>
      <c r="BA1262" s="40"/>
      <c r="BB1262" s="99"/>
      <c r="BC1262" s="85"/>
      <c r="BG1262" s="79"/>
      <c r="BH1262" s="99"/>
    </row>
    <row r="1263" spans="51:60" x14ac:dyDescent="0.2">
      <c r="AY1263" s="79"/>
      <c r="AZ1263" s="85"/>
      <c r="BA1263" s="40"/>
      <c r="BB1263" s="99"/>
      <c r="BC1263" s="85"/>
      <c r="BG1263" s="79"/>
      <c r="BH1263" s="99"/>
    </row>
    <row r="1264" spans="51:60" x14ac:dyDescent="0.2">
      <c r="AY1264" s="79"/>
      <c r="AZ1264" s="85"/>
      <c r="BA1264" s="40"/>
      <c r="BB1264" s="99"/>
      <c r="BC1264" s="85"/>
      <c r="BG1264" s="79"/>
      <c r="BH1264" s="99"/>
    </row>
    <row r="1265" spans="51:60" x14ac:dyDescent="0.2">
      <c r="AY1265" s="79"/>
      <c r="AZ1265" s="85"/>
      <c r="BA1265" s="40"/>
      <c r="BB1265" s="99"/>
      <c r="BC1265" s="85"/>
      <c r="BG1265" s="79"/>
      <c r="BH1265" s="99"/>
    </row>
    <row r="1266" spans="51:60" x14ac:dyDescent="0.2">
      <c r="AY1266" s="79"/>
      <c r="AZ1266" s="85"/>
      <c r="BA1266" s="40"/>
      <c r="BB1266" s="99"/>
      <c r="BC1266" s="85"/>
      <c r="BG1266" s="79"/>
      <c r="BH1266" s="99"/>
    </row>
    <row r="1267" spans="51:60" x14ac:dyDescent="0.2">
      <c r="AY1267" s="79"/>
      <c r="AZ1267" s="85"/>
      <c r="BA1267" s="40"/>
      <c r="BB1267" s="99"/>
      <c r="BC1267" s="85"/>
      <c r="BG1267" s="79"/>
      <c r="BH1267" s="99"/>
    </row>
    <row r="1268" spans="51:60" x14ac:dyDescent="0.2">
      <c r="AY1268" s="79"/>
      <c r="AZ1268" s="85"/>
      <c r="BA1268" s="40"/>
      <c r="BB1268" s="99"/>
      <c r="BC1268" s="85"/>
      <c r="BG1268" s="79"/>
      <c r="BH1268" s="99"/>
    </row>
    <row r="1269" spans="51:60" x14ac:dyDescent="0.2">
      <c r="AY1269" s="79"/>
      <c r="AZ1269" s="85"/>
      <c r="BA1269" s="40"/>
      <c r="BB1269" s="99"/>
      <c r="BC1269" s="85"/>
      <c r="BG1269" s="79"/>
      <c r="BH1269" s="99"/>
    </row>
    <row r="1270" spans="51:60" x14ac:dyDescent="0.2">
      <c r="AY1270" s="79"/>
      <c r="AZ1270" s="85"/>
      <c r="BA1270" s="40"/>
      <c r="BB1270" s="99"/>
      <c r="BC1270" s="85"/>
      <c r="BG1270" s="79"/>
      <c r="BH1270" s="99"/>
    </row>
    <row r="1271" spans="51:60" x14ac:dyDescent="0.2">
      <c r="AY1271" s="79"/>
      <c r="AZ1271" s="85"/>
      <c r="BA1271" s="40"/>
      <c r="BB1271" s="99"/>
      <c r="BC1271" s="85"/>
      <c r="BG1271" s="79"/>
      <c r="BH1271" s="99"/>
    </row>
    <row r="1272" spans="51:60" x14ac:dyDescent="0.2">
      <c r="AY1272" s="79"/>
      <c r="AZ1272" s="85"/>
      <c r="BA1272" s="40"/>
      <c r="BB1272" s="99"/>
      <c r="BC1272" s="85"/>
      <c r="BG1272" s="79"/>
      <c r="BH1272" s="99"/>
    </row>
    <row r="1273" spans="51:60" x14ac:dyDescent="0.2">
      <c r="AY1273" s="79"/>
      <c r="AZ1273" s="85"/>
      <c r="BA1273" s="40"/>
      <c r="BB1273" s="99"/>
      <c r="BC1273" s="85"/>
      <c r="BG1273" s="79"/>
      <c r="BH1273" s="99"/>
    </row>
    <row r="1274" spans="51:60" x14ac:dyDescent="0.2">
      <c r="AY1274" s="79"/>
      <c r="AZ1274" s="85"/>
      <c r="BA1274" s="40"/>
      <c r="BB1274" s="99"/>
      <c r="BC1274" s="85"/>
      <c r="BG1274" s="79"/>
      <c r="BH1274" s="99"/>
    </row>
    <row r="1275" spans="51:60" x14ac:dyDescent="0.2">
      <c r="AY1275" s="79"/>
      <c r="AZ1275" s="85"/>
      <c r="BA1275" s="40"/>
      <c r="BB1275" s="99"/>
      <c r="BC1275" s="85"/>
      <c r="BG1275" s="79"/>
      <c r="BH1275" s="99"/>
    </row>
    <row r="1276" spans="51:60" x14ac:dyDescent="0.2">
      <c r="AY1276" s="79"/>
      <c r="AZ1276" s="85"/>
      <c r="BA1276" s="40"/>
      <c r="BB1276" s="99"/>
      <c r="BC1276" s="85"/>
      <c r="BG1276" s="79"/>
      <c r="BH1276" s="99"/>
    </row>
    <row r="1277" spans="51:60" x14ac:dyDescent="0.2">
      <c r="AY1277" s="79"/>
      <c r="AZ1277" s="85"/>
      <c r="BA1277" s="40"/>
      <c r="BB1277" s="99"/>
      <c r="BC1277" s="85"/>
      <c r="BG1277" s="79"/>
      <c r="BH1277" s="99"/>
    </row>
    <row r="1278" spans="51:60" x14ac:dyDescent="0.2">
      <c r="AY1278" s="79"/>
      <c r="AZ1278" s="85"/>
      <c r="BA1278" s="40"/>
      <c r="BB1278" s="99"/>
      <c r="BC1278" s="85"/>
      <c r="BG1278" s="79"/>
      <c r="BH1278" s="99"/>
    </row>
    <row r="1279" spans="51:60" x14ac:dyDescent="0.2">
      <c r="AY1279" s="79"/>
      <c r="AZ1279" s="85"/>
      <c r="BA1279" s="40"/>
      <c r="BB1279" s="99"/>
      <c r="BC1279" s="85"/>
      <c r="BG1279" s="79"/>
      <c r="BH1279" s="99"/>
    </row>
    <row r="1280" spans="51:60" x14ac:dyDescent="0.2">
      <c r="AY1280" s="79"/>
      <c r="AZ1280" s="85"/>
      <c r="BA1280" s="40"/>
      <c r="BB1280" s="99"/>
      <c r="BC1280" s="85"/>
      <c r="BG1280" s="79"/>
      <c r="BH1280" s="99"/>
    </row>
    <row r="1281" spans="51:60" x14ac:dyDescent="0.2">
      <c r="AY1281" s="79"/>
      <c r="AZ1281" s="85"/>
      <c r="BA1281" s="40"/>
      <c r="BB1281" s="99"/>
      <c r="BC1281" s="85"/>
      <c r="BG1281" s="79"/>
      <c r="BH1281" s="99"/>
    </row>
    <row r="1282" spans="51:60" x14ac:dyDescent="0.2">
      <c r="AY1282" s="79"/>
      <c r="AZ1282" s="85"/>
      <c r="BA1282" s="40"/>
      <c r="BB1282" s="99"/>
      <c r="BC1282" s="85"/>
      <c r="BG1282" s="79"/>
      <c r="BH1282" s="99"/>
    </row>
    <row r="1283" spans="51:60" x14ac:dyDescent="0.2">
      <c r="AY1283" s="79"/>
      <c r="AZ1283" s="85"/>
      <c r="BA1283" s="40"/>
      <c r="BB1283" s="99"/>
      <c r="BC1283" s="85"/>
      <c r="BG1283" s="79"/>
      <c r="BH1283" s="99"/>
    </row>
    <row r="1284" spans="51:60" x14ac:dyDescent="0.2">
      <c r="AY1284" s="79"/>
      <c r="AZ1284" s="85"/>
      <c r="BA1284" s="40"/>
      <c r="BB1284" s="99"/>
      <c r="BC1284" s="85"/>
      <c r="BG1284" s="79"/>
      <c r="BH1284" s="99"/>
    </row>
    <row r="1285" spans="51:60" x14ac:dyDescent="0.2">
      <c r="AY1285" s="79"/>
      <c r="AZ1285" s="85"/>
      <c r="BA1285" s="40"/>
      <c r="BB1285" s="99"/>
      <c r="BC1285" s="85"/>
      <c r="BG1285" s="79"/>
      <c r="BH1285" s="99"/>
    </row>
    <row r="1286" spans="51:60" x14ac:dyDescent="0.2">
      <c r="AY1286" s="79"/>
      <c r="AZ1286" s="85"/>
      <c r="BA1286" s="40"/>
      <c r="BB1286" s="99"/>
      <c r="BC1286" s="85"/>
      <c r="BG1286" s="79"/>
      <c r="BH1286" s="99"/>
    </row>
    <row r="1287" spans="51:60" x14ac:dyDescent="0.2">
      <c r="AY1287" s="79"/>
      <c r="AZ1287" s="85"/>
      <c r="BA1287" s="40"/>
      <c r="BB1287" s="99"/>
      <c r="BC1287" s="85"/>
      <c r="BG1287" s="79"/>
      <c r="BH1287" s="99"/>
    </row>
    <row r="1288" spans="51:60" x14ac:dyDescent="0.2">
      <c r="AY1288" s="79"/>
      <c r="AZ1288" s="85"/>
      <c r="BA1288" s="40"/>
      <c r="BB1288" s="99"/>
      <c r="BC1288" s="85"/>
      <c r="BG1288" s="79"/>
      <c r="BH1288" s="99"/>
    </row>
    <row r="1289" spans="51:60" x14ac:dyDescent="0.2">
      <c r="AY1289" s="79"/>
      <c r="AZ1289" s="85"/>
      <c r="BA1289" s="40"/>
      <c r="BB1289" s="99"/>
      <c r="BC1289" s="85"/>
      <c r="BG1289" s="79"/>
      <c r="BH1289" s="99"/>
    </row>
    <row r="1290" spans="51:60" x14ac:dyDescent="0.2">
      <c r="AY1290" s="79"/>
      <c r="AZ1290" s="85"/>
      <c r="BA1290" s="40"/>
      <c r="BB1290" s="99"/>
      <c r="BC1290" s="85"/>
      <c r="BG1290" s="79"/>
      <c r="BH1290" s="99"/>
    </row>
    <row r="1291" spans="51:60" x14ac:dyDescent="0.2">
      <c r="AY1291" s="79"/>
      <c r="AZ1291" s="85"/>
      <c r="BA1291" s="40"/>
      <c r="BB1291" s="99"/>
      <c r="BC1291" s="85"/>
      <c r="BG1291" s="79"/>
      <c r="BH1291" s="99"/>
    </row>
    <row r="1292" spans="51:60" x14ac:dyDescent="0.2">
      <c r="AY1292" s="79"/>
      <c r="AZ1292" s="85"/>
      <c r="BA1292" s="40"/>
      <c r="BB1292" s="99"/>
      <c r="BC1292" s="85"/>
      <c r="BG1292" s="79"/>
      <c r="BH1292" s="99"/>
    </row>
    <row r="1293" spans="51:60" x14ac:dyDescent="0.2">
      <c r="AY1293" s="79"/>
      <c r="AZ1293" s="85"/>
      <c r="BA1293" s="40"/>
      <c r="BB1293" s="99"/>
      <c r="BC1293" s="85"/>
      <c r="BG1293" s="79"/>
      <c r="BH1293" s="99"/>
    </row>
    <row r="1294" spans="51:60" x14ac:dyDescent="0.2">
      <c r="AY1294" s="79"/>
      <c r="AZ1294" s="85"/>
      <c r="BA1294" s="40"/>
      <c r="BB1294" s="99"/>
      <c r="BC1294" s="85"/>
      <c r="BG1294" s="79"/>
      <c r="BH1294" s="99"/>
    </row>
    <row r="1295" spans="51:60" x14ac:dyDescent="0.2">
      <c r="AY1295" s="79"/>
      <c r="AZ1295" s="85"/>
      <c r="BA1295" s="40"/>
      <c r="BB1295" s="99"/>
      <c r="BC1295" s="85"/>
      <c r="BG1295" s="79"/>
      <c r="BH1295" s="99"/>
    </row>
    <row r="1296" spans="51:60" x14ac:dyDescent="0.2">
      <c r="AY1296" s="79"/>
      <c r="AZ1296" s="85"/>
      <c r="BA1296" s="40"/>
      <c r="BB1296" s="99"/>
      <c r="BC1296" s="85"/>
      <c r="BG1296" s="79"/>
      <c r="BH1296" s="99"/>
    </row>
    <row r="1297" spans="51:60" x14ac:dyDescent="0.2">
      <c r="AY1297" s="79"/>
      <c r="AZ1297" s="85"/>
      <c r="BA1297" s="40"/>
      <c r="BB1297" s="99"/>
      <c r="BC1297" s="85"/>
      <c r="BG1297" s="79"/>
      <c r="BH1297" s="99"/>
    </row>
    <row r="1298" spans="51:60" x14ac:dyDescent="0.2">
      <c r="AY1298" s="79"/>
      <c r="AZ1298" s="85"/>
      <c r="BA1298" s="40"/>
      <c r="BB1298" s="99"/>
      <c r="BC1298" s="85"/>
      <c r="BG1298" s="79"/>
      <c r="BH1298" s="99"/>
    </row>
    <row r="1299" spans="51:60" x14ac:dyDescent="0.2">
      <c r="AY1299" s="79"/>
      <c r="AZ1299" s="85"/>
      <c r="BA1299" s="40"/>
      <c r="BB1299" s="99"/>
      <c r="BC1299" s="85"/>
      <c r="BG1299" s="79"/>
      <c r="BH1299" s="99"/>
    </row>
    <row r="1300" spans="51:60" x14ac:dyDescent="0.2">
      <c r="AY1300" s="79"/>
      <c r="AZ1300" s="85"/>
      <c r="BA1300" s="40"/>
      <c r="BB1300" s="99"/>
      <c r="BC1300" s="85"/>
      <c r="BG1300" s="79"/>
      <c r="BH1300" s="99"/>
    </row>
    <row r="1301" spans="51:60" x14ac:dyDescent="0.2">
      <c r="AY1301" s="79"/>
      <c r="AZ1301" s="85"/>
      <c r="BA1301" s="40"/>
      <c r="BB1301" s="99"/>
      <c r="BC1301" s="85"/>
      <c r="BG1301" s="79"/>
      <c r="BH1301" s="99"/>
    </row>
    <row r="1302" spans="51:60" x14ac:dyDescent="0.2">
      <c r="AY1302" s="79"/>
      <c r="AZ1302" s="85"/>
      <c r="BA1302" s="40"/>
      <c r="BB1302" s="99"/>
      <c r="BC1302" s="85"/>
      <c r="BG1302" s="79"/>
      <c r="BH1302" s="99"/>
    </row>
    <row r="1303" spans="51:60" x14ac:dyDescent="0.2">
      <c r="AY1303" s="79"/>
      <c r="AZ1303" s="85"/>
      <c r="BA1303" s="40"/>
      <c r="BB1303" s="99"/>
      <c r="BC1303" s="85"/>
      <c r="BG1303" s="79"/>
      <c r="BH1303" s="99"/>
    </row>
    <row r="1304" spans="51:60" x14ac:dyDescent="0.2">
      <c r="AY1304" s="79"/>
      <c r="AZ1304" s="85"/>
      <c r="BA1304" s="40"/>
      <c r="BB1304" s="99"/>
      <c r="BC1304" s="85"/>
      <c r="BG1304" s="79"/>
      <c r="BH1304" s="99"/>
    </row>
    <row r="1305" spans="51:60" x14ac:dyDescent="0.2">
      <c r="AY1305" s="79"/>
      <c r="AZ1305" s="85"/>
      <c r="BA1305" s="40"/>
      <c r="BB1305" s="99"/>
      <c r="BC1305" s="85"/>
      <c r="BG1305" s="79"/>
      <c r="BH1305" s="99"/>
    </row>
    <row r="1306" spans="51:60" x14ac:dyDescent="0.2">
      <c r="AY1306" s="79"/>
      <c r="AZ1306" s="85"/>
      <c r="BA1306" s="40"/>
      <c r="BB1306" s="99"/>
      <c r="BC1306" s="85"/>
      <c r="BG1306" s="79"/>
      <c r="BH1306" s="99"/>
    </row>
    <row r="1307" spans="51:60" x14ac:dyDescent="0.2">
      <c r="AY1307" s="79"/>
      <c r="AZ1307" s="85"/>
      <c r="BA1307" s="40"/>
      <c r="BB1307" s="99"/>
      <c r="BC1307" s="85"/>
      <c r="BG1307" s="79"/>
      <c r="BH1307" s="99"/>
    </row>
    <row r="1308" spans="51:60" x14ac:dyDescent="0.2">
      <c r="AY1308" s="79"/>
      <c r="AZ1308" s="85"/>
      <c r="BA1308" s="40"/>
      <c r="BB1308" s="99"/>
      <c r="BC1308" s="85"/>
      <c r="BG1308" s="79"/>
      <c r="BH1308" s="99"/>
    </row>
    <row r="1309" spans="51:60" x14ac:dyDescent="0.2">
      <c r="AY1309" s="79"/>
      <c r="AZ1309" s="85"/>
      <c r="BA1309" s="40"/>
      <c r="BB1309" s="99"/>
      <c r="BC1309" s="85"/>
      <c r="BG1309" s="79"/>
      <c r="BH1309" s="99"/>
    </row>
    <row r="1310" spans="51:60" x14ac:dyDescent="0.2">
      <c r="AY1310" s="79"/>
      <c r="AZ1310" s="85"/>
      <c r="BA1310" s="40"/>
      <c r="BB1310" s="99"/>
      <c r="BC1310" s="85"/>
      <c r="BG1310" s="79"/>
      <c r="BH1310" s="99"/>
    </row>
    <row r="1311" spans="51:60" x14ac:dyDescent="0.2">
      <c r="AY1311" s="79"/>
      <c r="AZ1311" s="85"/>
      <c r="BA1311" s="40"/>
      <c r="BB1311" s="99"/>
      <c r="BC1311" s="85"/>
      <c r="BG1311" s="79"/>
      <c r="BH1311" s="99"/>
    </row>
    <row r="1312" spans="51:60" x14ac:dyDescent="0.2">
      <c r="AY1312" s="79"/>
      <c r="AZ1312" s="85"/>
      <c r="BA1312" s="40"/>
      <c r="BB1312" s="99"/>
      <c r="BC1312" s="85"/>
      <c r="BG1312" s="79"/>
      <c r="BH1312" s="99"/>
    </row>
    <row r="1313" spans="51:60" x14ac:dyDescent="0.2">
      <c r="AY1313" s="79"/>
      <c r="AZ1313" s="85"/>
      <c r="BA1313" s="40"/>
      <c r="BB1313" s="99"/>
      <c r="BC1313" s="85"/>
      <c r="BG1313" s="79"/>
      <c r="BH1313" s="99"/>
    </row>
    <row r="1314" spans="51:60" x14ac:dyDescent="0.2">
      <c r="AY1314" s="79"/>
      <c r="AZ1314" s="85"/>
      <c r="BA1314" s="40"/>
      <c r="BB1314" s="99"/>
      <c r="BC1314" s="85"/>
      <c r="BG1314" s="79"/>
      <c r="BH1314" s="99"/>
    </row>
    <row r="1315" spans="51:60" x14ac:dyDescent="0.2">
      <c r="AY1315" s="79"/>
      <c r="AZ1315" s="85"/>
      <c r="BA1315" s="40"/>
      <c r="BB1315" s="99"/>
      <c r="BC1315" s="85"/>
      <c r="BG1315" s="79"/>
      <c r="BH1315" s="99"/>
    </row>
    <row r="1316" spans="51:60" x14ac:dyDescent="0.2">
      <c r="AY1316" s="79"/>
      <c r="AZ1316" s="85"/>
      <c r="BA1316" s="40"/>
      <c r="BB1316" s="99"/>
      <c r="BC1316" s="85"/>
      <c r="BG1316" s="79"/>
      <c r="BH1316" s="99"/>
    </row>
    <row r="1317" spans="51:60" x14ac:dyDescent="0.2">
      <c r="AY1317" s="79"/>
      <c r="AZ1317" s="85"/>
      <c r="BA1317" s="40"/>
      <c r="BB1317" s="99"/>
      <c r="BC1317" s="85"/>
      <c r="BG1317" s="79"/>
      <c r="BH1317" s="99"/>
    </row>
    <row r="1318" spans="51:60" x14ac:dyDescent="0.2">
      <c r="AY1318" s="79"/>
      <c r="AZ1318" s="85"/>
      <c r="BA1318" s="40"/>
      <c r="BB1318" s="99"/>
      <c r="BC1318" s="85"/>
      <c r="BG1318" s="79"/>
      <c r="BH1318" s="99"/>
    </row>
    <row r="1319" spans="51:60" x14ac:dyDescent="0.2">
      <c r="AY1319" s="79"/>
      <c r="AZ1319" s="85"/>
      <c r="BA1319" s="40"/>
      <c r="BB1319" s="99"/>
      <c r="BC1319" s="85"/>
      <c r="BG1319" s="79"/>
      <c r="BH1319" s="99"/>
    </row>
    <row r="1320" spans="51:60" x14ac:dyDescent="0.2">
      <c r="AY1320" s="79"/>
      <c r="AZ1320" s="85"/>
      <c r="BA1320" s="40"/>
      <c r="BB1320" s="99"/>
      <c r="BC1320" s="85"/>
      <c r="BG1320" s="79"/>
      <c r="BH1320" s="99"/>
    </row>
    <row r="1321" spans="51:60" x14ac:dyDescent="0.2">
      <c r="AY1321" s="79"/>
      <c r="AZ1321" s="85"/>
      <c r="BA1321" s="40"/>
      <c r="BB1321" s="99"/>
      <c r="BC1321" s="85"/>
      <c r="BG1321" s="79"/>
      <c r="BH1321" s="99"/>
    </row>
    <row r="1322" spans="51:60" x14ac:dyDescent="0.2">
      <c r="AY1322" s="79"/>
      <c r="AZ1322" s="85"/>
      <c r="BA1322" s="40"/>
      <c r="BB1322" s="99"/>
      <c r="BC1322" s="85"/>
      <c r="BG1322" s="79"/>
      <c r="BH1322" s="99"/>
    </row>
    <row r="1323" spans="51:60" x14ac:dyDescent="0.2">
      <c r="AY1323" s="79"/>
      <c r="AZ1323" s="85"/>
      <c r="BA1323" s="40"/>
      <c r="BB1323" s="99"/>
      <c r="BC1323" s="85"/>
      <c r="BG1323" s="79"/>
      <c r="BH1323" s="99"/>
    </row>
    <row r="1324" spans="51:60" x14ac:dyDescent="0.2">
      <c r="AY1324" s="79"/>
      <c r="AZ1324" s="85"/>
      <c r="BA1324" s="40"/>
      <c r="BB1324" s="99"/>
      <c r="BC1324" s="85"/>
      <c r="BG1324" s="79"/>
      <c r="BH1324" s="99"/>
    </row>
    <row r="1325" spans="51:60" x14ac:dyDescent="0.2">
      <c r="AY1325" s="79"/>
      <c r="AZ1325" s="85"/>
      <c r="BA1325" s="40"/>
      <c r="BB1325" s="99"/>
      <c r="BC1325" s="85"/>
      <c r="BG1325" s="79"/>
      <c r="BH1325" s="99"/>
    </row>
    <row r="1326" spans="51:60" x14ac:dyDescent="0.2">
      <c r="AY1326" s="79"/>
      <c r="AZ1326" s="85"/>
      <c r="BA1326" s="40"/>
      <c r="BB1326" s="99"/>
      <c r="BC1326" s="85"/>
      <c r="BG1326" s="79"/>
      <c r="BH1326" s="99"/>
    </row>
    <row r="1327" spans="51:60" x14ac:dyDescent="0.2">
      <c r="AY1327" s="79"/>
      <c r="AZ1327" s="85"/>
      <c r="BA1327" s="40"/>
      <c r="BB1327" s="99"/>
      <c r="BC1327" s="85"/>
      <c r="BG1327" s="79"/>
      <c r="BH1327" s="99"/>
    </row>
    <row r="1328" spans="51:60" x14ac:dyDescent="0.2">
      <c r="AY1328" s="79"/>
      <c r="AZ1328" s="85"/>
      <c r="BA1328" s="40"/>
      <c r="BB1328" s="99"/>
      <c r="BC1328" s="85"/>
      <c r="BG1328" s="79"/>
      <c r="BH1328" s="99"/>
    </row>
    <row r="1329" spans="51:60" x14ac:dyDescent="0.2">
      <c r="AY1329" s="79"/>
      <c r="AZ1329" s="85"/>
      <c r="BA1329" s="40"/>
      <c r="BB1329" s="99"/>
      <c r="BC1329" s="85"/>
      <c r="BG1329" s="79"/>
      <c r="BH1329" s="99"/>
    </row>
    <row r="1330" spans="51:60" x14ac:dyDescent="0.2">
      <c r="AY1330" s="79"/>
      <c r="AZ1330" s="85"/>
      <c r="BA1330" s="40"/>
      <c r="BB1330" s="99"/>
      <c r="BC1330" s="85"/>
      <c r="BG1330" s="79"/>
      <c r="BH1330" s="99"/>
    </row>
    <row r="1331" spans="51:60" x14ac:dyDescent="0.2">
      <c r="AY1331" s="79"/>
      <c r="AZ1331" s="85"/>
      <c r="BA1331" s="40"/>
      <c r="BB1331" s="99"/>
      <c r="BC1331" s="85"/>
      <c r="BG1331" s="79"/>
      <c r="BH1331" s="99"/>
    </row>
    <row r="1332" spans="51:60" x14ac:dyDescent="0.2">
      <c r="AY1332" s="79"/>
      <c r="AZ1332" s="85"/>
      <c r="BA1332" s="40"/>
      <c r="BB1332" s="99"/>
      <c r="BC1332" s="85"/>
      <c r="BG1332" s="79"/>
      <c r="BH1332" s="99"/>
    </row>
    <row r="1333" spans="51:60" x14ac:dyDescent="0.2">
      <c r="AY1333" s="79"/>
      <c r="AZ1333" s="85"/>
      <c r="BA1333" s="40"/>
      <c r="BB1333" s="99"/>
      <c r="BC1333" s="85"/>
      <c r="BG1333" s="79"/>
      <c r="BH1333" s="99"/>
    </row>
    <row r="1334" spans="51:60" x14ac:dyDescent="0.2">
      <c r="AY1334" s="79"/>
      <c r="AZ1334" s="85"/>
      <c r="BA1334" s="40"/>
      <c r="BB1334" s="99"/>
      <c r="BC1334" s="85"/>
      <c r="BG1334" s="79"/>
      <c r="BH1334" s="99"/>
    </row>
    <row r="1335" spans="51:60" x14ac:dyDescent="0.2">
      <c r="AY1335" s="79"/>
      <c r="AZ1335" s="85"/>
      <c r="BA1335" s="40"/>
      <c r="BB1335" s="99"/>
      <c r="BC1335" s="85"/>
      <c r="BG1335" s="79"/>
      <c r="BH1335" s="99"/>
    </row>
    <row r="1336" spans="51:60" x14ac:dyDescent="0.2">
      <c r="AY1336" s="79"/>
      <c r="AZ1336" s="85"/>
      <c r="BA1336" s="40"/>
      <c r="BB1336" s="99"/>
      <c r="BC1336" s="85"/>
      <c r="BG1336" s="79"/>
      <c r="BH1336" s="99"/>
    </row>
    <row r="1337" spans="51:60" x14ac:dyDescent="0.2">
      <c r="AY1337" s="79"/>
      <c r="AZ1337" s="85"/>
      <c r="BA1337" s="40"/>
      <c r="BB1337" s="99"/>
      <c r="BC1337" s="85"/>
      <c r="BG1337" s="79"/>
      <c r="BH1337" s="99"/>
    </row>
    <row r="1338" spans="51:60" x14ac:dyDescent="0.2">
      <c r="AY1338" s="79"/>
      <c r="AZ1338" s="85"/>
      <c r="BA1338" s="40"/>
      <c r="BB1338" s="99"/>
      <c r="BC1338" s="85"/>
      <c r="BG1338" s="79"/>
      <c r="BH1338" s="99"/>
    </row>
    <row r="1339" spans="51:60" x14ac:dyDescent="0.2">
      <c r="AY1339" s="79"/>
      <c r="AZ1339" s="85"/>
      <c r="BA1339" s="40"/>
      <c r="BB1339" s="99"/>
      <c r="BC1339" s="85"/>
      <c r="BG1339" s="79"/>
      <c r="BH1339" s="99"/>
    </row>
    <row r="1340" spans="51:60" x14ac:dyDescent="0.2">
      <c r="AY1340" s="79"/>
      <c r="AZ1340" s="85"/>
      <c r="BA1340" s="40"/>
      <c r="BB1340" s="99"/>
      <c r="BC1340" s="85"/>
      <c r="BG1340" s="79"/>
      <c r="BH1340" s="99"/>
    </row>
    <row r="1341" spans="51:60" x14ac:dyDescent="0.2">
      <c r="AY1341" s="79"/>
      <c r="AZ1341" s="85"/>
      <c r="BA1341" s="40"/>
      <c r="BB1341" s="99"/>
      <c r="BC1341" s="85"/>
      <c r="BG1341" s="79"/>
      <c r="BH1341" s="99"/>
    </row>
    <row r="1342" spans="51:60" x14ac:dyDescent="0.2">
      <c r="AY1342" s="79"/>
      <c r="AZ1342" s="85"/>
      <c r="BA1342" s="40"/>
      <c r="BB1342" s="99"/>
      <c r="BC1342" s="85"/>
      <c r="BG1342" s="79"/>
      <c r="BH1342" s="99"/>
    </row>
    <row r="1343" spans="51:60" x14ac:dyDescent="0.2">
      <c r="AY1343" s="79"/>
      <c r="AZ1343" s="85"/>
      <c r="BA1343" s="40"/>
      <c r="BB1343" s="99"/>
      <c r="BC1343" s="85"/>
      <c r="BG1343" s="79"/>
      <c r="BH1343" s="99"/>
    </row>
    <row r="1344" spans="51:60" x14ac:dyDescent="0.2">
      <c r="AY1344" s="79"/>
      <c r="AZ1344" s="85"/>
      <c r="BA1344" s="40"/>
      <c r="BB1344" s="99"/>
      <c r="BC1344" s="85"/>
      <c r="BG1344" s="79"/>
      <c r="BH1344" s="99"/>
    </row>
    <row r="1345" spans="51:60" x14ac:dyDescent="0.2">
      <c r="AY1345" s="79"/>
      <c r="AZ1345" s="85"/>
      <c r="BA1345" s="40"/>
      <c r="BB1345" s="99"/>
      <c r="BC1345" s="85"/>
      <c r="BG1345" s="79"/>
      <c r="BH1345" s="99"/>
    </row>
    <row r="1346" spans="51:60" x14ac:dyDescent="0.2">
      <c r="AY1346" s="79"/>
      <c r="AZ1346" s="85"/>
      <c r="BA1346" s="40"/>
      <c r="BB1346" s="99"/>
      <c r="BC1346" s="85"/>
      <c r="BG1346" s="79"/>
      <c r="BH1346" s="99"/>
    </row>
    <row r="1347" spans="51:60" x14ac:dyDescent="0.2">
      <c r="AY1347" s="79"/>
      <c r="AZ1347" s="85"/>
      <c r="BA1347" s="40"/>
      <c r="BB1347" s="99"/>
      <c r="BC1347" s="85"/>
      <c r="BG1347" s="79"/>
      <c r="BH1347" s="99"/>
    </row>
    <row r="1348" spans="51:60" x14ac:dyDescent="0.2">
      <c r="AY1348" s="79"/>
      <c r="AZ1348" s="85"/>
      <c r="BA1348" s="40"/>
      <c r="BB1348" s="99"/>
      <c r="BC1348" s="85"/>
      <c r="BG1348" s="79"/>
      <c r="BH1348" s="99"/>
    </row>
    <row r="1349" spans="51:60" x14ac:dyDescent="0.2">
      <c r="AY1349" s="79"/>
      <c r="AZ1349" s="85"/>
      <c r="BA1349" s="40"/>
      <c r="BB1349" s="99"/>
      <c r="BC1349" s="85"/>
      <c r="BG1349" s="79"/>
      <c r="BH1349" s="99"/>
    </row>
    <row r="1350" spans="51:60" x14ac:dyDescent="0.2">
      <c r="AY1350" s="79"/>
      <c r="AZ1350" s="85"/>
      <c r="BA1350" s="40"/>
      <c r="BB1350" s="99"/>
      <c r="BC1350" s="85"/>
      <c r="BG1350" s="79"/>
      <c r="BH1350" s="99"/>
    </row>
    <row r="1351" spans="51:60" x14ac:dyDescent="0.2">
      <c r="AY1351" s="79"/>
      <c r="AZ1351" s="85"/>
      <c r="BA1351" s="40"/>
      <c r="BB1351" s="99"/>
      <c r="BC1351" s="85"/>
      <c r="BG1351" s="79"/>
      <c r="BH1351" s="99"/>
    </row>
    <row r="1352" spans="51:60" x14ac:dyDescent="0.2">
      <c r="AY1352" s="79"/>
      <c r="AZ1352" s="85"/>
      <c r="BA1352" s="40"/>
      <c r="BB1352" s="99"/>
      <c r="BC1352" s="85"/>
      <c r="BG1352" s="79"/>
      <c r="BH1352" s="99"/>
    </row>
    <row r="1353" spans="51:60" x14ac:dyDescent="0.2">
      <c r="AY1353" s="79"/>
      <c r="AZ1353" s="85"/>
      <c r="BA1353" s="40"/>
      <c r="BB1353" s="99"/>
      <c r="BC1353" s="85"/>
      <c r="BG1353" s="79"/>
      <c r="BH1353" s="99"/>
    </row>
    <row r="1354" spans="51:60" x14ac:dyDescent="0.2">
      <c r="AY1354" s="79"/>
      <c r="AZ1354" s="85"/>
      <c r="BA1354" s="40"/>
      <c r="BB1354" s="99"/>
      <c r="BC1354" s="85"/>
      <c r="BG1354" s="79"/>
      <c r="BH1354" s="99"/>
    </row>
    <row r="1355" spans="51:60" x14ac:dyDescent="0.2">
      <c r="AY1355" s="79"/>
      <c r="AZ1355" s="85"/>
      <c r="BA1355" s="40"/>
      <c r="BB1355" s="99"/>
      <c r="BC1355" s="85"/>
      <c r="BG1355" s="79"/>
      <c r="BH1355" s="99"/>
    </row>
    <row r="1356" spans="51:60" x14ac:dyDescent="0.2">
      <c r="AY1356" s="79"/>
      <c r="AZ1356" s="85"/>
      <c r="BA1356" s="40"/>
      <c r="BB1356" s="99"/>
      <c r="BC1356" s="85"/>
      <c r="BG1356" s="79"/>
      <c r="BH1356" s="99"/>
    </row>
    <row r="1357" spans="51:60" x14ac:dyDescent="0.2">
      <c r="AY1357" s="79"/>
      <c r="AZ1357" s="85"/>
      <c r="BA1357" s="40"/>
      <c r="BB1357" s="99"/>
      <c r="BC1357" s="85"/>
      <c r="BG1357" s="79"/>
      <c r="BH1357" s="99"/>
    </row>
    <row r="1358" spans="51:60" x14ac:dyDescent="0.2">
      <c r="AY1358" s="79"/>
      <c r="AZ1358" s="85"/>
      <c r="BA1358" s="40"/>
      <c r="BB1358" s="99"/>
      <c r="BC1358" s="85"/>
      <c r="BG1358" s="79"/>
      <c r="BH1358" s="99"/>
    </row>
    <row r="1359" spans="51:60" x14ac:dyDescent="0.2">
      <c r="AY1359" s="79"/>
      <c r="AZ1359" s="85"/>
      <c r="BA1359" s="40"/>
      <c r="BB1359" s="99"/>
      <c r="BC1359" s="85"/>
      <c r="BG1359" s="79"/>
      <c r="BH1359" s="99"/>
    </row>
    <row r="1360" spans="51:60" x14ac:dyDescent="0.2">
      <c r="AY1360" s="79"/>
      <c r="AZ1360" s="85"/>
      <c r="BA1360" s="40"/>
      <c r="BB1360" s="99"/>
      <c r="BC1360" s="85"/>
      <c r="BG1360" s="79"/>
      <c r="BH1360" s="99"/>
    </row>
    <row r="1361" spans="51:60" x14ac:dyDescent="0.2">
      <c r="AY1361" s="79"/>
      <c r="AZ1361" s="85"/>
      <c r="BA1361" s="40"/>
      <c r="BB1361" s="99"/>
      <c r="BC1361" s="85"/>
      <c r="BG1361" s="79"/>
      <c r="BH1361" s="99"/>
    </row>
    <row r="1362" spans="51:60" x14ac:dyDescent="0.2">
      <c r="AY1362" s="79"/>
      <c r="AZ1362" s="85"/>
      <c r="BA1362" s="40"/>
      <c r="BB1362" s="99"/>
      <c r="BC1362" s="85"/>
      <c r="BG1362" s="79"/>
      <c r="BH1362" s="99"/>
    </row>
    <row r="1363" spans="51:60" x14ac:dyDescent="0.2">
      <c r="AY1363" s="79"/>
      <c r="AZ1363" s="85"/>
      <c r="BA1363" s="40"/>
      <c r="BB1363" s="99"/>
      <c r="BC1363" s="85"/>
      <c r="BG1363" s="79"/>
      <c r="BH1363" s="99"/>
    </row>
    <row r="1364" spans="51:60" x14ac:dyDescent="0.2">
      <c r="AY1364" s="79"/>
      <c r="AZ1364" s="85"/>
      <c r="BA1364" s="40"/>
      <c r="BB1364" s="99"/>
      <c r="BC1364" s="85"/>
      <c r="BG1364" s="79"/>
      <c r="BH1364" s="99"/>
    </row>
    <row r="1365" spans="51:60" x14ac:dyDescent="0.2">
      <c r="AY1365" s="79"/>
      <c r="AZ1365" s="85"/>
      <c r="BA1365" s="40"/>
      <c r="BB1365" s="99"/>
      <c r="BC1365" s="85"/>
      <c r="BG1365" s="79"/>
      <c r="BH1365" s="99"/>
    </row>
    <row r="1366" spans="51:60" x14ac:dyDescent="0.2">
      <c r="AY1366" s="79"/>
      <c r="AZ1366" s="85"/>
      <c r="BA1366" s="40"/>
      <c r="BB1366" s="99"/>
      <c r="BC1366" s="85"/>
      <c r="BG1366" s="79"/>
      <c r="BH1366" s="99"/>
    </row>
    <row r="1367" spans="51:60" x14ac:dyDescent="0.2">
      <c r="AY1367" s="79"/>
      <c r="AZ1367" s="85"/>
      <c r="BA1367" s="40"/>
      <c r="BB1367" s="99"/>
      <c r="BC1367" s="85"/>
      <c r="BG1367" s="79"/>
      <c r="BH1367" s="99"/>
    </row>
    <row r="1368" spans="51:60" x14ac:dyDescent="0.2">
      <c r="AY1368" s="79"/>
      <c r="AZ1368" s="85"/>
      <c r="BA1368" s="40"/>
      <c r="BB1368" s="99"/>
      <c r="BC1368" s="85"/>
      <c r="BG1368" s="79"/>
      <c r="BH1368" s="99"/>
    </row>
    <row r="1369" spans="51:60" x14ac:dyDescent="0.2">
      <c r="AY1369" s="79"/>
      <c r="AZ1369" s="85"/>
      <c r="BA1369" s="40"/>
      <c r="BB1369" s="99"/>
      <c r="BC1369" s="85"/>
      <c r="BG1369" s="79"/>
      <c r="BH1369" s="99"/>
    </row>
    <row r="1370" spans="51:60" x14ac:dyDescent="0.2">
      <c r="AY1370" s="79"/>
      <c r="AZ1370" s="85"/>
      <c r="BA1370" s="40"/>
      <c r="BB1370" s="99"/>
      <c r="BC1370" s="85"/>
      <c r="BG1370" s="79"/>
      <c r="BH1370" s="99"/>
    </row>
    <row r="1371" spans="51:60" x14ac:dyDescent="0.2">
      <c r="AY1371" s="79"/>
      <c r="AZ1371" s="85"/>
      <c r="BA1371" s="40"/>
      <c r="BB1371" s="99"/>
      <c r="BC1371" s="85"/>
      <c r="BG1371" s="79"/>
      <c r="BH1371" s="99"/>
    </row>
    <row r="1372" spans="51:60" x14ac:dyDescent="0.2">
      <c r="AY1372" s="79"/>
      <c r="AZ1372" s="85"/>
      <c r="BA1372" s="40"/>
      <c r="BB1372" s="99"/>
      <c r="BC1372" s="85"/>
      <c r="BG1372" s="79"/>
      <c r="BH1372" s="99"/>
    </row>
    <row r="1373" spans="51:60" x14ac:dyDescent="0.2">
      <c r="AY1373" s="79"/>
      <c r="AZ1373" s="85"/>
      <c r="BA1373" s="40"/>
      <c r="BB1373" s="99"/>
      <c r="BC1373" s="85"/>
      <c r="BG1373" s="79"/>
      <c r="BH1373" s="99"/>
    </row>
    <row r="1374" spans="51:60" x14ac:dyDescent="0.2">
      <c r="AY1374" s="79"/>
      <c r="AZ1374" s="85"/>
      <c r="BA1374" s="40"/>
      <c r="BB1374" s="99"/>
      <c r="BC1374" s="85"/>
      <c r="BG1374" s="79"/>
      <c r="BH1374" s="99"/>
    </row>
    <row r="1375" spans="51:60" x14ac:dyDescent="0.2">
      <c r="AY1375" s="79"/>
      <c r="AZ1375" s="85"/>
      <c r="BA1375" s="40"/>
      <c r="BB1375" s="99"/>
      <c r="BC1375" s="85"/>
      <c r="BG1375" s="79"/>
      <c r="BH1375" s="99"/>
    </row>
    <row r="1376" spans="51:60" x14ac:dyDescent="0.2">
      <c r="AY1376" s="79"/>
      <c r="AZ1376" s="85"/>
      <c r="BA1376" s="40"/>
      <c r="BB1376" s="99"/>
      <c r="BC1376" s="85"/>
      <c r="BG1376" s="79"/>
      <c r="BH1376" s="99"/>
    </row>
    <row r="1377" spans="51:60" x14ac:dyDescent="0.2">
      <c r="AY1377" s="79"/>
      <c r="AZ1377" s="85"/>
      <c r="BA1377" s="40"/>
      <c r="BB1377" s="99"/>
      <c r="BC1377" s="85"/>
      <c r="BG1377" s="79"/>
      <c r="BH1377" s="99"/>
    </row>
    <row r="1378" spans="51:60" x14ac:dyDescent="0.2">
      <c r="AY1378" s="79"/>
      <c r="AZ1378" s="85"/>
      <c r="BA1378" s="40"/>
      <c r="BB1378" s="99"/>
      <c r="BC1378" s="85"/>
      <c r="BG1378" s="79"/>
      <c r="BH1378" s="99"/>
    </row>
    <row r="1379" spans="51:60" x14ac:dyDescent="0.2">
      <c r="AY1379" s="79"/>
      <c r="AZ1379" s="85"/>
      <c r="BA1379" s="40"/>
      <c r="BB1379" s="99"/>
      <c r="BC1379" s="85"/>
      <c r="BG1379" s="79"/>
      <c r="BH1379" s="99"/>
    </row>
    <row r="1380" spans="51:60" x14ac:dyDescent="0.2">
      <c r="AY1380" s="79"/>
      <c r="AZ1380" s="85"/>
      <c r="BA1380" s="40"/>
      <c r="BB1380" s="99"/>
      <c r="BC1380" s="85"/>
      <c r="BG1380" s="79"/>
      <c r="BH1380" s="99"/>
    </row>
    <row r="1381" spans="51:60" x14ac:dyDescent="0.2">
      <c r="AY1381" s="79"/>
      <c r="AZ1381" s="85"/>
      <c r="BA1381" s="40"/>
      <c r="BB1381" s="99"/>
      <c r="BC1381" s="85"/>
      <c r="BG1381" s="79"/>
      <c r="BH1381" s="99"/>
    </row>
    <row r="1382" spans="51:60" x14ac:dyDescent="0.2">
      <c r="AY1382" s="79"/>
      <c r="AZ1382" s="85"/>
      <c r="BA1382" s="40"/>
      <c r="BB1382" s="99"/>
      <c r="BC1382" s="85"/>
      <c r="BG1382" s="79"/>
      <c r="BH1382" s="99"/>
    </row>
    <row r="1383" spans="51:60" x14ac:dyDescent="0.2">
      <c r="AY1383" s="79"/>
      <c r="AZ1383" s="85"/>
      <c r="BA1383" s="40"/>
      <c r="BB1383" s="99"/>
      <c r="BC1383" s="85"/>
      <c r="BG1383" s="79"/>
      <c r="BH1383" s="99"/>
    </row>
    <row r="1384" spans="51:60" x14ac:dyDescent="0.2">
      <c r="AY1384" s="79"/>
      <c r="AZ1384" s="85"/>
      <c r="BA1384" s="40"/>
      <c r="BB1384" s="99"/>
      <c r="BC1384" s="85"/>
      <c r="BG1384" s="79"/>
      <c r="BH1384" s="99"/>
    </row>
    <row r="1385" spans="51:60" x14ac:dyDescent="0.2">
      <c r="AY1385" s="79"/>
      <c r="AZ1385" s="85"/>
      <c r="BA1385" s="40"/>
      <c r="BB1385" s="99"/>
      <c r="BC1385" s="85"/>
      <c r="BG1385" s="79"/>
      <c r="BH1385" s="99"/>
    </row>
    <row r="1386" spans="51:60" x14ac:dyDescent="0.2">
      <c r="AY1386" s="79"/>
      <c r="AZ1386" s="85"/>
      <c r="BA1386" s="40"/>
      <c r="BB1386" s="99"/>
      <c r="BC1386" s="85"/>
      <c r="BG1386" s="79"/>
      <c r="BH1386" s="99"/>
    </row>
    <row r="1387" spans="51:60" x14ac:dyDescent="0.2">
      <c r="AY1387" s="79"/>
      <c r="AZ1387" s="85"/>
      <c r="BA1387" s="40"/>
      <c r="BB1387" s="99"/>
      <c r="BC1387" s="85"/>
      <c r="BG1387" s="79"/>
      <c r="BH1387" s="99"/>
    </row>
    <row r="1388" spans="51:60" x14ac:dyDescent="0.2">
      <c r="AY1388" s="79"/>
      <c r="AZ1388" s="85"/>
      <c r="BA1388" s="40"/>
      <c r="BB1388" s="99"/>
      <c r="BC1388" s="85"/>
      <c r="BG1388" s="79"/>
      <c r="BH1388" s="99"/>
    </row>
    <row r="1389" spans="51:60" x14ac:dyDescent="0.2">
      <c r="AY1389" s="79"/>
      <c r="AZ1389" s="85"/>
      <c r="BA1389" s="40"/>
      <c r="BB1389" s="99"/>
      <c r="BC1389" s="85"/>
      <c r="BG1389" s="79"/>
      <c r="BH1389" s="99"/>
    </row>
    <row r="1390" spans="51:60" x14ac:dyDescent="0.2">
      <c r="AY1390" s="79"/>
      <c r="AZ1390" s="85"/>
      <c r="BA1390" s="40"/>
      <c r="BB1390" s="99"/>
      <c r="BC1390" s="85"/>
      <c r="BG1390" s="79"/>
      <c r="BH1390" s="99"/>
    </row>
    <row r="1391" spans="51:60" x14ac:dyDescent="0.2">
      <c r="AY1391" s="79"/>
      <c r="AZ1391" s="85"/>
      <c r="BA1391" s="40"/>
      <c r="BB1391" s="99"/>
      <c r="BC1391" s="85"/>
      <c r="BG1391" s="79"/>
      <c r="BH1391" s="99"/>
    </row>
    <row r="1392" spans="51:60" x14ac:dyDescent="0.2">
      <c r="AY1392" s="79"/>
      <c r="AZ1392" s="85"/>
      <c r="BA1392" s="40"/>
      <c r="BB1392" s="99"/>
      <c r="BC1392" s="85"/>
      <c r="BG1392" s="79"/>
      <c r="BH1392" s="99"/>
    </row>
    <row r="1393" spans="51:60" x14ac:dyDescent="0.2">
      <c r="AY1393" s="79"/>
      <c r="AZ1393" s="85"/>
      <c r="BA1393" s="40"/>
      <c r="BB1393" s="99"/>
      <c r="BC1393" s="85"/>
      <c r="BG1393" s="79"/>
      <c r="BH1393" s="99"/>
    </row>
    <row r="1394" spans="51:60" x14ac:dyDescent="0.2">
      <c r="AY1394" s="79"/>
      <c r="AZ1394" s="85"/>
      <c r="BA1394" s="40"/>
      <c r="BB1394" s="99"/>
      <c r="BC1394" s="85"/>
      <c r="BG1394" s="79"/>
      <c r="BH1394" s="99"/>
    </row>
    <row r="1395" spans="51:60" x14ac:dyDescent="0.2">
      <c r="AY1395" s="79"/>
      <c r="AZ1395" s="85"/>
      <c r="BA1395" s="40"/>
      <c r="BB1395" s="99"/>
      <c r="BC1395" s="85"/>
      <c r="BG1395" s="79"/>
      <c r="BH1395" s="99"/>
    </row>
    <row r="1396" spans="51:60" x14ac:dyDescent="0.2">
      <c r="AY1396" s="79"/>
      <c r="AZ1396" s="85"/>
      <c r="BA1396" s="40"/>
      <c r="BB1396" s="99"/>
      <c r="BC1396" s="85"/>
      <c r="BG1396" s="79"/>
      <c r="BH1396" s="99"/>
    </row>
    <row r="1397" spans="51:60" x14ac:dyDescent="0.2">
      <c r="AY1397" s="79"/>
      <c r="AZ1397" s="85"/>
      <c r="BA1397" s="40"/>
      <c r="BB1397" s="99"/>
      <c r="BC1397" s="85"/>
      <c r="BG1397" s="79"/>
      <c r="BH1397" s="99"/>
    </row>
    <row r="1398" spans="51:60" x14ac:dyDescent="0.2">
      <c r="AY1398" s="79"/>
      <c r="AZ1398" s="85"/>
      <c r="BA1398" s="40"/>
      <c r="BB1398" s="99"/>
      <c r="BC1398" s="85"/>
      <c r="BG1398" s="79"/>
      <c r="BH1398" s="99"/>
    </row>
    <row r="1399" spans="51:60" x14ac:dyDescent="0.2">
      <c r="AY1399" s="79"/>
      <c r="AZ1399" s="85"/>
      <c r="BA1399" s="40"/>
      <c r="BB1399" s="99"/>
      <c r="BC1399" s="85"/>
      <c r="BG1399" s="79"/>
      <c r="BH1399" s="99"/>
    </row>
    <row r="1400" spans="51:60" x14ac:dyDescent="0.2">
      <c r="AY1400" s="79"/>
      <c r="AZ1400" s="85"/>
      <c r="BA1400" s="40"/>
      <c r="BB1400" s="99"/>
      <c r="BC1400" s="85"/>
      <c r="BG1400" s="79"/>
      <c r="BH1400" s="99"/>
    </row>
    <row r="1401" spans="51:60" x14ac:dyDescent="0.2">
      <c r="AY1401" s="79"/>
      <c r="AZ1401" s="85"/>
      <c r="BA1401" s="40"/>
      <c r="BB1401" s="99"/>
      <c r="BC1401" s="85"/>
      <c r="BG1401" s="79"/>
      <c r="BH1401" s="99"/>
    </row>
    <row r="1402" spans="51:60" x14ac:dyDescent="0.2">
      <c r="AY1402" s="79"/>
      <c r="AZ1402" s="85"/>
      <c r="BA1402" s="40"/>
      <c r="BB1402" s="99"/>
      <c r="BC1402" s="85"/>
      <c r="BG1402" s="79"/>
      <c r="BH1402" s="99"/>
    </row>
    <row r="1403" spans="51:60" x14ac:dyDescent="0.2">
      <c r="AY1403" s="79"/>
      <c r="AZ1403" s="85"/>
      <c r="BA1403" s="40"/>
      <c r="BB1403" s="99"/>
      <c r="BC1403" s="85"/>
      <c r="BG1403" s="79"/>
      <c r="BH1403" s="99"/>
    </row>
    <row r="1404" spans="51:60" x14ac:dyDescent="0.2">
      <c r="AY1404" s="79"/>
      <c r="AZ1404" s="85"/>
      <c r="BA1404" s="40"/>
      <c r="BB1404" s="99"/>
      <c r="BC1404" s="85"/>
      <c r="BG1404" s="79"/>
      <c r="BH1404" s="99"/>
    </row>
    <row r="1405" spans="51:60" x14ac:dyDescent="0.2">
      <c r="AY1405" s="79"/>
      <c r="AZ1405" s="85"/>
      <c r="BA1405" s="40"/>
      <c r="BB1405" s="99"/>
      <c r="BC1405" s="85"/>
      <c r="BG1405" s="79"/>
      <c r="BH1405" s="99"/>
    </row>
    <row r="1406" spans="51:60" x14ac:dyDescent="0.2">
      <c r="AY1406" s="79"/>
      <c r="AZ1406" s="85"/>
      <c r="BA1406" s="40"/>
      <c r="BB1406" s="99"/>
      <c r="BC1406" s="85"/>
      <c r="BG1406" s="79"/>
      <c r="BH1406" s="99"/>
    </row>
    <row r="1407" spans="51:60" x14ac:dyDescent="0.2">
      <c r="AY1407" s="79"/>
      <c r="AZ1407" s="85"/>
      <c r="BA1407" s="40"/>
      <c r="BB1407" s="99"/>
      <c r="BC1407" s="85"/>
      <c r="BG1407" s="79"/>
      <c r="BH1407" s="99"/>
    </row>
    <row r="1408" spans="51:60" x14ac:dyDescent="0.2">
      <c r="AY1408" s="79"/>
      <c r="AZ1408" s="85"/>
      <c r="BA1408" s="40"/>
      <c r="BB1408" s="99"/>
      <c r="BC1408" s="85"/>
      <c r="BG1408" s="79"/>
      <c r="BH1408" s="99"/>
    </row>
    <row r="1409" spans="51:60" x14ac:dyDescent="0.2">
      <c r="AY1409" s="79"/>
      <c r="AZ1409" s="85"/>
      <c r="BA1409" s="40"/>
      <c r="BB1409" s="99"/>
      <c r="BC1409" s="85"/>
      <c r="BG1409" s="79"/>
      <c r="BH1409" s="99"/>
    </row>
    <row r="1410" spans="51:60" x14ac:dyDescent="0.2">
      <c r="AY1410" s="79"/>
      <c r="AZ1410" s="85"/>
      <c r="BA1410" s="40"/>
      <c r="BB1410" s="99"/>
      <c r="BC1410" s="85"/>
      <c r="BG1410" s="79"/>
      <c r="BH1410" s="99"/>
    </row>
    <row r="1411" spans="51:60" x14ac:dyDescent="0.2">
      <c r="AY1411" s="79"/>
      <c r="AZ1411" s="85"/>
      <c r="BA1411" s="40"/>
      <c r="BB1411" s="99"/>
      <c r="BC1411" s="85"/>
      <c r="BG1411" s="79"/>
      <c r="BH1411" s="99"/>
    </row>
    <row r="1412" spans="51:60" x14ac:dyDescent="0.2">
      <c r="AY1412" s="79"/>
      <c r="AZ1412" s="85"/>
      <c r="BA1412" s="40"/>
      <c r="BB1412" s="99"/>
      <c r="BC1412" s="85"/>
      <c r="BG1412" s="79"/>
      <c r="BH1412" s="99"/>
    </row>
    <row r="1413" spans="51:60" x14ac:dyDescent="0.2">
      <c r="AY1413" s="79"/>
      <c r="AZ1413" s="85"/>
      <c r="BA1413" s="40"/>
      <c r="BB1413" s="99"/>
      <c r="BC1413" s="85"/>
      <c r="BG1413" s="79"/>
      <c r="BH1413" s="99"/>
    </row>
    <row r="1414" spans="51:60" x14ac:dyDescent="0.2">
      <c r="AY1414" s="79"/>
      <c r="AZ1414" s="85"/>
      <c r="BA1414" s="40"/>
      <c r="BB1414" s="99"/>
      <c r="BC1414" s="85"/>
      <c r="BG1414" s="79"/>
      <c r="BH1414" s="99"/>
    </row>
    <row r="1415" spans="51:60" x14ac:dyDescent="0.2">
      <c r="AY1415" s="79"/>
      <c r="AZ1415" s="85"/>
      <c r="BA1415" s="40"/>
      <c r="BB1415" s="99"/>
      <c r="BC1415" s="85"/>
      <c r="BG1415" s="79"/>
      <c r="BH1415" s="99"/>
    </row>
    <row r="1416" spans="51:60" x14ac:dyDescent="0.2">
      <c r="AY1416" s="79"/>
      <c r="AZ1416" s="85"/>
      <c r="BA1416" s="40"/>
      <c r="BB1416" s="99"/>
      <c r="BC1416" s="85"/>
      <c r="BG1416" s="79"/>
      <c r="BH1416" s="99"/>
    </row>
    <row r="1417" spans="51:60" x14ac:dyDescent="0.2">
      <c r="AY1417" s="79"/>
      <c r="AZ1417" s="85"/>
      <c r="BA1417" s="40"/>
      <c r="BB1417" s="99"/>
      <c r="BC1417" s="85"/>
      <c r="BG1417" s="79"/>
      <c r="BH1417" s="99"/>
    </row>
    <row r="1418" spans="51:60" x14ac:dyDescent="0.2">
      <c r="AY1418" s="79"/>
      <c r="AZ1418" s="85"/>
      <c r="BA1418" s="40"/>
      <c r="BB1418" s="99"/>
      <c r="BC1418" s="85"/>
      <c r="BG1418" s="79"/>
      <c r="BH1418" s="99"/>
    </row>
    <row r="1419" spans="51:60" x14ac:dyDescent="0.2">
      <c r="AY1419" s="79"/>
      <c r="AZ1419" s="85"/>
      <c r="BA1419" s="40"/>
      <c r="BB1419" s="99"/>
      <c r="BC1419" s="85"/>
      <c r="BG1419" s="79"/>
      <c r="BH1419" s="99"/>
    </row>
    <row r="1420" spans="51:60" x14ac:dyDescent="0.2">
      <c r="AY1420" s="79"/>
      <c r="AZ1420" s="85"/>
      <c r="BA1420" s="40"/>
      <c r="BB1420" s="99"/>
      <c r="BC1420" s="85"/>
      <c r="BG1420" s="79"/>
      <c r="BH1420" s="99"/>
    </row>
    <row r="1421" spans="51:60" x14ac:dyDescent="0.2">
      <c r="AY1421" s="79"/>
      <c r="AZ1421" s="85"/>
      <c r="BA1421" s="40"/>
      <c r="BB1421" s="99"/>
      <c r="BC1421" s="85"/>
      <c r="BG1421" s="79"/>
      <c r="BH1421" s="99"/>
    </row>
    <row r="1422" spans="51:60" x14ac:dyDescent="0.2">
      <c r="AY1422" s="79"/>
      <c r="AZ1422" s="85"/>
      <c r="BA1422" s="40"/>
      <c r="BB1422" s="99"/>
      <c r="BC1422" s="85"/>
      <c r="BG1422" s="79"/>
      <c r="BH1422" s="99"/>
    </row>
    <row r="1423" spans="51:60" x14ac:dyDescent="0.2">
      <c r="AY1423" s="79"/>
      <c r="AZ1423" s="85"/>
      <c r="BA1423" s="40"/>
      <c r="BB1423" s="99"/>
      <c r="BC1423" s="85"/>
      <c r="BG1423" s="79"/>
      <c r="BH1423" s="99"/>
    </row>
    <row r="1424" spans="51:60" x14ac:dyDescent="0.2">
      <c r="AY1424" s="79"/>
      <c r="AZ1424" s="85"/>
      <c r="BA1424" s="40"/>
      <c r="BB1424" s="99"/>
      <c r="BC1424" s="85"/>
      <c r="BG1424" s="79"/>
      <c r="BH1424" s="99"/>
    </row>
    <row r="1425" spans="51:60" x14ac:dyDescent="0.2">
      <c r="AY1425" s="79"/>
      <c r="AZ1425" s="85"/>
      <c r="BA1425" s="40"/>
      <c r="BB1425" s="99"/>
      <c r="BC1425" s="85"/>
      <c r="BG1425" s="79"/>
      <c r="BH1425" s="99"/>
    </row>
    <row r="1426" spans="51:60" x14ac:dyDescent="0.2">
      <c r="AY1426" s="79"/>
      <c r="AZ1426" s="85"/>
      <c r="BA1426" s="40"/>
      <c r="BB1426" s="99"/>
      <c r="BC1426" s="85"/>
      <c r="BG1426" s="79"/>
      <c r="BH1426" s="99"/>
    </row>
    <row r="1427" spans="51:60" x14ac:dyDescent="0.2">
      <c r="AY1427" s="79"/>
      <c r="AZ1427" s="85"/>
      <c r="BA1427" s="40"/>
      <c r="BB1427" s="99"/>
      <c r="BC1427" s="85"/>
      <c r="BG1427" s="79"/>
      <c r="BH1427" s="99"/>
    </row>
    <row r="1428" spans="51:60" x14ac:dyDescent="0.2">
      <c r="AY1428" s="79"/>
      <c r="AZ1428" s="85"/>
      <c r="BA1428" s="40"/>
      <c r="BB1428" s="99"/>
      <c r="BC1428" s="85"/>
      <c r="BG1428" s="79"/>
      <c r="BH1428" s="99"/>
    </row>
    <row r="1429" spans="51:60" x14ac:dyDescent="0.2">
      <c r="AY1429" s="79"/>
      <c r="AZ1429" s="85"/>
      <c r="BA1429" s="40"/>
      <c r="BB1429" s="99"/>
      <c r="BC1429" s="85"/>
      <c r="BG1429" s="79"/>
      <c r="BH1429" s="99"/>
    </row>
    <row r="1430" spans="51:60" x14ac:dyDescent="0.2">
      <c r="AY1430" s="79"/>
      <c r="AZ1430" s="85"/>
      <c r="BA1430" s="40"/>
      <c r="BB1430" s="99"/>
      <c r="BC1430" s="85"/>
      <c r="BG1430" s="79"/>
      <c r="BH1430" s="99"/>
    </row>
    <row r="1431" spans="51:60" x14ac:dyDescent="0.2">
      <c r="AY1431" s="79"/>
      <c r="AZ1431" s="85"/>
      <c r="BA1431" s="40"/>
      <c r="BB1431" s="99"/>
      <c r="BC1431" s="85"/>
      <c r="BG1431" s="79"/>
      <c r="BH1431" s="99"/>
    </row>
    <row r="1432" spans="51:60" x14ac:dyDescent="0.2">
      <c r="AY1432" s="79"/>
      <c r="AZ1432" s="85"/>
      <c r="BA1432" s="40"/>
      <c r="BB1432" s="99"/>
      <c r="BC1432" s="85"/>
      <c r="BG1432" s="79"/>
      <c r="BH1432" s="99"/>
    </row>
    <row r="1433" spans="51:60" x14ac:dyDescent="0.2">
      <c r="AY1433" s="79"/>
      <c r="AZ1433" s="85"/>
      <c r="BA1433" s="40"/>
      <c r="BB1433" s="99"/>
      <c r="BC1433" s="85"/>
      <c r="BG1433" s="79"/>
      <c r="BH1433" s="99"/>
    </row>
    <row r="1434" spans="51:60" x14ac:dyDescent="0.2">
      <c r="AY1434" s="79"/>
      <c r="AZ1434" s="85"/>
      <c r="BA1434" s="40"/>
      <c r="BB1434" s="99"/>
      <c r="BC1434" s="85"/>
      <c r="BG1434" s="79"/>
      <c r="BH1434" s="99"/>
    </row>
    <row r="1435" spans="51:60" x14ac:dyDescent="0.2">
      <c r="AY1435" s="79"/>
      <c r="AZ1435" s="85"/>
      <c r="BA1435" s="40"/>
      <c r="BB1435" s="99"/>
      <c r="BC1435" s="85"/>
      <c r="BG1435" s="79"/>
      <c r="BH1435" s="99"/>
    </row>
    <row r="1436" spans="51:60" x14ac:dyDescent="0.2">
      <c r="AY1436" s="79"/>
      <c r="AZ1436" s="85"/>
      <c r="BA1436" s="40"/>
      <c r="BB1436" s="99"/>
      <c r="BC1436" s="85"/>
      <c r="BG1436" s="79"/>
      <c r="BH1436" s="99"/>
    </row>
    <row r="1437" spans="51:60" x14ac:dyDescent="0.2">
      <c r="AY1437" s="79"/>
      <c r="AZ1437" s="85"/>
      <c r="BA1437" s="40"/>
      <c r="BB1437" s="99"/>
      <c r="BC1437" s="85"/>
      <c r="BG1437" s="79"/>
      <c r="BH1437" s="99"/>
    </row>
    <row r="1438" spans="51:60" x14ac:dyDescent="0.2">
      <c r="AY1438" s="79"/>
      <c r="AZ1438" s="85"/>
      <c r="BA1438" s="40"/>
      <c r="BB1438" s="99"/>
      <c r="BC1438" s="85"/>
      <c r="BG1438" s="79"/>
      <c r="BH1438" s="99"/>
    </row>
    <row r="1439" spans="51:60" x14ac:dyDescent="0.2">
      <c r="AY1439" s="79"/>
      <c r="AZ1439" s="85"/>
      <c r="BA1439" s="40"/>
      <c r="BB1439" s="99"/>
      <c r="BC1439" s="85"/>
      <c r="BG1439" s="79"/>
      <c r="BH1439" s="99"/>
    </row>
    <row r="1440" spans="51:60" x14ac:dyDescent="0.2">
      <c r="AY1440" s="79"/>
      <c r="AZ1440" s="85"/>
      <c r="BA1440" s="40"/>
      <c r="BB1440" s="99"/>
      <c r="BC1440" s="85"/>
      <c r="BG1440" s="79"/>
      <c r="BH1440" s="99"/>
    </row>
    <row r="1441" spans="51:60" x14ac:dyDescent="0.2">
      <c r="AY1441" s="79"/>
      <c r="AZ1441" s="85"/>
      <c r="BA1441" s="40"/>
      <c r="BB1441" s="99"/>
      <c r="BC1441" s="85"/>
      <c r="BG1441" s="79"/>
      <c r="BH1441" s="99"/>
    </row>
    <row r="1442" spans="51:60" x14ac:dyDescent="0.2">
      <c r="AY1442" s="79"/>
      <c r="AZ1442" s="85"/>
      <c r="BA1442" s="40"/>
      <c r="BB1442" s="99"/>
      <c r="BC1442" s="85"/>
      <c r="BG1442" s="79"/>
      <c r="BH1442" s="99"/>
    </row>
    <row r="1443" spans="51:60" x14ac:dyDescent="0.2">
      <c r="AY1443" s="79"/>
      <c r="AZ1443" s="85"/>
      <c r="BA1443" s="40"/>
      <c r="BB1443" s="99"/>
      <c r="BC1443" s="85"/>
      <c r="BG1443" s="79"/>
      <c r="BH1443" s="99"/>
    </row>
    <row r="1444" spans="51:60" x14ac:dyDescent="0.2">
      <c r="AY1444" s="79"/>
      <c r="AZ1444" s="85"/>
      <c r="BA1444" s="40"/>
      <c r="BB1444" s="99"/>
      <c r="BC1444" s="85"/>
      <c r="BG1444" s="79"/>
      <c r="BH1444" s="99"/>
    </row>
    <row r="1445" spans="51:60" x14ac:dyDescent="0.2">
      <c r="AY1445" s="79"/>
      <c r="AZ1445" s="85"/>
      <c r="BA1445" s="40"/>
      <c r="BB1445" s="99"/>
      <c r="BC1445" s="85"/>
      <c r="BG1445" s="79"/>
      <c r="BH1445" s="99"/>
    </row>
    <row r="1446" spans="51:60" x14ac:dyDescent="0.2">
      <c r="AY1446" s="79"/>
      <c r="AZ1446" s="85"/>
      <c r="BA1446" s="40"/>
      <c r="BB1446" s="99"/>
      <c r="BC1446" s="85"/>
      <c r="BG1446" s="79"/>
      <c r="BH1446" s="99"/>
    </row>
    <row r="1447" spans="51:60" x14ac:dyDescent="0.2">
      <c r="AY1447" s="79"/>
      <c r="AZ1447" s="85"/>
      <c r="BA1447" s="40"/>
      <c r="BB1447" s="99"/>
      <c r="BC1447" s="85"/>
      <c r="BG1447" s="79"/>
      <c r="BH1447" s="99"/>
    </row>
    <row r="1448" spans="51:60" x14ac:dyDescent="0.2">
      <c r="AY1448" s="79"/>
      <c r="AZ1448" s="85"/>
      <c r="BA1448" s="40"/>
      <c r="BB1448" s="99"/>
      <c r="BC1448" s="85"/>
      <c r="BG1448" s="79"/>
      <c r="BH1448" s="99"/>
    </row>
    <row r="1449" spans="51:60" x14ac:dyDescent="0.2">
      <c r="AY1449" s="79"/>
      <c r="AZ1449" s="85"/>
      <c r="BA1449" s="40"/>
      <c r="BB1449" s="99"/>
      <c r="BC1449" s="85"/>
      <c r="BG1449" s="79"/>
      <c r="BH1449" s="99"/>
    </row>
    <row r="1450" spans="51:60" x14ac:dyDescent="0.2">
      <c r="AY1450" s="79"/>
      <c r="AZ1450" s="85"/>
      <c r="BA1450" s="40"/>
      <c r="BB1450" s="99"/>
      <c r="BC1450" s="85"/>
      <c r="BG1450" s="79"/>
      <c r="BH1450" s="99"/>
    </row>
    <row r="1451" spans="51:60" x14ac:dyDescent="0.2">
      <c r="AY1451" s="79"/>
      <c r="AZ1451" s="85"/>
      <c r="BA1451" s="40"/>
      <c r="BB1451" s="99"/>
      <c r="BC1451" s="85"/>
      <c r="BG1451" s="79"/>
      <c r="BH1451" s="99"/>
    </row>
    <row r="1452" spans="51:60" x14ac:dyDescent="0.2">
      <c r="AY1452" s="79"/>
      <c r="AZ1452" s="85"/>
      <c r="BA1452" s="40"/>
      <c r="BB1452" s="99"/>
      <c r="BC1452" s="85"/>
      <c r="BG1452" s="79"/>
      <c r="BH1452" s="99"/>
    </row>
    <row r="1453" spans="51:60" x14ac:dyDescent="0.2">
      <c r="AY1453" s="79"/>
      <c r="AZ1453" s="85"/>
      <c r="BA1453" s="40"/>
      <c r="BB1453" s="99"/>
      <c r="BC1453" s="85"/>
      <c r="BG1453" s="79"/>
      <c r="BH1453" s="99"/>
    </row>
    <row r="1454" spans="51:60" x14ac:dyDescent="0.2">
      <c r="AY1454" s="79"/>
      <c r="AZ1454" s="85"/>
      <c r="BA1454" s="40"/>
      <c r="BB1454" s="99"/>
      <c r="BC1454" s="85"/>
      <c r="BG1454" s="79"/>
      <c r="BH1454" s="99"/>
    </row>
    <row r="1455" spans="51:60" x14ac:dyDescent="0.2">
      <c r="AY1455" s="79"/>
      <c r="AZ1455" s="85"/>
      <c r="BA1455" s="40"/>
      <c r="BB1455" s="99"/>
      <c r="BC1455" s="85"/>
      <c r="BG1455" s="79"/>
      <c r="BH1455" s="99"/>
    </row>
    <row r="1456" spans="51:60" x14ac:dyDescent="0.2">
      <c r="AY1456" s="79"/>
      <c r="AZ1456" s="85"/>
      <c r="BA1456" s="40"/>
      <c r="BB1456" s="99"/>
      <c r="BC1456" s="85"/>
      <c r="BG1456" s="79"/>
      <c r="BH1456" s="99"/>
    </row>
    <row r="1457" spans="51:60" x14ac:dyDescent="0.2">
      <c r="AY1457" s="79"/>
      <c r="AZ1457" s="85"/>
      <c r="BA1457" s="40"/>
      <c r="BB1457" s="99"/>
      <c r="BC1457" s="85"/>
      <c r="BG1457" s="79"/>
      <c r="BH1457" s="99"/>
    </row>
    <row r="1458" spans="51:60" x14ac:dyDescent="0.2">
      <c r="AY1458" s="79"/>
      <c r="AZ1458" s="85"/>
      <c r="BA1458" s="40"/>
      <c r="BB1458" s="99"/>
      <c r="BC1458" s="85"/>
      <c r="BG1458" s="79"/>
      <c r="BH1458" s="99"/>
    </row>
    <row r="1459" spans="51:60" x14ac:dyDescent="0.2">
      <c r="AY1459" s="79"/>
      <c r="AZ1459" s="85"/>
      <c r="BA1459" s="40"/>
      <c r="BB1459" s="99"/>
      <c r="BC1459" s="85"/>
      <c r="BG1459" s="79"/>
      <c r="BH1459" s="99"/>
    </row>
    <row r="1460" spans="51:60" x14ac:dyDescent="0.2">
      <c r="AY1460" s="79"/>
      <c r="AZ1460" s="85"/>
      <c r="BA1460" s="40"/>
      <c r="BB1460" s="99"/>
      <c r="BC1460" s="85"/>
      <c r="BG1460" s="79"/>
      <c r="BH1460" s="99"/>
    </row>
    <row r="1461" spans="51:60" x14ac:dyDescent="0.2">
      <c r="AY1461" s="79"/>
      <c r="AZ1461" s="85"/>
      <c r="BA1461" s="40"/>
      <c r="BB1461" s="99"/>
      <c r="BC1461" s="85"/>
      <c r="BG1461" s="79"/>
      <c r="BH1461" s="99"/>
    </row>
    <row r="1462" spans="51:60" x14ac:dyDescent="0.2">
      <c r="AY1462" s="79"/>
      <c r="AZ1462" s="85"/>
      <c r="BA1462" s="40"/>
      <c r="BB1462" s="99"/>
      <c r="BC1462" s="85"/>
      <c r="BG1462" s="79"/>
      <c r="BH1462" s="99"/>
    </row>
    <row r="1463" spans="51:60" x14ac:dyDescent="0.2">
      <c r="AY1463" s="79"/>
      <c r="AZ1463" s="85"/>
      <c r="BA1463" s="40"/>
      <c r="BB1463" s="99"/>
      <c r="BC1463" s="85"/>
      <c r="BG1463" s="79"/>
      <c r="BH1463" s="99"/>
    </row>
    <row r="1464" spans="51:60" x14ac:dyDescent="0.2">
      <c r="AY1464" s="79"/>
      <c r="AZ1464" s="85"/>
      <c r="BA1464" s="40"/>
      <c r="BB1464" s="99"/>
      <c r="BC1464" s="85"/>
      <c r="BG1464" s="79"/>
      <c r="BH1464" s="99"/>
    </row>
    <row r="1465" spans="51:60" x14ac:dyDescent="0.2">
      <c r="AY1465" s="79"/>
      <c r="AZ1465" s="85"/>
      <c r="BA1465" s="40"/>
      <c r="BB1465" s="99"/>
      <c r="BC1465" s="85"/>
      <c r="BG1465" s="79"/>
      <c r="BH1465" s="99"/>
    </row>
    <row r="1466" spans="51:60" x14ac:dyDescent="0.2">
      <c r="AY1466" s="79"/>
      <c r="AZ1466" s="85"/>
      <c r="BA1466" s="40"/>
      <c r="BB1466" s="99"/>
      <c r="BC1466" s="85"/>
      <c r="BG1466" s="79"/>
      <c r="BH1466" s="99"/>
    </row>
    <row r="1467" spans="51:60" x14ac:dyDescent="0.2">
      <c r="AY1467" s="79"/>
      <c r="AZ1467" s="85"/>
      <c r="BA1467" s="40"/>
      <c r="BB1467" s="99"/>
      <c r="BC1467" s="85"/>
      <c r="BG1467" s="79"/>
      <c r="BH1467" s="99"/>
    </row>
    <row r="1468" spans="51:60" x14ac:dyDescent="0.2">
      <c r="AY1468" s="79"/>
      <c r="AZ1468" s="85"/>
      <c r="BA1468" s="40"/>
      <c r="BB1468" s="99"/>
      <c r="BC1468" s="85"/>
      <c r="BG1468" s="79"/>
      <c r="BH1468" s="99"/>
    </row>
    <row r="1469" spans="51:60" x14ac:dyDescent="0.2">
      <c r="AY1469" s="79"/>
      <c r="AZ1469" s="85"/>
      <c r="BA1469" s="40"/>
      <c r="BB1469" s="99"/>
      <c r="BC1469" s="85"/>
      <c r="BG1469" s="79"/>
      <c r="BH1469" s="99"/>
    </row>
    <row r="1470" spans="51:60" x14ac:dyDescent="0.2">
      <c r="AY1470" s="79"/>
      <c r="AZ1470" s="85"/>
      <c r="BA1470" s="40"/>
      <c r="BB1470" s="99"/>
      <c r="BC1470" s="85"/>
      <c r="BG1470" s="79"/>
      <c r="BH1470" s="99"/>
    </row>
    <row r="1471" spans="51:60" x14ac:dyDescent="0.2">
      <c r="AY1471" s="79"/>
      <c r="AZ1471" s="85"/>
      <c r="BA1471" s="40"/>
      <c r="BB1471" s="99"/>
      <c r="BC1471" s="85"/>
      <c r="BG1471" s="79"/>
      <c r="BH1471" s="99"/>
    </row>
    <row r="1472" spans="51:60" x14ac:dyDescent="0.2">
      <c r="AY1472" s="79"/>
      <c r="AZ1472" s="85"/>
      <c r="BA1472" s="40"/>
      <c r="BB1472" s="99"/>
      <c r="BC1472" s="85"/>
      <c r="BG1472" s="79"/>
      <c r="BH1472" s="99"/>
    </row>
    <row r="1473" spans="51:60" x14ac:dyDescent="0.2">
      <c r="AY1473" s="79"/>
      <c r="AZ1473" s="85"/>
      <c r="BA1473" s="40"/>
      <c r="BB1473" s="99"/>
      <c r="BC1473" s="85"/>
      <c r="BG1473" s="79"/>
      <c r="BH1473" s="99"/>
    </row>
    <row r="1474" spans="51:60" x14ac:dyDescent="0.2">
      <c r="AY1474" s="79"/>
      <c r="AZ1474" s="85"/>
      <c r="BA1474" s="40"/>
      <c r="BB1474" s="99"/>
      <c r="BC1474" s="85"/>
      <c r="BG1474" s="79"/>
      <c r="BH1474" s="99"/>
    </row>
    <row r="1475" spans="51:60" x14ac:dyDescent="0.2">
      <c r="AY1475" s="79"/>
      <c r="AZ1475" s="85"/>
      <c r="BA1475" s="40"/>
      <c r="BB1475" s="99"/>
      <c r="BC1475" s="85"/>
      <c r="BG1475" s="79"/>
      <c r="BH1475" s="99"/>
    </row>
    <row r="1476" spans="51:60" x14ac:dyDescent="0.2">
      <c r="AY1476" s="79"/>
      <c r="AZ1476" s="85"/>
      <c r="BA1476" s="40"/>
      <c r="BB1476" s="99"/>
      <c r="BC1476" s="85"/>
      <c r="BG1476" s="79"/>
      <c r="BH1476" s="99"/>
    </row>
    <row r="1477" spans="51:60" x14ac:dyDescent="0.2">
      <c r="AY1477" s="79"/>
      <c r="AZ1477" s="85"/>
      <c r="BA1477" s="40"/>
      <c r="BB1477" s="99"/>
      <c r="BC1477" s="85"/>
      <c r="BG1477" s="79"/>
      <c r="BH1477" s="99"/>
    </row>
    <row r="1478" spans="51:60" x14ac:dyDescent="0.2">
      <c r="AY1478" s="79"/>
      <c r="AZ1478" s="85"/>
      <c r="BA1478" s="40"/>
      <c r="BB1478" s="99"/>
      <c r="BC1478" s="85"/>
      <c r="BG1478" s="79"/>
      <c r="BH1478" s="99"/>
    </row>
    <row r="1479" spans="51:60" x14ac:dyDescent="0.2">
      <c r="AY1479" s="79"/>
      <c r="AZ1479" s="85"/>
      <c r="BA1479" s="40"/>
      <c r="BB1479" s="99"/>
      <c r="BC1479" s="85"/>
      <c r="BG1479" s="79"/>
      <c r="BH1479" s="99"/>
    </row>
    <row r="1480" spans="51:60" x14ac:dyDescent="0.2">
      <c r="AY1480" s="79"/>
      <c r="AZ1480" s="85"/>
      <c r="BA1480" s="40"/>
      <c r="BB1480" s="99"/>
      <c r="BC1480" s="85"/>
      <c r="BG1480" s="79"/>
      <c r="BH1480" s="99"/>
    </row>
    <row r="1481" spans="51:60" x14ac:dyDescent="0.2">
      <c r="AY1481" s="79"/>
      <c r="AZ1481" s="85"/>
      <c r="BA1481" s="40"/>
      <c r="BB1481" s="99"/>
      <c r="BC1481" s="85"/>
      <c r="BG1481" s="79"/>
      <c r="BH1481" s="99"/>
    </row>
    <row r="1482" spans="51:60" x14ac:dyDescent="0.2">
      <c r="AY1482" s="79"/>
      <c r="AZ1482" s="85"/>
      <c r="BA1482" s="40"/>
      <c r="BB1482" s="99"/>
      <c r="BC1482" s="85"/>
      <c r="BG1482" s="79"/>
      <c r="BH1482" s="99"/>
    </row>
    <row r="1483" spans="51:60" x14ac:dyDescent="0.2">
      <c r="AY1483" s="79"/>
      <c r="AZ1483" s="85"/>
      <c r="BA1483" s="40"/>
      <c r="BB1483" s="99"/>
      <c r="BC1483" s="85"/>
      <c r="BG1483" s="79"/>
      <c r="BH1483" s="99"/>
    </row>
    <row r="1484" spans="51:60" x14ac:dyDescent="0.2">
      <c r="AY1484" s="79"/>
      <c r="AZ1484" s="85"/>
      <c r="BA1484" s="40"/>
      <c r="BB1484" s="99"/>
      <c r="BC1484" s="85"/>
      <c r="BG1484" s="79"/>
      <c r="BH1484" s="99"/>
    </row>
    <row r="1485" spans="51:60" x14ac:dyDescent="0.2">
      <c r="AY1485" s="79"/>
      <c r="AZ1485" s="85"/>
      <c r="BA1485" s="40"/>
      <c r="BB1485" s="99"/>
      <c r="BC1485" s="85"/>
      <c r="BG1485" s="79"/>
      <c r="BH1485" s="99"/>
    </row>
    <row r="1486" spans="51:60" x14ac:dyDescent="0.2">
      <c r="AY1486" s="79"/>
      <c r="AZ1486" s="85"/>
      <c r="BA1486" s="40"/>
      <c r="BB1486" s="99"/>
      <c r="BC1486" s="85"/>
      <c r="BG1486" s="79"/>
      <c r="BH1486" s="99"/>
    </row>
    <row r="1487" spans="51:60" x14ac:dyDescent="0.2">
      <c r="AY1487" s="79"/>
      <c r="AZ1487" s="85"/>
      <c r="BA1487" s="40"/>
      <c r="BB1487" s="99"/>
      <c r="BC1487" s="85"/>
      <c r="BG1487" s="79"/>
      <c r="BH1487" s="99"/>
    </row>
    <row r="1488" spans="51:60" x14ac:dyDescent="0.2">
      <c r="AY1488" s="79"/>
      <c r="AZ1488" s="85"/>
      <c r="BA1488" s="40"/>
      <c r="BB1488" s="99"/>
      <c r="BC1488" s="85"/>
      <c r="BG1488" s="79"/>
      <c r="BH1488" s="99"/>
    </row>
    <row r="1489" spans="51:60" x14ac:dyDescent="0.2">
      <c r="AY1489" s="79"/>
      <c r="AZ1489" s="85"/>
      <c r="BA1489" s="40"/>
      <c r="BB1489" s="99"/>
      <c r="BC1489" s="85"/>
      <c r="BG1489" s="79"/>
      <c r="BH1489" s="99"/>
    </row>
    <row r="1490" spans="51:60" x14ac:dyDescent="0.2">
      <c r="AY1490" s="79"/>
      <c r="AZ1490" s="85"/>
      <c r="BA1490" s="40"/>
      <c r="BB1490" s="99"/>
      <c r="BC1490" s="85"/>
      <c r="BG1490" s="79"/>
      <c r="BH1490" s="99"/>
    </row>
    <row r="1491" spans="51:60" x14ac:dyDescent="0.2">
      <c r="AY1491" s="79"/>
      <c r="AZ1491" s="85"/>
      <c r="BA1491" s="40"/>
      <c r="BB1491" s="99"/>
      <c r="BC1491" s="85"/>
      <c r="BG1491" s="79"/>
      <c r="BH1491" s="99"/>
    </row>
    <row r="1492" spans="51:60" x14ac:dyDescent="0.2">
      <c r="AY1492" s="79"/>
      <c r="AZ1492" s="85"/>
      <c r="BA1492" s="40"/>
      <c r="BB1492" s="99"/>
      <c r="BC1492" s="85"/>
      <c r="BG1492" s="79"/>
      <c r="BH1492" s="99"/>
    </row>
    <row r="1493" spans="51:60" x14ac:dyDescent="0.2">
      <c r="AY1493" s="79"/>
      <c r="AZ1493" s="85"/>
      <c r="BA1493" s="40"/>
      <c r="BB1493" s="99"/>
      <c r="BC1493" s="85"/>
      <c r="BG1493" s="79"/>
      <c r="BH1493" s="99"/>
    </row>
    <row r="1494" spans="51:60" x14ac:dyDescent="0.2">
      <c r="AY1494" s="79"/>
      <c r="AZ1494" s="85"/>
      <c r="BA1494" s="40"/>
      <c r="BB1494" s="99"/>
      <c r="BC1494" s="85"/>
      <c r="BG1494" s="79"/>
      <c r="BH1494" s="99"/>
    </row>
    <row r="1495" spans="51:60" x14ac:dyDescent="0.2">
      <c r="AY1495" s="79"/>
      <c r="AZ1495" s="85"/>
      <c r="BA1495" s="40"/>
      <c r="BB1495" s="99"/>
      <c r="BC1495" s="85"/>
      <c r="BG1495" s="79"/>
      <c r="BH1495" s="99"/>
    </row>
    <row r="1496" spans="51:60" x14ac:dyDescent="0.2">
      <c r="AY1496" s="79"/>
      <c r="AZ1496" s="85"/>
      <c r="BA1496" s="40"/>
      <c r="BB1496" s="99"/>
      <c r="BC1496" s="85"/>
      <c r="BG1496" s="79"/>
      <c r="BH1496" s="99"/>
    </row>
    <row r="1497" spans="51:60" x14ac:dyDescent="0.2">
      <c r="AY1497" s="79"/>
      <c r="AZ1497" s="85"/>
      <c r="BA1497" s="40"/>
      <c r="BB1497" s="99"/>
      <c r="BC1497" s="85"/>
      <c r="BG1497" s="79"/>
      <c r="BH1497" s="99"/>
    </row>
    <row r="1498" spans="51:60" x14ac:dyDescent="0.2">
      <c r="AY1498" s="79"/>
      <c r="AZ1498" s="85"/>
      <c r="BA1498" s="40"/>
      <c r="BB1498" s="99"/>
      <c r="BC1498" s="85"/>
      <c r="BG1498" s="79"/>
      <c r="BH1498" s="99"/>
    </row>
    <row r="1499" spans="51:60" x14ac:dyDescent="0.2">
      <c r="AY1499" s="79"/>
      <c r="AZ1499" s="85"/>
      <c r="BA1499" s="40"/>
      <c r="BB1499" s="99"/>
      <c r="BC1499" s="85"/>
      <c r="BG1499" s="79"/>
      <c r="BH1499" s="99"/>
    </row>
    <row r="1500" spans="51:60" x14ac:dyDescent="0.2">
      <c r="AY1500" s="79"/>
      <c r="AZ1500" s="85"/>
      <c r="BA1500" s="40"/>
      <c r="BB1500" s="99"/>
      <c r="BC1500" s="85"/>
      <c r="BG1500" s="79"/>
      <c r="BH1500" s="99"/>
    </row>
    <row r="1501" spans="51:60" x14ac:dyDescent="0.2">
      <c r="AY1501" s="79"/>
      <c r="AZ1501" s="85"/>
      <c r="BA1501" s="40"/>
      <c r="BB1501" s="99"/>
      <c r="BC1501" s="85"/>
      <c r="BG1501" s="79"/>
      <c r="BH1501" s="99"/>
    </row>
    <row r="1502" spans="51:60" x14ac:dyDescent="0.2">
      <c r="AY1502" s="79"/>
      <c r="AZ1502" s="85"/>
      <c r="BA1502" s="40"/>
      <c r="BB1502" s="99"/>
      <c r="BC1502" s="85"/>
      <c r="BG1502" s="79"/>
      <c r="BH1502" s="99"/>
    </row>
    <row r="1503" spans="51:60" x14ac:dyDescent="0.2">
      <c r="AY1503" s="79"/>
      <c r="AZ1503" s="85"/>
      <c r="BA1503" s="40"/>
      <c r="BB1503" s="99"/>
      <c r="BC1503" s="85"/>
      <c r="BG1503" s="79"/>
      <c r="BH1503" s="99"/>
    </row>
    <row r="1504" spans="51:60" x14ac:dyDescent="0.2">
      <c r="AY1504" s="79"/>
      <c r="AZ1504" s="85"/>
      <c r="BA1504" s="40"/>
      <c r="BB1504" s="99"/>
      <c r="BC1504" s="85"/>
      <c r="BG1504" s="79"/>
      <c r="BH1504" s="99"/>
    </row>
    <row r="1505" spans="51:60" x14ac:dyDescent="0.2">
      <c r="AY1505" s="79"/>
      <c r="AZ1505" s="85"/>
      <c r="BA1505" s="40"/>
      <c r="BB1505" s="99"/>
      <c r="BC1505" s="85"/>
      <c r="BG1505" s="79"/>
      <c r="BH1505" s="99"/>
    </row>
    <row r="1506" spans="51:60" x14ac:dyDescent="0.2">
      <c r="AY1506" s="79"/>
      <c r="AZ1506" s="85"/>
      <c r="BA1506" s="40"/>
      <c r="BB1506" s="99"/>
      <c r="BC1506" s="85"/>
      <c r="BG1506" s="79"/>
      <c r="BH1506" s="99"/>
    </row>
    <row r="1507" spans="51:60" x14ac:dyDescent="0.2">
      <c r="AY1507" s="79"/>
      <c r="AZ1507" s="85"/>
      <c r="BA1507" s="40"/>
      <c r="BB1507" s="99"/>
      <c r="BC1507" s="85"/>
      <c r="BG1507" s="79"/>
      <c r="BH1507" s="99"/>
    </row>
    <row r="1508" spans="51:60" x14ac:dyDescent="0.2">
      <c r="AY1508" s="79"/>
      <c r="AZ1508" s="85"/>
      <c r="BA1508" s="40"/>
      <c r="BB1508" s="99"/>
      <c r="BC1508" s="85"/>
      <c r="BG1508" s="79"/>
      <c r="BH1508" s="99"/>
    </row>
    <row r="1509" spans="51:60" x14ac:dyDescent="0.2">
      <c r="AY1509" s="79"/>
      <c r="AZ1509" s="85"/>
      <c r="BA1509" s="40"/>
      <c r="BB1509" s="99"/>
      <c r="BC1509" s="85"/>
      <c r="BG1509" s="79"/>
      <c r="BH1509" s="99"/>
    </row>
    <row r="1510" spans="51:60" x14ac:dyDescent="0.2">
      <c r="AY1510" s="79"/>
      <c r="AZ1510" s="85"/>
      <c r="BA1510" s="40"/>
      <c r="BB1510" s="99"/>
      <c r="BC1510" s="85"/>
      <c r="BG1510" s="79"/>
      <c r="BH1510" s="99"/>
    </row>
    <row r="1511" spans="51:60" x14ac:dyDescent="0.2">
      <c r="AY1511" s="79"/>
      <c r="AZ1511" s="85"/>
      <c r="BA1511" s="40"/>
      <c r="BB1511" s="99"/>
      <c r="BC1511" s="85"/>
      <c r="BG1511" s="79"/>
      <c r="BH1511" s="99"/>
    </row>
    <row r="1512" spans="51:60" x14ac:dyDescent="0.2">
      <c r="AY1512" s="79"/>
      <c r="AZ1512" s="85"/>
      <c r="BA1512" s="40"/>
      <c r="BB1512" s="99"/>
      <c r="BC1512" s="85"/>
      <c r="BG1512" s="79"/>
      <c r="BH1512" s="99"/>
    </row>
    <row r="1513" spans="51:60" x14ac:dyDescent="0.2">
      <c r="AY1513" s="79"/>
      <c r="AZ1513" s="85"/>
      <c r="BA1513" s="40"/>
      <c r="BB1513" s="99"/>
      <c r="BC1513" s="85"/>
      <c r="BG1513" s="79"/>
      <c r="BH1513" s="99"/>
    </row>
    <row r="1514" spans="51:60" x14ac:dyDescent="0.2">
      <c r="AY1514" s="79"/>
      <c r="AZ1514" s="85"/>
      <c r="BA1514" s="40"/>
      <c r="BB1514" s="99"/>
      <c r="BC1514" s="85"/>
      <c r="BG1514" s="79"/>
      <c r="BH1514" s="99"/>
    </row>
    <row r="1515" spans="51:60" x14ac:dyDescent="0.2">
      <c r="AY1515" s="79"/>
      <c r="AZ1515" s="85"/>
      <c r="BA1515" s="40"/>
      <c r="BB1515" s="99"/>
      <c r="BC1515" s="85"/>
      <c r="BG1515" s="79"/>
      <c r="BH1515" s="99"/>
    </row>
    <row r="1516" spans="51:60" x14ac:dyDescent="0.2">
      <c r="AY1516" s="79"/>
      <c r="AZ1516" s="85"/>
      <c r="BA1516" s="40"/>
      <c r="BB1516" s="99"/>
      <c r="BC1516" s="85"/>
      <c r="BG1516" s="79"/>
      <c r="BH1516" s="99"/>
    </row>
    <row r="1517" spans="51:60" x14ac:dyDescent="0.2">
      <c r="AY1517" s="79"/>
      <c r="AZ1517" s="85"/>
      <c r="BA1517" s="40"/>
      <c r="BB1517" s="99"/>
      <c r="BC1517" s="85"/>
      <c r="BG1517" s="79"/>
      <c r="BH1517" s="99"/>
    </row>
    <row r="1518" spans="51:60" x14ac:dyDescent="0.2">
      <c r="AY1518" s="79"/>
      <c r="AZ1518" s="85"/>
      <c r="BA1518" s="40"/>
      <c r="BB1518" s="99"/>
      <c r="BC1518" s="85"/>
      <c r="BG1518" s="79"/>
      <c r="BH1518" s="99"/>
    </row>
    <row r="1519" spans="51:60" x14ac:dyDescent="0.2">
      <c r="AY1519" s="79"/>
      <c r="AZ1519" s="85"/>
      <c r="BA1519" s="40"/>
      <c r="BB1519" s="99"/>
      <c r="BC1519" s="85"/>
      <c r="BG1519" s="79"/>
      <c r="BH1519" s="99"/>
    </row>
    <row r="1520" spans="51:60" x14ac:dyDescent="0.2">
      <c r="AY1520" s="79"/>
      <c r="AZ1520" s="85"/>
      <c r="BA1520" s="40"/>
      <c r="BB1520" s="99"/>
      <c r="BC1520" s="85"/>
      <c r="BG1520" s="79"/>
      <c r="BH1520" s="99"/>
    </row>
    <row r="1521" spans="51:60" x14ac:dyDescent="0.2">
      <c r="AY1521" s="79"/>
      <c r="AZ1521" s="85"/>
      <c r="BA1521" s="40"/>
      <c r="BB1521" s="99"/>
      <c r="BC1521" s="85"/>
      <c r="BG1521" s="79"/>
      <c r="BH1521" s="99"/>
    </row>
    <row r="1522" spans="51:60" x14ac:dyDescent="0.2">
      <c r="AY1522" s="79"/>
      <c r="AZ1522" s="85"/>
      <c r="BA1522" s="40"/>
      <c r="BB1522" s="99"/>
      <c r="BC1522" s="85"/>
      <c r="BG1522" s="79"/>
      <c r="BH1522" s="99"/>
    </row>
    <row r="1523" spans="51:60" x14ac:dyDescent="0.2">
      <c r="AY1523" s="79"/>
      <c r="AZ1523" s="85"/>
      <c r="BA1523" s="40"/>
      <c r="BB1523" s="99"/>
      <c r="BC1523" s="85"/>
      <c r="BG1523" s="79"/>
      <c r="BH1523" s="99"/>
    </row>
    <row r="1524" spans="51:60" x14ac:dyDescent="0.2">
      <c r="AY1524" s="79"/>
      <c r="AZ1524" s="85"/>
      <c r="BA1524" s="40"/>
      <c r="BB1524" s="99"/>
      <c r="BC1524" s="85"/>
      <c r="BG1524" s="79"/>
      <c r="BH1524" s="99"/>
    </row>
    <row r="1525" spans="51:60" x14ac:dyDescent="0.2">
      <c r="AY1525" s="79"/>
      <c r="AZ1525" s="85"/>
      <c r="BA1525" s="40"/>
      <c r="BB1525" s="99"/>
      <c r="BC1525" s="85"/>
      <c r="BG1525" s="79"/>
      <c r="BH1525" s="99"/>
    </row>
    <row r="1526" spans="51:60" x14ac:dyDescent="0.2">
      <c r="AY1526" s="79"/>
      <c r="AZ1526" s="85"/>
      <c r="BA1526" s="40"/>
      <c r="BB1526" s="99"/>
      <c r="BC1526" s="85"/>
      <c r="BG1526" s="79"/>
      <c r="BH1526" s="99"/>
    </row>
    <row r="1527" spans="51:60" x14ac:dyDescent="0.2">
      <c r="AY1527" s="79"/>
      <c r="AZ1527" s="85"/>
      <c r="BA1527" s="40"/>
      <c r="BB1527" s="99"/>
      <c r="BC1527" s="85"/>
      <c r="BG1527" s="79"/>
      <c r="BH1527" s="99"/>
    </row>
    <row r="1528" spans="51:60" x14ac:dyDescent="0.2">
      <c r="AY1528" s="79"/>
      <c r="AZ1528" s="85"/>
      <c r="BA1528" s="40"/>
      <c r="BB1528" s="99"/>
      <c r="BC1528" s="85"/>
      <c r="BG1528" s="79"/>
      <c r="BH1528" s="99"/>
    </row>
    <row r="1529" spans="51:60" x14ac:dyDescent="0.2">
      <c r="AY1529" s="79"/>
      <c r="AZ1529" s="85"/>
      <c r="BA1529" s="40"/>
      <c r="BB1529" s="99"/>
      <c r="BC1529" s="85"/>
      <c r="BG1529" s="79"/>
      <c r="BH1529" s="99"/>
    </row>
    <row r="1530" spans="51:60" x14ac:dyDescent="0.2">
      <c r="AY1530" s="79"/>
      <c r="AZ1530" s="85"/>
      <c r="BA1530" s="40"/>
      <c r="BB1530" s="99"/>
      <c r="BC1530" s="85"/>
      <c r="BG1530" s="79"/>
      <c r="BH1530" s="99"/>
    </row>
    <row r="1531" spans="51:60" x14ac:dyDescent="0.2">
      <c r="AY1531" s="79"/>
      <c r="AZ1531" s="85"/>
      <c r="BA1531" s="40"/>
      <c r="BB1531" s="99"/>
      <c r="BC1531" s="85"/>
      <c r="BG1531" s="79"/>
      <c r="BH1531" s="99"/>
    </row>
    <row r="1532" spans="51:60" x14ac:dyDescent="0.2">
      <c r="AY1532" s="79"/>
      <c r="AZ1532" s="85"/>
      <c r="BA1532" s="40"/>
      <c r="BB1532" s="99"/>
      <c r="BC1532" s="85"/>
      <c r="BG1532" s="79"/>
      <c r="BH1532" s="99"/>
    </row>
    <row r="1533" spans="51:60" x14ac:dyDescent="0.2">
      <c r="AY1533" s="79"/>
      <c r="AZ1533" s="85"/>
      <c r="BA1533" s="40"/>
      <c r="BB1533" s="99"/>
      <c r="BC1533" s="85"/>
      <c r="BG1533" s="79"/>
      <c r="BH1533" s="99"/>
    </row>
    <row r="1534" spans="51:60" x14ac:dyDescent="0.2">
      <c r="AY1534" s="79"/>
      <c r="AZ1534" s="85"/>
      <c r="BA1534" s="40"/>
      <c r="BB1534" s="99"/>
      <c r="BC1534" s="85"/>
      <c r="BG1534" s="79"/>
      <c r="BH1534" s="99"/>
    </row>
    <row r="1535" spans="51:60" x14ac:dyDescent="0.2">
      <c r="AY1535" s="79"/>
      <c r="AZ1535" s="85"/>
      <c r="BA1535" s="40"/>
      <c r="BB1535" s="99"/>
      <c r="BC1535" s="85"/>
      <c r="BG1535" s="79"/>
      <c r="BH1535" s="99"/>
    </row>
    <row r="1536" spans="51:60" x14ac:dyDescent="0.2">
      <c r="AY1536" s="79"/>
      <c r="AZ1536" s="85"/>
      <c r="BA1536" s="40"/>
      <c r="BB1536" s="99"/>
      <c r="BC1536" s="85"/>
      <c r="BG1536" s="79"/>
      <c r="BH1536" s="99"/>
    </row>
    <row r="1537" spans="51:60" x14ac:dyDescent="0.2">
      <c r="AY1537" s="79"/>
      <c r="AZ1537" s="85"/>
      <c r="BA1537" s="40"/>
      <c r="BB1537" s="99"/>
      <c r="BC1537" s="85"/>
      <c r="BG1537" s="79"/>
      <c r="BH1537" s="99"/>
    </row>
    <row r="1538" spans="51:60" x14ac:dyDescent="0.2">
      <c r="AY1538" s="79"/>
      <c r="AZ1538" s="85"/>
      <c r="BA1538" s="40"/>
      <c r="BB1538" s="99"/>
      <c r="BC1538" s="85"/>
      <c r="BG1538" s="79"/>
      <c r="BH1538" s="99"/>
    </row>
    <row r="1539" spans="51:60" x14ac:dyDescent="0.2">
      <c r="AY1539" s="79"/>
      <c r="AZ1539" s="85"/>
      <c r="BA1539" s="40"/>
      <c r="BB1539" s="99"/>
      <c r="BC1539" s="85"/>
      <c r="BG1539" s="79"/>
      <c r="BH1539" s="99"/>
    </row>
    <row r="1540" spans="51:60" x14ac:dyDescent="0.2">
      <c r="AY1540" s="79"/>
      <c r="AZ1540" s="85"/>
      <c r="BA1540" s="40"/>
      <c r="BB1540" s="99"/>
      <c r="BC1540" s="85"/>
      <c r="BG1540" s="79"/>
      <c r="BH1540" s="99"/>
    </row>
    <row r="1541" spans="51:60" x14ac:dyDescent="0.2">
      <c r="AY1541" s="79"/>
      <c r="AZ1541" s="85"/>
      <c r="BA1541" s="40"/>
      <c r="BB1541" s="99"/>
      <c r="BC1541" s="85"/>
      <c r="BG1541" s="79"/>
      <c r="BH1541" s="99"/>
    </row>
    <row r="1542" spans="51:60" x14ac:dyDescent="0.2">
      <c r="AY1542" s="79"/>
      <c r="AZ1542" s="85"/>
      <c r="BA1542" s="40"/>
      <c r="BB1542" s="99"/>
      <c r="BC1542" s="85"/>
      <c r="BG1542" s="79"/>
      <c r="BH1542" s="99"/>
    </row>
    <row r="1543" spans="51:60" x14ac:dyDescent="0.2">
      <c r="AY1543" s="79"/>
      <c r="AZ1543" s="85"/>
      <c r="BA1543" s="40"/>
      <c r="BB1543" s="99"/>
      <c r="BC1543" s="85"/>
      <c r="BG1543" s="79"/>
      <c r="BH1543" s="99"/>
    </row>
    <row r="1544" spans="51:60" x14ac:dyDescent="0.2">
      <c r="AY1544" s="79"/>
      <c r="AZ1544" s="85"/>
      <c r="BA1544" s="40"/>
      <c r="BB1544" s="99"/>
      <c r="BC1544" s="85"/>
      <c r="BG1544" s="79"/>
      <c r="BH1544" s="99"/>
    </row>
    <row r="1545" spans="51:60" x14ac:dyDescent="0.2">
      <c r="AY1545" s="79"/>
      <c r="AZ1545" s="85"/>
      <c r="BA1545" s="40"/>
      <c r="BB1545" s="99"/>
      <c r="BC1545" s="85"/>
      <c r="BG1545" s="79"/>
      <c r="BH1545" s="99"/>
    </row>
    <row r="1546" spans="51:60" x14ac:dyDescent="0.2">
      <c r="AY1546" s="79"/>
      <c r="AZ1546" s="85"/>
      <c r="BA1546" s="40"/>
      <c r="BB1546" s="99"/>
      <c r="BC1546" s="85"/>
      <c r="BG1546" s="79"/>
      <c r="BH1546" s="99"/>
    </row>
    <row r="1547" spans="51:60" x14ac:dyDescent="0.2">
      <c r="AY1547" s="79"/>
      <c r="AZ1547" s="85"/>
      <c r="BA1547" s="40"/>
      <c r="BB1547" s="99"/>
      <c r="BC1547" s="85"/>
      <c r="BG1547" s="79"/>
      <c r="BH1547" s="99"/>
    </row>
    <row r="1548" spans="51:60" x14ac:dyDescent="0.2">
      <c r="AY1548" s="79"/>
      <c r="AZ1548" s="85"/>
      <c r="BA1548" s="40"/>
      <c r="BB1548" s="99"/>
      <c r="BC1548" s="85"/>
      <c r="BG1548" s="79"/>
      <c r="BH1548" s="99"/>
    </row>
    <row r="1549" spans="51:60" x14ac:dyDescent="0.2">
      <c r="AY1549" s="79"/>
      <c r="AZ1549" s="85"/>
      <c r="BA1549" s="40"/>
      <c r="BB1549" s="99"/>
      <c r="BC1549" s="85"/>
      <c r="BG1549" s="79"/>
      <c r="BH1549" s="99"/>
    </row>
    <row r="1550" spans="51:60" x14ac:dyDescent="0.2">
      <c r="AY1550" s="79"/>
      <c r="AZ1550" s="85"/>
      <c r="BA1550" s="40"/>
      <c r="BB1550" s="99"/>
      <c r="BC1550" s="85"/>
      <c r="BG1550" s="79"/>
      <c r="BH1550" s="99"/>
    </row>
    <row r="1551" spans="51:60" x14ac:dyDescent="0.2">
      <c r="AY1551" s="79"/>
      <c r="AZ1551" s="85"/>
      <c r="BA1551" s="40"/>
      <c r="BB1551" s="99"/>
      <c r="BC1551" s="85"/>
      <c r="BG1551" s="79"/>
      <c r="BH1551" s="99"/>
    </row>
    <row r="1552" spans="51:60" x14ac:dyDescent="0.2">
      <c r="AY1552" s="79"/>
      <c r="AZ1552" s="85"/>
      <c r="BA1552" s="40"/>
      <c r="BB1552" s="99"/>
      <c r="BC1552" s="85"/>
      <c r="BG1552" s="79"/>
      <c r="BH1552" s="99"/>
    </row>
    <row r="1553" spans="51:60" x14ac:dyDescent="0.2">
      <c r="AY1553" s="79"/>
      <c r="AZ1553" s="85"/>
      <c r="BA1553" s="40"/>
      <c r="BB1553" s="99"/>
      <c r="BC1553" s="85"/>
      <c r="BG1553" s="79"/>
      <c r="BH1553" s="99"/>
    </row>
    <row r="1554" spans="51:60" x14ac:dyDescent="0.2">
      <c r="AY1554" s="79"/>
      <c r="AZ1554" s="85"/>
      <c r="BA1554" s="40"/>
      <c r="BB1554" s="99"/>
      <c r="BC1554" s="85"/>
      <c r="BG1554" s="79"/>
      <c r="BH1554" s="99"/>
    </row>
    <row r="1555" spans="51:60" x14ac:dyDescent="0.2">
      <c r="AY1555" s="79"/>
      <c r="AZ1555" s="85"/>
      <c r="BA1555" s="40"/>
      <c r="BB1555" s="99"/>
      <c r="BC1555" s="85"/>
      <c r="BG1555" s="79"/>
      <c r="BH1555" s="99"/>
    </row>
    <row r="1556" spans="51:60" x14ac:dyDescent="0.2">
      <c r="AY1556" s="79"/>
      <c r="AZ1556" s="85"/>
      <c r="BA1556" s="40"/>
      <c r="BB1556" s="99"/>
      <c r="BC1556" s="85"/>
      <c r="BG1556" s="79"/>
      <c r="BH1556" s="99"/>
    </row>
    <row r="1557" spans="51:60" x14ac:dyDescent="0.2">
      <c r="AY1557" s="79"/>
      <c r="AZ1557" s="85"/>
      <c r="BA1557" s="40"/>
      <c r="BB1557" s="99"/>
      <c r="BC1557" s="85"/>
      <c r="BG1557" s="79"/>
      <c r="BH1557" s="99"/>
    </row>
    <row r="1558" spans="51:60" x14ac:dyDescent="0.2">
      <c r="AY1558" s="79"/>
      <c r="AZ1558" s="85"/>
      <c r="BA1558" s="40"/>
      <c r="BB1558" s="99"/>
      <c r="BC1558" s="85"/>
      <c r="BG1558" s="79"/>
      <c r="BH1558" s="99"/>
    </row>
    <row r="1559" spans="51:60" x14ac:dyDescent="0.2">
      <c r="AY1559" s="79"/>
      <c r="AZ1559" s="85"/>
      <c r="BA1559" s="40"/>
      <c r="BB1559" s="99"/>
      <c r="BC1559" s="85"/>
      <c r="BG1559" s="79"/>
      <c r="BH1559" s="99"/>
    </row>
    <row r="1560" spans="51:60" x14ac:dyDescent="0.2">
      <c r="AY1560" s="79"/>
      <c r="AZ1560" s="85"/>
      <c r="BA1560" s="40"/>
      <c r="BB1560" s="99"/>
      <c r="BC1560" s="85"/>
      <c r="BG1560" s="79"/>
      <c r="BH1560" s="99"/>
    </row>
    <row r="1561" spans="51:60" x14ac:dyDescent="0.2">
      <c r="AY1561" s="79"/>
      <c r="AZ1561" s="85"/>
      <c r="BA1561" s="40"/>
      <c r="BB1561" s="99"/>
      <c r="BC1561" s="85"/>
      <c r="BG1561" s="79"/>
      <c r="BH1561" s="99"/>
    </row>
    <row r="1562" spans="51:60" x14ac:dyDescent="0.2">
      <c r="AY1562" s="79"/>
      <c r="AZ1562" s="85"/>
      <c r="BA1562" s="40"/>
      <c r="BB1562" s="99"/>
      <c r="BC1562" s="85"/>
      <c r="BG1562" s="79"/>
      <c r="BH1562" s="99"/>
    </row>
    <row r="1563" spans="51:60" x14ac:dyDescent="0.2">
      <c r="AY1563" s="79"/>
      <c r="AZ1563" s="85"/>
      <c r="BA1563" s="40"/>
      <c r="BB1563" s="99"/>
      <c r="BC1563" s="85"/>
      <c r="BG1563" s="79"/>
      <c r="BH1563" s="99"/>
    </row>
    <row r="1564" spans="51:60" x14ac:dyDescent="0.2">
      <c r="AY1564" s="79"/>
      <c r="AZ1564" s="85"/>
      <c r="BA1564" s="40"/>
      <c r="BB1564" s="99"/>
      <c r="BC1564" s="85"/>
      <c r="BG1564" s="79"/>
      <c r="BH1564" s="99"/>
    </row>
    <row r="1565" spans="51:60" x14ac:dyDescent="0.2">
      <c r="AY1565" s="79"/>
      <c r="AZ1565" s="85"/>
      <c r="BA1565" s="40"/>
      <c r="BB1565" s="99"/>
      <c r="BC1565" s="85"/>
      <c r="BG1565" s="79"/>
      <c r="BH1565" s="99"/>
    </row>
    <row r="1566" spans="51:60" x14ac:dyDescent="0.2">
      <c r="AY1566" s="79"/>
      <c r="AZ1566" s="85"/>
      <c r="BA1566" s="40"/>
      <c r="BB1566" s="99"/>
      <c r="BC1566" s="85"/>
      <c r="BG1566" s="79"/>
      <c r="BH1566" s="99"/>
    </row>
    <row r="1567" spans="51:60" x14ac:dyDescent="0.2">
      <c r="AY1567" s="79"/>
      <c r="AZ1567" s="85"/>
      <c r="BA1567" s="40"/>
      <c r="BB1567" s="99"/>
      <c r="BC1567" s="85"/>
      <c r="BG1567" s="79"/>
      <c r="BH1567" s="99"/>
    </row>
    <row r="1568" spans="51:60" x14ac:dyDescent="0.2">
      <c r="AY1568" s="79"/>
      <c r="AZ1568" s="85"/>
      <c r="BA1568" s="40"/>
      <c r="BB1568" s="99"/>
      <c r="BC1568" s="85"/>
      <c r="BG1568" s="79"/>
      <c r="BH1568" s="99"/>
    </row>
    <row r="1569" spans="51:60" x14ac:dyDescent="0.2">
      <c r="AY1569" s="79"/>
      <c r="AZ1569" s="85"/>
      <c r="BA1569" s="40"/>
      <c r="BB1569" s="99"/>
      <c r="BC1569" s="85"/>
      <c r="BG1569" s="79"/>
      <c r="BH1569" s="99"/>
    </row>
    <row r="1570" spans="51:60" x14ac:dyDescent="0.2">
      <c r="AY1570" s="79"/>
      <c r="AZ1570" s="85"/>
      <c r="BA1570" s="40"/>
      <c r="BB1570" s="99"/>
      <c r="BC1570" s="85"/>
      <c r="BG1570" s="79"/>
      <c r="BH1570" s="99"/>
    </row>
    <row r="1571" spans="51:60" x14ac:dyDescent="0.2">
      <c r="AY1571" s="79"/>
      <c r="AZ1571" s="85"/>
      <c r="BA1571" s="40"/>
      <c r="BB1571" s="99"/>
      <c r="BC1571" s="85"/>
      <c r="BG1571" s="79"/>
      <c r="BH1571" s="99"/>
    </row>
    <row r="1572" spans="51:60" x14ac:dyDescent="0.2">
      <c r="AY1572" s="79"/>
      <c r="AZ1572" s="85"/>
      <c r="BA1572" s="40"/>
      <c r="BB1572" s="99"/>
      <c r="BC1572" s="85"/>
      <c r="BG1572" s="79"/>
      <c r="BH1572" s="99"/>
    </row>
    <row r="1573" spans="51:60" x14ac:dyDescent="0.2">
      <c r="AY1573" s="79"/>
      <c r="AZ1573" s="85"/>
      <c r="BA1573" s="40"/>
      <c r="BB1573" s="99"/>
      <c r="BC1573" s="85"/>
      <c r="BG1573" s="79"/>
      <c r="BH1573" s="99"/>
    </row>
    <row r="1574" spans="51:60" x14ac:dyDescent="0.2">
      <c r="AY1574" s="79"/>
      <c r="AZ1574" s="85"/>
      <c r="BA1574" s="40"/>
      <c r="BB1574" s="99"/>
      <c r="BC1574" s="85"/>
      <c r="BG1574" s="79"/>
      <c r="BH1574" s="99"/>
    </row>
    <row r="1575" spans="51:60" x14ac:dyDescent="0.2">
      <c r="AY1575" s="79"/>
      <c r="AZ1575" s="85"/>
      <c r="BA1575" s="40"/>
      <c r="BB1575" s="99"/>
      <c r="BC1575" s="85"/>
      <c r="BG1575" s="79"/>
      <c r="BH1575" s="99"/>
    </row>
    <row r="1576" spans="51:60" x14ac:dyDescent="0.2">
      <c r="AY1576" s="79"/>
      <c r="AZ1576" s="85"/>
      <c r="BA1576" s="40"/>
      <c r="BB1576" s="99"/>
      <c r="BC1576" s="85"/>
      <c r="BG1576" s="79"/>
      <c r="BH1576" s="99"/>
    </row>
    <row r="1577" spans="51:60" x14ac:dyDescent="0.2">
      <c r="AY1577" s="79"/>
      <c r="AZ1577" s="85"/>
      <c r="BA1577" s="40"/>
      <c r="BB1577" s="99"/>
      <c r="BC1577" s="85"/>
      <c r="BG1577" s="79"/>
      <c r="BH1577" s="99"/>
    </row>
    <row r="1578" spans="51:60" x14ac:dyDescent="0.2">
      <c r="AY1578" s="79"/>
      <c r="AZ1578" s="85"/>
      <c r="BA1578" s="40"/>
      <c r="BB1578" s="99"/>
      <c r="BC1578" s="85"/>
      <c r="BG1578" s="79"/>
      <c r="BH1578" s="99"/>
    </row>
    <row r="1579" spans="51:60" x14ac:dyDescent="0.2">
      <c r="AY1579" s="79"/>
      <c r="AZ1579" s="85"/>
      <c r="BA1579" s="40"/>
      <c r="BB1579" s="99"/>
      <c r="BC1579" s="85"/>
      <c r="BG1579" s="79"/>
      <c r="BH1579" s="99"/>
    </row>
    <row r="1580" spans="51:60" x14ac:dyDescent="0.2">
      <c r="AY1580" s="79"/>
      <c r="AZ1580" s="85"/>
      <c r="BA1580" s="40"/>
      <c r="BB1580" s="99"/>
      <c r="BC1580" s="85"/>
      <c r="BG1580" s="79"/>
      <c r="BH1580" s="99"/>
    </row>
    <row r="1581" spans="51:60" x14ac:dyDescent="0.2">
      <c r="AY1581" s="79"/>
      <c r="AZ1581" s="85"/>
      <c r="BA1581" s="40"/>
      <c r="BB1581" s="99"/>
      <c r="BC1581" s="85"/>
      <c r="BG1581" s="79"/>
      <c r="BH1581" s="99"/>
    </row>
    <row r="1582" spans="51:60" x14ac:dyDescent="0.2">
      <c r="AY1582" s="79"/>
      <c r="AZ1582" s="85"/>
      <c r="BA1582" s="40"/>
      <c r="BB1582" s="99"/>
      <c r="BC1582" s="85"/>
      <c r="BG1582" s="79"/>
      <c r="BH1582" s="99"/>
    </row>
    <row r="1583" spans="51:60" x14ac:dyDescent="0.2">
      <c r="AY1583" s="79"/>
      <c r="AZ1583" s="85"/>
      <c r="BA1583" s="40"/>
      <c r="BB1583" s="99"/>
      <c r="BC1583" s="85"/>
      <c r="BG1583" s="79"/>
      <c r="BH1583" s="99"/>
    </row>
    <row r="1584" spans="51:60" x14ac:dyDescent="0.2">
      <c r="AY1584" s="79"/>
      <c r="AZ1584" s="85"/>
      <c r="BA1584" s="40"/>
      <c r="BB1584" s="99"/>
      <c r="BC1584" s="85"/>
      <c r="BG1584" s="79"/>
      <c r="BH1584" s="99"/>
    </row>
    <row r="1585" spans="51:60" x14ac:dyDescent="0.2">
      <c r="AY1585" s="79"/>
      <c r="AZ1585" s="85"/>
      <c r="BA1585" s="40"/>
      <c r="BB1585" s="99"/>
      <c r="BC1585" s="85"/>
      <c r="BG1585" s="79"/>
      <c r="BH1585" s="99"/>
    </row>
    <row r="1586" spans="51:60" x14ac:dyDescent="0.2">
      <c r="AY1586" s="79"/>
      <c r="AZ1586" s="85"/>
      <c r="BA1586" s="40"/>
      <c r="BB1586" s="99"/>
      <c r="BC1586" s="85"/>
      <c r="BG1586" s="79"/>
      <c r="BH1586" s="99"/>
    </row>
    <row r="1587" spans="51:60" x14ac:dyDescent="0.2">
      <c r="AY1587" s="79"/>
      <c r="AZ1587" s="85"/>
      <c r="BA1587" s="40"/>
      <c r="BB1587" s="99"/>
      <c r="BC1587" s="85"/>
      <c r="BG1587" s="79"/>
      <c r="BH1587" s="99"/>
    </row>
    <row r="1588" spans="51:60" x14ac:dyDescent="0.2">
      <c r="AY1588" s="79"/>
      <c r="AZ1588" s="85"/>
      <c r="BA1588" s="40"/>
      <c r="BB1588" s="99"/>
      <c r="BC1588" s="85"/>
      <c r="BG1588" s="79"/>
      <c r="BH1588" s="99"/>
    </row>
    <row r="1589" spans="51:60" x14ac:dyDescent="0.2">
      <c r="AY1589" s="79"/>
      <c r="AZ1589" s="85"/>
      <c r="BA1589" s="40"/>
      <c r="BB1589" s="99"/>
      <c r="BC1589" s="85"/>
      <c r="BG1589" s="79"/>
      <c r="BH1589" s="99"/>
    </row>
    <row r="1590" spans="51:60" x14ac:dyDescent="0.2">
      <c r="AY1590" s="79"/>
      <c r="AZ1590" s="85"/>
      <c r="BA1590" s="40"/>
      <c r="BB1590" s="99"/>
      <c r="BC1590" s="85"/>
      <c r="BG1590" s="79"/>
      <c r="BH1590" s="99"/>
    </row>
    <row r="1591" spans="51:60" x14ac:dyDescent="0.2">
      <c r="AY1591" s="79"/>
      <c r="AZ1591" s="85"/>
      <c r="BA1591" s="40"/>
      <c r="BB1591" s="99"/>
      <c r="BC1591" s="85"/>
      <c r="BG1591" s="79"/>
      <c r="BH1591" s="99"/>
    </row>
    <row r="1592" spans="51:60" x14ac:dyDescent="0.2">
      <c r="AY1592" s="79"/>
      <c r="AZ1592" s="85"/>
      <c r="BA1592" s="40"/>
      <c r="BB1592" s="99"/>
      <c r="BC1592" s="85"/>
      <c r="BG1592" s="79"/>
      <c r="BH1592" s="99"/>
    </row>
    <row r="1593" spans="51:60" x14ac:dyDescent="0.2">
      <c r="AY1593" s="79"/>
      <c r="AZ1593" s="85"/>
      <c r="BA1593" s="40"/>
      <c r="BB1593" s="99"/>
      <c r="BC1593" s="85"/>
      <c r="BG1593" s="79"/>
      <c r="BH1593" s="99"/>
    </row>
    <row r="1594" spans="51:60" x14ac:dyDescent="0.2">
      <c r="AY1594" s="79"/>
      <c r="AZ1594" s="85"/>
      <c r="BA1594" s="40"/>
      <c r="BB1594" s="99"/>
      <c r="BC1594" s="85"/>
      <c r="BG1594" s="79"/>
      <c r="BH1594" s="99"/>
    </row>
    <row r="1595" spans="51:60" x14ac:dyDescent="0.2">
      <c r="AY1595" s="79"/>
      <c r="AZ1595" s="85"/>
      <c r="BA1595" s="40"/>
      <c r="BB1595" s="99"/>
      <c r="BC1595" s="85"/>
      <c r="BG1595" s="79"/>
      <c r="BH1595" s="99"/>
    </row>
    <row r="1596" spans="51:60" x14ac:dyDescent="0.2">
      <c r="AY1596" s="79"/>
      <c r="AZ1596" s="85"/>
      <c r="BA1596" s="40"/>
      <c r="BB1596" s="99"/>
      <c r="BC1596" s="85"/>
      <c r="BG1596" s="79"/>
      <c r="BH1596" s="99"/>
    </row>
    <row r="1597" spans="51:60" x14ac:dyDescent="0.2">
      <c r="AY1597" s="79"/>
      <c r="AZ1597" s="85"/>
      <c r="BA1597" s="40"/>
      <c r="BB1597" s="99"/>
      <c r="BC1597" s="85"/>
      <c r="BG1597" s="79"/>
      <c r="BH1597" s="99"/>
    </row>
    <row r="1598" spans="51:60" x14ac:dyDescent="0.2">
      <c r="AY1598" s="79"/>
      <c r="AZ1598" s="85"/>
      <c r="BA1598" s="40"/>
      <c r="BB1598" s="99"/>
      <c r="BC1598" s="85"/>
      <c r="BG1598" s="79"/>
      <c r="BH1598" s="99"/>
    </row>
    <row r="1599" spans="51:60" x14ac:dyDescent="0.2">
      <c r="AY1599" s="79"/>
      <c r="AZ1599" s="85"/>
      <c r="BA1599" s="40"/>
      <c r="BB1599" s="99"/>
      <c r="BC1599" s="85"/>
      <c r="BG1599" s="79"/>
      <c r="BH1599" s="99"/>
    </row>
    <row r="1600" spans="51:60" x14ac:dyDescent="0.2">
      <c r="AY1600" s="79"/>
      <c r="AZ1600" s="85"/>
      <c r="BA1600" s="40"/>
      <c r="BB1600" s="99"/>
      <c r="BC1600" s="85"/>
      <c r="BG1600" s="79"/>
      <c r="BH1600" s="99"/>
    </row>
    <row r="1601" spans="51:60" x14ac:dyDescent="0.2">
      <c r="AY1601" s="79"/>
      <c r="AZ1601" s="85"/>
      <c r="BA1601" s="40"/>
      <c r="BB1601" s="99"/>
      <c r="BC1601" s="85"/>
      <c r="BG1601" s="79"/>
      <c r="BH1601" s="99"/>
    </row>
    <row r="1602" spans="51:60" x14ac:dyDescent="0.2">
      <c r="AY1602" s="79"/>
      <c r="AZ1602" s="85"/>
      <c r="BA1602" s="40"/>
      <c r="BB1602" s="99"/>
      <c r="BC1602" s="85"/>
      <c r="BG1602" s="79"/>
      <c r="BH1602" s="99"/>
    </row>
    <row r="1603" spans="51:60" x14ac:dyDescent="0.2">
      <c r="AY1603" s="79"/>
      <c r="AZ1603" s="85"/>
      <c r="BA1603" s="40"/>
      <c r="BB1603" s="99"/>
      <c r="BC1603" s="85"/>
      <c r="BG1603" s="79"/>
      <c r="BH1603" s="99"/>
    </row>
    <row r="1604" spans="51:60" x14ac:dyDescent="0.2">
      <c r="AY1604" s="79"/>
      <c r="AZ1604" s="85"/>
      <c r="BA1604" s="40"/>
      <c r="BB1604" s="99"/>
      <c r="BC1604" s="85"/>
      <c r="BG1604" s="79"/>
      <c r="BH1604" s="99"/>
    </row>
    <row r="1605" spans="51:60" x14ac:dyDescent="0.2">
      <c r="AY1605" s="79"/>
      <c r="AZ1605" s="85"/>
      <c r="BA1605" s="40"/>
      <c r="BB1605" s="99"/>
      <c r="BC1605" s="85"/>
      <c r="BG1605" s="79"/>
      <c r="BH1605" s="99"/>
    </row>
    <row r="1606" spans="51:60" x14ac:dyDescent="0.2">
      <c r="AY1606" s="79"/>
      <c r="AZ1606" s="85"/>
      <c r="BA1606" s="40"/>
      <c r="BB1606" s="99"/>
      <c r="BC1606" s="85"/>
      <c r="BG1606" s="79"/>
      <c r="BH1606" s="99"/>
    </row>
    <row r="1607" spans="51:60" x14ac:dyDescent="0.2">
      <c r="AY1607" s="79"/>
      <c r="AZ1607" s="85"/>
      <c r="BA1607" s="40"/>
      <c r="BB1607" s="99"/>
      <c r="BC1607" s="85"/>
      <c r="BG1607" s="79"/>
      <c r="BH1607" s="99"/>
    </row>
    <row r="1608" spans="51:60" x14ac:dyDescent="0.2">
      <c r="AY1608" s="79"/>
      <c r="AZ1608" s="85"/>
      <c r="BA1608" s="40"/>
      <c r="BB1608" s="99"/>
      <c r="BC1608" s="85"/>
      <c r="BG1608" s="79"/>
      <c r="BH1608" s="99"/>
    </row>
    <row r="1609" spans="51:60" x14ac:dyDescent="0.2">
      <c r="AY1609" s="79"/>
      <c r="AZ1609" s="85"/>
      <c r="BA1609" s="40"/>
      <c r="BB1609" s="99"/>
      <c r="BC1609" s="85"/>
      <c r="BG1609" s="79"/>
      <c r="BH1609" s="99"/>
    </row>
    <row r="1610" spans="51:60" x14ac:dyDescent="0.2">
      <c r="AY1610" s="79"/>
      <c r="AZ1610" s="85"/>
      <c r="BA1610" s="40"/>
      <c r="BB1610" s="99"/>
      <c r="BC1610" s="85"/>
      <c r="BG1610" s="79"/>
      <c r="BH1610" s="99"/>
    </row>
    <row r="1611" spans="51:60" x14ac:dyDescent="0.2">
      <c r="AY1611" s="79"/>
      <c r="AZ1611" s="85"/>
      <c r="BA1611" s="40"/>
      <c r="BB1611" s="99"/>
      <c r="BC1611" s="85"/>
      <c r="BG1611" s="79"/>
      <c r="BH1611" s="99"/>
    </row>
    <row r="1612" spans="51:60" x14ac:dyDescent="0.2">
      <c r="AY1612" s="79"/>
      <c r="AZ1612" s="85"/>
      <c r="BA1612" s="40"/>
      <c r="BB1612" s="99"/>
      <c r="BC1612" s="85"/>
      <c r="BG1612" s="79"/>
      <c r="BH1612" s="99"/>
    </row>
    <row r="1613" spans="51:60" x14ac:dyDescent="0.2">
      <c r="AY1613" s="79"/>
      <c r="AZ1613" s="85"/>
      <c r="BA1613" s="40"/>
      <c r="BB1613" s="99"/>
      <c r="BC1613" s="85"/>
      <c r="BG1613" s="79"/>
      <c r="BH1613" s="99"/>
    </row>
    <row r="1614" spans="51:60" x14ac:dyDescent="0.2">
      <c r="AY1614" s="79"/>
      <c r="AZ1614" s="85"/>
      <c r="BA1614" s="40"/>
      <c r="BB1614" s="99"/>
      <c r="BC1614" s="85"/>
      <c r="BG1614" s="79"/>
      <c r="BH1614" s="99"/>
    </row>
    <row r="1615" spans="51:60" x14ac:dyDescent="0.2">
      <c r="AY1615" s="79"/>
      <c r="AZ1615" s="85"/>
      <c r="BA1615" s="40"/>
      <c r="BB1615" s="99"/>
      <c r="BC1615" s="85"/>
      <c r="BG1615" s="79"/>
      <c r="BH1615" s="99"/>
    </row>
    <row r="1616" spans="51:60" x14ac:dyDescent="0.2">
      <c r="AY1616" s="79"/>
      <c r="AZ1616" s="85"/>
      <c r="BA1616" s="40"/>
      <c r="BB1616" s="99"/>
      <c r="BC1616" s="85"/>
      <c r="BG1616" s="79"/>
      <c r="BH1616" s="99"/>
    </row>
    <row r="1617" spans="51:60" x14ac:dyDescent="0.2">
      <c r="AY1617" s="79"/>
      <c r="AZ1617" s="85"/>
      <c r="BA1617" s="40"/>
      <c r="BB1617" s="99"/>
      <c r="BC1617" s="85"/>
      <c r="BG1617" s="79"/>
      <c r="BH1617" s="99"/>
    </row>
    <row r="1618" spans="51:60" x14ac:dyDescent="0.2">
      <c r="AY1618" s="79"/>
      <c r="AZ1618" s="85"/>
      <c r="BA1618" s="40"/>
      <c r="BB1618" s="99"/>
      <c r="BC1618" s="85"/>
      <c r="BG1618" s="79"/>
      <c r="BH1618" s="99"/>
    </row>
    <row r="1619" spans="51:60" x14ac:dyDescent="0.2">
      <c r="AY1619" s="79"/>
      <c r="AZ1619" s="85"/>
      <c r="BA1619" s="40"/>
      <c r="BB1619" s="99"/>
      <c r="BC1619" s="85"/>
      <c r="BG1619" s="79"/>
      <c r="BH1619" s="99"/>
    </row>
    <row r="1620" spans="51:60" x14ac:dyDescent="0.2">
      <c r="AY1620" s="79"/>
      <c r="AZ1620" s="85"/>
      <c r="BA1620" s="40"/>
      <c r="BB1620" s="99"/>
      <c r="BC1620" s="85"/>
      <c r="BG1620" s="79"/>
      <c r="BH1620" s="99"/>
    </row>
    <row r="1621" spans="51:60" x14ac:dyDescent="0.2">
      <c r="AY1621" s="79"/>
      <c r="AZ1621" s="85"/>
      <c r="BA1621" s="40"/>
      <c r="BB1621" s="99"/>
      <c r="BC1621" s="85"/>
      <c r="BG1621" s="79"/>
      <c r="BH1621" s="99"/>
    </row>
    <row r="1622" spans="51:60" x14ac:dyDescent="0.2">
      <c r="AY1622" s="79"/>
      <c r="AZ1622" s="85"/>
      <c r="BA1622" s="40"/>
      <c r="BB1622" s="99"/>
      <c r="BC1622" s="85"/>
      <c r="BG1622" s="79"/>
      <c r="BH1622" s="99"/>
    </row>
    <row r="1623" spans="51:60" x14ac:dyDescent="0.2">
      <c r="AY1623" s="79"/>
      <c r="AZ1623" s="85"/>
      <c r="BA1623" s="40"/>
      <c r="BB1623" s="99"/>
      <c r="BC1623" s="85"/>
      <c r="BG1623" s="79"/>
      <c r="BH1623" s="99"/>
    </row>
    <row r="1624" spans="51:60" x14ac:dyDescent="0.2">
      <c r="AY1624" s="79"/>
      <c r="AZ1624" s="85"/>
      <c r="BA1624" s="40"/>
      <c r="BB1624" s="99"/>
      <c r="BC1624" s="85"/>
      <c r="BG1624" s="79"/>
      <c r="BH1624" s="99"/>
    </row>
    <row r="1625" spans="51:60" x14ac:dyDescent="0.2">
      <c r="AY1625" s="79"/>
      <c r="AZ1625" s="85"/>
      <c r="BA1625" s="40"/>
      <c r="BB1625" s="99"/>
      <c r="BC1625" s="85"/>
      <c r="BG1625" s="79"/>
      <c r="BH1625" s="99"/>
    </row>
    <row r="1626" spans="51:60" x14ac:dyDescent="0.2">
      <c r="AY1626" s="79"/>
      <c r="AZ1626" s="85"/>
      <c r="BA1626" s="40"/>
      <c r="BB1626" s="99"/>
      <c r="BC1626" s="85"/>
      <c r="BG1626" s="79"/>
      <c r="BH1626" s="99"/>
    </row>
    <row r="1627" spans="51:60" x14ac:dyDescent="0.2">
      <c r="AY1627" s="79"/>
      <c r="AZ1627" s="85"/>
      <c r="BA1627" s="40"/>
      <c r="BB1627" s="99"/>
      <c r="BC1627" s="85"/>
      <c r="BG1627" s="79"/>
      <c r="BH1627" s="99"/>
    </row>
    <row r="1628" spans="51:60" x14ac:dyDescent="0.2">
      <c r="AY1628" s="79"/>
      <c r="AZ1628" s="85"/>
      <c r="BA1628" s="40"/>
      <c r="BB1628" s="99"/>
      <c r="BC1628" s="85"/>
      <c r="BG1628" s="79"/>
      <c r="BH1628" s="99"/>
    </row>
    <row r="1629" spans="51:60" x14ac:dyDescent="0.2">
      <c r="AY1629" s="79"/>
      <c r="AZ1629" s="85"/>
      <c r="BA1629" s="40"/>
      <c r="BB1629" s="99"/>
      <c r="BC1629" s="85"/>
      <c r="BG1629" s="79"/>
      <c r="BH1629" s="99"/>
    </row>
    <row r="1630" spans="51:60" x14ac:dyDescent="0.2">
      <c r="AY1630" s="79"/>
      <c r="AZ1630" s="85"/>
      <c r="BA1630" s="40"/>
      <c r="BB1630" s="99"/>
      <c r="BC1630" s="85"/>
      <c r="BG1630" s="79"/>
      <c r="BH1630" s="99"/>
    </row>
    <row r="1631" spans="51:60" x14ac:dyDescent="0.2">
      <c r="AY1631" s="79"/>
      <c r="AZ1631" s="85"/>
      <c r="BA1631" s="40"/>
      <c r="BB1631" s="99"/>
      <c r="BC1631" s="85"/>
      <c r="BG1631" s="79"/>
      <c r="BH1631" s="99"/>
    </row>
    <row r="1632" spans="51:60" x14ac:dyDescent="0.2">
      <c r="AY1632" s="79"/>
      <c r="AZ1632" s="85"/>
      <c r="BA1632" s="40"/>
      <c r="BB1632" s="99"/>
      <c r="BC1632" s="85"/>
      <c r="BG1632" s="79"/>
      <c r="BH1632" s="99"/>
    </row>
    <row r="1633" spans="51:60" x14ac:dyDescent="0.2">
      <c r="AY1633" s="79"/>
      <c r="AZ1633" s="85"/>
      <c r="BA1633" s="40"/>
      <c r="BB1633" s="99"/>
      <c r="BC1633" s="85"/>
      <c r="BG1633" s="79"/>
      <c r="BH1633" s="99"/>
    </row>
    <row r="1634" spans="51:60" x14ac:dyDescent="0.2">
      <c r="AY1634" s="79"/>
      <c r="AZ1634" s="85"/>
      <c r="BA1634" s="40"/>
      <c r="BB1634" s="99"/>
      <c r="BC1634" s="85"/>
      <c r="BG1634" s="79"/>
      <c r="BH1634" s="99"/>
    </row>
    <row r="1635" spans="51:60" x14ac:dyDescent="0.2">
      <c r="AY1635" s="79"/>
      <c r="AZ1635" s="85"/>
      <c r="BA1635" s="40"/>
      <c r="BB1635" s="99"/>
      <c r="BC1635" s="85"/>
      <c r="BG1635" s="79"/>
      <c r="BH1635" s="99"/>
    </row>
    <row r="1636" spans="51:60" x14ac:dyDescent="0.2">
      <c r="AY1636" s="79"/>
      <c r="AZ1636" s="85"/>
      <c r="BA1636" s="40"/>
      <c r="BB1636" s="99"/>
      <c r="BC1636" s="85"/>
      <c r="BG1636" s="79"/>
      <c r="BH1636" s="99"/>
    </row>
    <row r="1637" spans="51:60" x14ac:dyDescent="0.2">
      <c r="AY1637" s="79"/>
      <c r="AZ1637" s="85"/>
      <c r="BA1637" s="40"/>
      <c r="BB1637" s="99"/>
      <c r="BC1637" s="85"/>
      <c r="BG1637" s="79"/>
      <c r="BH1637" s="99"/>
    </row>
    <row r="1638" spans="51:60" x14ac:dyDescent="0.2">
      <c r="AY1638" s="79"/>
      <c r="AZ1638" s="85"/>
      <c r="BA1638" s="40"/>
      <c r="BB1638" s="99"/>
      <c r="BC1638" s="85"/>
      <c r="BG1638" s="79"/>
      <c r="BH1638" s="99"/>
    </row>
    <row r="1639" spans="51:60" x14ac:dyDescent="0.2">
      <c r="AY1639" s="79"/>
      <c r="AZ1639" s="85"/>
      <c r="BA1639" s="40"/>
      <c r="BB1639" s="99"/>
      <c r="BC1639" s="85"/>
      <c r="BG1639" s="79"/>
      <c r="BH1639" s="99"/>
    </row>
    <row r="1640" spans="51:60" x14ac:dyDescent="0.2">
      <c r="AY1640" s="79"/>
      <c r="AZ1640" s="85"/>
      <c r="BA1640" s="40"/>
      <c r="BB1640" s="99"/>
      <c r="BC1640" s="85"/>
      <c r="BG1640" s="79"/>
      <c r="BH1640" s="99"/>
    </row>
    <row r="1641" spans="51:60" x14ac:dyDescent="0.2">
      <c r="AY1641" s="79"/>
      <c r="AZ1641" s="85"/>
      <c r="BA1641" s="40"/>
      <c r="BB1641" s="99"/>
      <c r="BC1641" s="85"/>
      <c r="BG1641" s="79"/>
      <c r="BH1641" s="99"/>
    </row>
    <row r="1642" spans="51:60" x14ac:dyDescent="0.2">
      <c r="AY1642" s="79"/>
      <c r="AZ1642" s="85"/>
      <c r="BA1642" s="40"/>
      <c r="BB1642" s="99"/>
      <c r="BC1642" s="85"/>
      <c r="BG1642" s="79"/>
      <c r="BH1642" s="99"/>
    </row>
    <row r="1643" spans="51:60" x14ac:dyDescent="0.2">
      <c r="AY1643" s="79"/>
      <c r="AZ1643" s="85"/>
      <c r="BA1643" s="40"/>
      <c r="BB1643" s="99"/>
      <c r="BC1643" s="85"/>
      <c r="BG1643" s="79"/>
      <c r="BH1643" s="99"/>
    </row>
    <row r="1644" spans="51:60" x14ac:dyDescent="0.2">
      <c r="AY1644" s="79"/>
      <c r="AZ1644" s="85"/>
      <c r="BA1644" s="40"/>
      <c r="BB1644" s="99"/>
      <c r="BC1644" s="85"/>
      <c r="BG1644" s="79"/>
      <c r="BH1644" s="99"/>
    </row>
    <row r="1645" spans="51:60" x14ac:dyDescent="0.2">
      <c r="AY1645" s="79"/>
      <c r="AZ1645" s="85"/>
      <c r="BA1645" s="40"/>
      <c r="BB1645" s="99"/>
      <c r="BC1645" s="85"/>
      <c r="BG1645" s="79"/>
      <c r="BH1645" s="99"/>
    </row>
    <row r="1646" spans="51:60" x14ac:dyDescent="0.2">
      <c r="AY1646" s="79"/>
      <c r="AZ1646" s="85"/>
      <c r="BA1646" s="40"/>
      <c r="BB1646" s="99"/>
      <c r="BC1646" s="85"/>
      <c r="BG1646" s="79"/>
      <c r="BH1646" s="99"/>
    </row>
    <row r="1647" spans="51:60" x14ac:dyDescent="0.2">
      <c r="AY1647" s="79"/>
      <c r="AZ1647" s="85"/>
      <c r="BA1647" s="40"/>
      <c r="BB1647" s="99"/>
      <c r="BC1647" s="85"/>
      <c r="BG1647" s="79"/>
      <c r="BH1647" s="99"/>
    </row>
    <row r="1648" spans="51:60" x14ac:dyDescent="0.2">
      <c r="AY1648" s="79"/>
      <c r="AZ1648" s="85"/>
      <c r="BA1648" s="40"/>
      <c r="BB1648" s="99"/>
      <c r="BC1648" s="85"/>
      <c r="BG1648" s="79"/>
      <c r="BH1648" s="99"/>
    </row>
    <row r="1649" spans="51:60" x14ac:dyDescent="0.2">
      <c r="AY1649" s="79"/>
      <c r="AZ1649" s="85"/>
      <c r="BA1649" s="40"/>
      <c r="BB1649" s="99"/>
      <c r="BC1649" s="85"/>
      <c r="BG1649" s="79"/>
      <c r="BH1649" s="99"/>
    </row>
    <row r="1650" spans="51:60" x14ac:dyDescent="0.2">
      <c r="AY1650" s="79"/>
      <c r="AZ1650" s="85"/>
      <c r="BA1650" s="40"/>
      <c r="BB1650" s="99"/>
      <c r="BC1650" s="85"/>
      <c r="BG1650" s="79"/>
      <c r="BH1650" s="99"/>
    </row>
    <row r="1651" spans="51:60" x14ac:dyDescent="0.2">
      <c r="AY1651" s="79"/>
      <c r="AZ1651" s="85"/>
      <c r="BA1651" s="40"/>
      <c r="BB1651" s="99"/>
      <c r="BC1651" s="85"/>
      <c r="BG1651" s="79"/>
      <c r="BH1651" s="99"/>
    </row>
    <row r="1652" spans="51:60" x14ac:dyDescent="0.2">
      <c r="AY1652" s="79"/>
      <c r="AZ1652" s="85"/>
      <c r="BA1652" s="40"/>
      <c r="BB1652" s="99"/>
      <c r="BC1652" s="85"/>
      <c r="BG1652" s="79"/>
      <c r="BH1652" s="99"/>
    </row>
    <row r="1653" spans="51:60" x14ac:dyDescent="0.2">
      <c r="AY1653" s="79"/>
      <c r="AZ1653" s="85"/>
      <c r="BA1653" s="40"/>
      <c r="BB1653" s="99"/>
      <c r="BC1653" s="85"/>
      <c r="BG1653" s="79"/>
      <c r="BH1653" s="99"/>
    </row>
    <row r="1654" spans="51:60" x14ac:dyDescent="0.2">
      <c r="AY1654" s="79"/>
      <c r="AZ1654" s="85"/>
      <c r="BA1654" s="40"/>
      <c r="BB1654" s="99"/>
      <c r="BC1654" s="85"/>
      <c r="BG1654" s="79"/>
      <c r="BH1654" s="99"/>
    </row>
    <row r="1655" spans="51:60" x14ac:dyDescent="0.2">
      <c r="AY1655" s="79"/>
      <c r="AZ1655" s="85"/>
      <c r="BA1655" s="40"/>
      <c r="BB1655" s="99"/>
      <c r="BC1655" s="85"/>
      <c r="BG1655" s="79"/>
      <c r="BH1655" s="99"/>
    </row>
    <row r="1656" spans="51:60" x14ac:dyDescent="0.2">
      <c r="AY1656" s="79"/>
      <c r="AZ1656" s="85"/>
      <c r="BA1656" s="40"/>
      <c r="BB1656" s="99"/>
      <c r="BC1656" s="85"/>
      <c r="BG1656" s="79"/>
      <c r="BH1656" s="99"/>
    </row>
    <row r="1657" spans="51:60" x14ac:dyDescent="0.2">
      <c r="AY1657" s="79"/>
      <c r="AZ1657" s="85"/>
      <c r="BA1657" s="40"/>
      <c r="BB1657" s="99"/>
      <c r="BC1657" s="85"/>
      <c r="BG1657" s="79"/>
      <c r="BH1657" s="99"/>
    </row>
    <row r="1658" spans="51:60" x14ac:dyDescent="0.2">
      <c r="AY1658" s="79"/>
      <c r="AZ1658" s="85"/>
      <c r="BA1658" s="40"/>
      <c r="BB1658" s="99"/>
      <c r="BC1658" s="85"/>
      <c r="BG1658" s="79"/>
      <c r="BH1658" s="99"/>
    </row>
    <row r="1659" spans="51:60" x14ac:dyDescent="0.2">
      <c r="AY1659" s="79"/>
      <c r="AZ1659" s="85"/>
      <c r="BA1659" s="40"/>
      <c r="BB1659" s="99"/>
      <c r="BC1659" s="85"/>
      <c r="BG1659" s="79"/>
      <c r="BH1659" s="99"/>
    </row>
    <row r="1660" spans="51:60" x14ac:dyDescent="0.2">
      <c r="AY1660" s="79"/>
      <c r="AZ1660" s="85"/>
      <c r="BA1660" s="40"/>
      <c r="BB1660" s="99"/>
      <c r="BC1660" s="85"/>
      <c r="BG1660" s="79"/>
      <c r="BH1660" s="99"/>
    </row>
    <row r="1661" spans="51:60" x14ac:dyDescent="0.2">
      <c r="AY1661" s="79"/>
      <c r="AZ1661" s="85"/>
      <c r="BA1661" s="40"/>
      <c r="BB1661" s="99"/>
      <c r="BC1661" s="85"/>
      <c r="BG1661" s="79"/>
      <c r="BH1661" s="99"/>
    </row>
    <row r="1662" spans="51:60" x14ac:dyDescent="0.2">
      <c r="AY1662" s="79"/>
      <c r="AZ1662" s="85"/>
      <c r="BA1662" s="40"/>
      <c r="BB1662" s="99"/>
      <c r="BC1662" s="85"/>
      <c r="BG1662" s="79"/>
      <c r="BH1662" s="99"/>
    </row>
    <row r="1663" spans="51:60" x14ac:dyDescent="0.2">
      <c r="AY1663" s="79"/>
      <c r="AZ1663" s="85"/>
      <c r="BA1663" s="40"/>
      <c r="BB1663" s="99"/>
      <c r="BC1663" s="85"/>
      <c r="BG1663" s="79"/>
      <c r="BH1663" s="99"/>
    </row>
    <row r="1664" spans="51:60" x14ac:dyDescent="0.2">
      <c r="AY1664" s="79"/>
      <c r="AZ1664" s="85"/>
      <c r="BA1664" s="40"/>
      <c r="BB1664" s="99"/>
      <c r="BC1664" s="85"/>
      <c r="BG1664" s="79"/>
      <c r="BH1664" s="99"/>
    </row>
    <row r="1665" spans="51:60" x14ac:dyDescent="0.2">
      <c r="AY1665" s="79"/>
      <c r="AZ1665" s="85"/>
      <c r="BA1665" s="40"/>
      <c r="BB1665" s="99"/>
      <c r="BC1665" s="85"/>
      <c r="BG1665" s="79"/>
      <c r="BH1665" s="99"/>
    </row>
    <row r="1666" spans="51:60" x14ac:dyDescent="0.2">
      <c r="AY1666" s="79"/>
      <c r="AZ1666" s="85"/>
      <c r="BA1666" s="40"/>
      <c r="BB1666" s="99"/>
      <c r="BC1666" s="85"/>
      <c r="BG1666" s="79"/>
      <c r="BH1666" s="99"/>
    </row>
    <row r="1667" spans="51:60" x14ac:dyDescent="0.2">
      <c r="AY1667" s="79"/>
      <c r="AZ1667" s="85"/>
      <c r="BA1667" s="40"/>
      <c r="BB1667" s="99"/>
      <c r="BC1667" s="85"/>
      <c r="BG1667" s="79"/>
      <c r="BH1667" s="99"/>
    </row>
    <row r="1668" spans="51:60" x14ac:dyDescent="0.2">
      <c r="AY1668" s="79"/>
      <c r="AZ1668" s="85"/>
      <c r="BA1668" s="40"/>
      <c r="BB1668" s="99"/>
      <c r="BC1668" s="85"/>
      <c r="BG1668" s="79"/>
      <c r="BH1668" s="99"/>
    </row>
    <row r="1669" spans="51:60" x14ac:dyDescent="0.2">
      <c r="AY1669" s="79"/>
      <c r="AZ1669" s="85"/>
      <c r="BA1669" s="40"/>
      <c r="BB1669" s="99"/>
      <c r="BC1669" s="85"/>
      <c r="BG1669" s="79"/>
      <c r="BH1669" s="99"/>
    </row>
    <row r="1670" spans="51:60" x14ac:dyDescent="0.2">
      <c r="AY1670" s="79"/>
      <c r="AZ1670" s="85"/>
      <c r="BA1670" s="40"/>
      <c r="BB1670" s="99"/>
      <c r="BC1670" s="85"/>
      <c r="BG1670" s="79"/>
      <c r="BH1670" s="99"/>
    </row>
    <row r="1671" spans="51:60" x14ac:dyDescent="0.2">
      <c r="AY1671" s="79"/>
      <c r="AZ1671" s="85"/>
      <c r="BA1671" s="40"/>
      <c r="BB1671" s="99"/>
      <c r="BC1671" s="85"/>
      <c r="BG1671" s="79"/>
      <c r="BH1671" s="99"/>
    </row>
    <row r="1672" spans="51:60" x14ac:dyDescent="0.2">
      <c r="AY1672" s="79"/>
      <c r="AZ1672" s="85"/>
      <c r="BA1672" s="40"/>
      <c r="BB1672" s="99"/>
      <c r="BC1672" s="85"/>
      <c r="BG1672" s="79"/>
      <c r="BH1672" s="99"/>
    </row>
    <row r="1673" spans="51:60" x14ac:dyDescent="0.2">
      <c r="AY1673" s="79"/>
      <c r="AZ1673" s="85"/>
      <c r="BA1673" s="40"/>
      <c r="BB1673" s="99"/>
      <c r="BC1673" s="85"/>
      <c r="BG1673" s="79"/>
      <c r="BH1673" s="99"/>
    </row>
    <row r="1674" spans="51:60" x14ac:dyDescent="0.2">
      <c r="AY1674" s="79"/>
      <c r="AZ1674" s="85"/>
      <c r="BA1674" s="40"/>
      <c r="BB1674" s="99"/>
      <c r="BC1674" s="85"/>
      <c r="BG1674" s="79"/>
      <c r="BH1674" s="99"/>
    </row>
    <row r="1675" spans="51:60" x14ac:dyDescent="0.2">
      <c r="AY1675" s="79"/>
      <c r="AZ1675" s="85"/>
      <c r="BA1675" s="40"/>
      <c r="BB1675" s="99"/>
      <c r="BC1675" s="85"/>
      <c r="BG1675" s="79"/>
      <c r="BH1675" s="99"/>
    </row>
    <row r="1676" spans="51:60" x14ac:dyDescent="0.2">
      <c r="AY1676" s="79"/>
      <c r="AZ1676" s="85"/>
      <c r="BA1676" s="40"/>
      <c r="BB1676" s="99"/>
      <c r="BC1676" s="85"/>
      <c r="BG1676" s="79"/>
      <c r="BH1676" s="99"/>
    </row>
    <row r="1677" spans="51:60" x14ac:dyDescent="0.2">
      <c r="AY1677" s="79"/>
      <c r="AZ1677" s="85"/>
      <c r="BA1677" s="40"/>
      <c r="BB1677" s="99"/>
      <c r="BC1677" s="85"/>
      <c r="BG1677" s="79"/>
      <c r="BH1677" s="99"/>
    </row>
    <row r="1678" spans="51:60" x14ac:dyDescent="0.2">
      <c r="AY1678" s="79"/>
      <c r="AZ1678" s="85"/>
      <c r="BA1678" s="40"/>
      <c r="BB1678" s="99"/>
      <c r="BC1678" s="85"/>
      <c r="BG1678" s="79"/>
      <c r="BH1678" s="99"/>
    </row>
    <row r="1679" spans="51:60" x14ac:dyDescent="0.2">
      <c r="AY1679" s="79"/>
      <c r="AZ1679" s="85"/>
      <c r="BA1679" s="40"/>
      <c r="BB1679" s="99"/>
      <c r="BC1679" s="85"/>
      <c r="BG1679" s="79"/>
      <c r="BH1679" s="99"/>
    </row>
    <row r="1680" spans="51:60" x14ac:dyDescent="0.2">
      <c r="AY1680" s="79"/>
      <c r="AZ1680" s="85"/>
      <c r="BA1680" s="40"/>
      <c r="BB1680" s="99"/>
      <c r="BC1680" s="85"/>
      <c r="BG1680" s="79"/>
      <c r="BH1680" s="99"/>
    </row>
    <row r="1681" spans="51:60" x14ac:dyDescent="0.2">
      <c r="AY1681" s="79"/>
      <c r="AZ1681" s="85"/>
      <c r="BA1681" s="40"/>
      <c r="BB1681" s="99"/>
      <c r="BC1681" s="85"/>
      <c r="BG1681" s="79"/>
      <c r="BH1681" s="99"/>
    </row>
    <row r="1682" spans="51:60" x14ac:dyDescent="0.2">
      <c r="AY1682" s="79"/>
      <c r="AZ1682" s="85"/>
      <c r="BA1682" s="40"/>
      <c r="BB1682" s="99"/>
      <c r="BC1682" s="85"/>
      <c r="BG1682" s="79"/>
      <c r="BH1682" s="99"/>
    </row>
    <row r="1683" spans="51:60" x14ac:dyDescent="0.2">
      <c r="AY1683" s="79"/>
      <c r="AZ1683" s="85"/>
      <c r="BA1683" s="40"/>
      <c r="BB1683" s="99"/>
      <c r="BC1683" s="85"/>
      <c r="BG1683" s="79"/>
      <c r="BH1683" s="99"/>
    </row>
    <row r="1684" spans="51:60" x14ac:dyDescent="0.2">
      <c r="AY1684" s="79"/>
      <c r="AZ1684" s="85"/>
      <c r="BA1684" s="40"/>
      <c r="BB1684" s="99"/>
      <c r="BC1684" s="85"/>
      <c r="BG1684" s="79"/>
      <c r="BH1684" s="99"/>
    </row>
    <row r="1685" spans="51:60" x14ac:dyDescent="0.2">
      <c r="AY1685" s="79"/>
      <c r="AZ1685" s="85"/>
      <c r="BA1685" s="40"/>
      <c r="BB1685" s="99"/>
      <c r="BC1685" s="85"/>
      <c r="BG1685" s="79"/>
      <c r="BH1685" s="99"/>
    </row>
    <row r="1686" spans="51:60" x14ac:dyDescent="0.2">
      <c r="AY1686" s="79"/>
      <c r="AZ1686" s="85"/>
      <c r="BA1686" s="40"/>
      <c r="BB1686" s="99"/>
      <c r="BC1686" s="85"/>
      <c r="BG1686" s="79"/>
      <c r="BH1686" s="99"/>
    </row>
    <row r="1687" spans="51:60" x14ac:dyDescent="0.2">
      <c r="AY1687" s="79"/>
      <c r="AZ1687" s="85"/>
      <c r="BA1687" s="40"/>
      <c r="BB1687" s="99"/>
      <c r="BC1687" s="85"/>
      <c r="BG1687" s="79"/>
      <c r="BH1687" s="99"/>
    </row>
    <row r="1688" spans="51:60" x14ac:dyDescent="0.2">
      <c r="AY1688" s="79"/>
      <c r="AZ1688" s="85"/>
      <c r="BA1688" s="40"/>
      <c r="BB1688" s="99"/>
      <c r="BC1688" s="85"/>
      <c r="BG1688" s="79"/>
      <c r="BH1688" s="99"/>
    </row>
    <row r="1689" spans="51:60" x14ac:dyDescent="0.2">
      <c r="AY1689" s="79"/>
      <c r="AZ1689" s="85"/>
      <c r="BA1689" s="40"/>
      <c r="BB1689" s="99"/>
      <c r="BC1689" s="85"/>
      <c r="BG1689" s="79"/>
      <c r="BH1689" s="99"/>
    </row>
    <row r="1690" spans="51:60" x14ac:dyDescent="0.2">
      <c r="AY1690" s="79"/>
      <c r="AZ1690" s="85"/>
      <c r="BA1690" s="40"/>
      <c r="BB1690" s="99"/>
      <c r="BC1690" s="85"/>
      <c r="BG1690" s="79"/>
      <c r="BH1690" s="99"/>
    </row>
    <row r="1691" spans="51:60" x14ac:dyDescent="0.2">
      <c r="AY1691" s="79"/>
      <c r="AZ1691" s="85"/>
      <c r="BA1691" s="40"/>
      <c r="BB1691" s="99"/>
      <c r="BC1691" s="85"/>
      <c r="BG1691" s="79"/>
      <c r="BH1691" s="99"/>
    </row>
    <row r="1692" spans="51:60" x14ac:dyDescent="0.2">
      <c r="AY1692" s="79"/>
      <c r="AZ1692" s="85"/>
      <c r="BA1692" s="40"/>
      <c r="BB1692" s="99"/>
      <c r="BC1692" s="85"/>
      <c r="BG1692" s="79"/>
      <c r="BH1692" s="99"/>
    </row>
    <row r="1693" spans="51:60" x14ac:dyDescent="0.2">
      <c r="AY1693" s="79"/>
      <c r="AZ1693" s="85"/>
      <c r="BA1693" s="40"/>
      <c r="BB1693" s="99"/>
      <c r="BC1693" s="85"/>
      <c r="BG1693" s="79"/>
      <c r="BH1693" s="99"/>
    </row>
    <row r="1694" spans="51:60" x14ac:dyDescent="0.2">
      <c r="AY1694" s="79"/>
      <c r="AZ1694" s="85"/>
      <c r="BA1694" s="40"/>
      <c r="BB1694" s="99"/>
      <c r="BC1694" s="85"/>
      <c r="BG1694" s="79"/>
      <c r="BH1694" s="99"/>
    </row>
    <row r="1695" spans="51:60" x14ac:dyDescent="0.2">
      <c r="AY1695" s="79"/>
      <c r="AZ1695" s="85"/>
      <c r="BA1695" s="40"/>
      <c r="BB1695" s="99"/>
      <c r="BC1695" s="85"/>
      <c r="BG1695" s="79"/>
      <c r="BH1695" s="99"/>
    </row>
    <row r="1696" spans="51:60" x14ac:dyDescent="0.2">
      <c r="AY1696" s="79"/>
      <c r="AZ1696" s="85"/>
      <c r="BA1696" s="40"/>
      <c r="BB1696" s="99"/>
      <c r="BC1696" s="85"/>
      <c r="BG1696" s="79"/>
      <c r="BH1696" s="99"/>
    </row>
    <row r="1697" spans="51:60" x14ac:dyDescent="0.2">
      <c r="AY1697" s="79"/>
      <c r="AZ1697" s="85"/>
      <c r="BA1697" s="40"/>
      <c r="BB1697" s="99"/>
      <c r="BC1697" s="85"/>
      <c r="BG1697" s="79"/>
      <c r="BH1697" s="99"/>
    </row>
    <row r="1698" spans="51:60" x14ac:dyDescent="0.2">
      <c r="AY1698" s="79"/>
      <c r="AZ1698" s="85"/>
      <c r="BA1698" s="40"/>
      <c r="BB1698" s="99"/>
      <c r="BC1698" s="85"/>
      <c r="BG1698" s="79"/>
      <c r="BH1698" s="99"/>
    </row>
    <row r="1699" spans="51:60" x14ac:dyDescent="0.2">
      <c r="AY1699" s="79"/>
      <c r="AZ1699" s="85"/>
      <c r="BA1699" s="40"/>
      <c r="BB1699" s="99"/>
      <c r="BC1699" s="85"/>
      <c r="BG1699" s="79"/>
      <c r="BH1699" s="99"/>
    </row>
    <row r="1700" spans="51:60" x14ac:dyDescent="0.2">
      <c r="AY1700" s="79"/>
      <c r="AZ1700" s="85"/>
      <c r="BA1700" s="40"/>
      <c r="BB1700" s="99"/>
      <c r="BC1700" s="85"/>
      <c r="BG1700" s="79"/>
      <c r="BH1700" s="99"/>
    </row>
    <row r="1701" spans="51:60" x14ac:dyDescent="0.2">
      <c r="AY1701" s="79"/>
      <c r="AZ1701" s="85"/>
      <c r="BA1701" s="40"/>
      <c r="BB1701" s="99"/>
      <c r="BC1701" s="85"/>
      <c r="BG1701" s="79"/>
      <c r="BH1701" s="99"/>
    </row>
    <row r="1702" spans="51:60" x14ac:dyDescent="0.2">
      <c r="AY1702" s="79"/>
      <c r="AZ1702" s="85"/>
      <c r="BA1702" s="40"/>
      <c r="BB1702" s="99"/>
      <c r="BC1702" s="85"/>
      <c r="BG1702" s="79"/>
      <c r="BH1702" s="99"/>
    </row>
    <row r="1703" spans="51:60" x14ac:dyDescent="0.2">
      <c r="AY1703" s="79"/>
      <c r="AZ1703" s="85"/>
      <c r="BA1703" s="40"/>
      <c r="BB1703" s="99"/>
      <c r="BC1703" s="85"/>
      <c r="BG1703" s="79"/>
      <c r="BH1703" s="99"/>
    </row>
    <row r="1704" spans="51:60" x14ac:dyDescent="0.2">
      <c r="AY1704" s="79"/>
      <c r="AZ1704" s="85"/>
      <c r="BA1704" s="40"/>
      <c r="BB1704" s="99"/>
      <c r="BC1704" s="85"/>
      <c r="BG1704" s="79"/>
      <c r="BH1704" s="99"/>
    </row>
    <row r="1705" spans="51:60" x14ac:dyDescent="0.2">
      <c r="AY1705" s="79"/>
      <c r="AZ1705" s="85"/>
      <c r="BA1705" s="40"/>
      <c r="BB1705" s="99"/>
      <c r="BC1705" s="85"/>
      <c r="BG1705" s="79"/>
      <c r="BH1705" s="99"/>
    </row>
    <row r="1706" spans="51:60" x14ac:dyDescent="0.2">
      <c r="AY1706" s="79"/>
      <c r="AZ1706" s="85"/>
      <c r="BA1706" s="40"/>
      <c r="BB1706" s="99"/>
      <c r="BC1706" s="85"/>
      <c r="BG1706" s="79"/>
      <c r="BH1706" s="99"/>
    </row>
    <row r="1707" spans="51:60" x14ac:dyDescent="0.2">
      <c r="AY1707" s="79"/>
      <c r="AZ1707" s="85"/>
      <c r="BA1707" s="40"/>
      <c r="BB1707" s="99"/>
      <c r="BC1707" s="85"/>
      <c r="BG1707" s="79"/>
      <c r="BH1707" s="99"/>
    </row>
    <row r="1708" spans="51:60" x14ac:dyDescent="0.2">
      <c r="AY1708" s="79"/>
      <c r="AZ1708" s="85"/>
      <c r="BA1708" s="40"/>
      <c r="BB1708" s="99"/>
      <c r="BC1708" s="85"/>
      <c r="BG1708" s="79"/>
      <c r="BH1708" s="99"/>
    </row>
    <row r="1709" spans="51:60" x14ac:dyDescent="0.2">
      <c r="AY1709" s="79"/>
      <c r="AZ1709" s="85"/>
      <c r="BA1709" s="40"/>
      <c r="BB1709" s="99"/>
      <c r="BC1709" s="85"/>
      <c r="BG1709" s="79"/>
      <c r="BH1709" s="99"/>
    </row>
    <row r="1710" spans="51:60" x14ac:dyDescent="0.2">
      <c r="AY1710" s="79"/>
      <c r="AZ1710" s="85"/>
      <c r="BA1710" s="40"/>
      <c r="BB1710" s="99"/>
      <c r="BC1710" s="85"/>
      <c r="BG1710" s="79"/>
      <c r="BH1710" s="99"/>
    </row>
    <row r="1711" spans="51:60" x14ac:dyDescent="0.2">
      <c r="AY1711" s="79"/>
      <c r="AZ1711" s="85"/>
      <c r="BA1711" s="40"/>
      <c r="BB1711" s="99"/>
      <c r="BC1711" s="85"/>
      <c r="BG1711" s="79"/>
      <c r="BH1711" s="99"/>
    </row>
    <row r="1712" spans="51:60" x14ac:dyDescent="0.2">
      <c r="AY1712" s="79"/>
      <c r="AZ1712" s="85"/>
      <c r="BA1712" s="40"/>
      <c r="BB1712" s="99"/>
      <c r="BC1712" s="85"/>
      <c r="BG1712" s="79"/>
      <c r="BH1712" s="99"/>
    </row>
    <row r="1713" spans="51:60" x14ac:dyDescent="0.2">
      <c r="AY1713" s="79"/>
      <c r="AZ1713" s="85"/>
      <c r="BA1713" s="40"/>
      <c r="BB1713" s="99"/>
      <c r="BC1713" s="85"/>
      <c r="BG1713" s="79"/>
      <c r="BH1713" s="99"/>
    </row>
    <row r="1714" spans="51:60" x14ac:dyDescent="0.2">
      <c r="AY1714" s="79"/>
      <c r="AZ1714" s="85"/>
      <c r="BA1714" s="40"/>
      <c r="BB1714" s="99"/>
      <c r="BC1714" s="85"/>
      <c r="BG1714" s="79"/>
      <c r="BH1714" s="99"/>
    </row>
    <row r="1715" spans="51:60" x14ac:dyDescent="0.2">
      <c r="AY1715" s="79"/>
      <c r="AZ1715" s="85"/>
      <c r="BA1715" s="40"/>
      <c r="BB1715" s="99"/>
      <c r="BC1715" s="85"/>
      <c r="BG1715" s="79"/>
      <c r="BH1715" s="99"/>
    </row>
    <row r="1716" spans="51:60" x14ac:dyDescent="0.2">
      <c r="AY1716" s="79"/>
      <c r="AZ1716" s="85"/>
      <c r="BA1716" s="40"/>
      <c r="BB1716" s="99"/>
      <c r="BC1716" s="85"/>
      <c r="BG1716" s="79"/>
      <c r="BH1716" s="99"/>
    </row>
    <row r="1717" spans="51:60" x14ac:dyDescent="0.2">
      <c r="AY1717" s="79"/>
      <c r="AZ1717" s="85"/>
      <c r="BA1717" s="40"/>
      <c r="BB1717" s="99"/>
      <c r="BC1717" s="85"/>
      <c r="BG1717" s="79"/>
      <c r="BH1717" s="99"/>
    </row>
    <row r="1718" spans="51:60" x14ac:dyDescent="0.2">
      <c r="AY1718" s="79"/>
      <c r="AZ1718" s="85"/>
      <c r="BA1718" s="40"/>
      <c r="BB1718" s="99"/>
      <c r="BC1718" s="85"/>
      <c r="BG1718" s="79"/>
      <c r="BH1718" s="99"/>
    </row>
    <row r="1719" spans="51:60" x14ac:dyDescent="0.2">
      <c r="AY1719" s="79"/>
      <c r="AZ1719" s="85"/>
      <c r="BA1719" s="40"/>
      <c r="BB1719" s="99"/>
      <c r="BC1719" s="85"/>
      <c r="BG1719" s="79"/>
      <c r="BH1719" s="99"/>
    </row>
    <row r="1720" spans="51:60" x14ac:dyDescent="0.2">
      <c r="AY1720" s="79"/>
      <c r="AZ1720" s="85"/>
      <c r="BA1720" s="40"/>
      <c r="BB1720" s="99"/>
      <c r="BC1720" s="85"/>
      <c r="BG1720" s="79"/>
      <c r="BH1720" s="99"/>
    </row>
    <row r="1721" spans="51:60" x14ac:dyDescent="0.2">
      <c r="AY1721" s="79"/>
      <c r="AZ1721" s="85"/>
      <c r="BA1721" s="40"/>
      <c r="BB1721" s="99"/>
      <c r="BC1721" s="85"/>
      <c r="BG1721" s="79"/>
      <c r="BH1721" s="99"/>
    </row>
    <row r="1722" spans="51:60" x14ac:dyDescent="0.2">
      <c r="AY1722" s="79"/>
      <c r="AZ1722" s="85"/>
      <c r="BA1722" s="40"/>
      <c r="BB1722" s="99"/>
      <c r="BC1722" s="85"/>
      <c r="BG1722" s="79"/>
      <c r="BH1722" s="99"/>
    </row>
    <row r="1723" spans="51:60" x14ac:dyDescent="0.2">
      <c r="AY1723" s="79"/>
      <c r="AZ1723" s="85"/>
      <c r="BA1723" s="40"/>
      <c r="BB1723" s="99"/>
      <c r="BC1723" s="85"/>
      <c r="BG1723" s="79"/>
      <c r="BH1723" s="99"/>
    </row>
    <row r="1724" spans="51:60" x14ac:dyDescent="0.2">
      <c r="AY1724" s="79"/>
      <c r="AZ1724" s="85"/>
      <c r="BA1724" s="40"/>
      <c r="BB1724" s="99"/>
      <c r="BC1724" s="85"/>
      <c r="BG1724" s="79"/>
      <c r="BH1724" s="99"/>
    </row>
    <row r="1725" spans="51:60" x14ac:dyDescent="0.2">
      <c r="AY1725" s="79"/>
      <c r="AZ1725" s="85"/>
      <c r="BA1725" s="40"/>
      <c r="BB1725" s="99"/>
      <c r="BC1725" s="85"/>
      <c r="BG1725" s="79"/>
      <c r="BH1725" s="99"/>
    </row>
    <row r="1726" spans="51:60" x14ac:dyDescent="0.2">
      <c r="AY1726" s="79"/>
      <c r="AZ1726" s="85"/>
      <c r="BA1726" s="40"/>
      <c r="BB1726" s="99"/>
      <c r="BC1726" s="85"/>
      <c r="BG1726" s="79"/>
      <c r="BH1726" s="99"/>
    </row>
    <row r="1727" spans="51:60" x14ac:dyDescent="0.2">
      <c r="AY1727" s="79"/>
      <c r="AZ1727" s="85"/>
      <c r="BA1727" s="40"/>
      <c r="BB1727" s="99"/>
      <c r="BC1727" s="85"/>
      <c r="BG1727" s="79"/>
      <c r="BH1727" s="99"/>
    </row>
    <row r="1728" spans="51:60" x14ac:dyDescent="0.2">
      <c r="AY1728" s="79"/>
      <c r="AZ1728" s="85"/>
      <c r="BA1728" s="40"/>
      <c r="BB1728" s="99"/>
      <c r="BC1728" s="85"/>
      <c r="BG1728" s="79"/>
      <c r="BH1728" s="99"/>
    </row>
    <row r="1729" spans="51:60" x14ac:dyDescent="0.2">
      <c r="AY1729" s="79"/>
      <c r="AZ1729" s="85"/>
      <c r="BA1729" s="40"/>
      <c r="BB1729" s="99"/>
      <c r="BC1729" s="85"/>
      <c r="BG1729" s="79"/>
      <c r="BH1729" s="99"/>
    </row>
    <row r="1730" spans="51:60" x14ac:dyDescent="0.2">
      <c r="AY1730" s="79"/>
      <c r="AZ1730" s="85"/>
      <c r="BA1730" s="40"/>
      <c r="BB1730" s="99"/>
      <c r="BC1730" s="85"/>
      <c r="BG1730" s="79"/>
      <c r="BH1730" s="99"/>
    </row>
    <row r="1731" spans="51:60" x14ac:dyDescent="0.2">
      <c r="AY1731" s="79"/>
      <c r="AZ1731" s="85"/>
      <c r="BA1731" s="40"/>
      <c r="BB1731" s="99"/>
      <c r="BC1731" s="85"/>
      <c r="BG1731" s="79"/>
      <c r="BH1731" s="99"/>
    </row>
    <row r="1732" spans="51:60" x14ac:dyDescent="0.2">
      <c r="AY1732" s="79"/>
      <c r="AZ1732" s="85"/>
      <c r="BA1732" s="40"/>
      <c r="BB1732" s="99"/>
      <c r="BC1732" s="85"/>
      <c r="BG1732" s="79"/>
      <c r="BH1732" s="99"/>
    </row>
    <row r="1733" spans="51:60" x14ac:dyDescent="0.2">
      <c r="AY1733" s="79"/>
      <c r="AZ1733" s="85"/>
      <c r="BA1733" s="40"/>
      <c r="BB1733" s="99"/>
      <c r="BC1733" s="85"/>
      <c r="BG1733" s="79"/>
      <c r="BH1733" s="99"/>
    </row>
    <row r="1734" spans="51:60" x14ac:dyDescent="0.2">
      <c r="AY1734" s="79"/>
      <c r="AZ1734" s="85"/>
      <c r="BA1734" s="40"/>
      <c r="BB1734" s="99"/>
      <c r="BC1734" s="85"/>
      <c r="BG1734" s="79"/>
      <c r="BH1734" s="99"/>
    </row>
    <row r="1735" spans="51:60" x14ac:dyDescent="0.2">
      <c r="AY1735" s="79"/>
      <c r="AZ1735" s="85"/>
      <c r="BA1735" s="40"/>
      <c r="BB1735" s="99"/>
      <c r="BC1735" s="85"/>
      <c r="BG1735" s="79"/>
      <c r="BH1735" s="99"/>
    </row>
    <row r="1736" spans="51:60" x14ac:dyDescent="0.2">
      <c r="AY1736" s="79"/>
      <c r="AZ1736" s="85"/>
      <c r="BA1736" s="40"/>
      <c r="BB1736" s="99"/>
      <c r="BC1736" s="85"/>
      <c r="BG1736" s="79"/>
      <c r="BH1736" s="99"/>
    </row>
    <row r="1737" spans="51:60" x14ac:dyDescent="0.2">
      <c r="AY1737" s="79"/>
      <c r="AZ1737" s="85"/>
      <c r="BA1737" s="40"/>
      <c r="BB1737" s="99"/>
      <c r="BC1737" s="85"/>
      <c r="BG1737" s="79"/>
      <c r="BH1737" s="99"/>
    </row>
    <row r="1738" spans="51:60" x14ac:dyDescent="0.2">
      <c r="AY1738" s="79"/>
      <c r="AZ1738" s="85"/>
      <c r="BA1738" s="40"/>
      <c r="BB1738" s="99"/>
      <c r="BC1738" s="85"/>
      <c r="BG1738" s="79"/>
      <c r="BH1738" s="99"/>
    </row>
    <row r="1739" spans="51:60" x14ac:dyDescent="0.2">
      <c r="AY1739" s="79"/>
      <c r="AZ1739" s="85"/>
      <c r="BA1739" s="40"/>
      <c r="BB1739" s="99"/>
      <c r="BC1739" s="85"/>
      <c r="BG1739" s="79"/>
      <c r="BH1739" s="99"/>
    </row>
    <row r="1740" spans="51:60" x14ac:dyDescent="0.2">
      <c r="AY1740" s="79"/>
      <c r="AZ1740" s="85"/>
      <c r="BA1740" s="40"/>
      <c r="BB1740" s="99"/>
      <c r="BC1740" s="85"/>
      <c r="BG1740" s="79"/>
      <c r="BH1740" s="99"/>
    </row>
    <row r="1741" spans="51:60" x14ac:dyDescent="0.2">
      <c r="AY1741" s="79"/>
      <c r="AZ1741" s="85"/>
      <c r="BA1741" s="40"/>
      <c r="BB1741" s="99"/>
      <c r="BC1741" s="85"/>
      <c r="BG1741" s="79"/>
      <c r="BH1741" s="99"/>
    </row>
    <row r="1742" spans="51:60" x14ac:dyDescent="0.2">
      <c r="AY1742" s="79"/>
      <c r="AZ1742" s="85"/>
      <c r="BA1742" s="40"/>
      <c r="BB1742" s="99"/>
      <c r="BC1742" s="85"/>
      <c r="BG1742" s="79"/>
      <c r="BH1742" s="99"/>
    </row>
    <row r="1743" spans="51:60" x14ac:dyDescent="0.2">
      <c r="AY1743" s="79"/>
      <c r="AZ1743" s="85"/>
      <c r="BA1743" s="40"/>
      <c r="BB1743" s="99"/>
      <c r="BC1743" s="85"/>
      <c r="BG1743" s="79"/>
      <c r="BH1743" s="99"/>
    </row>
    <row r="1744" spans="51:60" x14ac:dyDescent="0.2">
      <c r="AY1744" s="79"/>
      <c r="AZ1744" s="85"/>
      <c r="BA1744" s="40"/>
      <c r="BB1744" s="99"/>
      <c r="BC1744" s="85"/>
      <c r="BG1744" s="79"/>
      <c r="BH1744" s="99"/>
    </row>
    <row r="1745" spans="51:60" x14ac:dyDescent="0.2">
      <c r="AY1745" s="79"/>
      <c r="AZ1745" s="85"/>
      <c r="BA1745" s="40"/>
      <c r="BB1745" s="99"/>
      <c r="BC1745" s="85"/>
      <c r="BG1745" s="79"/>
      <c r="BH1745" s="99"/>
    </row>
    <row r="1746" spans="51:60" x14ac:dyDescent="0.2">
      <c r="AY1746" s="79"/>
      <c r="AZ1746" s="85"/>
      <c r="BA1746" s="40"/>
      <c r="BB1746" s="99"/>
      <c r="BC1746" s="85"/>
      <c r="BG1746" s="79"/>
      <c r="BH1746" s="99"/>
    </row>
    <row r="1747" spans="51:60" x14ac:dyDescent="0.2">
      <c r="AY1747" s="79"/>
      <c r="AZ1747" s="85"/>
      <c r="BA1747" s="40"/>
      <c r="BB1747" s="99"/>
      <c r="BC1747" s="85"/>
      <c r="BG1747" s="79"/>
      <c r="BH1747" s="99"/>
    </row>
    <row r="1748" spans="51:60" x14ac:dyDescent="0.2">
      <c r="AY1748" s="79"/>
      <c r="AZ1748" s="85"/>
      <c r="BA1748" s="40"/>
      <c r="BB1748" s="99"/>
      <c r="BC1748" s="85"/>
      <c r="BG1748" s="79"/>
      <c r="BH1748" s="99"/>
    </row>
    <row r="1749" spans="51:60" x14ac:dyDescent="0.2">
      <c r="AY1749" s="79"/>
      <c r="AZ1749" s="85"/>
      <c r="BA1749" s="40"/>
      <c r="BB1749" s="99"/>
      <c r="BC1749" s="85"/>
      <c r="BG1749" s="79"/>
      <c r="BH1749" s="99"/>
    </row>
    <row r="1750" spans="51:60" x14ac:dyDescent="0.2">
      <c r="AY1750" s="79"/>
      <c r="AZ1750" s="85"/>
      <c r="BA1750" s="40"/>
      <c r="BB1750" s="99"/>
      <c r="BC1750" s="85"/>
      <c r="BG1750" s="79"/>
      <c r="BH1750" s="99"/>
    </row>
    <row r="1751" spans="51:60" x14ac:dyDescent="0.2">
      <c r="AY1751" s="79"/>
      <c r="AZ1751" s="85"/>
      <c r="BA1751" s="40"/>
      <c r="BB1751" s="99"/>
      <c r="BC1751" s="85"/>
      <c r="BG1751" s="79"/>
      <c r="BH1751" s="99"/>
    </row>
    <row r="1752" spans="51:60" x14ac:dyDescent="0.2">
      <c r="AY1752" s="79"/>
      <c r="AZ1752" s="85"/>
      <c r="BA1752" s="40"/>
      <c r="BB1752" s="99"/>
      <c r="BC1752" s="85"/>
      <c r="BG1752" s="79"/>
      <c r="BH1752" s="99"/>
    </row>
    <row r="1753" spans="51:60" x14ac:dyDescent="0.2">
      <c r="AY1753" s="79"/>
      <c r="AZ1753" s="85"/>
      <c r="BA1753" s="40"/>
      <c r="BB1753" s="99"/>
      <c r="BC1753" s="85"/>
      <c r="BG1753" s="79"/>
      <c r="BH1753" s="99"/>
    </row>
    <row r="1754" spans="51:60" x14ac:dyDescent="0.2">
      <c r="AY1754" s="79"/>
      <c r="AZ1754" s="85"/>
      <c r="BA1754" s="40"/>
      <c r="BB1754" s="99"/>
      <c r="BC1754" s="85"/>
      <c r="BG1754" s="79"/>
      <c r="BH1754" s="99"/>
    </row>
    <row r="1755" spans="51:60" x14ac:dyDescent="0.2">
      <c r="AY1755" s="79"/>
      <c r="AZ1755" s="85"/>
      <c r="BA1755" s="40"/>
      <c r="BB1755" s="99"/>
      <c r="BC1755" s="85"/>
      <c r="BG1755" s="79"/>
      <c r="BH1755" s="99"/>
    </row>
    <row r="1756" spans="51:60" x14ac:dyDescent="0.2">
      <c r="AY1756" s="79"/>
      <c r="AZ1756" s="85"/>
      <c r="BA1756" s="40"/>
      <c r="BB1756" s="99"/>
      <c r="BC1756" s="85"/>
      <c r="BG1756" s="79"/>
      <c r="BH1756" s="99"/>
    </row>
    <row r="1757" spans="51:60" x14ac:dyDescent="0.2">
      <c r="AY1757" s="79"/>
      <c r="AZ1757" s="85"/>
      <c r="BA1757" s="40"/>
      <c r="BB1757" s="99"/>
      <c r="BC1757" s="85"/>
      <c r="BG1757" s="79"/>
      <c r="BH1757" s="99"/>
    </row>
    <row r="1758" spans="51:60" x14ac:dyDescent="0.2">
      <c r="AY1758" s="79"/>
      <c r="AZ1758" s="85"/>
      <c r="BA1758" s="40"/>
      <c r="BB1758" s="99"/>
      <c r="BC1758" s="85"/>
      <c r="BG1758" s="79"/>
      <c r="BH1758" s="99"/>
    </row>
    <row r="1759" spans="51:60" x14ac:dyDescent="0.2">
      <c r="AY1759" s="79"/>
      <c r="AZ1759" s="85"/>
      <c r="BA1759" s="40"/>
      <c r="BB1759" s="99"/>
      <c r="BC1759" s="85"/>
      <c r="BG1759" s="79"/>
      <c r="BH1759" s="99"/>
    </row>
    <row r="1760" spans="51:60" x14ac:dyDescent="0.2">
      <c r="AY1760" s="79"/>
      <c r="AZ1760" s="85"/>
      <c r="BA1760" s="40"/>
      <c r="BB1760" s="99"/>
      <c r="BC1760" s="85"/>
      <c r="BG1760" s="79"/>
      <c r="BH1760" s="99"/>
    </row>
    <row r="1761" spans="51:60" x14ac:dyDescent="0.2">
      <c r="AY1761" s="79"/>
      <c r="AZ1761" s="85"/>
      <c r="BA1761" s="40"/>
      <c r="BB1761" s="99"/>
      <c r="BC1761" s="85"/>
      <c r="BG1761" s="79"/>
      <c r="BH1761" s="99"/>
    </row>
    <row r="1762" spans="51:60" x14ac:dyDescent="0.2">
      <c r="AY1762" s="79"/>
      <c r="AZ1762" s="85"/>
      <c r="BA1762" s="40"/>
      <c r="BB1762" s="99"/>
      <c r="BC1762" s="85"/>
      <c r="BG1762" s="79"/>
      <c r="BH1762" s="99"/>
    </row>
    <row r="1763" spans="51:60" x14ac:dyDescent="0.2">
      <c r="AY1763" s="79"/>
      <c r="AZ1763" s="85"/>
      <c r="BA1763" s="40"/>
      <c r="BB1763" s="99"/>
      <c r="BC1763" s="85"/>
      <c r="BG1763" s="79"/>
      <c r="BH1763" s="99"/>
    </row>
    <row r="1764" spans="51:60" x14ac:dyDescent="0.2">
      <c r="AY1764" s="79"/>
      <c r="AZ1764" s="85"/>
      <c r="BA1764" s="40"/>
      <c r="BB1764" s="99"/>
      <c r="BC1764" s="85"/>
      <c r="BG1764" s="79"/>
      <c r="BH1764" s="99"/>
    </row>
    <row r="1765" spans="51:60" x14ac:dyDescent="0.2">
      <c r="AY1765" s="79"/>
      <c r="AZ1765" s="85"/>
      <c r="BA1765" s="40"/>
      <c r="BB1765" s="99"/>
      <c r="BC1765" s="85"/>
      <c r="BG1765" s="79"/>
      <c r="BH1765" s="99"/>
    </row>
    <row r="1766" spans="51:60" x14ac:dyDescent="0.2">
      <c r="AY1766" s="79"/>
      <c r="AZ1766" s="85"/>
      <c r="BA1766" s="40"/>
      <c r="BB1766" s="99"/>
      <c r="BC1766" s="85"/>
      <c r="BG1766" s="79"/>
      <c r="BH1766" s="99"/>
    </row>
    <row r="1767" spans="51:60" x14ac:dyDescent="0.2">
      <c r="AY1767" s="79"/>
      <c r="AZ1767" s="85"/>
      <c r="BA1767" s="40"/>
      <c r="BB1767" s="99"/>
      <c r="BC1767" s="85"/>
      <c r="BG1767" s="79"/>
      <c r="BH1767" s="99"/>
    </row>
    <row r="1768" spans="51:60" x14ac:dyDescent="0.2">
      <c r="AY1768" s="79"/>
      <c r="AZ1768" s="85"/>
      <c r="BA1768" s="40"/>
      <c r="BB1768" s="99"/>
      <c r="BC1768" s="85"/>
      <c r="BG1768" s="79"/>
      <c r="BH1768" s="99"/>
    </row>
    <row r="1769" spans="51:60" x14ac:dyDescent="0.2">
      <c r="AY1769" s="79"/>
      <c r="AZ1769" s="85"/>
      <c r="BA1769" s="40"/>
      <c r="BB1769" s="99"/>
      <c r="BC1769" s="85"/>
      <c r="BG1769" s="79"/>
      <c r="BH1769" s="99"/>
    </row>
    <row r="1770" spans="51:60" x14ac:dyDescent="0.2">
      <c r="AY1770" s="79"/>
      <c r="AZ1770" s="85"/>
      <c r="BA1770" s="40"/>
      <c r="BB1770" s="99"/>
      <c r="BC1770" s="85"/>
      <c r="BG1770" s="79"/>
      <c r="BH1770" s="99"/>
    </row>
    <row r="1771" spans="51:60" x14ac:dyDescent="0.2">
      <c r="AY1771" s="79"/>
      <c r="AZ1771" s="85"/>
      <c r="BA1771" s="40"/>
      <c r="BB1771" s="99"/>
      <c r="BC1771" s="85"/>
      <c r="BG1771" s="79"/>
      <c r="BH1771" s="99"/>
    </row>
    <row r="1772" spans="51:60" x14ac:dyDescent="0.2">
      <c r="AY1772" s="79"/>
      <c r="AZ1772" s="85"/>
      <c r="BA1772" s="40"/>
      <c r="BB1772" s="99"/>
      <c r="BC1772" s="85"/>
      <c r="BG1772" s="79"/>
      <c r="BH1772" s="99"/>
    </row>
    <row r="1773" spans="51:60" x14ac:dyDescent="0.2">
      <c r="AY1773" s="79"/>
      <c r="AZ1773" s="85"/>
      <c r="BA1773" s="40"/>
      <c r="BB1773" s="99"/>
      <c r="BC1773" s="85"/>
      <c r="BG1773" s="79"/>
      <c r="BH1773" s="99"/>
    </row>
    <row r="1774" spans="51:60" x14ac:dyDescent="0.2">
      <c r="AY1774" s="79"/>
      <c r="AZ1774" s="85"/>
      <c r="BA1774" s="40"/>
      <c r="BB1774" s="99"/>
      <c r="BC1774" s="85"/>
      <c r="BG1774" s="79"/>
      <c r="BH1774" s="99"/>
    </row>
    <row r="1775" spans="51:60" x14ac:dyDescent="0.2">
      <c r="AY1775" s="79"/>
      <c r="AZ1775" s="85"/>
      <c r="BA1775" s="40"/>
      <c r="BB1775" s="99"/>
      <c r="BC1775" s="85"/>
      <c r="BG1775" s="79"/>
      <c r="BH1775" s="99"/>
    </row>
    <row r="1776" spans="51:60" x14ac:dyDescent="0.2">
      <c r="AY1776" s="79"/>
      <c r="AZ1776" s="85"/>
      <c r="BA1776" s="40"/>
      <c r="BB1776" s="99"/>
      <c r="BC1776" s="85"/>
      <c r="BG1776" s="79"/>
      <c r="BH1776" s="99"/>
    </row>
    <row r="1777" spans="51:60" x14ac:dyDescent="0.2">
      <c r="AY1777" s="79"/>
      <c r="AZ1777" s="85"/>
      <c r="BA1777" s="40"/>
      <c r="BB1777" s="99"/>
      <c r="BC1777" s="85"/>
      <c r="BG1777" s="79"/>
      <c r="BH1777" s="99"/>
    </row>
    <row r="1778" spans="51:60" x14ac:dyDescent="0.2">
      <c r="AY1778" s="79"/>
      <c r="AZ1778" s="85"/>
      <c r="BA1778" s="40"/>
      <c r="BB1778" s="99"/>
      <c r="BC1778" s="85"/>
      <c r="BG1778" s="79"/>
      <c r="BH1778" s="99"/>
    </row>
    <row r="1779" spans="51:60" x14ac:dyDescent="0.2">
      <c r="AY1779" s="79"/>
      <c r="AZ1779" s="85"/>
      <c r="BA1779" s="40"/>
      <c r="BB1779" s="99"/>
      <c r="BC1779" s="85"/>
      <c r="BG1779" s="79"/>
      <c r="BH1779" s="99"/>
    </row>
    <row r="1780" spans="51:60" x14ac:dyDescent="0.2">
      <c r="AY1780" s="79"/>
      <c r="AZ1780" s="85"/>
      <c r="BA1780" s="40"/>
      <c r="BB1780" s="99"/>
      <c r="BC1780" s="85"/>
      <c r="BG1780" s="79"/>
      <c r="BH1780" s="99"/>
    </row>
    <row r="1781" spans="51:60" x14ac:dyDescent="0.2">
      <c r="AY1781" s="79"/>
      <c r="AZ1781" s="85"/>
      <c r="BA1781" s="40"/>
      <c r="BB1781" s="99"/>
      <c r="BC1781" s="85"/>
      <c r="BG1781" s="79"/>
      <c r="BH1781" s="99"/>
    </row>
    <row r="1782" spans="51:60" x14ac:dyDescent="0.2">
      <c r="AY1782" s="79"/>
      <c r="AZ1782" s="85"/>
      <c r="BA1782" s="40"/>
      <c r="BB1782" s="99"/>
      <c r="BC1782" s="85"/>
      <c r="BG1782" s="79"/>
      <c r="BH1782" s="99"/>
    </row>
    <row r="1783" spans="51:60" x14ac:dyDescent="0.2">
      <c r="AY1783" s="79"/>
      <c r="AZ1783" s="85"/>
      <c r="BA1783" s="40"/>
      <c r="BB1783" s="99"/>
      <c r="BC1783" s="85"/>
      <c r="BG1783" s="79"/>
      <c r="BH1783" s="99"/>
    </row>
    <row r="1784" spans="51:60" x14ac:dyDescent="0.2">
      <c r="AY1784" s="79"/>
      <c r="AZ1784" s="85"/>
      <c r="BA1784" s="40"/>
      <c r="BB1784" s="99"/>
      <c r="BC1784" s="85"/>
      <c r="BG1784" s="79"/>
      <c r="BH1784" s="99"/>
    </row>
    <row r="1785" spans="51:60" x14ac:dyDescent="0.2">
      <c r="AY1785" s="79"/>
      <c r="AZ1785" s="85"/>
      <c r="BA1785" s="40"/>
      <c r="BB1785" s="99"/>
      <c r="BC1785" s="85"/>
      <c r="BG1785" s="79"/>
      <c r="BH1785" s="99"/>
    </row>
    <row r="1786" spans="51:60" x14ac:dyDescent="0.2">
      <c r="AY1786" s="79"/>
      <c r="AZ1786" s="85"/>
      <c r="BA1786" s="40"/>
      <c r="BB1786" s="99"/>
      <c r="BC1786" s="85"/>
      <c r="BG1786" s="79"/>
      <c r="BH1786" s="99"/>
    </row>
    <row r="1787" spans="51:60" x14ac:dyDescent="0.2">
      <c r="AY1787" s="79"/>
      <c r="AZ1787" s="85"/>
      <c r="BA1787" s="40"/>
      <c r="BB1787" s="99"/>
      <c r="BC1787" s="85"/>
      <c r="BG1787" s="79"/>
      <c r="BH1787" s="99"/>
    </row>
    <row r="1788" spans="51:60" x14ac:dyDescent="0.2">
      <c r="AY1788" s="79"/>
      <c r="AZ1788" s="85"/>
      <c r="BA1788" s="40"/>
      <c r="BB1788" s="99"/>
      <c r="BC1788" s="85"/>
      <c r="BG1788" s="79"/>
      <c r="BH1788" s="99"/>
    </row>
    <row r="1789" spans="51:60" x14ac:dyDescent="0.2">
      <c r="AY1789" s="79"/>
      <c r="AZ1789" s="85"/>
      <c r="BA1789" s="40"/>
      <c r="BB1789" s="99"/>
      <c r="BC1789" s="85"/>
      <c r="BG1789" s="79"/>
      <c r="BH1789" s="99"/>
    </row>
    <row r="1790" spans="51:60" x14ac:dyDescent="0.2">
      <c r="AY1790" s="79"/>
      <c r="AZ1790" s="85"/>
      <c r="BA1790" s="40"/>
      <c r="BB1790" s="99"/>
      <c r="BC1790" s="85"/>
      <c r="BG1790" s="79"/>
      <c r="BH1790" s="99"/>
    </row>
    <row r="1791" spans="51:60" x14ac:dyDescent="0.2">
      <c r="AY1791" s="79"/>
      <c r="AZ1791" s="85"/>
      <c r="BA1791" s="40"/>
      <c r="BB1791" s="99"/>
      <c r="BC1791" s="85"/>
      <c r="BG1791" s="79"/>
      <c r="BH1791" s="99"/>
    </row>
    <row r="1792" spans="51:60" x14ac:dyDescent="0.2">
      <c r="AY1792" s="79"/>
      <c r="AZ1792" s="85"/>
      <c r="BA1792" s="40"/>
      <c r="BB1792" s="99"/>
      <c r="BC1792" s="85"/>
      <c r="BG1792" s="79"/>
      <c r="BH1792" s="99"/>
    </row>
    <row r="1793" spans="51:60" x14ac:dyDescent="0.2">
      <c r="AY1793" s="79"/>
      <c r="AZ1793" s="85"/>
      <c r="BA1793" s="40"/>
      <c r="BB1793" s="99"/>
      <c r="BC1793" s="85"/>
      <c r="BG1793" s="79"/>
      <c r="BH1793" s="99"/>
    </row>
    <row r="1794" spans="51:60" x14ac:dyDescent="0.2">
      <c r="AY1794" s="79"/>
      <c r="AZ1794" s="85"/>
      <c r="BA1794" s="40"/>
      <c r="BB1794" s="99"/>
      <c r="BC1794" s="85"/>
      <c r="BG1794" s="79"/>
      <c r="BH1794" s="99"/>
    </row>
    <row r="1795" spans="51:60" x14ac:dyDescent="0.2">
      <c r="AY1795" s="79"/>
      <c r="AZ1795" s="85"/>
      <c r="BA1795" s="40"/>
      <c r="BB1795" s="99"/>
      <c r="BC1795" s="85"/>
      <c r="BG1795" s="79"/>
      <c r="BH1795" s="99"/>
    </row>
    <row r="1796" spans="51:60" x14ac:dyDescent="0.2">
      <c r="AY1796" s="79"/>
      <c r="AZ1796" s="85"/>
      <c r="BA1796" s="40"/>
      <c r="BB1796" s="99"/>
      <c r="BC1796" s="85"/>
      <c r="BG1796" s="79"/>
      <c r="BH1796" s="99"/>
    </row>
    <row r="1797" spans="51:60" x14ac:dyDescent="0.2">
      <c r="AY1797" s="79"/>
      <c r="AZ1797" s="85"/>
      <c r="BA1797" s="40"/>
      <c r="BB1797" s="99"/>
      <c r="BC1797" s="85"/>
      <c r="BG1797" s="79"/>
      <c r="BH1797" s="99"/>
    </row>
    <row r="1798" spans="51:60" x14ac:dyDescent="0.2">
      <c r="AY1798" s="79"/>
      <c r="AZ1798" s="85"/>
      <c r="BA1798" s="40"/>
      <c r="BB1798" s="99"/>
      <c r="BC1798" s="85"/>
      <c r="BG1798" s="79"/>
      <c r="BH1798" s="99"/>
    </row>
    <row r="1799" spans="51:60" x14ac:dyDescent="0.2">
      <c r="AY1799" s="79"/>
      <c r="AZ1799" s="85"/>
      <c r="BA1799" s="40"/>
      <c r="BB1799" s="99"/>
      <c r="BC1799" s="85"/>
      <c r="BG1799" s="79"/>
      <c r="BH1799" s="99"/>
    </row>
    <row r="1800" spans="51:60" x14ac:dyDescent="0.2">
      <c r="AY1800" s="79"/>
      <c r="AZ1800" s="85"/>
      <c r="BA1800" s="40"/>
      <c r="BB1800" s="99"/>
      <c r="BC1800" s="85"/>
      <c r="BG1800" s="79"/>
      <c r="BH1800" s="99"/>
    </row>
    <row r="1801" spans="51:60" x14ac:dyDescent="0.2">
      <c r="AY1801" s="79"/>
      <c r="AZ1801" s="85"/>
      <c r="BA1801" s="40"/>
      <c r="BB1801" s="99"/>
      <c r="BC1801" s="85"/>
      <c r="BG1801" s="79"/>
      <c r="BH1801" s="99"/>
    </row>
    <row r="1802" spans="51:60" x14ac:dyDescent="0.2">
      <c r="AY1802" s="79"/>
      <c r="AZ1802" s="85"/>
      <c r="BA1802" s="40"/>
      <c r="BB1802" s="99"/>
      <c r="BC1802" s="85"/>
      <c r="BG1802" s="79"/>
      <c r="BH1802" s="99"/>
    </row>
    <row r="1803" spans="51:60" x14ac:dyDescent="0.2">
      <c r="AY1803" s="79"/>
      <c r="AZ1803" s="85"/>
      <c r="BA1803" s="40"/>
      <c r="BB1803" s="99"/>
      <c r="BC1803" s="85"/>
      <c r="BG1803" s="79"/>
      <c r="BH1803" s="99"/>
    </row>
    <row r="1804" spans="51:60" x14ac:dyDescent="0.2">
      <c r="AY1804" s="79"/>
      <c r="AZ1804" s="85"/>
      <c r="BA1804" s="40"/>
      <c r="BB1804" s="99"/>
      <c r="BC1804" s="85"/>
      <c r="BG1804" s="79"/>
      <c r="BH1804" s="99"/>
    </row>
    <row r="1805" spans="51:60" x14ac:dyDescent="0.2">
      <c r="AY1805" s="79"/>
      <c r="AZ1805" s="85"/>
      <c r="BA1805" s="40"/>
      <c r="BB1805" s="99"/>
      <c r="BC1805" s="85"/>
      <c r="BG1805" s="79"/>
      <c r="BH1805" s="99"/>
    </row>
    <row r="1806" spans="51:60" x14ac:dyDescent="0.2">
      <c r="AY1806" s="79"/>
      <c r="AZ1806" s="85"/>
      <c r="BA1806" s="40"/>
      <c r="BB1806" s="99"/>
      <c r="BC1806" s="85"/>
      <c r="BG1806" s="79"/>
      <c r="BH1806" s="99"/>
    </row>
    <row r="1807" spans="51:60" x14ac:dyDescent="0.2">
      <c r="AY1807" s="79"/>
      <c r="AZ1807" s="85"/>
      <c r="BA1807" s="40"/>
      <c r="BB1807" s="99"/>
      <c r="BC1807" s="85"/>
      <c r="BG1807" s="79"/>
      <c r="BH1807" s="99"/>
    </row>
    <row r="1808" spans="51:60" x14ac:dyDescent="0.2">
      <c r="AY1808" s="79"/>
      <c r="AZ1808" s="85"/>
      <c r="BA1808" s="40"/>
      <c r="BB1808" s="99"/>
      <c r="BC1808" s="85"/>
      <c r="BG1808" s="79"/>
      <c r="BH1808" s="99"/>
    </row>
    <row r="1809" spans="51:60" x14ac:dyDescent="0.2">
      <c r="AY1809" s="79"/>
      <c r="AZ1809" s="85"/>
      <c r="BA1809" s="40"/>
      <c r="BB1809" s="99"/>
      <c r="BC1809" s="85"/>
      <c r="BG1809" s="79"/>
      <c r="BH1809" s="99"/>
    </row>
    <row r="1810" spans="51:60" x14ac:dyDescent="0.2">
      <c r="AY1810" s="79"/>
      <c r="AZ1810" s="85"/>
      <c r="BA1810" s="40"/>
      <c r="BB1810" s="99"/>
      <c r="BC1810" s="85"/>
      <c r="BG1810" s="79"/>
      <c r="BH1810" s="99"/>
    </row>
    <row r="1811" spans="51:60" x14ac:dyDescent="0.2">
      <c r="AY1811" s="79"/>
      <c r="AZ1811" s="85"/>
      <c r="BA1811" s="40"/>
      <c r="BB1811" s="99"/>
      <c r="BC1811" s="85"/>
      <c r="BG1811" s="79"/>
      <c r="BH1811" s="99"/>
    </row>
    <row r="1812" spans="51:60" x14ac:dyDescent="0.2">
      <c r="AY1812" s="79"/>
      <c r="AZ1812" s="85"/>
      <c r="BA1812" s="40"/>
      <c r="BB1812" s="99"/>
      <c r="BC1812" s="85"/>
      <c r="BG1812" s="79"/>
      <c r="BH1812" s="99"/>
    </row>
    <row r="1813" spans="51:60" x14ac:dyDescent="0.2">
      <c r="AY1813" s="79"/>
      <c r="AZ1813" s="85"/>
      <c r="BA1813" s="40"/>
      <c r="BB1813" s="99"/>
      <c r="BC1813" s="85"/>
      <c r="BG1813" s="79"/>
      <c r="BH1813" s="99"/>
    </row>
    <row r="1814" spans="51:60" x14ac:dyDescent="0.2">
      <c r="AY1814" s="79"/>
      <c r="AZ1814" s="85"/>
      <c r="BA1814" s="40"/>
      <c r="BB1814" s="99"/>
      <c r="BC1814" s="85"/>
      <c r="BG1814" s="79"/>
      <c r="BH1814" s="99"/>
    </row>
    <row r="1815" spans="51:60" x14ac:dyDescent="0.2">
      <c r="AY1815" s="79"/>
      <c r="AZ1815" s="85"/>
      <c r="BA1815" s="40"/>
      <c r="BB1815" s="99"/>
      <c r="BC1815" s="85"/>
      <c r="BG1815" s="79"/>
      <c r="BH1815" s="99"/>
    </row>
    <row r="1816" spans="51:60" x14ac:dyDescent="0.2">
      <c r="AY1816" s="79"/>
      <c r="AZ1816" s="85"/>
      <c r="BA1816" s="40"/>
      <c r="BB1816" s="99"/>
      <c r="BC1816" s="85"/>
      <c r="BG1816" s="79"/>
      <c r="BH1816" s="99"/>
    </row>
    <row r="1817" spans="51:60" x14ac:dyDescent="0.2">
      <c r="AY1817" s="79"/>
      <c r="AZ1817" s="85"/>
      <c r="BA1817" s="40"/>
      <c r="BB1817" s="99"/>
      <c r="BC1817" s="85"/>
      <c r="BG1817" s="79"/>
      <c r="BH1817" s="99"/>
    </row>
    <row r="1818" spans="51:60" x14ac:dyDescent="0.2">
      <c r="AY1818" s="79"/>
      <c r="AZ1818" s="85"/>
      <c r="BA1818" s="40"/>
      <c r="BB1818" s="99"/>
      <c r="BC1818" s="85"/>
      <c r="BG1818" s="79"/>
      <c r="BH1818" s="99"/>
    </row>
    <row r="1819" spans="51:60" x14ac:dyDescent="0.2">
      <c r="AY1819" s="79"/>
      <c r="AZ1819" s="85"/>
      <c r="BA1819" s="40"/>
      <c r="BB1819" s="99"/>
      <c r="BC1819" s="85"/>
      <c r="BG1819" s="79"/>
      <c r="BH1819" s="99"/>
    </row>
    <row r="1820" spans="51:60" x14ac:dyDescent="0.2">
      <c r="AY1820" s="79"/>
      <c r="AZ1820" s="85"/>
      <c r="BA1820" s="40"/>
      <c r="BB1820" s="99"/>
      <c r="BC1820" s="85"/>
      <c r="BG1820" s="79"/>
      <c r="BH1820" s="99"/>
    </row>
    <row r="1821" spans="51:60" x14ac:dyDescent="0.2">
      <c r="AY1821" s="79"/>
      <c r="AZ1821" s="85"/>
      <c r="BA1821" s="40"/>
      <c r="BB1821" s="99"/>
      <c r="BC1821" s="85"/>
      <c r="BG1821" s="79"/>
      <c r="BH1821" s="99"/>
    </row>
    <row r="1822" spans="51:60" x14ac:dyDescent="0.2">
      <c r="AY1822" s="79"/>
      <c r="AZ1822" s="85"/>
      <c r="BA1822" s="40"/>
      <c r="BB1822" s="99"/>
      <c r="BC1822" s="85"/>
      <c r="BG1822" s="79"/>
      <c r="BH1822" s="99"/>
    </row>
    <row r="1823" spans="51:60" x14ac:dyDescent="0.2">
      <c r="AY1823" s="79"/>
      <c r="AZ1823" s="85"/>
      <c r="BA1823" s="40"/>
      <c r="BB1823" s="99"/>
      <c r="BC1823" s="85"/>
      <c r="BG1823" s="79"/>
      <c r="BH1823" s="99"/>
    </row>
    <row r="1824" spans="51:60" x14ac:dyDescent="0.2">
      <c r="AY1824" s="79"/>
      <c r="AZ1824" s="85"/>
      <c r="BA1824" s="40"/>
      <c r="BB1824" s="99"/>
      <c r="BC1824" s="85"/>
      <c r="BG1824" s="79"/>
      <c r="BH1824" s="99"/>
    </row>
    <row r="1825" spans="51:60" x14ac:dyDescent="0.2">
      <c r="AY1825" s="79"/>
      <c r="AZ1825" s="85"/>
      <c r="BA1825" s="40"/>
      <c r="BB1825" s="99"/>
      <c r="BC1825" s="85"/>
      <c r="BG1825" s="79"/>
      <c r="BH1825" s="99"/>
    </row>
    <row r="1826" spans="51:60" x14ac:dyDescent="0.2">
      <c r="AY1826" s="79"/>
      <c r="AZ1826" s="85"/>
      <c r="BA1826" s="40"/>
      <c r="BB1826" s="99"/>
      <c r="BC1826" s="85"/>
      <c r="BG1826" s="79"/>
      <c r="BH1826" s="99"/>
    </row>
    <row r="1827" spans="51:60" x14ac:dyDescent="0.2">
      <c r="AY1827" s="79"/>
      <c r="AZ1827" s="85"/>
      <c r="BA1827" s="40"/>
      <c r="BB1827" s="99"/>
      <c r="BC1827" s="85"/>
      <c r="BG1827" s="79"/>
      <c r="BH1827" s="99"/>
    </row>
    <row r="1828" spans="51:60" x14ac:dyDescent="0.2">
      <c r="AY1828" s="79"/>
      <c r="AZ1828" s="85"/>
      <c r="BA1828" s="40"/>
      <c r="BB1828" s="99"/>
      <c r="BC1828" s="85"/>
      <c r="BG1828" s="79"/>
      <c r="BH1828" s="99"/>
    </row>
    <row r="1829" spans="51:60" x14ac:dyDescent="0.2">
      <c r="AY1829" s="79"/>
      <c r="AZ1829" s="85"/>
      <c r="BA1829" s="40"/>
      <c r="BB1829" s="99"/>
      <c r="BC1829" s="85"/>
      <c r="BG1829" s="79"/>
      <c r="BH1829" s="99"/>
    </row>
    <row r="1830" spans="51:60" x14ac:dyDescent="0.2">
      <c r="AY1830" s="79"/>
      <c r="AZ1830" s="85"/>
      <c r="BA1830" s="40"/>
      <c r="BB1830" s="99"/>
      <c r="BC1830" s="85"/>
      <c r="BG1830" s="79"/>
      <c r="BH1830" s="99"/>
    </row>
    <row r="1831" spans="51:60" x14ac:dyDescent="0.2">
      <c r="AY1831" s="79"/>
      <c r="AZ1831" s="85"/>
      <c r="BA1831" s="40"/>
      <c r="BB1831" s="99"/>
      <c r="BC1831" s="85"/>
      <c r="BG1831" s="79"/>
      <c r="BH1831" s="99"/>
    </row>
    <row r="1832" spans="51:60" x14ac:dyDescent="0.2">
      <c r="AY1832" s="79"/>
      <c r="AZ1832" s="85"/>
      <c r="BA1832" s="40"/>
      <c r="BB1832" s="99"/>
      <c r="BC1832" s="85"/>
      <c r="BG1832" s="79"/>
      <c r="BH1832" s="99"/>
    </row>
    <row r="1833" spans="51:60" x14ac:dyDescent="0.2">
      <c r="AY1833" s="79"/>
      <c r="AZ1833" s="85"/>
      <c r="BA1833" s="40"/>
      <c r="BB1833" s="99"/>
      <c r="BC1833" s="85"/>
      <c r="BG1833" s="79"/>
      <c r="BH1833" s="99"/>
    </row>
    <row r="1834" spans="51:60" x14ac:dyDescent="0.2">
      <c r="AY1834" s="79"/>
      <c r="AZ1834" s="85"/>
      <c r="BA1834" s="40"/>
      <c r="BB1834" s="99"/>
      <c r="BC1834" s="85"/>
      <c r="BG1834" s="79"/>
      <c r="BH1834" s="99"/>
    </row>
    <row r="1835" spans="51:60" x14ac:dyDescent="0.2">
      <c r="AY1835" s="79"/>
      <c r="AZ1835" s="85"/>
      <c r="BA1835" s="40"/>
      <c r="BB1835" s="99"/>
      <c r="BC1835" s="85"/>
      <c r="BG1835" s="79"/>
      <c r="BH1835" s="99"/>
    </row>
    <row r="1836" spans="51:60" x14ac:dyDescent="0.2">
      <c r="AY1836" s="79"/>
      <c r="AZ1836" s="85"/>
      <c r="BA1836" s="40"/>
      <c r="BB1836" s="99"/>
      <c r="BC1836" s="85"/>
      <c r="BG1836" s="79"/>
      <c r="BH1836" s="99"/>
    </row>
    <row r="1837" spans="51:60" x14ac:dyDescent="0.2">
      <c r="AY1837" s="79"/>
      <c r="AZ1837" s="85"/>
      <c r="BA1837" s="40"/>
      <c r="BB1837" s="99"/>
      <c r="BC1837" s="85"/>
      <c r="BG1837" s="79"/>
      <c r="BH1837" s="99"/>
    </row>
    <row r="1838" spans="51:60" x14ac:dyDescent="0.2">
      <c r="AY1838" s="79"/>
      <c r="AZ1838" s="85"/>
      <c r="BA1838" s="40"/>
      <c r="BB1838" s="99"/>
      <c r="BC1838" s="85"/>
      <c r="BG1838" s="79"/>
      <c r="BH1838" s="99"/>
    </row>
    <row r="1839" spans="51:60" x14ac:dyDescent="0.2">
      <c r="AY1839" s="79"/>
      <c r="AZ1839" s="85"/>
      <c r="BA1839" s="40"/>
      <c r="BB1839" s="99"/>
      <c r="BC1839" s="85"/>
      <c r="BG1839" s="79"/>
      <c r="BH1839" s="99"/>
    </row>
    <row r="1840" spans="51:60" x14ac:dyDescent="0.2">
      <c r="AY1840" s="79"/>
      <c r="AZ1840" s="85"/>
      <c r="BA1840" s="40"/>
      <c r="BB1840" s="99"/>
      <c r="BC1840" s="85"/>
      <c r="BG1840" s="79"/>
      <c r="BH1840" s="99"/>
    </row>
    <row r="1841" spans="51:60" x14ac:dyDescent="0.2">
      <c r="AY1841" s="79"/>
      <c r="AZ1841" s="85"/>
      <c r="BA1841" s="40"/>
      <c r="BB1841" s="99"/>
      <c r="BC1841" s="85"/>
      <c r="BG1841" s="79"/>
      <c r="BH1841" s="99"/>
    </row>
    <row r="1842" spans="51:60" x14ac:dyDescent="0.2">
      <c r="AY1842" s="79"/>
      <c r="AZ1842" s="85"/>
      <c r="BA1842" s="40"/>
      <c r="BB1842" s="99"/>
      <c r="BC1842" s="85"/>
      <c r="BG1842" s="79"/>
      <c r="BH1842" s="99"/>
    </row>
    <row r="1843" spans="51:60" x14ac:dyDescent="0.2">
      <c r="AY1843" s="79"/>
      <c r="AZ1843" s="85"/>
      <c r="BA1843" s="40"/>
      <c r="BB1843" s="99"/>
      <c r="BC1843" s="85"/>
      <c r="BG1843" s="79"/>
      <c r="BH1843" s="99"/>
    </row>
    <row r="1844" spans="51:60" x14ac:dyDescent="0.2">
      <c r="AY1844" s="79"/>
      <c r="AZ1844" s="85"/>
      <c r="BA1844" s="40"/>
      <c r="BB1844" s="99"/>
      <c r="BC1844" s="85"/>
      <c r="BG1844" s="79"/>
      <c r="BH1844" s="99"/>
    </row>
    <row r="1845" spans="51:60" x14ac:dyDescent="0.2">
      <c r="AY1845" s="79"/>
      <c r="AZ1845" s="85"/>
      <c r="BA1845" s="40"/>
      <c r="BB1845" s="99"/>
      <c r="BC1845" s="85"/>
      <c r="BG1845" s="79"/>
      <c r="BH1845" s="99"/>
    </row>
    <row r="1846" spans="51:60" x14ac:dyDescent="0.2">
      <c r="AY1846" s="79"/>
      <c r="AZ1846" s="85"/>
      <c r="BA1846" s="40"/>
      <c r="BB1846" s="99"/>
      <c r="BC1846" s="85"/>
      <c r="BG1846" s="79"/>
      <c r="BH1846" s="99"/>
    </row>
    <row r="1847" spans="51:60" x14ac:dyDescent="0.2">
      <c r="AY1847" s="79"/>
      <c r="AZ1847" s="85"/>
      <c r="BA1847" s="40"/>
      <c r="BB1847" s="99"/>
      <c r="BC1847" s="85"/>
      <c r="BG1847" s="79"/>
      <c r="BH1847" s="99"/>
    </row>
    <row r="1848" spans="51:60" x14ac:dyDescent="0.2">
      <c r="AY1848" s="79"/>
      <c r="AZ1848" s="85"/>
      <c r="BA1848" s="40"/>
      <c r="BB1848" s="99"/>
      <c r="BC1848" s="85"/>
      <c r="BG1848" s="79"/>
      <c r="BH1848" s="99"/>
    </row>
    <row r="1849" spans="51:60" x14ac:dyDescent="0.2">
      <c r="AY1849" s="79"/>
      <c r="AZ1849" s="85"/>
      <c r="BA1849" s="40"/>
      <c r="BB1849" s="99"/>
      <c r="BC1849" s="85"/>
      <c r="BG1849" s="79"/>
      <c r="BH1849" s="99"/>
    </row>
    <row r="1850" spans="51:60" x14ac:dyDescent="0.2">
      <c r="AY1850" s="79"/>
      <c r="AZ1850" s="85"/>
      <c r="BA1850" s="40"/>
      <c r="BB1850" s="99"/>
      <c r="BC1850" s="85"/>
      <c r="BG1850" s="79"/>
      <c r="BH1850" s="99"/>
    </row>
    <row r="1851" spans="51:60" x14ac:dyDescent="0.2">
      <c r="AY1851" s="79"/>
      <c r="AZ1851" s="85"/>
      <c r="BA1851" s="40"/>
      <c r="BB1851" s="99"/>
      <c r="BC1851" s="85"/>
      <c r="BG1851" s="79"/>
      <c r="BH1851" s="99"/>
    </row>
    <row r="1852" spans="51:60" x14ac:dyDescent="0.2">
      <c r="AY1852" s="79"/>
      <c r="AZ1852" s="85"/>
      <c r="BA1852" s="40"/>
      <c r="BB1852" s="99"/>
      <c r="BC1852" s="85"/>
      <c r="BG1852" s="79"/>
      <c r="BH1852" s="99"/>
    </row>
    <row r="1853" spans="51:60" x14ac:dyDescent="0.2">
      <c r="AY1853" s="79"/>
      <c r="AZ1853" s="85"/>
      <c r="BA1853" s="40"/>
      <c r="BB1853" s="99"/>
      <c r="BC1853" s="85"/>
      <c r="BG1853" s="79"/>
      <c r="BH1853" s="99"/>
    </row>
    <row r="1854" spans="51:60" x14ac:dyDescent="0.2">
      <c r="AY1854" s="79"/>
      <c r="AZ1854" s="85"/>
      <c r="BA1854" s="40"/>
      <c r="BB1854" s="99"/>
      <c r="BC1854" s="85"/>
      <c r="BG1854" s="79"/>
      <c r="BH1854" s="99"/>
    </row>
    <row r="1855" spans="51:60" x14ac:dyDescent="0.2">
      <c r="AY1855" s="79"/>
      <c r="AZ1855" s="85"/>
      <c r="BA1855" s="40"/>
      <c r="BB1855" s="99"/>
      <c r="BC1855" s="85"/>
      <c r="BG1855" s="79"/>
      <c r="BH1855" s="99"/>
    </row>
    <row r="1856" spans="51:60" x14ac:dyDescent="0.2">
      <c r="AY1856" s="79"/>
      <c r="AZ1856" s="85"/>
      <c r="BA1856" s="40"/>
      <c r="BB1856" s="99"/>
      <c r="BC1856" s="85"/>
      <c r="BG1856" s="79"/>
      <c r="BH1856" s="99"/>
    </row>
    <row r="1857" spans="51:60" x14ac:dyDescent="0.2">
      <c r="AY1857" s="79"/>
      <c r="AZ1857" s="85"/>
      <c r="BA1857" s="40"/>
      <c r="BB1857" s="99"/>
      <c r="BC1857" s="85"/>
      <c r="BG1857" s="79"/>
      <c r="BH1857" s="99"/>
    </row>
    <row r="1858" spans="51:60" x14ac:dyDescent="0.2">
      <c r="AY1858" s="79"/>
      <c r="AZ1858" s="85"/>
      <c r="BA1858" s="40"/>
      <c r="BB1858" s="99"/>
      <c r="BC1858" s="85"/>
      <c r="BG1858" s="79"/>
      <c r="BH1858" s="99"/>
    </row>
    <row r="1859" spans="51:60" x14ac:dyDescent="0.2">
      <c r="AY1859" s="79"/>
      <c r="AZ1859" s="85"/>
      <c r="BA1859" s="40"/>
      <c r="BB1859" s="99"/>
      <c r="BC1859" s="85"/>
      <c r="BG1859" s="79"/>
      <c r="BH1859" s="99"/>
    </row>
    <row r="1860" spans="51:60" x14ac:dyDescent="0.2">
      <c r="AY1860" s="79"/>
      <c r="AZ1860" s="85"/>
      <c r="BA1860" s="40"/>
      <c r="BB1860" s="99"/>
      <c r="BC1860" s="85"/>
      <c r="BG1860" s="79"/>
      <c r="BH1860" s="99"/>
    </row>
    <row r="1861" spans="51:60" x14ac:dyDescent="0.2">
      <c r="AY1861" s="79"/>
      <c r="AZ1861" s="85"/>
      <c r="BA1861" s="40"/>
      <c r="BB1861" s="99"/>
      <c r="BC1861" s="85"/>
      <c r="BG1861" s="79"/>
      <c r="BH1861" s="99"/>
    </row>
    <row r="1862" spans="51:60" x14ac:dyDescent="0.2">
      <c r="AY1862" s="79"/>
      <c r="AZ1862" s="85"/>
      <c r="BA1862" s="40"/>
      <c r="BB1862" s="99"/>
      <c r="BC1862" s="85"/>
      <c r="BG1862" s="79"/>
      <c r="BH1862" s="99"/>
    </row>
    <row r="1863" spans="51:60" x14ac:dyDescent="0.2">
      <c r="AY1863" s="79"/>
      <c r="AZ1863" s="85"/>
      <c r="BA1863" s="40"/>
      <c r="BB1863" s="99"/>
      <c r="BC1863" s="85"/>
      <c r="BG1863" s="79"/>
      <c r="BH1863" s="99"/>
    </row>
    <row r="1864" spans="51:60" x14ac:dyDescent="0.2">
      <c r="AY1864" s="79"/>
      <c r="AZ1864" s="85"/>
      <c r="BA1864" s="40"/>
      <c r="BB1864" s="99"/>
      <c r="BC1864" s="85"/>
      <c r="BG1864" s="79"/>
      <c r="BH1864" s="99"/>
    </row>
    <row r="1865" spans="51:60" x14ac:dyDescent="0.2">
      <c r="AY1865" s="79"/>
      <c r="AZ1865" s="85"/>
      <c r="BA1865" s="40"/>
      <c r="BB1865" s="99"/>
      <c r="BC1865" s="85"/>
      <c r="BG1865" s="79"/>
      <c r="BH1865" s="99"/>
    </row>
    <row r="1866" spans="51:60" x14ac:dyDescent="0.2">
      <c r="AY1866" s="79"/>
      <c r="AZ1866" s="85"/>
      <c r="BA1866" s="40"/>
      <c r="BB1866" s="99"/>
      <c r="BC1866" s="85"/>
      <c r="BG1866" s="79"/>
      <c r="BH1866" s="99"/>
    </row>
    <row r="1867" spans="51:60" x14ac:dyDescent="0.2">
      <c r="AY1867" s="79"/>
      <c r="AZ1867" s="85"/>
      <c r="BA1867" s="40"/>
      <c r="BB1867" s="99"/>
      <c r="BC1867" s="85"/>
      <c r="BG1867" s="79"/>
      <c r="BH1867" s="99"/>
    </row>
    <row r="1868" spans="51:60" x14ac:dyDescent="0.2">
      <c r="AY1868" s="79"/>
      <c r="AZ1868" s="85"/>
      <c r="BA1868" s="40"/>
      <c r="BB1868" s="99"/>
      <c r="BC1868" s="85"/>
      <c r="BG1868" s="79"/>
      <c r="BH1868" s="99"/>
    </row>
    <row r="1869" spans="51:60" x14ac:dyDescent="0.2">
      <c r="AY1869" s="79"/>
      <c r="AZ1869" s="85"/>
      <c r="BA1869" s="40"/>
      <c r="BB1869" s="99"/>
      <c r="BC1869" s="85"/>
      <c r="BG1869" s="79"/>
      <c r="BH1869" s="99"/>
    </row>
    <row r="1870" spans="51:60" x14ac:dyDescent="0.2">
      <c r="AY1870" s="79"/>
      <c r="AZ1870" s="85"/>
      <c r="BA1870" s="40"/>
      <c r="BB1870" s="99"/>
      <c r="BC1870" s="85"/>
      <c r="BG1870" s="79"/>
      <c r="BH1870" s="99"/>
    </row>
    <row r="1871" spans="51:60" x14ac:dyDescent="0.2">
      <c r="AY1871" s="79"/>
      <c r="AZ1871" s="85"/>
      <c r="BA1871" s="40"/>
      <c r="BB1871" s="99"/>
      <c r="BC1871" s="85"/>
      <c r="BG1871" s="79"/>
      <c r="BH1871" s="99"/>
    </row>
    <row r="1872" spans="51:60" x14ac:dyDescent="0.2">
      <c r="AY1872" s="79"/>
      <c r="AZ1872" s="85"/>
      <c r="BA1872" s="40"/>
      <c r="BB1872" s="99"/>
      <c r="BC1872" s="85"/>
      <c r="BG1872" s="79"/>
      <c r="BH1872" s="99"/>
    </row>
    <row r="1873" spans="51:60" x14ac:dyDescent="0.2">
      <c r="AY1873" s="79"/>
      <c r="AZ1873" s="85"/>
      <c r="BA1873" s="40"/>
      <c r="BB1873" s="99"/>
      <c r="BC1873" s="85"/>
      <c r="BG1873" s="79"/>
      <c r="BH1873" s="99"/>
    </row>
    <row r="1874" spans="51:60" x14ac:dyDescent="0.2">
      <c r="AY1874" s="79"/>
      <c r="AZ1874" s="85"/>
      <c r="BA1874" s="40"/>
      <c r="BB1874" s="99"/>
      <c r="BC1874" s="85"/>
      <c r="BG1874" s="79"/>
      <c r="BH1874" s="99"/>
    </row>
    <row r="1875" spans="51:60" x14ac:dyDescent="0.2">
      <c r="AY1875" s="79"/>
      <c r="AZ1875" s="85"/>
      <c r="BA1875" s="40"/>
      <c r="BB1875" s="99"/>
      <c r="BC1875" s="85"/>
      <c r="BG1875" s="79"/>
      <c r="BH1875" s="99"/>
    </row>
    <row r="1876" spans="51:60" x14ac:dyDescent="0.2">
      <c r="AY1876" s="79"/>
      <c r="AZ1876" s="85"/>
      <c r="BA1876" s="40"/>
      <c r="BB1876" s="99"/>
      <c r="BC1876" s="85"/>
      <c r="BG1876" s="79"/>
      <c r="BH1876" s="99"/>
    </row>
    <row r="1877" spans="51:60" x14ac:dyDescent="0.2">
      <c r="AY1877" s="79"/>
      <c r="AZ1877" s="85"/>
      <c r="BA1877" s="40"/>
      <c r="BB1877" s="99"/>
      <c r="BC1877" s="85"/>
      <c r="BG1877" s="79"/>
      <c r="BH1877" s="99"/>
    </row>
    <row r="1878" spans="51:60" x14ac:dyDescent="0.2">
      <c r="AY1878" s="79"/>
      <c r="AZ1878" s="85"/>
      <c r="BA1878" s="40"/>
      <c r="BB1878" s="99"/>
      <c r="BC1878" s="85"/>
      <c r="BG1878" s="79"/>
      <c r="BH1878" s="99"/>
    </row>
    <row r="1879" spans="51:60" x14ac:dyDescent="0.2">
      <c r="AY1879" s="79"/>
      <c r="AZ1879" s="85"/>
      <c r="BA1879" s="40"/>
      <c r="BB1879" s="99"/>
      <c r="BC1879" s="85"/>
      <c r="BG1879" s="79"/>
      <c r="BH1879" s="99"/>
    </row>
    <row r="1880" spans="51:60" x14ac:dyDescent="0.2">
      <c r="AY1880" s="79"/>
      <c r="AZ1880" s="85"/>
      <c r="BA1880" s="40"/>
      <c r="BB1880" s="99"/>
      <c r="BC1880" s="85"/>
      <c r="BG1880" s="79"/>
      <c r="BH1880" s="99"/>
    </row>
    <row r="1881" spans="51:60" x14ac:dyDescent="0.2">
      <c r="AY1881" s="79"/>
      <c r="AZ1881" s="85"/>
      <c r="BA1881" s="40"/>
      <c r="BB1881" s="99"/>
      <c r="BC1881" s="85"/>
      <c r="BG1881" s="79"/>
      <c r="BH1881" s="99"/>
    </row>
    <row r="1882" spans="51:60" x14ac:dyDescent="0.2">
      <c r="AY1882" s="79"/>
      <c r="AZ1882" s="85"/>
      <c r="BA1882" s="40"/>
      <c r="BB1882" s="99"/>
      <c r="BC1882" s="85"/>
      <c r="BG1882" s="79"/>
      <c r="BH1882" s="99"/>
    </row>
    <row r="1883" spans="51:60" x14ac:dyDescent="0.2">
      <c r="AY1883" s="79"/>
      <c r="AZ1883" s="85"/>
      <c r="BA1883" s="40"/>
      <c r="BB1883" s="99"/>
      <c r="BC1883" s="85"/>
      <c r="BG1883" s="79"/>
      <c r="BH1883" s="99"/>
    </row>
    <row r="1884" spans="51:60" x14ac:dyDescent="0.2">
      <c r="AY1884" s="79"/>
      <c r="AZ1884" s="85"/>
      <c r="BA1884" s="40"/>
      <c r="BB1884" s="99"/>
      <c r="BC1884" s="85"/>
      <c r="BG1884" s="79"/>
      <c r="BH1884" s="99"/>
    </row>
    <row r="1885" spans="51:60" x14ac:dyDescent="0.2">
      <c r="AY1885" s="79"/>
      <c r="AZ1885" s="85"/>
      <c r="BA1885" s="40"/>
      <c r="BB1885" s="99"/>
      <c r="BC1885" s="85"/>
      <c r="BG1885" s="79"/>
      <c r="BH1885" s="99"/>
    </row>
    <row r="1886" spans="51:60" x14ac:dyDescent="0.2">
      <c r="AY1886" s="79"/>
      <c r="AZ1886" s="85"/>
      <c r="BA1886" s="40"/>
      <c r="BB1886" s="99"/>
      <c r="BC1886" s="85"/>
      <c r="BG1886" s="79"/>
      <c r="BH1886" s="99"/>
    </row>
    <row r="1887" spans="51:60" x14ac:dyDescent="0.2">
      <c r="AY1887" s="79"/>
      <c r="AZ1887" s="85"/>
      <c r="BA1887" s="40"/>
      <c r="BB1887" s="99"/>
      <c r="BC1887" s="85"/>
      <c r="BG1887" s="79"/>
      <c r="BH1887" s="99"/>
    </row>
    <row r="1888" spans="51:60" x14ac:dyDescent="0.2">
      <c r="AY1888" s="79"/>
      <c r="AZ1888" s="85"/>
      <c r="BA1888" s="40"/>
      <c r="BB1888" s="99"/>
      <c r="BC1888" s="85"/>
      <c r="BG1888" s="79"/>
      <c r="BH1888" s="99"/>
    </row>
    <row r="1889" spans="51:60" x14ac:dyDescent="0.2">
      <c r="AY1889" s="79"/>
      <c r="AZ1889" s="85"/>
      <c r="BA1889" s="40"/>
      <c r="BB1889" s="99"/>
      <c r="BC1889" s="85"/>
      <c r="BG1889" s="79"/>
      <c r="BH1889" s="99"/>
    </row>
    <row r="1890" spans="51:60" x14ac:dyDescent="0.2">
      <c r="AY1890" s="79"/>
      <c r="AZ1890" s="85"/>
      <c r="BA1890" s="40"/>
      <c r="BB1890" s="99"/>
      <c r="BC1890" s="85"/>
      <c r="BG1890" s="79"/>
      <c r="BH1890" s="99"/>
    </row>
    <row r="1891" spans="51:60" x14ac:dyDescent="0.2">
      <c r="AY1891" s="79"/>
      <c r="AZ1891" s="85"/>
      <c r="BA1891" s="40"/>
      <c r="BB1891" s="99"/>
      <c r="BC1891" s="85"/>
      <c r="BG1891" s="79"/>
      <c r="BH1891" s="99"/>
    </row>
    <row r="1892" spans="51:60" x14ac:dyDescent="0.2">
      <c r="AY1892" s="79"/>
      <c r="AZ1892" s="85"/>
      <c r="BA1892" s="40"/>
      <c r="BB1892" s="99"/>
      <c r="BC1892" s="85"/>
      <c r="BG1892" s="79"/>
      <c r="BH1892" s="99"/>
    </row>
    <row r="1893" spans="51:60" x14ac:dyDescent="0.2">
      <c r="AY1893" s="79"/>
      <c r="AZ1893" s="85"/>
      <c r="BA1893" s="40"/>
      <c r="BB1893" s="99"/>
      <c r="BC1893" s="85"/>
      <c r="BG1893" s="79"/>
      <c r="BH1893" s="99"/>
    </row>
    <row r="1894" spans="51:60" x14ac:dyDescent="0.2">
      <c r="AY1894" s="79"/>
      <c r="AZ1894" s="85"/>
      <c r="BA1894" s="40"/>
      <c r="BB1894" s="99"/>
      <c r="BC1894" s="85"/>
      <c r="BG1894" s="79"/>
      <c r="BH1894" s="99"/>
    </row>
    <row r="1895" spans="51:60" x14ac:dyDescent="0.2">
      <c r="AY1895" s="79"/>
      <c r="AZ1895" s="85"/>
      <c r="BA1895" s="40"/>
      <c r="BB1895" s="99"/>
      <c r="BC1895" s="85"/>
      <c r="BG1895" s="79"/>
      <c r="BH1895" s="99"/>
    </row>
    <row r="1896" spans="51:60" x14ac:dyDescent="0.2">
      <c r="AY1896" s="79"/>
      <c r="AZ1896" s="85"/>
      <c r="BA1896" s="40"/>
      <c r="BB1896" s="99"/>
      <c r="BC1896" s="85"/>
      <c r="BG1896" s="79"/>
      <c r="BH1896" s="99"/>
    </row>
    <row r="1897" spans="51:60" x14ac:dyDescent="0.2">
      <c r="AY1897" s="79"/>
      <c r="AZ1897" s="85"/>
      <c r="BA1897" s="40"/>
      <c r="BB1897" s="99"/>
      <c r="BC1897" s="85"/>
      <c r="BG1897" s="79"/>
      <c r="BH1897" s="99"/>
    </row>
    <row r="1898" spans="51:60" x14ac:dyDescent="0.2">
      <c r="AY1898" s="79"/>
      <c r="AZ1898" s="85"/>
      <c r="BA1898" s="40"/>
      <c r="BB1898" s="99"/>
      <c r="BC1898" s="85"/>
      <c r="BG1898" s="79"/>
      <c r="BH1898" s="99"/>
    </row>
    <row r="1899" spans="51:60" x14ac:dyDescent="0.2">
      <c r="AY1899" s="79"/>
      <c r="AZ1899" s="85"/>
      <c r="BA1899" s="40"/>
      <c r="BB1899" s="99"/>
      <c r="BC1899" s="85"/>
      <c r="BG1899" s="79"/>
      <c r="BH1899" s="99"/>
    </row>
    <row r="1900" spans="51:60" x14ac:dyDescent="0.2">
      <c r="AY1900" s="79"/>
      <c r="AZ1900" s="85"/>
      <c r="BA1900" s="40"/>
      <c r="BB1900" s="99"/>
      <c r="BC1900" s="85"/>
      <c r="BG1900" s="79"/>
      <c r="BH1900" s="99"/>
    </row>
    <row r="1901" spans="51:60" x14ac:dyDescent="0.2">
      <c r="AY1901" s="79"/>
      <c r="AZ1901" s="85"/>
      <c r="BA1901" s="40"/>
      <c r="BB1901" s="99"/>
      <c r="BC1901" s="85"/>
      <c r="BG1901" s="79"/>
      <c r="BH1901" s="99"/>
    </row>
    <row r="1902" spans="51:60" x14ac:dyDescent="0.2">
      <c r="AY1902" s="79"/>
      <c r="AZ1902" s="85"/>
      <c r="BA1902" s="40"/>
      <c r="BB1902" s="99"/>
      <c r="BC1902" s="85"/>
      <c r="BG1902" s="79"/>
      <c r="BH1902" s="99"/>
    </row>
    <row r="1903" spans="51:60" x14ac:dyDescent="0.2">
      <c r="AY1903" s="79"/>
      <c r="AZ1903" s="85"/>
      <c r="BA1903" s="40"/>
      <c r="BB1903" s="99"/>
      <c r="BC1903" s="85"/>
      <c r="BG1903" s="79"/>
      <c r="BH1903" s="99"/>
    </row>
    <row r="1904" spans="51:60" x14ac:dyDescent="0.2">
      <c r="AY1904" s="79"/>
      <c r="AZ1904" s="85"/>
      <c r="BA1904" s="40"/>
      <c r="BB1904" s="99"/>
      <c r="BC1904" s="85"/>
      <c r="BG1904" s="79"/>
      <c r="BH1904" s="99"/>
    </row>
    <row r="1905" spans="51:60" x14ac:dyDescent="0.2">
      <c r="AY1905" s="79"/>
      <c r="AZ1905" s="85"/>
      <c r="BA1905" s="40"/>
      <c r="BB1905" s="99"/>
      <c r="BC1905" s="85"/>
      <c r="BG1905" s="79"/>
      <c r="BH1905" s="99"/>
    </row>
    <row r="1906" spans="51:60" x14ac:dyDescent="0.2">
      <c r="AY1906" s="79"/>
      <c r="AZ1906" s="85"/>
      <c r="BA1906" s="40"/>
      <c r="BB1906" s="99"/>
      <c r="BC1906" s="85"/>
      <c r="BG1906" s="79"/>
      <c r="BH1906" s="99"/>
    </row>
    <row r="1907" spans="51:60" x14ac:dyDescent="0.2">
      <c r="AY1907" s="79"/>
      <c r="AZ1907" s="85"/>
      <c r="BA1907" s="40"/>
      <c r="BB1907" s="99"/>
      <c r="BC1907" s="85"/>
      <c r="BG1907" s="79"/>
      <c r="BH1907" s="99"/>
    </row>
    <row r="1908" spans="51:60" x14ac:dyDescent="0.2">
      <c r="AY1908" s="79"/>
      <c r="AZ1908" s="85"/>
      <c r="BA1908" s="40"/>
      <c r="BB1908" s="99"/>
      <c r="BC1908" s="85"/>
      <c r="BG1908" s="79"/>
      <c r="BH1908" s="99"/>
    </row>
    <row r="1909" spans="51:60" x14ac:dyDescent="0.2">
      <c r="AY1909" s="79"/>
      <c r="AZ1909" s="85"/>
      <c r="BA1909" s="40"/>
      <c r="BB1909" s="99"/>
      <c r="BC1909" s="85"/>
      <c r="BG1909" s="79"/>
      <c r="BH1909" s="99"/>
    </row>
    <row r="1910" spans="51:60" x14ac:dyDescent="0.2">
      <c r="AY1910" s="79"/>
      <c r="AZ1910" s="85"/>
      <c r="BA1910" s="40"/>
      <c r="BB1910" s="99"/>
      <c r="BC1910" s="85"/>
      <c r="BG1910" s="79"/>
      <c r="BH1910" s="99"/>
    </row>
    <row r="1911" spans="51:60" x14ac:dyDescent="0.2">
      <c r="AY1911" s="79"/>
      <c r="AZ1911" s="85"/>
      <c r="BA1911" s="40"/>
      <c r="BB1911" s="99"/>
      <c r="BC1911" s="85"/>
      <c r="BG1911" s="79"/>
      <c r="BH1911" s="99"/>
    </row>
    <row r="1912" spans="51:60" x14ac:dyDescent="0.2">
      <c r="AY1912" s="79"/>
      <c r="AZ1912" s="85"/>
      <c r="BA1912" s="40"/>
      <c r="BB1912" s="99"/>
      <c r="BC1912" s="85"/>
      <c r="BG1912" s="79"/>
      <c r="BH1912" s="99"/>
    </row>
    <row r="1913" spans="51:60" x14ac:dyDescent="0.2">
      <c r="AY1913" s="79"/>
      <c r="AZ1913" s="85"/>
      <c r="BA1913" s="40"/>
      <c r="BB1913" s="99"/>
      <c r="BC1913" s="85"/>
      <c r="BG1913" s="79"/>
      <c r="BH1913" s="99"/>
    </row>
    <row r="1914" spans="51:60" x14ac:dyDescent="0.2">
      <c r="AY1914" s="79"/>
      <c r="AZ1914" s="85"/>
      <c r="BA1914" s="40"/>
      <c r="BB1914" s="99"/>
      <c r="BC1914" s="85"/>
      <c r="BG1914" s="79"/>
      <c r="BH1914" s="99"/>
    </row>
    <row r="1915" spans="51:60" x14ac:dyDescent="0.2">
      <c r="AY1915" s="79"/>
      <c r="AZ1915" s="85"/>
      <c r="BA1915" s="40"/>
      <c r="BB1915" s="99"/>
      <c r="BC1915" s="85"/>
      <c r="BG1915" s="79"/>
      <c r="BH1915" s="99"/>
    </row>
    <row r="1916" spans="51:60" x14ac:dyDescent="0.2">
      <c r="AY1916" s="79"/>
      <c r="AZ1916" s="85"/>
      <c r="BA1916" s="40"/>
      <c r="BB1916" s="99"/>
      <c r="BC1916" s="85"/>
      <c r="BG1916" s="79"/>
      <c r="BH1916" s="99"/>
    </row>
    <row r="1917" spans="51:60" x14ac:dyDescent="0.2">
      <c r="AY1917" s="79"/>
      <c r="AZ1917" s="85"/>
      <c r="BA1917" s="40"/>
      <c r="BB1917" s="99"/>
      <c r="BC1917" s="85"/>
      <c r="BG1917" s="79"/>
      <c r="BH1917" s="99"/>
    </row>
    <row r="1918" spans="51:60" x14ac:dyDescent="0.2">
      <c r="AY1918" s="79"/>
      <c r="AZ1918" s="85"/>
      <c r="BA1918" s="40"/>
      <c r="BB1918" s="99"/>
      <c r="BC1918" s="85"/>
      <c r="BG1918" s="79"/>
      <c r="BH1918" s="99"/>
    </row>
    <row r="1919" spans="51:60" x14ac:dyDescent="0.2">
      <c r="AY1919" s="79"/>
      <c r="AZ1919" s="85"/>
      <c r="BA1919" s="40"/>
      <c r="BB1919" s="99"/>
      <c r="BC1919" s="85"/>
      <c r="BG1919" s="79"/>
      <c r="BH1919" s="99"/>
    </row>
    <row r="1920" spans="51:60" x14ac:dyDescent="0.2">
      <c r="AY1920" s="79"/>
      <c r="AZ1920" s="85"/>
      <c r="BA1920" s="40"/>
      <c r="BB1920" s="99"/>
      <c r="BC1920" s="85"/>
      <c r="BG1920" s="79"/>
      <c r="BH1920" s="99"/>
    </row>
    <row r="1921" spans="51:60" x14ac:dyDescent="0.2">
      <c r="AY1921" s="79"/>
      <c r="AZ1921" s="85"/>
      <c r="BA1921" s="40"/>
      <c r="BB1921" s="99"/>
      <c r="BC1921" s="85"/>
      <c r="BG1921" s="79"/>
      <c r="BH1921" s="99"/>
    </row>
    <row r="1922" spans="51:60" x14ac:dyDescent="0.2">
      <c r="AY1922" s="79"/>
      <c r="AZ1922" s="85"/>
      <c r="BA1922" s="40"/>
      <c r="BB1922" s="99"/>
      <c r="BC1922" s="85"/>
      <c r="BG1922" s="79"/>
      <c r="BH1922" s="99"/>
    </row>
    <row r="1923" spans="51:60" x14ac:dyDescent="0.2">
      <c r="AY1923" s="79"/>
      <c r="AZ1923" s="85"/>
      <c r="BA1923" s="40"/>
      <c r="BB1923" s="99"/>
      <c r="BC1923" s="85"/>
      <c r="BG1923" s="79"/>
      <c r="BH1923" s="99"/>
    </row>
    <row r="1924" spans="51:60" x14ac:dyDescent="0.2">
      <c r="AY1924" s="79"/>
      <c r="AZ1924" s="85"/>
      <c r="BA1924" s="40"/>
      <c r="BB1924" s="99"/>
      <c r="BC1924" s="85"/>
      <c r="BG1924" s="79"/>
      <c r="BH1924" s="99"/>
    </row>
    <row r="1925" spans="51:60" x14ac:dyDescent="0.2">
      <c r="AY1925" s="79"/>
      <c r="AZ1925" s="85"/>
      <c r="BA1925" s="40"/>
      <c r="BB1925" s="99"/>
      <c r="BC1925" s="85"/>
      <c r="BG1925" s="79"/>
      <c r="BH1925" s="99"/>
    </row>
    <row r="1926" spans="51:60" x14ac:dyDescent="0.2">
      <c r="AY1926" s="79"/>
      <c r="AZ1926" s="85"/>
      <c r="BA1926" s="40"/>
      <c r="BB1926" s="99"/>
      <c r="BC1926" s="85"/>
      <c r="BG1926" s="79"/>
      <c r="BH1926" s="99"/>
    </row>
    <row r="1927" spans="51:60" x14ac:dyDescent="0.2">
      <c r="AY1927" s="79"/>
      <c r="AZ1927" s="85"/>
      <c r="BA1927" s="40"/>
      <c r="BB1927" s="99"/>
      <c r="BC1927" s="85"/>
      <c r="BG1927" s="79"/>
      <c r="BH1927" s="99"/>
    </row>
    <row r="1928" spans="51:60" x14ac:dyDescent="0.2">
      <c r="AY1928" s="79"/>
      <c r="AZ1928" s="85"/>
      <c r="BA1928" s="40"/>
      <c r="BB1928" s="99"/>
      <c r="BC1928" s="85"/>
      <c r="BG1928" s="79"/>
      <c r="BH1928" s="99"/>
    </row>
    <row r="1929" spans="51:60" x14ac:dyDescent="0.2">
      <c r="AY1929" s="79"/>
      <c r="AZ1929" s="85"/>
      <c r="BA1929" s="40"/>
      <c r="BB1929" s="99"/>
      <c r="BC1929" s="85"/>
      <c r="BG1929" s="79"/>
      <c r="BH1929" s="99"/>
    </row>
    <row r="1930" spans="51:60" x14ac:dyDescent="0.2">
      <c r="AY1930" s="79"/>
      <c r="AZ1930" s="85"/>
      <c r="BA1930" s="40"/>
      <c r="BB1930" s="99"/>
      <c r="BC1930" s="85"/>
      <c r="BG1930" s="79"/>
      <c r="BH1930" s="99"/>
    </row>
    <row r="1931" spans="51:60" x14ac:dyDescent="0.2">
      <c r="AY1931" s="79"/>
      <c r="AZ1931" s="85"/>
      <c r="BA1931" s="40"/>
      <c r="BB1931" s="99"/>
      <c r="BC1931" s="85"/>
      <c r="BG1931" s="79"/>
      <c r="BH1931" s="99"/>
    </row>
    <row r="1932" spans="51:60" x14ac:dyDescent="0.2">
      <c r="AY1932" s="79"/>
      <c r="AZ1932" s="85"/>
      <c r="BA1932" s="40"/>
      <c r="BB1932" s="99"/>
      <c r="BC1932" s="85"/>
      <c r="BG1932" s="79"/>
      <c r="BH1932" s="99"/>
    </row>
    <row r="1933" spans="51:60" x14ac:dyDescent="0.2">
      <c r="AY1933" s="79"/>
      <c r="AZ1933" s="85"/>
      <c r="BA1933" s="40"/>
      <c r="BB1933" s="99"/>
      <c r="BC1933" s="85"/>
      <c r="BG1933" s="79"/>
      <c r="BH1933" s="99"/>
    </row>
    <row r="1934" spans="51:60" x14ac:dyDescent="0.2">
      <c r="AY1934" s="79"/>
      <c r="AZ1934" s="85"/>
      <c r="BA1934" s="40"/>
      <c r="BB1934" s="99"/>
      <c r="BC1934" s="85"/>
      <c r="BG1934" s="79"/>
      <c r="BH1934" s="99"/>
    </row>
    <row r="1935" spans="51:60" x14ac:dyDescent="0.2">
      <c r="AY1935" s="79"/>
      <c r="AZ1935" s="85"/>
      <c r="BA1935" s="40"/>
      <c r="BB1935" s="99"/>
      <c r="BC1935" s="85"/>
      <c r="BG1935" s="79"/>
      <c r="BH1935" s="99"/>
    </row>
    <row r="1936" spans="51:60" x14ac:dyDescent="0.2">
      <c r="AY1936" s="79"/>
      <c r="AZ1936" s="85"/>
      <c r="BA1936" s="40"/>
      <c r="BB1936" s="99"/>
      <c r="BC1936" s="85"/>
      <c r="BG1936" s="79"/>
      <c r="BH1936" s="99"/>
    </row>
    <row r="1937" spans="51:60" x14ac:dyDescent="0.2">
      <c r="AY1937" s="79"/>
      <c r="AZ1937" s="85"/>
      <c r="BA1937" s="40"/>
      <c r="BB1937" s="99"/>
      <c r="BC1937" s="85"/>
      <c r="BG1937" s="79"/>
      <c r="BH1937" s="99"/>
    </row>
    <row r="1938" spans="51:60" x14ac:dyDescent="0.2">
      <c r="AY1938" s="79"/>
      <c r="AZ1938" s="85"/>
      <c r="BA1938" s="40"/>
      <c r="BB1938" s="99"/>
      <c r="BC1938" s="85"/>
      <c r="BG1938" s="79"/>
      <c r="BH1938" s="99"/>
    </row>
    <row r="1939" spans="51:60" x14ac:dyDescent="0.2">
      <c r="AY1939" s="79"/>
      <c r="AZ1939" s="85"/>
      <c r="BA1939" s="40"/>
      <c r="BB1939" s="99"/>
      <c r="BC1939" s="85"/>
      <c r="BG1939" s="79"/>
      <c r="BH1939" s="99"/>
    </row>
    <row r="1940" spans="51:60" x14ac:dyDescent="0.2">
      <c r="AY1940" s="79"/>
      <c r="AZ1940" s="85"/>
      <c r="BA1940" s="40"/>
      <c r="BB1940" s="99"/>
      <c r="BC1940" s="85"/>
      <c r="BG1940" s="79"/>
      <c r="BH1940" s="99"/>
    </row>
    <row r="1941" spans="51:60" x14ac:dyDescent="0.2">
      <c r="AY1941" s="79"/>
      <c r="AZ1941" s="85"/>
      <c r="BA1941" s="40"/>
      <c r="BB1941" s="99"/>
      <c r="BC1941" s="85"/>
      <c r="BG1941" s="79"/>
      <c r="BH1941" s="99"/>
    </row>
    <row r="1942" spans="51:60" x14ac:dyDescent="0.2">
      <c r="AY1942" s="79"/>
      <c r="AZ1942" s="85"/>
      <c r="BA1942" s="40"/>
      <c r="BB1942" s="99"/>
      <c r="BC1942" s="85"/>
      <c r="BG1942" s="79"/>
      <c r="BH1942" s="99"/>
    </row>
    <row r="1943" spans="51:60" x14ac:dyDescent="0.2">
      <c r="AY1943" s="79"/>
      <c r="AZ1943" s="85"/>
      <c r="BA1943" s="40"/>
      <c r="BB1943" s="99"/>
      <c r="BC1943" s="85"/>
      <c r="BG1943" s="79"/>
      <c r="BH1943" s="99"/>
    </row>
    <row r="1944" spans="51:60" x14ac:dyDescent="0.2">
      <c r="AY1944" s="79"/>
      <c r="AZ1944" s="85"/>
      <c r="BA1944" s="40"/>
      <c r="BB1944" s="99"/>
      <c r="BC1944" s="85"/>
      <c r="BG1944" s="79"/>
      <c r="BH1944" s="99"/>
    </row>
    <row r="1945" spans="51:60" x14ac:dyDescent="0.2">
      <c r="AY1945" s="79"/>
      <c r="AZ1945" s="85"/>
      <c r="BA1945" s="40"/>
      <c r="BB1945" s="99"/>
      <c r="BC1945" s="85"/>
      <c r="BG1945" s="79"/>
      <c r="BH1945" s="99"/>
    </row>
    <row r="1946" spans="51:60" x14ac:dyDescent="0.2">
      <c r="AY1946" s="79"/>
      <c r="AZ1946" s="85"/>
      <c r="BA1946" s="40"/>
      <c r="BB1946" s="99"/>
      <c r="BC1946" s="85"/>
      <c r="BG1946" s="79"/>
      <c r="BH1946" s="99"/>
    </row>
    <row r="1947" spans="51:60" x14ac:dyDescent="0.2">
      <c r="AY1947" s="79"/>
      <c r="AZ1947" s="85"/>
      <c r="BA1947" s="40"/>
      <c r="BB1947" s="99"/>
      <c r="BC1947" s="85"/>
      <c r="BG1947" s="79"/>
      <c r="BH1947" s="99"/>
    </row>
    <row r="1948" spans="51:60" x14ac:dyDescent="0.2">
      <c r="AY1948" s="79"/>
      <c r="AZ1948" s="85"/>
      <c r="BA1948" s="40"/>
      <c r="BB1948" s="99"/>
      <c r="BC1948" s="85"/>
      <c r="BG1948" s="79"/>
      <c r="BH1948" s="99"/>
    </row>
    <row r="1949" spans="51:60" x14ac:dyDescent="0.2">
      <c r="AY1949" s="79"/>
      <c r="AZ1949" s="85"/>
      <c r="BA1949" s="40"/>
      <c r="BB1949" s="99"/>
      <c r="BC1949" s="85"/>
      <c r="BG1949" s="79"/>
      <c r="BH1949" s="99"/>
    </row>
    <row r="1950" spans="51:60" x14ac:dyDescent="0.2">
      <c r="AY1950" s="79"/>
      <c r="AZ1950" s="85"/>
      <c r="BA1950" s="40"/>
      <c r="BB1950" s="99"/>
      <c r="BC1950" s="85"/>
      <c r="BG1950" s="79"/>
      <c r="BH1950" s="99"/>
    </row>
    <row r="1951" spans="51:60" x14ac:dyDescent="0.2">
      <c r="AY1951" s="79"/>
      <c r="AZ1951" s="85"/>
      <c r="BA1951" s="40"/>
      <c r="BB1951" s="99"/>
      <c r="BC1951" s="85"/>
      <c r="BG1951" s="79"/>
      <c r="BH1951" s="99"/>
    </row>
    <row r="1952" spans="51:60" x14ac:dyDescent="0.2">
      <c r="AY1952" s="79"/>
      <c r="AZ1952" s="85"/>
      <c r="BA1952" s="40"/>
      <c r="BB1952" s="99"/>
      <c r="BC1952" s="85"/>
      <c r="BG1952" s="79"/>
      <c r="BH1952" s="99"/>
    </row>
    <row r="1953" spans="51:60" x14ac:dyDescent="0.2">
      <c r="AY1953" s="79"/>
      <c r="AZ1953" s="85"/>
      <c r="BA1953" s="40"/>
      <c r="BB1953" s="99"/>
      <c r="BC1953" s="85"/>
      <c r="BG1953" s="79"/>
      <c r="BH1953" s="99"/>
    </row>
    <row r="1954" spans="51:60" x14ac:dyDescent="0.2">
      <c r="AY1954" s="79"/>
      <c r="AZ1954" s="85"/>
      <c r="BA1954" s="40"/>
      <c r="BB1954" s="99"/>
      <c r="BC1954" s="85"/>
      <c r="BG1954" s="79"/>
      <c r="BH1954" s="99"/>
    </row>
    <row r="1955" spans="51:60" x14ac:dyDescent="0.2">
      <c r="AY1955" s="79"/>
      <c r="AZ1955" s="85"/>
      <c r="BA1955" s="40"/>
      <c r="BB1955" s="99"/>
      <c r="BC1955" s="85"/>
      <c r="BG1955" s="79"/>
      <c r="BH1955" s="99"/>
    </row>
    <row r="1956" spans="51:60" x14ac:dyDescent="0.2">
      <c r="AY1956" s="79"/>
      <c r="AZ1956" s="85"/>
      <c r="BA1956" s="40"/>
      <c r="BB1956" s="99"/>
      <c r="BC1956" s="85"/>
      <c r="BG1956" s="79"/>
      <c r="BH1956" s="99"/>
    </row>
    <row r="1957" spans="51:60" x14ac:dyDescent="0.2">
      <c r="AY1957" s="79"/>
      <c r="AZ1957" s="85"/>
      <c r="BA1957" s="40"/>
      <c r="BB1957" s="99"/>
      <c r="BC1957" s="85"/>
      <c r="BG1957" s="79"/>
      <c r="BH1957" s="99"/>
    </row>
    <row r="1958" spans="51:60" x14ac:dyDescent="0.2">
      <c r="AY1958" s="79"/>
      <c r="AZ1958" s="85"/>
      <c r="BA1958" s="40"/>
      <c r="BB1958" s="99"/>
      <c r="BC1958" s="85"/>
      <c r="BG1958" s="79"/>
      <c r="BH1958" s="99"/>
    </row>
    <row r="1959" spans="51:60" x14ac:dyDescent="0.2">
      <c r="AY1959" s="79"/>
      <c r="AZ1959" s="85"/>
      <c r="BA1959" s="40"/>
      <c r="BB1959" s="99"/>
      <c r="BC1959" s="85"/>
      <c r="BG1959" s="79"/>
      <c r="BH1959" s="99"/>
    </row>
    <row r="1960" spans="51:60" x14ac:dyDescent="0.2">
      <c r="AY1960" s="79"/>
      <c r="AZ1960" s="85"/>
      <c r="BA1960" s="40"/>
      <c r="BB1960" s="99"/>
      <c r="BC1960" s="85"/>
      <c r="BG1960" s="79"/>
      <c r="BH1960" s="99"/>
    </row>
    <row r="1961" spans="51:60" x14ac:dyDescent="0.2">
      <c r="AY1961" s="79"/>
      <c r="AZ1961" s="85"/>
      <c r="BA1961" s="40"/>
      <c r="BB1961" s="99"/>
      <c r="BC1961" s="85"/>
      <c r="BG1961" s="79"/>
      <c r="BH1961" s="99"/>
    </row>
    <row r="1962" spans="51:60" x14ac:dyDescent="0.2">
      <c r="AY1962" s="79"/>
      <c r="AZ1962" s="85"/>
      <c r="BA1962" s="40"/>
      <c r="BB1962" s="99"/>
      <c r="BC1962" s="85"/>
      <c r="BG1962" s="79"/>
      <c r="BH1962" s="99"/>
    </row>
    <row r="1963" spans="51:60" x14ac:dyDescent="0.2">
      <c r="AY1963" s="79"/>
      <c r="AZ1963" s="85"/>
      <c r="BA1963" s="40"/>
      <c r="BB1963" s="99"/>
      <c r="BC1963" s="85"/>
      <c r="BG1963" s="79"/>
      <c r="BH1963" s="99"/>
    </row>
    <row r="1964" spans="51:60" x14ac:dyDescent="0.2">
      <c r="AY1964" s="79"/>
      <c r="AZ1964" s="85"/>
      <c r="BA1964" s="40"/>
      <c r="BB1964" s="99"/>
      <c r="BC1964" s="85"/>
      <c r="BG1964" s="79"/>
      <c r="BH1964" s="99"/>
    </row>
    <row r="1965" spans="51:60" x14ac:dyDescent="0.2">
      <c r="AY1965" s="79"/>
      <c r="AZ1965" s="85"/>
      <c r="BA1965" s="40"/>
      <c r="BB1965" s="99"/>
      <c r="BC1965" s="85"/>
      <c r="BG1965" s="79"/>
      <c r="BH1965" s="99"/>
    </row>
    <row r="1966" spans="51:60" x14ac:dyDescent="0.2">
      <c r="AY1966" s="79"/>
      <c r="AZ1966" s="85"/>
      <c r="BA1966" s="40"/>
      <c r="BB1966" s="99"/>
      <c r="BC1966" s="85"/>
      <c r="BG1966" s="79"/>
      <c r="BH1966" s="99"/>
    </row>
    <row r="1967" spans="51:60" x14ac:dyDescent="0.2">
      <c r="AY1967" s="79"/>
      <c r="AZ1967" s="85"/>
      <c r="BA1967" s="40"/>
      <c r="BB1967" s="99"/>
      <c r="BC1967" s="85"/>
      <c r="BG1967" s="79"/>
      <c r="BH1967" s="99"/>
    </row>
    <row r="1968" spans="51:60" x14ac:dyDescent="0.2">
      <c r="AY1968" s="79"/>
      <c r="AZ1968" s="85"/>
      <c r="BA1968" s="40"/>
      <c r="BB1968" s="99"/>
      <c r="BC1968" s="85"/>
      <c r="BG1968" s="79"/>
      <c r="BH1968" s="99"/>
    </row>
    <row r="1969" spans="51:60" x14ac:dyDescent="0.2">
      <c r="AY1969" s="79"/>
      <c r="AZ1969" s="85"/>
      <c r="BA1969" s="40"/>
      <c r="BB1969" s="99"/>
      <c r="BC1969" s="85"/>
      <c r="BG1969" s="79"/>
      <c r="BH1969" s="99"/>
    </row>
    <row r="1970" spans="51:60" x14ac:dyDescent="0.2">
      <c r="AY1970" s="79"/>
      <c r="AZ1970" s="85"/>
      <c r="BA1970" s="40"/>
      <c r="BB1970" s="99"/>
      <c r="BC1970" s="85"/>
      <c r="BG1970" s="79"/>
      <c r="BH1970" s="99"/>
    </row>
    <row r="1971" spans="51:60" x14ac:dyDescent="0.2">
      <c r="AY1971" s="79"/>
      <c r="AZ1971" s="85"/>
      <c r="BA1971" s="40"/>
      <c r="BB1971" s="99"/>
      <c r="BC1971" s="85"/>
      <c r="BG1971" s="79"/>
      <c r="BH1971" s="99"/>
    </row>
    <row r="1972" spans="51:60" x14ac:dyDescent="0.2">
      <c r="AY1972" s="79"/>
      <c r="AZ1972" s="85"/>
      <c r="BA1972" s="40"/>
      <c r="BB1972" s="99"/>
      <c r="BC1972" s="85"/>
      <c r="BG1972" s="79"/>
      <c r="BH1972" s="99"/>
    </row>
    <row r="1973" spans="51:60" x14ac:dyDescent="0.2">
      <c r="AY1973" s="79"/>
      <c r="AZ1973" s="85"/>
      <c r="BA1973" s="40"/>
      <c r="BB1973" s="99"/>
      <c r="BC1973" s="85"/>
      <c r="BG1973" s="79"/>
      <c r="BH1973" s="99"/>
    </row>
    <row r="1974" spans="51:60" x14ac:dyDescent="0.2">
      <c r="AY1974" s="79"/>
      <c r="AZ1974" s="85"/>
      <c r="BA1974" s="40"/>
      <c r="BB1974" s="99"/>
      <c r="BC1974" s="85"/>
      <c r="BG1974" s="79"/>
      <c r="BH1974" s="99"/>
    </row>
    <row r="1975" spans="51:60" x14ac:dyDescent="0.2">
      <c r="AY1975" s="79"/>
      <c r="AZ1975" s="85"/>
      <c r="BA1975" s="40"/>
      <c r="BB1975" s="99"/>
      <c r="BC1975" s="85"/>
      <c r="BG1975" s="79"/>
      <c r="BH1975" s="99"/>
    </row>
    <row r="1976" spans="51:60" x14ac:dyDescent="0.2">
      <c r="AY1976" s="79"/>
      <c r="AZ1976" s="85"/>
      <c r="BA1976" s="40"/>
      <c r="BB1976" s="99"/>
      <c r="BC1976" s="85"/>
      <c r="BG1976" s="79"/>
      <c r="BH1976" s="99"/>
    </row>
    <row r="1977" spans="51:60" x14ac:dyDescent="0.2">
      <c r="AY1977" s="79"/>
      <c r="AZ1977" s="85"/>
      <c r="BA1977" s="40"/>
      <c r="BB1977" s="99"/>
      <c r="BC1977" s="85"/>
      <c r="BG1977" s="79"/>
      <c r="BH1977" s="99"/>
    </row>
    <row r="1978" spans="51:60" x14ac:dyDescent="0.2">
      <c r="AY1978" s="79"/>
      <c r="AZ1978" s="85"/>
      <c r="BA1978" s="40"/>
      <c r="BB1978" s="99"/>
      <c r="BC1978" s="85"/>
      <c r="BG1978" s="79"/>
      <c r="BH1978" s="99"/>
    </row>
    <row r="1979" spans="51:60" x14ac:dyDescent="0.2">
      <c r="AY1979" s="79"/>
      <c r="AZ1979" s="85"/>
      <c r="BA1979" s="40"/>
      <c r="BB1979" s="99"/>
      <c r="BC1979" s="85"/>
      <c r="BG1979" s="79"/>
      <c r="BH1979" s="99"/>
    </row>
    <row r="1980" spans="51:60" x14ac:dyDescent="0.2">
      <c r="AY1980" s="79"/>
      <c r="AZ1980" s="85"/>
      <c r="BA1980" s="40"/>
      <c r="BB1980" s="99"/>
      <c r="BC1980" s="85"/>
      <c r="BG1980" s="79"/>
      <c r="BH1980" s="99"/>
    </row>
    <row r="1981" spans="51:60" x14ac:dyDescent="0.2">
      <c r="AY1981" s="79"/>
      <c r="AZ1981" s="85"/>
      <c r="BA1981" s="40"/>
      <c r="BB1981" s="99"/>
      <c r="BC1981" s="85"/>
      <c r="BG1981" s="79"/>
      <c r="BH1981" s="99"/>
    </row>
    <row r="1982" spans="51:60" x14ac:dyDescent="0.2">
      <c r="AY1982" s="79"/>
      <c r="AZ1982" s="85"/>
      <c r="BA1982" s="40"/>
      <c r="BB1982" s="99"/>
      <c r="BC1982" s="85"/>
      <c r="BG1982" s="79"/>
      <c r="BH1982" s="99"/>
    </row>
    <row r="1983" spans="51:60" x14ac:dyDescent="0.2">
      <c r="AY1983" s="79"/>
      <c r="AZ1983" s="85"/>
      <c r="BA1983" s="40"/>
      <c r="BB1983" s="99"/>
      <c r="BC1983" s="85"/>
      <c r="BG1983" s="79"/>
      <c r="BH1983" s="99"/>
    </row>
    <row r="1984" spans="51:60" x14ac:dyDescent="0.2">
      <c r="AY1984" s="79"/>
      <c r="AZ1984" s="85"/>
      <c r="BA1984" s="40"/>
      <c r="BB1984" s="99"/>
      <c r="BC1984" s="85"/>
      <c r="BG1984" s="79"/>
      <c r="BH1984" s="99"/>
    </row>
    <row r="1985" spans="51:60" x14ac:dyDescent="0.2">
      <c r="AY1985" s="79"/>
      <c r="AZ1985" s="85"/>
      <c r="BA1985" s="40"/>
      <c r="BB1985" s="99"/>
      <c r="BC1985" s="85"/>
      <c r="BG1985" s="79"/>
      <c r="BH1985" s="99"/>
    </row>
    <row r="1986" spans="51:60" x14ac:dyDescent="0.2">
      <c r="AY1986" s="79"/>
      <c r="AZ1986" s="85"/>
      <c r="BA1986" s="40"/>
      <c r="BB1986" s="99"/>
      <c r="BC1986" s="85"/>
      <c r="BG1986" s="79"/>
      <c r="BH1986" s="99"/>
    </row>
    <row r="1987" spans="51:60" x14ac:dyDescent="0.2">
      <c r="AY1987" s="79"/>
      <c r="AZ1987" s="85"/>
      <c r="BA1987" s="40"/>
      <c r="BB1987" s="99"/>
      <c r="BC1987" s="85"/>
      <c r="BG1987" s="79"/>
      <c r="BH1987" s="99"/>
    </row>
    <row r="1988" spans="51:60" x14ac:dyDescent="0.2">
      <c r="AY1988" s="79"/>
      <c r="AZ1988" s="85"/>
      <c r="BA1988" s="40"/>
      <c r="BB1988" s="99"/>
      <c r="BC1988" s="85"/>
      <c r="BG1988" s="79"/>
      <c r="BH1988" s="99"/>
    </row>
    <row r="1989" spans="51:60" x14ac:dyDescent="0.2">
      <c r="AY1989" s="79"/>
      <c r="AZ1989" s="85"/>
      <c r="BA1989" s="40"/>
      <c r="BB1989" s="99"/>
      <c r="BC1989" s="85"/>
      <c r="BG1989" s="79"/>
      <c r="BH1989" s="99"/>
    </row>
    <row r="1990" spans="51:60" x14ac:dyDescent="0.2">
      <c r="AY1990" s="79"/>
      <c r="AZ1990" s="85"/>
      <c r="BA1990" s="40"/>
      <c r="BB1990" s="99"/>
      <c r="BC1990" s="85"/>
      <c r="BG1990" s="79"/>
      <c r="BH1990" s="99"/>
    </row>
    <row r="1991" spans="51:60" x14ac:dyDescent="0.2">
      <c r="AY1991" s="79"/>
      <c r="AZ1991" s="85"/>
      <c r="BA1991" s="40"/>
      <c r="BB1991" s="99"/>
      <c r="BC1991" s="85"/>
      <c r="BG1991" s="79"/>
      <c r="BH1991" s="99"/>
    </row>
    <row r="1992" spans="51:60" x14ac:dyDescent="0.2">
      <c r="AY1992" s="79"/>
      <c r="AZ1992" s="85"/>
      <c r="BA1992" s="40"/>
      <c r="BB1992" s="99"/>
      <c r="BC1992" s="85"/>
      <c r="BG1992" s="79"/>
      <c r="BH1992" s="99"/>
    </row>
    <row r="1993" spans="51:60" x14ac:dyDescent="0.2">
      <c r="AY1993" s="79"/>
      <c r="AZ1993" s="85"/>
      <c r="BA1993" s="40"/>
      <c r="BB1993" s="99"/>
      <c r="BC1993" s="85"/>
      <c r="BG1993" s="79"/>
      <c r="BH1993" s="99"/>
    </row>
    <row r="1994" spans="51:60" x14ac:dyDescent="0.2">
      <c r="AY1994" s="79"/>
      <c r="AZ1994" s="85"/>
      <c r="BA1994" s="40"/>
      <c r="BB1994" s="99"/>
      <c r="BC1994" s="85"/>
      <c r="BG1994" s="79"/>
      <c r="BH1994" s="99"/>
    </row>
    <row r="1995" spans="51:60" x14ac:dyDescent="0.2">
      <c r="AY1995" s="79"/>
      <c r="AZ1995" s="85"/>
      <c r="BA1995" s="40"/>
      <c r="BB1995" s="99"/>
      <c r="BC1995" s="85"/>
      <c r="BG1995" s="79"/>
      <c r="BH1995" s="99"/>
    </row>
    <row r="1996" spans="51:60" x14ac:dyDescent="0.2">
      <c r="AY1996" s="79"/>
      <c r="AZ1996" s="85"/>
      <c r="BA1996" s="40"/>
      <c r="BB1996" s="99"/>
      <c r="BC1996" s="85"/>
      <c r="BG1996" s="79"/>
      <c r="BH1996" s="99"/>
    </row>
    <row r="1997" spans="51:60" x14ac:dyDescent="0.2">
      <c r="AY1997" s="79"/>
      <c r="AZ1997" s="85"/>
      <c r="BA1997" s="40"/>
      <c r="BB1997" s="99"/>
      <c r="BC1997" s="85"/>
      <c r="BG1997" s="79"/>
      <c r="BH1997" s="99"/>
    </row>
    <row r="1998" spans="51:60" x14ac:dyDescent="0.2">
      <c r="AY1998" s="79"/>
      <c r="AZ1998" s="85"/>
      <c r="BA1998" s="40"/>
      <c r="BB1998" s="99"/>
      <c r="BC1998" s="85"/>
      <c r="BG1998" s="79"/>
      <c r="BH1998" s="99"/>
    </row>
    <row r="1999" spans="51:60" x14ac:dyDescent="0.2">
      <c r="AY1999" s="79"/>
      <c r="AZ1999" s="85"/>
      <c r="BA1999" s="40"/>
      <c r="BB1999" s="99"/>
      <c r="BC1999" s="85"/>
      <c r="BG1999" s="79"/>
      <c r="BH1999" s="99"/>
    </row>
    <row r="2000" spans="51:60" x14ac:dyDescent="0.2">
      <c r="AY2000" s="79"/>
      <c r="AZ2000" s="85"/>
      <c r="BA2000" s="40"/>
      <c r="BB2000" s="99"/>
      <c r="BC2000" s="85"/>
      <c r="BG2000" s="79"/>
      <c r="BH2000" s="99"/>
    </row>
    <row r="2001" spans="51:60" x14ac:dyDescent="0.2">
      <c r="AY2001" s="79"/>
      <c r="AZ2001" s="85"/>
      <c r="BA2001" s="40"/>
      <c r="BB2001" s="99"/>
      <c r="BC2001" s="85"/>
      <c r="BG2001" s="79"/>
      <c r="BH2001" s="99"/>
    </row>
    <row r="2002" spans="51:60" x14ac:dyDescent="0.2">
      <c r="AY2002" s="79"/>
      <c r="AZ2002" s="85"/>
      <c r="BA2002" s="40"/>
      <c r="BB2002" s="99"/>
      <c r="BC2002" s="85"/>
      <c r="BG2002" s="79"/>
      <c r="BH2002" s="99"/>
    </row>
    <row r="2003" spans="51:60" x14ac:dyDescent="0.2">
      <c r="AY2003" s="79"/>
      <c r="AZ2003" s="85"/>
      <c r="BA2003" s="40"/>
      <c r="BB2003" s="99"/>
      <c r="BC2003" s="85"/>
      <c r="BG2003" s="79"/>
      <c r="BH2003" s="99"/>
    </row>
    <row r="2004" spans="51:60" x14ac:dyDescent="0.2">
      <c r="AY2004" s="79"/>
      <c r="AZ2004" s="85"/>
      <c r="BA2004" s="40"/>
      <c r="BB2004" s="99"/>
      <c r="BC2004" s="85"/>
      <c r="BG2004" s="79"/>
      <c r="BH2004" s="99"/>
    </row>
    <row r="2005" spans="51:60" x14ac:dyDescent="0.2">
      <c r="AY2005" s="79"/>
      <c r="AZ2005" s="85"/>
      <c r="BA2005" s="40"/>
      <c r="BB2005" s="99"/>
      <c r="BC2005" s="85"/>
      <c r="BG2005" s="79"/>
      <c r="BH2005" s="99"/>
    </row>
    <row r="2006" spans="51:60" x14ac:dyDescent="0.2">
      <c r="AY2006" s="79"/>
      <c r="AZ2006" s="85"/>
      <c r="BA2006" s="40"/>
      <c r="BB2006" s="99"/>
      <c r="BC2006" s="85"/>
      <c r="BG2006" s="79"/>
      <c r="BH2006" s="99"/>
    </row>
    <row r="2007" spans="51:60" x14ac:dyDescent="0.2">
      <c r="AY2007" s="79"/>
      <c r="AZ2007" s="85"/>
      <c r="BA2007" s="40"/>
      <c r="BB2007" s="99"/>
      <c r="BC2007" s="85"/>
      <c r="BG2007" s="79"/>
      <c r="BH2007" s="99"/>
    </row>
    <row r="2008" spans="51:60" x14ac:dyDescent="0.2">
      <c r="AY2008" s="79"/>
      <c r="AZ2008" s="85"/>
      <c r="BA2008" s="40"/>
      <c r="BB2008" s="99"/>
      <c r="BC2008" s="85"/>
      <c r="BG2008" s="79"/>
      <c r="BH2008" s="99"/>
    </row>
    <row r="2009" spans="51:60" x14ac:dyDescent="0.2">
      <c r="AY2009" s="79"/>
      <c r="AZ2009" s="85"/>
      <c r="BA2009" s="40"/>
      <c r="BB2009" s="99"/>
      <c r="BC2009" s="85"/>
      <c r="BG2009" s="79"/>
      <c r="BH2009" s="99"/>
    </row>
    <row r="2010" spans="51:60" x14ac:dyDescent="0.2">
      <c r="AY2010" s="79"/>
      <c r="AZ2010" s="85"/>
      <c r="BA2010" s="40"/>
      <c r="BB2010" s="99"/>
      <c r="BC2010" s="85"/>
      <c r="BG2010" s="79"/>
      <c r="BH2010" s="99"/>
    </row>
    <row r="2011" spans="51:60" x14ac:dyDescent="0.2">
      <c r="AY2011" s="79"/>
      <c r="AZ2011" s="85"/>
      <c r="BA2011" s="40"/>
      <c r="BB2011" s="99"/>
      <c r="BC2011" s="85"/>
      <c r="BG2011" s="79"/>
      <c r="BH2011" s="99"/>
    </row>
    <row r="2012" spans="51:60" x14ac:dyDescent="0.2">
      <c r="AY2012" s="79"/>
      <c r="AZ2012" s="85"/>
      <c r="BA2012" s="40"/>
      <c r="BB2012" s="99"/>
      <c r="BC2012" s="85"/>
      <c r="BG2012" s="79"/>
      <c r="BH2012" s="99"/>
    </row>
    <row r="2013" spans="51:60" x14ac:dyDescent="0.2">
      <c r="AY2013" s="79"/>
      <c r="AZ2013" s="85"/>
      <c r="BA2013" s="40"/>
      <c r="BB2013" s="99"/>
      <c r="BC2013" s="85"/>
      <c r="BG2013" s="79"/>
      <c r="BH2013" s="99"/>
    </row>
    <row r="2014" spans="51:60" x14ac:dyDescent="0.2">
      <c r="AY2014" s="79"/>
      <c r="AZ2014" s="85"/>
      <c r="BA2014" s="40"/>
      <c r="BB2014" s="99"/>
      <c r="BC2014" s="85"/>
      <c r="BG2014" s="79"/>
      <c r="BH2014" s="99"/>
    </row>
    <row r="2015" spans="51:60" x14ac:dyDescent="0.2">
      <c r="AY2015" s="79"/>
      <c r="AZ2015" s="85"/>
      <c r="BA2015" s="40"/>
      <c r="BB2015" s="99"/>
      <c r="BC2015" s="85"/>
      <c r="BG2015" s="79"/>
      <c r="BH2015" s="99"/>
    </row>
    <row r="2016" spans="51:60" x14ac:dyDescent="0.2">
      <c r="AY2016" s="79"/>
      <c r="AZ2016" s="85"/>
      <c r="BA2016" s="40"/>
      <c r="BB2016" s="99"/>
      <c r="BC2016" s="85"/>
      <c r="BG2016" s="79"/>
      <c r="BH2016" s="99"/>
    </row>
    <row r="2017" spans="51:60" x14ac:dyDescent="0.2">
      <c r="AY2017" s="79"/>
      <c r="AZ2017" s="85"/>
      <c r="BA2017" s="40"/>
      <c r="BB2017" s="99"/>
      <c r="BC2017" s="85"/>
      <c r="BG2017" s="79"/>
      <c r="BH2017" s="99"/>
    </row>
    <row r="2018" spans="51:60" x14ac:dyDescent="0.2">
      <c r="AY2018" s="79"/>
      <c r="AZ2018" s="85"/>
      <c r="BA2018" s="40"/>
      <c r="BB2018" s="99"/>
      <c r="BC2018" s="85"/>
      <c r="BG2018" s="79"/>
      <c r="BH2018" s="99"/>
    </row>
    <row r="2019" spans="51:60" x14ac:dyDescent="0.2">
      <c r="AY2019" s="79"/>
      <c r="AZ2019" s="85"/>
      <c r="BA2019" s="40"/>
      <c r="BB2019" s="99"/>
      <c r="BC2019" s="85"/>
      <c r="BG2019" s="79"/>
      <c r="BH2019" s="99"/>
    </row>
    <row r="2020" spans="51:60" x14ac:dyDescent="0.2">
      <c r="AY2020" s="79"/>
      <c r="AZ2020" s="85"/>
      <c r="BA2020" s="40"/>
      <c r="BB2020" s="99"/>
      <c r="BC2020" s="85"/>
      <c r="BG2020" s="79"/>
      <c r="BH2020" s="99"/>
    </row>
    <row r="2021" spans="51:60" x14ac:dyDescent="0.2">
      <c r="AY2021" s="79"/>
      <c r="AZ2021" s="85"/>
      <c r="BA2021" s="40"/>
      <c r="BB2021" s="99"/>
      <c r="BC2021" s="85"/>
      <c r="BG2021" s="79"/>
      <c r="BH2021" s="99"/>
    </row>
    <row r="2022" spans="51:60" x14ac:dyDescent="0.2">
      <c r="AY2022" s="79"/>
      <c r="AZ2022" s="85"/>
      <c r="BA2022" s="40"/>
      <c r="BB2022" s="99"/>
      <c r="BC2022" s="85"/>
      <c r="BG2022" s="79"/>
      <c r="BH2022" s="99"/>
    </row>
    <row r="2023" spans="51:60" x14ac:dyDescent="0.2">
      <c r="AY2023" s="79"/>
      <c r="AZ2023" s="85"/>
      <c r="BA2023" s="40"/>
      <c r="BB2023" s="99"/>
      <c r="BC2023" s="85"/>
      <c r="BG2023" s="79"/>
      <c r="BH2023" s="99"/>
    </row>
    <row r="2024" spans="51:60" x14ac:dyDescent="0.2">
      <c r="AY2024" s="79"/>
      <c r="AZ2024" s="85"/>
      <c r="BA2024" s="40"/>
      <c r="BB2024" s="99"/>
      <c r="BC2024" s="85"/>
      <c r="BG2024" s="79"/>
      <c r="BH2024" s="99"/>
    </row>
    <row r="2025" spans="51:60" x14ac:dyDescent="0.2">
      <c r="AY2025" s="79"/>
      <c r="AZ2025" s="85"/>
      <c r="BA2025" s="40"/>
      <c r="BB2025" s="99"/>
      <c r="BC2025" s="85"/>
      <c r="BG2025" s="79"/>
      <c r="BH2025" s="99"/>
    </row>
    <row r="2026" spans="51:60" x14ac:dyDescent="0.2">
      <c r="AY2026" s="79"/>
      <c r="AZ2026" s="85"/>
      <c r="BA2026" s="40"/>
      <c r="BB2026" s="99"/>
      <c r="BC2026" s="85"/>
      <c r="BG2026" s="79"/>
      <c r="BH2026" s="99"/>
    </row>
    <row r="2027" spans="51:60" x14ac:dyDescent="0.2">
      <c r="AY2027" s="79"/>
      <c r="AZ2027" s="85"/>
      <c r="BA2027" s="40"/>
      <c r="BB2027" s="99"/>
      <c r="BC2027" s="85"/>
      <c r="BG2027" s="79"/>
      <c r="BH2027" s="99"/>
    </row>
    <row r="2028" spans="51:60" x14ac:dyDescent="0.2">
      <c r="AY2028" s="79"/>
      <c r="AZ2028" s="85"/>
      <c r="BA2028" s="40"/>
      <c r="BB2028" s="99"/>
      <c r="BC2028" s="85"/>
      <c r="BG2028" s="79"/>
      <c r="BH2028" s="99"/>
    </row>
    <row r="2029" spans="51:60" x14ac:dyDescent="0.2">
      <c r="AY2029" s="79"/>
      <c r="AZ2029" s="85"/>
      <c r="BA2029" s="40"/>
      <c r="BB2029" s="99"/>
      <c r="BC2029" s="85"/>
      <c r="BG2029" s="79"/>
      <c r="BH2029" s="99"/>
    </row>
    <row r="2030" spans="51:60" x14ac:dyDescent="0.2">
      <c r="AY2030" s="79"/>
      <c r="AZ2030" s="85"/>
      <c r="BA2030" s="40"/>
      <c r="BB2030" s="99"/>
      <c r="BC2030" s="85"/>
      <c r="BG2030" s="79"/>
      <c r="BH2030" s="99"/>
    </row>
    <row r="2031" spans="51:60" x14ac:dyDescent="0.2">
      <c r="AY2031" s="79"/>
      <c r="AZ2031" s="85"/>
      <c r="BA2031" s="40"/>
      <c r="BB2031" s="99"/>
      <c r="BC2031" s="85"/>
      <c r="BG2031" s="79"/>
      <c r="BH2031" s="99"/>
    </row>
    <row r="2032" spans="51:60" x14ac:dyDescent="0.2">
      <c r="AY2032" s="79"/>
      <c r="AZ2032" s="85"/>
      <c r="BA2032" s="40"/>
      <c r="BB2032" s="99"/>
      <c r="BC2032" s="85"/>
      <c r="BG2032" s="79"/>
      <c r="BH2032" s="99"/>
    </row>
    <row r="2033" spans="51:60" x14ac:dyDescent="0.2">
      <c r="AY2033" s="79"/>
      <c r="AZ2033" s="85"/>
      <c r="BA2033" s="40"/>
      <c r="BB2033" s="99"/>
      <c r="BC2033" s="85"/>
      <c r="BG2033" s="79"/>
      <c r="BH2033" s="99"/>
    </row>
    <row r="2034" spans="51:60" x14ac:dyDescent="0.2">
      <c r="AY2034" s="79"/>
      <c r="AZ2034" s="85"/>
      <c r="BA2034" s="40"/>
      <c r="BB2034" s="99"/>
      <c r="BC2034" s="85"/>
      <c r="BG2034" s="79"/>
      <c r="BH2034" s="99"/>
    </row>
    <row r="2035" spans="51:60" x14ac:dyDescent="0.2">
      <c r="AY2035" s="79"/>
      <c r="AZ2035" s="85"/>
      <c r="BA2035" s="40"/>
      <c r="BB2035" s="99"/>
      <c r="BC2035" s="85"/>
      <c r="BG2035" s="79"/>
      <c r="BH2035" s="99"/>
    </row>
    <row r="2036" spans="51:60" x14ac:dyDescent="0.2">
      <c r="AY2036" s="79"/>
      <c r="AZ2036" s="85"/>
      <c r="BA2036" s="40"/>
      <c r="BB2036" s="99"/>
      <c r="BC2036" s="85"/>
      <c r="BG2036" s="79"/>
      <c r="BH2036" s="99"/>
    </row>
    <row r="2037" spans="51:60" x14ac:dyDescent="0.2">
      <c r="AY2037" s="79"/>
      <c r="AZ2037" s="85"/>
      <c r="BA2037" s="40"/>
      <c r="BB2037" s="99"/>
      <c r="BC2037" s="85"/>
      <c r="BG2037" s="79"/>
      <c r="BH2037" s="99"/>
    </row>
    <row r="2038" spans="51:60" x14ac:dyDescent="0.2">
      <c r="AY2038" s="79"/>
      <c r="AZ2038" s="85"/>
      <c r="BA2038" s="40"/>
      <c r="BB2038" s="99"/>
      <c r="BC2038" s="85"/>
      <c r="BG2038" s="79"/>
      <c r="BH2038" s="99"/>
    </row>
    <row r="2039" spans="51:60" x14ac:dyDescent="0.2">
      <c r="AY2039" s="79"/>
      <c r="AZ2039" s="85"/>
      <c r="BA2039" s="40"/>
      <c r="BB2039" s="99"/>
      <c r="BC2039" s="85"/>
      <c r="BG2039" s="79"/>
      <c r="BH2039" s="99"/>
    </row>
    <row r="2040" spans="51:60" x14ac:dyDescent="0.2">
      <c r="AY2040" s="79"/>
      <c r="AZ2040" s="85"/>
      <c r="BA2040" s="40"/>
      <c r="BB2040" s="99"/>
      <c r="BC2040" s="85"/>
      <c r="BG2040" s="79"/>
      <c r="BH2040" s="99"/>
    </row>
    <row r="2041" spans="51:60" x14ac:dyDescent="0.2">
      <c r="AY2041" s="79"/>
      <c r="AZ2041" s="85"/>
      <c r="BA2041" s="40"/>
      <c r="BB2041" s="99"/>
      <c r="BC2041" s="85"/>
      <c r="BG2041" s="79"/>
      <c r="BH2041" s="99"/>
    </row>
    <row r="2042" spans="51:60" x14ac:dyDescent="0.2">
      <c r="AY2042" s="79"/>
      <c r="AZ2042" s="85"/>
      <c r="BA2042" s="40"/>
      <c r="BB2042" s="99"/>
      <c r="BC2042" s="85"/>
      <c r="BG2042" s="79"/>
      <c r="BH2042" s="99"/>
    </row>
    <row r="2043" spans="51:60" x14ac:dyDescent="0.2">
      <c r="AY2043" s="79"/>
      <c r="AZ2043" s="85"/>
      <c r="BA2043" s="40"/>
      <c r="BB2043" s="99"/>
      <c r="BC2043" s="85"/>
      <c r="BG2043" s="79"/>
      <c r="BH2043" s="99"/>
    </row>
    <row r="2044" spans="51:60" x14ac:dyDescent="0.2">
      <c r="AY2044" s="79"/>
      <c r="AZ2044" s="85"/>
      <c r="BA2044" s="40"/>
      <c r="BB2044" s="99"/>
      <c r="BC2044" s="85"/>
      <c r="BG2044" s="79"/>
      <c r="BH2044" s="99"/>
    </row>
    <row r="2045" spans="51:60" x14ac:dyDescent="0.2">
      <c r="AY2045" s="79"/>
      <c r="AZ2045" s="85"/>
      <c r="BA2045" s="40"/>
      <c r="BB2045" s="99"/>
      <c r="BC2045" s="85"/>
      <c r="BG2045" s="79"/>
      <c r="BH2045" s="99"/>
    </row>
    <row r="2046" spans="51:60" x14ac:dyDescent="0.2">
      <c r="AY2046" s="79"/>
      <c r="AZ2046" s="85"/>
      <c r="BA2046" s="40"/>
      <c r="BB2046" s="99"/>
      <c r="BC2046" s="85"/>
      <c r="BG2046" s="79"/>
      <c r="BH2046" s="99"/>
    </row>
    <row r="2047" spans="51:60" x14ac:dyDescent="0.2">
      <c r="AY2047" s="79"/>
      <c r="AZ2047" s="85"/>
      <c r="BA2047" s="40"/>
      <c r="BB2047" s="99"/>
      <c r="BC2047" s="85"/>
      <c r="BG2047" s="79"/>
      <c r="BH2047" s="99"/>
    </row>
    <row r="2048" spans="51:60" x14ac:dyDescent="0.2">
      <c r="AY2048" s="79"/>
      <c r="AZ2048" s="85"/>
      <c r="BA2048" s="40"/>
      <c r="BB2048" s="99"/>
      <c r="BC2048" s="85"/>
      <c r="BG2048" s="79"/>
      <c r="BH2048" s="99"/>
    </row>
    <row r="2049" spans="51:60" x14ac:dyDescent="0.2">
      <c r="AY2049" s="79"/>
      <c r="AZ2049" s="85"/>
      <c r="BA2049" s="40"/>
      <c r="BB2049" s="99"/>
      <c r="BC2049" s="85"/>
      <c r="BG2049" s="79"/>
      <c r="BH2049" s="99"/>
    </row>
    <row r="2050" spans="51:60" x14ac:dyDescent="0.2">
      <c r="AY2050" s="79"/>
      <c r="AZ2050" s="85"/>
      <c r="BA2050" s="40"/>
      <c r="BB2050" s="99"/>
      <c r="BC2050" s="85"/>
      <c r="BG2050" s="79"/>
      <c r="BH2050" s="99"/>
    </row>
    <row r="2051" spans="51:60" x14ac:dyDescent="0.2">
      <c r="AY2051" s="79"/>
      <c r="AZ2051" s="85"/>
      <c r="BA2051" s="40"/>
      <c r="BB2051" s="99"/>
      <c r="BC2051" s="85"/>
      <c r="BG2051" s="79"/>
      <c r="BH2051" s="99"/>
    </row>
    <row r="2052" spans="51:60" x14ac:dyDescent="0.2">
      <c r="AY2052" s="79"/>
      <c r="AZ2052" s="85"/>
      <c r="BA2052" s="40"/>
      <c r="BB2052" s="99"/>
      <c r="BC2052" s="85"/>
      <c r="BG2052" s="79"/>
      <c r="BH2052" s="99"/>
    </row>
    <row r="2053" spans="51:60" x14ac:dyDescent="0.2">
      <c r="AY2053" s="79"/>
      <c r="AZ2053" s="85"/>
      <c r="BA2053" s="40"/>
      <c r="BB2053" s="99"/>
      <c r="BC2053" s="85"/>
      <c r="BG2053" s="79"/>
      <c r="BH2053" s="99"/>
    </row>
    <row r="2054" spans="51:60" x14ac:dyDescent="0.2">
      <c r="AY2054" s="79"/>
      <c r="AZ2054" s="85"/>
      <c r="BA2054" s="40"/>
      <c r="BB2054" s="99"/>
      <c r="BC2054" s="85"/>
      <c r="BG2054" s="79"/>
      <c r="BH2054" s="99"/>
    </row>
    <row r="2055" spans="51:60" x14ac:dyDescent="0.2">
      <c r="AY2055" s="79"/>
      <c r="AZ2055" s="85"/>
      <c r="BA2055" s="40"/>
      <c r="BB2055" s="99"/>
      <c r="BC2055" s="85"/>
      <c r="BG2055" s="79"/>
      <c r="BH2055" s="99"/>
    </row>
    <row r="2056" spans="51:60" x14ac:dyDescent="0.2">
      <c r="AY2056" s="79"/>
      <c r="AZ2056" s="85"/>
      <c r="BA2056" s="40"/>
      <c r="BB2056" s="99"/>
      <c r="BC2056" s="85"/>
      <c r="BG2056" s="79"/>
      <c r="BH2056" s="99"/>
    </row>
    <row r="2057" spans="51:60" x14ac:dyDescent="0.2">
      <c r="AY2057" s="79"/>
      <c r="AZ2057" s="85"/>
      <c r="BA2057" s="40"/>
      <c r="BB2057" s="99"/>
      <c r="BC2057" s="85"/>
      <c r="BG2057" s="79"/>
      <c r="BH2057" s="99"/>
    </row>
    <row r="2058" spans="51:60" x14ac:dyDescent="0.2">
      <c r="AY2058" s="79"/>
      <c r="AZ2058" s="85"/>
      <c r="BA2058" s="40"/>
      <c r="BB2058" s="99"/>
      <c r="BC2058" s="85"/>
      <c r="BG2058" s="79"/>
      <c r="BH2058" s="99"/>
    </row>
    <row r="2059" spans="51:60" x14ac:dyDescent="0.2">
      <c r="AY2059" s="79"/>
      <c r="AZ2059" s="85"/>
      <c r="BA2059" s="40"/>
      <c r="BB2059" s="99"/>
      <c r="BC2059" s="85"/>
      <c r="BG2059" s="79"/>
      <c r="BH2059" s="99"/>
    </row>
    <row r="2060" spans="51:60" x14ac:dyDescent="0.2">
      <c r="AY2060" s="79"/>
      <c r="AZ2060" s="85"/>
      <c r="BA2060" s="40"/>
      <c r="BB2060" s="99"/>
      <c r="BC2060" s="85"/>
      <c r="BG2060" s="79"/>
      <c r="BH2060" s="99"/>
    </row>
    <row r="2061" spans="51:60" x14ac:dyDescent="0.2">
      <c r="AY2061" s="79"/>
      <c r="AZ2061" s="85"/>
      <c r="BA2061" s="40"/>
      <c r="BB2061" s="99"/>
      <c r="BC2061" s="85"/>
      <c r="BG2061" s="79"/>
      <c r="BH2061" s="99"/>
    </row>
    <row r="2062" spans="51:60" x14ac:dyDescent="0.2">
      <c r="AY2062" s="79"/>
      <c r="AZ2062" s="85"/>
      <c r="BA2062" s="40"/>
      <c r="BB2062" s="99"/>
      <c r="BC2062" s="85"/>
      <c r="BG2062" s="79"/>
      <c r="BH2062" s="99"/>
    </row>
    <row r="2063" spans="51:60" x14ac:dyDescent="0.2">
      <c r="AY2063" s="79"/>
      <c r="AZ2063" s="85"/>
      <c r="BA2063" s="40"/>
      <c r="BB2063" s="99"/>
      <c r="BC2063" s="85"/>
      <c r="BG2063" s="79"/>
      <c r="BH2063" s="99"/>
    </row>
    <row r="2064" spans="51:60" x14ac:dyDescent="0.2">
      <c r="AY2064" s="79"/>
      <c r="AZ2064" s="85"/>
      <c r="BA2064" s="40"/>
      <c r="BB2064" s="99"/>
      <c r="BC2064" s="85"/>
      <c r="BG2064" s="79"/>
      <c r="BH2064" s="99"/>
    </row>
    <row r="2065" spans="51:60" x14ac:dyDescent="0.2">
      <c r="AY2065" s="79"/>
      <c r="AZ2065" s="85"/>
      <c r="BA2065" s="40"/>
      <c r="BB2065" s="99"/>
      <c r="BC2065" s="85"/>
      <c r="BG2065" s="79"/>
      <c r="BH2065" s="99"/>
    </row>
    <row r="2066" spans="51:60" x14ac:dyDescent="0.2">
      <c r="AY2066" s="79"/>
      <c r="AZ2066" s="85"/>
      <c r="BA2066" s="40"/>
      <c r="BB2066" s="99"/>
      <c r="BC2066" s="85"/>
      <c r="BG2066" s="79"/>
      <c r="BH2066" s="99"/>
    </row>
    <row r="2067" spans="51:60" x14ac:dyDescent="0.2">
      <c r="AY2067" s="79"/>
      <c r="AZ2067" s="85"/>
      <c r="BA2067" s="40"/>
      <c r="BB2067" s="99"/>
      <c r="BC2067" s="85"/>
      <c r="BG2067" s="79"/>
      <c r="BH2067" s="99"/>
    </row>
    <row r="2068" spans="51:60" x14ac:dyDescent="0.2">
      <c r="AY2068" s="79"/>
      <c r="AZ2068" s="85"/>
      <c r="BA2068" s="40"/>
      <c r="BB2068" s="99"/>
      <c r="BC2068" s="85"/>
      <c r="BG2068" s="79"/>
      <c r="BH2068" s="99"/>
    </row>
    <row r="2069" spans="51:60" x14ac:dyDescent="0.2">
      <c r="AY2069" s="79"/>
      <c r="AZ2069" s="85"/>
      <c r="BA2069" s="40"/>
      <c r="BB2069" s="99"/>
      <c r="BC2069" s="85"/>
      <c r="BG2069" s="79"/>
      <c r="BH2069" s="99"/>
    </row>
    <row r="2070" spans="51:60" x14ac:dyDescent="0.2">
      <c r="AY2070" s="79"/>
      <c r="AZ2070" s="85"/>
      <c r="BA2070" s="40"/>
      <c r="BB2070" s="99"/>
      <c r="BC2070" s="85"/>
      <c r="BG2070" s="79"/>
      <c r="BH2070" s="99"/>
    </row>
    <row r="2071" spans="51:60" x14ac:dyDescent="0.2">
      <c r="AY2071" s="79"/>
      <c r="AZ2071" s="85"/>
      <c r="BA2071" s="40"/>
      <c r="BB2071" s="99"/>
      <c r="BC2071" s="85"/>
      <c r="BG2071" s="79"/>
      <c r="BH2071" s="99"/>
    </row>
    <row r="2072" spans="51:60" x14ac:dyDescent="0.2">
      <c r="AY2072" s="79"/>
      <c r="AZ2072" s="85"/>
      <c r="BA2072" s="40"/>
      <c r="BB2072" s="99"/>
      <c r="BC2072" s="85"/>
      <c r="BG2072" s="79"/>
      <c r="BH2072" s="99"/>
    </row>
    <row r="2073" spans="51:60" x14ac:dyDescent="0.2">
      <c r="AY2073" s="79"/>
      <c r="AZ2073" s="85"/>
      <c r="BA2073" s="40"/>
      <c r="BB2073" s="99"/>
      <c r="BC2073" s="85"/>
      <c r="BG2073" s="79"/>
      <c r="BH2073" s="99"/>
    </row>
    <row r="2074" spans="51:60" x14ac:dyDescent="0.2">
      <c r="AY2074" s="79"/>
      <c r="AZ2074" s="85"/>
      <c r="BA2074" s="40"/>
      <c r="BB2074" s="99"/>
      <c r="BC2074" s="85"/>
      <c r="BG2074" s="79"/>
      <c r="BH2074" s="99"/>
    </row>
    <row r="2075" spans="51:60" x14ac:dyDescent="0.2">
      <c r="AY2075" s="79"/>
      <c r="AZ2075" s="85"/>
      <c r="BA2075" s="40"/>
      <c r="BB2075" s="99"/>
      <c r="BC2075" s="85"/>
      <c r="BG2075" s="79"/>
      <c r="BH2075" s="99"/>
    </row>
    <row r="2076" spans="51:60" x14ac:dyDescent="0.2">
      <c r="AY2076" s="79"/>
      <c r="AZ2076" s="85"/>
      <c r="BA2076" s="40"/>
      <c r="BB2076" s="99"/>
      <c r="BC2076" s="85"/>
      <c r="BG2076" s="79"/>
      <c r="BH2076" s="99"/>
    </row>
    <row r="2077" spans="51:60" x14ac:dyDescent="0.2">
      <c r="AY2077" s="79"/>
      <c r="AZ2077" s="85"/>
      <c r="BA2077" s="40"/>
      <c r="BB2077" s="99"/>
      <c r="BC2077" s="85"/>
      <c r="BG2077" s="79"/>
      <c r="BH2077" s="99"/>
    </row>
    <row r="2078" spans="51:60" x14ac:dyDescent="0.2">
      <c r="AY2078" s="79"/>
      <c r="AZ2078" s="85"/>
      <c r="BA2078" s="40"/>
      <c r="BB2078" s="99"/>
      <c r="BC2078" s="85"/>
      <c r="BG2078" s="79"/>
      <c r="BH2078" s="99"/>
    </row>
    <row r="2079" spans="51:60" x14ac:dyDescent="0.2">
      <c r="AY2079" s="79"/>
      <c r="AZ2079" s="85"/>
      <c r="BA2079" s="40"/>
      <c r="BB2079" s="99"/>
      <c r="BC2079" s="85"/>
      <c r="BG2079" s="79"/>
      <c r="BH2079" s="99"/>
    </row>
    <row r="2080" spans="51:60" x14ac:dyDescent="0.2">
      <c r="AY2080" s="79"/>
      <c r="AZ2080" s="85"/>
      <c r="BA2080" s="40"/>
      <c r="BB2080" s="99"/>
      <c r="BC2080" s="85"/>
      <c r="BG2080" s="79"/>
      <c r="BH2080" s="99"/>
    </row>
    <row r="2081" spans="51:60" x14ac:dyDescent="0.2">
      <c r="AY2081" s="79"/>
      <c r="AZ2081" s="85"/>
      <c r="BA2081" s="40"/>
      <c r="BB2081" s="99"/>
      <c r="BC2081" s="85"/>
      <c r="BG2081" s="79"/>
      <c r="BH2081" s="99"/>
    </row>
    <row r="2082" spans="51:60" x14ac:dyDescent="0.2">
      <c r="AY2082" s="79"/>
      <c r="AZ2082" s="85"/>
      <c r="BA2082" s="40"/>
      <c r="BB2082" s="99"/>
      <c r="BC2082" s="85"/>
      <c r="BG2082" s="79"/>
      <c r="BH2082" s="99"/>
    </row>
    <row r="2083" spans="51:60" x14ac:dyDescent="0.2">
      <c r="AY2083" s="79"/>
      <c r="AZ2083" s="85"/>
      <c r="BA2083" s="40"/>
      <c r="BB2083" s="99"/>
      <c r="BC2083" s="85"/>
      <c r="BG2083" s="79"/>
      <c r="BH2083" s="99"/>
    </row>
    <row r="2084" spans="51:60" x14ac:dyDescent="0.2">
      <c r="AY2084" s="79"/>
      <c r="AZ2084" s="85"/>
      <c r="BA2084" s="40"/>
      <c r="BB2084" s="99"/>
      <c r="BC2084" s="85"/>
      <c r="BG2084" s="79"/>
      <c r="BH2084" s="99"/>
    </row>
    <row r="2085" spans="51:60" x14ac:dyDescent="0.2">
      <c r="AY2085" s="79"/>
      <c r="AZ2085" s="85"/>
      <c r="BA2085" s="40"/>
      <c r="BB2085" s="99"/>
      <c r="BC2085" s="85"/>
      <c r="BG2085" s="79"/>
      <c r="BH2085" s="99"/>
    </row>
    <row r="2086" spans="51:60" x14ac:dyDescent="0.2">
      <c r="AY2086" s="79"/>
      <c r="AZ2086" s="85"/>
      <c r="BA2086" s="40"/>
      <c r="BB2086" s="99"/>
      <c r="BC2086" s="85"/>
      <c r="BG2086" s="79"/>
      <c r="BH2086" s="99"/>
    </row>
    <row r="2087" spans="51:60" x14ac:dyDescent="0.2">
      <c r="AY2087" s="79"/>
      <c r="AZ2087" s="85"/>
      <c r="BA2087" s="40"/>
      <c r="BB2087" s="99"/>
      <c r="BC2087" s="85"/>
      <c r="BG2087" s="79"/>
      <c r="BH2087" s="99"/>
    </row>
    <row r="2088" spans="51:60" x14ac:dyDescent="0.2">
      <c r="AY2088" s="79"/>
      <c r="AZ2088" s="85"/>
      <c r="BA2088" s="40"/>
      <c r="BB2088" s="99"/>
      <c r="BC2088" s="85"/>
      <c r="BG2088" s="79"/>
      <c r="BH2088" s="99"/>
    </row>
    <row r="2089" spans="51:60" x14ac:dyDescent="0.2">
      <c r="AY2089" s="79"/>
      <c r="AZ2089" s="85"/>
      <c r="BA2089" s="40"/>
      <c r="BB2089" s="99"/>
      <c r="BC2089" s="85"/>
      <c r="BG2089" s="79"/>
      <c r="BH2089" s="99"/>
    </row>
    <row r="2090" spans="51:60" x14ac:dyDescent="0.2">
      <c r="AY2090" s="79"/>
      <c r="AZ2090" s="85"/>
      <c r="BA2090" s="40"/>
      <c r="BB2090" s="99"/>
      <c r="BC2090" s="85"/>
      <c r="BG2090" s="79"/>
      <c r="BH2090" s="99"/>
    </row>
    <row r="2091" spans="51:60" x14ac:dyDescent="0.2">
      <c r="AY2091" s="79"/>
      <c r="AZ2091" s="85"/>
      <c r="BA2091" s="40"/>
      <c r="BB2091" s="99"/>
      <c r="BC2091" s="85"/>
      <c r="BG2091" s="79"/>
      <c r="BH2091" s="99"/>
    </row>
    <row r="2092" spans="51:60" x14ac:dyDescent="0.2">
      <c r="AY2092" s="79"/>
      <c r="AZ2092" s="85"/>
      <c r="BA2092" s="40"/>
      <c r="BB2092" s="99"/>
      <c r="BC2092" s="85"/>
      <c r="BG2092" s="79"/>
      <c r="BH2092" s="99"/>
    </row>
    <row r="2093" spans="51:60" x14ac:dyDescent="0.2">
      <c r="AY2093" s="79"/>
      <c r="AZ2093" s="85"/>
      <c r="BA2093" s="40"/>
      <c r="BB2093" s="99"/>
      <c r="BC2093" s="85"/>
      <c r="BG2093" s="79"/>
      <c r="BH2093" s="99"/>
    </row>
    <row r="2094" spans="51:60" x14ac:dyDescent="0.2">
      <c r="AY2094" s="79"/>
      <c r="AZ2094" s="85"/>
      <c r="BA2094" s="40"/>
      <c r="BB2094" s="99"/>
      <c r="BC2094" s="85"/>
      <c r="BG2094" s="79"/>
      <c r="BH2094" s="99"/>
    </row>
    <row r="2095" spans="51:60" x14ac:dyDescent="0.2">
      <c r="AY2095" s="79"/>
      <c r="AZ2095" s="85"/>
      <c r="BA2095" s="40"/>
      <c r="BB2095" s="99"/>
      <c r="BC2095" s="85"/>
      <c r="BG2095" s="79"/>
      <c r="BH2095" s="99"/>
    </row>
    <row r="2096" spans="51:60" x14ac:dyDescent="0.2">
      <c r="AY2096" s="79"/>
      <c r="AZ2096" s="85"/>
      <c r="BA2096" s="40"/>
      <c r="BB2096" s="99"/>
      <c r="BC2096" s="85"/>
      <c r="BG2096" s="79"/>
      <c r="BH2096" s="99"/>
    </row>
    <row r="2097" spans="51:60" x14ac:dyDescent="0.2">
      <c r="AY2097" s="79"/>
      <c r="AZ2097" s="85"/>
      <c r="BA2097" s="40"/>
      <c r="BB2097" s="99"/>
      <c r="BC2097" s="85"/>
      <c r="BG2097" s="79"/>
      <c r="BH2097" s="99"/>
    </row>
    <row r="2098" spans="51:60" x14ac:dyDescent="0.2">
      <c r="AY2098" s="79"/>
      <c r="AZ2098" s="85"/>
      <c r="BA2098" s="40"/>
      <c r="BB2098" s="99"/>
      <c r="BC2098" s="85"/>
      <c r="BG2098" s="79"/>
      <c r="BH2098" s="99"/>
    </row>
    <row r="2099" spans="51:60" x14ac:dyDescent="0.2">
      <c r="AY2099" s="79"/>
      <c r="AZ2099" s="85"/>
      <c r="BA2099" s="40"/>
      <c r="BB2099" s="99"/>
      <c r="BC2099" s="85"/>
      <c r="BG2099" s="79"/>
      <c r="BH2099" s="99"/>
    </row>
    <row r="2100" spans="51:60" x14ac:dyDescent="0.2">
      <c r="AY2100" s="79"/>
      <c r="AZ2100" s="85"/>
      <c r="BA2100" s="40"/>
      <c r="BB2100" s="99"/>
      <c r="BC2100" s="85"/>
      <c r="BG2100" s="79"/>
      <c r="BH2100" s="99"/>
    </row>
    <row r="2101" spans="51:60" x14ac:dyDescent="0.2">
      <c r="AY2101" s="79"/>
      <c r="AZ2101" s="85"/>
      <c r="BA2101" s="40"/>
      <c r="BB2101" s="99"/>
      <c r="BC2101" s="85"/>
      <c r="BG2101" s="79"/>
      <c r="BH2101" s="99"/>
    </row>
    <row r="2102" spans="51:60" x14ac:dyDescent="0.2">
      <c r="AY2102" s="79"/>
      <c r="AZ2102" s="85"/>
      <c r="BA2102" s="40"/>
      <c r="BB2102" s="99"/>
      <c r="BC2102" s="85"/>
      <c r="BG2102" s="79"/>
      <c r="BH2102" s="99"/>
    </row>
    <row r="2103" spans="51:60" x14ac:dyDescent="0.2">
      <c r="AY2103" s="79"/>
      <c r="AZ2103" s="85"/>
      <c r="BA2103" s="40"/>
      <c r="BB2103" s="99"/>
      <c r="BC2103" s="85"/>
      <c r="BG2103" s="79"/>
      <c r="BH2103" s="99"/>
    </row>
    <row r="2104" spans="51:60" x14ac:dyDescent="0.2">
      <c r="AY2104" s="79"/>
      <c r="AZ2104" s="85"/>
      <c r="BA2104" s="40"/>
      <c r="BB2104" s="99"/>
      <c r="BC2104" s="85"/>
      <c r="BG2104" s="79"/>
      <c r="BH2104" s="99"/>
    </row>
    <row r="2105" spans="51:60" x14ac:dyDescent="0.2">
      <c r="AY2105" s="79"/>
      <c r="AZ2105" s="85"/>
      <c r="BA2105" s="40"/>
      <c r="BB2105" s="99"/>
      <c r="BC2105" s="85"/>
      <c r="BG2105" s="79"/>
      <c r="BH2105" s="99"/>
    </row>
    <row r="2106" spans="51:60" x14ac:dyDescent="0.2">
      <c r="AY2106" s="79"/>
      <c r="AZ2106" s="85"/>
      <c r="BA2106" s="40"/>
      <c r="BB2106" s="99"/>
      <c r="BC2106" s="85"/>
      <c r="BG2106" s="79"/>
      <c r="BH2106" s="99"/>
    </row>
    <row r="2107" spans="51:60" x14ac:dyDescent="0.2">
      <c r="AY2107" s="79"/>
      <c r="AZ2107" s="85"/>
      <c r="BA2107" s="40"/>
      <c r="BB2107" s="99"/>
      <c r="BC2107" s="85"/>
      <c r="BG2107" s="79"/>
      <c r="BH2107" s="99"/>
    </row>
    <row r="2108" spans="51:60" x14ac:dyDescent="0.2">
      <c r="AY2108" s="79"/>
      <c r="AZ2108" s="85"/>
      <c r="BA2108" s="40"/>
      <c r="BB2108" s="99"/>
      <c r="BC2108" s="85"/>
      <c r="BG2108" s="79"/>
      <c r="BH2108" s="99"/>
    </row>
    <row r="2109" spans="51:60" x14ac:dyDescent="0.2">
      <c r="AY2109" s="79"/>
      <c r="AZ2109" s="85"/>
      <c r="BA2109" s="40"/>
      <c r="BB2109" s="99"/>
      <c r="BC2109" s="85"/>
      <c r="BG2109" s="79"/>
      <c r="BH2109" s="99"/>
    </row>
    <row r="2110" spans="51:60" x14ac:dyDescent="0.2">
      <c r="AY2110" s="79"/>
      <c r="AZ2110" s="85"/>
      <c r="BA2110" s="40"/>
      <c r="BB2110" s="99"/>
      <c r="BC2110" s="85"/>
      <c r="BG2110" s="79"/>
      <c r="BH2110" s="99"/>
    </row>
    <row r="2111" spans="51:60" x14ac:dyDescent="0.2">
      <c r="AY2111" s="79"/>
      <c r="AZ2111" s="85"/>
      <c r="BA2111" s="40"/>
      <c r="BB2111" s="99"/>
      <c r="BC2111" s="85"/>
      <c r="BG2111" s="79"/>
      <c r="BH2111" s="99"/>
    </row>
    <row r="2112" spans="51:60" x14ac:dyDescent="0.2">
      <c r="AY2112" s="79"/>
      <c r="AZ2112" s="85"/>
      <c r="BA2112" s="40"/>
      <c r="BB2112" s="99"/>
      <c r="BC2112" s="85"/>
      <c r="BG2112" s="79"/>
      <c r="BH2112" s="99"/>
    </row>
    <row r="2113" spans="51:60" x14ac:dyDescent="0.2">
      <c r="AY2113" s="79"/>
      <c r="AZ2113" s="85"/>
      <c r="BA2113" s="40"/>
      <c r="BB2113" s="99"/>
      <c r="BC2113" s="85"/>
      <c r="BG2113" s="79"/>
      <c r="BH2113" s="99"/>
    </row>
    <row r="2114" spans="51:60" x14ac:dyDescent="0.2">
      <c r="AY2114" s="79"/>
      <c r="AZ2114" s="85"/>
      <c r="BA2114" s="40"/>
      <c r="BB2114" s="99"/>
      <c r="BC2114" s="85"/>
      <c r="BG2114" s="79"/>
      <c r="BH2114" s="99"/>
    </row>
    <row r="2115" spans="51:60" x14ac:dyDescent="0.2">
      <c r="AY2115" s="79"/>
      <c r="AZ2115" s="85"/>
      <c r="BA2115" s="40"/>
      <c r="BB2115" s="99"/>
      <c r="BC2115" s="85"/>
      <c r="BG2115" s="79"/>
      <c r="BH2115" s="99"/>
    </row>
    <row r="2116" spans="51:60" x14ac:dyDescent="0.2">
      <c r="AY2116" s="79"/>
      <c r="AZ2116" s="85"/>
      <c r="BA2116" s="40"/>
      <c r="BB2116" s="99"/>
      <c r="BC2116" s="85"/>
      <c r="BG2116" s="79"/>
      <c r="BH2116" s="99"/>
    </row>
    <row r="2117" spans="51:60" x14ac:dyDescent="0.2">
      <c r="AY2117" s="79"/>
      <c r="AZ2117" s="85"/>
      <c r="BA2117" s="40"/>
      <c r="BB2117" s="99"/>
      <c r="BC2117" s="85"/>
      <c r="BG2117" s="79"/>
      <c r="BH2117" s="99"/>
    </row>
    <row r="2118" spans="51:60" x14ac:dyDescent="0.2">
      <c r="AY2118" s="79"/>
      <c r="AZ2118" s="85"/>
      <c r="BA2118" s="40"/>
      <c r="BB2118" s="99"/>
      <c r="BC2118" s="85"/>
      <c r="BG2118" s="79"/>
      <c r="BH2118" s="99"/>
    </row>
    <row r="2119" spans="51:60" x14ac:dyDescent="0.2">
      <c r="AY2119" s="79"/>
      <c r="AZ2119" s="85"/>
      <c r="BA2119" s="40"/>
      <c r="BB2119" s="99"/>
      <c r="BC2119" s="85"/>
      <c r="BG2119" s="79"/>
      <c r="BH2119" s="99"/>
    </row>
    <row r="2120" spans="51:60" x14ac:dyDescent="0.2">
      <c r="AY2120" s="79"/>
      <c r="AZ2120" s="85"/>
      <c r="BA2120" s="40"/>
      <c r="BB2120" s="99"/>
      <c r="BC2120" s="85"/>
      <c r="BG2120" s="79"/>
      <c r="BH2120" s="99"/>
    </row>
    <row r="2121" spans="51:60" x14ac:dyDescent="0.2">
      <c r="AY2121" s="79"/>
      <c r="AZ2121" s="85"/>
      <c r="BA2121" s="40"/>
      <c r="BB2121" s="99"/>
      <c r="BC2121" s="85"/>
      <c r="BG2121" s="79"/>
      <c r="BH2121" s="99"/>
    </row>
    <row r="2122" spans="51:60" x14ac:dyDescent="0.2">
      <c r="AY2122" s="79"/>
      <c r="AZ2122" s="85"/>
      <c r="BA2122" s="40"/>
      <c r="BB2122" s="99"/>
      <c r="BC2122" s="85"/>
      <c r="BG2122" s="79"/>
      <c r="BH2122" s="99"/>
    </row>
    <row r="2123" spans="51:60" x14ac:dyDescent="0.2">
      <c r="AY2123" s="79"/>
      <c r="AZ2123" s="85"/>
      <c r="BA2123" s="40"/>
      <c r="BB2123" s="99"/>
      <c r="BC2123" s="85"/>
      <c r="BG2123" s="79"/>
      <c r="BH2123" s="99"/>
    </row>
    <row r="2124" spans="51:60" x14ac:dyDescent="0.2">
      <c r="AY2124" s="79"/>
      <c r="AZ2124" s="85"/>
      <c r="BA2124" s="40"/>
      <c r="BB2124" s="99"/>
      <c r="BC2124" s="85"/>
      <c r="BG2124" s="79"/>
      <c r="BH2124" s="99"/>
    </row>
    <row r="2125" spans="51:60" x14ac:dyDescent="0.2">
      <c r="AY2125" s="79"/>
      <c r="AZ2125" s="85"/>
      <c r="BA2125" s="40"/>
      <c r="BB2125" s="99"/>
      <c r="BC2125" s="85"/>
      <c r="BG2125" s="79"/>
      <c r="BH2125" s="99"/>
    </row>
    <row r="2126" spans="51:60" x14ac:dyDescent="0.2">
      <c r="AY2126" s="79"/>
      <c r="AZ2126" s="85"/>
      <c r="BA2126" s="40"/>
      <c r="BB2126" s="99"/>
      <c r="BC2126" s="85"/>
      <c r="BG2126" s="79"/>
      <c r="BH2126" s="99"/>
    </row>
    <row r="2127" spans="51:60" x14ac:dyDescent="0.2">
      <c r="AY2127" s="79"/>
      <c r="AZ2127" s="85"/>
      <c r="BA2127" s="40"/>
      <c r="BB2127" s="99"/>
      <c r="BC2127" s="85"/>
      <c r="BG2127" s="79"/>
      <c r="BH2127" s="99"/>
    </row>
    <row r="2128" spans="51:60" x14ac:dyDescent="0.2">
      <c r="AY2128" s="79"/>
      <c r="AZ2128" s="85"/>
      <c r="BA2128" s="40"/>
      <c r="BB2128" s="99"/>
      <c r="BC2128" s="85"/>
      <c r="BG2128" s="79"/>
      <c r="BH2128" s="99"/>
    </row>
    <row r="2129" spans="51:60" x14ac:dyDescent="0.2">
      <c r="AY2129" s="79"/>
      <c r="AZ2129" s="85"/>
      <c r="BA2129" s="40"/>
      <c r="BB2129" s="99"/>
      <c r="BC2129" s="85"/>
      <c r="BG2129" s="79"/>
      <c r="BH2129" s="99"/>
    </row>
    <row r="2130" spans="51:60" x14ac:dyDescent="0.2">
      <c r="AY2130" s="79"/>
      <c r="AZ2130" s="85"/>
      <c r="BA2130" s="40"/>
      <c r="BB2130" s="99"/>
      <c r="BC2130" s="85"/>
      <c r="BG2130" s="79"/>
      <c r="BH2130" s="99"/>
    </row>
    <row r="2131" spans="51:60" x14ac:dyDescent="0.2">
      <c r="AY2131" s="79"/>
      <c r="AZ2131" s="85"/>
      <c r="BA2131" s="40"/>
      <c r="BB2131" s="99"/>
      <c r="BC2131" s="85"/>
      <c r="BG2131" s="79"/>
      <c r="BH2131" s="99"/>
    </row>
    <row r="2132" spans="51:60" x14ac:dyDescent="0.2">
      <c r="AY2132" s="79"/>
      <c r="AZ2132" s="85"/>
      <c r="BA2132" s="40"/>
      <c r="BB2132" s="99"/>
      <c r="BC2132" s="85"/>
      <c r="BG2132" s="79"/>
      <c r="BH2132" s="99"/>
    </row>
    <row r="2133" spans="51:60" x14ac:dyDescent="0.2">
      <c r="AY2133" s="79"/>
      <c r="AZ2133" s="85"/>
      <c r="BA2133" s="40"/>
      <c r="BB2133" s="99"/>
      <c r="BC2133" s="85"/>
      <c r="BG2133" s="79"/>
      <c r="BH2133" s="99"/>
    </row>
    <row r="2134" spans="51:60" x14ac:dyDescent="0.2">
      <c r="AY2134" s="79"/>
      <c r="AZ2134" s="85"/>
      <c r="BA2134" s="40"/>
      <c r="BB2134" s="99"/>
      <c r="BC2134" s="85"/>
      <c r="BG2134" s="79"/>
      <c r="BH2134" s="99"/>
    </row>
    <row r="2135" spans="51:60" x14ac:dyDescent="0.2">
      <c r="AY2135" s="79"/>
      <c r="AZ2135" s="85"/>
      <c r="BA2135" s="40"/>
      <c r="BB2135" s="99"/>
      <c r="BC2135" s="85"/>
      <c r="BG2135" s="79"/>
      <c r="BH2135" s="99"/>
    </row>
    <row r="2136" spans="51:60" x14ac:dyDescent="0.2">
      <c r="AY2136" s="79"/>
      <c r="AZ2136" s="85"/>
      <c r="BA2136" s="40"/>
      <c r="BB2136" s="99"/>
      <c r="BC2136" s="85"/>
      <c r="BG2136" s="79"/>
      <c r="BH2136" s="99"/>
    </row>
    <row r="2137" spans="51:60" x14ac:dyDescent="0.2">
      <c r="AY2137" s="79"/>
      <c r="AZ2137" s="85"/>
      <c r="BA2137" s="40"/>
      <c r="BB2137" s="99"/>
      <c r="BC2137" s="85"/>
      <c r="BG2137" s="79"/>
      <c r="BH2137" s="99"/>
    </row>
    <row r="2138" spans="51:60" x14ac:dyDescent="0.2">
      <c r="AY2138" s="79"/>
      <c r="AZ2138" s="85"/>
      <c r="BA2138" s="40"/>
      <c r="BB2138" s="99"/>
      <c r="BC2138" s="85"/>
      <c r="BG2138" s="79"/>
      <c r="BH2138" s="99"/>
    </row>
    <row r="2139" spans="51:60" x14ac:dyDescent="0.2">
      <c r="AY2139" s="79"/>
      <c r="AZ2139" s="85"/>
      <c r="BA2139" s="40"/>
      <c r="BB2139" s="99"/>
      <c r="BC2139" s="85"/>
      <c r="BG2139" s="79"/>
      <c r="BH2139" s="99"/>
    </row>
    <row r="2140" spans="51:60" x14ac:dyDescent="0.2">
      <c r="AY2140" s="79"/>
      <c r="AZ2140" s="85"/>
      <c r="BA2140" s="40"/>
      <c r="BB2140" s="99"/>
      <c r="BC2140" s="85"/>
      <c r="BG2140" s="79"/>
      <c r="BH2140" s="99"/>
    </row>
    <row r="2141" spans="51:60" x14ac:dyDescent="0.2">
      <c r="AY2141" s="79"/>
      <c r="AZ2141" s="85"/>
      <c r="BA2141" s="40"/>
      <c r="BB2141" s="99"/>
      <c r="BC2141" s="85"/>
      <c r="BG2141" s="79"/>
      <c r="BH2141" s="99"/>
    </row>
    <row r="2142" spans="51:60" x14ac:dyDescent="0.2">
      <c r="AY2142" s="79"/>
      <c r="AZ2142" s="85"/>
      <c r="BA2142" s="40"/>
      <c r="BB2142" s="99"/>
      <c r="BC2142" s="85"/>
      <c r="BG2142" s="79"/>
      <c r="BH2142" s="99"/>
    </row>
    <row r="2143" spans="51:60" x14ac:dyDescent="0.2">
      <c r="AY2143" s="79"/>
      <c r="AZ2143" s="85"/>
      <c r="BA2143" s="40"/>
      <c r="BB2143" s="99"/>
      <c r="BC2143" s="85"/>
      <c r="BG2143" s="79"/>
      <c r="BH2143" s="99"/>
    </row>
    <row r="2144" spans="51:60" x14ac:dyDescent="0.2">
      <c r="AY2144" s="79"/>
      <c r="AZ2144" s="85"/>
      <c r="BA2144" s="40"/>
      <c r="BB2144" s="99"/>
      <c r="BC2144" s="85"/>
      <c r="BG2144" s="79"/>
      <c r="BH2144" s="99"/>
    </row>
    <row r="2145" spans="51:60" x14ac:dyDescent="0.2">
      <c r="AY2145" s="79"/>
      <c r="AZ2145" s="85"/>
      <c r="BA2145" s="40"/>
      <c r="BB2145" s="99"/>
      <c r="BC2145" s="85"/>
      <c r="BG2145" s="79"/>
      <c r="BH2145" s="99"/>
    </row>
    <row r="2146" spans="51:60" x14ac:dyDescent="0.2">
      <c r="AY2146" s="79"/>
      <c r="AZ2146" s="85"/>
      <c r="BA2146" s="40"/>
      <c r="BB2146" s="99"/>
      <c r="BC2146" s="85"/>
      <c r="BG2146" s="79"/>
      <c r="BH2146" s="99"/>
    </row>
    <row r="2147" spans="51:60" x14ac:dyDescent="0.2">
      <c r="AY2147" s="79"/>
      <c r="AZ2147" s="85"/>
      <c r="BA2147" s="40"/>
      <c r="BB2147" s="99"/>
      <c r="BC2147" s="85"/>
      <c r="BG2147" s="79"/>
      <c r="BH2147" s="99"/>
    </row>
    <row r="2148" spans="51:60" x14ac:dyDescent="0.2">
      <c r="AY2148" s="79"/>
      <c r="AZ2148" s="85"/>
      <c r="BA2148" s="40"/>
      <c r="BB2148" s="99"/>
      <c r="BC2148" s="85"/>
      <c r="BG2148" s="79"/>
      <c r="BH2148" s="99"/>
    </row>
    <row r="2149" spans="51:60" x14ac:dyDescent="0.2">
      <c r="AY2149" s="79"/>
      <c r="AZ2149" s="85"/>
      <c r="BA2149" s="40"/>
      <c r="BB2149" s="99"/>
      <c r="BC2149" s="85"/>
      <c r="BG2149" s="79"/>
      <c r="BH2149" s="99"/>
    </row>
    <row r="2150" spans="51:60" x14ac:dyDescent="0.2">
      <c r="AY2150" s="79"/>
      <c r="AZ2150" s="85"/>
      <c r="BA2150" s="40"/>
      <c r="BB2150" s="99"/>
      <c r="BC2150" s="85"/>
      <c r="BG2150" s="79"/>
      <c r="BH2150" s="99"/>
    </row>
    <row r="2151" spans="51:60" x14ac:dyDescent="0.2">
      <c r="AY2151" s="79"/>
      <c r="AZ2151" s="85"/>
      <c r="BA2151" s="40"/>
      <c r="BB2151" s="99"/>
      <c r="BC2151" s="85"/>
      <c r="BG2151" s="79"/>
      <c r="BH2151" s="99"/>
    </row>
    <row r="2152" spans="51:60" x14ac:dyDescent="0.2">
      <c r="AY2152" s="79"/>
      <c r="AZ2152" s="85"/>
      <c r="BA2152" s="40"/>
      <c r="BB2152" s="99"/>
      <c r="BC2152" s="85"/>
      <c r="BG2152" s="79"/>
      <c r="BH2152" s="99"/>
    </row>
    <row r="2153" spans="51:60" x14ac:dyDescent="0.2">
      <c r="AY2153" s="79"/>
      <c r="AZ2153" s="85"/>
      <c r="BA2153" s="40"/>
      <c r="BB2153" s="99"/>
      <c r="BC2153" s="85"/>
      <c r="BG2153" s="79"/>
      <c r="BH2153" s="99"/>
    </row>
    <row r="2154" spans="51:60" x14ac:dyDescent="0.2">
      <c r="AY2154" s="79"/>
      <c r="AZ2154" s="85"/>
      <c r="BA2154" s="40"/>
      <c r="BB2154" s="99"/>
      <c r="BC2154" s="85"/>
      <c r="BG2154" s="79"/>
      <c r="BH2154" s="99"/>
    </row>
    <row r="2155" spans="51:60" x14ac:dyDescent="0.2">
      <c r="AY2155" s="79"/>
      <c r="AZ2155" s="85"/>
      <c r="BA2155" s="40"/>
      <c r="BB2155" s="99"/>
      <c r="BC2155" s="85"/>
      <c r="BG2155" s="79"/>
      <c r="BH2155" s="99"/>
    </row>
    <row r="2156" spans="51:60" x14ac:dyDescent="0.2">
      <c r="AY2156" s="79"/>
      <c r="AZ2156" s="85"/>
      <c r="BA2156" s="40"/>
      <c r="BB2156" s="99"/>
      <c r="BC2156" s="85"/>
      <c r="BG2156" s="79"/>
      <c r="BH2156" s="99"/>
    </row>
    <row r="2157" spans="51:60" x14ac:dyDescent="0.2">
      <c r="AY2157" s="79"/>
      <c r="AZ2157" s="85"/>
      <c r="BA2157" s="40"/>
      <c r="BB2157" s="99"/>
      <c r="BC2157" s="85"/>
      <c r="BG2157" s="79"/>
      <c r="BH2157" s="99"/>
    </row>
    <row r="2158" spans="51:60" x14ac:dyDescent="0.2">
      <c r="AY2158" s="79"/>
      <c r="AZ2158" s="85"/>
      <c r="BA2158" s="40"/>
      <c r="BB2158" s="99"/>
      <c r="BC2158" s="85"/>
      <c r="BG2158" s="79"/>
      <c r="BH2158" s="99"/>
    </row>
    <row r="2159" spans="51:60" x14ac:dyDescent="0.2">
      <c r="AY2159" s="79"/>
      <c r="AZ2159" s="85"/>
      <c r="BA2159" s="40"/>
      <c r="BB2159" s="99"/>
      <c r="BC2159" s="85"/>
      <c r="BG2159" s="79"/>
      <c r="BH2159" s="99"/>
    </row>
    <row r="2160" spans="51:60" x14ac:dyDescent="0.2">
      <c r="AY2160" s="79"/>
      <c r="AZ2160" s="85"/>
      <c r="BA2160" s="40"/>
      <c r="BB2160" s="99"/>
      <c r="BC2160" s="85"/>
      <c r="BG2160" s="79"/>
      <c r="BH2160" s="99"/>
    </row>
    <row r="2161" spans="51:60" x14ac:dyDescent="0.2">
      <c r="AY2161" s="79"/>
      <c r="AZ2161" s="85"/>
      <c r="BA2161" s="40"/>
      <c r="BB2161" s="99"/>
      <c r="BC2161" s="85"/>
      <c r="BG2161" s="79"/>
      <c r="BH2161" s="99"/>
    </row>
    <row r="2162" spans="51:60" x14ac:dyDescent="0.2">
      <c r="AY2162" s="79"/>
      <c r="AZ2162" s="85"/>
      <c r="BA2162" s="40"/>
      <c r="BB2162" s="99"/>
      <c r="BC2162" s="85"/>
      <c r="BG2162" s="79"/>
      <c r="BH2162" s="99"/>
    </row>
    <row r="2163" spans="51:60" x14ac:dyDescent="0.2">
      <c r="AY2163" s="79"/>
      <c r="AZ2163" s="85"/>
      <c r="BA2163" s="40"/>
      <c r="BB2163" s="99"/>
      <c r="BC2163" s="85"/>
      <c r="BG2163" s="79"/>
      <c r="BH2163" s="99"/>
    </row>
    <row r="2164" spans="51:60" x14ac:dyDescent="0.2">
      <c r="AY2164" s="79"/>
      <c r="AZ2164" s="85"/>
      <c r="BA2164" s="40"/>
      <c r="BB2164" s="99"/>
      <c r="BC2164" s="85"/>
      <c r="BG2164" s="79"/>
      <c r="BH2164" s="99"/>
    </row>
    <row r="2165" spans="51:60" x14ac:dyDescent="0.2">
      <c r="AY2165" s="79"/>
      <c r="AZ2165" s="85"/>
      <c r="BA2165" s="40"/>
      <c r="BB2165" s="99"/>
      <c r="BC2165" s="85"/>
      <c r="BG2165" s="79"/>
      <c r="BH2165" s="99"/>
    </row>
    <row r="2166" spans="51:60" x14ac:dyDescent="0.2">
      <c r="AY2166" s="79"/>
      <c r="AZ2166" s="85"/>
      <c r="BA2166" s="40"/>
      <c r="BB2166" s="99"/>
      <c r="BC2166" s="85"/>
      <c r="BG2166" s="79"/>
      <c r="BH2166" s="99"/>
    </row>
    <row r="2167" spans="51:60" x14ac:dyDescent="0.2">
      <c r="AY2167" s="79"/>
      <c r="AZ2167" s="85"/>
      <c r="BA2167" s="40"/>
      <c r="BB2167" s="99"/>
      <c r="BC2167" s="85"/>
      <c r="BG2167" s="79"/>
      <c r="BH2167" s="99"/>
    </row>
    <row r="2168" spans="51:60" x14ac:dyDescent="0.2">
      <c r="AY2168" s="79"/>
      <c r="AZ2168" s="85"/>
      <c r="BA2168" s="40"/>
      <c r="BB2168" s="99"/>
      <c r="BC2168" s="85"/>
      <c r="BG2168" s="79"/>
      <c r="BH2168" s="99"/>
    </row>
    <row r="2169" spans="51:60" x14ac:dyDescent="0.2">
      <c r="AY2169" s="79"/>
      <c r="AZ2169" s="85"/>
      <c r="BA2169" s="40"/>
      <c r="BB2169" s="99"/>
      <c r="BC2169" s="85"/>
      <c r="BG2169" s="79"/>
      <c r="BH2169" s="99"/>
    </row>
    <row r="2170" spans="51:60" x14ac:dyDescent="0.2">
      <c r="AY2170" s="79"/>
      <c r="AZ2170" s="85"/>
      <c r="BA2170" s="40"/>
      <c r="BB2170" s="99"/>
      <c r="BC2170" s="85"/>
      <c r="BG2170" s="79"/>
      <c r="BH2170" s="99"/>
    </row>
    <row r="2171" spans="51:60" x14ac:dyDescent="0.2">
      <c r="AY2171" s="79"/>
      <c r="AZ2171" s="85"/>
      <c r="BA2171" s="40"/>
      <c r="BB2171" s="99"/>
      <c r="BC2171" s="85"/>
      <c r="BG2171" s="79"/>
      <c r="BH2171" s="99"/>
    </row>
    <row r="2172" spans="51:60" x14ac:dyDescent="0.2">
      <c r="AY2172" s="79"/>
      <c r="AZ2172" s="85"/>
      <c r="BA2172" s="40"/>
      <c r="BB2172" s="99"/>
      <c r="BC2172" s="85"/>
      <c r="BG2172" s="79"/>
      <c r="BH2172" s="99"/>
    </row>
    <row r="2173" spans="51:60" x14ac:dyDescent="0.2">
      <c r="AY2173" s="79"/>
      <c r="AZ2173" s="85"/>
      <c r="BA2173" s="40"/>
      <c r="BB2173" s="99"/>
      <c r="BC2173" s="85"/>
      <c r="BG2173" s="79"/>
      <c r="BH2173" s="99"/>
    </row>
    <row r="2174" spans="51:60" x14ac:dyDescent="0.2">
      <c r="AY2174" s="79"/>
      <c r="AZ2174" s="85"/>
      <c r="BA2174" s="40"/>
      <c r="BB2174" s="99"/>
      <c r="BC2174" s="85"/>
      <c r="BG2174" s="79"/>
      <c r="BH2174" s="99"/>
    </row>
    <row r="2175" spans="51:60" x14ac:dyDescent="0.2">
      <c r="AY2175" s="79"/>
      <c r="AZ2175" s="85"/>
      <c r="BA2175" s="40"/>
      <c r="BB2175" s="99"/>
      <c r="BC2175" s="85"/>
      <c r="BG2175" s="79"/>
      <c r="BH2175" s="99"/>
    </row>
    <row r="2176" spans="51:60" x14ac:dyDescent="0.2">
      <c r="AY2176" s="79"/>
      <c r="AZ2176" s="85"/>
      <c r="BA2176" s="40"/>
      <c r="BB2176" s="99"/>
      <c r="BC2176" s="85"/>
      <c r="BG2176" s="79"/>
      <c r="BH2176" s="99"/>
    </row>
    <row r="2177" spans="51:60" x14ac:dyDescent="0.2">
      <c r="AY2177" s="79"/>
      <c r="AZ2177" s="85"/>
      <c r="BA2177" s="40"/>
      <c r="BB2177" s="99"/>
      <c r="BC2177" s="85"/>
      <c r="BG2177" s="79"/>
      <c r="BH2177" s="99"/>
    </row>
    <row r="2178" spans="51:60" x14ac:dyDescent="0.2">
      <c r="AY2178" s="79"/>
      <c r="AZ2178" s="85"/>
      <c r="BA2178" s="40"/>
      <c r="BB2178" s="99"/>
      <c r="BC2178" s="85"/>
      <c r="BG2178" s="79"/>
      <c r="BH2178" s="99"/>
    </row>
    <row r="2179" spans="51:60" x14ac:dyDescent="0.2">
      <c r="AY2179" s="79"/>
      <c r="AZ2179" s="85"/>
      <c r="BA2179" s="40"/>
      <c r="BB2179" s="99"/>
      <c r="BC2179" s="85"/>
      <c r="BG2179" s="79"/>
      <c r="BH2179" s="99"/>
    </row>
    <row r="2180" spans="51:60" x14ac:dyDescent="0.2">
      <c r="AY2180" s="79"/>
      <c r="AZ2180" s="85"/>
      <c r="BA2180" s="40"/>
      <c r="BB2180" s="99"/>
      <c r="BC2180" s="85"/>
      <c r="BG2180" s="79"/>
      <c r="BH2180" s="99"/>
    </row>
    <row r="2181" spans="51:60" x14ac:dyDescent="0.2">
      <c r="AY2181" s="79"/>
      <c r="AZ2181" s="85"/>
      <c r="BA2181" s="40"/>
      <c r="BB2181" s="99"/>
      <c r="BC2181" s="85"/>
      <c r="BG2181" s="79"/>
      <c r="BH2181" s="99"/>
    </row>
    <row r="2182" spans="51:60" x14ac:dyDescent="0.2">
      <c r="AY2182" s="79"/>
      <c r="AZ2182" s="85"/>
      <c r="BA2182" s="40"/>
      <c r="BB2182" s="99"/>
      <c r="BC2182" s="85"/>
      <c r="BG2182" s="79"/>
      <c r="BH2182" s="99"/>
    </row>
    <row r="2183" spans="51:60" x14ac:dyDescent="0.2">
      <c r="AY2183" s="79"/>
      <c r="AZ2183" s="85"/>
      <c r="BA2183" s="40"/>
      <c r="BB2183" s="99"/>
      <c r="BC2183" s="85"/>
      <c r="BG2183" s="79"/>
      <c r="BH2183" s="99"/>
    </row>
    <row r="2184" spans="51:60" x14ac:dyDescent="0.2">
      <c r="AY2184" s="79"/>
      <c r="AZ2184" s="85"/>
      <c r="BA2184" s="40"/>
      <c r="BB2184" s="99"/>
      <c r="BC2184" s="85"/>
      <c r="BG2184" s="79"/>
      <c r="BH2184" s="99"/>
    </row>
    <row r="2185" spans="51:60" x14ac:dyDescent="0.2">
      <c r="AY2185" s="79"/>
      <c r="AZ2185" s="85"/>
      <c r="BA2185" s="40"/>
      <c r="BB2185" s="99"/>
      <c r="BC2185" s="85"/>
      <c r="BG2185" s="79"/>
      <c r="BH2185" s="99"/>
    </row>
    <row r="2186" spans="51:60" x14ac:dyDescent="0.2">
      <c r="AY2186" s="79"/>
      <c r="AZ2186" s="85"/>
      <c r="BA2186" s="40"/>
      <c r="BB2186" s="99"/>
      <c r="BC2186" s="85"/>
      <c r="BG2186" s="79"/>
      <c r="BH2186" s="99"/>
    </row>
    <row r="2187" spans="51:60" x14ac:dyDescent="0.2">
      <c r="AY2187" s="79"/>
      <c r="AZ2187" s="85"/>
      <c r="BA2187" s="40"/>
      <c r="BB2187" s="99"/>
      <c r="BC2187" s="85"/>
      <c r="BG2187" s="79"/>
      <c r="BH2187" s="99"/>
    </row>
    <row r="2188" spans="51:60" x14ac:dyDescent="0.2">
      <c r="AY2188" s="79"/>
      <c r="AZ2188" s="85"/>
      <c r="BA2188" s="40"/>
      <c r="BB2188" s="99"/>
      <c r="BC2188" s="85"/>
      <c r="BG2188" s="79"/>
      <c r="BH2188" s="99"/>
    </row>
    <row r="2189" spans="51:60" x14ac:dyDescent="0.2">
      <c r="AY2189" s="79"/>
      <c r="AZ2189" s="85"/>
      <c r="BA2189" s="40"/>
      <c r="BB2189" s="99"/>
      <c r="BC2189" s="85"/>
      <c r="BG2189" s="79"/>
      <c r="BH2189" s="99"/>
    </row>
    <row r="2190" spans="51:60" x14ac:dyDescent="0.2">
      <c r="AY2190" s="79"/>
      <c r="AZ2190" s="85"/>
      <c r="BA2190" s="40"/>
      <c r="BB2190" s="99"/>
      <c r="BC2190" s="85"/>
      <c r="BG2190" s="79"/>
      <c r="BH2190" s="99"/>
    </row>
    <row r="2191" spans="51:60" x14ac:dyDescent="0.2">
      <c r="AY2191" s="79"/>
      <c r="AZ2191" s="85"/>
      <c r="BA2191" s="40"/>
      <c r="BB2191" s="99"/>
      <c r="BC2191" s="85"/>
      <c r="BG2191" s="79"/>
      <c r="BH2191" s="99"/>
    </row>
    <row r="2192" spans="51:60" x14ac:dyDescent="0.2">
      <c r="AY2192" s="79"/>
      <c r="AZ2192" s="85"/>
      <c r="BA2192" s="40"/>
      <c r="BB2192" s="99"/>
      <c r="BC2192" s="85"/>
      <c r="BG2192" s="79"/>
      <c r="BH2192" s="99"/>
    </row>
    <row r="2193" spans="51:60" x14ac:dyDescent="0.2">
      <c r="AY2193" s="79"/>
      <c r="AZ2193" s="85"/>
      <c r="BA2193" s="40"/>
      <c r="BB2193" s="99"/>
      <c r="BC2193" s="85"/>
      <c r="BG2193" s="79"/>
      <c r="BH2193" s="99"/>
    </row>
    <row r="2194" spans="51:60" x14ac:dyDescent="0.2">
      <c r="AY2194" s="79"/>
      <c r="AZ2194" s="85"/>
      <c r="BA2194" s="40"/>
      <c r="BB2194" s="99"/>
      <c r="BC2194" s="85"/>
      <c r="BG2194" s="79"/>
      <c r="BH2194" s="99"/>
    </row>
    <row r="2195" spans="51:60" x14ac:dyDescent="0.2">
      <c r="AY2195" s="79"/>
      <c r="AZ2195" s="85"/>
      <c r="BA2195" s="40"/>
      <c r="BB2195" s="99"/>
      <c r="BC2195" s="85"/>
      <c r="BG2195" s="79"/>
      <c r="BH2195" s="99"/>
    </row>
    <row r="2196" spans="51:60" x14ac:dyDescent="0.2">
      <c r="AY2196" s="79"/>
      <c r="AZ2196" s="85"/>
      <c r="BA2196" s="40"/>
      <c r="BB2196" s="99"/>
      <c r="BC2196" s="85"/>
      <c r="BG2196" s="79"/>
      <c r="BH2196" s="99"/>
    </row>
    <row r="2197" spans="51:60" x14ac:dyDescent="0.2">
      <c r="AY2197" s="79"/>
      <c r="AZ2197" s="85"/>
      <c r="BA2197" s="40"/>
      <c r="BB2197" s="99"/>
      <c r="BC2197" s="85"/>
      <c r="BG2197" s="79"/>
      <c r="BH2197" s="99"/>
    </row>
    <row r="2198" spans="51:60" x14ac:dyDescent="0.2">
      <c r="AY2198" s="79"/>
      <c r="AZ2198" s="85"/>
      <c r="BA2198" s="40"/>
      <c r="BB2198" s="99"/>
      <c r="BC2198" s="85"/>
      <c r="BG2198" s="79"/>
      <c r="BH2198" s="99"/>
    </row>
    <row r="2199" spans="51:60" x14ac:dyDescent="0.2">
      <c r="AY2199" s="79"/>
      <c r="AZ2199" s="85"/>
      <c r="BA2199" s="40"/>
      <c r="BB2199" s="99"/>
      <c r="BC2199" s="85"/>
      <c r="BG2199" s="79"/>
      <c r="BH2199" s="99"/>
    </row>
    <row r="2200" spans="51:60" x14ac:dyDescent="0.2">
      <c r="AY2200" s="79"/>
      <c r="AZ2200" s="85"/>
      <c r="BA2200" s="40"/>
      <c r="BB2200" s="99"/>
      <c r="BC2200" s="85"/>
      <c r="BG2200" s="79"/>
      <c r="BH2200" s="99"/>
    </row>
    <row r="2201" spans="51:60" x14ac:dyDescent="0.2">
      <c r="AY2201" s="79"/>
      <c r="AZ2201" s="85"/>
      <c r="BA2201" s="40"/>
      <c r="BB2201" s="99"/>
      <c r="BC2201" s="85"/>
      <c r="BG2201" s="79"/>
      <c r="BH2201" s="99"/>
    </row>
    <row r="2202" spans="51:60" x14ac:dyDescent="0.2">
      <c r="AY2202" s="79"/>
      <c r="AZ2202" s="85"/>
      <c r="BA2202" s="40"/>
      <c r="BB2202" s="99"/>
      <c r="BC2202" s="85"/>
      <c r="BG2202" s="79"/>
      <c r="BH2202" s="99"/>
    </row>
    <row r="2203" spans="51:60" x14ac:dyDescent="0.2">
      <c r="AY2203" s="79"/>
      <c r="AZ2203" s="85"/>
      <c r="BA2203" s="40"/>
      <c r="BB2203" s="99"/>
      <c r="BC2203" s="85"/>
      <c r="BG2203" s="79"/>
      <c r="BH2203" s="99"/>
    </row>
    <row r="2204" spans="51:60" x14ac:dyDescent="0.2">
      <c r="AY2204" s="79"/>
      <c r="AZ2204" s="85"/>
      <c r="BA2204" s="40"/>
      <c r="BB2204" s="99"/>
      <c r="BC2204" s="85"/>
      <c r="BG2204" s="79"/>
      <c r="BH2204" s="99"/>
    </row>
    <row r="2205" spans="51:60" x14ac:dyDescent="0.2">
      <c r="AY2205" s="79"/>
      <c r="AZ2205" s="85"/>
      <c r="BA2205" s="40"/>
      <c r="BB2205" s="99"/>
      <c r="BC2205" s="85"/>
      <c r="BG2205" s="79"/>
      <c r="BH2205" s="99"/>
    </row>
    <row r="2206" spans="51:60" x14ac:dyDescent="0.2">
      <c r="AY2206" s="79"/>
      <c r="AZ2206" s="85"/>
      <c r="BA2206" s="40"/>
      <c r="BB2206" s="99"/>
      <c r="BC2206" s="85"/>
      <c r="BG2206" s="79"/>
      <c r="BH2206" s="99"/>
    </row>
    <row r="2207" spans="51:60" x14ac:dyDescent="0.2">
      <c r="AY2207" s="79"/>
      <c r="AZ2207" s="85"/>
      <c r="BA2207" s="40"/>
      <c r="BB2207" s="99"/>
      <c r="BC2207" s="85"/>
      <c r="BG2207" s="79"/>
      <c r="BH2207" s="99"/>
    </row>
    <row r="2208" spans="51:60" x14ac:dyDescent="0.2">
      <c r="AY2208" s="79"/>
      <c r="AZ2208" s="85"/>
      <c r="BA2208" s="40"/>
      <c r="BB2208" s="99"/>
      <c r="BC2208" s="85"/>
      <c r="BG2208" s="79"/>
      <c r="BH2208" s="99"/>
    </row>
    <row r="2209" spans="51:60" x14ac:dyDescent="0.2">
      <c r="AY2209" s="79"/>
      <c r="AZ2209" s="85"/>
      <c r="BA2209" s="40"/>
      <c r="BB2209" s="99"/>
      <c r="BC2209" s="85"/>
      <c r="BG2209" s="79"/>
      <c r="BH2209" s="99"/>
    </row>
    <row r="2210" spans="51:60" x14ac:dyDescent="0.2">
      <c r="AY2210" s="79"/>
      <c r="AZ2210" s="85"/>
      <c r="BA2210" s="40"/>
      <c r="BB2210" s="99"/>
      <c r="BC2210" s="85"/>
      <c r="BG2210" s="79"/>
      <c r="BH2210" s="99"/>
    </row>
    <row r="2211" spans="51:60" x14ac:dyDescent="0.2">
      <c r="AY2211" s="79"/>
      <c r="AZ2211" s="85"/>
      <c r="BA2211" s="40"/>
      <c r="BB2211" s="99"/>
      <c r="BC2211" s="85"/>
      <c r="BG2211" s="79"/>
      <c r="BH2211" s="99"/>
    </row>
    <row r="2212" spans="51:60" x14ac:dyDescent="0.2">
      <c r="AY2212" s="79"/>
      <c r="AZ2212" s="85"/>
      <c r="BA2212" s="40"/>
      <c r="BB2212" s="99"/>
      <c r="BC2212" s="85"/>
      <c r="BG2212" s="79"/>
      <c r="BH2212" s="99"/>
    </row>
    <row r="2213" spans="51:60" x14ac:dyDescent="0.2">
      <c r="AY2213" s="79"/>
      <c r="AZ2213" s="85"/>
      <c r="BA2213" s="40"/>
      <c r="BB2213" s="99"/>
      <c r="BC2213" s="85"/>
      <c r="BG2213" s="79"/>
      <c r="BH2213" s="99"/>
    </row>
    <row r="2214" spans="51:60" x14ac:dyDescent="0.2">
      <c r="AY2214" s="79"/>
      <c r="AZ2214" s="85"/>
      <c r="BA2214" s="40"/>
      <c r="BB2214" s="99"/>
      <c r="BC2214" s="85"/>
      <c r="BG2214" s="79"/>
      <c r="BH2214" s="99"/>
    </row>
    <row r="2215" spans="51:60" x14ac:dyDescent="0.2">
      <c r="AY2215" s="79"/>
      <c r="AZ2215" s="85"/>
      <c r="BA2215" s="40"/>
      <c r="BB2215" s="99"/>
      <c r="BC2215" s="85"/>
      <c r="BG2215" s="79"/>
      <c r="BH2215" s="99"/>
    </row>
    <row r="2216" spans="51:60" x14ac:dyDescent="0.2">
      <c r="AY2216" s="79"/>
      <c r="AZ2216" s="85"/>
      <c r="BA2216" s="40"/>
      <c r="BB2216" s="99"/>
      <c r="BC2216" s="85"/>
      <c r="BG2216" s="79"/>
      <c r="BH2216" s="99"/>
    </row>
    <row r="2217" spans="51:60" x14ac:dyDescent="0.2">
      <c r="AY2217" s="79"/>
      <c r="AZ2217" s="85"/>
      <c r="BA2217" s="40"/>
      <c r="BB2217" s="99"/>
      <c r="BC2217" s="85"/>
      <c r="BG2217" s="79"/>
      <c r="BH2217" s="99"/>
    </row>
    <row r="2218" spans="51:60" x14ac:dyDescent="0.2">
      <c r="AY2218" s="79"/>
      <c r="AZ2218" s="85"/>
      <c r="BA2218" s="40"/>
      <c r="BB2218" s="99"/>
      <c r="BC2218" s="85"/>
      <c r="BG2218" s="79"/>
      <c r="BH2218" s="99"/>
    </row>
    <row r="2219" spans="51:60" x14ac:dyDescent="0.2">
      <c r="AY2219" s="79"/>
      <c r="AZ2219" s="85"/>
      <c r="BA2219" s="40"/>
      <c r="BB2219" s="99"/>
      <c r="BC2219" s="85"/>
      <c r="BG2219" s="79"/>
      <c r="BH2219" s="99"/>
    </row>
    <row r="2220" spans="51:60" x14ac:dyDescent="0.2">
      <c r="AY2220" s="79"/>
      <c r="AZ2220" s="85"/>
      <c r="BA2220" s="40"/>
      <c r="BB2220" s="99"/>
      <c r="BC2220" s="85"/>
      <c r="BG2220" s="79"/>
      <c r="BH2220" s="99"/>
    </row>
    <row r="2221" spans="51:60" x14ac:dyDescent="0.2">
      <c r="AY2221" s="79"/>
      <c r="AZ2221" s="85"/>
      <c r="BA2221" s="40"/>
      <c r="BB2221" s="99"/>
      <c r="BC2221" s="85"/>
      <c r="BG2221" s="79"/>
      <c r="BH2221" s="99"/>
    </row>
    <row r="2222" spans="51:60" x14ac:dyDescent="0.2">
      <c r="AY2222" s="79"/>
      <c r="AZ2222" s="85"/>
      <c r="BA2222" s="40"/>
      <c r="BB2222" s="99"/>
      <c r="BC2222" s="85"/>
      <c r="BG2222" s="79"/>
      <c r="BH2222" s="99"/>
    </row>
    <row r="2223" spans="51:60" x14ac:dyDescent="0.2">
      <c r="AY2223" s="79"/>
      <c r="AZ2223" s="85"/>
      <c r="BA2223" s="40"/>
      <c r="BB2223" s="99"/>
      <c r="BC2223" s="85"/>
      <c r="BG2223" s="79"/>
      <c r="BH2223" s="99"/>
    </row>
    <row r="2224" spans="51:60" x14ac:dyDescent="0.2">
      <c r="AY2224" s="79"/>
      <c r="AZ2224" s="85"/>
      <c r="BA2224" s="40"/>
      <c r="BB2224" s="99"/>
      <c r="BC2224" s="85"/>
      <c r="BG2224" s="79"/>
      <c r="BH2224" s="99"/>
    </row>
    <row r="2225" spans="51:60" x14ac:dyDescent="0.2">
      <c r="AY2225" s="79"/>
      <c r="AZ2225" s="85"/>
      <c r="BA2225" s="40"/>
      <c r="BB2225" s="99"/>
      <c r="BC2225" s="85"/>
      <c r="BG2225" s="79"/>
      <c r="BH2225" s="99"/>
    </row>
    <row r="2226" spans="51:60" x14ac:dyDescent="0.2">
      <c r="AY2226" s="79"/>
      <c r="AZ2226" s="85"/>
      <c r="BA2226" s="40"/>
      <c r="BB2226" s="99"/>
      <c r="BC2226" s="85"/>
      <c r="BG2226" s="79"/>
      <c r="BH2226" s="99"/>
    </row>
    <row r="2227" spans="51:60" x14ac:dyDescent="0.2">
      <c r="AY2227" s="79"/>
      <c r="AZ2227" s="85"/>
      <c r="BA2227" s="40"/>
      <c r="BB2227" s="99"/>
      <c r="BC2227" s="85"/>
      <c r="BG2227" s="79"/>
      <c r="BH2227" s="99"/>
    </row>
    <row r="2228" spans="51:60" x14ac:dyDescent="0.2">
      <c r="AY2228" s="79"/>
      <c r="AZ2228" s="85"/>
      <c r="BA2228" s="40"/>
      <c r="BB2228" s="99"/>
      <c r="BC2228" s="85"/>
      <c r="BG2228" s="79"/>
      <c r="BH2228" s="99"/>
    </row>
    <row r="2229" spans="51:60" x14ac:dyDescent="0.2">
      <c r="AY2229" s="79"/>
      <c r="AZ2229" s="85"/>
      <c r="BA2229" s="40"/>
      <c r="BB2229" s="99"/>
      <c r="BC2229" s="85"/>
      <c r="BG2229" s="79"/>
      <c r="BH2229" s="99"/>
    </row>
    <row r="2230" spans="51:60" x14ac:dyDescent="0.2">
      <c r="AY2230" s="79"/>
      <c r="AZ2230" s="85"/>
      <c r="BA2230" s="40"/>
      <c r="BB2230" s="99"/>
      <c r="BC2230" s="85"/>
      <c r="BG2230" s="79"/>
      <c r="BH2230" s="99"/>
    </row>
    <row r="2231" spans="51:60" x14ac:dyDescent="0.2">
      <c r="AY2231" s="79"/>
      <c r="AZ2231" s="85"/>
      <c r="BA2231" s="40"/>
      <c r="BB2231" s="99"/>
      <c r="BC2231" s="85"/>
      <c r="BG2231" s="79"/>
      <c r="BH2231" s="99"/>
    </row>
    <row r="2232" spans="51:60" x14ac:dyDescent="0.2">
      <c r="AY2232" s="79"/>
      <c r="AZ2232" s="85"/>
      <c r="BA2232" s="40"/>
      <c r="BB2232" s="99"/>
      <c r="BC2232" s="85"/>
      <c r="BG2232" s="79"/>
      <c r="BH2232" s="99"/>
    </row>
    <row r="2233" spans="51:60" x14ac:dyDescent="0.2">
      <c r="AY2233" s="79"/>
      <c r="AZ2233" s="85"/>
      <c r="BA2233" s="40"/>
      <c r="BB2233" s="99"/>
      <c r="BC2233" s="85"/>
      <c r="BG2233" s="79"/>
      <c r="BH2233" s="99"/>
    </row>
    <row r="2234" spans="51:60" x14ac:dyDescent="0.2">
      <c r="AY2234" s="79"/>
      <c r="AZ2234" s="85"/>
      <c r="BA2234" s="40"/>
      <c r="BB2234" s="99"/>
      <c r="BC2234" s="85"/>
      <c r="BG2234" s="79"/>
      <c r="BH2234" s="99"/>
    </row>
    <row r="2235" spans="51:60" x14ac:dyDescent="0.2">
      <c r="AY2235" s="79"/>
      <c r="AZ2235" s="85"/>
      <c r="BA2235" s="40"/>
      <c r="BB2235" s="99"/>
      <c r="BC2235" s="85"/>
      <c r="BG2235" s="79"/>
      <c r="BH2235" s="99"/>
    </row>
    <row r="2236" spans="51:60" x14ac:dyDescent="0.2">
      <c r="AY2236" s="79"/>
      <c r="AZ2236" s="85"/>
      <c r="BA2236" s="40"/>
      <c r="BB2236" s="99"/>
      <c r="BC2236" s="85"/>
      <c r="BG2236" s="79"/>
      <c r="BH2236" s="99"/>
    </row>
    <row r="2237" spans="51:60" x14ac:dyDescent="0.2">
      <c r="AY2237" s="79"/>
      <c r="AZ2237" s="85"/>
      <c r="BA2237" s="40"/>
      <c r="BB2237" s="99"/>
      <c r="BC2237" s="85"/>
      <c r="BG2237" s="79"/>
      <c r="BH2237" s="99"/>
    </row>
    <row r="2238" spans="51:60" x14ac:dyDescent="0.2">
      <c r="AY2238" s="79"/>
      <c r="AZ2238" s="85"/>
      <c r="BA2238" s="40"/>
      <c r="BB2238" s="99"/>
      <c r="BC2238" s="85"/>
      <c r="BG2238" s="79"/>
      <c r="BH2238" s="99"/>
    </row>
    <row r="2239" spans="51:60" x14ac:dyDescent="0.2">
      <c r="AY2239" s="79"/>
      <c r="AZ2239" s="85"/>
      <c r="BA2239" s="40"/>
      <c r="BB2239" s="99"/>
      <c r="BC2239" s="85"/>
      <c r="BG2239" s="79"/>
      <c r="BH2239" s="99"/>
    </row>
    <row r="2240" spans="51:60" x14ac:dyDescent="0.2">
      <c r="AY2240" s="79"/>
      <c r="AZ2240" s="85"/>
      <c r="BA2240" s="40"/>
      <c r="BB2240" s="99"/>
      <c r="BC2240" s="85"/>
      <c r="BG2240" s="79"/>
      <c r="BH2240" s="99"/>
    </row>
    <row r="2241" spans="51:60" x14ac:dyDescent="0.2">
      <c r="AY2241" s="79"/>
      <c r="AZ2241" s="85"/>
      <c r="BA2241" s="40"/>
      <c r="BB2241" s="99"/>
      <c r="BC2241" s="85"/>
      <c r="BG2241" s="79"/>
      <c r="BH2241" s="99"/>
    </row>
    <row r="2242" spans="51:60" x14ac:dyDescent="0.2">
      <c r="AY2242" s="79"/>
      <c r="AZ2242" s="85"/>
      <c r="BA2242" s="40"/>
      <c r="BB2242" s="99"/>
      <c r="BC2242" s="85"/>
      <c r="BG2242" s="79"/>
      <c r="BH2242" s="99"/>
    </row>
    <row r="2243" spans="51:60" x14ac:dyDescent="0.2">
      <c r="AY2243" s="79"/>
      <c r="AZ2243" s="85"/>
      <c r="BA2243" s="40"/>
      <c r="BB2243" s="99"/>
      <c r="BC2243" s="85"/>
      <c r="BG2243" s="79"/>
      <c r="BH2243" s="99"/>
    </row>
    <row r="2244" spans="51:60" x14ac:dyDescent="0.2">
      <c r="AY2244" s="79"/>
      <c r="AZ2244" s="85"/>
      <c r="BA2244" s="40"/>
      <c r="BB2244" s="99"/>
      <c r="BC2244" s="85"/>
      <c r="BG2244" s="79"/>
      <c r="BH2244" s="99"/>
    </row>
    <row r="2245" spans="51:60" x14ac:dyDescent="0.2">
      <c r="AY2245" s="79"/>
      <c r="AZ2245" s="85"/>
      <c r="BA2245" s="40"/>
      <c r="BB2245" s="99"/>
      <c r="BC2245" s="85"/>
      <c r="BG2245" s="79"/>
      <c r="BH2245" s="99"/>
    </row>
    <row r="2246" spans="51:60" x14ac:dyDescent="0.2">
      <c r="AY2246" s="79"/>
      <c r="AZ2246" s="85"/>
      <c r="BA2246" s="40"/>
      <c r="BB2246" s="99"/>
      <c r="BC2246" s="85"/>
      <c r="BG2246" s="79"/>
      <c r="BH2246" s="99"/>
    </row>
    <row r="2247" spans="51:60" x14ac:dyDescent="0.2">
      <c r="AY2247" s="79"/>
      <c r="AZ2247" s="85"/>
      <c r="BA2247" s="40"/>
      <c r="BB2247" s="99"/>
      <c r="BC2247" s="85"/>
      <c r="BG2247" s="79"/>
      <c r="BH2247" s="99"/>
    </row>
    <row r="2248" spans="51:60" x14ac:dyDescent="0.2">
      <c r="AY2248" s="79"/>
      <c r="AZ2248" s="85"/>
      <c r="BA2248" s="40"/>
      <c r="BB2248" s="99"/>
      <c r="BC2248" s="85"/>
      <c r="BG2248" s="79"/>
      <c r="BH2248" s="99"/>
    </row>
    <row r="2249" spans="51:60" x14ac:dyDescent="0.2">
      <c r="AY2249" s="79"/>
      <c r="AZ2249" s="85"/>
      <c r="BA2249" s="40"/>
      <c r="BB2249" s="99"/>
      <c r="BC2249" s="85"/>
      <c r="BG2249" s="79"/>
      <c r="BH2249" s="99"/>
    </row>
    <row r="2250" spans="51:60" x14ac:dyDescent="0.2">
      <c r="AY2250" s="79"/>
      <c r="AZ2250" s="85"/>
      <c r="BA2250" s="40"/>
      <c r="BB2250" s="99"/>
      <c r="BC2250" s="85"/>
      <c r="BG2250" s="79"/>
      <c r="BH2250" s="99"/>
    </row>
    <row r="2251" spans="51:60" x14ac:dyDescent="0.2">
      <c r="AY2251" s="79"/>
      <c r="AZ2251" s="85"/>
      <c r="BA2251" s="40"/>
      <c r="BB2251" s="99"/>
      <c r="BC2251" s="85"/>
      <c r="BG2251" s="79"/>
      <c r="BH2251" s="99"/>
    </row>
    <row r="2252" spans="51:60" x14ac:dyDescent="0.2">
      <c r="AY2252" s="79"/>
      <c r="AZ2252" s="85"/>
      <c r="BA2252" s="40"/>
      <c r="BB2252" s="99"/>
      <c r="BC2252" s="85"/>
      <c r="BG2252" s="79"/>
      <c r="BH2252" s="99"/>
    </row>
    <row r="2253" spans="51:60" x14ac:dyDescent="0.2">
      <c r="AY2253" s="79"/>
      <c r="AZ2253" s="85"/>
      <c r="BA2253" s="40"/>
      <c r="BB2253" s="99"/>
      <c r="BC2253" s="85"/>
      <c r="BG2253" s="79"/>
      <c r="BH2253" s="99"/>
    </row>
    <row r="2254" spans="51:60" x14ac:dyDescent="0.2">
      <c r="AY2254" s="79"/>
      <c r="AZ2254" s="85"/>
      <c r="BA2254" s="40"/>
      <c r="BB2254" s="99"/>
      <c r="BC2254" s="85"/>
      <c r="BG2254" s="79"/>
      <c r="BH2254" s="99"/>
    </row>
    <row r="2255" spans="51:60" x14ac:dyDescent="0.2">
      <c r="AY2255" s="79"/>
      <c r="AZ2255" s="85"/>
      <c r="BA2255" s="40"/>
      <c r="BB2255" s="99"/>
      <c r="BC2255" s="85"/>
      <c r="BG2255" s="79"/>
      <c r="BH2255" s="99"/>
    </row>
    <row r="2256" spans="51:60" x14ac:dyDescent="0.2">
      <c r="AY2256" s="79"/>
      <c r="AZ2256" s="85"/>
      <c r="BA2256" s="40"/>
      <c r="BB2256" s="99"/>
      <c r="BC2256" s="85"/>
      <c r="BG2256" s="79"/>
      <c r="BH2256" s="99"/>
    </row>
    <row r="2257" spans="51:60" x14ac:dyDescent="0.2">
      <c r="AY2257" s="79"/>
      <c r="AZ2257" s="85"/>
      <c r="BA2257" s="40"/>
      <c r="BB2257" s="99"/>
      <c r="BC2257" s="85"/>
      <c r="BG2257" s="79"/>
      <c r="BH2257" s="99"/>
    </row>
    <row r="2258" spans="51:60" x14ac:dyDescent="0.2">
      <c r="AY2258" s="79"/>
      <c r="AZ2258" s="85"/>
      <c r="BA2258" s="40"/>
      <c r="BB2258" s="99"/>
      <c r="BC2258" s="85"/>
      <c r="BG2258" s="79"/>
      <c r="BH2258" s="99"/>
    </row>
    <row r="2259" spans="51:60" x14ac:dyDescent="0.2">
      <c r="AY2259" s="79"/>
      <c r="AZ2259" s="85"/>
      <c r="BA2259" s="40"/>
      <c r="BB2259" s="99"/>
      <c r="BC2259" s="85"/>
      <c r="BG2259" s="79"/>
      <c r="BH2259" s="99"/>
    </row>
    <row r="2260" spans="51:60" x14ac:dyDescent="0.2">
      <c r="AY2260" s="79"/>
      <c r="AZ2260" s="85"/>
      <c r="BA2260" s="40"/>
      <c r="BB2260" s="99"/>
      <c r="BC2260" s="85"/>
      <c r="BG2260" s="79"/>
      <c r="BH2260" s="99"/>
    </row>
    <row r="2261" spans="51:60" x14ac:dyDescent="0.2">
      <c r="AY2261" s="79"/>
      <c r="AZ2261" s="85"/>
      <c r="BA2261" s="40"/>
      <c r="BB2261" s="99"/>
      <c r="BC2261" s="85"/>
      <c r="BG2261" s="79"/>
      <c r="BH2261" s="99"/>
    </row>
    <row r="2262" spans="51:60" x14ac:dyDescent="0.2">
      <c r="AY2262" s="79"/>
      <c r="AZ2262" s="85"/>
      <c r="BA2262" s="40"/>
      <c r="BB2262" s="99"/>
      <c r="BC2262" s="85"/>
      <c r="BG2262" s="79"/>
      <c r="BH2262" s="99"/>
    </row>
    <row r="2263" spans="51:60" x14ac:dyDescent="0.2">
      <c r="AY2263" s="79"/>
      <c r="AZ2263" s="85"/>
      <c r="BA2263" s="40"/>
      <c r="BB2263" s="99"/>
      <c r="BC2263" s="85"/>
      <c r="BG2263" s="79"/>
      <c r="BH2263" s="99"/>
    </row>
    <row r="2264" spans="51:60" x14ac:dyDescent="0.2">
      <c r="AY2264" s="79"/>
      <c r="AZ2264" s="85"/>
      <c r="BA2264" s="40"/>
      <c r="BB2264" s="99"/>
      <c r="BC2264" s="85"/>
      <c r="BG2264" s="79"/>
      <c r="BH2264" s="99"/>
    </row>
    <row r="2265" spans="51:60" x14ac:dyDescent="0.2">
      <c r="AY2265" s="79"/>
      <c r="AZ2265" s="85"/>
      <c r="BA2265" s="40"/>
      <c r="BB2265" s="99"/>
      <c r="BC2265" s="85"/>
      <c r="BG2265" s="79"/>
      <c r="BH2265" s="99"/>
    </row>
    <row r="2266" spans="51:60" x14ac:dyDescent="0.2">
      <c r="AY2266" s="79"/>
      <c r="AZ2266" s="85"/>
      <c r="BA2266" s="40"/>
      <c r="BB2266" s="99"/>
      <c r="BC2266" s="85"/>
      <c r="BG2266" s="79"/>
      <c r="BH2266" s="99"/>
    </row>
    <row r="2267" spans="51:60" x14ac:dyDescent="0.2">
      <c r="AY2267" s="79"/>
      <c r="AZ2267" s="85"/>
      <c r="BA2267" s="40"/>
      <c r="BB2267" s="99"/>
      <c r="BC2267" s="85"/>
      <c r="BG2267" s="79"/>
      <c r="BH2267" s="99"/>
    </row>
    <row r="2268" spans="51:60" x14ac:dyDescent="0.2">
      <c r="AY2268" s="79"/>
      <c r="AZ2268" s="85"/>
      <c r="BA2268" s="40"/>
      <c r="BB2268" s="99"/>
      <c r="BC2268" s="85"/>
      <c r="BG2268" s="79"/>
      <c r="BH2268" s="99"/>
    </row>
    <row r="2269" spans="51:60" x14ac:dyDescent="0.2">
      <c r="AY2269" s="79"/>
      <c r="AZ2269" s="85"/>
      <c r="BA2269" s="40"/>
      <c r="BB2269" s="99"/>
      <c r="BC2269" s="85"/>
      <c r="BG2269" s="79"/>
      <c r="BH2269" s="99"/>
    </row>
    <row r="2270" spans="51:60" x14ac:dyDescent="0.2">
      <c r="AY2270" s="79"/>
      <c r="AZ2270" s="85"/>
      <c r="BA2270" s="40"/>
      <c r="BB2270" s="99"/>
      <c r="BC2270" s="85"/>
      <c r="BG2270" s="79"/>
      <c r="BH2270" s="99"/>
    </row>
    <row r="2271" spans="51:60" x14ac:dyDescent="0.2">
      <c r="AY2271" s="79"/>
      <c r="AZ2271" s="85"/>
      <c r="BA2271" s="40"/>
      <c r="BB2271" s="99"/>
      <c r="BC2271" s="85"/>
      <c r="BG2271" s="79"/>
      <c r="BH2271" s="99"/>
    </row>
    <row r="2272" spans="51:60" x14ac:dyDescent="0.2">
      <c r="AY2272" s="79"/>
      <c r="AZ2272" s="85"/>
      <c r="BA2272" s="40"/>
      <c r="BB2272" s="99"/>
      <c r="BC2272" s="85"/>
      <c r="BG2272" s="79"/>
      <c r="BH2272" s="99"/>
    </row>
    <row r="2273" spans="51:60" x14ac:dyDescent="0.2">
      <c r="AY2273" s="79"/>
      <c r="AZ2273" s="85"/>
      <c r="BA2273" s="40"/>
      <c r="BB2273" s="99"/>
      <c r="BC2273" s="85"/>
      <c r="BG2273" s="79"/>
      <c r="BH2273" s="99"/>
    </row>
    <row r="2274" spans="51:60" x14ac:dyDescent="0.2">
      <c r="AY2274" s="79"/>
      <c r="AZ2274" s="85"/>
      <c r="BA2274" s="40"/>
      <c r="BB2274" s="99"/>
      <c r="BC2274" s="85"/>
      <c r="BG2274" s="79"/>
      <c r="BH2274" s="99"/>
    </row>
    <row r="2275" spans="51:60" x14ac:dyDescent="0.2">
      <c r="AY2275" s="79"/>
      <c r="AZ2275" s="85"/>
      <c r="BA2275" s="40"/>
      <c r="BB2275" s="99"/>
      <c r="BC2275" s="85"/>
      <c r="BG2275" s="79"/>
      <c r="BH2275" s="99"/>
    </row>
    <row r="2276" spans="51:60" x14ac:dyDescent="0.2">
      <c r="AY2276" s="79"/>
      <c r="AZ2276" s="85"/>
      <c r="BA2276" s="40"/>
      <c r="BB2276" s="99"/>
      <c r="BC2276" s="85"/>
      <c r="BG2276" s="79"/>
      <c r="BH2276" s="99"/>
    </row>
    <row r="2277" spans="51:60" x14ac:dyDescent="0.2">
      <c r="AY2277" s="79"/>
      <c r="AZ2277" s="85"/>
      <c r="BA2277" s="40"/>
      <c r="BB2277" s="99"/>
      <c r="BC2277" s="85"/>
      <c r="BG2277" s="79"/>
      <c r="BH2277" s="99"/>
    </row>
    <row r="2278" spans="51:60" x14ac:dyDescent="0.2">
      <c r="AY2278" s="79"/>
      <c r="AZ2278" s="85"/>
      <c r="BA2278" s="40"/>
      <c r="BB2278" s="99"/>
      <c r="BC2278" s="85"/>
      <c r="BG2278" s="79"/>
      <c r="BH2278" s="99"/>
    </row>
    <row r="2279" spans="51:60" x14ac:dyDescent="0.2">
      <c r="AY2279" s="79"/>
      <c r="AZ2279" s="85"/>
      <c r="BA2279" s="40"/>
      <c r="BB2279" s="99"/>
      <c r="BC2279" s="85"/>
      <c r="BG2279" s="79"/>
      <c r="BH2279" s="99"/>
    </row>
    <row r="2280" spans="51:60" x14ac:dyDescent="0.2">
      <c r="AY2280" s="79"/>
      <c r="AZ2280" s="85"/>
      <c r="BA2280" s="40"/>
      <c r="BB2280" s="99"/>
      <c r="BC2280" s="85"/>
      <c r="BG2280" s="79"/>
      <c r="BH2280" s="99"/>
    </row>
    <row r="2281" spans="51:60" x14ac:dyDescent="0.2">
      <c r="AY2281" s="79"/>
      <c r="AZ2281" s="85"/>
      <c r="BA2281" s="40"/>
      <c r="BB2281" s="99"/>
      <c r="BC2281" s="85"/>
      <c r="BG2281" s="79"/>
      <c r="BH2281" s="99"/>
    </row>
    <row r="2282" spans="51:60" x14ac:dyDescent="0.2">
      <c r="AY2282" s="79"/>
      <c r="AZ2282" s="85"/>
      <c r="BA2282" s="40"/>
      <c r="BB2282" s="99"/>
      <c r="BC2282" s="85"/>
      <c r="BG2282" s="79"/>
      <c r="BH2282" s="99"/>
    </row>
    <row r="2283" spans="51:60" x14ac:dyDescent="0.2">
      <c r="AY2283" s="79"/>
      <c r="AZ2283" s="85"/>
      <c r="BA2283" s="40"/>
      <c r="BB2283" s="99"/>
      <c r="BC2283" s="85"/>
      <c r="BG2283" s="79"/>
      <c r="BH2283" s="99"/>
    </row>
    <row r="2284" spans="51:60" x14ac:dyDescent="0.2">
      <c r="AY2284" s="79"/>
      <c r="AZ2284" s="85"/>
      <c r="BA2284" s="40"/>
      <c r="BB2284" s="99"/>
      <c r="BC2284" s="85"/>
      <c r="BG2284" s="79"/>
      <c r="BH2284" s="99"/>
    </row>
    <row r="2285" spans="51:60" x14ac:dyDescent="0.2">
      <c r="AY2285" s="79"/>
      <c r="AZ2285" s="85"/>
      <c r="BA2285" s="40"/>
      <c r="BB2285" s="99"/>
      <c r="BC2285" s="85"/>
      <c r="BG2285" s="79"/>
      <c r="BH2285" s="99"/>
    </row>
    <row r="2286" spans="51:60" x14ac:dyDescent="0.2">
      <c r="AY2286" s="79"/>
      <c r="AZ2286" s="85"/>
      <c r="BA2286" s="40"/>
      <c r="BB2286" s="99"/>
      <c r="BC2286" s="85"/>
      <c r="BG2286" s="79"/>
      <c r="BH2286" s="99"/>
    </row>
    <row r="2287" spans="51:60" x14ac:dyDescent="0.2">
      <c r="AY2287" s="79"/>
      <c r="AZ2287" s="85"/>
      <c r="BA2287" s="40"/>
      <c r="BB2287" s="99"/>
      <c r="BC2287" s="85"/>
      <c r="BG2287" s="79"/>
      <c r="BH2287" s="99"/>
    </row>
    <row r="2288" spans="51:60" x14ac:dyDescent="0.2">
      <c r="AY2288" s="79"/>
      <c r="AZ2288" s="85"/>
      <c r="BA2288" s="40"/>
      <c r="BB2288" s="99"/>
      <c r="BC2288" s="85"/>
      <c r="BG2288" s="79"/>
      <c r="BH2288" s="99"/>
    </row>
    <row r="2289" spans="51:60" x14ac:dyDescent="0.2">
      <c r="AY2289" s="79"/>
      <c r="AZ2289" s="85"/>
      <c r="BA2289" s="40"/>
      <c r="BB2289" s="99"/>
      <c r="BC2289" s="85"/>
      <c r="BG2289" s="79"/>
      <c r="BH2289" s="99"/>
    </row>
    <row r="2290" spans="51:60" x14ac:dyDescent="0.2">
      <c r="AY2290" s="79"/>
      <c r="AZ2290" s="85"/>
      <c r="BA2290" s="40"/>
      <c r="BB2290" s="99"/>
      <c r="BC2290" s="85"/>
      <c r="BG2290" s="79"/>
      <c r="BH2290" s="99"/>
    </row>
    <row r="2291" spans="51:60" x14ac:dyDescent="0.2">
      <c r="AY2291" s="79"/>
      <c r="AZ2291" s="85"/>
      <c r="BA2291" s="40"/>
      <c r="BB2291" s="99"/>
      <c r="BC2291" s="85"/>
      <c r="BG2291" s="79"/>
      <c r="BH2291" s="99"/>
    </row>
    <row r="2292" spans="51:60" x14ac:dyDescent="0.2">
      <c r="AY2292" s="79"/>
      <c r="AZ2292" s="85"/>
      <c r="BA2292" s="40"/>
      <c r="BB2292" s="99"/>
      <c r="BC2292" s="85"/>
      <c r="BG2292" s="79"/>
      <c r="BH2292" s="99"/>
    </row>
    <row r="2293" spans="51:60" x14ac:dyDescent="0.2">
      <c r="AY2293" s="79"/>
      <c r="AZ2293" s="85"/>
      <c r="BA2293" s="40"/>
      <c r="BB2293" s="99"/>
      <c r="BC2293" s="85"/>
      <c r="BG2293" s="79"/>
      <c r="BH2293" s="99"/>
    </row>
    <row r="2294" spans="51:60" x14ac:dyDescent="0.2">
      <c r="AY2294" s="79"/>
      <c r="AZ2294" s="85"/>
      <c r="BA2294" s="40"/>
      <c r="BB2294" s="99"/>
      <c r="BC2294" s="85"/>
      <c r="BG2294" s="79"/>
      <c r="BH2294" s="99"/>
    </row>
    <row r="2295" spans="51:60" x14ac:dyDescent="0.2">
      <c r="AY2295" s="79"/>
      <c r="AZ2295" s="85"/>
      <c r="BA2295" s="40"/>
      <c r="BB2295" s="99"/>
      <c r="BC2295" s="85"/>
      <c r="BG2295" s="79"/>
      <c r="BH2295" s="99"/>
    </row>
    <row r="2296" spans="51:60" x14ac:dyDescent="0.2">
      <c r="AY2296" s="79"/>
      <c r="AZ2296" s="85"/>
      <c r="BA2296" s="40"/>
      <c r="BB2296" s="99"/>
      <c r="BC2296" s="85"/>
      <c r="BG2296" s="79"/>
      <c r="BH2296" s="99"/>
    </row>
    <row r="2297" spans="51:60" x14ac:dyDescent="0.2">
      <c r="AY2297" s="79"/>
      <c r="AZ2297" s="85"/>
      <c r="BA2297" s="40"/>
      <c r="BB2297" s="99"/>
      <c r="BC2297" s="85"/>
      <c r="BG2297" s="79"/>
      <c r="BH2297" s="99"/>
    </row>
    <row r="2298" spans="51:60" x14ac:dyDescent="0.2">
      <c r="AY2298" s="79"/>
      <c r="AZ2298" s="85"/>
      <c r="BA2298" s="40"/>
      <c r="BB2298" s="99"/>
      <c r="BC2298" s="85"/>
      <c r="BG2298" s="79"/>
      <c r="BH2298" s="99"/>
    </row>
    <row r="2299" spans="51:60" x14ac:dyDescent="0.2">
      <c r="AY2299" s="79"/>
      <c r="AZ2299" s="85"/>
      <c r="BA2299" s="40"/>
      <c r="BB2299" s="99"/>
      <c r="BC2299" s="85"/>
      <c r="BG2299" s="79"/>
      <c r="BH2299" s="99"/>
    </row>
    <row r="2300" spans="51:60" x14ac:dyDescent="0.2">
      <c r="AY2300" s="79"/>
      <c r="AZ2300" s="85"/>
      <c r="BA2300" s="40"/>
      <c r="BB2300" s="99"/>
      <c r="BC2300" s="85"/>
      <c r="BG2300" s="79"/>
      <c r="BH2300" s="99"/>
    </row>
    <row r="2301" spans="51:60" x14ac:dyDescent="0.2">
      <c r="AY2301" s="79"/>
      <c r="AZ2301" s="85"/>
      <c r="BA2301" s="40"/>
      <c r="BB2301" s="99"/>
      <c r="BC2301" s="85"/>
      <c r="BG2301" s="79"/>
      <c r="BH2301" s="99"/>
    </row>
    <row r="2302" spans="51:60" x14ac:dyDescent="0.2">
      <c r="AY2302" s="79"/>
      <c r="AZ2302" s="85"/>
      <c r="BA2302" s="40"/>
      <c r="BB2302" s="99"/>
      <c r="BC2302" s="85"/>
      <c r="BG2302" s="79"/>
      <c r="BH2302" s="99"/>
    </row>
    <row r="2303" spans="51:60" x14ac:dyDescent="0.2">
      <c r="AY2303" s="79"/>
      <c r="AZ2303" s="85"/>
      <c r="BA2303" s="40"/>
      <c r="BB2303" s="99"/>
      <c r="BC2303" s="85"/>
      <c r="BG2303" s="79"/>
      <c r="BH2303" s="99"/>
    </row>
    <row r="2304" spans="51:60" x14ac:dyDescent="0.2">
      <c r="AY2304" s="79"/>
      <c r="AZ2304" s="85"/>
      <c r="BA2304" s="40"/>
      <c r="BB2304" s="99"/>
      <c r="BC2304" s="85"/>
      <c r="BG2304" s="79"/>
      <c r="BH2304" s="99"/>
    </row>
    <row r="2305" spans="51:60" x14ac:dyDescent="0.2">
      <c r="AY2305" s="79"/>
      <c r="AZ2305" s="85"/>
      <c r="BA2305" s="40"/>
      <c r="BB2305" s="99"/>
      <c r="BC2305" s="85"/>
      <c r="BG2305" s="79"/>
      <c r="BH2305" s="99"/>
    </row>
    <row r="2306" spans="51:60" x14ac:dyDescent="0.2">
      <c r="AY2306" s="79"/>
      <c r="AZ2306" s="85"/>
      <c r="BA2306" s="40"/>
      <c r="BB2306" s="99"/>
      <c r="BC2306" s="85"/>
      <c r="BG2306" s="79"/>
      <c r="BH2306" s="99"/>
    </row>
    <row r="2307" spans="51:60" x14ac:dyDescent="0.2">
      <c r="AY2307" s="79"/>
      <c r="AZ2307" s="85"/>
      <c r="BA2307" s="40"/>
      <c r="BB2307" s="99"/>
      <c r="BC2307" s="85"/>
      <c r="BG2307" s="79"/>
      <c r="BH2307" s="99"/>
    </row>
    <row r="2308" spans="51:60" x14ac:dyDescent="0.2">
      <c r="AY2308" s="79"/>
      <c r="AZ2308" s="85"/>
      <c r="BA2308" s="40"/>
      <c r="BB2308" s="99"/>
      <c r="BC2308" s="85"/>
      <c r="BG2308" s="79"/>
      <c r="BH2308" s="99"/>
    </row>
    <row r="2309" spans="51:60" x14ac:dyDescent="0.2">
      <c r="AY2309" s="79"/>
      <c r="AZ2309" s="85"/>
      <c r="BA2309" s="40"/>
      <c r="BB2309" s="99"/>
      <c r="BC2309" s="85"/>
      <c r="BG2309" s="79"/>
      <c r="BH2309" s="99"/>
    </row>
    <row r="2310" spans="51:60" x14ac:dyDescent="0.2">
      <c r="AY2310" s="79"/>
      <c r="AZ2310" s="85"/>
      <c r="BA2310" s="40"/>
      <c r="BB2310" s="99"/>
      <c r="BC2310" s="85"/>
      <c r="BG2310" s="79"/>
      <c r="BH2310" s="99"/>
    </row>
    <row r="2311" spans="51:60" x14ac:dyDescent="0.2">
      <c r="AY2311" s="79"/>
      <c r="AZ2311" s="85"/>
      <c r="BA2311" s="40"/>
      <c r="BB2311" s="99"/>
      <c r="BC2311" s="85"/>
      <c r="BG2311" s="79"/>
      <c r="BH2311" s="99"/>
    </row>
    <row r="2312" spans="51:60" x14ac:dyDescent="0.2">
      <c r="AY2312" s="79"/>
      <c r="AZ2312" s="85"/>
      <c r="BA2312" s="40"/>
      <c r="BB2312" s="99"/>
      <c r="BC2312" s="85"/>
      <c r="BG2312" s="79"/>
      <c r="BH2312" s="99"/>
    </row>
    <row r="2313" spans="51:60" x14ac:dyDescent="0.2">
      <c r="AY2313" s="79"/>
      <c r="AZ2313" s="85"/>
      <c r="BA2313" s="40"/>
      <c r="BB2313" s="99"/>
      <c r="BC2313" s="85"/>
      <c r="BG2313" s="79"/>
      <c r="BH2313" s="99"/>
    </row>
    <row r="2314" spans="51:60" x14ac:dyDescent="0.2">
      <c r="AY2314" s="79"/>
      <c r="AZ2314" s="85"/>
      <c r="BA2314" s="40"/>
      <c r="BB2314" s="99"/>
      <c r="BC2314" s="85"/>
      <c r="BG2314" s="79"/>
      <c r="BH2314" s="99"/>
    </row>
    <row r="2315" spans="51:60" x14ac:dyDescent="0.2">
      <c r="AY2315" s="79"/>
      <c r="AZ2315" s="85"/>
      <c r="BA2315" s="40"/>
      <c r="BB2315" s="99"/>
      <c r="BC2315" s="85"/>
      <c r="BG2315" s="79"/>
      <c r="BH2315" s="99"/>
    </row>
    <row r="2316" spans="51:60" x14ac:dyDescent="0.2">
      <c r="AY2316" s="79"/>
      <c r="AZ2316" s="85"/>
      <c r="BA2316" s="40"/>
      <c r="BB2316" s="99"/>
      <c r="BC2316" s="85"/>
      <c r="BG2316" s="79"/>
      <c r="BH2316" s="99"/>
    </row>
    <row r="2317" spans="51:60" x14ac:dyDescent="0.2">
      <c r="AY2317" s="79"/>
      <c r="AZ2317" s="85"/>
      <c r="BA2317" s="40"/>
      <c r="BB2317" s="99"/>
      <c r="BC2317" s="85"/>
      <c r="BG2317" s="79"/>
      <c r="BH2317" s="99"/>
    </row>
    <row r="2318" spans="51:60" x14ac:dyDescent="0.2">
      <c r="AY2318" s="79"/>
      <c r="AZ2318" s="85"/>
      <c r="BA2318" s="40"/>
      <c r="BB2318" s="99"/>
      <c r="BC2318" s="85"/>
      <c r="BG2318" s="79"/>
      <c r="BH2318" s="99"/>
    </row>
    <row r="2319" spans="51:60" x14ac:dyDescent="0.2">
      <c r="AY2319" s="79"/>
      <c r="AZ2319" s="85"/>
      <c r="BA2319" s="40"/>
      <c r="BB2319" s="99"/>
      <c r="BC2319" s="85"/>
      <c r="BG2319" s="79"/>
      <c r="BH2319" s="99"/>
    </row>
    <row r="2320" spans="51:60" x14ac:dyDescent="0.2">
      <c r="AY2320" s="79"/>
      <c r="AZ2320" s="85"/>
      <c r="BA2320" s="40"/>
      <c r="BB2320" s="99"/>
      <c r="BC2320" s="85"/>
      <c r="BG2320" s="79"/>
      <c r="BH2320" s="99"/>
    </row>
    <row r="2321" spans="51:60" x14ac:dyDescent="0.2">
      <c r="AY2321" s="79"/>
      <c r="AZ2321" s="85"/>
      <c r="BA2321" s="40"/>
      <c r="BB2321" s="99"/>
      <c r="BC2321" s="85"/>
      <c r="BG2321" s="79"/>
      <c r="BH2321" s="99"/>
    </row>
    <row r="2322" spans="51:60" x14ac:dyDescent="0.2">
      <c r="AY2322" s="79"/>
      <c r="AZ2322" s="85"/>
      <c r="BA2322" s="40"/>
      <c r="BB2322" s="99"/>
      <c r="BC2322" s="85"/>
      <c r="BG2322" s="79"/>
      <c r="BH2322" s="99"/>
    </row>
    <row r="2323" spans="51:60" x14ac:dyDescent="0.2">
      <c r="AY2323" s="79"/>
      <c r="AZ2323" s="85"/>
      <c r="BA2323" s="40"/>
      <c r="BB2323" s="99"/>
      <c r="BC2323" s="85"/>
      <c r="BG2323" s="79"/>
      <c r="BH2323" s="99"/>
    </row>
    <row r="2324" spans="51:60" x14ac:dyDescent="0.2">
      <c r="AY2324" s="79"/>
      <c r="AZ2324" s="85"/>
      <c r="BA2324" s="40"/>
      <c r="BB2324" s="99"/>
      <c r="BC2324" s="85"/>
      <c r="BG2324" s="79"/>
      <c r="BH2324" s="99"/>
    </row>
    <row r="2325" spans="51:60" x14ac:dyDescent="0.2">
      <c r="AY2325" s="79"/>
      <c r="AZ2325" s="85"/>
      <c r="BA2325" s="40"/>
      <c r="BB2325" s="99"/>
      <c r="BC2325" s="85"/>
      <c r="BG2325" s="79"/>
      <c r="BH2325" s="99"/>
    </row>
    <row r="2326" spans="51:60" x14ac:dyDescent="0.2">
      <c r="AY2326" s="79"/>
      <c r="AZ2326" s="85"/>
      <c r="BA2326" s="40"/>
      <c r="BB2326" s="99"/>
      <c r="BC2326" s="85"/>
      <c r="BG2326" s="79"/>
      <c r="BH2326" s="99"/>
    </row>
    <row r="2327" spans="51:60" x14ac:dyDescent="0.2">
      <c r="AY2327" s="79"/>
      <c r="AZ2327" s="85"/>
      <c r="BA2327" s="40"/>
      <c r="BB2327" s="99"/>
      <c r="BC2327" s="85"/>
      <c r="BG2327" s="79"/>
      <c r="BH2327" s="99"/>
    </row>
    <row r="2328" spans="51:60" x14ac:dyDescent="0.2">
      <c r="AY2328" s="79"/>
      <c r="AZ2328" s="85"/>
      <c r="BA2328" s="40"/>
      <c r="BB2328" s="99"/>
      <c r="BC2328" s="85"/>
      <c r="BG2328" s="79"/>
      <c r="BH2328" s="99"/>
    </row>
    <row r="2329" spans="51:60" x14ac:dyDescent="0.2">
      <c r="AY2329" s="79"/>
      <c r="AZ2329" s="85"/>
      <c r="BA2329" s="40"/>
      <c r="BB2329" s="99"/>
      <c r="BC2329" s="85"/>
      <c r="BG2329" s="79"/>
      <c r="BH2329" s="99"/>
    </row>
    <row r="2330" spans="51:60" x14ac:dyDescent="0.2">
      <c r="AY2330" s="79"/>
      <c r="AZ2330" s="85"/>
      <c r="BA2330" s="40"/>
      <c r="BB2330" s="99"/>
      <c r="BC2330" s="85"/>
      <c r="BG2330" s="79"/>
      <c r="BH2330" s="99"/>
    </row>
    <row r="2331" spans="51:60" x14ac:dyDescent="0.2">
      <c r="AY2331" s="79"/>
      <c r="AZ2331" s="85"/>
      <c r="BA2331" s="40"/>
      <c r="BB2331" s="99"/>
      <c r="BC2331" s="85"/>
      <c r="BG2331" s="79"/>
      <c r="BH2331" s="99"/>
    </row>
    <row r="2332" spans="51:60" x14ac:dyDescent="0.2">
      <c r="AY2332" s="79"/>
      <c r="AZ2332" s="85"/>
      <c r="BA2332" s="40"/>
      <c r="BB2332" s="99"/>
      <c r="BC2332" s="85"/>
      <c r="BG2332" s="79"/>
      <c r="BH2332" s="99"/>
    </row>
    <row r="2333" spans="51:60" x14ac:dyDescent="0.2">
      <c r="AY2333" s="79"/>
      <c r="AZ2333" s="85"/>
      <c r="BA2333" s="40"/>
      <c r="BB2333" s="99"/>
      <c r="BC2333" s="85"/>
      <c r="BG2333" s="79"/>
      <c r="BH2333" s="99"/>
    </row>
    <row r="2334" spans="51:60" x14ac:dyDescent="0.2">
      <c r="AY2334" s="79"/>
      <c r="AZ2334" s="85"/>
      <c r="BA2334" s="40"/>
      <c r="BB2334" s="99"/>
      <c r="BC2334" s="85"/>
      <c r="BG2334" s="79"/>
      <c r="BH2334" s="99"/>
    </row>
    <row r="2335" spans="51:60" x14ac:dyDescent="0.2">
      <c r="AY2335" s="79"/>
      <c r="AZ2335" s="85"/>
      <c r="BA2335" s="40"/>
      <c r="BB2335" s="99"/>
      <c r="BC2335" s="85"/>
      <c r="BG2335" s="79"/>
      <c r="BH2335" s="99"/>
    </row>
    <row r="2336" spans="51:60" x14ac:dyDescent="0.2">
      <c r="AY2336" s="79"/>
      <c r="AZ2336" s="85"/>
      <c r="BA2336" s="40"/>
      <c r="BB2336" s="99"/>
      <c r="BC2336" s="85"/>
      <c r="BG2336" s="79"/>
      <c r="BH2336" s="99"/>
    </row>
    <row r="2337" spans="51:60" x14ac:dyDescent="0.2">
      <c r="AY2337" s="79"/>
      <c r="AZ2337" s="85"/>
      <c r="BA2337" s="40"/>
      <c r="BB2337" s="99"/>
      <c r="BC2337" s="85"/>
      <c r="BG2337" s="79"/>
      <c r="BH2337" s="99"/>
    </row>
    <row r="2338" spans="51:60" x14ac:dyDescent="0.2">
      <c r="AY2338" s="79"/>
      <c r="AZ2338" s="85"/>
      <c r="BA2338" s="40"/>
      <c r="BB2338" s="99"/>
      <c r="BC2338" s="85"/>
      <c r="BG2338" s="79"/>
      <c r="BH2338" s="99"/>
    </row>
    <row r="2339" spans="51:60" x14ac:dyDescent="0.2">
      <c r="AY2339" s="79"/>
      <c r="AZ2339" s="85"/>
      <c r="BA2339" s="40"/>
      <c r="BB2339" s="99"/>
      <c r="BC2339" s="85"/>
      <c r="BG2339" s="79"/>
      <c r="BH2339" s="99"/>
    </row>
    <row r="2340" spans="51:60" x14ac:dyDescent="0.2">
      <c r="AY2340" s="79"/>
      <c r="AZ2340" s="85"/>
      <c r="BA2340" s="40"/>
      <c r="BB2340" s="99"/>
      <c r="BC2340" s="85"/>
      <c r="BG2340" s="79"/>
      <c r="BH2340" s="99"/>
    </row>
    <row r="2341" spans="51:60" x14ac:dyDescent="0.2">
      <c r="AY2341" s="79"/>
      <c r="AZ2341" s="85"/>
      <c r="BA2341" s="40"/>
      <c r="BB2341" s="99"/>
      <c r="BC2341" s="85"/>
      <c r="BG2341" s="79"/>
      <c r="BH2341" s="99"/>
    </row>
    <row r="2342" spans="51:60" x14ac:dyDescent="0.2">
      <c r="AY2342" s="79"/>
      <c r="AZ2342" s="85"/>
      <c r="BA2342" s="40"/>
      <c r="BB2342" s="99"/>
      <c r="BC2342" s="85"/>
      <c r="BG2342" s="79"/>
      <c r="BH2342" s="99"/>
    </row>
    <row r="2343" spans="51:60" x14ac:dyDescent="0.2">
      <c r="AY2343" s="79"/>
      <c r="AZ2343" s="85"/>
      <c r="BA2343" s="40"/>
      <c r="BB2343" s="99"/>
      <c r="BC2343" s="85"/>
      <c r="BG2343" s="79"/>
      <c r="BH2343" s="99"/>
    </row>
    <row r="2344" spans="51:60" x14ac:dyDescent="0.2">
      <c r="AY2344" s="79"/>
      <c r="AZ2344" s="85"/>
      <c r="BA2344" s="40"/>
      <c r="BB2344" s="99"/>
      <c r="BC2344" s="85"/>
      <c r="BG2344" s="79"/>
      <c r="BH2344" s="99"/>
    </row>
    <row r="2345" spans="51:60" x14ac:dyDescent="0.2">
      <c r="AY2345" s="79"/>
      <c r="AZ2345" s="85"/>
      <c r="BA2345" s="40"/>
      <c r="BB2345" s="99"/>
      <c r="BC2345" s="85"/>
      <c r="BG2345" s="79"/>
      <c r="BH2345" s="99"/>
    </row>
    <row r="2346" spans="51:60" x14ac:dyDescent="0.2">
      <c r="AY2346" s="79"/>
      <c r="AZ2346" s="85"/>
      <c r="BA2346" s="40"/>
      <c r="BB2346" s="99"/>
      <c r="BC2346" s="85"/>
      <c r="BG2346" s="79"/>
      <c r="BH2346" s="99"/>
    </row>
    <row r="2347" spans="51:60" x14ac:dyDescent="0.2">
      <c r="AY2347" s="79"/>
      <c r="AZ2347" s="85"/>
      <c r="BA2347" s="40"/>
      <c r="BB2347" s="99"/>
      <c r="BC2347" s="85"/>
      <c r="BG2347" s="79"/>
      <c r="BH2347" s="99"/>
    </row>
    <row r="2348" spans="51:60" x14ac:dyDescent="0.2">
      <c r="AY2348" s="79"/>
      <c r="AZ2348" s="85"/>
      <c r="BA2348" s="40"/>
      <c r="BB2348" s="99"/>
      <c r="BC2348" s="85"/>
      <c r="BG2348" s="79"/>
      <c r="BH2348" s="99"/>
    </row>
    <row r="2349" spans="51:60" x14ac:dyDescent="0.2">
      <c r="AY2349" s="79"/>
      <c r="AZ2349" s="85"/>
      <c r="BA2349" s="40"/>
      <c r="BB2349" s="99"/>
      <c r="BC2349" s="85"/>
      <c r="BG2349" s="79"/>
      <c r="BH2349" s="99"/>
    </row>
    <row r="2350" spans="51:60" x14ac:dyDescent="0.2">
      <c r="AY2350" s="79"/>
      <c r="AZ2350" s="85"/>
      <c r="BA2350" s="40"/>
      <c r="BB2350" s="99"/>
      <c r="BC2350" s="85"/>
      <c r="BG2350" s="79"/>
      <c r="BH2350" s="99"/>
    </row>
    <row r="2351" spans="51:60" x14ac:dyDescent="0.2">
      <c r="AY2351" s="79"/>
      <c r="AZ2351" s="85"/>
      <c r="BA2351" s="40"/>
      <c r="BB2351" s="99"/>
      <c r="BC2351" s="85"/>
      <c r="BG2351" s="79"/>
      <c r="BH2351" s="99"/>
    </row>
    <row r="2352" spans="51:60" x14ac:dyDescent="0.2">
      <c r="AY2352" s="79"/>
      <c r="AZ2352" s="85"/>
      <c r="BA2352" s="40"/>
      <c r="BB2352" s="99"/>
      <c r="BC2352" s="85"/>
      <c r="BG2352" s="79"/>
      <c r="BH2352" s="99"/>
    </row>
    <row r="2353" spans="51:60" x14ac:dyDescent="0.2">
      <c r="AY2353" s="79"/>
      <c r="AZ2353" s="85"/>
      <c r="BA2353" s="40"/>
      <c r="BB2353" s="99"/>
      <c r="BC2353" s="85"/>
      <c r="BG2353" s="79"/>
      <c r="BH2353" s="99"/>
    </row>
    <row r="2354" spans="51:60" x14ac:dyDescent="0.2">
      <c r="AY2354" s="79"/>
      <c r="AZ2354" s="85"/>
      <c r="BA2354" s="40"/>
      <c r="BB2354" s="99"/>
      <c r="BC2354" s="85"/>
      <c r="BG2354" s="79"/>
      <c r="BH2354" s="99"/>
    </row>
    <row r="2355" spans="51:60" x14ac:dyDescent="0.2">
      <c r="AY2355" s="79"/>
      <c r="AZ2355" s="85"/>
      <c r="BA2355" s="40"/>
      <c r="BB2355" s="99"/>
      <c r="BC2355" s="85"/>
      <c r="BG2355" s="79"/>
      <c r="BH2355" s="99"/>
    </row>
    <row r="2356" spans="51:60" x14ac:dyDescent="0.2">
      <c r="AY2356" s="79"/>
      <c r="AZ2356" s="85"/>
      <c r="BA2356" s="40"/>
      <c r="BB2356" s="99"/>
      <c r="BC2356" s="85"/>
      <c r="BG2356" s="79"/>
      <c r="BH2356" s="99"/>
    </row>
    <row r="2357" spans="51:60" x14ac:dyDescent="0.2">
      <c r="AY2357" s="79"/>
      <c r="AZ2357" s="85"/>
      <c r="BA2357" s="40"/>
      <c r="BB2357" s="99"/>
      <c r="BC2357" s="85"/>
      <c r="BG2357" s="79"/>
      <c r="BH2357" s="99"/>
    </row>
    <row r="2358" spans="51:60" x14ac:dyDescent="0.2">
      <c r="AY2358" s="79"/>
      <c r="AZ2358" s="85"/>
      <c r="BA2358" s="40"/>
      <c r="BB2358" s="99"/>
      <c r="BC2358" s="85"/>
      <c r="BG2358" s="79"/>
      <c r="BH2358" s="99"/>
    </row>
    <row r="2359" spans="51:60" x14ac:dyDescent="0.2">
      <c r="AY2359" s="79"/>
      <c r="AZ2359" s="85"/>
      <c r="BA2359" s="40"/>
      <c r="BB2359" s="99"/>
      <c r="BC2359" s="85"/>
      <c r="BG2359" s="79"/>
      <c r="BH2359" s="99"/>
    </row>
    <row r="2360" spans="51:60" x14ac:dyDescent="0.2">
      <c r="AY2360" s="79"/>
      <c r="AZ2360" s="85"/>
      <c r="BA2360" s="40"/>
      <c r="BB2360" s="99"/>
      <c r="BC2360" s="85"/>
      <c r="BG2360" s="79"/>
      <c r="BH2360" s="99"/>
    </row>
    <row r="2361" spans="51:60" x14ac:dyDescent="0.2">
      <c r="AY2361" s="79"/>
      <c r="AZ2361" s="85"/>
      <c r="BA2361" s="40"/>
      <c r="BB2361" s="99"/>
      <c r="BC2361" s="85"/>
      <c r="BG2361" s="79"/>
      <c r="BH2361" s="99"/>
    </row>
    <row r="2362" spans="51:60" x14ac:dyDescent="0.2">
      <c r="AY2362" s="79"/>
      <c r="AZ2362" s="85"/>
      <c r="BA2362" s="40"/>
      <c r="BB2362" s="99"/>
      <c r="BC2362" s="85"/>
      <c r="BG2362" s="79"/>
      <c r="BH2362" s="99"/>
    </row>
    <row r="2363" spans="51:60" x14ac:dyDescent="0.2">
      <c r="AY2363" s="79"/>
      <c r="AZ2363" s="85"/>
      <c r="BA2363" s="40"/>
      <c r="BB2363" s="99"/>
      <c r="BC2363" s="85"/>
      <c r="BG2363" s="79"/>
      <c r="BH2363" s="99"/>
    </row>
    <row r="2364" spans="51:60" x14ac:dyDescent="0.2">
      <c r="AY2364" s="79"/>
      <c r="AZ2364" s="85"/>
      <c r="BA2364" s="40"/>
      <c r="BB2364" s="99"/>
      <c r="BC2364" s="85"/>
      <c r="BG2364" s="79"/>
      <c r="BH2364" s="99"/>
    </row>
    <row r="2365" spans="51:60" x14ac:dyDescent="0.2">
      <c r="AY2365" s="79"/>
      <c r="AZ2365" s="85"/>
      <c r="BA2365" s="40"/>
      <c r="BB2365" s="99"/>
      <c r="BC2365" s="85"/>
      <c r="BG2365" s="79"/>
      <c r="BH2365" s="99"/>
    </row>
    <row r="2366" spans="51:60" x14ac:dyDescent="0.2">
      <c r="AY2366" s="79"/>
      <c r="AZ2366" s="85"/>
      <c r="BA2366" s="40"/>
      <c r="BB2366" s="99"/>
      <c r="BC2366" s="85"/>
      <c r="BG2366" s="79"/>
      <c r="BH2366" s="99"/>
    </row>
    <row r="2367" spans="51:60" x14ac:dyDescent="0.2">
      <c r="AY2367" s="79"/>
      <c r="AZ2367" s="85"/>
      <c r="BA2367" s="40"/>
      <c r="BB2367" s="99"/>
      <c r="BC2367" s="85"/>
      <c r="BG2367" s="79"/>
      <c r="BH2367" s="99"/>
    </row>
    <row r="2368" spans="51:60" x14ac:dyDescent="0.2">
      <c r="AY2368" s="79"/>
      <c r="AZ2368" s="85"/>
      <c r="BA2368" s="40"/>
      <c r="BB2368" s="99"/>
      <c r="BC2368" s="85"/>
      <c r="BG2368" s="79"/>
      <c r="BH2368" s="99"/>
    </row>
    <row r="2369" spans="51:60" x14ac:dyDescent="0.2">
      <c r="AY2369" s="79"/>
      <c r="AZ2369" s="85"/>
      <c r="BA2369" s="40"/>
      <c r="BB2369" s="99"/>
      <c r="BC2369" s="85"/>
      <c r="BG2369" s="79"/>
      <c r="BH2369" s="99"/>
    </row>
    <row r="2370" spans="51:60" x14ac:dyDescent="0.2">
      <c r="AY2370" s="79"/>
      <c r="AZ2370" s="85"/>
      <c r="BA2370" s="40"/>
      <c r="BB2370" s="99"/>
      <c r="BC2370" s="85"/>
      <c r="BG2370" s="79"/>
      <c r="BH2370" s="99"/>
    </row>
    <row r="2371" spans="51:60" x14ac:dyDescent="0.2">
      <c r="AY2371" s="79"/>
      <c r="AZ2371" s="85"/>
      <c r="BA2371" s="40"/>
      <c r="BB2371" s="99"/>
      <c r="BC2371" s="85"/>
      <c r="BG2371" s="79"/>
      <c r="BH2371" s="99"/>
    </row>
    <row r="2372" spans="51:60" x14ac:dyDescent="0.2">
      <c r="AY2372" s="79"/>
      <c r="AZ2372" s="85"/>
      <c r="BA2372" s="40"/>
      <c r="BB2372" s="99"/>
      <c r="BC2372" s="85"/>
      <c r="BG2372" s="79"/>
      <c r="BH2372" s="99"/>
    </row>
    <row r="2373" spans="51:60" x14ac:dyDescent="0.2">
      <c r="AY2373" s="79"/>
      <c r="AZ2373" s="85"/>
      <c r="BA2373" s="40"/>
      <c r="BB2373" s="99"/>
      <c r="BC2373" s="85"/>
      <c r="BG2373" s="79"/>
      <c r="BH2373" s="99"/>
    </row>
    <row r="2374" spans="51:60" x14ac:dyDescent="0.2">
      <c r="AY2374" s="79"/>
      <c r="AZ2374" s="85"/>
      <c r="BA2374" s="40"/>
      <c r="BB2374" s="99"/>
      <c r="BC2374" s="85"/>
      <c r="BG2374" s="79"/>
      <c r="BH2374" s="99"/>
    </row>
    <row r="2375" spans="51:60" x14ac:dyDescent="0.2">
      <c r="AY2375" s="79"/>
      <c r="AZ2375" s="85"/>
      <c r="BA2375" s="40"/>
      <c r="BB2375" s="99"/>
      <c r="BC2375" s="85"/>
      <c r="BG2375" s="79"/>
      <c r="BH2375" s="99"/>
    </row>
    <row r="2376" spans="51:60" x14ac:dyDescent="0.2">
      <c r="AY2376" s="79"/>
      <c r="AZ2376" s="85"/>
      <c r="BA2376" s="40"/>
      <c r="BB2376" s="99"/>
      <c r="BC2376" s="85"/>
      <c r="BG2376" s="79"/>
      <c r="BH2376" s="99"/>
    </row>
    <row r="2377" spans="51:60" x14ac:dyDescent="0.2">
      <c r="AY2377" s="79"/>
      <c r="AZ2377" s="85"/>
      <c r="BA2377" s="40"/>
      <c r="BB2377" s="99"/>
      <c r="BC2377" s="85"/>
      <c r="BG2377" s="79"/>
      <c r="BH2377" s="99"/>
    </row>
    <row r="2378" spans="51:60" x14ac:dyDescent="0.2">
      <c r="AY2378" s="79"/>
      <c r="AZ2378" s="85"/>
      <c r="BA2378" s="40"/>
      <c r="BB2378" s="99"/>
      <c r="BC2378" s="85"/>
      <c r="BG2378" s="79"/>
      <c r="BH2378" s="99"/>
    </row>
    <row r="2379" spans="51:60" x14ac:dyDescent="0.2">
      <c r="AY2379" s="79"/>
      <c r="AZ2379" s="85"/>
      <c r="BA2379" s="40"/>
      <c r="BB2379" s="99"/>
      <c r="BC2379" s="85"/>
      <c r="BG2379" s="79"/>
      <c r="BH2379" s="99"/>
    </row>
    <row r="2380" spans="51:60" x14ac:dyDescent="0.2">
      <c r="AY2380" s="79"/>
      <c r="AZ2380" s="85"/>
      <c r="BA2380" s="40"/>
      <c r="BB2380" s="99"/>
      <c r="BC2380" s="85"/>
      <c r="BG2380" s="79"/>
      <c r="BH2380" s="99"/>
    </row>
    <row r="2381" spans="51:60" x14ac:dyDescent="0.2">
      <c r="AY2381" s="79"/>
      <c r="AZ2381" s="85"/>
      <c r="BA2381" s="40"/>
      <c r="BB2381" s="99"/>
      <c r="BC2381" s="85"/>
      <c r="BG2381" s="79"/>
      <c r="BH2381" s="99"/>
    </row>
    <row r="2382" spans="51:60" x14ac:dyDescent="0.2">
      <c r="AY2382" s="79"/>
      <c r="AZ2382" s="85"/>
      <c r="BA2382" s="40"/>
      <c r="BB2382" s="99"/>
      <c r="BC2382" s="85"/>
      <c r="BG2382" s="79"/>
      <c r="BH2382" s="99"/>
    </row>
    <row r="2383" spans="51:60" x14ac:dyDescent="0.2">
      <c r="AY2383" s="79"/>
      <c r="AZ2383" s="85"/>
      <c r="BA2383" s="40"/>
      <c r="BB2383" s="99"/>
      <c r="BC2383" s="85"/>
      <c r="BG2383" s="79"/>
      <c r="BH2383" s="99"/>
    </row>
    <row r="2384" spans="51:60" x14ac:dyDescent="0.2">
      <c r="AY2384" s="79"/>
      <c r="AZ2384" s="85"/>
      <c r="BA2384" s="40"/>
      <c r="BB2384" s="99"/>
      <c r="BC2384" s="85"/>
      <c r="BG2384" s="79"/>
      <c r="BH2384" s="99"/>
    </row>
    <row r="2385" spans="51:60" x14ac:dyDescent="0.2">
      <c r="AY2385" s="79"/>
      <c r="AZ2385" s="85"/>
      <c r="BA2385" s="40"/>
      <c r="BB2385" s="99"/>
      <c r="BC2385" s="85"/>
      <c r="BG2385" s="79"/>
      <c r="BH2385" s="99"/>
    </row>
    <row r="2386" spans="51:60" x14ac:dyDescent="0.2">
      <c r="AY2386" s="79"/>
      <c r="AZ2386" s="85"/>
      <c r="BA2386" s="40"/>
      <c r="BB2386" s="99"/>
      <c r="BC2386" s="85"/>
      <c r="BG2386" s="79"/>
      <c r="BH2386" s="99"/>
    </row>
    <row r="2387" spans="51:60" x14ac:dyDescent="0.2">
      <c r="AY2387" s="79"/>
      <c r="AZ2387" s="85"/>
      <c r="BA2387" s="40"/>
      <c r="BB2387" s="99"/>
      <c r="BC2387" s="85"/>
      <c r="BG2387" s="79"/>
      <c r="BH2387" s="99"/>
    </row>
    <row r="2388" spans="51:60" x14ac:dyDescent="0.2">
      <c r="AY2388" s="79"/>
      <c r="AZ2388" s="85"/>
      <c r="BA2388" s="40"/>
      <c r="BB2388" s="99"/>
      <c r="BC2388" s="85"/>
      <c r="BG2388" s="79"/>
      <c r="BH2388" s="99"/>
    </row>
    <row r="2389" spans="51:60" x14ac:dyDescent="0.2">
      <c r="AY2389" s="79"/>
      <c r="AZ2389" s="85"/>
      <c r="BA2389" s="40"/>
      <c r="BB2389" s="99"/>
      <c r="BC2389" s="85"/>
      <c r="BG2389" s="79"/>
      <c r="BH2389" s="99"/>
    </row>
    <row r="2390" spans="51:60" x14ac:dyDescent="0.2">
      <c r="AY2390" s="79"/>
      <c r="AZ2390" s="85"/>
      <c r="BA2390" s="40"/>
      <c r="BB2390" s="99"/>
      <c r="BC2390" s="85"/>
      <c r="BG2390" s="79"/>
      <c r="BH2390" s="99"/>
    </row>
    <row r="2391" spans="51:60" x14ac:dyDescent="0.2">
      <c r="AY2391" s="79"/>
      <c r="AZ2391" s="85"/>
      <c r="BA2391" s="40"/>
      <c r="BB2391" s="99"/>
      <c r="BC2391" s="85"/>
      <c r="BG2391" s="79"/>
      <c r="BH2391" s="99"/>
    </row>
    <row r="2392" spans="51:60" x14ac:dyDescent="0.2">
      <c r="AY2392" s="79"/>
      <c r="AZ2392" s="85"/>
      <c r="BA2392" s="40"/>
      <c r="BB2392" s="99"/>
      <c r="BC2392" s="85"/>
      <c r="BG2392" s="79"/>
      <c r="BH2392" s="99"/>
    </row>
    <row r="2393" spans="51:60" x14ac:dyDescent="0.2">
      <c r="AY2393" s="79"/>
      <c r="AZ2393" s="85"/>
      <c r="BA2393" s="40"/>
      <c r="BB2393" s="99"/>
      <c r="BC2393" s="85"/>
      <c r="BG2393" s="79"/>
      <c r="BH2393" s="99"/>
    </row>
    <row r="2394" spans="51:60" x14ac:dyDescent="0.2">
      <c r="AY2394" s="79"/>
      <c r="AZ2394" s="85"/>
      <c r="BA2394" s="40"/>
      <c r="BB2394" s="99"/>
      <c r="BC2394" s="85"/>
      <c r="BG2394" s="79"/>
      <c r="BH2394" s="99"/>
    </row>
    <row r="2395" spans="51:60" x14ac:dyDescent="0.2">
      <c r="AY2395" s="79"/>
      <c r="AZ2395" s="85"/>
      <c r="BA2395" s="40"/>
      <c r="BB2395" s="99"/>
      <c r="BC2395" s="85"/>
      <c r="BG2395" s="79"/>
      <c r="BH2395" s="99"/>
    </row>
    <row r="2396" spans="51:60" x14ac:dyDescent="0.2">
      <c r="AY2396" s="79"/>
      <c r="AZ2396" s="85"/>
      <c r="BA2396" s="40"/>
      <c r="BB2396" s="99"/>
      <c r="BC2396" s="85"/>
      <c r="BG2396" s="79"/>
      <c r="BH2396" s="99"/>
    </row>
    <row r="2397" spans="51:60" x14ac:dyDescent="0.2">
      <c r="AY2397" s="79"/>
      <c r="AZ2397" s="85"/>
      <c r="BA2397" s="40"/>
      <c r="BB2397" s="99"/>
      <c r="BC2397" s="85"/>
      <c r="BG2397" s="79"/>
      <c r="BH2397" s="99"/>
    </row>
    <row r="2398" spans="51:60" x14ac:dyDescent="0.2">
      <c r="AY2398" s="79"/>
      <c r="AZ2398" s="85"/>
      <c r="BA2398" s="40"/>
      <c r="BB2398" s="99"/>
      <c r="BC2398" s="85"/>
      <c r="BG2398" s="79"/>
      <c r="BH2398" s="99"/>
    </row>
    <row r="2399" spans="51:60" x14ac:dyDescent="0.2">
      <c r="AY2399" s="79"/>
      <c r="AZ2399" s="85"/>
      <c r="BA2399" s="40"/>
      <c r="BB2399" s="99"/>
      <c r="BC2399" s="85"/>
      <c r="BG2399" s="79"/>
      <c r="BH2399" s="99"/>
    </row>
    <row r="2400" spans="51:60" x14ac:dyDescent="0.2">
      <c r="AY2400" s="79"/>
      <c r="AZ2400" s="85"/>
      <c r="BA2400" s="40"/>
      <c r="BB2400" s="99"/>
      <c r="BC2400" s="85"/>
      <c r="BG2400" s="79"/>
      <c r="BH2400" s="99"/>
    </row>
    <row r="2401" spans="51:60" x14ac:dyDescent="0.2">
      <c r="AY2401" s="79"/>
      <c r="AZ2401" s="85"/>
      <c r="BA2401" s="40"/>
      <c r="BB2401" s="99"/>
      <c r="BC2401" s="85"/>
      <c r="BG2401" s="79"/>
      <c r="BH2401" s="99"/>
    </row>
    <row r="2402" spans="51:60" x14ac:dyDescent="0.2">
      <c r="AY2402" s="79"/>
      <c r="AZ2402" s="85"/>
      <c r="BA2402" s="40"/>
      <c r="BB2402" s="99"/>
      <c r="BC2402" s="85"/>
      <c r="BG2402" s="79"/>
      <c r="BH2402" s="99"/>
    </row>
    <row r="2403" spans="51:60" x14ac:dyDescent="0.2">
      <c r="AY2403" s="79"/>
      <c r="AZ2403" s="85"/>
      <c r="BA2403" s="40"/>
      <c r="BB2403" s="99"/>
      <c r="BC2403" s="85"/>
      <c r="BG2403" s="79"/>
      <c r="BH2403" s="99"/>
    </row>
    <row r="2404" spans="51:60" x14ac:dyDescent="0.2">
      <c r="AY2404" s="79"/>
      <c r="AZ2404" s="85"/>
      <c r="BA2404" s="40"/>
      <c r="BB2404" s="99"/>
      <c r="BC2404" s="85"/>
      <c r="BG2404" s="79"/>
      <c r="BH2404" s="99"/>
    </row>
    <row r="2405" spans="51:60" x14ac:dyDescent="0.2">
      <c r="AY2405" s="79"/>
      <c r="AZ2405" s="85"/>
      <c r="BA2405" s="40"/>
      <c r="BB2405" s="99"/>
      <c r="BC2405" s="85"/>
      <c r="BG2405" s="79"/>
      <c r="BH2405" s="99"/>
    </row>
    <row r="2406" spans="51:60" x14ac:dyDescent="0.2">
      <c r="AY2406" s="79"/>
      <c r="AZ2406" s="85"/>
      <c r="BA2406" s="40"/>
      <c r="BB2406" s="99"/>
      <c r="BC2406" s="85"/>
      <c r="BG2406" s="79"/>
      <c r="BH2406" s="99"/>
    </row>
    <row r="2407" spans="51:60" x14ac:dyDescent="0.2">
      <c r="AY2407" s="79"/>
      <c r="AZ2407" s="85"/>
      <c r="BA2407" s="40"/>
      <c r="BB2407" s="99"/>
      <c r="BC2407" s="85"/>
      <c r="BG2407" s="79"/>
      <c r="BH2407" s="99"/>
    </row>
    <row r="2408" spans="51:60" x14ac:dyDescent="0.2">
      <c r="AY2408" s="79"/>
      <c r="AZ2408" s="85"/>
      <c r="BA2408" s="40"/>
      <c r="BB2408" s="99"/>
      <c r="BC2408" s="85"/>
      <c r="BG2408" s="79"/>
      <c r="BH2408" s="99"/>
    </row>
    <row r="2409" spans="51:60" x14ac:dyDescent="0.2">
      <c r="AY2409" s="79"/>
      <c r="AZ2409" s="85"/>
      <c r="BA2409" s="40"/>
      <c r="BB2409" s="99"/>
      <c r="BC2409" s="85"/>
      <c r="BG2409" s="79"/>
      <c r="BH2409" s="99"/>
    </row>
    <row r="2410" spans="51:60" x14ac:dyDescent="0.2">
      <c r="AY2410" s="79"/>
      <c r="AZ2410" s="85"/>
      <c r="BA2410" s="40"/>
      <c r="BB2410" s="99"/>
      <c r="BC2410" s="85"/>
      <c r="BG2410" s="79"/>
      <c r="BH2410" s="99"/>
    </row>
    <row r="2411" spans="51:60" x14ac:dyDescent="0.2">
      <c r="AY2411" s="79"/>
      <c r="AZ2411" s="85"/>
      <c r="BA2411" s="40"/>
      <c r="BB2411" s="99"/>
      <c r="BC2411" s="85"/>
      <c r="BG2411" s="79"/>
      <c r="BH2411" s="99"/>
    </row>
    <row r="2412" spans="51:60" x14ac:dyDescent="0.2">
      <c r="AY2412" s="79"/>
      <c r="AZ2412" s="85"/>
      <c r="BA2412" s="40"/>
      <c r="BB2412" s="99"/>
      <c r="BC2412" s="85"/>
      <c r="BG2412" s="79"/>
      <c r="BH2412" s="99"/>
    </row>
    <row r="2413" spans="51:60" x14ac:dyDescent="0.2">
      <c r="AY2413" s="79"/>
      <c r="AZ2413" s="85"/>
      <c r="BA2413" s="40"/>
      <c r="BB2413" s="99"/>
      <c r="BC2413" s="85"/>
      <c r="BG2413" s="79"/>
      <c r="BH2413" s="99"/>
    </row>
    <row r="2414" spans="51:60" x14ac:dyDescent="0.2">
      <c r="AY2414" s="79"/>
      <c r="AZ2414" s="85"/>
      <c r="BA2414" s="40"/>
      <c r="BB2414" s="99"/>
      <c r="BC2414" s="85"/>
      <c r="BG2414" s="79"/>
      <c r="BH2414" s="99"/>
    </row>
    <row r="2415" spans="51:60" x14ac:dyDescent="0.2">
      <c r="AY2415" s="79"/>
      <c r="AZ2415" s="85"/>
      <c r="BA2415" s="40"/>
      <c r="BB2415" s="99"/>
      <c r="BC2415" s="85"/>
      <c r="BG2415" s="79"/>
      <c r="BH2415" s="99"/>
    </row>
    <row r="2416" spans="51:60" x14ac:dyDescent="0.2">
      <c r="AY2416" s="79"/>
      <c r="AZ2416" s="85"/>
      <c r="BA2416" s="40"/>
      <c r="BB2416" s="99"/>
      <c r="BC2416" s="85"/>
      <c r="BG2416" s="79"/>
      <c r="BH2416" s="99"/>
    </row>
    <row r="2417" spans="51:60" x14ac:dyDescent="0.2">
      <c r="AY2417" s="79"/>
      <c r="AZ2417" s="85"/>
      <c r="BA2417" s="40"/>
      <c r="BB2417" s="99"/>
      <c r="BC2417" s="85"/>
      <c r="BG2417" s="79"/>
      <c r="BH2417" s="99"/>
    </row>
    <row r="2418" spans="51:60" x14ac:dyDescent="0.2">
      <c r="AY2418" s="79"/>
      <c r="AZ2418" s="85"/>
      <c r="BA2418" s="40"/>
      <c r="BB2418" s="99"/>
      <c r="BC2418" s="85"/>
      <c r="BG2418" s="79"/>
      <c r="BH2418" s="99"/>
    </row>
    <row r="2419" spans="51:60" x14ac:dyDescent="0.2">
      <c r="AY2419" s="79"/>
      <c r="AZ2419" s="85"/>
      <c r="BA2419" s="40"/>
      <c r="BB2419" s="99"/>
      <c r="BC2419" s="85"/>
      <c r="BG2419" s="79"/>
      <c r="BH2419" s="99"/>
    </row>
    <row r="2420" spans="51:60" x14ac:dyDescent="0.2">
      <c r="AY2420" s="79"/>
      <c r="AZ2420" s="85"/>
      <c r="BA2420" s="40"/>
      <c r="BB2420" s="99"/>
      <c r="BC2420" s="85"/>
      <c r="BG2420" s="79"/>
      <c r="BH2420" s="99"/>
    </row>
    <row r="2421" spans="51:60" x14ac:dyDescent="0.2">
      <c r="AY2421" s="79"/>
      <c r="AZ2421" s="85"/>
      <c r="BA2421" s="40"/>
      <c r="BB2421" s="99"/>
      <c r="BC2421" s="85"/>
      <c r="BG2421" s="79"/>
      <c r="BH2421" s="99"/>
    </row>
    <row r="2422" spans="51:60" x14ac:dyDescent="0.2">
      <c r="AY2422" s="79"/>
      <c r="AZ2422" s="85"/>
      <c r="BA2422" s="40"/>
      <c r="BB2422" s="99"/>
      <c r="BC2422" s="85"/>
      <c r="BG2422" s="79"/>
      <c r="BH2422" s="99"/>
    </row>
    <row r="2423" spans="51:60" x14ac:dyDescent="0.2">
      <c r="AY2423" s="79"/>
      <c r="AZ2423" s="85"/>
      <c r="BA2423" s="40"/>
      <c r="BB2423" s="99"/>
      <c r="BC2423" s="85"/>
      <c r="BG2423" s="79"/>
      <c r="BH2423" s="99"/>
    </row>
    <row r="2424" spans="51:60" x14ac:dyDescent="0.2">
      <c r="AY2424" s="79"/>
      <c r="AZ2424" s="85"/>
      <c r="BA2424" s="40"/>
      <c r="BB2424" s="99"/>
      <c r="BC2424" s="85"/>
      <c r="BG2424" s="79"/>
      <c r="BH2424" s="99"/>
    </row>
    <row r="2425" spans="51:60" x14ac:dyDescent="0.2">
      <c r="AY2425" s="79"/>
      <c r="AZ2425" s="85"/>
      <c r="BA2425" s="40"/>
      <c r="BB2425" s="99"/>
      <c r="BC2425" s="85"/>
      <c r="BG2425" s="79"/>
      <c r="BH2425" s="99"/>
    </row>
    <row r="2426" spans="51:60" x14ac:dyDescent="0.2">
      <c r="AY2426" s="79"/>
      <c r="AZ2426" s="85"/>
      <c r="BA2426" s="40"/>
      <c r="BB2426" s="99"/>
      <c r="BC2426" s="85"/>
      <c r="BG2426" s="79"/>
      <c r="BH2426" s="99"/>
    </row>
    <row r="2427" spans="51:60" x14ac:dyDescent="0.2">
      <c r="AY2427" s="79"/>
      <c r="AZ2427" s="85"/>
      <c r="BA2427" s="40"/>
      <c r="BB2427" s="99"/>
      <c r="BC2427" s="85"/>
      <c r="BG2427" s="79"/>
      <c r="BH2427" s="99"/>
    </row>
    <row r="2428" spans="51:60" x14ac:dyDescent="0.2">
      <c r="AY2428" s="79"/>
      <c r="AZ2428" s="85"/>
      <c r="BA2428" s="40"/>
      <c r="BB2428" s="99"/>
      <c r="BC2428" s="85"/>
      <c r="BG2428" s="79"/>
      <c r="BH2428" s="99"/>
    </row>
    <row r="2429" spans="51:60" x14ac:dyDescent="0.2">
      <c r="AY2429" s="79"/>
      <c r="AZ2429" s="85"/>
      <c r="BA2429" s="40"/>
      <c r="BB2429" s="99"/>
      <c r="BC2429" s="85"/>
      <c r="BG2429" s="79"/>
      <c r="BH2429" s="99"/>
    </row>
    <row r="2430" spans="51:60" x14ac:dyDescent="0.2">
      <c r="AY2430" s="79"/>
      <c r="AZ2430" s="85"/>
      <c r="BA2430" s="40"/>
      <c r="BB2430" s="99"/>
      <c r="BC2430" s="85"/>
      <c r="BG2430" s="79"/>
      <c r="BH2430" s="99"/>
    </row>
    <row r="2431" spans="51:60" x14ac:dyDescent="0.2">
      <c r="AY2431" s="79"/>
      <c r="AZ2431" s="85"/>
      <c r="BA2431" s="40"/>
      <c r="BB2431" s="99"/>
      <c r="BC2431" s="85"/>
      <c r="BG2431" s="79"/>
      <c r="BH2431" s="99"/>
    </row>
    <row r="2432" spans="51:60" x14ac:dyDescent="0.2">
      <c r="AY2432" s="79"/>
      <c r="AZ2432" s="85"/>
      <c r="BA2432" s="40"/>
      <c r="BB2432" s="99"/>
      <c r="BC2432" s="85"/>
      <c r="BG2432" s="79"/>
      <c r="BH2432" s="99"/>
    </row>
    <row r="2433" spans="51:60" x14ac:dyDescent="0.2">
      <c r="AY2433" s="79"/>
      <c r="AZ2433" s="85"/>
      <c r="BA2433" s="40"/>
      <c r="BB2433" s="99"/>
      <c r="BC2433" s="85"/>
      <c r="BG2433" s="79"/>
      <c r="BH2433" s="99"/>
    </row>
    <row r="2434" spans="51:60" x14ac:dyDescent="0.2">
      <c r="AY2434" s="79"/>
      <c r="AZ2434" s="85"/>
      <c r="BA2434" s="40"/>
      <c r="BB2434" s="99"/>
      <c r="BC2434" s="85"/>
      <c r="BG2434" s="79"/>
      <c r="BH2434" s="99"/>
    </row>
    <row r="2435" spans="51:60" x14ac:dyDescent="0.2">
      <c r="AY2435" s="79"/>
      <c r="AZ2435" s="85"/>
      <c r="BA2435" s="40"/>
      <c r="BB2435" s="99"/>
      <c r="BC2435" s="85"/>
      <c r="BG2435" s="79"/>
      <c r="BH2435" s="99"/>
    </row>
    <row r="2436" spans="51:60" x14ac:dyDescent="0.2">
      <c r="AY2436" s="79"/>
      <c r="AZ2436" s="85"/>
      <c r="BA2436" s="40"/>
      <c r="BB2436" s="99"/>
      <c r="BC2436" s="85"/>
      <c r="BG2436" s="79"/>
      <c r="BH2436" s="99"/>
    </row>
    <row r="2437" spans="51:60" x14ac:dyDescent="0.2">
      <c r="AY2437" s="79"/>
      <c r="AZ2437" s="85"/>
      <c r="BA2437" s="40"/>
      <c r="BB2437" s="99"/>
      <c r="BC2437" s="85"/>
      <c r="BG2437" s="79"/>
      <c r="BH2437" s="99"/>
    </row>
    <row r="2438" spans="51:60" x14ac:dyDescent="0.2">
      <c r="AY2438" s="79"/>
      <c r="AZ2438" s="85"/>
      <c r="BA2438" s="40"/>
      <c r="BB2438" s="99"/>
      <c r="BC2438" s="85"/>
      <c r="BG2438" s="79"/>
      <c r="BH2438" s="99"/>
    </row>
    <row r="2439" spans="51:60" x14ac:dyDescent="0.2">
      <c r="AY2439" s="79"/>
      <c r="AZ2439" s="85"/>
      <c r="BA2439" s="40"/>
      <c r="BB2439" s="99"/>
      <c r="BC2439" s="85"/>
      <c r="BG2439" s="79"/>
      <c r="BH2439" s="99"/>
    </row>
    <row r="2440" spans="51:60" x14ac:dyDescent="0.2">
      <c r="AY2440" s="79"/>
      <c r="AZ2440" s="85"/>
      <c r="BA2440" s="40"/>
      <c r="BB2440" s="99"/>
      <c r="BC2440" s="85"/>
      <c r="BG2440" s="79"/>
      <c r="BH2440" s="99"/>
    </row>
    <row r="2441" spans="51:60" x14ac:dyDescent="0.2">
      <c r="AY2441" s="79"/>
      <c r="AZ2441" s="85"/>
      <c r="BA2441" s="40"/>
      <c r="BB2441" s="99"/>
      <c r="BC2441" s="85"/>
      <c r="BG2441" s="79"/>
      <c r="BH2441" s="99"/>
    </row>
    <row r="2442" spans="51:60" x14ac:dyDescent="0.2">
      <c r="AY2442" s="79"/>
      <c r="AZ2442" s="85"/>
      <c r="BA2442" s="40"/>
      <c r="BB2442" s="99"/>
      <c r="BC2442" s="85"/>
      <c r="BG2442" s="79"/>
      <c r="BH2442" s="99"/>
    </row>
    <row r="2443" spans="51:60" x14ac:dyDescent="0.2">
      <c r="AY2443" s="79"/>
      <c r="AZ2443" s="85"/>
      <c r="BA2443" s="40"/>
      <c r="BB2443" s="99"/>
      <c r="BC2443" s="85"/>
      <c r="BG2443" s="79"/>
      <c r="BH2443" s="99"/>
    </row>
    <row r="2444" spans="51:60" x14ac:dyDescent="0.2">
      <c r="AY2444" s="79"/>
      <c r="AZ2444" s="85"/>
      <c r="BA2444" s="40"/>
      <c r="BB2444" s="99"/>
      <c r="BC2444" s="85"/>
      <c r="BG2444" s="79"/>
      <c r="BH2444" s="99"/>
    </row>
    <row r="2445" spans="51:60" x14ac:dyDescent="0.2">
      <c r="AY2445" s="79"/>
      <c r="AZ2445" s="85"/>
      <c r="BA2445" s="40"/>
      <c r="BB2445" s="99"/>
      <c r="BC2445" s="85"/>
      <c r="BG2445" s="79"/>
      <c r="BH2445" s="99"/>
    </row>
    <row r="2446" spans="51:60" x14ac:dyDescent="0.2">
      <c r="AY2446" s="79"/>
      <c r="AZ2446" s="85"/>
      <c r="BA2446" s="40"/>
      <c r="BB2446" s="99"/>
      <c r="BC2446" s="85"/>
      <c r="BG2446" s="79"/>
      <c r="BH2446" s="99"/>
    </row>
    <row r="2447" spans="51:60" x14ac:dyDescent="0.2">
      <c r="AY2447" s="79"/>
      <c r="AZ2447" s="85"/>
      <c r="BA2447" s="40"/>
      <c r="BB2447" s="99"/>
      <c r="BC2447" s="85"/>
      <c r="BG2447" s="79"/>
      <c r="BH2447" s="99"/>
    </row>
    <row r="2448" spans="51:60" x14ac:dyDescent="0.2">
      <c r="AY2448" s="79"/>
      <c r="AZ2448" s="85"/>
      <c r="BA2448" s="40"/>
      <c r="BB2448" s="99"/>
      <c r="BC2448" s="85"/>
      <c r="BG2448" s="79"/>
      <c r="BH2448" s="99"/>
    </row>
    <row r="2449" spans="51:60" x14ac:dyDescent="0.2">
      <c r="AY2449" s="79"/>
      <c r="AZ2449" s="85"/>
      <c r="BA2449" s="40"/>
      <c r="BB2449" s="99"/>
      <c r="BC2449" s="85"/>
      <c r="BG2449" s="79"/>
      <c r="BH2449" s="99"/>
    </row>
    <row r="2450" spans="51:60" x14ac:dyDescent="0.2">
      <c r="AY2450" s="79"/>
      <c r="AZ2450" s="85"/>
      <c r="BA2450" s="40"/>
      <c r="BB2450" s="99"/>
      <c r="BC2450" s="85"/>
      <c r="BG2450" s="79"/>
      <c r="BH2450" s="99"/>
    </row>
    <row r="2451" spans="51:60" x14ac:dyDescent="0.2">
      <c r="AY2451" s="79"/>
      <c r="AZ2451" s="85"/>
      <c r="BA2451" s="40"/>
      <c r="BB2451" s="99"/>
      <c r="BC2451" s="85"/>
      <c r="BG2451" s="79"/>
      <c r="BH2451" s="99"/>
    </row>
    <row r="2452" spans="51:60" x14ac:dyDescent="0.2">
      <c r="AY2452" s="79"/>
      <c r="AZ2452" s="85"/>
      <c r="BA2452" s="40"/>
      <c r="BB2452" s="99"/>
      <c r="BC2452" s="85"/>
      <c r="BG2452" s="79"/>
      <c r="BH2452" s="99"/>
    </row>
    <row r="2453" spans="51:60" x14ac:dyDescent="0.2">
      <c r="AY2453" s="79"/>
      <c r="AZ2453" s="85"/>
      <c r="BA2453" s="40"/>
      <c r="BB2453" s="99"/>
      <c r="BC2453" s="85"/>
      <c r="BG2453" s="79"/>
      <c r="BH2453" s="99"/>
    </row>
    <row r="2454" spans="51:60" x14ac:dyDescent="0.2">
      <c r="AY2454" s="79"/>
      <c r="AZ2454" s="85"/>
      <c r="BA2454" s="40"/>
      <c r="BB2454" s="99"/>
      <c r="BC2454" s="85"/>
      <c r="BG2454" s="79"/>
      <c r="BH2454" s="99"/>
    </row>
    <row r="2455" spans="51:60" x14ac:dyDescent="0.2">
      <c r="AY2455" s="79"/>
      <c r="AZ2455" s="85"/>
      <c r="BA2455" s="40"/>
      <c r="BB2455" s="99"/>
      <c r="BC2455" s="85"/>
      <c r="BG2455" s="79"/>
      <c r="BH2455" s="99"/>
    </row>
    <row r="2456" spans="51:60" x14ac:dyDescent="0.2">
      <c r="AY2456" s="79"/>
      <c r="AZ2456" s="85"/>
      <c r="BA2456" s="40"/>
      <c r="BB2456" s="99"/>
      <c r="BC2456" s="85"/>
      <c r="BG2456" s="79"/>
      <c r="BH2456" s="99"/>
    </row>
    <row r="2457" spans="51:60" x14ac:dyDescent="0.2">
      <c r="AY2457" s="79"/>
      <c r="AZ2457" s="85"/>
      <c r="BA2457" s="40"/>
      <c r="BB2457" s="99"/>
      <c r="BC2457" s="85"/>
      <c r="BG2457" s="79"/>
      <c r="BH2457" s="99"/>
    </row>
    <row r="2458" spans="51:60" x14ac:dyDescent="0.2">
      <c r="AY2458" s="79"/>
      <c r="AZ2458" s="85"/>
      <c r="BA2458" s="40"/>
      <c r="BB2458" s="99"/>
      <c r="BC2458" s="85"/>
      <c r="BG2458" s="79"/>
      <c r="BH2458" s="99"/>
    </row>
    <row r="2459" spans="51:60" x14ac:dyDescent="0.2">
      <c r="AY2459" s="79"/>
      <c r="AZ2459" s="85"/>
      <c r="BA2459" s="40"/>
      <c r="BB2459" s="99"/>
      <c r="BC2459" s="85"/>
      <c r="BG2459" s="79"/>
      <c r="BH2459" s="99"/>
    </row>
    <row r="2460" spans="51:60" x14ac:dyDescent="0.2">
      <c r="AY2460" s="79"/>
      <c r="AZ2460" s="85"/>
      <c r="BA2460" s="40"/>
      <c r="BB2460" s="99"/>
      <c r="BC2460" s="85"/>
      <c r="BG2460" s="79"/>
      <c r="BH2460" s="99"/>
    </row>
    <row r="2461" spans="51:60" x14ac:dyDescent="0.2">
      <c r="AY2461" s="79"/>
      <c r="AZ2461" s="85"/>
      <c r="BA2461" s="40"/>
      <c r="BB2461" s="99"/>
      <c r="BC2461" s="85"/>
      <c r="BG2461" s="79"/>
      <c r="BH2461" s="99"/>
    </row>
    <row r="2462" spans="51:60" x14ac:dyDescent="0.2">
      <c r="AY2462" s="79"/>
      <c r="AZ2462" s="85"/>
      <c r="BA2462" s="40"/>
      <c r="BB2462" s="99"/>
      <c r="BC2462" s="85"/>
      <c r="BG2462" s="79"/>
      <c r="BH2462" s="99"/>
    </row>
    <row r="2463" spans="51:60" x14ac:dyDescent="0.2">
      <c r="AY2463" s="79"/>
      <c r="AZ2463" s="85"/>
      <c r="BA2463" s="40"/>
      <c r="BB2463" s="99"/>
      <c r="BC2463" s="85"/>
      <c r="BG2463" s="79"/>
      <c r="BH2463" s="99"/>
    </row>
    <row r="2464" spans="51:60" x14ac:dyDescent="0.2">
      <c r="AY2464" s="79"/>
      <c r="AZ2464" s="85"/>
      <c r="BA2464" s="40"/>
      <c r="BB2464" s="99"/>
      <c r="BC2464" s="85"/>
      <c r="BG2464" s="79"/>
      <c r="BH2464" s="99"/>
    </row>
    <row r="2465" spans="51:60" x14ac:dyDescent="0.2">
      <c r="AY2465" s="79"/>
      <c r="AZ2465" s="85"/>
      <c r="BA2465" s="40"/>
      <c r="BB2465" s="99"/>
      <c r="BC2465" s="85"/>
      <c r="BG2465" s="79"/>
      <c r="BH2465" s="99"/>
    </row>
    <row r="2466" spans="51:60" x14ac:dyDescent="0.2">
      <c r="AY2466" s="79"/>
      <c r="AZ2466" s="85"/>
      <c r="BA2466" s="40"/>
      <c r="BB2466" s="99"/>
      <c r="BC2466" s="85"/>
      <c r="BG2466" s="79"/>
      <c r="BH2466" s="99"/>
    </row>
    <row r="2467" spans="51:60" x14ac:dyDescent="0.2">
      <c r="AY2467" s="79"/>
      <c r="AZ2467" s="85"/>
      <c r="BA2467" s="40"/>
      <c r="BB2467" s="99"/>
      <c r="BC2467" s="85"/>
      <c r="BG2467" s="79"/>
      <c r="BH2467" s="99"/>
    </row>
    <row r="2468" spans="51:60" x14ac:dyDescent="0.2">
      <c r="AY2468" s="79"/>
      <c r="AZ2468" s="85"/>
      <c r="BA2468" s="40"/>
      <c r="BB2468" s="99"/>
      <c r="BC2468" s="85"/>
      <c r="BG2468" s="79"/>
      <c r="BH2468" s="99"/>
    </row>
    <row r="2469" spans="51:60" x14ac:dyDescent="0.2">
      <c r="AY2469" s="79"/>
      <c r="AZ2469" s="85"/>
      <c r="BA2469" s="40"/>
      <c r="BB2469" s="99"/>
      <c r="BC2469" s="85"/>
      <c r="BG2469" s="79"/>
      <c r="BH2469" s="99"/>
    </row>
    <row r="2470" spans="51:60" x14ac:dyDescent="0.2">
      <c r="AY2470" s="79"/>
      <c r="AZ2470" s="85"/>
      <c r="BA2470" s="40"/>
      <c r="BB2470" s="99"/>
      <c r="BC2470" s="85"/>
      <c r="BG2470" s="79"/>
      <c r="BH2470" s="99"/>
    </row>
    <row r="2471" spans="51:60" x14ac:dyDescent="0.2">
      <c r="AY2471" s="79"/>
      <c r="AZ2471" s="85"/>
      <c r="BA2471" s="40"/>
      <c r="BB2471" s="99"/>
      <c r="BC2471" s="85"/>
      <c r="BG2471" s="79"/>
      <c r="BH2471" s="99"/>
    </row>
    <row r="2472" spans="51:60" x14ac:dyDescent="0.2">
      <c r="AY2472" s="79"/>
      <c r="AZ2472" s="85"/>
      <c r="BA2472" s="40"/>
      <c r="BB2472" s="99"/>
      <c r="BC2472" s="85"/>
      <c r="BG2472" s="79"/>
      <c r="BH2472" s="99"/>
    </row>
    <row r="2473" spans="51:60" x14ac:dyDescent="0.2">
      <c r="AY2473" s="79"/>
      <c r="AZ2473" s="85"/>
      <c r="BA2473" s="40"/>
      <c r="BB2473" s="99"/>
      <c r="BC2473" s="85"/>
      <c r="BG2473" s="79"/>
      <c r="BH2473" s="99"/>
    </row>
    <row r="2474" spans="51:60" x14ac:dyDescent="0.2">
      <c r="AY2474" s="79"/>
      <c r="AZ2474" s="85"/>
      <c r="BA2474" s="40"/>
      <c r="BB2474" s="99"/>
      <c r="BC2474" s="85"/>
      <c r="BG2474" s="79"/>
      <c r="BH2474" s="99"/>
    </row>
    <row r="2475" spans="51:60" x14ac:dyDescent="0.2">
      <c r="AY2475" s="79"/>
      <c r="AZ2475" s="85"/>
      <c r="BA2475" s="40"/>
      <c r="BB2475" s="99"/>
      <c r="BC2475" s="85"/>
      <c r="BG2475" s="79"/>
      <c r="BH2475" s="99"/>
    </row>
    <row r="2476" spans="51:60" x14ac:dyDescent="0.2">
      <c r="AY2476" s="79"/>
      <c r="AZ2476" s="85"/>
      <c r="BA2476" s="40"/>
      <c r="BB2476" s="99"/>
      <c r="BC2476" s="85"/>
      <c r="BG2476" s="79"/>
      <c r="BH2476" s="99"/>
    </row>
    <row r="2477" spans="51:60" x14ac:dyDescent="0.2">
      <c r="AY2477" s="79"/>
      <c r="AZ2477" s="85"/>
      <c r="BA2477" s="40"/>
      <c r="BB2477" s="99"/>
      <c r="BC2477" s="85"/>
      <c r="BG2477" s="79"/>
      <c r="BH2477" s="99"/>
    </row>
    <row r="2478" spans="51:60" x14ac:dyDescent="0.2">
      <c r="AY2478" s="79"/>
      <c r="AZ2478" s="85"/>
      <c r="BA2478" s="40"/>
      <c r="BB2478" s="99"/>
      <c r="BC2478" s="85"/>
      <c r="BG2478" s="79"/>
      <c r="BH2478" s="99"/>
    </row>
    <row r="2479" spans="51:60" x14ac:dyDescent="0.2">
      <c r="AY2479" s="79"/>
      <c r="AZ2479" s="85"/>
      <c r="BA2479" s="40"/>
      <c r="BB2479" s="99"/>
      <c r="BC2479" s="85"/>
      <c r="BG2479" s="79"/>
      <c r="BH2479" s="99"/>
    </row>
    <row r="2480" spans="51:60" x14ac:dyDescent="0.2">
      <c r="AY2480" s="79"/>
      <c r="AZ2480" s="85"/>
      <c r="BA2480" s="40"/>
      <c r="BB2480" s="99"/>
      <c r="BC2480" s="85"/>
      <c r="BG2480" s="79"/>
      <c r="BH2480" s="99"/>
    </row>
    <row r="2481" spans="51:60" x14ac:dyDescent="0.2">
      <c r="AY2481" s="79"/>
      <c r="AZ2481" s="85"/>
      <c r="BA2481" s="40"/>
      <c r="BB2481" s="99"/>
      <c r="BC2481" s="85"/>
      <c r="BG2481" s="79"/>
      <c r="BH2481" s="99"/>
    </row>
    <row r="2482" spans="51:60" x14ac:dyDescent="0.2">
      <c r="AY2482" s="79"/>
      <c r="AZ2482" s="85"/>
      <c r="BA2482" s="40"/>
      <c r="BB2482" s="99"/>
      <c r="BC2482" s="85"/>
      <c r="BG2482" s="79"/>
      <c r="BH2482" s="99"/>
    </row>
    <row r="2483" spans="51:60" x14ac:dyDescent="0.2">
      <c r="AY2483" s="79"/>
      <c r="AZ2483" s="85"/>
      <c r="BA2483" s="40"/>
      <c r="BB2483" s="99"/>
      <c r="BC2483" s="85"/>
      <c r="BG2483" s="79"/>
      <c r="BH2483" s="99"/>
    </row>
    <row r="2484" spans="51:60" x14ac:dyDescent="0.2">
      <c r="AY2484" s="79"/>
      <c r="AZ2484" s="85"/>
      <c r="BA2484" s="40"/>
      <c r="BB2484" s="99"/>
      <c r="BC2484" s="85"/>
      <c r="BG2484" s="79"/>
      <c r="BH2484" s="99"/>
    </row>
    <row r="2485" spans="51:60" x14ac:dyDescent="0.2">
      <c r="AY2485" s="79"/>
      <c r="AZ2485" s="85"/>
      <c r="BA2485" s="40"/>
      <c r="BB2485" s="99"/>
      <c r="BC2485" s="85"/>
      <c r="BG2485" s="79"/>
      <c r="BH2485" s="99"/>
    </row>
    <row r="2486" spans="51:60" x14ac:dyDescent="0.2">
      <c r="AY2486" s="79"/>
      <c r="AZ2486" s="85"/>
      <c r="BA2486" s="40"/>
      <c r="BB2486" s="99"/>
      <c r="BC2486" s="85"/>
      <c r="BG2486" s="79"/>
      <c r="BH2486" s="99"/>
    </row>
    <row r="2487" spans="51:60" x14ac:dyDescent="0.2">
      <c r="AY2487" s="79"/>
      <c r="AZ2487" s="85"/>
      <c r="BA2487" s="40"/>
      <c r="BB2487" s="99"/>
      <c r="BC2487" s="85"/>
      <c r="BG2487" s="79"/>
      <c r="BH2487" s="99"/>
    </row>
    <row r="2488" spans="51:60" x14ac:dyDescent="0.2">
      <c r="AY2488" s="79"/>
      <c r="AZ2488" s="85"/>
      <c r="BA2488" s="40"/>
      <c r="BB2488" s="99"/>
      <c r="BC2488" s="85"/>
      <c r="BG2488" s="79"/>
      <c r="BH2488" s="99"/>
    </row>
    <row r="2489" spans="51:60" x14ac:dyDescent="0.2">
      <c r="AY2489" s="79"/>
      <c r="AZ2489" s="85"/>
      <c r="BA2489" s="40"/>
      <c r="BB2489" s="99"/>
      <c r="BC2489" s="85"/>
      <c r="BG2489" s="79"/>
      <c r="BH2489" s="99"/>
    </row>
    <row r="2490" spans="51:60" x14ac:dyDescent="0.2">
      <c r="AY2490" s="79"/>
      <c r="AZ2490" s="85"/>
      <c r="BA2490" s="40"/>
      <c r="BB2490" s="99"/>
      <c r="BC2490" s="85"/>
      <c r="BG2490" s="79"/>
      <c r="BH2490" s="99"/>
    </row>
    <row r="2491" spans="51:60" x14ac:dyDescent="0.2">
      <c r="AY2491" s="79"/>
      <c r="AZ2491" s="85"/>
      <c r="BA2491" s="40"/>
      <c r="BB2491" s="99"/>
      <c r="BC2491" s="85"/>
      <c r="BG2491" s="79"/>
      <c r="BH2491" s="99"/>
    </row>
    <row r="2492" spans="51:60" x14ac:dyDescent="0.2">
      <c r="AY2492" s="79"/>
      <c r="AZ2492" s="85"/>
      <c r="BA2492" s="40"/>
      <c r="BB2492" s="99"/>
      <c r="BC2492" s="85"/>
      <c r="BG2492" s="79"/>
      <c r="BH2492" s="99"/>
    </row>
    <row r="2493" spans="51:60" x14ac:dyDescent="0.2">
      <c r="AY2493" s="79"/>
      <c r="AZ2493" s="85"/>
      <c r="BA2493" s="40"/>
      <c r="BB2493" s="99"/>
      <c r="BC2493" s="85"/>
      <c r="BG2493" s="79"/>
      <c r="BH2493" s="99"/>
    </row>
    <row r="2494" spans="51:60" x14ac:dyDescent="0.2">
      <c r="AY2494" s="79"/>
      <c r="AZ2494" s="85"/>
      <c r="BA2494" s="40"/>
      <c r="BB2494" s="99"/>
      <c r="BC2494" s="85"/>
      <c r="BG2494" s="79"/>
      <c r="BH2494" s="99"/>
    </row>
    <row r="2495" spans="51:60" x14ac:dyDescent="0.2">
      <c r="AY2495" s="79"/>
      <c r="AZ2495" s="85"/>
      <c r="BA2495" s="40"/>
      <c r="BB2495" s="99"/>
      <c r="BC2495" s="85"/>
      <c r="BG2495" s="79"/>
      <c r="BH2495" s="99"/>
    </row>
    <row r="2496" spans="51:60" x14ac:dyDescent="0.2">
      <c r="AY2496" s="79"/>
      <c r="AZ2496" s="85"/>
      <c r="BA2496" s="40"/>
      <c r="BB2496" s="99"/>
      <c r="BC2496" s="85"/>
      <c r="BG2496" s="79"/>
      <c r="BH2496" s="99"/>
    </row>
    <row r="2497" spans="51:60" x14ac:dyDescent="0.2">
      <c r="AY2497" s="79"/>
      <c r="AZ2497" s="85"/>
      <c r="BA2497" s="40"/>
      <c r="BB2497" s="99"/>
      <c r="BC2497" s="85"/>
      <c r="BG2497" s="79"/>
      <c r="BH2497" s="99"/>
    </row>
    <row r="2498" spans="51:60" x14ac:dyDescent="0.2">
      <c r="AY2498" s="79"/>
      <c r="AZ2498" s="85"/>
      <c r="BA2498" s="40"/>
      <c r="BB2498" s="99"/>
      <c r="BC2498" s="85"/>
      <c r="BG2498" s="79"/>
      <c r="BH2498" s="99"/>
    </row>
    <row r="2499" spans="51:60" x14ac:dyDescent="0.2">
      <c r="AY2499" s="79"/>
      <c r="AZ2499" s="85"/>
      <c r="BA2499" s="40"/>
      <c r="BB2499" s="99"/>
      <c r="BC2499" s="85"/>
      <c r="BG2499" s="79"/>
      <c r="BH2499" s="99"/>
    </row>
    <row r="2500" spans="51:60" x14ac:dyDescent="0.2">
      <c r="AY2500" s="79"/>
      <c r="AZ2500" s="85"/>
      <c r="BA2500" s="40"/>
      <c r="BB2500" s="99"/>
      <c r="BC2500" s="85"/>
      <c r="BG2500" s="79"/>
      <c r="BH2500" s="99"/>
    </row>
    <row r="2501" spans="51:60" x14ac:dyDescent="0.2">
      <c r="AY2501" s="79"/>
      <c r="AZ2501" s="85"/>
      <c r="BA2501" s="40"/>
      <c r="BB2501" s="99"/>
      <c r="BC2501" s="85"/>
      <c r="BG2501" s="79"/>
      <c r="BH2501" s="99"/>
    </row>
    <row r="2502" spans="51:60" x14ac:dyDescent="0.2">
      <c r="AY2502" s="79"/>
      <c r="AZ2502" s="85"/>
      <c r="BA2502" s="40"/>
      <c r="BB2502" s="99"/>
      <c r="BC2502" s="85"/>
      <c r="BG2502" s="79"/>
      <c r="BH2502" s="99"/>
    </row>
    <row r="2503" spans="51:60" x14ac:dyDescent="0.2">
      <c r="AY2503" s="79"/>
      <c r="AZ2503" s="85"/>
      <c r="BA2503" s="40"/>
      <c r="BB2503" s="99"/>
      <c r="BC2503" s="85"/>
      <c r="BG2503" s="79"/>
      <c r="BH2503" s="99"/>
    </row>
    <row r="2504" spans="51:60" x14ac:dyDescent="0.2">
      <c r="AY2504" s="79"/>
      <c r="AZ2504" s="85"/>
      <c r="BA2504" s="40"/>
      <c r="BB2504" s="99"/>
      <c r="BC2504" s="85"/>
      <c r="BG2504" s="79"/>
      <c r="BH2504" s="99"/>
    </row>
    <row r="2505" spans="51:60" x14ac:dyDescent="0.2">
      <c r="AY2505" s="79"/>
      <c r="AZ2505" s="85"/>
      <c r="BA2505" s="40"/>
      <c r="BB2505" s="99"/>
      <c r="BC2505" s="85"/>
      <c r="BG2505" s="79"/>
      <c r="BH2505" s="99"/>
    </row>
    <row r="2506" spans="51:60" x14ac:dyDescent="0.2">
      <c r="AY2506" s="79"/>
      <c r="AZ2506" s="85"/>
      <c r="BA2506" s="40"/>
      <c r="BB2506" s="99"/>
      <c r="BC2506" s="85"/>
      <c r="BG2506" s="79"/>
      <c r="BH2506" s="99"/>
    </row>
    <row r="2507" spans="51:60" x14ac:dyDescent="0.2">
      <c r="AY2507" s="79"/>
      <c r="AZ2507" s="85"/>
      <c r="BA2507" s="40"/>
      <c r="BB2507" s="99"/>
      <c r="BC2507" s="85"/>
      <c r="BG2507" s="79"/>
      <c r="BH2507" s="99"/>
    </row>
    <row r="2508" spans="51:60" x14ac:dyDescent="0.2">
      <c r="AY2508" s="79"/>
      <c r="AZ2508" s="85"/>
      <c r="BA2508" s="40"/>
      <c r="BB2508" s="99"/>
      <c r="BC2508" s="85"/>
      <c r="BG2508" s="79"/>
      <c r="BH2508" s="99"/>
    </row>
    <row r="2509" spans="51:60" x14ac:dyDescent="0.2">
      <c r="AY2509" s="79"/>
      <c r="AZ2509" s="85"/>
      <c r="BA2509" s="40"/>
      <c r="BB2509" s="99"/>
      <c r="BC2509" s="85"/>
      <c r="BG2509" s="79"/>
      <c r="BH2509" s="99"/>
    </row>
    <row r="2510" spans="51:60" x14ac:dyDescent="0.2">
      <c r="AY2510" s="79"/>
      <c r="AZ2510" s="85"/>
      <c r="BA2510" s="40"/>
      <c r="BB2510" s="99"/>
      <c r="BC2510" s="85"/>
      <c r="BG2510" s="79"/>
      <c r="BH2510" s="99"/>
    </row>
    <row r="2511" spans="51:60" x14ac:dyDescent="0.2">
      <c r="AY2511" s="79"/>
      <c r="AZ2511" s="85"/>
      <c r="BA2511" s="40"/>
      <c r="BB2511" s="99"/>
      <c r="BC2511" s="85"/>
      <c r="BG2511" s="79"/>
      <c r="BH2511" s="99"/>
    </row>
    <row r="2512" spans="51:60" x14ac:dyDescent="0.2">
      <c r="AY2512" s="79"/>
      <c r="AZ2512" s="85"/>
      <c r="BA2512" s="40"/>
      <c r="BB2512" s="99"/>
      <c r="BC2512" s="85"/>
      <c r="BG2512" s="79"/>
      <c r="BH2512" s="99"/>
    </row>
    <row r="2513" spans="51:60" x14ac:dyDescent="0.2">
      <c r="AY2513" s="79"/>
      <c r="AZ2513" s="85"/>
      <c r="BA2513" s="40"/>
      <c r="BB2513" s="99"/>
      <c r="BC2513" s="85"/>
      <c r="BG2513" s="79"/>
      <c r="BH2513" s="99"/>
    </row>
    <row r="2514" spans="51:60" x14ac:dyDescent="0.2">
      <c r="AY2514" s="79"/>
      <c r="AZ2514" s="85"/>
      <c r="BA2514" s="40"/>
      <c r="BB2514" s="99"/>
      <c r="BC2514" s="85"/>
      <c r="BG2514" s="79"/>
      <c r="BH2514" s="99"/>
    </row>
    <row r="2515" spans="51:60" x14ac:dyDescent="0.2">
      <c r="AY2515" s="79"/>
      <c r="AZ2515" s="85"/>
      <c r="BA2515" s="40"/>
      <c r="BB2515" s="99"/>
      <c r="BC2515" s="85"/>
      <c r="BG2515" s="79"/>
      <c r="BH2515" s="99"/>
    </row>
    <row r="2516" spans="51:60" x14ac:dyDescent="0.2">
      <c r="AY2516" s="79"/>
      <c r="AZ2516" s="85"/>
      <c r="BA2516" s="40"/>
      <c r="BB2516" s="99"/>
      <c r="BC2516" s="85"/>
      <c r="BG2516" s="79"/>
      <c r="BH2516" s="99"/>
    </row>
    <row r="2517" spans="51:60" x14ac:dyDescent="0.2">
      <c r="AY2517" s="79"/>
      <c r="AZ2517" s="85"/>
      <c r="BA2517" s="40"/>
      <c r="BB2517" s="99"/>
      <c r="BC2517" s="85"/>
      <c r="BG2517" s="79"/>
      <c r="BH2517" s="99"/>
    </row>
    <row r="2518" spans="51:60" x14ac:dyDescent="0.2">
      <c r="AY2518" s="79"/>
      <c r="AZ2518" s="85"/>
      <c r="BA2518" s="40"/>
      <c r="BB2518" s="99"/>
      <c r="BC2518" s="85"/>
      <c r="BG2518" s="79"/>
      <c r="BH2518" s="99"/>
    </row>
    <row r="2519" spans="51:60" x14ac:dyDescent="0.2">
      <c r="AY2519" s="79"/>
      <c r="AZ2519" s="85"/>
      <c r="BA2519" s="40"/>
      <c r="BB2519" s="99"/>
      <c r="BC2519" s="85"/>
      <c r="BG2519" s="79"/>
      <c r="BH2519" s="99"/>
    </row>
    <row r="2520" spans="51:60" x14ac:dyDescent="0.2">
      <c r="AY2520" s="79"/>
      <c r="AZ2520" s="85"/>
      <c r="BA2520" s="40"/>
      <c r="BB2520" s="99"/>
      <c r="BC2520" s="85"/>
      <c r="BG2520" s="79"/>
      <c r="BH2520" s="99"/>
    </row>
    <row r="2521" spans="51:60" x14ac:dyDescent="0.2">
      <c r="AY2521" s="79"/>
      <c r="AZ2521" s="85"/>
      <c r="BA2521" s="40"/>
      <c r="BB2521" s="99"/>
      <c r="BC2521" s="85"/>
      <c r="BG2521" s="79"/>
      <c r="BH2521" s="99"/>
    </row>
    <row r="2522" spans="51:60" x14ac:dyDescent="0.2">
      <c r="AY2522" s="79"/>
      <c r="AZ2522" s="85"/>
      <c r="BA2522" s="40"/>
      <c r="BB2522" s="99"/>
      <c r="BC2522" s="85"/>
      <c r="BG2522" s="79"/>
      <c r="BH2522" s="99"/>
    </row>
    <row r="2523" spans="51:60" x14ac:dyDescent="0.2">
      <c r="AY2523" s="79"/>
      <c r="AZ2523" s="85"/>
      <c r="BA2523" s="40"/>
      <c r="BB2523" s="99"/>
      <c r="BC2523" s="85"/>
      <c r="BG2523" s="79"/>
      <c r="BH2523" s="99"/>
    </row>
    <row r="2524" spans="51:60" x14ac:dyDescent="0.2">
      <c r="AY2524" s="79"/>
      <c r="AZ2524" s="85"/>
      <c r="BA2524" s="40"/>
      <c r="BB2524" s="99"/>
      <c r="BC2524" s="85"/>
      <c r="BG2524" s="79"/>
      <c r="BH2524" s="99"/>
    </row>
    <row r="2525" spans="51:60" x14ac:dyDescent="0.2">
      <c r="AY2525" s="79"/>
      <c r="AZ2525" s="85"/>
      <c r="BA2525" s="40"/>
      <c r="BB2525" s="99"/>
      <c r="BC2525" s="85"/>
      <c r="BG2525" s="79"/>
      <c r="BH2525" s="99"/>
    </row>
    <row r="2526" spans="51:60" x14ac:dyDescent="0.2">
      <c r="AY2526" s="79"/>
      <c r="AZ2526" s="85"/>
      <c r="BA2526" s="40"/>
      <c r="BB2526" s="99"/>
      <c r="BC2526" s="85"/>
      <c r="BG2526" s="79"/>
      <c r="BH2526" s="99"/>
    </row>
    <row r="2527" spans="51:60" x14ac:dyDescent="0.2">
      <c r="AY2527" s="79"/>
      <c r="AZ2527" s="85"/>
      <c r="BA2527" s="40"/>
      <c r="BB2527" s="99"/>
      <c r="BC2527" s="85"/>
      <c r="BG2527" s="79"/>
      <c r="BH2527" s="99"/>
    </row>
    <row r="2528" spans="51:60" x14ac:dyDescent="0.2">
      <c r="AY2528" s="79"/>
      <c r="AZ2528" s="85"/>
      <c r="BA2528" s="40"/>
      <c r="BB2528" s="99"/>
      <c r="BC2528" s="85"/>
      <c r="BG2528" s="79"/>
      <c r="BH2528" s="99"/>
    </row>
    <row r="2529" spans="51:60" x14ac:dyDescent="0.2">
      <c r="AY2529" s="79"/>
      <c r="AZ2529" s="85"/>
      <c r="BA2529" s="40"/>
      <c r="BB2529" s="99"/>
      <c r="BC2529" s="85"/>
      <c r="BG2529" s="79"/>
      <c r="BH2529" s="99"/>
    </row>
    <row r="2530" spans="51:60" x14ac:dyDescent="0.2">
      <c r="AY2530" s="79"/>
      <c r="AZ2530" s="85"/>
      <c r="BA2530" s="40"/>
      <c r="BB2530" s="99"/>
      <c r="BC2530" s="85"/>
      <c r="BG2530" s="79"/>
      <c r="BH2530" s="99"/>
    </row>
    <row r="2531" spans="51:60" x14ac:dyDescent="0.2">
      <c r="AY2531" s="79"/>
      <c r="AZ2531" s="85"/>
      <c r="BA2531" s="40"/>
      <c r="BB2531" s="99"/>
      <c r="BC2531" s="85"/>
      <c r="BG2531" s="79"/>
      <c r="BH2531" s="99"/>
    </row>
    <row r="2532" spans="51:60" x14ac:dyDescent="0.2">
      <c r="AY2532" s="79"/>
      <c r="AZ2532" s="85"/>
      <c r="BA2532" s="40"/>
      <c r="BB2532" s="99"/>
      <c r="BC2532" s="85"/>
      <c r="BG2532" s="79"/>
      <c r="BH2532" s="99"/>
    </row>
    <row r="2533" spans="51:60" x14ac:dyDescent="0.2">
      <c r="AY2533" s="79"/>
      <c r="AZ2533" s="85"/>
      <c r="BA2533" s="40"/>
      <c r="BB2533" s="99"/>
      <c r="BC2533" s="85"/>
      <c r="BG2533" s="79"/>
      <c r="BH2533" s="99"/>
    </row>
    <row r="2534" spans="51:60" x14ac:dyDescent="0.2">
      <c r="AY2534" s="79"/>
      <c r="AZ2534" s="85"/>
      <c r="BA2534" s="40"/>
      <c r="BB2534" s="99"/>
      <c r="BC2534" s="85"/>
      <c r="BG2534" s="79"/>
      <c r="BH2534" s="99"/>
    </row>
    <row r="2535" spans="51:60" x14ac:dyDescent="0.2">
      <c r="AY2535" s="79"/>
      <c r="AZ2535" s="85"/>
      <c r="BA2535" s="40"/>
      <c r="BB2535" s="99"/>
      <c r="BC2535" s="85"/>
      <c r="BG2535" s="79"/>
      <c r="BH2535" s="99"/>
    </row>
    <row r="2536" spans="51:60" x14ac:dyDescent="0.2">
      <c r="AY2536" s="79"/>
      <c r="AZ2536" s="85"/>
      <c r="BA2536" s="40"/>
      <c r="BB2536" s="99"/>
      <c r="BC2536" s="85"/>
      <c r="BG2536" s="79"/>
      <c r="BH2536" s="99"/>
    </row>
    <row r="2537" spans="51:60" x14ac:dyDescent="0.2">
      <c r="AY2537" s="79"/>
      <c r="AZ2537" s="85"/>
      <c r="BA2537" s="40"/>
      <c r="BB2537" s="99"/>
      <c r="BC2537" s="85"/>
      <c r="BG2537" s="79"/>
      <c r="BH2537" s="99"/>
    </row>
    <row r="2538" spans="51:60" x14ac:dyDescent="0.2">
      <c r="AY2538" s="79"/>
      <c r="AZ2538" s="85"/>
      <c r="BA2538" s="40"/>
      <c r="BB2538" s="99"/>
      <c r="BC2538" s="85"/>
      <c r="BG2538" s="79"/>
      <c r="BH2538" s="99"/>
    </row>
    <row r="2539" spans="51:60" x14ac:dyDescent="0.2">
      <c r="AY2539" s="79"/>
      <c r="AZ2539" s="85"/>
      <c r="BA2539" s="40"/>
      <c r="BB2539" s="99"/>
      <c r="BC2539" s="85"/>
      <c r="BG2539" s="79"/>
      <c r="BH2539" s="99"/>
    </row>
    <row r="2540" spans="51:60" x14ac:dyDescent="0.2">
      <c r="AY2540" s="79"/>
      <c r="AZ2540" s="85"/>
      <c r="BA2540" s="40"/>
      <c r="BB2540" s="99"/>
      <c r="BC2540" s="85"/>
      <c r="BG2540" s="79"/>
      <c r="BH2540" s="99"/>
    </row>
    <row r="2541" spans="51:60" x14ac:dyDescent="0.2">
      <c r="AY2541" s="79"/>
      <c r="AZ2541" s="85"/>
      <c r="BA2541" s="40"/>
      <c r="BB2541" s="99"/>
      <c r="BC2541" s="85"/>
      <c r="BG2541" s="79"/>
      <c r="BH2541" s="99"/>
    </row>
    <row r="2542" spans="51:60" x14ac:dyDescent="0.2">
      <c r="AY2542" s="79"/>
      <c r="AZ2542" s="85"/>
      <c r="BA2542" s="40"/>
      <c r="BB2542" s="99"/>
      <c r="BC2542" s="85"/>
      <c r="BG2542" s="79"/>
      <c r="BH2542" s="99"/>
    </row>
    <row r="2543" spans="51:60" x14ac:dyDescent="0.2">
      <c r="AY2543" s="79"/>
      <c r="AZ2543" s="85"/>
      <c r="BA2543" s="40"/>
      <c r="BB2543" s="99"/>
      <c r="BC2543" s="85"/>
      <c r="BG2543" s="79"/>
      <c r="BH2543" s="99"/>
    </row>
    <row r="2544" spans="51:60" x14ac:dyDescent="0.2">
      <c r="AY2544" s="79"/>
      <c r="AZ2544" s="85"/>
      <c r="BA2544" s="40"/>
      <c r="BB2544" s="99"/>
      <c r="BC2544" s="85"/>
      <c r="BG2544" s="79"/>
      <c r="BH2544" s="99"/>
    </row>
    <row r="2545" spans="51:60" x14ac:dyDescent="0.2">
      <c r="AY2545" s="79"/>
      <c r="AZ2545" s="85"/>
      <c r="BA2545" s="40"/>
      <c r="BB2545" s="99"/>
      <c r="BC2545" s="85"/>
      <c r="BG2545" s="79"/>
      <c r="BH2545" s="99"/>
    </row>
    <row r="2546" spans="51:60" x14ac:dyDescent="0.2">
      <c r="AY2546" s="79"/>
      <c r="AZ2546" s="85"/>
      <c r="BA2546" s="40"/>
      <c r="BB2546" s="99"/>
      <c r="BC2546" s="85"/>
      <c r="BG2546" s="79"/>
      <c r="BH2546" s="99"/>
    </row>
    <row r="2547" spans="51:60" x14ac:dyDescent="0.2">
      <c r="AY2547" s="79"/>
      <c r="AZ2547" s="85"/>
      <c r="BA2547" s="40"/>
      <c r="BB2547" s="99"/>
      <c r="BC2547" s="85"/>
      <c r="BG2547" s="79"/>
      <c r="BH2547" s="99"/>
    </row>
    <row r="2548" spans="51:60" x14ac:dyDescent="0.2">
      <c r="AY2548" s="79"/>
      <c r="AZ2548" s="85"/>
      <c r="BA2548" s="40"/>
      <c r="BB2548" s="99"/>
      <c r="BC2548" s="85"/>
      <c r="BG2548" s="79"/>
      <c r="BH2548" s="99"/>
    </row>
    <row r="2549" spans="51:60" x14ac:dyDescent="0.2">
      <c r="AY2549" s="79"/>
      <c r="AZ2549" s="85"/>
      <c r="BA2549" s="40"/>
      <c r="BB2549" s="99"/>
      <c r="BC2549" s="85"/>
      <c r="BG2549" s="79"/>
      <c r="BH2549" s="99"/>
    </row>
    <row r="2550" spans="51:60" x14ac:dyDescent="0.2">
      <c r="AY2550" s="79"/>
      <c r="AZ2550" s="85"/>
      <c r="BA2550" s="40"/>
      <c r="BB2550" s="99"/>
      <c r="BC2550" s="85"/>
      <c r="BG2550" s="79"/>
      <c r="BH2550" s="99"/>
    </row>
    <row r="2551" spans="51:60" x14ac:dyDescent="0.2">
      <c r="AY2551" s="79"/>
      <c r="AZ2551" s="85"/>
      <c r="BA2551" s="40"/>
      <c r="BB2551" s="99"/>
      <c r="BC2551" s="85"/>
      <c r="BG2551" s="79"/>
      <c r="BH2551" s="99"/>
    </row>
    <row r="2552" spans="51:60" x14ac:dyDescent="0.2">
      <c r="AY2552" s="79"/>
      <c r="AZ2552" s="85"/>
      <c r="BA2552" s="40"/>
      <c r="BB2552" s="99"/>
      <c r="BC2552" s="85"/>
      <c r="BG2552" s="79"/>
      <c r="BH2552" s="99"/>
    </row>
    <row r="2553" spans="51:60" x14ac:dyDescent="0.2">
      <c r="AY2553" s="79"/>
      <c r="AZ2553" s="85"/>
      <c r="BA2553" s="40"/>
      <c r="BB2553" s="99"/>
      <c r="BC2553" s="85"/>
      <c r="BG2553" s="79"/>
      <c r="BH2553" s="99"/>
    </row>
    <row r="2554" spans="51:60" x14ac:dyDescent="0.2">
      <c r="AY2554" s="79"/>
      <c r="AZ2554" s="85"/>
      <c r="BA2554" s="40"/>
      <c r="BB2554" s="99"/>
      <c r="BC2554" s="85"/>
      <c r="BG2554" s="79"/>
      <c r="BH2554" s="99"/>
    </row>
    <row r="2555" spans="51:60" x14ac:dyDescent="0.2">
      <c r="AY2555" s="79"/>
      <c r="AZ2555" s="85"/>
      <c r="BA2555" s="40"/>
      <c r="BB2555" s="99"/>
      <c r="BC2555" s="85"/>
      <c r="BG2555" s="79"/>
      <c r="BH2555" s="99"/>
    </row>
    <row r="2556" spans="51:60" x14ac:dyDescent="0.2">
      <c r="AY2556" s="79"/>
      <c r="AZ2556" s="85"/>
      <c r="BA2556" s="40"/>
      <c r="BB2556" s="99"/>
      <c r="BC2556" s="85"/>
      <c r="BG2556" s="79"/>
      <c r="BH2556" s="99"/>
    </row>
    <row r="2557" spans="51:60" x14ac:dyDescent="0.2">
      <c r="AY2557" s="79"/>
      <c r="AZ2557" s="85"/>
      <c r="BA2557" s="40"/>
      <c r="BB2557" s="99"/>
      <c r="BC2557" s="85"/>
      <c r="BG2557" s="79"/>
      <c r="BH2557" s="99"/>
    </row>
    <row r="2558" spans="51:60" x14ac:dyDescent="0.2">
      <c r="AY2558" s="79"/>
      <c r="AZ2558" s="85"/>
      <c r="BA2558" s="40"/>
      <c r="BB2558" s="99"/>
      <c r="BC2558" s="85"/>
      <c r="BG2558" s="79"/>
      <c r="BH2558" s="99"/>
    </row>
    <row r="2559" spans="51:60" x14ac:dyDescent="0.2">
      <c r="AY2559" s="79"/>
      <c r="AZ2559" s="85"/>
      <c r="BA2559" s="40"/>
      <c r="BB2559" s="99"/>
      <c r="BC2559" s="85"/>
      <c r="BG2559" s="79"/>
      <c r="BH2559" s="99"/>
    </row>
    <row r="2560" spans="51:60" x14ac:dyDescent="0.2">
      <c r="AY2560" s="79"/>
      <c r="AZ2560" s="85"/>
      <c r="BA2560" s="40"/>
      <c r="BB2560" s="99"/>
      <c r="BC2560" s="85"/>
      <c r="BG2560" s="79"/>
      <c r="BH2560" s="99"/>
    </row>
    <row r="2561" spans="51:60" x14ac:dyDescent="0.2">
      <c r="AY2561" s="79"/>
      <c r="AZ2561" s="85"/>
      <c r="BA2561" s="40"/>
      <c r="BB2561" s="99"/>
      <c r="BC2561" s="85"/>
      <c r="BG2561" s="79"/>
      <c r="BH2561" s="99"/>
    </row>
    <row r="2562" spans="51:60" x14ac:dyDescent="0.2">
      <c r="AY2562" s="79"/>
      <c r="AZ2562" s="85"/>
      <c r="BA2562" s="40"/>
      <c r="BB2562" s="99"/>
      <c r="BC2562" s="85"/>
      <c r="BG2562" s="79"/>
      <c r="BH2562" s="99"/>
    </row>
    <row r="2563" spans="51:60" x14ac:dyDescent="0.2">
      <c r="AY2563" s="79"/>
      <c r="AZ2563" s="85"/>
      <c r="BA2563" s="40"/>
      <c r="BB2563" s="99"/>
      <c r="BC2563" s="85"/>
      <c r="BG2563" s="79"/>
      <c r="BH2563" s="99"/>
    </row>
    <row r="2564" spans="51:60" x14ac:dyDescent="0.2">
      <c r="AY2564" s="79"/>
      <c r="AZ2564" s="85"/>
      <c r="BA2564" s="40"/>
      <c r="BB2564" s="99"/>
      <c r="BC2564" s="85"/>
      <c r="BG2564" s="79"/>
      <c r="BH2564" s="99"/>
    </row>
    <row r="2565" spans="51:60" x14ac:dyDescent="0.2">
      <c r="AY2565" s="79"/>
      <c r="AZ2565" s="85"/>
      <c r="BA2565" s="40"/>
      <c r="BB2565" s="99"/>
      <c r="BC2565" s="85"/>
      <c r="BG2565" s="79"/>
      <c r="BH2565" s="99"/>
    </row>
    <row r="2566" spans="51:60" x14ac:dyDescent="0.2">
      <c r="AY2566" s="79"/>
      <c r="AZ2566" s="85"/>
      <c r="BA2566" s="40"/>
      <c r="BB2566" s="99"/>
      <c r="BC2566" s="85"/>
      <c r="BG2566" s="79"/>
      <c r="BH2566" s="99"/>
    </row>
    <row r="2567" spans="51:60" x14ac:dyDescent="0.2">
      <c r="AY2567" s="79"/>
      <c r="AZ2567" s="85"/>
      <c r="BA2567" s="40"/>
      <c r="BB2567" s="99"/>
      <c r="BC2567" s="85"/>
      <c r="BG2567" s="79"/>
      <c r="BH2567" s="99"/>
    </row>
    <row r="2568" spans="51:60" x14ac:dyDescent="0.2">
      <c r="AY2568" s="79"/>
      <c r="AZ2568" s="85"/>
      <c r="BA2568" s="40"/>
      <c r="BB2568" s="99"/>
      <c r="BC2568" s="85"/>
      <c r="BG2568" s="79"/>
      <c r="BH2568" s="99"/>
    </row>
    <row r="2569" spans="51:60" x14ac:dyDescent="0.2">
      <c r="AY2569" s="79"/>
      <c r="AZ2569" s="85"/>
      <c r="BA2569" s="40"/>
      <c r="BB2569" s="99"/>
      <c r="BC2569" s="85"/>
      <c r="BG2569" s="79"/>
      <c r="BH2569" s="99"/>
    </row>
    <row r="2570" spans="51:60" x14ac:dyDescent="0.2">
      <c r="AY2570" s="79"/>
      <c r="AZ2570" s="85"/>
      <c r="BA2570" s="40"/>
      <c r="BB2570" s="99"/>
      <c r="BC2570" s="85"/>
      <c r="BG2570" s="79"/>
      <c r="BH2570" s="99"/>
    </row>
    <row r="2571" spans="51:60" x14ac:dyDescent="0.2">
      <c r="AY2571" s="79"/>
      <c r="AZ2571" s="85"/>
      <c r="BA2571" s="40"/>
      <c r="BB2571" s="99"/>
      <c r="BC2571" s="85"/>
      <c r="BG2571" s="79"/>
      <c r="BH2571" s="99"/>
    </row>
    <row r="2572" spans="51:60" x14ac:dyDescent="0.2">
      <c r="AY2572" s="79"/>
      <c r="AZ2572" s="85"/>
      <c r="BA2572" s="40"/>
      <c r="BB2572" s="99"/>
      <c r="BC2572" s="85"/>
      <c r="BG2572" s="79"/>
      <c r="BH2572" s="99"/>
    </row>
    <row r="2573" spans="51:60" x14ac:dyDescent="0.2">
      <c r="AY2573" s="79"/>
      <c r="AZ2573" s="85"/>
      <c r="BA2573" s="40"/>
      <c r="BB2573" s="99"/>
      <c r="BC2573" s="85"/>
      <c r="BG2573" s="79"/>
      <c r="BH2573" s="99"/>
    </row>
    <row r="2574" spans="51:60" x14ac:dyDescent="0.2">
      <c r="AY2574" s="79"/>
      <c r="AZ2574" s="85"/>
      <c r="BA2574" s="40"/>
      <c r="BB2574" s="99"/>
      <c r="BC2574" s="85"/>
      <c r="BG2574" s="79"/>
      <c r="BH2574" s="99"/>
    </row>
    <row r="2575" spans="51:60" x14ac:dyDescent="0.2">
      <c r="AY2575" s="79"/>
      <c r="AZ2575" s="85"/>
      <c r="BA2575" s="40"/>
      <c r="BB2575" s="99"/>
      <c r="BC2575" s="85"/>
      <c r="BG2575" s="79"/>
      <c r="BH2575" s="99"/>
    </row>
    <row r="2576" spans="51:60" x14ac:dyDescent="0.2">
      <c r="AY2576" s="79"/>
      <c r="AZ2576" s="85"/>
      <c r="BA2576" s="40"/>
      <c r="BB2576" s="99"/>
      <c r="BC2576" s="85"/>
      <c r="BG2576" s="79"/>
      <c r="BH2576" s="99"/>
    </row>
    <row r="2577" spans="51:60" x14ac:dyDescent="0.2">
      <c r="AY2577" s="79"/>
      <c r="AZ2577" s="85"/>
      <c r="BA2577" s="40"/>
      <c r="BB2577" s="99"/>
      <c r="BC2577" s="85"/>
      <c r="BG2577" s="79"/>
      <c r="BH2577" s="99"/>
    </row>
    <row r="2578" spans="51:60" x14ac:dyDescent="0.2">
      <c r="AY2578" s="79"/>
      <c r="AZ2578" s="85"/>
      <c r="BA2578" s="40"/>
      <c r="BB2578" s="99"/>
      <c r="BC2578" s="85"/>
      <c r="BG2578" s="79"/>
      <c r="BH2578" s="99"/>
    </row>
    <row r="2579" spans="51:60" x14ac:dyDescent="0.2">
      <c r="AY2579" s="79"/>
      <c r="AZ2579" s="85"/>
      <c r="BA2579" s="40"/>
      <c r="BB2579" s="99"/>
      <c r="BC2579" s="85"/>
      <c r="BG2579" s="79"/>
      <c r="BH2579" s="99"/>
    </row>
    <row r="2580" spans="51:60" x14ac:dyDescent="0.2">
      <c r="AY2580" s="79"/>
      <c r="AZ2580" s="85"/>
      <c r="BA2580" s="40"/>
      <c r="BB2580" s="99"/>
      <c r="BC2580" s="85"/>
      <c r="BG2580" s="79"/>
      <c r="BH2580" s="99"/>
    </row>
    <row r="2581" spans="51:60" x14ac:dyDescent="0.2">
      <c r="AY2581" s="79"/>
      <c r="AZ2581" s="85"/>
      <c r="BA2581" s="40"/>
      <c r="BB2581" s="99"/>
      <c r="BC2581" s="85"/>
      <c r="BG2581" s="79"/>
      <c r="BH2581" s="99"/>
    </row>
    <row r="2582" spans="51:60" x14ac:dyDescent="0.2">
      <c r="AY2582" s="79"/>
      <c r="AZ2582" s="85"/>
      <c r="BA2582" s="40"/>
      <c r="BB2582" s="99"/>
      <c r="BC2582" s="85"/>
      <c r="BG2582" s="79"/>
      <c r="BH2582" s="99"/>
    </row>
    <row r="2583" spans="51:60" x14ac:dyDescent="0.2">
      <c r="AY2583" s="79"/>
      <c r="AZ2583" s="85"/>
      <c r="BA2583" s="40"/>
      <c r="BB2583" s="99"/>
      <c r="BC2583" s="85"/>
      <c r="BG2583" s="79"/>
      <c r="BH2583" s="99"/>
    </row>
    <row r="2584" spans="51:60" x14ac:dyDescent="0.2">
      <c r="AY2584" s="79"/>
      <c r="AZ2584" s="85"/>
      <c r="BA2584" s="40"/>
      <c r="BB2584" s="99"/>
      <c r="BC2584" s="85"/>
      <c r="BG2584" s="79"/>
      <c r="BH2584" s="99"/>
    </row>
    <row r="2585" spans="51:60" x14ac:dyDescent="0.2">
      <c r="AY2585" s="79"/>
      <c r="AZ2585" s="85"/>
      <c r="BA2585" s="40"/>
      <c r="BB2585" s="99"/>
      <c r="BC2585" s="85"/>
      <c r="BG2585" s="79"/>
      <c r="BH2585" s="99"/>
    </row>
    <row r="2586" spans="51:60" x14ac:dyDescent="0.2">
      <c r="AY2586" s="79"/>
      <c r="AZ2586" s="85"/>
      <c r="BA2586" s="40"/>
      <c r="BB2586" s="99"/>
      <c r="BC2586" s="85"/>
      <c r="BG2586" s="79"/>
      <c r="BH2586" s="99"/>
    </row>
    <row r="2587" spans="51:60" x14ac:dyDescent="0.2">
      <c r="AY2587" s="79"/>
      <c r="AZ2587" s="85"/>
      <c r="BA2587" s="40"/>
      <c r="BB2587" s="99"/>
      <c r="BC2587" s="85"/>
      <c r="BG2587" s="79"/>
      <c r="BH2587" s="99"/>
    </row>
    <row r="2588" spans="51:60" x14ac:dyDescent="0.2">
      <c r="AY2588" s="79"/>
      <c r="AZ2588" s="85"/>
      <c r="BA2588" s="40"/>
      <c r="BB2588" s="99"/>
      <c r="BC2588" s="85"/>
      <c r="BG2588" s="79"/>
      <c r="BH2588" s="99"/>
    </row>
    <row r="2589" spans="51:60" x14ac:dyDescent="0.2">
      <c r="AY2589" s="79"/>
      <c r="AZ2589" s="85"/>
      <c r="BA2589" s="40"/>
      <c r="BB2589" s="99"/>
      <c r="BC2589" s="85"/>
      <c r="BG2589" s="79"/>
      <c r="BH2589" s="99"/>
    </row>
    <row r="2590" spans="51:60" x14ac:dyDescent="0.2">
      <c r="AY2590" s="79"/>
      <c r="AZ2590" s="85"/>
      <c r="BA2590" s="40"/>
      <c r="BB2590" s="99"/>
      <c r="BC2590" s="85"/>
      <c r="BG2590" s="79"/>
      <c r="BH2590" s="99"/>
    </row>
    <row r="2591" spans="51:60" x14ac:dyDescent="0.2">
      <c r="AY2591" s="79"/>
      <c r="AZ2591" s="85"/>
      <c r="BA2591" s="40"/>
      <c r="BB2591" s="99"/>
      <c r="BC2591" s="85"/>
      <c r="BG2591" s="79"/>
      <c r="BH2591" s="99"/>
    </row>
    <row r="2592" spans="51:60" x14ac:dyDescent="0.2">
      <c r="AY2592" s="79"/>
      <c r="AZ2592" s="85"/>
      <c r="BA2592" s="40"/>
      <c r="BB2592" s="99"/>
      <c r="BC2592" s="85"/>
      <c r="BG2592" s="79"/>
      <c r="BH2592" s="99"/>
    </row>
    <row r="2593" spans="51:60" x14ac:dyDescent="0.2">
      <c r="AY2593" s="79"/>
      <c r="AZ2593" s="85"/>
      <c r="BA2593" s="40"/>
      <c r="BB2593" s="99"/>
      <c r="BC2593" s="85"/>
      <c r="BG2593" s="79"/>
      <c r="BH2593" s="99"/>
    </row>
    <row r="2594" spans="51:60" x14ac:dyDescent="0.2">
      <c r="AY2594" s="79"/>
      <c r="AZ2594" s="85"/>
      <c r="BA2594" s="40"/>
      <c r="BB2594" s="99"/>
      <c r="BC2594" s="85"/>
      <c r="BG2594" s="79"/>
      <c r="BH2594" s="99"/>
    </row>
    <row r="2595" spans="51:60" x14ac:dyDescent="0.2">
      <c r="AY2595" s="79"/>
      <c r="AZ2595" s="85"/>
      <c r="BA2595" s="40"/>
      <c r="BB2595" s="99"/>
      <c r="BC2595" s="85"/>
      <c r="BG2595" s="79"/>
      <c r="BH2595" s="99"/>
    </row>
    <row r="2596" spans="51:60" x14ac:dyDescent="0.2">
      <c r="AY2596" s="79"/>
      <c r="AZ2596" s="85"/>
      <c r="BA2596" s="40"/>
      <c r="BB2596" s="99"/>
      <c r="BC2596" s="85"/>
      <c r="BG2596" s="79"/>
      <c r="BH2596" s="99"/>
    </row>
    <row r="2597" spans="51:60" x14ac:dyDescent="0.2">
      <c r="AY2597" s="79"/>
      <c r="AZ2597" s="85"/>
      <c r="BA2597" s="40"/>
      <c r="BB2597" s="99"/>
      <c r="BC2597" s="85"/>
      <c r="BG2597" s="79"/>
      <c r="BH2597" s="99"/>
    </row>
    <row r="2598" spans="51:60" x14ac:dyDescent="0.2">
      <c r="AY2598" s="79"/>
      <c r="AZ2598" s="85"/>
      <c r="BA2598" s="40"/>
      <c r="BB2598" s="99"/>
      <c r="BC2598" s="85"/>
      <c r="BG2598" s="79"/>
      <c r="BH2598" s="99"/>
    </row>
    <row r="2599" spans="51:60" x14ac:dyDescent="0.2">
      <c r="AY2599" s="79"/>
      <c r="AZ2599" s="85"/>
      <c r="BA2599" s="40"/>
      <c r="BB2599" s="99"/>
      <c r="BC2599" s="85"/>
      <c r="BG2599" s="79"/>
      <c r="BH2599" s="99"/>
    </row>
    <row r="2600" spans="51:60" x14ac:dyDescent="0.2">
      <c r="AY2600" s="79"/>
      <c r="AZ2600" s="85"/>
      <c r="BA2600" s="40"/>
      <c r="BB2600" s="99"/>
      <c r="BC2600" s="85"/>
      <c r="BG2600" s="79"/>
      <c r="BH2600" s="99"/>
    </row>
    <row r="2601" spans="51:60" x14ac:dyDescent="0.2">
      <c r="AY2601" s="79"/>
      <c r="AZ2601" s="85"/>
      <c r="BA2601" s="40"/>
      <c r="BB2601" s="99"/>
      <c r="BC2601" s="85"/>
      <c r="BG2601" s="79"/>
      <c r="BH2601" s="99"/>
    </row>
    <row r="2602" spans="51:60" x14ac:dyDescent="0.2">
      <c r="AY2602" s="79"/>
      <c r="AZ2602" s="85"/>
      <c r="BA2602" s="40"/>
      <c r="BB2602" s="99"/>
      <c r="BC2602" s="85"/>
      <c r="BG2602" s="79"/>
      <c r="BH2602" s="99"/>
    </row>
    <row r="2603" spans="51:60" x14ac:dyDescent="0.2">
      <c r="AY2603" s="79"/>
      <c r="AZ2603" s="85"/>
      <c r="BA2603" s="40"/>
      <c r="BB2603" s="99"/>
      <c r="BC2603" s="85"/>
      <c r="BG2603" s="79"/>
      <c r="BH2603" s="99"/>
    </row>
    <row r="2604" spans="51:60" x14ac:dyDescent="0.2">
      <c r="AY2604" s="79"/>
      <c r="AZ2604" s="85"/>
      <c r="BA2604" s="40"/>
      <c r="BB2604" s="99"/>
      <c r="BC2604" s="85"/>
      <c r="BG2604" s="79"/>
      <c r="BH2604" s="99"/>
    </row>
    <row r="2605" spans="51:60" x14ac:dyDescent="0.2">
      <c r="AY2605" s="79"/>
      <c r="AZ2605" s="85"/>
      <c r="BA2605" s="40"/>
      <c r="BB2605" s="99"/>
      <c r="BC2605" s="85"/>
      <c r="BG2605" s="79"/>
      <c r="BH2605" s="99"/>
    </row>
    <row r="2606" spans="51:60" x14ac:dyDescent="0.2">
      <c r="AY2606" s="79"/>
      <c r="AZ2606" s="85"/>
      <c r="BA2606" s="40"/>
      <c r="BB2606" s="99"/>
      <c r="BC2606" s="85"/>
      <c r="BG2606" s="79"/>
      <c r="BH2606" s="99"/>
    </row>
    <row r="2607" spans="51:60" x14ac:dyDescent="0.2">
      <c r="AY2607" s="79"/>
      <c r="AZ2607" s="85"/>
      <c r="BA2607" s="40"/>
      <c r="BB2607" s="99"/>
      <c r="BC2607" s="85"/>
      <c r="BG2607" s="79"/>
      <c r="BH2607" s="99"/>
    </row>
    <row r="2608" spans="51:60" x14ac:dyDescent="0.2">
      <c r="AY2608" s="79"/>
      <c r="AZ2608" s="85"/>
      <c r="BA2608" s="40"/>
      <c r="BB2608" s="99"/>
      <c r="BC2608" s="85"/>
      <c r="BG2608" s="79"/>
      <c r="BH2608" s="99"/>
    </row>
    <row r="2609" spans="51:60" x14ac:dyDescent="0.2">
      <c r="AY2609" s="79"/>
      <c r="AZ2609" s="85"/>
      <c r="BA2609" s="40"/>
      <c r="BB2609" s="99"/>
      <c r="BC2609" s="85"/>
      <c r="BG2609" s="79"/>
      <c r="BH2609" s="99"/>
    </row>
    <row r="2610" spans="51:60" x14ac:dyDescent="0.2">
      <c r="AY2610" s="79"/>
      <c r="AZ2610" s="85"/>
      <c r="BA2610" s="40"/>
      <c r="BB2610" s="99"/>
      <c r="BC2610" s="85"/>
      <c r="BG2610" s="79"/>
      <c r="BH2610" s="99"/>
    </row>
    <row r="2611" spans="51:60" x14ac:dyDescent="0.2">
      <c r="AY2611" s="79"/>
      <c r="AZ2611" s="85"/>
      <c r="BA2611" s="40"/>
      <c r="BB2611" s="99"/>
      <c r="BC2611" s="85"/>
      <c r="BG2611" s="79"/>
      <c r="BH2611" s="99"/>
    </row>
    <row r="2612" spans="51:60" x14ac:dyDescent="0.2">
      <c r="AY2612" s="79"/>
      <c r="AZ2612" s="85"/>
      <c r="BA2612" s="40"/>
      <c r="BB2612" s="99"/>
      <c r="BC2612" s="85"/>
      <c r="BG2612" s="79"/>
      <c r="BH2612" s="99"/>
    </row>
    <row r="2613" spans="51:60" x14ac:dyDescent="0.2">
      <c r="AY2613" s="79"/>
      <c r="AZ2613" s="85"/>
      <c r="BA2613" s="40"/>
      <c r="BB2613" s="99"/>
      <c r="BC2613" s="85"/>
      <c r="BG2613" s="79"/>
      <c r="BH2613" s="99"/>
    </row>
    <row r="2614" spans="51:60" x14ac:dyDescent="0.2">
      <c r="AY2614" s="79"/>
      <c r="AZ2614" s="85"/>
      <c r="BA2614" s="40"/>
      <c r="BB2614" s="99"/>
      <c r="BC2614" s="85"/>
      <c r="BG2614" s="79"/>
      <c r="BH2614" s="99"/>
    </row>
    <row r="2615" spans="51:60" x14ac:dyDescent="0.2">
      <c r="AY2615" s="79"/>
      <c r="AZ2615" s="85"/>
      <c r="BA2615" s="40"/>
      <c r="BB2615" s="99"/>
      <c r="BC2615" s="85"/>
      <c r="BG2615" s="79"/>
      <c r="BH2615" s="99"/>
    </row>
    <row r="2616" spans="51:60" x14ac:dyDescent="0.2">
      <c r="AY2616" s="79"/>
      <c r="AZ2616" s="85"/>
      <c r="BA2616" s="40"/>
      <c r="BB2616" s="99"/>
      <c r="BC2616" s="85"/>
      <c r="BG2616" s="79"/>
      <c r="BH2616" s="99"/>
    </row>
    <row r="2617" spans="51:60" x14ac:dyDescent="0.2">
      <c r="AY2617" s="79"/>
      <c r="AZ2617" s="85"/>
      <c r="BA2617" s="40"/>
      <c r="BB2617" s="99"/>
      <c r="BC2617" s="85"/>
      <c r="BG2617" s="79"/>
      <c r="BH2617" s="99"/>
    </row>
    <row r="2618" spans="51:60" x14ac:dyDescent="0.2">
      <c r="AY2618" s="79"/>
      <c r="AZ2618" s="85"/>
      <c r="BA2618" s="40"/>
      <c r="BB2618" s="99"/>
      <c r="BC2618" s="85"/>
      <c r="BG2618" s="79"/>
      <c r="BH2618" s="99"/>
    </row>
    <row r="2619" spans="51:60" x14ac:dyDescent="0.2">
      <c r="AY2619" s="79"/>
      <c r="AZ2619" s="85"/>
      <c r="BA2619" s="40"/>
      <c r="BB2619" s="99"/>
      <c r="BC2619" s="85"/>
      <c r="BG2619" s="79"/>
      <c r="BH2619" s="99"/>
    </row>
    <row r="2620" spans="51:60" x14ac:dyDescent="0.2">
      <c r="AY2620" s="79"/>
      <c r="AZ2620" s="85"/>
      <c r="BA2620" s="40"/>
      <c r="BB2620" s="99"/>
      <c r="BC2620" s="85"/>
      <c r="BG2620" s="79"/>
      <c r="BH2620" s="99"/>
    </row>
    <row r="2621" spans="51:60" x14ac:dyDescent="0.2">
      <c r="AY2621" s="79"/>
      <c r="AZ2621" s="85"/>
      <c r="BA2621" s="40"/>
      <c r="BB2621" s="99"/>
      <c r="BC2621" s="85"/>
      <c r="BG2621" s="79"/>
      <c r="BH2621" s="99"/>
    </row>
    <row r="2622" spans="51:60" x14ac:dyDescent="0.2">
      <c r="AY2622" s="79"/>
      <c r="AZ2622" s="85"/>
      <c r="BA2622" s="40"/>
      <c r="BB2622" s="99"/>
      <c r="BC2622" s="85"/>
      <c r="BG2622" s="79"/>
      <c r="BH2622" s="99"/>
    </row>
    <row r="2623" spans="51:60" x14ac:dyDescent="0.2">
      <c r="AY2623" s="79"/>
      <c r="AZ2623" s="85"/>
      <c r="BA2623" s="40"/>
      <c r="BB2623" s="99"/>
      <c r="BC2623" s="85"/>
      <c r="BG2623" s="79"/>
      <c r="BH2623" s="99"/>
    </row>
    <row r="2624" spans="51:60" x14ac:dyDescent="0.2">
      <c r="AY2624" s="79"/>
      <c r="AZ2624" s="85"/>
      <c r="BA2624" s="40"/>
      <c r="BB2624" s="99"/>
      <c r="BC2624" s="85"/>
      <c r="BG2624" s="79"/>
      <c r="BH2624" s="99"/>
    </row>
    <row r="2625" spans="51:60" x14ac:dyDescent="0.2">
      <c r="AY2625" s="79"/>
      <c r="AZ2625" s="85"/>
      <c r="BA2625" s="40"/>
      <c r="BB2625" s="99"/>
      <c r="BC2625" s="85"/>
      <c r="BG2625" s="79"/>
      <c r="BH2625" s="99"/>
    </row>
    <row r="2626" spans="51:60" x14ac:dyDescent="0.2">
      <c r="AY2626" s="79"/>
      <c r="AZ2626" s="85"/>
      <c r="BA2626" s="40"/>
      <c r="BB2626" s="99"/>
      <c r="BC2626" s="85"/>
      <c r="BG2626" s="79"/>
      <c r="BH2626" s="99"/>
    </row>
    <row r="2627" spans="51:60" x14ac:dyDescent="0.2">
      <c r="AY2627" s="79"/>
      <c r="AZ2627" s="85"/>
      <c r="BA2627" s="40"/>
      <c r="BB2627" s="99"/>
      <c r="BC2627" s="85"/>
      <c r="BG2627" s="79"/>
      <c r="BH2627" s="99"/>
    </row>
    <row r="2628" spans="51:60" x14ac:dyDescent="0.2">
      <c r="AY2628" s="79"/>
      <c r="AZ2628" s="85"/>
      <c r="BA2628" s="40"/>
      <c r="BB2628" s="99"/>
      <c r="BC2628" s="85"/>
      <c r="BG2628" s="79"/>
      <c r="BH2628" s="99"/>
    </row>
    <row r="2629" spans="51:60" x14ac:dyDescent="0.2">
      <c r="AY2629" s="79"/>
      <c r="AZ2629" s="85"/>
      <c r="BA2629" s="40"/>
      <c r="BB2629" s="99"/>
      <c r="BC2629" s="85"/>
      <c r="BG2629" s="79"/>
      <c r="BH2629" s="99"/>
    </row>
    <row r="2630" spans="51:60" x14ac:dyDescent="0.2">
      <c r="AY2630" s="79"/>
      <c r="AZ2630" s="85"/>
      <c r="BA2630" s="40"/>
      <c r="BB2630" s="99"/>
      <c r="BC2630" s="85"/>
      <c r="BG2630" s="79"/>
      <c r="BH2630" s="99"/>
    </row>
    <row r="2631" spans="51:60" x14ac:dyDescent="0.2">
      <c r="AY2631" s="79"/>
      <c r="AZ2631" s="85"/>
      <c r="BA2631" s="40"/>
      <c r="BB2631" s="99"/>
      <c r="BC2631" s="85"/>
      <c r="BG2631" s="79"/>
      <c r="BH2631" s="99"/>
    </row>
    <row r="2632" spans="51:60" x14ac:dyDescent="0.2">
      <c r="AY2632" s="79"/>
      <c r="AZ2632" s="85"/>
      <c r="BA2632" s="40"/>
      <c r="BB2632" s="99"/>
      <c r="BC2632" s="85"/>
      <c r="BG2632" s="79"/>
      <c r="BH2632" s="99"/>
    </row>
    <row r="2633" spans="51:60" x14ac:dyDescent="0.2">
      <c r="AY2633" s="79"/>
      <c r="AZ2633" s="85"/>
      <c r="BA2633" s="40"/>
      <c r="BB2633" s="99"/>
      <c r="BC2633" s="85"/>
      <c r="BG2633" s="79"/>
      <c r="BH2633" s="99"/>
    </row>
    <row r="2634" spans="51:60" x14ac:dyDescent="0.2">
      <c r="AY2634" s="79"/>
      <c r="AZ2634" s="85"/>
      <c r="BA2634" s="40"/>
      <c r="BB2634" s="99"/>
      <c r="BC2634" s="85"/>
      <c r="BG2634" s="79"/>
      <c r="BH2634" s="99"/>
    </row>
    <row r="2635" spans="51:60" x14ac:dyDescent="0.2">
      <c r="AY2635" s="79"/>
      <c r="AZ2635" s="85"/>
      <c r="BA2635" s="40"/>
      <c r="BB2635" s="99"/>
      <c r="BC2635" s="85"/>
      <c r="BG2635" s="79"/>
      <c r="BH2635" s="99"/>
    </row>
    <row r="2636" spans="51:60" x14ac:dyDescent="0.2">
      <c r="AY2636" s="79"/>
      <c r="AZ2636" s="85"/>
      <c r="BA2636" s="40"/>
      <c r="BB2636" s="99"/>
      <c r="BC2636" s="85"/>
      <c r="BG2636" s="79"/>
      <c r="BH2636" s="99"/>
    </row>
    <row r="2637" spans="51:60" x14ac:dyDescent="0.2">
      <c r="AY2637" s="79"/>
      <c r="AZ2637" s="85"/>
      <c r="BA2637" s="40"/>
      <c r="BB2637" s="99"/>
      <c r="BC2637" s="85"/>
      <c r="BG2637" s="79"/>
      <c r="BH2637" s="99"/>
    </row>
    <row r="2638" spans="51:60" x14ac:dyDescent="0.2">
      <c r="AY2638" s="79"/>
      <c r="AZ2638" s="85"/>
      <c r="BA2638" s="40"/>
      <c r="BB2638" s="99"/>
      <c r="BC2638" s="85"/>
      <c r="BG2638" s="79"/>
      <c r="BH2638" s="99"/>
    </row>
    <row r="2639" spans="51:60" x14ac:dyDescent="0.2">
      <c r="AY2639" s="79"/>
      <c r="AZ2639" s="85"/>
      <c r="BA2639" s="40"/>
      <c r="BB2639" s="99"/>
      <c r="BC2639" s="85"/>
      <c r="BG2639" s="79"/>
      <c r="BH2639" s="99"/>
    </row>
    <row r="2640" spans="51:60" x14ac:dyDescent="0.2">
      <c r="AY2640" s="79"/>
      <c r="AZ2640" s="85"/>
      <c r="BA2640" s="40"/>
      <c r="BB2640" s="99"/>
      <c r="BC2640" s="85"/>
      <c r="BG2640" s="79"/>
      <c r="BH2640" s="99"/>
    </row>
    <row r="2641" spans="51:60" x14ac:dyDescent="0.2">
      <c r="AY2641" s="79"/>
      <c r="AZ2641" s="85"/>
      <c r="BA2641" s="40"/>
      <c r="BB2641" s="99"/>
      <c r="BC2641" s="85"/>
      <c r="BG2641" s="79"/>
      <c r="BH2641" s="99"/>
    </row>
    <row r="2642" spans="51:60" x14ac:dyDescent="0.2">
      <c r="AY2642" s="79"/>
      <c r="AZ2642" s="85"/>
      <c r="BA2642" s="40"/>
      <c r="BB2642" s="99"/>
      <c r="BC2642" s="85"/>
      <c r="BG2642" s="79"/>
      <c r="BH2642" s="99"/>
    </row>
    <row r="2643" spans="51:60" x14ac:dyDescent="0.2">
      <c r="AY2643" s="79"/>
      <c r="AZ2643" s="85"/>
      <c r="BA2643" s="40"/>
      <c r="BB2643" s="99"/>
      <c r="BC2643" s="85"/>
      <c r="BG2643" s="79"/>
      <c r="BH2643" s="99"/>
    </row>
    <row r="2644" spans="51:60" x14ac:dyDescent="0.2">
      <c r="AY2644" s="79"/>
      <c r="AZ2644" s="85"/>
      <c r="BA2644" s="40"/>
      <c r="BB2644" s="99"/>
      <c r="BC2644" s="85"/>
      <c r="BG2644" s="79"/>
      <c r="BH2644" s="99"/>
    </row>
    <row r="2645" spans="51:60" x14ac:dyDescent="0.2">
      <c r="AY2645" s="79"/>
      <c r="AZ2645" s="85"/>
      <c r="BA2645" s="40"/>
      <c r="BB2645" s="99"/>
      <c r="BC2645" s="85"/>
      <c r="BG2645" s="79"/>
      <c r="BH2645" s="99"/>
    </row>
    <row r="2646" spans="51:60" x14ac:dyDescent="0.2">
      <c r="AY2646" s="79"/>
      <c r="AZ2646" s="85"/>
      <c r="BA2646" s="40"/>
      <c r="BB2646" s="99"/>
      <c r="BC2646" s="85"/>
      <c r="BG2646" s="79"/>
      <c r="BH2646" s="99"/>
    </row>
    <row r="2647" spans="51:60" x14ac:dyDescent="0.2">
      <c r="AY2647" s="79"/>
      <c r="AZ2647" s="85"/>
      <c r="BA2647" s="40"/>
      <c r="BB2647" s="99"/>
      <c r="BC2647" s="85"/>
      <c r="BG2647" s="79"/>
      <c r="BH2647" s="99"/>
    </row>
    <row r="2648" spans="51:60" x14ac:dyDescent="0.2">
      <c r="AY2648" s="79"/>
      <c r="AZ2648" s="85"/>
      <c r="BA2648" s="40"/>
      <c r="BB2648" s="99"/>
      <c r="BC2648" s="85"/>
      <c r="BG2648" s="79"/>
      <c r="BH2648" s="99"/>
    </row>
    <row r="2649" spans="51:60" x14ac:dyDescent="0.2">
      <c r="AY2649" s="79"/>
      <c r="AZ2649" s="85"/>
      <c r="BA2649" s="40"/>
      <c r="BB2649" s="99"/>
      <c r="BC2649" s="85"/>
      <c r="BG2649" s="79"/>
      <c r="BH2649" s="99"/>
    </row>
    <row r="2650" spans="51:60" x14ac:dyDescent="0.2">
      <c r="AY2650" s="79"/>
      <c r="AZ2650" s="85"/>
      <c r="BA2650" s="40"/>
      <c r="BB2650" s="99"/>
      <c r="BC2650" s="85"/>
      <c r="BG2650" s="79"/>
      <c r="BH2650" s="99"/>
    </row>
    <row r="2651" spans="51:60" x14ac:dyDescent="0.2">
      <c r="AY2651" s="79"/>
      <c r="AZ2651" s="85"/>
      <c r="BA2651" s="40"/>
      <c r="BB2651" s="99"/>
      <c r="BC2651" s="85"/>
      <c r="BG2651" s="79"/>
      <c r="BH2651" s="99"/>
    </row>
    <row r="2652" spans="51:60" x14ac:dyDescent="0.2">
      <c r="AY2652" s="79"/>
      <c r="AZ2652" s="85"/>
      <c r="BA2652" s="40"/>
      <c r="BB2652" s="99"/>
      <c r="BC2652" s="85"/>
      <c r="BG2652" s="79"/>
      <c r="BH2652" s="99"/>
    </row>
    <row r="2653" spans="51:60" x14ac:dyDescent="0.2">
      <c r="AY2653" s="79"/>
      <c r="AZ2653" s="85"/>
      <c r="BA2653" s="40"/>
      <c r="BB2653" s="99"/>
      <c r="BC2653" s="85"/>
      <c r="BG2653" s="79"/>
      <c r="BH2653" s="99"/>
    </row>
    <row r="2654" spans="51:60" x14ac:dyDescent="0.2">
      <c r="AY2654" s="79"/>
      <c r="AZ2654" s="85"/>
      <c r="BA2654" s="40"/>
      <c r="BB2654" s="99"/>
      <c r="BC2654" s="85"/>
      <c r="BG2654" s="79"/>
      <c r="BH2654" s="99"/>
    </row>
    <row r="2655" spans="51:60" x14ac:dyDescent="0.2">
      <c r="AY2655" s="79"/>
      <c r="AZ2655" s="85"/>
      <c r="BA2655" s="40"/>
      <c r="BB2655" s="99"/>
      <c r="BC2655" s="85"/>
      <c r="BG2655" s="79"/>
      <c r="BH2655" s="99"/>
    </row>
    <row r="2656" spans="51:60" x14ac:dyDescent="0.2">
      <c r="AY2656" s="79"/>
      <c r="AZ2656" s="85"/>
      <c r="BA2656" s="40"/>
      <c r="BB2656" s="99"/>
      <c r="BC2656" s="85"/>
      <c r="BG2656" s="79"/>
      <c r="BH2656" s="99"/>
    </row>
    <row r="2657" spans="51:60" x14ac:dyDescent="0.2">
      <c r="AY2657" s="79"/>
      <c r="AZ2657" s="85"/>
      <c r="BA2657" s="40"/>
      <c r="BB2657" s="99"/>
      <c r="BC2657" s="85"/>
      <c r="BG2657" s="79"/>
      <c r="BH2657" s="99"/>
    </row>
    <row r="2658" spans="51:60" x14ac:dyDescent="0.2">
      <c r="AY2658" s="79"/>
      <c r="AZ2658" s="85"/>
      <c r="BA2658" s="40"/>
      <c r="BB2658" s="99"/>
      <c r="BC2658" s="85"/>
      <c r="BG2658" s="79"/>
      <c r="BH2658" s="99"/>
    </row>
    <row r="2659" spans="51:60" x14ac:dyDescent="0.2">
      <c r="AY2659" s="79"/>
      <c r="AZ2659" s="85"/>
      <c r="BA2659" s="40"/>
      <c r="BB2659" s="99"/>
      <c r="BC2659" s="85"/>
      <c r="BG2659" s="79"/>
      <c r="BH2659" s="99"/>
    </row>
    <row r="2660" spans="51:60" x14ac:dyDescent="0.2">
      <c r="AY2660" s="79"/>
      <c r="AZ2660" s="85"/>
      <c r="BA2660" s="40"/>
      <c r="BB2660" s="99"/>
      <c r="BC2660" s="85"/>
      <c r="BG2660" s="79"/>
      <c r="BH2660" s="99"/>
    </row>
    <row r="2661" spans="51:60" x14ac:dyDescent="0.2">
      <c r="AY2661" s="79"/>
      <c r="AZ2661" s="85"/>
      <c r="BA2661" s="40"/>
      <c r="BB2661" s="99"/>
      <c r="BC2661" s="85"/>
      <c r="BG2661" s="79"/>
      <c r="BH2661" s="99"/>
    </row>
    <row r="2662" spans="51:60" x14ac:dyDescent="0.2">
      <c r="AY2662" s="79"/>
      <c r="AZ2662" s="85"/>
      <c r="BA2662" s="40"/>
      <c r="BB2662" s="99"/>
      <c r="BC2662" s="85"/>
      <c r="BG2662" s="79"/>
      <c r="BH2662" s="99"/>
    </row>
    <row r="2663" spans="51:60" x14ac:dyDescent="0.2">
      <c r="AY2663" s="79"/>
      <c r="AZ2663" s="85"/>
      <c r="BA2663" s="40"/>
      <c r="BB2663" s="99"/>
      <c r="BC2663" s="85"/>
      <c r="BG2663" s="79"/>
      <c r="BH2663" s="99"/>
    </row>
    <row r="2664" spans="51:60" x14ac:dyDescent="0.2">
      <c r="AY2664" s="79"/>
      <c r="AZ2664" s="85"/>
      <c r="BA2664" s="40"/>
      <c r="BB2664" s="99"/>
      <c r="BC2664" s="85"/>
      <c r="BG2664" s="79"/>
      <c r="BH2664" s="99"/>
    </row>
    <row r="2665" spans="51:60" x14ac:dyDescent="0.2">
      <c r="AY2665" s="79"/>
      <c r="AZ2665" s="85"/>
      <c r="BA2665" s="40"/>
      <c r="BB2665" s="99"/>
      <c r="BC2665" s="85"/>
      <c r="BG2665" s="79"/>
      <c r="BH2665" s="99"/>
    </row>
    <row r="2666" spans="51:60" x14ac:dyDescent="0.2">
      <c r="AY2666" s="79"/>
      <c r="AZ2666" s="85"/>
      <c r="BA2666" s="40"/>
      <c r="BB2666" s="99"/>
      <c r="BC2666" s="85"/>
      <c r="BG2666" s="79"/>
      <c r="BH2666" s="99"/>
    </row>
    <row r="2667" spans="51:60" x14ac:dyDescent="0.2">
      <c r="AY2667" s="79"/>
      <c r="AZ2667" s="85"/>
      <c r="BA2667" s="40"/>
      <c r="BB2667" s="99"/>
      <c r="BC2667" s="85"/>
      <c r="BG2667" s="79"/>
      <c r="BH2667" s="99"/>
    </row>
    <row r="2668" spans="51:60" x14ac:dyDescent="0.2">
      <c r="AY2668" s="79"/>
      <c r="AZ2668" s="85"/>
      <c r="BA2668" s="40"/>
      <c r="BB2668" s="99"/>
      <c r="BC2668" s="85"/>
      <c r="BG2668" s="79"/>
      <c r="BH2668" s="99"/>
    </row>
    <row r="2669" spans="51:60" x14ac:dyDescent="0.2">
      <c r="AY2669" s="79"/>
      <c r="AZ2669" s="85"/>
      <c r="BA2669" s="40"/>
      <c r="BB2669" s="99"/>
      <c r="BC2669" s="85"/>
      <c r="BG2669" s="79"/>
      <c r="BH2669" s="99"/>
    </row>
    <row r="2670" spans="51:60" x14ac:dyDescent="0.2">
      <c r="AY2670" s="79"/>
      <c r="AZ2670" s="85"/>
      <c r="BA2670" s="40"/>
      <c r="BB2670" s="99"/>
      <c r="BC2670" s="85"/>
      <c r="BG2670" s="79"/>
      <c r="BH2670" s="99"/>
    </row>
    <row r="2671" spans="51:60" x14ac:dyDescent="0.2">
      <c r="AY2671" s="79"/>
      <c r="AZ2671" s="85"/>
      <c r="BA2671" s="40"/>
      <c r="BB2671" s="99"/>
      <c r="BC2671" s="85"/>
      <c r="BG2671" s="79"/>
      <c r="BH2671" s="99"/>
    </row>
    <row r="2672" spans="51:60" x14ac:dyDescent="0.2">
      <c r="AY2672" s="79"/>
      <c r="AZ2672" s="85"/>
      <c r="BA2672" s="40"/>
      <c r="BB2672" s="99"/>
      <c r="BC2672" s="85"/>
      <c r="BG2672" s="79"/>
      <c r="BH2672" s="99"/>
    </row>
    <row r="2673" spans="51:60" x14ac:dyDescent="0.2">
      <c r="AY2673" s="79"/>
      <c r="AZ2673" s="85"/>
      <c r="BA2673" s="40"/>
      <c r="BB2673" s="99"/>
      <c r="BC2673" s="85"/>
      <c r="BG2673" s="79"/>
      <c r="BH2673" s="99"/>
    </row>
    <row r="2674" spans="51:60" x14ac:dyDescent="0.2">
      <c r="AY2674" s="79"/>
      <c r="AZ2674" s="85"/>
      <c r="BA2674" s="40"/>
      <c r="BB2674" s="99"/>
      <c r="BC2674" s="85"/>
      <c r="BG2674" s="79"/>
      <c r="BH2674" s="99"/>
    </row>
    <row r="2675" spans="51:60" x14ac:dyDescent="0.2">
      <c r="AY2675" s="79"/>
      <c r="AZ2675" s="85"/>
      <c r="BA2675" s="40"/>
      <c r="BB2675" s="99"/>
      <c r="BC2675" s="85"/>
      <c r="BG2675" s="79"/>
      <c r="BH2675" s="99"/>
    </row>
    <row r="2676" spans="51:60" x14ac:dyDescent="0.2">
      <c r="AY2676" s="79"/>
      <c r="AZ2676" s="85"/>
      <c r="BA2676" s="40"/>
      <c r="BB2676" s="99"/>
      <c r="BC2676" s="85"/>
      <c r="BG2676" s="79"/>
      <c r="BH2676" s="99"/>
    </row>
    <row r="2677" spans="51:60" x14ac:dyDescent="0.2">
      <c r="AY2677" s="79"/>
      <c r="AZ2677" s="85"/>
      <c r="BA2677" s="40"/>
      <c r="BB2677" s="99"/>
      <c r="BC2677" s="85"/>
      <c r="BG2677" s="79"/>
      <c r="BH2677" s="99"/>
    </row>
    <row r="2678" spans="51:60" x14ac:dyDescent="0.2">
      <c r="AY2678" s="79"/>
      <c r="AZ2678" s="85"/>
      <c r="BA2678" s="40"/>
      <c r="BB2678" s="99"/>
      <c r="BC2678" s="85"/>
      <c r="BG2678" s="79"/>
      <c r="BH2678" s="99"/>
    </row>
    <row r="2679" spans="51:60" x14ac:dyDescent="0.2">
      <c r="AY2679" s="79"/>
      <c r="AZ2679" s="85"/>
      <c r="BA2679" s="40"/>
      <c r="BB2679" s="99"/>
      <c r="BC2679" s="85"/>
      <c r="BG2679" s="79"/>
      <c r="BH2679" s="99"/>
    </row>
    <row r="2680" spans="51:60" x14ac:dyDescent="0.2">
      <c r="AY2680" s="79"/>
      <c r="AZ2680" s="85"/>
      <c r="BA2680" s="40"/>
      <c r="BB2680" s="99"/>
      <c r="BC2680" s="85"/>
      <c r="BG2680" s="79"/>
      <c r="BH2680" s="99"/>
    </row>
    <row r="2681" spans="51:60" x14ac:dyDescent="0.2">
      <c r="AY2681" s="79"/>
      <c r="AZ2681" s="85"/>
      <c r="BA2681" s="40"/>
      <c r="BB2681" s="99"/>
      <c r="BC2681" s="85"/>
      <c r="BG2681" s="79"/>
      <c r="BH2681" s="99"/>
    </row>
    <row r="2682" spans="51:60" x14ac:dyDescent="0.2">
      <c r="AY2682" s="79"/>
      <c r="AZ2682" s="85"/>
      <c r="BA2682" s="40"/>
      <c r="BB2682" s="99"/>
      <c r="BC2682" s="85"/>
      <c r="BG2682" s="79"/>
      <c r="BH2682" s="99"/>
    </row>
    <row r="2683" spans="51:60" x14ac:dyDescent="0.2">
      <c r="AY2683" s="79"/>
      <c r="AZ2683" s="85"/>
      <c r="BA2683" s="40"/>
      <c r="BB2683" s="99"/>
      <c r="BC2683" s="85"/>
      <c r="BG2683" s="79"/>
      <c r="BH2683" s="99"/>
    </row>
    <row r="2684" spans="51:60" x14ac:dyDescent="0.2">
      <c r="AY2684" s="79"/>
      <c r="AZ2684" s="85"/>
      <c r="BA2684" s="40"/>
      <c r="BB2684" s="99"/>
      <c r="BC2684" s="85"/>
      <c r="BG2684" s="79"/>
      <c r="BH2684" s="99"/>
    </row>
    <row r="2685" spans="51:60" x14ac:dyDescent="0.2">
      <c r="AY2685" s="79"/>
      <c r="AZ2685" s="85"/>
      <c r="BA2685" s="40"/>
      <c r="BB2685" s="99"/>
      <c r="BC2685" s="85"/>
      <c r="BG2685" s="79"/>
      <c r="BH2685" s="99"/>
    </row>
    <row r="2686" spans="51:60" x14ac:dyDescent="0.2">
      <c r="AY2686" s="79"/>
      <c r="AZ2686" s="85"/>
      <c r="BA2686" s="40"/>
      <c r="BB2686" s="99"/>
      <c r="BC2686" s="85"/>
      <c r="BG2686" s="79"/>
      <c r="BH2686" s="99"/>
    </row>
    <row r="2687" spans="51:60" x14ac:dyDescent="0.2">
      <c r="AY2687" s="79"/>
      <c r="AZ2687" s="85"/>
      <c r="BA2687" s="40"/>
      <c r="BB2687" s="99"/>
      <c r="BC2687" s="85"/>
      <c r="BG2687" s="79"/>
      <c r="BH2687" s="99"/>
    </row>
    <row r="2688" spans="51:60" x14ac:dyDescent="0.2">
      <c r="AY2688" s="79"/>
      <c r="AZ2688" s="85"/>
      <c r="BA2688" s="40"/>
      <c r="BB2688" s="99"/>
      <c r="BC2688" s="85"/>
      <c r="BG2688" s="79"/>
      <c r="BH2688" s="99"/>
    </row>
    <row r="2689" spans="51:60" x14ac:dyDescent="0.2">
      <c r="AY2689" s="79"/>
      <c r="AZ2689" s="85"/>
      <c r="BA2689" s="40"/>
      <c r="BB2689" s="99"/>
      <c r="BC2689" s="85"/>
      <c r="BG2689" s="79"/>
      <c r="BH2689" s="99"/>
    </row>
    <row r="2690" spans="51:60" x14ac:dyDescent="0.2">
      <c r="AY2690" s="79"/>
      <c r="AZ2690" s="85"/>
      <c r="BA2690" s="40"/>
      <c r="BB2690" s="99"/>
      <c r="BC2690" s="85"/>
      <c r="BG2690" s="79"/>
      <c r="BH2690" s="99"/>
    </row>
    <row r="2691" spans="51:60" x14ac:dyDescent="0.2">
      <c r="AY2691" s="79"/>
      <c r="AZ2691" s="85"/>
      <c r="BA2691" s="40"/>
      <c r="BB2691" s="99"/>
      <c r="BC2691" s="85"/>
      <c r="BG2691" s="79"/>
      <c r="BH2691" s="99"/>
    </row>
    <row r="2692" spans="51:60" x14ac:dyDescent="0.2">
      <c r="AY2692" s="79"/>
      <c r="AZ2692" s="85"/>
      <c r="BA2692" s="40"/>
      <c r="BB2692" s="99"/>
      <c r="BC2692" s="85"/>
      <c r="BG2692" s="79"/>
      <c r="BH2692" s="99"/>
    </row>
    <row r="2693" spans="51:60" x14ac:dyDescent="0.2">
      <c r="AY2693" s="79"/>
      <c r="AZ2693" s="85"/>
      <c r="BA2693" s="40"/>
      <c r="BB2693" s="99"/>
      <c r="BC2693" s="85"/>
      <c r="BG2693" s="79"/>
      <c r="BH2693" s="99"/>
    </row>
    <row r="2694" spans="51:60" x14ac:dyDescent="0.2">
      <c r="AY2694" s="79"/>
      <c r="AZ2694" s="85"/>
      <c r="BA2694" s="40"/>
      <c r="BB2694" s="99"/>
      <c r="BC2694" s="85"/>
      <c r="BG2694" s="79"/>
      <c r="BH2694" s="99"/>
    </row>
    <row r="2695" spans="51:60" x14ac:dyDescent="0.2">
      <c r="AY2695" s="79"/>
      <c r="AZ2695" s="85"/>
      <c r="BA2695" s="40"/>
      <c r="BB2695" s="99"/>
      <c r="BC2695" s="85"/>
      <c r="BG2695" s="79"/>
      <c r="BH2695" s="99"/>
    </row>
    <row r="2696" spans="51:60" x14ac:dyDescent="0.2">
      <c r="AY2696" s="79"/>
      <c r="AZ2696" s="85"/>
      <c r="BA2696" s="40"/>
      <c r="BB2696" s="99"/>
      <c r="BC2696" s="85"/>
      <c r="BG2696" s="79"/>
      <c r="BH2696" s="99"/>
    </row>
    <row r="2697" spans="51:60" x14ac:dyDescent="0.2">
      <c r="AY2697" s="79"/>
      <c r="AZ2697" s="85"/>
      <c r="BA2697" s="40"/>
      <c r="BB2697" s="99"/>
      <c r="BC2697" s="85"/>
      <c r="BG2697" s="79"/>
      <c r="BH2697" s="99"/>
    </row>
    <row r="2698" spans="51:60" x14ac:dyDescent="0.2">
      <c r="AY2698" s="79"/>
      <c r="AZ2698" s="85"/>
      <c r="BA2698" s="40"/>
      <c r="BB2698" s="99"/>
      <c r="BC2698" s="85"/>
      <c r="BG2698" s="79"/>
      <c r="BH2698" s="99"/>
    </row>
    <row r="2699" spans="51:60" x14ac:dyDescent="0.2">
      <c r="AY2699" s="79"/>
      <c r="AZ2699" s="85"/>
      <c r="BA2699" s="40"/>
      <c r="BB2699" s="99"/>
      <c r="BC2699" s="85"/>
      <c r="BG2699" s="79"/>
      <c r="BH2699" s="99"/>
    </row>
    <row r="2700" spans="51:60" x14ac:dyDescent="0.2">
      <c r="AY2700" s="79"/>
      <c r="AZ2700" s="85"/>
      <c r="BA2700" s="40"/>
      <c r="BB2700" s="99"/>
      <c r="BC2700" s="85"/>
      <c r="BG2700" s="79"/>
      <c r="BH2700" s="99"/>
    </row>
    <row r="2701" spans="51:60" x14ac:dyDescent="0.2">
      <c r="AY2701" s="79"/>
      <c r="AZ2701" s="85"/>
      <c r="BA2701" s="40"/>
      <c r="BB2701" s="99"/>
      <c r="BC2701" s="85"/>
      <c r="BG2701" s="79"/>
      <c r="BH2701" s="99"/>
    </row>
    <row r="2702" spans="51:60" x14ac:dyDescent="0.2">
      <c r="AY2702" s="79"/>
      <c r="AZ2702" s="85"/>
      <c r="BA2702" s="40"/>
      <c r="BB2702" s="99"/>
      <c r="BC2702" s="85"/>
      <c r="BG2702" s="79"/>
      <c r="BH2702" s="99"/>
    </row>
    <row r="2703" spans="51:60" x14ac:dyDescent="0.2">
      <c r="AY2703" s="79"/>
      <c r="AZ2703" s="85"/>
      <c r="BA2703" s="40"/>
      <c r="BB2703" s="99"/>
      <c r="BC2703" s="85"/>
      <c r="BG2703" s="79"/>
      <c r="BH2703" s="99"/>
    </row>
    <row r="2704" spans="51:60" x14ac:dyDescent="0.2">
      <c r="AY2704" s="79"/>
      <c r="AZ2704" s="85"/>
      <c r="BA2704" s="40"/>
      <c r="BB2704" s="99"/>
      <c r="BC2704" s="85"/>
      <c r="BG2704" s="79"/>
      <c r="BH2704" s="99"/>
    </row>
    <row r="2705" spans="51:60" x14ac:dyDescent="0.2">
      <c r="AY2705" s="79"/>
      <c r="AZ2705" s="85"/>
      <c r="BA2705" s="40"/>
      <c r="BB2705" s="99"/>
      <c r="BC2705" s="85"/>
      <c r="BG2705" s="79"/>
      <c r="BH2705" s="99"/>
    </row>
    <row r="2706" spans="51:60" x14ac:dyDescent="0.2">
      <c r="AY2706" s="79"/>
      <c r="AZ2706" s="85"/>
      <c r="BA2706" s="40"/>
      <c r="BB2706" s="99"/>
      <c r="BC2706" s="85"/>
      <c r="BG2706" s="79"/>
      <c r="BH2706" s="99"/>
    </row>
    <row r="2707" spans="51:60" x14ac:dyDescent="0.2">
      <c r="AY2707" s="79"/>
      <c r="AZ2707" s="85"/>
      <c r="BA2707" s="40"/>
      <c r="BB2707" s="99"/>
      <c r="BC2707" s="85"/>
      <c r="BG2707" s="79"/>
      <c r="BH2707" s="99"/>
    </row>
    <row r="2708" spans="51:60" x14ac:dyDescent="0.2">
      <c r="AY2708" s="79"/>
      <c r="AZ2708" s="85"/>
      <c r="BA2708" s="40"/>
      <c r="BB2708" s="99"/>
      <c r="BC2708" s="85"/>
      <c r="BG2708" s="79"/>
      <c r="BH2708" s="99"/>
    </row>
    <row r="2709" spans="51:60" x14ac:dyDescent="0.2">
      <c r="AY2709" s="79"/>
      <c r="AZ2709" s="85"/>
      <c r="BA2709" s="40"/>
      <c r="BB2709" s="99"/>
      <c r="BC2709" s="85"/>
      <c r="BG2709" s="79"/>
      <c r="BH2709" s="99"/>
    </row>
    <row r="2710" spans="51:60" x14ac:dyDescent="0.2">
      <c r="AY2710" s="79"/>
      <c r="AZ2710" s="85"/>
      <c r="BA2710" s="40"/>
      <c r="BB2710" s="99"/>
      <c r="BC2710" s="85"/>
      <c r="BG2710" s="79"/>
      <c r="BH2710" s="99"/>
    </row>
    <row r="2711" spans="51:60" x14ac:dyDescent="0.2">
      <c r="AY2711" s="79"/>
      <c r="AZ2711" s="85"/>
      <c r="BA2711" s="40"/>
      <c r="BB2711" s="99"/>
      <c r="BC2711" s="85"/>
      <c r="BG2711" s="79"/>
      <c r="BH2711" s="99"/>
    </row>
    <row r="2712" spans="51:60" x14ac:dyDescent="0.2">
      <c r="AY2712" s="79"/>
      <c r="AZ2712" s="85"/>
      <c r="BA2712" s="40"/>
      <c r="BB2712" s="99"/>
      <c r="BC2712" s="85"/>
      <c r="BG2712" s="79"/>
      <c r="BH2712" s="99"/>
    </row>
    <row r="2713" spans="51:60" x14ac:dyDescent="0.2">
      <c r="AY2713" s="79"/>
      <c r="AZ2713" s="85"/>
      <c r="BA2713" s="40"/>
      <c r="BB2713" s="99"/>
      <c r="BC2713" s="85"/>
      <c r="BG2713" s="79"/>
      <c r="BH2713" s="99"/>
    </row>
    <row r="2714" spans="51:60" x14ac:dyDescent="0.2">
      <c r="AY2714" s="79"/>
      <c r="AZ2714" s="85"/>
      <c r="BA2714" s="40"/>
      <c r="BB2714" s="99"/>
      <c r="BC2714" s="85"/>
      <c r="BG2714" s="79"/>
      <c r="BH2714" s="99"/>
    </row>
    <row r="2715" spans="51:60" x14ac:dyDescent="0.2">
      <c r="AY2715" s="79"/>
      <c r="AZ2715" s="85"/>
      <c r="BA2715" s="40"/>
      <c r="BB2715" s="99"/>
      <c r="BC2715" s="85"/>
      <c r="BG2715" s="79"/>
      <c r="BH2715" s="99"/>
    </row>
    <row r="2716" spans="51:60" x14ac:dyDescent="0.2">
      <c r="AY2716" s="79"/>
      <c r="AZ2716" s="85"/>
      <c r="BA2716" s="40"/>
      <c r="BB2716" s="99"/>
      <c r="BC2716" s="85"/>
      <c r="BG2716" s="79"/>
      <c r="BH2716" s="99"/>
    </row>
    <row r="2717" spans="51:60" x14ac:dyDescent="0.2">
      <c r="AY2717" s="79"/>
      <c r="AZ2717" s="85"/>
      <c r="BA2717" s="40"/>
      <c r="BB2717" s="99"/>
      <c r="BC2717" s="85"/>
      <c r="BG2717" s="79"/>
      <c r="BH2717" s="99"/>
    </row>
    <row r="2718" spans="51:60" x14ac:dyDescent="0.2">
      <c r="AY2718" s="79"/>
      <c r="AZ2718" s="85"/>
      <c r="BA2718" s="40"/>
      <c r="BB2718" s="99"/>
      <c r="BC2718" s="85"/>
      <c r="BG2718" s="79"/>
      <c r="BH2718" s="99"/>
    </row>
    <row r="2719" spans="51:60" x14ac:dyDescent="0.2">
      <c r="AY2719" s="79"/>
      <c r="AZ2719" s="85"/>
      <c r="BA2719" s="40"/>
      <c r="BB2719" s="99"/>
      <c r="BC2719" s="85"/>
      <c r="BG2719" s="79"/>
      <c r="BH2719" s="99"/>
    </row>
    <row r="2720" spans="51:60" x14ac:dyDescent="0.2">
      <c r="AY2720" s="79"/>
      <c r="AZ2720" s="85"/>
      <c r="BA2720" s="40"/>
      <c r="BB2720" s="99"/>
      <c r="BC2720" s="85"/>
      <c r="BG2720" s="79"/>
      <c r="BH2720" s="99"/>
    </row>
    <row r="2721" spans="51:60" x14ac:dyDescent="0.2">
      <c r="AY2721" s="79"/>
      <c r="AZ2721" s="85"/>
      <c r="BA2721" s="40"/>
      <c r="BB2721" s="99"/>
      <c r="BC2721" s="85"/>
      <c r="BG2721" s="79"/>
      <c r="BH2721" s="99"/>
    </row>
    <row r="2722" spans="51:60" x14ac:dyDescent="0.2">
      <c r="AY2722" s="79"/>
      <c r="AZ2722" s="85"/>
      <c r="BA2722" s="40"/>
      <c r="BB2722" s="99"/>
      <c r="BC2722" s="85"/>
      <c r="BG2722" s="79"/>
      <c r="BH2722" s="99"/>
    </row>
    <row r="2723" spans="51:60" x14ac:dyDescent="0.2">
      <c r="AY2723" s="79"/>
      <c r="AZ2723" s="85"/>
      <c r="BA2723" s="40"/>
      <c r="BB2723" s="99"/>
      <c r="BC2723" s="85"/>
      <c r="BG2723" s="79"/>
      <c r="BH2723" s="99"/>
    </row>
    <row r="2724" spans="51:60" x14ac:dyDescent="0.2">
      <c r="AY2724" s="79"/>
      <c r="AZ2724" s="85"/>
      <c r="BA2724" s="40"/>
      <c r="BB2724" s="99"/>
      <c r="BC2724" s="85"/>
      <c r="BG2724" s="79"/>
      <c r="BH2724" s="99"/>
    </row>
    <row r="2725" spans="51:60" x14ac:dyDescent="0.2">
      <c r="AY2725" s="79"/>
      <c r="AZ2725" s="85"/>
      <c r="BA2725" s="40"/>
      <c r="BB2725" s="99"/>
      <c r="BC2725" s="85"/>
      <c r="BG2725" s="79"/>
      <c r="BH2725" s="99"/>
    </row>
    <row r="2726" spans="51:60" x14ac:dyDescent="0.2">
      <c r="AY2726" s="79"/>
      <c r="AZ2726" s="85"/>
      <c r="BA2726" s="40"/>
      <c r="BB2726" s="99"/>
      <c r="BC2726" s="85"/>
      <c r="BG2726" s="79"/>
      <c r="BH2726" s="99"/>
    </row>
    <row r="2727" spans="51:60" x14ac:dyDescent="0.2">
      <c r="AY2727" s="79"/>
      <c r="AZ2727" s="85"/>
      <c r="BA2727" s="40"/>
      <c r="BB2727" s="99"/>
      <c r="BC2727" s="85"/>
      <c r="BG2727" s="79"/>
      <c r="BH2727" s="99"/>
    </row>
    <row r="2728" spans="51:60" x14ac:dyDescent="0.2">
      <c r="AY2728" s="79"/>
      <c r="AZ2728" s="85"/>
      <c r="BA2728" s="40"/>
      <c r="BB2728" s="99"/>
      <c r="BC2728" s="85"/>
      <c r="BG2728" s="79"/>
      <c r="BH2728" s="99"/>
    </row>
    <row r="2729" spans="51:60" x14ac:dyDescent="0.2">
      <c r="AY2729" s="79"/>
      <c r="AZ2729" s="85"/>
      <c r="BA2729" s="40"/>
      <c r="BB2729" s="99"/>
      <c r="BC2729" s="85"/>
      <c r="BG2729" s="79"/>
      <c r="BH2729" s="99"/>
    </row>
    <row r="2730" spans="51:60" x14ac:dyDescent="0.2">
      <c r="AY2730" s="79"/>
      <c r="AZ2730" s="85"/>
      <c r="BA2730" s="40"/>
      <c r="BB2730" s="99"/>
      <c r="BC2730" s="85"/>
      <c r="BG2730" s="79"/>
      <c r="BH2730" s="99"/>
    </row>
    <row r="2731" spans="51:60" x14ac:dyDescent="0.2">
      <c r="AY2731" s="79"/>
      <c r="AZ2731" s="85"/>
      <c r="BA2731" s="40"/>
      <c r="BB2731" s="99"/>
      <c r="BC2731" s="85"/>
      <c r="BG2731" s="79"/>
      <c r="BH2731" s="99"/>
    </row>
    <row r="2732" spans="51:60" x14ac:dyDescent="0.2">
      <c r="AY2732" s="79"/>
      <c r="AZ2732" s="85"/>
      <c r="BA2732" s="40"/>
      <c r="BB2732" s="99"/>
      <c r="BC2732" s="85"/>
      <c r="BG2732" s="79"/>
      <c r="BH2732" s="99"/>
    </row>
    <row r="2733" spans="51:60" x14ac:dyDescent="0.2">
      <c r="AY2733" s="79"/>
      <c r="AZ2733" s="85"/>
      <c r="BA2733" s="40"/>
      <c r="BB2733" s="99"/>
      <c r="BC2733" s="85"/>
      <c r="BG2733" s="79"/>
      <c r="BH2733" s="99"/>
    </row>
    <row r="2734" spans="51:60" x14ac:dyDescent="0.2">
      <c r="AY2734" s="79"/>
      <c r="AZ2734" s="85"/>
      <c r="BA2734" s="40"/>
      <c r="BB2734" s="99"/>
      <c r="BC2734" s="85"/>
      <c r="BG2734" s="79"/>
      <c r="BH2734" s="99"/>
    </row>
    <row r="2735" spans="51:60" x14ac:dyDescent="0.2">
      <c r="AY2735" s="79"/>
      <c r="AZ2735" s="85"/>
      <c r="BA2735" s="40"/>
      <c r="BB2735" s="99"/>
      <c r="BC2735" s="85"/>
      <c r="BG2735" s="79"/>
      <c r="BH2735" s="99"/>
    </row>
    <row r="2736" spans="51:60" x14ac:dyDescent="0.2">
      <c r="AY2736" s="79"/>
      <c r="AZ2736" s="85"/>
      <c r="BA2736" s="40"/>
      <c r="BB2736" s="99"/>
      <c r="BC2736" s="85"/>
      <c r="BG2736" s="79"/>
      <c r="BH2736" s="99"/>
    </row>
    <row r="2737" spans="51:60" x14ac:dyDescent="0.2">
      <c r="AY2737" s="79"/>
      <c r="AZ2737" s="85"/>
      <c r="BA2737" s="40"/>
      <c r="BB2737" s="99"/>
      <c r="BC2737" s="85"/>
      <c r="BG2737" s="79"/>
      <c r="BH2737" s="99"/>
    </row>
    <row r="2738" spans="51:60" x14ac:dyDescent="0.2">
      <c r="AY2738" s="79"/>
      <c r="AZ2738" s="85"/>
      <c r="BA2738" s="40"/>
      <c r="BB2738" s="99"/>
      <c r="BC2738" s="85"/>
      <c r="BG2738" s="79"/>
      <c r="BH2738" s="99"/>
    </row>
    <row r="2739" spans="51:60" x14ac:dyDescent="0.2">
      <c r="AY2739" s="79"/>
      <c r="AZ2739" s="85"/>
      <c r="BA2739" s="40"/>
      <c r="BB2739" s="99"/>
      <c r="BC2739" s="85"/>
      <c r="BG2739" s="79"/>
      <c r="BH2739" s="99"/>
    </row>
    <row r="2740" spans="51:60" x14ac:dyDescent="0.2">
      <c r="AY2740" s="79"/>
      <c r="AZ2740" s="85"/>
      <c r="BA2740" s="40"/>
      <c r="BB2740" s="99"/>
      <c r="BC2740" s="85"/>
      <c r="BG2740" s="79"/>
      <c r="BH2740" s="99"/>
    </row>
    <row r="2741" spans="51:60" x14ac:dyDescent="0.2">
      <c r="AY2741" s="79"/>
      <c r="AZ2741" s="85"/>
      <c r="BA2741" s="40"/>
      <c r="BB2741" s="99"/>
      <c r="BC2741" s="85"/>
      <c r="BG2741" s="79"/>
      <c r="BH2741" s="99"/>
    </row>
    <row r="2742" spans="51:60" x14ac:dyDescent="0.2">
      <c r="AY2742" s="79"/>
      <c r="AZ2742" s="85"/>
      <c r="BA2742" s="40"/>
      <c r="BB2742" s="99"/>
      <c r="BC2742" s="85"/>
      <c r="BG2742" s="79"/>
      <c r="BH2742" s="99"/>
    </row>
    <row r="2743" spans="51:60" x14ac:dyDescent="0.2">
      <c r="AY2743" s="79"/>
      <c r="AZ2743" s="85"/>
      <c r="BA2743" s="40"/>
      <c r="BB2743" s="99"/>
      <c r="BC2743" s="85"/>
      <c r="BG2743" s="79"/>
      <c r="BH2743" s="99"/>
    </row>
    <row r="2744" spans="51:60" x14ac:dyDescent="0.2">
      <c r="AY2744" s="79"/>
      <c r="AZ2744" s="85"/>
      <c r="BA2744" s="40"/>
      <c r="BB2744" s="99"/>
      <c r="BC2744" s="85"/>
      <c r="BG2744" s="79"/>
      <c r="BH2744" s="99"/>
    </row>
    <row r="2745" spans="51:60" x14ac:dyDescent="0.2">
      <c r="AY2745" s="79"/>
      <c r="AZ2745" s="85"/>
      <c r="BA2745" s="40"/>
      <c r="BB2745" s="99"/>
      <c r="BC2745" s="85"/>
      <c r="BG2745" s="79"/>
      <c r="BH2745" s="99"/>
    </row>
    <row r="2746" spans="51:60" x14ac:dyDescent="0.2">
      <c r="AY2746" s="79"/>
      <c r="AZ2746" s="85"/>
      <c r="BA2746" s="40"/>
      <c r="BB2746" s="99"/>
      <c r="BC2746" s="85"/>
      <c r="BG2746" s="79"/>
      <c r="BH2746" s="99"/>
    </row>
    <row r="2747" spans="51:60" x14ac:dyDescent="0.2">
      <c r="AY2747" s="79"/>
      <c r="AZ2747" s="85"/>
      <c r="BA2747" s="40"/>
      <c r="BB2747" s="99"/>
      <c r="BC2747" s="85"/>
      <c r="BG2747" s="79"/>
      <c r="BH2747" s="99"/>
    </row>
    <row r="2748" spans="51:60" x14ac:dyDescent="0.2">
      <c r="AY2748" s="79"/>
      <c r="AZ2748" s="85"/>
      <c r="BA2748" s="40"/>
      <c r="BB2748" s="99"/>
      <c r="BC2748" s="85"/>
      <c r="BG2748" s="79"/>
      <c r="BH2748" s="99"/>
    </row>
    <row r="2749" spans="51:60" x14ac:dyDescent="0.2">
      <c r="AY2749" s="79"/>
      <c r="AZ2749" s="85"/>
      <c r="BA2749" s="40"/>
      <c r="BB2749" s="99"/>
      <c r="BC2749" s="85"/>
      <c r="BG2749" s="79"/>
      <c r="BH2749" s="99"/>
    </row>
    <row r="2750" spans="51:60" x14ac:dyDescent="0.2">
      <c r="AY2750" s="79"/>
      <c r="AZ2750" s="85"/>
      <c r="BA2750" s="40"/>
      <c r="BB2750" s="99"/>
      <c r="BC2750" s="85"/>
      <c r="BG2750" s="79"/>
      <c r="BH2750" s="99"/>
    </row>
    <row r="2751" spans="51:60" x14ac:dyDescent="0.2">
      <c r="AY2751" s="79"/>
      <c r="AZ2751" s="85"/>
      <c r="BA2751" s="40"/>
      <c r="BB2751" s="99"/>
      <c r="BC2751" s="85"/>
      <c r="BG2751" s="79"/>
      <c r="BH2751" s="99"/>
    </row>
    <row r="2752" spans="51:60" x14ac:dyDescent="0.2">
      <c r="AY2752" s="79"/>
      <c r="AZ2752" s="85"/>
      <c r="BA2752" s="40"/>
      <c r="BB2752" s="99"/>
      <c r="BC2752" s="85"/>
      <c r="BG2752" s="79"/>
      <c r="BH2752" s="99"/>
    </row>
    <row r="2753" spans="51:60" x14ac:dyDescent="0.2">
      <c r="AY2753" s="79"/>
      <c r="AZ2753" s="85"/>
      <c r="BA2753" s="40"/>
      <c r="BB2753" s="99"/>
      <c r="BC2753" s="85"/>
      <c r="BG2753" s="79"/>
      <c r="BH2753" s="99"/>
    </row>
    <row r="2754" spans="51:60" x14ac:dyDescent="0.2">
      <c r="AY2754" s="79"/>
      <c r="AZ2754" s="85"/>
      <c r="BA2754" s="40"/>
      <c r="BB2754" s="99"/>
      <c r="BC2754" s="85"/>
      <c r="BG2754" s="79"/>
      <c r="BH2754" s="99"/>
    </row>
    <row r="2755" spans="51:60" x14ac:dyDescent="0.2">
      <c r="AY2755" s="79"/>
      <c r="AZ2755" s="85"/>
      <c r="BA2755" s="40"/>
      <c r="BB2755" s="99"/>
      <c r="BC2755" s="85"/>
      <c r="BG2755" s="79"/>
      <c r="BH2755" s="99"/>
    </row>
    <row r="2756" spans="51:60" x14ac:dyDescent="0.2">
      <c r="AY2756" s="79"/>
      <c r="AZ2756" s="85"/>
      <c r="BA2756" s="40"/>
      <c r="BB2756" s="99"/>
      <c r="BC2756" s="85"/>
      <c r="BG2756" s="79"/>
      <c r="BH2756" s="99"/>
    </row>
    <row r="2757" spans="51:60" x14ac:dyDescent="0.2">
      <c r="AY2757" s="79"/>
      <c r="AZ2757" s="85"/>
      <c r="BA2757" s="40"/>
      <c r="BB2757" s="99"/>
      <c r="BC2757" s="85"/>
      <c r="BG2757" s="79"/>
      <c r="BH2757" s="99"/>
    </row>
    <row r="2758" spans="51:60" x14ac:dyDescent="0.2">
      <c r="AY2758" s="79"/>
      <c r="AZ2758" s="85"/>
      <c r="BA2758" s="40"/>
      <c r="BB2758" s="99"/>
      <c r="BC2758" s="85"/>
      <c r="BG2758" s="79"/>
      <c r="BH2758" s="99"/>
    </row>
    <row r="2759" spans="51:60" x14ac:dyDescent="0.2">
      <c r="AY2759" s="79"/>
      <c r="AZ2759" s="85"/>
      <c r="BA2759" s="40"/>
      <c r="BB2759" s="99"/>
      <c r="BC2759" s="85"/>
      <c r="BG2759" s="79"/>
      <c r="BH2759" s="99"/>
    </row>
    <row r="2760" spans="51:60" x14ac:dyDescent="0.2">
      <c r="AY2760" s="79"/>
      <c r="AZ2760" s="85"/>
      <c r="BA2760" s="40"/>
      <c r="BB2760" s="99"/>
      <c r="BC2760" s="85"/>
      <c r="BG2760" s="79"/>
      <c r="BH2760" s="99"/>
    </row>
    <row r="2761" spans="51:60" x14ac:dyDescent="0.2">
      <c r="AY2761" s="79"/>
      <c r="AZ2761" s="85"/>
      <c r="BA2761" s="40"/>
      <c r="BB2761" s="99"/>
      <c r="BC2761" s="85"/>
      <c r="BG2761" s="79"/>
      <c r="BH2761" s="99"/>
    </row>
    <row r="2762" spans="51:60" x14ac:dyDescent="0.2">
      <c r="AY2762" s="79"/>
      <c r="AZ2762" s="85"/>
      <c r="BA2762" s="40"/>
      <c r="BB2762" s="99"/>
      <c r="BC2762" s="85"/>
      <c r="BG2762" s="79"/>
      <c r="BH2762" s="99"/>
    </row>
    <row r="2763" spans="51:60" x14ac:dyDescent="0.2">
      <c r="AY2763" s="79"/>
      <c r="AZ2763" s="85"/>
      <c r="BA2763" s="40"/>
      <c r="BB2763" s="99"/>
      <c r="BC2763" s="85"/>
      <c r="BG2763" s="79"/>
      <c r="BH2763" s="99"/>
    </row>
    <row r="2764" spans="51:60" x14ac:dyDescent="0.2">
      <c r="AY2764" s="79"/>
      <c r="AZ2764" s="85"/>
      <c r="BA2764" s="40"/>
      <c r="BB2764" s="99"/>
      <c r="BC2764" s="85"/>
      <c r="BG2764" s="79"/>
      <c r="BH2764" s="99"/>
    </row>
    <row r="2765" spans="51:60" x14ac:dyDescent="0.2">
      <c r="AY2765" s="79"/>
      <c r="AZ2765" s="85"/>
      <c r="BA2765" s="40"/>
      <c r="BB2765" s="99"/>
      <c r="BC2765" s="85"/>
      <c r="BG2765" s="79"/>
      <c r="BH2765" s="99"/>
    </row>
    <row r="2766" spans="51:60" x14ac:dyDescent="0.2">
      <c r="AY2766" s="79"/>
      <c r="AZ2766" s="85"/>
      <c r="BA2766" s="40"/>
      <c r="BB2766" s="99"/>
      <c r="BC2766" s="85"/>
      <c r="BG2766" s="79"/>
      <c r="BH2766" s="99"/>
    </row>
    <row r="2767" spans="51:60" x14ac:dyDescent="0.2">
      <c r="AY2767" s="79"/>
      <c r="AZ2767" s="85"/>
      <c r="BA2767" s="40"/>
      <c r="BB2767" s="99"/>
      <c r="BC2767" s="85"/>
      <c r="BG2767" s="79"/>
      <c r="BH2767" s="99"/>
    </row>
    <row r="2768" spans="51:60" x14ac:dyDescent="0.2">
      <c r="AY2768" s="79"/>
      <c r="AZ2768" s="85"/>
      <c r="BA2768" s="40"/>
      <c r="BB2768" s="99"/>
      <c r="BC2768" s="85"/>
      <c r="BG2768" s="79"/>
      <c r="BH2768" s="99"/>
    </row>
    <row r="2769" spans="51:60" x14ac:dyDescent="0.2">
      <c r="AY2769" s="79"/>
      <c r="AZ2769" s="85"/>
      <c r="BA2769" s="40"/>
      <c r="BB2769" s="99"/>
      <c r="BC2769" s="85"/>
      <c r="BG2769" s="79"/>
      <c r="BH2769" s="99"/>
    </row>
    <row r="2770" spans="51:60" x14ac:dyDescent="0.2">
      <c r="AY2770" s="79"/>
      <c r="AZ2770" s="85"/>
      <c r="BA2770" s="40"/>
      <c r="BB2770" s="99"/>
      <c r="BC2770" s="85"/>
      <c r="BG2770" s="79"/>
      <c r="BH2770" s="99"/>
    </row>
    <row r="2771" spans="51:60" x14ac:dyDescent="0.2">
      <c r="AY2771" s="79"/>
      <c r="AZ2771" s="85"/>
      <c r="BA2771" s="40"/>
      <c r="BB2771" s="99"/>
      <c r="BC2771" s="85"/>
      <c r="BG2771" s="79"/>
      <c r="BH2771" s="99"/>
    </row>
    <row r="2772" spans="51:60" x14ac:dyDescent="0.2">
      <c r="AY2772" s="79"/>
      <c r="AZ2772" s="85"/>
      <c r="BA2772" s="40"/>
      <c r="BB2772" s="99"/>
      <c r="BC2772" s="85"/>
      <c r="BG2772" s="79"/>
      <c r="BH2772" s="99"/>
    </row>
    <row r="2773" spans="51:60" x14ac:dyDescent="0.2">
      <c r="AY2773" s="79"/>
      <c r="AZ2773" s="85"/>
      <c r="BA2773" s="40"/>
      <c r="BB2773" s="99"/>
      <c r="BC2773" s="85"/>
      <c r="BG2773" s="79"/>
      <c r="BH2773" s="99"/>
    </row>
    <row r="2774" spans="51:60" x14ac:dyDescent="0.2">
      <c r="AY2774" s="79"/>
      <c r="AZ2774" s="85"/>
      <c r="BA2774" s="40"/>
      <c r="BB2774" s="99"/>
      <c r="BC2774" s="85"/>
      <c r="BG2774" s="79"/>
      <c r="BH2774" s="99"/>
    </row>
    <row r="2775" spans="51:60" x14ac:dyDescent="0.2">
      <c r="AY2775" s="79"/>
      <c r="AZ2775" s="85"/>
      <c r="BA2775" s="40"/>
      <c r="BB2775" s="99"/>
      <c r="BC2775" s="85"/>
      <c r="BG2775" s="79"/>
      <c r="BH2775" s="99"/>
    </row>
    <row r="2776" spans="51:60" x14ac:dyDescent="0.2">
      <c r="AY2776" s="79"/>
      <c r="AZ2776" s="85"/>
      <c r="BA2776" s="40"/>
      <c r="BB2776" s="99"/>
      <c r="BC2776" s="85"/>
      <c r="BG2776" s="79"/>
      <c r="BH2776" s="99"/>
    </row>
    <row r="2777" spans="51:60" x14ac:dyDescent="0.2">
      <c r="AY2777" s="79"/>
      <c r="AZ2777" s="85"/>
      <c r="BA2777" s="40"/>
      <c r="BB2777" s="99"/>
      <c r="BC2777" s="85"/>
      <c r="BG2777" s="79"/>
      <c r="BH2777" s="99"/>
    </row>
    <row r="2778" spans="51:60" x14ac:dyDescent="0.2">
      <c r="AY2778" s="79"/>
      <c r="AZ2778" s="85"/>
      <c r="BA2778" s="40"/>
      <c r="BB2778" s="99"/>
      <c r="BC2778" s="85"/>
      <c r="BG2778" s="79"/>
      <c r="BH2778" s="99"/>
    </row>
    <row r="2779" spans="51:60" x14ac:dyDescent="0.2">
      <c r="AY2779" s="79"/>
      <c r="AZ2779" s="85"/>
      <c r="BA2779" s="40"/>
      <c r="BB2779" s="99"/>
      <c r="BC2779" s="85"/>
      <c r="BG2779" s="79"/>
      <c r="BH2779" s="99"/>
    </row>
    <row r="2780" spans="51:60" x14ac:dyDescent="0.2">
      <c r="AY2780" s="79"/>
      <c r="AZ2780" s="85"/>
      <c r="BA2780" s="40"/>
      <c r="BB2780" s="99"/>
      <c r="BC2780" s="85"/>
      <c r="BG2780" s="79"/>
      <c r="BH2780" s="99"/>
    </row>
    <row r="2781" spans="51:60" x14ac:dyDescent="0.2">
      <c r="AY2781" s="79"/>
      <c r="AZ2781" s="85"/>
      <c r="BA2781" s="40"/>
      <c r="BB2781" s="99"/>
      <c r="BC2781" s="85"/>
      <c r="BG2781" s="79"/>
      <c r="BH2781" s="99"/>
    </row>
    <row r="2782" spans="51:60" x14ac:dyDescent="0.2">
      <c r="AY2782" s="79"/>
      <c r="AZ2782" s="85"/>
      <c r="BA2782" s="40"/>
      <c r="BB2782" s="99"/>
      <c r="BC2782" s="85"/>
      <c r="BG2782" s="79"/>
      <c r="BH2782" s="99"/>
    </row>
    <row r="2783" spans="51:60" x14ac:dyDescent="0.2">
      <c r="AY2783" s="79"/>
      <c r="AZ2783" s="85"/>
      <c r="BA2783" s="40"/>
      <c r="BB2783" s="99"/>
      <c r="BC2783" s="85"/>
      <c r="BG2783" s="79"/>
      <c r="BH2783" s="99"/>
    </row>
    <row r="2784" spans="51:60" x14ac:dyDescent="0.2">
      <c r="AY2784" s="79"/>
      <c r="AZ2784" s="85"/>
      <c r="BA2784" s="40"/>
      <c r="BB2784" s="99"/>
      <c r="BC2784" s="85"/>
      <c r="BG2784" s="79"/>
      <c r="BH2784" s="99"/>
    </row>
    <row r="2785" spans="51:60" x14ac:dyDescent="0.2">
      <c r="AY2785" s="79"/>
      <c r="AZ2785" s="85"/>
      <c r="BA2785" s="40"/>
      <c r="BB2785" s="99"/>
      <c r="BC2785" s="85"/>
      <c r="BG2785" s="79"/>
      <c r="BH2785" s="99"/>
    </row>
    <row r="2786" spans="51:60" x14ac:dyDescent="0.2">
      <c r="AY2786" s="79"/>
      <c r="AZ2786" s="85"/>
      <c r="BA2786" s="40"/>
      <c r="BB2786" s="99"/>
      <c r="BC2786" s="85"/>
      <c r="BG2786" s="79"/>
      <c r="BH2786" s="99"/>
    </row>
    <row r="2787" spans="51:60" x14ac:dyDescent="0.2">
      <c r="AY2787" s="79"/>
      <c r="AZ2787" s="85"/>
      <c r="BA2787" s="40"/>
      <c r="BB2787" s="99"/>
      <c r="BC2787" s="85"/>
      <c r="BG2787" s="79"/>
      <c r="BH2787" s="99"/>
    </row>
    <row r="2788" spans="51:60" x14ac:dyDescent="0.2">
      <c r="AY2788" s="79"/>
      <c r="AZ2788" s="85"/>
      <c r="BA2788" s="40"/>
      <c r="BB2788" s="99"/>
      <c r="BC2788" s="85"/>
      <c r="BG2788" s="79"/>
      <c r="BH2788" s="99"/>
    </row>
    <row r="2789" spans="51:60" x14ac:dyDescent="0.2">
      <c r="AY2789" s="79"/>
      <c r="AZ2789" s="85"/>
      <c r="BA2789" s="40"/>
      <c r="BB2789" s="99"/>
      <c r="BC2789" s="85"/>
      <c r="BG2789" s="79"/>
      <c r="BH2789" s="99"/>
    </row>
    <row r="2790" spans="51:60" x14ac:dyDescent="0.2">
      <c r="AY2790" s="79"/>
      <c r="AZ2790" s="85"/>
      <c r="BA2790" s="40"/>
      <c r="BB2790" s="99"/>
      <c r="BC2790" s="85"/>
      <c r="BG2790" s="79"/>
      <c r="BH2790" s="99"/>
    </row>
    <row r="2791" spans="51:60" x14ac:dyDescent="0.2">
      <c r="AY2791" s="79"/>
      <c r="AZ2791" s="85"/>
      <c r="BA2791" s="40"/>
      <c r="BB2791" s="99"/>
      <c r="BC2791" s="85"/>
      <c r="BG2791" s="79"/>
      <c r="BH2791" s="99"/>
    </row>
    <row r="2792" spans="51:60" x14ac:dyDescent="0.2">
      <c r="AY2792" s="79"/>
      <c r="AZ2792" s="85"/>
      <c r="BA2792" s="40"/>
      <c r="BB2792" s="99"/>
      <c r="BC2792" s="85"/>
      <c r="BG2792" s="79"/>
      <c r="BH2792" s="99"/>
    </row>
    <row r="2793" spans="51:60" x14ac:dyDescent="0.2">
      <c r="AY2793" s="79"/>
      <c r="AZ2793" s="85"/>
      <c r="BA2793" s="40"/>
      <c r="BB2793" s="99"/>
      <c r="BC2793" s="85"/>
      <c r="BG2793" s="79"/>
      <c r="BH2793" s="99"/>
    </row>
    <row r="2794" spans="51:60" x14ac:dyDescent="0.2">
      <c r="AY2794" s="79"/>
      <c r="AZ2794" s="85"/>
      <c r="BA2794" s="40"/>
      <c r="BB2794" s="99"/>
      <c r="BC2794" s="85"/>
      <c r="BG2794" s="79"/>
      <c r="BH2794" s="99"/>
    </row>
    <row r="2795" spans="51:60" x14ac:dyDescent="0.2">
      <c r="AY2795" s="79"/>
      <c r="AZ2795" s="85"/>
      <c r="BA2795" s="40"/>
      <c r="BB2795" s="99"/>
      <c r="BC2795" s="85"/>
      <c r="BG2795" s="79"/>
      <c r="BH2795" s="99"/>
    </row>
    <row r="2796" spans="51:60" x14ac:dyDescent="0.2">
      <c r="AY2796" s="79"/>
      <c r="AZ2796" s="85"/>
      <c r="BA2796" s="40"/>
      <c r="BB2796" s="99"/>
      <c r="BC2796" s="85"/>
      <c r="BG2796" s="79"/>
      <c r="BH2796" s="99"/>
    </row>
    <row r="2797" spans="51:60" x14ac:dyDescent="0.2">
      <c r="AY2797" s="79"/>
      <c r="AZ2797" s="85"/>
      <c r="BA2797" s="40"/>
      <c r="BB2797" s="99"/>
      <c r="BC2797" s="85"/>
      <c r="BG2797" s="79"/>
      <c r="BH2797" s="99"/>
    </row>
    <row r="2798" spans="51:60" x14ac:dyDescent="0.2">
      <c r="AY2798" s="79"/>
      <c r="AZ2798" s="85"/>
      <c r="BA2798" s="40"/>
      <c r="BB2798" s="99"/>
      <c r="BC2798" s="85"/>
      <c r="BG2798" s="79"/>
      <c r="BH2798" s="99"/>
    </row>
    <row r="2799" spans="51:60" x14ac:dyDescent="0.2">
      <c r="AY2799" s="79"/>
      <c r="AZ2799" s="85"/>
      <c r="BA2799" s="40"/>
      <c r="BB2799" s="99"/>
      <c r="BC2799" s="85"/>
      <c r="BG2799" s="79"/>
      <c r="BH2799" s="99"/>
    </row>
    <row r="2800" spans="51:60" x14ac:dyDescent="0.2">
      <c r="AY2800" s="79"/>
      <c r="AZ2800" s="85"/>
      <c r="BA2800" s="40"/>
      <c r="BB2800" s="99"/>
      <c r="BC2800" s="85"/>
      <c r="BG2800" s="79"/>
      <c r="BH2800" s="99"/>
    </row>
    <row r="2801" spans="51:60" x14ac:dyDescent="0.2">
      <c r="AY2801" s="79"/>
      <c r="AZ2801" s="85"/>
      <c r="BA2801" s="40"/>
      <c r="BB2801" s="99"/>
      <c r="BC2801" s="85"/>
      <c r="BG2801" s="79"/>
      <c r="BH2801" s="99"/>
    </row>
    <row r="2802" spans="51:60" x14ac:dyDescent="0.2">
      <c r="AY2802" s="79"/>
      <c r="AZ2802" s="85"/>
      <c r="BA2802" s="40"/>
      <c r="BB2802" s="99"/>
      <c r="BC2802" s="85"/>
      <c r="BG2802" s="79"/>
      <c r="BH2802" s="99"/>
    </row>
    <row r="2803" spans="51:60" x14ac:dyDescent="0.2">
      <c r="AY2803" s="79"/>
      <c r="AZ2803" s="85"/>
      <c r="BA2803" s="40"/>
      <c r="BB2803" s="99"/>
      <c r="BC2803" s="85"/>
      <c r="BG2803" s="79"/>
      <c r="BH2803" s="99"/>
    </row>
    <row r="2804" spans="51:60" x14ac:dyDescent="0.2">
      <c r="AY2804" s="79"/>
      <c r="AZ2804" s="85"/>
      <c r="BA2804" s="40"/>
      <c r="BB2804" s="99"/>
      <c r="BC2804" s="85"/>
      <c r="BG2804" s="79"/>
      <c r="BH2804" s="99"/>
    </row>
    <row r="2805" spans="51:60" x14ac:dyDescent="0.2">
      <c r="AY2805" s="79"/>
      <c r="AZ2805" s="85"/>
      <c r="BA2805" s="40"/>
      <c r="BB2805" s="99"/>
      <c r="BC2805" s="85"/>
      <c r="BG2805" s="79"/>
      <c r="BH2805" s="99"/>
    </row>
    <row r="2806" spans="51:60" x14ac:dyDescent="0.2">
      <c r="AY2806" s="79"/>
      <c r="AZ2806" s="85"/>
      <c r="BA2806" s="40"/>
      <c r="BB2806" s="99"/>
      <c r="BC2806" s="85"/>
      <c r="BG2806" s="79"/>
      <c r="BH2806" s="99"/>
    </row>
    <row r="2807" spans="51:60" x14ac:dyDescent="0.2">
      <c r="AY2807" s="79"/>
      <c r="AZ2807" s="85"/>
      <c r="BA2807" s="40"/>
      <c r="BB2807" s="99"/>
      <c r="BC2807" s="85"/>
      <c r="BG2807" s="79"/>
      <c r="BH2807" s="99"/>
    </row>
    <row r="2808" spans="51:60" x14ac:dyDescent="0.2">
      <c r="AY2808" s="79"/>
      <c r="AZ2808" s="85"/>
      <c r="BA2808" s="40"/>
      <c r="BB2808" s="99"/>
      <c r="BC2808" s="85"/>
      <c r="BG2808" s="79"/>
      <c r="BH2808" s="99"/>
    </row>
    <row r="2809" spans="51:60" x14ac:dyDescent="0.2">
      <c r="AY2809" s="79"/>
      <c r="AZ2809" s="85"/>
      <c r="BA2809" s="40"/>
      <c r="BB2809" s="99"/>
      <c r="BC2809" s="85"/>
      <c r="BG2809" s="79"/>
      <c r="BH2809" s="99"/>
    </row>
    <row r="2810" spans="51:60" x14ac:dyDescent="0.2">
      <c r="AY2810" s="79"/>
      <c r="AZ2810" s="85"/>
      <c r="BA2810" s="40"/>
      <c r="BB2810" s="99"/>
      <c r="BC2810" s="85"/>
      <c r="BG2810" s="79"/>
      <c r="BH2810" s="99"/>
    </row>
    <row r="2811" spans="51:60" x14ac:dyDescent="0.2">
      <c r="AY2811" s="79"/>
      <c r="AZ2811" s="85"/>
      <c r="BA2811" s="40"/>
      <c r="BB2811" s="99"/>
      <c r="BC2811" s="85"/>
      <c r="BG2811" s="79"/>
      <c r="BH2811" s="99"/>
    </row>
    <row r="2812" spans="51:60" x14ac:dyDescent="0.2">
      <c r="AY2812" s="79"/>
      <c r="AZ2812" s="85"/>
      <c r="BA2812" s="40"/>
      <c r="BB2812" s="99"/>
      <c r="BC2812" s="85"/>
      <c r="BG2812" s="79"/>
      <c r="BH2812" s="99"/>
    </row>
    <row r="2813" spans="51:60" x14ac:dyDescent="0.2">
      <c r="AY2813" s="79"/>
      <c r="AZ2813" s="85"/>
      <c r="BA2813" s="40"/>
      <c r="BB2813" s="99"/>
      <c r="BC2813" s="85"/>
      <c r="BG2813" s="79"/>
      <c r="BH2813" s="99"/>
    </row>
    <row r="2814" spans="51:60" x14ac:dyDescent="0.2">
      <c r="AY2814" s="79"/>
      <c r="AZ2814" s="85"/>
      <c r="BA2814" s="40"/>
      <c r="BB2814" s="99"/>
      <c r="BC2814" s="85"/>
      <c r="BG2814" s="79"/>
      <c r="BH2814" s="99"/>
    </row>
    <row r="2815" spans="51:60" x14ac:dyDescent="0.2">
      <c r="AY2815" s="79"/>
      <c r="AZ2815" s="85"/>
      <c r="BA2815" s="40"/>
      <c r="BB2815" s="99"/>
      <c r="BC2815" s="85"/>
      <c r="BG2815" s="79"/>
      <c r="BH2815" s="99"/>
    </row>
    <row r="2816" spans="51:60" x14ac:dyDescent="0.2">
      <c r="AY2816" s="79"/>
      <c r="AZ2816" s="85"/>
      <c r="BA2816" s="40"/>
      <c r="BB2816" s="99"/>
      <c r="BC2816" s="85"/>
      <c r="BG2816" s="79"/>
      <c r="BH2816" s="99"/>
    </row>
    <row r="2817" spans="51:60" x14ac:dyDescent="0.2">
      <c r="AY2817" s="79"/>
      <c r="AZ2817" s="85"/>
      <c r="BA2817" s="40"/>
      <c r="BB2817" s="99"/>
      <c r="BC2817" s="85"/>
      <c r="BG2817" s="79"/>
      <c r="BH2817" s="99"/>
    </row>
    <row r="2818" spans="51:60" x14ac:dyDescent="0.2">
      <c r="AY2818" s="79"/>
      <c r="AZ2818" s="85"/>
      <c r="BA2818" s="40"/>
      <c r="BB2818" s="99"/>
      <c r="BC2818" s="85"/>
      <c r="BG2818" s="79"/>
      <c r="BH2818" s="99"/>
    </row>
    <row r="2819" spans="51:60" x14ac:dyDescent="0.2">
      <c r="AY2819" s="79"/>
      <c r="AZ2819" s="85"/>
      <c r="BA2819" s="40"/>
      <c r="BB2819" s="99"/>
      <c r="BC2819" s="85"/>
      <c r="BG2819" s="79"/>
      <c r="BH2819" s="99"/>
    </row>
    <row r="2820" spans="51:60" x14ac:dyDescent="0.2">
      <c r="AY2820" s="79"/>
      <c r="AZ2820" s="85"/>
      <c r="BA2820" s="40"/>
      <c r="BB2820" s="99"/>
      <c r="BC2820" s="85"/>
      <c r="BG2820" s="79"/>
      <c r="BH2820" s="99"/>
    </row>
    <row r="2821" spans="51:60" x14ac:dyDescent="0.2">
      <c r="AY2821" s="79"/>
      <c r="AZ2821" s="85"/>
      <c r="BA2821" s="40"/>
      <c r="BB2821" s="99"/>
      <c r="BC2821" s="85"/>
      <c r="BG2821" s="79"/>
      <c r="BH2821" s="99"/>
    </row>
    <row r="2822" spans="51:60" x14ac:dyDescent="0.2">
      <c r="AY2822" s="79"/>
      <c r="AZ2822" s="85"/>
      <c r="BA2822" s="40"/>
      <c r="BB2822" s="99"/>
      <c r="BC2822" s="85"/>
      <c r="BG2822" s="79"/>
      <c r="BH2822" s="99"/>
    </row>
    <row r="2823" spans="51:60" x14ac:dyDescent="0.2">
      <c r="AY2823" s="79"/>
      <c r="AZ2823" s="85"/>
      <c r="BA2823" s="40"/>
      <c r="BB2823" s="99"/>
      <c r="BC2823" s="85"/>
      <c r="BG2823" s="79"/>
      <c r="BH2823" s="99"/>
    </row>
    <row r="2824" spans="51:60" x14ac:dyDescent="0.2">
      <c r="AY2824" s="79"/>
      <c r="AZ2824" s="85"/>
      <c r="BA2824" s="40"/>
      <c r="BB2824" s="99"/>
      <c r="BC2824" s="85"/>
      <c r="BG2824" s="79"/>
      <c r="BH2824" s="99"/>
    </row>
    <row r="2825" spans="51:60" x14ac:dyDescent="0.2">
      <c r="AY2825" s="79"/>
      <c r="AZ2825" s="85"/>
      <c r="BA2825" s="40"/>
      <c r="BB2825" s="99"/>
      <c r="BC2825" s="85"/>
      <c r="BG2825" s="79"/>
      <c r="BH2825" s="99"/>
    </row>
    <row r="2826" spans="51:60" x14ac:dyDescent="0.2">
      <c r="AY2826" s="79"/>
      <c r="AZ2826" s="85"/>
      <c r="BA2826" s="40"/>
      <c r="BB2826" s="99"/>
      <c r="BC2826" s="85"/>
      <c r="BG2826" s="79"/>
      <c r="BH2826" s="99"/>
    </row>
    <row r="2827" spans="51:60" x14ac:dyDescent="0.2">
      <c r="AY2827" s="79"/>
      <c r="AZ2827" s="85"/>
      <c r="BA2827" s="40"/>
      <c r="BB2827" s="99"/>
      <c r="BC2827" s="85"/>
      <c r="BG2827" s="79"/>
      <c r="BH2827" s="99"/>
    </row>
    <row r="2828" spans="51:60" x14ac:dyDescent="0.2">
      <c r="AY2828" s="79"/>
      <c r="AZ2828" s="85"/>
      <c r="BA2828" s="40"/>
      <c r="BB2828" s="99"/>
      <c r="BC2828" s="85"/>
      <c r="BG2828" s="79"/>
      <c r="BH2828" s="99"/>
    </row>
    <row r="2829" spans="51:60" x14ac:dyDescent="0.2">
      <c r="AY2829" s="79"/>
      <c r="AZ2829" s="85"/>
      <c r="BA2829" s="40"/>
      <c r="BB2829" s="99"/>
      <c r="BC2829" s="85"/>
      <c r="BG2829" s="79"/>
      <c r="BH2829" s="99"/>
    </row>
    <row r="2830" spans="51:60" x14ac:dyDescent="0.2">
      <c r="AY2830" s="79"/>
      <c r="AZ2830" s="85"/>
      <c r="BA2830" s="40"/>
      <c r="BB2830" s="99"/>
      <c r="BC2830" s="85"/>
      <c r="BG2830" s="79"/>
      <c r="BH2830" s="99"/>
    </row>
    <row r="2831" spans="51:60" x14ac:dyDescent="0.2">
      <c r="AY2831" s="79"/>
      <c r="AZ2831" s="85"/>
      <c r="BA2831" s="40"/>
      <c r="BB2831" s="99"/>
      <c r="BC2831" s="85"/>
      <c r="BG2831" s="79"/>
      <c r="BH2831" s="99"/>
    </row>
    <row r="2832" spans="51:60" x14ac:dyDescent="0.2">
      <c r="AY2832" s="79"/>
      <c r="AZ2832" s="85"/>
      <c r="BA2832" s="40"/>
      <c r="BB2832" s="99"/>
      <c r="BC2832" s="85"/>
      <c r="BG2832" s="79"/>
      <c r="BH2832" s="99"/>
    </row>
    <row r="2833" spans="51:60" x14ac:dyDescent="0.2">
      <c r="AY2833" s="79"/>
      <c r="AZ2833" s="85"/>
      <c r="BA2833" s="40"/>
      <c r="BB2833" s="99"/>
      <c r="BC2833" s="85"/>
      <c r="BG2833" s="79"/>
      <c r="BH2833" s="99"/>
    </row>
    <row r="2834" spans="51:60" x14ac:dyDescent="0.2">
      <c r="AY2834" s="79"/>
      <c r="AZ2834" s="85"/>
      <c r="BA2834" s="40"/>
      <c r="BB2834" s="99"/>
      <c r="BC2834" s="85"/>
      <c r="BG2834" s="79"/>
      <c r="BH2834" s="99"/>
    </row>
    <row r="2835" spans="51:60" x14ac:dyDescent="0.2">
      <c r="AY2835" s="79"/>
      <c r="AZ2835" s="85"/>
      <c r="BA2835" s="40"/>
      <c r="BB2835" s="99"/>
      <c r="BC2835" s="85"/>
      <c r="BG2835" s="79"/>
      <c r="BH2835" s="99"/>
    </row>
    <row r="2836" spans="51:60" x14ac:dyDescent="0.2">
      <c r="AY2836" s="79"/>
      <c r="AZ2836" s="85"/>
      <c r="BA2836" s="40"/>
      <c r="BB2836" s="99"/>
      <c r="BC2836" s="85"/>
      <c r="BG2836" s="79"/>
      <c r="BH2836" s="99"/>
    </row>
    <row r="2837" spans="51:60" x14ac:dyDescent="0.2">
      <c r="AY2837" s="79"/>
      <c r="AZ2837" s="85"/>
      <c r="BA2837" s="40"/>
      <c r="BB2837" s="99"/>
      <c r="BC2837" s="85"/>
      <c r="BG2837" s="79"/>
      <c r="BH2837" s="99"/>
    </row>
    <row r="2838" spans="51:60" x14ac:dyDescent="0.2">
      <c r="AY2838" s="79"/>
      <c r="AZ2838" s="85"/>
      <c r="BA2838" s="40"/>
      <c r="BB2838" s="99"/>
      <c r="BC2838" s="85"/>
      <c r="BG2838" s="79"/>
      <c r="BH2838" s="99"/>
    </row>
    <row r="2839" spans="51:60" x14ac:dyDescent="0.2">
      <c r="AY2839" s="79"/>
      <c r="AZ2839" s="85"/>
      <c r="BA2839" s="40"/>
      <c r="BB2839" s="99"/>
      <c r="BC2839" s="85"/>
      <c r="BG2839" s="79"/>
      <c r="BH2839" s="99"/>
    </row>
    <row r="2840" spans="51:60" x14ac:dyDescent="0.2">
      <c r="AY2840" s="79"/>
      <c r="AZ2840" s="85"/>
      <c r="BA2840" s="40"/>
      <c r="BB2840" s="99"/>
      <c r="BC2840" s="85"/>
      <c r="BG2840" s="79"/>
      <c r="BH2840" s="99"/>
    </row>
    <row r="2841" spans="51:60" x14ac:dyDescent="0.2">
      <c r="AY2841" s="79"/>
      <c r="AZ2841" s="85"/>
      <c r="BA2841" s="40"/>
      <c r="BB2841" s="99"/>
      <c r="BC2841" s="85"/>
      <c r="BG2841" s="79"/>
      <c r="BH2841" s="99"/>
    </row>
    <row r="2842" spans="51:60" x14ac:dyDescent="0.2">
      <c r="AY2842" s="79"/>
      <c r="AZ2842" s="85"/>
      <c r="BA2842" s="40"/>
      <c r="BB2842" s="99"/>
      <c r="BC2842" s="85"/>
      <c r="BG2842" s="79"/>
      <c r="BH2842" s="99"/>
    </row>
    <row r="2843" spans="51:60" x14ac:dyDescent="0.2">
      <c r="AY2843" s="79"/>
      <c r="AZ2843" s="85"/>
      <c r="BA2843" s="40"/>
      <c r="BB2843" s="99"/>
      <c r="BC2843" s="85"/>
      <c r="BG2843" s="79"/>
      <c r="BH2843" s="99"/>
    </row>
    <row r="2844" spans="51:60" x14ac:dyDescent="0.2">
      <c r="AY2844" s="79"/>
      <c r="AZ2844" s="85"/>
      <c r="BA2844" s="40"/>
      <c r="BB2844" s="99"/>
      <c r="BC2844" s="85"/>
      <c r="BG2844" s="79"/>
      <c r="BH2844" s="99"/>
    </row>
    <row r="2845" spans="51:60" x14ac:dyDescent="0.2">
      <c r="AY2845" s="79"/>
      <c r="AZ2845" s="85"/>
      <c r="BA2845" s="40"/>
      <c r="BB2845" s="99"/>
      <c r="BC2845" s="85"/>
      <c r="BG2845" s="79"/>
      <c r="BH2845" s="99"/>
    </row>
    <row r="2846" spans="51:60" x14ac:dyDescent="0.2">
      <c r="AY2846" s="79"/>
      <c r="AZ2846" s="85"/>
      <c r="BA2846" s="40"/>
      <c r="BB2846" s="99"/>
      <c r="BC2846" s="85"/>
      <c r="BG2846" s="79"/>
      <c r="BH2846" s="99"/>
    </row>
    <row r="2847" spans="51:60" x14ac:dyDescent="0.2">
      <c r="AY2847" s="79"/>
      <c r="AZ2847" s="85"/>
      <c r="BA2847" s="40"/>
      <c r="BB2847" s="99"/>
      <c r="BC2847" s="85"/>
      <c r="BG2847" s="79"/>
      <c r="BH2847" s="99"/>
    </row>
    <row r="2848" spans="51:60" x14ac:dyDescent="0.2">
      <c r="AY2848" s="79"/>
      <c r="AZ2848" s="85"/>
      <c r="BA2848" s="40"/>
      <c r="BB2848" s="99"/>
      <c r="BC2848" s="85"/>
      <c r="BG2848" s="79"/>
      <c r="BH2848" s="99"/>
    </row>
    <row r="2849" spans="51:60" x14ac:dyDescent="0.2">
      <c r="AY2849" s="79"/>
      <c r="AZ2849" s="85"/>
      <c r="BA2849" s="40"/>
      <c r="BB2849" s="99"/>
      <c r="BC2849" s="85"/>
      <c r="BG2849" s="79"/>
      <c r="BH2849" s="99"/>
    </row>
    <row r="2850" spans="51:60" x14ac:dyDescent="0.2">
      <c r="AY2850" s="79"/>
      <c r="AZ2850" s="85"/>
      <c r="BA2850" s="40"/>
      <c r="BB2850" s="99"/>
      <c r="BC2850" s="85"/>
      <c r="BG2850" s="79"/>
      <c r="BH2850" s="99"/>
    </row>
    <row r="2851" spans="51:60" x14ac:dyDescent="0.2">
      <c r="AY2851" s="79"/>
      <c r="AZ2851" s="85"/>
      <c r="BA2851" s="40"/>
      <c r="BB2851" s="99"/>
      <c r="BC2851" s="85"/>
      <c r="BG2851" s="79"/>
      <c r="BH2851" s="99"/>
    </row>
    <row r="2852" spans="51:60" x14ac:dyDescent="0.2">
      <c r="AY2852" s="79"/>
      <c r="AZ2852" s="85"/>
      <c r="BA2852" s="40"/>
      <c r="BB2852" s="99"/>
      <c r="BC2852" s="85"/>
      <c r="BG2852" s="79"/>
      <c r="BH2852" s="99"/>
    </row>
    <row r="2853" spans="51:60" x14ac:dyDescent="0.2">
      <c r="AY2853" s="79"/>
      <c r="AZ2853" s="85"/>
      <c r="BA2853" s="40"/>
      <c r="BB2853" s="99"/>
      <c r="BC2853" s="85"/>
      <c r="BG2853" s="79"/>
      <c r="BH2853" s="99"/>
    </row>
    <row r="2854" spans="51:60" x14ac:dyDescent="0.2">
      <c r="AY2854" s="79"/>
      <c r="AZ2854" s="85"/>
      <c r="BA2854" s="40"/>
      <c r="BB2854" s="99"/>
      <c r="BC2854" s="85"/>
      <c r="BG2854" s="79"/>
      <c r="BH2854" s="99"/>
    </row>
    <row r="2855" spans="51:60" x14ac:dyDescent="0.2">
      <c r="AY2855" s="79"/>
      <c r="AZ2855" s="85"/>
      <c r="BA2855" s="40"/>
      <c r="BB2855" s="99"/>
      <c r="BC2855" s="85"/>
      <c r="BG2855" s="79"/>
      <c r="BH2855" s="99"/>
    </row>
    <row r="2856" spans="51:60" x14ac:dyDescent="0.2">
      <c r="AY2856" s="79"/>
      <c r="AZ2856" s="85"/>
      <c r="BA2856" s="40"/>
      <c r="BB2856" s="99"/>
      <c r="BC2856" s="85"/>
      <c r="BG2856" s="79"/>
      <c r="BH2856" s="99"/>
    </row>
    <row r="2857" spans="51:60" x14ac:dyDescent="0.2">
      <c r="AY2857" s="79"/>
      <c r="AZ2857" s="85"/>
      <c r="BA2857" s="40"/>
      <c r="BB2857" s="99"/>
      <c r="BC2857" s="85"/>
      <c r="BG2857" s="79"/>
      <c r="BH2857" s="99"/>
    </row>
    <row r="2858" spans="51:60" x14ac:dyDescent="0.2">
      <c r="AY2858" s="79"/>
      <c r="AZ2858" s="85"/>
      <c r="BA2858" s="40"/>
      <c r="BB2858" s="99"/>
      <c r="BC2858" s="85"/>
      <c r="BG2858" s="79"/>
      <c r="BH2858" s="99"/>
    </row>
    <row r="2859" spans="51:60" x14ac:dyDescent="0.2">
      <c r="AY2859" s="79"/>
      <c r="AZ2859" s="85"/>
      <c r="BA2859" s="40"/>
      <c r="BB2859" s="99"/>
      <c r="BC2859" s="85"/>
      <c r="BG2859" s="79"/>
      <c r="BH2859" s="99"/>
    </row>
    <row r="2860" spans="51:60" x14ac:dyDescent="0.2">
      <c r="AY2860" s="79"/>
      <c r="AZ2860" s="85"/>
      <c r="BA2860" s="40"/>
      <c r="BB2860" s="99"/>
      <c r="BC2860" s="85"/>
      <c r="BG2860" s="79"/>
      <c r="BH2860" s="99"/>
    </row>
    <row r="2861" spans="51:60" x14ac:dyDescent="0.2">
      <c r="AY2861" s="79"/>
      <c r="AZ2861" s="85"/>
      <c r="BA2861" s="40"/>
      <c r="BB2861" s="99"/>
      <c r="BC2861" s="85"/>
      <c r="BG2861" s="79"/>
      <c r="BH2861" s="99"/>
    </row>
    <row r="2862" spans="51:60" x14ac:dyDescent="0.2">
      <c r="AY2862" s="79"/>
      <c r="AZ2862" s="85"/>
      <c r="BA2862" s="40"/>
      <c r="BB2862" s="99"/>
      <c r="BC2862" s="85"/>
      <c r="BG2862" s="79"/>
      <c r="BH2862" s="99"/>
    </row>
    <row r="2863" spans="51:60" x14ac:dyDescent="0.2">
      <c r="AY2863" s="79"/>
      <c r="AZ2863" s="85"/>
      <c r="BA2863" s="40"/>
      <c r="BB2863" s="99"/>
      <c r="BC2863" s="85"/>
      <c r="BG2863" s="79"/>
      <c r="BH2863" s="99"/>
    </row>
    <row r="2864" spans="51:60" x14ac:dyDescent="0.2">
      <c r="AY2864" s="79"/>
      <c r="AZ2864" s="85"/>
      <c r="BA2864" s="40"/>
      <c r="BB2864" s="99"/>
      <c r="BC2864" s="85"/>
      <c r="BG2864" s="79"/>
      <c r="BH2864" s="99"/>
    </row>
    <row r="2865" spans="51:60" x14ac:dyDescent="0.2">
      <c r="AY2865" s="79"/>
      <c r="AZ2865" s="85"/>
      <c r="BA2865" s="40"/>
      <c r="BB2865" s="99"/>
      <c r="BC2865" s="85"/>
      <c r="BG2865" s="79"/>
      <c r="BH2865" s="99"/>
    </row>
    <row r="2866" spans="51:60" x14ac:dyDescent="0.2">
      <c r="AY2866" s="79"/>
      <c r="AZ2866" s="85"/>
      <c r="BA2866" s="40"/>
      <c r="BB2866" s="99"/>
      <c r="BC2866" s="85"/>
      <c r="BG2866" s="79"/>
      <c r="BH2866" s="99"/>
    </row>
    <row r="2867" spans="51:60" x14ac:dyDescent="0.2">
      <c r="AY2867" s="79"/>
      <c r="AZ2867" s="85"/>
      <c r="BA2867" s="40"/>
      <c r="BB2867" s="99"/>
      <c r="BC2867" s="85"/>
      <c r="BG2867" s="79"/>
      <c r="BH2867" s="99"/>
    </row>
    <row r="2868" spans="51:60" x14ac:dyDescent="0.2">
      <c r="AY2868" s="79"/>
      <c r="AZ2868" s="85"/>
      <c r="BA2868" s="40"/>
      <c r="BB2868" s="99"/>
      <c r="BC2868" s="85"/>
      <c r="BG2868" s="79"/>
      <c r="BH2868" s="99"/>
    </row>
    <row r="2869" spans="51:60" x14ac:dyDescent="0.2">
      <c r="AY2869" s="79"/>
      <c r="AZ2869" s="85"/>
      <c r="BA2869" s="40"/>
      <c r="BB2869" s="99"/>
      <c r="BC2869" s="85"/>
      <c r="BG2869" s="79"/>
      <c r="BH2869" s="99"/>
    </row>
    <row r="2870" spans="51:60" x14ac:dyDescent="0.2">
      <c r="AY2870" s="79"/>
      <c r="AZ2870" s="85"/>
      <c r="BA2870" s="40"/>
      <c r="BB2870" s="99"/>
      <c r="BC2870" s="85"/>
      <c r="BG2870" s="79"/>
      <c r="BH2870" s="99"/>
    </row>
    <row r="2871" spans="51:60" x14ac:dyDescent="0.2">
      <c r="AY2871" s="79"/>
      <c r="AZ2871" s="85"/>
      <c r="BA2871" s="40"/>
      <c r="BB2871" s="99"/>
      <c r="BC2871" s="85"/>
      <c r="BG2871" s="79"/>
      <c r="BH2871" s="99"/>
    </row>
    <row r="2872" spans="51:60" x14ac:dyDescent="0.2">
      <c r="AY2872" s="79"/>
      <c r="AZ2872" s="85"/>
      <c r="BA2872" s="40"/>
      <c r="BB2872" s="99"/>
      <c r="BC2872" s="85"/>
      <c r="BG2872" s="79"/>
      <c r="BH2872" s="99"/>
    </row>
    <row r="2873" spans="51:60" x14ac:dyDescent="0.2">
      <c r="AY2873" s="79"/>
      <c r="AZ2873" s="85"/>
      <c r="BA2873" s="40"/>
      <c r="BB2873" s="99"/>
      <c r="BC2873" s="85"/>
      <c r="BG2873" s="79"/>
      <c r="BH2873" s="99"/>
    </row>
    <row r="2874" spans="51:60" x14ac:dyDescent="0.2">
      <c r="AY2874" s="79"/>
      <c r="AZ2874" s="85"/>
      <c r="BA2874" s="40"/>
      <c r="BB2874" s="99"/>
      <c r="BC2874" s="85"/>
      <c r="BG2874" s="79"/>
      <c r="BH2874" s="99"/>
    </row>
    <row r="2875" spans="51:60" x14ac:dyDescent="0.2">
      <c r="AY2875" s="79"/>
      <c r="AZ2875" s="85"/>
      <c r="BA2875" s="40"/>
      <c r="BB2875" s="99"/>
      <c r="BC2875" s="85"/>
      <c r="BG2875" s="79"/>
      <c r="BH2875" s="99"/>
    </row>
    <row r="2876" spans="51:60" x14ac:dyDescent="0.2">
      <c r="AY2876" s="79"/>
      <c r="AZ2876" s="85"/>
      <c r="BA2876" s="40"/>
      <c r="BB2876" s="99"/>
      <c r="BC2876" s="85"/>
      <c r="BG2876" s="79"/>
      <c r="BH2876" s="99"/>
    </row>
    <row r="2877" spans="51:60" x14ac:dyDescent="0.2">
      <c r="AY2877" s="79"/>
      <c r="AZ2877" s="85"/>
      <c r="BA2877" s="40"/>
      <c r="BB2877" s="99"/>
      <c r="BC2877" s="85"/>
      <c r="BG2877" s="79"/>
      <c r="BH2877" s="99"/>
    </row>
    <row r="2878" spans="51:60" x14ac:dyDescent="0.2">
      <c r="AY2878" s="79"/>
      <c r="AZ2878" s="85"/>
      <c r="BA2878" s="40"/>
      <c r="BB2878" s="99"/>
      <c r="BC2878" s="85"/>
      <c r="BG2878" s="79"/>
      <c r="BH2878" s="99"/>
    </row>
    <row r="2879" spans="51:60" x14ac:dyDescent="0.2">
      <c r="AY2879" s="79"/>
      <c r="AZ2879" s="85"/>
      <c r="BA2879" s="40"/>
      <c r="BB2879" s="99"/>
      <c r="BC2879" s="85"/>
      <c r="BG2879" s="79"/>
      <c r="BH2879" s="99"/>
    </row>
    <row r="2880" spans="51:60" x14ac:dyDescent="0.2">
      <c r="AY2880" s="79"/>
      <c r="AZ2880" s="85"/>
      <c r="BA2880" s="40"/>
      <c r="BB2880" s="99"/>
      <c r="BC2880" s="85"/>
      <c r="BG2880" s="79"/>
      <c r="BH2880" s="99"/>
    </row>
    <row r="2881" spans="51:60" x14ac:dyDescent="0.2">
      <c r="AY2881" s="79"/>
      <c r="AZ2881" s="85"/>
      <c r="BA2881" s="40"/>
      <c r="BB2881" s="99"/>
      <c r="BC2881" s="85"/>
      <c r="BG2881" s="79"/>
      <c r="BH2881" s="99"/>
    </row>
    <row r="2882" spans="51:60" x14ac:dyDescent="0.2">
      <c r="AY2882" s="79"/>
      <c r="AZ2882" s="85"/>
      <c r="BA2882" s="40"/>
      <c r="BB2882" s="99"/>
      <c r="BC2882" s="85"/>
      <c r="BG2882" s="79"/>
      <c r="BH2882" s="99"/>
    </row>
    <row r="2883" spans="51:60" x14ac:dyDescent="0.2">
      <c r="AY2883" s="79"/>
      <c r="AZ2883" s="85"/>
      <c r="BA2883" s="40"/>
      <c r="BB2883" s="99"/>
      <c r="BC2883" s="85"/>
      <c r="BG2883" s="79"/>
      <c r="BH2883" s="99"/>
    </row>
    <row r="2884" spans="51:60" x14ac:dyDescent="0.2">
      <c r="AY2884" s="79"/>
      <c r="AZ2884" s="85"/>
      <c r="BA2884" s="40"/>
      <c r="BB2884" s="99"/>
      <c r="BC2884" s="85"/>
      <c r="BG2884" s="79"/>
      <c r="BH2884" s="99"/>
    </row>
    <row r="2885" spans="51:60" x14ac:dyDescent="0.2">
      <c r="AY2885" s="79"/>
      <c r="AZ2885" s="85"/>
      <c r="BA2885" s="40"/>
      <c r="BB2885" s="99"/>
      <c r="BC2885" s="85"/>
      <c r="BG2885" s="79"/>
      <c r="BH2885" s="99"/>
    </row>
    <row r="2886" spans="51:60" x14ac:dyDescent="0.2">
      <c r="AY2886" s="79"/>
      <c r="AZ2886" s="85"/>
      <c r="BA2886" s="40"/>
      <c r="BB2886" s="99"/>
      <c r="BC2886" s="85"/>
      <c r="BG2886" s="79"/>
      <c r="BH2886" s="99"/>
    </row>
    <row r="2887" spans="51:60" x14ac:dyDescent="0.2">
      <c r="AY2887" s="79"/>
      <c r="AZ2887" s="85"/>
      <c r="BA2887" s="40"/>
      <c r="BB2887" s="99"/>
      <c r="BC2887" s="85"/>
      <c r="BG2887" s="79"/>
      <c r="BH2887" s="99"/>
    </row>
    <row r="2888" spans="51:60" x14ac:dyDescent="0.2">
      <c r="AY2888" s="79"/>
      <c r="AZ2888" s="85"/>
      <c r="BA2888" s="40"/>
      <c r="BB2888" s="99"/>
      <c r="BC2888" s="85"/>
      <c r="BG2888" s="79"/>
      <c r="BH2888" s="99"/>
    </row>
    <row r="2889" spans="51:60" x14ac:dyDescent="0.2">
      <c r="AY2889" s="79"/>
      <c r="AZ2889" s="85"/>
      <c r="BA2889" s="40"/>
      <c r="BB2889" s="99"/>
      <c r="BC2889" s="85"/>
      <c r="BG2889" s="79"/>
      <c r="BH2889" s="99"/>
    </row>
    <row r="2890" spans="51:60" x14ac:dyDescent="0.2">
      <c r="AY2890" s="79"/>
      <c r="AZ2890" s="85"/>
      <c r="BA2890" s="40"/>
      <c r="BB2890" s="99"/>
      <c r="BC2890" s="85"/>
      <c r="BG2890" s="79"/>
      <c r="BH2890" s="99"/>
    </row>
    <row r="2891" spans="51:60" x14ac:dyDescent="0.2">
      <c r="AY2891" s="79"/>
      <c r="AZ2891" s="85"/>
      <c r="BA2891" s="40"/>
      <c r="BB2891" s="99"/>
      <c r="BC2891" s="85"/>
      <c r="BG2891" s="79"/>
      <c r="BH2891" s="99"/>
    </row>
    <row r="2892" spans="51:60" x14ac:dyDescent="0.2">
      <c r="AY2892" s="79"/>
      <c r="AZ2892" s="85"/>
      <c r="BA2892" s="40"/>
      <c r="BB2892" s="99"/>
      <c r="BC2892" s="85"/>
      <c r="BG2892" s="79"/>
      <c r="BH2892" s="99"/>
    </row>
    <row r="2893" spans="51:60" x14ac:dyDescent="0.2">
      <c r="AY2893" s="79"/>
      <c r="AZ2893" s="85"/>
      <c r="BA2893" s="40"/>
      <c r="BB2893" s="99"/>
      <c r="BC2893" s="85"/>
      <c r="BG2893" s="79"/>
      <c r="BH2893" s="99"/>
    </row>
    <row r="2894" spans="51:60" x14ac:dyDescent="0.2">
      <c r="AY2894" s="79"/>
      <c r="AZ2894" s="85"/>
      <c r="BA2894" s="40"/>
      <c r="BB2894" s="99"/>
      <c r="BC2894" s="85"/>
      <c r="BG2894" s="79"/>
      <c r="BH2894" s="99"/>
    </row>
    <row r="2895" spans="51:60" x14ac:dyDescent="0.2">
      <c r="AY2895" s="79"/>
      <c r="AZ2895" s="85"/>
      <c r="BA2895" s="40"/>
      <c r="BB2895" s="99"/>
      <c r="BC2895" s="85"/>
      <c r="BG2895" s="79"/>
      <c r="BH2895" s="99"/>
    </row>
    <row r="2896" spans="51:60" x14ac:dyDescent="0.2">
      <c r="AY2896" s="79"/>
      <c r="AZ2896" s="85"/>
      <c r="BA2896" s="40"/>
      <c r="BB2896" s="99"/>
      <c r="BC2896" s="85"/>
      <c r="BG2896" s="79"/>
      <c r="BH2896" s="99"/>
    </row>
    <row r="2897" spans="51:60" x14ac:dyDescent="0.2">
      <c r="AY2897" s="79"/>
      <c r="AZ2897" s="85"/>
      <c r="BA2897" s="40"/>
      <c r="BB2897" s="99"/>
      <c r="BC2897" s="85"/>
      <c r="BG2897" s="79"/>
      <c r="BH2897" s="99"/>
    </row>
    <row r="2898" spans="51:60" x14ac:dyDescent="0.2">
      <c r="AY2898" s="79"/>
      <c r="AZ2898" s="85"/>
      <c r="BA2898" s="40"/>
      <c r="BB2898" s="99"/>
      <c r="BC2898" s="85"/>
      <c r="BG2898" s="79"/>
      <c r="BH2898" s="99"/>
    </row>
    <row r="2899" spans="51:60" x14ac:dyDescent="0.2">
      <c r="AY2899" s="79"/>
      <c r="AZ2899" s="85"/>
      <c r="BA2899" s="40"/>
      <c r="BB2899" s="99"/>
      <c r="BC2899" s="85"/>
      <c r="BG2899" s="79"/>
      <c r="BH2899" s="99"/>
    </row>
    <row r="2900" spans="51:60" x14ac:dyDescent="0.2">
      <c r="AY2900" s="79"/>
      <c r="AZ2900" s="85"/>
      <c r="BA2900" s="40"/>
      <c r="BB2900" s="99"/>
      <c r="BC2900" s="85"/>
      <c r="BG2900" s="79"/>
      <c r="BH2900" s="99"/>
    </row>
    <row r="2901" spans="51:60" x14ac:dyDescent="0.2">
      <c r="AY2901" s="79"/>
      <c r="AZ2901" s="85"/>
      <c r="BA2901" s="40"/>
      <c r="BB2901" s="99"/>
      <c r="BC2901" s="85"/>
      <c r="BG2901" s="79"/>
      <c r="BH2901" s="99"/>
    </row>
    <row r="2902" spans="51:60" x14ac:dyDescent="0.2">
      <c r="AY2902" s="79"/>
      <c r="AZ2902" s="85"/>
      <c r="BA2902" s="40"/>
      <c r="BB2902" s="99"/>
      <c r="BC2902" s="85"/>
      <c r="BG2902" s="79"/>
      <c r="BH2902" s="99"/>
    </row>
    <row r="2903" spans="51:60" x14ac:dyDescent="0.2">
      <c r="AY2903" s="79"/>
      <c r="AZ2903" s="85"/>
      <c r="BA2903" s="40"/>
      <c r="BB2903" s="99"/>
      <c r="BC2903" s="85"/>
      <c r="BG2903" s="79"/>
      <c r="BH2903" s="99"/>
    </row>
    <row r="2904" spans="51:60" x14ac:dyDescent="0.2">
      <c r="AY2904" s="79"/>
      <c r="AZ2904" s="85"/>
      <c r="BA2904" s="40"/>
      <c r="BB2904" s="99"/>
      <c r="BC2904" s="85"/>
      <c r="BG2904" s="79"/>
      <c r="BH2904" s="99"/>
    </row>
    <row r="2905" spans="51:60" x14ac:dyDescent="0.2">
      <c r="AY2905" s="79"/>
      <c r="AZ2905" s="85"/>
      <c r="BA2905" s="40"/>
      <c r="BB2905" s="99"/>
      <c r="BC2905" s="85"/>
      <c r="BG2905" s="79"/>
      <c r="BH2905" s="99"/>
    </row>
    <row r="2906" spans="51:60" x14ac:dyDescent="0.2">
      <c r="AY2906" s="79"/>
      <c r="AZ2906" s="85"/>
      <c r="BA2906" s="40"/>
      <c r="BB2906" s="99"/>
      <c r="BC2906" s="85"/>
      <c r="BG2906" s="79"/>
      <c r="BH2906" s="99"/>
    </row>
    <row r="2907" spans="51:60" x14ac:dyDescent="0.2">
      <c r="AY2907" s="79"/>
      <c r="AZ2907" s="85"/>
      <c r="BA2907" s="40"/>
      <c r="BB2907" s="99"/>
      <c r="BC2907" s="85"/>
      <c r="BG2907" s="79"/>
      <c r="BH2907" s="99"/>
    </row>
    <row r="2908" spans="51:60" x14ac:dyDescent="0.2">
      <c r="AY2908" s="79"/>
      <c r="AZ2908" s="85"/>
      <c r="BA2908" s="40"/>
      <c r="BB2908" s="99"/>
      <c r="BC2908" s="85"/>
      <c r="BG2908" s="79"/>
      <c r="BH2908" s="99"/>
    </row>
    <row r="2909" spans="51:60" x14ac:dyDescent="0.2">
      <c r="AY2909" s="79"/>
      <c r="AZ2909" s="85"/>
      <c r="BA2909" s="40"/>
      <c r="BB2909" s="99"/>
      <c r="BC2909" s="85"/>
      <c r="BG2909" s="79"/>
      <c r="BH2909" s="99"/>
    </row>
    <row r="2910" spans="51:60" x14ac:dyDescent="0.2">
      <c r="AY2910" s="79"/>
      <c r="AZ2910" s="85"/>
      <c r="BA2910" s="40"/>
      <c r="BB2910" s="99"/>
      <c r="BC2910" s="85"/>
      <c r="BG2910" s="79"/>
      <c r="BH2910" s="99"/>
    </row>
    <row r="2911" spans="51:60" x14ac:dyDescent="0.2">
      <c r="AY2911" s="79"/>
      <c r="AZ2911" s="85"/>
      <c r="BA2911" s="40"/>
      <c r="BB2911" s="99"/>
      <c r="BC2911" s="85"/>
      <c r="BG2911" s="79"/>
      <c r="BH2911" s="99"/>
    </row>
    <row r="2912" spans="51:60" x14ac:dyDescent="0.2">
      <c r="AY2912" s="79"/>
      <c r="AZ2912" s="85"/>
      <c r="BA2912" s="40"/>
      <c r="BB2912" s="99"/>
      <c r="BC2912" s="85"/>
      <c r="BG2912" s="79"/>
      <c r="BH2912" s="99"/>
    </row>
    <row r="2913" spans="51:60" x14ac:dyDescent="0.2">
      <c r="AY2913" s="79"/>
      <c r="AZ2913" s="85"/>
      <c r="BA2913" s="40"/>
      <c r="BB2913" s="99"/>
      <c r="BC2913" s="85"/>
      <c r="BG2913" s="79"/>
      <c r="BH2913" s="99"/>
    </row>
    <row r="2914" spans="51:60" x14ac:dyDescent="0.2">
      <c r="AY2914" s="79"/>
      <c r="AZ2914" s="85"/>
      <c r="BA2914" s="40"/>
      <c r="BB2914" s="99"/>
      <c r="BC2914" s="85"/>
      <c r="BG2914" s="79"/>
      <c r="BH2914" s="99"/>
    </row>
    <row r="2915" spans="51:60" x14ac:dyDescent="0.2">
      <c r="AY2915" s="79"/>
      <c r="AZ2915" s="85"/>
      <c r="BA2915" s="40"/>
      <c r="BB2915" s="99"/>
      <c r="BC2915" s="85"/>
      <c r="BG2915" s="79"/>
      <c r="BH2915" s="99"/>
    </row>
    <row r="2916" spans="51:60" x14ac:dyDescent="0.2">
      <c r="AY2916" s="79"/>
      <c r="AZ2916" s="85"/>
      <c r="BA2916" s="40"/>
      <c r="BB2916" s="99"/>
      <c r="BC2916" s="85"/>
      <c r="BG2916" s="79"/>
      <c r="BH2916" s="99"/>
    </row>
    <row r="2917" spans="51:60" x14ac:dyDescent="0.2">
      <c r="AY2917" s="79"/>
      <c r="AZ2917" s="85"/>
      <c r="BA2917" s="40"/>
      <c r="BB2917" s="99"/>
      <c r="BC2917" s="85"/>
      <c r="BG2917" s="79"/>
      <c r="BH2917" s="99"/>
    </row>
    <row r="2918" spans="51:60" x14ac:dyDescent="0.2">
      <c r="AY2918" s="79"/>
      <c r="AZ2918" s="85"/>
      <c r="BA2918" s="40"/>
      <c r="BB2918" s="99"/>
      <c r="BC2918" s="85"/>
      <c r="BG2918" s="79"/>
      <c r="BH2918" s="99"/>
    </row>
    <row r="2919" spans="51:60" x14ac:dyDescent="0.2">
      <c r="AY2919" s="79"/>
      <c r="AZ2919" s="85"/>
      <c r="BA2919" s="40"/>
      <c r="BB2919" s="99"/>
      <c r="BC2919" s="85"/>
      <c r="BG2919" s="79"/>
      <c r="BH2919" s="99"/>
    </row>
    <row r="2920" spans="51:60" x14ac:dyDescent="0.2">
      <c r="AY2920" s="79"/>
      <c r="AZ2920" s="85"/>
      <c r="BA2920" s="40"/>
      <c r="BB2920" s="99"/>
      <c r="BC2920" s="85"/>
      <c r="BG2920" s="79"/>
      <c r="BH2920" s="99"/>
    </row>
    <row r="2921" spans="51:60" x14ac:dyDescent="0.2">
      <c r="AY2921" s="79"/>
      <c r="AZ2921" s="85"/>
      <c r="BA2921" s="40"/>
      <c r="BB2921" s="99"/>
      <c r="BC2921" s="85"/>
      <c r="BG2921" s="79"/>
      <c r="BH2921" s="99"/>
    </row>
    <row r="2922" spans="51:60" x14ac:dyDescent="0.2">
      <c r="AY2922" s="79"/>
      <c r="AZ2922" s="85"/>
      <c r="BA2922" s="40"/>
      <c r="BB2922" s="99"/>
      <c r="BC2922" s="85"/>
      <c r="BG2922" s="79"/>
      <c r="BH2922" s="99"/>
    </row>
    <row r="2923" spans="51:60" x14ac:dyDescent="0.2">
      <c r="AY2923" s="79"/>
      <c r="AZ2923" s="85"/>
      <c r="BA2923" s="40"/>
      <c r="BB2923" s="99"/>
      <c r="BC2923" s="85"/>
      <c r="BG2923" s="79"/>
      <c r="BH2923" s="99"/>
    </row>
    <row r="2924" spans="51:60" x14ac:dyDescent="0.2">
      <c r="AY2924" s="79"/>
      <c r="AZ2924" s="85"/>
      <c r="BA2924" s="40"/>
      <c r="BB2924" s="99"/>
      <c r="BC2924" s="85"/>
      <c r="BG2924" s="79"/>
      <c r="BH2924" s="99"/>
    </row>
    <row r="2925" spans="51:60" x14ac:dyDescent="0.2">
      <c r="AY2925" s="79"/>
      <c r="AZ2925" s="85"/>
      <c r="BA2925" s="40"/>
      <c r="BB2925" s="99"/>
      <c r="BC2925" s="85"/>
      <c r="BG2925" s="79"/>
      <c r="BH2925" s="99"/>
    </row>
    <row r="2926" spans="51:60" x14ac:dyDescent="0.2">
      <c r="AY2926" s="79"/>
      <c r="AZ2926" s="85"/>
      <c r="BA2926" s="40"/>
      <c r="BB2926" s="99"/>
      <c r="BC2926" s="85"/>
      <c r="BG2926" s="79"/>
      <c r="BH2926" s="99"/>
    </row>
    <row r="2927" spans="51:60" x14ac:dyDescent="0.2">
      <c r="AY2927" s="79"/>
      <c r="AZ2927" s="85"/>
      <c r="BA2927" s="40"/>
      <c r="BB2927" s="99"/>
      <c r="BC2927" s="85"/>
      <c r="BG2927" s="79"/>
      <c r="BH2927" s="99"/>
    </row>
    <row r="2928" spans="51:60" x14ac:dyDescent="0.2">
      <c r="AY2928" s="79"/>
      <c r="AZ2928" s="85"/>
      <c r="BA2928" s="40"/>
      <c r="BB2928" s="99"/>
      <c r="BC2928" s="85"/>
      <c r="BG2928" s="79"/>
      <c r="BH2928" s="99"/>
    </row>
    <row r="2929" spans="51:60" x14ac:dyDescent="0.2">
      <c r="AY2929" s="79"/>
      <c r="AZ2929" s="85"/>
      <c r="BA2929" s="40"/>
      <c r="BB2929" s="99"/>
      <c r="BC2929" s="85"/>
      <c r="BG2929" s="79"/>
      <c r="BH2929" s="99"/>
    </row>
    <row r="2930" spans="51:60" x14ac:dyDescent="0.2">
      <c r="AY2930" s="79"/>
      <c r="AZ2930" s="85"/>
      <c r="BA2930" s="40"/>
      <c r="BB2930" s="99"/>
      <c r="BC2930" s="85"/>
      <c r="BG2930" s="79"/>
      <c r="BH2930" s="99"/>
    </row>
    <row r="2931" spans="51:60" x14ac:dyDescent="0.2">
      <c r="AY2931" s="79"/>
      <c r="AZ2931" s="85"/>
      <c r="BA2931" s="40"/>
      <c r="BB2931" s="99"/>
      <c r="BC2931" s="85"/>
      <c r="BG2931" s="79"/>
      <c r="BH2931" s="99"/>
    </row>
    <row r="2932" spans="51:60" x14ac:dyDescent="0.2">
      <c r="AY2932" s="79"/>
      <c r="AZ2932" s="85"/>
      <c r="BA2932" s="40"/>
      <c r="BB2932" s="99"/>
      <c r="BC2932" s="85"/>
      <c r="BG2932" s="79"/>
      <c r="BH2932" s="99"/>
    </row>
    <row r="2933" spans="51:60" x14ac:dyDescent="0.2">
      <c r="AY2933" s="79"/>
      <c r="AZ2933" s="85"/>
      <c r="BA2933" s="40"/>
      <c r="BB2933" s="99"/>
      <c r="BC2933" s="85"/>
      <c r="BG2933" s="79"/>
      <c r="BH2933" s="99"/>
    </row>
    <row r="2934" spans="51:60" x14ac:dyDescent="0.2">
      <c r="AY2934" s="79"/>
      <c r="AZ2934" s="85"/>
      <c r="BA2934" s="40"/>
      <c r="BB2934" s="99"/>
      <c r="BC2934" s="85"/>
      <c r="BG2934" s="79"/>
      <c r="BH2934" s="99"/>
    </row>
    <row r="2935" spans="51:60" x14ac:dyDescent="0.2">
      <c r="AY2935" s="79"/>
      <c r="AZ2935" s="85"/>
      <c r="BA2935" s="40"/>
      <c r="BB2935" s="99"/>
      <c r="BC2935" s="85"/>
      <c r="BG2935" s="79"/>
      <c r="BH2935" s="99"/>
    </row>
    <row r="2936" spans="51:60" x14ac:dyDescent="0.2">
      <c r="AY2936" s="79"/>
      <c r="AZ2936" s="85"/>
      <c r="BA2936" s="40"/>
      <c r="BB2936" s="99"/>
      <c r="BC2936" s="85"/>
      <c r="BG2936" s="79"/>
      <c r="BH2936" s="99"/>
    </row>
    <row r="2937" spans="51:60" x14ac:dyDescent="0.2">
      <c r="AY2937" s="79"/>
      <c r="AZ2937" s="85"/>
      <c r="BA2937" s="40"/>
      <c r="BB2937" s="99"/>
      <c r="BC2937" s="85"/>
      <c r="BG2937" s="79"/>
      <c r="BH2937" s="99"/>
    </row>
    <row r="2938" spans="51:60" x14ac:dyDescent="0.2">
      <c r="AY2938" s="79"/>
      <c r="AZ2938" s="85"/>
      <c r="BA2938" s="40"/>
      <c r="BB2938" s="99"/>
      <c r="BC2938" s="85"/>
      <c r="BG2938" s="79"/>
      <c r="BH2938" s="99"/>
    </row>
    <row r="2939" spans="51:60" x14ac:dyDescent="0.2">
      <c r="AY2939" s="79"/>
      <c r="AZ2939" s="85"/>
      <c r="BA2939" s="40"/>
      <c r="BB2939" s="99"/>
      <c r="BC2939" s="85"/>
      <c r="BG2939" s="79"/>
      <c r="BH2939" s="99"/>
    </row>
    <row r="2940" spans="51:60" x14ac:dyDescent="0.2">
      <c r="AY2940" s="79"/>
      <c r="AZ2940" s="85"/>
      <c r="BA2940" s="40"/>
      <c r="BB2940" s="99"/>
      <c r="BC2940" s="85"/>
      <c r="BG2940" s="79"/>
      <c r="BH2940" s="99"/>
    </row>
    <row r="2941" spans="51:60" x14ac:dyDescent="0.2">
      <c r="AY2941" s="79"/>
      <c r="AZ2941" s="85"/>
      <c r="BA2941" s="40"/>
      <c r="BB2941" s="99"/>
      <c r="BC2941" s="85"/>
      <c r="BG2941" s="79"/>
      <c r="BH2941" s="99"/>
    </row>
    <row r="2942" spans="51:60" x14ac:dyDescent="0.2">
      <c r="AY2942" s="79"/>
      <c r="AZ2942" s="85"/>
      <c r="BA2942" s="40"/>
      <c r="BB2942" s="99"/>
      <c r="BC2942" s="85"/>
      <c r="BG2942" s="79"/>
      <c r="BH2942" s="99"/>
    </row>
    <row r="2943" spans="51:60" x14ac:dyDescent="0.2">
      <c r="AY2943" s="79"/>
      <c r="AZ2943" s="85"/>
      <c r="BA2943" s="40"/>
      <c r="BB2943" s="99"/>
      <c r="BC2943" s="85"/>
      <c r="BG2943" s="79"/>
      <c r="BH2943" s="99"/>
    </row>
    <row r="2944" spans="51:60" x14ac:dyDescent="0.2">
      <c r="AY2944" s="79"/>
      <c r="AZ2944" s="85"/>
      <c r="BA2944" s="40"/>
      <c r="BB2944" s="99"/>
      <c r="BC2944" s="85"/>
      <c r="BG2944" s="79"/>
      <c r="BH2944" s="99"/>
    </row>
    <row r="2945" spans="51:60" x14ac:dyDescent="0.2">
      <c r="AY2945" s="79"/>
      <c r="AZ2945" s="85"/>
      <c r="BA2945" s="40"/>
      <c r="BB2945" s="99"/>
      <c r="BC2945" s="85"/>
      <c r="BG2945" s="79"/>
      <c r="BH2945" s="99"/>
    </row>
    <row r="2946" spans="51:60" x14ac:dyDescent="0.2">
      <c r="AY2946" s="79"/>
      <c r="AZ2946" s="85"/>
      <c r="BA2946" s="40"/>
      <c r="BB2946" s="99"/>
      <c r="BC2946" s="85"/>
      <c r="BG2946" s="79"/>
      <c r="BH2946" s="99"/>
    </row>
    <row r="2947" spans="51:60" x14ac:dyDescent="0.2">
      <c r="AY2947" s="79"/>
      <c r="AZ2947" s="85"/>
      <c r="BA2947" s="40"/>
      <c r="BB2947" s="99"/>
      <c r="BC2947" s="85"/>
      <c r="BG2947" s="79"/>
      <c r="BH2947" s="99"/>
    </row>
    <row r="2948" spans="51:60" x14ac:dyDescent="0.2">
      <c r="AY2948" s="79"/>
      <c r="AZ2948" s="85"/>
      <c r="BA2948" s="40"/>
      <c r="BB2948" s="99"/>
      <c r="BC2948" s="85"/>
      <c r="BG2948" s="79"/>
      <c r="BH2948" s="99"/>
    </row>
    <row r="2949" spans="51:60" x14ac:dyDescent="0.2">
      <c r="AY2949" s="79"/>
      <c r="AZ2949" s="85"/>
      <c r="BA2949" s="40"/>
      <c r="BB2949" s="99"/>
      <c r="BC2949" s="85"/>
      <c r="BG2949" s="79"/>
      <c r="BH2949" s="99"/>
    </row>
    <row r="2950" spans="51:60" x14ac:dyDescent="0.2">
      <c r="AY2950" s="79"/>
      <c r="AZ2950" s="85"/>
      <c r="BA2950" s="40"/>
      <c r="BB2950" s="99"/>
      <c r="BC2950" s="85"/>
      <c r="BG2950" s="79"/>
      <c r="BH2950" s="99"/>
    </row>
    <row r="2951" spans="51:60" x14ac:dyDescent="0.2">
      <c r="AY2951" s="79"/>
      <c r="AZ2951" s="85"/>
      <c r="BA2951" s="40"/>
      <c r="BB2951" s="99"/>
      <c r="BC2951" s="85"/>
      <c r="BG2951" s="79"/>
      <c r="BH2951" s="99"/>
    </row>
    <row r="2952" spans="51:60" x14ac:dyDescent="0.2">
      <c r="AY2952" s="79"/>
      <c r="AZ2952" s="85"/>
      <c r="BA2952" s="40"/>
      <c r="BB2952" s="99"/>
      <c r="BC2952" s="85"/>
      <c r="BG2952" s="79"/>
      <c r="BH2952" s="99"/>
    </row>
    <row r="2953" spans="51:60" x14ac:dyDescent="0.2">
      <c r="AY2953" s="79"/>
      <c r="AZ2953" s="85"/>
      <c r="BA2953" s="40"/>
      <c r="BB2953" s="99"/>
      <c r="BC2953" s="85"/>
      <c r="BG2953" s="79"/>
      <c r="BH2953" s="99"/>
    </row>
    <row r="2954" spans="51:60" x14ac:dyDescent="0.2">
      <c r="AY2954" s="79"/>
      <c r="AZ2954" s="85"/>
      <c r="BA2954" s="40"/>
      <c r="BB2954" s="99"/>
      <c r="BC2954" s="85"/>
      <c r="BG2954" s="79"/>
      <c r="BH2954" s="99"/>
    </row>
    <row r="2955" spans="51:60" x14ac:dyDescent="0.2">
      <c r="AY2955" s="79"/>
      <c r="AZ2955" s="85"/>
      <c r="BA2955" s="40"/>
      <c r="BB2955" s="99"/>
      <c r="BC2955" s="85"/>
      <c r="BG2955" s="79"/>
      <c r="BH2955" s="99"/>
    </row>
    <row r="2956" spans="51:60" x14ac:dyDescent="0.2">
      <c r="AY2956" s="79"/>
      <c r="AZ2956" s="85"/>
      <c r="BA2956" s="40"/>
      <c r="BB2956" s="99"/>
      <c r="BC2956" s="85"/>
      <c r="BG2956" s="79"/>
      <c r="BH2956" s="99"/>
    </row>
    <row r="2957" spans="51:60" x14ac:dyDescent="0.2">
      <c r="AY2957" s="79"/>
      <c r="AZ2957" s="85"/>
      <c r="BA2957" s="40"/>
      <c r="BB2957" s="99"/>
      <c r="BC2957" s="85"/>
      <c r="BG2957" s="79"/>
      <c r="BH2957" s="99"/>
    </row>
    <row r="2958" spans="51:60" x14ac:dyDescent="0.2">
      <c r="AY2958" s="79"/>
      <c r="AZ2958" s="85"/>
      <c r="BA2958" s="40"/>
      <c r="BB2958" s="99"/>
      <c r="BC2958" s="85"/>
      <c r="BG2958" s="79"/>
      <c r="BH2958" s="99"/>
    </row>
    <row r="2959" spans="51:60" x14ac:dyDescent="0.2">
      <c r="AY2959" s="79"/>
      <c r="AZ2959" s="85"/>
      <c r="BA2959" s="40"/>
      <c r="BB2959" s="99"/>
      <c r="BC2959" s="85"/>
      <c r="BG2959" s="79"/>
      <c r="BH2959" s="99"/>
    </row>
    <row r="2960" spans="51:60" x14ac:dyDescent="0.2">
      <c r="AY2960" s="79"/>
      <c r="AZ2960" s="85"/>
      <c r="BA2960" s="40"/>
      <c r="BB2960" s="99"/>
      <c r="BC2960" s="85"/>
      <c r="BG2960" s="79"/>
      <c r="BH2960" s="99"/>
    </row>
    <row r="2961" spans="51:60" x14ac:dyDescent="0.2">
      <c r="AY2961" s="79"/>
      <c r="AZ2961" s="85"/>
      <c r="BA2961" s="40"/>
      <c r="BB2961" s="99"/>
      <c r="BC2961" s="85"/>
      <c r="BG2961" s="79"/>
      <c r="BH2961" s="99"/>
    </row>
    <row r="2962" spans="51:60" x14ac:dyDescent="0.2">
      <c r="AY2962" s="79"/>
      <c r="AZ2962" s="85"/>
      <c r="BA2962" s="40"/>
      <c r="BB2962" s="99"/>
      <c r="BC2962" s="85"/>
      <c r="BG2962" s="79"/>
      <c r="BH2962" s="99"/>
    </row>
    <row r="2963" spans="51:60" x14ac:dyDescent="0.2">
      <c r="AY2963" s="79"/>
      <c r="AZ2963" s="85"/>
      <c r="BA2963" s="40"/>
      <c r="BB2963" s="99"/>
      <c r="BC2963" s="85"/>
      <c r="BG2963" s="79"/>
      <c r="BH2963" s="99"/>
    </row>
    <row r="2964" spans="51:60" x14ac:dyDescent="0.2">
      <c r="AY2964" s="79"/>
      <c r="AZ2964" s="85"/>
      <c r="BA2964" s="40"/>
      <c r="BB2964" s="99"/>
      <c r="BC2964" s="85"/>
      <c r="BG2964" s="79"/>
      <c r="BH2964" s="99"/>
    </row>
    <row r="2965" spans="51:60" x14ac:dyDescent="0.2">
      <c r="AY2965" s="79"/>
      <c r="AZ2965" s="85"/>
      <c r="BA2965" s="40"/>
      <c r="BB2965" s="99"/>
      <c r="BC2965" s="85"/>
      <c r="BG2965" s="79"/>
      <c r="BH2965" s="99"/>
    </row>
    <row r="2966" spans="51:60" x14ac:dyDescent="0.2">
      <c r="AY2966" s="79"/>
      <c r="AZ2966" s="85"/>
      <c r="BA2966" s="40"/>
      <c r="BB2966" s="99"/>
      <c r="BC2966" s="85"/>
      <c r="BG2966" s="79"/>
      <c r="BH2966" s="99"/>
    </row>
    <row r="2967" spans="51:60" x14ac:dyDescent="0.2">
      <c r="AY2967" s="79"/>
      <c r="AZ2967" s="85"/>
      <c r="BA2967" s="40"/>
      <c r="BB2967" s="99"/>
      <c r="BC2967" s="85"/>
      <c r="BG2967" s="79"/>
      <c r="BH2967" s="99"/>
    </row>
    <row r="2968" spans="51:60" x14ac:dyDescent="0.2">
      <c r="AY2968" s="79"/>
      <c r="AZ2968" s="85"/>
      <c r="BA2968" s="40"/>
      <c r="BB2968" s="99"/>
      <c r="BC2968" s="85"/>
      <c r="BG2968" s="79"/>
      <c r="BH2968" s="99"/>
    </row>
    <row r="2969" spans="51:60" x14ac:dyDescent="0.2">
      <c r="AY2969" s="79"/>
      <c r="AZ2969" s="85"/>
      <c r="BA2969" s="40"/>
      <c r="BB2969" s="99"/>
      <c r="BC2969" s="85"/>
      <c r="BG2969" s="79"/>
      <c r="BH2969" s="99"/>
    </row>
    <row r="2970" spans="51:60" x14ac:dyDescent="0.2">
      <c r="AY2970" s="79"/>
      <c r="AZ2970" s="85"/>
      <c r="BA2970" s="40"/>
      <c r="BB2970" s="99"/>
      <c r="BC2970" s="85"/>
      <c r="BG2970" s="79"/>
      <c r="BH2970" s="99"/>
    </row>
    <row r="2971" spans="51:60" x14ac:dyDescent="0.2">
      <c r="AY2971" s="79"/>
      <c r="AZ2971" s="85"/>
      <c r="BA2971" s="40"/>
      <c r="BB2971" s="99"/>
      <c r="BC2971" s="85"/>
      <c r="BG2971" s="79"/>
      <c r="BH2971" s="99"/>
    </row>
    <row r="2972" spans="51:60" x14ac:dyDescent="0.2">
      <c r="AY2972" s="79"/>
      <c r="AZ2972" s="85"/>
      <c r="BA2972" s="40"/>
      <c r="BB2972" s="99"/>
      <c r="BC2972" s="85"/>
      <c r="BG2972" s="79"/>
      <c r="BH2972" s="99"/>
    </row>
    <row r="2973" spans="51:60" x14ac:dyDescent="0.2">
      <c r="AY2973" s="79"/>
      <c r="AZ2973" s="85"/>
      <c r="BA2973" s="40"/>
      <c r="BB2973" s="99"/>
      <c r="BC2973" s="85"/>
      <c r="BG2973" s="79"/>
      <c r="BH2973" s="99"/>
    </row>
    <row r="2974" spans="51:60" x14ac:dyDescent="0.2">
      <c r="AY2974" s="79"/>
      <c r="AZ2974" s="85"/>
      <c r="BA2974" s="40"/>
      <c r="BB2974" s="99"/>
      <c r="BC2974" s="85"/>
      <c r="BG2974" s="79"/>
      <c r="BH2974" s="99"/>
    </row>
    <row r="2975" spans="51:60" x14ac:dyDescent="0.2">
      <c r="AY2975" s="79"/>
      <c r="AZ2975" s="85"/>
      <c r="BA2975" s="40"/>
      <c r="BB2975" s="99"/>
      <c r="BC2975" s="85"/>
      <c r="BG2975" s="79"/>
      <c r="BH2975" s="99"/>
    </row>
    <row r="2976" spans="51:60" x14ac:dyDescent="0.2">
      <c r="AY2976" s="79"/>
      <c r="AZ2976" s="85"/>
      <c r="BA2976" s="40"/>
      <c r="BB2976" s="99"/>
      <c r="BC2976" s="85"/>
      <c r="BG2976" s="79"/>
      <c r="BH2976" s="99"/>
    </row>
    <row r="2977" spans="51:60" x14ac:dyDescent="0.2">
      <c r="AY2977" s="79"/>
      <c r="AZ2977" s="85"/>
      <c r="BA2977" s="40"/>
      <c r="BB2977" s="99"/>
      <c r="BC2977" s="85"/>
      <c r="BG2977" s="79"/>
      <c r="BH2977" s="99"/>
    </row>
    <row r="2978" spans="51:60" x14ac:dyDescent="0.2">
      <c r="AY2978" s="79"/>
      <c r="AZ2978" s="85"/>
      <c r="BA2978" s="40"/>
      <c r="BB2978" s="99"/>
      <c r="BC2978" s="85"/>
      <c r="BG2978" s="79"/>
      <c r="BH2978" s="99"/>
    </row>
    <row r="2979" spans="51:60" x14ac:dyDescent="0.2">
      <c r="AY2979" s="79"/>
      <c r="AZ2979" s="85"/>
      <c r="BA2979" s="40"/>
      <c r="BB2979" s="99"/>
      <c r="BC2979" s="85"/>
      <c r="BG2979" s="79"/>
      <c r="BH2979" s="99"/>
    </row>
    <row r="2980" spans="51:60" x14ac:dyDescent="0.2">
      <c r="AY2980" s="79"/>
      <c r="AZ2980" s="85"/>
      <c r="BA2980" s="40"/>
      <c r="BB2980" s="99"/>
      <c r="BC2980" s="85"/>
      <c r="BG2980" s="79"/>
      <c r="BH2980" s="99"/>
    </row>
    <row r="2981" spans="51:60" x14ac:dyDescent="0.2">
      <c r="AY2981" s="79"/>
      <c r="AZ2981" s="85"/>
      <c r="BA2981" s="40"/>
      <c r="BB2981" s="99"/>
      <c r="BC2981" s="85"/>
      <c r="BG2981" s="79"/>
      <c r="BH2981" s="99"/>
    </row>
    <row r="2982" spans="51:60" x14ac:dyDescent="0.2">
      <c r="AY2982" s="79"/>
      <c r="AZ2982" s="85"/>
      <c r="BA2982" s="40"/>
      <c r="BB2982" s="99"/>
      <c r="BC2982" s="85"/>
      <c r="BG2982" s="79"/>
      <c r="BH2982" s="99"/>
    </row>
    <row r="2983" spans="51:60" x14ac:dyDescent="0.2">
      <c r="AY2983" s="79"/>
      <c r="AZ2983" s="85"/>
      <c r="BA2983" s="40"/>
      <c r="BB2983" s="99"/>
      <c r="BC2983" s="85"/>
      <c r="BG2983" s="79"/>
      <c r="BH2983" s="99"/>
    </row>
    <row r="2984" spans="51:60" x14ac:dyDescent="0.2">
      <c r="AY2984" s="79"/>
      <c r="AZ2984" s="85"/>
      <c r="BA2984" s="40"/>
      <c r="BB2984" s="99"/>
      <c r="BC2984" s="85"/>
      <c r="BG2984" s="79"/>
      <c r="BH2984" s="99"/>
    </row>
    <row r="2985" spans="51:60" x14ac:dyDescent="0.2">
      <c r="AY2985" s="79"/>
      <c r="AZ2985" s="85"/>
      <c r="BA2985" s="40"/>
      <c r="BB2985" s="99"/>
      <c r="BC2985" s="85"/>
      <c r="BG2985" s="79"/>
      <c r="BH2985" s="99"/>
    </row>
    <row r="2986" spans="51:60" x14ac:dyDescent="0.2">
      <c r="AY2986" s="79"/>
      <c r="AZ2986" s="85"/>
      <c r="BA2986" s="40"/>
      <c r="BB2986" s="99"/>
      <c r="BC2986" s="85"/>
      <c r="BG2986" s="79"/>
      <c r="BH2986" s="99"/>
    </row>
    <row r="2987" spans="51:60" x14ac:dyDescent="0.2">
      <c r="AY2987" s="79"/>
      <c r="AZ2987" s="85"/>
      <c r="BA2987" s="40"/>
      <c r="BB2987" s="99"/>
      <c r="BC2987" s="85"/>
      <c r="BG2987" s="79"/>
      <c r="BH2987" s="99"/>
    </row>
    <row r="2988" spans="51:60" x14ac:dyDescent="0.2">
      <c r="AY2988" s="79"/>
      <c r="AZ2988" s="85"/>
      <c r="BA2988" s="40"/>
      <c r="BB2988" s="99"/>
      <c r="BC2988" s="85"/>
      <c r="BG2988" s="79"/>
      <c r="BH2988" s="99"/>
    </row>
    <row r="2989" spans="51:60" x14ac:dyDescent="0.2">
      <c r="AY2989" s="79"/>
      <c r="AZ2989" s="85"/>
      <c r="BA2989" s="40"/>
      <c r="BB2989" s="99"/>
      <c r="BC2989" s="85"/>
      <c r="BG2989" s="79"/>
      <c r="BH2989" s="99"/>
    </row>
    <row r="2990" spans="51:60" x14ac:dyDescent="0.2">
      <c r="AY2990" s="79"/>
      <c r="AZ2990" s="85"/>
      <c r="BA2990" s="40"/>
      <c r="BB2990" s="99"/>
      <c r="BC2990" s="85"/>
      <c r="BG2990" s="79"/>
      <c r="BH2990" s="99"/>
    </row>
    <row r="2991" spans="51:60" x14ac:dyDescent="0.2">
      <c r="AY2991" s="79"/>
      <c r="AZ2991" s="85"/>
      <c r="BA2991" s="40"/>
      <c r="BB2991" s="99"/>
      <c r="BC2991" s="85"/>
      <c r="BG2991" s="79"/>
      <c r="BH2991" s="99"/>
    </row>
    <row r="2992" spans="51:60" x14ac:dyDescent="0.2">
      <c r="AY2992" s="79"/>
      <c r="AZ2992" s="85"/>
      <c r="BA2992" s="40"/>
      <c r="BB2992" s="99"/>
      <c r="BC2992" s="85"/>
      <c r="BG2992" s="79"/>
      <c r="BH2992" s="99"/>
    </row>
    <row r="2993" spans="51:60" x14ac:dyDescent="0.2">
      <c r="AY2993" s="79"/>
      <c r="AZ2993" s="85"/>
      <c r="BA2993" s="40"/>
      <c r="BB2993" s="99"/>
      <c r="BC2993" s="85"/>
      <c r="BG2993" s="79"/>
      <c r="BH2993" s="99"/>
    </row>
    <row r="2994" spans="51:60" x14ac:dyDescent="0.2">
      <c r="AY2994" s="79"/>
      <c r="AZ2994" s="85"/>
      <c r="BA2994" s="40"/>
      <c r="BB2994" s="99"/>
      <c r="BC2994" s="85"/>
      <c r="BG2994" s="79"/>
      <c r="BH2994" s="99"/>
    </row>
    <row r="2995" spans="51:60" x14ac:dyDescent="0.2">
      <c r="AY2995" s="79"/>
      <c r="AZ2995" s="85"/>
      <c r="BA2995" s="40"/>
      <c r="BB2995" s="99"/>
      <c r="BC2995" s="85"/>
      <c r="BG2995" s="79"/>
      <c r="BH2995" s="99"/>
    </row>
    <row r="2996" spans="51:60" x14ac:dyDescent="0.2">
      <c r="AY2996" s="79"/>
      <c r="AZ2996" s="85"/>
      <c r="BA2996" s="40"/>
      <c r="BB2996" s="99"/>
      <c r="BC2996" s="85"/>
      <c r="BG2996" s="79"/>
      <c r="BH2996" s="99"/>
    </row>
    <row r="2997" spans="51:60" x14ac:dyDescent="0.2">
      <c r="AY2997" s="79"/>
      <c r="AZ2997" s="85"/>
      <c r="BA2997" s="40"/>
      <c r="BB2997" s="99"/>
      <c r="BC2997" s="85"/>
      <c r="BG2997" s="79"/>
      <c r="BH2997" s="99"/>
    </row>
    <row r="2998" spans="51:60" x14ac:dyDescent="0.2">
      <c r="AY2998" s="79"/>
      <c r="AZ2998" s="85"/>
      <c r="BA2998" s="40"/>
      <c r="BB2998" s="99"/>
      <c r="BC2998" s="85"/>
      <c r="BG2998" s="79"/>
      <c r="BH2998" s="99"/>
    </row>
    <row r="2999" spans="51:60" x14ac:dyDescent="0.2">
      <c r="AY2999" s="79"/>
      <c r="AZ2999" s="85"/>
      <c r="BA2999" s="40"/>
      <c r="BB2999" s="99"/>
      <c r="BC2999" s="85"/>
      <c r="BG2999" s="79"/>
      <c r="BH2999" s="99"/>
    </row>
    <row r="3000" spans="51:60" x14ac:dyDescent="0.2">
      <c r="AY3000" s="79"/>
      <c r="AZ3000" s="85"/>
      <c r="BA3000" s="40"/>
      <c r="BB3000" s="99"/>
      <c r="BC3000" s="85"/>
      <c r="BG3000" s="79"/>
      <c r="BH3000" s="99"/>
    </row>
    <row r="3001" spans="51:60" x14ac:dyDescent="0.2">
      <c r="AY3001" s="79"/>
      <c r="AZ3001" s="85"/>
      <c r="BA3001" s="40"/>
      <c r="BB3001" s="99"/>
      <c r="BC3001" s="85"/>
      <c r="BG3001" s="79"/>
      <c r="BH3001" s="99"/>
    </row>
    <row r="3002" spans="51:60" x14ac:dyDescent="0.2">
      <c r="AY3002" s="79"/>
      <c r="AZ3002" s="85"/>
      <c r="BA3002" s="40"/>
      <c r="BB3002" s="99"/>
      <c r="BC3002" s="85"/>
      <c r="BG3002" s="79"/>
      <c r="BH3002" s="99"/>
    </row>
    <row r="3003" spans="51:60" x14ac:dyDescent="0.2">
      <c r="AY3003" s="79"/>
      <c r="AZ3003" s="85"/>
      <c r="BA3003" s="40"/>
      <c r="BB3003" s="99"/>
      <c r="BC3003" s="85"/>
      <c r="BG3003" s="79"/>
      <c r="BH3003" s="99"/>
    </row>
    <row r="3004" spans="51:60" x14ac:dyDescent="0.2">
      <c r="AY3004" s="79"/>
      <c r="AZ3004" s="85"/>
      <c r="BA3004" s="40"/>
      <c r="BB3004" s="99"/>
      <c r="BC3004" s="85"/>
      <c r="BG3004" s="79"/>
      <c r="BH3004" s="99"/>
    </row>
    <row r="3005" spans="51:60" x14ac:dyDescent="0.2">
      <c r="AY3005" s="79"/>
      <c r="AZ3005" s="85"/>
      <c r="BA3005" s="40"/>
      <c r="BB3005" s="99"/>
      <c r="BC3005" s="85"/>
      <c r="BG3005" s="79"/>
      <c r="BH3005" s="99"/>
    </row>
    <row r="3006" spans="51:60" x14ac:dyDescent="0.2">
      <c r="AY3006" s="79"/>
      <c r="AZ3006" s="85"/>
      <c r="BA3006" s="40"/>
      <c r="BB3006" s="99"/>
      <c r="BC3006" s="85"/>
      <c r="BG3006" s="79"/>
      <c r="BH3006" s="99"/>
    </row>
    <row r="3007" spans="51:60" x14ac:dyDescent="0.2">
      <c r="AY3007" s="79"/>
      <c r="AZ3007" s="85"/>
      <c r="BA3007" s="40"/>
      <c r="BB3007" s="99"/>
      <c r="BC3007" s="85"/>
      <c r="BG3007" s="79"/>
      <c r="BH3007" s="99"/>
    </row>
    <row r="3008" spans="51:60" x14ac:dyDescent="0.2">
      <c r="AY3008" s="79"/>
      <c r="AZ3008" s="85"/>
      <c r="BA3008" s="40"/>
      <c r="BB3008" s="99"/>
      <c r="BC3008" s="85"/>
      <c r="BG3008" s="79"/>
      <c r="BH3008" s="99"/>
    </row>
    <row r="3009" spans="51:60" x14ac:dyDescent="0.2">
      <c r="AY3009" s="79"/>
      <c r="AZ3009" s="85"/>
      <c r="BA3009" s="40"/>
      <c r="BB3009" s="99"/>
      <c r="BC3009" s="85"/>
      <c r="BG3009" s="79"/>
      <c r="BH3009" s="99"/>
    </row>
    <row r="3010" spans="51:60" x14ac:dyDescent="0.2">
      <c r="AY3010" s="79"/>
      <c r="AZ3010" s="85"/>
      <c r="BA3010" s="40"/>
      <c r="BB3010" s="99"/>
      <c r="BC3010" s="85"/>
      <c r="BG3010" s="79"/>
      <c r="BH3010" s="99"/>
    </row>
    <row r="3011" spans="51:60" x14ac:dyDescent="0.2">
      <c r="AY3011" s="79"/>
      <c r="AZ3011" s="85"/>
      <c r="BA3011" s="40"/>
      <c r="BB3011" s="99"/>
      <c r="BC3011" s="85"/>
      <c r="BG3011" s="79"/>
      <c r="BH3011" s="99"/>
    </row>
    <row r="3012" spans="51:60" x14ac:dyDescent="0.2">
      <c r="AY3012" s="79"/>
      <c r="AZ3012" s="85"/>
      <c r="BA3012" s="40"/>
      <c r="BB3012" s="99"/>
      <c r="BC3012" s="85"/>
      <c r="BG3012" s="79"/>
      <c r="BH3012" s="99"/>
    </row>
    <row r="3013" spans="51:60" x14ac:dyDescent="0.2">
      <c r="AY3013" s="79"/>
      <c r="AZ3013" s="85"/>
      <c r="BA3013" s="40"/>
      <c r="BB3013" s="99"/>
      <c r="BC3013" s="85"/>
      <c r="BG3013" s="79"/>
      <c r="BH3013" s="99"/>
    </row>
    <row r="3014" spans="51:60" x14ac:dyDescent="0.2">
      <c r="AY3014" s="79"/>
      <c r="AZ3014" s="85"/>
      <c r="BA3014" s="40"/>
      <c r="BB3014" s="99"/>
      <c r="BC3014" s="85"/>
      <c r="BG3014" s="79"/>
      <c r="BH3014" s="99"/>
    </row>
    <row r="3015" spans="51:60" x14ac:dyDescent="0.2">
      <c r="AY3015" s="79"/>
      <c r="AZ3015" s="85"/>
      <c r="BA3015" s="40"/>
      <c r="BB3015" s="99"/>
      <c r="BC3015" s="85"/>
      <c r="BG3015" s="79"/>
      <c r="BH3015" s="99"/>
    </row>
    <row r="3016" spans="51:60" x14ac:dyDescent="0.2">
      <c r="AY3016" s="79"/>
      <c r="AZ3016" s="85"/>
      <c r="BA3016" s="40"/>
      <c r="BB3016" s="99"/>
      <c r="BC3016" s="85"/>
      <c r="BG3016" s="79"/>
      <c r="BH3016" s="99"/>
    </row>
    <row r="3017" spans="51:60" x14ac:dyDescent="0.2">
      <c r="AY3017" s="79"/>
      <c r="AZ3017" s="85"/>
      <c r="BA3017" s="40"/>
      <c r="BB3017" s="99"/>
      <c r="BC3017" s="85"/>
      <c r="BG3017" s="79"/>
      <c r="BH3017" s="99"/>
    </row>
    <row r="3018" spans="51:60" x14ac:dyDescent="0.2">
      <c r="AY3018" s="79"/>
      <c r="AZ3018" s="85"/>
      <c r="BA3018" s="40"/>
      <c r="BB3018" s="99"/>
      <c r="BC3018" s="85"/>
      <c r="BG3018" s="79"/>
      <c r="BH3018" s="99"/>
    </row>
    <row r="3019" spans="51:60" x14ac:dyDescent="0.2">
      <c r="AY3019" s="79"/>
      <c r="AZ3019" s="85"/>
      <c r="BA3019" s="40"/>
      <c r="BB3019" s="99"/>
      <c r="BC3019" s="85"/>
      <c r="BG3019" s="79"/>
      <c r="BH3019" s="99"/>
    </row>
    <row r="3020" spans="51:60" x14ac:dyDescent="0.2">
      <c r="AY3020" s="79"/>
      <c r="AZ3020" s="85"/>
      <c r="BA3020" s="40"/>
      <c r="BB3020" s="99"/>
      <c r="BC3020" s="85"/>
      <c r="BG3020" s="79"/>
      <c r="BH3020" s="99"/>
    </row>
    <row r="3021" spans="51:60" x14ac:dyDescent="0.2">
      <c r="AY3021" s="79"/>
      <c r="AZ3021" s="85"/>
      <c r="BA3021" s="40"/>
      <c r="BB3021" s="99"/>
      <c r="BC3021" s="85"/>
      <c r="BG3021" s="79"/>
      <c r="BH3021" s="99"/>
    </row>
    <row r="3022" spans="51:60" x14ac:dyDescent="0.2">
      <c r="AY3022" s="79"/>
      <c r="AZ3022" s="85"/>
      <c r="BA3022" s="40"/>
      <c r="BB3022" s="99"/>
      <c r="BC3022" s="85"/>
      <c r="BG3022" s="79"/>
      <c r="BH3022" s="99"/>
    </row>
    <row r="3023" spans="51:60" x14ac:dyDescent="0.2">
      <c r="AY3023" s="79"/>
      <c r="AZ3023" s="85"/>
      <c r="BA3023" s="40"/>
      <c r="BB3023" s="99"/>
      <c r="BC3023" s="85"/>
      <c r="BG3023" s="79"/>
      <c r="BH3023" s="99"/>
    </row>
    <row r="3024" spans="51:60" x14ac:dyDescent="0.2">
      <c r="AY3024" s="79"/>
      <c r="AZ3024" s="85"/>
      <c r="BA3024" s="40"/>
      <c r="BB3024" s="99"/>
      <c r="BC3024" s="85"/>
      <c r="BG3024" s="79"/>
      <c r="BH3024" s="99"/>
    </row>
    <row r="3025" spans="51:60" x14ac:dyDescent="0.2">
      <c r="AY3025" s="79"/>
      <c r="AZ3025" s="85"/>
      <c r="BA3025" s="40"/>
      <c r="BB3025" s="99"/>
      <c r="BC3025" s="85"/>
      <c r="BG3025" s="79"/>
      <c r="BH3025" s="99"/>
    </row>
    <row r="3026" spans="51:60" x14ac:dyDescent="0.2">
      <c r="AY3026" s="79"/>
      <c r="AZ3026" s="85"/>
      <c r="BA3026" s="40"/>
      <c r="BB3026" s="99"/>
      <c r="BC3026" s="85"/>
      <c r="BG3026" s="79"/>
      <c r="BH3026" s="99"/>
    </row>
    <row r="3027" spans="51:60" x14ac:dyDescent="0.2">
      <c r="AY3027" s="79"/>
      <c r="AZ3027" s="85"/>
      <c r="BA3027" s="40"/>
      <c r="BB3027" s="99"/>
      <c r="BC3027" s="85"/>
      <c r="BG3027" s="79"/>
      <c r="BH3027" s="99"/>
    </row>
    <row r="3028" spans="51:60" x14ac:dyDescent="0.2">
      <c r="AY3028" s="79"/>
      <c r="AZ3028" s="85"/>
      <c r="BA3028" s="40"/>
      <c r="BB3028" s="99"/>
      <c r="BC3028" s="85"/>
      <c r="BG3028" s="79"/>
      <c r="BH3028" s="99"/>
    </row>
    <row r="3029" spans="51:60" x14ac:dyDescent="0.2">
      <c r="AY3029" s="79"/>
      <c r="AZ3029" s="85"/>
      <c r="BA3029" s="40"/>
      <c r="BB3029" s="99"/>
      <c r="BC3029" s="85"/>
      <c r="BG3029" s="79"/>
      <c r="BH3029" s="99"/>
    </row>
    <row r="3030" spans="51:60" x14ac:dyDescent="0.2">
      <c r="AY3030" s="79"/>
      <c r="AZ3030" s="85"/>
      <c r="BA3030" s="40"/>
      <c r="BB3030" s="99"/>
      <c r="BC3030" s="85"/>
      <c r="BG3030" s="79"/>
      <c r="BH3030" s="99"/>
    </row>
    <row r="3031" spans="51:60" x14ac:dyDescent="0.2">
      <c r="AY3031" s="79"/>
      <c r="AZ3031" s="85"/>
      <c r="BA3031" s="40"/>
      <c r="BB3031" s="99"/>
      <c r="BC3031" s="85"/>
      <c r="BG3031" s="79"/>
      <c r="BH3031" s="99"/>
    </row>
    <row r="3032" spans="51:60" x14ac:dyDescent="0.2">
      <c r="AY3032" s="79"/>
      <c r="AZ3032" s="85"/>
      <c r="BA3032" s="40"/>
      <c r="BB3032" s="99"/>
      <c r="BC3032" s="85"/>
      <c r="BG3032" s="79"/>
      <c r="BH3032" s="99"/>
    </row>
    <row r="3033" spans="51:60" x14ac:dyDescent="0.2">
      <c r="AY3033" s="79"/>
      <c r="AZ3033" s="85"/>
      <c r="BA3033" s="40"/>
      <c r="BB3033" s="99"/>
      <c r="BC3033" s="85"/>
      <c r="BG3033" s="79"/>
      <c r="BH3033" s="99"/>
    </row>
    <row r="3034" spans="51:60" x14ac:dyDescent="0.2">
      <c r="AY3034" s="79"/>
      <c r="AZ3034" s="85"/>
      <c r="BA3034" s="40"/>
      <c r="BB3034" s="99"/>
      <c r="BC3034" s="85"/>
      <c r="BG3034" s="79"/>
      <c r="BH3034" s="99"/>
    </row>
    <row r="3035" spans="51:60" x14ac:dyDescent="0.2">
      <c r="AY3035" s="79"/>
      <c r="AZ3035" s="85"/>
      <c r="BA3035" s="40"/>
      <c r="BB3035" s="99"/>
      <c r="BC3035" s="85"/>
      <c r="BG3035" s="79"/>
      <c r="BH3035" s="99"/>
    </row>
    <row r="3036" spans="51:60" x14ac:dyDescent="0.2">
      <c r="AY3036" s="79"/>
      <c r="AZ3036" s="85"/>
      <c r="BA3036" s="40"/>
      <c r="BB3036" s="99"/>
      <c r="BC3036" s="85"/>
      <c r="BG3036" s="79"/>
      <c r="BH3036" s="99"/>
    </row>
    <row r="3037" spans="51:60" x14ac:dyDescent="0.2">
      <c r="AY3037" s="79"/>
      <c r="AZ3037" s="85"/>
      <c r="BA3037" s="40"/>
      <c r="BB3037" s="99"/>
      <c r="BC3037" s="85"/>
      <c r="BG3037" s="79"/>
      <c r="BH3037" s="99"/>
    </row>
    <row r="3038" spans="51:60" x14ac:dyDescent="0.2">
      <c r="AY3038" s="79"/>
      <c r="AZ3038" s="85"/>
      <c r="BA3038" s="40"/>
      <c r="BB3038" s="99"/>
      <c r="BC3038" s="85"/>
      <c r="BG3038" s="79"/>
      <c r="BH3038" s="99"/>
    </row>
    <row r="3039" spans="51:60" x14ac:dyDescent="0.2">
      <c r="AY3039" s="79"/>
      <c r="AZ3039" s="85"/>
      <c r="BA3039" s="40"/>
      <c r="BB3039" s="99"/>
      <c r="BC3039" s="85"/>
      <c r="BG3039" s="79"/>
      <c r="BH3039" s="99"/>
    </row>
    <row r="3040" spans="51:60" x14ac:dyDescent="0.2">
      <c r="AY3040" s="79"/>
      <c r="AZ3040" s="85"/>
      <c r="BA3040" s="40"/>
      <c r="BB3040" s="99"/>
      <c r="BC3040" s="85"/>
      <c r="BG3040" s="79"/>
      <c r="BH3040" s="99"/>
    </row>
    <row r="3041" spans="51:60" x14ac:dyDescent="0.2">
      <c r="AY3041" s="79"/>
      <c r="AZ3041" s="85"/>
      <c r="BA3041" s="40"/>
      <c r="BB3041" s="99"/>
      <c r="BC3041" s="85"/>
      <c r="BG3041" s="79"/>
      <c r="BH3041" s="99"/>
    </row>
    <row r="3042" spans="51:60" x14ac:dyDescent="0.2">
      <c r="AY3042" s="79"/>
      <c r="AZ3042" s="85"/>
      <c r="BA3042" s="40"/>
      <c r="BB3042" s="99"/>
      <c r="BC3042" s="85"/>
      <c r="BG3042" s="79"/>
      <c r="BH3042" s="99"/>
    </row>
    <row r="3043" spans="51:60" x14ac:dyDescent="0.2">
      <c r="AY3043" s="79"/>
      <c r="AZ3043" s="85"/>
      <c r="BA3043" s="40"/>
      <c r="BB3043" s="99"/>
      <c r="BC3043" s="85"/>
      <c r="BG3043" s="79"/>
      <c r="BH3043" s="99"/>
    </row>
    <row r="3044" spans="51:60" x14ac:dyDescent="0.2">
      <c r="AY3044" s="79"/>
      <c r="AZ3044" s="85"/>
      <c r="BA3044" s="40"/>
      <c r="BB3044" s="99"/>
      <c r="BC3044" s="85"/>
      <c r="BG3044" s="79"/>
      <c r="BH3044" s="99"/>
    </row>
    <row r="3045" spans="51:60" x14ac:dyDescent="0.2">
      <c r="AY3045" s="79"/>
      <c r="AZ3045" s="85"/>
      <c r="BA3045" s="40"/>
      <c r="BB3045" s="99"/>
      <c r="BC3045" s="85"/>
      <c r="BG3045" s="79"/>
      <c r="BH3045" s="99"/>
    </row>
    <row r="3046" spans="51:60" x14ac:dyDescent="0.2">
      <c r="AY3046" s="79"/>
      <c r="AZ3046" s="85"/>
      <c r="BA3046" s="40"/>
      <c r="BB3046" s="99"/>
      <c r="BC3046" s="85"/>
      <c r="BG3046" s="79"/>
      <c r="BH3046" s="99"/>
    </row>
    <row r="3047" spans="51:60" x14ac:dyDescent="0.2">
      <c r="AY3047" s="79"/>
      <c r="AZ3047" s="85"/>
      <c r="BA3047" s="40"/>
      <c r="BB3047" s="99"/>
      <c r="BC3047" s="85"/>
      <c r="BG3047" s="79"/>
      <c r="BH3047" s="99"/>
    </row>
    <row r="3048" spans="51:60" x14ac:dyDescent="0.2">
      <c r="AY3048" s="79"/>
      <c r="AZ3048" s="85"/>
      <c r="BA3048" s="40"/>
      <c r="BB3048" s="99"/>
      <c r="BC3048" s="85"/>
      <c r="BG3048" s="79"/>
      <c r="BH3048" s="99"/>
    </row>
    <row r="3049" spans="51:60" x14ac:dyDescent="0.2">
      <c r="AY3049" s="79"/>
      <c r="AZ3049" s="85"/>
      <c r="BA3049" s="40"/>
      <c r="BB3049" s="99"/>
      <c r="BC3049" s="85"/>
      <c r="BG3049" s="79"/>
      <c r="BH3049" s="99"/>
    </row>
    <row r="3050" spans="51:60" x14ac:dyDescent="0.2">
      <c r="AY3050" s="79"/>
      <c r="AZ3050" s="85"/>
      <c r="BA3050" s="40"/>
      <c r="BB3050" s="99"/>
      <c r="BC3050" s="85"/>
      <c r="BG3050" s="79"/>
      <c r="BH3050" s="99"/>
    </row>
    <row r="3051" spans="51:60" x14ac:dyDescent="0.2">
      <c r="AY3051" s="79"/>
      <c r="AZ3051" s="85"/>
      <c r="BA3051" s="40"/>
      <c r="BB3051" s="99"/>
      <c r="BC3051" s="85"/>
      <c r="BG3051" s="79"/>
      <c r="BH3051" s="99"/>
    </row>
    <row r="3052" spans="51:60" x14ac:dyDescent="0.2">
      <c r="AY3052" s="79"/>
      <c r="AZ3052" s="85"/>
      <c r="BA3052" s="40"/>
      <c r="BB3052" s="99"/>
      <c r="BC3052" s="85"/>
      <c r="BG3052" s="79"/>
      <c r="BH3052" s="99"/>
    </row>
    <row r="3053" spans="51:60" x14ac:dyDescent="0.2">
      <c r="AY3053" s="79"/>
      <c r="AZ3053" s="85"/>
      <c r="BA3053" s="40"/>
      <c r="BB3053" s="99"/>
      <c r="BC3053" s="85"/>
      <c r="BG3053" s="79"/>
      <c r="BH3053" s="99"/>
    </row>
    <row r="3054" spans="51:60" x14ac:dyDescent="0.2">
      <c r="AY3054" s="79"/>
      <c r="AZ3054" s="85"/>
      <c r="BA3054" s="40"/>
      <c r="BB3054" s="99"/>
      <c r="BC3054" s="85"/>
      <c r="BG3054" s="79"/>
      <c r="BH3054" s="99"/>
    </row>
    <row r="3055" spans="51:60" x14ac:dyDescent="0.2">
      <c r="AY3055" s="79"/>
      <c r="AZ3055" s="85"/>
      <c r="BA3055" s="40"/>
      <c r="BB3055" s="99"/>
      <c r="BC3055" s="85"/>
      <c r="BG3055" s="79"/>
      <c r="BH3055" s="99"/>
    </row>
    <row r="3056" spans="51:60" x14ac:dyDescent="0.2">
      <c r="AY3056" s="79"/>
      <c r="AZ3056" s="85"/>
      <c r="BA3056" s="40"/>
      <c r="BB3056" s="99"/>
      <c r="BC3056" s="85"/>
      <c r="BG3056" s="79"/>
      <c r="BH3056" s="99"/>
    </row>
    <row r="3057" spans="51:60" x14ac:dyDescent="0.2">
      <c r="AY3057" s="79"/>
      <c r="AZ3057" s="85"/>
      <c r="BA3057" s="40"/>
      <c r="BB3057" s="99"/>
      <c r="BC3057" s="85"/>
      <c r="BG3057" s="79"/>
      <c r="BH3057" s="99"/>
    </row>
    <row r="3058" spans="51:60" x14ac:dyDescent="0.2">
      <c r="AY3058" s="79"/>
      <c r="AZ3058" s="85"/>
      <c r="BA3058" s="40"/>
      <c r="BB3058" s="99"/>
      <c r="BC3058" s="85"/>
      <c r="BG3058" s="79"/>
      <c r="BH3058" s="99"/>
    </row>
    <row r="3059" spans="51:60" x14ac:dyDescent="0.2">
      <c r="AY3059" s="79"/>
      <c r="AZ3059" s="85"/>
      <c r="BA3059" s="40"/>
      <c r="BB3059" s="99"/>
      <c r="BC3059" s="85"/>
      <c r="BG3059" s="79"/>
      <c r="BH3059" s="99"/>
    </row>
    <row r="3060" spans="51:60" x14ac:dyDescent="0.2">
      <c r="AY3060" s="79"/>
      <c r="AZ3060" s="85"/>
      <c r="BA3060" s="40"/>
      <c r="BB3060" s="99"/>
      <c r="BC3060" s="85"/>
      <c r="BG3060" s="79"/>
      <c r="BH3060" s="99"/>
    </row>
    <row r="3061" spans="51:60" x14ac:dyDescent="0.2">
      <c r="AY3061" s="79"/>
      <c r="AZ3061" s="85"/>
      <c r="BA3061" s="40"/>
      <c r="BB3061" s="99"/>
      <c r="BC3061" s="85"/>
      <c r="BG3061" s="79"/>
      <c r="BH3061" s="99"/>
    </row>
    <row r="3062" spans="51:60" x14ac:dyDescent="0.2">
      <c r="AY3062" s="79"/>
      <c r="AZ3062" s="85"/>
      <c r="BA3062" s="40"/>
      <c r="BB3062" s="99"/>
      <c r="BC3062" s="85"/>
      <c r="BG3062" s="79"/>
      <c r="BH3062" s="99"/>
    </row>
    <row r="3063" spans="51:60" x14ac:dyDescent="0.2">
      <c r="AY3063" s="79"/>
      <c r="AZ3063" s="85"/>
      <c r="BA3063" s="40"/>
      <c r="BB3063" s="99"/>
      <c r="BC3063" s="85"/>
      <c r="BG3063" s="79"/>
      <c r="BH3063" s="99"/>
    </row>
    <row r="3064" spans="51:60" x14ac:dyDescent="0.2">
      <c r="AY3064" s="79"/>
      <c r="AZ3064" s="85"/>
      <c r="BA3064" s="40"/>
      <c r="BB3064" s="99"/>
      <c r="BC3064" s="85"/>
      <c r="BG3064" s="79"/>
      <c r="BH3064" s="99"/>
    </row>
    <row r="3065" spans="51:60" x14ac:dyDescent="0.2">
      <c r="AY3065" s="79"/>
      <c r="AZ3065" s="85"/>
      <c r="BA3065" s="40"/>
      <c r="BB3065" s="99"/>
      <c r="BC3065" s="85"/>
      <c r="BG3065" s="79"/>
      <c r="BH3065" s="99"/>
    </row>
    <row r="3066" spans="51:60" x14ac:dyDescent="0.2">
      <c r="AY3066" s="79"/>
      <c r="AZ3066" s="85"/>
      <c r="BA3066" s="40"/>
      <c r="BB3066" s="99"/>
      <c r="BC3066" s="85"/>
      <c r="BG3066" s="79"/>
      <c r="BH3066" s="99"/>
    </row>
    <row r="3067" spans="51:60" x14ac:dyDescent="0.2">
      <c r="AY3067" s="79"/>
      <c r="AZ3067" s="85"/>
      <c r="BA3067" s="40"/>
      <c r="BB3067" s="99"/>
      <c r="BC3067" s="85"/>
      <c r="BG3067" s="79"/>
      <c r="BH3067" s="99"/>
    </row>
    <row r="3068" spans="51:60" x14ac:dyDescent="0.2">
      <c r="AY3068" s="79"/>
      <c r="AZ3068" s="85"/>
      <c r="BA3068" s="40"/>
      <c r="BB3068" s="99"/>
      <c r="BC3068" s="85"/>
      <c r="BG3068" s="79"/>
      <c r="BH3068" s="99"/>
    </row>
    <row r="3069" spans="51:60" x14ac:dyDescent="0.2">
      <c r="AY3069" s="79"/>
      <c r="AZ3069" s="85"/>
      <c r="BA3069" s="40"/>
      <c r="BB3069" s="99"/>
      <c r="BC3069" s="85"/>
      <c r="BG3069" s="79"/>
      <c r="BH3069" s="99"/>
    </row>
    <row r="3070" spans="51:60" x14ac:dyDescent="0.2">
      <c r="AY3070" s="79"/>
      <c r="AZ3070" s="85"/>
      <c r="BA3070" s="40"/>
      <c r="BB3070" s="99"/>
      <c r="BC3070" s="85"/>
      <c r="BG3070" s="79"/>
      <c r="BH3070" s="99"/>
    </row>
    <row r="3071" spans="51:60" x14ac:dyDescent="0.2">
      <c r="AY3071" s="79"/>
      <c r="AZ3071" s="85"/>
      <c r="BA3071" s="40"/>
      <c r="BB3071" s="99"/>
      <c r="BC3071" s="85"/>
      <c r="BG3071" s="79"/>
      <c r="BH3071" s="99"/>
    </row>
    <row r="3072" spans="51:60" x14ac:dyDescent="0.2">
      <c r="AY3072" s="79"/>
      <c r="AZ3072" s="85"/>
      <c r="BA3072" s="40"/>
      <c r="BB3072" s="99"/>
      <c r="BC3072" s="85"/>
      <c r="BG3072" s="79"/>
      <c r="BH3072" s="99"/>
    </row>
    <row r="3073" spans="51:60" x14ac:dyDescent="0.2">
      <c r="AY3073" s="79"/>
      <c r="AZ3073" s="85"/>
      <c r="BA3073" s="40"/>
      <c r="BB3073" s="99"/>
      <c r="BC3073" s="85"/>
      <c r="BG3073" s="79"/>
      <c r="BH3073" s="99"/>
    </row>
    <row r="3074" spans="51:60" x14ac:dyDescent="0.2">
      <c r="AY3074" s="79"/>
      <c r="AZ3074" s="85"/>
      <c r="BA3074" s="40"/>
      <c r="BB3074" s="99"/>
      <c r="BC3074" s="85"/>
      <c r="BG3074" s="79"/>
      <c r="BH3074" s="99"/>
    </row>
    <row r="3075" spans="51:60" x14ac:dyDescent="0.2">
      <c r="AY3075" s="79"/>
      <c r="AZ3075" s="85"/>
      <c r="BA3075" s="40"/>
      <c r="BB3075" s="99"/>
      <c r="BC3075" s="85"/>
      <c r="BG3075" s="79"/>
      <c r="BH3075" s="99"/>
    </row>
    <row r="3076" spans="51:60" x14ac:dyDescent="0.2">
      <c r="AY3076" s="79"/>
      <c r="AZ3076" s="85"/>
      <c r="BA3076" s="40"/>
      <c r="BB3076" s="99"/>
      <c r="BC3076" s="85"/>
      <c r="BG3076" s="79"/>
      <c r="BH3076" s="99"/>
    </row>
    <row r="3077" spans="51:60" x14ac:dyDescent="0.2">
      <c r="AY3077" s="79"/>
      <c r="AZ3077" s="85"/>
      <c r="BA3077" s="40"/>
      <c r="BB3077" s="99"/>
      <c r="BC3077" s="85"/>
      <c r="BG3077" s="79"/>
      <c r="BH3077" s="99"/>
    </row>
    <row r="3078" spans="51:60" x14ac:dyDescent="0.2">
      <c r="AY3078" s="79"/>
      <c r="AZ3078" s="85"/>
      <c r="BA3078" s="40"/>
      <c r="BB3078" s="99"/>
      <c r="BC3078" s="85"/>
      <c r="BG3078" s="79"/>
      <c r="BH3078" s="99"/>
    </row>
    <row r="3079" spans="51:60" x14ac:dyDescent="0.2">
      <c r="AY3079" s="79"/>
      <c r="AZ3079" s="85"/>
      <c r="BA3079" s="40"/>
      <c r="BB3079" s="99"/>
      <c r="BC3079" s="85"/>
      <c r="BG3079" s="79"/>
      <c r="BH3079" s="99"/>
    </row>
    <row r="3080" spans="51:60" x14ac:dyDescent="0.2">
      <c r="AY3080" s="79"/>
      <c r="AZ3080" s="85"/>
      <c r="BA3080" s="40"/>
      <c r="BB3080" s="99"/>
      <c r="BC3080" s="85"/>
      <c r="BG3080" s="79"/>
      <c r="BH3080" s="99"/>
    </row>
    <row r="3081" spans="51:60" x14ac:dyDescent="0.2">
      <c r="AY3081" s="79"/>
      <c r="AZ3081" s="85"/>
      <c r="BA3081" s="40"/>
      <c r="BB3081" s="99"/>
      <c r="BC3081" s="85"/>
      <c r="BG3081" s="79"/>
      <c r="BH3081" s="99"/>
    </row>
    <row r="3082" spans="51:60" x14ac:dyDescent="0.2">
      <c r="AY3082" s="79"/>
      <c r="AZ3082" s="85"/>
      <c r="BA3082" s="40"/>
      <c r="BB3082" s="99"/>
      <c r="BC3082" s="85"/>
      <c r="BG3082" s="79"/>
      <c r="BH3082" s="99"/>
    </row>
    <row r="3083" spans="51:60" x14ac:dyDescent="0.2">
      <c r="AY3083" s="79"/>
      <c r="AZ3083" s="85"/>
      <c r="BA3083" s="40"/>
      <c r="BB3083" s="99"/>
      <c r="BC3083" s="85"/>
      <c r="BG3083" s="79"/>
      <c r="BH3083" s="99"/>
    </row>
    <row r="3084" spans="51:60" x14ac:dyDescent="0.2">
      <c r="AY3084" s="79"/>
      <c r="AZ3084" s="85"/>
      <c r="BA3084" s="40"/>
      <c r="BB3084" s="99"/>
      <c r="BC3084" s="85"/>
      <c r="BG3084" s="79"/>
      <c r="BH3084" s="99"/>
    </row>
    <row r="3085" spans="51:60" x14ac:dyDescent="0.2">
      <c r="AY3085" s="79"/>
      <c r="AZ3085" s="85"/>
      <c r="BA3085" s="40"/>
      <c r="BB3085" s="99"/>
      <c r="BC3085" s="85"/>
      <c r="BG3085" s="79"/>
      <c r="BH3085" s="99"/>
    </row>
    <row r="3086" spans="51:60" x14ac:dyDescent="0.2">
      <c r="AY3086" s="79"/>
      <c r="AZ3086" s="85"/>
      <c r="BA3086" s="40"/>
      <c r="BB3086" s="99"/>
      <c r="BC3086" s="85"/>
      <c r="BG3086" s="79"/>
      <c r="BH3086" s="99"/>
    </row>
    <row r="3087" spans="51:60" x14ac:dyDescent="0.2">
      <c r="AY3087" s="79"/>
      <c r="AZ3087" s="85"/>
      <c r="BA3087" s="40"/>
      <c r="BB3087" s="99"/>
      <c r="BC3087" s="85"/>
      <c r="BG3087" s="79"/>
      <c r="BH3087" s="99"/>
    </row>
    <row r="3088" spans="51:60" x14ac:dyDescent="0.2">
      <c r="AY3088" s="79"/>
      <c r="AZ3088" s="85"/>
      <c r="BA3088" s="40"/>
      <c r="BB3088" s="99"/>
      <c r="BC3088" s="85"/>
      <c r="BG3088" s="79"/>
      <c r="BH3088" s="99"/>
    </row>
    <row r="3089" spans="51:60" x14ac:dyDescent="0.2">
      <c r="AY3089" s="79"/>
      <c r="AZ3089" s="85"/>
      <c r="BA3089" s="40"/>
      <c r="BB3089" s="99"/>
      <c r="BC3089" s="85"/>
      <c r="BG3089" s="79"/>
      <c r="BH3089" s="99"/>
    </row>
    <row r="3090" spans="51:60" x14ac:dyDescent="0.2">
      <c r="AY3090" s="79"/>
      <c r="AZ3090" s="85"/>
      <c r="BA3090" s="40"/>
      <c r="BB3090" s="99"/>
      <c r="BC3090" s="85"/>
      <c r="BG3090" s="79"/>
      <c r="BH3090" s="99"/>
    </row>
    <row r="3091" spans="51:60" x14ac:dyDescent="0.2">
      <c r="AY3091" s="79"/>
      <c r="AZ3091" s="85"/>
      <c r="BA3091" s="40"/>
      <c r="BB3091" s="99"/>
      <c r="BC3091" s="85"/>
      <c r="BG3091" s="79"/>
      <c r="BH3091" s="99"/>
    </row>
    <row r="3092" spans="51:60" x14ac:dyDescent="0.2">
      <c r="AY3092" s="79"/>
      <c r="AZ3092" s="85"/>
      <c r="BA3092" s="40"/>
      <c r="BB3092" s="99"/>
      <c r="BC3092" s="85"/>
      <c r="BG3092" s="79"/>
      <c r="BH3092" s="99"/>
    </row>
    <row r="3093" spans="51:60" x14ac:dyDescent="0.2">
      <c r="AY3093" s="79"/>
      <c r="AZ3093" s="85"/>
      <c r="BA3093" s="40"/>
      <c r="BB3093" s="99"/>
      <c r="BC3093" s="85"/>
      <c r="BG3093" s="79"/>
      <c r="BH3093" s="99"/>
    </row>
    <row r="3094" spans="51:60" x14ac:dyDescent="0.2">
      <c r="AY3094" s="79"/>
      <c r="AZ3094" s="85"/>
      <c r="BA3094" s="40"/>
      <c r="BB3094" s="99"/>
      <c r="BC3094" s="85"/>
      <c r="BG3094" s="79"/>
      <c r="BH3094" s="99"/>
    </row>
    <row r="3095" spans="51:60" x14ac:dyDescent="0.2">
      <c r="AY3095" s="79"/>
      <c r="AZ3095" s="85"/>
      <c r="BA3095" s="40"/>
      <c r="BB3095" s="99"/>
      <c r="BC3095" s="85"/>
      <c r="BG3095" s="79"/>
      <c r="BH3095" s="99"/>
    </row>
    <row r="3096" spans="51:60" x14ac:dyDescent="0.2">
      <c r="AY3096" s="79"/>
      <c r="AZ3096" s="85"/>
      <c r="BA3096" s="40"/>
      <c r="BB3096" s="99"/>
      <c r="BC3096" s="85"/>
      <c r="BG3096" s="79"/>
      <c r="BH3096" s="99"/>
    </row>
    <row r="3097" spans="51:60" x14ac:dyDescent="0.2">
      <c r="AY3097" s="79"/>
      <c r="AZ3097" s="85"/>
      <c r="BA3097" s="40"/>
      <c r="BB3097" s="99"/>
      <c r="BC3097" s="85"/>
      <c r="BG3097" s="79"/>
      <c r="BH3097" s="99"/>
    </row>
    <row r="3098" spans="51:60" x14ac:dyDescent="0.2">
      <c r="AY3098" s="79"/>
      <c r="AZ3098" s="85"/>
      <c r="BA3098" s="40"/>
      <c r="BB3098" s="99"/>
      <c r="BC3098" s="85"/>
      <c r="BG3098" s="79"/>
      <c r="BH3098" s="99"/>
    </row>
    <row r="3099" spans="51:60" x14ac:dyDescent="0.2">
      <c r="AY3099" s="79"/>
      <c r="AZ3099" s="85"/>
      <c r="BA3099" s="40"/>
      <c r="BB3099" s="99"/>
      <c r="BC3099" s="85"/>
      <c r="BG3099" s="79"/>
      <c r="BH3099" s="99"/>
    </row>
    <row r="3100" spans="51:60" x14ac:dyDescent="0.2">
      <c r="AY3100" s="79"/>
      <c r="AZ3100" s="85"/>
      <c r="BA3100" s="40"/>
      <c r="BB3100" s="99"/>
      <c r="BC3100" s="85"/>
      <c r="BG3100" s="79"/>
      <c r="BH3100" s="99"/>
    </row>
    <row r="3101" spans="51:60" x14ac:dyDescent="0.2">
      <c r="AY3101" s="79"/>
      <c r="AZ3101" s="85"/>
      <c r="BA3101" s="40"/>
      <c r="BB3101" s="99"/>
      <c r="BC3101" s="85"/>
      <c r="BG3101" s="79"/>
      <c r="BH3101" s="99"/>
    </row>
    <row r="3102" spans="51:60" x14ac:dyDescent="0.2">
      <c r="AY3102" s="79"/>
      <c r="AZ3102" s="85"/>
      <c r="BA3102" s="40"/>
      <c r="BB3102" s="99"/>
      <c r="BC3102" s="85"/>
      <c r="BG3102" s="79"/>
      <c r="BH3102" s="99"/>
    </row>
    <row r="3103" spans="51:60" x14ac:dyDescent="0.2">
      <c r="AY3103" s="79"/>
      <c r="AZ3103" s="85"/>
      <c r="BA3103" s="40"/>
      <c r="BB3103" s="99"/>
      <c r="BC3103" s="85"/>
      <c r="BG3103" s="79"/>
      <c r="BH3103" s="99"/>
    </row>
    <row r="3104" spans="51:60" x14ac:dyDescent="0.2">
      <c r="AY3104" s="79"/>
      <c r="AZ3104" s="85"/>
      <c r="BA3104" s="40"/>
      <c r="BB3104" s="99"/>
      <c r="BC3104" s="85"/>
      <c r="BG3104" s="79"/>
      <c r="BH3104" s="99"/>
    </row>
    <row r="3105" spans="51:60" x14ac:dyDescent="0.2">
      <c r="AY3105" s="79"/>
      <c r="AZ3105" s="85"/>
      <c r="BA3105" s="40"/>
      <c r="BB3105" s="99"/>
      <c r="BC3105" s="85"/>
      <c r="BG3105" s="79"/>
      <c r="BH3105" s="99"/>
    </row>
    <row r="3106" spans="51:60" x14ac:dyDescent="0.2">
      <c r="AY3106" s="79"/>
      <c r="AZ3106" s="85"/>
      <c r="BA3106" s="40"/>
      <c r="BB3106" s="99"/>
      <c r="BC3106" s="85"/>
      <c r="BG3106" s="79"/>
      <c r="BH3106" s="99"/>
    </row>
    <row r="3107" spans="51:60" x14ac:dyDescent="0.2">
      <c r="AY3107" s="79"/>
      <c r="AZ3107" s="85"/>
      <c r="BA3107" s="40"/>
      <c r="BB3107" s="99"/>
      <c r="BC3107" s="85"/>
      <c r="BG3107" s="79"/>
      <c r="BH3107" s="99"/>
    </row>
    <row r="3108" spans="51:60" x14ac:dyDescent="0.2">
      <c r="AY3108" s="79"/>
      <c r="AZ3108" s="85"/>
      <c r="BA3108" s="40"/>
      <c r="BB3108" s="99"/>
      <c r="BC3108" s="85"/>
      <c r="BG3108" s="79"/>
      <c r="BH3108" s="99"/>
    </row>
    <row r="3109" spans="51:60" x14ac:dyDescent="0.2">
      <c r="AY3109" s="79"/>
      <c r="AZ3109" s="85"/>
      <c r="BA3109" s="40"/>
      <c r="BB3109" s="99"/>
      <c r="BC3109" s="85"/>
      <c r="BG3109" s="79"/>
      <c r="BH3109" s="99"/>
    </row>
    <row r="3110" spans="51:60" x14ac:dyDescent="0.2">
      <c r="AY3110" s="79"/>
      <c r="AZ3110" s="85"/>
      <c r="BA3110" s="40"/>
      <c r="BB3110" s="99"/>
      <c r="BC3110" s="85"/>
      <c r="BG3110" s="79"/>
      <c r="BH3110" s="99"/>
    </row>
    <row r="3111" spans="51:60" x14ac:dyDescent="0.2">
      <c r="AY3111" s="79"/>
      <c r="AZ3111" s="85"/>
      <c r="BA3111" s="40"/>
      <c r="BB3111" s="99"/>
      <c r="BC3111" s="85"/>
      <c r="BG3111" s="79"/>
      <c r="BH3111" s="99"/>
    </row>
    <row r="3112" spans="51:60" x14ac:dyDescent="0.2">
      <c r="AY3112" s="79"/>
      <c r="AZ3112" s="85"/>
      <c r="BA3112" s="40"/>
      <c r="BB3112" s="99"/>
      <c r="BC3112" s="85"/>
      <c r="BG3112" s="79"/>
      <c r="BH3112" s="99"/>
    </row>
    <row r="3113" spans="51:60" x14ac:dyDescent="0.2">
      <c r="AY3113" s="79"/>
      <c r="AZ3113" s="85"/>
      <c r="BA3113" s="40"/>
      <c r="BB3113" s="99"/>
      <c r="BC3113" s="85"/>
      <c r="BG3113" s="79"/>
      <c r="BH3113" s="99"/>
    </row>
    <row r="3114" spans="51:60" x14ac:dyDescent="0.2">
      <c r="AY3114" s="79"/>
      <c r="AZ3114" s="85"/>
      <c r="BA3114" s="40"/>
      <c r="BB3114" s="99"/>
      <c r="BC3114" s="85"/>
      <c r="BG3114" s="79"/>
      <c r="BH3114" s="99"/>
    </row>
    <row r="3115" spans="51:60" x14ac:dyDescent="0.2">
      <c r="AY3115" s="79"/>
      <c r="AZ3115" s="85"/>
      <c r="BA3115" s="40"/>
      <c r="BB3115" s="99"/>
      <c r="BC3115" s="85"/>
      <c r="BG3115" s="79"/>
      <c r="BH3115" s="99"/>
    </row>
    <row r="3116" spans="51:60" x14ac:dyDescent="0.2">
      <c r="AY3116" s="79"/>
      <c r="AZ3116" s="85"/>
      <c r="BA3116" s="40"/>
      <c r="BB3116" s="99"/>
      <c r="BC3116" s="85"/>
      <c r="BG3116" s="79"/>
      <c r="BH3116" s="99"/>
    </row>
    <row r="3117" spans="51:60" x14ac:dyDescent="0.2">
      <c r="AY3117" s="79"/>
      <c r="AZ3117" s="85"/>
      <c r="BA3117" s="40"/>
      <c r="BB3117" s="99"/>
      <c r="BC3117" s="85"/>
      <c r="BG3117" s="79"/>
      <c r="BH3117" s="99"/>
    </row>
    <row r="3118" spans="51:60" x14ac:dyDescent="0.2">
      <c r="AY3118" s="79"/>
      <c r="AZ3118" s="85"/>
      <c r="BA3118" s="40"/>
      <c r="BB3118" s="99"/>
      <c r="BC3118" s="85"/>
      <c r="BG3118" s="79"/>
      <c r="BH3118" s="99"/>
    </row>
    <row r="3119" spans="51:60" x14ac:dyDescent="0.2">
      <c r="AY3119" s="79"/>
      <c r="AZ3119" s="85"/>
      <c r="BA3119" s="40"/>
      <c r="BB3119" s="99"/>
      <c r="BC3119" s="85"/>
      <c r="BG3119" s="79"/>
      <c r="BH3119" s="99"/>
    </row>
    <row r="3120" spans="51:60" x14ac:dyDescent="0.2">
      <c r="AY3120" s="79"/>
      <c r="AZ3120" s="85"/>
      <c r="BA3120" s="40"/>
      <c r="BB3120" s="99"/>
      <c r="BC3120" s="85"/>
      <c r="BG3120" s="79"/>
      <c r="BH3120" s="99"/>
    </row>
    <row r="3121" spans="51:60" x14ac:dyDescent="0.2">
      <c r="AY3121" s="79"/>
      <c r="AZ3121" s="85"/>
      <c r="BA3121" s="40"/>
      <c r="BB3121" s="99"/>
      <c r="BC3121" s="85"/>
      <c r="BG3121" s="79"/>
      <c r="BH3121" s="99"/>
    </row>
    <row r="3122" spans="51:60" x14ac:dyDescent="0.2">
      <c r="AY3122" s="79"/>
      <c r="AZ3122" s="85"/>
      <c r="BA3122" s="40"/>
      <c r="BB3122" s="99"/>
      <c r="BC3122" s="85"/>
      <c r="BG3122" s="79"/>
      <c r="BH3122" s="99"/>
    </row>
    <row r="3123" spans="51:60" x14ac:dyDescent="0.2">
      <c r="AY3123" s="79"/>
      <c r="AZ3123" s="85"/>
      <c r="BA3123" s="40"/>
      <c r="BB3123" s="99"/>
      <c r="BC3123" s="85"/>
      <c r="BG3123" s="79"/>
      <c r="BH3123" s="99"/>
    </row>
    <row r="3124" spans="51:60" x14ac:dyDescent="0.2">
      <c r="AY3124" s="79"/>
      <c r="AZ3124" s="85"/>
      <c r="BA3124" s="40"/>
      <c r="BB3124" s="99"/>
      <c r="BC3124" s="85"/>
      <c r="BG3124" s="79"/>
      <c r="BH3124" s="99"/>
    </row>
    <row r="3125" spans="51:60" x14ac:dyDescent="0.2">
      <c r="AY3125" s="79"/>
      <c r="AZ3125" s="85"/>
      <c r="BA3125" s="40"/>
      <c r="BB3125" s="99"/>
      <c r="BC3125" s="85"/>
      <c r="BG3125" s="79"/>
      <c r="BH3125" s="99"/>
    </row>
    <row r="3126" spans="51:60" x14ac:dyDescent="0.2">
      <c r="AY3126" s="79"/>
      <c r="AZ3126" s="85"/>
      <c r="BA3126" s="40"/>
      <c r="BB3126" s="99"/>
      <c r="BC3126" s="85"/>
      <c r="BG3126" s="79"/>
      <c r="BH3126" s="99"/>
    </row>
    <row r="3127" spans="51:60" x14ac:dyDescent="0.2">
      <c r="AY3127" s="79"/>
      <c r="AZ3127" s="85"/>
      <c r="BA3127" s="40"/>
      <c r="BB3127" s="99"/>
      <c r="BC3127" s="85"/>
      <c r="BG3127" s="79"/>
      <c r="BH3127" s="99"/>
    </row>
    <row r="3128" spans="51:60" x14ac:dyDescent="0.2">
      <c r="AY3128" s="79"/>
      <c r="AZ3128" s="85"/>
      <c r="BA3128" s="40"/>
      <c r="BB3128" s="99"/>
      <c r="BC3128" s="85"/>
      <c r="BG3128" s="79"/>
      <c r="BH3128" s="99"/>
    </row>
    <row r="3129" spans="51:60" x14ac:dyDescent="0.2">
      <c r="AY3129" s="79"/>
      <c r="AZ3129" s="85"/>
      <c r="BA3129" s="40"/>
      <c r="BB3129" s="99"/>
      <c r="BC3129" s="85"/>
      <c r="BG3129" s="79"/>
      <c r="BH3129" s="99"/>
    </row>
    <row r="3130" spans="51:60" x14ac:dyDescent="0.2">
      <c r="AY3130" s="79"/>
      <c r="AZ3130" s="85"/>
      <c r="BA3130" s="40"/>
      <c r="BB3130" s="99"/>
      <c r="BC3130" s="85"/>
      <c r="BG3130" s="79"/>
      <c r="BH3130" s="99"/>
    </row>
    <row r="3131" spans="51:60" x14ac:dyDescent="0.2">
      <c r="AY3131" s="79"/>
      <c r="AZ3131" s="85"/>
      <c r="BA3131" s="40"/>
      <c r="BB3131" s="99"/>
      <c r="BC3131" s="85"/>
      <c r="BG3131" s="79"/>
      <c r="BH3131" s="99"/>
    </row>
    <row r="3132" spans="51:60" x14ac:dyDescent="0.2">
      <c r="AY3132" s="79"/>
      <c r="AZ3132" s="85"/>
      <c r="BA3132" s="40"/>
      <c r="BB3132" s="99"/>
      <c r="BC3132" s="85"/>
      <c r="BG3132" s="79"/>
      <c r="BH3132" s="99"/>
    </row>
    <row r="3133" spans="51:60" x14ac:dyDescent="0.2">
      <c r="AY3133" s="79"/>
      <c r="AZ3133" s="85"/>
      <c r="BA3133" s="40"/>
      <c r="BB3133" s="99"/>
      <c r="BC3133" s="85"/>
      <c r="BG3133" s="79"/>
      <c r="BH3133" s="99"/>
    </row>
    <row r="3134" spans="51:60" x14ac:dyDescent="0.2">
      <c r="AY3134" s="79"/>
      <c r="AZ3134" s="85"/>
      <c r="BA3134" s="40"/>
      <c r="BB3134" s="99"/>
      <c r="BC3134" s="85"/>
      <c r="BG3134" s="79"/>
      <c r="BH3134" s="99"/>
    </row>
    <row r="3135" spans="51:60" x14ac:dyDescent="0.2">
      <c r="AY3135" s="79"/>
      <c r="AZ3135" s="85"/>
      <c r="BA3135" s="40"/>
      <c r="BB3135" s="99"/>
      <c r="BC3135" s="85"/>
      <c r="BG3135" s="79"/>
      <c r="BH3135" s="99"/>
    </row>
    <row r="3136" spans="51:60" x14ac:dyDescent="0.2">
      <c r="AY3136" s="79"/>
      <c r="AZ3136" s="85"/>
      <c r="BA3136" s="40"/>
      <c r="BB3136" s="99"/>
      <c r="BC3136" s="85"/>
      <c r="BG3136" s="79"/>
      <c r="BH3136" s="99"/>
    </row>
    <row r="3137" spans="51:60" x14ac:dyDescent="0.2">
      <c r="AY3137" s="79"/>
      <c r="AZ3137" s="85"/>
      <c r="BA3137" s="40"/>
      <c r="BB3137" s="99"/>
      <c r="BC3137" s="85"/>
      <c r="BG3137" s="79"/>
      <c r="BH3137" s="99"/>
    </row>
    <row r="3138" spans="51:60" x14ac:dyDescent="0.2">
      <c r="AY3138" s="79"/>
      <c r="AZ3138" s="85"/>
      <c r="BA3138" s="40"/>
      <c r="BB3138" s="99"/>
      <c r="BC3138" s="85"/>
      <c r="BG3138" s="79"/>
      <c r="BH3138" s="99"/>
    </row>
    <row r="3139" spans="51:60" x14ac:dyDescent="0.2">
      <c r="AY3139" s="79"/>
      <c r="AZ3139" s="85"/>
      <c r="BA3139" s="40"/>
      <c r="BB3139" s="99"/>
      <c r="BC3139" s="85"/>
      <c r="BG3139" s="79"/>
      <c r="BH3139" s="99"/>
    </row>
    <row r="3140" spans="51:60" x14ac:dyDescent="0.2">
      <c r="AY3140" s="79"/>
      <c r="AZ3140" s="85"/>
      <c r="BA3140" s="40"/>
      <c r="BB3140" s="99"/>
      <c r="BC3140" s="85"/>
      <c r="BG3140" s="79"/>
      <c r="BH3140" s="99"/>
    </row>
    <row r="3141" spans="51:60" x14ac:dyDescent="0.2">
      <c r="AY3141" s="79"/>
      <c r="AZ3141" s="85"/>
      <c r="BA3141" s="40"/>
      <c r="BB3141" s="99"/>
      <c r="BC3141" s="85"/>
      <c r="BG3141" s="79"/>
      <c r="BH3141" s="99"/>
    </row>
    <row r="3142" spans="51:60" x14ac:dyDescent="0.2">
      <c r="AY3142" s="79"/>
      <c r="AZ3142" s="85"/>
      <c r="BA3142" s="40"/>
      <c r="BB3142" s="99"/>
      <c r="BC3142" s="85"/>
      <c r="BG3142" s="79"/>
      <c r="BH3142" s="99"/>
    </row>
    <row r="3143" spans="51:60" x14ac:dyDescent="0.2">
      <c r="AY3143" s="79"/>
      <c r="AZ3143" s="85"/>
      <c r="BA3143" s="40"/>
      <c r="BB3143" s="99"/>
      <c r="BC3143" s="85"/>
      <c r="BG3143" s="79"/>
      <c r="BH3143" s="99"/>
    </row>
    <row r="3144" spans="51:60" x14ac:dyDescent="0.2">
      <c r="AY3144" s="79"/>
      <c r="AZ3144" s="85"/>
      <c r="BA3144" s="40"/>
      <c r="BB3144" s="99"/>
      <c r="BC3144" s="85"/>
      <c r="BG3144" s="79"/>
      <c r="BH3144" s="99"/>
    </row>
    <row r="3145" spans="51:60" x14ac:dyDescent="0.2">
      <c r="AY3145" s="79"/>
      <c r="AZ3145" s="85"/>
      <c r="BA3145" s="40"/>
      <c r="BB3145" s="99"/>
      <c r="BC3145" s="85"/>
      <c r="BG3145" s="79"/>
      <c r="BH3145" s="99"/>
    </row>
    <row r="3146" spans="51:60" x14ac:dyDescent="0.2">
      <c r="AY3146" s="79"/>
      <c r="AZ3146" s="85"/>
      <c r="BA3146" s="40"/>
      <c r="BB3146" s="99"/>
      <c r="BC3146" s="85"/>
      <c r="BG3146" s="79"/>
      <c r="BH3146" s="99"/>
    </row>
    <row r="3147" spans="51:60" x14ac:dyDescent="0.2">
      <c r="AY3147" s="79"/>
      <c r="AZ3147" s="85"/>
      <c r="BA3147" s="40"/>
      <c r="BB3147" s="99"/>
      <c r="BC3147" s="85"/>
      <c r="BG3147" s="79"/>
      <c r="BH3147" s="99"/>
    </row>
    <row r="3148" spans="51:60" x14ac:dyDescent="0.2">
      <c r="AY3148" s="79"/>
      <c r="AZ3148" s="85"/>
      <c r="BA3148" s="40"/>
      <c r="BB3148" s="99"/>
      <c r="BC3148" s="85"/>
      <c r="BG3148" s="79"/>
      <c r="BH3148" s="99"/>
    </row>
    <row r="3149" spans="51:60" x14ac:dyDescent="0.2">
      <c r="AY3149" s="79"/>
      <c r="AZ3149" s="85"/>
      <c r="BA3149" s="40"/>
      <c r="BB3149" s="99"/>
      <c r="BC3149" s="85"/>
      <c r="BG3149" s="79"/>
      <c r="BH3149" s="99"/>
    </row>
    <row r="3150" spans="51:60" x14ac:dyDescent="0.2">
      <c r="AY3150" s="79"/>
      <c r="AZ3150" s="85"/>
      <c r="BA3150" s="40"/>
      <c r="BB3150" s="99"/>
      <c r="BC3150" s="85"/>
      <c r="BG3150" s="79"/>
      <c r="BH3150" s="99"/>
    </row>
    <row r="3151" spans="51:60" x14ac:dyDescent="0.2">
      <c r="AY3151" s="79"/>
      <c r="AZ3151" s="85"/>
      <c r="BA3151" s="40"/>
      <c r="BB3151" s="99"/>
      <c r="BC3151" s="85"/>
      <c r="BG3151" s="79"/>
      <c r="BH3151" s="99"/>
    </row>
    <row r="3152" spans="51:60" x14ac:dyDescent="0.2">
      <c r="AY3152" s="79"/>
      <c r="AZ3152" s="85"/>
      <c r="BA3152" s="40"/>
      <c r="BB3152" s="99"/>
      <c r="BC3152" s="85"/>
      <c r="BG3152" s="79"/>
      <c r="BH3152" s="99"/>
    </row>
    <row r="3153" spans="51:60" x14ac:dyDescent="0.2">
      <c r="AY3153" s="79"/>
      <c r="AZ3153" s="85"/>
      <c r="BA3153" s="40"/>
      <c r="BB3153" s="99"/>
      <c r="BC3153" s="85"/>
      <c r="BG3153" s="79"/>
      <c r="BH3153" s="99"/>
    </row>
    <row r="3154" spans="51:60" x14ac:dyDescent="0.2">
      <c r="AY3154" s="79"/>
      <c r="AZ3154" s="85"/>
      <c r="BA3154" s="40"/>
      <c r="BB3154" s="99"/>
      <c r="BC3154" s="85"/>
      <c r="BG3154" s="79"/>
      <c r="BH3154" s="99"/>
    </row>
    <row r="3155" spans="51:60" x14ac:dyDescent="0.2">
      <c r="AY3155" s="79"/>
      <c r="AZ3155" s="85"/>
      <c r="BA3155" s="40"/>
      <c r="BB3155" s="99"/>
      <c r="BC3155" s="85"/>
      <c r="BG3155" s="79"/>
      <c r="BH3155" s="99"/>
    </row>
    <row r="3156" spans="51:60" x14ac:dyDescent="0.2">
      <c r="AY3156" s="79"/>
      <c r="AZ3156" s="85"/>
      <c r="BA3156" s="40"/>
      <c r="BB3156" s="99"/>
      <c r="BC3156" s="85"/>
      <c r="BG3156" s="79"/>
      <c r="BH3156" s="99"/>
    </row>
    <row r="3157" spans="51:60" x14ac:dyDescent="0.2">
      <c r="AY3157" s="79"/>
      <c r="AZ3157" s="85"/>
      <c r="BA3157" s="40"/>
      <c r="BB3157" s="99"/>
      <c r="BC3157" s="85"/>
      <c r="BG3157" s="79"/>
      <c r="BH3157" s="99"/>
    </row>
    <row r="3158" spans="51:60" x14ac:dyDescent="0.2">
      <c r="AY3158" s="79"/>
      <c r="AZ3158" s="85"/>
      <c r="BA3158" s="40"/>
      <c r="BB3158" s="99"/>
      <c r="BC3158" s="85"/>
      <c r="BG3158" s="79"/>
      <c r="BH3158" s="99"/>
    </row>
    <row r="3159" spans="51:60" x14ac:dyDescent="0.2">
      <c r="AY3159" s="79"/>
      <c r="AZ3159" s="85"/>
      <c r="BA3159" s="40"/>
      <c r="BB3159" s="99"/>
      <c r="BC3159" s="85"/>
      <c r="BG3159" s="79"/>
      <c r="BH3159" s="99"/>
    </row>
    <row r="3160" spans="51:60" x14ac:dyDescent="0.2">
      <c r="AY3160" s="79"/>
      <c r="AZ3160" s="85"/>
      <c r="BA3160" s="40"/>
      <c r="BB3160" s="99"/>
      <c r="BC3160" s="85"/>
      <c r="BG3160" s="79"/>
      <c r="BH3160" s="99"/>
    </row>
    <row r="3161" spans="51:60" x14ac:dyDescent="0.2">
      <c r="AY3161" s="79"/>
      <c r="AZ3161" s="85"/>
      <c r="BA3161" s="40"/>
      <c r="BB3161" s="99"/>
      <c r="BC3161" s="85"/>
      <c r="BG3161" s="79"/>
      <c r="BH3161" s="99"/>
    </row>
    <row r="3162" spans="51:60" x14ac:dyDescent="0.2">
      <c r="AY3162" s="79"/>
      <c r="AZ3162" s="85"/>
      <c r="BA3162" s="40"/>
      <c r="BB3162" s="99"/>
      <c r="BC3162" s="85"/>
      <c r="BG3162" s="79"/>
      <c r="BH3162" s="99"/>
    </row>
    <row r="3163" spans="51:60" x14ac:dyDescent="0.2">
      <c r="AY3163" s="79"/>
      <c r="AZ3163" s="85"/>
      <c r="BA3163" s="40"/>
      <c r="BB3163" s="99"/>
      <c r="BC3163" s="85"/>
      <c r="BG3163" s="79"/>
      <c r="BH3163" s="99"/>
    </row>
    <row r="3164" spans="51:60" x14ac:dyDescent="0.2">
      <c r="AY3164" s="79"/>
      <c r="AZ3164" s="85"/>
      <c r="BA3164" s="40"/>
      <c r="BB3164" s="99"/>
      <c r="BC3164" s="85"/>
      <c r="BG3164" s="79"/>
      <c r="BH3164" s="99"/>
    </row>
    <row r="3165" spans="51:60" x14ac:dyDescent="0.2">
      <c r="AY3165" s="79"/>
      <c r="AZ3165" s="85"/>
      <c r="BA3165" s="40"/>
      <c r="BB3165" s="99"/>
      <c r="BC3165" s="85"/>
      <c r="BG3165" s="79"/>
      <c r="BH3165" s="99"/>
    </row>
    <row r="3166" spans="51:60" x14ac:dyDescent="0.2">
      <c r="AY3166" s="79"/>
      <c r="AZ3166" s="85"/>
      <c r="BA3166" s="40"/>
      <c r="BB3166" s="99"/>
      <c r="BC3166" s="85"/>
      <c r="BG3166" s="79"/>
      <c r="BH3166" s="99"/>
    </row>
    <row r="3167" spans="51:60" x14ac:dyDescent="0.2">
      <c r="AY3167" s="79"/>
      <c r="AZ3167" s="85"/>
      <c r="BA3167" s="40"/>
      <c r="BB3167" s="99"/>
      <c r="BC3167" s="85"/>
      <c r="BG3167" s="79"/>
      <c r="BH3167" s="99"/>
    </row>
    <row r="3168" spans="51:60" x14ac:dyDescent="0.2">
      <c r="AY3168" s="79"/>
      <c r="AZ3168" s="85"/>
      <c r="BA3168" s="40"/>
      <c r="BB3168" s="99"/>
      <c r="BC3168" s="85"/>
      <c r="BG3168" s="79"/>
      <c r="BH3168" s="99"/>
    </row>
    <row r="3169" spans="51:60" x14ac:dyDescent="0.2">
      <c r="AY3169" s="79"/>
      <c r="AZ3169" s="85"/>
      <c r="BA3169" s="40"/>
      <c r="BB3169" s="99"/>
      <c r="BC3169" s="85"/>
      <c r="BG3169" s="79"/>
      <c r="BH3169" s="99"/>
    </row>
    <row r="3170" spans="51:60" x14ac:dyDescent="0.2">
      <c r="AY3170" s="79"/>
      <c r="AZ3170" s="85"/>
      <c r="BA3170" s="40"/>
      <c r="BB3170" s="99"/>
      <c r="BC3170" s="85"/>
      <c r="BG3170" s="79"/>
      <c r="BH3170" s="99"/>
    </row>
    <row r="3171" spans="51:60" x14ac:dyDescent="0.2">
      <c r="AY3171" s="79"/>
      <c r="AZ3171" s="85"/>
      <c r="BA3171" s="40"/>
      <c r="BB3171" s="99"/>
      <c r="BC3171" s="85"/>
      <c r="BG3171" s="79"/>
      <c r="BH3171" s="99"/>
    </row>
    <row r="3172" spans="51:60" x14ac:dyDescent="0.2">
      <c r="AY3172" s="79"/>
      <c r="AZ3172" s="85"/>
      <c r="BA3172" s="40"/>
      <c r="BB3172" s="99"/>
      <c r="BC3172" s="85"/>
      <c r="BG3172" s="79"/>
      <c r="BH3172" s="99"/>
    </row>
    <row r="3173" spans="51:60" x14ac:dyDescent="0.2">
      <c r="AY3173" s="79"/>
      <c r="AZ3173" s="85"/>
      <c r="BA3173" s="40"/>
      <c r="BB3173" s="99"/>
      <c r="BC3173" s="85"/>
      <c r="BG3173" s="79"/>
      <c r="BH3173" s="99"/>
    </row>
    <row r="3174" spans="51:60" x14ac:dyDescent="0.2">
      <c r="AY3174" s="79"/>
      <c r="AZ3174" s="85"/>
      <c r="BA3174" s="40"/>
      <c r="BB3174" s="99"/>
      <c r="BC3174" s="85"/>
      <c r="BG3174" s="79"/>
      <c r="BH3174" s="99"/>
    </row>
    <row r="3175" spans="51:60" x14ac:dyDescent="0.2">
      <c r="AY3175" s="79"/>
      <c r="AZ3175" s="85"/>
      <c r="BA3175" s="40"/>
      <c r="BB3175" s="99"/>
      <c r="BC3175" s="85"/>
      <c r="BG3175" s="79"/>
      <c r="BH3175" s="99"/>
    </row>
    <row r="3176" spans="51:60" x14ac:dyDescent="0.2">
      <c r="AY3176" s="79"/>
      <c r="AZ3176" s="85"/>
      <c r="BA3176" s="40"/>
      <c r="BB3176" s="99"/>
      <c r="BC3176" s="85"/>
      <c r="BG3176" s="79"/>
      <c r="BH3176" s="99"/>
    </row>
    <row r="3177" spans="51:60" x14ac:dyDescent="0.2">
      <c r="AY3177" s="79"/>
      <c r="AZ3177" s="85"/>
      <c r="BA3177" s="40"/>
      <c r="BB3177" s="99"/>
      <c r="BC3177" s="85"/>
      <c r="BG3177" s="79"/>
      <c r="BH3177" s="99"/>
    </row>
    <row r="3178" spans="51:60" x14ac:dyDescent="0.2">
      <c r="AY3178" s="79"/>
      <c r="AZ3178" s="85"/>
      <c r="BA3178" s="40"/>
      <c r="BB3178" s="99"/>
      <c r="BC3178" s="85"/>
      <c r="BG3178" s="79"/>
      <c r="BH3178" s="99"/>
    </row>
    <row r="3179" spans="51:60" x14ac:dyDescent="0.2">
      <c r="AY3179" s="79"/>
      <c r="AZ3179" s="85"/>
      <c r="BA3179" s="40"/>
      <c r="BB3179" s="99"/>
      <c r="BC3179" s="85"/>
      <c r="BG3179" s="79"/>
      <c r="BH3179" s="99"/>
    </row>
    <row r="3180" spans="51:60" x14ac:dyDescent="0.2">
      <c r="AY3180" s="79"/>
      <c r="AZ3180" s="85"/>
      <c r="BA3180" s="40"/>
      <c r="BB3180" s="99"/>
      <c r="BC3180" s="85"/>
      <c r="BG3180" s="79"/>
      <c r="BH3180" s="99"/>
    </row>
    <row r="3181" spans="51:60" x14ac:dyDescent="0.2">
      <c r="AY3181" s="79"/>
      <c r="AZ3181" s="85"/>
      <c r="BA3181" s="40"/>
      <c r="BB3181" s="99"/>
      <c r="BC3181" s="85"/>
      <c r="BG3181" s="79"/>
      <c r="BH3181" s="99"/>
    </row>
    <row r="3182" spans="51:60" x14ac:dyDescent="0.2">
      <c r="AY3182" s="79"/>
      <c r="AZ3182" s="85"/>
      <c r="BA3182" s="40"/>
      <c r="BB3182" s="99"/>
      <c r="BC3182" s="85"/>
      <c r="BG3182" s="79"/>
      <c r="BH3182" s="99"/>
    </row>
    <row r="3183" spans="51:60" x14ac:dyDescent="0.2">
      <c r="AY3183" s="79"/>
      <c r="AZ3183" s="85"/>
      <c r="BA3183" s="40"/>
      <c r="BB3183" s="99"/>
      <c r="BC3183" s="85"/>
      <c r="BG3183" s="79"/>
      <c r="BH3183" s="99"/>
    </row>
    <row r="3184" spans="51:60" x14ac:dyDescent="0.2">
      <c r="AY3184" s="79"/>
      <c r="AZ3184" s="85"/>
      <c r="BA3184" s="40"/>
      <c r="BB3184" s="99"/>
      <c r="BC3184" s="85"/>
      <c r="BG3184" s="79"/>
      <c r="BH3184" s="99"/>
    </row>
    <row r="3185" spans="51:60" x14ac:dyDescent="0.2">
      <c r="AY3185" s="79"/>
      <c r="AZ3185" s="85"/>
      <c r="BA3185" s="40"/>
      <c r="BB3185" s="99"/>
      <c r="BC3185" s="85"/>
      <c r="BG3185" s="79"/>
      <c r="BH3185" s="99"/>
    </row>
    <row r="3186" spans="51:60" x14ac:dyDescent="0.2">
      <c r="AY3186" s="79"/>
      <c r="AZ3186" s="85"/>
      <c r="BA3186" s="40"/>
      <c r="BB3186" s="99"/>
      <c r="BC3186" s="85"/>
      <c r="BG3186" s="79"/>
      <c r="BH3186" s="99"/>
    </row>
    <row r="3187" spans="51:60" x14ac:dyDescent="0.2">
      <c r="AY3187" s="79"/>
      <c r="AZ3187" s="85"/>
      <c r="BA3187" s="40"/>
      <c r="BB3187" s="99"/>
      <c r="BC3187" s="85"/>
      <c r="BG3187" s="79"/>
      <c r="BH3187" s="99"/>
    </row>
    <row r="3188" spans="51:60" x14ac:dyDescent="0.2">
      <c r="AY3188" s="79"/>
      <c r="AZ3188" s="85"/>
      <c r="BA3188" s="40"/>
      <c r="BB3188" s="99"/>
      <c r="BC3188" s="85"/>
      <c r="BG3188" s="79"/>
      <c r="BH3188" s="99"/>
    </row>
    <row r="3189" spans="51:60" x14ac:dyDescent="0.2">
      <c r="AY3189" s="79"/>
      <c r="AZ3189" s="85"/>
      <c r="BA3189" s="40"/>
      <c r="BB3189" s="99"/>
      <c r="BC3189" s="85"/>
      <c r="BG3189" s="79"/>
      <c r="BH3189" s="99"/>
    </row>
    <row r="3190" spans="51:60" x14ac:dyDescent="0.2">
      <c r="AY3190" s="79"/>
      <c r="AZ3190" s="85"/>
      <c r="BA3190" s="40"/>
      <c r="BB3190" s="99"/>
      <c r="BC3190" s="85"/>
      <c r="BG3190" s="79"/>
      <c r="BH3190" s="99"/>
    </row>
    <row r="3191" spans="51:60" x14ac:dyDescent="0.2">
      <c r="AY3191" s="79"/>
      <c r="AZ3191" s="85"/>
      <c r="BA3191" s="40"/>
      <c r="BB3191" s="99"/>
      <c r="BC3191" s="85"/>
      <c r="BG3191" s="79"/>
      <c r="BH3191" s="99"/>
    </row>
    <row r="3192" spans="51:60" x14ac:dyDescent="0.2">
      <c r="AY3192" s="79"/>
      <c r="AZ3192" s="85"/>
      <c r="BA3192" s="40"/>
      <c r="BB3192" s="99"/>
      <c r="BC3192" s="85"/>
      <c r="BG3192" s="79"/>
      <c r="BH3192" s="99"/>
    </row>
    <row r="3193" spans="51:60" x14ac:dyDescent="0.2">
      <c r="AY3193" s="79"/>
      <c r="AZ3193" s="85"/>
      <c r="BA3193" s="40"/>
      <c r="BB3193" s="99"/>
      <c r="BC3193" s="85"/>
      <c r="BG3193" s="79"/>
      <c r="BH3193" s="99"/>
    </row>
    <row r="3194" spans="51:60" x14ac:dyDescent="0.2">
      <c r="AY3194" s="79"/>
      <c r="AZ3194" s="85"/>
      <c r="BA3194" s="40"/>
      <c r="BB3194" s="99"/>
      <c r="BC3194" s="85"/>
      <c r="BG3194" s="79"/>
      <c r="BH3194" s="99"/>
    </row>
    <row r="3195" spans="51:60" x14ac:dyDescent="0.2">
      <c r="AY3195" s="79"/>
      <c r="AZ3195" s="85"/>
      <c r="BA3195" s="40"/>
      <c r="BB3195" s="99"/>
      <c r="BC3195" s="85"/>
      <c r="BG3195" s="79"/>
      <c r="BH3195" s="99"/>
    </row>
    <row r="3196" spans="51:60" x14ac:dyDescent="0.2">
      <c r="AY3196" s="79"/>
      <c r="AZ3196" s="85"/>
      <c r="BA3196" s="40"/>
      <c r="BB3196" s="99"/>
      <c r="BC3196" s="85"/>
      <c r="BG3196" s="79"/>
      <c r="BH3196" s="99"/>
    </row>
    <row r="3197" spans="51:60" x14ac:dyDescent="0.2">
      <c r="AY3197" s="79"/>
      <c r="AZ3197" s="85"/>
      <c r="BA3197" s="40"/>
      <c r="BB3197" s="99"/>
      <c r="BC3197" s="85"/>
      <c r="BG3197" s="79"/>
      <c r="BH3197" s="99"/>
    </row>
    <row r="3198" spans="51:60" x14ac:dyDescent="0.2">
      <c r="AY3198" s="79"/>
      <c r="AZ3198" s="85"/>
      <c r="BA3198" s="40"/>
      <c r="BB3198" s="99"/>
      <c r="BC3198" s="85"/>
      <c r="BG3198" s="79"/>
      <c r="BH3198" s="99"/>
    </row>
    <row r="3199" spans="51:60" x14ac:dyDescent="0.2">
      <c r="AY3199" s="79"/>
      <c r="AZ3199" s="85"/>
      <c r="BA3199" s="40"/>
      <c r="BB3199" s="99"/>
      <c r="BC3199" s="85"/>
      <c r="BG3199" s="79"/>
      <c r="BH3199" s="99"/>
    </row>
    <row r="3200" spans="51:60" x14ac:dyDescent="0.2">
      <c r="AY3200" s="79"/>
      <c r="AZ3200" s="85"/>
      <c r="BA3200" s="40"/>
      <c r="BB3200" s="99"/>
      <c r="BC3200" s="85"/>
      <c r="BG3200" s="79"/>
      <c r="BH3200" s="99"/>
    </row>
    <row r="3201" spans="51:60" x14ac:dyDescent="0.2">
      <c r="AY3201" s="79"/>
      <c r="AZ3201" s="85"/>
      <c r="BA3201" s="40"/>
      <c r="BB3201" s="99"/>
      <c r="BC3201" s="85"/>
      <c r="BG3201" s="79"/>
      <c r="BH3201" s="99"/>
    </row>
    <row r="3202" spans="51:60" x14ac:dyDescent="0.2">
      <c r="AY3202" s="79"/>
      <c r="AZ3202" s="85"/>
      <c r="BA3202" s="40"/>
      <c r="BB3202" s="99"/>
      <c r="BC3202" s="85"/>
      <c r="BG3202" s="79"/>
      <c r="BH3202" s="99"/>
    </row>
    <row r="3203" spans="51:60" x14ac:dyDescent="0.2">
      <c r="AY3203" s="79"/>
      <c r="AZ3203" s="85"/>
      <c r="BA3203" s="40"/>
      <c r="BB3203" s="99"/>
      <c r="BC3203" s="85"/>
      <c r="BG3203" s="79"/>
      <c r="BH3203" s="99"/>
    </row>
    <row r="3204" spans="51:60" x14ac:dyDescent="0.2">
      <c r="AY3204" s="79"/>
      <c r="AZ3204" s="85"/>
      <c r="BA3204" s="40"/>
      <c r="BB3204" s="99"/>
      <c r="BC3204" s="85"/>
      <c r="BG3204" s="79"/>
      <c r="BH3204" s="99"/>
    </row>
    <row r="3205" spans="51:60" x14ac:dyDescent="0.2">
      <c r="AY3205" s="79"/>
      <c r="AZ3205" s="85"/>
      <c r="BA3205" s="40"/>
      <c r="BB3205" s="99"/>
      <c r="BC3205" s="85"/>
      <c r="BG3205" s="79"/>
      <c r="BH3205" s="99"/>
    </row>
    <row r="3206" spans="51:60" x14ac:dyDescent="0.2">
      <c r="AY3206" s="79"/>
      <c r="AZ3206" s="85"/>
      <c r="BA3206" s="40"/>
      <c r="BB3206" s="99"/>
      <c r="BC3206" s="85"/>
      <c r="BG3206" s="79"/>
      <c r="BH3206" s="99"/>
    </row>
    <row r="3207" spans="51:60" x14ac:dyDescent="0.2">
      <c r="AY3207" s="79"/>
      <c r="AZ3207" s="85"/>
      <c r="BA3207" s="40"/>
      <c r="BB3207" s="99"/>
      <c r="BC3207" s="85"/>
      <c r="BG3207" s="79"/>
      <c r="BH3207" s="99"/>
    </row>
    <row r="3208" spans="51:60" x14ac:dyDescent="0.2">
      <c r="AY3208" s="79"/>
      <c r="AZ3208" s="85"/>
      <c r="BA3208" s="40"/>
      <c r="BB3208" s="99"/>
      <c r="BC3208" s="85"/>
      <c r="BG3208" s="79"/>
      <c r="BH3208" s="99"/>
    </row>
    <row r="3209" spans="51:60" x14ac:dyDescent="0.2">
      <c r="AY3209" s="79"/>
      <c r="AZ3209" s="85"/>
      <c r="BA3209" s="40"/>
      <c r="BB3209" s="99"/>
      <c r="BC3209" s="85"/>
      <c r="BG3209" s="79"/>
      <c r="BH3209" s="99"/>
    </row>
    <row r="3210" spans="51:60" x14ac:dyDescent="0.2">
      <c r="AY3210" s="79"/>
      <c r="AZ3210" s="85"/>
      <c r="BA3210" s="40"/>
      <c r="BB3210" s="99"/>
      <c r="BC3210" s="85"/>
      <c r="BG3210" s="79"/>
      <c r="BH3210" s="99"/>
    </row>
    <row r="3211" spans="51:60" x14ac:dyDescent="0.2">
      <c r="AY3211" s="79"/>
      <c r="AZ3211" s="85"/>
      <c r="BA3211" s="40"/>
      <c r="BB3211" s="99"/>
      <c r="BC3211" s="85"/>
      <c r="BG3211" s="79"/>
      <c r="BH3211" s="99"/>
    </row>
    <row r="3212" spans="51:60" x14ac:dyDescent="0.2">
      <c r="AY3212" s="79"/>
      <c r="AZ3212" s="85"/>
      <c r="BA3212" s="40"/>
      <c r="BB3212" s="99"/>
      <c r="BC3212" s="85"/>
      <c r="BG3212" s="79"/>
      <c r="BH3212" s="99"/>
    </row>
    <row r="3213" spans="51:60" x14ac:dyDescent="0.2">
      <c r="AY3213" s="79"/>
      <c r="AZ3213" s="85"/>
      <c r="BA3213" s="40"/>
      <c r="BB3213" s="99"/>
      <c r="BC3213" s="85"/>
      <c r="BG3213" s="79"/>
      <c r="BH3213" s="99"/>
    </row>
    <row r="3214" spans="51:60" x14ac:dyDescent="0.2">
      <c r="AY3214" s="79"/>
      <c r="AZ3214" s="85"/>
      <c r="BA3214" s="40"/>
      <c r="BB3214" s="99"/>
      <c r="BC3214" s="85"/>
      <c r="BG3214" s="79"/>
      <c r="BH3214" s="99"/>
    </row>
    <row r="3215" spans="51:60" x14ac:dyDescent="0.2">
      <c r="AY3215" s="79"/>
      <c r="AZ3215" s="85"/>
      <c r="BA3215" s="40"/>
      <c r="BB3215" s="99"/>
      <c r="BC3215" s="85"/>
      <c r="BG3215" s="79"/>
      <c r="BH3215" s="99"/>
    </row>
    <row r="3216" spans="51:60" x14ac:dyDescent="0.2">
      <c r="AY3216" s="79"/>
      <c r="AZ3216" s="85"/>
      <c r="BA3216" s="40"/>
      <c r="BB3216" s="99"/>
      <c r="BC3216" s="85"/>
      <c r="BG3216" s="79"/>
      <c r="BH3216" s="99"/>
    </row>
    <row r="3217" spans="51:60" x14ac:dyDescent="0.2">
      <c r="AY3217" s="79"/>
      <c r="AZ3217" s="85"/>
      <c r="BA3217" s="40"/>
      <c r="BB3217" s="99"/>
      <c r="BC3217" s="85"/>
      <c r="BG3217" s="79"/>
      <c r="BH3217" s="99"/>
    </row>
    <row r="3218" spans="51:60" x14ac:dyDescent="0.2">
      <c r="AY3218" s="79"/>
      <c r="AZ3218" s="85"/>
      <c r="BA3218" s="40"/>
      <c r="BB3218" s="99"/>
      <c r="BC3218" s="85"/>
      <c r="BG3218" s="79"/>
      <c r="BH3218" s="99"/>
    </row>
    <row r="3219" spans="51:60" x14ac:dyDescent="0.2">
      <c r="AY3219" s="79"/>
      <c r="AZ3219" s="85"/>
      <c r="BA3219" s="40"/>
      <c r="BB3219" s="99"/>
      <c r="BC3219" s="85"/>
      <c r="BG3219" s="79"/>
      <c r="BH3219" s="99"/>
    </row>
    <row r="3220" spans="51:60" x14ac:dyDescent="0.2">
      <c r="AY3220" s="79"/>
      <c r="AZ3220" s="85"/>
      <c r="BA3220" s="40"/>
      <c r="BB3220" s="99"/>
      <c r="BC3220" s="85"/>
      <c r="BG3220" s="79"/>
      <c r="BH3220" s="99"/>
    </row>
    <row r="3221" spans="51:60" x14ac:dyDescent="0.2">
      <c r="AY3221" s="79"/>
      <c r="AZ3221" s="85"/>
      <c r="BA3221" s="40"/>
      <c r="BB3221" s="99"/>
      <c r="BC3221" s="85"/>
      <c r="BG3221" s="79"/>
      <c r="BH3221" s="99"/>
    </row>
    <row r="3222" spans="51:60" x14ac:dyDescent="0.2">
      <c r="AY3222" s="79"/>
      <c r="AZ3222" s="85"/>
      <c r="BA3222" s="40"/>
      <c r="BB3222" s="99"/>
      <c r="BC3222" s="85"/>
      <c r="BG3222" s="79"/>
      <c r="BH3222" s="99"/>
    </row>
    <row r="3223" spans="51:60" x14ac:dyDescent="0.2">
      <c r="AY3223" s="79"/>
      <c r="AZ3223" s="85"/>
      <c r="BA3223" s="40"/>
      <c r="BB3223" s="99"/>
      <c r="BC3223" s="85"/>
      <c r="BG3223" s="79"/>
      <c r="BH3223" s="99"/>
    </row>
    <row r="3224" spans="51:60" x14ac:dyDescent="0.2">
      <c r="AY3224" s="79"/>
      <c r="AZ3224" s="85"/>
      <c r="BA3224" s="40"/>
      <c r="BB3224" s="99"/>
      <c r="BC3224" s="85"/>
      <c r="BG3224" s="79"/>
      <c r="BH3224" s="99"/>
    </row>
    <row r="3225" spans="51:60" x14ac:dyDescent="0.2">
      <c r="AY3225" s="79"/>
      <c r="AZ3225" s="85"/>
      <c r="BA3225" s="40"/>
      <c r="BB3225" s="99"/>
      <c r="BC3225" s="85"/>
      <c r="BG3225" s="79"/>
      <c r="BH3225" s="99"/>
    </row>
    <row r="3226" spans="51:60" x14ac:dyDescent="0.2">
      <c r="AY3226" s="79"/>
      <c r="AZ3226" s="85"/>
      <c r="BA3226" s="40"/>
      <c r="BB3226" s="99"/>
      <c r="BC3226" s="85"/>
      <c r="BG3226" s="79"/>
      <c r="BH3226" s="99"/>
    </row>
    <row r="3227" spans="51:60" x14ac:dyDescent="0.2">
      <c r="AY3227" s="79"/>
      <c r="AZ3227" s="85"/>
      <c r="BA3227" s="40"/>
      <c r="BB3227" s="99"/>
      <c r="BC3227" s="85"/>
      <c r="BG3227" s="79"/>
      <c r="BH3227" s="99"/>
    </row>
    <row r="3228" spans="51:60" x14ac:dyDescent="0.2">
      <c r="AY3228" s="79"/>
      <c r="AZ3228" s="85"/>
      <c r="BA3228" s="40"/>
      <c r="BB3228" s="99"/>
      <c r="BC3228" s="85"/>
      <c r="BG3228" s="79"/>
      <c r="BH3228" s="99"/>
    </row>
    <row r="3229" spans="51:60" x14ac:dyDescent="0.2">
      <c r="AY3229" s="79"/>
      <c r="AZ3229" s="85"/>
      <c r="BA3229" s="40"/>
      <c r="BB3229" s="99"/>
      <c r="BC3229" s="85"/>
      <c r="BG3229" s="79"/>
      <c r="BH3229" s="99"/>
    </row>
    <row r="3230" spans="51:60" x14ac:dyDescent="0.2">
      <c r="AY3230" s="79"/>
      <c r="AZ3230" s="85"/>
      <c r="BA3230" s="40"/>
      <c r="BB3230" s="99"/>
      <c r="BC3230" s="85"/>
      <c r="BG3230" s="79"/>
      <c r="BH3230" s="99"/>
    </row>
    <row r="3231" spans="51:60" x14ac:dyDescent="0.2">
      <c r="AY3231" s="79"/>
      <c r="AZ3231" s="85"/>
      <c r="BA3231" s="40"/>
      <c r="BB3231" s="99"/>
      <c r="BC3231" s="85"/>
      <c r="BG3231" s="79"/>
      <c r="BH3231" s="99"/>
    </row>
    <row r="3232" spans="51:60" x14ac:dyDescent="0.2">
      <c r="AY3232" s="79"/>
      <c r="AZ3232" s="85"/>
      <c r="BA3232" s="40"/>
      <c r="BB3232" s="99"/>
      <c r="BC3232" s="85"/>
      <c r="BG3232" s="79"/>
      <c r="BH3232" s="99"/>
    </row>
    <row r="3233" spans="51:60" x14ac:dyDescent="0.2">
      <c r="AY3233" s="79"/>
      <c r="AZ3233" s="85"/>
      <c r="BA3233" s="40"/>
      <c r="BB3233" s="99"/>
      <c r="BC3233" s="85"/>
      <c r="BG3233" s="79"/>
      <c r="BH3233" s="99"/>
    </row>
    <row r="3234" spans="51:60" x14ac:dyDescent="0.2">
      <c r="AY3234" s="79"/>
      <c r="AZ3234" s="85"/>
      <c r="BA3234" s="40"/>
      <c r="BB3234" s="99"/>
      <c r="BC3234" s="85"/>
      <c r="BG3234" s="79"/>
      <c r="BH3234" s="99"/>
    </row>
    <row r="3235" spans="51:60" x14ac:dyDescent="0.2">
      <c r="AY3235" s="79"/>
      <c r="AZ3235" s="85"/>
      <c r="BA3235" s="40"/>
      <c r="BB3235" s="99"/>
      <c r="BC3235" s="85"/>
      <c r="BG3235" s="79"/>
      <c r="BH3235" s="99"/>
    </row>
    <row r="3236" spans="51:60" x14ac:dyDescent="0.2">
      <c r="AY3236" s="79"/>
      <c r="AZ3236" s="85"/>
      <c r="BA3236" s="40"/>
      <c r="BB3236" s="99"/>
      <c r="BC3236" s="85"/>
      <c r="BG3236" s="79"/>
      <c r="BH3236" s="99"/>
    </row>
    <row r="3237" spans="51:60" x14ac:dyDescent="0.2">
      <c r="AY3237" s="79"/>
      <c r="AZ3237" s="85"/>
      <c r="BA3237" s="40"/>
      <c r="BB3237" s="99"/>
      <c r="BC3237" s="85"/>
      <c r="BG3237" s="79"/>
      <c r="BH3237" s="99"/>
    </row>
    <row r="3238" spans="51:60" x14ac:dyDescent="0.2">
      <c r="AY3238" s="79"/>
      <c r="AZ3238" s="85"/>
      <c r="BA3238" s="40"/>
      <c r="BB3238" s="99"/>
      <c r="BC3238" s="85"/>
      <c r="BG3238" s="79"/>
      <c r="BH3238" s="99"/>
    </row>
    <row r="3239" spans="51:60" x14ac:dyDescent="0.2">
      <c r="AY3239" s="79"/>
      <c r="AZ3239" s="85"/>
      <c r="BA3239" s="40"/>
      <c r="BB3239" s="99"/>
      <c r="BC3239" s="85"/>
      <c r="BG3239" s="79"/>
      <c r="BH3239" s="99"/>
    </row>
    <row r="3240" spans="51:60" x14ac:dyDescent="0.2">
      <c r="AY3240" s="79"/>
      <c r="AZ3240" s="85"/>
      <c r="BA3240" s="40"/>
      <c r="BB3240" s="99"/>
      <c r="BC3240" s="85"/>
      <c r="BG3240" s="79"/>
      <c r="BH3240" s="99"/>
    </row>
    <row r="3241" spans="51:60" x14ac:dyDescent="0.2">
      <c r="AY3241" s="79"/>
      <c r="AZ3241" s="85"/>
      <c r="BA3241" s="40"/>
      <c r="BB3241" s="99"/>
      <c r="BC3241" s="85"/>
      <c r="BG3241" s="79"/>
      <c r="BH3241" s="99"/>
    </row>
    <row r="3242" spans="51:60" x14ac:dyDescent="0.2">
      <c r="AY3242" s="79"/>
      <c r="AZ3242" s="85"/>
      <c r="BA3242" s="40"/>
      <c r="BB3242" s="99"/>
      <c r="BC3242" s="85"/>
      <c r="BG3242" s="79"/>
      <c r="BH3242" s="99"/>
    </row>
    <row r="3243" spans="51:60" x14ac:dyDescent="0.2">
      <c r="AY3243" s="79"/>
      <c r="AZ3243" s="85"/>
      <c r="BA3243" s="40"/>
      <c r="BB3243" s="99"/>
      <c r="BC3243" s="85"/>
      <c r="BG3243" s="79"/>
      <c r="BH3243" s="99"/>
    </row>
    <row r="3244" spans="51:60" x14ac:dyDescent="0.2">
      <c r="AY3244" s="79"/>
      <c r="AZ3244" s="85"/>
      <c r="BA3244" s="40"/>
      <c r="BB3244" s="99"/>
      <c r="BC3244" s="85"/>
      <c r="BG3244" s="79"/>
      <c r="BH3244" s="99"/>
    </row>
    <row r="3245" spans="51:60" x14ac:dyDescent="0.2">
      <c r="AY3245" s="79"/>
      <c r="AZ3245" s="85"/>
      <c r="BA3245" s="40"/>
      <c r="BB3245" s="99"/>
      <c r="BC3245" s="85"/>
      <c r="BG3245" s="79"/>
      <c r="BH3245" s="99"/>
    </row>
    <row r="3246" spans="51:60" x14ac:dyDescent="0.2">
      <c r="AY3246" s="79"/>
      <c r="AZ3246" s="85"/>
      <c r="BA3246" s="40"/>
      <c r="BB3246" s="99"/>
      <c r="BC3246" s="85"/>
      <c r="BG3246" s="79"/>
      <c r="BH3246" s="99"/>
    </row>
    <row r="3247" spans="51:60" x14ac:dyDescent="0.2">
      <c r="AY3247" s="79"/>
      <c r="AZ3247" s="85"/>
      <c r="BA3247" s="40"/>
      <c r="BB3247" s="99"/>
      <c r="BC3247" s="85"/>
      <c r="BG3247" s="79"/>
      <c r="BH3247" s="99"/>
    </row>
    <row r="3248" spans="51:60" x14ac:dyDescent="0.2">
      <c r="AY3248" s="79"/>
      <c r="AZ3248" s="85"/>
      <c r="BA3248" s="40"/>
      <c r="BB3248" s="99"/>
      <c r="BC3248" s="85"/>
      <c r="BG3248" s="79"/>
      <c r="BH3248" s="99"/>
    </row>
    <row r="3249" spans="51:60" x14ac:dyDescent="0.2">
      <c r="AY3249" s="79"/>
      <c r="AZ3249" s="85"/>
      <c r="BA3249" s="40"/>
      <c r="BB3249" s="99"/>
      <c r="BC3249" s="85"/>
      <c r="BG3249" s="79"/>
      <c r="BH3249" s="99"/>
    </row>
    <row r="3250" spans="51:60" x14ac:dyDescent="0.2">
      <c r="AY3250" s="79"/>
      <c r="AZ3250" s="85"/>
      <c r="BA3250" s="40"/>
      <c r="BB3250" s="99"/>
      <c r="BC3250" s="85"/>
      <c r="BG3250" s="79"/>
      <c r="BH3250" s="99"/>
    </row>
    <row r="3251" spans="51:60" x14ac:dyDescent="0.2">
      <c r="AY3251" s="79"/>
      <c r="AZ3251" s="85"/>
      <c r="BA3251" s="40"/>
      <c r="BB3251" s="99"/>
      <c r="BC3251" s="85"/>
      <c r="BG3251" s="79"/>
      <c r="BH3251" s="99"/>
    </row>
    <row r="3252" spans="51:60" x14ac:dyDescent="0.2">
      <c r="AY3252" s="79"/>
      <c r="AZ3252" s="85"/>
      <c r="BA3252" s="40"/>
      <c r="BB3252" s="99"/>
      <c r="BC3252" s="85"/>
      <c r="BG3252" s="79"/>
      <c r="BH3252" s="99"/>
    </row>
    <row r="3253" spans="51:60" x14ac:dyDescent="0.2">
      <c r="AY3253" s="79"/>
      <c r="AZ3253" s="85"/>
      <c r="BA3253" s="40"/>
      <c r="BB3253" s="99"/>
      <c r="BC3253" s="85"/>
      <c r="BG3253" s="79"/>
      <c r="BH3253" s="99"/>
    </row>
    <row r="3254" spans="51:60" x14ac:dyDescent="0.2">
      <c r="AY3254" s="79"/>
      <c r="AZ3254" s="85"/>
      <c r="BA3254" s="40"/>
      <c r="BB3254" s="99"/>
      <c r="BC3254" s="85"/>
      <c r="BG3254" s="79"/>
      <c r="BH3254" s="99"/>
    </row>
    <row r="3255" spans="51:60" x14ac:dyDescent="0.2">
      <c r="AY3255" s="79"/>
      <c r="AZ3255" s="85"/>
      <c r="BA3255" s="40"/>
      <c r="BB3255" s="99"/>
      <c r="BC3255" s="85"/>
      <c r="BG3255" s="79"/>
      <c r="BH3255" s="99"/>
    </row>
    <row r="3256" spans="51:60" x14ac:dyDescent="0.2">
      <c r="AY3256" s="79"/>
      <c r="AZ3256" s="85"/>
      <c r="BA3256" s="40"/>
      <c r="BB3256" s="99"/>
      <c r="BC3256" s="85"/>
      <c r="BG3256" s="79"/>
      <c r="BH3256" s="99"/>
    </row>
    <row r="3257" spans="51:60" x14ac:dyDescent="0.2">
      <c r="AY3257" s="79"/>
      <c r="AZ3257" s="85"/>
      <c r="BA3257" s="40"/>
      <c r="BB3257" s="99"/>
      <c r="BC3257" s="85"/>
      <c r="BG3257" s="79"/>
      <c r="BH3257" s="99"/>
    </row>
    <row r="3258" spans="51:60" x14ac:dyDescent="0.2">
      <c r="AY3258" s="79"/>
      <c r="AZ3258" s="85"/>
      <c r="BA3258" s="40"/>
      <c r="BB3258" s="99"/>
      <c r="BC3258" s="85"/>
      <c r="BG3258" s="79"/>
      <c r="BH3258" s="99"/>
    </row>
    <row r="3259" spans="51:60" x14ac:dyDescent="0.2">
      <c r="AY3259" s="79"/>
      <c r="AZ3259" s="85"/>
      <c r="BA3259" s="40"/>
      <c r="BB3259" s="99"/>
      <c r="BC3259" s="85"/>
      <c r="BG3259" s="79"/>
      <c r="BH3259" s="99"/>
    </row>
    <row r="3260" spans="51:60" x14ac:dyDescent="0.2">
      <c r="AY3260" s="79"/>
      <c r="AZ3260" s="85"/>
      <c r="BA3260" s="40"/>
      <c r="BB3260" s="99"/>
      <c r="BC3260" s="85"/>
      <c r="BG3260" s="79"/>
      <c r="BH3260" s="99"/>
    </row>
    <row r="3261" spans="51:60" x14ac:dyDescent="0.2">
      <c r="AY3261" s="79"/>
      <c r="AZ3261" s="85"/>
      <c r="BA3261" s="40"/>
      <c r="BB3261" s="99"/>
      <c r="BC3261" s="85"/>
      <c r="BG3261" s="79"/>
      <c r="BH3261" s="99"/>
    </row>
    <row r="3262" spans="51:60" x14ac:dyDescent="0.2">
      <c r="AY3262" s="79"/>
      <c r="AZ3262" s="85"/>
      <c r="BA3262" s="40"/>
      <c r="BB3262" s="99"/>
      <c r="BC3262" s="85"/>
      <c r="BG3262" s="79"/>
      <c r="BH3262" s="99"/>
    </row>
    <row r="3263" spans="51:60" x14ac:dyDescent="0.2">
      <c r="AY3263" s="79"/>
      <c r="AZ3263" s="85"/>
      <c r="BA3263" s="40"/>
      <c r="BB3263" s="99"/>
      <c r="BC3263" s="85"/>
      <c r="BG3263" s="79"/>
      <c r="BH3263" s="99"/>
    </row>
    <row r="3264" spans="51:60" x14ac:dyDescent="0.2">
      <c r="AY3264" s="79"/>
      <c r="AZ3264" s="85"/>
      <c r="BA3264" s="40"/>
      <c r="BB3264" s="99"/>
      <c r="BC3264" s="85"/>
      <c r="BG3264" s="79"/>
      <c r="BH3264" s="99"/>
    </row>
    <row r="3265" spans="51:60" x14ac:dyDescent="0.2">
      <c r="AY3265" s="79"/>
      <c r="AZ3265" s="85"/>
      <c r="BA3265" s="40"/>
      <c r="BB3265" s="99"/>
      <c r="BC3265" s="85"/>
      <c r="BG3265" s="79"/>
      <c r="BH3265" s="99"/>
    </row>
    <row r="3266" spans="51:60" x14ac:dyDescent="0.2">
      <c r="AY3266" s="79"/>
      <c r="AZ3266" s="85"/>
      <c r="BA3266" s="40"/>
      <c r="BB3266" s="99"/>
      <c r="BC3266" s="85"/>
      <c r="BG3266" s="79"/>
      <c r="BH3266" s="99"/>
    </row>
    <row r="3267" spans="51:60" x14ac:dyDescent="0.2">
      <c r="AY3267" s="79"/>
      <c r="AZ3267" s="85"/>
      <c r="BA3267" s="40"/>
      <c r="BB3267" s="99"/>
      <c r="BC3267" s="85"/>
      <c r="BG3267" s="79"/>
      <c r="BH3267" s="99"/>
    </row>
    <row r="3268" spans="51:60" x14ac:dyDescent="0.2">
      <c r="AY3268" s="79"/>
      <c r="AZ3268" s="85"/>
      <c r="BA3268" s="40"/>
      <c r="BB3268" s="99"/>
      <c r="BC3268" s="85"/>
      <c r="BG3268" s="79"/>
      <c r="BH3268" s="99"/>
    </row>
    <row r="3269" spans="51:60" x14ac:dyDescent="0.2">
      <c r="AY3269" s="79"/>
      <c r="AZ3269" s="85"/>
      <c r="BA3269" s="40"/>
      <c r="BB3269" s="99"/>
      <c r="BC3269" s="85"/>
      <c r="BG3269" s="79"/>
      <c r="BH3269" s="99"/>
    </row>
    <row r="3270" spans="51:60" x14ac:dyDescent="0.2">
      <c r="AY3270" s="79"/>
      <c r="AZ3270" s="85"/>
      <c r="BA3270" s="40"/>
      <c r="BB3270" s="99"/>
      <c r="BC3270" s="85"/>
      <c r="BG3270" s="79"/>
      <c r="BH3270" s="99"/>
    </row>
    <row r="3271" spans="51:60" x14ac:dyDescent="0.2">
      <c r="AY3271" s="79"/>
      <c r="AZ3271" s="85"/>
      <c r="BA3271" s="40"/>
      <c r="BB3271" s="99"/>
      <c r="BC3271" s="85"/>
      <c r="BG3271" s="79"/>
      <c r="BH3271" s="99"/>
    </row>
    <row r="3272" spans="51:60" x14ac:dyDescent="0.2">
      <c r="AY3272" s="79"/>
      <c r="AZ3272" s="85"/>
      <c r="BA3272" s="40"/>
      <c r="BB3272" s="99"/>
      <c r="BC3272" s="85"/>
      <c r="BG3272" s="79"/>
      <c r="BH3272" s="99"/>
    </row>
    <row r="3273" spans="51:60" x14ac:dyDescent="0.2">
      <c r="AY3273" s="79"/>
      <c r="AZ3273" s="85"/>
      <c r="BA3273" s="40"/>
      <c r="BB3273" s="99"/>
      <c r="BC3273" s="85"/>
      <c r="BG3273" s="79"/>
      <c r="BH3273" s="99"/>
    </row>
    <row r="3274" spans="51:60" x14ac:dyDescent="0.2">
      <c r="AY3274" s="79"/>
      <c r="AZ3274" s="85"/>
      <c r="BA3274" s="40"/>
      <c r="BB3274" s="99"/>
      <c r="BC3274" s="85"/>
      <c r="BG3274" s="79"/>
      <c r="BH3274" s="99"/>
    </row>
    <row r="3275" spans="51:60" x14ac:dyDescent="0.2">
      <c r="AY3275" s="79"/>
      <c r="AZ3275" s="85"/>
      <c r="BA3275" s="40"/>
      <c r="BB3275" s="99"/>
      <c r="BC3275" s="85"/>
      <c r="BG3275" s="79"/>
      <c r="BH3275" s="99"/>
    </row>
    <row r="3276" spans="51:60" x14ac:dyDescent="0.2">
      <c r="AY3276" s="79"/>
      <c r="AZ3276" s="85"/>
      <c r="BA3276" s="40"/>
      <c r="BB3276" s="99"/>
      <c r="BC3276" s="85"/>
      <c r="BG3276" s="79"/>
      <c r="BH3276" s="99"/>
    </row>
    <row r="3277" spans="51:60" x14ac:dyDescent="0.2">
      <c r="AY3277" s="79"/>
      <c r="AZ3277" s="85"/>
      <c r="BA3277" s="40"/>
      <c r="BB3277" s="99"/>
      <c r="BC3277" s="85"/>
      <c r="BG3277" s="79"/>
      <c r="BH3277" s="99"/>
    </row>
    <row r="3278" spans="51:60" x14ac:dyDescent="0.2">
      <c r="AY3278" s="79"/>
      <c r="AZ3278" s="85"/>
      <c r="BA3278" s="40"/>
      <c r="BB3278" s="99"/>
      <c r="BC3278" s="85"/>
      <c r="BG3278" s="79"/>
      <c r="BH3278" s="99"/>
    </row>
    <row r="3279" spans="51:60" x14ac:dyDescent="0.2">
      <c r="AY3279" s="79"/>
      <c r="AZ3279" s="85"/>
      <c r="BA3279" s="40"/>
      <c r="BB3279" s="99"/>
      <c r="BC3279" s="85"/>
      <c r="BG3279" s="79"/>
      <c r="BH3279" s="99"/>
    </row>
    <row r="3280" spans="51:60" x14ac:dyDescent="0.2">
      <c r="AY3280" s="79"/>
      <c r="AZ3280" s="85"/>
      <c r="BA3280" s="40"/>
      <c r="BB3280" s="99"/>
      <c r="BC3280" s="85"/>
      <c r="BG3280" s="79"/>
      <c r="BH3280" s="99"/>
    </row>
    <row r="3281" spans="51:60" x14ac:dyDescent="0.2">
      <c r="AY3281" s="79"/>
      <c r="AZ3281" s="85"/>
      <c r="BA3281" s="40"/>
      <c r="BB3281" s="99"/>
      <c r="BC3281" s="85"/>
      <c r="BG3281" s="79"/>
      <c r="BH3281" s="99"/>
    </row>
    <row r="3282" spans="51:60" x14ac:dyDescent="0.2">
      <c r="AY3282" s="79"/>
      <c r="AZ3282" s="85"/>
      <c r="BA3282" s="40"/>
      <c r="BB3282" s="99"/>
      <c r="BC3282" s="85"/>
      <c r="BG3282" s="79"/>
      <c r="BH3282" s="99"/>
    </row>
    <row r="3283" spans="51:60" x14ac:dyDescent="0.2">
      <c r="AY3283" s="79"/>
      <c r="AZ3283" s="85"/>
      <c r="BA3283" s="40"/>
      <c r="BB3283" s="99"/>
      <c r="BC3283" s="85"/>
      <c r="BG3283" s="79"/>
      <c r="BH3283" s="99"/>
    </row>
    <row r="3284" spans="51:60" x14ac:dyDescent="0.2">
      <c r="AY3284" s="79"/>
      <c r="AZ3284" s="85"/>
      <c r="BA3284" s="40"/>
      <c r="BB3284" s="99"/>
      <c r="BC3284" s="85"/>
      <c r="BG3284" s="79"/>
      <c r="BH3284" s="99"/>
    </row>
    <row r="3285" spans="51:60" x14ac:dyDescent="0.2">
      <c r="AY3285" s="79"/>
      <c r="AZ3285" s="85"/>
      <c r="BA3285" s="40"/>
      <c r="BB3285" s="99"/>
      <c r="BC3285" s="85"/>
      <c r="BG3285" s="79"/>
      <c r="BH3285" s="99"/>
    </row>
    <row r="3286" spans="51:60" x14ac:dyDescent="0.2">
      <c r="AY3286" s="79"/>
      <c r="AZ3286" s="85"/>
      <c r="BA3286" s="40"/>
      <c r="BB3286" s="99"/>
      <c r="BC3286" s="85"/>
      <c r="BG3286" s="79"/>
      <c r="BH3286" s="99"/>
    </row>
    <row r="3287" spans="51:60" x14ac:dyDescent="0.2">
      <c r="AY3287" s="79"/>
      <c r="AZ3287" s="85"/>
      <c r="BA3287" s="40"/>
      <c r="BB3287" s="99"/>
      <c r="BC3287" s="85"/>
      <c r="BG3287" s="79"/>
      <c r="BH3287" s="99"/>
    </row>
    <row r="3288" spans="51:60" x14ac:dyDescent="0.2">
      <c r="AY3288" s="79"/>
      <c r="AZ3288" s="85"/>
      <c r="BA3288" s="40"/>
      <c r="BB3288" s="99"/>
      <c r="BC3288" s="85"/>
      <c r="BG3288" s="79"/>
      <c r="BH3288" s="99"/>
    </row>
    <row r="3289" spans="51:60" x14ac:dyDescent="0.2">
      <c r="AY3289" s="79"/>
      <c r="AZ3289" s="85"/>
      <c r="BA3289" s="40"/>
      <c r="BB3289" s="99"/>
      <c r="BC3289" s="85"/>
      <c r="BG3289" s="79"/>
      <c r="BH3289" s="99"/>
    </row>
    <row r="3290" spans="51:60" x14ac:dyDescent="0.2">
      <c r="AY3290" s="79"/>
      <c r="AZ3290" s="85"/>
      <c r="BA3290" s="40"/>
      <c r="BB3290" s="99"/>
      <c r="BC3290" s="85"/>
      <c r="BG3290" s="79"/>
      <c r="BH3290" s="99"/>
    </row>
    <row r="3291" spans="51:60" x14ac:dyDescent="0.2">
      <c r="AY3291" s="79"/>
      <c r="AZ3291" s="85"/>
      <c r="BA3291" s="40"/>
      <c r="BB3291" s="99"/>
      <c r="BC3291" s="85"/>
      <c r="BG3291" s="79"/>
      <c r="BH3291" s="99"/>
    </row>
    <row r="3292" spans="51:60" x14ac:dyDescent="0.2">
      <c r="AY3292" s="79"/>
      <c r="AZ3292" s="85"/>
      <c r="BA3292" s="40"/>
      <c r="BB3292" s="99"/>
      <c r="BC3292" s="85"/>
      <c r="BG3292" s="79"/>
      <c r="BH3292" s="99"/>
    </row>
    <row r="3293" spans="51:60" x14ac:dyDescent="0.2">
      <c r="AY3293" s="79"/>
      <c r="AZ3293" s="85"/>
      <c r="BA3293" s="40"/>
      <c r="BB3293" s="99"/>
      <c r="BC3293" s="85"/>
      <c r="BG3293" s="79"/>
      <c r="BH3293" s="99"/>
    </row>
    <row r="3294" spans="51:60" x14ac:dyDescent="0.2">
      <c r="AY3294" s="79"/>
      <c r="AZ3294" s="85"/>
      <c r="BA3294" s="40"/>
      <c r="BB3294" s="99"/>
      <c r="BC3294" s="85"/>
      <c r="BG3294" s="79"/>
      <c r="BH3294" s="99"/>
    </row>
    <row r="3295" spans="51:60" x14ac:dyDescent="0.2">
      <c r="AY3295" s="79"/>
      <c r="AZ3295" s="85"/>
      <c r="BA3295" s="40"/>
      <c r="BB3295" s="99"/>
      <c r="BC3295" s="85"/>
      <c r="BG3295" s="79"/>
      <c r="BH3295" s="99"/>
    </row>
    <row r="3296" spans="51:60" x14ac:dyDescent="0.2">
      <c r="AY3296" s="79"/>
      <c r="AZ3296" s="85"/>
      <c r="BA3296" s="40"/>
      <c r="BB3296" s="99"/>
      <c r="BC3296" s="85"/>
      <c r="BG3296" s="79"/>
      <c r="BH3296" s="99"/>
    </row>
    <row r="3297" spans="51:60" x14ac:dyDescent="0.2">
      <c r="AY3297" s="79"/>
      <c r="AZ3297" s="85"/>
      <c r="BA3297" s="40"/>
      <c r="BB3297" s="99"/>
      <c r="BC3297" s="85"/>
      <c r="BG3297" s="79"/>
      <c r="BH3297" s="99"/>
    </row>
    <row r="3298" spans="51:60" x14ac:dyDescent="0.2">
      <c r="AY3298" s="79"/>
      <c r="AZ3298" s="85"/>
      <c r="BA3298" s="40"/>
      <c r="BB3298" s="99"/>
      <c r="BC3298" s="85"/>
      <c r="BG3298" s="79"/>
      <c r="BH3298" s="99"/>
    </row>
    <row r="3299" spans="51:60" x14ac:dyDescent="0.2">
      <c r="AY3299" s="79"/>
      <c r="AZ3299" s="85"/>
      <c r="BA3299" s="40"/>
      <c r="BB3299" s="99"/>
      <c r="BC3299" s="85"/>
      <c r="BG3299" s="79"/>
      <c r="BH3299" s="99"/>
    </row>
    <row r="3300" spans="51:60" x14ac:dyDescent="0.2">
      <c r="AY3300" s="79"/>
      <c r="AZ3300" s="85"/>
      <c r="BA3300" s="40"/>
      <c r="BB3300" s="99"/>
      <c r="BC3300" s="85"/>
      <c r="BG3300" s="79"/>
      <c r="BH3300" s="99"/>
    </row>
    <row r="3301" spans="51:60" x14ac:dyDescent="0.2">
      <c r="AY3301" s="79"/>
      <c r="AZ3301" s="85"/>
      <c r="BA3301" s="40"/>
      <c r="BB3301" s="99"/>
      <c r="BC3301" s="85"/>
      <c r="BG3301" s="79"/>
      <c r="BH3301" s="99"/>
    </row>
    <row r="3302" spans="51:60" x14ac:dyDescent="0.2">
      <c r="AY3302" s="79"/>
      <c r="AZ3302" s="85"/>
      <c r="BA3302" s="40"/>
      <c r="BB3302" s="99"/>
      <c r="BC3302" s="85"/>
      <c r="BG3302" s="79"/>
      <c r="BH3302" s="99"/>
    </row>
    <row r="3303" spans="51:60" x14ac:dyDescent="0.2">
      <c r="AY3303" s="79"/>
      <c r="AZ3303" s="85"/>
      <c r="BA3303" s="40"/>
      <c r="BB3303" s="99"/>
      <c r="BC3303" s="85"/>
      <c r="BG3303" s="79"/>
      <c r="BH3303" s="99"/>
    </row>
    <row r="3304" spans="51:60" x14ac:dyDescent="0.2">
      <c r="AY3304" s="79"/>
      <c r="AZ3304" s="85"/>
      <c r="BA3304" s="40"/>
      <c r="BB3304" s="99"/>
      <c r="BC3304" s="85"/>
      <c r="BG3304" s="79"/>
      <c r="BH3304" s="99"/>
    </row>
    <row r="3305" spans="51:60" x14ac:dyDescent="0.2">
      <c r="AY3305" s="79"/>
      <c r="AZ3305" s="85"/>
      <c r="BA3305" s="40"/>
      <c r="BB3305" s="99"/>
      <c r="BC3305" s="85"/>
      <c r="BG3305" s="79"/>
      <c r="BH3305" s="99"/>
    </row>
    <row r="3306" spans="51:60" x14ac:dyDescent="0.2">
      <c r="AY3306" s="79"/>
      <c r="AZ3306" s="85"/>
      <c r="BA3306" s="40"/>
      <c r="BB3306" s="99"/>
      <c r="BC3306" s="85"/>
      <c r="BG3306" s="79"/>
      <c r="BH3306" s="99"/>
    </row>
    <row r="3307" spans="51:60" x14ac:dyDescent="0.2">
      <c r="AY3307" s="79"/>
      <c r="AZ3307" s="85"/>
      <c r="BA3307" s="40"/>
      <c r="BB3307" s="99"/>
      <c r="BC3307" s="85"/>
      <c r="BG3307" s="79"/>
      <c r="BH3307" s="99"/>
    </row>
    <row r="3308" spans="51:60" x14ac:dyDescent="0.2">
      <c r="AY3308" s="79"/>
      <c r="AZ3308" s="85"/>
      <c r="BA3308" s="40"/>
      <c r="BB3308" s="99"/>
      <c r="BC3308" s="85"/>
      <c r="BG3308" s="79"/>
      <c r="BH3308" s="99"/>
    </row>
    <row r="3309" spans="51:60" x14ac:dyDescent="0.2">
      <c r="AY3309" s="79"/>
      <c r="AZ3309" s="85"/>
      <c r="BA3309" s="40"/>
      <c r="BB3309" s="99"/>
      <c r="BC3309" s="85"/>
      <c r="BG3309" s="79"/>
      <c r="BH3309" s="99"/>
    </row>
    <row r="3310" spans="51:60" x14ac:dyDescent="0.2">
      <c r="AY3310" s="79"/>
      <c r="AZ3310" s="85"/>
      <c r="BA3310" s="40"/>
      <c r="BB3310" s="99"/>
      <c r="BC3310" s="85"/>
      <c r="BG3310" s="79"/>
      <c r="BH3310" s="99"/>
    </row>
    <row r="3311" spans="51:60" x14ac:dyDescent="0.2">
      <c r="AY3311" s="79"/>
      <c r="AZ3311" s="85"/>
      <c r="BA3311" s="40"/>
      <c r="BB3311" s="99"/>
      <c r="BC3311" s="85"/>
      <c r="BG3311" s="79"/>
      <c r="BH3311" s="99"/>
    </row>
    <row r="3312" spans="51:60" x14ac:dyDescent="0.2">
      <c r="AY3312" s="79"/>
      <c r="AZ3312" s="85"/>
      <c r="BA3312" s="40"/>
      <c r="BB3312" s="99"/>
      <c r="BC3312" s="85"/>
      <c r="BG3312" s="79"/>
      <c r="BH3312" s="99"/>
    </row>
    <row r="3313" spans="51:60" x14ac:dyDescent="0.2">
      <c r="AY3313" s="79"/>
      <c r="AZ3313" s="85"/>
      <c r="BA3313" s="40"/>
      <c r="BB3313" s="99"/>
      <c r="BC3313" s="85"/>
      <c r="BG3313" s="79"/>
      <c r="BH3313" s="99"/>
    </row>
    <row r="3314" spans="51:60" x14ac:dyDescent="0.2">
      <c r="AY3314" s="79"/>
      <c r="AZ3314" s="85"/>
      <c r="BA3314" s="40"/>
      <c r="BB3314" s="99"/>
      <c r="BC3314" s="85"/>
      <c r="BG3314" s="79"/>
      <c r="BH3314" s="99"/>
    </row>
    <row r="3315" spans="51:60" x14ac:dyDescent="0.2">
      <c r="AY3315" s="79"/>
      <c r="AZ3315" s="85"/>
      <c r="BA3315" s="40"/>
      <c r="BB3315" s="99"/>
      <c r="BC3315" s="85"/>
      <c r="BG3315" s="79"/>
      <c r="BH3315" s="99"/>
    </row>
    <row r="3316" spans="51:60" x14ac:dyDescent="0.2">
      <c r="AY3316" s="79"/>
      <c r="AZ3316" s="85"/>
      <c r="BA3316" s="40"/>
      <c r="BB3316" s="99"/>
      <c r="BC3316" s="85"/>
      <c r="BG3316" s="79"/>
      <c r="BH3316" s="99"/>
    </row>
    <row r="3317" spans="51:60" x14ac:dyDescent="0.2">
      <c r="AY3317" s="79"/>
      <c r="AZ3317" s="85"/>
      <c r="BA3317" s="40"/>
      <c r="BB3317" s="99"/>
      <c r="BC3317" s="85"/>
      <c r="BG3317" s="79"/>
      <c r="BH3317" s="99"/>
    </row>
    <row r="3318" spans="51:60" x14ac:dyDescent="0.2">
      <c r="AY3318" s="79"/>
      <c r="AZ3318" s="85"/>
      <c r="BA3318" s="40"/>
      <c r="BB3318" s="99"/>
      <c r="BC3318" s="85"/>
      <c r="BG3318" s="79"/>
      <c r="BH3318" s="99"/>
    </row>
    <row r="3319" spans="51:60" x14ac:dyDescent="0.2">
      <c r="AY3319" s="79"/>
      <c r="AZ3319" s="85"/>
      <c r="BA3319" s="40"/>
      <c r="BB3319" s="99"/>
      <c r="BC3319" s="85"/>
      <c r="BG3319" s="79"/>
      <c r="BH3319" s="99"/>
    </row>
    <row r="3320" spans="51:60" x14ac:dyDescent="0.2">
      <c r="AY3320" s="79"/>
      <c r="AZ3320" s="85"/>
      <c r="BA3320" s="40"/>
      <c r="BB3320" s="99"/>
      <c r="BC3320" s="85"/>
      <c r="BG3320" s="79"/>
      <c r="BH3320" s="99"/>
    </row>
    <row r="3321" spans="51:60" x14ac:dyDescent="0.2">
      <c r="AY3321" s="79"/>
      <c r="AZ3321" s="85"/>
      <c r="BA3321" s="40"/>
      <c r="BB3321" s="99"/>
      <c r="BC3321" s="85"/>
      <c r="BG3321" s="79"/>
      <c r="BH3321" s="99"/>
    </row>
    <row r="3322" spans="51:60" x14ac:dyDescent="0.2">
      <c r="AY3322" s="79"/>
      <c r="AZ3322" s="85"/>
      <c r="BA3322" s="40"/>
      <c r="BB3322" s="99"/>
      <c r="BC3322" s="85"/>
      <c r="BG3322" s="79"/>
      <c r="BH3322" s="99"/>
    </row>
    <row r="3323" spans="51:60" x14ac:dyDescent="0.2">
      <c r="AY3323" s="79"/>
      <c r="AZ3323" s="85"/>
      <c r="BA3323" s="40"/>
      <c r="BB3323" s="99"/>
      <c r="BC3323" s="85"/>
      <c r="BG3323" s="79"/>
      <c r="BH3323" s="99"/>
    </row>
    <row r="3324" spans="51:60" x14ac:dyDescent="0.2">
      <c r="AY3324" s="79"/>
      <c r="AZ3324" s="85"/>
      <c r="BA3324" s="40"/>
      <c r="BB3324" s="99"/>
      <c r="BC3324" s="85"/>
      <c r="BG3324" s="79"/>
      <c r="BH3324" s="99"/>
    </row>
    <row r="3325" spans="51:60" x14ac:dyDescent="0.2">
      <c r="AY3325" s="79"/>
      <c r="AZ3325" s="85"/>
      <c r="BA3325" s="40"/>
      <c r="BB3325" s="99"/>
      <c r="BC3325" s="85"/>
      <c r="BG3325" s="79"/>
      <c r="BH3325" s="99"/>
    </row>
    <row r="3326" spans="51:60" x14ac:dyDescent="0.2">
      <c r="AY3326" s="79"/>
      <c r="AZ3326" s="85"/>
      <c r="BA3326" s="40"/>
      <c r="BB3326" s="99"/>
      <c r="BC3326" s="85"/>
      <c r="BG3326" s="79"/>
      <c r="BH3326" s="99"/>
    </row>
    <row r="3327" spans="51:60" x14ac:dyDescent="0.2">
      <c r="AY3327" s="79"/>
      <c r="AZ3327" s="85"/>
      <c r="BA3327" s="40"/>
      <c r="BB3327" s="99"/>
      <c r="BC3327" s="85"/>
      <c r="BG3327" s="79"/>
      <c r="BH3327" s="99"/>
    </row>
    <row r="3328" spans="51:60" x14ac:dyDescent="0.2">
      <c r="AY3328" s="79"/>
      <c r="AZ3328" s="85"/>
      <c r="BA3328" s="40"/>
      <c r="BB3328" s="99"/>
      <c r="BC3328" s="85"/>
      <c r="BG3328" s="79"/>
      <c r="BH3328" s="99"/>
    </row>
    <row r="3329" spans="51:60" x14ac:dyDescent="0.2">
      <c r="AY3329" s="79"/>
      <c r="AZ3329" s="85"/>
      <c r="BA3329" s="40"/>
      <c r="BB3329" s="99"/>
      <c r="BC3329" s="85"/>
      <c r="BG3329" s="79"/>
      <c r="BH3329" s="99"/>
    </row>
    <row r="3330" spans="51:60" x14ac:dyDescent="0.2">
      <c r="AY3330" s="79"/>
      <c r="AZ3330" s="85"/>
      <c r="BA3330" s="40"/>
      <c r="BB3330" s="99"/>
      <c r="BC3330" s="85"/>
      <c r="BG3330" s="79"/>
      <c r="BH3330" s="99"/>
    </row>
    <row r="3331" spans="51:60" x14ac:dyDescent="0.2">
      <c r="AY3331" s="79"/>
      <c r="AZ3331" s="85"/>
      <c r="BA3331" s="40"/>
      <c r="BB3331" s="99"/>
      <c r="BC3331" s="85"/>
      <c r="BG3331" s="79"/>
      <c r="BH3331" s="99"/>
    </row>
    <row r="3332" spans="51:60" x14ac:dyDescent="0.2">
      <c r="AY3332" s="79"/>
      <c r="AZ3332" s="85"/>
      <c r="BA3332" s="40"/>
      <c r="BB3332" s="99"/>
      <c r="BC3332" s="85"/>
      <c r="BG3332" s="79"/>
      <c r="BH3332" s="99"/>
    </row>
    <row r="3333" spans="51:60" x14ac:dyDescent="0.2">
      <c r="AY3333" s="79"/>
      <c r="AZ3333" s="85"/>
      <c r="BA3333" s="40"/>
      <c r="BB3333" s="99"/>
      <c r="BC3333" s="85"/>
      <c r="BG3333" s="79"/>
      <c r="BH3333" s="99"/>
    </row>
    <row r="3334" spans="51:60" x14ac:dyDescent="0.2">
      <c r="AY3334" s="79"/>
      <c r="AZ3334" s="85"/>
      <c r="BA3334" s="40"/>
      <c r="BB3334" s="99"/>
      <c r="BC3334" s="85"/>
      <c r="BG3334" s="79"/>
      <c r="BH3334" s="99"/>
    </row>
    <row r="3335" spans="51:60" x14ac:dyDescent="0.2">
      <c r="AY3335" s="79"/>
      <c r="AZ3335" s="85"/>
      <c r="BA3335" s="40"/>
      <c r="BB3335" s="99"/>
      <c r="BC3335" s="85"/>
      <c r="BG3335" s="79"/>
      <c r="BH3335" s="99"/>
    </row>
    <row r="3336" spans="51:60" x14ac:dyDescent="0.2">
      <c r="AY3336" s="79"/>
      <c r="AZ3336" s="85"/>
      <c r="BA3336" s="40"/>
      <c r="BB3336" s="99"/>
      <c r="BC3336" s="85"/>
      <c r="BG3336" s="79"/>
      <c r="BH3336" s="99"/>
    </row>
    <row r="3337" spans="51:60" x14ac:dyDescent="0.2">
      <c r="AY3337" s="79"/>
      <c r="AZ3337" s="85"/>
      <c r="BA3337" s="40"/>
      <c r="BB3337" s="99"/>
      <c r="BC3337" s="85"/>
      <c r="BG3337" s="79"/>
      <c r="BH3337" s="99"/>
    </row>
    <row r="3338" spans="51:60" x14ac:dyDescent="0.2">
      <c r="AY3338" s="79"/>
      <c r="AZ3338" s="85"/>
      <c r="BA3338" s="40"/>
      <c r="BB3338" s="99"/>
      <c r="BC3338" s="85"/>
      <c r="BG3338" s="79"/>
      <c r="BH3338" s="99"/>
    </row>
    <row r="3339" spans="51:60" x14ac:dyDescent="0.2">
      <c r="AY3339" s="79"/>
      <c r="AZ3339" s="85"/>
      <c r="BA3339" s="40"/>
      <c r="BB3339" s="99"/>
      <c r="BC3339" s="85"/>
      <c r="BG3339" s="79"/>
      <c r="BH3339" s="99"/>
    </row>
    <row r="3340" spans="51:60" x14ac:dyDescent="0.2">
      <c r="AY3340" s="79"/>
      <c r="AZ3340" s="85"/>
      <c r="BA3340" s="40"/>
      <c r="BB3340" s="99"/>
      <c r="BC3340" s="85"/>
      <c r="BG3340" s="79"/>
      <c r="BH3340" s="99"/>
    </row>
    <row r="3341" spans="51:60" x14ac:dyDescent="0.2">
      <c r="AY3341" s="79"/>
      <c r="AZ3341" s="85"/>
      <c r="BA3341" s="40"/>
      <c r="BB3341" s="99"/>
      <c r="BC3341" s="85"/>
      <c r="BG3341" s="79"/>
      <c r="BH3341" s="99"/>
    </row>
    <row r="3342" spans="51:60" x14ac:dyDescent="0.2">
      <c r="AY3342" s="79"/>
      <c r="AZ3342" s="85"/>
      <c r="BA3342" s="40"/>
      <c r="BB3342" s="99"/>
      <c r="BC3342" s="85"/>
      <c r="BG3342" s="79"/>
      <c r="BH3342" s="99"/>
    </row>
    <row r="3343" spans="51:60" x14ac:dyDescent="0.2">
      <c r="AY3343" s="79"/>
      <c r="AZ3343" s="85"/>
      <c r="BA3343" s="40"/>
      <c r="BB3343" s="99"/>
      <c r="BC3343" s="85"/>
      <c r="BG3343" s="79"/>
      <c r="BH3343" s="99"/>
    </row>
    <row r="3344" spans="51:60" x14ac:dyDescent="0.2">
      <c r="AY3344" s="79"/>
      <c r="AZ3344" s="85"/>
      <c r="BA3344" s="40"/>
      <c r="BB3344" s="99"/>
      <c r="BC3344" s="85"/>
      <c r="BG3344" s="79"/>
      <c r="BH3344" s="99"/>
    </row>
    <row r="3345" spans="51:60" x14ac:dyDescent="0.2">
      <c r="AY3345" s="79"/>
      <c r="AZ3345" s="85"/>
      <c r="BA3345" s="40"/>
      <c r="BB3345" s="99"/>
      <c r="BC3345" s="85"/>
      <c r="BG3345" s="79"/>
      <c r="BH3345" s="99"/>
    </row>
    <row r="3346" spans="51:60" x14ac:dyDescent="0.2">
      <c r="AY3346" s="79"/>
      <c r="AZ3346" s="85"/>
      <c r="BA3346" s="40"/>
      <c r="BB3346" s="99"/>
      <c r="BC3346" s="85"/>
      <c r="BG3346" s="79"/>
      <c r="BH3346" s="99"/>
    </row>
    <row r="3347" spans="51:60" x14ac:dyDescent="0.2">
      <c r="AY3347" s="79"/>
      <c r="AZ3347" s="85"/>
      <c r="BA3347" s="40"/>
      <c r="BB3347" s="99"/>
      <c r="BC3347" s="85"/>
      <c r="BG3347" s="79"/>
      <c r="BH3347" s="99"/>
    </row>
    <row r="3348" spans="51:60" x14ac:dyDescent="0.2">
      <c r="AY3348" s="79"/>
      <c r="AZ3348" s="85"/>
      <c r="BA3348" s="40"/>
      <c r="BB3348" s="99"/>
      <c r="BC3348" s="85"/>
      <c r="BG3348" s="79"/>
      <c r="BH3348" s="99"/>
    </row>
    <row r="3349" spans="51:60" x14ac:dyDescent="0.2">
      <c r="AY3349" s="79"/>
      <c r="AZ3349" s="85"/>
      <c r="BA3349" s="40"/>
      <c r="BB3349" s="99"/>
      <c r="BC3349" s="85"/>
      <c r="BG3349" s="79"/>
      <c r="BH3349" s="99"/>
    </row>
    <row r="3350" spans="51:60" x14ac:dyDescent="0.2">
      <c r="AY3350" s="79"/>
      <c r="AZ3350" s="85"/>
      <c r="BA3350" s="40"/>
      <c r="BB3350" s="99"/>
      <c r="BC3350" s="85"/>
      <c r="BG3350" s="79"/>
      <c r="BH3350" s="99"/>
    </row>
    <row r="3351" spans="51:60" x14ac:dyDescent="0.2">
      <c r="AY3351" s="79"/>
      <c r="AZ3351" s="85"/>
      <c r="BA3351" s="40"/>
      <c r="BB3351" s="99"/>
      <c r="BC3351" s="85"/>
      <c r="BG3351" s="79"/>
      <c r="BH3351" s="99"/>
    </row>
    <row r="3352" spans="51:60" x14ac:dyDescent="0.2">
      <c r="AY3352" s="79"/>
      <c r="AZ3352" s="85"/>
      <c r="BA3352" s="40"/>
      <c r="BB3352" s="99"/>
      <c r="BC3352" s="85"/>
      <c r="BG3352" s="79"/>
      <c r="BH3352" s="99"/>
    </row>
    <row r="3353" spans="51:60" x14ac:dyDescent="0.2">
      <c r="AY3353" s="79"/>
      <c r="AZ3353" s="85"/>
      <c r="BA3353" s="40"/>
      <c r="BB3353" s="99"/>
      <c r="BC3353" s="85"/>
      <c r="BG3353" s="79"/>
      <c r="BH3353" s="99"/>
    </row>
    <row r="3354" spans="51:60" x14ac:dyDescent="0.2">
      <c r="AY3354" s="79"/>
      <c r="AZ3354" s="85"/>
      <c r="BA3354" s="40"/>
      <c r="BB3354" s="99"/>
      <c r="BC3354" s="85"/>
      <c r="BG3354" s="79"/>
      <c r="BH3354" s="99"/>
    </row>
    <row r="3355" spans="51:60" x14ac:dyDescent="0.2">
      <c r="AY3355" s="79"/>
      <c r="AZ3355" s="85"/>
      <c r="BA3355" s="40"/>
      <c r="BB3355" s="99"/>
      <c r="BC3355" s="85"/>
      <c r="BG3355" s="79"/>
      <c r="BH3355" s="99"/>
    </row>
    <row r="3356" spans="51:60" x14ac:dyDescent="0.2">
      <c r="AY3356" s="79"/>
      <c r="AZ3356" s="85"/>
      <c r="BA3356" s="40"/>
      <c r="BB3356" s="99"/>
      <c r="BC3356" s="85"/>
      <c r="BG3356" s="79"/>
      <c r="BH3356" s="99"/>
    </row>
    <row r="3357" spans="51:60" x14ac:dyDescent="0.2">
      <c r="AY3357" s="79"/>
      <c r="AZ3357" s="85"/>
      <c r="BA3357" s="40"/>
      <c r="BB3357" s="99"/>
      <c r="BC3357" s="85"/>
      <c r="BG3357" s="79"/>
      <c r="BH3357" s="99"/>
    </row>
    <row r="3358" spans="51:60" x14ac:dyDescent="0.2">
      <c r="AY3358" s="79"/>
      <c r="AZ3358" s="85"/>
      <c r="BA3358" s="40"/>
      <c r="BB3358" s="99"/>
      <c r="BC3358" s="85"/>
      <c r="BG3358" s="79"/>
      <c r="BH3358" s="99"/>
    </row>
    <row r="3359" spans="51:60" x14ac:dyDescent="0.2">
      <c r="AY3359" s="79"/>
      <c r="AZ3359" s="85"/>
      <c r="BA3359" s="40"/>
      <c r="BB3359" s="99"/>
      <c r="BC3359" s="85"/>
      <c r="BG3359" s="79"/>
      <c r="BH3359" s="99"/>
    </row>
    <row r="3360" spans="51:60" x14ac:dyDescent="0.2">
      <c r="AY3360" s="79"/>
      <c r="AZ3360" s="85"/>
      <c r="BA3360" s="40"/>
      <c r="BB3360" s="99"/>
      <c r="BC3360" s="85"/>
      <c r="BG3360" s="79"/>
      <c r="BH3360" s="99"/>
    </row>
    <row r="3361" spans="51:60" x14ac:dyDescent="0.2">
      <c r="AY3361" s="79"/>
      <c r="AZ3361" s="85"/>
      <c r="BA3361" s="40"/>
      <c r="BB3361" s="99"/>
      <c r="BC3361" s="85"/>
      <c r="BG3361" s="79"/>
      <c r="BH3361" s="99"/>
    </row>
    <row r="3362" spans="51:60" x14ac:dyDescent="0.2">
      <c r="AY3362" s="79"/>
      <c r="AZ3362" s="85"/>
      <c r="BA3362" s="40"/>
      <c r="BB3362" s="99"/>
      <c r="BC3362" s="85"/>
      <c r="BG3362" s="79"/>
      <c r="BH3362" s="99"/>
    </row>
    <row r="3363" spans="51:60" x14ac:dyDescent="0.2">
      <c r="AY3363" s="79"/>
      <c r="AZ3363" s="85"/>
      <c r="BA3363" s="40"/>
      <c r="BB3363" s="99"/>
      <c r="BC3363" s="85"/>
      <c r="BG3363" s="79"/>
      <c r="BH3363" s="99"/>
    </row>
    <row r="3364" spans="51:60" x14ac:dyDescent="0.2">
      <c r="AY3364" s="79"/>
      <c r="AZ3364" s="85"/>
      <c r="BA3364" s="40"/>
      <c r="BB3364" s="99"/>
      <c r="BC3364" s="85"/>
      <c r="BG3364" s="79"/>
      <c r="BH3364" s="99"/>
    </row>
    <row r="3365" spans="51:60" x14ac:dyDescent="0.2">
      <c r="AY3365" s="79"/>
      <c r="AZ3365" s="85"/>
      <c r="BA3365" s="40"/>
      <c r="BB3365" s="99"/>
      <c r="BC3365" s="85"/>
      <c r="BG3365" s="79"/>
      <c r="BH3365" s="99"/>
    </row>
    <row r="3366" spans="51:60" x14ac:dyDescent="0.2">
      <c r="AY3366" s="79"/>
      <c r="AZ3366" s="85"/>
      <c r="BA3366" s="40"/>
      <c r="BB3366" s="99"/>
      <c r="BC3366" s="85"/>
      <c r="BG3366" s="79"/>
      <c r="BH3366" s="99"/>
    </row>
    <row r="3367" spans="51:60" x14ac:dyDescent="0.2">
      <c r="AY3367" s="79"/>
      <c r="AZ3367" s="85"/>
      <c r="BA3367" s="40"/>
      <c r="BB3367" s="99"/>
      <c r="BC3367" s="85"/>
      <c r="BG3367" s="79"/>
      <c r="BH3367" s="99"/>
    </row>
    <row r="3368" spans="51:60" x14ac:dyDescent="0.2">
      <c r="AY3368" s="79"/>
      <c r="AZ3368" s="85"/>
      <c r="BA3368" s="40"/>
      <c r="BB3368" s="99"/>
      <c r="BC3368" s="85"/>
      <c r="BG3368" s="79"/>
      <c r="BH3368" s="99"/>
    </row>
    <row r="3369" spans="51:60" x14ac:dyDescent="0.2">
      <c r="AY3369" s="79"/>
      <c r="AZ3369" s="85"/>
      <c r="BA3369" s="40"/>
      <c r="BB3369" s="99"/>
      <c r="BC3369" s="85"/>
      <c r="BG3369" s="79"/>
      <c r="BH3369" s="99"/>
    </row>
    <row r="3370" spans="51:60" x14ac:dyDescent="0.2">
      <c r="AY3370" s="79"/>
      <c r="AZ3370" s="85"/>
      <c r="BA3370" s="40"/>
      <c r="BB3370" s="99"/>
      <c r="BC3370" s="85"/>
      <c r="BG3370" s="79"/>
      <c r="BH3370" s="99"/>
    </row>
    <row r="3371" spans="51:60" x14ac:dyDescent="0.2">
      <c r="AY3371" s="79"/>
      <c r="AZ3371" s="85"/>
      <c r="BA3371" s="40"/>
      <c r="BB3371" s="99"/>
      <c r="BC3371" s="85"/>
      <c r="BG3371" s="79"/>
      <c r="BH3371" s="99"/>
    </row>
    <row r="3372" spans="51:60" x14ac:dyDescent="0.2">
      <c r="AY3372" s="79"/>
      <c r="AZ3372" s="85"/>
      <c r="BA3372" s="40"/>
      <c r="BB3372" s="99"/>
      <c r="BC3372" s="85"/>
      <c r="BG3372" s="79"/>
      <c r="BH3372" s="99"/>
    </row>
    <row r="3373" spans="51:60" x14ac:dyDescent="0.2">
      <c r="AY3373" s="79"/>
      <c r="AZ3373" s="85"/>
      <c r="BA3373" s="40"/>
      <c r="BB3373" s="99"/>
      <c r="BC3373" s="85"/>
      <c r="BG3373" s="79"/>
      <c r="BH3373" s="99"/>
    </row>
    <row r="3374" spans="51:60" x14ac:dyDescent="0.2">
      <c r="AY3374" s="79"/>
      <c r="AZ3374" s="85"/>
      <c r="BA3374" s="40"/>
      <c r="BB3374" s="99"/>
      <c r="BC3374" s="85"/>
      <c r="BG3374" s="79"/>
      <c r="BH3374" s="99"/>
    </row>
    <row r="3375" spans="51:60" x14ac:dyDescent="0.2">
      <c r="AY3375" s="79"/>
      <c r="AZ3375" s="85"/>
      <c r="BA3375" s="40"/>
      <c r="BB3375" s="99"/>
      <c r="BC3375" s="85"/>
      <c r="BG3375" s="79"/>
      <c r="BH3375" s="99"/>
    </row>
    <row r="3376" spans="51:60" x14ac:dyDescent="0.2">
      <c r="AY3376" s="79"/>
      <c r="AZ3376" s="85"/>
      <c r="BA3376" s="40"/>
      <c r="BB3376" s="99"/>
      <c r="BC3376" s="85"/>
      <c r="BG3376" s="79"/>
      <c r="BH3376" s="99"/>
    </row>
    <row r="3377" spans="51:60" x14ac:dyDescent="0.2">
      <c r="AY3377" s="79"/>
      <c r="AZ3377" s="85"/>
      <c r="BA3377" s="40"/>
      <c r="BB3377" s="99"/>
      <c r="BC3377" s="85"/>
      <c r="BG3377" s="79"/>
      <c r="BH3377" s="99"/>
    </row>
    <row r="3378" spans="51:60" x14ac:dyDescent="0.2">
      <c r="AY3378" s="79"/>
      <c r="AZ3378" s="85"/>
      <c r="BA3378" s="40"/>
      <c r="BB3378" s="99"/>
      <c r="BC3378" s="85"/>
      <c r="BG3378" s="79"/>
      <c r="BH3378" s="99"/>
    </row>
    <row r="3379" spans="51:60" x14ac:dyDescent="0.2">
      <c r="AY3379" s="79"/>
      <c r="AZ3379" s="85"/>
      <c r="BA3379" s="40"/>
      <c r="BB3379" s="99"/>
      <c r="BC3379" s="85"/>
      <c r="BG3379" s="79"/>
      <c r="BH3379" s="99"/>
    </row>
    <row r="3380" spans="51:60" x14ac:dyDescent="0.2">
      <c r="AY3380" s="79"/>
      <c r="AZ3380" s="85"/>
      <c r="BA3380" s="40"/>
      <c r="BB3380" s="99"/>
      <c r="BC3380" s="85"/>
      <c r="BG3380" s="79"/>
      <c r="BH3380" s="99"/>
    </row>
    <row r="3381" spans="51:60" x14ac:dyDescent="0.2">
      <c r="AY3381" s="79"/>
      <c r="AZ3381" s="85"/>
      <c r="BA3381" s="40"/>
      <c r="BB3381" s="99"/>
      <c r="BC3381" s="85"/>
      <c r="BG3381" s="79"/>
      <c r="BH3381" s="99"/>
    </row>
    <row r="3382" spans="51:60" x14ac:dyDescent="0.2">
      <c r="AY3382" s="79"/>
      <c r="AZ3382" s="85"/>
      <c r="BA3382" s="40"/>
      <c r="BB3382" s="99"/>
      <c r="BC3382" s="85"/>
      <c r="BG3382" s="79"/>
      <c r="BH3382" s="99"/>
    </row>
    <row r="3383" spans="51:60" x14ac:dyDescent="0.2">
      <c r="AY3383" s="79"/>
      <c r="AZ3383" s="85"/>
      <c r="BA3383" s="40"/>
      <c r="BB3383" s="99"/>
      <c r="BC3383" s="85"/>
      <c r="BG3383" s="79"/>
      <c r="BH3383" s="99"/>
    </row>
    <row r="3384" spans="51:60" x14ac:dyDescent="0.2">
      <c r="AY3384" s="79"/>
      <c r="AZ3384" s="85"/>
      <c r="BA3384" s="40"/>
      <c r="BB3384" s="99"/>
      <c r="BC3384" s="85"/>
      <c r="BG3384" s="79"/>
      <c r="BH3384" s="99"/>
    </row>
    <row r="3385" spans="51:60" x14ac:dyDescent="0.2">
      <c r="AY3385" s="79"/>
      <c r="AZ3385" s="85"/>
      <c r="BA3385" s="40"/>
      <c r="BB3385" s="99"/>
      <c r="BC3385" s="85"/>
      <c r="BG3385" s="79"/>
      <c r="BH3385" s="99"/>
    </row>
    <row r="3386" spans="51:60" x14ac:dyDescent="0.2">
      <c r="AY3386" s="79"/>
      <c r="AZ3386" s="85"/>
      <c r="BA3386" s="40"/>
      <c r="BB3386" s="99"/>
      <c r="BC3386" s="85"/>
      <c r="BG3386" s="79"/>
      <c r="BH3386" s="99"/>
    </row>
    <row r="3387" spans="51:60" x14ac:dyDescent="0.2">
      <c r="AY3387" s="79"/>
      <c r="AZ3387" s="85"/>
      <c r="BA3387" s="40"/>
      <c r="BB3387" s="99"/>
      <c r="BC3387" s="85"/>
      <c r="BG3387" s="79"/>
      <c r="BH3387" s="99"/>
    </row>
    <row r="3388" spans="51:60" x14ac:dyDescent="0.2">
      <c r="AY3388" s="79"/>
      <c r="AZ3388" s="85"/>
      <c r="BA3388" s="40"/>
      <c r="BB3388" s="99"/>
      <c r="BC3388" s="85"/>
      <c r="BG3388" s="79"/>
      <c r="BH3388" s="99"/>
    </row>
    <row r="3389" spans="51:60" x14ac:dyDescent="0.2">
      <c r="AY3389" s="79"/>
      <c r="AZ3389" s="85"/>
      <c r="BA3389" s="40"/>
      <c r="BB3389" s="99"/>
      <c r="BC3389" s="85"/>
      <c r="BG3389" s="79"/>
      <c r="BH3389" s="99"/>
    </row>
    <row r="3390" spans="51:60" x14ac:dyDescent="0.2">
      <c r="AY3390" s="79"/>
      <c r="AZ3390" s="85"/>
      <c r="BA3390" s="40"/>
      <c r="BB3390" s="99"/>
      <c r="BC3390" s="85"/>
      <c r="BG3390" s="79"/>
      <c r="BH3390" s="99"/>
    </row>
    <row r="3391" spans="51:60" x14ac:dyDescent="0.2">
      <c r="AY3391" s="79"/>
      <c r="AZ3391" s="85"/>
      <c r="BA3391" s="40"/>
      <c r="BB3391" s="99"/>
      <c r="BC3391" s="85"/>
      <c r="BG3391" s="79"/>
      <c r="BH3391" s="99"/>
    </row>
    <row r="3392" spans="51:60" x14ac:dyDescent="0.2">
      <c r="AY3392" s="79"/>
      <c r="AZ3392" s="85"/>
      <c r="BA3392" s="40"/>
      <c r="BB3392" s="99"/>
      <c r="BC3392" s="85"/>
      <c r="BG3392" s="79"/>
      <c r="BH3392" s="99"/>
    </row>
    <row r="3393" spans="51:60" x14ac:dyDescent="0.2">
      <c r="AY3393" s="79"/>
      <c r="AZ3393" s="85"/>
      <c r="BA3393" s="40"/>
      <c r="BB3393" s="99"/>
      <c r="BC3393" s="85"/>
      <c r="BG3393" s="79"/>
      <c r="BH3393" s="99"/>
    </row>
    <row r="3394" spans="51:60" x14ac:dyDescent="0.2">
      <c r="AY3394" s="79"/>
      <c r="AZ3394" s="85"/>
      <c r="BA3394" s="40"/>
      <c r="BB3394" s="99"/>
      <c r="BC3394" s="85"/>
      <c r="BG3394" s="79"/>
      <c r="BH3394" s="99"/>
    </row>
    <row r="3395" spans="51:60" x14ac:dyDescent="0.2">
      <c r="AY3395" s="79"/>
      <c r="AZ3395" s="85"/>
      <c r="BA3395" s="40"/>
      <c r="BB3395" s="99"/>
      <c r="BC3395" s="85"/>
      <c r="BG3395" s="79"/>
      <c r="BH3395" s="99"/>
    </row>
    <row r="3396" spans="51:60" x14ac:dyDescent="0.2">
      <c r="AY3396" s="79"/>
      <c r="AZ3396" s="85"/>
      <c r="BA3396" s="40"/>
      <c r="BB3396" s="99"/>
      <c r="BC3396" s="85"/>
      <c r="BG3396" s="79"/>
      <c r="BH3396" s="99"/>
    </row>
    <row r="3397" spans="51:60" x14ac:dyDescent="0.2">
      <c r="AY3397" s="79"/>
      <c r="AZ3397" s="85"/>
      <c r="BA3397" s="40"/>
      <c r="BB3397" s="99"/>
      <c r="BC3397" s="85"/>
      <c r="BG3397" s="79"/>
      <c r="BH3397" s="99"/>
    </row>
    <row r="3398" spans="51:60" x14ac:dyDescent="0.2">
      <c r="AY3398" s="79"/>
      <c r="AZ3398" s="85"/>
      <c r="BA3398" s="40"/>
      <c r="BB3398" s="99"/>
      <c r="BC3398" s="85"/>
      <c r="BG3398" s="79"/>
      <c r="BH3398" s="99"/>
    </row>
    <row r="3399" spans="51:60" x14ac:dyDescent="0.2">
      <c r="AY3399" s="79"/>
      <c r="AZ3399" s="85"/>
      <c r="BA3399" s="40"/>
      <c r="BB3399" s="99"/>
      <c r="BC3399" s="85"/>
      <c r="BG3399" s="79"/>
      <c r="BH3399" s="99"/>
    </row>
    <row r="3400" spans="51:60" x14ac:dyDescent="0.2">
      <c r="AY3400" s="79"/>
      <c r="AZ3400" s="85"/>
      <c r="BA3400" s="40"/>
      <c r="BB3400" s="99"/>
      <c r="BC3400" s="85"/>
      <c r="BG3400" s="79"/>
      <c r="BH3400" s="99"/>
    </row>
    <row r="3401" spans="51:60" x14ac:dyDescent="0.2">
      <c r="AY3401" s="79"/>
      <c r="AZ3401" s="85"/>
      <c r="BA3401" s="40"/>
      <c r="BB3401" s="99"/>
      <c r="BC3401" s="85"/>
      <c r="BG3401" s="79"/>
      <c r="BH3401" s="99"/>
    </row>
    <row r="3402" spans="51:60" x14ac:dyDescent="0.2">
      <c r="AY3402" s="79"/>
      <c r="AZ3402" s="85"/>
      <c r="BA3402" s="40"/>
      <c r="BB3402" s="99"/>
      <c r="BC3402" s="85"/>
      <c r="BG3402" s="79"/>
      <c r="BH3402" s="99"/>
    </row>
    <row r="3403" spans="51:60" x14ac:dyDescent="0.2">
      <c r="AY3403" s="79"/>
      <c r="AZ3403" s="85"/>
      <c r="BA3403" s="40"/>
      <c r="BB3403" s="99"/>
      <c r="BC3403" s="85"/>
      <c r="BG3403" s="79"/>
      <c r="BH3403" s="99"/>
    </row>
    <row r="3404" spans="51:60" x14ac:dyDescent="0.2">
      <c r="AY3404" s="79"/>
      <c r="AZ3404" s="85"/>
      <c r="BA3404" s="40"/>
      <c r="BB3404" s="99"/>
      <c r="BC3404" s="85"/>
      <c r="BG3404" s="79"/>
      <c r="BH3404" s="99"/>
    </row>
    <row r="3405" spans="51:60" x14ac:dyDescent="0.2">
      <c r="AY3405" s="79"/>
      <c r="AZ3405" s="85"/>
      <c r="BA3405" s="40"/>
      <c r="BB3405" s="99"/>
      <c r="BC3405" s="85"/>
      <c r="BG3405" s="79"/>
      <c r="BH3405" s="99"/>
    </row>
    <row r="3406" spans="51:60" x14ac:dyDescent="0.2">
      <c r="AY3406" s="79"/>
      <c r="AZ3406" s="85"/>
      <c r="BA3406" s="40"/>
      <c r="BB3406" s="99"/>
      <c r="BC3406" s="85"/>
      <c r="BG3406" s="79"/>
      <c r="BH3406" s="99"/>
    </row>
    <row r="3407" spans="51:60" x14ac:dyDescent="0.2">
      <c r="AY3407" s="79"/>
      <c r="AZ3407" s="85"/>
      <c r="BA3407" s="40"/>
      <c r="BB3407" s="99"/>
      <c r="BC3407" s="85"/>
      <c r="BG3407" s="79"/>
      <c r="BH3407" s="99"/>
    </row>
    <row r="3408" spans="51:60" x14ac:dyDescent="0.2">
      <c r="AY3408" s="79"/>
      <c r="AZ3408" s="85"/>
      <c r="BA3408" s="40"/>
      <c r="BB3408" s="99"/>
      <c r="BC3408" s="85"/>
      <c r="BG3408" s="79"/>
      <c r="BH3408" s="99"/>
    </row>
    <row r="3409" spans="51:60" x14ac:dyDescent="0.2">
      <c r="AY3409" s="79"/>
      <c r="AZ3409" s="85"/>
      <c r="BA3409" s="40"/>
      <c r="BB3409" s="99"/>
      <c r="BC3409" s="85"/>
      <c r="BG3409" s="79"/>
      <c r="BH3409" s="99"/>
    </row>
    <row r="3410" spans="51:60" x14ac:dyDescent="0.2">
      <c r="AY3410" s="79"/>
      <c r="AZ3410" s="85"/>
      <c r="BA3410" s="40"/>
      <c r="BB3410" s="99"/>
      <c r="BC3410" s="85"/>
      <c r="BG3410" s="79"/>
      <c r="BH3410" s="99"/>
    </row>
    <row r="3411" spans="51:60" x14ac:dyDescent="0.2">
      <c r="AY3411" s="79"/>
      <c r="AZ3411" s="85"/>
      <c r="BA3411" s="40"/>
      <c r="BB3411" s="99"/>
      <c r="BC3411" s="85"/>
      <c r="BG3411" s="79"/>
      <c r="BH3411" s="99"/>
    </row>
    <row r="3412" spans="51:60" x14ac:dyDescent="0.2">
      <c r="AY3412" s="79"/>
      <c r="AZ3412" s="85"/>
      <c r="BA3412" s="40"/>
      <c r="BB3412" s="99"/>
      <c r="BC3412" s="85"/>
      <c r="BG3412" s="79"/>
      <c r="BH3412" s="99"/>
    </row>
    <row r="3413" spans="51:60" x14ac:dyDescent="0.2">
      <c r="AY3413" s="79"/>
      <c r="AZ3413" s="85"/>
      <c r="BA3413" s="40"/>
      <c r="BB3413" s="99"/>
      <c r="BC3413" s="85"/>
      <c r="BG3413" s="79"/>
      <c r="BH3413" s="99"/>
    </row>
    <row r="3414" spans="51:60" x14ac:dyDescent="0.2">
      <c r="AY3414" s="79"/>
      <c r="AZ3414" s="85"/>
      <c r="BA3414" s="40"/>
      <c r="BB3414" s="99"/>
      <c r="BC3414" s="85"/>
      <c r="BG3414" s="79"/>
      <c r="BH3414" s="99"/>
    </row>
    <row r="3415" spans="51:60" x14ac:dyDescent="0.2">
      <c r="AY3415" s="79"/>
      <c r="AZ3415" s="85"/>
      <c r="BA3415" s="40"/>
      <c r="BB3415" s="99"/>
      <c r="BC3415" s="85"/>
      <c r="BG3415" s="79"/>
      <c r="BH3415" s="99"/>
    </row>
    <row r="3416" spans="51:60" x14ac:dyDescent="0.2">
      <c r="AY3416" s="79"/>
      <c r="AZ3416" s="85"/>
      <c r="BA3416" s="40"/>
      <c r="BB3416" s="99"/>
      <c r="BC3416" s="85"/>
      <c r="BG3416" s="79"/>
      <c r="BH3416" s="99"/>
    </row>
    <row r="3417" spans="51:60" x14ac:dyDescent="0.2">
      <c r="AY3417" s="79"/>
      <c r="AZ3417" s="85"/>
      <c r="BA3417" s="40"/>
      <c r="BB3417" s="99"/>
      <c r="BC3417" s="85"/>
      <c r="BG3417" s="79"/>
      <c r="BH3417" s="99"/>
    </row>
    <row r="3418" spans="51:60" x14ac:dyDescent="0.2">
      <c r="AY3418" s="79"/>
      <c r="AZ3418" s="85"/>
      <c r="BA3418" s="40"/>
      <c r="BB3418" s="99"/>
      <c r="BC3418" s="85"/>
      <c r="BG3418" s="79"/>
      <c r="BH3418" s="99"/>
    </row>
    <row r="3419" spans="51:60" x14ac:dyDescent="0.2">
      <c r="AY3419" s="79"/>
      <c r="AZ3419" s="85"/>
      <c r="BA3419" s="40"/>
      <c r="BB3419" s="99"/>
      <c r="BC3419" s="85"/>
      <c r="BG3419" s="79"/>
      <c r="BH3419" s="99"/>
    </row>
    <row r="3420" spans="51:60" x14ac:dyDescent="0.2">
      <c r="AY3420" s="79"/>
      <c r="AZ3420" s="85"/>
      <c r="BA3420" s="40"/>
      <c r="BB3420" s="99"/>
      <c r="BC3420" s="85"/>
      <c r="BG3420" s="79"/>
      <c r="BH3420" s="99"/>
    </row>
    <row r="3421" spans="51:60" x14ac:dyDescent="0.2">
      <c r="AY3421" s="79"/>
      <c r="AZ3421" s="85"/>
      <c r="BA3421" s="40"/>
      <c r="BB3421" s="99"/>
      <c r="BC3421" s="85"/>
      <c r="BG3421" s="79"/>
      <c r="BH3421" s="99"/>
    </row>
    <row r="3422" spans="51:60" x14ac:dyDescent="0.2">
      <c r="AY3422" s="79"/>
      <c r="AZ3422" s="85"/>
      <c r="BA3422" s="40"/>
      <c r="BB3422" s="99"/>
      <c r="BC3422" s="85"/>
      <c r="BG3422" s="79"/>
      <c r="BH3422" s="99"/>
    </row>
    <row r="3423" spans="51:60" x14ac:dyDescent="0.2">
      <c r="AY3423" s="79"/>
      <c r="AZ3423" s="85"/>
      <c r="BA3423" s="40"/>
      <c r="BB3423" s="99"/>
      <c r="BC3423" s="85"/>
      <c r="BG3423" s="79"/>
      <c r="BH3423" s="99"/>
    </row>
    <row r="3424" spans="51:60" x14ac:dyDescent="0.2">
      <c r="AY3424" s="79"/>
      <c r="AZ3424" s="85"/>
      <c r="BA3424" s="40"/>
      <c r="BB3424" s="99"/>
      <c r="BC3424" s="85"/>
      <c r="BG3424" s="79"/>
      <c r="BH3424" s="99"/>
    </row>
    <row r="3425" spans="51:60" x14ac:dyDescent="0.2">
      <c r="AY3425" s="79"/>
      <c r="AZ3425" s="85"/>
      <c r="BA3425" s="40"/>
      <c r="BB3425" s="99"/>
      <c r="BC3425" s="85"/>
      <c r="BG3425" s="79"/>
      <c r="BH3425" s="99"/>
    </row>
    <row r="3426" spans="51:60" x14ac:dyDescent="0.2">
      <c r="AY3426" s="79"/>
      <c r="AZ3426" s="85"/>
      <c r="BA3426" s="40"/>
      <c r="BB3426" s="99"/>
      <c r="BC3426" s="85"/>
      <c r="BG3426" s="79"/>
      <c r="BH3426" s="99"/>
    </row>
    <row r="3427" spans="51:60" x14ac:dyDescent="0.2">
      <c r="AY3427" s="79"/>
      <c r="AZ3427" s="85"/>
      <c r="BA3427" s="40"/>
      <c r="BB3427" s="99"/>
      <c r="BC3427" s="85"/>
      <c r="BG3427" s="79"/>
      <c r="BH3427" s="99"/>
    </row>
    <row r="3428" spans="51:60" x14ac:dyDescent="0.2">
      <c r="AY3428" s="79"/>
      <c r="AZ3428" s="85"/>
      <c r="BA3428" s="40"/>
      <c r="BB3428" s="99"/>
      <c r="BC3428" s="85"/>
      <c r="BG3428" s="79"/>
      <c r="BH3428" s="99"/>
    </row>
    <row r="3429" spans="51:60" x14ac:dyDescent="0.2">
      <c r="AY3429" s="79"/>
      <c r="AZ3429" s="85"/>
      <c r="BA3429" s="40"/>
      <c r="BB3429" s="99"/>
      <c r="BC3429" s="85"/>
      <c r="BG3429" s="79"/>
      <c r="BH3429" s="99"/>
    </row>
    <row r="3430" spans="51:60" x14ac:dyDescent="0.2">
      <c r="AY3430" s="79"/>
      <c r="AZ3430" s="85"/>
      <c r="BA3430" s="40"/>
      <c r="BB3430" s="99"/>
      <c r="BC3430" s="85"/>
      <c r="BG3430" s="79"/>
      <c r="BH3430" s="99"/>
    </row>
    <row r="3431" spans="51:60" x14ac:dyDescent="0.2">
      <c r="AY3431" s="79"/>
      <c r="AZ3431" s="85"/>
      <c r="BA3431" s="40"/>
      <c r="BB3431" s="99"/>
      <c r="BC3431" s="85"/>
      <c r="BG3431" s="79"/>
      <c r="BH3431" s="99"/>
    </row>
    <row r="3432" spans="51:60" x14ac:dyDescent="0.2">
      <c r="AY3432" s="79"/>
      <c r="AZ3432" s="85"/>
      <c r="BA3432" s="40"/>
      <c r="BB3432" s="99"/>
      <c r="BC3432" s="85"/>
      <c r="BG3432" s="79"/>
      <c r="BH3432" s="99"/>
    </row>
    <row r="3433" spans="51:60" x14ac:dyDescent="0.2">
      <c r="AY3433" s="79"/>
      <c r="AZ3433" s="85"/>
      <c r="BA3433" s="40"/>
      <c r="BB3433" s="99"/>
      <c r="BC3433" s="85"/>
      <c r="BG3433" s="79"/>
      <c r="BH3433" s="99"/>
    </row>
    <row r="3434" spans="51:60" x14ac:dyDescent="0.2">
      <c r="AY3434" s="79"/>
      <c r="AZ3434" s="85"/>
      <c r="BA3434" s="40"/>
      <c r="BB3434" s="99"/>
      <c r="BC3434" s="85"/>
      <c r="BG3434" s="79"/>
      <c r="BH3434" s="99"/>
    </row>
    <row r="3435" spans="51:60" x14ac:dyDescent="0.2">
      <c r="AY3435" s="79"/>
      <c r="AZ3435" s="85"/>
      <c r="BA3435" s="40"/>
      <c r="BB3435" s="99"/>
      <c r="BC3435" s="85"/>
      <c r="BG3435" s="79"/>
      <c r="BH3435" s="99"/>
    </row>
    <row r="3436" spans="51:60" x14ac:dyDescent="0.2">
      <c r="AY3436" s="79"/>
      <c r="AZ3436" s="85"/>
      <c r="BA3436" s="40"/>
      <c r="BB3436" s="99"/>
      <c r="BC3436" s="85"/>
      <c r="BG3436" s="79"/>
      <c r="BH3436" s="99"/>
    </row>
    <row r="3437" spans="51:60" x14ac:dyDescent="0.2">
      <c r="AY3437" s="79"/>
      <c r="AZ3437" s="85"/>
      <c r="BA3437" s="40"/>
      <c r="BB3437" s="99"/>
      <c r="BC3437" s="85"/>
      <c r="BG3437" s="79"/>
      <c r="BH3437" s="99"/>
    </row>
    <row r="3438" spans="51:60" x14ac:dyDescent="0.2">
      <c r="AY3438" s="79"/>
      <c r="AZ3438" s="85"/>
      <c r="BA3438" s="40"/>
      <c r="BB3438" s="99"/>
      <c r="BC3438" s="85"/>
      <c r="BG3438" s="79"/>
      <c r="BH3438" s="99"/>
    </row>
    <row r="3439" spans="51:60" x14ac:dyDescent="0.2">
      <c r="AY3439" s="79"/>
      <c r="AZ3439" s="85"/>
      <c r="BA3439" s="40"/>
      <c r="BB3439" s="99"/>
      <c r="BC3439" s="85"/>
      <c r="BG3439" s="79"/>
      <c r="BH3439" s="99"/>
    </row>
    <row r="3440" spans="51:60" x14ac:dyDescent="0.2">
      <c r="AY3440" s="79"/>
      <c r="AZ3440" s="85"/>
      <c r="BA3440" s="40"/>
      <c r="BB3440" s="99"/>
      <c r="BC3440" s="85"/>
      <c r="BG3440" s="79"/>
      <c r="BH3440" s="99"/>
    </row>
    <row r="3441" spans="51:60" x14ac:dyDescent="0.2">
      <c r="AY3441" s="79"/>
      <c r="AZ3441" s="85"/>
      <c r="BA3441" s="40"/>
      <c r="BB3441" s="99"/>
      <c r="BC3441" s="85"/>
      <c r="BG3441" s="79"/>
      <c r="BH3441" s="99"/>
    </row>
    <row r="3442" spans="51:60" x14ac:dyDescent="0.2">
      <c r="AY3442" s="79"/>
      <c r="AZ3442" s="85"/>
      <c r="BA3442" s="40"/>
      <c r="BB3442" s="99"/>
      <c r="BC3442" s="85"/>
      <c r="BG3442" s="79"/>
      <c r="BH3442" s="99"/>
    </row>
    <row r="3443" spans="51:60" x14ac:dyDescent="0.2">
      <c r="AY3443" s="79"/>
      <c r="AZ3443" s="85"/>
      <c r="BA3443" s="40"/>
      <c r="BB3443" s="99"/>
      <c r="BC3443" s="85"/>
      <c r="BG3443" s="79"/>
      <c r="BH3443" s="99"/>
    </row>
    <row r="3444" spans="51:60" x14ac:dyDescent="0.2">
      <c r="AY3444" s="79"/>
      <c r="AZ3444" s="85"/>
      <c r="BA3444" s="40"/>
      <c r="BB3444" s="99"/>
      <c r="BC3444" s="85"/>
      <c r="BG3444" s="79"/>
      <c r="BH3444" s="99"/>
    </row>
    <row r="3445" spans="51:60" x14ac:dyDescent="0.2">
      <c r="AY3445" s="79"/>
      <c r="AZ3445" s="85"/>
      <c r="BA3445" s="40"/>
      <c r="BB3445" s="99"/>
      <c r="BC3445" s="85"/>
      <c r="BG3445" s="79"/>
      <c r="BH3445" s="99"/>
    </row>
    <row r="3446" spans="51:60" x14ac:dyDescent="0.2">
      <c r="AY3446" s="79"/>
      <c r="AZ3446" s="85"/>
      <c r="BA3446" s="40"/>
      <c r="BB3446" s="99"/>
      <c r="BC3446" s="85"/>
      <c r="BG3446" s="79"/>
      <c r="BH3446" s="99"/>
    </row>
    <row r="3447" spans="51:60" x14ac:dyDescent="0.2">
      <c r="AY3447" s="79"/>
      <c r="AZ3447" s="85"/>
      <c r="BA3447" s="40"/>
      <c r="BB3447" s="99"/>
      <c r="BC3447" s="85"/>
      <c r="BG3447" s="79"/>
      <c r="BH3447" s="99"/>
    </row>
    <row r="3448" spans="51:60" x14ac:dyDescent="0.2">
      <c r="AY3448" s="79"/>
      <c r="AZ3448" s="85"/>
      <c r="BA3448" s="40"/>
      <c r="BB3448" s="99"/>
      <c r="BC3448" s="85"/>
      <c r="BG3448" s="79"/>
      <c r="BH3448" s="99"/>
    </row>
    <row r="3449" spans="51:60" x14ac:dyDescent="0.2">
      <c r="AY3449" s="79"/>
      <c r="AZ3449" s="85"/>
      <c r="BA3449" s="40"/>
      <c r="BB3449" s="99"/>
      <c r="BC3449" s="85"/>
      <c r="BG3449" s="79"/>
      <c r="BH3449" s="99"/>
    </row>
    <row r="3450" spans="51:60" x14ac:dyDescent="0.2">
      <c r="AY3450" s="79"/>
      <c r="AZ3450" s="85"/>
      <c r="BA3450" s="40"/>
      <c r="BB3450" s="99"/>
      <c r="BC3450" s="85"/>
      <c r="BG3450" s="79"/>
      <c r="BH3450" s="99"/>
    </row>
    <row r="3451" spans="51:60" x14ac:dyDescent="0.2">
      <c r="AY3451" s="79"/>
      <c r="AZ3451" s="85"/>
      <c r="BA3451" s="40"/>
      <c r="BB3451" s="99"/>
      <c r="BC3451" s="85"/>
      <c r="BG3451" s="79"/>
      <c r="BH3451" s="99"/>
    </row>
    <row r="3452" spans="51:60" x14ac:dyDescent="0.2">
      <c r="AY3452" s="79"/>
      <c r="AZ3452" s="85"/>
      <c r="BA3452" s="40"/>
      <c r="BB3452" s="99"/>
      <c r="BC3452" s="85"/>
      <c r="BG3452" s="79"/>
      <c r="BH3452" s="99"/>
    </row>
    <row r="3453" spans="51:60" x14ac:dyDescent="0.2">
      <c r="AY3453" s="79"/>
      <c r="AZ3453" s="85"/>
      <c r="BA3453" s="40"/>
      <c r="BB3453" s="99"/>
      <c r="BC3453" s="85"/>
      <c r="BG3453" s="79"/>
      <c r="BH3453" s="99"/>
    </row>
    <row r="3454" spans="51:60" x14ac:dyDescent="0.2">
      <c r="AY3454" s="79"/>
      <c r="AZ3454" s="85"/>
      <c r="BA3454" s="40"/>
      <c r="BB3454" s="99"/>
      <c r="BC3454" s="85"/>
      <c r="BG3454" s="79"/>
      <c r="BH3454" s="99"/>
    </row>
    <row r="3455" spans="51:60" x14ac:dyDescent="0.2">
      <c r="AY3455" s="79"/>
      <c r="AZ3455" s="85"/>
      <c r="BA3455" s="40"/>
      <c r="BB3455" s="99"/>
      <c r="BC3455" s="85"/>
      <c r="BG3455" s="79"/>
      <c r="BH3455" s="99"/>
    </row>
    <row r="3456" spans="51:60" x14ac:dyDescent="0.2">
      <c r="AY3456" s="79"/>
      <c r="AZ3456" s="85"/>
      <c r="BA3456" s="40"/>
      <c r="BB3456" s="99"/>
      <c r="BC3456" s="85"/>
      <c r="BG3456" s="79"/>
      <c r="BH3456" s="99"/>
    </row>
    <row r="3457" spans="51:60" x14ac:dyDescent="0.2">
      <c r="AY3457" s="79"/>
      <c r="AZ3457" s="85"/>
      <c r="BA3457" s="40"/>
      <c r="BB3457" s="99"/>
      <c r="BC3457" s="85"/>
      <c r="BG3457" s="79"/>
      <c r="BH3457" s="99"/>
    </row>
    <row r="3458" spans="51:60" x14ac:dyDescent="0.2">
      <c r="AY3458" s="79"/>
      <c r="AZ3458" s="85"/>
      <c r="BA3458" s="40"/>
      <c r="BB3458" s="99"/>
      <c r="BC3458" s="85"/>
      <c r="BG3458" s="79"/>
      <c r="BH3458" s="99"/>
    </row>
    <row r="3459" spans="51:60" x14ac:dyDescent="0.2">
      <c r="AY3459" s="79"/>
      <c r="AZ3459" s="85"/>
      <c r="BA3459" s="40"/>
      <c r="BB3459" s="99"/>
      <c r="BC3459" s="85"/>
      <c r="BG3459" s="79"/>
      <c r="BH3459" s="99"/>
    </row>
    <row r="3460" spans="51:60" x14ac:dyDescent="0.2">
      <c r="AY3460" s="79"/>
      <c r="AZ3460" s="85"/>
      <c r="BA3460" s="40"/>
      <c r="BB3460" s="99"/>
      <c r="BC3460" s="85"/>
      <c r="BG3460" s="79"/>
      <c r="BH3460" s="99"/>
    </row>
    <row r="3461" spans="51:60" x14ac:dyDescent="0.2">
      <c r="AY3461" s="79"/>
      <c r="AZ3461" s="85"/>
      <c r="BA3461" s="40"/>
      <c r="BB3461" s="99"/>
      <c r="BC3461" s="85"/>
      <c r="BG3461" s="79"/>
      <c r="BH3461" s="99"/>
    </row>
    <row r="3462" spans="51:60" x14ac:dyDescent="0.2">
      <c r="AY3462" s="79"/>
      <c r="AZ3462" s="85"/>
      <c r="BA3462" s="40"/>
      <c r="BB3462" s="99"/>
      <c r="BC3462" s="85"/>
      <c r="BG3462" s="79"/>
      <c r="BH3462" s="99"/>
    </row>
    <row r="3463" spans="51:60" x14ac:dyDescent="0.2">
      <c r="AY3463" s="79"/>
      <c r="AZ3463" s="85"/>
      <c r="BA3463" s="40"/>
      <c r="BB3463" s="99"/>
      <c r="BC3463" s="85"/>
      <c r="BG3463" s="79"/>
      <c r="BH3463" s="99"/>
    </row>
    <row r="3464" spans="51:60" x14ac:dyDescent="0.2">
      <c r="AY3464" s="79"/>
      <c r="AZ3464" s="85"/>
      <c r="BA3464" s="40"/>
      <c r="BB3464" s="99"/>
      <c r="BC3464" s="85"/>
      <c r="BG3464" s="79"/>
      <c r="BH3464" s="99"/>
    </row>
    <row r="3465" spans="51:60" x14ac:dyDescent="0.2">
      <c r="AY3465" s="79"/>
      <c r="AZ3465" s="85"/>
      <c r="BA3465" s="40"/>
      <c r="BB3465" s="99"/>
      <c r="BC3465" s="85"/>
      <c r="BG3465" s="79"/>
      <c r="BH3465" s="99"/>
    </row>
    <row r="3466" spans="51:60" x14ac:dyDescent="0.2">
      <c r="AY3466" s="79"/>
      <c r="AZ3466" s="85"/>
      <c r="BA3466" s="40"/>
      <c r="BB3466" s="99"/>
      <c r="BC3466" s="85"/>
      <c r="BG3466" s="79"/>
      <c r="BH3466" s="99"/>
    </row>
    <row r="3467" spans="51:60" x14ac:dyDescent="0.2">
      <c r="AY3467" s="79"/>
      <c r="AZ3467" s="85"/>
      <c r="BA3467" s="40"/>
      <c r="BB3467" s="99"/>
      <c r="BC3467" s="85"/>
      <c r="BG3467" s="79"/>
      <c r="BH3467" s="99"/>
    </row>
    <row r="3468" spans="51:60" x14ac:dyDescent="0.2">
      <c r="AY3468" s="79"/>
      <c r="AZ3468" s="85"/>
      <c r="BA3468" s="40"/>
      <c r="BB3468" s="99"/>
      <c r="BC3468" s="85"/>
      <c r="BG3468" s="79"/>
      <c r="BH3468" s="99"/>
    </row>
    <row r="3469" spans="51:60" x14ac:dyDescent="0.2">
      <c r="AY3469" s="79"/>
      <c r="AZ3469" s="85"/>
      <c r="BA3469" s="40"/>
      <c r="BB3469" s="99"/>
      <c r="BC3469" s="85"/>
      <c r="BG3469" s="79"/>
      <c r="BH3469" s="99"/>
    </row>
    <row r="3470" spans="51:60" x14ac:dyDescent="0.2">
      <c r="AY3470" s="79"/>
      <c r="AZ3470" s="85"/>
      <c r="BA3470" s="40"/>
      <c r="BB3470" s="99"/>
      <c r="BC3470" s="85"/>
      <c r="BG3470" s="79"/>
      <c r="BH3470" s="99"/>
    </row>
    <row r="3471" spans="51:60" x14ac:dyDescent="0.2">
      <c r="AY3471" s="79"/>
      <c r="AZ3471" s="85"/>
      <c r="BA3471" s="40"/>
      <c r="BB3471" s="99"/>
      <c r="BC3471" s="85"/>
      <c r="BG3471" s="79"/>
      <c r="BH3471" s="99"/>
    </row>
    <row r="3472" spans="51:60" x14ac:dyDescent="0.2">
      <c r="AY3472" s="79"/>
      <c r="AZ3472" s="85"/>
      <c r="BA3472" s="40"/>
      <c r="BB3472" s="99"/>
      <c r="BC3472" s="85"/>
      <c r="BG3472" s="79"/>
      <c r="BH3472" s="99"/>
    </row>
    <row r="3473" spans="51:60" x14ac:dyDescent="0.2">
      <c r="AY3473" s="79"/>
      <c r="AZ3473" s="85"/>
      <c r="BA3473" s="40"/>
      <c r="BB3473" s="99"/>
      <c r="BC3473" s="85"/>
      <c r="BG3473" s="79"/>
      <c r="BH3473" s="99"/>
    </row>
    <row r="3474" spans="51:60" x14ac:dyDescent="0.2">
      <c r="AY3474" s="79"/>
      <c r="AZ3474" s="85"/>
      <c r="BA3474" s="40"/>
      <c r="BB3474" s="99"/>
      <c r="BC3474" s="85"/>
      <c r="BG3474" s="79"/>
      <c r="BH3474" s="99"/>
    </row>
    <row r="3475" spans="51:60" x14ac:dyDescent="0.2">
      <c r="AY3475" s="79"/>
      <c r="AZ3475" s="85"/>
      <c r="BA3475" s="40"/>
      <c r="BB3475" s="99"/>
      <c r="BC3475" s="85"/>
      <c r="BG3475" s="79"/>
      <c r="BH3475" s="99"/>
    </row>
    <row r="3476" spans="51:60" x14ac:dyDescent="0.2">
      <c r="AY3476" s="79"/>
      <c r="AZ3476" s="85"/>
      <c r="BA3476" s="40"/>
      <c r="BB3476" s="99"/>
      <c r="BC3476" s="85"/>
      <c r="BG3476" s="79"/>
      <c r="BH3476" s="99"/>
    </row>
    <row r="3477" spans="51:60" x14ac:dyDescent="0.2">
      <c r="AY3477" s="79"/>
      <c r="AZ3477" s="85"/>
      <c r="BA3477" s="40"/>
      <c r="BB3477" s="99"/>
      <c r="BC3477" s="85"/>
      <c r="BG3477" s="79"/>
      <c r="BH3477" s="99"/>
    </row>
    <row r="3478" spans="51:60" x14ac:dyDescent="0.2">
      <c r="AY3478" s="79"/>
      <c r="AZ3478" s="85"/>
      <c r="BA3478" s="40"/>
      <c r="BB3478" s="99"/>
      <c r="BC3478" s="85"/>
      <c r="BG3478" s="79"/>
      <c r="BH3478" s="99"/>
    </row>
    <row r="3479" spans="51:60" x14ac:dyDescent="0.2">
      <c r="AY3479" s="79"/>
      <c r="AZ3479" s="85"/>
      <c r="BA3479" s="40"/>
      <c r="BB3479" s="99"/>
      <c r="BC3479" s="85"/>
      <c r="BG3479" s="79"/>
      <c r="BH3479" s="99"/>
    </row>
    <row r="3480" spans="51:60" x14ac:dyDescent="0.2">
      <c r="AY3480" s="79"/>
      <c r="AZ3480" s="85"/>
      <c r="BA3480" s="40"/>
      <c r="BB3480" s="99"/>
      <c r="BC3480" s="85"/>
      <c r="BG3480" s="79"/>
      <c r="BH3480" s="99"/>
    </row>
    <row r="3481" spans="51:60" x14ac:dyDescent="0.2">
      <c r="AY3481" s="79"/>
      <c r="AZ3481" s="85"/>
      <c r="BA3481" s="40"/>
      <c r="BB3481" s="99"/>
      <c r="BC3481" s="85"/>
      <c r="BG3481" s="79"/>
      <c r="BH3481" s="99"/>
    </row>
    <row r="3482" spans="51:60" x14ac:dyDescent="0.2">
      <c r="AY3482" s="79"/>
      <c r="AZ3482" s="85"/>
      <c r="BA3482" s="40"/>
      <c r="BB3482" s="99"/>
      <c r="BC3482" s="85"/>
      <c r="BG3482" s="79"/>
      <c r="BH3482" s="99"/>
    </row>
    <row r="3483" spans="51:60" x14ac:dyDescent="0.2">
      <c r="AY3483" s="79"/>
      <c r="AZ3483" s="85"/>
      <c r="BA3483" s="40"/>
      <c r="BB3483" s="99"/>
      <c r="BC3483" s="85"/>
      <c r="BG3483" s="79"/>
      <c r="BH3483" s="99"/>
    </row>
    <row r="3484" spans="51:60" x14ac:dyDescent="0.2">
      <c r="AY3484" s="79"/>
      <c r="AZ3484" s="85"/>
      <c r="BA3484" s="40"/>
      <c r="BB3484" s="99"/>
      <c r="BC3484" s="85"/>
      <c r="BG3484" s="79"/>
      <c r="BH3484" s="99"/>
    </row>
    <row r="3485" spans="51:60" x14ac:dyDescent="0.2">
      <c r="AY3485" s="79"/>
      <c r="AZ3485" s="85"/>
      <c r="BA3485" s="40"/>
      <c r="BB3485" s="99"/>
      <c r="BC3485" s="85"/>
      <c r="BG3485" s="79"/>
      <c r="BH3485" s="99"/>
    </row>
    <row r="3486" spans="51:60" x14ac:dyDescent="0.2">
      <c r="AY3486" s="79"/>
      <c r="AZ3486" s="85"/>
      <c r="BA3486" s="40"/>
      <c r="BB3486" s="99"/>
      <c r="BC3486" s="85"/>
      <c r="BG3486" s="79"/>
      <c r="BH3486" s="99"/>
    </row>
    <row r="3487" spans="51:60" x14ac:dyDescent="0.2">
      <c r="AY3487" s="79"/>
      <c r="AZ3487" s="85"/>
      <c r="BA3487" s="40"/>
      <c r="BB3487" s="99"/>
      <c r="BC3487" s="85"/>
      <c r="BG3487" s="79"/>
      <c r="BH3487" s="99"/>
    </row>
    <row r="3488" spans="51:60" x14ac:dyDescent="0.2">
      <c r="AY3488" s="79"/>
      <c r="AZ3488" s="85"/>
      <c r="BA3488" s="40"/>
      <c r="BB3488" s="99"/>
      <c r="BC3488" s="85"/>
      <c r="BG3488" s="79"/>
      <c r="BH3488" s="99"/>
    </row>
    <row r="3489" spans="51:60" x14ac:dyDescent="0.2">
      <c r="AY3489" s="79"/>
      <c r="AZ3489" s="85"/>
      <c r="BA3489" s="40"/>
      <c r="BB3489" s="99"/>
      <c r="BC3489" s="85"/>
      <c r="BG3489" s="79"/>
      <c r="BH3489" s="99"/>
    </row>
    <row r="3490" spans="51:60" x14ac:dyDescent="0.2">
      <c r="AY3490" s="79"/>
      <c r="AZ3490" s="85"/>
      <c r="BA3490" s="40"/>
      <c r="BB3490" s="99"/>
      <c r="BC3490" s="85"/>
      <c r="BG3490" s="79"/>
      <c r="BH3490" s="99"/>
    </row>
    <row r="3491" spans="51:60" x14ac:dyDescent="0.2">
      <c r="AY3491" s="79"/>
      <c r="AZ3491" s="85"/>
      <c r="BA3491" s="40"/>
      <c r="BB3491" s="99"/>
      <c r="BC3491" s="85"/>
      <c r="BG3491" s="79"/>
      <c r="BH3491" s="99"/>
    </row>
    <row r="3492" spans="51:60" x14ac:dyDescent="0.2">
      <c r="AY3492" s="79"/>
      <c r="AZ3492" s="85"/>
      <c r="BA3492" s="40"/>
      <c r="BB3492" s="99"/>
      <c r="BC3492" s="85"/>
      <c r="BG3492" s="79"/>
      <c r="BH3492" s="99"/>
    </row>
    <row r="3493" spans="51:60" x14ac:dyDescent="0.2">
      <c r="AY3493" s="79"/>
      <c r="AZ3493" s="85"/>
      <c r="BA3493" s="40"/>
      <c r="BB3493" s="99"/>
      <c r="BC3493" s="85"/>
      <c r="BG3493" s="79"/>
      <c r="BH3493" s="99"/>
    </row>
    <row r="3494" spans="51:60" x14ac:dyDescent="0.2">
      <c r="AY3494" s="79"/>
      <c r="AZ3494" s="85"/>
      <c r="BA3494" s="40"/>
      <c r="BB3494" s="99"/>
      <c r="BC3494" s="85"/>
      <c r="BG3494" s="79"/>
      <c r="BH3494" s="99"/>
    </row>
    <row r="3495" spans="51:60" x14ac:dyDescent="0.2">
      <c r="AY3495" s="79"/>
      <c r="AZ3495" s="85"/>
      <c r="BA3495" s="40"/>
      <c r="BB3495" s="99"/>
      <c r="BC3495" s="85"/>
      <c r="BG3495" s="79"/>
      <c r="BH3495" s="99"/>
    </row>
    <row r="3496" spans="51:60" x14ac:dyDescent="0.2">
      <c r="AY3496" s="79"/>
      <c r="AZ3496" s="85"/>
      <c r="BA3496" s="40"/>
      <c r="BB3496" s="99"/>
      <c r="BC3496" s="85"/>
      <c r="BG3496" s="79"/>
      <c r="BH3496" s="99"/>
    </row>
    <row r="3497" spans="51:60" x14ac:dyDescent="0.2">
      <c r="AY3497" s="79"/>
      <c r="AZ3497" s="85"/>
      <c r="BA3497" s="40"/>
      <c r="BB3497" s="99"/>
      <c r="BC3497" s="85"/>
      <c r="BG3497" s="79"/>
      <c r="BH3497" s="99"/>
    </row>
    <row r="3498" spans="51:60" x14ac:dyDescent="0.2">
      <c r="AY3498" s="79"/>
      <c r="AZ3498" s="85"/>
      <c r="BA3498" s="40"/>
      <c r="BB3498" s="99"/>
      <c r="BC3498" s="85"/>
      <c r="BG3498" s="79"/>
      <c r="BH3498" s="99"/>
    </row>
    <row r="3499" spans="51:60" x14ac:dyDescent="0.2">
      <c r="AY3499" s="79"/>
      <c r="AZ3499" s="85"/>
      <c r="BA3499" s="40"/>
      <c r="BB3499" s="99"/>
      <c r="BC3499" s="85"/>
      <c r="BG3499" s="79"/>
      <c r="BH3499" s="99"/>
    </row>
    <row r="3500" spans="51:60" x14ac:dyDescent="0.2">
      <c r="AY3500" s="79"/>
      <c r="AZ3500" s="85"/>
      <c r="BA3500" s="40"/>
      <c r="BB3500" s="99"/>
      <c r="BC3500" s="85"/>
      <c r="BG3500" s="79"/>
      <c r="BH3500" s="99"/>
    </row>
    <row r="3501" spans="51:60" x14ac:dyDescent="0.2">
      <c r="AY3501" s="79"/>
      <c r="AZ3501" s="85"/>
      <c r="BA3501" s="40"/>
      <c r="BB3501" s="99"/>
      <c r="BC3501" s="85"/>
      <c r="BG3501" s="79"/>
      <c r="BH3501" s="99"/>
    </row>
    <row r="3502" spans="51:60" x14ac:dyDescent="0.2">
      <c r="AY3502" s="79"/>
      <c r="AZ3502" s="85"/>
      <c r="BA3502" s="40"/>
      <c r="BB3502" s="99"/>
      <c r="BC3502" s="85"/>
      <c r="BG3502" s="79"/>
      <c r="BH3502" s="99"/>
    </row>
    <row r="3503" spans="51:60" x14ac:dyDescent="0.2">
      <c r="AY3503" s="79"/>
      <c r="AZ3503" s="85"/>
      <c r="BA3503" s="40"/>
      <c r="BB3503" s="99"/>
      <c r="BC3503" s="85"/>
      <c r="BG3503" s="79"/>
      <c r="BH3503" s="99"/>
    </row>
    <row r="3504" spans="51:60" x14ac:dyDescent="0.2">
      <c r="AY3504" s="79"/>
      <c r="AZ3504" s="85"/>
      <c r="BA3504" s="40"/>
      <c r="BB3504" s="99"/>
      <c r="BC3504" s="85"/>
      <c r="BG3504" s="79"/>
      <c r="BH3504" s="99"/>
    </row>
    <row r="3505" spans="51:60" x14ac:dyDescent="0.2">
      <c r="AY3505" s="79"/>
      <c r="AZ3505" s="85"/>
      <c r="BA3505" s="40"/>
      <c r="BB3505" s="99"/>
      <c r="BC3505" s="85"/>
      <c r="BG3505" s="79"/>
      <c r="BH3505" s="99"/>
    </row>
    <row r="3506" spans="51:60" x14ac:dyDescent="0.2">
      <c r="AY3506" s="79"/>
      <c r="AZ3506" s="85"/>
      <c r="BA3506" s="40"/>
      <c r="BB3506" s="99"/>
      <c r="BC3506" s="85"/>
      <c r="BG3506" s="79"/>
      <c r="BH3506" s="99"/>
    </row>
    <row r="3507" spans="51:60" x14ac:dyDescent="0.2">
      <c r="AY3507" s="79"/>
      <c r="AZ3507" s="85"/>
      <c r="BA3507" s="40"/>
      <c r="BB3507" s="99"/>
      <c r="BC3507" s="85"/>
      <c r="BG3507" s="79"/>
      <c r="BH3507" s="99"/>
    </row>
    <row r="3508" spans="51:60" x14ac:dyDescent="0.2">
      <c r="AY3508" s="79"/>
      <c r="AZ3508" s="85"/>
      <c r="BA3508" s="40"/>
      <c r="BB3508" s="99"/>
      <c r="BC3508" s="85"/>
      <c r="BG3508" s="79"/>
      <c r="BH3508" s="99"/>
    </row>
    <row r="3509" spans="51:60" x14ac:dyDescent="0.2">
      <c r="AY3509" s="79"/>
      <c r="AZ3509" s="85"/>
      <c r="BA3509" s="40"/>
      <c r="BB3509" s="99"/>
      <c r="BC3509" s="85"/>
      <c r="BG3509" s="79"/>
      <c r="BH3509" s="99"/>
    </row>
    <row r="3510" spans="51:60" x14ac:dyDescent="0.2">
      <c r="AY3510" s="79"/>
      <c r="AZ3510" s="85"/>
      <c r="BA3510" s="40"/>
      <c r="BB3510" s="99"/>
      <c r="BC3510" s="85"/>
      <c r="BG3510" s="79"/>
      <c r="BH3510" s="99"/>
    </row>
    <row r="3511" spans="51:60" x14ac:dyDescent="0.2">
      <c r="AY3511" s="79"/>
      <c r="AZ3511" s="85"/>
      <c r="BA3511" s="40"/>
      <c r="BB3511" s="99"/>
      <c r="BC3511" s="85"/>
      <c r="BG3511" s="79"/>
      <c r="BH3511" s="99"/>
    </row>
    <row r="3512" spans="51:60" x14ac:dyDescent="0.2">
      <c r="AY3512" s="79"/>
      <c r="AZ3512" s="85"/>
      <c r="BA3512" s="40"/>
      <c r="BB3512" s="99"/>
      <c r="BC3512" s="85"/>
      <c r="BG3512" s="79"/>
      <c r="BH3512" s="99"/>
    </row>
    <row r="3513" spans="51:60" x14ac:dyDescent="0.2">
      <c r="AY3513" s="79"/>
      <c r="AZ3513" s="85"/>
      <c r="BA3513" s="40"/>
      <c r="BB3513" s="99"/>
      <c r="BC3513" s="85"/>
      <c r="BG3513" s="79"/>
      <c r="BH3513" s="99"/>
    </row>
    <row r="3514" spans="51:60" x14ac:dyDescent="0.2">
      <c r="AY3514" s="79"/>
      <c r="AZ3514" s="85"/>
      <c r="BA3514" s="40"/>
      <c r="BB3514" s="99"/>
      <c r="BC3514" s="85"/>
      <c r="BG3514" s="79"/>
      <c r="BH3514" s="99"/>
    </row>
    <row r="3515" spans="51:60" x14ac:dyDescent="0.2">
      <c r="AY3515" s="79"/>
      <c r="AZ3515" s="85"/>
      <c r="BA3515" s="40"/>
      <c r="BB3515" s="99"/>
      <c r="BC3515" s="85"/>
      <c r="BG3515" s="79"/>
      <c r="BH3515" s="99"/>
    </row>
    <row r="3516" spans="51:60" x14ac:dyDescent="0.2">
      <c r="AY3516" s="79"/>
      <c r="AZ3516" s="85"/>
      <c r="BA3516" s="40"/>
      <c r="BB3516" s="99"/>
      <c r="BC3516" s="85"/>
      <c r="BG3516" s="79"/>
      <c r="BH3516" s="99"/>
    </row>
    <row r="3517" spans="51:60" x14ac:dyDescent="0.2">
      <c r="AY3517" s="79"/>
      <c r="AZ3517" s="85"/>
      <c r="BA3517" s="40"/>
      <c r="BB3517" s="99"/>
      <c r="BC3517" s="85"/>
      <c r="BG3517" s="79"/>
      <c r="BH3517" s="99"/>
    </row>
    <row r="3518" spans="51:60" x14ac:dyDescent="0.2">
      <c r="AY3518" s="79"/>
      <c r="AZ3518" s="85"/>
      <c r="BA3518" s="40"/>
      <c r="BB3518" s="99"/>
      <c r="BC3518" s="85"/>
      <c r="BG3518" s="79"/>
      <c r="BH3518" s="99"/>
    </row>
    <row r="3519" spans="51:60" x14ac:dyDescent="0.2">
      <c r="AY3519" s="79"/>
      <c r="AZ3519" s="85"/>
      <c r="BA3519" s="40"/>
      <c r="BB3519" s="99"/>
      <c r="BC3519" s="85"/>
      <c r="BG3519" s="79"/>
      <c r="BH3519" s="99"/>
    </row>
    <row r="3520" spans="51:60" x14ac:dyDescent="0.2">
      <c r="AY3520" s="79"/>
      <c r="AZ3520" s="85"/>
      <c r="BA3520" s="40"/>
      <c r="BB3520" s="99"/>
      <c r="BC3520" s="85"/>
      <c r="BG3520" s="79"/>
      <c r="BH3520" s="99"/>
    </row>
    <row r="3521" spans="51:60" x14ac:dyDescent="0.2">
      <c r="AY3521" s="79"/>
      <c r="AZ3521" s="85"/>
      <c r="BA3521" s="40"/>
      <c r="BB3521" s="99"/>
      <c r="BC3521" s="85"/>
      <c r="BG3521" s="79"/>
      <c r="BH3521" s="99"/>
    </row>
    <row r="3522" spans="51:60" x14ac:dyDescent="0.2">
      <c r="AY3522" s="79"/>
      <c r="AZ3522" s="85"/>
      <c r="BA3522" s="40"/>
      <c r="BB3522" s="99"/>
      <c r="BC3522" s="85"/>
      <c r="BG3522" s="79"/>
      <c r="BH3522" s="99"/>
    </row>
    <row r="3523" spans="51:60" x14ac:dyDescent="0.2">
      <c r="AY3523" s="79"/>
      <c r="AZ3523" s="85"/>
      <c r="BA3523" s="40"/>
      <c r="BB3523" s="99"/>
      <c r="BC3523" s="85"/>
      <c r="BG3523" s="79"/>
      <c r="BH3523" s="99"/>
    </row>
    <row r="3524" spans="51:60" x14ac:dyDescent="0.2">
      <c r="AY3524" s="79"/>
      <c r="AZ3524" s="85"/>
      <c r="BA3524" s="40"/>
      <c r="BB3524" s="99"/>
      <c r="BC3524" s="85"/>
      <c r="BG3524" s="79"/>
      <c r="BH3524" s="99"/>
    </row>
    <row r="3525" spans="51:60" x14ac:dyDescent="0.2">
      <c r="AY3525" s="79"/>
      <c r="AZ3525" s="85"/>
      <c r="BA3525" s="40"/>
      <c r="BB3525" s="99"/>
      <c r="BC3525" s="85"/>
      <c r="BG3525" s="79"/>
      <c r="BH3525" s="99"/>
    </row>
    <row r="3526" spans="51:60" x14ac:dyDescent="0.2">
      <c r="AY3526" s="79"/>
      <c r="AZ3526" s="85"/>
      <c r="BA3526" s="40"/>
      <c r="BB3526" s="99"/>
      <c r="BC3526" s="85"/>
      <c r="BG3526" s="79"/>
      <c r="BH3526" s="99"/>
    </row>
    <row r="3527" spans="51:60" x14ac:dyDescent="0.2">
      <c r="AY3527" s="79"/>
      <c r="AZ3527" s="85"/>
      <c r="BA3527" s="40"/>
      <c r="BB3527" s="99"/>
      <c r="BC3527" s="85"/>
      <c r="BG3527" s="79"/>
      <c r="BH3527" s="99"/>
    </row>
    <row r="3528" spans="51:60" x14ac:dyDescent="0.2">
      <c r="AY3528" s="79"/>
      <c r="AZ3528" s="85"/>
      <c r="BA3528" s="40"/>
      <c r="BB3528" s="99"/>
      <c r="BC3528" s="85"/>
      <c r="BG3528" s="79"/>
      <c r="BH3528" s="99"/>
    </row>
    <row r="3529" spans="51:60" x14ac:dyDescent="0.2">
      <c r="AY3529" s="79"/>
      <c r="AZ3529" s="85"/>
      <c r="BA3529" s="40"/>
      <c r="BB3529" s="99"/>
      <c r="BC3529" s="85"/>
      <c r="BG3529" s="79"/>
      <c r="BH3529" s="99"/>
    </row>
    <row r="3530" spans="51:60" x14ac:dyDescent="0.2">
      <c r="AY3530" s="79"/>
      <c r="AZ3530" s="85"/>
      <c r="BA3530" s="40"/>
      <c r="BB3530" s="99"/>
      <c r="BC3530" s="85"/>
      <c r="BG3530" s="79"/>
      <c r="BH3530" s="99"/>
    </row>
    <row r="3531" spans="51:60" x14ac:dyDescent="0.2">
      <c r="AY3531" s="79"/>
      <c r="AZ3531" s="85"/>
      <c r="BA3531" s="40"/>
      <c r="BB3531" s="99"/>
      <c r="BC3531" s="85"/>
      <c r="BG3531" s="79"/>
      <c r="BH3531" s="99"/>
    </row>
    <row r="3532" spans="51:60" x14ac:dyDescent="0.2">
      <c r="AY3532" s="79"/>
      <c r="AZ3532" s="85"/>
      <c r="BA3532" s="40"/>
      <c r="BB3532" s="99"/>
      <c r="BC3532" s="85"/>
      <c r="BG3532" s="79"/>
      <c r="BH3532" s="99"/>
    </row>
    <row r="3533" spans="51:60" x14ac:dyDescent="0.2">
      <c r="AY3533" s="79"/>
      <c r="AZ3533" s="85"/>
      <c r="BA3533" s="40"/>
      <c r="BB3533" s="99"/>
      <c r="BC3533" s="85"/>
      <c r="BG3533" s="79"/>
      <c r="BH3533" s="99"/>
    </row>
    <row r="3534" spans="51:60" x14ac:dyDescent="0.2">
      <c r="AY3534" s="79"/>
      <c r="AZ3534" s="85"/>
      <c r="BA3534" s="40"/>
      <c r="BB3534" s="99"/>
      <c r="BC3534" s="85"/>
      <c r="BG3534" s="79"/>
      <c r="BH3534" s="99"/>
    </row>
    <row r="3535" spans="51:60" x14ac:dyDescent="0.2">
      <c r="AY3535" s="79"/>
      <c r="AZ3535" s="85"/>
      <c r="BA3535" s="40"/>
      <c r="BB3535" s="99"/>
      <c r="BC3535" s="85"/>
      <c r="BG3535" s="79"/>
      <c r="BH3535" s="99"/>
    </row>
    <row r="3536" spans="51:60" x14ac:dyDescent="0.2">
      <c r="AY3536" s="79"/>
      <c r="AZ3536" s="85"/>
      <c r="BA3536" s="40"/>
      <c r="BB3536" s="99"/>
      <c r="BC3536" s="85"/>
      <c r="BG3536" s="79"/>
      <c r="BH3536" s="99"/>
    </row>
    <row r="3537" spans="51:60" x14ac:dyDescent="0.2">
      <c r="AY3537" s="79"/>
      <c r="AZ3537" s="85"/>
      <c r="BA3537" s="40"/>
      <c r="BB3537" s="99"/>
      <c r="BC3537" s="85"/>
      <c r="BG3537" s="79"/>
      <c r="BH3537" s="99"/>
    </row>
    <row r="3538" spans="51:60" x14ac:dyDescent="0.2">
      <c r="AY3538" s="79"/>
      <c r="AZ3538" s="85"/>
      <c r="BA3538" s="40"/>
      <c r="BB3538" s="99"/>
      <c r="BC3538" s="85"/>
      <c r="BG3538" s="79"/>
      <c r="BH3538" s="99"/>
    </row>
    <row r="3539" spans="51:60" x14ac:dyDescent="0.2">
      <c r="AY3539" s="79"/>
      <c r="AZ3539" s="85"/>
      <c r="BA3539" s="40"/>
      <c r="BB3539" s="99"/>
      <c r="BC3539" s="85"/>
      <c r="BG3539" s="79"/>
      <c r="BH3539" s="99"/>
    </row>
    <row r="3540" spans="51:60" x14ac:dyDescent="0.2">
      <c r="AY3540" s="79"/>
      <c r="AZ3540" s="85"/>
      <c r="BA3540" s="40"/>
      <c r="BB3540" s="99"/>
      <c r="BC3540" s="85"/>
      <c r="BG3540" s="79"/>
      <c r="BH3540" s="99"/>
    </row>
    <row r="3541" spans="51:60" x14ac:dyDescent="0.2">
      <c r="AY3541" s="79"/>
      <c r="AZ3541" s="85"/>
      <c r="BA3541" s="40"/>
      <c r="BB3541" s="99"/>
      <c r="BC3541" s="85"/>
      <c r="BG3541" s="79"/>
      <c r="BH3541" s="99"/>
    </row>
    <row r="3542" spans="51:60" x14ac:dyDescent="0.2">
      <c r="AY3542" s="79"/>
      <c r="AZ3542" s="85"/>
      <c r="BA3542" s="40"/>
      <c r="BB3542" s="99"/>
      <c r="BC3542" s="85"/>
      <c r="BG3542" s="79"/>
      <c r="BH3542" s="99"/>
    </row>
    <row r="3543" spans="51:60" x14ac:dyDescent="0.2">
      <c r="AY3543" s="79"/>
      <c r="AZ3543" s="85"/>
      <c r="BA3543" s="40"/>
      <c r="BB3543" s="99"/>
      <c r="BC3543" s="85"/>
      <c r="BG3543" s="79"/>
      <c r="BH3543" s="99"/>
    </row>
    <row r="3544" spans="51:60" x14ac:dyDescent="0.2">
      <c r="AY3544" s="79"/>
      <c r="AZ3544" s="85"/>
      <c r="BA3544" s="40"/>
      <c r="BB3544" s="99"/>
      <c r="BC3544" s="85"/>
      <c r="BG3544" s="79"/>
      <c r="BH3544" s="99"/>
    </row>
    <row r="3545" spans="51:60" x14ac:dyDescent="0.2">
      <c r="AY3545" s="79"/>
      <c r="AZ3545" s="85"/>
      <c r="BA3545" s="40"/>
      <c r="BB3545" s="99"/>
      <c r="BC3545" s="85"/>
      <c r="BG3545" s="79"/>
      <c r="BH3545" s="99"/>
    </row>
    <row r="3546" spans="51:60" x14ac:dyDescent="0.2">
      <c r="AY3546" s="79"/>
      <c r="AZ3546" s="85"/>
      <c r="BA3546" s="40"/>
      <c r="BB3546" s="99"/>
      <c r="BC3546" s="85"/>
      <c r="BG3546" s="79"/>
      <c r="BH3546" s="99"/>
    </row>
    <row r="3547" spans="51:60" x14ac:dyDescent="0.2">
      <c r="AY3547" s="79"/>
      <c r="AZ3547" s="85"/>
      <c r="BA3547" s="40"/>
      <c r="BB3547" s="99"/>
      <c r="BC3547" s="85"/>
      <c r="BG3547" s="79"/>
      <c r="BH3547" s="99"/>
    </row>
    <row r="3548" spans="51:60" x14ac:dyDescent="0.2">
      <c r="AY3548" s="79"/>
      <c r="AZ3548" s="85"/>
      <c r="BA3548" s="40"/>
      <c r="BB3548" s="99"/>
      <c r="BC3548" s="85"/>
      <c r="BG3548" s="79"/>
      <c r="BH3548" s="99"/>
    </row>
    <row r="3549" spans="51:60" x14ac:dyDescent="0.2">
      <c r="AY3549" s="79"/>
      <c r="AZ3549" s="85"/>
      <c r="BA3549" s="40"/>
      <c r="BB3549" s="99"/>
      <c r="BC3549" s="85"/>
      <c r="BG3549" s="79"/>
      <c r="BH3549" s="99"/>
    </row>
    <row r="3550" spans="51:60" x14ac:dyDescent="0.2">
      <c r="AY3550" s="79"/>
      <c r="AZ3550" s="85"/>
      <c r="BA3550" s="40"/>
      <c r="BB3550" s="99"/>
      <c r="BC3550" s="85"/>
      <c r="BG3550" s="79"/>
      <c r="BH3550" s="99"/>
    </row>
    <row r="3551" spans="51:60" x14ac:dyDescent="0.2">
      <c r="AY3551" s="79"/>
      <c r="AZ3551" s="85"/>
      <c r="BA3551" s="40"/>
      <c r="BB3551" s="99"/>
      <c r="BC3551" s="85"/>
      <c r="BG3551" s="79"/>
      <c r="BH3551" s="99"/>
    </row>
    <row r="3552" spans="51:60" x14ac:dyDescent="0.2">
      <c r="AY3552" s="79"/>
      <c r="AZ3552" s="85"/>
      <c r="BA3552" s="40"/>
      <c r="BB3552" s="99"/>
      <c r="BC3552" s="85"/>
      <c r="BG3552" s="79"/>
      <c r="BH3552" s="99"/>
    </row>
    <row r="3553" spans="51:60" x14ac:dyDescent="0.2">
      <c r="AY3553" s="79"/>
      <c r="AZ3553" s="85"/>
      <c r="BA3553" s="40"/>
      <c r="BB3553" s="99"/>
      <c r="BC3553" s="85"/>
      <c r="BG3553" s="79"/>
      <c r="BH3553" s="99"/>
    </row>
    <row r="3554" spans="51:60" x14ac:dyDescent="0.2">
      <c r="AY3554" s="79"/>
      <c r="AZ3554" s="85"/>
      <c r="BA3554" s="40"/>
      <c r="BB3554" s="99"/>
      <c r="BC3554" s="85"/>
      <c r="BG3554" s="79"/>
      <c r="BH3554" s="99"/>
    </row>
    <row r="3555" spans="51:60" x14ac:dyDescent="0.2">
      <c r="AY3555" s="79"/>
      <c r="AZ3555" s="85"/>
      <c r="BA3555" s="40"/>
      <c r="BB3555" s="99"/>
      <c r="BC3555" s="85"/>
      <c r="BG3555" s="79"/>
      <c r="BH3555" s="99"/>
    </row>
    <row r="3556" spans="51:60" x14ac:dyDescent="0.2">
      <c r="AY3556" s="79"/>
      <c r="AZ3556" s="85"/>
      <c r="BA3556" s="40"/>
      <c r="BB3556" s="99"/>
      <c r="BC3556" s="85"/>
      <c r="BG3556" s="79"/>
      <c r="BH3556" s="99"/>
    </row>
    <row r="3557" spans="51:60" x14ac:dyDescent="0.2">
      <c r="AY3557" s="79"/>
      <c r="AZ3557" s="85"/>
      <c r="BA3557" s="40"/>
      <c r="BB3557" s="99"/>
      <c r="BC3557" s="85"/>
      <c r="BG3557" s="79"/>
      <c r="BH3557" s="99"/>
    </row>
    <row r="3558" spans="51:60" x14ac:dyDescent="0.2">
      <c r="AY3558" s="79"/>
      <c r="AZ3558" s="85"/>
      <c r="BA3558" s="40"/>
      <c r="BB3558" s="99"/>
      <c r="BC3558" s="85"/>
      <c r="BG3558" s="79"/>
      <c r="BH3558" s="99"/>
    </row>
    <row r="3559" spans="51:60" x14ac:dyDescent="0.2">
      <c r="AY3559" s="79"/>
      <c r="AZ3559" s="85"/>
      <c r="BA3559" s="40"/>
      <c r="BB3559" s="99"/>
      <c r="BC3559" s="85"/>
      <c r="BG3559" s="79"/>
      <c r="BH3559" s="99"/>
    </row>
    <row r="3560" spans="51:60" x14ac:dyDescent="0.2">
      <c r="AY3560" s="79"/>
      <c r="AZ3560" s="85"/>
      <c r="BA3560" s="40"/>
      <c r="BB3560" s="99"/>
      <c r="BC3560" s="85"/>
      <c r="BG3560" s="79"/>
      <c r="BH3560" s="99"/>
    </row>
    <row r="3561" spans="51:60" x14ac:dyDescent="0.2">
      <c r="AY3561" s="79"/>
      <c r="AZ3561" s="85"/>
      <c r="BA3561" s="40"/>
      <c r="BB3561" s="99"/>
      <c r="BC3561" s="85"/>
      <c r="BG3561" s="79"/>
      <c r="BH3561" s="99"/>
    </row>
    <row r="3562" spans="51:60" x14ac:dyDescent="0.2">
      <c r="AY3562" s="79"/>
      <c r="AZ3562" s="85"/>
      <c r="BA3562" s="40"/>
      <c r="BB3562" s="99"/>
      <c r="BC3562" s="85"/>
      <c r="BG3562" s="79"/>
      <c r="BH3562" s="99"/>
    </row>
    <row r="3563" spans="51:60" x14ac:dyDescent="0.2">
      <c r="AY3563" s="79"/>
      <c r="AZ3563" s="85"/>
      <c r="BA3563" s="40"/>
      <c r="BB3563" s="99"/>
      <c r="BC3563" s="85"/>
      <c r="BG3563" s="79"/>
      <c r="BH3563" s="99"/>
    </row>
    <row r="3564" spans="51:60" x14ac:dyDescent="0.2">
      <c r="AY3564" s="79"/>
      <c r="AZ3564" s="85"/>
      <c r="BA3564" s="40"/>
      <c r="BB3564" s="99"/>
      <c r="BC3564" s="85"/>
      <c r="BG3564" s="79"/>
      <c r="BH3564" s="99"/>
    </row>
    <row r="3565" spans="51:60" x14ac:dyDescent="0.2">
      <c r="AY3565" s="79"/>
      <c r="AZ3565" s="85"/>
      <c r="BA3565" s="40"/>
      <c r="BB3565" s="99"/>
      <c r="BC3565" s="85"/>
      <c r="BG3565" s="79"/>
      <c r="BH3565" s="99"/>
    </row>
    <row r="3566" spans="51:60" x14ac:dyDescent="0.2">
      <c r="AY3566" s="79"/>
      <c r="AZ3566" s="85"/>
      <c r="BA3566" s="40"/>
      <c r="BB3566" s="99"/>
      <c r="BC3566" s="85"/>
      <c r="BG3566" s="79"/>
      <c r="BH3566" s="99"/>
    </row>
    <row r="3567" spans="51:60" x14ac:dyDescent="0.2">
      <c r="AY3567" s="79"/>
      <c r="AZ3567" s="85"/>
      <c r="BA3567" s="40"/>
      <c r="BB3567" s="99"/>
      <c r="BC3567" s="85"/>
      <c r="BG3567" s="79"/>
      <c r="BH3567" s="99"/>
    </row>
    <row r="3568" spans="51:60" x14ac:dyDescent="0.2">
      <c r="AY3568" s="79"/>
      <c r="AZ3568" s="85"/>
      <c r="BA3568" s="40"/>
      <c r="BB3568" s="99"/>
      <c r="BC3568" s="85"/>
      <c r="BG3568" s="79"/>
      <c r="BH3568" s="99"/>
    </row>
    <row r="3569" spans="51:60" x14ac:dyDescent="0.2">
      <c r="AY3569" s="79"/>
      <c r="AZ3569" s="85"/>
      <c r="BA3569" s="40"/>
      <c r="BB3569" s="99"/>
      <c r="BC3569" s="85"/>
      <c r="BG3569" s="79"/>
      <c r="BH3569" s="99"/>
    </row>
    <row r="3570" spans="51:60" x14ac:dyDescent="0.2">
      <c r="AY3570" s="79"/>
      <c r="AZ3570" s="85"/>
      <c r="BA3570" s="40"/>
      <c r="BB3570" s="99"/>
      <c r="BC3570" s="85"/>
      <c r="BG3570" s="79"/>
      <c r="BH3570" s="99"/>
    </row>
    <row r="3571" spans="51:60" x14ac:dyDescent="0.2">
      <c r="AY3571" s="79"/>
      <c r="AZ3571" s="85"/>
      <c r="BA3571" s="40"/>
      <c r="BB3571" s="99"/>
      <c r="BC3571" s="85"/>
      <c r="BG3571" s="79"/>
      <c r="BH3571" s="99"/>
    </row>
    <row r="3572" spans="51:60" x14ac:dyDescent="0.2">
      <c r="AY3572" s="79"/>
      <c r="AZ3572" s="85"/>
      <c r="BA3572" s="40"/>
      <c r="BB3572" s="99"/>
      <c r="BC3572" s="85"/>
      <c r="BG3572" s="79"/>
      <c r="BH3572" s="99"/>
    </row>
    <row r="3573" spans="51:60" x14ac:dyDescent="0.2">
      <c r="AY3573" s="79"/>
      <c r="AZ3573" s="85"/>
      <c r="BA3573" s="40"/>
      <c r="BB3573" s="99"/>
      <c r="BC3573" s="85"/>
      <c r="BG3573" s="79"/>
      <c r="BH3573" s="99"/>
    </row>
    <row r="3574" spans="51:60" x14ac:dyDescent="0.2">
      <c r="AY3574" s="79"/>
      <c r="AZ3574" s="85"/>
      <c r="BA3574" s="40"/>
      <c r="BB3574" s="99"/>
      <c r="BC3574" s="85"/>
      <c r="BG3574" s="79"/>
      <c r="BH3574" s="99"/>
    </row>
    <row r="3575" spans="51:60" x14ac:dyDescent="0.2">
      <c r="AY3575" s="79"/>
      <c r="AZ3575" s="85"/>
      <c r="BA3575" s="40"/>
      <c r="BB3575" s="99"/>
      <c r="BC3575" s="85"/>
      <c r="BG3575" s="79"/>
      <c r="BH3575" s="99"/>
    </row>
    <row r="3576" spans="51:60" x14ac:dyDescent="0.2">
      <c r="AY3576" s="79"/>
      <c r="AZ3576" s="85"/>
      <c r="BA3576" s="40"/>
      <c r="BB3576" s="99"/>
      <c r="BC3576" s="85"/>
      <c r="BG3576" s="79"/>
      <c r="BH3576" s="99"/>
    </row>
    <row r="3577" spans="51:60" x14ac:dyDescent="0.2">
      <c r="AY3577" s="79"/>
      <c r="AZ3577" s="85"/>
      <c r="BA3577" s="40"/>
      <c r="BB3577" s="99"/>
      <c r="BC3577" s="85"/>
      <c r="BG3577" s="79"/>
      <c r="BH3577" s="99"/>
    </row>
    <row r="3578" spans="51:60" x14ac:dyDescent="0.2">
      <c r="AY3578" s="79"/>
      <c r="AZ3578" s="85"/>
      <c r="BA3578" s="40"/>
      <c r="BB3578" s="99"/>
      <c r="BC3578" s="85"/>
      <c r="BG3578" s="79"/>
      <c r="BH3578" s="99"/>
    </row>
    <row r="3579" spans="51:60" x14ac:dyDescent="0.2">
      <c r="AY3579" s="79"/>
      <c r="AZ3579" s="85"/>
      <c r="BA3579" s="40"/>
      <c r="BB3579" s="99"/>
      <c r="BC3579" s="85"/>
      <c r="BG3579" s="79"/>
      <c r="BH3579" s="99"/>
    </row>
    <row r="3580" spans="51:60" x14ac:dyDescent="0.2">
      <c r="AY3580" s="79"/>
      <c r="AZ3580" s="85"/>
      <c r="BA3580" s="40"/>
      <c r="BB3580" s="99"/>
      <c r="BC3580" s="85"/>
      <c r="BG3580" s="79"/>
      <c r="BH3580" s="99"/>
    </row>
    <row r="3581" spans="51:60" x14ac:dyDescent="0.2">
      <c r="AY3581" s="79"/>
      <c r="AZ3581" s="85"/>
      <c r="BA3581" s="40"/>
      <c r="BB3581" s="99"/>
      <c r="BC3581" s="85"/>
      <c r="BG3581" s="79"/>
      <c r="BH3581" s="99"/>
    </row>
    <row r="3582" spans="51:60" x14ac:dyDescent="0.2">
      <c r="AY3582" s="79"/>
      <c r="AZ3582" s="85"/>
      <c r="BA3582" s="40"/>
      <c r="BB3582" s="99"/>
      <c r="BC3582" s="85"/>
      <c r="BG3582" s="79"/>
      <c r="BH3582" s="99"/>
    </row>
    <row r="3583" spans="51:60" x14ac:dyDescent="0.2">
      <c r="AY3583" s="79"/>
      <c r="AZ3583" s="85"/>
      <c r="BA3583" s="40"/>
      <c r="BB3583" s="99"/>
      <c r="BC3583" s="85"/>
      <c r="BG3583" s="79"/>
      <c r="BH3583" s="99"/>
    </row>
    <row r="3584" spans="51:60" x14ac:dyDescent="0.2">
      <c r="AY3584" s="79"/>
      <c r="AZ3584" s="85"/>
      <c r="BA3584" s="40"/>
      <c r="BB3584" s="99"/>
      <c r="BC3584" s="85"/>
      <c r="BG3584" s="79"/>
      <c r="BH3584" s="99"/>
    </row>
    <row r="3585" spans="51:60" x14ac:dyDescent="0.2">
      <c r="AY3585" s="79"/>
      <c r="AZ3585" s="85"/>
      <c r="BA3585" s="40"/>
      <c r="BB3585" s="99"/>
      <c r="BC3585" s="85"/>
      <c r="BG3585" s="79"/>
      <c r="BH3585" s="99"/>
    </row>
    <row r="3586" spans="51:60" x14ac:dyDescent="0.2">
      <c r="AY3586" s="79"/>
      <c r="AZ3586" s="85"/>
      <c r="BA3586" s="40"/>
      <c r="BB3586" s="99"/>
      <c r="BC3586" s="85"/>
      <c r="BG3586" s="79"/>
      <c r="BH3586" s="99"/>
    </row>
    <row r="3587" spans="51:60" x14ac:dyDescent="0.2">
      <c r="AY3587" s="79"/>
      <c r="AZ3587" s="85"/>
      <c r="BA3587" s="40"/>
      <c r="BB3587" s="99"/>
      <c r="BC3587" s="85"/>
      <c r="BG3587" s="79"/>
      <c r="BH3587" s="99"/>
    </row>
    <row r="3588" spans="51:60" x14ac:dyDescent="0.2">
      <c r="AY3588" s="79"/>
      <c r="AZ3588" s="85"/>
      <c r="BA3588" s="40"/>
      <c r="BB3588" s="99"/>
      <c r="BC3588" s="85"/>
      <c r="BG3588" s="79"/>
      <c r="BH3588" s="99"/>
    </row>
    <row r="3589" spans="51:60" x14ac:dyDescent="0.2">
      <c r="AY3589" s="79"/>
      <c r="AZ3589" s="85"/>
      <c r="BA3589" s="40"/>
      <c r="BB3589" s="99"/>
      <c r="BC3589" s="85"/>
      <c r="BG3589" s="79"/>
      <c r="BH3589" s="99"/>
    </row>
    <row r="3590" spans="51:60" x14ac:dyDescent="0.2">
      <c r="AY3590" s="79"/>
      <c r="AZ3590" s="85"/>
      <c r="BA3590" s="40"/>
      <c r="BB3590" s="99"/>
      <c r="BC3590" s="85"/>
      <c r="BG3590" s="79"/>
      <c r="BH3590" s="99"/>
    </row>
    <row r="3591" spans="51:60" x14ac:dyDescent="0.2">
      <c r="AY3591" s="79"/>
      <c r="AZ3591" s="85"/>
      <c r="BA3591" s="40"/>
      <c r="BB3591" s="99"/>
      <c r="BC3591" s="85"/>
      <c r="BG3591" s="79"/>
      <c r="BH3591" s="99"/>
    </row>
    <row r="3592" spans="51:60" x14ac:dyDescent="0.2">
      <c r="AY3592" s="79"/>
      <c r="AZ3592" s="85"/>
      <c r="BA3592" s="40"/>
      <c r="BB3592" s="99"/>
      <c r="BC3592" s="85"/>
      <c r="BG3592" s="79"/>
      <c r="BH3592" s="99"/>
    </row>
    <row r="3593" spans="51:60" x14ac:dyDescent="0.2">
      <c r="AY3593" s="79"/>
      <c r="AZ3593" s="85"/>
      <c r="BA3593" s="40"/>
      <c r="BB3593" s="99"/>
      <c r="BC3593" s="85"/>
      <c r="BG3593" s="79"/>
      <c r="BH3593" s="99"/>
    </row>
    <row r="3594" spans="51:60" x14ac:dyDescent="0.2">
      <c r="AY3594" s="79"/>
      <c r="AZ3594" s="85"/>
      <c r="BA3594" s="40"/>
      <c r="BB3594" s="99"/>
      <c r="BC3594" s="85"/>
      <c r="BG3594" s="79"/>
      <c r="BH3594" s="99"/>
    </row>
    <row r="3595" spans="51:60" x14ac:dyDescent="0.2">
      <c r="AY3595" s="79"/>
      <c r="AZ3595" s="85"/>
      <c r="BA3595" s="40"/>
      <c r="BB3595" s="99"/>
      <c r="BC3595" s="85"/>
      <c r="BG3595" s="79"/>
      <c r="BH3595" s="99"/>
    </row>
    <row r="3596" spans="51:60" x14ac:dyDescent="0.2">
      <c r="AY3596" s="79"/>
      <c r="AZ3596" s="85"/>
      <c r="BA3596" s="40"/>
      <c r="BB3596" s="99"/>
      <c r="BC3596" s="85"/>
      <c r="BG3596" s="79"/>
      <c r="BH3596" s="99"/>
    </row>
    <row r="3597" spans="51:60" x14ac:dyDescent="0.2">
      <c r="AY3597" s="79"/>
      <c r="AZ3597" s="85"/>
      <c r="BA3597" s="40"/>
      <c r="BB3597" s="99"/>
      <c r="BC3597" s="85"/>
      <c r="BG3597" s="79"/>
      <c r="BH3597" s="99"/>
    </row>
    <row r="3598" spans="51:60" x14ac:dyDescent="0.2">
      <c r="AY3598" s="79"/>
      <c r="AZ3598" s="85"/>
      <c r="BA3598" s="40"/>
      <c r="BB3598" s="99"/>
      <c r="BC3598" s="85"/>
      <c r="BG3598" s="79"/>
      <c r="BH3598" s="99"/>
    </row>
    <row r="3599" spans="51:60" x14ac:dyDescent="0.2">
      <c r="AY3599" s="79"/>
      <c r="AZ3599" s="85"/>
      <c r="BA3599" s="40"/>
      <c r="BB3599" s="99"/>
      <c r="BC3599" s="85"/>
      <c r="BG3599" s="79"/>
      <c r="BH3599" s="99"/>
    </row>
    <row r="3600" spans="51:60" x14ac:dyDescent="0.2">
      <c r="AY3600" s="79"/>
      <c r="AZ3600" s="85"/>
      <c r="BA3600" s="40"/>
      <c r="BB3600" s="99"/>
      <c r="BC3600" s="85"/>
      <c r="BG3600" s="79"/>
      <c r="BH3600" s="99"/>
    </row>
    <row r="3601" spans="51:60" x14ac:dyDescent="0.2">
      <c r="AY3601" s="79"/>
      <c r="AZ3601" s="85"/>
      <c r="BA3601" s="40"/>
      <c r="BB3601" s="99"/>
      <c r="BC3601" s="85"/>
      <c r="BG3601" s="79"/>
      <c r="BH3601" s="99"/>
    </row>
    <row r="3602" spans="51:60" x14ac:dyDescent="0.2">
      <c r="AY3602" s="79"/>
      <c r="AZ3602" s="85"/>
      <c r="BA3602" s="40"/>
      <c r="BB3602" s="99"/>
      <c r="BC3602" s="85"/>
      <c r="BG3602" s="79"/>
      <c r="BH3602" s="99"/>
    </row>
    <row r="3603" spans="51:60" x14ac:dyDescent="0.2">
      <c r="AY3603" s="79"/>
      <c r="AZ3603" s="85"/>
      <c r="BA3603" s="40"/>
      <c r="BB3603" s="99"/>
      <c r="BC3603" s="85"/>
      <c r="BG3603" s="79"/>
      <c r="BH3603" s="99"/>
    </row>
    <row r="3604" spans="51:60" x14ac:dyDescent="0.2">
      <c r="AY3604" s="79"/>
      <c r="AZ3604" s="85"/>
      <c r="BA3604" s="40"/>
      <c r="BB3604" s="99"/>
      <c r="BC3604" s="85"/>
      <c r="BG3604" s="79"/>
      <c r="BH3604" s="99"/>
    </row>
    <row r="3605" spans="51:60" x14ac:dyDescent="0.2">
      <c r="AY3605" s="79"/>
      <c r="AZ3605" s="85"/>
      <c r="BA3605" s="40"/>
      <c r="BB3605" s="99"/>
      <c r="BC3605" s="85"/>
      <c r="BG3605" s="79"/>
      <c r="BH3605" s="99"/>
    </row>
    <row r="3606" spans="51:60" x14ac:dyDescent="0.2">
      <c r="AY3606" s="79"/>
      <c r="AZ3606" s="85"/>
      <c r="BA3606" s="40"/>
      <c r="BB3606" s="99"/>
      <c r="BC3606" s="85"/>
      <c r="BG3606" s="79"/>
      <c r="BH3606" s="99"/>
    </row>
    <row r="3607" spans="51:60" x14ac:dyDescent="0.2">
      <c r="AY3607" s="79"/>
      <c r="AZ3607" s="85"/>
      <c r="BA3607" s="40"/>
      <c r="BB3607" s="99"/>
      <c r="BC3607" s="85"/>
      <c r="BG3607" s="79"/>
      <c r="BH3607" s="99"/>
    </row>
    <row r="3608" spans="51:60" x14ac:dyDescent="0.2">
      <c r="AY3608" s="79"/>
      <c r="AZ3608" s="85"/>
      <c r="BA3608" s="40"/>
      <c r="BB3608" s="99"/>
      <c r="BC3608" s="85"/>
      <c r="BG3608" s="79"/>
      <c r="BH3608" s="99"/>
    </row>
    <row r="3609" spans="51:60" x14ac:dyDescent="0.2">
      <c r="AY3609" s="79"/>
      <c r="AZ3609" s="85"/>
      <c r="BA3609" s="40"/>
      <c r="BB3609" s="99"/>
      <c r="BC3609" s="85"/>
      <c r="BG3609" s="79"/>
      <c r="BH3609" s="99"/>
    </row>
    <row r="3610" spans="51:60" x14ac:dyDescent="0.2">
      <c r="AY3610" s="79"/>
      <c r="AZ3610" s="85"/>
      <c r="BA3610" s="40"/>
      <c r="BB3610" s="99"/>
      <c r="BC3610" s="85"/>
      <c r="BG3610" s="79"/>
      <c r="BH3610" s="99"/>
    </row>
    <row r="3611" spans="51:60" x14ac:dyDescent="0.2">
      <c r="AY3611" s="79"/>
      <c r="AZ3611" s="85"/>
      <c r="BA3611" s="40"/>
      <c r="BB3611" s="99"/>
      <c r="BC3611" s="85"/>
      <c r="BG3611" s="79"/>
      <c r="BH3611" s="99"/>
    </row>
    <row r="3612" spans="51:60" x14ac:dyDescent="0.2">
      <c r="AY3612" s="79"/>
      <c r="AZ3612" s="85"/>
      <c r="BA3612" s="40"/>
      <c r="BB3612" s="99"/>
      <c r="BC3612" s="85"/>
      <c r="BG3612" s="79"/>
      <c r="BH3612" s="99"/>
    </row>
    <row r="3613" spans="51:60" x14ac:dyDescent="0.2">
      <c r="AY3613" s="79"/>
      <c r="AZ3613" s="85"/>
      <c r="BA3613" s="40"/>
      <c r="BB3613" s="99"/>
      <c r="BC3613" s="85"/>
      <c r="BG3613" s="79"/>
      <c r="BH3613" s="99"/>
    </row>
    <row r="3614" spans="51:60" x14ac:dyDescent="0.2">
      <c r="AY3614" s="79"/>
      <c r="AZ3614" s="85"/>
      <c r="BA3614" s="40"/>
      <c r="BB3614" s="99"/>
      <c r="BC3614" s="85"/>
      <c r="BG3614" s="79"/>
      <c r="BH3614" s="99"/>
    </row>
    <row r="3615" spans="51:60" x14ac:dyDescent="0.2">
      <c r="AY3615" s="79"/>
      <c r="AZ3615" s="85"/>
      <c r="BA3615" s="40"/>
      <c r="BB3615" s="99"/>
      <c r="BC3615" s="85"/>
      <c r="BG3615" s="79"/>
      <c r="BH3615" s="99"/>
    </row>
    <row r="3616" spans="51:60" x14ac:dyDescent="0.2">
      <c r="AY3616" s="79"/>
      <c r="AZ3616" s="85"/>
      <c r="BA3616" s="40"/>
      <c r="BB3616" s="99"/>
      <c r="BC3616" s="85"/>
      <c r="BG3616" s="79"/>
      <c r="BH3616" s="99"/>
    </row>
    <row r="3617" spans="51:60" x14ac:dyDescent="0.2">
      <c r="AY3617" s="79"/>
      <c r="AZ3617" s="85"/>
      <c r="BA3617" s="40"/>
      <c r="BB3617" s="99"/>
      <c r="BC3617" s="85"/>
      <c r="BG3617" s="79"/>
      <c r="BH3617" s="99"/>
    </row>
    <row r="3618" spans="51:60" x14ac:dyDescent="0.2">
      <c r="AY3618" s="79"/>
      <c r="AZ3618" s="85"/>
      <c r="BA3618" s="40"/>
      <c r="BB3618" s="99"/>
      <c r="BC3618" s="85"/>
      <c r="BG3618" s="79"/>
      <c r="BH3618" s="99"/>
    </row>
    <row r="3619" spans="51:60" x14ac:dyDescent="0.2">
      <c r="AY3619" s="79"/>
      <c r="AZ3619" s="85"/>
      <c r="BA3619" s="40"/>
      <c r="BB3619" s="99"/>
      <c r="BC3619" s="85"/>
      <c r="BG3619" s="79"/>
      <c r="BH3619" s="99"/>
    </row>
    <row r="3620" spans="51:60" x14ac:dyDescent="0.2">
      <c r="AY3620" s="79"/>
      <c r="AZ3620" s="85"/>
      <c r="BA3620" s="40"/>
      <c r="BB3620" s="99"/>
      <c r="BC3620" s="85"/>
      <c r="BG3620" s="79"/>
      <c r="BH3620" s="99"/>
    </row>
    <row r="3621" spans="51:60" x14ac:dyDescent="0.2">
      <c r="AY3621" s="79"/>
      <c r="AZ3621" s="85"/>
      <c r="BA3621" s="40"/>
      <c r="BB3621" s="99"/>
      <c r="BC3621" s="85"/>
      <c r="BG3621" s="79"/>
      <c r="BH3621" s="99"/>
    </row>
    <row r="3622" spans="51:60" x14ac:dyDescent="0.2">
      <c r="AY3622" s="79"/>
      <c r="AZ3622" s="85"/>
      <c r="BA3622" s="40"/>
      <c r="BB3622" s="99"/>
      <c r="BC3622" s="85"/>
      <c r="BG3622" s="79"/>
      <c r="BH3622" s="99"/>
    </row>
    <row r="3623" spans="51:60" x14ac:dyDescent="0.2">
      <c r="AY3623" s="79"/>
      <c r="AZ3623" s="85"/>
      <c r="BA3623" s="40"/>
      <c r="BB3623" s="99"/>
      <c r="BC3623" s="85"/>
      <c r="BG3623" s="79"/>
      <c r="BH3623" s="99"/>
    </row>
    <row r="3624" spans="51:60" x14ac:dyDescent="0.2">
      <c r="AY3624" s="79"/>
      <c r="AZ3624" s="85"/>
      <c r="BA3624" s="40"/>
      <c r="BB3624" s="99"/>
      <c r="BC3624" s="85"/>
      <c r="BG3624" s="79"/>
      <c r="BH3624" s="99"/>
    </row>
    <row r="3625" spans="51:60" x14ac:dyDescent="0.2">
      <c r="AY3625" s="79"/>
      <c r="AZ3625" s="85"/>
      <c r="BA3625" s="40"/>
      <c r="BB3625" s="99"/>
      <c r="BC3625" s="85"/>
      <c r="BG3625" s="79"/>
      <c r="BH3625" s="99"/>
    </row>
    <row r="3626" spans="51:60" x14ac:dyDescent="0.2">
      <c r="AY3626" s="79"/>
      <c r="AZ3626" s="85"/>
      <c r="BA3626" s="40"/>
      <c r="BB3626" s="99"/>
      <c r="BC3626" s="85"/>
      <c r="BG3626" s="79"/>
      <c r="BH3626" s="99"/>
    </row>
    <row r="3627" spans="51:60" x14ac:dyDescent="0.2">
      <c r="AY3627" s="79"/>
      <c r="AZ3627" s="85"/>
      <c r="BA3627" s="40"/>
      <c r="BB3627" s="99"/>
      <c r="BC3627" s="85"/>
      <c r="BG3627" s="79"/>
      <c r="BH3627" s="99"/>
    </row>
    <row r="3628" spans="51:60" x14ac:dyDescent="0.2">
      <c r="AY3628" s="79"/>
      <c r="AZ3628" s="85"/>
      <c r="BA3628" s="40"/>
      <c r="BB3628" s="99"/>
      <c r="BC3628" s="85"/>
      <c r="BG3628" s="79"/>
      <c r="BH3628" s="99"/>
    </row>
    <row r="3629" spans="51:60" x14ac:dyDescent="0.2">
      <c r="AY3629" s="79"/>
      <c r="AZ3629" s="85"/>
      <c r="BA3629" s="40"/>
      <c r="BB3629" s="99"/>
      <c r="BC3629" s="85"/>
      <c r="BG3629" s="79"/>
      <c r="BH3629" s="99"/>
    </row>
    <row r="3630" spans="51:60" x14ac:dyDescent="0.2">
      <c r="AY3630" s="79"/>
      <c r="AZ3630" s="85"/>
      <c r="BA3630" s="40"/>
      <c r="BB3630" s="99"/>
      <c r="BC3630" s="85"/>
      <c r="BG3630" s="79"/>
      <c r="BH3630" s="99"/>
    </row>
    <row r="3631" spans="51:60" x14ac:dyDescent="0.2">
      <c r="AY3631" s="79"/>
      <c r="AZ3631" s="85"/>
      <c r="BA3631" s="40"/>
      <c r="BB3631" s="99"/>
      <c r="BC3631" s="85"/>
      <c r="BG3631" s="79"/>
      <c r="BH3631" s="99"/>
    </row>
    <row r="3632" spans="51:60" x14ac:dyDescent="0.2">
      <c r="AY3632" s="79"/>
      <c r="AZ3632" s="85"/>
      <c r="BA3632" s="40"/>
      <c r="BB3632" s="99"/>
      <c r="BC3632" s="85"/>
      <c r="BG3632" s="79"/>
      <c r="BH3632" s="99"/>
    </row>
    <row r="3633" spans="51:60" x14ac:dyDescent="0.2">
      <c r="AY3633" s="79"/>
      <c r="AZ3633" s="85"/>
      <c r="BA3633" s="40"/>
      <c r="BB3633" s="99"/>
      <c r="BC3633" s="85"/>
      <c r="BG3633" s="79"/>
      <c r="BH3633" s="99"/>
    </row>
    <row r="3634" spans="51:60" x14ac:dyDescent="0.2">
      <c r="AY3634" s="79"/>
      <c r="AZ3634" s="85"/>
      <c r="BA3634" s="40"/>
      <c r="BB3634" s="99"/>
      <c r="BC3634" s="85"/>
      <c r="BG3634" s="79"/>
      <c r="BH3634" s="99"/>
    </row>
    <row r="3635" spans="51:60" x14ac:dyDescent="0.2">
      <c r="AY3635" s="79"/>
      <c r="AZ3635" s="85"/>
      <c r="BA3635" s="40"/>
      <c r="BB3635" s="99"/>
      <c r="BC3635" s="85"/>
      <c r="BG3635" s="79"/>
      <c r="BH3635" s="99"/>
    </row>
    <row r="3636" spans="51:60" x14ac:dyDescent="0.2">
      <c r="AY3636" s="79"/>
      <c r="AZ3636" s="85"/>
      <c r="BA3636" s="40"/>
      <c r="BB3636" s="99"/>
      <c r="BC3636" s="85"/>
      <c r="BG3636" s="79"/>
      <c r="BH3636" s="99"/>
    </row>
    <row r="3637" spans="51:60" x14ac:dyDescent="0.2">
      <c r="AY3637" s="79"/>
      <c r="AZ3637" s="85"/>
      <c r="BA3637" s="40"/>
      <c r="BB3637" s="99"/>
      <c r="BC3637" s="85"/>
      <c r="BG3637" s="79"/>
      <c r="BH3637" s="99"/>
    </row>
    <row r="3638" spans="51:60" x14ac:dyDescent="0.2">
      <c r="AY3638" s="79"/>
      <c r="AZ3638" s="85"/>
      <c r="BA3638" s="40"/>
      <c r="BB3638" s="99"/>
      <c r="BC3638" s="85"/>
      <c r="BG3638" s="79"/>
      <c r="BH3638" s="99"/>
    </row>
    <row r="3639" spans="51:60" x14ac:dyDescent="0.2">
      <c r="AY3639" s="79"/>
      <c r="AZ3639" s="85"/>
      <c r="BA3639" s="40"/>
      <c r="BB3639" s="99"/>
      <c r="BC3639" s="85"/>
      <c r="BG3639" s="79"/>
      <c r="BH3639" s="99"/>
    </row>
    <row r="3640" spans="51:60" x14ac:dyDescent="0.2">
      <c r="AY3640" s="79"/>
      <c r="AZ3640" s="85"/>
      <c r="BA3640" s="40"/>
      <c r="BB3640" s="99"/>
      <c r="BC3640" s="85"/>
      <c r="BG3640" s="79"/>
      <c r="BH3640" s="99"/>
    </row>
    <row r="3641" spans="51:60" x14ac:dyDescent="0.2">
      <c r="AY3641" s="79"/>
      <c r="AZ3641" s="85"/>
      <c r="BA3641" s="40"/>
      <c r="BB3641" s="99"/>
      <c r="BC3641" s="85"/>
      <c r="BG3641" s="79"/>
      <c r="BH3641" s="99"/>
    </row>
    <row r="3642" spans="51:60" x14ac:dyDescent="0.2">
      <c r="AY3642" s="79"/>
      <c r="AZ3642" s="85"/>
      <c r="BA3642" s="40"/>
      <c r="BB3642" s="99"/>
      <c r="BC3642" s="85"/>
      <c r="BG3642" s="79"/>
      <c r="BH3642" s="99"/>
    </row>
    <row r="3643" spans="51:60" x14ac:dyDescent="0.2">
      <c r="AY3643" s="79"/>
      <c r="AZ3643" s="85"/>
      <c r="BA3643" s="40"/>
      <c r="BB3643" s="99"/>
      <c r="BC3643" s="85"/>
      <c r="BG3643" s="79"/>
      <c r="BH3643" s="99"/>
    </row>
    <row r="3644" spans="51:60" x14ac:dyDescent="0.2">
      <c r="AY3644" s="79"/>
      <c r="AZ3644" s="85"/>
      <c r="BA3644" s="40"/>
      <c r="BB3644" s="99"/>
      <c r="BC3644" s="85"/>
      <c r="BG3644" s="79"/>
      <c r="BH3644" s="99"/>
    </row>
    <row r="3645" spans="51:60" x14ac:dyDescent="0.2">
      <c r="AY3645" s="79"/>
      <c r="AZ3645" s="85"/>
      <c r="BA3645" s="40"/>
      <c r="BB3645" s="99"/>
      <c r="BC3645" s="85"/>
      <c r="BG3645" s="79"/>
      <c r="BH3645" s="99"/>
    </row>
    <row r="3646" spans="51:60" x14ac:dyDescent="0.2">
      <c r="AY3646" s="79"/>
      <c r="AZ3646" s="85"/>
      <c r="BA3646" s="40"/>
      <c r="BB3646" s="99"/>
      <c r="BC3646" s="85"/>
      <c r="BG3646" s="79"/>
      <c r="BH3646" s="99"/>
    </row>
    <row r="3647" spans="51:60" x14ac:dyDescent="0.2">
      <c r="AY3647" s="79"/>
      <c r="AZ3647" s="85"/>
      <c r="BA3647" s="40"/>
      <c r="BB3647" s="99"/>
      <c r="BC3647" s="85"/>
      <c r="BG3647" s="79"/>
      <c r="BH3647" s="99"/>
    </row>
    <row r="3648" spans="51:60" x14ac:dyDescent="0.2">
      <c r="AY3648" s="79"/>
      <c r="AZ3648" s="85"/>
      <c r="BA3648" s="40"/>
      <c r="BB3648" s="99"/>
      <c r="BC3648" s="85"/>
      <c r="BG3648" s="79"/>
      <c r="BH3648" s="99"/>
    </row>
    <row r="3649" spans="51:60" x14ac:dyDescent="0.2">
      <c r="AY3649" s="79"/>
      <c r="AZ3649" s="85"/>
      <c r="BA3649" s="40"/>
      <c r="BB3649" s="99"/>
      <c r="BC3649" s="85"/>
      <c r="BG3649" s="79"/>
      <c r="BH3649" s="99"/>
    </row>
    <row r="3650" spans="51:60" x14ac:dyDescent="0.2">
      <c r="AY3650" s="79"/>
      <c r="AZ3650" s="85"/>
      <c r="BA3650" s="40"/>
      <c r="BB3650" s="99"/>
      <c r="BC3650" s="85"/>
      <c r="BG3650" s="79"/>
      <c r="BH3650" s="99"/>
    </row>
    <row r="3651" spans="51:60" x14ac:dyDescent="0.2">
      <c r="AY3651" s="79"/>
      <c r="AZ3651" s="85"/>
      <c r="BA3651" s="40"/>
      <c r="BB3651" s="99"/>
      <c r="BC3651" s="85"/>
      <c r="BG3651" s="79"/>
      <c r="BH3651" s="99"/>
    </row>
    <row r="3652" spans="51:60" x14ac:dyDescent="0.2">
      <c r="AY3652" s="79"/>
      <c r="AZ3652" s="85"/>
      <c r="BA3652" s="40"/>
      <c r="BB3652" s="99"/>
      <c r="BC3652" s="85"/>
      <c r="BG3652" s="79"/>
      <c r="BH3652" s="99"/>
    </row>
    <row r="3653" spans="51:60" x14ac:dyDescent="0.2">
      <c r="AY3653" s="79"/>
      <c r="AZ3653" s="85"/>
      <c r="BA3653" s="40"/>
      <c r="BB3653" s="99"/>
      <c r="BC3653" s="85"/>
      <c r="BG3653" s="79"/>
      <c r="BH3653" s="99"/>
    </row>
    <row r="3654" spans="51:60" x14ac:dyDescent="0.2">
      <c r="AY3654" s="79"/>
      <c r="AZ3654" s="85"/>
      <c r="BA3654" s="40"/>
      <c r="BB3654" s="99"/>
      <c r="BC3654" s="85"/>
      <c r="BG3654" s="79"/>
      <c r="BH3654" s="99"/>
    </row>
    <row r="3655" spans="51:60" x14ac:dyDescent="0.2">
      <c r="AY3655" s="79"/>
      <c r="AZ3655" s="85"/>
      <c r="BA3655" s="40"/>
      <c r="BB3655" s="99"/>
      <c r="BC3655" s="85"/>
      <c r="BG3655" s="79"/>
      <c r="BH3655" s="99"/>
    </row>
    <row r="3656" spans="51:60" x14ac:dyDescent="0.2">
      <c r="AY3656" s="79"/>
      <c r="AZ3656" s="85"/>
      <c r="BA3656" s="40"/>
      <c r="BB3656" s="99"/>
      <c r="BC3656" s="85"/>
      <c r="BG3656" s="79"/>
      <c r="BH3656" s="99"/>
    </row>
    <row r="3657" spans="51:60" x14ac:dyDescent="0.2">
      <c r="AY3657" s="79"/>
      <c r="AZ3657" s="85"/>
      <c r="BA3657" s="40"/>
      <c r="BB3657" s="99"/>
      <c r="BC3657" s="85"/>
      <c r="BG3657" s="79"/>
      <c r="BH3657" s="99"/>
    </row>
    <row r="3658" spans="51:60" x14ac:dyDescent="0.2">
      <c r="AY3658" s="79"/>
      <c r="AZ3658" s="85"/>
      <c r="BA3658" s="40"/>
      <c r="BB3658" s="99"/>
      <c r="BC3658" s="85"/>
      <c r="BG3658" s="79"/>
      <c r="BH3658" s="99"/>
    </row>
    <row r="3659" spans="51:60" x14ac:dyDescent="0.2">
      <c r="AY3659" s="79"/>
      <c r="AZ3659" s="85"/>
      <c r="BA3659" s="40"/>
      <c r="BB3659" s="99"/>
      <c r="BC3659" s="85"/>
      <c r="BG3659" s="79"/>
      <c r="BH3659" s="99"/>
    </row>
    <row r="3660" spans="51:60" x14ac:dyDescent="0.2">
      <c r="AY3660" s="79"/>
      <c r="AZ3660" s="85"/>
      <c r="BA3660" s="40"/>
      <c r="BB3660" s="99"/>
      <c r="BC3660" s="85"/>
      <c r="BG3660" s="79"/>
      <c r="BH3660" s="99"/>
    </row>
    <row r="3661" spans="51:60" x14ac:dyDescent="0.2">
      <c r="AY3661" s="79"/>
      <c r="AZ3661" s="85"/>
      <c r="BA3661" s="40"/>
      <c r="BB3661" s="99"/>
      <c r="BC3661" s="85"/>
      <c r="BG3661" s="79"/>
      <c r="BH3661" s="99"/>
    </row>
    <row r="3662" spans="51:60" x14ac:dyDescent="0.2">
      <c r="AY3662" s="79"/>
      <c r="AZ3662" s="85"/>
      <c r="BA3662" s="40"/>
      <c r="BB3662" s="99"/>
      <c r="BC3662" s="85"/>
      <c r="BG3662" s="79"/>
      <c r="BH3662" s="99"/>
    </row>
    <row r="3663" spans="51:60" x14ac:dyDescent="0.2">
      <c r="AY3663" s="79"/>
      <c r="AZ3663" s="85"/>
      <c r="BA3663" s="40"/>
      <c r="BB3663" s="99"/>
      <c r="BC3663" s="85"/>
      <c r="BG3663" s="79"/>
      <c r="BH3663" s="99"/>
    </row>
    <row r="3664" spans="51:60" x14ac:dyDescent="0.2">
      <c r="AY3664" s="79"/>
      <c r="AZ3664" s="85"/>
      <c r="BA3664" s="40"/>
      <c r="BB3664" s="99"/>
      <c r="BC3664" s="85"/>
      <c r="BG3664" s="79"/>
      <c r="BH3664" s="99"/>
    </row>
    <row r="3665" spans="51:60" x14ac:dyDescent="0.2">
      <c r="AY3665" s="79"/>
      <c r="AZ3665" s="85"/>
      <c r="BA3665" s="40"/>
      <c r="BB3665" s="99"/>
      <c r="BC3665" s="85"/>
      <c r="BG3665" s="79"/>
      <c r="BH3665" s="99"/>
    </row>
    <row r="3666" spans="51:60" x14ac:dyDescent="0.2">
      <c r="AY3666" s="79"/>
      <c r="AZ3666" s="85"/>
      <c r="BA3666" s="40"/>
      <c r="BB3666" s="99"/>
      <c r="BC3666" s="85"/>
      <c r="BG3666" s="79"/>
      <c r="BH3666" s="99"/>
    </row>
    <row r="3667" spans="51:60" x14ac:dyDescent="0.2">
      <c r="AY3667" s="79"/>
      <c r="AZ3667" s="85"/>
      <c r="BA3667" s="40"/>
      <c r="BB3667" s="99"/>
      <c r="BC3667" s="85"/>
      <c r="BG3667" s="79"/>
      <c r="BH3667" s="99"/>
    </row>
    <row r="3668" spans="51:60" x14ac:dyDescent="0.2">
      <c r="AY3668" s="79"/>
      <c r="AZ3668" s="85"/>
      <c r="BA3668" s="40"/>
      <c r="BB3668" s="99"/>
      <c r="BC3668" s="85"/>
      <c r="BG3668" s="79"/>
      <c r="BH3668" s="99"/>
    </row>
    <row r="3669" spans="51:60" x14ac:dyDescent="0.2">
      <c r="AY3669" s="79"/>
      <c r="AZ3669" s="85"/>
      <c r="BA3669" s="40"/>
      <c r="BB3669" s="99"/>
      <c r="BC3669" s="85"/>
      <c r="BG3669" s="79"/>
      <c r="BH3669" s="99"/>
    </row>
    <row r="3670" spans="51:60" x14ac:dyDescent="0.2">
      <c r="AY3670" s="79"/>
      <c r="AZ3670" s="85"/>
      <c r="BA3670" s="40"/>
      <c r="BB3670" s="99"/>
      <c r="BC3670" s="85"/>
      <c r="BG3670" s="79"/>
      <c r="BH3670" s="99"/>
    </row>
    <row r="3671" spans="51:60" x14ac:dyDescent="0.2">
      <c r="AY3671" s="79"/>
      <c r="AZ3671" s="85"/>
      <c r="BA3671" s="40"/>
      <c r="BB3671" s="99"/>
      <c r="BC3671" s="85"/>
      <c r="BG3671" s="79"/>
      <c r="BH3671" s="99"/>
    </row>
    <row r="3672" spans="51:60" x14ac:dyDescent="0.2">
      <c r="AY3672" s="79"/>
      <c r="AZ3672" s="85"/>
      <c r="BA3672" s="40"/>
      <c r="BB3672" s="99"/>
      <c r="BC3672" s="85"/>
      <c r="BG3672" s="79"/>
      <c r="BH3672" s="99"/>
    </row>
    <row r="3673" spans="51:60" x14ac:dyDescent="0.2">
      <c r="AY3673" s="79"/>
      <c r="AZ3673" s="85"/>
      <c r="BA3673" s="40"/>
      <c r="BB3673" s="99"/>
      <c r="BC3673" s="85"/>
      <c r="BG3673" s="79"/>
      <c r="BH3673" s="99"/>
    </row>
    <row r="3674" spans="51:60" x14ac:dyDescent="0.2">
      <c r="AY3674" s="79"/>
      <c r="AZ3674" s="85"/>
      <c r="BA3674" s="40"/>
      <c r="BB3674" s="99"/>
      <c r="BC3674" s="85"/>
      <c r="BG3674" s="79"/>
      <c r="BH3674" s="99"/>
    </row>
    <row r="3675" spans="51:60" x14ac:dyDescent="0.2">
      <c r="AY3675" s="79"/>
      <c r="AZ3675" s="85"/>
      <c r="BA3675" s="40"/>
      <c r="BB3675" s="99"/>
      <c r="BC3675" s="85"/>
      <c r="BG3675" s="79"/>
      <c r="BH3675" s="99"/>
    </row>
    <row r="3676" spans="51:60" x14ac:dyDescent="0.2">
      <c r="AY3676" s="79"/>
      <c r="AZ3676" s="85"/>
      <c r="BA3676" s="40"/>
      <c r="BB3676" s="99"/>
      <c r="BC3676" s="85"/>
      <c r="BG3676" s="79"/>
      <c r="BH3676" s="99"/>
    </row>
    <row r="3677" spans="51:60" x14ac:dyDescent="0.2">
      <c r="AY3677" s="79"/>
      <c r="AZ3677" s="85"/>
      <c r="BA3677" s="40"/>
      <c r="BB3677" s="99"/>
      <c r="BC3677" s="85"/>
      <c r="BG3677" s="79"/>
      <c r="BH3677" s="99"/>
    </row>
    <row r="3678" spans="51:60" x14ac:dyDescent="0.2">
      <c r="AY3678" s="79"/>
      <c r="AZ3678" s="85"/>
      <c r="BA3678" s="40"/>
      <c r="BB3678" s="99"/>
      <c r="BC3678" s="85"/>
      <c r="BG3678" s="79"/>
      <c r="BH3678" s="99"/>
    </row>
    <row r="3679" spans="51:60" x14ac:dyDescent="0.2">
      <c r="AY3679" s="79"/>
      <c r="AZ3679" s="85"/>
      <c r="BA3679" s="40"/>
      <c r="BB3679" s="99"/>
      <c r="BC3679" s="85"/>
      <c r="BG3679" s="79"/>
      <c r="BH3679" s="99"/>
    </row>
    <row r="3680" spans="51:60" x14ac:dyDescent="0.2">
      <c r="AY3680" s="79"/>
      <c r="AZ3680" s="85"/>
      <c r="BA3680" s="40"/>
      <c r="BB3680" s="99"/>
      <c r="BC3680" s="85"/>
      <c r="BG3680" s="79"/>
      <c r="BH3680" s="99"/>
    </row>
    <row r="3681" spans="51:60" x14ac:dyDescent="0.2">
      <c r="AY3681" s="79"/>
      <c r="AZ3681" s="85"/>
      <c r="BA3681" s="40"/>
      <c r="BB3681" s="99"/>
      <c r="BC3681" s="85"/>
      <c r="BG3681" s="79"/>
      <c r="BH3681" s="99"/>
    </row>
    <row r="3682" spans="51:60" x14ac:dyDescent="0.2">
      <c r="AY3682" s="79"/>
      <c r="AZ3682" s="85"/>
      <c r="BA3682" s="40"/>
      <c r="BB3682" s="99"/>
      <c r="BC3682" s="85"/>
      <c r="BG3682" s="79"/>
      <c r="BH3682" s="99"/>
    </row>
    <row r="3683" spans="51:60" x14ac:dyDescent="0.2">
      <c r="AY3683" s="79"/>
      <c r="AZ3683" s="85"/>
      <c r="BA3683" s="40"/>
      <c r="BB3683" s="99"/>
      <c r="BC3683" s="85"/>
      <c r="BG3683" s="79"/>
      <c r="BH3683" s="99"/>
    </row>
    <row r="3684" spans="51:60" x14ac:dyDescent="0.2">
      <c r="AY3684" s="79"/>
      <c r="AZ3684" s="85"/>
      <c r="BA3684" s="40"/>
      <c r="BB3684" s="99"/>
      <c r="BC3684" s="85"/>
      <c r="BG3684" s="79"/>
      <c r="BH3684" s="99"/>
    </row>
    <row r="3685" spans="51:60" x14ac:dyDescent="0.2">
      <c r="AY3685" s="79"/>
      <c r="AZ3685" s="85"/>
      <c r="BA3685" s="40"/>
      <c r="BB3685" s="99"/>
      <c r="BC3685" s="85"/>
      <c r="BG3685" s="79"/>
      <c r="BH3685" s="99"/>
    </row>
    <row r="3686" spans="51:60" x14ac:dyDescent="0.2">
      <c r="AY3686" s="79"/>
      <c r="AZ3686" s="85"/>
      <c r="BA3686" s="40"/>
      <c r="BB3686" s="99"/>
      <c r="BC3686" s="85"/>
      <c r="BG3686" s="79"/>
      <c r="BH3686" s="99"/>
    </row>
    <row r="3687" spans="51:60" x14ac:dyDescent="0.2">
      <c r="AY3687" s="79"/>
      <c r="AZ3687" s="85"/>
      <c r="BA3687" s="40"/>
      <c r="BB3687" s="99"/>
      <c r="BC3687" s="85"/>
      <c r="BG3687" s="79"/>
      <c r="BH3687" s="99"/>
    </row>
    <row r="3688" spans="51:60" x14ac:dyDescent="0.2">
      <c r="AY3688" s="79"/>
      <c r="AZ3688" s="85"/>
      <c r="BA3688" s="40"/>
      <c r="BB3688" s="99"/>
      <c r="BC3688" s="85"/>
      <c r="BG3688" s="79"/>
      <c r="BH3688" s="99"/>
    </row>
    <row r="3689" spans="51:60" x14ac:dyDescent="0.2">
      <c r="AY3689" s="79"/>
      <c r="AZ3689" s="85"/>
      <c r="BA3689" s="40"/>
      <c r="BB3689" s="99"/>
      <c r="BC3689" s="85"/>
      <c r="BG3689" s="79"/>
      <c r="BH3689" s="99"/>
    </row>
    <row r="3690" spans="51:60" x14ac:dyDescent="0.2">
      <c r="AY3690" s="79"/>
      <c r="AZ3690" s="85"/>
      <c r="BA3690" s="40"/>
      <c r="BB3690" s="99"/>
      <c r="BC3690" s="85"/>
      <c r="BG3690" s="79"/>
      <c r="BH3690" s="99"/>
    </row>
    <row r="3691" spans="51:60" x14ac:dyDescent="0.2">
      <c r="AY3691" s="79"/>
      <c r="AZ3691" s="85"/>
      <c r="BA3691" s="40"/>
      <c r="BB3691" s="99"/>
      <c r="BC3691" s="85"/>
      <c r="BG3691" s="79"/>
      <c r="BH3691" s="99"/>
    </row>
    <row r="3692" spans="51:60" x14ac:dyDescent="0.2">
      <c r="AY3692" s="79"/>
      <c r="AZ3692" s="85"/>
      <c r="BA3692" s="40"/>
      <c r="BB3692" s="99"/>
      <c r="BC3692" s="85"/>
      <c r="BG3692" s="79"/>
      <c r="BH3692" s="99"/>
    </row>
    <row r="3693" spans="51:60" x14ac:dyDescent="0.2">
      <c r="AY3693" s="79"/>
      <c r="AZ3693" s="85"/>
      <c r="BA3693" s="40"/>
      <c r="BB3693" s="99"/>
      <c r="BC3693" s="85"/>
      <c r="BG3693" s="79"/>
      <c r="BH3693" s="99"/>
    </row>
    <row r="3694" spans="51:60" x14ac:dyDescent="0.2">
      <c r="AY3694" s="79"/>
      <c r="AZ3694" s="85"/>
      <c r="BA3694" s="40"/>
      <c r="BB3694" s="99"/>
      <c r="BC3694" s="85"/>
      <c r="BG3694" s="79"/>
      <c r="BH3694" s="99"/>
    </row>
    <row r="3695" spans="51:60" x14ac:dyDescent="0.2">
      <c r="AY3695" s="79"/>
      <c r="AZ3695" s="85"/>
      <c r="BA3695" s="40"/>
      <c r="BB3695" s="99"/>
      <c r="BC3695" s="85"/>
      <c r="BG3695" s="79"/>
      <c r="BH3695" s="99"/>
    </row>
    <row r="3696" spans="51:60" x14ac:dyDescent="0.2">
      <c r="AY3696" s="79"/>
      <c r="AZ3696" s="85"/>
      <c r="BA3696" s="40"/>
      <c r="BB3696" s="99"/>
      <c r="BC3696" s="85"/>
      <c r="BG3696" s="79"/>
      <c r="BH3696" s="99"/>
    </row>
    <row r="3697" spans="51:60" x14ac:dyDescent="0.2">
      <c r="AY3697" s="79"/>
      <c r="AZ3697" s="85"/>
      <c r="BA3697" s="40"/>
      <c r="BB3697" s="99"/>
      <c r="BC3697" s="85"/>
      <c r="BG3697" s="79"/>
      <c r="BH3697" s="99"/>
    </row>
    <row r="3698" spans="51:60" x14ac:dyDescent="0.2">
      <c r="AY3698" s="79"/>
      <c r="AZ3698" s="85"/>
      <c r="BA3698" s="40"/>
      <c r="BB3698" s="99"/>
      <c r="BC3698" s="85"/>
      <c r="BG3698" s="79"/>
      <c r="BH3698" s="99"/>
    </row>
    <row r="3699" spans="51:60" x14ac:dyDescent="0.2">
      <c r="AY3699" s="79"/>
      <c r="AZ3699" s="85"/>
      <c r="BA3699" s="40"/>
      <c r="BB3699" s="99"/>
      <c r="BC3699" s="85"/>
      <c r="BG3699" s="79"/>
      <c r="BH3699" s="99"/>
    </row>
    <row r="3700" spans="51:60" x14ac:dyDescent="0.2">
      <c r="AY3700" s="79"/>
      <c r="AZ3700" s="85"/>
      <c r="BA3700" s="40"/>
      <c r="BB3700" s="99"/>
      <c r="BC3700" s="85"/>
      <c r="BG3700" s="79"/>
      <c r="BH3700" s="99"/>
    </row>
    <row r="3701" spans="51:60" x14ac:dyDescent="0.2">
      <c r="AY3701" s="79"/>
      <c r="AZ3701" s="85"/>
      <c r="BA3701" s="40"/>
      <c r="BB3701" s="99"/>
      <c r="BC3701" s="85"/>
      <c r="BG3701" s="79"/>
      <c r="BH3701" s="99"/>
    </row>
    <row r="3702" spans="51:60" x14ac:dyDescent="0.2">
      <c r="AY3702" s="79"/>
      <c r="AZ3702" s="85"/>
      <c r="BA3702" s="40"/>
      <c r="BB3702" s="99"/>
      <c r="BC3702" s="85"/>
      <c r="BG3702" s="79"/>
      <c r="BH3702" s="99"/>
    </row>
    <row r="3703" spans="51:60" x14ac:dyDescent="0.2">
      <c r="AY3703" s="79"/>
      <c r="AZ3703" s="85"/>
      <c r="BA3703" s="40"/>
      <c r="BB3703" s="99"/>
      <c r="BC3703" s="85"/>
      <c r="BG3703" s="79"/>
      <c r="BH3703" s="99"/>
    </row>
    <row r="3704" spans="51:60" x14ac:dyDescent="0.2">
      <c r="AY3704" s="79"/>
      <c r="AZ3704" s="85"/>
      <c r="BA3704" s="40"/>
      <c r="BB3704" s="99"/>
      <c r="BC3704" s="85"/>
      <c r="BG3704" s="79"/>
      <c r="BH3704" s="99"/>
    </row>
    <row r="3705" spans="51:60" x14ac:dyDescent="0.2">
      <c r="AY3705" s="79"/>
      <c r="AZ3705" s="85"/>
      <c r="BA3705" s="40"/>
      <c r="BB3705" s="99"/>
      <c r="BC3705" s="85"/>
      <c r="BG3705" s="79"/>
      <c r="BH3705" s="99"/>
    </row>
    <row r="3706" spans="51:60" x14ac:dyDescent="0.2">
      <c r="AY3706" s="79"/>
      <c r="AZ3706" s="85"/>
      <c r="BA3706" s="40"/>
      <c r="BB3706" s="99"/>
      <c r="BC3706" s="85"/>
      <c r="BG3706" s="79"/>
      <c r="BH3706" s="99"/>
    </row>
    <row r="3707" spans="51:60" x14ac:dyDescent="0.2">
      <c r="AY3707" s="79"/>
      <c r="AZ3707" s="85"/>
      <c r="BA3707" s="40"/>
      <c r="BB3707" s="99"/>
      <c r="BC3707" s="85"/>
      <c r="BG3707" s="79"/>
      <c r="BH3707" s="99"/>
    </row>
    <row r="3708" spans="51:60" x14ac:dyDescent="0.2">
      <c r="AY3708" s="79"/>
      <c r="AZ3708" s="85"/>
      <c r="BA3708" s="40"/>
      <c r="BB3708" s="99"/>
      <c r="BC3708" s="85"/>
      <c r="BG3708" s="79"/>
      <c r="BH3708" s="99"/>
    </row>
    <row r="3709" spans="51:60" x14ac:dyDescent="0.2">
      <c r="AY3709" s="79"/>
      <c r="AZ3709" s="85"/>
      <c r="BA3709" s="40"/>
      <c r="BB3709" s="99"/>
      <c r="BC3709" s="85"/>
      <c r="BG3709" s="79"/>
      <c r="BH3709" s="99"/>
    </row>
    <row r="3710" spans="51:60" x14ac:dyDescent="0.2">
      <c r="AY3710" s="79"/>
      <c r="AZ3710" s="85"/>
      <c r="BA3710" s="40"/>
      <c r="BB3710" s="99"/>
      <c r="BC3710" s="85"/>
      <c r="BG3710" s="79"/>
      <c r="BH3710" s="99"/>
    </row>
    <row r="3711" spans="51:60" x14ac:dyDescent="0.2">
      <c r="AY3711" s="79"/>
      <c r="AZ3711" s="85"/>
      <c r="BA3711" s="40"/>
      <c r="BB3711" s="99"/>
      <c r="BC3711" s="85"/>
      <c r="BG3711" s="79"/>
      <c r="BH3711" s="99"/>
    </row>
    <row r="3712" spans="51:60" x14ac:dyDescent="0.2">
      <c r="AY3712" s="79"/>
      <c r="AZ3712" s="85"/>
      <c r="BA3712" s="40"/>
      <c r="BB3712" s="99"/>
      <c r="BC3712" s="85"/>
      <c r="BG3712" s="79"/>
      <c r="BH3712" s="99"/>
    </row>
    <row r="3713" spans="51:60" x14ac:dyDescent="0.2">
      <c r="AY3713" s="79"/>
      <c r="AZ3713" s="85"/>
      <c r="BA3713" s="40"/>
      <c r="BB3713" s="99"/>
      <c r="BC3713" s="85"/>
      <c r="BG3713" s="79"/>
      <c r="BH3713" s="99"/>
    </row>
    <row r="3714" spans="51:60" x14ac:dyDescent="0.2">
      <c r="AY3714" s="79"/>
      <c r="AZ3714" s="85"/>
      <c r="BA3714" s="40"/>
      <c r="BB3714" s="99"/>
      <c r="BC3714" s="85"/>
      <c r="BG3714" s="79"/>
      <c r="BH3714" s="99"/>
    </row>
    <row r="3715" spans="51:60" x14ac:dyDescent="0.2">
      <c r="AY3715" s="79"/>
      <c r="AZ3715" s="85"/>
      <c r="BA3715" s="40"/>
      <c r="BB3715" s="99"/>
      <c r="BC3715" s="85"/>
      <c r="BG3715" s="79"/>
      <c r="BH3715" s="99"/>
    </row>
    <row r="3716" spans="51:60" x14ac:dyDescent="0.2">
      <c r="AY3716" s="79"/>
      <c r="AZ3716" s="85"/>
      <c r="BA3716" s="40"/>
      <c r="BB3716" s="99"/>
      <c r="BC3716" s="85"/>
      <c r="BG3716" s="79"/>
      <c r="BH3716" s="99"/>
    </row>
    <row r="3717" spans="51:60" x14ac:dyDescent="0.2">
      <c r="AY3717" s="79"/>
      <c r="AZ3717" s="85"/>
      <c r="BA3717" s="40"/>
      <c r="BB3717" s="99"/>
      <c r="BC3717" s="85"/>
      <c r="BG3717" s="79"/>
      <c r="BH3717" s="99"/>
    </row>
    <row r="3718" spans="51:60" x14ac:dyDescent="0.2">
      <c r="AY3718" s="79"/>
      <c r="AZ3718" s="85"/>
      <c r="BA3718" s="40"/>
      <c r="BB3718" s="99"/>
      <c r="BC3718" s="85"/>
      <c r="BG3718" s="79"/>
      <c r="BH3718" s="99"/>
    </row>
    <row r="3719" spans="51:60" x14ac:dyDescent="0.2">
      <c r="AY3719" s="79"/>
      <c r="AZ3719" s="85"/>
      <c r="BA3719" s="40"/>
      <c r="BB3719" s="99"/>
      <c r="BC3719" s="85"/>
      <c r="BG3719" s="79"/>
      <c r="BH3719" s="99"/>
    </row>
    <row r="3720" spans="51:60" x14ac:dyDescent="0.2">
      <c r="AY3720" s="79"/>
      <c r="AZ3720" s="85"/>
      <c r="BA3720" s="40"/>
      <c r="BB3720" s="99"/>
      <c r="BC3720" s="85"/>
      <c r="BG3720" s="79"/>
      <c r="BH3720" s="99"/>
    </row>
    <row r="3721" spans="51:60" x14ac:dyDescent="0.2">
      <c r="AY3721" s="79"/>
      <c r="AZ3721" s="85"/>
      <c r="BA3721" s="40"/>
      <c r="BB3721" s="99"/>
      <c r="BC3721" s="85"/>
      <c r="BG3721" s="79"/>
      <c r="BH3721" s="99"/>
    </row>
    <row r="3722" spans="51:60" x14ac:dyDescent="0.2">
      <c r="AY3722" s="79"/>
      <c r="AZ3722" s="85"/>
      <c r="BA3722" s="40"/>
      <c r="BB3722" s="99"/>
      <c r="BC3722" s="85"/>
      <c r="BG3722" s="79"/>
      <c r="BH3722" s="99"/>
    </row>
    <row r="3723" spans="51:60" x14ac:dyDescent="0.2">
      <c r="AY3723" s="79"/>
      <c r="AZ3723" s="85"/>
      <c r="BA3723" s="40"/>
      <c r="BB3723" s="99"/>
      <c r="BC3723" s="85"/>
      <c r="BG3723" s="79"/>
      <c r="BH3723" s="99"/>
    </row>
    <row r="3724" spans="51:60" x14ac:dyDescent="0.2">
      <c r="AY3724" s="79"/>
      <c r="AZ3724" s="85"/>
      <c r="BA3724" s="40"/>
      <c r="BB3724" s="99"/>
      <c r="BC3724" s="85"/>
      <c r="BG3724" s="79"/>
      <c r="BH3724" s="99"/>
    </row>
    <row r="3725" spans="51:60" x14ac:dyDescent="0.2">
      <c r="AY3725" s="79"/>
      <c r="AZ3725" s="85"/>
      <c r="BA3725" s="40"/>
      <c r="BB3725" s="99"/>
      <c r="BC3725" s="85"/>
      <c r="BG3725" s="79"/>
      <c r="BH3725" s="99"/>
    </row>
    <row r="3726" spans="51:60" x14ac:dyDescent="0.2">
      <c r="AY3726" s="79"/>
      <c r="AZ3726" s="85"/>
      <c r="BA3726" s="40"/>
      <c r="BB3726" s="99"/>
      <c r="BC3726" s="85"/>
      <c r="BG3726" s="79"/>
      <c r="BH3726" s="99"/>
    </row>
    <row r="3727" spans="51:60" x14ac:dyDescent="0.2">
      <c r="AY3727" s="79"/>
      <c r="AZ3727" s="85"/>
      <c r="BA3727" s="40"/>
      <c r="BB3727" s="99"/>
      <c r="BC3727" s="85"/>
      <c r="BG3727" s="79"/>
      <c r="BH3727" s="99"/>
    </row>
    <row r="3728" spans="51:60" x14ac:dyDescent="0.2">
      <c r="AY3728" s="79"/>
      <c r="AZ3728" s="85"/>
      <c r="BA3728" s="40"/>
      <c r="BB3728" s="99"/>
      <c r="BC3728" s="85"/>
      <c r="BG3728" s="79"/>
      <c r="BH3728" s="99"/>
    </row>
    <row r="3729" spans="51:60" x14ac:dyDescent="0.2">
      <c r="AY3729" s="79"/>
      <c r="AZ3729" s="85"/>
      <c r="BA3729" s="40"/>
      <c r="BB3729" s="99"/>
      <c r="BC3729" s="85"/>
      <c r="BG3729" s="79"/>
      <c r="BH3729" s="99"/>
    </row>
    <row r="3730" spans="51:60" x14ac:dyDescent="0.2">
      <c r="AY3730" s="79"/>
      <c r="AZ3730" s="85"/>
      <c r="BA3730" s="40"/>
      <c r="BB3730" s="99"/>
      <c r="BC3730" s="85"/>
      <c r="BG3730" s="79"/>
      <c r="BH3730" s="99"/>
    </row>
    <row r="3731" spans="51:60" x14ac:dyDescent="0.2">
      <c r="AY3731" s="79"/>
      <c r="AZ3731" s="85"/>
      <c r="BA3731" s="40"/>
      <c r="BB3731" s="99"/>
      <c r="BC3731" s="85"/>
      <c r="BG3731" s="79"/>
      <c r="BH3731" s="99"/>
    </row>
    <row r="3732" spans="51:60" x14ac:dyDescent="0.2">
      <c r="AY3732" s="79"/>
      <c r="AZ3732" s="85"/>
      <c r="BA3732" s="40"/>
      <c r="BB3732" s="99"/>
      <c r="BC3732" s="85"/>
      <c r="BG3732" s="79"/>
      <c r="BH3732" s="99"/>
    </row>
    <row r="3733" spans="51:60" x14ac:dyDescent="0.2">
      <c r="AY3733" s="79"/>
      <c r="AZ3733" s="85"/>
      <c r="BA3733" s="40"/>
      <c r="BB3733" s="99"/>
      <c r="BC3733" s="85"/>
      <c r="BG3733" s="79"/>
      <c r="BH3733" s="99"/>
    </row>
    <row r="3734" spans="51:60" x14ac:dyDescent="0.2">
      <c r="AY3734" s="79"/>
      <c r="AZ3734" s="85"/>
      <c r="BA3734" s="40"/>
      <c r="BB3734" s="99"/>
      <c r="BC3734" s="85"/>
      <c r="BG3734" s="79"/>
      <c r="BH3734" s="99"/>
    </row>
    <row r="3735" spans="51:60" x14ac:dyDescent="0.2">
      <c r="AY3735" s="79"/>
      <c r="AZ3735" s="85"/>
      <c r="BA3735" s="40"/>
      <c r="BB3735" s="99"/>
      <c r="BC3735" s="85"/>
      <c r="BG3735" s="79"/>
      <c r="BH3735" s="99"/>
    </row>
    <row r="3736" spans="51:60" x14ac:dyDescent="0.2">
      <c r="AY3736" s="79"/>
      <c r="AZ3736" s="85"/>
      <c r="BA3736" s="40"/>
      <c r="BB3736" s="99"/>
      <c r="BC3736" s="85"/>
      <c r="BG3736" s="79"/>
      <c r="BH3736" s="99"/>
    </row>
    <row r="3737" spans="51:60" x14ac:dyDescent="0.2">
      <c r="AY3737" s="79"/>
      <c r="AZ3737" s="85"/>
      <c r="BA3737" s="40"/>
      <c r="BB3737" s="99"/>
      <c r="BC3737" s="85"/>
      <c r="BG3737" s="79"/>
      <c r="BH3737" s="99"/>
    </row>
    <row r="3738" spans="51:60" x14ac:dyDescent="0.2">
      <c r="AY3738" s="79"/>
      <c r="AZ3738" s="85"/>
      <c r="BA3738" s="40"/>
      <c r="BB3738" s="99"/>
      <c r="BC3738" s="85"/>
      <c r="BG3738" s="79"/>
      <c r="BH3738" s="99"/>
    </row>
    <row r="3739" spans="51:60" x14ac:dyDescent="0.2">
      <c r="AY3739" s="79"/>
      <c r="AZ3739" s="85"/>
      <c r="BA3739" s="40"/>
      <c r="BB3739" s="99"/>
      <c r="BC3739" s="85"/>
      <c r="BG3739" s="79"/>
      <c r="BH3739" s="99"/>
    </row>
    <row r="3740" spans="51:60" x14ac:dyDescent="0.2">
      <c r="AY3740" s="79"/>
      <c r="AZ3740" s="85"/>
      <c r="BA3740" s="40"/>
      <c r="BB3740" s="99"/>
      <c r="BC3740" s="85"/>
      <c r="BG3740" s="79"/>
      <c r="BH3740" s="99"/>
    </row>
    <row r="3741" spans="51:60" x14ac:dyDescent="0.2">
      <c r="AY3741" s="79"/>
      <c r="AZ3741" s="85"/>
      <c r="BA3741" s="40"/>
      <c r="BB3741" s="99"/>
      <c r="BC3741" s="85"/>
      <c r="BG3741" s="79"/>
      <c r="BH3741" s="99"/>
    </row>
    <row r="3742" spans="51:60" x14ac:dyDescent="0.2">
      <c r="AY3742" s="79"/>
      <c r="AZ3742" s="85"/>
      <c r="BA3742" s="40"/>
      <c r="BB3742" s="99"/>
      <c r="BC3742" s="85"/>
      <c r="BG3742" s="79"/>
      <c r="BH3742" s="99"/>
    </row>
    <row r="3743" spans="51:60" x14ac:dyDescent="0.2">
      <c r="AY3743" s="79"/>
      <c r="AZ3743" s="85"/>
      <c r="BA3743" s="40"/>
      <c r="BB3743" s="99"/>
      <c r="BC3743" s="85"/>
      <c r="BG3743" s="79"/>
      <c r="BH3743" s="99"/>
    </row>
    <row r="3744" spans="51:60" x14ac:dyDescent="0.2">
      <c r="AY3744" s="79"/>
      <c r="AZ3744" s="85"/>
      <c r="BA3744" s="40"/>
      <c r="BB3744" s="99"/>
      <c r="BC3744" s="85"/>
      <c r="BG3744" s="79"/>
      <c r="BH3744" s="99"/>
    </row>
    <row r="3745" spans="51:60" x14ac:dyDescent="0.2">
      <c r="AY3745" s="79"/>
      <c r="AZ3745" s="85"/>
      <c r="BA3745" s="40"/>
      <c r="BB3745" s="99"/>
      <c r="BC3745" s="85"/>
      <c r="BG3745" s="79"/>
      <c r="BH3745" s="99"/>
    </row>
    <row r="3746" spans="51:60" x14ac:dyDescent="0.2">
      <c r="AY3746" s="79"/>
      <c r="AZ3746" s="85"/>
      <c r="BA3746" s="40"/>
      <c r="BB3746" s="99"/>
      <c r="BC3746" s="85"/>
      <c r="BG3746" s="79"/>
      <c r="BH3746" s="99"/>
    </row>
    <row r="3747" spans="51:60" x14ac:dyDescent="0.2">
      <c r="AY3747" s="79"/>
      <c r="AZ3747" s="85"/>
      <c r="BA3747" s="40"/>
      <c r="BB3747" s="99"/>
      <c r="BC3747" s="85"/>
      <c r="BG3747" s="79"/>
      <c r="BH3747" s="99"/>
    </row>
    <row r="3748" spans="51:60" x14ac:dyDescent="0.2">
      <c r="AY3748" s="79"/>
      <c r="AZ3748" s="85"/>
      <c r="BA3748" s="40"/>
      <c r="BB3748" s="99"/>
      <c r="BC3748" s="85"/>
      <c r="BG3748" s="79"/>
      <c r="BH3748" s="99"/>
    </row>
    <row r="3749" spans="51:60" x14ac:dyDescent="0.2">
      <c r="AY3749" s="79"/>
      <c r="AZ3749" s="85"/>
      <c r="BA3749" s="40"/>
      <c r="BB3749" s="99"/>
      <c r="BC3749" s="85"/>
      <c r="BG3749" s="79"/>
      <c r="BH3749" s="99"/>
    </row>
    <row r="3750" spans="51:60" x14ac:dyDescent="0.2">
      <c r="AY3750" s="79"/>
      <c r="AZ3750" s="85"/>
      <c r="BA3750" s="40"/>
      <c r="BB3750" s="99"/>
      <c r="BC3750" s="85"/>
      <c r="BG3750" s="79"/>
      <c r="BH3750" s="99"/>
    </row>
    <row r="3751" spans="51:60" x14ac:dyDescent="0.2">
      <c r="AY3751" s="79"/>
      <c r="AZ3751" s="85"/>
      <c r="BA3751" s="40"/>
      <c r="BB3751" s="99"/>
      <c r="BC3751" s="85"/>
      <c r="BG3751" s="79"/>
      <c r="BH3751" s="99"/>
    </row>
    <row r="3752" spans="51:60" x14ac:dyDescent="0.2">
      <c r="AY3752" s="79"/>
      <c r="AZ3752" s="85"/>
      <c r="BA3752" s="40"/>
      <c r="BB3752" s="99"/>
      <c r="BC3752" s="85"/>
      <c r="BG3752" s="79"/>
      <c r="BH3752" s="99"/>
    </row>
    <row r="3753" spans="51:60" x14ac:dyDescent="0.2">
      <c r="AY3753" s="79"/>
      <c r="AZ3753" s="85"/>
      <c r="BA3753" s="40"/>
      <c r="BB3753" s="99"/>
      <c r="BC3753" s="85"/>
      <c r="BG3753" s="79"/>
      <c r="BH3753" s="99"/>
    </row>
    <row r="3754" spans="51:60" x14ac:dyDescent="0.2">
      <c r="AY3754" s="79"/>
      <c r="AZ3754" s="85"/>
      <c r="BA3754" s="40"/>
      <c r="BB3754" s="99"/>
      <c r="BC3754" s="85"/>
      <c r="BG3754" s="79"/>
      <c r="BH3754" s="99"/>
    </row>
    <row r="3755" spans="51:60" x14ac:dyDescent="0.2">
      <c r="AY3755" s="79"/>
      <c r="AZ3755" s="85"/>
      <c r="BA3755" s="40"/>
      <c r="BB3755" s="99"/>
      <c r="BC3755" s="85"/>
      <c r="BG3755" s="79"/>
      <c r="BH3755" s="99"/>
    </row>
    <row r="3756" spans="51:60" x14ac:dyDescent="0.2">
      <c r="AY3756" s="79"/>
      <c r="AZ3756" s="85"/>
      <c r="BA3756" s="40"/>
      <c r="BB3756" s="99"/>
      <c r="BC3756" s="85"/>
      <c r="BG3756" s="79"/>
      <c r="BH3756" s="99"/>
    </row>
    <row r="3757" spans="51:60" x14ac:dyDescent="0.2">
      <c r="AY3757" s="79"/>
      <c r="AZ3757" s="85"/>
      <c r="BA3757" s="40"/>
      <c r="BB3757" s="99"/>
      <c r="BC3757" s="85"/>
      <c r="BG3757" s="79"/>
      <c r="BH3757" s="99"/>
    </row>
    <row r="3758" spans="51:60" x14ac:dyDescent="0.2">
      <c r="AY3758" s="79"/>
      <c r="AZ3758" s="85"/>
      <c r="BA3758" s="40"/>
      <c r="BB3758" s="99"/>
      <c r="BC3758" s="85"/>
      <c r="BG3758" s="79"/>
      <c r="BH3758" s="99"/>
    </row>
    <row r="3759" spans="51:60" x14ac:dyDescent="0.2">
      <c r="AY3759" s="79"/>
      <c r="AZ3759" s="85"/>
      <c r="BA3759" s="40"/>
      <c r="BB3759" s="99"/>
      <c r="BC3759" s="85"/>
      <c r="BG3759" s="79"/>
      <c r="BH3759" s="99"/>
    </row>
    <row r="3760" spans="51:60" x14ac:dyDescent="0.2">
      <c r="AY3760" s="79"/>
      <c r="AZ3760" s="85"/>
      <c r="BA3760" s="40"/>
      <c r="BB3760" s="99"/>
      <c r="BC3760" s="85"/>
      <c r="BG3760" s="79"/>
      <c r="BH3760" s="99"/>
    </row>
    <row r="3761" spans="51:60" x14ac:dyDescent="0.2">
      <c r="AY3761" s="79"/>
      <c r="AZ3761" s="85"/>
      <c r="BA3761" s="40"/>
      <c r="BB3761" s="99"/>
      <c r="BC3761" s="85"/>
      <c r="BG3761" s="79"/>
      <c r="BH3761" s="99"/>
    </row>
    <row r="3762" spans="51:60" x14ac:dyDescent="0.2">
      <c r="AY3762" s="79"/>
      <c r="AZ3762" s="85"/>
      <c r="BA3762" s="40"/>
      <c r="BB3762" s="99"/>
      <c r="BC3762" s="85"/>
      <c r="BG3762" s="79"/>
      <c r="BH3762" s="99"/>
    </row>
    <row r="3763" spans="51:60" x14ac:dyDescent="0.2">
      <c r="AY3763" s="79"/>
      <c r="AZ3763" s="85"/>
      <c r="BA3763" s="40"/>
      <c r="BB3763" s="99"/>
      <c r="BC3763" s="85"/>
      <c r="BG3763" s="79"/>
      <c r="BH3763" s="99"/>
    </row>
    <row r="3764" spans="51:60" x14ac:dyDescent="0.2">
      <c r="AY3764" s="79"/>
      <c r="AZ3764" s="85"/>
      <c r="BA3764" s="40"/>
      <c r="BB3764" s="99"/>
      <c r="BC3764" s="85"/>
      <c r="BG3764" s="79"/>
      <c r="BH3764" s="99"/>
    </row>
    <row r="3765" spans="51:60" x14ac:dyDescent="0.2">
      <c r="AY3765" s="79"/>
      <c r="AZ3765" s="85"/>
      <c r="BA3765" s="40"/>
      <c r="BB3765" s="99"/>
      <c r="BC3765" s="85"/>
      <c r="BG3765" s="79"/>
      <c r="BH3765" s="99"/>
    </row>
    <row r="3766" spans="51:60" x14ac:dyDescent="0.2">
      <c r="AY3766" s="79"/>
      <c r="AZ3766" s="85"/>
      <c r="BA3766" s="40"/>
      <c r="BB3766" s="99"/>
      <c r="BC3766" s="85"/>
      <c r="BG3766" s="79"/>
      <c r="BH3766" s="99"/>
    </row>
    <row r="3767" spans="51:60" x14ac:dyDescent="0.2">
      <c r="AY3767" s="79"/>
      <c r="AZ3767" s="85"/>
      <c r="BA3767" s="40"/>
      <c r="BB3767" s="99"/>
      <c r="BC3767" s="85"/>
      <c r="BG3767" s="79"/>
      <c r="BH3767" s="99"/>
    </row>
    <row r="3768" spans="51:60" x14ac:dyDescent="0.2">
      <c r="AY3768" s="79"/>
      <c r="AZ3768" s="85"/>
      <c r="BA3768" s="40"/>
      <c r="BB3768" s="99"/>
      <c r="BC3768" s="85"/>
      <c r="BG3768" s="79"/>
      <c r="BH3768" s="99"/>
    </row>
    <row r="3769" spans="51:60" x14ac:dyDescent="0.2">
      <c r="AY3769" s="79"/>
      <c r="AZ3769" s="85"/>
      <c r="BA3769" s="40"/>
      <c r="BB3769" s="99"/>
      <c r="BC3769" s="85"/>
      <c r="BG3769" s="79"/>
      <c r="BH3769" s="99"/>
    </row>
    <row r="3770" spans="51:60" x14ac:dyDescent="0.2">
      <c r="AY3770" s="79"/>
      <c r="AZ3770" s="85"/>
      <c r="BA3770" s="40"/>
      <c r="BB3770" s="99"/>
      <c r="BC3770" s="85"/>
      <c r="BG3770" s="79"/>
      <c r="BH3770" s="99"/>
    </row>
    <row r="3771" spans="51:60" x14ac:dyDescent="0.2">
      <c r="AY3771" s="79"/>
      <c r="AZ3771" s="85"/>
      <c r="BA3771" s="40"/>
      <c r="BB3771" s="99"/>
      <c r="BC3771" s="85"/>
      <c r="BG3771" s="79"/>
      <c r="BH3771" s="99"/>
    </row>
    <row r="3772" spans="51:60" x14ac:dyDescent="0.2">
      <c r="AY3772" s="79"/>
      <c r="AZ3772" s="85"/>
      <c r="BA3772" s="40"/>
      <c r="BB3772" s="99"/>
      <c r="BC3772" s="85"/>
      <c r="BG3772" s="79"/>
      <c r="BH3772" s="99"/>
    </row>
    <row r="3773" spans="51:60" x14ac:dyDescent="0.2">
      <c r="AY3773" s="79"/>
      <c r="AZ3773" s="85"/>
      <c r="BA3773" s="40"/>
      <c r="BB3773" s="99"/>
      <c r="BC3773" s="85"/>
      <c r="BG3773" s="79"/>
      <c r="BH3773" s="99"/>
    </row>
    <row r="3774" spans="51:60" x14ac:dyDescent="0.2">
      <c r="AY3774" s="79"/>
      <c r="AZ3774" s="85"/>
      <c r="BA3774" s="40"/>
      <c r="BB3774" s="99"/>
      <c r="BC3774" s="85"/>
      <c r="BG3774" s="79"/>
      <c r="BH3774" s="99"/>
    </row>
    <row r="3775" spans="51:60" x14ac:dyDescent="0.2">
      <c r="AY3775" s="79"/>
      <c r="AZ3775" s="85"/>
      <c r="BA3775" s="40"/>
      <c r="BB3775" s="99"/>
      <c r="BC3775" s="85"/>
      <c r="BG3775" s="79"/>
      <c r="BH3775" s="99"/>
    </row>
    <row r="3776" spans="51:60" x14ac:dyDescent="0.2">
      <c r="AY3776" s="79"/>
      <c r="AZ3776" s="85"/>
      <c r="BA3776" s="40"/>
      <c r="BB3776" s="99"/>
      <c r="BC3776" s="85"/>
      <c r="BG3776" s="79"/>
      <c r="BH3776" s="99"/>
    </row>
    <row r="3777" spans="51:60" x14ac:dyDescent="0.2">
      <c r="AY3777" s="79"/>
      <c r="AZ3777" s="85"/>
      <c r="BA3777" s="40"/>
      <c r="BB3777" s="99"/>
      <c r="BC3777" s="85"/>
      <c r="BG3777" s="79"/>
      <c r="BH3777" s="99"/>
    </row>
    <row r="3778" spans="51:60" x14ac:dyDescent="0.2">
      <c r="AY3778" s="79"/>
      <c r="AZ3778" s="85"/>
      <c r="BA3778" s="40"/>
      <c r="BB3778" s="99"/>
      <c r="BC3778" s="85"/>
      <c r="BG3778" s="79"/>
      <c r="BH3778" s="99"/>
    </row>
    <row r="3779" spans="51:60" x14ac:dyDescent="0.2">
      <c r="AY3779" s="79"/>
      <c r="AZ3779" s="85"/>
      <c r="BA3779" s="40"/>
      <c r="BB3779" s="99"/>
      <c r="BC3779" s="85"/>
      <c r="BG3779" s="79"/>
      <c r="BH3779" s="99"/>
    </row>
    <row r="3780" spans="51:60" x14ac:dyDescent="0.2">
      <c r="AY3780" s="79"/>
      <c r="AZ3780" s="85"/>
      <c r="BA3780" s="40"/>
      <c r="BB3780" s="99"/>
      <c r="BC3780" s="85"/>
      <c r="BG3780" s="79"/>
      <c r="BH3780" s="99"/>
    </row>
    <row r="3781" spans="51:60" x14ac:dyDescent="0.2">
      <c r="AY3781" s="79"/>
      <c r="AZ3781" s="85"/>
      <c r="BA3781" s="40"/>
      <c r="BB3781" s="99"/>
      <c r="BC3781" s="85"/>
      <c r="BG3781" s="79"/>
      <c r="BH3781" s="99"/>
    </row>
    <row r="3782" spans="51:60" x14ac:dyDescent="0.2">
      <c r="AY3782" s="79"/>
      <c r="AZ3782" s="85"/>
      <c r="BA3782" s="40"/>
      <c r="BB3782" s="99"/>
      <c r="BC3782" s="85"/>
      <c r="BG3782" s="79"/>
      <c r="BH3782" s="99"/>
    </row>
    <row r="3783" spans="51:60" x14ac:dyDescent="0.2">
      <c r="AY3783" s="79"/>
      <c r="AZ3783" s="85"/>
      <c r="BA3783" s="40"/>
      <c r="BB3783" s="99"/>
      <c r="BC3783" s="85"/>
      <c r="BG3783" s="79"/>
      <c r="BH3783" s="99"/>
    </row>
    <row r="3784" spans="51:60" x14ac:dyDescent="0.2">
      <c r="AY3784" s="79"/>
      <c r="AZ3784" s="85"/>
      <c r="BA3784" s="40"/>
      <c r="BB3784" s="99"/>
      <c r="BC3784" s="85"/>
      <c r="BG3784" s="79"/>
      <c r="BH3784" s="99"/>
    </row>
    <row r="3785" spans="51:60" x14ac:dyDescent="0.2">
      <c r="AY3785" s="79"/>
      <c r="AZ3785" s="85"/>
      <c r="BA3785" s="40"/>
      <c r="BB3785" s="99"/>
      <c r="BC3785" s="85"/>
      <c r="BG3785" s="79"/>
      <c r="BH3785" s="99"/>
    </row>
    <row r="3786" spans="51:60" x14ac:dyDescent="0.2">
      <c r="AY3786" s="79"/>
      <c r="AZ3786" s="85"/>
      <c r="BA3786" s="40"/>
      <c r="BB3786" s="99"/>
      <c r="BC3786" s="85"/>
      <c r="BG3786" s="79"/>
      <c r="BH3786" s="99"/>
    </row>
    <row r="3787" spans="51:60" x14ac:dyDescent="0.2">
      <c r="AY3787" s="79"/>
      <c r="AZ3787" s="85"/>
      <c r="BA3787" s="40"/>
      <c r="BB3787" s="99"/>
      <c r="BC3787" s="85"/>
      <c r="BG3787" s="79"/>
      <c r="BH3787" s="99"/>
    </row>
    <row r="3788" spans="51:60" x14ac:dyDescent="0.2">
      <c r="AY3788" s="79"/>
      <c r="AZ3788" s="85"/>
      <c r="BA3788" s="40"/>
      <c r="BB3788" s="99"/>
      <c r="BC3788" s="85"/>
      <c r="BG3788" s="79"/>
      <c r="BH3788" s="99"/>
    </row>
    <row r="3789" spans="51:60" x14ac:dyDescent="0.2">
      <c r="AY3789" s="79"/>
      <c r="AZ3789" s="85"/>
      <c r="BA3789" s="40"/>
      <c r="BB3789" s="99"/>
      <c r="BC3789" s="85"/>
      <c r="BG3789" s="79"/>
      <c r="BH3789" s="99"/>
    </row>
    <row r="3790" spans="51:60" x14ac:dyDescent="0.2">
      <c r="AY3790" s="79"/>
      <c r="AZ3790" s="85"/>
      <c r="BA3790" s="40"/>
      <c r="BB3790" s="99"/>
      <c r="BC3790" s="85"/>
      <c r="BG3790" s="79"/>
      <c r="BH3790" s="99"/>
    </row>
    <row r="3791" spans="51:60" x14ac:dyDescent="0.2">
      <c r="AY3791" s="79"/>
      <c r="AZ3791" s="85"/>
      <c r="BA3791" s="40"/>
      <c r="BB3791" s="99"/>
      <c r="BC3791" s="85"/>
      <c r="BG3791" s="79"/>
      <c r="BH3791" s="99"/>
    </row>
    <row r="3792" spans="51:60" x14ac:dyDescent="0.2">
      <c r="AY3792" s="79"/>
      <c r="AZ3792" s="85"/>
      <c r="BA3792" s="40"/>
      <c r="BB3792" s="99"/>
      <c r="BC3792" s="85"/>
      <c r="BG3792" s="79"/>
      <c r="BH3792" s="99"/>
    </row>
    <row r="3793" spans="51:60" x14ac:dyDescent="0.2">
      <c r="AY3793" s="79"/>
      <c r="AZ3793" s="85"/>
      <c r="BA3793" s="40"/>
      <c r="BB3793" s="99"/>
      <c r="BC3793" s="85"/>
      <c r="BG3793" s="79"/>
      <c r="BH3793" s="99"/>
    </row>
    <row r="3794" spans="51:60" x14ac:dyDescent="0.2">
      <c r="AY3794" s="79"/>
      <c r="AZ3794" s="85"/>
      <c r="BA3794" s="40"/>
      <c r="BB3794" s="99"/>
      <c r="BC3794" s="85"/>
      <c r="BG3794" s="79"/>
      <c r="BH3794" s="99"/>
    </row>
    <row r="3795" spans="51:60" x14ac:dyDescent="0.2">
      <c r="AY3795" s="79"/>
      <c r="AZ3795" s="85"/>
      <c r="BA3795" s="40"/>
      <c r="BB3795" s="99"/>
      <c r="BC3795" s="85"/>
      <c r="BG3795" s="79"/>
      <c r="BH3795" s="99"/>
    </row>
    <row r="3796" spans="51:60" x14ac:dyDescent="0.2">
      <c r="AY3796" s="79"/>
      <c r="AZ3796" s="85"/>
      <c r="BA3796" s="40"/>
      <c r="BB3796" s="99"/>
      <c r="BC3796" s="85"/>
      <c r="BG3796" s="79"/>
      <c r="BH3796" s="99"/>
    </row>
    <row r="3797" spans="51:60" x14ac:dyDescent="0.2">
      <c r="AY3797" s="79"/>
      <c r="AZ3797" s="85"/>
      <c r="BA3797" s="40"/>
      <c r="BB3797" s="99"/>
      <c r="BC3797" s="85"/>
      <c r="BG3797" s="79"/>
      <c r="BH3797" s="99"/>
    </row>
    <row r="3798" spans="51:60" x14ac:dyDescent="0.2">
      <c r="AY3798" s="79"/>
      <c r="AZ3798" s="85"/>
      <c r="BA3798" s="40"/>
      <c r="BB3798" s="99"/>
      <c r="BC3798" s="85"/>
      <c r="BG3798" s="79"/>
      <c r="BH3798" s="99"/>
    </row>
    <row r="3799" spans="51:60" x14ac:dyDescent="0.2">
      <c r="AY3799" s="79"/>
      <c r="AZ3799" s="85"/>
      <c r="BA3799" s="40"/>
      <c r="BB3799" s="99"/>
      <c r="BC3799" s="85"/>
      <c r="BG3799" s="79"/>
      <c r="BH3799" s="99"/>
    </row>
    <row r="3800" spans="51:60" x14ac:dyDescent="0.2">
      <c r="AY3800" s="79"/>
      <c r="AZ3800" s="85"/>
      <c r="BA3800" s="40"/>
      <c r="BB3800" s="99"/>
      <c r="BC3800" s="85"/>
      <c r="BG3800" s="79"/>
      <c r="BH3800" s="99"/>
    </row>
    <row r="3801" spans="51:60" x14ac:dyDescent="0.2">
      <c r="AY3801" s="79"/>
      <c r="AZ3801" s="85"/>
      <c r="BA3801" s="40"/>
      <c r="BB3801" s="99"/>
      <c r="BC3801" s="85"/>
      <c r="BG3801" s="79"/>
      <c r="BH3801" s="99"/>
    </row>
    <row r="3802" spans="51:60" x14ac:dyDescent="0.2">
      <c r="AY3802" s="79"/>
      <c r="AZ3802" s="85"/>
      <c r="BA3802" s="40"/>
      <c r="BB3802" s="99"/>
      <c r="BC3802" s="85"/>
      <c r="BG3802" s="79"/>
      <c r="BH3802" s="99"/>
    </row>
    <row r="3803" spans="51:60" x14ac:dyDescent="0.2">
      <c r="AY3803" s="79"/>
      <c r="AZ3803" s="85"/>
      <c r="BA3803" s="40"/>
      <c r="BB3803" s="99"/>
      <c r="BC3803" s="85"/>
      <c r="BG3803" s="79"/>
      <c r="BH3803" s="99"/>
    </row>
    <row r="3804" spans="51:60" x14ac:dyDescent="0.2">
      <c r="AY3804" s="79"/>
      <c r="AZ3804" s="85"/>
      <c r="BA3804" s="40"/>
      <c r="BB3804" s="99"/>
      <c r="BC3804" s="85"/>
      <c r="BG3804" s="79"/>
      <c r="BH3804" s="99"/>
    </row>
    <row r="3805" spans="51:60" x14ac:dyDescent="0.2">
      <c r="AY3805" s="79"/>
      <c r="AZ3805" s="85"/>
      <c r="BA3805" s="40"/>
      <c r="BB3805" s="99"/>
      <c r="BC3805" s="85"/>
      <c r="BG3805" s="79"/>
      <c r="BH3805" s="99"/>
    </row>
    <row r="3806" spans="51:60" x14ac:dyDescent="0.2">
      <c r="AY3806" s="79"/>
      <c r="AZ3806" s="85"/>
      <c r="BA3806" s="40"/>
      <c r="BB3806" s="99"/>
      <c r="BC3806" s="85"/>
      <c r="BG3806" s="79"/>
      <c r="BH3806" s="99"/>
    </row>
    <row r="3807" spans="51:60" x14ac:dyDescent="0.2">
      <c r="AY3807" s="79"/>
      <c r="AZ3807" s="85"/>
      <c r="BA3807" s="40"/>
      <c r="BB3807" s="99"/>
      <c r="BC3807" s="85"/>
      <c r="BG3807" s="79"/>
      <c r="BH3807" s="99"/>
    </row>
    <row r="3808" spans="51:60" x14ac:dyDescent="0.2">
      <c r="AY3808" s="79"/>
      <c r="AZ3808" s="85"/>
      <c r="BA3808" s="40"/>
      <c r="BB3808" s="99"/>
      <c r="BC3808" s="85"/>
      <c r="BG3808" s="79"/>
      <c r="BH3808" s="99"/>
    </row>
    <row r="3809" spans="51:60" x14ac:dyDescent="0.2">
      <c r="AY3809" s="79"/>
      <c r="AZ3809" s="85"/>
      <c r="BA3809" s="40"/>
      <c r="BB3809" s="99"/>
      <c r="BC3809" s="85"/>
      <c r="BG3809" s="79"/>
      <c r="BH3809" s="99"/>
    </row>
    <row r="3810" spans="51:60" x14ac:dyDescent="0.2">
      <c r="AY3810" s="79"/>
      <c r="AZ3810" s="85"/>
      <c r="BA3810" s="40"/>
      <c r="BB3810" s="99"/>
      <c r="BC3810" s="85"/>
      <c r="BG3810" s="79"/>
      <c r="BH3810" s="99"/>
    </row>
    <row r="3811" spans="51:60" x14ac:dyDescent="0.2">
      <c r="AY3811" s="79"/>
      <c r="AZ3811" s="85"/>
      <c r="BA3811" s="40"/>
      <c r="BB3811" s="99"/>
      <c r="BC3811" s="85"/>
      <c r="BG3811" s="79"/>
      <c r="BH3811" s="99"/>
    </row>
    <row r="3812" spans="51:60" x14ac:dyDescent="0.2">
      <c r="AY3812" s="79"/>
      <c r="AZ3812" s="85"/>
      <c r="BA3812" s="40"/>
      <c r="BB3812" s="99"/>
      <c r="BC3812" s="85"/>
      <c r="BG3812" s="79"/>
      <c r="BH3812" s="99"/>
    </row>
    <row r="3813" spans="51:60" x14ac:dyDescent="0.2">
      <c r="AY3813" s="79"/>
      <c r="AZ3813" s="85"/>
      <c r="BA3813" s="40"/>
      <c r="BB3813" s="99"/>
      <c r="BC3813" s="85"/>
      <c r="BG3813" s="79"/>
      <c r="BH3813" s="99"/>
    </row>
    <row r="3814" spans="51:60" x14ac:dyDescent="0.2">
      <c r="AY3814" s="79"/>
      <c r="AZ3814" s="85"/>
      <c r="BA3814" s="40"/>
      <c r="BB3814" s="99"/>
      <c r="BC3814" s="85"/>
      <c r="BG3814" s="79"/>
      <c r="BH3814" s="99"/>
    </row>
    <row r="3815" spans="51:60" x14ac:dyDescent="0.2">
      <c r="AY3815" s="79"/>
      <c r="AZ3815" s="85"/>
      <c r="BA3815" s="40"/>
      <c r="BB3815" s="99"/>
      <c r="BC3815" s="85"/>
      <c r="BG3815" s="79"/>
      <c r="BH3815" s="99"/>
    </row>
    <row r="3816" spans="51:60" x14ac:dyDescent="0.2">
      <c r="AY3816" s="79"/>
      <c r="AZ3816" s="85"/>
      <c r="BA3816" s="40"/>
      <c r="BB3816" s="99"/>
      <c r="BC3816" s="85"/>
      <c r="BG3816" s="79"/>
      <c r="BH3816" s="99"/>
    </row>
    <row r="3817" spans="51:60" x14ac:dyDescent="0.2">
      <c r="AY3817" s="79"/>
      <c r="AZ3817" s="85"/>
      <c r="BA3817" s="40"/>
      <c r="BB3817" s="99"/>
      <c r="BC3817" s="85"/>
      <c r="BG3817" s="79"/>
      <c r="BH3817" s="99"/>
    </row>
    <row r="3818" spans="51:60" x14ac:dyDescent="0.2">
      <c r="AY3818" s="79"/>
      <c r="AZ3818" s="85"/>
      <c r="BA3818" s="40"/>
      <c r="BB3818" s="99"/>
      <c r="BC3818" s="85"/>
      <c r="BG3818" s="79"/>
      <c r="BH3818" s="99"/>
    </row>
    <row r="3819" spans="51:60" x14ac:dyDescent="0.2">
      <c r="AY3819" s="79"/>
      <c r="AZ3819" s="85"/>
      <c r="BA3819" s="40"/>
      <c r="BB3819" s="99"/>
      <c r="BC3819" s="85"/>
      <c r="BG3819" s="79"/>
      <c r="BH3819" s="99"/>
    </row>
    <row r="3820" spans="51:60" x14ac:dyDescent="0.2">
      <c r="AY3820" s="79"/>
      <c r="AZ3820" s="85"/>
      <c r="BA3820" s="40"/>
      <c r="BB3820" s="99"/>
      <c r="BC3820" s="85"/>
      <c r="BG3820" s="79"/>
      <c r="BH3820" s="99"/>
    </row>
    <row r="3821" spans="51:60" x14ac:dyDescent="0.2">
      <c r="AY3821" s="79"/>
      <c r="AZ3821" s="85"/>
      <c r="BA3821" s="40"/>
      <c r="BB3821" s="99"/>
      <c r="BC3821" s="85"/>
      <c r="BG3821" s="79"/>
      <c r="BH3821" s="99"/>
    </row>
    <row r="3822" spans="51:60" x14ac:dyDescent="0.2">
      <c r="AY3822" s="79"/>
      <c r="AZ3822" s="85"/>
      <c r="BA3822" s="40"/>
      <c r="BB3822" s="99"/>
      <c r="BC3822" s="85"/>
      <c r="BG3822" s="79"/>
      <c r="BH3822" s="99"/>
    </row>
    <row r="3823" spans="51:60" x14ac:dyDescent="0.2">
      <c r="AY3823" s="79"/>
      <c r="AZ3823" s="85"/>
      <c r="BA3823" s="40"/>
      <c r="BB3823" s="99"/>
      <c r="BC3823" s="85"/>
      <c r="BG3823" s="79"/>
      <c r="BH3823" s="99"/>
    </row>
    <row r="3824" spans="51:60" x14ac:dyDescent="0.2">
      <c r="AY3824" s="79"/>
      <c r="AZ3824" s="85"/>
      <c r="BA3824" s="40"/>
      <c r="BB3824" s="99"/>
      <c r="BC3824" s="85"/>
      <c r="BG3824" s="79"/>
      <c r="BH3824" s="99"/>
    </row>
    <row r="3825" spans="51:60" x14ac:dyDescent="0.2">
      <c r="AY3825" s="79"/>
      <c r="AZ3825" s="85"/>
      <c r="BA3825" s="40"/>
      <c r="BB3825" s="99"/>
      <c r="BC3825" s="85"/>
      <c r="BG3825" s="79"/>
      <c r="BH3825" s="99"/>
    </row>
    <row r="3826" spans="51:60" x14ac:dyDescent="0.2">
      <c r="AY3826" s="79"/>
      <c r="AZ3826" s="85"/>
      <c r="BA3826" s="40"/>
      <c r="BB3826" s="99"/>
      <c r="BC3826" s="85"/>
      <c r="BG3826" s="79"/>
      <c r="BH3826" s="99"/>
    </row>
    <row r="3827" spans="51:60" x14ac:dyDescent="0.2">
      <c r="AY3827" s="79"/>
      <c r="AZ3827" s="85"/>
      <c r="BA3827" s="40"/>
      <c r="BB3827" s="99"/>
      <c r="BC3827" s="85"/>
      <c r="BG3827" s="79"/>
      <c r="BH3827" s="99"/>
    </row>
    <row r="3828" spans="51:60" x14ac:dyDescent="0.2">
      <c r="AY3828" s="79"/>
      <c r="AZ3828" s="85"/>
      <c r="BA3828" s="40"/>
      <c r="BB3828" s="99"/>
      <c r="BC3828" s="85"/>
      <c r="BG3828" s="79"/>
      <c r="BH3828" s="99"/>
    </row>
    <row r="3829" spans="51:60" x14ac:dyDescent="0.2">
      <c r="AY3829" s="79"/>
      <c r="AZ3829" s="85"/>
      <c r="BA3829" s="40"/>
      <c r="BB3829" s="99"/>
      <c r="BC3829" s="85"/>
      <c r="BG3829" s="79"/>
      <c r="BH3829" s="99"/>
    </row>
    <row r="3830" spans="51:60" x14ac:dyDescent="0.2">
      <c r="AY3830" s="79"/>
      <c r="AZ3830" s="85"/>
      <c r="BA3830" s="40"/>
      <c r="BB3830" s="99"/>
      <c r="BC3830" s="85"/>
      <c r="BG3830" s="79"/>
      <c r="BH3830" s="99"/>
    </row>
    <row r="3831" spans="51:60" x14ac:dyDescent="0.2">
      <c r="AY3831" s="79"/>
      <c r="AZ3831" s="85"/>
      <c r="BA3831" s="40"/>
      <c r="BB3831" s="99"/>
      <c r="BC3831" s="85"/>
      <c r="BG3831" s="79"/>
      <c r="BH3831" s="99"/>
    </row>
    <row r="3832" spans="51:60" x14ac:dyDescent="0.2">
      <c r="AY3832" s="79"/>
      <c r="AZ3832" s="85"/>
      <c r="BA3832" s="40"/>
      <c r="BB3832" s="99"/>
      <c r="BC3832" s="85"/>
      <c r="BG3832" s="79"/>
      <c r="BH3832" s="99"/>
    </row>
    <row r="3833" spans="51:60" x14ac:dyDescent="0.2">
      <c r="AY3833" s="79"/>
      <c r="AZ3833" s="85"/>
      <c r="BA3833" s="40"/>
      <c r="BB3833" s="99"/>
      <c r="BC3833" s="85"/>
      <c r="BG3833" s="79"/>
      <c r="BH3833" s="99"/>
    </row>
    <row r="3834" spans="51:60" x14ac:dyDescent="0.2">
      <c r="AY3834" s="79"/>
      <c r="AZ3834" s="85"/>
      <c r="BA3834" s="40"/>
      <c r="BB3834" s="99"/>
      <c r="BC3834" s="85"/>
      <c r="BG3834" s="79"/>
      <c r="BH3834" s="99"/>
    </row>
    <row r="3835" spans="51:60" x14ac:dyDescent="0.2">
      <c r="AY3835" s="79"/>
      <c r="AZ3835" s="85"/>
      <c r="BA3835" s="40"/>
      <c r="BB3835" s="99"/>
      <c r="BC3835" s="85"/>
      <c r="BG3835" s="79"/>
      <c r="BH3835" s="99"/>
    </row>
    <row r="3836" spans="51:60" x14ac:dyDescent="0.2">
      <c r="AY3836" s="79"/>
      <c r="AZ3836" s="85"/>
      <c r="BA3836" s="40"/>
      <c r="BB3836" s="99"/>
      <c r="BC3836" s="85"/>
      <c r="BG3836" s="79"/>
      <c r="BH3836" s="99"/>
    </row>
    <row r="3837" spans="51:60" x14ac:dyDescent="0.2">
      <c r="AY3837" s="79"/>
      <c r="AZ3837" s="85"/>
      <c r="BA3837" s="40"/>
      <c r="BB3837" s="99"/>
      <c r="BC3837" s="85"/>
      <c r="BG3837" s="79"/>
      <c r="BH3837" s="99"/>
    </row>
    <row r="3838" spans="51:60" x14ac:dyDescent="0.2">
      <c r="AY3838" s="79"/>
      <c r="AZ3838" s="85"/>
      <c r="BA3838" s="40"/>
      <c r="BB3838" s="99"/>
      <c r="BC3838" s="85"/>
      <c r="BG3838" s="79"/>
      <c r="BH3838" s="99"/>
    </row>
    <row r="3839" spans="51:60" x14ac:dyDescent="0.2">
      <c r="AY3839" s="79"/>
      <c r="AZ3839" s="85"/>
      <c r="BA3839" s="40"/>
      <c r="BB3839" s="99"/>
      <c r="BC3839" s="85"/>
      <c r="BG3839" s="79"/>
      <c r="BH3839" s="99"/>
    </row>
    <row r="3840" spans="51:60" x14ac:dyDescent="0.2">
      <c r="AY3840" s="79"/>
      <c r="AZ3840" s="85"/>
      <c r="BA3840" s="40"/>
      <c r="BB3840" s="99"/>
      <c r="BC3840" s="85"/>
      <c r="BG3840" s="79"/>
      <c r="BH3840" s="99"/>
    </row>
    <row r="3841" spans="51:60" x14ac:dyDescent="0.2">
      <c r="AY3841" s="79"/>
      <c r="AZ3841" s="85"/>
      <c r="BA3841" s="40"/>
      <c r="BB3841" s="99"/>
      <c r="BC3841" s="85"/>
      <c r="BG3841" s="79"/>
      <c r="BH3841" s="99"/>
    </row>
    <row r="3842" spans="51:60" x14ac:dyDescent="0.2">
      <c r="AY3842" s="79"/>
      <c r="AZ3842" s="85"/>
      <c r="BA3842" s="40"/>
      <c r="BB3842" s="99"/>
      <c r="BC3842" s="85"/>
      <c r="BG3842" s="79"/>
      <c r="BH3842" s="99"/>
    </row>
    <row r="3843" spans="51:60" x14ac:dyDescent="0.2">
      <c r="AY3843" s="79"/>
      <c r="AZ3843" s="85"/>
      <c r="BA3843" s="40"/>
      <c r="BB3843" s="99"/>
      <c r="BC3843" s="85"/>
      <c r="BG3843" s="79"/>
      <c r="BH3843" s="99"/>
    </row>
    <row r="3844" spans="51:60" x14ac:dyDescent="0.2">
      <c r="AY3844" s="79"/>
      <c r="AZ3844" s="85"/>
      <c r="BA3844" s="40"/>
      <c r="BB3844" s="99"/>
      <c r="BC3844" s="85"/>
      <c r="BG3844" s="79"/>
      <c r="BH3844" s="99"/>
    </row>
    <row r="3845" spans="51:60" x14ac:dyDescent="0.2">
      <c r="AY3845" s="79"/>
      <c r="AZ3845" s="85"/>
      <c r="BA3845" s="40"/>
      <c r="BB3845" s="99"/>
      <c r="BC3845" s="85"/>
      <c r="BG3845" s="79"/>
      <c r="BH3845" s="99"/>
    </row>
    <row r="3846" spans="51:60" x14ac:dyDescent="0.2">
      <c r="AY3846" s="79"/>
      <c r="AZ3846" s="85"/>
      <c r="BA3846" s="40"/>
      <c r="BB3846" s="99"/>
      <c r="BC3846" s="85"/>
      <c r="BG3846" s="79"/>
      <c r="BH3846" s="99"/>
    </row>
    <row r="3847" spans="51:60" x14ac:dyDescent="0.2">
      <c r="AY3847" s="79"/>
      <c r="AZ3847" s="85"/>
      <c r="BA3847" s="40"/>
      <c r="BB3847" s="99"/>
      <c r="BC3847" s="85"/>
      <c r="BG3847" s="79"/>
      <c r="BH3847" s="99"/>
    </row>
    <row r="3848" spans="51:60" x14ac:dyDescent="0.2">
      <c r="AY3848" s="79"/>
      <c r="AZ3848" s="85"/>
      <c r="BA3848" s="40"/>
      <c r="BB3848" s="99"/>
      <c r="BC3848" s="85"/>
      <c r="BG3848" s="79"/>
      <c r="BH3848" s="99"/>
    </row>
    <row r="3849" spans="51:60" x14ac:dyDescent="0.2">
      <c r="AY3849" s="79"/>
      <c r="AZ3849" s="85"/>
      <c r="BA3849" s="40"/>
      <c r="BB3849" s="99"/>
      <c r="BC3849" s="85"/>
      <c r="BG3849" s="79"/>
      <c r="BH3849" s="99"/>
    </row>
    <row r="3850" spans="51:60" x14ac:dyDescent="0.2">
      <c r="AY3850" s="79"/>
      <c r="AZ3850" s="85"/>
      <c r="BA3850" s="40"/>
      <c r="BB3850" s="99"/>
      <c r="BC3850" s="85"/>
      <c r="BG3850" s="79"/>
      <c r="BH3850" s="99"/>
    </row>
    <row r="3851" spans="51:60" x14ac:dyDescent="0.2">
      <c r="AY3851" s="79"/>
      <c r="AZ3851" s="85"/>
      <c r="BA3851" s="40"/>
      <c r="BB3851" s="99"/>
      <c r="BC3851" s="85"/>
      <c r="BG3851" s="79"/>
      <c r="BH3851" s="99"/>
    </row>
    <row r="3852" spans="51:60" x14ac:dyDescent="0.2">
      <c r="AY3852" s="79"/>
      <c r="AZ3852" s="85"/>
      <c r="BA3852" s="40"/>
      <c r="BB3852" s="99"/>
      <c r="BC3852" s="85"/>
      <c r="BG3852" s="79"/>
      <c r="BH3852" s="99"/>
    </row>
    <row r="3853" spans="51:60" x14ac:dyDescent="0.2">
      <c r="AY3853" s="79"/>
      <c r="AZ3853" s="85"/>
      <c r="BA3853" s="40"/>
      <c r="BB3853" s="99"/>
      <c r="BC3853" s="85"/>
      <c r="BG3853" s="79"/>
      <c r="BH3853" s="99"/>
    </row>
    <row r="3854" spans="51:60" x14ac:dyDescent="0.2">
      <c r="AY3854" s="79"/>
      <c r="AZ3854" s="85"/>
      <c r="BA3854" s="40"/>
      <c r="BB3854" s="99"/>
      <c r="BC3854" s="85"/>
      <c r="BG3854" s="79"/>
      <c r="BH3854" s="99"/>
    </row>
    <row r="3855" spans="51:60" x14ac:dyDescent="0.2">
      <c r="AY3855" s="79"/>
      <c r="AZ3855" s="85"/>
      <c r="BA3855" s="40"/>
      <c r="BB3855" s="99"/>
      <c r="BC3855" s="85"/>
      <c r="BG3855" s="79"/>
      <c r="BH3855" s="99"/>
    </row>
    <row r="3856" spans="51:60" x14ac:dyDescent="0.2">
      <c r="AY3856" s="79"/>
      <c r="AZ3856" s="85"/>
      <c r="BA3856" s="40"/>
      <c r="BB3856" s="99"/>
      <c r="BC3856" s="85"/>
      <c r="BG3856" s="79"/>
      <c r="BH3856" s="99"/>
    </row>
    <row r="3857" spans="51:60" x14ac:dyDescent="0.2">
      <c r="AY3857" s="79"/>
      <c r="AZ3857" s="85"/>
      <c r="BA3857" s="40"/>
      <c r="BB3857" s="99"/>
      <c r="BC3857" s="85"/>
      <c r="BG3857" s="79"/>
      <c r="BH3857" s="99"/>
    </row>
    <row r="3858" spans="51:60" x14ac:dyDescent="0.2">
      <c r="AY3858" s="79"/>
      <c r="AZ3858" s="85"/>
      <c r="BA3858" s="40"/>
      <c r="BB3858" s="99"/>
      <c r="BC3858" s="85"/>
      <c r="BG3858" s="79"/>
      <c r="BH3858" s="99"/>
    </row>
    <row r="3859" spans="51:60" x14ac:dyDescent="0.2">
      <c r="AY3859" s="79"/>
      <c r="AZ3859" s="85"/>
      <c r="BA3859" s="40"/>
      <c r="BB3859" s="99"/>
      <c r="BC3859" s="85"/>
      <c r="BG3859" s="79"/>
      <c r="BH3859" s="99"/>
    </row>
    <row r="3860" spans="51:60" x14ac:dyDescent="0.2">
      <c r="AY3860" s="79"/>
      <c r="AZ3860" s="85"/>
      <c r="BA3860" s="40"/>
      <c r="BB3860" s="99"/>
      <c r="BC3860" s="85"/>
      <c r="BG3860" s="79"/>
      <c r="BH3860" s="99"/>
    </row>
    <row r="3861" spans="51:60" x14ac:dyDescent="0.2">
      <c r="AY3861" s="79"/>
      <c r="AZ3861" s="85"/>
      <c r="BA3861" s="40"/>
      <c r="BB3861" s="99"/>
      <c r="BC3861" s="85"/>
      <c r="BG3861" s="79"/>
      <c r="BH3861" s="99"/>
    </row>
    <row r="3862" spans="51:60" x14ac:dyDescent="0.2">
      <c r="AY3862" s="79"/>
      <c r="AZ3862" s="85"/>
      <c r="BA3862" s="40"/>
      <c r="BB3862" s="99"/>
      <c r="BC3862" s="85"/>
      <c r="BG3862" s="79"/>
      <c r="BH3862" s="99"/>
    </row>
  </sheetData>
  <autoFilter ref="A14:BH420" xr:uid="{00000000-0001-0000-0300-000000000000}"/>
  <mergeCells count="1">
    <mergeCell ref="A2:B3"/>
  </mergeCells>
  <conditionalFormatting sqref="F1:F14 AL1:AM1048576 AS1:AT1048576 AW1:AW1048576 AY1:AY1048576 BA1:BA1048576 BD1:BD1048576 BG1:BG1048576 F29:F1048576">
    <cfRule type="expression" dxfId="157" priority="3">
      <formula>$C1="&lt;01"</formula>
    </cfRule>
  </conditionalFormatting>
  <conditionalFormatting sqref="AP16:BA28 BB16:BH420 F1:BH15 F16:AO16 G17:AO28 F29:BA420 F421:BH1048576">
    <cfRule type="expression" dxfId="156" priority="1">
      <formula>AND(ISNUMBER(F1),F1&lt;0)</formula>
    </cfRule>
  </conditionalFormatting>
  <conditionalFormatting sqref="O1:O1048576">
    <cfRule type="expression" dxfId="155" priority="13">
      <formula>AND($N1&lt;&gt;$O1,ISNUMBER($O1))</formula>
    </cfRule>
  </conditionalFormatting>
  <conditionalFormatting sqref="AQ1:AR1048576 BC1:BC1048576 BF1:BF1048576 S1:AM1048576">
    <cfRule type="expression" dxfId="154" priority="2">
      <formula>AND(ROW($S1)&gt;14,$E1&lt;&gt;"",LEFT($B1,4)="_Mil")</formula>
    </cfRule>
  </conditionalFormatting>
  <conditionalFormatting sqref="AL1:AL1048576 AA1:AA1048576 AR1:AR1048576">
    <cfRule type="expression" dxfId="153" priority="14">
      <formula>AND(ISNUMBER(AA1),AA1&lt;0.9)</formula>
    </cfRule>
  </conditionalFormatting>
  <conditionalFormatting sqref="AL1:AL1048576 AR1:AT1048576 AW1:AW1048576 AY1:AY1048576 BA1:BA1048576 BD1:BD1048576 BG1:BG1048576 W1:W1048576 Y1:Y1048576 AA1:AB1048576 AE1:AE1048576 AG1:AH1048576">
    <cfRule type="expression" dxfId="152" priority="11">
      <formula>AND(ISNUMBER(W1),W1&gt;1)</formula>
    </cfRule>
  </conditionalFormatting>
  <conditionalFormatting sqref="AS1:AT1048576">
    <cfRule type="expression" dxfId="151" priority="10">
      <formula>AND(ISNUMBER(AS1),AS1&lt;0.98)</formula>
    </cfRule>
  </conditionalFormatting>
  <conditionalFormatting sqref="AW1:AW1048576">
    <cfRule type="expression" dxfId="150" priority="8">
      <formula>AND(ISNUMBER(AW1),AW1&lt;1)</formula>
    </cfRule>
  </conditionalFormatting>
  <conditionalFormatting sqref="AY1:AY1048576">
    <cfRule type="expression" dxfId="149" priority="7">
      <formula>AND(ISNUMBER(AY1),AY1&lt;0.7)</formula>
    </cfRule>
  </conditionalFormatting>
  <conditionalFormatting sqref="BA1:BA1048576 BD1:BD1048576 BG1:BG1048576 Y1:Y1048576 AB1:AB1048576 AE1:AE1048576 AG1:AG1048576">
    <cfRule type="expression" dxfId="148" priority="12">
      <formula>AND(ISNUMBER(Y1),Y1&lt;0.95)</formula>
    </cfRule>
  </conditionalFormatting>
  <conditionalFormatting sqref="AK1:AK1048576">
    <cfRule type="expression" dxfId="2" priority="4071">
      <formula>AND(ISNUMBER($AK1),ROW($AK1)&gt;14,SUM($AK1)=SUM(#REF!))</formula>
    </cfRule>
    <cfRule type="expression" dxfId="1" priority="4072">
      <formula>AND(ISNUMBER($AK1),ROW($AK1)&gt;14,SUM($AK1)=SUM($AJ1))</formula>
    </cfRule>
  </conditionalFormatting>
  <conditionalFormatting sqref="AN1:AN1048576">
    <cfRule type="expression" dxfId="0" priority="4073">
      <formula>AND(ROW($AN1)&gt;14,$E1&lt;&gt;"",$C1&lt;&gt;"&lt;01")</formula>
    </cfRule>
  </conditionalFormatting>
  <pageMargins left="0.7" right="0.7" top="0.75" bottom="0.75" header="0.3" footer="0.3"/>
  <pageSetup orientation="portrait" horizontalDpi="0" verticalDpi="0"/>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Q159"/>
  <sheetViews>
    <sheetView workbookViewId="0">
      <pane xSplit="4" ySplit="14" topLeftCell="Z16" activePane="bottomRight" state="frozen"/>
      <selection pane="topRight"/>
      <selection pane="bottomLeft"/>
      <selection pane="bottomRight" activeCell="AQ106" sqref="AQ106"/>
    </sheetView>
  </sheetViews>
  <sheetFormatPr baseColWidth="10" defaultColWidth="11" defaultRowHeight="16" x14ac:dyDescent="0.2"/>
  <cols>
    <col min="1" max="1" width="16.1640625" customWidth="1"/>
    <col min="2" max="2" width="30.6640625" customWidth="1"/>
    <col min="3" max="3" width="35.5" customWidth="1"/>
    <col min="4" max="4" width="10.1640625" hidden="1" customWidth="1"/>
    <col min="5" max="42" width="11.6640625" customWidth="1"/>
  </cols>
  <sheetData>
    <row r="1" spans="1:42" ht="31.25" customHeight="1" x14ac:dyDescent="0.2">
      <c r="A1" s="68" t="s">
        <v>479</v>
      </c>
      <c r="B1" s="23"/>
      <c r="C1" s="112"/>
      <c r="D1" s="112"/>
      <c r="E1" s="52" t="s">
        <v>480</v>
      </c>
      <c r="F1" s="43"/>
      <c r="G1" s="57"/>
      <c r="H1" s="52" t="s">
        <v>481</v>
      </c>
      <c r="I1" s="43"/>
      <c r="J1" s="52" t="s">
        <v>482</v>
      </c>
      <c r="K1" s="43"/>
      <c r="L1" s="52" t="s">
        <v>483</v>
      </c>
      <c r="M1" s="43"/>
      <c r="N1" s="52" t="s">
        <v>346</v>
      </c>
      <c r="O1" s="13"/>
      <c r="P1" s="13"/>
      <c r="Q1" s="43"/>
      <c r="R1" s="13"/>
      <c r="S1" s="137"/>
      <c r="T1" s="52" t="s">
        <v>345</v>
      </c>
      <c r="U1" s="44"/>
      <c r="V1" s="44"/>
      <c r="W1" s="13"/>
      <c r="X1" s="13"/>
      <c r="Y1" s="45"/>
      <c r="Z1" s="43"/>
      <c r="AA1" s="53" t="s">
        <v>347</v>
      </c>
      <c r="AB1" s="43"/>
      <c r="AC1" s="44"/>
      <c r="AD1" s="43"/>
      <c r="AE1" s="53" t="s">
        <v>348</v>
      </c>
      <c r="AF1" s="43"/>
      <c r="AG1" s="52" t="s">
        <v>484</v>
      </c>
      <c r="AH1" s="13"/>
      <c r="AI1" s="45"/>
      <c r="AJ1" s="45"/>
      <c r="AK1" s="43"/>
      <c r="AL1" s="43"/>
      <c r="AM1" s="53" t="s">
        <v>485</v>
      </c>
      <c r="AN1" s="43"/>
      <c r="AO1" s="52" t="s">
        <v>486</v>
      </c>
      <c r="AP1" s="43"/>
    </row>
    <row r="2" spans="1:42" ht="19.25" customHeight="1" x14ac:dyDescent="0.25">
      <c r="A2" s="24"/>
      <c r="B2" s="4"/>
      <c r="C2" s="4"/>
      <c r="D2" s="4"/>
      <c r="E2" s="122" t="s">
        <v>281</v>
      </c>
      <c r="F2" s="20" t="s">
        <v>281</v>
      </c>
      <c r="G2" s="125" t="s">
        <v>281</v>
      </c>
      <c r="H2" s="105"/>
      <c r="I2" s="20" t="s">
        <v>281</v>
      </c>
      <c r="J2" s="105"/>
      <c r="K2" s="20" t="s">
        <v>281</v>
      </c>
      <c r="L2" s="105"/>
      <c r="M2" s="20" t="s">
        <v>281</v>
      </c>
      <c r="N2" s="105"/>
      <c r="O2" s="24"/>
      <c r="P2" s="24"/>
      <c r="Q2" s="20" t="s">
        <v>281</v>
      </c>
      <c r="R2" s="120"/>
      <c r="S2" s="138"/>
      <c r="T2" s="105"/>
      <c r="U2" s="32"/>
      <c r="V2" s="32"/>
      <c r="W2" s="120"/>
      <c r="X2" s="120"/>
      <c r="Y2" s="32"/>
      <c r="Z2" s="20" t="s">
        <v>281</v>
      </c>
      <c r="AA2" s="31"/>
      <c r="AB2" s="24"/>
      <c r="AC2" s="32"/>
      <c r="AD2" s="20" t="s">
        <v>281</v>
      </c>
      <c r="AE2" s="31"/>
      <c r="AF2" s="20" t="s">
        <v>281</v>
      </c>
      <c r="AG2" s="105"/>
      <c r="AH2" s="24"/>
      <c r="AI2" s="32"/>
      <c r="AJ2" s="32"/>
      <c r="AK2" s="20" t="s">
        <v>281</v>
      </c>
      <c r="AL2" s="20" t="s">
        <v>281</v>
      </c>
      <c r="AM2" s="31"/>
      <c r="AN2" s="20" t="s">
        <v>281</v>
      </c>
      <c r="AO2" s="105"/>
      <c r="AP2" s="20" t="s">
        <v>281</v>
      </c>
    </row>
    <row r="3" spans="1:42" ht="117" customHeight="1" x14ac:dyDescent="0.2">
      <c r="D3" s="121"/>
      <c r="E3" s="123" t="s">
        <v>487</v>
      </c>
      <c r="F3" s="14" t="s">
        <v>488</v>
      </c>
      <c r="G3" s="126" t="s">
        <v>489</v>
      </c>
      <c r="H3" s="6" t="s">
        <v>490</v>
      </c>
      <c r="I3" s="14" t="s">
        <v>491</v>
      </c>
      <c r="J3" s="30" t="s">
        <v>492</v>
      </c>
      <c r="K3" s="14" t="s">
        <v>493</v>
      </c>
      <c r="L3" s="30" t="s">
        <v>494</v>
      </c>
      <c r="M3" s="14" t="s">
        <v>495</v>
      </c>
      <c r="N3" s="30" t="s">
        <v>496</v>
      </c>
      <c r="O3" s="25" t="s">
        <v>497</v>
      </c>
      <c r="P3" s="51" t="s">
        <v>498</v>
      </c>
      <c r="Q3" s="14" t="s">
        <v>499</v>
      </c>
      <c r="R3" s="59" t="s">
        <v>500</v>
      </c>
      <c r="S3" s="139" t="s">
        <v>501</v>
      </c>
      <c r="T3" s="30" t="s">
        <v>502</v>
      </c>
      <c r="U3" s="42" t="s">
        <v>376</v>
      </c>
      <c r="V3" s="42" t="s">
        <v>377</v>
      </c>
      <c r="W3" s="25" t="s">
        <v>503</v>
      </c>
      <c r="X3" s="25" t="s">
        <v>379</v>
      </c>
      <c r="Y3" s="42" t="s">
        <v>380</v>
      </c>
      <c r="Z3" s="69" t="s">
        <v>504</v>
      </c>
      <c r="AA3" s="134" t="s">
        <v>382</v>
      </c>
      <c r="AB3" s="133" t="s">
        <v>383</v>
      </c>
      <c r="AC3" s="135" t="s">
        <v>384</v>
      </c>
      <c r="AD3" s="69" t="s">
        <v>505</v>
      </c>
      <c r="AE3" s="134" t="s">
        <v>387</v>
      </c>
      <c r="AF3" s="69" t="s">
        <v>506</v>
      </c>
      <c r="AG3" s="6" t="s">
        <v>507</v>
      </c>
      <c r="AH3" s="109" t="s">
        <v>508</v>
      </c>
      <c r="AI3" s="42" t="s">
        <v>390</v>
      </c>
      <c r="AJ3" s="42" t="s">
        <v>509</v>
      </c>
      <c r="AK3" s="69" t="s">
        <v>510</v>
      </c>
      <c r="AL3" s="14" t="s">
        <v>511</v>
      </c>
      <c r="AM3" s="60" t="s">
        <v>512</v>
      </c>
      <c r="AN3" s="69" t="s">
        <v>513</v>
      </c>
      <c r="AO3" s="6" t="s">
        <v>514</v>
      </c>
      <c r="AP3" s="14" t="s">
        <v>515</v>
      </c>
    </row>
    <row r="4" spans="1:42" x14ac:dyDescent="0.2">
      <c r="A4" s="28"/>
      <c r="B4" s="124"/>
      <c r="C4" s="124" t="s">
        <v>392</v>
      </c>
      <c r="D4" s="124"/>
      <c r="E4" s="115">
        <f>SUBTOTAL(109,E$15:INDEX(E:E,COUNTA($B:$B)+14-COUNTA($B$1:$B$14)))</f>
        <v>67611</v>
      </c>
      <c r="F4" s="132">
        <f>SUBTOTAL(109,F$15:INDEX(F:F,COUNTA($B:$B)+14-COUNTA($B$1:$B$14)))</f>
        <v>23057</v>
      </c>
      <c r="G4" s="141">
        <f>IF($E$4=0,"",$F$4/$E$4)</f>
        <v>0.34102438952241498</v>
      </c>
      <c r="H4" s="106">
        <f>SUBTOTAL(109,H$15:INDEX(H:H,COUNTA($B:$B)+14-COUNTA($B$1:$B$14)))</f>
        <v>2571</v>
      </c>
      <c r="I4" s="132">
        <f>SUBTOTAL(109,I$15:INDEX(I:I,COUNTA($B:$B)+14-COUNTA($B$1:$B$14)))</f>
        <v>5577</v>
      </c>
      <c r="J4" s="115">
        <f>SUBTOTAL(109,J$15:INDEX(J:J,COUNTA($B:$B)+14-COUNTA($B$1:$B$14)))</f>
        <v>12408</v>
      </c>
      <c r="K4" s="132">
        <f>SUBTOTAL(109,K$15:INDEX(K:K,COUNTA($B:$B)+14-COUNTA($B$1:$B$14)))</f>
        <v>13146</v>
      </c>
      <c r="L4" s="115">
        <f>SUBTOTAL(109,L$15:INDEX(L:L,COUNTA($B:$B)+14-COUNTA($B$1:$B$14)))</f>
        <v>69967</v>
      </c>
      <c r="M4" s="132">
        <f>SUBTOTAL(109,M$15:INDEX(M:M,COUNTA($B:$B)+14-COUNTA($B$1:$B$14)))</f>
        <v>70196</v>
      </c>
      <c r="N4" s="113">
        <f>SUBTOTAL(109,N$15:INDEX(N:N,COUNTA($B:$B)+14-COUNTA($B$1:$B$14)))</f>
        <v>10717</v>
      </c>
      <c r="O4" s="28">
        <f>SUBTOTAL(109,O$15:INDEX(O:O,COUNTA($B:$B)+14-COUNTA($B$1:$B$14)))</f>
        <v>11572</v>
      </c>
      <c r="P4" s="28">
        <f>SUBTOTAL(109,P$15:INDEX(P:P,COUNTA($B:$B)+14-COUNTA($B$1:$B$14)))</f>
        <v>21927</v>
      </c>
      <c r="Q4" s="132">
        <f>SUBTOTAL(109,Q$15:INDEX(Q:Q,COUNTA($B:$B)+14-COUNTA($B$1:$B$14)))</f>
        <v>13350</v>
      </c>
      <c r="R4" s="35">
        <f>SUBTOTAL(109,R$15:INDEX(R:R,COUNTA($B:$B)+14-COUNTA($B$1:$B$14)))</f>
        <v>12839</v>
      </c>
      <c r="S4" s="140">
        <f>IF(SUM($F4)=0,"",SUM($R4)/$F4)</f>
        <v>0.55683740295788697</v>
      </c>
      <c r="T4" s="113">
        <f>SUBTOTAL(109,T$15:INDEX(T:T,COUNTA($B:$B)+14-COUNTA($B$1:$B$14)))</f>
        <v>3518</v>
      </c>
      <c r="U4" s="136"/>
      <c r="V4" s="136"/>
      <c r="W4" s="35">
        <f>SUBTOTAL(109,W$15:INDEX(W:W,COUNTA($B:$B)+14-COUNTA($B$1:$B$14)))</f>
        <v>1420</v>
      </c>
      <c r="X4" s="35">
        <f>SUBTOTAL(109,X$15:INDEX(X:X,COUNTA($B:$B)+14-COUNTA($B$1:$B$14)))</f>
        <v>3651</v>
      </c>
      <c r="Y4" s="136">
        <f>IF($X$4=0,"",$Z$4/$X$4)</f>
        <v>1</v>
      </c>
      <c r="Z4" s="132">
        <f>SUBTOTAL(109,Z$15:INDEX(Z:Z,COUNTA($B:$B)+14-COUNTA($B$1:$B$14)))</f>
        <v>3651</v>
      </c>
      <c r="AA4" s="117">
        <f>IF($X$4=0,"",($AB$4-$P$4)/$X$4)</f>
        <v>-2.0679265954533004</v>
      </c>
      <c r="AB4" s="28">
        <f>SUBTOTAL(109,AB$15:INDEX(AB:AB,COUNTA($B:$B)+14-COUNTA($B$1:$B$14)))</f>
        <v>14377</v>
      </c>
      <c r="AC4" s="136">
        <f>IF($AB$4=0,"",$AD$4/$AB$4)</f>
        <v>0.86116714196285737</v>
      </c>
      <c r="AD4" s="132">
        <f>SUBTOTAL(109,AD$15:INDEX(AD:AD,COUNTA($B:$B)+14-COUNTA($B$1:$B$14)))</f>
        <v>12381</v>
      </c>
      <c r="AE4" s="117">
        <f>IF($AD$4=0,"",$AF$4/$AD$4)</f>
        <v>0.95000403844600601</v>
      </c>
      <c r="AF4" s="132">
        <f>SUBTOTAL(109,AF$15:INDEX(AF:AF,COUNTA($B:$B)+14-COUNTA($B$1:$B$14)))</f>
        <v>11762</v>
      </c>
      <c r="AG4" s="106">
        <f>SUBTOTAL(109,AG$15:INDEX(AG:AG,COUNTA($B:$B)+14-COUNTA($B$1:$B$14)))</f>
        <v>3680</v>
      </c>
      <c r="AH4" s="35">
        <f>SUBTOTAL(109,AH$15:INDEX(AH:AH,COUNTA($B:$B)+14-COUNTA($B$1:$B$14)))</f>
        <v>36531</v>
      </c>
      <c r="AI4" s="136">
        <f>IF($AK$4=0,"",$Z$4/$AK$4)</f>
        <v>0.95053371517833896</v>
      </c>
      <c r="AJ4" s="136">
        <f>IF(SUM($AK$4,$AL$4)=0,"",$AK$4/SUM($AK$4,$AL$4))</f>
        <v>8.7360975276912223E-2</v>
      </c>
      <c r="AK4" s="132">
        <f>SUBTOTAL(109,AK$15:INDEX(AK:AK,COUNTA($B:$B)+14-COUNTA($B$1:$B$14)))</f>
        <v>3841</v>
      </c>
      <c r="AL4" s="132">
        <f>SUBTOTAL(109,AL$15:INDEX(AL:AL,COUNTA($B:$B)+14-COUNTA($B$1:$B$14)))</f>
        <v>40126</v>
      </c>
      <c r="AM4" s="117">
        <f>IF($AK$4=0,"",$AN$4/$AK$4)</f>
        <v>-2.6034886748242648E-4</v>
      </c>
      <c r="AN4" s="132">
        <f>SUBTOTAL(109,AN$15:INDEX(AN:AN,COUNTA($B:$B)+14-COUNTA($B$1:$B$14)))</f>
        <v>-1</v>
      </c>
      <c r="AO4" s="106">
        <f>SUBTOTAL(109,AO$15:INDEX(AO:AO,COUNTA($B:$B)+14-COUNTA($B$1:$B$14)))</f>
        <v>44685</v>
      </c>
      <c r="AP4" s="132">
        <f>SUBTOTAL(109,AP$15:INDEX(AP:AP,COUNTA($B:$B)+14-COUNTA($B$1:$B$14)))</f>
        <v>54058</v>
      </c>
    </row>
    <row r="5" spans="1:42" ht="0" hidden="1" customHeight="1" x14ac:dyDescent="0.2">
      <c r="A5" s="29" t="s">
        <v>285</v>
      </c>
      <c r="B5" s="128" t="s">
        <v>285</v>
      </c>
      <c r="C5" s="128" t="s">
        <v>285</v>
      </c>
      <c r="D5" s="128" t="s">
        <v>285</v>
      </c>
      <c r="E5" s="107" t="s">
        <v>286</v>
      </c>
      <c r="F5" s="2" t="s">
        <v>286</v>
      </c>
      <c r="G5" s="118" t="s">
        <v>286</v>
      </c>
      <c r="H5" s="104" t="s">
        <v>393</v>
      </c>
      <c r="I5" s="2" t="s">
        <v>393</v>
      </c>
      <c r="J5" s="114" t="s">
        <v>393</v>
      </c>
      <c r="K5" s="2" t="s">
        <v>393</v>
      </c>
      <c r="L5" s="114" t="s">
        <v>393</v>
      </c>
      <c r="M5" s="2" t="s">
        <v>393</v>
      </c>
      <c r="N5" s="114" t="s">
        <v>393</v>
      </c>
      <c r="O5" s="29" t="s">
        <v>393</v>
      </c>
      <c r="P5" s="29" t="s">
        <v>285</v>
      </c>
      <c r="Q5" s="2" t="s">
        <v>393</v>
      </c>
      <c r="R5" s="38" t="s">
        <v>285</v>
      </c>
      <c r="S5" s="110" t="s">
        <v>285</v>
      </c>
      <c r="T5" s="114" t="s">
        <v>393</v>
      </c>
      <c r="U5" s="34" t="s">
        <v>285</v>
      </c>
      <c r="V5" s="34" t="s">
        <v>285</v>
      </c>
      <c r="W5" s="38" t="s">
        <v>285</v>
      </c>
      <c r="X5" s="38" t="s">
        <v>285</v>
      </c>
      <c r="Y5" s="34" t="s">
        <v>285</v>
      </c>
      <c r="Z5" s="2" t="s">
        <v>393</v>
      </c>
      <c r="AA5" s="116" t="s">
        <v>285</v>
      </c>
      <c r="AB5" s="29" t="s">
        <v>285</v>
      </c>
      <c r="AC5" s="34" t="s">
        <v>285</v>
      </c>
      <c r="AD5" s="2" t="s">
        <v>393</v>
      </c>
      <c r="AE5" s="116" t="s">
        <v>285</v>
      </c>
      <c r="AF5" s="2" t="s">
        <v>393</v>
      </c>
      <c r="AG5" s="104" t="s">
        <v>393</v>
      </c>
      <c r="AH5" s="38" t="s">
        <v>393</v>
      </c>
      <c r="AI5" s="34" t="s">
        <v>285</v>
      </c>
      <c r="AJ5" s="34" t="s">
        <v>285</v>
      </c>
      <c r="AK5" s="2" t="s">
        <v>393</v>
      </c>
      <c r="AL5" s="2" t="s">
        <v>393</v>
      </c>
      <c r="AM5" s="116" t="s">
        <v>285</v>
      </c>
      <c r="AN5" s="2" t="s">
        <v>393</v>
      </c>
      <c r="AO5" s="104" t="s">
        <v>393</v>
      </c>
      <c r="AP5" s="2" t="s">
        <v>393</v>
      </c>
    </row>
    <row r="6" spans="1:42" ht="0" hidden="1" customHeight="1" x14ac:dyDescent="0.2">
      <c r="A6" s="29" t="s">
        <v>287</v>
      </c>
      <c r="B6" s="128" t="s">
        <v>287</v>
      </c>
      <c r="C6" s="128" t="s">
        <v>287</v>
      </c>
      <c r="D6" s="128" t="s">
        <v>287</v>
      </c>
      <c r="E6" s="107" t="s">
        <v>289</v>
      </c>
      <c r="F6" s="2" t="s">
        <v>289</v>
      </c>
      <c r="G6" s="118" t="s">
        <v>289</v>
      </c>
      <c r="H6" s="104" t="s">
        <v>288</v>
      </c>
      <c r="I6" s="2" t="s">
        <v>289</v>
      </c>
      <c r="J6" s="114" t="s">
        <v>288</v>
      </c>
      <c r="K6" s="2" t="s">
        <v>289</v>
      </c>
      <c r="L6" s="114" t="s">
        <v>288</v>
      </c>
      <c r="M6" s="2" t="s">
        <v>289</v>
      </c>
      <c r="N6" s="114" t="s">
        <v>288</v>
      </c>
      <c r="O6" s="29" t="s">
        <v>288</v>
      </c>
      <c r="P6" s="29" t="s">
        <v>395</v>
      </c>
      <c r="Q6" s="2" t="s">
        <v>289</v>
      </c>
      <c r="R6" s="38" t="s">
        <v>395</v>
      </c>
      <c r="S6" s="110" t="s">
        <v>395</v>
      </c>
      <c r="T6" s="114" t="s">
        <v>288</v>
      </c>
      <c r="U6" s="34" t="s">
        <v>395</v>
      </c>
      <c r="V6" s="34" t="s">
        <v>395</v>
      </c>
      <c r="W6" s="38" t="s">
        <v>290</v>
      </c>
      <c r="X6" s="38" t="s">
        <v>290</v>
      </c>
      <c r="Y6" s="34" t="s">
        <v>395</v>
      </c>
      <c r="Z6" s="2" t="s">
        <v>289</v>
      </c>
      <c r="AA6" s="116" t="s">
        <v>395</v>
      </c>
      <c r="AB6" s="29" t="s">
        <v>290</v>
      </c>
      <c r="AC6" s="34" t="s">
        <v>395</v>
      </c>
      <c r="AD6" s="2" t="s">
        <v>289</v>
      </c>
      <c r="AE6" s="116" t="s">
        <v>395</v>
      </c>
      <c r="AF6" s="2" t="s">
        <v>289</v>
      </c>
      <c r="AG6" s="104" t="s">
        <v>288</v>
      </c>
      <c r="AH6" s="38" t="s">
        <v>288</v>
      </c>
      <c r="AI6" s="34" t="s">
        <v>395</v>
      </c>
      <c r="AJ6" s="34" t="s">
        <v>396</v>
      </c>
      <c r="AK6" s="2" t="s">
        <v>289</v>
      </c>
      <c r="AL6" s="2" t="s">
        <v>289</v>
      </c>
      <c r="AM6" s="116" t="s">
        <v>395</v>
      </c>
      <c r="AN6" s="2" t="s">
        <v>289</v>
      </c>
      <c r="AO6" s="104" t="s">
        <v>288</v>
      </c>
      <c r="AP6" s="2" t="s">
        <v>289</v>
      </c>
    </row>
    <row r="7" spans="1:42" ht="0" hidden="1" customHeight="1" x14ac:dyDescent="0.2">
      <c r="A7" s="29" t="s">
        <v>291</v>
      </c>
      <c r="B7" s="128" t="s">
        <v>291</v>
      </c>
      <c r="C7" s="128" t="s">
        <v>291</v>
      </c>
      <c r="D7" s="128" t="s">
        <v>291</v>
      </c>
      <c r="E7" s="107" t="s">
        <v>292</v>
      </c>
      <c r="F7" s="2" t="s">
        <v>292</v>
      </c>
      <c r="G7" s="118" t="s">
        <v>398</v>
      </c>
      <c r="H7" s="104" t="s">
        <v>292</v>
      </c>
      <c r="I7" s="2" t="s">
        <v>292</v>
      </c>
      <c r="J7" s="114" t="s">
        <v>292</v>
      </c>
      <c r="K7" s="2" t="s">
        <v>292</v>
      </c>
      <c r="L7" s="114" t="s">
        <v>292</v>
      </c>
      <c r="M7" s="2" t="s">
        <v>292</v>
      </c>
      <c r="N7" s="114" t="s">
        <v>292</v>
      </c>
      <c r="O7" s="29" t="s">
        <v>292</v>
      </c>
      <c r="P7" s="29" t="s">
        <v>292</v>
      </c>
      <c r="Q7" s="2" t="s">
        <v>292</v>
      </c>
      <c r="R7" s="38" t="s">
        <v>292</v>
      </c>
      <c r="S7" s="110" t="s">
        <v>398</v>
      </c>
      <c r="T7" s="114" t="s">
        <v>292</v>
      </c>
      <c r="U7" s="34" t="s">
        <v>398</v>
      </c>
      <c r="V7" s="34" t="s">
        <v>398</v>
      </c>
      <c r="W7" s="38" t="s">
        <v>292</v>
      </c>
      <c r="X7" s="38" t="s">
        <v>292</v>
      </c>
      <c r="Y7" s="34" t="s">
        <v>398</v>
      </c>
      <c r="Z7" s="2" t="s">
        <v>292</v>
      </c>
      <c r="AA7" s="116" t="s">
        <v>398</v>
      </c>
      <c r="AB7" s="29" t="s">
        <v>292</v>
      </c>
      <c r="AC7" s="34" t="s">
        <v>398</v>
      </c>
      <c r="AD7" s="2" t="s">
        <v>292</v>
      </c>
      <c r="AE7" s="116" t="s">
        <v>398</v>
      </c>
      <c r="AF7" s="2" t="s">
        <v>292</v>
      </c>
      <c r="AG7" s="104" t="s">
        <v>292</v>
      </c>
      <c r="AH7" s="38" t="s">
        <v>292</v>
      </c>
      <c r="AI7" s="34" t="s">
        <v>398</v>
      </c>
      <c r="AJ7" s="34" t="s">
        <v>398</v>
      </c>
      <c r="AK7" s="2" t="s">
        <v>292</v>
      </c>
      <c r="AL7" s="2" t="s">
        <v>292</v>
      </c>
      <c r="AM7" s="116" t="s">
        <v>398</v>
      </c>
      <c r="AN7" s="2" t="s">
        <v>292</v>
      </c>
      <c r="AO7" s="104" t="s">
        <v>292</v>
      </c>
      <c r="AP7" s="2" t="s">
        <v>292</v>
      </c>
    </row>
    <row r="8" spans="1:42" ht="0" hidden="1" customHeight="1" x14ac:dyDescent="0.2">
      <c r="B8" s="128"/>
      <c r="C8" s="128"/>
      <c r="D8" s="128"/>
      <c r="E8" s="66" t="s">
        <v>516</v>
      </c>
      <c r="F8" s="63" t="s">
        <v>517</v>
      </c>
      <c r="G8" s="130" t="s">
        <v>518</v>
      </c>
      <c r="H8" s="65" t="s">
        <v>519</v>
      </c>
      <c r="I8" s="63" t="s">
        <v>519</v>
      </c>
      <c r="J8" s="127" t="s">
        <v>520</v>
      </c>
      <c r="K8" s="63" t="s">
        <v>520</v>
      </c>
      <c r="L8" s="127" t="s">
        <v>521</v>
      </c>
      <c r="M8" s="63" t="s">
        <v>521</v>
      </c>
      <c r="N8" s="127" t="s">
        <v>522</v>
      </c>
      <c r="O8" s="129" t="s">
        <v>523</v>
      </c>
      <c r="P8" s="29"/>
      <c r="Q8" s="63" t="s">
        <v>523</v>
      </c>
      <c r="R8" s="38"/>
      <c r="S8" s="110"/>
      <c r="T8" s="127" t="s">
        <v>524</v>
      </c>
      <c r="U8" s="34"/>
      <c r="V8" s="34"/>
      <c r="W8" s="38"/>
      <c r="X8" s="38"/>
      <c r="Y8" s="34"/>
      <c r="Z8" s="63" t="s">
        <v>524</v>
      </c>
      <c r="AA8" s="116"/>
      <c r="AB8" s="29"/>
      <c r="AC8" s="34"/>
      <c r="AD8" s="63" t="s">
        <v>525</v>
      </c>
      <c r="AE8" s="116"/>
      <c r="AF8" s="63" t="s">
        <v>526</v>
      </c>
      <c r="AG8" s="65" t="s">
        <v>527</v>
      </c>
      <c r="AH8" s="64" t="s">
        <v>527</v>
      </c>
      <c r="AI8" s="34"/>
      <c r="AJ8" s="34"/>
      <c r="AK8" s="63" t="s">
        <v>527</v>
      </c>
      <c r="AL8" s="63" t="s">
        <v>527</v>
      </c>
      <c r="AM8" s="116"/>
      <c r="AN8" s="63" t="s">
        <v>528</v>
      </c>
      <c r="AO8" s="127" t="s">
        <v>529</v>
      </c>
      <c r="AP8" s="63" t="s">
        <v>529</v>
      </c>
    </row>
    <row r="9" spans="1:42" ht="0" hidden="1" customHeight="1" x14ac:dyDescent="0.2">
      <c r="B9" s="128"/>
      <c r="C9" s="128"/>
      <c r="D9" s="128"/>
      <c r="E9" s="66"/>
      <c r="F9" s="63"/>
      <c r="G9" s="130"/>
      <c r="H9" s="65" t="s">
        <v>530</v>
      </c>
      <c r="I9" s="63" t="s">
        <v>530</v>
      </c>
      <c r="J9" s="127" t="s">
        <v>531</v>
      </c>
      <c r="K9" s="63" t="s">
        <v>531</v>
      </c>
      <c r="L9" s="127" t="s">
        <v>532</v>
      </c>
      <c r="M9" s="63" t="s">
        <v>532</v>
      </c>
      <c r="N9" s="127" t="s">
        <v>533</v>
      </c>
      <c r="O9" s="129" t="s">
        <v>534</v>
      </c>
      <c r="P9" s="29"/>
      <c r="Q9" s="63" t="s">
        <v>534</v>
      </c>
      <c r="R9" s="38"/>
      <c r="S9" s="110"/>
      <c r="T9" s="127" t="s">
        <v>535</v>
      </c>
      <c r="U9" s="34"/>
      <c r="V9" s="34"/>
      <c r="W9" s="38"/>
      <c r="X9" s="38"/>
      <c r="Y9" s="34"/>
      <c r="Z9" s="63" t="s">
        <v>535</v>
      </c>
      <c r="AA9" s="116"/>
      <c r="AB9" s="29"/>
      <c r="AC9" s="34"/>
      <c r="AD9" s="63" t="s">
        <v>536</v>
      </c>
      <c r="AE9" s="116"/>
      <c r="AF9" s="63" t="s">
        <v>537</v>
      </c>
      <c r="AG9" s="65" t="s">
        <v>538</v>
      </c>
      <c r="AH9" s="64" t="s">
        <v>538</v>
      </c>
      <c r="AI9" s="34"/>
      <c r="AJ9" s="34"/>
      <c r="AK9" s="63" t="s">
        <v>538</v>
      </c>
      <c r="AL9" s="63" t="s">
        <v>538</v>
      </c>
      <c r="AM9" s="116"/>
      <c r="AN9" s="63" t="s">
        <v>539</v>
      </c>
      <c r="AO9" s="127" t="s">
        <v>540</v>
      </c>
      <c r="AP9" s="63" t="s">
        <v>540</v>
      </c>
    </row>
    <row r="10" spans="1:42" ht="0" hidden="1" customHeight="1" x14ac:dyDescent="0.2">
      <c r="B10" s="128"/>
      <c r="C10" s="128"/>
      <c r="D10" s="128"/>
      <c r="E10" s="66"/>
      <c r="F10" s="63" t="s">
        <v>422</v>
      </c>
      <c r="G10" s="130" t="s">
        <v>422</v>
      </c>
      <c r="H10" s="65"/>
      <c r="I10" s="63"/>
      <c r="J10" s="127"/>
      <c r="K10" s="63"/>
      <c r="L10" s="127"/>
      <c r="M10" s="63"/>
      <c r="N10" s="127" t="s">
        <v>422</v>
      </c>
      <c r="O10" s="129" t="s">
        <v>422</v>
      </c>
      <c r="P10" s="29"/>
      <c r="Q10" s="63" t="s">
        <v>422</v>
      </c>
      <c r="R10" s="38"/>
      <c r="S10" s="110"/>
      <c r="T10" s="127" t="s">
        <v>422</v>
      </c>
      <c r="U10" s="34"/>
      <c r="V10" s="34"/>
      <c r="W10" s="38"/>
      <c r="X10" s="38"/>
      <c r="Y10" s="34"/>
      <c r="Z10" s="63" t="s">
        <v>422</v>
      </c>
      <c r="AA10" s="116"/>
      <c r="AB10" s="29"/>
      <c r="AC10" s="34"/>
      <c r="AD10" s="63" t="s">
        <v>422</v>
      </c>
      <c r="AE10" s="116"/>
      <c r="AF10" s="63" t="s">
        <v>422</v>
      </c>
      <c r="AG10" s="65" t="s">
        <v>422</v>
      </c>
      <c r="AH10" s="64" t="s">
        <v>541</v>
      </c>
      <c r="AI10" s="34"/>
      <c r="AJ10" s="34"/>
      <c r="AK10" s="63" t="s">
        <v>422</v>
      </c>
      <c r="AL10" s="63" t="s">
        <v>541</v>
      </c>
      <c r="AM10" s="116"/>
      <c r="AN10" s="63" t="s">
        <v>422</v>
      </c>
      <c r="AO10" s="127"/>
      <c r="AP10" s="63"/>
    </row>
    <row r="11" spans="1:42" ht="0" hidden="1" customHeight="1" x14ac:dyDescent="0.2">
      <c r="B11" s="128"/>
      <c r="C11" s="128"/>
      <c r="D11" s="128"/>
      <c r="E11" s="107"/>
      <c r="F11" s="2"/>
      <c r="G11" s="118"/>
      <c r="H11" s="104"/>
      <c r="I11" s="2"/>
      <c r="J11" s="114"/>
      <c r="K11" s="2"/>
      <c r="L11" s="114"/>
      <c r="M11" s="2"/>
      <c r="N11" s="114"/>
      <c r="O11" s="29"/>
      <c r="P11" s="29"/>
      <c r="Q11" s="2"/>
      <c r="R11" s="38"/>
      <c r="S11" s="110"/>
      <c r="T11" s="114"/>
      <c r="U11" s="34"/>
      <c r="V11" s="34"/>
      <c r="W11" s="38"/>
      <c r="X11" s="38"/>
      <c r="Y11" s="34"/>
      <c r="Z11" s="2"/>
      <c r="AA11" s="116"/>
      <c r="AB11" s="29"/>
      <c r="AC11" s="34"/>
      <c r="AD11" s="2"/>
      <c r="AE11" s="116"/>
      <c r="AF11" s="2"/>
      <c r="AG11" s="104"/>
      <c r="AH11" s="38"/>
      <c r="AI11" s="34"/>
      <c r="AJ11" s="34"/>
      <c r="AK11" s="2"/>
      <c r="AL11" s="2"/>
      <c r="AM11" s="116"/>
      <c r="AN11" s="2"/>
      <c r="AO11" s="104"/>
      <c r="AP11" s="2"/>
    </row>
    <row r="12" spans="1:42" ht="0" hidden="1" customHeight="1" x14ac:dyDescent="0.2">
      <c r="B12" s="128"/>
      <c r="C12" s="128"/>
      <c r="D12" s="128"/>
      <c r="E12" s="107"/>
      <c r="F12" s="2"/>
      <c r="G12" s="118"/>
      <c r="H12" s="104"/>
      <c r="I12" s="2"/>
      <c r="J12" s="114"/>
      <c r="K12" s="2"/>
      <c r="L12" s="114"/>
      <c r="M12" s="2"/>
      <c r="N12" s="114"/>
      <c r="O12" s="29"/>
      <c r="P12" s="29"/>
      <c r="Q12" s="2"/>
      <c r="R12" s="38"/>
      <c r="S12" s="110"/>
      <c r="T12" s="114"/>
      <c r="U12" s="34"/>
      <c r="V12" s="34"/>
      <c r="W12" s="38"/>
      <c r="X12" s="38"/>
      <c r="Y12" s="34"/>
      <c r="Z12" s="2"/>
      <c r="AA12" s="116"/>
      <c r="AB12" s="29"/>
      <c r="AC12" s="34"/>
      <c r="AD12" s="2"/>
      <c r="AE12" s="116"/>
      <c r="AF12" s="2"/>
      <c r="AG12" s="104"/>
      <c r="AH12" s="38"/>
      <c r="AI12" s="34"/>
      <c r="AJ12" s="34"/>
      <c r="AK12" s="2"/>
      <c r="AL12" s="2"/>
      <c r="AM12" s="116"/>
      <c r="AN12" s="2"/>
      <c r="AO12" s="104"/>
      <c r="AP12" s="2"/>
    </row>
    <row r="13" spans="1:42" ht="0" hidden="1" customHeight="1" x14ac:dyDescent="0.2">
      <c r="B13" s="128"/>
      <c r="C13" s="128"/>
      <c r="D13" s="128"/>
      <c r="E13" s="107" t="s">
        <v>542</v>
      </c>
      <c r="F13" s="2" t="s">
        <v>542</v>
      </c>
      <c r="G13" s="118" t="s">
        <v>542</v>
      </c>
      <c r="H13" s="104" t="s">
        <v>542</v>
      </c>
      <c r="I13" s="2" t="s">
        <v>542</v>
      </c>
      <c r="J13" s="114" t="s">
        <v>542</v>
      </c>
      <c r="K13" s="2" t="s">
        <v>542</v>
      </c>
      <c r="L13" s="114" t="s">
        <v>542</v>
      </c>
      <c r="M13" s="2" t="s">
        <v>542</v>
      </c>
      <c r="N13" s="114" t="s">
        <v>542</v>
      </c>
      <c r="O13" s="29" t="s">
        <v>542</v>
      </c>
      <c r="P13" s="29" t="s">
        <v>542</v>
      </c>
      <c r="Q13" s="2" t="s">
        <v>542</v>
      </c>
      <c r="R13" s="38" t="s">
        <v>542</v>
      </c>
      <c r="S13" s="110" t="s">
        <v>542</v>
      </c>
      <c r="T13" s="114" t="s">
        <v>542</v>
      </c>
      <c r="U13" s="34" t="s">
        <v>542</v>
      </c>
      <c r="V13" s="34" t="s">
        <v>542</v>
      </c>
      <c r="W13" s="38" t="s">
        <v>542</v>
      </c>
      <c r="X13" s="38" t="s">
        <v>542</v>
      </c>
      <c r="Y13" s="34" t="s">
        <v>542</v>
      </c>
      <c r="Z13" s="2" t="s">
        <v>542</v>
      </c>
      <c r="AA13" s="116" t="s">
        <v>542</v>
      </c>
      <c r="AB13" s="29" t="s">
        <v>542</v>
      </c>
      <c r="AC13" s="34" t="s">
        <v>542</v>
      </c>
      <c r="AD13" s="2" t="s">
        <v>542</v>
      </c>
      <c r="AE13" s="116" t="s">
        <v>542</v>
      </c>
      <c r="AF13" s="2" t="s">
        <v>542</v>
      </c>
      <c r="AG13" s="104" t="s">
        <v>542</v>
      </c>
      <c r="AH13" s="38" t="s">
        <v>542</v>
      </c>
      <c r="AI13" s="34" t="s">
        <v>542</v>
      </c>
      <c r="AJ13" s="34" t="s">
        <v>542</v>
      </c>
      <c r="AK13" s="2" t="s">
        <v>542</v>
      </c>
      <c r="AL13" s="2" t="s">
        <v>542</v>
      </c>
      <c r="AM13" s="116" t="s">
        <v>542</v>
      </c>
      <c r="AN13" s="2" t="s">
        <v>542</v>
      </c>
      <c r="AO13" s="104" t="s">
        <v>542</v>
      </c>
      <c r="AP13" s="2" t="s">
        <v>542</v>
      </c>
    </row>
    <row r="14" spans="1:42" x14ac:dyDescent="0.2">
      <c r="A14" s="131" t="s">
        <v>280</v>
      </c>
      <c r="B14" s="15" t="s">
        <v>294</v>
      </c>
      <c r="C14" s="15" t="s">
        <v>543</v>
      </c>
      <c r="D14" s="15" t="s">
        <v>20</v>
      </c>
      <c r="E14" s="58" t="s">
        <v>544</v>
      </c>
      <c r="F14" s="49" t="s">
        <v>545</v>
      </c>
      <c r="G14" s="119" t="s">
        <v>546</v>
      </c>
      <c r="H14" s="55" t="s">
        <v>547</v>
      </c>
      <c r="I14" s="49" t="s">
        <v>548</v>
      </c>
      <c r="J14" s="55" t="s">
        <v>549</v>
      </c>
      <c r="K14" s="49" t="s">
        <v>550</v>
      </c>
      <c r="L14" s="55" t="s">
        <v>551</v>
      </c>
      <c r="M14" s="49" t="s">
        <v>552</v>
      </c>
      <c r="N14" s="55" t="s">
        <v>553</v>
      </c>
      <c r="O14" s="18" t="s">
        <v>554</v>
      </c>
      <c r="P14" s="18" t="s">
        <v>555</v>
      </c>
      <c r="Q14" s="49" t="s">
        <v>556</v>
      </c>
      <c r="R14" s="18" t="s">
        <v>557</v>
      </c>
      <c r="S14" s="54" t="s">
        <v>558</v>
      </c>
      <c r="T14" s="55" t="s">
        <v>559</v>
      </c>
      <c r="U14" s="48" t="s">
        <v>560</v>
      </c>
      <c r="V14" s="48" t="s">
        <v>561</v>
      </c>
      <c r="W14" s="18" t="s">
        <v>562</v>
      </c>
      <c r="X14" s="18" t="s">
        <v>563</v>
      </c>
      <c r="Y14" s="48" t="s">
        <v>564</v>
      </c>
      <c r="Z14" s="49" t="s">
        <v>565</v>
      </c>
      <c r="AA14" s="56" t="s">
        <v>463</v>
      </c>
      <c r="AB14" s="18" t="s">
        <v>464</v>
      </c>
      <c r="AC14" s="48" t="s">
        <v>566</v>
      </c>
      <c r="AD14" s="49" t="s">
        <v>567</v>
      </c>
      <c r="AE14" s="56" t="s">
        <v>568</v>
      </c>
      <c r="AF14" s="49" t="s">
        <v>569</v>
      </c>
      <c r="AG14" s="55" t="s">
        <v>570</v>
      </c>
      <c r="AH14" s="18" t="s">
        <v>571</v>
      </c>
      <c r="AI14" s="48" t="s">
        <v>572</v>
      </c>
      <c r="AJ14" s="48" t="s">
        <v>573</v>
      </c>
      <c r="AK14" s="49" t="s">
        <v>574</v>
      </c>
      <c r="AL14" s="49" t="s">
        <v>575</v>
      </c>
      <c r="AM14" s="56" t="s">
        <v>576</v>
      </c>
      <c r="AN14" s="49" t="s">
        <v>577</v>
      </c>
      <c r="AO14" s="55" t="s">
        <v>578</v>
      </c>
      <c r="AP14" s="49" t="s">
        <v>579</v>
      </c>
    </row>
    <row r="15" spans="1:42" x14ac:dyDescent="0.2">
      <c r="A15" t="str">
        <f>INDEX(Prioritization!$D:$D,MATCH($B15,Prioritization!$A:$A,0))</f>
        <v>Military</v>
      </c>
      <c r="B15" t="s">
        <v>326</v>
      </c>
      <c r="C15" t="s">
        <v>580</v>
      </c>
      <c r="D15" t="str">
        <f t="shared" ref="D15:D46" si="0">B15&amp;"|"&amp;C15</f>
        <v>_Military Malawi [PQZgU9dagaH]|FSW</v>
      </c>
      <c r="E15" s="218"/>
      <c r="F15" s="218"/>
      <c r="G15" s="218"/>
      <c r="H15" s="38"/>
      <c r="I15" s="218"/>
      <c r="J15" s="38"/>
      <c r="K15" s="218"/>
      <c r="L15" s="104"/>
      <c r="M15" s="218"/>
      <c r="N15" s="104"/>
      <c r="O15" s="38"/>
      <c r="P15" s="38" t="str">
        <f t="shared" ref="P15:P19" si="1">IF(MAX($N15,$O15)=0,"",MAX($N15,$O15))</f>
        <v/>
      </c>
      <c r="Q15" s="218" t="str">
        <f t="shared" ref="Q15:Q19" si="2">IF(SUM($P15)=0,"",SUM($P15))</f>
        <v/>
      </c>
      <c r="R15" s="38"/>
      <c r="S15" s="33" t="str">
        <f t="shared" ref="S15:S46" si="3">IF(SUM($F15)=0,"",SUM($R15)/$F15)</f>
        <v/>
      </c>
      <c r="T15" s="104"/>
      <c r="U15" s="33">
        <f t="shared" ref="U15:V19" si="4">0.98</f>
        <v>0.98</v>
      </c>
      <c r="V15" s="33">
        <f t="shared" si="4"/>
        <v>0.98</v>
      </c>
      <c r="W15" s="38" t="str">
        <f t="shared" ref="W15:W46" si="5">IF(SUM($P15,$Q15)=0,"",SUM($Q15)-SUM($P15))</f>
        <v/>
      </c>
      <c r="X15" s="38" t="str">
        <f t="shared" ref="X15:X46" si="6">IFERROR(1/(1/ROUND((SUM($Q15)-(SUM($P15)*SUM($U15)))/$V15,0)),"")</f>
        <v/>
      </c>
      <c r="Y15" s="33">
        <f>1</f>
        <v>1</v>
      </c>
      <c r="Z15" s="218" t="str">
        <f t="shared" ref="Z15:Z46" si="7">IFERROR(1/(1/ROUND(SUM($X15)*SUM($Y15),0)),"")</f>
        <v/>
      </c>
      <c r="AA15" s="36">
        <f t="shared" ref="AA15:AA46" si="8">0.7</f>
        <v>0.7</v>
      </c>
      <c r="AB15" s="38" t="str">
        <f t="shared" ref="AB15:AB46" si="9">IFERROR(1/(1/ROUND($P15+(SUM($X15)*$AA15),0)),"")</f>
        <v/>
      </c>
      <c r="AC15" s="33">
        <f t="shared" ref="AC15:AC46" si="10">0.95</f>
        <v>0.95</v>
      </c>
      <c r="AD15" s="218" t="str">
        <f>IF(SUM($AB15)=0,"",ROUND($Q15*$AC15,0))</f>
        <v/>
      </c>
      <c r="AE15" s="36">
        <f t="shared" ref="AE15:AE46" si="11">0.95</f>
        <v>0.95</v>
      </c>
      <c r="AF15" s="218" t="str">
        <f t="shared" ref="AF15:AF46" si="12">IF(SUM($AD15)=0,"",ROUND($AD15*$AE15,0))</f>
        <v/>
      </c>
      <c r="AG15" s="38"/>
      <c r="AH15" s="38"/>
      <c r="AI15" s="33">
        <f t="shared" ref="AI15:AI46" si="13">0.95</f>
        <v>0.95</v>
      </c>
      <c r="AJ15" s="33"/>
      <c r="AK15" s="218" t="str">
        <f t="shared" ref="AK15:AK46" si="14">IF(SUM($Z15)=0,"",IF(AND(SUM($Z15)&gt;0,$AI15=""),"ENTER LINKAGE RATE",ROUND($Z15/$AI15,0)))</f>
        <v/>
      </c>
      <c r="AL15" s="218" t="str">
        <f t="shared" ref="AL15:AL46" si="15">IF(SUM($AK15)=0,"",IF(AND($AK15&gt;0,$AJ15=""),"ENTER YIELD RATE",ROUND($AK15/$AJ15-$AK15,0)))</f>
        <v/>
      </c>
      <c r="AM15" s="36">
        <f t="shared" ref="AM15:AM44" si="16">0.95</f>
        <v>0.95</v>
      </c>
      <c r="AN15" s="218" t="str">
        <f t="shared" ref="AN15:AN46" si="17">IF(SUM($AK15)=0,"",ROUND($AK15*$AM15,0))</f>
        <v/>
      </c>
      <c r="AO15" s="38"/>
      <c r="AP15" s="218"/>
    </row>
    <row r="16" spans="1:42" x14ac:dyDescent="0.2">
      <c r="A16" t="str">
        <f>INDEX(Prioritization!$D:$D,MATCH($B16,Prioritization!$A:$A,0))</f>
        <v>Military</v>
      </c>
      <c r="B16" t="s">
        <v>326</v>
      </c>
      <c r="C16" t="s">
        <v>581</v>
      </c>
      <c r="D16" t="str">
        <f t="shared" si="0"/>
        <v>_Military Malawi [PQZgU9dagaH]|MSM</v>
      </c>
      <c r="E16" s="218"/>
      <c r="F16" s="218"/>
      <c r="G16" s="218"/>
      <c r="H16" s="38"/>
      <c r="I16" s="218"/>
      <c r="J16" s="38"/>
      <c r="K16" s="218"/>
      <c r="L16" s="38"/>
      <c r="M16" s="218"/>
      <c r="N16" s="38"/>
      <c r="O16" s="38"/>
      <c r="P16" s="38" t="str">
        <f t="shared" si="1"/>
        <v/>
      </c>
      <c r="Q16" s="218" t="str">
        <f t="shared" si="2"/>
        <v/>
      </c>
      <c r="R16" s="38"/>
      <c r="S16" s="33" t="str">
        <f t="shared" si="3"/>
        <v/>
      </c>
      <c r="T16" s="38"/>
      <c r="U16" s="33">
        <f t="shared" si="4"/>
        <v>0.98</v>
      </c>
      <c r="V16" s="33">
        <f t="shared" si="4"/>
        <v>0.98</v>
      </c>
      <c r="W16" s="38" t="str">
        <f t="shared" si="5"/>
        <v/>
      </c>
      <c r="X16" s="38" t="str">
        <f t="shared" si="6"/>
        <v/>
      </c>
      <c r="Y16" s="33">
        <f>1</f>
        <v>1</v>
      </c>
      <c r="Z16" s="218" t="str">
        <f t="shared" si="7"/>
        <v/>
      </c>
      <c r="AA16" s="33">
        <f t="shared" si="8"/>
        <v>0.7</v>
      </c>
      <c r="AB16" s="38" t="str">
        <f t="shared" si="9"/>
        <v/>
      </c>
      <c r="AC16" s="33">
        <f t="shared" si="10"/>
        <v>0.95</v>
      </c>
      <c r="AD16" s="218" t="str">
        <f t="shared" ref="AD16:AD79" si="18">IF(SUM($AB16)=0,"",ROUND($Q16*$AC16,0))</f>
        <v/>
      </c>
      <c r="AE16" s="33">
        <f t="shared" si="11"/>
        <v>0.95</v>
      </c>
      <c r="AF16" s="218" t="str">
        <f t="shared" si="12"/>
        <v/>
      </c>
      <c r="AG16" s="38"/>
      <c r="AH16" s="38"/>
      <c r="AI16" s="33">
        <f t="shared" si="13"/>
        <v>0.95</v>
      </c>
      <c r="AJ16" s="33"/>
      <c r="AK16" s="218" t="str">
        <f t="shared" si="14"/>
        <v/>
      </c>
      <c r="AL16" s="218" t="str">
        <f t="shared" si="15"/>
        <v/>
      </c>
      <c r="AM16" s="33">
        <f t="shared" si="16"/>
        <v>0.95</v>
      </c>
      <c r="AN16" s="218" t="str">
        <f t="shared" si="17"/>
        <v/>
      </c>
      <c r="AO16" s="38"/>
      <c r="AP16" s="218"/>
    </row>
    <row r="17" spans="1:42" x14ac:dyDescent="0.2">
      <c r="A17" t="str">
        <f>INDEX(Prioritization!$D:$D,MATCH($B17,Prioritization!$A:$A,0))</f>
        <v>Military</v>
      </c>
      <c r="B17" t="s">
        <v>326</v>
      </c>
      <c r="C17" t="s">
        <v>582</v>
      </c>
      <c r="D17" t="str">
        <f t="shared" si="0"/>
        <v>_Military Malawi [PQZgU9dagaH]|People in prisons and other enclosed settings</v>
      </c>
      <c r="E17" s="218"/>
      <c r="F17" s="218"/>
      <c r="G17" s="218"/>
      <c r="H17" s="38"/>
      <c r="I17" s="218"/>
      <c r="J17" s="38"/>
      <c r="K17" s="218"/>
      <c r="L17" s="38"/>
      <c r="M17" s="218"/>
      <c r="N17" s="38"/>
      <c r="O17" s="38"/>
      <c r="P17" s="38" t="str">
        <f t="shared" si="1"/>
        <v/>
      </c>
      <c r="Q17" s="218" t="str">
        <f t="shared" si="2"/>
        <v/>
      </c>
      <c r="R17" s="38"/>
      <c r="S17" s="33" t="str">
        <f t="shared" si="3"/>
        <v/>
      </c>
      <c r="T17" s="38"/>
      <c r="U17" s="33">
        <f t="shared" si="4"/>
        <v>0.98</v>
      </c>
      <c r="V17" s="33">
        <f t="shared" si="4"/>
        <v>0.98</v>
      </c>
      <c r="W17" s="38" t="str">
        <f t="shared" si="5"/>
        <v/>
      </c>
      <c r="X17" s="38" t="str">
        <f t="shared" si="6"/>
        <v/>
      </c>
      <c r="Y17" s="33">
        <f>1</f>
        <v>1</v>
      </c>
      <c r="Z17" s="218" t="str">
        <f t="shared" si="7"/>
        <v/>
      </c>
      <c r="AA17" s="33">
        <f t="shared" si="8"/>
        <v>0.7</v>
      </c>
      <c r="AB17" s="38" t="str">
        <f t="shared" si="9"/>
        <v/>
      </c>
      <c r="AC17" s="33">
        <f t="shared" si="10"/>
        <v>0.95</v>
      </c>
      <c r="AD17" s="218" t="str">
        <f t="shared" si="18"/>
        <v/>
      </c>
      <c r="AE17" s="33">
        <f t="shared" si="11"/>
        <v>0.95</v>
      </c>
      <c r="AF17" s="218" t="str">
        <f t="shared" si="12"/>
        <v/>
      </c>
      <c r="AG17" s="38"/>
      <c r="AH17" s="38"/>
      <c r="AI17" s="33">
        <f t="shared" si="13"/>
        <v>0.95</v>
      </c>
      <c r="AJ17" s="33"/>
      <c r="AK17" s="218" t="str">
        <f t="shared" si="14"/>
        <v/>
      </c>
      <c r="AL17" s="218" t="str">
        <f t="shared" si="15"/>
        <v/>
      </c>
      <c r="AM17" s="33">
        <f t="shared" si="16"/>
        <v>0.95</v>
      </c>
      <c r="AN17" s="218" t="str">
        <f t="shared" si="17"/>
        <v/>
      </c>
      <c r="AO17" s="38"/>
      <c r="AP17" s="218"/>
    </row>
    <row r="18" spans="1:42" x14ac:dyDescent="0.2">
      <c r="A18" t="str">
        <f>INDEX(Prioritization!$D:$D,MATCH($B18,Prioritization!$A:$A,0))</f>
        <v>Military</v>
      </c>
      <c r="B18" t="s">
        <v>326</v>
      </c>
      <c r="C18" t="s">
        <v>583</v>
      </c>
      <c r="D18" t="str">
        <f t="shared" si="0"/>
        <v>_Military Malawi [PQZgU9dagaH]|PWID</v>
      </c>
      <c r="E18" s="218"/>
      <c r="F18" s="218"/>
      <c r="G18" s="218"/>
      <c r="H18" s="38"/>
      <c r="I18" s="218"/>
      <c r="J18" s="38"/>
      <c r="K18" s="218"/>
      <c r="L18" s="38"/>
      <c r="M18" s="218"/>
      <c r="N18" s="38"/>
      <c r="O18" s="38"/>
      <c r="P18" s="38" t="str">
        <f t="shared" si="1"/>
        <v/>
      </c>
      <c r="Q18" s="218" t="str">
        <f t="shared" si="2"/>
        <v/>
      </c>
      <c r="R18" s="38"/>
      <c r="S18" s="33" t="str">
        <f t="shared" si="3"/>
        <v/>
      </c>
      <c r="T18" s="38"/>
      <c r="U18" s="33">
        <f t="shared" si="4"/>
        <v>0.98</v>
      </c>
      <c r="V18" s="33">
        <f t="shared" si="4"/>
        <v>0.98</v>
      </c>
      <c r="W18" s="38" t="str">
        <f t="shared" si="5"/>
        <v/>
      </c>
      <c r="X18" s="38" t="str">
        <f t="shared" si="6"/>
        <v/>
      </c>
      <c r="Y18" s="33">
        <f>1</f>
        <v>1</v>
      </c>
      <c r="Z18" s="218" t="str">
        <f t="shared" si="7"/>
        <v/>
      </c>
      <c r="AA18" s="33">
        <f t="shared" si="8"/>
        <v>0.7</v>
      </c>
      <c r="AB18" s="38" t="str">
        <f t="shared" si="9"/>
        <v/>
      </c>
      <c r="AC18" s="33">
        <f t="shared" si="10"/>
        <v>0.95</v>
      </c>
      <c r="AD18" s="218" t="str">
        <f t="shared" si="18"/>
        <v/>
      </c>
      <c r="AE18" s="33">
        <f t="shared" si="11"/>
        <v>0.95</v>
      </c>
      <c r="AF18" s="218" t="str">
        <f t="shared" si="12"/>
        <v/>
      </c>
      <c r="AG18" s="38"/>
      <c r="AH18" s="38"/>
      <c r="AI18" s="33">
        <f t="shared" si="13"/>
        <v>0.95</v>
      </c>
      <c r="AJ18" s="33"/>
      <c r="AK18" s="218" t="str">
        <f t="shared" si="14"/>
        <v/>
      </c>
      <c r="AL18" s="218" t="str">
        <f t="shared" si="15"/>
        <v/>
      </c>
      <c r="AM18" s="33">
        <f t="shared" si="16"/>
        <v>0.95</v>
      </c>
      <c r="AN18" s="218" t="str">
        <f t="shared" si="17"/>
        <v/>
      </c>
      <c r="AO18" s="38"/>
      <c r="AP18" s="218"/>
    </row>
    <row r="19" spans="1:42" x14ac:dyDescent="0.2">
      <c r="A19" t="str">
        <f>INDEX(Prioritization!$D:$D,MATCH($B19,Prioritization!$A:$A,0))</f>
        <v>Military</v>
      </c>
      <c r="B19" t="s">
        <v>326</v>
      </c>
      <c r="C19" t="s">
        <v>584</v>
      </c>
      <c r="D19" t="str">
        <f t="shared" si="0"/>
        <v>_Military Malawi [PQZgU9dagaH]|TG</v>
      </c>
      <c r="E19" s="218"/>
      <c r="F19" s="218"/>
      <c r="G19" s="218"/>
      <c r="H19" s="38"/>
      <c r="I19" s="218"/>
      <c r="J19" s="38"/>
      <c r="K19" s="218"/>
      <c r="L19" s="38"/>
      <c r="M19" s="218"/>
      <c r="N19" s="38"/>
      <c r="O19" s="38"/>
      <c r="P19" s="38" t="str">
        <f t="shared" si="1"/>
        <v/>
      </c>
      <c r="Q19" s="218" t="str">
        <f t="shared" si="2"/>
        <v/>
      </c>
      <c r="R19" s="38"/>
      <c r="S19" s="33" t="str">
        <f t="shared" si="3"/>
        <v/>
      </c>
      <c r="T19" s="38"/>
      <c r="U19" s="33">
        <f t="shared" si="4"/>
        <v>0.98</v>
      </c>
      <c r="V19" s="33">
        <f t="shared" si="4"/>
        <v>0.98</v>
      </c>
      <c r="W19" s="38" t="str">
        <f t="shared" si="5"/>
        <v/>
      </c>
      <c r="X19" s="38" t="str">
        <f t="shared" si="6"/>
        <v/>
      </c>
      <c r="Y19" s="33">
        <f>1</f>
        <v>1</v>
      </c>
      <c r="Z19" s="218" t="str">
        <f t="shared" si="7"/>
        <v/>
      </c>
      <c r="AA19" s="33">
        <f t="shared" si="8"/>
        <v>0.7</v>
      </c>
      <c r="AB19" s="38" t="str">
        <f t="shared" si="9"/>
        <v/>
      </c>
      <c r="AC19" s="33">
        <f t="shared" si="10"/>
        <v>0.95</v>
      </c>
      <c r="AD19" s="218" t="str">
        <f t="shared" si="18"/>
        <v/>
      </c>
      <c r="AE19" s="33">
        <f t="shared" si="11"/>
        <v>0.95</v>
      </c>
      <c r="AF19" s="218" t="str">
        <f t="shared" si="12"/>
        <v/>
      </c>
      <c r="AG19" s="38"/>
      <c r="AH19" s="38"/>
      <c r="AI19" s="33">
        <f t="shared" si="13"/>
        <v>0.95</v>
      </c>
      <c r="AJ19" s="33"/>
      <c r="AK19" s="218" t="str">
        <f t="shared" si="14"/>
        <v/>
      </c>
      <c r="AL19" s="218" t="str">
        <f t="shared" si="15"/>
        <v/>
      </c>
      <c r="AM19" s="33">
        <f t="shared" si="16"/>
        <v>0.95</v>
      </c>
      <c r="AN19" s="218" t="str">
        <f t="shared" si="17"/>
        <v/>
      </c>
      <c r="AO19" s="38"/>
      <c r="AP19" s="218"/>
    </row>
    <row r="20" spans="1:42" x14ac:dyDescent="0.2">
      <c r="A20" t="str">
        <f>INDEX(Prioritization!$D:$D,MATCH($B20,Prioritization!$A:$A,0))</f>
        <v>4 - Sustained</v>
      </c>
      <c r="B20" t="s">
        <v>313</v>
      </c>
      <c r="C20" t="s">
        <v>580</v>
      </c>
      <c r="D20" t="str">
        <f t="shared" si="0"/>
        <v>Balaka District [ir8wuHHzoSs]|FSW</v>
      </c>
      <c r="E20" s="218">
        <v>1164</v>
      </c>
      <c r="F20" s="218">
        <v>581</v>
      </c>
      <c r="G20" s="218"/>
      <c r="H20" s="38">
        <v>72</v>
      </c>
      <c r="I20" s="218">
        <v>151</v>
      </c>
      <c r="J20" s="38">
        <v>307</v>
      </c>
      <c r="K20" s="218">
        <v>377</v>
      </c>
      <c r="L20" s="38">
        <v>1106</v>
      </c>
      <c r="M20" s="218">
        <v>1300</v>
      </c>
      <c r="N20" s="38">
        <v>129</v>
      </c>
      <c r="O20" s="38">
        <v>122</v>
      </c>
      <c r="P20" s="38">
        <v>232</v>
      </c>
      <c r="Q20" s="237">
        <v>269</v>
      </c>
      <c r="R20" s="229">
        <v>269</v>
      </c>
      <c r="S20" s="33">
        <f t="shared" si="3"/>
        <v>0.4629948364888124</v>
      </c>
      <c r="T20" s="38">
        <v>81</v>
      </c>
      <c r="U20" s="33">
        <v>0.85</v>
      </c>
      <c r="V20" s="33">
        <v>0.85</v>
      </c>
      <c r="W20" s="38">
        <f t="shared" si="5"/>
        <v>37</v>
      </c>
      <c r="X20" s="38">
        <f t="shared" si="6"/>
        <v>84</v>
      </c>
      <c r="Y20" s="33">
        <v>1</v>
      </c>
      <c r="Z20" s="218">
        <f t="shared" si="7"/>
        <v>84</v>
      </c>
      <c r="AA20" s="33">
        <f t="shared" si="8"/>
        <v>0.7</v>
      </c>
      <c r="AB20" s="38">
        <f t="shared" si="9"/>
        <v>291</v>
      </c>
      <c r="AC20" s="33">
        <f t="shared" si="10"/>
        <v>0.95</v>
      </c>
      <c r="AD20" s="218">
        <f t="shared" si="18"/>
        <v>256</v>
      </c>
      <c r="AE20" s="33">
        <f t="shared" si="11"/>
        <v>0.95</v>
      </c>
      <c r="AF20" s="218">
        <f t="shared" si="12"/>
        <v>243</v>
      </c>
      <c r="AG20" s="38">
        <v>85</v>
      </c>
      <c r="AH20" s="38">
        <v>512</v>
      </c>
      <c r="AI20" s="33">
        <f t="shared" si="13"/>
        <v>0.95</v>
      </c>
      <c r="AJ20" s="33">
        <v>0.14000000000000001</v>
      </c>
      <c r="AK20" s="218">
        <f t="shared" si="14"/>
        <v>88</v>
      </c>
      <c r="AL20" s="218">
        <f t="shared" si="15"/>
        <v>541</v>
      </c>
      <c r="AM20" s="33">
        <v>0</v>
      </c>
      <c r="AN20" s="218">
        <f t="shared" si="17"/>
        <v>0</v>
      </c>
      <c r="AO20" s="38">
        <v>631</v>
      </c>
      <c r="AP20" s="218">
        <v>1166</v>
      </c>
    </row>
    <row r="21" spans="1:42" x14ac:dyDescent="0.2">
      <c r="A21" t="str">
        <f>INDEX(Prioritization!$D:$D,MATCH($B21,Prioritization!$A:$A,0))</f>
        <v>4 - Sustained</v>
      </c>
      <c r="B21" t="s">
        <v>313</v>
      </c>
      <c r="C21" t="s">
        <v>581</v>
      </c>
      <c r="D21" t="str">
        <f t="shared" si="0"/>
        <v>Balaka District [ir8wuHHzoSs]|MSM</v>
      </c>
      <c r="E21" s="218">
        <v>349</v>
      </c>
      <c r="F21" s="218">
        <v>45</v>
      </c>
      <c r="G21" s="218"/>
      <c r="H21" s="38">
        <v>19</v>
      </c>
      <c r="I21" s="218">
        <v>75</v>
      </c>
      <c r="J21" s="38">
        <v>177</v>
      </c>
      <c r="K21" s="218">
        <v>188</v>
      </c>
      <c r="L21" s="38">
        <v>332</v>
      </c>
      <c r="M21" s="218">
        <v>349</v>
      </c>
      <c r="N21" s="38">
        <v>141</v>
      </c>
      <c r="O21" s="38">
        <v>100</v>
      </c>
      <c r="P21" s="38">
        <v>38</v>
      </c>
      <c r="Q21" s="237">
        <v>68</v>
      </c>
      <c r="R21" s="229">
        <v>38</v>
      </c>
      <c r="S21" s="33">
        <f t="shared" si="3"/>
        <v>0.84444444444444444</v>
      </c>
      <c r="T21" s="38">
        <v>30</v>
      </c>
      <c r="U21" s="33">
        <v>0.7</v>
      </c>
      <c r="V21" s="33">
        <v>0.83</v>
      </c>
      <c r="W21" s="38">
        <f t="shared" si="5"/>
        <v>30</v>
      </c>
      <c r="X21" s="38">
        <f t="shared" si="6"/>
        <v>50</v>
      </c>
      <c r="Y21" s="33">
        <v>1</v>
      </c>
      <c r="Z21" s="218">
        <f t="shared" si="7"/>
        <v>50</v>
      </c>
      <c r="AA21" s="33">
        <f t="shared" si="8"/>
        <v>0.7</v>
      </c>
      <c r="AB21" s="38">
        <f t="shared" si="9"/>
        <v>73</v>
      </c>
      <c r="AC21" s="33">
        <f t="shared" si="10"/>
        <v>0.95</v>
      </c>
      <c r="AD21" s="218">
        <f t="shared" si="18"/>
        <v>65</v>
      </c>
      <c r="AE21" s="33">
        <f t="shared" si="11"/>
        <v>0.95</v>
      </c>
      <c r="AF21" s="218">
        <f t="shared" si="12"/>
        <v>62</v>
      </c>
      <c r="AG21" s="38">
        <v>32</v>
      </c>
      <c r="AH21" s="38">
        <v>295</v>
      </c>
      <c r="AI21" s="33">
        <f t="shared" si="13"/>
        <v>0.95</v>
      </c>
      <c r="AJ21" s="33">
        <v>0.114</v>
      </c>
      <c r="AK21" s="218">
        <f t="shared" si="14"/>
        <v>53</v>
      </c>
      <c r="AL21" s="218">
        <f t="shared" si="15"/>
        <v>412</v>
      </c>
      <c r="AM21" s="33">
        <v>0</v>
      </c>
      <c r="AN21" s="218">
        <f t="shared" si="17"/>
        <v>0</v>
      </c>
      <c r="AO21" s="38">
        <v>100</v>
      </c>
      <c r="AP21" s="218">
        <v>608</v>
      </c>
    </row>
    <row r="22" spans="1:42" x14ac:dyDescent="0.2">
      <c r="A22" t="str">
        <f>INDEX(Prioritization!$D:$D,MATCH($B22,Prioritization!$A:$A,0))</f>
        <v>4 - Sustained</v>
      </c>
      <c r="B22" t="s">
        <v>313</v>
      </c>
      <c r="C22" t="s">
        <v>582</v>
      </c>
      <c r="D22" t="str">
        <f t="shared" si="0"/>
        <v>Balaka District [ir8wuHHzoSs]|People in prisons and other enclosed settings</v>
      </c>
      <c r="E22" s="218"/>
      <c r="F22" s="218"/>
      <c r="G22" s="218"/>
      <c r="H22" s="38"/>
      <c r="I22" s="218"/>
      <c r="J22" s="38"/>
      <c r="K22" s="218"/>
      <c r="L22" s="38"/>
      <c r="M22" s="218"/>
      <c r="N22" s="38"/>
      <c r="O22" s="38"/>
      <c r="P22" s="38">
        <v>0</v>
      </c>
      <c r="Q22" s="237">
        <v>0</v>
      </c>
      <c r="R22" s="229">
        <v>0</v>
      </c>
      <c r="S22" s="33" t="str">
        <f t="shared" si="3"/>
        <v/>
      </c>
      <c r="T22" s="38"/>
      <c r="U22" s="33">
        <v>0.8</v>
      </c>
      <c r="V22" s="33">
        <v>0.85</v>
      </c>
      <c r="W22" s="38" t="str">
        <f t="shared" si="5"/>
        <v/>
      </c>
      <c r="X22" s="38" t="str">
        <f t="shared" si="6"/>
        <v/>
      </c>
      <c r="Y22" s="33">
        <v>1</v>
      </c>
      <c r="Z22" s="218" t="str">
        <f t="shared" si="7"/>
        <v/>
      </c>
      <c r="AA22" s="33">
        <f t="shared" si="8"/>
        <v>0.7</v>
      </c>
      <c r="AB22" s="38" t="str">
        <f t="shared" si="9"/>
        <v/>
      </c>
      <c r="AC22" s="33">
        <f t="shared" si="10"/>
        <v>0.95</v>
      </c>
      <c r="AD22" s="218" t="str">
        <f t="shared" si="18"/>
        <v/>
      </c>
      <c r="AE22" s="33">
        <f t="shared" si="11"/>
        <v>0.95</v>
      </c>
      <c r="AF22" s="218" t="str">
        <f t="shared" si="12"/>
        <v/>
      </c>
      <c r="AG22" s="38"/>
      <c r="AH22" s="38"/>
      <c r="AI22" s="33">
        <f t="shared" si="13"/>
        <v>0.95</v>
      </c>
      <c r="AJ22" s="33"/>
      <c r="AK22" s="218" t="str">
        <f t="shared" si="14"/>
        <v/>
      </c>
      <c r="AL22" s="218" t="str">
        <f t="shared" si="15"/>
        <v/>
      </c>
      <c r="AM22" s="33">
        <f t="shared" si="16"/>
        <v>0.95</v>
      </c>
      <c r="AN22" s="218" t="str">
        <f t="shared" si="17"/>
        <v/>
      </c>
      <c r="AO22" s="38"/>
      <c r="AP22" s="218"/>
    </row>
    <row r="23" spans="1:42" x14ac:dyDescent="0.2">
      <c r="A23" t="str">
        <f>INDEX(Prioritization!$D:$D,MATCH($B23,Prioritization!$A:$A,0))</f>
        <v>4 - Sustained</v>
      </c>
      <c r="B23" t="s">
        <v>313</v>
      </c>
      <c r="C23" t="s">
        <v>583</v>
      </c>
      <c r="D23" t="str">
        <f t="shared" si="0"/>
        <v>Balaka District [ir8wuHHzoSs]|PWID</v>
      </c>
      <c r="E23" s="218"/>
      <c r="F23" s="218"/>
      <c r="G23" s="218"/>
      <c r="H23" s="38"/>
      <c r="I23" s="218"/>
      <c r="J23" s="38"/>
      <c r="K23" s="218"/>
      <c r="L23" s="38"/>
      <c r="M23" s="218"/>
      <c r="N23" s="38"/>
      <c r="O23" s="38"/>
      <c r="P23" s="38">
        <v>0</v>
      </c>
      <c r="Q23" s="237">
        <v>0</v>
      </c>
      <c r="R23" s="229">
        <v>0</v>
      </c>
      <c r="S23" s="33" t="str">
        <f t="shared" si="3"/>
        <v/>
      </c>
      <c r="T23" s="38"/>
      <c r="U23" s="33">
        <v>0.8</v>
      </c>
      <c r="V23" s="33">
        <v>0.85</v>
      </c>
      <c r="W23" s="38" t="str">
        <f t="shared" si="5"/>
        <v/>
      </c>
      <c r="X23" s="38" t="str">
        <f t="shared" si="6"/>
        <v/>
      </c>
      <c r="Y23" s="33">
        <v>1</v>
      </c>
      <c r="Z23" s="218" t="str">
        <f t="shared" si="7"/>
        <v/>
      </c>
      <c r="AA23" s="33">
        <f t="shared" si="8"/>
        <v>0.7</v>
      </c>
      <c r="AB23" s="38" t="str">
        <f t="shared" si="9"/>
        <v/>
      </c>
      <c r="AC23" s="33">
        <f t="shared" si="10"/>
        <v>0.95</v>
      </c>
      <c r="AD23" s="218" t="str">
        <f t="shared" si="18"/>
        <v/>
      </c>
      <c r="AE23" s="33">
        <f t="shared" si="11"/>
        <v>0.95</v>
      </c>
      <c r="AF23" s="218" t="str">
        <f t="shared" si="12"/>
        <v/>
      </c>
      <c r="AG23" s="38"/>
      <c r="AH23" s="38"/>
      <c r="AI23" s="33">
        <f t="shared" si="13"/>
        <v>0.95</v>
      </c>
      <c r="AJ23" s="33"/>
      <c r="AK23" s="218" t="str">
        <f t="shared" si="14"/>
        <v/>
      </c>
      <c r="AL23" s="218" t="str">
        <f t="shared" si="15"/>
        <v/>
      </c>
      <c r="AM23" s="33">
        <f t="shared" si="16"/>
        <v>0.95</v>
      </c>
      <c r="AN23" s="218" t="str">
        <f t="shared" si="17"/>
        <v/>
      </c>
      <c r="AO23" s="38"/>
      <c r="AP23" s="218"/>
    </row>
    <row r="24" spans="1:42" x14ac:dyDescent="0.2">
      <c r="A24" t="str">
        <f>INDEX(Prioritization!$D:$D,MATCH($B24,Prioritization!$A:$A,0))</f>
        <v>4 - Sustained</v>
      </c>
      <c r="B24" t="s">
        <v>313</v>
      </c>
      <c r="C24" t="s">
        <v>584</v>
      </c>
      <c r="D24" t="str">
        <f t="shared" si="0"/>
        <v>Balaka District [ir8wuHHzoSs]|TG</v>
      </c>
      <c r="E24" s="218">
        <v>111</v>
      </c>
      <c r="F24" s="218">
        <v>44</v>
      </c>
      <c r="G24" s="218"/>
      <c r="H24" s="38">
        <v>4</v>
      </c>
      <c r="I24" s="218">
        <v>16</v>
      </c>
      <c r="J24" s="38">
        <v>31</v>
      </c>
      <c r="K24" s="218">
        <v>41</v>
      </c>
      <c r="L24" s="38">
        <v>105</v>
      </c>
      <c r="M24" s="218">
        <v>110</v>
      </c>
      <c r="N24" s="38">
        <v>61</v>
      </c>
      <c r="O24" s="38">
        <v>58</v>
      </c>
      <c r="P24" s="38">
        <v>37</v>
      </c>
      <c r="Q24" s="237">
        <v>37</v>
      </c>
      <c r="R24" s="229">
        <v>37</v>
      </c>
      <c r="S24" s="33">
        <f t="shared" si="3"/>
        <v>0.84090909090909094</v>
      </c>
      <c r="T24" s="38">
        <v>12</v>
      </c>
      <c r="U24" s="33">
        <v>0.85</v>
      </c>
      <c r="V24" s="33">
        <v>0.85</v>
      </c>
      <c r="W24" s="38">
        <f t="shared" si="5"/>
        <v>0</v>
      </c>
      <c r="X24" s="38">
        <f t="shared" si="6"/>
        <v>7</v>
      </c>
      <c r="Y24" s="33">
        <v>1</v>
      </c>
      <c r="Z24" s="218">
        <f t="shared" si="7"/>
        <v>7</v>
      </c>
      <c r="AA24" s="33">
        <f t="shared" si="8"/>
        <v>0.7</v>
      </c>
      <c r="AB24" s="38">
        <f t="shared" si="9"/>
        <v>42</v>
      </c>
      <c r="AC24" s="33">
        <f t="shared" si="10"/>
        <v>0.95</v>
      </c>
      <c r="AD24" s="218">
        <f t="shared" si="18"/>
        <v>35</v>
      </c>
      <c r="AE24" s="33">
        <f t="shared" si="11"/>
        <v>0.95</v>
      </c>
      <c r="AF24" s="218">
        <f t="shared" si="12"/>
        <v>33</v>
      </c>
      <c r="AG24" s="38">
        <v>13</v>
      </c>
      <c r="AH24" s="38">
        <v>52</v>
      </c>
      <c r="AI24" s="33">
        <f t="shared" si="13"/>
        <v>0.95</v>
      </c>
      <c r="AJ24" s="33">
        <v>0.13</v>
      </c>
      <c r="AK24" s="218">
        <f t="shared" si="14"/>
        <v>7</v>
      </c>
      <c r="AL24" s="218">
        <f t="shared" si="15"/>
        <v>47</v>
      </c>
      <c r="AM24" s="33">
        <v>0</v>
      </c>
      <c r="AN24" s="218">
        <f t="shared" si="17"/>
        <v>0</v>
      </c>
      <c r="AO24" s="38">
        <v>10</v>
      </c>
      <c r="AP24" s="218">
        <v>134</v>
      </c>
    </row>
    <row r="25" spans="1:42" x14ac:dyDescent="0.2">
      <c r="A25" t="str">
        <f>INDEX(Prioritization!$D:$D,MATCH($B25,Prioritization!$A:$A,0))</f>
        <v>1 - Scale-up: Saturation</v>
      </c>
      <c r="B25" t="s">
        <v>314</v>
      </c>
      <c r="C25" t="s">
        <v>580</v>
      </c>
      <c r="D25" t="str">
        <f t="shared" si="0"/>
        <v>Blantyre District [mxqa3CDFmIT]|FSW</v>
      </c>
      <c r="E25" s="218">
        <v>7069</v>
      </c>
      <c r="F25" s="218">
        <v>3527</v>
      </c>
      <c r="G25" s="218"/>
      <c r="H25" s="38">
        <v>438</v>
      </c>
      <c r="I25" s="218">
        <v>806</v>
      </c>
      <c r="J25" s="38">
        <v>1849</v>
      </c>
      <c r="K25" s="218">
        <v>2015</v>
      </c>
      <c r="L25" s="38">
        <v>8960</v>
      </c>
      <c r="M25" s="218">
        <v>8240</v>
      </c>
      <c r="N25" s="38">
        <v>963</v>
      </c>
      <c r="O25" s="38">
        <v>850</v>
      </c>
      <c r="P25" s="38">
        <v>1411</v>
      </c>
      <c r="Q25" s="237">
        <v>1540</v>
      </c>
      <c r="R25" s="229">
        <v>1540</v>
      </c>
      <c r="S25" s="33">
        <f t="shared" si="3"/>
        <v>0.43663169832719023</v>
      </c>
      <c r="T25" s="38">
        <v>486</v>
      </c>
      <c r="U25" s="33">
        <v>0.85</v>
      </c>
      <c r="V25" s="33">
        <v>0.85</v>
      </c>
      <c r="W25" s="38">
        <f t="shared" si="5"/>
        <v>129</v>
      </c>
      <c r="X25" s="38">
        <f t="shared" si="6"/>
        <v>401</v>
      </c>
      <c r="Y25" s="33">
        <v>1</v>
      </c>
      <c r="Z25" s="218">
        <f t="shared" si="7"/>
        <v>401</v>
      </c>
      <c r="AA25" s="33">
        <f t="shared" si="8"/>
        <v>0.7</v>
      </c>
      <c r="AB25" s="38">
        <f t="shared" si="9"/>
        <v>1692</v>
      </c>
      <c r="AC25" s="33">
        <f t="shared" si="10"/>
        <v>0.95</v>
      </c>
      <c r="AD25" s="218">
        <f t="shared" si="18"/>
        <v>1463</v>
      </c>
      <c r="AE25" s="33">
        <f t="shared" si="11"/>
        <v>0.95</v>
      </c>
      <c r="AF25" s="218">
        <f t="shared" si="12"/>
        <v>1390</v>
      </c>
      <c r="AG25" s="38">
        <v>512</v>
      </c>
      <c r="AH25" s="38">
        <v>3081</v>
      </c>
      <c r="AI25" s="33">
        <f t="shared" si="13"/>
        <v>0.95</v>
      </c>
      <c r="AJ25" s="33">
        <v>0.14000000000000001</v>
      </c>
      <c r="AK25" s="218">
        <f t="shared" si="14"/>
        <v>422</v>
      </c>
      <c r="AL25" s="218">
        <f t="shared" si="15"/>
        <v>2592</v>
      </c>
      <c r="AM25" s="33">
        <v>0</v>
      </c>
      <c r="AN25" s="218">
        <f t="shared" si="17"/>
        <v>0</v>
      </c>
      <c r="AO25" s="38">
        <v>3977</v>
      </c>
      <c r="AP25" s="218">
        <v>7083</v>
      </c>
    </row>
    <row r="26" spans="1:42" x14ac:dyDescent="0.2">
      <c r="A26" t="str">
        <f>INDEX(Prioritization!$D:$D,MATCH($B26,Prioritization!$A:$A,0))</f>
        <v>1 - Scale-up: Saturation</v>
      </c>
      <c r="B26" t="s">
        <v>314</v>
      </c>
      <c r="C26" t="s">
        <v>581</v>
      </c>
      <c r="D26" t="str">
        <f t="shared" si="0"/>
        <v>Blantyre District [mxqa3CDFmIT]|MSM</v>
      </c>
      <c r="E26" s="218">
        <v>2000</v>
      </c>
      <c r="F26" s="218">
        <v>256</v>
      </c>
      <c r="G26" s="218"/>
      <c r="H26" s="38">
        <v>111</v>
      </c>
      <c r="I26" s="218">
        <v>278</v>
      </c>
      <c r="J26" s="38">
        <v>934</v>
      </c>
      <c r="K26" s="218">
        <v>458</v>
      </c>
      <c r="L26" s="38">
        <v>2990</v>
      </c>
      <c r="M26" s="218">
        <v>2300</v>
      </c>
      <c r="N26" s="38">
        <v>463</v>
      </c>
      <c r="O26" s="38">
        <v>515</v>
      </c>
      <c r="P26" s="38">
        <v>218</v>
      </c>
      <c r="Q26" s="237">
        <v>330</v>
      </c>
      <c r="R26" s="229">
        <v>218</v>
      </c>
      <c r="S26" s="33">
        <f t="shared" si="3"/>
        <v>0.8515625</v>
      </c>
      <c r="T26" s="38">
        <v>161</v>
      </c>
      <c r="U26" s="33">
        <v>0.98</v>
      </c>
      <c r="V26" s="33">
        <v>0.83</v>
      </c>
      <c r="W26" s="38">
        <f t="shared" si="5"/>
        <v>112</v>
      </c>
      <c r="X26" s="38">
        <f t="shared" si="6"/>
        <v>140</v>
      </c>
      <c r="Y26" s="33">
        <v>1</v>
      </c>
      <c r="Z26" s="218">
        <f t="shared" si="7"/>
        <v>140</v>
      </c>
      <c r="AA26" s="33">
        <f t="shared" si="8"/>
        <v>0.7</v>
      </c>
      <c r="AB26" s="38">
        <f t="shared" si="9"/>
        <v>316</v>
      </c>
      <c r="AC26" s="33">
        <f t="shared" si="10"/>
        <v>0.95</v>
      </c>
      <c r="AD26" s="218">
        <f t="shared" si="18"/>
        <v>314</v>
      </c>
      <c r="AE26" s="33">
        <f t="shared" si="11"/>
        <v>0.95</v>
      </c>
      <c r="AF26" s="218">
        <f t="shared" si="12"/>
        <v>298</v>
      </c>
      <c r="AG26" s="38">
        <v>169</v>
      </c>
      <c r="AH26" s="38">
        <v>1556</v>
      </c>
      <c r="AI26" s="33">
        <f t="shared" si="13"/>
        <v>0.95</v>
      </c>
      <c r="AJ26" s="33">
        <v>0.114</v>
      </c>
      <c r="AK26" s="218">
        <f t="shared" si="14"/>
        <v>147</v>
      </c>
      <c r="AL26" s="218">
        <f t="shared" si="15"/>
        <v>1142</v>
      </c>
      <c r="AM26" s="33">
        <v>0</v>
      </c>
      <c r="AN26" s="218">
        <f t="shared" si="17"/>
        <v>0</v>
      </c>
      <c r="AO26" s="38">
        <v>5000</v>
      </c>
      <c r="AP26" s="218">
        <v>3488</v>
      </c>
    </row>
    <row r="27" spans="1:42" x14ac:dyDescent="0.2">
      <c r="A27" t="str">
        <f>INDEX(Prioritization!$D:$D,MATCH($B27,Prioritization!$A:$A,0))</f>
        <v>1 - Scale-up: Saturation</v>
      </c>
      <c r="B27" t="s">
        <v>314</v>
      </c>
      <c r="C27" t="s">
        <v>582</v>
      </c>
      <c r="D27" t="str">
        <f t="shared" si="0"/>
        <v>Blantyre District [mxqa3CDFmIT]|People in prisons and other enclosed settings</v>
      </c>
      <c r="E27" s="218">
        <v>2700</v>
      </c>
      <c r="F27" s="218">
        <v>432</v>
      </c>
      <c r="G27" s="218"/>
      <c r="H27" s="38"/>
      <c r="I27" s="218"/>
      <c r="J27" s="38"/>
      <c r="K27" s="218"/>
      <c r="L27" s="38">
        <v>2700</v>
      </c>
      <c r="M27" s="218">
        <v>2700</v>
      </c>
      <c r="N27" s="38">
        <v>478</v>
      </c>
      <c r="O27" s="38">
        <v>554</v>
      </c>
      <c r="P27" s="38">
        <v>367</v>
      </c>
      <c r="Q27" s="237">
        <v>367</v>
      </c>
      <c r="R27" s="229">
        <v>367</v>
      </c>
      <c r="S27" s="33">
        <f t="shared" si="3"/>
        <v>0.84953703703703709</v>
      </c>
      <c r="T27" s="38">
        <v>68</v>
      </c>
      <c r="U27" s="33">
        <v>0.85</v>
      </c>
      <c r="V27" s="33">
        <v>0.85</v>
      </c>
      <c r="W27" s="38">
        <f t="shared" si="5"/>
        <v>0</v>
      </c>
      <c r="X27" s="38">
        <f t="shared" si="6"/>
        <v>65</v>
      </c>
      <c r="Y27" s="33">
        <v>1</v>
      </c>
      <c r="Z27" s="218">
        <f t="shared" si="7"/>
        <v>65</v>
      </c>
      <c r="AA27" s="33">
        <f t="shared" si="8"/>
        <v>0.7</v>
      </c>
      <c r="AB27" s="38">
        <f t="shared" si="9"/>
        <v>413</v>
      </c>
      <c r="AC27" s="33">
        <f t="shared" si="10"/>
        <v>0.95</v>
      </c>
      <c r="AD27" s="218">
        <f t="shared" si="18"/>
        <v>349</v>
      </c>
      <c r="AE27" s="33">
        <f t="shared" si="11"/>
        <v>0.95</v>
      </c>
      <c r="AF27" s="218">
        <f t="shared" si="12"/>
        <v>332</v>
      </c>
      <c r="AG27" s="38">
        <v>72</v>
      </c>
      <c r="AH27" s="38">
        <v>2178</v>
      </c>
      <c r="AI27" s="33">
        <f t="shared" si="13"/>
        <v>0.95</v>
      </c>
      <c r="AJ27" s="33">
        <v>0.02</v>
      </c>
      <c r="AK27" s="218">
        <f t="shared" si="14"/>
        <v>68</v>
      </c>
      <c r="AL27" s="218">
        <f t="shared" si="15"/>
        <v>3332</v>
      </c>
      <c r="AM27" s="33">
        <v>0</v>
      </c>
      <c r="AN27" s="218">
        <f t="shared" si="17"/>
        <v>0</v>
      </c>
      <c r="AO27" s="38"/>
      <c r="AP27" s="218"/>
    </row>
    <row r="28" spans="1:42" x14ac:dyDescent="0.2">
      <c r="A28" t="str">
        <f>INDEX(Prioritization!$D:$D,MATCH($B28,Prioritization!$A:$A,0))</f>
        <v>1 - Scale-up: Saturation</v>
      </c>
      <c r="B28" t="s">
        <v>314</v>
      </c>
      <c r="C28" t="s">
        <v>583</v>
      </c>
      <c r="D28" t="str">
        <f t="shared" si="0"/>
        <v>Blantyre District [mxqa3CDFmIT]|PWID</v>
      </c>
      <c r="E28" s="218"/>
      <c r="F28" s="218"/>
      <c r="G28" s="218"/>
      <c r="H28" s="38"/>
      <c r="I28" s="218"/>
      <c r="J28" s="38"/>
      <c r="K28" s="218"/>
      <c r="L28" s="38"/>
      <c r="M28" s="218"/>
      <c r="N28" s="38"/>
      <c r="O28" s="38"/>
      <c r="P28" s="38">
        <v>0</v>
      </c>
      <c r="Q28" s="237">
        <v>0</v>
      </c>
      <c r="R28" s="229">
        <v>0</v>
      </c>
      <c r="S28" s="33" t="str">
        <f t="shared" si="3"/>
        <v/>
      </c>
      <c r="T28" s="38"/>
      <c r="U28" s="33">
        <v>0.8</v>
      </c>
      <c r="V28" s="33">
        <v>0.85</v>
      </c>
      <c r="W28" s="38" t="str">
        <f t="shared" si="5"/>
        <v/>
      </c>
      <c r="X28" s="38" t="str">
        <f t="shared" si="6"/>
        <v/>
      </c>
      <c r="Y28" s="33">
        <v>1</v>
      </c>
      <c r="Z28" s="218" t="str">
        <f t="shared" si="7"/>
        <v/>
      </c>
      <c r="AA28" s="33">
        <f t="shared" si="8"/>
        <v>0.7</v>
      </c>
      <c r="AB28" s="38" t="str">
        <f t="shared" si="9"/>
        <v/>
      </c>
      <c r="AC28" s="33">
        <f t="shared" si="10"/>
        <v>0.95</v>
      </c>
      <c r="AD28" s="218" t="str">
        <f t="shared" si="18"/>
        <v/>
      </c>
      <c r="AE28" s="33">
        <f t="shared" si="11"/>
        <v>0.95</v>
      </c>
      <c r="AF28" s="218" t="str">
        <f t="shared" si="12"/>
        <v/>
      </c>
      <c r="AG28" s="38"/>
      <c r="AH28" s="38"/>
      <c r="AI28" s="33">
        <f t="shared" si="13"/>
        <v>0.95</v>
      </c>
      <c r="AJ28" s="33"/>
      <c r="AK28" s="218" t="str">
        <f t="shared" si="14"/>
        <v/>
      </c>
      <c r="AL28" s="218" t="str">
        <f t="shared" si="15"/>
        <v/>
      </c>
      <c r="AM28" s="33">
        <v>0</v>
      </c>
      <c r="AN28" s="218" t="str">
        <f t="shared" si="17"/>
        <v/>
      </c>
      <c r="AO28" s="38"/>
      <c r="AP28" s="218"/>
    </row>
    <row r="29" spans="1:42" x14ac:dyDescent="0.2">
      <c r="A29" t="str">
        <f>INDEX(Prioritization!$D:$D,MATCH($B29,Prioritization!$A:$A,0))</f>
        <v>1 - Scale-up: Saturation</v>
      </c>
      <c r="B29" t="s">
        <v>314</v>
      </c>
      <c r="C29" t="s">
        <v>584</v>
      </c>
      <c r="D29" t="str">
        <f t="shared" si="0"/>
        <v>Blantyre District [mxqa3CDFmIT]|TG</v>
      </c>
      <c r="E29" s="218">
        <v>624</v>
      </c>
      <c r="F29" s="218">
        <v>250</v>
      </c>
      <c r="G29" s="218"/>
      <c r="H29" s="38">
        <v>21</v>
      </c>
      <c r="I29" s="218">
        <v>91</v>
      </c>
      <c r="J29" s="38">
        <v>176</v>
      </c>
      <c r="K29" s="218">
        <v>123</v>
      </c>
      <c r="L29" s="38">
        <v>1016</v>
      </c>
      <c r="M29" s="218">
        <v>624</v>
      </c>
      <c r="N29" s="38">
        <v>241</v>
      </c>
      <c r="O29" s="38">
        <v>152</v>
      </c>
      <c r="P29" s="38">
        <v>213</v>
      </c>
      <c r="Q29" s="237">
        <v>213</v>
      </c>
      <c r="R29" s="229">
        <v>213</v>
      </c>
      <c r="S29" s="33">
        <f t="shared" si="3"/>
        <v>0.85199999999999998</v>
      </c>
      <c r="T29" s="38">
        <v>69</v>
      </c>
      <c r="U29" s="33">
        <v>0.98</v>
      </c>
      <c r="V29" s="33">
        <v>0.85</v>
      </c>
      <c r="W29" s="38">
        <f t="shared" si="5"/>
        <v>0</v>
      </c>
      <c r="X29" s="38">
        <f t="shared" si="6"/>
        <v>5</v>
      </c>
      <c r="Y29" s="33">
        <v>1</v>
      </c>
      <c r="Z29" s="218">
        <f t="shared" si="7"/>
        <v>5</v>
      </c>
      <c r="AA29" s="33">
        <f t="shared" si="8"/>
        <v>0.7</v>
      </c>
      <c r="AB29" s="38">
        <f t="shared" si="9"/>
        <v>217</v>
      </c>
      <c r="AC29" s="33">
        <f t="shared" si="10"/>
        <v>0.95</v>
      </c>
      <c r="AD29" s="218">
        <f t="shared" si="18"/>
        <v>202</v>
      </c>
      <c r="AE29" s="33">
        <f t="shared" si="11"/>
        <v>0.95</v>
      </c>
      <c r="AF29" s="218">
        <f t="shared" si="12"/>
        <v>192</v>
      </c>
      <c r="AG29" s="38">
        <v>73</v>
      </c>
      <c r="AH29" s="38">
        <v>293</v>
      </c>
      <c r="AI29" s="33">
        <f t="shared" si="13"/>
        <v>0.95</v>
      </c>
      <c r="AJ29" s="33">
        <v>0.13</v>
      </c>
      <c r="AK29" s="218">
        <f t="shared" si="14"/>
        <v>5</v>
      </c>
      <c r="AL29" s="218">
        <f t="shared" si="15"/>
        <v>33</v>
      </c>
      <c r="AM29" s="33">
        <v>0</v>
      </c>
      <c r="AN29" s="218">
        <f t="shared" si="17"/>
        <v>0</v>
      </c>
      <c r="AO29" s="38">
        <v>2548</v>
      </c>
      <c r="AP29" s="218">
        <v>748</v>
      </c>
    </row>
    <row r="30" spans="1:42" x14ac:dyDescent="0.2">
      <c r="A30" t="str">
        <f>INDEX(Prioritization!$D:$D,MATCH($B30,Prioritization!$A:$A,0))</f>
        <v>1 - Scale-up: Saturation</v>
      </c>
      <c r="B30" t="s">
        <v>315</v>
      </c>
      <c r="C30" t="s">
        <v>580</v>
      </c>
      <c r="D30" t="str">
        <f t="shared" si="0"/>
        <v>Chikwawa District [U8c0so51kT6]|FSW</v>
      </c>
      <c r="E30" s="218">
        <v>2079</v>
      </c>
      <c r="F30" s="218">
        <v>1037</v>
      </c>
      <c r="G30" s="218"/>
      <c r="H30" s="38">
        <v>83</v>
      </c>
      <c r="I30" s="218">
        <v>132</v>
      </c>
      <c r="J30" s="38">
        <v>545</v>
      </c>
      <c r="K30" s="218">
        <v>330</v>
      </c>
      <c r="L30" s="38">
        <v>1975</v>
      </c>
      <c r="M30" s="218">
        <v>2300</v>
      </c>
      <c r="N30" s="38">
        <v>378</v>
      </c>
      <c r="O30" s="38">
        <v>409</v>
      </c>
      <c r="P30" s="38">
        <v>415</v>
      </c>
      <c r="Q30" s="237">
        <v>415</v>
      </c>
      <c r="R30" s="229">
        <v>415</v>
      </c>
      <c r="S30" s="33">
        <f t="shared" si="3"/>
        <v>0.40019286403085824</v>
      </c>
      <c r="T30" s="38">
        <v>143</v>
      </c>
      <c r="U30" s="33">
        <v>0.85</v>
      </c>
      <c r="V30" s="33">
        <v>0.85</v>
      </c>
      <c r="W30" s="38">
        <f t="shared" si="5"/>
        <v>0</v>
      </c>
      <c r="X30" s="38">
        <f t="shared" si="6"/>
        <v>73</v>
      </c>
      <c r="Y30" s="33">
        <v>1</v>
      </c>
      <c r="Z30" s="218">
        <f t="shared" si="7"/>
        <v>73</v>
      </c>
      <c r="AA30" s="33">
        <f t="shared" si="8"/>
        <v>0.7</v>
      </c>
      <c r="AB30" s="38">
        <f t="shared" si="9"/>
        <v>466</v>
      </c>
      <c r="AC30" s="33">
        <f t="shared" si="10"/>
        <v>0.95</v>
      </c>
      <c r="AD30" s="218">
        <f t="shared" si="18"/>
        <v>394</v>
      </c>
      <c r="AE30" s="33">
        <f t="shared" si="11"/>
        <v>0.95</v>
      </c>
      <c r="AF30" s="218">
        <f t="shared" si="12"/>
        <v>374</v>
      </c>
      <c r="AG30" s="38">
        <v>151</v>
      </c>
      <c r="AH30" s="38">
        <v>909</v>
      </c>
      <c r="AI30" s="33">
        <f t="shared" si="13"/>
        <v>0.95</v>
      </c>
      <c r="AJ30" s="33">
        <v>0.14000000000000001</v>
      </c>
      <c r="AK30" s="218">
        <f t="shared" si="14"/>
        <v>77</v>
      </c>
      <c r="AL30" s="218">
        <f t="shared" si="15"/>
        <v>473</v>
      </c>
      <c r="AM30" s="33">
        <v>0</v>
      </c>
      <c r="AN30" s="218">
        <f t="shared" si="17"/>
        <v>0</v>
      </c>
      <c r="AO30" s="38"/>
      <c r="AP30" s="218">
        <v>2083</v>
      </c>
    </row>
    <row r="31" spans="1:42" x14ac:dyDescent="0.2">
      <c r="A31" t="str">
        <f>INDEX(Prioritization!$D:$D,MATCH($B31,Prioritization!$A:$A,0))</f>
        <v>1 - Scale-up: Saturation</v>
      </c>
      <c r="B31" t="s">
        <v>315</v>
      </c>
      <c r="C31" t="s">
        <v>581</v>
      </c>
      <c r="D31" t="str">
        <f t="shared" si="0"/>
        <v>Chikwawa District [U8c0so51kT6]|MSM</v>
      </c>
      <c r="E31" s="218">
        <v>1300</v>
      </c>
      <c r="F31" s="218">
        <v>166</v>
      </c>
      <c r="G31" s="218"/>
      <c r="H31" s="38">
        <v>4</v>
      </c>
      <c r="I31" s="218">
        <v>282</v>
      </c>
      <c r="J31" s="38">
        <v>552</v>
      </c>
      <c r="K31" s="218">
        <v>704</v>
      </c>
      <c r="L31" s="38">
        <v>1380</v>
      </c>
      <c r="M31" s="218">
        <v>1300</v>
      </c>
      <c r="N31" s="38">
        <v>152</v>
      </c>
      <c r="O31" s="38">
        <v>274</v>
      </c>
      <c r="P31" s="38">
        <v>141</v>
      </c>
      <c r="Q31" s="237">
        <v>149</v>
      </c>
      <c r="R31" s="229">
        <v>141</v>
      </c>
      <c r="S31" s="33">
        <f t="shared" si="3"/>
        <v>0.8493975903614458</v>
      </c>
      <c r="T31" s="38">
        <v>95</v>
      </c>
      <c r="U31" s="33">
        <v>0.7</v>
      </c>
      <c r="V31" s="33">
        <v>0.83</v>
      </c>
      <c r="W31" s="38">
        <f t="shared" si="5"/>
        <v>8</v>
      </c>
      <c r="X31" s="38">
        <f t="shared" si="6"/>
        <v>61</v>
      </c>
      <c r="Y31" s="33">
        <v>1</v>
      </c>
      <c r="Z31" s="218">
        <f t="shared" si="7"/>
        <v>61</v>
      </c>
      <c r="AA31" s="33">
        <f t="shared" si="8"/>
        <v>0.7</v>
      </c>
      <c r="AB31" s="38">
        <f t="shared" si="9"/>
        <v>184</v>
      </c>
      <c r="AC31" s="33">
        <f t="shared" si="10"/>
        <v>0.95</v>
      </c>
      <c r="AD31" s="218">
        <f t="shared" si="18"/>
        <v>142</v>
      </c>
      <c r="AE31" s="33">
        <f t="shared" si="11"/>
        <v>0.95</v>
      </c>
      <c r="AF31" s="218">
        <f t="shared" si="12"/>
        <v>135</v>
      </c>
      <c r="AG31" s="38">
        <v>100</v>
      </c>
      <c r="AH31" s="38">
        <v>920</v>
      </c>
      <c r="AI31" s="33">
        <f t="shared" si="13"/>
        <v>0.95</v>
      </c>
      <c r="AJ31" s="33">
        <v>0.114</v>
      </c>
      <c r="AK31" s="218">
        <f t="shared" si="14"/>
        <v>64</v>
      </c>
      <c r="AL31" s="218">
        <f t="shared" si="15"/>
        <v>497</v>
      </c>
      <c r="AM31" s="33">
        <v>0</v>
      </c>
      <c r="AN31" s="218">
        <f t="shared" si="17"/>
        <v>0</v>
      </c>
      <c r="AO31" s="38"/>
      <c r="AP31" s="218">
        <v>2268</v>
      </c>
    </row>
    <row r="32" spans="1:42" x14ac:dyDescent="0.2">
      <c r="A32" t="str">
        <f>INDEX(Prioritization!$D:$D,MATCH($B32,Prioritization!$A:$A,0))</f>
        <v>1 - Scale-up: Saturation</v>
      </c>
      <c r="B32" t="s">
        <v>315</v>
      </c>
      <c r="C32" t="s">
        <v>582</v>
      </c>
      <c r="D32" t="str">
        <f t="shared" si="0"/>
        <v>Chikwawa District [U8c0so51kT6]|People in prisons and other enclosed settings</v>
      </c>
      <c r="E32" s="218"/>
      <c r="F32" s="218"/>
      <c r="G32" s="218"/>
      <c r="H32" s="38"/>
      <c r="I32" s="218"/>
      <c r="J32" s="38"/>
      <c r="K32" s="218"/>
      <c r="L32" s="38"/>
      <c r="M32" s="218"/>
      <c r="N32" s="38"/>
      <c r="O32" s="38"/>
      <c r="P32" s="38">
        <v>0</v>
      </c>
      <c r="Q32" s="237">
        <v>0</v>
      </c>
      <c r="R32" s="229">
        <v>0</v>
      </c>
      <c r="S32" s="33" t="str">
        <f t="shared" si="3"/>
        <v/>
      </c>
      <c r="T32" s="38"/>
      <c r="U32" s="33">
        <v>0.85</v>
      </c>
      <c r="V32" s="33">
        <v>0.85</v>
      </c>
      <c r="W32" s="38" t="str">
        <f t="shared" si="5"/>
        <v/>
      </c>
      <c r="X32" s="38" t="str">
        <f t="shared" si="6"/>
        <v/>
      </c>
      <c r="Y32" s="33">
        <v>1</v>
      </c>
      <c r="Z32" s="218" t="str">
        <f t="shared" si="7"/>
        <v/>
      </c>
      <c r="AA32" s="33">
        <f t="shared" si="8"/>
        <v>0.7</v>
      </c>
      <c r="AB32" s="38" t="str">
        <f t="shared" si="9"/>
        <v/>
      </c>
      <c r="AC32" s="33">
        <f t="shared" si="10"/>
        <v>0.95</v>
      </c>
      <c r="AD32" s="218" t="str">
        <f t="shared" si="18"/>
        <v/>
      </c>
      <c r="AE32" s="33">
        <f t="shared" si="11"/>
        <v>0.95</v>
      </c>
      <c r="AF32" s="218" t="str">
        <f t="shared" si="12"/>
        <v/>
      </c>
      <c r="AG32" s="38"/>
      <c r="AH32" s="38"/>
      <c r="AI32" s="33">
        <f t="shared" si="13"/>
        <v>0.95</v>
      </c>
      <c r="AJ32" s="33"/>
      <c r="AK32" s="218" t="str">
        <f t="shared" si="14"/>
        <v/>
      </c>
      <c r="AL32" s="218" t="str">
        <f t="shared" si="15"/>
        <v/>
      </c>
      <c r="AM32" s="33">
        <f t="shared" si="16"/>
        <v>0.95</v>
      </c>
      <c r="AN32" s="218" t="str">
        <f t="shared" si="17"/>
        <v/>
      </c>
      <c r="AO32" s="38"/>
      <c r="AP32" s="218"/>
    </row>
    <row r="33" spans="1:42" x14ac:dyDescent="0.2">
      <c r="A33" t="str">
        <f>INDEX(Prioritization!$D:$D,MATCH($B33,Prioritization!$A:$A,0))</f>
        <v>1 - Scale-up: Saturation</v>
      </c>
      <c r="B33" t="s">
        <v>315</v>
      </c>
      <c r="C33" t="s">
        <v>583</v>
      </c>
      <c r="D33" t="str">
        <f t="shared" si="0"/>
        <v>Chikwawa District [U8c0so51kT6]|PWID</v>
      </c>
      <c r="E33" s="218"/>
      <c r="F33" s="218"/>
      <c r="G33" s="218"/>
      <c r="H33" s="38"/>
      <c r="I33" s="218"/>
      <c r="J33" s="38"/>
      <c r="K33" s="218"/>
      <c r="L33" s="38"/>
      <c r="M33" s="218"/>
      <c r="N33" s="38"/>
      <c r="O33" s="38"/>
      <c r="P33" s="38">
        <v>0</v>
      </c>
      <c r="Q33" s="237">
        <v>0</v>
      </c>
      <c r="R33" s="229">
        <v>0</v>
      </c>
      <c r="S33" s="33" t="str">
        <f t="shared" si="3"/>
        <v/>
      </c>
      <c r="T33" s="38"/>
      <c r="U33" s="33">
        <v>0.8</v>
      </c>
      <c r="V33" s="33">
        <v>0.85</v>
      </c>
      <c r="W33" s="38" t="str">
        <f t="shared" si="5"/>
        <v/>
      </c>
      <c r="X33" s="38" t="str">
        <f t="shared" si="6"/>
        <v/>
      </c>
      <c r="Y33" s="33">
        <v>1</v>
      </c>
      <c r="Z33" s="218" t="str">
        <f t="shared" si="7"/>
        <v/>
      </c>
      <c r="AA33" s="33">
        <f t="shared" si="8"/>
        <v>0.7</v>
      </c>
      <c r="AB33" s="38" t="str">
        <f t="shared" si="9"/>
        <v/>
      </c>
      <c r="AC33" s="33">
        <f t="shared" si="10"/>
        <v>0.95</v>
      </c>
      <c r="AD33" s="218" t="str">
        <f t="shared" si="18"/>
        <v/>
      </c>
      <c r="AE33" s="33">
        <f t="shared" si="11"/>
        <v>0.95</v>
      </c>
      <c r="AF33" s="218" t="str">
        <f t="shared" si="12"/>
        <v/>
      </c>
      <c r="AG33" s="38"/>
      <c r="AH33" s="38"/>
      <c r="AI33" s="33">
        <f t="shared" si="13"/>
        <v>0.95</v>
      </c>
      <c r="AJ33" s="33"/>
      <c r="AK33" s="218" t="str">
        <f t="shared" si="14"/>
        <v/>
      </c>
      <c r="AL33" s="218" t="str">
        <f t="shared" si="15"/>
        <v/>
      </c>
      <c r="AM33" s="33">
        <f t="shared" si="16"/>
        <v>0.95</v>
      </c>
      <c r="AN33" s="218" t="str">
        <f t="shared" si="17"/>
        <v/>
      </c>
      <c r="AO33" s="38"/>
      <c r="AP33" s="218"/>
    </row>
    <row r="34" spans="1:42" x14ac:dyDescent="0.2">
      <c r="A34" t="str">
        <f>INDEX(Prioritization!$D:$D,MATCH($B34,Prioritization!$A:$A,0))</f>
        <v>1 - Scale-up: Saturation</v>
      </c>
      <c r="B34" t="s">
        <v>315</v>
      </c>
      <c r="C34" t="s">
        <v>584</v>
      </c>
      <c r="D34" t="str">
        <f t="shared" si="0"/>
        <v>Chikwawa District [U8c0so51kT6]|TG</v>
      </c>
      <c r="E34" s="218">
        <v>114</v>
      </c>
      <c r="F34" s="218">
        <v>46</v>
      </c>
      <c r="G34" s="218"/>
      <c r="H34" s="38">
        <v>4</v>
      </c>
      <c r="I34" s="218">
        <v>16</v>
      </c>
      <c r="J34" s="38">
        <v>34</v>
      </c>
      <c r="K34" s="218">
        <v>41</v>
      </c>
      <c r="L34" s="38">
        <v>108</v>
      </c>
      <c r="M34" s="218">
        <v>166</v>
      </c>
      <c r="N34" s="38">
        <v>26</v>
      </c>
      <c r="O34" s="38">
        <v>53</v>
      </c>
      <c r="P34" s="38">
        <v>39</v>
      </c>
      <c r="Q34" s="237">
        <v>39</v>
      </c>
      <c r="R34" s="229">
        <v>39</v>
      </c>
      <c r="S34" s="33">
        <f t="shared" si="3"/>
        <v>0.84782608695652173</v>
      </c>
      <c r="T34" s="38">
        <v>13</v>
      </c>
      <c r="U34" s="33">
        <v>0.85</v>
      </c>
      <c r="V34" s="33">
        <v>0.85</v>
      </c>
      <c r="W34" s="38">
        <f t="shared" si="5"/>
        <v>0</v>
      </c>
      <c r="X34" s="38">
        <f t="shared" si="6"/>
        <v>7</v>
      </c>
      <c r="Y34" s="33">
        <v>1</v>
      </c>
      <c r="Z34" s="218">
        <f t="shared" si="7"/>
        <v>7</v>
      </c>
      <c r="AA34" s="33">
        <f t="shared" si="8"/>
        <v>0.7</v>
      </c>
      <c r="AB34" s="38">
        <f t="shared" si="9"/>
        <v>44</v>
      </c>
      <c r="AC34" s="33">
        <f t="shared" si="10"/>
        <v>0.95</v>
      </c>
      <c r="AD34" s="218">
        <f t="shared" si="18"/>
        <v>37</v>
      </c>
      <c r="AE34" s="33">
        <f t="shared" si="11"/>
        <v>0.95</v>
      </c>
      <c r="AF34" s="218">
        <f t="shared" si="12"/>
        <v>35</v>
      </c>
      <c r="AG34" s="38">
        <v>14</v>
      </c>
      <c r="AH34" s="38">
        <v>56</v>
      </c>
      <c r="AI34" s="33">
        <f t="shared" si="13"/>
        <v>0.95</v>
      </c>
      <c r="AJ34" s="33">
        <v>0.13</v>
      </c>
      <c r="AK34" s="218">
        <f t="shared" si="14"/>
        <v>7</v>
      </c>
      <c r="AL34" s="218">
        <f t="shared" si="15"/>
        <v>47</v>
      </c>
      <c r="AM34" s="33">
        <v>0</v>
      </c>
      <c r="AN34" s="218">
        <f t="shared" si="17"/>
        <v>0</v>
      </c>
      <c r="AO34" s="38"/>
      <c r="AP34" s="218">
        <v>136</v>
      </c>
    </row>
    <row r="35" spans="1:42" x14ac:dyDescent="0.2">
      <c r="A35" t="str">
        <f>INDEX(Prioritization!$D:$D,MATCH($B35,Prioritization!$A:$A,0))</f>
        <v>INVALID</v>
      </c>
      <c r="B35" t="s">
        <v>316</v>
      </c>
      <c r="C35" t="s">
        <v>580</v>
      </c>
      <c r="D35" t="str">
        <f t="shared" si="0"/>
        <v>Chiradzulu District [oiPR2CiVJbf]|FSW</v>
      </c>
      <c r="E35" s="218">
        <v>826</v>
      </c>
      <c r="F35" s="218">
        <v>412</v>
      </c>
      <c r="G35" s="218"/>
      <c r="H35" s="38">
        <v>40</v>
      </c>
      <c r="I35" s="218">
        <v>64</v>
      </c>
      <c r="J35" s="38">
        <v>217</v>
      </c>
      <c r="K35" s="218">
        <v>159</v>
      </c>
      <c r="L35" s="38">
        <v>785</v>
      </c>
      <c r="M35" s="218">
        <v>1100</v>
      </c>
      <c r="N35" s="38">
        <v>150</v>
      </c>
      <c r="O35" s="38">
        <v>181</v>
      </c>
      <c r="P35" s="38">
        <v>165</v>
      </c>
      <c r="Q35" s="237">
        <v>165</v>
      </c>
      <c r="R35" s="229">
        <v>165</v>
      </c>
      <c r="S35" s="33">
        <f t="shared" si="3"/>
        <v>0.40048543689320387</v>
      </c>
      <c r="T35" s="38">
        <v>57</v>
      </c>
      <c r="U35" s="33">
        <v>0.85</v>
      </c>
      <c r="V35" s="33">
        <v>0.85</v>
      </c>
      <c r="W35" s="38">
        <f t="shared" si="5"/>
        <v>0</v>
      </c>
      <c r="X35" s="38">
        <f t="shared" si="6"/>
        <v>29</v>
      </c>
      <c r="Y35" s="33">
        <v>1</v>
      </c>
      <c r="Z35" s="218">
        <f t="shared" si="7"/>
        <v>29</v>
      </c>
      <c r="AA35" s="33">
        <f t="shared" si="8"/>
        <v>0.7</v>
      </c>
      <c r="AB35" s="38">
        <f t="shared" si="9"/>
        <v>185</v>
      </c>
      <c r="AC35" s="33">
        <f t="shared" si="10"/>
        <v>0.95</v>
      </c>
      <c r="AD35" s="218">
        <f t="shared" si="18"/>
        <v>157</v>
      </c>
      <c r="AE35" s="33">
        <f t="shared" si="11"/>
        <v>0.95</v>
      </c>
      <c r="AF35" s="218">
        <f t="shared" si="12"/>
        <v>149</v>
      </c>
      <c r="AG35" s="38">
        <v>60</v>
      </c>
      <c r="AH35" s="38">
        <v>361</v>
      </c>
      <c r="AI35" s="33">
        <f t="shared" si="13"/>
        <v>0.95</v>
      </c>
      <c r="AJ35" s="33">
        <v>0.14000000000000001</v>
      </c>
      <c r="AK35" s="218">
        <f t="shared" si="14"/>
        <v>31</v>
      </c>
      <c r="AL35" s="218">
        <f t="shared" si="15"/>
        <v>190</v>
      </c>
      <c r="AM35" s="33">
        <v>0</v>
      </c>
      <c r="AN35" s="218">
        <f t="shared" si="17"/>
        <v>0</v>
      </c>
      <c r="AO35" s="38">
        <v>753</v>
      </c>
      <c r="AP35" s="218">
        <v>828</v>
      </c>
    </row>
    <row r="36" spans="1:42" x14ac:dyDescent="0.2">
      <c r="A36" t="str">
        <f>INDEX(Prioritization!$D:$D,MATCH($B36,Prioritization!$A:$A,0))</f>
        <v>INVALID</v>
      </c>
      <c r="B36" t="s">
        <v>316</v>
      </c>
      <c r="C36" t="s">
        <v>581</v>
      </c>
      <c r="D36" t="str">
        <f t="shared" si="0"/>
        <v>Chiradzulu District [oiPR2CiVJbf]|MSM</v>
      </c>
      <c r="E36" s="218">
        <v>290</v>
      </c>
      <c r="F36" s="218">
        <v>37</v>
      </c>
      <c r="G36" s="218"/>
      <c r="H36" s="38">
        <v>4</v>
      </c>
      <c r="I36" s="218">
        <v>63</v>
      </c>
      <c r="J36" s="38">
        <v>143</v>
      </c>
      <c r="K36" s="218">
        <v>157</v>
      </c>
      <c r="L36" s="38">
        <v>387</v>
      </c>
      <c r="M36" s="218">
        <v>380</v>
      </c>
      <c r="N36" s="38">
        <v>38</v>
      </c>
      <c r="O36" s="38">
        <v>78</v>
      </c>
      <c r="P36" s="38">
        <v>31</v>
      </c>
      <c r="Q36" s="237">
        <v>38</v>
      </c>
      <c r="R36" s="229">
        <v>31</v>
      </c>
      <c r="S36" s="33">
        <f t="shared" si="3"/>
        <v>0.83783783783783783</v>
      </c>
      <c r="T36" s="38">
        <v>25</v>
      </c>
      <c r="U36" s="33">
        <v>0.7</v>
      </c>
      <c r="V36" s="33">
        <v>0.83</v>
      </c>
      <c r="W36" s="38">
        <f t="shared" si="5"/>
        <v>7</v>
      </c>
      <c r="X36" s="38">
        <f t="shared" si="6"/>
        <v>20</v>
      </c>
      <c r="Y36" s="33">
        <v>1</v>
      </c>
      <c r="Z36" s="218">
        <f t="shared" si="7"/>
        <v>20</v>
      </c>
      <c r="AA36" s="33">
        <f t="shared" si="8"/>
        <v>0.7</v>
      </c>
      <c r="AB36" s="38">
        <f t="shared" si="9"/>
        <v>45</v>
      </c>
      <c r="AC36" s="33">
        <f t="shared" si="10"/>
        <v>0.95</v>
      </c>
      <c r="AD36" s="218">
        <f t="shared" si="18"/>
        <v>36</v>
      </c>
      <c r="AE36" s="33">
        <f t="shared" si="11"/>
        <v>0.95</v>
      </c>
      <c r="AF36" s="218">
        <f t="shared" si="12"/>
        <v>34</v>
      </c>
      <c r="AG36" s="38">
        <v>26</v>
      </c>
      <c r="AH36" s="38">
        <v>239</v>
      </c>
      <c r="AI36" s="33">
        <f t="shared" si="13"/>
        <v>0.95</v>
      </c>
      <c r="AJ36" s="33">
        <v>0.114</v>
      </c>
      <c r="AK36" s="218">
        <f t="shared" si="14"/>
        <v>21</v>
      </c>
      <c r="AL36" s="218">
        <f t="shared" si="15"/>
        <v>163</v>
      </c>
      <c r="AM36" s="33">
        <v>0</v>
      </c>
      <c r="AN36" s="218">
        <f t="shared" si="17"/>
        <v>0</v>
      </c>
      <c r="AO36" s="38">
        <v>20</v>
      </c>
      <c r="AP36" s="218">
        <v>506</v>
      </c>
    </row>
    <row r="37" spans="1:42" x14ac:dyDescent="0.2">
      <c r="A37" t="str">
        <f>INDEX(Prioritization!$D:$D,MATCH($B37,Prioritization!$A:$A,0))</f>
        <v>INVALID</v>
      </c>
      <c r="B37" t="s">
        <v>316</v>
      </c>
      <c r="C37" t="s">
        <v>582</v>
      </c>
      <c r="D37" t="str">
        <f t="shared" si="0"/>
        <v>Chiradzulu District [oiPR2CiVJbf]|People in prisons and other enclosed settings</v>
      </c>
      <c r="E37" s="218"/>
      <c r="F37" s="218"/>
      <c r="G37" s="218"/>
      <c r="H37" s="38"/>
      <c r="I37" s="218"/>
      <c r="J37" s="38"/>
      <c r="K37" s="218"/>
      <c r="L37" s="38"/>
      <c r="M37" s="218"/>
      <c r="N37" s="38"/>
      <c r="O37" s="38"/>
      <c r="P37" s="38">
        <v>0</v>
      </c>
      <c r="Q37" s="237">
        <v>0</v>
      </c>
      <c r="R37" s="229">
        <v>0</v>
      </c>
      <c r="S37" s="33" t="str">
        <f t="shared" si="3"/>
        <v/>
      </c>
      <c r="T37" s="38"/>
      <c r="U37" s="33">
        <v>0.85</v>
      </c>
      <c r="V37" s="33">
        <v>0.85</v>
      </c>
      <c r="W37" s="38" t="str">
        <f t="shared" si="5"/>
        <v/>
      </c>
      <c r="X37" s="38" t="str">
        <f t="shared" si="6"/>
        <v/>
      </c>
      <c r="Y37" s="33">
        <v>1</v>
      </c>
      <c r="Z37" s="218" t="str">
        <f t="shared" si="7"/>
        <v/>
      </c>
      <c r="AA37" s="33">
        <f t="shared" si="8"/>
        <v>0.7</v>
      </c>
      <c r="AB37" s="38" t="str">
        <f t="shared" si="9"/>
        <v/>
      </c>
      <c r="AC37" s="33">
        <f t="shared" si="10"/>
        <v>0.95</v>
      </c>
      <c r="AD37" s="218" t="str">
        <f t="shared" si="18"/>
        <v/>
      </c>
      <c r="AE37" s="33">
        <f t="shared" si="11"/>
        <v>0.95</v>
      </c>
      <c r="AF37" s="218" t="str">
        <f t="shared" si="12"/>
        <v/>
      </c>
      <c r="AG37" s="38"/>
      <c r="AH37" s="38"/>
      <c r="AI37" s="33">
        <f t="shared" si="13"/>
        <v>0.95</v>
      </c>
      <c r="AJ37" s="33"/>
      <c r="AK37" s="218" t="str">
        <f t="shared" si="14"/>
        <v/>
      </c>
      <c r="AL37" s="218" t="str">
        <f t="shared" si="15"/>
        <v/>
      </c>
      <c r="AM37" s="33">
        <f t="shared" si="16"/>
        <v>0.95</v>
      </c>
      <c r="AN37" s="218" t="str">
        <f t="shared" si="17"/>
        <v/>
      </c>
      <c r="AO37" s="38"/>
      <c r="AP37" s="218"/>
    </row>
    <row r="38" spans="1:42" x14ac:dyDescent="0.2">
      <c r="A38" t="str">
        <f>INDEX(Prioritization!$D:$D,MATCH($B38,Prioritization!$A:$A,0))</f>
        <v>INVALID</v>
      </c>
      <c r="B38" t="s">
        <v>316</v>
      </c>
      <c r="C38" t="s">
        <v>583</v>
      </c>
      <c r="D38" t="str">
        <f t="shared" si="0"/>
        <v>Chiradzulu District [oiPR2CiVJbf]|PWID</v>
      </c>
      <c r="E38" s="218"/>
      <c r="F38" s="218"/>
      <c r="G38" s="218"/>
      <c r="H38" s="38"/>
      <c r="I38" s="218"/>
      <c r="J38" s="38"/>
      <c r="K38" s="218"/>
      <c r="L38" s="38"/>
      <c r="M38" s="218"/>
      <c r="N38" s="38"/>
      <c r="O38" s="38"/>
      <c r="P38" s="38">
        <v>0</v>
      </c>
      <c r="Q38" s="237">
        <v>0</v>
      </c>
      <c r="R38" s="229">
        <v>0</v>
      </c>
      <c r="S38" s="33" t="str">
        <f t="shared" si="3"/>
        <v/>
      </c>
      <c r="T38" s="38"/>
      <c r="U38" s="33">
        <v>0.8</v>
      </c>
      <c r="V38" s="33">
        <v>0.85</v>
      </c>
      <c r="W38" s="38" t="str">
        <f t="shared" si="5"/>
        <v/>
      </c>
      <c r="X38" s="38" t="str">
        <f t="shared" si="6"/>
        <v/>
      </c>
      <c r="Y38" s="33">
        <v>1</v>
      </c>
      <c r="Z38" s="218" t="str">
        <f t="shared" si="7"/>
        <v/>
      </c>
      <c r="AA38" s="33">
        <f t="shared" si="8"/>
        <v>0.7</v>
      </c>
      <c r="AB38" s="38" t="str">
        <f t="shared" si="9"/>
        <v/>
      </c>
      <c r="AC38" s="33">
        <f t="shared" si="10"/>
        <v>0.95</v>
      </c>
      <c r="AD38" s="218" t="str">
        <f t="shared" si="18"/>
        <v/>
      </c>
      <c r="AE38" s="33">
        <f t="shared" si="11"/>
        <v>0.95</v>
      </c>
      <c r="AF38" s="218" t="str">
        <f t="shared" si="12"/>
        <v/>
      </c>
      <c r="AG38" s="38"/>
      <c r="AH38" s="38"/>
      <c r="AI38" s="33">
        <f t="shared" si="13"/>
        <v>0.95</v>
      </c>
      <c r="AJ38" s="33"/>
      <c r="AK38" s="218" t="str">
        <f t="shared" si="14"/>
        <v/>
      </c>
      <c r="AL38" s="218" t="str">
        <f t="shared" si="15"/>
        <v/>
      </c>
      <c r="AM38" s="33">
        <f t="shared" si="16"/>
        <v>0.95</v>
      </c>
      <c r="AN38" s="218" t="str">
        <f t="shared" si="17"/>
        <v/>
      </c>
      <c r="AO38" s="38"/>
      <c r="AP38" s="218"/>
    </row>
    <row r="39" spans="1:42" x14ac:dyDescent="0.2">
      <c r="A39" t="str">
        <f>INDEX(Prioritization!$D:$D,MATCH($B39,Prioritization!$A:$A,0))</f>
        <v>INVALID</v>
      </c>
      <c r="B39" t="s">
        <v>316</v>
      </c>
      <c r="C39" t="s">
        <v>584</v>
      </c>
      <c r="D39" t="str">
        <f t="shared" si="0"/>
        <v>Chiradzulu District [oiPR2CiVJbf]|TG</v>
      </c>
      <c r="E39" s="218">
        <v>35</v>
      </c>
      <c r="F39" s="218">
        <v>14</v>
      </c>
      <c r="G39" s="218"/>
      <c r="H39" s="38">
        <v>2</v>
      </c>
      <c r="I39" s="218">
        <v>5</v>
      </c>
      <c r="J39" s="38">
        <v>10</v>
      </c>
      <c r="K39" s="218">
        <v>13</v>
      </c>
      <c r="L39" s="38">
        <v>33</v>
      </c>
      <c r="M39" s="218">
        <v>88</v>
      </c>
      <c r="N39" s="38">
        <v>5</v>
      </c>
      <c r="O39" s="38">
        <v>54</v>
      </c>
      <c r="P39" s="38">
        <v>10</v>
      </c>
      <c r="Q39" s="237">
        <v>12</v>
      </c>
      <c r="R39" s="229">
        <v>12</v>
      </c>
      <c r="S39" s="33">
        <f t="shared" si="3"/>
        <v>0.8571428571428571</v>
      </c>
      <c r="T39" s="38">
        <v>4</v>
      </c>
      <c r="U39" s="33">
        <v>0.85</v>
      </c>
      <c r="V39" s="33">
        <v>0.85</v>
      </c>
      <c r="W39" s="38">
        <f t="shared" si="5"/>
        <v>2</v>
      </c>
      <c r="X39" s="38">
        <f t="shared" si="6"/>
        <v>4</v>
      </c>
      <c r="Y39" s="33">
        <v>1</v>
      </c>
      <c r="Z39" s="218">
        <f t="shared" si="7"/>
        <v>4</v>
      </c>
      <c r="AA39" s="33">
        <f t="shared" si="8"/>
        <v>0.7</v>
      </c>
      <c r="AB39" s="38">
        <f t="shared" si="9"/>
        <v>13</v>
      </c>
      <c r="AC39" s="33">
        <f t="shared" si="10"/>
        <v>0.95</v>
      </c>
      <c r="AD39" s="218">
        <f t="shared" si="18"/>
        <v>11</v>
      </c>
      <c r="AE39" s="33">
        <f t="shared" si="11"/>
        <v>0.95</v>
      </c>
      <c r="AF39" s="218">
        <f t="shared" si="12"/>
        <v>10</v>
      </c>
      <c r="AG39" s="38">
        <v>4</v>
      </c>
      <c r="AH39" s="38">
        <v>16</v>
      </c>
      <c r="AI39" s="33">
        <f t="shared" si="13"/>
        <v>0.95</v>
      </c>
      <c r="AJ39" s="33">
        <v>0.13</v>
      </c>
      <c r="AK39" s="218">
        <f t="shared" si="14"/>
        <v>4</v>
      </c>
      <c r="AL39" s="218">
        <f t="shared" si="15"/>
        <v>27</v>
      </c>
      <c r="AM39" s="33">
        <v>0</v>
      </c>
      <c r="AN39" s="218">
        <f t="shared" si="17"/>
        <v>0</v>
      </c>
      <c r="AO39" s="38">
        <v>9</v>
      </c>
      <c r="AP39" s="218">
        <v>42</v>
      </c>
    </row>
    <row r="40" spans="1:42" x14ac:dyDescent="0.2">
      <c r="A40" t="str">
        <f>INDEX(Prioritization!$D:$D,MATCH($B40,Prioritization!$A:$A,0))</f>
        <v>4 - Sustained</v>
      </c>
      <c r="B40" t="s">
        <v>307</v>
      </c>
      <c r="C40" t="s">
        <v>580</v>
      </c>
      <c r="D40" t="str">
        <f t="shared" si="0"/>
        <v>Chitipa District [GkIwZrXy1h2]|FSW</v>
      </c>
      <c r="E40" s="218"/>
      <c r="F40" s="218"/>
      <c r="G40" s="218"/>
      <c r="H40" s="38"/>
      <c r="I40" s="218"/>
      <c r="J40" s="38"/>
      <c r="K40" s="218"/>
      <c r="L40" s="38"/>
      <c r="M40" s="218"/>
      <c r="N40" s="38"/>
      <c r="O40" s="38"/>
      <c r="P40" s="38">
        <v>0</v>
      </c>
      <c r="Q40" s="237">
        <v>0</v>
      </c>
      <c r="R40" s="229">
        <v>0</v>
      </c>
      <c r="S40" s="33" t="str">
        <f t="shared" si="3"/>
        <v/>
      </c>
      <c r="T40" s="38"/>
      <c r="U40" s="33">
        <v>0.85</v>
      </c>
      <c r="V40" s="33">
        <v>0.85</v>
      </c>
      <c r="W40" s="38" t="str">
        <f t="shared" si="5"/>
        <v/>
      </c>
      <c r="X40" s="38" t="str">
        <f t="shared" si="6"/>
        <v/>
      </c>
      <c r="Y40" s="33">
        <v>1</v>
      </c>
      <c r="Z40" s="218" t="str">
        <f t="shared" si="7"/>
        <v/>
      </c>
      <c r="AA40" s="33">
        <f t="shared" si="8"/>
        <v>0.7</v>
      </c>
      <c r="AB40" s="38" t="str">
        <f t="shared" si="9"/>
        <v/>
      </c>
      <c r="AC40" s="33">
        <f t="shared" si="10"/>
        <v>0.95</v>
      </c>
      <c r="AD40" s="218" t="str">
        <f t="shared" si="18"/>
        <v/>
      </c>
      <c r="AE40" s="33">
        <f t="shared" si="11"/>
        <v>0.95</v>
      </c>
      <c r="AF40" s="218" t="str">
        <f t="shared" si="12"/>
        <v/>
      </c>
      <c r="AG40" s="38"/>
      <c r="AH40" s="38"/>
      <c r="AI40" s="33">
        <f t="shared" si="13"/>
        <v>0.95</v>
      </c>
      <c r="AJ40" s="33"/>
      <c r="AK40" s="218" t="str">
        <f t="shared" si="14"/>
        <v/>
      </c>
      <c r="AL40" s="218" t="str">
        <f t="shared" si="15"/>
        <v/>
      </c>
      <c r="AM40" s="33">
        <f t="shared" si="16"/>
        <v>0.95</v>
      </c>
      <c r="AN40" s="218" t="str">
        <f t="shared" si="17"/>
        <v/>
      </c>
      <c r="AO40" s="38"/>
      <c r="AP40" s="218"/>
    </row>
    <row r="41" spans="1:42" x14ac:dyDescent="0.2">
      <c r="A41" t="str">
        <f>INDEX(Prioritization!$D:$D,MATCH($B41,Prioritization!$A:$A,0))</f>
        <v>4 - Sustained</v>
      </c>
      <c r="B41" t="s">
        <v>307</v>
      </c>
      <c r="C41" t="s">
        <v>581</v>
      </c>
      <c r="D41" t="str">
        <f t="shared" si="0"/>
        <v>Chitipa District [GkIwZrXy1h2]|MSM</v>
      </c>
      <c r="E41" s="218"/>
      <c r="F41" s="218"/>
      <c r="G41" s="218"/>
      <c r="H41" s="38"/>
      <c r="I41" s="218"/>
      <c r="J41" s="38"/>
      <c r="K41" s="218"/>
      <c r="L41" s="38"/>
      <c r="M41" s="218"/>
      <c r="N41" s="38"/>
      <c r="O41" s="38"/>
      <c r="P41" s="38">
        <v>0</v>
      </c>
      <c r="Q41" s="237">
        <v>0</v>
      </c>
      <c r="R41" s="229">
        <v>0</v>
      </c>
      <c r="S41" s="33" t="str">
        <f t="shared" si="3"/>
        <v/>
      </c>
      <c r="T41" s="38"/>
      <c r="U41" s="33">
        <v>0.7</v>
      </c>
      <c r="V41" s="33">
        <v>0.83</v>
      </c>
      <c r="W41" s="38" t="str">
        <f t="shared" si="5"/>
        <v/>
      </c>
      <c r="X41" s="38" t="str">
        <f t="shared" si="6"/>
        <v/>
      </c>
      <c r="Y41" s="33">
        <v>1</v>
      </c>
      <c r="Z41" s="218" t="str">
        <f t="shared" si="7"/>
        <v/>
      </c>
      <c r="AA41" s="33">
        <f t="shared" si="8"/>
        <v>0.7</v>
      </c>
      <c r="AB41" s="38" t="str">
        <f t="shared" si="9"/>
        <v/>
      </c>
      <c r="AC41" s="33">
        <f t="shared" si="10"/>
        <v>0.95</v>
      </c>
      <c r="AD41" s="218" t="str">
        <f t="shared" si="18"/>
        <v/>
      </c>
      <c r="AE41" s="33">
        <f t="shared" si="11"/>
        <v>0.95</v>
      </c>
      <c r="AF41" s="218" t="str">
        <f t="shared" si="12"/>
        <v/>
      </c>
      <c r="AG41" s="38"/>
      <c r="AH41" s="38"/>
      <c r="AI41" s="33">
        <f t="shared" si="13"/>
        <v>0.95</v>
      </c>
      <c r="AJ41" s="33"/>
      <c r="AK41" s="218" t="str">
        <f t="shared" si="14"/>
        <v/>
      </c>
      <c r="AL41" s="218" t="str">
        <f t="shared" si="15"/>
        <v/>
      </c>
      <c r="AM41" s="33">
        <f t="shared" si="16"/>
        <v>0.95</v>
      </c>
      <c r="AN41" s="218" t="str">
        <f t="shared" si="17"/>
        <v/>
      </c>
      <c r="AO41" s="38"/>
      <c r="AP41" s="218"/>
    </row>
    <row r="42" spans="1:42" x14ac:dyDescent="0.2">
      <c r="A42" t="str">
        <f>INDEX(Prioritization!$D:$D,MATCH($B42,Prioritization!$A:$A,0))</f>
        <v>4 - Sustained</v>
      </c>
      <c r="B42" t="s">
        <v>307</v>
      </c>
      <c r="C42" t="s">
        <v>582</v>
      </c>
      <c r="D42" t="str">
        <f t="shared" si="0"/>
        <v>Chitipa District [GkIwZrXy1h2]|People in prisons and other enclosed settings</v>
      </c>
      <c r="E42" s="218"/>
      <c r="F42" s="218"/>
      <c r="G42" s="218"/>
      <c r="H42" s="38"/>
      <c r="I42" s="218"/>
      <c r="J42" s="38"/>
      <c r="K42" s="218"/>
      <c r="L42" s="38"/>
      <c r="M42" s="218"/>
      <c r="N42" s="38"/>
      <c r="O42" s="38"/>
      <c r="P42" s="38">
        <v>0</v>
      </c>
      <c r="Q42" s="237">
        <v>0</v>
      </c>
      <c r="R42" s="229">
        <v>0</v>
      </c>
      <c r="S42" s="33" t="str">
        <f t="shared" si="3"/>
        <v/>
      </c>
      <c r="T42" s="38"/>
      <c r="U42" s="33">
        <v>0.85</v>
      </c>
      <c r="V42" s="33">
        <v>0.85</v>
      </c>
      <c r="W42" s="38" t="str">
        <f t="shared" si="5"/>
        <v/>
      </c>
      <c r="X42" s="38" t="str">
        <f t="shared" si="6"/>
        <v/>
      </c>
      <c r="Y42" s="33">
        <v>1</v>
      </c>
      <c r="Z42" s="218" t="str">
        <f t="shared" si="7"/>
        <v/>
      </c>
      <c r="AA42" s="33">
        <f t="shared" si="8"/>
        <v>0.7</v>
      </c>
      <c r="AB42" s="38" t="str">
        <f t="shared" si="9"/>
        <v/>
      </c>
      <c r="AC42" s="33">
        <f t="shared" si="10"/>
        <v>0.95</v>
      </c>
      <c r="AD42" s="218" t="str">
        <f t="shared" si="18"/>
        <v/>
      </c>
      <c r="AE42" s="33">
        <f t="shared" si="11"/>
        <v>0.95</v>
      </c>
      <c r="AF42" s="218" t="str">
        <f t="shared" si="12"/>
        <v/>
      </c>
      <c r="AG42" s="38"/>
      <c r="AH42" s="38"/>
      <c r="AI42" s="33">
        <f t="shared" si="13"/>
        <v>0.95</v>
      </c>
      <c r="AJ42" s="33"/>
      <c r="AK42" s="218" t="str">
        <f t="shared" si="14"/>
        <v/>
      </c>
      <c r="AL42" s="218" t="str">
        <f t="shared" si="15"/>
        <v/>
      </c>
      <c r="AM42" s="33">
        <f t="shared" si="16"/>
        <v>0.95</v>
      </c>
      <c r="AN42" s="218" t="str">
        <f t="shared" si="17"/>
        <v/>
      </c>
      <c r="AO42" s="38"/>
      <c r="AP42" s="218"/>
    </row>
    <row r="43" spans="1:42" x14ac:dyDescent="0.2">
      <c r="A43" t="str">
        <f>INDEX(Prioritization!$D:$D,MATCH($B43,Prioritization!$A:$A,0))</f>
        <v>4 - Sustained</v>
      </c>
      <c r="B43" t="s">
        <v>307</v>
      </c>
      <c r="C43" t="s">
        <v>583</v>
      </c>
      <c r="D43" t="str">
        <f t="shared" si="0"/>
        <v>Chitipa District [GkIwZrXy1h2]|PWID</v>
      </c>
      <c r="E43" s="218"/>
      <c r="F43" s="218"/>
      <c r="G43" s="218"/>
      <c r="H43" s="38"/>
      <c r="I43" s="218"/>
      <c r="J43" s="38"/>
      <c r="K43" s="218"/>
      <c r="L43" s="38"/>
      <c r="M43" s="218"/>
      <c r="N43" s="38"/>
      <c r="O43" s="38"/>
      <c r="P43" s="38">
        <v>0</v>
      </c>
      <c r="Q43" s="237">
        <v>0</v>
      </c>
      <c r="R43" s="229">
        <v>0</v>
      </c>
      <c r="S43" s="33" t="str">
        <f t="shared" si="3"/>
        <v/>
      </c>
      <c r="T43" s="38"/>
      <c r="U43" s="33">
        <v>0.8</v>
      </c>
      <c r="V43" s="33">
        <v>0.85</v>
      </c>
      <c r="W43" s="38" t="str">
        <f t="shared" si="5"/>
        <v/>
      </c>
      <c r="X43" s="38" t="str">
        <f t="shared" si="6"/>
        <v/>
      </c>
      <c r="Y43" s="33">
        <v>1</v>
      </c>
      <c r="Z43" s="218" t="str">
        <f t="shared" si="7"/>
        <v/>
      </c>
      <c r="AA43" s="33">
        <f t="shared" si="8"/>
        <v>0.7</v>
      </c>
      <c r="AB43" s="38" t="str">
        <f t="shared" si="9"/>
        <v/>
      </c>
      <c r="AC43" s="33">
        <f t="shared" si="10"/>
        <v>0.95</v>
      </c>
      <c r="AD43" s="218" t="str">
        <f t="shared" si="18"/>
        <v/>
      </c>
      <c r="AE43" s="33">
        <f t="shared" si="11"/>
        <v>0.95</v>
      </c>
      <c r="AF43" s="218" t="str">
        <f t="shared" si="12"/>
        <v/>
      </c>
      <c r="AG43" s="38"/>
      <c r="AH43" s="38"/>
      <c r="AI43" s="33">
        <f t="shared" si="13"/>
        <v>0.95</v>
      </c>
      <c r="AJ43" s="33"/>
      <c r="AK43" s="218" t="str">
        <f t="shared" si="14"/>
        <v/>
      </c>
      <c r="AL43" s="218" t="str">
        <f t="shared" si="15"/>
        <v/>
      </c>
      <c r="AM43" s="33">
        <f t="shared" si="16"/>
        <v>0.95</v>
      </c>
      <c r="AN43" s="218" t="str">
        <f t="shared" si="17"/>
        <v/>
      </c>
      <c r="AO43" s="38"/>
      <c r="AP43" s="218"/>
    </row>
    <row r="44" spans="1:42" x14ac:dyDescent="0.2">
      <c r="A44" t="str">
        <f>INDEX(Prioritization!$D:$D,MATCH($B44,Prioritization!$A:$A,0))</f>
        <v>4 - Sustained</v>
      </c>
      <c r="B44" t="s">
        <v>307</v>
      </c>
      <c r="C44" t="s">
        <v>584</v>
      </c>
      <c r="D44" t="str">
        <f t="shared" si="0"/>
        <v>Chitipa District [GkIwZrXy1h2]|TG</v>
      </c>
      <c r="E44" s="218"/>
      <c r="F44" s="218"/>
      <c r="G44" s="218"/>
      <c r="H44" s="38"/>
      <c r="I44" s="218"/>
      <c r="J44" s="38"/>
      <c r="K44" s="218"/>
      <c r="L44" s="38"/>
      <c r="M44" s="218"/>
      <c r="N44" s="38"/>
      <c r="O44" s="38"/>
      <c r="P44" s="38">
        <v>0</v>
      </c>
      <c r="Q44" s="237">
        <v>0</v>
      </c>
      <c r="R44" s="229">
        <v>0</v>
      </c>
      <c r="S44" s="33" t="str">
        <f t="shared" si="3"/>
        <v/>
      </c>
      <c r="T44" s="38"/>
      <c r="U44" s="33">
        <v>0.85</v>
      </c>
      <c r="V44" s="33">
        <v>0.85</v>
      </c>
      <c r="W44" s="38" t="str">
        <f t="shared" si="5"/>
        <v/>
      </c>
      <c r="X44" s="38" t="str">
        <f t="shared" si="6"/>
        <v/>
      </c>
      <c r="Y44" s="33">
        <v>1</v>
      </c>
      <c r="Z44" s="218" t="str">
        <f t="shared" si="7"/>
        <v/>
      </c>
      <c r="AA44" s="33">
        <f t="shared" si="8"/>
        <v>0.7</v>
      </c>
      <c r="AB44" s="38" t="str">
        <f t="shared" si="9"/>
        <v/>
      </c>
      <c r="AC44" s="33">
        <f t="shared" si="10"/>
        <v>0.95</v>
      </c>
      <c r="AD44" s="218" t="str">
        <f t="shared" si="18"/>
        <v/>
      </c>
      <c r="AE44" s="33">
        <f t="shared" si="11"/>
        <v>0.95</v>
      </c>
      <c r="AF44" s="218" t="str">
        <f t="shared" si="12"/>
        <v/>
      </c>
      <c r="AG44" s="38"/>
      <c r="AH44" s="38"/>
      <c r="AI44" s="33">
        <f t="shared" si="13"/>
        <v>0.95</v>
      </c>
      <c r="AJ44" s="33"/>
      <c r="AK44" s="218" t="str">
        <f t="shared" si="14"/>
        <v/>
      </c>
      <c r="AL44" s="218" t="str">
        <f t="shared" si="15"/>
        <v/>
      </c>
      <c r="AM44" s="33">
        <f t="shared" si="16"/>
        <v>0.95</v>
      </c>
      <c r="AN44" s="218" t="str">
        <f t="shared" si="17"/>
        <v/>
      </c>
      <c r="AO44" s="38"/>
      <c r="AP44" s="218"/>
    </row>
    <row r="45" spans="1:42" x14ac:dyDescent="0.2">
      <c r="A45" s="85" t="str">
        <f>INDEX(Prioritization!$D:$D,MATCH($B45,Prioritization!$A:$A,0))</f>
        <v>4 - Sustained</v>
      </c>
      <c r="B45" s="10" t="s">
        <v>298</v>
      </c>
      <c r="C45" s="10" t="s">
        <v>580</v>
      </c>
      <c r="D45" s="10" t="str">
        <f t="shared" si="0"/>
        <v>Dedza District [PekKUkKHAzY]|FSW</v>
      </c>
      <c r="E45" s="218"/>
      <c r="F45" s="218"/>
      <c r="G45" s="2"/>
      <c r="H45" s="38"/>
      <c r="I45" s="218"/>
      <c r="J45" s="38"/>
      <c r="K45" s="218"/>
      <c r="L45" s="2"/>
      <c r="M45" s="2"/>
      <c r="N45" s="38"/>
      <c r="O45" s="38"/>
      <c r="P45" s="38">
        <v>0</v>
      </c>
      <c r="Q45" s="2">
        <v>0</v>
      </c>
      <c r="R45" s="229">
        <v>0</v>
      </c>
      <c r="S45" s="33" t="str">
        <f t="shared" si="3"/>
        <v/>
      </c>
      <c r="T45" s="38"/>
      <c r="U45" s="33">
        <v>0.85</v>
      </c>
      <c r="V45" s="33">
        <v>0.85</v>
      </c>
      <c r="W45" s="29" t="str">
        <f t="shared" si="5"/>
        <v/>
      </c>
      <c r="X45" s="29" t="str">
        <f t="shared" si="6"/>
        <v/>
      </c>
      <c r="Y45" s="33">
        <v>1</v>
      </c>
      <c r="Z45" s="2" t="str">
        <f t="shared" si="7"/>
        <v/>
      </c>
      <c r="AA45" s="40">
        <f t="shared" si="8"/>
        <v>0.7</v>
      </c>
      <c r="AB45" s="85" t="str">
        <f t="shared" si="9"/>
        <v/>
      </c>
      <c r="AC45" s="40">
        <f t="shared" si="10"/>
        <v>0.95</v>
      </c>
      <c r="AD45" s="218" t="str">
        <f t="shared" si="18"/>
        <v/>
      </c>
      <c r="AE45" s="40">
        <f t="shared" si="11"/>
        <v>0.95</v>
      </c>
      <c r="AF45" s="2" t="str">
        <f t="shared" si="12"/>
        <v/>
      </c>
      <c r="AG45" s="38"/>
      <c r="AH45" s="38"/>
      <c r="AI45" s="33">
        <f t="shared" si="13"/>
        <v>0.95</v>
      </c>
      <c r="AJ45" s="33"/>
      <c r="AK45" s="2" t="str">
        <f t="shared" si="14"/>
        <v/>
      </c>
      <c r="AL45" s="2" t="str">
        <f t="shared" si="15"/>
        <v/>
      </c>
      <c r="AM45" s="33">
        <v>0</v>
      </c>
      <c r="AN45" s="2" t="str">
        <f t="shared" si="17"/>
        <v/>
      </c>
      <c r="AO45" s="38"/>
      <c r="AP45" s="218"/>
    </row>
    <row r="46" spans="1:42" x14ac:dyDescent="0.2">
      <c r="A46" t="str">
        <f>INDEX(Prioritization!$D:$D,MATCH($B46,Prioritization!$A:$A,0))</f>
        <v>4 - Sustained</v>
      </c>
      <c r="B46" t="s">
        <v>298</v>
      </c>
      <c r="C46" t="s">
        <v>581</v>
      </c>
      <c r="D46" t="str">
        <f t="shared" si="0"/>
        <v>Dedza District [PekKUkKHAzY]|MSM</v>
      </c>
      <c r="E46" s="218"/>
      <c r="F46" s="218"/>
      <c r="G46" s="218"/>
      <c r="H46" s="38"/>
      <c r="I46" s="218"/>
      <c r="J46" s="38"/>
      <c r="K46" s="218"/>
      <c r="L46" s="38"/>
      <c r="M46" s="218"/>
      <c r="N46" s="38"/>
      <c r="O46" s="38"/>
      <c r="P46" s="38">
        <v>0</v>
      </c>
      <c r="Q46" s="237">
        <v>0</v>
      </c>
      <c r="R46" s="229">
        <v>0</v>
      </c>
      <c r="S46" s="33" t="str">
        <f t="shared" si="3"/>
        <v/>
      </c>
      <c r="T46" s="38"/>
      <c r="U46" s="33">
        <v>0.7</v>
      </c>
      <c r="V46" s="33">
        <v>0.83</v>
      </c>
      <c r="W46" s="38" t="str">
        <f t="shared" si="5"/>
        <v/>
      </c>
      <c r="X46" s="38" t="str">
        <f t="shared" si="6"/>
        <v/>
      </c>
      <c r="Y46" s="33">
        <v>1</v>
      </c>
      <c r="Z46" s="218" t="str">
        <f t="shared" si="7"/>
        <v/>
      </c>
      <c r="AA46" s="33">
        <f t="shared" si="8"/>
        <v>0.7</v>
      </c>
      <c r="AB46" s="38" t="str">
        <f t="shared" si="9"/>
        <v/>
      </c>
      <c r="AC46" s="33">
        <f t="shared" si="10"/>
        <v>0.95</v>
      </c>
      <c r="AD46" s="218" t="str">
        <f t="shared" si="18"/>
        <v/>
      </c>
      <c r="AE46" s="33">
        <f t="shared" si="11"/>
        <v>0.95</v>
      </c>
      <c r="AF46" s="218" t="str">
        <f t="shared" si="12"/>
        <v/>
      </c>
      <c r="AG46" s="38"/>
      <c r="AH46" s="38"/>
      <c r="AI46" s="33">
        <f t="shared" si="13"/>
        <v>0.95</v>
      </c>
      <c r="AJ46" s="33"/>
      <c r="AK46" s="218" t="str">
        <f t="shared" si="14"/>
        <v/>
      </c>
      <c r="AL46" s="218" t="str">
        <f t="shared" si="15"/>
        <v/>
      </c>
      <c r="AM46" s="33">
        <v>0</v>
      </c>
      <c r="AN46" s="218" t="str">
        <f t="shared" si="17"/>
        <v/>
      </c>
      <c r="AO46" s="38"/>
      <c r="AP46" s="218"/>
    </row>
    <row r="47" spans="1:42" x14ac:dyDescent="0.2">
      <c r="A47" t="str">
        <f>INDEX(Prioritization!$D:$D,MATCH($B47,Prioritization!$A:$A,0))</f>
        <v>4 - Sustained</v>
      </c>
      <c r="B47" t="s">
        <v>298</v>
      </c>
      <c r="C47" t="s">
        <v>582</v>
      </c>
      <c r="D47" t="str">
        <f t="shared" ref="D47:D78" si="19">B47&amp;"|"&amp;C47</f>
        <v>Dedza District [PekKUkKHAzY]|People in prisons and other enclosed settings</v>
      </c>
      <c r="E47" s="218">
        <v>450</v>
      </c>
      <c r="F47" s="218">
        <v>72</v>
      </c>
      <c r="G47" s="218"/>
      <c r="H47" s="38"/>
      <c r="I47" s="218"/>
      <c r="J47" s="38"/>
      <c r="K47" s="218"/>
      <c r="L47" s="38">
        <v>450</v>
      </c>
      <c r="M47" s="218">
        <v>450</v>
      </c>
      <c r="N47" s="38">
        <v>50</v>
      </c>
      <c r="O47" s="38">
        <v>59</v>
      </c>
      <c r="P47" s="38">
        <v>50</v>
      </c>
      <c r="Q47" s="237">
        <v>50</v>
      </c>
      <c r="R47" s="229">
        <v>50</v>
      </c>
      <c r="S47" s="33">
        <f t="shared" ref="S47:S78" si="20">IF(SUM($F47)=0,"",SUM($R47)/$F47)</f>
        <v>0.69444444444444442</v>
      </c>
      <c r="T47" s="38">
        <v>11</v>
      </c>
      <c r="U47" s="33">
        <v>0.85</v>
      </c>
      <c r="V47" s="33">
        <v>0.85</v>
      </c>
      <c r="W47" s="38">
        <f t="shared" ref="W47:W78" si="21">IF(SUM($P47,$Q47)=0,"",SUM($Q47)-SUM($P47))</f>
        <v>0</v>
      </c>
      <c r="X47" s="38">
        <f>IFERROR(1/(1/ROUND((SUM($Q47)-(SUM($P47)*SUM($U47)))/$V47,0)),"")</f>
        <v>9</v>
      </c>
      <c r="Y47" s="33">
        <v>1</v>
      </c>
      <c r="Z47" s="218">
        <f t="shared" ref="Z47:Z78" si="22">IFERROR(1/(1/ROUND(SUM($X47)*SUM($Y47),0)),"")</f>
        <v>9</v>
      </c>
      <c r="AA47" s="33">
        <f t="shared" ref="AA47:AA78" si="23">0.7</f>
        <v>0.7</v>
      </c>
      <c r="AB47" s="38">
        <f t="shared" ref="AB47:AB78" si="24">IFERROR(1/(1/ROUND($P47+(SUM($X47)*$AA47),0)),"")</f>
        <v>56</v>
      </c>
      <c r="AC47" s="33">
        <f t="shared" ref="AC47:AC78" si="25">0.95</f>
        <v>0.95</v>
      </c>
      <c r="AD47" s="218">
        <f t="shared" si="18"/>
        <v>48</v>
      </c>
      <c r="AE47" s="33">
        <f t="shared" ref="AE47:AE78" si="26">0.95</f>
        <v>0.95</v>
      </c>
      <c r="AF47" s="218">
        <f t="shared" ref="AF47:AF78" si="27">IF(SUM($AD47)=0,"",ROUND($AD47*$AE47,0))</f>
        <v>46</v>
      </c>
      <c r="AG47" s="38">
        <v>12</v>
      </c>
      <c r="AH47" s="38">
        <v>388</v>
      </c>
      <c r="AI47" s="33">
        <f t="shared" ref="AI47:AI78" si="28">0.95</f>
        <v>0.95</v>
      </c>
      <c r="AJ47" s="33">
        <v>0.02</v>
      </c>
      <c r="AK47" s="218">
        <f t="shared" ref="AK47:AK78" si="29">IF(SUM($Z47)=0,"",IF(AND(SUM($Z47)&gt;0,$AI47=""),"ENTER LINKAGE RATE",ROUND($Z47/$AI47,0)))</f>
        <v>9</v>
      </c>
      <c r="AL47" s="218">
        <f t="shared" ref="AL47:AL78" si="30">IF(SUM($AK47)=0,"",IF(AND($AK47&gt;0,$AJ47=""),"ENTER YIELD RATE",ROUND($AK47/$AJ47-$AK47,0)))</f>
        <v>441</v>
      </c>
      <c r="AM47" s="33">
        <v>0</v>
      </c>
      <c r="AN47" s="218">
        <f t="shared" ref="AN47:AN78" si="31">IF(SUM($AK47)=0,"",ROUND($AK47*$AM47,0))</f>
        <v>0</v>
      </c>
      <c r="AO47" s="38"/>
      <c r="AP47" s="218"/>
    </row>
    <row r="48" spans="1:42" x14ac:dyDescent="0.2">
      <c r="A48" t="str">
        <f>INDEX(Prioritization!$D:$D,MATCH($B48,Prioritization!$A:$A,0))</f>
        <v>4 - Sustained</v>
      </c>
      <c r="B48" t="s">
        <v>298</v>
      </c>
      <c r="C48" t="s">
        <v>583</v>
      </c>
      <c r="D48" t="str">
        <f t="shared" si="19"/>
        <v>Dedza District [PekKUkKHAzY]|PWID</v>
      </c>
      <c r="E48" s="218"/>
      <c r="F48" s="218"/>
      <c r="G48" s="218"/>
      <c r="H48" s="38"/>
      <c r="I48" s="218"/>
      <c r="J48" s="38"/>
      <c r="K48" s="218"/>
      <c r="L48" s="38"/>
      <c r="M48" s="218"/>
      <c r="N48" s="38"/>
      <c r="O48" s="38"/>
      <c r="P48" s="38">
        <v>0</v>
      </c>
      <c r="Q48" s="237">
        <v>0</v>
      </c>
      <c r="R48" s="229">
        <v>0</v>
      </c>
      <c r="S48" s="33" t="str">
        <f t="shared" si="20"/>
        <v/>
      </c>
      <c r="T48" s="38"/>
      <c r="U48" s="33">
        <v>0.8</v>
      </c>
      <c r="V48" s="33">
        <v>0.85</v>
      </c>
      <c r="W48" s="38" t="str">
        <f t="shared" si="21"/>
        <v/>
      </c>
      <c r="X48" s="38" t="str">
        <f t="shared" ref="X48:X78" si="32">IFERROR(1/(1/ROUND((SUM($Q48)-(SUM($P48)*SUM($U48)))/$V48,0)),"")</f>
        <v/>
      </c>
      <c r="Y48" s="33">
        <v>1</v>
      </c>
      <c r="Z48" s="218" t="str">
        <f t="shared" si="22"/>
        <v/>
      </c>
      <c r="AA48" s="33">
        <f t="shared" si="23"/>
        <v>0.7</v>
      </c>
      <c r="AB48" s="38" t="str">
        <f t="shared" si="24"/>
        <v/>
      </c>
      <c r="AC48" s="33">
        <f t="shared" si="25"/>
        <v>0.95</v>
      </c>
      <c r="AD48" s="218" t="str">
        <f t="shared" si="18"/>
        <v/>
      </c>
      <c r="AE48" s="33">
        <f t="shared" si="26"/>
        <v>0.95</v>
      </c>
      <c r="AF48" s="218" t="str">
        <f t="shared" si="27"/>
        <v/>
      </c>
      <c r="AG48" s="38"/>
      <c r="AH48" s="38"/>
      <c r="AI48" s="33">
        <f t="shared" si="28"/>
        <v>0.95</v>
      </c>
      <c r="AJ48" s="33"/>
      <c r="AK48" s="218" t="str">
        <f t="shared" si="29"/>
        <v/>
      </c>
      <c r="AL48" s="218" t="str">
        <f t="shared" si="30"/>
        <v/>
      </c>
      <c r="AM48" s="33">
        <v>0</v>
      </c>
      <c r="AN48" s="218" t="str">
        <f t="shared" si="31"/>
        <v/>
      </c>
      <c r="AO48" s="38"/>
      <c r="AP48" s="218"/>
    </row>
    <row r="49" spans="1:42" x14ac:dyDescent="0.2">
      <c r="A49" t="str">
        <f>INDEX(Prioritization!$D:$D,MATCH($B49,Prioritization!$A:$A,0))</f>
        <v>4 - Sustained</v>
      </c>
      <c r="B49" t="s">
        <v>298</v>
      </c>
      <c r="C49" t="s">
        <v>584</v>
      </c>
      <c r="D49" t="str">
        <f t="shared" si="19"/>
        <v>Dedza District [PekKUkKHAzY]|TG</v>
      </c>
      <c r="E49" s="218"/>
      <c r="F49" s="218"/>
      <c r="G49" s="218"/>
      <c r="H49" s="38"/>
      <c r="I49" s="218"/>
      <c r="J49" s="38"/>
      <c r="K49" s="218"/>
      <c r="L49" s="38"/>
      <c r="M49" s="218"/>
      <c r="N49" s="38"/>
      <c r="O49" s="38"/>
      <c r="P49" s="38">
        <v>0</v>
      </c>
      <c r="Q49" s="237">
        <v>0</v>
      </c>
      <c r="R49" s="229">
        <v>0</v>
      </c>
      <c r="S49" s="33" t="str">
        <f t="shared" si="20"/>
        <v/>
      </c>
      <c r="T49" s="38"/>
      <c r="U49" s="33">
        <v>0.85</v>
      </c>
      <c r="V49" s="33">
        <v>0.85</v>
      </c>
      <c r="W49" s="38" t="str">
        <f t="shared" si="21"/>
        <v/>
      </c>
      <c r="X49" s="38" t="str">
        <f t="shared" si="32"/>
        <v/>
      </c>
      <c r="Y49" s="33">
        <v>1</v>
      </c>
      <c r="Z49" s="218" t="str">
        <f t="shared" si="22"/>
        <v/>
      </c>
      <c r="AA49" s="33">
        <f t="shared" si="23"/>
        <v>0.7</v>
      </c>
      <c r="AB49" s="38" t="str">
        <f t="shared" si="24"/>
        <v/>
      </c>
      <c r="AC49" s="33">
        <f t="shared" si="25"/>
        <v>0.95</v>
      </c>
      <c r="AD49" s="218" t="str">
        <f t="shared" si="18"/>
        <v/>
      </c>
      <c r="AE49" s="33">
        <f t="shared" si="26"/>
        <v>0.95</v>
      </c>
      <c r="AF49" s="218" t="str">
        <f t="shared" si="27"/>
        <v/>
      </c>
      <c r="AG49" s="38"/>
      <c r="AH49" s="38"/>
      <c r="AI49" s="33">
        <f t="shared" si="28"/>
        <v>0.95</v>
      </c>
      <c r="AJ49" s="33"/>
      <c r="AK49" s="218" t="str">
        <f t="shared" si="29"/>
        <v/>
      </c>
      <c r="AL49" s="218" t="str">
        <f t="shared" si="30"/>
        <v/>
      </c>
      <c r="AM49" s="33">
        <v>0</v>
      </c>
      <c r="AN49" s="218" t="str">
        <f t="shared" si="31"/>
        <v/>
      </c>
      <c r="AO49" s="38"/>
      <c r="AP49" s="218"/>
    </row>
    <row r="50" spans="1:42" x14ac:dyDescent="0.2">
      <c r="A50" t="str">
        <f>INDEX(Prioritization!$D:$D,MATCH($B50,Prioritization!$A:$A,0))</f>
        <v>4 - Sustained</v>
      </c>
      <c r="B50" t="s">
        <v>299</v>
      </c>
      <c r="C50" t="s">
        <v>580</v>
      </c>
      <c r="D50" t="str">
        <f t="shared" si="19"/>
        <v>Dowa District [zphK9WV8JB4]|FSW</v>
      </c>
      <c r="E50" s="218"/>
      <c r="F50" s="218"/>
      <c r="G50" s="218"/>
      <c r="H50" s="38"/>
      <c r="I50" s="218"/>
      <c r="J50" s="38"/>
      <c r="K50" s="218"/>
      <c r="L50" s="38"/>
      <c r="M50" s="218"/>
      <c r="N50" s="38"/>
      <c r="O50" s="38"/>
      <c r="P50" s="38">
        <v>0</v>
      </c>
      <c r="Q50" s="237">
        <v>0</v>
      </c>
      <c r="R50" s="229">
        <v>0</v>
      </c>
      <c r="S50" s="33" t="str">
        <f t="shared" si="20"/>
        <v/>
      </c>
      <c r="T50" s="38"/>
      <c r="U50" s="33">
        <v>0.85</v>
      </c>
      <c r="V50" s="33">
        <v>0.85</v>
      </c>
      <c r="W50" s="38" t="str">
        <f t="shared" si="21"/>
        <v/>
      </c>
      <c r="X50" s="38" t="str">
        <f t="shared" si="32"/>
        <v/>
      </c>
      <c r="Y50" s="33">
        <v>1</v>
      </c>
      <c r="Z50" s="218" t="str">
        <f t="shared" si="22"/>
        <v/>
      </c>
      <c r="AA50" s="33">
        <f t="shared" si="23"/>
        <v>0.7</v>
      </c>
      <c r="AB50" s="38" t="str">
        <f t="shared" si="24"/>
        <v/>
      </c>
      <c r="AC50" s="33">
        <f t="shared" si="25"/>
        <v>0.95</v>
      </c>
      <c r="AD50" s="218" t="str">
        <f t="shared" si="18"/>
        <v/>
      </c>
      <c r="AE50" s="33">
        <f t="shared" si="26"/>
        <v>0.95</v>
      </c>
      <c r="AF50" s="218" t="str">
        <f t="shared" si="27"/>
        <v/>
      </c>
      <c r="AG50" s="38"/>
      <c r="AH50" s="38"/>
      <c r="AI50" s="33">
        <f t="shared" si="28"/>
        <v>0.95</v>
      </c>
      <c r="AJ50" s="33"/>
      <c r="AK50" s="218" t="str">
        <f t="shared" si="29"/>
        <v/>
      </c>
      <c r="AL50" s="218" t="str">
        <f t="shared" si="30"/>
        <v/>
      </c>
      <c r="AM50" s="33">
        <f t="shared" ref="AM50:AM78" si="33">0.95</f>
        <v>0.95</v>
      </c>
      <c r="AN50" s="218" t="str">
        <f t="shared" si="31"/>
        <v/>
      </c>
      <c r="AO50" s="38"/>
      <c r="AP50" s="218"/>
    </row>
    <row r="51" spans="1:42" x14ac:dyDescent="0.2">
      <c r="A51" t="str">
        <f>INDEX(Prioritization!$D:$D,MATCH($B51,Prioritization!$A:$A,0))</f>
        <v>4 - Sustained</v>
      </c>
      <c r="B51" t="s">
        <v>299</v>
      </c>
      <c r="C51" t="s">
        <v>581</v>
      </c>
      <c r="D51" t="str">
        <f t="shared" si="19"/>
        <v>Dowa District [zphK9WV8JB4]|MSM</v>
      </c>
      <c r="E51" s="218"/>
      <c r="F51" s="218"/>
      <c r="G51" s="218"/>
      <c r="H51" s="38"/>
      <c r="I51" s="218"/>
      <c r="J51" s="38"/>
      <c r="K51" s="218"/>
      <c r="L51" s="38"/>
      <c r="M51" s="218"/>
      <c r="N51" s="38"/>
      <c r="O51" s="38"/>
      <c r="P51" s="38">
        <v>0</v>
      </c>
      <c r="Q51" s="237">
        <v>0</v>
      </c>
      <c r="R51" s="229">
        <v>0</v>
      </c>
      <c r="S51" s="33" t="str">
        <f t="shared" si="20"/>
        <v/>
      </c>
      <c r="T51" s="38"/>
      <c r="U51" s="33">
        <v>0.7</v>
      </c>
      <c r="V51" s="33">
        <v>0.83</v>
      </c>
      <c r="W51" s="38" t="str">
        <f t="shared" si="21"/>
        <v/>
      </c>
      <c r="X51" s="38" t="str">
        <f t="shared" si="32"/>
        <v/>
      </c>
      <c r="Y51" s="33">
        <v>1</v>
      </c>
      <c r="Z51" s="218" t="str">
        <f t="shared" si="22"/>
        <v/>
      </c>
      <c r="AA51" s="33">
        <f t="shared" si="23"/>
        <v>0.7</v>
      </c>
      <c r="AB51" s="38" t="str">
        <f t="shared" si="24"/>
        <v/>
      </c>
      <c r="AC51" s="33">
        <f t="shared" si="25"/>
        <v>0.95</v>
      </c>
      <c r="AD51" s="218" t="str">
        <f t="shared" si="18"/>
        <v/>
      </c>
      <c r="AE51" s="33">
        <f t="shared" si="26"/>
        <v>0.95</v>
      </c>
      <c r="AF51" s="218" t="str">
        <f t="shared" si="27"/>
        <v/>
      </c>
      <c r="AG51" s="38"/>
      <c r="AH51" s="38"/>
      <c r="AI51" s="33">
        <f t="shared" si="28"/>
        <v>0.95</v>
      </c>
      <c r="AJ51" s="33"/>
      <c r="AK51" s="218" t="str">
        <f t="shared" si="29"/>
        <v/>
      </c>
      <c r="AL51" s="218" t="str">
        <f t="shared" si="30"/>
        <v/>
      </c>
      <c r="AM51" s="33">
        <f t="shared" si="33"/>
        <v>0.95</v>
      </c>
      <c r="AN51" s="218" t="str">
        <f t="shared" si="31"/>
        <v/>
      </c>
      <c r="AO51" s="38"/>
      <c r="AP51" s="218"/>
    </row>
    <row r="52" spans="1:42" x14ac:dyDescent="0.2">
      <c r="A52" t="str">
        <f>INDEX(Prioritization!$D:$D,MATCH($B52,Prioritization!$A:$A,0))</f>
        <v>4 - Sustained</v>
      </c>
      <c r="B52" t="s">
        <v>299</v>
      </c>
      <c r="C52" t="s">
        <v>582</v>
      </c>
      <c r="D52" t="str">
        <f t="shared" si="19"/>
        <v>Dowa District [zphK9WV8JB4]|People in prisons and other enclosed settings</v>
      </c>
      <c r="E52" s="218"/>
      <c r="F52" s="218"/>
      <c r="G52" s="218"/>
      <c r="H52" s="38"/>
      <c r="I52" s="218"/>
      <c r="J52" s="38"/>
      <c r="K52" s="218"/>
      <c r="L52" s="38"/>
      <c r="M52" s="218"/>
      <c r="N52" s="38"/>
      <c r="O52" s="38"/>
      <c r="P52" s="38">
        <v>0</v>
      </c>
      <c r="Q52" s="237">
        <v>0</v>
      </c>
      <c r="R52" s="229">
        <v>0</v>
      </c>
      <c r="S52" s="33" t="str">
        <f t="shared" si="20"/>
        <v/>
      </c>
      <c r="T52" s="38"/>
      <c r="U52" s="33">
        <v>0.85</v>
      </c>
      <c r="V52" s="33">
        <v>0.85</v>
      </c>
      <c r="W52" s="38" t="str">
        <f t="shared" si="21"/>
        <v/>
      </c>
      <c r="X52" s="38" t="str">
        <f t="shared" si="32"/>
        <v/>
      </c>
      <c r="Y52" s="33">
        <v>1</v>
      </c>
      <c r="Z52" s="218" t="str">
        <f t="shared" si="22"/>
        <v/>
      </c>
      <c r="AA52" s="33">
        <f t="shared" si="23"/>
        <v>0.7</v>
      </c>
      <c r="AB52" s="38" t="str">
        <f t="shared" si="24"/>
        <v/>
      </c>
      <c r="AC52" s="33">
        <f t="shared" si="25"/>
        <v>0.95</v>
      </c>
      <c r="AD52" s="218" t="str">
        <f t="shared" si="18"/>
        <v/>
      </c>
      <c r="AE52" s="33">
        <f t="shared" si="26"/>
        <v>0.95</v>
      </c>
      <c r="AF52" s="218" t="str">
        <f t="shared" si="27"/>
        <v/>
      </c>
      <c r="AG52" s="38"/>
      <c r="AH52" s="38"/>
      <c r="AI52" s="33">
        <f t="shared" si="28"/>
        <v>0.95</v>
      </c>
      <c r="AJ52" s="33"/>
      <c r="AK52" s="218" t="str">
        <f t="shared" si="29"/>
        <v/>
      </c>
      <c r="AL52" s="218" t="str">
        <f t="shared" si="30"/>
        <v/>
      </c>
      <c r="AM52" s="33">
        <f t="shared" si="33"/>
        <v>0.95</v>
      </c>
      <c r="AN52" s="218" t="str">
        <f t="shared" si="31"/>
        <v/>
      </c>
      <c r="AO52" s="38"/>
      <c r="AP52" s="218"/>
    </row>
    <row r="53" spans="1:42" x14ac:dyDescent="0.2">
      <c r="A53" t="str">
        <f>INDEX(Prioritization!$D:$D,MATCH($B53,Prioritization!$A:$A,0))</f>
        <v>4 - Sustained</v>
      </c>
      <c r="B53" t="s">
        <v>299</v>
      </c>
      <c r="C53" t="s">
        <v>583</v>
      </c>
      <c r="D53" t="str">
        <f t="shared" si="19"/>
        <v>Dowa District [zphK9WV8JB4]|PWID</v>
      </c>
      <c r="E53" s="218"/>
      <c r="F53" s="218"/>
      <c r="G53" s="218"/>
      <c r="H53" s="38"/>
      <c r="I53" s="218"/>
      <c r="J53" s="38"/>
      <c r="K53" s="218"/>
      <c r="L53" s="38"/>
      <c r="M53" s="218"/>
      <c r="N53" s="38"/>
      <c r="O53" s="38"/>
      <c r="P53" s="38">
        <v>0</v>
      </c>
      <c r="Q53" s="237">
        <v>0</v>
      </c>
      <c r="R53" s="229">
        <v>0</v>
      </c>
      <c r="S53" s="33" t="str">
        <f t="shared" si="20"/>
        <v/>
      </c>
      <c r="T53" s="38"/>
      <c r="U53" s="33">
        <v>0.8</v>
      </c>
      <c r="V53" s="33">
        <v>0.85</v>
      </c>
      <c r="W53" s="38" t="str">
        <f t="shared" si="21"/>
        <v/>
      </c>
      <c r="X53" s="38" t="str">
        <f t="shared" si="32"/>
        <v/>
      </c>
      <c r="Y53" s="33">
        <v>1</v>
      </c>
      <c r="Z53" s="218" t="str">
        <f t="shared" si="22"/>
        <v/>
      </c>
      <c r="AA53" s="33">
        <f t="shared" si="23"/>
        <v>0.7</v>
      </c>
      <c r="AB53" s="38" t="str">
        <f t="shared" si="24"/>
        <v/>
      </c>
      <c r="AC53" s="33">
        <f t="shared" si="25"/>
        <v>0.95</v>
      </c>
      <c r="AD53" s="218" t="str">
        <f t="shared" si="18"/>
        <v/>
      </c>
      <c r="AE53" s="33">
        <f t="shared" si="26"/>
        <v>0.95</v>
      </c>
      <c r="AF53" s="218" t="str">
        <f t="shared" si="27"/>
        <v/>
      </c>
      <c r="AG53" s="38"/>
      <c r="AH53" s="38"/>
      <c r="AI53" s="33">
        <f t="shared" si="28"/>
        <v>0.95</v>
      </c>
      <c r="AJ53" s="33"/>
      <c r="AK53" s="218" t="str">
        <f t="shared" si="29"/>
        <v/>
      </c>
      <c r="AL53" s="218" t="str">
        <f t="shared" si="30"/>
        <v/>
      </c>
      <c r="AM53" s="33">
        <f t="shared" si="33"/>
        <v>0.95</v>
      </c>
      <c r="AN53" s="218" t="str">
        <f t="shared" si="31"/>
        <v/>
      </c>
      <c r="AO53" s="38"/>
      <c r="AP53" s="218"/>
    </row>
    <row r="54" spans="1:42" x14ac:dyDescent="0.2">
      <c r="A54" t="str">
        <f>INDEX(Prioritization!$D:$D,MATCH($B54,Prioritization!$A:$A,0))</f>
        <v>4 - Sustained</v>
      </c>
      <c r="B54" t="s">
        <v>299</v>
      </c>
      <c r="C54" t="s">
        <v>584</v>
      </c>
      <c r="D54" t="str">
        <f t="shared" si="19"/>
        <v>Dowa District [zphK9WV8JB4]|TG</v>
      </c>
      <c r="E54" s="218"/>
      <c r="F54" s="218"/>
      <c r="G54" s="218"/>
      <c r="H54" s="38"/>
      <c r="I54" s="218"/>
      <c r="J54" s="38"/>
      <c r="K54" s="218"/>
      <c r="L54" s="38"/>
      <c r="M54" s="218"/>
      <c r="N54" s="38"/>
      <c r="O54" s="38"/>
      <c r="P54" s="38">
        <v>0</v>
      </c>
      <c r="Q54" s="237">
        <v>0</v>
      </c>
      <c r="R54" s="229">
        <v>0</v>
      </c>
      <c r="S54" s="33" t="str">
        <f t="shared" si="20"/>
        <v/>
      </c>
      <c r="T54" s="38"/>
      <c r="U54" s="33">
        <v>0.85</v>
      </c>
      <c r="V54" s="33">
        <v>0.85</v>
      </c>
      <c r="W54" s="38" t="str">
        <f t="shared" si="21"/>
        <v/>
      </c>
      <c r="X54" s="38" t="str">
        <f t="shared" si="32"/>
        <v/>
      </c>
      <c r="Y54" s="33">
        <v>1</v>
      </c>
      <c r="Z54" s="218" t="str">
        <f t="shared" si="22"/>
        <v/>
      </c>
      <c r="AA54" s="33">
        <f t="shared" si="23"/>
        <v>0.7</v>
      </c>
      <c r="AB54" s="38" t="str">
        <f t="shared" si="24"/>
        <v/>
      </c>
      <c r="AC54" s="33">
        <f t="shared" si="25"/>
        <v>0.95</v>
      </c>
      <c r="AD54" s="218" t="str">
        <f t="shared" si="18"/>
        <v/>
      </c>
      <c r="AE54" s="33">
        <f t="shared" si="26"/>
        <v>0.95</v>
      </c>
      <c r="AF54" s="218" t="str">
        <f t="shared" si="27"/>
        <v/>
      </c>
      <c r="AG54" s="38"/>
      <c r="AH54" s="38"/>
      <c r="AI54" s="33">
        <f t="shared" si="28"/>
        <v>0.95</v>
      </c>
      <c r="AJ54" s="33"/>
      <c r="AK54" s="218" t="str">
        <f t="shared" si="29"/>
        <v/>
      </c>
      <c r="AL54" s="218" t="str">
        <f t="shared" si="30"/>
        <v/>
      </c>
      <c r="AM54" s="33">
        <f t="shared" si="33"/>
        <v>0.95</v>
      </c>
      <c r="AN54" s="218" t="str">
        <f t="shared" si="31"/>
        <v/>
      </c>
      <c r="AO54" s="38"/>
      <c r="AP54" s="218"/>
    </row>
    <row r="55" spans="1:42" x14ac:dyDescent="0.2">
      <c r="A55" t="str">
        <f>INDEX(Prioritization!$D:$D,MATCH($B55,Prioritization!$A:$A,0))</f>
        <v>INVALID</v>
      </c>
      <c r="B55" t="s">
        <v>308</v>
      </c>
      <c r="C55" t="s">
        <v>580</v>
      </c>
      <c r="D55" t="str">
        <f t="shared" si="19"/>
        <v>Karonga District [cPtvxaZqXIH]|FSW</v>
      </c>
      <c r="E55" s="218"/>
      <c r="F55" s="218"/>
      <c r="G55" s="218"/>
      <c r="H55" s="38"/>
      <c r="I55" s="218"/>
      <c r="J55" s="38"/>
      <c r="K55" s="218"/>
      <c r="L55" s="38"/>
      <c r="M55" s="218"/>
      <c r="N55" s="38"/>
      <c r="O55" s="38"/>
      <c r="P55" s="38">
        <v>0</v>
      </c>
      <c r="Q55" s="237">
        <v>0</v>
      </c>
      <c r="R55" s="229">
        <v>0</v>
      </c>
      <c r="S55" s="33" t="str">
        <f t="shared" si="20"/>
        <v/>
      </c>
      <c r="T55" s="38"/>
      <c r="U55" s="33">
        <v>0.85</v>
      </c>
      <c r="V55" s="33">
        <v>0.85</v>
      </c>
      <c r="W55" s="38" t="str">
        <f t="shared" si="21"/>
        <v/>
      </c>
      <c r="X55" s="38" t="str">
        <f t="shared" si="32"/>
        <v/>
      </c>
      <c r="Y55" s="33">
        <v>1</v>
      </c>
      <c r="Z55" s="218" t="str">
        <f t="shared" si="22"/>
        <v/>
      </c>
      <c r="AA55" s="33">
        <f t="shared" si="23"/>
        <v>0.7</v>
      </c>
      <c r="AB55" s="38" t="str">
        <f t="shared" si="24"/>
        <v/>
      </c>
      <c r="AC55" s="33">
        <f t="shared" si="25"/>
        <v>0.95</v>
      </c>
      <c r="AD55" s="218" t="str">
        <f t="shared" si="18"/>
        <v/>
      </c>
      <c r="AE55" s="33">
        <f t="shared" si="26"/>
        <v>0.95</v>
      </c>
      <c r="AF55" s="218" t="str">
        <f t="shared" si="27"/>
        <v/>
      </c>
      <c r="AG55" s="38"/>
      <c r="AH55" s="38"/>
      <c r="AI55" s="33">
        <f t="shared" si="28"/>
        <v>0.95</v>
      </c>
      <c r="AJ55" s="33"/>
      <c r="AK55" s="218" t="str">
        <f t="shared" si="29"/>
        <v/>
      </c>
      <c r="AL55" s="218" t="str">
        <f t="shared" si="30"/>
        <v/>
      </c>
      <c r="AM55" s="33">
        <f t="shared" si="33"/>
        <v>0.95</v>
      </c>
      <c r="AN55" s="218" t="str">
        <f t="shared" si="31"/>
        <v/>
      </c>
      <c r="AO55" s="38"/>
      <c r="AP55" s="218"/>
    </row>
    <row r="56" spans="1:42" x14ac:dyDescent="0.2">
      <c r="A56" t="str">
        <f>INDEX(Prioritization!$D:$D,MATCH($B56,Prioritization!$A:$A,0))</f>
        <v>INVALID</v>
      </c>
      <c r="B56" t="s">
        <v>308</v>
      </c>
      <c r="C56" t="s">
        <v>581</v>
      </c>
      <c r="D56" t="str">
        <f t="shared" si="19"/>
        <v>Karonga District [cPtvxaZqXIH]|MSM</v>
      </c>
      <c r="E56" s="218"/>
      <c r="F56" s="218"/>
      <c r="G56" s="218"/>
      <c r="H56" s="38"/>
      <c r="I56" s="218"/>
      <c r="J56" s="38"/>
      <c r="K56" s="218"/>
      <c r="L56" s="38"/>
      <c r="M56" s="218"/>
      <c r="N56" s="38"/>
      <c r="O56" s="38"/>
      <c r="P56" s="38">
        <v>0</v>
      </c>
      <c r="Q56" s="237">
        <v>0</v>
      </c>
      <c r="R56" s="229">
        <v>0</v>
      </c>
      <c r="S56" s="33" t="str">
        <f t="shared" si="20"/>
        <v/>
      </c>
      <c r="T56" s="38"/>
      <c r="U56" s="33">
        <v>0.7</v>
      </c>
      <c r="V56" s="33">
        <v>0.83</v>
      </c>
      <c r="W56" s="38" t="str">
        <f t="shared" si="21"/>
        <v/>
      </c>
      <c r="X56" s="38" t="str">
        <f t="shared" si="32"/>
        <v/>
      </c>
      <c r="Y56" s="33">
        <v>1</v>
      </c>
      <c r="Z56" s="218" t="str">
        <f t="shared" si="22"/>
        <v/>
      </c>
      <c r="AA56" s="33">
        <f t="shared" si="23"/>
        <v>0.7</v>
      </c>
      <c r="AB56" s="38" t="str">
        <f t="shared" si="24"/>
        <v/>
      </c>
      <c r="AC56" s="33">
        <f t="shared" si="25"/>
        <v>0.95</v>
      </c>
      <c r="AD56" s="218" t="str">
        <f t="shared" si="18"/>
        <v/>
      </c>
      <c r="AE56" s="33">
        <f t="shared" si="26"/>
        <v>0.95</v>
      </c>
      <c r="AF56" s="218" t="str">
        <f t="shared" si="27"/>
        <v/>
      </c>
      <c r="AG56" s="38"/>
      <c r="AH56" s="38"/>
      <c r="AI56" s="33">
        <f t="shared" si="28"/>
        <v>0.95</v>
      </c>
      <c r="AJ56" s="33"/>
      <c r="AK56" s="218" t="str">
        <f t="shared" si="29"/>
        <v/>
      </c>
      <c r="AL56" s="218" t="str">
        <f t="shared" si="30"/>
        <v/>
      </c>
      <c r="AM56" s="33">
        <f t="shared" si="33"/>
        <v>0.95</v>
      </c>
      <c r="AN56" s="218" t="str">
        <f t="shared" si="31"/>
        <v/>
      </c>
      <c r="AO56" s="38"/>
      <c r="AP56" s="218"/>
    </row>
    <row r="57" spans="1:42" x14ac:dyDescent="0.2">
      <c r="A57" t="str">
        <f>INDEX(Prioritization!$D:$D,MATCH($B57,Prioritization!$A:$A,0))</f>
        <v>INVALID</v>
      </c>
      <c r="B57" t="s">
        <v>308</v>
      </c>
      <c r="C57" t="s">
        <v>582</v>
      </c>
      <c r="D57" t="str">
        <f t="shared" si="19"/>
        <v>Karonga District [cPtvxaZqXIH]|People in prisons and other enclosed settings</v>
      </c>
      <c r="E57" s="218"/>
      <c r="F57" s="218"/>
      <c r="G57" s="218"/>
      <c r="H57" s="38"/>
      <c r="I57" s="218"/>
      <c r="J57" s="38"/>
      <c r="K57" s="218"/>
      <c r="L57" s="38"/>
      <c r="M57" s="218"/>
      <c r="N57" s="38"/>
      <c r="O57" s="38"/>
      <c r="P57" s="38">
        <v>0</v>
      </c>
      <c r="Q57" s="237">
        <v>0</v>
      </c>
      <c r="R57" s="229">
        <v>0</v>
      </c>
      <c r="S57" s="33" t="str">
        <f t="shared" si="20"/>
        <v/>
      </c>
      <c r="T57" s="38"/>
      <c r="U57" s="33">
        <v>0.85</v>
      </c>
      <c r="V57" s="33">
        <v>0.85</v>
      </c>
      <c r="W57" s="38" t="str">
        <f t="shared" si="21"/>
        <v/>
      </c>
      <c r="X57" s="38" t="str">
        <f t="shared" si="32"/>
        <v/>
      </c>
      <c r="Y57" s="33">
        <v>1</v>
      </c>
      <c r="Z57" s="218" t="str">
        <f t="shared" si="22"/>
        <v/>
      </c>
      <c r="AA57" s="33">
        <f t="shared" si="23"/>
        <v>0.7</v>
      </c>
      <c r="AB57" s="38" t="str">
        <f t="shared" si="24"/>
        <v/>
      </c>
      <c r="AC57" s="33">
        <f t="shared" si="25"/>
        <v>0.95</v>
      </c>
      <c r="AD57" s="218" t="str">
        <f t="shared" si="18"/>
        <v/>
      </c>
      <c r="AE57" s="33">
        <f t="shared" si="26"/>
        <v>0.95</v>
      </c>
      <c r="AF57" s="218" t="str">
        <f t="shared" si="27"/>
        <v/>
      </c>
      <c r="AG57" s="38"/>
      <c r="AH57" s="38"/>
      <c r="AI57" s="33">
        <f t="shared" si="28"/>
        <v>0.95</v>
      </c>
      <c r="AJ57" s="33"/>
      <c r="AK57" s="218" t="str">
        <f t="shared" si="29"/>
        <v/>
      </c>
      <c r="AL57" s="218" t="str">
        <f t="shared" si="30"/>
        <v/>
      </c>
      <c r="AM57" s="33">
        <f t="shared" si="33"/>
        <v>0.95</v>
      </c>
      <c r="AN57" s="218" t="str">
        <f t="shared" si="31"/>
        <v/>
      </c>
      <c r="AO57" s="38"/>
      <c r="AP57" s="218"/>
    </row>
    <row r="58" spans="1:42" x14ac:dyDescent="0.2">
      <c r="A58" t="str">
        <f>INDEX(Prioritization!$D:$D,MATCH($B58,Prioritization!$A:$A,0))</f>
        <v>INVALID</v>
      </c>
      <c r="B58" t="s">
        <v>308</v>
      </c>
      <c r="C58" t="s">
        <v>583</v>
      </c>
      <c r="D58" t="str">
        <f t="shared" si="19"/>
        <v>Karonga District [cPtvxaZqXIH]|PWID</v>
      </c>
      <c r="E58" s="218"/>
      <c r="F58" s="218"/>
      <c r="G58" s="218"/>
      <c r="H58" s="38"/>
      <c r="I58" s="218"/>
      <c r="J58" s="38"/>
      <c r="K58" s="218"/>
      <c r="L58" s="38"/>
      <c r="M58" s="218"/>
      <c r="N58" s="38"/>
      <c r="O58" s="38"/>
      <c r="P58" s="38">
        <v>0</v>
      </c>
      <c r="Q58" s="237">
        <v>0</v>
      </c>
      <c r="R58" s="229">
        <v>0</v>
      </c>
      <c r="S58" s="33" t="str">
        <f t="shared" si="20"/>
        <v/>
      </c>
      <c r="T58" s="38"/>
      <c r="U58" s="33">
        <v>0.8</v>
      </c>
      <c r="V58" s="33">
        <v>0.85</v>
      </c>
      <c r="W58" s="38" t="str">
        <f t="shared" si="21"/>
        <v/>
      </c>
      <c r="X58" s="38" t="str">
        <f t="shared" si="32"/>
        <v/>
      </c>
      <c r="Y58" s="33">
        <v>1</v>
      </c>
      <c r="Z58" s="218" t="str">
        <f t="shared" si="22"/>
        <v/>
      </c>
      <c r="AA58" s="33">
        <f t="shared" si="23"/>
        <v>0.7</v>
      </c>
      <c r="AB58" s="38" t="str">
        <f t="shared" si="24"/>
        <v/>
      </c>
      <c r="AC58" s="33">
        <f t="shared" si="25"/>
        <v>0.95</v>
      </c>
      <c r="AD58" s="218" t="str">
        <f t="shared" si="18"/>
        <v/>
      </c>
      <c r="AE58" s="33">
        <f t="shared" si="26"/>
        <v>0.95</v>
      </c>
      <c r="AF58" s="218" t="str">
        <f t="shared" si="27"/>
        <v/>
      </c>
      <c r="AG58" s="38"/>
      <c r="AH58" s="38"/>
      <c r="AI58" s="33">
        <f t="shared" si="28"/>
        <v>0.95</v>
      </c>
      <c r="AJ58" s="33"/>
      <c r="AK58" s="218" t="str">
        <f t="shared" si="29"/>
        <v/>
      </c>
      <c r="AL58" s="218" t="str">
        <f t="shared" si="30"/>
        <v/>
      </c>
      <c r="AM58" s="33">
        <f t="shared" si="33"/>
        <v>0.95</v>
      </c>
      <c r="AN58" s="218" t="str">
        <f t="shared" si="31"/>
        <v/>
      </c>
      <c r="AO58" s="38"/>
      <c r="AP58" s="218"/>
    </row>
    <row r="59" spans="1:42" x14ac:dyDescent="0.2">
      <c r="A59" t="str">
        <f>INDEX(Prioritization!$D:$D,MATCH($B59,Prioritization!$A:$A,0))</f>
        <v>INVALID</v>
      </c>
      <c r="B59" t="s">
        <v>308</v>
      </c>
      <c r="C59" t="s">
        <v>584</v>
      </c>
      <c r="D59" t="str">
        <f t="shared" si="19"/>
        <v>Karonga District [cPtvxaZqXIH]|TG</v>
      </c>
      <c r="E59" s="218"/>
      <c r="F59" s="218"/>
      <c r="G59" s="218"/>
      <c r="H59" s="38"/>
      <c r="I59" s="218"/>
      <c r="J59" s="38"/>
      <c r="K59" s="218"/>
      <c r="L59" s="38"/>
      <c r="M59" s="218"/>
      <c r="N59" s="38"/>
      <c r="O59" s="38"/>
      <c r="P59" s="38">
        <v>0</v>
      </c>
      <c r="Q59" s="237">
        <v>0</v>
      </c>
      <c r="R59" s="229">
        <v>0</v>
      </c>
      <c r="S59" s="33" t="str">
        <f t="shared" si="20"/>
        <v/>
      </c>
      <c r="T59" s="38"/>
      <c r="U59" s="33">
        <v>0.85</v>
      </c>
      <c r="V59" s="33">
        <v>0.85</v>
      </c>
      <c r="W59" s="38" t="str">
        <f t="shared" si="21"/>
        <v/>
      </c>
      <c r="X59" s="38" t="str">
        <f t="shared" si="32"/>
        <v/>
      </c>
      <c r="Y59" s="33">
        <v>1</v>
      </c>
      <c r="Z59" s="218" t="str">
        <f t="shared" si="22"/>
        <v/>
      </c>
      <c r="AA59" s="33">
        <f t="shared" si="23"/>
        <v>0.7</v>
      </c>
      <c r="AB59" s="38" t="str">
        <f t="shared" si="24"/>
        <v/>
      </c>
      <c r="AC59" s="33">
        <f t="shared" si="25"/>
        <v>0.95</v>
      </c>
      <c r="AD59" s="218" t="str">
        <f t="shared" si="18"/>
        <v/>
      </c>
      <c r="AE59" s="33">
        <f t="shared" si="26"/>
        <v>0.95</v>
      </c>
      <c r="AF59" s="218" t="str">
        <f t="shared" si="27"/>
        <v/>
      </c>
      <c r="AG59" s="38"/>
      <c r="AH59" s="38"/>
      <c r="AI59" s="33">
        <f t="shared" si="28"/>
        <v>0.95</v>
      </c>
      <c r="AJ59" s="33"/>
      <c r="AK59" s="218" t="str">
        <f t="shared" si="29"/>
        <v/>
      </c>
      <c r="AL59" s="218" t="str">
        <f t="shared" si="30"/>
        <v/>
      </c>
      <c r="AM59" s="33">
        <f t="shared" si="33"/>
        <v>0.95</v>
      </c>
      <c r="AN59" s="218" t="str">
        <f t="shared" si="31"/>
        <v/>
      </c>
      <c r="AO59" s="38"/>
      <c r="AP59" s="218"/>
    </row>
    <row r="60" spans="1:42" x14ac:dyDescent="0.2">
      <c r="A60" t="str">
        <f>INDEX(Prioritization!$D:$D,MATCH($B60,Prioritization!$A:$A,0))</f>
        <v>INVALID</v>
      </c>
      <c r="B60" t="s">
        <v>300</v>
      </c>
      <c r="C60" t="s">
        <v>580</v>
      </c>
      <c r="D60" t="str">
        <f t="shared" si="19"/>
        <v>Kasungu District [JQKLKuVuY61]|FSW</v>
      </c>
      <c r="E60" s="218"/>
      <c r="F60" s="218"/>
      <c r="G60" s="218"/>
      <c r="H60" s="38"/>
      <c r="I60" s="218"/>
      <c r="J60" s="38"/>
      <c r="K60" s="218"/>
      <c r="L60" s="38"/>
      <c r="M60" s="218"/>
      <c r="N60" s="38"/>
      <c r="O60" s="38"/>
      <c r="P60" s="38">
        <v>0</v>
      </c>
      <c r="Q60" s="237">
        <v>0</v>
      </c>
      <c r="R60" s="229">
        <v>0</v>
      </c>
      <c r="S60" s="33" t="str">
        <f t="shared" si="20"/>
        <v/>
      </c>
      <c r="T60" s="38"/>
      <c r="U60" s="33">
        <v>0.85</v>
      </c>
      <c r="V60" s="33">
        <v>0.85</v>
      </c>
      <c r="W60" s="38" t="str">
        <f t="shared" si="21"/>
        <v/>
      </c>
      <c r="X60" s="38" t="str">
        <f t="shared" si="32"/>
        <v/>
      </c>
      <c r="Y60" s="33">
        <v>1</v>
      </c>
      <c r="Z60" s="218" t="str">
        <f t="shared" si="22"/>
        <v/>
      </c>
      <c r="AA60" s="33">
        <f t="shared" si="23"/>
        <v>0.7</v>
      </c>
      <c r="AB60" s="38" t="str">
        <f t="shared" si="24"/>
        <v/>
      </c>
      <c r="AC60" s="33">
        <f t="shared" si="25"/>
        <v>0.95</v>
      </c>
      <c r="AD60" s="218" t="str">
        <f t="shared" si="18"/>
        <v/>
      </c>
      <c r="AE60" s="33">
        <f t="shared" si="26"/>
        <v>0.95</v>
      </c>
      <c r="AF60" s="218" t="str">
        <f t="shared" si="27"/>
        <v/>
      </c>
      <c r="AG60" s="38"/>
      <c r="AH60" s="38"/>
      <c r="AI60" s="33">
        <f t="shared" si="28"/>
        <v>0.95</v>
      </c>
      <c r="AJ60" s="33"/>
      <c r="AK60" s="218" t="str">
        <f t="shared" si="29"/>
        <v/>
      </c>
      <c r="AL60" s="218" t="str">
        <f t="shared" si="30"/>
        <v/>
      </c>
      <c r="AM60" s="33">
        <f t="shared" si="33"/>
        <v>0.95</v>
      </c>
      <c r="AN60" s="218" t="str">
        <f t="shared" si="31"/>
        <v/>
      </c>
      <c r="AO60" s="38"/>
      <c r="AP60" s="218"/>
    </row>
    <row r="61" spans="1:42" x14ac:dyDescent="0.2">
      <c r="A61" t="str">
        <f>INDEX(Prioritization!$D:$D,MATCH($B61,Prioritization!$A:$A,0))</f>
        <v>INVALID</v>
      </c>
      <c r="B61" t="s">
        <v>300</v>
      </c>
      <c r="C61" t="s">
        <v>581</v>
      </c>
      <c r="D61" t="str">
        <f t="shared" si="19"/>
        <v>Kasungu District [JQKLKuVuY61]|MSM</v>
      </c>
      <c r="E61" s="218"/>
      <c r="F61" s="218"/>
      <c r="G61" s="218"/>
      <c r="H61" s="38"/>
      <c r="I61" s="218"/>
      <c r="J61" s="38"/>
      <c r="K61" s="218"/>
      <c r="L61" s="38"/>
      <c r="M61" s="218"/>
      <c r="N61" s="38"/>
      <c r="O61" s="38"/>
      <c r="P61" s="38">
        <v>0</v>
      </c>
      <c r="Q61" s="237">
        <v>0</v>
      </c>
      <c r="R61" s="229">
        <v>0</v>
      </c>
      <c r="S61" s="33" t="str">
        <f t="shared" si="20"/>
        <v/>
      </c>
      <c r="T61" s="38"/>
      <c r="U61" s="33">
        <v>0.7</v>
      </c>
      <c r="V61" s="33">
        <v>0.83</v>
      </c>
      <c r="W61" s="38" t="str">
        <f t="shared" si="21"/>
        <v/>
      </c>
      <c r="X61" s="38" t="str">
        <f t="shared" si="32"/>
        <v/>
      </c>
      <c r="Y61" s="33">
        <v>1</v>
      </c>
      <c r="Z61" s="218" t="str">
        <f t="shared" si="22"/>
        <v/>
      </c>
      <c r="AA61" s="33">
        <f t="shared" si="23"/>
        <v>0.7</v>
      </c>
      <c r="AB61" s="38" t="str">
        <f t="shared" si="24"/>
        <v/>
      </c>
      <c r="AC61" s="33">
        <f t="shared" si="25"/>
        <v>0.95</v>
      </c>
      <c r="AD61" s="218" t="str">
        <f t="shared" si="18"/>
        <v/>
      </c>
      <c r="AE61" s="33">
        <f t="shared" si="26"/>
        <v>0.95</v>
      </c>
      <c r="AF61" s="218" t="str">
        <f t="shared" si="27"/>
        <v/>
      </c>
      <c r="AG61" s="38"/>
      <c r="AH61" s="38"/>
      <c r="AI61" s="33">
        <f t="shared" si="28"/>
        <v>0.95</v>
      </c>
      <c r="AJ61" s="33"/>
      <c r="AK61" s="218" t="str">
        <f t="shared" si="29"/>
        <v/>
      </c>
      <c r="AL61" s="218" t="str">
        <f t="shared" si="30"/>
        <v/>
      </c>
      <c r="AM61" s="33">
        <f t="shared" si="33"/>
        <v>0.95</v>
      </c>
      <c r="AN61" s="218" t="str">
        <f t="shared" si="31"/>
        <v/>
      </c>
      <c r="AO61" s="38"/>
      <c r="AP61" s="218"/>
    </row>
    <row r="62" spans="1:42" x14ac:dyDescent="0.2">
      <c r="A62" t="str">
        <f>INDEX(Prioritization!$D:$D,MATCH($B62,Prioritization!$A:$A,0))</f>
        <v>INVALID</v>
      </c>
      <c r="B62" t="s">
        <v>300</v>
      </c>
      <c r="C62" t="s">
        <v>582</v>
      </c>
      <c r="D62" t="str">
        <f t="shared" si="19"/>
        <v>Kasungu District [JQKLKuVuY61]|People in prisons and other enclosed settings</v>
      </c>
      <c r="E62" s="218"/>
      <c r="F62" s="218"/>
      <c r="G62" s="218"/>
      <c r="H62" s="38"/>
      <c r="I62" s="218"/>
      <c r="J62" s="38"/>
      <c r="K62" s="218"/>
      <c r="L62" s="38"/>
      <c r="M62" s="218"/>
      <c r="N62" s="38"/>
      <c r="O62" s="38"/>
      <c r="P62" s="38">
        <v>0</v>
      </c>
      <c r="Q62" s="237">
        <v>0</v>
      </c>
      <c r="R62" s="229">
        <v>0</v>
      </c>
      <c r="S62" s="33" t="str">
        <f t="shared" si="20"/>
        <v/>
      </c>
      <c r="T62" s="38"/>
      <c r="U62" s="33">
        <v>0.85</v>
      </c>
      <c r="V62" s="33">
        <v>0.85</v>
      </c>
      <c r="W62" s="38" t="str">
        <f t="shared" si="21"/>
        <v/>
      </c>
      <c r="X62" s="38" t="str">
        <f t="shared" si="32"/>
        <v/>
      </c>
      <c r="Y62" s="33">
        <v>1</v>
      </c>
      <c r="Z62" s="218" t="str">
        <f t="shared" si="22"/>
        <v/>
      </c>
      <c r="AA62" s="33">
        <f t="shared" si="23"/>
        <v>0.7</v>
      </c>
      <c r="AB62" s="38" t="str">
        <f t="shared" si="24"/>
        <v/>
      </c>
      <c r="AC62" s="33">
        <f t="shared" si="25"/>
        <v>0.95</v>
      </c>
      <c r="AD62" s="218" t="str">
        <f t="shared" si="18"/>
        <v/>
      </c>
      <c r="AE62" s="33">
        <f t="shared" si="26"/>
        <v>0.95</v>
      </c>
      <c r="AF62" s="218" t="str">
        <f t="shared" si="27"/>
        <v/>
      </c>
      <c r="AG62" s="38"/>
      <c r="AH62" s="38"/>
      <c r="AI62" s="33">
        <f t="shared" si="28"/>
        <v>0.95</v>
      </c>
      <c r="AJ62" s="33"/>
      <c r="AK62" s="218" t="str">
        <f t="shared" si="29"/>
        <v/>
      </c>
      <c r="AL62" s="218" t="str">
        <f t="shared" si="30"/>
        <v/>
      </c>
      <c r="AM62" s="33">
        <f t="shared" si="33"/>
        <v>0.95</v>
      </c>
      <c r="AN62" s="218" t="str">
        <f t="shared" si="31"/>
        <v/>
      </c>
      <c r="AO62" s="38"/>
      <c r="AP62" s="218"/>
    </row>
    <row r="63" spans="1:42" x14ac:dyDescent="0.2">
      <c r="A63" t="str">
        <f>INDEX(Prioritization!$D:$D,MATCH($B63,Prioritization!$A:$A,0))</f>
        <v>INVALID</v>
      </c>
      <c r="B63" t="s">
        <v>300</v>
      </c>
      <c r="C63" t="s">
        <v>583</v>
      </c>
      <c r="D63" t="str">
        <f t="shared" si="19"/>
        <v>Kasungu District [JQKLKuVuY61]|PWID</v>
      </c>
      <c r="E63" s="218"/>
      <c r="F63" s="218"/>
      <c r="G63" s="218"/>
      <c r="H63" s="38"/>
      <c r="I63" s="218"/>
      <c r="J63" s="38"/>
      <c r="K63" s="218"/>
      <c r="L63" s="38"/>
      <c r="M63" s="218"/>
      <c r="N63" s="38"/>
      <c r="O63" s="38"/>
      <c r="P63" s="38">
        <v>0</v>
      </c>
      <c r="Q63" s="237">
        <v>0</v>
      </c>
      <c r="R63" s="229">
        <v>0</v>
      </c>
      <c r="S63" s="33" t="str">
        <f t="shared" si="20"/>
        <v/>
      </c>
      <c r="T63" s="38"/>
      <c r="U63" s="33">
        <v>0.8</v>
      </c>
      <c r="V63" s="33">
        <v>0.85</v>
      </c>
      <c r="W63" s="38" t="str">
        <f t="shared" si="21"/>
        <v/>
      </c>
      <c r="X63" s="38" t="str">
        <f t="shared" si="32"/>
        <v/>
      </c>
      <c r="Y63" s="33">
        <v>1</v>
      </c>
      <c r="Z63" s="218" t="str">
        <f t="shared" si="22"/>
        <v/>
      </c>
      <c r="AA63" s="33">
        <f t="shared" si="23"/>
        <v>0.7</v>
      </c>
      <c r="AB63" s="38" t="str">
        <f t="shared" si="24"/>
        <v/>
      </c>
      <c r="AC63" s="33">
        <f t="shared" si="25"/>
        <v>0.95</v>
      </c>
      <c r="AD63" s="218" t="str">
        <f t="shared" si="18"/>
        <v/>
      </c>
      <c r="AE63" s="33">
        <f t="shared" si="26"/>
        <v>0.95</v>
      </c>
      <c r="AF63" s="218" t="str">
        <f t="shared" si="27"/>
        <v/>
      </c>
      <c r="AG63" s="38"/>
      <c r="AH63" s="38"/>
      <c r="AI63" s="33">
        <f t="shared" si="28"/>
        <v>0.95</v>
      </c>
      <c r="AJ63" s="33"/>
      <c r="AK63" s="218" t="str">
        <f t="shared" si="29"/>
        <v/>
      </c>
      <c r="AL63" s="218" t="str">
        <f t="shared" si="30"/>
        <v/>
      </c>
      <c r="AM63" s="33">
        <f t="shared" si="33"/>
        <v>0.95</v>
      </c>
      <c r="AN63" s="218" t="str">
        <f t="shared" si="31"/>
        <v/>
      </c>
      <c r="AO63" s="38"/>
      <c r="AP63" s="218"/>
    </row>
    <row r="64" spans="1:42" x14ac:dyDescent="0.2">
      <c r="A64" t="str">
        <f>INDEX(Prioritization!$D:$D,MATCH($B64,Prioritization!$A:$A,0))</f>
        <v>INVALID</v>
      </c>
      <c r="B64" t="s">
        <v>300</v>
      </c>
      <c r="C64" t="s">
        <v>584</v>
      </c>
      <c r="D64" t="str">
        <f t="shared" si="19"/>
        <v>Kasungu District [JQKLKuVuY61]|TG</v>
      </c>
      <c r="E64" s="218"/>
      <c r="F64" s="218"/>
      <c r="G64" s="218"/>
      <c r="H64" s="38"/>
      <c r="I64" s="218"/>
      <c r="J64" s="38"/>
      <c r="K64" s="218"/>
      <c r="L64" s="38"/>
      <c r="M64" s="218"/>
      <c r="N64" s="38"/>
      <c r="O64" s="38"/>
      <c r="P64" s="38">
        <v>0</v>
      </c>
      <c r="Q64" s="237">
        <v>0</v>
      </c>
      <c r="R64" s="229">
        <v>0</v>
      </c>
      <c r="S64" s="33" t="str">
        <f t="shared" si="20"/>
        <v/>
      </c>
      <c r="T64" s="38"/>
      <c r="U64" s="33">
        <v>0.85</v>
      </c>
      <c r="V64" s="33">
        <v>0.85</v>
      </c>
      <c r="W64" s="38" t="str">
        <f t="shared" si="21"/>
        <v/>
      </c>
      <c r="X64" s="38" t="str">
        <f t="shared" si="32"/>
        <v/>
      </c>
      <c r="Y64" s="33">
        <v>1</v>
      </c>
      <c r="Z64" s="218" t="str">
        <f t="shared" si="22"/>
        <v/>
      </c>
      <c r="AA64" s="33">
        <f t="shared" si="23"/>
        <v>0.7</v>
      </c>
      <c r="AB64" s="38" t="str">
        <f t="shared" si="24"/>
        <v/>
      </c>
      <c r="AC64" s="33">
        <f t="shared" si="25"/>
        <v>0.95</v>
      </c>
      <c r="AD64" s="218" t="str">
        <f t="shared" si="18"/>
        <v/>
      </c>
      <c r="AE64" s="33">
        <f t="shared" si="26"/>
        <v>0.95</v>
      </c>
      <c r="AF64" s="218" t="str">
        <f t="shared" si="27"/>
        <v/>
      </c>
      <c r="AG64" s="38"/>
      <c r="AH64" s="38"/>
      <c r="AI64" s="33">
        <f t="shared" si="28"/>
        <v>0.95</v>
      </c>
      <c r="AJ64" s="33"/>
      <c r="AK64" s="218" t="str">
        <f t="shared" si="29"/>
        <v/>
      </c>
      <c r="AL64" s="218" t="str">
        <f t="shared" si="30"/>
        <v/>
      </c>
      <c r="AM64" s="33">
        <f t="shared" si="33"/>
        <v>0.95</v>
      </c>
      <c r="AN64" s="218" t="str">
        <f t="shared" si="31"/>
        <v/>
      </c>
      <c r="AO64" s="38"/>
      <c r="AP64" s="218"/>
    </row>
    <row r="65" spans="1:42" x14ac:dyDescent="0.2">
      <c r="A65" t="str">
        <f>INDEX(Prioritization!$D:$D,MATCH($B65,Prioritization!$A:$A,0))</f>
        <v>4 - Sustained</v>
      </c>
      <c r="B65" t="s">
        <v>309</v>
      </c>
      <c r="C65" t="s">
        <v>580</v>
      </c>
      <c r="D65" t="str">
        <f t="shared" si="19"/>
        <v>Likoma District [ZCjuwgaMB9u]|FSW</v>
      </c>
      <c r="E65" s="218"/>
      <c r="F65" s="218"/>
      <c r="G65" s="218"/>
      <c r="H65" s="38"/>
      <c r="I65" s="218"/>
      <c r="J65" s="38"/>
      <c r="K65" s="218"/>
      <c r="L65" s="38"/>
      <c r="M65" s="218"/>
      <c r="N65" s="38"/>
      <c r="O65" s="38"/>
      <c r="P65" s="38">
        <v>0</v>
      </c>
      <c r="Q65" s="237">
        <v>0</v>
      </c>
      <c r="R65" s="229">
        <v>0</v>
      </c>
      <c r="S65" s="33" t="str">
        <f t="shared" si="20"/>
        <v/>
      </c>
      <c r="T65" s="38"/>
      <c r="U65" s="33">
        <v>0.85</v>
      </c>
      <c r="V65" s="33">
        <v>0.85</v>
      </c>
      <c r="W65" s="38" t="str">
        <f t="shared" si="21"/>
        <v/>
      </c>
      <c r="X65" s="38" t="str">
        <f t="shared" si="32"/>
        <v/>
      </c>
      <c r="Y65" s="33">
        <v>1</v>
      </c>
      <c r="Z65" s="218" t="str">
        <f t="shared" si="22"/>
        <v/>
      </c>
      <c r="AA65" s="33">
        <f t="shared" si="23"/>
        <v>0.7</v>
      </c>
      <c r="AB65" s="38" t="str">
        <f t="shared" si="24"/>
        <v/>
      </c>
      <c r="AC65" s="33">
        <f t="shared" si="25"/>
        <v>0.95</v>
      </c>
      <c r="AD65" s="218" t="str">
        <f t="shared" si="18"/>
        <v/>
      </c>
      <c r="AE65" s="33">
        <f t="shared" si="26"/>
        <v>0.95</v>
      </c>
      <c r="AF65" s="218" t="str">
        <f t="shared" si="27"/>
        <v/>
      </c>
      <c r="AG65" s="38"/>
      <c r="AH65" s="38"/>
      <c r="AI65" s="33">
        <f t="shared" si="28"/>
        <v>0.95</v>
      </c>
      <c r="AJ65" s="33"/>
      <c r="AK65" s="218" t="str">
        <f t="shared" si="29"/>
        <v/>
      </c>
      <c r="AL65" s="218" t="str">
        <f t="shared" si="30"/>
        <v/>
      </c>
      <c r="AM65" s="33">
        <f t="shared" si="33"/>
        <v>0.95</v>
      </c>
      <c r="AN65" s="218" t="str">
        <f t="shared" si="31"/>
        <v/>
      </c>
      <c r="AO65" s="38"/>
      <c r="AP65" s="218"/>
    </row>
    <row r="66" spans="1:42" x14ac:dyDescent="0.2">
      <c r="A66" t="str">
        <f>INDEX(Prioritization!$D:$D,MATCH($B66,Prioritization!$A:$A,0))</f>
        <v>4 - Sustained</v>
      </c>
      <c r="B66" t="s">
        <v>309</v>
      </c>
      <c r="C66" t="s">
        <v>581</v>
      </c>
      <c r="D66" t="str">
        <f t="shared" si="19"/>
        <v>Likoma District [ZCjuwgaMB9u]|MSM</v>
      </c>
      <c r="E66" s="218"/>
      <c r="F66" s="218"/>
      <c r="G66" s="218"/>
      <c r="H66" s="38"/>
      <c r="I66" s="218"/>
      <c r="J66" s="38"/>
      <c r="K66" s="218"/>
      <c r="L66" s="38"/>
      <c r="M66" s="218"/>
      <c r="N66" s="38"/>
      <c r="O66" s="38"/>
      <c r="P66" s="38">
        <v>0</v>
      </c>
      <c r="Q66" s="237">
        <v>0</v>
      </c>
      <c r="R66" s="229">
        <v>0</v>
      </c>
      <c r="S66" s="33" t="str">
        <f t="shared" si="20"/>
        <v/>
      </c>
      <c r="T66" s="38"/>
      <c r="U66" s="33">
        <v>0.7</v>
      </c>
      <c r="V66" s="33">
        <v>0.83</v>
      </c>
      <c r="W66" s="38" t="str">
        <f t="shared" si="21"/>
        <v/>
      </c>
      <c r="X66" s="38" t="str">
        <f t="shared" si="32"/>
        <v/>
      </c>
      <c r="Y66" s="33">
        <v>1</v>
      </c>
      <c r="Z66" s="218" t="str">
        <f t="shared" si="22"/>
        <v/>
      </c>
      <c r="AA66" s="33">
        <f t="shared" si="23"/>
        <v>0.7</v>
      </c>
      <c r="AB66" s="38" t="str">
        <f t="shared" si="24"/>
        <v/>
      </c>
      <c r="AC66" s="33">
        <f t="shared" si="25"/>
        <v>0.95</v>
      </c>
      <c r="AD66" s="218" t="str">
        <f t="shared" si="18"/>
        <v/>
      </c>
      <c r="AE66" s="33">
        <f t="shared" si="26"/>
        <v>0.95</v>
      </c>
      <c r="AF66" s="218" t="str">
        <f t="shared" si="27"/>
        <v/>
      </c>
      <c r="AG66" s="38"/>
      <c r="AH66" s="38"/>
      <c r="AI66" s="33">
        <f t="shared" si="28"/>
        <v>0.95</v>
      </c>
      <c r="AJ66" s="33"/>
      <c r="AK66" s="218" t="str">
        <f t="shared" si="29"/>
        <v/>
      </c>
      <c r="AL66" s="218" t="str">
        <f t="shared" si="30"/>
        <v/>
      </c>
      <c r="AM66" s="33">
        <f t="shared" si="33"/>
        <v>0.95</v>
      </c>
      <c r="AN66" s="218" t="str">
        <f t="shared" si="31"/>
        <v/>
      </c>
      <c r="AO66" s="38"/>
      <c r="AP66" s="218"/>
    </row>
    <row r="67" spans="1:42" x14ac:dyDescent="0.2">
      <c r="A67" t="str">
        <f>INDEX(Prioritization!$D:$D,MATCH($B67,Prioritization!$A:$A,0))</f>
        <v>4 - Sustained</v>
      </c>
      <c r="B67" t="s">
        <v>309</v>
      </c>
      <c r="C67" t="s">
        <v>582</v>
      </c>
      <c r="D67" t="str">
        <f t="shared" si="19"/>
        <v>Likoma District [ZCjuwgaMB9u]|People in prisons and other enclosed settings</v>
      </c>
      <c r="E67" s="218"/>
      <c r="F67" s="218"/>
      <c r="G67" s="218"/>
      <c r="H67" s="38"/>
      <c r="I67" s="218"/>
      <c r="J67" s="38"/>
      <c r="K67" s="218"/>
      <c r="L67" s="38"/>
      <c r="M67" s="218"/>
      <c r="N67" s="38"/>
      <c r="O67" s="38"/>
      <c r="P67" s="38">
        <v>0</v>
      </c>
      <c r="Q67" s="237">
        <v>0</v>
      </c>
      <c r="R67" s="229">
        <v>0</v>
      </c>
      <c r="S67" s="33" t="str">
        <f t="shared" si="20"/>
        <v/>
      </c>
      <c r="T67" s="38"/>
      <c r="U67" s="33">
        <v>0.85</v>
      </c>
      <c r="V67" s="33">
        <v>0.85</v>
      </c>
      <c r="W67" s="38" t="str">
        <f t="shared" si="21"/>
        <v/>
      </c>
      <c r="X67" s="38" t="str">
        <f t="shared" si="32"/>
        <v/>
      </c>
      <c r="Y67" s="33">
        <v>1</v>
      </c>
      <c r="Z67" s="218" t="str">
        <f t="shared" si="22"/>
        <v/>
      </c>
      <c r="AA67" s="33">
        <f t="shared" si="23"/>
        <v>0.7</v>
      </c>
      <c r="AB67" s="38" t="str">
        <f t="shared" si="24"/>
        <v/>
      </c>
      <c r="AC67" s="33">
        <f t="shared" si="25"/>
        <v>0.95</v>
      </c>
      <c r="AD67" s="218" t="str">
        <f t="shared" si="18"/>
        <v/>
      </c>
      <c r="AE67" s="33">
        <f t="shared" si="26"/>
        <v>0.95</v>
      </c>
      <c r="AF67" s="218" t="str">
        <f t="shared" si="27"/>
        <v/>
      </c>
      <c r="AG67" s="38"/>
      <c r="AH67" s="38"/>
      <c r="AI67" s="33">
        <f t="shared" si="28"/>
        <v>0.95</v>
      </c>
      <c r="AJ67" s="33"/>
      <c r="AK67" s="218" t="str">
        <f t="shared" si="29"/>
        <v/>
      </c>
      <c r="AL67" s="218" t="str">
        <f t="shared" si="30"/>
        <v/>
      </c>
      <c r="AM67" s="33">
        <f t="shared" si="33"/>
        <v>0.95</v>
      </c>
      <c r="AN67" s="218" t="str">
        <f t="shared" si="31"/>
        <v/>
      </c>
      <c r="AO67" s="38"/>
      <c r="AP67" s="218"/>
    </row>
    <row r="68" spans="1:42" x14ac:dyDescent="0.2">
      <c r="A68" t="str">
        <f>INDEX(Prioritization!$D:$D,MATCH($B68,Prioritization!$A:$A,0))</f>
        <v>4 - Sustained</v>
      </c>
      <c r="B68" t="s">
        <v>309</v>
      </c>
      <c r="C68" t="s">
        <v>583</v>
      </c>
      <c r="D68" t="str">
        <f t="shared" si="19"/>
        <v>Likoma District [ZCjuwgaMB9u]|PWID</v>
      </c>
      <c r="E68" s="218"/>
      <c r="F68" s="218"/>
      <c r="G68" s="218"/>
      <c r="H68" s="38"/>
      <c r="I68" s="218"/>
      <c r="J68" s="38"/>
      <c r="K68" s="218"/>
      <c r="L68" s="38"/>
      <c r="M68" s="218"/>
      <c r="N68" s="38"/>
      <c r="O68" s="38"/>
      <c r="P68" s="38">
        <v>0</v>
      </c>
      <c r="Q68" s="237">
        <v>0</v>
      </c>
      <c r="R68" s="229">
        <v>0</v>
      </c>
      <c r="S68" s="33" t="str">
        <f t="shared" si="20"/>
        <v/>
      </c>
      <c r="T68" s="38"/>
      <c r="U68" s="33">
        <v>0.8</v>
      </c>
      <c r="V68" s="33">
        <v>0.85</v>
      </c>
      <c r="W68" s="38" t="str">
        <f t="shared" si="21"/>
        <v/>
      </c>
      <c r="X68" s="38" t="str">
        <f t="shared" si="32"/>
        <v/>
      </c>
      <c r="Y68" s="33">
        <v>1</v>
      </c>
      <c r="Z68" s="218" t="str">
        <f t="shared" si="22"/>
        <v/>
      </c>
      <c r="AA68" s="33">
        <f t="shared" si="23"/>
        <v>0.7</v>
      </c>
      <c r="AB68" s="38" t="str">
        <f t="shared" si="24"/>
        <v/>
      </c>
      <c r="AC68" s="33">
        <f t="shared" si="25"/>
        <v>0.95</v>
      </c>
      <c r="AD68" s="218" t="str">
        <f t="shared" si="18"/>
        <v/>
      </c>
      <c r="AE68" s="33">
        <f t="shared" si="26"/>
        <v>0.95</v>
      </c>
      <c r="AF68" s="218" t="str">
        <f t="shared" si="27"/>
        <v/>
      </c>
      <c r="AG68" s="38"/>
      <c r="AH68" s="38"/>
      <c r="AI68" s="33">
        <f t="shared" si="28"/>
        <v>0.95</v>
      </c>
      <c r="AJ68" s="33"/>
      <c r="AK68" s="218" t="str">
        <f t="shared" si="29"/>
        <v/>
      </c>
      <c r="AL68" s="218" t="str">
        <f t="shared" si="30"/>
        <v/>
      </c>
      <c r="AM68" s="33">
        <f t="shared" si="33"/>
        <v>0.95</v>
      </c>
      <c r="AN68" s="218" t="str">
        <f t="shared" si="31"/>
        <v/>
      </c>
      <c r="AO68" s="38"/>
      <c r="AP68" s="218"/>
    </row>
    <row r="69" spans="1:42" x14ac:dyDescent="0.2">
      <c r="A69" t="str">
        <f>INDEX(Prioritization!$D:$D,MATCH($B69,Prioritization!$A:$A,0))</f>
        <v>4 - Sustained</v>
      </c>
      <c r="B69" t="s">
        <v>309</v>
      </c>
      <c r="C69" t="s">
        <v>584</v>
      </c>
      <c r="D69" t="str">
        <f t="shared" si="19"/>
        <v>Likoma District [ZCjuwgaMB9u]|TG</v>
      </c>
      <c r="E69" s="218"/>
      <c r="F69" s="218"/>
      <c r="G69" s="218"/>
      <c r="H69" s="38"/>
      <c r="I69" s="218"/>
      <c r="J69" s="38"/>
      <c r="K69" s="218"/>
      <c r="L69" s="38"/>
      <c r="M69" s="218"/>
      <c r="N69" s="38"/>
      <c r="O69" s="38"/>
      <c r="P69" s="38">
        <v>0</v>
      </c>
      <c r="Q69" s="237">
        <v>0</v>
      </c>
      <c r="R69" s="229">
        <v>0</v>
      </c>
      <c r="S69" s="33" t="str">
        <f t="shared" si="20"/>
        <v/>
      </c>
      <c r="T69" s="38"/>
      <c r="U69" s="33">
        <v>0.85</v>
      </c>
      <c r="V69" s="33">
        <v>0.85</v>
      </c>
      <c r="W69" s="38" t="str">
        <f t="shared" si="21"/>
        <v/>
      </c>
      <c r="X69" s="38" t="str">
        <f t="shared" si="32"/>
        <v/>
      </c>
      <c r="Y69" s="33">
        <v>1</v>
      </c>
      <c r="Z69" s="218" t="str">
        <f t="shared" si="22"/>
        <v/>
      </c>
      <c r="AA69" s="33">
        <f t="shared" si="23"/>
        <v>0.7</v>
      </c>
      <c r="AB69" s="38" t="str">
        <f t="shared" si="24"/>
        <v/>
      </c>
      <c r="AC69" s="33">
        <f t="shared" si="25"/>
        <v>0.95</v>
      </c>
      <c r="AD69" s="218" t="str">
        <f t="shared" si="18"/>
        <v/>
      </c>
      <c r="AE69" s="33">
        <f t="shared" si="26"/>
        <v>0.95</v>
      </c>
      <c r="AF69" s="218" t="str">
        <f t="shared" si="27"/>
        <v/>
      </c>
      <c r="AG69" s="38"/>
      <c r="AH69" s="38"/>
      <c r="AI69" s="33">
        <f t="shared" si="28"/>
        <v>0.95</v>
      </c>
      <c r="AJ69" s="33"/>
      <c r="AK69" s="218" t="str">
        <f t="shared" si="29"/>
        <v/>
      </c>
      <c r="AL69" s="218" t="str">
        <f t="shared" si="30"/>
        <v/>
      </c>
      <c r="AM69" s="33">
        <f t="shared" si="33"/>
        <v>0.95</v>
      </c>
      <c r="AN69" s="218" t="str">
        <f t="shared" si="31"/>
        <v/>
      </c>
      <c r="AO69" s="38"/>
      <c r="AP69" s="218"/>
    </row>
    <row r="70" spans="1:42" x14ac:dyDescent="0.2">
      <c r="A70" t="str">
        <f>INDEX(Prioritization!$D:$D,MATCH($B70,Prioritization!$A:$A,0))</f>
        <v>INVALID</v>
      </c>
      <c r="B70" t="s">
        <v>301</v>
      </c>
      <c r="C70" t="s">
        <v>580</v>
      </c>
      <c r="D70" t="str">
        <f t="shared" si="19"/>
        <v>Lilongwe District [ScR9iFKAasW]|FSW</v>
      </c>
      <c r="E70" s="218">
        <v>6770</v>
      </c>
      <c r="F70" s="218">
        <v>3378</v>
      </c>
      <c r="G70" s="218"/>
      <c r="H70" s="38">
        <v>420</v>
      </c>
      <c r="I70" s="218">
        <v>772</v>
      </c>
      <c r="J70" s="38">
        <v>1787</v>
      </c>
      <c r="K70" s="218">
        <v>1930</v>
      </c>
      <c r="L70" s="38">
        <v>7528</v>
      </c>
      <c r="M70" s="218">
        <v>7890</v>
      </c>
      <c r="N70" s="38">
        <v>1377</v>
      </c>
      <c r="O70" s="38">
        <v>1062</v>
      </c>
      <c r="P70" s="38">
        <v>1753</v>
      </c>
      <c r="Q70" s="237">
        <v>2129</v>
      </c>
      <c r="R70" s="229">
        <v>2129</v>
      </c>
      <c r="S70" s="33">
        <f t="shared" si="20"/>
        <v>0.63025458851391358</v>
      </c>
      <c r="T70" s="38">
        <v>470</v>
      </c>
      <c r="U70" s="33">
        <v>0.85</v>
      </c>
      <c r="V70" s="33">
        <v>0.85</v>
      </c>
      <c r="W70" s="38">
        <f t="shared" si="21"/>
        <v>376</v>
      </c>
      <c r="X70" s="38">
        <f t="shared" si="32"/>
        <v>752</v>
      </c>
      <c r="Y70" s="33">
        <v>1</v>
      </c>
      <c r="Z70" s="218">
        <f t="shared" si="22"/>
        <v>752</v>
      </c>
      <c r="AA70" s="33">
        <f t="shared" si="23"/>
        <v>0.7</v>
      </c>
      <c r="AB70" s="38">
        <f t="shared" si="24"/>
        <v>2279</v>
      </c>
      <c r="AC70" s="33">
        <f t="shared" si="25"/>
        <v>0.95</v>
      </c>
      <c r="AD70" s="218">
        <f t="shared" si="18"/>
        <v>2023</v>
      </c>
      <c r="AE70" s="33">
        <f t="shared" si="26"/>
        <v>0.95</v>
      </c>
      <c r="AF70" s="218">
        <f t="shared" si="27"/>
        <v>1922</v>
      </c>
      <c r="AG70" s="38">
        <v>496</v>
      </c>
      <c r="AH70" s="38">
        <v>2979</v>
      </c>
      <c r="AI70" s="33">
        <f t="shared" si="28"/>
        <v>0.95</v>
      </c>
      <c r="AJ70" s="33">
        <v>0.14000000000000001</v>
      </c>
      <c r="AK70" s="218">
        <f t="shared" si="29"/>
        <v>792</v>
      </c>
      <c r="AL70" s="218">
        <f t="shared" si="30"/>
        <v>4865</v>
      </c>
      <c r="AM70" s="33">
        <v>0</v>
      </c>
      <c r="AN70" s="218">
        <f t="shared" si="31"/>
        <v>0</v>
      </c>
      <c r="AO70" s="38">
        <v>7217</v>
      </c>
      <c r="AP70" s="218">
        <v>6784</v>
      </c>
    </row>
    <row r="71" spans="1:42" x14ac:dyDescent="0.2">
      <c r="A71" t="str">
        <f>INDEX(Prioritization!$D:$D,MATCH($B71,Prioritization!$A:$A,0))</f>
        <v>INVALID</v>
      </c>
      <c r="B71" t="s">
        <v>301</v>
      </c>
      <c r="C71" t="s">
        <v>581</v>
      </c>
      <c r="D71" t="str">
        <f t="shared" si="19"/>
        <v>Lilongwe District [ScR9iFKAasW]|MSM</v>
      </c>
      <c r="E71" s="218">
        <v>1600</v>
      </c>
      <c r="F71" s="218">
        <v>205</v>
      </c>
      <c r="G71" s="218"/>
      <c r="H71" s="38">
        <v>89</v>
      </c>
      <c r="I71" s="218">
        <v>290</v>
      </c>
      <c r="J71" s="38">
        <v>746</v>
      </c>
      <c r="K71" s="218">
        <v>487</v>
      </c>
      <c r="L71" s="38">
        <v>2542</v>
      </c>
      <c r="M71" s="218">
        <v>2100</v>
      </c>
      <c r="N71" s="38">
        <v>453</v>
      </c>
      <c r="O71" s="38">
        <v>466</v>
      </c>
      <c r="P71" s="38">
        <v>174</v>
      </c>
      <c r="Q71" s="237">
        <v>308</v>
      </c>
      <c r="R71" s="229">
        <v>174</v>
      </c>
      <c r="S71" s="33">
        <f t="shared" si="20"/>
        <v>0.84878048780487803</v>
      </c>
      <c r="T71" s="38">
        <v>128</v>
      </c>
      <c r="U71" s="33">
        <v>0.98</v>
      </c>
      <c r="V71" s="33">
        <v>0.83</v>
      </c>
      <c r="W71" s="38">
        <f t="shared" si="21"/>
        <v>134</v>
      </c>
      <c r="X71" s="38">
        <f t="shared" si="32"/>
        <v>166</v>
      </c>
      <c r="Y71" s="33">
        <v>1</v>
      </c>
      <c r="Z71" s="218">
        <f t="shared" si="22"/>
        <v>166</v>
      </c>
      <c r="AA71" s="33">
        <f t="shared" si="23"/>
        <v>0.7</v>
      </c>
      <c r="AB71" s="38">
        <f t="shared" si="24"/>
        <v>290</v>
      </c>
      <c r="AC71" s="33">
        <f t="shared" si="25"/>
        <v>0.95</v>
      </c>
      <c r="AD71" s="218">
        <f t="shared" si="18"/>
        <v>293</v>
      </c>
      <c r="AE71" s="33">
        <f t="shared" si="26"/>
        <v>0.95</v>
      </c>
      <c r="AF71" s="218">
        <f t="shared" si="27"/>
        <v>278</v>
      </c>
      <c r="AG71" s="38">
        <v>135</v>
      </c>
      <c r="AH71" s="38">
        <v>1243</v>
      </c>
      <c r="AI71" s="33">
        <f t="shared" si="28"/>
        <v>0.95</v>
      </c>
      <c r="AJ71" s="33">
        <v>0.114</v>
      </c>
      <c r="AK71" s="218">
        <f t="shared" si="29"/>
        <v>175</v>
      </c>
      <c r="AL71" s="218">
        <f t="shared" si="30"/>
        <v>1360</v>
      </c>
      <c r="AM71" s="33">
        <v>0</v>
      </c>
      <c r="AN71" s="218">
        <f t="shared" si="31"/>
        <v>0</v>
      </c>
      <c r="AO71" s="38">
        <v>10000</v>
      </c>
      <c r="AP71" s="218">
        <v>2790</v>
      </c>
    </row>
    <row r="72" spans="1:42" x14ac:dyDescent="0.2">
      <c r="A72" t="str">
        <f>INDEX(Prioritization!$D:$D,MATCH($B72,Prioritization!$A:$A,0))</f>
        <v>INVALID</v>
      </c>
      <c r="B72" t="s">
        <v>301</v>
      </c>
      <c r="C72" t="s">
        <v>582</v>
      </c>
      <c r="D72" t="str">
        <f t="shared" si="19"/>
        <v>Lilongwe District [ScR9iFKAasW]|People in prisons and other enclosed settings</v>
      </c>
      <c r="E72" s="218">
        <v>6000</v>
      </c>
      <c r="F72" s="218">
        <v>960</v>
      </c>
      <c r="G72" s="218"/>
      <c r="H72" s="38"/>
      <c r="I72" s="218"/>
      <c r="J72" s="38"/>
      <c r="K72" s="218"/>
      <c r="L72" s="38">
        <v>6000</v>
      </c>
      <c r="M72" s="218">
        <v>6000</v>
      </c>
      <c r="N72" s="38"/>
      <c r="O72" s="38">
        <v>447</v>
      </c>
      <c r="P72" s="38">
        <v>384</v>
      </c>
      <c r="Q72" s="237">
        <v>384</v>
      </c>
      <c r="R72" s="229">
        <v>384</v>
      </c>
      <c r="S72" s="33">
        <f t="shared" si="20"/>
        <v>0.4</v>
      </c>
      <c r="T72" s="38">
        <v>148</v>
      </c>
      <c r="U72" s="33">
        <v>0.85</v>
      </c>
      <c r="V72" s="33">
        <v>0.85</v>
      </c>
      <c r="W72" s="38">
        <f t="shared" si="21"/>
        <v>0</v>
      </c>
      <c r="X72" s="38">
        <f t="shared" si="32"/>
        <v>68</v>
      </c>
      <c r="Y72" s="33">
        <v>1</v>
      </c>
      <c r="Z72" s="218">
        <f t="shared" si="22"/>
        <v>68</v>
      </c>
      <c r="AA72" s="33">
        <f t="shared" si="23"/>
        <v>0.7</v>
      </c>
      <c r="AB72" s="38">
        <f t="shared" si="24"/>
        <v>432</v>
      </c>
      <c r="AC72" s="33">
        <f t="shared" si="25"/>
        <v>0.95</v>
      </c>
      <c r="AD72" s="218">
        <f t="shared" si="18"/>
        <v>365</v>
      </c>
      <c r="AE72" s="33">
        <f t="shared" si="26"/>
        <v>0.95</v>
      </c>
      <c r="AF72" s="218">
        <f t="shared" si="27"/>
        <v>347</v>
      </c>
      <c r="AG72" s="38">
        <v>156</v>
      </c>
      <c r="AH72" s="38">
        <v>4571</v>
      </c>
      <c r="AI72" s="33">
        <f t="shared" si="28"/>
        <v>0.95</v>
      </c>
      <c r="AJ72" s="33">
        <v>0.02</v>
      </c>
      <c r="AK72" s="218">
        <f t="shared" si="29"/>
        <v>72</v>
      </c>
      <c r="AL72" s="218">
        <f t="shared" si="30"/>
        <v>3528</v>
      </c>
      <c r="AM72" s="33">
        <v>0</v>
      </c>
      <c r="AN72" s="218">
        <f t="shared" si="31"/>
        <v>0</v>
      </c>
      <c r="AO72" s="38"/>
      <c r="AP72" s="218"/>
    </row>
    <row r="73" spans="1:42" x14ac:dyDescent="0.2">
      <c r="A73" t="str">
        <f>INDEX(Prioritization!$D:$D,MATCH($B73,Prioritization!$A:$A,0))</f>
        <v>INVALID</v>
      </c>
      <c r="B73" t="s">
        <v>301</v>
      </c>
      <c r="C73" t="s">
        <v>583</v>
      </c>
      <c r="D73" t="str">
        <f t="shared" si="19"/>
        <v>Lilongwe District [ScR9iFKAasW]|PWID</v>
      </c>
      <c r="E73" s="218"/>
      <c r="F73" s="218"/>
      <c r="G73" s="218"/>
      <c r="H73" s="38"/>
      <c r="I73" s="218"/>
      <c r="J73" s="38"/>
      <c r="K73" s="218"/>
      <c r="L73" s="38"/>
      <c r="M73" s="218"/>
      <c r="N73" s="38"/>
      <c r="O73" s="38"/>
      <c r="P73" s="38">
        <v>0</v>
      </c>
      <c r="Q73" s="237">
        <v>0</v>
      </c>
      <c r="R73" s="229">
        <v>0</v>
      </c>
      <c r="S73" s="33" t="str">
        <f t="shared" si="20"/>
        <v/>
      </c>
      <c r="T73" s="38"/>
      <c r="U73" s="33">
        <v>0.8</v>
      </c>
      <c r="V73" s="33">
        <v>0.85</v>
      </c>
      <c r="W73" s="38" t="str">
        <f t="shared" si="21"/>
        <v/>
      </c>
      <c r="X73" s="38" t="str">
        <f t="shared" si="32"/>
        <v/>
      </c>
      <c r="Y73" s="33">
        <v>1</v>
      </c>
      <c r="Z73" s="218" t="str">
        <f t="shared" si="22"/>
        <v/>
      </c>
      <c r="AA73" s="33">
        <f t="shared" si="23"/>
        <v>0.7</v>
      </c>
      <c r="AB73" s="38" t="str">
        <f t="shared" si="24"/>
        <v/>
      </c>
      <c r="AC73" s="33">
        <f t="shared" si="25"/>
        <v>0.95</v>
      </c>
      <c r="AD73" s="218" t="str">
        <f t="shared" si="18"/>
        <v/>
      </c>
      <c r="AE73" s="33">
        <f t="shared" si="26"/>
        <v>0.95</v>
      </c>
      <c r="AF73" s="218" t="str">
        <f t="shared" si="27"/>
        <v/>
      </c>
      <c r="AG73" s="38"/>
      <c r="AH73" s="38"/>
      <c r="AI73" s="33">
        <f t="shared" si="28"/>
        <v>0.95</v>
      </c>
      <c r="AJ73" s="33"/>
      <c r="AK73" s="218" t="str">
        <f t="shared" si="29"/>
        <v/>
      </c>
      <c r="AL73" s="218" t="str">
        <f t="shared" si="30"/>
        <v/>
      </c>
      <c r="AM73" s="33">
        <v>0</v>
      </c>
      <c r="AN73" s="218" t="str">
        <f t="shared" si="31"/>
        <v/>
      </c>
      <c r="AO73" s="38"/>
      <c r="AP73" s="218"/>
    </row>
    <row r="74" spans="1:42" x14ac:dyDescent="0.2">
      <c r="A74" t="str">
        <f>INDEX(Prioritization!$D:$D,MATCH($B74,Prioritization!$A:$A,0))</f>
        <v>INVALID</v>
      </c>
      <c r="B74" t="s">
        <v>301</v>
      </c>
      <c r="C74" t="s">
        <v>584</v>
      </c>
      <c r="D74" t="str">
        <f t="shared" si="19"/>
        <v>Lilongwe District [ScR9iFKAasW]|TG</v>
      </c>
      <c r="E74" s="218">
        <v>290</v>
      </c>
      <c r="F74" s="218">
        <v>116</v>
      </c>
      <c r="G74" s="218"/>
      <c r="H74" s="38">
        <v>10</v>
      </c>
      <c r="I74" s="218">
        <v>42</v>
      </c>
      <c r="J74" s="38">
        <v>86</v>
      </c>
      <c r="K74" s="218">
        <v>106</v>
      </c>
      <c r="L74" s="38">
        <v>306</v>
      </c>
      <c r="M74" s="218">
        <v>390</v>
      </c>
      <c r="N74" s="38">
        <v>141</v>
      </c>
      <c r="O74" s="38">
        <v>409</v>
      </c>
      <c r="P74" s="38">
        <v>99</v>
      </c>
      <c r="Q74" s="237">
        <v>99</v>
      </c>
      <c r="R74" s="229">
        <v>99</v>
      </c>
      <c r="S74" s="33">
        <f t="shared" si="20"/>
        <v>0.85344827586206895</v>
      </c>
      <c r="T74" s="38">
        <v>34</v>
      </c>
      <c r="U74" s="33">
        <v>0.98</v>
      </c>
      <c r="V74" s="33">
        <v>0.85</v>
      </c>
      <c r="W74" s="38">
        <f t="shared" si="21"/>
        <v>0</v>
      </c>
      <c r="X74" s="38">
        <f t="shared" si="32"/>
        <v>2</v>
      </c>
      <c r="Y74" s="33">
        <v>1</v>
      </c>
      <c r="Z74" s="218">
        <f t="shared" si="22"/>
        <v>2</v>
      </c>
      <c r="AA74" s="33">
        <f t="shared" si="23"/>
        <v>0.7</v>
      </c>
      <c r="AB74" s="38">
        <f t="shared" si="24"/>
        <v>100</v>
      </c>
      <c r="AC74" s="33">
        <f t="shared" si="25"/>
        <v>0.95</v>
      </c>
      <c r="AD74" s="218">
        <f t="shared" si="18"/>
        <v>94</v>
      </c>
      <c r="AE74" s="33">
        <f t="shared" si="26"/>
        <v>0.95</v>
      </c>
      <c r="AF74" s="218">
        <f t="shared" si="27"/>
        <v>89</v>
      </c>
      <c r="AG74" s="38">
        <v>36</v>
      </c>
      <c r="AH74" s="38">
        <v>144</v>
      </c>
      <c r="AI74" s="33">
        <f t="shared" si="28"/>
        <v>0.95</v>
      </c>
      <c r="AJ74" s="33">
        <v>0.13</v>
      </c>
      <c r="AK74" s="218">
        <f t="shared" si="29"/>
        <v>2</v>
      </c>
      <c r="AL74" s="218">
        <f t="shared" si="30"/>
        <v>13</v>
      </c>
      <c r="AM74" s="33">
        <v>0</v>
      </c>
      <c r="AN74" s="218">
        <f t="shared" si="31"/>
        <v>0</v>
      </c>
      <c r="AO74" s="38">
        <v>3256</v>
      </c>
      <c r="AP74" s="218">
        <v>348</v>
      </c>
    </row>
    <row r="75" spans="1:42" x14ac:dyDescent="0.2">
      <c r="A75" t="str">
        <f>INDEX(Prioritization!$D:$D,MATCH($B75,Prioritization!$A:$A,0))</f>
        <v>1 - Scale-up: Saturation</v>
      </c>
      <c r="B75" t="s">
        <v>317</v>
      </c>
      <c r="C75" t="s">
        <v>580</v>
      </c>
      <c r="D75" t="str">
        <f t="shared" si="19"/>
        <v>Machinga District [TYnMSwzko3z]|FSW</v>
      </c>
      <c r="E75" s="218">
        <v>2500</v>
      </c>
      <c r="F75" s="218">
        <v>1248</v>
      </c>
      <c r="G75" s="218"/>
      <c r="H75" s="38">
        <v>155</v>
      </c>
      <c r="I75" s="218">
        <v>285</v>
      </c>
      <c r="J75" s="38">
        <v>661</v>
      </c>
      <c r="K75" s="218">
        <v>713</v>
      </c>
      <c r="L75" s="38">
        <v>2375</v>
      </c>
      <c r="M75" s="218">
        <v>2500</v>
      </c>
      <c r="N75" s="38">
        <v>539</v>
      </c>
      <c r="O75" s="38">
        <v>515</v>
      </c>
      <c r="P75" s="38">
        <v>563</v>
      </c>
      <c r="Q75" s="237">
        <v>587</v>
      </c>
      <c r="R75" s="229">
        <v>587</v>
      </c>
      <c r="S75" s="33">
        <f t="shared" si="20"/>
        <v>0.4703525641025641</v>
      </c>
      <c r="T75" s="38">
        <v>174</v>
      </c>
      <c r="U75" s="33">
        <v>0.85</v>
      </c>
      <c r="V75" s="33">
        <v>0.85</v>
      </c>
      <c r="W75" s="38">
        <f t="shared" si="21"/>
        <v>24</v>
      </c>
      <c r="X75" s="38">
        <f t="shared" si="32"/>
        <v>128</v>
      </c>
      <c r="Y75" s="33">
        <v>1</v>
      </c>
      <c r="Z75" s="218">
        <f t="shared" si="22"/>
        <v>128</v>
      </c>
      <c r="AA75" s="33">
        <f t="shared" si="23"/>
        <v>0.7</v>
      </c>
      <c r="AB75" s="38">
        <f t="shared" si="24"/>
        <v>653</v>
      </c>
      <c r="AC75" s="33">
        <f t="shared" si="25"/>
        <v>0.95</v>
      </c>
      <c r="AD75" s="218">
        <f t="shared" si="18"/>
        <v>558</v>
      </c>
      <c r="AE75" s="33">
        <f t="shared" si="26"/>
        <v>0.95</v>
      </c>
      <c r="AF75" s="218">
        <f t="shared" si="27"/>
        <v>530</v>
      </c>
      <c r="AG75" s="38">
        <v>183</v>
      </c>
      <c r="AH75" s="38">
        <v>1101</v>
      </c>
      <c r="AI75" s="33">
        <f t="shared" si="28"/>
        <v>0.95</v>
      </c>
      <c r="AJ75" s="33">
        <v>0.14000000000000001</v>
      </c>
      <c r="AK75" s="218">
        <f t="shared" si="29"/>
        <v>135</v>
      </c>
      <c r="AL75" s="218">
        <f t="shared" si="30"/>
        <v>829</v>
      </c>
      <c r="AM75" s="33">
        <v>0</v>
      </c>
      <c r="AN75" s="218">
        <f t="shared" si="31"/>
        <v>0</v>
      </c>
      <c r="AO75" s="38">
        <v>1340</v>
      </c>
      <c r="AP75" s="218">
        <v>2505</v>
      </c>
    </row>
    <row r="76" spans="1:42" x14ac:dyDescent="0.2">
      <c r="A76" t="str">
        <f>INDEX(Prioritization!$D:$D,MATCH($B76,Prioritization!$A:$A,0))</f>
        <v>1 - Scale-up: Saturation</v>
      </c>
      <c r="B76" t="s">
        <v>317</v>
      </c>
      <c r="C76" t="s">
        <v>581</v>
      </c>
      <c r="D76" t="str">
        <f t="shared" si="19"/>
        <v>Machinga District [TYnMSwzko3z]|MSM</v>
      </c>
      <c r="E76" s="218">
        <v>700</v>
      </c>
      <c r="F76" s="218">
        <v>90</v>
      </c>
      <c r="G76" s="218"/>
      <c r="H76" s="38"/>
      <c r="I76" s="218"/>
      <c r="J76" s="38"/>
      <c r="K76" s="218"/>
      <c r="L76" s="38"/>
      <c r="M76" s="218"/>
      <c r="N76" s="38"/>
      <c r="O76" s="38"/>
      <c r="P76" s="38"/>
      <c r="Q76" s="237"/>
      <c r="R76" s="229"/>
      <c r="S76" s="33">
        <f t="shared" si="20"/>
        <v>0</v>
      </c>
      <c r="T76" s="38"/>
      <c r="U76" s="33">
        <v>0.7</v>
      </c>
      <c r="V76" s="33">
        <v>0.83</v>
      </c>
      <c r="W76" s="38" t="str">
        <f t="shared" si="21"/>
        <v/>
      </c>
      <c r="X76" s="38" t="str">
        <f t="shared" si="32"/>
        <v/>
      </c>
      <c r="Y76" s="33">
        <v>1</v>
      </c>
      <c r="Z76" s="218" t="str">
        <f t="shared" si="22"/>
        <v/>
      </c>
      <c r="AA76" s="33">
        <f t="shared" si="23"/>
        <v>0.7</v>
      </c>
      <c r="AB76" s="38" t="str">
        <f t="shared" si="24"/>
        <v/>
      </c>
      <c r="AC76" s="33">
        <f t="shared" si="25"/>
        <v>0.95</v>
      </c>
      <c r="AD76" s="218" t="str">
        <f t="shared" si="18"/>
        <v/>
      </c>
      <c r="AE76" s="33">
        <f t="shared" si="26"/>
        <v>0.95</v>
      </c>
      <c r="AF76" s="218" t="str">
        <f t="shared" si="27"/>
        <v/>
      </c>
      <c r="AG76" s="38"/>
      <c r="AH76" s="38"/>
      <c r="AI76" s="33">
        <f t="shared" si="28"/>
        <v>0.95</v>
      </c>
      <c r="AJ76" s="33">
        <v>0.114</v>
      </c>
      <c r="AK76" s="218" t="str">
        <f t="shared" si="29"/>
        <v/>
      </c>
      <c r="AL76" s="218" t="str">
        <f t="shared" si="30"/>
        <v/>
      </c>
      <c r="AM76" s="33">
        <v>0</v>
      </c>
      <c r="AN76" s="218" t="str">
        <f t="shared" si="31"/>
        <v/>
      </c>
      <c r="AO76" s="38"/>
      <c r="AP76" s="218"/>
    </row>
    <row r="77" spans="1:42" x14ac:dyDescent="0.2">
      <c r="A77" t="str">
        <f>INDEX(Prioritization!$D:$D,MATCH($B77,Prioritization!$A:$A,0))</f>
        <v>1 - Scale-up: Saturation</v>
      </c>
      <c r="B77" t="s">
        <v>317</v>
      </c>
      <c r="C77" t="s">
        <v>582</v>
      </c>
      <c r="D77" t="str">
        <f t="shared" si="19"/>
        <v>Machinga District [TYnMSwzko3z]|People in prisons and other enclosed settings</v>
      </c>
      <c r="E77" s="218"/>
      <c r="F77" s="218"/>
      <c r="G77" s="218"/>
      <c r="H77" s="38"/>
      <c r="I77" s="218"/>
      <c r="J77" s="38"/>
      <c r="K77" s="218"/>
      <c r="L77" s="38"/>
      <c r="M77" s="218"/>
      <c r="N77" s="38"/>
      <c r="O77" s="38"/>
      <c r="P77" s="38">
        <v>0</v>
      </c>
      <c r="Q77" s="237">
        <v>0</v>
      </c>
      <c r="R77" s="229">
        <v>0</v>
      </c>
      <c r="S77" s="33" t="str">
        <f t="shared" si="20"/>
        <v/>
      </c>
      <c r="T77" s="38"/>
      <c r="U77" s="33">
        <v>0.85</v>
      </c>
      <c r="V77" s="33">
        <v>0.85</v>
      </c>
      <c r="W77" s="38" t="str">
        <f t="shared" si="21"/>
        <v/>
      </c>
      <c r="X77" s="38" t="str">
        <f t="shared" si="32"/>
        <v/>
      </c>
      <c r="Y77" s="33">
        <v>1</v>
      </c>
      <c r="Z77" s="218" t="str">
        <f t="shared" si="22"/>
        <v/>
      </c>
      <c r="AA77" s="33">
        <f t="shared" si="23"/>
        <v>0.7</v>
      </c>
      <c r="AB77" s="38" t="str">
        <f t="shared" si="24"/>
        <v/>
      </c>
      <c r="AC77" s="33">
        <f t="shared" si="25"/>
        <v>0.95</v>
      </c>
      <c r="AD77" s="218" t="str">
        <f t="shared" si="18"/>
        <v/>
      </c>
      <c r="AE77" s="33">
        <f t="shared" si="26"/>
        <v>0.95</v>
      </c>
      <c r="AF77" s="218" t="str">
        <f t="shared" si="27"/>
        <v/>
      </c>
      <c r="AG77" s="38"/>
      <c r="AH77" s="38"/>
      <c r="AI77" s="33">
        <f t="shared" si="28"/>
        <v>0.95</v>
      </c>
      <c r="AJ77" s="33"/>
      <c r="AK77" s="218" t="str">
        <f t="shared" si="29"/>
        <v/>
      </c>
      <c r="AL77" s="218" t="str">
        <f t="shared" si="30"/>
        <v/>
      </c>
      <c r="AM77" s="33">
        <f t="shared" si="33"/>
        <v>0.95</v>
      </c>
      <c r="AN77" s="218" t="str">
        <f t="shared" si="31"/>
        <v/>
      </c>
      <c r="AO77" s="38"/>
      <c r="AP77" s="218"/>
    </row>
    <row r="78" spans="1:42" x14ac:dyDescent="0.2">
      <c r="A78" t="str">
        <f>INDEX(Prioritization!$D:$D,MATCH($B78,Prioritization!$A:$A,0))</f>
        <v>1 - Scale-up: Saturation</v>
      </c>
      <c r="B78" t="s">
        <v>317</v>
      </c>
      <c r="C78" t="s">
        <v>583</v>
      </c>
      <c r="D78" t="str">
        <f t="shared" si="19"/>
        <v>Machinga District [TYnMSwzko3z]|PWID</v>
      </c>
      <c r="E78" s="218"/>
      <c r="F78" s="218"/>
      <c r="G78" s="218"/>
      <c r="H78" s="38"/>
      <c r="I78" s="218"/>
      <c r="J78" s="38"/>
      <c r="K78" s="218"/>
      <c r="L78" s="38"/>
      <c r="M78" s="218"/>
      <c r="N78" s="38"/>
      <c r="O78" s="38"/>
      <c r="P78" s="38">
        <v>0</v>
      </c>
      <c r="Q78" s="237">
        <v>0</v>
      </c>
      <c r="R78" s="229">
        <v>0</v>
      </c>
      <c r="S78" s="33" t="str">
        <f t="shared" si="20"/>
        <v/>
      </c>
      <c r="T78" s="38"/>
      <c r="U78" s="33">
        <v>0.8</v>
      </c>
      <c r="V78" s="33">
        <v>0.85</v>
      </c>
      <c r="W78" s="38" t="str">
        <f t="shared" si="21"/>
        <v/>
      </c>
      <c r="X78" s="38" t="str">
        <f t="shared" si="32"/>
        <v/>
      </c>
      <c r="Y78" s="33">
        <v>1</v>
      </c>
      <c r="Z78" s="218" t="str">
        <f t="shared" si="22"/>
        <v/>
      </c>
      <c r="AA78" s="33">
        <f t="shared" si="23"/>
        <v>0.7</v>
      </c>
      <c r="AB78" s="38" t="str">
        <f t="shared" si="24"/>
        <v/>
      </c>
      <c r="AC78" s="33">
        <f t="shared" si="25"/>
        <v>0.95</v>
      </c>
      <c r="AD78" s="218" t="str">
        <f t="shared" si="18"/>
        <v/>
      </c>
      <c r="AE78" s="33">
        <f t="shared" si="26"/>
        <v>0.95</v>
      </c>
      <c r="AF78" s="218" t="str">
        <f t="shared" si="27"/>
        <v/>
      </c>
      <c r="AG78" s="38"/>
      <c r="AH78" s="38"/>
      <c r="AI78" s="33">
        <f t="shared" si="28"/>
        <v>0.95</v>
      </c>
      <c r="AJ78" s="33"/>
      <c r="AK78" s="218" t="str">
        <f t="shared" si="29"/>
        <v/>
      </c>
      <c r="AL78" s="218" t="str">
        <f t="shared" si="30"/>
        <v/>
      </c>
      <c r="AM78" s="33">
        <f t="shared" si="33"/>
        <v>0.95</v>
      </c>
      <c r="AN78" s="218" t="str">
        <f t="shared" si="31"/>
        <v/>
      </c>
      <c r="AO78" s="38"/>
      <c r="AP78" s="218"/>
    </row>
    <row r="79" spans="1:42" x14ac:dyDescent="0.2">
      <c r="A79" t="str">
        <f>INDEX(Prioritization!$D:$D,MATCH($B79,Prioritization!$A:$A,0))</f>
        <v>1 - Scale-up: Saturation</v>
      </c>
      <c r="B79" t="s">
        <v>317</v>
      </c>
      <c r="C79" t="s">
        <v>584</v>
      </c>
      <c r="D79" t="str">
        <f t="shared" ref="D79:D110" si="34">B79&amp;"|"&amp;C79</f>
        <v>Machinga District [TYnMSwzko3z]|TG</v>
      </c>
      <c r="E79" s="218">
        <v>80</v>
      </c>
      <c r="F79" s="218">
        <v>32</v>
      </c>
      <c r="G79" s="218"/>
      <c r="H79" s="38"/>
      <c r="I79" s="218"/>
      <c r="J79" s="38"/>
      <c r="K79" s="218"/>
      <c r="L79" s="38"/>
      <c r="M79" s="218"/>
      <c r="N79" s="38"/>
      <c r="O79" s="38"/>
      <c r="P79" s="38"/>
      <c r="Q79" s="237"/>
      <c r="R79" s="229"/>
      <c r="S79" s="33">
        <f t="shared" ref="S79:S110" si="35">IF(SUM($F79)=0,"",SUM($R79)/$F79)</f>
        <v>0</v>
      </c>
      <c r="T79" s="38"/>
      <c r="U79" s="33">
        <v>0.85</v>
      </c>
      <c r="V79" s="33">
        <v>0.85</v>
      </c>
      <c r="W79" s="38" t="str">
        <f t="shared" ref="W79:W110" si="36">IF(SUM($P79,$Q79)=0,"",SUM($Q79)-SUM($P79))</f>
        <v/>
      </c>
      <c r="X79" s="38" t="str">
        <f t="shared" ref="X79:X110" si="37">IFERROR(1/(1/ROUND((SUM($Q79)-(SUM($P79)*SUM($U79)))/$V79,0)),"")</f>
        <v/>
      </c>
      <c r="Y79" s="33">
        <v>1</v>
      </c>
      <c r="Z79" s="218" t="str">
        <f t="shared" ref="Z79:Z110" si="38">IFERROR(1/(1/ROUND(SUM($X79)*SUM($Y79),0)),"")</f>
        <v/>
      </c>
      <c r="AA79" s="33">
        <f t="shared" ref="AA79:AA110" si="39">0.7</f>
        <v>0.7</v>
      </c>
      <c r="AB79" s="38" t="str">
        <f t="shared" ref="AB79:AB110" si="40">IFERROR(1/(1/ROUND($P79+(SUM($X79)*$AA79),0)),"")</f>
        <v/>
      </c>
      <c r="AC79" s="33">
        <f t="shared" ref="AC79:AC110" si="41">0.95</f>
        <v>0.95</v>
      </c>
      <c r="AD79" s="218" t="str">
        <f t="shared" si="18"/>
        <v/>
      </c>
      <c r="AE79" s="33">
        <f t="shared" ref="AE79:AE110" si="42">0.95</f>
        <v>0.95</v>
      </c>
      <c r="AF79" s="218" t="str">
        <f t="shared" ref="AF79:AF110" si="43">IF(SUM($AD79)=0,"",ROUND($AD79*$AE79,0))</f>
        <v/>
      </c>
      <c r="AG79" s="38"/>
      <c r="AH79" s="38"/>
      <c r="AI79" s="33">
        <f t="shared" ref="AI79:AI110" si="44">0.95</f>
        <v>0.95</v>
      </c>
      <c r="AJ79" s="33">
        <v>0.13</v>
      </c>
      <c r="AK79" s="218" t="str">
        <f t="shared" ref="AK79:AK110" si="45">IF(SUM($Z79)=0,"",IF(AND(SUM($Z79)&gt;0,$AI79=""),"ENTER LINKAGE RATE",ROUND($Z79/$AI79,0)))</f>
        <v/>
      </c>
      <c r="AL79" s="218" t="str">
        <f t="shared" ref="AL79:AL110" si="46">IF(SUM($AK79)=0,"",IF(AND($AK79&gt;0,$AJ79=""),"ENTER YIELD RATE",ROUND($AK79/$AJ79-$AK79,0)))</f>
        <v/>
      </c>
      <c r="AM79" s="33">
        <v>0</v>
      </c>
      <c r="AN79" s="218" t="str">
        <f t="shared" ref="AN79:AN110" si="47">IF(SUM($AK79)=0,"",ROUND($AK79*$AM79,0))</f>
        <v/>
      </c>
      <c r="AO79" s="38"/>
      <c r="AP79" s="218"/>
    </row>
    <row r="80" spans="1:42" x14ac:dyDescent="0.2">
      <c r="A80" t="str">
        <f>INDEX(Prioritization!$D:$D,MATCH($B80,Prioritization!$A:$A,0))</f>
        <v>1 - Scale-up: Saturation</v>
      </c>
      <c r="B80" t="s">
        <v>318</v>
      </c>
      <c r="C80" t="s">
        <v>580</v>
      </c>
      <c r="D80" t="str">
        <f t="shared" si="34"/>
        <v>Mangochi District [lLDyBx5XyUi]|FSW</v>
      </c>
      <c r="E80" s="218">
        <v>5300</v>
      </c>
      <c r="F80" s="218">
        <v>2645</v>
      </c>
      <c r="G80" s="218"/>
      <c r="H80" s="38">
        <v>329</v>
      </c>
      <c r="I80" s="218">
        <v>604</v>
      </c>
      <c r="J80" s="38">
        <v>1416</v>
      </c>
      <c r="K80" s="218">
        <v>1511</v>
      </c>
      <c r="L80" s="38">
        <v>5900</v>
      </c>
      <c r="M80" s="218">
        <v>5440</v>
      </c>
      <c r="N80" s="38">
        <v>1260</v>
      </c>
      <c r="O80" s="38">
        <v>1027</v>
      </c>
      <c r="P80" s="38">
        <v>1493</v>
      </c>
      <c r="Q80" s="237">
        <v>1726</v>
      </c>
      <c r="R80" s="229">
        <v>1726</v>
      </c>
      <c r="S80" s="33">
        <f t="shared" si="35"/>
        <v>0.65255198487712662</v>
      </c>
      <c r="T80" s="38">
        <v>372</v>
      </c>
      <c r="U80" s="33">
        <v>0.85</v>
      </c>
      <c r="V80" s="33">
        <v>0.85</v>
      </c>
      <c r="W80" s="38">
        <f t="shared" si="36"/>
        <v>233</v>
      </c>
      <c r="X80" s="38">
        <f t="shared" si="37"/>
        <v>538</v>
      </c>
      <c r="Y80" s="33">
        <v>1</v>
      </c>
      <c r="Z80" s="218">
        <f t="shared" si="38"/>
        <v>538</v>
      </c>
      <c r="AA80" s="33">
        <f t="shared" si="39"/>
        <v>0.7</v>
      </c>
      <c r="AB80" s="38">
        <f t="shared" si="40"/>
        <v>1870</v>
      </c>
      <c r="AC80" s="33">
        <f t="shared" si="41"/>
        <v>0.95</v>
      </c>
      <c r="AD80" s="218">
        <f t="shared" ref="AD80:AD143" si="48">IF(SUM($AB80)=0,"",ROUND($Q80*$AC80,0))</f>
        <v>1640</v>
      </c>
      <c r="AE80" s="33">
        <f t="shared" si="42"/>
        <v>0.95</v>
      </c>
      <c r="AF80" s="218">
        <f t="shared" si="43"/>
        <v>1558</v>
      </c>
      <c r="AG80" s="38">
        <v>392</v>
      </c>
      <c r="AH80" s="38">
        <v>2359</v>
      </c>
      <c r="AI80" s="33">
        <f t="shared" si="44"/>
        <v>0.95</v>
      </c>
      <c r="AJ80" s="33">
        <v>0.14000000000000001</v>
      </c>
      <c r="AK80" s="218">
        <f t="shared" si="45"/>
        <v>566</v>
      </c>
      <c r="AL80" s="218">
        <f t="shared" si="46"/>
        <v>3477</v>
      </c>
      <c r="AM80" s="33">
        <v>0</v>
      </c>
      <c r="AN80" s="218">
        <f t="shared" si="47"/>
        <v>0</v>
      </c>
      <c r="AO80" s="38">
        <v>2186</v>
      </c>
      <c r="AP80" s="218">
        <v>5311</v>
      </c>
    </row>
    <row r="81" spans="1:42" x14ac:dyDescent="0.2">
      <c r="A81" t="str">
        <f>INDEX(Prioritization!$D:$D,MATCH($B81,Prioritization!$A:$A,0))</f>
        <v>1 - Scale-up: Saturation</v>
      </c>
      <c r="B81" t="s">
        <v>318</v>
      </c>
      <c r="C81" t="s">
        <v>581</v>
      </c>
      <c r="D81" t="str">
        <f t="shared" si="34"/>
        <v>Mangochi District [lLDyBx5XyUi]|MSM</v>
      </c>
      <c r="E81" s="218"/>
      <c r="F81" s="218"/>
      <c r="G81" s="218"/>
      <c r="H81" s="38"/>
      <c r="I81" s="218"/>
      <c r="J81" s="38"/>
      <c r="K81" s="218"/>
      <c r="L81" s="38"/>
      <c r="M81" s="218"/>
      <c r="N81" s="38"/>
      <c r="O81" s="38">
        <v>246</v>
      </c>
      <c r="P81" s="38">
        <v>110</v>
      </c>
      <c r="Q81" s="237">
        <v>194</v>
      </c>
      <c r="R81" s="229">
        <v>110</v>
      </c>
      <c r="S81" s="33" t="str">
        <f t="shared" si="35"/>
        <v/>
      </c>
      <c r="T81" s="38"/>
      <c r="U81" s="33"/>
      <c r="V81" s="33"/>
      <c r="W81" s="38"/>
      <c r="X81" s="38"/>
      <c r="Y81" s="33"/>
      <c r="Z81" s="218"/>
      <c r="AA81" s="33">
        <f t="shared" si="39"/>
        <v>0.7</v>
      </c>
      <c r="AB81" s="38">
        <f t="shared" si="40"/>
        <v>110</v>
      </c>
      <c r="AC81" s="33"/>
      <c r="AD81" s="218"/>
      <c r="AE81" s="33"/>
      <c r="AF81" s="218"/>
      <c r="AG81" s="38"/>
      <c r="AH81" s="38">
        <v>736</v>
      </c>
      <c r="AI81" s="33">
        <f t="shared" si="44"/>
        <v>0.95</v>
      </c>
      <c r="AJ81" s="33">
        <v>0.114</v>
      </c>
      <c r="AK81" s="218" t="str">
        <f t="shared" si="45"/>
        <v/>
      </c>
      <c r="AL81" s="218" t="str">
        <f t="shared" si="46"/>
        <v/>
      </c>
      <c r="AM81" s="33">
        <v>0</v>
      </c>
      <c r="AN81" s="218" t="str">
        <f t="shared" si="47"/>
        <v/>
      </c>
      <c r="AO81" s="38">
        <v>620</v>
      </c>
      <c r="AP81" s="218">
        <v>1762</v>
      </c>
    </row>
    <row r="82" spans="1:42" x14ac:dyDescent="0.2">
      <c r="A82" t="str">
        <f>INDEX(Prioritization!$D:$D,MATCH($B82,Prioritization!$A:$A,0))</f>
        <v>1 - Scale-up: Saturation</v>
      </c>
      <c r="B82" t="s">
        <v>318</v>
      </c>
      <c r="C82" t="s">
        <v>582</v>
      </c>
      <c r="D82" t="str">
        <f t="shared" si="34"/>
        <v>Mangochi District [lLDyBx5XyUi]|People in prisons and other enclosed settings</v>
      </c>
      <c r="E82" s="218"/>
      <c r="F82" s="218"/>
      <c r="G82" s="218"/>
      <c r="H82" s="38"/>
      <c r="I82" s="218"/>
      <c r="J82" s="38"/>
      <c r="K82" s="218"/>
      <c r="L82" s="38"/>
      <c r="M82" s="218"/>
      <c r="N82" s="38"/>
      <c r="O82" s="38"/>
      <c r="P82" s="38">
        <v>0</v>
      </c>
      <c r="Q82" s="237">
        <v>0</v>
      </c>
      <c r="R82" s="229">
        <v>0</v>
      </c>
      <c r="S82" s="33" t="str">
        <f t="shared" si="35"/>
        <v/>
      </c>
      <c r="T82" s="38"/>
      <c r="U82" s="33">
        <v>0.85</v>
      </c>
      <c r="V82" s="33">
        <v>0.85</v>
      </c>
      <c r="W82" s="38" t="str">
        <f t="shared" si="36"/>
        <v/>
      </c>
      <c r="X82" s="38" t="str">
        <f t="shared" si="37"/>
        <v/>
      </c>
      <c r="Y82" s="33">
        <v>1</v>
      </c>
      <c r="Z82" s="218" t="str">
        <f t="shared" si="38"/>
        <v/>
      </c>
      <c r="AA82" s="33">
        <f t="shared" si="39"/>
        <v>0.7</v>
      </c>
      <c r="AB82" s="38" t="str">
        <f t="shared" si="40"/>
        <v/>
      </c>
      <c r="AC82" s="33">
        <f t="shared" si="41"/>
        <v>0.95</v>
      </c>
      <c r="AD82" s="218" t="str">
        <f t="shared" si="48"/>
        <v/>
      </c>
      <c r="AE82" s="33">
        <f t="shared" si="42"/>
        <v>0.95</v>
      </c>
      <c r="AF82" s="218" t="str">
        <f t="shared" si="43"/>
        <v/>
      </c>
      <c r="AG82" s="38"/>
      <c r="AH82" s="38"/>
      <c r="AI82" s="33">
        <f t="shared" si="44"/>
        <v>0.95</v>
      </c>
      <c r="AJ82" s="33"/>
      <c r="AK82" s="218" t="str">
        <f t="shared" si="45"/>
        <v/>
      </c>
      <c r="AL82" s="218" t="str">
        <f t="shared" si="46"/>
        <v/>
      </c>
      <c r="AM82" s="33">
        <f t="shared" ref="AM82:AM94" si="49">0.95</f>
        <v>0.95</v>
      </c>
      <c r="AN82" s="218" t="str">
        <f t="shared" si="47"/>
        <v/>
      </c>
      <c r="AO82" s="38"/>
      <c r="AP82" s="218"/>
    </row>
    <row r="83" spans="1:42" x14ac:dyDescent="0.2">
      <c r="A83" t="str">
        <f>INDEX(Prioritization!$D:$D,MATCH($B83,Prioritization!$A:$A,0))</f>
        <v>1 - Scale-up: Saturation</v>
      </c>
      <c r="B83" t="s">
        <v>318</v>
      </c>
      <c r="C83" t="s">
        <v>583</v>
      </c>
      <c r="D83" t="str">
        <f t="shared" si="34"/>
        <v>Mangochi District [lLDyBx5XyUi]|PWID</v>
      </c>
      <c r="E83" s="218"/>
      <c r="F83" s="218"/>
      <c r="G83" s="218"/>
      <c r="H83" s="38"/>
      <c r="I83" s="218"/>
      <c r="J83" s="38"/>
      <c r="K83" s="218"/>
      <c r="L83" s="38"/>
      <c r="M83" s="218"/>
      <c r="N83" s="38"/>
      <c r="O83" s="38"/>
      <c r="P83" s="38">
        <v>0</v>
      </c>
      <c r="Q83" s="237">
        <v>0</v>
      </c>
      <c r="R83" s="229">
        <v>0</v>
      </c>
      <c r="S83" s="33" t="str">
        <f t="shared" si="35"/>
        <v/>
      </c>
      <c r="T83" s="38"/>
      <c r="U83" s="33">
        <v>0.8</v>
      </c>
      <c r="V83" s="33">
        <v>0.85</v>
      </c>
      <c r="W83" s="38" t="str">
        <f t="shared" si="36"/>
        <v/>
      </c>
      <c r="X83" s="38" t="str">
        <f t="shared" si="37"/>
        <v/>
      </c>
      <c r="Y83" s="33">
        <v>1</v>
      </c>
      <c r="Z83" s="218" t="str">
        <f t="shared" si="38"/>
        <v/>
      </c>
      <c r="AA83" s="33">
        <f t="shared" si="39"/>
        <v>0.7</v>
      </c>
      <c r="AB83" s="38" t="str">
        <f t="shared" si="40"/>
        <v/>
      </c>
      <c r="AC83" s="33">
        <f t="shared" si="41"/>
        <v>0.95</v>
      </c>
      <c r="AD83" s="218" t="str">
        <f t="shared" si="48"/>
        <v/>
      </c>
      <c r="AE83" s="33">
        <f t="shared" si="42"/>
        <v>0.95</v>
      </c>
      <c r="AF83" s="218" t="str">
        <f t="shared" si="43"/>
        <v/>
      </c>
      <c r="AG83" s="38"/>
      <c r="AH83" s="38"/>
      <c r="AI83" s="33">
        <f t="shared" si="44"/>
        <v>0.95</v>
      </c>
      <c r="AJ83" s="33"/>
      <c r="AK83" s="218" t="str">
        <f t="shared" si="45"/>
        <v/>
      </c>
      <c r="AL83" s="218" t="str">
        <f t="shared" si="46"/>
        <v/>
      </c>
      <c r="AM83" s="33">
        <f t="shared" si="49"/>
        <v>0.95</v>
      </c>
      <c r="AN83" s="218" t="str">
        <f t="shared" si="47"/>
        <v/>
      </c>
      <c r="AO83" s="38"/>
      <c r="AP83" s="218"/>
    </row>
    <row r="84" spans="1:42" x14ac:dyDescent="0.2">
      <c r="A84" t="str">
        <f>INDEX(Prioritization!$D:$D,MATCH($B84,Prioritization!$A:$A,0))</f>
        <v>1 - Scale-up: Saturation</v>
      </c>
      <c r="B84" t="s">
        <v>318</v>
      </c>
      <c r="C84" t="s">
        <v>584</v>
      </c>
      <c r="D84" t="str">
        <f t="shared" si="34"/>
        <v>Mangochi District [lLDyBx5XyUi]|TG</v>
      </c>
      <c r="E84" s="218"/>
      <c r="F84" s="218"/>
      <c r="G84" s="218"/>
      <c r="H84" s="38"/>
      <c r="I84" s="218"/>
      <c r="J84" s="38"/>
      <c r="K84" s="218"/>
      <c r="L84" s="38"/>
      <c r="M84" s="218"/>
      <c r="N84" s="38"/>
      <c r="O84" s="38">
        <v>57</v>
      </c>
      <c r="P84" s="38">
        <v>97</v>
      </c>
      <c r="Q84" s="237">
        <v>125</v>
      </c>
      <c r="R84" s="229">
        <v>125</v>
      </c>
      <c r="S84" s="33" t="str">
        <f t="shared" si="35"/>
        <v/>
      </c>
      <c r="T84" s="38"/>
      <c r="U84" s="33"/>
      <c r="V84" s="33"/>
      <c r="W84" s="38"/>
      <c r="X84" s="38"/>
      <c r="Y84" s="33"/>
      <c r="Z84" s="218"/>
      <c r="AA84" s="33">
        <f t="shared" si="39"/>
        <v>0.7</v>
      </c>
      <c r="AB84" s="38">
        <f t="shared" si="40"/>
        <v>97</v>
      </c>
      <c r="AC84" s="33"/>
      <c r="AD84" s="218"/>
      <c r="AE84" s="33"/>
      <c r="AF84" s="218"/>
      <c r="AG84" s="38"/>
      <c r="AH84" s="38">
        <v>184</v>
      </c>
      <c r="AI84" s="33">
        <f t="shared" si="44"/>
        <v>0.95</v>
      </c>
      <c r="AJ84" s="33">
        <v>0.13</v>
      </c>
      <c r="AK84" s="218" t="str">
        <f t="shared" si="45"/>
        <v/>
      </c>
      <c r="AL84" s="218" t="str">
        <f t="shared" si="46"/>
        <v/>
      </c>
      <c r="AM84" s="33">
        <v>0</v>
      </c>
      <c r="AN84" s="218" t="str">
        <f t="shared" si="47"/>
        <v/>
      </c>
      <c r="AO84" s="38">
        <v>220</v>
      </c>
      <c r="AP84" s="218">
        <v>480</v>
      </c>
    </row>
    <row r="85" spans="1:42" x14ac:dyDescent="0.2">
      <c r="A85" t="str">
        <f>INDEX(Prioritization!$D:$D,MATCH($B85,Prioritization!$A:$A,0))</f>
        <v>4 - Sustained</v>
      </c>
      <c r="B85" t="s">
        <v>302</v>
      </c>
      <c r="C85" t="s">
        <v>580</v>
      </c>
      <c r="D85" t="str">
        <f t="shared" si="34"/>
        <v>Mchinji District [kxuuIFpOXyO]|FSW</v>
      </c>
      <c r="E85" s="218"/>
      <c r="F85" s="218"/>
      <c r="G85" s="218"/>
      <c r="H85" s="38"/>
      <c r="I85" s="218"/>
      <c r="J85" s="38"/>
      <c r="K85" s="218"/>
      <c r="L85" s="38"/>
      <c r="M85" s="218"/>
      <c r="N85" s="38"/>
      <c r="O85" s="38"/>
      <c r="P85" s="38">
        <v>0</v>
      </c>
      <c r="Q85" s="237">
        <v>0</v>
      </c>
      <c r="R85" s="229">
        <v>0</v>
      </c>
      <c r="S85" s="33" t="str">
        <f t="shared" si="35"/>
        <v/>
      </c>
      <c r="T85" s="38"/>
      <c r="U85" s="33">
        <v>0.85</v>
      </c>
      <c r="V85" s="33">
        <v>0.85</v>
      </c>
      <c r="W85" s="38" t="str">
        <f t="shared" si="36"/>
        <v/>
      </c>
      <c r="X85" s="38" t="str">
        <f t="shared" si="37"/>
        <v/>
      </c>
      <c r="Y85" s="33">
        <v>1</v>
      </c>
      <c r="Z85" s="218" t="str">
        <f t="shared" si="38"/>
        <v/>
      </c>
      <c r="AA85" s="33">
        <f t="shared" si="39"/>
        <v>0.7</v>
      </c>
      <c r="AB85" s="38" t="str">
        <f t="shared" si="40"/>
        <v/>
      </c>
      <c r="AC85" s="33">
        <f t="shared" si="41"/>
        <v>0.95</v>
      </c>
      <c r="AD85" s="218" t="str">
        <f t="shared" si="48"/>
        <v/>
      </c>
      <c r="AE85" s="33">
        <f t="shared" si="42"/>
        <v>0.95</v>
      </c>
      <c r="AF85" s="218" t="str">
        <f t="shared" si="43"/>
        <v/>
      </c>
      <c r="AG85" s="38"/>
      <c r="AH85" s="38"/>
      <c r="AI85" s="33">
        <f t="shared" si="44"/>
        <v>0.95</v>
      </c>
      <c r="AJ85" s="33"/>
      <c r="AK85" s="218" t="str">
        <f t="shared" si="45"/>
        <v/>
      </c>
      <c r="AL85" s="218" t="str">
        <f t="shared" si="46"/>
        <v/>
      </c>
      <c r="AM85" s="33">
        <f t="shared" si="49"/>
        <v>0.95</v>
      </c>
      <c r="AN85" s="218" t="str">
        <f t="shared" si="47"/>
        <v/>
      </c>
      <c r="AO85" s="38"/>
      <c r="AP85" s="218"/>
    </row>
    <row r="86" spans="1:42" x14ac:dyDescent="0.2">
      <c r="A86" t="str">
        <f>INDEX(Prioritization!$D:$D,MATCH($B86,Prioritization!$A:$A,0))</f>
        <v>4 - Sustained</v>
      </c>
      <c r="B86" t="s">
        <v>302</v>
      </c>
      <c r="C86" t="s">
        <v>581</v>
      </c>
      <c r="D86" t="str">
        <f t="shared" si="34"/>
        <v>Mchinji District [kxuuIFpOXyO]|MSM</v>
      </c>
      <c r="E86" s="218"/>
      <c r="F86" s="218"/>
      <c r="G86" s="218"/>
      <c r="H86" s="38"/>
      <c r="I86" s="218"/>
      <c r="J86" s="38"/>
      <c r="K86" s="218"/>
      <c r="L86" s="38"/>
      <c r="M86" s="218"/>
      <c r="N86" s="38"/>
      <c r="O86" s="38"/>
      <c r="P86" s="38">
        <v>0</v>
      </c>
      <c r="Q86" s="237">
        <v>0</v>
      </c>
      <c r="R86" s="229">
        <v>0</v>
      </c>
      <c r="S86" s="33" t="str">
        <f t="shared" si="35"/>
        <v/>
      </c>
      <c r="T86" s="38"/>
      <c r="U86" s="33">
        <v>0.7</v>
      </c>
      <c r="V86" s="33">
        <v>0.83</v>
      </c>
      <c r="W86" s="38" t="str">
        <f t="shared" si="36"/>
        <v/>
      </c>
      <c r="X86" s="38" t="str">
        <f t="shared" si="37"/>
        <v/>
      </c>
      <c r="Y86" s="33">
        <v>1</v>
      </c>
      <c r="Z86" s="218" t="str">
        <f t="shared" si="38"/>
        <v/>
      </c>
      <c r="AA86" s="33">
        <f t="shared" si="39"/>
        <v>0.7</v>
      </c>
      <c r="AB86" s="38" t="str">
        <f t="shared" si="40"/>
        <v/>
      </c>
      <c r="AC86" s="33"/>
      <c r="AD86" s="218"/>
      <c r="AE86" s="33"/>
      <c r="AF86" s="218"/>
      <c r="AG86" s="38"/>
      <c r="AH86" s="38"/>
      <c r="AI86" s="33">
        <f t="shared" si="44"/>
        <v>0.95</v>
      </c>
      <c r="AJ86" s="33"/>
      <c r="AK86" s="218" t="str">
        <f t="shared" si="45"/>
        <v/>
      </c>
      <c r="AL86" s="218" t="str">
        <f t="shared" si="46"/>
        <v/>
      </c>
      <c r="AM86" s="33">
        <f t="shared" si="49"/>
        <v>0.95</v>
      </c>
      <c r="AN86" s="218" t="str">
        <f t="shared" si="47"/>
        <v/>
      </c>
      <c r="AO86" s="38"/>
      <c r="AP86" s="218"/>
    </row>
    <row r="87" spans="1:42" x14ac:dyDescent="0.2">
      <c r="A87" t="str">
        <f>INDEX(Prioritization!$D:$D,MATCH($B87,Prioritization!$A:$A,0))</f>
        <v>4 - Sustained</v>
      </c>
      <c r="B87" t="s">
        <v>302</v>
      </c>
      <c r="C87" t="s">
        <v>582</v>
      </c>
      <c r="D87" t="str">
        <f t="shared" si="34"/>
        <v>Mchinji District [kxuuIFpOXyO]|People in prisons and other enclosed settings</v>
      </c>
      <c r="E87" s="218"/>
      <c r="F87" s="218"/>
      <c r="G87" s="218"/>
      <c r="H87" s="38"/>
      <c r="I87" s="218"/>
      <c r="J87" s="38"/>
      <c r="K87" s="218"/>
      <c r="L87" s="38"/>
      <c r="M87" s="218"/>
      <c r="N87" s="38"/>
      <c r="O87" s="38"/>
      <c r="P87" s="38">
        <v>0</v>
      </c>
      <c r="Q87" s="237">
        <v>0</v>
      </c>
      <c r="R87" s="229">
        <v>0</v>
      </c>
      <c r="S87" s="33" t="str">
        <f t="shared" si="35"/>
        <v/>
      </c>
      <c r="T87" s="38"/>
      <c r="U87" s="33">
        <v>0.85</v>
      </c>
      <c r="V87" s="33">
        <v>0.85</v>
      </c>
      <c r="W87" s="38" t="str">
        <f t="shared" si="36"/>
        <v/>
      </c>
      <c r="X87" s="38" t="str">
        <f t="shared" si="37"/>
        <v/>
      </c>
      <c r="Y87" s="33">
        <v>1</v>
      </c>
      <c r="Z87" s="218" t="str">
        <f t="shared" si="38"/>
        <v/>
      </c>
      <c r="AA87" s="33">
        <f t="shared" si="39"/>
        <v>0.7</v>
      </c>
      <c r="AB87" s="38" t="str">
        <f t="shared" si="40"/>
        <v/>
      </c>
      <c r="AC87" s="33">
        <f t="shared" si="41"/>
        <v>0.95</v>
      </c>
      <c r="AD87" s="218" t="str">
        <f t="shared" si="48"/>
        <v/>
      </c>
      <c r="AE87" s="33">
        <f t="shared" si="42"/>
        <v>0.95</v>
      </c>
      <c r="AF87" s="218" t="str">
        <f t="shared" si="43"/>
        <v/>
      </c>
      <c r="AG87" s="38"/>
      <c r="AH87" s="38"/>
      <c r="AI87" s="33">
        <f t="shared" si="44"/>
        <v>0.95</v>
      </c>
      <c r="AJ87" s="33"/>
      <c r="AK87" s="218" t="str">
        <f t="shared" si="45"/>
        <v/>
      </c>
      <c r="AL87" s="218" t="str">
        <f t="shared" si="46"/>
        <v/>
      </c>
      <c r="AM87" s="33">
        <f t="shared" si="49"/>
        <v>0.95</v>
      </c>
      <c r="AN87" s="218" t="str">
        <f t="shared" si="47"/>
        <v/>
      </c>
      <c r="AO87" s="38"/>
      <c r="AP87" s="218"/>
    </row>
    <row r="88" spans="1:42" x14ac:dyDescent="0.2">
      <c r="A88" t="str">
        <f>INDEX(Prioritization!$D:$D,MATCH($B88,Prioritization!$A:$A,0))</f>
        <v>4 - Sustained</v>
      </c>
      <c r="B88" t="s">
        <v>302</v>
      </c>
      <c r="C88" t="s">
        <v>583</v>
      </c>
      <c r="D88" t="str">
        <f t="shared" si="34"/>
        <v>Mchinji District [kxuuIFpOXyO]|PWID</v>
      </c>
      <c r="E88" s="218"/>
      <c r="F88" s="218"/>
      <c r="G88" s="218"/>
      <c r="H88" s="38"/>
      <c r="I88" s="218"/>
      <c r="J88" s="38"/>
      <c r="K88" s="218"/>
      <c r="L88" s="38"/>
      <c r="M88" s="218"/>
      <c r="N88" s="38"/>
      <c r="O88" s="38"/>
      <c r="P88" s="38">
        <v>0</v>
      </c>
      <c r="Q88" s="237">
        <v>0</v>
      </c>
      <c r="R88" s="229">
        <v>0</v>
      </c>
      <c r="S88" s="33" t="str">
        <f t="shared" si="35"/>
        <v/>
      </c>
      <c r="T88" s="38"/>
      <c r="U88" s="33">
        <v>0.8</v>
      </c>
      <c r="V88" s="33">
        <v>0.85</v>
      </c>
      <c r="W88" s="38" t="str">
        <f t="shared" si="36"/>
        <v/>
      </c>
      <c r="X88" s="38" t="str">
        <f t="shared" si="37"/>
        <v/>
      </c>
      <c r="Y88" s="33">
        <v>1</v>
      </c>
      <c r="Z88" s="218" t="str">
        <f t="shared" si="38"/>
        <v/>
      </c>
      <c r="AA88" s="33">
        <f t="shared" si="39"/>
        <v>0.7</v>
      </c>
      <c r="AB88" s="38" t="str">
        <f t="shared" si="40"/>
        <v/>
      </c>
      <c r="AC88" s="33">
        <f t="shared" si="41"/>
        <v>0.95</v>
      </c>
      <c r="AD88" s="218" t="str">
        <f t="shared" si="48"/>
        <v/>
      </c>
      <c r="AE88" s="33">
        <f t="shared" si="42"/>
        <v>0.95</v>
      </c>
      <c r="AF88" s="218" t="str">
        <f t="shared" si="43"/>
        <v/>
      </c>
      <c r="AG88" s="38"/>
      <c r="AH88" s="38"/>
      <c r="AI88" s="33">
        <f t="shared" si="44"/>
        <v>0.95</v>
      </c>
      <c r="AJ88" s="33"/>
      <c r="AK88" s="218" t="str">
        <f t="shared" si="45"/>
        <v/>
      </c>
      <c r="AL88" s="218" t="str">
        <f t="shared" si="46"/>
        <v/>
      </c>
      <c r="AM88" s="33">
        <f t="shared" si="49"/>
        <v>0.95</v>
      </c>
      <c r="AN88" s="218" t="str">
        <f t="shared" si="47"/>
        <v/>
      </c>
      <c r="AO88" s="38"/>
      <c r="AP88" s="218"/>
    </row>
    <row r="89" spans="1:42" x14ac:dyDescent="0.2">
      <c r="A89" t="str">
        <f>INDEX(Prioritization!$D:$D,MATCH($B89,Prioritization!$A:$A,0))</f>
        <v>4 - Sustained</v>
      </c>
      <c r="B89" t="s">
        <v>302</v>
      </c>
      <c r="C89" t="s">
        <v>584</v>
      </c>
      <c r="D89" t="str">
        <f t="shared" si="34"/>
        <v>Mchinji District [kxuuIFpOXyO]|TG</v>
      </c>
      <c r="E89" s="218"/>
      <c r="F89" s="218"/>
      <c r="G89" s="218"/>
      <c r="H89" s="38"/>
      <c r="I89" s="218"/>
      <c r="J89" s="38"/>
      <c r="K89" s="218"/>
      <c r="L89" s="38"/>
      <c r="M89" s="218"/>
      <c r="N89" s="38"/>
      <c r="O89" s="38"/>
      <c r="P89" s="38">
        <v>0</v>
      </c>
      <c r="Q89" s="237">
        <v>0</v>
      </c>
      <c r="R89" s="229">
        <v>0</v>
      </c>
      <c r="S89" s="33" t="str">
        <f t="shared" si="35"/>
        <v/>
      </c>
      <c r="T89" s="38"/>
      <c r="U89" s="33">
        <v>0.85</v>
      </c>
      <c r="V89" s="33">
        <v>0.85</v>
      </c>
      <c r="W89" s="38" t="str">
        <f t="shared" si="36"/>
        <v/>
      </c>
      <c r="X89" s="38" t="str">
        <f t="shared" si="37"/>
        <v/>
      </c>
      <c r="Y89" s="33">
        <v>1</v>
      </c>
      <c r="Z89" s="218" t="str">
        <f t="shared" si="38"/>
        <v/>
      </c>
      <c r="AA89" s="33">
        <f t="shared" si="39"/>
        <v>0.7</v>
      </c>
      <c r="AB89" s="38" t="str">
        <f t="shared" si="40"/>
        <v/>
      </c>
      <c r="AC89" s="33">
        <f t="shared" si="41"/>
        <v>0.95</v>
      </c>
      <c r="AD89" s="218" t="str">
        <f t="shared" si="48"/>
        <v/>
      </c>
      <c r="AE89" s="33">
        <f t="shared" si="42"/>
        <v>0.95</v>
      </c>
      <c r="AF89" s="218" t="str">
        <f t="shared" si="43"/>
        <v/>
      </c>
      <c r="AG89" s="38"/>
      <c r="AH89" s="38"/>
      <c r="AI89" s="33">
        <f t="shared" si="44"/>
        <v>0.95</v>
      </c>
      <c r="AJ89" s="33"/>
      <c r="AK89" s="218" t="str">
        <f t="shared" si="45"/>
        <v/>
      </c>
      <c r="AL89" s="218" t="str">
        <f t="shared" si="46"/>
        <v/>
      </c>
      <c r="AM89" s="33">
        <f t="shared" si="49"/>
        <v>0.95</v>
      </c>
      <c r="AN89" s="218" t="str">
        <f t="shared" si="47"/>
        <v/>
      </c>
      <c r="AO89" s="38"/>
      <c r="AP89" s="218"/>
    </row>
    <row r="90" spans="1:42" x14ac:dyDescent="0.2">
      <c r="A90" t="str">
        <f>INDEX(Prioritization!$D:$D,MATCH($B90,Prioritization!$A:$A,0))</f>
        <v>INVALID</v>
      </c>
      <c r="B90" t="s">
        <v>319</v>
      </c>
      <c r="C90" t="s">
        <v>580</v>
      </c>
      <c r="D90" t="str">
        <f t="shared" si="34"/>
        <v>Mulanje District [umc2n1Z4wNv]|FSW</v>
      </c>
      <c r="E90" s="218"/>
      <c r="F90" s="218"/>
      <c r="G90" s="218"/>
      <c r="H90" s="38"/>
      <c r="I90" s="218"/>
      <c r="J90" s="38"/>
      <c r="K90" s="218"/>
      <c r="L90" s="38"/>
      <c r="M90" s="218"/>
      <c r="N90" s="38"/>
      <c r="O90" s="38"/>
      <c r="P90" s="38">
        <v>0</v>
      </c>
      <c r="Q90" s="237">
        <v>0</v>
      </c>
      <c r="R90" s="229">
        <v>0</v>
      </c>
      <c r="S90" s="33" t="str">
        <f t="shared" si="35"/>
        <v/>
      </c>
      <c r="T90" s="38"/>
      <c r="U90" s="33">
        <v>0.85</v>
      </c>
      <c r="V90" s="33">
        <v>0.85</v>
      </c>
      <c r="W90" s="38" t="str">
        <f t="shared" si="36"/>
        <v/>
      </c>
      <c r="X90" s="38" t="str">
        <f t="shared" si="37"/>
        <v/>
      </c>
      <c r="Y90" s="33">
        <v>1</v>
      </c>
      <c r="Z90" s="218" t="str">
        <f t="shared" si="38"/>
        <v/>
      </c>
      <c r="AA90" s="33">
        <f t="shared" si="39"/>
        <v>0.7</v>
      </c>
      <c r="AB90" s="38" t="str">
        <f t="shared" si="40"/>
        <v/>
      </c>
      <c r="AC90" s="33">
        <f t="shared" si="41"/>
        <v>0.95</v>
      </c>
      <c r="AD90" s="218" t="str">
        <f t="shared" si="48"/>
        <v/>
      </c>
      <c r="AE90" s="33">
        <f t="shared" si="42"/>
        <v>0.95</v>
      </c>
      <c r="AF90" s="218" t="str">
        <f t="shared" si="43"/>
        <v/>
      </c>
      <c r="AG90" s="38"/>
      <c r="AH90" s="38"/>
      <c r="AI90" s="33">
        <f t="shared" si="44"/>
        <v>0.95</v>
      </c>
      <c r="AJ90" s="33"/>
      <c r="AK90" s="218" t="str">
        <f t="shared" si="45"/>
        <v/>
      </c>
      <c r="AL90" s="218" t="str">
        <f t="shared" si="46"/>
        <v/>
      </c>
      <c r="AM90" s="33">
        <f t="shared" si="49"/>
        <v>0.95</v>
      </c>
      <c r="AN90" s="218" t="str">
        <f t="shared" si="47"/>
        <v/>
      </c>
      <c r="AO90" s="38"/>
      <c r="AP90" s="218"/>
    </row>
    <row r="91" spans="1:42" x14ac:dyDescent="0.2">
      <c r="A91" t="str">
        <f>INDEX(Prioritization!$D:$D,MATCH($B91,Prioritization!$A:$A,0))</f>
        <v>INVALID</v>
      </c>
      <c r="B91" t="s">
        <v>319</v>
      </c>
      <c r="C91" t="s">
        <v>581</v>
      </c>
      <c r="D91" t="str">
        <f t="shared" si="34"/>
        <v>Mulanje District [umc2n1Z4wNv]|MSM</v>
      </c>
      <c r="E91" s="218"/>
      <c r="F91" s="218"/>
      <c r="G91" s="218"/>
      <c r="H91" s="38"/>
      <c r="I91" s="218"/>
      <c r="J91" s="38"/>
      <c r="K91" s="218"/>
      <c r="L91" s="38"/>
      <c r="M91" s="218"/>
      <c r="N91" s="38"/>
      <c r="O91" s="38"/>
      <c r="P91" s="38">
        <v>0</v>
      </c>
      <c r="Q91" s="237">
        <v>0</v>
      </c>
      <c r="R91" s="229">
        <v>0</v>
      </c>
      <c r="S91" s="33" t="str">
        <f t="shared" si="35"/>
        <v/>
      </c>
      <c r="T91" s="38"/>
      <c r="U91" s="33">
        <v>0.7</v>
      </c>
      <c r="V91" s="33">
        <v>0.83</v>
      </c>
      <c r="W91" s="38" t="str">
        <f t="shared" si="36"/>
        <v/>
      </c>
      <c r="X91" s="38" t="str">
        <f t="shared" si="37"/>
        <v/>
      </c>
      <c r="Y91" s="33">
        <v>1</v>
      </c>
      <c r="Z91" s="218" t="str">
        <f t="shared" si="38"/>
        <v/>
      </c>
      <c r="AA91" s="33">
        <f t="shared" si="39"/>
        <v>0.7</v>
      </c>
      <c r="AB91" s="38" t="str">
        <f t="shared" si="40"/>
        <v/>
      </c>
      <c r="AC91" s="33">
        <f t="shared" si="41"/>
        <v>0.95</v>
      </c>
      <c r="AD91" s="218" t="str">
        <f t="shared" si="48"/>
        <v/>
      </c>
      <c r="AE91" s="33">
        <f t="shared" si="42"/>
        <v>0.95</v>
      </c>
      <c r="AF91" s="218" t="str">
        <f t="shared" si="43"/>
        <v/>
      </c>
      <c r="AG91" s="38"/>
      <c r="AH91" s="38"/>
      <c r="AI91" s="33">
        <f t="shared" si="44"/>
        <v>0.95</v>
      </c>
      <c r="AJ91" s="33"/>
      <c r="AK91" s="218" t="str">
        <f t="shared" si="45"/>
        <v/>
      </c>
      <c r="AL91" s="218" t="str">
        <f t="shared" si="46"/>
        <v/>
      </c>
      <c r="AM91" s="33">
        <f t="shared" si="49"/>
        <v>0.95</v>
      </c>
      <c r="AN91" s="218" t="str">
        <f t="shared" si="47"/>
        <v/>
      </c>
      <c r="AO91" s="38"/>
      <c r="AP91" s="218"/>
    </row>
    <row r="92" spans="1:42" x14ac:dyDescent="0.2">
      <c r="A92" t="str">
        <f>INDEX(Prioritization!$D:$D,MATCH($B92,Prioritization!$A:$A,0))</f>
        <v>INVALID</v>
      </c>
      <c r="B92" t="s">
        <v>319</v>
      </c>
      <c r="C92" t="s">
        <v>582</v>
      </c>
      <c r="D92" t="str">
        <f t="shared" si="34"/>
        <v>Mulanje District [umc2n1Z4wNv]|People in prisons and other enclosed settings</v>
      </c>
      <c r="E92" s="218"/>
      <c r="F92" s="218"/>
      <c r="G92" s="218"/>
      <c r="H92" s="38"/>
      <c r="I92" s="218"/>
      <c r="J92" s="38"/>
      <c r="K92" s="218"/>
      <c r="L92" s="38"/>
      <c r="M92" s="218"/>
      <c r="N92" s="38"/>
      <c r="O92" s="38"/>
      <c r="P92" s="38">
        <v>0</v>
      </c>
      <c r="Q92" s="237">
        <v>0</v>
      </c>
      <c r="R92" s="229">
        <v>0</v>
      </c>
      <c r="S92" s="33" t="str">
        <f t="shared" si="35"/>
        <v/>
      </c>
      <c r="T92" s="38"/>
      <c r="U92" s="33">
        <v>0.85</v>
      </c>
      <c r="V92" s="33">
        <v>0.85</v>
      </c>
      <c r="W92" s="38" t="str">
        <f t="shared" si="36"/>
        <v/>
      </c>
      <c r="X92" s="38" t="str">
        <f t="shared" si="37"/>
        <v/>
      </c>
      <c r="Y92" s="33">
        <v>1</v>
      </c>
      <c r="Z92" s="218" t="str">
        <f t="shared" si="38"/>
        <v/>
      </c>
      <c r="AA92" s="33">
        <f t="shared" si="39"/>
        <v>0.7</v>
      </c>
      <c r="AB92" s="38" t="str">
        <f t="shared" si="40"/>
        <v/>
      </c>
      <c r="AC92" s="33">
        <f t="shared" si="41"/>
        <v>0.95</v>
      </c>
      <c r="AD92" s="218" t="str">
        <f t="shared" si="48"/>
        <v/>
      </c>
      <c r="AE92" s="33">
        <f t="shared" si="42"/>
        <v>0.95</v>
      </c>
      <c r="AF92" s="218" t="str">
        <f t="shared" si="43"/>
        <v/>
      </c>
      <c r="AG92" s="38"/>
      <c r="AH92" s="38"/>
      <c r="AI92" s="33">
        <f t="shared" si="44"/>
        <v>0.95</v>
      </c>
      <c r="AJ92" s="33"/>
      <c r="AK92" s="218" t="str">
        <f t="shared" si="45"/>
        <v/>
      </c>
      <c r="AL92" s="218" t="str">
        <f t="shared" si="46"/>
        <v/>
      </c>
      <c r="AM92" s="33">
        <f t="shared" si="49"/>
        <v>0.95</v>
      </c>
      <c r="AN92" s="218" t="str">
        <f t="shared" si="47"/>
        <v/>
      </c>
      <c r="AO92" s="38"/>
      <c r="AP92" s="218"/>
    </row>
    <row r="93" spans="1:42" x14ac:dyDescent="0.2">
      <c r="A93" t="str">
        <f>INDEX(Prioritization!$D:$D,MATCH($B93,Prioritization!$A:$A,0))</f>
        <v>INVALID</v>
      </c>
      <c r="B93" t="s">
        <v>319</v>
      </c>
      <c r="C93" t="s">
        <v>583</v>
      </c>
      <c r="D93" t="str">
        <f t="shared" si="34"/>
        <v>Mulanje District [umc2n1Z4wNv]|PWID</v>
      </c>
      <c r="E93" s="218"/>
      <c r="F93" s="218"/>
      <c r="G93" s="218"/>
      <c r="H93" s="38"/>
      <c r="I93" s="218"/>
      <c r="J93" s="38"/>
      <c r="K93" s="218"/>
      <c r="L93" s="38"/>
      <c r="M93" s="218"/>
      <c r="N93" s="38"/>
      <c r="O93" s="38"/>
      <c r="P93" s="38">
        <v>0</v>
      </c>
      <c r="Q93" s="237">
        <v>0</v>
      </c>
      <c r="R93" s="229">
        <v>0</v>
      </c>
      <c r="S93" s="33" t="str">
        <f t="shared" si="35"/>
        <v/>
      </c>
      <c r="T93" s="38"/>
      <c r="U93" s="33">
        <v>0.8</v>
      </c>
      <c r="V93" s="33">
        <v>0.85</v>
      </c>
      <c r="W93" s="38" t="str">
        <f t="shared" si="36"/>
        <v/>
      </c>
      <c r="X93" s="38" t="str">
        <f t="shared" si="37"/>
        <v/>
      </c>
      <c r="Y93" s="33">
        <v>1</v>
      </c>
      <c r="Z93" s="218" t="str">
        <f t="shared" si="38"/>
        <v/>
      </c>
      <c r="AA93" s="33">
        <f t="shared" si="39"/>
        <v>0.7</v>
      </c>
      <c r="AB93" s="38" t="str">
        <f t="shared" si="40"/>
        <v/>
      </c>
      <c r="AC93" s="33">
        <f t="shared" si="41"/>
        <v>0.95</v>
      </c>
      <c r="AD93" s="218" t="str">
        <f t="shared" si="48"/>
        <v/>
      </c>
      <c r="AE93" s="33">
        <f t="shared" si="42"/>
        <v>0.95</v>
      </c>
      <c r="AF93" s="218" t="str">
        <f t="shared" si="43"/>
        <v/>
      </c>
      <c r="AG93" s="38"/>
      <c r="AH93" s="38"/>
      <c r="AI93" s="33">
        <f t="shared" si="44"/>
        <v>0.95</v>
      </c>
      <c r="AJ93" s="33"/>
      <c r="AK93" s="218" t="str">
        <f t="shared" si="45"/>
        <v/>
      </c>
      <c r="AL93" s="218" t="str">
        <f t="shared" si="46"/>
        <v/>
      </c>
      <c r="AM93" s="33">
        <f t="shared" si="49"/>
        <v>0.95</v>
      </c>
      <c r="AN93" s="218" t="str">
        <f t="shared" si="47"/>
        <v/>
      </c>
      <c r="AO93" s="38"/>
      <c r="AP93" s="218"/>
    </row>
    <row r="94" spans="1:42" x14ac:dyDescent="0.2">
      <c r="A94" t="str">
        <f>INDEX(Prioritization!$D:$D,MATCH($B94,Prioritization!$A:$A,0))</f>
        <v>INVALID</v>
      </c>
      <c r="B94" t="s">
        <v>319</v>
      </c>
      <c r="C94" t="s">
        <v>584</v>
      </c>
      <c r="D94" t="str">
        <f t="shared" si="34"/>
        <v>Mulanje District [umc2n1Z4wNv]|TG</v>
      </c>
      <c r="E94" s="218"/>
      <c r="F94" s="218"/>
      <c r="G94" s="218"/>
      <c r="H94" s="38"/>
      <c r="I94" s="218"/>
      <c r="J94" s="38"/>
      <c r="K94" s="218"/>
      <c r="L94" s="38"/>
      <c r="M94" s="218"/>
      <c r="N94" s="38"/>
      <c r="O94" s="38"/>
      <c r="P94" s="38">
        <v>0</v>
      </c>
      <c r="Q94" s="237">
        <v>0</v>
      </c>
      <c r="R94" s="229">
        <v>0</v>
      </c>
      <c r="S94" s="33" t="str">
        <f t="shared" si="35"/>
        <v/>
      </c>
      <c r="T94" s="38"/>
      <c r="U94" s="33">
        <v>0.85</v>
      </c>
      <c r="V94" s="33">
        <v>0.85</v>
      </c>
      <c r="W94" s="38" t="str">
        <f t="shared" si="36"/>
        <v/>
      </c>
      <c r="X94" s="38" t="str">
        <f t="shared" si="37"/>
        <v/>
      </c>
      <c r="Y94" s="33">
        <v>1</v>
      </c>
      <c r="Z94" s="218" t="str">
        <f t="shared" si="38"/>
        <v/>
      </c>
      <c r="AA94" s="33">
        <f t="shared" si="39"/>
        <v>0.7</v>
      </c>
      <c r="AB94" s="38" t="str">
        <f t="shared" si="40"/>
        <v/>
      </c>
      <c r="AC94" s="33">
        <f t="shared" si="41"/>
        <v>0.95</v>
      </c>
      <c r="AD94" s="218" t="str">
        <f t="shared" si="48"/>
        <v/>
      </c>
      <c r="AE94" s="33">
        <f t="shared" si="42"/>
        <v>0.95</v>
      </c>
      <c r="AF94" s="218" t="str">
        <f t="shared" si="43"/>
        <v/>
      </c>
      <c r="AG94" s="38"/>
      <c r="AH94" s="38"/>
      <c r="AI94" s="33">
        <f t="shared" si="44"/>
        <v>0.95</v>
      </c>
      <c r="AJ94" s="33"/>
      <c r="AK94" s="218" t="str">
        <f t="shared" si="45"/>
        <v/>
      </c>
      <c r="AL94" s="218" t="str">
        <f t="shared" si="46"/>
        <v/>
      </c>
      <c r="AM94" s="33">
        <f t="shared" si="49"/>
        <v>0.95</v>
      </c>
      <c r="AN94" s="218" t="str">
        <f t="shared" si="47"/>
        <v/>
      </c>
      <c r="AO94" s="38"/>
      <c r="AP94" s="218"/>
    </row>
    <row r="95" spans="1:42" x14ac:dyDescent="0.2">
      <c r="A95" t="str">
        <f>INDEX(Prioritization!$D:$D,MATCH($B95,Prioritization!$A:$A,0))</f>
        <v>4 - Sustained</v>
      </c>
      <c r="B95" t="s">
        <v>320</v>
      </c>
      <c r="C95" t="s">
        <v>580</v>
      </c>
      <c r="D95" t="str">
        <f t="shared" si="34"/>
        <v>Mwanza District [wNqJp8oRIcF]|FSW</v>
      </c>
      <c r="E95" s="218">
        <v>1360</v>
      </c>
      <c r="F95" s="218">
        <v>679</v>
      </c>
      <c r="G95" s="218"/>
      <c r="H95" s="38">
        <v>84</v>
      </c>
      <c r="I95" s="218">
        <v>136</v>
      </c>
      <c r="J95" s="38">
        <v>206</v>
      </c>
      <c r="K95" s="218">
        <v>340</v>
      </c>
      <c r="L95" s="38">
        <v>1292</v>
      </c>
      <c r="M95" s="218">
        <v>1360</v>
      </c>
      <c r="N95" s="38">
        <v>272</v>
      </c>
      <c r="O95" s="38">
        <v>267</v>
      </c>
      <c r="P95" s="38">
        <v>292</v>
      </c>
      <c r="Q95" s="237">
        <v>312</v>
      </c>
      <c r="R95" s="229">
        <v>312</v>
      </c>
      <c r="S95" s="33">
        <f t="shared" si="35"/>
        <v>0.45949926362297494</v>
      </c>
      <c r="T95" s="38">
        <v>54</v>
      </c>
      <c r="U95" s="33">
        <v>0.85</v>
      </c>
      <c r="V95" s="33">
        <v>0.85</v>
      </c>
      <c r="W95" s="38">
        <f t="shared" si="36"/>
        <v>20</v>
      </c>
      <c r="X95" s="38">
        <f t="shared" si="37"/>
        <v>75</v>
      </c>
      <c r="Y95" s="33">
        <v>1</v>
      </c>
      <c r="Z95" s="218">
        <f t="shared" si="38"/>
        <v>75</v>
      </c>
      <c r="AA95" s="33">
        <f t="shared" si="39"/>
        <v>0.7</v>
      </c>
      <c r="AB95" s="38">
        <f t="shared" si="40"/>
        <v>345</v>
      </c>
      <c r="AC95" s="33">
        <f t="shared" si="41"/>
        <v>0.95</v>
      </c>
      <c r="AD95" s="218">
        <f t="shared" si="48"/>
        <v>296</v>
      </c>
      <c r="AE95" s="33">
        <f t="shared" si="42"/>
        <v>0.95</v>
      </c>
      <c r="AF95" s="218">
        <f t="shared" si="43"/>
        <v>281</v>
      </c>
      <c r="AG95" s="38">
        <v>57</v>
      </c>
      <c r="AH95" s="38">
        <v>343</v>
      </c>
      <c r="AI95" s="33">
        <f t="shared" si="44"/>
        <v>0.95</v>
      </c>
      <c r="AJ95" s="33">
        <v>0.14000000000000001</v>
      </c>
      <c r="AK95" s="218">
        <f t="shared" si="45"/>
        <v>79</v>
      </c>
      <c r="AL95" s="218">
        <f t="shared" si="46"/>
        <v>485</v>
      </c>
      <c r="AM95" s="33">
        <v>0</v>
      </c>
      <c r="AN95" s="218">
        <f t="shared" si="47"/>
        <v>0</v>
      </c>
      <c r="AO95" s="38">
        <v>721</v>
      </c>
      <c r="AP95" s="218">
        <v>1363</v>
      </c>
    </row>
    <row r="96" spans="1:42" x14ac:dyDescent="0.2">
      <c r="A96" t="str">
        <f>INDEX(Prioritization!$D:$D,MATCH($B96,Prioritization!$A:$A,0))</f>
        <v>4 - Sustained</v>
      </c>
      <c r="B96" t="s">
        <v>320</v>
      </c>
      <c r="C96" t="s">
        <v>581</v>
      </c>
      <c r="D96" t="str">
        <f t="shared" si="34"/>
        <v>Mwanza District [wNqJp8oRIcF]|MSM</v>
      </c>
      <c r="E96" s="218">
        <v>505</v>
      </c>
      <c r="F96" s="218">
        <v>65</v>
      </c>
      <c r="G96" s="218"/>
      <c r="H96" s="38">
        <v>2</v>
      </c>
      <c r="I96" s="218">
        <v>109</v>
      </c>
      <c r="J96" s="38">
        <v>72</v>
      </c>
      <c r="K96" s="218">
        <v>273</v>
      </c>
      <c r="L96" s="38">
        <v>480</v>
      </c>
      <c r="M96" s="218">
        <v>690</v>
      </c>
      <c r="N96" s="38">
        <v>56</v>
      </c>
      <c r="O96" s="38">
        <v>48</v>
      </c>
      <c r="P96" s="38">
        <v>55</v>
      </c>
      <c r="Q96" s="237">
        <v>72</v>
      </c>
      <c r="R96" s="229">
        <v>55</v>
      </c>
      <c r="S96" s="33">
        <f t="shared" si="35"/>
        <v>0.84615384615384615</v>
      </c>
      <c r="T96" s="38">
        <v>12</v>
      </c>
      <c r="U96" s="33">
        <v>0.7</v>
      </c>
      <c r="V96" s="33">
        <v>0.83</v>
      </c>
      <c r="W96" s="38">
        <f t="shared" si="36"/>
        <v>17</v>
      </c>
      <c r="X96" s="38">
        <f t="shared" si="37"/>
        <v>40</v>
      </c>
      <c r="Y96" s="33">
        <v>1</v>
      </c>
      <c r="Z96" s="218">
        <f t="shared" si="38"/>
        <v>40</v>
      </c>
      <c r="AA96" s="33">
        <f t="shared" si="39"/>
        <v>0.7</v>
      </c>
      <c r="AB96" s="38">
        <f t="shared" si="40"/>
        <v>83</v>
      </c>
      <c r="AC96" s="33">
        <f t="shared" si="41"/>
        <v>0.95</v>
      </c>
      <c r="AD96" s="218">
        <f t="shared" si="48"/>
        <v>68</v>
      </c>
      <c r="AE96" s="33">
        <f t="shared" si="42"/>
        <v>0.95</v>
      </c>
      <c r="AF96" s="218">
        <f t="shared" si="43"/>
        <v>65</v>
      </c>
      <c r="AG96" s="38">
        <v>13</v>
      </c>
      <c r="AH96" s="38">
        <v>120</v>
      </c>
      <c r="AI96" s="33">
        <f t="shared" si="44"/>
        <v>0.95</v>
      </c>
      <c r="AJ96" s="33">
        <v>0.114</v>
      </c>
      <c r="AK96" s="218">
        <f t="shared" si="45"/>
        <v>42</v>
      </c>
      <c r="AL96" s="218">
        <f t="shared" si="46"/>
        <v>326</v>
      </c>
      <c r="AM96" s="33">
        <v>0</v>
      </c>
      <c r="AN96" s="218">
        <f t="shared" si="47"/>
        <v>0</v>
      </c>
      <c r="AO96" s="38">
        <v>400</v>
      </c>
      <c r="AP96" s="218">
        <v>880</v>
      </c>
    </row>
    <row r="97" spans="1:43" x14ac:dyDescent="0.2">
      <c r="A97" t="str">
        <f>INDEX(Prioritization!$D:$D,MATCH($B97,Prioritization!$A:$A,0))</f>
        <v>4 - Sustained</v>
      </c>
      <c r="B97" t="s">
        <v>320</v>
      </c>
      <c r="C97" t="s">
        <v>582</v>
      </c>
      <c r="D97" t="str">
        <f t="shared" si="34"/>
        <v>Mwanza District [wNqJp8oRIcF]|People in prisons and other enclosed settings</v>
      </c>
      <c r="E97" s="218">
        <v>350</v>
      </c>
      <c r="F97" s="218">
        <v>56</v>
      </c>
      <c r="G97" s="218"/>
      <c r="H97" s="38"/>
      <c r="I97" s="218"/>
      <c r="J97" s="38"/>
      <c r="K97" s="218"/>
      <c r="L97" s="38">
        <v>350</v>
      </c>
      <c r="M97" s="218">
        <v>350</v>
      </c>
      <c r="N97" s="38">
        <v>17</v>
      </c>
      <c r="O97" s="38">
        <v>25</v>
      </c>
      <c r="P97" s="38">
        <v>22</v>
      </c>
      <c r="Q97" s="237">
        <v>22</v>
      </c>
      <c r="R97" s="229">
        <v>22</v>
      </c>
      <c r="S97" s="33">
        <f t="shared" si="35"/>
        <v>0.39285714285714285</v>
      </c>
      <c r="T97" s="38">
        <v>6</v>
      </c>
      <c r="U97" s="33">
        <v>0.85</v>
      </c>
      <c r="V97" s="33">
        <v>0.85</v>
      </c>
      <c r="W97" s="38">
        <f t="shared" si="36"/>
        <v>0</v>
      </c>
      <c r="X97" s="38">
        <f t="shared" si="37"/>
        <v>4</v>
      </c>
      <c r="Y97" s="33">
        <v>1</v>
      </c>
      <c r="Z97" s="218">
        <f t="shared" si="38"/>
        <v>4</v>
      </c>
      <c r="AA97" s="33">
        <f t="shared" si="39"/>
        <v>0.7</v>
      </c>
      <c r="AB97" s="38">
        <f t="shared" si="40"/>
        <v>25</v>
      </c>
      <c r="AC97" s="33">
        <f t="shared" si="41"/>
        <v>0.95</v>
      </c>
      <c r="AD97" s="218">
        <f t="shared" si="48"/>
        <v>21</v>
      </c>
      <c r="AE97" s="33">
        <f t="shared" si="42"/>
        <v>0.95</v>
      </c>
      <c r="AF97" s="218">
        <f t="shared" si="43"/>
        <v>20</v>
      </c>
      <c r="AG97" s="38">
        <v>6</v>
      </c>
      <c r="AH97" s="38">
        <v>194</v>
      </c>
      <c r="AI97" s="33">
        <f t="shared" si="44"/>
        <v>0.95</v>
      </c>
      <c r="AJ97" s="33">
        <v>0.02</v>
      </c>
      <c r="AK97" s="218">
        <f t="shared" si="45"/>
        <v>4</v>
      </c>
      <c r="AL97" s="218">
        <f t="shared" si="46"/>
        <v>196</v>
      </c>
      <c r="AM97" s="33">
        <v>0</v>
      </c>
      <c r="AN97" s="218">
        <f t="shared" si="47"/>
        <v>0</v>
      </c>
      <c r="AO97" s="38"/>
      <c r="AP97" s="218"/>
    </row>
    <row r="98" spans="1:43" x14ac:dyDescent="0.2">
      <c r="A98" t="str">
        <f>INDEX(Prioritization!$D:$D,MATCH($B98,Prioritization!$A:$A,0))</f>
        <v>4 - Sustained</v>
      </c>
      <c r="B98" t="s">
        <v>320</v>
      </c>
      <c r="C98" t="s">
        <v>583</v>
      </c>
      <c r="D98" t="str">
        <f t="shared" si="34"/>
        <v>Mwanza District [wNqJp8oRIcF]|PWID</v>
      </c>
      <c r="E98" s="218"/>
      <c r="F98" s="218"/>
      <c r="G98" s="218"/>
      <c r="H98" s="38"/>
      <c r="I98" s="218"/>
      <c r="J98" s="38"/>
      <c r="K98" s="218"/>
      <c r="L98" s="38"/>
      <c r="M98" s="218"/>
      <c r="N98" s="38"/>
      <c r="O98" s="38"/>
      <c r="P98" s="38">
        <v>0</v>
      </c>
      <c r="Q98" s="237">
        <v>0</v>
      </c>
      <c r="R98" s="229">
        <v>0</v>
      </c>
      <c r="S98" s="33" t="str">
        <f t="shared" si="35"/>
        <v/>
      </c>
      <c r="T98" s="38"/>
      <c r="U98" s="33">
        <v>0.8</v>
      </c>
      <c r="V98" s="33">
        <v>0.85</v>
      </c>
      <c r="W98" s="38" t="str">
        <f t="shared" si="36"/>
        <v/>
      </c>
      <c r="X98" s="38" t="str">
        <f t="shared" si="37"/>
        <v/>
      </c>
      <c r="Y98" s="33">
        <v>1</v>
      </c>
      <c r="Z98" s="218" t="str">
        <f t="shared" si="38"/>
        <v/>
      </c>
      <c r="AA98" s="33">
        <f t="shared" si="39"/>
        <v>0.7</v>
      </c>
      <c r="AB98" s="38" t="str">
        <f t="shared" si="40"/>
        <v/>
      </c>
      <c r="AC98" s="33">
        <f t="shared" si="41"/>
        <v>0.95</v>
      </c>
      <c r="AD98" s="218" t="str">
        <f t="shared" si="48"/>
        <v/>
      </c>
      <c r="AE98" s="33">
        <f t="shared" si="42"/>
        <v>0.95</v>
      </c>
      <c r="AF98" s="218" t="str">
        <f t="shared" si="43"/>
        <v/>
      </c>
      <c r="AG98" s="38"/>
      <c r="AH98" s="38"/>
      <c r="AI98" s="33">
        <f t="shared" si="44"/>
        <v>0.95</v>
      </c>
      <c r="AJ98" s="33"/>
      <c r="AK98" s="218" t="str">
        <f t="shared" si="45"/>
        <v/>
      </c>
      <c r="AL98" s="218" t="str">
        <f t="shared" si="46"/>
        <v/>
      </c>
      <c r="AM98" s="33">
        <v>0</v>
      </c>
      <c r="AN98" s="218" t="str">
        <f t="shared" si="47"/>
        <v/>
      </c>
      <c r="AO98" s="38"/>
      <c r="AP98" s="218"/>
    </row>
    <row r="99" spans="1:43" x14ac:dyDescent="0.2">
      <c r="A99" t="str">
        <f>INDEX(Prioritization!$D:$D,MATCH($B99,Prioritization!$A:$A,0))</f>
        <v>4 - Sustained</v>
      </c>
      <c r="B99" t="s">
        <v>320</v>
      </c>
      <c r="C99" t="s">
        <v>584</v>
      </c>
      <c r="D99" t="str">
        <f t="shared" si="34"/>
        <v>Mwanza District [wNqJp8oRIcF]|TG</v>
      </c>
      <c r="E99" s="218">
        <v>70</v>
      </c>
      <c r="F99" s="218">
        <v>28</v>
      </c>
      <c r="G99" s="218"/>
      <c r="H99" s="38">
        <v>2</v>
      </c>
      <c r="I99" s="218">
        <v>10</v>
      </c>
      <c r="J99" s="38">
        <v>14</v>
      </c>
      <c r="K99" s="218">
        <v>26</v>
      </c>
      <c r="L99" s="38">
        <v>67</v>
      </c>
      <c r="M99" s="218">
        <v>69</v>
      </c>
      <c r="N99" s="38">
        <v>21</v>
      </c>
      <c r="O99" s="38">
        <v>28</v>
      </c>
      <c r="P99" s="38">
        <v>24</v>
      </c>
      <c r="Q99" s="237">
        <v>24</v>
      </c>
      <c r="R99" s="229">
        <v>24</v>
      </c>
      <c r="S99" s="33">
        <f t="shared" si="35"/>
        <v>0.8571428571428571</v>
      </c>
      <c r="T99" s="38">
        <v>6</v>
      </c>
      <c r="U99" s="33">
        <v>0.85</v>
      </c>
      <c r="V99" s="33">
        <v>0.85</v>
      </c>
      <c r="W99" s="38">
        <f t="shared" si="36"/>
        <v>0</v>
      </c>
      <c r="X99" s="38">
        <f t="shared" si="37"/>
        <v>4</v>
      </c>
      <c r="Y99" s="33">
        <v>1</v>
      </c>
      <c r="Z99" s="218">
        <f t="shared" si="38"/>
        <v>4</v>
      </c>
      <c r="AA99" s="33">
        <f t="shared" si="39"/>
        <v>0.7</v>
      </c>
      <c r="AB99" s="38">
        <f t="shared" si="40"/>
        <v>27</v>
      </c>
      <c r="AC99" s="33">
        <f t="shared" si="41"/>
        <v>0.95</v>
      </c>
      <c r="AD99" s="218">
        <f t="shared" si="48"/>
        <v>23</v>
      </c>
      <c r="AE99" s="33">
        <f t="shared" si="42"/>
        <v>0.95</v>
      </c>
      <c r="AF99" s="218">
        <f t="shared" si="43"/>
        <v>22</v>
      </c>
      <c r="AG99" s="38">
        <v>6</v>
      </c>
      <c r="AH99" s="38">
        <v>24</v>
      </c>
      <c r="AI99" s="33">
        <f t="shared" si="44"/>
        <v>0.95</v>
      </c>
      <c r="AJ99" s="33">
        <v>0.13</v>
      </c>
      <c r="AK99" s="218">
        <f t="shared" si="45"/>
        <v>4</v>
      </c>
      <c r="AL99" s="218">
        <f t="shared" si="46"/>
        <v>27</v>
      </c>
      <c r="AM99" s="33">
        <v>0</v>
      </c>
      <c r="AN99" s="218">
        <f t="shared" si="47"/>
        <v>0</v>
      </c>
      <c r="AO99" s="38">
        <v>102</v>
      </c>
      <c r="AP99" s="218">
        <v>84</v>
      </c>
    </row>
    <row r="100" spans="1:43" x14ac:dyDescent="0.2">
      <c r="A100" t="str">
        <f>INDEX(Prioritization!$D:$D,MATCH($B100,Prioritization!$A:$A,0))</f>
        <v>1 - Scale-up: Saturation</v>
      </c>
      <c r="B100" t="s">
        <v>310</v>
      </c>
      <c r="C100" t="s">
        <v>580</v>
      </c>
      <c r="D100" t="str">
        <f t="shared" si="34"/>
        <v>Mzimba District [vA4NcHxfMBq]|FSW</v>
      </c>
      <c r="E100" s="218">
        <v>5200</v>
      </c>
      <c r="F100" s="218">
        <v>2595</v>
      </c>
      <c r="G100" s="218"/>
      <c r="H100" s="38">
        <v>322</v>
      </c>
      <c r="I100" s="218">
        <v>593</v>
      </c>
      <c r="J100" s="38">
        <v>957</v>
      </c>
      <c r="K100" s="218">
        <v>1482</v>
      </c>
      <c r="L100" s="38">
        <v>4940</v>
      </c>
      <c r="M100" s="218">
        <v>5410</v>
      </c>
      <c r="N100" s="38">
        <v>998</v>
      </c>
      <c r="O100" s="38">
        <v>1072</v>
      </c>
      <c r="P100" s="38">
        <v>1038</v>
      </c>
      <c r="Q100" s="237">
        <v>1038</v>
      </c>
      <c r="R100" s="229">
        <v>1038</v>
      </c>
      <c r="S100" s="33">
        <f t="shared" si="35"/>
        <v>0.4</v>
      </c>
      <c r="T100" s="38">
        <v>252</v>
      </c>
      <c r="U100" s="33">
        <v>0.85</v>
      </c>
      <c r="V100" s="33">
        <v>0.85</v>
      </c>
      <c r="W100" s="38">
        <f t="shared" si="36"/>
        <v>0</v>
      </c>
      <c r="X100" s="38">
        <f t="shared" si="37"/>
        <v>183</v>
      </c>
      <c r="Y100" s="33">
        <v>1</v>
      </c>
      <c r="Z100" s="218">
        <f t="shared" si="38"/>
        <v>183</v>
      </c>
      <c r="AA100" s="33">
        <f t="shared" si="39"/>
        <v>0.7</v>
      </c>
      <c r="AB100" s="38">
        <f t="shared" si="40"/>
        <v>1166</v>
      </c>
      <c r="AC100" s="33">
        <f t="shared" si="41"/>
        <v>0.95</v>
      </c>
      <c r="AD100" s="218">
        <f t="shared" si="48"/>
        <v>986</v>
      </c>
      <c r="AE100" s="33">
        <f t="shared" si="42"/>
        <v>0.95</v>
      </c>
      <c r="AF100" s="218">
        <f t="shared" si="43"/>
        <v>937</v>
      </c>
      <c r="AG100" s="38">
        <v>265</v>
      </c>
      <c r="AH100" s="38">
        <v>1595</v>
      </c>
      <c r="AI100" s="33">
        <f t="shared" si="44"/>
        <v>0.95</v>
      </c>
      <c r="AJ100" s="33">
        <v>0.14000000000000001</v>
      </c>
      <c r="AK100" s="218">
        <f t="shared" si="45"/>
        <v>193</v>
      </c>
      <c r="AL100" s="218">
        <f t="shared" si="46"/>
        <v>1186</v>
      </c>
      <c r="AM100" s="33">
        <v>0</v>
      </c>
      <c r="AN100" s="218">
        <f t="shared" si="47"/>
        <v>0</v>
      </c>
      <c r="AO100" s="38">
        <v>1157</v>
      </c>
      <c r="AP100" s="218">
        <v>5210</v>
      </c>
    </row>
    <row r="101" spans="1:43" x14ac:dyDescent="0.2">
      <c r="A101" t="str">
        <f>INDEX(Prioritization!$D:$D,MATCH($B101,Prioritization!$A:$A,0))</f>
        <v>1 - Scale-up: Saturation</v>
      </c>
      <c r="B101" t="s">
        <v>310</v>
      </c>
      <c r="C101" t="s">
        <v>581</v>
      </c>
      <c r="D101" t="str">
        <f t="shared" si="34"/>
        <v>Mzimba District [vA4NcHxfMBq]|MSM</v>
      </c>
      <c r="E101" s="218">
        <v>1800</v>
      </c>
      <c r="F101" s="218">
        <v>230</v>
      </c>
      <c r="G101" s="218"/>
      <c r="H101" s="38">
        <v>97</v>
      </c>
      <c r="I101" s="218">
        <v>260</v>
      </c>
      <c r="J101" s="38">
        <v>318</v>
      </c>
      <c r="K101" s="218">
        <v>432</v>
      </c>
      <c r="L101" s="38">
        <v>1710</v>
      </c>
      <c r="M101" s="218">
        <v>1990</v>
      </c>
      <c r="N101" s="38">
        <v>293</v>
      </c>
      <c r="O101" s="38">
        <v>249</v>
      </c>
      <c r="P101" s="38">
        <v>196</v>
      </c>
      <c r="Q101" s="237">
        <v>302</v>
      </c>
      <c r="R101" s="229">
        <v>196</v>
      </c>
      <c r="S101" s="33">
        <f t="shared" si="35"/>
        <v>0.85217391304347823</v>
      </c>
      <c r="T101" s="38">
        <v>55</v>
      </c>
      <c r="U101" s="33">
        <v>0.98</v>
      </c>
      <c r="V101" s="33">
        <v>0.83</v>
      </c>
      <c r="W101" s="38">
        <f t="shared" si="36"/>
        <v>106</v>
      </c>
      <c r="X101" s="38">
        <f t="shared" si="37"/>
        <v>132</v>
      </c>
      <c r="Y101" s="33">
        <v>1</v>
      </c>
      <c r="Z101" s="218">
        <f t="shared" si="38"/>
        <v>132</v>
      </c>
      <c r="AA101" s="33">
        <f t="shared" si="39"/>
        <v>0.7</v>
      </c>
      <c r="AB101" s="38">
        <f t="shared" si="40"/>
        <v>288</v>
      </c>
      <c r="AC101" s="33">
        <f t="shared" si="41"/>
        <v>0.95</v>
      </c>
      <c r="AD101" s="218">
        <f t="shared" si="48"/>
        <v>287</v>
      </c>
      <c r="AE101" s="33">
        <f t="shared" si="42"/>
        <v>0.95</v>
      </c>
      <c r="AF101" s="218">
        <f t="shared" si="43"/>
        <v>273</v>
      </c>
      <c r="AG101" s="38">
        <v>58</v>
      </c>
      <c r="AH101" s="38">
        <v>533</v>
      </c>
      <c r="AI101" s="33">
        <f t="shared" si="44"/>
        <v>0.95</v>
      </c>
      <c r="AJ101" s="33">
        <v>0.114</v>
      </c>
      <c r="AK101" s="218">
        <f t="shared" si="45"/>
        <v>139</v>
      </c>
      <c r="AL101" s="218">
        <f t="shared" si="46"/>
        <v>1080</v>
      </c>
      <c r="AM101" s="33">
        <v>0</v>
      </c>
      <c r="AN101" s="218">
        <f t="shared" si="47"/>
        <v>0</v>
      </c>
      <c r="AO101" s="38">
        <v>300</v>
      </c>
      <c r="AP101" s="218">
        <v>3140</v>
      </c>
    </row>
    <row r="102" spans="1:43" x14ac:dyDescent="0.2">
      <c r="A102" t="str">
        <f>INDEX(Prioritization!$D:$D,MATCH($B102,Prioritization!$A:$A,0))</f>
        <v>1 - Scale-up: Saturation</v>
      </c>
      <c r="B102" t="s">
        <v>310</v>
      </c>
      <c r="C102" t="s">
        <v>582</v>
      </c>
      <c r="D102" t="str">
        <f t="shared" si="34"/>
        <v>Mzimba District [vA4NcHxfMBq]|People in prisons and other enclosed settings</v>
      </c>
      <c r="E102" s="218">
        <v>2500</v>
      </c>
      <c r="F102" s="218">
        <v>400</v>
      </c>
      <c r="G102" s="218"/>
      <c r="H102" s="38"/>
      <c r="I102" s="218"/>
      <c r="J102" s="38"/>
      <c r="K102" s="218"/>
      <c r="L102" s="38">
        <v>2500</v>
      </c>
      <c r="M102" s="218">
        <v>2500</v>
      </c>
      <c r="N102" s="38"/>
      <c r="O102" s="38">
        <v>184</v>
      </c>
      <c r="P102" s="38">
        <v>160</v>
      </c>
      <c r="Q102" s="237">
        <v>160</v>
      </c>
      <c r="R102" s="229">
        <v>160</v>
      </c>
      <c r="S102" s="33">
        <f t="shared" si="35"/>
        <v>0.4</v>
      </c>
      <c r="T102" s="38">
        <v>38</v>
      </c>
      <c r="U102" s="33">
        <v>0.85</v>
      </c>
      <c r="V102" s="33">
        <v>0.85</v>
      </c>
      <c r="W102" s="38">
        <f t="shared" si="36"/>
        <v>0</v>
      </c>
      <c r="X102" s="38">
        <f t="shared" si="37"/>
        <v>28</v>
      </c>
      <c r="Y102" s="33">
        <v>1</v>
      </c>
      <c r="Z102" s="218">
        <f t="shared" si="38"/>
        <v>28</v>
      </c>
      <c r="AA102" s="33">
        <f t="shared" si="39"/>
        <v>0.7</v>
      </c>
      <c r="AB102" s="38">
        <f t="shared" si="40"/>
        <v>180</v>
      </c>
      <c r="AC102" s="33">
        <f t="shared" si="41"/>
        <v>0.95</v>
      </c>
      <c r="AD102" s="218">
        <f t="shared" si="48"/>
        <v>152</v>
      </c>
      <c r="AE102" s="33">
        <f t="shared" si="42"/>
        <v>0.95</v>
      </c>
      <c r="AF102" s="218">
        <f t="shared" si="43"/>
        <v>144</v>
      </c>
      <c r="AG102" s="38">
        <v>40</v>
      </c>
      <c r="AH102" s="38">
        <v>1389</v>
      </c>
      <c r="AI102" s="33">
        <f t="shared" si="44"/>
        <v>0.95</v>
      </c>
      <c r="AJ102" s="33">
        <v>0.02</v>
      </c>
      <c r="AK102" s="218">
        <f t="shared" si="45"/>
        <v>29</v>
      </c>
      <c r="AL102" s="218">
        <f t="shared" si="46"/>
        <v>1421</v>
      </c>
      <c r="AM102" s="33">
        <v>0</v>
      </c>
      <c r="AN102" s="218">
        <f t="shared" si="47"/>
        <v>0</v>
      </c>
      <c r="AO102" s="38"/>
      <c r="AP102" s="218"/>
    </row>
    <row r="103" spans="1:43" x14ac:dyDescent="0.2">
      <c r="A103" t="str">
        <f>INDEX(Prioritization!$D:$D,MATCH($B103,Prioritization!$A:$A,0))</f>
        <v>1 - Scale-up: Saturation</v>
      </c>
      <c r="B103" t="s">
        <v>310</v>
      </c>
      <c r="C103" t="s">
        <v>583</v>
      </c>
      <c r="D103" t="str">
        <f t="shared" si="34"/>
        <v>Mzimba District [vA4NcHxfMBq]|PWID</v>
      </c>
      <c r="E103" s="218"/>
      <c r="F103" s="218"/>
      <c r="G103" s="218"/>
      <c r="H103" s="38"/>
      <c r="I103" s="218"/>
      <c r="J103" s="38"/>
      <c r="K103" s="218"/>
      <c r="L103" s="38"/>
      <c r="M103" s="218"/>
      <c r="N103" s="38"/>
      <c r="O103" s="38"/>
      <c r="P103" s="38">
        <v>0</v>
      </c>
      <c r="Q103" s="237">
        <v>0</v>
      </c>
      <c r="R103" s="229">
        <v>0</v>
      </c>
      <c r="S103" s="33" t="str">
        <f t="shared" si="35"/>
        <v/>
      </c>
      <c r="T103" s="38"/>
      <c r="U103" s="33">
        <v>0.8</v>
      </c>
      <c r="V103" s="33">
        <v>0.85</v>
      </c>
      <c r="W103" s="38" t="str">
        <f t="shared" si="36"/>
        <v/>
      </c>
      <c r="X103" s="38" t="str">
        <f t="shared" si="37"/>
        <v/>
      </c>
      <c r="Y103" s="33">
        <v>1</v>
      </c>
      <c r="Z103" s="218" t="str">
        <f t="shared" si="38"/>
        <v/>
      </c>
      <c r="AA103" s="33">
        <f t="shared" si="39"/>
        <v>0.7</v>
      </c>
      <c r="AB103" s="38" t="str">
        <f t="shared" si="40"/>
        <v/>
      </c>
      <c r="AC103" s="33">
        <f t="shared" si="41"/>
        <v>0.95</v>
      </c>
      <c r="AD103" s="218" t="str">
        <f t="shared" si="48"/>
        <v/>
      </c>
      <c r="AE103" s="33">
        <f t="shared" si="42"/>
        <v>0.95</v>
      </c>
      <c r="AF103" s="218" t="str">
        <f t="shared" si="43"/>
        <v/>
      </c>
      <c r="AG103" s="38"/>
      <c r="AH103" s="38"/>
      <c r="AI103" s="33">
        <f t="shared" si="44"/>
        <v>0.95</v>
      </c>
      <c r="AJ103" s="33"/>
      <c r="AK103" s="218" t="str">
        <f t="shared" si="45"/>
        <v/>
      </c>
      <c r="AL103" s="218" t="str">
        <f t="shared" si="46"/>
        <v/>
      </c>
      <c r="AM103" s="33">
        <v>0</v>
      </c>
      <c r="AN103" s="218" t="str">
        <f t="shared" si="47"/>
        <v/>
      </c>
      <c r="AO103" s="38"/>
      <c r="AP103" s="218"/>
    </row>
    <row r="104" spans="1:43" x14ac:dyDescent="0.2">
      <c r="A104" t="str">
        <f>INDEX(Prioritization!$D:$D,MATCH($B104,Prioritization!$A:$A,0))</f>
        <v>1 - Scale-up: Saturation</v>
      </c>
      <c r="B104" t="s">
        <v>310</v>
      </c>
      <c r="C104" t="s">
        <v>584</v>
      </c>
      <c r="D104" t="str">
        <f t="shared" si="34"/>
        <v>Mzimba District [vA4NcHxfMBq]|TG</v>
      </c>
      <c r="E104" s="218">
        <v>0</v>
      </c>
      <c r="F104" s="218">
        <v>10</v>
      </c>
      <c r="G104" s="218"/>
      <c r="H104" s="38">
        <v>8</v>
      </c>
      <c r="I104" s="218">
        <v>1</v>
      </c>
      <c r="J104" s="38">
        <v>0</v>
      </c>
      <c r="K104" s="218">
        <v>0</v>
      </c>
      <c r="L104" s="38">
        <v>219</v>
      </c>
      <c r="M104" s="218">
        <v>260</v>
      </c>
      <c r="N104" s="38">
        <v>62</v>
      </c>
      <c r="O104" s="38">
        <v>10</v>
      </c>
      <c r="P104" s="38">
        <v>10110</v>
      </c>
      <c r="Q104" s="237">
        <v>1</v>
      </c>
      <c r="R104" s="229">
        <v>0</v>
      </c>
      <c r="S104" s="33">
        <v>0</v>
      </c>
      <c r="T104" s="38">
        <v>26</v>
      </c>
      <c r="U104" s="33">
        <v>0</v>
      </c>
      <c r="V104" s="33">
        <v>0</v>
      </c>
      <c r="W104" s="38">
        <v>0</v>
      </c>
      <c r="X104" s="38">
        <v>0</v>
      </c>
      <c r="Y104" s="33">
        <v>0</v>
      </c>
      <c r="Z104" s="218">
        <v>0</v>
      </c>
      <c r="AA104" s="33">
        <v>0</v>
      </c>
      <c r="AB104" s="38">
        <v>0</v>
      </c>
      <c r="AC104" s="33">
        <v>0</v>
      </c>
      <c r="AD104" s="218">
        <v>0</v>
      </c>
      <c r="AE104" s="33">
        <v>0</v>
      </c>
      <c r="AF104" s="218">
        <v>0</v>
      </c>
      <c r="AG104" s="38">
        <v>0</v>
      </c>
      <c r="AH104" s="38">
        <v>0</v>
      </c>
      <c r="AI104" s="33">
        <v>0</v>
      </c>
      <c r="AJ104" s="33">
        <v>0</v>
      </c>
      <c r="AK104" s="218">
        <v>0</v>
      </c>
      <c r="AL104" s="218">
        <v>0</v>
      </c>
      <c r="AM104" s="33">
        <v>-0.01</v>
      </c>
      <c r="AN104" s="218">
        <v>-1</v>
      </c>
      <c r="AO104" s="38">
        <v>-1</v>
      </c>
      <c r="AP104" s="218">
        <v>0</v>
      </c>
      <c r="AQ104" s="218"/>
    </row>
    <row r="105" spans="1:43" x14ac:dyDescent="0.2">
      <c r="A105" t="str">
        <f>INDEX(Prioritization!$D:$D,MATCH($B105,Prioritization!$A:$A,0))</f>
        <v>4 - Sustained</v>
      </c>
      <c r="B105" t="s">
        <v>321</v>
      </c>
      <c r="C105" t="s">
        <v>580</v>
      </c>
      <c r="D105" t="str">
        <f t="shared" si="34"/>
        <v>Neno District [gwVYinjBAe9]|FSW</v>
      </c>
      <c r="E105" s="218"/>
      <c r="F105" s="218"/>
      <c r="G105" s="218"/>
      <c r="H105" s="38"/>
      <c r="I105" s="218"/>
      <c r="J105" s="38"/>
      <c r="K105" s="218"/>
      <c r="L105" s="38"/>
      <c r="M105" s="218"/>
      <c r="N105" s="38"/>
      <c r="O105" s="38"/>
      <c r="P105" s="38">
        <v>0</v>
      </c>
      <c r="Q105" s="237">
        <v>0</v>
      </c>
      <c r="R105" s="229">
        <v>0</v>
      </c>
      <c r="S105" s="33" t="str">
        <f t="shared" si="35"/>
        <v/>
      </c>
      <c r="T105" s="38"/>
      <c r="U105" s="33">
        <v>0.85</v>
      </c>
      <c r="V105" s="33">
        <v>0.85</v>
      </c>
      <c r="W105" s="38" t="str">
        <f t="shared" si="36"/>
        <v/>
      </c>
      <c r="X105" s="38" t="str">
        <f t="shared" si="37"/>
        <v/>
      </c>
      <c r="Y105" s="33">
        <v>1</v>
      </c>
      <c r="Z105" s="218" t="str">
        <f t="shared" si="38"/>
        <v/>
      </c>
      <c r="AA105" s="33">
        <f t="shared" si="39"/>
        <v>0.7</v>
      </c>
      <c r="AB105" s="38" t="str">
        <f t="shared" si="40"/>
        <v/>
      </c>
      <c r="AC105" s="33">
        <f t="shared" si="41"/>
        <v>0.95</v>
      </c>
      <c r="AD105" s="218" t="str">
        <f t="shared" si="48"/>
        <v/>
      </c>
      <c r="AE105" s="33">
        <f t="shared" si="42"/>
        <v>0.95</v>
      </c>
      <c r="AF105" s="218" t="str">
        <f t="shared" si="43"/>
        <v/>
      </c>
      <c r="AG105" s="38"/>
      <c r="AH105" s="38"/>
      <c r="AI105" s="33">
        <f t="shared" si="44"/>
        <v>0.95</v>
      </c>
      <c r="AJ105" s="33"/>
      <c r="AK105" s="218" t="str">
        <f t="shared" si="45"/>
        <v/>
      </c>
      <c r="AL105" s="218" t="str">
        <f t="shared" si="46"/>
        <v/>
      </c>
      <c r="AM105" s="33">
        <v>0</v>
      </c>
      <c r="AN105" s="218" t="str">
        <f t="shared" si="47"/>
        <v/>
      </c>
      <c r="AO105" s="38"/>
      <c r="AP105" s="218"/>
    </row>
    <row r="106" spans="1:43" x14ac:dyDescent="0.2">
      <c r="A106" t="str">
        <f>INDEX(Prioritization!$D:$D,MATCH($B106,Prioritization!$A:$A,0))</f>
        <v>4 - Sustained</v>
      </c>
      <c r="B106" t="s">
        <v>321</v>
      </c>
      <c r="C106" t="s">
        <v>581</v>
      </c>
      <c r="D106" t="str">
        <f t="shared" si="34"/>
        <v>Neno District [gwVYinjBAe9]|MSM</v>
      </c>
      <c r="E106" s="218"/>
      <c r="F106" s="218"/>
      <c r="G106" s="218"/>
      <c r="H106" s="38"/>
      <c r="I106" s="218"/>
      <c r="J106" s="38"/>
      <c r="K106" s="218"/>
      <c r="L106" s="38"/>
      <c r="M106" s="218"/>
      <c r="N106" s="38"/>
      <c r="O106" s="38"/>
      <c r="P106" s="38">
        <v>0</v>
      </c>
      <c r="Q106" s="237">
        <v>0</v>
      </c>
      <c r="R106" s="229">
        <v>0</v>
      </c>
      <c r="S106" s="33" t="str">
        <f t="shared" si="35"/>
        <v/>
      </c>
      <c r="T106" s="38"/>
      <c r="U106" s="33">
        <v>0.7</v>
      </c>
      <c r="V106" s="33">
        <v>0.83</v>
      </c>
      <c r="W106" s="38" t="str">
        <f t="shared" si="36"/>
        <v/>
      </c>
      <c r="X106" s="38" t="str">
        <f t="shared" si="37"/>
        <v/>
      </c>
      <c r="Y106" s="33">
        <v>1</v>
      </c>
      <c r="Z106" s="218" t="str">
        <f t="shared" si="38"/>
        <v/>
      </c>
      <c r="AA106" s="33">
        <f t="shared" si="39"/>
        <v>0.7</v>
      </c>
      <c r="AB106" s="38" t="str">
        <f t="shared" si="40"/>
        <v/>
      </c>
      <c r="AC106" s="33">
        <f t="shared" si="41"/>
        <v>0.95</v>
      </c>
      <c r="AD106" s="218" t="str">
        <f t="shared" si="48"/>
        <v/>
      </c>
      <c r="AE106" s="33">
        <f t="shared" si="42"/>
        <v>0.95</v>
      </c>
      <c r="AF106" s="218" t="str">
        <f t="shared" si="43"/>
        <v/>
      </c>
      <c r="AG106" s="38"/>
      <c r="AH106" s="38"/>
      <c r="AI106" s="33">
        <f t="shared" si="44"/>
        <v>0.95</v>
      </c>
      <c r="AJ106" s="33"/>
      <c r="AK106" s="218" t="str">
        <f t="shared" si="45"/>
        <v/>
      </c>
      <c r="AL106" s="218" t="str">
        <f t="shared" si="46"/>
        <v/>
      </c>
      <c r="AM106" s="33">
        <v>0</v>
      </c>
      <c r="AN106" s="218" t="str">
        <f t="shared" si="47"/>
        <v/>
      </c>
      <c r="AO106" s="38"/>
      <c r="AP106" s="218"/>
    </row>
    <row r="107" spans="1:43" x14ac:dyDescent="0.2">
      <c r="A107" t="str">
        <f>INDEX(Prioritization!$D:$D,MATCH($B107,Prioritization!$A:$A,0))</f>
        <v>4 - Sustained</v>
      </c>
      <c r="B107" t="s">
        <v>321</v>
      </c>
      <c r="C107" t="s">
        <v>582</v>
      </c>
      <c r="D107" t="str">
        <f t="shared" si="34"/>
        <v>Neno District [gwVYinjBAe9]|People in prisons and other enclosed settings</v>
      </c>
      <c r="E107" s="218">
        <v>100</v>
      </c>
      <c r="F107" s="218">
        <v>16</v>
      </c>
      <c r="G107" s="218"/>
      <c r="H107" s="38"/>
      <c r="I107" s="218"/>
      <c r="J107" s="38"/>
      <c r="K107" s="218"/>
      <c r="L107" s="38">
        <v>100</v>
      </c>
      <c r="M107" s="218">
        <v>100</v>
      </c>
      <c r="N107" s="38">
        <v>3</v>
      </c>
      <c r="O107" s="38">
        <v>6</v>
      </c>
      <c r="P107" s="38">
        <v>6</v>
      </c>
      <c r="Q107" s="237">
        <v>6</v>
      </c>
      <c r="R107" s="229">
        <v>6</v>
      </c>
      <c r="S107" s="33">
        <f t="shared" si="35"/>
        <v>0.375</v>
      </c>
      <c r="T107" s="38">
        <v>2</v>
      </c>
      <c r="U107" s="33">
        <v>0.85</v>
      </c>
      <c r="V107" s="33">
        <v>0.85</v>
      </c>
      <c r="W107" s="38">
        <f t="shared" si="36"/>
        <v>0</v>
      </c>
      <c r="X107" s="38">
        <f t="shared" si="37"/>
        <v>1</v>
      </c>
      <c r="Y107" s="33">
        <v>1</v>
      </c>
      <c r="Z107" s="218">
        <f t="shared" si="38"/>
        <v>1</v>
      </c>
      <c r="AA107" s="33">
        <f t="shared" si="39"/>
        <v>0.7</v>
      </c>
      <c r="AB107" s="38">
        <f t="shared" si="40"/>
        <v>7</v>
      </c>
      <c r="AC107" s="33">
        <f t="shared" si="41"/>
        <v>0.95</v>
      </c>
      <c r="AD107" s="218">
        <f t="shared" si="48"/>
        <v>6</v>
      </c>
      <c r="AE107" s="33">
        <f t="shared" si="42"/>
        <v>0.95</v>
      </c>
      <c r="AF107" s="218">
        <f t="shared" si="43"/>
        <v>6</v>
      </c>
      <c r="AG107" s="38">
        <v>2</v>
      </c>
      <c r="AH107" s="38">
        <v>65</v>
      </c>
      <c r="AI107" s="33">
        <f t="shared" si="44"/>
        <v>0.95</v>
      </c>
      <c r="AJ107" s="33">
        <v>0.02</v>
      </c>
      <c r="AK107" s="218">
        <f t="shared" si="45"/>
        <v>1</v>
      </c>
      <c r="AL107" s="218">
        <f t="shared" si="46"/>
        <v>49</v>
      </c>
      <c r="AM107" s="33">
        <v>0</v>
      </c>
      <c r="AN107" s="218">
        <f t="shared" si="47"/>
        <v>0</v>
      </c>
      <c r="AO107" s="38"/>
      <c r="AP107" s="218"/>
    </row>
    <row r="108" spans="1:43" x14ac:dyDescent="0.2">
      <c r="A108" t="str">
        <f>INDEX(Prioritization!$D:$D,MATCH($B108,Prioritization!$A:$A,0))</f>
        <v>4 - Sustained</v>
      </c>
      <c r="B108" t="s">
        <v>321</v>
      </c>
      <c r="C108" t="s">
        <v>583</v>
      </c>
      <c r="D108" t="str">
        <f t="shared" si="34"/>
        <v>Neno District [gwVYinjBAe9]|PWID</v>
      </c>
      <c r="E108" s="218"/>
      <c r="F108" s="218"/>
      <c r="G108" s="218"/>
      <c r="H108" s="38"/>
      <c r="I108" s="218"/>
      <c r="J108" s="38"/>
      <c r="K108" s="218"/>
      <c r="L108" s="38"/>
      <c r="M108" s="218"/>
      <c r="N108" s="38"/>
      <c r="O108" s="38"/>
      <c r="P108" s="38">
        <v>0</v>
      </c>
      <c r="Q108" s="237">
        <v>0</v>
      </c>
      <c r="R108" s="229">
        <v>0</v>
      </c>
      <c r="S108" s="33" t="str">
        <f t="shared" si="35"/>
        <v/>
      </c>
      <c r="T108" s="38"/>
      <c r="U108" s="33">
        <v>0.8</v>
      </c>
      <c r="V108" s="33">
        <v>0.85</v>
      </c>
      <c r="W108" s="38" t="str">
        <f t="shared" si="36"/>
        <v/>
      </c>
      <c r="X108" s="38" t="str">
        <f t="shared" si="37"/>
        <v/>
      </c>
      <c r="Y108" s="33">
        <v>1</v>
      </c>
      <c r="Z108" s="218" t="str">
        <f t="shared" si="38"/>
        <v/>
      </c>
      <c r="AA108" s="33">
        <f t="shared" si="39"/>
        <v>0.7</v>
      </c>
      <c r="AB108" s="38" t="str">
        <f t="shared" si="40"/>
        <v/>
      </c>
      <c r="AC108" s="33">
        <f t="shared" si="41"/>
        <v>0.95</v>
      </c>
      <c r="AD108" s="218" t="str">
        <f t="shared" si="48"/>
        <v/>
      </c>
      <c r="AE108" s="33">
        <f t="shared" si="42"/>
        <v>0.95</v>
      </c>
      <c r="AF108" s="218" t="str">
        <f t="shared" si="43"/>
        <v/>
      </c>
      <c r="AG108" s="38"/>
      <c r="AH108" s="38"/>
      <c r="AI108" s="33">
        <f t="shared" si="44"/>
        <v>0.95</v>
      </c>
      <c r="AJ108" s="33"/>
      <c r="AK108" s="218" t="str">
        <f t="shared" si="45"/>
        <v/>
      </c>
      <c r="AL108" s="218" t="str">
        <f t="shared" si="46"/>
        <v/>
      </c>
      <c r="AM108" s="33">
        <v>0</v>
      </c>
      <c r="AN108" s="218" t="str">
        <f t="shared" si="47"/>
        <v/>
      </c>
      <c r="AO108" s="38"/>
      <c r="AP108" s="218"/>
    </row>
    <row r="109" spans="1:43" x14ac:dyDescent="0.2">
      <c r="A109" t="str">
        <f>INDEX(Prioritization!$D:$D,MATCH($B109,Prioritization!$A:$A,0))</f>
        <v>4 - Sustained</v>
      </c>
      <c r="B109" t="s">
        <v>321</v>
      </c>
      <c r="C109" t="s">
        <v>584</v>
      </c>
      <c r="D109" t="str">
        <f t="shared" si="34"/>
        <v>Neno District [gwVYinjBAe9]|TG</v>
      </c>
      <c r="E109" s="218"/>
      <c r="F109" s="218"/>
      <c r="G109" s="218"/>
      <c r="H109" s="38"/>
      <c r="I109" s="218"/>
      <c r="J109" s="38"/>
      <c r="K109" s="218"/>
      <c r="L109" s="38"/>
      <c r="M109" s="218"/>
      <c r="N109" s="38"/>
      <c r="O109" s="38"/>
      <c r="P109" s="38">
        <v>0</v>
      </c>
      <c r="Q109" s="237">
        <v>0</v>
      </c>
      <c r="R109" s="229">
        <v>0</v>
      </c>
      <c r="S109" s="33" t="str">
        <f t="shared" si="35"/>
        <v/>
      </c>
      <c r="T109" s="38"/>
      <c r="U109" s="33">
        <v>0.85</v>
      </c>
      <c r="V109" s="33">
        <v>0.85</v>
      </c>
      <c r="W109" s="38" t="str">
        <f t="shared" si="36"/>
        <v/>
      </c>
      <c r="X109" s="38" t="str">
        <f t="shared" si="37"/>
        <v/>
      </c>
      <c r="Y109" s="33">
        <v>1</v>
      </c>
      <c r="Z109" s="218" t="str">
        <f t="shared" si="38"/>
        <v/>
      </c>
      <c r="AA109" s="33">
        <f t="shared" si="39"/>
        <v>0.7</v>
      </c>
      <c r="AB109" s="38" t="str">
        <f t="shared" si="40"/>
        <v/>
      </c>
      <c r="AC109" s="33">
        <f t="shared" si="41"/>
        <v>0.95</v>
      </c>
      <c r="AD109" s="218" t="str">
        <f t="shared" si="48"/>
        <v/>
      </c>
      <c r="AE109" s="33">
        <f t="shared" si="42"/>
        <v>0.95</v>
      </c>
      <c r="AF109" s="218" t="str">
        <f t="shared" si="43"/>
        <v/>
      </c>
      <c r="AG109" s="38"/>
      <c r="AH109" s="38"/>
      <c r="AI109" s="33">
        <f t="shared" si="44"/>
        <v>0.95</v>
      </c>
      <c r="AJ109" s="33"/>
      <c r="AK109" s="218" t="str">
        <f t="shared" si="45"/>
        <v/>
      </c>
      <c r="AL109" s="218" t="str">
        <f t="shared" si="46"/>
        <v/>
      </c>
      <c r="AM109" s="33">
        <v>0</v>
      </c>
      <c r="AN109" s="218" t="str">
        <f t="shared" si="47"/>
        <v/>
      </c>
      <c r="AO109" s="38"/>
      <c r="AP109" s="218"/>
    </row>
    <row r="110" spans="1:43" x14ac:dyDescent="0.2">
      <c r="A110" t="str">
        <f>INDEX(Prioritization!$D:$D,MATCH($B110,Prioritization!$A:$A,0))</f>
        <v>4 - Sustained</v>
      </c>
      <c r="B110" t="s">
        <v>311</v>
      </c>
      <c r="C110" t="s">
        <v>580</v>
      </c>
      <c r="D110" t="str">
        <f t="shared" si="34"/>
        <v>Nkhata Bay District [E7zpfyBt7Tw]|FSW</v>
      </c>
      <c r="E110" s="218"/>
      <c r="F110" s="218"/>
      <c r="G110" s="218"/>
      <c r="H110" s="38"/>
      <c r="I110" s="218"/>
      <c r="J110" s="38"/>
      <c r="K110" s="218"/>
      <c r="L110" s="38"/>
      <c r="M110" s="218"/>
      <c r="N110" s="38"/>
      <c r="O110" s="38"/>
      <c r="P110" s="38">
        <v>0</v>
      </c>
      <c r="Q110" s="237">
        <v>0</v>
      </c>
      <c r="R110" s="229">
        <v>0</v>
      </c>
      <c r="S110" s="33" t="str">
        <f t="shared" si="35"/>
        <v/>
      </c>
      <c r="T110" s="38"/>
      <c r="U110" s="33">
        <v>0.85</v>
      </c>
      <c r="V110" s="33">
        <v>0.85</v>
      </c>
      <c r="W110" s="38" t="str">
        <f t="shared" si="36"/>
        <v/>
      </c>
      <c r="X110" s="38" t="str">
        <f t="shared" si="37"/>
        <v/>
      </c>
      <c r="Y110" s="33">
        <v>1</v>
      </c>
      <c r="Z110" s="218" t="str">
        <f t="shared" si="38"/>
        <v/>
      </c>
      <c r="AA110" s="33">
        <f t="shared" si="39"/>
        <v>0.7</v>
      </c>
      <c r="AB110" s="38" t="str">
        <f t="shared" si="40"/>
        <v/>
      </c>
      <c r="AC110" s="33">
        <f t="shared" si="41"/>
        <v>0.95</v>
      </c>
      <c r="AD110" s="218" t="str">
        <f t="shared" si="48"/>
        <v/>
      </c>
      <c r="AE110" s="33">
        <f t="shared" si="42"/>
        <v>0.95</v>
      </c>
      <c r="AF110" s="218" t="str">
        <f t="shared" si="43"/>
        <v/>
      </c>
      <c r="AG110" s="38"/>
      <c r="AH110" s="38"/>
      <c r="AI110" s="33">
        <f t="shared" si="44"/>
        <v>0.95</v>
      </c>
      <c r="AJ110" s="33"/>
      <c r="AK110" s="218" t="str">
        <f t="shared" si="45"/>
        <v/>
      </c>
      <c r="AL110" s="218" t="str">
        <f t="shared" si="46"/>
        <v/>
      </c>
      <c r="AM110" s="33">
        <v>0</v>
      </c>
      <c r="AN110" s="218" t="str">
        <f t="shared" si="47"/>
        <v/>
      </c>
      <c r="AO110" s="38"/>
      <c r="AP110" s="218"/>
    </row>
    <row r="111" spans="1:43" x14ac:dyDescent="0.2">
      <c r="A111" t="str">
        <f>INDEX(Prioritization!$D:$D,MATCH($B111,Prioritization!$A:$A,0))</f>
        <v>4 - Sustained</v>
      </c>
      <c r="B111" t="s">
        <v>311</v>
      </c>
      <c r="C111" t="s">
        <v>581</v>
      </c>
      <c r="D111" t="str">
        <f t="shared" ref="D111:D139" si="50">B111&amp;"|"&amp;C111</f>
        <v>Nkhata Bay District [E7zpfyBt7Tw]|MSM</v>
      </c>
      <c r="E111" s="218"/>
      <c r="F111" s="218"/>
      <c r="G111" s="218"/>
      <c r="H111" s="38"/>
      <c r="I111" s="218"/>
      <c r="J111" s="38"/>
      <c r="K111" s="218"/>
      <c r="L111" s="38"/>
      <c r="M111" s="218"/>
      <c r="N111" s="38"/>
      <c r="O111" s="38"/>
      <c r="P111" s="38">
        <v>0</v>
      </c>
      <c r="Q111" s="237">
        <v>0</v>
      </c>
      <c r="R111" s="229">
        <v>0</v>
      </c>
      <c r="S111" s="33" t="str">
        <f t="shared" ref="S111:S139" si="51">IF(SUM($F111)=0,"",SUM($R111)/$F111)</f>
        <v/>
      </c>
      <c r="T111" s="38"/>
      <c r="U111" s="33">
        <v>0.7</v>
      </c>
      <c r="V111" s="33">
        <v>0.83</v>
      </c>
      <c r="W111" s="38" t="str">
        <f t="shared" ref="W111:W139" si="52">IF(SUM($P111,$Q111)=0,"",SUM($Q111)-SUM($P111))</f>
        <v/>
      </c>
      <c r="X111" s="38" t="str">
        <f t="shared" ref="X111:X139" si="53">IFERROR(1/(1/ROUND((SUM($Q111)-(SUM($P111)*SUM($U111)))/$V111,0)),"")</f>
        <v/>
      </c>
      <c r="Y111" s="33">
        <v>1</v>
      </c>
      <c r="Z111" s="218" t="str">
        <f t="shared" ref="Z111:Z139" si="54">IFERROR(1/(1/ROUND(SUM($X111)*SUM($Y111),0)),"")</f>
        <v/>
      </c>
      <c r="AA111" s="33">
        <f t="shared" ref="AA111:AA139" si="55">0.7</f>
        <v>0.7</v>
      </c>
      <c r="AB111" s="38" t="str">
        <f t="shared" ref="AB111:AB139" si="56">IFERROR(1/(1/ROUND($P111+(SUM($X111)*$AA111),0)),"")</f>
        <v/>
      </c>
      <c r="AC111" s="33">
        <f t="shared" ref="AC111:AC139" si="57">0.95</f>
        <v>0.95</v>
      </c>
      <c r="AD111" s="218" t="str">
        <f t="shared" si="48"/>
        <v/>
      </c>
      <c r="AE111" s="33">
        <f t="shared" ref="AE111:AE139" si="58">0.95</f>
        <v>0.95</v>
      </c>
      <c r="AF111" s="218" t="str">
        <f t="shared" ref="AF111:AF139" si="59">IF(SUM($AD111)=0,"",ROUND($AD111*$AE111,0))</f>
        <v/>
      </c>
      <c r="AG111" s="38"/>
      <c r="AH111" s="38"/>
      <c r="AI111" s="33">
        <f t="shared" ref="AI111:AI139" si="60">0.95</f>
        <v>0.95</v>
      </c>
      <c r="AJ111" s="33"/>
      <c r="AK111" s="218" t="str">
        <f t="shared" ref="AK111:AK139" si="61">IF(SUM($Z111)=0,"",IF(AND(SUM($Z111)&gt;0,$AI111=""),"ENTER LINKAGE RATE",ROUND($Z111/$AI111,0)))</f>
        <v/>
      </c>
      <c r="AL111" s="218" t="str">
        <f t="shared" ref="AL111:AL139" si="62">IF(SUM($AK111)=0,"",IF(AND($AK111&gt;0,$AJ111=""),"ENTER YIELD RATE",ROUND($AK111/$AJ111-$AK111,0)))</f>
        <v/>
      </c>
      <c r="AM111" s="33">
        <v>0</v>
      </c>
      <c r="AN111" s="218" t="str">
        <f t="shared" ref="AN111:AN139" si="63">IF(SUM($AK111)=0,"",ROUND($AK111*$AM111,0))</f>
        <v/>
      </c>
      <c r="AO111" s="38"/>
      <c r="AP111" s="218"/>
    </row>
    <row r="112" spans="1:43" x14ac:dyDescent="0.2">
      <c r="A112" t="str">
        <f>INDEX(Prioritization!$D:$D,MATCH($B112,Prioritization!$A:$A,0))</f>
        <v>4 - Sustained</v>
      </c>
      <c r="B112" t="s">
        <v>311</v>
      </c>
      <c r="C112" t="s">
        <v>582</v>
      </c>
      <c r="D112" t="str">
        <f t="shared" si="50"/>
        <v>Nkhata Bay District [E7zpfyBt7Tw]|People in prisons and other enclosed settings</v>
      </c>
      <c r="E112" s="218">
        <v>350</v>
      </c>
      <c r="F112" s="218">
        <v>56</v>
      </c>
      <c r="G112" s="218"/>
      <c r="H112" s="38"/>
      <c r="I112" s="218"/>
      <c r="J112" s="38"/>
      <c r="K112" s="218"/>
      <c r="L112" s="38">
        <v>350</v>
      </c>
      <c r="M112" s="218">
        <v>350</v>
      </c>
      <c r="N112" s="38"/>
      <c r="O112" s="38">
        <v>32</v>
      </c>
      <c r="P112" s="38">
        <v>32</v>
      </c>
      <c r="Q112" s="237">
        <v>32</v>
      </c>
      <c r="R112" s="229">
        <v>32</v>
      </c>
      <c r="S112" s="33">
        <f t="shared" si="51"/>
        <v>0.5714285714285714</v>
      </c>
      <c r="T112" s="38">
        <v>15</v>
      </c>
      <c r="U112" s="33">
        <v>0.85</v>
      </c>
      <c r="V112" s="33">
        <v>0.85</v>
      </c>
      <c r="W112" s="38">
        <f t="shared" si="52"/>
        <v>0</v>
      </c>
      <c r="X112" s="38">
        <f t="shared" si="53"/>
        <v>6</v>
      </c>
      <c r="Y112" s="33">
        <v>1</v>
      </c>
      <c r="Z112" s="218">
        <f t="shared" si="54"/>
        <v>6</v>
      </c>
      <c r="AA112" s="33">
        <f t="shared" si="55"/>
        <v>0.7</v>
      </c>
      <c r="AB112" s="38">
        <f t="shared" si="56"/>
        <v>36</v>
      </c>
      <c r="AC112" s="33">
        <f t="shared" si="57"/>
        <v>0.95</v>
      </c>
      <c r="AD112" s="218">
        <f t="shared" si="48"/>
        <v>30</v>
      </c>
      <c r="AE112" s="33">
        <f t="shared" si="58"/>
        <v>0.95</v>
      </c>
      <c r="AF112" s="218">
        <f t="shared" si="59"/>
        <v>29</v>
      </c>
      <c r="AG112" s="38">
        <v>16</v>
      </c>
      <c r="AH112" s="38">
        <v>517</v>
      </c>
      <c r="AI112" s="33">
        <f t="shared" si="60"/>
        <v>0.95</v>
      </c>
      <c r="AJ112" s="33">
        <v>0.02</v>
      </c>
      <c r="AK112" s="218">
        <f t="shared" si="61"/>
        <v>6</v>
      </c>
      <c r="AL112" s="218">
        <f t="shared" si="62"/>
        <v>294</v>
      </c>
      <c r="AM112" s="33">
        <v>0</v>
      </c>
      <c r="AN112" s="218">
        <f t="shared" si="63"/>
        <v>0</v>
      </c>
      <c r="AO112" s="38"/>
      <c r="AP112" s="218"/>
    </row>
    <row r="113" spans="1:42" x14ac:dyDescent="0.2">
      <c r="A113" t="str">
        <f>INDEX(Prioritization!$D:$D,MATCH($B113,Prioritization!$A:$A,0))</f>
        <v>4 - Sustained</v>
      </c>
      <c r="B113" t="s">
        <v>311</v>
      </c>
      <c r="C113" t="s">
        <v>583</v>
      </c>
      <c r="D113" t="str">
        <f t="shared" si="50"/>
        <v>Nkhata Bay District [E7zpfyBt7Tw]|PWID</v>
      </c>
      <c r="E113" s="218"/>
      <c r="F113" s="218"/>
      <c r="G113" s="218"/>
      <c r="H113" s="38"/>
      <c r="I113" s="218"/>
      <c r="J113" s="38"/>
      <c r="K113" s="218"/>
      <c r="L113" s="38"/>
      <c r="M113" s="218"/>
      <c r="N113" s="38"/>
      <c r="O113" s="38"/>
      <c r="P113" s="38">
        <v>0</v>
      </c>
      <c r="Q113" s="237">
        <v>0</v>
      </c>
      <c r="R113" s="229">
        <v>0</v>
      </c>
      <c r="S113" s="33" t="str">
        <f t="shared" si="51"/>
        <v/>
      </c>
      <c r="T113" s="38"/>
      <c r="U113" s="33">
        <v>0.8</v>
      </c>
      <c r="V113" s="33">
        <v>0.85</v>
      </c>
      <c r="W113" s="38" t="str">
        <f t="shared" si="52"/>
        <v/>
      </c>
      <c r="X113" s="38" t="str">
        <f t="shared" si="53"/>
        <v/>
      </c>
      <c r="Y113" s="33">
        <v>1</v>
      </c>
      <c r="Z113" s="218" t="str">
        <f t="shared" si="54"/>
        <v/>
      </c>
      <c r="AA113" s="33">
        <f t="shared" si="55"/>
        <v>0.7</v>
      </c>
      <c r="AB113" s="38" t="str">
        <f t="shared" si="56"/>
        <v/>
      </c>
      <c r="AC113" s="33">
        <f t="shared" si="57"/>
        <v>0.95</v>
      </c>
      <c r="AD113" s="218" t="str">
        <f t="shared" si="48"/>
        <v/>
      </c>
      <c r="AE113" s="33">
        <f t="shared" si="58"/>
        <v>0.95</v>
      </c>
      <c r="AF113" s="218" t="str">
        <f t="shared" si="59"/>
        <v/>
      </c>
      <c r="AG113" s="38"/>
      <c r="AH113" s="38"/>
      <c r="AI113" s="33">
        <f t="shared" si="60"/>
        <v>0.95</v>
      </c>
      <c r="AJ113" s="33"/>
      <c r="AK113" s="218" t="str">
        <f t="shared" si="61"/>
        <v/>
      </c>
      <c r="AL113" s="218" t="str">
        <f t="shared" si="62"/>
        <v/>
      </c>
      <c r="AM113" s="33">
        <v>0</v>
      </c>
      <c r="AN113" s="218" t="str">
        <f t="shared" si="63"/>
        <v/>
      </c>
      <c r="AO113" s="38"/>
      <c r="AP113" s="218"/>
    </row>
    <row r="114" spans="1:42" x14ac:dyDescent="0.2">
      <c r="A114" t="str">
        <f>INDEX(Prioritization!$D:$D,MATCH($B114,Prioritization!$A:$A,0))</f>
        <v>4 - Sustained</v>
      </c>
      <c r="B114" t="s">
        <v>311</v>
      </c>
      <c r="C114" t="s">
        <v>584</v>
      </c>
      <c r="D114" t="str">
        <f t="shared" si="50"/>
        <v>Nkhata Bay District [E7zpfyBt7Tw]|TG</v>
      </c>
      <c r="E114" s="218"/>
      <c r="F114" s="218"/>
      <c r="G114" s="218"/>
      <c r="H114" s="38"/>
      <c r="I114" s="218"/>
      <c r="J114" s="38"/>
      <c r="K114" s="218"/>
      <c r="L114" s="38"/>
      <c r="M114" s="218"/>
      <c r="N114" s="38"/>
      <c r="O114" s="38"/>
      <c r="P114" s="38">
        <v>0</v>
      </c>
      <c r="Q114" s="237">
        <v>0</v>
      </c>
      <c r="R114" s="229">
        <v>0</v>
      </c>
      <c r="S114" s="33" t="str">
        <f t="shared" si="51"/>
        <v/>
      </c>
      <c r="T114" s="38"/>
      <c r="U114" s="33">
        <v>0.85</v>
      </c>
      <c r="V114" s="33">
        <v>0.85</v>
      </c>
      <c r="W114" s="38" t="str">
        <f t="shared" si="52"/>
        <v/>
      </c>
      <c r="X114" s="38" t="str">
        <f t="shared" si="53"/>
        <v/>
      </c>
      <c r="Y114" s="33">
        <v>1</v>
      </c>
      <c r="Z114" s="218" t="str">
        <f t="shared" si="54"/>
        <v/>
      </c>
      <c r="AA114" s="33">
        <f t="shared" si="55"/>
        <v>0.7</v>
      </c>
      <c r="AB114" s="38" t="str">
        <f t="shared" si="56"/>
        <v/>
      </c>
      <c r="AC114" s="33">
        <f t="shared" si="57"/>
        <v>0.95</v>
      </c>
      <c r="AD114" s="218" t="str">
        <f t="shared" si="48"/>
        <v/>
      </c>
      <c r="AE114" s="33">
        <f t="shared" si="58"/>
        <v>0.95</v>
      </c>
      <c r="AF114" s="218" t="str">
        <f t="shared" si="59"/>
        <v/>
      </c>
      <c r="AG114" s="38"/>
      <c r="AH114" s="38"/>
      <c r="AI114" s="33">
        <f t="shared" si="60"/>
        <v>0.95</v>
      </c>
      <c r="AJ114" s="33"/>
      <c r="AK114" s="218" t="str">
        <f t="shared" si="61"/>
        <v/>
      </c>
      <c r="AL114" s="218" t="str">
        <f t="shared" si="62"/>
        <v/>
      </c>
      <c r="AM114" s="33">
        <v>0</v>
      </c>
      <c r="AN114" s="218" t="str">
        <f t="shared" si="63"/>
        <v/>
      </c>
      <c r="AO114" s="38"/>
      <c r="AP114" s="218"/>
    </row>
    <row r="115" spans="1:42" x14ac:dyDescent="0.2">
      <c r="A115" t="str">
        <f>INDEX(Prioritization!$D:$D,MATCH($B115,Prioritization!$A:$A,0))</f>
        <v>4 - Sustained</v>
      </c>
      <c r="B115" t="s">
        <v>303</v>
      </c>
      <c r="C115" t="s">
        <v>580</v>
      </c>
      <c r="D115" t="str">
        <f t="shared" si="50"/>
        <v>Nkhotakota District [YCKiBAp8QAg]|FSW</v>
      </c>
      <c r="E115" s="218"/>
      <c r="F115" s="218"/>
      <c r="G115" s="218"/>
      <c r="H115" s="38"/>
      <c r="I115" s="218"/>
      <c r="J115" s="38"/>
      <c r="K115" s="218"/>
      <c r="L115" s="38"/>
      <c r="M115" s="218"/>
      <c r="N115" s="38"/>
      <c r="O115" s="38"/>
      <c r="P115" s="38">
        <v>0</v>
      </c>
      <c r="Q115" s="237">
        <v>0</v>
      </c>
      <c r="R115" s="229">
        <v>0</v>
      </c>
      <c r="S115" s="33" t="str">
        <f t="shared" si="51"/>
        <v/>
      </c>
      <c r="T115" s="38"/>
      <c r="U115" s="33">
        <v>0.85</v>
      </c>
      <c r="V115" s="33">
        <v>0.85</v>
      </c>
      <c r="W115" s="38" t="str">
        <f t="shared" si="52"/>
        <v/>
      </c>
      <c r="X115" s="38" t="str">
        <f t="shared" si="53"/>
        <v/>
      </c>
      <c r="Y115" s="33">
        <v>1</v>
      </c>
      <c r="Z115" s="218" t="str">
        <f t="shared" si="54"/>
        <v/>
      </c>
      <c r="AA115" s="33">
        <f t="shared" si="55"/>
        <v>0.7</v>
      </c>
      <c r="AB115" s="38" t="str">
        <f t="shared" si="56"/>
        <v/>
      </c>
      <c r="AC115" s="33">
        <f t="shared" si="57"/>
        <v>0.95</v>
      </c>
      <c r="AD115" s="218" t="str">
        <f t="shared" si="48"/>
        <v/>
      </c>
      <c r="AE115" s="33">
        <f t="shared" si="58"/>
        <v>0.95</v>
      </c>
      <c r="AF115" s="218" t="str">
        <f t="shared" si="59"/>
        <v/>
      </c>
      <c r="AG115" s="38"/>
      <c r="AH115" s="38"/>
      <c r="AI115" s="33">
        <f t="shared" si="60"/>
        <v>0.95</v>
      </c>
      <c r="AJ115" s="33"/>
      <c r="AK115" s="218" t="str">
        <f t="shared" si="61"/>
        <v/>
      </c>
      <c r="AL115" s="218" t="str">
        <f t="shared" si="62"/>
        <v/>
      </c>
      <c r="AM115" s="33">
        <f t="shared" ref="AM115:AM138" si="64">0.95</f>
        <v>0.95</v>
      </c>
      <c r="AN115" s="218" t="str">
        <f t="shared" si="63"/>
        <v/>
      </c>
      <c r="AO115" s="38"/>
      <c r="AP115" s="218"/>
    </row>
    <row r="116" spans="1:42" x14ac:dyDescent="0.2">
      <c r="A116" t="str">
        <f>INDEX(Prioritization!$D:$D,MATCH($B116,Prioritization!$A:$A,0))</f>
        <v>4 - Sustained</v>
      </c>
      <c r="B116" t="s">
        <v>303</v>
      </c>
      <c r="C116" t="s">
        <v>581</v>
      </c>
      <c r="D116" t="str">
        <f t="shared" si="50"/>
        <v>Nkhotakota District [YCKiBAp8QAg]|MSM</v>
      </c>
      <c r="E116" s="218"/>
      <c r="F116" s="218"/>
      <c r="G116" s="218"/>
      <c r="H116" s="38"/>
      <c r="I116" s="218"/>
      <c r="J116" s="38"/>
      <c r="K116" s="218"/>
      <c r="L116" s="38"/>
      <c r="M116" s="218"/>
      <c r="N116" s="38"/>
      <c r="O116" s="38"/>
      <c r="P116" s="38">
        <v>0</v>
      </c>
      <c r="Q116" s="237">
        <v>0</v>
      </c>
      <c r="R116" s="229">
        <v>0</v>
      </c>
      <c r="S116" s="33" t="str">
        <f t="shared" si="51"/>
        <v/>
      </c>
      <c r="T116" s="38"/>
      <c r="U116" s="33">
        <v>0.7</v>
      </c>
      <c r="V116" s="33">
        <v>0.83</v>
      </c>
      <c r="W116" s="38" t="str">
        <f t="shared" si="52"/>
        <v/>
      </c>
      <c r="X116" s="38" t="str">
        <f t="shared" si="53"/>
        <v/>
      </c>
      <c r="Y116" s="33">
        <v>1</v>
      </c>
      <c r="Z116" s="218" t="str">
        <f t="shared" si="54"/>
        <v/>
      </c>
      <c r="AA116" s="33">
        <f t="shared" si="55"/>
        <v>0.7</v>
      </c>
      <c r="AB116" s="38" t="str">
        <f t="shared" si="56"/>
        <v/>
      </c>
      <c r="AC116" s="33">
        <f t="shared" si="57"/>
        <v>0.95</v>
      </c>
      <c r="AD116" s="218" t="str">
        <f t="shared" si="48"/>
        <v/>
      </c>
      <c r="AE116" s="33">
        <f t="shared" si="58"/>
        <v>0.95</v>
      </c>
      <c r="AF116" s="218" t="str">
        <f t="shared" si="59"/>
        <v/>
      </c>
      <c r="AG116" s="38"/>
      <c r="AH116" s="38"/>
      <c r="AI116" s="33">
        <f t="shared" si="60"/>
        <v>0.95</v>
      </c>
      <c r="AJ116" s="33"/>
      <c r="AK116" s="218" t="str">
        <f t="shared" si="61"/>
        <v/>
      </c>
      <c r="AL116" s="218" t="str">
        <f t="shared" si="62"/>
        <v/>
      </c>
      <c r="AM116" s="33">
        <f t="shared" si="64"/>
        <v>0.95</v>
      </c>
      <c r="AN116" s="218" t="str">
        <f t="shared" si="63"/>
        <v/>
      </c>
      <c r="AO116" s="38"/>
      <c r="AP116" s="218"/>
    </row>
    <row r="117" spans="1:42" x14ac:dyDescent="0.2">
      <c r="A117" t="str">
        <f>INDEX(Prioritization!$D:$D,MATCH($B117,Prioritization!$A:$A,0))</f>
        <v>4 - Sustained</v>
      </c>
      <c r="B117" t="s">
        <v>303</v>
      </c>
      <c r="C117" t="s">
        <v>582</v>
      </c>
      <c r="D117" t="str">
        <f t="shared" si="50"/>
        <v>Nkhotakota District [YCKiBAp8QAg]|People in prisons and other enclosed settings</v>
      </c>
      <c r="E117" s="218"/>
      <c r="F117" s="218"/>
      <c r="G117" s="218"/>
      <c r="H117" s="38"/>
      <c r="I117" s="218"/>
      <c r="J117" s="38"/>
      <c r="K117" s="218"/>
      <c r="L117" s="38"/>
      <c r="M117" s="218"/>
      <c r="N117" s="38"/>
      <c r="O117" s="38"/>
      <c r="P117" s="38">
        <v>0</v>
      </c>
      <c r="Q117" s="237">
        <v>0</v>
      </c>
      <c r="R117" s="229">
        <v>0</v>
      </c>
      <c r="S117" s="33" t="str">
        <f t="shared" si="51"/>
        <v/>
      </c>
      <c r="T117" s="38"/>
      <c r="U117" s="33">
        <v>0.85</v>
      </c>
      <c r="V117" s="33">
        <v>0.85</v>
      </c>
      <c r="W117" s="38" t="str">
        <f t="shared" si="52"/>
        <v/>
      </c>
      <c r="X117" s="38" t="str">
        <f t="shared" si="53"/>
        <v/>
      </c>
      <c r="Y117" s="33">
        <v>1</v>
      </c>
      <c r="Z117" s="218" t="str">
        <f t="shared" si="54"/>
        <v/>
      </c>
      <c r="AA117" s="33">
        <f t="shared" si="55"/>
        <v>0.7</v>
      </c>
      <c r="AB117" s="38" t="str">
        <f t="shared" si="56"/>
        <v/>
      </c>
      <c r="AC117" s="33">
        <f t="shared" si="57"/>
        <v>0.95</v>
      </c>
      <c r="AD117" s="218" t="str">
        <f t="shared" si="48"/>
        <v/>
      </c>
      <c r="AE117" s="33">
        <f t="shared" si="58"/>
        <v>0.95</v>
      </c>
      <c r="AF117" s="218" t="str">
        <f t="shared" si="59"/>
        <v/>
      </c>
      <c r="AG117" s="38"/>
      <c r="AH117" s="38"/>
      <c r="AI117" s="33">
        <f t="shared" si="60"/>
        <v>0.95</v>
      </c>
      <c r="AJ117" s="33"/>
      <c r="AK117" s="218" t="str">
        <f t="shared" si="61"/>
        <v/>
      </c>
      <c r="AL117" s="218" t="str">
        <f t="shared" si="62"/>
        <v/>
      </c>
      <c r="AM117" s="33">
        <f t="shared" si="64"/>
        <v>0.95</v>
      </c>
      <c r="AN117" s="218" t="str">
        <f t="shared" si="63"/>
        <v/>
      </c>
      <c r="AO117" s="38"/>
      <c r="AP117" s="218"/>
    </row>
    <row r="118" spans="1:42" x14ac:dyDescent="0.2">
      <c r="A118" t="str">
        <f>INDEX(Prioritization!$D:$D,MATCH($B118,Prioritization!$A:$A,0))</f>
        <v>4 - Sustained</v>
      </c>
      <c r="B118" t="s">
        <v>303</v>
      </c>
      <c r="C118" t="s">
        <v>583</v>
      </c>
      <c r="D118" t="str">
        <f t="shared" si="50"/>
        <v>Nkhotakota District [YCKiBAp8QAg]|PWID</v>
      </c>
      <c r="E118" s="218"/>
      <c r="F118" s="218"/>
      <c r="G118" s="218"/>
      <c r="H118" s="38"/>
      <c r="I118" s="218"/>
      <c r="J118" s="38"/>
      <c r="K118" s="218"/>
      <c r="L118" s="38"/>
      <c r="M118" s="218"/>
      <c r="N118" s="38"/>
      <c r="O118" s="38"/>
      <c r="P118" s="38">
        <v>0</v>
      </c>
      <c r="Q118" s="237">
        <v>0</v>
      </c>
      <c r="R118" s="229">
        <v>0</v>
      </c>
      <c r="S118" s="33" t="str">
        <f t="shared" si="51"/>
        <v/>
      </c>
      <c r="T118" s="38"/>
      <c r="U118" s="33">
        <v>0.8</v>
      </c>
      <c r="V118" s="33">
        <v>0.85</v>
      </c>
      <c r="W118" s="38" t="str">
        <f t="shared" si="52"/>
        <v/>
      </c>
      <c r="X118" s="38" t="str">
        <f t="shared" si="53"/>
        <v/>
      </c>
      <c r="Y118" s="33">
        <v>1</v>
      </c>
      <c r="Z118" s="218" t="str">
        <f t="shared" si="54"/>
        <v/>
      </c>
      <c r="AA118" s="33">
        <f t="shared" si="55"/>
        <v>0.7</v>
      </c>
      <c r="AB118" s="38" t="str">
        <f t="shared" si="56"/>
        <v/>
      </c>
      <c r="AC118" s="33">
        <f t="shared" si="57"/>
        <v>0.95</v>
      </c>
      <c r="AD118" s="218" t="str">
        <f t="shared" si="48"/>
        <v/>
      </c>
      <c r="AE118" s="33">
        <f t="shared" si="58"/>
        <v>0.95</v>
      </c>
      <c r="AF118" s="218" t="str">
        <f t="shared" si="59"/>
        <v/>
      </c>
      <c r="AG118" s="38"/>
      <c r="AH118" s="38"/>
      <c r="AI118" s="33">
        <f t="shared" si="60"/>
        <v>0.95</v>
      </c>
      <c r="AJ118" s="33"/>
      <c r="AK118" s="218" t="str">
        <f t="shared" si="61"/>
        <v/>
      </c>
      <c r="AL118" s="218" t="str">
        <f t="shared" si="62"/>
        <v/>
      </c>
      <c r="AM118" s="33">
        <f t="shared" si="64"/>
        <v>0.95</v>
      </c>
      <c r="AN118" s="218" t="str">
        <f t="shared" si="63"/>
        <v/>
      </c>
      <c r="AO118" s="38"/>
      <c r="AP118" s="218"/>
    </row>
    <row r="119" spans="1:42" x14ac:dyDescent="0.2">
      <c r="A119" t="str">
        <f>INDEX(Prioritization!$D:$D,MATCH($B119,Prioritization!$A:$A,0))</f>
        <v>4 - Sustained</v>
      </c>
      <c r="B119" t="s">
        <v>303</v>
      </c>
      <c r="C119" t="s">
        <v>584</v>
      </c>
      <c r="D119" t="str">
        <f t="shared" si="50"/>
        <v>Nkhotakota District [YCKiBAp8QAg]|TG</v>
      </c>
      <c r="E119" s="218"/>
      <c r="F119" s="218"/>
      <c r="G119" s="218"/>
      <c r="H119" s="38"/>
      <c r="I119" s="218"/>
      <c r="J119" s="38"/>
      <c r="K119" s="218"/>
      <c r="L119" s="38"/>
      <c r="M119" s="218"/>
      <c r="N119" s="38"/>
      <c r="O119" s="38"/>
      <c r="P119" s="38">
        <v>0</v>
      </c>
      <c r="Q119" s="237">
        <v>0</v>
      </c>
      <c r="R119" s="229">
        <v>0</v>
      </c>
      <c r="S119" s="33" t="str">
        <f t="shared" si="51"/>
        <v/>
      </c>
      <c r="T119" s="38"/>
      <c r="U119" s="33">
        <v>0.85</v>
      </c>
      <c r="V119" s="33">
        <v>0.85</v>
      </c>
      <c r="W119" s="38" t="str">
        <f t="shared" si="52"/>
        <v/>
      </c>
      <c r="X119" s="38" t="str">
        <f t="shared" si="53"/>
        <v/>
      </c>
      <c r="Y119" s="33">
        <v>1</v>
      </c>
      <c r="Z119" s="218" t="str">
        <f t="shared" si="54"/>
        <v/>
      </c>
      <c r="AA119" s="33">
        <f t="shared" si="55"/>
        <v>0.7</v>
      </c>
      <c r="AB119" s="38" t="str">
        <f t="shared" si="56"/>
        <v/>
      </c>
      <c r="AC119" s="33">
        <f t="shared" si="57"/>
        <v>0.95</v>
      </c>
      <c r="AD119" s="218" t="str">
        <f t="shared" si="48"/>
        <v/>
      </c>
      <c r="AE119" s="33">
        <f t="shared" si="58"/>
        <v>0.95</v>
      </c>
      <c r="AF119" s="218" t="str">
        <f t="shared" si="59"/>
        <v/>
      </c>
      <c r="AG119" s="38"/>
      <c r="AH119" s="38"/>
      <c r="AI119" s="33">
        <f t="shared" si="60"/>
        <v>0.95</v>
      </c>
      <c r="AJ119" s="33"/>
      <c r="AK119" s="218" t="str">
        <f t="shared" si="61"/>
        <v/>
      </c>
      <c r="AL119" s="218" t="str">
        <f t="shared" si="62"/>
        <v/>
      </c>
      <c r="AM119" s="33">
        <f t="shared" si="64"/>
        <v>0.95</v>
      </c>
      <c r="AN119" s="218" t="str">
        <f t="shared" si="63"/>
        <v/>
      </c>
      <c r="AO119" s="38"/>
      <c r="AP119" s="218"/>
    </row>
    <row r="120" spans="1:42" x14ac:dyDescent="0.2">
      <c r="A120" t="str">
        <f>INDEX(Prioritization!$D:$D,MATCH($B120,Prioritization!$A:$A,0))</f>
        <v>INVALID</v>
      </c>
      <c r="B120" t="s">
        <v>322</v>
      </c>
      <c r="C120" t="s">
        <v>580</v>
      </c>
      <c r="D120" t="str">
        <f t="shared" si="50"/>
        <v>Nsanje District [rpw540fmNUz]|FSW</v>
      </c>
      <c r="E120" s="218"/>
      <c r="F120" s="218"/>
      <c r="G120" s="218"/>
      <c r="H120" s="38"/>
      <c r="I120" s="218"/>
      <c r="J120" s="38"/>
      <c r="K120" s="218"/>
      <c r="L120" s="38"/>
      <c r="M120" s="218"/>
      <c r="N120" s="38"/>
      <c r="O120" s="38"/>
      <c r="P120" s="38">
        <v>0</v>
      </c>
      <c r="Q120" s="237">
        <v>0</v>
      </c>
      <c r="R120" s="229">
        <v>0</v>
      </c>
      <c r="S120" s="33" t="str">
        <f t="shared" si="51"/>
        <v/>
      </c>
      <c r="T120" s="38"/>
      <c r="U120" s="33">
        <v>0.85</v>
      </c>
      <c r="V120" s="33">
        <v>0.85</v>
      </c>
      <c r="W120" s="38" t="str">
        <f t="shared" si="52"/>
        <v/>
      </c>
      <c r="X120" s="38" t="str">
        <f t="shared" si="53"/>
        <v/>
      </c>
      <c r="Y120" s="33">
        <v>1</v>
      </c>
      <c r="Z120" s="218" t="str">
        <f t="shared" si="54"/>
        <v/>
      </c>
      <c r="AA120" s="33">
        <f t="shared" si="55"/>
        <v>0.7</v>
      </c>
      <c r="AB120" s="38" t="str">
        <f t="shared" si="56"/>
        <v/>
      </c>
      <c r="AC120" s="33">
        <f t="shared" si="57"/>
        <v>0.95</v>
      </c>
      <c r="AD120" s="218" t="str">
        <f t="shared" si="48"/>
        <v/>
      </c>
      <c r="AE120" s="33">
        <f t="shared" si="58"/>
        <v>0.95</v>
      </c>
      <c r="AF120" s="218" t="str">
        <f t="shared" si="59"/>
        <v/>
      </c>
      <c r="AG120" s="38"/>
      <c r="AH120" s="38"/>
      <c r="AI120" s="33">
        <f t="shared" si="60"/>
        <v>0.95</v>
      </c>
      <c r="AJ120" s="33"/>
      <c r="AK120" s="218" t="str">
        <f t="shared" si="61"/>
        <v/>
      </c>
      <c r="AL120" s="218" t="str">
        <f t="shared" si="62"/>
        <v/>
      </c>
      <c r="AM120" s="33">
        <f t="shared" si="64"/>
        <v>0.95</v>
      </c>
      <c r="AN120" s="218" t="str">
        <f t="shared" si="63"/>
        <v/>
      </c>
      <c r="AO120" s="38"/>
      <c r="AP120" s="218"/>
    </row>
    <row r="121" spans="1:42" x14ac:dyDescent="0.2">
      <c r="A121" t="str">
        <f>INDEX(Prioritization!$D:$D,MATCH($B121,Prioritization!$A:$A,0))</f>
        <v>INVALID</v>
      </c>
      <c r="B121" t="s">
        <v>322</v>
      </c>
      <c r="C121" t="s">
        <v>581</v>
      </c>
      <c r="D121" t="str">
        <f t="shared" si="50"/>
        <v>Nsanje District [rpw540fmNUz]|MSM</v>
      </c>
      <c r="E121" s="218"/>
      <c r="F121" s="218"/>
      <c r="G121" s="218"/>
      <c r="H121" s="38"/>
      <c r="I121" s="218"/>
      <c r="J121" s="38"/>
      <c r="K121" s="218"/>
      <c r="L121" s="38"/>
      <c r="M121" s="218"/>
      <c r="N121" s="38"/>
      <c r="O121" s="38"/>
      <c r="P121" s="38">
        <v>0</v>
      </c>
      <c r="Q121" s="237">
        <v>0</v>
      </c>
      <c r="R121" s="229">
        <v>0</v>
      </c>
      <c r="S121" s="33" t="str">
        <f t="shared" si="51"/>
        <v/>
      </c>
      <c r="T121" s="38"/>
      <c r="U121" s="33">
        <v>0.7</v>
      </c>
      <c r="V121" s="33">
        <v>0.83</v>
      </c>
      <c r="W121" s="38" t="str">
        <f t="shared" si="52"/>
        <v/>
      </c>
      <c r="X121" s="38" t="str">
        <f t="shared" si="53"/>
        <v/>
      </c>
      <c r="Y121" s="33">
        <v>1</v>
      </c>
      <c r="Z121" s="218" t="str">
        <f t="shared" si="54"/>
        <v/>
      </c>
      <c r="AA121" s="33">
        <f t="shared" si="55"/>
        <v>0.7</v>
      </c>
      <c r="AB121" s="38" t="str">
        <f t="shared" si="56"/>
        <v/>
      </c>
      <c r="AC121" s="33">
        <f t="shared" si="57"/>
        <v>0.95</v>
      </c>
      <c r="AD121" s="218" t="str">
        <f t="shared" si="48"/>
        <v/>
      </c>
      <c r="AE121" s="33">
        <f t="shared" si="58"/>
        <v>0.95</v>
      </c>
      <c r="AF121" s="218" t="str">
        <f t="shared" si="59"/>
        <v/>
      </c>
      <c r="AG121" s="38"/>
      <c r="AH121" s="38"/>
      <c r="AI121" s="33">
        <f t="shared" si="60"/>
        <v>0.95</v>
      </c>
      <c r="AJ121" s="33"/>
      <c r="AK121" s="218" t="str">
        <f t="shared" si="61"/>
        <v/>
      </c>
      <c r="AL121" s="218" t="str">
        <f t="shared" si="62"/>
        <v/>
      </c>
      <c r="AM121" s="33">
        <f t="shared" si="64"/>
        <v>0.95</v>
      </c>
      <c r="AN121" s="218" t="str">
        <f t="shared" si="63"/>
        <v/>
      </c>
      <c r="AO121" s="38"/>
      <c r="AP121" s="218"/>
    </row>
    <row r="122" spans="1:42" x14ac:dyDescent="0.2">
      <c r="A122" t="str">
        <f>INDEX(Prioritization!$D:$D,MATCH($B122,Prioritization!$A:$A,0))</f>
        <v>INVALID</v>
      </c>
      <c r="B122" t="s">
        <v>322</v>
      </c>
      <c r="C122" t="s">
        <v>582</v>
      </c>
      <c r="D122" t="str">
        <f t="shared" si="50"/>
        <v>Nsanje District [rpw540fmNUz]|People in prisons and other enclosed settings</v>
      </c>
      <c r="E122" s="218"/>
      <c r="F122" s="218"/>
      <c r="G122" s="218"/>
      <c r="H122" s="38"/>
      <c r="I122" s="218"/>
      <c r="J122" s="38"/>
      <c r="K122" s="218"/>
      <c r="L122" s="38"/>
      <c r="M122" s="218"/>
      <c r="N122" s="38"/>
      <c r="O122" s="38"/>
      <c r="P122" s="38">
        <v>0</v>
      </c>
      <c r="Q122" s="237">
        <v>0</v>
      </c>
      <c r="R122" s="229">
        <v>0</v>
      </c>
      <c r="S122" s="33" t="str">
        <f t="shared" si="51"/>
        <v/>
      </c>
      <c r="T122" s="38"/>
      <c r="U122" s="33">
        <v>0.85</v>
      </c>
      <c r="V122" s="33">
        <v>0.85</v>
      </c>
      <c r="W122" s="38" t="str">
        <f t="shared" si="52"/>
        <v/>
      </c>
      <c r="X122" s="38" t="str">
        <f t="shared" si="53"/>
        <v/>
      </c>
      <c r="Y122" s="33">
        <v>1</v>
      </c>
      <c r="Z122" s="218" t="str">
        <f t="shared" si="54"/>
        <v/>
      </c>
      <c r="AA122" s="33">
        <f t="shared" si="55"/>
        <v>0.7</v>
      </c>
      <c r="AB122" s="38" t="str">
        <f t="shared" si="56"/>
        <v/>
      </c>
      <c r="AC122" s="33">
        <f t="shared" si="57"/>
        <v>0.95</v>
      </c>
      <c r="AD122" s="218" t="str">
        <f t="shared" si="48"/>
        <v/>
      </c>
      <c r="AE122" s="33">
        <f t="shared" si="58"/>
        <v>0.95</v>
      </c>
      <c r="AF122" s="218" t="str">
        <f t="shared" si="59"/>
        <v/>
      </c>
      <c r="AG122" s="38"/>
      <c r="AH122" s="38"/>
      <c r="AI122" s="33">
        <f t="shared" si="60"/>
        <v>0.95</v>
      </c>
      <c r="AJ122" s="33"/>
      <c r="AK122" s="218" t="str">
        <f t="shared" si="61"/>
        <v/>
      </c>
      <c r="AL122" s="218" t="str">
        <f t="shared" si="62"/>
        <v/>
      </c>
      <c r="AM122" s="33">
        <f t="shared" si="64"/>
        <v>0.95</v>
      </c>
      <c r="AN122" s="218" t="str">
        <f t="shared" si="63"/>
        <v/>
      </c>
      <c r="AO122" s="38"/>
      <c r="AP122" s="218"/>
    </row>
    <row r="123" spans="1:42" x14ac:dyDescent="0.2">
      <c r="A123" t="str">
        <f>INDEX(Prioritization!$D:$D,MATCH($B123,Prioritization!$A:$A,0))</f>
        <v>INVALID</v>
      </c>
      <c r="B123" t="s">
        <v>322</v>
      </c>
      <c r="C123" t="s">
        <v>583</v>
      </c>
      <c r="D123" t="str">
        <f t="shared" si="50"/>
        <v>Nsanje District [rpw540fmNUz]|PWID</v>
      </c>
      <c r="E123" s="218"/>
      <c r="F123" s="218"/>
      <c r="G123" s="218"/>
      <c r="H123" s="38"/>
      <c r="I123" s="218"/>
      <c r="J123" s="38"/>
      <c r="K123" s="218"/>
      <c r="L123" s="38"/>
      <c r="M123" s="218"/>
      <c r="N123" s="38"/>
      <c r="O123" s="38"/>
      <c r="P123" s="38">
        <v>0</v>
      </c>
      <c r="Q123" s="237">
        <v>0</v>
      </c>
      <c r="R123" s="229">
        <v>0</v>
      </c>
      <c r="S123" s="33" t="str">
        <f t="shared" si="51"/>
        <v/>
      </c>
      <c r="T123" s="38"/>
      <c r="U123" s="33">
        <v>0.8</v>
      </c>
      <c r="V123" s="33">
        <v>0.85</v>
      </c>
      <c r="W123" s="38" t="str">
        <f t="shared" si="52"/>
        <v/>
      </c>
      <c r="X123" s="38" t="str">
        <f t="shared" si="53"/>
        <v/>
      </c>
      <c r="Y123" s="33">
        <v>1</v>
      </c>
      <c r="Z123" s="218" t="str">
        <f t="shared" si="54"/>
        <v/>
      </c>
      <c r="AA123" s="33">
        <f t="shared" si="55"/>
        <v>0.7</v>
      </c>
      <c r="AB123" s="38" t="str">
        <f t="shared" si="56"/>
        <v/>
      </c>
      <c r="AC123" s="33">
        <f t="shared" si="57"/>
        <v>0.95</v>
      </c>
      <c r="AD123" s="218" t="str">
        <f t="shared" si="48"/>
        <v/>
      </c>
      <c r="AE123" s="33">
        <f t="shared" si="58"/>
        <v>0.95</v>
      </c>
      <c r="AF123" s="218" t="str">
        <f t="shared" si="59"/>
        <v/>
      </c>
      <c r="AG123" s="38"/>
      <c r="AH123" s="38"/>
      <c r="AI123" s="33">
        <f t="shared" si="60"/>
        <v>0.95</v>
      </c>
      <c r="AJ123" s="33"/>
      <c r="AK123" s="218" t="str">
        <f t="shared" si="61"/>
        <v/>
      </c>
      <c r="AL123" s="218" t="str">
        <f t="shared" si="62"/>
        <v/>
      </c>
      <c r="AM123" s="33">
        <f t="shared" si="64"/>
        <v>0.95</v>
      </c>
      <c r="AN123" s="218" t="str">
        <f t="shared" si="63"/>
        <v/>
      </c>
      <c r="AO123" s="38"/>
      <c r="AP123" s="218"/>
    </row>
    <row r="124" spans="1:42" x14ac:dyDescent="0.2">
      <c r="A124" t="str">
        <f>INDEX(Prioritization!$D:$D,MATCH($B124,Prioritization!$A:$A,0))</f>
        <v>INVALID</v>
      </c>
      <c r="B124" t="s">
        <v>322</v>
      </c>
      <c r="C124" t="s">
        <v>584</v>
      </c>
      <c r="D124" t="str">
        <f t="shared" si="50"/>
        <v>Nsanje District [rpw540fmNUz]|TG</v>
      </c>
      <c r="E124" s="218"/>
      <c r="F124" s="218"/>
      <c r="G124" s="218"/>
      <c r="H124" s="38"/>
      <c r="I124" s="218"/>
      <c r="J124" s="38"/>
      <c r="K124" s="218"/>
      <c r="L124" s="38"/>
      <c r="M124" s="218"/>
      <c r="N124" s="38"/>
      <c r="O124" s="38"/>
      <c r="P124" s="38">
        <v>0</v>
      </c>
      <c r="Q124" s="237">
        <v>0</v>
      </c>
      <c r="R124" s="229">
        <v>0</v>
      </c>
      <c r="S124" s="33" t="str">
        <f t="shared" si="51"/>
        <v/>
      </c>
      <c r="T124" s="38"/>
      <c r="U124" s="33">
        <v>0.85</v>
      </c>
      <c r="V124" s="33">
        <v>0.85</v>
      </c>
      <c r="W124" s="38" t="str">
        <f t="shared" si="52"/>
        <v/>
      </c>
      <c r="X124" s="38" t="str">
        <f t="shared" si="53"/>
        <v/>
      </c>
      <c r="Y124" s="33">
        <v>1</v>
      </c>
      <c r="Z124" s="218" t="str">
        <f t="shared" si="54"/>
        <v/>
      </c>
      <c r="AA124" s="33">
        <f t="shared" si="55"/>
        <v>0.7</v>
      </c>
      <c r="AB124" s="38" t="str">
        <f t="shared" si="56"/>
        <v/>
      </c>
      <c r="AC124" s="33">
        <f t="shared" si="57"/>
        <v>0.95</v>
      </c>
      <c r="AD124" s="218" t="str">
        <f t="shared" si="48"/>
        <v/>
      </c>
      <c r="AE124" s="33">
        <f t="shared" si="58"/>
        <v>0.95</v>
      </c>
      <c r="AF124" s="218" t="str">
        <f t="shared" si="59"/>
        <v/>
      </c>
      <c r="AG124" s="38"/>
      <c r="AH124" s="38"/>
      <c r="AI124" s="33">
        <f t="shared" si="60"/>
        <v>0.95</v>
      </c>
      <c r="AJ124" s="33"/>
      <c r="AK124" s="218" t="str">
        <f t="shared" si="61"/>
        <v/>
      </c>
      <c r="AL124" s="218" t="str">
        <f t="shared" si="62"/>
        <v/>
      </c>
      <c r="AM124" s="33">
        <f t="shared" si="64"/>
        <v>0.95</v>
      </c>
      <c r="AN124" s="218" t="str">
        <f t="shared" si="63"/>
        <v/>
      </c>
      <c r="AO124" s="38"/>
      <c r="AP124" s="218"/>
    </row>
    <row r="125" spans="1:42" x14ac:dyDescent="0.2">
      <c r="A125" t="str">
        <f>INDEX(Prioritization!$D:$D,MATCH($B125,Prioritization!$A:$A,0))</f>
        <v>4 - Sustained</v>
      </c>
      <c r="B125" t="s">
        <v>304</v>
      </c>
      <c r="C125" t="s">
        <v>580</v>
      </c>
      <c r="D125" t="str">
        <f t="shared" si="50"/>
        <v>Ntcheu District [am530wpaGvr]|FSW</v>
      </c>
      <c r="E125" s="218"/>
      <c r="F125" s="218"/>
      <c r="G125" s="218"/>
      <c r="H125" s="38"/>
      <c r="I125" s="218"/>
      <c r="J125" s="38"/>
      <c r="K125" s="218"/>
      <c r="L125" s="38"/>
      <c r="M125" s="218"/>
      <c r="N125" s="38"/>
      <c r="O125" s="38"/>
      <c r="P125" s="38">
        <v>0</v>
      </c>
      <c r="Q125" s="237">
        <v>0</v>
      </c>
      <c r="R125" s="229">
        <v>0</v>
      </c>
      <c r="S125" s="33" t="str">
        <f t="shared" si="51"/>
        <v/>
      </c>
      <c r="T125" s="38"/>
      <c r="U125" s="33">
        <v>0.85</v>
      </c>
      <c r="V125" s="33">
        <v>0.85</v>
      </c>
      <c r="W125" s="38" t="str">
        <f t="shared" si="52"/>
        <v/>
      </c>
      <c r="X125" s="38" t="str">
        <f t="shared" si="53"/>
        <v/>
      </c>
      <c r="Y125" s="33">
        <v>1</v>
      </c>
      <c r="Z125" s="218" t="str">
        <f t="shared" si="54"/>
        <v/>
      </c>
      <c r="AA125" s="33">
        <f t="shared" si="55"/>
        <v>0.7</v>
      </c>
      <c r="AB125" s="38" t="str">
        <f t="shared" si="56"/>
        <v/>
      </c>
      <c r="AC125" s="33">
        <f t="shared" si="57"/>
        <v>0.95</v>
      </c>
      <c r="AD125" s="218" t="str">
        <f t="shared" si="48"/>
        <v/>
      </c>
      <c r="AE125" s="33">
        <f t="shared" si="58"/>
        <v>0.95</v>
      </c>
      <c r="AF125" s="218" t="str">
        <f t="shared" si="59"/>
        <v/>
      </c>
      <c r="AG125" s="38"/>
      <c r="AH125" s="38"/>
      <c r="AI125" s="33">
        <f t="shared" si="60"/>
        <v>0.95</v>
      </c>
      <c r="AJ125" s="33"/>
      <c r="AK125" s="218" t="str">
        <f t="shared" si="61"/>
        <v/>
      </c>
      <c r="AL125" s="218" t="str">
        <f t="shared" si="62"/>
        <v/>
      </c>
      <c r="AM125" s="33">
        <v>0</v>
      </c>
      <c r="AN125" s="218" t="str">
        <f t="shared" si="63"/>
        <v/>
      </c>
      <c r="AO125" s="38"/>
      <c r="AP125" s="218"/>
    </row>
    <row r="126" spans="1:42" x14ac:dyDescent="0.2">
      <c r="A126" t="str">
        <f>INDEX(Prioritization!$D:$D,MATCH($B126,Prioritization!$A:$A,0))</f>
        <v>4 - Sustained</v>
      </c>
      <c r="B126" t="s">
        <v>304</v>
      </c>
      <c r="C126" t="s">
        <v>581</v>
      </c>
      <c r="D126" t="str">
        <f t="shared" si="50"/>
        <v>Ntcheu District [am530wpaGvr]|MSM</v>
      </c>
      <c r="E126" s="218"/>
      <c r="F126" s="218"/>
      <c r="G126" s="218"/>
      <c r="H126" s="38"/>
      <c r="I126" s="218"/>
      <c r="J126" s="38"/>
      <c r="K126" s="218"/>
      <c r="L126" s="38"/>
      <c r="M126" s="218"/>
      <c r="N126" s="38"/>
      <c r="O126" s="38"/>
      <c r="P126" s="38">
        <v>0</v>
      </c>
      <c r="Q126" s="237">
        <v>0</v>
      </c>
      <c r="R126" s="229">
        <v>0</v>
      </c>
      <c r="S126" s="33" t="str">
        <f t="shared" si="51"/>
        <v/>
      </c>
      <c r="T126" s="38"/>
      <c r="U126" s="33">
        <v>0.7</v>
      </c>
      <c r="V126" s="33">
        <v>0.83</v>
      </c>
      <c r="W126" s="38" t="str">
        <f t="shared" si="52"/>
        <v/>
      </c>
      <c r="X126" s="38" t="str">
        <f t="shared" si="53"/>
        <v/>
      </c>
      <c r="Y126" s="33">
        <v>1</v>
      </c>
      <c r="Z126" s="218" t="str">
        <f t="shared" si="54"/>
        <v/>
      </c>
      <c r="AA126" s="33">
        <f t="shared" si="55"/>
        <v>0.7</v>
      </c>
      <c r="AB126" s="38" t="str">
        <f t="shared" si="56"/>
        <v/>
      </c>
      <c r="AC126" s="33">
        <f t="shared" si="57"/>
        <v>0.95</v>
      </c>
      <c r="AD126" s="218" t="str">
        <f t="shared" si="48"/>
        <v/>
      </c>
      <c r="AE126" s="33">
        <f t="shared" si="58"/>
        <v>0.95</v>
      </c>
      <c r="AF126" s="218" t="str">
        <f t="shared" si="59"/>
        <v/>
      </c>
      <c r="AG126" s="38"/>
      <c r="AH126" s="38"/>
      <c r="AI126" s="33">
        <f t="shared" si="60"/>
        <v>0.95</v>
      </c>
      <c r="AJ126" s="33"/>
      <c r="AK126" s="218" t="str">
        <f t="shared" si="61"/>
        <v/>
      </c>
      <c r="AL126" s="218" t="str">
        <f t="shared" si="62"/>
        <v/>
      </c>
      <c r="AM126" s="33">
        <v>0</v>
      </c>
      <c r="AN126" s="218" t="str">
        <f t="shared" si="63"/>
        <v/>
      </c>
      <c r="AO126" s="38"/>
      <c r="AP126" s="218"/>
    </row>
    <row r="127" spans="1:42" x14ac:dyDescent="0.2">
      <c r="A127" t="str">
        <f>INDEX(Prioritization!$D:$D,MATCH($B127,Prioritization!$A:$A,0))</f>
        <v>4 - Sustained</v>
      </c>
      <c r="B127" t="s">
        <v>304</v>
      </c>
      <c r="C127" t="s">
        <v>582</v>
      </c>
      <c r="D127" t="str">
        <f t="shared" si="50"/>
        <v>Ntcheu District [am530wpaGvr]|People in prisons and other enclosed settings</v>
      </c>
      <c r="E127" s="218">
        <v>600</v>
      </c>
      <c r="F127" s="218">
        <v>96</v>
      </c>
      <c r="G127" s="218"/>
      <c r="H127" s="38"/>
      <c r="I127" s="218"/>
      <c r="J127" s="38"/>
      <c r="K127" s="218"/>
      <c r="L127" s="38">
        <v>600</v>
      </c>
      <c r="M127" s="218">
        <v>600</v>
      </c>
      <c r="N127" s="38">
        <v>60</v>
      </c>
      <c r="O127" s="38">
        <v>70</v>
      </c>
      <c r="P127" s="38">
        <v>60</v>
      </c>
      <c r="Q127" s="237">
        <v>60</v>
      </c>
      <c r="R127" s="229">
        <v>60</v>
      </c>
      <c r="S127" s="33">
        <f t="shared" si="51"/>
        <v>0.625</v>
      </c>
      <c r="T127" s="38">
        <v>15</v>
      </c>
      <c r="U127" s="33">
        <v>0.85</v>
      </c>
      <c r="V127" s="33">
        <v>0.85</v>
      </c>
      <c r="W127" s="38">
        <f t="shared" si="52"/>
        <v>0</v>
      </c>
      <c r="X127" s="38">
        <f t="shared" si="53"/>
        <v>11</v>
      </c>
      <c r="Y127" s="33">
        <v>1</v>
      </c>
      <c r="Z127" s="218">
        <f t="shared" si="54"/>
        <v>11</v>
      </c>
      <c r="AA127" s="33">
        <f t="shared" si="55"/>
        <v>0.7</v>
      </c>
      <c r="AB127" s="38">
        <f t="shared" si="56"/>
        <v>68</v>
      </c>
      <c r="AC127" s="33">
        <f t="shared" si="57"/>
        <v>0.95</v>
      </c>
      <c r="AD127" s="218">
        <f t="shared" si="48"/>
        <v>57</v>
      </c>
      <c r="AE127" s="33">
        <f t="shared" si="58"/>
        <v>0.95</v>
      </c>
      <c r="AF127" s="218">
        <f t="shared" si="59"/>
        <v>54</v>
      </c>
      <c r="AG127" s="38">
        <v>16</v>
      </c>
      <c r="AH127" s="38">
        <v>517</v>
      </c>
      <c r="AI127" s="33">
        <f t="shared" si="60"/>
        <v>0.95</v>
      </c>
      <c r="AJ127" s="33">
        <v>0.02</v>
      </c>
      <c r="AK127" s="218">
        <f t="shared" si="61"/>
        <v>12</v>
      </c>
      <c r="AL127" s="218">
        <f t="shared" si="62"/>
        <v>588</v>
      </c>
      <c r="AM127" s="33">
        <v>0</v>
      </c>
      <c r="AN127" s="218">
        <f t="shared" si="63"/>
        <v>0</v>
      </c>
      <c r="AO127" s="38"/>
      <c r="AP127" s="218"/>
    </row>
    <row r="128" spans="1:42" x14ac:dyDescent="0.2">
      <c r="A128" t="str">
        <f>INDEX(Prioritization!$D:$D,MATCH($B128,Prioritization!$A:$A,0))</f>
        <v>4 - Sustained</v>
      </c>
      <c r="B128" t="s">
        <v>304</v>
      </c>
      <c r="C128" t="s">
        <v>583</v>
      </c>
      <c r="D128" t="str">
        <f t="shared" si="50"/>
        <v>Ntcheu District [am530wpaGvr]|PWID</v>
      </c>
      <c r="E128" s="218"/>
      <c r="F128" s="218"/>
      <c r="G128" s="218"/>
      <c r="H128" s="38"/>
      <c r="I128" s="218"/>
      <c r="J128" s="38"/>
      <c r="K128" s="218"/>
      <c r="L128" s="38"/>
      <c r="M128" s="218"/>
      <c r="N128" s="38"/>
      <c r="O128" s="38"/>
      <c r="P128" s="38">
        <v>0</v>
      </c>
      <c r="Q128" s="237">
        <v>0</v>
      </c>
      <c r="R128" s="229">
        <v>0</v>
      </c>
      <c r="S128" s="33" t="str">
        <f t="shared" si="51"/>
        <v/>
      </c>
      <c r="T128" s="38"/>
      <c r="U128" s="33">
        <v>0.8</v>
      </c>
      <c r="V128" s="33">
        <v>0.85</v>
      </c>
      <c r="W128" s="38" t="str">
        <f t="shared" si="52"/>
        <v/>
      </c>
      <c r="X128" s="38" t="str">
        <f t="shared" si="53"/>
        <v/>
      </c>
      <c r="Y128" s="33">
        <v>1</v>
      </c>
      <c r="Z128" s="218" t="str">
        <f t="shared" si="54"/>
        <v/>
      </c>
      <c r="AA128" s="33">
        <f t="shared" si="55"/>
        <v>0.7</v>
      </c>
      <c r="AB128" s="38" t="str">
        <f t="shared" si="56"/>
        <v/>
      </c>
      <c r="AC128" s="33">
        <f t="shared" si="57"/>
        <v>0.95</v>
      </c>
      <c r="AD128" s="218" t="str">
        <f t="shared" si="48"/>
        <v/>
      </c>
      <c r="AE128" s="33">
        <f t="shared" si="58"/>
        <v>0.95</v>
      </c>
      <c r="AF128" s="218" t="str">
        <f t="shared" si="59"/>
        <v/>
      </c>
      <c r="AG128" s="38"/>
      <c r="AH128" s="38"/>
      <c r="AI128" s="33">
        <f t="shared" si="60"/>
        <v>0.95</v>
      </c>
      <c r="AJ128" s="33"/>
      <c r="AK128" s="218" t="str">
        <f t="shared" si="61"/>
        <v/>
      </c>
      <c r="AL128" s="218" t="str">
        <f t="shared" si="62"/>
        <v/>
      </c>
      <c r="AM128" s="33">
        <v>0</v>
      </c>
      <c r="AN128" s="218" t="str">
        <f t="shared" si="63"/>
        <v/>
      </c>
      <c r="AO128" s="38"/>
      <c r="AP128" s="218"/>
    </row>
    <row r="129" spans="1:42" x14ac:dyDescent="0.2">
      <c r="A129" t="str">
        <f>INDEX(Prioritization!$D:$D,MATCH($B129,Prioritization!$A:$A,0))</f>
        <v>4 - Sustained</v>
      </c>
      <c r="B129" t="s">
        <v>304</v>
      </c>
      <c r="C129" t="s">
        <v>584</v>
      </c>
      <c r="D129" t="str">
        <f t="shared" si="50"/>
        <v>Ntcheu District [am530wpaGvr]|TG</v>
      </c>
      <c r="E129" s="218"/>
      <c r="F129" s="218"/>
      <c r="G129" s="218"/>
      <c r="H129" s="38"/>
      <c r="I129" s="218"/>
      <c r="J129" s="38"/>
      <c r="K129" s="218"/>
      <c r="L129" s="38"/>
      <c r="M129" s="218"/>
      <c r="N129" s="38"/>
      <c r="O129" s="38"/>
      <c r="P129" s="38">
        <v>0</v>
      </c>
      <c r="Q129" s="237">
        <v>0</v>
      </c>
      <c r="R129" s="229">
        <v>0</v>
      </c>
      <c r="S129" s="33" t="str">
        <f t="shared" si="51"/>
        <v/>
      </c>
      <c r="T129" s="38"/>
      <c r="U129" s="33">
        <v>0.85</v>
      </c>
      <c r="V129" s="33">
        <v>0.85</v>
      </c>
      <c r="W129" s="38" t="str">
        <f t="shared" si="52"/>
        <v/>
      </c>
      <c r="X129" s="38" t="str">
        <f t="shared" si="53"/>
        <v/>
      </c>
      <c r="Y129" s="33">
        <v>1</v>
      </c>
      <c r="Z129" s="218" t="str">
        <f t="shared" si="54"/>
        <v/>
      </c>
      <c r="AA129" s="33">
        <f t="shared" si="55"/>
        <v>0.7</v>
      </c>
      <c r="AB129" s="38" t="str">
        <f t="shared" si="56"/>
        <v/>
      </c>
      <c r="AC129" s="33">
        <f t="shared" si="57"/>
        <v>0.95</v>
      </c>
      <c r="AD129" s="218" t="str">
        <f t="shared" si="48"/>
        <v/>
      </c>
      <c r="AE129" s="33">
        <f t="shared" si="58"/>
        <v>0.95</v>
      </c>
      <c r="AF129" s="218" t="str">
        <f t="shared" si="59"/>
        <v/>
      </c>
      <c r="AG129" s="38"/>
      <c r="AH129" s="38"/>
      <c r="AI129" s="33">
        <f t="shared" si="60"/>
        <v>0.95</v>
      </c>
      <c r="AJ129" s="33"/>
      <c r="AK129" s="218" t="str">
        <f t="shared" si="61"/>
        <v/>
      </c>
      <c r="AL129" s="218" t="str">
        <f t="shared" si="62"/>
        <v/>
      </c>
      <c r="AM129" s="33">
        <v>0</v>
      </c>
      <c r="AN129" s="218" t="str">
        <f t="shared" si="63"/>
        <v/>
      </c>
      <c r="AO129" s="38"/>
      <c r="AP129" s="218"/>
    </row>
    <row r="130" spans="1:42" x14ac:dyDescent="0.2">
      <c r="A130" t="str">
        <f>INDEX(Prioritization!$D:$D,MATCH($B130,Prioritization!$A:$A,0))</f>
        <v>4 - Sustained</v>
      </c>
      <c r="B130" t="s">
        <v>305</v>
      </c>
      <c r="C130" t="s">
        <v>580</v>
      </c>
      <c r="D130" t="str">
        <f t="shared" si="50"/>
        <v>Ntchisi District [fiRkU6gEjLz]|FSW</v>
      </c>
      <c r="E130" s="218"/>
      <c r="F130" s="218"/>
      <c r="G130" s="218"/>
      <c r="H130" s="38"/>
      <c r="I130" s="218"/>
      <c r="J130" s="38"/>
      <c r="K130" s="218"/>
      <c r="L130" s="38"/>
      <c r="M130" s="218"/>
      <c r="N130" s="38"/>
      <c r="O130" s="38"/>
      <c r="P130" s="38">
        <v>0</v>
      </c>
      <c r="Q130" s="237">
        <v>0</v>
      </c>
      <c r="R130" s="229">
        <v>0</v>
      </c>
      <c r="S130" s="33" t="str">
        <f t="shared" si="51"/>
        <v/>
      </c>
      <c r="T130" s="38"/>
      <c r="U130" s="33">
        <v>0.85</v>
      </c>
      <c r="V130" s="33">
        <v>0.85</v>
      </c>
      <c r="W130" s="38" t="str">
        <f t="shared" si="52"/>
        <v/>
      </c>
      <c r="X130" s="38" t="str">
        <f t="shared" si="53"/>
        <v/>
      </c>
      <c r="Y130" s="33">
        <v>1</v>
      </c>
      <c r="Z130" s="218" t="str">
        <f t="shared" si="54"/>
        <v/>
      </c>
      <c r="AA130" s="33">
        <f t="shared" si="55"/>
        <v>0.7</v>
      </c>
      <c r="AB130" s="38" t="str">
        <f t="shared" si="56"/>
        <v/>
      </c>
      <c r="AC130" s="33">
        <f t="shared" si="57"/>
        <v>0.95</v>
      </c>
      <c r="AD130" s="218" t="str">
        <f t="shared" si="48"/>
        <v/>
      </c>
      <c r="AE130" s="33">
        <f t="shared" si="58"/>
        <v>0.95</v>
      </c>
      <c r="AF130" s="218" t="str">
        <f t="shared" si="59"/>
        <v/>
      </c>
      <c r="AG130" s="38"/>
      <c r="AH130" s="38"/>
      <c r="AI130" s="33">
        <f t="shared" si="60"/>
        <v>0.95</v>
      </c>
      <c r="AJ130" s="33"/>
      <c r="AK130" s="218" t="str">
        <f t="shared" si="61"/>
        <v/>
      </c>
      <c r="AL130" s="218" t="str">
        <f t="shared" si="62"/>
        <v/>
      </c>
      <c r="AM130" s="33">
        <v>0</v>
      </c>
      <c r="AN130" s="218" t="str">
        <f t="shared" si="63"/>
        <v/>
      </c>
      <c r="AO130" s="38"/>
      <c r="AP130" s="218"/>
    </row>
    <row r="131" spans="1:42" x14ac:dyDescent="0.2">
      <c r="A131" t="str">
        <f>INDEX(Prioritization!$D:$D,MATCH($B131,Prioritization!$A:$A,0))</f>
        <v>4 - Sustained</v>
      </c>
      <c r="B131" t="s">
        <v>305</v>
      </c>
      <c r="C131" t="s">
        <v>581</v>
      </c>
      <c r="D131" t="str">
        <f t="shared" si="50"/>
        <v>Ntchisi District [fiRkU6gEjLz]|MSM</v>
      </c>
      <c r="E131" s="218"/>
      <c r="F131" s="218"/>
      <c r="G131" s="218"/>
      <c r="H131" s="38"/>
      <c r="I131" s="218"/>
      <c r="J131" s="38"/>
      <c r="K131" s="218"/>
      <c r="L131" s="38"/>
      <c r="M131" s="218"/>
      <c r="N131" s="38"/>
      <c r="O131" s="38"/>
      <c r="P131" s="38">
        <v>0</v>
      </c>
      <c r="Q131" s="237">
        <v>0</v>
      </c>
      <c r="R131" s="229">
        <v>0</v>
      </c>
      <c r="S131" s="33" t="str">
        <f t="shared" si="51"/>
        <v/>
      </c>
      <c r="T131" s="38"/>
      <c r="U131" s="33">
        <v>0.7</v>
      </c>
      <c r="V131" s="33">
        <v>0.83</v>
      </c>
      <c r="W131" s="38" t="str">
        <f t="shared" si="52"/>
        <v/>
      </c>
      <c r="X131" s="38" t="str">
        <f t="shared" si="53"/>
        <v/>
      </c>
      <c r="Y131" s="33">
        <v>1</v>
      </c>
      <c r="Z131" s="218" t="str">
        <f t="shared" si="54"/>
        <v/>
      </c>
      <c r="AA131" s="33">
        <f t="shared" si="55"/>
        <v>0.7</v>
      </c>
      <c r="AB131" s="38" t="str">
        <f t="shared" si="56"/>
        <v/>
      </c>
      <c r="AC131" s="33">
        <f t="shared" si="57"/>
        <v>0.95</v>
      </c>
      <c r="AD131" s="218" t="str">
        <f t="shared" si="48"/>
        <v/>
      </c>
      <c r="AE131" s="33">
        <f t="shared" si="58"/>
        <v>0.95</v>
      </c>
      <c r="AF131" s="218" t="str">
        <f t="shared" si="59"/>
        <v/>
      </c>
      <c r="AG131" s="38"/>
      <c r="AH131" s="38"/>
      <c r="AI131" s="33">
        <f t="shared" si="60"/>
        <v>0.95</v>
      </c>
      <c r="AJ131" s="33"/>
      <c r="AK131" s="218" t="str">
        <f t="shared" si="61"/>
        <v/>
      </c>
      <c r="AL131" s="218" t="str">
        <f t="shared" si="62"/>
        <v/>
      </c>
      <c r="AM131" s="33">
        <v>0</v>
      </c>
      <c r="AN131" s="218" t="str">
        <f t="shared" si="63"/>
        <v/>
      </c>
      <c r="AO131" s="38"/>
      <c r="AP131" s="218"/>
    </row>
    <row r="132" spans="1:42" x14ac:dyDescent="0.2">
      <c r="A132" t="str">
        <f>INDEX(Prioritization!$D:$D,MATCH($B132,Prioritization!$A:$A,0))</f>
        <v>4 - Sustained</v>
      </c>
      <c r="B132" t="s">
        <v>305</v>
      </c>
      <c r="C132" t="s">
        <v>582</v>
      </c>
      <c r="D132" t="str">
        <f t="shared" si="50"/>
        <v>Ntchisi District [fiRkU6gEjLz]|People in prisons and other enclosed settings</v>
      </c>
      <c r="E132" s="218">
        <v>600</v>
      </c>
      <c r="F132" s="218">
        <v>96</v>
      </c>
      <c r="G132" s="218"/>
      <c r="H132" s="38"/>
      <c r="I132" s="218"/>
      <c r="J132" s="38"/>
      <c r="K132" s="218"/>
      <c r="L132" s="38">
        <v>600</v>
      </c>
      <c r="M132" s="218">
        <v>600</v>
      </c>
      <c r="N132" s="38"/>
      <c r="O132" s="38">
        <v>23</v>
      </c>
      <c r="P132" s="38">
        <v>38</v>
      </c>
      <c r="Q132" s="237">
        <v>38</v>
      </c>
      <c r="R132" s="229">
        <v>38</v>
      </c>
      <c r="S132" s="33">
        <f t="shared" si="51"/>
        <v>0.39583333333333331</v>
      </c>
      <c r="T132" s="38">
        <v>15</v>
      </c>
      <c r="U132" s="33">
        <v>0.85</v>
      </c>
      <c r="V132" s="33">
        <v>0.85</v>
      </c>
      <c r="W132" s="38">
        <f t="shared" si="52"/>
        <v>0</v>
      </c>
      <c r="X132" s="38">
        <f t="shared" si="53"/>
        <v>7</v>
      </c>
      <c r="Y132" s="33">
        <v>1</v>
      </c>
      <c r="Z132" s="218">
        <f t="shared" si="54"/>
        <v>7</v>
      </c>
      <c r="AA132" s="33">
        <f t="shared" si="55"/>
        <v>0.7</v>
      </c>
      <c r="AB132" s="38">
        <f t="shared" si="56"/>
        <v>43</v>
      </c>
      <c r="AC132" s="33">
        <f t="shared" si="57"/>
        <v>0.95</v>
      </c>
      <c r="AD132" s="218">
        <f t="shared" si="48"/>
        <v>36</v>
      </c>
      <c r="AE132" s="33">
        <f t="shared" si="58"/>
        <v>0.95</v>
      </c>
      <c r="AF132" s="218">
        <f t="shared" si="59"/>
        <v>34</v>
      </c>
      <c r="AG132" s="38">
        <v>16</v>
      </c>
      <c r="AH132" s="38">
        <v>517</v>
      </c>
      <c r="AI132" s="33">
        <f t="shared" si="60"/>
        <v>0.95</v>
      </c>
      <c r="AJ132" s="33">
        <v>0.02</v>
      </c>
      <c r="AK132" s="218">
        <f t="shared" si="61"/>
        <v>7</v>
      </c>
      <c r="AL132" s="218">
        <f t="shared" si="62"/>
        <v>343</v>
      </c>
      <c r="AM132" s="33">
        <v>0</v>
      </c>
      <c r="AN132" s="218">
        <f t="shared" si="63"/>
        <v>0</v>
      </c>
      <c r="AO132" s="38"/>
      <c r="AP132" s="218"/>
    </row>
    <row r="133" spans="1:42" x14ac:dyDescent="0.2">
      <c r="A133" t="str">
        <f>INDEX(Prioritization!$D:$D,MATCH($B133,Prioritization!$A:$A,0))</f>
        <v>4 - Sustained</v>
      </c>
      <c r="B133" t="s">
        <v>305</v>
      </c>
      <c r="C133" t="s">
        <v>583</v>
      </c>
      <c r="D133" t="str">
        <f t="shared" si="50"/>
        <v>Ntchisi District [fiRkU6gEjLz]|PWID</v>
      </c>
      <c r="E133" s="218"/>
      <c r="F133" s="218"/>
      <c r="G133" s="218"/>
      <c r="H133" s="38"/>
      <c r="I133" s="218"/>
      <c r="J133" s="38"/>
      <c r="K133" s="218"/>
      <c r="L133" s="38"/>
      <c r="M133" s="218"/>
      <c r="N133" s="38"/>
      <c r="O133" s="38"/>
      <c r="P133" s="38">
        <v>0</v>
      </c>
      <c r="Q133" s="237">
        <v>0</v>
      </c>
      <c r="R133" s="229">
        <v>0</v>
      </c>
      <c r="S133" s="33" t="str">
        <f t="shared" si="51"/>
        <v/>
      </c>
      <c r="T133" s="38"/>
      <c r="U133" s="33">
        <v>0.8</v>
      </c>
      <c r="V133" s="33">
        <v>0.85</v>
      </c>
      <c r="W133" s="38" t="str">
        <f t="shared" si="52"/>
        <v/>
      </c>
      <c r="X133" s="38" t="str">
        <f t="shared" si="53"/>
        <v/>
      </c>
      <c r="Y133" s="33">
        <v>1</v>
      </c>
      <c r="Z133" s="218" t="str">
        <f t="shared" si="54"/>
        <v/>
      </c>
      <c r="AA133" s="33">
        <f t="shared" si="55"/>
        <v>0.7</v>
      </c>
      <c r="AB133" s="38" t="str">
        <f t="shared" si="56"/>
        <v/>
      </c>
      <c r="AC133" s="33">
        <f t="shared" si="57"/>
        <v>0.95</v>
      </c>
      <c r="AD133" s="218" t="str">
        <f t="shared" si="48"/>
        <v/>
      </c>
      <c r="AE133" s="33">
        <f t="shared" si="58"/>
        <v>0.95</v>
      </c>
      <c r="AF133" s="218" t="str">
        <f t="shared" si="59"/>
        <v/>
      </c>
      <c r="AG133" s="38"/>
      <c r="AH133" s="38"/>
      <c r="AI133" s="33">
        <f t="shared" si="60"/>
        <v>0.95</v>
      </c>
      <c r="AJ133" s="33"/>
      <c r="AK133" s="218" t="str">
        <f t="shared" si="61"/>
        <v/>
      </c>
      <c r="AL133" s="218" t="str">
        <f t="shared" si="62"/>
        <v/>
      </c>
      <c r="AM133" s="33">
        <v>0</v>
      </c>
      <c r="AN133" s="218" t="str">
        <f t="shared" si="63"/>
        <v/>
      </c>
      <c r="AO133" s="38"/>
      <c r="AP133" s="218"/>
    </row>
    <row r="134" spans="1:42" x14ac:dyDescent="0.2">
      <c r="A134" t="str">
        <f>INDEX(Prioritization!$D:$D,MATCH($B134,Prioritization!$A:$A,0))</f>
        <v>4 - Sustained</v>
      </c>
      <c r="B134" t="s">
        <v>305</v>
      </c>
      <c r="C134" t="s">
        <v>584</v>
      </c>
      <c r="D134" t="str">
        <f t="shared" si="50"/>
        <v>Ntchisi District [fiRkU6gEjLz]|TG</v>
      </c>
      <c r="E134" s="218"/>
      <c r="F134" s="218"/>
      <c r="G134" s="218"/>
      <c r="H134" s="38"/>
      <c r="I134" s="218"/>
      <c r="J134" s="38"/>
      <c r="K134" s="218"/>
      <c r="L134" s="38"/>
      <c r="M134" s="218"/>
      <c r="N134" s="38"/>
      <c r="O134" s="38"/>
      <c r="P134" s="38">
        <v>0</v>
      </c>
      <c r="Q134" s="237">
        <v>0</v>
      </c>
      <c r="R134" s="229">
        <v>0</v>
      </c>
      <c r="S134" s="33" t="str">
        <f t="shared" si="51"/>
        <v/>
      </c>
      <c r="T134" s="38"/>
      <c r="U134" s="33">
        <v>0.85</v>
      </c>
      <c r="V134" s="33">
        <v>0.85</v>
      </c>
      <c r="W134" s="38" t="str">
        <f t="shared" si="52"/>
        <v/>
      </c>
      <c r="X134" s="38" t="str">
        <f t="shared" si="53"/>
        <v/>
      </c>
      <c r="Y134" s="33">
        <v>1</v>
      </c>
      <c r="Z134" s="218" t="str">
        <f t="shared" si="54"/>
        <v/>
      </c>
      <c r="AA134" s="33">
        <f t="shared" si="55"/>
        <v>0.7</v>
      </c>
      <c r="AB134" s="38" t="str">
        <f t="shared" si="56"/>
        <v/>
      </c>
      <c r="AC134" s="33">
        <f t="shared" si="57"/>
        <v>0.95</v>
      </c>
      <c r="AD134" s="218" t="str">
        <f t="shared" si="48"/>
        <v/>
      </c>
      <c r="AE134" s="33">
        <f t="shared" si="58"/>
        <v>0.95</v>
      </c>
      <c r="AF134" s="218" t="str">
        <f t="shared" si="59"/>
        <v/>
      </c>
      <c r="AG134" s="38"/>
      <c r="AH134" s="38"/>
      <c r="AI134" s="33">
        <f t="shared" si="60"/>
        <v>0.95</v>
      </c>
      <c r="AJ134" s="33"/>
      <c r="AK134" s="218" t="str">
        <f t="shared" si="61"/>
        <v/>
      </c>
      <c r="AL134" s="218" t="str">
        <f t="shared" si="62"/>
        <v/>
      </c>
      <c r="AM134" s="33">
        <v>0</v>
      </c>
      <c r="AN134" s="218" t="str">
        <f t="shared" si="63"/>
        <v/>
      </c>
      <c r="AO134" s="38"/>
      <c r="AP134" s="218"/>
    </row>
    <row r="135" spans="1:42" x14ac:dyDescent="0.2">
      <c r="A135" t="str">
        <f>INDEX(Prioritization!$D:$D,MATCH($B135,Prioritization!$A:$A,0))</f>
        <v>INVALID</v>
      </c>
      <c r="B135" t="s">
        <v>323</v>
      </c>
      <c r="C135" t="s">
        <v>580</v>
      </c>
      <c r="D135" t="str">
        <f t="shared" si="50"/>
        <v>Phalombe District [AZyWpGzhcaA]|FSW</v>
      </c>
      <c r="E135" s="218">
        <v>1016</v>
      </c>
      <c r="F135" s="218">
        <v>507</v>
      </c>
      <c r="G135" s="218"/>
      <c r="H135" s="38">
        <v>63</v>
      </c>
      <c r="I135" s="218">
        <v>116</v>
      </c>
      <c r="J135" s="38">
        <v>267</v>
      </c>
      <c r="K135" s="218">
        <v>290</v>
      </c>
      <c r="L135" s="38">
        <v>965</v>
      </c>
      <c r="M135" s="218">
        <v>1016</v>
      </c>
      <c r="N135" s="38">
        <v>166</v>
      </c>
      <c r="O135" s="38">
        <v>149</v>
      </c>
      <c r="P135" s="38">
        <v>211</v>
      </c>
      <c r="Q135" s="237">
        <v>256</v>
      </c>
      <c r="R135" s="229">
        <v>256</v>
      </c>
      <c r="S135" s="33">
        <f t="shared" si="51"/>
        <v>0.50493096646942803</v>
      </c>
      <c r="T135" s="38">
        <v>70</v>
      </c>
      <c r="U135" s="33">
        <v>0.85</v>
      </c>
      <c r="V135" s="33">
        <v>0.85</v>
      </c>
      <c r="W135" s="38">
        <f t="shared" si="52"/>
        <v>45</v>
      </c>
      <c r="X135" s="38">
        <f t="shared" si="53"/>
        <v>90</v>
      </c>
      <c r="Y135" s="33">
        <v>1</v>
      </c>
      <c r="Z135" s="218">
        <f t="shared" si="54"/>
        <v>90</v>
      </c>
      <c r="AA135" s="33">
        <f t="shared" si="55"/>
        <v>0.7</v>
      </c>
      <c r="AB135" s="38">
        <f t="shared" si="56"/>
        <v>274</v>
      </c>
      <c r="AC135" s="33">
        <f t="shared" si="57"/>
        <v>0.95</v>
      </c>
      <c r="AD135" s="218">
        <f t="shared" si="48"/>
        <v>243</v>
      </c>
      <c r="AE135" s="33">
        <f t="shared" si="58"/>
        <v>0.95</v>
      </c>
      <c r="AF135" s="218">
        <f t="shared" si="59"/>
        <v>231</v>
      </c>
      <c r="AG135" s="38">
        <v>74</v>
      </c>
      <c r="AH135" s="38">
        <v>445</v>
      </c>
      <c r="AI135" s="33">
        <f t="shared" si="60"/>
        <v>0.95</v>
      </c>
      <c r="AJ135" s="33">
        <v>0.14000000000000001</v>
      </c>
      <c r="AK135" s="218">
        <f t="shared" si="61"/>
        <v>95</v>
      </c>
      <c r="AL135" s="218">
        <f t="shared" si="62"/>
        <v>584</v>
      </c>
      <c r="AM135" s="33">
        <v>0</v>
      </c>
      <c r="AN135" s="218">
        <f t="shared" si="63"/>
        <v>0</v>
      </c>
      <c r="AO135" s="38">
        <v>695</v>
      </c>
      <c r="AP135" s="218">
        <v>1018</v>
      </c>
    </row>
    <row r="136" spans="1:42" x14ac:dyDescent="0.2">
      <c r="A136" t="str">
        <f>INDEX(Prioritization!$D:$D,MATCH($B136,Prioritization!$A:$A,0))</f>
        <v>INVALID</v>
      </c>
      <c r="B136" t="s">
        <v>323</v>
      </c>
      <c r="C136" t="s">
        <v>581</v>
      </c>
      <c r="D136" t="str">
        <f t="shared" si="50"/>
        <v>Phalombe District [AZyWpGzhcaA]|MSM</v>
      </c>
      <c r="E136" s="218">
        <v>260</v>
      </c>
      <c r="F136" s="218">
        <v>33</v>
      </c>
      <c r="G136" s="218"/>
      <c r="H136" s="38">
        <v>14</v>
      </c>
      <c r="I136" s="218">
        <v>56</v>
      </c>
      <c r="J136" s="38">
        <v>155</v>
      </c>
      <c r="K136" s="218">
        <v>141</v>
      </c>
      <c r="L136" s="38">
        <v>288</v>
      </c>
      <c r="M136" s="218">
        <v>260</v>
      </c>
      <c r="N136" s="38">
        <v>98</v>
      </c>
      <c r="O136" s="38">
        <v>114</v>
      </c>
      <c r="P136" s="38">
        <v>28</v>
      </c>
      <c r="Q136" s="237">
        <v>40</v>
      </c>
      <c r="R136" s="229">
        <v>28</v>
      </c>
      <c r="S136" s="33">
        <f t="shared" si="51"/>
        <v>0.84848484848484851</v>
      </c>
      <c r="T136" s="38">
        <v>27</v>
      </c>
      <c r="U136" s="33">
        <v>0.7</v>
      </c>
      <c r="V136" s="33">
        <v>0.83</v>
      </c>
      <c r="W136" s="38">
        <f t="shared" si="52"/>
        <v>12</v>
      </c>
      <c r="X136" s="38">
        <f t="shared" si="53"/>
        <v>25</v>
      </c>
      <c r="Y136" s="33">
        <v>1</v>
      </c>
      <c r="Z136" s="218">
        <f t="shared" si="54"/>
        <v>25</v>
      </c>
      <c r="AA136" s="33">
        <f t="shared" si="55"/>
        <v>0.7</v>
      </c>
      <c r="AB136" s="38">
        <f t="shared" si="56"/>
        <v>46</v>
      </c>
      <c r="AC136" s="33">
        <f t="shared" si="57"/>
        <v>0.95</v>
      </c>
      <c r="AD136" s="218">
        <f t="shared" si="48"/>
        <v>38</v>
      </c>
      <c r="AE136" s="33">
        <f t="shared" si="58"/>
        <v>0.95</v>
      </c>
      <c r="AF136" s="218">
        <f t="shared" si="59"/>
        <v>36</v>
      </c>
      <c r="AG136" s="38">
        <v>28</v>
      </c>
      <c r="AH136" s="38">
        <v>258</v>
      </c>
      <c r="AI136" s="33">
        <f t="shared" si="60"/>
        <v>0.95</v>
      </c>
      <c r="AJ136" s="33">
        <v>0.114</v>
      </c>
      <c r="AK136" s="218">
        <f t="shared" si="61"/>
        <v>26</v>
      </c>
      <c r="AL136" s="218">
        <f t="shared" si="62"/>
        <v>202</v>
      </c>
      <c r="AM136" s="33">
        <v>0</v>
      </c>
      <c r="AN136" s="218">
        <f t="shared" si="63"/>
        <v>0</v>
      </c>
      <c r="AO136" s="38">
        <v>200</v>
      </c>
      <c r="AP136" s="218">
        <v>454</v>
      </c>
    </row>
    <row r="137" spans="1:42" x14ac:dyDescent="0.2">
      <c r="A137" t="str">
        <f>INDEX(Prioritization!$D:$D,MATCH($B137,Prioritization!$A:$A,0))</f>
        <v>INVALID</v>
      </c>
      <c r="B137" t="s">
        <v>323</v>
      </c>
      <c r="C137" t="s">
        <v>582</v>
      </c>
      <c r="D137" t="str">
        <f t="shared" si="50"/>
        <v>Phalombe District [AZyWpGzhcaA]|People in prisons and other enclosed settings</v>
      </c>
      <c r="E137" s="218"/>
      <c r="F137" s="218"/>
      <c r="G137" s="218"/>
      <c r="H137" s="38"/>
      <c r="I137" s="218"/>
      <c r="J137" s="38"/>
      <c r="K137" s="218"/>
      <c r="L137" s="38"/>
      <c r="M137" s="218"/>
      <c r="N137" s="38"/>
      <c r="O137" s="38"/>
      <c r="P137" s="38">
        <v>0</v>
      </c>
      <c r="Q137" s="237">
        <v>0</v>
      </c>
      <c r="R137" s="229">
        <v>0</v>
      </c>
      <c r="S137" s="33" t="str">
        <f t="shared" si="51"/>
        <v/>
      </c>
      <c r="T137" s="38"/>
      <c r="U137" s="33">
        <v>0.85</v>
      </c>
      <c r="V137" s="33">
        <v>0.85</v>
      </c>
      <c r="W137" s="38" t="str">
        <f t="shared" si="52"/>
        <v/>
      </c>
      <c r="X137" s="38" t="str">
        <f t="shared" si="53"/>
        <v/>
      </c>
      <c r="Y137" s="33">
        <v>1</v>
      </c>
      <c r="Z137" s="218" t="str">
        <f t="shared" si="54"/>
        <v/>
      </c>
      <c r="AA137" s="33">
        <f t="shared" si="55"/>
        <v>0.7</v>
      </c>
      <c r="AB137" s="38" t="str">
        <f t="shared" si="56"/>
        <v/>
      </c>
      <c r="AC137" s="33">
        <f t="shared" si="57"/>
        <v>0.95</v>
      </c>
      <c r="AD137" s="218" t="str">
        <f t="shared" si="48"/>
        <v/>
      </c>
      <c r="AE137" s="33">
        <f t="shared" si="58"/>
        <v>0.95</v>
      </c>
      <c r="AF137" s="218" t="str">
        <f t="shared" si="59"/>
        <v/>
      </c>
      <c r="AG137" s="38"/>
      <c r="AH137" s="38"/>
      <c r="AI137" s="33">
        <f t="shared" si="60"/>
        <v>0.95</v>
      </c>
      <c r="AJ137" s="33"/>
      <c r="AK137" s="218" t="str">
        <f t="shared" si="61"/>
        <v/>
      </c>
      <c r="AL137" s="218" t="str">
        <f t="shared" si="62"/>
        <v/>
      </c>
      <c r="AM137" s="33">
        <f t="shared" si="64"/>
        <v>0.95</v>
      </c>
      <c r="AN137" s="218" t="str">
        <f t="shared" si="63"/>
        <v/>
      </c>
      <c r="AO137" s="38"/>
      <c r="AP137" s="218"/>
    </row>
    <row r="138" spans="1:42" x14ac:dyDescent="0.2">
      <c r="A138" t="str">
        <f>INDEX(Prioritization!$D:$D,MATCH($B138,Prioritization!$A:$A,0))</f>
        <v>INVALID</v>
      </c>
      <c r="B138" t="s">
        <v>323</v>
      </c>
      <c r="C138" t="s">
        <v>583</v>
      </c>
      <c r="D138" t="str">
        <f t="shared" si="50"/>
        <v>Phalombe District [AZyWpGzhcaA]|PWID</v>
      </c>
      <c r="E138" s="218"/>
      <c r="F138" s="218"/>
      <c r="G138" s="218"/>
      <c r="H138" s="38"/>
      <c r="I138" s="218"/>
      <c r="J138" s="38"/>
      <c r="K138" s="218"/>
      <c r="L138" s="38"/>
      <c r="M138" s="218"/>
      <c r="N138" s="38"/>
      <c r="O138" s="38"/>
      <c r="P138" s="38">
        <v>0</v>
      </c>
      <c r="Q138" s="237">
        <v>0</v>
      </c>
      <c r="R138" s="229">
        <v>0</v>
      </c>
      <c r="S138" s="33" t="str">
        <f t="shared" si="51"/>
        <v/>
      </c>
      <c r="T138" s="38"/>
      <c r="U138" s="33">
        <v>0.8</v>
      </c>
      <c r="V138" s="33">
        <v>0.85</v>
      </c>
      <c r="W138" s="38" t="str">
        <f t="shared" si="52"/>
        <v/>
      </c>
      <c r="X138" s="38" t="str">
        <f t="shared" si="53"/>
        <v/>
      </c>
      <c r="Y138" s="33">
        <v>1</v>
      </c>
      <c r="Z138" s="218" t="str">
        <f t="shared" si="54"/>
        <v/>
      </c>
      <c r="AA138" s="33">
        <f t="shared" si="55"/>
        <v>0.7</v>
      </c>
      <c r="AB138" s="38" t="str">
        <f t="shared" si="56"/>
        <v/>
      </c>
      <c r="AC138" s="33">
        <f t="shared" si="57"/>
        <v>0.95</v>
      </c>
      <c r="AD138" s="218" t="str">
        <f t="shared" si="48"/>
        <v/>
      </c>
      <c r="AE138" s="33">
        <f t="shared" si="58"/>
        <v>0.95</v>
      </c>
      <c r="AF138" s="218" t="str">
        <f t="shared" si="59"/>
        <v/>
      </c>
      <c r="AG138" s="38"/>
      <c r="AH138" s="38"/>
      <c r="AI138" s="33">
        <f t="shared" si="60"/>
        <v>0.95</v>
      </c>
      <c r="AJ138" s="33"/>
      <c r="AK138" s="218" t="str">
        <f t="shared" si="61"/>
        <v/>
      </c>
      <c r="AL138" s="218" t="str">
        <f t="shared" si="62"/>
        <v/>
      </c>
      <c r="AM138" s="33">
        <f t="shared" si="64"/>
        <v>0.95</v>
      </c>
      <c r="AN138" s="218" t="str">
        <f t="shared" si="63"/>
        <v/>
      </c>
      <c r="AO138" s="38"/>
      <c r="AP138" s="218"/>
    </row>
    <row r="139" spans="1:42" x14ac:dyDescent="0.2">
      <c r="A139" t="str">
        <f>INDEX(Prioritization!$D:$D,MATCH($B139,Prioritization!$A:$A,0))</f>
        <v>INVALID</v>
      </c>
      <c r="B139" t="s">
        <v>323</v>
      </c>
      <c r="C139" t="s">
        <v>584</v>
      </c>
      <c r="D139" t="str">
        <f t="shared" si="50"/>
        <v>Phalombe District [AZyWpGzhcaA]|TG</v>
      </c>
      <c r="E139" s="218">
        <v>75</v>
      </c>
      <c r="F139" s="218">
        <v>30</v>
      </c>
      <c r="G139" s="218"/>
      <c r="H139" s="38">
        <v>4</v>
      </c>
      <c r="I139" s="218">
        <v>11</v>
      </c>
      <c r="J139" s="38">
        <v>22</v>
      </c>
      <c r="K139" s="218">
        <v>27</v>
      </c>
      <c r="L139" s="38">
        <v>71</v>
      </c>
      <c r="M139" s="218">
        <v>74</v>
      </c>
      <c r="N139" s="38">
        <v>68</v>
      </c>
      <c r="O139" s="38">
        <v>58</v>
      </c>
      <c r="P139" s="38">
        <v>26</v>
      </c>
      <c r="Q139" s="237">
        <v>26</v>
      </c>
      <c r="R139" s="229">
        <v>26</v>
      </c>
      <c r="S139" s="33">
        <f t="shared" si="51"/>
        <v>0.8666666666666667</v>
      </c>
      <c r="T139" s="38">
        <v>9</v>
      </c>
      <c r="U139" s="33">
        <v>0.85</v>
      </c>
      <c r="V139" s="33">
        <v>0.85</v>
      </c>
      <c r="W139" s="38">
        <f t="shared" si="52"/>
        <v>0</v>
      </c>
      <c r="X139" s="38">
        <f t="shared" si="53"/>
        <v>5</v>
      </c>
      <c r="Y139" s="33">
        <v>1</v>
      </c>
      <c r="Z139" s="218">
        <f t="shared" si="54"/>
        <v>5</v>
      </c>
      <c r="AA139" s="33">
        <f t="shared" si="55"/>
        <v>0.7</v>
      </c>
      <c r="AB139" s="38">
        <f t="shared" si="56"/>
        <v>30</v>
      </c>
      <c r="AC139" s="33">
        <f t="shared" si="57"/>
        <v>0.95</v>
      </c>
      <c r="AD139" s="218">
        <f t="shared" si="48"/>
        <v>25</v>
      </c>
      <c r="AE139" s="33">
        <f t="shared" si="58"/>
        <v>0.95</v>
      </c>
      <c r="AF139" s="218">
        <f t="shared" si="59"/>
        <v>24</v>
      </c>
      <c r="AG139" s="38">
        <v>9</v>
      </c>
      <c r="AH139" s="38">
        <v>36</v>
      </c>
      <c r="AI139" s="33">
        <f t="shared" si="60"/>
        <v>0.95</v>
      </c>
      <c r="AJ139" s="33">
        <v>0.13</v>
      </c>
      <c r="AK139" s="218">
        <f t="shared" si="61"/>
        <v>5</v>
      </c>
      <c r="AL139" s="218">
        <f t="shared" si="62"/>
        <v>33</v>
      </c>
      <c r="AM139" s="33">
        <v>0</v>
      </c>
      <c r="AN139" s="218">
        <f t="shared" si="63"/>
        <v>0</v>
      </c>
      <c r="AO139" s="38">
        <v>22</v>
      </c>
      <c r="AP139" s="218">
        <v>90</v>
      </c>
    </row>
    <row r="140" spans="1:42" x14ac:dyDescent="0.2">
      <c r="A140" t="str">
        <f>INDEX(Prioritization!$D:$D,MATCH($B140,Prioritization!$A:$A,0))</f>
        <v>4 - Sustained</v>
      </c>
      <c r="B140" t="s">
        <v>312</v>
      </c>
      <c r="C140" t="s">
        <v>580</v>
      </c>
      <c r="D140" t="str">
        <f t="shared" ref="D140:D159" si="65">B140&amp;"|"&amp;C140</f>
        <v>Rumphi District [lPTyjLi4w3d]|FSW</v>
      </c>
      <c r="E140" s="218"/>
      <c r="F140" s="218"/>
      <c r="G140" s="218"/>
      <c r="H140" s="38"/>
      <c r="I140" s="218"/>
      <c r="J140" s="38"/>
      <c r="K140" s="218"/>
      <c r="L140" s="38"/>
      <c r="M140" s="218"/>
      <c r="N140" s="38"/>
      <c r="O140" s="38"/>
      <c r="P140" s="38">
        <v>0</v>
      </c>
      <c r="Q140" s="237">
        <v>0</v>
      </c>
      <c r="R140" s="229">
        <v>0</v>
      </c>
      <c r="S140" s="33" t="str">
        <f t="shared" ref="S140:S159" si="66">IF(SUM($F140)=0,"",SUM($R140)/$F140)</f>
        <v/>
      </c>
      <c r="T140" s="38"/>
      <c r="U140" s="33">
        <v>0.85</v>
      </c>
      <c r="V140" s="33">
        <v>0.85</v>
      </c>
      <c r="W140" s="38" t="str">
        <f t="shared" ref="W140:W159" si="67">IF(SUM($P140,$Q140)=0,"",SUM($Q140)-SUM($P140))</f>
        <v/>
      </c>
      <c r="X140" s="38" t="str">
        <f t="shared" ref="X140:X159" si="68">IFERROR(1/(1/ROUND((SUM($Q140)-(SUM($P140)*SUM($U140)))/$V140,0)),"")</f>
        <v/>
      </c>
      <c r="Y140" s="33">
        <v>1</v>
      </c>
      <c r="Z140" s="218" t="str">
        <f t="shared" ref="Z140:Z159" si="69">IFERROR(1/(1/ROUND(SUM($X140)*SUM($Y140),0)),"")</f>
        <v/>
      </c>
      <c r="AA140" s="33">
        <f t="shared" ref="AA140:AA159" si="70">0.7</f>
        <v>0.7</v>
      </c>
      <c r="AB140" s="38" t="str">
        <f t="shared" ref="AB140:AB159" si="71">IFERROR(1/(1/ROUND($P140+(SUM($X140)*$AA140),0)),"")</f>
        <v/>
      </c>
      <c r="AC140" s="33">
        <f t="shared" ref="AC140:AC159" si="72">0.95</f>
        <v>0.95</v>
      </c>
      <c r="AD140" s="218" t="str">
        <f t="shared" si="48"/>
        <v/>
      </c>
      <c r="AE140" s="33">
        <f t="shared" ref="AE140:AE159" si="73">0.95</f>
        <v>0.95</v>
      </c>
      <c r="AF140" s="218" t="str">
        <f t="shared" ref="AF140:AF159" si="74">IF(SUM($AD140)=0,"",ROUND($AD140*$AE140,0))</f>
        <v/>
      </c>
      <c r="AG140" s="38"/>
      <c r="AH140" s="38"/>
      <c r="AI140" s="33">
        <f t="shared" ref="AI140:AI159" si="75">0.95</f>
        <v>0.95</v>
      </c>
      <c r="AJ140" s="33"/>
      <c r="AK140" s="218" t="str">
        <f t="shared" ref="AK140:AK159" si="76">IF(SUM($Z140)=0,"",IF(AND(SUM($Z140)&gt;0,$AI140=""),"ENTER LINKAGE RATE",ROUND($Z140/$AI140,0)))</f>
        <v/>
      </c>
      <c r="AL140" s="218" t="str">
        <f t="shared" ref="AL140:AL159" si="77">IF(SUM($AK140)=0,"",IF(AND($AK140&gt;0,$AJ140=""),"ENTER YIELD RATE",ROUND($AK140/$AJ140-$AK140,0)))</f>
        <v/>
      </c>
      <c r="AM140" s="33">
        <v>0</v>
      </c>
      <c r="AN140" s="218" t="str">
        <f t="shared" ref="AN140:AN159" si="78">IF(SUM($AK140)=0,"",ROUND($AK140*$AM140,0))</f>
        <v/>
      </c>
      <c r="AO140" s="38"/>
      <c r="AP140" s="218"/>
    </row>
    <row r="141" spans="1:42" x14ac:dyDescent="0.2">
      <c r="A141" t="str">
        <f>INDEX(Prioritization!$D:$D,MATCH($B141,Prioritization!$A:$A,0))</f>
        <v>4 - Sustained</v>
      </c>
      <c r="B141" t="s">
        <v>312</v>
      </c>
      <c r="C141" t="s">
        <v>581</v>
      </c>
      <c r="D141" t="str">
        <f t="shared" si="65"/>
        <v>Rumphi District [lPTyjLi4w3d]|MSM</v>
      </c>
      <c r="E141" s="218"/>
      <c r="F141" s="218"/>
      <c r="G141" s="218"/>
      <c r="H141" s="38"/>
      <c r="I141" s="218"/>
      <c r="J141" s="38"/>
      <c r="K141" s="218"/>
      <c r="L141" s="38"/>
      <c r="M141" s="218"/>
      <c r="N141" s="38"/>
      <c r="O141" s="38"/>
      <c r="P141" s="38">
        <v>0</v>
      </c>
      <c r="Q141" s="237">
        <v>0</v>
      </c>
      <c r="R141" s="229">
        <v>0</v>
      </c>
      <c r="S141" s="33" t="str">
        <f t="shared" si="66"/>
        <v/>
      </c>
      <c r="T141" s="38"/>
      <c r="U141" s="33">
        <v>0.7</v>
      </c>
      <c r="V141" s="33">
        <v>0.83</v>
      </c>
      <c r="W141" s="38" t="str">
        <f t="shared" si="67"/>
        <v/>
      </c>
      <c r="X141" s="38" t="str">
        <f t="shared" si="68"/>
        <v/>
      </c>
      <c r="Y141" s="33">
        <v>1</v>
      </c>
      <c r="Z141" s="218" t="str">
        <f t="shared" si="69"/>
        <v/>
      </c>
      <c r="AA141" s="33">
        <f t="shared" si="70"/>
        <v>0.7</v>
      </c>
      <c r="AB141" s="38" t="str">
        <f t="shared" si="71"/>
        <v/>
      </c>
      <c r="AC141" s="33">
        <f t="shared" si="72"/>
        <v>0.95</v>
      </c>
      <c r="AD141" s="218" t="str">
        <f t="shared" si="48"/>
        <v/>
      </c>
      <c r="AE141" s="33">
        <f t="shared" si="73"/>
        <v>0.95</v>
      </c>
      <c r="AF141" s="218" t="str">
        <f t="shared" si="74"/>
        <v/>
      </c>
      <c r="AG141" s="38"/>
      <c r="AH141" s="38"/>
      <c r="AI141" s="33">
        <f t="shared" si="75"/>
        <v>0.95</v>
      </c>
      <c r="AJ141" s="33"/>
      <c r="AK141" s="218" t="str">
        <f t="shared" si="76"/>
        <v/>
      </c>
      <c r="AL141" s="218" t="str">
        <f t="shared" si="77"/>
        <v/>
      </c>
      <c r="AM141" s="33">
        <v>0</v>
      </c>
      <c r="AN141" s="218" t="str">
        <f t="shared" si="78"/>
        <v/>
      </c>
      <c r="AO141" s="38"/>
      <c r="AP141" s="218"/>
    </row>
    <row r="142" spans="1:42" x14ac:dyDescent="0.2">
      <c r="A142" t="str">
        <f>INDEX(Prioritization!$D:$D,MATCH($B142,Prioritization!$A:$A,0))</f>
        <v>4 - Sustained</v>
      </c>
      <c r="B142" t="s">
        <v>312</v>
      </c>
      <c r="C142" t="s">
        <v>582</v>
      </c>
      <c r="D142" t="str">
        <f t="shared" si="65"/>
        <v>Rumphi District [lPTyjLi4w3d]|People in prisons and other enclosed settings</v>
      </c>
      <c r="E142" s="218">
        <v>550</v>
      </c>
      <c r="F142" s="218">
        <v>88</v>
      </c>
      <c r="G142" s="218"/>
      <c r="H142" s="38"/>
      <c r="I142" s="218"/>
      <c r="J142" s="38"/>
      <c r="K142" s="218"/>
      <c r="L142" s="38">
        <v>550</v>
      </c>
      <c r="M142" s="218">
        <v>550</v>
      </c>
      <c r="N142" s="38"/>
      <c r="O142" s="38">
        <v>31</v>
      </c>
      <c r="P142" s="38">
        <v>35</v>
      </c>
      <c r="Q142" s="237">
        <v>35</v>
      </c>
      <c r="R142" s="229">
        <v>35</v>
      </c>
      <c r="S142" s="33">
        <f t="shared" si="66"/>
        <v>0.39772727272727271</v>
      </c>
      <c r="T142" s="38">
        <v>14</v>
      </c>
      <c r="U142" s="33">
        <v>0.85</v>
      </c>
      <c r="V142" s="33">
        <v>0.85</v>
      </c>
      <c r="W142" s="38">
        <f t="shared" si="67"/>
        <v>0</v>
      </c>
      <c r="X142" s="38">
        <f t="shared" si="68"/>
        <v>6</v>
      </c>
      <c r="Y142" s="33">
        <v>1</v>
      </c>
      <c r="Z142" s="218">
        <f t="shared" si="69"/>
        <v>6</v>
      </c>
      <c r="AA142" s="33">
        <f t="shared" si="70"/>
        <v>0.7</v>
      </c>
      <c r="AB142" s="38">
        <f t="shared" si="71"/>
        <v>39</v>
      </c>
      <c r="AC142" s="33">
        <f t="shared" si="72"/>
        <v>0.95</v>
      </c>
      <c r="AD142" s="218">
        <f t="shared" si="48"/>
        <v>33</v>
      </c>
      <c r="AE142" s="33">
        <f t="shared" si="73"/>
        <v>0.95</v>
      </c>
      <c r="AF142" s="218">
        <f t="shared" si="74"/>
        <v>31</v>
      </c>
      <c r="AG142" s="38">
        <v>15</v>
      </c>
      <c r="AH142" s="38">
        <v>485</v>
      </c>
      <c r="AI142" s="33">
        <f t="shared" si="75"/>
        <v>0.95</v>
      </c>
      <c r="AJ142" s="33">
        <v>0.02</v>
      </c>
      <c r="AK142" s="218">
        <f t="shared" si="76"/>
        <v>6</v>
      </c>
      <c r="AL142" s="218">
        <f t="shared" si="77"/>
        <v>294</v>
      </c>
      <c r="AM142" s="33">
        <v>0</v>
      </c>
      <c r="AN142" s="218">
        <f t="shared" si="78"/>
        <v>0</v>
      </c>
      <c r="AO142" s="38"/>
      <c r="AP142" s="218"/>
    </row>
    <row r="143" spans="1:42" x14ac:dyDescent="0.2">
      <c r="A143" t="str">
        <f>INDEX(Prioritization!$D:$D,MATCH($B143,Prioritization!$A:$A,0))</f>
        <v>4 - Sustained</v>
      </c>
      <c r="B143" t="s">
        <v>312</v>
      </c>
      <c r="C143" t="s">
        <v>583</v>
      </c>
      <c r="D143" t="str">
        <f t="shared" si="65"/>
        <v>Rumphi District [lPTyjLi4w3d]|PWID</v>
      </c>
      <c r="E143" s="218"/>
      <c r="F143" s="218"/>
      <c r="G143" s="218"/>
      <c r="H143" s="38"/>
      <c r="I143" s="218"/>
      <c r="J143" s="38"/>
      <c r="K143" s="218"/>
      <c r="L143" s="38"/>
      <c r="M143" s="218"/>
      <c r="N143" s="38"/>
      <c r="O143" s="38"/>
      <c r="P143" s="38">
        <v>0</v>
      </c>
      <c r="Q143" s="237">
        <v>0</v>
      </c>
      <c r="R143" s="229">
        <v>0</v>
      </c>
      <c r="S143" s="33" t="str">
        <f t="shared" si="66"/>
        <v/>
      </c>
      <c r="T143" s="38"/>
      <c r="U143" s="33">
        <v>0.8</v>
      </c>
      <c r="V143" s="33">
        <v>0.85</v>
      </c>
      <c r="W143" s="38" t="str">
        <f t="shared" si="67"/>
        <v/>
      </c>
      <c r="X143" s="38" t="str">
        <f t="shared" si="68"/>
        <v/>
      </c>
      <c r="Y143" s="33">
        <v>1</v>
      </c>
      <c r="Z143" s="218" t="str">
        <f t="shared" si="69"/>
        <v/>
      </c>
      <c r="AA143" s="33">
        <f t="shared" si="70"/>
        <v>0.7</v>
      </c>
      <c r="AB143" s="38" t="str">
        <f t="shared" si="71"/>
        <v/>
      </c>
      <c r="AC143" s="33">
        <f t="shared" si="72"/>
        <v>0.95</v>
      </c>
      <c r="AD143" s="218" t="str">
        <f t="shared" si="48"/>
        <v/>
      </c>
      <c r="AE143" s="33">
        <f t="shared" si="73"/>
        <v>0.95</v>
      </c>
      <c r="AF143" s="218" t="str">
        <f t="shared" si="74"/>
        <v/>
      </c>
      <c r="AG143" s="38"/>
      <c r="AH143" s="38"/>
      <c r="AI143" s="33">
        <f t="shared" si="75"/>
        <v>0.95</v>
      </c>
      <c r="AJ143" s="33"/>
      <c r="AK143" s="218" t="str">
        <f t="shared" si="76"/>
        <v/>
      </c>
      <c r="AL143" s="218" t="str">
        <f t="shared" si="77"/>
        <v/>
      </c>
      <c r="AM143" s="33">
        <v>0</v>
      </c>
      <c r="AN143" s="218" t="str">
        <f t="shared" si="78"/>
        <v/>
      </c>
      <c r="AO143" s="38"/>
      <c r="AP143" s="218"/>
    </row>
    <row r="144" spans="1:42" x14ac:dyDescent="0.2">
      <c r="A144" t="str">
        <f>INDEX(Prioritization!$D:$D,MATCH($B144,Prioritization!$A:$A,0))</f>
        <v>4 - Sustained</v>
      </c>
      <c r="B144" t="s">
        <v>312</v>
      </c>
      <c r="C144" t="s">
        <v>584</v>
      </c>
      <c r="D144" t="str">
        <f t="shared" si="65"/>
        <v>Rumphi District [lPTyjLi4w3d]|TG</v>
      </c>
      <c r="E144" s="218"/>
      <c r="F144" s="218"/>
      <c r="G144" s="218"/>
      <c r="H144" s="38"/>
      <c r="I144" s="218"/>
      <c r="J144" s="38"/>
      <c r="K144" s="218"/>
      <c r="L144" s="38"/>
      <c r="M144" s="218"/>
      <c r="N144" s="38"/>
      <c r="O144" s="38"/>
      <c r="P144" s="38">
        <v>0</v>
      </c>
      <c r="Q144" s="237">
        <v>0</v>
      </c>
      <c r="R144" s="229">
        <v>0</v>
      </c>
      <c r="S144" s="33" t="str">
        <f t="shared" si="66"/>
        <v/>
      </c>
      <c r="T144" s="38"/>
      <c r="U144" s="33">
        <v>0.85</v>
      </c>
      <c r="V144" s="33">
        <v>0.85</v>
      </c>
      <c r="W144" s="38" t="str">
        <f t="shared" si="67"/>
        <v/>
      </c>
      <c r="X144" s="38" t="str">
        <f t="shared" si="68"/>
        <v/>
      </c>
      <c r="Y144" s="33">
        <v>1</v>
      </c>
      <c r="Z144" s="218" t="str">
        <f t="shared" si="69"/>
        <v/>
      </c>
      <c r="AA144" s="33">
        <f t="shared" si="70"/>
        <v>0.7</v>
      </c>
      <c r="AB144" s="38" t="str">
        <f t="shared" si="71"/>
        <v/>
      </c>
      <c r="AC144" s="33">
        <f t="shared" si="72"/>
        <v>0.95</v>
      </c>
      <c r="AD144" s="218" t="str">
        <f t="shared" ref="AD144:AD159" si="79">IF(SUM($AB144)=0,"",ROUND($Q144*$AC144,0))</f>
        <v/>
      </c>
      <c r="AE144" s="33">
        <f t="shared" si="73"/>
        <v>0.95</v>
      </c>
      <c r="AF144" s="218" t="str">
        <f t="shared" si="74"/>
        <v/>
      </c>
      <c r="AG144" s="38"/>
      <c r="AH144" s="38"/>
      <c r="AI144" s="33">
        <f t="shared" si="75"/>
        <v>0.95</v>
      </c>
      <c r="AJ144" s="33"/>
      <c r="AK144" s="218" t="str">
        <f t="shared" si="76"/>
        <v/>
      </c>
      <c r="AL144" s="218" t="str">
        <f t="shared" si="77"/>
        <v/>
      </c>
      <c r="AM144" s="33">
        <v>0</v>
      </c>
      <c r="AN144" s="218" t="str">
        <f t="shared" si="78"/>
        <v/>
      </c>
      <c r="AO144" s="38"/>
      <c r="AP144" s="218"/>
    </row>
    <row r="145" spans="1:42" x14ac:dyDescent="0.2">
      <c r="A145" t="str">
        <f>INDEX(Prioritization!$D:$D,MATCH($B145,Prioritization!$A:$A,0))</f>
        <v>4 - Sustained</v>
      </c>
      <c r="B145" t="s">
        <v>306</v>
      </c>
      <c r="C145" t="s">
        <v>580</v>
      </c>
      <c r="D145" t="str">
        <f t="shared" si="65"/>
        <v>Salima District [msW2zpIN7up]|FSW</v>
      </c>
      <c r="E145" s="218"/>
      <c r="F145" s="218"/>
      <c r="G145" s="218"/>
      <c r="H145" s="38"/>
      <c r="I145" s="218"/>
      <c r="J145" s="38"/>
      <c r="K145" s="218"/>
      <c r="L145" s="38"/>
      <c r="M145" s="218"/>
      <c r="N145" s="38"/>
      <c r="O145" s="38"/>
      <c r="P145" s="38">
        <v>0</v>
      </c>
      <c r="Q145" s="237">
        <v>0</v>
      </c>
      <c r="R145" s="229">
        <v>0</v>
      </c>
      <c r="S145" s="33" t="str">
        <f t="shared" si="66"/>
        <v/>
      </c>
      <c r="T145" s="38"/>
      <c r="U145" s="33">
        <v>0.85</v>
      </c>
      <c r="V145" s="33">
        <v>0.85</v>
      </c>
      <c r="W145" s="38" t="str">
        <f t="shared" si="67"/>
        <v/>
      </c>
      <c r="X145" s="38" t="str">
        <f t="shared" si="68"/>
        <v/>
      </c>
      <c r="Y145" s="33">
        <v>1</v>
      </c>
      <c r="Z145" s="218" t="str">
        <f t="shared" si="69"/>
        <v/>
      </c>
      <c r="AA145" s="33">
        <f t="shared" si="70"/>
        <v>0.7</v>
      </c>
      <c r="AB145" s="38" t="str">
        <f t="shared" si="71"/>
        <v/>
      </c>
      <c r="AC145" s="33">
        <f t="shared" si="72"/>
        <v>0.95</v>
      </c>
      <c r="AD145" s="218" t="str">
        <f t="shared" si="79"/>
        <v/>
      </c>
      <c r="AE145" s="33">
        <f t="shared" si="73"/>
        <v>0.95</v>
      </c>
      <c r="AF145" s="218" t="str">
        <f t="shared" si="74"/>
        <v/>
      </c>
      <c r="AG145" s="38"/>
      <c r="AH145" s="38"/>
      <c r="AI145" s="33">
        <f t="shared" si="75"/>
        <v>0.95</v>
      </c>
      <c r="AJ145" s="33"/>
      <c r="AK145" s="218" t="str">
        <f t="shared" si="76"/>
        <v/>
      </c>
      <c r="AL145" s="218" t="str">
        <f t="shared" si="77"/>
        <v/>
      </c>
      <c r="AM145" s="33">
        <f t="shared" ref="AM145:AM149" si="80">0.95</f>
        <v>0.95</v>
      </c>
      <c r="AN145" s="218" t="str">
        <f t="shared" si="78"/>
        <v/>
      </c>
      <c r="AO145" s="38"/>
      <c r="AP145" s="218"/>
    </row>
    <row r="146" spans="1:42" x14ac:dyDescent="0.2">
      <c r="A146" t="str">
        <f>INDEX(Prioritization!$D:$D,MATCH($B146,Prioritization!$A:$A,0))</f>
        <v>4 - Sustained</v>
      </c>
      <c r="B146" t="s">
        <v>306</v>
      </c>
      <c r="C146" t="s">
        <v>581</v>
      </c>
      <c r="D146" t="str">
        <f t="shared" si="65"/>
        <v>Salima District [msW2zpIN7up]|MSM</v>
      </c>
      <c r="E146" s="218"/>
      <c r="F146" s="218"/>
      <c r="G146" s="218"/>
      <c r="H146" s="38"/>
      <c r="I146" s="218"/>
      <c r="J146" s="38"/>
      <c r="K146" s="218"/>
      <c r="L146" s="38"/>
      <c r="M146" s="218"/>
      <c r="N146" s="38"/>
      <c r="O146" s="38"/>
      <c r="P146" s="38">
        <v>0</v>
      </c>
      <c r="Q146" s="237">
        <v>0</v>
      </c>
      <c r="R146" s="229">
        <v>0</v>
      </c>
      <c r="S146" s="33" t="str">
        <f t="shared" si="66"/>
        <v/>
      </c>
      <c r="T146" s="38"/>
      <c r="U146" s="33">
        <v>0.7</v>
      </c>
      <c r="V146" s="33">
        <v>0.83</v>
      </c>
      <c r="W146" s="38" t="str">
        <f t="shared" si="67"/>
        <v/>
      </c>
      <c r="X146" s="38" t="str">
        <f t="shared" si="68"/>
        <v/>
      </c>
      <c r="Y146" s="33">
        <v>1</v>
      </c>
      <c r="Z146" s="218" t="str">
        <f t="shared" si="69"/>
        <v/>
      </c>
      <c r="AA146" s="33">
        <f t="shared" si="70"/>
        <v>0.7</v>
      </c>
      <c r="AB146" s="38" t="str">
        <f t="shared" si="71"/>
        <v/>
      </c>
      <c r="AC146" s="33">
        <f t="shared" si="72"/>
        <v>0.95</v>
      </c>
      <c r="AD146" s="218" t="str">
        <f t="shared" si="79"/>
        <v/>
      </c>
      <c r="AE146" s="33">
        <f t="shared" si="73"/>
        <v>0.95</v>
      </c>
      <c r="AF146" s="218" t="str">
        <f t="shared" si="74"/>
        <v/>
      </c>
      <c r="AG146" s="38"/>
      <c r="AH146" s="38"/>
      <c r="AI146" s="33">
        <f t="shared" si="75"/>
        <v>0.95</v>
      </c>
      <c r="AJ146" s="33"/>
      <c r="AK146" s="218" t="str">
        <f t="shared" si="76"/>
        <v/>
      </c>
      <c r="AL146" s="218" t="str">
        <f t="shared" si="77"/>
        <v/>
      </c>
      <c r="AM146" s="33">
        <f t="shared" si="80"/>
        <v>0.95</v>
      </c>
      <c r="AN146" s="218" t="str">
        <f t="shared" si="78"/>
        <v/>
      </c>
      <c r="AO146" s="38"/>
      <c r="AP146" s="218"/>
    </row>
    <row r="147" spans="1:42" x14ac:dyDescent="0.2">
      <c r="A147" t="str">
        <f>INDEX(Prioritization!$D:$D,MATCH($B147,Prioritization!$A:$A,0))</f>
        <v>4 - Sustained</v>
      </c>
      <c r="B147" t="s">
        <v>306</v>
      </c>
      <c r="C147" t="s">
        <v>582</v>
      </c>
      <c r="D147" t="str">
        <f t="shared" si="65"/>
        <v>Salima District [msW2zpIN7up]|People in prisons and other enclosed settings</v>
      </c>
      <c r="E147" s="218"/>
      <c r="F147" s="218"/>
      <c r="G147" s="218"/>
      <c r="H147" s="38"/>
      <c r="I147" s="218"/>
      <c r="J147" s="38"/>
      <c r="K147" s="218"/>
      <c r="L147" s="38"/>
      <c r="M147" s="218"/>
      <c r="N147" s="38"/>
      <c r="O147" s="38"/>
      <c r="P147" s="38">
        <v>0</v>
      </c>
      <c r="Q147" s="237">
        <v>0</v>
      </c>
      <c r="R147" s="229">
        <v>0</v>
      </c>
      <c r="S147" s="33" t="str">
        <f t="shared" si="66"/>
        <v/>
      </c>
      <c r="T147" s="38"/>
      <c r="U147" s="33">
        <v>0.85</v>
      </c>
      <c r="V147" s="33">
        <v>0.85</v>
      </c>
      <c r="W147" s="38" t="str">
        <f t="shared" si="67"/>
        <v/>
      </c>
      <c r="X147" s="38" t="str">
        <f t="shared" si="68"/>
        <v/>
      </c>
      <c r="Y147" s="33">
        <v>1</v>
      </c>
      <c r="Z147" s="218" t="str">
        <f t="shared" si="69"/>
        <v/>
      </c>
      <c r="AA147" s="33">
        <f t="shared" si="70"/>
        <v>0.7</v>
      </c>
      <c r="AB147" s="38" t="str">
        <f t="shared" si="71"/>
        <v/>
      </c>
      <c r="AC147" s="33">
        <f t="shared" si="72"/>
        <v>0.95</v>
      </c>
      <c r="AD147" s="218" t="str">
        <f t="shared" si="79"/>
        <v/>
      </c>
      <c r="AE147" s="33">
        <f t="shared" si="73"/>
        <v>0.95</v>
      </c>
      <c r="AF147" s="218" t="str">
        <f t="shared" si="74"/>
        <v/>
      </c>
      <c r="AG147" s="38"/>
      <c r="AH147" s="38"/>
      <c r="AI147" s="33">
        <f t="shared" si="75"/>
        <v>0.95</v>
      </c>
      <c r="AJ147" s="33"/>
      <c r="AK147" s="218" t="str">
        <f t="shared" si="76"/>
        <v/>
      </c>
      <c r="AL147" s="218" t="str">
        <f t="shared" si="77"/>
        <v/>
      </c>
      <c r="AM147" s="33">
        <f t="shared" si="80"/>
        <v>0.95</v>
      </c>
      <c r="AN147" s="218" t="str">
        <f t="shared" si="78"/>
        <v/>
      </c>
      <c r="AO147" s="38"/>
      <c r="AP147" s="218"/>
    </row>
    <row r="148" spans="1:42" x14ac:dyDescent="0.2">
      <c r="A148" t="str">
        <f>INDEX(Prioritization!$D:$D,MATCH($B148,Prioritization!$A:$A,0))</f>
        <v>4 - Sustained</v>
      </c>
      <c r="B148" t="s">
        <v>306</v>
      </c>
      <c r="C148" t="s">
        <v>583</v>
      </c>
      <c r="D148" t="str">
        <f t="shared" si="65"/>
        <v>Salima District [msW2zpIN7up]|PWID</v>
      </c>
      <c r="E148" s="218"/>
      <c r="F148" s="218"/>
      <c r="G148" s="218"/>
      <c r="H148" s="38"/>
      <c r="I148" s="218"/>
      <c r="J148" s="38"/>
      <c r="K148" s="218"/>
      <c r="L148" s="38"/>
      <c r="M148" s="218"/>
      <c r="N148" s="38"/>
      <c r="O148" s="38"/>
      <c r="P148" s="38">
        <v>0</v>
      </c>
      <c r="Q148" s="237">
        <v>0</v>
      </c>
      <c r="R148" s="229">
        <v>0</v>
      </c>
      <c r="S148" s="33" t="str">
        <f t="shared" si="66"/>
        <v/>
      </c>
      <c r="T148" s="38"/>
      <c r="U148" s="33">
        <v>0.8</v>
      </c>
      <c r="V148" s="33">
        <v>0.85</v>
      </c>
      <c r="W148" s="38" t="str">
        <f t="shared" si="67"/>
        <v/>
      </c>
      <c r="X148" s="38" t="str">
        <f t="shared" si="68"/>
        <v/>
      </c>
      <c r="Y148" s="33">
        <v>1</v>
      </c>
      <c r="Z148" s="218" t="str">
        <f t="shared" si="69"/>
        <v/>
      </c>
      <c r="AA148" s="33">
        <f t="shared" si="70"/>
        <v>0.7</v>
      </c>
      <c r="AB148" s="38" t="str">
        <f t="shared" si="71"/>
        <v/>
      </c>
      <c r="AC148" s="33">
        <f t="shared" si="72"/>
        <v>0.95</v>
      </c>
      <c r="AD148" s="218" t="str">
        <f t="shared" si="79"/>
        <v/>
      </c>
      <c r="AE148" s="33">
        <f t="shared" si="73"/>
        <v>0.95</v>
      </c>
      <c r="AF148" s="218" t="str">
        <f t="shared" si="74"/>
        <v/>
      </c>
      <c r="AG148" s="38"/>
      <c r="AH148" s="38"/>
      <c r="AI148" s="33">
        <f t="shared" si="75"/>
        <v>0.95</v>
      </c>
      <c r="AJ148" s="33"/>
      <c r="AK148" s="218" t="str">
        <f t="shared" si="76"/>
        <v/>
      </c>
      <c r="AL148" s="218" t="str">
        <f t="shared" si="77"/>
        <v/>
      </c>
      <c r="AM148" s="33">
        <f t="shared" si="80"/>
        <v>0.95</v>
      </c>
      <c r="AN148" s="218" t="str">
        <f t="shared" si="78"/>
        <v/>
      </c>
      <c r="AO148" s="38"/>
      <c r="AP148" s="218"/>
    </row>
    <row r="149" spans="1:42" x14ac:dyDescent="0.2">
      <c r="A149" t="str">
        <f>INDEX(Prioritization!$D:$D,MATCH($B149,Prioritization!$A:$A,0))</f>
        <v>4 - Sustained</v>
      </c>
      <c r="B149" t="s">
        <v>306</v>
      </c>
      <c r="C149" t="s">
        <v>584</v>
      </c>
      <c r="D149" t="str">
        <f t="shared" si="65"/>
        <v>Salima District [msW2zpIN7up]|TG</v>
      </c>
      <c r="E149" s="218"/>
      <c r="F149" s="218"/>
      <c r="G149" s="218"/>
      <c r="H149" s="38"/>
      <c r="I149" s="218"/>
      <c r="J149" s="38"/>
      <c r="K149" s="218"/>
      <c r="L149" s="38"/>
      <c r="M149" s="218"/>
      <c r="N149" s="38"/>
      <c r="O149" s="38"/>
      <c r="P149" s="38">
        <v>0</v>
      </c>
      <c r="Q149" s="237">
        <v>0</v>
      </c>
      <c r="R149" s="229">
        <v>0</v>
      </c>
      <c r="S149" s="33" t="str">
        <f t="shared" si="66"/>
        <v/>
      </c>
      <c r="T149" s="38"/>
      <c r="U149" s="33">
        <v>0.85</v>
      </c>
      <c r="V149" s="33">
        <v>0.85</v>
      </c>
      <c r="W149" s="38" t="str">
        <f t="shared" si="67"/>
        <v/>
      </c>
      <c r="X149" s="38" t="str">
        <f t="shared" si="68"/>
        <v/>
      </c>
      <c r="Y149" s="33">
        <v>1</v>
      </c>
      <c r="Z149" s="218" t="str">
        <f t="shared" si="69"/>
        <v/>
      </c>
      <c r="AA149" s="33">
        <f t="shared" si="70"/>
        <v>0.7</v>
      </c>
      <c r="AB149" s="38" t="str">
        <f t="shared" si="71"/>
        <v/>
      </c>
      <c r="AC149" s="33">
        <f t="shared" si="72"/>
        <v>0.95</v>
      </c>
      <c r="AD149" s="218" t="str">
        <f t="shared" si="79"/>
        <v/>
      </c>
      <c r="AE149" s="33">
        <f t="shared" si="73"/>
        <v>0.95</v>
      </c>
      <c r="AF149" s="218" t="str">
        <f t="shared" si="74"/>
        <v/>
      </c>
      <c r="AG149" s="38"/>
      <c r="AH149" s="38"/>
      <c r="AI149" s="33">
        <f t="shared" si="75"/>
        <v>0.95</v>
      </c>
      <c r="AJ149" s="33"/>
      <c r="AK149" s="218" t="str">
        <f t="shared" si="76"/>
        <v/>
      </c>
      <c r="AL149" s="218" t="str">
        <f t="shared" si="77"/>
        <v/>
      </c>
      <c r="AM149" s="33">
        <f t="shared" si="80"/>
        <v>0.95</v>
      </c>
      <c r="AN149" s="218" t="str">
        <f t="shared" si="78"/>
        <v/>
      </c>
      <c r="AO149" s="38"/>
      <c r="AP149" s="218"/>
    </row>
    <row r="150" spans="1:42" x14ac:dyDescent="0.2">
      <c r="A150" t="str">
        <f>INDEX(Prioritization!$D:$D,MATCH($B150,Prioritization!$A:$A,0))</f>
        <v>INVALID</v>
      </c>
      <c r="B150" t="s">
        <v>324</v>
      </c>
      <c r="C150" t="s">
        <v>580</v>
      </c>
      <c r="D150" t="str">
        <f t="shared" si="65"/>
        <v>Thyolo District [ul0y9diGujK]|FSW</v>
      </c>
      <c r="E150" s="218"/>
      <c r="F150" s="218"/>
      <c r="G150" s="218"/>
      <c r="H150" s="38"/>
      <c r="I150" s="218"/>
      <c r="J150" s="38"/>
      <c r="K150" s="218"/>
      <c r="L150" s="38"/>
      <c r="M150" s="218"/>
      <c r="N150" s="38"/>
      <c r="O150" s="38"/>
      <c r="P150" s="38">
        <v>0</v>
      </c>
      <c r="Q150" s="237">
        <v>0</v>
      </c>
      <c r="R150" s="229">
        <v>0</v>
      </c>
      <c r="S150" s="33" t="str">
        <f t="shared" si="66"/>
        <v/>
      </c>
      <c r="T150" s="38"/>
      <c r="U150" s="33">
        <v>0.85</v>
      </c>
      <c r="V150" s="33">
        <v>0.85</v>
      </c>
      <c r="W150" s="38" t="str">
        <f t="shared" si="67"/>
        <v/>
      </c>
      <c r="X150" s="38" t="str">
        <f t="shared" si="68"/>
        <v/>
      </c>
      <c r="Y150" s="33">
        <v>1</v>
      </c>
      <c r="Z150" s="218" t="str">
        <f t="shared" si="69"/>
        <v/>
      </c>
      <c r="AA150" s="33">
        <f t="shared" si="70"/>
        <v>0.7</v>
      </c>
      <c r="AB150" s="38" t="str">
        <f t="shared" si="71"/>
        <v/>
      </c>
      <c r="AC150" s="33">
        <f t="shared" si="72"/>
        <v>0.95</v>
      </c>
      <c r="AD150" s="218" t="str">
        <f t="shared" si="79"/>
        <v/>
      </c>
      <c r="AE150" s="33">
        <f t="shared" si="73"/>
        <v>0.95</v>
      </c>
      <c r="AF150" s="218" t="str">
        <f t="shared" si="74"/>
        <v/>
      </c>
      <c r="AG150" s="38"/>
      <c r="AH150" s="38"/>
      <c r="AI150" s="33">
        <f t="shared" si="75"/>
        <v>0.95</v>
      </c>
      <c r="AJ150" s="33"/>
      <c r="AK150" s="218" t="str">
        <f t="shared" si="76"/>
        <v/>
      </c>
      <c r="AL150" s="218" t="str">
        <f t="shared" si="77"/>
        <v/>
      </c>
      <c r="AM150" s="33">
        <v>0</v>
      </c>
      <c r="AN150" s="218" t="str">
        <f t="shared" si="78"/>
        <v/>
      </c>
      <c r="AO150" s="38"/>
      <c r="AP150" s="218"/>
    </row>
    <row r="151" spans="1:42" x14ac:dyDescent="0.2">
      <c r="A151" t="str">
        <f>INDEX(Prioritization!$D:$D,MATCH($B151,Prioritization!$A:$A,0))</f>
        <v>INVALID</v>
      </c>
      <c r="B151" t="s">
        <v>324</v>
      </c>
      <c r="C151" t="s">
        <v>581</v>
      </c>
      <c r="D151" t="str">
        <f t="shared" si="65"/>
        <v>Thyolo District [ul0y9diGujK]|MSM</v>
      </c>
      <c r="E151" s="218"/>
      <c r="F151" s="218"/>
      <c r="G151" s="218"/>
      <c r="H151" s="38"/>
      <c r="I151" s="218"/>
      <c r="J151" s="38"/>
      <c r="K151" s="218"/>
      <c r="L151" s="38"/>
      <c r="M151" s="218"/>
      <c r="N151" s="38"/>
      <c r="O151" s="38"/>
      <c r="P151" s="38">
        <v>0</v>
      </c>
      <c r="Q151" s="237">
        <v>0</v>
      </c>
      <c r="R151" s="229">
        <v>0</v>
      </c>
      <c r="S151" s="33" t="str">
        <f t="shared" si="66"/>
        <v/>
      </c>
      <c r="T151" s="38"/>
      <c r="U151" s="33">
        <v>0.7</v>
      </c>
      <c r="V151" s="33">
        <v>0.83</v>
      </c>
      <c r="W151" s="38" t="str">
        <f t="shared" si="67"/>
        <v/>
      </c>
      <c r="X151" s="38" t="str">
        <f t="shared" si="68"/>
        <v/>
      </c>
      <c r="Y151" s="33">
        <v>1</v>
      </c>
      <c r="Z151" s="218" t="str">
        <f t="shared" si="69"/>
        <v/>
      </c>
      <c r="AA151" s="33">
        <f t="shared" si="70"/>
        <v>0.7</v>
      </c>
      <c r="AB151" s="38" t="str">
        <f t="shared" si="71"/>
        <v/>
      </c>
      <c r="AC151" s="33">
        <f t="shared" si="72"/>
        <v>0.95</v>
      </c>
      <c r="AD151" s="218" t="str">
        <f t="shared" si="79"/>
        <v/>
      </c>
      <c r="AE151" s="33">
        <f t="shared" si="73"/>
        <v>0.95</v>
      </c>
      <c r="AF151" s="218" t="str">
        <f t="shared" si="74"/>
        <v/>
      </c>
      <c r="AG151" s="38"/>
      <c r="AH151" s="38"/>
      <c r="AI151" s="33">
        <f t="shared" si="75"/>
        <v>0.95</v>
      </c>
      <c r="AJ151" s="33"/>
      <c r="AK151" s="218" t="str">
        <f t="shared" si="76"/>
        <v/>
      </c>
      <c r="AL151" s="218" t="str">
        <f t="shared" si="77"/>
        <v/>
      </c>
      <c r="AM151" s="33">
        <v>0</v>
      </c>
      <c r="AN151" s="218" t="str">
        <f t="shared" si="78"/>
        <v/>
      </c>
      <c r="AO151" s="38"/>
      <c r="AP151" s="218"/>
    </row>
    <row r="152" spans="1:42" x14ac:dyDescent="0.2">
      <c r="A152" t="str">
        <f>INDEX(Prioritization!$D:$D,MATCH($B152,Prioritization!$A:$A,0))</f>
        <v>INVALID</v>
      </c>
      <c r="B152" t="s">
        <v>324</v>
      </c>
      <c r="C152" t="s">
        <v>582</v>
      </c>
      <c r="D152" t="str">
        <f t="shared" si="65"/>
        <v>Thyolo District [ul0y9diGujK]|People in prisons and other enclosed settings</v>
      </c>
      <c r="E152" s="218">
        <v>800</v>
      </c>
      <c r="F152" s="218">
        <v>128</v>
      </c>
      <c r="G152" s="218"/>
      <c r="H152" s="38"/>
      <c r="I152" s="218"/>
      <c r="J152" s="38"/>
      <c r="K152" s="218"/>
      <c r="L152" s="38">
        <v>800</v>
      </c>
      <c r="M152" s="218">
        <v>800</v>
      </c>
      <c r="N152" s="38">
        <v>49</v>
      </c>
      <c r="O152" s="38">
        <v>101</v>
      </c>
      <c r="P152" s="38">
        <v>98</v>
      </c>
      <c r="Q152" s="237">
        <v>109</v>
      </c>
      <c r="R152" s="229">
        <v>109</v>
      </c>
      <c r="S152" s="33">
        <f t="shared" si="66"/>
        <v>0.8515625</v>
      </c>
      <c r="T152" s="38">
        <v>20</v>
      </c>
      <c r="U152" s="33">
        <v>0.85</v>
      </c>
      <c r="V152" s="33">
        <v>0.85</v>
      </c>
      <c r="W152" s="38">
        <f t="shared" si="67"/>
        <v>11</v>
      </c>
      <c r="X152" s="38">
        <f t="shared" si="68"/>
        <v>30</v>
      </c>
      <c r="Y152" s="33">
        <v>1</v>
      </c>
      <c r="Z152" s="218">
        <f t="shared" si="69"/>
        <v>30</v>
      </c>
      <c r="AA152" s="33">
        <f t="shared" si="70"/>
        <v>0.7</v>
      </c>
      <c r="AB152" s="38">
        <f t="shared" si="71"/>
        <v>119</v>
      </c>
      <c r="AC152" s="33">
        <f t="shared" si="72"/>
        <v>0.95</v>
      </c>
      <c r="AD152" s="218">
        <f t="shared" si="79"/>
        <v>104</v>
      </c>
      <c r="AE152" s="33">
        <f t="shared" si="73"/>
        <v>0.95</v>
      </c>
      <c r="AF152" s="218">
        <f t="shared" si="74"/>
        <v>99</v>
      </c>
      <c r="AG152" s="38">
        <v>21</v>
      </c>
      <c r="AH152" s="38">
        <v>679</v>
      </c>
      <c r="AI152" s="33">
        <f t="shared" si="75"/>
        <v>0.95</v>
      </c>
      <c r="AJ152" s="33">
        <v>0.02</v>
      </c>
      <c r="AK152" s="218">
        <f t="shared" si="76"/>
        <v>32</v>
      </c>
      <c r="AL152" s="218">
        <f t="shared" si="77"/>
        <v>1568</v>
      </c>
      <c r="AM152" s="33">
        <v>0</v>
      </c>
      <c r="AN152" s="218">
        <f t="shared" si="78"/>
        <v>0</v>
      </c>
      <c r="AO152" s="38"/>
      <c r="AP152" s="218"/>
    </row>
    <row r="153" spans="1:42" x14ac:dyDescent="0.2">
      <c r="A153" t="str">
        <f>INDEX(Prioritization!$D:$D,MATCH($B153,Prioritization!$A:$A,0))</f>
        <v>INVALID</v>
      </c>
      <c r="B153" t="s">
        <v>324</v>
      </c>
      <c r="C153" t="s">
        <v>583</v>
      </c>
      <c r="D153" t="str">
        <f t="shared" si="65"/>
        <v>Thyolo District [ul0y9diGujK]|PWID</v>
      </c>
      <c r="E153" s="218"/>
      <c r="F153" s="218"/>
      <c r="G153" s="218"/>
      <c r="H153" s="38"/>
      <c r="I153" s="218"/>
      <c r="J153" s="38"/>
      <c r="K153" s="218"/>
      <c r="L153" s="38"/>
      <c r="M153" s="218"/>
      <c r="N153" s="38"/>
      <c r="O153" s="38"/>
      <c r="P153" s="38">
        <v>0</v>
      </c>
      <c r="Q153" s="237">
        <v>0</v>
      </c>
      <c r="R153" s="229">
        <v>0</v>
      </c>
      <c r="S153" s="33" t="str">
        <f t="shared" si="66"/>
        <v/>
      </c>
      <c r="T153" s="38"/>
      <c r="U153" s="33">
        <v>0.8</v>
      </c>
      <c r="V153" s="33">
        <v>0.85</v>
      </c>
      <c r="W153" s="38" t="str">
        <f t="shared" si="67"/>
        <v/>
      </c>
      <c r="X153" s="38" t="str">
        <f t="shared" si="68"/>
        <v/>
      </c>
      <c r="Y153" s="33">
        <v>1</v>
      </c>
      <c r="Z153" s="218" t="str">
        <f t="shared" si="69"/>
        <v/>
      </c>
      <c r="AA153" s="33">
        <f t="shared" si="70"/>
        <v>0.7</v>
      </c>
      <c r="AB153" s="38" t="str">
        <f t="shared" si="71"/>
        <v/>
      </c>
      <c r="AC153" s="33">
        <f t="shared" si="72"/>
        <v>0.95</v>
      </c>
      <c r="AD153" s="218" t="str">
        <f t="shared" si="79"/>
        <v/>
      </c>
      <c r="AE153" s="33">
        <f t="shared" si="73"/>
        <v>0.95</v>
      </c>
      <c r="AF153" s="218" t="str">
        <f t="shared" si="74"/>
        <v/>
      </c>
      <c r="AG153" s="38"/>
      <c r="AH153" s="38"/>
      <c r="AI153" s="33">
        <f t="shared" si="75"/>
        <v>0.95</v>
      </c>
      <c r="AJ153" s="33"/>
      <c r="AK153" s="218" t="str">
        <f t="shared" si="76"/>
        <v/>
      </c>
      <c r="AL153" s="218" t="str">
        <f t="shared" si="77"/>
        <v/>
      </c>
      <c r="AM153" s="33">
        <v>0</v>
      </c>
      <c r="AN153" s="218" t="str">
        <f t="shared" si="78"/>
        <v/>
      </c>
      <c r="AO153" s="38"/>
      <c r="AP153" s="218"/>
    </row>
    <row r="154" spans="1:42" x14ac:dyDescent="0.2">
      <c r="A154" t="str">
        <f>INDEX(Prioritization!$D:$D,MATCH($B154,Prioritization!$A:$A,0))</f>
        <v>INVALID</v>
      </c>
      <c r="B154" t="s">
        <v>324</v>
      </c>
      <c r="C154" t="s">
        <v>584</v>
      </c>
      <c r="D154" t="str">
        <f t="shared" si="65"/>
        <v>Thyolo District [ul0y9diGujK]|TG</v>
      </c>
      <c r="E154" s="218"/>
      <c r="F154" s="218"/>
      <c r="G154" s="218"/>
      <c r="H154" s="38"/>
      <c r="I154" s="218"/>
      <c r="J154" s="38"/>
      <c r="K154" s="218"/>
      <c r="L154" s="38"/>
      <c r="M154" s="218"/>
      <c r="N154" s="38"/>
      <c r="O154" s="38"/>
      <c r="P154" s="38">
        <v>0</v>
      </c>
      <c r="Q154" s="237">
        <v>0</v>
      </c>
      <c r="R154" s="229">
        <v>0</v>
      </c>
      <c r="S154" s="33" t="str">
        <f t="shared" si="66"/>
        <v/>
      </c>
      <c r="T154" s="38"/>
      <c r="U154" s="33">
        <v>0.85</v>
      </c>
      <c r="V154" s="33">
        <v>0.85</v>
      </c>
      <c r="W154" s="38" t="str">
        <f t="shared" si="67"/>
        <v/>
      </c>
      <c r="X154" s="38" t="str">
        <f t="shared" si="68"/>
        <v/>
      </c>
      <c r="Y154" s="33">
        <v>1</v>
      </c>
      <c r="Z154" s="218" t="str">
        <f t="shared" si="69"/>
        <v/>
      </c>
      <c r="AA154" s="33">
        <f t="shared" si="70"/>
        <v>0.7</v>
      </c>
      <c r="AB154" s="38" t="str">
        <f t="shared" si="71"/>
        <v/>
      </c>
      <c r="AC154" s="33">
        <f t="shared" si="72"/>
        <v>0.95</v>
      </c>
      <c r="AD154" s="218" t="str">
        <f t="shared" si="79"/>
        <v/>
      </c>
      <c r="AE154" s="33">
        <f t="shared" si="73"/>
        <v>0.95</v>
      </c>
      <c r="AF154" s="218" t="str">
        <f t="shared" si="74"/>
        <v/>
      </c>
      <c r="AG154" s="38"/>
      <c r="AH154" s="38"/>
      <c r="AI154" s="33">
        <f t="shared" si="75"/>
        <v>0.95</v>
      </c>
      <c r="AJ154" s="33"/>
      <c r="AK154" s="218" t="str">
        <f t="shared" si="76"/>
        <v/>
      </c>
      <c r="AL154" s="218" t="str">
        <f t="shared" si="77"/>
        <v/>
      </c>
      <c r="AM154" s="33">
        <v>0</v>
      </c>
      <c r="AN154" s="218" t="str">
        <f t="shared" si="78"/>
        <v/>
      </c>
      <c r="AO154" s="38"/>
      <c r="AP154" s="218"/>
    </row>
    <row r="155" spans="1:42" x14ac:dyDescent="0.2">
      <c r="A155" t="str">
        <f>INDEX(Prioritization!$D:$D,MATCH($B155,Prioritization!$A:$A,0))</f>
        <v>1 - Scale-up: Saturation</v>
      </c>
      <c r="B155" t="s">
        <v>325</v>
      </c>
      <c r="C155" t="s">
        <v>580</v>
      </c>
      <c r="D155" t="str">
        <f t="shared" si="65"/>
        <v>Zomba District [fyEoGEPERdI]|FSW</v>
      </c>
      <c r="E155" s="218">
        <v>2744</v>
      </c>
      <c r="F155" s="218">
        <v>1369</v>
      </c>
      <c r="G155" s="218"/>
      <c r="H155" s="38">
        <v>170</v>
      </c>
      <c r="I155" s="218">
        <v>313</v>
      </c>
      <c r="J155" s="38">
        <v>726</v>
      </c>
      <c r="K155" s="218">
        <v>782</v>
      </c>
      <c r="L155" s="38">
        <v>2607</v>
      </c>
      <c r="M155" s="218">
        <v>2990</v>
      </c>
      <c r="N155" s="38">
        <v>727</v>
      </c>
      <c r="O155" s="38">
        <v>610</v>
      </c>
      <c r="P155" s="38">
        <v>844</v>
      </c>
      <c r="Q155" s="237">
        <v>961</v>
      </c>
      <c r="R155" s="229">
        <v>961</v>
      </c>
      <c r="S155" s="33">
        <f t="shared" si="66"/>
        <v>0.70197224251278301</v>
      </c>
      <c r="T155" s="38">
        <v>191</v>
      </c>
      <c r="U155" s="33">
        <v>0.85</v>
      </c>
      <c r="V155" s="33">
        <v>0.85</v>
      </c>
      <c r="W155" s="38">
        <f t="shared" si="67"/>
        <v>117</v>
      </c>
      <c r="X155" s="38">
        <f t="shared" si="68"/>
        <v>287</v>
      </c>
      <c r="Y155" s="33">
        <v>1</v>
      </c>
      <c r="Z155" s="218">
        <f t="shared" si="69"/>
        <v>287</v>
      </c>
      <c r="AA155" s="33">
        <f t="shared" si="70"/>
        <v>0.7</v>
      </c>
      <c r="AB155" s="38">
        <f t="shared" si="71"/>
        <v>1045</v>
      </c>
      <c r="AC155" s="33">
        <f t="shared" si="72"/>
        <v>0.95</v>
      </c>
      <c r="AD155" s="218">
        <f t="shared" si="79"/>
        <v>913</v>
      </c>
      <c r="AE155" s="33">
        <f t="shared" si="73"/>
        <v>0.95</v>
      </c>
      <c r="AF155" s="218">
        <f t="shared" si="74"/>
        <v>867</v>
      </c>
      <c r="AG155" s="38">
        <v>201</v>
      </c>
      <c r="AH155" s="38">
        <v>1210</v>
      </c>
      <c r="AI155" s="33">
        <f t="shared" si="75"/>
        <v>0.95</v>
      </c>
      <c r="AJ155" s="33">
        <v>0.14000000000000001</v>
      </c>
      <c r="AK155" s="218">
        <f t="shared" si="76"/>
        <v>302</v>
      </c>
      <c r="AL155" s="218">
        <f t="shared" si="77"/>
        <v>1855</v>
      </c>
      <c r="AM155" s="33">
        <v>0</v>
      </c>
      <c r="AN155" s="218">
        <f t="shared" si="78"/>
        <v>0</v>
      </c>
      <c r="AO155" s="38">
        <v>3202</v>
      </c>
      <c r="AP155" s="218">
        <v>2749</v>
      </c>
    </row>
    <row r="156" spans="1:42" x14ac:dyDescent="0.2">
      <c r="A156" t="str">
        <f>INDEX(Prioritization!$D:$D,MATCH($B156,Prioritization!$A:$A,0))</f>
        <v>1 - Scale-up: Saturation</v>
      </c>
      <c r="B156" t="s">
        <v>325</v>
      </c>
      <c r="C156" t="s">
        <v>581</v>
      </c>
      <c r="D156" t="str">
        <f t="shared" si="65"/>
        <v>Zomba District [fyEoGEPERdI]|MSM</v>
      </c>
      <c r="E156" s="218">
        <v>1800</v>
      </c>
      <c r="F156" s="218">
        <v>230</v>
      </c>
      <c r="G156" s="218"/>
      <c r="H156" s="38"/>
      <c r="I156" s="218"/>
      <c r="J156" s="38"/>
      <c r="K156" s="218"/>
      <c r="L156" s="38"/>
      <c r="M156" s="218"/>
      <c r="N156" s="38"/>
      <c r="O156" s="38"/>
      <c r="P156" s="38"/>
      <c r="Q156" s="237"/>
      <c r="R156" s="229"/>
      <c r="S156" s="33">
        <f t="shared" si="66"/>
        <v>0</v>
      </c>
      <c r="T156" s="38"/>
      <c r="U156" s="33">
        <v>0.7</v>
      </c>
      <c r="V156" s="33">
        <v>0.83</v>
      </c>
      <c r="W156" s="38" t="str">
        <f t="shared" si="67"/>
        <v/>
      </c>
      <c r="X156" s="38" t="str">
        <f t="shared" si="68"/>
        <v/>
      </c>
      <c r="Y156" s="33">
        <v>1</v>
      </c>
      <c r="Z156" s="218" t="str">
        <f t="shared" si="69"/>
        <v/>
      </c>
      <c r="AA156" s="33">
        <f t="shared" si="70"/>
        <v>0.7</v>
      </c>
      <c r="AB156" s="38" t="str">
        <f t="shared" si="71"/>
        <v/>
      </c>
      <c r="AC156" s="33">
        <f t="shared" si="72"/>
        <v>0.95</v>
      </c>
      <c r="AD156" s="218" t="str">
        <f t="shared" si="79"/>
        <v/>
      </c>
      <c r="AE156" s="33">
        <f t="shared" si="73"/>
        <v>0.95</v>
      </c>
      <c r="AF156" s="218" t="str">
        <f t="shared" si="74"/>
        <v/>
      </c>
      <c r="AG156" s="38"/>
      <c r="AH156" s="38"/>
      <c r="AI156" s="33">
        <f t="shared" si="75"/>
        <v>0.95</v>
      </c>
      <c r="AJ156" s="33">
        <v>0.114</v>
      </c>
      <c r="AK156" s="218" t="str">
        <f t="shared" si="76"/>
        <v/>
      </c>
      <c r="AL156" s="218" t="str">
        <f t="shared" si="77"/>
        <v/>
      </c>
      <c r="AM156" s="33">
        <v>0</v>
      </c>
      <c r="AN156" s="218" t="str">
        <f t="shared" si="78"/>
        <v/>
      </c>
      <c r="AO156" s="38"/>
      <c r="AP156" s="218"/>
    </row>
    <row r="157" spans="1:42" x14ac:dyDescent="0.2">
      <c r="A157" t="str">
        <f>INDEX(Prioritization!$D:$D,MATCH($B157,Prioritization!$A:$A,0))</f>
        <v>1 - Scale-up: Saturation</v>
      </c>
      <c r="B157" t="s">
        <v>325</v>
      </c>
      <c r="C157" t="s">
        <v>582</v>
      </c>
      <c r="D157" t="str">
        <f t="shared" si="65"/>
        <v>Zomba District [fyEoGEPERdI]|People in prisons and other enclosed settings</v>
      </c>
      <c r="E157" s="218">
        <v>4500</v>
      </c>
      <c r="F157" s="218">
        <v>720</v>
      </c>
      <c r="G157" s="218"/>
      <c r="H157" s="38"/>
      <c r="I157" s="218"/>
      <c r="J157" s="38"/>
      <c r="K157" s="218"/>
      <c r="L157" s="38">
        <v>4500</v>
      </c>
      <c r="M157" s="218">
        <v>4500</v>
      </c>
      <c r="N157" s="38">
        <v>782</v>
      </c>
      <c r="O157" s="38">
        <v>807</v>
      </c>
      <c r="P157" s="38">
        <v>612</v>
      </c>
      <c r="Q157" s="237">
        <v>612</v>
      </c>
      <c r="R157" s="229">
        <v>612</v>
      </c>
      <c r="S157" s="33">
        <f t="shared" si="66"/>
        <v>0.85</v>
      </c>
      <c r="T157" s="38">
        <v>110</v>
      </c>
      <c r="U157" s="33">
        <v>0.85</v>
      </c>
      <c r="V157" s="33">
        <v>0.85</v>
      </c>
      <c r="W157" s="38">
        <f t="shared" si="67"/>
        <v>0</v>
      </c>
      <c r="X157" s="38">
        <f t="shared" si="68"/>
        <v>108</v>
      </c>
      <c r="Y157" s="33">
        <v>1</v>
      </c>
      <c r="Z157" s="218">
        <f t="shared" si="69"/>
        <v>108</v>
      </c>
      <c r="AA157" s="33">
        <f t="shared" si="70"/>
        <v>0.7</v>
      </c>
      <c r="AB157" s="38">
        <f t="shared" si="71"/>
        <v>688</v>
      </c>
      <c r="AC157" s="33">
        <f t="shared" si="72"/>
        <v>0.95</v>
      </c>
      <c r="AD157" s="218">
        <f t="shared" si="79"/>
        <v>581</v>
      </c>
      <c r="AE157" s="33">
        <f t="shared" si="73"/>
        <v>0.95</v>
      </c>
      <c r="AF157" s="218">
        <f t="shared" si="74"/>
        <v>552</v>
      </c>
      <c r="AG157" s="38">
        <v>116</v>
      </c>
      <c r="AH157" s="38">
        <v>3431</v>
      </c>
      <c r="AI157" s="33">
        <f t="shared" si="75"/>
        <v>0.95</v>
      </c>
      <c r="AJ157" s="33">
        <v>0.02</v>
      </c>
      <c r="AK157" s="218">
        <f t="shared" si="76"/>
        <v>114</v>
      </c>
      <c r="AL157" s="218">
        <f t="shared" si="77"/>
        <v>5586</v>
      </c>
      <c r="AM157" s="33">
        <v>0</v>
      </c>
      <c r="AN157" s="218">
        <f t="shared" si="78"/>
        <v>0</v>
      </c>
      <c r="AO157" s="38"/>
      <c r="AP157" s="218"/>
    </row>
    <row r="158" spans="1:42" x14ac:dyDescent="0.2">
      <c r="A158" t="str">
        <f>INDEX(Prioritization!$D:$D,MATCH($B158,Prioritization!$A:$A,0))</f>
        <v>1 - Scale-up: Saturation</v>
      </c>
      <c r="B158" t="s">
        <v>325</v>
      </c>
      <c r="C158" t="s">
        <v>583</v>
      </c>
      <c r="D158" t="str">
        <f t="shared" si="65"/>
        <v>Zomba District [fyEoGEPERdI]|PWID</v>
      </c>
      <c r="E158" s="218"/>
      <c r="F158" s="218"/>
      <c r="G158" s="218"/>
      <c r="H158" s="38"/>
      <c r="I158" s="218"/>
      <c r="J158" s="38"/>
      <c r="K158" s="218"/>
      <c r="L158" s="38"/>
      <c r="M158" s="218"/>
      <c r="N158" s="38"/>
      <c r="O158" s="38"/>
      <c r="P158" s="38">
        <v>0</v>
      </c>
      <c r="Q158" s="237">
        <v>0</v>
      </c>
      <c r="R158" s="229">
        <v>0</v>
      </c>
      <c r="S158" s="33" t="str">
        <f t="shared" si="66"/>
        <v/>
      </c>
      <c r="T158" s="38"/>
      <c r="U158" s="33">
        <v>0.8</v>
      </c>
      <c r="V158" s="33">
        <v>0.85</v>
      </c>
      <c r="W158" s="38" t="str">
        <f t="shared" si="67"/>
        <v/>
      </c>
      <c r="X158" s="38" t="str">
        <f t="shared" si="68"/>
        <v/>
      </c>
      <c r="Y158" s="33">
        <v>1</v>
      </c>
      <c r="Z158" s="218" t="str">
        <f t="shared" si="69"/>
        <v/>
      </c>
      <c r="AA158" s="33">
        <f t="shared" si="70"/>
        <v>0.7</v>
      </c>
      <c r="AB158" s="38" t="str">
        <f t="shared" si="71"/>
        <v/>
      </c>
      <c r="AC158" s="33">
        <f t="shared" si="72"/>
        <v>0.95</v>
      </c>
      <c r="AD158" s="218" t="str">
        <f t="shared" si="79"/>
        <v/>
      </c>
      <c r="AE158" s="33">
        <f t="shared" si="73"/>
        <v>0.95</v>
      </c>
      <c r="AF158" s="218" t="str">
        <f t="shared" si="74"/>
        <v/>
      </c>
      <c r="AG158" s="38"/>
      <c r="AH158" s="38"/>
      <c r="AI158" s="33">
        <f t="shared" si="75"/>
        <v>0.95</v>
      </c>
      <c r="AJ158" s="33"/>
      <c r="AK158" s="218" t="str">
        <f t="shared" si="76"/>
        <v/>
      </c>
      <c r="AL158" s="218" t="str">
        <f t="shared" si="77"/>
        <v/>
      </c>
      <c r="AM158" s="33">
        <v>0</v>
      </c>
      <c r="AN158" s="218" t="str">
        <f t="shared" si="78"/>
        <v/>
      </c>
      <c r="AO158" s="38"/>
      <c r="AP158" s="218"/>
    </row>
    <row r="159" spans="1:42" x14ac:dyDescent="0.2">
      <c r="A159" t="str">
        <f>INDEX(Prioritization!$D:$D,MATCH($B159,Prioritization!$A:$A,0))</f>
        <v>1 - Scale-up: Saturation</v>
      </c>
      <c r="B159" t="s">
        <v>325</v>
      </c>
      <c r="C159" t="s">
        <v>584</v>
      </c>
      <c r="D159" t="str">
        <f t="shared" si="65"/>
        <v>Zomba District [fyEoGEPERdI]|TG</v>
      </c>
      <c r="E159" s="218">
        <v>80</v>
      </c>
      <c r="F159" s="218">
        <v>32</v>
      </c>
      <c r="G159" s="218"/>
      <c r="H159" s="38"/>
      <c r="I159" s="218"/>
      <c r="J159" s="38"/>
      <c r="K159" s="218"/>
      <c r="L159" s="38"/>
      <c r="M159" s="218"/>
      <c r="N159" s="38"/>
      <c r="O159" s="38"/>
      <c r="P159" s="38"/>
      <c r="Q159" s="237"/>
      <c r="R159" s="229"/>
      <c r="S159" s="33">
        <f t="shared" si="66"/>
        <v>0</v>
      </c>
      <c r="T159" s="38"/>
      <c r="U159" s="33">
        <v>0.85</v>
      </c>
      <c r="V159" s="33">
        <v>0.85</v>
      </c>
      <c r="W159" s="38" t="str">
        <f t="shared" si="67"/>
        <v/>
      </c>
      <c r="X159" s="38" t="str">
        <f t="shared" si="68"/>
        <v/>
      </c>
      <c r="Y159" s="33">
        <v>1</v>
      </c>
      <c r="Z159" s="218" t="str">
        <f t="shared" si="69"/>
        <v/>
      </c>
      <c r="AA159" s="33">
        <f t="shared" si="70"/>
        <v>0.7</v>
      </c>
      <c r="AB159" s="38" t="str">
        <f t="shared" si="71"/>
        <v/>
      </c>
      <c r="AC159" s="33">
        <f t="shared" si="72"/>
        <v>0.95</v>
      </c>
      <c r="AD159" s="218" t="str">
        <f t="shared" si="79"/>
        <v/>
      </c>
      <c r="AE159" s="33">
        <f t="shared" si="73"/>
        <v>0.95</v>
      </c>
      <c r="AF159" s="218" t="str">
        <f t="shared" si="74"/>
        <v/>
      </c>
      <c r="AG159" s="38"/>
      <c r="AH159" s="38"/>
      <c r="AI159" s="33">
        <f t="shared" si="75"/>
        <v>0.95</v>
      </c>
      <c r="AJ159" s="33">
        <v>0.13</v>
      </c>
      <c r="AK159" s="218" t="str">
        <f t="shared" si="76"/>
        <v/>
      </c>
      <c r="AL159" s="218" t="str">
        <f t="shared" si="77"/>
        <v/>
      </c>
      <c r="AM159" s="33">
        <v>0</v>
      </c>
      <c r="AN159" s="218" t="str">
        <f t="shared" si="78"/>
        <v/>
      </c>
      <c r="AO159" s="38"/>
      <c r="AP159" s="218"/>
    </row>
  </sheetData>
  <autoFilter ref="A14:AP159" xr:uid="{00000000-0001-0000-0400-000000000000}"/>
  <sortState xmlns:xlrd2="http://schemas.microsoft.com/office/spreadsheetml/2017/richdata2" ref="A15:AP159">
    <sortCondition ref="B15:B159"/>
    <sortCondition ref="C15:C159"/>
  </sortState>
  <conditionalFormatting sqref="E1:G1048576">
    <cfRule type="expression" dxfId="147" priority="3">
      <formula>LEFT($B1,4)="_Mil"</formula>
    </cfRule>
  </conditionalFormatting>
  <conditionalFormatting sqref="E1:AP15 E16:AC19 E20:M159 E160:AP1048576">
    <cfRule type="expression" dxfId="146" priority="4">
      <formula>AND(ISNUMBER(E1),E1&lt;0)</formula>
    </cfRule>
  </conditionalFormatting>
  <conditionalFormatting sqref="G1:G1048576 U1:V1048576 Y1:Y1048576 AA1:AA1048576 AC1:AC1048576 AE1:AE1048576 AI1:AJ1048576 AM1:AM1048576">
    <cfRule type="expression" dxfId="145" priority="5">
      <formula>AND(ISNUMBER(G1),G1&gt;1)</formula>
    </cfRule>
  </conditionalFormatting>
  <conditionalFormatting sqref="U1:U1048576">
    <cfRule type="expression" dxfId="144" priority="14">
      <formula>AND(ISNUMBER($U1),SUM($U1)&lt;98%)</formula>
    </cfRule>
  </conditionalFormatting>
  <conditionalFormatting sqref="V1:V1048576">
    <cfRule type="expression" dxfId="143" priority="20">
      <formula>AND(ISNUMBER($V1),SUM($V1)&lt;98%)</formula>
    </cfRule>
  </conditionalFormatting>
  <conditionalFormatting sqref="AA1:AA1048576">
    <cfRule type="expression" dxfId="142" priority="35">
      <formula>AND(ISNUMBER($AA1),ROUND(SUM($X1),0)&gt;0,ROUND(SUM($AA1),2)&lt;70%)</formula>
    </cfRule>
  </conditionalFormatting>
  <conditionalFormatting sqref="AD16:AP159 N20:AC159 AQ104">
    <cfRule type="expression" dxfId="141" priority="1">
      <formula>AND(ISNUMBER(N16),N16&lt;0)</formula>
    </cfRule>
  </conditionalFormatting>
  <conditionalFormatting sqref="AI1:AI1048576 AC1:AC1048576 AE1:AE1048576">
    <cfRule type="expression" dxfId="140" priority="3837">
      <formula>AND(ISNUMBER(AC1),SUM(AC1)&lt;95%)</formula>
    </cfRule>
  </conditionalFormatting>
  <conditionalFormatting sqref="AI1:AI1048576">
    <cfRule type="expression" dxfId="139" priority="11">
      <formula>AND(ROW($AI1)&gt;14,$AK1="ENTER LINKAGE RATE")</formula>
    </cfRule>
  </conditionalFormatting>
  <conditionalFormatting sqref="AJ1:AJ1048576">
    <cfRule type="expression" dxfId="138" priority="2">
      <formula>AND(ROW($AJ1)&gt;14,$AL1="ENTER YIELD RATE")</formula>
    </cfRule>
  </conditionalFormatting>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H58"/>
  <sheetViews>
    <sheetView zoomScaleNormal="100" workbookViewId="0">
      <pane xSplit="4" ySplit="14" topLeftCell="E40" activePane="bottomRight" state="frozen"/>
      <selection pane="topRight"/>
      <selection pane="bottomLeft"/>
      <selection pane="bottomRight" activeCell="E15" sqref="E15"/>
    </sheetView>
  </sheetViews>
  <sheetFormatPr baseColWidth="10" defaultColWidth="11" defaultRowHeight="16" x14ac:dyDescent="0.2"/>
  <cols>
    <col min="1" max="1" width="14.1640625" customWidth="1"/>
    <col min="2" max="2" width="8.5" customWidth="1"/>
    <col min="3" max="3" width="8.6640625" customWidth="1"/>
    <col min="4" max="4" width="38.1640625" customWidth="1"/>
    <col min="5" max="164" width="11.6640625" customWidth="1"/>
    <col min="165" max="165" width="10.6640625" customWidth="1"/>
  </cols>
  <sheetData>
    <row r="1" spans="1:164" ht="31.25" customHeight="1" x14ac:dyDescent="0.2">
      <c r="A1" s="23" t="s">
        <v>585</v>
      </c>
      <c r="B1" s="23"/>
      <c r="C1" s="112"/>
      <c r="D1" s="112"/>
      <c r="E1" s="52" t="s">
        <v>327</v>
      </c>
      <c r="F1" s="13"/>
      <c r="G1" s="43"/>
      <c r="H1" s="13"/>
      <c r="I1" s="13"/>
      <c r="J1" s="43"/>
      <c r="K1" s="43"/>
      <c r="L1" s="45"/>
      <c r="M1" s="43"/>
      <c r="N1" s="43"/>
      <c r="O1" s="43"/>
      <c r="P1" s="43"/>
      <c r="Q1" s="45"/>
      <c r="R1" s="13"/>
      <c r="S1" s="45"/>
      <c r="T1" s="43"/>
      <c r="U1" s="43"/>
      <c r="V1" s="45"/>
      <c r="W1" s="45"/>
      <c r="X1" s="45"/>
      <c r="Y1" s="43"/>
      <c r="Z1" s="45"/>
      <c r="AA1" s="43"/>
      <c r="AB1" s="45"/>
      <c r="AC1" s="43"/>
      <c r="AD1" s="45"/>
      <c r="AE1" s="43"/>
      <c r="AF1" s="45"/>
      <c r="AG1" s="43"/>
      <c r="AH1" s="45"/>
      <c r="AI1" s="43"/>
      <c r="AJ1" s="53" t="s">
        <v>586</v>
      </c>
      <c r="AK1" s="44"/>
      <c r="AL1" s="44"/>
      <c r="AM1" s="44"/>
      <c r="AN1" s="44"/>
      <c r="AO1" s="44"/>
      <c r="AP1" s="44"/>
      <c r="AQ1" s="44"/>
      <c r="AR1" s="44"/>
      <c r="AS1" s="45"/>
      <c r="AT1" s="45"/>
      <c r="AU1" s="45"/>
      <c r="AV1" s="45"/>
      <c r="AW1" s="45"/>
      <c r="AX1" s="45"/>
      <c r="AY1" s="45"/>
      <c r="AZ1" s="45"/>
      <c r="BA1" s="45"/>
      <c r="BB1" s="44"/>
      <c r="BC1" s="52" t="s">
        <v>587</v>
      </c>
      <c r="BD1" s="44"/>
      <c r="BE1" s="44"/>
      <c r="BF1" s="43"/>
      <c r="BG1" s="165"/>
      <c r="BH1" s="43"/>
      <c r="BI1" s="44"/>
      <c r="BJ1" s="165"/>
      <c r="BK1" s="13"/>
      <c r="BL1" s="13"/>
      <c r="BM1" s="13"/>
      <c r="BN1" s="43"/>
      <c r="BO1" s="43"/>
      <c r="BP1" s="43"/>
      <c r="BQ1" s="43"/>
      <c r="BR1" s="13"/>
      <c r="BS1" s="165"/>
      <c r="BT1" s="13"/>
      <c r="BU1" s="44"/>
      <c r="BV1" s="43"/>
      <c r="BW1" s="43"/>
      <c r="BX1" s="165"/>
      <c r="BY1" s="13"/>
      <c r="BZ1" s="13"/>
      <c r="CA1" s="13"/>
      <c r="CB1" s="43"/>
      <c r="CC1" s="43"/>
      <c r="CD1" s="43"/>
      <c r="CE1" s="43"/>
      <c r="CF1" s="44"/>
      <c r="CG1" s="165"/>
      <c r="CH1" s="13"/>
      <c r="CI1" s="44"/>
      <c r="CJ1" s="43"/>
      <c r="CK1" s="43"/>
      <c r="CL1" s="165"/>
      <c r="CM1" s="13"/>
      <c r="CN1" s="13"/>
      <c r="CO1" s="13"/>
      <c r="CP1" s="13"/>
      <c r="CQ1" s="13"/>
      <c r="CR1" s="13"/>
      <c r="CS1" s="13"/>
      <c r="CT1" s="44"/>
      <c r="CU1" s="52"/>
      <c r="CV1" s="13"/>
      <c r="CW1" s="43"/>
      <c r="CX1" s="43"/>
      <c r="CY1" s="44"/>
      <c r="CZ1" s="44"/>
      <c r="DA1" s="165"/>
      <c r="DB1" s="43"/>
      <c r="DC1" s="44"/>
      <c r="DD1" s="165"/>
      <c r="DE1" s="43"/>
      <c r="DF1" s="44"/>
      <c r="DG1" s="165"/>
      <c r="DH1" s="137"/>
      <c r="DI1" s="44"/>
      <c r="DJ1" s="44"/>
      <c r="DK1" s="43"/>
      <c r="DL1" s="44"/>
      <c r="DM1" s="166"/>
      <c r="DN1" s="44"/>
      <c r="DO1" s="44"/>
      <c r="DP1" s="44"/>
      <c r="DQ1" s="44"/>
      <c r="DR1" s="44"/>
      <c r="DS1" s="43"/>
      <c r="DT1" s="43"/>
      <c r="DU1" s="43"/>
      <c r="DV1" s="43"/>
      <c r="DW1" s="165"/>
      <c r="DX1" s="44"/>
      <c r="DY1" s="44"/>
      <c r="DZ1" s="44"/>
      <c r="EA1" s="43"/>
      <c r="EB1" s="43"/>
      <c r="EC1" s="166"/>
      <c r="ED1" s="43"/>
      <c r="EE1" s="43"/>
      <c r="EF1" s="165"/>
      <c r="EG1" s="13"/>
      <c r="EH1" s="13"/>
      <c r="EI1" s="13"/>
      <c r="EJ1" s="43"/>
      <c r="EK1" s="43"/>
      <c r="EL1" s="43"/>
      <c r="EM1" s="43"/>
      <c r="EN1" s="44"/>
      <c r="EO1" s="44"/>
      <c r="EP1" s="44"/>
      <c r="EQ1" s="44"/>
      <c r="ER1" s="166"/>
      <c r="ES1" s="43"/>
      <c r="ET1" s="165"/>
      <c r="EU1" s="13"/>
      <c r="EV1" s="43"/>
      <c r="EW1" s="43"/>
      <c r="EX1" s="44"/>
      <c r="EY1" s="44"/>
      <c r="EZ1" s="165"/>
      <c r="FA1" s="43"/>
      <c r="FB1" s="44"/>
      <c r="FC1" s="165"/>
      <c r="FD1" s="13"/>
      <c r="FE1" s="43"/>
      <c r="FF1" s="43"/>
      <c r="FG1" s="44"/>
      <c r="FH1" s="44"/>
    </row>
    <row r="2" spans="1:164" ht="19.25" customHeight="1" x14ac:dyDescent="0.25">
      <c r="A2" s="254" t="s">
        <v>588</v>
      </c>
      <c r="B2" s="254"/>
      <c r="C2" s="254"/>
      <c r="D2" s="152"/>
      <c r="E2" s="148" t="s">
        <v>589</v>
      </c>
      <c r="F2" s="146"/>
      <c r="G2" s="146"/>
      <c r="H2" s="146"/>
      <c r="I2" s="146"/>
      <c r="J2" s="146"/>
      <c r="K2" s="146"/>
      <c r="L2" s="150"/>
      <c r="M2" s="148" t="s">
        <v>590</v>
      </c>
      <c r="N2" s="146"/>
      <c r="O2" s="146"/>
      <c r="P2" s="146"/>
      <c r="Q2" s="150"/>
      <c r="R2" s="154"/>
      <c r="S2" s="150"/>
      <c r="T2" s="148" t="s">
        <v>333</v>
      </c>
      <c r="U2" s="146"/>
      <c r="V2" s="150"/>
      <c r="W2" s="149" t="s">
        <v>334</v>
      </c>
      <c r="X2" s="150"/>
      <c r="Y2" s="146"/>
      <c r="Z2" s="150"/>
      <c r="AA2" s="146"/>
      <c r="AB2" s="149" t="s">
        <v>335</v>
      </c>
      <c r="AC2" s="146"/>
      <c r="AD2" s="150"/>
      <c r="AE2" s="146"/>
      <c r="AF2" s="149" t="s">
        <v>591</v>
      </c>
      <c r="AG2" s="146"/>
      <c r="AH2" s="149" t="s">
        <v>337</v>
      </c>
      <c r="AI2" s="146"/>
      <c r="AJ2" s="149" t="s">
        <v>592</v>
      </c>
      <c r="AK2" s="150"/>
      <c r="AL2" s="150"/>
      <c r="AM2" s="150"/>
      <c r="AN2" s="150"/>
      <c r="AO2" s="150"/>
      <c r="AP2" s="150"/>
      <c r="AQ2" s="150"/>
      <c r="AR2" s="150"/>
      <c r="AS2" s="149" t="s">
        <v>593</v>
      </c>
      <c r="AT2" s="150"/>
      <c r="AU2" s="150"/>
      <c r="AV2" s="150"/>
      <c r="AW2" s="150"/>
      <c r="AX2" s="150"/>
      <c r="AY2" s="150"/>
      <c r="AZ2" s="150"/>
      <c r="BA2" s="150"/>
      <c r="BB2" s="150"/>
      <c r="BC2" s="148" t="s">
        <v>485</v>
      </c>
      <c r="BD2" s="150"/>
      <c r="BE2" s="150"/>
      <c r="BF2" s="146"/>
      <c r="BG2" s="148" t="s">
        <v>486</v>
      </c>
      <c r="BH2" s="146"/>
      <c r="BI2" s="32"/>
      <c r="BJ2" s="148" t="s">
        <v>594</v>
      </c>
      <c r="BK2" s="24"/>
      <c r="BL2" s="24"/>
      <c r="BM2" s="24"/>
      <c r="BN2" s="146"/>
      <c r="BO2" s="146"/>
      <c r="BP2" s="146"/>
      <c r="BQ2" s="146"/>
      <c r="BR2" s="24"/>
      <c r="BS2" s="148" t="s">
        <v>595</v>
      </c>
      <c r="BT2" s="24"/>
      <c r="BU2" s="150"/>
      <c r="BV2" s="146"/>
      <c r="BW2" s="24"/>
      <c r="BX2" s="148" t="s">
        <v>596</v>
      </c>
      <c r="BY2" s="24"/>
      <c r="BZ2" s="24"/>
      <c r="CA2" s="24"/>
      <c r="CB2" s="24"/>
      <c r="CC2" s="24"/>
      <c r="CD2" s="24"/>
      <c r="CE2" s="146"/>
      <c r="CF2" s="32"/>
      <c r="CG2" s="148" t="s">
        <v>597</v>
      </c>
      <c r="CH2" s="24"/>
      <c r="CI2" s="150"/>
      <c r="CJ2" s="146"/>
      <c r="CK2" s="146"/>
      <c r="CL2" s="148" t="s">
        <v>598</v>
      </c>
      <c r="CM2" s="24"/>
      <c r="CN2" s="24"/>
      <c r="CO2" s="24"/>
      <c r="CP2" s="24"/>
      <c r="CQ2" s="24"/>
      <c r="CR2" s="24"/>
      <c r="CS2" s="24"/>
      <c r="CT2" s="32"/>
      <c r="CU2" s="148" t="s">
        <v>599</v>
      </c>
      <c r="CV2" s="146"/>
      <c r="CW2" s="146"/>
      <c r="CX2" s="146"/>
      <c r="CY2" s="32"/>
      <c r="CZ2" s="32"/>
      <c r="DA2" s="148" t="s">
        <v>600</v>
      </c>
      <c r="DB2" s="146"/>
      <c r="DC2" s="32"/>
      <c r="DD2" s="148" t="s">
        <v>483</v>
      </c>
      <c r="DE2" s="146"/>
      <c r="DF2" s="32"/>
      <c r="DG2" s="148" t="s">
        <v>601</v>
      </c>
      <c r="DH2" s="176"/>
      <c r="DI2" s="150"/>
      <c r="DJ2" s="150"/>
      <c r="DK2" s="146"/>
      <c r="DL2" s="32"/>
      <c r="DM2" s="148" t="s">
        <v>602</v>
      </c>
      <c r="DN2" s="146"/>
      <c r="DO2" s="146"/>
      <c r="DP2" s="150"/>
      <c r="DQ2" s="150"/>
      <c r="DR2" s="150"/>
      <c r="DS2" s="146"/>
      <c r="DT2" s="146"/>
      <c r="DU2" s="146"/>
      <c r="DV2" s="146"/>
      <c r="DW2" s="148" t="s">
        <v>603</v>
      </c>
      <c r="DX2" s="150"/>
      <c r="DY2" s="150"/>
      <c r="DZ2" s="150"/>
      <c r="EA2" s="146"/>
      <c r="EB2" s="146"/>
      <c r="EC2" s="149" t="s">
        <v>604</v>
      </c>
      <c r="ED2" s="146"/>
      <c r="EE2" s="146"/>
      <c r="EF2" s="148" t="s">
        <v>605</v>
      </c>
      <c r="EG2" s="146"/>
      <c r="EH2" s="146"/>
      <c r="EI2" s="146"/>
      <c r="EJ2" s="146"/>
      <c r="EK2" s="146"/>
      <c r="EL2" s="146"/>
      <c r="EM2" s="146"/>
      <c r="EN2" s="32"/>
      <c r="EO2" s="32"/>
      <c r="EP2" s="32"/>
      <c r="EQ2" s="32"/>
      <c r="ER2" s="149" t="s">
        <v>606</v>
      </c>
      <c r="ES2" s="146"/>
      <c r="ET2" s="148" t="s">
        <v>607</v>
      </c>
      <c r="EU2" s="146"/>
      <c r="EV2" s="146"/>
      <c r="EW2" s="146"/>
      <c r="EX2" s="32"/>
      <c r="EY2" s="32"/>
      <c r="EZ2" s="148" t="s">
        <v>608</v>
      </c>
      <c r="FA2" s="146"/>
      <c r="FB2" s="32"/>
      <c r="FC2" s="148" t="s">
        <v>609</v>
      </c>
      <c r="FD2" s="146"/>
      <c r="FE2" s="146"/>
      <c r="FF2" s="146"/>
      <c r="FG2" s="32"/>
      <c r="FH2" s="32"/>
    </row>
    <row r="3" spans="1:164" ht="134" customHeight="1" x14ac:dyDescent="0.2">
      <c r="A3" s="254"/>
      <c r="B3" s="254"/>
      <c r="C3" s="254"/>
      <c r="D3" s="152"/>
      <c r="E3" s="142" t="s">
        <v>610</v>
      </c>
      <c r="F3" s="143" t="s">
        <v>381</v>
      </c>
      <c r="G3" s="143" t="s">
        <v>328</v>
      </c>
      <c r="H3" s="143" t="s">
        <v>611</v>
      </c>
      <c r="I3" s="143" t="s">
        <v>612</v>
      </c>
      <c r="J3" s="143" t="s">
        <v>613</v>
      </c>
      <c r="K3" s="143" t="s">
        <v>614</v>
      </c>
      <c r="L3" s="144" t="s">
        <v>615</v>
      </c>
      <c r="M3" s="147" t="s">
        <v>616</v>
      </c>
      <c r="N3" s="155" t="s">
        <v>617</v>
      </c>
      <c r="O3" s="155" t="s">
        <v>618</v>
      </c>
      <c r="P3" s="155" t="s">
        <v>619</v>
      </c>
      <c r="Q3" s="135" t="s">
        <v>620</v>
      </c>
      <c r="R3" s="133" t="s">
        <v>621</v>
      </c>
      <c r="S3" s="135" t="s">
        <v>622</v>
      </c>
      <c r="T3" s="147" t="s">
        <v>623</v>
      </c>
      <c r="U3" s="155" t="s">
        <v>624</v>
      </c>
      <c r="V3" s="151" t="s">
        <v>625</v>
      </c>
      <c r="W3" s="134" t="s">
        <v>626</v>
      </c>
      <c r="X3" s="135" t="s">
        <v>627</v>
      </c>
      <c r="Y3" s="133" t="s">
        <v>628</v>
      </c>
      <c r="Z3" s="135" t="s">
        <v>629</v>
      </c>
      <c r="AA3" s="175" t="s">
        <v>630</v>
      </c>
      <c r="AB3" s="134" t="s">
        <v>631</v>
      </c>
      <c r="AC3" s="133" t="s">
        <v>632</v>
      </c>
      <c r="AD3" s="135" t="s">
        <v>633</v>
      </c>
      <c r="AE3" s="175" t="s">
        <v>634</v>
      </c>
      <c r="AF3" s="134" t="s">
        <v>635</v>
      </c>
      <c r="AG3" s="175" t="s">
        <v>636</v>
      </c>
      <c r="AH3" s="134" t="s">
        <v>637</v>
      </c>
      <c r="AI3" s="175" t="s">
        <v>638</v>
      </c>
      <c r="AJ3" s="153" t="s">
        <v>639</v>
      </c>
      <c r="AK3" s="151" t="s">
        <v>640</v>
      </c>
      <c r="AL3" s="151" t="s">
        <v>641</v>
      </c>
      <c r="AM3" s="151" t="s">
        <v>642</v>
      </c>
      <c r="AN3" s="151" t="s">
        <v>643</v>
      </c>
      <c r="AO3" s="151" t="s">
        <v>644</v>
      </c>
      <c r="AP3" s="151" t="s">
        <v>645</v>
      </c>
      <c r="AQ3" s="151" t="s">
        <v>646</v>
      </c>
      <c r="AR3" s="151" t="s">
        <v>647</v>
      </c>
      <c r="AS3" s="156" t="s">
        <v>639</v>
      </c>
      <c r="AT3" s="157" t="s">
        <v>640</v>
      </c>
      <c r="AU3" s="157" t="s">
        <v>641</v>
      </c>
      <c r="AV3" s="157" t="s">
        <v>642</v>
      </c>
      <c r="AW3" s="157" t="s">
        <v>643</v>
      </c>
      <c r="AX3" s="157" t="s">
        <v>644</v>
      </c>
      <c r="AY3" s="157" t="s">
        <v>645</v>
      </c>
      <c r="AZ3" s="157" t="s">
        <v>646</v>
      </c>
      <c r="BA3" s="157" t="s">
        <v>647</v>
      </c>
      <c r="BB3" s="151" t="s">
        <v>648</v>
      </c>
      <c r="BC3" s="142" t="s">
        <v>649</v>
      </c>
      <c r="BD3" s="151" t="s">
        <v>650</v>
      </c>
      <c r="BE3" s="135" t="s">
        <v>651</v>
      </c>
      <c r="BF3" s="175" t="s">
        <v>652</v>
      </c>
      <c r="BG3" s="142" t="s">
        <v>653</v>
      </c>
      <c r="BH3" s="155" t="s">
        <v>654</v>
      </c>
      <c r="BI3" s="151" t="s">
        <v>655</v>
      </c>
      <c r="BJ3" s="142" t="s">
        <v>656</v>
      </c>
      <c r="BK3" s="143" t="s">
        <v>657</v>
      </c>
      <c r="BL3" s="143" t="s">
        <v>658</v>
      </c>
      <c r="BM3" s="143" t="s">
        <v>659</v>
      </c>
      <c r="BN3" s="155" t="s">
        <v>660</v>
      </c>
      <c r="BO3" s="155" t="s">
        <v>661</v>
      </c>
      <c r="BP3" s="155" t="s">
        <v>662</v>
      </c>
      <c r="BQ3" s="175" t="s">
        <v>663</v>
      </c>
      <c r="BR3" s="133" t="s">
        <v>664</v>
      </c>
      <c r="BS3" s="142" t="s">
        <v>665</v>
      </c>
      <c r="BT3" s="143" t="s">
        <v>666</v>
      </c>
      <c r="BU3" s="151" t="s">
        <v>637</v>
      </c>
      <c r="BV3" s="155" t="s">
        <v>667</v>
      </c>
      <c r="BW3" s="155" t="s">
        <v>668</v>
      </c>
      <c r="BX3" s="142" t="s">
        <v>669</v>
      </c>
      <c r="BY3" s="143" t="s">
        <v>670</v>
      </c>
      <c r="BZ3" s="143" t="s">
        <v>671</v>
      </c>
      <c r="CA3" s="143" t="s">
        <v>672</v>
      </c>
      <c r="CB3" s="155" t="s">
        <v>673</v>
      </c>
      <c r="CC3" s="155" t="s">
        <v>674</v>
      </c>
      <c r="CD3" s="155" t="s">
        <v>675</v>
      </c>
      <c r="CE3" s="175" t="s">
        <v>676</v>
      </c>
      <c r="CF3" s="151" t="s">
        <v>677</v>
      </c>
      <c r="CG3" s="142" t="s">
        <v>665</v>
      </c>
      <c r="CH3" s="143" t="s">
        <v>666</v>
      </c>
      <c r="CI3" s="151" t="s">
        <v>637</v>
      </c>
      <c r="CJ3" s="155" t="s">
        <v>667</v>
      </c>
      <c r="CK3" s="155" t="s">
        <v>668</v>
      </c>
      <c r="CL3" s="142" t="s">
        <v>678</v>
      </c>
      <c r="CM3" s="143" t="s">
        <v>679</v>
      </c>
      <c r="CN3" s="143" t="s">
        <v>680</v>
      </c>
      <c r="CO3" s="143" t="s">
        <v>681</v>
      </c>
      <c r="CP3" s="155" t="s">
        <v>682</v>
      </c>
      <c r="CQ3" s="155" t="s">
        <v>683</v>
      </c>
      <c r="CR3" s="155" t="s">
        <v>684</v>
      </c>
      <c r="CS3" s="175" t="s">
        <v>685</v>
      </c>
      <c r="CT3" s="151" t="s">
        <v>686</v>
      </c>
      <c r="CU3" s="142" t="s">
        <v>687</v>
      </c>
      <c r="CV3" s="143" t="s">
        <v>688</v>
      </c>
      <c r="CW3" s="155" t="s">
        <v>689</v>
      </c>
      <c r="CX3" s="155" t="s">
        <v>690</v>
      </c>
      <c r="CY3" s="151" t="s">
        <v>691</v>
      </c>
      <c r="CZ3" s="151" t="s">
        <v>692</v>
      </c>
      <c r="DA3" s="142" t="s">
        <v>693</v>
      </c>
      <c r="DB3" s="155" t="s">
        <v>694</v>
      </c>
      <c r="DC3" s="151" t="s">
        <v>695</v>
      </c>
      <c r="DD3" s="142" t="s">
        <v>495</v>
      </c>
      <c r="DE3" s="155" t="s">
        <v>696</v>
      </c>
      <c r="DF3" s="151" t="s">
        <v>697</v>
      </c>
      <c r="DG3" s="142" t="s">
        <v>698</v>
      </c>
      <c r="DH3" s="177" t="s">
        <v>699</v>
      </c>
      <c r="DI3" s="135" t="s">
        <v>700</v>
      </c>
      <c r="DJ3" s="135" t="s">
        <v>701</v>
      </c>
      <c r="DK3" s="175" t="s">
        <v>702</v>
      </c>
      <c r="DL3" s="151" t="s">
        <v>703</v>
      </c>
      <c r="DM3" s="145" t="s">
        <v>704</v>
      </c>
      <c r="DN3" s="144" t="s">
        <v>705</v>
      </c>
      <c r="DO3" s="135" t="s">
        <v>706</v>
      </c>
      <c r="DP3" s="135" t="s">
        <v>707</v>
      </c>
      <c r="DQ3" s="135" t="s">
        <v>708</v>
      </c>
      <c r="DR3" s="135" t="s">
        <v>709</v>
      </c>
      <c r="DS3" s="175" t="s">
        <v>710</v>
      </c>
      <c r="DT3" s="175" t="s">
        <v>711</v>
      </c>
      <c r="DU3" s="175" t="s">
        <v>712</v>
      </c>
      <c r="DV3" s="175" t="s">
        <v>713</v>
      </c>
      <c r="DW3" s="162" t="s">
        <v>714</v>
      </c>
      <c r="DX3" s="135" t="s">
        <v>715</v>
      </c>
      <c r="DY3" s="135" t="s">
        <v>716</v>
      </c>
      <c r="DZ3" s="135" t="s">
        <v>717</v>
      </c>
      <c r="EA3" s="175" t="s">
        <v>718</v>
      </c>
      <c r="EB3" s="175" t="s">
        <v>719</v>
      </c>
      <c r="EC3" s="134" t="s">
        <v>720</v>
      </c>
      <c r="ED3" s="175" t="s">
        <v>721</v>
      </c>
      <c r="EE3" s="175" t="s">
        <v>722</v>
      </c>
      <c r="EF3" s="142" t="s">
        <v>723</v>
      </c>
      <c r="EG3" s="143" t="s">
        <v>724</v>
      </c>
      <c r="EH3" s="143" t="s">
        <v>725</v>
      </c>
      <c r="EI3" s="143" t="s">
        <v>726</v>
      </c>
      <c r="EJ3" s="155" t="s">
        <v>727</v>
      </c>
      <c r="EK3" s="155" t="s">
        <v>728</v>
      </c>
      <c r="EL3" s="155" t="s">
        <v>729</v>
      </c>
      <c r="EM3" s="155" t="s">
        <v>730</v>
      </c>
      <c r="EN3" s="151" t="s">
        <v>731</v>
      </c>
      <c r="EO3" s="151" t="s">
        <v>732</v>
      </c>
      <c r="EP3" s="151" t="s">
        <v>733</v>
      </c>
      <c r="EQ3" s="151" t="s">
        <v>734</v>
      </c>
      <c r="ER3" s="134" t="s">
        <v>735</v>
      </c>
      <c r="ES3" s="175" t="s">
        <v>736</v>
      </c>
      <c r="ET3" s="142" t="s">
        <v>737</v>
      </c>
      <c r="EU3" s="143" t="s">
        <v>738</v>
      </c>
      <c r="EV3" s="155" t="s">
        <v>739</v>
      </c>
      <c r="EW3" s="155" t="s">
        <v>740</v>
      </c>
      <c r="EX3" s="151" t="s">
        <v>741</v>
      </c>
      <c r="EY3" s="151" t="s">
        <v>742</v>
      </c>
      <c r="EZ3" s="142" t="s">
        <v>743</v>
      </c>
      <c r="FA3" s="155" t="s">
        <v>744</v>
      </c>
      <c r="FB3" s="151" t="s">
        <v>745</v>
      </c>
      <c r="FC3" s="142" t="s">
        <v>746</v>
      </c>
      <c r="FD3" s="143" t="s">
        <v>747</v>
      </c>
      <c r="FE3" s="155" t="s">
        <v>748</v>
      </c>
      <c r="FF3" s="155" t="s">
        <v>749</v>
      </c>
      <c r="FG3" s="151" t="s">
        <v>750</v>
      </c>
      <c r="FH3" s="151" t="s">
        <v>751</v>
      </c>
    </row>
    <row r="4" spans="1:164" x14ac:dyDescent="0.2">
      <c r="B4" s="5"/>
      <c r="D4" s="5" t="s">
        <v>392</v>
      </c>
    </row>
    <row r="5" spans="1:164" ht="0" hidden="1" customHeight="1" x14ac:dyDescent="0.2">
      <c r="A5" s="1" t="s">
        <v>285</v>
      </c>
      <c r="B5" s="1" t="s">
        <v>285</v>
      </c>
      <c r="C5" s="1" t="s">
        <v>285</v>
      </c>
      <c r="D5" s="1" t="s">
        <v>285</v>
      </c>
      <c r="E5" s="104" t="s">
        <v>285</v>
      </c>
      <c r="F5" s="38" t="s">
        <v>285</v>
      </c>
      <c r="G5" s="38" t="s">
        <v>285</v>
      </c>
      <c r="H5" s="38" t="s">
        <v>285</v>
      </c>
      <c r="I5" s="38" t="s">
        <v>285</v>
      </c>
      <c r="J5" s="38" t="s">
        <v>285</v>
      </c>
      <c r="K5" s="38" t="s">
        <v>285</v>
      </c>
      <c r="L5" s="33" t="s">
        <v>285</v>
      </c>
      <c r="M5" s="107" t="s">
        <v>286</v>
      </c>
      <c r="N5" s="2" t="s">
        <v>285</v>
      </c>
      <c r="O5" s="2" t="s">
        <v>285</v>
      </c>
      <c r="P5" s="2" t="s">
        <v>286</v>
      </c>
      <c r="Q5" s="33" t="s">
        <v>285</v>
      </c>
      <c r="R5" s="38" t="s">
        <v>285</v>
      </c>
      <c r="S5" s="33" t="s">
        <v>285</v>
      </c>
      <c r="T5" s="107" t="s">
        <v>393</v>
      </c>
      <c r="U5" s="2" t="s">
        <v>394</v>
      </c>
      <c r="V5" s="33" t="s">
        <v>285</v>
      </c>
      <c r="W5" s="36" t="s">
        <v>285</v>
      </c>
      <c r="X5" s="33" t="s">
        <v>285</v>
      </c>
      <c r="Y5" s="38" t="s">
        <v>285</v>
      </c>
      <c r="Z5" s="33" t="s">
        <v>285</v>
      </c>
      <c r="AA5" s="2" t="s">
        <v>393</v>
      </c>
      <c r="AB5" s="36" t="s">
        <v>285</v>
      </c>
      <c r="AC5" s="38" t="s">
        <v>285</v>
      </c>
      <c r="AD5" s="33" t="s">
        <v>285</v>
      </c>
      <c r="AE5" s="2" t="s">
        <v>393</v>
      </c>
      <c r="AF5" s="36" t="s">
        <v>285</v>
      </c>
      <c r="AG5" s="2" t="s">
        <v>393</v>
      </c>
      <c r="AH5" s="36" t="s">
        <v>285</v>
      </c>
      <c r="AI5" s="2" t="s">
        <v>393</v>
      </c>
      <c r="AJ5" s="36" t="s">
        <v>285</v>
      </c>
      <c r="AK5" s="33" t="s">
        <v>285</v>
      </c>
      <c r="AL5" s="33" t="s">
        <v>285</v>
      </c>
      <c r="AM5" s="33" t="s">
        <v>285</v>
      </c>
      <c r="AN5" s="33" t="s">
        <v>285</v>
      </c>
      <c r="AO5" s="33" t="s">
        <v>285</v>
      </c>
      <c r="AP5" s="33" t="s">
        <v>285</v>
      </c>
      <c r="AQ5" s="33" t="s">
        <v>285</v>
      </c>
      <c r="AR5" s="33" t="s">
        <v>285</v>
      </c>
      <c r="AS5" s="158" t="s">
        <v>393</v>
      </c>
      <c r="AT5" s="159" t="s">
        <v>393</v>
      </c>
      <c r="AU5" s="159" t="s">
        <v>393</v>
      </c>
      <c r="AV5" s="159" t="s">
        <v>393</v>
      </c>
      <c r="AW5" s="159" t="s">
        <v>393</v>
      </c>
      <c r="AX5" s="159" t="s">
        <v>393</v>
      </c>
      <c r="AY5" s="159" t="s">
        <v>393</v>
      </c>
      <c r="AZ5" s="159" t="s">
        <v>393</v>
      </c>
      <c r="BA5" s="159" t="s">
        <v>393</v>
      </c>
      <c r="BB5" s="33" t="s">
        <v>285</v>
      </c>
      <c r="BC5" s="104" t="s">
        <v>285</v>
      </c>
      <c r="BD5" s="33" t="s">
        <v>285</v>
      </c>
      <c r="BE5" s="33" t="s">
        <v>285</v>
      </c>
      <c r="BF5" s="2" t="s">
        <v>393</v>
      </c>
      <c r="BG5" s="104" t="s">
        <v>285</v>
      </c>
      <c r="BH5" s="2" t="s">
        <v>393</v>
      </c>
      <c r="BI5" s="33" t="s">
        <v>285</v>
      </c>
      <c r="BJ5" s="104" t="s">
        <v>285</v>
      </c>
      <c r="BK5" s="38" t="s">
        <v>285</v>
      </c>
      <c r="BL5" s="38" t="s">
        <v>285</v>
      </c>
      <c r="BM5" s="38" t="s">
        <v>285</v>
      </c>
      <c r="BN5" s="2" t="s">
        <v>393</v>
      </c>
      <c r="BO5" s="2" t="s">
        <v>285</v>
      </c>
      <c r="BP5" s="2" t="s">
        <v>393</v>
      </c>
      <c r="BQ5" s="2" t="s">
        <v>285</v>
      </c>
      <c r="BR5" s="33" t="s">
        <v>285</v>
      </c>
      <c r="BS5" s="104" t="s">
        <v>285</v>
      </c>
      <c r="BT5" s="38" t="s">
        <v>285</v>
      </c>
      <c r="BU5" s="34" t="s">
        <v>285</v>
      </c>
      <c r="BV5" s="2" t="s">
        <v>393</v>
      </c>
      <c r="BW5" s="2" t="s">
        <v>393</v>
      </c>
      <c r="BX5" s="104" t="s">
        <v>285</v>
      </c>
      <c r="BY5" s="38" t="s">
        <v>285</v>
      </c>
      <c r="BZ5" s="38" t="s">
        <v>285</v>
      </c>
      <c r="CA5" s="38" t="s">
        <v>285</v>
      </c>
      <c r="CB5" s="2" t="s">
        <v>393</v>
      </c>
      <c r="CC5" s="2" t="s">
        <v>285</v>
      </c>
      <c r="CD5" s="2" t="s">
        <v>393</v>
      </c>
      <c r="CE5" s="2" t="s">
        <v>285</v>
      </c>
      <c r="CF5" s="33" t="s">
        <v>285</v>
      </c>
      <c r="CG5" s="104" t="s">
        <v>285</v>
      </c>
      <c r="CH5" s="38" t="s">
        <v>285</v>
      </c>
      <c r="CI5" s="33" t="s">
        <v>285</v>
      </c>
      <c r="CJ5" s="2" t="s">
        <v>393</v>
      </c>
      <c r="CK5" s="2" t="s">
        <v>393</v>
      </c>
      <c r="CL5" s="104" t="s">
        <v>285</v>
      </c>
      <c r="CM5" s="38" t="s">
        <v>285</v>
      </c>
      <c r="CN5" s="38" t="s">
        <v>285</v>
      </c>
      <c r="CO5" s="38" t="s">
        <v>285</v>
      </c>
      <c r="CP5" s="2" t="s">
        <v>393</v>
      </c>
      <c r="CQ5" s="2" t="s">
        <v>285</v>
      </c>
      <c r="CR5" s="2" t="s">
        <v>393</v>
      </c>
      <c r="CS5" s="2" t="s">
        <v>285</v>
      </c>
      <c r="CT5" s="33" t="s">
        <v>285</v>
      </c>
      <c r="CU5" s="104" t="s">
        <v>285</v>
      </c>
      <c r="CV5" s="38" t="s">
        <v>285</v>
      </c>
      <c r="CW5" s="2" t="s">
        <v>393</v>
      </c>
      <c r="CX5" s="2" t="s">
        <v>393</v>
      </c>
      <c r="CY5" s="33" t="s">
        <v>285</v>
      </c>
      <c r="CZ5" s="33" t="s">
        <v>285</v>
      </c>
      <c r="DA5" s="104" t="s">
        <v>285</v>
      </c>
      <c r="DB5" s="2" t="s">
        <v>393</v>
      </c>
      <c r="DC5" s="33" t="s">
        <v>285</v>
      </c>
      <c r="DD5" s="104" t="s">
        <v>285</v>
      </c>
      <c r="DE5" s="2" t="s">
        <v>393</v>
      </c>
      <c r="DF5" s="33" t="s">
        <v>285</v>
      </c>
      <c r="DG5" s="104" t="s">
        <v>285</v>
      </c>
      <c r="DH5" s="110" t="s">
        <v>285</v>
      </c>
      <c r="DI5" s="33" t="s">
        <v>285</v>
      </c>
      <c r="DJ5" s="33" t="s">
        <v>285</v>
      </c>
      <c r="DK5" s="2" t="s">
        <v>393</v>
      </c>
      <c r="DL5" s="33" t="s">
        <v>285</v>
      </c>
      <c r="DM5" s="36" t="s">
        <v>285</v>
      </c>
      <c r="DN5" s="33" t="s">
        <v>285</v>
      </c>
      <c r="DO5" s="33" t="s">
        <v>285</v>
      </c>
      <c r="DP5" s="33" t="s">
        <v>285</v>
      </c>
      <c r="DQ5" s="33" t="s">
        <v>285</v>
      </c>
      <c r="DR5" s="33" t="s">
        <v>285</v>
      </c>
      <c r="DS5" s="2" t="s">
        <v>393</v>
      </c>
      <c r="DT5" s="2" t="s">
        <v>393</v>
      </c>
      <c r="DU5" s="2" t="s">
        <v>393</v>
      </c>
      <c r="DV5" s="2" t="s">
        <v>393</v>
      </c>
      <c r="DW5" s="104" t="s">
        <v>285</v>
      </c>
      <c r="DX5" s="33" t="s">
        <v>285</v>
      </c>
      <c r="DY5" s="33" t="s">
        <v>285</v>
      </c>
      <c r="DZ5" s="33" t="s">
        <v>285</v>
      </c>
      <c r="EA5" s="2" t="s">
        <v>393</v>
      </c>
      <c r="EB5" s="2" t="s">
        <v>393</v>
      </c>
      <c r="EC5" s="36" t="s">
        <v>285</v>
      </c>
      <c r="ED5" s="2" t="s">
        <v>393</v>
      </c>
      <c r="EE5" s="2" t="s">
        <v>393</v>
      </c>
      <c r="EF5" s="104" t="s">
        <v>285</v>
      </c>
      <c r="EG5" s="38" t="s">
        <v>285</v>
      </c>
      <c r="EH5" s="38" t="s">
        <v>285</v>
      </c>
      <c r="EI5" s="38" t="s">
        <v>285</v>
      </c>
      <c r="EJ5" s="2" t="s">
        <v>393</v>
      </c>
      <c r="EK5" s="2" t="s">
        <v>393</v>
      </c>
      <c r="EL5" s="2" t="s">
        <v>393</v>
      </c>
      <c r="EM5" s="2" t="s">
        <v>393</v>
      </c>
      <c r="EN5" s="33" t="s">
        <v>285</v>
      </c>
      <c r="EO5" s="33" t="s">
        <v>285</v>
      </c>
      <c r="EP5" s="33" t="s">
        <v>285</v>
      </c>
      <c r="EQ5" s="33" t="s">
        <v>285</v>
      </c>
      <c r="ER5" s="36" t="s">
        <v>285</v>
      </c>
      <c r="ES5" s="2" t="s">
        <v>393</v>
      </c>
      <c r="ET5" s="104" t="s">
        <v>285</v>
      </c>
      <c r="EU5" s="38" t="s">
        <v>285</v>
      </c>
      <c r="EV5" s="2" t="s">
        <v>393</v>
      </c>
      <c r="EW5" s="2" t="s">
        <v>393</v>
      </c>
      <c r="EX5" s="33" t="s">
        <v>285</v>
      </c>
      <c r="EY5" s="33" t="s">
        <v>285</v>
      </c>
      <c r="EZ5" s="104" t="s">
        <v>285</v>
      </c>
      <c r="FA5" s="2" t="s">
        <v>393</v>
      </c>
      <c r="FB5" s="33" t="s">
        <v>285</v>
      </c>
      <c r="FC5" s="104" t="s">
        <v>285</v>
      </c>
      <c r="FD5" s="38" t="s">
        <v>285</v>
      </c>
      <c r="FE5" s="2" t="s">
        <v>393</v>
      </c>
      <c r="FF5" s="2" t="s">
        <v>393</v>
      </c>
      <c r="FG5" s="34" t="s">
        <v>285</v>
      </c>
      <c r="FH5" s="34" t="s">
        <v>285</v>
      </c>
    </row>
    <row r="6" spans="1:164" ht="0" hidden="1" customHeight="1" x14ac:dyDescent="0.2">
      <c r="A6" s="1" t="s">
        <v>287</v>
      </c>
      <c r="B6" s="1" t="s">
        <v>287</v>
      </c>
      <c r="C6" s="1" t="s">
        <v>287</v>
      </c>
      <c r="D6" s="1" t="s">
        <v>287</v>
      </c>
      <c r="E6" s="104" t="s">
        <v>290</v>
      </c>
      <c r="F6" s="38" t="s">
        <v>290</v>
      </c>
      <c r="G6" s="38" t="s">
        <v>290</v>
      </c>
      <c r="H6" s="38" t="s">
        <v>290</v>
      </c>
      <c r="I6" s="38" t="s">
        <v>290</v>
      </c>
      <c r="J6" s="38" t="s">
        <v>290</v>
      </c>
      <c r="K6" s="38" t="s">
        <v>290</v>
      </c>
      <c r="L6" s="33" t="s">
        <v>290</v>
      </c>
      <c r="M6" s="107" t="s">
        <v>289</v>
      </c>
      <c r="N6" s="2" t="s">
        <v>395</v>
      </c>
      <c r="O6" s="2" t="s">
        <v>395</v>
      </c>
      <c r="P6" s="2" t="s">
        <v>289</v>
      </c>
      <c r="Q6" s="33" t="s">
        <v>395</v>
      </c>
      <c r="R6" s="38" t="s">
        <v>290</v>
      </c>
      <c r="S6" s="33" t="s">
        <v>395</v>
      </c>
      <c r="T6" s="107" t="s">
        <v>289</v>
      </c>
      <c r="U6" s="2" t="s">
        <v>289</v>
      </c>
      <c r="V6" s="33" t="s">
        <v>290</v>
      </c>
      <c r="W6" s="36" t="s">
        <v>395</v>
      </c>
      <c r="X6" s="33" t="s">
        <v>395</v>
      </c>
      <c r="Y6" s="38" t="s">
        <v>290</v>
      </c>
      <c r="Z6" s="33" t="s">
        <v>395</v>
      </c>
      <c r="AA6" s="2" t="s">
        <v>289</v>
      </c>
      <c r="AB6" s="36" t="s">
        <v>395</v>
      </c>
      <c r="AC6" s="38" t="s">
        <v>395</v>
      </c>
      <c r="AD6" s="33" t="s">
        <v>395</v>
      </c>
      <c r="AE6" s="2" t="s">
        <v>289</v>
      </c>
      <c r="AF6" s="36" t="s">
        <v>395</v>
      </c>
      <c r="AG6" s="2" t="s">
        <v>289</v>
      </c>
      <c r="AH6" s="36" t="s">
        <v>395</v>
      </c>
      <c r="AI6" s="2" t="s">
        <v>289</v>
      </c>
      <c r="AJ6" s="36" t="s">
        <v>290</v>
      </c>
      <c r="AK6" s="33" t="s">
        <v>290</v>
      </c>
      <c r="AL6" s="33" t="s">
        <v>290</v>
      </c>
      <c r="AM6" s="33" t="s">
        <v>290</v>
      </c>
      <c r="AN6" s="33" t="s">
        <v>290</v>
      </c>
      <c r="AO6" s="33" t="s">
        <v>290</v>
      </c>
      <c r="AP6" s="33" t="s">
        <v>290</v>
      </c>
      <c r="AQ6" s="33" t="s">
        <v>290</v>
      </c>
      <c r="AR6" s="33" t="s">
        <v>290</v>
      </c>
      <c r="AS6" s="158" t="s">
        <v>289</v>
      </c>
      <c r="AT6" s="159" t="s">
        <v>289</v>
      </c>
      <c r="AU6" s="159" t="s">
        <v>289</v>
      </c>
      <c r="AV6" s="159" t="s">
        <v>289</v>
      </c>
      <c r="AW6" s="159" t="s">
        <v>289</v>
      </c>
      <c r="AX6" s="159" t="s">
        <v>289</v>
      </c>
      <c r="AY6" s="159" t="s">
        <v>289</v>
      </c>
      <c r="AZ6" s="159" t="s">
        <v>289</v>
      </c>
      <c r="BA6" s="159" t="s">
        <v>289</v>
      </c>
      <c r="BB6" s="33" t="s">
        <v>290</v>
      </c>
      <c r="BC6" s="104" t="s">
        <v>290</v>
      </c>
      <c r="BD6" s="33" t="s">
        <v>290</v>
      </c>
      <c r="BE6" s="33" t="s">
        <v>395</v>
      </c>
      <c r="BF6" s="2" t="s">
        <v>289</v>
      </c>
      <c r="BG6" s="104" t="s">
        <v>290</v>
      </c>
      <c r="BH6" s="2" t="s">
        <v>289</v>
      </c>
      <c r="BI6" s="33" t="s">
        <v>290</v>
      </c>
      <c r="BJ6" s="104" t="s">
        <v>290</v>
      </c>
      <c r="BK6" s="38" t="s">
        <v>290</v>
      </c>
      <c r="BL6" s="38" t="s">
        <v>290</v>
      </c>
      <c r="BM6" s="38" t="s">
        <v>290</v>
      </c>
      <c r="BN6" s="2" t="s">
        <v>289</v>
      </c>
      <c r="BO6" s="2" t="s">
        <v>290</v>
      </c>
      <c r="BP6" s="2" t="s">
        <v>289</v>
      </c>
      <c r="BQ6" s="2" t="s">
        <v>290</v>
      </c>
      <c r="BR6" s="33" t="s">
        <v>290</v>
      </c>
      <c r="BS6" s="104" t="s">
        <v>290</v>
      </c>
      <c r="BT6" s="38" t="s">
        <v>290</v>
      </c>
      <c r="BU6" s="34" t="s">
        <v>290</v>
      </c>
      <c r="BV6" s="2" t="s">
        <v>289</v>
      </c>
      <c r="BW6" s="2" t="s">
        <v>289</v>
      </c>
      <c r="BX6" s="104" t="s">
        <v>290</v>
      </c>
      <c r="BY6" s="38" t="s">
        <v>290</v>
      </c>
      <c r="BZ6" s="38" t="s">
        <v>290</v>
      </c>
      <c r="CA6" s="38" t="s">
        <v>290</v>
      </c>
      <c r="CB6" s="2" t="s">
        <v>289</v>
      </c>
      <c r="CC6" s="2" t="s">
        <v>290</v>
      </c>
      <c r="CD6" s="2" t="s">
        <v>289</v>
      </c>
      <c r="CE6" s="2" t="s">
        <v>290</v>
      </c>
      <c r="CF6" s="33" t="s">
        <v>290</v>
      </c>
      <c r="CG6" s="104" t="s">
        <v>290</v>
      </c>
      <c r="CH6" s="38" t="s">
        <v>290</v>
      </c>
      <c r="CI6" s="33" t="s">
        <v>290</v>
      </c>
      <c r="CJ6" s="2" t="s">
        <v>289</v>
      </c>
      <c r="CK6" s="2" t="s">
        <v>289</v>
      </c>
      <c r="CL6" s="104" t="s">
        <v>290</v>
      </c>
      <c r="CM6" s="38" t="s">
        <v>290</v>
      </c>
      <c r="CN6" s="38" t="s">
        <v>290</v>
      </c>
      <c r="CO6" s="38" t="s">
        <v>290</v>
      </c>
      <c r="CP6" s="2" t="s">
        <v>289</v>
      </c>
      <c r="CQ6" s="2" t="s">
        <v>290</v>
      </c>
      <c r="CR6" s="2" t="s">
        <v>289</v>
      </c>
      <c r="CS6" s="2" t="s">
        <v>290</v>
      </c>
      <c r="CT6" s="33" t="s">
        <v>290</v>
      </c>
      <c r="CU6" s="104" t="s">
        <v>290</v>
      </c>
      <c r="CV6" s="38" t="s">
        <v>290</v>
      </c>
      <c r="CW6" s="2" t="s">
        <v>289</v>
      </c>
      <c r="CX6" s="2" t="s">
        <v>289</v>
      </c>
      <c r="CY6" s="33" t="s">
        <v>290</v>
      </c>
      <c r="CZ6" s="33" t="s">
        <v>290</v>
      </c>
      <c r="DA6" s="104" t="s">
        <v>290</v>
      </c>
      <c r="DB6" s="2" t="s">
        <v>289</v>
      </c>
      <c r="DC6" s="33" t="s">
        <v>290</v>
      </c>
      <c r="DD6" s="104" t="s">
        <v>290</v>
      </c>
      <c r="DE6" s="2" t="s">
        <v>289</v>
      </c>
      <c r="DF6" s="33" t="s">
        <v>290</v>
      </c>
      <c r="DG6" s="104" t="s">
        <v>290</v>
      </c>
      <c r="DH6" s="110" t="s">
        <v>290</v>
      </c>
      <c r="DI6" s="33" t="s">
        <v>395</v>
      </c>
      <c r="DJ6" s="33" t="s">
        <v>395</v>
      </c>
      <c r="DK6" s="2" t="s">
        <v>289</v>
      </c>
      <c r="DL6" s="33" t="s">
        <v>290</v>
      </c>
      <c r="DM6" s="36" t="s">
        <v>290</v>
      </c>
      <c r="DN6" s="33" t="s">
        <v>290</v>
      </c>
      <c r="DO6" s="33" t="s">
        <v>395</v>
      </c>
      <c r="DP6" s="33" t="s">
        <v>395</v>
      </c>
      <c r="DQ6" s="33" t="s">
        <v>395</v>
      </c>
      <c r="DR6" s="33" t="s">
        <v>395</v>
      </c>
      <c r="DS6" s="2" t="s">
        <v>289</v>
      </c>
      <c r="DT6" s="2" t="s">
        <v>289</v>
      </c>
      <c r="DU6" s="2" t="s">
        <v>289</v>
      </c>
      <c r="DV6" s="2" t="s">
        <v>289</v>
      </c>
      <c r="DW6" s="104" t="s">
        <v>290</v>
      </c>
      <c r="DX6" s="33" t="s">
        <v>290</v>
      </c>
      <c r="DY6" s="33" t="s">
        <v>290</v>
      </c>
      <c r="DZ6" s="33" t="s">
        <v>290</v>
      </c>
      <c r="EA6" s="2" t="s">
        <v>289</v>
      </c>
      <c r="EB6" s="2" t="s">
        <v>289</v>
      </c>
      <c r="EC6" s="36" t="s">
        <v>290</v>
      </c>
      <c r="ED6" s="2" t="s">
        <v>289</v>
      </c>
      <c r="EE6" s="2" t="s">
        <v>289</v>
      </c>
      <c r="EF6" s="104" t="s">
        <v>290</v>
      </c>
      <c r="EG6" s="38" t="s">
        <v>290</v>
      </c>
      <c r="EH6" s="38" t="s">
        <v>290</v>
      </c>
      <c r="EI6" s="38" t="s">
        <v>290</v>
      </c>
      <c r="EJ6" s="2" t="s">
        <v>289</v>
      </c>
      <c r="EK6" s="2" t="s">
        <v>289</v>
      </c>
      <c r="EL6" s="2" t="s">
        <v>289</v>
      </c>
      <c r="EM6" s="2" t="s">
        <v>289</v>
      </c>
      <c r="EN6" s="33" t="s">
        <v>290</v>
      </c>
      <c r="EO6" s="33" t="s">
        <v>290</v>
      </c>
      <c r="EP6" s="33" t="s">
        <v>290</v>
      </c>
      <c r="EQ6" s="33" t="s">
        <v>290</v>
      </c>
      <c r="ER6" s="36" t="s">
        <v>395</v>
      </c>
      <c r="ES6" s="2" t="s">
        <v>289</v>
      </c>
      <c r="ET6" s="104" t="s">
        <v>290</v>
      </c>
      <c r="EU6" s="38" t="s">
        <v>290</v>
      </c>
      <c r="EV6" s="2" t="s">
        <v>289</v>
      </c>
      <c r="EW6" s="2" t="s">
        <v>289</v>
      </c>
      <c r="EX6" s="33" t="s">
        <v>290</v>
      </c>
      <c r="EY6" s="33" t="s">
        <v>290</v>
      </c>
      <c r="EZ6" s="104" t="s">
        <v>290</v>
      </c>
      <c r="FA6" s="2" t="s">
        <v>289</v>
      </c>
      <c r="FB6" s="33" t="s">
        <v>290</v>
      </c>
      <c r="FC6" s="104" t="s">
        <v>290</v>
      </c>
      <c r="FD6" s="38" t="s">
        <v>290</v>
      </c>
      <c r="FE6" s="2" t="s">
        <v>289</v>
      </c>
      <c r="FF6" s="2" t="s">
        <v>289</v>
      </c>
      <c r="FG6" s="34" t="s">
        <v>290</v>
      </c>
      <c r="FH6" s="34" t="s">
        <v>290</v>
      </c>
    </row>
    <row r="7" spans="1:164" ht="0" hidden="1" customHeight="1" x14ac:dyDescent="0.2">
      <c r="A7" s="1" t="s">
        <v>291</v>
      </c>
      <c r="B7" s="1" t="s">
        <v>291</v>
      </c>
      <c r="C7" s="1" t="s">
        <v>291</v>
      </c>
      <c r="D7" s="1" t="s">
        <v>291</v>
      </c>
      <c r="E7" s="104" t="s">
        <v>292</v>
      </c>
      <c r="F7" s="38" t="s">
        <v>292</v>
      </c>
      <c r="G7" s="38" t="s">
        <v>292</v>
      </c>
      <c r="H7" s="38" t="s">
        <v>292</v>
      </c>
      <c r="I7" s="38" t="s">
        <v>292</v>
      </c>
      <c r="J7" s="38" t="s">
        <v>292</v>
      </c>
      <c r="K7" s="38" t="s">
        <v>292</v>
      </c>
      <c r="L7" s="33" t="s">
        <v>398</v>
      </c>
      <c r="M7" s="107" t="s">
        <v>292</v>
      </c>
      <c r="N7" s="2" t="s">
        <v>292</v>
      </c>
      <c r="O7" s="2" t="s">
        <v>292</v>
      </c>
      <c r="P7" s="2" t="s">
        <v>292</v>
      </c>
      <c r="Q7" s="33" t="s">
        <v>398</v>
      </c>
      <c r="R7" s="38" t="s">
        <v>292</v>
      </c>
      <c r="S7" s="33" t="s">
        <v>398</v>
      </c>
      <c r="T7" s="107" t="s">
        <v>292</v>
      </c>
      <c r="U7" s="2" t="s">
        <v>292</v>
      </c>
      <c r="V7" s="33" t="s">
        <v>398</v>
      </c>
      <c r="W7" s="36" t="s">
        <v>398</v>
      </c>
      <c r="X7" s="33" t="s">
        <v>398</v>
      </c>
      <c r="Y7" s="38" t="s">
        <v>292</v>
      </c>
      <c r="Z7" s="33" t="s">
        <v>398</v>
      </c>
      <c r="AA7" s="2" t="s">
        <v>292</v>
      </c>
      <c r="AB7" s="36" t="s">
        <v>398</v>
      </c>
      <c r="AC7" s="38" t="s">
        <v>292</v>
      </c>
      <c r="AD7" s="33" t="s">
        <v>398</v>
      </c>
      <c r="AE7" s="2" t="s">
        <v>292</v>
      </c>
      <c r="AF7" s="36" t="s">
        <v>398</v>
      </c>
      <c r="AG7" s="2" t="s">
        <v>292</v>
      </c>
      <c r="AH7" s="36" t="s">
        <v>398</v>
      </c>
      <c r="AI7" s="2" t="s">
        <v>292</v>
      </c>
      <c r="AJ7" s="36" t="s">
        <v>398</v>
      </c>
      <c r="AK7" s="33" t="s">
        <v>398</v>
      </c>
      <c r="AL7" s="33" t="s">
        <v>398</v>
      </c>
      <c r="AM7" s="33" t="s">
        <v>398</v>
      </c>
      <c r="AN7" s="33" t="s">
        <v>398</v>
      </c>
      <c r="AO7" s="33" t="s">
        <v>398</v>
      </c>
      <c r="AP7" s="33" t="s">
        <v>398</v>
      </c>
      <c r="AQ7" s="33" t="s">
        <v>398</v>
      </c>
      <c r="AR7" s="33" t="s">
        <v>398</v>
      </c>
      <c r="AS7" s="158" t="s">
        <v>398</v>
      </c>
      <c r="AT7" s="159" t="s">
        <v>398</v>
      </c>
      <c r="AU7" s="159" t="s">
        <v>398</v>
      </c>
      <c r="AV7" s="159" t="s">
        <v>398</v>
      </c>
      <c r="AW7" s="159" t="s">
        <v>398</v>
      </c>
      <c r="AX7" s="159" t="s">
        <v>398</v>
      </c>
      <c r="AY7" s="159" t="s">
        <v>398</v>
      </c>
      <c r="AZ7" s="159" t="s">
        <v>398</v>
      </c>
      <c r="BA7" s="159" t="s">
        <v>398</v>
      </c>
      <c r="BB7" s="33" t="s">
        <v>398</v>
      </c>
      <c r="BC7" s="104" t="s">
        <v>292</v>
      </c>
      <c r="BD7" s="33" t="s">
        <v>398</v>
      </c>
      <c r="BE7" s="33" t="s">
        <v>398</v>
      </c>
      <c r="BF7" s="2" t="s">
        <v>292</v>
      </c>
      <c r="BG7" s="104" t="s">
        <v>292</v>
      </c>
      <c r="BH7" s="2" t="s">
        <v>292</v>
      </c>
      <c r="BI7" s="33" t="s">
        <v>398</v>
      </c>
      <c r="BJ7" s="104" t="s">
        <v>292</v>
      </c>
      <c r="BK7" s="38" t="s">
        <v>292</v>
      </c>
      <c r="BL7" s="38" t="s">
        <v>292</v>
      </c>
      <c r="BM7" s="38" t="s">
        <v>292</v>
      </c>
      <c r="BN7" s="2" t="s">
        <v>292</v>
      </c>
      <c r="BO7" s="2" t="s">
        <v>292</v>
      </c>
      <c r="BP7" s="2" t="s">
        <v>292</v>
      </c>
      <c r="BQ7" s="2" t="s">
        <v>292</v>
      </c>
      <c r="BR7" s="33" t="s">
        <v>398</v>
      </c>
      <c r="BS7" s="104" t="s">
        <v>292</v>
      </c>
      <c r="BT7" s="38" t="s">
        <v>292</v>
      </c>
      <c r="BU7" s="34" t="s">
        <v>398</v>
      </c>
      <c r="BV7" s="2" t="s">
        <v>292</v>
      </c>
      <c r="BW7" s="2" t="s">
        <v>292</v>
      </c>
      <c r="BX7" s="104" t="s">
        <v>292</v>
      </c>
      <c r="BY7" s="38" t="s">
        <v>292</v>
      </c>
      <c r="BZ7" s="38" t="s">
        <v>292</v>
      </c>
      <c r="CA7" s="38" t="s">
        <v>292</v>
      </c>
      <c r="CB7" s="2" t="s">
        <v>292</v>
      </c>
      <c r="CC7" s="2" t="s">
        <v>292</v>
      </c>
      <c r="CD7" s="2" t="s">
        <v>292</v>
      </c>
      <c r="CE7" s="2" t="s">
        <v>292</v>
      </c>
      <c r="CF7" s="33" t="s">
        <v>398</v>
      </c>
      <c r="CG7" s="104" t="s">
        <v>292</v>
      </c>
      <c r="CH7" s="38" t="s">
        <v>292</v>
      </c>
      <c r="CI7" s="33" t="s">
        <v>398</v>
      </c>
      <c r="CJ7" s="2" t="s">
        <v>292</v>
      </c>
      <c r="CK7" s="2" t="s">
        <v>292</v>
      </c>
      <c r="CL7" s="104" t="s">
        <v>292</v>
      </c>
      <c r="CM7" s="38" t="s">
        <v>292</v>
      </c>
      <c r="CN7" s="38" t="s">
        <v>292</v>
      </c>
      <c r="CO7" s="38" t="s">
        <v>292</v>
      </c>
      <c r="CP7" s="2" t="s">
        <v>292</v>
      </c>
      <c r="CQ7" s="2" t="s">
        <v>292</v>
      </c>
      <c r="CR7" s="2" t="s">
        <v>292</v>
      </c>
      <c r="CS7" s="2" t="s">
        <v>292</v>
      </c>
      <c r="CT7" s="33" t="s">
        <v>398</v>
      </c>
      <c r="CU7" s="104" t="s">
        <v>292</v>
      </c>
      <c r="CV7" s="38" t="s">
        <v>292</v>
      </c>
      <c r="CW7" s="2" t="s">
        <v>292</v>
      </c>
      <c r="CX7" s="2" t="s">
        <v>292</v>
      </c>
      <c r="CY7" s="33" t="s">
        <v>398</v>
      </c>
      <c r="CZ7" s="33" t="s">
        <v>398</v>
      </c>
      <c r="DA7" s="104" t="s">
        <v>292</v>
      </c>
      <c r="DB7" s="2" t="s">
        <v>292</v>
      </c>
      <c r="DC7" s="33" t="s">
        <v>398</v>
      </c>
      <c r="DD7" s="104" t="s">
        <v>292</v>
      </c>
      <c r="DE7" s="2" t="s">
        <v>292</v>
      </c>
      <c r="DF7" s="33" t="s">
        <v>398</v>
      </c>
      <c r="DG7" s="104" t="s">
        <v>292</v>
      </c>
      <c r="DH7" s="110" t="s">
        <v>398</v>
      </c>
      <c r="DI7" s="33" t="s">
        <v>398</v>
      </c>
      <c r="DJ7" s="33" t="s">
        <v>398</v>
      </c>
      <c r="DK7" s="2" t="s">
        <v>292</v>
      </c>
      <c r="DL7" s="33" t="s">
        <v>398</v>
      </c>
      <c r="DM7" s="36" t="s">
        <v>398</v>
      </c>
      <c r="DN7" s="33" t="s">
        <v>398</v>
      </c>
      <c r="DO7" s="33" t="s">
        <v>398</v>
      </c>
      <c r="DP7" s="33" t="s">
        <v>398</v>
      </c>
      <c r="DQ7" s="33" t="s">
        <v>398</v>
      </c>
      <c r="DR7" s="33" t="s">
        <v>398</v>
      </c>
      <c r="DS7" s="2" t="s">
        <v>292</v>
      </c>
      <c r="DT7" s="2" t="s">
        <v>292</v>
      </c>
      <c r="DU7" s="2" t="s">
        <v>292</v>
      </c>
      <c r="DV7" s="2" t="s">
        <v>292</v>
      </c>
      <c r="DW7" s="104" t="s">
        <v>292</v>
      </c>
      <c r="DX7" s="33" t="s">
        <v>398</v>
      </c>
      <c r="DY7" s="33" t="s">
        <v>398</v>
      </c>
      <c r="DZ7" s="33" t="s">
        <v>398</v>
      </c>
      <c r="EA7" s="2" t="s">
        <v>292</v>
      </c>
      <c r="EB7" s="2" t="s">
        <v>292</v>
      </c>
      <c r="EC7" s="36" t="s">
        <v>398</v>
      </c>
      <c r="ED7" s="2" t="s">
        <v>292</v>
      </c>
      <c r="EE7" s="2" t="s">
        <v>292</v>
      </c>
      <c r="EF7" s="104" t="s">
        <v>292</v>
      </c>
      <c r="EG7" s="38" t="s">
        <v>292</v>
      </c>
      <c r="EH7" s="38" t="s">
        <v>292</v>
      </c>
      <c r="EI7" s="38" t="s">
        <v>292</v>
      </c>
      <c r="EJ7" s="2" t="s">
        <v>292</v>
      </c>
      <c r="EK7" s="2" t="s">
        <v>292</v>
      </c>
      <c r="EL7" s="2" t="s">
        <v>292</v>
      </c>
      <c r="EM7" s="2" t="s">
        <v>292</v>
      </c>
      <c r="EN7" s="33" t="s">
        <v>398</v>
      </c>
      <c r="EO7" s="33" t="s">
        <v>398</v>
      </c>
      <c r="EP7" s="33" t="s">
        <v>398</v>
      </c>
      <c r="EQ7" s="33" t="s">
        <v>398</v>
      </c>
      <c r="ER7" s="36" t="s">
        <v>398</v>
      </c>
      <c r="ES7" s="2" t="s">
        <v>292</v>
      </c>
      <c r="ET7" s="104" t="s">
        <v>292</v>
      </c>
      <c r="EU7" s="38" t="s">
        <v>292</v>
      </c>
      <c r="EV7" s="2" t="s">
        <v>292</v>
      </c>
      <c r="EW7" s="2" t="s">
        <v>292</v>
      </c>
      <c r="EX7" s="33" t="s">
        <v>398</v>
      </c>
      <c r="EY7" s="33" t="s">
        <v>398</v>
      </c>
      <c r="EZ7" s="104" t="s">
        <v>292</v>
      </c>
      <c r="FA7" s="2" t="s">
        <v>292</v>
      </c>
      <c r="FB7" s="33" t="s">
        <v>398</v>
      </c>
      <c r="FC7" s="104" t="s">
        <v>292</v>
      </c>
      <c r="FD7" s="38" t="s">
        <v>292</v>
      </c>
      <c r="FE7" s="2" t="s">
        <v>292</v>
      </c>
      <c r="FF7" s="2" t="s">
        <v>292</v>
      </c>
      <c r="FG7" s="34" t="s">
        <v>398</v>
      </c>
      <c r="FH7" s="34" t="s">
        <v>398</v>
      </c>
    </row>
    <row r="8" spans="1:164" ht="0" hidden="1" customHeight="1" x14ac:dyDescent="0.2">
      <c r="C8" s="1"/>
      <c r="D8" s="1"/>
      <c r="M8" s="66" t="s">
        <v>409</v>
      </c>
      <c r="P8" s="63" t="s">
        <v>752</v>
      </c>
      <c r="T8" s="66" t="s">
        <v>753</v>
      </c>
      <c r="U8" s="63" t="s">
        <v>147</v>
      </c>
      <c r="AA8" s="63" t="s">
        <v>754</v>
      </c>
      <c r="AE8" s="63" t="s">
        <v>755</v>
      </c>
      <c r="AG8" s="63" t="s">
        <v>756</v>
      </c>
      <c r="AI8" s="63" t="s">
        <v>757</v>
      </c>
      <c r="AS8" s="163" t="s">
        <v>758</v>
      </c>
      <c r="AT8" s="164" t="s">
        <v>759</v>
      </c>
      <c r="AU8" s="164" t="s">
        <v>760</v>
      </c>
      <c r="AV8" s="164" t="s">
        <v>761</v>
      </c>
      <c r="AW8" s="164" t="s">
        <v>762</v>
      </c>
      <c r="AX8" s="164" t="s">
        <v>763</v>
      </c>
      <c r="AY8" s="164" t="s">
        <v>764</v>
      </c>
      <c r="AZ8" s="164" t="s">
        <v>765</v>
      </c>
      <c r="BA8" s="164" t="s">
        <v>766</v>
      </c>
      <c r="BF8" s="63" t="s">
        <v>767</v>
      </c>
      <c r="BH8" s="63" t="s">
        <v>768</v>
      </c>
      <c r="BN8" s="63" t="s">
        <v>758</v>
      </c>
      <c r="BO8" s="63" t="s">
        <v>758</v>
      </c>
      <c r="BP8" s="63" t="s">
        <v>758</v>
      </c>
      <c r="BU8" s="34"/>
      <c r="BV8" s="63" t="s">
        <v>769</v>
      </c>
      <c r="BW8" s="63" t="s">
        <v>769</v>
      </c>
      <c r="CB8" s="63" t="s">
        <v>760</v>
      </c>
      <c r="CC8" s="63" t="s">
        <v>760</v>
      </c>
      <c r="CD8" s="64" t="s">
        <v>760</v>
      </c>
      <c r="CF8" s="33"/>
      <c r="CI8" s="33"/>
      <c r="CJ8" s="63" t="s">
        <v>770</v>
      </c>
      <c r="CK8" s="63" t="s">
        <v>770</v>
      </c>
      <c r="CP8" s="63" t="s">
        <v>761</v>
      </c>
      <c r="CQ8" s="63" t="s">
        <v>761</v>
      </c>
      <c r="CR8" s="63" t="s">
        <v>761</v>
      </c>
      <c r="CS8" s="2"/>
      <c r="CT8" s="33"/>
      <c r="CW8" s="63" t="s">
        <v>771</v>
      </c>
      <c r="CX8" s="63" t="s">
        <v>772</v>
      </c>
      <c r="DB8" s="63" t="s">
        <v>773</v>
      </c>
      <c r="DE8" s="63" t="s">
        <v>521</v>
      </c>
      <c r="DK8" s="63" t="s">
        <v>774</v>
      </c>
      <c r="DS8" s="63" t="s">
        <v>775</v>
      </c>
      <c r="DT8" s="63" t="s">
        <v>775</v>
      </c>
      <c r="DU8" s="63" t="s">
        <v>775</v>
      </c>
      <c r="DV8" s="63" t="s">
        <v>775</v>
      </c>
      <c r="EA8" s="63" t="s">
        <v>776</v>
      </c>
      <c r="EB8" s="63" t="s">
        <v>776</v>
      </c>
      <c r="ED8" s="63" t="s">
        <v>777</v>
      </c>
      <c r="EE8" s="63" t="s">
        <v>777</v>
      </c>
      <c r="EJ8" s="63" t="s">
        <v>778</v>
      </c>
      <c r="EK8" s="63" t="s">
        <v>779</v>
      </c>
      <c r="EL8" s="63" t="s">
        <v>780</v>
      </c>
      <c r="EM8" s="63" t="s">
        <v>780</v>
      </c>
      <c r="ES8" s="63" t="s">
        <v>781</v>
      </c>
      <c r="EV8" s="63" t="s">
        <v>782</v>
      </c>
      <c r="EW8" s="63" t="s">
        <v>783</v>
      </c>
      <c r="FA8" s="63" t="s">
        <v>784</v>
      </c>
      <c r="FE8" s="63" t="s">
        <v>785</v>
      </c>
      <c r="FF8" s="63" t="s">
        <v>785</v>
      </c>
    </row>
    <row r="9" spans="1:164" ht="0" hidden="1" customHeight="1" x14ac:dyDescent="0.2">
      <c r="C9" s="1"/>
      <c r="D9" s="1"/>
      <c r="M9" s="66"/>
      <c r="P9" s="63"/>
      <c r="T9" s="66"/>
      <c r="U9" s="63"/>
      <c r="AA9" s="63"/>
      <c r="AE9" s="63"/>
      <c r="AG9" s="63"/>
      <c r="AI9" s="63"/>
      <c r="AS9" s="163"/>
      <c r="AT9" s="164"/>
      <c r="AU9" s="164"/>
      <c r="AV9" s="164"/>
      <c r="AW9" s="164"/>
      <c r="AX9" s="164"/>
      <c r="AY9" s="164"/>
      <c r="AZ9" s="164"/>
      <c r="BA9" s="164"/>
      <c r="BF9" s="63"/>
      <c r="BH9" s="63"/>
      <c r="BN9" s="63"/>
      <c r="BO9" s="63"/>
      <c r="BP9" s="63"/>
      <c r="BU9" s="34"/>
      <c r="BV9" s="63"/>
      <c r="BW9" s="63"/>
      <c r="CB9" s="63"/>
      <c r="CC9" s="63"/>
      <c r="CD9" s="64"/>
      <c r="CF9" s="33"/>
      <c r="CI9" s="33"/>
      <c r="CJ9" s="63"/>
      <c r="CK9" s="63"/>
      <c r="CP9" s="63"/>
      <c r="CQ9" s="63"/>
      <c r="CR9" s="63"/>
      <c r="CS9" s="2"/>
      <c r="CT9" s="33"/>
      <c r="CW9" s="63"/>
      <c r="CX9" s="63"/>
      <c r="DB9" s="63"/>
      <c r="DE9" s="63"/>
      <c r="DK9" s="63"/>
      <c r="DS9" s="63"/>
      <c r="DT9" s="63"/>
      <c r="DU9" s="63"/>
      <c r="DV9" s="63"/>
      <c r="EA9" s="63"/>
      <c r="EB9" s="63"/>
      <c r="ED9" s="63"/>
      <c r="EE9" s="63"/>
      <c r="EJ9" s="63"/>
      <c r="EK9" s="63"/>
      <c r="EL9" s="63"/>
      <c r="EM9" s="63"/>
      <c r="ES9" s="63"/>
      <c r="EV9" s="63"/>
      <c r="EW9" s="63"/>
      <c r="FA9" s="63"/>
      <c r="FE9" s="63"/>
      <c r="FF9" s="63"/>
    </row>
    <row r="10" spans="1:164" ht="0" hidden="1" customHeight="1" x14ac:dyDescent="0.2">
      <c r="C10" s="1"/>
      <c r="D10" s="1"/>
      <c r="M10" s="66" t="s">
        <v>422</v>
      </c>
      <c r="P10" s="63" t="s">
        <v>786</v>
      </c>
      <c r="T10" s="66" t="s">
        <v>786</v>
      </c>
      <c r="U10" s="63" t="s">
        <v>422</v>
      </c>
      <c r="AA10" s="63" t="s">
        <v>786</v>
      </c>
      <c r="AE10" s="63" t="s">
        <v>786</v>
      </c>
      <c r="AG10" s="63" t="s">
        <v>786</v>
      </c>
      <c r="AI10" s="63" t="s">
        <v>787</v>
      </c>
      <c r="AS10" s="163" t="s">
        <v>788</v>
      </c>
      <c r="AT10" s="164" t="s">
        <v>422</v>
      </c>
      <c r="AU10" s="164" t="s">
        <v>788</v>
      </c>
      <c r="AV10" s="164" t="s">
        <v>422</v>
      </c>
      <c r="AW10" s="164" t="s">
        <v>788</v>
      </c>
      <c r="AX10" s="164" t="s">
        <v>422</v>
      </c>
      <c r="AY10" s="164" t="s">
        <v>422</v>
      </c>
      <c r="AZ10" s="164" t="s">
        <v>422</v>
      </c>
      <c r="BA10" s="164" t="s">
        <v>422</v>
      </c>
      <c r="BF10" s="63" t="s">
        <v>786</v>
      </c>
      <c r="BH10" s="63"/>
      <c r="BN10" s="63" t="s">
        <v>789</v>
      </c>
      <c r="BO10" s="63" t="s">
        <v>788</v>
      </c>
      <c r="BP10" s="63" t="s">
        <v>790</v>
      </c>
      <c r="BU10" s="34"/>
      <c r="BV10" s="63" t="s">
        <v>791</v>
      </c>
      <c r="BW10" s="63" t="s">
        <v>792</v>
      </c>
      <c r="CB10" s="63" t="s">
        <v>789</v>
      </c>
      <c r="CC10" s="63" t="s">
        <v>788</v>
      </c>
      <c r="CD10" s="64" t="s">
        <v>790</v>
      </c>
      <c r="CF10" s="33"/>
      <c r="CI10" s="33"/>
      <c r="CJ10" s="63" t="s">
        <v>791</v>
      </c>
      <c r="CK10" s="63" t="s">
        <v>792</v>
      </c>
      <c r="CP10" s="63" t="s">
        <v>793</v>
      </c>
      <c r="CQ10" s="63" t="s">
        <v>422</v>
      </c>
      <c r="CR10" s="63" t="s">
        <v>541</v>
      </c>
      <c r="CS10" s="2"/>
      <c r="CT10" s="33"/>
      <c r="CW10" s="63"/>
      <c r="CX10" s="63"/>
      <c r="DB10" s="63"/>
      <c r="DE10" s="63"/>
      <c r="DK10" s="63" t="s">
        <v>422</v>
      </c>
      <c r="DS10" s="63" t="s">
        <v>794</v>
      </c>
      <c r="DT10" s="63" t="s">
        <v>795</v>
      </c>
      <c r="DU10" s="63" t="s">
        <v>796</v>
      </c>
      <c r="DV10" s="63" t="s">
        <v>797</v>
      </c>
      <c r="EA10" s="63" t="s">
        <v>791</v>
      </c>
      <c r="EB10" s="63" t="s">
        <v>792</v>
      </c>
      <c r="ED10" s="63" t="s">
        <v>791</v>
      </c>
      <c r="EE10" s="63" t="s">
        <v>792</v>
      </c>
      <c r="EJ10" s="63"/>
      <c r="EK10" s="63"/>
      <c r="EL10" s="63" t="s">
        <v>798</v>
      </c>
      <c r="EM10" s="63" t="s">
        <v>799</v>
      </c>
      <c r="ES10" s="63"/>
      <c r="EV10" s="63" t="s">
        <v>800</v>
      </c>
      <c r="EW10" s="63" t="s">
        <v>801</v>
      </c>
      <c r="FA10" s="63"/>
      <c r="FE10" s="63" t="s">
        <v>802</v>
      </c>
      <c r="FF10" s="63" t="s">
        <v>803</v>
      </c>
    </row>
    <row r="11" spans="1:164" ht="0" hidden="1" customHeight="1" x14ac:dyDescent="0.2">
      <c r="C11" s="1"/>
      <c r="D11" s="1"/>
      <c r="E11" s="104" t="s">
        <v>425</v>
      </c>
      <c r="F11" s="38" t="s">
        <v>425</v>
      </c>
      <c r="G11" s="38" t="s">
        <v>425</v>
      </c>
      <c r="H11" s="38" t="s">
        <v>425</v>
      </c>
      <c r="I11" s="38" t="s">
        <v>425</v>
      </c>
      <c r="J11" s="38" t="s">
        <v>425</v>
      </c>
      <c r="K11" s="38" t="s">
        <v>425</v>
      </c>
      <c r="L11" s="33" t="s">
        <v>425</v>
      </c>
      <c r="M11" s="107" t="s">
        <v>425</v>
      </c>
      <c r="N11" s="2" t="s">
        <v>425</v>
      </c>
      <c r="O11" s="2" t="s">
        <v>425</v>
      </c>
      <c r="P11" s="2" t="s">
        <v>425</v>
      </c>
      <c r="Q11" s="33" t="s">
        <v>425</v>
      </c>
      <c r="R11" s="38" t="s">
        <v>425</v>
      </c>
      <c r="S11" s="33" t="s">
        <v>425</v>
      </c>
      <c r="T11" s="107" t="s">
        <v>425</v>
      </c>
      <c r="U11" s="2" t="s">
        <v>425</v>
      </c>
      <c r="V11" s="33" t="s">
        <v>425</v>
      </c>
      <c r="W11" s="36" t="s">
        <v>425</v>
      </c>
      <c r="X11" s="33" t="s">
        <v>425</v>
      </c>
      <c r="Y11" s="38" t="s">
        <v>425</v>
      </c>
      <c r="Z11" s="33" t="s">
        <v>425</v>
      </c>
      <c r="AA11" s="2" t="s">
        <v>425</v>
      </c>
      <c r="AB11" s="36" t="s">
        <v>425</v>
      </c>
      <c r="AC11" s="38" t="s">
        <v>425</v>
      </c>
      <c r="AD11" s="33" t="s">
        <v>425</v>
      </c>
      <c r="AE11" s="2" t="s">
        <v>425</v>
      </c>
      <c r="AF11" s="36" t="s">
        <v>425</v>
      </c>
      <c r="AG11" s="2" t="s">
        <v>425</v>
      </c>
      <c r="AH11" s="36" t="s">
        <v>425</v>
      </c>
      <c r="AI11" s="2" t="s">
        <v>425</v>
      </c>
      <c r="AJ11" s="36" t="s">
        <v>804</v>
      </c>
      <c r="AK11" s="33" t="s">
        <v>804</v>
      </c>
      <c r="AL11" s="33" t="s">
        <v>424</v>
      </c>
      <c r="AM11" s="33" t="s">
        <v>805</v>
      </c>
      <c r="AN11" s="33" t="s">
        <v>424</v>
      </c>
      <c r="AO11" s="33" t="s">
        <v>424</v>
      </c>
      <c r="AP11" s="33" t="s">
        <v>424</v>
      </c>
      <c r="AQ11" s="33" t="s">
        <v>424</v>
      </c>
      <c r="AR11" s="33" t="s">
        <v>424</v>
      </c>
      <c r="AS11" s="158" t="s">
        <v>804</v>
      </c>
      <c r="AT11" s="159" t="s">
        <v>804</v>
      </c>
      <c r="AU11" s="159" t="s">
        <v>424</v>
      </c>
      <c r="AV11" s="159" t="s">
        <v>805</v>
      </c>
      <c r="AW11" s="159" t="s">
        <v>424</v>
      </c>
      <c r="AX11" s="159" t="s">
        <v>424</v>
      </c>
      <c r="AY11" s="159" t="s">
        <v>424</v>
      </c>
      <c r="AZ11" s="159" t="s">
        <v>424</v>
      </c>
      <c r="BA11" s="159" t="s">
        <v>424</v>
      </c>
      <c r="BB11" s="33" t="s">
        <v>424</v>
      </c>
      <c r="BC11" s="104" t="s">
        <v>805</v>
      </c>
      <c r="BD11" s="33" t="s">
        <v>805</v>
      </c>
      <c r="BE11" s="33" t="s">
        <v>805</v>
      </c>
      <c r="BF11" s="2" t="s">
        <v>805</v>
      </c>
      <c r="BG11" s="104" t="s">
        <v>804</v>
      </c>
      <c r="BH11" s="2" t="s">
        <v>804</v>
      </c>
      <c r="BI11" s="33" t="s">
        <v>804</v>
      </c>
      <c r="BJ11" s="104" t="s">
        <v>804</v>
      </c>
      <c r="BK11" s="38" t="s">
        <v>804</v>
      </c>
      <c r="BL11" s="38" t="s">
        <v>804</v>
      </c>
      <c r="BM11" s="38" t="s">
        <v>804</v>
      </c>
      <c r="BN11" s="2" t="s">
        <v>804</v>
      </c>
      <c r="BO11" s="2" t="s">
        <v>804</v>
      </c>
      <c r="BP11" s="2" t="s">
        <v>804</v>
      </c>
      <c r="BQ11" s="2" t="s">
        <v>424</v>
      </c>
      <c r="BR11" s="38" t="s">
        <v>804</v>
      </c>
      <c r="BS11" s="104" t="s">
        <v>804</v>
      </c>
      <c r="BT11" s="38" t="s">
        <v>804</v>
      </c>
      <c r="BU11" s="34" t="s">
        <v>804</v>
      </c>
      <c r="BV11" s="2" t="s">
        <v>804</v>
      </c>
      <c r="BW11" s="2" t="s">
        <v>804</v>
      </c>
      <c r="BX11" s="104" t="s">
        <v>424</v>
      </c>
      <c r="BY11" s="38" t="s">
        <v>424</v>
      </c>
      <c r="BZ11" s="38" t="s">
        <v>424</v>
      </c>
      <c r="CA11" s="38" t="s">
        <v>424</v>
      </c>
      <c r="CB11" s="2" t="s">
        <v>424</v>
      </c>
      <c r="CC11" s="2" t="s">
        <v>424</v>
      </c>
      <c r="CD11" s="2" t="s">
        <v>424</v>
      </c>
      <c r="CE11" s="2" t="s">
        <v>424</v>
      </c>
      <c r="CF11" s="33" t="s">
        <v>424</v>
      </c>
      <c r="CG11" s="104" t="s">
        <v>424</v>
      </c>
      <c r="CH11" s="38" t="s">
        <v>424</v>
      </c>
      <c r="CI11" s="33" t="s">
        <v>424</v>
      </c>
      <c r="CJ11" s="2" t="s">
        <v>424</v>
      </c>
      <c r="CK11" s="2" t="s">
        <v>424</v>
      </c>
      <c r="CL11" s="104" t="s">
        <v>805</v>
      </c>
      <c r="CM11" s="38" t="s">
        <v>805</v>
      </c>
      <c r="CN11" s="38" t="s">
        <v>805</v>
      </c>
      <c r="CO11" s="38" t="s">
        <v>805</v>
      </c>
      <c r="CP11" s="2" t="s">
        <v>805</v>
      </c>
      <c r="CQ11" s="2" t="s">
        <v>805</v>
      </c>
      <c r="CR11" s="2" t="s">
        <v>805</v>
      </c>
      <c r="CS11" s="2" t="s">
        <v>805</v>
      </c>
      <c r="CT11" s="33" t="s">
        <v>424</v>
      </c>
      <c r="CU11" s="104" t="s">
        <v>805</v>
      </c>
      <c r="CV11" s="38" t="s">
        <v>805</v>
      </c>
      <c r="CW11" s="2" t="s">
        <v>805</v>
      </c>
      <c r="CX11" s="2" t="s">
        <v>805</v>
      </c>
      <c r="CY11" s="33" t="s">
        <v>805</v>
      </c>
      <c r="CZ11" s="33" t="s">
        <v>805</v>
      </c>
      <c r="DA11" s="104" t="s">
        <v>804</v>
      </c>
      <c r="DB11" s="2" t="s">
        <v>804</v>
      </c>
      <c r="DC11" s="33" t="s">
        <v>804</v>
      </c>
      <c r="DG11" s="104" t="s">
        <v>806</v>
      </c>
      <c r="DH11" s="110" t="s">
        <v>806</v>
      </c>
      <c r="DI11" s="33" t="s">
        <v>806</v>
      </c>
      <c r="DJ11" s="33" t="s">
        <v>806</v>
      </c>
      <c r="DK11" s="2" t="s">
        <v>806</v>
      </c>
      <c r="DL11" s="33" t="s">
        <v>806</v>
      </c>
      <c r="DM11" s="36" t="s">
        <v>807</v>
      </c>
      <c r="DN11" s="33" t="s">
        <v>807</v>
      </c>
      <c r="DO11" s="33" t="s">
        <v>807</v>
      </c>
      <c r="DP11" s="33" t="s">
        <v>807</v>
      </c>
      <c r="DQ11" s="33" t="s">
        <v>807</v>
      </c>
      <c r="DR11" s="33" t="s">
        <v>807</v>
      </c>
      <c r="DS11" s="2" t="s">
        <v>807</v>
      </c>
      <c r="DT11" s="2" t="s">
        <v>807</v>
      </c>
      <c r="DU11" s="2" t="s">
        <v>807</v>
      </c>
      <c r="DV11" s="2" t="s">
        <v>807</v>
      </c>
      <c r="DW11" s="104" t="s">
        <v>807</v>
      </c>
      <c r="DX11" s="33" t="s">
        <v>807</v>
      </c>
      <c r="DY11" s="33" t="s">
        <v>807</v>
      </c>
      <c r="DZ11" s="33" t="s">
        <v>807</v>
      </c>
      <c r="EA11" s="2" t="s">
        <v>807</v>
      </c>
      <c r="EB11" s="2" t="s">
        <v>807</v>
      </c>
      <c r="EC11" s="36" t="s">
        <v>807</v>
      </c>
      <c r="ED11" s="2" t="s">
        <v>807</v>
      </c>
      <c r="EE11" s="2" t="s">
        <v>807</v>
      </c>
      <c r="EF11" s="104" t="s">
        <v>808</v>
      </c>
      <c r="EG11" s="38" t="s">
        <v>809</v>
      </c>
      <c r="EH11" s="38" t="s">
        <v>810</v>
      </c>
      <c r="EI11" s="38" t="s">
        <v>810</v>
      </c>
      <c r="EJ11" s="2" t="s">
        <v>808</v>
      </c>
      <c r="EK11" s="2" t="s">
        <v>809</v>
      </c>
      <c r="EL11" s="2" t="s">
        <v>810</v>
      </c>
      <c r="EM11" s="2" t="s">
        <v>810</v>
      </c>
      <c r="EN11" s="33" t="s">
        <v>810</v>
      </c>
      <c r="EO11" s="33" t="s">
        <v>810</v>
      </c>
      <c r="EP11" s="33" t="s">
        <v>810</v>
      </c>
      <c r="EQ11" s="33" t="s">
        <v>810</v>
      </c>
      <c r="ER11" s="36" t="s">
        <v>811</v>
      </c>
      <c r="ES11" s="2" t="s">
        <v>811</v>
      </c>
      <c r="ET11" s="104" t="s">
        <v>812</v>
      </c>
      <c r="EU11" s="38" t="s">
        <v>812</v>
      </c>
      <c r="EV11" s="2" t="s">
        <v>812</v>
      </c>
      <c r="EW11" s="2" t="s">
        <v>812</v>
      </c>
      <c r="EX11" s="33" t="s">
        <v>812</v>
      </c>
      <c r="EY11" s="33" t="s">
        <v>812</v>
      </c>
    </row>
    <row r="12" spans="1:164" ht="0" hidden="1" customHeight="1" x14ac:dyDescent="0.2">
      <c r="C12" s="1"/>
      <c r="D12" s="1"/>
      <c r="E12" s="104" t="s">
        <v>427</v>
      </c>
      <c r="F12" s="38" t="s">
        <v>427</v>
      </c>
      <c r="G12" s="38" t="s">
        <v>427</v>
      </c>
      <c r="H12" s="38" t="s">
        <v>427</v>
      </c>
      <c r="I12" s="38" t="s">
        <v>427</v>
      </c>
      <c r="J12" s="38" t="s">
        <v>427</v>
      </c>
      <c r="K12" s="38" t="s">
        <v>427</v>
      </c>
      <c r="L12" s="33" t="s">
        <v>427</v>
      </c>
      <c r="M12" s="107" t="s">
        <v>427</v>
      </c>
      <c r="N12" s="2" t="s">
        <v>427</v>
      </c>
      <c r="O12" s="2" t="s">
        <v>427</v>
      </c>
      <c r="P12" s="2" t="s">
        <v>427</v>
      </c>
      <c r="Q12" s="33" t="s">
        <v>427</v>
      </c>
      <c r="R12" s="38" t="s">
        <v>427</v>
      </c>
      <c r="S12" s="33" t="s">
        <v>427</v>
      </c>
      <c r="T12" s="107" t="s">
        <v>427</v>
      </c>
      <c r="U12" s="2" t="s">
        <v>427</v>
      </c>
      <c r="V12" s="33" t="s">
        <v>427</v>
      </c>
      <c r="W12" s="36" t="s">
        <v>427</v>
      </c>
      <c r="X12" s="33" t="s">
        <v>427</v>
      </c>
      <c r="Y12" s="38" t="s">
        <v>427</v>
      </c>
      <c r="Z12" s="33" t="s">
        <v>427</v>
      </c>
      <c r="AA12" s="2" t="s">
        <v>427</v>
      </c>
      <c r="AB12" s="36" t="s">
        <v>427</v>
      </c>
      <c r="AC12" s="38" t="s">
        <v>427</v>
      </c>
      <c r="AD12" s="33" t="s">
        <v>427</v>
      </c>
      <c r="AE12" s="2" t="s">
        <v>427</v>
      </c>
      <c r="AF12" s="36" t="s">
        <v>427</v>
      </c>
      <c r="AG12" s="2" t="s">
        <v>427</v>
      </c>
      <c r="AH12" s="36" t="s">
        <v>427</v>
      </c>
      <c r="AI12" s="2" t="s">
        <v>427</v>
      </c>
      <c r="AJ12" s="36" t="s">
        <v>813</v>
      </c>
      <c r="AK12" s="33" t="s">
        <v>813</v>
      </c>
      <c r="AL12" s="33" t="s">
        <v>427</v>
      </c>
      <c r="AM12" s="33" t="s">
        <v>814</v>
      </c>
      <c r="AN12" s="33" t="s">
        <v>427</v>
      </c>
      <c r="AO12" s="33" t="s">
        <v>427</v>
      </c>
      <c r="AP12" s="33" t="s">
        <v>427</v>
      </c>
      <c r="AQ12" s="33" t="s">
        <v>427</v>
      </c>
      <c r="AR12" s="33" t="s">
        <v>427</v>
      </c>
      <c r="AS12" s="158" t="s">
        <v>813</v>
      </c>
      <c r="AT12" s="159" t="s">
        <v>813</v>
      </c>
      <c r="AU12" s="159" t="s">
        <v>427</v>
      </c>
      <c r="AV12" s="159" t="s">
        <v>814</v>
      </c>
      <c r="AW12" s="159" t="s">
        <v>427</v>
      </c>
      <c r="AX12" s="159" t="s">
        <v>427</v>
      </c>
      <c r="AY12" s="159" t="s">
        <v>427</v>
      </c>
      <c r="AZ12" s="159" t="s">
        <v>427</v>
      </c>
      <c r="BA12" s="159" t="s">
        <v>427</v>
      </c>
      <c r="BB12" s="33" t="s">
        <v>427</v>
      </c>
      <c r="BC12" s="104" t="s">
        <v>427</v>
      </c>
      <c r="BD12" s="33" t="s">
        <v>427</v>
      </c>
      <c r="BE12" s="33" t="s">
        <v>427</v>
      </c>
      <c r="BF12" s="2" t="s">
        <v>427</v>
      </c>
      <c r="BG12" s="104" t="s">
        <v>427</v>
      </c>
      <c r="BH12" s="2" t="s">
        <v>427</v>
      </c>
      <c r="BI12" s="33" t="s">
        <v>427</v>
      </c>
      <c r="BJ12" s="104" t="s">
        <v>813</v>
      </c>
      <c r="BK12" s="38" t="s">
        <v>813</v>
      </c>
      <c r="BL12" s="38" t="s">
        <v>813</v>
      </c>
      <c r="BM12" s="38" t="s">
        <v>813</v>
      </c>
      <c r="BN12" s="2" t="s">
        <v>813</v>
      </c>
      <c r="BO12" s="2" t="s">
        <v>813</v>
      </c>
      <c r="BP12" s="2" t="s">
        <v>813</v>
      </c>
      <c r="BQ12" s="2" t="s">
        <v>813</v>
      </c>
      <c r="BR12" s="38" t="s">
        <v>813</v>
      </c>
      <c r="BS12" s="104" t="s">
        <v>813</v>
      </c>
      <c r="BT12" s="38" t="s">
        <v>813</v>
      </c>
      <c r="BU12" s="34" t="s">
        <v>813</v>
      </c>
      <c r="BV12" s="2" t="s">
        <v>813</v>
      </c>
      <c r="BW12" s="2" t="s">
        <v>813</v>
      </c>
      <c r="BX12" s="104" t="s">
        <v>427</v>
      </c>
      <c r="BY12" s="38" t="s">
        <v>427</v>
      </c>
      <c r="BZ12" s="38" t="s">
        <v>427</v>
      </c>
      <c r="CA12" s="38" t="s">
        <v>427</v>
      </c>
      <c r="CB12" s="2" t="s">
        <v>427</v>
      </c>
      <c r="CC12" s="2" t="s">
        <v>427</v>
      </c>
      <c r="CD12" s="2" t="s">
        <v>427</v>
      </c>
      <c r="CE12" s="2" t="s">
        <v>427</v>
      </c>
      <c r="CF12" s="33" t="s">
        <v>427</v>
      </c>
      <c r="CG12" s="104" t="s">
        <v>427</v>
      </c>
      <c r="CH12" s="38" t="s">
        <v>427</v>
      </c>
      <c r="CI12" s="33" t="s">
        <v>427</v>
      </c>
      <c r="CJ12" s="2" t="s">
        <v>427</v>
      </c>
      <c r="CK12" s="2" t="s">
        <v>427</v>
      </c>
      <c r="CL12" s="104" t="s">
        <v>814</v>
      </c>
      <c r="CM12" s="38" t="s">
        <v>814</v>
      </c>
      <c r="CN12" s="38" t="s">
        <v>814</v>
      </c>
      <c r="CO12" s="38" t="s">
        <v>814</v>
      </c>
      <c r="CP12" s="2" t="s">
        <v>814</v>
      </c>
      <c r="CQ12" s="2" t="s">
        <v>814</v>
      </c>
      <c r="CR12" s="2" t="s">
        <v>814</v>
      </c>
      <c r="CS12" s="2" t="s">
        <v>814</v>
      </c>
      <c r="CT12" s="33" t="s">
        <v>427</v>
      </c>
      <c r="CU12" s="104" t="s">
        <v>427</v>
      </c>
      <c r="CV12" s="38" t="s">
        <v>427</v>
      </c>
      <c r="CW12" s="2" t="s">
        <v>427</v>
      </c>
      <c r="CX12" s="2" t="s">
        <v>427</v>
      </c>
      <c r="CY12" s="33" t="s">
        <v>427</v>
      </c>
      <c r="CZ12" s="33" t="s">
        <v>427</v>
      </c>
      <c r="DA12" s="104" t="s">
        <v>427</v>
      </c>
      <c r="DB12" s="2" t="s">
        <v>427</v>
      </c>
      <c r="DC12" s="33" t="s">
        <v>427</v>
      </c>
      <c r="DG12" s="104" t="s">
        <v>813</v>
      </c>
      <c r="DH12" s="110" t="s">
        <v>813</v>
      </c>
      <c r="DI12" s="33" t="s">
        <v>813</v>
      </c>
      <c r="DJ12" s="33" t="s">
        <v>813</v>
      </c>
      <c r="DK12" s="2" t="s">
        <v>813</v>
      </c>
      <c r="DL12" s="33" t="s">
        <v>813</v>
      </c>
      <c r="DM12" s="36" t="s">
        <v>427</v>
      </c>
      <c r="DN12" s="33" t="s">
        <v>427</v>
      </c>
      <c r="DO12" s="33" t="s">
        <v>427</v>
      </c>
      <c r="DP12" s="33" t="s">
        <v>427</v>
      </c>
      <c r="DQ12" s="33" t="s">
        <v>427</v>
      </c>
      <c r="DR12" s="33" t="s">
        <v>427</v>
      </c>
      <c r="DS12" s="2" t="s">
        <v>427</v>
      </c>
      <c r="DT12" s="2" t="s">
        <v>427</v>
      </c>
      <c r="DU12" s="2" t="s">
        <v>427</v>
      </c>
      <c r="DV12" s="2" t="s">
        <v>427</v>
      </c>
      <c r="DW12" s="104" t="s">
        <v>427</v>
      </c>
      <c r="DX12" s="33" t="s">
        <v>427</v>
      </c>
      <c r="DY12" s="33" t="s">
        <v>427</v>
      </c>
      <c r="DZ12" s="33" t="s">
        <v>427</v>
      </c>
      <c r="EA12" s="2" t="s">
        <v>427</v>
      </c>
      <c r="EB12" s="2" t="s">
        <v>427</v>
      </c>
      <c r="EC12" s="36" t="s">
        <v>427</v>
      </c>
      <c r="ED12" s="2" t="s">
        <v>427</v>
      </c>
      <c r="EE12" s="2" t="s">
        <v>427</v>
      </c>
      <c r="EF12" s="104" t="s">
        <v>813</v>
      </c>
      <c r="EG12" s="38" t="s">
        <v>427</v>
      </c>
      <c r="EH12" s="38" t="s">
        <v>427</v>
      </c>
      <c r="EI12" s="38" t="s">
        <v>427</v>
      </c>
      <c r="EJ12" s="2" t="s">
        <v>813</v>
      </c>
      <c r="EK12" s="2" t="s">
        <v>427</v>
      </c>
      <c r="EL12" s="2" t="s">
        <v>427</v>
      </c>
      <c r="EM12" s="2" t="s">
        <v>427</v>
      </c>
      <c r="EN12" s="33" t="s">
        <v>427</v>
      </c>
      <c r="EO12" s="33" t="s">
        <v>427</v>
      </c>
      <c r="EP12" s="33" t="s">
        <v>427</v>
      </c>
      <c r="EQ12" s="33" t="s">
        <v>427</v>
      </c>
      <c r="ER12" s="36" t="s">
        <v>427</v>
      </c>
      <c r="ES12" s="2" t="s">
        <v>427</v>
      </c>
      <c r="ET12" s="104" t="s">
        <v>813</v>
      </c>
      <c r="EU12" s="38" t="s">
        <v>813</v>
      </c>
      <c r="EV12" s="2" t="s">
        <v>813</v>
      </c>
      <c r="EW12" s="2" t="s">
        <v>813</v>
      </c>
      <c r="EX12" s="33" t="s">
        <v>813</v>
      </c>
      <c r="EY12" s="33" t="s">
        <v>813</v>
      </c>
      <c r="EZ12" s="104" t="s">
        <v>427</v>
      </c>
      <c r="FA12" s="2" t="s">
        <v>427</v>
      </c>
      <c r="FB12" s="33" t="s">
        <v>427</v>
      </c>
    </row>
    <row r="13" spans="1:164" ht="0" hidden="1" customHeight="1" x14ac:dyDescent="0.2">
      <c r="C13" s="1"/>
      <c r="D13" s="1"/>
      <c r="E13" s="104" t="s">
        <v>542</v>
      </c>
      <c r="F13" s="38" t="s">
        <v>542</v>
      </c>
      <c r="G13" s="38" t="s">
        <v>542</v>
      </c>
      <c r="H13" s="38" t="s">
        <v>542</v>
      </c>
      <c r="I13" s="38" t="s">
        <v>542</v>
      </c>
      <c r="J13" s="38" t="s">
        <v>542</v>
      </c>
      <c r="M13" s="107" t="s">
        <v>542</v>
      </c>
      <c r="N13" s="2" t="s">
        <v>542</v>
      </c>
      <c r="O13" s="2" t="s">
        <v>542</v>
      </c>
      <c r="P13" s="2" t="s">
        <v>542</v>
      </c>
      <c r="Q13" s="33" t="s">
        <v>542</v>
      </c>
      <c r="R13" s="38" t="s">
        <v>542</v>
      </c>
      <c r="S13" s="33" t="s">
        <v>542</v>
      </c>
      <c r="T13" s="107" t="s">
        <v>542</v>
      </c>
      <c r="U13" s="2" t="s">
        <v>542</v>
      </c>
      <c r="V13" s="33" t="s">
        <v>542</v>
      </c>
      <c r="W13" s="36" t="s">
        <v>542</v>
      </c>
      <c r="X13" s="33" t="s">
        <v>542</v>
      </c>
      <c r="Y13" s="38" t="s">
        <v>542</v>
      </c>
      <c r="Z13" s="33" t="s">
        <v>542</v>
      </c>
      <c r="AA13" s="2" t="s">
        <v>542</v>
      </c>
      <c r="AB13" s="36" t="s">
        <v>542</v>
      </c>
      <c r="AC13" s="38" t="s">
        <v>542</v>
      </c>
      <c r="AD13" s="33" t="s">
        <v>542</v>
      </c>
      <c r="AE13" s="2" t="s">
        <v>542</v>
      </c>
      <c r="AF13" s="36" t="s">
        <v>542</v>
      </c>
      <c r="AG13" s="2" t="s">
        <v>542</v>
      </c>
      <c r="AH13" s="36" t="s">
        <v>542</v>
      </c>
      <c r="AI13" s="2" t="s">
        <v>542</v>
      </c>
      <c r="BC13" s="104" t="s">
        <v>542</v>
      </c>
      <c r="BD13" s="33" t="s">
        <v>542</v>
      </c>
      <c r="BE13" s="33" t="s">
        <v>542</v>
      </c>
      <c r="BF13" s="2" t="s">
        <v>542</v>
      </c>
      <c r="BG13" s="104" t="s">
        <v>542</v>
      </c>
      <c r="BH13" s="2" t="s">
        <v>542</v>
      </c>
      <c r="BI13" s="33" t="s">
        <v>542</v>
      </c>
      <c r="CU13" s="104" t="s">
        <v>542</v>
      </c>
      <c r="CV13" s="38" t="s">
        <v>542</v>
      </c>
      <c r="CW13" s="2" t="s">
        <v>542</v>
      </c>
      <c r="CX13" s="2" t="s">
        <v>542</v>
      </c>
      <c r="CY13" s="33" t="s">
        <v>542</v>
      </c>
      <c r="CZ13" s="33" t="s">
        <v>542</v>
      </c>
      <c r="DD13" s="104" t="s">
        <v>542</v>
      </c>
      <c r="DE13" s="2" t="s">
        <v>542</v>
      </c>
      <c r="DF13" s="33" t="s">
        <v>542</v>
      </c>
    </row>
    <row r="14" spans="1:164" x14ac:dyDescent="0.2">
      <c r="A14" s="15" t="s">
        <v>815</v>
      </c>
      <c r="B14" s="15" t="s">
        <v>428</v>
      </c>
      <c r="C14" s="15" t="s">
        <v>429</v>
      </c>
      <c r="D14" s="15" t="s">
        <v>543</v>
      </c>
      <c r="E14" s="55" t="s">
        <v>472</v>
      </c>
      <c r="F14" s="18" t="s">
        <v>462</v>
      </c>
      <c r="G14" s="18" t="s">
        <v>454</v>
      </c>
      <c r="H14" s="18" t="s">
        <v>816</v>
      </c>
      <c r="I14" s="18" t="s">
        <v>817</v>
      </c>
      <c r="J14" s="18" t="s">
        <v>449</v>
      </c>
      <c r="K14" s="18" t="s">
        <v>455</v>
      </c>
      <c r="L14" s="48" t="s">
        <v>456</v>
      </c>
      <c r="M14" s="58" t="s">
        <v>279</v>
      </c>
      <c r="N14" s="49" t="s">
        <v>276</v>
      </c>
      <c r="O14" s="49" t="s">
        <v>278</v>
      </c>
      <c r="P14" s="49" t="s">
        <v>818</v>
      </c>
      <c r="Q14" s="48" t="s">
        <v>819</v>
      </c>
      <c r="R14" s="18" t="s">
        <v>820</v>
      </c>
      <c r="S14" s="48" t="s">
        <v>821</v>
      </c>
      <c r="T14" s="58" t="s">
        <v>822</v>
      </c>
      <c r="U14" s="49" t="s">
        <v>823</v>
      </c>
      <c r="V14" s="48" t="s">
        <v>824</v>
      </c>
      <c r="W14" s="56" t="s">
        <v>825</v>
      </c>
      <c r="X14" s="48" t="s">
        <v>826</v>
      </c>
      <c r="Y14" s="18" t="s">
        <v>827</v>
      </c>
      <c r="Z14" s="48" t="s">
        <v>828</v>
      </c>
      <c r="AA14" s="49" t="s">
        <v>829</v>
      </c>
      <c r="AB14" s="56" t="s">
        <v>830</v>
      </c>
      <c r="AC14" s="18" t="s">
        <v>831</v>
      </c>
      <c r="AD14" s="48" t="s">
        <v>832</v>
      </c>
      <c r="AE14" s="49" t="s">
        <v>833</v>
      </c>
      <c r="AF14" s="56" t="s">
        <v>834</v>
      </c>
      <c r="AG14" s="49" t="s">
        <v>835</v>
      </c>
      <c r="AH14" s="56" t="s">
        <v>836</v>
      </c>
      <c r="AI14" s="49" t="s">
        <v>837</v>
      </c>
      <c r="AJ14" s="56" t="s">
        <v>838</v>
      </c>
      <c r="AK14" s="48" t="s">
        <v>839</v>
      </c>
      <c r="AL14" s="48" t="s">
        <v>840</v>
      </c>
      <c r="AM14" s="48" t="s">
        <v>841</v>
      </c>
      <c r="AN14" s="48" t="s">
        <v>842</v>
      </c>
      <c r="AO14" s="48" t="s">
        <v>843</v>
      </c>
      <c r="AP14" s="48" t="s">
        <v>844</v>
      </c>
      <c r="AQ14" s="48" t="s">
        <v>845</v>
      </c>
      <c r="AR14" s="48" t="s">
        <v>846</v>
      </c>
      <c r="AS14" s="160" t="s">
        <v>847</v>
      </c>
      <c r="AT14" s="161" t="s">
        <v>848</v>
      </c>
      <c r="AU14" s="161" t="s">
        <v>849</v>
      </c>
      <c r="AV14" s="161" t="s">
        <v>850</v>
      </c>
      <c r="AW14" s="161" t="s">
        <v>851</v>
      </c>
      <c r="AX14" s="161" t="s">
        <v>852</v>
      </c>
      <c r="AY14" s="161" t="s">
        <v>853</v>
      </c>
      <c r="AZ14" s="161" t="s">
        <v>854</v>
      </c>
      <c r="BA14" s="161" t="s">
        <v>855</v>
      </c>
      <c r="BB14" s="48" t="s">
        <v>856</v>
      </c>
      <c r="BC14" s="55" t="s">
        <v>857</v>
      </c>
      <c r="BD14" s="48" t="s">
        <v>858</v>
      </c>
      <c r="BE14" s="48" t="s">
        <v>859</v>
      </c>
      <c r="BF14" s="49" t="s">
        <v>860</v>
      </c>
      <c r="BG14" s="55" t="s">
        <v>861</v>
      </c>
      <c r="BH14" s="49" t="s">
        <v>862</v>
      </c>
      <c r="BI14" s="48" t="s">
        <v>863</v>
      </c>
      <c r="BJ14" s="55" t="s">
        <v>864</v>
      </c>
      <c r="BK14" s="18" t="s">
        <v>865</v>
      </c>
      <c r="BL14" s="18" t="s">
        <v>866</v>
      </c>
      <c r="BM14" s="18" t="s">
        <v>867</v>
      </c>
      <c r="BN14" s="49" t="s">
        <v>868</v>
      </c>
      <c r="BO14" s="49" t="s">
        <v>869</v>
      </c>
      <c r="BP14" s="49" t="s">
        <v>870</v>
      </c>
      <c r="BQ14" s="49" t="s">
        <v>871</v>
      </c>
      <c r="BR14" s="18" t="s">
        <v>872</v>
      </c>
      <c r="BS14" s="55" t="s">
        <v>873</v>
      </c>
      <c r="BT14" s="18" t="s">
        <v>874</v>
      </c>
      <c r="BU14" s="48" t="s">
        <v>875</v>
      </c>
      <c r="BV14" s="49" t="s">
        <v>876</v>
      </c>
      <c r="BW14" s="49" t="s">
        <v>877</v>
      </c>
      <c r="BX14" s="55" t="s">
        <v>878</v>
      </c>
      <c r="BY14" s="18" t="s">
        <v>879</v>
      </c>
      <c r="BZ14" s="18" t="s">
        <v>880</v>
      </c>
      <c r="CA14" s="18" t="s">
        <v>881</v>
      </c>
      <c r="CB14" s="49" t="s">
        <v>882</v>
      </c>
      <c r="CC14" s="49" t="s">
        <v>883</v>
      </c>
      <c r="CD14" s="49" t="s">
        <v>884</v>
      </c>
      <c r="CE14" s="49" t="s">
        <v>885</v>
      </c>
      <c r="CF14" s="48" t="s">
        <v>886</v>
      </c>
      <c r="CG14" s="58" t="s">
        <v>887</v>
      </c>
      <c r="CH14" s="49" t="s">
        <v>888</v>
      </c>
      <c r="CI14" s="48" t="s">
        <v>889</v>
      </c>
      <c r="CJ14" s="49" t="s">
        <v>890</v>
      </c>
      <c r="CK14" s="49" t="s">
        <v>891</v>
      </c>
      <c r="CL14" s="55" t="s">
        <v>892</v>
      </c>
      <c r="CM14" s="18" t="s">
        <v>893</v>
      </c>
      <c r="CN14" s="18" t="s">
        <v>894</v>
      </c>
      <c r="CO14" s="18" t="s">
        <v>895</v>
      </c>
      <c r="CP14" s="18" t="s">
        <v>896</v>
      </c>
      <c r="CQ14" s="18" t="s">
        <v>897</v>
      </c>
      <c r="CR14" s="18" t="s">
        <v>898</v>
      </c>
      <c r="CS14" s="18" t="s">
        <v>899</v>
      </c>
      <c r="CT14" s="48" t="s">
        <v>900</v>
      </c>
      <c r="CU14" s="55" t="s">
        <v>901</v>
      </c>
      <c r="CV14" s="18" t="s">
        <v>902</v>
      </c>
      <c r="CW14" s="49" t="s">
        <v>903</v>
      </c>
      <c r="CX14" s="49" t="s">
        <v>904</v>
      </c>
      <c r="CY14" s="48" t="s">
        <v>905</v>
      </c>
      <c r="CZ14" s="48" t="s">
        <v>906</v>
      </c>
      <c r="DA14" s="55" t="s">
        <v>907</v>
      </c>
      <c r="DB14" s="49" t="s">
        <v>908</v>
      </c>
      <c r="DC14" s="48" t="s">
        <v>909</v>
      </c>
      <c r="DD14" s="55" t="s">
        <v>552</v>
      </c>
      <c r="DE14" s="49" t="s">
        <v>910</v>
      </c>
      <c r="DF14" s="48" t="s">
        <v>911</v>
      </c>
      <c r="DG14" s="55" t="s">
        <v>912</v>
      </c>
      <c r="DH14" s="54" t="s">
        <v>913</v>
      </c>
      <c r="DI14" s="48" t="s">
        <v>914</v>
      </c>
      <c r="DJ14" s="48" t="s">
        <v>915</v>
      </c>
      <c r="DK14" s="49" t="s">
        <v>916</v>
      </c>
      <c r="DL14" s="48" t="s">
        <v>917</v>
      </c>
      <c r="DM14" s="56" t="s">
        <v>918</v>
      </c>
      <c r="DN14" s="48" t="s">
        <v>919</v>
      </c>
      <c r="DO14" s="48" t="s">
        <v>920</v>
      </c>
      <c r="DP14" s="48" t="s">
        <v>921</v>
      </c>
      <c r="DQ14" s="48" t="s">
        <v>922</v>
      </c>
      <c r="DR14" s="48" t="s">
        <v>923</v>
      </c>
      <c r="DS14" s="49" t="s">
        <v>924</v>
      </c>
      <c r="DT14" s="49" t="s">
        <v>925</v>
      </c>
      <c r="DU14" s="49" t="s">
        <v>926</v>
      </c>
      <c r="DV14" s="49" t="s">
        <v>927</v>
      </c>
      <c r="DW14" s="55" t="s">
        <v>928</v>
      </c>
      <c r="DX14" s="48" t="s">
        <v>929</v>
      </c>
      <c r="DY14" s="48" t="s">
        <v>930</v>
      </c>
      <c r="DZ14" s="48" t="s">
        <v>931</v>
      </c>
      <c r="EA14" s="49" t="s">
        <v>932</v>
      </c>
      <c r="EB14" s="49" t="s">
        <v>933</v>
      </c>
      <c r="EC14" s="56" t="s">
        <v>934</v>
      </c>
      <c r="ED14" s="49" t="s">
        <v>935</v>
      </c>
      <c r="EE14" s="49" t="s">
        <v>936</v>
      </c>
      <c r="EF14" s="55" t="s">
        <v>937</v>
      </c>
      <c r="EG14" s="18" t="s">
        <v>938</v>
      </c>
      <c r="EH14" s="18" t="s">
        <v>939</v>
      </c>
      <c r="EI14" s="18" t="s">
        <v>940</v>
      </c>
      <c r="EJ14" s="49" t="s">
        <v>941</v>
      </c>
      <c r="EK14" s="49" t="s">
        <v>942</v>
      </c>
      <c r="EL14" s="49" t="s">
        <v>943</v>
      </c>
      <c r="EM14" s="49" t="s">
        <v>944</v>
      </c>
      <c r="EN14" s="48" t="s">
        <v>945</v>
      </c>
      <c r="EO14" s="48" t="s">
        <v>946</v>
      </c>
      <c r="EP14" s="48" t="s">
        <v>947</v>
      </c>
      <c r="EQ14" s="48" t="s">
        <v>948</v>
      </c>
      <c r="ER14" s="56" t="s">
        <v>949</v>
      </c>
      <c r="ES14" s="49" t="s">
        <v>950</v>
      </c>
      <c r="ET14" s="55" t="s">
        <v>951</v>
      </c>
      <c r="EU14" s="18" t="s">
        <v>952</v>
      </c>
      <c r="EV14" s="49" t="s">
        <v>953</v>
      </c>
      <c r="EW14" s="49" t="s">
        <v>954</v>
      </c>
      <c r="EX14" s="48" t="s">
        <v>955</v>
      </c>
      <c r="EY14" s="48" t="s">
        <v>956</v>
      </c>
      <c r="EZ14" s="55" t="s">
        <v>957</v>
      </c>
      <c r="FA14" s="49" t="s">
        <v>958</v>
      </c>
      <c r="FB14" s="48" t="s">
        <v>959</v>
      </c>
      <c r="FC14" s="55" t="s">
        <v>960</v>
      </c>
      <c r="FD14" s="18" t="s">
        <v>961</v>
      </c>
      <c r="FE14" s="49" t="s">
        <v>962</v>
      </c>
      <c r="FF14" s="49" t="s">
        <v>963</v>
      </c>
      <c r="FG14" s="48" t="s">
        <v>964</v>
      </c>
      <c r="FH14" s="48" t="s">
        <v>965</v>
      </c>
    </row>
    <row r="15" spans="1:164" x14ac:dyDescent="0.2">
      <c r="A15" t="s">
        <v>327</v>
      </c>
      <c r="B15" s="1" t="s">
        <v>426</v>
      </c>
      <c r="C15" s="1" t="s">
        <v>30</v>
      </c>
      <c r="D15" s="1"/>
      <c r="E15" s="104"/>
      <c r="F15" s="38"/>
      <c r="G15" s="38"/>
      <c r="H15" s="38"/>
      <c r="I15" s="38"/>
      <c r="J15" s="38"/>
      <c r="K15" s="38"/>
      <c r="L15" s="33"/>
      <c r="M15" s="107"/>
      <c r="N15" s="2"/>
      <c r="O15" s="2"/>
      <c r="P15" s="85"/>
      <c r="Q15" s="33"/>
      <c r="R15" s="38"/>
      <c r="S15" s="33"/>
      <c r="T15" s="107"/>
      <c r="U15" s="2"/>
      <c r="V15" s="33"/>
      <c r="W15" s="36"/>
      <c r="X15" s="33"/>
      <c r="Y15" s="38"/>
      <c r="Z15" s="33"/>
      <c r="AA15" s="2"/>
      <c r="AB15" s="36"/>
      <c r="AC15" s="38"/>
      <c r="AD15" s="33"/>
      <c r="AE15" s="2"/>
      <c r="AF15" s="36"/>
      <c r="AG15" s="2"/>
      <c r="AH15" s="36"/>
      <c r="AI15" s="2"/>
      <c r="AJ15" s="170"/>
      <c r="AK15" s="168"/>
      <c r="AL15" s="168"/>
      <c r="AM15" s="168"/>
      <c r="AN15" s="168"/>
      <c r="AO15" s="168"/>
      <c r="AP15" s="168"/>
      <c r="AQ15" s="168"/>
      <c r="AR15" s="168"/>
      <c r="AS15" s="171"/>
      <c r="AT15" s="172"/>
      <c r="AU15" s="172"/>
      <c r="AV15" s="172"/>
      <c r="AW15" s="172"/>
      <c r="AX15" s="172"/>
      <c r="AY15" s="172"/>
      <c r="AZ15" s="172"/>
      <c r="BA15" s="172"/>
      <c r="BB15" s="168"/>
      <c r="BC15" s="169"/>
      <c r="BD15" s="168"/>
      <c r="BE15" s="168"/>
      <c r="BF15" s="131"/>
      <c r="BG15" s="169"/>
      <c r="BH15" s="131"/>
      <c r="BI15" s="168"/>
      <c r="BJ15" s="169"/>
      <c r="BK15" s="167"/>
      <c r="BL15" s="167"/>
      <c r="BM15" s="167"/>
      <c r="BN15" s="131"/>
      <c r="BO15" s="131"/>
      <c r="BP15" s="131"/>
      <c r="BQ15" s="131"/>
      <c r="BR15" s="167"/>
      <c r="BS15" s="169"/>
      <c r="BT15" s="167"/>
      <c r="BU15" s="174"/>
      <c r="BV15" s="131"/>
      <c r="BW15" s="131"/>
      <c r="BX15" s="169"/>
      <c r="BY15" s="167"/>
      <c r="BZ15" s="167"/>
      <c r="CA15" s="167"/>
      <c r="CB15" s="131"/>
      <c r="CC15" s="131"/>
      <c r="CD15" s="131"/>
      <c r="CE15" s="131"/>
      <c r="CF15" s="168"/>
      <c r="CG15" s="169"/>
      <c r="CH15" s="167"/>
      <c r="CI15" s="168"/>
      <c r="CJ15" s="131"/>
      <c r="CK15" s="131"/>
      <c r="CL15" s="169"/>
      <c r="CM15" s="167"/>
      <c r="CN15" s="167"/>
      <c r="CO15" s="167"/>
      <c r="CP15" s="167"/>
      <c r="CQ15" s="167"/>
      <c r="CR15" s="167"/>
      <c r="CS15" s="167"/>
      <c r="CT15" s="168"/>
      <c r="CU15" s="169"/>
      <c r="CV15" s="167"/>
      <c r="CW15" s="131"/>
      <c r="CX15" s="131"/>
      <c r="CY15" s="168"/>
      <c r="CZ15" s="168"/>
      <c r="DA15" s="169"/>
      <c r="DB15" s="131"/>
      <c r="DC15" s="168"/>
      <c r="DD15" s="169"/>
      <c r="DE15" s="131"/>
      <c r="DF15" s="168"/>
      <c r="DG15" s="169"/>
      <c r="DH15" s="178"/>
      <c r="DI15" s="168"/>
      <c r="DJ15" s="168"/>
      <c r="DK15" s="131"/>
      <c r="DL15" s="168"/>
      <c r="DM15" s="170"/>
      <c r="DN15" s="168"/>
      <c r="DO15" s="168"/>
      <c r="DP15" s="168"/>
      <c r="DQ15" s="168"/>
      <c r="DR15" s="168"/>
      <c r="DS15" s="131"/>
      <c r="DT15" s="131"/>
      <c r="DU15" s="131"/>
      <c r="DV15" s="131"/>
      <c r="DW15" s="169"/>
      <c r="DX15" s="168"/>
      <c r="DY15" s="168"/>
      <c r="DZ15" s="168"/>
      <c r="EA15" s="131"/>
      <c r="EB15" s="131"/>
      <c r="EC15" s="170"/>
      <c r="ED15" s="131"/>
      <c r="EE15" s="131"/>
      <c r="EF15" s="169"/>
      <c r="EG15" s="167"/>
      <c r="EH15" s="167"/>
      <c r="EI15" s="167"/>
      <c r="EJ15" s="131"/>
      <c r="EK15" s="131"/>
      <c r="EL15" s="131"/>
      <c r="EM15" s="131"/>
      <c r="EN15" s="168"/>
      <c r="EO15" s="168"/>
      <c r="EP15" s="168"/>
      <c r="EQ15" s="168"/>
      <c r="ER15" s="170"/>
      <c r="ES15" s="131"/>
      <c r="ET15" s="169"/>
      <c r="EU15" s="167"/>
      <c r="EV15" s="131"/>
      <c r="EW15" s="131"/>
      <c r="EX15" s="168"/>
      <c r="EY15" s="168"/>
      <c r="EZ15" s="169"/>
      <c r="FA15" s="131"/>
      <c r="FB15" s="168"/>
      <c r="FC15" s="169"/>
      <c r="FD15" s="167"/>
      <c r="FE15" s="131"/>
      <c r="FF15" s="131"/>
      <c r="FG15" s="174"/>
      <c r="FH15" s="174"/>
    </row>
    <row r="16" spans="1:164" x14ac:dyDescent="0.2">
      <c r="A16" t="s">
        <v>327</v>
      </c>
      <c r="B16" s="1" t="s">
        <v>426</v>
      </c>
      <c r="C16" t="s">
        <v>48</v>
      </c>
      <c r="E16" s="104"/>
      <c r="F16" s="38"/>
      <c r="G16" s="38"/>
      <c r="H16" s="38"/>
      <c r="I16" s="38"/>
      <c r="J16" s="38"/>
      <c r="K16" s="38"/>
      <c r="L16" s="33"/>
      <c r="M16" s="107"/>
      <c r="N16" s="2"/>
      <c r="O16" s="2"/>
      <c r="P16" s="85"/>
      <c r="Q16" s="33"/>
      <c r="R16" s="38"/>
      <c r="S16" s="33"/>
      <c r="T16" s="107"/>
      <c r="U16" s="2"/>
      <c r="V16" s="33"/>
      <c r="W16" s="36"/>
      <c r="X16" s="33"/>
      <c r="Y16" s="38"/>
      <c r="Z16" s="33"/>
      <c r="AA16" s="2"/>
      <c r="AB16" s="36"/>
      <c r="AC16" s="38"/>
      <c r="AD16" s="33"/>
      <c r="AE16" s="2"/>
      <c r="AF16" s="36"/>
      <c r="AG16" s="2"/>
      <c r="AH16" s="36"/>
      <c r="AI16" s="2"/>
      <c r="AJ16" s="170"/>
      <c r="AK16" s="168"/>
      <c r="AL16" s="168"/>
      <c r="AM16" s="168"/>
      <c r="AN16" s="168"/>
      <c r="AO16" s="168"/>
      <c r="AP16" s="168"/>
      <c r="AQ16" s="168"/>
      <c r="AR16" s="168"/>
      <c r="AS16" s="171"/>
      <c r="AT16" s="172"/>
      <c r="AU16" s="172"/>
      <c r="AV16" s="172"/>
      <c r="AW16" s="172"/>
      <c r="AX16" s="172"/>
      <c r="AY16" s="172"/>
      <c r="AZ16" s="172"/>
      <c r="BA16" s="172"/>
      <c r="BB16" s="168"/>
      <c r="BC16" s="169"/>
      <c r="BD16" s="168"/>
      <c r="BE16" s="168"/>
      <c r="BF16" s="131"/>
      <c r="BG16" s="169"/>
      <c r="BH16" s="131"/>
      <c r="BI16" s="168"/>
      <c r="BJ16" s="169"/>
      <c r="BK16" s="167"/>
      <c r="BL16" s="167"/>
      <c r="BM16" s="167"/>
      <c r="BN16" s="131"/>
      <c r="BO16" s="131"/>
      <c r="BP16" s="131"/>
      <c r="BQ16" s="131"/>
      <c r="BR16" s="167"/>
      <c r="BS16" s="169"/>
      <c r="BT16" s="167"/>
      <c r="BU16" s="174"/>
      <c r="BV16" s="131"/>
      <c r="BW16" s="131"/>
      <c r="BX16" s="169"/>
      <c r="BY16" s="167"/>
      <c r="BZ16" s="167"/>
      <c r="CA16" s="167"/>
      <c r="CB16" s="131"/>
      <c r="CC16" s="131"/>
      <c r="CD16" s="131"/>
      <c r="CE16" s="131"/>
      <c r="CF16" s="168"/>
      <c r="CG16" s="169"/>
      <c r="CH16" s="167"/>
      <c r="CI16" s="168"/>
      <c r="CJ16" s="131"/>
      <c r="CK16" s="131"/>
      <c r="CL16" s="169"/>
      <c r="CM16" s="167"/>
      <c r="CN16" s="167"/>
      <c r="CO16" s="167"/>
      <c r="CP16" s="167"/>
      <c r="CQ16" s="167"/>
      <c r="CR16" s="167"/>
      <c r="CS16" s="167"/>
      <c r="CT16" s="168"/>
      <c r="CU16" s="169"/>
      <c r="CV16" s="167"/>
      <c r="CW16" s="131"/>
      <c r="CX16" s="131"/>
      <c r="CY16" s="168"/>
      <c r="CZ16" s="168"/>
      <c r="DA16" s="169"/>
      <c r="DB16" s="131"/>
      <c r="DC16" s="168"/>
      <c r="DD16" s="169"/>
      <c r="DE16" s="131"/>
      <c r="DF16" s="168"/>
      <c r="DG16" s="169"/>
      <c r="DH16" s="178"/>
      <c r="DI16" s="168"/>
      <c r="DJ16" s="168"/>
      <c r="DK16" s="131"/>
      <c r="DL16" s="168"/>
      <c r="DM16" s="170"/>
      <c r="DN16" s="168"/>
      <c r="DO16" s="168"/>
      <c r="DP16" s="168"/>
      <c r="DQ16" s="168"/>
      <c r="DR16" s="168"/>
      <c r="DS16" s="131"/>
      <c r="DT16" s="131"/>
      <c r="DU16" s="131"/>
      <c r="DV16" s="131"/>
      <c r="DW16" s="169"/>
      <c r="DX16" s="168"/>
      <c r="DY16" s="168"/>
      <c r="DZ16" s="168"/>
      <c r="EA16" s="131"/>
      <c r="EB16" s="131"/>
      <c r="EC16" s="170"/>
      <c r="ED16" s="131"/>
      <c r="EE16" s="131"/>
      <c r="EF16" s="169"/>
      <c r="EG16" s="167"/>
      <c r="EH16" s="167"/>
      <c r="EI16" s="167"/>
      <c r="EJ16" s="131"/>
      <c r="EK16" s="131"/>
      <c r="EL16" s="131"/>
      <c r="EM16" s="131"/>
      <c r="EN16" s="168"/>
      <c r="EO16" s="168"/>
      <c r="EP16" s="168"/>
      <c r="EQ16" s="168"/>
      <c r="ER16" s="170"/>
      <c r="ES16" s="131"/>
      <c r="ET16" s="169"/>
      <c r="EU16" s="167"/>
      <c r="EV16" s="131"/>
      <c r="EW16" s="131"/>
      <c r="EX16" s="168"/>
      <c r="EY16" s="168"/>
      <c r="EZ16" s="169"/>
      <c r="FA16" s="131"/>
      <c r="FB16" s="168"/>
      <c r="FC16" s="169"/>
      <c r="FD16" s="167"/>
      <c r="FE16" s="131"/>
      <c r="FF16" s="131"/>
      <c r="FG16" s="174"/>
      <c r="FH16" s="174"/>
    </row>
    <row r="17" spans="1:164" x14ac:dyDescent="0.2">
      <c r="A17" t="s">
        <v>327</v>
      </c>
      <c r="B17" s="1" t="s">
        <v>473</v>
      </c>
      <c r="C17" s="1" t="s">
        <v>30</v>
      </c>
      <c r="E17" s="104"/>
      <c r="F17" s="38"/>
      <c r="G17" s="38"/>
      <c r="H17" s="38"/>
      <c r="I17" s="38"/>
      <c r="J17" s="38"/>
      <c r="K17" s="38"/>
      <c r="L17" s="33"/>
      <c r="M17" s="107"/>
      <c r="N17" s="2"/>
      <c r="O17" s="2"/>
      <c r="P17" s="85"/>
      <c r="Q17" s="33"/>
      <c r="R17" s="38"/>
      <c r="S17" s="33"/>
      <c r="T17" s="107"/>
      <c r="U17" s="2"/>
      <c r="V17" s="33"/>
      <c r="W17" s="36"/>
      <c r="X17" s="33"/>
      <c r="Y17" s="38"/>
      <c r="Z17" s="33"/>
      <c r="AA17" s="2"/>
      <c r="AB17" s="36"/>
      <c r="AC17" s="38"/>
      <c r="AD17" s="33"/>
      <c r="AE17" s="2"/>
      <c r="AF17" s="36"/>
      <c r="AG17" s="2"/>
      <c r="AH17" s="36"/>
      <c r="AI17" s="2"/>
      <c r="AJ17" s="170"/>
      <c r="AK17" s="168"/>
      <c r="AL17" s="33"/>
      <c r="AM17" s="168"/>
      <c r="AN17" s="33"/>
      <c r="AO17" s="33"/>
      <c r="AP17" s="33"/>
      <c r="AQ17" s="33"/>
      <c r="AR17" s="33"/>
      <c r="AS17" s="171"/>
      <c r="AT17" s="172"/>
      <c r="AU17" s="159"/>
      <c r="AV17" s="172"/>
      <c r="AW17" s="159"/>
      <c r="AX17" s="159"/>
      <c r="AY17" s="159"/>
      <c r="AZ17" s="159"/>
      <c r="BA17" s="159"/>
      <c r="BB17" s="33"/>
      <c r="BC17" s="169"/>
      <c r="BD17" s="168"/>
      <c r="BE17" s="168"/>
      <c r="BF17" s="131"/>
      <c r="BG17" s="169"/>
      <c r="BH17" s="131"/>
      <c r="BI17" s="168"/>
      <c r="BJ17" s="169"/>
      <c r="BK17" s="167"/>
      <c r="BL17" s="167"/>
      <c r="BM17" s="167"/>
      <c r="BN17" s="131"/>
      <c r="BO17" s="131"/>
      <c r="BP17" s="131"/>
      <c r="BQ17" s="131"/>
      <c r="BR17" s="167"/>
      <c r="BS17" s="169"/>
      <c r="BT17" s="167"/>
      <c r="BU17" s="174"/>
      <c r="BV17" s="131"/>
      <c r="BW17" s="131"/>
      <c r="BX17" s="104"/>
      <c r="BY17" s="38"/>
      <c r="BZ17" s="38"/>
      <c r="CA17" s="38"/>
      <c r="CB17" s="2"/>
      <c r="CC17" s="2"/>
      <c r="CD17" s="2"/>
      <c r="CE17" s="2"/>
      <c r="CF17" s="33"/>
      <c r="CG17" s="104"/>
      <c r="CH17" s="38"/>
      <c r="CI17" s="33"/>
      <c r="CJ17" s="2"/>
      <c r="CK17" s="2"/>
      <c r="CL17" s="169"/>
      <c r="CM17" s="167"/>
      <c r="CN17" s="167"/>
      <c r="CO17" s="167"/>
      <c r="CP17" s="167"/>
      <c r="CQ17" s="167"/>
      <c r="CR17" s="167"/>
      <c r="CS17" s="167"/>
      <c r="CT17" s="168"/>
      <c r="CU17" s="169"/>
      <c r="CV17" s="167"/>
      <c r="CW17" s="131"/>
      <c r="CX17" s="131"/>
      <c r="CY17" s="168"/>
      <c r="CZ17" s="168"/>
      <c r="DA17" s="169"/>
      <c r="DB17" s="131"/>
      <c r="DC17" s="168"/>
      <c r="DD17" s="169"/>
      <c r="DE17" s="131"/>
      <c r="DF17" s="168"/>
      <c r="DG17" s="169"/>
      <c r="DH17" s="178"/>
      <c r="DI17" s="168"/>
      <c r="DJ17" s="168"/>
      <c r="DK17" s="131"/>
      <c r="DL17" s="168"/>
      <c r="DM17" s="170"/>
      <c r="DN17" s="168"/>
      <c r="DO17" s="168"/>
      <c r="DP17" s="168"/>
      <c r="DQ17" s="168"/>
      <c r="DR17" s="168"/>
      <c r="DS17" s="131"/>
      <c r="DT17" s="131"/>
      <c r="DU17" s="131"/>
      <c r="DV17" s="131"/>
      <c r="DW17" s="169"/>
      <c r="DX17" s="168"/>
      <c r="DY17" s="168"/>
      <c r="DZ17" s="168"/>
      <c r="EA17" s="131"/>
      <c r="EB17" s="131"/>
      <c r="EC17" s="170"/>
      <c r="ED17" s="131"/>
      <c r="EE17" s="131"/>
      <c r="EF17" s="169"/>
      <c r="EG17" s="167"/>
      <c r="EH17" s="167"/>
      <c r="EI17" s="167"/>
      <c r="EJ17" s="131"/>
      <c r="EK17" s="131"/>
      <c r="EL17" s="131"/>
      <c r="EM17" s="131"/>
      <c r="EN17" s="168"/>
      <c r="EO17" s="168"/>
      <c r="EP17" s="168"/>
      <c r="EQ17" s="168"/>
      <c r="ER17" s="170"/>
      <c r="ES17" s="131"/>
      <c r="ET17" s="169"/>
      <c r="EU17" s="167"/>
      <c r="EV17" s="131"/>
      <c r="EW17" s="131"/>
      <c r="EX17" s="168"/>
      <c r="EY17" s="168"/>
      <c r="EZ17" s="169"/>
      <c r="FA17" s="131"/>
      <c r="FB17" s="168"/>
      <c r="FC17" s="169"/>
      <c r="FD17" s="167"/>
      <c r="FE17" s="131"/>
      <c r="FF17" s="131"/>
      <c r="FG17" s="174"/>
      <c r="FH17" s="174"/>
    </row>
    <row r="18" spans="1:164" x14ac:dyDescent="0.2">
      <c r="A18" t="s">
        <v>327</v>
      </c>
      <c r="B18" s="1" t="s">
        <v>473</v>
      </c>
      <c r="C18" t="s">
        <v>48</v>
      </c>
      <c r="E18" s="104"/>
      <c r="F18" s="38"/>
      <c r="G18" s="38"/>
      <c r="H18" s="38"/>
      <c r="I18" s="38"/>
      <c r="J18" s="38"/>
      <c r="K18" s="38"/>
      <c r="L18" s="33"/>
      <c r="M18" s="107"/>
      <c r="N18" s="2"/>
      <c r="O18" s="2"/>
      <c r="P18" s="85"/>
      <c r="Q18" s="33"/>
      <c r="R18" s="38"/>
      <c r="S18" s="33"/>
      <c r="T18" s="107"/>
      <c r="U18" s="2"/>
      <c r="V18" s="33"/>
      <c r="W18" s="36"/>
      <c r="X18" s="33"/>
      <c r="Y18" s="38"/>
      <c r="Z18" s="33"/>
      <c r="AA18" s="2"/>
      <c r="AB18" s="36"/>
      <c r="AC18" s="38"/>
      <c r="AD18" s="33"/>
      <c r="AE18" s="2"/>
      <c r="AF18" s="36"/>
      <c r="AG18" s="2"/>
      <c r="AH18" s="36"/>
      <c r="AI18" s="2"/>
      <c r="AJ18" s="170"/>
      <c r="AK18" s="168"/>
      <c r="AL18" s="33"/>
      <c r="AM18" s="168"/>
      <c r="AN18" s="33"/>
      <c r="AO18" s="33"/>
      <c r="AP18" s="33"/>
      <c r="AQ18" s="33"/>
      <c r="AR18" s="33"/>
      <c r="AS18" s="171"/>
      <c r="AT18" s="172"/>
      <c r="AU18" s="159"/>
      <c r="AV18" s="172"/>
      <c r="AW18" s="159"/>
      <c r="AX18" s="159"/>
      <c r="AY18" s="159"/>
      <c r="AZ18" s="159"/>
      <c r="BA18" s="159"/>
      <c r="BB18" s="33"/>
      <c r="BC18" s="169"/>
      <c r="BD18" s="168"/>
      <c r="BE18" s="168"/>
      <c r="BF18" s="131"/>
      <c r="BG18" s="169"/>
      <c r="BH18" s="131"/>
      <c r="BI18" s="168"/>
      <c r="BJ18" s="169"/>
      <c r="BK18" s="167"/>
      <c r="BL18" s="167"/>
      <c r="BM18" s="167"/>
      <c r="BN18" s="131"/>
      <c r="BO18" s="131"/>
      <c r="BP18" s="131"/>
      <c r="BQ18" s="131"/>
      <c r="BR18" s="167"/>
      <c r="BS18" s="169"/>
      <c r="BT18" s="167"/>
      <c r="BU18" s="174"/>
      <c r="BV18" s="131"/>
      <c r="BW18" s="131"/>
      <c r="BX18" s="104"/>
      <c r="BY18" s="38"/>
      <c r="BZ18" s="38"/>
      <c r="CA18" s="38"/>
      <c r="CB18" s="2"/>
      <c r="CC18" s="2"/>
      <c r="CD18" s="2"/>
      <c r="CE18" s="2"/>
      <c r="CF18" s="33"/>
      <c r="CG18" s="104"/>
      <c r="CH18" s="38"/>
      <c r="CI18" s="33"/>
      <c r="CJ18" s="2"/>
      <c r="CK18" s="2"/>
      <c r="CL18" s="169"/>
      <c r="CM18" s="167"/>
      <c r="CN18" s="167"/>
      <c r="CO18" s="167"/>
      <c r="CP18" s="167"/>
      <c r="CQ18" s="167"/>
      <c r="CR18" s="167"/>
      <c r="CS18" s="167"/>
      <c r="CT18" s="168"/>
      <c r="CU18" s="169"/>
      <c r="CV18" s="167"/>
      <c r="CW18" s="131"/>
      <c r="CX18" s="131"/>
      <c r="CY18" s="168"/>
      <c r="CZ18" s="168"/>
      <c r="DA18" s="169"/>
      <c r="DB18" s="131"/>
      <c r="DC18" s="168"/>
      <c r="DD18" s="169"/>
      <c r="DE18" s="131"/>
      <c r="DF18" s="168"/>
      <c r="DG18" s="169"/>
      <c r="DH18" s="178"/>
      <c r="DI18" s="168"/>
      <c r="DJ18" s="168"/>
      <c r="DK18" s="131"/>
      <c r="DL18" s="168"/>
      <c r="DM18" s="170"/>
      <c r="DN18" s="168"/>
      <c r="DO18" s="168"/>
      <c r="DP18" s="168"/>
      <c r="DQ18" s="168"/>
      <c r="DR18" s="168"/>
      <c r="DS18" s="131"/>
      <c r="DT18" s="131"/>
      <c r="DU18" s="131"/>
      <c r="DV18" s="131"/>
      <c r="DW18" s="169"/>
      <c r="DX18" s="168"/>
      <c r="DY18" s="168"/>
      <c r="DZ18" s="168"/>
      <c r="EA18" s="131"/>
      <c r="EB18" s="131"/>
      <c r="EC18" s="170"/>
      <c r="ED18" s="131"/>
      <c r="EE18" s="131"/>
      <c r="EF18" s="169"/>
      <c r="EG18" s="167"/>
      <c r="EH18" s="167"/>
      <c r="EI18" s="167"/>
      <c r="EJ18" s="131"/>
      <c r="EK18" s="131"/>
      <c r="EL18" s="131"/>
      <c r="EM18" s="131"/>
      <c r="EN18" s="168"/>
      <c r="EO18" s="168"/>
      <c r="EP18" s="168"/>
      <c r="EQ18" s="168"/>
      <c r="ER18" s="170"/>
      <c r="ES18" s="131"/>
      <c r="ET18" s="169"/>
      <c r="EU18" s="167"/>
      <c r="EV18" s="131"/>
      <c r="EW18" s="131"/>
      <c r="EX18" s="168"/>
      <c r="EY18" s="168"/>
      <c r="EZ18" s="169"/>
      <c r="FA18" s="131"/>
      <c r="FB18" s="168"/>
      <c r="FC18" s="169"/>
      <c r="FD18" s="167"/>
      <c r="FE18" s="131"/>
      <c r="FF18" s="131"/>
      <c r="FG18" s="174"/>
      <c r="FH18" s="174"/>
    </row>
    <row r="19" spans="1:164" x14ac:dyDescent="0.2">
      <c r="A19" t="s">
        <v>327</v>
      </c>
      <c r="B19" s="1" t="s">
        <v>474</v>
      </c>
      <c r="C19" s="1" t="s">
        <v>30</v>
      </c>
      <c r="E19" s="104"/>
      <c r="F19" s="38"/>
      <c r="G19" s="38"/>
      <c r="H19" s="38"/>
      <c r="I19" s="38"/>
      <c r="J19" s="38"/>
      <c r="K19" s="38"/>
      <c r="L19" s="33"/>
      <c r="M19" s="107"/>
      <c r="N19" s="2"/>
      <c r="O19" s="2"/>
      <c r="P19" s="85"/>
      <c r="Q19" s="33"/>
      <c r="R19" s="38"/>
      <c r="S19" s="33"/>
      <c r="T19" s="107"/>
      <c r="U19" s="2"/>
      <c r="V19" s="33"/>
      <c r="W19" s="36"/>
      <c r="X19" s="33"/>
      <c r="Y19" s="38"/>
      <c r="Z19" s="33"/>
      <c r="AA19" s="2"/>
      <c r="AB19" s="36"/>
      <c r="AC19" s="38"/>
      <c r="AD19" s="33"/>
      <c r="AE19" s="2"/>
      <c r="AF19" s="36"/>
      <c r="AG19" s="2"/>
      <c r="AH19" s="36"/>
      <c r="AI19" s="2"/>
      <c r="AJ19" s="36"/>
      <c r="AK19" s="33"/>
      <c r="AL19" s="33"/>
      <c r="AM19" s="168"/>
      <c r="AN19" s="33"/>
      <c r="AO19" s="33"/>
      <c r="AP19" s="33"/>
      <c r="AQ19" s="33"/>
      <c r="AR19" s="33"/>
      <c r="AS19" s="158"/>
      <c r="AT19" s="159"/>
      <c r="AU19" s="159"/>
      <c r="AV19" s="172"/>
      <c r="AW19" s="159"/>
      <c r="AX19" s="159"/>
      <c r="AY19" s="159"/>
      <c r="AZ19" s="159"/>
      <c r="BA19" s="159"/>
      <c r="BB19" s="33"/>
      <c r="BC19" s="169"/>
      <c r="BD19" s="168"/>
      <c r="BE19" s="168"/>
      <c r="BF19" s="131"/>
      <c r="BG19" s="104"/>
      <c r="BH19" s="2"/>
      <c r="BI19" s="33"/>
      <c r="BJ19" s="104"/>
      <c r="BK19" s="38"/>
      <c r="BL19" s="38"/>
      <c r="BM19" s="38"/>
      <c r="BN19" s="2"/>
      <c r="BO19" s="2"/>
      <c r="BP19" s="2"/>
      <c r="BQ19" s="2"/>
      <c r="BR19" s="33"/>
      <c r="BS19" s="104"/>
      <c r="BT19" s="38"/>
      <c r="BU19" s="34"/>
      <c r="BV19" s="2"/>
      <c r="BW19" s="2"/>
      <c r="BX19" s="104"/>
      <c r="BY19" s="38"/>
      <c r="BZ19" s="38"/>
      <c r="CA19" s="38"/>
      <c r="CB19" s="2"/>
      <c r="CC19" s="2"/>
      <c r="CD19" s="2"/>
      <c r="CE19" s="2"/>
      <c r="CF19" s="33"/>
      <c r="CG19" s="104"/>
      <c r="CH19" s="38"/>
      <c r="CI19" s="33"/>
      <c r="CJ19" s="2"/>
      <c r="CK19" s="2"/>
      <c r="CL19" s="169"/>
      <c r="CM19" s="167"/>
      <c r="CN19" s="167"/>
      <c r="CO19" s="167"/>
      <c r="CP19" s="167"/>
      <c r="CQ19" s="167"/>
      <c r="CR19" s="167"/>
      <c r="CS19" s="167"/>
      <c r="CT19" s="168"/>
      <c r="CU19" s="169"/>
      <c r="CV19" s="167"/>
      <c r="CW19" s="131"/>
      <c r="CX19" s="131"/>
      <c r="CY19" s="168"/>
      <c r="CZ19" s="168"/>
      <c r="DA19" s="104"/>
      <c r="DB19" s="2"/>
      <c r="DC19" s="33"/>
      <c r="DD19" s="169"/>
      <c r="DE19" s="131"/>
      <c r="DF19" s="168"/>
      <c r="DG19" s="169"/>
      <c r="DH19" s="178"/>
      <c r="DI19" s="168"/>
      <c r="DJ19" s="168"/>
      <c r="DK19" s="131"/>
      <c r="DL19" s="168"/>
      <c r="DM19" s="170"/>
      <c r="DN19" s="168"/>
      <c r="DO19" s="168"/>
      <c r="DP19" s="168"/>
      <c r="DQ19" s="168"/>
      <c r="DR19" s="168"/>
      <c r="DS19" s="131"/>
      <c r="DT19" s="131"/>
      <c r="DU19" s="131"/>
      <c r="DV19" s="131"/>
      <c r="DW19" s="169"/>
      <c r="DX19" s="168"/>
      <c r="DY19" s="168"/>
      <c r="DZ19" s="168"/>
      <c r="EA19" s="131"/>
      <c r="EB19" s="131"/>
      <c r="EC19" s="170"/>
      <c r="ED19" s="131"/>
      <c r="EE19" s="131"/>
      <c r="EF19" s="169"/>
      <c r="EG19" s="167"/>
      <c r="EH19" s="167"/>
      <c r="EI19" s="167"/>
      <c r="EJ19" s="131"/>
      <c r="EK19" s="131"/>
      <c r="EL19" s="131"/>
      <c r="EM19" s="131"/>
      <c r="EN19" s="168"/>
      <c r="EO19" s="168"/>
      <c r="EP19" s="168"/>
      <c r="EQ19" s="168"/>
      <c r="ER19" s="170"/>
      <c r="ES19" s="131"/>
      <c r="ET19" s="169"/>
      <c r="EU19" s="167"/>
      <c r="EV19" s="131"/>
      <c r="EW19" s="131"/>
      <c r="EX19" s="168"/>
      <c r="EY19" s="168"/>
      <c r="EZ19" s="169"/>
      <c r="FA19" s="131"/>
      <c r="FB19" s="168"/>
      <c r="FC19" s="169"/>
      <c r="FD19" s="167"/>
      <c r="FE19" s="131"/>
      <c r="FF19" s="131"/>
      <c r="FG19" s="174"/>
      <c r="FH19" s="174"/>
    </row>
    <row r="20" spans="1:164" x14ac:dyDescent="0.2">
      <c r="A20" t="s">
        <v>327</v>
      </c>
      <c r="B20" s="1" t="s">
        <v>474</v>
      </c>
      <c r="C20" t="s">
        <v>48</v>
      </c>
      <c r="E20" s="104"/>
      <c r="F20" s="38"/>
      <c r="G20" s="38"/>
      <c r="H20" s="38"/>
      <c r="I20" s="38"/>
      <c r="J20" s="38"/>
      <c r="K20" s="38"/>
      <c r="L20" s="33"/>
      <c r="M20" s="107"/>
      <c r="N20" s="2"/>
      <c r="O20" s="2"/>
      <c r="P20" s="85"/>
      <c r="Q20" s="33"/>
      <c r="R20" s="38"/>
      <c r="S20" s="33"/>
      <c r="T20" s="107"/>
      <c r="U20" s="2"/>
      <c r="V20" s="33"/>
      <c r="W20" s="36"/>
      <c r="X20" s="33"/>
      <c r="Y20" s="38"/>
      <c r="Z20" s="33"/>
      <c r="AA20" s="2"/>
      <c r="AB20" s="36"/>
      <c r="AC20" s="38"/>
      <c r="AD20" s="33"/>
      <c r="AE20" s="2"/>
      <c r="AF20" s="36"/>
      <c r="AG20" s="2"/>
      <c r="AH20" s="36"/>
      <c r="AI20" s="2"/>
      <c r="AJ20" s="170"/>
      <c r="AK20" s="168"/>
      <c r="AL20" s="33"/>
      <c r="AM20" s="168"/>
      <c r="AN20" s="33"/>
      <c r="AO20" s="33"/>
      <c r="AP20" s="33"/>
      <c r="AQ20" s="33"/>
      <c r="AR20" s="33"/>
      <c r="AS20" s="171"/>
      <c r="AT20" s="172"/>
      <c r="AU20" s="159"/>
      <c r="AV20" s="172"/>
      <c r="AW20" s="159"/>
      <c r="AX20" s="159"/>
      <c r="AY20" s="159"/>
      <c r="AZ20" s="159"/>
      <c r="BA20" s="159"/>
      <c r="BB20" s="33"/>
      <c r="BC20" s="169"/>
      <c r="BD20" s="168"/>
      <c r="BE20" s="168"/>
      <c r="BF20" s="131"/>
      <c r="BG20" s="104"/>
      <c r="BH20" s="2"/>
      <c r="BI20" s="33"/>
      <c r="BJ20" s="169"/>
      <c r="BK20" s="167"/>
      <c r="BL20" s="167"/>
      <c r="BM20" s="167"/>
      <c r="BN20" s="131"/>
      <c r="BO20" s="131"/>
      <c r="BP20" s="131"/>
      <c r="BQ20" s="131"/>
      <c r="BR20" s="168"/>
      <c r="BS20" s="169"/>
      <c r="BT20" s="167"/>
      <c r="BU20" s="174"/>
      <c r="BV20" s="131"/>
      <c r="BW20" s="131"/>
      <c r="BX20" s="104"/>
      <c r="BY20" s="38"/>
      <c r="BZ20" s="38"/>
      <c r="CA20" s="38"/>
      <c r="CB20" s="2"/>
      <c r="CC20" s="2"/>
      <c r="CD20" s="2"/>
      <c r="CE20" s="2"/>
      <c r="CF20" s="33"/>
      <c r="CG20" s="104"/>
      <c r="CH20" s="38"/>
      <c r="CI20" s="33"/>
      <c r="CJ20" s="2"/>
      <c r="CK20" s="2"/>
      <c r="CL20" s="169"/>
      <c r="CM20" s="167"/>
      <c r="CN20" s="167"/>
      <c r="CO20" s="167"/>
      <c r="CP20" s="167"/>
      <c r="CQ20" s="167"/>
      <c r="CR20" s="167"/>
      <c r="CS20" s="167"/>
      <c r="CT20" s="168"/>
      <c r="CU20" s="169"/>
      <c r="CV20" s="167"/>
      <c r="CW20" s="131"/>
      <c r="CX20" s="131"/>
      <c r="CY20" s="168"/>
      <c r="CZ20" s="168"/>
      <c r="DA20" s="104"/>
      <c r="DB20" s="2"/>
      <c r="DC20" s="33"/>
      <c r="DD20" s="169"/>
      <c r="DE20" s="131"/>
      <c r="DF20" s="168"/>
      <c r="DG20" s="169"/>
      <c r="DH20" s="178"/>
      <c r="DI20" s="168"/>
      <c r="DJ20" s="168"/>
      <c r="DK20" s="131"/>
      <c r="DL20" s="168"/>
      <c r="DM20" s="170"/>
      <c r="DN20" s="168"/>
      <c r="DO20" s="168"/>
      <c r="DP20" s="168"/>
      <c r="DQ20" s="168"/>
      <c r="DR20" s="168"/>
      <c r="DS20" s="131"/>
      <c r="DT20" s="131"/>
      <c r="DU20" s="131"/>
      <c r="DV20" s="131"/>
      <c r="DW20" s="169"/>
      <c r="DX20" s="168"/>
      <c r="DY20" s="168"/>
      <c r="DZ20" s="168"/>
      <c r="EA20" s="131"/>
      <c r="EB20" s="131"/>
      <c r="EC20" s="170"/>
      <c r="ED20" s="131"/>
      <c r="EE20" s="131"/>
      <c r="EF20" s="169"/>
      <c r="EG20" s="167"/>
      <c r="EH20" s="167"/>
      <c r="EI20" s="167"/>
      <c r="EJ20" s="131"/>
      <c r="EK20" s="131"/>
      <c r="EL20" s="131"/>
      <c r="EM20" s="131"/>
      <c r="EN20" s="168"/>
      <c r="EO20" s="168"/>
      <c r="EP20" s="168"/>
      <c r="EQ20" s="168"/>
      <c r="ER20" s="170"/>
      <c r="ES20" s="131"/>
      <c r="ET20" s="169"/>
      <c r="EU20" s="167"/>
      <c r="EV20" s="131"/>
      <c r="EW20" s="131"/>
      <c r="EX20" s="168"/>
      <c r="EY20" s="168"/>
      <c r="EZ20" s="169"/>
      <c r="FA20" s="131"/>
      <c r="FB20" s="168"/>
      <c r="FC20" s="169"/>
      <c r="FD20" s="167"/>
      <c r="FE20" s="131"/>
      <c r="FF20" s="131"/>
      <c r="FG20" s="174"/>
      <c r="FH20" s="174"/>
    </row>
    <row r="21" spans="1:164" x14ac:dyDescent="0.2">
      <c r="A21" t="s">
        <v>327</v>
      </c>
      <c r="B21" s="1" t="s">
        <v>475</v>
      </c>
      <c r="C21" s="1" t="s">
        <v>30</v>
      </c>
      <c r="E21" s="104"/>
      <c r="F21" s="38"/>
      <c r="G21" s="38"/>
      <c r="H21" s="38"/>
      <c r="I21" s="38"/>
      <c r="J21" s="38"/>
      <c r="K21" s="38"/>
      <c r="L21" s="33"/>
      <c r="M21" s="107"/>
      <c r="N21" s="2"/>
      <c r="O21" s="2"/>
      <c r="P21" s="85"/>
      <c r="Q21" s="33"/>
      <c r="R21" s="38"/>
      <c r="S21" s="33"/>
      <c r="T21" s="107"/>
      <c r="U21" s="2"/>
      <c r="V21" s="33"/>
      <c r="W21" s="36"/>
      <c r="X21" s="33"/>
      <c r="Y21" s="38"/>
      <c r="Z21" s="33"/>
      <c r="AA21" s="2"/>
      <c r="AB21" s="36"/>
      <c r="AC21" s="38"/>
      <c r="AD21" s="33"/>
      <c r="AE21" s="2"/>
      <c r="AF21" s="36"/>
      <c r="AG21" s="2"/>
      <c r="AH21" s="36"/>
      <c r="AI21" s="2"/>
      <c r="AJ21" s="36"/>
      <c r="AK21" s="33"/>
      <c r="AL21" s="33"/>
      <c r="AM21" s="168"/>
      <c r="AN21" s="33"/>
      <c r="AO21" s="33"/>
      <c r="AP21" s="33"/>
      <c r="AQ21" s="33"/>
      <c r="AR21" s="33"/>
      <c r="AS21" s="158"/>
      <c r="AT21" s="159"/>
      <c r="AU21" s="159"/>
      <c r="AV21" s="172"/>
      <c r="AW21" s="159"/>
      <c r="AX21" s="159"/>
      <c r="AY21" s="159"/>
      <c r="AZ21" s="159"/>
      <c r="BA21" s="159"/>
      <c r="BB21" s="33"/>
      <c r="BC21" s="104"/>
      <c r="BD21" s="33"/>
      <c r="BE21" s="33"/>
      <c r="BF21" s="2"/>
      <c r="BG21" s="104"/>
      <c r="BH21" s="2"/>
      <c r="BI21" s="33"/>
      <c r="BJ21" s="104"/>
      <c r="BK21" s="38"/>
      <c r="BL21" s="38"/>
      <c r="BM21" s="38"/>
      <c r="BN21" s="2"/>
      <c r="BO21" s="2"/>
      <c r="BP21" s="2"/>
      <c r="BQ21" s="2"/>
      <c r="BR21" s="33"/>
      <c r="BS21" s="104"/>
      <c r="BT21" s="38"/>
      <c r="BU21" s="34"/>
      <c r="BV21" s="2"/>
      <c r="BW21" s="2"/>
      <c r="BX21" s="104"/>
      <c r="BY21" s="38"/>
      <c r="BZ21" s="38"/>
      <c r="CA21" s="38"/>
      <c r="CB21" s="2"/>
      <c r="CC21" s="2"/>
      <c r="CD21" s="2"/>
      <c r="CE21" s="2"/>
      <c r="CF21" s="33"/>
      <c r="CG21" s="104"/>
      <c r="CH21" s="38"/>
      <c r="CI21" s="33"/>
      <c r="CJ21" s="2"/>
      <c r="CK21" s="2"/>
      <c r="CL21" s="169"/>
      <c r="CM21" s="167"/>
      <c r="CN21" s="167"/>
      <c r="CO21" s="167"/>
      <c r="CP21" s="167"/>
      <c r="CQ21" s="167"/>
      <c r="CR21" s="167"/>
      <c r="CS21" s="167"/>
      <c r="CT21" s="168"/>
      <c r="CU21" s="104"/>
      <c r="CV21" s="38"/>
      <c r="CW21" s="2"/>
      <c r="CX21" s="2"/>
      <c r="CY21" s="33"/>
      <c r="CZ21" s="33"/>
      <c r="DA21" s="104"/>
      <c r="DB21" s="2"/>
      <c r="DC21" s="33"/>
      <c r="DD21" s="169"/>
      <c r="DE21" s="131"/>
      <c r="DF21" s="172"/>
      <c r="DG21" s="169"/>
      <c r="DH21" s="178"/>
      <c r="DI21" s="168"/>
      <c r="DJ21" s="168"/>
      <c r="DK21" s="131"/>
      <c r="DL21" s="168"/>
      <c r="DM21" s="170"/>
      <c r="DN21" s="168"/>
      <c r="DO21" s="168"/>
      <c r="DP21" s="168"/>
      <c r="DQ21" s="168"/>
      <c r="DR21" s="168"/>
      <c r="DS21" s="131"/>
      <c r="DT21" s="131"/>
      <c r="DU21" s="131"/>
      <c r="DV21" s="131"/>
      <c r="DW21" s="169"/>
      <c r="DX21" s="168"/>
      <c r="DY21" s="168"/>
      <c r="DZ21" s="168"/>
      <c r="EA21" s="131"/>
      <c r="EB21" s="131"/>
      <c r="EC21" s="170"/>
      <c r="ED21" s="131"/>
      <c r="EE21" s="131"/>
      <c r="EF21" s="169"/>
      <c r="EG21" s="167"/>
      <c r="EH21" s="167"/>
      <c r="EI21" s="167"/>
      <c r="EJ21" s="131"/>
      <c r="EK21" s="131"/>
      <c r="EL21" s="131"/>
      <c r="EM21" s="131"/>
      <c r="EN21" s="168"/>
      <c r="EO21" s="168"/>
      <c r="EP21" s="168"/>
      <c r="EQ21" s="168"/>
      <c r="ER21" s="170"/>
      <c r="ES21" s="131"/>
      <c r="ET21" s="169"/>
      <c r="EU21" s="167"/>
      <c r="EV21" s="131"/>
      <c r="EW21" s="131"/>
      <c r="EX21" s="168"/>
      <c r="EY21" s="168"/>
      <c r="EZ21" s="169"/>
      <c r="FA21" s="131"/>
      <c r="FB21" s="168"/>
      <c r="FC21" s="169"/>
      <c r="FD21" s="167"/>
      <c r="FE21" s="131"/>
      <c r="FF21" s="131"/>
      <c r="FG21" s="174"/>
      <c r="FH21" s="174"/>
    </row>
    <row r="22" spans="1:164" x14ac:dyDescent="0.2">
      <c r="A22" t="s">
        <v>327</v>
      </c>
      <c r="B22" s="1" t="s">
        <v>475</v>
      </c>
      <c r="C22" t="s">
        <v>48</v>
      </c>
      <c r="E22" s="104"/>
      <c r="F22" s="38"/>
      <c r="G22" s="38"/>
      <c r="H22" s="38"/>
      <c r="I22" s="38"/>
      <c r="J22" s="38"/>
      <c r="K22" s="38"/>
      <c r="L22" s="33"/>
      <c r="M22" s="107"/>
      <c r="N22" s="2"/>
      <c r="O22" s="2"/>
      <c r="P22" s="85"/>
      <c r="Q22" s="33"/>
      <c r="R22" s="38"/>
      <c r="S22" s="33"/>
      <c r="T22" s="107"/>
      <c r="U22" s="2"/>
      <c r="V22" s="33"/>
      <c r="W22" s="36"/>
      <c r="X22" s="33"/>
      <c r="Y22" s="38"/>
      <c r="Z22" s="33"/>
      <c r="AA22" s="2"/>
      <c r="AB22" s="36"/>
      <c r="AC22" s="38"/>
      <c r="AD22" s="33"/>
      <c r="AE22" s="2"/>
      <c r="AF22" s="36"/>
      <c r="AG22" s="2"/>
      <c r="AH22" s="36"/>
      <c r="AI22" s="2"/>
      <c r="AJ22" s="170"/>
      <c r="AK22" s="168"/>
      <c r="AL22" s="33"/>
      <c r="AM22" s="33"/>
      <c r="AN22" s="33"/>
      <c r="AO22" s="33"/>
      <c r="AP22" s="33"/>
      <c r="AQ22" s="33"/>
      <c r="AR22" s="33"/>
      <c r="AS22" s="171"/>
      <c r="AT22" s="172"/>
      <c r="AU22" s="159"/>
      <c r="AV22" s="159"/>
      <c r="AW22" s="159"/>
      <c r="AX22" s="159"/>
      <c r="AY22" s="159"/>
      <c r="AZ22" s="159"/>
      <c r="BA22" s="159"/>
      <c r="BB22" s="33"/>
      <c r="BC22" s="104"/>
      <c r="BD22" s="33"/>
      <c r="BE22" s="33"/>
      <c r="BF22" s="2"/>
      <c r="BG22" s="104"/>
      <c r="BH22" s="2"/>
      <c r="BI22" s="33"/>
      <c r="BJ22" s="169"/>
      <c r="BK22" s="167"/>
      <c r="BL22" s="167"/>
      <c r="BM22" s="167"/>
      <c r="BN22" s="131"/>
      <c r="BO22" s="131"/>
      <c r="BP22" s="131"/>
      <c r="BQ22" s="131"/>
      <c r="BR22" s="168"/>
      <c r="BS22" s="169"/>
      <c r="BT22" s="167"/>
      <c r="BU22" s="174"/>
      <c r="BV22" s="131"/>
      <c r="BW22" s="131"/>
      <c r="BX22" s="104"/>
      <c r="BY22" s="38"/>
      <c r="BZ22" s="38"/>
      <c r="CA22" s="38"/>
      <c r="CB22" s="2"/>
      <c r="CC22" s="2"/>
      <c r="CD22" s="2"/>
      <c r="CE22" s="2"/>
      <c r="CF22" s="33"/>
      <c r="CG22" s="104"/>
      <c r="CH22" s="38"/>
      <c r="CI22" s="33"/>
      <c r="CJ22" s="2"/>
      <c r="CK22" s="2"/>
      <c r="CL22" s="104"/>
      <c r="CM22" s="38"/>
      <c r="CN22" s="38"/>
      <c r="CO22" s="38"/>
      <c r="CP22" s="38"/>
      <c r="CQ22" s="38"/>
      <c r="CR22" s="38"/>
      <c r="CS22" s="38"/>
      <c r="CT22" s="33"/>
      <c r="CU22" s="104"/>
      <c r="CV22" s="38"/>
      <c r="CW22" s="2"/>
      <c r="CX22" s="2"/>
      <c r="CY22" s="33"/>
      <c r="CZ22" s="33"/>
      <c r="DA22" s="104"/>
      <c r="DB22" s="2"/>
      <c r="DC22" s="33"/>
      <c r="DD22" s="169"/>
      <c r="DE22" s="131"/>
      <c r="DF22" s="172"/>
      <c r="DG22" s="169"/>
      <c r="DH22" s="178"/>
      <c r="DI22" s="168"/>
      <c r="DJ22" s="168"/>
      <c r="DK22" s="131"/>
      <c r="DL22" s="168"/>
      <c r="DM22" s="170"/>
      <c r="DN22" s="168"/>
      <c r="DO22" s="168"/>
      <c r="DP22" s="168"/>
      <c r="DQ22" s="168"/>
      <c r="DR22" s="168"/>
      <c r="DS22" s="131"/>
      <c r="DT22" s="131"/>
      <c r="DU22" s="131"/>
      <c r="DV22" s="131"/>
      <c r="DW22" s="169"/>
      <c r="DX22" s="168"/>
      <c r="DY22" s="168"/>
      <c r="DZ22" s="168"/>
      <c r="EA22" s="131"/>
      <c r="EB22" s="131"/>
      <c r="EC22" s="170"/>
      <c r="ED22" s="131"/>
      <c r="EE22" s="131"/>
      <c r="EF22" s="169"/>
      <c r="EG22" s="167"/>
      <c r="EH22" s="167"/>
      <c r="EI22" s="167"/>
      <c r="EJ22" s="131"/>
      <c r="EK22" s="131"/>
      <c r="EL22" s="131"/>
      <c r="EM22" s="131"/>
      <c r="EN22" s="168"/>
      <c r="EO22" s="168"/>
      <c r="EP22" s="168"/>
      <c r="EQ22" s="168"/>
      <c r="ER22" s="170"/>
      <c r="ES22" s="131"/>
      <c r="ET22" s="169"/>
      <c r="EU22" s="167"/>
      <c r="EV22" s="131"/>
      <c r="EW22" s="131"/>
      <c r="EX22" s="168"/>
      <c r="EY22" s="168"/>
      <c r="EZ22" s="169"/>
      <c r="FA22" s="131"/>
      <c r="FB22" s="168"/>
      <c r="FC22" s="169"/>
      <c r="FD22" s="167"/>
      <c r="FE22" s="131"/>
      <c r="FF22" s="131"/>
      <c r="FG22" s="174"/>
      <c r="FH22" s="174"/>
    </row>
    <row r="23" spans="1:164" x14ac:dyDescent="0.2">
      <c r="A23" t="s">
        <v>327</v>
      </c>
      <c r="B23" s="1" t="s">
        <v>476</v>
      </c>
      <c r="C23" s="1" t="s">
        <v>30</v>
      </c>
      <c r="E23" s="104"/>
      <c r="F23" s="38"/>
      <c r="G23" s="38"/>
      <c r="H23" s="38"/>
      <c r="I23" s="38"/>
      <c r="J23" s="38"/>
      <c r="K23" s="38"/>
      <c r="L23" s="33"/>
      <c r="M23" s="107"/>
      <c r="N23" s="2"/>
      <c r="O23" s="2"/>
      <c r="P23" s="85"/>
      <c r="Q23" s="33"/>
      <c r="R23" s="38"/>
      <c r="S23" s="33"/>
      <c r="T23" s="107"/>
      <c r="U23" s="2"/>
      <c r="V23" s="33"/>
      <c r="W23" s="36"/>
      <c r="X23" s="33"/>
      <c r="Y23" s="38"/>
      <c r="Z23" s="33"/>
      <c r="AA23" s="2"/>
      <c r="AB23" s="36"/>
      <c r="AC23" s="38"/>
      <c r="AD23" s="33"/>
      <c r="AE23" s="2"/>
      <c r="AF23" s="36"/>
      <c r="AG23" s="2"/>
      <c r="AH23" s="36"/>
      <c r="AI23" s="2"/>
      <c r="AJ23" s="36"/>
      <c r="AK23" s="33"/>
      <c r="AL23" s="33"/>
      <c r="AM23" s="168"/>
      <c r="AN23" s="33"/>
      <c r="AO23" s="33"/>
      <c r="AP23" s="33"/>
      <c r="AQ23" s="33"/>
      <c r="AR23" s="33"/>
      <c r="AS23" s="158"/>
      <c r="AT23" s="159"/>
      <c r="AU23" s="159"/>
      <c r="AV23" s="172"/>
      <c r="AW23" s="159"/>
      <c r="AX23" s="159"/>
      <c r="AY23" s="159"/>
      <c r="AZ23" s="159"/>
      <c r="BA23" s="159"/>
      <c r="BB23" s="33"/>
      <c r="BC23" s="104"/>
      <c r="BD23" s="33"/>
      <c r="BE23" s="33"/>
      <c r="BF23" s="2"/>
      <c r="BG23" s="104"/>
      <c r="BH23" s="2"/>
      <c r="BI23" s="33"/>
      <c r="BJ23" s="104"/>
      <c r="BK23" s="38"/>
      <c r="BL23" s="38"/>
      <c r="BM23" s="38"/>
      <c r="BN23" s="2"/>
      <c r="BO23" s="2"/>
      <c r="BP23" s="2"/>
      <c r="BQ23" s="2"/>
      <c r="BR23" s="33"/>
      <c r="BS23" s="104"/>
      <c r="BT23" s="38"/>
      <c r="BU23" s="34"/>
      <c r="BV23" s="2"/>
      <c r="BW23" s="2"/>
      <c r="BX23" s="104"/>
      <c r="BY23" s="38"/>
      <c r="BZ23" s="38"/>
      <c r="CA23" s="38"/>
      <c r="CB23" s="2"/>
      <c r="CC23" s="2"/>
      <c r="CD23" s="2"/>
      <c r="CE23" s="2"/>
      <c r="CF23" s="33"/>
      <c r="CG23" s="104"/>
      <c r="CH23" s="38"/>
      <c r="CI23" s="33"/>
      <c r="CJ23" s="2"/>
      <c r="CK23" s="2"/>
      <c r="CL23" s="169"/>
      <c r="CM23" s="167"/>
      <c r="CN23" s="167"/>
      <c r="CO23" s="167"/>
      <c r="CP23" s="167"/>
      <c r="CQ23" s="167"/>
      <c r="CR23" s="167"/>
      <c r="CS23" s="167"/>
      <c r="CT23" s="168"/>
      <c r="CU23" s="104"/>
      <c r="CV23" s="38"/>
      <c r="CW23" s="2"/>
      <c r="CX23" s="2"/>
      <c r="CY23" s="33"/>
      <c r="CZ23" s="33"/>
      <c r="DA23" s="104"/>
      <c r="DB23" s="2"/>
      <c r="DC23" s="33"/>
      <c r="DD23" s="169"/>
      <c r="DE23" s="131"/>
      <c r="DF23" s="172"/>
      <c r="DG23" s="104"/>
      <c r="DH23" s="110"/>
      <c r="DI23" s="33"/>
      <c r="DJ23" s="33"/>
      <c r="DK23" s="2"/>
      <c r="DL23" s="33"/>
      <c r="DM23" s="170"/>
      <c r="DN23" s="168"/>
      <c r="DO23" s="168"/>
      <c r="DP23" s="168"/>
      <c r="DQ23" s="168"/>
      <c r="DR23" s="168"/>
      <c r="DS23" s="131"/>
      <c r="DT23" s="131"/>
      <c r="DU23" s="131"/>
      <c r="DV23" s="131"/>
      <c r="DW23" s="169"/>
      <c r="DX23" s="168"/>
      <c r="DY23" s="168"/>
      <c r="DZ23" s="168"/>
      <c r="EA23" s="131"/>
      <c r="EB23" s="131"/>
      <c r="EC23" s="170"/>
      <c r="ED23" s="131"/>
      <c r="EE23" s="131"/>
      <c r="EF23" s="169"/>
      <c r="EG23" s="167"/>
      <c r="EH23" s="167"/>
      <c r="EI23" s="167"/>
      <c r="EJ23" s="131"/>
      <c r="EK23" s="131"/>
      <c r="EL23" s="131"/>
      <c r="EM23" s="131"/>
      <c r="EN23" s="168"/>
      <c r="EO23" s="168"/>
      <c r="EP23" s="168"/>
      <c r="EQ23" s="168"/>
      <c r="ER23" s="170"/>
      <c r="ES23" s="131"/>
      <c r="ET23" s="169"/>
      <c r="EU23" s="167"/>
      <c r="EV23" s="131"/>
      <c r="EW23" s="131"/>
      <c r="EX23" s="168"/>
      <c r="EY23" s="168"/>
      <c r="EZ23" s="169"/>
      <c r="FA23" s="131"/>
      <c r="FB23" s="168"/>
      <c r="FC23" s="169"/>
      <c r="FD23" s="167"/>
      <c r="FE23" s="131"/>
      <c r="FF23" s="131"/>
      <c r="FG23" s="174"/>
      <c r="FH23" s="174"/>
    </row>
    <row r="24" spans="1:164" x14ac:dyDescent="0.2">
      <c r="A24" t="s">
        <v>327</v>
      </c>
      <c r="B24" s="1" t="s">
        <v>476</v>
      </c>
      <c r="C24" t="s">
        <v>48</v>
      </c>
      <c r="E24" s="104"/>
      <c r="F24" s="38"/>
      <c r="G24" s="38"/>
      <c r="H24" s="38"/>
      <c r="I24" s="38"/>
      <c r="J24" s="38"/>
      <c r="K24" s="38"/>
      <c r="L24" s="33"/>
      <c r="M24" s="107"/>
      <c r="N24" s="2"/>
      <c r="O24" s="2"/>
      <c r="P24" s="85"/>
      <c r="Q24" s="33"/>
      <c r="R24" s="38"/>
      <c r="S24" s="33"/>
      <c r="T24" s="107"/>
      <c r="U24" s="2"/>
      <c r="V24" s="33"/>
      <c r="W24" s="36"/>
      <c r="X24" s="33"/>
      <c r="Y24" s="38"/>
      <c r="Z24" s="33"/>
      <c r="AA24" s="2"/>
      <c r="AB24" s="36"/>
      <c r="AC24" s="38"/>
      <c r="AD24" s="33"/>
      <c r="AE24" s="2"/>
      <c r="AF24" s="36"/>
      <c r="AG24" s="2"/>
      <c r="AH24" s="36"/>
      <c r="AI24" s="2"/>
      <c r="AJ24" s="170"/>
      <c r="AK24" s="168"/>
      <c r="AL24" s="33"/>
      <c r="AM24" s="33"/>
      <c r="AN24" s="33"/>
      <c r="AO24" s="33"/>
      <c r="AP24" s="33"/>
      <c r="AQ24" s="33"/>
      <c r="AR24" s="33"/>
      <c r="AS24" s="171"/>
      <c r="AT24" s="172"/>
      <c r="AU24" s="159"/>
      <c r="AV24" s="159"/>
      <c r="AW24" s="159"/>
      <c r="AX24" s="159"/>
      <c r="AY24" s="159"/>
      <c r="AZ24" s="159"/>
      <c r="BA24" s="159"/>
      <c r="BB24" s="33"/>
      <c r="BC24" s="104"/>
      <c r="BD24" s="33"/>
      <c r="BE24" s="33"/>
      <c r="BF24" s="2"/>
      <c r="BG24" s="104"/>
      <c r="BH24" s="2"/>
      <c r="BI24" s="33"/>
      <c r="BJ24" s="169"/>
      <c r="BK24" s="167"/>
      <c r="BL24" s="167"/>
      <c r="BM24" s="167"/>
      <c r="BN24" s="131"/>
      <c r="BO24" s="131"/>
      <c r="BP24" s="131"/>
      <c r="BQ24" s="131"/>
      <c r="BR24" s="168"/>
      <c r="BS24" s="169"/>
      <c r="BT24" s="167"/>
      <c r="BU24" s="174"/>
      <c r="BV24" s="131"/>
      <c r="BW24" s="131"/>
      <c r="BX24" s="104"/>
      <c r="BY24" s="38"/>
      <c r="BZ24" s="38"/>
      <c r="CA24" s="38"/>
      <c r="CB24" s="2"/>
      <c r="CC24" s="2"/>
      <c r="CD24" s="2"/>
      <c r="CE24" s="2"/>
      <c r="CF24" s="33"/>
      <c r="CG24" s="104"/>
      <c r="CH24" s="38"/>
      <c r="CI24" s="33"/>
      <c r="CJ24" s="2"/>
      <c r="CK24" s="2"/>
      <c r="CL24" s="104"/>
      <c r="CM24" s="38"/>
      <c r="CN24" s="38"/>
      <c r="CO24" s="38"/>
      <c r="CP24" s="38"/>
      <c r="CQ24" s="38"/>
      <c r="CR24" s="38"/>
      <c r="CS24" s="38"/>
      <c r="CT24" s="33"/>
      <c r="CU24" s="104"/>
      <c r="CV24" s="38"/>
      <c r="CW24" s="2"/>
      <c r="CX24" s="2"/>
      <c r="CY24" s="33"/>
      <c r="CZ24" s="33"/>
      <c r="DA24" s="104"/>
      <c r="DB24" s="2"/>
      <c r="DC24" s="33"/>
      <c r="DD24" s="169"/>
      <c r="DE24" s="131"/>
      <c r="DF24" s="172"/>
      <c r="DG24" s="169"/>
      <c r="DH24" s="178"/>
      <c r="DI24" s="168"/>
      <c r="DJ24" s="168"/>
      <c r="DK24" s="131"/>
      <c r="DL24" s="168"/>
      <c r="DM24" s="170"/>
      <c r="DN24" s="168"/>
      <c r="DO24" s="168"/>
      <c r="DP24" s="168"/>
      <c r="DQ24" s="168"/>
      <c r="DR24" s="168"/>
      <c r="DS24" s="131"/>
      <c r="DT24" s="131"/>
      <c r="DU24" s="131"/>
      <c r="DV24" s="131"/>
      <c r="DW24" s="169"/>
      <c r="DX24" s="168"/>
      <c r="DY24" s="168"/>
      <c r="DZ24" s="168"/>
      <c r="EA24" s="131"/>
      <c r="EB24" s="131"/>
      <c r="EC24" s="170"/>
      <c r="ED24" s="131"/>
      <c r="EE24" s="131"/>
      <c r="EF24" s="169"/>
      <c r="EG24" s="167"/>
      <c r="EH24" s="167"/>
      <c r="EI24" s="167"/>
      <c r="EJ24" s="131"/>
      <c r="EK24" s="131"/>
      <c r="EL24" s="131"/>
      <c r="EM24" s="131"/>
      <c r="EN24" s="168"/>
      <c r="EO24" s="168"/>
      <c r="EP24" s="168"/>
      <c r="EQ24" s="168"/>
      <c r="ER24" s="170"/>
      <c r="ES24" s="131"/>
      <c r="ET24" s="169"/>
      <c r="EU24" s="167"/>
      <c r="EV24" s="131"/>
      <c r="EW24" s="131"/>
      <c r="EX24" s="168"/>
      <c r="EY24" s="168"/>
      <c r="EZ24" s="169"/>
      <c r="FA24" s="131"/>
      <c r="FB24" s="168"/>
      <c r="FC24" s="169"/>
      <c r="FD24" s="167"/>
      <c r="FE24" s="131"/>
      <c r="FF24" s="131"/>
      <c r="FG24" s="174"/>
      <c r="FH24" s="174"/>
    </row>
    <row r="25" spans="1:164" x14ac:dyDescent="0.2">
      <c r="A25" t="s">
        <v>327</v>
      </c>
      <c r="B25" s="1" t="s">
        <v>477</v>
      </c>
      <c r="C25" s="1" t="s">
        <v>30</v>
      </c>
      <c r="E25" s="104"/>
      <c r="F25" s="38"/>
      <c r="G25" s="38"/>
      <c r="H25" s="38"/>
      <c r="I25" s="38"/>
      <c r="J25" s="38"/>
      <c r="K25" s="38"/>
      <c r="L25" s="33"/>
      <c r="M25" s="107"/>
      <c r="N25" s="2"/>
      <c r="O25" s="2"/>
      <c r="P25" s="85"/>
      <c r="Q25" s="33"/>
      <c r="R25" s="38"/>
      <c r="S25" s="33"/>
      <c r="T25" s="107"/>
      <c r="U25" s="2"/>
      <c r="V25" s="33"/>
      <c r="W25" s="36"/>
      <c r="X25" s="33"/>
      <c r="Y25" s="38"/>
      <c r="Z25" s="33"/>
      <c r="AA25" s="2"/>
      <c r="AB25" s="36"/>
      <c r="AC25" s="38"/>
      <c r="AD25" s="33"/>
      <c r="AE25" s="2"/>
      <c r="AF25" s="36"/>
      <c r="AG25" s="2"/>
      <c r="AH25" s="36"/>
      <c r="AI25" s="2"/>
      <c r="AJ25" s="36"/>
      <c r="AK25" s="33"/>
      <c r="AL25" s="33"/>
      <c r="AM25" s="168"/>
      <c r="AN25" s="33"/>
      <c r="AO25" s="33"/>
      <c r="AP25" s="33"/>
      <c r="AQ25" s="33"/>
      <c r="AR25" s="33"/>
      <c r="AS25" s="158"/>
      <c r="AT25" s="159"/>
      <c r="AU25" s="159"/>
      <c r="AV25" s="172"/>
      <c r="AW25" s="159"/>
      <c r="AX25" s="159"/>
      <c r="AY25" s="159"/>
      <c r="AZ25" s="159"/>
      <c r="BA25" s="159"/>
      <c r="BB25" s="33"/>
      <c r="BC25" s="104"/>
      <c r="BD25" s="33"/>
      <c r="BE25" s="33"/>
      <c r="BF25" s="2"/>
      <c r="BG25" s="104"/>
      <c r="BH25" s="2"/>
      <c r="BI25" s="33"/>
      <c r="BJ25" s="104"/>
      <c r="BK25" s="38"/>
      <c r="BL25" s="38"/>
      <c r="BM25" s="38"/>
      <c r="BN25" s="2"/>
      <c r="BO25" s="2"/>
      <c r="BP25" s="2"/>
      <c r="BQ25" s="2"/>
      <c r="BR25" s="33"/>
      <c r="BS25" s="104"/>
      <c r="BT25" s="38"/>
      <c r="BU25" s="34"/>
      <c r="BV25" s="2"/>
      <c r="BW25" s="2"/>
      <c r="BX25" s="104"/>
      <c r="BY25" s="38"/>
      <c r="BZ25" s="38"/>
      <c r="CA25" s="38"/>
      <c r="CB25" s="2"/>
      <c r="CC25" s="2"/>
      <c r="CD25" s="2"/>
      <c r="CE25" s="2"/>
      <c r="CF25" s="33"/>
      <c r="CG25" s="104"/>
      <c r="CH25" s="38"/>
      <c r="CI25" s="33"/>
      <c r="CJ25" s="2"/>
      <c r="CK25" s="2"/>
      <c r="CL25" s="169"/>
      <c r="CM25" s="167"/>
      <c r="CN25" s="167"/>
      <c r="CO25" s="167"/>
      <c r="CP25" s="167"/>
      <c r="CQ25" s="167"/>
      <c r="CR25" s="167"/>
      <c r="CS25" s="167"/>
      <c r="CT25" s="168"/>
      <c r="CU25" s="104"/>
      <c r="CV25" s="38"/>
      <c r="CW25" s="2"/>
      <c r="CX25" s="2"/>
      <c r="CY25" s="33"/>
      <c r="CZ25" s="33"/>
      <c r="DA25" s="104"/>
      <c r="DB25" s="2"/>
      <c r="DC25" s="33"/>
      <c r="DD25" s="169"/>
      <c r="DE25" s="131"/>
      <c r="DF25" s="172"/>
      <c r="DG25" s="104"/>
      <c r="DH25" s="110"/>
      <c r="DI25" s="33"/>
      <c r="DJ25" s="33"/>
      <c r="DK25" s="2"/>
      <c r="DL25" s="33"/>
      <c r="DM25" s="170"/>
      <c r="DN25" s="168"/>
      <c r="DO25" s="168"/>
      <c r="DP25" s="168"/>
      <c r="DQ25" s="168"/>
      <c r="DR25" s="168"/>
      <c r="DS25" s="131"/>
      <c r="DT25" s="131"/>
      <c r="DU25" s="131"/>
      <c r="DV25" s="131"/>
      <c r="DW25" s="169"/>
      <c r="DX25" s="168"/>
      <c r="DY25" s="168"/>
      <c r="DZ25" s="168"/>
      <c r="EA25" s="131"/>
      <c r="EB25" s="131"/>
      <c r="EC25" s="170"/>
      <c r="ED25" s="131"/>
      <c r="EE25" s="131"/>
      <c r="EF25" s="169"/>
      <c r="EG25" s="167"/>
      <c r="EH25" s="167"/>
      <c r="EI25" s="167"/>
      <c r="EJ25" s="131"/>
      <c r="EK25" s="131"/>
      <c r="EL25" s="131"/>
      <c r="EM25" s="131"/>
      <c r="EN25" s="168"/>
      <c r="EO25" s="168"/>
      <c r="EP25" s="168"/>
      <c r="EQ25" s="168"/>
      <c r="ER25" s="170"/>
      <c r="ES25" s="131"/>
      <c r="ET25" s="169"/>
      <c r="EU25" s="167"/>
      <c r="EV25" s="131"/>
      <c r="EW25" s="131"/>
      <c r="EX25" s="168"/>
      <c r="EY25" s="168"/>
      <c r="EZ25" s="169"/>
      <c r="FA25" s="131"/>
      <c r="FB25" s="168"/>
      <c r="FC25" s="169"/>
      <c r="FD25" s="167"/>
      <c r="FE25" s="131"/>
      <c r="FF25" s="131"/>
      <c r="FG25" s="174"/>
      <c r="FH25" s="174"/>
    </row>
    <row r="26" spans="1:164" x14ac:dyDescent="0.2">
      <c r="A26" t="s">
        <v>327</v>
      </c>
      <c r="B26" s="1" t="s">
        <v>477</v>
      </c>
      <c r="C26" t="s">
        <v>48</v>
      </c>
      <c r="E26" s="104"/>
      <c r="F26" s="38"/>
      <c r="G26" s="38"/>
      <c r="H26" s="38"/>
      <c r="I26" s="38"/>
      <c r="J26" s="38"/>
      <c r="K26" s="38"/>
      <c r="L26" s="33"/>
      <c r="M26" s="107"/>
      <c r="N26" s="2"/>
      <c r="O26" s="2"/>
      <c r="P26" s="85"/>
      <c r="Q26" s="33"/>
      <c r="R26" s="38"/>
      <c r="S26" s="33"/>
      <c r="T26" s="107"/>
      <c r="U26" s="2"/>
      <c r="V26" s="33"/>
      <c r="W26" s="36"/>
      <c r="X26" s="33"/>
      <c r="Y26" s="38"/>
      <c r="Z26" s="33"/>
      <c r="AA26" s="2"/>
      <c r="AB26" s="36"/>
      <c r="AC26" s="38"/>
      <c r="AD26" s="33"/>
      <c r="AE26" s="2"/>
      <c r="AF26" s="36"/>
      <c r="AG26" s="2"/>
      <c r="AH26" s="36"/>
      <c r="AI26" s="2"/>
      <c r="AJ26" s="170"/>
      <c r="AK26" s="168"/>
      <c r="AL26" s="33"/>
      <c r="AM26" s="33"/>
      <c r="AN26" s="33"/>
      <c r="AO26" s="33"/>
      <c r="AP26" s="33"/>
      <c r="AQ26" s="33"/>
      <c r="AR26" s="33"/>
      <c r="AS26" s="171"/>
      <c r="AT26" s="172"/>
      <c r="AU26" s="159"/>
      <c r="AV26" s="159"/>
      <c r="AW26" s="159"/>
      <c r="AX26" s="159"/>
      <c r="AY26" s="159"/>
      <c r="AZ26" s="159"/>
      <c r="BA26" s="159"/>
      <c r="BB26" s="33"/>
      <c r="BC26" s="104"/>
      <c r="BD26" s="33"/>
      <c r="BE26" s="33"/>
      <c r="BF26" s="2"/>
      <c r="BG26" s="104"/>
      <c r="BH26" s="2"/>
      <c r="BI26" s="33"/>
      <c r="BJ26" s="169"/>
      <c r="BK26" s="167"/>
      <c r="BL26" s="167"/>
      <c r="BM26" s="167"/>
      <c r="BN26" s="131"/>
      <c r="BO26" s="131"/>
      <c r="BP26" s="131"/>
      <c r="BQ26" s="131"/>
      <c r="BR26" s="168"/>
      <c r="BS26" s="169"/>
      <c r="BT26" s="167"/>
      <c r="BU26" s="174"/>
      <c r="BV26" s="131"/>
      <c r="BW26" s="131"/>
      <c r="BX26" s="104"/>
      <c r="BY26" s="38"/>
      <c r="BZ26" s="38"/>
      <c r="CA26" s="38"/>
      <c r="CB26" s="2"/>
      <c r="CC26" s="2"/>
      <c r="CD26" s="2"/>
      <c r="CE26" s="2"/>
      <c r="CF26" s="33"/>
      <c r="CG26" s="104"/>
      <c r="CH26" s="38"/>
      <c r="CI26" s="33"/>
      <c r="CJ26" s="2"/>
      <c r="CK26" s="2"/>
      <c r="CL26" s="104"/>
      <c r="CM26" s="38"/>
      <c r="CN26" s="38"/>
      <c r="CO26" s="38"/>
      <c r="CP26" s="38"/>
      <c r="CQ26" s="38"/>
      <c r="CR26" s="38"/>
      <c r="CS26" s="38"/>
      <c r="CT26" s="33"/>
      <c r="CU26" s="104"/>
      <c r="CV26" s="38"/>
      <c r="CW26" s="2"/>
      <c r="CX26" s="2"/>
      <c r="CY26" s="33"/>
      <c r="CZ26" s="33"/>
      <c r="DA26" s="104"/>
      <c r="DB26" s="2"/>
      <c r="DC26" s="33"/>
      <c r="DD26" s="169"/>
      <c r="DE26" s="131"/>
      <c r="DF26" s="172"/>
      <c r="DG26" s="169"/>
      <c r="DH26" s="178"/>
      <c r="DI26" s="168"/>
      <c r="DJ26" s="168"/>
      <c r="DK26" s="131"/>
      <c r="DL26" s="168"/>
      <c r="DM26" s="170"/>
      <c r="DN26" s="168"/>
      <c r="DO26" s="168"/>
      <c r="DP26" s="168"/>
      <c r="DQ26" s="168"/>
      <c r="DR26" s="168"/>
      <c r="DS26" s="131"/>
      <c r="DT26" s="131"/>
      <c r="DU26" s="131"/>
      <c r="DV26" s="131"/>
      <c r="DW26" s="169"/>
      <c r="DX26" s="168"/>
      <c r="DY26" s="168"/>
      <c r="DZ26" s="168"/>
      <c r="EA26" s="131"/>
      <c r="EB26" s="131"/>
      <c r="EC26" s="170"/>
      <c r="ED26" s="131"/>
      <c r="EE26" s="131"/>
      <c r="EF26" s="169"/>
      <c r="EG26" s="167"/>
      <c r="EH26" s="167"/>
      <c r="EI26" s="167"/>
      <c r="EJ26" s="131"/>
      <c r="EK26" s="131"/>
      <c r="EL26" s="131"/>
      <c r="EM26" s="131"/>
      <c r="EN26" s="168"/>
      <c r="EO26" s="168"/>
      <c r="EP26" s="168"/>
      <c r="EQ26" s="168"/>
      <c r="ER26" s="170"/>
      <c r="ES26" s="131"/>
      <c r="ET26" s="169"/>
      <c r="EU26" s="167"/>
      <c r="EV26" s="131"/>
      <c r="EW26" s="131"/>
      <c r="EX26" s="168"/>
      <c r="EY26" s="168"/>
      <c r="EZ26" s="169"/>
      <c r="FA26" s="131"/>
      <c r="FB26" s="168"/>
      <c r="FC26" s="169"/>
      <c r="FD26" s="167"/>
      <c r="FE26" s="131"/>
      <c r="FF26" s="131"/>
      <c r="FG26" s="174"/>
      <c r="FH26" s="174"/>
    </row>
    <row r="27" spans="1:164" x14ac:dyDescent="0.2">
      <c r="A27" t="s">
        <v>327</v>
      </c>
      <c r="B27" s="1" t="s">
        <v>478</v>
      </c>
      <c r="C27" s="1" t="s">
        <v>30</v>
      </c>
      <c r="E27" s="104"/>
      <c r="F27" s="38"/>
      <c r="G27" s="38"/>
      <c r="H27" s="38"/>
      <c r="I27" s="38"/>
      <c r="J27" s="38"/>
      <c r="K27" s="38"/>
      <c r="L27" s="33"/>
      <c r="M27" s="107"/>
      <c r="N27" s="2"/>
      <c r="O27" s="2"/>
      <c r="P27" s="85"/>
      <c r="Q27" s="33"/>
      <c r="R27" s="38"/>
      <c r="S27" s="33"/>
      <c r="T27" s="107"/>
      <c r="U27" s="2"/>
      <c r="V27" s="33"/>
      <c r="W27" s="36"/>
      <c r="X27" s="33"/>
      <c r="Y27" s="38"/>
      <c r="Z27" s="33"/>
      <c r="AA27" s="2"/>
      <c r="AB27" s="36"/>
      <c r="AC27" s="38"/>
      <c r="AD27" s="33"/>
      <c r="AE27" s="2"/>
      <c r="AF27" s="36"/>
      <c r="AG27" s="2"/>
      <c r="AH27" s="36"/>
      <c r="AI27" s="2"/>
      <c r="AJ27" s="36"/>
      <c r="AK27" s="33"/>
      <c r="AL27" s="33"/>
      <c r="AM27" s="168"/>
      <c r="AN27" s="33"/>
      <c r="AO27" s="33"/>
      <c r="AP27" s="33"/>
      <c r="AQ27" s="33"/>
      <c r="AR27" s="33"/>
      <c r="AS27" s="158"/>
      <c r="AT27" s="159"/>
      <c r="AU27" s="159"/>
      <c r="AV27" s="172"/>
      <c r="AW27" s="159"/>
      <c r="AX27" s="159"/>
      <c r="AY27" s="159"/>
      <c r="AZ27" s="159"/>
      <c r="BA27" s="159"/>
      <c r="BB27" s="33"/>
      <c r="BC27" s="104"/>
      <c r="BD27" s="33"/>
      <c r="BE27" s="33"/>
      <c r="BF27" s="2"/>
      <c r="BG27" s="104"/>
      <c r="BH27" s="2"/>
      <c r="BI27" s="33"/>
      <c r="BJ27" s="104"/>
      <c r="BK27" s="38"/>
      <c r="BL27" s="38"/>
      <c r="BM27" s="38"/>
      <c r="BN27" s="2"/>
      <c r="BO27" s="2"/>
      <c r="BP27" s="2"/>
      <c r="BQ27" s="2"/>
      <c r="BR27" s="33"/>
      <c r="BS27" s="104"/>
      <c r="BT27" s="38"/>
      <c r="BU27" s="34"/>
      <c r="BV27" s="2"/>
      <c r="BW27" s="2"/>
      <c r="BX27" s="104"/>
      <c r="BY27" s="38"/>
      <c r="BZ27" s="38"/>
      <c r="CA27" s="38"/>
      <c r="CB27" s="2"/>
      <c r="CC27" s="2"/>
      <c r="CD27" s="2"/>
      <c r="CE27" s="2"/>
      <c r="CF27" s="33"/>
      <c r="CG27" s="104"/>
      <c r="CH27" s="38"/>
      <c r="CI27" s="33"/>
      <c r="CJ27" s="2"/>
      <c r="CK27" s="2"/>
      <c r="CL27" s="169"/>
      <c r="CM27" s="167"/>
      <c r="CN27" s="167"/>
      <c r="CO27" s="167"/>
      <c r="CP27" s="167"/>
      <c r="CQ27" s="167"/>
      <c r="CR27" s="167"/>
      <c r="CS27" s="167"/>
      <c r="CT27" s="168"/>
      <c r="CU27" s="104"/>
      <c r="CV27" s="38"/>
      <c r="CW27" s="2"/>
      <c r="CX27" s="2"/>
      <c r="CY27" s="33"/>
      <c r="CZ27" s="33"/>
      <c r="DA27" s="104"/>
      <c r="DB27" s="2"/>
      <c r="DC27" s="33"/>
      <c r="DD27" s="169"/>
      <c r="DE27" s="131"/>
      <c r="DF27" s="172"/>
      <c r="DG27" s="169"/>
      <c r="DH27" s="178"/>
      <c r="DI27" s="168"/>
      <c r="DJ27" s="168"/>
      <c r="DK27" s="131"/>
      <c r="DL27" s="168"/>
      <c r="DM27" s="170"/>
      <c r="DN27" s="168"/>
      <c r="DO27" s="168"/>
      <c r="DP27" s="168"/>
      <c r="DQ27" s="168"/>
      <c r="DR27" s="168"/>
      <c r="DS27" s="131"/>
      <c r="DT27" s="131"/>
      <c r="DU27" s="131"/>
      <c r="DV27" s="131"/>
      <c r="DW27" s="169"/>
      <c r="DX27" s="168"/>
      <c r="DY27" s="168"/>
      <c r="DZ27" s="168"/>
      <c r="EA27" s="131"/>
      <c r="EB27" s="131"/>
      <c r="EC27" s="170"/>
      <c r="ED27" s="131"/>
      <c r="EE27" s="131"/>
      <c r="EF27" s="169"/>
      <c r="EG27" s="167"/>
      <c r="EH27" s="167"/>
      <c r="EI27" s="167"/>
      <c r="EJ27" s="131"/>
      <c r="EK27" s="131"/>
      <c r="EL27" s="131"/>
      <c r="EM27" s="131"/>
      <c r="EN27" s="168"/>
      <c r="EO27" s="168"/>
      <c r="EP27" s="168"/>
      <c r="EQ27" s="168"/>
      <c r="ER27" s="170"/>
      <c r="ES27" s="131"/>
      <c r="ET27" s="169"/>
      <c r="EU27" s="167"/>
      <c r="EV27" s="131"/>
      <c r="EW27" s="131"/>
      <c r="EX27" s="168"/>
      <c r="EY27" s="168"/>
      <c r="EZ27" s="169"/>
      <c r="FA27" s="131"/>
      <c r="FB27" s="168"/>
      <c r="FC27" s="169"/>
      <c r="FD27" s="167"/>
      <c r="FE27" s="131"/>
      <c r="FF27" s="131"/>
      <c r="FG27" s="174"/>
      <c r="FH27" s="174"/>
    </row>
    <row r="28" spans="1:164" x14ac:dyDescent="0.2">
      <c r="A28" t="s">
        <v>327</v>
      </c>
      <c r="B28" s="1" t="s">
        <v>478</v>
      </c>
      <c r="C28" t="s">
        <v>48</v>
      </c>
      <c r="E28" s="104"/>
      <c r="F28" s="38"/>
      <c r="G28" s="38"/>
      <c r="H28" s="38"/>
      <c r="I28" s="38"/>
      <c r="J28" s="38"/>
      <c r="K28" s="38"/>
      <c r="L28" s="33"/>
      <c r="M28" s="107"/>
      <c r="N28" s="2"/>
      <c r="O28" s="2"/>
      <c r="P28" s="85"/>
      <c r="Q28" s="33"/>
      <c r="R28" s="38"/>
      <c r="S28" s="33"/>
      <c r="T28" s="107"/>
      <c r="U28" s="2"/>
      <c r="V28" s="33"/>
      <c r="W28" s="36"/>
      <c r="X28" s="33"/>
      <c r="Y28" s="38"/>
      <c r="Z28" s="33"/>
      <c r="AA28" s="2"/>
      <c r="AB28" s="36"/>
      <c r="AC28" s="38"/>
      <c r="AD28" s="33"/>
      <c r="AE28" s="2"/>
      <c r="AF28" s="36"/>
      <c r="AG28" s="2"/>
      <c r="AH28" s="36"/>
      <c r="AI28" s="2"/>
      <c r="AJ28" s="170"/>
      <c r="AK28" s="168"/>
      <c r="AL28" s="33"/>
      <c r="AM28" s="33"/>
      <c r="AN28" s="33"/>
      <c r="AO28" s="33"/>
      <c r="AP28" s="33"/>
      <c r="AQ28" s="33"/>
      <c r="AR28" s="33"/>
      <c r="AS28" s="171"/>
      <c r="AT28" s="172"/>
      <c r="AU28" s="159"/>
      <c r="AV28" s="159"/>
      <c r="AW28" s="159"/>
      <c r="AX28" s="159"/>
      <c r="AY28" s="159"/>
      <c r="AZ28" s="159"/>
      <c r="BA28" s="159"/>
      <c r="BB28" s="33"/>
      <c r="BC28" s="104"/>
      <c r="BD28" s="33"/>
      <c r="BE28" s="33"/>
      <c r="BF28" s="2"/>
      <c r="BG28" s="104"/>
      <c r="BH28" s="2"/>
      <c r="BI28" s="33"/>
      <c r="BJ28" s="169"/>
      <c r="BK28" s="167"/>
      <c r="BL28" s="167"/>
      <c r="BM28" s="167"/>
      <c r="BN28" s="131"/>
      <c r="BO28" s="131"/>
      <c r="BP28" s="131"/>
      <c r="BQ28" s="131"/>
      <c r="BR28" s="168"/>
      <c r="BS28" s="169"/>
      <c r="BT28" s="167"/>
      <c r="BU28" s="174"/>
      <c r="BV28" s="131"/>
      <c r="BW28" s="131"/>
      <c r="BX28" s="104"/>
      <c r="BY28" s="38"/>
      <c r="BZ28" s="38"/>
      <c r="CA28" s="38"/>
      <c r="CB28" s="2"/>
      <c r="CC28" s="2"/>
      <c r="CD28" s="2"/>
      <c r="CE28" s="2"/>
      <c r="CF28" s="33"/>
      <c r="CG28" s="104"/>
      <c r="CH28" s="38"/>
      <c r="CI28" s="33"/>
      <c r="CJ28" s="2"/>
      <c r="CK28" s="2"/>
      <c r="CL28" s="104"/>
      <c r="CM28" s="38"/>
      <c r="CN28" s="38"/>
      <c r="CO28" s="38"/>
      <c r="CP28" s="38"/>
      <c r="CQ28" s="38"/>
      <c r="CR28" s="38"/>
      <c r="CS28" s="38"/>
      <c r="CT28" s="33"/>
      <c r="CU28" s="104"/>
      <c r="CV28" s="38"/>
      <c r="CW28" s="2"/>
      <c r="CX28" s="2"/>
      <c r="CY28" s="33"/>
      <c r="CZ28" s="33"/>
      <c r="DA28" s="104"/>
      <c r="DB28" s="2"/>
      <c r="DC28" s="33"/>
      <c r="DD28" s="169"/>
      <c r="DE28" s="131"/>
      <c r="DF28" s="172"/>
      <c r="DG28" s="169"/>
      <c r="DH28" s="178"/>
      <c r="DI28" s="168"/>
      <c r="DJ28" s="168"/>
      <c r="DK28" s="131"/>
      <c r="DL28" s="168"/>
      <c r="DM28" s="170"/>
      <c r="DN28" s="168"/>
      <c r="DO28" s="168"/>
      <c r="DP28" s="168"/>
      <c r="DQ28" s="168"/>
      <c r="DR28" s="168"/>
      <c r="DS28" s="131"/>
      <c r="DT28" s="131"/>
      <c r="DU28" s="131"/>
      <c r="DV28" s="131"/>
      <c r="DW28" s="169"/>
      <c r="DX28" s="168"/>
      <c r="DY28" s="168"/>
      <c r="DZ28" s="168"/>
      <c r="EA28" s="131"/>
      <c r="EB28" s="131"/>
      <c r="EC28" s="170"/>
      <c r="ED28" s="131"/>
      <c r="EE28" s="131"/>
      <c r="EF28" s="169"/>
      <c r="EG28" s="167"/>
      <c r="EH28" s="167"/>
      <c r="EI28" s="167"/>
      <c r="EJ28" s="131"/>
      <c r="EK28" s="131"/>
      <c r="EL28" s="131"/>
      <c r="EM28" s="131"/>
      <c r="EN28" s="168"/>
      <c r="EO28" s="168"/>
      <c r="EP28" s="168"/>
      <c r="EQ28" s="168"/>
      <c r="ER28" s="170"/>
      <c r="ES28" s="131"/>
      <c r="ET28" s="169"/>
      <c r="EU28" s="167"/>
      <c r="EV28" s="131"/>
      <c r="EW28" s="131"/>
      <c r="EX28" s="168"/>
      <c r="EY28" s="168"/>
      <c r="EZ28" s="169"/>
      <c r="FA28" s="131"/>
      <c r="FB28" s="168"/>
      <c r="FC28" s="169"/>
      <c r="FD28" s="167"/>
      <c r="FE28" s="131"/>
      <c r="FF28" s="131"/>
      <c r="FG28" s="174"/>
      <c r="FH28" s="174"/>
    </row>
    <row r="29" spans="1:164" x14ac:dyDescent="0.2">
      <c r="A29" t="s">
        <v>479</v>
      </c>
      <c r="D29" t="s">
        <v>580</v>
      </c>
      <c r="E29" s="104"/>
      <c r="F29" s="38"/>
      <c r="G29" s="38"/>
      <c r="H29" s="38"/>
      <c r="I29" s="38"/>
      <c r="J29" s="38"/>
      <c r="K29" s="167"/>
      <c r="L29" s="168"/>
      <c r="N29" s="2"/>
      <c r="P29" s="85"/>
      <c r="Q29" s="33"/>
      <c r="R29" s="38"/>
      <c r="S29" s="33"/>
      <c r="T29" s="107"/>
      <c r="U29" s="2"/>
      <c r="V29" s="33"/>
      <c r="W29" s="36"/>
      <c r="X29" s="33"/>
      <c r="Y29" s="38"/>
      <c r="Z29" s="33"/>
      <c r="AA29" s="2"/>
      <c r="AB29" s="36"/>
      <c r="AC29" s="38"/>
      <c r="AD29" s="33"/>
      <c r="AE29" s="2"/>
      <c r="AF29" s="36"/>
      <c r="AG29" s="2"/>
      <c r="AH29" s="36"/>
      <c r="AI29" s="2"/>
      <c r="AJ29" s="170"/>
      <c r="AK29" s="168"/>
      <c r="AL29" s="168"/>
      <c r="AM29" s="168"/>
      <c r="AN29" s="168"/>
      <c r="AO29" s="168"/>
      <c r="AP29" s="168"/>
      <c r="AQ29" s="168"/>
      <c r="AR29" s="168"/>
      <c r="AS29" s="171"/>
      <c r="AT29" s="172"/>
      <c r="AU29" s="172"/>
      <c r="AV29" s="172"/>
      <c r="AW29" s="172"/>
      <c r="AX29" s="172"/>
      <c r="AY29" s="172"/>
      <c r="AZ29" s="172"/>
      <c r="BA29" s="172"/>
      <c r="BB29" s="168"/>
      <c r="BC29" s="104"/>
      <c r="BD29" s="33"/>
      <c r="BE29" s="33"/>
      <c r="BF29" s="2"/>
      <c r="BG29" s="104"/>
      <c r="BH29" s="2"/>
      <c r="BI29" s="33"/>
      <c r="BJ29" s="169"/>
      <c r="BK29" s="167"/>
      <c r="BL29" s="167"/>
      <c r="BM29" s="167"/>
      <c r="BN29" s="131"/>
      <c r="BO29" s="131"/>
      <c r="BP29" s="131"/>
      <c r="BQ29" s="131"/>
      <c r="BR29" s="168"/>
      <c r="BS29" s="169"/>
      <c r="BT29" s="167"/>
      <c r="BU29" s="174"/>
      <c r="BV29" s="131"/>
      <c r="BW29" s="131"/>
      <c r="BX29" s="169"/>
      <c r="BY29" s="167"/>
      <c r="BZ29" s="167"/>
      <c r="CA29" s="167"/>
      <c r="CB29" s="131"/>
      <c r="CC29" s="131"/>
      <c r="CD29" s="131"/>
      <c r="CE29" s="131"/>
      <c r="CF29" s="168"/>
      <c r="CG29" s="169"/>
      <c r="CH29" s="167"/>
      <c r="CI29" s="168"/>
      <c r="CJ29" s="131"/>
      <c r="CK29" s="131"/>
      <c r="CL29" s="169"/>
      <c r="CM29" s="167"/>
      <c r="CN29" s="167"/>
      <c r="CO29" s="167"/>
      <c r="CP29" s="167"/>
      <c r="CQ29" s="167"/>
      <c r="CR29" s="167"/>
      <c r="CS29" s="167"/>
      <c r="CT29" s="168"/>
      <c r="CU29" s="104"/>
      <c r="CV29" s="38"/>
      <c r="CW29" s="2"/>
      <c r="CX29" s="2"/>
      <c r="CY29" s="33"/>
      <c r="CZ29" s="33"/>
      <c r="DA29" s="169"/>
      <c r="DB29" s="131"/>
      <c r="DC29" s="168"/>
      <c r="DD29" s="104"/>
      <c r="DE29" s="2"/>
      <c r="DF29" s="33"/>
      <c r="DG29" s="169"/>
      <c r="DH29" s="178"/>
      <c r="DI29" s="168"/>
      <c r="DJ29" s="168"/>
      <c r="DK29" s="131"/>
      <c r="DL29" s="168"/>
      <c r="DM29" s="170"/>
      <c r="DN29" s="168"/>
      <c r="DO29" s="168"/>
      <c r="DP29" s="168"/>
      <c r="DQ29" s="168"/>
      <c r="DR29" s="168"/>
      <c r="DS29" s="131"/>
      <c r="DT29" s="131"/>
      <c r="DU29" s="131"/>
      <c r="DV29" s="131"/>
      <c r="DW29" s="169"/>
      <c r="DX29" s="168"/>
      <c r="DY29" s="168"/>
      <c r="DZ29" s="168"/>
      <c r="EA29" s="131"/>
      <c r="EB29" s="131"/>
      <c r="EC29" s="170"/>
      <c r="ED29" s="131"/>
      <c r="EE29" s="131"/>
      <c r="EF29" s="169"/>
      <c r="EG29" s="167"/>
      <c r="EH29" s="167"/>
      <c r="EI29" s="167"/>
      <c r="EJ29" s="131"/>
      <c r="EK29" s="131"/>
      <c r="EL29" s="131"/>
      <c r="EM29" s="131"/>
      <c r="EN29" s="168"/>
      <c r="EO29" s="168"/>
      <c r="EP29" s="168"/>
      <c r="EQ29" s="168"/>
      <c r="ER29" s="170"/>
      <c r="ES29" s="131"/>
      <c r="ET29" s="169"/>
      <c r="EU29" s="167"/>
      <c r="EV29" s="131"/>
      <c r="EW29" s="131"/>
      <c r="EX29" s="168"/>
      <c r="EY29" s="168"/>
      <c r="EZ29" s="169"/>
      <c r="FA29" s="131"/>
      <c r="FB29" s="168"/>
      <c r="FC29" s="169"/>
      <c r="FD29" s="167"/>
      <c r="FE29" s="131"/>
      <c r="FF29" s="131"/>
      <c r="FG29" s="174"/>
      <c r="FH29" s="174"/>
    </row>
    <row r="30" spans="1:164" x14ac:dyDescent="0.2">
      <c r="A30" t="s">
        <v>479</v>
      </c>
      <c r="D30" t="s">
        <v>581</v>
      </c>
      <c r="E30" s="104"/>
      <c r="F30" s="38"/>
      <c r="G30" s="38"/>
      <c r="H30" s="38"/>
      <c r="I30" s="38"/>
      <c r="J30" s="38"/>
      <c r="K30" s="167"/>
      <c r="L30" s="168"/>
      <c r="N30" s="2"/>
      <c r="P30" s="85"/>
      <c r="Q30" s="33"/>
      <c r="R30" s="38"/>
      <c r="S30" s="33"/>
      <c r="T30" s="107"/>
      <c r="U30" s="2"/>
      <c r="V30" s="33"/>
      <c r="W30" s="36"/>
      <c r="X30" s="33"/>
      <c r="Y30" s="38"/>
      <c r="Z30" s="33"/>
      <c r="AA30" s="2"/>
      <c r="AB30" s="36"/>
      <c r="AC30" s="38"/>
      <c r="AD30" s="33"/>
      <c r="AE30" s="2"/>
      <c r="AF30" s="36"/>
      <c r="AG30" s="2"/>
      <c r="AH30" s="36"/>
      <c r="AI30" s="2"/>
      <c r="AJ30" s="170"/>
      <c r="AK30" s="168"/>
      <c r="AL30" s="168"/>
      <c r="AM30" s="168"/>
      <c r="AN30" s="168"/>
      <c r="AO30" s="168"/>
      <c r="AP30" s="168"/>
      <c r="AQ30" s="168"/>
      <c r="AR30" s="168"/>
      <c r="AS30" s="171"/>
      <c r="AT30" s="172"/>
      <c r="AU30" s="172"/>
      <c r="AV30" s="172"/>
      <c r="AW30" s="172"/>
      <c r="AX30" s="172"/>
      <c r="AY30" s="172"/>
      <c r="AZ30" s="172"/>
      <c r="BA30" s="172"/>
      <c r="BB30" s="168"/>
      <c r="BC30" s="104"/>
      <c r="BD30" s="33"/>
      <c r="BE30" s="33"/>
      <c r="BF30" s="2"/>
      <c r="BG30" s="104"/>
      <c r="BH30" s="2"/>
      <c r="BI30" s="33"/>
      <c r="BJ30" s="169"/>
      <c r="BK30" s="167"/>
      <c r="BL30" s="167"/>
      <c r="BM30" s="167"/>
      <c r="BN30" s="131"/>
      <c r="BO30" s="131"/>
      <c r="BP30" s="131"/>
      <c r="BQ30" s="131"/>
      <c r="BR30" s="168"/>
      <c r="BS30" s="169"/>
      <c r="BT30" s="167"/>
      <c r="BU30" s="174"/>
      <c r="BV30" s="131"/>
      <c r="BW30" s="131"/>
      <c r="BX30" s="169"/>
      <c r="BY30" s="167"/>
      <c r="BZ30" s="167"/>
      <c r="CA30" s="167"/>
      <c r="CB30" s="131"/>
      <c r="CC30" s="131"/>
      <c r="CD30" s="131"/>
      <c r="CE30" s="131"/>
      <c r="CF30" s="168"/>
      <c r="CG30" s="169"/>
      <c r="CH30" s="167"/>
      <c r="CI30" s="168"/>
      <c r="CJ30" s="131"/>
      <c r="CK30" s="131"/>
      <c r="CL30" s="169"/>
      <c r="CM30" s="167"/>
      <c r="CN30" s="167"/>
      <c r="CO30" s="167"/>
      <c r="CP30" s="167"/>
      <c r="CQ30" s="167"/>
      <c r="CR30" s="167"/>
      <c r="CS30" s="167"/>
      <c r="CT30" s="168"/>
      <c r="CU30" s="104"/>
      <c r="CV30" s="38"/>
      <c r="CW30" s="2"/>
      <c r="CX30" s="2"/>
      <c r="CY30" s="33"/>
      <c r="CZ30" s="33"/>
      <c r="DA30" s="169"/>
      <c r="DB30" s="131"/>
      <c r="DC30" s="168"/>
      <c r="DD30" s="104"/>
      <c r="DE30" s="2"/>
      <c r="DF30" s="33"/>
      <c r="DG30" s="169"/>
      <c r="DH30" s="178"/>
      <c r="DI30" s="168"/>
      <c r="DJ30" s="168"/>
      <c r="DK30" s="131"/>
      <c r="DL30" s="168"/>
      <c r="DM30" s="170"/>
      <c r="DN30" s="168"/>
      <c r="DO30" s="168"/>
      <c r="DP30" s="168"/>
      <c r="DQ30" s="168"/>
      <c r="DR30" s="168"/>
      <c r="DS30" s="131"/>
      <c r="DT30" s="131"/>
      <c r="DU30" s="131"/>
      <c r="DV30" s="131"/>
      <c r="DW30" s="169"/>
      <c r="DX30" s="168"/>
      <c r="DY30" s="168"/>
      <c r="DZ30" s="168"/>
      <c r="EA30" s="131"/>
      <c r="EB30" s="131"/>
      <c r="EC30" s="170"/>
      <c r="ED30" s="131"/>
      <c r="EE30" s="131"/>
      <c r="EF30" s="169"/>
      <c r="EG30" s="167"/>
      <c r="EH30" s="167"/>
      <c r="EI30" s="167"/>
      <c r="EJ30" s="131"/>
      <c r="EK30" s="131"/>
      <c r="EL30" s="131"/>
      <c r="EM30" s="131"/>
      <c r="EN30" s="168"/>
      <c r="EO30" s="168"/>
      <c r="EP30" s="168"/>
      <c r="EQ30" s="168"/>
      <c r="ER30" s="170"/>
      <c r="ES30" s="131"/>
      <c r="ET30" s="169"/>
      <c r="EU30" s="167"/>
      <c r="EV30" s="131"/>
      <c r="EW30" s="131"/>
      <c r="EX30" s="168"/>
      <c r="EY30" s="168"/>
      <c r="EZ30" s="169"/>
      <c r="FA30" s="131"/>
      <c r="FB30" s="168"/>
      <c r="FC30" s="169"/>
      <c r="FD30" s="167"/>
      <c r="FE30" s="131"/>
      <c r="FF30" s="131"/>
      <c r="FG30" s="174"/>
      <c r="FH30" s="174"/>
    </row>
    <row r="31" spans="1:164" x14ac:dyDescent="0.2">
      <c r="A31" t="s">
        <v>479</v>
      </c>
      <c r="D31" t="s">
        <v>582</v>
      </c>
      <c r="E31" s="104"/>
      <c r="F31" s="38"/>
      <c r="G31" s="38"/>
      <c r="H31" s="38"/>
      <c r="I31" s="38"/>
      <c r="J31" s="38"/>
      <c r="K31" s="167"/>
      <c r="L31" s="168"/>
      <c r="N31" s="2"/>
      <c r="P31" s="85"/>
      <c r="Q31" s="33"/>
      <c r="R31" s="38"/>
      <c r="S31" s="33"/>
      <c r="T31" s="107"/>
      <c r="U31" s="2"/>
      <c r="V31" s="33"/>
      <c r="W31" s="36"/>
      <c r="X31" s="33"/>
      <c r="Y31" s="38"/>
      <c r="Z31" s="33"/>
      <c r="AA31" s="2"/>
      <c r="AB31" s="36"/>
      <c r="AC31" s="38"/>
      <c r="AD31" s="33"/>
      <c r="AE31" s="2"/>
      <c r="AF31" s="36"/>
      <c r="AG31" s="2"/>
      <c r="AH31" s="36"/>
      <c r="AI31" s="2"/>
      <c r="AJ31" s="170"/>
      <c r="AK31" s="168"/>
      <c r="AL31" s="168"/>
      <c r="AM31" s="168"/>
      <c r="AN31" s="168"/>
      <c r="AO31" s="168"/>
      <c r="AP31" s="168"/>
      <c r="AQ31" s="168"/>
      <c r="AR31" s="168"/>
      <c r="AS31" s="171"/>
      <c r="AT31" s="172"/>
      <c r="AU31" s="172"/>
      <c r="AV31" s="172"/>
      <c r="AW31" s="172"/>
      <c r="AX31" s="172"/>
      <c r="AY31" s="172"/>
      <c r="AZ31" s="172"/>
      <c r="BA31" s="172"/>
      <c r="BB31" s="168"/>
      <c r="BC31" s="104"/>
      <c r="BD31" s="33"/>
      <c r="BE31" s="33"/>
      <c r="BF31" s="2"/>
      <c r="BG31" s="104"/>
      <c r="BH31" s="2"/>
      <c r="BI31" s="33"/>
      <c r="BJ31" s="169"/>
      <c r="BK31" s="167"/>
      <c r="BL31" s="167"/>
      <c r="BM31" s="167"/>
      <c r="BN31" s="131"/>
      <c r="BO31" s="131"/>
      <c r="BP31" s="131"/>
      <c r="BQ31" s="131"/>
      <c r="BR31" s="168"/>
      <c r="BS31" s="169"/>
      <c r="BT31" s="167"/>
      <c r="BU31" s="174"/>
      <c r="BV31" s="131"/>
      <c r="BW31" s="131"/>
      <c r="BX31" s="169"/>
      <c r="BY31" s="167"/>
      <c r="BZ31" s="167"/>
      <c r="CA31" s="167"/>
      <c r="CB31" s="131"/>
      <c r="CC31" s="131"/>
      <c r="CD31" s="131"/>
      <c r="CE31" s="131"/>
      <c r="CF31" s="168"/>
      <c r="CG31" s="169"/>
      <c r="CH31" s="167"/>
      <c r="CI31" s="168"/>
      <c r="CJ31" s="131"/>
      <c r="CK31" s="131"/>
      <c r="CL31" s="169"/>
      <c r="CM31" s="167"/>
      <c r="CN31" s="167"/>
      <c r="CO31" s="167"/>
      <c r="CP31" s="167"/>
      <c r="CQ31" s="167"/>
      <c r="CR31" s="167"/>
      <c r="CS31" s="167"/>
      <c r="CT31" s="168"/>
      <c r="CU31" s="104"/>
      <c r="CV31" s="38"/>
      <c r="CW31" s="2"/>
      <c r="CX31" s="2"/>
      <c r="CY31" s="33"/>
      <c r="CZ31" s="33"/>
      <c r="DA31" s="169"/>
      <c r="DB31" s="131"/>
      <c r="DC31" s="168"/>
      <c r="DD31" s="104"/>
      <c r="DE31" s="2"/>
      <c r="DF31" s="33"/>
      <c r="DG31" s="169"/>
      <c r="DH31" s="178"/>
      <c r="DI31" s="168"/>
      <c r="DJ31" s="168"/>
      <c r="DK31" s="131"/>
      <c r="DL31" s="168"/>
      <c r="DM31" s="170"/>
      <c r="DN31" s="168"/>
      <c r="DO31" s="168"/>
      <c r="DP31" s="168"/>
      <c r="DQ31" s="168"/>
      <c r="DR31" s="168"/>
      <c r="DS31" s="131"/>
      <c r="DT31" s="131"/>
      <c r="DU31" s="131"/>
      <c r="DV31" s="131"/>
      <c r="DW31" s="169"/>
      <c r="DX31" s="168"/>
      <c r="DY31" s="168"/>
      <c r="DZ31" s="168"/>
      <c r="EA31" s="131"/>
      <c r="EB31" s="131"/>
      <c r="EC31" s="170"/>
      <c r="ED31" s="131"/>
      <c r="EE31" s="131"/>
      <c r="EF31" s="169"/>
      <c r="EG31" s="167"/>
      <c r="EH31" s="167"/>
      <c r="EI31" s="167"/>
      <c r="EJ31" s="131"/>
      <c r="EK31" s="131"/>
      <c r="EL31" s="131"/>
      <c r="EM31" s="131"/>
      <c r="EN31" s="168"/>
      <c r="EO31" s="168"/>
      <c r="EP31" s="168"/>
      <c r="EQ31" s="168"/>
      <c r="ER31" s="170"/>
      <c r="ES31" s="131"/>
      <c r="ET31" s="169"/>
      <c r="EU31" s="167"/>
      <c r="EV31" s="131"/>
      <c r="EW31" s="131"/>
      <c r="EX31" s="168"/>
      <c r="EY31" s="168"/>
      <c r="EZ31" s="169"/>
      <c r="FA31" s="131"/>
      <c r="FB31" s="168"/>
      <c r="FC31" s="169"/>
      <c r="FD31" s="167"/>
      <c r="FE31" s="131"/>
      <c r="FF31" s="131"/>
      <c r="FG31" s="174"/>
      <c r="FH31" s="174"/>
    </row>
    <row r="32" spans="1:164" x14ac:dyDescent="0.2">
      <c r="A32" t="s">
        <v>479</v>
      </c>
      <c r="D32" t="s">
        <v>583</v>
      </c>
      <c r="E32" s="104"/>
      <c r="F32" s="38"/>
      <c r="G32" s="38"/>
      <c r="H32" s="38"/>
      <c r="I32" s="38"/>
      <c r="J32" s="38"/>
      <c r="K32" s="167"/>
      <c r="L32" s="168"/>
      <c r="N32" s="2"/>
      <c r="P32" s="85"/>
      <c r="Q32" s="33"/>
      <c r="R32" s="38"/>
      <c r="S32" s="33"/>
      <c r="T32" s="107"/>
      <c r="U32" s="2"/>
      <c r="V32" s="33"/>
      <c r="W32" s="36"/>
      <c r="X32" s="33"/>
      <c r="Y32" s="38"/>
      <c r="Z32" s="33"/>
      <c r="AA32" s="2"/>
      <c r="AB32" s="36"/>
      <c r="AC32" s="38"/>
      <c r="AD32" s="33"/>
      <c r="AE32" s="2"/>
      <c r="AF32" s="36"/>
      <c r="AG32" s="2"/>
      <c r="AH32" s="36"/>
      <c r="AI32" s="2"/>
      <c r="AJ32" s="170"/>
      <c r="AK32" s="168"/>
      <c r="AL32" s="168"/>
      <c r="AM32" s="168"/>
      <c r="AN32" s="168"/>
      <c r="AO32" s="168"/>
      <c r="AP32" s="168"/>
      <c r="AQ32" s="168"/>
      <c r="AR32" s="168"/>
      <c r="AS32" s="171"/>
      <c r="AT32" s="172"/>
      <c r="AU32" s="172"/>
      <c r="AV32" s="172"/>
      <c r="AW32" s="172"/>
      <c r="AX32" s="172"/>
      <c r="AY32" s="172"/>
      <c r="AZ32" s="172"/>
      <c r="BA32" s="172"/>
      <c r="BB32" s="168"/>
      <c r="BC32" s="104"/>
      <c r="BD32" s="33"/>
      <c r="BE32" s="33"/>
      <c r="BF32" s="2"/>
      <c r="BG32" s="104"/>
      <c r="BH32" s="2"/>
      <c r="BI32" s="33"/>
      <c r="BJ32" s="169"/>
      <c r="BK32" s="167"/>
      <c r="BL32" s="167"/>
      <c r="BM32" s="167"/>
      <c r="BN32" s="131"/>
      <c r="BO32" s="131"/>
      <c r="BP32" s="131"/>
      <c r="BQ32" s="131"/>
      <c r="BR32" s="168"/>
      <c r="BS32" s="169"/>
      <c r="BT32" s="167"/>
      <c r="BU32" s="174"/>
      <c r="BV32" s="131"/>
      <c r="BW32" s="131"/>
      <c r="BX32" s="169"/>
      <c r="BY32" s="167"/>
      <c r="BZ32" s="167"/>
      <c r="CA32" s="167"/>
      <c r="CB32" s="131"/>
      <c r="CC32" s="131"/>
      <c r="CD32" s="131"/>
      <c r="CE32" s="131"/>
      <c r="CF32" s="168"/>
      <c r="CG32" s="169"/>
      <c r="CH32" s="167"/>
      <c r="CI32" s="168"/>
      <c r="CJ32" s="131"/>
      <c r="CK32" s="131"/>
      <c r="CL32" s="169"/>
      <c r="CM32" s="167"/>
      <c r="CN32" s="167"/>
      <c r="CO32" s="167"/>
      <c r="CP32" s="167"/>
      <c r="CQ32" s="167"/>
      <c r="CR32" s="167"/>
      <c r="CS32" s="167"/>
      <c r="CT32" s="168"/>
      <c r="CU32" s="104"/>
      <c r="CV32" s="38"/>
      <c r="CW32" s="2"/>
      <c r="CX32" s="2"/>
      <c r="CY32" s="33"/>
      <c r="CZ32" s="33"/>
      <c r="DA32" s="169"/>
      <c r="DB32" s="131"/>
      <c r="DC32" s="168"/>
      <c r="DD32" s="104"/>
      <c r="DE32" s="2"/>
      <c r="DF32" s="33"/>
      <c r="DG32" s="169"/>
      <c r="DH32" s="178"/>
      <c r="DI32" s="168"/>
      <c r="DJ32" s="168"/>
      <c r="DK32" s="131"/>
      <c r="DL32" s="168"/>
      <c r="DM32" s="170"/>
      <c r="DN32" s="168"/>
      <c r="DO32" s="168"/>
      <c r="DP32" s="168"/>
      <c r="DQ32" s="168"/>
      <c r="DR32" s="168"/>
      <c r="DS32" s="131"/>
      <c r="DT32" s="131"/>
      <c r="DU32" s="131"/>
      <c r="DV32" s="131"/>
      <c r="DW32" s="169"/>
      <c r="DX32" s="168"/>
      <c r="DY32" s="168"/>
      <c r="DZ32" s="168"/>
      <c r="EA32" s="131"/>
      <c r="EB32" s="131"/>
      <c r="EC32" s="170"/>
      <c r="ED32" s="131"/>
      <c r="EE32" s="131"/>
      <c r="EF32" s="169"/>
      <c r="EG32" s="167"/>
      <c r="EH32" s="167"/>
      <c r="EI32" s="167"/>
      <c r="EJ32" s="131"/>
      <c r="EK32" s="131"/>
      <c r="EL32" s="131"/>
      <c r="EM32" s="131"/>
      <c r="EN32" s="168"/>
      <c r="EO32" s="168"/>
      <c r="EP32" s="168"/>
      <c r="EQ32" s="168"/>
      <c r="ER32" s="170"/>
      <c r="ES32" s="131"/>
      <c r="ET32" s="169"/>
      <c r="EU32" s="167"/>
      <c r="EV32" s="131"/>
      <c r="EW32" s="131"/>
      <c r="EX32" s="168"/>
      <c r="EY32" s="168"/>
      <c r="EZ32" s="169"/>
      <c r="FA32" s="131"/>
      <c r="FB32" s="168"/>
      <c r="FC32" s="169"/>
      <c r="FD32" s="167"/>
      <c r="FE32" s="131"/>
      <c r="FF32" s="131"/>
      <c r="FG32" s="174"/>
      <c r="FH32" s="174"/>
    </row>
    <row r="33" spans="1:164" x14ac:dyDescent="0.2">
      <c r="A33" t="s">
        <v>479</v>
      </c>
      <c r="D33" t="s">
        <v>584</v>
      </c>
      <c r="E33" s="104"/>
      <c r="F33" s="38"/>
      <c r="G33" s="38"/>
      <c r="H33" s="38"/>
      <c r="I33" s="38"/>
      <c r="J33" s="38"/>
      <c r="K33" s="167"/>
      <c r="L33" s="168"/>
      <c r="N33" s="2"/>
      <c r="P33" s="85"/>
      <c r="Q33" s="33"/>
      <c r="R33" s="38"/>
      <c r="S33" s="33"/>
      <c r="T33" s="107"/>
      <c r="U33" s="2"/>
      <c r="V33" s="33"/>
      <c r="W33" s="36"/>
      <c r="X33" s="33"/>
      <c r="Y33" s="38"/>
      <c r="Z33" s="33"/>
      <c r="AA33" s="2"/>
      <c r="AB33" s="36"/>
      <c r="AC33" s="38"/>
      <c r="AD33" s="33"/>
      <c r="AE33" s="2"/>
      <c r="AF33" s="36"/>
      <c r="AG33" s="2"/>
      <c r="AH33" s="36"/>
      <c r="AI33" s="2"/>
      <c r="AJ33" s="170"/>
      <c r="AK33" s="168"/>
      <c r="AL33" s="168"/>
      <c r="AM33" s="168"/>
      <c r="AN33" s="168"/>
      <c r="AO33" s="168"/>
      <c r="AP33" s="168"/>
      <c r="AQ33" s="168"/>
      <c r="AR33" s="168"/>
      <c r="AS33" s="171"/>
      <c r="AT33" s="172"/>
      <c r="AU33" s="172"/>
      <c r="AV33" s="172"/>
      <c r="AW33" s="172"/>
      <c r="AX33" s="172"/>
      <c r="AY33" s="172"/>
      <c r="AZ33" s="172"/>
      <c r="BA33" s="172"/>
      <c r="BB33" s="168"/>
      <c r="BC33" s="104"/>
      <c r="BD33" s="33"/>
      <c r="BE33" s="33"/>
      <c r="BF33" s="2"/>
      <c r="BG33" s="104"/>
      <c r="BH33" s="2"/>
      <c r="BI33" s="33"/>
      <c r="BJ33" s="169"/>
      <c r="BK33" s="167"/>
      <c r="BL33" s="167"/>
      <c r="BM33" s="167"/>
      <c r="BN33" s="131"/>
      <c r="BO33" s="131"/>
      <c r="BP33" s="131"/>
      <c r="BQ33" s="131"/>
      <c r="BR33" s="168"/>
      <c r="BS33" s="169"/>
      <c r="BT33" s="167"/>
      <c r="BU33" s="174"/>
      <c r="BV33" s="131"/>
      <c r="BW33" s="131"/>
      <c r="BX33" s="169"/>
      <c r="BY33" s="167"/>
      <c r="BZ33" s="167"/>
      <c r="CA33" s="167"/>
      <c r="CB33" s="131"/>
      <c r="CC33" s="131"/>
      <c r="CD33" s="131"/>
      <c r="CE33" s="131"/>
      <c r="CF33" s="168"/>
      <c r="CG33" s="169"/>
      <c r="CH33" s="167"/>
      <c r="CI33" s="168"/>
      <c r="CJ33" s="131"/>
      <c r="CK33" s="131"/>
      <c r="CL33" s="169"/>
      <c r="CM33" s="167"/>
      <c r="CN33" s="167"/>
      <c r="CO33" s="167"/>
      <c r="CP33" s="167"/>
      <c r="CQ33" s="167"/>
      <c r="CR33" s="167"/>
      <c r="CS33" s="167"/>
      <c r="CT33" s="168"/>
      <c r="CU33" s="104"/>
      <c r="CV33" s="38"/>
      <c r="CW33" s="2"/>
      <c r="CX33" s="2"/>
      <c r="CY33" s="33"/>
      <c r="CZ33" s="33"/>
      <c r="DA33" s="169"/>
      <c r="DB33" s="131"/>
      <c r="DC33" s="168"/>
      <c r="DD33" s="104"/>
      <c r="DE33" s="2"/>
      <c r="DF33" s="33"/>
      <c r="DG33" s="169"/>
      <c r="DH33" s="178"/>
      <c r="DI33" s="168"/>
      <c r="DJ33" s="168"/>
      <c r="DK33" s="131"/>
      <c r="DL33" s="168"/>
      <c r="DM33" s="170"/>
      <c r="DN33" s="168"/>
      <c r="DO33" s="168"/>
      <c r="DP33" s="168"/>
      <c r="DQ33" s="168"/>
      <c r="DR33" s="168"/>
      <c r="DS33" s="131"/>
      <c r="DT33" s="131"/>
      <c r="DU33" s="131"/>
      <c r="DV33" s="131"/>
      <c r="DW33" s="169"/>
      <c r="DX33" s="168"/>
      <c r="DY33" s="168"/>
      <c r="DZ33" s="168"/>
      <c r="EA33" s="131"/>
      <c r="EB33" s="131"/>
      <c r="EC33" s="170"/>
      <c r="ED33" s="131"/>
      <c r="EE33" s="131"/>
      <c r="EF33" s="169"/>
      <c r="EG33" s="167"/>
      <c r="EH33" s="167"/>
      <c r="EI33" s="167"/>
      <c r="EJ33" s="131"/>
      <c r="EK33" s="131"/>
      <c r="EL33" s="131"/>
      <c r="EM33" s="131"/>
      <c r="EN33" s="168"/>
      <c r="EO33" s="168"/>
      <c r="EP33" s="168"/>
      <c r="EQ33" s="168"/>
      <c r="ER33" s="170"/>
      <c r="ES33" s="131"/>
      <c r="ET33" s="169"/>
      <c r="EU33" s="167"/>
      <c r="EV33" s="131"/>
      <c r="EW33" s="131"/>
      <c r="EX33" s="168"/>
      <c r="EY33" s="168"/>
      <c r="EZ33" s="169"/>
      <c r="FA33" s="131"/>
      <c r="FB33" s="168"/>
      <c r="FC33" s="169"/>
      <c r="FD33" s="167"/>
      <c r="FE33" s="131"/>
      <c r="FF33" s="131"/>
      <c r="FG33" s="174"/>
      <c r="FH33" s="174"/>
    </row>
    <row r="34" spans="1:164" x14ac:dyDescent="0.2">
      <c r="A34" t="s">
        <v>966</v>
      </c>
      <c r="B34" s="1" t="s">
        <v>967</v>
      </c>
      <c r="C34" t="s">
        <v>30</v>
      </c>
      <c r="E34" s="167"/>
      <c r="F34" s="167"/>
      <c r="G34" s="167"/>
      <c r="H34" s="167"/>
      <c r="I34" s="167"/>
      <c r="J34" s="167"/>
      <c r="K34" s="167"/>
      <c r="L34" s="167"/>
      <c r="M34" s="173"/>
      <c r="N34" s="167"/>
      <c r="O34" s="167"/>
      <c r="P34" s="167"/>
      <c r="Q34" s="167"/>
      <c r="R34" s="167"/>
      <c r="S34" s="167"/>
      <c r="T34" s="169"/>
      <c r="U34" s="167"/>
      <c r="V34" s="167"/>
      <c r="W34" s="169"/>
      <c r="X34" s="167"/>
      <c r="Y34" s="167"/>
      <c r="Z34" s="167"/>
      <c r="AA34" s="167"/>
      <c r="AB34" s="169"/>
      <c r="AC34" s="167"/>
      <c r="AD34" s="167"/>
      <c r="AE34" s="167"/>
      <c r="AF34" s="169"/>
      <c r="AG34" s="167"/>
      <c r="AH34" s="169"/>
      <c r="AI34" s="167"/>
      <c r="AJ34" s="170"/>
      <c r="AK34" s="168"/>
      <c r="AL34" s="168"/>
      <c r="AM34" s="168"/>
      <c r="AN34" s="168"/>
      <c r="AO34" s="168"/>
      <c r="AP34" s="168"/>
      <c r="AQ34" s="168"/>
      <c r="AR34" s="168"/>
      <c r="AS34" s="171"/>
      <c r="AT34" s="172"/>
      <c r="AU34" s="172"/>
      <c r="AV34" s="172"/>
      <c r="AW34" s="172"/>
      <c r="AX34" s="172"/>
      <c r="AY34" s="172"/>
      <c r="AZ34" s="172"/>
      <c r="BA34" s="172"/>
      <c r="BB34" s="168"/>
      <c r="BC34" s="169"/>
      <c r="BD34" s="168"/>
      <c r="BE34" s="168"/>
      <c r="BF34" s="167"/>
      <c r="BG34" s="169"/>
      <c r="BH34" s="167"/>
      <c r="BI34" s="167"/>
      <c r="BJ34" s="169"/>
      <c r="BK34" s="167"/>
      <c r="BL34" s="167"/>
      <c r="BM34" s="167"/>
      <c r="BN34" s="131"/>
      <c r="BO34" s="131"/>
      <c r="BP34" s="131"/>
      <c r="BQ34" s="131"/>
      <c r="BR34" s="167"/>
      <c r="BS34" s="169"/>
      <c r="BT34" s="167"/>
      <c r="BU34" s="174"/>
      <c r="BV34" s="167"/>
      <c r="BW34" s="167"/>
      <c r="BX34" s="169"/>
      <c r="BY34" s="167"/>
      <c r="BZ34" s="167"/>
      <c r="CA34" s="167"/>
      <c r="CB34" s="167"/>
      <c r="CC34" s="167"/>
      <c r="CD34" s="167"/>
      <c r="CE34" s="131"/>
      <c r="CF34" s="168"/>
      <c r="CG34" s="169"/>
      <c r="CH34" s="167"/>
      <c r="CI34" s="168"/>
      <c r="CJ34" s="167"/>
      <c r="CK34" s="167"/>
      <c r="CL34" s="169"/>
      <c r="CM34" s="167"/>
      <c r="CN34" s="167"/>
      <c r="CO34" s="167"/>
      <c r="CP34" s="167"/>
      <c r="CQ34" s="167"/>
      <c r="CR34" s="167"/>
      <c r="CS34" s="167"/>
      <c r="CT34" s="168"/>
      <c r="CU34" s="169"/>
      <c r="CV34" s="167"/>
      <c r="CW34" s="167"/>
      <c r="CX34" s="167"/>
      <c r="CY34" s="167"/>
      <c r="CZ34" s="167"/>
      <c r="DA34" s="169"/>
      <c r="DB34" s="131"/>
      <c r="DC34" s="168"/>
      <c r="DD34" s="169"/>
      <c r="DE34" s="167"/>
      <c r="DF34" s="167"/>
      <c r="DG34" s="169"/>
      <c r="DH34" s="178"/>
      <c r="DI34" s="168"/>
      <c r="DJ34" s="168"/>
      <c r="DK34" s="131"/>
      <c r="DL34" s="168"/>
      <c r="DM34" s="36"/>
      <c r="DN34" s="33"/>
      <c r="DO34" s="33"/>
      <c r="DP34" s="33"/>
      <c r="DQ34" s="33"/>
      <c r="DR34" s="33"/>
      <c r="DS34" s="2"/>
      <c r="DT34" s="2"/>
      <c r="DU34" s="2"/>
      <c r="DV34" s="2"/>
      <c r="DW34" s="104"/>
      <c r="DX34" s="33"/>
      <c r="DY34" s="33"/>
      <c r="DZ34" s="33"/>
      <c r="EA34" s="2"/>
      <c r="EB34" s="2"/>
      <c r="EC34" s="36"/>
      <c r="ED34" s="2"/>
      <c r="EE34" s="2"/>
      <c r="EF34" s="169"/>
      <c r="EG34" s="167"/>
      <c r="EH34" s="167"/>
      <c r="EI34" s="167"/>
      <c r="EJ34" s="131"/>
      <c r="EK34" s="131"/>
      <c r="EL34" s="131"/>
      <c r="EM34" s="131"/>
      <c r="EN34" s="168"/>
      <c r="EO34" s="168"/>
      <c r="EP34" s="168"/>
      <c r="EQ34" s="168"/>
      <c r="ER34" s="170"/>
      <c r="ES34" s="131"/>
      <c r="ET34" s="169"/>
      <c r="EU34" s="167"/>
      <c r="EV34" s="131"/>
      <c r="EW34" s="131"/>
      <c r="EX34" s="168"/>
      <c r="EY34" s="168"/>
      <c r="EZ34" s="169"/>
      <c r="FA34" s="131"/>
      <c r="FB34" s="168"/>
      <c r="FC34" s="169"/>
      <c r="FD34" s="167"/>
      <c r="FE34" s="131"/>
      <c r="FF34" s="131"/>
      <c r="FG34" s="174"/>
      <c r="FH34" s="174"/>
    </row>
    <row r="35" spans="1:164" x14ac:dyDescent="0.2">
      <c r="A35" t="s">
        <v>966</v>
      </c>
      <c r="B35" s="1" t="s">
        <v>967</v>
      </c>
      <c r="C35" t="s">
        <v>48</v>
      </c>
      <c r="E35" s="167"/>
      <c r="F35" s="167"/>
      <c r="G35" s="167"/>
      <c r="H35" s="167"/>
      <c r="I35" s="167"/>
      <c r="J35" s="167"/>
      <c r="K35" s="167"/>
      <c r="L35" s="167"/>
      <c r="M35" s="173"/>
      <c r="N35" s="167"/>
      <c r="O35" s="167"/>
      <c r="P35" s="167"/>
      <c r="Q35" s="167"/>
      <c r="R35" s="167"/>
      <c r="S35" s="167"/>
      <c r="T35" s="169"/>
      <c r="U35" s="167"/>
      <c r="V35" s="167"/>
      <c r="W35" s="169"/>
      <c r="X35" s="167"/>
      <c r="Y35" s="167"/>
      <c r="Z35" s="167"/>
      <c r="AA35" s="167"/>
      <c r="AB35" s="169"/>
      <c r="AC35" s="167"/>
      <c r="AD35" s="167"/>
      <c r="AE35" s="167"/>
      <c r="AF35" s="169"/>
      <c r="AG35" s="167"/>
      <c r="AH35" s="169"/>
      <c r="AI35" s="167"/>
      <c r="AJ35" s="170"/>
      <c r="AK35" s="168"/>
      <c r="AL35" s="168"/>
      <c r="AM35" s="168"/>
      <c r="AN35" s="168"/>
      <c r="AO35" s="168"/>
      <c r="AP35" s="168"/>
      <c r="AQ35" s="168"/>
      <c r="AR35" s="168"/>
      <c r="AS35" s="171"/>
      <c r="AT35" s="172"/>
      <c r="AU35" s="172"/>
      <c r="AV35" s="172"/>
      <c r="AW35" s="172"/>
      <c r="AX35" s="172"/>
      <c r="AY35" s="172"/>
      <c r="AZ35" s="172"/>
      <c r="BA35" s="172"/>
      <c r="BB35" s="168"/>
      <c r="BC35" s="169"/>
      <c r="BD35" s="168"/>
      <c r="BE35" s="168"/>
      <c r="BF35" s="167"/>
      <c r="BG35" s="169"/>
      <c r="BH35" s="167"/>
      <c r="BI35" s="167"/>
      <c r="BJ35" s="169"/>
      <c r="BK35" s="167"/>
      <c r="BL35" s="167"/>
      <c r="BM35" s="167"/>
      <c r="BN35" s="131"/>
      <c r="BO35" s="131"/>
      <c r="BP35" s="131"/>
      <c r="BQ35" s="131"/>
      <c r="BR35" s="167"/>
      <c r="BS35" s="169"/>
      <c r="BT35" s="167"/>
      <c r="BU35" s="174"/>
      <c r="BV35" s="167"/>
      <c r="BW35" s="167"/>
      <c r="BX35" s="169"/>
      <c r="BY35" s="167"/>
      <c r="BZ35" s="167"/>
      <c r="CA35" s="167"/>
      <c r="CB35" s="167"/>
      <c r="CC35" s="167"/>
      <c r="CD35" s="167"/>
      <c r="CE35" s="131"/>
      <c r="CF35" s="168"/>
      <c r="CG35" s="169"/>
      <c r="CH35" s="167"/>
      <c r="CI35" s="168"/>
      <c r="CJ35" s="167"/>
      <c r="CK35" s="167"/>
      <c r="CL35" s="169"/>
      <c r="CM35" s="167"/>
      <c r="CN35" s="167"/>
      <c r="CO35" s="167"/>
      <c r="CP35" s="167"/>
      <c r="CQ35" s="167"/>
      <c r="CR35" s="167"/>
      <c r="CS35" s="167"/>
      <c r="CT35" s="168"/>
      <c r="CU35" s="169"/>
      <c r="CV35" s="167"/>
      <c r="CW35" s="167"/>
      <c r="CX35" s="167"/>
      <c r="CY35" s="167"/>
      <c r="CZ35" s="167"/>
      <c r="DA35" s="169"/>
      <c r="DB35" s="131"/>
      <c r="DC35" s="168"/>
      <c r="DD35" s="169"/>
      <c r="DE35" s="167"/>
      <c r="DF35" s="167"/>
      <c r="DG35" s="169"/>
      <c r="DH35" s="178"/>
      <c r="DI35" s="168"/>
      <c r="DJ35" s="168"/>
      <c r="DK35" s="131"/>
      <c r="DL35" s="168"/>
      <c r="DM35" s="36"/>
      <c r="DN35" s="33"/>
      <c r="DO35" s="33"/>
      <c r="DP35" s="33"/>
      <c r="DQ35" s="33"/>
      <c r="DR35" s="33"/>
      <c r="DS35" s="2"/>
      <c r="DT35" s="2"/>
      <c r="DU35" s="2"/>
      <c r="DV35" s="2"/>
      <c r="DW35" s="104"/>
      <c r="DX35" s="33"/>
      <c r="DY35" s="33"/>
      <c r="DZ35" s="33"/>
      <c r="EA35" s="2"/>
      <c r="EB35" s="2"/>
      <c r="EC35" s="36"/>
      <c r="ED35" s="2"/>
      <c r="EE35" s="2"/>
      <c r="EF35" s="169"/>
      <c r="EG35" s="167"/>
      <c r="EH35" s="167"/>
      <c r="EI35" s="167"/>
      <c r="EJ35" s="131"/>
      <c r="EK35" s="131"/>
      <c r="EL35" s="131"/>
      <c r="EM35" s="131"/>
      <c r="EN35" s="168"/>
      <c r="EO35" s="168"/>
      <c r="EP35" s="168"/>
      <c r="EQ35" s="168"/>
      <c r="ER35" s="170"/>
      <c r="ES35" s="131"/>
      <c r="ET35" s="169"/>
      <c r="EU35" s="167"/>
      <c r="EV35" s="131"/>
      <c r="EW35" s="131"/>
      <c r="EX35" s="168"/>
      <c r="EY35" s="168"/>
      <c r="EZ35" s="169"/>
      <c r="FA35" s="131"/>
      <c r="FB35" s="168"/>
      <c r="FC35" s="169"/>
      <c r="FD35" s="167"/>
      <c r="FE35" s="131"/>
      <c r="FF35" s="131"/>
      <c r="FG35" s="174"/>
      <c r="FH35" s="174"/>
    </row>
    <row r="36" spans="1:164" x14ac:dyDescent="0.2">
      <c r="A36" t="s">
        <v>966</v>
      </c>
      <c r="B36" s="1" t="s">
        <v>968</v>
      </c>
      <c r="C36" t="s">
        <v>30</v>
      </c>
      <c r="E36" s="167"/>
      <c r="F36" s="167"/>
      <c r="G36" s="167"/>
      <c r="H36" s="167"/>
      <c r="I36" s="167"/>
      <c r="J36" s="167"/>
      <c r="K36" s="167"/>
      <c r="L36" s="167"/>
      <c r="M36" s="173"/>
      <c r="N36" s="167"/>
      <c r="O36" s="167"/>
      <c r="P36" s="167"/>
      <c r="Q36" s="167"/>
      <c r="R36" s="167"/>
      <c r="S36" s="167"/>
      <c r="T36" s="169"/>
      <c r="U36" s="167"/>
      <c r="V36" s="167"/>
      <c r="W36" s="169"/>
      <c r="X36" s="167"/>
      <c r="Y36" s="167"/>
      <c r="Z36" s="167"/>
      <c r="AA36" s="167"/>
      <c r="AB36" s="169"/>
      <c r="AC36" s="167"/>
      <c r="AD36" s="167"/>
      <c r="AE36" s="167"/>
      <c r="AF36" s="169"/>
      <c r="AG36" s="167"/>
      <c r="AH36" s="169"/>
      <c r="AI36" s="167"/>
      <c r="AJ36" s="170"/>
      <c r="AK36" s="168"/>
      <c r="AL36" s="168"/>
      <c r="AM36" s="168"/>
      <c r="AN36" s="168"/>
      <c r="AO36" s="168"/>
      <c r="AP36" s="168"/>
      <c r="AQ36" s="168"/>
      <c r="AR36" s="168"/>
      <c r="AS36" s="171"/>
      <c r="AT36" s="172"/>
      <c r="AU36" s="172"/>
      <c r="AV36" s="172"/>
      <c r="AW36" s="172"/>
      <c r="AX36" s="172"/>
      <c r="AY36" s="172"/>
      <c r="AZ36" s="172"/>
      <c r="BA36" s="172"/>
      <c r="BB36" s="168"/>
      <c r="BC36" s="169"/>
      <c r="BD36" s="168"/>
      <c r="BE36" s="168"/>
      <c r="BF36" s="167"/>
      <c r="BG36" s="169"/>
      <c r="BH36" s="167"/>
      <c r="BI36" s="167"/>
      <c r="BJ36" s="169"/>
      <c r="BK36" s="167"/>
      <c r="BL36" s="167"/>
      <c r="BM36" s="167"/>
      <c r="BN36" s="131"/>
      <c r="BO36" s="131"/>
      <c r="BP36" s="131"/>
      <c r="BQ36" s="131"/>
      <c r="BR36" s="167"/>
      <c r="BS36" s="169"/>
      <c r="BT36" s="167"/>
      <c r="BU36" s="174"/>
      <c r="BV36" s="167"/>
      <c r="BW36" s="167"/>
      <c r="BX36" s="169"/>
      <c r="BY36" s="167"/>
      <c r="BZ36" s="167"/>
      <c r="CA36" s="167"/>
      <c r="CB36" s="167"/>
      <c r="CC36" s="167"/>
      <c r="CD36" s="167"/>
      <c r="CE36" s="131"/>
      <c r="CF36" s="168"/>
      <c r="CG36" s="169"/>
      <c r="CH36" s="167"/>
      <c r="CI36" s="168"/>
      <c r="CJ36" s="167"/>
      <c r="CK36" s="167"/>
      <c r="CL36" s="169"/>
      <c r="CM36" s="167"/>
      <c r="CN36" s="167"/>
      <c r="CO36" s="167"/>
      <c r="CP36" s="167"/>
      <c r="CQ36" s="167"/>
      <c r="CR36" s="167"/>
      <c r="CS36" s="167"/>
      <c r="CT36" s="168"/>
      <c r="CU36" s="169"/>
      <c r="CV36" s="167"/>
      <c r="CW36" s="167"/>
      <c r="CX36" s="167"/>
      <c r="CY36" s="167"/>
      <c r="CZ36" s="167"/>
      <c r="DA36" s="169"/>
      <c r="DB36" s="131"/>
      <c r="DC36" s="168"/>
      <c r="DD36" s="169"/>
      <c r="DE36" s="167"/>
      <c r="DF36" s="167"/>
      <c r="DG36" s="169"/>
      <c r="DH36" s="178"/>
      <c r="DI36" s="168"/>
      <c r="DJ36" s="168"/>
      <c r="DK36" s="131"/>
      <c r="DL36" s="168"/>
      <c r="DM36" s="36"/>
      <c r="DN36" s="33"/>
      <c r="DO36" s="33"/>
      <c r="DP36" s="33"/>
      <c r="DQ36" s="33"/>
      <c r="DR36" s="33"/>
      <c r="DS36" s="2"/>
      <c r="DT36" s="2"/>
      <c r="DU36" s="2"/>
      <c r="DV36" s="2"/>
      <c r="DW36" s="104"/>
      <c r="DX36" s="33"/>
      <c r="DY36" s="33"/>
      <c r="DZ36" s="33"/>
      <c r="EA36" s="2"/>
      <c r="EB36" s="2"/>
      <c r="EC36" s="36"/>
      <c r="ED36" s="2"/>
      <c r="EE36" s="2"/>
      <c r="EF36" s="169"/>
      <c r="EG36" s="167"/>
      <c r="EH36" s="167"/>
      <c r="EI36" s="167"/>
      <c r="EJ36" s="131"/>
      <c r="EK36" s="131"/>
      <c r="EL36" s="131"/>
      <c r="EM36" s="131"/>
      <c r="EN36" s="168"/>
      <c r="EO36" s="168"/>
      <c r="EP36" s="168"/>
      <c r="EQ36" s="168"/>
      <c r="ER36" s="170"/>
      <c r="ES36" s="131"/>
      <c r="ET36" s="169"/>
      <c r="EU36" s="167"/>
      <c r="EV36" s="131"/>
      <c r="EW36" s="131"/>
      <c r="EX36" s="168"/>
      <c r="EY36" s="168"/>
      <c r="EZ36" s="169"/>
      <c r="FA36" s="131"/>
      <c r="FB36" s="168"/>
      <c r="FC36" s="169"/>
      <c r="FD36" s="167"/>
      <c r="FE36" s="131"/>
      <c r="FF36" s="131"/>
      <c r="FG36" s="174"/>
      <c r="FH36" s="174"/>
    </row>
    <row r="37" spans="1:164" x14ac:dyDescent="0.2">
      <c r="A37" t="s">
        <v>966</v>
      </c>
      <c r="B37" s="1" t="s">
        <v>968</v>
      </c>
      <c r="C37" t="s">
        <v>48</v>
      </c>
      <c r="E37" s="167"/>
      <c r="F37" s="167"/>
      <c r="G37" s="167"/>
      <c r="H37" s="167"/>
      <c r="I37" s="167"/>
      <c r="J37" s="167"/>
      <c r="K37" s="167"/>
      <c r="L37" s="167"/>
      <c r="M37" s="173"/>
      <c r="N37" s="167"/>
      <c r="O37" s="167"/>
      <c r="P37" s="167"/>
      <c r="Q37" s="167"/>
      <c r="R37" s="167"/>
      <c r="S37" s="167"/>
      <c r="T37" s="169"/>
      <c r="U37" s="167"/>
      <c r="V37" s="167"/>
      <c r="W37" s="169"/>
      <c r="X37" s="167"/>
      <c r="Y37" s="167"/>
      <c r="Z37" s="167"/>
      <c r="AA37" s="167"/>
      <c r="AB37" s="169"/>
      <c r="AC37" s="167"/>
      <c r="AD37" s="167"/>
      <c r="AE37" s="167"/>
      <c r="AF37" s="169"/>
      <c r="AG37" s="167"/>
      <c r="AH37" s="169"/>
      <c r="AI37" s="167"/>
      <c r="AJ37" s="170"/>
      <c r="AK37" s="168"/>
      <c r="AL37" s="168"/>
      <c r="AM37" s="168"/>
      <c r="AN37" s="168"/>
      <c r="AO37" s="168"/>
      <c r="AP37" s="168"/>
      <c r="AQ37" s="168"/>
      <c r="AR37" s="168"/>
      <c r="AS37" s="171"/>
      <c r="AT37" s="172"/>
      <c r="AU37" s="172"/>
      <c r="AV37" s="172"/>
      <c r="AW37" s="172"/>
      <c r="AX37" s="172"/>
      <c r="AY37" s="172"/>
      <c r="AZ37" s="172"/>
      <c r="BA37" s="172"/>
      <c r="BB37" s="168"/>
      <c r="BC37" s="169"/>
      <c r="BD37" s="168"/>
      <c r="BE37" s="168"/>
      <c r="BF37" s="167"/>
      <c r="BG37" s="169"/>
      <c r="BH37" s="167"/>
      <c r="BI37" s="167"/>
      <c r="BJ37" s="169"/>
      <c r="BK37" s="167"/>
      <c r="BL37" s="167"/>
      <c r="BM37" s="167"/>
      <c r="BN37" s="131"/>
      <c r="BO37" s="131"/>
      <c r="BP37" s="131"/>
      <c r="BQ37" s="131"/>
      <c r="BR37" s="167"/>
      <c r="BS37" s="169"/>
      <c r="BT37" s="167"/>
      <c r="BU37" s="174"/>
      <c r="BV37" s="167"/>
      <c r="BW37" s="167"/>
      <c r="BX37" s="169"/>
      <c r="BY37" s="167"/>
      <c r="BZ37" s="167"/>
      <c r="CA37" s="167"/>
      <c r="CB37" s="167"/>
      <c r="CC37" s="167"/>
      <c r="CD37" s="167"/>
      <c r="CE37" s="131"/>
      <c r="CF37" s="168"/>
      <c r="CG37" s="169"/>
      <c r="CH37" s="167"/>
      <c r="CI37" s="168"/>
      <c r="CJ37" s="167"/>
      <c r="CK37" s="167"/>
      <c r="CL37" s="169"/>
      <c r="CM37" s="167"/>
      <c r="CN37" s="167"/>
      <c r="CO37" s="167"/>
      <c r="CP37" s="167"/>
      <c r="CQ37" s="167"/>
      <c r="CR37" s="167"/>
      <c r="CS37" s="167"/>
      <c r="CT37" s="168"/>
      <c r="CU37" s="169"/>
      <c r="CV37" s="167"/>
      <c r="CW37" s="167"/>
      <c r="CX37" s="167"/>
      <c r="CY37" s="167"/>
      <c r="CZ37" s="167"/>
      <c r="DA37" s="169"/>
      <c r="DB37" s="131"/>
      <c r="DC37" s="168"/>
      <c r="DD37" s="169"/>
      <c r="DE37" s="167"/>
      <c r="DF37" s="167"/>
      <c r="DG37" s="169"/>
      <c r="DH37" s="178"/>
      <c r="DI37" s="168"/>
      <c r="DJ37" s="168"/>
      <c r="DK37" s="131"/>
      <c r="DL37" s="168"/>
      <c r="DM37" s="36"/>
      <c r="DN37" s="33"/>
      <c r="DO37" s="33"/>
      <c r="DP37" s="33"/>
      <c r="DQ37" s="33"/>
      <c r="DR37" s="33"/>
      <c r="DS37" s="2"/>
      <c r="DT37" s="2"/>
      <c r="DU37" s="2"/>
      <c r="DV37" s="2"/>
      <c r="DW37" s="104"/>
      <c r="DX37" s="33"/>
      <c r="DY37" s="33"/>
      <c r="DZ37" s="33"/>
      <c r="EA37" s="2"/>
      <c r="EB37" s="2"/>
      <c r="EC37" s="36"/>
      <c r="ED37" s="2"/>
      <c r="EE37" s="2"/>
      <c r="EF37" s="169"/>
      <c r="EG37" s="167"/>
      <c r="EH37" s="167"/>
      <c r="EI37" s="167"/>
      <c r="EJ37" s="131"/>
      <c r="EK37" s="131"/>
      <c r="EL37" s="131"/>
      <c r="EM37" s="131"/>
      <c r="EN37" s="168"/>
      <c r="EO37" s="168"/>
      <c r="EP37" s="168"/>
      <c r="EQ37" s="168"/>
      <c r="ER37" s="170"/>
      <c r="ES37" s="131"/>
      <c r="ET37" s="169"/>
      <c r="EU37" s="167"/>
      <c r="EV37" s="131"/>
      <c r="EW37" s="131"/>
      <c r="EX37" s="168"/>
      <c r="EY37" s="168"/>
      <c r="EZ37" s="169"/>
      <c r="FA37" s="131"/>
      <c r="FB37" s="168"/>
      <c r="FC37" s="169"/>
      <c r="FD37" s="167"/>
      <c r="FE37" s="131"/>
      <c r="FF37" s="131"/>
      <c r="FG37" s="174"/>
      <c r="FH37" s="174"/>
    </row>
    <row r="38" spans="1:164" x14ac:dyDescent="0.2">
      <c r="A38" t="s">
        <v>969</v>
      </c>
      <c r="B38" s="1" t="s">
        <v>426</v>
      </c>
      <c r="C38" t="s">
        <v>30</v>
      </c>
      <c r="E38" s="167"/>
      <c r="F38" s="167"/>
      <c r="G38" s="167"/>
      <c r="H38" s="167"/>
      <c r="I38" s="167"/>
      <c r="J38" s="167"/>
      <c r="K38" s="167"/>
      <c r="L38" s="167"/>
      <c r="M38" s="173"/>
      <c r="N38" s="167"/>
      <c r="O38" s="167"/>
      <c r="P38" s="167"/>
      <c r="Q38" s="167"/>
      <c r="R38" s="167"/>
      <c r="S38" s="167"/>
      <c r="T38" s="169"/>
      <c r="U38" s="167"/>
      <c r="V38" s="167"/>
      <c r="W38" s="169"/>
      <c r="X38" s="167"/>
      <c r="Y38" s="167"/>
      <c r="Z38" s="167"/>
      <c r="AA38" s="167"/>
      <c r="AB38" s="169"/>
      <c r="AC38" s="167"/>
      <c r="AD38" s="167"/>
      <c r="AE38" s="167"/>
      <c r="AF38" s="169"/>
      <c r="AG38" s="167"/>
      <c r="AH38" s="169"/>
      <c r="AI38" s="167"/>
      <c r="AJ38" s="170"/>
      <c r="AK38" s="168"/>
      <c r="AL38" s="168"/>
      <c r="AM38" s="168"/>
      <c r="AN38" s="168"/>
      <c r="AO38" s="168"/>
      <c r="AP38" s="168"/>
      <c r="AQ38" s="168"/>
      <c r="AR38" s="168"/>
      <c r="AS38" s="171"/>
      <c r="AT38" s="172"/>
      <c r="AU38" s="172"/>
      <c r="AV38" s="172"/>
      <c r="AW38" s="172"/>
      <c r="AX38" s="172"/>
      <c r="AY38" s="172"/>
      <c r="AZ38" s="172"/>
      <c r="BA38" s="172"/>
      <c r="BB38" s="168"/>
      <c r="BC38" s="169"/>
      <c r="BD38" s="168"/>
      <c r="BE38" s="168"/>
      <c r="BF38" s="167"/>
      <c r="BG38" s="169"/>
      <c r="BH38" s="167"/>
      <c r="BI38" s="167"/>
      <c r="BJ38" s="169"/>
      <c r="BK38" s="167"/>
      <c r="BL38" s="167"/>
      <c r="BM38" s="167"/>
      <c r="BN38" s="131"/>
      <c r="BO38" s="131"/>
      <c r="BP38" s="131"/>
      <c r="BQ38" s="131"/>
      <c r="BR38" s="167"/>
      <c r="BS38" s="169"/>
      <c r="BT38" s="167"/>
      <c r="BU38" s="174"/>
      <c r="BV38" s="167"/>
      <c r="BW38" s="167"/>
      <c r="BX38" s="169"/>
      <c r="BY38" s="167"/>
      <c r="BZ38" s="167"/>
      <c r="CA38" s="167"/>
      <c r="CB38" s="167"/>
      <c r="CC38" s="167"/>
      <c r="CD38" s="167"/>
      <c r="CE38" s="131"/>
      <c r="CF38" s="168"/>
      <c r="CG38" s="169"/>
      <c r="CH38" s="167"/>
      <c r="CI38" s="168"/>
      <c r="CJ38" s="167"/>
      <c r="CK38" s="167"/>
      <c r="CL38" s="169"/>
      <c r="CM38" s="167"/>
      <c r="CN38" s="167"/>
      <c r="CO38" s="167"/>
      <c r="CP38" s="167"/>
      <c r="CQ38" s="167"/>
      <c r="CR38" s="167"/>
      <c r="CS38" s="167"/>
      <c r="CT38" s="168"/>
      <c r="CU38" s="169"/>
      <c r="CV38" s="167"/>
      <c r="CW38" s="167"/>
      <c r="CX38" s="167"/>
      <c r="CY38" s="167"/>
      <c r="CZ38" s="167"/>
      <c r="DA38" s="169"/>
      <c r="DB38" s="131"/>
      <c r="DC38" s="168"/>
      <c r="DD38" s="169"/>
      <c r="DE38" s="167"/>
      <c r="DF38" s="167"/>
      <c r="DG38" s="169"/>
      <c r="DH38" s="178"/>
      <c r="DI38" s="168"/>
      <c r="DJ38" s="168"/>
      <c r="DK38" s="131"/>
      <c r="DL38" s="168"/>
      <c r="DM38" s="169"/>
      <c r="DN38" s="167"/>
      <c r="DO38" s="167"/>
      <c r="DP38" s="167"/>
      <c r="DQ38" s="167"/>
      <c r="DR38" s="167"/>
      <c r="DS38" s="167"/>
      <c r="DT38" s="167"/>
      <c r="DU38" s="167"/>
      <c r="DV38" s="167"/>
      <c r="DW38" s="169"/>
      <c r="DX38" s="168"/>
      <c r="DY38" s="168"/>
      <c r="DZ38" s="168"/>
      <c r="EA38" s="167"/>
      <c r="EB38" s="167"/>
      <c r="EC38" s="170"/>
      <c r="ED38" s="167"/>
      <c r="EE38" s="167"/>
      <c r="EF38" s="104"/>
      <c r="EG38" s="38"/>
      <c r="EH38" s="38"/>
      <c r="EI38" s="38"/>
      <c r="EJ38" s="2"/>
      <c r="EK38" s="2"/>
      <c r="EL38" s="2"/>
      <c r="EM38" s="2"/>
      <c r="EN38" s="33"/>
      <c r="EO38" s="33"/>
      <c r="EP38" s="33"/>
      <c r="EQ38" s="33"/>
      <c r="ER38" s="36"/>
      <c r="ES38" s="2"/>
      <c r="ET38" s="169"/>
      <c r="EU38" s="167"/>
      <c r="EV38" s="131"/>
      <c r="EW38" s="131"/>
      <c r="EX38" s="168"/>
      <c r="EY38" s="168"/>
      <c r="EZ38" s="169"/>
      <c r="FA38" s="131"/>
      <c r="FB38" s="168"/>
      <c r="FC38" s="169"/>
      <c r="FD38" s="167"/>
      <c r="FE38" s="131"/>
      <c r="FF38" s="131"/>
      <c r="FG38" s="174"/>
      <c r="FH38" s="174"/>
    </row>
    <row r="39" spans="1:164" x14ac:dyDescent="0.2">
      <c r="A39" t="s">
        <v>969</v>
      </c>
      <c r="B39" s="1" t="s">
        <v>426</v>
      </c>
      <c r="C39" t="s">
        <v>48</v>
      </c>
      <c r="E39" s="167"/>
      <c r="F39" s="167"/>
      <c r="G39" s="167"/>
      <c r="H39" s="167"/>
      <c r="I39" s="167"/>
      <c r="J39" s="167"/>
      <c r="K39" s="167"/>
      <c r="L39" s="167"/>
      <c r="M39" s="173"/>
      <c r="N39" s="167"/>
      <c r="O39" s="167"/>
      <c r="P39" s="167"/>
      <c r="Q39" s="167"/>
      <c r="R39" s="167"/>
      <c r="S39" s="167"/>
      <c r="T39" s="169"/>
      <c r="U39" s="167"/>
      <c r="V39" s="167"/>
      <c r="W39" s="169"/>
      <c r="X39" s="167"/>
      <c r="Y39" s="167"/>
      <c r="Z39" s="167"/>
      <c r="AA39" s="167"/>
      <c r="AB39" s="169"/>
      <c r="AC39" s="167"/>
      <c r="AD39" s="167"/>
      <c r="AE39" s="167"/>
      <c r="AF39" s="169"/>
      <c r="AG39" s="167"/>
      <c r="AH39" s="169"/>
      <c r="AI39" s="167"/>
      <c r="AJ39" s="170"/>
      <c r="AK39" s="168"/>
      <c r="AL39" s="168"/>
      <c r="AM39" s="168"/>
      <c r="AN39" s="168"/>
      <c r="AO39" s="168"/>
      <c r="AP39" s="168"/>
      <c r="AQ39" s="168"/>
      <c r="AR39" s="168"/>
      <c r="AS39" s="171"/>
      <c r="AT39" s="172"/>
      <c r="AU39" s="172"/>
      <c r="AV39" s="172"/>
      <c r="AW39" s="172"/>
      <c r="AX39" s="172"/>
      <c r="AY39" s="172"/>
      <c r="AZ39" s="172"/>
      <c r="BA39" s="172"/>
      <c r="BB39" s="168"/>
      <c r="BC39" s="169"/>
      <c r="BD39" s="168"/>
      <c r="BE39" s="168"/>
      <c r="BF39" s="167"/>
      <c r="BG39" s="169"/>
      <c r="BH39" s="167"/>
      <c r="BI39" s="167"/>
      <c r="BJ39" s="169"/>
      <c r="BK39" s="167"/>
      <c r="BL39" s="167"/>
      <c r="BM39" s="167"/>
      <c r="BN39" s="131"/>
      <c r="BO39" s="131"/>
      <c r="BP39" s="131"/>
      <c r="BQ39" s="131"/>
      <c r="BR39" s="167"/>
      <c r="BS39" s="169"/>
      <c r="BT39" s="167"/>
      <c r="BU39" s="174"/>
      <c r="BV39" s="167"/>
      <c r="BW39" s="167"/>
      <c r="BX39" s="169"/>
      <c r="BY39" s="167"/>
      <c r="BZ39" s="167"/>
      <c r="CA39" s="167"/>
      <c r="CB39" s="167"/>
      <c r="CC39" s="167"/>
      <c r="CD39" s="167"/>
      <c r="CE39" s="131"/>
      <c r="CF39" s="168"/>
      <c r="CG39" s="169"/>
      <c r="CH39" s="167"/>
      <c r="CI39" s="168"/>
      <c r="CJ39" s="167"/>
      <c r="CK39" s="167"/>
      <c r="CL39" s="169"/>
      <c r="CM39" s="167"/>
      <c r="CN39" s="167"/>
      <c r="CO39" s="167"/>
      <c r="CP39" s="167"/>
      <c r="CQ39" s="167"/>
      <c r="CR39" s="167"/>
      <c r="CS39" s="167"/>
      <c r="CT39" s="168"/>
      <c r="CU39" s="169"/>
      <c r="CV39" s="167"/>
      <c r="CW39" s="167"/>
      <c r="CX39" s="167"/>
      <c r="CY39" s="167"/>
      <c r="CZ39" s="167"/>
      <c r="DA39" s="169"/>
      <c r="DB39" s="131"/>
      <c r="DC39" s="168"/>
      <c r="DD39" s="169"/>
      <c r="DE39" s="167"/>
      <c r="DF39" s="167"/>
      <c r="DG39" s="169"/>
      <c r="DH39" s="178"/>
      <c r="DI39" s="168"/>
      <c r="DJ39" s="168"/>
      <c r="DK39" s="131"/>
      <c r="DL39" s="168"/>
      <c r="DM39" s="169"/>
      <c r="DN39" s="167"/>
      <c r="DO39" s="167"/>
      <c r="DP39" s="167"/>
      <c r="DQ39" s="167"/>
      <c r="DR39" s="167"/>
      <c r="DS39" s="167"/>
      <c r="DT39" s="167"/>
      <c r="DU39" s="167"/>
      <c r="DV39" s="167"/>
      <c r="DW39" s="169"/>
      <c r="DX39" s="168"/>
      <c r="DY39" s="168"/>
      <c r="DZ39" s="168"/>
      <c r="EA39" s="167"/>
      <c r="EB39" s="167"/>
      <c r="EC39" s="170"/>
      <c r="ED39" s="167"/>
      <c r="EE39" s="167"/>
      <c r="EF39" s="104"/>
      <c r="EG39" s="38"/>
      <c r="EH39" s="38"/>
      <c r="EI39" s="38"/>
      <c r="EJ39" s="2"/>
      <c r="EK39" s="2"/>
      <c r="EL39" s="2"/>
      <c r="EM39" s="2"/>
      <c r="EN39" s="33"/>
      <c r="EO39" s="33"/>
      <c r="EP39" s="33"/>
      <c r="EQ39" s="33"/>
      <c r="ER39" s="36"/>
      <c r="ES39" s="2"/>
      <c r="ET39" s="169"/>
      <c r="EU39" s="167"/>
      <c r="EV39" s="131"/>
      <c r="EW39" s="131"/>
      <c r="EX39" s="168"/>
      <c r="EY39" s="168"/>
      <c r="EZ39" s="169"/>
      <c r="FA39" s="131"/>
      <c r="FB39" s="168"/>
      <c r="FC39" s="169"/>
      <c r="FD39" s="167"/>
      <c r="FE39" s="131"/>
      <c r="FF39" s="131"/>
      <c r="FG39" s="174"/>
      <c r="FH39" s="174"/>
    </row>
    <row r="40" spans="1:164" x14ac:dyDescent="0.2">
      <c r="A40" t="s">
        <v>969</v>
      </c>
      <c r="B40" s="1" t="s">
        <v>970</v>
      </c>
      <c r="C40" t="s">
        <v>30</v>
      </c>
      <c r="E40" s="167"/>
      <c r="F40" s="167"/>
      <c r="G40" s="167"/>
      <c r="H40" s="167"/>
      <c r="I40" s="167"/>
      <c r="J40" s="167"/>
      <c r="K40" s="167"/>
      <c r="L40" s="167"/>
      <c r="M40" s="173"/>
      <c r="N40" s="167"/>
      <c r="O40" s="167"/>
      <c r="P40" s="167"/>
      <c r="Q40" s="167"/>
      <c r="R40" s="167"/>
      <c r="S40" s="167"/>
      <c r="T40" s="169"/>
      <c r="U40" s="167"/>
      <c r="V40" s="167"/>
      <c r="W40" s="169"/>
      <c r="X40" s="167"/>
      <c r="Y40" s="167"/>
      <c r="Z40" s="167"/>
      <c r="AA40" s="167"/>
      <c r="AB40" s="169"/>
      <c r="AC40" s="167"/>
      <c r="AD40" s="167"/>
      <c r="AE40" s="167"/>
      <c r="AF40" s="169"/>
      <c r="AG40" s="167"/>
      <c r="AH40" s="169"/>
      <c r="AI40" s="167"/>
      <c r="AJ40" s="170"/>
      <c r="AK40" s="168"/>
      <c r="AL40" s="168"/>
      <c r="AM40" s="168"/>
      <c r="AN40" s="168"/>
      <c r="AO40" s="168"/>
      <c r="AP40" s="168"/>
      <c r="AQ40" s="168"/>
      <c r="AR40" s="168"/>
      <c r="AS40" s="171"/>
      <c r="AT40" s="172"/>
      <c r="AU40" s="172"/>
      <c r="AV40" s="172"/>
      <c r="AW40" s="172"/>
      <c r="AX40" s="172"/>
      <c r="AY40" s="172"/>
      <c r="AZ40" s="172"/>
      <c r="BA40" s="172"/>
      <c r="BB40" s="168"/>
      <c r="BC40" s="169"/>
      <c r="BD40" s="168"/>
      <c r="BE40" s="168"/>
      <c r="BF40" s="167"/>
      <c r="BG40" s="169"/>
      <c r="BH40" s="167"/>
      <c r="BI40" s="167"/>
      <c r="BJ40" s="169"/>
      <c r="BK40" s="167"/>
      <c r="BL40" s="167"/>
      <c r="BM40" s="167"/>
      <c r="BN40" s="131"/>
      <c r="BO40" s="131"/>
      <c r="BP40" s="131"/>
      <c r="BQ40" s="131"/>
      <c r="BR40" s="167"/>
      <c r="BS40" s="169"/>
      <c r="BT40" s="167"/>
      <c r="BU40" s="174"/>
      <c r="BV40" s="167"/>
      <c r="BW40" s="167"/>
      <c r="BX40" s="169"/>
      <c r="BY40" s="167"/>
      <c r="BZ40" s="167"/>
      <c r="CA40" s="167"/>
      <c r="CB40" s="167"/>
      <c r="CC40" s="167"/>
      <c r="CD40" s="167"/>
      <c r="CE40" s="131"/>
      <c r="CF40" s="168"/>
      <c r="CG40" s="169"/>
      <c r="CH40" s="167"/>
      <c r="CI40" s="168"/>
      <c r="CJ40" s="167"/>
      <c r="CK40" s="167"/>
      <c r="CL40" s="169"/>
      <c r="CM40" s="167"/>
      <c r="CN40" s="167"/>
      <c r="CO40" s="167"/>
      <c r="CP40" s="167"/>
      <c r="CQ40" s="167"/>
      <c r="CR40" s="167"/>
      <c r="CS40" s="167"/>
      <c r="CT40" s="168"/>
      <c r="CU40" s="169"/>
      <c r="CV40" s="167"/>
      <c r="CW40" s="167"/>
      <c r="CX40" s="167"/>
      <c r="CY40" s="167"/>
      <c r="CZ40" s="167"/>
      <c r="DA40" s="169"/>
      <c r="DB40" s="131"/>
      <c r="DC40" s="168"/>
      <c r="DD40" s="169"/>
      <c r="DE40" s="167"/>
      <c r="DF40" s="167"/>
      <c r="DG40" s="169"/>
      <c r="DH40" s="178"/>
      <c r="DI40" s="168"/>
      <c r="DJ40" s="168"/>
      <c r="DK40" s="131"/>
      <c r="DL40" s="168"/>
      <c r="DM40" s="169"/>
      <c r="DN40" s="167"/>
      <c r="DO40" s="167"/>
      <c r="DP40" s="167"/>
      <c r="DQ40" s="167"/>
      <c r="DR40" s="167"/>
      <c r="DS40" s="167"/>
      <c r="DT40" s="167"/>
      <c r="DU40" s="167"/>
      <c r="DV40" s="167"/>
      <c r="DW40" s="169"/>
      <c r="DX40" s="168"/>
      <c r="DY40" s="168"/>
      <c r="DZ40" s="168"/>
      <c r="EA40" s="167"/>
      <c r="EB40" s="167"/>
      <c r="EC40" s="170"/>
      <c r="ED40" s="167"/>
      <c r="EE40" s="167"/>
      <c r="EF40" s="104"/>
      <c r="EG40" s="38"/>
      <c r="EH40" s="38"/>
      <c r="EI40" s="38"/>
      <c r="EJ40" s="2"/>
      <c r="EK40" s="2"/>
      <c r="EL40" s="2"/>
      <c r="EM40" s="2"/>
      <c r="EN40" s="33"/>
      <c r="EO40" s="33"/>
      <c r="EP40" s="33"/>
      <c r="EQ40" s="33"/>
      <c r="ER40" s="36"/>
      <c r="ES40" s="2"/>
      <c r="ET40" s="169"/>
      <c r="EU40" s="167"/>
      <c r="EV40" s="131"/>
      <c r="EW40" s="131"/>
      <c r="EX40" s="168"/>
      <c r="EY40" s="168"/>
      <c r="EZ40" s="169"/>
      <c r="FA40" s="131"/>
      <c r="FB40" s="168"/>
      <c r="FC40" s="169"/>
      <c r="FD40" s="167"/>
      <c r="FE40" s="131"/>
      <c r="FF40" s="131"/>
      <c r="FG40" s="174"/>
      <c r="FH40" s="174"/>
    </row>
    <row r="41" spans="1:164" x14ac:dyDescent="0.2">
      <c r="A41" t="s">
        <v>969</v>
      </c>
      <c r="B41" s="1" t="s">
        <v>970</v>
      </c>
      <c r="C41" t="s">
        <v>48</v>
      </c>
      <c r="E41" s="167"/>
      <c r="F41" s="167"/>
      <c r="G41" s="167"/>
      <c r="H41" s="167"/>
      <c r="I41" s="167"/>
      <c r="J41" s="167"/>
      <c r="K41" s="167"/>
      <c r="L41" s="167"/>
      <c r="M41" s="173"/>
      <c r="N41" s="167"/>
      <c r="O41" s="167"/>
      <c r="P41" s="167"/>
      <c r="Q41" s="167"/>
      <c r="R41" s="167"/>
      <c r="S41" s="167"/>
      <c r="T41" s="169"/>
      <c r="U41" s="167"/>
      <c r="V41" s="167"/>
      <c r="W41" s="169"/>
      <c r="X41" s="167"/>
      <c r="Y41" s="167"/>
      <c r="Z41" s="167"/>
      <c r="AA41" s="167"/>
      <c r="AB41" s="169"/>
      <c r="AC41" s="167"/>
      <c r="AD41" s="167"/>
      <c r="AE41" s="167"/>
      <c r="AF41" s="169"/>
      <c r="AG41" s="167"/>
      <c r="AH41" s="169"/>
      <c r="AI41" s="167"/>
      <c r="AJ41" s="170"/>
      <c r="AK41" s="168"/>
      <c r="AL41" s="168"/>
      <c r="AM41" s="168"/>
      <c r="AN41" s="168"/>
      <c r="AO41" s="168"/>
      <c r="AP41" s="168"/>
      <c r="AQ41" s="168"/>
      <c r="AR41" s="168"/>
      <c r="AS41" s="171"/>
      <c r="AT41" s="172"/>
      <c r="AU41" s="172"/>
      <c r="AV41" s="172"/>
      <c r="AW41" s="172"/>
      <c r="AX41" s="172"/>
      <c r="AY41" s="172"/>
      <c r="AZ41" s="172"/>
      <c r="BA41" s="172"/>
      <c r="BB41" s="168"/>
      <c r="BC41" s="169"/>
      <c r="BD41" s="168"/>
      <c r="BE41" s="168"/>
      <c r="BF41" s="167"/>
      <c r="BG41" s="169"/>
      <c r="BH41" s="167"/>
      <c r="BI41" s="167"/>
      <c r="BJ41" s="169"/>
      <c r="BK41" s="167"/>
      <c r="BL41" s="167"/>
      <c r="BM41" s="167"/>
      <c r="BN41" s="131"/>
      <c r="BO41" s="131"/>
      <c r="BP41" s="131"/>
      <c r="BQ41" s="131"/>
      <c r="BR41" s="167"/>
      <c r="BS41" s="169"/>
      <c r="BT41" s="167"/>
      <c r="BU41" s="174"/>
      <c r="BV41" s="167"/>
      <c r="BW41" s="167"/>
      <c r="BX41" s="169"/>
      <c r="BY41" s="167"/>
      <c r="BZ41" s="167"/>
      <c r="CA41" s="167"/>
      <c r="CB41" s="167"/>
      <c r="CC41" s="167"/>
      <c r="CD41" s="167"/>
      <c r="CE41" s="131"/>
      <c r="CF41" s="168"/>
      <c r="CG41" s="169"/>
      <c r="CH41" s="167"/>
      <c r="CI41" s="168"/>
      <c r="CJ41" s="167"/>
      <c r="CK41" s="167"/>
      <c r="CL41" s="169"/>
      <c r="CM41" s="167"/>
      <c r="CN41" s="167"/>
      <c r="CO41" s="167"/>
      <c r="CP41" s="167"/>
      <c r="CQ41" s="167"/>
      <c r="CR41" s="167"/>
      <c r="CS41" s="167"/>
      <c r="CT41" s="168"/>
      <c r="CU41" s="169"/>
      <c r="CV41" s="167"/>
      <c r="CW41" s="167"/>
      <c r="CX41" s="167"/>
      <c r="CY41" s="167"/>
      <c r="CZ41" s="167"/>
      <c r="DA41" s="169"/>
      <c r="DB41" s="131"/>
      <c r="DC41" s="168"/>
      <c r="DD41" s="169"/>
      <c r="DE41" s="167"/>
      <c r="DF41" s="167"/>
      <c r="DG41" s="169"/>
      <c r="DH41" s="178"/>
      <c r="DI41" s="168"/>
      <c r="DJ41" s="168"/>
      <c r="DK41" s="131"/>
      <c r="DL41" s="168"/>
      <c r="DM41" s="169"/>
      <c r="DN41" s="167"/>
      <c r="DO41" s="167"/>
      <c r="DP41" s="167"/>
      <c r="DQ41" s="167"/>
      <c r="DR41" s="167"/>
      <c r="DS41" s="167"/>
      <c r="DT41" s="167"/>
      <c r="DU41" s="167"/>
      <c r="DV41" s="167"/>
      <c r="DW41" s="169"/>
      <c r="DX41" s="168"/>
      <c r="DY41" s="168"/>
      <c r="DZ41" s="168"/>
      <c r="EA41" s="167"/>
      <c r="EB41" s="167"/>
      <c r="EC41" s="170"/>
      <c r="ED41" s="167"/>
      <c r="EE41" s="167"/>
      <c r="EF41" s="104"/>
      <c r="EG41" s="38"/>
      <c r="EH41" s="38"/>
      <c r="EI41" s="38"/>
      <c r="EJ41" s="2"/>
      <c r="EK41" s="2"/>
      <c r="EL41" s="2"/>
      <c r="EM41" s="2"/>
      <c r="EN41" s="33"/>
      <c r="EO41" s="33"/>
      <c r="EP41" s="33"/>
      <c r="EQ41" s="33"/>
      <c r="ER41" s="36"/>
      <c r="ES41" s="2"/>
      <c r="ET41" s="169"/>
      <c r="EU41" s="167"/>
      <c r="EV41" s="131"/>
      <c r="EW41" s="131"/>
      <c r="EX41" s="168"/>
      <c r="EY41" s="168"/>
      <c r="EZ41" s="169"/>
      <c r="FA41" s="131"/>
      <c r="FB41" s="168"/>
      <c r="FC41" s="169"/>
      <c r="FD41" s="167"/>
      <c r="FE41" s="131"/>
      <c r="FF41" s="131"/>
      <c r="FG41" s="174"/>
      <c r="FH41" s="174"/>
    </row>
    <row r="42" spans="1:164" x14ac:dyDescent="0.2">
      <c r="A42" t="s">
        <v>969</v>
      </c>
      <c r="B42" s="1" t="s">
        <v>971</v>
      </c>
      <c r="C42" t="s">
        <v>30</v>
      </c>
      <c r="E42" s="167"/>
      <c r="F42" s="167"/>
      <c r="G42" s="167"/>
      <c r="H42" s="167"/>
      <c r="I42" s="167"/>
      <c r="J42" s="167"/>
      <c r="K42" s="167"/>
      <c r="L42" s="167"/>
      <c r="M42" s="173"/>
      <c r="N42" s="167"/>
      <c r="O42" s="167"/>
      <c r="P42" s="167"/>
      <c r="Q42" s="167"/>
      <c r="R42" s="167"/>
      <c r="S42" s="167"/>
      <c r="T42" s="169"/>
      <c r="U42" s="167"/>
      <c r="V42" s="167"/>
      <c r="W42" s="169"/>
      <c r="X42" s="167"/>
      <c r="Y42" s="167"/>
      <c r="Z42" s="167"/>
      <c r="AA42" s="167"/>
      <c r="AB42" s="169"/>
      <c r="AC42" s="167"/>
      <c r="AD42" s="167"/>
      <c r="AE42" s="167"/>
      <c r="AF42" s="169"/>
      <c r="AG42" s="167"/>
      <c r="AH42" s="169"/>
      <c r="AI42" s="167"/>
      <c r="AJ42" s="170"/>
      <c r="AK42" s="168"/>
      <c r="AL42" s="168"/>
      <c r="AM42" s="168"/>
      <c r="AN42" s="168"/>
      <c r="AO42" s="168"/>
      <c r="AP42" s="168"/>
      <c r="AQ42" s="168"/>
      <c r="AR42" s="168"/>
      <c r="AS42" s="171"/>
      <c r="AT42" s="172"/>
      <c r="AU42" s="172"/>
      <c r="AV42" s="172"/>
      <c r="AW42" s="172"/>
      <c r="AX42" s="172"/>
      <c r="AY42" s="172"/>
      <c r="AZ42" s="172"/>
      <c r="BA42" s="172"/>
      <c r="BB42" s="168"/>
      <c r="BC42" s="169"/>
      <c r="BD42" s="168"/>
      <c r="BE42" s="168"/>
      <c r="BF42" s="167"/>
      <c r="BG42" s="169"/>
      <c r="BH42" s="167"/>
      <c r="BI42" s="167"/>
      <c r="BJ42" s="169"/>
      <c r="BK42" s="167"/>
      <c r="BL42" s="167"/>
      <c r="BM42" s="167"/>
      <c r="BN42" s="131"/>
      <c r="BO42" s="131"/>
      <c r="BP42" s="131"/>
      <c r="BQ42" s="131"/>
      <c r="BR42" s="167"/>
      <c r="BS42" s="169"/>
      <c r="BT42" s="167"/>
      <c r="BU42" s="174"/>
      <c r="BV42" s="167"/>
      <c r="BW42" s="167"/>
      <c r="BX42" s="169"/>
      <c r="BY42" s="167"/>
      <c r="BZ42" s="167"/>
      <c r="CA42" s="167"/>
      <c r="CB42" s="167"/>
      <c r="CC42" s="167"/>
      <c r="CD42" s="167"/>
      <c r="CE42" s="131"/>
      <c r="CF42" s="168"/>
      <c r="CG42" s="169"/>
      <c r="CH42" s="167"/>
      <c r="CI42" s="168"/>
      <c r="CJ42" s="167"/>
      <c r="CK42" s="167"/>
      <c r="CL42" s="169"/>
      <c r="CM42" s="167"/>
      <c r="CN42" s="167"/>
      <c r="CO42" s="167"/>
      <c r="CP42" s="167"/>
      <c r="CQ42" s="167"/>
      <c r="CR42" s="167"/>
      <c r="CS42" s="167"/>
      <c r="CT42" s="168"/>
      <c r="CU42" s="169"/>
      <c r="CV42" s="167"/>
      <c r="CW42" s="167"/>
      <c r="CX42" s="167"/>
      <c r="CY42" s="167"/>
      <c r="CZ42" s="167"/>
      <c r="DA42" s="169"/>
      <c r="DB42" s="131"/>
      <c r="DC42" s="168"/>
      <c r="DD42" s="169"/>
      <c r="DE42" s="167"/>
      <c r="DF42" s="167"/>
      <c r="DG42" s="169"/>
      <c r="DH42" s="178"/>
      <c r="DI42" s="168"/>
      <c r="DJ42" s="168"/>
      <c r="DK42" s="131"/>
      <c r="DL42" s="168"/>
      <c r="DM42" s="169"/>
      <c r="DN42" s="167"/>
      <c r="DO42" s="167"/>
      <c r="DP42" s="167"/>
      <c r="DQ42" s="167"/>
      <c r="DR42" s="167"/>
      <c r="DS42" s="167"/>
      <c r="DT42" s="167"/>
      <c r="DU42" s="167"/>
      <c r="DV42" s="167"/>
      <c r="DW42" s="169"/>
      <c r="DX42" s="168"/>
      <c r="DY42" s="168"/>
      <c r="DZ42" s="168"/>
      <c r="EA42" s="167"/>
      <c r="EB42" s="167"/>
      <c r="EC42" s="170"/>
      <c r="ED42" s="167"/>
      <c r="EE42" s="167"/>
      <c r="EF42" s="104"/>
      <c r="EG42" s="38"/>
      <c r="EH42" s="38"/>
      <c r="EI42" s="38"/>
      <c r="EJ42" s="2"/>
      <c r="EK42" s="2"/>
      <c r="EL42" s="2"/>
      <c r="EM42" s="2"/>
      <c r="EN42" s="33"/>
      <c r="EO42" s="33"/>
      <c r="EP42" s="33"/>
      <c r="EQ42" s="33"/>
      <c r="ER42" s="36"/>
      <c r="ES42" s="2"/>
      <c r="ET42" s="169"/>
      <c r="EU42" s="167"/>
      <c r="EV42" s="131"/>
      <c r="EW42" s="131"/>
      <c r="EX42" s="168"/>
      <c r="EY42" s="168"/>
      <c r="EZ42" s="169"/>
      <c r="FA42" s="131"/>
      <c r="FB42" s="168"/>
      <c r="FC42" s="169"/>
      <c r="FD42" s="167"/>
      <c r="FE42" s="131"/>
      <c r="FF42" s="131"/>
      <c r="FG42" s="174"/>
      <c r="FH42" s="174"/>
    </row>
    <row r="43" spans="1:164" x14ac:dyDescent="0.2">
      <c r="A43" t="s">
        <v>969</v>
      </c>
      <c r="B43" s="1" t="s">
        <v>971</v>
      </c>
      <c r="C43" t="s">
        <v>48</v>
      </c>
      <c r="E43" s="167"/>
      <c r="F43" s="167"/>
      <c r="G43" s="167"/>
      <c r="H43" s="167"/>
      <c r="I43" s="167"/>
      <c r="J43" s="167"/>
      <c r="K43" s="167"/>
      <c r="L43" s="167"/>
      <c r="M43" s="173"/>
      <c r="N43" s="167"/>
      <c r="O43" s="167"/>
      <c r="P43" s="167"/>
      <c r="Q43" s="167"/>
      <c r="R43" s="167"/>
      <c r="S43" s="167"/>
      <c r="T43" s="169"/>
      <c r="U43" s="167"/>
      <c r="V43" s="167"/>
      <c r="W43" s="169"/>
      <c r="X43" s="167"/>
      <c r="Y43" s="167"/>
      <c r="Z43" s="167"/>
      <c r="AA43" s="167"/>
      <c r="AB43" s="169"/>
      <c r="AC43" s="167"/>
      <c r="AD43" s="167"/>
      <c r="AE43" s="167"/>
      <c r="AF43" s="169"/>
      <c r="AG43" s="167"/>
      <c r="AH43" s="169"/>
      <c r="AI43" s="167"/>
      <c r="AJ43" s="170"/>
      <c r="AK43" s="168"/>
      <c r="AL43" s="168"/>
      <c r="AM43" s="168"/>
      <c r="AN43" s="168"/>
      <c r="AO43" s="168"/>
      <c r="AP43" s="168"/>
      <c r="AQ43" s="168"/>
      <c r="AR43" s="168"/>
      <c r="AS43" s="171"/>
      <c r="AT43" s="172"/>
      <c r="AU43" s="172"/>
      <c r="AV43" s="172"/>
      <c r="AW43" s="172"/>
      <c r="AX43" s="172"/>
      <c r="AY43" s="172"/>
      <c r="AZ43" s="172"/>
      <c r="BA43" s="172"/>
      <c r="BB43" s="168"/>
      <c r="BC43" s="169"/>
      <c r="BD43" s="168"/>
      <c r="BE43" s="168"/>
      <c r="BF43" s="167"/>
      <c r="BG43" s="169"/>
      <c r="BH43" s="167"/>
      <c r="BI43" s="167"/>
      <c r="BJ43" s="169"/>
      <c r="BK43" s="167"/>
      <c r="BL43" s="167"/>
      <c r="BM43" s="167"/>
      <c r="BN43" s="131"/>
      <c r="BO43" s="131"/>
      <c r="BP43" s="131"/>
      <c r="BQ43" s="131"/>
      <c r="BR43" s="167"/>
      <c r="BS43" s="169"/>
      <c r="BT43" s="167"/>
      <c r="BU43" s="174"/>
      <c r="BV43" s="167"/>
      <c r="BW43" s="167"/>
      <c r="BX43" s="169"/>
      <c r="BY43" s="167"/>
      <c r="BZ43" s="167"/>
      <c r="CA43" s="167"/>
      <c r="CB43" s="167"/>
      <c r="CC43" s="167"/>
      <c r="CD43" s="167"/>
      <c r="CE43" s="131"/>
      <c r="CF43" s="168"/>
      <c r="CG43" s="169"/>
      <c r="CH43" s="167"/>
      <c r="CI43" s="168"/>
      <c r="CJ43" s="167"/>
      <c r="CK43" s="167"/>
      <c r="CL43" s="169"/>
      <c r="CM43" s="167"/>
      <c r="CN43" s="167"/>
      <c r="CO43" s="167"/>
      <c r="CP43" s="167"/>
      <c r="CQ43" s="167"/>
      <c r="CR43" s="167"/>
      <c r="CS43" s="167"/>
      <c r="CT43" s="168"/>
      <c r="CU43" s="169"/>
      <c r="CV43" s="167"/>
      <c r="CW43" s="167"/>
      <c r="CX43" s="167"/>
      <c r="CY43" s="167"/>
      <c r="CZ43" s="167"/>
      <c r="DA43" s="169"/>
      <c r="DB43" s="131"/>
      <c r="DC43" s="168"/>
      <c r="DD43" s="169"/>
      <c r="DE43" s="167"/>
      <c r="DF43" s="167"/>
      <c r="DG43" s="169"/>
      <c r="DH43" s="178"/>
      <c r="DI43" s="168"/>
      <c r="DJ43" s="168"/>
      <c r="DK43" s="131"/>
      <c r="DL43" s="168"/>
      <c r="DM43" s="169"/>
      <c r="DN43" s="167"/>
      <c r="DO43" s="167"/>
      <c r="DP43" s="167"/>
      <c r="DQ43" s="167"/>
      <c r="DR43" s="167"/>
      <c r="DS43" s="167"/>
      <c r="DT43" s="167"/>
      <c r="DU43" s="167"/>
      <c r="DV43" s="167"/>
      <c r="DW43" s="169"/>
      <c r="DX43" s="168"/>
      <c r="DY43" s="168"/>
      <c r="DZ43" s="168"/>
      <c r="EA43" s="167"/>
      <c r="EB43" s="167"/>
      <c r="EC43" s="170"/>
      <c r="ED43" s="167"/>
      <c r="EE43" s="167"/>
      <c r="EF43" s="104"/>
      <c r="EG43" s="38"/>
      <c r="EH43" s="38"/>
      <c r="EI43" s="38"/>
      <c r="EJ43" s="2"/>
      <c r="EK43" s="2"/>
      <c r="EL43" s="2"/>
      <c r="EM43" s="2"/>
      <c r="EN43" s="33"/>
      <c r="EO43" s="33"/>
      <c r="EP43" s="33"/>
      <c r="EQ43" s="33"/>
      <c r="ER43" s="36"/>
      <c r="ES43" s="2"/>
      <c r="ET43" s="169"/>
      <c r="EU43" s="167"/>
      <c r="EV43" s="131"/>
      <c r="EW43" s="131"/>
      <c r="EX43" s="168"/>
      <c r="EY43" s="168"/>
      <c r="EZ43" s="169"/>
      <c r="FA43" s="131"/>
      <c r="FB43" s="168"/>
      <c r="FC43" s="169"/>
      <c r="FD43" s="167"/>
      <c r="FE43" s="131"/>
      <c r="FF43" s="131"/>
      <c r="FG43" s="174"/>
      <c r="FH43" s="174"/>
    </row>
    <row r="44" spans="1:164" x14ac:dyDescent="0.2">
      <c r="A44" t="s">
        <v>969</v>
      </c>
      <c r="B44" s="1" t="s">
        <v>474</v>
      </c>
      <c r="C44" t="s">
        <v>30</v>
      </c>
      <c r="E44" s="167"/>
      <c r="F44" s="167"/>
      <c r="G44" s="167"/>
      <c r="H44" s="167"/>
      <c r="I44" s="167"/>
      <c r="J44" s="167"/>
      <c r="K44" s="167"/>
      <c r="L44" s="167"/>
      <c r="M44" s="173"/>
      <c r="N44" s="167"/>
      <c r="O44" s="167"/>
      <c r="P44" s="167"/>
      <c r="Q44" s="167"/>
      <c r="R44" s="167"/>
      <c r="S44" s="167"/>
      <c r="T44" s="169"/>
      <c r="U44" s="167"/>
      <c r="V44" s="167"/>
      <c r="W44" s="169"/>
      <c r="X44" s="167"/>
      <c r="Y44" s="167"/>
      <c r="Z44" s="167"/>
      <c r="AA44" s="167"/>
      <c r="AB44" s="169"/>
      <c r="AC44" s="167"/>
      <c r="AD44" s="167"/>
      <c r="AE44" s="167"/>
      <c r="AF44" s="169"/>
      <c r="AG44" s="167"/>
      <c r="AH44" s="169"/>
      <c r="AI44" s="167"/>
      <c r="AJ44" s="170"/>
      <c r="AK44" s="168"/>
      <c r="AL44" s="168"/>
      <c r="AM44" s="168"/>
      <c r="AN44" s="168"/>
      <c r="AO44" s="168"/>
      <c r="AP44" s="168"/>
      <c r="AQ44" s="168"/>
      <c r="AR44" s="168"/>
      <c r="AS44" s="171"/>
      <c r="AT44" s="172"/>
      <c r="AU44" s="172"/>
      <c r="AV44" s="172"/>
      <c r="AW44" s="172"/>
      <c r="AX44" s="172"/>
      <c r="AY44" s="172"/>
      <c r="AZ44" s="172"/>
      <c r="BA44" s="172"/>
      <c r="BB44" s="168"/>
      <c r="BC44" s="169"/>
      <c r="BD44" s="168"/>
      <c r="BE44" s="168"/>
      <c r="BF44" s="167"/>
      <c r="BG44" s="169"/>
      <c r="BH44" s="167"/>
      <c r="BI44" s="167"/>
      <c r="BJ44" s="169"/>
      <c r="BK44" s="167"/>
      <c r="BL44" s="167"/>
      <c r="BM44" s="167"/>
      <c r="BN44" s="131"/>
      <c r="BO44" s="131"/>
      <c r="BP44" s="131"/>
      <c r="BQ44" s="131"/>
      <c r="BR44" s="167"/>
      <c r="BS44" s="169"/>
      <c r="BT44" s="167"/>
      <c r="BU44" s="174"/>
      <c r="BV44" s="167"/>
      <c r="BW44" s="167"/>
      <c r="BX44" s="169"/>
      <c r="BY44" s="167"/>
      <c r="BZ44" s="167"/>
      <c r="CA44" s="167"/>
      <c r="CB44" s="167"/>
      <c r="CC44" s="167"/>
      <c r="CD44" s="167"/>
      <c r="CE44" s="131"/>
      <c r="CF44" s="168"/>
      <c r="CG44" s="169"/>
      <c r="CH44" s="167"/>
      <c r="CI44" s="168"/>
      <c r="CJ44" s="167"/>
      <c r="CK44" s="167"/>
      <c r="CL44" s="169"/>
      <c r="CM44" s="167"/>
      <c r="CN44" s="167"/>
      <c r="CO44" s="167"/>
      <c r="CP44" s="167"/>
      <c r="CQ44" s="167"/>
      <c r="CR44" s="167"/>
      <c r="CS44" s="167"/>
      <c r="CT44" s="168"/>
      <c r="CU44" s="169"/>
      <c r="CV44" s="167"/>
      <c r="CW44" s="167"/>
      <c r="CX44" s="167"/>
      <c r="CY44" s="167"/>
      <c r="CZ44" s="167"/>
      <c r="DA44" s="169"/>
      <c r="DB44" s="131"/>
      <c r="DC44" s="168"/>
      <c r="DD44" s="169"/>
      <c r="DE44" s="167"/>
      <c r="DF44" s="167"/>
      <c r="DG44" s="169"/>
      <c r="DH44" s="178"/>
      <c r="DI44" s="168"/>
      <c r="DJ44" s="168"/>
      <c r="DK44" s="131"/>
      <c r="DL44" s="168"/>
      <c r="DM44" s="169"/>
      <c r="DN44" s="167"/>
      <c r="DO44" s="167"/>
      <c r="DP44" s="167"/>
      <c r="DQ44" s="167"/>
      <c r="DR44" s="167"/>
      <c r="DS44" s="167"/>
      <c r="DT44" s="167"/>
      <c r="DU44" s="167"/>
      <c r="DV44" s="167"/>
      <c r="DW44" s="169"/>
      <c r="DX44" s="168"/>
      <c r="DY44" s="168"/>
      <c r="DZ44" s="168"/>
      <c r="EA44" s="167"/>
      <c r="EB44" s="167"/>
      <c r="EC44" s="170"/>
      <c r="ED44" s="167"/>
      <c r="EE44" s="167"/>
      <c r="EF44" s="104"/>
      <c r="EG44" s="38"/>
      <c r="EH44" s="38"/>
      <c r="EI44" s="38"/>
      <c r="EJ44" s="2"/>
      <c r="EK44" s="2"/>
      <c r="EL44" s="2"/>
      <c r="EM44" s="2"/>
      <c r="EN44" s="33"/>
      <c r="EO44" s="33"/>
      <c r="EP44" s="33"/>
      <c r="EQ44" s="33"/>
      <c r="ER44" s="36"/>
      <c r="ES44" s="2"/>
      <c r="ET44" s="169"/>
      <c r="EU44" s="167"/>
      <c r="EV44" s="131"/>
      <c r="EW44" s="131"/>
      <c r="EX44" s="168"/>
      <c r="EY44" s="168"/>
      <c r="EZ44" s="169"/>
      <c r="FA44" s="131"/>
      <c r="FB44" s="168"/>
      <c r="FC44" s="169"/>
      <c r="FD44" s="167"/>
      <c r="FE44" s="131"/>
      <c r="FF44" s="131"/>
      <c r="FG44" s="174"/>
      <c r="FH44" s="174"/>
    </row>
    <row r="45" spans="1:164" x14ac:dyDescent="0.2">
      <c r="A45" t="s">
        <v>969</v>
      </c>
      <c r="B45" s="1" t="s">
        <v>474</v>
      </c>
      <c r="C45" t="s">
        <v>48</v>
      </c>
      <c r="E45" s="167"/>
      <c r="F45" s="167"/>
      <c r="G45" s="167"/>
      <c r="H45" s="167"/>
      <c r="I45" s="167"/>
      <c r="J45" s="167"/>
      <c r="K45" s="167"/>
      <c r="L45" s="167"/>
      <c r="M45" s="173"/>
      <c r="N45" s="167"/>
      <c r="O45" s="167"/>
      <c r="P45" s="167"/>
      <c r="Q45" s="167"/>
      <c r="R45" s="167"/>
      <c r="S45" s="167"/>
      <c r="T45" s="169"/>
      <c r="U45" s="167"/>
      <c r="V45" s="167"/>
      <c r="W45" s="169"/>
      <c r="X45" s="167"/>
      <c r="Y45" s="167"/>
      <c r="Z45" s="167"/>
      <c r="AA45" s="167"/>
      <c r="AB45" s="169"/>
      <c r="AC45" s="167"/>
      <c r="AD45" s="167"/>
      <c r="AE45" s="167"/>
      <c r="AF45" s="169"/>
      <c r="AG45" s="167"/>
      <c r="AH45" s="169"/>
      <c r="AI45" s="167"/>
      <c r="AJ45" s="170"/>
      <c r="AK45" s="168"/>
      <c r="AL45" s="168"/>
      <c r="AM45" s="168"/>
      <c r="AN45" s="168"/>
      <c r="AO45" s="168"/>
      <c r="AP45" s="168"/>
      <c r="AQ45" s="168"/>
      <c r="AR45" s="168"/>
      <c r="AS45" s="171"/>
      <c r="AT45" s="172"/>
      <c r="AU45" s="172"/>
      <c r="AV45" s="172"/>
      <c r="AW45" s="172"/>
      <c r="AX45" s="172"/>
      <c r="AY45" s="172"/>
      <c r="AZ45" s="172"/>
      <c r="BA45" s="172"/>
      <c r="BB45" s="168"/>
      <c r="BC45" s="169"/>
      <c r="BD45" s="168"/>
      <c r="BE45" s="168"/>
      <c r="BF45" s="167"/>
      <c r="BG45" s="169"/>
      <c r="BH45" s="167"/>
      <c r="BI45" s="167"/>
      <c r="BJ45" s="169"/>
      <c r="BK45" s="167"/>
      <c r="BL45" s="167"/>
      <c r="BM45" s="167"/>
      <c r="BN45" s="131"/>
      <c r="BO45" s="131"/>
      <c r="BP45" s="131"/>
      <c r="BQ45" s="131"/>
      <c r="BR45" s="167"/>
      <c r="BS45" s="169"/>
      <c r="BT45" s="167"/>
      <c r="BU45" s="174"/>
      <c r="BV45" s="167"/>
      <c r="BW45" s="167"/>
      <c r="BX45" s="169"/>
      <c r="BY45" s="167"/>
      <c r="BZ45" s="167"/>
      <c r="CA45" s="167"/>
      <c r="CB45" s="167"/>
      <c r="CC45" s="167"/>
      <c r="CD45" s="167"/>
      <c r="CE45" s="131"/>
      <c r="CF45" s="168"/>
      <c r="CG45" s="169"/>
      <c r="CH45" s="167"/>
      <c r="CI45" s="168"/>
      <c r="CJ45" s="167"/>
      <c r="CK45" s="167"/>
      <c r="CL45" s="169"/>
      <c r="CM45" s="167"/>
      <c r="CN45" s="167"/>
      <c r="CO45" s="167"/>
      <c r="CP45" s="167"/>
      <c r="CQ45" s="167"/>
      <c r="CR45" s="167"/>
      <c r="CS45" s="167"/>
      <c r="CT45" s="168"/>
      <c r="CU45" s="169"/>
      <c r="CV45" s="167"/>
      <c r="CW45" s="167"/>
      <c r="CX45" s="167"/>
      <c r="CY45" s="167"/>
      <c r="CZ45" s="167"/>
      <c r="DA45" s="169"/>
      <c r="DB45" s="131"/>
      <c r="DC45" s="168"/>
      <c r="DD45" s="169"/>
      <c r="DE45" s="167"/>
      <c r="DF45" s="167"/>
      <c r="DG45" s="169"/>
      <c r="DH45" s="178"/>
      <c r="DI45" s="168"/>
      <c r="DJ45" s="168"/>
      <c r="DK45" s="131"/>
      <c r="DL45" s="168"/>
      <c r="DM45" s="169"/>
      <c r="DN45" s="167"/>
      <c r="DO45" s="167"/>
      <c r="DP45" s="167"/>
      <c r="DQ45" s="167"/>
      <c r="DR45" s="167"/>
      <c r="DS45" s="167"/>
      <c r="DT45" s="167"/>
      <c r="DU45" s="167"/>
      <c r="DV45" s="167"/>
      <c r="DW45" s="169"/>
      <c r="DX45" s="168"/>
      <c r="DY45" s="168"/>
      <c r="DZ45" s="168"/>
      <c r="EA45" s="167"/>
      <c r="EB45" s="167"/>
      <c r="EC45" s="170"/>
      <c r="ED45" s="167"/>
      <c r="EE45" s="167"/>
      <c r="EF45" s="104"/>
      <c r="EG45" s="38"/>
      <c r="EH45" s="38"/>
      <c r="EI45" s="38"/>
      <c r="EJ45" s="2"/>
      <c r="EK45" s="2"/>
      <c r="EL45" s="2"/>
      <c r="EM45" s="2"/>
      <c r="EN45" s="33"/>
      <c r="EO45" s="33"/>
      <c r="EP45" s="33"/>
      <c r="EQ45" s="33"/>
      <c r="ER45" s="36"/>
      <c r="ES45" s="2"/>
      <c r="ET45" s="169"/>
      <c r="EU45" s="167"/>
      <c r="EV45" s="131"/>
      <c r="EW45" s="131"/>
      <c r="EX45" s="168"/>
      <c r="EY45" s="168"/>
      <c r="EZ45" s="169"/>
      <c r="FA45" s="131"/>
      <c r="FB45" s="168"/>
      <c r="FC45" s="169"/>
      <c r="FD45" s="167"/>
      <c r="FE45" s="131"/>
      <c r="FF45" s="131"/>
      <c r="FG45" s="174"/>
      <c r="FH45" s="174"/>
    </row>
    <row r="46" spans="1:164" x14ac:dyDescent="0.2">
      <c r="A46" t="s">
        <v>969</v>
      </c>
      <c r="B46" s="1" t="s">
        <v>972</v>
      </c>
      <c r="C46" t="s">
        <v>30</v>
      </c>
      <c r="E46" s="167"/>
      <c r="F46" s="167"/>
      <c r="G46" s="167"/>
      <c r="H46" s="167"/>
      <c r="I46" s="167"/>
      <c r="J46" s="167"/>
      <c r="K46" s="167"/>
      <c r="L46" s="167"/>
      <c r="M46" s="173"/>
      <c r="N46" s="167"/>
      <c r="O46" s="167"/>
      <c r="P46" s="167"/>
      <c r="Q46" s="167"/>
      <c r="R46" s="167"/>
      <c r="S46" s="167"/>
      <c r="T46" s="169"/>
      <c r="U46" s="167"/>
      <c r="V46" s="167"/>
      <c r="W46" s="169"/>
      <c r="X46" s="167"/>
      <c r="Y46" s="167"/>
      <c r="Z46" s="167"/>
      <c r="AA46" s="167"/>
      <c r="AB46" s="169"/>
      <c r="AC46" s="167"/>
      <c r="AD46" s="167"/>
      <c r="AE46" s="167"/>
      <c r="AF46" s="169"/>
      <c r="AG46" s="167"/>
      <c r="AH46" s="169"/>
      <c r="AI46" s="167"/>
      <c r="AJ46" s="170"/>
      <c r="AK46" s="168"/>
      <c r="AL46" s="168"/>
      <c r="AM46" s="168"/>
      <c r="AN46" s="168"/>
      <c r="AO46" s="168"/>
      <c r="AP46" s="168"/>
      <c r="AQ46" s="168"/>
      <c r="AR46" s="168"/>
      <c r="AS46" s="171"/>
      <c r="AT46" s="172"/>
      <c r="AU46" s="172"/>
      <c r="AV46" s="172"/>
      <c r="AW46" s="172"/>
      <c r="AX46" s="172"/>
      <c r="AY46" s="172"/>
      <c r="AZ46" s="172"/>
      <c r="BA46" s="172"/>
      <c r="BB46" s="168"/>
      <c r="BC46" s="169"/>
      <c r="BD46" s="168"/>
      <c r="BE46" s="168"/>
      <c r="BF46" s="167"/>
      <c r="BG46" s="169"/>
      <c r="BH46" s="167"/>
      <c r="BI46" s="167"/>
      <c r="BJ46" s="169"/>
      <c r="BK46" s="167"/>
      <c r="BL46" s="167"/>
      <c r="BM46" s="167"/>
      <c r="BN46" s="131"/>
      <c r="BO46" s="131"/>
      <c r="BP46" s="131"/>
      <c r="BQ46" s="131"/>
      <c r="BR46" s="167"/>
      <c r="BS46" s="169"/>
      <c r="BT46" s="167"/>
      <c r="BU46" s="174"/>
      <c r="BV46" s="167"/>
      <c r="BW46" s="167"/>
      <c r="BX46" s="169"/>
      <c r="BY46" s="167"/>
      <c r="BZ46" s="167"/>
      <c r="CA46" s="167"/>
      <c r="CB46" s="167"/>
      <c r="CC46" s="167"/>
      <c r="CD46" s="167"/>
      <c r="CE46" s="131"/>
      <c r="CF46" s="168"/>
      <c r="CG46" s="169"/>
      <c r="CH46" s="167"/>
      <c r="CI46" s="168"/>
      <c r="CJ46" s="167"/>
      <c r="CK46" s="167"/>
      <c r="CL46" s="169"/>
      <c r="CM46" s="167"/>
      <c r="CN46" s="167"/>
      <c r="CO46" s="167"/>
      <c r="CP46" s="167"/>
      <c r="CQ46" s="167"/>
      <c r="CR46" s="167"/>
      <c r="CS46" s="167"/>
      <c r="CT46" s="168"/>
      <c r="CU46" s="169"/>
      <c r="CV46" s="167"/>
      <c r="CW46" s="167"/>
      <c r="CX46" s="167"/>
      <c r="CY46" s="167"/>
      <c r="CZ46" s="167"/>
      <c r="DA46" s="169"/>
      <c r="DB46" s="131"/>
      <c r="DC46" s="168"/>
      <c r="DD46" s="169"/>
      <c r="DE46" s="167"/>
      <c r="DF46" s="167"/>
      <c r="DG46" s="169"/>
      <c r="DH46" s="178"/>
      <c r="DI46" s="168"/>
      <c r="DJ46" s="168"/>
      <c r="DK46" s="131"/>
      <c r="DL46" s="168"/>
      <c r="DM46" s="169"/>
      <c r="DN46" s="167"/>
      <c r="DO46" s="167"/>
      <c r="DP46" s="167"/>
      <c r="DQ46" s="167"/>
      <c r="DR46" s="167"/>
      <c r="DS46" s="167"/>
      <c r="DT46" s="167"/>
      <c r="DU46" s="167"/>
      <c r="DV46" s="167"/>
      <c r="DW46" s="169"/>
      <c r="DX46" s="168"/>
      <c r="DY46" s="168"/>
      <c r="DZ46" s="168"/>
      <c r="EA46" s="167"/>
      <c r="EB46" s="167"/>
      <c r="EC46" s="170"/>
      <c r="ED46" s="167"/>
      <c r="EE46" s="167"/>
      <c r="EF46" s="104"/>
      <c r="EG46" s="38"/>
      <c r="EH46" s="38"/>
      <c r="EI46" s="38"/>
      <c r="EJ46" s="2"/>
      <c r="EK46" s="2"/>
      <c r="EL46" s="2"/>
      <c r="EM46" s="2"/>
      <c r="EN46" s="33"/>
      <c r="EO46" s="33"/>
      <c r="EP46" s="33"/>
      <c r="EQ46" s="33"/>
      <c r="ER46" s="36"/>
      <c r="ES46" s="2"/>
      <c r="ET46" s="169"/>
      <c r="EU46" s="167"/>
      <c r="EV46" s="131"/>
      <c r="EW46" s="131"/>
      <c r="EX46" s="168"/>
      <c r="EY46" s="168"/>
      <c r="EZ46" s="169"/>
      <c r="FA46" s="131"/>
      <c r="FB46" s="168"/>
      <c r="FC46" s="169"/>
      <c r="FD46" s="167"/>
      <c r="FE46" s="131"/>
      <c r="FF46" s="131"/>
      <c r="FG46" s="174"/>
      <c r="FH46" s="174"/>
    </row>
    <row r="47" spans="1:164" x14ac:dyDescent="0.2">
      <c r="A47" t="s">
        <v>969</v>
      </c>
      <c r="B47" s="1" t="s">
        <v>972</v>
      </c>
      <c r="C47" t="s">
        <v>48</v>
      </c>
      <c r="E47" s="167"/>
      <c r="F47" s="167"/>
      <c r="G47" s="167"/>
      <c r="H47" s="167"/>
      <c r="I47" s="167"/>
      <c r="J47" s="167"/>
      <c r="K47" s="167"/>
      <c r="L47" s="167"/>
      <c r="M47" s="173"/>
      <c r="N47" s="167"/>
      <c r="O47" s="167"/>
      <c r="P47" s="167"/>
      <c r="Q47" s="167"/>
      <c r="R47" s="167"/>
      <c r="S47" s="167"/>
      <c r="T47" s="169"/>
      <c r="U47" s="167"/>
      <c r="V47" s="167"/>
      <c r="W47" s="169"/>
      <c r="X47" s="167"/>
      <c r="Y47" s="167"/>
      <c r="Z47" s="167"/>
      <c r="AA47" s="167"/>
      <c r="AB47" s="169"/>
      <c r="AC47" s="167"/>
      <c r="AD47" s="167"/>
      <c r="AE47" s="167"/>
      <c r="AF47" s="169"/>
      <c r="AG47" s="167"/>
      <c r="AH47" s="169"/>
      <c r="AI47" s="167"/>
      <c r="AJ47" s="170"/>
      <c r="AK47" s="168"/>
      <c r="AL47" s="168"/>
      <c r="AM47" s="168"/>
      <c r="AN47" s="168"/>
      <c r="AO47" s="168"/>
      <c r="AP47" s="168"/>
      <c r="AQ47" s="168"/>
      <c r="AR47" s="168"/>
      <c r="AS47" s="171"/>
      <c r="AT47" s="172"/>
      <c r="AU47" s="172"/>
      <c r="AV47" s="172"/>
      <c r="AW47" s="172"/>
      <c r="AX47" s="172"/>
      <c r="AY47" s="172"/>
      <c r="AZ47" s="172"/>
      <c r="BA47" s="172"/>
      <c r="BB47" s="168"/>
      <c r="BC47" s="169"/>
      <c r="BD47" s="168"/>
      <c r="BE47" s="168"/>
      <c r="BF47" s="167"/>
      <c r="BG47" s="169"/>
      <c r="BH47" s="167"/>
      <c r="BI47" s="167"/>
      <c r="BJ47" s="169"/>
      <c r="BK47" s="167"/>
      <c r="BL47" s="167"/>
      <c r="BM47" s="167"/>
      <c r="BN47" s="131"/>
      <c r="BO47" s="131"/>
      <c r="BP47" s="131"/>
      <c r="BQ47" s="131"/>
      <c r="BR47" s="167"/>
      <c r="BS47" s="169"/>
      <c r="BT47" s="167"/>
      <c r="BU47" s="174"/>
      <c r="BV47" s="167"/>
      <c r="BW47" s="167"/>
      <c r="BX47" s="169"/>
      <c r="BY47" s="167"/>
      <c r="BZ47" s="167"/>
      <c r="CA47" s="167"/>
      <c r="CB47" s="167"/>
      <c r="CC47" s="167"/>
      <c r="CD47" s="167"/>
      <c r="CE47" s="131"/>
      <c r="CF47" s="168"/>
      <c r="CG47" s="169"/>
      <c r="CH47" s="167"/>
      <c r="CI47" s="168"/>
      <c r="CJ47" s="167"/>
      <c r="CK47" s="167"/>
      <c r="CL47" s="169"/>
      <c r="CM47" s="167"/>
      <c r="CN47" s="167"/>
      <c r="CO47" s="167"/>
      <c r="CP47" s="167"/>
      <c r="CQ47" s="167"/>
      <c r="CR47" s="167"/>
      <c r="CS47" s="167"/>
      <c r="CT47" s="168"/>
      <c r="CU47" s="169"/>
      <c r="CV47" s="167"/>
      <c r="CW47" s="167"/>
      <c r="CX47" s="167"/>
      <c r="CY47" s="167"/>
      <c r="CZ47" s="167"/>
      <c r="DA47" s="169"/>
      <c r="DB47" s="131"/>
      <c r="DC47" s="168"/>
      <c r="DD47" s="169"/>
      <c r="DE47" s="167"/>
      <c r="DF47" s="167"/>
      <c r="DG47" s="169"/>
      <c r="DH47" s="178"/>
      <c r="DI47" s="168"/>
      <c r="DJ47" s="168"/>
      <c r="DK47" s="131"/>
      <c r="DL47" s="168"/>
      <c r="DM47" s="169"/>
      <c r="DN47" s="167"/>
      <c r="DO47" s="167"/>
      <c r="DP47" s="167"/>
      <c r="DQ47" s="167"/>
      <c r="DR47" s="167"/>
      <c r="DS47" s="167"/>
      <c r="DT47" s="167"/>
      <c r="DU47" s="167"/>
      <c r="DV47" s="167"/>
      <c r="DW47" s="169"/>
      <c r="DX47" s="168"/>
      <c r="DY47" s="168"/>
      <c r="DZ47" s="168"/>
      <c r="EA47" s="167"/>
      <c r="EB47" s="167"/>
      <c r="EC47" s="170"/>
      <c r="ED47" s="167"/>
      <c r="EE47" s="167"/>
      <c r="EF47" s="104"/>
      <c r="EG47" s="38"/>
      <c r="EH47" s="38"/>
      <c r="EI47" s="38"/>
      <c r="EJ47" s="2"/>
      <c r="EK47" s="2"/>
      <c r="EL47" s="2"/>
      <c r="EM47" s="2"/>
      <c r="EN47" s="33"/>
      <c r="EO47" s="33"/>
      <c r="EP47" s="33"/>
      <c r="EQ47" s="33"/>
      <c r="ER47" s="36"/>
      <c r="ES47" s="2"/>
      <c r="ET47" s="169"/>
      <c r="EU47" s="167"/>
      <c r="EV47" s="131"/>
      <c r="EW47" s="131"/>
      <c r="EX47" s="168"/>
      <c r="EY47" s="168"/>
      <c r="EZ47" s="169"/>
      <c r="FA47" s="131"/>
      <c r="FB47" s="168"/>
      <c r="FC47" s="169"/>
      <c r="FD47" s="167"/>
      <c r="FE47" s="131"/>
      <c r="FF47" s="131"/>
      <c r="FG47" s="174"/>
      <c r="FH47" s="174"/>
    </row>
    <row r="48" spans="1:164" x14ac:dyDescent="0.2">
      <c r="A48" t="s">
        <v>969</v>
      </c>
      <c r="B48" s="1" t="s">
        <v>973</v>
      </c>
      <c r="C48" t="s">
        <v>30</v>
      </c>
      <c r="E48" s="167"/>
      <c r="F48" s="167"/>
      <c r="G48" s="167"/>
      <c r="H48" s="167"/>
      <c r="I48" s="167"/>
      <c r="J48" s="167"/>
      <c r="K48" s="167"/>
      <c r="L48" s="167"/>
      <c r="M48" s="173"/>
      <c r="N48" s="167"/>
      <c r="O48" s="167"/>
      <c r="P48" s="167"/>
      <c r="Q48" s="167"/>
      <c r="R48" s="167"/>
      <c r="S48" s="167"/>
      <c r="T48" s="169"/>
      <c r="U48" s="167"/>
      <c r="V48" s="167"/>
      <c r="W48" s="169"/>
      <c r="X48" s="167"/>
      <c r="Y48" s="167"/>
      <c r="Z48" s="167"/>
      <c r="AA48" s="167"/>
      <c r="AB48" s="169"/>
      <c r="AC48" s="167"/>
      <c r="AD48" s="167"/>
      <c r="AE48" s="167"/>
      <c r="AF48" s="169"/>
      <c r="AG48" s="167"/>
      <c r="AH48" s="169"/>
      <c r="AI48" s="167"/>
      <c r="AJ48" s="170"/>
      <c r="AK48" s="168"/>
      <c r="AL48" s="168"/>
      <c r="AM48" s="168"/>
      <c r="AN48" s="168"/>
      <c r="AO48" s="168"/>
      <c r="AP48" s="168"/>
      <c r="AQ48" s="168"/>
      <c r="AR48" s="168"/>
      <c r="AS48" s="171"/>
      <c r="AT48" s="172"/>
      <c r="AU48" s="172"/>
      <c r="AV48" s="172"/>
      <c r="AW48" s="172"/>
      <c r="AX48" s="172"/>
      <c r="AY48" s="172"/>
      <c r="AZ48" s="172"/>
      <c r="BA48" s="172"/>
      <c r="BB48" s="168"/>
      <c r="BC48" s="169"/>
      <c r="BD48" s="168"/>
      <c r="BE48" s="168"/>
      <c r="BF48" s="167"/>
      <c r="BG48" s="169"/>
      <c r="BH48" s="167"/>
      <c r="BI48" s="167"/>
      <c r="BJ48" s="169"/>
      <c r="BK48" s="167"/>
      <c r="BL48" s="167"/>
      <c r="BM48" s="167"/>
      <c r="BN48" s="131"/>
      <c r="BO48" s="131"/>
      <c r="BP48" s="131"/>
      <c r="BQ48" s="131"/>
      <c r="BR48" s="167"/>
      <c r="BS48" s="169"/>
      <c r="BT48" s="167"/>
      <c r="BU48" s="174"/>
      <c r="BV48" s="167"/>
      <c r="BW48" s="167"/>
      <c r="BX48" s="169"/>
      <c r="BY48" s="167"/>
      <c r="BZ48" s="167"/>
      <c r="CA48" s="167"/>
      <c r="CB48" s="167"/>
      <c r="CC48" s="167"/>
      <c r="CD48" s="167"/>
      <c r="CE48" s="131"/>
      <c r="CF48" s="168"/>
      <c r="CG48" s="169"/>
      <c r="CH48" s="167"/>
      <c r="CI48" s="168"/>
      <c r="CJ48" s="167"/>
      <c r="CK48" s="167"/>
      <c r="CL48" s="169"/>
      <c r="CM48" s="167"/>
      <c r="CN48" s="167"/>
      <c r="CO48" s="167"/>
      <c r="CP48" s="167"/>
      <c r="CQ48" s="167"/>
      <c r="CR48" s="167"/>
      <c r="CS48" s="167"/>
      <c r="CT48" s="168"/>
      <c r="CU48" s="169"/>
      <c r="CV48" s="167"/>
      <c r="CW48" s="167"/>
      <c r="CX48" s="167"/>
      <c r="CY48" s="167"/>
      <c r="CZ48" s="167"/>
      <c r="DA48" s="169"/>
      <c r="DB48" s="131"/>
      <c r="DC48" s="168"/>
      <c r="DD48" s="169"/>
      <c r="DE48" s="167"/>
      <c r="DF48" s="167"/>
      <c r="DG48" s="169"/>
      <c r="DH48" s="178"/>
      <c r="DI48" s="168"/>
      <c r="DJ48" s="168"/>
      <c r="DK48" s="131"/>
      <c r="DL48" s="168"/>
      <c r="DM48" s="169"/>
      <c r="DN48" s="167"/>
      <c r="DO48" s="167"/>
      <c r="DP48" s="167"/>
      <c r="DQ48" s="167"/>
      <c r="DR48" s="167"/>
      <c r="DS48" s="167"/>
      <c r="DT48" s="167"/>
      <c r="DU48" s="167"/>
      <c r="DV48" s="167"/>
      <c r="DW48" s="169"/>
      <c r="DX48" s="168"/>
      <c r="DY48" s="168"/>
      <c r="DZ48" s="168"/>
      <c r="EA48" s="167"/>
      <c r="EB48" s="167"/>
      <c r="EC48" s="170"/>
      <c r="ED48" s="167"/>
      <c r="EE48" s="167"/>
      <c r="EF48" s="104"/>
      <c r="EG48" s="38"/>
      <c r="EH48" s="38"/>
      <c r="EI48" s="38"/>
      <c r="EJ48" s="2"/>
      <c r="EK48" s="2"/>
      <c r="EL48" s="2"/>
      <c r="EM48" s="2"/>
      <c r="EN48" s="33"/>
      <c r="EO48" s="33"/>
      <c r="EP48" s="33"/>
      <c r="EQ48" s="33"/>
      <c r="ER48" s="36"/>
      <c r="ES48" s="2"/>
      <c r="ET48" s="169"/>
      <c r="EU48" s="167"/>
      <c r="EV48" s="131"/>
      <c r="EW48" s="131"/>
      <c r="EX48" s="168"/>
      <c r="EY48" s="168"/>
      <c r="EZ48" s="169"/>
      <c r="FA48" s="131"/>
      <c r="FB48" s="168"/>
      <c r="FC48" s="169"/>
      <c r="FD48" s="167"/>
      <c r="FE48" s="131"/>
      <c r="FF48" s="131"/>
      <c r="FG48" s="174"/>
      <c r="FH48" s="174"/>
    </row>
    <row r="49" spans="1:164" x14ac:dyDescent="0.2">
      <c r="A49" t="s">
        <v>969</v>
      </c>
      <c r="B49" s="1" t="s">
        <v>973</v>
      </c>
      <c r="C49" t="s">
        <v>48</v>
      </c>
      <c r="E49" s="167"/>
      <c r="F49" s="167"/>
      <c r="G49" s="167"/>
      <c r="H49" s="167"/>
      <c r="I49" s="167"/>
      <c r="J49" s="167"/>
      <c r="K49" s="167"/>
      <c r="L49" s="167"/>
      <c r="M49" s="173"/>
      <c r="N49" s="167"/>
      <c r="O49" s="167"/>
      <c r="P49" s="167"/>
      <c r="Q49" s="167"/>
      <c r="R49" s="167"/>
      <c r="S49" s="167"/>
      <c r="T49" s="169"/>
      <c r="U49" s="167"/>
      <c r="V49" s="167"/>
      <c r="W49" s="169"/>
      <c r="X49" s="167"/>
      <c r="Y49" s="167"/>
      <c r="Z49" s="167"/>
      <c r="AA49" s="167"/>
      <c r="AB49" s="169"/>
      <c r="AC49" s="167"/>
      <c r="AD49" s="167"/>
      <c r="AE49" s="167"/>
      <c r="AF49" s="169"/>
      <c r="AG49" s="167"/>
      <c r="AH49" s="169"/>
      <c r="AI49" s="167"/>
      <c r="AJ49" s="170"/>
      <c r="AK49" s="168"/>
      <c r="AL49" s="168"/>
      <c r="AM49" s="168"/>
      <c r="AN49" s="168"/>
      <c r="AO49" s="168"/>
      <c r="AP49" s="168"/>
      <c r="AQ49" s="168"/>
      <c r="AR49" s="168"/>
      <c r="AS49" s="171"/>
      <c r="AT49" s="172"/>
      <c r="AU49" s="172"/>
      <c r="AV49" s="172"/>
      <c r="AW49" s="172"/>
      <c r="AX49" s="172"/>
      <c r="AY49" s="172"/>
      <c r="AZ49" s="172"/>
      <c r="BA49" s="172"/>
      <c r="BB49" s="168"/>
      <c r="BC49" s="169"/>
      <c r="BD49" s="168"/>
      <c r="BE49" s="168"/>
      <c r="BF49" s="167"/>
      <c r="BG49" s="169"/>
      <c r="BH49" s="167"/>
      <c r="BI49" s="167"/>
      <c r="BJ49" s="169"/>
      <c r="BK49" s="167"/>
      <c r="BL49" s="167"/>
      <c r="BM49" s="167"/>
      <c r="BN49" s="131"/>
      <c r="BO49" s="131"/>
      <c r="BP49" s="131"/>
      <c r="BQ49" s="131"/>
      <c r="BR49" s="167"/>
      <c r="BS49" s="169"/>
      <c r="BT49" s="167"/>
      <c r="BU49" s="174"/>
      <c r="BV49" s="167"/>
      <c r="BW49" s="167"/>
      <c r="BX49" s="169"/>
      <c r="BY49" s="167"/>
      <c r="BZ49" s="167"/>
      <c r="CA49" s="167"/>
      <c r="CB49" s="167"/>
      <c r="CC49" s="167"/>
      <c r="CD49" s="167"/>
      <c r="CE49" s="131"/>
      <c r="CF49" s="168"/>
      <c r="CG49" s="169"/>
      <c r="CH49" s="167"/>
      <c r="CI49" s="168"/>
      <c r="CJ49" s="167"/>
      <c r="CK49" s="167"/>
      <c r="CL49" s="169"/>
      <c r="CM49" s="167"/>
      <c r="CN49" s="167"/>
      <c r="CO49" s="167"/>
      <c r="CP49" s="167"/>
      <c r="CQ49" s="167"/>
      <c r="CR49" s="167"/>
      <c r="CS49" s="167"/>
      <c r="CT49" s="168"/>
      <c r="CU49" s="169"/>
      <c r="CV49" s="167"/>
      <c r="CW49" s="167"/>
      <c r="CX49" s="167"/>
      <c r="CY49" s="167"/>
      <c r="CZ49" s="167"/>
      <c r="DA49" s="169"/>
      <c r="DB49" s="131"/>
      <c r="DC49" s="168"/>
      <c r="DD49" s="169"/>
      <c r="DE49" s="167"/>
      <c r="DF49" s="167"/>
      <c r="DG49" s="169"/>
      <c r="DH49" s="178"/>
      <c r="DI49" s="168"/>
      <c r="DJ49" s="168"/>
      <c r="DK49" s="131"/>
      <c r="DL49" s="168"/>
      <c r="DM49" s="169"/>
      <c r="DN49" s="167"/>
      <c r="DO49" s="167"/>
      <c r="DP49" s="167"/>
      <c r="DQ49" s="167"/>
      <c r="DR49" s="167"/>
      <c r="DS49" s="167"/>
      <c r="DT49" s="167"/>
      <c r="DU49" s="167"/>
      <c r="DV49" s="167"/>
      <c r="DW49" s="169"/>
      <c r="DX49" s="168"/>
      <c r="DY49" s="168"/>
      <c r="DZ49" s="168"/>
      <c r="EA49" s="167"/>
      <c r="EB49" s="167"/>
      <c r="EC49" s="170"/>
      <c r="ED49" s="167"/>
      <c r="EE49" s="167"/>
      <c r="EF49" s="104"/>
      <c r="EG49" s="38"/>
      <c r="EH49" s="38"/>
      <c r="EI49" s="38"/>
      <c r="EJ49" s="2"/>
      <c r="EK49" s="2"/>
      <c r="EL49" s="2"/>
      <c r="EM49" s="2"/>
      <c r="EN49" s="33"/>
      <c r="EO49" s="33"/>
      <c r="EP49" s="33"/>
      <c r="EQ49" s="33"/>
      <c r="ER49" s="36"/>
      <c r="ES49" s="2"/>
      <c r="ET49" s="169"/>
      <c r="EU49" s="167"/>
      <c r="EV49" s="131"/>
      <c r="EW49" s="131"/>
      <c r="EX49" s="168"/>
      <c r="EY49" s="168"/>
      <c r="EZ49" s="169"/>
      <c r="FA49" s="131"/>
      <c r="FB49" s="168"/>
      <c r="FC49" s="169"/>
      <c r="FD49" s="167"/>
      <c r="FE49" s="131"/>
      <c r="FF49" s="131"/>
      <c r="FG49" s="174"/>
      <c r="FH49" s="174"/>
    </row>
    <row r="50" spans="1:164" x14ac:dyDescent="0.2">
      <c r="A50" t="s">
        <v>969</v>
      </c>
      <c r="B50" s="1" t="s">
        <v>974</v>
      </c>
      <c r="C50" t="s">
        <v>30</v>
      </c>
      <c r="E50" s="167"/>
      <c r="F50" s="167"/>
      <c r="G50" s="167"/>
      <c r="H50" s="167"/>
      <c r="I50" s="167"/>
      <c r="J50" s="167"/>
      <c r="K50" s="167"/>
      <c r="L50" s="167"/>
      <c r="M50" s="173"/>
      <c r="N50" s="167"/>
      <c r="O50" s="167"/>
      <c r="P50" s="167"/>
      <c r="Q50" s="167"/>
      <c r="R50" s="167"/>
      <c r="S50" s="167"/>
      <c r="T50" s="169"/>
      <c r="U50" s="167"/>
      <c r="V50" s="167"/>
      <c r="W50" s="169"/>
      <c r="X50" s="167"/>
      <c r="Y50" s="167"/>
      <c r="Z50" s="167"/>
      <c r="AA50" s="167"/>
      <c r="AB50" s="169"/>
      <c r="AC50" s="167"/>
      <c r="AD50" s="167"/>
      <c r="AE50" s="167"/>
      <c r="AF50" s="169"/>
      <c r="AG50" s="167"/>
      <c r="AH50" s="169"/>
      <c r="AI50" s="167"/>
      <c r="AJ50" s="170"/>
      <c r="AK50" s="168"/>
      <c r="AL50" s="168"/>
      <c r="AM50" s="168"/>
      <c r="AN50" s="168"/>
      <c r="AO50" s="168"/>
      <c r="AP50" s="168"/>
      <c r="AQ50" s="168"/>
      <c r="AR50" s="168"/>
      <c r="AS50" s="171"/>
      <c r="AT50" s="172"/>
      <c r="AU50" s="172"/>
      <c r="AV50" s="172"/>
      <c r="AW50" s="172"/>
      <c r="AX50" s="172"/>
      <c r="AY50" s="172"/>
      <c r="AZ50" s="172"/>
      <c r="BA50" s="172"/>
      <c r="BB50" s="168"/>
      <c r="BC50" s="169"/>
      <c r="BD50" s="168"/>
      <c r="BE50" s="168"/>
      <c r="BF50" s="167"/>
      <c r="BG50" s="169"/>
      <c r="BH50" s="167"/>
      <c r="BI50" s="167"/>
      <c r="BJ50" s="169"/>
      <c r="BK50" s="167"/>
      <c r="BL50" s="167"/>
      <c r="BM50" s="167"/>
      <c r="BN50" s="131"/>
      <c r="BO50" s="131"/>
      <c r="BP50" s="131"/>
      <c r="BQ50" s="131"/>
      <c r="BR50" s="167"/>
      <c r="BS50" s="169"/>
      <c r="BT50" s="167"/>
      <c r="BU50" s="174"/>
      <c r="BV50" s="167"/>
      <c r="BW50" s="167"/>
      <c r="BX50" s="169"/>
      <c r="BY50" s="167"/>
      <c r="BZ50" s="167"/>
      <c r="CA50" s="167"/>
      <c r="CB50" s="167"/>
      <c r="CC50" s="167"/>
      <c r="CD50" s="167"/>
      <c r="CE50" s="131"/>
      <c r="CF50" s="168"/>
      <c r="CG50" s="169"/>
      <c r="CH50" s="167"/>
      <c r="CI50" s="168"/>
      <c r="CJ50" s="167"/>
      <c r="CK50" s="167"/>
      <c r="CL50" s="169"/>
      <c r="CM50" s="167"/>
      <c r="CN50" s="167"/>
      <c r="CO50" s="167"/>
      <c r="CP50" s="167"/>
      <c r="CQ50" s="167"/>
      <c r="CR50" s="167"/>
      <c r="CS50" s="167"/>
      <c r="CT50" s="168"/>
      <c r="CU50" s="169"/>
      <c r="CV50" s="167"/>
      <c r="CW50" s="167"/>
      <c r="CX50" s="167"/>
      <c r="CY50" s="167"/>
      <c r="CZ50" s="167"/>
      <c r="DA50" s="169"/>
      <c r="DB50" s="131"/>
      <c r="DC50" s="168"/>
      <c r="DD50" s="169"/>
      <c r="DE50" s="167"/>
      <c r="DF50" s="167"/>
      <c r="DG50" s="169"/>
      <c r="DH50" s="178"/>
      <c r="DI50" s="168"/>
      <c r="DJ50" s="168"/>
      <c r="DK50" s="131"/>
      <c r="DL50" s="168"/>
      <c r="DM50" s="169"/>
      <c r="DN50" s="167"/>
      <c r="DO50" s="167"/>
      <c r="DP50" s="167"/>
      <c r="DQ50" s="167"/>
      <c r="DR50" s="167"/>
      <c r="DS50" s="167"/>
      <c r="DT50" s="167"/>
      <c r="DU50" s="167"/>
      <c r="DV50" s="167"/>
      <c r="DW50" s="169"/>
      <c r="DX50" s="168"/>
      <c r="DY50" s="168"/>
      <c r="DZ50" s="168"/>
      <c r="EA50" s="167"/>
      <c r="EB50" s="167"/>
      <c r="EC50" s="170"/>
      <c r="ED50" s="167"/>
      <c r="EE50" s="167"/>
      <c r="EF50" s="104"/>
      <c r="EG50" s="38"/>
      <c r="EH50" s="38"/>
      <c r="EI50" s="38"/>
      <c r="EJ50" s="2"/>
      <c r="EK50" s="2"/>
      <c r="EL50" s="2"/>
      <c r="EM50" s="2"/>
      <c r="EN50" s="33"/>
      <c r="EO50" s="33"/>
      <c r="EP50" s="33"/>
      <c r="EQ50" s="33"/>
      <c r="ER50" s="170"/>
      <c r="ES50" s="131"/>
      <c r="ET50" s="169"/>
      <c r="EU50" s="167"/>
      <c r="EV50" s="131"/>
      <c r="EW50" s="131"/>
      <c r="EX50" s="168"/>
      <c r="EY50" s="168"/>
      <c r="EZ50" s="169"/>
      <c r="FA50" s="131"/>
      <c r="FB50" s="168"/>
      <c r="FC50" s="169"/>
      <c r="FD50" s="167"/>
      <c r="FE50" s="131"/>
      <c r="FF50" s="131"/>
      <c r="FG50" s="174"/>
      <c r="FH50" s="174"/>
    </row>
    <row r="51" spans="1:164" x14ac:dyDescent="0.2">
      <c r="A51" t="s">
        <v>969</v>
      </c>
      <c r="B51" s="1" t="s">
        <v>974</v>
      </c>
      <c r="C51" t="s">
        <v>48</v>
      </c>
      <c r="E51" s="167"/>
      <c r="F51" s="167"/>
      <c r="G51" s="167"/>
      <c r="H51" s="167"/>
      <c r="I51" s="167"/>
      <c r="J51" s="167"/>
      <c r="K51" s="167"/>
      <c r="L51" s="167"/>
      <c r="M51" s="173"/>
      <c r="N51" s="167"/>
      <c r="O51" s="167"/>
      <c r="P51" s="167"/>
      <c r="Q51" s="167"/>
      <c r="R51" s="167"/>
      <c r="S51" s="167"/>
      <c r="T51" s="169"/>
      <c r="U51" s="167"/>
      <c r="V51" s="167"/>
      <c r="W51" s="169"/>
      <c r="X51" s="167"/>
      <c r="Y51" s="167"/>
      <c r="Z51" s="167"/>
      <c r="AA51" s="167"/>
      <c r="AB51" s="169"/>
      <c r="AC51" s="167"/>
      <c r="AD51" s="167"/>
      <c r="AE51" s="167"/>
      <c r="AF51" s="169"/>
      <c r="AG51" s="167"/>
      <c r="AH51" s="169"/>
      <c r="AI51" s="167"/>
      <c r="AJ51" s="170"/>
      <c r="AK51" s="168"/>
      <c r="AL51" s="168"/>
      <c r="AM51" s="168"/>
      <c r="AN51" s="168"/>
      <c r="AO51" s="168"/>
      <c r="AP51" s="168"/>
      <c r="AQ51" s="168"/>
      <c r="AR51" s="168"/>
      <c r="AS51" s="171"/>
      <c r="AT51" s="172"/>
      <c r="AU51" s="172"/>
      <c r="AV51" s="172"/>
      <c r="AW51" s="172"/>
      <c r="AX51" s="172"/>
      <c r="AY51" s="172"/>
      <c r="AZ51" s="172"/>
      <c r="BA51" s="172"/>
      <c r="BB51" s="168"/>
      <c r="BC51" s="169"/>
      <c r="BD51" s="168"/>
      <c r="BE51" s="168"/>
      <c r="BF51" s="167"/>
      <c r="BG51" s="169"/>
      <c r="BH51" s="167"/>
      <c r="BI51" s="167"/>
      <c r="BJ51" s="169"/>
      <c r="BK51" s="167"/>
      <c r="BL51" s="167"/>
      <c r="BM51" s="167"/>
      <c r="BN51" s="131"/>
      <c r="BO51" s="131"/>
      <c r="BP51" s="131"/>
      <c r="BQ51" s="131"/>
      <c r="BR51" s="167"/>
      <c r="BS51" s="169"/>
      <c r="BT51" s="167"/>
      <c r="BU51" s="174"/>
      <c r="BV51" s="167"/>
      <c r="BW51" s="167"/>
      <c r="BX51" s="169"/>
      <c r="BY51" s="167"/>
      <c r="BZ51" s="167"/>
      <c r="CA51" s="167"/>
      <c r="CB51" s="167"/>
      <c r="CC51" s="167"/>
      <c r="CD51" s="167"/>
      <c r="CE51" s="131"/>
      <c r="CF51" s="168"/>
      <c r="CG51" s="169"/>
      <c r="CH51" s="167"/>
      <c r="CI51" s="168"/>
      <c r="CJ51" s="167"/>
      <c r="CK51" s="167"/>
      <c r="CL51" s="169"/>
      <c r="CM51" s="167"/>
      <c r="CN51" s="167"/>
      <c r="CO51" s="167"/>
      <c r="CP51" s="167"/>
      <c r="CQ51" s="167"/>
      <c r="CR51" s="167"/>
      <c r="CS51" s="167"/>
      <c r="CT51" s="168"/>
      <c r="CU51" s="169"/>
      <c r="CV51" s="167"/>
      <c r="CW51" s="167"/>
      <c r="CX51" s="167"/>
      <c r="CY51" s="167"/>
      <c r="CZ51" s="167"/>
      <c r="DA51" s="169"/>
      <c r="DB51" s="131"/>
      <c r="DC51" s="168"/>
      <c r="DD51" s="169"/>
      <c r="DE51" s="167"/>
      <c r="DF51" s="167"/>
      <c r="DG51" s="169"/>
      <c r="DH51" s="178"/>
      <c r="DI51" s="168"/>
      <c r="DJ51" s="168"/>
      <c r="DK51" s="131"/>
      <c r="DL51" s="168"/>
      <c r="DM51" s="169"/>
      <c r="DN51" s="167"/>
      <c r="DO51" s="167"/>
      <c r="DP51" s="167"/>
      <c r="DQ51" s="167"/>
      <c r="DR51" s="167"/>
      <c r="DS51" s="167"/>
      <c r="DT51" s="167"/>
      <c r="DU51" s="167"/>
      <c r="DV51" s="167"/>
      <c r="DW51" s="169"/>
      <c r="DX51" s="168"/>
      <c r="DY51" s="168"/>
      <c r="DZ51" s="168"/>
      <c r="EA51" s="167"/>
      <c r="EB51" s="167"/>
      <c r="EC51" s="170"/>
      <c r="ED51" s="167"/>
      <c r="EE51" s="167"/>
      <c r="EF51" s="104"/>
      <c r="EG51" s="38"/>
      <c r="EH51" s="38"/>
      <c r="EI51" s="38"/>
      <c r="EJ51" s="2"/>
      <c r="EK51" s="2"/>
      <c r="EL51" s="2"/>
      <c r="EM51" s="2"/>
      <c r="EN51" s="33"/>
      <c r="EO51" s="33"/>
      <c r="EP51" s="33"/>
      <c r="EQ51" s="33"/>
      <c r="ER51" s="170"/>
      <c r="ES51" s="131"/>
      <c r="ET51" s="169"/>
      <c r="EU51" s="167"/>
      <c r="EV51" s="131"/>
      <c r="EW51" s="131"/>
      <c r="EX51" s="168"/>
      <c r="EY51" s="168"/>
      <c r="EZ51" s="169"/>
      <c r="FA51" s="131"/>
      <c r="FB51" s="168"/>
      <c r="FC51" s="169"/>
      <c r="FD51" s="167"/>
      <c r="FE51" s="131"/>
      <c r="FF51" s="131"/>
      <c r="FG51" s="174"/>
      <c r="FH51" s="174"/>
    </row>
    <row r="52" spans="1:164" x14ac:dyDescent="0.2">
      <c r="A52" t="s">
        <v>975</v>
      </c>
      <c r="B52" s="1" t="s">
        <v>474</v>
      </c>
      <c r="C52" t="s">
        <v>30</v>
      </c>
      <c r="E52" s="169"/>
      <c r="F52" s="167"/>
      <c r="G52" s="167"/>
      <c r="H52" s="167"/>
      <c r="I52" s="167"/>
      <c r="J52" s="167"/>
      <c r="K52" s="167"/>
      <c r="L52" s="168"/>
      <c r="M52" s="173"/>
      <c r="N52" s="131"/>
      <c r="O52" s="131"/>
      <c r="P52" s="131"/>
      <c r="Q52" s="168"/>
      <c r="R52" s="167"/>
      <c r="S52" s="168"/>
      <c r="T52" s="173"/>
      <c r="U52" s="131"/>
      <c r="V52" s="168"/>
      <c r="W52" s="170"/>
      <c r="X52" s="168"/>
      <c r="Y52" s="167"/>
      <c r="Z52" s="168"/>
      <c r="AA52" s="131"/>
      <c r="AB52" s="170"/>
      <c r="AC52" s="167"/>
      <c r="AD52" s="168"/>
      <c r="AE52" s="131"/>
      <c r="AF52" s="170"/>
      <c r="AG52" s="131"/>
      <c r="AH52" s="170"/>
      <c r="AI52" s="131"/>
      <c r="AJ52" s="170"/>
      <c r="AK52" s="168"/>
      <c r="AL52" s="168"/>
      <c r="AM52" s="168"/>
      <c r="AN52" s="168"/>
      <c r="AO52" s="168"/>
      <c r="AP52" s="168"/>
      <c r="AQ52" s="168"/>
      <c r="AR52" s="168"/>
      <c r="AS52" s="171"/>
      <c r="AT52" s="172"/>
      <c r="AU52" s="172"/>
      <c r="AV52" s="172"/>
      <c r="AW52" s="172"/>
      <c r="AX52" s="172"/>
      <c r="AY52" s="172"/>
      <c r="AZ52" s="172"/>
      <c r="BA52" s="172"/>
      <c r="BB52" s="168"/>
      <c r="BC52" s="169"/>
      <c r="BD52" s="168"/>
      <c r="BE52" s="168"/>
      <c r="BF52" s="131"/>
      <c r="BG52" s="169"/>
      <c r="BH52" s="131"/>
      <c r="BI52" s="168"/>
      <c r="BJ52" s="169"/>
      <c r="BK52" s="167"/>
      <c r="BL52" s="167"/>
      <c r="BM52" s="167"/>
      <c r="BN52" s="131"/>
      <c r="BO52" s="131"/>
      <c r="BP52" s="131"/>
      <c r="BQ52" s="131"/>
      <c r="BR52" s="167"/>
      <c r="BS52" s="169"/>
      <c r="BT52" s="167"/>
      <c r="BU52" s="174"/>
      <c r="BV52" s="131"/>
      <c r="BW52" s="131"/>
      <c r="BX52" s="169"/>
      <c r="BY52" s="167"/>
      <c r="BZ52" s="167"/>
      <c r="CA52" s="167"/>
      <c r="CB52" s="131"/>
      <c r="CC52" s="131"/>
      <c r="CD52" s="131"/>
      <c r="CE52" s="131"/>
      <c r="CF52" s="168"/>
      <c r="CG52" s="169"/>
      <c r="CH52" s="167"/>
      <c r="CI52" s="168"/>
      <c r="CJ52" s="131"/>
      <c r="CK52" s="131"/>
      <c r="CL52" s="169"/>
      <c r="CM52" s="167"/>
      <c r="CN52" s="167"/>
      <c r="CO52" s="167"/>
      <c r="CP52" s="167"/>
      <c r="CQ52" s="167"/>
      <c r="CR52" s="167"/>
      <c r="CS52" s="167"/>
      <c r="CT52" s="168"/>
      <c r="CU52" s="169"/>
      <c r="CV52" s="167"/>
      <c r="CW52" s="131"/>
      <c r="CX52" s="131"/>
      <c r="CY52" s="168"/>
      <c r="CZ52" s="168"/>
      <c r="DA52" s="169"/>
      <c r="DB52" s="131"/>
      <c r="DC52" s="168"/>
      <c r="DD52" s="169"/>
      <c r="DE52" s="131"/>
      <c r="DF52" s="168"/>
      <c r="DG52" s="169"/>
      <c r="DH52" s="178"/>
      <c r="DI52" s="168"/>
      <c r="DJ52" s="168"/>
      <c r="DK52" s="131"/>
      <c r="DL52" s="168"/>
      <c r="DM52" s="170"/>
      <c r="DN52" s="168"/>
      <c r="DO52" s="168"/>
      <c r="DP52" s="168"/>
      <c r="DQ52" s="168"/>
      <c r="DR52" s="168"/>
      <c r="DS52" s="131"/>
      <c r="DT52" s="131"/>
      <c r="DU52" s="131"/>
      <c r="DV52" s="131"/>
      <c r="DW52" s="169"/>
      <c r="DX52" s="168"/>
      <c r="DY52" s="168"/>
      <c r="DZ52" s="168"/>
      <c r="EA52" s="131"/>
      <c r="EB52" s="131"/>
      <c r="EC52" s="170"/>
      <c r="ED52" s="131"/>
      <c r="EE52" s="131"/>
      <c r="EF52" s="169"/>
      <c r="EG52" s="167"/>
      <c r="EH52" s="167"/>
      <c r="EI52" s="167"/>
      <c r="EJ52" s="131"/>
      <c r="EK52" s="131"/>
      <c r="EL52" s="131"/>
      <c r="EM52" s="131"/>
      <c r="EN52" s="168"/>
      <c r="EO52" s="168"/>
      <c r="EP52" s="168"/>
      <c r="EQ52" s="168"/>
      <c r="ER52" s="170"/>
      <c r="ES52" s="131"/>
      <c r="ET52" s="104"/>
      <c r="EU52" s="38"/>
      <c r="EV52" s="2"/>
      <c r="EW52" s="2"/>
      <c r="EX52" s="33"/>
      <c r="EY52" s="33"/>
      <c r="EZ52" s="169"/>
      <c r="FA52" s="131"/>
      <c r="FB52" s="168"/>
      <c r="FC52" s="169"/>
      <c r="FD52" s="167"/>
      <c r="FE52" s="131"/>
      <c r="FF52" s="131"/>
      <c r="FG52" s="174"/>
      <c r="FH52" s="174"/>
    </row>
    <row r="53" spans="1:164" x14ac:dyDescent="0.2">
      <c r="A53" t="s">
        <v>975</v>
      </c>
      <c r="B53" s="1" t="s">
        <v>976</v>
      </c>
      <c r="C53" t="s">
        <v>30</v>
      </c>
      <c r="E53" s="169"/>
      <c r="F53" s="167"/>
      <c r="G53" s="167"/>
      <c r="H53" s="167"/>
      <c r="I53" s="167"/>
      <c r="J53" s="167"/>
      <c r="K53" s="167"/>
      <c r="L53" s="168"/>
      <c r="M53" s="173"/>
      <c r="N53" s="131"/>
      <c r="O53" s="131"/>
      <c r="P53" s="131"/>
      <c r="Q53" s="168"/>
      <c r="R53" s="167"/>
      <c r="S53" s="168"/>
      <c r="T53" s="173"/>
      <c r="U53" s="131"/>
      <c r="V53" s="168"/>
      <c r="W53" s="170"/>
      <c r="X53" s="168"/>
      <c r="Y53" s="167"/>
      <c r="Z53" s="168"/>
      <c r="AA53" s="131"/>
      <c r="AB53" s="170"/>
      <c r="AC53" s="167"/>
      <c r="AD53" s="168"/>
      <c r="AE53" s="131"/>
      <c r="AF53" s="170"/>
      <c r="AG53" s="131"/>
      <c r="AH53" s="170"/>
      <c r="AI53" s="131"/>
      <c r="AJ53" s="170"/>
      <c r="AK53" s="168"/>
      <c r="AL53" s="168"/>
      <c r="AM53" s="168"/>
      <c r="AN53" s="168"/>
      <c r="AO53" s="168"/>
      <c r="AP53" s="168"/>
      <c r="AQ53" s="168"/>
      <c r="AR53" s="168"/>
      <c r="AS53" s="171"/>
      <c r="AT53" s="172"/>
      <c r="AU53" s="172"/>
      <c r="AV53" s="172"/>
      <c r="AW53" s="172"/>
      <c r="AX53" s="172"/>
      <c r="AY53" s="172"/>
      <c r="AZ53" s="172"/>
      <c r="BA53" s="172"/>
      <c r="BB53" s="168"/>
      <c r="BC53" s="169"/>
      <c r="BD53" s="168"/>
      <c r="BE53" s="168"/>
      <c r="BF53" s="131"/>
      <c r="BG53" s="169"/>
      <c r="BH53" s="131"/>
      <c r="BI53" s="168"/>
      <c r="BJ53" s="169"/>
      <c r="BK53" s="167"/>
      <c r="BL53" s="167"/>
      <c r="BM53" s="167"/>
      <c r="BN53" s="131"/>
      <c r="BO53" s="131"/>
      <c r="BP53" s="131"/>
      <c r="BQ53" s="131"/>
      <c r="BR53" s="167"/>
      <c r="BS53" s="169"/>
      <c r="BT53" s="167"/>
      <c r="BU53" s="174"/>
      <c r="BV53" s="131"/>
      <c r="BW53" s="131"/>
      <c r="BX53" s="169"/>
      <c r="BY53" s="167"/>
      <c r="BZ53" s="167"/>
      <c r="CA53" s="167"/>
      <c r="CB53" s="131"/>
      <c r="CC53" s="131"/>
      <c r="CD53" s="131"/>
      <c r="CE53" s="131"/>
      <c r="CF53" s="168"/>
      <c r="CG53" s="169"/>
      <c r="CH53" s="167"/>
      <c r="CI53" s="168"/>
      <c r="CJ53" s="131"/>
      <c r="CK53" s="131"/>
      <c r="CL53" s="169"/>
      <c r="CM53" s="167"/>
      <c r="CN53" s="167"/>
      <c r="CO53" s="167"/>
      <c r="CP53" s="167"/>
      <c r="CQ53" s="167"/>
      <c r="CR53" s="167"/>
      <c r="CS53" s="167"/>
      <c r="CT53" s="168"/>
      <c r="CU53" s="169"/>
      <c r="CV53" s="167"/>
      <c r="CW53" s="131"/>
      <c r="CX53" s="131"/>
      <c r="CY53" s="168"/>
      <c r="CZ53" s="168"/>
      <c r="DA53" s="169"/>
      <c r="DB53" s="131"/>
      <c r="DC53" s="168"/>
      <c r="DD53" s="169"/>
      <c r="DE53" s="131"/>
      <c r="DF53" s="168"/>
      <c r="DG53" s="169"/>
      <c r="DH53" s="178"/>
      <c r="DI53" s="168"/>
      <c r="DJ53" s="168"/>
      <c r="DK53" s="131"/>
      <c r="DL53" s="168"/>
      <c r="DM53" s="170"/>
      <c r="DN53" s="168"/>
      <c r="DO53" s="168"/>
      <c r="DP53" s="168"/>
      <c r="DQ53" s="168"/>
      <c r="DR53" s="168"/>
      <c r="DS53" s="131"/>
      <c r="DT53" s="131"/>
      <c r="DU53" s="131"/>
      <c r="DV53" s="131"/>
      <c r="DW53" s="169"/>
      <c r="DX53" s="168"/>
      <c r="DY53" s="168"/>
      <c r="DZ53" s="168"/>
      <c r="EA53" s="131"/>
      <c r="EB53" s="131"/>
      <c r="EC53" s="170"/>
      <c r="ED53" s="131"/>
      <c r="EE53" s="131"/>
      <c r="EF53" s="169"/>
      <c r="EG53" s="167"/>
      <c r="EH53" s="167"/>
      <c r="EI53" s="167"/>
      <c r="EJ53" s="131"/>
      <c r="EK53" s="131"/>
      <c r="EL53" s="131"/>
      <c r="EM53" s="131"/>
      <c r="EN53" s="168"/>
      <c r="EO53" s="168"/>
      <c r="EP53" s="168"/>
      <c r="EQ53" s="168"/>
      <c r="ER53" s="170"/>
      <c r="ES53" s="131"/>
      <c r="ET53" s="104"/>
      <c r="EU53" s="38"/>
      <c r="EV53" s="2"/>
      <c r="EW53" s="2"/>
      <c r="EX53" s="33"/>
      <c r="EY53" s="33"/>
      <c r="EZ53" s="169"/>
      <c r="FA53" s="131"/>
      <c r="FB53" s="168"/>
      <c r="FC53" s="169"/>
      <c r="FD53" s="167"/>
      <c r="FE53" s="131"/>
      <c r="FF53" s="131"/>
      <c r="FG53" s="174"/>
      <c r="FH53" s="174"/>
    </row>
    <row r="54" spans="1:164" x14ac:dyDescent="0.2">
      <c r="A54" t="s">
        <v>975</v>
      </c>
      <c r="B54" s="1" t="s">
        <v>977</v>
      </c>
      <c r="C54" t="s">
        <v>30</v>
      </c>
      <c r="E54" s="169"/>
      <c r="F54" s="167"/>
      <c r="G54" s="167"/>
      <c r="H54" s="167"/>
      <c r="I54" s="167"/>
      <c r="J54" s="167"/>
      <c r="K54" s="167"/>
      <c r="L54" s="168"/>
      <c r="M54" s="173"/>
      <c r="N54" s="131"/>
      <c r="O54" s="131"/>
      <c r="P54" s="131"/>
      <c r="Q54" s="168"/>
      <c r="R54" s="167"/>
      <c r="S54" s="168"/>
      <c r="T54" s="173"/>
      <c r="U54" s="131"/>
      <c r="V54" s="168"/>
      <c r="W54" s="170"/>
      <c r="X54" s="168"/>
      <c r="Y54" s="167"/>
      <c r="Z54" s="168"/>
      <c r="AA54" s="131"/>
      <c r="AB54" s="170"/>
      <c r="AC54" s="167"/>
      <c r="AD54" s="168"/>
      <c r="AE54" s="131"/>
      <c r="AF54" s="170"/>
      <c r="AG54" s="131"/>
      <c r="AH54" s="170"/>
      <c r="AI54" s="131"/>
      <c r="AJ54" s="170"/>
      <c r="AK54" s="168"/>
      <c r="AL54" s="168"/>
      <c r="AM54" s="168"/>
      <c r="AN54" s="168"/>
      <c r="AO54" s="168"/>
      <c r="AP54" s="168"/>
      <c r="AQ54" s="168"/>
      <c r="AR54" s="168"/>
      <c r="AS54" s="171"/>
      <c r="AT54" s="172"/>
      <c r="AU54" s="172"/>
      <c r="AV54" s="172"/>
      <c r="AW54" s="172"/>
      <c r="AX54" s="172"/>
      <c r="AY54" s="172"/>
      <c r="AZ54" s="172"/>
      <c r="BA54" s="172"/>
      <c r="BB54" s="168"/>
      <c r="BC54" s="169"/>
      <c r="BD54" s="168"/>
      <c r="BE54" s="168"/>
      <c r="BF54" s="131"/>
      <c r="BG54" s="169"/>
      <c r="BH54" s="131"/>
      <c r="BI54" s="168"/>
      <c r="BJ54" s="169"/>
      <c r="BK54" s="167"/>
      <c r="BL54" s="167"/>
      <c r="BM54" s="167"/>
      <c r="BN54" s="131"/>
      <c r="BO54" s="131"/>
      <c r="BP54" s="131"/>
      <c r="BQ54" s="131"/>
      <c r="BR54" s="167"/>
      <c r="BS54" s="169"/>
      <c r="BT54" s="167"/>
      <c r="BU54" s="174"/>
      <c r="BV54" s="131"/>
      <c r="BW54" s="131"/>
      <c r="BX54" s="169"/>
      <c r="BY54" s="167"/>
      <c r="BZ54" s="167"/>
      <c r="CA54" s="167"/>
      <c r="CB54" s="131"/>
      <c r="CC54" s="131"/>
      <c r="CD54" s="131"/>
      <c r="CE54" s="131"/>
      <c r="CF54" s="168"/>
      <c r="CG54" s="169"/>
      <c r="CH54" s="167"/>
      <c r="CI54" s="168"/>
      <c r="CJ54" s="131"/>
      <c r="CK54" s="131"/>
      <c r="CL54" s="169"/>
      <c r="CM54" s="167"/>
      <c r="CN54" s="167"/>
      <c r="CO54" s="167"/>
      <c r="CP54" s="167"/>
      <c r="CQ54" s="167"/>
      <c r="CR54" s="167"/>
      <c r="CS54" s="167"/>
      <c r="CT54" s="168"/>
      <c r="CU54" s="169"/>
      <c r="CV54" s="167"/>
      <c r="CW54" s="131"/>
      <c r="CX54" s="131"/>
      <c r="CY54" s="168"/>
      <c r="CZ54" s="168"/>
      <c r="DA54" s="169"/>
      <c r="DB54" s="131"/>
      <c r="DC54" s="168"/>
      <c r="DD54" s="169"/>
      <c r="DE54" s="131"/>
      <c r="DF54" s="168"/>
      <c r="DG54" s="169"/>
      <c r="DH54" s="178"/>
      <c r="DI54" s="168"/>
      <c r="DJ54" s="168"/>
      <c r="DK54" s="131"/>
      <c r="DL54" s="168"/>
      <c r="DM54" s="170"/>
      <c r="DN54" s="168"/>
      <c r="DO54" s="168"/>
      <c r="DP54" s="168"/>
      <c r="DQ54" s="168"/>
      <c r="DR54" s="168"/>
      <c r="DS54" s="131"/>
      <c r="DT54" s="131"/>
      <c r="DU54" s="131"/>
      <c r="DV54" s="131"/>
      <c r="DW54" s="169"/>
      <c r="DX54" s="168"/>
      <c r="DY54" s="168"/>
      <c r="DZ54" s="168"/>
      <c r="EA54" s="131"/>
      <c r="EB54" s="131"/>
      <c r="EC54" s="170"/>
      <c r="ED54" s="131"/>
      <c r="EE54" s="131"/>
      <c r="EF54" s="169"/>
      <c r="EG54" s="167"/>
      <c r="EH54" s="167"/>
      <c r="EI54" s="167"/>
      <c r="EJ54" s="131"/>
      <c r="EK54" s="131"/>
      <c r="EL54" s="131"/>
      <c r="EM54" s="131"/>
      <c r="EN54" s="168"/>
      <c r="EO54" s="168"/>
      <c r="EP54" s="168"/>
      <c r="EQ54" s="168"/>
      <c r="ER54" s="170"/>
      <c r="ES54" s="131"/>
      <c r="ET54" s="104"/>
      <c r="EU54" s="38"/>
      <c r="EV54" s="2"/>
      <c r="EW54" s="2"/>
      <c r="EX54" s="33"/>
      <c r="EY54" s="33"/>
      <c r="EZ54" s="169"/>
      <c r="FA54" s="131"/>
      <c r="FB54" s="168"/>
      <c r="FC54" s="169"/>
      <c r="FD54" s="167"/>
      <c r="FE54" s="131"/>
      <c r="FF54" s="131"/>
      <c r="FG54" s="174"/>
      <c r="FH54" s="174"/>
    </row>
    <row r="55" spans="1:164" x14ac:dyDescent="0.2">
      <c r="A55" t="s">
        <v>975</v>
      </c>
      <c r="B55" s="1" t="s">
        <v>978</v>
      </c>
      <c r="C55" t="s">
        <v>30</v>
      </c>
      <c r="E55" s="169"/>
      <c r="F55" s="167"/>
      <c r="G55" s="167"/>
      <c r="H55" s="167"/>
      <c r="I55" s="167"/>
      <c r="J55" s="167"/>
      <c r="K55" s="167"/>
      <c r="L55" s="168"/>
      <c r="M55" s="173"/>
      <c r="N55" s="131"/>
      <c r="O55" s="131"/>
      <c r="P55" s="131"/>
      <c r="Q55" s="168"/>
      <c r="R55" s="167"/>
      <c r="S55" s="168"/>
      <c r="T55" s="173"/>
      <c r="U55" s="131"/>
      <c r="V55" s="168"/>
      <c r="W55" s="170"/>
      <c r="X55" s="168"/>
      <c r="Y55" s="167"/>
      <c r="Z55" s="168"/>
      <c r="AA55" s="131"/>
      <c r="AB55" s="170"/>
      <c r="AC55" s="167"/>
      <c r="AD55" s="168"/>
      <c r="AE55" s="131"/>
      <c r="AF55" s="170"/>
      <c r="AG55" s="131"/>
      <c r="AH55" s="170"/>
      <c r="AI55" s="131"/>
      <c r="AJ55" s="170"/>
      <c r="AK55" s="168"/>
      <c r="AL55" s="168"/>
      <c r="AM55" s="168"/>
      <c r="AN55" s="168"/>
      <c r="AO55" s="168"/>
      <c r="AP55" s="168"/>
      <c r="AQ55" s="168"/>
      <c r="AR55" s="168"/>
      <c r="AS55" s="171"/>
      <c r="AT55" s="172"/>
      <c r="AU55" s="172"/>
      <c r="AV55" s="172"/>
      <c r="AW55" s="172"/>
      <c r="AX55" s="172"/>
      <c r="AY55" s="172"/>
      <c r="AZ55" s="172"/>
      <c r="BA55" s="172"/>
      <c r="BB55" s="168"/>
      <c r="BC55" s="169"/>
      <c r="BD55" s="168"/>
      <c r="BE55" s="168"/>
      <c r="BF55" s="131"/>
      <c r="BG55" s="169"/>
      <c r="BH55" s="131"/>
      <c r="BI55" s="168"/>
      <c r="BJ55" s="169"/>
      <c r="BK55" s="167"/>
      <c r="BL55" s="167"/>
      <c r="BM55" s="167"/>
      <c r="BN55" s="131"/>
      <c r="BO55" s="131"/>
      <c r="BP55" s="131"/>
      <c r="BQ55" s="131"/>
      <c r="BR55" s="167"/>
      <c r="BS55" s="169"/>
      <c r="BT55" s="167"/>
      <c r="BU55" s="174"/>
      <c r="BV55" s="131"/>
      <c r="BW55" s="131"/>
      <c r="BX55" s="169"/>
      <c r="BY55" s="167"/>
      <c r="BZ55" s="167"/>
      <c r="CA55" s="167"/>
      <c r="CB55" s="131"/>
      <c r="CC55" s="131"/>
      <c r="CD55" s="131"/>
      <c r="CE55" s="131"/>
      <c r="CF55" s="168"/>
      <c r="CG55" s="169"/>
      <c r="CH55" s="167"/>
      <c r="CI55" s="168"/>
      <c r="CJ55" s="131"/>
      <c r="CK55" s="131"/>
      <c r="CL55" s="169"/>
      <c r="CM55" s="167"/>
      <c r="CN55" s="167"/>
      <c r="CO55" s="167"/>
      <c r="CP55" s="167"/>
      <c r="CQ55" s="167"/>
      <c r="CR55" s="167"/>
      <c r="CS55" s="167"/>
      <c r="CT55" s="168"/>
      <c r="CU55" s="169"/>
      <c r="CV55" s="167"/>
      <c r="CW55" s="131"/>
      <c r="CX55" s="131"/>
      <c r="CY55" s="168"/>
      <c r="CZ55" s="168"/>
      <c r="DA55" s="169"/>
      <c r="DB55" s="131"/>
      <c r="DC55" s="168"/>
      <c r="DD55" s="169"/>
      <c r="DE55" s="131"/>
      <c r="DF55" s="168"/>
      <c r="DG55" s="169"/>
      <c r="DH55" s="178"/>
      <c r="DI55" s="168"/>
      <c r="DJ55" s="168"/>
      <c r="DK55" s="131"/>
      <c r="DL55" s="168"/>
      <c r="DM55" s="170"/>
      <c r="DN55" s="168"/>
      <c r="DO55" s="168"/>
      <c r="DP55" s="168"/>
      <c r="DQ55" s="168"/>
      <c r="DR55" s="168"/>
      <c r="DS55" s="131"/>
      <c r="DT55" s="131"/>
      <c r="DU55" s="131"/>
      <c r="DV55" s="131"/>
      <c r="DW55" s="169"/>
      <c r="DX55" s="168"/>
      <c r="DY55" s="168"/>
      <c r="DZ55" s="168"/>
      <c r="EA55" s="131"/>
      <c r="EB55" s="131"/>
      <c r="EC55" s="170"/>
      <c r="ED55" s="131"/>
      <c r="EE55" s="131"/>
      <c r="EF55" s="169"/>
      <c r="EG55" s="167"/>
      <c r="EH55" s="167"/>
      <c r="EI55" s="167"/>
      <c r="EJ55" s="131"/>
      <c r="EK55" s="131"/>
      <c r="EL55" s="131"/>
      <c r="EM55" s="131"/>
      <c r="EN55" s="168"/>
      <c r="EO55" s="168"/>
      <c r="EP55" s="168"/>
      <c r="EQ55" s="168"/>
      <c r="ER55" s="170"/>
      <c r="ES55" s="131"/>
      <c r="ET55" s="104"/>
      <c r="EU55" s="38"/>
      <c r="EV55" s="2"/>
      <c r="EW55" s="2"/>
      <c r="EX55" s="33"/>
      <c r="EY55" s="33"/>
      <c r="EZ55" s="169"/>
      <c r="FA55" s="131"/>
      <c r="FB55" s="168"/>
      <c r="FC55" s="169"/>
      <c r="FD55" s="167"/>
      <c r="FE55" s="131"/>
      <c r="FF55" s="131"/>
      <c r="FG55" s="174"/>
      <c r="FH55" s="174"/>
    </row>
    <row r="56" spans="1:164" x14ac:dyDescent="0.2">
      <c r="A56" t="s">
        <v>608</v>
      </c>
      <c r="C56" t="s">
        <v>30</v>
      </c>
      <c r="E56" s="169"/>
      <c r="F56" s="167"/>
      <c r="G56" s="167"/>
      <c r="H56" s="167"/>
      <c r="I56" s="167"/>
      <c r="J56" s="167"/>
      <c r="K56" s="167"/>
      <c r="L56" s="168"/>
      <c r="M56" s="173"/>
      <c r="N56" s="131"/>
      <c r="O56" s="131"/>
      <c r="P56" s="131"/>
      <c r="Q56" s="168"/>
      <c r="R56" s="167"/>
      <c r="S56" s="168"/>
      <c r="T56" s="173"/>
      <c r="U56" s="131"/>
      <c r="V56" s="168"/>
      <c r="W56" s="170"/>
      <c r="X56" s="168"/>
      <c r="Y56" s="167"/>
      <c r="Z56" s="168"/>
      <c r="AA56" s="131"/>
      <c r="AB56" s="170"/>
      <c r="AC56" s="167"/>
      <c r="AD56" s="168"/>
      <c r="AE56" s="131"/>
      <c r="AF56" s="170"/>
      <c r="AG56" s="131"/>
      <c r="AH56" s="170"/>
      <c r="AI56" s="131"/>
      <c r="AJ56" s="170"/>
      <c r="AK56" s="168"/>
      <c r="AL56" s="168"/>
      <c r="AM56" s="168"/>
      <c r="AN56" s="168"/>
      <c r="AO56" s="168"/>
      <c r="AP56" s="168"/>
      <c r="AQ56" s="168"/>
      <c r="AR56" s="168"/>
      <c r="AS56" s="171"/>
      <c r="AT56" s="172"/>
      <c r="AU56" s="172"/>
      <c r="AV56" s="172"/>
      <c r="AW56" s="172"/>
      <c r="AX56" s="172"/>
      <c r="AY56" s="172"/>
      <c r="AZ56" s="172"/>
      <c r="BA56" s="172"/>
      <c r="BB56" s="168"/>
      <c r="BC56" s="169"/>
      <c r="BD56" s="168"/>
      <c r="BE56" s="168"/>
      <c r="BF56" s="131"/>
      <c r="BG56" s="169"/>
      <c r="BH56" s="131"/>
      <c r="BI56" s="168"/>
      <c r="BJ56" s="169"/>
      <c r="BK56" s="167"/>
      <c r="BL56" s="167"/>
      <c r="BM56" s="167"/>
      <c r="BN56" s="131"/>
      <c r="BO56" s="131"/>
      <c r="BP56" s="131"/>
      <c r="BQ56" s="131"/>
      <c r="BR56" s="167"/>
      <c r="BS56" s="169"/>
      <c r="BT56" s="167"/>
      <c r="BU56" s="174"/>
      <c r="BV56" s="131"/>
      <c r="BW56" s="131"/>
      <c r="BX56" s="169"/>
      <c r="BY56" s="167"/>
      <c r="BZ56" s="167"/>
      <c r="CA56" s="167"/>
      <c r="CB56" s="131"/>
      <c r="CC56" s="131"/>
      <c r="CD56" s="131"/>
      <c r="CE56" s="131"/>
      <c r="CF56" s="168"/>
      <c r="CG56" s="169"/>
      <c r="CH56" s="167"/>
      <c r="CI56" s="168"/>
      <c r="CJ56" s="131"/>
      <c r="CK56" s="131"/>
      <c r="CL56" s="169"/>
      <c r="CM56" s="167"/>
      <c r="CN56" s="167"/>
      <c r="CO56" s="167"/>
      <c r="CP56" s="167"/>
      <c r="CQ56" s="167"/>
      <c r="CR56" s="167"/>
      <c r="CS56" s="167"/>
      <c r="CT56" s="168"/>
      <c r="CU56" s="169"/>
      <c r="CV56" s="167"/>
      <c r="CW56" s="131"/>
      <c r="CX56" s="131"/>
      <c r="CY56" s="168"/>
      <c r="CZ56" s="168"/>
      <c r="DA56" s="169"/>
      <c r="DB56" s="131"/>
      <c r="DC56" s="168"/>
      <c r="DD56" s="169"/>
      <c r="DE56" s="131"/>
      <c r="DF56" s="168"/>
      <c r="DG56" s="169"/>
      <c r="DH56" s="178"/>
      <c r="DI56" s="168"/>
      <c r="DJ56" s="168"/>
      <c r="DK56" s="131"/>
      <c r="DL56" s="168"/>
      <c r="DM56" s="170"/>
      <c r="DN56" s="168"/>
      <c r="DO56" s="168"/>
      <c r="DP56" s="168"/>
      <c r="DQ56" s="168"/>
      <c r="DR56" s="168"/>
      <c r="DS56" s="131"/>
      <c r="DT56" s="131"/>
      <c r="DU56" s="131"/>
      <c r="DV56" s="131"/>
      <c r="DW56" s="169"/>
      <c r="DX56" s="168"/>
      <c r="DY56" s="168"/>
      <c r="DZ56" s="168"/>
      <c r="EA56" s="131"/>
      <c r="EB56" s="131"/>
      <c r="EC56" s="170"/>
      <c r="ED56" s="131"/>
      <c r="EE56" s="131"/>
      <c r="EF56" s="169"/>
      <c r="EG56" s="167"/>
      <c r="EH56" s="167"/>
      <c r="EI56" s="167"/>
      <c r="EJ56" s="131"/>
      <c r="EK56" s="131"/>
      <c r="EL56" s="131"/>
      <c r="EM56" s="131"/>
      <c r="EN56" s="168"/>
      <c r="EO56" s="168"/>
      <c r="EP56" s="168"/>
      <c r="EQ56" s="168"/>
      <c r="ER56" s="170"/>
      <c r="ES56" s="131"/>
      <c r="ET56" s="169"/>
      <c r="EU56" s="167"/>
      <c r="EV56" s="131"/>
      <c r="EW56" s="131"/>
      <c r="EX56" s="168"/>
      <c r="EY56" s="168"/>
      <c r="EZ56" s="104"/>
      <c r="FA56" s="2"/>
      <c r="FB56" s="33"/>
      <c r="FC56" s="169"/>
      <c r="FD56" s="167"/>
      <c r="FE56" s="131"/>
      <c r="FF56" s="131"/>
      <c r="FG56" s="174"/>
      <c r="FH56" s="174"/>
    </row>
    <row r="57" spans="1:164" x14ac:dyDescent="0.2">
      <c r="A57" t="s">
        <v>608</v>
      </c>
      <c r="C57" t="s">
        <v>48</v>
      </c>
      <c r="E57" s="169"/>
      <c r="F57" s="167"/>
      <c r="G57" s="167"/>
      <c r="H57" s="167"/>
      <c r="I57" s="167"/>
      <c r="J57" s="167"/>
      <c r="K57" s="167"/>
      <c r="L57" s="168"/>
      <c r="M57" s="173"/>
      <c r="N57" s="131"/>
      <c r="O57" s="131"/>
      <c r="P57" s="131"/>
      <c r="Q57" s="168"/>
      <c r="R57" s="167"/>
      <c r="S57" s="168"/>
      <c r="T57" s="173"/>
      <c r="U57" s="131"/>
      <c r="V57" s="168"/>
      <c r="W57" s="170"/>
      <c r="X57" s="168"/>
      <c r="Y57" s="167"/>
      <c r="Z57" s="168"/>
      <c r="AA57" s="131"/>
      <c r="AB57" s="170"/>
      <c r="AC57" s="167"/>
      <c r="AD57" s="168"/>
      <c r="AE57" s="131"/>
      <c r="AF57" s="170"/>
      <c r="AG57" s="131"/>
      <c r="AH57" s="170"/>
      <c r="AI57" s="131"/>
      <c r="AJ57" s="170"/>
      <c r="AK57" s="168"/>
      <c r="AL57" s="168"/>
      <c r="AM57" s="168"/>
      <c r="AN57" s="168"/>
      <c r="AO57" s="168"/>
      <c r="AP57" s="168"/>
      <c r="AQ57" s="168"/>
      <c r="AR57" s="168"/>
      <c r="AS57" s="171"/>
      <c r="AT57" s="172"/>
      <c r="AU57" s="172"/>
      <c r="AV57" s="172"/>
      <c r="AW57" s="172"/>
      <c r="AX57" s="172"/>
      <c r="AY57" s="172"/>
      <c r="AZ57" s="172"/>
      <c r="BA57" s="172"/>
      <c r="BB57" s="168"/>
      <c r="BC57" s="169"/>
      <c r="BD57" s="168"/>
      <c r="BE57" s="168"/>
      <c r="BF57" s="131"/>
      <c r="BG57" s="169"/>
      <c r="BH57" s="131"/>
      <c r="BI57" s="168"/>
      <c r="BJ57" s="169"/>
      <c r="BK57" s="167"/>
      <c r="BL57" s="167"/>
      <c r="BM57" s="167"/>
      <c r="BN57" s="131"/>
      <c r="BO57" s="131"/>
      <c r="BP57" s="131"/>
      <c r="BQ57" s="131"/>
      <c r="BR57" s="167"/>
      <c r="BS57" s="169"/>
      <c r="BT57" s="167"/>
      <c r="BU57" s="174"/>
      <c r="BV57" s="131"/>
      <c r="BW57" s="131"/>
      <c r="BX57" s="169"/>
      <c r="BY57" s="167"/>
      <c r="BZ57" s="167"/>
      <c r="CA57" s="167"/>
      <c r="CB57" s="131"/>
      <c r="CC57" s="131"/>
      <c r="CD57" s="131"/>
      <c r="CE57" s="131"/>
      <c r="CF57" s="168"/>
      <c r="CG57" s="169"/>
      <c r="CH57" s="167"/>
      <c r="CI57" s="168"/>
      <c r="CJ57" s="131"/>
      <c r="CK57" s="131"/>
      <c r="CL57" s="169"/>
      <c r="CM57" s="167"/>
      <c r="CN57" s="167"/>
      <c r="CO57" s="167"/>
      <c r="CP57" s="167"/>
      <c r="CQ57" s="167"/>
      <c r="CR57" s="167"/>
      <c r="CS57" s="167"/>
      <c r="CT57" s="168"/>
      <c r="CU57" s="169"/>
      <c r="CV57" s="167"/>
      <c r="CW57" s="131"/>
      <c r="CX57" s="131"/>
      <c r="CY57" s="168"/>
      <c r="CZ57" s="168"/>
      <c r="DA57" s="169"/>
      <c r="DB57" s="131"/>
      <c r="DC57" s="168"/>
      <c r="DD57" s="169"/>
      <c r="DE57" s="131"/>
      <c r="DF57" s="168"/>
      <c r="DG57" s="169"/>
      <c r="DH57" s="178"/>
      <c r="DI57" s="168"/>
      <c r="DJ57" s="168"/>
      <c r="DK57" s="131"/>
      <c r="DL57" s="168"/>
      <c r="DM57" s="170"/>
      <c r="DN57" s="168"/>
      <c r="DO57" s="168"/>
      <c r="DP57" s="168"/>
      <c r="DQ57" s="168"/>
      <c r="DR57" s="168"/>
      <c r="DS57" s="131"/>
      <c r="DT57" s="131"/>
      <c r="DU57" s="131"/>
      <c r="DV57" s="131"/>
      <c r="DW57" s="169"/>
      <c r="DX57" s="168"/>
      <c r="DY57" s="168"/>
      <c r="DZ57" s="168"/>
      <c r="EA57" s="131"/>
      <c r="EB57" s="131"/>
      <c r="EC57" s="170"/>
      <c r="ED57" s="131"/>
      <c r="EE57" s="131"/>
      <c r="EF57" s="169"/>
      <c r="EG57" s="167"/>
      <c r="EH57" s="167"/>
      <c r="EI57" s="167"/>
      <c r="EJ57" s="131"/>
      <c r="EK57" s="131"/>
      <c r="EL57" s="131"/>
      <c r="EM57" s="131"/>
      <c r="EN57" s="168"/>
      <c r="EO57" s="168"/>
      <c r="EP57" s="168"/>
      <c r="EQ57" s="168"/>
      <c r="ER57" s="170"/>
      <c r="ES57" s="131"/>
      <c r="ET57" s="169"/>
      <c r="EU57" s="167"/>
      <c r="EV57" s="131"/>
      <c r="EW57" s="131"/>
      <c r="EX57" s="168"/>
      <c r="EY57" s="168"/>
      <c r="EZ57" s="104"/>
      <c r="FA57" s="2"/>
      <c r="FB57" s="33"/>
      <c r="FC57" s="169"/>
      <c r="FD57" s="167"/>
      <c r="FE57" s="131"/>
      <c r="FF57" s="131"/>
      <c r="FG57" s="174"/>
      <c r="FH57" s="174"/>
    </row>
    <row r="58" spans="1:164" x14ac:dyDescent="0.2">
      <c r="A58" t="s">
        <v>979</v>
      </c>
      <c r="E58" s="169"/>
      <c r="F58" s="167"/>
      <c r="G58" s="167"/>
      <c r="H58" s="167"/>
      <c r="I58" s="167"/>
      <c r="J58" s="167"/>
      <c r="K58" s="167"/>
      <c r="L58" s="168"/>
      <c r="M58" s="173"/>
      <c r="N58" s="131"/>
      <c r="O58" s="131"/>
      <c r="P58" s="131"/>
      <c r="Q58" s="168"/>
      <c r="R58" s="167"/>
      <c r="S58" s="168"/>
      <c r="T58" s="173"/>
      <c r="U58" s="131"/>
      <c r="V58" s="168"/>
      <c r="W58" s="170"/>
      <c r="X58" s="168"/>
      <c r="Y58" s="167"/>
      <c r="Z58" s="168"/>
      <c r="AA58" s="131"/>
      <c r="AB58" s="170"/>
      <c r="AC58" s="167"/>
      <c r="AD58" s="168"/>
      <c r="AE58" s="131"/>
      <c r="AF58" s="170"/>
      <c r="AG58" s="131"/>
      <c r="AH58" s="170"/>
      <c r="AI58" s="131"/>
      <c r="AJ58" s="170"/>
      <c r="AK58" s="168"/>
      <c r="AL58" s="168"/>
      <c r="AM58" s="168"/>
      <c r="AN58" s="168"/>
      <c r="AO58" s="168"/>
      <c r="AP58" s="168"/>
      <c r="AQ58" s="168"/>
      <c r="AR58" s="168"/>
      <c r="AS58" s="171"/>
      <c r="AT58" s="172"/>
      <c r="AU58" s="172"/>
      <c r="AV58" s="172"/>
      <c r="AW58" s="172"/>
      <c r="AX58" s="172"/>
      <c r="AY58" s="172"/>
      <c r="AZ58" s="172"/>
      <c r="BA58" s="172"/>
      <c r="BB58" s="168"/>
      <c r="BC58" s="169"/>
      <c r="BD58" s="168"/>
      <c r="BE58" s="168"/>
      <c r="BF58" s="131"/>
      <c r="BG58" s="169"/>
      <c r="BH58" s="131"/>
      <c r="BI58" s="168"/>
      <c r="BJ58" s="169"/>
      <c r="BK58" s="167"/>
      <c r="BL58" s="167"/>
      <c r="BM58" s="167"/>
      <c r="BN58" s="131"/>
      <c r="BO58" s="131"/>
      <c r="BP58" s="131"/>
      <c r="BQ58" s="131"/>
      <c r="BR58" s="167"/>
      <c r="BS58" s="169"/>
      <c r="BT58" s="167"/>
      <c r="BU58" s="174"/>
      <c r="BV58" s="131"/>
      <c r="BW58" s="131"/>
      <c r="BX58" s="169"/>
      <c r="BY58" s="167"/>
      <c r="BZ58" s="167"/>
      <c r="CA58" s="167"/>
      <c r="CB58" s="131"/>
      <c r="CC58" s="131"/>
      <c r="CD58" s="131"/>
      <c r="CE58" s="131"/>
      <c r="CF58" s="168"/>
      <c r="CG58" s="169"/>
      <c r="CH58" s="167"/>
      <c r="CI58" s="168"/>
      <c r="CJ58" s="131"/>
      <c r="CK58" s="131"/>
      <c r="CL58" s="169"/>
      <c r="CM58" s="167"/>
      <c r="CN58" s="167"/>
      <c r="CO58" s="167"/>
      <c r="CP58" s="167"/>
      <c r="CQ58" s="167"/>
      <c r="CR58" s="167"/>
      <c r="CS58" s="167"/>
      <c r="CT58" s="168"/>
      <c r="CU58" s="169"/>
      <c r="CV58" s="167"/>
      <c r="CW58" s="131"/>
      <c r="CX58" s="131"/>
      <c r="CY58" s="168"/>
      <c r="CZ58" s="168"/>
      <c r="DA58" s="169"/>
      <c r="DB58" s="131"/>
      <c r="DC58" s="168"/>
      <c r="DD58" s="169"/>
      <c r="DE58" s="131"/>
      <c r="DF58" s="168"/>
      <c r="DG58" s="169"/>
      <c r="DH58" s="178"/>
      <c r="DI58" s="168"/>
      <c r="DJ58" s="168"/>
      <c r="DK58" s="131"/>
      <c r="DL58" s="168"/>
      <c r="DM58" s="170"/>
      <c r="DN58" s="168"/>
      <c r="DO58" s="168"/>
      <c r="DP58" s="168"/>
      <c r="DQ58" s="168"/>
      <c r="DR58" s="168"/>
      <c r="DS58" s="168"/>
      <c r="DT58" s="168"/>
      <c r="DU58" s="168"/>
      <c r="DV58" s="168"/>
      <c r="DW58" s="170"/>
      <c r="DX58" s="168"/>
      <c r="DY58" s="168"/>
      <c r="DZ58" s="168"/>
      <c r="EA58" s="168"/>
      <c r="EB58" s="168"/>
      <c r="EC58" s="170"/>
      <c r="ED58" s="168"/>
      <c r="EE58" s="168"/>
      <c r="EF58" s="169"/>
      <c r="EG58" s="167"/>
      <c r="EH58" s="167"/>
      <c r="EI58" s="167"/>
      <c r="EJ58" s="131"/>
      <c r="EK58" s="131"/>
      <c r="EL58" s="131"/>
      <c r="EM58" s="131"/>
      <c r="EN58" s="168"/>
      <c r="EO58" s="168"/>
      <c r="EP58" s="168"/>
      <c r="EQ58" s="168"/>
      <c r="ER58" s="170"/>
      <c r="ES58" s="131"/>
      <c r="ET58" s="169"/>
      <c r="EU58" s="167"/>
      <c r="EV58" s="131"/>
      <c r="EW58" s="131"/>
      <c r="EX58" s="168"/>
      <c r="EY58" s="168"/>
      <c r="EZ58" s="169"/>
      <c r="FA58" s="131"/>
      <c r="FB58" s="168"/>
      <c r="FC58" s="104"/>
      <c r="FD58" s="38"/>
      <c r="FE58" s="2"/>
      <c r="FF58" s="2"/>
      <c r="FG58" s="34"/>
      <c r="FH58" s="34"/>
    </row>
  </sheetData>
  <mergeCells count="1">
    <mergeCell ref="A2:C3"/>
  </mergeCells>
  <conditionalFormatting sqref="P15:P33">
    <cfRule type="expression" dxfId="137" priority="1">
      <formula>AND(ISNUMBER(P15),P15&lt;0)</formula>
    </cfRule>
    <cfRule type="expression" dxfId="136" priority="3">
      <formula>AND(ISNUMBER($P15),SUM($P15)=SUM($O15))</formula>
    </cfRule>
    <cfRule type="expression" dxfId="135" priority="4">
      <formula>AND(ISNUMBER($P15),SUM($P15)=SUM($N15))</formula>
    </cfRule>
  </conditionalFormatting>
  <conditionalFormatting sqref="AS1:BA1048576">
    <cfRule type="expression" dxfId="134" priority="7">
      <formula>AND(ISNUMBER(AS1),AS1&lt;&gt;AJ1)</formula>
    </cfRule>
  </conditionalFormatting>
  <conditionalFormatting sqref="BB1:BB1048576">
    <cfRule type="expression" dxfId="133" priority="8">
      <formula>AND(ISNUMBER($BB1),SUM($AI1)&lt;&gt;0,$BB1&lt;&gt;1)</formula>
    </cfRule>
  </conditionalFormatting>
  <hyperlinks>
    <hyperlink ref="G3" location="Cascade!AQ:AQ" display="TX_CURR (FY24)" xr:uid="{00000000-0004-0000-0500-000000000000}"/>
    <hyperlink ref="F3" location="Cascade!AY:AY" display="Cascade!AY:AY" xr:uid="{00000000-0004-0000-0500-000001000000}"/>
    <hyperlink ref="E3" location="Cascade!BI:BI" display="Total Positives (FY24)" xr:uid="{00000000-0004-0000-0500-000002000000}"/>
    <hyperlink ref="H3" location="Cascade!BC:BC" display="TX_PVLS (D) Routine (FY24)" xr:uid="{00000000-0004-0000-0500-000003000000}"/>
    <hyperlink ref="I3" location="Cascade!BF:BF" display="TX_PVLS (N) Routine (FY24)" xr:uid="{00000000-0004-0000-0500-000004000000}"/>
    <hyperlink ref="J3" location="Cascade!AL:AL" display="Cascade!AL:AL" xr:uid="{00000000-0004-0000-0500-000005000000}"/>
    <hyperlink ref="L3" location="Cascade!AS:AS" display="Cascade!AS:AS" xr:uid="{00000000-0004-0000-0500-000006000000}"/>
    <hyperlink ref="K3" location="Cascade!AR:AR" display="Cascade!AR:AR" xr:uid="{00000000-0004-0000-0500-000007000000}"/>
    <hyperlink ref="BC3" location="HTS!BA:BA" display="HTS_RECENT (FY24)" xr:uid="{00000000-0004-0000-0500-000008000000}"/>
    <hyperlink ref="BG3" location="HTS!AY:AY" display="HTS_SELF (FY24)" xr:uid="{00000000-0004-0000-0500-000009000000}"/>
    <hyperlink ref="BM3" location="PMTCT!AA:AA" display="Total PMTCT_STAT (N) (FY24)" xr:uid="{00000000-0004-0000-0500-00000A000000}"/>
    <hyperlink ref="BS3" location="PMTCT!AJ:AJ" display="Already on ART (FY24)" xr:uid="{00000000-0004-0000-0500-00000B000000}"/>
    <hyperlink ref="CA3" location="TB!N:N" display="Total TB_STAT (N) (FY24)" xr:uid="{00000000-0004-0000-0500-00000C000000}"/>
    <hyperlink ref="CG3" location="TB!S:S" display="Already on ART (FY24)" xr:uid="{00000000-0004-0000-0500-00000D000000}"/>
    <hyperlink ref="CO3" location="VMMC!Y:Y" display="Total VMMC_CIRC (FY24)" xr:uid="{00000000-0004-0000-0500-00000E000000}"/>
    <hyperlink ref="CV3" location="PrEP!O:O" display="PrEP_CT (FY24)" xr:uid="{00000000-0004-0000-0500-00000F000000}"/>
    <hyperlink ref="DA3" location="PP!H:H" display="PP_PREV (FY24)" xr:uid="{00000000-0004-0000-0500-000010000000}"/>
    <hyperlink ref="DD3" location="KP!M:M" display="KP_PREV (FY24)" xr:uid="{00000000-0004-0000-0500-000011000000}"/>
    <hyperlink ref="DG3" location="CXCA!M:M" display="CXCA_SCRN (FY24)" xr:uid="{00000000-0004-0000-0500-000012000000}"/>
    <hyperlink ref="DM3" location="TX_TB_PREV!L:M" display="TX_TB (D) Coverage: Already on ART (FY24) (%)" xr:uid="{00000000-0004-0000-0500-000013000000}"/>
    <hyperlink ref="EF3" location="OVC!O:O" display="DREAMS (FY24)" xr:uid="{00000000-0004-0000-0500-000014000000}"/>
    <hyperlink ref="ET3" location="AGYW!T:T" display="AGYW_PREV (D) (FY24)" xr:uid="{00000000-0004-0000-0500-000015000000}"/>
    <hyperlink ref="EZ3" location="KP_MAT!J:J" display="KP_MAT (FY24)" xr:uid="{00000000-0004-0000-0500-000016000000}"/>
    <hyperlink ref="FC3" location="GEND!G:G" display="Physical/Emotional Violence (FY24)" xr:uid="{00000000-0004-0000-0500-000017000000}"/>
    <hyperlink ref="BJ3" location="PMTCT!AB:AB" display="PMTCT_STAT (N) - Known Positive (FY24)" xr:uid="{00000000-0004-0000-0500-000018000000}"/>
    <hyperlink ref="BK3" location="PMTCT!AC:AC" display="PMTCT_STAT (N) - New Positive (FY24)" xr:uid="{00000000-0004-0000-0500-000019000000}"/>
    <hyperlink ref="BL3" location="PMTCT!AD:AD" display="PMTCT_STAT (N) - New Negative (FY24)" xr:uid="{00000000-0004-0000-0500-00001A000000}"/>
    <hyperlink ref="BT3" location="PMTCT!AK:AK" display="New on ART (FY24)" xr:uid="{00000000-0004-0000-0500-00001B000000}"/>
    <hyperlink ref="BX3" location="TB!O:O" display="Known HIV+ (FY24)" xr:uid="{00000000-0004-0000-0500-00001C000000}"/>
    <hyperlink ref="BY3" location="TB!P:P" display="New Positive (FY24)" xr:uid="{00000000-0004-0000-0500-00001D000000}"/>
    <hyperlink ref="BZ3" location="TB!Q:Q" display="New Negative (FY24)" xr:uid="{00000000-0004-0000-0500-00001E000000}"/>
    <hyperlink ref="CH3" location="TB!T:T" display="New on ART (FY24)" xr:uid="{00000000-0004-0000-0500-00001F000000}"/>
    <hyperlink ref="CL3" location="VMMC!Z:Z" display="Not Tested by PEPFAR (FY24)" xr:uid="{00000000-0004-0000-0500-000020000000}"/>
    <hyperlink ref="CM3" location="VMMC!AA:AA" display="HIV Positive (FY24)" xr:uid="{00000000-0004-0000-0500-000021000000}"/>
    <hyperlink ref="CN3" location="VMMC!AB:AB" display="HIV Negative (FY24)" xr:uid="{00000000-0004-0000-0500-000022000000}"/>
    <hyperlink ref="CU3" location="PrEP!L:L" display="PrEP_NEW (FY24)" xr:uid="{00000000-0004-0000-0500-000023000000}"/>
    <hyperlink ref="DN3" location="TX_TB_PREV!N:O" display="TX_TB (D) Coverage: New on ART (FY24) (%)" xr:uid="{00000000-0004-0000-0500-000024000000}"/>
    <hyperlink ref="EG3" location="OVC!P:P" display="Preventive (FY24)" xr:uid="{00000000-0004-0000-0500-000025000000}"/>
    <hyperlink ref="EH3" location="OVC!Q:Q" display="Comprehensive - Graduated (FY24)" xr:uid="{00000000-0004-0000-0500-000026000000}"/>
    <hyperlink ref="EI3" location="OVC!R:R" display="Comprehensive - Active (FY24)" xr:uid="{00000000-0004-0000-0500-000027000000}"/>
    <hyperlink ref="EU3" location="AGYW!U:U" display="AGYW_PREV (N) (FY24)" xr:uid="{00000000-0004-0000-0500-000028000000}"/>
    <hyperlink ref="FD3" location="GEND!H:H" display="Sexual Violence (FY24)" xr:uid="{00000000-0004-0000-0500-00002900000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A159"/>
  <sheetViews>
    <sheetView zoomScaleNormal="100" workbookViewId="0">
      <pane xSplit="5" ySplit="14" topLeftCell="F28" activePane="bottomRight" state="frozen"/>
      <selection pane="topRight"/>
      <selection pane="bottomLeft"/>
      <selection pane="bottomRight" activeCell="F58" sqref="F58:I68"/>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15.5" hidden="1" customWidth="1"/>
    <col min="6" max="53" width="11.6640625" customWidth="1"/>
  </cols>
  <sheetData>
    <row r="1" spans="1:53" ht="31.25" customHeight="1" x14ac:dyDescent="0.2">
      <c r="A1" s="68" t="s">
        <v>980</v>
      </c>
      <c r="C1" s="112"/>
      <c r="D1" s="112"/>
      <c r="E1" s="112"/>
      <c r="F1" s="52" t="s">
        <v>981</v>
      </c>
      <c r="G1" s="13"/>
      <c r="H1" s="137"/>
      <c r="I1" s="13"/>
      <c r="J1" s="44"/>
      <c r="K1" s="13"/>
      <c r="L1" s="13"/>
      <c r="M1" s="13"/>
      <c r="N1" s="13"/>
      <c r="O1" s="13"/>
      <c r="P1" s="13"/>
      <c r="Q1" s="13"/>
      <c r="R1" s="52" t="s">
        <v>982</v>
      </c>
      <c r="S1" s="45"/>
      <c r="T1" s="43"/>
      <c r="U1" s="45"/>
      <c r="V1" s="43"/>
      <c r="W1" s="53" t="s">
        <v>983</v>
      </c>
      <c r="X1" s="45"/>
      <c r="Y1" s="45"/>
      <c r="Z1" s="45"/>
      <c r="AA1" s="43"/>
      <c r="AB1" s="43"/>
      <c r="AC1" s="43"/>
      <c r="AD1" s="43"/>
      <c r="AE1" s="52" t="s">
        <v>984</v>
      </c>
      <c r="AF1" s="43"/>
      <c r="AG1" s="43"/>
      <c r="AH1" s="43"/>
      <c r="AI1" s="53" t="s">
        <v>985</v>
      </c>
      <c r="AJ1" s="43"/>
      <c r="AK1" s="43"/>
      <c r="AL1" s="52" t="s">
        <v>986</v>
      </c>
      <c r="AM1" s="43"/>
      <c r="AN1" s="43"/>
      <c r="AO1" s="52" t="s">
        <v>987</v>
      </c>
      <c r="AP1" s="45"/>
      <c r="AQ1" s="45"/>
      <c r="AR1" s="45"/>
      <c r="AS1" s="43"/>
      <c r="AT1" s="43"/>
      <c r="AU1" s="43"/>
      <c r="AV1" s="52" t="s">
        <v>988</v>
      </c>
      <c r="AW1" s="43"/>
      <c r="AX1" s="43"/>
      <c r="AY1" s="43"/>
      <c r="AZ1" s="43"/>
      <c r="BA1" s="43"/>
    </row>
    <row r="2" spans="1:53" ht="19.25" customHeight="1" x14ac:dyDescent="0.25">
      <c r="A2" s="255" t="s">
        <v>989</v>
      </c>
      <c r="B2" s="251"/>
      <c r="D2" s="4"/>
      <c r="E2" s="4"/>
      <c r="F2" s="105"/>
      <c r="G2" s="24"/>
      <c r="H2" s="111"/>
      <c r="I2" s="24"/>
      <c r="J2" s="32"/>
      <c r="K2" s="24"/>
      <c r="L2" s="24"/>
      <c r="M2" s="24"/>
      <c r="N2" s="24"/>
      <c r="O2" s="24"/>
      <c r="P2" s="24"/>
      <c r="Q2" s="24"/>
      <c r="R2" s="105"/>
      <c r="S2" s="32"/>
      <c r="T2" s="20" t="s">
        <v>281</v>
      </c>
      <c r="U2" s="32"/>
      <c r="V2" s="20" t="s">
        <v>281</v>
      </c>
      <c r="W2" s="31"/>
      <c r="X2" s="32"/>
      <c r="Y2" s="32"/>
      <c r="Z2" s="32"/>
      <c r="AA2" s="20" t="s">
        <v>281</v>
      </c>
      <c r="AB2" s="20" t="s">
        <v>281</v>
      </c>
      <c r="AC2" s="20" t="s">
        <v>281</v>
      </c>
      <c r="AD2" s="20" t="s">
        <v>281</v>
      </c>
      <c r="AE2" s="122" t="s">
        <v>281</v>
      </c>
      <c r="AF2" s="20" t="s">
        <v>281</v>
      </c>
      <c r="AG2" s="20" t="s">
        <v>281</v>
      </c>
      <c r="AH2" s="20" t="s">
        <v>281</v>
      </c>
      <c r="AI2" s="31"/>
      <c r="AJ2" s="20" t="s">
        <v>281</v>
      </c>
      <c r="AK2" s="20" t="s">
        <v>281</v>
      </c>
      <c r="AL2" s="122" t="s">
        <v>281</v>
      </c>
      <c r="AM2" s="20" t="s">
        <v>281</v>
      </c>
      <c r="AN2" s="20" t="s">
        <v>281</v>
      </c>
      <c r="AO2" s="105"/>
      <c r="AP2" s="32"/>
      <c r="AQ2" s="32"/>
      <c r="AR2" s="32"/>
      <c r="AS2" s="20" t="s">
        <v>281</v>
      </c>
      <c r="AT2" s="20" t="s">
        <v>281</v>
      </c>
      <c r="AU2" s="24"/>
      <c r="AV2" s="105"/>
      <c r="AW2" s="24"/>
      <c r="AX2" s="24"/>
      <c r="AY2" s="24"/>
      <c r="AZ2" s="24"/>
      <c r="BA2" s="24"/>
    </row>
    <row r="3" spans="1:53" ht="117" customHeight="1" x14ac:dyDescent="0.2">
      <c r="A3" s="252"/>
      <c r="B3" s="253"/>
      <c r="D3" s="9"/>
      <c r="E3" s="9"/>
      <c r="F3" s="142" t="s">
        <v>990</v>
      </c>
      <c r="G3" s="143" t="s">
        <v>991</v>
      </c>
      <c r="H3" s="180" t="s">
        <v>489</v>
      </c>
      <c r="I3" s="143" t="s">
        <v>992</v>
      </c>
      <c r="J3" s="144" t="s">
        <v>993</v>
      </c>
      <c r="K3" s="51" t="s">
        <v>994</v>
      </c>
      <c r="L3" s="51" t="s">
        <v>995</v>
      </c>
      <c r="M3" s="51" t="s">
        <v>996</v>
      </c>
      <c r="N3" s="51" t="s">
        <v>997</v>
      </c>
      <c r="O3" s="51" t="s">
        <v>998</v>
      </c>
      <c r="P3" s="51" t="s">
        <v>999</v>
      </c>
      <c r="Q3" s="51" t="s">
        <v>1000</v>
      </c>
      <c r="R3" s="6" t="s">
        <v>1001</v>
      </c>
      <c r="S3" s="184" t="s">
        <v>1002</v>
      </c>
      <c r="T3" s="69" t="s">
        <v>1003</v>
      </c>
      <c r="U3" s="184" t="s">
        <v>1004</v>
      </c>
      <c r="V3" s="69" t="s">
        <v>1005</v>
      </c>
      <c r="W3" s="182" t="s">
        <v>1006</v>
      </c>
      <c r="X3" s="184" t="s">
        <v>1007</v>
      </c>
      <c r="Y3" s="179" t="s">
        <v>1008</v>
      </c>
      <c r="Z3" s="184" t="s">
        <v>1009</v>
      </c>
      <c r="AA3" s="69" t="s">
        <v>659</v>
      </c>
      <c r="AB3" s="69" t="s">
        <v>656</v>
      </c>
      <c r="AC3" s="69" t="s">
        <v>657</v>
      </c>
      <c r="AD3" s="69" t="s">
        <v>658</v>
      </c>
      <c r="AE3" s="123" t="s">
        <v>1010</v>
      </c>
      <c r="AF3" s="14" t="s">
        <v>1011</v>
      </c>
      <c r="AG3" s="14" t="s">
        <v>1012</v>
      </c>
      <c r="AH3" s="14" t="s">
        <v>1013</v>
      </c>
      <c r="AI3" s="183" t="s">
        <v>390</v>
      </c>
      <c r="AJ3" s="69" t="s">
        <v>665</v>
      </c>
      <c r="AK3" s="69" t="s">
        <v>666</v>
      </c>
      <c r="AL3" s="123" t="s">
        <v>1014</v>
      </c>
      <c r="AM3" s="14" t="s">
        <v>1015</v>
      </c>
      <c r="AN3" s="14" t="s">
        <v>1016</v>
      </c>
      <c r="AO3" s="73" t="s">
        <v>1017</v>
      </c>
      <c r="AP3" s="90" t="s">
        <v>1018</v>
      </c>
      <c r="AQ3" s="42" t="s">
        <v>1019</v>
      </c>
      <c r="AR3" s="90" t="s">
        <v>390</v>
      </c>
      <c r="AS3" s="69" t="s">
        <v>1020</v>
      </c>
      <c r="AT3" s="69" t="s">
        <v>1021</v>
      </c>
      <c r="AU3" s="109" t="s">
        <v>1022</v>
      </c>
      <c r="AV3" s="6" t="s">
        <v>1023</v>
      </c>
      <c r="AW3" s="143" t="s">
        <v>1024</v>
      </c>
      <c r="AX3" s="143" t="s">
        <v>1025</v>
      </c>
      <c r="AY3" s="143" t="s">
        <v>1026</v>
      </c>
      <c r="AZ3" s="143" t="s">
        <v>1027</v>
      </c>
      <c r="BA3" s="109" t="s">
        <v>1028</v>
      </c>
    </row>
    <row r="4" spans="1:53" x14ac:dyDescent="0.2">
      <c r="B4" s="5"/>
      <c r="C4" s="5"/>
      <c r="D4" s="5" t="s">
        <v>392</v>
      </c>
      <c r="E4" s="5"/>
      <c r="F4" s="108">
        <f>SUBTOTAL(109,F$15:INDEX(F:F,COUNTA($B:$B)+14-COUNTA($B$1:$B$14)))</f>
        <v>7101394</v>
      </c>
      <c r="G4" s="100">
        <f>SUBTOTAL(109,G$15:INDEX(G:G,COUNTA($B:$B)+14-COUNTA($B$1:$B$14)))</f>
        <v>548632</v>
      </c>
      <c r="H4" s="189">
        <f>IF($F$4=0,"",$G4/$F4)</f>
        <v>7.7256944199969757E-2</v>
      </c>
      <c r="I4" s="100">
        <f>SUBTOTAL(109,I$15:INDEX(I:I,COUNTA($B:$B)+14-COUNTA($B$1:$B$14)))</f>
        <v>540062</v>
      </c>
      <c r="J4" s="37">
        <f>IF($G$4=0,"",$I4/$G4)</f>
        <v>0.98437932894909519</v>
      </c>
      <c r="K4" s="100">
        <f>SUBTOTAL(109,K$15:INDEX(K:K,COUNTA($B:$B)+14-COUNTA($B$1:$B$14)))</f>
        <v>531488</v>
      </c>
      <c r="L4" s="100">
        <f>SUBTOTAL(109,L$15:INDEX(L:L,COUNTA($B:$B)+14-COUNTA($B$1:$B$14)))</f>
        <v>18690</v>
      </c>
      <c r="M4" s="100">
        <f>SUBTOTAL(109,M$15:INDEX(M:M,COUNTA($B:$B)+14-COUNTA($B$1:$B$14)))</f>
        <v>5812</v>
      </c>
      <c r="N4" s="100">
        <f>SUBTOTAL(109,N$15:INDEX(N:N,COUNTA($B:$B)+14-COUNTA($B$1:$B$14)))</f>
        <v>506988</v>
      </c>
      <c r="O4" s="100">
        <f>SUBTOTAL(109,O$15:INDEX(O:O,COUNTA($B:$B)+14-COUNTA($B$1:$B$14)))</f>
        <v>24501</v>
      </c>
      <c r="P4" s="100">
        <f>SUBTOTAL(109,P$15:INDEX(P:P,COUNTA($B:$B)+14-COUNTA($B$1:$B$14)))</f>
        <v>18690</v>
      </c>
      <c r="Q4" s="100">
        <f>SUBTOTAL(109,Q$15:INDEX(Q:Q,COUNTA($B:$B)+14-COUNTA($B$1:$B$14)))</f>
        <v>5812</v>
      </c>
      <c r="R4" s="108">
        <f>SUBTOTAL(109,R$15:INDEX(R:R,COUNTA($B:$B)+14-COUNTA($B$1:$B$14)))</f>
        <v>654737</v>
      </c>
      <c r="S4" s="41">
        <f>IF(SUM($R$4)=0,"",$T$4/$R$4-1)</f>
        <v>-3.411598855723752E-2</v>
      </c>
      <c r="T4" s="132">
        <f>SUBTOTAL(109,T$15:INDEX(T:T,COUNTA($B:$B)+14-COUNTA($B$1:$B$14)))</f>
        <v>632400</v>
      </c>
      <c r="U4" s="41">
        <f>IF($V$4=0,"",$T$4/$V$4)</f>
        <v>0.93866191695424694</v>
      </c>
      <c r="V4" s="132">
        <f>SUBTOTAL(109,V$15:INDEX(V:V,COUNTA($B:$B)+14-COUNTA($B$1:$B$14)))</f>
        <v>673725</v>
      </c>
      <c r="W4" s="77"/>
      <c r="X4" s="41">
        <f>IF($AA$4=0,"",$AB$4/$AA$4)</f>
        <v>4.2299177735610372E-2</v>
      </c>
      <c r="Y4" s="41"/>
      <c r="Z4" s="41">
        <f>IF($AA$4=0,"",$AC$4/($AA$4-$AB$4))</f>
        <v>1.0454883183356724E-2</v>
      </c>
      <c r="AA4" s="39">
        <f>SUBTOTAL(109,AA$15:INDEX(AA:AA,COUNTA($B:$B)+14-COUNTA($B$1:$B$14)))</f>
        <v>632400</v>
      </c>
      <c r="AB4" s="187">
        <f>IF(COUNTIF(AB$15:INDEX($AB:$AB,COUNTA($B:$B)+14-COUNTA($B$1:$B$14)),"&lt;0")&gt;0,"RESOLVE NEGATIVES",SUBTOTAL(109,AB$15:INDEX(AB:AB,COUNTA($B:$B)+14-COUNTA($B$1:$B$14))))</f>
        <v>26750</v>
      </c>
      <c r="AC4" s="39">
        <f>SUBTOTAL(109,AC$15:INDEX(AC:AC,COUNTA($B:$B)+14-COUNTA($B$1:$B$14)))</f>
        <v>6332</v>
      </c>
      <c r="AD4" s="39">
        <f>SUBTOTAL(109,AD$15:INDEX(AD:AD,COUNTA($B:$B)+14-COUNTA($B$1:$B$14)))</f>
        <v>599318</v>
      </c>
      <c r="AE4" s="181">
        <f>SUBTOTAL(109,AE$15:INDEX(AE:AE,COUNTA($B:$B)+14-COUNTA($B$1:$B$14)))</f>
        <v>666377</v>
      </c>
      <c r="AF4" s="39">
        <f>SUBTOTAL(109,AF$15:INDEX(AF:AF,COUNTA($B:$B)+14-COUNTA($B$1:$B$14)))</f>
        <v>28645</v>
      </c>
      <c r="AG4" s="39">
        <f>SUBTOTAL(109,AG$15:INDEX(AG:AG,COUNTA($B:$B)+14-COUNTA($B$1:$B$14)))</f>
        <v>6566</v>
      </c>
      <c r="AH4" s="39">
        <f>SUBTOTAL(109,AH$15:INDEX(AH:AH,COUNTA($B:$B)+14-COUNTA($B$1:$B$14)))</f>
        <v>631163</v>
      </c>
      <c r="AI4" s="77">
        <f>IF($AC$4=0,"",$AK$4/$AC$4)</f>
        <v>0.91550852811118133</v>
      </c>
      <c r="AJ4" s="39">
        <f>SUBTOTAL(109,AJ$15:INDEX(AJ:AJ,COUNTA($B:$B)+14-COUNTA($B$1:$B$14)))</f>
        <v>26750</v>
      </c>
      <c r="AK4" s="39">
        <f>SUBTOTAL(109,AK$15:INDEX(AK:AK,COUNTA($B:$B)+14-COUNTA($B$1:$B$14)))</f>
        <v>5797</v>
      </c>
      <c r="AL4" s="181">
        <f>SUBTOTAL(109,AL$15:INDEX(AL:AL,COUNTA($B:$B)+14-COUNTA($B$1:$B$14)))</f>
        <v>35211</v>
      </c>
      <c r="AM4" s="39">
        <f>SUBTOTAL(109,AM$15:INDEX(AM:AM,COUNTA($B:$B)+14-COUNTA($B$1:$B$14)))</f>
        <v>28645</v>
      </c>
      <c r="AN4" s="39">
        <f>SUBTOTAL(109,AN$15:INDEX(AN:AN,COUNTA($B:$B)+14-COUNTA($B$1:$B$14)))</f>
        <v>6017</v>
      </c>
      <c r="AO4" s="108">
        <f>SUBTOTAL(109,AO$15:INDEX(AO:AO,COUNTA($B:$B)+14-COUNTA($B$1:$B$14)))</f>
        <v>599318</v>
      </c>
      <c r="AP4" s="186"/>
      <c r="AQ4" s="186">
        <f>IF($AO$4=0,"",$AS$4/$AO$4)</f>
        <v>4.8588562332517963E-3</v>
      </c>
      <c r="AR4" s="186">
        <f>IF($AS$4=0,"",$AU$4/$AS$4)</f>
        <v>0.91861263736263732</v>
      </c>
      <c r="AS4" s="39">
        <f>SUBTOTAL(109,AS$15:INDEX(AS:AS,COUNTA($B:$B)+14-COUNTA($B$1:$B$14)))</f>
        <v>2912</v>
      </c>
      <c r="AT4" s="39">
        <f>SUBTOTAL(109,AT$15:INDEX(AT:AT,COUNTA($B:$B)+14-COUNTA($B$1:$B$14)))</f>
        <v>596406</v>
      </c>
      <c r="AU4" s="100">
        <f>SUBTOTAL(109,AU$15:INDEX(AU:AU,COUNTA($B:$B)+14-COUNTA($B$1:$B$14)))</f>
        <v>2675</v>
      </c>
      <c r="AV4" s="108">
        <f>SUBTOTAL(109,AV$15:INDEX(AV:AV,COUNTA($B:$B)+14-COUNTA($B$1:$B$14)))</f>
        <v>35994</v>
      </c>
      <c r="AW4" s="100">
        <f>SUBTOTAL(109,AW$15:INDEX(AW:AW,COUNTA($B:$B)+14-COUNTA($B$1:$B$14)))</f>
        <v>33457</v>
      </c>
      <c r="AX4" s="38">
        <f>SUBTOTAL(109,AX$15:INDEX(AX:AX,COUNTA($B:$B)+14-COUNTA($B$1:$B$14)))</f>
        <v>6332</v>
      </c>
      <c r="AY4" s="38">
        <f>SUBTOTAL(109,AY$15:INDEX(AY:AY,COUNTA($B:$B)+14-COUNTA($B$1:$B$14)))</f>
        <v>2912</v>
      </c>
      <c r="AZ4" s="38">
        <f>SUBTOTAL(109,AZ$15:INDEX(AZ:AZ,COUNTA($B:$B)+14-COUNTA($B$1:$B$14)))</f>
        <v>194</v>
      </c>
      <c r="BA4" s="38">
        <f>SUBTOTAL(109,BA$15:INDEX(BA:BA,COUNTA($B:$B)+14-COUNTA($B$1:$B$14)))</f>
        <v>24019</v>
      </c>
    </row>
    <row r="5" spans="1:53" ht="0" hidden="1" customHeight="1" x14ac:dyDescent="0.2">
      <c r="A5" t="s">
        <v>285</v>
      </c>
      <c r="B5" s="1" t="s">
        <v>285</v>
      </c>
      <c r="C5" s="1" t="s">
        <v>285</v>
      </c>
      <c r="D5" s="1" t="s">
        <v>285</v>
      </c>
      <c r="E5" s="1" t="s">
        <v>285</v>
      </c>
      <c r="F5" s="104" t="s">
        <v>285</v>
      </c>
      <c r="G5" s="38" t="s">
        <v>285</v>
      </c>
      <c r="H5" s="110" t="s">
        <v>285</v>
      </c>
      <c r="I5" s="38" t="s">
        <v>285</v>
      </c>
      <c r="J5" s="33" t="s">
        <v>285</v>
      </c>
      <c r="K5" s="38" t="s">
        <v>394</v>
      </c>
      <c r="L5" s="38" t="s">
        <v>394</v>
      </c>
      <c r="M5" s="38" t="s">
        <v>394</v>
      </c>
      <c r="N5" s="38" t="s">
        <v>394</v>
      </c>
      <c r="O5" s="38" t="s">
        <v>394</v>
      </c>
      <c r="P5" s="38" t="s">
        <v>394</v>
      </c>
      <c r="Q5" s="38" t="s">
        <v>394</v>
      </c>
      <c r="R5" s="104" t="s">
        <v>393</v>
      </c>
      <c r="S5" s="33" t="s">
        <v>285</v>
      </c>
      <c r="T5" s="2" t="s">
        <v>393</v>
      </c>
      <c r="U5" s="33" t="s">
        <v>285</v>
      </c>
      <c r="V5" s="2" t="s">
        <v>394</v>
      </c>
      <c r="W5" s="36" t="s">
        <v>285</v>
      </c>
      <c r="X5" s="33" t="s">
        <v>285</v>
      </c>
      <c r="Y5" s="33" t="s">
        <v>285</v>
      </c>
      <c r="Z5" s="33" t="s">
        <v>285</v>
      </c>
      <c r="AA5" s="2" t="s">
        <v>285</v>
      </c>
      <c r="AB5" s="188" t="s">
        <v>393</v>
      </c>
      <c r="AC5" s="2" t="s">
        <v>393</v>
      </c>
      <c r="AD5" s="2" t="s">
        <v>393</v>
      </c>
      <c r="AE5" s="107" t="s">
        <v>285</v>
      </c>
      <c r="AF5" s="2" t="s">
        <v>394</v>
      </c>
      <c r="AG5" s="2" t="s">
        <v>394</v>
      </c>
      <c r="AH5" s="2" t="s">
        <v>394</v>
      </c>
      <c r="AI5" s="36" t="s">
        <v>285</v>
      </c>
      <c r="AJ5" s="2" t="s">
        <v>393</v>
      </c>
      <c r="AK5" s="2" t="s">
        <v>393</v>
      </c>
      <c r="AL5" s="107" t="s">
        <v>394</v>
      </c>
      <c r="AM5" s="2" t="s">
        <v>394</v>
      </c>
      <c r="AN5" s="2" t="s">
        <v>394</v>
      </c>
      <c r="AO5" s="104" t="s">
        <v>285</v>
      </c>
      <c r="AP5" s="33" t="s">
        <v>285</v>
      </c>
      <c r="AQ5" s="33" t="s">
        <v>285</v>
      </c>
      <c r="AR5" s="33" t="s">
        <v>285</v>
      </c>
      <c r="AS5" s="2" t="s">
        <v>393</v>
      </c>
      <c r="AT5" s="2" t="s">
        <v>393</v>
      </c>
      <c r="AU5" s="38" t="s">
        <v>285</v>
      </c>
      <c r="AV5" s="104" t="s">
        <v>285</v>
      </c>
      <c r="AW5" s="38" t="s">
        <v>285</v>
      </c>
      <c r="AX5" s="38" t="s">
        <v>285</v>
      </c>
      <c r="AY5" s="38" t="s">
        <v>285</v>
      </c>
      <c r="AZ5" s="38" t="s">
        <v>285</v>
      </c>
      <c r="BA5" s="38" t="s">
        <v>285</v>
      </c>
    </row>
    <row r="6" spans="1:53" ht="0" hidden="1" customHeight="1" x14ac:dyDescent="0.2">
      <c r="A6" t="s">
        <v>287</v>
      </c>
      <c r="B6" s="1" t="s">
        <v>287</v>
      </c>
      <c r="C6" s="1" t="s">
        <v>287</v>
      </c>
      <c r="D6" s="1" t="s">
        <v>287</v>
      </c>
      <c r="E6" s="1" t="s">
        <v>287</v>
      </c>
      <c r="F6" s="104" t="s">
        <v>290</v>
      </c>
      <c r="G6" s="38" t="s">
        <v>290</v>
      </c>
      <c r="H6" s="110" t="s">
        <v>290</v>
      </c>
      <c r="I6" s="38" t="s">
        <v>290</v>
      </c>
      <c r="J6" s="33" t="s">
        <v>290</v>
      </c>
      <c r="K6" s="38" t="s">
        <v>289</v>
      </c>
      <c r="L6" s="38" t="s">
        <v>289</v>
      </c>
      <c r="M6" s="38" t="s">
        <v>289</v>
      </c>
      <c r="N6" s="38" t="s">
        <v>289</v>
      </c>
      <c r="O6" s="38" t="s">
        <v>289</v>
      </c>
      <c r="P6" s="38" t="s">
        <v>289</v>
      </c>
      <c r="Q6" s="38" t="s">
        <v>289</v>
      </c>
      <c r="R6" s="104" t="s">
        <v>288</v>
      </c>
      <c r="S6" s="33" t="s">
        <v>395</v>
      </c>
      <c r="T6" s="2" t="s">
        <v>289</v>
      </c>
      <c r="U6" s="33" t="s">
        <v>395</v>
      </c>
      <c r="V6" s="2" t="s">
        <v>289</v>
      </c>
      <c r="W6" s="36" t="s">
        <v>396</v>
      </c>
      <c r="X6" s="33" t="s">
        <v>395</v>
      </c>
      <c r="Y6" s="33" t="s">
        <v>396</v>
      </c>
      <c r="Z6" s="33" t="s">
        <v>395</v>
      </c>
      <c r="AA6" s="2" t="s">
        <v>290</v>
      </c>
      <c r="AB6" s="188" t="s">
        <v>289</v>
      </c>
      <c r="AC6" s="2" t="s">
        <v>289</v>
      </c>
      <c r="AD6" s="2" t="s">
        <v>289</v>
      </c>
      <c r="AE6" s="107" t="s">
        <v>395</v>
      </c>
      <c r="AF6" s="2" t="s">
        <v>289</v>
      </c>
      <c r="AG6" s="2" t="s">
        <v>289</v>
      </c>
      <c r="AH6" s="2" t="s">
        <v>289</v>
      </c>
      <c r="AI6" s="36" t="s">
        <v>290</v>
      </c>
      <c r="AJ6" s="2" t="s">
        <v>289</v>
      </c>
      <c r="AK6" s="2" t="s">
        <v>289</v>
      </c>
      <c r="AL6" s="107" t="s">
        <v>289</v>
      </c>
      <c r="AM6" s="2" t="s">
        <v>289</v>
      </c>
      <c r="AN6" s="2" t="s">
        <v>289</v>
      </c>
      <c r="AO6" s="104" t="s">
        <v>395</v>
      </c>
      <c r="AP6" s="33" t="s">
        <v>396</v>
      </c>
      <c r="AQ6" s="33" t="s">
        <v>395</v>
      </c>
      <c r="AR6" s="33" t="s">
        <v>290</v>
      </c>
      <c r="AS6" s="2" t="s">
        <v>289</v>
      </c>
      <c r="AT6" s="2" t="s">
        <v>289</v>
      </c>
      <c r="AU6" s="38" t="s">
        <v>290</v>
      </c>
      <c r="AV6" s="104" t="s">
        <v>290</v>
      </c>
      <c r="AW6" s="38" t="s">
        <v>290</v>
      </c>
      <c r="AX6" s="38" t="s">
        <v>290</v>
      </c>
      <c r="AY6" s="38" t="s">
        <v>290</v>
      </c>
      <c r="AZ6" s="38" t="s">
        <v>290</v>
      </c>
      <c r="BA6" s="38" t="s">
        <v>290</v>
      </c>
    </row>
    <row r="7" spans="1:53" ht="0" hidden="1" customHeight="1" x14ac:dyDescent="0.2">
      <c r="A7" t="s">
        <v>291</v>
      </c>
      <c r="B7" s="1" t="s">
        <v>291</v>
      </c>
      <c r="C7" s="1" t="s">
        <v>291</v>
      </c>
      <c r="D7" s="1" t="s">
        <v>291</v>
      </c>
      <c r="E7" s="1" t="s">
        <v>291</v>
      </c>
      <c r="F7" s="104" t="s">
        <v>292</v>
      </c>
      <c r="G7" s="38" t="s">
        <v>292</v>
      </c>
      <c r="H7" s="110" t="s">
        <v>398</v>
      </c>
      <c r="I7" s="38" t="s">
        <v>292</v>
      </c>
      <c r="J7" s="33" t="s">
        <v>398</v>
      </c>
      <c r="K7" s="38" t="s">
        <v>292</v>
      </c>
      <c r="L7" s="38" t="s">
        <v>292</v>
      </c>
      <c r="M7" s="38" t="s">
        <v>292</v>
      </c>
      <c r="N7" s="38" t="s">
        <v>292</v>
      </c>
      <c r="O7" s="38" t="s">
        <v>292</v>
      </c>
      <c r="P7" s="38" t="s">
        <v>292</v>
      </c>
      <c r="Q7" s="38" t="s">
        <v>292</v>
      </c>
      <c r="R7" s="104" t="s">
        <v>292</v>
      </c>
      <c r="S7" s="33" t="s">
        <v>398</v>
      </c>
      <c r="T7" s="2" t="s">
        <v>292</v>
      </c>
      <c r="U7" s="33" t="s">
        <v>398</v>
      </c>
      <c r="V7" s="2" t="s">
        <v>292</v>
      </c>
      <c r="W7" s="36" t="s">
        <v>398</v>
      </c>
      <c r="X7" s="33" t="s">
        <v>398</v>
      </c>
      <c r="Y7" s="33" t="s">
        <v>398</v>
      </c>
      <c r="Z7" s="33" t="s">
        <v>398</v>
      </c>
      <c r="AA7" s="2" t="s">
        <v>292</v>
      </c>
      <c r="AB7" s="188" t="s">
        <v>292</v>
      </c>
      <c r="AC7" s="2" t="s">
        <v>292</v>
      </c>
      <c r="AD7" s="2" t="s">
        <v>292</v>
      </c>
      <c r="AE7" s="107" t="s">
        <v>292</v>
      </c>
      <c r="AF7" s="2" t="s">
        <v>292</v>
      </c>
      <c r="AG7" s="2" t="s">
        <v>292</v>
      </c>
      <c r="AH7" s="2" t="s">
        <v>292</v>
      </c>
      <c r="AI7" s="36" t="s">
        <v>398</v>
      </c>
      <c r="AJ7" s="2" t="s">
        <v>292</v>
      </c>
      <c r="AK7" s="2" t="s">
        <v>292</v>
      </c>
      <c r="AL7" s="107" t="s">
        <v>292</v>
      </c>
      <c r="AM7" s="2" t="s">
        <v>292</v>
      </c>
      <c r="AN7" s="2" t="s">
        <v>292</v>
      </c>
      <c r="AO7" s="104" t="s">
        <v>292</v>
      </c>
      <c r="AP7" s="33" t="s">
        <v>398</v>
      </c>
      <c r="AQ7" s="33" t="s">
        <v>398</v>
      </c>
      <c r="AR7" s="33" t="s">
        <v>398</v>
      </c>
      <c r="AS7" s="2" t="s">
        <v>292</v>
      </c>
      <c r="AT7" s="2" t="s">
        <v>292</v>
      </c>
      <c r="AU7" s="38" t="s">
        <v>292</v>
      </c>
      <c r="AV7" s="104" t="s">
        <v>292</v>
      </c>
      <c r="AW7" s="38" t="s">
        <v>292</v>
      </c>
      <c r="AX7" s="38" t="s">
        <v>292</v>
      </c>
      <c r="AY7" s="38" t="s">
        <v>292</v>
      </c>
      <c r="AZ7" s="38" t="s">
        <v>292</v>
      </c>
      <c r="BA7" s="38" t="s">
        <v>292</v>
      </c>
    </row>
    <row r="8" spans="1:53" ht="0" hidden="1" customHeight="1" x14ac:dyDescent="0.2">
      <c r="F8" s="104"/>
      <c r="G8" s="38"/>
      <c r="H8" s="110"/>
      <c r="I8" s="38"/>
      <c r="J8" s="33"/>
      <c r="K8" s="64" t="s">
        <v>1029</v>
      </c>
      <c r="L8" s="64" t="s">
        <v>1030</v>
      </c>
      <c r="M8" s="64" t="s">
        <v>1030</v>
      </c>
      <c r="N8" s="64" t="s">
        <v>1030</v>
      </c>
      <c r="O8" s="64" t="s">
        <v>1031</v>
      </c>
      <c r="P8" s="64" t="s">
        <v>1032</v>
      </c>
      <c r="Q8" s="64" t="s">
        <v>1032</v>
      </c>
      <c r="R8" s="65" t="s">
        <v>1033</v>
      </c>
      <c r="S8" s="33"/>
      <c r="T8" s="63" t="s">
        <v>1033</v>
      </c>
      <c r="U8" s="33"/>
      <c r="V8" s="63" t="s">
        <v>1029</v>
      </c>
      <c r="AB8" s="185" t="s">
        <v>758</v>
      </c>
      <c r="AC8" s="63" t="s">
        <v>758</v>
      </c>
      <c r="AD8" s="63" t="s">
        <v>758</v>
      </c>
      <c r="AF8" s="63" t="s">
        <v>1030</v>
      </c>
      <c r="AG8" s="63" t="s">
        <v>1030</v>
      </c>
      <c r="AH8" s="63" t="s">
        <v>1030</v>
      </c>
      <c r="AI8" s="36"/>
      <c r="AJ8" s="63" t="s">
        <v>769</v>
      </c>
      <c r="AK8" s="63" t="s">
        <v>769</v>
      </c>
      <c r="AL8" s="66" t="s">
        <v>1031</v>
      </c>
      <c r="AM8" s="63" t="s">
        <v>1032</v>
      </c>
      <c r="AN8" s="63" t="s">
        <v>1032</v>
      </c>
      <c r="AP8" s="33"/>
      <c r="AQ8" s="33"/>
      <c r="AR8" s="33"/>
      <c r="AS8" s="63" t="s">
        <v>759</v>
      </c>
      <c r="AT8" s="63" t="s">
        <v>759</v>
      </c>
    </row>
    <row r="9" spans="1:53" ht="0" hidden="1" customHeight="1" x14ac:dyDescent="0.2">
      <c r="F9" s="104"/>
      <c r="G9" s="38"/>
      <c r="H9" s="110"/>
      <c r="I9" s="38"/>
      <c r="J9" s="33"/>
      <c r="K9" s="64"/>
      <c r="L9" s="64"/>
      <c r="M9" s="64"/>
      <c r="N9" s="64"/>
      <c r="O9" s="64"/>
      <c r="P9" s="64"/>
      <c r="Q9" s="64"/>
      <c r="R9" s="65" t="s">
        <v>1034</v>
      </c>
      <c r="S9" s="33"/>
      <c r="T9" s="63" t="s">
        <v>1034</v>
      </c>
      <c r="U9" s="33"/>
      <c r="V9" s="63"/>
      <c r="AB9" s="185" t="s">
        <v>1035</v>
      </c>
      <c r="AC9" s="63" t="s">
        <v>1035</v>
      </c>
      <c r="AD9" s="63" t="s">
        <v>1035</v>
      </c>
      <c r="AF9" s="63"/>
      <c r="AG9" s="63"/>
      <c r="AH9" s="63"/>
      <c r="AI9" s="36"/>
      <c r="AJ9" s="63" t="s">
        <v>1036</v>
      </c>
      <c r="AK9" s="63" t="s">
        <v>1036</v>
      </c>
      <c r="AL9" s="66"/>
      <c r="AM9" s="63"/>
      <c r="AN9" s="63"/>
      <c r="AP9" s="33"/>
      <c r="AQ9" s="33"/>
      <c r="AR9" s="33"/>
      <c r="AS9" s="63" t="s">
        <v>1037</v>
      </c>
      <c r="AT9" s="63" t="s">
        <v>1037</v>
      </c>
    </row>
    <row r="10" spans="1:53" ht="0" hidden="1" customHeight="1" x14ac:dyDescent="0.2">
      <c r="F10" s="104"/>
      <c r="G10" s="38"/>
      <c r="H10" s="110"/>
      <c r="I10" s="38"/>
      <c r="J10" s="33"/>
      <c r="K10" s="64"/>
      <c r="L10" s="64" t="s">
        <v>789</v>
      </c>
      <c r="M10" s="64" t="s">
        <v>788</v>
      </c>
      <c r="N10" s="64" t="s">
        <v>790</v>
      </c>
      <c r="O10" s="64" t="s">
        <v>422</v>
      </c>
      <c r="P10" s="64" t="s">
        <v>791</v>
      </c>
      <c r="Q10" s="64" t="s">
        <v>792</v>
      </c>
      <c r="R10" s="65"/>
      <c r="S10" s="33"/>
      <c r="T10" s="63"/>
      <c r="U10" s="33"/>
      <c r="V10" s="63"/>
      <c r="AB10" s="185" t="s">
        <v>789</v>
      </c>
      <c r="AC10" s="63" t="s">
        <v>788</v>
      </c>
      <c r="AD10" s="63" t="s">
        <v>790</v>
      </c>
      <c r="AF10" s="63" t="s">
        <v>789</v>
      </c>
      <c r="AG10" s="63" t="s">
        <v>788</v>
      </c>
      <c r="AH10" s="63" t="s">
        <v>790</v>
      </c>
      <c r="AI10" s="36"/>
      <c r="AJ10" s="63" t="s">
        <v>791</v>
      </c>
      <c r="AK10" s="63" t="s">
        <v>792</v>
      </c>
      <c r="AL10" s="66" t="s">
        <v>422</v>
      </c>
      <c r="AM10" s="63" t="s">
        <v>791</v>
      </c>
      <c r="AN10" s="63" t="s">
        <v>792</v>
      </c>
      <c r="AP10" s="33"/>
      <c r="AQ10" s="33"/>
      <c r="AR10" s="33"/>
      <c r="AS10" s="63" t="s">
        <v>422</v>
      </c>
      <c r="AT10" s="63" t="s">
        <v>541</v>
      </c>
    </row>
    <row r="11" spans="1:53" ht="0" hidden="1" customHeight="1" x14ac:dyDescent="0.2">
      <c r="F11" s="104" t="s">
        <v>804</v>
      </c>
      <c r="G11" s="38" t="s">
        <v>804</v>
      </c>
      <c r="H11" s="110" t="s">
        <v>804</v>
      </c>
      <c r="I11" s="38" t="s">
        <v>804</v>
      </c>
      <c r="J11" s="33" t="s">
        <v>804</v>
      </c>
      <c r="K11" s="38" t="s">
        <v>804</v>
      </c>
      <c r="L11" s="38" t="s">
        <v>804</v>
      </c>
      <c r="M11" s="38" t="s">
        <v>804</v>
      </c>
      <c r="N11" s="38" t="s">
        <v>804</v>
      </c>
      <c r="O11" s="38" t="s">
        <v>804</v>
      </c>
      <c r="P11" s="38" t="s">
        <v>804</v>
      </c>
      <c r="Q11" s="38" t="s">
        <v>804</v>
      </c>
      <c r="R11" s="104" t="s">
        <v>804</v>
      </c>
      <c r="S11" s="33" t="s">
        <v>804</v>
      </c>
      <c r="T11" s="2" t="s">
        <v>804</v>
      </c>
      <c r="U11" s="33" t="s">
        <v>804</v>
      </c>
      <c r="V11" s="2" t="s">
        <v>804</v>
      </c>
      <c r="W11" s="36" t="s">
        <v>804</v>
      </c>
      <c r="X11" s="33" t="s">
        <v>804</v>
      </c>
      <c r="Y11" s="33" t="s">
        <v>804</v>
      </c>
      <c r="Z11" s="33" t="s">
        <v>804</v>
      </c>
      <c r="AA11" s="2" t="s">
        <v>804</v>
      </c>
      <c r="AB11" s="188" t="s">
        <v>804</v>
      </c>
      <c r="AC11" s="2" t="s">
        <v>804</v>
      </c>
      <c r="AD11" s="2" t="s">
        <v>804</v>
      </c>
      <c r="AE11" s="107" t="s">
        <v>804</v>
      </c>
      <c r="AF11" s="2" t="s">
        <v>804</v>
      </c>
      <c r="AG11" s="2" t="s">
        <v>804</v>
      </c>
      <c r="AH11" s="2" t="s">
        <v>804</v>
      </c>
      <c r="AI11" s="36" t="s">
        <v>804</v>
      </c>
      <c r="AJ11" s="2" t="s">
        <v>804</v>
      </c>
      <c r="AK11" s="2" t="s">
        <v>804</v>
      </c>
      <c r="AL11" s="107" t="s">
        <v>804</v>
      </c>
      <c r="AM11" s="2" t="s">
        <v>804</v>
      </c>
      <c r="AN11" s="2" t="s">
        <v>804</v>
      </c>
      <c r="AO11" s="104" t="s">
        <v>804</v>
      </c>
      <c r="AP11" s="33" t="s">
        <v>804</v>
      </c>
      <c r="AQ11" s="33" t="s">
        <v>804</v>
      </c>
      <c r="AR11" s="33" t="s">
        <v>804</v>
      </c>
      <c r="AS11" s="2" t="s">
        <v>804</v>
      </c>
      <c r="AT11" s="2" t="s">
        <v>804</v>
      </c>
      <c r="AU11" s="38" t="s">
        <v>804</v>
      </c>
      <c r="AV11" s="104" t="s">
        <v>804</v>
      </c>
      <c r="AW11" s="38" t="s">
        <v>804</v>
      </c>
      <c r="AX11" s="38" t="s">
        <v>804</v>
      </c>
      <c r="AY11" s="38" t="s">
        <v>804</v>
      </c>
      <c r="AZ11" s="38" t="s">
        <v>804</v>
      </c>
      <c r="BA11" s="38" t="s">
        <v>804</v>
      </c>
    </row>
    <row r="12" spans="1:53" ht="0" hidden="1" customHeight="1" x14ac:dyDescent="0.2">
      <c r="F12" s="104" t="s">
        <v>813</v>
      </c>
      <c r="G12" s="38" t="s">
        <v>813</v>
      </c>
      <c r="H12" s="110" t="s">
        <v>813</v>
      </c>
      <c r="I12" s="38" t="s">
        <v>813</v>
      </c>
      <c r="J12" s="33" t="s">
        <v>813</v>
      </c>
      <c r="K12" s="38" t="s">
        <v>813</v>
      </c>
      <c r="L12" s="38" t="s">
        <v>813</v>
      </c>
      <c r="M12" s="38" t="s">
        <v>813</v>
      </c>
      <c r="N12" s="38" t="s">
        <v>813</v>
      </c>
      <c r="O12" s="38" t="s">
        <v>813</v>
      </c>
      <c r="P12" s="38" t="s">
        <v>813</v>
      </c>
      <c r="Q12" s="38" t="s">
        <v>813</v>
      </c>
      <c r="R12" s="104" t="s">
        <v>813</v>
      </c>
      <c r="S12" s="33" t="s">
        <v>813</v>
      </c>
      <c r="T12" s="2" t="s">
        <v>813</v>
      </c>
      <c r="U12" s="33" t="s">
        <v>813</v>
      </c>
      <c r="V12" s="2" t="s">
        <v>813</v>
      </c>
      <c r="W12" s="36" t="s">
        <v>813</v>
      </c>
      <c r="X12" s="33" t="s">
        <v>813</v>
      </c>
      <c r="Y12" s="33" t="s">
        <v>813</v>
      </c>
      <c r="Z12" s="33" t="s">
        <v>813</v>
      </c>
      <c r="AA12" s="2" t="s">
        <v>813</v>
      </c>
      <c r="AB12" s="188" t="s">
        <v>813</v>
      </c>
      <c r="AC12" s="2" t="s">
        <v>813</v>
      </c>
      <c r="AD12" s="2" t="s">
        <v>813</v>
      </c>
      <c r="AE12" s="107" t="s">
        <v>813</v>
      </c>
      <c r="AF12" s="2" t="s">
        <v>813</v>
      </c>
      <c r="AG12" s="2" t="s">
        <v>813</v>
      </c>
      <c r="AH12" s="2" t="s">
        <v>813</v>
      </c>
      <c r="AI12" s="36" t="s">
        <v>813</v>
      </c>
      <c r="AJ12" s="2" t="s">
        <v>813</v>
      </c>
      <c r="AK12" s="2" t="s">
        <v>813</v>
      </c>
      <c r="AL12" s="107" t="s">
        <v>813</v>
      </c>
      <c r="AM12" s="2" t="s">
        <v>813</v>
      </c>
      <c r="AN12" s="2" t="s">
        <v>813</v>
      </c>
      <c r="AO12" s="104" t="s">
        <v>813</v>
      </c>
      <c r="AP12" s="33" t="s">
        <v>813</v>
      </c>
      <c r="AQ12" s="33" t="s">
        <v>813</v>
      </c>
      <c r="AR12" s="33" t="s">
        <v>813</v>
      </c>
      <c r="AS12" s="2" t="s">
        <v>813</v>
      </c>
      <c r="AT12" s="2" t="s">
        <v>813</v>
      </c>
      <c r="AU12" s="38" t="s">
        <v>813</v>
      </c>
      <c r="AV12" s="104" t="s">
        <v>813</v>
      </c>
      <c r="AW12" s="38" t="s">
        <v>813</v>
      </c>
      <c r="AX12" s="38" t="s">
        <v>813</v>
      </c>
      <c r="AY12" s="38" t="s">
        <v>813</v>
      </c>
      <c r="AZ12" s="38" t="s">
        <v>813</v>
      </c>
      <c r="BA12" s="38" t="s">
        <v>813</v>
      </c>
    </row>
    <row r="13" spans="1:53" ht="0" hidden="1" customHeight="1" x14ac:dyDescent="0.2">
      <c r="F13" s="104"/>
      <c r="G13" s="38"/>
      <c r="H13" s="110"/>
      <c r="I13" s="38"/>
      <c r="J13" s="33"/>
      <c r="K13" s="38"/>
      <c r="L13" s="38"/>
      <c r="M13" s="38"/>
      <c r="N13" s="38"/>
      <c r="O13" s="38"/>
      <c r="P13" s="38"/>
      <c r="Q13" s="38"/>
      <c r="R13" s="104"/>
      <c r="T13" s="2"/>
      <c r="V13" s="2"/>
      <c r="AI13" s="36"/>
      <c r="AP13" s="33"/>
      <c r="AQ13" s="33"/>
      <c r="AR13" s="33"/>
    </row>
    <row r="14" spans="1:53" x14ac:dyDescent="0.2">
      <c r="A14" s="131" t="s">
        <v>280</v>
      </c>
      <c r="B14" s="15" t="s">
        <v>294</v>
      </c>
      <c r="C14" s="15" t="s">
        <v>428</v>
      </c>
      <c r="D14" s="15" t="s">
        <v>429</v>
      </c>
      <c r="E14" s="15" t="s">
        <v>20</v>
      </c>
      <c r="F14" s="55" t="s">
        <v>138</v>
      </c>
      <c r="G14" s="18" t="s">
        <v>1038</v>
      </c>
      <c r="H14" s="54" t="s">
        <v>141</v>
      </c>
      <c r="I14" s="18" t="s">
        <v>146</v>
      </c>
      <c r="J14" s="48" t="s">
        <v>145</v>
      </c>
      <c r="K14" s="18" t="s">
        <v>204</v>
      </c>
      <c r="L14" s="18" t="s">
        <v>211</v>
      </c>
      <c r="M14" s="18" t="s">
        <v>213</v>
      </c>
      <c r="N14" s="18" t="s">
        <v>214</v>
      </c>
      <c r="O14" s="18" t="s">
        <v>206</v>
      </c>
      <c r="P14" s="18" t="s">
        <v>208</v>
      </c>
      <c r="Q14" s="18" t="s">
        <v>210</v>
      </c>
      <c r="R14" s="55" t="s">
        <v>1039</v>
      </c>
      <c r="S14" s="48" t="s">
        <v>1040</v>
      </c>
      <c r="T14" s="18" t="s">
        <v>1041</v>
      </c>
      <c r="U14" s="48" t="s">
        <v>1042</v>
      </c>
      <c r="V14" s="18" t="s">
        <v>1043</v>
      </c>
      <c r="W14" s="56" t="s">
        <v>1044</v>
      </c>
      <c r="X14" s="48" t="s">
        <v>1045</v>
      </c>
      <c r="Y14" s="48" t="s">
        <v>1046</v>
      </c>
      <c r="Z14" s="48" t="s">
        <v>1047</v>
      </c>
      <c r="AA14" s="49" t="s">
        <v>867</v>
      </c>
      <c r="AB14" s="18" t="s">
        <v>864</v>
      </c>
      <c r="AC14" s="49" t="s">
        <v>865</v>
      </c>
      <c r="AD14" s="18" t="s">
        <v>866</v>
      </c>
      <c r="AE14" s="55" t="s">
        <v>1048</v>
      </c>
      <c r="AF14" s="18" t="s">
        <v>1049</v>
      </c>
      <c r="AG14" s="18" t="s">
        <v>1050</v>
      </c>
      <c r="AH14" s="18" t="s">
        <v>1051</v>
      </c>
      <c r="AI14" s="56" t="s">
        <v>1052</v>
      </c>
      <c r="AJ14" s="18" t="s">
        <v>873</v>
      </c>
      <c r="AK14" s="18" t="s">
        <v>874</v>
      </c>
      <c r="AL14" s="55" t="s">
        <v>1053</v>
      </c>
      <c r="AM14" s="18" t="s">
        <v>1054</v>
      </c>
      <c r="AN14" s="18" t="s">
        <v>1055</v>
      </c>
      <c r="AO14" s="55" t="s">
        <v>1056</v>
      </c>
      <c r="AP14" s="48" t="s">
        <v>1057</v>
      </c>
      <c r="AQ14" s="48" t="s">
        <v>1058</v>
      </c>
      <c r="AR14" s="48" t="s">
        <v>1059</v>
      </c>
      <c r="AS14" s="49" t="s">
        <v>1060</v>
      </c>
      <c r="AT14" s="49" t="s">
        <v>1061</v>
      </c>
      <c r="AU14" s="18" t="s">
        <v>1062</v>
      </c>
      <c r="AV14" s="55" t="s">
        <v>1063</v>
      </c>
      <c r="AW14" s="18" t="s">
        <v>1064</v>
      </c>
      <c r="AX14" s="18" t="s">
        <v>1065</v>
      </c>
      <c r="AY14" s="18" t="s">
        <v>1066</v>
      </c>
      <c r="AZ14" s="18" t="s">
        <v>1067</v>
      </c>
      <c r="BA14" s="18" t="s">
        <v>1068</v>
      </c>
    </row>
    <row r="15" spans="1:53" x14ac:dyDescent="0.2">
      <c r="A15" t="str">
        <f>INDEX(Prioritization!$D:$D,MATCH($B15,Prioritization!$A:$A,0))</f>
        <v>Military</v>
      </c>
      <c r="B15" t="s">
        <v>326</v>
      </c>
      <c r="C15" t="s">
        <v>474</v>
      </c>
      <c r="D15" t="s">
        <v>30</v>
      </c>
      <c r="E15" t="str">
        <f t="shared" ref="E15:E46" si="0">B15&amp;"|"&amp;C15&amp;"|"&amp;D15</f>
        <v>_Military Malawi [PQZgU9dagaH]|10-14|Female</v>
      </c>
      <c r="F15" s="104" t="str">
        <f>IF(LEFT($B15,4)="_Mil","",INDEX(Cascade!$T:$T,MATCH($E15,Cascade!$E:$E,0)))</f>
        <v/>
      </c>
      <c r="G15" s="38" t="str">
        <f>IF(LEFT($B15,4)="_Mil","",INDEX(Cascade!$U:$U,MATCH($E15,Cascade!$E:$E,0)))</f>
        <v/>
      </c>
      <c r="H15" s="110" t="str">
        <f>IF(LEFT($B15,4)="_Mil","",INDEX(Cascade!$W:$W,MATCH($E15,Cascade!$E:$E,0)))</f>
        <v/>
      </c>
      <c r="I15" s="38" t="str">
        <f>IF(LEFT($B15,4)="_Mil","",INDEX(Cascade!$Z:$Z,MATCH($E15,Cascade!$E:$E,0)))</f>
        <v/>
      </c>
      <c r="J15" s="33" t="str">
        <f>IF(LEFT($B15,4)="_Mil","",INDEX(Cascade!$AA:$AA,MATCH($E15,Cascade!$E:$E,0)))</f>
        <v/>
      </c>
      <c r="K15" s="218" t="str">
        <f>IF(LEFT($B15,4)="_Mil","",_xlfn.IFNA(ROUND(INDEX(Spectrum!$N:$N,MATCH(RIGHT($B15,13)&amp;"|"&amp;$C15&amp;"|"&amp;$D15&amp;"|"&amp;K$14&amp;"|"&amp;"CY2024Q3",Spectrum!$R:$R,0)),0),""))</f>
        <v/>
      </c>
      <c r="L15" s="218" t="str">
        <f>IF(LEFT($B15,4)="_Mil","",_xlfn.IFNA(ROUND(INDEX(Spectrum!$N:$N,MATCH(RIGHT($B15,13)&amp;"|"&amp;$C15&amp;"|"&amp;$D15&amp;"|"&amp;L$14&amp;"|"&amp;"CY2024Q3",Spectrum!$R:$R,0)),0),""))</f>
        <v/>
      </c>
      <c r="M15" s="218" t="str">
        <f>IF(LEFT($B15,4)="_Mil","",_xlfn.IFNA(ROUND(INDEX(Spectrum!$N:$N,MATCH(RIGHT($B15,13)&amp;"|"&amp;$C15&amp;"|"&amp;$D15&amp;"|"&amp;M$14&amp;"|"&amp;"CY2024Q3",Spectrum!$R:$R,0)),0),""))</f>
        <v/>
      </c>
      <c r="N15" s="218" t="str">
        <f>IF(LEFT($B15,4)="_Mil","",_xlfn.IFNA(ROUND(INDEX(Spectrum!$N:$N,MATCH(RIGHT($B15,13)&amp;"|"&amp;$C15&amp;"|"&amp;$D15&amp;"|"&amp;N$14&amp;"|"&amp;"CY2024Q3",Spectrum!$R:$R,0)),0),""))</f>
        <v/>
      </c>
      <c r="O15" s="218" t="str">
        <f>IF(LEFT($B15,4)="_Mil","",_xlfn.IFNA(ROUND(INDEX(Spectrum!$N:$N,MATCH(RIGHT($B15,13)&amp;"|"&amp;$C15&amp;"|"&amp;$D15&amp;"|"&amp;O$14&amp;"|"&amp;"CY2024Q3",Spectrum!$R:$R,0)),0),""))</f>
        <v/>
      </c>
      <c r="P15" s="218" t="str">
        <f>IF(LEFT($B15,4)="_Mil","",_xlfn.IFNA(ROUND(INDEX(Spectrum!$N:$N,MATCH(RIGHT($B15,13)&amp;"|"&amp;$C15&amp;"|"&amp;$D15&amp;"|"&amp;P$14&amp;"|"&amp;"CY2024Q3",Spectrum!$R:$R,0)),0),""))</f>
        <v/>
      </c>
      <c r="Q15" s="218" t="str">
        <f>IF(LEFT($B15,4)="_Mil","",_xlfn.IFNA(ROUND(INDEX(Spectrum!$N:$N,MATCH(RIGHT($B15,13)&amp;"|"&amp;$C15&amp;"|"&amp;$D15&amp;"|"&amp;Q$14&amp;"|"&amp;"CY2024Q3",Spectrum!$R:$R,0)),0),""))</f>
        <v/>
      </c>
      <c r="R15" s="38">
        <v>3</v>
      </c>
      <c r="S15" s="33">
        <v>0</v>
      </c>
      <c r="T15" s="218">
        <v>8</v>
      </c>
      <c r="U15" s="33" t="str">
        <f t="shared" ref="U15:U46" si="1">IF(LEFT($B15,4)="_Mil","",IF(SUM($K15)=0,IF(SUM($R15)=0,"",1),MIN($R15/$K15,1)))</f>
        <v/>
      </c>
      <c r="V15" s="218" t="str">
        <f t="shared" ref="V15:V46" si="2">IF(OR(SUM($T15)=0,LEFT($B15,4)="_Mil"),"",ROUND($T15/$U15,0))</f>
        <v/>
      </c>
      <c r="W15" s="33">
        <v>2.5999999999999999E-2</v>
      </c>
      <c r="X15" s="33">
        <v>0.01</v>
      </c>
      <c r="Y15" s="231">
        <v>8.0000000000000002E-3</v>
      </c>
      <c r="Z15" s="33">
        <f t="shared" ref="Z15:Z46" si="3">IF(SUM($K15,$Y15)=0,"",MIN(SUM($Y15),IFERROR(SUM($M15)/(SUM($K15)-SUM($L15)),1)))</f>
        <v>8.0000000000000002E-3</v>
      </c>
      <c r="AA15" s="38">
        <f t="shared" ref="AA15:AA46" si="4">$T15</f>
        <v>8</v>
      </c>
      <c r="AB15" s="218">
        <f t="shared" ref="AB15:AB46" si="5">IF(SUM($AA15)=0,"",IF(AND(SUM($AA15)&gt;0,$X15=""),"ENTER KNOWN POSITIVITY RATE",ROUND($AA15*$X15,0)))</f>
        <v>0</v>
      </c>
      <c r="AC15" s="218">
        <f t="shared" ref="AC15:AC46" si="6">IF(SUM($AA15)=0,"",IF(AND((SUM($AA15)-SUM($AB15))&gt;0,$Z15=""),"ENTER YIELD RATE",ROUND(($AA15-SUM($AB15))*$Z15,0)))</f>
        <v>0</v>
      </c>
      <c r="AD15" s="218">
        <f t="shared" ref="AD15:AD46" si="7">IF(SUM($AA15)=0,"",$AA15-SUM($AB15)-SUM($AC15))</f>
        <v>8</v>
      </c>
      <c r="AE15" s="104" t="str">
        <f t="shared" ref="AE15:AE46" si="8">$V15</f>
        <v/>
      </c>
      <c r="AF15" s="218" t="str">
        <f t="shared" ref="AF15:AF46" si="9">IF(SUM($AE15)=0,"",ROUND($AE15*SUM($X15),0))</f>
        <v/>
      </c>
      <c r="AG15" s="218" t="str">
        <f t="shared" ref="AG15:AG46" si="10">IF(SUM($AE15)=0,"",ROUND(($AE15-SUM($AF15))*SUM($Z15),0))</f>
        <v/>
      </c>
      <c r="AH15" s="218" t="str">
        <f t="shared" ref="AH15:AH46" si="11">IF(SUM($AE15)=0,"",$AE15-SUM($AF15)-SUM($AG15))</f>
        <v/>
      </c>
      <c r="AI15" s="36">
        <v>0.95</v>
      </c>
      <c r="AJ15" s="218">
        <f t="shared" ref="AJ15:AJ46" si="12">$AB15</f>
        <v>0</v>
      </c>
      <c r="AK15" s="218" t="str">
        <f t="shared" ref="AK15:AK46" si="13">IF(SUM($AC15)=0,"",IF(AND($AI15="",SUM($AC15)&gt;0),"&lt;- Enter Linkage Rate",ROUND($AC15*$AI15,0)))</f>
        <v/>
      </c>
      <c r="AL15" s="221" t="str">
        <f t="shared" ref="AL15:AL46" si="14">IF(SUM($AF15,$AG15)=0,"",SUM($AF15,$AG15))</f>
        <v/>
      </c>
      <c r="AM15" s="218" t="str">
        <f t="shared" ref="AM15:AM46" si="15">$AF15</f>
        <v/>
      </c>
      <c r="AN15" s="218" t="str">
        <f t="shared" ref="AN15:AN46" si="16">IF(SUM($AG15)=0,"",ROUND($AG15*SUM($AI15),0))</f>
        <v/>
      </c>
      <c r="AO15" s="104">
        <f t="shared" ref="AO15:AO46" si="17">IFERROR(1/(1/MAX(SUM($T15)-SUM($AB15,$AC15),$AD15)),"")</f>
        <v>8</v>
      </c>
      <c r="AP15" s="33">
        <v>1.6E-2</v>
      </c>
      <c r="AQ15" s="33">
        <v>0</v>
      </c>
      <c r="AR15" s="33">
        <f>IF(SUM($AO15)=0,"",INDEX(Cascade!$BG:$BG,MATCH($E15,Cascade!$E:$E,0)))</f>
        <v>0.95</v>
      </c>
      <c r="AS15" s="218">
        <f t="shared" ref="AS15:AS46" si="18">IF(SUM($AO15)=0,"",IF(AND(SUM($AO15)&gt;0,$AQ15=""),"ENTER YIELD RATE",ROUND($AO15*$AQ15,0)))</f>
        <v>0</v>
      </c>
      <c r="AT15" s="218">
        <f t="shared" ref="AT15:AT46" si="19">IF(SUM($AO15)=0,"",$AO15-SUM($AS15))</f>
        <v>8</v>
      </c>
      <c r="AU15" s="38" t="str">
        <f t="shared" ref="AU15:AU46" si="20">IF(SUM($AS15)=0,"",ROUND($AS15*$AR15,0))</f>
        <v/>
      </c>
      <c r="AV15" s="104" t="str">
        <f t="shared" ref="AV15:AV46" si="21">IFERROR(1/(1/SUM($AC15,$AB15,$AS15)),"")</f>
        <v/>
      </c>
      <c r="AW15" s="38">
        <f>IFERROR(1/(1/INDEX(Cascade!$BH:$BH,MATCH($E15,Cascade!$E:$E,0))),"")</f>
        <v>5</v>
      </c>
      <c r="AX15" s="38" t="str">
        <f t="shared" ref="AX15:AX46" si="22">IF(SUM($AC15)=0,"",$AC15)</f>
        <v/>
      </c>
      <c r="AY15" s="38" t="str">
        <f t="shared" ref="AY15:AY46" si="23">IF(SUM($AS15)=0,"",$AS15)</f>
        <v/>
      </c>
      <c r="AZ15" s="38" t="str">
        <f>IFERROR(1/(1/INDEX(TB!$P:$P,MATCH($E15,TB!$E:$E,0))),"")</f>
        <v/>
      </c>
      <c r="BA15" s="38">
        <f t="shared" ref="BA15:BA46" si="24">IFERROR(1/(1/(SUM($AW15)-SUM($AX15:$AZ15))),"")</f>
        <v>5</v>
      </c>
    </row>
    <row r="16" spans="1:53" x14ac:dyDescent="0.2">
      <c r="A16" t="str">
        <f>INDEX(Prioritization!$D:$D,MATCH($B16,Prioritization!$A:$A,0))</f>
        <v>Military</v>
      </c>
      <c r="B16" t="s">
        <v>326</v>
      </c>
      <c r="C16" t="s">
        <v>475</v>
      </c>
      <c r="D16" t="s">
        <v>30</v>
      </c>
      <c r="E16" t="str">
        <f t="shared" si="0"/>
        <v>_Military Malawi [PQZgU9dagaH]|15-24|Female</v>
      </c>
      <c r="F16" s="38" t="str">
        <f>IF(LEFT($B16,4)="_Mil","",INDEX(Cascade!$T:$T,MATCH($E16,Cascade!$E:$E,0)))</f>
        <v/>
      </c>
      <c r="G16" s="38" t="str">
        <f>IF(LEFT($B16,4)="_Mil","",INDEX(Cascade!$U:$U,MATCH($E16,Cascade!$E:$E,0)))</f>
        <v/>
      </c>
      <c r="H16" s="110" t="str">
        <f>IF(LEFT($B16,4)="_Mil","",INDEX(Cascade!$W:$W,MATCH($E16,Cascade!$E:$E,0)))</f>
        <v/>
      </c>
      <c r="I16" s="38" t="str">
        <f>IF(LEFT($B16,4)="_Mil","",INDEX(Cascade!$Z:$Z,MATCH($E16,Cascade!$E:$E,0)))</f>
        <v/>
      </c>
      <c r="J16" s="33" t="str">
        <f>IF(LEFT($B16,4)="_Mil","",INDEX(Cascade!$AA:$AA,MATCH($E16,Cascade!$E:$E,0)))</f>
        <v/>
      </c>
      <c r="K16" s="218" t="str">
        <f>IF(LEFT($B16,4)="_Mil","",_xlfn.IFNA(ROUND(INDEX(Spectrum!$N:$N,MATCH(RIGHT($B16,13)&amp;"|"&amp;$C16&amp;"|"&amp;$D16&amp;"|"&amp;K$14&amp;"|"&amp;"CY2024Q3",Spectrum!$R:$R,0)),0),""))</f>
        <v/>
      </c>
      <c r="L16" s="218" t="str">
        <f>IF(LEFT($B16,4)="_Mil","",_xlfn.IFNA(ROUND(INDEX(Spectrum!$N:$N,MATCH(RIGHT($B16,13)&amp;"|"&amp;$C16&amp;"|"&amp;$D16&amp;"|"&amp;L$14&amp;"|"&amp;"CY2024Q3",Spectrum!$R:$R,0)),0),""))</f>
        <v/>
      </c>
      <c r="M16" s="218" t="str">
        <f>IF(LEFT($B16,4)="_Mil","",_xlfn.IFNA(ROUND(INDEX(Spectrum!$N:$N,MATCH(RIGHT($B16,13)&amp;"|"&amp;$C16&amp;"|"&amp;$D16&amp;"|"&amp;M$14&amp;"|"&amp;"CY2024Q3",Spectrum!$R:$R,0)),0),""))</f>
        <v/>
      </c>
      <c r="N16" s="218" t="str">
        <f>IF(LEFT($B16,4)="_Mil","",_xlfn.IFNA(ROUND(INDEX(Spectrum!$N:$N,MATCH(RIGHT($B16,13)&amp;"|"&amp;$C16&amp;"|"&amp;$D16&amp;"|"&amp;N$14&amp;"|"&amp;"CY2024Q3",Spectrum!$R:$R,0)),0),""))</f>
        <v/>
      </c>
      <c r="O16" s="218" t="str">
        <f>IF(LEFT($B16,4)="_Mil","",_xlfn.IFNA(ROUND(INDEX(Spectrum!$N:$N,MATCH(RIGHT($B16,13)&amp;"|"&amp;$C16&amp;"|"&amp;$D16&amp;"|"&amp;O$14&amp;"|"&amp;"CY2024Q3",Spectrum!$R:$R,0)),0),""))</f>
        <v/>
      </c>
      <c r="P16" s="218" t="str">
        <f>IF(LEFT($B16,4)="_Mil","",_xlfn.IFNA(ROUND(INDEX(Spectrum!$N:$N,MATCH(RIGHT($B16,13)&amp;"|"&amp;$C16&amp;"|"&amp;$D16&amp;"|"&amp;P$14&amp;"|"&amp;"CY2024Q3",Spectrum!$R:$R,0)),0),""))</f>
        <v/>
      </c>
      <c r="Q16" s="218" t="str">
        <f>IF(LEFT($B16,4)="_Mil","",_xlfn.IFNA(ROUND(INDEX(Spectrum!$N:$N,MATCH(RIGHT($B16,13)&amp;"|"&amp;$C16&amp;"|"&amp;$D16&amp;"|"&amp;Q$14&amp;"|"&amp;"CY2024Q3",Spectrum!$R:$R,0)),0),""))</f>
        <v/>
      </c>
      <c r="R16" s="38">
        <v>104</v>
      </c>
      <c r="S16" s="33">
        <v>3.25</v>
      </c>
      <c r="T16" s="218">
        <v>402</v>
      </c>
      <c r="U16" s="33" t="str">
        <f t="shared" si="1"/>
        <v/>
      </c>
      <c r="V16" s="218" t="str">
        <f t="shared" si="2"/>
        <v/>
      </c>
      <c r="W16" s="33">
        <v>2.5999999999999999E-2</v>
      </c>
      <c r="X16" s="33">
        <v>0.01</v>
      </c>
      <c r="Y16" s="231">
        <v>8.9999999999999993E-3</v>
      </c>
      <c r="Z16" s="33">
        <f t="shared" si="3"/>
        <v>8.9999999999999993E-3</v>
      </c>
      <c r="AA16" s="38">
        <f t="shared" si="4"/>
        <v>402</v>
      </c>
      <c r="AB16" s="218">
        <f t="shared" si="5"/>
        <v>4</v>
      </c>
      <c r="AC16" s="218">
        <f t="shared" si="6"/>
        <v>4</v>
      </c>
      <c r="AD16" s="218">
        <f t="shared" si="7"/>
        <v>394</v>
      </c>
      <c r="AE16" s="38" t="str">
        <f t="shared" si="8"/>
        <v/>
      </c>
      <c r="AF16" s="218" t="str">
        <f t="shared" si="9"/>
        <v/>
      </c>
      <c r="AG16" s="218" t="str">
        <f t="shared" si="10"/>
        <v/>
      </c>
      <c r="AH16" s="218" t="str">
        <f t="shared" si="11"/>
        <v/>
      </c>
      <c r="AI16" s="33">
        <f>IF(SUM($AC16)=0,"",INDEX(Cascade!$BG:$BG,MATCH($E16,Cascade!$E:$E,0)))</f>
        <v>0.95</v>
      </c>
      <c r="AJ16" s="218">
        <f t="shared" si="12"/>
        <v>4</v>
      </c>
      <c r="AK16" s="218">
        <f t="shared" si="13"/>
        <v>4</v>
      </c>
      <c r="AL16" s="218" t="str">
        <f t="shared" si="14"/>
        <v/>
      </c>
      <c r="AM16" s="218" t="str">
        <f t="shared" si="15"/>
        <v/>
      </c>
      <c r="AN16" s="218" t="str">
        <f t="shared" si="16"/>
        <v/>
      </c>
      <c r="AO16" s="38">
        <f t="shared" si="17"/>
        <v>394.00000000000006</v>
      </c>
      <c r="AP16" s="33">
        <v>1.6E-2</v>
      </c>
      <c r="AQ16" s="33">
        <v>0</v>
      </c>
      <c r="AR16" s="33">
        <f>IF(SUM($AO16)=0,"",INDEX(Cascade!$BG:$BG,MATCH($E16,Cascade!$E:$E,0)))</f>
        <v>0.95</v>
      </c>
      <c r="AS16" s="218">
        <f t="shared" si="18"/>
        <v>0</v>
      </c>
      <c r="AT16" s="218">
        <f t="shared" si="19"/>
        <v>394.00000000000006</v>
      </c>
      <c r="AU16" s="38" t="str">
        <f t="shared" si="20"/>
        <v/>
      </c>
      <c r="AV16" s="38">
        <f t="shared" si="21"/>
        <v>8</v>
      </c>
      <c r="AW16" s="38">
        <f>IFERROR(1/(1/INDEX(Cascade!$BH:$BH,MATCH($E16,Cascade!$E:$E,0))),"")</f>
        <v>37</v>
      </c>
      <c r="AX16" s="38">
        <f t="shared" si="22"/>
        <v>4</v>
      </c>
      <c r="AY16" s="38" t="str">
        <f t="shared" si="23"/>
        <v/>
      </c>
      <c r="AZ16" s="38" t="str">
        <f>IFERROR(1/(1/INDEX(TB!$P:$P,MATCH($E16,TB!$E:$E,0))),"")</f>
        <v/>
      </c>
      <c r="BA16" s="38">
        <f t="shared" si="24"/>
        <v>33</v>
      </c>
    </row>
    <row r="17" spans="1:53" x14ac:dyDescent="0.2">
      <c r="A17" t="str">
        <f>INDEX(Prioritization!$D:$D,MATCH($B17,Prioritization!$A:$A,0))</f>
        <v>Military</v>
      </c>
      <c r="B17" t="s">
        <v>326</v>
      </c>
      <c r="C17" t="s">
        <v>476</v>
      </c>
      <c r="D17" t="s">
        <v>30</v>
      </c>
      <c r="E17" t="str">
        <f t="shared" si="0"/>
        <v>_Military Malawi [PQZgU9dagaH]|25-34|Female</v>
      </c>
      <c r="F17" s="38" t="str">
        <f>IF(LEFT($B17,4)="_Mil","",INDEX(Cascade!$T:$T,MATCH($E17,Cascade!$E:$E,0)))</f>
        <v/>
      </c>
      <c r="G17" s="38" t="str">
        <f>IF(LEFT($B17,4)="_Mil","",INDEX(Cascade!$U:$U,MATCH($E17,Cascade!$E:$E,0)))</f>
        <v/>
      </c>
      <c r="H17" s="110" t="str">
        <f>IF(LEFT($B17,4)="_Mil","",INDEX(Cascade!$W:$W,MATCH($E17,Cascade!$E:$E,0)))</f>
        <v/>
      </c>
      <c r="I17" s="38" t="str">
        <f>IF(LEFT($B17,4)="_Mil","",INDEX(Cascade!$Z:$Z,MATCH($E17,Cascade!$E:$E,0)))</f>
        <v/>
      </c>
      <c r="J17" s="33" t="str">
        <f>IF(LEFT($B17,4)="_Mil","",INDEX(Cascade!$AA:$AA,MATCH($E17,Cascade!$E:$E,0)))</f>
        <v/>
      </c>
      <c r="K17" s="218" t="str">
        <f>IF(LEFT($B17,4)="_Mil","",_xlfn.IFNA(ROUND(INDEX(Spectrum!$N:$N,MATCH(RIGHT($B17,13)&amp;"|"&amp;$C17&amp;"|"&amp;$D17&amp;"|"&amp;K$14&amp;"|"&amp;"CY2024Q3",Spectrum!$R:$R,0)),0),""))</f>
        <v/>
      </c>
      <c r="L17" s="218" t="str">
        <f>IF(LEFT($B17,4)="_Mil","",_xlfn.IFNA(ROUND(INDEX(Spectrum!$N:$N,MATCH(RIGHT($B17,13)&amp;"|"&amp;$C17&amp;"|"&amp;$D17&amp;"|"&amp;L$14&amp;"|"&amp;"CY2024Q3",Spectrum!$R:$R,0)),0),""))</f>
        <v/>
      </c>
      <c r="M17" s="218" t="str">
        <f>IF(LEFT($B17,4)="_Mil","",_xlfn.IFNA(ROUND(INDEX(Spectrum!$N:$N,MATCH(RIGHT($B17,13)&amp;"|"&amp;$C17&amp;"|"&amp;$D17&amp;"|"&amp;M$14&amp;"|"&amp;"CY2024Q3",Spectrum!$R:$R,0)),0),""))</f>
        <v/>
      </c>
      <c r="N17" s="218" t="str">
        <f>IF(LEFT($B17,4)="_Mil","",_xlfn.IFNA(ROUND(INDEX(Spectrum!$N:$N,MATCH(RIGHT($B17,13)&amp;"|"&amp;$C17&amp;"|"&amp;$D17&amp;"|"&amp;N$14&amp;"|"&amp;"CY2024Q3",Spectrum!$R:$R,0)),0),""))</f>
        <v/>
      </c>
      <c r="O17" s="218" t="str">
        <f>IF(LEFT($B17,4)="_Mil","",_xlfn.IFNA(ROUND(INDEX(Spectrum!$N:$N,MATCH(RIGHT($B17,13)&amp;"|"&amp;$C17&amp;"|"&amp;$D17&amp;"|"&amp;O$14&amp;"|"&amp;"CY2024Q3",Spectrum!$R:$R,0)),0),""))</f>
        <v/>
      </c>
      <c r="P17" s="218" t="str">
        <f>IF(LEFT($B17,4)="_Mil","",_xlfn.IFNA(ROUND(INDEX(Spectrum!$N:$N,MATCH(RIGHT($B17,13)&amp;"|"&amp;$C17&amp;"|"&amp;$D17&amp;"|"&amp;P$14&amp;"|"&amp;"CY2024Q3",Spectrum!$R:$R,0)),0),""))</f>
        <v/>
      </c>
      <c r="Q17" s="218" t="str">
        <f>IF(LEFT($B17,4)="_Mil","",_xlfn.IFNA(ROUND(INDEX(Spectrum!$N:$N,MATCH(RIGHT($B17,13)&amp;"|"&amp;$C17&amp;"|"&amp;$D17&amp;"|"&amp;Q$14&amp;"|"&amp;"CY2024Q3",Spectrum!$R:$R,0)),0),""))</f>
        <v/>
      </c>
      <c r="R17" s="38">
        <v>93</v>
      </c>
      <c r="S17" s="33">
        <v>4.2</v>
      </c>
      <c r="T17" s="218">
        <v>470</v>
      </c>
      <c r="U17" s="33" t="str">
        <f t="shared" si="1"/>
        <v/>
      </c>
      <c r="V17" s="218" t="str">
        <f t="shared" si="2"/>
        <v/>
      </c>
      <c r="W17" s="33">
        <v>4.2999999999999997E-2</v>
      </c>
      <c r="X17" s="33">
        <v>0.05</v>
      </c>
      <c r="Y17" s="231">
        <v>1.7999999999999999E-2</v>
      </c>
      <c r="Z17" s="33">
        <f t="shared" si="3"/>
        <v>1.7999999999999999E-2</v>
      </c>
      <c r="AA17" s="38">
        <f t="shared" si="4"/>
        <v>470</v>
      </c>
      <c r="AB17" s="218">
        <f t="shared" si="5"/>
        <v>24</v>
      </c>
      <c r="AC17" s="218">
        <f t="shared" si="6"/>
        <v>8</v>
      </c>
      <c r="AD17" s="218">
        <f t="shared" si="7"/>
        <v>438</v>
      </c>
      <c r="AE17" s="38" t="str">
        <f t="shared" si="8"/>
        <v/>
      </c>
      <c r="AF17" s="218" t="str">
        <f t="shared" si="9"/>
        <v/>
      </c>
      <c r="AG17" s="218" t="str">
        <f t="shared" si="10"/>
        <v/>
      </c>
      <c r="AH17" s="218" t="str">
        <f t="shared" si="11"/>
        <v/>
      </c>
      <c r="AI17" s="33">
        <f>IF(SUM($AC17)=0,"",INDEX(Cascade!$BG:$BG,MATCH($E17,Cascade!$E:$E,0)))</f>
        <v>0.95</v>
      </c>
      <c r="AJ17" s="218">
        <f t="shared" si="12"/>
        <v>24</v>
      </c>
      <c r="AK17" s="218">
        <f t="shared" si="13"/>
        <v>8</v>
      </c>
      <c r="AL17" s="218" t="str">
        <f t="shared" si="14"/>
        <v/>
      </c>
      <c r="AM17" s="218" t="str">
        <f t="shared" si="15"/>
        <v/>
      </c>
      <c r="AN17" s="218" t="str">
        <f t="shared" si="16"/>
        <v/>
      </c>
      <c r="AO17" s="38">
        <f t="shared" si="17"/>
        <v>438</v>
      </c>
      <c r="AP17" s="33">
        <v>4.7999999999999996E-3</v>
      </c>
      <c r="AQ17" s="33">
        <v>0.01</v>
      </c>
      <c r="AR17" s="33">
        <f>IF(SUM($AO17)=0,"",INDEX(Cascade!$BG:$BG,MATCH($E17,Cascade!$E:$E,0)))</f>
        <v>0.95</v>
      </c>
      <c r="AS17" s="218">
        <f t="shared" si="18"/>
        <v>4</v>
      </c>
      <c r="AT17" s="218">
        <f t="shared" si="19"/>
        <v>434</v>
      </c>
      <c r="AU17" s="38">
        <f t="shared" si="20"/>
        <v>4</v>
      </c>
      <c r="AV17" s="38">
        <f t="shared" si="21"/>
        <v>36</v>
      </c>
      <c r="AW17" s="38">
        <f>IFERROR(1/(1/INDEX(Cascade!$BH:$BH,MATCH($E17,Cascade!$E:$E,0))),"")</f>
        <v>82</v>
      </c>
      <c r="AX17" s="38">
        <f t="shared" si="22"/>
        <v>8</v>
      </c>
      <c r="AY17" s="38">
        <f t="shared" si="23"/>
        <v>4</v>
      </c>
      <c r="AZ17" s="38" t="str">
        <f>IFERROR(1/(1/INDEX(TB!$P:$P,MATCH($E17,TB!$E:$E,0))),"")</f>
        <v/>
      </c>
      <c r="BA17" s="38">
        <f t="shared" si="24"/>
        <v>70</v>
      </c>
    </row>
    <row r="18" spans="1:53" x14ac:dyDescent="0.2">
      <c r="A18" t="str">
        <f>INDEX(Prioritization!$D:$D,MATCH($B18,Prioritization!$A:$A,0))</f>
        <v>Military</v>
      </c>
      <c r="B18" t="s">
        <v>326</v>
      </c>
      <c r="C18" t="s">
        <v>477</v>
      </c>
      <c r="D18" t="s">
        <v>30</v>
      </c>
      <c r="E18" t="str">
        <f t="shared" si="0"/>
        <v>_Military Malawi [PQZgU9dagaH]|35-49|Female</v>
      </c>
      <c r="F18" s="38" t="str">
        <f>IF(LEFT($B18,4)="_Mil","",INDEX(Cascade!$T:$T,MATCH($E18,Cascade!$E:$E,0)))</f>
        <v/>
      </c>
      <c r="G18" s="38" t="str">
        <f>IF(LEFT($B18,4)="_Mil","",INDEX(Cascade!$U:$U,MATCH($E18,Cascade!$E:$E,0)))</f>
        <v/>
      </c>
      <c r="H18" s="110" t="str">
        <f>IF(LEFT($B18,4)="_Mil","",INDEX(Cascade!$W:$W,MATCH($E18,Cascade!$E:$E,0)))</f>
        <v/>
      </c>
      <c r="I18" s="38" t="str">
        <f>IF(LEFT($B18,4)="_Mil","",INDEX(Cascade!$Z:$Z,MATCH($E18,Cascade!$E:$E,0)))</f>
        <v/>
      </c>
      <c r="J18" s="33" t="str">
        <f>IF(LEFT($B18,4)="_Mil","",INDEX(Cascade!$AA:$AA,MATCH($E18,Cascade!$E:$E,0)))</f>
        <v/>
      </c>
      <c r="K18" s="218" t="str">
        <f>IF(LEFT($B18,4)="_Mil","",_xlfn.IFNA(ROUND(INDEX(Spectrum!$N:$N,MATCH(RIGHT($B18,13)&amp;"|"&amp;$C18&amp;"|"&amp;$D18&amp;"|"&amp;K$14&amp;"|"&amp;"CY2024Q3",Spectrum!$R:$R,0)),0),""))</f>
        <v/>
      </c>
      <c r="L18" s="218" t="str">
        <f>IF(LEFT($B18,4)="_Mil","",_xlfn.IFNA(ROUND(INDEX(Spectrum!$N:$N,MATCH(RIGHT($B18,13)&amp;"|"&amp;$C18&amp;"|"&amp;$D18&amp;"|"&amp;L$14&amp;"|"&amp;"CY2024Q3",Spectrum!$R:$R,0)),0),""))</f>
        <v/>
      </c>
      <c r="M18" s="218" t="str">
        <f>IF(LEFT($B18,4)="_Mil","",_xlfn.IFNA(ROUND(INDEX(Spectrum!$N:$N,MATCH(RIGHT($B18,13)&amp;"|"&amp;$C18&amp;"|"&amp;$D18&amp;"|"&amp;M$14&amp;"|"&amp;"CY2024Q3",Spectrum!$R:$R,0)),0),""))</f>
        <v/>
      </c>
      <c r="N18" s="218" t="str">
        <f>IF(LEFT($B18,4)="_Mil","",_xlfn.IFNA(ROUND(INDEX(Spectrum!$N:$N,MATCH(RIGHT($B18,13)&amp;"|"&amp;$C18&amp;"|"&amp;$D18&amp;"|"&amp;N$14&amp;"|"&amp;"CY2024Q3",Spectrum!$R:$R,0)),0),""))</f>
        <v/>
      </c>
      <c r="O18" s="218" t="str">
        <f>IF(LEFT($B18,4)="_Mil","",_xlfn.IFNA(ROUND(INDEX(Spectrum!$N:$N,MATCH(RIGHT($B18,13)&amp;"|"&amp;$C18&amp;"|"&amp;$D18&amp;"|"&amp;O$14&amp;"|"&amp;"CY2024Q3",Spectrum!$R:$R,0)),0),""))</f>
        <v/>
      </c>
      <c r="P18" s="218" t="str">
        <f>IF(LEFT($B18,4)="_Mil","",_xlfn.IFNA(ROUND(INDEX(Spectrum!$N:$N,MATCH(RIGHT($B18,13)&amp;"|"&amp;$C18&amp;"|"&amp;$D18&amp;"|"&amp;P$14&amp;"|"&amp;"CY2024Q3",Spectrum!$R:$R,0)),0),""))</f>
        <v/>
      </c>
      <c r="Q18" s="218" t="str">
        <f>IF(LEFT($B18,4)="_Mil","",_xlfn.IFNA(ROUND(INDEX(Spectrum!$N:$N,MATCH(RIGHT($B18,13)&amp;"|"&amp;$C18&amp;"|"&amp;$D18&amp;"|"&amp;Q$14&amp;"|"&amp;"CY2024Q3",Spectrum!$R:$R,0)),0),""))</f>
        <v/>
      </c>
      <c r="R18" s="38">
        <v>24</v>
      </c>
      <c r="S18" s="33">
        <v>0.95</v>
      </c>
      <c r="T18" s="218">
        <v>120</v>
      </c>
      <c r="U18" s="33" t="str">
        <f t="shared" si="1"/>
        <v/>
      </c>
      <c r="V18" s="218" t="str">
        <f t="shared" si="2"/>
        <v/>
      </c>
      <c r="W18" s="33">
        <v>6.9000000000000006E-2</v>
      </c>
      <c r="X18" s="33">
        <v>0.1</v>
      </c>
      <c r="Y18" s="231">
        <v>1.7999999999999999E-2</v>
      </c>
      <c r="Z18" s="33">
        <f t="shared" si="3"/>
        <v>1.7999999999999999E-2</v>
      </c>
      <c r="AA18" s="38">
        <f t="shared" si="4"/>
        <v>120</v>
      </c>
      <c r="AB18" s="218">
        <f t="shared" si="5"/>
        <v>12</v>
      </c>
      <c r="AC18" s="218">
        <f t="shared" si="6"/>
        <v>2</v>
      </c>
      <c r="AD18" s="218">
        <f t="shared" si="7"/>
        <v>106</v>
      </c>
      <c r="AE18" s="38" t="str">
        <f t="shared" si="8"/>
        <v/>
      </c>
      <c r="AF18" s="218" t="str">
        <f t="shared" si="9"/>
        <v/>
      </c>
      <c r="AG18" s="218" t="str">
        <f t="shared" si="10"/>
        <v/>
      </c>
      <c r="AH18" s="218" t="str">
        <f t="shared" si="11"/>
        <v/>
      </c>
      <c r="AI18" s="33">
        <v>0.95</v>
      </c>
      <c r="AJ18" s="218">
        <f t="shared" si="12"/>
        <v>12</v>
      </c>
      <c r="AK18" s="218">
        <f t="shared" si="13"/>
        <v>2</v>
      </c>
      <c r="AL18" s="218" t="str">
        <f t="shared" si="14"/>
        <v/>
      </c>
      <c r="AM18" s="218" t="str">
        <f t="shared" si="15"/>
        <v/>
      </c>
      <c r="AN18" s="218" t="str">
        <f t="shared" si="16"/>
        <v/>
      </c>
      <c r="AO18" s="38">
        <f t="shared" si="17"/>
        <v>106</v>
      </c>
      <c r="AP18" s="33">
        <v>4.7999999999999996E-3</v>
      </c>
      <c r="AQ18" s="33">
        <v>0.01</v>
      </c>
      <c r="AR18" s="33">
        <f>IF(SUM($AO18)=0,"",INDEX(Cascade!$BG:$BG,MATCH($E18,Cascade!$E:$E,0)))</f>
        <v>0.95</v>
      </c>
      <c r="AS18" s="218">
        <f t="shared" si="18"/>
        <v>1</v>
      </c>
      <c r="AT18" s="218">
        <f t="shared" si="19"/>
        <v>105</v>
      </c>
      <c r="AU18" s="38">
        <f t="shared" si="20"/>
        <v>1</v>
      </c>
      <c r="AV18" s="38">
        <f t="shared" si="21"/>
        <v>15</v>
      </c>
      <c r="AW18" s="38">
        <f>IFERROR(1/(1/INDEX(Cascade!$BH:$BH,MATCH($E18,Cascade!$E:$E,0))),"")</f>
        <v>220.99999999999997</v>
      </c>
      <c r="AX18" s="38">
        <f t="shared" si="22"/>
        <v>2</v>
      </c>
      <c r="AY18" s="38">
        <f t="shared" si="23"/>
        <v>1</v>
      </c>
      <c r="AZ18" s="38">
        <f>IFERROR(1/(1/INDEX(TB!$P:$P,MATCH($E18,TB!$E:$E,0))),"")</f>
        <v>1</v>
      </c>
      <c r="BA18" s="38">
        <f t="shared" si="24"/>
        <v>216.99999999999997</v>
      </c>
    </row>
    <row r="19" spans="1:53" x14ac:dyDescent="0.2">
      <c r="A19" t="str">
        <f>INDEX(Prioritization!$D:$D,MATCH($B19,Prioritization!$A:$A,0))</f>
        <v>Military</v>
      </c>
      <c r="B19" t="s">
        <v>326</v>
      </c>
      <c r="C19" t="s">
        <v>478</v>
      </c>
      <c r="D19" t="s">
        <v>30</v>
      </c>
      <c r="E19" t="str">
        <f t="shared" si="0"/>
        <v>_Military Malawi [PQZgU9dagaH]|50+|Female</v>
      </c>
      <c r="F19" s="38" t="str">
        <f>IF(LEFT($B19,4)="_Mil","",INDEX(Cascade!$T:$T,MATCH($E19,Cascade!$E:$E,0)))</f>
        <v/>
      </c>
      <c r="G19" s="38" t="str">
        <f>IF(LEFT($B19,4)="_Mil","",INDEX(Cascade!$U:$U,MATCH($E19,Cascade!$E:$E,0)))</f>
        <v/>
      </c>
      <c r="H19" s="110" t="str">
        <f>IF(LEFT($B19,4)="_Mil","",INDEX(Cascade!$W:$W,MATCH($E19,Cascade!$E:$E,0)))</f>
        <v/>
      </c>
      <c r="I19" s="38" t="str">
        <f>IF(LEFT($B19,4)="_Mil","",INDEX(Cascade!$Z:$Z,MATCH($E19,Cascade!$E:$E,0)))</f>
        <v/>
      </c>
      <c r="J19" s="33" t="str">
        <f>IF(LEFT($B19,4)="_Mil","",INDEX(Cascade!$AA:$AA,MATCH($E19,Cascade!$E:$E,0)))</f>
        <v/>
      </c>
      <c r="K19" s="218" t="str">
        <f>IF(LEFT($B19,4)="_Mil","",_xlfn.IFNA(ROUND(INDEX(Spectrum!$N:$N,MATCH(RIGHT($B19,13)&amp;"|"&amp;$C19&amp;"|"&amp;$D19&amp;"|"&amp;K$14&amp;"|"&amp;"CY2024Q3",Spectrum!$R:$R,0)),0),""))</f>
        <v/>
      </c>
      <c r="L19" s="218" t="str">
        <f>IF(LEFT($B19,4)="_Mil","",_xlfn.IFNA(ROUND(INDEX(Spectrum!$N:$N,MATCH(RIGHT($B19,13)&amp;"|"&amp;$C19&amp;"|"&amp;$D19&amp;"|"&amp;L$14&amp;"|"&amp;"CY2024Q3",Spectrum!$R:$R,0)),0),""))</f>
        <v/>
      </c>
      <c r="M19" s="218" t="str">
        <f>IF(LEFT($B19,4)="_Mil","",_xlfn.IFNA(ROUND(INDEX(Spectrum!$N:$N,MATCH(RIGHT($B19,13)&amp;"|"&amp;$C19&amp;"|"&amp;$D19&amp;"|"&amp;M$14&amp;"|"&amp;"CY2024Q3",Spectrum!$R:$R,0)),0),""))</f>
        <v/>
      </c>
      <c r="N19" s="218" t="str">
        <f>IF(LEFT($B19,4)="_Mil","",_xlfn.IFNA(ROUND(INDEX(Spectrum!$N:$N,MATCH(RIGHT($B19,13)&amp;"|"&amp;$C19&amp;"|"&amp;$D19&amp;"|"&amp;N$14&amp;"|"&amp;"CY2024Q3",Spectrum!$R:$R,0)),0),""))</f>
        <v/>
      </c>
      <c r="O19" s="218" t="str">
        <f>IF(LEFT($B19,4)="_Mil","",_xlfn.IFNA(ROUND(INDEX(Spectrum!$N:$N,MATCH(RIGHT($B19,13)&amp;"|"&amp;$C19&amp;"|"&amp;$D19&amp;"|"&amp;O$14&amp;"|"&amp;"CY2024Q3",Spectrum!$R:$R,0)),0),""))</f>
        <v/>
      </c>
      <c r="P19" s="218" t="str">
        <f>IF(LEFT($B19,4)="_Mil","",_xlfn.IFNA(ROUND(INDEX(Spectrum!$N:$N,MATCH(RIGHT($B19,13)&amp;"|"&amp;$C19&amp;"|"&amp;$D19&amp;"|"&amp;P$14&amp;"|"&amp;"CY2024Q3",Spectrum!$R:$R,0)),0),""))</f>
        <v/>
      </c>
      <c r="Q19" s="218" t="str">
        <f>IF(LEFT($B19,4)="_Mil","",_xlfn.IFNA(ROUND(INDEX(Spectrum!$N:$N,MATCH(RIGHT($B19,13)&amp;"|"&amp;$C19&amp;"|"&amp;$D19&amp;"|"&amp;Q$14&amp;"|"&amp;"CY2024Q3",Spectrum!$R:$R,0)),0),""))</f>
        <v/>
      </c>
      <c r="R19" s="38"/>
      <c r="S19" s="33">
        <v>0</v>
      </c>
      <c r="T19" s="218" t="str">
        <f t="shared" ref="T19:T46" si="25">IF(SUM($R19)=0,"",ROUND($R19*(1+$S19),0))</f>
        <v/>
      </c>
      <c r="U19" s="33" t="str">
        <f t="shared" si="1"/>
        <v/>
      </c>
      <c r="V19" s="218" t="str">
        <f t="shared" si="2"/>
        <v/>
      </c>
      <c r="W19" s="33">
        <v>0.13300000000000001</v>
      </c>
      <c r="X19" s="33">
        <v>0.25</v>
      </c>
      <c r="Y19" s="231">
        <v>1.4E-2</v>
      </c>
      <c r="Z19" s="33">
        <f t="shared" si="3"/>
        <v>1.4E-2</v>
      </c>
      <c r="AA19" s="38" t="str">
        <f t="shared" si="4"/>
        <v/>
      </c>
      <c r="AB19" s="218" t="str">
        <f t="shared" si="5"/>
        <v/>
      </c>
      <c r="AC19" s="218" t="str">
        <f t="shared" si="6"/>
        <v/>
      </c>
      <c r="AD19" s="218" t="str">
        <f t="shared" si="7"/>
        <v/>
      </c>
      <c r="AE19" s="38" t="str">
        <f t="shared" si="8"/>
        <v/>
      </c>
      <c r="AF19" s="218" t="str">
        <f t="shared" si="9"/>
        <v/>
      </c>
      <c r="AG19" s="218" t="str">
        <f t="shared" si="10"/>
        <v/>
      </c>
      <c r="AH19" s="218" t="str">
        <f t="shared" si="11"/>
        <v/>
      </c>
      <c r="AI19" s="33">
        <v>0.95</v>
      </c>
      <c r="AJ19" s="218" t="str">
        <f t="shared" si="12"/>
        <v/>
      </c>
      <c r="AK19" s="218" t="str">
        <f t="shared" si="13"/>
        <v/>
      </c>
      <c r="AL19" s="218" t="str">
        <f t="shared" si="14"/>
        <v/>
      </c>
      <c r="AM19" s="218" t="str">
        <f t="shared" si="15"/>
        <v/>
      </c>
      <c r="AN19" s="218" t="str">
        <f t="shared" si="16"/>
        <v/>
      </c>
      <c r="AO19" s="38" t="str">
        <f t="shared" si="17"/>
        <v/>
      </c>
      <c r="AP19" s="33">
        <v>4.7999999999999996E-3</v>
      </c>
      <c r="AQ19" s="33">
        <v>0.01</v>
      </c>
      <c r="AR19" s="33" t="str">
        <f>IF(SUM($AO19)=0,"",INDEX(Cascade!$BG:$BG,MATCH($E19,Cascade!$E:$E,0)))</f>
        <v/>
      </c>
      <c r="AS19" s="218" t="str">
        <f t="shared" si="18"/>
        <v/>
      </c>
      <c r="AT19" s="218" t="str">
        <f t="shared" si="19"/>
        <v/>
      </c>
      <c r="AU19" s="38" t="str">
        <f t="shared" si="20"/>
        <v/>
      </c>
      <c r="AV19" s="38" t="str">
        <f t="shared" si="21"/>
        <v/>
      </c>
      <c r="AW19" s="38">
        <f>IFERROR(1/(1/INDEX(Cascade!$BH:$BH,MATCH($E19,Cascade!$E:$E,0))),"")</f>
        <v>101</v>
      </c>
      <c r="AX19" s="38" t="str">
        <f t="shared" si="22"/>
        <v/>
      </c>
      <c r="AY19" s="38" t="str">
        <f t="shared" si="23"/>
        <v/>
      </c>
      <c r="AZ19" s="38" t="str">
        <f>IFERROR(1/(1/INDEX(TB!$P:$P,MATCH($E19,TB!$E:$E,0))),"")</f>
        <v/>
      </c>
      <c r="BA19" s="38">
        <f t="shared" si="24"/>
        <v>101</v>
      </c>
    </row>
    <row r="20" spans="1:53" x14ac:dyDescent="0.2">
      <c r="A20" t="str">
        <f>INDEX(Prioritization!$D:$D,MATCH($B20,Prioritization!$A:$A,0))</f>
        <v>4 - Sustained</v>
      </c>
      <c r="B20" t="s">
        <v>313</v>
      </c>
      <c r="C20" t="s">
        <v>474</v>
      </c>
      <c r="D20" t="s">
        <v>30</v>
      </c>
      <c r="E20" t="str">
        <f t="shared" si="0"/>
        <v>Balaka District [ir8wuHHzoSs]|10-14|Female</v>
      </c>
      <c r="F20" s="38">
        <f>IF(LEFT($B20,4)="_Mil","",INDEX(Cascade!$T:$T,MATCH($E20,Cascade!$E:$E,0)))</f>
        <v>0</v>
      </c>
      <c r="G20" s="38">
        <f>IF(LEFT($B20,4)="_Mil","",INDEX(Cascade!$U:$U,MATCH($E20,Cascade!$E:$E,0)))</f>
        <v>0</v>
      </c>
      <c r="H20" s="110">
        <f>IF(LEFT($B20,4)="_Mil","",INDEX(Cascade!$W:$W,MATCH($E20,Cascade!$E:$E,0)))</f>
        <v>0</v>
      </c>
      <c r="I20" s="38">
        <f>IF(LEFT($B20,4)="_Mil","",INDEX(Cascade!$Z:$Z,MATCH($E20,Cascade!$E:$E,0)))</f>
        <v>279</v>
      </c>
      <c r="J20" s="33">
        <f>IF(LEFT($B20,4)="_Mil","",INDEX(Cascade!$AA:$AA,MATCH($E20,Cascade!$E:$E,0)))</f>
        <v>0.75042192699999999</v>
      </c>
      <c r="K20" s="218" t="str">
        <f>IF(LEFT($B20,4)="_Mil","",_xlfn.IFNA(ROUND(INDEX(Spectrum!$N:$N,MATCH(RIGHT($B20,13)&amp;"|"&amp;$C20&amp;"|"&amp;$D20&amp;"|"&amp;K$14&amp;"|"&amp;"CY2024Q3",Spectrum!$R:$R,0)),0),""))</f>
        <v/>
      </c>
      <c r="L20" s="218" t="str">
        <f>IF(LEFT($B20,4)="_Mil","",_xlfn.IFNA(ROUND(INDEX(Spectrum!$N:$N,MATCH(RIGHT($B20,13)&amp;"|"&amp;$C20&amp;"|"&amp;$D20&amp;"|"&amp;L$14&amp;"|"&amp;"CY2024Q3",Spectrum!$R:$R,0)),0),""))</f>
        <v/>
      </c>
      <c r="M20" s="218" t="str">
        <f>IF(LEFT($B20,4)="_Mil","",_xlfn.IFNA(ROUND(INDEX(Spectrum!$N:$N,MATCH(RIGHT($B20,13)&amp;"|"&amp;$C20&amp;"|"&amp;$D20&amp;"|"&amp;M$14&amp;"|"&amp;"CY2024Q3",Spectrum!$R:$R,0)),0),""))</f>
        <v/>
      </c>
      <c r="N20" s="218" t="str">
        <f>IF(LEFT($B20,4)="_Mil","",_xlfn.IFNA(ROUND(INDEX(Spectrum!$N:$N,MATCH(RIGHT($B20,13)&amp;"|"&amp;$C20&amp;"|"&amp;$D20&amp;"|"&amp;N$14&amp;"|"&amp;"CY2024Q3",Spectrum!$R:$R,0)),0),""))</f>
        <v/>
      </c>
      <c r="O20" s="218" t="str">
        <f>IF(LEFT($B20,4)="_Mil","",_xlfn.IFNA(ROUND(INDEX(Spectrum!$N:$N,MATCH(RIGHT($B20,13)&amp;"|"&amp;$C20&amp;"|"&amp;$D20&amp;"|"&amp;O$14&amp;"|"&amp;"CY2024Q3",Spectrum!$R:$R,0)),0),""))</f>
        <v/>
      </c>
      <c r="P20" s="218" t="str">
        <f>IF(LEFT($B20,4)="_Mil","",_xlfn.IFNA(ROUND(INDEX(Spectrum!$N:$N,MATCH(RIGHT($B20,13)&amp;"|"&amp;$C20&amp;"|"&amp;$D20&amp;"|"&amp;P$14&amp;"|"&amp;"CY2024Q3",Spectrum!$R:$R,0)),0),""))</f>
        <v/>
      </c>
      <c r="Q20" s="218" t="str">
        <f>IF(LEFT($B20,4)="_Mil","",_xlfn.IFNA(ROUND(INDEX(Spectrum!$N:$N,MATCH(RIGHT($B20,13)&amp;"|"&amp;$C20&amp;"|"&amp;$D20&amp;"|"&amp;Q$14&amp;"|"&amp;"CY2024Q3",Spectrum!$R:$R,0)),0),""))</f>
        <v/>
      </c>
      <c r="R20" s="38">
        <v>51</v>
      </c>
      <c r="S20" s="33">
        <v>0</v>
      </c>
      <c r="T20" s="218">
        <f t="shared" si="25"/>
        <v>51</v>
      </c>
      <c r="U20" s="33">
        <f t="shared" si="1"/>
        <v>1</v>
      </c>
      <c r="V20" s="218">
        <f t="shared" si="2"/>
        <v>51</v>
      </c>
      <c r="W20" s="33">
        <v>2.7E-2</v>
      </c>
      <c r="X20" s="33">
        <f t="shared" ref="X20:X46" si="26">IF(SUM($K20,$W20)=0,"",MAX(IFERROR(SUM($L20)/$K20,0),SUM($W20)))</f>
        <v>2.7E-2</v>
      </c>
      <c r="Y20" s="231">
        <v>1.0999999999999999E-2</v>
      </c>
      <c r="Z20" s="33">
        <f t="shared" si="3"/>
        <v>1.0999999999999999E-2</v>
      </c>
      <c r="AA20" s="38">
        <f t="shared" si="4"/>
        <v>51</v>
      </c>
      <c r="AB20" s="218">
        <f t="shared" si="5"/>
        <v>1</v>
      </c>
      <c r="AC20" s="218">
        <f t="shared" si="6"/>
        <v>1</v>
      </c>
      <c r="AD20" s="218">
        <f t="shared" si="7"/>
        <v>49</v>
      </c>
      <c r="AE20" s="38">
        <f t="shared" si="8"/>
        <v>51</v>
      </c>
      <c r="AF20" s="218">
        <f t="shared" si="9"/>
        <v>1</v>
      </c>
      <c r="AG20" s="218">
        <f t="shared" si="10"/>
        <v>1</v>
      </c>
      <c r="AH20" s="218">
        <f t="shared" si="11"/>
        <v>49</v>
      </c>
      <c r="AI20" s="33">
        <f>IF(SUM($AC20)=0,"",INDEX(Cascade!$BG:$BG,MATCH($E20,Cascade!$E:$E,0)))</f>
        <v>0.95</v>
      </c>
      <c r="AJ20" s="218">
        <f t="shared" si="12"/>
        <v>1</v>
      </c>
      <c r="AK20" s="218">
        <f t="shared" si="13"/>
        <v>1</v>
      </c>
      <c r="AL20" s="218">
        <f t="shared" si="14"/>
        <v>2</v>
      </c>
      <c r="AM20" s="218">
        <f t="shared" si="15"/>
        <v>1</v>
      </c>
      <c r="AN20" s="218">
        <f t="shared" si="16"/>
        <v>1</v>
      </c>
      <c r="AO20" s="38">
        <f t="shared" si="17"/>
        <v>49.000000000000007</v>
      </c>
      <c r="AP20" s="231">
        <v>4.0000000000000001E-3</v>
      </c>
      <c r="AQ20" s="33">
        <f t="shared" ref="AQ20:AQ46" si="27">IF($AP20="","",$AP20)</f>
        <v>4.0000000000000001E-3</v>
      </c>
      <c r="AR20" s="33">
        <f>IF(SUM($AO20)=0,"",INDEX(Cascade!$BG:$BG,MATCH($E20,Cascade!$E:$E,0)))</f>
        <v>0.95</v>
      </c>
      <c r="AS20" s="218">
        <f t="shared" si="18"/>
        <v>0</v>
      </c>
      <c r="AT20" s="218">
        <f t="shared" si="19"/>
        <v>49.000000000000007</v>
      </c>
      <c r="AU20" s="38" t="str">
        <f t="shared" si="20"/>
        <v/>
      </c>
      <c r="AV20" s="38">
        <f t="shared" si="21"/>
        <v>2</v>
      </c>
      <c r="AW20" s="38" t="str">
        <f>IFERROR(1/(1/INDEX(Cascade!$BH:$BH,MATCH($E20,Cascade!$E:$E,0))),"")</f>
        <v/>
      </c>
      <c r="AX20" s="38">
        <f t="shared" si="22"/>
        <v>1</v>
      </c>
      <c r="AY20" s="38" t="str">
        <f t="shared" si="23"/>
        <v/>
      </c>
      <c r="AZ20" s="38" t="str">
        <f>IFERROR(1/(1/INDEX(TB!$P:$P,MATCH($E20,TB!$E:$E,0))),"")</f>
        <v/>
      </c>
      <c r="BA20" s="38">
        <f t="shared" si="24"/>
        <v>-1</v>
      </c>
    </row>
    <row r="21" spans="1:53" x14ac:dyDescent="0.2">
      <c r="A21" t="str">
        <f>INDEX(Prioritization!$D:$D,MATCH($B21,Prioritization!$A:$A,0))</f>
        <v>4 - Sustained</v>
      </c>
      <c r="B21" t="s">
        <v>313</v>
      </c>
      <c r="C21" t="s">
        <v>475</v>
      </c>
      <c r="D21" t="s">
        <v>30</v>
      </c>
      <c r="E21" t="str">
        <f t="shared" si="0"/>
        <v>Balaka District [ir8wuHHzoSs]|15-24|Female</v>
      </c>
      <c r="F21" s="38">
        <f>IF(LEFT($B21,4)="_Mil","",INDEX(Cascade!$T:$T,MATCH($E21,Cascade!$E:$E,0)))</f>
        <v>0</v>
      </c>
      <c r="G21" s="38">
        <f>IF(LEFT($B21,4)="_Mil","",INDEX(Cascade!$U:$U,MATCH($E21,Cascade!$E:$E,0)))</f>
        <v>0</v>
      </c>
      <c r="H21" s="110">
        <f>IF(LEFT($B21,4)="_Mil","",INDEX(Cascade!$W:$W,MATCH($E21,Cascade!$E:$E,0)))</f>
        <v>0</v>
      </c>
      <c r="I21" s="38">
        <f>IF(LEFT($B21,4)="_Mil","",INDEX(Cascade!$Z:$Z,MATCH($E21,Cascade!$E:$E,0)))</f>
        <v>1207</v>
      </c>
      <c r="J21" s="33">
        <f>IF(LEFT($B21,4)="_Mil","",INDEX(Cascade!$AA:$AA,MATCH($E21,Cascade!$E:$E,0)))</f>
        <v>0.936701966</v>
      </c>
      <c r="K21" s="218">
        <f>IF(LEFT($B21,4)="_Mil","",_xlfn.IFNA(ROUND(INDEX(Spectrum!$N:$N,MATCH(RIGHT($B21,13)&amp;"|"&amp;$C21&amp;"|"&amp;$D21&amp;"|"&amp;K$14&amp;"|"&amp;"CY2024Q3",Spectrum!$R:$R,0)),0),""))</f>
        <v>7227</v>
      </c>
      <c r="L21" s="218">
        <f>IF(LEFT($B21,4)="_Mil","",_xlfn.IFNA(ROUND(INDEX(Spectrum!$N:$N,MATCH(RIGHT($B21,13)&amp;"|"&amp;$C21&amp;"|"&amp;$D21&amp;"|"&amp;L$14&amp;"|"&amp;"CY2024Q3",Spectrum!$R:$R,0)),0),""))</f>
        <v>131</v>
      </c>
      <c r="M21" s="218">
        <f>IF(LEFT($B21,4)="_Mil","",_xlfn.IFNA(ROUND(INDEX(Spectrum!$N:$N,MATCH(RIGHT($B21,13)&amp;"|"&amp;$C21&amp;"|"&amp;$D21&amp;"|"&amp;M$14&amp;"|"&amp;"CY2024Q3",Spectrum!$R:$R,0)),0),""))</f>
        <v>59</v>
      </c>
      <c r="N21" s="218">
        <f>IF(LEFT($B21,4)="_Mil","",_xlfn.IFNA(ROUND(INDEX(Spectrum!$N:$N,MATCH(RIGHT($B21,13)&amp;"|"&amp;$C21&amp;"|"&amp;$D21&amp;"|"&amp;N$14&amp;"|"&amp;"CY2024Q3",Spectrum!$R:$R,0)),0),""))</f>
        <v>7037</v>
      </c>
      <c r="O21" s="218">
        <f>IF(LEFT($B21,4)="_Mil","",_xlfn.IFNA(ROUND(INDEX(Spectrum!$N:$N,MATCH(RIGHT($B21,13)&amp;"|"&amp;$C21&amp;"|"&amp;$D21&amp;"|"&amp;O$14&amp;"|"&amp;"CY2024Q3",Spectrum!$R:$R,0)),0),""))</f>
        <v>190</v>
      </c>
      <c r="P21" s="218">
        <f>IF(LEFT($B21,4)="_Mil","",_xlfn.IFNA(ROUND(INDEX(Spectrum!$N:$N,MATCH(RIGHT($B21,13)&amp;"|"&amp;$C21&amp;"|"&amp;$D21&amp;"|"&amp;P$14&amp;"|"&amp;"CY2024Q3",Spectrum!$R:$R,0)),0),""))</f>
        <v>131</v>
      </c>
      <c r="Q21" s="218">
        <f>IF(LEFT($B21,4)="_Mil","",_xlfn.IFNA(ROUND(INDEX(Spectrum!$N:$N,MATCH(RIGHT($B21,13)&amp;"|"&amp;$C21&amp;"|"&amp;$D21&amp;"|"&amp;Q$14&amp;"|"&amp;"CY2024Q3",Spectrum!$R:$R,0)),0),""))</f>
        <v>59</v>
      </c>
      <c r="R21" s="38">
        <v>9308</v>
      </c>
      <c r="S21" s="33">
        <v>0</v>
      </c>
      <c r="T21" s="218">
        <f t="shared" si="25"/>
        <v>9308</v>
      </c>
      <c r="U21" s="33">
        <f t="shared" si="1"/>
        <v>1</v>
      </c>
      <c r="V21" s="218">
        <f t="shared" si="2"/>
        <v>9308</v>
      </c>
      <c r="W21" s="33">
        <v>1.7999999999999999E-2</v>
      </c>
      <c r="X21" s="33">
        <f t="shared" si="26"/>
        <v>1.8126470181264703E-2</v>
      </c>
      <c r="Y21" s="231">
        <v>1.0999999999999999E-2</v>
      </c>
      <c r="Z21" s="33">
        <f t="shared" si="3"/>
        <v>8.3145434047350621E-3</v>
      </c>
      <c r="AA21" s="38">
        <f t="shared" si="4"/>
        <v>9308</v>
      </c>
      <c r="AB21" s="218">
        <f t="shared" si="5"/>
        <v>169</v>
      </c>
      <c r="AC21" s="218">
        <f t="shared" si="6"/>
        <v>76</v>
      </c>
      <c r="AD21" s="218">
        <f t="shared" si="7"/>
        <v>9063</v>
      </c>
      <c r="AE21" s="38">
        <f t="shared" si="8"/>
        <v>9308</v>
      </c>
      <c r="AF21" s="218">
        <f t="shared" si="9"/>
        <v>169</v>
      </c>
      <c r="AG21" s="218">
        <f t="shared" si="10"/>
        <v>76</v>
      </c>
      <c r="AH21" s="218">
        <f t="shared" si="11"/>
        <v>9063</v>
      </c>
      <c r="AI21" s="33">
        <f>IF(SUM($AC21)=0,"",INDEX(Cascade!$BG:$BG,MATCH($E21,Cascade!$E:$E,0)))</f>
        <v>0.95</v>
      </c>
      <c r="AJ21" s="218">
        <f t="shared" si="12"/>
        <v>169</v>
      </c>
      <c r="AK21" s="218">
        <f t="shared" si="13"/>
        <v>72</v>
      </c>
      <c r="AL21" s="218">
        <f t="shared" si="14"/>
        <v>245</v>
      </c>
      <c r="AM21" s="218">
        <f t="shared" si="15"/>
        <v>169</v>
      </c>
      <c r="AN21" s="218">
        <f t="shared" si="16"/>
        <v>72</v>
      </c>
      <c r="AO21" s="38">
        <f t="shared" si="17"/>
        <v>9063</v>
      </c>
      <c r="AP21" s="231">
        <v>4.0000000000000001E-3</v>
      </c>
      <c r="AQ21" s="33">
        <f t="shared" si="27"/>
        <v>4.0000000000000001E-3</v>
      </c>
      <c r="AR21" s="33">
        <f>IF(SUM($AO21)=0,"",INDEX(Cascade!$BG:$BG,MATCH($E21,Cascade!$E:$E,0)))</f>
        <v>0.95</v>
      </c>
      <c r="AS21" s="218">
        <f t="shared" si="18"/>
        <v>36</v>
      </c>
      <c r="AT21" s="218">
        <f t="shared" si="19"/>
        <v>9027</v>
      </c>
      <c r="AU21" s="38">
        <f t="shared" si="20"/>
        <v>34</v>
      </c>
      <c r="AV21" s="38">
        <f t="shared" si="21"/>
        <v>281</v>
      </c>
      <c r="AW21" s="38" t="str">
        <f>IFERROR(1/(1/INDEX(Cascade!$BH:$BH,MATCH($E21,Cascade!$E:$E,0))),"")</f>
        <v/>
      </c>
      <c r="AX21" s="38">
        <f t="shared" si="22"/>
        <v>76</v>
      </c>
      <c r="AY21" s="38">
        <f t="shared" si="23"/>
        <v>36</v>
      </c>
      <c r="AZ21" s="38" t="str">
        <f>IFERROR(1/(1/INDEX(TB!$P:$P,MATCH($E21,TB!$E:$E,0))),"")</f>
        <v/>
      </c>
      <c r="BA21" s="38">
        <f t="shared" si="24"/>
        <v>-112</v>
      </c>
    </row>
    <row r="22" spans="1:53" x14ac:dyDescent="0.2">
      <c r="A22" t="str">
        <f>INDEX(Prioritization!$D:$D,MATCH($B22,Prioritization!$A:$A,0))</f>
        <v>4 - Sustained</v>
      </c>
      <c r="B22" t="s">
        <v>313</v>
      </c>
      <c r="C22" t="s">
        <v>476</v>
      </c>
      <c r="D22" t="s">
        <v>30</v>
      </c>
      <c r="E22" t="str">
        <f t="shared" si="0"/>
        <v>Balaka District [ir8wuHHzoSs]|25-34|Female</v>
      </c>
      <c r="F22" s="38">
        <f>IF(LEFT($B22,4)="_Mil","",INDEX(Cascade!$T:$T,MATCH($E22,Cascade!$E:$E,0)))</f>
        <v>0</v>
      </c>
      <c r="G22" s="38">
        <f>IF(LEFT($B22,4)="_Mil","",INDEX(Cascade!$U:$U,MATCH($E22,Cascade!$E:$E,0)))</f>
        <v>0</v>
      </c>
      <c r="H22" s="110">
        <f>IF(LEFT($B22,4)="_Mil","",INDEX(Cascade!$W:$W,MATCH($E22,Cascade!$E:$E,0)))</f>
        <v>0</v>
      </c>
      <c r="I22" s="38">
        <f>IF(LEFT($B22,4)="_Mil","",INDEX(Cascade!$Z:$Z,MATCH($E22,Cascade!$E:$E,0)))</f>
        <v>0</v>
      </c>
      <c r="J22" s="33">
        <f>IF(LEFT($B22,4)="_Mil","",INDEX(Cascade!$AA:$AA,MATCH($E22,Cascade!$E:$E,0)))</f>
        <v>0</v>
      </c>
      <c r="K22" s="218">
        <f>IF(LEFT($B22,4)="_Mil","",_xlfn.IFNA(ROUND(INDEX(Spectrum!$N:$N,MATCH(RIGHT($B22,13)&amp;"|"&amp;$C22&amp;"|"&amp;$D22&amp;"|"&amp;K$14&amp;"|"&amp;"CY2024Q3",Spectrum!$R:$R,0)),0),""))</f>
        <v>4578</v>
      </c>
      <c r="L22" s="218">
        <f>IF(LEFT($B22,4)="_Mil","",_xlfn.IFNA(ROUND(INDEX(Spectrum!$N:$N,MATCH(RIGHT($B22,13)&amp;"|"&amp;$C22&amp;"|"&amp;$D22&amp;"|"&amp;L$14&amp;"|"&amp;"CY2024Q3",Spectrum!$R:$R,0)),0),""))</f>
        <v>241</v>
      </c>
      <c r="M22" s="218">
        <f>IF(LEFT($B22,4)="_Mil","",_xlfn.IFNA(ROUND(INDEX(Spectrum!$N:$N,MATCH(RIGHT($B22,13)&amp;"|"&amp;$C22&amp;"|"&amp;$D22&amp;"|"&amp;M$14&amp;"|"&amp;"CY2024Q3",Spectrum!$R:$R,0)),0),""))</f>
        <v>78</v>
      </c>
      <c r="N22" s="218">
        <f>IF(LEFT($B22,4)="_Mil","",_xlfn.IFNA(ROUND(INDEX(Spectrum!$N:$N,MATCH(RIGHT($B22,13)&amp;"|"&amp;$C22&amp;"|"&amp;$D22&amp;"|"&amp;N$14&amp;"|"&amp;"CY2024Q3",Spectrum!$R:$R,0)),0),""))</f>
        <v>4259</v>
      </c>
      <c r="O22" s="218">
        <f>IF(LEFT($B22,4)="_Mil","",_xlfn.IFNA(ROUND(INDEX(Spectrum!$N:$N,MATCH(RIGHT($B22,13)&amp;"|"&amp;$C22&amp;"|"&amp;$D22&amp;"|"&amp;O$14&amp;"|"&amp;"CY2024Q3",Spectrum!$R:$R,0)),0),""))</f>
        <v>319</v>
      </c>
      <c r="P22" s="218">
        <f>IF(LEFT($B22,4)="_Mil","",_xlfn.IFNA(ROUND(INDEX(Spectrum!$N:$N,MATCH(RIGHT($B22,13)&amp;"|"&amp;$C22&amp;"|"&amp;$D22&amp;"|"&amp;P$14&amp;"|"&amp;"CY2024Q3",Spectrum!$R:$R,0)),0),""))</f>
        <v>241</v>
      </c>
      <c r="Q22" s="218">
        <f>IF(LEFT($B22,4)="_Mil","",_xlfn.IFNA(ROUND(INDEX(Spectrum!$N:$N,MATCH(RIGHT($B22,13)&amp;"|"&amp;$C22&amp;"|"&amp;$D22&amp;"|"&amp;Q$14&amp;"|"&amp;"CY2024Q3",Spectrum!$R:$R,0)),0),""))</f>
        <v>78</v>
      </c>
      <c r="R22" s="38">
        <v>5212</v>
      </c>
      <c r="S22" s="33">
        <v>0</v>
      </c>
      <c r="T22" s="218">
        <f t="shared" si="25"/>
        <v>5212</v>
      </c>
      <c r="U22" s="33">
        <f t="shared" si="1"/>
        <v>1</v>
      </c>
      <c r="V22" s="218">
        <f t="shared" si="2"/>
        <v>5212</v>
      </c>
      <c r="W22" s="33">
        <v>7.6999999999999999E-2</v>
      </c>
      <c r="X22" s="33">
        <f t="shared" si="26"/>
        <v>7.6999999999999999E-2</v>
      </c>
      <c r="Y22" s="231">
        <v>1.0999999999999999E-2</v>
      </c>
      <c r="Z22" s="33">
        <f t="shared" si="3"/>
        <v>1.0999999999999999E-2</v>
      </c>
      <c r="AA22" s="38">
        <f t="shared" si="4"/>
        <v>5212</v>
      </c>
      <c r="AB22" s="218">
        <f t="shared" si="5"/>
        <v>401</v>
      </c>
      <c r="AC22" s="218">
        <f t="shared" si="6"/>
        <v>53</v>
      </c>
      <c r="AD22" s="218">
        <f t="shared" si="7"/>
        <v>4758</v>
      </c>
      <c r="AE22" s="38">
        <f t="shared" si="8"/>
        <v>5212</v>
      </c>
      <c r="AF22" s="218">
        <f t="shared" si="9"/>
        <v>401</v>
      </c>
      <c r="AG22" s="218">
        <f t="shared" si="10"/>
        <v>53</v>
      </c>
      <c r="AH22" s="218">
        <f t="shared" si="11"/>
        <v>4758</v>
      </c>
      <c r="AI22" s="33">
        <f>IF(SUM($AC22)=0,"",INDEX(Cascade!$BG:$BG,MATCH($E22,Cascade!$E:$E,0)))</f>
        <v>0.95</v>
      </c>
      <c r="AJ22" s="218">
        <f t="shared" si="12"/>
        <v>401</v>
      </c>
      <c r="AK22" s="218">
        <f t="shared" si="13"/>
        <v>50</v>
      </c>
      <c r="AL22" s="218">
        <f t="shared" si="14"/>
        <v>454</v>
      </c>
      <c r="AM22" s="218">
        <f t="shared" si="15"/>
        <v>401</v>
      </c>
      <c r="AN22" s="218">
        <f t="shared" si="16"/>
        <v>50</v>
      </c>
      <c r="AO22" s="38">
        <f t="shared" si="17"/>
        <v>4758</v>
      </c>
      <c r="AP22" s="231">
        <v>4.0000000000000001E-3</v>
      </c>
      <c r="AQ22" s="33">
        <f t="shared" si="27"/>
        <v>4.0000000000000001E-3</v>
      </c>
      <c r="AR22" s="33">
        <f>IF(SUM($AO22)=0,"",INDEX(Cascade!$BG:$BG,MATCH($E22,Cascade!$E:$E,0)))</f>
        <v>0.95</v>
      </c>
      <c r="AS22" s="218">
        <f t="shared" si="18"/>
        <v>19</v>
      </c>
      <c r="AT22" s="218">
        <f t="shared" si="19"/>
        <v>4739</v>
      </c>
      <c r="AU22" s="38">
        <f t="shared" si="20"/>
        <v>18</v>
      </c>
      <c r="AV22" s="38">
        <f t="shared" si="21"/>
        <v>473</v>
      </c>
      <c r="AW22" s="38" t="str">
        <f>IFERROR(1/(1/INDEX(Cascade!$BH:$BH,MATCH($E22,Cascade!$E:$E,0))),"")</f>
        <v/>
      </c>
      <c r="AX22" s="38">
        <f t="shared" si="22"/>
        <v>53</v>
      </c>
      <c r="AY22" s="38">
        <f t="shared" si="23"/>
        <v>19</v>
      </c>
      <c r="AZ22" s="38" t="str">
        <f>IFERROR(1/(1/INDEX(TB!$P:$P,MATCH($E22,TB!$E:$E,0))),"")</f>
        <v/>
      </c>
      <c r="BA22" s="38">
        <f t="shared" si="24"/>
        <v>-72</v>
      </c>
    </row>
    <row r="23" spans="1:53" x14ac:dyDescent="0.2">
      <c r="A23" t="str">
        <f>INDEX(Prioritization!$D:$D,MATCH($B23,Prioritization!$A:$A,0))</f>
        <v>4 - Sustained</v>
      </c>
      <c r="B23" t="s">
        <v>313</v>
      </c>
      <c r="C23" t="s">
        <v>477</v>
      </c>
      <c r="D23" t="s">
        <v>30</v>
      </c>
      <c r="E23" t="str">
        <f t="shared" si="0"/>
        <v>Balaka District [ir8wuHHzoSs]|35-49|Female</v>
      </c>
      <c r="F23" s="38">
        <f>IF(LEFT($B23,4)="_Mil","",INDEX(Cascade!$T:$T,MATCH($E23,Cascade!$E:$E,0)))</f>
        <v>0</v>
      </c>
      <c r="G23" s="38">
        <f>IF(LEFT($B23,4)="_Mil","",INDEX(Cascade!$U:$U,MATCH($E23,Cascade!$E:$E,0)))</f>
        <v>0</v>
      </c>
      <c r="H23" s="110">
        <f>IF(LEFT($B23,4)="_Mil","",INDEX(Cascade!$W:$W,MATCH($E23,Cascade!$E:$E,0)))</f>
        <v>0</v>
      </c>
      <c r="I23" s="38">
        <f>IF(LEFT($B23,4)="_Mil","",INDEX(Cascade!$Z:$Z,MATCH($E23,Cascade!$E:$E,0)))</f>
        <v>0</v>
      </c>
      <c r="J23" s="33">
        <f>IF(LEFT($B23,4)="_Mil","",INDEX(Cascade!$AA:$AA,MATCH($E23,Cascade!$E:$E,0)))</f>
        <v>0</v>
      </c>
      <c r="K23" s="218">
        <f>IF(LEFT($B23,4)="_Mil","",_xlfn.IFNA(ROUND(INDEX(Spectrum!$N:$N,MATCH(RIGHT($B23,13)&amp;"|"&amp;$C23&amp;"|"&amp;$D23&amp;"|"&amp;K$14&amp;"|"&amp;"CY2024Q3",Spectrum!$R:$R,0)),0),""))</f>
        <v>1742</v>
      </c>
      <c r="L23" s="218">
        <f>IF(LEFT($B23,4)="_Mil","",_xlfn.IFNA(ROUND(INDEX(Spectrum!$N:$N,MATCH(RIGHT($B23,13)&amp;"|"&amp;$C23&amp;"|"&amp;$D23&amp;"|"&amp;L$14&amp;"|"&amp;"CY2024Q3",Spectrum!$R:$R,0)),0),""))</f>
        <v>195</v>
      </c>
      <c r="M23" s="218">
        <f>IF(LEFT($B23,4)="_Mil","",_xlfn.IFNA(ROUND(INDEX(Spectrum!$N:$N,MATCH(RIGHT($B23,13)&amp;"|"&amp;$C23&amp;"|"&amp;$D23&amp;"|"&amp;M$14&amp;"|"&amp;"CY2024Q3",Spectrum!$R:$R,0)),0),""))</f>
        <v>21</v>
      </c>
      <c r="N23" s="218">
        <f>IF(LEFT($B23,4)="_Mil","",_xlfn.IFNA(ROUND(INDEX(Spectrum!$N:$N,MATCH(RIGHT($B23,13)&amp;"|"&amp;$C23&amp;"|"&amp;$D23&amp;"|"&amp;N$14&amp;"|"&amp;"CY2024Q3",Spectrum!$R:$R,0)),0),""))</f>
        <v>1525</v>
      </c>
      <c r="O23" s="218">
        <f>IF(LEFT($B23,4)="_Mil","",_xlfn.IFNA(ROUND(INDEX(Spectrum!$N:$N,MATCH(RIGHT($B23,13)&amp;"|"&amp;$C23&amp;"|"&amp;$D23&amp;"|"&amp;O$14&amp;"|"&amp;"CY2024Q3",Spectrum!$R:$R,0)),0),""))</f>
        <v>217</v>
      </c>
      <c r="P23" s="218">
        <f>IF(LEFT($B23,4)="_Mil","",_xlfn.IFNA(ROUND(INDEX(Spectrum!$N:$N,MATCH(RIGHT($B23,13)&amp;"|"&amp;$C23&amp;"|"&amp;$D23&amp;"|"&amp;P$14&amp;"|"&amp;"CY2024Q3",Spectrum!$R:$R,0)),0),""))</f>
        <v>195</v>
      </c>
      <c r="Q23" s="218">
        <f>IF(LEFT($B23,4)="_Mil","",_xlfn.IFNA(ROUND(INDEX(Spectrum!$N:$N,MATCH(RIGHT($B23,13)&amp;"|"&amp;$C23&amp;"|"&amp;$D23&amp;"|"&amp;Q$14&amp;"|"&amp;"CY2024Q3",Spectrum!$R:$R,0)),0),""))</f>
        <v>21</v>
      </c>
      <c r="R23" s="38">
        <v>1380</v>
      </c>
      <c r="S23" s="33">
        <v>0</v>
      </c>
      <c r="T23" s="218">
        <f t="shared" si="25"/>
        <v>1380</v>
      </c>
      <c r="U23" s="33">
        <f t="shared" si="1"/>
        <v>0.79219288174512059</v>
      </c>
      <c r="V23" s="218">
        <f t="shared" si="2"/>
        <v>1742</v>
      </c>
      <c r="W23" s="33">
        <v>0.124</v>
      </c>
      <c r="X23" s="33">
        <f t="shared" si="26"/>
        <v>0.124</v>
      </c>
      <c r="Y23" s="231">
        <v>1.0999999999999999E-2</v>
      </c>
      <c r="Z23" s="33">
        <f t="shared" si="3"/>
        <v>1.0999999999999999E-2</v>
      </c>
      <c r="AA23" s="38">
        <f t="shared" si="4"/>
        <v>1380</v>
      </c>
      <c r="AB23" s="218">
        <f t="shared" si="5"/>
        <v>171</v>
      </c>
      <c r="AC23" s="218">
        <f t="shared" si="6"/>
        <v>13</v>
      </c>
      <c r="AD23" s="218">
        <f t="shared" si="7"/>
        <v>1196</v>
      </c>
      <c r="AE23" s="38">
        <f t="shared" si="8"/>
        <v>1742</v>
      </c>
      <c r="AF23" s="218">
        <f t="shared" si="9"/>
        <v>216</v>
      </c>
      <c r="AG23" s="218">
        <f t="shared" si="10"/>
        <v>17</v>
      </c>
      <c r="AH23" s="218">
        <f t="shared" si="11"/>
        <v>1509</v>
      </c>
      <c r="AI23" s="33">
        <f>IF(SUM($AC23)=0,"",INDEX(Cascade!$BG:$BG,MATCH($E23,Cascade!$E:$E,0)))</f>
        <v>0.95</v>
      </c>
      <c r="AJ23" s="218">
        <f t="shared" si="12"/>
        <v>171</v>
      </c>
      <c r="AK23" s="218">
        <f t="shared" si="13"/>
        <v>12</v>
      </c>
      <c r="AL23" s="218">
        <f t="shared" si="14"/>
        <v>233</v>
      </c>
      <c r="AM23" s="218">
        <f t="shared" si="15"/>
        <v>216</v>
      </c>
      <c r="AN23" s="218">
        <f t="shared" si="16"/>
        <v>16</v>
      </c>
      <c r="AO23" s="38">
        <f t="shared" si="17"/>
        <v>1196</v>
      </c>
      <c r="AP23" s="231">
        <v>4.0000000000000001E-3</v>
      </c>
      <c r="AQ23" s="33">
        <f t="shared" si="27"/>
        <v>4.0000000000000001E-3</v>
      </c>
      <c r="AR23" s="33">
        <f>IF(SUM($AO23)=0,"",INDEX(Cascade!$BG:$BG,MATCH($E23,Cascade!$E:$E,0)))</f>
        <v>0.95</v>
      </c>
      <c r="AS23" s="218">
        <f t="shared" si="18"/>
        <v>5</v>
      </c>
      <c r="AT23" s="218">
        <f t="shared" si="19"/>
        <v>1191</v>
      </c>
      <c r="AU23" s="38">
        <f t="shared" si="20"/>
        <v>5</v>
      </c>
      <c r="AV23" s="38">
        <f t="shared" si="21"/>
        <v>189</v>
      </c>
      <c r="AW23" s="38" t="str">
        <f>IFERROR(1/(1/INDEX(Cascade!$BH:$BH,MATCH($E23,Cascade!$E:$E,0))),"")</f>
        <v/>
      </c>
      <c r="AX23" s="38">
        <f t="shared" si="22"/>
        <v>13</v>
      </c>
      <c r="AY23" s="38">
        <f t="shared" si="23"/>
        <v>5</v>
      </c>
      <c r="AZ23" s="38" t="str">
        <f>IFERROR(1/(1/INDEX(TB!$P:$P,MATCH($E23,TB!$E:$E,0))),"")</f>
        <v/>
      </c>
      <c r="BA23" s="38">
        <f t="shared" si="24"/>
        <v>-18</v>
      </c>
    </row>
    <row r="24" spans="1:53" x14ac:dyDescent="0.2">
      <c r="A24" t="str">
        <f>INDEX(Prioritization!$D:$D,MATCH($B24,Prioritization!$A:$A,0))</f>
        <v>4 - Sustained</v>
      </c>
      <c r="B24" t="s">
        <v>313</v>
      </c>
      <c r="C24" t="s">
        <v>478</v>
      </c>
      <c r="D24" t="s">
        <v>30</v>
      </c>
      <c r="E24" t="str">
        <f t="shared" si="0"/>
        <v>Balaka District [ir8wuHHzoSs]|50+|Female</v>
      </c>
      <c r="F24" s="38">
        <f>IF(LEFT($B24,4)="_Mil","",INDEX(Cascade!$T:$T,MATCH($E24,Cascade!$E:$E,0)))</f>
        <v>0</v>
      </c>
      <c r="G24" s="38">
        <f>IF(LEFT($B24,4)="_Mil","",INDEX(Cascade!$U:$U,MATCH($E24,Cascade!$E:$E,0)))</f>
        <v>0</v>
      </c>
      <c r="H24" s="110">
        <f>IF(LEFT($B24,4)="_Mil","",INDEX(Cascade!$W:$W,MATCH($E24,Cascade!$E:$E,0)))</f>
        <v>0</v>
      </c>
      <c r="I24" s="38">
        <f>IF(LEFT($B24,4)="_Mil","",INDEX(Cascade!$Z:$Z,MATCH($E24,Cascade!$E:$E,0)))</f>
        <v>0</v>
      </c>
      <c r="J24" s="33">
        <f>IF(LEFT($B24,4)="_Mil","",INDEX(Cascade!$AA:$AA,MATCH($E24,Cascade!$E:$E,0)))</f>
        <v>0</v>
      </c>
      <c r="K24" s="218" t="str">
        <f>IF(LEFT($B24,4)="_Mil","",_xlfn.IFNA(ROUND(INDEX(Spectrum!$N:$N,MATCH(RIGHT($B24,13)&amp;"|"&amp;$C24&amp;"|"&amp;$D24&amp;"|"&amp;K$14&amp;"|"&amp;"CY2024Q3",Spectrum!$R:$R,0)),0),""))</f>
        <v/>
      </c>
      <c r="L24" s="218" t="str">
        <f>IF(LEFT($B24,4)="_Mil","",_xlfn.IFNA(ROUND(INDEX(Spectrum!$N:$N,MATCH(RIGHT($B24,13)&amp;"|"&amp;$C24&amp;"|"&amp;$D24&amp;"|"&amp;L$14&amp;"|"&amp;"CY2024Q3",Spectrum!$R:$R,0)),0),""))</f>
        <v/>
      </c>
      <c r="M24" s="218" t="str">
        <f>IF(LEFT($B24,4)="_Mil","",_xlfn.IFNA(ROUND(INDEX(Spectrum!$N:$N,MATCH(RIGHT($B24,13)&amp;"|"&amp;$C24&amp;"|"&amp;$D24&amp;"|"&amp;M$14&amp;"|"&amp;"CY2024Q3",Spectrum!$R:$R,0)),0),""))</f>
        <v/>
      </c>
      <c r="N24" s="218" t="str">
        <f>IF(LEFT($B24,4)="_Mil","",_xlfn.IFNA(ROUND(INDEX(Spectrum!$N:$N,MATCH(RIGHT($B24,13)&amp;"|"&amp;$C24&amp;"|"&amp;$D24&amp;"|"&amp;N$14&amp;"|"&amp;"CY2024Q3",Spectrum!$R:$R,0)),0),""))</f>
        <v/>
      </c>
      <c r="O24" s="218" t="str">
        <f>IF(LEFT($B24,4)="_Mil","",_xlfn.IFNA(ROUND(INDEX(Spectrum!$N:$N,MATCH(RIGHT($B24,13)&amp;"|"&amp;$C24&amp;"|"&amp;$D24&amp;"|"&amp;O$14&amp;"|"&amp;"CY2024Q3",Spectrum!$R:$R,0)),0),""))</f>
        <v/>
      </c>
      <c r="P24" s="218" t="str">
        <f>IF(LEFT($B24,4)="_Mil","",_xlfn.IFNA(ROUND(INDEX(Spectrum!$N:$N,MATCH(RIGHT($B24,13)&amp;"|"&amp;$C24&amp;"|"&amp;$D24&amp;"|"&amp;P$14&amp;"|"&amp;"CY2024Q3",Spectrum!$R:$R,0)),0),""))</f>
        <v/>
      </c>
      <c r="Q24" s="218" t="str">
        <f>IF(LEFT($B24,4)="_Mil","",_xlfn.IFNA(ROUND(INDEX(Spectrum!$N:$N,MATCH(RIGHT($B24,13)&amp;"|"&amp;$C24&amp;"|"&amp;$D24&amp;"|"&amp;Q$14&amp;"|"&amp;"CY2024Q3",Spectrum!$R:$R,0)),0),""))</f>
        <v/>
      </c>
      <c r="R24" s="38">
        <v>14</v>
      </c>
      <c r="S24" s="33">
        <v>0</v>
      </c>
      <c r="T24" s="218">
        <f t="shared" si="25"/>
        <v>14</v>
      </c>
      <c r="U24" s="33">
        <f t="shared" si="1"/>
        <v>1</v>
      </c>
      <c r="V24" s="218">
        <f t="shared" si="2"/>
        <v>14</v>
      </c>
      <c r="W24" s="33">
        <v>0.124</v>
      </c>
      <c r="X24" s="33">
        <f t="shared" si="26"/>
        <v>0.124</v>
      </c>
      <c r="Y24" s="231">
        <v>1.0999999999999999E-2</v>
      </c>
      <c r="Z24" s="33">
        <f t="shared" si="3"/>
        <v>1.0999999999999999E-2</v>
      </c>
      <c r="AA24" s="38">
        <f t="shared" si="4"/>
        <v>14</v>
      </c>
      <c r="AB24" s="218">
        <f t="shared" si="5"/>
        <v>2</v>
      </c>
      <c r="AC24" s="218">
        <f t="shared" si="6"/>
        <v>0</v>
      </c>
      <c r="AD24" s="218">
        <f t="shared" si="7"/>
        <v>12</v>
      </c>
      <c r="AE24" s="38">
        <f t="shared" si="8"/>
        <v>14</v>
      </c>
      <c r="AF24" s="218">
        <f t="shared" si="9"/>
        <v>2</v>
      </c>
      <c r="AG24" s="218">
        <f t="shared" si="10"/>
        <v>0</v>
      </c>
      <c r="AH24" s="218">
        <f t="shared" si="11"/>
        <v>12</v>
      </c>
      <c r="AI24" s="33" t="str">
        <f>IF(SUM($AC24)=0,"",INDEX(Cascade!$BG:$BG,MATCH($E24,Cascade!$E:$E,0)))</f>
        <v/>
      </c>
      <c r="AJ24" s="218">
        <f t="shared" si="12"/>
        <v>2</v>
      </c>
      <c r="AK24" s="218" t="str">
        <f t="shared" si="13"/>
        <v/>
      </c>
      <c r="AL24" s="218">
        <f t="shared" si="14"/>
        <v>2</v>
      </c>
      <c r="AM24" s="218">
        <f t="shared" si="15"/>
        <v>2</v>
      </c>
      <c r="AN24" s="218" t="str">
        <f t="shared" si="16"/>
        <v/>
      </c>
      <c r="AO24" s="38">
        <f t="shared" si="17"/>
        <v>12</v>
      </c>
      <c r="AP24" s="231">
        <v>4.0000000000000001E-3</v>
      </c>
      <c r="AQ24" s="33">
        <f t="shared" si="27"/>
        <v>4.0000000000000001E-3</v>
      </c>
      <c r="AR24" s="33">
        <f>IF(SUM($AO24)=0,"",INDEX(Cascade!$BG:$BG,MATCH($E24,Cascade!$E:$E,0)))</f>
        <v>0.95</v>
      </c>
      <c r="AS24" s="218">
        <f t="shared" si="18"/>
        <v>0</v>
      </c>
      <c r="AT24" s="218">
        <f t="shared" si="19"/>
        <v>12</v>
      </c>
      <c r="AU24" s="38" t="str">
        <f t="shared" si="20"/>
        <v/>
      </c>
      <c r="AV24" s="38">
        <f t="shared" si="21"/>
        <v>2</v>
      </c>
      <c r="AW24" s="38" t="str">
        <f>IFERROR(1/(1/INDEX(Cascade!$BH:$BH,MATCH($E24,Cascade!$E:$E,0))),"")</f>
        <v/>
      </c>
      <c r="AX24" s="38" t="str">
        <f t="shared" si="22"/>
        <v/>
      </c>
      <c r="AY24" s="38" t="str">
        <f t="shared" si="23"/>
        <v/>
      </c>
      <c r="AZ24" s="38" t="str">
        <f>IFERROR(1/(1/INDEX(TB!$P:$P,MATCH($E24,TB!$E:$E,0))),"")</f>
        <v/>
      </c>
      <c r="BA24" s="38" t="str">
        <f t="shared" si="24"/>
        <v/>
      </c>
    </row>
    <row r="25" spans="1:53" x14ac:dyDescent="0.2">
      <c r="A25" t="str">
        <f>INDEX(Prioritization!$D:$D,MATCH($B25,Prioritization!$A:$A,0))</f>
        <v>1 - Scale-up: Saturation</v>
      </c>
      <c r="B25" t="s">
        <v>314</v>
      </c>
      <c r="C25" t="s">
        <v>474</v>
      </c>
      <c r="D25" t="s">
        <v>30</v>
      </c>
      <c r="E25" t="str">
        <f t="shared" si="0"/>
        <v>Blantyre District [mxqa3CDFmIT]|10-14|Female</v>
      </c>
      <c r="F25" s="38">
        <f>IF(LEFT($B25,4)="_Mil","",INDEX(Cascade!$T:$T,MATCH($E25,Cascade!$E:$E,0)))</f>
        <v>86772</v>
      </c>
      <c r="G25" s="38">
        <f>IF(LEFT($B25,4)="_Mil","",INDEX(Cascade!$U:$U,MATCH($E25,Cascade!$E:$E,0)))</f>
        <v>1295</v>
      </c>
      <c r="H25" s="110">
        <f>IF(LEFT($B25,4)="_Mil","",INDEX(Cascade!$W:$W,MATCH($E25,Cascade!$E:$E,0)))</f>
        <v>1.4928187000000001E-2</v>
      </c>
      <c r="I25" s="38">
        <f>IF(LEFT($B25,4)="_Mil","",INDEX(Cascade!$Z:$Z,MATCH($E25,Cascade!$E:$E,0)))</f>
        <v>948</v>
      </c>
      <c r="J25" s="33">
        <f>IF(LEFT($B25,4)="_Mil","",INDEX(Cascade!$AA:$AA,MATCH($E25,Cascade!$E:$E,0)))</f>
        <v>0.71552081099999998</v>
      </c>
      <c r="K25" s="218" t="str">
        <f>IF(LEFT($B25,4)="_Mil","",_xlfn.IFNA(ROUND(INDEX(Spectrum!$N:$N,MATCH(RIGHT($B25,13)&amp;"|"&amp;$C25&amp;"|"&amp;$D25&amp;"|"&amp;K$14&amp;"|"&amp;"CY2024Q3",Spectrum!$R:$R,0)),0),""))</f>
        <v/>
      </c>
      <c r="L25" s="218" t="str">
        <f>IF(LEFT($B25,4)="_Mil","",_xlfn.IFNA(ROUND(INDEX(Spectrum!$N:$N,MATCH(RIGHT($B25,13)&amp;"|"&amp;$C25&amp;"|"&amp;$D25&amp;"|"&amp;L$14&amp;"|"&amp;"CY2024Q3",Spectrum!$R:$R,0)),0),""))</f>
        <v/>
      </c>
      <c r="M25" s="218" t="str">
        <f>IF(LEFT($B25,4)="_Mil","",_xlfn.IFNA(ROUND(INDEX(Spectrum!$N:$N,MATCH(RIGHT($B25,13)&amp;"|"&amp;$C25&amp;"|"&amp;$D25&amp;"|"&amp;M$14&amp;"|"&amp;"CY2024Q3",Spectrum!$R:$R,0)),0),""))</f>
        <v/>
      </c>
      <c r="N25" s="218" t="str">
        <f>IF(LEFT($B25,4)="_Mil","",_xlfn.IFNA(ROUND(INDEX(Spectrum!$N:$N,MATCH(RIGHT($B25,13)&amp;"|"&amp;$C25&amp;"|"&amp;$D25&amp;"|"&amp;N$14&amp;"|"&amp;"CY2024Q3",Spectrum!$R:$R,0)),0),""))</f>
        <v/>
      </c>
      <c r="O25" s="218" t="str">
        <f>IF(LEFT($B25,4)="_Mil","",_xlfn.IFNA(ROUND(INDEX(Spectrum!$N:$N,MATCH(RIGHT($B25,13)&amp;"|"&amp;$C25&amp;"|"&amp;$D25&amp;"|"&amp;O$14&amp;"|"&amp;"CY2024Q3",Spectrum!$R:$R,0)),0),""))</f>
        <v/>
      </c>
      <c r="P25" s="218" t="str">
        <f>IF(LEFT($B25,4)="_Mil","",_xlfn.IFNA(ROUND(INDEX(Spectrum!$N:$N,MATCH(RIGHT($B25,13)&amp;"|"&amp;$C25&amp;"|"&amp;$D25&amp;"|"&amp;P$14&amp;"|"&amp;"CY2024Q3",Spectrum!$R:$R,0)),0),""))</f>
        <v/>
      </c>
      <c r="Q25" s="218" t="str">
        <f>IF(LEFT($B25,4)="_Mil","",_xlfn.IFNA(ROUND(INDEX(Spectrum!$N:$N,MATCH(RIGHT($B25,13)&amp;"|"&amp;$C25&amp;"|"&amp;$D25&amp;"|"&amp;Q$14&amp;"|"&amp;"CY2024Q3",Spectrum!$R:$R,0)),0),""))</f>
        <v/>
      </c>
      <c r="R25" s="38">
        <v>135</v>
      </c>
      <c r="S25" s="33">
        <v>0</v>
      </c>
      <c r="T25" s="218">
        <f t="shared" si="25"/>
        <v>135</v>
      </c>
      <c r="U25" s="33">
        <f t="shared" si="1"/>
        <v>1</v>
      </c>
      <c r="V25" s="218">
        <f t="shared" si="2"/>
        <v>135</v>
      </c>
      <c r="W25" s="33">
        <v>0.14299999999999999</v>
      </c>
      <c r="X25" s="33">
        <f t="shared" si="26"/>
        <v>0.14299999999999999</v>
      </c>
      <c r="Y25" s="231">
        <v>8.0000000000000002E-3</v>
      </c>
      <c r="Z25" s="33">
        <f t="shared" si="3"/>
        <v>8.0000000000000002E-3</v>
      </c>
      <c r="AA25" s="38">
        <f t="shared" si="4"/>
        <v>135</v>
      </c>
      <c r="AB25" s="218">
        <f t="shared" si="5"/>
        <v>19</v>
      </c>
      <c r="AC25" s="218">
        <f t="shared" si="6"/>
        <v>1</v>
      </c>
      <c r="AD25" s="218">
        <f t="shared" si="7"/>
        <v>115</v>
      </c>
      <c r="AE25" s="38">
        <f t="shared" si="8"/>
        <v>135</v>
      </c>
      <c r="AF25" s="218">
        <f t="shared" si="9"/>
        <v>19</v>
      </c>
      <c r="AG25" s="218">
        <f t="shared" si="10"/>
        <v>1</v>
      </c>
      <c r="AH25" s="218">
        <f t="shared" si="11"/>
        <v>115</v>
      </c>
      <c r="AI25" s="33">
        <f>IF(SUM($AC25)=0,"",INDEX(Cascade!$BG:$BG,MATCH($E25,Cascade!$E:$E,0)))</f>
        <v>0.95</v>
      </c>
      <c r="AJ25" s="218">
        <f t="shared" si="12"/>
        <v>19</v>
      </c>
      <c r="AK25" s="218">
        <f t="shared" si="13"/>
        <v>1</v>
      </c>
      <c r="AL25" s="218">
        <f t="shared" si="14"/>
        <v>20</v>
      </c>
      <c r="AM25" s="218">
        <f t="shared" si="15"/>
        <v>19</v>
      </c>
      <c r="AN25" s="218">
        <f t="shared" si="16"/>
        <v>1</v>
      </c>
      <c r="AO25" s="38">
        <f t="shared" si="17"/>
        <v>115</v>
      </c>
      <c r="AP25" s="232">
        <v>4.0000000000000001E-3</v>
      </c>
      <c r="AQ25" s="33">
        <f t="shared" si="27"/>
        <v>4.0000000000000001E-3</v>
      </c>
      <c r="AR25" s="33">
        <f>IF(SUM($AO25)=0,"",INDEX(Cascade!$BG:$BG,MATCH($E25,Cascade!$E:$E,0)))</f>
        <v>0.95</v>
      </c>
      <c r="AS25" s="218">
        <f t="shared" si="18"/>
        <v>0</v>
      </c>
      <c r="AT25" s="218">
        <f t="shared" si="19"/>
        <v>115</v>
      </c>
      <c r="AU25" s="38" t="str">
        <f t="shared" si="20"/>
        <v/>
      </c>
      <c r="AV25" s="38">
        <f t="shared" si="21"/>
        <v>20</v>
      </c>
      <c r="AW25" s="38">
        <f>IFERROR(1/(1/INDEX(Cascade!$BH:$BH,MATCH($E25,Cascade!$E:$E,0))),"")</f>
        <v>22</v>
      </c>
      <c r="AX25" s="38">
        <f t="shared" si="22"/>
        <v>1</v>
      </c>
      <c r="AY25" s="38" t="str">
        <f t="shared" si="23"/>
        <v/>
      </c>
      <c r="AZ25" s="38" t="str">
        <f>IFERROR(1/(1/INDEX(TB!$P:$P,MATCH($E25,TB!$E:$E,0))),"")</f>
        <v/>
      </c>
      <c r="BA25" s="38">
        <f t="shared" si="24"/>
        <v>21</v>
      </c>
    </row>
    <row r="26" spans="1:53" x14ac:dyDescent="0.2">
      <c r="A26" t="str">
        <f>INDEX(Prioritization!$D:$D,MATCH($B26,Prioritization!$A:$A,0))</f>
        <v>1 - Scale-up: Saturation</v>
      </c>
      <c r="B26" t="s">
        <v>314</v>
      </c>
      <c r="C26" t="s">
        <v>475</v>
      </c>
      <c r="D26" t="s">
        <v>30</v>
      </c>
      <c r="E26" t="str">
        <f t="shared" si="0"/>
        <v>Blantyre District [mxqa3CDFmIT]|15-24|Female</v>
      </c>
      <c r="F26" s="38">
        <f>IF(LEFT($B26,4)="_Mil","",INDEX(Cascade!$T:$T,MATCH($E26,Cascade!$E:$E,0)))</f>
        <v>0</v>
      </c>
      <c r="G26" s="38">
        <f>IF(LEFT($B26,4)="_Mil","",INDEX(Cascade!$U:$U,MATCH($E26,Cascade!$E:$E,0)))</f>
        <v>0</v>
      </c>
      <c r="H26" s="110">
        <f>IF(LEFT($B26,4)="_Mil","",INDEX(Cascade!$W:$W,MATCH($E26,Cascade!$E:$E,0)))</f>
        <v>0</v>
      </c>
      <c r="I26" s="38">
        <f>IF(LEFT($B26,4)="_Mil","",INDEX(Cascade!$Z:$Z,MATCH($E26,Cascade!$E:$E,0)))</f>
        <v>0</v>
      </c>
      <c r="J26" s="33">
        <f>IF(LEFT($B26,4)="_Mil","",INDEX(Cascade!$AA:$AA,MATCH($E26,Cascade!$E:$E,0)))</f>
        <v>0</v>
      </c>
      <c r="K26" s="218">
        <f>IF(LEFT($B26,4)="_Mil","",_xlfn.IFNA(ROUND(INDEX(Spectrum!$N:$N,MATCH(RIGHT($B26,13)&amp;"|"&amp;$C26&amp;"|"&amp;$D26&amp;"|"&amp;K$14&amp;"|"&amp;"CY2024Q3",Spectrum!$R:$R,0)),0),""))</f>
        <v>17441</v>
      </c>
      <c r="L26" s="218">
        <f>IF(LEFT($B26,4)="_Mil","",_xlfn.IFNA(ROUND(INDEX(Spectrum!$N:$N,MATCH(RIGHT($B26,13)&amp;"|"&amp;$C26&amp;"|"&amp;$D26&amp;"|"&amp;L$14&amp;"|"&amp;"CY2024Q3",Spectrum!$R:$R,0)),0),""))</f>
        <v>393</v>
      </c>
      <c r="M26" s="218">
        <f>IF(LEFT($B26,4)="_Mil","",_xlfn.IFNA(ROUND(INDEX(Spectrum!$N:$N,MATCH(RIGHT($B26,13)&amp;"|"&amp;$C26&amp;"|"&amp;$D26&amp;"|"&amp;M$14&amp;"|"&amp;"CY2024Q3",Spectrum!$R:$R,0)),0),""))</f>
        <v>211</v>
      </c>
      <c r="N26" s="218">
        <f>IF(LEFT($B26,4)="_Mil","",_xlfn.IFNA(ROUND(INDEX(Spectrum!$N:$N,MATCH(RIGHT($B26,13)&amp;"|"&amp;$C26&amp;"|"&amp;$D26&amp;"|"&amp;N$14&amp;"|"&amp;"CY2024Q3",Spectrum!$R:$R,0)),0),""))</f>
        <v>16837</v>
      </c>
      <c r="O26" s="218">
        <f>IF(LEFT($B26,4)="_Mil","",_xlfn.IFNA(ROUND(INDEX(Spectrum!$N:$N,MATCH(RIGHT($B26,13)&amp;"|"&amp;$C26&amp;"|"&amp;$D26&amp;"|"&amp;O$14&amp;"|"&amp;"CY2024Q3",Spectrum!$R:$R,0)),0),""))</f>
        <v>604</v>
      </c>
      <c r="P26" s="218">
        <f>IF(LEFT($B26,4)="_Mil","",_xlfn.IFNA(ROUND(INDEX(Spectrum!$N:$N,MATCH(RIGHT($B26,13)&amp;"|"&amp;$C26&amp;"|"&amp;$D26&amp;"|"&amp;P$14&amp;"|"&amp;"CY2024Q3",Spectrum!$R:$R,0)),0),""))</f>
        <v>393</v>
      </c>
      <c r="Q26" s="218">
        <f>IF(LEFT($B26,4)="_Mil","",_xlfn.IFNA(ROUND(INDEX(Spectrum!$N:$N,MATCH(RIGHT($B26,13)&amp;"|"&amp;$C26&amp;"|"&amp;$D26&amp;"|"&amp;Q$14&amp;"|"&amp;"CY2024Q3",Spectrum!$R:$R,0)),0),""))</f>
        <v>211</v>
      </c>
      <c r="R26" s="38">
        <v>27678</v>
      </c>
      <c r="S26" s="33">
        <v>0</v>
      </c>
      <c r="T26" s="218">
        <f t="shared" si="25"/>
        <v>27678</v>
      </c>
      <c r="U26" s="33">
        <f t="shared" si="1"/>
        <v>1</v>
      </c>
      <c r="V26" s="218">
        <f t="shared" si="2"/>
        <v>27678</v>
      </c>
      <c r="W26" s="33">
        <v>0.05</v>
      </c>
      <c r="X26" s="33">
        <f t="shared" si="26"/>
        <v>0.05</v>
      </c>
      <c r="Y26" s="231">
        <v>8.9999999999999993E-3</v>
      </c>
      <c r="Z26" s="33">
        <f t="shared" si="3"/>
        <v>8.9999999999999993E-3</v>
      </c>
      <c r="AA26" s="38">
        <f t="shared" si="4"/>
        <v>27678</v>
      </c>
      <c r="AB26" s="218">
        <f t="shared" si="5"/>
        <v>1384</v>
      </c>
      <c r="AC26" s="218">
        <f t="shared" si="6"/>
        <v>237</v>
      </c>
      <c r="AD26" s="218">
        <f t="shared" si="7"/>
        <v>26057</v>
      </c>
      <c r="AE26" s="38">
        <f t="shared" si="8"/>
        <v>27678</v>
      </c>
      <c r="AF26" s="218">
        <f t="shared" si="9"/>
        <v>1384</v>
      </c>
      <c r="AG26" s="218">
        <f t="shared" si="10"/>
        <v>237</v>
      </c>
      <c r="AH26" s="218">
        <f t="shared" si="11"/>
        <v>26057</v>
      </c>
      <c r="AI26" s="33">
        <f>IF(SUM($AC26)=0,"",INDEX(Cascade!$BG:$BG,MATCH($E26,Cascade!$E:$E,0)))</f>
        <v>0</v>
      </c>
      <c r="AJ26" s="218">
        <f t="shared" si="12"/>
        <v>1384</v>
      </c>
      <c r="AK26" s="218">
        <f t="shared" si="13"/>
        <v>0</v>
      </c>
      <c r="AL26" s="218">
        <f t="shared" si="14"/>
        <v>1621</v>
      </c>
      <c r="AM26" s="218">
        <f t="shared" si="15"/>
        <v>1384</v>
      </c>
      <c r="AN26" s="218">
        <f t="shared" si="16"/>
        <v>0</v>
      </c>
      <c r="AO26" s="38">
        <f t="shared" si="17"/>
        <v>26057</v>
      </c>
      <c r="AP26" s="232">
        <v>4.0000000000000001E-3</v>
      </c>
      <c r="AQ26" s="33">
        <f t="shared" si="27"/>
        <v>4.0000000000000001E-3</v>
      </c>
      <c r="AR26" s="33">
        <f>IF(SUM($AO26)=0,"",INDEX(Cascade!$BG:$BG,MATCH($E26,Cascade!$E:$E,0)))</f>
        <v>0</v>
      </c>
      <c r="AS26" s="218">
        <f>IF(SUM($AO26)=0,"",IF(AND(SUM($AO26)&gt;0,$AQ26=""),"ENTER YIELD RATE",ROUND($AO26*$AQ26,0)))</f>
        <v>104</v>
      </c>
      <c r="AT26" s="218">
        <f t="shared" si="19"/>
        <v>25953</v>
      </c>
      <c r="AU26" s="38">
        <f t="shared" si="20"/>
        <v>0</v>
      </c>
      <c r="AV26" s="38">
        <f t="shared" si="21"/>
        <v>1725</v>
      </c>
      <c r="AW26" s="38" t="str">
        <f>IFERROR(1/(1/INDEX(Cascade!$BH:$BH,MATCH($E26,Cascade!$E:$E,0))),"")</f>
        <v/>
      </c>
      <c r="AX26" s="38">
        <f t="shared" si="22"/>
        <v>237</v>
      </c>
      <c r="AY26" s="38">
        <f t="shared" si="23"/>
        <v>104</v>
      </c>
      <c r="AZ26" s="38" t="str">
        <f>IFERROR(1/(1/INDEX(TB!$P:$P,MATCH($E26,TB!$E:$E,0))),"")</f>
        <v/>
      </c>
      <c r="BA26" s="38">
        <f t="shared" si="24"/>
        <v>-341</v>
      </c>
    </row>
    <row r="27" spans="1:53" x14ac:dyDescent="0.2">
      <c r="A27" t="str">
        <f>INDEX(Prioritization!$D:$D,MATCH($B27,Prioritization!$A:$A,0))</f>
        <v>1 - Scale-up: Saturation</v>
      </c>
      <c r="B27" t="s">
        <v>314</v>
      </c>
      <c r="C27" t="s">
        <v>476</v>
      </c>
      <c r="D27" t="s">
        <v>30</v>
      </c>
      <c r="E27" t="str">
        <f t="shared" si="0"/>
        <v>Blantyre District [mxqa3CDFmIT]|25-34|Female</v>
      </c>
      <c r="F27" s="38">
        <f>IF(LEFT($B27,4)="_Mil","",INDEX(Cascade!$T:$T,MATCH($E27,Cascade!$E:$E,0)))</f>
        <v>133812</v>
      </c>
      <c r="G27" s="38">
        <f>IF(LEFT($B27,4)="_Mil","",INDEX(Cascade!$U:$U,MATCH($E27,Cascade!$E:$E,0)))</f>
        <v>17031</v>
      </c>
      <c r="H27" s="110">
        <f>IF(LEFT($B27,4)="_Mil","",INDEX(Cascade!$W:$W,MATCH($E27,Cascade!$E:$E,0)))</f>
        <v>0.12727746600000001</v>
      </c>
      <c r="I27" s="38">
        <f>IF(LEFT($B27,4)="_Mil","",INDEX(Cascade!$Z:$Z,MATCH($E27,Cascade!$E:$E,0)))</f>
        <v>16750</v>
      </c>
      <c r="J27" s="33">
        <f>IF(LEFT($B27,4)="_Mil","",INDEX(Cascade!$AA:$AA,MATCH($E27,Cascade!$E:$E,0)))</f>
        <v>0.95868927699999995</v>
      </c>
      <c r="K27" s="218">
        <f>IF(LEFT($B27,4)="_Mil","",_xlfn.IFNA(ROUND(INDEX(Spectrum!$N:$N,MATCH(RIGHT($B27,13)&amp;"|"&amp;$C27&amp;"|"&amp;$D27&amp;"|"&amp;K$14&amp;"|"&amp;"CY2024Q3",Spectrum!$R:$R,0)),0),""))</f>
        <v>12472</v>
      </c>
      <c r="L27" s="218">
        <f>IF(LEFT($B27,4)="_Mil","",_xlfn.IFNA(ROUND(INDEX(Spectrum!$N:$N,MATCH(RIGHT($B27,13)&amp;"|"&amp;$C27&amp;"|"&amp;$D27&amp;"|"&amp;L$14&amp;"|"&amp;"CY2024Q3",Spectrum!$R:$R,0)),0),""))</f>
        <v>894</v>
      </c>
      <c r="M27" s="218">
        <f>IF(LEFT($B27,4)="_Mil","",_xlfn.IFNA(ROUND(INDEX(Spectrum!$N:$N,MATCH(RIGHT($B27,13)&amp;"|"&amp;$C27&amp;"|"&amp;$D27&amp;"|"&amp;M$14&amp;"|"&amp;"CY2024Q3",Spectrum!$R:$R,0)),0),""))</f>
        <v>339</v>
      </c>
      <c r="N27" s="218">
        <f>IF(LEFT($B27,4)="_Mil","",_xlfn.IFNA(ROUND(INDEX(Spectrum!$N:$N,MATCH(RIGHT($B27,13)&amp;"|"&amp;$C27&amp;"|"&amp;$D27&amp;"|"&amp;N$14&amp;"|"&amp;"CY2024Q3",Spectrum!$R:$R,0)),0),""))</f>
        <v>11240</v>
      </c>
      <c r="O27" s="218">
        <f>IF(LEFT($B27,4)="_Mil","",_xlfn.IFNA(ROUND(INDEX(Spectrum!$N:$N,MATCH(RIGHT($B27,13)&amp;"|"&amp;$C27&amp;"|"&amp;$D27&amp;"|"&amp;O$14&amp;"|"&amp;"CY2024Q3",Spectrum!$R:$R,0)),0),""))</f>
        <v>1232</v>
      </c>
      <c r="P27" s="218">
        <f>IF(LEFT($B27,4)="_Mil","",_xlfn.IFNA(ROUND(INDEX(Spectrum!$N:$N,MATCH(RIGHT($B27,13)&amp;"|"&amp;$C27&amp;"|"&amp;$D27&amp;"|"&amp;P$14&amp;"|"&amp;"CY2024Q3",Spectrum!$R:$R,0)),0),""))</f>
        <v>894</v>
      </c>
      <c r="Q27" s="218">
        <f>IF(LEFT($B27,4)="_Mil","",_xlfn.IFNA(ROUND(INDEX(Spectrum!$N:$N,MATCH(RIGHT($B27,13)&amp;"|"&amp;$C27&amp;"|"&amp;$D27&amp;"|"&amp;Q$14&amp;"|"&amp;"CY2024Q3",Spectrum!$R:$R,0)),0),""))</f>
        <v>339</v>
      </c>
      <c r="R27" s="38">
        <v>19712</v>
      </c>
      <c r="S27" s="33">
        <v>0</v>
      </c>
      <c r="T27" s="218">
        <f t="shared" si="25"/>
        <v>19712</v>
      </c>
      <c r="U27" s="33">
        <f t="shared" si="1"/>
        <v>1</v>
      </c>
      <c r="V27" s="218">
        <f t="shared" si="2"/>
        <v>19712</v>
      </c>
      <c r="W27" s="33">
        <v>8.1000000000000003E-2</v>
      </c>
      <c r="X27" s="33">
        <f t="shared" si="26"/>
        <v>8.1000000000000003E-2</v>
      </c>
      <c r="Y27" s="231">
        <v>1.7999999999999999E-2</v>
      </c>
      <c r="Z27" s="33">
        <f t="shared" si="3"/>
        <v>1.7999999999999999E-2</v>
      </c>
      <c r="AA27" s="38">
        <f t="shared" si="4"/>
        <v>19712</v>
      </c>
      <c r="AB27" s="218">
        <f t="shared" si="5"/>
        <v>1597</v>
      </c>
      <c r="AC27" s="218">
        <f t="shared" si="6"/>
        <v>326</v>
      </c>
      <c r="AD27" s="218">
        <f t="shared" si="7"/>
        <v>17789</v>
      </c>
      <c r="AE27" s="38">
        <f t="shared" si="8"/>
        <v>19712</v>
      </c>
      <c r="AF27" s="218">
        <f t="shared" si="9"/>
        <v>1597</v>
      </c>
      <c r="AG27" s="218">
        <f t="shared" si="10"/>
        <v>326</v>
      </c>
      <c r="AH27" s="218">
        <f t="shared" si="11"/>
        <v>17789</v>
      </c>
      <c r="AI27" s="33">
        <f>IF(SUM($AC27)=0,"",INDEX(Cascade!$BG:$BG,MATCH($E27,Cascade!$E:$E,0)))</f>
        <v>0.95</v>
      </c>
      <c r="AJ27" s="218">
        <f t="shared" si="12"/>
        <v>1597</v>
      </c>
      <c r="AK27" s="218">
        <f t="shared" si="13"/>
        <v>310</v>
      </c>
      <c r="AL27" s="218">
        <f t="shared" si="14"/>
        <v>1923</v>
      </c>
      <c r="AM27" s="218">
        <f t="shared" si="15"/>
        <v>1597</v>
      </c>
      <c r="AN27" s="218">
        <f t="shared" si="16"/>
        <v>310</v>
      </c>
      <c r="AO27" s="38">
        <f t="shared" si="17"/>
        <v>17789</v>
      </c>
      <c r="AP27" s="232">
        <v>7.0000000000000001E-3</v>
      </c>
      <c r="AQ27" s="33">
        <f t="shared" si="27"/>
        <v>7.0000000000000001E-3</v>
      </c>
      <c r="AR27" s="33">
        <f>IF(SUM($AO27)=0,"",INDEX(Cascade!$BG:$BG,MATCH($E27,Cascade!$E:$E,0)))</f>
        <v>0.95</v>
      </c>
      <c r="AS27" s="218">
        <f t="shared" si="18"/>
        <v>125</v>
      </c>
      <c r="AT27" s="218">
        <f t="shared" si="19"/>
        <v>17664</v>
      </c>
      <c r="AU27" s="38">
        <f t="shared" si="20"/>
        <v>119</v>
      </c>
      <c r="AV27" s="38">
        <f t="shared" si="21"/>
        <v>2048</v>
      </c>
      <c r="AW27" s="38">
        <f>IFERROR(1/(1/INDEX(Cascade!$BH:$BH,MATCH($E27,Cascade!$E:$E,0))),"")</f>
        <v>988</v>
      </c>
      <c r="AX27" s="38">
        <f t="shared" si="22"/>
        <v>326</v>
      </c>
      <c r="AY27" s="38">
        <f t="shared" si="23"/>
        <v>125</v>
      </c>
      <c r="AZ27" s="38" t="str">
        <f>IFERROR(1/(1/INDEX(TB!$P:$P,MATCH($E27,TB!$E:$E,0))),"")</f>
        <v/>
      </c>
      <c r="BA27" s="38">
        <f t="shared" si="24"/>
        <v>537</v>
      </c>
    </row>
    <row r="28" spans="1:53" x14ac:dyDescent="0.2">
      <c r="A28" t="str">
        <f>INDEX(Prioritization!$D:$D,MATCH($B28,Prioritization!$A:$A,0))</f>
        <v>1 - Scale-up: Saturation</v>
      </c>
      <c r="B28" t="s">
        <v>314</v>
      </c>
      <c r="C28" t="s">
        <v>477</v>
      </c>
      <c r="D28" t="s">
        <v>30</v>
      </c>
      <c r="E28" t="str">
        <f t="shared" si="0"/>
        <v>Blantyre District [mxqa3CDFmIT]|35-49|Female</v>
      </c>
      <c r="F28" s="38">
        <f>IF(LEFT($B28,4)="_Mil","",INDEX(Cascade!$T:$T,MATCH($E28,Cascade!$E:$E,0)))</f>
        <v>119548</v>
      </c>
      <c r="G28" s="38">
        <f>IF(LEFT($B28,4)="_Mil","",INDEX(Cascade!$U:$U,MATCH($E28,Cascade!$E:$E,0)))</f>
        <v>37173</v>
      </c>
      <c r="H28" s="110">
        <f>IF(LEFT($B28,4)="_Mil","",INDEX(Cascade!$W:$W,MATCH($E28,Cascade!$E:$E,0)))</f>
        <v>0.31094217200000002</v>
      </c>
      <c r="I28" s="38">
        <f>IF(LEFT($B28,4)="_Mil","",INDEX(Cascade!$Z:$Z,MATCH($E28,Cascade!$E:$E,0)))</f>
        <v>37538</v>
      </c>
      <c r="J28" s="33">
        <f>IF(LEFT($B28,4)="_Mil","",INDEX(Cascade!$AA:$AA,MATCH($E28,Cascade!$E:$E,0)))</f>
        <v>0.97917629800000006</v>
      </c>
      <c r="K28" s="218">
        <f>IF(LEFT($B28,4)="_Mil","",_xlfn.IFNA(ROUND(INDEX(Spectrum!$N:$N,MATCH(RIGHT($B28,13)&amp;"|"&amp;$C28&amp;"|"&amp;$D28&amp;"|"&amp;K$14&amp;"|"&amp;"CY2024Q3",Spectrum!$R:$R,0)),0),""))</f>
        <v>4240</v>
      </c>
      <c r="L28" s="218">
        <f>IF(LEFT($B28,4)="_Mil","",_xlfn.IFNA(ROUND(INDEX(Spectrum!$N:$N,MATCH(RIGHT($B28,13)&amp;"|"&amp;$C28&amp;"|"&amp;$D28&amp;"|"&amp;L$14&amp;"|"&amp;"CY2024Q3",Spectrum!$R:$R,0)),0),""))</f>
        <v>699</v>
      </c>
      <c r="M28" s="218">
        <f>IF(LEFT($B28,4)="_Mil","",_xlfn.IFNA(ROUND(INDEX(Spectrum!$N:$N,MATCH(RIGHT($B28,13)&amp;"|"&amp;$C28&amp;"|"&amp;$D28&amp;"|"&amp;M$14&amp;"|"&amp;"CY2024Q3",Spectrum!$R:$R,0)),0),""))</f>
        <v>91</v>
      </c>
      <c r="N28" s="218">
        <f>IF(LEFT($B28,4)="_Mil","",_xlfn.IFNA(ROUND(INDEX(Spectrum!$N:$N,MATCH(RIGHT($B28,13)&amp;"|"&amp;$C28&amp;"|"&amp;$D28&amp;"|"&amp;N$14&amp;"|"&amp;"CY2024Q3",Spectrum!$R:$R,0)),0),""))</f>
        <v>3450</v>
      </c>
      <c r="O28" s="218">
        <f>IF(LEFT($B28,4)="_Mil","",_xlfn.IFNA(ROUND(INDEX(Spectrum!$N:$N,MATCH(RIGHT($B28,13)&amp;"|"&amp;$C28&amp;"|"&amp;$D28&amp;"|"&amp;O$14&amp;"|"&amp;"CY2024Q3",Spectrum!$R:$R,0)),0),""))</f>
        <v>790</v>
      </c>
      <c r="P28" s="218">
        <f>IF(LEFT($B28,4)="_Mil","",_xlfn.IFNA(ROUND(INDEX(Spectrum!$N:$N,MATCH(RIGHT($B28,13)&amp;"|"&amp;$C28&amp;"|"&amp;$D28&amp;"|"&amp;P$14&amp;"|"&amp;"CY2024Q3",Spectrum!$R:$R,0)),0),""))</f>
        <v>699</v>
      </c>
      <c r="Q28" s="218">
        <f>IF(LEFT($B28,4)="_Mil","",_xlfn.IFNA(ROUND(INDEX(Spectrum!$N:$N,MATCH(RIGHT($B28,13)&amp;"|"&amp;$C28&amp;"|"&amp;$D28&amp;"|"&amp;Q$14&amp;"|"&amp;"CY2024Q3",Spectrum!$R:$R,0)),0),""))</f>
        <v>91</v>
      </c>
      <c r="R28" s="38">
        <v>1740</v>
      </c>
      <c r="S28" s="33">
        <v>0</v>
      </c>
      <c r="T28" s="218">
        <f t="shared" si="25"/>
        <v>1740</v>
      </c>
      <c r="U28" s="33">
        <f t="shared" si="1"/>
        <v>0.41037735849056606</v>
      </c>
      <c r="V28" s="218">
        <f t="shared" si="2"/>
        <v>4240</v>
      </c>
      <c r="W28" s="33">
        <v>0.153</v>
      </c>
      <c r="X28" s="33">
        <f t="shared" si="26"/>
        <v>0.16485849056603774</v>
      </c>
      <c r="Y28" s="231">
        <v>1.7999999999999999E-2</v>
      </c>
      <c r="Z28" s="33">
        <f t="shared" si="3"/>
        <v>1.7999999999999999E-2</v>
      </c>
      <c r="AA28" s="38">
        <f t="shared" si="4"/>
        <v>1740</v>
      </c>
      <c r="AB28" s="218">
        <f t="shared" si="5"/>
        <v>287</v>
      </c>
      <c r="AC28" s="218">
        <f t="shared" si="6"/>
        <v>26</v>
      </c>
      <c r="AD28" s="218">
        <f t="shared" si="7"/>
        <v>1427</v>
      </c>
      <c r="AE28" s="38">
        <f t="shared" si="8"/>
        <v>4240</v>
      </c>
      <c r="AF28" s="218">
        <f t="shared" si="9"/>
        <v>699</v>
      </c>
      <c r="AG28" s="218">
        <f t="shared" si="10"/>
        <v>64</v>
      </c>
      <c r="AH28" s="218">
        <f t="shared" si="11"/>
        <v>3477</v>
      </c>
      <c r="AI28" s="33">
        <f>IF(SUM($AC28)=0,"",INDEX(Cascade!$BG:$BG,MATCH($E28,Cascade!$E:$E,0)))</f>
        <v>0.95</v>
      </c>
      <c r="AJ28" s="218">
        <f t="shared" si="12"/>
        <v>287</v>
      </c>
      <c r="AK28" s="218">
        <f t="shared" si="13"/>
        <v>25</v>
      </c>
      <c r="AL28" s="218">
        <f t="shared" si="14"/>
        <v>763</v>
      </c>
      <c r="AM28" s="218">
        <f t="shared" si="15"/>
        <v>699</v>
      </c>
      <c r="AN28" s="218">
        <f t="shared" si="16"/>
        <v>61</v>
      </c>
      <c r="AO28" s="38">
        <f t="shared" si="17"/>
        <v>1427</v>
      </c>
      <c r="AP28" s="232">
        <v>8.9999999999999993E-3</v>
      </c>
      <c r="AQ28" s="33">
        <f t="shared" si="27"/>
        <v>8.9999999999999993E-3</v>
      </c>
      <c r="AR28" s="33">
        <f>IF(SUM($AO28)=0,"",INDEX(Cascade!$BG:$BG,MATCH($E28,Cascade!$E:$E,0)))</f>
        <v>0.95</v>
      </c>
      <c r="AS28" s="218">
        <f t="shared" si="18"/>
        <v>13</v>
      </c>
      <c r="AT28" s="218">
        <f t="shared" si="19"/>
        <v>1414</v>
      </c>
      <c r="AU28" s="38">
        <f t="shared" si="20"/>
        <v>12</v>
      </c>
      <c r="AV28" s="38">
        <f t="shared" si="21"/>
        <v>326</v>
      </c>
      <c r="AW28" s="38">
        <f>IFERROR(1/(1/INDEX(Cascade!$BH:$BH,MATCH($E28,Cascade!$E:$E,0))),"")</f>
        <v>1858.0000000000002</v>
      </c>
      <c r="AX28" s="38">
        <f t="shared" si="22"/>
        <v>26</v>
      </c>
      <c r="AY28" s="38">
        <f t="shared" si="23"/>
        <v>13</v>
      </c>
      <c r="AZ28" s="38">
        <f>IFERROR(1/(1/INDEX(TB!$P:$P,MATCH($E28,TB!$E:$E,0))),"")</f>
        <v>14</v>
      </c>
      <c r="BA28" s="38">
        <f t="shared" si="24"/>
        <v>1805.0000000000002</v>
      </c>
    </row>
    <row r="29" spans="1:53" x14ac:dyDescent="0.2">
      <c r="A29" t="str">
        <f>INDEX(Prioritization!$D:$D,MATCH($B29,Prioritization!$A:$A,0))</f>
        <v>1 - Scale-up: Saturation</v>
      </c>
      <c r="B29" t="s">
        <v>314</v>
      </c>
      <c r="C29" t="s">
        <v>478</v>
      </c>
      <c r="D29" t="s">
        <v>30</v>
      </c>
      <c r="E29" t="str">
        <f t="shared" si="0"/>
        <v>Blantyre District [mxqa3CDFmIT]|50+|Female</v>
      </c>
      <c r="F29" s="38">
        <f>IF(LEFT($B29,4)="_Mil","",INDEX(Cascade!$T:$T,MATCH($E29,Cascade!$E:$E,0)))</f>
        <v>49877</v>
      </c>
      <c r="G29" s="38">
        <f>IF(LEFT($B29,4)="_Mil","",INDEX(Cascade!$U:$U,MATCH($E29,Cascade!$E:$E,0)))</f>
        <v>13177</v>
      </c>
      <c r="H29" s="110">
        <f>IF(LEFT($B29,4)="_Mil","",INDEX(Cascade!$W:$W,MATCH($E29,Cascade!$E:$E,0)))</f>
        <v>0.26418321500000003</v>
      </c>
      <c r="I29" s="38">
        <f>IF(LEFT($B29,4)="_Mil","",INDEX(Cascade!$Z:$Z,MATCH($E29,Cascade!$E:$E,0)))</f>
        <v>13790</v>
      </c>
      <c r="J29" s="33">
        <f>IF(LEFT($B29,4)="_Mil","",INDEX(Cascade!$AA:$AA,MATCH($E29,Cascade!$E:$E,0)))</f>
        <v>0.98584084500000002</v>
      </c>
      <c r="K29" s="218" t="str">
        <f>IF(LEFT($B29,4)="_Mil","",_xlfn.IFNA(ROUND(INDEX(Spectrum!$N:$N,MATCH(RIGHT($B29,13)&amp;"|"&amp;$C29&amp;"|"&amp;$D29&amp;"|"&amp;K$14&amp;"|"&amp;"CY2024Q3",Spectrum!$R:$R,0)),0),""))</f>
        <v/>
      </c>
      <c r="L29" s="218" t="str">
        <f>IF(LEFT($B29,4)="_Mil","",_xlfn.IFNA(ROUND(INDEX(Spectrum!$N:$N,MATCH(RIGHT($B29,13)&amp;"|"&amp;$C29&amp;"|"&amp;$D29&amp;"|"&amp;L$14&amp;"|"&amp;"CY2024Q3",Spectrum!$R:$R,0)),0),""))</f>
        <v/>
      </c>
      <c r="M29" s="218" t="str">
        <f>IF(LEFT($B29,4)="_Mil","",_xlfn.IFNA(ROUND(INDEX(Spectrum!$N:$N,MATCH(RIGHT($B29,13)&amp;"|"&amp;$C29&amp;"|"&amp;$D29&amp;"|"&amp;M$14&amp;"|"&amp;"CY2024Q3",Spectrum!$R:$R,0)),0),""))</f>
        <v/>
      </c>
      <c r="N29" s="218" t="str">
        <f>IF(LEFT($B29,4)="_Mil","",_xlfn.IFNA(ROUND(INDEX(Spectrum!$N:$N,MATCH(RIGHT($B29,13)&amp;"|"&amp;$C29&amp;"|"&amp;$D29&amp;"|"&amp;N$14&amp;"|"&amp;"CY2024Q3",Spectrum!$R:$R,0)),0),""))</f>
        <v/>
      </c>
      <c r="O29" s="218" t="str">
        <f>IF(LEFT($B29,4)="_Mil","",_xlfn.IFNA(ROUND(INDEX(Spectrum!$N:$N,MATCH(RIGHT($B29,13)&amp;"|"&amp;$C29&amp;"|"&amp;$D29&amp;"|"&amp;O$14&amp;"|"&amp;"CY2024Q3",Spectrum!$R:$R,0)),0),""))</f>
        <v/>
      </c>
      <c r="P29" s="218" t="str">
        <f>IF(LEFT($B29,4)="_Mil","",_xlfn.IFNA(ROUND(INDEX(Spectrum!$N:$N,MATCH(RIGHT($B29,13)&amp;"|"&amp;$C29&amp;"|"&amp;$D29&amp;"|"&amp;P$14&amp;"|"&amp;"CY2024Q3",Spectrum!$R:$R,0)),0),""))</f>
        <v/>
      </c>
      <c r="Q29" s="218" t="str">
        <f>IF(LEFT($B29,4)="_Mil","",_xlfn.IFNA(ROUND(INDEX(Spectrum!$N:$N,MATCH(RIGHT($B29,13)&amp;"|"&amp;$C29&amp;"|"&amp;$D29&amp;"|"&amp;Q$14&amp;"|"&amp;"CY2024Q3",Spectrum!$R:$R,0)),0),""))</f>
        <v/>
      </c>
      <c r="R29" s="38">
        <v>41</v>
      </c>
      <c r="S29" s="33">
        <v>0</v>
      </c>
      <c r="T29" s="218">
        <f t="shared" si="25"/>
        <v>41</v>
      </c>
      <c r="U29" s="33">
        <f t="shared" si="1"/>
        <v>1</v>
      </c>
      <c r="V29" s="218">
        <f t="shared" si="2"/>
        <v>41</v>
      </c>
      <c r="W29" s="33">
        <v>5.2999999999999999E-2</v>
      </c>
      <c r="X29" s="33">
        <f t="shared" si="26"/>
        <v>5.2999999999999999E-2</v>
      </c>
      <c r="Y29" s="231">
        <v>1.4E-2</v>
      </c>
      <c r="Z29" s="33">
        <f t="shared" si="3"/>
        <v>1.4E-2</v>
      </c>
      <c r="AA29" s="38">
        <f t="shared" si="4"/>
        <v>41</v>
      </c>
      <c r="AB29" s="218">
        <f t="shared" si="5"/>
        <v>2</v>
      </c>
      <c r="AC29" s="218">
        <f t="shared" si="6"/>
        <v>1</v>
      </c>
      <c r="AD29" s="218">
        <f t="shared" si="7"/>
        <v>38</v>
      </c>
      <c r="AE29" s="38">
        <f t="shared" si="8"/>
        <v>41</v>
      </c>
      <c r="AF29" s="218">
        <f t="shared" si="9"/>
        <v>2</v>
      </c>
      <c r="AG29" s="218">
        <f t="shared" si="10"/>
        <v>1</v>
      </c>
      <c r="AH29" s="218">
        <f t="shared" si="11"/>
        <v>38</v>
      </c>
      <c r="AI29" s="33">
        <f>IF(SUM($AC29)=0,"",INDEX(Cascade!$BG:$BG,MATCH($E29,Cascade!$E:$E,0)))</f>
        <v>0.95</v>
      </c>
      <c r="AJ29" s="218">
        <f t="shared" si="12"/>
        <v>2</v>
      </c>
      <c r="AK29" s="218">
        <f t="shared" si="13"/>
        <v>1</v>
      </c>
      <c r="AL29" s="218">
        <f t="shared" si="14"/>
        <v>3</v>
      </c>
      <c r="AM29" s="218">
        <f t="shared" si="15"/>
        <v>2</v>
      </c>
      <c r="AN29" s="218">
        <f t="shared" si="16"/>
        <v>1</v>
      </c>
      <c r="AO29" s="38">
        <f t="shared" si="17"/>
        <v>38</v>
      </c>
      <c r="AP29" s="232">
        <v>6.0000000000000001E-3</v>
      </c>
      <c r="AQ29" s="33">
        <f t="shared" si="27"/>
        <v>6.0000000000000001E-3</v>
      </c>
      <c r="AR29" s="33">
        <f>IF(SUM($AO29)=0,"",INDEX(Cascade!$BG:$BG,MATCH($E29,Cascade!$E:$E,0)))</f>
        <v>0.95</v>
      </c>
      <c r="AS29" s="218">
        <f t="shared" si="18"/>
        <v>0</v>
      </c>
      <c r="AT29" s="218">
        <f t="shared" si="19"/>
        <v>38</v>
      </c>
      <c r="AU29" s="38" t="str">
        <f t="shared" si="20"/>
        <v/>
      </c>
      <c r="AV29" s="38">
        <f t="shared" si="21"/>
        <v>3</v>
      </c>
      <c r="AW29" s="38">
        <f>IFERROR(1/(1/INDEX(Cascade!$BH:$BH,MATCH($E29,Cascade!$E:$E,0))),"")</f>
        <v>882</v>
      </c>
      <c r="AX29" s="38">
        <f t="shared" si="22"/>
        <v>1</v>
      </c>
      <c r="AY29" s="38" t="str">
        <f t="shared" si="23"/>
        <v/>
      </c>
      <c r="AZ29" s="38">
        <f>IFERROR(1/(1/INDEX(TB!$P:$P,MATCH($E29,TB!$E:$E,0))),"")</f>
        <v>5</v>
      </c>
      <c r="BA29" s="38">
        <f t="shared" si="24"/>
        <v>876</v>
      </c>
    </row>
    <row r="30" spans="1:53" x14ac:dyDescent="0.2">
      <c r="A30" t="str">
        <f>INDEX(Prioritization!$D:$D,MATCH($B30,Prioritization!$A:$A,0))</f>
        <v>1 - Scale-up: Saturation</v>
      </c>
      <c r="B30" t="s">
        <v>315</v>
      </c>
      <c r="C30" t="s">
        <v>474</v>
      </c>
      <c r="D30" t="s">
        <v>30</v>
      </c>
      <c r="E30" t="str">
        <f t="shared" si="0"/>
        <v>Chikwawa District [U8c0so51kT6]|10-14|Female</v>
      </c>
      <c r="F30" s="38">
        <f>IF(LEFT($B30,4)="_Mil","",INDEX(Cascade!$T:$T,MATCH($E30,Cascade!$E:$E,0)))</f>
        <v>41803</v>
      </c>
      <c r="G30" s="38">
        <f>IF(LEFT($B30,4)="_Mil","",INDEX(Cascade!$U:$U,MATCH($E30,Cascade!$E:$E,0)))</f>
        <v>535</v>
      </c>
      <c r="H30" s="110">
        <f>IF(LEFT($B30,4)="_Mil","",INDEX(Cascade!$W:$W,MATCH($E30,Cascade!$E:$E,0)))</f>
        <v>1.2805311E-2</v>
      </c>
      <c r="I30" s="38">
        <f>IF(LEFT($B30,4)="_Mil","",INDEX(Cascade!$Z:$Z,MATCH($E30,Cascade!$E:$E,0)))</f>
        <v>420</v>
      </c>
      <c r="J30" s="33">
        <f>IF(LEFT($B30,4)="_Mil","",INDEX(Cascade!$AA:$AA,MATCH($E30,Cascade!$E:$E,0)))</f>
        <v>0.85945853100000003</v>
      </c>
      <c r="K30" s="218" t="str">
        <f>IF(LEFT($B30,4)="_Mil","",_xlfn.IFNA(ROUND(INDEX(Spectrum!$N:$N,MATCH(RIGHT($B30,13)&amp;"|"&amp;$C30&amp;"|"&amp;$D30&amp;"|"&amp;K$14&amp;"|"&amp;"CY2024Q3",Spectrum!$R:$R,0)),0),""))</f>
        <v/>
      </c>
      <c r="L30" s="218" t="str">
        <f>IF(LEFT($B30,4)="_Mil","",_xlfn.IFNA(ROUND(INDEX(Spectrum!$N:$N,MATCH(RIGHT($B30,13)&amp;"|"&amp;$C30&amp;"|"&amp;$D30&amp;"|"&amp;L$14&amp;"|"&amp;"CY2024Q3",Spectrum!$R:$R,0)),0),""))</f>
        <v/>
      </c>
      <c r="M30" s="218" t="str">
        <f>IF(LEFT($B30,4)="_Mil","",_xlfn.IFNA(ROUND(INDEX(Spectrum!$N:$N,MATCH(RIGHT($B30,13)&amp;"|"&amp;$C30&amp;"|"&amp;$D30&amp;"|"&amp;M$14&amp;"|"&amp;"CY2024Q3",Spectrum!$R:$R,0)),0),""))</f>
        <v/>
      </c>
      <c r="N30" s="218" t="str">
        <f>IF(LEFT($B30,4)="_Mil","",_xlfn.IFNA(ROUND(INDEX(Spectrum!$N:$N,MATCH(RIGHT($B30,13)&amp;"|"&amp;$C30&amp;"|"&amp;$D30&amp;"|"&amp;N$14&amp;"|"&amp;"CY2024Q3",Spectrum!$R:$R,0)),0),""))</f>
        <v/>
      </c>
      <c r="O30" s="218" t="str">
        <f>IF(LEFT($B30,4)="_Mil","",_xlfn.IFNA(ROUND(INDEX(Spectrum!$N:$N,MATCH(RIGHT($B30,13)&amp;"|"&amp;$C30&amp;"|"&amp;$D30&amp;"|"&amp;O$14&amp;"|"&amp;"CY2024Q3",Spectrum!$R:$R,0)),0),""))</f>
        <v/>
      </c>
      <c r="P30" s="218" t="str">
        <f>IF(LEFT($B30,4)="_Mil","",_xlfn.IFNA(ROUND(INDEX(Spectrum!$N:$N,MATCH(RIGHT($B30,13)&amp;"|"&amp;$C30&amp;"|"&amp;$D30&amp;"|"&amp;P$14&amp;"|"&amp;"CY2024Q3",Spectrum!$R:$R,0)),0),""))</f>
        <v/>
      </c>
      <c r="Q30" s="218" t="str">
        <f>IF(LEFT($B30,4)="_Mil","",_xlfn.IFNA(ROUND(INDEX(Spectrum!$N:$N,MATCH(RIGHT($B30,13)&amp;"|"&amp;$C30&amp;"|"&amp;$D30&amp;"|"&amp;Q$14&amp;"|"&amp;"CY2024Q3",Spectrum!$R:$R,0)),0),""))</f>
        <v/>
      </c>
      <c r="R30" s="38">
        <v>69</v>
      </c>
      <c r="S30" s="33">
        <v>0</v>
      </c>
      <c r="T30" s="218">
        <f t="shared" si="25"/>
        <v>69</v>
      </c>
      <c r="U30" s="33">
        <f t="shared" si="1"/>
        <v>1</v>
      </c>
      <c r="V30" s="218">
        <f t="shared" si="2"/>
        <v>69</v>
      </c>
      <c r="W30" s="33">
        <v>2.1999999999999999E-2</v>
      </c>
      <c r="X30" s="33">
        <f t="shared" si="26"/>
        <v>2.1999999999999999E-2</v>
      </c>
      <c r="Y30" s="231">
        <v>8.0000000000000002E-3</v>
      </c>
      <c r="Z30" s="33">
        <f t="shared" si="3"/>
        <v>8.0000000000000002E-3</v>
      </c>
      <c r="AA30" s="38">
        <f t="shared" si="4"/>
        <v>69</v>
      </c>
      <c r="AB30" s="218">
        <f t="shared" si="5"/>
        <v>2</v>
      </c>
      <c r="AC30" s="218">
        <f t="shared" si="6"/>
        <v>1</v>
      </c>
      <c r="AD30" s="218">
        <f t="shared" si="7"/>
        <v>66</v>
      </c>
      <c r="AE30" s="38">
        <f t="shared" si="8"/>
        <v>69</v>
      </c>
      <c r="AF30" s="218">
        <f t="shared" si="9"/>
        <v>2</v>
      </c>
      <c r="AG30" s="218">
        <f t="shared" si="10"/>
        <v>1</v>
      </c>
      <c r="AH30" s="218">
        <f t="shared" si="11"/>
        <v>66</v>
      </c>
      <c r="AI30" s="33">
        <f>IF(SUM($AC30)=0,"",INDEX(Cascade!$BG:$BG,MATCH($E30,Cascade!$E:$E,0)))</f>
        <v>0.95</v>
      </c>
      <c r="AJ30" s="218">
        <f t="shared" si="12"/>
        <v>2</v>
      </c>
      <c r="AK30" s="218">
        <f t="shared" si="13"/>
        <v>1</v>
      </c>
      <c r="AL30" s="218">
        <f t="shared" si="14"/>
        <v>3</v>
      </c>
      <c r="AM30" s="218">
        <f t="shared" si="15"/>
        <v>2</v>
      </c>
      <c r="AN30" s="218">
        <f t="shared" si="16"/>
        <v>1</v>
      </c>
      <c r="AO30" s="38">
        <f t="shared" si="17"/>
        <v>66</v>
      </c>
      <c r="AP30" s="232">
        <v>4.0000000000000001E-3</v>
      </c>
      <c r="AQ30" s="33">
        <f t="shared" si="27"/>
        <v>4.0000000000000001E-3</v>
      </c>
      <c r="AR30" s="33">
        <f>IF(SUM($AO30)=0,"",INDEX(Cascade!$BG:$BG,MATCH($E30,Cascade!$E:$E,0)))</f>
        <v>0.95</v>
      </c>
      <c r="AS30" s="218">
        <f t="shared" si="18"/>
        <v>0</v>
      </c>
      <c r="AT30" s="218">
        <f t="shared" si="19"/>
        <v>66</v>
      </c>
      <c r="AU30" s="38" t="str">
        <f t="shared" si="20"/>
        <v/>
      </c>
      <c r="AV30" s="38">
        <f t="shared" si="21"/>
        <v>3</v>
      </c>
      <c r="AW30" s="38">
        <f>IFERROR(1/(1/INDEX(Cascade!$BH:$BH,MATCH($E30,Cascade!$E:$E,0))),"")</f>
        <v>17</v>
      </c>
      <c r="AX30" s="38">
        <f t="shared" si="22"/>
        <v>1</v>
      </c>
      <c r="AY30" s="38" t="str">
        <f t="shared" si="23"/>
        <v/>
      </c>
      <c r="AZ30" s="38" t="str">
        <f>IFERROR(1/(1/INDEX(TB!$P:$P,MATCH($E30,TB!$E:$E,0))),"")</f>
        <v/>
      </c>
      <c r="BA30" s="38">
        <f t="shared" si="24"/>
        <v>16</v>
      </c>
    </row>
    <row r="31" spans="1:53" x14ac:dyDescent="0.2">
      <c r="A31" t="str">
        <f>INDEX(Prioritization!$D:$D,MATCH($B31,Prioritization!$A:$A,0))</f>
        <v>1 - Scale-up: Saturation</v>
      </c>
      <c r="B31" t="s">
        <v>315</v>
      </c>
      <c r="C31" t="s">
        <v>475</v>
      </c>
      <c r="D31" t="s">
        <v>30</v>
      </c>
      <c r="E31" t="str">
        <f t="shared" si="0"/>
        <v>Chikwawa District [U8c0so51kT6]|15-24|Female</v>
      </c>
      <c r="F31" s="38">
        <f>IF(LEFT($B31,4)="_Mil","",INDEX(Cascade!$T:$T,MATCH($E31,Cascade!$E:$E,0)))</f>
        <v>74084</v>
      </c>
      <c r="G31" s="38">
        <f>IF(LEFT($B31,4)="_Mil","",INDEX(Cascade!$U:$U,MATCH($E31,Cascade!$E:$E,0)))</f>
        <v>1861</v>
      </c>
      <c r="H31" s="110">
        <f>IF(LEFT($B31,4)="_Mil","",INDEX(Cascade!$W:$W,MATCH($E31,Cascade!$E:$E,0)))</f>
        <v>2.5120524000000002E-2</v>
      </c>
      <c r="I31" s="38">
        <f>IF(LEFT($B31,4)="_Mil","",INDEX(Cascade!$Z:$Z,MATCH($E31,Cascade!$E:$E,0)))</f>
        <v>1572</v>
      </c>
      <c r="J31" s="33">
        <f>IF(LEFT($B31,4)="_Mil","",INDEX(Cascade!$AA:$AA,MATCH($E31,Cascade!$E:$E,0)))</f>
        <v>0.95003399699999991</v>
      </c>
      <c r="K31" s="218">
        <f>IF(LEFT($B31,4)="_Mil","",_xlfn.IFNA(ROUND(INDEX(Spectrum!$N:$N,MATCH(RIGHT($B31,13)&amp;"|"&amp;$C31&amp;"|"&amp;$D31&amp;"|"&amp;K$14&amp;"|"&amp;"CY2024Q3",Spectrum!$R:$R,0)),0),""))</f>
        <v>9781</v>
      </c>
      <c r="L31" s="218">
        <f>IF(LEFT($B31,4)="_Mil","",_xlfn.IFNA(ROUND(INDEX(Spectrum!$N:$N,MATCH(RIGHT($B31,13)&amp;"|"&amp;$C31&amp;"|"&amp;$D31&amp;"|"&amp;L$14&amp;"|"&amp;"CY2024Q3",Spectrum!$R:$R,0)),0),""))</f>
        <v>214</v>
      </c>
      <c r="M31" s="218">
        <f>IF(LEFT($B31,4)="_Mil","",_xlfn.IFNA(ROUND(INDEX(Spectrum!$N:$N,MATCH(RIGHT($B31,13)&amp;"|"&amp;$C31&amp;"|"&amp;$D31&amp;"|"&amp;M$14&amp;"|"&amp;"CY2024Q3",Spectrum!$R:$R,0)),0),""))</f>
        <v>76</v>
      </c>
      <c r="N31" s="218">
        <f>IF(LEFT($B31,4)="_Mil","",_xlfn.IFNA(ROUND(INDEX(Spectrum!$N:$N,MATCH(RIGHT($B31,13)&amp;"|"&amp;$C31&amp;"|"&amp;$D31&amp;"|"&amp;N$14&amp;"|"&amp;"CY2024Q3",Spectrum!$R:$R,0)),0),""))</f>
        <v>9491</v>
      </c>
      <c r="O31" s="218">
        <f>IF(LEFT($B31,4)="_Mil","",_xlfn.IFNA(ROUND(INDEX(Spectrum!$N:$N,MATCH(RIGHT($B31,13)&amp;"|"&amp;$C31&amp;"|"&amp;$D31&amp;"|"&amp;O$14&amp;"|"&amp;"CY2024Q3",Spectrum!$R:$R,0)),0),""))</f>
        <v>290</v>
      </c>
      <c r="P31" s="218">
        <f>IF(LEFT($B31,4)="_Mil","",_xlfn.IFNA(ROUND(INDEX(Spectrum!$N:$N,MATCH(RIGHT($B31,13)&amp;"|"&amp;$C31&amp;"|"&amp;$D31&amp;"|"&amp;P$14&amp;"|"&amp;"CY2024Q3",Spectrum!$R:$R,0)),0),""))</f>
        <v>214</v>
      </c>
      <c r="Q31" s="218">
        <f>IF(LEFT($B31,4)="_Mil","",_xlfn.IFNA(ROUND(INDEX(Spectrum!$N:$N,MATCH(RIGHT($B31,13)&amp;"|"&amp;$C31&amp;"|"&amp;$D31&amp;"|"&amp;Q$14&amp;"|"&amp;"CY2024Q3",Spectrum!$R:$R,0)),0),""))</f>
        <v>76</v>
      </c>
      <c r="R31" s="38">
        <v>11940</v>
      </c>
      <c r="S31" s="33">
        <v>0</v>
      </c>
      <c r="T31" s="218">
        <f t="shared" si="25"/>
        <v>11940</v>
      </c>
      <c r="U31" s="33">
        <f t="shared" si="1"/>
        <v>1</v>
      </c>
      <c r="V31" s="218">
        <f t="shared" si="2"/>
        <v>11940</v>
      </c>
      <c r="W31" s="33">
        <v>2.1999999999999999E-2</v>
      </c>
      <c r="X31" s="33">
        <f t="shared" si="26"/>
        <v>2.1999999999999999E-2</v>
      </c>
      <c r="Y31" s="231">
        <v>8.9999999999999993E-3</v>
      </c>
      <c r="Z31" s="33">
        <f t="shared" si="3"/>
        <v>7.9439740775582735E-3</v>
      </c>
      <c r="AA31" s="38">
        <f t="shared" si="4"/>
        <v>11940</v>
      </c>
      <c r="AB31" s="218">
        <f t="shared" si="5"/>
        <v>263</v>
      </c>
      <c r="AC31" s="218">
        <f t="shared" si="6"/>
        <v>93</v>
      </c>
      <c r="AD31" s="218">
        <f t="shared" si="7"/>
        <v>11584</v>
      </c>
      <c r="AE31" s="38">
        <f t="shared" si="8"/>
        <v>11940</v>
      </c>
      <c r="AF31" s="218">
        <f t="shared" si="9"/>
        <v>263</v>
      </c>
      <c r="AG31" s="218">
        <f t="shared" si="10"/>
        <v>93</v>
      </c>
      <c r="AH31" s="218">
        <f t="shared" si="11"/>
        <v>11584</v>
      </c>
      <c r="AI31" s="33">
        <f>IF(SUM($AC31)=0,"",INDEX(Cascade!$BG:$BG,MATCH($E31,Cascade!$E:$E,0)))</f>
        <v>0.95</v>
      </c>
      <c r="AJ31" s="218">
        <f t="shared" si="12"/>
        <v>263</v>
      </c>
      <c r="AK31" s="218">
        <f t="shared" si="13"/>
        <v>88</v>
      </c>
      <c r="AL31" s="218">
        <f t="shared" si="14"/>
        <v>356</v>
      </c>
      <c r="AM31" s="218">
        <f t="shared" si="15"/>
        <v>263</v>
      </c>
      <c r="AN31" s="218">
        <f t="shared" si="16"/>
        <v>88</v>
      </c>
      <c r="AO31" s="38">
        <f t="shared" si="17"/>
        <v>11584</v>
      </c>
      <c r="AP31" s="232">
        <v>4.0000000000000001E-3</v>
      </c>
      <c r="AQ31" s="33">
        <f t="shared" si="27"/>
        <v>4.0000000000000001E-3</v>
      </c>
      <c r="AR31" s="33">
        <f>IF(SUM($AO31)=0,"",INDEX(Cascade!$BG:$BG,MATCH($E31,Cascade!$E:$E,0)))</f>
        <v>0.95</v>
      </c>
      <c r="AS31" s="218">
        <f t="shared" si="18"/>
        <v>46</v>
      </c>
      <c r="AT31" s="218">
        <f t="shared" si="19"/>
        <v>11538</v>
      </c>
      <c r="AU31" s="38">
        <f t="shared" si="20"/>
        <v>44</v>
      </c>
      <c r="AV31" s="38">
        <f t="shared" si="21"/>
        <v>402</v>
      </c>
      <c r="AW31" s="38">
        <f>IFERROR(1/(1/INDEX(Cascade!$BH:$BH,MATCH($E31,Cascade!$E:$E,0))),"")</f>
        <v>274</v>
      </c>
      <c r="AX31" s="38">
        <f t="shared" si="22"/>
        <v>93</v>
      </c>
      <c r="AY31" s="38">
        <f t="shared" si="23"/>
        <v>46</v>
      </c>
      <c r="AZ31" s="38">
        <f>IFERROR(1/(1/INDEX(TB!$P:$P,MATCH($E31,TB!$E:$E,0))),"")</f>
        <v>2</v>
      </c>
      <c r="BA31" s="38">
        <f t="shared" si="24"/>
        <v>133</v>
      </c>
    </row>
    <row r="32" spans="1:53" x14ac:dyDescent="0.2">
      <c r="F32" s="38"/>
      <c r="G32" s="38"/>
      <c r="H32" s="110"/>
      <c r="I32" s="38"/>
      <c r="J32" s="33"/>
      <c r="K32" s="218"/>
      <c r="L32" s="218"/>
      <c r="M32" s="218"/>
      <c r="N32" s="218"/>
      <c r="O32" s="218"/>
      <c r="P32" s="218"/>
      <c r="Q32" s="218"/>
      <c r="R32" s="38"/>
      <c r="S32" s="33"/>
      <c r="T32" s="218"/>
      <c r="U32" s="33"/>
      <c r="V32" s="218"/>
      <c r="W32" s="33"/>
      <c r="X32" s="33"/>
      <c r="Y32" s="231">
        <v>1.7999999999999999E-2</v>
      </c>
      <c r="Z32" s="33">
        <f t="shared" si="3"/>
        <v>1.7999999999999999E-2</v>
      </c>
      <c r="AA32" s="38">
        <f t="shared" si="4"/>
        <v>0</v>
      </c>
      <c r="AB32" s="218" t="str">
        <f t="shared" si="5"/>
        <v/>
      </c>
      <c r="AC32" s="218" t="str">
        <f t="shared" si="6"/>
        <v/>
      </c>
      <c r="AD32" s="218" t="str">
        <f t="shared" si="7"/>
        <v/>
      </c>
      <c r="AE32" s="38">
        <f t="shared" si="8"/>
        <v>0</v>
      </c>
      <c r="AF32" s="218" t="str">
        <f t="shared" si="9"/>
        <v/>
      </c>
      <c r="AG32" s="218" t="str">
        <f t="shared" si="10"/>
        <v/>
      </c>
      <c r="AH32" s="218" t="str">
        <f t="shared" si="11"/>
        <v/>
      </c>
      <c r="AI32" s="33" t="str">
        <f>IF(SUM($AC32)=0,"",INDEX(Cascade!$BG:$BG,MATCH($E32,Cascade!$E:$E,0)))</f>
        <v/>
      </c>
      <c r="AJ32" s="218" t="str">
        <f t="shared" si="12"/>
        <v/>
      </c>
      <c r="AK32" s="218" t="str">
        <f t="shared" si="13"/>
        <v/>
      </c>
      <c r="AL32" s="218" t="str">
        <f t="shared" si="14"/>
        <v/>
      </c>
      <c r="AM32" s="218" t="str">
        <f t="shared" si="15"/>
        <v/>
      </c>
      <c r="AN32" s="218" t="str">
        <f t="shared" si="16"/>
        <v/>
      </c>
      <c r="AO32" s="38" t="str">
        <f t="shared" si="17"/>
        <v/>
      </c>
      <c r="AP32" s="232">
        <v>7.0000000000000001E-3</v>
      </c>
      <c r="AQ32" s="33">
        <f t="shared" si="27"/>
        <v>7.0000000000000001E-3</v>
      </c>
      <c r="AR32" s="33" t="str">
        <f>IF(SUM($AO32)=0,"",INDEX(Cascade!$BG:$BG,MATCH($E32,Cascade!$E:$E,0)))</f>
        <v/>
      </c>
      <c r="AS32" s="218" t="str">
        <f t="shared" si="18"/>
        <v/>
      </c>
      <c r="AT32" s="218" t="str">
        <f t="shared" si="19"/>
        <v/>
      </c>
      <c r="AU32" s="38" t="str">
        <f t="shared" si="20"/>
        <v/>
      </c>
      <c r="AV32" s="38" t="str">
        <f t="shared" si="21"/>
        <v/>
      </c>
      <c r="AW32" s="38" t="str">
        <f>IFERROR(1/(1/INDEX(Cascade!$BH:$BH,MATCH($E32,Cascade!$E:$E,0))),"")</f>
        <v/>
      </c>
      <c r="AX32" s="38" t="str">
        <f t="shared" si="22"/>
        <v/>
      </c>
      <c r="AY32" s="38" t="str">
        <f t="shared" si="23"/>
        <v/>
      </c>
      <c r="AZ32" s="38" t="str">
        <f>IFERROR(1/(1/INDEX(TB!$P:$P,MATCH($E32,TB!$E:$E,0))),"")</f>
        <v/>
      </c>
      <c r="BA32" s="38" t="str">
        <f t="shared" si="24"/>
        <v/>
      </c>
    </row>
    <row r="33" spans="1:53" x14ac:dyDescent="0.2">
      <c r="A33" t="str">
        <f>INDEX(Prioritization!$D:$D,MATCH($B33,Prioritization!$A:$A,0))</f>
        <v>1 - Scale-up: Saturation</v>
      </c>
      <c r="B33" t="s">
        <v>315</v>
      </c>
      <c r="C33" t="s">
        <v>477</v>
      </c>
      <c r="D33" t="s">
        <v>30</v>
      </c>
      <c r="E33" t="str">
        <f t="shared" si="0"/>
        <v>Chikwawa District [U8c0so51kT6]|35-49|Female</v>
      </c>
      <c r="F33" s="38">
        <f>IF(LEFT($B33,4)="_Mil","",INDEX(Cascade!$T:$T,MATCH($E33,Cascade!$E:$E,0)))</f>
        <v>49726</v>
      </c>
      <c r="G33" s="38">
        <f>IF(LEFT($B33,4)="_Mil","",INDEX(Cascade!$U:$U,MATCH($E33,Cascade!$E:$E,0)))</f>
        <v>11333</v>
      </c>
      <c r="H33" s="110">
        <f>IF(LEFT($B33,4)="_Mil","",INDEX(Cascade!$W:$W,MATCH($E33,Cascade!$E:$E,0)))</f>
        <v>0.22791239299999999</v>
      </c>
      <c r="I33" s="38">
        <f>IF(LEFT($B33,4)="_Mil","",INDEX(Cascade!$Z:$Z,MATCH($E33,Cascade!$E:$E,0)))</f>
        <v>9965</v>
      </c>
      <c r="J33" s="33">
        <f>IF(LEFT($B33,4)="_Mil","",INDEX(Cascade!$AA:$AA,MATCH($E33,Cascade!$E:$E,0)))</f>
        <v>0.98694368399999999</v>
      </c>
      <c r="K33" s="218">
        <f>IF(LEFT($B33,4)="_Mil","",_xlfn.IFNA(ROUND(INDEX(Spectrum!$N:$N,MATCH(RIGHT($B33,13)&amp;"|"&amp;$C33&amp;"|"&amp;$D33&amp;"|"&amp;K$14&amp;"|"&amp;"CY2024Q3",Spectrum!$R:$R,0)),0),""))</f>
        <v>2326</v>
      </c>
      <c r="L33" s="218">
        <f>IF(LEFT($B33,4)="_Mil","",_xlfn.IFNA(ROUND(INDEX(Spectrum!$N:$N,MATCH(RIGHT($B33,13)&amp;"|"&amp;$C33&amp;"|"&amp;$D33&amp;"|"&amp;L$14&amp;"|"&amp;"CY2024Q3",Spectrum!$R:$R,0)),0),""))</f>
        <v>309</v>
      </c>
      <c r="M33" s="218">
        <f>IF(LEFT($B33,4)="_Mil","",_xlfn.IFNA(ROUND(INDEX(Spectrum!$N:$N,MATCH(RIGHT($B33,13)&amp;"|"&amp;$C33&amp;"|"&amp;$D33&amp;"|"&amp;M$14&amp;"|"&amp;"CY2024Q3",Spectrum!$R:$R,0)),0),""))</f>
        <v>27</v>
      </c>
      <c r="N33" s="218">
        <f>IF(LEFT($B33,4)="_Mil","",_xlfn.IFNA(ROUND(INDEX(Spectrum!$N:$N,MATCH(RIGHT($B33,13)&amp;"|"&amp;$C33&amp;"|"&amp;$D33&amp;"|"&amp;N$14&amp;"|"&amp;"CY2024Q3",Spectrum!$R:$R,0)),0),""))</f>
        <v>1991</v>
      </c>
      <c r="O33" s="218">
        <f>IF(LEFT($B33,4)="_Mil","",_xlfn.IFNA(ROUND(INDEX(Spectrum!$N:$N,MATCH(RIGHT($B33,13)&amp;"|"&amp;$C33&amp;"|"&amp;$D33&amp;"|"&amp;O$14&amp;"|"&amp;"CY2024Q3",Spectrum!$R:$R,0)),0),""))</f>
        <v>335</v>
      </c>
      <c r="P33" s="218">
        <f>IF(LEFT($B33,4)="_Mil","",_xlfn.IFNA(ROUND(INDEX(Spectrum!$N:$N,MATCH(RIGHT($B33,13)&amp;"|"&amp;$C33&amp;"|"&amp;$D33&amp;"|"&amp;P$14&amp;"|"&amp;"CY2024Q3",Spectrum!$R:$R,0)),0),""))</f>
        <v>309</v>
      </c>
      <c r="Q33" s="218">
        <f>IF(LEFT($B33,4)="_Mil","",_xlfn.IFNA(ROUND(INDEX(Spectrum!$N:$N,MATCH(RIGHT($B33,13)&amp;"|"&amp;$C33&amp;"|"&amp;$D33&amp;"|"&amp;Q$14&amp;"|"&amp;"CY2024Q3",Spectrum!$R:$R,0)),0),""))</f>
        <v>27</v>
      </c>
      <c r="R33" s="38">
        <v>1818</v>
      </c>
      <c r="S33" s="33">
        <v>0</v>
      </c>
      <c r="T33" s="218">
        <f t="shared" si="25"/>
        <v>1818</v>
      </c>
      <c r="U33" s="33">
        <f t="shared" si="1"/>
        <v>0.78159931212381772</v>
      </c>
      <c r="V33" s="218">
        <f t="shared" si="2"/>
        <v>2326</v>
      </c>
      <c r="W33" s="33">
        <v>0.121</v>
      </c>
      <c r="X33" s="33">
        <f t="shared" si="26"/>
        <v>0.13284608770421324</v>
      </c>
      <c r="Y33" s="231">
        <v>1.7999999999999999E-2</v>
      </c>
      <c r="Z33" s="33">
        <f t="shared" si="3"/>
        <v>1.3386217154189391E-2</v>
      </c>
      <c r="AA33" s="38">
        <f t="shared" si="4"/>
        <v>1818</v>
      </c>
      <c r="AB33" s="218">
        <f t="shared" si="5"/>
        <v>242</v>
      </c>
      <c r="AC33" s="218">
        <f t="shared" si="6"/>
        <v>21</v>
      </c>
      <c r="AD33" s="218">
        <f t="shared" si="7"/>
        <v>1555</v>
      </c>
      <c r="AE33" s="38">
        <f t="shared" si="8"/>
        <v>2326</v>
      </c>
      <c r="AF33" s="218">
        <f t="shared" si="9"/>
        <v>309</v>
      </c>
      <c r="AG33" s="218">
        <f t="shared" si="10"/>
        <v>27</v>
      </c>
      <c r="AH33" s="218">
        <f t="shared" si="11"/>
        <v>1990</v>
      </c>
      <c r="AI33" s="33">
        <f>IF(SUM($AC33)=0,"",INDEX(Cascade!$BG:$BG,MATCH($E33,Cascade!$E:$E,0)))</f>
        <v>0.95</v>
      </c>
      <c r="AJ33" s="218">
        <f t="shared" si="12"/>
        <v>242</v>
      </c>
      <c r="AK33" s="218">
        <f t="shared" si="13"/>
        <v>20</v>
      </c>
      <c r="AL33" s="218">
        <f t="shared" si="14"/>
        <v>336</v>
      </c>
      <c r="AM33" s="218">
        <f t="shared" si="15"/>
        <v>309</v>
      </c>
      <c r="AN33" s="218">
        <f t="shared" si="16"/>
        <v>26</v>
      </c>
      <c r="AO33" s="38">
        <f t="shared" si="17"/>
        <v>1555</v>
      </c>
      <c r="AP33" s="232">
        <v>8.9999999999999993E-3</v>
      </c>
      <c r="AQ33" s="33">
        <f t="shared" si="27"/>
        <v>8.9999999999999993E-3</v>
      </c>
      <c r="AR33" s="33">
        <f>IF(SUM($AO33)=0,"",INDEX(Cascade!$BG:$BG,MATCH($E33,Cascade!$E:$E,0)))</f>
        <v>0.95</v>
      </c>
      <c r="AS33" s="218">
        <f t="shared" si="18"/>
        <v>14</v>
      </c>
      <c r="AT33" s="218">
        <f t="shared" si="19"/>
        <v>1541</v>
      </c>
      <c r="AU33" s="38">
        <f t="shared" si="20"/>
        <v>13</v>
      </c>
      <c r="AV33" s="38">
        <f t="shared" si="21"/>
        <v>277</v>
      </c>
      <c r="AW33" s="38">
        <f>IFERROR(1/(1/INDEX(Cascade!$BH:$BH,MATCH($E33,Cascade!$E:$E,0))),"")</f>
        <v>522</v>
      </c>
      <c r="AX33" s="38">
        <f t="shared" si="22"/>
        <v>21</v>
      </c>
      <c r="AY33" s="38">
        <f t="shared" si="23"/>
        <v>14</v>
      </c>
      <c r="AZ33" s="38">
        <f>IFERROR(1/(1/INDEX(TB!$P:$P,MATCH($E33,TB!$E:$E,0))),"")</f>
        <v>2</v>
      </c>
      <c r="BA33" s="38">
        <f t="shared" si="24"/>
        <v>485</v>
      </c>
    </row>
    <row r="34" spans="1:53" x14ac:dyDescent="0.2">
      <c r="A34" t="str">
        <f>INDEX(Prioritization!$D:$D,MATCH($B34,Prioritization!$A:$A,0))</f>
        <v>1 - Scale-up: Saturation</v>
      </c>
      <c r="B34" t="s">
        <v>315</v>
      </c>
      <c r="C34" t="s">
        <v>478</v>
      </c>
      <c r="D34" t="s">
        <v>30</v>
      </c>
      <c r="E34" t="str">
        <f t="shared" si="0"/>
        <v>Chikwawa District [U8c0so51kT6]|50+|Female</v>
      </c>
      <c r="F34" s="38">
        <f>IF(LEFT($B34,4)="_Mil","",INDEX(Cascade!$T:$T,MATCH($E34,Cascade!$E:$E,0)))</f>
        <v>28493</v>
      </c>
      <c r="G34" s="38">
        <f>IF(LEFT($B34,4)="_Mil","",INDEX(Cascade!$U:$U,MATCH($E34,Cascade!$E:$E,0)))</f>
        <v>5311</v>
      </c>
      <c r="H34" s="110">
        <f>IF(LEFT($B34,4)="_Mil","",INDEX(Cascade!$W:$W,MATCH($E34,Cascade!$E:$E,0)))</f>
        <v>0.186393697</v>
      </c>
      <c r="I34" s="38">
        <f>IF(LEFT($B34,4)="_Mil","",INDEX(Cascade!$Z:$Z,MATCH($E34,Cascade!$E:$E,0)))</f>
        <v>4711</v>
      </c>
      <c r="J34" s="33">
        <f>IF(LEFT($B34,4)="_Mil","",INDEX(Cascade!$AA:$AA,MATCH($E34,Cascade!$E:$E,0)))</f>
        <v>0.99108265300000009</v>
      </c>
      <c r="K34" s="218" t="str">
        <f>IF(LEFT($B34,4)="_Mil","",_xlfn.IFNA(ROUND(INDEX(Spectrum!$N:$N,MATCH(RIGHT($B34,13)&amp;"|"&amp;$C34&amp;"|"&amp;$D34&amp;"|"&amp;K$14&amp;"|"&amp;"CY2024Q3",Spectrum!$R:$R,0)),0),""))</f>
        <v/>
      </c>
      <c r="L34" s="218" t="str">
        <f>IF(LEFT($B34,4)="_Mil","",_xlfn.IFNA(ROUND(INDEX(Spectrum!$N:$N,MATCH(RIGHT($B34,13)&amp;"|"&amp;$C34&amp;"|"&amp;$D34&amp;"|"&amp;L$14&amp;"|"&amp;"CY2024Q3",Spectrum!$R:$R,0)),0),""))</f>
        <v/>
      </c>
      <c r="M34" s="218" t="str">
        <f>IF(LEFT($B34,4)="_Mil","",_xlfn.IFNA(ROUND(INDEX(Spectrum!$N:$N,MATCH(RIGHT($B34,13)&amp;"|"&amp;$C34&amp;"|"&amp;$D34&amp;"|"&amp;M$14&amp;"|"&amp;"CY2024Q3",Spectrum!$R:$R,0)),0),""))</f>
        <v/>
      </c>
      <c r="N34" s="218" t="str">
        <f>IF(LEFT($B34,4)="_Mil","",_xlfn.IFNA(ROUND(INDEX(Spectrum!$N:$N,MATCH(RIGHT($B34,13)&amp;"|"&amp;$C34&amp;"|"&amp;$D34&amp;"|"&amp;N$14&amp;"|"&amp;"CY2024Q3",Spectrum!$R:$R,0)),0),""))</f>
        <v/>
      </c>
      <c r="O34" s="218" t="str">
        <f>IF(LEFT($B34,4)="_Mil","",_xlfn.IFNA(ROUND(INDEX(Spectrum!$N:$N,MATCH(RIGHT($B34,13)&amp;"|"&amp;$C34&amp;"|"&amp;$D34&amp;"|"&amp;O$14&amp;"|"&amp;"CY2024Q3",Spectrum!$R:$R,0)),0),""))</f>
        <v/>
      </c>
      <c r="P34" s="218" t="str">
        <f>IF(LEFT($B34,4)="_Mil","",_xlfn.IFNA(ROUND(INDEX(Spectrum!$N:$N,MATCH(RIGHT($B34,13)&amp;"|"&amp;$C34&amp;"|"&amp;$D34&amp;"|"&amp;P$14&amp;"|"&amp;"CY2024Q3",Spectrum!$R:$R,0)),0),""))</f>
        <v/>
      </c>
      <c r="Q34" s="218" t="str">
        <f>IF(LEFT($B34,4)="_Mil","",_xlfn.IFNA(ROUND(INDEX(Spectrum!$N:$N,MATCH(RIGHT($B34,13)&amp;"|"&amp;$C34&amp;"|"&amp;$D34&amp;"|"&amp;Q$14&amp;"|"&amp;"CY2024Q3",Spectrum!$R:$R,0)),0),""))</f>
        <v/>
      </c>
      <c r="R34" s="38">
        <v>8</v>
      </c>
      <c r="S34" s="33">
        <v>0</v>
      </c>
      <c r="T34" s="218">
        <f t="shared" si="25"/>
        <v>8</v>
      </c>
      <c r="U34" s="33">
        <f t="shared" si="1"/>
        <v>1</v>
      </c>
      <c r="V34" s="218">
        <f t="shared" si="2"/>
        <v>8</v>
      </c>
      <c r="W34" s="33">
        <v>0.23100000000000001</v>
      </c>
      <c r="X34" s="33">
        <f t="shared" si="26"/>
        <v>0.23100000000000001</v>
      </c>
      <c r="Y34" s="231">
        <v>1.4E-2</v>
      </c>
      <c r="Z34" s="33">
        <f t="shared" si="3"/>
        <v>1.4E-2</v>
      </c>
      <c r="AA34" s="38">
        <f t="shared" si="4"/>
        <v>8</v>
      </c>
      <c r="AB34" s="218">
        <f t="shared" si="5"/>
        <v>2</v>
      </c>
      <c r="AC34" s="218">
        <f t="shared" si="6"/>
        <v>0</v>
      </c>
      <c r="AD34" s="218">
        <f t="shared" si="7"/>
        <v>6</v>
      </c>
      <c r="AE34" s="38">
        <f t="shared" si="8"/>
        <v>8</v>
      </c>
      <c r="AF34" s="218">
        <f t="shared" si="9"/>
        <v>2</v>
      </c>
      <c r="AG34" s="218">
        <f t="shared" si="10"/>
        <v>0</v>
      </c>
      <c r="AH34" s="218">
        <f t="shared" si="11"/>
        <v>6</v>
      </c>
      <c r="AI34" s="33" t="str">
        <f>IF(SUM($AC34)=0,"",INDEX(Cascade!$BG:$BG,MATCH($E34,Cascade!$E:$E,0)))</f>
        <v/>
      </c>
      <c r="AJ34" s="218">
        <f t="shared" si="12"/>
        <v>2</v>
      </c>
      <c r="AK34" s="218" t="str">
        <f t="shared" si="13"/>
        <v/>
      </c>
      <c r="AL34" s="218">
        <f t="shared" si="14"/>
        <v>2</v>
      </c>
      <c r="AM34" s="218">
        <f t="shared" si="15"/>
        <v>2</v>
      </c>
      <c r="AN34" s="218" t="str">
        <f t="shared" si="16"/>
        <v/>
      </c>
      <c r="AO34" s="38">
        <f t="shared" si="17"/>
        <v>6</v>
      </c>
      <c r="AP34" s="232">
        <v>6.0000000000000001E-3</v>
      </c>
      <c r="AQ34" s="33">
        <f t="shared" si="27"/>
        <v>6.0000000000000001E-3</v>
      </c>
      <c r="AR34" s="33">
        <f>IF(SUM($AO34)=0,"",INDEX(Cascade!$BG:$BG,MATCH($E34,Cascade!$E:$E,0)))</f>
        <v>0.95</v>
      </c>
      <c r="AS34" s="218">
        <f t="shared" si="18"/>
        <v>0</v>
      </c>
      <c r="AT34" s="218">
        <f t="shared" si="19"/>
        <v>6</v>
      </c>
      <c r="AU34" s="38" t="str">
        <f t="shared" si="20"/>
        <v/>
      </c>
      <c r="AV34" s="38">
        <f t="shared" si="21"/>
        <v>2</v>
      </c>
      <c r="AW34" s="38">
        <f>IFERROR(1/(1/INDEX(Cascade!$BH:$BH,MATCH($E34,Cascade!$E:$E,0))),"")</f>
        <v>181</v>
      </c>
      <c r="AX34" s="38" t="str">
        <f t="shared" si="22"/>
        <v/>
      </c>
      <c r="AY34" s="38" t="str">
        <f t="shared" si="23"/>
        <v/>
      </c>
      <c r="AZ34" s="38">
        <f>IFERROR(1/(1/INDEX(TB!$P:$P,MATCH($E34,TB!$E:$E,0))),"")</f>
        <v>1</v>
      </c>
      <c r="BA34" s="38">
        <f t="shared" si="24"/>
        <v>180</v>
      </c>
    </row>
    <row r="35" spans="1:53" x14ac:dyDescent="0.2">
      <c r="A35" t="str">
        <f>INDEX(Prioritization!$D:$D,MATCH($B35,Prioritization!$A:$A,0))</f>
        <v>INVALID</v>
      </c>
      <c r="B35" t="s">
        <v>316</v>
      </c>
      <c r="C35" t="s">
        <v>474</v>
      </c>
      <c r="D35" t="s">
        <v>30</v>
      </c>
      <c r="E35" t="str">
        <f t="shared" si="0"/>
        <v>Chiradzulu District [oiPR2CiVJbf]|10-14|Female</v>
      </c>
      <c r="F35" s="38">
        <f>IF(LEFT($B35,4)="_Mil","",INDEX(Cascade!$T:$T,MATCH($E35,Cascade!$E:$E,0)))</f>
        <v>26378</v>
      </c>
      <c r="G35" s="38">
        <f>IF(LEFT($B35,4)="_Mil","",INDEX(Cascade!$U:$U,MATCH($E35,Cascade!$E:$E,0)))</f>
        <v>444</v>
      </c>
      <c r="H35" s="110">
        <f>IF(LEFT($B35,4)="_Mil","",INDEX(Cascade!$W:$W,MATCH($E35,Cascade!$E:$E,0)))</f>
        <v>1.6832614999999999E-2</v>
      </c>
      <c r="I35" s="38">
        <f>IF(LEFT($B35,4)="_Mil","",INDEX(Cascade!$Z:$Z,MATCH($E35,Cascade!$E:$E,0)))</f>
        <v>305</v>
      </c>
      <c r="J35" s="33">
        <f>IF(LEFT($B35,4)="_Mil","",INDEX(Cascade!$AA:$AA,MATCH($E35,Cascade!$E:$E,0)))</f>
        <v>0.54665741099999998</v>
      </c>
      <c r="K35" s="218" t="str">
        <f>IF(LEFT($B35,4)="_Mil","",_xlfn.IFNA(ROUND(INDEX(Spectrum!$N:$N,MATCH(RIGHT($B35,13)&amp;"|"&amp;$C35&amp;"|"&amp;$D35&amp;"|"&amp;K$14&amp;"|"&amp;"CY2024Q3",Spectrum!$R:$R,0)),0),""))</f>
        <v/>
      </c>
      <c r="L35" s="218" t="str">
        <f>IF(LEFT($B35,4)="_Mil","",_xlfn.IFNA(ROUND(INDEX(Spectrum!$N:$N,MATCH(RIGHT($B35,13)&amp;"|"&amp;$C35&amp;"|"&amp;$D35&amp;"|"&amp;L$14&amp;"|"&amp;"CY2024Q3",Spectrum!$R:$R,0)),0),""))</f>
        <v/>
      </c>
      <c r="M35" s="218" t="str">
        <f>IF(LEFT($B35,4)="_Mil","",_xlfn.IFNA(ROUND(INDEX(Spectrum!$N:$N,MATCH(RIGHT($B35,13)&amp;"|"&amp;$C35&amp;"|"&amp;$D35&amp;"|"&amp;M$14&amp;"|"&amp;"CY2024Q3",Spectrum!$R:$R,0)),0),""))</f>
        <v/>
      </c>
      <c r="N35" s="218" t="str">
        <f>IF(LEFT($B35,4)="_Mil","",_xlfn.IFNA(ROUND(INDEX(Spectrum!$N:$N,MATCH(RIGHT($B35,13)&amp;"|"&amp;$C35&amp;"|"&amp;$D35&amp;"|"&amp;N$14&amp;"|"&amp;"CY2024Q3",Spectrum!$R:$R,0)),0),""))</f>
        <v/>
      </c>
      <c r="O35" s="218" t="str">
        <f>IF(LEFT($B35,4)="_Mil","",_xlfn.IFNA(ROUND(INDEX(Spectrum!$N:$N,MATCH(RIGHT($B35,13)&amp;"|"&amp;$C35&amp;"|"&amp;$D35&amp;"|"&amp;O$14&amp;"|"&amp;"CY2024Q3",Spectrum!$R:$R,0)),0),""))</f>
        <v/>
      </c>
      <c r="P35" s="218" t="str">
        <f>IF(LEFT($B35,4)="_Mil","",_xlfn.IFNA(ROUND(INDEX(Spectrum!$N:$N,MATCH(RIGHT($B35,13)&amp;"|"&amp;$C35&amp;"|"&amp;$D35&amp;"|"&amp;P$14&amp;"|"&amp;"CY2024Q3",Spectrum!$R:$R,0)),0),""))</f>
        <v/>
      </c>
      <c r="Q35" s="218" t="str">
        <f>IF(LEFT($B35,4)="_Mil","",_xlfn.IFNA(ROUND(INDEX(Spectrum!$N:$N,MATCH(RIGHT($B35,13)&amp;"|"&amp;$C35&amp;"|"&amp;$D35&amp;"|"&amp;Q$14&amp;"|"&amp;"CY2024Q3",Spectrum!$R:$R,0)),0),""))</f>
        <v/>
      </c>
      <c r="R35" s="38">
        <v>44</v>
      </c>
      <c r="S35" s="33">
        <v>0</v>
      </c>
      <c r="T35" s="218">
        <f t="shared" si="25"/>
        <v>44</v>
      </c>
      <c r="U35" s="33">
        <f t="shared" si="1"/>
        <v>1</v>
      </c>
      <c r="V35" s="218">
        <f t="shared" si="2"/>
        <v>44</v>
      </c>
      <c r="W35" s="33">
        <v>2.9000000000000001E-2</v>
      </c>
      <c r="X35" s="33">
        <f t="shared" si="26"/>
        <v>2.9000000000000001E-2</v>
      </c>
      <c r="Y35" s="231">
        <v>8.0000000000000002E-3</v>
      </c>
      <c r="Z35" s="33">
        <f t="shared" si="3"/>
        <v>8.0000000000000002E-3</v>
      </c>
      <c r="AA35" s="38">
        <f t="shared" si="4"/>
        <v>44</v>
      </c>
      <c r="AB35" s="218">
        <f t="shared" si="5"/>
        <v>1</v>
      </c>
      <c r="AC35" s="218">
        <f t="shared" si="6"/>
        <v>0</v>
      </c>
      <c r="AD35" s="218">
        <f t="shared" si="7"/>
        <v>43</v>
      </c>
      <c r="AE35" s="38">
        <f t="shared" si="8"/>
        <v>44</v>
      </c>
      <c r="AF35" s="218">
        <f t="shared" si="9"/>
        <v>1</v>
      </c>
      <c r="AG35" s="218">
        <f t="shared" si="10"/>
        <v>0</v>
      </c>
      <c r="AH35" s="218">
        <f t="shared" si="11"/>
        <v>43</v>
      </c>
      <c r="AI35" s="33" t="str">
        <f>IF(SUM($AC35)=0,"",INDEX(Cascade!$BG:$BG,MATCH($E35,Cascade!$E:$E,0)))</f>
        <v/>
      </c>
      <c r="AJ35" s="218">
        <f t="shared" si="12"/>
        <v>1</v>
      </c>
      <c r="AK35" s="218" t="str">
        <f t="shared" si="13"/>
        <v/>
      </c>
      <c r="AL35" s="218">
        <f t="shared" si="14"/>
        <v>1</v>
      </c>
      <c r="AM35" s="218">
        <f t="shared" si="15"/>
        <v>1</v>
      </c>
      <c r="AN35" s="218" t="str">
        <f t="shared" si="16"/>
        <v/>
      </c>
      <c r="AO35" s="38">
        <f t="shared" si="17"/>
        <v>43</v>
      </c>
      <c r="AP35" s="232">
        <v>4.0000000000000001E-3</v>
      </c>
      <c r="AQ35" s="33">
        <f t="shared" si="27"/>
        <v>4.0000000000000001E-3</v>
      </c>
      <c r="AR35" s="33">
        <f>IF(SUM($AO35)=0,"",INDEX(Cascade!$BG:$BG,MATCH($E35,Cascade!$E:$E,0)))</f>
        <v>0.95</v>
      </c>
      <c r="AS35" s="218">
        <f t="shared" si="18"/>
        <v>0</v>
      </c>
      <c r="AT35" s="218">
        <f t="shared" si="19"/>
        <v>43</v>
      </c>
      <c r="AU35" s="38" t="str">
        <f t="shared" si="20"/>
        <v/>
      </c>
      <c r="AV35" s="38">
        <f t="shared" si="21"/>
        <v>1</v>
      </c>
      <c r="AW35" s="38">
        <f>IFERROR(1/(1/INDEX(Cascade!$BH:$BH,MATCH($E35,Cascade!$E:$E,0))),"")</f>
        <v>44</v>
      </c>
      <c r="AX35" s="38" t="str">
        <f t="shared" si="22"/>
        <v/>
      </c>
      <c r="AY35" s="38" t="str">
        <f t="shared" si="23"/>
        <v/>
      </c>
      <c r="AZ35" s="38" t="str">
        <f>IFERROR(1/(1/INDEX(TB!$P:$P,MATCH($E35,TB!$E:$E,0))),"")</f>
        <v/>
      </c>
      <c r="BA35" s="38">
        <f t="shared" si="24"/>
        <v>44</v>
      </c>
    </row>
    <row r="36" spans="1:53" x14ac:dyDescent="0.2">
      <c r="A36" t="str">
        <f>INDEX(Prioritization!$D:$D,MATCH($B36,Prioritization!$A:$A,0))</f>
        <v>INVALID</v>
      </c>
      <c r="B36" t="s">
        <v>316</v>
      </c>
      <c r="C36" t="s">
        <v>475</v>
      </c>
      <c r="D36" t="s">
        <v>30</v>
      </c>
      <c r="E36" t="str">
        <f t="shared" si="0"/>
        <v>Chiradzulu District [oiPR2CiVJbf]|15-24|Female</v>
      </c>
      <c r="F36" s="38">
        <f>IF(LEFT($B36,4)="_Mil","",INDEX(Cascade!$T:$T,MATCH($E36,Cascade!$E:$E,0)))</f>
        <v>45920</v>
      </c>
      <c r="G36" s="38">
        <f>IF(LEFT($B36,4)="_Mil","",INDEX(Cascade!$U:$U,MATCH($E36,Cascade!$E:$E,0)))</f>
        <v>1882</v>
      </c>
      <c r="H36" s="110">
        <f>IF(LEFT($B36,4)="_Mil","",INDEX(Cascade!$W:$W,MATCH($E36,Cascade!$E:$E,0)))</f>
        <v>4.0991469000000003E-2</v>
      </c>
      <c r="I36" s="38">
        <f>IF(LEFT($B36,4)="_Mil","",INDEX(Cascade!$Z:$Z,MATCH($E36,Cascade!$E:$E,0)))</f>
        <v>2119</v>
      </c>
      <c r="J36" s="33">
        <f>IF(LEFT($B36,4)="_Mil","",INDEX(Cascade!$AA:$AA,MATCH($E36,Cascade!$E:$E,0)))</f>
        <v>0.92834955800000007</v>
      </c>
      <c r="K36" s="218">
        <f>IF(LEFT($B36,4)="_Mil","",_xlfn.IFNA(ROUND(INDEX(Spectrum!$N:$N,MATCH(RIGHT($B36,13)&amp;"|"&amp;$C36&amp;"|"&amp;$D36&amp;"|"&amp;K$14&amp;"|"&amp;"CY2024Q3",Spectrum!$R:$R,0)),0),""))</f>
        <v>5309</v>
      </c>
      <c r="L36" s="218">
        <f>IF(LEFT($B36,4)="_Mil","",_xlfn.IFNA(ROUND(INDEX(Spectrum!$N:$N,MATCH(RIGHT($B36,13)&amp;"|"&amp;$C36&amp;"|"&amp;$D36&amp;"|"&amp;L$14&amp;"|"&amp;"CY2024Q3",Spectrum!$R:$R,0)),0),""))</f>
        <v>151</v>
      </c>
      <c r="M36" s="218">
        <f>IF(LEFT($B36,4)="_Mil","",_xlfn.IFNA(ROUND(INDEX(Spectrum!$N:$N,MATCH(RIGHT($B36,13)&amp;"|"&amp;$C36&amp;"|"&amp;$D36&amp;"|"&amp;M$14&amp;"|"&amp;"CY2024Q3",Spectrum!$R:$R,0)),0),""))</f>
        <v>63</v>
      </c>
      <c r="N36" s="218">
        <f>IF(LEFT($B36,4)="_Mil","",_xlfn.IFNA(ROUND(INDEX(Spectrum!$N:$N,MATCH(RIGHT($B36,13)&amp;"|"&amp;$C36&amp;"|"&amp;$D36&amp;"|"&amp;N$14&amp;"|"&amp;"CY2024Q3",Spectrum!$R:$R,0)),0),""))</f>
        <v>5095</v>
      </c>
      <c r="O36" s="218">
        <f>IF(LEFT($B36,4)="_Mil","",_xlfn.IFNA(ROUND(INDEX(Spectrum!$N:$N,MATCH(RIGHT($B36,13)&amp;"|"&amp;$C36&amp;"|"&amp;$D36&amp;"|"&amp;O$14&amp;"|"&amp;"CY2024Q3",Spectrum!$R:$R,0)),0),""))</f>
        <v>214</v>
      </c>
      <c r="P36" s="218">
        <f>IF(LEFT($B36,4)="_Mil","",_xlfn.IFNA(ROUND(INDEX(Spectrum!$N:$N,MATCH(RIGHT($B36,13)&amp;"|"&amp;$C36&amp;"|"&amp;$D36&amp;"|"&amp;P$14&amp;"|"&amp;"CY2024Q3",Spectrum!$R:$R,0)),0),""))</f>
        <v>151</v>
      </c>
      <c r="Q36" s="218">
        <f>IF(LEFT($B36,4)="_Mil","",_xlfn.IFNA(ROUND(INDEX(Spectrum!$N:$N,MATCH(RIGHT($B36,13)&amp;"|"&amp;$C36&amp;"|"&amp;$D36&amp;"|"&amp;Q$14&amp;"|"&amp;"CY2024Q3",Spectrum!$R:$R,0)),0),""))</f>
        <v>63</v>
      </c>
      <c r="R36" s="38">
        <v>10739</v>
      </c>
      <c r="S36" s="33"/>
      <c r="T36" s="218"/>
      <c r="U36" s="33"/>
      <c r="V36" s="218"/>
      <c r="W36" s="33">
        <v>2.9000000000000001E-2</v>
      </c>
      <c r="X36" s="33">
        <f t="shared" si="26"/>
        <v>2.9000000000000001E-2</v>
      </c>
      <c r="Y36" s="231">
        <v>8.9999999999999993E-3</v>
      </c>
      <c r="Z36" s="33">
        <f t="shared" si="3"/>
        <v>8.9999999999999993E-3</v>
      </c>
      <c r="AA36" s="38">
        <f t="shared" si="4"/>
        <v>0</v>
      </c>
      <c r="AB36" s="218" t="str">
        <f t="shared" si="5"/>
        <v/>
      </c>
      <c r="AC36" s="218" t="str">
        <f t="shared" si="6"/>
        <v/>
      </c>
      <c r="AD36" s="218" t="str">
        <f t="shared" si="7"/>
        <v/>
      </c>
      <c r="AE36" s="38">
        <f t="shared" si="8"/>
        <v>0</v>
      </c>
      <c r="AF36" s="218" t="str">
        <f t="shared" si="9"/>
        <v/>
      </c>
      <c r="AG36" s="218" t="str">
        <f t="shared" si="10"/>
        <v/>
      </c>
      <c r="AH36" s="218" t="str">
        <f t="shared" si="11"/>
        <v/>
      </c>
      <c r="AI36" s="33" t="str">
        <f>IF(SUM($AC36)=0,"",INDEX(Cascade!$BG:$BG,MATCH($E36,Cascade!$E:$E,0)))</f>
        <v/>
      </c>
      <c r="AJ36" s="218" t="str">
        <f t="shared" si="12"/>
        <v/>
      </c>
      <c r="AK36" s="218" t="str">
        <f t="shared" si="13"/>
        <v/>
      </c>
      <c r="AL36" s="218" t="str">
        <f t="shared" si="14"/>
        <v/>
      </c>
      <c r="AM36" s="218" t="str">
        <f t="shared" si="15"/>
        <v/>
      </c>
      <c r="AN36" s="218" t="str">
        <f t="shared" si="16"/>
        <v/>
      </c>
      <c r="AO36" s="38" t="str">
        <f t="shared" si="17"/>
        <v/>
      </c>
      <c r="AP36" s="232">
        <v>4.0000000000000001E-3</v>
      </c>
      <c r="AQ36" s="33">
        <f t="shared" si="27"/>
        <v>4.0000000000000001E-3</v>
      </c>
      <c r="AR36" s="33" t="str">
        <f>IF(SUM($AO36)=0,"",INDEX(Cascade!$BG:$BG,MATCH($E36,Cascade!$E:$E,0)))</f>
        <v/>
      </c>
      <c r="AS36" s="218" t="str">
        <f t="shared" si="18"/>
        <v/>
      </c>
      <c r="AT36" s="218" t="str">
        <f t="shared" si="19"/>
        <v/>
      </c>
      <c r="AU36" s="38" t="str">
        <f t="shared" si="20"/>
        <v/>
      </c>
      <c r="AV36" s="38" t="str">
        <f t="shared" si="21"/>
        <v/>
      </c>
      <c r="AW36" s="38">
        <f>IFERROR(1/(1/INDEX(Cascade!$BH:$BH,MATCH($E36,Cascade!$E:$E,0))),"")</f>
        <v>313</v>
      </c>
      <c r="AX36" s="38" t="str">
        <f t="shared" si="22"/>
        <v/>
      </c>
      <c r="AY36" s="38" t="str">
        <f t="shared" si="23"/>
        <v/>
      </c>
      <c r="AZ36" s="38">
        <f>IFERROR(1/(1/INDEX(TB!$P:$P,MATCH($E36,TB!$E:$E,0))),"")</f>
        <v>2</v>
      </c>
      <c r="BA36" s="38">
        <f t="shared" si="24"/>
        <v>311</v>
      </c>
    </row>
    <row r="37" spans="1:53" x14ac:dyDescent="0.2">
      <c r="A37" t="str">
        <f>INDEX(Prioritization!$D:$D,MATCH($B37,Prioritization!$A:$A,0))</f>
        <v>INVALID</v>
      </c>
      <c r="B37" t="s">
        <v>316</v>
      </c>
      <c r="C37" t="s">
        <v>476</v>
      </c>
      <c r="D37" t="s">
        <v>30</v>
      </c>
      <c r="E37" t="str">
        <f t="shared" si="0"/>
        <v>Chiradzulu District [oiPR2CiVJbf]|25-34|Female</v>
      </c>
      <c r="F37" s="38">
        <f>IF(LEFT($B37,4)="_Mil","",INDEX(Cascade!$T:$T,MATCH($E37,Cascade!$E:$E,0)))</f>
        <v>31627</v>
      </c>
      <c r="G37" s="38">
        <f>IF(LEFT($B37,4)="_Mil","",INDEX(Cascade!$U:$U,MATCH($E37,Cascade!$E:$E,0)))</f>
        <v>4735</v>
      </c>
      <c r="H37" s="110">
        <f>IF(LEFT($B37,4)="_Mil","",INDEX(Cascade!$W:$W,MATCH($E37,Cascade!$E:$E,0)))</f>
        <v>0.149707233</v>
      </c>
      <c r="I37" s="38">
        <f>IF(LEFT($B37,4)="_Mil","",INDEX(Cascade!$Z:$Z,MATCH($E37,Cascade!$E:$E,0)))</f>
        <v>5509</v>
      </c>
      <c r="J37" s="33">
        <f>IF(LEFT($B37,4)="_Mil","",INDEX(Cascade!$AA:$AA,MATCH($E37,Cascade!$E:$E,0)))</f>
        <v>0.96183478600000005</v>
      </c>
      <c r="K37" s="218">
        <f>IF(LEFT($B37,4)="_Mil","",_xlfn.IFNA(ROUND(INDEX(Spectrum!$N:$N,MATCH(RIGHT($B37,13)&amp;"|"&amp;$C37&amp;"|"&amp;$D37&amp;"|"&amp;K$14&amp;"|"&amp;"CY2024Q3",Spectrum!$R:$R,0)),0),""))</f>
        <v>3541</v>
      </c>
      <c r="L37" s="218">
        <f>IF(LEFT($B37,4)="_Mil","",_xlfn.IFNA(ROUND(INDEX(Spectrum!$N:$N,MATCH(RIGHT($B37,13)&amp;"|"&amp;$C37&amp;"|"&amp;$D37&amp;"|"&amp;L$14&amp;"|"&amp;"CY2024Q3",Spectrum!$R:$R,0)),0),""))</f>
        <v>297</v>
      </c>
      <c r="M37" s="218">
        <f>IF(LEFT($B37,4)="_Mil","",_xlfn.IFNA(ROUND(INDEX(Spectrum!$N:$N,MATCH(RIGHT($B37,13)&amp;"|"&amp;$C37&amp;"|"&amp;$D37&amp;"|"&amp;M$14&amp;"|"&amp;"CY2024Q3",Spectrum!$R:$R,0)),0),""))</f>
        <v>88</v>
      </c>
      <c r="N37" s="218">
        <f>IF(LEFT($B37,4)="_Mil","",_xlfn.IFNA(ROUND(INDEX(Spectrum!$N:$N,MATCH(RIGHT($B37,13)&amp;"|"&amp;$C37&amp;"|"&amp;$D37&amp;"|"&amp;N$14&amp;"|"&amp;"CY2024Q3",Spectrum!$R:$R,0)),0),""))</f>
        <v>3156</v>
      </c>
      <c r="O37" s="218">
        <f>IF(LEFT($B37,4)="_Mil","",_xlfn.IFNA(ROUND(INDEX(Spectrum!$N:$N,MATCH(RIGHT($B37,13)&amp;"|"&amp;$C37&amp;"|"&amp;$D37&amp;"|"&amp;O$14&amp;"|"&amp;"CY2024Q3",Spectrum!$R:$R,0)),0),""))</f>
        <v>385</v>
      </c>
      <c r="P37" s="218">
        <f>IF(LEFT($B37,4)="_Mil","",_xlfn.IFNA(ROUND(INDEX(Spectrum!$N:$N,MATCH(RIGHT($B37,13)&amp;"|"&amp;$C37&amp;"|"&amp;$D37&amp;"|"&amp;P$14&amp;"|"&amp;"CY2024Q3",Spectrum!$R:$R,0)),0),""))</f>
        <v>297</v>
      </c>
      <c r="Q37" s="218">
        <f>IF(LEFT($B37,4)="_Mil","",_xlfn.IFNA(ROUND(INDEX(Spectrum!$N:$N,MATCH(RIGHT($B37,13)&amp;"|"&amp;$C37&amp;"|"&amp;$D37&amp;"|"&amp;Q$14&amp;"|"&amp;"CY2024Q3",Spectrum!$R:$R,0)),0),""))</f>
        <v>88</v>
      </c>
      <c r="R37" s="38">
        <v>6989</v>
      </c>
      <c r="S37" s="33"/>
      <c r="T37" s="218"/>
      <c r="U37" s="33"/>
      <c r="V37" s="218"/>
      <c r="W37" s="33">
        <v>0.104</v>
      </c>
      <c r="X37" s="33">
        <f t="shared" si="26"/>
        <v>0.104</v>
      </c>
      <c r="Y37" s="231">
        <v>1.7999999999999999E-2</v>
      </c>
      <c r="Z37" s="33">
        <f t="shared" si="3"/>
        <v>1.7999999999999999E-2</v>
      </c>
      <c r="AA37" s="38">
        <f t="shared" si="4"/>
        <v>0</v>
      </c>
      <c r="AB37" s="218" t="str">
        <f t="shared" si="5"/>
        <v/>
      </c>
      <c r="AC37" s="218" t="str">
        <f t="shared" si="6"/>
        <v/>
      </c>
      <c r="AD37" s="218" t="str">
        <f t="shared" si="7"/>
        <v/>
      </c>
      <c r="AE37" s="38">
        <f t="shared" si="8"/>
        <v>0</v>
      </c>
      <c r="AF37" s="218" t="str">
        <f t="shared" si="9"/>
        <v/>
      </c>
      <c r="AG37" s="218" t="str">
        <f t="shared" si="10"/>
        <v/>
      </c>
      <c r="AH37" s="218" t="str">
        <f t="shared" si="11"/>
        <v/>
      </c>
      <c r="AI37" s="33" t="str">
        <f>IF(SUM($AC37)=0,"",INDEX(Cascade!$BG:$BG,MATCH($E37,Cascade!$E:$E,0)))</f>
        <v/>
      </c>
      <c r="AJ37" s="218" t="str">
        <f t="shared" si="12"/>
        <v/>
      </c>
      <c r="AK37" s="218" t="str">
        <f t="shared" si="13"/>
        <v/>
      </c>
      <c r="AL37" s="218" t="str">
        <f t="shared" si="14"/>
        <v/>
      </c>
      <c r="AM37" s="218" t="str">
        <f t="shared" si="15"/>
        <v/>
      </c>
      <c r="AN37" s="218" t="str">
        <f t="shared" si="16"/>
        <v/>
      </c>
      <c r="AO37" s="38" t="str">
        <f t="shared" si="17"/>
        <v/>
      </c>
      <c r="AP37" s="232">
        <v>7.0000000000000001E-3</v>
      </c>
      <c r="AQ37" s="33">
        <f t="shared" si="27"/>
        <v>7.0000000000000001E-3</v>
      </c>
      <c r="AR37" s="33" t="str">
        <f>IF(SUM($AO37)=0,"",INDEX(Cascade!$BG:$BG,MATCH($E37,Cascade!$E:$E,0)))</f>
        <v/>
      </c>
      <c r="AS37" s="218" t="str">
        <f t="shared" si="18"/>
        <v/>
      </c>
      <c r="AT37" s="218" t="str">
        <f t="shared" si="19"/>
        <v/>
      </c>
      <c r="AU37" s="38" t="str">
        <f t="shared" si="20"/>
        <v/>
      </c>
      <c r="AV37" s="38" t="str">
        <f t="shared" si="21"/>
        <v/>
      </c>
      <c r="AW37" s="38">
        <f>IFERROR(1/(1/INDEX(Cascade!$BH:$BH,MATCH($E37,Cascade!$E:$E,0))),"")</f>
        <v>578</v>
      </c>
      <c r="AX37" s="38" t="str">
        <f t="shared" si="22"/>
        <v/>
      </c>
      <c r="AY37" s="38" t="str">
        <f t="shared" si="23"/>
        <v/>
      </c>
      <c r="AZ37" s="38">
        <f>IFERROR(1/(1/INDEX(TB!$P:$P,MATCH($E37,TB!$E:$E,0))),"")</f>
        <v>2</v>
      </c>
      <c r="BA37" s="38">
        <f t="shared" si="24"/>
        <v>576</v>
      </c>
    </row>
    <row r="38" spans="1:53" x14ac:dyDescent="0.2">
      <c r="A38" t="str">
        <f>INDEX(Prioritization!$D:$D,MATCH($B38,Prioritization!$A:$A,0))</f>
        <v>INVALID</v>
      </c>
      <c r="B38" t="s">
        <v>316</v>
      </c>
      <c r="C38" t="s">
        <v>477</v>
      </c>
      <c r="D38" t="s">
        <v>30</v>
      </c>
      <c r="E38" t="str">
        <f t="shared" si="0"/>
        <v>Chiradzulu District [oiPR2CiVJbf]|35-49|Female</v>
      </c>
      <c r="F38" s="38">
        <f>IF(LEFT($B38,4)="_Mil","",INDEX(Cascade!$T:$T,MATCH($E38,Cascade!$E:$E,0)))</f>
        <v>35377</v>
      </c>
      <c r="G38" s="38">
        <f>IF(LEFT($B38,4)="_Mil","",INDEX(Cascade!$U:$U,MATCH($E38,Cascade!$E:$E,0)))</f>
        <v>11832</v>
      </c>
      <c r="H38" s="110">
        <f>IF(LEFT($B38,4)="_Mil","",INDEX(Cascade!$W:$W,MATCH($E38,Cascade!$E:$E,0)))</f>
        <v>0.33444923300000001</v>
      </c>
      <c r="I38" s="38">
        <f>IF(LEFT($B38,4)="_Mil","",INDEX(Cascade!$Z:$Z,MATCH($E38,Cascade!$E:$E,0)))</f>
        <v>13976</v>
      </c>
      <c r="J38" s="33">
        <f>IF(LEFT($B38,4)="_Mil","",INDEX(Cascade!$AA:$AA,MATCH($E38,Cascade!$E:$E,0)))</f>
        <v>0.98102772299999985</v>
      </c>
      <c r="K38" s="218">
        <f>IF(LEFT($B38,4)="_Mil","",_xlfn.IFNA(ROUND(INDEX(Spectrum!$N:$N,MATCH(RIGHT($B38,13)&amp;"|"&amp;$C38&amp;"|"&amp;$D38&amp;"|"&amp;K$14&amp;"|"&amp;"CY2024Q3",Spectrum!$R:$R,0)),0),""))</f>
        <v>1446</v>
      </c>
      <c r="L38" s="218">
        <f>IF(LEFT($B38,4)="_Mil","",_xlfn.IFNA(ROUND(INDEX(Spectrum!$N:$N,MATCH(RIGHT($B38,13)&amp;"|"&amp;$C38&amp;"|"&amp;$D38&amp;"|"&amp;L$14&amp;"|"&amp;"CY2024Q3",Spectrum!$R:$R,0)),0),""))</f>
        <v>247</v>
      </c>
      <c r="M38" s="218">
        <f>IF(LEFT($B38,4)="_Mil","",_xlfn.IFNA(ROUND(INDEX(Spectrum!$N:$N,MATCH(RIGHT($B38,13)&amp;"|"&amp;$C38&amp;"|"&amp;$D38&amp;"|"&amp;M$14&amp;"|"&amp;"CY2024Q3",Spectrum!$R:$R,0)),0),""))</f>
        <v>25</v>
      </c>
      <c r="N38" s="218">
        <f>IF(LEFT($B38,4)="_Mil","",_xlfn.IFNA(ROUND(INDEX(Spectrum!$N:$N,MATCH(RIGHT($B38,13)&amp;"|"&amp;$C38&amp;"|"&amp;$D38&amp;"|"&amp;N$14&amp;"|"&amp;"CY2024Q3",Spectrum!$R:$R,0)),0),""))</f>
        <v>1174</v>
      </c>
      <c r="O38" s="218">
        <f>IF(LEFT($B38,4)="_Mil","",_xlfn.IFNA(ROUND(INDEX(Spectrum!$N:$N,MATCH(RIGHT($B38,13)&amp;"|"&amp;$C38&amp;"|"&amp;$D38&amp;"|"&amp;O$14&amp;"|"&amp;"CY2024Q3",Spectrum!$R:$R,0)),0),""))</f>
        <v>272</v>
      </c>
      <c r="P38" s="218">
        <f>IF(LEFT($B38,4)="_Mil","",_xlfn.IFNA(ROUND(INDEX(Spectrum!$N:$N,MATCH(RIGHT($B38,13)&amp;"|"&amp;$C38&amp;"|"&amp;$D38&amp;"|"&amp;P$14&amp;"|"&amp;"CY2024Q3",Spectrum!$R:$R,0)),0),""))</f>
        <v>247</v>
      </c>
      <c r="Q38" s="218">
        <f>IF(LEFT($B38,4)="_Mil","",_xlfn.IFNA(ROUND(INDEX(Spectrum!$N:$N,MATCH(RIGHT($B38,13)&amp;"|"&amp;$C38&amp;"|"&amp;$D38&amp;"|"&amp;Q$14&amp;"|"&amp;"CY2024Q3",Spectrum!$R:$R,0)),0),""))</f>
        <v>25</v>
      </c>
      <c r="R38" s="38">
        <v>537</v>
      </c>
      <c r="S38" s="33"/>
      <c r="T38" s="218"/>
      <c r="U38" s="33"/>
      <c r="V38" s="218"/>
      <c r="W38" s="33">
        <v>0.219</v>
      </c>
      <c r="X38" s="33">
        <f t="shared" si="26"/>
        <v>0.219</v>
      </c>
      <c r="Y38" s="231">
        <v>1.7999999999999999E-2</v>
      </c>
      <c r="Z38" s="33">
        <f t="shared" si="3"/>
        <v>1.7999999999999999E-2</v>
      </c>
      <c r="AA38" s="38">
        <f t="shared" si="4"/>
        <v>0</v>
      </c>
      <c r="AB38" s="218" t="str">
        <f t="shared" si="5"/>
        <v/>
      </c>
      <c r="AC38" s="218" t="str">
        <f t="shared" si="6"/>
        <v/>
      </c>
      <c r="AD38" s="218" t="str">
        <f t="shared" si="7"/>
        <v/>
      </c>
      <c r="AE38" s="38">
        <f t="shared" si="8"/>
        <v>0</v>
      </c>
      <c r="AF38" s="218" t="str">
        <f t="shared" si="9"/>
        <v/>
      </c>
      <c r="AG38" s="218" t="str">
        <f t="shared" si="10"/>
        <v/>
      </c>
      <c r="AH38" s="218" t="str">
        <f t="shared" si="11"/>
        <v/>
      </c>
      <c r="AI38" s="33" t="str">
        <f>IF(SUM($AC38)=0,"",INDEX(Cascade!$BG:$BG,MATCH($E38,Cascade!$E:$E,0)))</f>
        <v/>
      </c>
      <c r="AJ38" s="218" t="str">
        <f t="shared" si="12"/>
        <v/>
      </c>
      <c r="AK38" s="218" t="str">
        <f t="shared" si="13"/>
        <v/>
      </c>
      <c r="AL38" s="218" t="str">
        <f t="shared" si="14"/>
        <v/>
      </c>
      <c r="AM38" s="218" t="str">
        <f t="shared" si="15"/>
        <v/>
      </c>
      <c r="AN38" s="218" t="str">
        <f t="shared" si="16"/>
        <v/>
      </c>
      <c r="AO38" s="38" t="str">
        <f t="shared" si="17"/>
        <v/>
      </c>
      <c r="AP38" s="232">
        <v>8.9999999999999993E-3</v>
      </c>
      <c r="AQ38" s="33">
        <f t="shared" si="27"/>
        <v>8.9999999999999993E-3</v>
      </c>
      <c r="AR38" s="33" t="str">
        <f>IF(SUM($AO38)=0,"",INDEX(Cascade!$BG:$BG,MATCH($E38,Cascade!$E:$E,0)))</f>
        <v/>
      </c>
      <c r="AS38" s="218" t="str">
        <f t="shared" si="18"/>
        <v/>
      </c>
      <c r="AT38" s="218" t="str">
        <f t="shared" si="19"/>
        <v/>
      </c>
      <c r="AU38" s="38" t="str">
        <f t="shared" si="20"/>
        <v/>
      </c>
      <c r="AV38" s="38" t="str">
        <f t="shared" si="21"/>
        <v/>
      </c>
      <c r="AW38" s="38">
        <f>IFERROR(1/(1/INDEX(Cascade!$BH:$BH,MATCH($E38,Cascade!$E:$E,0))),"")</f>
        <v>302</v>
      </c>
      <c r="AX38" s="38" t="str">
        <f t="shared" si="22"/>
        <v/>
      </c>
      <c r="AY38" s="38" t="str">
        <f t="shared" si="23"/>
        <v/>
      </c>
      <c r="AZ38" s="38">
        <f>IFERROR(1/(1/INDEX(TB!$P:$P,MATCH($E38,TB!$E:$E,0))),"")</f>
        <v>2</v>
      </c>
      <c r="BA38" s="38">
        <f t="shared" si="24"/>
        <v>300</v>
      </c>
    </row>
    <row r="39" spans="1:53" x14ac:dyDescent="0.2">
      <c r="A39" t="str">
        <f>INDEX(Prioritization!$D:$D,MATCH($B39,Prioritization!$A:$A,0))</f>
        <v>INVALID</v>
      </c>
      <c r="B39" t="s">
        <v>316</v>
      </c>
      <c r="C39" t="s">
        <v>478</v>
      </c>
      <c r="D39" t="s">
        <v>30</v>
      </c>
      <c r="E39" t="str">
        <f t="shared" si="0"/>
        <v>Chiradzulu District [oiPR2CiVJbf]|50+|Female</v>
      </c>
      <c r="F39" s="38">
        <f>IF(LEFT($B39,4)="_Mil","",INDEX(Cascade!$T:$T,MATCH($E39,Cascade!$E:$E,0)))</f>
        <v>24104</v>
      </c>
      <c r="G39" s="38">
        <f>IF(LEFT($B39,4)="_Mil","",INDEX(Cascade!$U:$U,MATCH($E39,Cascade!$E:$E,0)))</f>
        <v>6351</v>
      </c>
      <c r="H39" s="110">
        <f>IF(LEFT($B39,4)="_Mil","",INDEX(Cascade!$W:$W,MATCH($E39,Cascade!$E:$E,0)))</f>
        <v>0.263482402</v>
      </c>
      <c r="I39" s="38">
        <f>IF(LEFT($B39,4)="_Mil","",INDEX(Cascade!$Z:$Z,MATCH($E39,Cascade!$E:$E,0)))</f>
        <v>7401</v>
      </c>
      <c r="J39" s="33">
        <f>IF(LEFT($B39,4)="_Mil","",INDEX(Cascade!$AA:$AA,MATCH($E39,Cascade!$E:$E,0)))</f>
        <v>0.98703662199999986</v>
      </c>
      <c r="K39" s="218" t="str">
        <f>IF(LEFT($B39,4)="_Mil","",_xlfn.IFNA(ROUND(INDEX(Spectrum!$N:$N,MATCH(RIGHT($B39,13)&amp;"|"&amp;$C39&amp;"|"&amp;$D39&amp;"|"&amp;K$14&amp;"|"&amp;"CY2024Q3",Spectrum!$R:$R,0)),0),""))</f>
        <v/>
      </c>
      <c r="L39" s="218" t="str">
        <f>IF(LEFT($B39,4)="_Mil","",_xlfn.IFNA(ROUND(INDEX(Spectrum!$N:$N,MATCH(RIGHT($B39,13)&amp;"|"&amp;$C39&amp;"|"&amp;$D39&amp;"|"&amp;L$14&amp;"|"&amp;"CY2024Q3",Spectrum!$R:$R,0)),0),""))</f>
        <v/>
      </c>
      <c r="M39" s="218" t="str">
        <f>IF(LEFT($B39,4)="_Mil","",_xlfn.IFNA(ROUND(INDEX(Spectrum!$N:$N,MATCH(RIGHT($B39,13)&amp;"|"&amp;$C39&amp;"|"&amp;$D39&amp;"|"&amp;M$14&amp;"|"&amp;"CY2024Q3",Spectrum!$R:$R,0)),0),""))</f>
        <v/>
      </c>
      <c r="N39" s="218" t="str">
        <f>IF(LEFT($B39,4)="_Mil","",_xlfn.IFNA(ROUND(INDEX(Spectrum!$N:$N,MATCH(RIGHT($B39,13)&amp;"|"&amp;$C39&amp;"|"&amp;$D39&amp;"|"&amp;N$14&amp;"|"&amp;"CY2024Q3",Spectrum!$R:$R,0)),0),""))</f>
        <v/>
      </c>
      <c r="O39" s="218" t="str">
        <f>IF(LEFT($B39,4)="_Mil","",_xlfn.IFNA(ROUND(INDEX(Spectrum!$N:$N,MATCH(RIGHT($B39,13)&amp;"|"&amp;$C39&amp;"|"&amp;$D39&amp;"|"&amp;O$14&amp;"|"&amp;"CY2024Q3",Spectrum!$R:$R,0)),0),""))</f>
        <v/>
      </c>
      <c r="P39" s="218" t="str">
        <f>IF(LEFT($B39,4)="_Mil","",_xlfn.IFNA(ROUND(INDEX(Spectrum!$N:$N,MATCH(RIGHT($B39,13)&amp;"|"&amp;$C39&amp;"|"&amp;$D39&amp;"|"&amp;P$14&amp;"|"&amp;"CY2024Q3",Spectrum!$R:$R,0)),0),""))</f>
        <v/>
      </c>
      <c r="Q39" s="218" t="str">
        <f>IF(LEFT($B39,4)="_Mil","",_xlfn.IFNA(ROUND(INDEX(Spectrum!$N:$N,MATCH(RIGHT($B39,13)&amp;"|"&amp;$C39&amp;"|"&amp;$D39&amp;"|"&amp;Q$14&amp;"|"&amp;"CY2024Q3",Spectrum!$R:$R,0)),0),""))</f>
        <v/>
      </c>
      <c r="R39" s="38">
        <v>10</v>
      </c>
      <c r="S39" s="33"/>
      <c r="T39" s="218"/>
      <c r="U39" s="33"/>
      <c r="V39" s="218"/>
      <c r="W39" s="33">
        <v>0.219</v>
      </c>
      <c r="X39" s="33">
        <f t="shared" si="26"/>
        <v>0.219</v>
      </c>
      <c r="Y39" s="231">
        <v>1.4E-2</v>
      </c>
      <c r="Z39" s="33">
        <f t="shared" si="3"/>
        <v>1.4E-2</v>
      </c>
      <c r="AA39" s="38">
        <f t="shared" si="4"/>
        <v>0</v>
      </c>
      <c r="AB39" s="218" t="str">
        <f t="shared" si="5"/>
        <v/>
      </c>
      <c r="AC39" s="218" t="str">
        <f t="shared" si="6"/>
        <v/>
      </c>
      <c r="AD39" s="218" t="str">
        <f t="shared" si="7"/>
        <v/>
      </c>
      <c r="AE39" s="38">
        <f t="shared" si="8"/>
        <v>0</v>
      </c>
      <c r="AF39" s="218" t="str">
        <f t="shared" si="9"/>
        <v/>
      </c>
      <c r="AG39" s="218" t="str">
        <f t="shared" si="10"/>
        <v/>
      </c>
      <c r="AH39" s="218" t="str">
        <f t="shared" si="11"/>
        <v/>
      </c>
      <c r="AI39" s="33" t="str">
        <f>IF(SUM($AC39)=0,"",INDEX(Cascade!$BG:$BG,MATCH($E39,Cascade!$E:$E,0)))</f>
        <v/>
      </c>
      <c r="AJ39" s="218" t="str">
        <f t="shared" si="12"/>
        <v/>
      </c>
      <c r="AK39" s="218" t="str">
        <f t="shared" si="13"/>
        <v/>
      </c>
      <c r="AL39" s="218" t="str">
        <f t="shared" si="14"/>
        <v/>
      </c>
      <c r="AM39" s="218" t="str">
        <f t="shared" si="15"/>
        <v/>
      </c>
      <c r="AN39" s="218" t="str">
        <f t="shared" si="16"/>
        <v/>
      </c>
      <c r="AO39" s="38" t="str">
        <f t="shared" si="17"/>
        <v/>
      </c>
      <c r="AP39" s="232">
        <v>6.0000000000000001E-3</v>
      </c>
      <c r="AQ39" s="33">
        <f t="shared" si="27"/>
        <v>6.0000000000000001E-3</v>
      </c>
      <c r="AR39" s="33" t="str">
        <f>IF(SUM($AO39)=0,"",INDEX(Cascade!$BG:$BG,MATCH($E39,Cascade!$E:$E,0)))</f>
        <v/>
      </c>
      <c r="AS39" s="218" t="str">
        <f t="shared" si="18"/>
        <v/>
      </c>
      <c r="AT39" s="218" t="str">
        <f t="shared" si="19"/>
        <v/>
      </c>
      <c r="AU39" s="38" t="str">
        <f t="shared" si="20"/>
        <v/>
      </c>
      <c r="AV39" s="38" t="str">
        <f t="shared" si="21"/>
        <v/>
      </c>
      <c r="AW39" s="38">
        <f>IFERROR(1/(1/INDEX(Cascade!$BH:$BH,MATCH($E39,Cascade!$E:$E,0))),"")</f>
        <v>133</v>
      </c>
      <c r="AX39" s="38" t="str">
        <f t="shared" si="22"/>
        <v/>
      </c>
      <c r="AY39" s="38" t="str">
        <f t="shared" si="23"/>
        <v/>
      </c>
      <c r="AZ39" s="38">
        <f>IFERROR(1/(1/INDEX(TB!$P:$P,MATCH($E39,TB!$E:$E,0))),"")</f>
        <v>1</v>
      </c>
      <c r="BA39" s="38">
        <f t="shared" si="24"/>
        <v>132</v>
      </c>
    </row>
    <row r="40" spans="1:53" x14ac:dyDescent="0.2">
      <c r="A40" t="str">
        <f>INDEX(Prioritization!$D:$D,MATCH($B40,Prioritization!$A:$A,0))</f>
        <v>4 - Sustained</v>
      </c>
      <c r="B40" t="s">
        <v>307</v>
      </c>
      <c r="C40" t="s">
        <v>474</v>
      </c>
      <c r="D40" t="s">
        <v>30</v>
      </c>
      <c r="E40" t="str">
        <f t="shared" si="0"/>
        <v>Chitipa District [GkIwZrXy1h2]|10-14|Female</v>
      </c>
      <c r="F40" s="38">
        <f>IF(LEFT($B40,4)="_Mil","",INDEX(Cascade!$T:$T,MATCH($E40,Cascade!$E:$E,0)))</f>
        <v>19215</v>
      </c>
      <c r="G40" s="38">
        <f>IF(LEFT($B40,4)="_Mil","",INDEX(Cascade!$U:$U,MATCH($E40,Cascade!$E:$E,0)))</f>
        <v>75</v>
      </c>
      <c r="H40" s="110">
        <f>IF(LEFT($B40,4)="_Mil","",INDEX(Cascade!$W:$W,MATCH($E40,Cascade!$E:$E,0)))</f>
        <v>3.9050600000000001E-3</v>
      </c>
      <c r="I40" s="38">
        <f>IF(LEFT($B40,4)="_Mil","",INDEX(Cascade!$Z:$Z,MATCH($E40,Cascade!$E:$E,0)))</f>
        <v>61</v>
      </c>
      <c r="J40" s="33">
        <f>IF(LEFT($B40,4)="_Mil","",INDEX(Cascade!$AA:$AA,MATCH($E40,Cascade!$E:$E,0)))</f>
        <v>0.74950894700000004</v>
      </c>
      <c r="K40" s="218" t="str">
        <f>IF(LEFT($B40,4)="_Mil","",_xlfn.IFNA(ROUND(INDEX(Spectrum!$N:$N,MATCH(RIGHT($B40,13)&amp;"|"&amp;$C40&amp;"|"&amp;$D40&amp;"|"&amp;K$14&amp;"|"&amp;"CY2024Q3",Spectrum!$R:$R,0)),0),""))</f>
        <v/>
      </c>
      <c r="L40" s="218" t="str">
        <f>IF(LEFT($B40,4)="_Mil","",_xlfn.IFNA(ROUND(INDEX(Spectrum!$N:$N,MATCH(RIGHT($B40,13)&amp;"|"&amp;$C40&amp;"|"&amp;$D40&amp;"|"&amp;L$14&amp;"|"&amp;"CY2024Q3",Spectrum!$R:$R,0)),0),""))</f>
        <v/>
      </c>
      <c r="M40" s="218" t="str">
        <f>IF(LEFT($B40,4)="_Mil","",_xlfn.IFNA(ROUND(INDEX(Spectrum!$N:$N,MATCH(RIGHT($B40,13)&amp;"|"&amp;$C40&amp;"|"&amp;$D40&amp;"|"&amp;M$14&amp;"|"&amp;"CY2024Q3",Spectrum!$R:$R,0)),0),""))</f>
        <v/>
      </c>
      <c r="N40" s="218" t="str">
        <f>IF(LEFT($B40,4)="_Mil","",_xlfn.IFNA(ROUND(INDEX(Spectrum!$N:$N,MATCH(RIGHT($B40,13)&amp;"|"&amp;$C40&amp;"|"&amp;$D40&amp;"|"&amp;N$14&amp;"|"&amp;"CY2024Q3",Spectrum!$R:$R,0)),0),""))</f>
        <v/>
      </c>
      <c r="O40" s="218" t="str">
        <f>IF(LEFT($B40,4)="_Mil","",_xlfn.IFNA(ROUND(INDEX(Spectrum!$N:$N,MATCH(RIGHT($B40,13)&amp;"|"&amp;$C40&amp;"|"&amp;$D40&amp;"|"&amp;O$14&amp;"|"&amp;"CY2024Q3",Spectrum!$R:$R,0)),0),""))</f>
        <v/>
      </c>
      <c r="P40" s="218" t="str">
        <f>IF(LEFT($B40,4)="_Mil","",_xlfn.IFNA(ROUND(INDEX(Spectrum!$N:$N,MATCH(RIGHT($B40,13)&amp;"|"&amp;$C40&amp;"|"&amp;$D40&amp;"|"&amp;P$14&amp;"|"&amp;"CY2024Q3",Spectrum!$R:$R,0)),0),""))</f>
        <v/>
      </c>
      <c r="Q40" s="218" t="str">
        <f>IF(LEFT($B40,4)="_Mil","",_xlfn.IFNA(ROUND(INDEX(Spectrum!$N:$N,MATCH(RIGHT($B40,13)&amp;"|"&amp;$C40&amp;"|"&amp;$D40&amp;"|"&amp;Q$14&amp;"|"&amp;"CY2024Q3",Spectrum!$R:$R,0)),0),""))</f>
        <v/>
      </c>
      <c r="R40" s="38">
        <v>29</v>
      </c>
      <c r="S40" s="33"/>
      <c r="T40" s="218"/>
      <c r="U40" s="33"/>
      <c r="V40" s="218"/>
      <c r="W40" s="33">
        <v>1.0999999999999999E-2</v>
      </c>
      <c r="X40" s="33">
        <f t="shared" si="26"/>
        <v>1.0999999999999999E-2</v>
      </c>
      <c r="Y40" s="231">
        <v>1.0999999999999999E-2</v>
      </c>
      <c r="Z40" s="33">
        <f t="shared" si="3"/>
        <v>1.0999999999999999E-2</v>
      </c>
      <c r="AA40" s="38">
        <f t="shared" si="4"/>
        <v>0</v>
      </c>
      <c r="AB40" s="218" t="str">
        <f t="shared" si="5"/>
        <v/>
      </c>
      <c r="AC40" s="218" t="str">
        <f t="shared" si="6"/>
        <v/>
      </c>
      <c r="AD40" s="218" t="str">
        <f t="shared" si="7"/>
        <v/>
      </c>
      <c r="AE40" s="38">
        <f t="shared" si="8"/>
        <v>0</v>
      </c>
      <c r="AF40" s="218" t="str">
        <f t="shared" si="9"/>
        <v/>
      </c>
      <c r="AG40" s="218" t="str">
        <f t="shared" si="10"/>
        <v/>
      </c>
      <c r="AH40" s="218" t="str">
        <f t="shared" si="11"/>
        <v/>
      </c>
      <c r="AI40" s="33" t="str">
        <f>IF(SUM($AC40)=0,"",INDEX(Cascade!$BG:$BG,MATCH($E40,Cascade!$E:$E,0)))</f>
        <v/>
      </c>
      <c r="AJ40" s="218" t="str">
        <f t="shared" si="12"/>
        <v/>
      </c>
      <c r="AK40" s="218" t="str">
        <f t="shared" si="13"/>
        <v/>
      </c>
      <c r="AL40" s="218" t="str">
        <f t="shared" si="14"/>
        <v/>
      </c>
      <c r="AM40" s="218" t="str">
        <f t="shared" si="15"/>
        <v/>
      </c>
      <c r="AN40" s="218" t="str">
        <f t="shared" si="16"/>
        <v/>
      </c>
      <c r="AO40" s="38" t="str">
        <f t="shared" si="17"/>
        <v/>
      </c>
      <c r="AP40" s="231">
        <v>4.0000000000000001E-3</v>
      </c>
      <c r="AQ40" s="33">
        <f t="shared" si="27"/>
        <v>4.0000000000000001E-3</v>
      </c>
      <c r="AR40" s="33" t="str">
        <f>IF(SUM($AO40)=0,"",INDEX(Cascade!$BG:$BG,MATCH($E40,Cascade!$E:$E,0)))</f>
        <v/>
      </c>
      <c r="AS40" s="218" t="str">
        <f t="shared" si="18"/>
        <v/>
      </c>
      <c r="AT40" s="218" t="str">
        <f t="shared" si="19"/>
        <v/>
      </c>
      <c r="AU40" s="38" t="str">
        <f t="shared" si="20"/>
        <v/>
      </c>
      <c r="AV40" s="38" t="str">
        <f t="shared" si="21"/>
        <v/>
      </c>
      <c r="AW40" s="38">
        <f>IFERROR(1/(1/INDEX(Cascade!$BH:$BH,MATCH($E40,Cascade!$E:$E,0))),"")</f>
        <v>9</v>
      </c>
      <c r="AX40" s="38" t="str">
        <f t="shared" si="22"/>
        <v/>
      </c>
      <c r="AY40" s="38" t="str">
        <f t="shared" si="23"/>
        <v/>
      </c>
      <c r="AZ40" s="38" t="str">
        <f>IFERROR(1/(1/INDEX(TB!$P:$P,MATCH($E40,TB!$E:$E,0))),"")</f>
        <v/>
      </c>
      <c r="BA40" s="38">
        <f t="shared" si="24"/>
        <v>9</v>
      </c>
    </row>
    <row r="41" spans="1:53" x14ac:dyDescent="0.2">
      <c r="A41" t="str">
        <f>INDEX(Prioritization!$D:$D,MATCH($B41,Prioritization!$A:$A,0))</f>
        <v>4 - Sustained</v>
      </c>
      <c r="B41" t="s">
        <v>307</v>
      </c>
      <c r="C41" t="s">
        <v>475</v>
      </c>
      <c r="D41" t="s">
        <v>30</v>
      </c>
      <c r="E41" t="str">
        <f t="shared" si="0"/>
        <v>Chitipa District [GkIwZrXy1h2]|15-24|Female</v>
      </c>
      <c r="F41" s="38">
        <f>IF(LEFT($B41,4)="_Mil","",INDEX(Cascade!$T:$T,MATCH($E41,Cascade!$E:$E,0)))</f>
        <v>31471</v>
      </c>
      <c r="G41" s="38">
        <f>IF(LEFT($B41,4)="_Mil","",INDEX(Cascade!$U:$U,MATCH($E41,Cascade!$E:$E,0)))</f>
        <v>257</v>
      </c>
      <c r="H41" s="110">
        <f>IF(LEFT($B41,4)="_Mil","",INDEX(Cascade!$W:$W,MATCH($E41,Cascade!$E:$E,0)))</f>
        <v>8.1504309999999996E-3</v>
      </c>
      <c r="I41" s="38">
        <f>IF(LEFT($B41,4)="_Mil","",INDEX(Cascade!$Z:$Z,MATCH($E41,Cascade!$E:$E,0)))</f>
        <v>261</v>
      </c>
      <c r="J41" s="33">
        <f>IF(LEFT($B41,4)="_Mil","",INDEX(Cascade!$AA:$AA,MATCH($E41,Cascade!$E:$E,0)))</f>
        <v>0.93034223400000005</v>
      </c>
      <c r="K41" s="218">
        <f>IF(LEFT($B41,4)="_Mil","",_xlfn.IFNA(ROUND(INDEX(Spectrum!$N:$N,MATCH(RIGHT($B41,13)&amp;"|"&amp;$C41&amp;"|"&amp;$D41&amp;"|"&amp;K$14&amp;"|"&amp;"CY2024Q3",Spectrum!$R:$R,0)),0),""))</f>
        <v>3897</v>
      </c>
      <c r="L41" s="218">
        <f>IF(LEFT($B41,4)="_Mil","",_xlfn.IFNA(ROUND(INDEX(Spectrum!$N:$N,MATCH(RIGHT($B41,13)&amp;"|"&amp;$C41&amp;"|"&amp;$D41&amp;"|"&amp;L$14&amp;"|"&amp;"CY2024Q3",Spectrum!$R:$R,0)),0),""))</f>
        <v>20</v>
      </c>
      <c r="M41" s="218">
        <f>IF(LEFT($B41,4)="_Mil","",_xlfn.IFNA(ROUND(INDEX(Spectrum!$N:$N,MATCH(RIGHT($B41,13)&amp;"|"&amp;$C41&amp;"|"&amp;$D41&amp;"|"&amp;M$14&amp;"|"&amp;"CY2024Q3",Spectrum!$R:$R,0)),0),""))</f>
        <v>16</v>
      </c>
      <c r="N41" s="218">
        <f>IF(LEFT($B41,4)="_Mil","",_xlfn.IFNA(ROUND(INDEX(Spectrum!$N:$N,MATCH(RIGHT($B41,13)&amp;"|"&amp;$C41&amp;"|"&amp;$D41&amp;"|"&amp;N$14&amp;"|"&amp;"CY2024Q3",Spectrum!$R:$R,0)),0),""))</f>
        <v>3861</v>
      </c>
      <c r="O41" s="218">
        <f>IF(LEFT($B41,4)="_Mil","",_xlfn.IFNA(ROUND(INDEX(Spectrum!$N:$N,MATCH(RIGHT($B41,13)&amp;"|"&amp;$C41&amp;"|"&amp;$D41&amp;"|"&amp;O$14&amp;"|"&amp;"CY2024Q3",Spectrum!$R:$R,0)),0),""))</f>
        <v>36</v>
      </c>
      <c r="P41" s="218">
        <f>IF(LEFT($B41,4)="_Mil","",_xlfn.IFNA(ROUND(INDEX(Spectrum!$N:$N,MATCH(RIGHT($B41,13)&amp;"|"&amp;$C41&amp;"|"&amp;$D41&amp;"|"&amp;P$14&amp;"|"&amp;"CY2024Q3",Spectrum!$R:$R,0)),0),""))</f>
        <v>20</v>
      </c>
      <c r="Q41" s="218">
        <f>IF(LEFT($B41,4)="_Mil","",_xlfn.IFNA(ROUND(INDEX(Spectrum!$N:$N,MATCH(RIGHT($B41,13)&amp;"|"&amp;$C41&amp;"|"&amp;$D41&amp;"|"&amp;Q$14&amp;"|"&amp;"CY2024Q3",Spectrum!$R:$R,0)),0),""))</f>
        <v>16</v>
      </c>
      <c r="R41" s="38">
        <v>1693</v>
      </c>
      <c r="S41" s="33"/>
      <c r="T41" s="218"/>
      <c r="U41" s="33"/>
      <c r="V41" s="218"/>
      <c r="W41" s="33">
        <v>1.0999999999999999E-2</v>
      </c>
      <c r="X41" s="33">
        <f t="shared" si="26"/>
        <v>1.0999999999999999E-2</v>
      </c>
      <c r="Y41" s="231">
        <v>1.0999999999999999E-2</v>
      </c>
      <c r="Z41" s="33">
        <f t="shared" si="3"/>
        <v>4.1269022440030955E-3</v>
      </c>
      <c r="AA41" s="38">
        <f t="shared" si="4"/>
        <v>0</v>
      </c>
      <c r="AB41" s="218" t="str">
        <f t="shared" si="5"/>
        <v/>
      </c>
      <c r="AC41" s="218" t="str">
        <f t="shared" si="6"/>
        <v/>
      </c>
      <c r="AD41" s="218" t="str">
        <f t="shared" si="7"/>
        <v/>
      </c>
      <c r="AE41" s="38">
        <f t="shared" si="8"/>
        <v>0</v>
      </c>
      <c r="AF41" s="218" t="str">
        <f t="shared" si="9"/>
        <v/>
      </c>
      <c r="AG41" s="218" t="str">
        <f t="shared" si="10"/>
        <v/>
      </c>
      <c r="AH41" s="218" t="str">
        <f t="shared" si="11"/>
        <v/>
      </c>
      <c r="AI41" s="33" t="str">
        <f>IF(SUM($AC41)=0,"",INDEX(Cascade!$BG:$BG,MATCH($E41,Cascade!$E:$E,0)))</f>
        <v/>
      </c>
      <c r="AJ41" s="218" t="str">
        <f t="shared" si="12"/>
        <v/>
      </c>
      <c r="AK41" s="218" t="str">
        <f t="shared" si="13"/>
        <v/>
      </c>
      <c r="AL41" s="218" t="str">
        <f t="shared" si="14"/>
        <v/>
      </c>
      <c r="AM41" s="218" t="str">
        <f t="shared" si="15"/>
        <v/>
      </c>
      <c r="AN41" s="218" t="str">
        <f t="shared" si="16"/>
        <v/>
      </c>
      <c r="AO41" s="38" t="str">
        <f t="shared" si="17"/>
        <v/>
      </c>
      <c r="AP41" s="231">
        <v>4.0000000000000001E-3</v>
      </c>
      <c r="AQ41" s="33">
        <f t="shared" si="27"/>
        <v>4.0000000000000001E-3</v>
      </c>
      <c r="AR41" s="33" t="str">
        <f>IF(SUM($AO41)=0,"",INDEX(Cascade!$BG:$BG,MATCH($E41,Cascade!$E:$E,0)))</f>
        <v/>
      </c>
      <c r="AS41" s="218" t="str">
        <f t="shared" si="18"/>
        <v/>
      </c>
      <c r="AT41" s="218" t="str">
        <f t="shared" si="19"/>
        <v/>
      </c>
      <c r="AU41" s="38" t="str">
        <f t="shared" si="20"/>
        <v/>
      </c>
      <c r="AV41" s="38" t="str">
        <f t="shared" si="21"/>
        <v/>
      </c>
      <c r="AW41" s="38">
        <f>IFERROR(1/(1/INDEX(Cascade!$BH:$BH,MATCH($E41,Cascade!$E:$E,0))),"")</f>
        <v>27</v>
      </c>
      <c r="AX41" s="38" t="str">
        <f t="shared" si="22"/>
        <v/>
      </c>
      <c r="AY41" s="38" t="str">
        <f t="shared" si="23"/>
        <v/>
      </c>
      <c r="AZ41" s="38" t="str">
        <f>IFERROR(1/(1/INDEX(TB!$P:$P,MATCH($E41,TB!$E:$E,0))),"")</f>
        <v/>
      </c>
      <c r="BA41" s="38">
        <f t="shared" si="24"/>
        <v>27</v>
      </c>
    </row>
    <row r="42" spans="1:53" x14ac:dyDescent="0.2">
      <c r="A42" t="str">
        <f>INDEX(Prioritization!$D:$D,MATCH($B42,Prioritization!$A:$A,0))</f>
        <v>4 - Sustained</v>
      </c>
      <c r="B42" t="s">
        <v>307</v>
      </c>
      <c r="C42" t="s">
        <v>476</v>
      </c>
      <c r="D42" t="s">
        <v>30</v>
      </c>
      <c r="E42" t="str">
        <f t="shared" si="0"/>
        <v>Chitipa District [GkIwZrXy1h2]|25-34|Female</v>
      </c>
      <c r="F42" s="38">
        <f>IF(LEFT($B42,4)="_Mil","",INDEX(Cascade!$T:$T,MATCH($E42,Cascade!$E:$E,0)))</f>
        <v>20687</v>
      </c>
      <c r="G42" s="38">
        <f>IF(LEFT($B42,4)="_Mil","",INDEX(Cascade!$U:$U,MATCH($E42,Cascade!$E:$E,0)))</f>
        <v>629</v>
      </c>
      <c r="H42" s="110">
        <f>IF(LEFT($B42,4)="_Mil","",INDEX(Cascade!$W:$W,MATCH($E42,Cascade!$E:$E,0)))</f>
        <v>3.0385136E-2</v>
      </c>
      <c r="I42" s="38">
        <f>IF(LEFT($B42,4)="_Mil","",INDEX(Cascade!$Z:$Z,MATCH($E42,Cascade!$E:$E,0)))</f>
        <v>660</v>
      </c>
      <c r="J42" s="33">
        <f>IF(LEFT($B42,4)="_Mil","",INDEX(Cascade!$AA:$AA,MATCH($E42,Cascade!$E:$E,0)))</f>
        <v>0.96284545499999985</v>
      </c>
      <c r="K42" s="218">
        <f>IF(LEFT($B42,4)="_Mil","",_xlfn.IFNA(ROUND(INDEX(Spectrum!$N:$N,MATCH(RIGHT($B42,13)&amp;"|"&amp;$C42&amp;"|"&amp;$D42&amp;"|"&amp;K$14&amp;"|"&amp;"CY2024Q3",Spectrum!$R:$R,0)),0),""))</f>
        <v>2495</v>
      </c>
      <c r="L42" s="218">
        <f>IF(LEFT($B42,4)="_Mil","",_xlfn.IFNA(ROUND(INDEX(Spectrum!$N:$N,MATCH(RIGHT($B42,13)&amp;"|"&amp;$C42&amp;"|"&amp;$D42&amp;"|"&amp;L$14&amp;"|"&amp;"CY2024Q3",Spectrum!$R:$R,0)),0),""))</f>
        <v>39</v>
      </c>
      <c r="M42" s="218">
        <f>IF(LEFT($B42,4)="_Mil","",_xlfn.IFNA(ROUND(INDEX(Spectrum!$N:$N,MATCH(RIGHT($B42,13)&amp;"|"&amp;$C42&amp;"|"&amp;$D42&amp;"|"&amp;M$14&amp;"|"&amp;"CY2024Q3",Spectrum!$R:$R,0)),0),""))</f>
        <v>23</v>
      </c>
      <c r="N42" s="218">
        <f>IF(LEFT($B42,4)="_Mil","",_xlfn.IFNA(ROUND(INDEX(Spectrum!$N:$N,MATCH(RIGHT($B42,13)&amp;"|"&amp;$C42&amp;"|"&amp;$D42&amp;"|"&amp;N$14&amp;"|"&amp;"CY2024Q3",Spectrum!$R:$R,0)),0),""))</f>
        <v>2433</v>
      </c>
      <c r="O42" s="218">
        <f>IF(LEFT($B42,4)="_Mil","",_xlfn.IFNA(ROUND(INDEX(Spectrum!$N:$N,MATCH(RIGHT($B42,13)&amp;"|"&amp;$C42&amp;"|"&amp;$D42&amp;"|"&amp;O$14&amp;"|"&amp;"CY2024Q3",Spectrum!$R:$R,0)),0),""))</f>
        <v>62</v>
      </c>
      <c r="P42" s="218">
        <f>IF(LEFT($B42,4)="_Mil","",_xlfn.IFNA(ROUND(INDEX(Spectrum!$N:$N,MATCH(RIGHT($B42,13)&amp;"|"&amp;$C42&amp;"|"&amp;$D42&amp;"|"&amp;P$14&amp;"|"&amp;"CY2024Q3",Spectrum!$R:$R,0)),0),""))</f>
        <v>39</v>
      </c>
      <c r="Q42" s="218">
        <f>IF(LEFT($B42,4)="_Mil","",_xlfn.IFNA(ROUND(INDEX(Spectrum!$N:$N,MATCH(RIGHT($B42,13)&amp;"|"&amp;$C42&amp;"|"&amp;$D42&amp;"|"&amp;Q$14&amp;"|"&amp;"CY2024Q3",Spectrum!$R:$R,0)),0),""))</f>
        <v>23</v>
      </c>
      <c r="R42" s="38">
        <v>2350</v>
      </c>
      <c r="S42" s="33"/>
      <c r="T42" s="218"/>
      <c r="U42" s="33"/>
      <c r="V42" s="218"/>
      <c r="W42" s="33">
        <v>3.2000000000000001E-2</v>
      </c>
      <c r="X42" s="33">
        <f t="shared" si="26"/>
        <v>3.2000000000000001E-2</v>
      </c>
      <c r="Y42" s="231">
        <v>1.0999999999999999E-2</v>
      </c>
      <c r="Z42" s="33">
        <f t="shared" si="3"/>
        <v>9.3648208469055381E-3</v>
      </c>
      <c r="AA42" s="38">
        <f t="shared" si="4"/>
        <v>0</v>
      </c>
      <c r="AB42" s="218" t="str">
        <f t="shared" si="5"/>
        <v/>
      </c>
      <c r="AC42" s="218" t="str">
        <f t="shared" si="6"/>
        <v/>
      </c>
      <c r="AD42" s="218" t="str">
        <f t="shared" si="7"/>
        <v/>
      </c>
      <c r="AE42" s="38">
        <f t="shared" si="8"/>
        <v>0</v>
      </c>
      <c r="AF42" s="218" t="str">
        <f t="shared" si="9"/>
        <v/>
      </c>
      <c r="AG42" s="218" t="str">
        <f t="shared" si="10"/>
        <v/>
      </c>
      <c r="AH42" s="218" t="str">
        <f t="shared" si="11"/>
        <v/>
      </c>
      <c r="AI42" s="33" t="str">
        <f>IF(SUM($AC42)=0,"",INDEX(Cascade!$BG:$BG,MATCH($E42,Cascade!$E:$E,0)))</f>
        <v/>
      </c>
      <c r="AJ42" s="218" t="str">
        <f t="shared" si="12"/>
        <v/>
      </c>
      <c r="AK42" s="218" t="str">
        <f t="shared" si="13"/>
        <v/>
      </c>
      <c r="AL42" s="218" t="str">
        <f t="shared" si="14"/>
        <v/>
      </c>
      <c r="AM42" s="218" t="str">
        <f t="shared" si="15"/>
        <v/>
      </c>
      <c r="AN42" s="218" t="str">
        <f t="shared" si="16"/>
        <v/>
      </c>
      <c r="AO42" s="38" t="str">
        <f t="shared" si="17"/>
        <v/>
      </c>
      <c r="AP42" s="231">
        <v>4.0000000000000001E-3</v>
      </c>
      <c r="AQ42" s="33">
        <f t="shared" si="27"/>
        <v>4.0000000000000001E-3</v>
      </c>
      <c r="AR42" s="33" t="str">
        <f>IF(SUM($AO42)=0,"",INDEX(Cascade!$BG:$BG,MATCH($E42,Cascade!$E:$E,0)))</f>
        <v/>
      </c>
      <c r="AS42" s="218" t="str">
        <f t="shared" si="18"/>
        <v/>
      </c>
      <c r="AT42" s="218" t="str">
        <f t="shared" si="19"/>
        <v/>
      </c>
      <c r="AU42" s="38" t="str">
        <f t="shared" si="20"/>
        <v/>
      </c>
      <c r="AV42" s="38" t="str">
        <f t="shared" si="21"/>
        <v/>
      </c>
      <c r="AW42" s="38">
        <f>IFERROR(1/(1/INDEX(Cascade!$BH:$BH,MATCH($E42,Cascade!$E:$E,0))),"")</f>
        <v>75</v>
      </c>
      <c r="AX42" s="38" t="str">
        <f t="shared" si="22"/>
        <v/>
      </c>
      <c r="AY42" s="38" t="str">
        <f t="shared" si="23"/>
        <v/>
      </c>
      <c r="AZ42" s="38" t="str">
        <f>IFERROR(1/(1/INDEX(TB!$P:$P,MATCH($E42,TB!$E:$E,0))),"")</f>
        <v/>
      </c>
      <c r="BA42" s="38">
        <f t="shared" si="24"/>
        <v>75</v>
      </c>
    </row>
    <row r="43" spans="1:53" x14ac:dyDescent="0.2">
      <c r="A43" t="str">
        <f>INDEX(Prioritization!$D:$D,MATCH($B43,Prioritization!$A:$A,0))</f>
        <v>4 - Sustained</v>
      </c>
      <c r="B43" t="s">
        <v>307</v>
      </c>
      <c r="C43" t="s">
        <v>477</v>
      </c>
      <c r="D43" t="s">
        <v>30</v>
      </c>
      <c r="E43" t="str">
        <f t="shared" si="0"/>
        <v>Chitipa District [GkIwZrXy1h2]|35-49|Female</v>
      </c>
      <c r="F43" s="38">
        <f>IF(LEFT($B43,4)="_Mil","",INDEX(Cascade!$T:$T,MATCH($E43,Cascade!$E:$E,0)))</f>
        <v>21303</v>
      </c>
      <c r="G43" s="38">
        <f>IF(LEFT($B43,4)="_Mil","",INDEX(Cascade!$U:$U,MATCH($E43,Cascade!$E:$E,0)))</f>
        <v>1675</v>
      </c>
      <c r="H43" s="110">
        <f>IF(LEFT($B43,4)="_Mil","",INDEX(Cascade!$W:$W,MATCH($E43,Cascade!$E:$E,0)))</f>
        <v>7.8634124999999999E-2</v>
      </c>
      <c r="I43" s="38">
        <f>IF(LEFT($B43,4)="_Mil","",INDEX(Cascade!$Z:$Z,MATCH($E43,Cascade!$E:$E,0)))</f>
        <v>1801</v>
      </c>
      <c r="J43" s="33">
        <f>IF(LEFT($B43,4)="_Mil","",INDEX(Cascade!$AA:$AA,MATCH($E43,Cascade!$E:$E,0)))</f>
        <v>0.98161381199999997</v>
      </c>
      <c r="K43" s="218">
        <f>IF(LEFT($B43,4)="_Mil","",_xlfn.IFNA(ROUND(INDEX(Spectrum!$N:$N,MATCH(RIGHT($B43,13)&amp;"|"&amp;$C43&amp;"|"&amp;$D43&amp;"|"&amp;K$14&amp;"|"&amp;"CY2024Q3",Spectrum!$R:$R,0)),0),""))</f>
        <v>909</v>
      </c>
      <c r="L43" s="218">
        <f>IF(LEFT($B43,4)="_Mil","",_xlfn.IFNA(ROUND(INDEX(Spectrum!$N:$N,MATCH(RIGHT($B43,13)&amp;"|"&amp;$C43&amp;"|"&amp;$D43&amp;"|"&amp;L$14&amp;"|"&amp;"CY2024Q3",Spectrum!$R:$R,0)),0),""))</f>
        <v>35</v>
      </c>
      <c r="M43" s="218">
        <f>IF(LEFT($B43,4)="_Mil","",_xlfn.IFNA(ROUND(INDEX(Spectrum!$N:$N,MATCH(RIGHT($B43,13)&amp;"|"&amp;$C43&amp;"|"&amp;$D43&amp;"|"&amp;M$14&amp;"|"&amp;"CY2024Q3",Spectrum!$R:$R,0)),0),""))</f>
        <v>7</v>
      </c>
      <c r="N43" s="218">
        <f>IF(LEFT($B43,4)="_Mil","",_xlfn.IFNA(ROUND(INDEX(Spectrum!$N:$N,MATCH(RIGHT($B43,13)&amp;"|"&amp;$C43&amp;"|"&amp;$D43&amp;"|"&amp;N$14&amp;"|"&amp;"CY2024Q3",Spectrum!$R:$R,0)),0),""))</f>
        <v>868</v>
      </c>
      <c r="O43" s="218">
        <f>IF(LEFT($B43,4)="_Mil","",_xlfn.IFNA(ROUND(INDEX(Spectrum!$N:$N,MATCH(RIGHT($B43,13)&amp;"|"&amp;$C43&amp;"|"&amp;$D43&amp;"|"&amp;O$14&amp;"|"&amp;"CY2024Q3",Spectrum!$R:$R,0)),0),""))</f>
        <v>42</v>
      </c>
      <c r="P43" s="218">
        <f>IF(LEFT($B43,4)="_Mil","",_xlfn.IFNA(ROUND(INDEX(Spectrum!$N:$N,MATCH(RIGHT($B43,13)&amp;"|"&amp;$C43&amp;"|"&amp;$D43&amp;"|"&amp;P$14&amp;"|"&amp;"CY2024Q3",Spectrum!$R:$R,0)),0),""))</f>
        <v>35</v>
      </c>
      <c r="Q43" s="218">
        <f>IF(LEFT($B43,4)="_Mil","",_xlfn.IFNA(ROUND(INDEX(Spectrum!$N:$N,MATCH(RIGHT($B43,13)&amp;"|"&amp;$C43&amp;"|"&amp;$D43&amp;"|"&amp;Q$14&amp;"|"&amp;"CY2024Q3",Spectrum!$R:$R,0)),0),""))</f>
        <v>7</v>
      </c>
      <c r="R43" s="38">
        <v>670</v>
      </c>
      <c r="S43" s="33"/>
      <c r="T43" s="218"/>
      <c r="U43" s="33"/>
      <c r="V43" s="218"/>
      <c r="W43" s="33">
        <v>2.9000000000000001E-2</v>
      </c>
      <c r="X43" s="33">
        <f t="shared" si="26"/>
        <v>3.8503850385038507E-2</v>
      </c>
      <c r="Y43" s="231">
        <v>1.0999999999999999E-2</v>
      </c>
      <c r="Z43" s="33">
        <f t="shared" si="3"/>
        <v>8.0091533180778034E-3</v>
      </c>
      <c r="AA43" s="38">
        <f t="shared" si="4"/>
        <v>0</v>
      </c>
      <c r="AB43" s="218" t="str">
        <f t="shared" si="5"/>
        <v/>
      </c>
      <c r="AC43" s="218" t="str">
        <f t="shared" si="6"/>
        <v/>
      </c>
      <c r="AD43" s="218" t="str">
        <f t="shared" si="7"/>
        <v/>
      </c>
      <c r="AE43" s="38">
        <f t="shared" si="8"/>
        <v>0</v>
      </c>
      <c r="AF43" s="218" t="str">
        <f t="shared" si="9"/>
        <v/>
      </c>
      <c r="AG43" s="218" t="str">
        <f t="shared" si="10"/>
        <v/>
      </c>
      <c r="AH43" s="218" t="str">
        <f t="shared" si="11"/>
        <v/>
      </c>
      <c r="AI43" s="33" t="str">
        <f>IF(SUM($AC43)=0,"",INDEX(Cascade!$BG:$BG,MATCH($E43,Cascade!$E:$E,0)))</f>
        <v/>
      </c>
      <c r="AJ43" s="218" t="str">
        <f t="shared" si="12"/>
        <v/>
      </c>
      <c r="AK43" s="218" t="str">
        <f t="shared" si="13"/>
        <v/>
      </c>
      <c r="AL43" s="218" t="str">
        <f t="shared" si="14"/>
        <v/>
      </c>
      <c r="AM43" s="218" t="str">
        <f t="shared" si="15"/>
        <v/>
      </c>
      <c r="AN43" s="218" t="str">
        <f t="shared" si="16"/>
        <v/>
      </c>
      <c r="AO43" s="38" t="str">
        <f t="shared" si="17"/>
        <v/>
      </c>
      <c r="AP43" s="231">
        <v>4.0000000000000001E-3</v>
      </c>
      <c r="AQ43" s="33">
        <f t="shared" si="27"/>
        <v>4.0000000000000001E-3</v>
      </c>
      <c r="AR43" s="33" t="str">
        <f>IF(SUM($AO43)=0,"",INDEX(Cascade!$BG:$BG,MATCH($E43,Cascade!$E:$E,0)))</f>
        <v/>
      </c>
      <c r="AS43" s="218" t="str">
        <f t="shared" si="18"/>
        <v/>
      </c>
      <c r="AT43" s="218" t="str">
        <f t="shared" si="19"/>
        <v/>
      </c>
      <c r="AU43" s="38" t="str">
        <f t="shared" si="20"/>
        <v/>
      </c>
      <c r="AV43" s="38" t="str">
        <f t="shared" si="21"/>
        <v/>
      </c>
      <c r="AW43" s="38">
        <f>IFERROR(1/(1/INDEX(Cascade!$BH:$BH,MATCH($E43,Cascade!$E:$E,0))),"")</f>
        <v>34</v>
      </c>
      <c r="AX43" s="38" t="str">
        <f t="shared" si="22"/>
        <v/>
      </c>
      <c r="AY43" s="38" t="str">
        <f t="shared" si="23"/>
        <v/>
      </c>
      <c r="AZ43" s="38">
        <f>IFERROR(1/(1/INDEX(TB!$P:$P,MATCH($E43,TB!$E:$E,0))),"")</f>
        <v>1</v>
      </c>
      <c r="BA43" s="38">
        <f t="shared" si="24"/>
        <v>33</v>
      </c>
    </row>
    <row r="44" spans="1:53" x14ac:dyDescent="0.2">
      <c r="A44" t="str">
        <f>INDEX(Prioritization!$D:$D,MATCH($B44,Prioritization!$A:$A,0))</f>
        <v>4 - Sustained</v>
      </c>
      <c r="B44" t="s">
        <v>307</v>
      </c>
      <c r="C44" t="s">
        <v>478</v>
      </c>
      <c r="D44" t="s">
        <v>30</v>
      </c>
      <c r="E44" t="str">
        <f t="shared" si="0"/>
        <v>Chitipa District [GkIwZrXy1h2]|50+|Female</v>
      </c>
      <c r="F44" s="38">
        <f>IF(LEFT($B44,4)="_Mil","",INDEX(Cascade!$T:$T,MATCH($E44,Cascade!$E:$E,0)))</f>
        <v>12704</v>
      </c>
      <c r="G44" s="38">
        <f>IF(LEFT($B44,4)="_Mil","",INDEX(Cascade!$U:$U,MATCH($E44,Cascade!$E:$E,0)))</f>
        <v>843</v>
      </c>
      <c r="H44" s="110">
        <f>IF(LEFT($B44,4)="_Mil","",INDEX(Cascade!$W:$W,MATCH($E44,Cascade!$E:$E,0)))</f>
        <v>6.6349396000000005E-2</v>
      </c>
      <c r="I44" s="38">
        <f>IF(LEFT($B44,4)="_Mil","",INDEX(Cascade!$Z:$Z,MATCH($E44,Cascade!$E:$E,0)))</f>
        <v>892</v>
      </c>
      <c r="J44" s="33">
        <f>IF(LEFT($B44,4)="_Mil","",INDEX(Cascade!$AA:$AA,MATCH($E44,Cascade!$E:$E,0)))</f>
        <v>0.98726924300000007</v>
      </c>
      <c r="K44" s="218" t="str">
        <f>IF(LEFT($B44,4)="_Mil","",_xlfn.IFNA(ROUND(INDEX(Spectrum!$N:$N,MATCH(RIGHT($B44,13)&amp;"|"&amp;$C44&amp;"|"&amp;$D44&amp;"|"&amp;K$14&amp;"|"&amp;"CY2024Q3",Spectrum!$R:$R,0)),0),""))</f>
        <v/>
      </c>
      <c r="L44" s="218" t="str">
        <f>IF(LEFT($B44,4)="_Mil","",_xlfn.IFNA(ROUND(INDEX(Spectrum!$N:$N,MATCH(RIGHT($B44,13)&amp;"|"&amp;$C44&amp;"|"&amp;$D44&amp;"|"&amp;L$14&amp;"|"&amp;"CY2024Q3",Spectrum!$R:$R,0)),0),""))</f>
        <v/>
      </c>
      <c r="M44" s="218" t="str">
        <f>IF(LEFT($B44,4)="_Mil","",_xlfn.IFNA(ROUND(INDEX(Spectrum!$N:$N,MATCH(RIGHT($B44,13)&amp;"|"&amp;$C44&amp;"|"&amp;$D44&amp;"|"&amp;M$14&amp;"|"&amp;"CY2024Q3",Spectrum!$R:$R,0)),0),""))</f>
        <v/>
      </c>
      <c r="N44" s="218" t="str">
        <f>IF(LEFT($B44,4)="_Mil","",_xlfn.IFNA(ROUND(INDEX(Spectrum!$N:$N,MATCH(RIGHT($B44,13)&amp;"|"&amp;$C44&amp;"|"&amp;$D44&amp;"|"&amp;N$14&amp;"|"&amp;"CY2024Q3",Spectrum!$R:$R,0)),0),""))</f>
        <v/>
      </c>
      <c r="O44" s="218" t="str">
        <f>IF(LEFT($B44,4)="_Mil","",_xlfn.IFNA(ROUND(INDEX(Spectrum!$N:$N,MATCH(RIGHT($B44,13)&amp;"|"&amp;$C44&amp;"|"&amp;$D44&amp;"|"&amp;O$14&amp;"|"&amp;"CY2024Q3",Spectrum!$R:$R,0)),0),""))</f>
        <v/>
      </c>
      <c r="P44" s="218" t="str">
        <f>IF(LEFT($B44,4)="_Mil","",_xlfn.IFNA(ROUND(INDEX(Spectrum!$N:$N,MATCH(RIGHT($B44,13)&amp;"|"&amp;$C44&amp;"|"&amp;$D44&amp;"|"&amp;P$14&amp;"|"&amp;"CY2024Q3",Spectrum!$R:$R,0)),0),""))</f>
        <v/>
      </c>
      <c r="Q44" s="218" t="str">
        <f>IF(LEFT($B44,4)="_Mil","",_xlfn.IFNA(ROUND(INDEX(Spectrum!$N:$N,MATCH(RIGHT($B44,13)&amp;"|"&amp;$C44&amp;"|"&amp;$D44&amp;"|"&amp;Q$14&amp;"|"&amp;"CY2024Q3",Spectrum!$R:$R,0)),0),""))</f>
        <v/>
      </c>
      <c r="R44" s="38"/>
      <c r="S44" s="33"/>
      <c r="T44" s="218"/>
      <c r="U44" s="33"/>
      <c r="V44" s="218"/>
      <c r="W44" s="33">
        <v>2.9000000000000001E-2</v>
      </c>
      <c r="X44" s="33">
        <f t="shared" si="26"/>
        <v>2.9000000000000001E-2</v>
      </c>
      <c r="Y44" s="231">
        <v>1.0999999999999999E-2</v>
      </c>
      <c r="Z44" s="33">
        <f t="shared" si="3"/>
        <v>1.0999999999999999E-2</v>
      </c>
      <c r="AA44" s="38">
        <f t="shared" si="4"/>
        <v>0</v>
      </c>
      <c r="AB44" s="218" t="str">
        <f t="shared" si="5"/>
        <v/>
      </c>
      <c r="AC44" s="218" t="str">
        <f t="shared" si="6"/>
        <v/>
      </c>
      <c r="AD44" s="218" t="str">
        <f t="shared" si="7"/>
        <v/>
      </c>
      <c r="AE44" s="38">
        <f t="shared" si="8"/>
        <v>0</v>
      </c>
      <c r="AF44" s="218" t="str">
        <f t="shared" si="9"/>
        <v/>
      </c>
      <c r="AG44" s="218" t="str">
        <f t="shared" si="10"/>
        <v/>
      </c>
      <c r="AH44" s="218" t="str">
        <f t="shared" si="11"/>
        <v/>
      </c>
      <c r="AI44" s="33" t="str">
        <f>IF(SUM($AC44)=0,"",INDEX(Cascade!$BG:$BG,MATCH($E44,Cascade!$E:$E,0)))</f>
        <v/>
      </c>
      <c r="AJ44" s="218" t="str">
        <f t="shared" si="12"/>
        <v/>
      </c>
      <c r="AK44" s="218" t="str">
        <f t="shared" si="13"/>
        <v/>
      </c>
      <c r="AL44" s="218" t="str">
        <f t="shared" si="14"/>
        <v/>
      </c>
      <c r="AM44" s="218" t="str">
        <f t="shared" si="15"/>
        <v/>
      </c>
      <c r="AN44" s="218" t="str">
        <f t="shared" si="16"/>
        <v/>
      </c>
      <c r="AO44" s="38" t="str">
        <f t="shared" si="17"/>
        <v/>
      </c>
      <c r="AP44" s="231">
        <v>4.0000000000000001E-3</v>
      </c>
      <c r="AQ44" s="33">
        <f t="shared" si="27"/>
        <v>4.0000000000000001E-3</v>
      </c>
      <c r="AR44" s="33" t="str">
        <f>IF(SUM($AO44)=0,"",INDEX(Cascade!$BG:$BG,MATCH($E44,Cascade!$E:$E,0)))</f>
        <v/>
      </c>
      <c r="AS44" s="218" t="str">
        <f t="shared" si="18"/>
        <v/>
      </c>
      <c r="AT44" s="218" t="str">
        <f t="shared" si="19"/>
        <v/>
      </c>
      <c r="AU44" s="38" t="str">
        <f t="shared" si="20"/>
        <v/>
      </c>
      <c r="AV44" s="38" t="str">
        <f t="shared" si="21"/>
        <v/>
      </c>
      <c r="AW44" s="38">
        <f>IFERROR(1/(1/INDEX(Cascade!$BH:$BH,MATCH($E44,Cascade!$E:$E,0))),"")</f>
        <v>42</v>
      </c>
      <c r="AX44" s="38" t="str">
        <f t="shared" si="22"/>
        <v/>
      </c>
      <c r="AY44" s="38" t="str">
        <f t="shared" si="23"/>
        <v/>
      </c>
      <c r="AZ44" s="38" t="str">
        <f>IFERROR(1/(1/INDEX(TB!$P:$P,MATCH($E44,TB!$E:$E,0))),"")</f>
        <v/>
      </c>
      <c r="BA44" s="38">
        <f t="shared" si="24"/>
        <v>42</v>
      </c>
    </row>
    <row r="45" spans="1:53" x14ac:dyDescent="0.2">
      <c r="A45" t="str">
        <f>INDEX(Prioritization!$D:$D,MATCH($B45,Prioritization!$A:$A,0))</f>
        <v>4 - Sustained</v>
      </c>
      <c r="B45" t="s">
        <v>298</v>
      </c>
      <c r="C45" t="s">
        <v>474</v>
      </c>
      <c r="D45" t="s">
        <v>30</v>
      </c>
      <c r="E45" s="1" t="str">
        <f t="shared" si="0"/>
        <v>Dedza District [PekKUkKHAzY]|10-14|Female</v>
      </c>
      <c r="F45" s="38">
        <f>IF(LEFT($B45,4)="_Mil","",INDEX(Cascade!$T:$T,MATCH($E45,Cascade!$E:$E,0)))</f>
        <v>66637</v>
      </c>
      <c r="G45" s="38">
        <f>IF(LEFT($B45,4)="_Mil","",INDEX(Cascade!$U:$U,MATCH($E45,Cascade!$E:$E,0)))</f>
        <v>271</v>
      </c>
      <c r="H45" s="110">
        <f>IF(LEFT($B45,4)="_Mil","",INDEX(Cascade!$W:$W,MATCH($E45,Cascade!$E:$E,0)))</f>
        <v>4.0648969999999996E-3</v>
      </c>
      <c r="I45" s="38">
        <f>IF(LEFT($B45,4)="_Mil","",INDEX(Cascade!$Z:$Z,MATCH($E45,Cascade!$E:$E,0)))</f>
        <v>223</v>
      </c>
      <c r="J45" s="33">
        <f>IF(LEFT($B45,4)="_Mil","",INDEX(Cascade!$AA:$AA,MATCH($E45,Cascade!$E:$E,0)))</f>
        <v>0.71078913099999996</v>
      </c>
      <c r="K45" s="2" t="str">
        <f>IF(LEFT($B45,4)="_Mil","",_xlfn.IFNA(ROUND(INDEX(Spectrum!$N:$N,MATCH(RIGHT($B45,13)&amp;"|"&amp;$C45&amp;"|"&amp;$D45&amp;"|"&amp;K$14&amp;"|"&amp;"CY2024Q3",Spectrum!$R:$R,0)),0),""))</f>
        <v/>
      </c>
      <c r="L45" s="2" t="str">
        <f>IF(LEFT($B45,4)="_Mil","",_xlfn.IFNA(ROUND(INDEX(Spectrum!$N:$N,MATCH(RIGHT($B45,13)&amp;"|"&amp;$C45&amp;"|"&amp;$D45&amp;"|"&amp;L$14&amp;"|"&amp;"CY2024Q3",Spectrum!$R:$R,0)),0),""))</f>
        <v/>
      </c>
      <c r="M45" s="2" t="str">
        <f>IF(LEFT($B45,4)="_Mil","",_xlfn.IFNA(ROUND(INDEX(Spectrum!$N:$N,MATCH(RIGHT($B45,13)&amp;"|"&amp;$C45&amp;"|"&amp;$D45&amp;"|"&amp;M$14&amp;"|"&amp;"CY2024Q3",Spectrum!$R:$R,0)),0),""))</f>
        <v/>
      </c>
      <c r="N45" s="2" t="str">
        <f>IF(LEFT($B45,4)="_Mil","",_xlfn.IFNA(ROUND(INDEX(Spectrum!$N:$N,MATCH(RIGHT($B45,13)&amp;"|"&amp;$C45&amp;"|"&amp;$D45&amp;"|"&amp;N$14&amp;"|"&amp;"CY2024Q3",Spectrum!$R:$R,0)),0),""))</f>
        <v/>
      </c>
      <c r="O45" s="2" t="str">
        <f>IF(LEFT($B45,4)="_Mil","",_xlfn.IFNA(ROUND(INDEX(Spectrum!$N:$N,MATCH(RIGHT($B45,13)&amp;"|"&amp;$C45&amp;"|"&amp;$D45&amp;"|"&amp;O$14&amp;"|"&amp;"CY2024Q3",Spectrum!$R:$R,0)),0),""))</f>
        <v/>
      </c>
      <c r="P45" s="2" t="str">
        <f>IF(LEFT($B45,4)="_Mil","",_xlfn.IFNA(ROUND(INDEX(Spectrum!$N:$N,MATCH(RIGHT($B45,13)&amp;"|"&amp;$C45&amp;"|"&amp;$D45&amp;"|"&amp;P$14&amp;"|"&amp;"CY2024Q3",Spectrum!$R:$R,0)),0),""))</f>
        <v/>
      </c>
      <c r="Q45" s="2" t="str">
        <f>IF(LEFT($B45,4)="_Mil","",_xlfn.IFNA(ROUND(INDEX(Spectrum!$N:$N,MATCH(RIGHT($B45,13)&amp;"|"&amp;$C45&amp;"|"&amp;$D45&amp;"|"&amp;Q$14&amp;"|"&amp;"CY2024Q3",Spectrum!$R:$R,0)),0),""))</f>
        <v/>
      </c>
      <c r="R45" s="38">
        <v>96</v>
      </c>
      <c r="S45" s="33"/>
      <c r="T45" s="2"/>
      <c r="U45" s="33"/>
      <c r="V45" s="2"/>
      <c r="W45" s="33">
        <v>6.8999999999999999E-3</v>
      </c>
      <c r="X45" s="33">
        <f t="shared" si="26"/>
        <v>6.8999999999999999E-3</v>
      </c>
      <c r="Y45" s="231">
        <v>1.0999999999999999E-2</v>
      </c>
      <c r="Z45" s="33">
        <f t="shared" si="3"/>
        <v>1.0999999999999999E-2</v>
      </c>
      <c r="AA45" s="2">
        <f t="shared" si="4"/>
        <v>0</v>
      </c>
      <c r="AB45" s="2" t="str">
        <f t="shared" si="5"/>
        <v/>
      </c>
      <c r="AC45" s="2" t="str">
        <f t="shared" si="6"/>
        <v/>
      </c>
      <c r="AD45" s="2" t="str">
        <f t="shared" si="7"/>
        <v/>
      </c>
      <c r="AE45" s="2">
        <f t="shared" si="8"/>
        <v>0</v>
      </c>
      <c r="AF45" s="2" t="str">
        <f t="shared" si="9"/>
        <v/>
      </c>
      <c r="AG45" s="2" t="str">
        <f t="shared" si="10"/>
        <v/>
      </c>
      <c r="AH45" s="2" t="str">
        <f t="shared" si="11"/>
        <v/>
      </c>
      <c r="AI45" s="33" t="str">
        <f>IF(SUM($AC45)=0,"",INDEX(Cascade!$BG:$BG,MATCH($E45,Cascade!$E:$E,0)))</f>
        <v/>
      </c>
      <c r="AJ45" s="2" t="str">
        <f t="shared" si="12"/>
        <v/>
      </c>
      <c r="AK45" s="2" t="str">
        <f t="shared" si="13"/>
        <v/>
      </c>
      <c r="AL45" s="2" t="str">
        <f t="shared" si="14"/>
        <v/>
      </c>
      <c r="AM45" s="2" t="str">
        <f t="shared" si="15"/>
        <v/>
      </c>
      <c r="AN45" s="2" t="str">
        <f t="shared" si="16"/>
        <v/>
      </c>
      <c r="AO45" s="38" t="str">
        <f t="shared" si="17"/>
        <v/>
      </c>
      <c r="AP45" s="231">
        <v>4.0000000000000001E-3</v>
      </c>
      <c r="AQ45" s="33">
        <f t="shared" si="27"/>
        <v>4.0000000000000001E-3</v>
      </c>
      <c r="AR45" s="33" t="str">
        <f>IF(SUM($AO45)=0,"",INDEX(Cascade!$BG:$BG,MATCH($E45,Cascade!$E:$E,0)))</f>
        <v/>
      </c>
      <c r="AS45" s="2" t="str">
        <f t="shared" si="18"/>
        <v/>
      </c>
      <c r="AT45" s="2" t="str">
        <f t="shared" si="19"/>
        <v/>
      </c>
      <c r="AU45" s="38" t="str">
        <f t="shared" si="20"/>
        <v/>
      </c>
      <c r="AV45" s="38" t="str">
        <f t="shared" si="21"/>
        <v/>
      </c>
      <c r="AW45" s="38">
        <f>IFERROR(1/(1/INDEX(Cascade!$BH:$BH,MATCH($E45,Cascade!$E:$E,0))),"")</f>
        <v>25</v>
      </c>
      <c r="AX45" s="38" t="str">
        <f t="shared" si="22"/>
        <v/>
      </c>
      <c r="AY45" s="38" t="str">
        <f t="shared" si="23"/>
        <v/>
      </c>
      <c r="AZ45" s="38" t="str">
        <f>IFERROR(1/(1/INDEX(TB!$P:$P,MATCH($E45,TB!$E:$E,0))),"")</f>
        <v/>
      </c>
      <c r="BA45" s="38">
        <f t="shared" si="24"/>
        <v>25</v>
      </c>
    </row>
    <row r="46" spans="1:53" x14ac:dyDescent="0.2">
      <c r="A46" t="str">
        <f>INDEX(Prioritization!$D:$D,MATCH($B46,Prioritization!$A:$A,0))</f>
        <v>4 - Sustained</v>
      </c>
      <c r="B46" t="s">
        <v>298</v>
      </c>
      <c r="C46" t="s">
        <v>475</v>
      </c>
      <c r="D46" t="s">
        <v>30</v>
      </c>
      <c r="E46" t="str">
        <f t="shared" si="0"/>
        <v>Dedza District [PekKUkKHAzY]|15-24|Female</v>
      </c>
      <c r="F46" s="38">
        <f>IF(LEFT($B46,4)="_Mil","",INDEX(Cascade!$T:$T,MATCH($E46,Cascade!$E:$E,0)))</f>
        <v>109865</v>
      </c>
      <c r="G46" s="38">
        <f>IF(LEFT($B46,4)="_Mil","",INDEX(Cascade!$U:$U,MATCH($E46,Cascade!$E:$E,0)))</f>
        <v>922</v>
      </c>
      <c r="H46" s="110">
        <f>IF(LEFT($B46,4)="_Mil","",INDEX(Cascade!$W:$W,MATCH($E46,Cascade!$E:$E,0)))</f>
        <v>8.3888039999999997E-3</v>
      </c>
      <c r="I46" s="38">
        <f>IF(LEFT($B46,4)="_Mil","",INDEX(Cascade!$Z:$Z,MATCH($E46,Cascade!$E:$E,0)))</f>
        <v>981</v>
      </c>
      <c r="J46" s="33">
        <f>IF(LEFT($B46,4)="_Mil","",INDEX(Cascade!$AA:$AA,MATCH($E46,Cascade!$E:$E,0)))</f>
        <v>0.92455388599999999</v>
      </c>
      <c r="K46" s="218">
        <f>IF(LEFT($B46,4)="_Mil","",_xlfn.IFNA(ROUND(INDEX(Spectrum!$N:$N,MATCH(RIGHT($B46,13)&amp;"|"&amp;$C46&amp;"|"&amp;$D46&amp;"|"&amp;K$14&amp;"|"&amp;"CY2024Q3",Spectrum!$R:$R,0)),0),""))</f>
        <v>12320</v>
      </c>
      <c r="L46" s="218">
        <f>IF(LEFT($B46,4)="_Mil","",_xlfn.IFNA(ROUND(INDEX(Spectrum!$N:$N,MATCH(RIGHT($B46,13)&amp;"|"&amp;$C46&amp;"|"&amp;$D46&amp;"|"&amp;L$14&amp;"|"&amp;"CY2024Q3",Spectrum!$R:$R,0)),0),""))</f>
        <v>84</v>
      </c>
      <c r="M46" s="218">
        <f>IF(LEFT($B46,4)="_Mil","",_xlfn.IFNA(ROUND(INDEX(Spectrum!$N:$N,MATCH(RIGHT($B46,13)&amp;"|"&amp;$C46&amp;"|"&amp;$D46&amp;"|"&amp;M$14&amp;"|"&amp;"CY2024Q3",Spectrum!$R:$R,0)),0),""))</f>
        <v>62</v>
      </c>
      <c r="N46" s="218">
        <f>IF(LEFT($B46,4)="_Mil","",_xlfn.IFNA(ROUND(INDEX(Spectrum!$N:$N,MATCH(RIGHT($B46,13)&amp;"|"&amp;$C46&amp;"|"&amp;$D46&amp;"|"&amp;N$14&amp;"|"&amp;"CY2024Q3",Spectrum!$R:$R,0)),0),""))</f>
        <v>12174</v>
      </c>
      <c r="O46" s="218">
        <f>IF(LEFT($B46,4)="_Mil","",_xlfn.IFNA(ROUND(INDEX(Spectrum!$N:$N,MATCH(RIGHT($B46,13)&amp;"|"&amp;$C46&amp;"|"&amp;$D46&amp;"|"&amp;O$14&amp;"|"&amp;"CY2024Q3",Spectrum!$R:$R,0)),0),""))</f>
        <v>146</v>
      </c>
      <c r="P46" s="218">
        <f>IF(LEFT($B46,4)="_Mil","",_xlfn.IFNA(ROUND(INDEX(Spectrum!$N:$N,MATCH(RIGHT($B46,13)&amp;"|"&amp;$C46&amp;"|"&amp;$D46&amp;"|"&amp;P$14&amp;"|"&amp;"CY2024Q3",Spectrum!$R:$R,0)),0),""))</f>
        <v>84</v>
      </c>
      <c r="Q46" s="218">
        <f>IF(LEFT($B46,4)="_Mil","",_xlfn.IFNA(ROUND(INDEX(Spectrum!$N:$N,MATCH(RIGHT($B46,13)&amp;"|"&amp;$C46&amp;"|"&amp;$D46&amp;"|"&amp;Q$14&amp;"|"&amp;"CY2024Q3",Spectrum!$R:$R,0)),0),""))</f>
        <v>62</v>
      </c>
      <c r="R46" s="38">
        <v>6717</v>
      </c>
      <c r="S46" s="33">
        <v>0</v>
      </c>
      <c r="T46" s="218">
        <f t="shared" si="25"/>
        <v>6717</v>
      </c>
      <c r="U46" s="33">
        <f t="shared" si="1"/>
        <v>0.54521103896103895</v>
      </c>
      <c r="V46" s="218">
        <f t="shared" si="2"/>
        <v>12320</v>
      </c>
      <c r="W46" s="33">
        <v>6.8999999999999999E-3</v>
      </c>
      <c r="X46" s="33">
        <f t="shared" si="26"/>
        <v>6.8999999999999999E-3</v>
      </c>
      <c r="Y46" s="231">
        <v>1.0999999999999999E-2</v>
      </c>
      <c r="Z46" s="33">
        <f t="shared" si="3"/>
        <v>5.0670153644982018E-3</v>
      </c>
      <c r="AA46" s="38">
        <f t="shared" si="4"/>
        <v>6717</v>
      </c>
      <c r="AB46" s="2">
        <f t="shared" si="5"/>
        <v>46</v>
      </c>
      <c r="AC46" s="218">
        <f t="shared" si="6"/>
        <v>34</v>
      </c>
      <c r="AD46" s="218">
        <f t="shared" si="7"/>
        <v>6637</v>
      </c>
      <c r="AE46" s="38">
        <f t="shared" si="8"/>
        <v>12320</v>
      </c>
      <c r="AF46" s="218">
        <f t="shared" si="9"/>
        <v>85</v>
      </c>
      <c r="AG46" s="218">
        <f t="shared" si="10"/>
        <v>62</v>
      </c>
      <c r="AH46" s="218">
        <f t="shared" si="11"/>
        <v>12173</v>
      </c>
      <c r="AI46" s="33">
        <f>IF(SUM($AC46)=0,"",INDEX(Cascade!$BG:$BG,MATCH($E46,Cascade!$E:$E,0)))</f>
        <v>0.95</v>
      </c>
      <c r="AJ46" s="218">
        <f t="shared" si="12"/>
        <v>46</v>
      </c>
      <c r="AK46" s="218">
        <f t="shared" si="13"/>
        <v>32</v>
      </c>
      <c r="AL46" s="218">
        <f t="shared" si="14"/>
        <v>147</v>
      </c>
      <c r="AM46" s="218">
        <f t="shared" si="15"/>
        <v>85</v>
      </c>
      <c r="AN46" s="218">
        <f t="shared" si="16"/>
        <v>59</v>
      </c>
      <c r="AO46" s="38">
        <f t="shared" si="17"/>
        <v>6637</v>
      </c>
      <c r="AP46" s="231">
        <v>4.0000000000000001E-3</v>
      </c>
      <c r="AQ46" s="33">
        <f t="shared" si="27"/>
        <v>4.0000000000000001E-3</v>
      </c>
      <c r="AR46" s="33">
        <f>IF(SUM($AO46)=0,"",INDEX(Cascade!$BG:$BG,MATCH($E46,Cascade!$E:$E,0)))</f>
        <v>0.95</v>
      </c>
      <c r="AS46" s="218">
        <f t="shared" si="18"/>
        <v>27</v>
      </c>
      <c r="AT46" s="218">
        <f t="shared" si="19"/>
        <v>6610</v>
      </c>
      <c r="AU46" s="38">
        <f t="shared" si="20"/>
        <v>26</v>
      </c>
      <c r="AV46" s="38">
        <f t="shared" si="21"/>
        <v>107.00000000000001</v>
      </c>
      <c r="AW46" s="38">
        <f>IFERROR(1/(1/INDEX(Cascade!$BH:$BH,MATCH($E46,Cascade!$E:$E,0))),"")</f>
        <v>122</v>
      </c>
      <c r="AX46" s="38">
        <f t="shared" si="22"/>
        <v>34</v>
      </c>
      <c r="AY46" s="38">
        <f t="shared" si="23"/>
        <v>27</v>
      </c>
      <c r="AZ46" s="38">
        <f>IFERROR(1/(1/INDEX(TB!$P:$P,MATCH($E46,TB!$E:$E,0))),"")</f>
        <v>1</v>
      </c>
      <c r="BA46" s="38">
        <f t="shared" si="24"/>
        <v>60</v>
      </c>
    </row>
    <row r="47" spans="1:53" x14ac:dyDescent="0.2">
      <c r="A47" t="str">
        <f>INDEX(Prioritization!$D:$D,MATCH($B47,Prioritization!$A:$A,0))</f>
        <v>4 - Sustained</v>
      </c>
      <c r="B47" t="s">
        <v>298</v>
      </c>
      <c r="C47" t="s">
        <v>476</v>
      </c>
      <c r="D47" t="s">
        <v>30</v>
      </c>
      <c r="E47" t="str">
        <f t="shared" ref="E47:E78" si="28">B47&amp;"|"&amp;C47&amp;"|"&amp;D47</f>
        <v>Dedza District [PekKUkKHAzY]|25-34|Female</v>
      </c>
      <c r="F47" s="38">
        <f>IF(LEFT($B47,4)="_Mil","",INDEX(Cascade!$T:$T,MATCH($E47,Cascade!$E:$E,0)))</f>
        <v>76304</v>
      </c>
      <c r="G47" s="38">
        <f>IF(LEFT($B47,4)="_Mil","",INDEX(Cascade!$U:$U,MATCH($E47,Cascade!$E:$E,0)))</f>
        <v>2357</v>
      </c>
      <c r="H47" s="110">
        <f>IF(LEFT($B47,4)="_Mil","",INDEX(Cascade!$W:$W,MATCH($E47,Cascade!$E:$E,0)))</f>
        <v>3.0885132999999999E-2</v>
      </c>
      <c r="I47" s="38">
        <f>IF(LEFT($B47,4)="_Mil","",INDEX(Cascade!$Z:$Z,MATCH($E47,Cascade!$E:$E,0)))</f>
        <v>2578</v>
      </c>
      <c r="J47" s="33">
        <v>0</v>
      </c>
      <c r="K47" s="218">
        <f>IF(LEFT($B47,4)="_Mil","",_xlfn.IFNA(ROUND(INDEX(Spectrum!$N:$N,MATCH(RIGHT($B47,13)&amp;"|"&amp;$C47&amp;"|"&amp;$D47&amp;"|"&amp;K$14&amp;"|"&amp;"CY2024Q3",Spectrum!$R:$R,0)),0),""))</f>
        <v>8291</v>
      </c>
      <c r="L47" s="218">
        <f>IF(LEFT($B47,4)="_Mil","",_xlfn.IFNA(ROUND(INDEX(Spectrum!$N:$N,MATCH(RIGHT($B47,13)&amp;"|"&amp;$C47&amp;"|"&amp;$D47&amp;"|"&amp;L$14&amp;"|"&amp;"CY2024Q3",Spectrum!$R:$R,0)),0),""))</f>
        <v>169</v>
      </c>
      <c r="M47" s="218">
        <f>IF(LEFT($B47,4)="_Mil","",_xlfn.IFNA(ROUND(INDEX(Spectrum!$N:$N,MATCH(RIGHT($B47,13)&amp;"|"&amp;$C47&amp;"|"&amp;$D47&amp;"|"&amp;M$14&amp;"|"&amp;"CY2024Q3",Spectrum!$R:$R,0)),0),""))</f>
        <v>88</v>
      </c>
      <c r="N47" s="218">
        <f>IF(LEFT($B47,4)="_Mil","",_xlfn.IFNA(ROUND(INDEX(Spectrum!$N:$N,MATCH(RIGHT($B47,13)&amp;"|"&amp;$C47&amp;"|"&amp;$D47&amp;"|"&amp;N$14&amp;"|"&amp;"CY2024Q3",Spectrum!$R:$R,0)),0),""))</f>
        <v>8035</v>
      </c>
      <c r="O47" s="218">
        <f>IF(LEFT($B47,4)="_Mil","",_xlfn.IFNA(ROUND(INDEX(Spectrum!$N:$N,MATCH(RIGHT($B47,13)&amp;"|"&amp;$C47&amp;"|"&amp;$D47&amp;"|"&amp;O$14&amp;"|"&amp;"CY2024Q3",Spectrum!$R:$R,0)),0),""))</f>
        <v>256</v>
      </c>
      <c r="P47" s="218">
        <f>IF(LEFT($B47,4)="_Mil","",_xlfn.IFNA(ROUND(INDEX(Spectrum!$N:$N,MATCH(RIGHT($B47,13)&amp;"|"&amp;$C47&amp;"|"&amp;$D47&amp;"|"&amp;P$14&amp;"|"&amp;"CY2024Q3",Spectrum!$R:$R,0)),0),""))</f>
        <v>169</v>
      </c>
      <c r="Q47" s="218">
        <f>IF(LEFT($B47,4)="_Mil","",_xlfn.IFNA(ROUND(INDEX(Spectrum!$N:$N,MATCH(RIGHT($B47,13)&amp;"|"&amp;$C47&amp;"|"&amp;$D47&amp;"|"&amp;Q$14&amp;"|"&amp;"CY2024Q3",Spectrum!$R:$R,0)),0),""))</f>
        <v>88</v>
      </c>
      <c r="R47" s="38">
        <v>9944</v>
      </c>
      <c r="S47" s="33">
        <v>0</v>
      </c>
      <c r="T47" s="218">
        <f t="shared" ref="T47:T78" si="29">IF(SUM($R47)=0,"",ROUND($R47*(1+$S47),0))</f>
        <v>9944</v>
      </c>
      <c r="U47" s="33">
        <f t="shared" ref="U47:U78" si="30">IF(LEFT($B47,4)="_Mil","",IF(SUM($K47)=0,IF(SUM($R47)=0,"",1),MIN($R47/$K47,1)))</f>
        <v>1</v>
      </c>
      <c r="V47" s="218">
        <f t="shared" ref="V47:V78" si="31">IF(OR(SUM($T47)=0,LEFT($B47,4)="_Mil"),"",ROUND($T47/$U47,0))</f>
        <v>9944</v>
      </c>
      <c r="W47" s="33">
        <v>3.1E-2</v>
      </c>
      <c r="X47" s="33">
        <f t="shared" ref="X47:X78" si="32">IF(SUM($K47,$W47)=0,"",MAX(IFERROR(SUM($L47)/$K47,0),SUM($W47)))</f>
        <v>3.1E-2</v>
      </c>
      <c r="Y47" s="231">
        <v>1.0999999999999999E-2</v>
      </c>
      <c r="Z47" s="33">
        <f t="shared" ref="Z47:Z78" si="33">IF(SUM($K47,$Y47)=0,"",MIN(SUM($Y47),IFERROR(SUM($M47)/(SUM($K47)-SUM($L47)),1)))</f>
        <v>1.0834769761142575E-2</v>
      </c>
      <c r="AA47" s="38">
        <f t="shared" ref="AA47:AA78" si="34">$T47</f>
        <v>9944</v>
      </c>
      <c r="AB47" s="218">
        <f t="shared" ref="AB47:AB78" si="35">IF(SUM($AA47)=0,"",IF(AND(SUM($AA47)&gt;0,$X47=""),"ENTER KNOWN POSITIVITY RATE",ROUND($AA47*$X47,0)))</f>
        <v>308</v>
      </c>
      <c r="AC47" s="218">
        <f t="shared" ref="AC47:AC78" si="36">IF(SUM($AA47)=0,"",IF(AND((SUM($AA47)-SUM($AB47))&gt;0,$Z47=""),"ENTER YIELD RATE",ROUND(($AA47-SUM($AB47))*$Z47,0)))</f>
        <v>104</v>
      </c>
      <c r="AD47" s="218">
        <f t="shared" ref="AD47:AD78" si="37">IF(SUM($AA47)=0,"",$AA47-SUM($AB47)-SUM($AC47))</f>
        <v>9532</v>
      </c>
      <c r="AE47" s="38">
        <f t="shared" ref="AE47:AE78" si="38">$V47</f>
        <v>9944</v>
      </c>
      <c r="AF47" s="218">
        <f t="shared" ref="AF47:AF78" si="39">IF(SUM($AE47)=0,"",ROUND($AE47*SUM($X47),0))</f>
        <v>308</v>
      </c>
      <c r="AG47" s="218">
        <f t="shared" ref="AG47:AG78" si="40">IF(SUM($AE47)=0,"",ROUND(($AE47-SUM($AF47))*SUM($Z47),0))</f>
        <v>104</v>
      </c>
      <c r="AH47" s="218">
        <f t="shared" ref="AH47:AH78" si="41">IF(SUM($AE47)=0,"",$AE47-SUM($AF47)-SUM($AG47))</f>
        <v>9532</v>
      </c>
      <c r="AI47" s="33">
        <f>IF(SUM($AC47)=0,"",INDEX(Cascade!$BG:$BG,MATCH($E47,Cascade!$E:$E,0)))</f>
        <v>0.95</v>
      </c>
      <c r="AJ47" s="218">
        <f t="shared" ref="AJ47:AJ78" si="42">$AB47</f>
        <v>308</v>
      </c>
      <c r="AK47" s="218">
        <f t="shared" ref="AK47:AK78" si="43">IF(SUM($AC47)=0,"",IF(AND($AI47="",SUM($AC47)&gt;0),"&lt;- Enter Linkage Rate",ROUND($AC47*$AI47,0)))</f>
        <v>99</v>
      </c>
      <c r="AL47" s="218">
        <f t="shared" ref="AL47:AL78" si="44">IF(SUM($AF47,$AG47)=0,"",SUM($AF47,$AG47))</f>
        <v>412</v>
      </c>
      <c r="AM47" s="218">
        <f t="shared" ref="AM47:AM78" si="45">$AF47</f>
        <v>308</v>
      </c>
      <c r="AN47" s="218">
        <f t="shared" ref="AN47:AN78" si="46">IF(SUM($AG47)=0,"",ROUND($AG47*SUM($AI47),0))</f>
        <v>99</v>
      </c>
      <c r="AO47" s="38">
        <f t="shared" ref="AO47:AO78" si="47">IFERROR(1/(1/MAX(SUM($T47)-SUM($AB47,$AC47),$AD47)),"")</f>
        <v>9532</v>
      </c>
      <c r="AP47" s="231">
        <v>4.0000000000000001E-3</v>
      </c>
      <c r="AQ47" s="33">
        <f t="shared" ref="AQ47:AQ78" si="48">IF($AP47="","",$AP47)</f>
        <v>4.0000000000000001E-3</v>
      </c>
      <c r="AR47" s="33">
        <f>IF(SUM($AO47)=0,"",INDEX(Cascade!$BG:$BG,MATCH($E47,Cascade!$E:$E,0)))</f>
        <v>0.95</v>
      </c>
      <c r="AS47" s="218">
        <f t="shared" ref="AS47:AS78" si="49">IF(SUM($AO47)=0,"",IF(AND(SUM($AO47)&gt;0,$AQ47=""),"ENTER YIELD RATE",ROUND($AO47*$AQ47,0)))</f>
        <v>38</v>
      </c>
      <c r="AT47" s="218">
        <f t="shared" ref="AT47:AT78" si="50">IF(SUM($AO47)=0,"",$AO47-SUM($AS47))</f>
        <v>9494</v>
      </c>
      <c r="AU47" s="38">
        <f t="shared" ref="AU47:AU78" si="51">IF(SUM($AS47)=0,"",ROUND($AS47*$AR47,0))</f>
        <v>36</v>
      </c>
      <c r="AV47" s="38">
        <f t="shared" ref="AV47:AV78" si="52">IFERROR(1/(1/SUM($AC47,$AB47,$AS47)),"")</f>
        <v>450</v>
      </c>
      <c r="AW47" s="38">
        <f>IFERROR(1/(1/INDEX(Cascade!$BH:$BH,MATCH($E47,Cascade!$E:$E,0))),"")</f>
        <v>319</v>
      </c>
      <c r="AX47" s="38">
        <f t="shared" ref="AX47:AX78" si="53">IF(SUM($AC47)=0,"",$AC47)</f>
        <v>104</v>
      </c>
      <c r="AY47" s="38">
        <f t="shared" ref="AY47:AY78" si="54">IF(SUM($AS47)=0,"",$AS47)</f>
        <v>38</v>
      </c>
      <c r="AZ47" s="38">
        <f>IFERROR(1/(1/INDEX(TB!$P:$P,MATCH($E47,TB!$E:$E,0))),"")</f>
        <v>1</v>
      </c>
      <c r="BA47" s="38">
        <f t="shared" ref="BA47:BA78" si="55">IFERROR(1/(1/(SUM($AW47)-SUM($AX47:$AZ47))),"")</f>
        <v>176</v>
      </c>
    </row>
    <row r="48" spans="1:53" x14ac:dyDescent="0.2">
      <c r="A48" t="str">
        <f>INDEX(Prioritization!$D:$D,MATCH($B48,Prioritization!$A:$A,0))</f>
        <v>4 - Sustained</v>
      </c>
      <c r="B48" t="s">
        <v>298</v>
      </c>
      <c r="C48" t="s">
        <v>477</v>
      </c>
      <c r="D48" t="s">
        <v>30</v>
      </c>
      <c r="E48" t="str">
        <f t="shared" si="28"/>
        <v>Dedza District [PekKUkKHAzY]|35-49|Female</v>
      </c>
      <c r="F48" s="38">
        <f>IF(LEFT($B48,4)="_Mil","",INDEX(Cascade!$T:$T,MATCH($E48,Cascade!$E:$E,0)))</f>
        <v>79283</v>
      </c>
      <c r="G48" s="38">
        <f>IF(LEFT($B48,4)="_Mil","",INDEX(Cascade!$U:$U,MATCH($E48,Cascade!$E:$E,0)))</f>
        <v>6432</v>
      </c>
      <c r="H48" s="110">
        <f>IF(LEFT($B48,4)="_Mil","",INDEX(Cascade!$W:$W,MATCH($E48,Cascade!$E:$E,0)))</f>
        <v>8.1125095999999994E-2</v>
      </c>
      <c r="I48" s="38">
        <f>IF(LEFT($B48,4)="_Mil","",INDEX(Cascade!$Z:$Z,MATCH($E48,Cascade!$E:$E,0)))</f>
        <v>7166</v>
      </c>
      <c r="J48" s="33">
        <v>0</v>
      </c>
      <c r="K48" s="218">
        <f>IF(LEFT($B48,4)="_Mil","",_xlfn.IFNA(ROUND(INDEX(Spectrum!$N:$N,MATCH(RIGHT($B48,13)&amp;"|"&amp;$C48&amp;"|"&amp;$D48&amp;"|"&amp;K$14&amp;"|"&amp;"CY2024Q3",Spectrum!$R:$R,0)),0),""))</f>
        <v>3115</v>
      </c>
      <c r="L48" s="218">
        <f>IF(LEFT($B48,4)="_Mil","",_xlfn.IFNA(ROUND(INDEX(Spectrum!$N:$N,MATCH(RIGHT($B48,13)&amp;"|"&amp;$C48&amp;"|"&amp;$D48&amp;"|"&amp;L$14&amp;"|"&amp;"CY2024Q3",Spectrum!$R:$R,0)),0),""))</f>
        <v>151</v>
      </c>
      <c r="M48" s="218">
        <f>IF(LEFT($B48,4)="_Mil","",_xlfn.IFNA(ROUND(INDEX(Spectrum!$N:$N,MATCH(RIGHT($B48,13)&amp;"|"&amp;$C48&amp;"|"&amp;$D48&amp;"|"&amp;M$14&amp;"|"&amp;"CY2024Q3",Spectrum!$R:$R,0)),0),""))</f>
        <v>27</v>
      </c>
      <c r="N48" s="218">
        <f>IF(LEFT($B48,4)="_Mil","",_xlfn.IFNA(ROUND(INDEX(Spectrum!$N:$N,MATCH(RIGHT($B48,13)&amp;"|"&amp;$C48&amp;"|"&amp;$D48&amp;"|"&amp;N$14&amp;"|"&amp;"CY2024Q3",Spectrum!$R:$R,0)),0),""))</f>
        <v>2937</v>
      </c>
      <c r="O48" s="218">
        <f>IF(LEFT($B48,4)="_Mil","",_xlfn.IFNA(ROUND(INDEX(Spectrum!$N:$N,MATCH(RIGHT($B48,13)&amp;"|"&amp;$C48&amp;"|"&amp;$D48&amp;"|"&amp;O$14&amp;"|"&amp;"CY2024Q3",Spectrum!$R:$R,0)),0),""))</f>
        <v>177</v>
      </c>
      <c r="P48" s="218">
        <f>IF(LEFT($B48,4)="_Mil","",_xlfn.IFNA(ROUND(INDEX(Spectrum!$N:$N,MATCH(RIGHT($B48,13)&amp;"|"&amp;$C48&amp;"|"&amp;$D48&amp;"|"&amp;P$14&amp;"|"&amp;"CY2024Q3",Spectrum!$R:$R,0)),0),""))</f>
        <v>151</v>
      </c>
      <c r="Q48" s="218">
        <f>IF(LEFT($B48,4)="_Mil","",_xlfn.IFNA(ROUND(INDEX(Spectrum!$N:$N,MATCH(RIGHT($B48,13)&amp;"|"&amp;$C48&amp;"|"&amp;$D48&amp;"|"&amp;Q$14&amp;"|"&amp;"CY2024Q3",Spectrum!$R:$R,0)),0),""))</f>
        <v>27</v>
      </c>
      <c r="R48" s="38">
        <v>2730</v>
      </c>
      <c r="S48" s="33">
        <v>0</v>
      </c>
      <c r="T48" s="218">
        <f t="shared" si="29"/>
        <v>2730</v>
      </c>
      <c r="U48" s="33">
        <f t="shared" si="30"/>
        <v>0.8764044943820225</v>
      </c>
      <c r="V48" s="218">
        <f t="shared" si="31"/>
        <v>3115</v>
      </c>
      <c r="W48" s="33">
        <v>4.5999999999999999E-2</v>
      </c>
      <c r="X48" s="33">
        <f t="shared" si="32"/>
        <v>4.8475120385232745E-2</v>
      </c>
      <c r="Y48" s="231">
        <v>1.0999999999999999E-2</v>
      </c>
      <c r="Z48" s="33">
        <f t="shared" si="33"/>
        <v>9.1093117408906875E-3</v>
      </c>
      <c r="AA48" s="38">
        <f t="shared" si="34"/>
        <v>2730</v>
      </c>
      <c r="AB48" s="218">
        <f t="shared" si="35"/>
        <v>132</v>
      </c>
      <c r="AC48" s="218">
        <f t="shared" si="36"/>
        <v>24</v>
      </c>
      <c r="AD48" s="218">
        <f t="shared" si="37"/>
        <v>2574</v>
      </c>
      <c r="AE48" s="38">
        <f t="shared" si="38"/>
        <v>3115</v>
      </c>
      <c r="AF48" s="218">
        <f t="shared" si="39"/>
        <v>151</v>
      </c>
      <c r="AG48" s="218">
        <f t="shared" si="40"/>
        <v>27</v>
      </c>
      <c r="AH48" s="218">
        <f t="shared" si="41"/>
        <v>2937</v>
      </c>
      <c r="AI48" s="33">
        <f>IF(SUM($AC48)=0,"",INDEX(Cascade!$BG:$BG,MATCH($E48,Cascade!$E:$E,0)))</f>
        <v>0.95</v>
      </c>
      <c r="AJ48" s="218">
        <f t="shared" si="42"/>
        <v>132</v>
      </c>
      <c r="AK48" s="218">
        <f t="shared" si="43"/>
        <v>23</v>
      </c>
      <c r="AL48" s="218">
        <f t="shared" si="44"/>
        <v>178</v>
      </c>
      <c r="AM48" s="218">
        <f t="shared" si="45"/>
        <v>151</v>
      </c>
      <c r="AN48" s="218">
        <f t="shared" si="46"/>
        <v>26</v>
      </c>
      <c r="AO48" s="38">
        <f t="shared" si="47"/>
        <v>2574</v>
      </c>
      <c r="AP48" s="231">
        <v>4.0000000000000001E-3</v>
      </c>
      <c r="AQ48" s="33">
        <f t="shared" si="48"/>
        <v>4.0000000000000001E-3</v>
      </c>
      <c r="AR48" s="33">
        <f>IF(SUM($AO48)=0,"",INDEX(Cascade!$BG:$BG,MATCH($E48,Cascade!$E:$E,0)))</f>
        <v>0.95</v>
      </c>
      <c r="AS48" s="218">
        <f t="shared" si="49"/>
        <v>10</v>
      </c>
      <c r="AT48" s="218">
        <f t="shared" si="50"/>
        <v>2564</v>
      </c>
      <c r="AU48" s="38">
        <f t="shared" si="51"/>
        <v>10</v>
      </c>
      <c r="AV48" s="38">
        <f t="shared" si="52"/>
        <v>166</v>
      </c>
      <c r="AW48" s="38">
        <f>IFERROR(1/(1/INDEX(Cascade!$BH:$BH,MATCH($E48,Cascade!$E:$E,0))),"")</f>
        <v>137</v>
      </c>
      <c r="AX48" s="38">
        <f t="shared" si="53"/>
        <v>24</v>
      </c>
      <c r="AY48" s="38">
        <f t="shared" si="54"/>
        <v>10</v>
      </c>
      <c r="AZ48" s="38">
        <f>IFERROR(1/(1/INDEX(TB!$P:$P,MATCH($E48,TB!$E:$E,0))),"")</f>
        <v>2</v>
      </c>
      <c r="BA48" s="38">
        <f t="shared" si="55"/>
        <v>101</v>
      </c>
    </row>
    <row r="49" spans="1:53" x14ac:dyDescent="0.2">
      <c r="A49" t="str">
        <f>INDEX(Prioritization!$D:$D,MATCH($B49,Prioritization!$A:$A,0))</f>
        <v>4 - Sustained</v>
      </c>
      <c r="B49" t="s">
        <v>298</v>
      </c>
      <c r="C49" t="s">
        <v>478</v>
      </c>
      <c r="D49" t="s">
        <v>30</v>
      </c>
      <c r="E49" t="str">
        <f t="shared" si="28"/>
        <v>Dedza District [PekKUkKHAzY]|50+|Female</v>
      </c>
      <c r="F49" s="38">
        <f>IF(LEFT($B49,4)="_Mil","",INDEX(Cascade!$T:$T,MATCH($E49,Cascade!$E:$E,0)))</f>
        <v>51830</v>
      </c>
      <c r="G49" s="38">
        <f>IF(LEFT($B49,4)="_Mil","",INDEX(Cascade!$U:$U,MATCH($E49,Cascade!$E:$E,0)))</f>
        <v>3256</v>
      </c>
      <c r="H49" s="110">
        <f>IF(LEFT($B49,4)="_Mil","",INDEX(Cascade!$W:$W,MATCH($E49,Cascade!$E:$E,0)))</f>
        <v>6.2821189E-2</v>
      </c>
      <c r="I49" s="38">
        <f>IF(LEFT($B49,4)="_Mil","",INDEX(Cascade!$Z:$Z,MATCH($E49,Cascade!$E:$E,0)))</f>
        <v>3565</v>
      </c>
      <c r="J49" s="33">
        <v>0</v>
      </c>
      <c r="K49" s="218" t="str">
        <f>IF(LEFT($B49,4)="_Mil","",_xlfn.IFNA(ROUND(INDEX(Spectrum!$N:$N,MATCH(RIGHT($B49,13)&amp;"|"&amp;$C49&amp;"|"&amp;$D49&amp;"|"&amp;K$14&amp;"|"&amp;"CY2024Q3",Spectrum!$R:$R,0)),0),""))</f>
        <v/>
      </c>
      <c r="L49" s="218" t="str">
        <f>IF(LEFT($B49,4)="_Mil","",_xlfn.IFNA(ROUND(INDEX(Spectrum!$N:$N,MATCH(RIGHT($B49,13)&amp;"|"&amp;$C49&amp;"|"&amp;$D49&amp;"|"&amp;L$14&amp;"|"&amp;"CY2024Q3",Spectrum!$R:$R,0)),0),""))</f>
        <v/>
      </c>
      <c r="M49" s="218" t="str">
        <f>IF(LEFT($B49,4)="_Mil","",_xlfn.IFNA(ROUND(INDEX(Spectrum!$N:$N,MATCH(RIGHT($B49,13)&amp;"|"&amp;$C49&amp;"|"&amp;$D49&amp;"|"&amp;M$14&amp;"|"&amp;"CY2024Q3",Spectrum!$R:$R,0)),0),""))</f>
        <v/>
      </c>
      <c r="N49" s="218" t="str">
        <f>IF(LEFT($B49,4)="_Mil","",_xlfn.IFNA(ROUND(INDEX(Spectrum!$N:$N,MATCH(RIGHT($B49,13)&amp;"|"&amp;$C49&amp;"|"&amp;$D49&amp;"|"&amp;N$14&amp;"|"&amp;"CY2024Q3",Spectrum!$R:$R,0)),0),""))</f>
        <v/>
      </c>
      <c r="O49" s="218" t="str">
        <f>IF(LEFT($B49,4)="_Mil","",_xlfn.IFNA(ROUND(INDEX(Spectrum!$N:$N,MATCH(RIGHT($B49,13)&amp;"|"&amp;$C49&amp;"|"&amp;$D49&amp;"|"&amp;O$14&amp;"|"&amp;"CY2024Q3",Spectrum!$R:$R,0)),0),""))</f>
        <v/>
      </c>
      <c r="P49" s="218" t="str">
        <f>IF(LEFT($B49,4)="_Mil","",_xlfn.IFNA(ROUND(INDEX(Spectrum!$N:$N,MATCH(RIGHT($B49,13)&amp;"|"&amp;$C49&amp;"|"&amp;$D49&amp;"|"&amp;P$14&amp;"|"&amp;"CY2024Q3",Spectrum!$R:$R,0)),0),""))</f>
        <v/>
      </c>
      <c r="Q49" s="218" t="str">
        <f>IF(LEFT($B49,4)="_Mil","",_xlfn.IFNA(ROUND(INDEX(Spectrum!$N:$N,MATCH(RIGHT($B49,13)&amp;"|"&amp;$C49&amp;"|"&amp;$D49&amp;"|"&amp;Q$14&amp;"|"&amp;"CY2024Q3",Spectrum!$R:$R,0)),0),""))</f>
        <v/>
      </c>
      <c r="R49" s="38">
        <v>22</v>
      </c>
      <c r="S49" s="33">
        <v>0</v>
      </c>
      <c r="T49" s="218">
        <f t="shared" si="29"/>
        <v>22</v>
      </c>
      <c r="U49" s="33">
        <f t="shared" si="30"/>
        <v>1</v>
      </c>
      <c r="V49" s="218">
        <f t="shared" si="31"/>
        <v>22</v>
      </c>
      <c r="W49" s="33">
        <v>4.5999999999999999E-2</v>
      </c>
      <c r="X49" s="33">
        <f t="shared" si="32"/>
        <v>4.5999999999999999E-2</v>
      </c>
      <c r="Y49" s="231">
        <v>1.0999999999999999E-2</v>
      </c>
      <c r="Z49" s="33">
        <f t="shared" si="33"/>
        <v>1.0999999999999999E-2</v>
      </c>
      <c r="AA49" s="38">
        <f t="shared" si="34"/>
        <v>22</v>
      </c>
      <c r="AB49" s="218">
        <f t="shared" si="35"/>
        <v>1</v>
      </c>
      <c r="AC49" s="218">
        <f t="shared" si="36"/>
        <v>0</v>
      </c>
      <c r="AD49" s="218">
        <f t="shared" si="37"/>
        <v>21</v>
      </c>
      <c r="AE49" s="38">
        <f t="shared" si="38"/>
        <v>22</v>
      </c>
      <c r="AF49" s="218">
        <f t="shared" si="39"/>
        <v>1</v>
      </c>
      <c r="AG49" s="218">
        <f t="shared" si="40"/>
        <v>0</v>
      </c>
      <c r="AH49" s="218">
        <f t="shared" si="41"/>
        <v>21</v>
      </c>
      <c r="AI49" s="33" t="str">
        <f>IF(SUM($AC49)=0,"",INDEX(Cascade!$BG:$BG,MATCH($E49,Cascade!$E:$E,0)))</f>
        <v/>
      </c>
      <c r="AJ49" s="218">
        <f t="shared" si="42"/>
        <v>1</v>
      </c>
      <c r="AK49" s="218" t="str">
        <f t="shared" si="43"/>
        <v/>
      </c>
      <c r="AL49" s="218">
        <f t="shared" si="44"/>
        <v>1</v>
      </c>
      <c r="AM49" s="218">
        <f t="shared" si="45"/>
        <v>1</v>
      </c>
      <c r="AN49" s="218" t="str">
        <f t="shared" si="46"/>
        <v/>
      </c>
      <c r="AO49" s="38">
        <f t="shared" si="47"/>
        <v>21</v>
      </c>
      <c r="AP49" s="231">
        <v>4.0000000000000001E-3</v>
      </c>
      <c r="AQ49" s="33">
        <f t="shared" si="48"/>
        <v>4.0000000000000001E-3</v>
      </c>
      <c r="AR49" s="33">
        <f>IF(SUM($AO49)=0,"",INDEX(Cascade!$BG:$BG,MATCH($E49,Cascade!$E:$E,0)))</f>
        <v>0.95</v>
      </c>
      <c r="AS49" s="218">
        <f t="shared" si="49"/>
        <v>0</v>
      </c>
      <c r="AT49" s="218">
        <f t="shared" si="50"/>
        <v>21</v>
      </c>
      <c r="AU49" s="38" t="str">
        <f t="shared" si="51"/>
        <v/>
      </c>
      <c r="AV49" s="38">
        <f t="shared" si="52"/>
        <v>1</v>
      </c>
      <c r="AW49" s="38">
        <f>IFERROR(1/(1/INDEX(Cascade!$BH:$BH,MATCH($E49,Cascade!$E:$E,0))),"")</f>
        <v>81</v>
      </c>
      <c r="AX49" s="38" t="str">
        <f t="shared" si="53"/>
        <v/>
      </c>
      <c r="AY49" s="38" t="str">
        <f t="shared" si="54"/>
        <v/>
      </c>
      <c r="AZ49" s="38">
        <f>IFERROR(1/(1/INDEX(TB!$P:$P,MATCH($E49,TB!$E:$E,0))),"")</f>
        <v>1</v>
      </c>
      <c r="BA49" s="38">
        <f t="shared" si="55"/>
        <v>80</v>
      </c>
    </row>
    <row r="50" spans="1:53" x14ac:dyDescent="0.2">
      <c r="A50" t="str">
        <f>INDEX(Prioritization!$D:$D,MATCH($B50,Prioritization!$A:$A,0))</f>
        <v>4 - Sustained</v>
      </c>
      <c r="B50" t="s">
        <v>299</v>
      </c>
      <c r="C50" t="s">
        <v>474</v>
      </c>
      <c r="D50" t="s">
        <v>30</v>
      </c>
      <c r="E50" t="str">
        <f t="shared" si="28"/>
        <v>Dowa District [zphK9WV8JB4]|10-14|Female</v>
      </c>
      <c r="F50" s="38">
        <f>IF(LEFT($B50,4)="_Mil","",INDEX(Cascade!$T:$T,MATCH($E50,Cascade!$E:$E,0)))</f>
        <v>64644</v>
      </c>
      <c r="G50" s="38">
        <f>IF(LEFT($B50,4)="_Mil","",INDEX(Cascade!$U:$U,MATCH($E50,Cascade!$E:$E,0)))</f>
        <v>184</v>
      </c>
      <c r="H50" s="110">
        <f>IF(LEFT($B50,4)="_Mil","",INDEX(Cascade!$W:$W,MATCH($E50,Cascade!$E:$E,0)))</f>
        <v>2.8493709999999998E-3</v>
      </c>
      <c r="I50" s="38">
        <f>IF(LEFT($B50,4)="_Mil","",INDEX(Cascade!$Z:$Z,MATCH($E50,Cascade!$E:$E,0)))</f>
        <v>114</v>
      </c>
      <c r="J50" s="33">
        <v>0</v>
      </c>
      <c r="K50" s="218" t="str">
        <f>IF(LEFT($B50,4)="_Mil","",_xlfn.IFNA(ROUND(INDEX(Spectrum!$N:$N,MATCH(RIGHT($B50,13)&amp;"|"&amp;$C50&amp;"|"&amp;$D50&amp;"|"&amp;K$14&amp;"|"&amp;"CY2024Q3",Spectrum!$R:$R,0)),0),""))</f>
        <v/>
      </c>
      <c r="L50" s="218" t="str">
        <f>IF(LEFT($B50,4)="_Mil","",_xlfn.IFNA(ROUND(INDEX(Spectrum!$N:$N,MATCH(RIGHT($B50,13)&amp;"|"&amp;$C50&amp;"|"&amp;$D50&amp;"|"&amp;L$14&amp;"|"&amp;"CY2024Q3",Spectrum!$R:$R,0)),0),""))</f>
        <v/>
      </c>
      <c r="M50" s="218" t="str">
        <f>IF(LEFT($B50,4)="_Mil","",_xlfn.IFNA(ROUND(INDEX(Spectrum!$N:$N,MATCH(RIGHT($B50,13)&amp;"|"&amp;$C50&amp;"|"&amp;$D50&amp;"|"&amp;M$14&amp;"|"&amp;"CY2024Q3",Spectrum!$R:$R,0)),0),""))</f>
        <v/>
      </c>
      <c r="N50" s="218" t="str">
        <f>IF(LEFT($B50,4)="_Mil","",_xlfn.IFNA(ROUND(INDEX(Spectrum!$N:$N,MATCH(RIGHT($B50,13)&amp;"|"&amp;$C50&amp;"|"&amp;$D50&amp;"|"&amp;N$14&amp;"|"&amp;"CY2024Q3",Spectrum!$R:$R,0)),0),""))</f>
        <v/>
      </c>
      <c r="O50" s="218" t="str">
        <f>IF(LEFT($B50,4)="_Mil","",_xlfn.IFNA(ROUND(INDEX(Spectrum!$N:$N,MATCH(RIGHT($B50,13)&amp;"|"&amp;$C50&amp;"|"&amp;$D50&amp;"|"&amp;O$14&amp;"|"&amp;"CY2024Q3",Spectrum!$R:$R,0)),0),""))</f>
        <v/>
      </c>
      <c r="P50" s="218" t="str">
        <f>IF(LEFT($B50,4)="_Mil","",_xlfn.IFNA(ROUND(INDEX(Spectrum!$N:$N,MATCH(RIGHT($B50,13)&amp;"|"&amp;$C50&amp;"|"&amp;$D50&amp;"|"&amp;P$14&amp;"|"&amp;"CY2024Q3",Spectrum!$R:$R,0)),0),""))</f>
        <v/>
      </c>
      <c r="Q50" s="218" t="str">
        <f>IF(LEFT($B50,4)="_Mil","",_xlfn.IFNA(ROUND(INDEX(Spectrum!$N:$N,MATCH(RIGHT($B50,13)&amp;"|"&amp;$C50&amp;"|"&amp;$D50&amp;"|"&amp;Q$14&amp;"|"&amp;"CY2024Q3",Spectrum!$R:$R,0)),0),""))</f>
        <v/>
      </c>
      <c r="R50" s="38">
        <v>60</v>
      </c>
      <c r="S50" s="33">
        <v>0</v>
      </c>
      <c r="T50" s="218">
        <f t="shared" si="29"/>
        <v>60</v>
      </c>
      <c r="U50" s="33">
        <f t="shared" si="30"/>
        <v>1</v>
      </c>
      <c r="V50" s="218">
        <f t="shared" si="31"/>
        <v>60</v>
      </c>
      <c r="W50" s="33">
        <v>7.1000000000000004E-3</v>
      </c>
      <c r="X50" s="33">
        <f t="shared" si="32"/>
        <v>7.1000000000000004E-3</v>
      </c>
      <c r="Y50" s="231">
        <v>1.0999999999999999E-2</v>
      </c>
      <c r="Z50" s="33">
        <f t="shared" si="33"/>
        <v>1.0999999999999999E-2</v>
      </c>
      <c r="AA50" s="38">
        <f t="shared" si="34"/>
        <v>60</v>
      </c>
      <c r="AB50" s="218">
        <f t="shared" si="35"/>
        <v>0</v>
      </c>
      <c r="AC50" s="218">
        <f t="shared" si="36"/>
        <v>1</v>
      </c>
      <c r="AD50" s="218">
        <f t="shared" si="37"/>
        <v>59</v>
      </c>
      <c r="AE50" s="38">
        <f t="shared" si="38"/>
        <v>60</v>
      </c>
      <c r="AF50" s="218">
        <f t="shared" si="39"/>
        <v>0</v>
      </c>
      <c r="AG50" s="218">
        <f t="shared" si="40"/>
        <v>1</v>
      </c>
      <c r="AH50" s="218">
        <f t="shared" si="41"/>
        <v>59</v>
      </c>
      <c r="AI50" s="33">
        <f>IF(SUM($AC50)=0,"",INDEX(Cascade!$BG:$BG,MATCH($E50,Cascade!$E:$E,0)))</f>
        <v>0.95</v>
      </c>
      <c r="AJ50" s="218">
        <f t="shared" si="42"/>
        <v>0</v>
      </c>
      <c r="AK50" s="218">
        <f t="shared" si="43"/>
        <v>1</v>
      </c>
      <c r="AL50" s="218">
        <f t="shared" si="44"/>
        <v>1</v>
      </c>
      <c r="AM50" s="218">
        <f t="shared" si="45"/>
        <v>0</v>
      </c>
      <c r="AN50" s="218">
        <f t="shared" si="46"/>
        <v>1</v>
      </c>
      <c r="AO50" s="38">
        <f t="shared" si="47"/>
        <v>59</v>
      </c>
      <c r="AP50" s="231">
        <v>4.0000000000000001E-3</v>
      </c>
      <c r="AQ50" s="33">
        <f t="shared" si="48"/>
        <v>4.0000000000000001E-3</v>
      </c>
      <c r="AR50" s="33">
        <f>IF(SUM($AO50)=0,"",INDEX(Cascade!$BG:$BG,MATCH($E50,Cascade!$E:$E,0)))</f>
        <v>0.95</v>
      </c>
      <c r="AS50" s="218">
        <f t="shared" si="49"/>
        <v>0</v>
      </c>
      <c r="AT50" s="218">
        <f t="shared" si="50"/>
        <v>59</v>
      </c>
      <c r="AU50" s="38" t="str">
        <f t="shared" si="51"/>
        <v/>
      </c>
      <c r="AV50" s="38">
        <f t="shared" si="52"/>
        <v>1</v>
      </c>
      <c r="AW50" s="38">
        <f>IFERROR(1/(1/INDEX(Cascade!$BH:$BH,MATCH($E50,Cascade!$E:$E,0))),"")</f>
        <v>16</v>
      </c>
      <c r="AX50" s="38">
        <f t="shared" si="53"/>
        <v>1</v>
      </c>
      <c r="AY50" s="38" t="str">
        <f t="shared" si="54"/>
        <v/>
      </c>
      <c r="AZ50" s="38" t="str">
        <f>IFERROR(1/(1/INDEX(TB!$P:$P,MATCH($E50,TB!$E:$E,0))),"")</f>
        <v/>
      </c>
      <c r="BA50" s="38">
        <f t="shared" si="55"/>
        <v>15</v>
      </c>
    </row>
    <row r="51" spans="1:53" x14ac:dyDescent="0.2">
      <c r="A51" t="str">
        <f>INDEX(Prioritization!$D:$D,MATCH($B51,Prioritization!$A:$A,0))</f>
        <v>4 - Sustained</v>
      </c>
      <c r="B51" t="s">
        <v>299</v>
      </c>
      <c r="C51" t="s">
        <v>475</v>
      </c>
      <c r="D51" t="s">
        <v>30</v>
      </c>
      <c r="E51" t="str">
        <f t="shared" si="28"/>
        <v>Dowa District [zphK9WV8JB4]|15-24|Female</v>
      </c>
      <c r="F51" s="38">
        <f>IF(LEFT($B51,4)="_Mil","",INDEX(Cascade!$T:$T,MATCH($E51,Cascade!$E:$E,0)))</f>
        <v>103534</v>
      </c>
      <c r="G51" s="38">
        <f>IF(LEFT($B51,4)="_Mil","",INDEX(Cascade!$U:$U,MATCH($E51,Cascade!$E:$E,0)))</f>
        <v>650</v>
      </c>
      <c r="H51" s="110">
        <f>IF(LEFT($B51,4)="_Mil","",INDEX(Cascade!$W:$W,MATCH($E51,Cascade!$E:$E,0)))</f>
        <v>6.2750549999999999E-3</v>
      </c>
      <c r="I51" s="38">
        <f>IF(LEFT($B51,4)="_Mil","",INDEX(Cascade!$Z:$Z,MATCH($E51,Cascade!$E:$E,0)))</f>
        <v>565</v>
      </c>
      <c r="J51" s="33">
        <f>IF(LEFT($B51,4)="_Mil","",INDEX(Cascade!$AA:$AA,MATCH($E51,Cascade!$E:$E,0)))</f>
        <v>0.91633558000000015</v>
      </c>
      <c r="K51" s="218">
        <f>IF(LEFT($B51,4)="_Mil","",_xlfn.IFNA(ROUND(INDEX(Spectrum!$N:$N,MATCH(RIGHT($B51,13)&amp;"|"&amp;$C51&amp;"|"&amp;$D51&amp;"|"&amp;K$14&amp;"|"&amp;"CY2024Q3",Spectrum!$R:$R,0)),0),""))</f>
        <v>8947</v>
      </c>
      <c r="L51" s="218">
        <f>IF(LEFT($B51,4)="_Mil","",_xlfn.IFNA(ROUND(INDEX(Spectrum!$N:$N,MATCH(RIGHT($B51,13)&amp;"|"&amp;$C51&amp;"|"&amp;$D51&amp;"|"&amp;L$14&amp;"|"&amp;"CY2024Q3",Spectrum!$R:$R,0)),0),""))</f>
        <v>38</v>
      </c>
      <c r="M51" s="218">
        <f>IF(LEFT($B51,4)="_Mil","",_xlfn.IFNA(ROUND(INDEX(Spectrum!$N:$N,MATCH(RIGHT($B51,13)&amp;"|"&amp;$C51&amp;"|"&amp;$D51&amp;"|"&amp;M$14&amp;"|"&amp;"CY2024Q3",Spectrum!$R:$R,0)),0),""))</f>
        <v>33</v>
      </c>
      <c r="N51" s="218">
        <f>IF(LEFT($B51,4)="_Mil","",_xlfn.IFNA(ROUND(INDEX(Spectrum!$N:$N,MATCH(RIGHT($B51,13)&amp;"|"&amp;$C51&amp;"|"&amp;$D51&amp;"|"&amp;N$14&amp;"|"&amp;"CY2024Q3",Spectrum!$R:$R,0)),0),""))</f>
        <v>8876</v>
      </c>
      <c r="O51" s="218">
        <f>IF(LEFT($B51,4)="_Mil","",_xlfn.IFNA(ROUND(INDEX(Spectrum!$N:$N,MATCH(RIGHT($B51,13)&amp;"|"&amp;$C51&amp;"|"&amp;$D51&amp;"|"&amp;O$14&amp;"|"&amp;"CY2024Q3",Spectrum!$R:$R,0)),0),""))</f>
        <v>72</v>
      </c>
      <c r="P51" s="218">
        <f>IF(LEFT($B51,4)="_Mil","",_xlfn.IFNA(ROUND(INDEX(Spectrum!$N:$N,MATCH(RIGHT($B51,13)&amp;"|"&amp;$C51&amp;"|"&amp;$D51&amp;"|"&amp;P$14&amp;"|"&amp;"CY2024Q3",Spectrum!$R:$R,0)),0),""))</f>
        <v>38</v>
      </c>
      <c r="Q51" s="218">
        <f>IF(LEFT($B51,4)="_Mil","",_xlfn.IFNA(ROUND(INDEX(Spectrum!$N:$N,MATCH(RIGHT($B51,13)&amp;"|"&amp;$C51&amp;"|"&amp;$D51&amp;"|"&amp;Q$14&amp;"|"&amp;"CY2024Q3",Spectrum!$R:$R,0)),0),""))</f>
        <v>33</v>
      </c>
      <c r="R51" s="38">
        <v>4803</v>
      </c>
      <c r="S51" s="33">
        <v>0</v>
      </c>
      <c r="T51" s="218">
        <f t="shared" si="29"/>
        <v>4803</v>
      </c>
      <c r="U51" s="33">
        <f t="shared" si="30"/>
        <v>0.5368279870347602</v>
      </c>
      <c r="V51" s="218">
        <f t="shared" si="31"/>
        <v>8947</v>
      </c>
      <c r="W51" s="33">
        <v>7.1000000000000004E-3</v>
      </c>
      <c r="X51" s="33">
        <f t="shared" si="32"/>
        <v>7.1000000000000004E-3</v>
      </c>
      <c r="Y51" s="231">
        <v>1.0999999999999999E-2</v>
      </c>
      <c r="Z51" s="33">
        <f t="shared" si="33"/>
        <v>3.7041194297900999E-3</v>
      </c>
      <c r="AA51" s="38">
        <f t="shared" si="34"/>
        <v>4803</v>
      </c>
      <c r="AB51" s="218">
        <f t="shared" si="35"/>
        <v>34</v>
      </c>
      <c r="AC51" s="218">
        <f t="shared" si="36"/>
        <v>18</v>
      </c>
      <c r="AD51" s="218">
        <f t="shared" si="37"/>
        <v>4751</v>
      </c>
      <c r="AE51" s="38">
        <f t="shared" si="38"/>
        <v>8947</v>
      </c>
      <c r="AF51" s="218">
        <f t="shared" si="39"/>
        <v>64</v>
      </c>
      <c r="AG51" s="218">
        <f t="shared" si="40"/>
        <v>33</v>
      </c>
      <c r="AH51" s="218">
        <f t="shared" si="41"/>
        <v>8850</v>
      </c>
      <c r="AI51" s="33">
        <f>IF(SUM($AC51)=0,"",INDEX(Cascade!$BG:$BG,MATCH($E51,Cascade!$E:$E,0)))</f>
        <v>0.95</v>
      </c>
      <c r="AJ51" s="218">
        <f t="shared" si="42"/>
        <v>34</v>
      </c>
      <c r="AK51" s="218">
        <f t="shared" si="43"/>
        <v>17</v>
      </c>
      <c r="AL51" s="218">
        <f t="shared" si="44"/>
        <v>97</v>
      </c>
      <c r="AM51" s="218">
        <f t="shared" si="45"/>
        <v>64</v>
      </c>
      <c r="AN51" s="218">
        <f t="shared" si="46"/>
        <v>31</v>
      </c>
      <c r="AO51" s="38">
        <f t="shared" si="47"/>
        <v>4751</v>
      </c>
      <c r="AP51" s="231">
        <v>4.0000000000000001E-3</v>
      </c>
      <c r="AQ51" s="33">
        <f t="shared" si="48"/>
        <v>4.0000000000000001E-3</v>
      </c>
      <c r="AR51" s="33">
        <f>IF(SUM($AO51)=0,"",INDEX(Cascade!$BG:$BG,MATCH($E51,Cascade!$E:$E,0)))</f>
        <v>0.95</v>
      </c>
      <c r="AS51" s="218">
        <f t="shared" si="49"/>
        <v>19</v>
      </c>
      <c r="AT51" s="218">
        <f t="shared" si="50"/>
        <v>4732</v>
      </c>
      <c r="AU51" s="38">
        <f t="shared" si="51"/>
        <v>18</v>
      </c>
      <c r="AV51" s="38">
        <f t="shared" si="52"/>
        <v>71</v>
      </c>
      <c r="AW51" s="38">
        <f>IFERROR(1/(1/INDEX(Cascade!$BH:$BH,MATCH($E51,Cascade!$E:$E,0))),"")</f>
        <v>54</v>
      </c>
      <c r="AX51" s="38">
        <f t="shared" si="53"/>
        <v>18</v>
      </c>
      <c r="AY51" s="38">
        <f t="shared" si="54"/>
        <v>19</v>
      </c>
      <c r="AZ51" s="38">
        <f>IFERROR(1/(1/INDEX(TB!$P:$P,MATCH($E51,TB!$E:$E,0))),"")</f>
        <v>1</v>
      </c>
      <c r="BA51" s="38">
        <f t="shared" si="55"/>
        <v>16</v>
      </c>
    </row>
    <row r="52" spans="1:53" x14ac:dyDescent="0.2">
      <c r="A52" t="str">
        <f>INDEX(Prioritization!$D:$D,MATCH($B52,Prioritization!$A:$A,0))</f>
        <v>4 - Sustained</v>
      </c>
      <c r="B52" t="s">
        <v>299</v>
      </c>
      <c r="C52" t="s">
        <v>476</v>
      </c>
      <c r="D52" t="s">
        <v>30</v>
      </c>
      <c r="E52" t="str">
        <f t="shared" si="28"/>
        <v>Dowa District [zphK9WV8JB4]|25-34|Female</v>
      </c>
      <c r="F52" s="38">
        <f>IF(LEFT($B52,4)="_Mil","",INDEX(Cascade!$T:$T,MATCH($E52,Cascade!$E:$E,0)))</f>
        <v>71556</v>
      </c>
      <c r="G52" s="38">
        <f>IF(LEFT($B52,4)="_Mil","",INDEX(Cascade!$U:$U,MATCH($E52,Cascade!$E:$E,0)))</f>
        <v>1641</v>
      </c>
      <c r="H52" s="110">
        <f>IF(LEFT($B52,4)="_Mil","",INDEX(Cascade!$W:$W,MATCH($E52,Cascade!$E:$E,0)))</f>
        <v>2.2934498000000001E-2</v>
      </c>
      <c r="I52" s="38">
        <f>IF(LEFT($B52,4)="_Mil","",INDEX(Cascade!$Z:$Z,MATCH($E52,Cascade!$E:$E,0)))</f>
        <v>1492</v>
      </c>
      <c r="J52" s="33">
        <f>IF(LEFT($B52,4)="_Mil","",INDEX(Cascade!$AA:$AA,MATCH($E52,Cascade!$E:$E,0)))</f>
        <v>0.95511856800000006</v>
      </c>
      <c r="K52" s="218">
        <f>IF(LEFT($B52,4)="_Mil","",_xlfn.IFNA(ROUND(INDEX(Spectrum!$N:$N,MATCH(RIGHT($B52,13)&amp;"|"&amp;$C52&amp;"|"&amp;$D52&amp;"|"&amp;K$14&amp;"|"&amp;"CY2024Q3",Spectrum!$R:$R,0)),0),""))</f>
        <v>6001</v>
      </c>
      <c r="L52" s="218">
        <f>IF(LEFT($B52,4)="_Mil","",_xlfn.IFNA(ROUND(INDEX(Spectrum!$N:$N,MATCH(RIGHT($B52,13)&amp;"|"&amp;$C52&amp;"|"&amp;$D52&amp;"|"&amp;L$14&amp;"|"&amp;"CY2024Q3",Spectrum!$R:$R,0)),0),""))</f>
        <v>77</v>
      </c>
      <c r="M52" s="218">
        <f>IF(LEFT($B52,4)="_Mil","",_xlfn.IFNA(ROUND(INDEX(Spectrum!$N:$N,MATCH(RIGHT($B52,13)&amp;"|"&amp;$C52&amp;"|"&amp;$D52&amp;"|"&amp;M$14&amp;"|"&amp;"CY2024Q3",Spectrum!$R:$R,0)),0),""))</f>
        <v>47</v>
      </c>
      <c r="N52" s="218">
        <f>IF(LEFT($B52,4)="_Mil","",_xlfn.IFNA(ROUND(INDEX(Spectrum!$N:$N,MATCH(RIGHT($B52,13)&amp;"|"&amp;$C52&amp;"|"&amp;$D52&amp;"|"&amp;N$14&amp;"|"&amp;"CY2024Q3",Spectrum!$R:$R,0)),0),""))</f>
        <v>5876</v>
      </c>
      <c r="O52" s="218">
        <f>IF(LEFT($B52,4)="_Mil","",_xlfn.IFNA(ROUND(INDEX(Spectrum!$N:$N,MATCH(RIGHT($B52,13)&amp;"|"&amp;$C52&amp;"|"&amp;$D52&amp;"|"&amp;O$14&amp;"|"&amp;"CY2024Q3",Spectrum!$R:$R,0)),0),""))</f>
        <v>125</v>
      </c>
      <c r="P52" s="218">
        <f>IF(LEFT($B52,4)="_Mil","",_xlfn.IFNA(ROUND(INDEX(Spectrum!$N:$N,MATCH(RIGHT($B52,13)&amp;"|"&amp;$C52&amp;"|"&amp;$D52&amp;"|"&amp;P$14&amp;"|"&amp;"CY2024Q3",Spectrum!$R:$R,0)),0),""))</f>
        <v>77</v>
      </c>
      <c r="Q52" s="218">
        <f>IF(LEFT($B52,4)="_Mil","",_xlfn.IFNA(ROUND(INDEX(Spectrum!$N:$N,MATCH(RIGHT($B52,13)&amp;"|"&amp;$C52&amp;"|"&amp;$D52&amp;"|"&amp;Q$14&amp;"|"&amp;"CY2024Q3",Spectrum!$R:$R,0)),0),""))</f>
        <v>47</v>
      </c>
      <c r="R52" s="38">
        <v>7348</v>
      </c>
      <c r="S52" s="33">
        <v>0</v>
      </c>
      <c r="T52" s="218">
        <f t="shared" si="29"/>
        <v>7348</v>
      </c>
      <c r="U52" s="33">
        <f t="shared" si="30"/>
        <v>1</v>
      </c>
      <c r="V52" s="218">
        <f t="shared" si="31"/>
        <v>7348</v>
      </c>
      <c r="W52" s="33">
        <v>1.7999999999999999E-2</v>
      </c>
      <c r="X52" s="33">
        <f t="shared" si="32"/>
        <v>1.7999999999999999E-2</v>
      </c>
      <c r="Y52" s="231">
        <v>1.0999999999999999E-2</v>
      </c>
      <c r="Z52" s="33">
        <f t="shared" si="33"/>
        <v>7.9338284942606346E-3</v>
      </c>
      <c r="AA52" s="38">
        <f t="shared" si="34"/>
        <v>7348</v>
      </c>
      <c r="AB52" s="218">
        <f t="shared" si="35"/>
        <v>132</v>
      </c>
      <c r="AC52" s="218">
        <f t="shared" si="36"/>
        <v>57</v>
      </c>
      <c r="AD52" s="218">
        <f t="shared" si="37"/>
        <v>7159</v>
      </c>
      <c r="AE52" s="38">
        <v>0</v>
      </c>
      <c r="AF52" s="218">
        <v>-1</v>
      </c>
      <c r="AG52" s="218">
        <v>4</v>
      </c>
      <c r="AH52" s="218">
        <v>-6</v>
      </c>
      <c r="AI52" s="33">
        <f>IF(SUM($AC52)=0,"",INDEX(Cascade!$BG:$BG,MATCH($E52,Cascade!$E:$E,0)))</f>
        <v>0.95</v>
      </c>
      <c r="AJ52" s="218">
        <f t="shared" si="42"/>
        <v>132</v>
      </c>
      <c r="AK52" s="218">
        <f t="shared" si="43"/>
        <v>54</v>
      </c>
      <c r="AL52" s="218">
        <f t="shared" si="44"/>
        <v>3</v>
      </c>
      <c r="AM52" s="218">
        <f t="shared" si="45"/>
        <v>-1</v>
      </c>
      <c r="AN52" s="218">
        <f t="shared" si="46"/>
        <v>4</v>
      </c>
      <c r="AO52" s="38">
        <f t="shared" si="47"/>
        <v>7159</v>
      </c>
      <c r="AP52" s="231">
        <v>4.0000000000000001E-3</v>
      </c>
      <c r="AQ52" s="33">
        <f t="shared" si="48"/>
        <v>4.0000000000000001E-3</v>
      </c>
      <c r="AR52" s="33">
        <f>IF(SUM($AO52)=0,"",INDEX(Cascade!$BG:$BG,MATCH($E52,Cascade!$E:$E,0)))</f>
        <v>0.95</v>
      </c>
      <c r="AS52" s="218">
        <f t="shared" si="49"/>
        <v>29</v>
      </c>
      <c r="AT52" s="218">
        <f t="shared" si="50"/>
        <v>7130</v>
      </c>
      <c r="AU52" s="38">
        <f t="shared" si="51"/>
        <v>28</v>
      </c>
      <c r="AV52" s="38">
        <f t="shared" si="52"/>
        <v>218</v>
      </c>
      <c r="AW52" s="38">
        <f>IFERROR(1/(1/INDEX(Cascade!$BH:$BH,MATCH($E52,Cascade!$E:$E,0))),"")</f>
        <v>187</v>
      </c>
      <c r="AX52" s="38">
        <f t="shared" si="53"/>
        <v>57</v>
      </c>
      <c r="AY52" s="38">
        <f t="shared" si="54"/>
        <v>29</v>
      </c>
      <c r="AZ52" s="38">
        <f>IFERROR(1/(1/INDEX(TB!$P:$P,MATCH($E52,TB!$E:$E,0))),"")</f>
        <v>1</v>
      </c>
      <c r="BA52" s="38">
        <f t="shared" si="55"/>
        <v>100</v>
      </c>
    </row>
    <row r="53" spans="1:53" x14ac:dyDescent="0.2">
      <c r="A53" t="str">
        <f>INDEX(Prioritization!$D:$D,MATCH($B53,Prioritization!$A:$A,0))</f>
        <v>4 - Sustained</v>
      </c>
      <c r="B53" t="s">
        <v>299</v>
      </c>
      <c r="C53" t="s">
        <v>477</v>
      </c>
      <c r="D53" t="s">
        <v>30</v>
      </c>
      <c r="E53" t="str">
        <f t="shared" si="28"/>
        <v>Dowa District [zphK9WV8JB4]|35-49|Female</v>
      </c>
      <c r="F53" s="38">
        <f>IF(LEFT($B53,4)="_Mil","",INDEX(Cascade!$T:$T,MATCH($E53,Cascade!$E:$E,0)))</f>
        <v>74814</v>
      </c>
      <c r="G53" s="38">
        <f>IF(LEFT($B53,4)="_Mil","",INDEX(Cascade!$U:$U,MATCH($E53,Cascade!$E:$E,0)))</f>
        <v>4546</v>
      </c>
      <c r="H53" s="110">
        <f>IF(LEFT($B53,4)="_Mil","",INDEX(Cascade!$W:$W,MATCH($E53,Cascade!$E:$E,0)))</f>
        <v>6.0768332000000001E-2</v>
      </c>
      <c r="I53" s="38">
        <f>IF(LEFT($B53,4)="_Mil","",INDEX(Cascade!$Z:$Z,MATCH($E53,Cascade!$E:$E,0)))</f>
        <v>4219</v>
      </c>
      <c r="J53" s="33">
        <f>IF(LEFT($B53,4)="_Mil","",INDEX(Cascade!$AA:$AA,MATCH($E53,Cascade!$E:$E,0)))</f>
        <v>0.97762817899999999</v>
      </c>
      <c r="K53" s="218">
        <f>IF(LEFT($B53,4)="_Mil","",_xlfn.IFNA(ROUND(INDEX(Spectrum!$N:$N,MATCH(RIGHT($B53,13)&amp;"|"&amp;$C53&amp;"|"&amp;$D53&amp;"|"&amp;K$14&amp;"|"&amp;"CY2024Q3",Spectrum!$R:$R,0)),0),""))</f>
        <v>2245</v>
      </c>
      <c r="L53" s="218">
        <f>IF(LEFT($B53,4)="_Mil","",_xlfn.IFNA(ROUND(INDEX(Spectrum!$N:$N,MATCH(RIGHT($B53,13)&amp;"|"&amp;$C53&amp;"|"&amp;$D53&amp;"|"&amp;L$14&amp;"|"&amp;"CY2024Q3",Spectrum!$R:$R,0)),0),""))</f>
        <v>72</v>
      </c>
      <c r="M53" s="218">
        <f>IF(LEFT($B53,4)="_Mil","",_xlfn.IFNA(ROUND(INDEX(Spectrum!$N:$N,MATCH(RIGHT($B53,13)&amp;"|"&amp;$C53&amp;"|"&amp;$D53&amp;"|"&amp;M$14&amp;"|"&amp;"CY2024Q3",Spectrum!$R:$R,0)),0),""))</f>
        <v>15</v>
      </c>
      <c r="N53" s="218">
        <f>IF(LEFT($B53,4)="_Mil","",_xlfn.IFNA(ROUND(INDEX(Spectrum!$N:$N,MATCH(RIGHT($B53,13)&amp;"|"&amp;$C53&amp;"|"&amp;$D53&amp;"|"&amp;N$14&amp;"|"&amp;"CY2024Q3",Spectrum!$R:$R,0)),0),""))</f>
        <v>2158</v>
      </c>
      <c r="O53" s="218">
        <f>IF(LEFT($B53,4)="_Mil","",_xlfn.IFNA(ROUND(INDEX(Spectrum!$N:$N,MATCH(RIGHT($B53,13)&amp;"|"&amp;$C53&amp;"|"&amp;$D53&amp;"|"&amp;O$14&amp;"|"&amp;"CY2024Q3",Spectrum!$R:$R,0)),0),""))</f>
        <v>87</v>
      </c>
      <c r="P53" s="218">
        <f>IF(LEFT($B53,4)="_Mil","",_xlfn.IFNA(ROUND(INDEX(Spectrum!$N:$N,MATCH(RIGHT($B53,13)&amp;"|"&amp;$C53&amp;"|"&amp;$D53&amp;"|"&amp;P$14&amp;"|"&amp;"CY2024Q3",Spectrum!$R:$R,0)),0),""))</f>
        <v>72</v>
      </c>
      <c r="Q53" s="218">
        <f>IF(LEFT($B53,4)="_Mil","",_xlfn.IFNA(ROUND(INDEX(Spectrum!$N:$N,MATCH(RIGHT($B53,13)&amp;"|"&amp;$C53&amp;"|"&amp;$D53&amp;"|"&amp;Q$14&amp;"|"&amp;"CY2024Q3",Spectrum!$R:$R,0)),0),""))</f>
        <v>15</v>
      </c>
      <c r="R53" s="38">
        <v>1788</v>
      </c>
      <c r="S53" s="33">
        <v>0</v>
      </c>
      <c r="T53" s="218">
        <f t="shared" si="29"/>
        <v>1788</v>
      </c>
      <c r="U53" s="33">
        <f t="shared" si="30"/>
        <v>0.79643652561247213</v>
      </c>
      <c r="V53" s="218">
        <f t="shared" si="31"/>
        <v>2245</v>
      </c>
      <c r="W53" s="33">
        <v>3.1E-2</v>
      </c>
      <c r="X53" s="33">
        <f t="shared" si="32"/>
        <v>3.2071269487750555E-2</v>
      </c>
      <c r="Y53" s="231">
        <v>1.0999999999999999E-2</v>
      </c>
      <c r="Z53" s="33">
        <f t="shared" si="33"/>
        <v>6.9028992176714222E-3</v>
      </c>
      <c r="AA53" s="38">
        <f t="shared" si="34"/>
        <v>1788</v>
      </c>
      <c r="AB53" s="218">
        <f t="shared" si="35"/>
        <v>57</v>
      </c>
      <c r="AC53" s="218">
        <f t="shared" si="36"/>
        <v>12</v>
      </c>
      <c r="AD53" s="218">
        <f t="shared" si="37"/>
        <v>1719</v>
      </c>
      <c r="AE53" s="38">
        <f t="shared" si="38"/>
        <v>2245</v>
      </c>
      <c r="AF53" s="218">
        <f t="shared" si="39"/>
        <v>72</v>
      </c>
      <c r="AG53" s="218">
        <f t="shared" si="40"/>
        <v>15</v>
      </c>
      <c r="AH53" s="218">
        <f t="shared" si="41"/>
        <v>2158</v>
      </c>
      <c r="AI53" s="33">
        <f>IF(SUM($AC53)=0,"",INDEX(Cascade!$BG:$BG,MATCH($E53,Cascade!$E:$E,0)))</f>
        <v>0.95</v>
      </c>
      <c r="AJ53" s="218">
        <f t="shared" si="42"/>
        <v>57</v>
      </c>
      <c r="AK53" s="218">
        <f t="shared" si="43"/>
        <v>11</v>
      </c>
      <c r="AL53" s="218">
        <f t="shared" si="44"/>
        <v>87</v>
      </c>
      <c r="AM53" s="218">
        <f t="shared" si="45"/>
        <v>72</v>
      </c>
      <c r="AN53" s="218">
        <f t="shared" si="46"/>
        <v>14</v>
      </c>
      <c r="AO53" s="38">
        <f t="shared" si="47"/>
        <v>1719</v>
      </c>
      <c r="AP53" s="231">
        <v>4.0000000000000001E-3</v>
      </c>
      <c r="AQ53" s="33">
        <f t="shared" si="48"/>
        <v>4.0000000000000001E-3</v>
      </c>
      <c r="AR53" s="33">
        <f>IF(SUM($AO53)=0,"",INDEX(Cascade!$BG:$BG,MATCH($E53,Cascade!$E:$E,0)))</f>
        <v>0.95</v>
      </c>
      <c r="AS53" s="218">
        <f t="shared" si="49"/>
        <v>7</v>
      </c>
      <c r="AT53" s="218">
        <f t="shared" si="50"/>
        <v>1712</v>
      </c>
      <c r="AU53" s="38">
        <f t="shared" si="51"/>
        <v>7</v>
      </c>
      <c r="AV53" s="38">
        <f t="shared" si="52"/>
        <v>76</v>
      </c>
      <c r="AW53" s="38">
        <f>IFERROR(1/(1/INDEX(Cascade!$BH:$BH,MATCH($E53,Cascade!$E:$E,0))),"")</f>
        <v>79</v>
      </c>
      <c r="AX53" s="38">
        <f t="shared" si="53"/>
        <v>12</v>
      </c>
      <c r="AY53" s="38">
        <f t="shared" si="54"/>
        <v>7</v>
      </c>
      <c r="AZ53" s="38">
        <f>IFERROR(1/(1/INDEX(TB!$P:$P,MATCH($E53,TB!$E:$E,0))),"")</f>
        <v>1</v>
      </c>
      <c r="BA53" s="38">
        <f t="shared" si="55"/>
        <v>59</v>
      </c>
    </row>
    <row r="54" spans="1:53" x14ac:dyDescent="0.2">
      <c r="A54" t="str">
        <f>INDEX(Prioritization!$D:$D,MATCH($B54,Prioritization!$A:$A,0))</f>
        <v>4 - Sustained</v>
      </c>
      <c r="B54" t="s">
        <v>299</v>
      </c>
      <c r="C54" t="s">
        <v>478</v>
      </c>
      <c r="D54" t="s">
        <v>30</v>
      </c>
      <c r="E54" t="str">
        <f t="shared" si="28"/>
        <v>Dowa District [zphK9WV8JB4]|50+|Female</v>
      </c>
      <c r="F54" s="38">
        <f>IF(LEFT($B54,4)="_Mil","",INDEX(Cascade!$T:$T,MATCH($E54,Cascade!$E:$E,0)))</f>
        <v>45668</v>
      </c>
      <c r="G54" s="38">
        <f>IF(LEFT($B54,4)="_Mil","",INDEX(Cascade!$U:$U,MATCH($E54,Cascade!$E:$E,0)))</f>
        <v>2287</v>
      </c>
      <c r="H54" s="110">
        <f>IF(LEFT($B54,4)="_Mil","",INDEX(Cascade!$W:$W,MATCH($E54,Cascade!$E:$E,0)))</f>
        <v>5.0082038000000002E-2</v>
      </c>
      <c r="I54" s="38">
        <f>IF(LEFT($B54,4)="_Mil","",INDEX(Cascade!$Z:$Z,MATCH($E54,Cascade!$E:$E,0)))</f>
        <v>2052</v>
      </c>
      <c r="J54" s="33">
        <f>IF(LEFT($B54,4)="_Mil","",INDEX(Cascade!$AA:$AA,MATCH($E54,Cascade!$E:$E,0)))</f>
        <v>0.98448496099999994</v>
      </c>
      <c r="K54" s="218" t="str">
        <f>IF(LEFT($B54,4)="_Mil","",_xlfn.IFNA(ROUND(INDEX(Spectrum!$N:$N,MATCH(RIGHT($B54,13)&amp;"|"&amp;$C54&amp;"|"&amp;$D54&amp;"|"&amp;K$14&amp;"|"&amp;"CY2024Q3",Spectrum!$R:$R,0)),0),""))</f>
        <v/>
      </c>
      <c r="L54" s="218" t="str">
        <f>IF(LEFT($B54,4)="_Mil","",_xlfn.IFNA(ROUND(INDEX(Spectrum!$N:$N,MATCH(RIGHT($B54,13)&amp;"|"&amp;$C54&amp;"|"&amp;$D54&amp;"|"&amp;L$14&amp;"|"&amp;"CY2024Q3",Spectrum!$R:$R,0)),0),""))</f>
        <v/>
      </c>
      <c r="M54" s="218" t="str">
        <f>IF(LEFT($B54,4)="_Mil","",_xlfn.IFNA(ROUND(INDEX(Spectrum!$N:$N,MATCH(RIGHT($B54,13)&amp;"|"&amp;$C54&amp;"|"&amp;$D54&amp;"|"&amp;M$14&amp;"|"&amp;"CY2024Q3",Spectrum!$R:$R,0)),0),""))</f>
        <v/>
      </c>
      <c r="N54" s="218" t="str">
        <f>IF(LEFT($B54,4)="_Mil","",_xlfn.IFNA(ROUND(INDEX(Spectrum!$N:$N,MATCH(RIGHT($B54,13)&amp;"|"&amp;$C54&amp;"|"&amp;$D54&amp;"|"&amp;N$14&amp;"|"&amp;"CY2024Q3",Spectrum!$R:$R,0)),0),""))</f>
        <v/>
      </c>
      <c r="O54" s="218" t="str">
        <f>IF(LEFT($B54,4)="_Mil","",_xlfn.IFNA(ROUND(INDEX(Spectrum!$N:$N,MATCH(RIGHT($B54,13)&amp;"|"&amp;$C54&amp;"|"&amp;$D54&amp;"|"&amp;O$14&amp;"|"&amp;"CY2024Q3",Spectrum!$R:$R,0)),0),""))</f>
        <v/>
      </c>
      <c r="P54" s="218" t="str">
        <f>IF(LEFT($B54,4)="_Mil","",_xlfn.IFNA(ROUND(INDEX(Spectrum!$N:$N,MATCH(RIGHT($B54,13)&amp;"|"&amp;$C54&amp;"|"&amp;$D54&amp;"|"&amp;P$14&amp;"|"&amp;"CY2024Q3",Spectrum!$R:$R,0)),0),""))</f>
        <v/>
      </c>
      <c r="Q54" s="218" t="str">
        <f>IF(LEFT($B54,4)="_Mil","",_xlfn.IFNA(ROUND(INDEX(Spectrum!$N:$N,MATCH(RIGHT($B54,13)&amp;"|"&amp;$C54&amp;"|"&amp;$D54&amp;"|"&amp;Q$14&amp;"|"&amp;"CY2024Q3",Spectrum!$R:$R,0)),0),""))</f>
        <v/>
      </c>
      <c r="R54" s="38">
        <v>12</v>
      </c>
      <c r="S54" s="33">
        <v>0</v>
      </c>
      <c r="T54" s="218">
        <f t="shared" si="29"/>
        <v>12</v>
      </c>
      <c r="U54" s="33">
        <f t="shared" si="30"/>
        <v>1</v>
      </c>
      <c r="V54" s="218">
        <f t="shared" si="31"/>
        <v>12</v>
      </c>
      <c r="W54" s="33">
        <v>3.1E-2</v>
      </c>
      <c r="X54" s="33">
        <f t="shared" si="32"/>
        <v>3.1E-2</v>
      </c>
      <c r="Y54" s="231">
        <v>1.0999999999999999E-2</v>
      </c>
      <c r="Z54" s="33">
        <f t="shared" si="33"/>
        <v>1.0999999999999999E-2</v>
      </c>
      <c r="AA54" s="38">
        <f t="shared" si="34"/>
        <v>12</v>
      </c>
      <c r="AB54" s="218">
        <f t="shared" si="35"/>
        <v>0</v>
      </c>
      <c r="AC54" s="218">
        <f t="shared" si="36"/>
        <v>0</v>
      </c>
      <c r="AD54" s="218">
        <f t="shared" si="37"/>
        <v>12</v>
      </c>
      <c r="AE54" s="38">
        <f t="shared" si="38"/>
        <v>12</v>
      </c>
      <c r="AF54" s="218">
        <f t="shared" si="39"/>
        <v>0</v>
      </c>
      <c r="AG54" s="218">
        <f t="shared" si="40"/>
        <v>0</v>
      </c>
      <c r="AH54" s="218">
        <f t="shared" si="41"/>
        <v>12</v>
      </c>
      <c r="AI54" s="33" t="str">
        <f>IF(SUM($AC54)=0,"",INDEX(Cascade!$BG:$BG,MATCH($E54,Cascade!$E:$E,0)))</f>
        <v/>
      </c>
      <c r="AJ54" s="218">
        <f t="shared" si="42"/>
        <v>0</v>
      </c>
      <c r="AK54" s="218" t="str">
        <f t="shared" si="43"/>
        <v/>
      </c>
      <c r="AL54" s="218" t="str">
        <f t="shared" si="44"/>
        <v/>
      </c>
      <c r="AM54" s="218">
        <f t="shared" si="45"/>
        <v>0</v>
      </c>
      <c r="AN54" s="218" t="str">
        <f t="shared" si="46"/>
        <v/>
      </c>
      <c r="AO54" s="38">
        <f t="shared" si="47"/>
        <v>12</v>
      </c>
      <c r="AP54" s="231">
        <v>4.0000000000000001E-3</v>
      </c>
      <c r="AQ54" s="33">
        <f t="shared" si="48"/>
        <v>4.0000000000000001E-3</v>
      </c>
      <c r="AR54" s="33">
        <f>IF(SUM($AO54)=0,"",INDEX(Cascade!$BG:$BG,MATCH($E54,Cascade!$E:$E,0)))</f>
        <v>0.95</v>
      </c>
      <c r="AS54" s="218">
        <f t="shared" si="49"/>
        <v>0</v>
      </c>
      <c r="AT54" s="218">
        <f t="shared" si="50"/>
        <v>12</v>
      </c>
      <c r="AU54" s="38" t="str">
        <f t="shared" si="51"/>
        <v/>
      </c>
      <c r="AV54" s="38" t="str">
        <f t="shared" si="52"/>
        <v/>
      </c>
      <c r="AW54" s="38">
        <f>IFERROR(1/(1/INDEX(Cascade!$BH:$BH,MATCH($E54,Cascade!$E:$E,0))),"")</f>
        <v>74</v>
      </c>
      <c r="AX54" s="38" t="str">
        <f t="shared" si="53"/>
        <v/>
      </c>
      <c r="AY54" s="38" t="str">
        <f t="shared" si="54"/>
        <v/>
      </c>
      <c r="AZ54" s="38" t="str">
        <f>IFERROR(1/(1/INDEX(TB!$P:$P,MATCH($E54,TB!$E:$E,0))),"")</f>
        <v/>
      </c>
      <c r="BA54" s="38">
        <f t="shared" si="55"/>
        <v>74</v>
      </c>
    </row>
    <row r="55" spans="1:53" x14ac:dyDescent="0.2">
      <c r="A55" t="str">
        <f>INDEX(Prioritization!$D:$D,MATCH($B55,Prioritization!$A:$A,0))</f>
        <v>INVALID</v>
      </c>
      <c r="B55" t="s">
        <v>308</v>
      </c>
      <c r="C55" t="s">
        <v>474</v>
      </c>
      <c r="D55" t="s">
        <v>30</v>
      </c>
      <c r="E55" t="str">
        <f t="shared" si="28"/>
        <v>Karonga District [cPtvxaZqXIH]|10-14|Female</v>
      </c>
      <c r="F55" s="38">
        <f>IF(LEFT($B55,4)="_Mil","",INDEX(Cascade!$T:$T,MATCH($E55,Cascade!$E:$E,0)))</f>
        <v>31455</v>
      </c>
      <c r="G55" s="38">
        <f>IF(LEFT($B55,4)="_Mil","",INDEX(Cascade!$U:$U,MATCH($E55,Cascade!$E:$E,0)))</f>
        <v>231</v>
      </c>
      <c r="H55" s="110">
        <f>IF(LEFT($B55,4)="_Mil","",INDEX(Cascade!$W:$W,MATCH($E55,Cascade!$E:$E,0)))</f>
        <v>7.354551E-3</v>
      </c>
      <c r="I55" s="38">
        <f>IF(LEFT($B55,4)="_Mil","",INDEX(Cascade!$Z:$Z,MATCH($E55,Cascade!$E:$E,0)))</f>
        <v>174</v>
      </c>
      <c r="J55" s="33">
        <f>IF(LEFT($B55,4)="_Mil","",INDEX(Cascade!$AA:$AA,MATCH($E55,Cascade!$E:$E,0)))</f>
        <v>0.77229919300000016</v>
      </c>
      <c r="K55" s="218" t="str">
        <f>IF(LEFT($B55,4)="_Mil","",_xlfn.IFNA(ROUND(INDEX(Spectrum!$N:$N,MATCH(RIGHT($B55,13)&amp;"|"&amp;$C55&amp;"|"&amp;$D55&amp;"|"&amp;K$14&amp;"|"&amp;"CY2024Q3",Spectrum!$R:$R,0)),0),""))</f>
        <v/>
      </c>
      <c r="L55" s="218" t="str">
        <f>IF(LEFT($B55,4)="_Mil","",_xlfn.IFNA(ROUND(INDEX(Spectrum!$N:$N,MATCH(RIGHT($B55,13)&amp;"|"&amp;$C55&amp;"|"&amp;$D55&amp;"|"&amp;L$14&amp;"|"&amp;"CY2024Q3",Spectrum!$R:$R,0)),0),""))</f>
        <v/>
      </c>
      <c r="M55" s="218" t="str">
        <f>IF(LEFT($B55,4)="_Mil","",_xlfn.IFNA(ROUND(INDEX(Spectrum!$N:$N,MATCH(RIGHT($B55,13)&amp;"|"&amp;$C55&amp;"|"&amp;$D55&amp;"|"&amp;M$14&amp;"|"&amp;"CY2024Q3",Spectrum!$R:$R,0)),0),""))</f>
        <v/>
      </c>
      <c r="N55" s="218" t="str">
        <f>IF(LEFT($B55,4)="_Mil","",_xlfn.IFNA(ROUND(INDEX(Spectrum!$N:$N,MATCH(RIGHT($B55,13)&amp;"|"&amp;$C55&amp;"|"&amp;$D55&amp;"|"&amp;N$14&amp;"|"&amp;"CY2024Q3",Spectrum!$R:$R,0)),0),""))</f>
        <v/>
      </c>
      <c r="O55" s="218" t="str">
        <f>IF(LEFT($B55,4)="_Mil","",_xlfn.IFNA(ROUND(INDEX(Spectrum!$N:$N,MATCH(RIGHT($B55,13)&amp;"|"&amp;$C55&amp;"|"&amp;$D55&amp;"|"&amp;O$14&amp;"|"&amp;"CY2024Q3",Spectrum!$R:$R,0)),0),""))</f>
        <v/>
      </c>
      <c r="P55" s="218" t="str">
        <f>IF(LEFT($B55,4)="_Mil","",_xlfn.IFNA(ROUND(INDEX(Spectrum!$N:$N,MATCH(RIGHT($B55,13)&amp;"|"&amp;$C55&amp;"|"&amp;$D55&amp;"|"&amp;P$14&amp;"|"&amp;"CY2024Q3",Spectrum!$R:$R,0)),0),""))</f>
        <v/>
      </c>
      <c r="Q55" s="218" t="str">
        <f>IF(LEFT($B55,4)="_Mil","",_xlfn.IFNA(ROUND(INDEX(Spectrum!$N:$N,MATCH(RIGHT($B55,13)&amp;"|"&amp;$C55&amp;"|"&amp;$D55&amp;"|"&amp;Q$14&amp;"|"&amp;"CY2024Q3",Spectrum!$R:$R,0)),0),""))</f>
        <v/>
      </c>
      <c r="R55" s="38">
        <v>42</v>
      </c>
      <c r="S55" s="33">
        <v>0</v>
      </c>
      <c r="T55" s="218">
        <f t="shared" si="29"/>
        <v>42</v>
      </c>
      <c r="U55" s="33">
        <f t="shared" si="30"/>
        <v>1</v>
      </c>
      <c r="V55" s="218">
        <f t="shared" si="31"/>
        <v>42</v>
      </c>
      <c r="W55" s="33">
        <v>2.3E-2</v>
      </c>
      <c r="X55" s="33">
        <f t="shared" si="32"/>
        <v>2.3E-2</v>
      </c>
      <c r="Y55" s="231">
        <v>1.0999999999999999E-2</v>
      </c>
      <c r="Z55" s="33">
        <f t="shared" si="33"/>
        <v>1.0999999999999999E-2</v>
      </c>
      <c r="AA55" s="38">
        <f t="shared" si="34"/>
        <v>42</v>
      </c>
      <c r="AB55" s="218">
        <f t="shared" si="35"/>
        <v>1</v>
      </c>
      <c r="AC55" s="218">
        <f t="shared" si="36"/>
        <v>0</v>
      </c>
      <c r="AD55" s="218">
        <f t="shared" si="37"/>
        <v>41</v>
      </c>
      <c r="AE55" s="38">
        <f t="shared" si="38"/>
        <v>42</v>
      </c>
      <c r="AF55" s="218">
        <f t="shared" si="39"/>
        <v>1</v>
      </c>
      <c r="AG55" s="218">
        <f t="shared" si="40"/>
        <v>0</v>
      </c>
      <c r="AH55" s="218">
        <f t="shared" si="41"/>
        <v>41</v>
      </c>
      <c r="AI55" s="33" t="str">
        <f>IF(SUM($AC55)=0,"",INDEX(Cascade!$BG:$BG,MATCH($E55,Cascade!$E:$E,0)))</f>
        <v/>
      </c>
      <c r="AJ55" s="218">
        <f t="shared" si="42"/>
        <v>1</v>
      </c>
      <c r="AK55" s="218" t="str">
        <f t="shared" si="43"/>
        <v/>
      </c>
      <c r="AL55" s="218">
        <f t="shared" si="44"/>
        <v>1</v>
      </c>
      <c r="AM55" s="218">
        <f t="shared" si="45"/>
        <v>1</v>
      </c>
      <c r="AN55" s="218" t="str">
        <f t="shared" si="46"/>
        <v/>
      </c>
      <c r="AO55" s="38">
        <f t="shared" si="47"/>
        <v>41</v>
      </c>
      <c r="AP55" s="231">
        <v>4.0000000000000001E-3</v>
      </c>
      <c r="AQ55" s="33">
        <f t="shared" si="48"/>
        <v>4.0000000000000001E-3</v>
      </c>
      <c r="AR55" s="33">
        <f>IF(SUM($AO55)=0,"",INDEX(Cascade!$BG:$BG,MATCH($E55,Cascade!$E:$E,0)))</f>
        <v>0.95</v>
      </c>
      <c r="AS55" s="218">
        <f t="shared" si="49"/>
        <v>0</v>
      </c>
      <c r="AT55" s="218">
        <f t="shared" si="50"/>
        <v>41</v>
      </c>
      <c r="AU55" s="38" t="str">
        <f t="shared" si="51"/>
        <v/>
      </c>
      <c r="AV55" s="38">
        <f t="shared" si="52"/>
        <v>1</v>
      </c>
      <c r="AW55" s="38">
        <f>IFERROR(1/(1/INDEX(Cascade!$BH:$BH,MATCH($E55,Cascade!$E:$E,0))),"")</f>
        <v>21</v>
      </c>
      <c r="AX55" s="38" t="str">
        <f t="shared" si="53"/>
        <v/>
      </c>
      <c r="AY55" s="38" t="str">
        <f t="shared" si="54"/>
        <v/>
      </c>
      <c r="AZ55" s="38" t="str">
        <f>IFERROR(1/(1/INDEX(TB!$P:$P,MATCH($E55,TB!$E:$E,0))),"")</f>
        <v/>
      </c>
      <c r="BA55" s="38">
        <f t="shared" si="55"/>
        <v>21</v>
      </c>
    </row>
    <row r="56" spans="1:53" x14ac:dyDescent="0.2">
      <c r="A56" t="str">
        <f>INDEX(Prioritization!$D:$D,MATCH($B56,Prioritization!$A:$A,0))</f>
        <v>INVALID</v>
      </c>
      <c r="B56" t="s">
        <v>308</v>
      </c>
      <c r="C56" t="s">
        <v>475</v>
      </c>
      <c r="D56" t="s">
        <v>30</v>
      </c>
      <c r="E56" t="str">
        <f t="shared" si="28"/>
        <v>Karonga District [cPtvxaZqXIH]|15-24|Female</v>
      </c>
      <c r="F56" s="38">
        <f>IF(LEFT($B56,4)="_Mil","",INDEX(Cascade!$T:$T,MATCH($E56,Cascade!$E:$E,0)))</f>
        <v>51672</v>
      </c>
      <c r="G56" s="38">
        <f>IF(LEFT($B56,4)="_Mil","",INDEX(Cascade!$U:$U,MATCH($E56,Cascade!$E:$E,0)))</f>
        <v>826</v>
      </c>
      <c r="H56" s="110">
        <f>IF(LEFT($B56,4)="_Mil","",INDEX(Cascade!$W:$W,MATCH($E56,Cascade!$E:$E,0)))</f>
        <v>1.5986546000000001E-2</v>
      </c>
      <c r="I56" s="38">
        <f>IF(LEFT($B56,4)="_Mil","",INDEX(Cascade!$Z:$Z,MATCH($E56,Cascade!$E:$E,0)))</f>
        <v>757</v>
      </c>
      <c r="J56" s="33">
        <f>IF(LEFT($B56,4)="_Mil","",INDEX(Cascade!$AA:$AA,MATCH($E56,Cascade!$E:$E,0)))</f>
        <v>0.94173053100000004</v>
      </c>
      <c r="K56" s="218">
        <f>IF(LEFT($B56,4)="_Mil","",_xlfn.IFNA(ROUND(INDEX(Spectrum!$N:$N,MATCH(RIGHT($B56,13)&amp;"|"&amp;$C56&amp;"|"&amp;$D56&amp;"|"&amp;K$14&amp;"|"&amp;"CY2024Q3",Spectrum!$R:$R,0)),0),""))</f>
        <v>5439</v>
      </c>
      <c r="L56" s="218">
        <f>IF(LEFT($B56,4)="_Mil","",_xlfn.IFNA(ROUND(INDEX(Spectrum!$N:$N,MATCH(RIGHT($B56,13)&amp;"|"&amp;$C56&amp;"|"&amp;$D56&amp;"|"&amp;L$14&amp;"|"&amp;"CY2024Q3",Spectrum!$R:$R,0)),0),""))</f>
        <v>64</v>
      </c>
      <c r="M56" s="218">
        <f>IF(LEFT($B56,4)="_Mil","",_xlfn.IFNA(ROUND(INDEX(Spectrum!$N:$N,MATCH(RIGHT($B56,13)&amp;"|"&amp;$C56&amp;"|"&amp;$D56&amp;"|"&amp;M$14&amp;"|"&amp;"CY2024Q3",Spectrum!$R:$R,0)),0),""))</f>
        <v>53</v>
      </c>
      <c r="N56" s="218">
        <f>IF(LEFT($B56,4)="_Mil","",_xlfn.IFNA(ROUND(INDEX(Spectrum!$N:$N,MATCH(RIGHT($B56,13)&amp;"|"&amp;$C56&amp;"|"&amp;$D56&amp;"|"&amp;N$14&amp;"|"&amp;"CY2024Q3",Spectrum!$R:$R,0)),0),""))</f>
        <v>5322</v>
      </c>
      <c r="O56" s="218">
        <f>IF(LEFT($B56,4)="_Mil","",_xlfn.IFNA(ROUND(INDEX(Spectrum!$N:$N,MATCH(RIGHT($B56,13)&amp;"|"&amp;$C56&amp;"|"&amp;$D56&amp;"|"&amp;O$14&amp;"|"&amp;"CY2024Q3",Spectrum!$R:$R,0)),0),""))</f>
        <v>117</v>
      </c>
      <c r="P56" s="218">
        <f>IF(LEFT($B56,4)="_Mil","",_xlfn.IFNA(ROUND(INDEX(Spectrum!$N:$N,MATCH(RIGHT($B56,13)&amp;"|"&amp;$C56&amp;"|"&amp;$D56&amp;"|"&amp;P$14&amp;"|"&amp;"CY2024Q3",Spectrum!$R:$R,0)),0),""))</f>
        <v>64</v>
      </c>
      <c r="Q56" s="218">
        <f>IF(LEFT($B56,4)="_Mil","",_xlfn.IFNA(ROUND(INDEX(Spectrum!$N:$N,MATCH(RIGHT($B56,13)&amp;"|"&amp;$C56&amp;"|"&amp;$D56&amp;"|"&amp;Q$14&amp;"|"&amp;"CY2024Q3",Spectrum!$R:$R,0)),0),""))</f>
        <v>53</v>
      </c>
      <c r="R56" s="38">
        <v>6421</v>
      </c>
      <c r="S56" s="33">
        <v>0</v>
      </c>
      <c r="T56" s="218">
        <f t="shared" si="29"/>
        <v>6421</v>
      </c>
      <c r="U56" s="33">
        <f t="shared" si="30"/>
        <v>1</v>
      </c>
      <c r="V56" s="218">
        <f t="shared" si="31"/>
        <v>6421</v>
      </c>
      <c r="W56" s="33">
        <v>1.4E-2</v>
      </c>
      <c r="X56" s="33">
        <f t="shared" si="32"/>
        <v>1.4E-2</v>
      </c>
      <c r="Y56" s="231">
        <v>1.0999999999999999E-2</v>
      </c>
      <c r="Z56" s="33">
        <f t="shared" si="33"/>
        <v>9.8604651162790703E-3</v>
      </c>
      <c r="AA56" s="38">
        <f t="shared" si="34"/>
        <v>6421</v>
      </c>
      <c r="AB56" s="218">
        <f t="shared" si="35"/>
        <v>90</v>
      </c>
      <c r="AC56" s="218">
        <f t="shared" si="36"/>
        <v>62</v>
      </c>
      <c r="AD56" s="218">
        <f t="shared" si="37"/>
        <v>6269</v>
      </c>
      <c r="AE56" s="38">
        <f t="shared" si="38"/>
        <v>6421</v>
      </c>
      <c r="AF56" s="218">
        <f t="shared" si="39"/>
        <v>90</v>
      </c>
      <c r="AG56" s="218">
        <f t="shared" si="40"/>
        <v>62</v>
      </c>
      <c r="AH56" s="218">
        <f t="shared" si="41"/>
        <v>6269</v>
      </c>
      <c r="AI56" s="33">
        <f>IF(SUM($AC56)=0,"",INDEX(Cascade!$BG:$BG,MATCH($E56,Cascade!$E:$E,0)))</f>
        <v>0.95</v>
      </c>
      <c r="AJ56" s="218">
        <f t="shared" si="42"/>
        <v>90</v>
      </c>
      <c r="AK56" s="218">
        <f t="shared" si="43"/>
        <v>59</v>
      </c>
      <c r="AL56" s="218">
        <f t="shared" si="44"/>
        <v>152</v>
      </c>
      <c r="AM56" s="218">
        <f t="shared" si="45"/>
        <v>90</v>
      </c>
      <c r="AN56" s="218">
        <f t="shared" si="46"/>
        <v>59</v>
      </c>
      <c r="AO56" s="38">
        <f t="shared" si="47"/>
        <v>6269</v>
      </c>
      <c r="AP56" s="231">
        <v>4.0000000000000001E-3</v>
      </c>
      <c r="AQ56" s="33">
        <f t="shared" si="48"/>
        <v>4.0000000000000001E-3</v>
      </c>
      <c r="AR56" s="33">
        <f>IF(SUM($AO56)=0,"",INDEX(Cascade!$BG:$BG,MATCH($E56,Cascade!$E:$E,0)))</f>
        <v>0.95</v>
      </c>
      <c r="AS56" s="218">
        <f t="shared" si="49"/>
        <v>25</v>
      </c>
      <c r="AT56" s="218">
        <f t="shared" si="50"/>
        <v>6244</v>
      </c>
      <c r="AU56" s="38">
        <f t="shared" si="51"/>
        <v>24</v>
      </c>
      <c r="AV56" s="38">
        <f t="shared" si="52"/>
        <v>177</v>
      </c>
      <c r="AW56" s="38">
        <f>IFERROR(1/(1/INDEX(Cascade!$BH:$BH,MATCH($E56,Cascade!$E:$E,0))),"")</f>
        <v>139</v>
      </c>
      <c r="AX56" s="38">
        <f t="shared" si="53"/>
        <v>62</v>
      </c>
      <c r="AY56" s="38">
        <f t="shared" si="54"/>
        <v>25</v>
      </c>
      <c r="AZ56" s="38">
        <f>IFERROR(1/(1/INDEX(TB!$P:$P,MATCH($E56,TB!$E:$E,0))),"")</f>
        <v>1</v>
      </c>
      <c r="BA56" s="38">
        <f t="shared" si="55"/>
        <v>51</v>
      </c>
    </row>
    <row r="57" spans="1:53" x14ac:dyDescent="0.2">
      <c r="A57" t="str">
        <f>INDEX(Prioritization!$D:$D,MATCH($B57,Prioritization!$A:$A,0))</f>
        <v>INVALID</v>
      </c>
      <c r="B57" t="s">
        <v>308</v>
      </c>
      <c r="C57" t="s">
        <v>476</v>
      </c>
      <c r="D57" t="s">
        <v>30</v>
      </c>
      <c r="E57" t="str">
        <f t="shared" si="28"/>
        <v>Karonga District [cPtvxaZqXIH]|25-34|Female</v>
      </c>
      <c r="F57" s="38">
        <f>IF(LEFT($B57,4)="_Mil","",INDEX(Cascade!$T:$T,MATCH($E57,Cascade!$E:$E,0)))</f>
        <v>33855</v>
      </c>
      <c r="G57" s="38">
        <f>IF(LEFT($B57,4)="_Mil","",INDEX(Cascade!$U:$U,MATCH($E57,Cascade!$E:$E,0)))</f>
        <v>2017</v>
      </c>
      <c r="H57" s="110">
        <f>IF(LEFT($B57,4)="_Mil","",INDEX(Cascade!$W:$W,MATCH($E57,Cascade!$E:$E,0)))</f>
        <v>5.9562717000000001E-2</v>
      </c>
      <c r="I57" s="38">
        <f>IF(LEFT($B57,4)="_Mil","",INDEX(Cascade!$Z:$Z,MATCH($E57,Cascade!$E:$E,0)))</f>
        <v>1901</v>
      </c>
      <c r="J57" s="33">
        <f>IF(LEFT($B57,4)="_Mil","",INDEX(Cascade!$AA:$AA,MATCH($E57,Cascade!$E:$E,0)))</f>
        <v>0.96908219699999987</v>
      </c>
      <c r="K57" s="218">
        <f>IF(LEFT($B57,4)="_Mil","",_xlfn.IFNA(ROUND(INDEX(Spectrum!$N:$N,MATCH(RIGHT($B57,13)&amp;"|"&amp;$C57&amp;"|"&amp;$D57&amp;"|"&amp;K$14&amp;"|"&amp;"CY2024Q3",Spectrum!$R:$R,0)),0),""))</f>
        <v>3455</v>
      </c>
      <c r="L57" s="218">
        <f>IF(LEFT($B57,4)="_Mil","",_xlfn.IFNA(ROUND(INDEX(Spectrum!$N:$N,MATCH(RIGHT($B57,13)&amp;"|"&amp;$C57&amp;"|"&amp;$D57&amp;"|"&amp;L$14&amp;"|"&amp;"CY2024Q3",Spectrum!$R:$R,0)),0),""))</f>
        <v>125</v>
      </c>
      <c r="M57" s="218">
        <f>IF(LEFT($B57,4)="_Mil","",_xlfn.IFNA(ROUND(INDEX(Spectrum!$N:$N,MATCH(RIGHT($B57,13)&amp;"|"&amp;$C57&amp;"|"&amp;$D57&amp;"|"&amp;M$14&amp;"|"&amp;"CY2024Q3",Spectrum!$R:$R,0)),0),""))</f>
        <v>73</v>
      </c>
      <c r="N57" s="218">
        <f>IF(LEFT($B57,4)="_Mil","",_xlfn.IFNA(ROUND(INDEX(Spectrum!$N:$N,MATCH(RIGHT($B57,13)&amp;"|"&amp;$C57&amp;"|"&amp;$D57&amp;"|"&amp;N$14&amp;"|"&amp;"CY2024Q3",Spectrum!$R:$R,0)),0),""))</f>
        <v>3256</v>
      </c>
      <c r="O57" s="218">
        <f>IF(LEFT($B57,4)="_Mil","",_xlfn.IFNA(ROUND(INDEX(Spectrum!$N:$N,MATCH(RIGHT($B57,13)&amp;"|"&amp;$C57&amp;"|"&amp;$D57&amp;"|"&amp;O$14&amp;"|"&amp;"CY2024Q3",Spectrum!$R:$R,0)),0),""))</f>
        <v>199</v>
      </c>
      <c r="P57" s="218">
        <f>IF(LEFT($B57,4)="_Mil","",_xlfn.IFNA(ROUND(INDEX(Spectrum!$N:$N,MATCH(RIGHT($B57,13)&amp;"|"&amp;$C57&amp;"|"&amp;$D57&amp;"|"&amp;P$14&amp;"|"&amp;"CY2024Q3",Spectrum!$R:$R,0)),0),""))</f>
        <v>125</v>
      </c>
      <c r="Q57" s="218">
        <f>IF(LEFT($B57,4)="_Mil","",_xlfn.IFNA(ROUND(INDEX(Spectrum!$N:$N,MATCH(RIGHT($B57,13)&amp;"|"&amp;$C57&amp;"|"&amp;$D57&amp;"|"&amp;Q$14&amp;"|"&amp;"CY2024Q3",Spectrum!$R:$R,0)),0),""))</f>
        <v>73</v>
      </c>
      <c r="R57" s="38">
        <v>4066</v>
      </c>
      <c r="S57" s="33">
        <v>0</v>
      </c>
      <c r="T57" s="218">
        <f t="shared" si="29"/>
        <v>4066</v>
      </c>
      <c r="U57" s="33">
        <f t="shared" si="30"/>
        <v>1</v>
      </c>
      <c r="V57" s="218">
        <f t="shared" si="31"/>
        <v>4066</v>
      </c>
      <c r="W57" s="33">
        <v>5.2999999999999999E-2</v>
      </c>
      <c r="X57" s="33">
        <f t="shared" si="32"/>
        <v>5.2999999999999999E-2</v>
      </c>
      <c r="Y57" s="231">
        <v>1.0999999999999999E-2</v>
      </c>
      <c r="Z57" s="33">
        <f t="shared" si="33"/>
        <v>1.0999999999999999E-2</v>
      </c>
      <c r="AA57" s="38">
        <f t="shared" si="34"/>
        <v>4066</v>
      </c>
      <c r="AB57" s="218">
        <f t="shared" si="35"/>
        <v>215</v>
      </c>
      <c r="AC57" s="218">
        <f t="shared" si="36"/>
        <v>42</v>
      </c>
      <c r="AD57" s="218">
        <f t="shared" si="37"/>
        <v>3809</v>
      </c>
      <c r="AE57" s="38">
        <f t="shared" si="38"/>
        <v>4066</v>
      </c>
      <c r="AF57" s="218">
        <f t="shared" si="39"/>
        <v>215</v>
      </c>
      <c r="AG57" s="218">
        <f t="shared" si="40"/>
        <v>42</v>
      </c>
      <c r="AH57" s="218">
        <f t="shared" si="41"/>
        <v>3809</v>
      </c>
      <c r="AI57" s="33">
        <f>IF(SUM($AC57)=0,"",INDEX(Cascade!$BG:$BG,MATCH($E57,Cascade!$E:$E,0)))</f>
        <v>0.95</v>
      </c>
      <c r="AJ57" s="218">
        <f t="shared" si="42"/>
        <v>215</v>
      </c>
      <c r="AK57" s="218">
        <f t="shared" si="43"/>
        <v>40</v>
      </c>
      <c r="AL57" s="218">
        <f t="shared" si="44"/>
        <v>257</v>
      </c>
      <c r="AM57" s="218">
        <f t="shared" si="45"/>
        <v>215</v>
      </c>
      <c r="AN57" s="218">
        <f t="shared" si="46"/>
        <v>40</v>
      </c>
      <c r="AO57" s="38">
        <f t="shared" si="47"/>
        <v>3809</v>
      </c>
      <c r="AP57" s="231"/>
      <c r="AQ57" s="33"/>
      <c r="AR57" s="33">
        <f>IF(SUM($AO57)=0,"",INDEX(Cascade!$BG:$BG,MATCH($E57,Cascade!$E:$E,0)))</f>
        <v>0.95</v>
      </c>
      <c r="AS57" s="218" t="str">
        <f t="shared" si="49"/>
        <v>ENTER YIELD RATE</v>
      </c>
      <c r="AT57" s="218">
        <f t="shared" si="50"/>
        <v>3809</v>
      </c>
      <c r="AU57" s="38" t="str">
        <f t="shared" si="51"/>
        <v/>
      </c>
      <c r="AV57" s="38">
        <f t="shared" si="52"/>
        <v>257</v>
      </c>
      <c r="AW57" s="38">
        <f>IFERROR(1/(1/INDEX(Cascade!$BH:$BH,MATCH($E57,Cascade!$E:$E,0))),"")</f>
        <v>187</v>
      </c>
      <c r="AX57" s="38">
        <f t="shared" si="53"/>
        <v>42</v>
      </c>
      <c r="AY57" s="38" t="str">
        <f t="shared" si="54"/>
        <v/>
      </c>
      <c r="AZ57" s="38">
        <f>IFERROR(1/(1/INDEX(TB!$P:$P,MATCH($E57,TB!$E:$E,0))),"")</f>
        <v>1</v>
      </c>
      <c r="BA57" s="38">
        <f t="shared" si="55"/>
        <v>144</v>
      </c>
    </row>
    <row r="58" spans="1:53" x14ac:dyDescent="0.2">
      <c r="A58" t="str">
        <f>INDEX(Prioritization!$D:$D,MATCH($B58,Prioritization!$A:$A,0))</f>
        <v>INVALID</v>
      </c>
      <c r="B58" t="s">
        <v>308</v>
      </c>
      <c r="C58" t="s">
        <v>477</v>
      </c>
      <c r="D58" t="s">
        <v>30</v>
      </c>
      <c r="E58" t="str">
        <f t="shared" si="28"/>
        <v>Karonga District [cPtvxaZqXIH]|35-49|Female</v>
      </c>
      <c r="F58" s="38"/>
      <c r="G58" s="38"/>
      <c r="H58" s="110"/>
      <c r="I58" s="38"/>
      <c r="J58" s="33">
        <f>IF(LEFT($B58,4)="_Mil","",INDEX(Cascade!$AA:$AA,MATCH($E58,Cascade!$E:$E,0)))</f>
        <v>0.98464116300000004</v>
      </c>
      <c r="K58" s="218">
        <f>IF(LEFT($B58,4)="_Mil","",_xlfn.IFNA(ROUND(INDEX(Spectrum!$N:$N,MATCH(RIGHT($B58,13)&amp;"|"&amp;$C58&amp;"|"&amp;$D58&amp;"|"&amp;K$14&amp;"|"&amp;"CY2024Q3",Spectrum!$R:$R,0)),0),""))</f>
        <v>1250</v>
      </c>
      <c r="L58" s="218">
        <f>IF(LEFT($B58,4)="_Mil","",_xlfn.IFNA(ROUND(INDEX(Spectrum!$N:$N,MATCH(RIGHT($B58,13)&amp;"|"&amp;$C58&amp;"|"&amp;$D58&amp;"|"&amp;L$14&amp;"|"&amp;"CY2024Q3",Spectrum!$R:$R,0)),0),""))</f>
        <v>111</v>
      </c>
      <c r="M58" s="218">
        <f>IF(LEFT($B58,4)="_Mil","",_xlfn.IFNA(ROUND(INDEX(Spectrum!$N:$N,MATCH(RIGHT($B58,13)&amp;"|"&amp;$C58&amp;"|"&amp;$D58&amp;"|"&amp;M$14&amp;"|"&amp;"CY2024Q3",Spectrum!$R:$R,0)),0),""))</f>
        <v>22</v>
      </c>
      <c r="N58" s="218">
        <f>IF(LEFT($B58,4)="_Mil","",_xlfn.IFNA(ROUND(INDEX(Spectrum!$N:$N,MATCH(RIGHT($B58,13)&amp;"|"&amp;$C58&amp;"|"&amp;$D58&amp;"|"&amp;N$14&amp;"|"&amp;"CY2024Q3",Spectrum!$R:$R,0)),0),""))</f>
        <v>1117</v>
      </c>
      <c r="O58" s="218">
        <f>IF(LEFT($B58,4)="_Mil","",_xlfn.IFNA(ROUND(INDEX(Spectrum!$N:$N,MATCH(RIGHT($B58,13)&amp;"|"&amp;$C58&amp;"|"&amp;$D58&amp;"|"&amp;O$14&amp;"|"&amp;"CY2024Q3",Spectrum!$R:$R,0)),0),""))</f>
        <v>133</v>
      </c>
      <c r="P58" s="218">
        <f>IF(LEFT($B58,4)="_Mil","",_xlfn.IFNA(ROUND(INDEX(Spectrum!$N:$N,MATCH(RIGHT($B58,13)&amp;"|"&amp;$C58&amp;"|"&amp;$D58&amp;"|"&amp;P$14&amp;"|"&amp;"CY2024Q3",Spectrum!$R:$R,0)),0),""))</f>
        <v>111</v>
      </c>
      <c r="Q58" s="218">
        <f>IF(LEFT($B58,4)="_Mil","",_xlfn.IFNA(ROUND(INDEX(Spectrum!$N:$N,MATCH(RIGHT($B58,13)&amp;"|"&amp;$C58&amp;"|"&amp;$D58&amp;"|"&amp;Q$14&amp;"|"&amp;"CY2024Q3",Spectrum!$R:$R,0)),0),""))</f>
        <v>22</v>
      </c>
      <c r="R58" s="38">
        <v>995</v>
      </c>
      <c r="S58" s="33">
        <v>0</v>
      </c>
      <c r="T58" s="218">
        <f t="shared" si="29"/>
        <v>995</v>
      </c>
      <c r="U58" s="33">
        <f t="shared" si="30"/>
        <v>0.79600000000000004</v>
      </c>
      <c r="V58" s="218">
        <f t="shared" si="31"/>
        <v>1250</v>
      </c>
      <c r="W58" s="33">
        <v>9.2999999999999999E-2</v>
      </c>
      <c r="X58" s="33">
        <f t="shared" si="32"/>
        <v>9.2999999999999999E-2</v>
      </c>
      <c r="Y58" s="231">
        <v>1.0999999999999999E-2</v>
      </c>
      <c r="Z58" s="33">
        <f t="shared" si="33"/>
        <v>1.0999999999999999E-2</v>
      </c>
      <c r="AA58" s="38">
        <f t="shared" si="34"/>
        <v>995</v>
      </c>
      <c r="AB58" s="218">
        <f t="shared" si="35"/>
        <v>93</v>
      </c>
      <c r="AC58" s="218">
        <f t="shared" si="36"/>
        <v>10</v>
      </c>
      <c r="AD58" s="218">
        <f t="shared" si="37"/>
        <v>892</v>
      </c>
      <c r="AE58" s="38">
        <f t="shared" si="38"/>
        <v>1250</v>
      </c>
      <c r="AF58" s="218">
        <f t="shared" si="39"/>
        <v>116</v>
      </c>
      <c r="AG58" s="218">
        <f t="shared" si="40"/>
        <v>12</v>
      </c>
      <c r="AH58" s="218">
        <f t="shared" si="41"/>
        <v>1122</v>
      </c>
      <c r="AI58" s="33">
        <f>IF(SUM($AC58)=0,"",INDEX(Cascade!$BG:$BG,MATCH($E58,Cascade!$E:$E,0)))</f>
        <v>0.95</v>
      </c>
      <c r="AJ58" s="218">
        <f t="shared" si="42"/>
        <v>93</v>
      </c>
      <c r="AK58" s="218">
        <f t="shared" si="43"/>
        <v>10</v>
      </c>
      <c r="AL58" s="218">
        <f t="shared" si="44"/>
        <v>128</v>
      </c>
      <c r="AM58" s="218">
        <f t="shared" si="45"/>
        <v>116</v>
      </c>
      <c r="AN58" s="218">
        <f t="shared" si="46"/>
        <v>11</v>
      </c>
      <c r="AO58" s="38">
        <f t="shared" si="47"/>
        <v>892</v>
      </c>
      <c r="AP58" s="231"/>
      <c r="AQ58" s="33"/>
      <c r="AR58" s="33">
        <f>IF(SUM($AO58)=0,"",INDEX(Cascade!$BG:$BG,MATCH($E58,Cascade!$E:$E,0)))</f>
        <v>0.95</v>
      </c>
      <c r="AS58" s="218" t="str">
        <f t="shared" si="49"/>
        <v>ENTER YIELD RATE</v>
      </c>
      <c r="AT58" s="218">
        <f t="shared" si="50"/>
        <v>892</v>
      </c>
      <c r="AU58" s="38" t="str">
        <f t="shared" si="51"/>
        <v/>
      </c>
      <c r="AV58" s="38">
        <f t="shared" si="52"/>
        <v>103.00000000000001</v>
      </c>
      <c r="AW58" s="38">
        <f>IFERROR(1/(1/INDEX(Cascade!$BH:$BH,MATCH($E58,Cascade!$E:$E,0))),"")</f>
        <v>136</v>
      </c>
      <c r="AX58" s="38">
        <f t="shared" si="53"/>
        <v>10</v>
      </c>
      <c r="AY58" s="38" t="str">
        <f t="shared" si="54"/>
        <v/>
      </c>
      <c r="AZ58" s="38">
        <f>IFERROR(1/(1/INDEX(TB!$P:$P,MATCH($E58,TB!$E:$E,0))),"")</f>
        <v>1</v>
      </c>
      <c r="BA58" s="38">
        <f t="shared" si="55"/>
        <v>125</v>
      </c>
    </row>
    <row r="59" spans="1:53" x14ac:dyDescent="0.2">
      <c r="A59" t="str">
        <f>INDEX(Prioritization!$D:$D,MATCH($B59,Prioritization!$A:$A,0))</f>
        <v>INVALID</v>
      </c>
      <c r="B59" t="s">
        <v>308</v>
      </c>
      <c r="C59" t="s">
        <v>478</v>
      </c>
      <c r="D59" t="s">
        <v>30</v>
      </c>
      <c r="E59" t="str">
        <f t="shared" si="28"/>
        <v>Karonga District [cPtvxaZqXIH]|50+|Female</v>
      </c>
      <c r="F59" s="38"/>
      <c r="G59" s="38"/>
      <c r="H59" s="110"/>
      <c r="I59" s="38"/>
      <c r="J59" s="33">
        <f>IF(LEFT($B59,4)="_Mil","",INDEX(Cascade!$AA:$AA,MATCH($E59,Cascade!$E:$E,0)))</f>
        <v>0.98948808600000004</v>
      </c>
      <c r="K59" s="218" t="str">
        <f>IF(LEFT($B59,4)="_Mil","",_xlfn.IFNA(ROUND(INDEX(Spectrum!$N:$N,MATCH(RIGHT($B59,13)&amp;"|"&amp;$C59&amp;"|"&amp;$D59&amp;"|"&amp;K$14&amp;"|"&amp;"CY2024Q3",Spectrum!$R:$R,0)),0),""))</f>
        <v/>
      </c>
      <c r="L59" s="218" t="str">
        <f>IF(LEFT($B59,4)="_Mil","",_xlfn.IFNA(ROUND(INDEX(Spectrum!$N:$N,MATCH(RIGHT($B59,13)&amp;"|"&amp;$C59&amp;"|"&amp;$D59&amp;"|"&amp;L$14&amp;"|"&amp;"CY2024Q3",Spectrum!$R:$R,0)),0),""))</f>
        <v/>
      </c>
      <c r="M59" s="218" t="str">
        <f>IF(LEFT($B59,4)="_Mil","",_xlfn.IFNA(ROUND(INDEX(Spectrum!$N:$N,MATCH(RIGHT($B59,13)&amp;"|"&amp;$C59&amp;"|"&amp;$D59&amp;"|"&amp;M$14&amp;"|"&amp;"CY2024Q3",Spectrum!$R:$R,0)),0),""))</f>
        <v/>
      </c>
      <c r="N59" s="218" t="str">
        <f>IF(LEFT($B59,4)="_Mil","",_xlfn.IFNA(ROUND(INDEX(Spectrum!$N:$N,MATCH(RIGHT($B59,13)&amp;"|"&amp;$C59&amp;"|"&amp;$D59&amp;"|"&amp;N$14&amp;"|"&amp;"CY2024Q3",Spectrum!$R:$R,0)),0),""))</f>
        <v/>
      </c>
      <c r="O59" s="218" t="str">
        <f>IF(LEFT($B59,4)="_Mil","",_xlfn.IFNA(ROUND(INDEX(Spectrum!$N:$N,MATCH(RIGHT($B59,13)&amp;"|"&amp;$C59&amp;"|"&amp;$D59&amp;"|"&amp;O$14&amp;"|"&amp;"CY2024Q3",Spectrum!$R:$R,0)),0),""))</f>
        <v/>
      </c>
      <c r="P59" s="218" t="str">
        <f>IF(LEFT($B59,4)="_Mil","",_xlfn.IFNA(ROUND(INDEX(Spectrum!$N:$N,MATCH(RIGHT($B59,13)&amp;"|"&amp;$C59&amp;"|"&amp;$D59&amp;"|"&amp;P$14&amp;"|"&amp;"CY2024Q3",Spectrum!$R:$R,0)),0),""))</f>
        <v/>
      </c>
      <c r="Q59" s="218" t="str">
        <f>IF(LEFT($B59,4)="_Mil","",_xlfn.IFNA(ROUND(INDEX(Spectrum!$N:$N,MATCH(RIGHT($B59,13)&amp;"|"&amp;$C59&amp;"|"&amp;$D59&amp;"|"&amp;Q$14&amp;"|"&amp;"CY2024Q3",Spectrum!$R:$R,0)),0),""))</f>
        <v/>
      </c>
      <c r="R59" s="38">
        <v>6</v>
      </c>
      <c r="S59" s="33">
        <v>0</v>
      </c>
      <c r="T59" s="218">
        <f t="shared" si="29"/>
        <v>6</v>
      </c>
      <c r="U59" s="33">
        <f t="shared" si="30"/>
        <v>1</v>
      </c>
      <c r="V59" s="218">
        <f t="shared" si="31"/>
        <v>6</v>
      </c>
      <c r="W59" s="33">
        <v>9.2999999999999999E-2</v>
      </c>
      <c r="X59" s="33">
        <f t="shared" si="32"/>
        <v>9.2999999999999999E-2</v>
      </c>
      <c r="Y59" s="231">
        <v>1.0999999999999999E-2</v>
      </c>
      <c r="Z59" s="33">
        <f t="shared" si="33"/>
        <v>1.0999999999999999E-2</v>
      </c>
      <c r="AA59" s="38">
        <f t="shared" si="34"/>
        <v>6</v>
      </c>
      <c r="AB59" s="218">
        <f t="shared" si="35"/>
        <v>1</v>
      </c>
      <c r="AC59" s="218">
        <f t="shared" si="36"/>
        <v>0</v>
      </c>
      <c r="AD59" s="218">
        <f t="shared" si="37"/>
        <v>5</v>
      </c>
      <c r="AE59" s="38">
        <f t="shared" si="38"/>
        <v>6</v>
      </c>
      <c r="AF59" s="218">
        <f t="shared" si="39"/>
        <v>1</v>
      </c>
      <c r="AG59" s="218">
        <f t="shared" si="40"/>
        <v>0</v>
      </c>
      <c r="AH59" s="218">
        <f t="shared" si="41"/>
        <v>5</v>
      </c>
      <c r="AI59" s="33" t="str">
        <f>IF(SUM($AC59)=0,"",INDEX(Cascade!$BG:$BG,MATCH($E59,Cascade!$E:$E,0)))</f>
        <v/>
      </c>
      <c r="AJ59" s="218">
        <f t="shared" si="42"/>
        <v>1</v>
      </c>
      <c r="AK59" s="218" t="str">
        <f t="shared" si="43"/>
        <v/>
      </c>
      <c r="AL59" s="218">
        <f t="shared" si="44"/>
        <v>1</v>
      </c>
      <c r="AM59" s="218">
        <f t="shared" si="45"/>
        <v>1</v>
      </c>
      <c r="AN59" s="218" t="str">
        <f t="shared" si="46"/>
        <v/>
      </c>
      <c r="AO59" s="38">
        <f t="shared" si="47"/>
        <v>5</v>
      </c>
      <c r="AP59" s="231"/>
      <c r="AQ59" s="33"/>
      <c r="AR59" s="33">
        <f>IF(SUM($AO59)=0,"",INDEX(Cascade!$BG:$BG,MATCH($E59,Cascade!$E:$E,0)))</f>
        <v>0.95</v>
      </c>
      <c r="AS59" s="218" t="str">
        <f t="shared" si="49"/>
        <v>ENTER YIELD RATE</v>
      </c>
      <c r="AT59" s="218">
        <f t="shared" si="50"/>
        <v>5</v>
      </c>
      <c r="AU59" s="38" t="str">
        <f t="shared" si="51"/>
        <v/>
      </c>
      <c r="AV59" s="38">
        <f t="shared" si="52"/>
        <v>1</v>
      </c>
      <c r="AW59" s="38">
        <f>IFERROR(1/(1/INDEX(Cascade!$BH:$BH,MATCH($E59,Cascade!$E:$E,0))),"")</f>
        <v>98.999999999999986</v>
      </c>
      <c r="AX59" s="38" t="str">
        <f t="shared" si="53"/>
        <v/>
      </c>
      <c r="AY59" s="38" t="str">
        <f t="shared" si="54"/>
        <v/>
      </c>
      <c r="AZ59" s="38" t="str">
        <f>IFERROR(1/(1/INDEX(TB!$P:$P,MATCH($E59,TB!$E:$E,0))),"")</f>
        <v/>
      </c>
      <c r="BA59" s="38">
        <f t="shared" si="55"/>
        <v>98.999999999999986</v>
      </c>
    </row>
    <row r="60" spans="1:53" x14ac:dyDescent="0.2">
      <c r="A60" t="str">
        <f>INDEX(Prioritization!$D:$D,MATCH($B60,Prioritization!$A:$A,0))</f>
        <v>INVALID</v>
      </c>
      <c r="B60" t="s">
        <v>300</v>
      </c>
      <c r="C60" t="s">
        <v>474</v>
      </c>
      <c r="D60" t="s">
        <v>30</v>
      </c>
      <c r="E60" t="str">
        <f t="shared" si="28"/>
        <v>Kasungu District [JQKLKuVuY61]|10-14|Female</v>
      </c>
      <c r="F60" s="38"/>
      <c r="G60" s="38"/>
      <c r="H60" s="110"/>
      <c r="I60" s="38"/>
      <c r="J60" s="33">
        <f>IF(LEFT($B60,4)="_Mil","",INDEX(Cascade!$AA:$AA,MATCH($E60,Cascade!$E:$E,0)))</f>
        <v>0.77635323300000003</v>
      </c>
      <c r="K60" s="218" t="str">
        <f>IF(LEFT($B60,4)="_Mil","",_xlfn.IFNA(ROUND(INDEX(Spectrum!$N:$N,MATCH(RIGHT($B60,13)&amp;"|"&amp;$C60&amp;"|"&amp;$D60&amp;"|"&amp;K$14&amp;"|"&amp;"CY2024Q3",Spectrum!$R:$R,0)),0),""))</f>
        <v/>
      </c>
      <c r="L60" s="218" t="str">
        <f>IF(LEFT($B60,4)="_Mil","",_xlfn.IFNA(ROUND(INDEX(Spectrum!$N:$N,MATCH(RIGHT($B60,13)&amp;"|"&amp;$C60&amp;"|"&amp;$D60&amp;"|"&amp;L$14&amp;"|"&amp;"CY2024Q3",Spectrum!$R:$R,0)),0),""))</f>
        <v/>
      </c>
      <c r="M60" s="218" t="str">
        <f>IF(LEFT($B60,4)="_Mil","",_xlfn.IFNA(ROUND(INDEX(Spectrum!$N:$N,MATCH(RIGHT($B60,13)&amp;"|"&amp;$C60&amp;"|"&amp;$D60&amp;"|"&amp;M$14&amp;"|"&amp;"CY2024Q3",Spectrum!$R:$R,0)),0),""))</f>
        <v/>
      </c>
      <c r="N60" s="218" t="str">
        <f>IF(LEFT($B60,4)="_Mil","",_xlfn.IFNA(ROUND(INDEX(Spectrum!$N:$N,MATCH(RIGHT($B60,13)&amp;"|"&amp;$C60&amp;"|"&amp;$D60&amp;"|"&amp;N$14&amp;"|"&amp;"CY2024Q3",Spectrum!$R:$R,0)),0),""))</f>
        <v/>
      </c>
      <c r="O60" s="218" t="str">
        <f>IF(LEFT($B60,4)="_Mil","",_xlfn.IFNA(ROUND(INDEX(Spectrum!$N:$N,MATCH(RIGHT($B60,13)&amp;"|"&amp;$C60&amp;"|"&amp;$D60&amp;"|"&amp;O$14&amp;"|"&amp;"CY2024Q3",Spectrum!$R:$R,0)),0),""))</f>
        <v/>
      </c>
      <c r="P60" s="218" t="str">
        <f>IF(LEFT($B60,4)="_Mil","",_xlfn.IFNA(ROUND(INDEX(Spectrum!$N:$N,MATCH(RIGHT($B60,13)&amp;"|"&amp;$C60&amp;"|"&amp;$D60&amp;"|"&amp;P$14&amp;"|"&amp;"CY2024Q3",Spectrum!$R:$R,0)),0),""))</f>
        <v/>
      </c>
      <c r="Q60" s="218" t="str">
        <f>IF(LEFT($B60,4)="_Mil","",_xlfn.IFNA(ROUND(INDEX(Spectrum!$N:$N,MATCH(RIGHT($B60,13)&amp;"|"&amp;$C60&amp;"|"&amp;$D60&amp;"|"&amp;Q$14&amp;"|"&amp;"CY2024Q3",Spectrum!$R:$R,0)),0),""))</f>
        <v/>
      </c>
      <c r="R60" s="38">
        <v>84</v>
      </c>
      <c r="S60" s="33">
        <v>0</v>
      </c>
      <c r="T60" s="218">
        <f t="shared" si="29"/>
        <v>84</v>
      </c>
      <c r="U60" s="33">
        <f t="shared" si="30"/>
        <v>1</v>
      </c>
      <c r="V60" s="218">
        <f t="shared" si="31"/>
        <v>84</v>
      </c>
      <c r="W60" s="33">
        <v>8.3999999999999995E-3</v>
      </c>
      <c r="X60" s="33">
        <f t="shared" si="32"/>
        <v>8.3999999999999995E-3</v>
      </c>
      <c r="Y60" s="231">
        <v>1.0999999999999999E-2</v>
      </c>
      <c r="Z60" s="33">
        <f t="shared" si="33"/>
        <v>1.0999999999999999E-2</v>
      </c>
      <c r="AA60" s="38">
        <f t="shared" si="34"/>
        <v>84</v>
      </c>
      <c r="AB60" s="218">
        <f t="shared" si="35"/>
        <v>1</v>
      </c>
      <c r="AC60" s="218">
        <f t="shared" si="36"/>
        <v>1</v>
      </c>
      <c r="AD60" s="218">
        <f t="shared" si="37"/>
        <v>82</v>
      </c>
      <c r="AE60" s="38">
        <f t="shared" si="38"/>
        <v>84</v>
      </c>
      <c r="AF60" s="218">
        <f t="shared" si="39"/>
        <v>1</v>
      </c>
      <c r="AG60" s="218">
        <f t="shared" si="40"/>
        <v>1</v>
      </c>
      <c r="AH60" s="218">
        <f t="shared" si="41"/>
        <v>82</v>
      </c>
      <c r="AI60" s="33">
        <f>IF(SUM($AC60)=0,"",INDEX(Cascade!$BG:$BG,MATCH($E60,Cascade!$E:$E,0)))</f>
        <v>0.95</v>
      </c>
      <c r="AJ60" s="218">
        <f t="shared" si="42"/>
        <v>1</v>
      </c>
      <c r="AK60" s="218">
        <f t="shared" si="43"/>
        <v>1</v>
      </c>
      <c r="AL60" s="218">
        <f t="shared" si="44"/>
        <v>2</v>
      </c>
      <c r="AM60" s="218">
        <f t="shared" si="45"/>
        <v>1</v>
      </c>
      <c r="AN60" s="218">
        <f t="shared" si="46"/>
        <v>1</v>
      </c>
      <c r="AO60" s="38">
        <f t="shared" si="47"/>
        <v>82</v>
      </c>
      <c r="AP60" s="231"/>
      <c r="AQ60" s="33"/>
      <c r="AR60" s="33">
        <f>IF(SUM($AO60)=0,"",INDEX(Cascade!$BG:$BG,MATCH($E60,Cascade!$E:$E,0)))</f>
        <v>0.95</v>
      </c>
      <c r="AS60" s="218" t="str">
        <f t="shared" si="49"/>
        <v>ENTER YIELD RATE</v>
      </c>
      <c r="AT60" s="218">
        <f t="shared" si="50"/>
        <v>82</v>
      </c>
      <c r="AU60" s="38" t="str">
        <f t="shared" si="51"/>
        <v/>
      </c>
      <c r="AV60" s="38">
        <f t="shared" si="52"/>
        <v>2</v>
      </c>
      <c r="AW60" s="38">
        <f>IFERROR(1/(1/INDEX(Cascade!$BH:$BH,MATCH($E60,Cascade!$E:$E,0))),"")</f>
        <v>24</v>
      </c>
      <c r="AX60" s="38">
        <f t="shared" si="53"/>
        <v>1</v>
      </c>
      <c r="AY60" s="38" t="str">
        <f t="shared" si="54"/>
        <v/>
      </c>
      <c r="AZ60" s="38" t="str">
        <f>IFERROR(1/(1/INDEX(TB!$P:$P,MATCH($E60,TB!$E:$E,0))),"")</f>
        <v/>
      </c>
      <c r="BA60" s="38">
        <f t="shared" si="55"/>
        <v>23</v>
      </c>
    </row>
    <row r="61" spans="1:53" x14ac:dyDescent="0.2">
      <c r="A61" t="str">
        <f>INDEX(Prioritization!$D:$D,MATCH($B61,Prioritization!$A:$A,0))</f>
        <v>INVALID</v>
      </c>
      <c r="B61" t="s">
        <v>300</v>
      </c>
      <c r="C61" t="s">
        <v>475</v>
      </c>
      <c r="D61" t="s">
        <v>30</v>
      </c>
      <c r="E61" t="str">
        <f t="shared" si="28"/>
        <v>Kasungu District [JQKLKuVuY61]|15-24|Female</v>
      </c>
      <c r="F61" s="38"/>
      <c r="G61" s="38"/>
      <c r="H61" s="110"/>
      <c r="I61" s="38"/>
      <c r="J61" s="33">
        <f>IF(LEFT($B61,4)="_Mil","",INDEX(Cascade!$AA:$AA,MATCH($E61,Cascade!$E:$E,0)))</f>
        <v>0.93796064999999995</v>
      </c>
      <c r="K61" s="218">
        <f>IF(LEFT($B61,4)="_Mil","",_xlfn.IFNA(ROUND(INDEX(Spectrum!$N:$N,MATCH(RIGHT($B61,13)&amp;"|"&amp;$C61&amp;"|"&amp;$D61&amp;"|"&amp;K$14&amp;"|"&amp;"CY2024Q3",Spectrum!$R:$R,0)),0),""))</f>
        <v>12849</v>
      </c>
      <c r="L61" s="218">
        <f>IF(LEFT($B61,4)="_Mil","",_xlfn.IFNA(ROUND(INDEX(Spectrum!$N:$N,MATCH(RIGHT($B61,13)&amp;"|"&amp;$C61&amp;"|"&amp;$D61&amp;"|"&amp;L$14&amp;"|"&amp;"CY2024Q3",Spectrum!$R:$R,0)),0),""))</f>
        <v>89</v>
      </c>
      <c r="M61" s="218">
        <f>IF(LEFT($B61,4)="_Mil","",_xlfn.IFNA(ROUND(INDEX(Spectrum!$N:$N,MATCH(RIGHT($B61,13)&amp;"|"&amp;$C61&amp;"|"&amp;$D61&amp;"|"&amp;M$14&amp;"|"&amp;"CY2024Q3",Spectrum!$R:$R,0)),0),""))</f>
        <v>56</v>
      </c>
      <c r="N61" s="218">
        <f>IF(LEFT($B61,4)="_Mil","",_xlfn.IFNA(ROUND(INDEX(Spectrum!$N:$N,MATCH(RIGHT($B61,13)&amp;"|"&amp;$C61&amp;"|"&amp;$D61&amp;"|"&amp;N$14&amp;"|"&amp;"CY2024Q3",Spectrum!$R:$R,0)),0),""))</f>
        <v>12703</v>
      </c>
      <c r="O61" s="218">
        <f>IF(LEFT($B61,4)="_Mil","",_xlfn.IFNA(ROUND(INDEX(Spectrum!$N:$N,MATCH(RIGHT($B61,13)&amp;"|"&amp;$C61&amp;"|"&amp;$D61&amp;"|"&amp;O$14&amp;"|"&amp;"CY2024Q3",Spectrum!$R:$R,0)),0),""))</f>
        <v>146</v>
      </c>
      <c r="P61" s="218">
        <f>IF(LEFT($B61,4)="_Mil","",_xlfn.IFNA(ROUND(INDEX(Spectrum!$N:$N,MATCH(RIGHT($B61,13)&amp;"|"&amp;$C61&amp;"|"&amp;$D61&amp;"|"&amp;P$14&amp;"|"&amp;"CY2024Q3",Spectrum!$R:$R,0)),0),""))</f>
        <v>89</v>
      </c>
      <c r="Q61" s="218">
        <f>IF(LEFT($B61,4)="_Mil","",_xlfn.IFNA(ROUND(INDEX(Spectrum!$N:$N,MATCH(RIGHT($B61,13)&amp;"|"&amp;$C61&amp;"|"&amp;$D61&amp;"|"&amp;Q$14&amp;"|"&amp;"CY2024Q3",Spectrum!$R:$R,0)),0),""))</f>
        <v>56</v>
      </c>
      <c r="R61" s="38">
        <v>5793</v>
      </c>
      <c r="S61" s="33">
        <v>0</v>
      </c>
      <c r="T61" s="218">
        <f t="shared" si="29"/>
        <v>5793</v>
      </c>
      <c r="U61" s="33">
        <f t="shared" si="30"/>
        <v>0.45085220639738499</v>
      </c>
      <c r="V61" s="218">
        <f t="shared" si="31"/>
        <v>12849</v>
      </c>
      <c r="W61" s="33">
        <v>8.3999999999999995E-3</v>
      </c>
      <c r="X61" s="33">
        <f t="shared" si="32"/>
        <v>8.3999999999999995E-3</v>
      </c>
      <c r="Y61" s="231">
        <v>1.0999999999999999E-2</v>
      </c>
      <c r="Z61" s="33">
        <f t="shared" si="33"/>
        <v>4.3887147335423199E-3</v>
      </c>
      <c r="AA61" s="38">
        <f t="shared" si="34"/>
        <v>5793</v>
      </c>
      <c r="AB61" s="218">
        <f t="shared" si="35"/>
        <v>49</v>
      </c>
      <c r="AC61" s="218">
        <f t="shared" si="36"/>
        <v>25</v>
      </c>
      <c r="AD61" s="218">
        <f t="shared" si="37"/>
        <v>5719</v>
      </c>
      <c r="AE61" s="38">
        <f t="shared" si="38"/>
        <v>12849</v>
      </c>
      <c r="AF61" s="218">
        <f t="shared" si="39"/>
        <v>108</v>
      </c>
      <c r="AG61" s="218">
        <f t="shared" si="40"/>
        <v>56</v>
      </c>
      <c r="AH61" s="218">
        <f t="shared" si="41"/>
        <v>12685</v>
      </c>
      <c r="AI61" s="33">
        <f>IF(SUM($AC61)=0,"",INDEX(Cascade!$BG:$BG,MATCH($E61,Cascade!$E:$E,0)))</f>
        <v>0.95</v>
      </c>
      <c r="AJ61" s="218">
        <f t="shared" si="42"/>
        <v>49</v>
      </c>
      <c r="AK61" s="218">
        <f t="shared" si="43"/>
        <v>24</v>
      </c>
      <c r="AL61" s="218">
        <f t="shared" si="44"/>
        <v>164</v>
      </c>
      <c r="AM61" s="218">
        <f t="shared" si="45"/>
        <v>108</v>
      </c>
      <c r="AN61" s="218">
        <f t="shared" si="46"/>
        <v>53</v>
      </c>
      <c r="AO61" s="38">
        <f t="shared" si="47"/>
        <v>5719</v>
      </c>
      <c r="AP61" s="231">
        <v>4.0000000000000001E-3</v>
      </c>
      <c r="AQ61" s="33">
        <f t="shared" si="48"/>
        <v>4.0000000000000001E-3</v>
      </c>
      <c r="AR61" s="33">
        <f>IF(SUM($AO61)=0,"",INDEX(Cascade!$BG:$BG,MATCH($E61,Cascade!$E:$E,0)))</f>
        <v>0.95</v>
      </c>
      <c r="AS61" s="218">
        <f t="shared" si="49"/>
        <v>23</v>
      </c>
      <c r="AT61" s="218">
        <f t="shared" si="50"/>
        <v>5696</v>
      </c>
      <c r="AU61" s="38">
        <f t="shared" si="51"/>
        <v>22</v>
      </c>
      <c r="AV61" s="38">
        <f t="shared" si="52"/>
        <v>97</v>
      </c>
      <c r="AW61" s="38">
        <f>IFERROR(1/(1/INDEX(Cascade!$BH:$BH,MATCH($E61,Cascade!$E:$E,0))),"")</f>
        <v>98.999999999999986</v>
      </c>
      <c r="AX61" s="38">
        <f t="shared" si="53"/>
        <v>25</v>
      </c>
      <c r="AY61" s="38">
        <f t="shared" si="54"/>
        <v>23</v>
      </c>
      <c r="AZ61" s="38">
        <f>IFERROR(1/(1/INDEX(TB!$P:$P,MATCH($E61,TB!$E:$E,0))),"")</f>
        <v>1</v>
      </c>
      <c r="BA61" s="38">
        <f t="shared" si="55"/>
        <v>49.999999999999979</v>
      </c>
    </row>
    <row r="62" spans="1:53" x14ac:dyDescent="0.2">
      <c r="A62" t="str">
        <f>INDEX(Prioritization!$D:$D,MATCH($B62,Prioritization!$A:$A,0))</f>
        <v>INVALID</v>
      </c>
      <c r="B62" t="s">
        <v>300</v>
      </c>
      <c r="C62" t="s">
        <v>476</v>
      </c>
      <c r="D62" t="s">
        <v>30</v>
      </c>
      <c r="E62" t="str">
        <f t="shared" si="28"/>
        <v>Kasungu District [JQKLKuVuY61]|25-34|Female</v>
      </c>
      <c r="F62" s="38"/>
      <c r="G62" s="38"/>
      <c r="H62" s="110"/>
      <c r="I62" s="38"/>
      <c r="J62" s="33">
        <f>IF(LEFT($B62,4)="_Mil","",INDEX(Cascade!$AA:$AA,MATCH($E62,Cascade!$E:$E,0)))</f>
        <v>0.96703728800000011</v>
      </c>
      <c r="K62" s="218">
        <f>IF(LEFT($B62,4)="_Mil","",_xlfn.IFNA(ROUND(INDEX(Spectrum!$N:$N,MATCH(RIGHT($B62,13)&amp;"|"&amp;$C62&amp;"|"&amp;$D62&amp;"|"&amp;K$14&amp;"|"&amp;"CY2024Q3",Spectrum!$R:$R,0)),0),""))</f>
        <v>8242</v>
      </c>
      <c r="L62" s="218">
        <f>IF(LEFT($B62,4)="_Mil","",_xlfn.IFNA(ROUND(INDEX(Spectrum!$N:$N,MATCH(RIGHT($B62,13)&amp;"|"&amp;$C62&amp;"|"&amp;$D62&amp;"|"&amp;L$14&amp;"|"&amp;"CY2024Q3",Spectrum!$R:$R,0)),0),""))</f>
        <v>168</v>
      </c>
      <c r="M62" s="218">
        <f>IF(LEFT($B62,4)="_Mil","",_xlfn.IFNA(ROUND(INDEX(Spectrum!$N:$N,MATCH(RIGHT($B62,13)&amp;"|"&amp;$C62&amp;"|"&amp;$D62&amp;"|"&amp;M$14&amp;"|"&amp;"CY2024Q3",Spectrum!$R:$R,0)),0),""))</f>
        <v>76</v>
      </c>
      <c r="N62" s="218">
        <f>IF(LEFT($B62,4)="_Mil","",_xlfn.IFNA(ROUND(INDEX(Spectrum!$N:$N,MATCH(RIGHT($B62,13)&amp;"|"&amp;$C62&amp;"|"&amp;$D62&amp;"|"&amp;N$14&amp;"|"&amp;"CY2024Q3",Spectrum!$R:$R,0)),0),""))</f>
        <v>7998</v>
      </c>
      <c r="O62" s="218">
        <f>IF(LEFT($B62,4)="_Mil","",_xlfn.IFNA(ROUND(INDEX(Spectrum!$N:$N,MATCH(RIGHT($B62,13)&amp;"|"&amp;$C62&amp;"|"&amp;$D62&amp;"|"&amp;O$14&amp;"|"&amp;"CY2024Q3",Spectrum!$R:$R,0)),0),""))</f>
        <v>244</v>
      </c>
      <c r="P62" s="218">
        <f>IF(LEFT($B62,4)="_Mil","",_xlfn.IFNA(ROUND(INDEX(Spectrum!$N:$N,MATCH(RIGHT($B62,13)&amp;"|"&amp;$C62&amp;"|"&amp;$D62&amp;"|"&amp;P$14&amp;"|"&amp;"CY2024Q3",Spectrum!$R:$R,0)),0),""))</f>
        <v>168</v>
      </c>
      <c r="Q62" s="218">
        <f>IF(LEFT($B62,4)="_Mil","",_xlfn.IFNA(ROUND(INDEX(Spectrum!$N:$N,MATCH(RIGHT($B62,13)&amp;"|"&amp;$C62&amp;"|"&amp;$D62&amp;"|"&amp;Q$14&amp;"|"&amp;"CY2024Q3",Spectrum!$R:$R,0)),0),""))</f>
        <v>76</v>
      </c>
      <c r="R62" s="38">
        <v>9555</v>
      </c>
      <c r="S62" s="33">
        <v>0</v>
      </c>
      <c r="T62" s="218">
        <f t="shared" si="29"/>
        <v>9555</v>
      </c>
      <c r="U62" s="33">
        <f t="shared" si="30"/>
        <v>1</v>
      </c>
      <c r="V62" s="218">
        <f t="shared" si="31"/>
        <v>9555</v>
      </c>
      <c r="W62" s="33">
        <v>0.03</v>
      </c>
      <c r="X62" s="33">
        <f t="shared" si="32"/>
        <v>0.03</v>
      </c>
      <c r="Y62" s="231">
        <v>1.0999999999999999E-2</v>
      </c>
      <c r="Z62" s="33">
        <f t="shared" si="33"/>
        <v>9.4129303938568238E-3</v>
      </c>
      <c r="AA62" s="38">
        <f t="shared" si="34"/>
        <v>9555</v>
      </c>
      <c r="AB62" s="218">
        <f t="shared" si="35"/>
        <v>287</v>
      </c>
      <c r="AC62" s="218">
        <f t="shared" si="36"/>
        <v>87</v>
      </c>
      <c r="AD62" s="218">
        <f t="shared" si="37"/>
        <v>9181</v>
      </c>
      <c r="AE62" s="38">
        <f t="shared" si="38"/>
        <v>9555</v>
      </c>
      <c r="AF62" s="218">
        <f t="shared" si="39"/>
        <v>287</v>
      </c>
      <c r="AG62" s="218">
        <f t="shared" si="40"/>
        <v>87</v>
      </c>
      <c r="AH62" s="218">
        <f t="shared" si="41"/>
        <v>9181</v>
      </c>
      <c r="AI62" s="33">
        <f>IF(SUM($AC62)=0,"",INDEX(Cascade!$BG:$BG,MATCH($E62,Cascade!$E:$E,0)))</f>
        <v>0.95</v>
      </c>
      <c r="AJ62" s="218">
        <f t="shared" si="42"/>
        <v>287</v>
      </c>
      <c r="AK62" s="218">
        <f t="shared" si="43"/>
        <v>83</v>
      </c>
      <c r="AL62" s="218">
        <f t="shared" si="44"/>
        <v>374</v>
      </c>
      <c r="AM62" s="218">
        <f t="shared" si="45"/>
        <v>287</v>
      </c>
      <c r="AN62" s="218">
        <f t="shared" si="46"/>
        <v>83</v>
      </c>
      <c r="AO62" s="38">
        <f t="shared" si="47"/>
        <v>9181</v>
      </c>
      <c r="AP62" s="231">
        <v>4.0000000000000001E-3</v>
      </c>
      <c r="AQ62" s="33">
        <f t="shared" si="48"/>
        <v>4.0000000000000001E-3</v>
      </c>
      <c r="AR62" s="33">
        <f>IF(SUM($AO62)=0,"",INDEX(Cascade!$BG:$BG,MATCH($E62,Cascade!$E:$E,0)))</f>
        <v>0.95</v>
      </c>
      <c r="AS62" s="218">
        <f t="shared" si="49"/>
        <v>37</v>
      </c>
      <c r="AT62" s="218">
        <f t="shared" si="50"/>
        <v>9144</v>
      </c>
      <c r="AU62" s="38">
        <f t="shared" si="51"/>
        <v>35</v>
      </c>
      <c r="AV62" s="38">
        <f t="shared" si="52"/>
        <v>411</v>
      </c>
      <c r="AW62" s="38">
        <f>IFERROR(1/(1/INDEX(Cascade!$BH:$BH,MATCH($E62,Cascade!$E:$E,0))),"")</f>
        <v>294</v>
      </c>
      <c r="AX62" s="38">
        <f t="shared" si="53"/>
        <v>87</v>
      </c>
      <c r="AY62" s="38">
        <f t="shared" si="54"/>
        <v>37</v>
      </c>
      <c r="AZ62" s="38">
        <f>IFERROR(1/(1/INDEX(TB!$P:$P,MATCH($E62,TB!$E:$E,0))),"")</f>
        <v>1</v>
      </c>
      <c r="BA62" s="38">
        <f t="shared" si="55"/>
        <v>169</v>
      </c>
    </row>
    <row r="63" spans="1:53" x14ac:dyDescent="0.2">
      <c r="A63" t="str">
        <f>INDEX(Prioritization!$D:$D,MATCH($B63,Prioritization!$A:$A,0))</f>
        <v>INVALID</v>
      </c>
      <c r="B63" t="s">
        <v>300</v>
      </c>
      <c r="C63" t="s">
        <v>477</v>
      </c>
      <c r="D63" t="s">
        <v>30</v>
      </c>
      <c r="E63" t="str">
        <f t="shared" si="28"/>
        <v>Kasungu District [JQKLKuVuY61]|35-49|Female</v>
      </c>
      <c r="F63" s="38"/>
      <c r="G63" s="38"/>
      <c r="H63" s="110"/>
      <c r="I63" s="38"/>
      <c r="J63" s="33">
        <f>IF(LEFT($B63,4)="_Mil","",INDEX(Cascade!$AA:$AA,MATCH($E63,Cascade!$E:$E,0)))</f>
        <v>0.98367389400000016</v>
      </c>
      <c r="K63" s="218">
        <f>IF(LEFT($B63,4)="_Mil","",_xlfn.IFNA(ROUND(INDEX(Spectrum!$N:$N,MATCH(RIGHT($B63,13)&amp;"|"&amp;$C63&amp;"|"&amp;$D63&amp;"|"&amp;K$14&amp;"|"&amp;"CY2024Q3",Spectrum!$R:$R,0)),0),""))</f>
        <v>3149</v>
      </c>
      <c r="L63" s="218">
        <f>IF(LEFT($B63,4)="_Mil","",_xlfn.IFNA(ROUND(INDEX(Spectrum!$N:$N,MATCH(RIGHT($B63,13)&amp;"|"&amp;$C63&amp;"|"&amp;$D63&amp;"|"&amp;L$14&amp;"|"&amp;"CY2024Q3",Spectrum!$R:$R,0)),0),""))</f>
        <v>148</v>
      </c>
      <c r="M63" s="218">
        <f>IF(LEFT($B63,4)="_Mil","",_xlfn.IFNA(ROUND(INDEX(Spectrum!$N:$N,MATCH(RIGHT($B63,13)&amp;"|"&amp;$C63&amp;"|"&amp;$D63&amp;"|"&amp;M$14&amp;"|"&amp;"CY2024Q3",Spectrum!$R:$R,0)),0),""))</f>
        <v>23</v>
      </c>
      <c r="N63" s="218">
        <f>IF(LEFT($B63,4)="_Mil","",_xlfn.IFNA(ROUND(INDEX(Spectrum!$N:$N,MATCH(RIGHT($B63,13)&amp;"|"&amp;$C63&amp;"|"&amp;$D63&amp;"|"&amp;N$14&amp;"|"&amp;"CY2024Q3",Spectrum!$R:$R,0)),0),""))</f>
        <v>2978</v>
      </c>
      <c r="O63" s="218">
        <f>IF(LEFT($B63,4)="_Mil","",_xlfn.IFNA(ROUND(INDEX(Spectrum!$N:$N,MATCH(RIGHT($B63,13)&amp;"|"&amp;$C63&amp;"|"&amp;$D63&amp;"|"&amp;O$14&amp;"|"&amp;"CY2024Q3",Spectrum!$R:$R,0)),0),""))</f>
        <v>171</v>
      </c>
      <c r="P63" s="218">
        <f>IF(LEFT($B63,4)="_Mil","",_xlfn.IFNA(ROUND(INDEX(Spectrum!$N:$N,MATCH(RIGHT($B63,13)&amp;"|"&amp;$C63&amp;"|"&amp;$D63&amp;"|"&amp;P$14&amp;"|"&amp;"CY2024Q3",Spectrum!$R:$R,0)),0),""))</f>
        <v>148</v>
      </c>
      <c r="Q63" s="218">
        <f>IF(LEFT($B63,4)="_Mil","",_xlfn.IFNA(ROUND(INDEX(Spectrum!$N:$N,MATCH(RIGHT($B63,13)&amp;"|"&amp;$C63&amp;"|"&amp;$D63&amp;"|"&amp;Q$14&amp;"|"&amp;"CY2024Q3",Spectrum!$R:$R,0)),0),""))</f>
        <v>23</v>
      </c>
      <c r="R63" s="38">
        <v>2379</v>
      </c>
      <c r="S63" s="33">
        <v>0</v>
      </c>
      <c r="T63" s="218">
        <f t="shared" si="29"/>
        <v>2379</v>
      </c>
      <c r="U63" s="33">
        <f t="shared" si="30"/>
        <v>0.755477929501429</v>
      </c>
      <c r="V63" s="218">
        <f t="shared" si="31"/>
        <v>3149</v>
      </c>
      <c r="W63" s="33">
        <v>6.2E-2</v>
      </c>
      <c r="X63" s="33">
        <f t="shared" si="32"/>
        <v>6.2E-2</v>
      </c>
      <c r="Y63" s="231">
        <v>1.0999999999999999E-2</v>
      </c>
      <c r="Z63" s="33">
        <f t="shared" si="33"/>
        <v>7.6641119626791069E-3</v>
      </c>
      <c r="AA63" s="38">
        <f t="shared" si="34"/>
        <v>2379</v>
      </c>
      <c r="AB63" s="218">
        <f t="shared" si="35"/>
        <v>147</v>
      </c>
      <c r="AC63" s="218">
        <f t="shared" si="36"/>
        <v>17</v>
      </c>
      <c r="AD63" s="218">
        <f t="shared" si="37"/>
        <v>2215</v>
      </c>
      <c r="AE63" s="38">
        <f t="shared" si="38"/>
        <v>3149</v>
      </c>
      <c r="AF63" s="218">
        <f t="shared" si="39"/>
        <v>195</v>
      </c>
      <c r="AG63" s="218">
        <f t="shared" si="40"/>
        <v>23</v>
      </c>
      <c r="AH63" s="218">
        <f t="shared" si="41"/>
        <v>2931</v>
      </c>
      <c r="AI63" s="33">
        <f>IF(SUM($AC63)=0,"",INDEX(Cascade!$BG:$BG,MATCH($E63,Cascade!$E:$E,0)))</f>
        <v>0.95</v>
      </c>
      <c r="AJ63" s="218">
        <f t="shared" si="42"/>
        <v>147</v>
      </c>
      <c r="AK63" s="218">
        <f t="shared" si="43"/>
        <v>16</v>
      </c>
      <c r="AL63" s="218">
        <f t="shared" si="44"/>
        <v>218</v>
      </c>
      <c r="AM63" s="218">
        <f t="shared" si="45"/>
        <v>195</v>
      </c>
      <c r="AN63" s="218">
        <f t="shared" si="46"/>
        <v>22</v>
      </c>
      <c r="AO63" s="38">
        <f t="shared" si="47"/>
        <v>2215</v>
      </c>
      <c r="AP63" s="231">
        <v>4.0000000000000001E-3</v>
      </c>
      <c r="AQ63" s="33">
        <f t="shared" si="48"/>
        <v>4.0000000000000001E-3</v>
      </c>
      <c r="AR63" s="33">
        <f>IF(SUM($AO63)=0,"",INDEX(Cascade!$BG:$BG,MATCH($E63,Cascade!$E:$E,0)))</f>
        <v>0.95</v>
      </c>
      <c r="AS63" s="218">
        <f t="shared" si="49"/>
        <v>9</v>
      </c>
      <c r="AT63" s="218">
        <f t="shared" si="50"/>
        <v>2206</v>
      </c>
      <c r="AU63" s="38">
        <f t="shared" si="51"/>
        <v>9</v>
      </c>
      <c r="AV63" s="38">
        <f t="shared" si="52"/>
        <v>173</v>
      </c>
      <c r="AW63" s="38">
        <f>IFERROR(1/(1/INDEX(Cascade!$BH:$BH,MATCH($E63,Cascade!$E:$E,0))),"")</f>
        <v>118</v>
      </c>
      <c r="AX63" s="38">
        <f t="shared" si="53"/>
        <v>17</v>
      </c>
      <c r="AY63" s="38">
        <f t="shared" si="54"/>
        <v>9</v>
      </c>
      <c r="AZ63" s="38">
        <f>IFERROR(1/(1/INDEX(TB!$P:$P,MATCH($E63,TB!$E:$E,0))),"")</f>
        <v>1</v>
      </c>
      <c r="BA63" s="38">
        <f t="shared" si="55"/>
        <v>91</v>
      </c>
    </row>
    <row r="64" spans="1:53" x14ac:dyDescent="0.2">
      <c r="A64" t="str">
        <f>INDEX(Prioritization!$D:$D,MATCH($B64,Prioritization!$A:$A,0))</f>
        <v>INVALID</v>
      </c>
      <c r="B64" t="s">
        <v>300</v>
      </c>
      <c r="C64" t="s">
        <v>478</v>
      </c>
      <c r="D64" t="s">
        <v>30</v>
      </c>
      <c r="E64" t="str">
        <f t="shared" si="28"/>
        <v>Kasungu District [JQKLKuVuY61]|50+|Female</v>
      </c>
      <c r="F64" s="38"/>
      <c r="G64" s="38"/>
      <c r="H64" s="110"/>
      <c r="I64" s="38"/>
      <c r="J64" s="33">
        <f>IF(LEFT($B64,4)="_Mil","",INDEX(Cascade!$AA:$AA,MATCH($E64,Cascade!$E:$E,0)))</f>
        <v>0.98875709199999995</v>
      </c>
      <c r="K64" s="218" t="str">
        <f>IF(LEFT($B64,4)="_Mil","",_xlfn.IFNA(ROUND(INDEX(Spectrum!$N:$N,MATCH(RIGHT($B64,13)&amp;"|"&amp;$C64&amp;"|"&amp;$D64&amp;"|"&amp;K$14&amp;"|"&amp;"CY2024Q3",Spectrum!$R:$R,0)),0),""))</f>
        <v/>
      </c>
      <c r="L64" s="218" t="str">
        <f>IF(LEFT($B64,4)="_Mil","",_xlfn.IFNA(ROUND(INDEX(Spectrum!$N:$N,MATCH(RIGHT($B64,13)&amp;"|"&amp;$C64&amp;"|"&amp;$D64&amp;"|"&amp;L$14&amp;"|"&amp;"CY2024Q3",Spectrum!$R:$R,0)),0),""))</f>
        <v/>
      </c>
      <c r="M64" s="218" t="str">
        <f>IF(LEFT($B64,4)="_Mil","",_xlfn.IFNA(ROUND(INDEX(Spectrum!$N:$N,MATCH(RIGHT($B64,13)&amp;"|"&amp;$C64&amp;"|"&amp;$D64&amp;"|"&amp;M$14&amp;"|"&amp;"CY2024Q3",Spectrum!$R:$R,0)),0),""))</f>
        <v/>
      </c>
      <c r="N64" s="218" t="str">
        <f>IF(LEFT($B64,4)="_Mil","",_xlfn.IFNA(ROUND(INDEX(Spectrum!$N:$N,MATCH(RIGHT($B64,13)&amp;"|"&amp;$C64&amp;"|"&amp;$D64&amp;"|"&amp;N$14&amp;"|"&amp;"CY2024Q3",Spectrum!$R:$R,0)),0),""))</f>
        <v/>
      </c>
      <c r="O64" s="218" t="str">
        <f>IF(LEFT($B64,4)="_Mil","",_xlfn.IFNA(ROUND(INDEX(Spectrum!$N:$N,MATCH(RIGHT($B64,13)&amp;"|"&amp;$C64&amp;"|"&amp;$D64&amp;"|"&amp;O$14&amp;"|"&amp;"CY2024Q3",Spectrum!$R:$R,0)),0),""))</f>
        <v/>
      </c>
      <c r="P64" s="218" t="str">
        <f>IF(LEFT($B64,4)="_Mil","",_xlfn.IFNA(ROUND(INDEX(Spectrum!$N:$N,MATCH(RIGHT($B64,13)&amp;"|"&amp;$C64&amp;"|"&amp;$D64&amp;"|"&amp;P$14&amp;"|"&amp;"CY2024Q3",Spectrum!$R:$R,0)),0),""))</f>
        <v/>
      </c>
      <c r="Q64" s="218" t="str">
        <f>IF(LEFT($B64,4)="_Mil","",_xlfn.IFNA(ROUND(INDEX(Spectrum!$N:$N,MATCH(RIGHT($B64,13)&amp;"|"&amp;$C64&amp;"|"&amp;$D64&amp;"|"&amp;Q$14&amp;"|"&amp;"CY2024Q3",Spectrum!$R:$R,0)),0),""))</f>
        <v/>
      </c>
      <c r="R64" s="38">
        <v>12</v>
      </c>
      <c r="S64" s="33">
        <v>0</v>
      </c>
      <c r="T64" s="218">
        <f t="shared" si="29"/>
        <v>12</v>
      </c>
      <c r="U64" s="33">
        <f t="shared" si="30"/>
        <v>1</v>
      </c>
      <c r="V64" s="218">
        <f t="shared" si="31"/>
        <v>12</v>
      </c>
      <c r="W64" s="33">
        <v>6.2E-2</v>
      </c>
      <c r="X64" s="33">
        <f t="shared" si="32"/>
        <v>6.2E-2</v>
      </c>
      <c r="Y64" s="231">
        <v>1.0999999999999999E-2</v>
      </c>
      <c r="Z64" s="33">
        <f t="shared" si="33"/>
        <v>1.0999999999999999E-2</v>
      </c>
      <c r="AA64" s="38">
        <f t="shared" si="34"/>
        <v>12</v>
      </c>
      <c r="AB64" s="218">
        <f t="shared" si="35"/>
        <v>1</v>
      </c>
      <c r="AC64" s="218">
        <f t="shared" si="36"/>
        <v>0</v>
      </c>
      <c r="AD64" s="218">
        <f t="shared" si="37"/>
        <v>11</v>
      </c>
      <c r="AE64" s="38">
        <f t="shared" si="38"/>
        <v>12</v>
      </c>
      <c r="AF64" s="218">
        <f t="shared" si="39"/>
        <v>1</v>
      </c>
      <c r="AG64" s="218">
        <f t="shared" si="40"/>
        <v>0</v>
      </c>
      <c r="AH64" s="218">
        <f t="shared" si="41"/>
        <v>11</v>
      </c>
      <c r="AI64" s="33" t="str">
        <f>IF(SUM($AC64)=0,"",INDEX(Cascade!$BG:$BG,MATCH($E64,Cascade!$E:$E,0)))</f>
        <v/>
      </c>
      <c r="AJ64" s="218">
        <f t="shared" si="42"/>
        <v>1</v>
      </c>
      <c r="AK64" s="218" t="str">
        <f t="shared" si="43"/>
        <v/>
      </c>
      <c r="AL64" s="218">
        <f t="shared" si="44"/>
        <v>1</v>
      </c>
      <c r="AM64" s="218">
        <f t="shared" si="45"/>
        <v>1</v>
      </c>
      <c r="AN64" s="218" t="str">
        <f t="shared" si="46"/>
        <v/>
      </c>
      <c r="AO64" s="38">
        <f t="shared" si="47"/>
        <v>11</v>
      </c>
      <c r="AP64" s="231">
        <v>4.0000000000000001E-3</v>
      </c>
      <c r="AQ64" s="33">
        <f t="shared" si="48"/>
        <v>4.0000000000000001E-3</v>
      </c>
      <c r="AR64" s="33">
        <f>IF(SUM($AO64)=0,"",INDEX(Cascade!$BG:$BG,MATCH($E64,Cascade!$E:$E,0)))</f>
        <v>0.95</v>
      </c>
      <c r="AS64" s="218">
        <f t="shared" si="49"/>
        <v>0</v>
      </c>
      <c r="AT64" s="218">
        <f t="shared" si="50"/>
        <v>11</v>
      </c>
      <c r="AU64" s="38" t="str">
        <f t="shared" si="51"/>
        <v/>
      </c>
      <c r="AV64" s="38">
        <f t="shared" si="52"/>
        <v>1</v>
      </c>
      <c r="AW64" s="38">
        <f>IFERROR(1/(1/INDEX(Cascade!$BH:$BH,MATCH($E64,Cascade!$E:$E,0))),"")</f>
        <v>129</v>
      </c>
      <c r="AX64" s="38" t="str">
        <f t="shared" si="53"/>
        <v/>
      </c>
      <c r="AY64" s="38" t="str">
        <f t="shared" si="54"/>
        <v/>
      </c>
      <c r="AZ64" s="38" t="str">
        <f>IFERROR(1/(1/INDEX(TB!$P:$P,MATCH($E64,TB!$E:$E,0))),"")</f>
        <v/>
      </c>
      <c r="BA64" s="38">
        <f t="shared" si="55"/>
        <v>129</v>
      </c>
    </row>
    <row r="65" spans="1:53" x14ac:dyDescent="0.2">
      <c r="A65" t="str">
        <f>INDEX(Prioritization!$D:$D,MATCH($B65,Prioritization!$A:$A,0))</f>
        <v>4 - Sustained</v>
      </c>
      <c r="B65" t="s">
        <v>309</v>
      </c>
      <c r="C65" t="s">
        <v>474</v>
      </c>
      <c r="D65" t="s">
        <v>30</v>
      </c>
      <c r="E65" t="str">
        <f t="shared" si="28"/>
        <v>Likoma District [ZCjuwgaMB9u]|10-14|Female</v>
      </c>
      <c r="F65" s="38"/>
      <c r="G65" s="38"/>
      <c r="H65" s="110"/>
      <c r="I65" s="38"/>
      <c r="J65" s="33">
        <f>IF(LEFT($B65,4)="_Mil","",INDEX(Cascade!$AA:$AA,MATCH($E65,Cascade!$E:$E,0)))</f>
        <v>0.84996440100000015</v>
      </c>
      <c r="K65" s="218" t="str">
        <f>IF(LEFT($B65,4)="_Mil","",_xlfn.IFNA(ROUND(INDEX(Spectrum!$N:$N,MATCH(RIGHT($B65,13)&amp;"|"&amp;$C65&amp;"|"&amp;$D65&amp;"|"&amp;K$14&amp;"|"&amp;"CY2024Q3",Spectrum!$R:$R,0)),0),""))</f>
        <v/>
      </c>
      <c r="L65" s="218" t="str">
        <f>IF(LEFT($B65,4)="_Mil","",_xlfn.IFNA(ROUND(INDEX(Spectrum!$N:$N,MATCH(RIGHT($B65,13)&amp;"|"&amp;$C65&amp;"|"&amp;$D65&amp;"|"&amp;L$14&amp;"|"&amp;"CY2024Q3",Spectrum!$R:$R,0)),0),""))</f>
        <v/>
      </c>
      <c r="M65" s="218" t="str">
        <f>IF(LEFT($B65,4)="_Mil","",_xlfn.IFNA(ROUND(INDEX(Spectrum!$N:$N,MATCH(RIGHT($B65,13)&amp;"|"&amp;$C65&amp;"|"&amp;$D65&amp;"|"&amp;M$14&amp;"|"&amp;"CY2024Q3",Spectrum!$R:$R,0)),0),""))</f>
        <v/>
      </c>
      <c r="N65" s="218" t="str">
        <f>IF(LEFT($B65,4)="_Mil","",_xlfn.IFNA(ROUND(INDEX(Spectrum!$N:$N,MATCH(RIGHT($B65,13)&amp;"|"&amp;$C65&amp;"|"&amp;$D65&amp;"|"&amp;N$14&amp;"|"&amp;"CY2024Q3",Spectrum!$R:$R,0)),0),""))</f>
        <v/>
      </c>
      <c r="O65" s="218" t="str">
        <f>IF(LEFT($B65,4)="_Mil","",_xlfn.IFNA(ROUND(INDEX(Spectrum!$N:$N,MATCH(RIGHT($B65,13)&amp;"|"&amp;$C65&amp;"|"&amp;$D65&amp;"|"&amp;O$14&amp;"|"&amp;"CY2024Q3",Spectrum!$R:$R,0)),0),""))</f>
        <v/>
      </c>
      <c r="P65" s="218" t="str">
        <f>IF(LEFT($B65,4)="_Mil","",_xlfn.IFNA(ROUND(INDEX(Spectrum!$N:$N,MATCH(RIGHT($B65,13)&amp;"|"&amp;$C65&amp;"|"&amp;$D65&amp;"|"&amp;P$14&amp;"|"&amp;"CY2024Q3",Spectrum!$R:$R,0)),0),""))</f>
        <v/>
      </c>
      <c r="Q65" s="218" t="str">
        <f>IF(LEFT($B65,4)="_Mil","",_xlfn.IFNA(ROUND(INDEX(Spectrum!$N:$N,MATCH(RIGHT($B65,13)&amp;"|"&amp;$C65&amp;"|"&amp;$D65&amp;"|"&amp;Q$14&amp;"|"&amp;"CY2024Q3",Spectrum!$R:$R,0)),0),""))</f>
        <v/>
      </c>
      <c r="R65" s="38">
        <v>2</v>
      </c>
      <c r="S65" s="33">
        <v>0</v>
      </c>
      <c r="T65" s="218">
        <f t="shared" si="29"/>
        <v>2</v>
      </c>
      <c r="U65" s="33">
        <f t="shared" si="30"/>
        <v>1</v>
      </c>
      <c r="V65" s="218">
        <f t="shared" si="31"/>
        <v>2</v>
      </c>
      <c r="W65" s="33">
        <v>2.3E-2</v>
      </c>
      <c r="X65" s="33">
        <f t="shared" si="32"/>
        <v>2.3E-2</v>
      </c>
      <c r="Y65" s="231">
        <v>1.0999999999999999E-2</v>
      </c>
      <c r="Z65" s="33">
        <f t="shared" si="33"/>
        <v>1.0999999999999999E-2</v>
      </c>
      <c r="AA65" s="38">
        <f t="shared" si="34"/>
        <v>2</v>
      </c>
      <c r="AB65" s="218">
        <f t="shared" si="35"/>
        <v>0</v>
      </c>
      <c r="AC65" s="218">
        <f t="shared" si="36"/>
        <v>0</v>
      </c>
      <c r="AD65" s="218">
        <f t="shared" si="37"/>
        <v>2</v>
      </c>
      <c r="AE65" s="38">
        <f t="shared" si="38"/>
        <v>2</v>
      </c>
      <c r="AF65" s="218">
        <f t="shared" si="39"/>
        <v>0</v>
      </c>
      <c r="AG65" s="218">
        <f t="shared" si="40"/>
        <v>0</v>
      </c>
      <c r="AH65" s="218">
        <f t="shared" si="41"/>
        <v>2</v>
      </c>
      <c r="AI65" s="33" t="str">
        <f>IF(SUM($AC65)=0,"",INDEX(Cascade!$BG:$BG,MATCH($E65,Cascade!$E:$E,0)))</f>
        <v/>
      </c>
      <c r="AJ65" s="218">
        <f t="shared" si="42"/>
        <v>0</v>
      </c>
      <c r="AK65" s="218" t="str">
        <f t="shared" si="43"/>
        <v/>
      </c>
      <c r="AL65" s="218" t="str">
        <f t="shared" si="44"/>
        <v/>
      </c>
      <c r="AM65" s="218">
        <f t="shared" si="45"/>
        <v>0</v>
      </c>
      <c r="AN65" s="218" t="str">
        <f t="shared" si="46"/>
        <v/>
      </c>
      <c r="AO65" s="38">
        <f t="shared" si="47"/>
        <v>2</v>
      </c>
      <c r="AP65" s="231">
        <v>4.0000000000000001E-3</v>
      </c>
      <c r="AQ65" s="33">
        <f t="shared" si="48"/>
        <v>4.0000000000000001E-3</v>
      </c>
      <c r="AR65" s="33">
        <f>IF(SUM($AO65)=0,"",INDEX(Cascade!$BG:$BG,MATCH($E65,Cascade!$E:$E,0)))</f>
        <v>0.95</v>
      </c>
      <c r="AS65" s="218">
        <f t="shared" si="49"/>
        <v>0</v>
      </c>
      <c r="AT65" s="218">
        <f t="shared" si="50"/>
        <v>2</v>
      </c>
      <c r="AU65" s="38" t="str">
        <f t="shared" si="51"/>
        <v/>
      </c>
      <c r="AV65" s="38" t="str">
        <f t="shared" si="52"/>
        <v/>
      </c>
      <c r="AW65" s="38">
        <f>IFERROR(1/(1/INDEX(Cascade!$BH:$BH,MATCH($E65,Cascade!$E:$E,0))),"")</f>
        <v>2</v>
      </c>
      <c r="AX65" s="38" t="str">
        <f t="shared" si="53"/>
        <v/>
      </c>
      <c r="AY65" s="38" t="str">
        <f t="shared" si="54"/>
        <v/>
      </c>
      <c r="AZ65" s="38" t="str">
        <f>IFERROR(1/(1/INDEX(TB!$P:$P,MATCH($E65,TB!$E:$E,0))),"")</f>
        <v/>
      </c>
      <c r="BA65" s="38">
        <f t="shared" si="55"/>
        <v>2</v>
      </c>
    </row>
    <row r="66" spans="1:53" x14ac:dyDescent="0.2">
      <c r="A66" t="str">
        <f>INDEX(Prioritization!$D:$D,MATCH($B66,Prioritization!$A:$A,0))</f>
        <v>4 - Sustained</v>
      </c>
      <c r="B66" t="s">
        <v>309</v>
      </c>
      <c r="C66" t="s">
        <v>475</v>
      </c>
      <c r="D66" t="s">
        <v>30</v>
      </c>
      <c r="E66" t="str">
        <f t="shared" si="28"/>
        <v>Likoma District [ZCjuwgaMB9u]|15-24|Female</v>
      </c>
      <c r="F66" s="38"/>
      <c r="G66" s="38"/>
      <c r="H66" s="110"/>
      <c r="I66" s="38"/>
      <c r="J66" s="33">
        <f>IF(LEFT($B66,4)="_Mil","",INDEX(Cascade!$AA:$AA,MATCH($E66,Cascade!$E:$E,0)))</f>
        <v>0.93601061799999996</v>
      </c>
      <c r="K66" s="218">
        <f>IF(LEFT($B66,4)="_Mil","",_xlfn.IFNA(ROUND(INDEX(Spectrum!$N:$N,MATCH(RIGHT($B66,13)&amp;"|"&amp;$C66&amp;"|"&amp;$D66&amp;"|"&amp;K$14&amp;"|"&amp;"CY2024Q3",Spectrum!$R:$R,0)),0),""))</f>
        <v>326</v>
      </c>
      <c r="L66" s="218">
        <f>IF(LEFT($B66,4)="_Mil","",_xlfn.IFNA(ROUND(INDEX(Spectrum!$N:$N,MATCH(RIGHT($B66,13)&amp;"|"&amp;$C66&amp;"|"&amp;$D66&amp;"|"&amp;L$14&amp;"|"&amp;"CY2024Q3",Spectrum!$R:$R,0)),0),""))</f>
        <v>4</v>
      </c>
      <c r="M66" s="218">
        <f>IF(LEFT($B66,4)="_Mil","",_xlfn.IFNA(ROUND(INDEX(Spectrum!$N:$N,MATCH(RIGHT($B66,13)&amp;"|"&amp;$C66&amp;"|"&amp;$D66&amp;"|"&amp;M$14&amp;"|"&amp;"CY2024Q3",Spectrum!$R:$R,0)),0),""))</f>
        <v>3</v>
      </c>
      <c r="N66" s="218">
        <f>IF(LEFT($B66,4)="_Mil","",_xlfn.IFNA(ROUND(INDEX(Spectrum!$N:$N,MATCH(RIGHT($B66,13)&amp;"|"&amp;$C66&amp;"|"&amp;$D66&amp;"|"&amp;N$14&amp;"|"&amp;"CY2024Q3",Spectrum!$R:$R,0)),0),""))</f>
        <v>319</v>
      </c>
      <c r="O66" s="218">
        <f>IF(LEFT($B66,4)="_Mil","",_xlfn.IFNA(ROUND(INDEX(Spectrum!$N:$N,MATCH(RIGHT($B66,13)&amp;"|"&amp;$C66&amp;"|"&amp;$D66&amp;"|"&amp;O$14&amp;"|"&amp;"CY2024Q3",Spectrum!$R:$R,0)),0),""))</f>
        <v>7</v>
      </c>
      <c r="P66" s="218">
        <f>IF(LEFT($B66,4)="_Mil","",_xlfn.IFNA(ROUND(INDEX(Spectrum!$N:$N,MATCH(RIGHT($B66,13)&amp;"|"&amp;$C66&amp;"|"&amp;$D66&amp;"|"&amp;P$14&amp;"|"&amp;"CY2024Q3",Spectrum!$R:$R,0)),0),""))</f>
        <v>4</v>
      </c>
      <c r="Q66" s="218">
        <f>IF(LEFT($B66,4)="_Mil","",_xlfn.IFNA(ROUND(INDEX(Spectrum!$N:$N,MATCH(RIGHT($B66,13)&amp;"|"&amp;$C66&amp;"|"&amp;$D66&amp;"|"&amp;Q$14&amp;"|"&amp;"CY2024Q3",Spectrum!$R:$R,0)),0),""))</f>
        <v>3</v>
      </c>
      <c r="R66" s="38">
        <v>376</v>
      </c>
      <c r="S66" s="33">
        <v>0</v>
      </c>
      <c r="T66" s="218">
        <f t="shared" si="29"/>
        <v>376</v>
      </c>
      <c r="U66" s="33">
        <f t="shared" si="30"/>
        <v>1</v>
      </c>
      <c r="V66" s="218">
        <f t="shared" si="31"/>
        <v>376</v>
      </c>
      <c r="W66" s="33">
        <v>1.4E-2</v>
      </c>
      <c r="X66" s="33">
        <f t="shared" si="32"/>
        <v>1.4E-2</v>
      </c>
      <c r="Y66" s="231">
        <v>1.0999999999999999E-2</v>
      </c>
      <c r="Z66" s="33">
        <f t="shared" si="33"/>
        <v>9.316770186335404E-3</v>
      </c>
      <c r="AA66" s="38">
        <f t="shared" si="34"/>
        <v>376</v>
      </c>
      <c r="AB66" s="218">
        <f t="shared" si="35"/>
        <v>5</v>
      </c>
      <c r="AC66" s="218">
        <f t="shared" si="36"/>
        <v>3</v>
      </c>
      <c r="AD66" s="218">
        <f t="shared" si="37"/>
        <v>368</v>
      </c>
      <c r="AE66" s="38">
        <f t="shared" si="38"/>
        <v>376</v>
      </c>
      <c r="AF66" s="218">
        <f t="shared" si="39"/>
        <v>5</v>
      </c>
      <c r="AG66" s="218">
        <f t="shared" si="40"/>
        <v>3</v>
      </c>
      <c r="AH66" s="218">
        <f t="shared" si="41"/>
        <v>368</v>
      </c>
      <c r="AI66" s="33">
        <f>IF(SUM($AC66)=0,"",INDEX(Cascade!$BG:$BG,MATCH($E66,Cascade!$E:$E,0)))</f>
        <v>0.95</v>
      </c>
      <c r="AJ66" s="218">
        <f t="shared" si="42"/>
        <v>5</v>
      </c>
      <c r="AK66" s="218">
        <f t="shared" si="43"/>
        <v>3</v>
      </c>
      <c r="AL66" s="218">
        <f t="shared" si="44"/>
        <v>8</v>
      </c>
      <c r="AM66" s="218">
        <f t="shared" si="45"/>
        <v>5</v>
      </c>
      <c r="AN66" s="218">
        <f t="shared" si="46"/>
        <v>3</v>
      </c>
      <c r="AO66" s="38">
        <f t="shared" si="47"/>
        <v>368</v>
      </c>
      <c r="AP66" s="231">
        <v>4.0000000000000001E-3</v>
      </c>
      <c r="AQ66" s="33">
        <f t="shared" si="48"/>
        <v>4.0000000000000001E-3</v>
      </c>
      <c r="AR66" s="33">
        <f>IF(SUM($AO66)=0,"",INDEX(Cascade!$BG:$BG,MATCH($E66,Cascade!$E:$E,0)))</f>
        <v>0.95</v>
      </c>
      <c r="AS66" s="218">
        <f t="shared" si="49"/>
        <v>1</v>
      </c>
      <c r="AT66" s="218">
        <f t="shared" si="50"/>
        <v>367</v>
      </c>
      <c r="AU66" s="38">
        <f t="shared" si="51"/>
        <v>1</v>
      </c>
      <c r="AV66" s="38">
        <f t="shared" si="52"/>
        <v>9</v>
      </c>
      <c r="AW66" s="38">
        <f>IFERROR(1/(1/INDEX(Cascade!$BH:$BH,MATCH($E66,Cascade!$E:$E,0))),"")</f>
        <v>15</v>
      </c>
      <c r="AX66" s="38">
        <f t="shared" si="53"/>
        <v>3</v>
      </c>
      <c r="AY66" s="38">
        <f t="shared" si="54"/>
        <v>1</v>
      </c>
      <c r="AZ66" s="38" t="str">
        <f>IFERROR(1/(1/INDEX(TB!$P:$P,MATCH($E66,TB!$E:$E,0))),"")</f>
        <v/>
      </c>
      <c r="BA66" s="38">
        <f t="shared" si="55"/>
        <v>11</v>
      </c>
    </row>
    <row r="67" spans="1:53" x14ac:dyDescent="0.2">
      <c r="A67" t="str">
        <f>INDEX(Prioritization!$D:$D,MATCH($B67,Prioritization!$A:$A,0))</f>
        <v>4 - Sustained</v>
      </c>
      <c r="B67" t="s">
        <v>309</v>
      </c>
      <c r="C67" t="s">
        <v>476</v>
      </c>
      <c r="D67" t="s">
        <v>30</v>
      </c>
      <c r="E67" t="str">
        <f t="shared" si="28"/>
        <v>Likoma District [ZCjuwgaMB9u]|25-34|Female</v>
      </c>
      <c r="F67" s="38"/>
      <c r="G67" s="38"/>
      <c r="H67" s="110"/>
      <c r="I67" s="38"/>
      <c r="J67" s="33">
        <f>IF(LEFT($B67,4)="_Mil","",INDEX(Cascade!$AA:$AA,MATCH($E67,Cascade!$E:$E,0)))</f>
        <v>0.96611167100000006</v>
      </c>
      <c r="K67" s="218">
        <f>IF(LEFT($B67,4)="_Mil","",_xlfn.IFNA(ROUND(INDEX(Spectrum!$N:$N,MATCH(RIGHT($B67,13)&amp;"|"&amp;$C67&amp;"|"&amp;$D67&amp;"|"&amp;K$14&amp;"|"&amp;"CY2024Q3",Spectrum!$R:$R,0)),0),""))</f>
        <v>237</v>
      </c>
      <c r="L67" s="218">
        <f>IF(LEFT($B67,4)="_Mil","",_xlfn.IFNA(ROUND(INDEX(Spectrum!$N:$N,MATCH(RIGHT($B67,13)&amp;"|"&amp;$C67&amp;"|"&amp;$D67&amp;"|"&amp;L$14&amp;"|"&amp;"CY2024Q3",Spectrum!$R:$R,0)),0),""))</f>
        <v>9</v>
      </c>
      <c r="M67" s="218">
        <f>IF(LEFT($B67,4)="_Mil","",_xlfn.IFNA(ROUND(INDEX(Spectrum!$N:$N,MATCH(RIGHT($B67,13)&amp;"|"&amp;$C67&amp;"|"&amp;$D67&amp;"|"&amp;M$14&amp;"|"&amp;"CY2024Q3",Spectrum!$R:$R,0)),0),""))</f>
        <v>4</v>
      </c>
      <c r="N67" s="218">
        <f>IF(LEFT($B67,4)="_Mil","",_xlfn.IFNA(ROUND(INDEX(Spectrum!$N:$N,MATCH(RIGHT($B67,13)&amp;"|"&amp;$C67&amp;"|"&amp;$D67&amp;"|"&amp;N$14&amp;"|"&amp;"CY2024Q3",Spectrum!$R:$R,0)),0),""))</f>
        <v>223</v>
      </c>
      <c r="O67" s="218">
        <f>IF(LEFT($B67,4)="_Mil","",_xlfn.IFNA(ROUND(INDEX(Spectrum!$N:$N,MATCH(RIGHT($B67,13)&amp;"|"&amp;$C67&amp;"|"&amp;$D67&amp;"|"&amp;O$14&amp;"|"&amp;"CY2024Q3",Spectrum!$R:$R,0)),0),""))</f>
        <v>13</v>
      </c>
      <c r="P67" s="218">
        <f>IF(LEFT($B67,4)="_Mil","",_xlfn.IFNA(ROUND(INDEX(Spectrum!$N:$N,MATCH(RIGHT($B67,13)&amp;"|"&amp;$C67&amp;"|"&amp;$D67&amp;"|"&amp;P$14&amp;"|"&amp;"CY2024Q3",Spectrum!$R:$R,0)),0),""))</f>
        <v>9</v>
      </c>
      <c r="Q67" s="218">
        <f>IF(LEFT($B67,4)="_Mil","",_xlfn.IFNA(ROUND(INDEX(Spectrum!$N:$N,MATCH(RIGHT($B67,13)&amp;"|"&amp;$C67&amp;"|"&amp;$D67&amp;"|"&amp;Q$14&amp;"|"&amp;"CY2024Q3",Spectrum!$R:$R,0)),0),""))</f>
        <v>4</v>
      </c>
      <c r="R67" s="38">
        <v>253</v>
      </c>
      <c r="S67" s="33">
        <v>0</v>
      </c>
      <c r="T67" s="218">
        <f t="shared" si="29"/>
        <v>253</v>
      </c>
      <c r="U67" s="33">
        <f t="shared" si="30"/>
        <v>1</v>
      </c>
      <c r="V67" s="218">
        <f t="shared" si="31"/>
        <v>253</v>
      </c>
      <c r="W67" s="33">
        <v>5.2999999999999999E-2</v>
      </c>
      <c r="X67" s="33">
        <f t="shared" si="32"/>
        <v>5.2999999999999999E-2</v>
      </c>
      <c r="Y67" s="231">
        <v>1.0999999999999999E-2</v>
      </c>
      <c r="Z67" s="33">
        <f t="shared" si="33"/>
        <v>1.0999999999999999E-2</v>
      </c>
      <c r="AA67" s="38">
        <f t="shared" si="34"/>
        <v>253</v>
      </c>
      <c r="AB67" s="218">
        <f t="shared" si="35"/>
        <v>13</v>
      </c>
      <c r="AC67" s="218">
        <f t="shared" si="36"/>
        <v>3</v>
      </c>
      <c r="AD67" s="218">
        <f t="shared" si="37"/>
        <v>237</v>
      </c>
      <c r="AE67" s="38">
        <f t="shared" si="38"/>
        <v>253</v>
      </c>
      <c r="AF67" s="218">
        <f t="shared" si="39"/>
        <v>13</v>
      </c>
      <c r="AG67" s="218">
        <f t="shared" si="40"/>
        <v>3</v>
      </c>
      <c r="AH67" s="218">
        <f t="shared" si="41"/>
        <v>237</v>
      </c>
      <c r="AI67" s="33">
        <f>IF(SUM($AC67)=0,"",INDEX(Cascade!$BG:$BG,MATCH($E67,Cascade!$E:$E,0)))</f>
        <v>0.95</v>
      </c>
      <c r="AJ67" s="218">
        <f t="shared" si="42"/>
        <v>13</v>
      </c>
      <c r="AK67" s="218">
        <f t="shared" si="43"/>
        <v>3</v>
      </c>
      <c r="AL67" s="218">
        <f t="shared" si="44"/>
        <v>16</v>
      </c>
      <c r="AM67" s="218">
        <f t="shared" si="45"/>
        <v>13</v>
      </c>
      <c r="AN67" s="218">
        <f t="shared" si="46"/>
        <v>3</v>
      </c>
      <c r="AO67" s="38">
        <f t="shared" si="47"/>
        <v>237.00000000000003</v>
      </c>
      <c r="AP67" s="231">
        <v>4.0000000000000001E-3</v>
      </c>
      <c r="AQ67" s="33">
        <f t="shared" si="48"/>
        <v>4.0000000000000001E-3</v>
      </c>
      <c r="AR67" s="33">
        <f>IF(SUM($AO67)=0,"",INDEX(Cascade!$BG:$BG,MATCH($E67,Cascade!$E:$E,0)))</f>
        <v>0.95</v>
      </c>
      <c r="AS67" s="218">
        <f t="shared" si="49"/>
        <v>1</v>
      </c>
      <c r="AT67" s="218">
        <f t="shared" si="50"/>
        <v>236.00000000000003</v>
      </c>
      <c r="AU67" s="38">
        <f t="shared" si="51"/>
        <v>1</v>
      </c>
      <c r="AV67" s="38">
        <f t="shared" si="52"/>
        <v>17</v>
      </c>
      <c r="AW67" s="38">
        <f>IFERROR(1/(1/INDEX(Cascade!$BH:$BH,MATCH($E67,Cascade!$E:$E,0))),"")</f>
        <v>11</v>
      </c>
      <c r="AX67" s="38">
        <f t="shared" si="53"/>
        <v>3</v>
      </c>
      <c r="AY67" s="38">
        <f t="shared" si="54"/>
        <v>1</v>
      </c>
      <c r="AZ67" s="38" t="str">
        <f>IFERROR(1/(1/INDEX(TB!$P:$P,MATCH($E67,TB!$E:$E,0))),"")</f>
        <v/>
      </c>
      <c r="BA67" s="38">
        <f t="shared" si="55"/>
        <v>7</v>
      </c>
    </row>
    <row r="68" spans="1:53" x14ac:dyDescent="0.2">
      <c r="A68" t="str">
        <f>INDEX(Prioritization!$D:$D,MATCH($B68,Prioritization!$A:$A,0))</f>
        <v>4 - Sustained</v>
      </c>
      <c r="B68" t="s">
        <v>309</v>
      </c>
      <c r="C68" t="s">
        <v>477</v>
      </c>
      <c r="D68" t="s">
        <v>30</v>
      </c>
      <c r="E68" t="str">
        <f t="shared" si="28"/>
        <v>Likoma District [ZCjuwgaMB9u]|35-49|Female</v>
      </c>
      <c r="F68" s="38"/>
      <c r="G68" s="38"/>
      <c r="H68" s="110"/>
      <c r="I68" s="38"/>
      <c r="J68" s="33">
        <f>IF(LEFT($B68,4)="_Mil","",INDEX(Cascade!$AA:$AA,MATCH($E68,Cascade!$E:$E,0)))</f>
        <v>0.98295734500000009</v>
      </c>
      <c r="K68" s="218">
        <f>IF(LEFT($B68,4)="_Mil","",_xlfn.IFNA(ROUND(INDEX(Spectrum!$N:$N,MATCH(RIGHT($B68,13)&amp;"|"&amp;$C68&amp;"|"&amp;$D68&amp;"|"&amp;K$14&amp;"|"&amp;"CY2024Q3",Spectrum!$R:$R,0)),0),""))</f>
        <v>88</v>
      </c>
      <c r="L68" s="218">
        <f>IF(LEFT($B68,4)="_Mil","",_xlfn.IFNA(ROUND(INDEX(Spectrum!$N:$N,MATCH(RIGHT($B68,13)&amp;"|"&amp;$C68&amp;"|"&amp;$D68&amp;"|"&amp;L$14&amp;"|"&amp;"CY2024Q3",Spectrum!$R:$R,0)),0),""))</f>
        <v>8</v>
      </c>
      <c r="M68" s="218">
        <f>IF(LEFT($B68,4)="_Mil","",_xlfn.IFNA(ROUND(INDEX(Spectrum!$N:$N,MATCH(RIGHT($B68,13)&amp;"|"&amp;$C68&amp;"|"&amp;$D68&amp;"|"&amp;M$14&amp;"|"&amp;"CY2024Q3",Spectrum!$R:$R,0)),0),""))</f>
        <v>1</v>
      </c>
      <c r="N68" s="218">
        <f>IF(LEFT($B68,4)="_Mil","",_xlfn.IFNA(ROUND(INDEX(Spectrum!$N:$N,MATCH(RIGHT($B68,13)&amp;"|"&amp;$C68&amp;"|"&amp;$D68&amp;"|"&amp;N$14&amp;"|"&amp;"CY2024Q3",Spectrum!$R:$R,0)),0),""))</f>
        <v>79</v>
      </c>
      <c r="O68" s="218">
        <f>IF(LEFT($B68,4)="_Mil","",_xlfn.IFNA(ROUND(INDEX(Spectrum!$N:$N,MATCH(RIGHT($B68,13)&amp;"|"&amp;$C68&amp;"|"&amp;$D68&amp;"|"&amp;O$14&amp;"|"&amp;"CY2024Q3",Spectrum!$R:$R,0)),0),""))</f>
        <v>9</v>
      </c>
      <c r="P68" s="218">
        <f>IF(LEFT($B68,4)="_Mil","",_xlfn.IFNA(ROUND(INDEX(Spectrum!$N:$N,MATCH(RIGHT($B68,13)&amp;"|"&amp;$C68&amp;"|"&amp;$D68&amp;"|"&amp;P$14&amp;"|"&amp;"CY2024Q3",Spectrum!$R:$R,0)),0),""))</f>
        <v>8</v>
      </c>
      <c r="Q68" s="218">
        <f>IF(LEFT($B68,4)="_Mil","",_xlfn.IFNA(ROUND(INDEX(Spectrum!$N:$N,MATCH(RIGHT($B68,13)&amp;"|"&amp;$C68&amp;"|"&amp;$D68&amp;"|"&amp;Q$14&amp;"|"&amp;"CY2024Q3",Spectrum!$R:$R,0)),0),""))</f>
        <v>1</v>
      </c>
      <c r="R68" s="38">
        <v>59</v>
      </c>
      <c r="S68" s="33">
        <v>0</v>
      </c>
      <c r="T68" s="218">
        <f t="shared" si="29"/>
        <v>59</v>
      </c>
      <c r="U68" s="33">
        <f t="shared" si="30"/>
        <v>0.67045454545454541</v>
      </c>
      <c r="V68" s="218">
        <f t="shared" si="31"/>
        <v>88</v>
      </c>
      <c r="W68" s="33">
        <v>9.2999999999999999E-2</v>
      </c>
      <c r="X68" s="33">
        <f t="shared" si="32"/>
        <v>9.2999999999999999E-2</v>
      </c>
      <c r="Y68" s="231">
        <v>1.0999999999999999E-2</v>
      </c>
      <c r="Z68" s="33">
        <f t="shared" si="33"/>
        <v>1.0999999999999999E-2</v>
      </c>
      <c r="AA68" s="38">
        <f t="shared" si="34"/>
        <v>59</v>
      </c>
      <c r="AB68" s="218">
        <f t="shared" si="35"/>
        <v>5</v>
      </c>
      <c r="AC68" s="218">
        <f t="shared" si="36"/>
        <v>1</v>
      </c>
      <c r="AD68" s="218">
        <f t="shared" si="37"/>
        <v>53</v>
      </c>
      <c r="AE68" s="38">
        <f t="shared" si="38"/>
        <v>88</v>
      </c>
      <c r="AF68" s="218">
        <f t="shared" si="39"/>
        <v>8</v>
      </c>
      <c r="AG68" s="218">
        <f t="shared" si="40"/>
        <v>1</v>
      </c>
      <c r="AH68" s="218">
        <f t="shared" si="41"/>
        <v>79</v>
      </c>
      <c r="AI68" s="33">
        <f>IF(SUM($AC68)=0,"",INDEX(Cascade!$BG:$BG,MATCH($E68,Cascade!$E:$E,0)))</f>
        <v>0.95</v>
      </c>
      <c r="AJ68" s="218">
        <f t="shared" si="42"/>
        <v>5</v>
      </c>
      <c r="AK68" s="218">
        <f t="shared" si="43"/>
        <v>1</v>
      </c>
      <c r="AL68" s="218">
        <f t="shared" si="44"/>
        <v>9</v>
      </c>
      <c r="AM68" s="218">
        <f t="shared" si="45"/>
        <v>8</v>
      </c>
      <c r="AN68" s="218">
        <f t="shared" si="46"/>
        <v>1</v>
      </c>
      <c r="AO68" s="38">
        <f t="shared" si="47"/>
        <v>53</v>
      </c>
      <c r="AP68" s="231">
        <v>4.0000000000000001E-3</v>
      </c>
      <c r="AQ68" s="33">
        <f t="shared" si="48"/>
        <v>4.0000000000000001E-3</v>
      </c>
      <c r="AR68" s="33">
        <f>IF(SUM($AO68)=0,"",INDEX(Cascade!$BG:$BG,MATCH($E68,Cascade!$E:$E,0)))</f>
        <v>0.95</v>
      </c>
      <c r="AS68" s="218">
        <f t="shared" si="49"/>
        <v>0</v>
      </c>
      <c r="AT68" s="218">
        <f t="shared" si="50"/>
        <v>53</v>
      </c>
      <c r="AU68" s="38" t="str">
        <f t="shared" si="51"/>
        <v/>
      </c>
      <c r="AV68" s="38">
        <f t="shared" si="52"/>
        <v>6</v>
      </c>
      <c r="AW68" s="38">
        <f>IFERROR(1/(1/INDEX(Cascade!$BH:$BH,MATCH($E68,Cascade!$E:$E,0))),"")</f>
        <v>25</v>
      </c>
      <c r="AX68" s="38">
        <f t="shared" si="53"/>
        <v>1</v>
      </c>
      <c r="AY68" s="38" t="str">
        <f t="shared" si="54"/>
        <v/>
      </c>
      <c r="AZ68" s="38" t="str">
        <f>IFERROR(1/(1/INDEX(TB!$P:$P,MATCH($E68,TB!$E:$E,0))),"")</f>
        <v/>
      </c>
      <c r="BA68" s="38">
        <f t="shared" si="55"/>
        <v>24</v>
      </c>
    </row>
    <row r="69" spans="1:53" x14ac:dyDescent="0.2">
      <c r="A69" t="str">
        <f>INDEX(Prioritization!$D:$D,MATCH($B69,Prioritization!$A:$A,0))</f>
        <v>4 - Sustained</v>
      </c>
      <c r="B69" t="s">
        <v>309</v>
      </c>
      <c r="C69" t="s">
        <v>478</v>
      </c>
      <c r="D69" t="s">
        <v>30</v>
      </c>
      <c r="E69" t="str">
        <f t="shared" si="28"/>
        <v>Likoma District [ZCjuwgaMB9u]|50+|Female</v>
      </c>
      <c r="F69" s="38">
        <f>IF(LEFT($B69,4)="_Mil","",INDEX(Cascade!$T:$T,MATCH($E69,Cascade!$E:$E,0)))</f>
        <v>835</v>
      </c>
      <c r="G69" s="38">
        <f>IF(LEFT($B69,4)="_Mil","",INDEX(Cascade!$U:$U,MATCH($E69,Cascade!$E:$E,0)))</f>
        <v>127</v>
      </c>
      <c r="H69" s="110">
        <f>IF(LEFT($B69,4)="_Mil","",INDEX(Cascade!$W:$W,MATCH($E69,Cascade!$E:$E,0)))</f>
        <v>0.15204709799999999</v>
      </c>
      <c r="I69" s="38">
        <f>IF(LEFT($B69,4)="_Mil","",INDEX(Cascade!$Z:$Z,MATCH($E69,Cascade!$E:$E,0)))</f>
        <v>125</v>
      </c>
      <c r="J69" s="33">
        <f>IF(LEFT($B69,4)="_Mil","",INDEX(Cascade!$AA:$AA,MATCH($E69,Cascade!$E:$E,0)))</f>
        <v>0.98839737000000016</v>
      </c>
      <c r="K69" s="218" t="str">
        <f>IF(LEFT($B69,4)="_Mil","",_xlfn.IFNA(ROUND(INDEX(Spectrum!$N:$N,MATCH(RIGHT($B69,13)&amp;"|"&amp;$C69&amp;"|"&amp;$D69&amp;"|"&amp;K$14&amp;"|"&amp;"CY2024Q3",Spectrum!$R:$R,0)),0),""))</f>
        <v/>
      </c>
      <c r="L69" s="218" t="str">
        <f>IF(LEFT($B69,4)="_Mil","",_xlfn.IFNA(ROUND(INDEX(Spectrum!$N:$N,MATCH(RIGHT($B69,13)&amp;"|"&amp;$C69&amp;"|"&amp;$D69&amp;"|"&amp;L$14&amp;"|"&amp;"CY2024Q3",Spectrum!$R:$R,0)),0),""))</f>
        <v/>
      </c>
      <c r="M69" s="218" t="str">
        <f>IF(LEFT($B69,4)="_Mil","",_xlfn.IFNA(ROUND(INDEX(Spectrum!$N:$N,MATCH(RIGHT($B69,13)&amp;"|"&amp;$C69&amp;"|"&amp;$D69&amp;"|"&amp;M$14&amp;"|"&amp;"CY2024Q3",Spectrum!$R:$R,0)),0),""))</f>
        <v/>
      </c>
      <c r="N69" s="218" t="str">
        <f>IF(LEFT($B69,4)="_Mil","",_xlfn.IFNA(ROUND(INDEX(Spectrum!$N:$N,MATCH(RIGHT($B69,13)&amp;"|"&amp;$C69&amp;"|"&amp;$D69&amp;"|"&amp;N$14&amp;"|"&amp;"CY2024Q3",Spectrum!$R:$R,0)),0),""))</f>
        <v/>
      </c>
      <c r="O69" s="218" t="str">
        <f>IF(LEFT($B69,4)="_Mil","",_xlfn.IFNA(ROUND(INDEX(Spectrum!$N:$N,MATCH(RIGHT($B69,13)&amp;"|"&amp;$C69&amp;"|"&amp;$D69&amp;"|"&amp;O$14&amp;"|"&amp;"CY2024Q3",Spectrum!$R:$R,0)),0),""))</f>
        <v/>
      </c>
      <c r="P69" s="218" t="str">
        <f>IF(LEFT($B69,4)="_Mil","",_xlfn.IFNA(ROUND(INDEX(Spectrum!$N:$N,MATCH(RIGHT($B69,13)&amp;"|"&amp;$C69&amp;"|"&amp;$D69&amp;"|"&amp;P$14&amp;"|"&amp;"CY2024Q3",Spectrum!$R:$R,0)),0),""))</f>
        <v/>
      </c>
      <c r="Q69" s="218" t="str">
        <f>IF(LEFT($B69,4)="_Mil","",_xlfn.IFNA(ROUND(INDEX(Spectrum!$N:$N,MATCH(RIGHT($B69,13)&amp;"|"&amp;$C69&amp;"|"&amp;$D69&amp;"|"&amp;Q$14&amp;"|"&amp;"CY2024Q3",Spectrum!$R:$R,0)),0),""))</f>
        <v/>
      </c>
      <c r="R69" s="38"/>
      <c r="S69" s="33">
        <v>0</v>
      </c>
      <c r="T69" s="218" t="str">
        <f t="shared" si="29"/>
        <v/>
      </c>
      <c r="U69" s="33" t="str">
        <f t="shared" si="30"/>
        <v/>
      </c>
      <c r="V69" s="218" t="str">
        <f t="shared" si="31"/>
        <v/>
      </c>
      <c r="W69" s="33">
        <v>9.2999999999999999E-2</v>
      </c>
      <c r="X69" s="33">
        <f t="shared" si="32"/>
        <v>9.2999999999999999E-2</v>
      </c>
      <c r="Y69" s="231">
        <v>1.0999999999999999E-2</v>
      </c>
      <c r="Z69" s="33">
        <f t="shared" si="33"/>
        <v>1.0999999999999999E-2</v>
      </c>
      <c r="AA69" s="38" t="str">
        <f t="shared" si="34"/>
        <v/>
      </c>
      <c r="AB69" s="218" t="str">
        <f t="shared" si="35"/>
        <v/>
      </c>
      <c r="AC69" s="218" t="str">
        <f t="shared" si="36"/>
        <v/>
      </c>
      <c r="AD69" s="218" t="str">
        <f t="shared" si="37"/>
        <v/>
      </c>
      <c r="AE69" s="38" t="str">
        <f t="shared" si="38"/>
        <v/>
      </c>
      <c r="AF69" s="218" t="str">
        <f t="shared" si="39"/>
        <v/>
      </c>
      <c r="AG69" s="218" t="str">
        <f t="shared" si="40"/>
        <v/>
      </c>
      <c r="AH69" s="218" t="str">
        <f t="shared" si="41"/>
        <v/>
      </c>
      <c r="AI69" s="33" t="str">
        <f>IF(SUM($AC69)=0,"",INDEX(Cascade!$BG:$BG,MATCH($E69,Cascade!$E:$E,0)))</f>
        <v/>
      </c>
      <c r="AJ69" s="218" t="str">
        <f t="shared" si="42"/>
        <v/>
      </c>
      <c r="AK69" s="218" t="str">
        <f t="shared" si="43"/>
        <v/>
      </c>
      <c r="AL69" s="218" t="str">
        <f t="shared" si="44"/>
        <v/>
      </c>
      <c r="AM69" s="218" t="str">
        <f t="shared" si="45"/>
        <v/>
      </c>
      <c r="AN69" s="218" t="str">
        <f t="shared" si="46"/>
        <v/>
      </c>
      <c r="AO69" s="38" t="str">
        <f t="shared" si="47"/>
        <v/>
      </c>
      <c r="AP69" s="231">
        <v>4.0000000000000001E-3</v>
      </c>
      <c r="AQ69" s="33">
        <f t="shared" si="48"/>
        <v>4.0000000000000001E-3</v>
      </c>
      <c r="AR69" s="33" t="str">
        <f>IF(SUM($AO69)=0,"",INDEX(Cascade!$BG:$BG,MATCH($E69,Cascade!$E:$E,0)))</f>
        <v/>
      </c>
      <c r="AS69" s="218" t="str">
        <f t="shared" si="49"/>
        <v/>
      </c>
      <c r="AT69" s="218" t="str">
        <f t="shared" si="50"/>
        <v/>
      </c>
      <c r="AU69" s="38" t="str">
        <f t="shared" si="51"/>
        <v/>
      </c>
      <c r="AV69" s="38" t="str">
        <f t="shared" si="52"/>
        <v/>
      </c>
      <c r="AW69" s="38">
        <f>IFERROR(1/(1/INDEX(Cascade!$BH:$BH,MATCH($E69,Cascade!$E:$E,0))),"")</f>
        <v>2</v>
      </c>
      <c r="AX69" s="38" t="str">
        <f t="shared" si="53"/>
        <v/>
      </c>
      <c r="AY69" s="38" t="str">
        <f t="shared" si="54"/>
        <v/>
      </c>
      <c r="AZ69" s="38" t="str">
        <f>IFERROR(1/(1/INDEX(TB!$P:$P,MATCH($E69,TB!$E:$E,0))),"")</f>
        <v/>
      </c>
      <c r="BA69" s="38">
        <f t="shared" si="55"/>
        <v>2</v>
      </c>
    </row>
    <row r="70" spans="1:53" x14ac:dyDescent="0.2">
      <c r="A70" t="str">
        <f>INDEX(Prioritization!$D:$D,MATCH($B70,Prioritization!$A:$A,0))</f>
        <v>INVALID</v>
      </c>
      <c r="B70" t="s">
        <v>301</v>
      </c>
      <c r="C70" t="s">
        <v>474</v>
      </c>
      <c r="D70" t="s">
        <v>30</v>
      </c>
      <c r="E70" t="str">
        <f t="shared" si="28"/>
        <v>Lilongwe District [ScR9iFKAasW]|10-14|Female</v>
      </c>
      <c r="F70" s="38">
        <f>IF(LEFT($B70,4)="_Mil","",INDEX(Cascade!$T:$T,MATCH($E70,Cascade!$E:$E,0)))</f>
        <v>206463</v>
      </c>
      <c r="G70" s="38">
        <f>IF(LEFT($B70,4)="_Mil","",INDEX(Cascade!$U:$U,MATCH($E70,Cascade!$E:$E,0)))</f>
        <v>1416</v>
      </c>
      <c r="H70" s="110">
        <f>IF(LEFT($B70,4)="_Mil","",INDEX(Cascade!$W:$W,MATCH($E70,Cascade!$E:$E,0)))</f>
        <v>6.8606370000000002E-3</v>
      </c>
      <c r="I70" s="38">
        <f>IF(LEFT($B70,4)="_Mil","",INDEX(Cascade!$Z:$Z,MATCH($E70,Cascade!$E:$E,0)))</f>
        <v>1026</v>
      </c>
      <c r="J70" s="33">
        <f>IF(LEFT($B70,4)="_Mil","",INDEX(Cascade!$AA:$AA,MATCH($E70,Cascade!$E:$E,0)))</f>
        <v>0.75542786299999998</v>
      </c>
      <c r="K70" s="218" t="str">
        <f>IF(LEFT($B70,4)="_Mil","",_xlfn.IFNA(ROUND(INDEX(Spectrum!$N:$N,MATCH(RIGHT($B70,13)&amp;"|"&amp;$C70&amp;"|"&amp;$D70&amp;"|"&amp;K$14&amp;"|"&amp;"CY2024Q3",Spectrum!$R:$R,0)),0),""))</f>
        <v/>
      </c>
      <c r="L70" s="218" t="str">
        <f>IF(LEFT($B70,4)="_Mil","",_xlfn.IFNA(ROUND(INDEX(Spectrum!$N:$N,MATCH(RIGHT($B70,13)&amp;"|"&amp;$C70&amp;"|"&amp;$D70&amp;"|"&amp;L$14&amp;"|"&amp;"CY2024Q3",Spectrum!$R:$R,0)),0),""))</f>
        <v/>
      </c>
      <c r="M70" s="218" t="str">
        <f>IF(LEFT($B70,4)="_Mil","",_xlfn.IFNA(ROUND(INDEX(Spectrum!$N:$N,MATCH(RIGHT($B70,13)&amp;"|"&amp;$C70&amp;"|"&amp;$D70&amp;"|"&amp;M$14&amp;"|"&amp;"CY2024Q3",Spectrum!$R:$R,0)),0),""))</f>
        <v/>
      </c>
      <c r="N70" s="218" t="str">
        <f>IF(LEFT($B70,4)="_Mil","",_xlfn.IFNA(ROUND(INDEX(Spectrum!$N:$N,MATCH(RIGHT($B70,13)&amp;"|"&amp;$C70&amp;"|"&amp;$D70&amp;"|"&amp;N$14&amp;"|"&amp;"CY2024Q3",Spectrum!$R:$R,0)),0),""))</f>
        <v/>
      </c>
      <c r="O70" s="218" t="str">
        <f>IF(LEFT($B70,4)="_Mil","",_xlfn.IFNA(ROUND(INDEX(Spectrum!$N:$N,MATCH(RIGHT($B70,13)&amp;"|"&amp;$C70&amp;"|"&amp;$D70&amp;"|"&amp;O$14&amp;"|"&amp;"CY2024Q3",Spectrum!$R:$R,0)),0),""))</f>
        <v/>
      </c>
      <c r="P70" s="218" t="str">
        <f>IF(LEFT($B70,4)="_Mil","",_xlfn.IFNA(ROUND(INDEX(Spectrum!$N:$N,MATCH(RIGHT($B70,13)&amp;"|"&amp;$C70&amp;"|"&amp;$D70&amp;"|"&amp;P$14&amp;"|"&amp;"CY2024Q3",Spectrum!$R:$R,0)),0),""))</f>
        <v/>
      </c>
      <c r="Q70" s="218" t="str">
        <f>IF(LEFT($B70,4)="_Mil","",_xlfn.IFNA(ROUND(INDEX(Spectrum!$N:$N,MATCH(RIGHT($B70,13)&amp;"|"&amp;$C70&amp;"|"&amp;$D70&amp;"|"&amp;Q$14&amp;"|"&amp;"CY2024Q3",Spectrum!$R:$R,0)),0),""))</f>
        <v/>
      </c>
      <c r="R70" s="38">
        <v>298</v>
      </c>
      <c r="S70" s="33">
        <v>0</v>
      </c>
      <c r="T70" s="218">
        <f t="shared" si="29"/>
        <v>298</v>
      </c>
      <c r="U70" s="33">
        <f t="shared" si="30"/>
        <v>1</v>
      </c>
      <c r="V70" s="218">
        <f t="shared" si="31"/>
        <v>298</v>
      </c>
      <c r="W70" s="33">
        <v>6.3E-3</v>
      </c>
      <c r="X70" s="33">
        <f t="shared" si="32"/>
        <v>6.3E-3</v>
      </c>
      <c r="Y70" s="231">
        <v>8.0000000000000002E-3</v>
      </c>
      <c r="Z70" s="33">
        <f t="shared" si="33"/>
        <v>8.0000000000000002E-3</v>
      </c>
      <c r="AA70" s="38">
        <f t="shared" si="34"/>
        <v>298</v>
      </c>
      <c r="AB70" s="218">
        <f t="shared" si="35"/>
        <v>2</v>
      </c>
      <c r="AC70" s="218">
        <f t="shared" si="36"/>
        <v>2</v>
      </c>
      <c r="AD70" s="218">
        <f t="shared" si="37"/>
        <v>294</v>
      </c>
      <c r="AE70" s="38">
        <f t="shared" si="38"/>
        <v>298</v>
      </c>
      <c r="AF70" s="218">
        <f t="shared" si="39"/>
        <v>2</v>
      </c>
      <c r="AG70" s="218">
        <f t="shared" si="40"/>
        <v>2</v>
      </c>
      <c r="AH70" s="218">
        <f t="shared" si="41"/>
        <v>294</v>
      </c>
      <c r="AI70" s="33">
        <f>IF(SUM($AC70)=0,"",INDEX(Cascade!$BG:$BG,MATCH($E70,Cascade!$E:$E,0)))</f>
        <v>0.95</v>
      </c>
      <c r="AJ70" s="218">
        <f t="shared" si="42"/>
        <v>2</v>
      </c>
      <c r="AK70" s="218">
        <f t="shared" si="43"/>
        <v>2</v>
      </c>
      <c r="AL70" s="218">
        <f t="shared" si="44"/>
        <v>4</v>
      </c>
      <c r="AM70" s="218">
        <f t="shared" si="45"/>
        <v>2</v>
      </c>
      <c r="AN70" s="218">
        <f t="shared" si="46"/>
        <v>2</v>
      </c>
      <c r="AO70" s="38">
        <f t="shared" si="47"/>
        <v>294</v>
      </c>
      <c r="AP70" s="232">
        <v>4.0000000000000001E-3</v>
      </c>
      <c r="AQ70" s="33">
        <f t="shared" si="48"/>
        <v>4.0000000000000001E-3</v>
      </c>
      <c r="AR70" s="33">
        <f>IF(SUM($AO70)=0,"",INDEX(Cascade!$BG:$BG,MATCH($E70,Cascade!$E:$E,0)))</f>
        <v>0.95</v>
      </c>
      <c r="AS70" s="218">
        <f t="shared" si="49"/>
        <v>1</v>
      </c>
      <c r="AT70" s="218">
        <f t="shared" si="50"/>
        <v>293</v>
      </c>
      <c r="AU70" s="38">
        <f t="shared" si="51"/>
        <v>1</v>
      </c>
      <c r="AV70" s="38">
        <f t="shared" si="52"/>
        <v>5</v>
      </c>
      <c r="AW70" s="38">
        <f>IFERROR(1/(1/INDEX(Cascade!$BH:$BH,MATCH($E70,Cascade!$E:$E,0))),"")</f>
        <v>22</v>
      </c>
      <c r="AX70" s="38">
        <f t="shared" si="53"/>
        <v>2</v>
      </c>
      <c r="AY70" s="38">
        <f t="shared" si="54"/>
        <v>1</v>
      </c>
      <c r="AZ70" s="38">
        <f>IFERROR(1/(1/INDEX(TB!$P:$P,MATCH($E70,TB!$E:$E,0))),"")</f>
        <v>2</v>
      </c>
      <c r="BA70" s="38">
        <f t="shared" si="55"/>
        <v>17</v>
      </c>
    </row>
    <row r="71" spans="1:53" x14ac:dyDescent="0.2">
      <c r="A71" t="str">
        <f>INDEX(Prioritization!$D:$D,MATCH($B71,Prioritization!$A:$A,0))</f>
        <v>INVALID</v>
      </c>
      <c r="B71" t="s">
        <v>301</v>
      </c>
      <c r="C71" t="s">
        <v>475</v>
      </c>
      <c r="D71" t="s">
        <v>30</v>
      </c>
      <c r="E71" t="str">
        <f t="shared" si="28"/>
        <v>Lilongwe District [ScR9iFKAasW]|15-24|Female</v>
      </c>
      <c r="F71" s="38">
        <f>IF(LEFT($B71,4)="_Mil","",INDEX(Cascade!$T:$T,MATCH($E71,Cascade!$E:$E,0)))</f>
        <v>369366</v>
      </c>
      <c r="G71" s="38">
        <f>IF(LEFT($B71,4)="_Mil","",INDEX(Cascade!$U:$U,MATCH($E71,Cascade!$E:$E,0)))</f>
        <v>5621</v>
      </c>
      <c r="H71" s="110">
        <f>IF(LEFT($B71,4)="_Mil","",INDEX(Cascade!$W:$W,MATCH($E71,Cascade!$E:$E,0)))</f>
        <v>1.5218716E-2</v>
      </c>
      <c r="I71" s="38">
        <f>IF(LEFT($B71,4)="_Mil","",INDEX(Cascade!$Z:$Z,MATCH($E71,Cascade!$E:$E,0)))</f>
        <v>5158</v>
      </c>
      <c r="J71" s="33">
        <f>IF(LEFT($B71,4)="_Mil","",INDEX(Cascade!$AA:$AA,MATCH($E71,Cascade!$E:$E,0)))</f>
        <v>0.94513043899999993</v>
      </c>
      <c r="K71" s="218">
        <f>IF(LEFT($B71,4)="_Mil","",_xlfn.IFNA(ROUND(INDEX(Spectrum!$N:$N,MATCH(RIGHT($B71,13)&amp;"|"&amp;$C71&amp;"|"&amp;$D71&amp;"|"&amp;K$14&amp;"|"&amp;"CY2024Q3",Spectrum!$R:$R,0)),0),""))</f>
        <v>39096</v>
      </c>
      <c r="L71" s="218">
        <f>IF(LEFT($B71,4)="_Mil","",_xlfn.IFNA(ROUND(INDEX(Spectrum!$N:$N,MATCH(RIGHT($B71,13)&amp;"|"&amp;$C71&amp;"|"&amp;$D71&amp;"|"&amp;L$14&amp;"|"&amp;"CY2024Q3",Spectrum!$R:$R,0)),0),""))</f>
        <v>381</v>
      </c>
      <c r="M71" s="218">
        <f>IF(LEFT($B71,4)="_Mil","",_xlfn.IFNA(ROUND(INDEX(Spectrum!$N:$N,MATCH(RIGHT($B71,13)&amp;"|"&amp;$C71&amp;"|"&amp;$D71&amp;"|"&amp;M$14&amp;"|"&amp;"CY2024Q3",Spectrum!$R:$R,0)),0),""))</f>
        <v>305</v>
      </c>
      <c r="N71" s="218">
        <f>IF(LEFT($B71,4)="_Mil","",_xlfn.IFNA(ROUND(INDEX(Spectrum!$N:$N,MATCH(RIGHT($B71,13)&amp;"|"&amp;$C71&amp;"|"&amp;$D71&amp;"|"&amp;N$14&amp;"|"&amp;"CY2024Q3",Spectrum!$R:$R,0)),0),""))</f>
        <v>38411</v>
      </c>
      <c r="O71" s="218">
        <f>IF(LEFT($B71,4)="_Mil","",_xlfn.IFNA(ROUND(INDEX(Spectrum!$N:$N,MATCH(RIGHT($B71,13)&amp;"|"&amp;$C71&amp;"|"&amp;$D71&amp;"|"&amp;O$14&amp;"|"&amp;"CY2024Q3",Spectrum!$R:$R,0)),0),""))</f>
        <v>685</v>
      </c>
      <c r="P71" s="218">
        <f>IF(LEFT($B71,4)="_Mil","",_xlfn.IFNA(ROUND(INDEX(Spectrum!$N:$N,MATCH(RIGHT($B71,13)&amp;"|"&amp;$C71&amp;"|"&amp;$D71&amp;"|"&amp;P$14&amp;"|"&amp;"CY2024Q3",Spectrum!$R:$R,0)),0),""))</f>
        <v>381</v>
      </c>
      <c r="Q71" s="218">
        <f>IF(LEFT($B71,4)="_Mil","",_xlfn.IFNA(ROUND(INDEX(Spectrum!$N:$N,MATCH(RIGHT($B71,13)&amp;"|"&amp;$C71&amp;"|"&amp;$D71&amp;"|"&amp;Q$14&amp;"|"&amp;"CY2024Q3",Spectrum!$R:$R,0)),0),""))</f>
        <v>305</v>
      </c>
      <c r="R71" s="38">
        <v>54125</v>
      </c>
      <c r="S71" s="33">
        <v>0</v>
      </c>
      <c r="T71" s="218">
        <f t="shared" si="29"/>
        <v>54125</v>
      </c>
      <c r="U71" s="33">
        <f t="shared" si="30"/>
        <v>1</v>
      </c>
      <c r="V71" s="218">
        <f t="shared" si="31"/>
        <v>54125</v>
      </c>
      <c r="W71" s="33">
        <v>1.4E-2</v>
      </c>
      <c r="X71" s="33">
        <f t="shared" si="32"/>
        <v>1.4E-2</v>
      </c>
      <c r="Y71" s="231">
        <v>8.9999999999999993E-3</v>
      </c>
      <c r="Z71" s="33">
        <f t="shared" si="33"/>
        <v>7.8780834301950143E-3</v>
      </c>
      <c r="AA71" s="38">
        <f t="shared" si="34"/>
        <v>54125</v>
      </c>
      <c r="AB71" s="218">
        <f t="shared" si="35"/>
        <v>758</v>
      </c>
      <c r="AC71" s="218">
        <f t="shared" si="36"/>
        <v>420</v>
      </c>
      <c r="AD71" s="218">
        <f t="shared" si="37"/>
        <v>52947</v>
      </c>
      <c r="AE71" s="38">
        <f t="shared" si="38"/>
        <v>54125</v>
      </c>
      <c r="AF71" s="218">
        <f t="shared" si="39"/>
        <v>758</v>
      </c>
      <c r="AG71" s="218">
        <f t="shared" si="40"/>
        <v>420</v>
      </c>
      <c r="AH71" s="218">
        <f t="shared" si="41"/>
        <v>52947</v>
      </c>
      <c r="AI71" s="33">
        <f>IF(SUM($AC71)=0,"",INDEX(Cascade!$BG:$BG,MATCH($E71,Cascade!$E:$E,0)))</f>
        <v>0.95</v>
      </c>
      <c r="AJ71" s="218">
        <f t="shared" si="42"/>
        <v>758</v>
      </c>
      <c r="AK71" s="218">
        <f t="shared" si="43"/>
        <v>399</v>
      </c>
      <c r="AL71" s="218">
        <f t="shared" si="44"/>
        <v>1178</v>
      </c>
      <c r="AM71" s="218">
        <f t="shared" si="45"/>
        <v>758</v>
      </c>
      <c r="AN71" s="218">
        <f t="shared" si="46"/>
        <v>399</v>
      </c>
      <c r="AO71" s="38">
        <f t="shared" si="47"/>
        <v>52946.999999999993</v>
      </c>
      <c r="AP71" s="232">
        <v>4.0000000000000001E-3</v>
      </c>
      <c r="AQ71" s="33">
        <f t="shared" si="48"/>
        <v>4.0000000000000001E-3</v>
      </c>
      <c r="AR71" s="33">
        <f>IF(SUM($AO71)=0,"",INDEX(Cascade!$BG:$BG,MATCH($E71,Cascade!$E:$E,0)))</f>
        <v>0.95</v>
      </c>
      <c r="AS71" s="218">
        <f t="shared" si="49"/>
        <v>212</v>
      </c>
      <c r="AT71" s="218">
        <f t="shared" si="50"/>
        <v>52734.999999999993</v>
      </c>
      <c r="AU71" s="38">
        <f t="shared" si="51"/>
        <v>201</v>
      </c>
      <c r="AV71" s="38">
        <f t="shared" si="52"/>
        <v>1390</v>
      </c>
      <c r="AW71" s="38">
        <f>IFERROR(1/(1/INDEX(Cascade!$BH:$BH,MATCH($E71,Cascade!$E:$E,0))),"")</f>
        <v>1174</v>
      </c>
      <c r="AX71" s="38">
        <f t="shared" si="53"/>
        <v>420</v>
      </c>
      <c r="AY71" s="38">
        <f t="shared" si="54"/>
        <v>212</v>
      </c>
      <c r="AZ71" s="38">
        <f>IFERROR(1/(1/INDEX(TB!$P:$P,MATCH($E71,TB!$E:$E,0))),"")</f>
        <v>12</v>
      </c>
      <c r="BA71" s="38">
        <f t="shared" si="55"/>
        <v>530</v>
      </c>
    </row>
    <row r="72" spans="1:53" x14ac:dyDescent="0.2">
      <c r="A72" t="str">
        <f>INDEX(Prioritization!$D:$D,MATCH($B72,Prioritization!$A:$A,0))</f>
        <v>INVALID</v>
      </c>
      <c r="B72" t="s">
        <v>301</v>
      </c>
      <c r="C72" t="s">
        <v>476</v>
      </c>
      <c r="D72" t="s">
        <v>30</v>
      </c>
      <c r="E72" t="str">
        <f t="shared" si="28"/>
        <v>Lilongwe District [ScR9iFKAasW]|25-34|Female</v>
      </c>
      <c r="F72" s="38">
        <f>IF(LEFT($B72,4)="_Mil","",INDEX(Cascade!$T:$T,MATCH($E72,Cascade!$E:$E,0)))</f>
        <v>273125</v>
      </c>
      <c r="G72" s="38">
        <f>IF(LEFT($B72,4)="_Mil","",INDEX(Cascade!$U:$U,MATCH($E72,Cascade!$E:$E,0)))</f>
        <v>16788</v>
      </c>
      <c r="H72" s="110">
        <f>IF(LEFT($B72,4)="_Mil","",INDEX(Cascade!$W:$W,MATCH($E72,Cascade!$E:$E,0)))</f>
        <v>6.1466092E-2</v>
      </c>
      <c r="I72" s="38">
        <f>IF(LEFT($B72,4)="_Mil","",INDEX(Cascade!$Z:$Z,MATCH($E72,Cascade!$E:$E,0)))</f>
        <v>15911</v>
      </c>
      <c r="J72" s="33">
        <f>IF(LEFT($B72,4)="_Mil","",INDEX(Cascade!$AA:$AA,MATCH($E72,Cascade!$E:$E,0)))</f>
        <v>0.97168093499999986</v>
      </c>
      <c r="K72" s="218">
        <f>IF(LEFT($B72,4)="_Mil","",_xlfn.IFNA(ROUND(INDEX(Spectrum!$N:$N,MATCH(RIGHT($B72,13)&amp;"|"&amp;$C72&amp;"|"&amp;$D72&amp;"|"&amp;K$14&amp;"|"&amp;"CY2024Q3",Spectrum!$R:$R,0)),0),""))</f>
        <v>27545</v>
      </c>
      <c r="L72" s="218">
        <f>IF(LEFT($B72,4)="_Mil","",_xlfn.IFNA(ROUND(INDEX(Spectrum!$N:$N,MATCH(RIGHT($B72,13)&amp;"|"&amp;$C72&amp;"|"&amp;$D72&amp;"|"&amp;L$14&amp;"|"&amp;"CY2024Q3",Spectrum!$R:$R,0)),0),""))</f>
        <v>889</v>
      </c>
      <c r="M72" s="218">
        <f>IF(LEFT($B72,4)="_Mil","",_xlfn.IFNA(ROUND(INDEX(Spectrum!$N:$N,MATCH(RIGHT($B72,13)&amp;"|"&amp;$C72&amp;"|"&amp;$D72&amp;"|"&amp;M$14&amp;"|"&amp;"CY2024Q3",Spectrum!$R:$R,0)),0),""))</f>
        <v>495</v>
      </c>
      <c r="N72" s="218">
        <f>IF(LEFT($B72,4)="_Mil","",_xlfn.IFNA(ROUND(INDEX(Spectrum!$N:$N,MATCH(RIGHT($B72,13)&amp;"|"&amp;$C72&amp;"|"&amp;$D72&amp;"|"&amp;N$14&amp;"|"&amp;"CY2024Q3",Spectrum!$R:$R,0)),0),""))</f>
        <v>26161</v>
      </c>
      <c r="O72" s="218">
        <f>IF(LEFT($B72,4)="_Mil","",_xlfn.IFNA(ROUND(INDEX(Spectrum!$N:$N,MATCH(RIGHT($B72,13)&amp;"|"&amp;$C72&amp;"|"&amp;$D72&amp;"|"&amp;O$14&amp;"|"&amp;"CY2024Q3",Spectrum!$R:$R,0)),0),""))</f>
        <v>1384</v>
      </c>
      <c r="P72" s="218">
        <f>IF(LEFT($B72,4)="_Mil","",_xlfn.IFNA(ROUND(INDEX(Spectrum!$N:$N,MATCH(RIGHT($B72,13)&amp;"|"&amp;$C72&amp;"|"&amp;$D72&amp;"|"&amp;P$14&amp;"|"&amp;"CY2024Q3",Spectrum!$R:$R,0)),0),""))</f>
        <v>889</v>
      </c>
      <c r="Q72" s="218">
        <f>IF(LEFT($B72,4)="_Mil","",_xlfn.IFNA(ROUND(INDEX(Spectrum!$N:$N,MATCH(RIGHT($B72,13)&amp;"|"&amp;$C72&amp;"|"&amp;$D72&amp;"|"&amp;Q$14&amp;"|"&amp;"CY2024Q3",Spectrum!$R:$R,0)),0),""))</f>
        <v>495</v>
      </c>
      <c r="R72" s="38">
        <v>33356</v>
      </c>
      <c r="S72" s="33">
        <v>0</v>
      </c>
      <c r="T72" s="218">
        <f t="shared" si="29"/>
        <v>33356</v>
      </c>
      <c r="U72" s="33">
        <f t="shared" si="30"/>
        <v>1</v>
      </c>
      <c r="V72" s="218">
        <f t="shared" si="31"/>
        <v>33356</v>
      </c>
      <c r="W72" s="33">
        <v>4.4999999999999998E-2</v>
      </c>
      <c r="X72" s="33">
        <f t="shared" si="32"/>
        <v>4.4999999999999998E-2</v>
      </c>
      <c r="Y72" s="231">
        <v>1.7999999999999999E-2</v>
      </c>
      <c r="Z72" s="33">
        <f t="shared" si="33"/>
        <v>1.7999999999999999E-2</v>
      </c>
      <c r="AA72" s="38">
        <f t="shared" si="34"/>
        <v>33356</v>
      </c>
      <c r="AB72" s="218">
        <f t="shared" si="35"/>
        <v>1501</v>
      </c>
      <c r="AC72" s="218">
        <f t="shared" si="36"/>
        <v>573</v>
      </c>
      <c r="AD72" s="218">
        <f t="shared" si="37"/>
        <v>31282</v>
      </c>
      <c r="AE72" s="38">
        <f t="shared" si="38"/>
        <v>33356</v>
      </c>
      <c r="AF72" s="218">
        <f t="shared" si="39"/>
        <v>1501</v>
      </c>
      <c r="AG72" s="218">
        <f t="shared" si="40"/>
        <v>573</v>
      </c>
      <c r="AH72" s="218">
        <f t="shared" si="41"/>
        <v>31282</v>
      </c>
      <c r="AI72" s="33">
        <f>IF(SUM($AC72)=0,"",INDEX(Cascade!$BG:$BG,MATCH($E72,Cascade!$E:$E,0)))</f>
        <v>0.95</v>
      </c>
      <c r="AJ72" s="218">
        <f t="shared" si="42"/>
        <v>1501</v>
      </c>
      <c r="AK72" s="218">
        <f t="shared" si="43"/>
        <v>544</v>
      </c>
      <c r="AL72" s="218">
        <f t="shared" si="44"/>
        <v>2074</v>
      </c>
      <c r="AM72" s="218">
        <f t="shared" si="45"/>
        <v>1501</v>
      </c>
      <c r="AN72" s="218">
        <f t="shared" si="46"/>
        <v>544</v>
      </c>
      <c r="AO72" s="38">
        <f t="shared" si="47"/>
        <v>31282.000000000004</v>
      </c>
      <c r="AP72" s="232">
        <v>7.0000000000000001E-3</v>
      </c>
      <c r="AQ72" s="33">
        <f t="shared" si="48"/>
        <v>7.0000000000000001E-3</v>
      </c>
      <c r="AR72" s="33">
        <f>IF(SUM($AO72)=0,"",INDEX(Cascade!$BG:$BG,MATCH($E72,Cascade!$E:$E,0)))</f>
        <v>0.95</v>
      </c>
      <c r="AS72" s="218">
        <f t="shared" si="49"/>
        <v>219</v>
      </c>
      <c r="AT72" s="218">
        <f t="shared" si="50"/>
        <v>31063.000000000004</v>
      </c>
      <c r="AU72" s="38">
        <f t="shared" si="51"/>
        <v>208</v>
      </c>
      <c r="AV72" s="38">
        <f t="shared" si="52"/>
        <v>2293</v>
      </c>
      <c r="AW72" s="38">
        <f>IFERROR(1/(1/INDEX(Cascade!$BH:$BH,MATCH($E72,Cascade!$E:$E,0))),"")</f>
        <v>1949</v>
      </c>
      <c r="AX72" s="38">
        <f t="shared" si="53"/>
        <v>573</v>
      </c>
      <c r="AY72" s="38">
        <f t="shared" si="54"/>
        <v>219</v>
      </c>
      <c r="AZ72" s="38">
        <f>IFERROR(1/(1/INDEX(TB!$P:$P,MATCH($E72,TB!$E:$E,0))),"")</f>
        <v>12</v>
      </c>
      <c r="BA72" s="38">
        <f t="shared" si="55"/>
        <v>1145</v>
      </c>
    </row>
    <row r="73" spans="1:53" x14ac:dyDescent="0.2">
      <c r="A73" t="str">
        <f>INDEX(Prioritization!$D:$D,MATCH($B73,Prioritization!$A:$A,0))</f>
        <v>INVALID</v>
      </c>
      <c r="B73" t="s">
        <v>301</v>
      </c>
      <c r="C73" t="s">
        <v>477</v>
      </c>
      <c r="D73" t="s">
        <v>30</v>
      </c>
      <c r="E73" t="str">
        <f t="shared" si="28"/>
        <v>Lilongwe District [ScR9iFKAasW]|35-49|Female</v>
      </c>
      <c r="F73" s="38">
        <f>IF(LEFT($B73,4)="_Mil","",INDEX(Cascade!$T:$T,MATCH($E73,Cascade!$E:$E,0)))</f>
        <v>257561</v>
      </c>
      <c r="G73" s="38">
        <f>IF(LEFT($B73,4)="_Mil","",INDEX(Cascade!$U:$U,MATCH($E73,Cascade!$E:$E,0)))</f>
        <v>39322</v>
      </c>
      <c r="H73" s="110">
        <f>IF(LEFT($B73,4)="_Mil","",INDEX(Cascade!$W:$W,MATCH($E73,Cascade!$E:$E,0)))</f>
        <v>0.152671158</v>
      </c>
      <c r="I73" s="38">
        <f>IF(LEFT($B73,4)="_Mil","",INDEX(Cascade!$Z:$Z,MATCH($E73,Cascade!$E:$E,0)))</f>
        <v>37627</v>
      </c>
      <c r="J73" s="33">
        <f>IF(LEFT($B73,4)="_Mil","",INDEX(Cascade!$AA:$AA,MATCH($E73,Cascade!$E:$E,0)))</f>
        <v>0.98554509300000004</v>
      </c>
      <c r="K73" s="218">
        <f>IF(LEFT($B73,4)="_Mil","",_xlfn.IFNA(ROUND(INDEX(Spectrum!$N:$N,MATCH(RIGHT($B73,13)&amp;"|"&amp;$C73&amp;"|"&amp;$D73&amp;"|"&amp;K$14&amp;"|"&amp;"CY2024Q3",Spectrum!$R:$R,0)),0),""))</f>
        <v>9867</v>
      </c>
      <c r="L73" s="218">
        <f>IF(LEFT($B73,4)="_Mil","",_xlfn.IFNA(ROUND(INDEX(Spectrum!$N:$N,MATCH(RIGHT($B73,13)&amp;"|"&amp;$C73&amp;"|"&amp;$D73&amp;"|"&amp;L$14&amp;"|"&amp;"CY2024Q3",Spectrum!$R:$R,0)),0),""))</f>
        <v>773</v>
      </c>
      <c r="M73" s="218">
        <f>IF(LEFT($B73,4)="_Mil","",_xlfn.IFNA(ROUND(INDEX(Spectrum!$N:$N,MATCH(RIGHT($B73,13)&amp;"|"&amp;$C73&amp;"|"&amp;$D73&amp;"|"&amp;M$14&amp;"|"&amp;"CY2024Q3",Spectrum!$R:$R,0)),0),""))</f>
        <v>149</v>
      </c>
      <c r="N73" s="218">
        <f>IF(LEFT($B73,4)="_Mil","",_xlfn.IFNA(ROUND(INDEX(Spectrum!$N:$N,MATCH(RIGHT($B73,13)&amp;"|"&amp;$C73&amp;"|"&amp;$D73&amp;"|"&amp;N$14&amp;"|"&amp;"CY2024Q3",Spectrum!$R:$R,0)),0),""))</f>
        <v>8945</v>
      </c>
      <c r="O73" s="218">
        <f>IF(LEFT($B73,4)="_Mil","",_xlfn.IFNA(ROUND(INDEX(Spectrum!$N:$N,MATCH(RIGHT($B73,13)&amp;"|"&amp;$C73&amp;"|"&amp;$D73&amp;"|"&amp;O$14&amp;"|"&amp;"CY2024Q3",Spectrum!$R:$R,0)),0),""))</f>
        <v>922</v>
      </c>
      <c r="P73" s="218">
        <f>IF(LEFT($B73,4)="_Mil","",_xlfn.IFNA(ROUND(INDEX(Spectrum!$N:$N,MATCH(RIGHT($B73,13)&amp;"|"&amp;$C73&amp;"|"&amp;$D73&amp;"|"&amp;P$14&amp;"|"&amp;"CY2024Q3",Spectrum!$R:$R,0)),0),""))</f>
        <v>773</v>
      </c>
      <c r="Q73" s="218">
        <f>IF(LEFT($B73,4)="_Mil","",_xlfn.IFNA(ROUND(INDEX(Spectrum!$N:$N,MATCH(RIGHT($B73,13)&amp;"|"&amp;$C73&amp;"|"&amp;$D73&amp;"|"&amp;Q$14&amp;"|"&amp;"CY2024Q3",Spectrum!$R:$R,0)),0),""))</f>
        <v>149</v>
      </c>
      <c r="R73" s="38">
        <v>8711</v>
      </c>
      <c r="S73" s="33">
        <v>0</v>
      </c>
      <c r="T73" s="218">
        <f t="shared" si="29"/>
        <v>8711</v>
      </c>
      <c r="U73" s="33">
        <f t="shared" si="30"/>
        <v>0.88284179588527412</v>
      </c>
      <c r="V73" s="218">
        <f t="shared" si="31"/>
        <v>9867</v>
      </c>
      <c r="W73" s="33">
        <v>9.9000000000000005E-2</v>
      </c>
      <c r="X73" s="33">
        <f t="shared" si="32"/>
        <v>9.9000000000000005E-2</v>
      </c>
      <c r="Y73" s="231">
        <v>1.7999999999999999E-2</v>
      </c>
      <c r="Z73" s="33">
        <f t="shared" si="33"/>
        <v>1.6384429294040027E-2</v>
      </c>
      <c r="AA73" s="38">
        <f t="shared" si="34"/>
        <v>8711</v>
      </c>
      <c r="AB73" s="218">
        <f t="shared" si="35"/>
        <v>862</v>
      </c>
      <c r="AC73" s="218">
        <f t="shared" si="36"/>
        <v>129</v>
      </c>
      <c r="AD73" s="218">
        <f t="shared" si="37"/>
        <v>7720</v>
      </c>
      <c r="AE73" s="38">
        <f t="shared" si="38"/>
        <v>9867</v>
      </c>
      <c r="AF73" s="218">
        <f t="shared" si="39"/>
        <v>977</v>
      </c>
      <c r="AG73" s="218">
        <f t="shared" si="40"/>
        <v>146</v>
      </c>
      <c r="AH73" s="218">
        <f t="shared" si="41"/>
        <v>8744</v>
      </c>
      <c r="AI73" s="33">
        <f>IF(SUM($AC73)=0,"",INDEX(Cascade!$BG:$BG,MATCH($E73,Cascade!$E:$E,0)))</f>
        <v>0.95</v>
      </c>
      <c r="AJ73" s="218">
        <f t="shared" si="42"/>
        <v>862</v>
      </c>
      <c r="AK73" s="218">
        <f t="shared" si="43"/>
        <v>123</v>
      </c>
      <c r="AL73" s="218">
        <f t="shared" si="44"/>
        <v>1123</v>
      </c>
      <c r="AM73" s="218">
        <f t="shared" si="45"/>
        <v>977</v>
      </c>
      <c r="AN73" s="218">
        <f t="shared" si="46"/>
        <v>139</v>
      </c>
      <c r="AO73" s="38">
        <f t="shared" si="47"/>
        <v>7720</v>
      </c>
      <c r="AP73" s="232">
        <v>8.9999999999999993E-3</v>
      </c>
      <c r="AQ73" s="33">
        <f t="shared" si="48"/>
        <v>8.9999999999999993E-3</v>
      </c>
      <c r="AR73" s="33">
        <f>IF(SUM($AO73)=0,"",INDEX(Cascade!$BG:$BG,MATCH($E73,Cascade!$E:$E,0)))</f>
        <v>0.95</v>
      </c>
      <c r="AS73" s="218">
        <f t="shared" si="49"/>
        <v>69</v>
      </c>
      <c r="AT73" s="218">
        <f t="shared" si="50"/>
        <v>7651</v>
      </c>
      <c r="AU73" s="38">
        <f t="shared" si="51"/>
        <v>66</v>
      </c>
      <c r="AV73" s="38">
        <f t="shared" si="52"/>
        <v>1060</v>
      </c>
      <c r="AW73" s="38">
        <f>IFERROR(1/(1/INDEX(Cascade!$BH:$BH,MATCH($E73,Cascade!$E:$E,0))),"")</f>
        <v>1009</v>
      </c>
      <c r="AX73" s="38">
        <f t="shared" si="53"/>
        <v>129</v>
      </c>
      <c r="AY73" s="38">
        <f t="shared" si="54"/>
        <v>69</v>
      </c>
      <c r="AZ73" s="38">
        <f>IFERROR(1/(1/INDEX(TB!$P:$P,MATCH($E73,TB!$E:$E,0))),"")</f>
        <v>18</v>
      </c>
      <c r="BA73" s="38">
        <f t="shared" si="55"/>
        <v>793</v>
      </c>
    </row>
    <row r="74" spans="1:53" x14ac:dyDescent="0.2">
      <c r="A74" t="str">
        <f>INDEX(Prioritization!$D:$D,MATCH($B74,Prioritization!$A:$A,0))</f>
        <v>INVALID</v>
      </c>
      <c r="B74" t="s">
        <v>301</v>
      </c>
      <c r="C74" t="s">
        <v>478</v>
      </c>
      <c r="D74" t="s">
        <v>30</v>
      </c>
      <c r="E74" t="str">
        <f t="shared" si="28"/>
        <v>Lilongwe District [ScR9iFKAasW]|50+|Female</v>
      </c>
      <c r="F74" s="38">
        <f>IF(LEFT($B74,4)="_Mil","",INDEX(Cascade!$T:$T,MATCH($E74,Cascade!$E:$E,0)))</f>
        <v>122571</v>
      </c>
      <c r="G74" s="38">
        <f>IF(LEFT($B74,4)="_Mil","",INDEX(Cascade!$U:$U,MATCH($E74,Cascade!$E:$E,0)))</f>
        <v>13555</v>
      </c>
      <c r="H74" s="110">
        <f>IF(LEFT($B74,4)="_Mil","",INDEX(Cascade!$W:$W,MATCH($E74,Cascade!$E:$E,0)))</f>
        <v>0.110589617</v>
      </c>
      <c r="I74" s="38">
        <f>IF(LEFT($B74,4)="_Mil","",INDEX(Cascade!$Z:$Z,MATCH($E74,Cascade!$E:$E,0)))</f>
        <v>12885</v>
      </c>
      <c r="J74" s="33">
        <f>IF(LEFT($B74,4)="_Mil","",INDEX(Cascade!$AA:$AA,MATCH($E74,Cascade!$E:$E,0)))</f>
        <v>0.98975779799999997</v>
      </c>
      <c r="K74" s="218" t="str">
        <f>IF(LEFT($B74,4)="_Mil","",_xlfn.IFNA(ROUND(INDEX(Spectrum!$N:$N,MATCH(RIGHT($B74,13)&amp;"|"&amp;$C74&amp;"|"&amp;$D74&amp;"|"&amp;K$14&amp;"|"&amp;"CY2024Q3",Spectrum!$R:$R,0)),0),""))</f>
        <v/>
      </c>
      <c r="L74" s="218" t="str">
        <f>IF(LEFT($B74,4)="_Mil","",_xlfn.IFNA(ROUND(INDEX(Spectrum!$N:$N,MATCH(RIGHT($B74,13)&amp;"|"&amp;$C74&amp;"|"&amp;$D74&amp;"|"&amp;L$14&amp;"|"&amp;"CY2024Q3",Spectrum!$R:$R,0)),0),""))</f>
        <v/>
      </c>
      <c r="M74" s="218" t="str">
        <f>IF(LEFT($B74,4)="_Mil","",_xlfn.IFNA(ROUND(INDEX(Spectrum!$N:$N,MATCH(RIGHT($B74,13)&amp;"|"&amp;$C74&amp;"|"&amp;$D74&amp;"|"&amp;M$14&amp;"|"&amp;"CY2024Q3",Spectrum!$R:$R,0)),0),""))</f>
        <v/>
      </c>
      <c r="N74" s="218" t="str">
        <f>IF(LEFT($B74,4)="_Mil","",_xlfn.IFNA(ROUND(INDEX(Spectrum!$N:$N,MATCH(RIGHT($B74,13)&amp;"|"&amp;$C74&amp;"|"&amp;$D74&amp;"|"&amp;N$14&amp;"|"&amp;"CY2024Q3",Spectrum!$R:$R,0)),0),""))</f>
        <v/>
      </c>
      <c r="O74" s="218" t="str">
        <f>IF(LEFT($B74,4)="_Mil","",_xlfn.IFNA(ROUND(INDEX(Spectrum!$N:$N,MATCH(RIGHT($B74,13)&amp;"|"&amp;$C74&amp;"|"&amp;$D74&amp;"|"&amp;O$14&amp;"|"&amp;"CY2024Q3",Spectrum!$R:$R,0)),0),""))</f>
        <v/>
      </c>
      <c r="P74" s="218" t="str">
        <f>IF(LEFT($B74,4)="_Mil","",_xlfn.IFNA(ROUND(INDEX(Spectrum!$N:$N,MATCH(RIGHT($B74,13)&amp;"|"&amp;$C74&amp;"|"&amp;$D74&amp;"|"&amp;P$14&amp;"|"&amp;"CY2024Q3",Spectrum!$R:$R,0)),0),""))</f>
        <v/>
      </c>
      <c r="Q74" s="218" t="str">
        <f>IF(LEFT($B74,4)="_Mil","",_xlfn.IFNA(ROUND(INDEX(Spectrum!$N:$N,MATCH(RIGHT($B74,13)&amp;"|"&amp;$C74&amp;"|"&amp;$D74&amp;"|"&amp;Q$14&amp;"|"&amp;"CY2024Q3",Spectrum!$R:$R,0)),0),""))</f>
        <v/>
      </c>
      <c r="R74" s="38">
        <v>57</v>
      </c>
      <c r="S74" s="33">
        <v>0</v>
      </c>
      <c r="T74" s="218">
        <f t="shared" si="29"/>
        <v>57</v>
      </c>
      <c r="U74" s="33">
        <f t="shared" si="30"/>
        <v>1</v>
      </c>
      <c r="V74" s="218">
        <f t="shared" si="31"/>
        <v>57</v>
      </c>
      <c r="W74" s="33">
        <v>0.25</v>
      </c>
      <c r="X74" s="33">
        <f t="shared" si="32"/>
        <v>0.25</v>
      </c>
      <c r="Y74" s="231">
        <v>1.4E-2</v>
      </c>
      <c r="Z74" s="33">
        <f t="shared" si="33"/>
        <v>1.4E-2</v>
      </c>
      <c r="AA74" s="38">
        <f t="shared" si="34"/>
        <v>57</v>
      </c>
      <c r="AB74" s="218">
        <f t="shared" si="35"/>
        <v>14</v>
      </c>
      <c r="AC74" s="218">
        <f t="shared" si="36"/>
        <v>1</v>
      </c>
      <c r="AD74" s="218">
        <f t="shared" si="37"/>
        <v>42</v>
      </c>
      <c r="AE74" s="38">
        <f t="shared" si="38"/>
        <v>57</v>
      </c>
      <c r="AF74" s="218">
        <f t="shared" si="39"/>
        <v>14</v>
      </c>
      <c r="AG74" s="218">
        <f t="shared" si="40"/>
        <v>1</v>
      </c>
      <c r="AH74" s="218">
        <f t="shared" si="41"/>
        <v>42</v>
      </c>
      <c r="AI74" s="33">
        <f>IF(SUM($AC74)=0,"",INDEX(Cascade!$BG:$BG,MATCH($E74,Cascade!$E:$E,0)))</f>
        <v>0.95</v>
      </c>
      <c r="AJ74" s="218">
        <f t="shared" si="42"/>
        <v>14</v>
      </c>
      <c r="AK74" s="218">
        <f t="shared" si="43"/>
        <v>1</v>
      </c>
      <c r="AL74" s="218">
        <f t="shared" si="44"/>
        <v>15</v>
      </c>
      <c r="AM74" s="218">
        <f t="shared" si="45"/>
        <v>14</v>
      </c>
      <c r="AN74" s="218">
        <f t="shared" si="46"/>
        <v>1</v>
      </c>
      <c r="AO74" s="38">
        <f t="shared" si="47"/>
        <v>42</v>
      </c>
      <c r="AP74" s="232">
        <v>6.0000000000000001E-3</v>
      </c>
      <c r="AQ74" s="33">
        <f t="shared" si="48"/>
        <v>6.0000000000000001E-3</v>
      </c>
      <c r="AR74" s="33">
        <f>IF(SUM($AO74)=0,"",INDEX(Cascade!$BG:$BG,MATCH($E74,Cascade!$E:$E,0)))</f>
        <v>0.95</v>
      </c>
      <c r="AS74" s="218">
        <f t="shared" si="49"/>
        <v>0</v>
      </c>
      <c r="AT74" s="218">
        <f t="shared" si="50"/>
        <v>42</v>
      </c>
      <c r="AU74" s="38" t="str">
        <f t="shared" si="51"/>
        <v/>
      </c>
      <c r="AV74" s="38">
        <f t="shared" si="52"/>
        <v>15</v>
      </c>
      <c r="AW74" s="38">
        <f>IFERROR(1/(1/INDEX(Cascade!$BH:$BH,MATCH($E74,Cascade!$E:$E,0))),"")</f>
        <v>903</v>
      </c>
      <c r="AX74" s="38">
        <f t="shared" si="53"/>
        <v>1</v>
      </c>
      <c r="AY74" s="38" t="str">
        <f t="shared" si="54"/>
        <v/>
      </c>
      <c r="AZ74" s="38">
        <f>IFERROR(1/(1/INDEX(TB!$P:$P,MATCH($E74,TB!$E:$E,0))),"")</f>
        <v>6</v>
      </c>
      <c r="BA74" s="38">
        <f t="shared" si="55"/>
        <v>896</v>
      </c>
    </row>
    <row r="75" spans="1:53" x14ac:dyDescent="0.2">
      <c r="A75" t="str">
        <f>INDEX(Prioritization!$D:$D,MATCH($B75,Prioritization!$A:$A,0))</f>
        <v>1 - Scale-up: Saturation</v>
      </c>
      <c r="B75" t="s">
        <v>317</v>
      </c>
      <c r="C75" t="s">
        <v>474</v>
      </c>
      <c r="D75" t="s">
        <v>30</v>
      </c>
      <c r="E75" t="str">
        <f t="shared" si="28"/>
        <v>Machinga District [TYnMSwzko3z]|10-14|Female</v>
      </c>
      <c r="F75" s="38">
        <f>IF(LEFT($B75,4)="_Mil","",INDEX(Cascade!$T:$T,MATCH($E75,Cascade!$E:$E,0)))</f>
        <v>62620</v>
      </c>
      <c r="G75" s="38">
        <f>IF(LEFT($B75,4)="_Mil","",INDEX(Cascade!$U:$U,MATCH($E75,Cascade!$E:$E,0)))</f>
        <v>499</v>
      </c>
      <c r="H75" s="110">
        <f>IF(LEFT($B75,4)="_Mil","",INDEX(Cascade!$W:$W,MATCH($E75,Cascade!$E:$E,0)))</f>
        <v>7.9611460000000005E-3</v>
      </c>
      <c r="I75" s="38">
        <f>IF(LEFT($B75,4)="_Mil","",INDEX(Cascade!$Z:$Z,MATCH($E75,Cascade!$E:$E,0)))</f>
        <v>427</v>
      </c>
      <c r="J75" s="33">
        <f>IF(LEFT($B75,4)="_Mil","",INDEX(Cascade!$AA:$AA,MATCH($E75,Cascade!$E:$E,0)))</f>
        <v>0.75694518300000002</v>
      </c>
      <c r="K75" s="218" t="str">
        <f>IF(LEFT($B75,4)="_Mil","",_xlfn.IFNA(ROUND(INDEX(Spectrum!$N:$N,MATCH(RIGHT($B75,13)&amp;"|"&amp;$C75&amp;"|"&amp;$D75&amp;"|"&amp;K$14&amp;"|"&amp;"CY2024Q3",Spectrum!$R:$R,0)),0),""))</f>
        <v/>
      </c>
      <c r="L75" s="218" t="str">
        <f>IF(LEFT($B75,4)="_Mil","",_xlfn.IFNA(ROUND(INDEX(Spectrum!$N:$N,MATCH(RIGHT($B75,13)&amp;"|"&amp;$C75&amp;"|"&amp;$D75&amp;"|"&amp;L$14&amp;"|"&amp;"CY2024Q3",Spectrum!$R:$R,0)),0),""))</f>
        <v/>
      </c>
      <c r="M75" s="218" t="str">
        <f>IF(LEFT($B75,4)="_Mil","",_xlfn.IFNA(ROUND(INDEX(Spectrum!$N:$N,MATCH(RIGHT($B75,13)&amp;"|"&amp;$C75&amp;"|"&amp;$D75&amp;"|"&amp;M$14&amp;"|"&amp;"CY2024Q3",Spectrum!$R:$R,0)),0),""))</f>
        <v/>
      </c>
      <c r="N75" s="218" t="str">
        <f>IF(LEFT($B75,4)="_Mil","",_xlfn.IFNA(ROUND(INDEX(Spectrum!$N:$N,MATCH(RIGHT($B75,13)&amp;"|"&amp;$C75&amp;"|"&amp;$D75&amp;"|"&amp;N$14&amp;"|"&amp;"CY2024Q3",Spectrum!$R:$R,0)),0),""))</f>
        <v/>
      </c>
      <c r="O75" s="218" t="str">
        <f>IF(LEFT($B75,4)="_Mil","",_xlfn.IFNA(ROUND(INDEX(Spectrum!$N:$N,MATCH(RIGHT($B75,13)&amp;"|"&amp;$C75&amp;"|"&amp;$D75&amp;"|"&amp;O$14&amp;"|"&amp;"CY2024Q3",Spectrum!$R:$R,0)),0),""))</f>
        <v/>
      </c>
      <c r="P75" s="218" t="str">
        <f>IF(LEFT($B75,4)="_Mil","",_xlfn.IFNA(ROUND(INDEX(Spectrum!$N:$N,MATCH(RIGHT($B75,13)&amp;"|"&amp;$C75&amp;"|"&amp;$D75&amp;"|"&amp;P$14&amp;"|"&amp;"CY2024Q3",Spectrum!$R:$R,0)),0),""))</f>
        <v/>
      </c>
      <c r="Q75" s="218" t="str">
        <f>IF(LEFT($B75,4)="_Mil","",_xlfn.IFNA(ROUND(INDEX(Spectrum!$N:$N,MATCH(RIGHT($B75,13)&amp;"|"&amp;$C75&amp;"|"&amp;$D75&amp;"|"&amp;Q$14&amp;"|"&amp;"CY2024Q3",Spectrum!$R:$R,0)),0),""))</f>
        <v/>
      </c>
      <c r="R75" s="38">
        <v>113</v>
      </c>
      <c r="S75" s="33">
        <v>0</v>
      </c>
      <c r="T75" s="218">
        <f t="shared" si="29"/>
        <v>113</v>
      </c>
      <c r="U75" s="33">
        <f t="shared" si="30"/>
        <v>1</v>
      </c>
      <c r="V75" s="218">
        <f t="shared" si="31"/>
        <v>113</v>
      </c>
      <c r="W75" s="33">
        <v>1.2E-2</v>
      </c>
      <c r="X75" s="33">
        <f t="shared" si="32"/>
        <v>1.2E-2</v>
      </c>
      <c r="Y75" s="231">
        <v>8.0000000000000002E-3</v>
      </c>
      <c r="Z75" s="33">
        <f t="shared" si="33"/>
        <v>8.0000000000000002E-3</v>
      </c>
      <c r="AA75" s="38">
        <f t="shared" si="34"/>
        <v>113</v>
      </c>
      <c r="AB75" s="218">
        <f t="shared" si="35"/>
        <v>1</v>
      </c>
      <c r="AC75" s="218">
        <f t="shared" si="36"/>
        <v>1</v>
      </c>
      <c r="AD75" s="218">
        <f t="shared" si="37"/>
        <v>111</v>
      </c>
      <c r="AE75" s="38">
        <f t="shared" si="38"/>
        <v>113</v>
      </c>
      <c r="AF75" s="218">
        <f t="shared" si="39"/>
        <v>1</v>
      </c>
      <c r="AG75" s="218">
        <f t="shared" si="40"/>
        <v>1</v>
      </c>
      <c r="AH75" s="218">
        <f t="shared" si="41"/>
        <v>111</v>
      </c>
      <c r="AI75" s="33">
        <f>IF(SUM($AC75)=0,"",INDEX(Cascade!$BG:$BG,MATCH($E75,Cascade!$E:$E,0)))</f>
        <v>0.95</v>
      </c>
      <c r="AJ75" s="218">
        <f t="shared" si="42"/>
        <v>1</v>
      </c>
      <c r="AK75" s="218">
        <f t="shared" si="43"/>
        <v>1</v>
      </c>
      <c r="AL75" s="218">
        <f t="shared" si="44"/>
        <v>2</v>
      </c>
      <c r="AM75" s="218">
        <f t="shared" si="45"/>
        <v>1</v>
      </c>
      <c r="AN75" s="218">
        <f t="shared" si="46"/>
        <v>1</v>
      </c>
      <c r="AO75" s="38">
        <f t="shared" si="47"/>
        <v>111</v>
      </c>
      <c r="AP75" s="232">
        <v>4.0000000000000001E-3</v>
      </c>
      <c r="AQ75" s="33">
        <f t="shared" si="48"/>
        <v>4.0000000000000001E-3</v>
      </c>
      <c r="AR75" s="33">
        <f>IF(SUM($AO75)=0,"",INDEX(Cascade!$BG:$BG,MATCH($E75,Cascade!$E:$E,0)))</f>
        <v>0.95</v>
      </c>
      <c r="AS75" s="218">
        <f t="shared" si="49"/>
        <v>0</v>
      </c>
      <c r="AT75" s="218">
        <f t="shared" si="50"/>
        <v>111</v>
      </c>
      <c r="AU75" s="38" t="str">
        <f t="shared" si="51"/>
        <v/>
      </c>
      <c r="AV75" s="38">
        <f t="shared" si="52"/>
        <v>2</v>
      </c>
      <c r="AW75" s="38">
        <f>IFERROR(1/(1/INDEX(Cascade!$BH:$BH,MATCH($E75,Cascade!$E:$E,0))),"")</f>
        <v>48</v>
      </c>
      <c r="AX75" s="38">
        <f t="shared" si="53"/>
        <v>1</v>
      </c>
      <c r="AY75" s="38" t="str">
        <f t="shared" si="54"/>
        <v/>
      </c>
      <c r="AZ75" s="38" t="str">
        <f>IFERROR(1/(1/INDEX(TB!$P:$P,MATCH($E75,TB!$E:$E,0))),"")</f>
        <v/>
      </c>
      <c r="BA75" s="38">
        <f t="shared" si="55"/>
        <v>47</v>
      </c>
    </row>
    <row r="76" spans="1:53" x14ac:dyDescent="0.2">
      <c r="A76" t="str">
        <f>INDEX(Prioritization!$D:$D,MATCH($B76,Prioritization!$A:$A,0))</f>
        <v>1 - Scale-up: Saturation</v>
      </c>
      <c r="B76" t="s">
        <v>317</v>
      </c>
      <c r="C76" t="s">
        <v>475</v>
      </c>
      <c r="D76" t="s">
        <v>30</v>
      </c>
      <c r="E76" t="str">
        <f t="shared" si="28"/>
        <v>Machinga District [TYnMSwzko3z]|15-24|Female</v>
      </c>
      <c r="F76" s="38">
        <f>IF(LEFT($B76,4)="_Mil","",INDEX(Cascade!$T:$T,MATCH($E76,Cascade!$E:$E,0)))</f>
        <v>100698</v>
      </c>
      <c r="G76" s="38">
        <f>IF(LEFT($B76,4)="_Mil","",INDEX(Cascade!$U:$U,MATCH($E76,Cascade!$E:$E,0)))</f>
        <v>1603</v>
      </c>
      <c r="H76" s="110">
        <f>IF(LEFT($B76,4)="_Mil","",INDEX(Cascade!$W:$W,MATCH($E76,Cascade!$E:$E,0)))</f>
        <v>1.5920289000000001E-2</v>
      </c>
      <c r="I76" s="38">
        <f>IF(LEFT($B76,4)="_Mil","",INDEX(Cascade!$Z:$Z,MATCH($E76,Cascade!$E:$E,0)))</f>
        <v>1717</v>
      </c>
      <c r="J76" s="33">
        <f>IF(LEFT($B76,4)="_Mil","",INDEX(Cascade!$AA:$AA,MATCH($E76,Cascade!$E:$E,0)))</f>
        <v>0.93894512100000005</v>
      </c>
      <c r="K76" s="218">
        <f>IF(LEFT($B76,4)="_Mil","",_xlfn.IFNA(ROUND(INDEX(Spectrum!$N:$N,MATCH(RIGHT($B76,13)&amp;"|"&amp;$C76&amp;"|"&amp;$D76&amp;"|"&amp;K$14&amp;"|"&amp;"CY2024Q3",Spectrum!$R:$R,0)),0),""))</f>
        <v>15149</v>
      </c>
      <c r="L76" s="218">
        <f>IF(LEFT($B76,4)="_Mil","",_xlfn.IFNA(ROUND(INDEX(Spectrum!$N:$N,MATCH(RIGHT($B76,13)&amp;"|"&amp;$C76&amp;"|"&amp;$D76&amp;"|"&amp;L$14&amp;"|"&amp;"CY2024Q3",Spectrum!$R:$R,0)),0),""))</f>
        <v>189</v>
      </c>
      <c r="M76" s="218">
        <f>IF(LEFT($B76,4)="_Mil","",_xlfn.IFNA(ROUND(INDEX(Spectrum!$N:$N,MATCH(RIGHT($B76,13)&amp;"|"&amp;$C76&amp;"|"&amp;$D76&amp;"|"&amp;M$14&amp;"|"&amp;"CY2024Q3",Spectrum!$R:$R,0)),0),""))</f>
        <v>85</v>
      </c>
      <c r="N76" s="218">
        <f>IF(LEFT($B76,4)="_Mil","",_xlfn.IFNA(ROUND(INDEX(Spectrum!$N:$N,MATCH(RIGHT($B76,13)&amp;"|"&amp;$C76&amp;"|"&amp;$D76&amp;"|"&amp;N$14&amp;"|"&amp;"CY2024Q3",Spectrum!$R:$R,0)),0),""))</f>
        <v>14875</v>
      </c>
      <c r="O76" s="218">
        <f>IF(LEFT($B76,4)="_Mil","",_xlfn.IFNA(ROUND(INDEX(Spectrum!$N:$N,MATCH(RIGHT($B76,13)&amp;"|"&amp;$C76&amp;"|"&amp;$D76&amp;"|"&amp;O$14&amp;"|"&amp;"CY2024Q3",Spectrum!$R:$R,0)),0),""))</f>
        <v>274</v>
      </c>
      <c r="P76" s="218">
        <f>IF(LEFT($B76,4)="_Mil","",_xlfn.IFNA(ROUND(INDEX(Spectrum!$N:$N,MATCH(RIGHT($B76,13)&amp;"|"&amp;$C76&amp;"|"&amp;$D76&amp;"|"&amp;P$14&amp;"|"&amp;"CY2024Q3",Spectrum!$R:$R,0)),0),""))</f>
        <v>189</v>
      </c>
      <c r="Q76" s="218">
        <f>IF(LEFT($B76,4)="_Mil","",_xlfn.IFNA(ROUND(INDEX(Spectrum!$N:$N,MATCH(RIGHT($B76,13)&amp;"|"&amp;$C76&amp;"|"&amp;$D76&amp;"|"&amp;Q$14&amp;"|"&amp;"CY2024Q3",Spectrum!$R:$R,0)),0),""))</f>
        <v>85</v>
      </c>
      <c r="R76" s="38">
        <v>17578</v>
      </c>
      <c r="S76" s="33">
        <v>0</v>
      </c>
      <c r="T76" s="218">
        <f t="shared" si="29"/>
        <v>17578</v>
      </c>
      <c r="U76" s="33">
        <f t="shared" si="30"/>
        <v>1</v>
      </c>
      <c r="V76" s="218">
        <f t="shared" si="31"/>
        <v>17578</v>
      </c>
      <c r="W76" s="33">
        <v>1.2E-2</v>
      </c>
      <c r="X76" s="33">
        <f t="shared" si="32"/>
        <v>1.2476071027790614E-2</v>
      </c>
      <c r="Y76" s="231">
        <v>8.9999999999999993E-3</v>
      </c>
      <c r="Z76" s="33">
        <f t="shared" si="33"/>
        <v>5.681818181818182E-3</v>
      </c>
      <c r="AA76" s="38">
        <f t="shared" si="34"/>
        <v>17578</v>
      </c>
      <c r="AB76" s="218">
        <f t="shared" si="35"/>
        <v>219</v>
      </c>
      <c r="AC76" s="218">
        <f t="shared" si="36"/>
        <v>99</v>
      </c>
      <c r="AD76" s="218">
        <f t="shared" si="37"/>
        <v>17260</v>
      </c>
      <c r="AE76" s="38">
        <f t="shared" si="38"/>
        <v>17578</v>
      </c>
      <c r="AF76" s="218">
        <f t="shared" si="39"/>
        <v>219</v>
      </c>
      <c r="AG76" s="218">
        <f t="shared" si="40"/>
        <v>99</v>
      </c>
      <c r="AH76" s="218">
        <f t="shared" si="41"/>
        <v>17260</v>
      </c>
      <c r="AI76" s="33">
        <f>IF(SUM($AC76)=0,"",INDEX(Cascade!$BG:$BG,MATCH($E76,Cascade!$E:$E,0)))</f>
        <v>0.95</v>
      </c>
      <c r="AJ76" s="218">
        <f t="shared" si="42"/>
        <v>219</v>
      </c>
      <c r="AK76" s="218">
        <f t="shared" si="43"/>
        <v>94</v>
      </c>
      <c r="AL76" s="218">
        <f t="shared" si="44"/>
        <v>318</v>
      </c>
      <c r="AM76" s="218">
        <f t="shared" si="45"/>
        <v>219</v>
      </c>
      <c r="AN76" s="218">
        <f t="shared" si="46"/>
        <v>94</v>
      </c>
      <c r="AO76" s="38">
        <f t="shared" si="47"/>
        <v>17260</v>
      </c>
      <c r="AP76" s="232">
        <v>4.0000000000000001E-3</v>
      </c>
      <c r="AQ76" s="33">
        <f t="shared" si="48"/>
        <v>4.0000000000000001E-3</v>
      </c>
      <c r="AR76" s="33">
        <f>IF(SUM($AO76)=0,"",INDEX(Cascade!$BG:$BG,MATCH($E76,Cascade!$E:$E,0)))</f>
        <v>0.95</v>
      </c>
      <c r="AS76" s="218">
        <f t="shared" si="49"/>
        <v>69</v>
      </c>
      <c r="AT76" s="218">
        <f t="shared" si="50"/>
        <v>17191</v>
      </c>
      <c r="AU76" s="38">
        <f t="shared" si="51"/>
        <v>66</v>
      </c>
      <c r="AV76" s="38">
        <f t="shared" si="52"/>
        <v>387</v>
      </c>
      <c r="AW76" s="38">
        <f>IFERROR(1/(1/INDEX(Cascade!$BH:$BH,MATCH($E76,Cascade!$E:$E,0))),"")</f>
        <v>274</v>
      </c>
      <c r="AX76" s="38">
        <f t="shared" si="53"/>
        <v>99</v>
      </c>
      <c r="AY76" s="38">
        <f t="shared" si="54"/>
        <v>69</v>
      </c>
      <c r="AZ76" s="38">
        <f>IFERROR(1/(1/INDEX(TB!$P:$P,MATCH($E76,TB!$E:$E,0))),"")</f>
        <v>2</v>
      </c>
      <c r="BA76" s="38">
        <f t="shared" si="55"/>
        <v>104</v>
      </c>
    </row>
    <row r="77" spans="1:53" x14ac:dyDescent="0.2">
      <c r="A77" t="str">
        <f>INDEX(Prioritization!$D:$D,MATCH($B77,Prioritization!$A:$A,0))</f>
        <v>1 - Scale-up: Saturation</v>
      </c>
      <c r="B77" t="s">
        <v>317</v>
      </c>
      <c r="C77" t="s">
        <v>476</v>
      </c>
      <c r="D77" t="s">
        <v>30</v>
      </c>
      <c r="E77" t="str">
        <f t="shared" si="28"/>
        <v>Machinga District [TYnMSwzko3z]|25-34|Female</v>
      </c>
      <c r="F77" s="38">
        <f>IF(LEFT($B77,4)="_Mil","",INDEX(Cascade!$T:$T,MATCH($E77,Cascade!$E:$E,0)))</f>
        <v>68261</v>
      </c>
      <c r="G77" s="38">
        <f>IF(LEFT($B77,4)="_Mil","",INDEX(Cascade!$U:$U,MATCH($E77,Cascade!$E:$E,0)))</f>
        <v>4005</v>
      </c>
      <c r="H77" s="110">
        <f>IF(LEFT($B77,4)="_Mil","",INDEX(Cascade!$W:$W,MATCH($E77,Cascade!$E:$E,0)))</f>
        <v>5.8673555000000002E-2</v>
      </c>
      <c r="I77" s="38">
        <f>IF(LEFT($B77,4)="_Mil","",INDEX(Cascade!$Z:$Z,MATCH($E77,Cascade!$E:$E,0)))</f>
        <v>4397</v>
      </c>
      <c r="J77" s="33">
        <f>IF(LEFT($B77,4)="_Mil","",INDEX(Cascade!$AA:$AA,MATCH($E77,Cascade!$E:$E,0)))</f>
        <v>0.96755493000000015</v>
      </c>
      <c r="K77" s="218">
        <f>IF(LEFT($B77,4)="_Mil","",_xlfn.IFNA(ROUND(INDEX(Spectrum!$N:$N,MATCH(RIGHT($B77,13)&amp;"|"&amp;$C77&amp;"|"&amp;$D77&amp;"|"&amp;K$14&amp;"|"&amp;"CY2024Q3",Spectrum!$R:$R,0)),0),""))</f>
        <v>9977</v>
      </c>
      <c r="L77" s="218">
        <f>IF(LEFT($B77,4)="_Mil","",_xlfn.IFNA(ROUND(INDEX(Spectrum!$N:$N,MATCH(RIGHT($B77,13)&amp;"|"&amp;$C77&amp;"|"&amp;$D77&amp;"|"&amp;L$14&amp;"|"&amp;"CY2024Q3",Spectrum!$R:$R,0)),0),""))</f>
        <v>362</v>
      </c>
      <c r="M77" s="218">
        <f>IF(LEFT($B77,4)="_Mil","",_xlfn.IFNA(ROUND(INDEX(Spectrum!$N:$N,MATCH(RIGHT($B77,13)&amp;"|"&amp;$C77&amp;"|"&amp;$D77&amp;"|"&amp;M$14&amp;"|"&amp;"CY2024Q3",Spectrum!$R:$R,0)),0),""))</f>
        <v>115</v>
      </c>
      <c r="N77" s="218">
        <f>IF(LEFT($B77,4)="_Mil","",_xlfn.IFNA(ROUND(INDEX(Spectrum!$N:$N,MATCH(RIGHT($B77,13)&amp;"|"&amp;$C77&amp;"|"&amp;$D77&amp;"|"&amp;N$14&amp;"|"&amp;"CY2024Q3",Spectrum!$R:$R,0)),0),""))</f>
        <v>9499</v>
      </c>
      <c r="O77" s="218">
        <f>IF(LEFT($B77,4)="_Mil","",_xlfn.IFNA(ROUND(INDEX(Spectrum!$N:$N,MATCH(RIGHT($B77,13)&amp;"|"&amp;$C77&amp;"|"&amp;$D77&amp;"|"&amp;O$14&amp;"|"&amp;"CY2024Q3",Spectrum!$R:$R,0)),0),""))</f>
        <v>477</v>
      </c>
      <c r="P77" s="218">
        <f>IF(LEFT($B77,4)="_Mil","",_xlfn.IFNA(ROUND(INDEX(Spectrum!$N:$N,MATCH(RIGHT($B77,13)&amp;"|"&amp;$C77&amp;"|"&amp;$D77&amp;"|"&amp;P$14&amp;"|"&amp;"CY2024Q3",Spectrum!$R:$R,0)),0),""))</f>
        <v>362</v>
      </c>
      <c r="Q77" s="218">
        <f>IF(LEFT($B77,4)="_Mil","",_xlfn.IFNA(ROUND(INDEX(Spectrum!$N:$N,MATCH(RIGHT($B77,13)&amp;"|"&amp;$C77&amp;"|"&amp;$D77&amp;"|"&amp;Q$14&amp;"|"&amp;"CY2024Q3",Spectrum!$R:$R,0)),0),""))</f>
        <v>115</v>
      </c>
      <c r="R77" s="38">
        <v>11566</v>
      </c>
      <c r="S77" s="33">
        <v>0</v>
      </c>
      <c r="T77" s="218">
        <f t="shared" si="29"/>
        <v>11566</v>
      </c>
      <c r="U77" s="33">
        <f t="shared" si="30"/>
        <v>1</v>
      </c>
      <c r="V77" s="218">
        <f t="shared" si="31"/>
        <v>11566</v>
      </c>
      <c r="W77" s="33">
        <v>4.7E-2</v>
      </c>
      <c r="X77" s="33">
        <f t="shared" si="32"/>
        <v>4.7E-2</v>
      </c>
      <c r="Y77" s="231">
        <v>1.7999999999999999E-2</v>
      </c>
      <c r="Z77" s="33">
        <f t="shared" si="33"/>
        <v>1.1960478419136765E-2</v>
      </c>
      <c r="AA77" s="38">
        <f t="shared" si="34"/>
        <v>11566</v>
      </c>
      <c r="AB77" s="218">
        <f t="shared" si="35"/>
        <v>544</v>
      </c>
      <c r="AC77" s="218">
        <f t="shared" si="36"/>
        <v>132</v>
      </c>
      <c r="AD77" s="218">
        <f t="shared" si="37"/>
        <v>10890</v>
      </c>
      <c r="AE77" s="38">
        <f t="shared" si="38"/>
        <v>11566</v>
      </c>
      <c r="AF77" s="218">
        <f t="shared" si="39"/>
        <v>544</v>
      </c>
      <c r="AG77" s="218">
        <f t="shared" si="40"/>
        <v>132</v>
      </c>
      <c r="AH77" s="218">
        <f t="shared" si="41"/>
        <v>10890</v>
      </c>
      <c r="AI77" s="33">
        <f>IF(SUM($AC77)=0,"",INDEX(Cascade!$BG:$BG,MATCH($E77,Cascade!$E:$E,0)))</f>
        <v>0.95</v>
      </c>
      <c r="AJ77" s="218">
        <f t="shared" si="42"/>
        <v>544</v>
      </c>
      <c r="AK77" s="218">
        <f t="shared" si="43"/>
        <v>125</v>
      </c>
      <c r="AL77" s="218">
        <f t="shared" si="44"/>
        <v>676</v>
      </c>
      <c r="AM77" s="218">
        <f t="shared" si="45"/>
        <v>544</v>
      </c>
      <c r="AN77" s="218">
        <f t="shared" si="46"/>
        <v>125</v>
      </c>
      <c r="AO77" s="38">
        <f t="shared" si="47"/>
        <v>10890</v>
      </c>
      <c r="AP77" s="232">
        <v>7.0000000000000001E-3</v>
      </c>
      <c r="AQ77" s="33">
        <f t="shared" si="48"/>
        <v>7.0000000000000001E-3</v>
      </c>
      <c r="AR77" s="33">
        <f>IF(SUM($AO77)=0,"",INDEX(Cascade!$BG:$BG,MATCH($E77,Cascade!$E:$E,0)))</f>
        <v>0.95</v>
      </c>
      <c r="AS77" s="218">
        <f t="shared" si="49"/>
        <v>76</v>
      </c>
      <c r="AT77" s="218">
        <f t="shared" si="50"/>
        <v>10814</v>
      </c>
      <c r="AU77" s="38">
        <f t="shared" si="51"/>
        <v>72</v>
      </c>
      <c r="AV77" s="38">
        <f t="shared" si="52"/>
        <v>752</v>
      </c>
      <c r="AW77" s="38">
        <f>IFERROR(1/(1/INDEX(Cascade!$BH:$BH,MATCH($E77,Cascade!$E:$E,0))),"")</f>
        <v>436</v>
      </c>
      <c r="AX77" s="38">
        <f t="shared" si="53"/>
        <v>132</v>
      </c>
      <c r="AY77" s="38">
        <f t="shared" si="54"/>
        <v>76</v>
      </c>
      <c r="AZ77" s="38">
        <f>IFERROR(1/(1/INDEX(TB!$P:$P,MATCH($E77,TB!$E:$E,0))),"")</f>
        <v>2</v>
      </c>
      <c r="BA77" s="38">
        <f t="shared" si="55"/>
        <v>226</v>
      </c>
    </row>
    <row r="78" spans="1:53" x14ac:dyDescent="0.2">
      <c r="A78" t="str">
        <f>INDEX(Prioritization!$D:$D,MATCH($B78,Prioritization!$A:$A,0))</f>
        <v>1 - Scale-up: Saturation</v>
      </c>
      <c r="B78" t="s">
        <v>317</v>
      </c>
      <c r="C78" t="s">
        <v>477</v>
      </c>
      <c r="D78" t="s">
        <v>30</v>
      </c>
      <c r="E78" t="str">
        <f t="shared" si="28"/>
        <v>Machinga District [TYnMSwzko3z]|35-49|Female</v>
      </c>
      <c r="F78" s="38">
        <f>IF(LEFT($B78,4)="_Mil","",INDEX(Cascade!$T:$T,MATCH($E78,Cascade!$E:$E,0)))</f>
        <v>64203</v>
      </c>
      <c r="G78" s="38">
        <f>IF(LEFT($B78,4)="_Mil","",INDEX(Cascade!$U:$U,MATCH($E78,Cascade!$E:$E,0)))</f>
        <v>9758</v>
      </c>
      <c r="H78" s="110">
        <f>IF(LEFT($B78,4)="_Mil","",INDEX(Cascade!$W:$W,MATCH($E78,Cascade!$E:$E,0)))</f>
        <v>0.151992774</v>
      </c>
      <c r="I78" s="38">
        <f>IF(LEFT($B78,4)="_Mil","",INDEX(Cascade!$Z:$Z,MATCH($E78,Cascade!$E:$E,0)))</f>
        <v>10946</v>
      </c>
      <c r="J78" s="33">
        <f>IF(LEFT($B78,4)="_Mil","",INDEX(Cascade!$AA:$AA,MATCH($E78,Cascade!$E:$E,0)))</f>
        <v>0.98380439700000011</v>
      </c>
      <c r="K78" s="218">
        <f>IF(LEFT($B78,4)="_Mil","",_xlfn.IFNA(ROUND(INDEX(Spectrum!$N:$N,MATCH(RIGHT($B78,13)&amp;"|"&amp;$C78&amp;"|"&amp;$D78&amp;"|"&amp;K$14&amp;"|"&amp;"CY2024Q3",Spectrum!$R:$R,0)),0),""))</f>
        <v>3457</v>
      </c>
      <c r="L78" s="218">
        <f>IF(LEFT($B78,4)="_Mil","",_xlfn.IFNA(ROUND(INDEX(Spectrum!$N:$N,MATCH(RIGHT($B78,13)&amp;"|"&amp;$C78&amp;"|"&amp;$D78&amp;"|"&amp;L$14&amp;"|"&amp;"CY2024Q3",Spectrum!$R:$R,0)),0),""))</f>
        <v>281</v>
      </c>
      <c r="M78" s="218">
        <f>IF(LEFT($B78,4)="_Mil","",_xlfn.IFNA(ROUND(INDEX(Spectrum!$N:$N,MATCH(RIGHT($B78,13)&amp;"|"&amp;$C78&amp;"|"&amp;$D78&amp;"|"&amp;M$14&amp;"|"&amp;"CY2024Q3",Spectrum!$R:$R,0)),0),""))</f>
        <v>31</v>
      </c>
      <c r="N78" s="218">
        <f>IF(LEFT($B78,4)="_Mil","",_xlfn.IFNA(ROUND(INDEX(Spectrum!$N:$N,MATCH(RIGHT($B78,13)&amp;"|"&amp;$C78&amp;"|"&amp;$D78&amp;"|"&amp;N$14&amp;"|"&amp;"CY2024Q3",Spectrum!$R:$R,0)),0),""))</f>
        <v>3145</v>
      </c>
      <c r="O78" s="218">
        <f>IF(LEFT($B78,4)="_Mil","",_xlfn.IFNA(ROUND(INDEX(Spectrum!$N:$N,MATCH(RIGHT($B78,13)&amp;"|"&amp;$C78&amp;"|"&amp;$D78&amp;"|"&amp;O$14&amp;"|"&amp;"CY2024Q3",Spectrum!$R:$R,0)),0),""))</f>
        <v>312</v>
      </c>
      <c r="P78" s="218">
        <f>IF(LEFT($B78,4)="_Mil","",_xlfn.IFNA(ROUND(INDEX(Spectrum!$N:$N,MATCH(RIGHT($B78,13)&amp;"|"&amp;$C78&amp;"|"&amp;$D78&amp;"|"&amp;P$14&amp;"|"&amp;"CY2024Q3",Spectrum!$R:$R,0)),0),""))</f>
        <v>281</v>
      </c>
      <c r="Q78" s="218">
        <f>IF(LEFT($B78,4)="_Mil","",_xlfn.IFNA(ROUND(INDEX(Spectrum!$N:$N,MATCH(RIGHT($B78,13)&amp;"|"&amp;$C78&amp;"|"&amp;$D78&amp;"|"&amp;Q$14&amp;"|"&amp;"CY2024Q3",Spectrum!$R:$R,0)),0),""))</f>
        <v>31</v>
      </c>
      <c r="R78" s="38">
        <v>2886</v>
      </c>
      <c r="S78" s="33">
        <v>0</v>
      </c>
      <c r="T78" s="218">
        <f t="shared" si="29"/>
        <v>2886</v>
      </c>
      <c r="U78" s="33">
        <f t="shared" si="30"/>
        <v>0.83482788544981201</v>
      </c>
      <c r="V78" s="218">
        <f t="shared" si="31"/>
        <v>3457</v>
      </c>
      <c r="W78" s="33">
        <v>9.6000000000000002E-2</v>
      </c>
      <c r="X78" s="33">
        <f t="shared" si="32"/>
        <v>9.6000000000000002E-2</v>
      </c>
      <c r="Y78" s="231">
        <v>1.7999999999999999E-2</v>
      </c>
      <c r="Z78" s="33">
        <f t="shared" si="33"/>
        <v>9.7607052896725444E-3</v>
      </c>
      <c r="AA78" s="38">
        <f t="shared" si="34"/>
        <v>2886</v>
      </c>
      <c r="AB78" s="218">
        <f t="shared" si="35"/>
        <v>277</v>
      </c>
      <c r="AC78" s="218">
        <f t="shared" si="36"/>
        <v>25</v>
      </c>
      <c r="AD78" s="218">
        <f t="shared" si="37"/>
        <v>2584</v>
      </c>
      <c r="AE78" s="38">
        <f t="shared" si="38"/>
        <v>3457</v>
      </c>
      <c r="AF78" s="218">
        <f t="shared" si="39"/>
        <v>332</v>
      </c>
      <c r="AG78" s="218">
        <f t="shared" si="40"/>
        <v>31</v>
      </c>
      <c r="AH78" s="218">
        <f t="shared" si="41"/>
        <v>3094</v>
      </c>
      <c r="AI78" s="33">
        <f>IF(SUM($AC78)=0,"",INDEX(Cascade!$BG:$BG,MATCH($E78,Cascade!$E:$E,0)))</f>
        <v>0.95</v>
      </c>
      <c r="AJ78" s="218">
        <f t="shared" si="42"/>
        <v>277</v>
      </c>
      <c r="AK78" s="218">
        <f t="shared" si="43"/>
        <v>24</v>
      </c>
      <c r="AL78" s="218">
        <f t="shared" si="44"/>
        <v>363</v>
      </c>
      <c r="AM78" s="218">
        <f t="shared" si="45"/>
        <v>332</v>
      </c>
      <c r="AN78" s="218">
        <f t="shared" si="46"/>
        <v>29</v>
      </c>
      <c r="AO78" s="38">
        <f t="shared" si="47"/>
        <v>2584</v>
      </c>
      <c r="AP78" s="232">
        <v>8.9999999999999993E-3</v>
      </c>
      <c r="AQ78" s="33">
        <f t="shared" si="48"/>
        <v>8.9999999999999993E-3</v>
      </c>
      <c r="AR78" s="33">
        <f>IF(SUM($AO78)=0,"",INDEX(Cascade!$BG:$BG,MATCH($E78,Cascade!$E:$E,0)))</f>
        <v>0.95</v>
      </c>
      <c r="AS78" s="218">
        <f t="shared" si="49"/>
        <v>23</v>
      </c>
      <c r="AT78" s="218">
        <f t="shared" si="50"/>
        <v>2561</v>
      </c>
      <c r="AU78" s="38">
        <f t="shared" si="51"/>
        <v>22</v>
      </c>
      <c r="AV78" s="38">
        <f t="shared" si="52"/>
        <v>325</v>
      </c>
      <c r="AW78" s="38">
        <f>IFERROR(1/(1/INDEX(Cascade!$BH:$BH,MATCH($E78,Cascade!$E:$E,0))),"")</f>
        <v>280</v>
      </c>
      <c r="AX78" s="38">
        <f t="shared" si="53"/>
        <v>25</v>
      </c>
      <c r="AY78" s="38">
        <f t="shared" si="54"/>
        <v>23</v>
      </c>
      <c r="AZ78" s="38">
        <f>IFERROR(1/(1/INDEX(TB!$P:$P,MATCH($E78,TB!$E:$E,0))),"")</f>
        <v>2</v>
      </c>
      <c r="BA78" s="38">
        <f t="shared" si="55"/>
        <v>230</v>
      </c>
    </row>
    <row r="79" spans="1:53" x14ac:dyDescent="0.2">
      <c r="A79" t="str">
        <f>INDEX(Prioritization!$D:$D,MATCH($B79,Prioritization!$A:$A,0))</f>
        <v>1 - Scale-up: Saturation</v>
      </c>
      <c r="B79" t="s">
        <v>317</v>
      </c>
      <c r="C79" t="s">
        <v>478</v>
      </c>
      <c r="D79" t="s">
        <v>30</v>
      </c>
      <c r="E79" t="str">
        <f t="shared" ref="E79:E110" si="56">B79&amp;"|"&amp;C79&amp;"|"&amp;D79</f>
        <v>Machinga District [TYnMSwzko3z]|50+|Female</v>
      </c>
      <c r="F79" s="38">
        <f>IF(LEFT($B79,4)="_Mil","",INDEX(Cascade!$T:$T,MATCH($E79,Cascade!$E:$E,0)))</f>
        <v>38368</v>
      </c>
      <c r="G79" s="38">
        <f>IF(LEFT($B79,4)="_Mil","",INDEX(Cascade!$U:$U,MATCH($E79,Cascade!$E:$E,0)))</f>
        <v>4537</v>
      </c>
      <c r="H79" s="110">
        <f>IF(LEFT($B79,4)="_Mil","",INDEX(Cascade!$W:$W,MATCH($E79,Cascade!$E:$E,0)))</f>
        <v>0.11824370100000001</v>
      </c>
      <c r="I79" s="38">
        <f>IF(LEFT($B79,4)="_Mil","",INDEX(Cascade!$Z:$Z,MATCH($E79,Cascade!$E:$E,0)))</f>
        <v>5130</v>
      </c>
      <c r="J79" s="33">
        <f>IF(LEFT($B79,4)="_Mil","",INDEX(Cascade!$AA:$AA,MATCH($E79,Cascade!$E:$E,0)))</f>
        <v>0.98894703500000003</v>
      </c>
      <c r="K79" s="218" t="str">
        <f>IF(LEFT($B79,4)="_Mil","",_xlfn.IFNA(ROUND(INDEX(Spectrum!$N:$N,MATCH(RIGHT($B79,13)&amp;"|"&amp;$C79&amp;"|"&amp;$D79&amp;"|"&amp;K$14&amp;"|"&amp;"CY2024Q3",Spectrum!$R:$R,0)),0),""))</f>
        <v/>
      </c>
      <c r="L79" s="218" t="str">
        <f>IF(LEFT($B79,4)="_Mil","",_xlfn.IFNA(ROUND(INDEX(Spectrum!$N:$N,MATCH(RIGHT($B79,13)&amp;"|"&amp;$C79&amp;"|"&amp;$D79&amp;"|"&amp;L$14&amp;"|"&amp;"CY2024Q3",Spectrum!$R:$R,0)),0),""))</f>
        <v/>
      </c>
      <c r="M79" s="218" t="str">
        <f>IF(LEFT($B79,4)="_Mil","",_xlfn.IFNA(ROUND(INDEX(Spectrum!$N:$N,MATCH(RIGHT($B79,13)&amp;"|"&amp;$C79&amp;"|"&amp;$D79&amp;"|"&amp;M$14&amp;"|"&amp;"CY2024Q3",Spectrum!$R:$R,0)),0),""))</f>
        <v/>
      </c>
      <c r="N79" s="218" t="str">
        <f>IF(LEFT($B79,4)="_Mil","",_xlfn.IFNA(ROUND(INDEX(Spectrum!$N:$N,MATCH(RIGHT($B79,13)&amp;"|"&amp;$C79&amp;"|"&amp;$D79&amp;"|"&amp;N$14&amp;"|"&amp;"CY2024Q3",Spectrum!$R:$R,0)),0),""))</f>
        <v/>
      </c>
      <c r="O79" s="218" t="str">
        <f>IF(LEFT($B79,4)="_Mil","",_xlfn.IFNA(ROUND(INDEX(Spectrum!$N:$N,MATCH(RIGHT($B79,13)&amp;"|"&amp;$C79&amp;"|"&amp;$D79&amp;"|"&amp;O$14&amp;"|"&amp;"CY2024Q3",Spectrum!$R:$R,0)),0),""))</f>
        <v/>
      </c>
      <c r="P79" s="218" t="str">
        <f>IF(LEFT($B79,4)="_Mil","",_xlfn.IFNA(ROUND(INDEX(Spectrum!$N:$N,MATCH(RIGHT($B79,13)&amp;"|"&amp;$C79&amp;"|"&amp;$D79&amp;"|"&amp;P$14&amp;"|"&amp;"CY2024Q3",Spectrum!$R:$R,0)),0),""))</f>
        <v/>
      </c>
      <c r="Q79" s="218" t="str">
        <f>IF(LEFT($B79,4)="_Mil","",_xlfn.IFNA(ROUND(INDEX(Spectrum!$N:$N,MATCH(RIGHT($B79,13)&amp;"|"&amp;$C79&amp;"|"&amp;$D79&amp;"|"&amp;Q$14&amp;"|"&amp;"CY2024Q3",Spectrum!$R:$R,0)),0),""))</f>
        <v/>
      </c>
      <c r="R79" s="38">
        <v>34</v>
      </c>
      <c r="S79" s="33">
        <v>0</v>
      </c>
      <c r="T79" s="218">
        <f t="shared" ref="T79:T110" si="57">IF(SUM($R79)=0,"",ROUND($R79*(1+$S79),0))</f>
        <v>34</v>
      </c>
      <c r="U79" s="33">
        <f t="shared" ref="U79:U110" si="58">IF(LEFT($B79,4)="_Mil","",IF(SUM($K79)=0,IF(SUM($R79)=0,"",1),MIN($R79/$K79,1)))</f>
        <v>1</v>
      </c>
      <c r="V79" s="218">
        <f t="shared" ref="V79:V110" si="59">IF(OR(SUM($T79)=0,LEFT($B79,4)="_Mil"),"",ROUND($T79/$U79,0))</f>
        <v>34</v>
      </c>
      <c r="W79" s="33">
        <v>5.6000000000000001E-2</v>
      </c>
      <c r="X79" s="33">
        <f t="shared" ref="X79:X110" si="60">IF(SUM($K79,$W79)=0,"",MAX(IFERROR(SUM($L79)/$K79,0),SUM($W79)))</f>
        <v>5.6000000000000001E-2</v>
      </c>
      <c r="Y79" s="231">
        <v>1.4E-2</v>
      </c>
      <c r="Z79" s="33">
        <f t="shared" ref="Z79:Z110" si="61">IF(SUM($K79,$Y79)=0,"",MIN(SUM($Y79),IFERROR(SUM($M79)/(SUM($K79)-SUM($L79)),1)))</f>
        <v>1.4E-2</v>
      </c>
      <c r="AA79" s="38">
        <f t="shared" ref="AA79:AA110" si="62">$T79</f>
        <v>34</v>
      </c>
      <c r="AB79" s="218">
        <f t="shared" ref="AB79:AB110" si="63">IF(SUM($AA79)=0,"",IF(AND(SUM($AA79)&gt;0,$X79=""),"ENTER KNOWN POSITIVITY RATE",ROUND($AA79*$X79,0)))</f>
        <v>2</v>
      </c>
      <c r="AC79" s="218">
        <f t="shared" ref="AC79:AC110" si="64">IF(SUM($AA79)=0,"",IF(AND((SUM($AA79)-SUM($AB79))&gt;0,$Z79=""),"ENTER YIELD RATE",ROUND(($AA79-SUM($AB79))*$Z79,0)))</f>
        <v>0</v>
      </c>
      <c r="AD79" s="218">
        <f t="shared" ref="AD79:AD110" si="65">IF(SUM($AA79)=0,"",$AA79-SUM($AB79)-SUM($AC79))</f>
        <v>32</v>
      </c>
      <c r="AE79" s="38">
        <f t="shared" ref="AE79:AE110" si="66">$V79</f>
        <v>34</v>
      </c>
      <c r="AF79" s="218">
        <f t="shared" ref="AF79:AF110" si="67">IF(SUM($AE79)=0,"",ROUND($AE79*SUM($X79),0))</f>
        <v>2</v>
      </c>
      <c r="AG79" s="218">
        <f t="shared" ref="AG79:AG110" si="68">IF(SUM($AE79)=0,"",ROUND(($AE79-SUM($AF79))*SUM($Z79),0))</f>
        <v>0</v>
      </c>
      <c r="AH79" s="218">
        <f t="shared" ref="AH79:AH110" si="69">IF(SUM($AE79)=0,"",$AE79-SUM($AF79)-SUM($AG79))</f>
        <v>32</v>
      </c>
      <c r="AI79" s="33" t="str">
        <f>IF(SUM($AC79)=0,"",INDEX(Cascade!$BG:$BG,MATCH($E79,Cascade!$E:$E,0)))</f>
        <v/>
      </c>
      <c r="AJ79" s="218">
        <f t="shared" ref="AJ79:AJ110" si="70">$AB79</f>
        <v>2</v>
      </c>
      <c r="AK79" s="218" t="str">
        <f t="shared" ref="AK79:AK110" si="71">IF(SUM($AC79)=0,"",IF(AND($AI79="",SUM($AC79)&gt;0),"&lt;- Enter Linkage Rate",ROUND($AC79*$AI79,0)))</f>
        <v/>
      </c>
      <c r="AL79" s="218">
        <f t="shared" ref="AL79:AL110" si="72">IF(SUM($AF79,$AG79)=0,"",SUM($AF79,$AG79))</f>
        <v>2</v>
      </c>
      <c r="AM79" s="218">
        <f t="shared" ref="AM79:AM110" si="73">$AF79</f>
        <v>2</v>
      </c>
      <c r="AN79" s="218" t="str">
        <f t="shared" ref="AN79:AN110" si="74">IF(SUM($AG79)=0,"",ROUND($AG79*SUM($AI79),0))</f>
        <v/>
      </c>
      <c r="AO79" s="38">
        <f t="shared" ref="AO79:AO110" si="75">IFERROR(1/(1/MAX(SUM($T79)-SUM($AB79,$AC79),$AD79)),"")</f>
        <v>32</v>
      </c>
      <c r="AP79" s="232">
        <v>6.0000000000000001E-3</v>
      </c>
      <c r="AQ79" s="33">
        <f t="shared" ref="AQ79:AQ110" si="76">IF($AP79="","",$AP79)</f>
        <v>6.0000000000000001E-3</v>
      </c>
      <c r="AR79" s="33">
        <f>IF(SUM($AO79)=0,"",INDEX(Cascade!$BG:$BG,MATCH($E79,Cascade!$E:$E,0)))</f>
        <v>0.95</v>
      </c>
      <c r="AS79" s="218">
        <f t="shared" ref="AS79:AS110" si="77">IF(SUM($AO79)=0,"",IF(AND(SUM($AO79)&gt;0,$AQ79=""),"ENTER YIELD RATE",ROUND($AO79*$AQ79,0)))</f>
        <v>0</v>
      </c>
      <c r="AT79" s="218">
        <f t="shared" ref="AT79:AT110" si="78">IF(SUM($AO79)=0,"",$AO79-SUM($AS79))</f>
        <v>32</v>
      </c>
      <c r="AU79" s="38" t="str">
        <f t="shared" ref="AU79:AU110" si="79">IF(SUM($AS79)=0,"",ROUND($AS79*$AR79,0))</f>
        <v/>
      </c>
      <c r="AV79" s="38">
        <f t="shared" ref="AV79:AV110" si="80">IFERROR(1/(1/SUM($AC79,$AB79,$AS79)),"")</f>
        <v>2</v>
      </c>
      <c r="AW79" s="38">
        <f>IFERROR(1/(1/INDEX(Cascade!$BH:$BH,MATCH($E79,Cascade!$E:$E,0))),"")</f>
        <v>179</v>
      </c>
      <c r="AX79" s="38" t="str">
        <f t="shared" ref="AX79:AX110" si="81">IF(SUM($AC79)=0,"",$AC79)</f>
        <v/>
      </c>
      <c r="AY79" s="38" t="str">
        <f t="shared" ref="AY79:AY110" si="82">IF(SUM($AS79)=0,"",$AS79)</f>
        <v/>
      </c>
      <c r="AZ79" s="38">
        <f>IFERROR(1/(1/INDEX(TB!$P:$P,MATCH($E79,TB!$E:$E,0))),"")</f>
        <v>1</v>
      </c>
      <c r="BA79" s="38">
        <f t="shared" ref="BA79:BA110" si="83">IFERROR(1/(1/(SUM($AW79)-SUM($AX79:$AZ79))),"")</f>
        <v>178</v>
      </c>
    </row>
    <row r="80" spans="1:53" x14ac:dyDescent="0.2">
      <c r="A80" t="str">
        <f>INDEX(Prioritization!$D:$D,MATCH($B80,Prioritization!$A:$A,0))</f>
        <v>1 - Scale-up: Saturation</v>
      </c>
      <c r="B80" t="s">
        <v>318</v>
      </c>
      <c r="C80" t="s">
        <v>474</v>
      </c>
      <c r="D80" t="s">
        <v>30</v>
      </c>
      <c r="E80" t="str">
        <f t="shared" si="56"/>
        <v>Mangochi District [lLDyBx5XyUi]|10-14|Female</v>
      </c>
      <c r="F80" s="38">
        <f>IF(LEFT($B80,4)="_Mil","",INDEX(Cascade!$T:$T,MATCH($E80,Cascade!$E:$E,0)))</f>
        <v>91354</v>
      </c>
      <c r="G80" s="38">
        <f>IF(LEFT($B80,4)="_Mil","",INDEX(Cascade!$U:$U,MATCH($E80,Cascade!$E:$E,0)))</f>
        <v>1066</v>
      </c>
      <c r="H80" s="110">
        <f>IF(LEFT($B80,4)="_Mil","",INDEX(Cascade!$W:$W,MATCH($E80,Cascade!$E:$E,0)))</f>
        <v>1.1669863000000001E-2</v>
      </c>
      <c r="I80" s="38">
        <f>IF(LEFT($B80,4)="_Mil","",INDEX(Cascade!$Z:$Z,MATCH($E80,Cascade!$E:$E,0)))</f>
        <v>874</v>
      </c>
      <c r="J80" s="33">
        <f>IF(LEFT($B80,4)="_Mil","",INDEX(Cascade!$AA:$AA,MATCH($E80,Cascade!$E:$E,0)))</f>
        <v>0.84063538999999998</v>
      </c>
      <c r="K80" s="218" t="str">
        <f>IF(LEFT($B80,4)="_Mil","",_xlfn.IFNA(ROUND(INDEX(Spectrum!$N:$N,MATCH(RIGHT($B80,13)&amp;"|"&amp;$C80&amp;"|"&amp;$D80&amp;"|"&amp;K$14&amp;"|"&amp;"CY2024Q3",Spectrum!$R:$R,0)),0),""))</f>
        <v/>
      </c>
      <c r="L80" s="218" t="str">
        <f>IF(LEFT($B80,4)="_Mil","",_xlfn.IFNA(ROUND(INDEX(Spectrum!$N:$N,MATCH(RIGHT($B80,13)&amp;"|"&amp;$C80&amp;"|"&amp;$D80&amp;"|"&amp;L$14&amp;"|"&amp;"CY2024Q3",Spectrum!$R:$R,0)),0),""))</f>
        <v/>
      </c>
      <c r="M80" s="218" t="str">
        <f>IF(LEFT($B80,4)="_Mil","",_xlfn.IFNA(ROUND(INDEX(Spectrum!$N:$N,MATCH(RIGHT($B80,13)&amp;"|"&amp;$C80&amp;"|"&amp;$D80&amp;"|"&amp;M$14&amp;"|"&amp;"CY2024Q3",Spectrum!$R:$R,0)),0),""))</f>
        <v/>
      </c>
      <c r="N80" s="218" t="str">
        <f>IF(LEFT($B80,4)="_Mil","",_xlfn.IFNA(ROUND(INDEX(Spectrum!$N:$N,MATCH(RIGHT($B80,13)&amp;"|"&amp;$C80&amp;"|"&amp;$D80&amp;"|"&amp;N$14&amp;"|"&amp;"CY2024Q3",Spectrum!$R:$R,0)),0),""))</f>
        <v/>
      </c>
      <c r="O80" s="218" t="str">
        <f>IF(LEFT($B80,4)="_Mil","",_xlfn.IFNA(ROUND(INDEX(Spectrum!$N:$N,MATCH(RIGHT($B80,13)&amp;"|"&amp;$C80&amp;"|"&amp;$D80&amp;"|"&amp;O$14&amp;"|"&amp;"CY2024Q3",Spectrum!$R:$R,0)),0),""))</f>
        <v/>
      </c>
      <c r="P80" s="218" t="str">
        <f>IF(LEFT($B80,4)="_Mil","",_xlfn.IFNA(ROUND(INDEX(Spectrum!$N:$N,MATCH(RIGHT($B80,13)&amp;"|"&amp;$C80&amp;"|"&amp;$D80&amp;"|"&amp;P$14&amp;"|"&amp;"CY2024Q3",Spectrum!$R:$R,0)),0),""))</f>
        <v/>
      </c>
      <c r="Q80" s="218" t="str">
        <f>IF(LEFT($B80,4)="_Mil","",_xlfn.IFNA(ROUND(INDEX(Spectrum!$N:$N,MATCH(RIGHT($B80,13)&amp;"|"&amp;$C80&amp;"|"&amp;$D80&amp;"|"&amp;Q$14&amp;"|"&amp;"CY2024Q3",Spectrum!$R:$R,0)),0),""))</f>
        <v/>
      </c>
      <c r="R80" s="38">
        <v>176</v>
      </c>
      <c r="S80" s="33">
        <v>0</v>
      </c>
      <c r="T80" s="218">
        <f t="shared" si="57"/>
        <v>176</v>
      </c>
      <c r="U80" s="33">
        <f t="shared" si="58"/>
        <v>1</v>
      </c>
      <c r="V80" s="218">
        <f t="shared" si="59"/>
        <v>176</v>
      </c>
      <c r="W80" s="33">
        <v>1.2999999999999999E-2</v>
      </c>
      <c r="X80" s="33">
        <f t="shared" si="60"/>
        <v>1.2999999999999999E-2</v>
      </c>
      <c r="Y80" s="231">
        <v>8.0000000000000002E-3</v>
      </c>
      <c r="Z80" s="33">
        <f t="shared" si="61"/>
        <v>8.0000000000000002E-3</v>
      </c>
      <c r="AA80" s="38">
        <f t="shared" si="62"/>
        <v>176</v>
      </c>
      <c r="AB80" s="218">
        <f t="shared" si="63"/>
        <v>2</v>
      </c>
      <c r="AC80" s="218">
        <f t="shared" si="64"/>
        <v>1</v>
      </c>
      <c r="AD80" s="218">
        <f t="shared" si="65"/>
        <v>173</v>
      </c>
      <c r="AE80" s="38">
        <f t="shared" si="66"/>
        <v>176</v>
      </c>
      <c r="AF80" s="218">
        <f t="shared" si="67"/>
        <v>2</v>
      </c>
      <c r="AG80" s="218">
        <f t="shared" si="68"/>
        <v>1</v>
      </c>
      <c r="AH80" s="218">
        <f t="shared" si="69"/>
        <v>173</v>
      </c>
      <c r="AI80" s="33">
        <f>IF(SUM($AC80)=0,"",INDEX(Cascade!$BG:$BG,MATCH($E80,Cascade!$E:$E,0)))</f>
        <v>0.95</v>
      </c>
      <c r="AJ80" s="218">
        <f t="shared" si="70"/>
        <v>2</v>
      </c>
      <c r="AK80" s="218">
        <f t="shared" si="71"/>
        <v>1</v>
      </c>
      <c r="AL80" s="218">
        <f t="shared" si="72"/>
        <v>3</v>
      </c>
      <c r="AM80" s="218">
        <f t="shared" si="73"/>
        <v>2</v>
      </c>
      <c r="AN80" s="218">
        <f t="shared" si="74"/>
        <v>1</v>
      </c>
      <c r="AO80" s="38">
        <f t="shared" si="75"/>
        <v>173</v>
      </c>
      <c r="AP80" s="232">
        <v>4.0000000000000001E-3</v>
      </c>
      <c r="AQ80" s="33">
        <f t="shared" si="76"/>
        <v>4.0000000000000001E-3</v>
      </c>
      <c r="AR80" s="33">
        <f>IF(SUM($AO80)=0,"",INDEX(Cascade!$BG:$BG,MATCH($E80,Cascade!$E:$E,0)))</f>
        <v>0.95</v>
      </c>
      <c r="AS80" s="218">
        <f t="shared" si="77"/>
        <v>1</v>
      </c>
      <c r="AT80" s="218">
        <f t="shared" si="78"/>
        <v>172</v>
      </c>
      <c r="AU80" s="38">
        <f t="shared" si="79"/>
        <v>1</v>
      </c>
      <c r="AV80" s="38">
        <f t="shared" si="80"/>
        <v>4</v>
      </c>
      <c r="AW80" s="38">
        <f>IFERROR(1/(1/INDEX(Cascade!$BH:$BH,MATCH($E80,Cascade!$E:$E,0))),"")</f>
        <v>92</v>
      </c>
      <c r="AX80" s="38">
        <f t="shared" si="81"/>
        <v>1</v>
      </c>
      <c r="AY80" s="38">
        <f t="shared" si="82"/>
        <v>1</v>
      </c>
      <c r="AZ80" s="38" t="str">
        <f>IFERROR(1/(1/INDEX(TB!$P:$P,MATCH($E80,TB!$E:$E,0))),"")</f>
        <v/>
      </c>
      <c r="BA80" s="38">
        <f t="shared" si="83"/>
        <v>90</v>
      </c>
    </row>
    <row r="81" spans="1:53" x14ac:dyDescent="0.2">
      <c r="A81" t="str">
        <f>INDEX(Prioritization!$D:$D,MATCH($B81,Prioritization!$A:$A,0))</f>
        <v>1 - Scale-up: Saturation</v>
      </c>
      <c r="B81" t="s">
        <v>318</v>
      </c>
      <c r="C81" t="s">
        <v>475</v>
      </c>
      <c r="D81" t="s">
        <v>30</v>
      </c>
      <c r="E81" t="str">
        <f t="shared" si="56"/>
        <v>Mangochi District [lLDyBx5XyUi]|15-24|Female</v>
      </c>
      <c r="F81" s="38">
        <f>IF(LEFT($B81,4)="_Mil","",INDEX(Cascade!$T:$T,MATCH($E81,Cascade!$E:$E,0)))</f>
        <v>159628</v>
      </c>
      <c r="G81" s="38">
        <f>IF(LEFT($B81,4)="_Mil","",INDEX(Cascade!$U:$U,MATCH($E81,Cascade!$E:$E,0)))</f>
        <v>3536</v>
      </c>
      <c r="H81" s="110">
        <f>IF(LEFT($B81,4)="_Mil","",INDEX(Cascade!$W:$W,MATCH($E81,Cascade!$E:$E,0)))</f>
        <v>2.2151093E-2</v>
      </c>
      <c r="I81" s="38">
        <f>IF(LEFT($B81,4)="_Mil","",INDEX(Cascade!$Z:$Z,MATCH($E81,Cascade!$E:$E,0)))</f>
        <v>3175</v>
      </c>
      <c r="J81" s="33">
        <f>IF(LEFT($B81,4)="_Mil","",INDEX(Cascade!$AA:$AA,MATCH($E81,Cascade!$E:$E,0)))</f>
        <v>0.94357294599999997</v>
      </c>
      <c r="K81" s="218">
        <f>IF(LEFT($B81,4)="_Mil","",_xlfn.IFNA(ROUND(INDEX(Spectrum!$N:$N,MATCH(RIGHT($B81,13)&amp;"|"&amp;$C81&amp;"|"&amp;$D81&amp;"|"&amp;K$14&amp;"|"&amp;"CY2024Q3",Spectrum!$R:$R,0)),0),""))</f>
        <v>23985</v>
      </c>
      <c r="L81" s="218">
        <f>IF(LEFT($B81,4)="_Mil","",_xlfn.IFNA(ROUND(INDEX(Spectrum!$N:$N,MATCH(RIGHT($B81,13)&amp;"|"&amp;$C81&amp;"|"&amp;$D81&amp;"|"&amp;L$14&amp;"|"&amp;"CY2024Q3",Spectrum!$R:$R,0)),0),""))</f>
        <v>436</v>
      </c>
      <c r="M81" s="218">
        <f>IF(LEFT($B81,4)="_Mil","",_xlfn.IFNA(ROUND(INDEX(Spectrum!$N:$N,MATCH(RIGHT($B81,13)&amp;"|"&amp;$C81&amp;"|"&amp;$D81&amp;"|"&amp;M$14&amp;"|"&amp;"CY2024Q3",Spectrum!$R:$R,0)),0),""))</f>
        <v>174</v>
      </c>
      <c r="N81" s="218">
        <f>IF(LEFT($B81,4)="_Mil","",_xlfn.IFNA(ROUND(INDEX(Spectrum!$N:$N,MATCH(RIGHT($B81,13)&amp;"|"&amp;$C81&amp;"|"&amp;$D81&amp;"|"&amp;N$14&amp;"|"&amp;"CY2024Q3",Spectrum!$R:$R,0)),0),""))</f>
        <v>23375</v>
      </c>
      <c r="O81" s="218">
        <f>IF(LEFT($B81,4)="_Mil","",_xlfn.IFNA(ROUND(INDEX(Spectrum!$N:$N,MATCH(RIGHT($B81,13)&amp;"|"&amp;$C81&amp;"|"&amp;$D81&amp;"|"&amp;O$14&amp;"|"&amp;"CY2024Q3",Spectrum!$R:$R,0)),0),""))</f>
        <v>610</v>
      </c>
      <c r="P81" s="218">
        <f>IF(LEFT($B81,4)="_Mil","",_xlfn.IFNA(ROUND(INDEX(Spectrum!$N:$N,MATCH(RIGHT($B81,13)&amp;"|"&amp;$C81&amp;"|"&amp;$D81&amp;"|"&amp;P$14&amp;"|"&amp;"CY2024Q3",Spectrum!$R:$R,0)),0),""))</f>
        <v>436</v>
      </c>
      <c r="Q81" s="218">
        <f>IF(LEFT($B81,4)="_Mil","",_xlfn.IFNA(ROUND(INDEX(Spectrum!$N:$N,MATCH(RIGHT($B81,13)&amp;"|"&amp;$C81&amp;"|"&amp;$D81&amp;"|"&amp;Q$14&amp;"|"&amp;"CY2024Q3",Spectrum!$R:$R,0)),0),""))</f>
        <v>174</v>
      </c>
      <c r="R81" s="38">
        <v>31310</v>
      </c>
      <c r="S81" s="33">
        <v>0</v>
      </c>
      <c r="T81" s="218">
        <f t="shared" si="57"/>
        <v>31310</v>
      </c>
      <c r="U81" s="33">
        <f t="shared" si="58"/>
        <v>1</v>
      </c>
      <c r="V81" s="218">
        <f t="shared" si="59"/>
        <v>31310</v>
      </c>
      <c r="W81" s="33">
        <v>0.02</v>
      </c>
      <c r="X81" s="33">
        <f t="shared" si="60"/>
        <v>0.02</v>
      </c>
      <c r="Y81" s="231">
        <v>8.9999999999999993E-3</v>
      </c>
      <c r="Z81" s="33">
        <f t="shared" si="61"/>
        <v>7.3888487833878294E-3</v>
      </c>
      <c r="AA81" s="38">
        <f t="shared" si="62"/>
        <v>31310</v>
      </c>
      <c r="AB81" s="218">
        <f t="shared" si="63"/>
        <v>626</v>
      </c>
      <c r="AC81" s="218">
        <f t="shared" si="64"/>
        <v>227</v>
      </c>
      <c r="AD81" s="218">
        <f t="shared" si="65"/>
        <v>30457</v>
      </c>
      <c r="AE81" s="38">
        <f t="shared" si="66"/>
        <v>31310</v>
      </c>
      <c r="AF81" s="218">
        <f t="shared" si="67"/>
        <v>626</v>
      </c>
      <c r="AG81" s="218">
        <f t="shared" si="68"/>
        <v>227</v>
      </c>
      <c r="AH81" s="218">
        <f t="shared" si="69"/>
        <v>30457</v>
      </c>
      <c r="AI81" s="33">
        <f>IF(SUM($AC81)=0,"",INDEX(Cascade!$BG:$BG,MATCH($E81,Cascade!$E:$E,0)))</f>
        <v>0.95</v>
      </c>
      <c r="AJ81" s="218">
        <f t="shared" si="70"/>
        <v>626</v>
      </c>
      <c r="AK81" s="218">
        <f t="shared" si="71"/>
        <v>216</v>
      </c>
      <c r="AL81" s="218">
        <f t="shared" si="72"/>
        <v>853</v>
      </c>
      <c r="AM81" s="218">
        <f t="shared" si="73"/>
        <v>626</v>
      </c>
      <c r="AN81" s="218">
        <f t="shared" si="74"/>
        <v>216</v>
      </c>
      <c r="AO81" s="38">
        <f t="shared" si="75"/>
        <v>30457</v>
      </c>
      <c r="AP81" s="232">
        <v>4.0000000000000001E-3</v>
      </c>
      <c r="AQ81" s="33">
        <f t="shared" si="76"/>
        <v>4.0000000000000001E-3</v>
      </c>
      <c r="AR81" s="33">
        <f>IF(SUM($AO81)=0,"",INDEX(Cascade!$BG:$BG,MATCH($E81,Cascade!$E:$E,0)))</f>
        <v>0.95</v>
      </c>
      <c r="AS81" s="218">
        <f t="shared" si="77"/>
        <v>122</v>
      </c>
      <c r="AT81" s="218">
        <f t="shared" si="78"/>
        <v>30335</v>
      </c>
      <c r="AU81" s="38">
        <f t="shared" si="79"/>
        <v>116</v>
      </c>
      <c r="AV81" s="38">
        <f t="shared" si="80"/>
        <v>975</v>
      </c>
      <c r="AW81" s="38">
        <f>IFERROR(1/(1/INDEX(Cascade!$BH:$BH,MATCH($E81,Cascade!$E:$E,0))),"")</f>
        <v>574</v>
      </c>
      <c r="AX81" s="38">
        <f t="shared" si="81"/>
        <v>227</v>
      </c>
      <c r="AY81" s="38">
        <f t="shared" si="82"/>
        <v>122</v>
      </c>
      <c r="AZ81" s="38">
        <f>IFERROR(1/(1/INDEX(TB!$P:$P,MATCH($E81,TB!$E:$E,0))),"")</f>
        <v>2</v>
      </c>
      <c r="BA81" s="38">
        <f t="shared" si="83"/>
        <v>223</v>
      </c>
    </row>
    <row r="82" spans="1:53" x14ac:dyDescent="0.2">
      <c r="A82" t="str">
        <f>INDEX(Prioritization!$D:$D,MATCH($B82,Prioritization!$A:$A,0))</f>
        <v>1 - Scale-up: Saturation</v>
      </c>
      <c r="B82" t="s">
        <v>318</v>
      </c>
      <c r="C82" t="s">
        <v>476</v>
      </c>
      <c r="D82" t="s">
        <v>30</v>
      </c>
      <c r="E82" t="str">
        <f t="shared" si="56"/>
        <v>Mangochi District [lLDyBx5XyUi]|25-34|Female</v>
      </c>
      <c r="F82" s="38">
        <f>IF(LEFT($B82,4)="_Mil","",INDEX(Cascade!$T:$T,MATCH($E82,Cascade!$E:$E,0)))</f>
        <v>106616</v>
      </c>
      <c r="G82" s="38">
        <f>IF(LEFT($B82,4)="_Mil","",INDEX(Cascade!$U:$U,MATCH($E82,Cascade!$E:$E,0)))</f>
        <v>8827</v>
      </c>
      <c r="H82" s="110">
        <f>IF(LEFT($B82,4)="_Mil","",INDEX(Cascade!$W:$W,MATCH($E82,Cascade!$E:$E,0)))</f>
        <v>8.2788924E-2</v>
      </c>
      <c r="I82" s="38">
        <f>IF(LEFT($B82,4)="_Mil","",INDEX(Cascade!$Z:$Z,MATCH($E82,Cascade!$E:$E,0)))</f>
        <v>8146</v>
      </c>
      <c r="J82" s="33">
        <f>IF(LEFT($B82,4)="_Mil","",INDEX(Cascade!$AA:$AA,MATCH($E82,Cascade!$E:$E,0)))</f>
        <v>0.970080057</v>
      </c>
      <c r="K82" s="218">
        <f>IF(LEFT($B82,4)="_Mil","",_xlfn.IFNA(ROUND(INDEX(Spectrum!$N:$N,MATCH(RIGHT($B82,13)&amp;"|"&amp;$C82&amp;"|"&amp;$D82&amp;"|"&amp;K$14&amp;"|"&amp;"CY2024Q3",Spectrum!$R:$R,0)),0),""))</f>
        <v>15547</v>
      </c>
      <c r="L82" s="218">
        <f>IF(LEFT($B82,4)="_Mil","",_xlfn.IFNA(ROUND(INDEX(Spectrum!$N:$N,MATCH(RIGHT($B82,13)&amp;"|"&amp;$C82&amp;"|"&amp;$D82&amp;"|"&amp;L$14&amp;"|"&amp;"CY2024Q3",Spectrum!$R:$R,0)),0),""))</f>
        <v>831</v>
      </c>
      <c r="M82" s="218">
        <f>IF(LEFT($B82,4)="_Mil","",_xlfn.IFNA(ROUND(INDEX(Spectrum!$N:$N,MATCH(RIGHT($B82,13)&amp;"|"&amp;$C82&amp;"|"&amp;$D82&amp;"|"&amp;M$14&amp;"|"&amp;"CY2024Q3",Spectrum!$R:$R,0)),0),""))</f>
        <v>237</v>
      </c>
      <c r="N82" s="218">
        <f>IF(LEFT($B82,4)="_Mil","",_xlfn.IFNA(ROUND(INDEX(Spectrum!$N:$N,MATCH(RIGHT($B82,13)&amp;"|"&amp;$C82&amp;"|"&amp;$D82&amp;"|"&amp;N$14&amp;"|"&amp;"CY2024Q3",Spectrum!$R:$R,0)),0),""))</f>
        <v>14479</v>
      </c>
      <c r="O82" s="218">
        <f>IF(LEFT($B82,4)="_Mil","",_xlfn.IFNA(ROUND(INDEX(Spectrum!$N:$N,MATCH(RIGHT($B82,13)&amp;"|"&amp;$C82&amp;"|"&amp;$D82&amp;"|"&amp;O$14&amp;"|"&amp;"CY2024Q3",Spectrum!$R:$R,0)),0),""))</f>
        <v>1068</v>
      </c>
      <c r="P82" s="218">
        <f>IF(LEFT($B82,4)="_Mil","",_xlfn.IFNA(ROUND(INDEX(Spectrum!$N:$N,MATCH(RIGHT($B82,13)&amp;"|"&amp;$C82&amp;"|"&amp;$D82&amp;"|"&amp;P$14&amp;"|"&amp;"CY2024Q3",Spectrum!$R:$R,0)),0),""))</f>
        <v>831</v>
      </c>
      <c r="Q82" s="218">
        <f>IF(LEFT($B82,4)="_Mil","",_xlfn.IFNA(ROUND(INDEX(Spectrum!$N:$N,MATCH(RIGHT($B82,13)&amp;"|"&amp;$C82&amp;"|"&amp;$D82&amp;"|"&amp;Q$14&amp;"|"&amp;"CY2024Q3",Spectrum!$R:$R,0)),0),""))</f>
        <v>237</v>
      </c>
      <c r="R82" s="38">
        <v>17481</v>
      </c>
      <c r="S82" s="33">
        <v>0</v>
      </c>
      <c r="T82" s="218">
        <f t="shared" si="57"/>
        <v>17481</v>
      </c>
      <c r="U82" s="33">
        <f t="shared" si="58"/>
        <v>1</v>
      </c>
      <c r="V82" s="218">
        <f t="shared" si="59"/>
        <v>17481</v>
      </c>
      <c r="W82" s="33">
        <v>7.0999999999999994E-2</v>
      </c>
      <c r="X82" s="33">
        <f t="shared" si="60"/>
        <v>7.0999999999999994E-2</v>
      </c>
      <c r="Y82" s="231">
        <v>1.7999999999999999E-2</v>
      </c>
      <c r="Z82" s="33">
        <f t="shared" si="61"/>
        <v>1.6104919815167165E-2</v>
      </c>
      <c r="AA82" s="38">
        <f t="shared" si="62"/>
        <v>17481</v>
      </c>
      <c r="AB82" s="218">
        <f t="shared" si="63"/>
        <v>1241</v>
      </c>
      <c r="AC82" s="218">
        <f t="shared" si="64"/>
        <v>262</v>
      </c>
      <c r="AD82" s="218">
        <f t="shared" si="65"/>
        <v>15978</v>
      </c>
      <c r="AE82" s="38">
        <f t="shared" si="66"/>
        <v>17481</v>
      </c>
      <c r="AF82" s="218">
        <f t="shared" si="67"/>
        <v>1241</v>
      </c>
      <c r="AG82" s="218">
        <f t="shared" si="68"/>
        <v>262</v>
      </c>
      <c r="AH82" s="218">
        <f t="shared" si="69"/>
        <v>15978</v>
      </c>
      <c r="AI82" s="33">
        <f>IF(SUM($AC82)=0,"",INDEX(Cascade!$BG:$BG,MATCH($E82,Cascade!$E:$E,0)))</f>
        <v>0.95</v>
      </c>
      <c r="AJ82" s="218">
        <f t="shared" si="70"/>
        <v>1241</v>
      </c>
      <c r="AK82" s="218">
        <f t="shared" si="71"/>
        <v>249</v>
      </c>
      <c r="AL82" s="218">
        <f t="shared" si="72"/>
        <v>1503</v>
      </c>
      <c r="AM82" s="218">
        <f t="shared" si="73"/>
        <v>1241</v>
      </c>
      <c r="AN82" s="218">
        <f t="shared" si="74"/>
        <v>249</v>
      </c>
      <c r="AO82" s="38">
        <f t="shared" si="75"/>
        <v>15978.000000000002</v>
      </c>
      <c r="AP82" s="232">
        <v>7.0000000000000001E-3</v>
      </c>
      <c r="AQ82" s="33">
        <f t="shared" si="76"/>
        <v>7.0000000000000001E-3</v>
      </c>
      <c r="AR82" s="33">
        <f>IF(SUM($AO82)=0,"",INDEX(Cascade!$BG:$BG,MATCH($E82,Cascade!$E:$E,0)))</f>
        <v>0.95</v>
      </c>
      <c r="AS82" s="218">
        <f t="shared" si="77"/>
        <v>112</v>
      </c>
      <c r="AT82" s="218">
        <f t="shared" si="78"/>
        <v>15866.000000000002</v>
      </c>
      <c r="AU82" s="38">
        <f t="shared" si="79"/>
        <v>106</v>
      </c>
      <c r="AV82" s="38">
        <f t="shared" si="80"/>
        <v>1615</v>
      </c>
      <c r="AW82" s="38">
        <f>IFERROR(1/(1/INDEX(Cascade!$BH:$BH,MATCH($E82,Cascade!$E:$E,0))),"")</f>
        <v>713</v>
      </c>
      <c r="AX82" s="38">
        <f t="shared" si="81"/>
        <v>262</v>
      </c>
      <c r="AY82" s="38">
        <f t="shared" si="82"/>
        <v>112</v>
      </c>
      <c r="AZ82" s="38">
        <f>IFERROR(1/(1/INDEX(TB!$P:$P,MATCH($E82,TB!$E:$E,0))),"")</f>
        <v>2</v>
      </c>
      <c r="BA82" s="38">
        <f t="shared" si="83"/>
        <v>337</v>
      </c>
    </row>
    <row r="83" spans="1:53" x14ac:dyDescent="0.2">
      <c r="A83" t="str">
        <f>INDEX(Prioritization!$D:$D,MATCH($B83,Prioritization!$A:$A,0))</f>
        <v>1 - Scale-up: Saturation</v>
      </c>
      <c r="B83" t="s">
        <v>318</v>
      </c>
      <c r="C83" t="s">
        <v>477</v>
      </c>
      <c r="D83" t="s">
        <v>30</v>
      </c>
      <c r="E83" t="str">
        <f t="shared" si="56"/>
        <v>Mangochi District [lLDyBx5XyUi]|35-49|Female</v>
      </c>
      <c r="F83" s="38">
        <f>IF(LEFT($B83,4)="_Mil","",INDEX(Cascade!$T:$T,MATCH($E83,Cascade!$E:$E,0)))</f>
        <v>99896</v>
      </c>
      <c r="G83" s="38">
        <f>IF(LEFT($B83,4)="_Mil","",INDEX(Cascade!$U:$U,MATCH($E83,Cascade!$E:$E,0)))</f>
        <v>20538</v>
      </c>
      <c r="H83" s="110">
        <f>IF(LEFT($B83,4)="_Mil","",INDEX(Cascade!$W:$W,MATCH($E83,Cascade!$E:$E,0)))</f>
        <v>0.205594411</v>
      </c>
      <c r="I83" s="38">
        <f>IF(LEFT($B83,4)="_Mil","",INDEX(Cascade!$Z:$Z,MATCH($E83,Cascade!$E:$E,0)))</f>
        <v>19326</v>
      </c>
      <c r="J83" s="33">
        <f>IF(LEFT($B83,4)="_Mil","",INDEX(Cascade!$AA:$AA,MATCH($E83,Cascade!$E:$E,0)))</f>
        <v>0.98513753599999998</v>
      </c>
      <c r="K83" s="218">
        <f>IF(LEFT($B83,4)="_Mil","",_xlfn.IFNA(ROUND(INDEX(Spectrum!$N:$N,MATCH(RIGHT($B83,13)&amp;"|"&amp;$C83&amp;"|"&amp;$D83&amp;"|"&amp;K$14&amp;"|"&amp;"CY2024Q3",Spectrum!$R:$R,0)),0),""))</f>
        <v>5324</v>
      </c>
      <c r="L83" s="218">
        <f>IF(LEFT($B83,4)="_Mil","",_xlfn.IFNA(ROUND(INDEX(Spectrum!$N:$N,MATCH(RIGHT($B83,13)&amp;"|"&amp;$C83&amp;"|"&amp;$D83&amp;"|"&amp;L$14&amp;"|"&amp;"CY2024Q3",Spectrum!$R:$R,0)),0),""))</f>
        <v>618</v>
      </c>
      <c r="M83" s="218">
        <f>IF(LEFT($B83,4)="_Mil","",_xlfn.IFNA(ROUND(INDEX(Spectrum!$N:$N,MATCH(RIGHT($B83,13)&amp;"|"&amp;$C83&amp;"|"&amp;$D83&amp;"|"&amp;M$14&amp;"|"&amp;"CY2024Q3",Spectrum!$R:$R,0)),0),""))</f>
        <v>60</v>
      </c>
      <c r="N83" s="218">
        <f>IF(LEFT($B83,4)="_Mil","",_xlfn.IFNA(ROUND(INDEX(Spectrum!$N:$N,MATCH(RIGHT($B83,13)&amp;"|"&amp;$C83&amp;"|"&amp;$D83&amp;"|"&amp;N$14&amp;"|"&amp;"CY2024Q3",Spectrum!$R:$R,0)),0),""))</f>
        <v>4646</v>
      </c>
      <c r="O83" s="218">
        <f>IF(LEFT($B83,4)="_Mil","",_xlfn.IFNA(ROUND(INDEX(Spectrum!$N:$N,MATCH(RIGHT($B83,13)&amp;"|"&amp;$C83&amp;"|"&amp;$D83&amp;"|"&amp;O$14&amp;"|"&amp;"CY2024Q3",Spectrum!$R:$R,0)),0),""))</f>
        <v>678</v>
      </c>
      <c r="P83" s="218">
        <f>IF(LEFT($B83,4)="_Mil","",_xlfn.IFNA(ROUND(INDEX(Spectrum!$N:$N,MATCH(RIGHT($B83,13)&amp;"|"&amp;$C83&amp;"|"&amp;$D83&amp;"|"&amp;P$14&amp;"|"&amp;"CY2024Q3",Spectrum!$R:$R,0)),0),""))</f>
        <v>618</v>
      </c>
      <c r="Q83" s="218">
        <f>IF(LEFT($B83,4)="_Mil","",_xlfn.IFNA(ROUND(INDEX(Spectrum!$N:$N,MATCH(RIGHT($B83,13)&amp;"|"&amp;$C83&amp;"|"&amp;$D83&amp;"|"&amp;Q$14&amp;"|"&amp;"CY2024Q3",Spectrum!$R:$R,0)),0),""))</f>
        <v>60</v>
      </c>
      <c r="R83" s="38">
        <v>5051</v>
      </c>
      <c r="S83" s="33">
        <v>0</v>
      </c>
      <c r="T83" s="218">
        <f t="shared" si="57"/>
        <v>5051</v>
      </c>
      <c r="U83" s="33">
        <f t="shared" si="58"/>
        <v>0.94872276483846729</v>
      </c>
      <c r="V83" s="218">
        <f t="shared" si="59"/>
        <v>5324</v>
      </c>
      <c r="W83" s="33">
        <v>0.13800000000000001</v>
      </c>
      <c r="X83" s="33">
        <f t="shared" si="60"/>
        <v>0.13800000000000001</v>
      </c>
      <c r="Y83" s="231">
        <v>1.7999999999999999E-2</v>
      </c>
      <c r="Z83" s="33">
        <f t="shared" si="61"/>
        <v>1.2749681257968552E-2</v>
      </c>
      <c r="AA83" s="38">
        <f t="shared" si="62"/>
        <v>5051</v>
      </c>
      <c r="AB83" s="218">
        <f t="shared" si="63"/>
        <v>697</v>
      </c>
      <c r="AC83" s="218">
        <f t="shared" si="64"/>
        <v>56</v>
      </c>
      <c r="AD83" s="218">
        <f t="shared" si="65"/>
        <v>4298</v>
      </c>
      <c r="AE83" s="38">
        <f t="shared" si="66"/>
        <v>5324</v>
      </c>
      <c r="AF83" s="218">
        <f t="shared" si="67"/>
        <v>735</v>
      </c>
      <c r="AG83" s="218">
        <f t="shared" si="68"/>
        <v>59</v>
      </c>
      <c r="AH83" s="218">
        <f t="shared" si="69"/>
        <v>4530</v>
      </c>
      <c r="AI83" s="33">
        <f>IF(SUM($AC83)=0,"",INDEX(Cascade!$BG:$BG,MATCH($E83,Cascade!$E:$E,0)))</f>
        <v>0.95</v>
      </c>
      <c r="AJ83" s="218">
        <f t="shared" si="70"/>
        <v>697</v>
      </c>
      <c r="AK83" s="218">
        <f t="shared" si="71"/>
        <v>53</v>
      </c>
      <c r="AL83" s="218">
        <f t="shared" si="72"/>
        <v>794</v>
      </c>
      <c r="AM83" s="218">
        <f t="shared" si="73"/>
        <v>735</v>
      </c>
      <c r="AN83" s="218">
        <f t="shared" si="74"/>
        <v>56</v>
      </c>
      <c r="AO83" s="38">
        <f t="shared" si="75"/>
        <v>4298</v>
      </c>
      <c r="AP83" s="232">
        <v>8.9999999999999993E-3</v>
      </c>
      <c r="AQ83" s="33">
        <f t="shared" si="76"/>
        <v>8.9999999999999993E-3</v>
      </c>
      <c r="AR83" s="33">
        <f>IF(SUM($AO83)=0,"",INDEX(Cascade!$BG:$BG,MATCH($E83,Cascade!$E:$E,0)))</f>
        <v>0.95</v>
      </c>
      <c r="AS83" s="218">
        <f t="shared" si="77"/>
        <v>39</v>
      </c>
      <c r="AT83" s="218">
        <f t="shared" si="78"/>
        <v>4259</v>
      </c>
      <c r="AU83" s="38">
        <f t="shared" si="79"/>
        <v>37</v>
      </c>
      <c r="AV83" s="38">
        <f t="shared" si="80"/>
        <v>791.99999999999989</v>
      </c>
      <c r="AW83" s="38">
        <f>IFERROR(1/(1/INDEX(Cascade!$BH:$BH,MATCH($E83,Cascade!$E:$E,0))),"")</f>
        <v>802</v>
      </c>
      <c r="AX83" s="38">
        <f t="shared" si="81"/>
        <v>56</v>
      </c>
      <c r="AY83" s="38">
        <f t="shared" si="82"/>
        <v>39</v>
      </c>
      <c r="AZ83" s="38">
        <f>IFERROR(1/(1/INDEX(TB!$P:$P,MATCH($E83,TB!$E:$E,0))),"")</f>
        <v>4</v>
      </c>
      <c r="BA83" s="38">
        <f t="shared" si="83"/>
        <v>703</v>
      </c>
    </row>
    <row r="84" spans="1:53" x14ac:dyDescent="0.2">
      <c r="A84" t="str">
        <f>INDEX(Prioritization!$D:$D,MATCH($B84,Prioritization!$A:$A,0))</f>
        <v>1 - Scale-up: Saturation</v>
      </c>
      <c r="B84" t="s">
        <v>318</v>
      </c>
      <c r="C84" t="s">
        <v>478</v>
      </c>
      <c r="D84" t="s">
        <v>30</v>
      </c>
      <c r="E84" t="str">
        <f t="shared" si="56"/>
        <v>Mangochi District [lLDyBx5XyUi]|50+|Female</v>
      </c>
      <c r="F84" s="38">
        <f>IF(LEFT($B84,4)="_Mil","",INDEX(Cascade!$T:$T,MATCH($E84,Cascade!$E:$E,0)))</f>
        <v>60110</v>
      </c>
      <c r="G84" s="38">
        <f>IF(LEFT($B84,4)="_Mil","",INDEX(Cascade!$U:$U,MATCH($E84,Cascade!$E:$E,0)))</f>
        <v>9787</v>
      </c>
      <c r="H84" s="110">
        <f>IF(LEFT($B84,4)="_Mil","",INDEX(Cascade!$W:$W,MATCH($E84,Cascade!$E:$E,0)))</f>
        <v>0.162826216</v>
      </c>
      <c r="I84" s="38">
        <f>IF(LEFT($B84,4)="_Mil","",INDEX(Cascade!$Z:$Z,MATCH($E84,Cascade!$E:$E,0)))</f>
        <v>9262</v>
      </c>
      <c r="J84" s="33">
        <f>IF(LEFT($B84,4)="_Mil","",INDEX(Cascade!$AA:$AA,MATCH($E84,Cascade!$E:$E,0)))</f>
        <v>0.98985411400000012</v>
      </c>
      <c r="K84" s="218" t="str">
        <f>IF(LEFT($B84,4)="_Mil","",_xlfn.IFNA(ROUND(INDEX(Spectrum!$N:$N,MATCH(RIGHT($B84,13)&amp;"|"&amp;$C84&amp;"|"&amp;$D84&amp;"|"&amp;K$14&amp;"|"&amp;"CY2024Q3",Spectrum!$R:$R,0)),0),""))</f>
        <v/>
      </c>
      <c r="L84" s="218" t="str">
        <f>IF(LEFT($B84,4)="_Mil","",_xlfn.IFNA(ROUND(INDEX(Spectrum!$N:$N,MATCH(RIGHT($B84,13)&amp;"|"&amp;$C84&amp;"|"&amp;$D84&amp;"|"&amp;L$14&amp;"|"&amp;"CY2024Q3",Spectrum!$R:$R,0)),0),""))</f>
        <v/>
      </c>
      <c r="M84" s="218" t="str">
        <f>IF(LEFT($B84,4)="_Mil","",_xlfn.IFNA(ROUND(INDEX(Spectrum!$N:$N,MATCH(RIGHT($B84,13)&amp;"|"&amp;$C84&amp;"|"&amp;$D84&amp;"|"&amp;M$14&amp;"|"&amp;"CY2024Q3",Spectrum!$R:$R,0)),0),""))</f>
        <v/>
      </c>
      <c r="N84" s="218" t="str">
        <f>IF(LEFT($B84,4)="_Mil","",_xlfn.IFNA(ROUND(INDEX(Spectrum!$N:$N,MATCH(RIGHT($B84,13)&amp;"|"&amp;$C84&amp;"|"&amp;$D84&amp;"|"&amp;N$14&amp;"|"&amp;"CY2024Q3",Spectrum!$R:$R,0)),0),""))</f>
        <v/>
      </c>
      <c r="O84" s="218" t="str">
        <f>IF(LEFT($B84,4)="_Mil","",_xlfn.IFNA(ROUND(INDEX(Spectrum!$N:$N,MATCH(RIGHT($B84,13)&amp;"|"&amp;$C84&amp;"|"&amp;$D84&amp;"|"&amp;O$14&amp;"|"&amp;"CY2024Q3",Spectrum!$R:$R,0)),0),""))</f>
        <v/>
      </c>
      <c r="P84" s="218" t="str">
        <f>IF(LEFT($B84,4)="_Mil","",_xlfn.IFNA(ROUND(INDEX(Spectrum!$N:$N,MATCH(RIGHT($B84,13)&amp;"|"&amp;$C84&amp;"|"&amp;$D84&amp;"|"&amp;P$14&amp;"|"&amp;"CY2024Q3",Spectrum!$R:$R,0)),0),""))</f>
        <v/>
      </c>
      <c r="Q84" s="218" t="str">
        <f>IF(LEFT($B84,4)="_Mil","",_xlfn.IFNA(ROUND(INDEX(Spectrum!$N:$N,MATCH(RIGHT($B84,13)&amp;"|"&amp;$C84&amp;"|"&amp;$D84&amp;"|"&amp;Q$14&amp;"|"&amp;"CY2024Q3",Spectrum!$R:$R,0)),0),""))</f>
        <v/>
      </c>
      <c r="R84" s="38">
        <v>37</v>
      </c>
      <c r="S84" s="33">
        <v>0</v>
      </c>
      <c r="T84" s="218">
        <f t="shared" si="57"/>
        <v>37</v>
      </c>
      <c r="U84" s="33">
        <f t="shared" si="58"/>
        <v>1</v>
      </c>
      <c r="V84" s="218">
        <f t="shared" si="59"/>
        <v>37</v>
      </c>
      <c r="W84" s="33">
        <v>0.13800000000000001</v>
      </c>
      <c r="X84" s="33">
        <f t="shared" si="60"/>
        <v>0.13800000000000001</v>
      </c>
      <c r="Y84" s="231">
        <v>1.4E-2</v>
      </c>
      <c r="Z84" s="33">
        <f t="shared" si="61"/>
        <v>1.4E-2</v>
      </c>
      <c r="AA84" s="38">
        <f t="shared" si="62"/>
        <v>37</v>
      </c>
      <c r="AB84" s="218">
        <f t="shared" si="63"/>
        <v>5</v>
      </c>
      <c r="AC84" s="218">
        <f t="shared" si="64"/>
        <v>0</v>
      </c>
      <c r="AD84" s="218">
        <f t="shared" si="65"/>
        <v>32</v>
      </c>
      <c r="AE84" s="38">
        <f t="shared" si="66"/>
        <v>37</v>
      </c>
      <c r="AF84" s="218">
        <f t="shared" si="67"/>
        <v>5</v>
      </c>
      <c r="AG84" s="218">
        <f t="shared" si="68"/>
        <v>0</v>
      </c>
      <c r="AH84" s="218">
        <f t="shared" si="69"/>
        <v>32</v>
      </c>
      <c r="AI84" s="33" t="str">
        <f>IF(SUM($AC84)=0,"",INDEX(Cascade!$BG:$BG,MATCH($E84,Cascade!$E:$E,0)))</f>
        <v/>
      </c>
      <c r="AJ84" s="218">
        <f t="shared" si="70"/>
        <v>5</v>
      </c>
      <c r="AK84" s="218" t="str">
        <f t="shared" si="71"/>
        <v/>
      </c>
      <c r="AL84" s="218">
        <f t="shared" si="72"/>
        <v>5</v>
      </c>
      <c r="AM84" s="218">
        <f t="shared" si="73"/>
        <v>5</v>
      </c>
      <c r="AN84" s="218" t="str">
        <f t="shared" si="74"/>
        <v/>
      </c>
      <c r="AO84" s="38">
        <f t="shared" si="75"/>
        <v>32</v>
      </c>
      <c r="AP84" s="232">
        <v>6.0000000000000001E-3</v>
      </c>
      <c r="AQ84" s="33">
        <f t="shared" si="76"/>
        <v>6.0000000000000001E-3</v>
      </c>
      <c r="AR84" s="33">
        <f>IF(SUM($AO84)=0,"",INDEX(Cascade!$BG:$BG,MATCH($E84,Cascade!$E:$E,0)))</f>
        <v>0.95</v>
      </c>
      <c r="AS84" s="218">
        <f t="shared" si="77"/>
        <v>0</v>
      </c>
      <c r="AT84" s="218">
        <f t="shared" si="78"/>
        <v>32</v>
      </c>
      <c r="AU84" s="38" t="str">
        <f t="shared" si="79"/>
        <v/>
      </c>
      <c r="AV84" s="38">
        <f t="shared" si="80"/>
        <v>5</v>
      </c>
      <c r="AW84" s="38">
        <f>IFERROR(1/(1/INDEX(Cascade!$BH:$BH,MATCH($E84,Cascade!$E:$E,0))),"")</f>
        <v>332</v>
      </c>
      <c r="AX84" s="38" t="str">
        <f t="shared" si="81"/>
        <v/>
      </c>
      <c r="AY84" s="38" t="str">
        <f t="shared" si="82"/>
        <v/>
      </c>
      <c r="AZ84" s="38">
        <f>IFERROR(1/(1/INDEX(TB!$P:$P,MATCH($E84,TB!$E:$E,0))),"")</f>
        <v>1</v>
      </c>
      <c r="BA84" s="38">
        <f t="shared" si="83"/>
        <v>331</v>
      </c>
    </row>
    <row r="85" spans="1:53" x14ac:dyDescent="0.2">
      <c r="A85" t="str">
        <f>INDEX(Prioritization!$D:$D,MATCH($B85,Prioritization!$A:$A,0))</f>
        <v>4 - Sustained</v>
      </c>
      <c r="B85" t="s">
        <v>302</v>
      </c>
      <c r="C85" t="s">
        <v>474</v>
      </c>
      <c r="D85" t="s">
        <v>30</v>
      </c>
      <c r="E85" t="str">
        <f t="shared" si="56"/>
        <v>Mchinji District [kxuuIFpOXyO]|10-14|Female</v>
      </c>
      <c r="F85" s="38">
        <f>IF(LEFT($B85,4)="_Mil","",INDEX(Cascade!$T:$T,MATCH($E85,Cascade!$E:$E,0)))</f>
        <v>49750</v>
      </c>
      <c r="G85" s="38">
        <f>IF(LEFT($B85,4)="_Mil","",INDEX(Cascade!$U:$U,MATCH($E85,Cascade!$E:$E,0)))</f>
        <v>248</v>
      </c>
      <c r="H85" s="110">
        <f>IF(LEFT($B85,4)="_Mil","",INDEX(Cascade!$W:$W,MATCH($E85,Cascade!$E:$E,0)))</f>
        <v>4.9892570000000004E-3</v>
      </c>
      <c r="I85" s="38">
        <f>IF(LEFT($B85,4)="_Mil","",INDEX(Cascade!$Z:$Z,MATCH($E85,Cascade!$E:$E,0)))</f>
        <v>189</v>
      </c>
      <c r="J85" s="33">
        <f>IF(LEFT($B85,4)="_Mil","",INDEX(Cascade!$AA:$AA,MATCH($E85,Cascade!$E:$E,0)))</f>
        <v>0.69849032899999997</v>
      </c>
      <c r="K85" s="218" t="str">
        <f>IF(LEFT($B85,4)="_Mil","",_xlfn.IFNA(ROUND(INDEX(Spectrum!$N:$N,MATCH(RIGHT($B85,13)&amp;"|"&amp;$C85&amp;"|"&amp;$D85&amp;"|"&amp;K$14&amp;"|"&amp;"CY2024Q3",Spectrum!$R:$R,0)),0),""))</f>
        <v/>
      </c>
      <c r="L85" s="218" t="str">
        <f>IF(LEFT($B85,4)="_Mil","",_xlfn.IFNA(ROUND(INDEX(Spectrum!$N:$N,MATCH(RIGHT($B85,13)&amp;"|"&amp;$C85&amp;"|"&amp;$D85&amp;"|"&amp;L$14&amp;"|"&amp;"CY2024Q3",Spectrum!$R:$R,0)),0),""))</f>
        <v/>
      </c>
      <c r="M85" s="218" t="str">
        <f>IF(LEFT($B85,4)="_Mil","",_xlfn.IFNA(ROUND(INDEX(Spectrum!$N:$N,MATCH(RIGHT($B85,13)&amp;"|"&amp;$C85&amp;"|"&amp;$D85&amp;"|"&amp;M$14&amp;"|"&amp;"CY2024Q3",Spectrum!$R:$R,0)),0),""))</f>
        <v/>
      </c>
      <c r="N85" s="218" t="str">
        <f>IF(LEFT($B85,4)="_Mil","",_xlfn.IFNA(ROUND(INDEX(Spectrum!$N:$N,MATCH(RIGHT($B85,13)&amp;"|"&amp;$C85&amp;"|"&amp;$D85&amp;"|"&amp;N$14&amp;"|"&amp;"CY2024Q3",Spectrum!$R:$R,0)),0),""))</f>
        <v/>
      </c>
      <c r="O85" s="218" t="str">
        <f>IF(LEFT($B85,4)="_Mil","",_xlfn.IFNA(ROUND(INDEX(Spectrum!$N:$N,MATCH(RIGHT($B85,13)&amp;"|"&amp;$C85&amp;"|"&amp;$D85&amp;"|"&amp;O$14&amp;"|"&amp;"CY2024Q3",Spectrum!$R:$R,0)),0),""))</f>
        <v/>
      </c>
      <c r="P85" s="218" t="str">
        <f>IF(LEFT($B85,4)="_Mil","",_xlfn.IFNA(ROUND(INDEX(Spectrum!$N:$N,MATCH(RIGHT($B85,13)&amp;"|"&amp;$C85&amp;"|"&amp;$D85&amp;"|"&amp;P$14&amp;"|"&amp;"CY2024Q3",Spectrum!$R:$R,0)),0),""))</f>
        <v/>
      </c>
      <c r="Q85" s="218" t="str">
        <f>IF(LEFT($B85,4)="_Mil","",_xlfn.IFNA(ROUND(INDEX(Spectrum!$N:$N,MATCH(RIGHT($B85,13)&amp;"|"&amp;$C85&amp;"|"&amp;$D85&amp;"|"&amp;Q$14&amp;"|"&amp;"CY2024Q3",Spectrum!$R:$R,0)),0),""))</f>
        <v/>
      </c>
      <c r="R85" s="38">
        <v>72</v>
      </c>
      <c r="S85" s="33">
        <v>0</v>
      </c>
      <c r="T85" s="218">
        <f t="shared" si="57"/>
        <v>72</v>
      </c>
      <c r="U85" s="33">
        <f t="shared" si="58"/>
        <v>1</v>
      </c>
      <c r="V85" s="218">
        <f t="shared" si="59"/>
        <v>72</v>
      </c>
      <c r="W85" s="33">
        <v>7.9000000000000008E-3</v>
      </c>
      <c r="X85" s="33">
        <f t="shared" si="60"/>
        <v>7.9000000000000008E-3</v>
      </c>
      <c r="Y85" s="231">
        <v>1.0999999999999999E-2</v>
      </c>
      <c r="Z85" s="33">
        <f t="shared" si="61"/>
        <v>1.0999999999999999E-2</v>
      </c>
      <c r="AA85" s="38">
        <f t="shared" si="62"/>
        <v>72</v>
      </c>
      <c r="AB85" s="218">
        <f t="shared" si="63"/>
        <v>1</v>
      </c>
      <c r="AC85" s="218">
        <f t="shared" si="64"/>
        <v>1</v>
      </c>
      <c r="AD85" s="218">
        <f t="shared" si="65"/>
        <v>70</v>
      </c>
      <c r="AE85" s="38">
        <f t="shared" si="66"/>
        <v>72</v>
      </c>
      <c r="AF85" s="218">
        <f t="shared" si="67"/>
        <v>1</v>
      </c>
      <c r="AG85" s="218">
        <f t="shared" si="68"/>
        <v>1</v>
      </c>
      <c r="AH85" s="218">
        <f t="shared" si="69"/>
        <v>70</v>
      </c>
      <c r="AI85" s="33">
        <f>IF(SUM($AC85)=0,"",INDEX(Cascade!$BG:$BG,MATCH($E85,Cascade!$E:$E,0)))</f>
        <v>0.95</v>
      </c>
      <c r="AJ85" s="218">
        <f t="shared" si="70"/>
        <v>1</v>
      </c>
      <c r="AK85" s="218">
        <f t="shared" si="71"/>
        <v>1</v>
      </c>
      <c r="AL85" s="218">
        <f t="shared" si="72"/>
        <v>2</v>
      </c>
      <c r="AM85" s="218">
        <f t="shared" si="73"/>
        <v>1</v>
      </c>
      <c r="AN85" s="218">
        <f t="shared" si="74"/>
        <v>1</v>
      </c>
      <c r="AO85" s="38">
        <f t="shared" si="75"/>
        <v>70</v>
      </c>
      <c r="AP85" s="231">
        <v>4.0000000000000001E-3</v>
      </c>
      <c r="AQ85" s="33">
        <f t="shared" si="76"/>
        <v>4.0000000000000001E-3</v>
      </c>
      <c r="AR85" s="33">
        <f>IF(SUM($AO85)=0,"",INDEX(Cascade!$BG:$BG,MATCH($E85,Cascade!$E:$E,0)))</f>
        <v>0.95</v>
      </c>
      <c r="AS85" s="218">
        <f t="shared" si="77"/>
        <v>0</v>
      </c>
      <c r="AT85" s="218">
        <f t="shared" si="78"/>
        <v>70</v>
      </c>
      <c r="AU85" s="38" t="str">
        <f t="shared" si="79"/>
        <v/>
      </c>
      <c r="AV85" s="38">
        <f t="shared" si="80"/>
        <v>2</v>
      </c>
      <c r="AW85" s="38">
        <f>IFERROR(1/(1/INDEX(Cascade!$BH:$BH,MATCH($E85,Cascade!$E:$E,0))),"")</f>
        <v>26</v>
      </c>
      <c r="AX85" s="38">
        <f t="shared" si="81"/>
        <v>1</v>
      </c>
      <c r="AY85" s="38" t="str">
        <f t="shared" si="82"/>
        <v/>
      </c>
      <c r="AZ85" s="38" t="str">
        <f>IFERROR(1/(1/INDEX(TB!$P:$P,MATCH($E85,TB!$E:$E,0))),"")</f>
        <v/>
      </c>
      <c r="BA85" s="38">
        <f t="shared" si="83"/>
        <v>25</v>
      </c>
    </row>
    <row r="86" spans="1:53" x14ac:dyDescent="0.2">
      <c r="A86" t="str">
        <f>INDEX(Prioritization!$D:$D,MATCH($B86,Prioritization!$A:$A,0))</f>
        <v>4 - Sustained</v>
      </c>
      <c r="B86" t="s">
        <v>302</v>
      </c>
      <c r="C86" t="s">
        <v>475</v>
      </c>
      <c r="D86" t="s">
        <v>30</v>
      </c>
      <c r="E86" t="str">
        <f t="shared" si="56"/>
        <v>Mchinji District [kxuuIFpOXyO]|15-24|Female</v>
      </c>
      <c r="F86" s="38">
        <f>IF(LEFT($B86,4)="_Mil","",INDEX(Cascade!$T:$T,MATCH($E86,Cascade!$E:$E,0)))</f>
        <v>78824</v>
      </c>
      <c r="G86" s="38">
        <f>IF(LEFT($B86,4)="_Mil","",INDEX(Cascade!$U:$U,MATCH($E86,Cascade!$E:$E,0)))</f>
        <v>862</v>
      </c>
      <c r="H86" s="110">
        <f>IF(LEFT($B86,4)="_Mil","",INDEX(Cascade!$W:$W,MATCH($E86,Cascade!$E:$E,0)))</f>
        <v>1.0930039000000001E-2</v>
      </c>
      <c r="I86" s="38">
        <f>IF(LEFT($B86,4)="_Mil","",INDEX(Cascade!$Z:$Z,MATCH($E86,Cascade!$E:$E,0)))</f>
        <v>879</v>
      </c>
      <c r="J86" s="33">
        <f>IF(LEFT($B86,4)="_Mil","",INDEX(Cascade!$AA:$AA,MATCH($E86,Cascade!$E:$E,0)))</f>
        <v>0.92565124899999984</v>
      </c>
      <c r="K86" s="218">
        <f>IF(LEFT($B86,4)="_Mil","",_xlfn.IFNA(ROUND(INDEX(Spectrum!$N:$N,MATCH(RIGHT($B86,13)&amp;"|"&amp;$C86&amp;"|"&amp;$D86&amp;"|"&amp;K$14&amp;"|"&amp;"CY2024Q3",Spectrum!$R:$R,0)),0),""))</f>
        <v>9421</v>
      </c>
      <c r="L86" s="218">
        <f>IF(LEFT($B86,4)="_Mil","",_xlfn.IFNA(ROUND(INDEX(Spectrum!$N:$N,MATCH(RIGHT($B86,13)&amp;"|"&amp;$C86&amp;"|"&amp;$D86&amp;"|"&amp;L$14&amp;"|"&amp;"CY2024Q3",Spectrum!$R:$R,0)),0),""))</f>
        <v>68</v>
      </c>
      <c r="M86" s="218">
        <f>IF(LEFT($B86,4)="_Mil","",_xlfn.IFNA(ROUND(INDEX(Spectrum!$N:$N,MATCH(RIGHT($B86,13)&amp;"|"&amp;$C86&amp;"|"&amp;$D86&amp;"|"&amp;M$14&amp;"|"&amp;"CY2024Q3",Spectrum!$R:$R,0)),0),""))</f>
        <v>53</v>
      </c>
      <c r="N86" s="218">
        <f>IF(LEFT($B86,4)="_Mil","",_xlfn.IFNA(ROUND(INDEX(Spectrum!$N:$N,MATCH(RIGHT($B86,13)&amp;"|"&amp;$C86&amp;"|"&amp;$D86&amp;"|"&amp;N$14&amp;"|"&amp;"CY2024Q3",Spectrum!$R:$R,0)),0),""))</f>
        <v>9300</v>
      </c>
      <c r="O86" s="218">
        <f>IF(LEFT($B86,4)="_Mil","",_xlfn.IFNA(ROUND(INDEX(Spectrum!$N:$N,MATCH(RIGHT($B86,13)&amp;"|"&amp;$C86&amp;"|"&amp;$D86&amp;"|"&amp;O$14&amp;"|"&amp;"CY2024Q3",Spectrum!$R:$R,0)),0),""))</f>
        <v>121</v>
      </c>
      <c r="P86" s="218">
        <f>IF(LEFT($B86,4)="_Mil","",_xlfn.IFNA(ROUND(INDEX(Spectrum!$N:$N,MATCH(RIGHT($B86,13)&amp;"|"&amp;$C86&amp;"|"&amp;$D86&amp;"|"&amp;P$14&amp;"|"&amp;"CY2024Q3",Spectrum!$R:$R,0)),0),""))</f>
        <v>68</v>
      </c>
      <c r="Q86" s="218">
        <f>IF(LEFT($B86,4)="_Mil","",_xlfn.IFNA(ROUND(INDEX(Spectrum!$N:$N,MATCH(RIGHT($B86,13)&amp;"|"&amp;$C86&amp;"|"&amp;$D86&amp;"|"&amp;Q$14&amp;"|"&amp;"CY2024Q3",Spectrum!$R:$R,0)),0),""))</f>
        <v>53</v>
      </c>
      <c r="R86" s="38">
        <v>4907</v>
      </c>
      <c r="S86" s="33">
        <v>0</v>
      </c>
      <c r="T86" s="218">
        <f t="shared" si="57"/>
        <v>4907</v>
      </c>
      <c r="U86" s="33">
        <f t="shared" si="58"/>
        <v>0.52085765842267273</v>
      </c>
      <c r="V86" s="218">
        <f t="shared" si="59"/>
        <v>9421</v>
      </c>
      <c r="W86" s="33">
        <v>7.9000000000000008E-3</v>
      </c>
      <c r="X86" s="33">
        <f t="shared" si="60"/>
        <v>7.9000000000000008E-3</v>
      </c>
      <c r="Y86" s="231">
        <v>1.0999999999999999E-2</v>
      </c>
      <c r="Z86" s="33">
        <f t="shared" si="61"/>
        <v>5.6666310274778144E-3</v>
      </c>
      <c r="AA86" s="38">
        <f t="shared" si="62"/>
        <v>4907</v>
      </c>
      <c r="AB86" s="218">
        <f t="shared" si="63"/>
        <v>39</v>
      </c>
      <c r="AC86" s="218">
        <f t="shared" si="64"/>
        <v>28</v>
      </c>
      <c r="AD86" s="218">
        <f t="shared" si="65"/>
        <v>4840</v>
      </c>
      <c r="AE86" s="38">
        <f t="shared" si="66"/>
        <v>9421</v>
      </c>
      <c r="AF86" s="218">
        <f t="shared" si="67"/>
        <v>74</v>
      </c>
      <c r="AG86" s="218">
        <f t="shared" si="68"/>
        <v>53</v>
      </c>
      <c r="AH86" s="218">
        <f t="shared" si="69"/>
        <v>9294</v>
      </c>
      <c r="AI86" s="33">
        <f>IF(SUM($AC86)=0,"",INDEX(Cascade!$BG:$BG,MATCH($E86,Cascade!$E:$E,0)))</f>
        <v>0.95</v>
      </c>
      <c r="AJ86" s="218">
        <f t="shared" si="70"/>
        <v>39</v>
      </c>
      <c r="AK86" s="218">
        <f t="shared" si="71"/>
        <v>27</v>
      </c>
      <c r="AL86" s="218">
        <f t="shared" si="72"/>
        <v>127</v>
      </c>
      <c r="AM86" s="218">
        <f t="shared" si="73"/>
        <v>74</v>
      </c>
      <c r="AN86" s="218">
        <f t="shared" si="74"/>
        <v>50</v>
      </c>
      <c r="AO86" s="38">
        <f t="shared" si="75"/>
        <v>4840</v>
      </c>
      <c r="AP86" s="231">
        <v>4.0000000000000001E-3</v>
      </c>
      <c r="AQ86" s="33">
        <f t="shared" si="76"/>
        <v>4.0000000000000001E-3</v>
      </c>
      <c r="AR86" s="33">
        <f>IF(SUM($AO86)=0,"",INDEX(Cascade!$BG:$BG,MATCH($E86,Cascade!$E:$E,0)))</f>
        <v>0.95</v>
      </c>
      <c r="AS86" s="218">
        <f t="shared" si="77"/>
        <v>19</v>
      </c>
      <c r="AT86" s="218">
        <f t="shared" si="78"/>
        <v>4821</v>
      </c>
      <c r="AU86" s="38">
        <f t="shared" si="79"/>
        <v>18</v>
      </c>
      <c r="AV86" s="38">
        <f t="shared" si="80"/>
        <v>86</v>
      </c>
      <c r="AW86" s="38">
        <f>IFERROR(1/(1/INDEX(Cascade!$BH:$BH,MATCH($E86,Cascade!$E:$E,0))),"")</f>
        <v>86</v>
      </c>
      <c r="AX86" s="38">
        <f t="shared" si="81"/>
        <v>28</v>
      </c>
      <c r="AY86" s="38">
        <f t="shared" si="82"/>
        <v>19</v>
      </c>
      <c r="AZ86" s="38">
        <f>IFERROR(1/(1/INDEX(TB!$P:$P,MATCH($E86,TB!$E:$E,0))),"")</f>
        <v>1</v>
      </c>
      <c r="BA86" s="38">
        <f t="shared" si="83"/>
        <v>38</v>
      </c>
    </row>
    <row r="87" spans="1:53" x14ac:dyDescent="0.2">
      <c r="A87" t="str">
        <f>INDEX(Prioritization!$D:$D,MATCH($B87,Prioritization!$A:$A,0))</f>
        <v>4 - Sustained</v>
      </c>
      <c r="B87" t="s">
        <v>302</v>
      </c>
      <c r="C87" t="s">
        <v>476</v>
      </c>
      <c r="D87" t="s">
        <v>30</v>
      </c>
      <c r="E87" t="str">
        <f t="shared" si="56"/>
        <v>Mchinji District [kxuuIFpOXyO]|25-34|Female</v>
      </c>
      <c r="F87" s="38">
        <f>IF(LEFT($B87,4)="_Mil","",INDEX(Cascade!$T:$T,MATCH($E87,Cascade!$E:$E,0)))</f>
        <v>54787</v>
      </c>
      <c r="G87" s="38">
        <f>IF(LEFT($B87,4)="_Mil","",INDEX(Cascade!$U:$U,MATCH($E87,Cascade!$E:$E,0)))</f>
        <v>2205</v>
      </c>
      <c r="H87" s="110">
        <f>IF(LEFT($B87,4)="_Mil","",INDEX(Cascade!$W:$W,MATCH($E87,Cascade!$E:$E,0)))</f>
        <v>4.0245165999999999E-2</v>
      </c>
      <c r="I87" s="38">
        <f>IF(LEFT($B87,4)="_Mil","",INDEX(Cascade!$Z:$Z,MATCH($E87,Cascade!$E:$E,0)))</f>
        <v>2317</v>
      </c>
      <c r="J87" s="33">
        <f>IF(LEFT($B87,4)="_Mil","",INDEX(Cascade!$AA:$AA,MATCH($E87,Cascade!$E:$E,0)))</f>
        <v>0.96035129099999994</v>
      </c>
      <c r="K87" s="218">
        <f>IF(LEFT($B87,4)="_Mil","",_xlfn.IFNA(ROUND(INDEX(Spectrum!$N:$N,MATCH(RIGHT($B87,13)&amp;"|"&amp;$C87&amp;"|"&amp;$D87&amp;"|"&amp;K$14&amp;"|"&amp;"CY2024Q3",Spectrum!$R:$R,0)),0),""))</f>
        <v>6334</v>
      </c>
      <c r="L87" s="218">
        <f>IF(LEFT($B87,4)="_Mil","",_xlfn.IFNA(ROUND(INDEX(Spectrum!$N:$N,MATCH(RIGHT($B87,13)&amp;"|"&amp;$C87&amp;"|"&amp;$D87&amp;"|"&amp;L$14&amp;"|"&amp;"CY2024Q3",Spectrum!$R:$R,0)),0),""))</f>
        <v>139</v>
      </c>
      <c r="M87" s="218">
        <f>IF(LEFT($B87,4)="_Mil","",_xlfn.IFNA(ROUND(INDEX(Spectrum!$N:$N,MATCH(RIGHT($B87,13)&amp;"|"&amp;$C87&amp;"|"&amp;$D87&amp;"|"&amp;M$14&amp;"|"&amp;"CY2024Q3",Spectrum!$R:$R,0)),0),""))</f>
        <v>76</v>
      </c>
      <c r="N87" s="218">
        <f>IF(LEFT($B87,4)="_Mil","",_xlfn.IFNA(ROUND(INDEX(Spectrum!$N:$N,MATCH(RIGHT($B87,13)&amp;"|"&amp;$C87&amp;"|"&amp;$D87&amp;"|"&amp;N$14&amp;"|"&amp;"CY2024Q3",Spectrum!$R:$R,0)),0),""))</f>
        <v>6119</v>
      </c>
      <c r="O87" s="218">
        <f>IF(LEFT($B87,4)="_Mil","",_xlfn.IFNA(ROUND(INDEX(Spectrum!$N:$N,MATCH(RIGHT($B87,13)&amp;"|"&amp;$C87&amp;"|"&amp;$D87&amp;"|"&amp;O$14&amp;"|"&amp;"CY2024Q3",Spectrum!$R:$R,0)),0),""))</f>
        <v>215</v>
      </c>
      <c r="P87" s="218">
        <f>IF(LEFT($B87,4)="_Mil","",_xlfn.IFNA(ROUND(INDEX(Spectrum!$N:$N,MATCH(RIGHT($B87,13)&amp;"|"&amp;$C87&amp;"|"&amp;$D87&amp;"|"&amp;P$14&amp;"|"&amp;"CY2024Q3",Spectrum!$R:$R,0)),0),""))</f>
        <v>139</v>
      </c>
      <c r="Q87" s="218">
        <f>IF(LEFT($B87,4)="_Mil","",_xlfn.IFNA(ROUND(INDEX(Spectrum!$N:$N,MATCH(RIGHT($B87,13)&amp;"|"&amp;$C87&amp;"|"&amp;$D87&amp;"|"&amp;Q$14&amp;"|"&amp;"CY2024Q3",Spectrum!$R:$R,0)),0),""))</f>
        <v>76</v>
      </c>
      <c r="R87" s="38">
        <v>7706</v>
      </c>
      <c r="S87" s="33">
        <v>0</v>
      </c>
      <c r="T87" s="218">
        <f t="shared" si="57"/>
        <v>7706</v>
      </c>
      <c r="U87" s="33">
        <f t="shared" si="58"/>
        <v>1</v>
      </c>
      <c r="V87" s="218">
        <f t="shared" si="59"/>
        <v>7706</v>
      </c>
      <c r="W87" s="33">
        <v>2.9000000000000001E-2</v>
      </c>
      <c r="X87" s="33">
        <f t="shared" si="60"/>
        <v>2.9000000000000001E-2</v>
      </c>
      <c r="Y87" s="231">
        <v>1.0999999999999999E-2</v>
      </c>
      <c r="Z87" s="33">
        <f t="shared" si="61"/>
        <v>1.0999999999999999E-2</v>
      </c>
      <c r="AA87" s="38">
        <f t="shared" si="62"/>
        <v>7706</v>
      </c>
      <c r="AB87" s="218">
        <f t="shared" si="63"/>
        <v>223</v>
      </c>
      <c r="AC87" s="218">
        <f t="shared" si="64"/>
        <v>82</v>
      </c>
      <c r="AD87" s="218">
        <f t="shared" si="65"/>
        <v>7401</v>
      </c>
      <c r="AE87" s="38">
        <f t="shared" si="66"/>
        <v>7706</v>
      </c>
      <c r="AF87" s="218">
        <f t="shared" si="67"/>
        <v>223</v>
      </c>
      <c r="AG87" s="218">
        <f t="shared" si="68"/>
        <v>82</v>
      </c>
      <c r="AH87" s="218">
        <f t="shared" si="69"/>
        <v>7401</v>
      </c>
      <c r="AI87" s="33">
        <f>IF(SUM($AC87)=0,"",INDEX(Cascade!$BG:$BG,MATCH($E87,Cascade!$E:$E,0)))</f>
        <v>0.95</v>
      </c>
      <c r="AJ87" s="218">
        <f t="shared" si="70"/>
        <v>223</v>
      </c>
      <c r="AK87" s="218">
        <f t="shared" si="71"/>
        <v>78</v>
      </c>
      <c r="AL87" s="218">
        <f t="shared" si="72"/>
        <v>305</v>
      </c>
      <c r="AM87" s="218">
        <f t="shared" si="73"/>
        <v>223</v>
      </c>
      <c r="AN87" s="218">
        <f t="shared" si="74"/>
        <v>78</v>
      </c>
      <c r="AO87" s="38">
        <f t="shared" si="75"/>
        <v>7401</v>
      </c>
      <c r="AP87" s="231">
        <v>4.0000000000000001E-3</v>
      </c>
      <c r="AQ87" s="33">
        <f t="shared" si="76"/>
        <v>4.0000000000000001E-3</v>
      </c>
      <c r="AR87" s="33">
        <f>IF(SUM($AO87)=0,"",INDEX(Cascade!$BG:$BG,MATCH($E87,Cascade!$E:$E,0)))</f>
        <v>0.95</v>
      </c>
      <c r="AS87" s="218">
        <f t="shared" si="77"/>
        <v>30</v>
      </c>
      <c r="AT87" s="218">
        <f t="shared" si="78"/>
        <v>7371</v>
      </c>
      <c r="AU87" s="38">
        <f t="shared" si="79"/>
        <v>29</v>
      </c>
      <c r="AV87" s="38">
        <f t="shared" si="80"/>
        <v>335</v>
      </c>
      <c r="AW87" s="38">
        <f>IFERROR(1/(1/INDEX(Cascade!$BH:$BH,MATCH($E87,Cascade!$E:$E,0))),"")</f>
        <v>202</v>
      </c>
      <c r="AX87" s="38">
        <f t="shared" si="81"/>
        <v>82</v>
      </c>
      <c r="AY87" s="38">
        <f t="shared" si="82"/>
        <v>30</v>
      </c>
      <c r="AZ87" s="38">
        <f>IFERROR(1/(1/INDEX(TB!$P:$P,MATCH($E87,TB!$E:$E,0))),"")</f>
        <v>1</v>
      </c>
      <c r="BA87" s="38">
        <f t="shared" si="83"/>
        <v>89</v>
      </c>
    </row>
    <row r="88" spans="1:53" x14ac:dyDescent="0.2">
      <c r="A88" t="str">
        <f>INDEX(Prioritization!$D:$D,MATCH($B88,Prioritization!$A:$A,0))</f>
        <v>4 - Sustained</v>
      </c>
      <c r="B88" t="s">
        <v>302</v>
      </c>
      <c r="C88" t="s">
        <v>477</v>
      </c>
      <c r="D88" t="s">
        <v>30</v>
      </c>
      <c r="E88" t="str">
        <f t="shared" si="56"/>
        <v>Mchinji District [kxuuIFpOXyO]|35-49|Female</v>
      </c>
      <c r="F88" s="38">
        <f>IF(LEFT($B88,4)="_Mil","",INDEX(Cascade!$T:$T,MATCH($E88,Cascade!$E:$E,0)))</f>
        <v>54449</v>
      </c>
      <c r="G88" s="38">
        <f>IF(LEFT($B88,4)="_Mil","",INDEX(Cascade!$U:$U,MATCH($E88,Cascade!$E:$E,0)))</f>
        <v>5777</v>
      </c>
      <c r="H88" s="110">
        <f>IF(LEFT($B88,4)="_Mil","",INDEX(Cascade!$W:$W,MATCH($E88,Cascade!$E:$E,0)))</f>
        <v>0.106101604</v>
      </c>
      <c r="I88" s="38">
        <f>IF(LEFT($B88,4)="_Mil","",INDEX(Cascade!$Z:$Z,MATCH($E88,Cascade!$E:$E,0)))</f>
        <v>6292</v>
      </c>
      <c r="J88" s="33">
        <f>IF(LEFT($B88,4)="_Mil","",INDEX(Cascade!$AA:$AA,MATCH($E88,Cascade!$E:$E,0)))</f>
        <v>0.98019103900000004</v>
      </c>
      <c r="K88" s="218">
        <f>IF(LEFT($B88,4)="_Mil","",_xlfn.IFNA(ROUND(INDEX(Spectrum!$N:$N,MATCH(RIGHT($B88,13)&amp;"|"&amp;$C88&amp;"|"&amp;$D88&amp;"|"&amp;K$14&amp;"|"&amp;"CY2024Q3",Spectrum!$R:$R,0)),0),""))</f>
        <v>2285</v>
      </c>
      <c r="L88" s="218">
        <f>IF(LEFT($B88,4)="_Mil","",_xlfn.IFNA(ROUND(INDEX(Spectrum!$N:$N,MATCH(RIGHT($B88,13)&amp;"|"&amp;$C88&amp;"|"&amp;$D88&amp;"|"&amp;L$14&amp;"|"&amp;"CY2024Q3",Spectrum!$R:$R,0)),0),""))</f>
        <v>123</v>
      </c>
      <c r="M88" s="218">
        <f>IF(LEFT($B88,4)="_Mil","",_xlfn.IFNA(ROUND(INDEX(Spectrum!$N:$N,MATCH(RIGHT($B88,13)&amp;"|"&amp;$C88&amp;"|"&amp;$D88&amp;"|"&amp;M$14&amp;"|"&amp;"CY2024Q3",Spectrum!$R:$R,0)),0),""))</f>
        <v>23</v>
      </c>
      <c r="N88" s="218">
        <f>IF(LEFT($B88,4)="_Mil","",_xlfn.IFNA(ROUND(INDEX(Spectrum!$N:$N,MATCH(RIGHT($B88,13)&amp;"|"&amp;$C88&amp;"|"&amp;$D88&amp;"|"&amp;N$14&amp;"|"&amp;"CY2024Q3",Spectrum!$R:$R,0)),0),""))</f>
        <v>2139</v>
      </c>
      <c r="O88" s="218">
        <f>IF(LEFT($B88,4)="_Mil","",_xlfn.IFNA(ROUND(INDEX(Spectrum!$N:$N,MATCH(RIGHT($B88,13)&amp;"|"&amp;$C88&amp;"|"&amp;$D88&amp;"|"&amp;O$14&amp;"|"&amp;"CY2024Q3",Spectrum!$R:$R,0)),0),""))</f>
        <v>146</v>
      </c>
      <c r="P88" s="218">
        <f>IF(LEFT($B88,4)="_Mil","",_xlfn.IFNA(ROUND(INDEX(Spectrum!$N:$N,MATCH(RIGHT($B88,13)&amp;"|"&amp;$C88&amp;"|"&amp;$D88&amp;"|"&amp;P$14&amp;"|"&amp;"CY2024Q3",Spectrum!$R:$R,0)),0),""))</f>
        <v>123</v>
      </c>
      <c r="Q88" s="218">
        <f>IF(LEFT($B88,4)="_Mil","",_xlfn.IFNA(ROUND(INDEX(Spectrum!$N:$N,MATCH(RIGHT($B88,13)&amp;"|"&amp;$C88&amp;"|"&amp;$D88&amp;"|"&amp;Q$14&amp;"|"&amp;"CY2024Q3",Spectrum!$R:$R,0)),0),""))</f>
        <v>23</v>
      </c>
      <c r="R88" s="38">
        <v>1944</v>
      </c>
      <c r="S88" s="33">
        <v>0</v>
      </c>
      <c r="T88" s="218">
        <f t="shared" si="57"/>
        <v>1944</v>
      </c>
      <c r="U88" s="33">
        <f t="shared" si="58"/>
        <v>0.85076586433260393</v>
      </c>
      <c r="V88" s="218">
        <f t="shared" si="59"/>
        <v>2285</v>
      </c>
      <c r="W88" s="33">
        <v>5.7000000000000002E-2</v>
      </c>
      <c r="X88" s="33">
        <f t="shared" si="60"/>
        <v>5.7000000000000002E-2</v>
      </c>
      <c r="Y88" s="231">
        <v>1.0999999999999999E-2</v>
      </c>
      <c r="Z88" s="33">
        <f t="shared" si="61"/>
        <v>1.0638297872340425E-2</v>
      </c>
      <c r="AA88" s="38">
        <f t="shared" si="62"/>
        <v>1944</v>
      </c>
      <c r="AB88" s="218">
        <f t="shared" si="63"/>
        <v>111</v>
      </c>
      <c r="AC88" s="218">
        <f t="shared" si="64"/>
        <v>20</v>
      </c>
      <c r="AD88" s="218">
        <f t="shared" si="65"/>
        <v>1813</v>
      </c>
      <c r="AE88" s="38">
        <f t="shared" si="66"/>
        <v>2285</v>
      </c>
      <c r="AF88" s="218">
        <f t="shared" si="67"/>
        <v>130</v>
      </c>
      <c r="AG88" s="218">
        <f t="shared" si="68"/>
        <v>23</v>
      </c>
      <c r="AH88" s="218">
        <f t="shared" si="69"/>
        <v>2132</v>
      </c>
      <c r="AI88" s="33">
        <f>IF(SUM($AC88)=0,"",INDEX(Cascade!$BG:$BG,MATCH($E88,Cascade!$E:$E,0)))</f>
        <v>0.95</v>
      </c>
      <c r="AJ88" s="218">
        <f t="shared" si="70"/>
        <v>111</v>
      </c>
      <c r="AK88" s="218">
        <f t="shared" si="71"/>
        <v>19</v>
      </c>
      <c r="AL88" s="218">
        <f t="shared" si="72"/>
        <v>153</v>
      </c>
      <c r="AM88" s="218">
        <f t="shared" si="73"/>
        <v>130</v>
      </c>
      <c r="AN88" s="218">
        <f t="shared" si="74"/>
        <v>22</v>
      </c>
      <c r="AO88" s="38">
        <f t="shared" si="75"/>
        <v>1812.9999999999998</v>
      </c>
      <c r="AP88" s="231">
        <v>4.0000000000000001E-3</v>
      </c>
      <c r="AQ88" s="33">
        <f t="shared" si="76"/>
        <v>4.0000000000000001E-3</v>
      </c>
      <c r="AR88" s="33">
        <f>IF(SUM($AO88)=0,"",INDEX(Cascade!$BG:$BG,MATCH($E88,Cascade!$E:$E,0)))</f>
        <v>0.95</v>
      </c>
      <c r="AS88" s="218">
        <f t="shared" si="77"/>
        <v>7</v>
      </c>
      <c r="AT88" s="218">
        <f t="shared" si="78"/>
        <v>1805.9999999999998</v>
      </c>
      <c r="AU88" s="38">
        <f t="shared" si="79"/>
        <v>7</v>
      </c>
      <c r="AV88" s="38">
        <f t="shared" si="80"/>
        <v>138</v>
      </c>
      <c r="AW88" s="38">
        <f>IFERROR(1/(1/INDEX(Cascade!$BH:$BH,MATCH($E88,Cascade!$E:$E,0))),"")</f>
        <v>192</v>
      </c>
      <c r="AX88" s="38">
        <f t="shared" si="81"/>
        <v>20</v>
      </c>
      <c r="AY88" s="38">
        <f t="shared" si="82"/>
        <v>7</v>
      </c>
      <c r="AZ88" s="38">
        <f>IFERROR(1/(1/INDEX(TB!$P:$P,MATCH($E88,TB!$E:$E,0))),"")</f>
        <v>1</v>
      </c>
      <c r="BA88" s="38">
        <f t="shared" si="83"/>
        <v>164</v>
      </c>
    </row>
    <row r="89" spans="1:53" x14ac:dyDescent="0.2">
      <c r="A89" t="str">
        <f>INDEX(Prioritization!$D:$D,MATCH($B89,Prioritization!$A:$A,0))</f>
        <v>4 - Sustained</v>
      </c>
      <c r="B89" t="s">
        <v>302</v>
      </c>
      <c r="C89" t="s">
        <v>478</v>
      </c>
      <c r="D89" t="s">
        <v>30</v>
      </c>
      <c r="E89" t="str">
        <f t="shared" si="56"/>
        <v>Mchinji District [kxuuIFpOXyO]|50+|Female</v>
      </c>
      <c r="F89" s="38">
        <f>IF(LEFT($B89,4)="_Mil","",INDEX(Cascade!$T:$T,MATCH($E89,Cascade!$E:$E,0)))</f>
        <v>29713</v>
      </c>
      <c r="G89" s="38">
        <f>IF(LEFT($B89,4)="_Mil","",INDEX(Cascade!$U:$U,MATCH($E89,Cascade!$E:$E,0)))</f>
        <v>2686</v>
      </c>
      <c r="H89" s="110">
        <f>IF(LEFT($B89,4)="_Mil","",INDEX(Cascade!$W:$W,MATCH($E89,Cascade!$E:$E,0)))</f>
        <v>9.0410906999999999E-2</v>
      </c>
      <c r="I89" s="38">
        <f>IF(LEFT($B89,4)="_Mil","",INDEX(Cascade!$Z:$Z,MATCH($E89,Cascade!$E:$E,0)))</f>
        <v>2917</v>
      </c>
      <c r="J89" s="33">
        <f>IF(LEFT($B89,4)="_Mil","",INDEX(Cascade!$AA:$AA,MATCH($E89,Cascade!$E:$E,0)))</f>
        <v>0.98636674400000002</v>
      </c>
      <c r="K89" s="218" t="str">
        <f>IF(LEFT($B89,4)="_Mil","",_xlfn.IFNA(ROUND(INDEX(Spectrum!$N:$N,MATCH(RIGHT($B89,13)&amp;"|"&amp;$C89&amp;"|"&amp;$D89&amp;"|"&amp;K$14&amp;"|"&amp;"CY2024Q3",Spectrum!$R:$R,0)),0),""))</f>
        <v/>
      </c>
      <c r="L89" s="218" t="str">
        <f>IF(LEFT($B89,4)="_Mil","",_xlfn.IFNA(ROUND(INDEX(Spectrum!$N:$N,MATCH(RIGHT($B89,13)&amp;"|"&amp;$C89&amp;"|"&amp;$D89&amp;"|"&amp;L$14&amp;"|"&amp;"CY2024Q3",Spectrum!$R:$R,0)),0),""))</f>
        <v/>
      </c>
      <c r="M89" s="218" t="str">
        <f>IF(LEFT($B89,4)="_Mil","",_xlfn.IFNA(ROUND(INDEX(Spectrum!$N:$N,MATCH(RIGHT($B89,13)&amp;"|"&amp;$C89&amp;"|"&amp;$D89&amp;"|"&amp;M$14&amp;"|"&amp;"CY2024Q3",Spectrum!$R:$R,0)),0),""))</f>
        <v/>
      </c>
      <c r="N89" s="218" t="str">
        <f>IF(LEFT($B89,4)="_Mil","",_xlfn.IFNA(ROUND(INDEX(Spectrum!$N:$N,MATCH(RIGHT($B89,13)&amp;"|"&amp;$C89&amp;"|"&amp;$D89&amp;"|"&amp;N$14&amp;"|"&amp;"CY2024Q3",Spectrum!$R:$R,0)),0),""))</f>
        <v/>
      </c>
      <c r="O89" s="218" t="str">
        <f>IF(LEFT($B89,4)="_Mil","",_xlfn.IFNA(ROUND(INDEX(Spectrum!$N:$N,MATCH(RIGHT($B89,13)&amp;"|"&amp;$C89&amp;"|"&amp;$D89&amp;"|"&amp;O$14&amp;"|"&amp;"CY2024Q3",Spectrum!$R:$R,0)),0),""))</f>
        <v/>
      </c>
      <c r="P89" s="218" t="str">
        <f>IF(LEFT($B89,4)="_Mil","",_xlfn.IFNA(ROUND(INDEX(Spectrum!$N:$N,MATCH(RIGHT($B89,13)&amp;"|"&amp;$C89&amp;"|"&amp;$D89&amp;"|"&amp;P$14&amp;"|"&amp;"CY2024Q3",Spectrum!$R:$R,0)),0),""))</f>
        <v/>
      </c>
      <c r="Q89" s="218" t="str">
        <f>IF(LEFT($B89,4)="_Mil","",_xlfn.IFNA(ROUND(INDEX(Spectrum!$N:$N,MATCH(RIGHT($B89,13)&amp;"|"&amp;$C89&amp;"|"&amp;$D89&amp;"|"&amp;Q$14&amp;"|"&amp;"CY2024Q3",Spectrum!$R:$R,0)),0),""))</f>
        <v/>
      </c>
      <c r="R89" s="38">
        <v>17</v>
      </c>
      <c r="S89" s="33">
        <v>0</v>
      </c>
      <c r="T89" s="218">
        <f t="shared" si="57"/>
        <v>17</v>
      </c>
      <c r="U89" s="33">
        <f t="shared" si="58"/>
        <v>1</v>
      </c>
      <c r="V89" s="218">
        <f t="shared" si="59"/>
        <v>17</v>
      </c>
      <c r="W89" s="33">
        <v>2.9000000000000001E-2</v>
      </c>
      <c r="X89" s="33">
        <f t="shared" si="60"/>
        <v>2.9000000000000001E-2</v>
      </c>
      <c r="Y89" s="231">
        <v>1.0999999999999999E-2</v>
      </c>
      <c r="Z89" s="33">
        <f t="shared" si="61"/>
        <v>1.0999999999999999E-2</v>
      </c>
      <c r="AA89" s="38">
        <f t="shared" si="62"/>
        <v>17</v>
      </c>
      <c r="AB89" s="218">
        <f t="shared" si="63"/>
        <v>0</v>
      </c>
      <c r="AC89" s="218">
        <f t="shared" si="64"/>
        <v>0</v>
      </c>
      <c r="AD89" s="218">
        <f t="shared" si="65"/>
        <v>17</v>
      </c>
      <c r="AE89" s="38">
        <f t="shared" si="66"/>
        <v>17</v>
      </c>
      <c r="AF89" s="218">
        <f t="shared" si="67"/>
        <v>0</v>
      </c>
      <c r="AG89" s="218">
        <f t="shared" si="68"/>
        <v>0</v>
      </c>
      <c r="AH89" s="218">
        <f t="shared" si="69"/>
        <v>17</v>
      </c>
      <c r="AI89" s="33" t="str">
        <f>IF(SUM($AC89)=0,"",INDEX(Cascade!$BG:$BG,MATCH($E89,Cascade!$E:$E,0)))</f>
        <v/>
      </c>
      <c r="AJ89" s="218">
        <f t="shared" si="70"/>
        <v>0</v>
      </c>
      <c r="AK89" s="218" t="str">
        <f t="shared" si="71"/>
        <v/>
      </c>
      <c r="AL89" s="218" t="str">
        <f t="shared" si="72"/>
        <v/>
      </c>
      <c r="AM89" s="218">
        <f t="shared" si="73"/>
        <v>0</v>
      </c>
      <c r="AN89" s="218" t="str">
        <f t="shared" si="74"/>
        <v/>
      </c>
      <c r="AO89" s="38">
        <f t="shared" si="75"/>
        <v>17</v>
      </c>
      <c r="AP89" s="231">
        <v>4.0000000000000001E-3</v>
      </c>
      <c r="AQ89" s="33">
        <f t="shared" si="76"/>
        <v>4.0000000000000001E-3</v>
      </c>
      <c r="AR89" s="33">
        <f>IF(SUM($AO89)=0,"",INDEX(Cascade!$BG:$BG,MATCH($E89,Cascade!$E:$E,0)))</f>
        <v>0.95</v>
      </c>
      <c r="AS89" s="218">
        <f t="shared" si="77"/>
        <v>0</v>
      </c>
      <c r="AT89" s="218">
        <f t="shared" si="78"/>
        <v>17</v>
      </c>
      <c r="AU89" s="38" t="str">
        <f t="shared" si="79"/>
        <v/>
      </c>
      <c r="AV89" s="38" t="str">
        <f t="shared" si="80"/>
        <v/>
      </c>
      <c r="AW89" s="38">
        <f>IFERROR(1/(1/INDEX(Cascade!$BH:$BH,MATCH($E89,Cascade!$E:$E,0))),"")</f>
        <v>102</v>
      </c>
      <c r="AX89" s="38" t="str">
        <f t="shared" si="81"/>
        <v/>
      </c>
      <c r="AY89" s="38" t="str">
        <f t="shared" si="82"/>
        <v/>
      </c>
      <c r="AZ89" s="38" t="str">
        <f>IFERROR(1/(1/INDEX(TB!$P:$P,MATCH($E89,TB!$E:$E,0))),"")</f>
        <v/>
      </c>
      <c r="BA89" s="38">
        <f t="shared" si="83"/>
        <v>102</v>
      </c>
    </row>
    <row r="90" spans="1:53" x14ac:dyDescent="0.2">
      <c r="A90" t="str">
        <f>INDEX(Prioritization!$D:$D,MATCH($B90,Prioritization!$A:$A,0))</f>
        <v>INVALID</v>
      </c>
      <c r="B90" t="s">
        <v>319</v>
      </c>
      <c r="C90" t="s">
        <v>474</v>
      </c>
      <c r="D90" t="s">
        <v>30</v>
      </c>
      <c r="E90" t="str">
        <f t="shared" si="56"/>
        <v>Mulanje District [umc2n1Z4wNv]|10-14|Female</v>
      </c>
      <c r="F90" s="38">
        <f>IF(LEFT($B90,4)="_Mil","",INDEX(Cascade!$T:$T,MATCH($E90,Cascade!$E:$E,0)))</f>
        <v>54585</v>
      </c>
      <c r="G90" s="38">
        <f>IF(LEFT($B90,4)="_Mil","",INDEX(Cascade!$U:$U,MATCH($E90,Cascade!$E:$E,0)))</f>
        <v>749</v>
      </c>
      <c r="H90" s="110">
        <f>IF(LEFT($B90,4)="_Mil","",INDEX(Cascade!$W:$W,MATCH($E90,Cascade!$E:$E,0)))</f>
        <v>1.3723185000000001E-2</v>
      </c>
      <c r="I90" s="38">
        <f>IF(LEFT($B90,4)="_Mil","",INDEX(Cascade!$Z:$Z,MATCH($E90,Cascade!$E:$E,0)))</f>
        <v>636</v>
      </c>
      <c r="J90" s="33">
        <f>IF(LEFT($B90,4)="_Mil","",INDEX(Cascade!$AA:$AA,MATCH($E90,Cascade!$E:$E,0)))</f>
        <v>0.85001977800000006</v>
      </c>
      <c r="K90" s="218" t="str">
        <f>IF(LEFT($B90,4)="_Mil","",_xlfn.IFNA(ROUND(INDEX(Spectrum!$N:$N,MATCH(RIGHT($B90,13)&amp;"|"&amp;$C90&amp;"|"&amp;$D90&amp;"|"&amp;K$14&amp;"|"&amp;"CY2024Q3",Spectrum!$R:$R,0)),0),""))</f>
        <v/>
      </c>
      <c r="L90" s="218" t="str">
        <f>IF(LEFT($B90,4)="_Mil","",_xlfn.IFNA(ROUND(INDEX(Spectrum!$N:$N,MATCH(RIGHT($B90,13)&amp;"|"&amp;$C90&amp;"|"&amp;$D90&amp;"|"&amp;L$14&amp;"|"&amp;"CY2024Q3",Spectrum!$R:$R,0)),0),""))</f>
        <v/>
      </c>
      <c r="M90" s="218" t="str">
        <f>IF(LEFT($B90,4)="_Mil","",_xlfn.IFNA(ROUND(INDEX(Spectrum!$N:$N,MATCH(RIGHT($B90,13)&amp;"|"&amp;$C90&amp;"|"&amp;$D90&amp;"|"&amp;M$14&amp;"|"&amp;"CY2024Q3",Spectrum!$R:$R,0)),0),""))</f>
        <v/>
      </c>
      <c r="N90" s="218" t="str">
        <f>IF(LEFT($B90,4)="_Mil","",_xlfn.IFNA(ROUND(INDEX(Spectrum!$N:$N,MATCH(RIGHT($B90,13)&amp;"|"&amp;$C90&amp;"|"&amp;$D90&amp;"|"&amp;N$14&amp;"|"&amp;"CY2024Q3",Spectrum!$R:$R,0)),0),""))</f>
        <v/>
      </c>
      <c r="O90" s="218" t="str">
        <f>IF(LEFT($B90,4)="_Mil","",_xlfn.IFNA(ROUND(INDEX(Spectrum!$N:$N,MATCH(RIGHT($B90,13)&amp;"|"&amp;$C90&amp;"|"&amp;$D90&amp;"|"&amp;O$14&amp;"|"&amp;"CY2024Q3",Spectrum!$R:$R,0)),0),""))</f>
        <v/>
      </c>
      <c r="P90" s="218" t="str">
        <f>IF(LEFT($B90,4)="_Mil","",_xlfn.IFNA(ROUND(INDEX(Spectrum!$N:$N,MATCH(RIGHT($B90,13)&amp;"|"&amp;$C90&amp;"|"&amp;$D90&amp;"|"&amp;P$14&amp;"|"&amp;"CY2024Q3",Spectrum!$R:$R,0)),0),""))</f>
        <v/>
      </c>
      <c r="Q90" s="218" t="str">
        <f>IF(LEFT($B90,4)="_Mil","",_xlfn.IFNA(ROUND(INDEX(Spectrum!$N:$N,MATCH(RIGHT($B90,13)&amp;"|"&amp;$C90&amp;"|"&amp;$D90&amp;"|"&amp;Q$14&amp;"|"&amp;"CY2024Q3",Spectrum!$R:$R,0)),0),""))</f>
        <v/>
      </c>
      <c r="R90" s="38">
        <v>92</v>
      </c>
      <c r="S90" s="33">
        <v>0</v>
      </c>
      <c r="T90" s="218">
        <f t="shared" si="57"/>
        <v>92</v>
      </c>
      <c r="U90" s="33">
        <f t="shared" si="58"/>
        <v>1</v>
      </c>
      <c r="V90" s="218">
        <f t="shared" si="59"/>
        <v>92</v>
      </c>
      <c r="W90" s="33">
        <v>1.0999999999999999E-2</v>
      </c>
      <c r="X90" s="33">
        <f t="shared" si="60"/>
        <v>1.0999999999999999E-2</v>
      </c>
      <c r="Y90" s="231">
        <v>8.0000000000000002E-3</v>
      </c>
      <c r="Z90" s="33">
        <f t="shared" si="61"/>
        <v>8.0000000000000002E-3</v>
      </c>
      <c r="AA90" s="38">
        <f t="shared" si="62"/>
        <v>92</v>
      </c>
      <c r="AB90" s="218">
        <f t="shared" si="63"/>
        <v>1</v>
      </c>
      <c r="AC90" s="218">
        <f t="shared" si="64"/>
        <v>1</v>
      </c>
      <c r="AD90" s="218">
        <f t="shared" si="65"/>
        <v>90</v>
      </c>
      <c r="AE90" s="38">
        <f t="shared" si="66"/>
        <v>92</v>
      </c>
      <c r="AF90" s="218">
        <f t="shared" si="67"/>
        <v>1</v>
      </c>
      <c r="AG90" s="218">
        <f t="shared" si="68"/>
        <v>1</v>
      </c>
      <c r="AH90" s="218">
        <f t="shared" si="69"/>
        <v>90</v>
      </c>
      <c r="AI90" s="33">
        <f>IF(SUM($AC90)=0,"",INDEX(Cascade!$BG:$BG,MATCH($E90,Cascade!$E:$E,0)))</f>
        <v>0.95</v>
      </c>
      <c r="AJ90" s="218">
        <f t="shared" si="70"/>
        <v>1</v>
      </c>
      <c r="AK90" s="218">
        <f t="shared" si="71"/>
        <v>1</v>
      </c>
      <c r="AL90" s="218">
        <f t="shared" si="72"/>
        <v>2</v>
      </c>
      <c r="AM90" s="218">
        <f t="shared" si="73"/>
        <v>1</v>
      </c>
      <c r="AN90" s="218">
        <f t="shared" si="74"/>
        <v>1</v>
      </c>
      <c r="AO90" s="38">
        <f t="shared" si="75"/>
        <v>90</v>
      </c>
      <c r="AP90" s="232">
        <v>4.0000000000000001E-3</v>
      </c>
      <c r="AQ90" s="33">
        <f t="shared" si="76"/>
        <v>4.0000000000000001E-3</v>
      </c>
      <c r="AR90" s="33">
        <f>IF(SUM($AO90)=0,"",INDEX(Cascade!$BG:$BG,MATCH($E90,Cascade!$E:$E,0)))</f>
        <v>0.95</v>
      </c>
      <c r="AS90" s="218">
        <f t="shared" si="77"/>
        <v>0</v>
      </c>
      <c r="AT90" s="218">
        <f t="shared" si="78"/>
        <v>90</v>
      </c>
      <c r="AU90" s="38" t="str">
        <f t="shared" si="79"/>
        <v/>
      </c>
      <c r="AV90" s="38">
        <f t="shared" si="80"/>
        <v>2</v>
      </c>
      <c r="AW90" s="38">
        <f>IFERROR(1/(1/INDEX(Cascade!$BH:$BH,MATCH($E90,Cascade!$E:$E,0))),"")</f>
        <v>82</v>
      </c>
      <c r="AX90" s="38">
        <f t="shared" si="81"/>
        <v>1</v>
      </c>
      <c r="AY90" s="38" t="str">
        <f t="shared" si="82"/>
        <v/>
      </c>
      <c r="AZ90" s="38" t="str">
        <f>IFERROR(1/(1/INDEX(TB!$P:$P,MATCH($E90,TB!$E:$E,0))),"")</f>
        <v/>
      </c>
      <c r="BA90" s="38">
        <f t="shared" si="83"/>
        <v>81</v>
      </c>
    </row>
    <row r="91" spans="1:53" x14ac:dyDescent="0.2">
      <c r="A91" t="str">
        <f>INDEX(Prioritization!$D:$D,MATCH($B91,Prioritization!$A:$A,0))</f>
        <v>INVALID</v>
      </c>
      <c r="B91" t="s">
        <v>319</v>
      </c>
      <c r="C91" t="s">
        <v>475</v>
      </c>
      <c r="D91" t="s">
        <v>30</v>
      </c>
      <c r="E91" t="str">
        <f t="shared" si="56"/>
        <v>Mulanje District [umc2n1Z4wNv]|15-24|Female</v>
      </c>
      <c r="F91" s="38">
        <f>IF(LEFT($B91,4)="_Mil","",INDEX(Cascade!$T:$T,MATCH($E91,Cascade!$E:$E,0)))</f>
        <v>91443</v>
      </c>
      <c r="G91" s="38">
        <f>IF(LEFT($B91,4)="_Mil","",INDEX(Cascade!$U:$U,MATCH($E91,Cascade!$E:$E,0)))</f>
        <v>3145</v>
      </c>
      <c r="H91" s="110">
        <f>IF(LEFT($B91,4)="_Mil","",INDEX(Cascade!$W:$W,MATCH($E91,Cascade!$E:$E,0)))</f>
        <v>3.4388201E-2</v>
      </c>
      <c r="I91" s="38">
        <f>IF(LEFT($B91,4)="_Mil","",INDEX(Cascade!$Z:$Z,MATCH($E91,Cascade!$E:$E,0)))</f>
        <v>2890</v>
      </c>
      <c r="J91" s="33">
        <f>IF(LEFT($B91,4)="_Mil","",INDEX(Cascade!$AA:$AA,MATCH($E91,Cascade!$E:$E,0)))</f>
        <v>0.961381716</v>
      </c>
      <c r="K91" s="218">
        <f>IF(LEFT($B91,4)="_Mil","",_xlfn.IFNA(ROUND(INDEX(Spectrum!$N:$N,MATCH(RIGHT($B91,13)&amp;"|"&amp;$C91&amp;"|"&amp;$D91&amp;"|"&amp;K$14&amp;"|"&amp;"CY2024Q3",Spectrum!$R:$R,0)),0),""))</f>
        <v>10799</v>
      </c>
      <c r="L91" s="218">
        <f>IF(LEFT($B91,4)="_Mil","",_xlfn.IFNA(ROUND(INDEX(Spectrum!$N:$N,MATCH(RIGHT($B91,13)&amp;"|"&amp;$C91&amp;"|"&amp;$D91&amp;"|"&amp;L$14&amp;"|"&amp;"CY2024Q3",Spectrum!$R:$R,0)),0),""))</f>
        <v>342</v>
      </c>
      <c r="M91" s="218">
        <f>IF(LEFT($B91,4)="_Mil","",_xlfn.IFNA(ROUND(INDEX(Spectrum!$N:$N,MATCH(RIGHT($B91,13)&amp;"|"&amp;$C91&amp;"|"&amp;$D91&amp;"|"&amp;M$14&amp;"|"&amp;"CY2024Q3",Spectrum!$R:$R,0)),0),""))</f>
        <v>106</v>
      </c>
      <c r="N91" s="218">
        <f>IF(LEFT($B91,4)="_Mil","",_xlfn.IFNA(ROUND(INDEX(Spectrum!$N:$N,MATCH(RIGHT($B91,13)&amp;"|"&amp;$C91&amp;"|"&amp;$D91&amp;"|"&amp;N$14&amp;"|"&amp;"CY2024Q3",Spectrum!$R:$R,0)),0),""))</f>
        <v>10351</v>
      </c>
      <c r="O91" s="218">
        <f>IF(LEFT($B91,4)="_Mil","",_xlfn.IFNA(ROUND(INDEX(Spectrum!$N:$N,MATCH(RIGHT($B91,13)&amp;"|"&amp;$C91&amp;"|"&amp;$D91&amp;"|"&amp;O$14&amp;"|"&amp;"CY2024Q3",Spectrum!$R:$R,0)),0),""))</f>
        <v>448</v>
      </c>
      <c r="P91" s="218">
        <f>IF(LEFT($B91,4)="_Mil","",_xlfn.IFNA(ROUND(INDEX(Spectrum!$N:$N,MATCH(RIGHT($B91,13)&amp;"|"&amp;$C91&amp;"|"&amp;$D91&amp;"|"&amp;P$14&amp;"|"&amp;"CY2024Q3",Spectrum!$R:$R,0)),0),""))</f>
        <v>342</v>
      </c>
      <c r="Q91" s="218">
        <f>IF(LEFT($B91,4)="_Mil","",_xlfn.IFNA(ROUND(INDEX(Spectrum!$N:$N,MATCH(RIGHT($B91,13)&amp;"|"&amp;$C91&amp;"|"&amp;$D91&amp;"|"&amp;Q$14&amp;"|"&amp;"CY2024Q3",Spectrum!$R:$R,0)),0),""))</f>
        <v>106</v>
      </c>
      <c r="R91" s="38">
        <v>18023</v>
      </c>
      <c r="S91" s="33">
        <v>0</v>
      </c>
      <c r="T91" s="218">
        <f t="shared" si="57"/>
        <v>18023</v>
      </c>
      <c r="U91" s="33">
        <f t="shared" si="58"/>
        <v>1</v>
      </c>
      <c r="V91" s="218">
        <f t="shared" si="59"/>
        <v>18023</v>
      </c>
      <c r="W91" s="33">
        <v>3.1E-2</v>
      </c>
      <c r="X91" s="33">
        <f t="shared" si="60"/>
        <v>3.1669599036947868E-2</v>
      </c>
      <c r="Y91" s="231">
        <v>8.9999999999999993E-3</v>
      </c>
      <c r="Z91" s="33">
        <f t="shared" si="61"/>
        <v>8.9999999999999993E-3</v>
      </c>
      <c r="AA91" s="38">
        <f t="shared" si="62"/>
        <v>18023</v>
      </c>
      <c r="AB91" s="218">
        <f t="shared" si="63"/>
        <v>571</v>
      </c>
      <c r="AC91" s="218">
        <f t="shared" si="64"/>
        <v>157</v>
      </c>
      <c r="AD91" s="218">
        <f t="shared" si="65"/>
        <v>17295</v>
      </c>
      <c r="AE91" s="38">
        <f t="shared" si="66"/>
        <v>18023</v>
      </c>
      <c r="AF91" s="218">
        <f t="shared" si="67"/>
        <v>571</v>
      </c>
      <c r="AG91" s="218">
        <f t="shared" si="68"/>
        <v>157</v>
      </c>
      <c r="AH91" s="218">
        <f t="shared" si="69"/>
        <v>17295</v>
      </c>
      <c r="AI91" s="33">
        <f>IF(SUM($AC91)=0,"",INDEX(Cascade!$BG:$BG,MATCH($E91,Cascade!$E:$E,0)))</f>
        <v>0.95</v>
      </c>
      <c r="AJ91" s="218">
        <f t="shared" si="70"/>
        <v>571</v>
      </c>
      <c r="AK91" s="218">
        <f t="shared" si="71"/>
        <v>149</v>
      </c>
      <c r="AL91" s="218">
        <f t="shared" si="72"/>
        <v>728</v>
      </c>
      <c r="AM91" s="218">
        <f t="shared" si="73"/>
        <v>571</v>
      </c>
      <c r="AN91" s="218">
        <f t="shared" si="74"/>
        <v>149</v>
      </c>
      <c r="AO91" s="38">
        <f t="shared" si="75"/>
        <v>17295</v>
      </c>
      <c r="AP91" s="232">
        <v>4.0000000000000001E-3</v>
      </c>
      <c r="AQ91" s="33">
        <f t="shared" si="76"/>
        <v>4.0000000000000001E-3</v>
      </c>
      <c r="AR91" s="33">
        <f>IF(SUM($AO91)=0,"",INDEX(Cascade!$BG:$BG,MATCH($E91,Cascade!$E:$E,0)))</f>
        <v>0.95</v>
      </c>
      <c r="AS91" s="218">
        <f t="shared" si="77"/>
        <v>69</v>
      </c>
      <c r="AT91" s="218">
        <f t="shared" si="78"/>
        <v>17226</v>
      </c>
      <c r="AU91" s="38">
        <f t="shared" si="79"/>
        <v>66</v>
      </c>
      <c r="AV91" s="38">
        <f t="shared" si="80"/>
        <v>797.00000000000011</v>
      </c>
      <c r="AW91" s="38">
        <f>IFERROR(1/(1/INDEX(Cascade!$BH:$BH,MATCH($E91,Cascade!$E:$E,0))),"")</f>
        <v>491.00000000000006</v>
      </c>
      <c r="AX91" s="38">
        <f t="shared" si="81"/>
        <v>157</v>
      </c>
      <c r="AY91" s="38">
        <f t="shared" si="82"/>
        <v>69</v>
      </c>
      <c r="AZ91" s="38">
        <f>IFERROR(1/(1/INDEX(TB!$P:$P,MATCH($E91,TB!$E:$E,0))),"")</f>
        <v>2</v>
      </c>
      <c r="BA91" s="38">
        <f t="shared" si="83"/>
        <v>263.00000000000006</v>
      </c>
    </row>
    <row r="92" spans="1:53" x14ac:dyDescent="0.2">
      <c r="A92" t="str">
        <f>INDEX(Prioritization!$D:$D,MATCH($B92,Prioritization!$A:$A,0))</f>
        <v>INVALID</v>
      </c>
      <c r="B92" t="s">
        <v>319</v>
      </c>
      <c r="C92" t="s">
        <v>476</v>
      </c>
      <c r="D92" t="s">
        <v>30</v>
      </c>
      <c r="E92" t="str">
        <f t="shared" si="56"/>
        <v>Mulanje District [umc2n1Z4wNv]|25-34|Female</v>
      </c>
      <c r="F92" s="38">
        <f>IF(LEFT($B92,4)="_Mil","",INDEX(Cascade!$T:$T,MATCH($E92,Cascade!$E:$E,0)))</f>
        <v>61705</v>
      </c>
      <c r="G92" s="38">
        <f>IF(LEFT($B92,4)="_Mil","",INDEX(Cascade!$U:$U,MATCH($E92,Cascade!$E:$E,0)))</f>
        <v>7860</v>
      </c>
      <c r="H92" s="110">
        <f>IF(LEFT($B92,4)="_Mil","",INDEX(Cascade!$W:$W,MATCH($E92,Cascade!$E:$E,0)))</f>
        <v>0.12737716299999999</v>
      </c>
      <c r="I92" s="38">
        <f>IF(LEFT($B92,4)="_Mil","",INDEX(Cascade!$Z:$Z,MATCH($E92,Cascade!$E:$E,0)))</f>
        <v>7387</v>
      </c>
      <c r="J92" s="33">
        <f>IF(LEFT($B92,4)="_Mil","",INDEX(Cascade!$AA:$AA,MATCH($E92,Cascade!$E:$E,0)))</f>
        <v>0.97979461000000001</v>
      </c>
      <c r="K92" s="218">
        <f>IF(LEFT($B92,4)="_Mil","",_xlfn.IFNA(ROUND(INDEX(Spectrum!$N:$N,MATCH(RIGHT($B92,13)&amp;"|"&amp;$C92&amp;"|"&amp;$D92&amp;"|"&amp;K$14&amp;"|"&amp;"CY2024Q3",Spectrum!$R:$R,0)),0),""))</f>
        <v>7059</v>
      </c>
      <c r="L92" s="218">
        <f>IF(LEFT($B92,4)="_Mil","",_xlfn.IFNA(ROUND(INDEX(Spectrum!$N:$N,MATCH(RIGHT($B92,13)&amp;"|"&amp;$C92&amp;"|"&amp;$D92&amp;"|"&amp;L$14&amp;"|"&amp;"CY2024Q3",Spectrum!$R:$R,0)),0),""))</f>
        <v>642</v>
      </c>
      <c r="M92" s="218">
        <f>IF(LEFT($B92,4)="_Mil","",_xlfn.IFNA(ROUND(INDEX(Spectrum!$N:$N,MATCH(RIGHT($B92,13)&amp;"|"&amp;$C92&amp;"|"&amp;$D92&amp;"|"&amp;M$14&amp;"|"&amp;"CY2024Q3",Spectrum!$R:$R,0)),0),""))</f>
        <v>142</v>
      </c>
      <c r="N92" s="218">
        <f>IF(LEFT($B92,4)="_Mil","",_xlfn.IFNA(ROUND(INDEX(Spectrum!$N:$N,MATCH(RIGHT($B92,13)&amp;"|"&amp;$C92&amp;"|"&amp;$D92&amp;"|"&amp;N$14&amp;"|"&amp;"CY2024Q3",Spectrum!$R:$R,0)),0),""))</f>
        <v>6275</v>
      </c>
      <c r="O92" s="218">
        <f>IF(LEFT($B92,4)="_Mil","",_xlfn.IFNA(ROUND(INDEX(Spectrum!$N:$N,MATCH(RIGHT($B92,13)&amp;"|"&amp;$C92&amp;"|"&amp;$D92&amp;"|"&amp;O$14&amp;"|"&amp;"CY2024Q3",Spectrum!$R:$R,0)),0),""))</f>
        <v>784</v>
      </c>
      <c r="P92" s="218">
        <f>IF(LEFT($B92,4)="_Mil","",_xlfn.IFNA(ROUND(INDEX(Spectrum!$N:$N,MATCH(RIGHT($B92,13)&amp;"|"&amp;$C92&amp;"|"&amp;$D92&amp;"|"&amp;P$14&amp;"|"&amp;"CY2024Q3",Spectrum!$R:$R,0)),0),""))</f>
        <v>642</v>
      </c>
      <c r="Q92" s="218">
        <f>IF(LEFT($B92,4)="_Mil","",_xlfn.IFNA(ROUND(INDEX(Spectrum!$N:$N,MATCH(RIGHT($B92,13)&amp;"|"&amp;$C92&amp;"|"&amp;$D92&amp;"|"&amp;Q$14&amp;"|"&amp;"CY2024Q3",Spectrum!$R:$R,0)),0),""))</f>
        <v>142</v>
      </c>
      <c r="R92" s="38">
        <v>10265</v>
      </c>
      <c r="S92" s="33">
        <v>0</v>
      </c>
      <c r="T92" s="218">
        <f t="shared" si="57"/>
        <v>10265</v>
      </c>
      <c r="U92" s="33">
        <f t="shared" si="58"/>
        <v>1</v>
      </c>
      <c r="V92" s="218">
        <f t="shared" si="59"/>
        <v>10265</v>
      </c>
      <c r="W92" s="33">
        <v>0.11799999999999999</v>
      </c>
      <c r="X92" s="33">
        <f t="shared" si="60"/>
        <v>0.11799999999999999</v>
      </c>
      <c r="Y92" s="231">
        <v>1.7999999999999999E-2</v>
      </c>
      <c r="Z92" s="33">
        <f t="shared" si="61"/>
        <v>1.7999999999999999E-2</v>
      </c>
      <c r="AA92" s="38">
        <f t="shared" si="62"/>
        <v>10265</v>
      </c>
      <c r="AB92" s="218">
        <f t="shared" si="63"/>
        <v>1211</v>
      </c>
      <c r="AC92" s="218">
        <f t="shared" si="64"/>
        <v>163</v>
      </c>
      <c r="AD92" s="218">
        <f t="shared" si="65"/>
        <v>8891</v>
      </c>
      <c r="AE92" s="38">
        <f t="shared" si="66"/>
        <v>10265</v>
      </c>
      <c r="AF92" s="218">
        <f t="shared" si="67"/>
        <v>1211</v>
      </c>
      <c r="AG92" s="218">
        <f t="shared" si="68"/>
        <v>163</v>
      </c>
      <c r="AH92" s="218">
        <f t="shared" si="69"/>
        <v>8891</v>
      </c>
      <c r="AI92" s="33">
        <f>IF(SUM($AC92)=0,"",INDEX(Cascade!$BG:$BG,MATCH($E92,Cascade!$E:$E,0)))</f>
        <v>0.95</v>
      </c>
      <c r="AJ92" s="218">
        <f t="shared" si="70"/>
        <v>1211</v>
      </c>
      <c r="AK92" s="218">
        <f t="shared" si="71"/>
        <v>155</v>
      </c>
      <c r="AL92" s="218">
        <f t="shared" si="72"/>
        <v>1374</v>
      </c>
      <c r="AM92" s="218">
        <f t="shared" si="73"/>
        <v>1211</v>
      </c>
      <c r="AN92" s="218">
        <f t="shared" si="74"/>
        <v>155</v>
      </c>
      <c r="AO92" s="38">
        <f t="shared" si="75"/>
        <v>8891</v>
      </c>
      <c r="AP92" s="232">
        <v>7.0000000000000001E-3</v>
      </c>
      <c r="AQ92" s="33">
        <f t="shared" si="76"/>
        <v>7.0000000000000001E-3</v>
      </c>
      <c r="AR92" s="33">
        <f>IF(SUM($AO92)=0,"",INDEX(Cascade!$BG:$BG,MATCH($E92,Cascade!$E:$E,0)))</f>
        <v>0.95</v>
      </c>
      <c r="AS92" s="218">
        <f t="shared" si="77"/>
        <v>62</v>
      </c>
      <c r="AT92" s="218">
        <f t="shared" si="78"/>
        <v>8829</v>
      </c>
      <c r="AU92" s="38">
        <f t="shared" si="79"/>
        <v>59</v>
      </c>
      <c r="AV92" s="38">
        <f t="shared" si="80"/>
        <v>1436</v>
      </c>
      <c r="AW92" s="38">
        <f>IFERROR(1/(1/INDEX(Cascade!$BH:$BH,MATCH($E92,Cascade!$E:$E,0))),"")</f>
        <v>479.00000000000006</v>
      </c>
      <c r="AX92" s="38">
        <f t="shared" si="81"/>
        <v>163</v>
      </c>
      <c r="AY92" s="38">
        <f t="shared" si="82"/>
        <v>62</v>
      </c>
      <c r="AZ92" s="38">
        <f>IFERROR(1/(1/INDEX(TB!$P:$P,MATCH($E92,TB!$E:$E,0))),"")</f>
        <v>2</v>
      </c>
      <c r="BA92" s="38">
        <f t="shared" si="83"/>
        <v>252.00000000000006</v>
      </c>
    </row>
    <row r="93" spans="1:53" x14ac:dyDescent="0.2">
      <c r="A93" t="str">
        <f>INDEX(Prioritization!$D:$D,MATCH($B93,Prioritization!$A:$A,0))</f>
        <v>INVALID</v>
      </c>
      <c r="B93" t="s">
        <v>319</v>
      </c>
      <c r="C93" t="s">
        <v>477</v>
      </c>
      <c r="D93" t="s">
        <v>30</v>
      </c>
      <c r="E93" t="str">
        <f t="shared" si="56"/>
        <v>Mulanje District [umc2n1Z4wNv]|35-49|Female</v>
      </c>
      <c r="F93" s="38">
        <f>IF(LEFT($B93,4)="_Mil","",INDEX(Cascade!$T:$T,MATCH($E93,Cascade!$E:$E,0)))</f>
        <v>65525</v>
      </c>
      <c r="G93" s="38">
        <f>IF(LEFT($B93,4)="_Mil","",INDEX(Cascade!$U:$U,MATCH($E93,Cascade!$E:$E,0)))</f>
        <v>19947</v>
      </c>
      <c r="H93" s="110">
        <f>IF(LEFT($B93,4)="_Mil","",INDEX(Cascade!$W:$W,MATCH($E93,Cascade!$E:$E,0)))</f>
        <v>0.304423783</v>
      </c>
      <c r="I93" s="38">
        <f>IF(LEFT($B93,4)="_Mil","",INDEX(Cascade!$Z:$Z,MATCH($E93,Cascade!$E:$E,0)))</f>
        <v>18765</v>
      </c>
      <c r="J93" s="33">
        <f>IF(LEFT($B93,4)="_Mil","",INDEX(Cascade!$AA:$AA,MATCH($E93,Cascade!$E:$E,0)))</f>
        <v>0.99001191899999996</v>
      </c>
      <c r="K93" s="218">
        <f>IF(LEFT($B93,4)="_Mil","",_xlfn.IFNA(ROUND(INDEX(Spectrum!$N:$N,MATCH(RIGHT($B93,13)&amp;"|"&amp;$C93&amp;"|"&amp;$D93&amp;"|"&amp;K$14&amp;"|"&amp;"CY2024Q3",Spectrum!$R:$R,0)),0),""))</f>
        <v>2780</v>
      </c>
      <c r="L93" s="218">
        <f>IF(LEFT($B93,4)="_Mil","",_xlfn.IFNA(ROUND(INDEX(Spectrum!$N:$N,MATCH(RIGHT($B93,13)&amp;"|"&amp;$C93&amp;"|"&amp;$D93&amp;"|"&amp;L$14&amp;"|"&amp;"CY2024Q3",Spectrum!$R:$R,0)),0),""))</f>
        <v>516</v>
      </c>
      <c r="M93" s="218">
        <f>IF(LEFT($B93,4)="_Mil","",_xlfn.IFNA(ROUND(INDEX(Spectrum!$N:$N,MATCH(RIGHT($B93,13)&amp;"|"&amp;$C93&amp;"|"&amp;$D93&amp;"|"&amp;M$14&amp;"|"&amp;"CY2024Q3",Spectrum!$R:$R,0)),0),""))</f>
        <v>39</v>
      </c>
      <c r="N93" s="218">
        <f>IF(LEFT($B93,4)="_Mil","",_xlfn.IFNA(ROUND(INDEX(Spectrum!$N:$N,MATCH(RIGHT($B93,13)&amp;"|"&amp;$C93&amp;"|"&amp;$D93&amp;"|"&amp;N$14&amp;"|"&amp;"CY2024Q3",Spectrum!$R:$R,0)),0),""))</f>
        <v>2226</v>
      </c>
      <c r="O93" s="218">
        <f>IF(LEFT($B93,4)="_Mil","",_xlfn.IFNA(ROUND(INDEX(Spectrum!$N:$N,MATCH(RIGHT($B93,13)&amp;"|"&amp;$C93&amp;"|"&amp;$D93&amp;"|"&amp;O$14&amp;"|"&amp;"CY2024Q3",Spectrum!$R:$R,0)),0),""))</f>
        <v>555</v>
      </c>
      <c r="P93" s="218">
        <f>IF(LEFT($B93,4)="_Mil","",_xlfn.IFNA(ROUND(INDEX(Spectrum!$N:$N,MATCH(RIGHT($B93,13)&amp;"|"&amp;$C93&amp;"|"&amp;$D93&amp;"|"&amp;P$14&amp;"|"&amp;"CY2024Q3",Spectrum!$R:$R,0)),0),""))</f>
        <v>516</v>
      </c>
      <c r="Q93" s="218">
        <f>IF(LEFT($B93,4)="_Mil","",_xlfn.IFNA(ROUND(INDEX(Spectrum!$N:$N,MATCH(RIGHT($B93,13)&amp;"|"&amp;$C93&amp;"|"&amp;$D93&amp;"|"&amp;Q$14&amp;"|"&amp;"CY2024Q3",Spectrum!$R:$R,0)),0),""))</f>
        <v>39</v>
      </c>
      <c r="R93" s="38">
        <v>2522</v>
      </c>
      <c r="S93" s="33">
        <v>0</v>
      </c>
      <c r="T93" s="218">
        <f t="shared" si="57"/>
        <v>2522</v>
      </c>
      <c r="U93" s="33">
        <f t="shared" si="58"/>
        <v>0.90719424460431652</v>
      </c>
      <c r="V93" s="218">
        <f t="shared" si="59"/>
        <v>2780</v>
      </c>
      <c r="W93" s="33">
        <v>0.22700000000000001</v>
      </c>
      <c r="X93" s="33">
        <f t="shared" si="60"/>
        <v>0.22700000000000001</v>
      </c>
      <c r="Y93" s="231">
        <v>1.7999999999999999E-2</v>
      </c>
      <c r="Z93" s="33">
        <f t="shared" si="61"/>
        <v>1.7226148409893994E-2</v>
      </c>
      <c r="AA93" s="38">
        <f t="shared" si="62"/>
        <v>2522</v>
      </c>
      <c r="AB93" s="218">
        <f t="shared" si="63"/>
        <v>572</v>
      </c>
      <c r="AC93" s="218">
        <f t="shared" si="64"/>
        <v>34</v>
      </c>
      <c r="AD93" s="218">
        <f t="shared" si="65"/>
        <v>1916</v>
      </c>
      <c r="AE93" s="38">
        <f t="shared" si="66"/>
        <v>2780</v>
      </c>
      <c r="AF93" s="218">
        <f t="shared" si="67"/>
        <v>631</v>
      </c>
      <c r="AG93" s="218">
        <f t="shared" si="68"/>
        <v>37</v>
      </c>
      <c r="AH93" s="218">
        <f t="shared" si="69"/>
        <v>2112</v>
      </c>
      <c r="AI93" s="33">
        <f>IF(SUM($AC93)=0,"",INDEX(Cascade!$BG:$BG,MATCH($E93,Cascade!$E:$E,0)))</f>
        <v>0.95</v>
      </c>
      <c r="AJ93" s="218">
        <f t="shared" si="70"/>
        <v>572</v>
      </c>
      <c r="AK93" s="218">
        <f t="shared" si="71"/>
        <v>32</v>
      </c>
      <c r="AL93" s="218">
        <f t="shared" si="72"/>
        <v>668</v>
      </c>
      <c r="AM93" s="218">
        <f t="shared" si="73"/>
        <v>631</v>
      </c>
      <c r="AN93" s="218">
        <f t="shared" si="74"/>
        <v>35</v>
      </c>
      <c r="AO93" s="38">
        <f t="shared" si="75"/>
        <v>1916.0000000000002</v>
      </c>
      <c r="AP93" s="232">
        <v>8.9999999999999993E-3</v>
      </c>
      <c r="AQ93" s="33">
        <f t="shared" si="76"/>
        <v>8.9999999999999993E-3</v>
      </c>
      <c r="AR93" s="33">
        <f>IF(SUM($AO93)=0,"",INDEX(Cascade!$BG:$BG,MATCH($E93,Cascade!$E:$E,0)))</f>
        <v>0.95</v>
      </c>
      <c r="AS93" s="218">
        <f t="shared" si="77"/>
        <v>17</v>
      </c>
      <c r="AT93" s="218">
        <f t="shared" si="78"/>
        <v>1899.0000000000002</v>
      </c>
      <c r="AU93" s="38">
        <f t="shared" si="79"/>
        <v>16</v>
      </c>
      <c r="AV93" s="38">
        <f t="shared" si="80"/>
        <v>623</v>
      </c>
      <c r="AW93" s="38">
        <f>IFERROR(1/(1/INDEX(Cascade!$BH:$BH,MATCH($E93,Cascade!$E:$E,0))),"")</f>
        <v>763</v>
      </c>
      <c r="AX93" s="38">
        <f t="shared" si="81"/>
        <v>34</v>
      </c>
      <c r="AY93" s="38">
        <f t="shared" si="82"/>
        <v>17</v>
      </c>
      <c r="AZ93" s="38">
        <f>IFERROR(1/(1/INDEX(TB!$P:$P,MATCH($E93,TB!$E:$E,0))),"")</f>
        <v>3</v>
      </c>
      <c r="BA93" s="38">
        <f t="shared" si="83"/>
        <v>709</v>
      </c>
    </row>
    <row r="94" spans="1:53" x14ac:dyDescent="0.2">
      <c r="A94" t="str">
        <f>INDEX(Prioritization!$D:$D,MATCH($B94,Prioritization!$A:$A,0))</f>
        <v>INVALID</v>
      </c>
      <c r="B94" t="s">
        <v>319</v>
      </c>
      <c r="C94" t="s">
        <v>478</v>
      </c>
      <c r="D94" t="s">
        <v>30</v>
      </c>
      <c r="E94" t="str">
        <f t="shared" si="56"/>
        <v>Mulanje District [umc2n1Z4wNv]|50+|Female</v>
      </c>
      <c r="F94" s="38">
        <f>IF(LEFT($B94,4)="_Mil","",INDEX(Cascade!$T:$T,MATCH($E94,Cascade!$E:$E,0)))</f>
        <v>41998</v>
      </c>
      <c r="G94" s="38">
        <f>IF(LEFT($B94,4)="_Mil","",INDEX(Cascade!$U:$U,MATCH($E94,Cascade!$E:$E,0)))</f>
        <v>9837</v>
      </c>
      <c r="H94" s="110">
        <f>IF(LEFT($B94,4)="_Mil","",INDEX(Cascade!$W:$W,MATCH($E94,Cascade!$E:$E,0)))</f>
        <v>0.234222665</v>
      </c>
      <c r="I94" s="38">
        <f>IF(LEFT($B94,4)="_Mil","",INDEX(Cascade!$Z:$Z,MATCH($E94,Cascade!$E:$E,0)))</f>
        <v>9356</v>
      </c>
      <c r="J94" s="33">
        <f>IF(LEFT($B94,4)="_Mil","",INDEX(Cascade!$AA:$AA,MATCH($E94,Cascade!$E:$E,0)))</f>
        <v>0.99320023499999999</v>
      </c>
      <c r="K94" s="218" t="str">
        <f>IF(LEFT($B94,4)="_Mil","",_xlfn.IFNA(ROUND(INDEX(Spectrum!$N:$N,MATCH(RIGHT($B94,13)&amp;"|"&amp;$C94&amp;"|"&amp;$D94&amp;"|"&amp;K$14&amp;"|"&amp;"CY2024Q3",Spectrum!$R:$R,0)),0),""))</f>
        <v/>
      </c>
      <c r="L94" s="218" t="str">
        <f>IF(LEFT($B94,4)="_Mil","",_xlfn.IFNA(ROUND(INDEX(Spectrum!$N:$N,MATCH(RIGHT($B94,13)&amp;"|"&amp;$C94&amp;"|"&amp;$D94&amp;"|"&amp;L$14&amp;"|"&amp;"CY2024Q3",Spectrum!$R:$R,0)),0),""))</f>
        <v/>
      </c>
      <c r="M94" s="218" t="str">
        <f>IF(LEFT($B94,4)="_Mil","",_xlfn.IFNA(ROUND(INDEX(Spectrum!$N:$N,MATCH(RIGHT($B94,13)&amp;"|"&amp;$C94&amp;"|"&amp;$D94&amp;"|"&amp;M$14&amp;"|"&amp;"CY2024Q3",Spectrum!$R:$R,0)),0),""))</f>
        <v/>
      </c>
      <c r="N94" s="218" t="str">
        <f>IF(LEFT($B94,4)="_Mil","",_xlfn.IFNA(ROUND(INDEX(Spectrum!$N:$N,MATCH(RIGHT($B94,13)&amp;"|"&amp;$C94&amp;"|"&amp;$D94&amp;"|"&amp;N$14&amp;"|"&amp;"CY2024Q3",Spectrum!$R:$R,0)),0),""))</f>
        <v/>
      </c>
      <c r="O94" s="218" t="str">
        <f>IF(LEFT($B94,4)="_Mil","",_xlfn.IFNA(ROUND(INDEX(Spectrum!$N:$N,MATCH(RIGHT($B94,13)&amp;"|"&amp;$C94&amp;"|"&amp;$D94&amp;"|"&amp;O$14&amp;"|"&amp;"CY2024Q3",Spectrum!$R:$R,0)),0),""))</f>
        <v/>
      </c>
      <c r="P94" s="218" t="str">
        <f>IF(LEFT($B94,4)="_Mil","",_xlfn.IFNA(ROUND(INDEX(Spectrum!$N:$N,MATCH(RIGHT($B94,13)&amp;"|"&amp;$C94&amp;"|"&amp;$D94&amp;"|"&amp;P$14&amp;"|"&amp;"CY2024Q3",Spectrum!$R:$R,0)),0),""))</f>
        <v/>
      </c>
      <c r="Q94" s="218" t="str">
        <f>IF(LEFT($B94,4)="_Mil","",_xlfn.IFNA(ROUND(INDEX(Spectrum!$N:$N,MATCH(RIGHT($B94,13)&amp;"|"&amp;$C94&amp;"|"&amp;$D94&amp;"|"&amp;Q$14&amp;"|"&amp;"CY2024Q3",Spectrum!$R:$R,0)),0),""))</f>
        <v/>
      </c>
      <c r="R94" s="38">
        <v>21</v>
      </c>
      <c r="S94" s="33">
        <v>0</v>
      </c>
      <c r="T94" s="218">
        <f t="shared" si="57"/>
        <v>21</v>
      </c>
      <c r="U94" s="33">
        <f t="shared" si="58"/>
        <v>1</v>
      </c>
      <c r="V94" s="218">
        <f t="shared" si="59"/>
        <v>21</v>
      </c>
      <c r="W94" s="33">
        <v>0.16700000000000001</v>
      </c>
      <c r="X94" s="33">
        <f t="shared" si="60"/>
        <v>0.16700000000000001</v>
      </c>
      <c r="Y94" s="231">
        <v>1.4E-2</v>
      </c>
      <c r="Z94" s="33">
        <f t="shared" si="61"/>
        <v>1.4E-2</v>
      </c>
      <c r="AA94" s="38">
        <f t="shared" si="62"/>
        <v>21</v>
      </c>
      <c r="AB94" s="218">
        <f t="shared" si="63"/>
        <v>4</v>
      </c>
      <c r="AC94" s="218">
        <f t="shared" si="64"/>
        <v>0</v>
      </c>
      <c r="AD94" s="218">
        <f t="shared" si="65"/>
        <v>17</v>
      </c>
      <c r="AE94" s="38">
        <f t="shared" si="66"/>
        <v>21</v>
      </c>
      <c r="AF94" s="218">
        <f t="shared" si="67"/>
        <v>4</v>
      </c>
      <c r="AG94" s="218">
        <f t="shared" si="68"/>
        <v>0</v>
      </c>
      <c r="AH94" s="218">
        <f t="shared" si="69"/>
        <v>17</v>
      </c>
      <c r="AI94" s="33" t="str">
        <f>IF(SUM($AC94)=0,"",INDEX(Cascade!$BG:$BG,MATCH($E94,Cascade!$E:$E,0)))</f>
        <v/>
      </c>
      <c r="AJ94" s="218">
        <f t="shared" si="70"/>
        <v>4</v>
      </c>
      <c r="AK94" s="218" t="str">
        <f t="shared" si="71"/>
        <v/>
      </c>
      <c r="AL94" s="218">
        <f t="shared" si="72"/>
        <v>4</v>
      </c>
      <c r="AM94" s="218">
        <f t="shared" si="73"/>
        <v>4</v>
      </c>
      <c r="AN94" s="218" t="str">
        <f t="shared" si="74"/>
        <v/>
      </c>
      <c r="AO94" s="38">
        <f t="shared" si="75"/>
        <v>17</v>
      </c>
      <c r="AP94" s="232">
        <v>6.0000000000000001E-3</v>
      </c>
      <c r="AQ94" s="33">
        <f t="shared" si="76"/>
        <v>6.0000000000000001E-3</v>
      </c>
      <c r="AR94" s="33">
        <f>IF(SUM($AO94)=0,"",INDEX(Cascade!$BG:$BG,MATCH($E94,Cascade!$E:$E,0)))</f>
        <v>0.95</v>
      </c>
      <c r="AS94" s="218">
        <f t="shared" si="77"/>
        <v>0</v>
      </c>
      <c r="AT94" s="218">
        <f t="shared" si="78"/>
        <v>17</v>
      </c>
      <c r="AU94" s="38" t="str">
        <f t="shared" si="79"/>
        <v/>
      </c>
      <c r="AV94" s="38">
        <f t="shared" si="80"/>
        <v>4</v>
      </c>
      <c r="AW94" s="38">
        <f>IFERROR(1/(1/INDEX(Cascade!$BH:$BH,MATCH($E94,Cascade!$E:$E,0))),"")</f>
        <v>278</v>
      </c>
      <c r="AX94" s="38" t="str">
        <f t="shared" si="81"/>
        <v/>
      </c>
      <c r="AY94" s="38" t="str">
        <f t="shared" si="82"/>
        <v/>
      </c>
      <c r="AZ94" s="38">
        <f>IFERROR(1/(1/INDEX(TB!$P:$P,MATCH($E94,TB!$E:$E,0))),"")</f>
        <v>1</v>
      </c>
      <c r="BA94" s="38">
        <f t="shared" si="83"/>
        <v>277</v>
      </c>
    </row>
    <row r="95" spans="1:53" x14ac:dyDescent="0.2">
      <c r="A95" t="str">
        <f>INDEX(Prioritization!$D:$D,MATCH($B95,Prioritization!$A:$A,0))</f>
        <v>4 - Sustained</v>
      </c>
      <c r="B95" t="s">
        <v>320</v>
      </c>
      <c r="C95" t="s">
        <v>474</v>
      </c>
      <c r="D95" t="s">
        <v>30</v>
      </c>
      <c r="E95" t="str">
        <f t="shared" si="56"/>
        <v>Mwanza District [wNqJp8oRIcF]|10-14|Female</v>
      </c>
      <c r="F95" s="38">
        <f>IF(LEFT($B95,4)="_Mil","",INDEX(Cascade!$T:$T,MATCH($E95,Cascade!$E:$E,0)))</f>
        <v>10261</v>
      </c>
      <c r="G95" s="38">
        <f>IF(LEFT($B95,4)="_Mil","",INDEX(Cascade!$U:$U,MATCH($E95,Cascade!$E:$E,0)))</f>
        <v>90</v>
      </c>
      <c r="H95" s="110">
        <f>IF(LEFT($B95,4)="_Mil","",INDEX(Cascade!$W:$W,MATCH($E95,Cascade!$E:$E,0)))</f>
        <v>8.7275510000000001E-3</v>
      </c>
      <c r="I95" s="38">
        <f>IF(LEFT($B95,4)="_Mil","",INDEX(Cascade!$Z:$Z,MATCH($E95,Cascade!$E:$E,0)))</f>
        <v>70</v>
      </c>
      <c r="J95" s="33">
        <f>IF(LEFT($B95,4)="_Mil","",INDEX(Cascade!$AA:$AA,MATCH($E95,Cascade!$E:$E,0)))</f>
        <v>0.58414217599999996</v>
      </c>
      <c r="K95" s="218" t="str">
        <f>IF(LEFT($B95,4)="_Mil","",_xlfn.IFNA(ROUND(INDEX(Spectrum!$N:$N,MATCH(RIGHT($B95,13)&amp;"|"&amp;$C95&amp;"|"&amp;$D95&amp;"|"&amp;K$14&amp;"|"&amp;"CY2024Q3",Spectrum!$R:$R,0)),0),""))</f>
        <v/>
      </c>
      <c r="L95" s="218" t="str">
        <f>IF(LEFT($B95,4)="_Mil","",_xlfn.IFNA(ROUND(INDEX(Spectrum!$N:$N,MATCH(RIGHT($B95,13)&amp;"|"&amp;$C95&amp;"|"&amp;$D95&amp;"|"&amp;L$14&amp;"|"&amp;"CY2024Q3",Spectrum!$R:$R,0)),0),""))</f>
        <v/>
      </c>
      <c r="M95" s="218" t="str">
        <f>IF(LEFT($B95,4)="_Mil","",_xlfn.IFNA(ROUND(INDEX(Spectrum!$N:$N,MATCH(RIGHT($B95,13)&amp;"|"&amp;$C95&amp;"|"&amp;$D95&amp;"|"&amp;M$14&amp;"|"&amp;"CY2024Q3",Spectrum!$R:$R,0)),0),""))</f>
        <v/>
      </c>
      <c r="N95" s="218" t="str">
        <f>IF(LEFT($B95,4)="_Mil","",_xlfn.IFNA(ROUND(INDEX(Spectrum!$N:$N,MATCH(RIGHT($B95,13)&amp;"|"&amp;$C95&amp;"|"&amp;$D95&amp;"|"&amp;N$14&amp;"|"&amp;"CY2024Q3",Spectrum!$R:$R,0)),0),""))</f>
        <v/>
      </c>
      <c r="O95" s="218" t="str">
        <f>IF(LEFT($B95,4)="_Mil","",_xlfn.IFNA(ROUND(INDEX(Spectrum!$N:$N,MATCH(RIGHT($B95,13)&amp;"|"&amp;$C95&amp;"|"&amp;$D95&amp;"|"&amp;O$14&amp;"|"&amp;"CY2024Q3",Spectrum!$R:$R,0)),0),""))</f>
        <v/>
      </c>
      <c r="P95" s="218" t="str">
        <f>IF(LEFT($B95,4)="_Mil","",_xlfn.IFNA(ROUND(INDEX(Spectrum!$N:$N,MATCH(RIGHT($B95,13)&amp;"|"&amp;$C95&amp;"|"&amp;$D95&amp;"|"&amp;P$14&amp;"|"&amp;"CY2024Q3",Spectrum!$R:$R,0)),0),""))</f>
        <v/>
      </c>
      <c r="Q95" s="218" t="str">
        <f>IF(LEFT($B95,4)="_Mil","",_xlfn.IFNA(ROUND(INDEX(Spectrum!$N:$N,MATCH(RIGHT($B95,13)&amp;"|"&amp;$C95&amp;"|"&amp;$D95&amp;"|"&amp;Q$14&amp;"|"&amp;"CY2024Q3",Spectrum!$R:$R,0)),0),""))</f>
        <v/>
      </c>
      <c r="R95" s="38">
        <v>26</v>
      </c>
      <c r="S95" s="33">
        <v>0</v>
      </c>
      <c r="T95" s="218">
        <f t="shared" si="57"/>
        <v>26</v>
      </c>
      <c r="U95" s="33">
        <f t="shared" si="58"/>
        <v>1</v>
      </c>
      <c r="V95" s="218">
        <f t="shared" si="59"/>
        <v>26</v>
      </c>
      <c r="W95" s="33">
        <v>1.6E-2</v>
      </c>
      <c r="X95" s="33">
        <f t="shared" si="60"/>
        <v>1.6E-2</v>
      </c>
      <c r="Y95" s="231">
        <v>1.0999999999999999E-2</v>
      </c>
      <c r="Z95" s="33">
        <f t="shared" si="61"/>
        <v>1.0999999999999999E-2</v>
      </c>
      <c r="AA95" s="38">
        <f t="shared" si="62"/>
        <v>26</v>
      </c>
      <c r="AB95" s="218">
        <f t="shared" si="63"/>
        <v>0</v>
      </c>
      <c r="AC95" s="218">
        <f t="shared" si="64"/>
        <v>0</v>
      </c>
      <c r="AD95" s="218">
        <f t="shared" si="65"/>
        <v>26</v>
      </c>
      <c r="AE95" s="38">
        <f t="shared" si="66"/>
        <v>26</v>
      </c>
      <c r="AF95" s="218">
        <f t="shared" si="67"/>
        <v>0</v>
      </c>
      <c r="AG95" s="218">
        <f t="shared" si="68"/>
        <v>0</v>
      </c>
      <c r="AH95" s="218">
        <f t="shared" si="69"/>
        <v>26</v>
      </c>
      <c r="AI95" s="33" t="str">
        <f>IF(SUM($AC95)=0,"",INDEX(Cascade!$BG:$BG,MATCH($E95,Cascade!$E:$E,0)))</f>
        <v/>
      </c>
      <c r="AJ95" s="218">
        <f t="shared" si="70"/>
        <v>0</v>
      </c>
      <c r="AK95" s="218" t="str">
        <f t="shared" si="71"/>
        <v/>
      </c>
      <c r="AL95" s="218" t="str">
        <f t="shared" si="72"/>
        <v/>
      </c>
      <c r="AM95" s="218">
        <f t="shared" si="73"/>
        <v>0</v>
      </c>
      <c r="AN95" s="218" t="str">
        <f t="shared" si="74"/>
        <v/>
      </c>
      <c r="AO95" s="38">
        <f t="shared" si="75"/>
        <v>26</v>
      </c>
      <c r="AP95" s="231">
        <v>4.0000000000000001E-3</v>
      </c>
      <c r="AQ95" s="33">
        <f t="shared" si="76"/>
        <v>4.0000000000000001E-3</v>
      </c>
      <c r="AR95" s="33">
        <f>IF(SUM($AO95)=0,"",INDEX(Cascade!$BG:$BG,MATCH($E95,Cascade!$E:$E,0)))</f>
        <v>0.95</v>
      </c>
      <c r="AS95" s="218">
        <f t="shared" si="77"/>
        <v>0</v>
      </c>
      <c r="AT95" s="218">
        <f t="shared" si="78"/>
        <v>26</v>
      </c>
      <c r="AU95" s="38" t="str">
        <f t="shared" si="79"/>
        <v/>
      </c>
      <c r="AV95" s="38" t="str">
        <f t="shared" si="80"/>
        <v/>
      </c>
      <c r="AW95" s="38">
        <f>IFERROR(1/(1/INDEX(Cascade!$BH:$BH,MATCH($E95,Cascade!$E:$E,0))),"")</f>
        <v>14</v>
      </c>
      <c r="AX95" s="38" t="str">
        <f t="shared" si="81"/>
        <v/>
      </c>
      <c r="AY95" s="38" t="str">
        <f t="shared" si="82"/>
        <v/>
      </c>
      <c r="AZ95" s="38" t="str">
        <f>IFERROR(1/(1/INDEX(TB!$P:$P,MATCH($E95,TB!$E:$E,0))),"")</f>
        <v/>
      </c>
      <c r="BA95" s="38">
        <f t="shared" si="83"/>
        <v>14</v>
      </c>
    </row>
    <row r="96" spans="1:53" x14ac:dyDescent="0.2">
      <c r="A96" t="str">
        <f>INDEX(Prioritization!$D:$D,MATCH($B96,Prioritization!$A:$A,0))</f>
        <v>4 - Sustained</v>
      </c>
      <c r="B96" t="s">
        <v>320</v>
      </c>
      <c r="C96" t="s">
        <v>475</v>
      </c>
      <c r="D96" t="s">
        <v>30</v>
      </c>
      <c r="E96" t="str">
        <f t="shared" si="56"/>
        <v>Mwanza District [wNqJp8oRIcF]|15-24|Female</v>
      </c>
      <c r="F96" s="38">
        <f>IF(LEFT($B96,4)="_Mil","",INDEX(Cascade!$T:$T,MATCH($E96,Cascade!$E:$E,0)))</f>
        <v>18981</v>
      </c>
      <c r="G96" s="38">
        <f>IF(LEFT($B96,4)="_Mil","",INDEX(Cascade!$U:$U,MATCH($E96,Cascade!$E:$E,0)))</f>
        <v>337</v>
      </c>
      <c r="H96" s="110">
        <f>IF(LEFT($B96,4)="_Mil","",INDEX(Cascade!$W:$W,MATCH($E96,Cascade!$E:$E,0)))</f>
        <v>1.7743475000000002E-2</v>
      </c>
      <c r="I96" s="38">
        <f>IF(LEFT($B96,4)="_Mil","",INDEX(Cascade!$Z:$Z,MATCH($E96,Cascade!$E:$E,0)))</f>
        <v>396</v>
      </c>
      <c r="J96" s="33">
        <f>IF(LEFT($B96,4)="_Mil","",INDEX(Cascade!$AA:$AA,MATCH($E96,Cascade!$E:$E,0)))</f>
        <v>0.92450870200000002</v>
      </c>
      <c r="K96" s="218">
        <f>IF(LEFT($B96,4)="_Mil","",_xlfn.IFNA(ROUND(INDEX(Spectrum!$N:$N,MATCH(RIGHT($B96,13)&amp;"|"&amp;$C96&amp;"|"&amp;$D96&amp;"|"&amp;K$14&amp;"|"&amp;"CY2024Q3",Spectrum!$R:$R,0)),0),""))</f>
        <v>3092</v>
      </c>
      <c r="L96" s="218">
        <f>IF(LEFT($B96,4)="_Mil","",_xlfn.IFNA(ROUND(INDEX(Spectrum!$N:$N,MATCH(RIGHT($B96,13)&amp;"|"&amp;$C96&amp;"|"&amp;$D96&amp;"|"&amp;L$14&amp;"|"&amp;"CY2024Q3",Spectrum!$R:$R,0)),0),""))</f>
        <v>36</v>
      </c>
      <c r="M96" s="218">
        <f>IF(LEFT($B96,4)="_Mil","",_xlfn.IFNA(ROUND(INDEX(Spectrum!$N:$N,MATCH(RIGHT($B96,13)&amp;"|"&amp;$C96&amp;"|"&amp;$D96&amp;"|"&amp;M$14&amp;"|"&amp;"CY2024Q3",Spectrum!$R:$R,0)),0),""))</f>
        <v>16</v>
      </c>
      <c r="N96" s="218">
        <f>IF(LEFT($B96,4)="_Mil","",_xlfn.IFNA(ROUND(INDEX(Spectrum!$N:$N,MATCH(RIGHT($B96,13)&amp;"|"&amp;$C96&amp;"|"&amp;$D96&amp;"|"&amp;N$14&amp;"|"&amp;"CY2024Q3",Spectrum!$R:$R,0)),0),""))</f>
        <v>3040</v>
      </c>
      <c r="O96" s="218">
        <f>IF(LEFT($B96,4)="_Mil","",_xlfn.IFNA(ROUND(INDEX(Spectrum!$N:$N,MATCH(RIGHT($B96,13)&amp;"|"&amp;$C96&amp;"|"&amp;$D96&amp;"|"&amp;O$14&amp;"|"&amp;"CY2024Q3",Spectrum!$R:$R,0)),0),""))</f>
        <v>52</v>
      </c>
      <c r="P96" s="218">
        <f>IF(LEFT($B96,4)="_Mil","",_xlfn.IFNA(ROUND(INDEX(Spectrum!$N:$N,MATCH(RIGHT($B96,13)&amp;"|"&amp;$C96&amp;"|"&amp;$D96&amp;"|"&amp;P$14&amp;"|"&amp;"CY2024Q3",Spectrum!$R:$R,0)),0),""))</f>
        <v>36</v>
      </c>
      <c r="Q96" s="218">
        <f>IF(LEFT($B96,4)="_Mil","",_xlfn.IFNA(ROUND(INDEX(Spectrum!$N:$N,MATCH(RIGHT($B96,13)&amp;"|"&amp;$C96&amp;"|"&amp;$D96&amp;"|"&amp;Q$14&amp;"|"&amp;"CY2024Q3",Spectrum!$R:$R,0)),0),""))</f>
        <v>16</v>
      </c>
      <c r="R96" s="38">
        <v>3492</v>
      </c>
      <c r="S96" s="33">
        <v>0</v>
      </c>
      <c r="T96" s="218">
        <f t="shared" si="57"/>
        <v>3492</v>
      </c>
      <c r="U96" s="33">
        <f t="shared" si="58"/>
        <v>1</v>
      </c>
      <c r="V96" s="218">
        <f t="shared" si="59"/>
        <v>3492</v>
      </c>
      <c r="W96" s="33">
        <v>1.6E-2</v>
      </c>
      <c r="X96" s="33">
        <f t="shared" si="60"/>
        <v>1.6E-2</v>
      </c>
      <c r="Y96" s="231">
        <v>1.0999999999999999E-2</v>
      </c>
      <c r="Z96" s="33">
        <f t="shared" si="61"/>
        <v>5.235602094240838E-3</v>
      </c>
      <c r="AA96" s="38">
        <f t="shared" si="62"/>
        <v>3492</v>
      </c>
      <c r="AB96" s="218">
        <f t="shared" si="63"/>
        <v>56</v>
      </c>
      <c r="AC96" s="218">
        <f t="shared" si="64"/>
        <v>18</v>
      </c>
      <c r="AD96" s="218">
        <f t="shared" si="65"/>
        <v>3418</v>
      </c>
      <c r="AE96" s="38">
        <f t="shared" si="66"/>
        <v>3492</v>
      </c>
      <c r="AF96" s="218">
        <f t="shared" si="67"/>
        <v>56</v>
      </c>
      <c r="AG96" s="218">
        <f t="shared" si="68"/>
        <v>18</v>
      </c>
      <c r="AH96" s="218">
        <f t="shared" si="69"/>
        <v>3418</v>
      </c>
      <c r="AI96" s="33">
        <f>IF(SUM($AC96)=0,"",INDEX(Cascade!$BG:$BG,MATCH($E96,Cascade!$E:$E,0)))</f>
        <v>0.95</v>
      </c>
      <c r="AJ96" s="218">
        <f t="shared" si="70"/>
        <v>56</v>
      </c>
      <c r="AK96" s="218">
        <f t="shared" si="71"/>
        <v>17</v>
      </c>
      <c r="AL96" s="218">
        <f t="shared" si="72"/>
        <v>74</v>
      </c>
      <c r="AM96" s="218">
        <f t="shared" si="73"/>
        <v>56</v>
      </c>
      <c r="AN96" s="218">
        <f t="shared" si="74"/>
        <v>17</v>
      </c>
      <c r="AO96" s="38">
        <f t="shared" si="75"/>
        <v>3418</v>
      </c>
      <c r="AP96" s="231">
        <v>4.0000000000000001E-3</v>
      </c>
      <c r="AQ96" s="33">
        <f t="shared" si="76"/>
        <v>4.0000000000000001E-3</v>
      </c>
      <c r="AR96" s="33">
        <f>IF(SUM($AO96)=0,"",INDEX(Cascade!$BG:$BG,MATCH($E96,Cascade!$E:$E,0)))</f>
        <v>0.95</v>
      </c>
      <c r="AS96" s="218">
        <f t="shared" si="77"/>
        <v>14</v>
      </c>
      <c r="AT96" s="218">
        <f t="shared" si="78"/>
        <v>3404</v>
      </c>
      <c r="AU96" s="38">
        <f t="shared" si="79"/>
        <v>13</v>
      </c>
      <c r="AV96" s="38">
        <f t="shared" si="80"/>
        <v>88</v>
      </c>
      <c r="AW96" s="38">
        <f>IFERROR(1/(1/INDEX(Cascade!$BH:$BH,MATCH($E96,Cascade!$E:$E,0))),"")</f>
        <v>54</v>
      </c>
      <c r="AX96" s="38">
        <f t="shared" si="81"/>
        <v>18</v>
      </c>
      <c r="AY96" s="38">
        <f t="shared" si="82"/>
        <v>14</v>
      </c>
      <c r="AZ96" s="38">
        <f>IFERROR(1/(1/INDEX(TB!$P:$P,MATCH($E96,TB!$E:$E,0))),"")</f>
        <v>1</v>
      </c>
      <c r="BA96" s="38">
        <f t="shared" si="83"/>
        <v>21</v>
      </c>
    </row>
    <row r="97" spans="1:53" x14ac:dyDescent="0.2">
      <c r="A97" t="str">
        <f>INDEX(Prioritization!$D:$D,MATCH($B97,Prioritization!$A:$A,0))</f>
        <v>4 - Sustained</v>
      </c>
      <c r="B97" t="s">
        <v>320</v>
      </c>
      <c r="C97" t="s">
        <v>476</v>
      </c>
      <c r="D97" t="s">
        <v>30</v>
      </c>
      <c r="E97" t="str">
        <f t="shared" si="56"/>
        <v>Mwanza District [wNqJp8oRIcF]|25-34|Female</v>
      </c>
      <c r="F97" s="38">
        <f>IF(LEFT($B97,4)="_Mil","",INDEX(Cascade!$T:$T,MATCH($E97,Cascade!$E:$E,0)))</f>
        <v>12499</v>
      </c>
      <c r="G97" s="38">
        <f>IF(LEFT($B97,4)="_Mil","",INDEX(Cascade!$U:$U,MATCH($E97,Cascade!$E:$E,0)))</f>
        <v>867</v>
      </c>
      <c r="H97" s="110">
        <f>IF(LEFT($B97,4)="_Mil","",INDEX(Cascade!$W:$W,MATCH($E97,Cascade!$E:$E,0)))</f>
        <v>6.9331470000000006E-2</v>
      </c>
      <c r="I97" s="38">
        <f>IF(LEFT($B97,4)="_Mil","",INDEX(Cascade!$Z:$Z,MATCH($E97,Cascade!$E:$E,0)))</f>
        <v>1045</v>
      </c>
      <c r="J97" s="33">
        <f>IF(LEFT($B97,4)="_Mil","",INDEX(Cascade!$AA:$AA,MATCH($E97,Cascade!$E:$E,0)))</f>
        <v>0.95967726099999995</v>
      </c>
      <c r="K97" s="218">
        <f>IF(LEFT($B97,4)="_Mil","",_xlfn.IFNA(ROUND(INDEX(Spectrum!$N:$N,MATCH(RIGHT($B97,13)&amp;"|"&amp;$C97&amp;"|"&amp;$D97&amp;"|"&amp;K$14&amp;"|"&amp;"CY2024Q3",Spectrum!$R:$R,0)),0),""))</f>
        <v>1957</v>
      </c>
      <c r="L97" s="218">
        <f>IF(LEFT($B97,4)="_Mil","",_xlfn.IFNA(ROUND(INDEX(Spectrum!$N:$N,MATCH(RIGHT($B97,13)&amp;"|"&amp;$C97&amp;"|"&amp;$D97&amp;"|"&amp;L$14&amp;"|"&amp;"CY2024Q3",Spectrum!$R:$R,0)),0),""))</f>
        <v>72</v>
      </c>
      <c r="M97" s="218">
        <f>IF(LEFT($B97,4)="_Mil","",_xlfn.IFNA(ROUND(INDEX(Spectrum!$N:$N,MATCH(RIGHT($B97,13)&amp;"|"&amp;$C97&amp;"|"&amp;$D97&amp;"|"&amp;M$14&amp;"|"&amp;"CY2024Q3",Spectrum!$R:$R,0)),0),""))</f>
        <v>22</v>
      </c>
      <c r="N97" s="218">
        <f>IF(LEFT($B97,4)="_Mil","",_xlfn.IFNA(ROUND(INDEX(Spectrum!$N:$N,MATCH(RIGHT($B97,13)&amp;"|"&amp;$C97&amp;"|"&amp;$D97&amp;"|"&amp;N$14&amp;"|"&amp;"CY2024Q3",Spectrum!$R:$R,0)),0),""))</f>
        <v>1863</v>
      </c>
      <c r="O97" s="218">
        <f>IF(LEFT($B97,4)="_Mil","",_xlfn.IFNA(ROUND(INDEX(Spectrum!$N:$N,MATCH(RIGHT($B97,13)&amp;"|"&amp;$C97&amp;"|"&amp;$D97&amp;"|"&amp;O$14&amp;"|"&amp;"CY2024Q3",Spectrum!$R:$R,0)),0),""))</f>
        <v>94</v>
      </c>
      <c r="P97" s="218">
        <f>IF(LEFT($B97,4)="_Mil","",_xlfn.IFNA(ROUND(INDEX(Spectrum!$N:$N,MATCH(RIGHT($B97,13)&amp;"|"&amp;$C97&amp;"|"&amp;$D97&amp;"|"&amp;P$14&amp;"|"&amp;"CY2024Q3",Spectrum!$R:$R,0)),0),""))</f>
        <v>72</v>
      </c>
      <c r="Q97" s="218">
        <f>IF(LEFT($B97,4)="_Mil","",_xlfn.IFNA(ROUND(INDEX(Spectrum!$N:$N,MATCH(RIGHT($B97,13)&amp;"|"&amp;$C97&amp;"|"&amp;$D97&amp;"|"&amp;Q$14&amp;"|"&amp;"CY2024Q3",Spectrum!$R:$R,0)),0),""))</f>
        <v>22</v>
      </c>
      <c r="R97" s="38">
        <v>2022</v>
      </c>
      <c r="S97" s="33">
        <v>0</v>
      </c>
      <c r="T97" s="218">
        <f t="shared" si="57"/>
        <v>2022</v>
      </c>
      <c r="U97" s="33">
        <f t="shared" si="58"/>
        <v>1</v>
      </c>
      <c r="V97" s="218">
        <f t="shared" si="59"/>
        <v>2022</v>
      </c>
      <c r="W97" s="33">
        <v>0.06</v>
      </c>
      <c r="X97" s="33">
        <f t="shared" si="60"/>
        <v>0.06</v>
      </c>
      <c r="Y97" s="231">
        <v>1.0999999999999999E-2</v>
      </c>
      <c r="Z97" s="33">
        <f t="shared" si="61"/>
        <v>1.0999999999999999E-2</v>
      </c>
      <c r="AA97" s="38">
        <f t="shared" si="62"/>
        <v>2022</v>
      </c>
      <c r="AB97" s="218">
        <f t="shared" si="63"/>
        <v>121</v>
      </c>
      <c r="AC97" s="218">
        <f t="shared" si="64"/>
        <v>21</v>
      </c>
      <c r="AD97" s="218">
        <f t="shared" si="65"/>
        <v>1880</v>
      </c>
      <c r="AE97" s="38">
        <f t="shared" si="66"/>
        <v>2022</v>
      </c>
      <c r="AF97" s="218">
        <f t="shared" si="67"/>
        <v>121</v>
      </c>
      <c r="AG97" s="218">
        <f t="shared" si="68"/>
        <v>21</v>
      </c>
      <c r="AH97" s="218">
        <f t="shared" si="69"/>
        <v>1880</v>
      </c>
      <c r="AI97" s="33">
        <f>IF(SUM($AC97)=0,"",INDEX(Cascade!$BG:$BG,MATCH($E97,Cascade!$E:$E,0)))</f>
        <v>0.95</v>
      </c>
      <c r="AJ97" s="218">
        <f t="shared" si="70"/>
        <v>121</v>
      </c>
      <c r="AK97" s="218">
        <f t="shared" si="71"/>
        <v>20</v>
      </c>
      <c r="AL97" s="218">
        <f t="shared" si="72"/>
        <v>142</v>
      </c>
      <c r="AM97" s="218">
        <f t="shared" si="73"/>
        <v>121</v>
      </c>
      <c r="AN97" s="218">
        <f t="shared" si="74"/>
        <v>20</v>
      </c>
      <c r="AO97" s="38">
        <f t="shared" si="75"/>
        <v>1880</v>
      </c>
      <c r="AP97" s="231">
        <v>4.0000000000000001E-3</v>
      </c>
      <c r="AQ97" s="33">
        <f t="shared" si="76"/>
        <v>4.0000000000000001E-3</v>
      </c>
      <c r="AR97" s="33">
        <f>IF(SUM($AO97)=0,"",INDEX(Cascade!$BG:$BG,MATCH($E97,Cascade!$E:$E,0)))</f>
        <v>0.95</v>
      </c>
      <c r="AS97" s="218">
        <f t="shared" si="77"/>
        <v>8</v>
      </c>
      <c r="AT97" s="218">
        <f t="shared" si="78"/>
        <v>1872</v>
      </c>
      <c r="AU97" s="38">
        <f t="shared" si="79"/>
        <v>8</v>
      </c>
      <c r="AV97" s="38">
        <f t="shared" si="80"/>
        <v>150</v>
      </c>
      <c r="AW97" s="38">
        <f>IFERROR(1/(1/INDEX(Cascade!$BH:$BH,MATCH($E97,Cascade!$E:$E,0))),"")</f>
        <v>94</v>
      </c>
      <c r="AX97" s="38">
        <f t="shared" si="81"/>
        <v>21</v>
      </c>
      <c r="AY97" s="38">
        <f t="shared" si="82"/>
        <v>8</v>
      </c>
      <c r="AZ97" s="38">
        <f>IFERROR(1/(1/INDEX(TB!$P:$P,MATCH($E97,TB!$E:$E,0))),"")</f>
        <v>1</v>
      </c>
      <c r="BA97" s="38">
        <f t="shared" si="83"/>
        <v>64</v>
      </c>
    </row>
    <row r="98" spans="1:53" x14ac:dyDescent="0.2">
      <c r="A98" t="str">
        <f>INDEX(Prioritization!$D:$D,MATCH($B98,Prioritization!$A:$A,0))</f>
        <v>4 - Sustained</v>
      </c>
      <c r="B98" t="s">
        <v>320</v>
      </c>
      <c r="C98" t="s">
        <v>477</v>
      </c>
      <c r="D98" t="s">
        <v>30</v>
      </c>
      <c r="E98" t="str">
        <f t="shared" si="56"/>
        <v>Mwanza District [wNqJp8oRIcF]|35-49|Female</v>
      </c>
      <c r="F98" s="38">
        <f>IF(LEFT($B98,4)="_Mil","",INDEX(Cascade!$T:$T,MATCH($E98,Cascade!$E:$E,0)))</f>
        <v>12074</v>
      </c>
      <c r="G98" s="38">
        <f>IF(LEFT($B98,4)="_Mil","",INDEX(Cascade!$U:$U,MATCH($E98,Cascade!$E:$E,0)))</f>
        <v>2081</v>
      </c>
      <c r="H98" s="110">
        <f>IF(LEFT($B98,4)="_Mil","",INDEX(Cascade!$W:$W,MATCH($E98,Cascade!$E:$E,0)))</f>
        <v>0.17236664500000001</v>
      </c>
      <c r="I98" s="38">
        <f>IF(LEFT($B98,4)="_Mil","",INDEX(Cascade!$Z:$Z,MATCH($E98,Cascade!$E:$E,0)))</f>
        <v>2584</v>
      </c>
      <c r="J98" s="33">
        <f>IF(LEFT($B98,4)="_Mil","",INDEX(Cascade!$AA:$AA,MATCH($E98,Cascade!$E:$E,0)))</f>
        <v>0.97988412199999997</v>
      </c>
      <c r="K98" s="218">
        <f>IF(LEFT($B98,4)="_Mil","",_xlfn.IFNA(ROUND(INDEX(Spectrum!$N:$N,MATCH(RIGHT($B98,13)&amp;"|"&amp;$C98&amp;"|"&amp;$D98&amp;"|"&amp;K$14&amp;"|"&amp;"CY2024Q3",Spectrum!$R:$R,0)),0),""))</f>
        <v>700</v>
      </c>
      <c r="L98" s="218">
        <f>IF(LEFT($B98,4)="_Mil","",_xlfn.IFNA(ROUND(INDEX(Spectrum!$N:$N,MATCH(RIGHT($B98,13)&amp;"|"&amp;$C98&amp;"|"&amp;$D98&amp;"|"&amp;L$14&amp;"|"&amp;"CY2024Q3",Spectrum!$R:$R,0)),0),""))</f>
        <v>55</v>
      </c>
      <c r="M98" s="218">
        <f>IF(LEFT($B98,4)="_Mil","",_xlfn.IFNA(ROUND(INDEX(Spectrum!$N:$N,MATCH(RIGHT($B98,13)&amp;"|"&amp;$C98&amp;"|"&amp;$D98&amp;"|"&amp;M$14&amp;"|"&amp;"CY2024Q3",Spectrum!$R:$R,0)),0),""))</f>
        <v>6</v>
      </c>
      <c r="N98" s="218">
        <f>IF(LEFT($B98,4)="_Mil","",_xlfn.IFNA(ROUND(INDEX(Spectrum!$N:$N,MATCH(RIGHT($B98,13)&amp;"|"&amp;$C98&amp;"|"&amp;$D98&amp;"|"&amp;N$14&amp;"|"&amp;"CY2024Q3",Spectrum!$R:$R,0)),0),""))</f>
        <v>639</v>
      </c>
      <c r="O98" s="218">
        <f>IF(LEFT($B98,4)="_Mil","",_xlfn.IFNA(ROUND(INDEX(Spectrum!$N:$N,MATCH(RIGHT($B98,13)&amp;"|"&amp;$C98&amp;"|"&amp;$D98&amp;"|"&amp;O$14&amp;"|"&amp;"CY2024Q3",Spectrum!$R:$R,0)),0),""))</f>
        <v>61</v>
      </c>
      <c r="P98" s="218">
        <f>IF(LEFT($B98,4)="_Mil","",_xlfn.IFNA(ROUND(INDEX(Spectrum!$N:$N,MATCH(RIGHT($B98,13)&amp;"|"&amp;$C98&amp;"|"&amp;$D98&amp;"|"&amp;P$14&amp;"|"&amp;"CY2024Q3",Spectrum!$R:$R,0)),0),""))</f>
        <v>55</v>
      </c>
      <c r="Q98" s="218">
        <f>IF(LEFT($B98,4)="_Mil","",_xlfn.IFNA(ROUND(INDEX(Spectrum!$N:$N,MATCH(RIGHT($B98,13)&amp;"|"&amp;$C98&amp;"|"&amp;$D98&amp;"|"&amp;Q$14&amp;"|"&amp;"CY2024Q3",Spectrum!$R:$R,0)),0),""))</f>
        <v>6</v>
      </c>
      <c r="R98" s="38">
        <v>598</v>
      </c>
      <c r="S98" s="33">
        <v>0</v>
      </c>
      <c r="T98" s="218">
        <f t="shared" si="57"/>
        <v>598</v>
      </c>
      <c r="U98" s="33">
        <f t="shared" si="58"/>
        <v>0.85428571428571431</v>
      </c>
      <c r="V98" s="218">
        <f t="shared" si="59"/>
        <v>700</v>
      </c>
      <c r="W98" s="33">
        <v>0.104</v>
      </c>
      <c r="X98" s="33">
        <f t="shared" si="60"/>
        <v>0.104</v>
      </c>
      <c r="Y98" s="231">
        <v>1.0999999999999999E-2</v>
      </c>
      <c r="Z98" s="33">
        <f t="shared" si="61"/>
        <v>9.3023255813953487E-3</v>
      </c>
      <c r="AA98" s="38">
        <f t="shared" si="62"/>
        <v>598</v>
      </c>
      <c r="AB98" s="218">
        <f t="shared" si="63"/>
        <v>62</v>
      </c>
      <c r="AC98" s="218">
        <f t="shared" si="64"/>
        <v>5</v>
      </c>
      <c r="AD98" s="218">
        <f t="shared" si="65"/>
        <v>531</v>
      </c>
      <c r="AE98" s="38">
        <f t="shared" si="66"/>
        <v>700</v>
      </c>
      <c r="AF98" s="218">
        <f t="shared" si="67"/>
        <v>73</v>
      </c>
      <c r="AG98" s="218">
        <f t="shared" si="68"/>
        <v>6</v>
      </c>
      <c r="AH98" s="218">
        <f t="shared" si="69"/>
        <v>621</v>
      </c>
      <c r="AI98" s="33">
        <f>IF(SUM($AC98)=0,"",INDEX(Cascade!$BG:$BG,MATCH($E98,Cascade!$E:$E,0)))</f>
        <v>0.95</v>
      </c>
      <c r="AJ98" s="218">
        <f t="shared" si="70"/>
        <v>62</v>
      </c>
      <c r="AK98" s="218">
        <f t="shared" si="71"/>
        <v>5</v>
      </c>
      <c r="AL98" s="218">
        <f t="shared" si="72"/>
        <v>79</v>
      </c>
      <c r="AM98" s="218">
        <f t="shared" si="73"/>
        <v>73</v>
      </c>
      <c r="AN98" s="218">
        <f t="shared" si="74"/>
        <v>6</v>
      </c>
      <c r="AO98" s="38">
        <f t="shared" si="75"/>
        <v>531</v>
      </c>
      <c r="AP98" s="231">
        <v>4.0000000000000001E-3</v>
      </c>
      <c r="AQ98" s="33">
        <f t="shared" si="76"/>
        <v>4.0000000000000001E-3</v>
      </c>
      <c r="AR98" s="33">
        <f>IF(SUM($AO98)=0,"",INDEX(Cascade!$BG:$BG,MATCH($E98,Cascade!$E:$E,0)))</f>
        <v>0.95</v>
      </c>
      <c r="AS98" s="218">
        <f t="shared" si="77"/>
        <v>2</v>
      </c>
      <c r="AT98" s="218">
        <f t="shared" si="78"/>
        <v>529</v>
      </c>
      <c r="AU98" s="38">
        <f t="shared" si="79"/>
        <v>2</v>
      </c>
      <c r="AV98" s="38">
        <f t="shared" si="80"/>
        <v>69</v>
      </c>
      <c r="AW98" s="38">
        <f>IFERROR(1/(1/INDEX(Cascade!$BH:$BH,MATCH($E98,Cascade!$E:$E,0))),"")</f>
        <v>127</v>
      </c>
      <c r="AX98" s="38">
        <f t="shared" si="81"/>
        <v>5</v>
      </c>
      <c r="AY98" s="38">
        <f t="shared" si="82"/>
        <v>2</v>
      </c>
      <c r="AZ98" s="38">
        <f>IFERROR(1/(1/INDEX(TB!$P:$P,MATCH($E98,TB!$E:$E,0))),"")</f>
        <v>2</v>
      </c>
      <c r="BA98" s="38">
        <f t="shared" si="83"/>
        <v>118</v>
      </c>
    </row>
    <row r="99" spans="1:53" x14ac:dyDescent="0.2">
      <c r="A99" t="str">
        <f>INDEX(Prioritization!$D:$D,MATCH($B99,Prioritization!$A:$A,0))</f>
        <v>4 - Sustained</v>
      </c>
      <c r="B99" t="s">
        <v>320</v>
      </c>
      <c r="C99" t="s">
        <v>478</v>
      </c>
      <c r="D99" t="s">
        <v>30</v>
      </c>
      <c r="E99" t="str">
        <f t="shared" si="56"/>
        <v>Mwanza District [wNqJp8oRIcF]|50+|Female</v>
      </c>
      <c r="F99" s="38">
        <f>IF(LEFT($B99,4)="_Mil","",INDEX(Cascade!$T:$T,MATCH($E99,Cascade!$E:$E,0)))</f>
        <v>6722</v>
      </c>
      <c r="G99" s="38">
        <f>IF(LEFT($B99,4)="_Mil","",INDEX(Cascade!$U:$U,MATCH($E99,Cascade!$E:$E,0)))</f>
        <v>951</v>
      </c>
      <c r="H99" s="110">
        <f>IF(LEFT($B99,4)="_Mil","",INDEX(Cascade!$W:$W,MATCH($E99,Cascade!$E:$E,0)))</f>
        <v>0.141427148</v>
      </c>
      <c r="I99" s="38">
        <f>IF(LEFT($B99,4)="_Mil","",INDEX(Cascade!$Z:$Z,MATCH($E99,Cascade!$E:$E,0)))</f>
        <v>1191</v>
      </c>
      <c r="J99" s="33">
        <f>IF(LEFT($B99,4)="_Mil","",INDEX(Cascade!$AA:$AA,MATCH($E99,Cascade!$E:$E,0)))</f>
        <v>0.98624378499999987</v>
      </c>
      <c r="K99" s="218" t="str">
        <f>IF(LEFT($B99,4)="_Mil","",_xlfn.IFNA(ROUND(INDEX(Spectrum!$N:$N,MATCH(RIGHT($B99,13)&amp;"|"&amp;$C99&amp;"|"&amp;$D99&amp;"|"&amp;K$14&amp;"|"&amp;"CY2024Q3",Spectrum!$R:$R,0)),0),""))</f>
        <v/>
      </c>
      <c r="L99" s="218" t="str">
        <f>IF(LEFT($B99,4)="_Mil","",_xlfn.IFNA(ROUND(INDEX(Spectrum!$N:$N,MATCH(RIGHT($B99,13)&amp;"|"&amp;$C99&amp;"|"&amp;$D99&amp;"|"&amp;L$14&amp;"|"&amp;"CY2024Q3",Spectrum!$R:$R,0)),0),""))</f>
        <v/>
      </c>
      <c r="M99" s="218" t="str">
        <f>IF(LEFT($B99,4)="_Mil","",_xlfn.IFNA(ROUND(INDEX(Spectrum!$N:$N,MATCH(RIGHT($B99,13)&amp;"|"&amp;$C99&amp;"|"&amp;$D99&amp;"|"&amp;M$14&amp;"|"&amp;"CY2024Q3",Spectrum!$R:$R,0)),0),""))</f>
        <v/>
      </c>
      <c r="N99" s="218" t="str">
        <f>IF(LEFT($B99,4)="_Mil","",_xlfn.IFNA(ROUND(INDEX(Spectrum!$N:$N,MATCH(RIGHT($B99,13)&amp;"|"&amp;$C99&amp;"|"&amp;$D99&amp;"|"&amp;N$14&amp;"|"&amp;"CY2024Q3",Spectrum!$R:$R,0)),0),""))</f>
        <v/>
      </c>
      <c r="O99" s="218" t="str">
        <f>IF(LEFT($B99,4)="_Mil","",_xlfn.IFNA(ROUND(INDEX(Spectrum!$N:$N,MATCH(RIGHT($B99,13)&amp;"|"&amp;$C99&amp;"|"&amp;$D99&amp;"|"&amp;O$14&amp;"|"&amp;"CY2024Q3",Spectrum!$R:$R,0)),0),""))</f>
        <v/>
      </c>
      <c r="P99" s="218" t="str">
        <f>IF(LEFT($B99,4)="_Mil","",_xlfn.IFNA(ROUND(INDEX(Spectrum!$N:$N,MATCH(RIGHT($B99,13)&amp;"|"&amp;$C99&amp;"|"&amp;$D99&amp;"|"&amp;P$14&amp;"|"&amp;"CY2024Q3",Spectrum!$R:$R,0)),0),""))</f>
        <v/>
      </c>
      <c r="Q99" s="218" t="str">
        <f>IF(LEFT($B99,4)="_Mil","",_xlfn.IFNA(ROUND(INDEX(Spectrum!$N:$N,MATCH(RIGHT($B99,13)&amp;"|"&amp;$C99&amp;"|"&amp;$D99&amp;"|"&amp;Q$14&amp;"|"&amp;"CY2024Q3",Spectrum!$R:$R,0)),0),""))</f>
        <v/>
      </c>
      <c r="R99" s="38">
        <v>3</v>
      </c>
      <c r="S99" s="33">
        <v>0</v>
      </c>
      <c r="T99" s="218">
        <f t="shared" si="57"/>
        <v>3</v>
      </c>
      <c r="U99" s="33">
        <f t="shared" si="58"/>
        <v>1</v>
      </c>
      <c r="V99" s="218">
        <f t="shared" si="59"/>
        <v>3</v>
      </c>
      <c r="W99" s="33">
        <v>0.104</v>
      </c>
      <c r="X99" s="33">
        <f t="shared" si="60"/>
        <v>0.104</v>
      </c>
      <c r="Y99" s="231">
        <v>1.0999999999999999E-2</v>
      </c>
      <c r="Z99" s="33">
        <f t="shared" si="61"/>
        <v>1.0999999999999999E-2</v>
      </c>
      <c r="AA99" s="38">
        <f t="shared" si="62"/>
        <v>3</v>
      </c>
      <c r="AB99" s="218">
        <f t="shared" si="63"/>
        <v>0</v>
      </c>
      <c r="AC99" s="218">
        <f t="shared" si="64"/>
        <v>0</v>
      </c>
      <c r="AD99" s="218">
        <f t="shared" si="65"/>
        <v>3</v>
      </c>
      <c r="AE99" s="38">
        <f t="shared" si="66"/>
        <v>3</v>
      </c>
      <c r="AF99" s="218">
        <f t="shared" si="67"/>
        <v>0</v>
      </c>
      <c r="AG99" s="218">
        <f t="shared" si="68"/>
        <v>0</v>
      </c>
      <c r="AH99" s="218">
        <f t="shared" si="69"/>
        <v>3</v>
      </c>
      <c r="AI99" s="33" t="str">
        <f>IF(SUM($AC99)=0,"",INDEX(Cascade!$BG:$BG,MATCH($E99,Cascade!$E:$E,0)))</f>
        <v/>
      </c>
      <c r="AJ99" s="218">
        <f t="shared" si="70"/>
        <v>0</v>
      </c>
      <c r="AK99" s="218" t="str">
        <f t="shared" si="71"/>
        <v/>
      </c>
      <c r="AL99" s="218" t="str">
        <f t="shared" si="72"/>
        <v/>
      </c>
      <c r="AM99" s="218">
        <f t="shared" si="73"/>
        <v>0</v>
      </c>
      <c r="AN99" s="218" t="str">
        <f t="shared" si="74"/>
        <v/>
      </c>
      <c r="AO99" s="38">
        <f t="shared" si="75"/>
        <v>3</v>
      </c>
      <c r="AP99" s="231">
        <v>4.0000000000000001E-3</v>
      </c>
      <c r="AQ99" s="33">
        <f t="shared" si="76"/>
        <v>4.0000000000000001E-3</v>
      </c>
      <c r="AR99" s="33">
        <f>IF(SUM($AO99)=0,"",INDEX(Cascade!$BG:$BG,MATCH($E99,Cascade!$E:$E,0)))</f>
        <v>0.95</v>
      </c>
      <c r="AS99" s="218">
        <f t="shared" si="77"/>
        <v>0</v>
      </c>
      <c r="AT99" s="218">
        <f t="shared" si="78"/>
        <v>3</v>
      </c>
      <c r="AU99" s="38" t="str">
        <f t="shared" si="79"/>
        <v/>
      </c>
      <c r="AV99" s="38" t="str">
        <f t="shared" si="80"/>
        <v/>
      </c>
      <c r="AW99" s="38">
        <f>IFERROR(1/(1/INDEX(Cascade!$BH:$BH,MATCH($E99,Cascade!$E:$E,0))),"")</f>
        <v>41</v>
      </c>
      <c r="AX99" s="38" t="str">
        <f t="shared" si="81"/>
        <v/>
      </c>
      <c r="AY99" s="38" t="str">
        <f t="shared" si="82"/>
        <v/>
      </c>
      <c r="AZ99" s="38" t="str">
        <f>IFERROR(1/(1/INDEX(TB!$P:$P,MATCH($E99,TB!$E:$E,0))),"")</f>
        <v/>
      </c>
      <c r="BA99" s="38">
        <f t="shared" si="83"/>
        <v>41</v>
      </c>
    </row>
    <row r="100" spans="1:53" x14ac:dyDescent="0.2">
      <c r="A100" t="str">
        <f>INDEX(Prioritization!$D:$D,MATCH($B100,Prioritization!$A:$A,0))</f>
        <v>1 - Scale-up: Saturation</v>
      </c>
      <c r="B100" t="s">
        <v>310</v>
      </c>
      <c r="C100" t="s">
        <v>474</v>
      </c>
      <c r="D100" t="s">
        <v>30</v>
      </c>
      <c r="E100" t="str">
        <f t="shared" si="56"/>
        <v>Mzimba District [vA4NcHxfMBq]|10-14|Female</v>
      </c>
      <c r="F100" s="38">
        <f>IF(LEFT($B100,4)="_Mil","",INDEX(Cascade!$T:$T,MATCH($E100,Cascade!$E:$E,0)))</f>
        <v>93213</v>
      </c>
      <c r="G100" s="38">
        <f>IF(LEFT($B100,4)="_Mil","",INDEX(Cascade!$U:$U,MATCH($E100,Cascade!$E:$E,0)))</f>
        <v>592</v>
      </c>
      <c r="H100" s="110">
        <f>IF(LEFT($B100,4)="_Mil","",INDEX(Cascade!$W:$W,MATCH($E100,Cascade!$E:$E,0)))</f>
        <v>6.3559419999999998E-3</v>
      </c>
      <c r="I100" s="38">
        <f>IF(LEFT($B100,4)="_Mil","",INDEX(Cascade!$Z:$Z,MATCH($E100,Cascade!$E:$E,0)))</f>
        <v>418</v>
      </c>
      <c r="J100" s="33">
        <f>IF(LEFT($B100,4)="_Mil","",INDEX(Cascade!$AA:$AA,MATCH($E100,Cascade!$E:$E,0)))</f>
        <v>0.69672084099999998</v>
      </c>
      <c r="K100" s="218" t="str">
        <f>IF(LEFT($B100,4)="_Mil","",_xlfn.IFNA(ROUND(INDEX(Spectrum!$N:$N,MATCH(RIGHT($B100,13)&amp;"|"&amp;$C100&amp;"|"&amp;$D100&amp;"|"&amp;K$14&amp;"|"&amp;"CY2024Q3",Spectrum!$R:$R,0)),0),""))</f>
        <v/>
      </c>
      <c r="L100" s="218" t="str">
        <f>IF(LEFT($B100,4)="_Mil","",_xlfn.IFNA(ROUND(INDEX(Spectrum!$N:$N,MATCH(RIGHT($B100,13)&amp;"|"&amp;$C100&amp;"|"&amp;$D100&amp;"|"&amp;L$14&amp;"|"&amp;"CY2024Q3",Spectrum!$R:$R,0)),0),""))</f>
        <v/>
      </c>
      <c r="M100" s="218" t="str">
        <f>IF(LEFT($B100,4)="_Mil","",_xlfn.IFNA(ROUND(INDEX(Spectrum!$N:$N,MATCH(RIGHT($B100,13)&amp;"|"&amp;$C100&amp;"|"&amp;$D100&amp;"|"&amp;M$14&amp;"|"&amp;"CY2024Q3",Spectrum!$R:$R,0)),0),""))</f>
        <v/>
      </c>
      <c r="N100" s="218" t="str">
        <f>IF(LEFT($B100,4)="_Mil","",_xlfn.IFNA(ROUND(INDEX(Spectrum!$N:$N,MATCH(RIGHT($B100,13)&amp;"|"&amp;$C100&amp;"|"&amp;$D100&amp;"|"&amp;N$14&amp;"|"&amp;"CY2024Q3",Spectrum!$R:$R,0)),0),""))</f>
        <v/>
      </c>
      <c r="O100" s="218" t="str">
        <f>IF(LEFT($B100,4)="_Mil","",_xlfn.IFNA(ROUND(INDEX(Spectrum!$N:$N,MATCH(RIGHT($B100,13)&amp;"|"&amp;$C100&amp;"|"&amp;$D100&amp;"|"&amp;O$14&amp;"|"&amp;"CY2024Q3",Spectrum!$R:$R,0)),0),""))</f>
        <v/>
      </c>
      <c r="P100" s="218" t="str">
        <f>IF(LEFT($B100,4)="_Mil","",_xlfn.IFNA(ROUND(INDEX(Spectrum!$N:$N,MATCH(RIGHT($B100,13)&amp;"|"&amp;$C100&amp;"|"&amp;$D100&amp;"|"&amp;P$14&amp;"|"&amp;"CY2024Q3",Spectrum!$R:$R,0)),0),""))</f>
        <v/>
      </c>
      <c r="Q100" s="218" t="str">
        <f>IF(LEFT($B100,4)="_Mil","",_xlfn.IFNA(ROUND(INDEX(Spectrum!$N:$N,MATCH(RIGHT($B100,13)&amp;"|"&amp;$C100&amp;"|"&amp;$D100&amp;"|"&amp;Q$14&amp;"|"&amp;"CY2024Q3",Spectrum!$R:$R,0)),0),""))</f>
        <v/>
      </c>
      <c r="R100" s="38">
        <v>121</v>
      </c>
      <c r="S100" s="33">
        <v>0</v>
      </c>
      <c r="T100" s="218">
        <f t="shared" si="57"/>
        <v>121</v>
      </c>
      <c r="U100" s="33">
        <f t="shared" si="58"/>
        <v>1</v>
      </c>
      <c r="V100" s="218">
        <f t="shared" si="59"/>
        <v>121</v>
      </c>
      <c r="W100" s="33">
        <v>1.7999999999999999E-2</v>
      </c>
      <c r="X100" s="33">
        <f t="shared" si="60"/>
        <v>1.7999999999999999E-2</v>
      </c>
      <c r="Y100" s="231">
        <v>8.0000000000000002E-3</v>
      </c>
      <c r="Z100" s="33">
        <f t="shared" si="61"/>
        <v>8.0000000000000002E-3</v>
      </c>
      <c r="AA100" s="38">
        <f t="shared" si="62"/>
        <v>121</v>
      </c>
      <c r="AB100" s="218">
        <f t="shared" si="63"/>
        <v>2</v>
      </c>
      <c r="AC100" s="218">
        <f t="shared" si="64"/>
        <v>1</v>
      </c>
      <c r="AD100" s="218">
        <f t="shared" si="65"/>
        <v>118</v>
      </c>
      <c r="AE100" s="38">
        <f t="shared" si="66"/>
        <v>121</v>
      </c>
      <c r="AF100" s="218">
        <f t="shared" si="67"/>
        <v>2</v>
      </c>
      <c r="AG100" s="218">
        <f t="shared" si="68"/>
        <v>1</v>
      </c>
      <c r="AH100" s="218">
        <f t="shared" si="69"/>
        <v>118</v>
      </c>
      <c r="AI100" s="33">
        <f>IF(SUM($AC100)=0,"",INDEX(Cascade!$BG:$BG,MATCH($E100,Cascade!$E:$E,0)))</f>
        <v>0.95</v>
      </c>
      <c r="AJ100" s="218">
        <f t="shared" si="70"/>
        <v>2</v>
      </c>
      <c r="AK100" s="218">
        <f t="shared" si="71"/>
        <v>1</v>
      </c>
      <c r="AL100" s="218">
        <f t="shared" si="72"/>
        <v>3</v>
      </c>
      <c r="AM100" s="218">
        <f t="shared" si="73"/>
        <v>2</v>
      </c>
      <c r="AN100" s="218">
        <f t="shared" si="74"/>
        <v>1</v>
      </c>
      <c r="AO100" s="38">
        <f t="shared" si="75"/>
        <v>118</v>
      </c>
      <c r="AP100" s="232">
        <v>4.0000000000000001E-3</v>
      </c>
      <c r="AQ100" s="33">
        <f t="shared" si="76"/>
        <v>4.0000000000000001E-3</v>
      </c>
      <c r="AR100" s="33">
        <f>IF(SUM($AO100)=0,"",INDEX(Cascade!$BG:$BG,MATCH($E100,Cascade!$E:$E,0)))</f>
        <v>0.95</v>
      </c>
      <c r="AS100" s="218">
        <f t="shared" si="77"/>
        <v>0</v>
      </c>
      <c r="AT100" s="218">
        <f t="shared" si="78"/>
        <v>118</v>
      </c>
      <c r="AU100" s="38" t="str">
        <f t="shared" si="79"/>
        <v/>
      </c>
      <c r="AV100" s="38">
        <f t="shared" si="80"/>
        <v>3</v>
      </c>
      <c r="AW100" s="38">
        <f>IFERROR(1/(1/INDEX(Cascade!$BH:$BH,MATCH($E100,Cascade!$E:$E,0))),"")</f>
        <v>9</v>
      </c>
      <c r="AX100" s="38">
        <f t="shared" si="81"/>
        <v>1</v>
      </c>
      <c r="AY100" s="38" t="str">
        <f t="shared" si="82"/>
        <v/>
      </c>
      <c r="AZ100" s="38">
        <f>IFERROR(1/(1/INDEX(TB!$P:$P,MATCH($E100,TB!$E:$E,0))),"")</f>
        <v>1</v>
      </c>
      <c r="BA100" s="38">
        <f t="shared" si="83"/>
        <v>7</v>
      </c>
    </row>
    <row r="101" spans="1:53" x14ac:dyDescent="0.2">
      <c r="A101" t="str">
        <f>INDEX(Prioritization!$D:$D,MATCH($B101,Prioritization!$A:$A,0))</f>
        <v>1 - Scale-up: Saturation</v>
      </c>
      <c r="B101" t="s">
        <v>310</v>
      </c>
      <c r="C101" t="s">
        <v>475</v>
      </c>
      <c r="D101" t="s">
        <v>30</v>
      </c>
      <c r="E101" t="str">
        <f t="shared" si="56"/>
        <v>Mzimba District [vA4NcHxfMBq]|15-24|Female</v>
      </c>
      <c r="F101" s="38">
        <f>IF(LEFT($B101,4)="_Mil","",INDEX(Cascade!$T:$T,MATCH($E101,Cascade!$E:$E,0)))</f>
        <v>162504</v>
      </c>
      <c r="G101" s="38">
        <f>IF(LEFT($B101,4)="_Mil","",INDEX(Cascade!$U:$U,MATCH($E101,Cascade!$E:$E,0)))</f>
        <v>2258</v>
      </c>
      <c r="H101" s="110">
        <f>IF(LEFT($B101,4)="_Mil","",INDEX(Cascade!$W:$W,MATCH($E101,Cascade!$E:$E,0)))</f>
        <v>1.3897512000000001E-2</v>
      </c>
      <c r="I101" s="38">
        <f>IF(LEFT($B101,4)="_Mil","",INDEX(Cascade!$Z:$Z,MATCH($E101,Cascade!$E:$E,0)))</f>
        <v>2175</v>
      </c>
      <c r="J101" s="33">
        <f>IF(LEFT($B101,4)="_Mil","",INDEX(Cascade!$AA:$AA,MATCH($E101,Cascade!$E:$E,0)))</f>
        <v>0.92891963799999999</v>
      </c>
      <c r="K101" s="218">
        <f>IF(LEFT($B101,4)="_Mil","",_xlfn.IFNA(ROUND(INDEX(Spectrum!$N:$N,MATCH(RIGHT($B101,13)&amp;"|"&amp;$C101&amp;"|"&amp;$D101&amp;"|"&amp;K$14&amp;"|"&amp;"CY2024Q3",Spectrum!$R:$R,0)),0),""))</f>
        <v>17793</v>
      </c>
      <c r="L101" s="218">
        <f>IF(LEFT($B101,4)="_Mil","",_xlfn.IFNA(ROUND(INDEX(Spectrum!$N:$N,MATCH(RIGHT($B101,13)&amp;"|"&amp;$C101&amp;"|"&amp;$D101&amp;"|"&amp;L$14&amp;"|"&amp;"CY2024Q3",Spectrum!$R:$R,0)),0),""))</f>
        <v>146</v>
      </c>
      <c r="M101" s="218">
        <f>IF(LEFT($B101,4)="_Mil","",_xlfn.IFNA(ROUND(INDEX(Spectrum!$N:$N,MATCH(RIGHT($B101,13)&amp;"|"&amp;$C101&amp;"|"&amp;$D101&amp;"|"&amp;M$14&amp;"|"&amp;"CY2024Q3",Spectrum!$R:$R,0)),0),""))</f>
        <v>127</v>
      </c>
      <c r="N101" s="218">
        <f>IF(LEFT($B101,4)="_Mil","",_xlfn.IFNA(ROUND(INDEX(Spectrum!$N:$N,MATCH(RIGHT($B101,13)&amp;"|"&amp;$C101&amp;"|"&amp;$D101&amp;"|"&amp;N$14&amp;"|"&amp;"CY2024Q3",Spectrum!$R:$R,0)),0),""))</f>
        <v>17520</v>
      </c>
      <c r="O101" s="218">
        <f>IF(LEFT($B101,4)="_Mil","",_xlfn.IFNA(ROUND(INDEX(Spectrum!$N:$N,MATCH(RIGHT($B101,13)&amp;"|"&amp;$C101&amp;"|"&amp;$D101&amp;"|"&amp;O$14&amp;"|"&amp;"CY2024Q3",Spectrum!$R:$R,0)),0),""))</f>
        <v>273</v>
      </c>
      <c r="P101" s="218">
        <f>IF(LEFT($B101,4)="_Mil","",_xlfn.IFNA(ROUND(INDEX(Spectrum!$N:$N,MATCH(RIGHT($B101,13)&amp;"|"&amp;$C101&amp;"|"&amp;$D101&amp;"|"&amp;P$14&amp;"|"&amp;"CY2024Q3",Spectrum!$R:$R,0)),0),""))</f>
        <v>146</v>
      </c>
      <c r="Q101" s="218">
        <f>IF(LEFT($B101,4)="_Mil","",_xlfn.IFNA(ROUND(INDEX(Spectrum!$N:$N,MATCH(RIGHT($B101,13)&amp;"|"&amp;$C101&amp;"|"&amp;$D101&amp;"|"&amp;Q$14&amp;"|"&amp;"CY2024Q3",Spectrum!$R:$R,0)),0),""))</f>
        <v>127</v>
      </c>
      <c r="R101" s="38">
        <v>23829</v>
      </c>
      <c r="S101" s="33">
        <v>0</v>
      </c>
      <c r="T101" s="218">
        <f t="shared" si="57"/>
        <v>23829</v>
      </c>
      <c r="U101" s="33">
        <f t="shared" si="58"/>
        <v>1</v>
      </c>
      <c r="V101" s="218">
        <f t="shared" si="59"/>
        <v>23829</v>
      </c>
      <c r="W101" s="33">
        <v>1.7999999999999999E-2</v>
      </c>
      <c r="X101" s="33">
        <f t="shared" si="60"/>
        <v>1.7999999999999999E-2</v>
      </c>
      <c r="Y101" s="231">
        <v>8.9999999999999993E-3</v>
      </c>
      <c r="Z101" s="33">
        <f t="shared" si="61"/>
        <v>7.1966906556355185E-3</v>
      </c>
      <c r="AA101" s="38">
        <f t="shared" si="62"/>
        <v>23829</v>
      </c>
      <c r="AB101" s="218">
        <f t="shared" si="63"/>
        <v>429</v>
      </c>
      <c r="AC101" s="218">
        <f t="shared" si="64"/>
        <v>168</v>
      </c>
      <c r="AD101" s="218">
        <f t="shared" si="65"/>
        <v>23232</v>
      </c>
      <c r="AE101" s="38">
        <f t="shared" si="66"/>
        <v>23829</v>
      </c>
      <c r="AF101" s="218">
        <f t="shared" si="67"/>
        <v>429</v>
      </c>
      <c r="AG101" s="218">
        <f t="shared" si="68"/>
        <v>168</v>
      </c>
      <c r="AH101" s="218">
        <f t="shared" si="69"/>
        <v>23232</v>
      </c>
      <c r="AI101" s="33">
        <f>IF(SUM($AC101)=0,"",INDEX(Cascade!$BG:$BG,MATCH($E101,Cascade!$E:$E,0)))</f>
        <v>0.95</v>
      </c>
      <c r="AJ101" s="218">
        <f t="shared" si="70"/>
        <v>429</v>
      </c>
      <c r="AK101" s="218">
        <f t="shared" si="71"/>
        <v>160</v>
      </c>
      <c r="AL101" s="218">
        <f t="shared" si="72"/>
        <v>597</v>
      </c>
      <c r="AM101" s="218">
        <f t="shared" si="73"/>
        <v>429</v>
      </c>
      <c r="AN101" s="218">
        <f t="shared" si="74"/>
        <v>160</v>
      </c>
      <c r="AO101" s="38">
        <f t="shared" si="75"/>
        <v>23232</v>
      </c>
      <c r="AP101" s="232">
        <v>4.0000000000000001E-3</v>
      </c>
      <c r="AQ101" s="33">
        <f t="shared" si="76"/>
        <v>4.0000000000000001E-3</v>
      </c>
      <c r="AR101" s="33">
        <f>IF(SUM($AO101)=0,"",INDEX(Cascade!$BG:$BG,MATCH($E101,Cascade!$E:$E,0)))</f>
        <v>0.95</v>
      </c>
      <c r="AS101" s="218">
        <f t="shared" si="77"/>
        <v>93</v>
      </c>
      <c r="AT101" s="218">
        <f t="shared" si="78"/>
        <v>23139</v>
      </c>
      <c r="AU101" s="38">
        <f t="shared" si="79"/>
        <v>88</v>
      </c>
      <c r="AV101" s="38">
        <f t="shared" si="80"/>
        <v>690</v>
      </c>
      <c r="AW101" s="38">
        <f>IFERROR(1/(1/INDEX(Cascade!$BH:$BH,MATCH($E101,Cascade!$E:$E,0))),"")</f>
        <v>419</v>
      </c>
      <c r="AX101" s="38">
        <f t="shared" si="81"/>
        <v>168</v>
      </c>
      <c r="AY101" s="38">
        <f t="shared" si="82"/>
        <v>93</v>
      </c>
      <c r="AZ101" s="38">
        <f>IFERROR(1/(1/INDEX(TB!$P:$P,MATCH($E101,TB!$E:$E,0))),"")</f>
        <v>4</v>
      </c>
      <c r="BA101" s="38">
        <f t="shared" si="83"/>
        <v>154</v>
      </c>
    </row>
    <row r="102" spans="1:53" x14ac:dyDescent="0.2">
      <c r="A102" t="str">
        <f>INDEX(Prioritization!$D:$D,MATCH($B102,Prioritization!$A:$A,0))</f>
        <v>1 - Scale-up: Saturation</v>
      </c>
      <c r="B102" t="s">
        <v>310</v>
      </c>
      <c r="C102" t="s">
        <v>476</v>
      </c>
      <c r="D102" t="s">
        <v>30</v>
      </c>
      <c r="E102" t="str">
        <f t="shared" si="56"/>
        <v>Mzimba District [vA4NcHxfMBq]|25-34|Female</v>
      </c>
      <c r="F102" s="38">
        <f>IF(LEFT($B102,4)="_Mil","",INDEX(Cascade!$T:$T,MATCH($E102,Cascade!$E:$E,0)))</f>
        <v>109451</v>
      </c>
      <c r="G102" s="38">
        <f>IF(LEFT($B102,4)="_Mil","",INDEX(Cascade!$U:$U,MATCH($E102,Cascade!$E:$E,0)))</f>
        <v>6046</v>
      </c>
      <c r="H102" s="110">
        <f>IF(LEFT($B102,4)="_Mil","",INDEX(Cascade!$W:$W,MATCH($E102,Cascade!$E:$E,0)))</f>
        <v>5.5235320999999997E-2</v>
      </c>
      <c r="I102" s="38">
        <f>IF(LEFT($B102,4)="_Mil","",INDEX(Cascade!$Z:$Z,MATCH($E102,Cascade!$E:$E,0)))</f>
        <v>5982</v>
      </c>
      <c r="J102" s="33">
        <f>IF(LEFT($B102,4)="_Mil","",INDEX(Cascade!$AA:$AA,MATCH($E102,Cascade!$E:$E,0)))</f>
        <v>0.96281286300000002</v>
      </c>
      <c r="K102" s="218">
        <f>IF(LEFT($B102,4)="_Mil","",_xlfn.IFNA(ROUND(INDEX(Spectrum!$N:$N,MATCH(RIGHT($B102,13)&amp;"|"&amp;$C102&amp;"|"&amp;$D102&amp;"|"&amp;K$14&amp;"|"&amp;"CY2024Q3",Spectrum!$R:$R,0)),0),""))</f>
        <v>11568</v>
      </c>
      <c r="L102" s="218">
        <f>IF(LEFT($B102,4)="_Mil","",_xlfn.IFNA(ROUND(INDEX(Spectrum!$N:$N,MATCH(RIGHT($B102,13)&amp;"|"&amp;$C102&amp;"|"&amp;$D102&amp;"|"&amp;L$14&amp;"|"&amp;"CY2024Q3",Spectrum!$R:$R,0)),0),""))</f>
        <v>312</v>
      </c>
      <c r="M102" s="218">
        <f>IF(LEFT($B102,4)="_Mil","",_xlfn.IFNA(ROUND(INDEX(Spectrum!$N:$N,MATCH(RIGHT($B102,13)&amp;"|"&amp;$C102&amp;"|"&amp;$D102&amp;"|"&amp;M$14&amp;"|"&amp;"CY2024Q3",Spectrum!$R:$R,0)),0),""))</f>
        <v>192</v>
      </c>
      <c r="N102" s="218">
        <f>IF(LEFT($B102,4)="_Mil","",_xlfn.IFNA(ROUND(INDEX(Spectrum!$N:$N,MATCH(RIGHT($B102,13)&amp;"|"&amp;$C102&amp;"|"&amp;$D102&amp;"|"&amp;N$14&amp;"|"&amp;"CY2024Q3",Spectrum!$R:$R,0)),0),""))</f>
        <v>11065</v>
      </c>
      <c r="O102" s="218">
        <f>IF(LEFT($B102,4)="_Mil","",_xlfn.IFNA(ROUND(INDEX(Spectrum!$N:$N,MATCH(RIGHT($B102,13)&amp;"|"&amp;$C102&amp;"|"&amp;$D102&amp;"|"&amp;O$14&amp;"|"&amp;"CY2024Q3",Spectrum!$R:$R,0)),0),""))</f>
        <v>503</v>
      </c>
      <c r="P102" s="218">
        <f>IF(LEFT($B102,4)="_Mil","",_xlfn.IFNA(ROUND(INDEX(Spectrum!$N:$N,MATCH(RIGHT($B102,13)&amp;"|"&amp;$C102&amp;"|"&amp;$D102&amp;"|"&amp;P$14&amp;"|"&amp;"CY2024Q3",Spectrum!$R:$R,0)),0),""))</f>
        <v>312</v>
      </c>
      <c r="Q102" s="218">
        <f>IF(LEFT($B102,4)="_Mil","",_xlfn.IFNA(ROUND(INDEX(Spectrum!$N:$N,MATCH(RIGHT($B102,13)&amp;"|"&amp;$C102&amp;"|"&amp;$D102&amp;"|"&amp;Q$14&amp;"|"&amp;"CY2024Q3",Spectrum!$R:$R,0)),0),""))</f>
        <v>192</v>
      </c>
      <c r="R102" s="38">
        <v>13481</v>
      </c>
      <c r="S102" s="33">
        <v>0</v>
      </c>
      <c r="T102" s="218">
        <f t="shared" si="57"/>
        <v>13481</v>
      </c>
      <c r="U102" s="33">
        <f t="shared" si="58"/>
        <v>1</v>
      </c>
      <c r="V102" s="218">
        <f t="shared" si="59"/>
        <v>13481</v>
      </c>
      <c r="W102" s="33">
        <v>4.2999999999999997E-2</v>
      </c>
      <c r="X102" s="33">
        <f t="shared" si="60"/>
        <v>4.2999999999999997E-2</v>
      </c>
      <c r="Y102" s="231">
        <v>1.7999999999999999E-2</v>
      </c>
      <c r="Z102" s="33">
        <f t="shared" si="61"/>
        <v>1.7057569296375266E-2</v>
      </c>
      <c r="AA102" s="38">
        <f t="shared" si="62"/>
        <v>13481</v>
      </c>
      <c r="AB102" s="218">
        <f t="shared" si="63"/>
        <v>580</v>
      </c>
      <c r="AC102" s="218">
        <f t="shared" si="64"/>
        <v>220</v>
      </c>
      <c r="AD102" s="218">
        <f t="shared" si="65"/>
        <v>12681</v>
      </c>
      <c r="AE102" s="38">
        <f t="shared" si="66"/>
        <v>13481</v>
      </c>
      <c r="AF102" s="218">
        <f t="shared" si="67"/>
        <v>580</v>
      </c>
      <c r="AG102" s="218">
        <f t="shared" si="68"/>
        <v>220</v>
      </c>
      <c r="AH102" s="218">
        <f t="shared" si="69"/>
        <v>12681</v>
      </c>
      <c r="AI102" s="33">
        <f>IF(SUM($AC102)=0,"",INDEX(Cascade!$BG:$BG,MATCH($E102,Cascade!$E:$E,0)))</f>
        <v>0.95</v>
      </c>
      <c r="AJ102" s="218">
        <f t="shared" si="70"/>
        <v>580</v>
      </c>
      <c r="AK102" s="218">
        <f t="shared" si="71"/>
        <v>209</v>
      </c>
      <c r="AL102" s="218">
        <f t="shared" si="72"/>
        <v>800</v>
      </c>
      <c r="AM102" s="218">
        <f t="shared" si="73"/>
        <v>580</v>
      </c>
      <c r="AN102" s="218">
        <f t="shared" si="74"/>
        <v>209</v>
      </c>
      <c r="AO102" s="38">
        <f t="shared" si="75"/>
        <v>12681</v>
      </c>
      <c r="AP102" s="232">
        <v>7.0000000000000001E-3</v>
      </c>
      <c r="AQ102" s="33">
        <f t="shared" si="76"/>
        <v>7.0000000000000001E-3</v>
      </c>
      <c r="AR102" s="33">
        <f>IF(SUM($AO102)=0,"",INDEX(Cascade!$BG:$BG,MATCH($E102,Cascade!$E:$E,0)))</f>
        <v>0.95</v>
      </c>
      <c r="AS102" s="218">
        <f t="shared" si="77"/>
        <v>89</v>
      </c>
      <c r="AT102" s="218">
        <f t="shared" si="78"/>
        <v>12592</v>
      </c>
      <c r="AU102" s="38">
        <f t="shared" si="79"/>
        <v>85</v>
      </c>
      <c r="AV102" s="38">
        <f t="shared" si="80"/>
        <v>888.99999999999989</v>
      </c>
      <c r="AW102" s="38">
        <f>IFERROR(1/(1/INDEX(Cascade!$BH:$BH,MATCH($E102,Cascade!$E:$E,0))),"")</f>
        <v>676</v>
      </c>
      <c r="AX102" s="38">
        <f t="shared" si="81"/>
        <v>220</v>
      </c>
      <c r="AY102" s="38">
        <f t="shared" si="82"/>
        <v>89</v>
      </c>
      <c r="AZ102" s="38">
        <f>IFERROR(1/(1/INDEX(TB!$P:$P,MATCH($E102,TB!$E:$E,0))),"")</f>
        <v>4</v>
      </c>
      <c r="BA102" s="38">
        <f t="shared" si="83"/>
        <v>363</v>
      </c>
    </row>
    <row r="103" spans="1:53" x14ac:dyDescent="0.2">
      <c r="A103" t="str">
        <f>INDEX(Prioritization!$D:$D,MATCH($B103,Prioritization!$A:$A,0))</f>
        <v>1 - Scale-up: Saturation</v>
      </c>
      <c r="B103" t="s">
        <v>310</v>
      </c>
      <c r="C103" t="s">
        <v>477</v>
      </c>
      <c r="D103" t="s">
        <v>30</v>
      </c>
      <c r="E103" t="str">
        <f t="shared" si="56"/>
        <v>Mzimba District [vA4NcHxfMBq]|35-49|Female</v>
      </c>
      <c r="F103" s="38">
        <f>IF(LEFT($B103,4)="_Mil","",INDEX(Cascade!$T:$T,MATCH($E103,Cascade!$E:$E,0)))</f>
        <v>107201</v>
      </c>
      <c r="G103" s="38">
        <f>IF(LEFT($B103,4)="_Mil","",INDEX(Cascade!$U:$U,MATCH($E103,Cascade!$E:$E,0)))</f>
        <v>14572</v>
      </c>
      <c r="H103" s="110">
        <f>IF(LEFT($B103,4)="_Mil","",INDEX(Cascade!$W:$W,MATCH($E103,Cascade!$E:$E,0)))</f>
        <v>0.13592779199999999</v>
      </c>
      <c r="I103" s="38">
        <f>IF(LEFT($B103,4)="_Mil","",INDEX(Cascade!$Z:$Z,MATCH($E103,Cascade!$E:$E,0)))</f>
        <v>14784</v>
      </c>
      <c r="J103" s="33">
        <f>IF(LEFT($B103,4)="_Mil","",INDEX(Cascade!$AA:$AA,MATCH($E103,Cascade!$E:$E,0)))</f>
        <v>0.98112466700000001</v>
      </c>
      <c r="K103" s="218">
        <f>IF(LEFT($B103,4)="_Mil","",_xlfn.IFNA(ROUND(INDEX(Spectrum!$N:$N,MATCH(RIGHT($B103,13)&amp;"|"&amp;$C103&amp;"|"&amp;$D103&amp;"|"&amp;K$14&amp;"|"&amp;"CY2024Q3",Spectrum!$R:$R,0)),0),""))</f>
        <v>4162</v>
      </c>
      <c r="L103" s="218">
        <f>IF(LEFT($B103,4)="_Mil","",_xlfn.IFNA(ROUND(INDEX(Spectrum!$N:$N,MATCH(RIGHT($B103,13)&amp;"|"&amp;$C103&amp;"|"&amp;$D103&amp;"|"&amp;L$14&amp;"|"&amp;"CY2024Q3",Spectrum!$R:$R,0)),0),""))</f>
        <v>272</v>
      </c>
      <c r="M103" s="218">
        <f>IF(LEFT($B103,4)="_Mil","",_xlfn.IFNA(ROUND(INDEX(Spectrum!$N:$N,MATCH(RIGHT($B103,13)&amp;"|"&amp;$C103&amp;"|"&amp;$D103&amp;"|"&amp;M$14&amp;"|"&amp;"CY2024Q3",Spectrum!$R:$R,0)),0),""))</f>
        <v>58</v>
      </c>
      <c r="N103" s="218">
        <f>IF(LEFT($B103,4)="_Mil","",_xlfn.IFNA(ROUND(INDEX(Spectrum!$N:$N,MATCH(RIGHT($B103,13)&amp;"|"&amp;$C103&amp;"|"&amp;$D103&amp;"|"&amp;N$14&amp;"|"&amp;"CY2024Q3",Spectrum!$R:$R,0)),0),""))</f>
        <v>3833</v>
      </c>
      <c r="O103" s="218">
        <f>IF(LEFT($B103,4)="_Mil","",_xlfn.IFNA(ROUND(INDEX(Spectrum!$N:$N,MATCH(RIGHT($B103,13)&amp;"|"&amp;$C103&amp;"|"&amp;$D103&amp;"|"&amp;O$14&amp;"|"&amp;"CY2024Q3",Spectrum!$R:$R,0)),0),""))</f>
        <v>330</v>
      </c>
      <c r="P103" s="218">
        <f>IF(LEFT($B103,4)="_Mil","",_xlfn.IFNA(ROUND(INDEX(Spectrum!$N:$N,MATCH(RIGHT($B103,13)&amp;"|"&amp;$C103&amp;"|"&amp;$D103&amp;"|"&amp;P$14&amp;"|"&amp;"CY2024Q3",Spectrum!$R:$R,0)),0),""))</f>
        <v>272</v>
      </c>
      <c r="Q103" s="218">
        <f>IF(LEFT($B103,4)="_Mil","",_xlfn.IFNA(ROUND(INDEX(Spectrum!$N:$N,MATCH(RIGHT($B103,13)&amp;"|"&amp;$C103&amp;"|"&amp;$D103&amp;"|"&amp;Q$14&amp;"|"&amp;"CY2024Q3",Spectrum!$R:$R,0)),0),""))</f>
        <v>58</v>
      </c>
      <c r="R103" s="38">
        <v>3608</v>
      </c>
      <c r="S103" s="33">
        <v>0</v>
      </c>
      <c r="T103" s="218">
        <f t="shared" si="57"/>
        <v>3608</v>
      </c>
      <c r="U103" s="33">
        <f t="shared" si="58"/>
        <v>0.86689091782796734</v>
      </c>
      <c r="V103" s="218">
        <f t="shared" si="59"/>
        <v>4162</v>
      </c>
      <c r="W103" s="33">
        <v>9.2999999999999999E-2</v>
      </c>
      <c r="X103" s="33">
        <f t="shared" si="60"/>
        <v>9.2999999999999999E-2</v>
      </c>
      <c r="Y103" s="231">
        <v>1.7999999999999999E-2</v>
      </c>
      <c r="Z103" s="33">
        <f t="shared" si="61"/>
        <v>1.4910025706940874E-2</v>
      </c>
      <c r="AA103" s="38">
        <f t="shared" si="62"/>
        <v>3608</v>
      </c>
      <c r="AB103" s="218">
        <f t="shared" si="63"/>
        <v>336</v>
      </c>
      <c r="AC103" s="218">
        <f t="shared" si="64"/>
        <v>49</v>
      </c>
      <c r="AD103" s="218">
        <f t="shared" si="65"/>
        <v>3223</v>
      </c>
      <c r="AE103" s="38">
        <f t="shared" si="66"/>
        <v>4162</v>
      </c>
      <c r="AF103" s="218">
        <f t="shared" si="67"/>
        <v>387</v>
      </c>
      <c r="AG103" s="218">
        <f t="shared" si="68"/>
        <v>56</v>
      </c>
      <c r="AH103" s="218">
        <f t="shared" si="69"/>
        <v>3719</v>
      </c>
      <c r="AI103" s="33">
        <f>IF(SUM($AC103)=0,"",INDEX(Cascade!$BG:$BG,MATCH($E103,Cascade!$E:$E,0)))</f>
        <v>0.95</v>
      </c>
      <c r="AJ103" s="218">
        <f t="shared" si="70"/>
        <v>336</v>
      </c>
      <c r="AK103" s="218">
        <f t="shared" si="71"/>
        <v>47</v>
      </c>
      <c r="AL103" s="218">
        <f t="shared" si="72"/>
        <v>443</v>
      </c>
      <c r="AM103" s="218">
        <f t="shared" si="73"/>
        <v>387</v>
      </c>
      <c r="AN103" s="218">
        <f t="shared" si="74"/>
        <v>53</v>
      </c>
      <c r="AO103" s="38">
        <f t="shared" si="75"/>
        <v>3223</v>
      </c>
      <c r="AP103" s="232">
        <v>8.9999999999999993E-3</v>
      </c>
      <c r="AQ103" s="33">
        <f t="shared" si="76"/>
        <v>8.9999999999999993E-3</v>
      </c>
      <c r="AR103" s="33">
        <f>IF(SUM($AO103)=0,"",INDEX(Cascade!$BG:$BG,MATCH($E103,Cascade!$E:$E,0)))</f>
        <v>0.95</v>
      </c>
      <c r="AS103" s="218">
        <f t="shared" si="77"/>
        <v>29</v>
      </c>
      <c r="AT103" s="218">
        <f t="shared" si="78"/>
        <v>3194</v>
      </c>
      <c r="AU103" s="38">
        <f t="shared" si="79"/>
        <v>28</v>
      </c>
      <c r="AV103" s="38">
        <f t="shared" si="80"/>
        <v>414</v>
      </c>
      <c r="AW103" s="38">
        <f>IFERROR(1/(1/INDEX(Cascade!$BH:$BH,MATCH($E103,Cascade!$E:$E,0))),"")</f>
        <v>542</v>
      </c>
      <c r="AX103" s="38">
        <f t="shared" si="81"/>
        <v>49</v>
      </c>
      <c r="AY103" s="38">
        <f t="shared" si="82"/>
        <v>29</v>
      </c>
      <c r="AZ103" s="38">
        <f>IFERROR(1/(1/INDEX(TB!$P:$P,MATCH($E103,TB!$E:$E,0))),"")</f>
        <v>6</v>
      </c>
      <c r="BA103" s="38">
        <f t="shared" si="83"/>
        <v>458</v>
      </c>
    </row>
    <row r="104" spans="1:53" x14ac:dyDescent="0.2">
      <c r="A104" t="str">
        <f>INDEX(Prioritization!$D:$D,MATCH($B104,Prioritization!$A:$A,0))</f>
        <v>1 - Scale-up: Saturation</v>
      </c>
      <c r="B104" t="s">
        <v>310</v>
      </c>
      <c r="C104" t="s">
        <v>478</v>
      </c>
      <c r="D104" t="s">
        <v>30</v>
      </c>
      <c r="E104" t="str">
        <f t="shared" si="56"/>
        <v>Mzimba District [vA4NcHxfMBq]|50+|Female</v>
      </c>
      <c r="F104" s="38">
        <f>IF(LEFT($B104,4)="_Mil","",INDEX(Cascade!$T:$T,MATCH($E104,Cascade!$E:$E,0)))</f>
        <v>64600</v>
      </c>
      <c r="G104" s="38">
        <f>IF(LEFT($B104,4)="_Mil","",INDEX(Cascade!$U:$U,MATCH($E104,Cascade!$E:$E,0)))</f>
        <v>6441</v>
      </c>
      <c r="H104" s="110">
        <f>IF(LEFT($B104,4)="_Mil","",INDEX(Cascade!$W:$W,MATCH($E104,Cascade!$E:$E,0)))</f>
        <v>9.9703703000000005E-2</v>
      </c>
      <c r="I104" s="38">
        <f>IF(LEFT($B104,4)="_Mil","",INDEX(Cascade!$Z:$Z,MATCH($E104,Cascade!$E:$E,0)))</f>
        <v>6549</v>
      </c>
      <c r="J104" s="33">
        <f>IF(LEFT($B104,4)="_Mil","",INDEX(Cascade!$AA:$AA,MATCH($E104,Cascade!$E:$E,0)))</f>
        <v>0.98658949699999987</v>
      </c>
      <c r="K104" s="218" t="str">
        <f>IF(LEFT($B104,4)="_Mil","",_xlfn.IFNA(ROUND(INDEX(Spectrum!$N:$N,MATCH(RIGHT($B104,13)&amp;"|"&amp;$C104&amp;"|"&amp;$D104&amp;"|"&amp;K$14&amp;"|"&amp;"CY2024Q3",Spectrum!$R:$R,0)),0),""))</f>
        <v/>
      </c>
      <c r="L104" s="218" t="str">
        <f>IF(LEFT($B104,4)="_Mil","",_xlfn.IFNA(ROUND(INDEX(Spectrum!$N:$N,MATCH(RIGHT($B104,13)&amp;"|"&amp;$C104&amp;"|"&amp;$D104&amp;"|"&amp;L$14&amp;"|"&amp;"CY2024Q3",Spectrum!$R:$R,0)),0),""))</f>
        <v/>
      </c>
      <c r="M104" s="218" t="str">
        <f>IF(LEFT($B104,4)="_Mil","",_xlfn.IFNA(ROUND(INDEX(Spectrum!$N:$N,MATCH(RIGHT($B104,13)&amp;"|"&amp;$C104&amp;"|"&amp;$D104&amp;"|"&amp;M$14&amp;"|"&amp;"CY2024Q3",Spectrum!$R:$R,0)),0),""))</f>
        <v/>
      </c>
      <c r="N104" s="218" t="str">
        <f>IF(LEFT($B104,4)="_Mil","",_xlfn.IFNA(ROUND(INDEX(Spectrum!$N:$N,MATCH(RIGHT($B104,13)&amp;"|"&amp;$C104&amp;"|"&amp;$D104&amp;"|"&amp;N$14&amp;"|"&amp;"CY2024Q3",Spectrum!$R:$R,0)),0),""))</f>
        <v/>
      </c>
      <c r="O104" s="218" t="str">
        <f>IF(LEFT($B104,4)="_Mil","",_xlfn.IFNA(ROUND(INDEX(Spectrum!$N:$N,MATCH(RIGHT($B104,13)&amp;"|"&amp;$C104&amp;"|"&amp;$D104&amp;"|"&amp;O$14&amp;"|"&amp;"CY2024Q3",Spectrum!$R:$R,0)),0),""))</f>
        <v/>
      </c>
      <c r="P104" s="218" t="str">
        <f>IF(LEFT($B104,4)="_Mil","",_xlfn.IFNA(ROUND(INDEX(Spectrum!$N:$N,MATCH(RIGHT($B104,13)&amp;"|"&amp;$C104&amp;"|"&amp;$D104&amp;"|"&amp;P$14&amp;"|"&amp;"CY2024Q3",Spectrum!$R:$R,0)),0),""))</f>
        <v/>
      </c>
      <c r="Q104" s="218" t="str">
        <f>IF(LEFT($B104,4)="_Mil","",_xlfn.IFNA(ROUND(INDEX(Spectrum!$N:$N,MATCH(RIGHT($B104,13)&amp;"|"&amp;$C104&amp;"|"&amp;$D104&amp;"|"&amp;Q$14&amp;"|"&amp;"CY2024Q3",Spectrum!$R:$R,0)),0),""))</f>
        <v/>
      </c>
      <c r="R104" s="38">
        <v>5</v>
      </c>
      <c r="S104" s="33">
        <v>0</v>
      </c>
      <c r="T104" s="218">
        <f t="shared" si="57"/>
        <v>5</v>
      </c>
      <c r="U104" s="33">
        <f t="shared" si="58"/>
        <v>1</v>
      </c>
      <c r="V104" s="218">
        <f t="shared" si="59"/>
        <v>5</v>
      </c>
      <c r="W104" s="33">
        <v>9.2999999999999999E-2</v>
      </c>
      <c r="X104" s="33">
        <f t="shared" si="60"/>
        <v>9.2999999999999999E-2</v>
      </c>
      <c r="Y104" s="231">
        <v>1.4E-2</v>
      </c>
      <c r="Z104" s="33">
        <f t="shared" si="61"/>
        <v>1.4E-2</v>
      </c>
      <c r="AA104" s="38">
        <f t="shared" si="62"/>
        <v>5</v>
      </c>
      <c r="AB104" s="218">
        <f t="shared" si="63"/>
        <v>0</v>
      </c>
      <c r="AC104" s="218">
        <f t="shared" si="64"/>
        <v>0</v>
      </c>
      <c r="AD104" s="218">
        <f t="shared" si="65"/>
        <v>5</v>
      </c>
      <c r="AE104" s="38">
        <f t="shared" si="66"/>
        <v>5</v>
      </c>
      <c r="AF104" s="218">
        <f t="shared" si="67"/>
        <v>0</v>
      </c>
      <c r="AG104" s="218">
        <f t="shared" si="68"/>
        <v>0</v>
      </c>
      <c r="AH104" s="218">
        <f t="shared" si="69"/>
        <v>5</v>
      </c>
      <c r="AI104" s="33" t="str">
        <f>IF(SUM($AC104)=0,"",INDEX(Cascade!$BG:$BG,MATCH($E104,Cascade!$E:$E,0)))</f>
        <v/>
      </c>
      <c r="AJ104" s="218">
        <f t="shared" si="70"/>
        <v>0</v>
      </c>
      <c r="AK104" s="218" t="str">
        <f t="shared" si="71"/>
        <v/>
      </c>
      <c r="AL104" s="218" t="str">
        <f t="shared" si="72"/>
        <v/>
      </c>
      <c r="AM104" s="218">
        <f t="shared" si="73"/>
        <v>0</v>
      </c>
      <c r="AN104" s="218" t="str">
        <f t="shared" si="74"/>
        <v/>
      </c>
      <c r="AO104" s="38">
        <f t="shared" si="75"/>
        <v>5</v>
      </c>
      <c r="AP104" s="232">
        <v>6.0000000000000001E-3</v>
      </c>
      <c r="AQ104" s="33">
        <f t="shared" si="76"/>
        <v>6.0000000000000001E-3</v>
      </c>
      <c r="AR104" s="33">
        <f>IF(SUM($AO104)=0,"",INDEX(Cascade!$BG:$BG,MATCH($E104,Cascade!$E:$E,0)))</f>
        <v>0.95</v>
      </c>
      <c r="AS104" s="218">
        <f t="shared" si="77"/>
        <v>0</v>
      </c>
      <c r="AT104" s="218">
        <f t="shared" si="78"/>
        <v>5</v>
      </c>
      <c r="AU104" s="38" t="str">
        <f t="shared" si="79"/>
        <v/>
      </c>
      <c r="AV104" s="38" t="str">
        <f t="shared" si="80"/>
        <v/>
      </c>
      <c r="AW104" s="38">
        <f>IFERROR(1/(1/INDEX(Cascade!$BH:$BH,MATCH($E104,Cascade!$E:$E,0))),"")</f>
        <v>374</v>
      </c>
      <c r="AX104" s="38" t="str">
        <f t="shared" si="81"/>
        <v/>
      </c>
      <c r="AY104" s="38" t="str">
        <f t="shared" si="82"/>
        <v/>
      </c>
      <c r="AZ104" s="38">
        <f>IFERROR(1/(1/INDEX(TB!$P:$P,MATCH($E104,TB!$E:$E,0))),"")</f>
        <v>2</v>
      </c>
      <c r="BA104" s="38">
        <f t="shared" si="83"/>
        <v>371.99999999999994</v>
      </c>
    </row>
    <row r="105" spans="1:53" x14ac:dyDescent="0.2">
      <c r="A105" t="str">
        <f>INDEX(Prioritization!$D:$D,MATCH($B105,Prioritization!$A:$A,0))</f>
        <v>4 - Sustained</v>
      </c>
      <c r="B105" t="s">
        <v>321</v>
      </c>
      <c r="C105" t="s">
        <v>474</v>
      </c>
      <c r="D105" t="s">
        <v>30</v>
      </c>
      <c r="E105" t="str">
        <f t="shared" si="56"/>
        <v>Neno District [gwVYinjBAe9]|10-14|Female</v>
      </c>
      <c r="F105" s="38">
        <f>IF(LEFT($B105,4)="_Mil","",INDEX(Cascade!$T:$T,MATCH($E105,Cascade!$E:$E,0)))</f>
        <v>10568</v>
      </c>
      <c r="G105" s="38">
        <f>IF(LEFT($B105,4)="_Mil","",INDEX(Cascade!$U:$U,MATCH($E105,Cascade!$E:$E,0)))</f>
        <v>104</v>
      </c>
      <c r="H105" s="110">
        <f>IF(LEFT($B105,4)="_Mil","",INDEX(Cascade!$W:$W,MATCH($E105,Cascade!$E:$E,0)))</f>
        <v>9.8619080000000008E-3</v>
      </c>
      <c r="I105" s="38">
        <f>IF(LEFT($B105,4)="_Mil","",INDEX(Cascade!$Z:$Z,MATCH($E105,Cascade!$E:$E,0)))</f>
        <v>92</v>
      </c>
      <c r="J105" s="33">
        <f>IF(LEFT($B105,4)="_Mil","",INDEX(Cascade!$AA:$AA,MATCH($E105,Cascade!$E:$E,0)))</f>
        <v>0.69704582800000003</v>
      </c>
      <c r="K105" s="218" t="str">
        <f>IF(LEFT($B105,4)="_Mil","",_xlfn.IFNA(ROUND(INDEX(Spectrum!$N:$N,MATCH(RIGHT($B105,13)&amp;"|"&amp;$C105&amp;"|"&amp;$D105&amp;"|"&amp;K$14&amp;"|"&amp;"CY2024Q3",Spectrum!$R:$R,0)),0),""))</f>
        <v/>
      </c>
      <c r="L105" s="218" t="str">
        <f>IF(LEFT($B105,4)="_Mil","",_xlfn.IFNA(ROUND(INDEX(Spectrum!$N:$N,MATCH(RIGHT($B105,13)&amp;"|"&amp;$C105&amp;"|"&amp;$D105&amp;"|"&amp;L$14&amp;"|"&amp;"CY2024Q3",Spectrum!$R:$R,0)),0),""))</f>
        <v/>
      </c>
      <c r="M105" s="218" t="str">
        <f>IF(LEFT($B105,4)="_Mil","",_xlfn.IFNA(ROUND(INDEX(Spectrum!$N:$N,MATCH(RIGHT($B105,13)&amp;"|"&amp;$C105&amp;"|"&amp;$D105&amp;"|"&amp;M$14&amp;"|"&amp;"CY2024Q3",Spectrum!$R:$R,0)),0),""))</f>
        <v/>
      </c>
      <c r="N105" s="218" t="str">
        <f>IF(LEFT($B105,4)="_Mil","",_xlfn.IFNA(ROUND(INDEX(Spectrum!$N:$N,MATCH(RIGHT($B105,13)&amp;"|"&amp;$C105&amp;"|"&amp;$D105&amp;"|"&amp;N$14&amp;"|"&amp;"CY2024Q3",Spectrum!$R:$R,0)),0),""))</f>
        <v/>
      </c>
      <c r="O105" s="218" t="str">
        <f>IF(LEFT($B105,4)="_Mil","",_xlfn.IFNA(ROUND(INDEX(Spectrum!$N:$N,MATCH(RIGHT($B105,13)&amp;"|"&amp;$C105&amp;"|"&amp;$D105&amp;"|"&amp;O$14&amp;"|"&amp;"CY2024Q3",Spectrum!$R:$R,0)),0),""))</f>
        <v/>
      </c>
      <c r="P105" s="218" t="str">
        <f>IF(LEFT($B105,4)="_Mil","",_xlfn.IFNA(ROUND(INDEX(Spectrum!$N:$N,MATCH(RIGHT($B105,13)&amp;"|"&amp;$C105&amp;"|"&amp;$D105&amp;"|"&amp;P$14&amp;"|"&amp;"CY2024Q3",Spectrum!$R:$R,0)),0),""))</f>
        <v/>
      </c>
      <c r="Q105" s="218" t="str">
        <f>IF(LEFT($B105,4)="_Mil","",_xlfn.IFNA(ROUND(INDEX(Spectrum!$N:$N,MATCH(RIGHT($B105,13)&amp;"|"&amp;$C105&amp;"|"&amp;$D105&amp;"|"&amp;Q$14&amp;"|"&amp;"CY2024Q3",Spectrum!$R:$R,0)),0),""))</f>
        <v/>
      </c>
      <c r="R105" s="38">
        <v>26</v>
      </c>
      <c r="S105" s="33">
        <v>0</v>
      </c>
      <c r="T105" s="218">
        <f t="shared" si="57"/>
        <v>26</v>
      </c>
      <c r="U105" s="33">
        <f t="shared" si="58"/>
        <v>1</v>
      </c>
      <c r="V105" s="218">
        <f t="shared" si="59"/>
        <v>26</v>
      </c>
      <c r="W105" s="33">
        <v>2.9000000000000001E-2</v>
      </c>
      <c r="X105" s="33">
        <f t="shared" si="60"/>
        <v>2.9000000000000001E-2</v>
      </c>
      <c r="Y105" s="231">
        <v>1.0999999999999999E-2</v>
      </c>
      <c r="Z105" s="33">
        <f t="shared" si="61"/>
        <v>1.0999999999999999E-2</v>
      </c>
      <c r="AA105" s="38">
        <f t="shared" si="62"/>
        <v>26</v>
      </c>
      <c r="AB105" s="218">
        <f t="shared" si="63"/>
        <v>1</v>
      </c>
      <c r="AC105" s="218">
        <f t="shared" si="64"/>
        <v>0</v>
      </c>
      <c r="AD105" s="218">
        <f t="shared" si="65"/>
        <v>25</v>
      </c>
      <c r="AE105" s="38">
        <f t="shared" si="66"/>
        <v>26</v>
      </c>
      <c r="AF105" s="218">
        <f t="shared" si="67"/>
        <v>1</v>
      </c>
      <c r="AG105" s="218">
        <f t="shared" si="68"/>
        <v>0</v>
      </c>
      <c r="AH105" s="218">
        <f t="shared" si="69"/>
        <v>25</v>
      </c>
      <c r="AI105" s="33" t="str">
        <f>IF(SUM($AC105)=0,"",INDEX(Cascade!$BG:$BG,MATCH($E105,Cascade!$E:$E,0)))</f>
        <v/>
      </c>
      <c r="AJ105" s="218">
        <f t="shared" si="70"/>
        <v>1</v>
      </c>
      <c r="AK105" s="218" t="str">
        <f t="shared" si="71"/>
        <v/>
      </c>
      <c r="AL105" s="218">
        <f t="shared" si="72"/>
        <v>1</v>
      </c>
      <c r="AM105" s="218">
        <f t="shared" si="73"/>
        <v>1</v>
      </c>
      <c r="AN105" s="218" t="str">
        <f t="shared" si="74"/>
        <v/>
      </c>
      <c r="AO105" s="38">
        <f t="shared" si="75"/>
        <v>25</v>
      </c>
      <c r="AP105" s="231">
        <v>4.0000000000000001E-3</v>
      </c>
      <c r="AQ105" s="33">
        <f t="shared" si="76"/>
        <v>4.0000000000000001E-3</v>
      </c>
      <c r="AR105" s="33">
        <f>IF(SUM($AO105)=0,"",INDEX(Cascade!$BG:$BG,MATCH($E105,Cascade!$E:$E,0)))</f>
        <v>0.95</v>
      </c>
      <c r="AS105" s="218">
        <f t="shared" si="77"/>
        <v>0</v>
      </c>
      <c r="AT105" s="218">
        <f t="shared" si="78"/>
        <v>25</v>
      </c>
      <c r="AU105" s="38" t="str">
        <f t="shared" si="79"/>
        <v/>
      </c>
      <c r="AV105" s="38">
        <f t="shared" si="80"/>
        <v>1</v>
      </c>
      <c r="AW105" s="38">
        <f>IFERROR(1/(1/INDEX(Cascade!$BH:$BH,MATCH($E105,Cascade!$E:$E,0))),"")</f>
        <v>12</v>
      </c>
      <c r="AX105" s="38" t="str">
        <f t="shared" si="81"/>
        <v/>
      </c>
      <c r="AY105" s="38" t="str">
        <f t="shared" si="82"/>
        <v/>
      </c>
      <c r="AZ105" s="38" t="str">
        <f>IFERROR(1/(1/INDEX(TB!$P:$P,MATCH($E105,TB!$E:$E,0))),"")</f>
        <v/>
      </c>
      <c r="BA105" s="38">
        <f t="shared" si="83"/>
        <v>12</v>
      </c>
    </row>
    <row r="106" spans="1:53" x14ac:dyDescent="0.2">
      <c r="A106" t="str">
        <f>INDEX(Prioritization!$D:$D,MATCH($B106,Prioritization!$A:$A,0))</f>
        <v>4 - Sustained</v>
      </c>
      <c r="B106" t="s">
        <v>321</v>
      </c>
      <c r="C106" t="s">
        <v>475</v>
      </c>
      <c r="D106" t="s">
        <v>30</v>
      </c>
      <c r="E106" t="str">
        <f t="shared" si="56"/>
        <v>Neno District [gwVYinjBAe9]|15-24|Female</v>
      </c>
      <c r="F106" s="38">
        <f>IF(LEFT($B106,4)="_Mil","",INDEX(Cascade!$T:$T,MATCH($E106,Cascade!$E:$E,0)))</f>
        <v>18436</v>
      </c>
      <c r="G106" s="38">
        <f>IF(LEFT($B106,4)="_Mil","",INDEX(Cascade!$U:$U,MATCH($E106,Cascade!$E:$E,0)))</f>
        <v>362</v>
      </c>
      <c r="H106" s="110">
        <f>IF(LEFT($B106,4)="_Mil","",INDEX(Cascade!$W:$W,MATCH($E106,Cascade!$E:$E,0)))</f>
        <v>1.9646265999999999E-2</v>
      </c>
      <c r="I106" s="38">
        <f>IF(LEFT($B106,4)="_Mil","",INDEX(Cascade!$Z:$Z,MATCH($E106,Cascade!$E:$E,0)))</f>
        <v>441</v>
      </c>
      <c r="J106" s="33">
        <f>IF(LEFT($B106,4)="_Mil","",INDEX(Cascade!$AA:$AA,MATCH($E106,Cascade!$E:$E,0)))</f>
        <v>0.953167612</v>
      </c>
      <c r="K106" s="218">
        <f>IF(LEFT($B106,4)="_Mil","",_xlfn.IFNA(ROUND(INDEX(Spectrum!$N:$N,MATCH(RIGHT($B106,13)&amp;"|"&amp;$C106&amp;"|"&amp;$D106&amp;"|"&amp;K$14&amp;"|"&amp;"CY2024Q3",Spectrum!$R:$R,0)),0),""))</f>
        <v>2812</v>
      </c>
      <c r="L106" s="218">
        <f>IF(LEFT($B106,4)="_Mil","",_xlfn.IFNA(ROUND(INDEX(Spectrum!$N:$N,MATCH(RIGHT($B106,13)&amp;"|"&amp;$C106&amp;"|"&amp;$D106&amp;"|"&amp;L$14&amp;"|"&amp;"CY2024Q3",Spectrum!$R:$R,0)),0),""))</f>
        <v>62</v>
      </c>
      <c r="M106" s="218">
        <f>IF(LEFT($B106,4)="_Mil","",_xlfn.IFNA(ROUND(INDEX(Spectrum!$N:$N,MATCH(RIGHT($B106,13)&amp;"|"&amp;$C106&amp;"|"&amp;$D106&amp;"|"&amp;M$14&amp;"|"&amp;"CY2024Q3",Spectrum!$R:$R,0)),0),""))</f>
        <v>18</v>
      </c>
      <c r="N106" s="218">
        <f>IF(LEFT($B106,4)="_Mil","",_xlfn.IFNA(ROUND(INDEX(Spectrum!$N:$N,MATCH(RIGHT($B106,13)&amp;"|"&amp;$C106&amp;"|"&amp;$D106&amp;"|"&amp;N$14&amp;"|"&amp;"CY2024Q3",Spectrum!$R:$R,0)),0),""))</f>
        <v>2731</v>
      </c>
      <c r="O106" s="218">
        <f>IF(LEFT($B106,4)="_Mil","",_xlfn.IFNA(ROUND(INDEX(Spectrum!$N:$N,MATCH(RIGHT($B106,13)&amp;"|"&amp;$C106&amp;"|"&amp;$D106&amp;"|"&amp;O$14&amp;"|"&amp;"CY2024Q3",Spectrum!$R:$R,0)),0),""))</f>
        <v>81</v>
      </c>
      <c r="P106" s="218">
        <f>IF(LEFT($B106,4)="_Mil","",_xlfn.IFNA(ROUND(INDEX(Spectrum!$N:$N,MATCH(RIGHT($B106,13)&amp;"|"&amp;$C106&amp;"|"&amp;$D106&amp;"|"&amp;P$14&amp;"|"&amp;"CY2024Q3",Spectrum!$R:$R,0)),0),""))</f>
        <v>62</v>
      </c>
      <c r="Q106" s="218">
        <f>IF(LEFT($B106,4)="_Mil","",_xlfn.IFNA(ROUND(INDEX(Spectrum!$N:$N,MATCH(RIGHT($B106,13)&amp;"|"&amp;$C106&amp;"|"&amp;$D106&amp;"|"&amp;Q$14&amp;"|"&amp;"CY2024Q3",Spectrum!$R:$R,0)),0),""))</f>
        <v>18</v>
      </c>
      <c r="R106" s="38">
        <v>3521</v>
      </c>
      <c r="S106" s="33">
        <v>0</v>
      </c>
      <c r="T106" s="218">
        <f t="shared" si="57"/>
        <v>3521</v>
      </c>
      <c r="U106" s="33">
        <f t="shared" si="58"/>
        <v>1</v>
      </c>
      <c r="V106" s="218">
        <f t="shared" si="59"/>
        <v>3521</v>
      </c>
      <c r="W106" s="33">
        <v>2.9000000000000001E-2</v>
      </c>
      <c r="X106" s="33">
        <f t="shared" si="60"/>
        <v>2.9000000000000001E-2</v>
      </c>
      <c r="Y106" s="231">
        <v>1.0999999999999999E-2</v>
      </c>
      <c r="Z106" s="33">
        <f t="shared" si="61"/>
        <v>6.5454545454545453E-3</v>
      </c>
      <c r="AA106" s="38">
        <f t="shared" si="62"/>
        <v>3521</v>
      </c>
      <c r="AB106" s="218">
        <f t="shared" si="63"/>
        <v>102</v>
      </c>
      <c r="AC106" s="218">
        <f t="shared" si="64"/>
        <v>22</v>
      </c>
      <c r="AD106" s="218">
        <f t="shared" si="65"/>
        <v>3397</v>
      </c>
      <c r="AE106" s="38">
        <f t="shared" si="66"/>
        <v>3521</v>
      </c>
      <c r="AF106" s="218">
        <f t="shared" si="67"/>
        <v>102</v>
      </c>
      <c r="AG106" s="218">
        <f t="shared" si="68"/>
        <v>22</v>
      </c>
      <c r="AH106" s="218">
        <f t="shared" si="69"/>
        <v>3397</v>
      </c>
      <c r="AI106" s="33">
        <f>IF(SUM($AC106)=0,"",INDEX(Cascade!$BG:$BG,MATCH($E106,Cascade!$E:$E,0)))</f>
        <v>0.95</v>
      </c>
      <c r="AJ106" s="218">
        <f t="shared" si="70"/>
        <v>102</v>
      </c>
      <c r="AK106" s="218">
        <f t="shared" si="71"/>
        <v>21</v>
      </c>
      <c r="AL106" s="218">
        <f t="shared" si="72"/>
        <v>124</v>
      </c>
      <c r="AM106" s="218">
        <f t="shared" si="73"/>
        <v>102</v>
      </c>
      <c r="AN106" s="218">
        <f t="shared" si="74"/>
        <v>21</v>
      </c>
      <c r="AO106" s="38">
        <f t="shared" si="75"/>
        <v>3396.9999999999995</v>
      </c>
      <c r="AP106" s="231">
        <v>4.0000000000000001E-3</v>
      </c>
      <c r="AQ106" s="33">
        <f t="shared" si="76"/>
        <v>4.0000000000000001E-3</v>
      </c>
      <c r="AR106" s="33">
        <f>IF(SUM($AO106)=0,"",INDEX(Cascade!$BG:$BG,MATCH($E106,Cascade!$E:$E,0)))</f>
        <v>0.95</v>
      </c>
      <c r="AS106" s="218">
        <f t="shared" si="77"/>
        <v>14</v>
      </c>
      <c r="AT106" s="218">
        <f t="shared" si="78"/>
        <v>3382.9999999999995</v>
      </c>
      <c r="AU106" s="38">
        <f t="shared" si="79"/>
        <v>13</v>
      </c>
      <c r="AV106" s="38">
        <f t="shared" si="80"/>
        <v>138</v>
      </c>
      <c r="AW106" s="38">
        <f>IFERROR(1/(1/INDEX(Cascade!$BH:$BH,MATCH($E106,Cascade!$E:$E,0))),"")</f>
        <v>53</v>
      </c>
      <c r="AX106" s="38">
        <f t="shared" si="81"/>
        <v>22</v>
      </c>
      <c r="AY106" s="38">
        <f t="shared" si="82"/>
        <v>14</v>
      </c>
      <c r="AZ106" s="38" t="str">
        <f>IFERROR(1/(1/INDEX(TB!$P:$P,MATCH($E106,TB!$E:$E,0))),"")</f>
        <v/>
      </c>
      <c r="BA106" s="38">
        <f t="shared" si="83"/>
        <v>17</v>
      </c>
    </row>
    <row r="107" spans="1:53" x14ac:dyDescent="0.2">
      <c r="A107" t="str">
        <f>INDEX(Prioritization!$D:$D,MATCH($B107,Prioritization!$A:$A,0))</f>
        <v>4 - Sustained</v>
      </c>
      <c r="B107" t="s">
        <v>321</v>
      </c>
      <c r="C107" t="s">
        <v>476</v>
      </c>
      <c r="D107" t="s">
        <v>30</v>
      </c>
      <c r="E107" t="str">
        <f t="shared" si="56"/>
        <v>Neno District [gwVYinjBAe9]|25-34|Female</v>
      </c>
      <c r="F107" s="38">
        <f>IF(LEFT($B107,4)="_Mil","",INDEX(Cascade!$T:$T,MATCH($E107,Cascade!$E:$E,0)))</f>
        <v>11886</v>
      </c>
      <c r="G107" s="38">
        <f>IF(LEFT($B107,4)="_Mil","",INDEX(Cascade!$U:$U,MATCH($E107,Cascade!$E:$E,0)))</f>
        <v>884</v>
      </c>
      <c r="H107" s="110">
        <f>IF(LEFT($B107,4)="_Mil","",INDEX(Cascade!$W:$W,MATCH($E107,Cascade!$E:$E,0)))</f>
        <v>7.4380018000000006E-2</v>
      </c>
      <c r="I107" s="38">
        <f>IF(LEFT($B107,4)="_Mil","",INDEX(Cascade!$Z:$Z,MATCH($E107,Cascade!$E:$E,0)))</f>
        <v>1102</v>
      </c>
      <c r="J107" s="33">
        <f>IF(LEFT($B107,4)="_Mil","",INDEX(Cascade!$AA:$AA,MATCH($E107,Cascade!$E:$E,0)))</f>
        <v>0.97521978300000001</v>
      </c>
      <c r="K107" s="218">
        <f>IF(LEFT($B107,4)="_Mil","",_xlfn.IFNA(ROUND(INDEX(Spectrum!$N:$N,MATCH(RIGHT($B107,13)&amp;"|"&amp;$C107&amp;"|"&amp;$D107&amp;"|"&amp;K$14&amp;"|"&amp;"CY2024Q3",Spectrum!$R:$R,0)),0),""))</f>
        <v>1740</v>
      </c>
      <c r="L107" s="218">
        <f>IF(LEFT($B107,4)="_Mil","",_xlfn.IFNA(ROUND(INDEX(Spectrum!$N:$N,MATCH(RIGHT($B107,13)&amp;"|"&amp;$C107&amp;"|"&amp;$D107&amp;"|"&amp;L$14&amp;"|"&amp;"CY2024Q3",Spectrum!$R:$R,0)),0),""))</f>
        <v>113</v>
      </c>
      <c r="M107" s="218">
        <f>IF(LEFT($B107,4)="_Mil","",_xlfn.IFNA(ROUND(INDEX(Spectrum!$N:$N,MATCH(RIGHT($B107,13)&amp;"|"&amp;$C107&amp;"|"&amp;$D107&amp;"|"&amp;M$14&amp;"|"&amp;"CY2024Q3",Spectrum!$R:$R,0)),0),""))</f>
        <v>24</v>
      </c>
      <c r="N107" s="218">
        <f>IF(LEFT($B107,4)="_Mil","",_xlfn.IFNA(ROUND(INDEX(Spectrum!$N:$N,MATCH(RIGHT($B107,13)&amp;"|"&amp;$C107&amp;"|"&amp;$D107&amp;"|"&amp;N$14&amp;"|"&amp;"CY2024Q3",Spectrum!$R:$R,0)),0),""))</f>
        <v>1604</v>
      </c>
      <c r="O107" s="218">
        <f>IF(LEFT($B107,4)="_Mil","",_xlfn.IFNA(ROUND(INDEX(Spectrum!$N:$N,MATCH(RIGHT($B107,13)&amp;"|"&amp;$C107&amp;"|"&amp;$D107&amp;"|"&amp;O$14&amp;"|"&amp;"CY2024Q3",Spectrum!$R:$R,0)),0),""))</f>
        <v>137</v>
      </c>
      <c r="P107" s="218">
        <f>IF(LEFT($B107,4)="_Mil","",_xlfn.IFNA(ROUND(INDEX(Spectrum!$N:$N,MATCH(RIGHT($B107,13)&amp;"|"&amp;$C107&amp;"|"&amp;$D107&amp;"|"&amp;P$14&amp;"|"&amp;"CY2024Q3",Spectrum!$R:$R,0)),0),""))</f>
        <v>113</v>
      </c>
      <c r="Q107" s="218">
        <f>IF(LEFT($B107,4)="_Mil","",_xlfn.IFNA(ROUND(INDEX(Spectrum!$N:$N,MATCH(RIGHT($B107,13)&amp;"|"&amp;$C107&amp;"|"&amp;$D107&amp;"|"&amp;Q$14&amp;"|"&amp;"CY2024Q3",Spectrum!$R:$R,0)),0),""))</f>
        <v>24</v>
      </c>
      <c r="R107" s="38">
        <v>1771</v>
      </c>
      <c r="S107" s="33">
        <v>0</v>
      </c>
      <c r="T107" s="218">
        <f t="shared" si="57"/>
        <v>1771</v>
      </c>
      <c r="U107" s="33">
        <f t="shared" si="58"/>
        <v>1</v>
      </c>
      <c r="V107" s="218">
        <f t="shared" si="59"/>
        <v>1771</v>
      </c>
      <c r="W107" s="33">
        <v>7.5999999999999998E-2</v>
      </c>
      <c r="X107" s="33">
        <f t="shared" si="60"/>
        <v>7.5999999999999998E-2</v>
      </c>
      <c r="Y107" s="231">
        <v>1.0999999999999999E-2</v>
      </c>
      <c r="Z107" s="33">
        <f t="shared" si="61"/>
        <v>1.0999999999999999E-2</v>
      </c>
      <c r="AA107" s="38">
        <f t="shared" si="62"/>
        <v>1771</v>
      </c>
      <c r="AB107" s="218">
        <f t="shared" si="63"/>
        <v>135</v>
      </c>
      <c r="AC107" s="218">
        <f t="shared" si="64"/>
        <v>18</v>
      </c>
      <c r="AD107" s="218">
        <f t="shared" si="65"/>
        <v>1618</v>
      </c>
      <c r="AE107" s="38">
        <f t="shared" si="66"/>
        <v>1771</v>
      </c>
      <c r="AF107" s="218">
        <f t="shared" si="67"/>
        <v>135</v>
      </c>
      <c r="AG107" s="218">
        <f t="shared" si="68"/>
        <v>18</v>
      </c>
      <c r="AH107" s="218">
        <f t="shared" si="69"/>
        <v>1618</v>
      </c>
      <c r="AI107" s="33">
        <f>IF(SUM($AC107)=0,"",INDEX(Cascade!$BG:$BG,MATCH($E107,Cascade!$E:$E,0)))</f>
        <v>0.95</v>
      </c>
      <c r="AJ107" s="218">
        <f t="shared" si="70"/>
        <v>135</v>
      </c>
      <c r="AK107" s="218">
        <f t="shared" si="71"/>
        <v>17</v>
      </c>
      <c r="AL107" s="218">
        <f t="shared" si="72"/>
        <v>153</v>
      </c>
      <c r="AM107" s="218">
        <f t="shared" si="73"/>
        <v>135</v>
      </c>
      <c r="AN107" s="218">
        <f t="shared" si="74"/>
        <v>17</v>
      </c>
      <c r="AO107" s="38">
        <f t="shared" si="75"/>
        <v>1618.0000000000002</v>
      </c>
      <c r="AP107" s="231">
        <v>4.0000000000000001E-3</v>
      </c>
      <c r="AQ107" s="33">
        <f t="shared" si="76"/>
        <v>4.0000000000000001E-3</v>
      </c>
      <c r="AR107" s="33">
        <f>IF(SUM($AO107)=0,"",INDEX(Cascade!$BG:$BG,MATCH($E107,Cascade!$E:$E,0)))</f>
        <v>0.95</v>
      </c>
      <c r="AS107" s="218">
        <f t="shared" si="77"/>
        <v>6</v>
      </c>
      <c r="AT107" s="218">
        <f t="shared" si="78"/>
        <v>1612.0000000000002</v>
      </c>
      <c r="AU107" s="38">
        <f t="shared" si="79"/>
        <v>6</v>
      </c>
      <c r="AV107" s="38">
        <f t="shared" si="80"/>
        <v>159</v>
      </c>
      <c r="AW107" s="38">
        <f>IFERROR(1/(1/INDEX(Cascade!$BH:$BH,MATCH($E107,Cascade!$E:$E,0))),"")</f>
        <v>118</v>
      </c>
      <c r="AX107" s="38">
        <f t="shared" si="81"/>
        <v>18</v>
      </c>
      <c r="AY107" s="38">
        <f t="shared" si="82"/>
        <v>6</v>
      </c>
      <c r="AZ107" s="38">
        <f>IFERROR(1/(1/INDEX(TB!$P:$P,MATCH($E107,TB!$E:$E,0))),"")</f>
        <v>1</v>
      </c>
      <c r="BA107" s="38">
        <f t="shared" si="83"/>
        <v>92.999999999999986</v>
      </c>
    </row>
    <row r="108" spans="1:53" x14ac:dyDescent="0.2">
      <c r="A108" t="str">
        <f>INDEX(Prioritization!$D:$D,MATCH($B108,Prioritization!$A:$A,0))</f>
        <v>4 - Sustained</v>
      </c>
      <c r="B108" t="s">
        <v>321</v>
      </c>
      <c r="C108" t="s">
        <v>477</v>
      </c>
      <c r="D108" t="s">
        <v>30</v>
      </c>
      <c r="E108" t="str">
        <f t="shared" si="56"/>
        <v>Neno District [gwVYinjBAe9]|35-49|Female</v>
      </c>
      <c r="F108" s="38">
        <f>IF(LEFT($B108,4)="_Mil","",INDEX(Cascade!$T:$T,MATCH($E108,Cascade!$E:$E,0)))</f>
        <v>12244</v>
      </c>
      <c r="G108" s="38">
        <f>IF(LEFT($B108,4)="_Mil","",INDEX(Cascade!$U:$U,MATCH($E108,Cascade!$E:$E,0)))</f>
        <v>2249</v>
      </c>
      <c r="H108" s="110">
        <f>IF(LEFT($B108,4)="_Mil","",INDEX(Cascade!$W:$W,MATCH($E108,Cascade!$E:$E,0)))</f>
        <v>0.18365247800000001</v>
      </c>
      <c r="I108" s="38">
        <f>IF(LEFT($B108,4)="_Mil","",INDEX(Cascade!$Z:$Z,MATCH($E108,Cascade!$E:$E,0)))</f>
        <v>2841</v>
      </c>
      <c r="J108" s="33">
        <f>IF(LEFT($B108,4)="_Mil","",INDEX(Cascade!$AA:$AA,MATCH($E108,Cascade!$E:$E,0)))</f>
        <v>0.98782882500000002</v>
      </c>
      <c r="K108" s="218">
        <f>IF(LEFT($B108,4)="_Mil","",_xlfn.IFNA(ROUND(INDEX(Spectrum!$N:$N,MATCH(RIGHT($B108,13)&amp;"|"&amp;$C108&amp;"|"&amp;$D108&amp;"|"&amp;K$14&amp;"|"&amp;"CY2024Q3",Spectrum!$R:$R,0)),0),""))</f>
        <v>655</v>
      </c>
      <c r="L108" s="218">
        <f>IF(LEFT($B108,4)="_Mil","",_xlfn.IFNA(ROUND(INDEX(Spectrum!$N:$N,MATCH(RIGHT($B108,13)&amp;"|"&amp;$C108&amp;"|"&amp;$D108&amp;"|"&amp;L$14&amp;"|"&amp;"CY2024Q3",Spectrum!$R:$R,0)),0),""))</f>
        <v>85</v>
      </c>
      <c r="M108" s="218">
        <f>IF(LEFT($B108,4)="_Mil","",_xlfn.IFNA(ROUND(INDEX(Spectrum!$N:$N,MATCH(RIGHT($B108,13)&amp;"|"&amp;$C108&amp;"|"&amp;$D108&amp;"|"&amp;M$14&amp;"|"&amp;"CY2024Q3",Spectrum!$R:$R,0)),0),""))</f>
        <v>6</v>
      </c>
      <c r="N108" s="218">
        <f>IF(LEFT($B108,4)="_Mil","",_xlfn.IFNA(ROUND(INDEX(Spectrum!$N:$N,MATCH(RIGHT($B108,13)&amp;"|"&amp;$C108&amp;"|"&amp;$D108&amp;"|"&amp;N$14&amp;"|"&amp;"CY2024Q3",Spectrum!$R:$R,0)),0),""))</f>
        <v>565</v>
      </c>
      <c r="O108" s="218">
        <f>IF(LEFT($B108,4)="_Mil","",_xlfn.IFNA(ROUND(INDEX(Spectrum!$N:$N,MATCH(RIGHT($B108,13)&amp;"|"&amp;$C108&amp;"|"&amp;$D108&amp;"|"&amp;O$14&amp;"|"&amp;"CY2024Q3",Spectrum!$R:$R,0)),0),""))</f>
        <v>91</v>
      </c>
      <c r="P108" s="218">
        <f>IF(LEFT($B108,4)="_Mil","",_xlfn.IFNA(ROUND(INDEX(Spectrum!$N:$N,MATCH(RIGHT($B108,13)&amp;"|"&amp;$C108&amp;"|"&amp;$D108&amp;"|"&amp;P$14&amp;"|"&amp;"CY2024Q3",Spectrum!$R:$R,0)),0),""))</f>
        <v>85</v>
      </c>
      <c r="Q108" s="218">
        <f>IF(LEFT($B108,4)="_Mil","",_xlfn.IFNA(ROUND(INDEX(Spectrum!$N:$N,MATCH(RIGHT($B108,13)&amp;"|"&amp;$C108&amp;"|"&amp;$D108&amp;"|"&amp;Q$14&amp;"|"&amp;"CY2024Q3",Spectrum!$R:$R,0)),0),""))</f>
        <v>6</v>
      </c>
      <c r="R108" s="38">
        <v>585</v>
      </c>
      <c r="S108" s="33">
        <v>0</v>
      </c>
      <c r="T108" s="218">
        <f t="shared" si="57"/>
        <v>585</v>
      </c>
      <c r="U108" s="33">
        <f t="shared" si="58"/>
        <v>0.89312977099236646</v>
      </c>
      <c r="V108" s="218">
        <f t="shared" si="59"/>
        <v>655</v>
      </c>
      <c r="W108" s="33">
        <v>0.14199999999999999</v>
      </c>
      <c r="X108" s="33">
        <f t="shared" si="60"/>
        <v>0.14199999999999999</v>
      </c>
      <c r="Y108" s="231">
        <v>1.0999999999999999E-2</v>
      </c>
      <c r="Z108" s="33">
        <f t="shared" si="61"/>
        <v>1.0526315789473684E-2</v>
      </c>
      <c r="AA108" s="38">
        <f t="shared" si="62"/>
        <v>585</v>
      </c>
      <c r="AB108" s="218">
        <f t="shared" si="63"/>
        <v>83</v>
      </c>
      <c r="AC108" s="218">
        <f t="shared" si="64"/>
        <v>5</v>
      </c>
      <c r="AD108" s="218">
        <f t="shared" si="65"/>
        <v>497</v>
      </c>
      <c r="AE108" s="38">
        <f t="shared" si="66"/>
        <v>655</v>
      </c>
      <c r="AF108" s="218">
        <f t="shared" si="67"/>
        <v>93</v>
      </c>
      <c r="AG108" s="218">
        <f t="shared" si="68"/>
        <v>6</v>
      </c>
      <c r="AH108" s="218">
        <f t="shared" si="69"/>
        <v>556</v>
      </c>
      <c r="AI108" s="33">
        <f>IF(SUM($AC108)=0,"",INDEX(Cascade!$BG:$BG,MATCH($E108,Cascade!$E:$E,0)))</f>
        <v>0.95</v>
      </c>
      <c r="AJ108" s="218">
        <f t="shared" si="70"/>
        <v>83</v>
      </c>
      <c r="AK108" s="218">
        <f t="shared" si="71"/>
        <v>5</v>
      </c>
      <c r="AL108" s="218">
        <f t="shared" si="72"/>
        <v>99</v>
      </c>
      <c r="AM108" s="218">
        <f t="shared" si="73"/>
        <v>93</v>
      </c>
      <c r="AN108" s="218">
        <f t="shared" si="74"/>
        <v>6</v>
      </c>
      <c r="AO108" s="38">
        <f t="shared" si="75"/>
        <v>496.99999999999994</v>
      </c>
      <c r="AP108" s="231">
        <v>4.0000000000000001E-3</v>
      </c>
      <c r="AQ108" s="33">
        <f t="shared" si="76"/>
        <v>4.0000000000000001E-3</v>
      </c>
      <c r="AR108" s="33">
        <f>IF(SUM($AO108)=0,"",INDEX(Cascade!$BG:$BG,MATCH($E108,Cascade!$E:$E,0)))</f>
        <v>0.95</v>
      </c>
      <c r="AS108" s="218">
        <f t="shared" si="77"/>
        <v>2</v>
      </c>
      <c r="AT108" s="218">
        <f t="shared" si="78"/>
        <v>494.99999999999994</v>
      </c>
      <c r="AU108" s="38">
        <f t="shared" si="79"/>
        <v>2</v>
      </c>
      <c r="AV108" s="38">
        <f t="shared" si="80"/>
        <v>90</v>
      </c>
      <c r="AW108" s="38">
        <f>IFERROR(1/(1/INDEX(Cascade!$BH:$BH,MATCH($E108,Cascade!$E:$E,0))),"")</f>
        <v>58</v>
      </c>
      <c r="AX108" s="38">
        <f t="shared" si="81"/>
        <v>5</v>
      </c>
      <c r="AY108" s="38">
        <f t="shared" si="82"/>
        <v>2</v>
      </c>
      <c r="AZ108" s="38">
        <f>IFERROR(1/(1/INDEX(TB!$P:$P,MATCH($E108,TB!$E:$E,0))),"")</f>
        <v>1</v>
      </c>
      <c r="BA108" s="38">
        <f t="shared" si="83"/>
        <v>50</v>
      </c>
    </row>
    <row r="109" spans="1:53" x14ac:dyDescent="0.2">
      <c r="A109" t="str">
        <f>INDEX(Prioritization!$D:$D,MATCH($B109,Prioritization!$A:$A,0))</f>
        <v>4 - Sustained</v>
      </c>
      <c r="B109" t="s">
        <v>321</v>
      </c>
      <c r="C109" t="s">
        <v>478</v>
      </c>
      <c r="D109" t="s">
        <v>30</v>
      </c>
      <c r="E109" t="str">
        <f t="shared" si="56"/>
        <v>Neno District [gwVYinjBAe9]|50+|Female</v>
      </c>
      <c r="F109" s="38">
        <f>IF(LEFT($B109,4)="_Mil","",INDEX(Cascade!$T:$T,MATCH($E109,Cascade!$E:$E,0)))</f>
        <v>6870</v>
      </c>
      <c r="G109" s="38">
        <f>IF(LEFT($B109,4)="_Mil","",INDEX(Cascade!$U:$U,MATCH($E109,Cascade!$E:$E,0)))</f>
        <v>1063</v>
      </c>
      <c r="H109" s="110">
        <f>IF(LEFT($B109,4)="_Mil","",INDEX(Cascade!$W:$W,MATCH($E109,Cascade!$E:$E,0)))</f>
        <v>0.154734388</v>
      </c>
      <c r="I109" s="38">
        <f>IF(LEFT($B109,4)="_Mil","",INDEX(Cascade!$Z:$Z,MATCH($E109,Cascade!$E:$E,0)))</f>
        <v>1364</v>
      </c>
      <c r="J109" s="33">
        <f>IF(LEFT($B109,4)="_Mil","",INDEX(Cascade!$AA:$AA,MATCH($E109,Cascade!$E:$E,0)))</f>
        <v>0.99166011200000004</v>
      </c>
      <c r="K109" s="218" t="str">
        <f>IF(LEFT($B109,4)="_Mil","",_xlfn.IFNA(ROUND(INDEX(Spectrum!$N:$N,MATCH(RIGHT($B109,13)&amp;"|"&amp;$C109&amp;"|"&amp;$D109&amp;"|"&amp;K$14&amp;"|"&amp;"CY2024Q3",Spectrum!$R:$R,0)),0),""))</f>
        <v/>
      </c>
      <c r="L109" s="218" t="str">
        <f>IF(LEFT($B109,4)="_Mil","",_xlfn.IFNA(ROUND(INDEX(Spectrum!$N:$N,MATCH(RIGHT($B109,13)&amp;"|"&amp;$C109&amp;"|"&amp;$D109&amp;"|"&amp;L$14&amp;"|"&amp;"CY2024Q3",Spectrum!$R:$R,0)),0),""))</f>
        <v/>
      </c>
      <c r="M109" s="218" t="str">
        <f>IF(LEFT($B109,4)="_Mil","",_xlfn.IFNA(ROUND(INDEX(Spectrum!$N:$N,MATCH(RIGHT($B109,13)&amp;"|"&amp;$C109&amp;"|"&amp;$D109&amp;"|"&amp;M$14&amp;"|"&amp;"CY2024Q3",Spectrum!$R:$R,0)),0),""))</f>
        <v/>
      </c>
      <c r="N109" s="218" t="str">
        <f>IF(LEFT($B109,4)="_Mil","",_xlfn.IFNA(ROUND(INDEX(Spectrum!$N:$N,MATCH(RIGHT($B109,13)&amp;"|"&amp;$C109&amp;"|"&amp;$D109&amp;"|"&amp;N$14&amp;"|"&amp;"CY2024Q3",Spectrum!$R:$R,0)),0),""))</f>
        <v/>
      </c>
      <c r="O109" s="218" t="str">
        <f>IF(LEFT($B109,4)="_Mil","",_xlfn.IFNA(ROUND(INDEX(Spectrum!$N:$N,MATCH(RIGHT($B109,13)&amp;"|"&amp;$C109&amp;"|"&amp;$D109&amp;"|"&amp;O$14&amp;"|"&amp;"CY2024Q3",Spectrum!$R:$R,0)),0),""))</f>
        <v/>
      </c>
      <c r="P109" s="218" t="str">
        <f>IF(LEFT($B109,4)="_Mil","",_xlfn.IFNA(ROUND(INDEX(Spectrum!$N:$N,MATCH(RIGHT($B109,13)&amp;"|"&amp;$C109&amp;"|"&amp;$D109&amp;"|"&amp;P$14&amp;"|"&amp;"CY2024Q3",Spectrum!$R:$R,0)),0),""))</f>
        <v/>
      </c>
      <c r="Q109" s="218" t="str">
        <f>IF(LEFT($B109,4)="_Mil","",_xlfn.IFNA(ROUND(INDEX(Spectrum!$N:$N,MATCH(RIGHT($B109,13)&amp;"|"&amp;$C109&amp;"|"&amp;$D109&amp;"|"&amp;Q$14&amp;"|"&amp;"CY2024Q3",Spectrum!$R:$R,0)),0),""))</f>
        <v/>
      </c>
      <c r="R109" s="38"/>
      <c r="S109" s="33">
        <v>0</v>
      </c>
      <c r="T109" s="218" t="str">
        <f t="shared" si="57"/>
        <v/>
      </c>
      <c r="U109" s="33" t="str">
        <f t="shared" si="58"/>
        <v/>
      </c>
      <c r="V109" s="218" t="str">
        <f t="shared" si="59"/>
        <v/>
      </c>
      <c r="W109" s="33">
        <v>0.14199999999999999</v>
      </c>
      <c r="X109" s="33">
        <f t="shared" si="60"/>
        <v>0.14199999999999999</v>
      </c>
      <c r="Y109" s="231">
        <v>1.0999999999999999E-2</v>
      </c>
      <c r="Z109" s="33">
        <f t="shared" si="61"/>
        <v>1.0999999999999999E-2</v>
      </c>
      <c r="AA109" s="38" t="str">
        <f t="shared" si="62"/>
        <v/>
      </c>
      <c r="AB109" s="218" t="str">
        <f t="shared" si="63"/>
        <v/>
      </c>
      <c r="AC109" s="218" t="str">
        <f t="shared" si="64"/>
        <v/>
      </c>
      <c r="AD109" s="218" t="str">
        <f t="shared" si="65"/>
        <v/>
      </c>
      <c r="AE109" s="38" t="str">
        <f t="shared" si="66"/>
        <v/>
      </c>
      <c r="AF109" s="218" t="str">
        <f t="shared" si="67"/>
        <v/>
      </c>
      <c r="AG109" s="218" t="str">
        <f t="shared" si="68"/>
        <v/>
      </c>
      <c r="AH109" s="218" t="str">
        <f t="shared" si="69"/>
        <v/>
      </c>
      <c r="AI109" s="33" t="str">
        <f>IF(SUM($AC109)=0,"",INDEX(Cascade!$BG:$BG,MATCH($E109,Cascade!$E:$E,0)))</f>
        <v/>
      </c>
      <c r="AJ109" s="218" t="str">
        <f t="shared" si="70"/>
        <v/>
      </c>
      <c r="AK109" s="218" t="str">
        <f t="shared" si="71"/>
        <v/>
      </c>
      <c r="AL109" s="218" t="str">
        <f t="shared" si="72"/>
        <v/>
      </c>
      <c r="AM109" s="218" t="str">
        <f t="shared" si="73"/>
        <v/>
      </c>
      <c r="AN109" s="218" t="str">
        <f t="shared" si="74"/>
        <v/>
      </c>
      <c r="AO109" s="38" t="str">
        <f t="shared" si="75"/>
        <v/>
      </c>
      <c r="AP109" s="231">
        <v>4.0000000000000001E-3</v>
      </c>
      <c r="AQ109" s="33">
        <f t="shared" si="76"/>
        <v>4.0000000000000001E-3</v>
      </c>
      <c r="AR109" s="33" t="str">
        <f>IF(SUM($AO109)=0,"",INDEX(Cascade!$BG:$BG,MATCH($E109,Cascade!$E:$E,0)))</f>
        <v/>
      </c>
      <c r="AS109" s="218" t="str">
        <f t="shared" si="77"/>
        <v/>
      </c>
      <c r="AT109" s="218" t="str">
        <f t="shared" si="78"/>
        <v/>
      </c>
      <c r="AU109" s="38" t="str">
        <f t="shared" si="79"/>
        <v/>
      </c>
      <c r="AV109" s="38" t="str">
        <f t="shared" si="80"/>
        <v/>
      </c>
      <c r="AW109" s="38">
        <f>IFERROR(1/(1/INDEX(Cascade!$BH:$BH,MATCH($E109,Cascade!$E:$E,0))),"")</f>
        <v>71</v>
      </c>
      <c r="AX109" s="38" t="str">
        <f t="shared" si="81"/>
        <v/>
      </c>
      <c r="AY109" s="38" t="str">
        <f t="shared" si="82"/>
        <v/>
      </c>
      <c r="AZ109" s="38" t="str">
        <f>IFERROR(1/(1/INDEX(TB!$P:$P,MATCH($E109,TB!$E:$E,0))),"")</f>
        <v/>
      </c>
      <c r="BA109" s="38">
        <f t="shared" si="83"/>
        <v>71</v>
      </c>
    </row>
    <row r="110" spans="1:53" x14ac:dyDescent="0.2">
      <c r="A110" t="str">
        <f>INDEX(Prioritization!$D:$D,MATCH($B110,Prioritization!$A:$A,0))</f>
        <v>4 - Sustained</v>
      </c>
      <c r="B110" t="s">
        <v>311</v>
      </c>
      <c r="C110" t="s">
        <v>474</v>
      </c>
      <c r="D110" t="s">
        <v>30</v>
      </c>
      <c r="E110" t="str">
        <f t="shared" si="56"/>
        <v>Nkhata Bay District [E7zpfyBt7Tw]|10-14|Female</v>
      </c>
      <c r="F110" s="38">
        <f>IF(LEFT($B110,4)="_Mil","",INDEX(Cascade!$T:$T,MATCH($E110,Cascade!$E:$E,0)))</f>
        <v>23386</v>
      </c>
      <c r="G110" s="38">
        <f>IF(LEFT($B110,4)="_Mil","",INDEX(Cascade!$U:$U,MATCH($E110,Cascade!$E:$E,0)))</f>
        <v>192</v>
      </c>
      <c r="H110" s="110">
        <f>IF(LEFT($B110,4)="_Mil","",INDEX(Cascade!$W:$W,MATCH($E110,Cascade!$E:$E,0)))</f>
        <v>8.2164300000000003E-3</v>
      </c>
      <c r="I110" s="38">
        <f>IF(LEFT($B110,4)="_Mil","",INDEX(Cascade!$Z:$Z,MATCH($E110,Cascade!$E:$E,0)))</f>
        <v>108</v>
      </c>
      <c r="J110" s="33">
        <f>IF(LEFT($B110,4)="_Mil","",INDEX(Cascade!$AA:$AA,MATCH($E110,Cascade!$E:$E,0)))</f>
        <v>0.69107622199999996</v>
      </c>
      <c r="K110" s="218" t="str">
        <f>IF(LEFT($B110,4)="_Mil","",_xlfn.IFNA(ROUND(INDEX(Spectrum!$N:$N,MATCH(RIGHT($B110,13)&amp;"|"&amp;$C110&amp;"|"&amp;$D110&amp;"|"&amp;K$14&amp;"|"&amp;"CY2024Q3",Spectrum!$R:$R,0)),0),""))</f>
        <v/>
      </c>
      <c r="L110" s="218" t="str">
        <f>IF(LEFT($B110,4)="_Mil","",_xlfn.IFNA(ROUND(INDEX(Spectrum!$N:$N,MATCH(RIGHT($B110,13)&amp;"|"&amp;$C110&amp;"|"&amp;$D110&amp;"|"&amp;L$14&amp;"|"&amp;"CY2024Q3",Spectrum!$R:$R,0)),0),""))</f>
        <v/>
      </c>
      <c r="M110" s="218" t="str">
        <f>IF(LEFT($B110,4)="_Mil","",_xlfn.IFNA(ROUND(INDEX(Spectrum!$N:$N,MATCH(RIGHT($B110,13)&amp;"|"&amp;$C110&amp;"|"&amp;$D110&amp;"|"&amp;M$14&amp;"|"&amp;"CY2024Q3",Spectrum!$R:$R,0)),0),""))</f>
        <v/>
      </c>
      <c r="N110" s="218" t="str">
        <f>IF(LEFT($B110,4)="_Mil","",_xlfn.IFNA(ROUND(INDEX(Spectrum!$N:$N,MATCH(RIGHT($B110,13)&amp;"|"&amp;$C110&amp;"|"&amp;$D110&amp;"|"&amp;N$14&amp;"|"&amp;"CY2024Q3",Spectrum!$R:$R,0)),0),""))</f>
        <v/>
      </c>
      <c r="O110" s="218" t="str">
        <f>IF(LEFT($B110,4)="_Mil","",_xlfn.IFNA(ROUND(INDEX(Spectrum!$N:$N,MATCH(RIGHT($B110,13)&amp;"|"&amp;$C110&amp;"|"&amp;$D110&amp;"|"&amp;O$14&amp;"|"&amp;"CY2024Q3",Spectrum!$R:$R,0)),0),""))</f>
        <v/>
      </c>
      <c r="P110" s="218" t="str">
        <f>IF(LEFT($B110,4)="_Mil","",_xlfn.IFNA(ROUND(INDEX(Spectrum!$N:$N,MATCH(RIGHT($B110,13)&amp;"|"&amp;$C110&amp;"|"&amp;$D110&amp;"|"&amp;P$14&amp;"|"&amp;"CY2024Q3",Spectrum!$R:$R,0)),0),""))</f>
        <v/>
      </c>
      <c r="Q110" s="218" t="str">
        <f>IF(LEFT($B110,4)="_Mil","",_xlfn.IFNA(ROUND(INDEX(Spectrum!$N:$N,MATCH(RIGHT($B110,13)&amp;"|"&amp;$C110&amp;"|"&amp;$D110&amp;"|"&amp;Q$14&amp;"|"&amp;"CY2024Q3",Spectrum!$R:$R,0)),0),""))</f>
        <v/>
      </c>
      <c r="R110" s="38">
        <v>27</v>
      </c>
      <c r="S110" s="33">
        <v>0</v>
      </c>
      <c r="T110" s="218">
        <f t="shared" si="57"/>
        <v>27</v>
      </c>
      <c r="U110" s="33">
        <f t="shared" si="58"/>
        <v>1</v>
      </c>
      <c r="V110" s="218">
        <f t="shared" si="59"/>
        <v>27</v>
      </c>
      <c r="W110" s="33">
        <v>7.4000000000000003E-3</v>
      </c>
      <c r="X110" s="33">
        <f t="shared" si="60"/>
        <v>7.4000000000000003E-3</v>
      </c>
      <c r="Y110" s="231">
        <v>1.0999999999999999E-2</v>
      </c>
      <c r="Z110" s="33">
        <f t="shared" si="61"/>
        <v>1.0999999999999999E-2</v>
      </c>
      <c r="AA110" s="38">
        <f t="shared" si="62"/>
        <v>27</v>
      </c>
      <c r="AB110" s="218">
        <f t="shared" si="63"/>
        <v>0</v>
      </c>
      <c r="AC110" s="218">
        <f t="shared" si="64"/>
        <v>0</v>
      </c>
      <c r="AD110" s="218">
        <f t="shared" si="65"/>
        <v>27</v>
      </c>
      <c r="AE110" s="38">
        <f t="shared" si="66"/>
        <v>27</v>
      </c>
      <c r="AF110" s="218">
        <f t="shared" si="67"/>
        <v>0</v>
      </c>
      <c r="AG110" s="218">
        <f t="shared" si="68"/>
        <v>0</v>
      </c>
      <c r="AH110" s="218">
        <f t="shared" si="69"/>
        <v>27</v>
      </c>
      <c r="AI110" s="33" t="str">
        <f>IF(SUM($AC110)=0,"",INDEX(Cascade!$BG:$BG,MATCH($E110,Cascade!$E:$E,0)))</f>
        <v/>
      </c>
      <c r="AJ110" s="218">
        <f t="shared" si="70"/>
        <v>0</v>
      </c>
      <c r="AK110" s="218" t="str">
        <f t="shared" si="71"/>
        <v/>
      </c>
      <c r="AL110" s="218" t="str">
        <f t="shared" si="72"/>
        <v/>
      </c>
      <c r="AM110" s="218">
        <f t="shared" si="73"/>
        <v>0</v>
      </c>
      <c r="AN110" s="218" t="str">
        <f t="shared" si="74"/>
        <v/>
      </c>
      <c r="AO110" s="38">
        <f t="shared" si="75"/>
        <v>27</v>
      </c>
      <c r="AP110" s="231">
        <v>4.0000000000000001E-3</v>
      </c>
      <c r="AQ110" s="33">
        <f t="shared" si="76"/>
        <v>4.0000000000000001E-3</v>
      </c>
      <c r="AR110" s="33">
        <f>IF(SUM($AO110)=0,"",INDEX(Cascade!$BG:$BG,MATCH($E110,Cascade!$E:$E,0)))</f>
        <v>0.95</v>
      </c>
      <c r="AS110" s="218">
        <f t="shared" si="77"/>
        <v>0</v>
      </c>
      <c r="AT110" s="218">
        <f t="shared" si="78"/>
        <v>27</v>
      </c>
      <c r="AU110" s="38" t="str">
        <f t="shared" si="79"/>
        <v/>
      </c>
      <c r="AV110" s="38" t="str">
        <f t="shared" si="80"/>
        <v/>
      </c>
      <c r="AW110" s="38">
        <f>IFERROR(1/(1/INDEX(Cascade!$BH:$BH,MATCH($E110,Cascade!$E:$E,0))),"")</f>
        <v>13</v>
      </c>
      <c r="AX110" s="38" t="str">
        <f t="shared" si="81"/>
        <v/>
      </c>
      <c r="AY110" s="38" t="str">
        <f t="shared" si="82"/>
        <v/>
      </c>
      <c r="AZ110" s="38" t="str">
        <f>IFERROR(1/(1/INDEX(TB!$P:$P,MATCH($E110,TB!$E:$E,0))),"")</f>
        <v/>
      </c>
      <c r="BA110" s="38">
        <f t="shared" si="83"/>
        <v>13</v>
      </c>
    </row>
    <row r="111" spans="1:53" x14ac:dyDescent="0.2">
      <c r="A111" t="str">
        <f>INDEX(Prioritization!$D:$D,MATCH($B111,Prioritization!$A:$A,0))</f>
        <v>4 - Sustained</v>
      </c>
      <c r="B111" t="s">
        <v>311</v>
      </c>
      <c r="C111" t="s">
        <v>475</v>
      </c>
      <c r="D111" t="s">
        <v>30</v>
      </c>
      <c r="E111" t="str">
        <f t="shared" ref="E111:E142" si="84">B111&amp;"|"&amp;C111&amp;"|"&amp;D111</f>
        <v>Nkhata Bay District [E7zpfyBt7Tw]|15-24|Female</v>
      </c>
      <c r="F111" s="38">
        <f>IF(LEFT($B111,4)="_Mil","",INDEX(Cascade!$T:$T,MATCH($E111,Cascade!$E:$E,0)))</f>
        <v>39277</v>
      </c>
      <c r="G111" s="38">
        <f>IF(LEFT($B111,4)="_Mil","",INDEX(Cascade!$U:$U,MATCH($E111,Cascade!$E:$E,0)))</f>
        <v>706</v>
      </c>
      <c r="H111" s="110">
        <f>IF(LEFT($B111,4)="_Mil","",INDEX(Cascade!$W:$W,MATCH($E111,Cascade!$E:$E,0)))</f>
        <v>1.7973386000000001E-2</v>
      </c>
      <c r="I111" s="38">
        <f>IF(LEFT($B111,4)="_Mil","",INDEX(Cascade!$Z:$Z,MATCH($E111,Cascade!$E:$E,0)))</f>
        <v>550</v>
      </c>
      <c r="J111" s="33">
        <f>IF(LEFT($B111,4)="_Mil","",INDEX(Cascade!$AA:$AA,MATCH($E111,Cascade!$E:$E,0)))</f>
        <v>0.93130131999999988</v>
      </c>
      <c r="K111" s="218">
        <f>IF(LEFT($B111,4)="_Mil","",_xlfn.IFNA(ROUND(INDEX(Spectrum!$N:$N,MATCH(RIGHT($B111,13)&amp;"|"&amp;$C111&amp;"|"&amp;$D111&amp;"|"&amp;K$14&amp;"|"&amp;"CY2024Q3",Spectrum!$R:$R,0)),0),""))</f>
        <v>4315</v>
      </c>
      <c r="L111" s="218">
        <f>IF(LEFT($B111,4)="_Mil","",_xlfn.IFNA(ROUND(INDEX(Spectrum!$N:$N,MATCH(RIGHT($B111,13)&amp;"|"&amp;$C111&amp;"|"&amp;$D111&amp;"|"&amp;L$14&amp;"|"&amp;"CY2024Q3",Spectrum!$R:$R,0)),0),""))</f>
        <v>59</v>
      </c>
      <c r="M111" s="218">
        <f>IF(LEFT($B111,4)="_Mil","",_xlfn.IFNA(ROUND(INDEX(Spectrum!$N:$N,MATCH(RIGHT($B111,13)&amp;"|"&amp;$C111&amp;"|"&amp;$D111&amp;"|"&amp;M$14&amp;"|"&amp;"CY2024Q3",Spectrum!$R:$R,0)),0),""))</f>
        <v>37</v>
      </c>
      <c r="N111" s="218">
        <f>IF(LEFT($B111,4)="_Mil","",_xlfn.IFNA(ROUND(INDEX(Spectrum!$N:$N,MATCH(RIGHT($B111,13)&amp;"|"&amp;$C111&amp;"|"&amp;$D111&amp;"|"&amp;N$14&amp;"|"&amp;"CY2024Q3",Spectrum!$R:$R,0)),0),""))</f>
        <v>4220</v>
      </c>
      <c r="O111" s="218">
        <f>IF(LEFT($B111,4)="_Mil","",_xlfn.IFNA(ROUND(INDEX(Spectrum!$N:$N,MATCH(RIGHT($B111,13)&amp;"|"&amp;$C111&amp;"|"&amp;$D111&amp;"|"&amp;O$14&amp;"|"&amp;"CY2024Q3",Spectrum!$R:$R,0)),0),""))</f>
        <v>95</v>
      </c>
      <c r="P111" s="218">
        <f>IF(LEFT($B111,4)="_Mil","",_xlfn.IFNA(ROUND(INDEX(Spectrum!$N:$N,MATCH(RIGHT($B111,13)&amp;"|"&amp;$C111&amp;"|"&amp;$D111&amp;"|"&amp;P$14&amp;"|"&amp;"CY2024Q3",Spectrum!$R:$R,0)),0),""))</f>
        <v>59</v>
      </c>
      <c r="Q111" s="218">
        <f>IF(LEFT($B111,4)="_Mil","",_xlfn.IFNA(ROUND(INDEX(Spectrum!$N:$N,MATCH(RIGHT($B111,13)&amp;"|"&amp;$C111&amp;"|"&amp;$D111&amp;"|"&amp;Q$14&amp;"|"&amp;"CY2024Q3",Spectrum!$R:$R,0)),0),""))</f>
        <v>37</v>
      </c>
      <c r="R111" s="38">
        <v>4842</v>
      </c>
      <c r="S111" s="33">
        <v>0</v>
      </c>
      <c r="T111" s="218">
        <f t="shared" ref="T111:T142" si="85">IF(SUM($R111)=0,"",ROUND($R111*(1+$S111),0))</f>
        <v>4842</v>
      </c>
      <c r="U111" s="33">
        <f t="shared" ref="U111:U142" si="86">IF(LEFT($B111,4)="_Mil","",IF(SUM($K111)=0,IF(SUM($R111)=0,"",1),MIN($R111/$K111,1)))</f>
        <v>1</v>
      </c>
      <c r="V111" s="218">
        <f t="shared" ref="V111:V142" si="87">IF(OR(SUM($T111)=0,LEFT($B111,4)="_Mil"),"",ROUND($T111/$U111,0))</f>
        <v>4842</v>
      </c>
      <c r="W111" s="33">
        <v>7.4000000000000003E-3</v>
      </c>
      <c r="X111" s="33">
        <f t="shared" ref="X111:X142" si="88">IF(SUM($K111,$W111)=0,"",MAX(IFERROR(SUM($L111)/$K111,0),SUM($W111)))</f>
        <v>1.3673232908458864E-2</v>
      </c>
      <c r="Y111" s="231">
        <v>1.0999999999999999E-2</v>
      </c>
      <c r="Z111" s="33">
        <f t="shared" ref="Z111:Z142" si="89">IF(SUM($K111,$Y111)=0,"",MIN(SUM($Y111),IFERROR(SUM($M111)/(SUM($K111)-SUM($L111)),1)))</f>
        <v>8.6936090225563905E-3</v>
      </c>
      <c r="AA111" s="38">
        <f t="shared" ref="AA111:AA142" si="90">$T111</f>
        <v>4842</v>
      </c>
      <c r="AB111" s="218">
        <f t="shared" ref="AB111:AB142" si="91">IF(SUM($AA111)=0,"",IF(AND(SUM($AA111)&gt;0,$X111=""),"ENTER KNOWN POSITIVITY RATE",ROUND($AA111*$X111,0)))</f>
        <v>66</v>
      </c>
      <c r="AC111" s="218">
        <f t="shared" ref="AC111:AC142" si="92">IF(SUM($AA111)=0,"",IF(AND((SUM($AA111)-SUM($AB111))&gt;0,$Z111=""),"ENTER YIELD RATE",ROUND(($AA111-SUM($AB111))*$Z111,0)))</f>
        <v>42</v>
      </c>
      <c r="AD111" s="218">
        <f t="shared" ref="AD111:AD142" si="93">IF(SUM($AA111)=0,"",$AA111-SUM($AB111)-SUM($AC111))</f>
        <v>4734</v>
      </c>
      <c r="AE111" s="38">
        <f t="shared" ref="AE111:AE142" si="94">$V111</f>
        <v>4842</v>
      </c>
      <c r="AF111" s="218">
        <f t="shared" ref="AF111:AF142" si="95">IF(SUM($AE111)=0,"",ROUND($AE111*SUM($X111),0))</f>
        <v>66</v>
      </c>
      <c r="AG111" s="218">
        <f t="shared" ref="AG111:AG142" si="96">IF(SUM($AE111)=0,"",ROUND(($AE111-SUM($AF111))*SUM($Z111),0))</f>
        <v>42</v>
      </c>
      <c r="AH111" s="218">
        <f t="shared" ref="AH111:AH142" si="97">IF(SUM($AE111)=0,"",$AE111-SUM($AF111)-SUM($AG111))</f>
        <v>4734</v>
      </c>
      <c r="AI111" s="33">
        <f>IF(SUM($AC111)=0,"",INDEX(Cascade!$BG:$BG,MATCH($E111,Cascade!$E:$E,0)))</f>
        <v>0.95</v>
      </c>
      <c r="AJ111" s="218">
        <f t="shared" ref="AJ111:AJ142" si="98">$AB111</f>
        <v>66</v>
      </c>
      <c r="AK111" s="218">
        <f t="shared" ref="AK111:AK142" si="99">IF(SUM($AC111)=0,"",IF(AND($AI111="",SUM($AC111)&gt;0),"&lt;- Enter Linkage Rate",ROUND($AC111*$AI111,0)))</f>
        <v>40</v>
      </c>
      <c r="AL111" s="218">
        <f t="shared" ref="AL111:AL142" si="100">IF(SUM($AF111,$AG111)=0,"",SUM($AF111,$AG111))</f>
        <v>108</v>
      </c>
      <c r="AM111" s="218">
        <f t="shared" ref="AM111:AM142" si="101">$AF111</f>
        <v>66</v>
      </c>
      <c r="AN111" s="218">
        <f t="shared" ref="AN111:AN142" si="102">IF(SUM($AG111)=0,"",ROUND($AG111*SUM($AI111),0))</f>
        <v>40</v>
      </c>
      <c r="AO111" s="38">
        <f t="shared" ref="AO111:AO142" si="103">IFERROR(1/(1/MAX(SUM($T111)-SUM($AB111,$AC111),$AD111)),"")</f>
        <v>4734</v>
      </c>
      <c r="AP111" s="231">
        <v>4.0000000000000001E-3</v>
      </c>
      <c r="AQ111" s="33">
        <f t="shared" ref="AQ111:AQ142" si="104">IF($AP111="","",$AP111)</f>
        <v>4.0000000000000001E-3</v>
      </c>
      <c r="AR111" s="33">
        <f>IF(SUM($AO111)=0,"",INDEX(Cascade!$BG:$BG,MATCH($E111,Cascade!$E:$E,0)))</f>
        <v>0.95</v>
      </c>
      <c r="AS111" s="218">
        <f t="shared" ref="AS111:AS142" si="105">IF(SUM($AO111)=0,"",IF(AND(SUM($AO111)&gt;0,$AQ111=""),"ENTER YIELD RATE",ROUND($AO111*$AQ111,0)))</f>
        <v>19</v>
      </c>
      <c r="AT111" s="218">
        <f t="shared" ref="AT111:AT142" si="106">IF(SUM($AO111)=0,"",$AO111-SUM($AS111))</f>
        <v>4715</v>
      </c>
      <c r="AU111" s="38">
        <f t="shared" ref="AU111:AU142" si="107">IF(SUM($AS111)=0,"",ROUND($AS111*$AR111,0))</f>
        <v>18</v>
      </c>
      <c r="AV111" s="38">
        <f t="shared" ref="AV111:AV142" si="108">IFERROR(1/(1/SUM($AC111,$AB111,$AS111)),"")</f>
        <v>127</v>
      </c>
      <c r="AW111" s="38">
        <f>IFERROR(1/(1/INDEX(Cascade!$BH:$BH,MATCH($E111,Cascade!$E:$E,0))),"")</f>
        <v>94</v>
      </c>
      <c r="AX111" s="38">
        <f t="shared" ref="AX111:AX142" si="109">IF(SUM($AC111)=0,"",$AC111)</f>
        <v>42</v>
      </c>
      <c r="AY111" s="38">
        <f t="shared" ref="AY111:AY142" si="110">IF(SUM($AS111)=0,"",$AS111)</f>
        <v>19</v>
      </c>
      <c r="AZ111" s="38">
        <f>IFERROR(1/(1/INDEX(TB!$P:$P,MATCH($E111,TB!$E:$E,0))),"")</f>
        <v>1</v>
      </c>
      <c r="BA111" s="38">
        <f t="shared" ref="BA111:BA142" si="111">IFERROR(1/(1/(SUM($AW111)-SUM($AX111:$AZ111))),"")</f>
        <v>32</v>
      </c>
    </row>
    <row r="112" spans="1:53" x14ac:dyDescent="0.2">
      <c r="A112" t="str">
        <f>INDEX(Prioritization!$D:$D,MATCH($B112,Prioritization!$A:$A,0))</f>
        <v>4 - Sustained</v>
      </c>
      <c r="B112" t="s">
        <v>311</v>
      </c>
      <c r="C112" t="s">
        <v>476</v>
      </c>
      <c r="D112" t="s">
        <v>30</v>
      </c>
      <c r="E112" t="str">
        <f t="shared" si="84"/>
        <v>Nkhata Bay District [E7zpfyBt7Tw]|25-34|Female</v>
      </c>
      <c r="F112" s="38">
        <f>IF(LEFT($B112,4)="_Mil","",INDEX(Cascade!$T:$T,MATCH($E112,Cascade!$E:$E,0)))</f>
        <v>23378</v>
      </c>
      <c r="G112" s="38">
        <f>IF(LEFT($B112,4)="_Mil","",INDEX(Cascade!$U:$U,MATCH($E112,Cascade!$E:$E,0)))</f>
        <v>1597</v>
      </c>
      <c r="H112" s="110">
        <f>IF(LEFT($B112,4)="_Mil","",INDEX(Cascade!$W:$W,MATCH($E112,Cascade!$E:$E,0)))</f>
        <v>6.8292254999999996E-2</v>
      </c>
      <c r="I112" s="38">
        <f>IF(LEFT($B112,4)="_Mil","",INDEX(Cascade!$Z:$Z,MATCH($E112,Cascade!$E:$E,0)))</f>
        <v>1291</v>
      </c>
      <c r="J112" s="33">
        <f>IF(LEFT($B112,4)="_Mil","",INDEX(Cascade!$AA:$AA,MATCH($E112,Cascade!$E:$E,0)))</f>
        <v>0.96306522700000008</v>
      </c>
      <c r="K112" s="218">
        <f>IF(LEFT($B112,4)="_Mil","",_xlfn.IFNA(ROUND(INDEX(Spectrum!$N:$N,MATCH(RIGHT($B112,13)&amp;"|"&amp;$C112&amp;"|"&amp;$D112&amp;"|"&amp;K$14&amp;"|"&amp;"CY2024Q3",Spectrum!$R:$R,0)),0),""))</f>
        <v>2505</v>
      </c>
      <c r="L112" s="218">
        <f>IF(LEFT($B112,4)="_Mil","",_xlfn.IFNA(ROUND(INDEX(Spectrum!$N:$N,MATCH(RIGHT($B112,13)&amp;"|"&amp;$C112&amp;"|"&amp;$D112&amp;"|"&amp;L$14&amp;"|"&amp;"CY2024Q3",Spectrum!$R:$R,0)),0),""))</f>
        <v>104</v>
      </c>
      <c r="M112" s="218">
        <f>IF(LEFT($B112,4)="_Mil","",_xlfn.IFNA(ROUND(INDEX(Spectrum!$N:$N,MATCH(RIGHT($B112,13)&amp;"|"&amp;$C112&amp;"|"&amp;$D112&amp;"|"&amp;M$14&amp;"|"&amp;"CY2024Q3",Spectrum!$R:$R,0)),0),""))</f>
        <v>47</v>
      </c>
      <c r="N112" s="218">
        <f>IF(LEFT($B112,4)="_Mil","",_xlfn.IFNA(ROUND(INDEX(Spectrum!$N:$N,MATCH(RIGHT($B112,13)&amp;"|"&amp;$C112&amp;"|"&amp;$D112&amp;"|"&amp;N$14&amp;"|"&amp;"CY2024Q3",Spectrum!$R:$R,0)),0),""))</f>
        <v>2353</v>
      </c>
      <c r="O112" s="218">
        <f>IF(LEFT($B112,4)="_Mil","",_xlfn.IFNA(ROUND(INDEX(Spectrum!$N:$N,MATCH(RIGHT($B112,13)&amp;"|"&amp;$C112&amp;"|"&amp;$D112&amp;"|"&amp;O$14&amp;"|"&amp;"CY2024Q3",Spectrum!$R:$R,0)),0),""))</f>
        <v>151</v>
      </c>
      <c r="P112" s="218">
        <f>IF(LEFT($B112,4)="_Mil","",_xlfn.IFNA(ROUND(INDEX(Spectrum!$N:$N,MATCH(RIGHT($B112,13)&amp;"|"&amp;$C112&amp;"|"&amp;$D112&amp;"|"&amp;P$14&amp;"|"&amp;"CY2024Q3",Spectrum!$R:$R,0)),0),""))</f>
        <v>104</v>
      </c>
      <c r="Q112" s="218">
        <f>IF(LEFT($B112,4)="_Mil","",_xlfn.IFNA(ROUND(INDEX(Spectrum!$N:$N,MATCH(RIGHT($B112,13)&amp;"|"&amp;$C112&amp;"|"&amp;$D112&amp;"|"&amp;Q$14&amp;"|"&amp;"CY2024Q3",Spectrum!$R:$R,0)),0),""))</f>
        <v>47</v>
      </c>
      <c r="R112" s="38">
        <v>2633</v>
      </c>
      <c r="S112" s="33">
        <v>0</v>
      </c>
      <c r="T112" s="218">
        <f t="shared" si="85"/>
        <v>2633</v>
      </c>
      <c r="U112" s="33">
        <f t="shared" si="86"/>
        <v>1</v>
      </c>
      <c r="V112" s="218">
        <f t="shared" si="87"/>
        <v>2633</v>
      </c>
      <c r="W112" s="33">
        <v>4.7E-2</v>
      </c>
      <c r="X112" s="33">
        <f t="shared" si="88"/>
        <v>4.7E-2</v>
      </c>
      <c r="Y112" s="231">
        <v>1.0999999999999999E-2</v>
      </c>
      <c r="Z112" s="33">
        <f t="shared" si="89"/>
        <v>1.0999999999999999E-2</v>
      </c>
      <c r="AA112" s="38">
        <f t="shared" si="90"/>
        <v>2633</v>
      </c>
      <c r="AB112" s="218">
        <f t="shared" si="91"/>
        <v>124</v>
      </c>
      <c r="AC112" s="218">
        <f t="shared" si="92"/>
        <v>28</v>
      </c>
      <c r="AD112" s="218">
        <f t="shared" si="93"/>
        <v>2481</v>
      </c>
      <c r="AE112" s="38">
        <f t="shared" si="94"/>
        <v>2633</v>
      </c>
      <c r="AF112" s="218">
        <f t="shared" si="95"/>
        <v>124</v>
      </c>
      <c r="AG112" s="218">
        <f t="shared" si="96"/>
        <v>28</v>
      </c>
      <c r="AH112" s="218">
        <f t="shared" si="97"/>
        <v>2481</v>
      </c>
      <c r="AI112" s="33">
        <f>IF(SUM($AC112)=0,"",INDEX(Cascade!$BG:$BG,MATCH($E112,Cascade!$E:$E,0)))</f>
        <v>0.95</v>
      </c>
      <c r="AJ112" s="218">
        <f t="shared" si="98"/>
        <v>124</v>
      </c>
      <c r="AK112" s="218">
        <f t="shared" si="99"/>
        <v>27</v>
      </c>
      <c r="AL112" s="218">
        <f t="shared" si="100"/>
        <v>152</v>
      </c>
      <c r="AM112" s="218">
        <f t="shared" si="101"/>
        <v>124</v>
      </c>
      <c r="AN112" s="218">
        <f t="shared" si="102"/>
        <v>27</v>
      </c>
      <c r="AO112" s="38">
        <f t="shared" si="103"/>
        <v>2481</v>
      </c>
      <c r="AP112" s="231">
        <v>4.0000000000000001E-3</v>
      </c>
      <c r="AQ112" s="33">
        <f t="shared" si="104"/>
        <v>4.0000000000000001E-3</v>
      </c>
      <c r="AR112" s="33">
        <f>IF(SUM($AO112)=0,"",INDEX(Cascade!$BG:$BG,MATCH($E112,Cascade!$E:$E,0)))</f>
        <v>0.95</v>
      </c>
      <c r="AS112" s="218">
        <f t="shared" si="105"/>
        <v>10</v>
      </c>
      <c r="AT112" s="218">
        <f t="shared" si="106"/>
        <v>2471</v>
      </c>
      <c r="AU112" s="38">
        <f t="shared" si="107"/>
        <v>10</v>
      </c>
      <c r="AV112" s="38">
        <f t="shared" si="108"/>
        <v>162</v>
      </c>
      <c r="AW112" s="38">
        <f>IFERROR(1/(1/INDEX(Cascade!$BH:$BH,MATCH($E112,Cascade!$E:$E,0))),"")</f>
        <v>152</v>
      </c>
      <c r="AX112" s="38">
        <f t="shared" si="109"/>
        <v>28</v>
      </c>
      <c r="AY112" s="38">
        <f t="shared" si="110"/>
        <v>10</v>
      </c>
      <c r="AZ112" s="38">
        <f>IFERROR(1/(1/INDEX(TB!$P:$P,MATCH($E112,TB!$E:$E,0))),"")</f>
        <v>1</v>
      </c>
      <c r="BA112" s="38">
        <f t="shared" si="111"/>
        <v>113</v>
      </c>
    </row>
    <row r="113" spans="1:53" x14ac:dyDescent="0.2">
      <c r="A113" t="str">
        <f>INDEX(Prioritization!$D:$D,MATCH($B113,Prioritization!$A:$A,0))</f>
        <v>4 - Sustained</v>
      </c>
      <c r="B113" t="s">
        <v>311</v>
      </c>
      <c r="C113" t="s">
        <v>477</v>
      </c>
      <c r="D113" t="s">
        <v>30</v>
      </c>
      <c r="E113" t="str">
        <f t="shared" si="84"/>
        <v>Nkhata Bay District [E7zpfyBt7Tw]|35-49|Female</v>
      </c>
      <c r="F113" s="38">
        <f>IF(LEFT($B113,4)="_Mil","",INDEX(Cascade!$T:$T,MATCH($E113,Cascade!$E:$E,0)))</f>
        <v>24431</v>
      </c>
      <c r="G113" s="38">
        <f>IF(LEFT($B113,4)="_Mil","",INDEX(Cascade!$U:$U,MATCH($E113,Cascade!$E:$E,0)))</f>
        <v>4026</v>
      </c>
      <c r="H113" s="110">
        <f>IF(LEFT($B113,4)="_Mil","",INDEX(Cascade!$W:$W,MATCH($E113,Cascade!$E:$E,0)))</f>
        <v>0.16477068</v>
      </c>
      <c r="I113" s="38">
        <f>IF(LEFT($B113,4)="_Mil","",INDEX(Cascade!$Z:$Z,MATCH($E113,Cascade!$E:$E,0)))</f>
        <v>3335</v>
      </c>
      <c r="J113" s="33">
        <f>IF(LEFT($B113,4)="_Mil","",INDEX(Cascade!$AA:$AA,MATCH($E113,Cascade!$E:$E,0)))</f>
        <v>0.98181460399999987</v>
      </c>
      <c r="K113" s="218">
        <f>IF(LEFT($B113,4)="_Mil","",_xlfn.IFNA(ROUND(INDEX(Spectrum!$N:$N,MATCH(RIGHT($B113,13)&amp;"|"&amp;$C113&amp;"|"&amp;$D113&amp;"|"&amp;K$14&amp;"|"&amp;"CY2024Q3",Spectrum!$R:$R,0)),0),""))</f>
        <v>948</v>
      </c>
      <c r="L113" s="218">
        <f>IF(LEFT($B113,4)="_Mil","",_xlfn.IFNA(ROUND(INDEX(Spectrum!$N:$N,MATCH(RIGHT($B113,13)&amp;"|"&amp;$C113&amp;"|"&amp;$D113&amp;"|"&amp;L$14&amp;"|"&amp;"CY2024Q3",Spectrum!$R:$R,0)),0),""))</f>
        <v>86</v>
      </c>
      <c r="M113" s="218">
        <f>IF(LEFT($B113,4)="_Mil","",_xlfn.IFNA(ROUND(INDEX(Spectrum!$N:$N,MATCH(RIGHT($B113,13)&amp;"|"&amp;$C113&amp;"|"&amp;$D113&amp;"|"&amp;M$14&amp;"|"&amp;"CY2024Q3",Spectrum!$R:$R,0)),0),""))</f>
        <v>13</v>
      </c>
      <c r="N113" s="218">
        <f>IF(LEFT($B113,4)="_Mil","",_xlfn.IFNA(ROUND(INDEX(Spectrum!$N:$N,MATCH(RIGHT($B113,13)&amp;"|"&amp;$C113&amp;"|"&amp;$D113&amp;"|"&amp;N$14&amp;"|"&amp;"CY2024Q3",Spectrum!$R:$R,0)),0),""))</f>
        <v>849</v>
      </c>
      <c r="O113" s="218">
        <f>IF(LEFT($B113,4)="_Mil","",_xlfn.IFNA(ROUND(INDEX(Spectrum!$N:$N,MATCH(RIGHT($B113,13)&amp;"|"&amp;$C113&amp;"|"&amp;$D113&amp;"|"&amp;O$14&amp;"|"&amp;"CY2024Q3",Spectrum!$R:$R,0)),0),""))</f>
        <v>99</v>
      </c>
      <c r="P113" s="218">
        <f>IF(LEFT($B113,4)="_Mil","",_xlfn.IFNA(ROUND(INDEX(Spectrum!$N:$N,MATCH(RIGHT($B113,13)&amp;"|"&amp;$C113&amp;"|"&amp;$D113&amp;"|"&amp;P$14&amp;"|"&amp;"CY2024Q3",Spectrum!$R:$R,0)),0),""))</f>
        <v>86</v>
      </c>
      <c r="Q113" s="218">
        <f>IF(LEFT($B113,4)="_Mil","",_xlfn.IFNA(ROUND(INDEX(Spectrum!$N:$N,MATCH(RIGHT($B113,13)&amp;"|"&amp;$C113&amp;"|"&amp;$D113&amp;"|"&amp;Q$14&amp;"|"&amp;"CY2024Q3",Spectrum!$R:$R,0)),0),""))</f>
        <v>13</v>
      </c>
      <c r="R113" s="38">
        <v>774</v>
      </c>
      <c r="S113" s="33">
        <v>0</v>
      </c>
      <c r="T113" s="218">
        <f t="shared" si="85"/>
        <v>774</v>
      </c>
      <c r="U113" s="33">
        <f t="shared" si="86"/>
        <v>0.81645569620253167</v>
      </c>
      <c r="V113" s="218">
        <f t="shared" si="87"/>
        <v>948</v>
      </c>
      <c r="W113" s="33">
        <v>0.05</v>
      </c>
      <c r="X113" s="33">
        <f t="shared" si="88"/>
        <v>9.0717299578059074E-2</v>
      </c>
      <c r="Y113" s="231">
        <v>1.0999999999999999E-2</v>
      </c>
      <c r="Z113" s="33">
        <f t="shared" si="89"/>
        <v>1.0999999999999999E-2</v>
      </c>
      <c r="AA113" s="38">
        <f t="shared" si="90"/>
        <v>774</v>
      </c>
      <c r="AB113" s="218">
        <f t="shared" si="91"/>
        <v>70</v>
      </c>
      <c r="AC113" s="218">
        <f t="shared" si="92"/>
        <v>8</v>
      </c>
      <c r="AD113" s="218">
        <f t="shared" si="93"/>
        <v>696</v>
      </c>
      <c r="AE113" s="38">
        <f t="shared" si="94"/>
        <v>948</v>
      </c>
      <c r="AF113" s="218">
        <f t="shared" si="95"/>
        <v>86</v>
      </c>
      <c r="AG113" s="218">
        <f t="shared" si="96"/>
        <v>9</v>
      </c>
      <c r="AH113" s="218">
        <f t="shared" si="97"/>
        <v>853</v>
      </c>
      <c r="AI113" s="33">
        <f>IF(SUM($AC113)=0,"",INDEX(Cascade!$BG:$BG,MATCH($E113,Cascade!$E:$E,0)))</f>
        <v>0.95</v>
      </c>
      <c r="AJ113" s="218">
        <f t="shared" si="98"/>
        <v>70</v>
      </c>
      <c r="AK113" s="218">
        <f t="shared" si="99"/>
        <v>8</v>
      </c>
      <c r="AL113" s="218">
        <f t="shared" si="100"/>
        <v>95</v>
      </c>
      <c r="AM113" s="218">
        <f t="shared" si="101"/>
        <v>86</v>
      </c>
      <c r="AN113" s="218">
        <f t="shared" si="102"/>
        <v>9</v>
      </c>
      <c r="AO113" s="38">
        <f t="shared" si="103"/>
        <v>696</v>
      </c>
      <c r="AP113" s="231">
        <v>4.0000000000000001E-3</v>
      </c>
      <c r="AQ113" s="33">
        <f t="shared" si="104"/>
        <v>4.0000000000000001E-3</v>
      </c>
      <c r="AR113" s="33">
        <f>IF(SUM($AO113)=0,"",INDEX(Cascade!$BG:$BG,MATCH($E113,Cascade!$E:$E,0)))</f>
        <v>0.95</v>
      </c>
      <c r="AS113" s="218">
        <f t="shared" si="105"/>
        <v>3</v>
      </c>
      <c r="AT113" s="218">
        <f t="shared" si="106"/>
        <v>693</v>
      </c>
      <c r="AU113" s="38">
        <f t="shared" si="107"/>
        <v>3</v>
      </c>
      <c r="AV113" s="38">
        <f t="shared" si="108"/>
        <v>81</v>
      </c>
      <c r="AW113" s="38">
        <f>IFERROR(1/(1/INDEX(Cascade!$BH:$BH,MATCH($E113,Cascade!$E:$E,0))),"")</f>
        <v>72</v>
      </c>
      <c r="AX113" s="38">
        <f t="shared" si="109"/>
        <v>8</v>
      </c>
      <c r="AY113" s="38">
        <f t="shared" si="110"/>
        <v>3</v>
      </c>
      <c r="AZ113" s="38">
        <f>IFERROR(1/(1/INDEX(TB!$P:$P,MATCH($E113,TB!$E:$E,0))),"")</f>
        <v>1</v>
      </c>
      <c r="BA113" s="38">
        <f t="shared" si="111"/>
        <v>60</v>
      </c>
    </row>
    <row r="114" spans="1:53" x14ac:dyDescent="0.2">
      <c r="A114" t="str">
        <f>INDEX(Prioritization!$D:$D,MATCH($B114,Prioritization!$A:$A,0))</f>
        <v>4 - Sustained</v>
      </c>
      <c r="B114" t="s">
        <v>311</v>
      </c>
      <c r="C114" t="s">
        <v>478</v>
      </c>
      <c r="D114" t="s">
        <v>30</v>
      </c>
      <c r="E114" t="str">
        <f t="shared" si="84"/>
        <v>Nkhata Bay District [E7zpfyBt7Tw]|50+|Female</v>
      </c>
      <c r="F114" s="38">
        <f>IF(LEFT($B114,4)="_Mil","",INDEX(Cascade!$T:$T,MATCH($E114,Cascade!$E:$E,0)))</f>
        <v>16740</v>
      </c>
      <c r="G114" s="38">
        <f>IF(LEFT($B114,4)="_Mil","",INDEX(Cascade!$U:$U,MATCH($E114,Cascade!$E:$E,0)))</f>
        <v>2156</v>
      </c>
      <c r="H114" s="110">
        <f>IF(LEFT($B114,4)="_Mil","",INDEX(Cascade!$W:$W,MATCH($E114,Cascade!$E:$E,0)))</f>
        <v>0.128782797</v>
      </c>
      <c r="I114" s="38">
        <f>IF(LEFT($B114,4)="_Mil","",INDEX(Cascade!$Z:$Z,MATCH($E114,Cascade!$E:$E,0)))</f>
        <v>1770</v>
      </c>
      <c r="J114" s="33">
        <f>IF(LEFT($B114,4)="_Mil","",INDEX(Cascade!$AA:$AA,MATCH($E114,Cascade!$E:$E,0)))</f>
        <v>0.98751988199999996</v>
      </c>
      <c r="K114" s="218" t="str">
        <f>IF(LEFT($B114,4)="_Mil","",_xlfn.IFNA(ROUND(INDEX(Spectrum!$N:$N,MATCH(RIGHT($B114,13)&amp;"|"&amp;$C114&amp;"|"&amp;$D114&amp;"|"&amp;K$14&amp;"|"&amp;"CY2024Q3",Spectrum!$R:$R,0)),0),""))</f>
        <v/>
      </c>
      <c r="L114" s="218" t="str">
        <f>IF(LEFT($B114,4)="_Mil","",_xlfn.IFNA(ROUND(INDEX(Spectrum!$N:$N,MATCH(RIGHT($B114,13)&amp;"|"&amp;$C114&amp;"|"&amp;$D114&amp;"|"&amp;L$14&amp;"|"&amp;"CY2024Q3",Spectrum!$R:$R,0)),0),""))</f>
        <v/>
      </c>
      <c r="M114" s="218" t="str">
        <f>IF(LEFT($B114,4)="_Mil","",_xlfn.IFNA(ROUND(INDEX(Spectrum!$N:$N,MATCH(RIGHT($B114,13)&amp;"|"&amp;$C114&amp;"|"&amp;$D114&amp;"|"&amp;M$14&amp;"|"&amp;"CY2024Q3",Spectrum!$R:$R,0)),0),""))</f>
        <v/>
      </c>
      <c r="N114" s="218" t="str">
        <f>IF(LEFT($B114,4)="_Mil","",_xlfn.IFNA(ROUND(INDEX(Spectrum!$N:$N,MATCH(RIGHT($B114,13)&amp;"|"&amp;$C114&amp;"|"&amp;$D114&amp;"|"&amp;N$14&amp;"|"&amp;"CY2024Q3",Spectrum!$R:$R,0)),0),""))</f>
        <v/>
      </c>
      <c r="O114" s="218" t="str">
        <f>IF(LEFT($B114,4)="_Mil","",_xlfn.IFNA(ROUND(INDEX(Spectrum!$N:$N,MATCH(RIGHT($B114,13)&amp;"|"&amp;$C114&amp;"|"&amp;$D114&amp;"|"&amp;O$14&amp;"|"&amp;"CY2024Q3",Spectrum!$R:$R,0)),0),""))</f>
        <v/>
      </c>
      <c r="P114" s="218" t="str">
        <f>IF(LEFT($B114,4)="_Mil","",_xlfn.IFNA(ROUND(INDEX(Spectrum!$N:$N,MATCH(RIGHT($B114,13)&amp;"|"&amp;$C114&amp;"|"&amp;$D114&amp;"|"&amp;P$14&amp;"|"&amp;"CY2024Q3",Spectrum!$R:$R,0)),0),""))</f>
        <v/>
      </c>
      <c r="Q114" s="218" t="str">
        <f>IF(LEFT($B114,4)="_Mil","",_xlfn.IFNA(ROUND(INDEX(Spectrum!$N:$N,MATCH(RIGHT($B114,13)&amp;"|"&amp;$C114&amp;"|"&amp;$D114&amp;"|"&amp;Q$14&amp;"|"&amp;"CY2024Q3",Spectrum!$R:$R,0)),0),""))</f>
        <v/>
      </c>
      <c r="R114" s="38"/>
      <c r="S114" s="33">
        <v>0</v>
      </c>
      <c r="T114" s="218" t="str">
        <f t="shared" si="85"/>
        <v/>
      </c>
      <c r="U114" s="33" t="str">
        <f t="shared" si="86"/>
        <v/>
      </c>
      <c r="V114" s="218" t="str">
        <f t="shared" si="87"/>
        <v/>
      </c>
      <c r="W114" s="33">
        <v>0.05</v>
      </c>
      <c r="X114" s="33">
        <f t="shared" si="88"/>
        <v>0.05</v>
      </c>
      <c r="Y114" s="231">
        <v>1.0999999999999999E-2</v>
      </c>
      <c r="Z114" s="33">
        <f t="shared" si="89"/>
        <v>1.0999999999999999E-2</v>
      </c>
      <c r="AA114" s="38" t="str">
        <f t="shared" si="90"/>
        <v/>
      </c>
      <c r="AB114" s="218" t="str">
        <f t="shared" si="91"/>
        <v/>
      </c>
      <c r="AC114" s="218" t="str">
        <f t="shared" si="92"/>
        <v/>
      </c>
      <c r="AD114" s="218" t="str">
        <f t="shared" si="93"/>
        <v/>
      </c>
      <c r="AE114" s="38" t="str">
        <f t="shared" si="94"/>
        <v/>
      </c>
      <c r="AF114" s="218" t="str">
        <f t="shared" si="95"/>
        <v/>
      </c>
      <c r="AG114" s="218" t="str">
        <f t="shared" si="96"/>
        <v/>
      </c>
      <c r="AH114" s="218" t="str">
        <f t="shared" si="97"/>
        <v/>
      </c>
      <c r="AI114" s="33" t="str">
        <f>IF(SUM($AC114)=0,"",INDEX(Cascade!$BG:$BG,MATCH($E114,Cascade!$E:$E,0)))</f>
        <v/>
      </c>
      <c r="AJ114" s="218" t="str">
        <f t="shared" si="98"/>
        <v/>
      </c>
      <c r="AK114" s="218" t="str">
        <f t="shared" si="99"/>
        <v/>
      </c>
      <c r="AL114" s="218" t="str">
        <f t="shared" si="100"/>
        <v/>
      </c>
      <c r="AM114" s="218" t="str">
        <f t="shared" si="101"/>
        <v/>
      </c>
      <c r="AN114" s="218" t="str">
        <f t="shared" si="102"/>
        <v/>
      </c>
      <c r="AO114" s="38" t="str">
        <f t="shared" si="103"/>
        <v/>
      </c>
      <c r="AP114" s="231">
        <v>4.0000000000000001E-3</v>
      </c>
      <c r="AQ114" s="33">
        <f t="shared" si="104"/>
        <v>4.0000000000000001E-3</v>
      </c>
      <c r="AR114" s="33" t="str">
        <f>IF(SUM($AO114)=0,"",INDEX(Cascade!$BG:$BG,MATCH($E114,Cascade!$E:$E,0)))</f>
        <v/>
      </c>
      <c r="AS114" s="218" t="str">
        <f t="shared" si="105"/>
        <v/>
      </c>
      <c r="AT114" s="218" t="str">
        <f t="shared" si="106"/>
        <v/>
      </c>
      <c r="AU114" s="38" t="str">
        <f t="shared" si="107"/>
        <v/>
      </c>
      <c r="AV114" s="38" t="str">
        <f t="shared" si="108"/>
        <v/>
      </c>
      <c r="AW114" s="38">
        <f>IFERROR(1/(1/INDEX(Cascade!$BH:$BH,MATCH($E114,Cascade!$E:$E,0))),"")</f>
        <v>79</v>
      </c>
      <c r="AX114" s="38" t="str">
        <f t="shared" si="109"/>
        <v/>
      </c>
      <c r="AY114" s="38" t="str">
        <f t="shared" si="110"/>
        <v/>
      </c>
      <c r="AZ114" s="38" t="str">
        <f>IFERROR(1/(1/INDEX(TB!$P:$P,MATCH($E114,TB!$E:$E,0))),"")</f>
        <v/>
      </c>
      <c r="BA114" s="38">
        <f t="shared" si="111"/>
        <v>79</v>
      </c>
    </row>
    <row r="115" spans="1:53" x14ac:dyDescent="0.2">
      <c r="A115" t="str">
        <f>INDEX(Prioritization!$D:$D,MATCH($B115,Prioritization!$A:$A,0))</f>
        <v>4 - Sustained</v>
      </c>
      <c r="B115" t="s">
        <v>303</v>
      </c>
      <c r="C115" t="s">
        <v>474</v>
      </c>
      <c r="D115" t="s">
        <v>30</v>
      </c>
      <c r="E115" t="str">
        <f t="shared" si="84"/>
        <v>Nkhotakota District [YCKiBAp8QAg]|10-14|Female</v>
      </c>
      <c r="F115" s="38">
        <f>IF(LEFT($B115,4)="_Mil","",INDEX(Cascade!$T:$T,MATCH($E115,Cascade!$E:$E,0)))</f>
        <v>32630</v>
      </c>
      <c r="G115" s="38">
        <f>IF(LEFT($B115,4)="_Mil","",INDEX(Cascade!$U:$U,MATCH($E115,Cascade!$E:$E,0)))</f>
        <v>191</v>
      </c>
      <c r="H115" s="110">
        <f>IF(LEFT($B115,4)="_Mil","",INDEX(Cascade!$W:$W,MATCH($E115,Cascade!$E:$E,0)))</f>
        <v>5.8517439999999999E-3</v>
      </c>
      <c r="I115" s="38">
        <f>IF(LEFT($B115,4)="_Mil","",INDEX(Cascade!$Z:$Z,MATCH($E115,Cascade!$E:$E,0)))</f>
        <v>152</v>
      </c>
      <c r="J115" s="33">
        <f>IF(LEFT($B115,4)="_Mil","",INDEX(Cascade!$AA:$AA,MATCH($E115,Cascade!$E:$E,0)))</f>
        <v>0.72282444800000001</v>
      </c>
      <c r="K115" s="218" t="str">
        <f>IF(LEFT($B115,4)="_Mil","",_xlfn.IFNA(ROUND(INDEX(Spectrum!$N:$N,MATCH(RIGHT($B115,13)&amp;"|"&amp;$C115&amp;"|"&amp;$D115&amp;"|"&amp;K$14&amp;"|"&amp;"CY2024Q3",Spectrum!$R:$R,0)),0),""))</f>
        <v/>
      </c>
      <c r="L115" s="218" t="str">
        <f>IF(LEFT($B115,4)="_Mil","",_xlfn.IFNA(ROUND(INDEX(Spectrum!$N:$N,MATCH(RIGHT($B115,13)&amp;"|"&amp;$C115&amp;"|"&amp;$D115&amp;"|"&amp;L$14&amp;"|"&amp;"CY2024Q3",Spectrum!$R:$R,0)),0),""))</f>
        <v/>
      </c>
      <c r="M115" s="218" t="str">
        <f>IF(LEFT($B115,4)="_Mil","",_xlfn.IFNA(ROUND(INDEX(Spectrum!$N:$N,MATCH(RIGHT($B115,13)&amp;"|"&amp;$C115&amp;"|"&amp;$D115&amp;"|"&amp;M$14&amp;"|"&amp;"CY2024Q3",Spectrum!$R:$R,0)),0),""))</f>
        <v/>
      </c>
      <c r="N115" s="218" t="str">
        <f>IF(LEFT($B115,4)="_Mil","",_xlfn.IFNA(ROUND(INDEX(Spectrum!$N:$N,MATCH(RIGHT($B115,13)&amp;"|"&amp;$C115&amp;"|"&amp;$D115&amp;"|"&amp;N$14&amp;"|"&amp;"CY2024Q3",Spectrum!$R:$R,0)),0),""))</f>
        <v/>
      </c>
      <c r="O115" s="218" t="str">
        <f>IF(LEFT($B115,4)="_Mil","",_xlfn.IFNA(ROUND(INDEX(Spectrum!$N:$N,MATCH(RIGHT($B115,13)&amp;"|"&amp;$C115&amp;"|"&amp;$D115&amp;"|"&amp;O$14&amp;"|"&amp;"CY2024Q3",Spectrum!$R:$R,0)),0),""))</f>
        <v/>
      </c>
      <c r="P115" s="218" t="str">
        <f>IF(LEFT($B115,4)="_Mil","",_xlfn.IFNA(ROUND(INDEX(Spectrum!$N:$N,MATCH(RIGHT($B115,13)&amp;"|"&amp;$C115&amp;"|"&amp;$D115&amp;"|"&amp;P$14&amp;"|"&amp;"CY2024Q3",Spectrum!$R:$R,0)),0),""))</f>
        <v/>
      </c>
      <c r="Q115" s="218" t="str">
        <f>IF(LEFT($B115,4)="_Mil","",_xlfn.IFNA(ROUND(INDEX(Spectrum!$N:$N,MATCH(RIGHT($B115,13)&amp;"|"&amp;$C115&amp;"|"&amp;$D115&amp;"|"&amp;Q$14&amp;"|"&amp;"CY2024Q3",Spectrum!$R:$R,0)),0),""))</f>
        <v/>
      </c>
      <c r="R115" s="38">
        <v>50</v>
      </c>
      <c r="S115" s="33">
        <v>0</v>
      </c>
      <c r="T115" s="218">
        <f t="shared" si="85"/>
        <v>50</v>
      </c>
      <c r="U115" s="33">
        <f t="shared" si="86"/>
        <v>1</v>
      </c>
      <c r="V115" s="218">
        <f t="shared" si="87"/>
        <v>50</v>
      </c>
      <c r="W115" s="33">
        <v>7.4000000000000003E-3</v>
      </c>
      <c r="X115" s="33">
        <f t="shared" si="88"/>
        <v>7.4000000000000003E-3</v>
      </c>
      <c r="Y115" s="231">
        <v>1.0999999999999999E-2</v>
      </c>
      <c r="Z115" s="33">
        <f t="shared" si="89"/>
        <v>1.0999999999999999E-2</v>
      </c>
      <c r="AA115" s="38">
        <f t="shared" si="90"/>
        <v>50</v>
      </c>
      <c r="AB115" s="218">
        <f t="shared" si="91"/>
        <v>0</v>
      </c>
      <c r="AC115" s="218">
        <f t="shared" si="92"/>
        <v>1</v>
      </c>
      <c r="AD115" s="218">
        <f t="shared" si="93"/>
        <v>49</v>
      </c>
      <c r="AE115" s="38">
        <f t="shared" si="94"/>
        <v>50</v>
      </c>
      <c r="AF115" s="218">
        <f t="shared" si="95"/>
        <v>0</v>
      </c>
      <c r="AG115" s="218">
        <f t="shared" si="96"/>
        <v>1</v>
      </c>
      <c r="AH115" s="218">
        <f t="shared" si="97"/>
        <v>49</v>
      </c>
      <c r="AI115" s="33">
        <f>IF(SUM($AC115)=0,"",INDEX(Cascade!$BG:$BG,MATCH($E115,Cascade!$E:$E,0)))</f>
        <v>0.95</v>
      </c>
      <c r="AJ115" s="218">
        <f t="shared" si="98"/>
        <v>0</v>
      </c>
      <c r="AK115" s="218">
        <f t="shared" si="99"/>
        <v>1</v>
      </c>
      <c r="AL115" s="218">
        <f t="shared" si="100"/>
        <v>1</v>
      </c>
      <c r="AM115" s="218">
        <f t="shared" si="101"/>
        <v>0</v>
      </c>
      <c r="AN115" s="218">
        <f t="shared" si="102"/>
        <v>1</v>
      </c>
      <c r="AO115" s="38">
        <f t="shared" si="103"/>
        <v>49.000000000000007</v>
      </c>
      <c r="AP115" s="231">
        <v>4.0000000000000001E-3</v>
      </c>
      <c r="AQ115" s="33">
        <f t="shared" si="104"/>
        <v>4.0000000000000001E-3</v>
      </c>
      <c r="AR115" s="33">
        <f>IF(SUM($AO115)=0,"",INDEX(Cascade!$BG:$BG,MATCH($E115,Cascade!$E:$E,0)))</f>
        <v>0.95</v>
      </c>
      <c r="AS115" s="218">
        <f t="shared" si="105"/>
        <v>0</v>
      </c>
      <c r="AT115" s="218">
        <f t="shared" si="106"/>
        <v>49.000000000000007</v>
      </c>
      <c r="AU115" s="38" t="str">
        <f t="shared" si="107"/>
        <v/>
      </c>
      <c r="AV115" s="38">
        <f t="shared" si="108"/>
        <v>1</v>
      </c>
      <c r="AW115" s="38">
        <f>IFERROR(1/(1/INDEX(Cascade!$BH:$BH,MATCH($E115,Cascade!$E:$E,0))),"")</f>
        <v>17</v>
      </c>
      <c r="AX115" s="38">
        <f t="shared" si="109"/>
        <v>1</v>
      </c>
      <c r="AY115" s="38" t="str">
        <f t="shared" si="110"/>
        <v/>
      </c>
      <c r="AZ115" s="38" t="str">
        <f>IFERROR(1/(1/INDEX(TB!$P:$P,MATCH($E115,TB!$E:$E,0))),"")</f>
        <v/>
      </c>
      <c r="BA115" s="38">
        <f t="shared" si="111"/>
        <v>16</v>
      </c>
    </row>
    <row r="116" spans="1:53" x14ac:dyDescent="0.2">
      <c r="A116" t="str">
        <f>INDEX(Prioritization!$D:$D,MATCH($B116,Prioritization!$A:$A,0))</f>
        <v>4 - Sustained</v>
      </c>
      <c r="B116" t="s">
        <v>303</v>
      </c>
      <c r="C116" t="s">
        <v>475</v>
      </c>
      <c r="D116" t="s">
        <v>30</v>
      </c>
      <c r="E116" t="str">
        <f t="shared" si="84"/>
        <v>Nkhotakota District [YCKiBAp8QAg]|15-24|Female</v>
      </c>
      <c r="F116" s="38">
        <f>IF(LEFT($B116,4)="_Mil","",INDEX(Cascade!$T:$T,MATCH($E116,Cascade!$E:$E,0)))</f>
        <v>53085</v>
      </c>
      <c r="G116" s="38">
        <f>IF(LEFT($B116,4)="_Mil","",INDEX(Cascade!$U:$U,MATCH($E116,Cascade!$E:$E,0)))</f>
        <v>652</v>
      </c>
      <c r="H116" s="110">
        <f>IF(LEFT($B116,4)="_Mil","",INDEX(Cascade!$W:$W,MATCH($E116,Cascade!$E:$E,0)))</f>
        <v>1.2286593E-2</v>
      </c>
      <c r="I116" s="38">
        <f>IF(LEFT($B116,4)="_Mil","",INDEX(Cascade!$Z:$Z,MATCH($E116,Cascade!$E:$E,0)))</f>
        <v>682</v>
      </c>
      <c r="J116" s="33">
        <f>IF(LEFT($B116,4)="_Mil","",INDEX(Cascade!$AA:$AA,MATCH($E116,Cascade!$E:$E,0)))</f>
        <v>0.93421819900000003</v>
      </c>
      <c r="K116" s="218">
        <f>IF(LEFT($B116,4)="_Mil","",_xlfn.IFNA(ROUND(INDEX(Spectrum!$N:$N,MATCH(RIGHT($B116,13)&amp;"|"&amp;$C116&amp;"|"&amp;$D116&amp;"|"&amp;K$14&amp;"|"&amp;"CY2024Q3",Spectrum!$R:$R,0)),0),""))</f>
        <v>8369</v>
      </c>
      <c r="L116" s="218">
        <f>IF(LEFT($B116,4)="_Mil","",_xlfn.IFNA(ROUND(INDEX(Spectrum!$N:$N,MATCH(RIGHT($B116,13)&amp;"|"&amp;$C116&amp;"|"&amp;$D116&amp;"|"&amp;L$14&amp;"|"&amp;"CY2024Q3",Spectrum!$R:$R,0)),0),""))</f>
        <v>65</v>
      </c>
      <c r="M116" s="218">
        <f>IF(LEFT($B116,4)="_Mil","",_xlfn.IFNA(ROUND(INDEX(Spectrum!$N:$N,MATCH(RIGHT($B116,13)&amp;"|"&amp;$C116&amp;"|"&amp;$D116&amp;"|"&amp;M$14&amp;"|"&amp;"CY2024Q3",Spectrum!$R:$R,0)),0),""))</f>
        <v>47</v>
      </c>
      <c r="N116" s="218">
        <f>IF(LEFT($B116,4)="_Mil","",_xlfn.IFNA(ROUND(INDEX(Spectrum!$N:$N,MATCH(RIGHT($B116,13)&amp;"|"&amp;$C116&amp;"|"&amp;$D116&amp;"|"&amp;N$14&amp;"|"&amp;"CY2024Q3",Spectrum!$R:$R,0)),0),""))</f>
        <v>8257</v>
      </c>
      <c r="O116" s="218">
        <f>IF(LEFT($B116,4)="_Mil","",_xlfn.IFNA(ROUND(INDEX(Spectrum!$N:$N,MATCH(RIGHT($B116,13)&amp;"|"&amp;$C116&amp;"|"&amp;$D116&amp;"|"&amp;O$14&amp;"|"&amp;"CY2024Q3",Spectrum!$R:$R,0)),0),""))</f>
        <v>112</v>
      </c>
      <c r="P116" s="218">
        <f>IF(LEFT($B116,4)="_Mil","",_xlfn.IFNA(ROUND(INDEX(Spectrum!$N:$N,MATCH(RIGHT($B116,13)&amp;"|"&amp;$C116&amp;"|"&amp;$D116&amp;"|"&amp;P$14&amp;"|"&amp;"CY2024Q3",Spectrum!$R:$R,0)),0),""))</f>
        <v>65</v>
      </c>
      <c r="Q116" s="218">
        <f>IF(LEFT($B116,4)="_Mil","",_xlfn.IFNA(ROUND(INDEX(Spectrum!$N:$N,MATCH(RIGHT($B116,13)&amp;"|"&amp;$C116&amp;"|"&amp;$D116&amp;"|"&amp;Q$14&amp;"|"&amp;"CY2024Q3",Spectrum!$R:$R,0)),0),""))</f>
        <v>47</v>
      </c>
      <c r="R116" s="38">
        <v>4028</v>
      </c>
      <c r="S116" s="33">
        <v>0</v>
      </c>
      <c r="T116" s="218">
        <f t="shared" si="85"/>
        <v>4028</v>
      </c>
      <c r="U116" s="33">
        <f t="shared" si="86"/>
        <v>0.48130003584657666</v>
      </c>
      <c r="V116" s="218">
        <f t="shared" si="87"/>
        <v>8369</v>
      </c>
      <c r="W116" s="33">
        <v>7.4000000000000003E-3</v>
      </c>
      <c r="X116" s="33">
        <f t="shared" si="88"/>
        <v>7.7667582745847771E-3</v>
      </c>
      <c r="Y116" s="231">
        <v>1.0999999999999999E-2</v>
      </c>
      <c r="Z116" s="33">
        <f t="shared" si="89"/>
        <v>5.6599229287090562E-3</v>
      </c>
      <c r="AA116" s="38">
        <f t="shared" si="90"/>
        <v>4028</v>
      </c>
      <c r="AB116" s="218">
        <f t="shared" si="91"/>
        <v>31</v>
      </c>
      <c r="AC116" s="218">
        <f t="shared" si="92"/>
        <v>23</v>
      </c>
      <c r="AD116" s="218">
        <f t="shared" si="93"/>
        <v>3974</v>
      </c>
      <c r="AE116" s="38">
        <f t="shared" si="94"/>
        <v>8369</v>
      </c>
      <c r="AF116" s="218">
        <f t="shared" si="95"/>
        <v>65</v>
      </c>
      <c r="AG116" s="218">
        <f t="shared" si="96"/>
        <v>47</v>
      </c>
      <c r="AH116" s="218">
        <f t="shared" si="97"/>
        <v>8257</v>
      </c>
      <c r="AI116" s="33">
        <f>IF(SUM($AC116)=0,"",INDEX(Cascade!$BG:$BG,MATCH($E116,Cascade!$E:$E,0)))</f>
        <v>0.95</v>
      </c>
      <c r="AJ116" s="218">
        <f t="shared" si="98"/>
        <v>31</v>
      </c>
      <c r="AK116" s="218">
        <f t="shared" si="99"/>
        <v>22</v>
      </c>
      <c r="AL116" s="218">
        <f t="shared" si="100"/>
        <v>112</v>
      </c>
      <c r="AM116" s="218">
        <f t="shared" si="101"/>
        <v>65</v>
      </c>
      <c r="AN116" s="218">
        <f t="shared" si="102"/>
        <v>45</v>
      </c>
      <c r="AO116" s="38">
        <f t="shared" si="103"/>
        <v>3974</v>
      </c>
      <c r="AP116" s="231">
        <v>4.0000000000000001E-3</v>
      </c>
      <c r="AQ116" s="33">
        <f t="shared" si="104"/>
        <v>4.0000000000000001E-3</v>
      </c>
      <c r="AR116" s="33">
        <f>IF(SUM($AO116)=0,"",INDEX(Cascade!$BG:$BG,MATCH($E116,Cascade!$E:$E,0)))</f>
        <v>0.95</v>
      </c>
      <c r="AS116" s="218">
        <f t="shared" si="105"/>
        <v>16</v>
      </c>
      <c r="AT116" s="218">
        <f t="shared" si="106"/>
        <v>3958</v>
      </c>
      <c r="AU116" s="38">
        <f t="shared" si="107"/>
        <v>15</v>
      </c>
      <c r="AV116" s="38">
        <f t="shared" si="108"/>
        <v>70</v>
      </c>
      <c r="AW116" s="38">
        <f>IFERROR(1/(1/INDEX(Cascade!$BH:$BH,MATCH($E116,Cascade!$E:$E,0))),"")</f>
        <v>91</v>
      </c>
      <c r="AX116" s="38">
        <f t="shared" si="109"/>
        <v>23</v>
      </c>
      <c r="AY116" s="38">
        <f t="shared" si="110"/>
        <v>16</v>
      </c>
      <c r="AZ116" s="38">
        <f>IFERROR(1/(1/INDEX(TB!$P:$P,MATCH($E116,TB!$E:$E,0))),"")</f>
        <v>1</v>
      </c>
      <c r="BA116" s="38">
        <f t="shared" si="111"/>
        <v>51</v>
      </c>
    </row>
    <row r="117" spans="1:53" x14ac:dyDescent="0.2">
      <c r="A117" t="str">
        <f>INDEX(Prioritization!$D:$D,MATCH($B117,Prioritization!$A:$A,0))</f>
        <v>4 - Sustained</v>
      </c>
      <c r="B117" t="s">
        <v>303</v>
      </c>
      <c r="C117" t="s">
        <v>476</v>
      </c>
      <c r="D117" t="s">
        <v>30</v>
      </c>
      <c r="E117" t="str">
        <f t="shared" si="84"/>
        <v>Nkhotakota District [YCKiBAp8QAg]|25-34|Female</v>
      </c>
      <c r="F117" s="38">
        <f>IF(LEFT($B117,4)="_Mil","",INDEX(Cascade!$T:$T,MATCH($E117,Cascade!$E:$E,0)))</f>
        <v>34640</v>
      </c>
      <c r="G117" s="38">
        <f>IF(LEFT($B117,4)="_Mil","",INDEX(Cascade!$U:$U,MATCH($E117,Cascade!$E:$E,0)))</f>
        <v>1575</v>
      </c>
      <c r="H117" s="110">
        <f>IF(LEFT($B117,4)="_Mil","",INDEX(Cascade!$W:$W,MATCH($E117,Cascade!$E:$E,0)))</f>
        <v>4.5468874999999999E-2</v>
      </c>
      <c r="I117" s="38">
        <f>IF(LEFT($B117,4)="_Mil","",INDEX(Cascade!$Z:$Z,MATCH($E117,Cascade!$E:$E,0)))</f>
        <v>1696</v>
      </c>
      <c r="J117" s="33">
        <f>IF(LEFT($B117,4)="_Mil","",INDEX(Cascade!$AA:$AA,MATCH($E117,Cascade!$E:$E,0)))</f>
        <v>0.96493463199999996</v>
      </c>
      <c r="K117" s="218">
        <f>IF(LEFT($B117,4)="_Mil","",_xlfn.IFNA(ROUND(INDEX(Spectrum!$N:$N,MATCH(RIGHT($B117,13)&amp;"|"&amp;$C117&amp;"|"&amp;$D117&amp;"|"&amp;K$14&amp;"|"&amp;"CY2024Q3",Spectrum!$R:$R,0)),0),""))</f>
        <v>5307</v>
      </c>
      <c r="L117" s="218">
        <f>IF(LEFT($B117,4)="_Mil","",_xlfn.IFNA(ROUND(INDEX(Spectrum!$N:$N,MATCH(RIGHT($B117,13)&amp;"|"&amp;$C117&amp;"|"&amp;$D117&amp;"|"&amp;L$14&amp;"|"&amp;"CY2024Q3",Spectrum!$R:$R,0)),0),""))</f>
        <v>124</v>
      </c>
      <c r="M117" s="218">
        <f>IF(LEFT($B117,4)="_Mil","",_xlfn.IFNA(ROUND(INDEX(Spectrum!$N:$N,MATCH(RIGHT($B117,13)&amp;"|"&amp;$C117&amp;"|"&amp;$D117&amp;"|"&amp;M$14&amp;"|"&amp;"CY2024Q3",Spectrum!$R:$R,0)),0),""))</f>
        <v>65</v>
      </c>
      <c r="N117" s="218">
        <f>IF(LEFT($B117,4)="_Mil","",_xlfn.IFNA(ROUND(INDEX(Spectrum!$N:$N,MATCH(RIGHT($B117,13)&amp;"|"&amp;$C117&amp;"|"&amp;$D117&amp;"|"&amp;N$14&amp;"|"&amp;"CY2024Q3",Spectrum!$R:$R,0)),0),""))</f>
        <v>5118</v>
      </c>
      <c r="O117" s="218">
        <f>IF(LEFT($B117,4)="_Mil","",_xlfn.IFNA(ROUND(INDEX(Spectrum!$N:$N,MATCH(RIGHT($B117,13)&amp;"|"&amp;$C117&amp;"|"&amp;$D117&amp;"|"&amp;O$14&amp;"|"&amp;"CY2024Q3",Spectrum!$R:$R,0)),0),""))</f>
        <v>189</v>
      </c>
      <c r="P117" s="218">
        <f>IF(LEFT($B117,4)="_Mil","",_xlfn.IFNA(ROUND(INDEX(Spectrum!$N:$N,MATCH(RIGHT($B117,13)&amp;"|"&amp;$C117&amp;"|"&amp;$D117&amp;"|"&amp;P$14&amp;"|"&amp;"CY2024Q3",Spectrum!$R:$R,0)),0),""))</f>
        <v>124</v>
      </c>
      <c r="Q117" s="218">
        <f>IF(LEFT($B117,4)="_Mil","",_xlfn.IFNA(ROUND(INDEX(Spectrum!$N:$N,MATCH(RIGHT($B117,13)&amp;"|"&amp;$C117&amp;"|"&amp;$D117&amp;"|"&amp;Q$14&amp;"|"&amp;"CY2024Q3",Spectrum!$R:$R,0)),0),""))</f>
        <v>65</v>
      </c>
      <c r="R117" s="38">
        <v>5878</v>
      </c>
      <c r="S117" s="33">
        <v>0</v>
      </c>
      <c r="T117" s="218">
        <f t="shared" si="85"/>
        <v>5878</v>
      </c>
      <c r="U117" s="33">
        <f t="shared" si="86"/>
        <v>1</v>
      </c>
      <c r="V117" s="218">
        <f t="shared" si="87"/>
        <v>5878</v>
      </c>
      <c r="W117" s="33">
        <v>3.7999999999999999E-2</v>
      </c>
      <c r="X117" s="33">
        <f t="shared" si="88"/>
        <v>3.7999999999999999E-2</v>
      </c>
      <c r="Y117" s="231">
        <v>1.0999999999999999E-2</v>
      </c>
      <c r="Z117" s="33">
        <f t="shared" si="89"/>
        <v>1.0999999999999999E-2</v>
      </c>
      <c r="AA117" s="38">
        <f t="shared" si="90"/>
        <v>5878</v>
      </c>
      <c r="AB117" s="218">
        <f t="shared" si="91"/>
        <v>223</v>
      </c>
      <c r="AC117" s="218">
        <f t="shared" si="92"/>
        <v>62</v>
      </c>
      <c r="AD117" s="218">
        <f t="shared" si="93"/>
        <v>5593</v>
      </c>
      <c r="AE117" s="38">
        <f t="shared" si="94"/>
        <v>5878</v>
      </c>
      <c r="AF117" s="218">
        <f t="shared" si="95"/>
        <v>223</v>
      </c>
      <c r="AG117" s="218">
        <f t="shared" si="96"/>
        <v>62</v>
      </c>
      <c r="AH117" s="218">
        <f t="shared" si="97"/>
        <v>5593</v>
      </c>
      <c r="AI117" s="33">
        <f>IF(SUM($AC117)=0,"",INDEX(Cascade!$BG:$BG,MATCH($E117,Cascade!$E:$E,0)))</f>
        <v>0.95</v>
      </c>
      <c r="AJ117" s="218">
        <f t="shared" si="98"/>
        <v>223</v>
      </c>
      <c r="AK117" s="218">
        <f t="shared" si="99"/>
        <v>59</v>
      </c>
      <c r="AL117" s="218">
        <f t="shared" si="100"/>
        <v>285</v>
      </c>
      <c r="AM117" s="218">
        <f t="shared" si="101"/>
        <v>223</v>
      </c>
      <c r="AN117" s="218">
        <f t="shared" si="102"/>
        <v>59</v>
      </c>
      <c r="AO117" s="38">
        <f t="shared" si="103"/>
        <v>5593</v>
      </c>
      <c r="AP117" s="231">
        <v>4.0000000000000001E-3</v>
      </c>
      <c r="AQ117" s="33">
        <f t="shared" si="104"/>
        <v>4.0000000000000001E-3</v>
      </c>
      <c r="AR117" s="33">
        <f>IF(SUM($AO117)=0,"",INDEX(Cascade!$BG:$BG,MATCH($E117,Cascade!$E:$E,0)))</f>
        <v>0.95</v>
      </c>
      <c r="AS117" s="218">
        <f t="shared" si="105"/>
        <v>22</v>
      </c>
      <c r="AT117" s="218">
        <f t="shared" si="106"/>
        <v>5571</v>
      </c>
      <c r="AU117" s="38">
        <f t="shared" si="107"/>
        <v>21</v>
      </c>
      <c r="AV117" s="38">
        <f t="shared" si="108"/>
        <v>307</v>
      </c>
      <c r="AW117" s="38">
        <f>IFERROR(1/(1/INDEX(Cascade!$BH:$BH,MATCH($E117,Cascade!$E:$E,0))),"")</f>
        <v>226</v>
      </c>
      <c r="AX117" s="38">
        <f t="shared" si="109"/>
        <v>62</v>
      </c>
      <c r="AY117" s="38">
        <f t="shared" si="110"/>
        <v>22</v>
      </c>
      <c r="AZ117" s="38">
        <f>IFERROR(1/(1/INDEX(TB!$P:$P,MATCH($E117,TB!$E:$E,0))),"")</f>
        <v>1</v>
      </c>
      <c r="BA117" s="38">
        <f t="shared" si="111"/>
        <v>141</v>
      </c>
    </row>
    <row r="118" spans="1:53" x14ac:dyDescent="0.2">
      <c r="A118" t="str">
        <f>INDEX(Prioritization!$D:$D,MATCH($B118,Prioritization!$A:$A,0))</f>
        <v>4 - Sustained</v>
      </c>
      <c r="B118" t="s">
        <v>303</v>
      </c>
      <c r="C118" t="s">
        <v>477</v>
      </c>
      <c r="D118" t="s">
        <v>30</v>
      </c>
      <c r="E118" t="str">
        <f t="shared" si="84"/>
        <v>Nkhotakota District [YCKiBAp8QAg]|35-49|Female</v>
      </c>
      <c r="F118" s="38">
        <f>IF(LEFT($B118,4)="_Mil","",INDEX(Cascade!$T:$T,MATCH($E118,Cascade!$E:$E,0)))</f>
        <v>34201</v>
      </c>
      <c r="G118" s="38">
        <f>IF(LEFT($B118,4)="_Mil","",INDEX(Cascade!$U:$U,MATCH($E118,Cascade!$E:$E,0)))</f>
        <v>4069</v>
      </c>
      <c r="H118" s="110">
        <f>IF(LEFT($B118,4)="_Mil","",INDEX(Cascade!$W:$W,MATCH($E118,Cascade!$E:$E,0)))</f>
        <v>0.118977256</v>
      </c>
      <c r="I118" s="38">
        <f>IF(LEFT($B118,4)="_Mil","",INDEX(Cascade!$Z:$Z,MATCH($E118,Cascade!$E:$E,0)))</f>
        <v>4499</v>
      </c>
      <c r="J118" s="33">
        <f>IF(LEFT($B118,4)="_Mil","",INDEX(Cascade!$AA:$AA,MATCH($E118,Cascade!$E:$E,0)))</f>
        <v>0.98257627400000003</v>
      </c>
      <c r="K118" s="218">
        <f>IF(LEFT($B118,4)="_Mil","",_xlfn.IFNA(ROUND(INDEX(Spectrum!$N:$N,MATCH(RIGHT($B118,13)&amp;"|"&amp;$C118&amp;"|"&amp;$D118&amp;"|"&amp;K$14&amp;"|"&amp;"CY2024Q3",Spectrum!$R:$R,0)),0),""))</f>
        <v>1945</v>
      </c>
      <c r="L118" s="218">
        <f>IF(LEFT($B118,4)="_Mil","",_xlfn.IFNA(ROUND(INDEX(Spectrum!$N:$N,MATCH(RIGHT($B118,13)&amp;"|"&amp;$C118&amp;"|"&amp;$D118&amp;"|"&amp;L$14&amp;"|"&amp;"CY2024Q3",Spectrum!$R:$R,0)),0),""))</f>
        <v>109</v>
      </c>
      <c r="M118" s="218">
        <f>IF(LEFT($B118,4)="_Mil","",_xlfn.IFNA(ROUND(INDEX(Spectrum!$N:$N,MATCH(RIGHT($B118,13)&amp;"|"&amp;$C118&amp;"|"&amp;$D118&amp;"|"&amp;M$14&amp;"|"&amp;"CY2024Q3",Spectrum!$R:$R,0)),0),""))</f>
        <v>19</v>
      </c>
      <c r="N118" s="218">
        <f>IF(LEFT($B118,4)="_Mil","",_xlfn.IFNA(ROUND(INDEX(Spectrum!$N:$N,MATCH(RIGHT($B118,13)&amp;"|"&amp;$C118&amp;"|"&amp;$D118&amp;"|"&amp;N$14&amp;"|"&amp;"CY2024Q3",Spectrum!$R:$R,0)),0),""))</f>
        <v>1817</v>
      </c>
      <c r="O118" s="218">
        <f>IF(LEFT($B118,4)="_Mil","",_xlfn.IFNA(ROUND(INDEX(Spectrum!$N:$N,MATCH(RIGHT($B118,13)&amp;"|"&amp;$C118&amp;"|"&amp;$D118&amp;"|"&amp;O$14&amp;"|"&amp;"CY2024Q3",Spectrum!$R:$R,0)),0),""))</f>
        <v>128</v>
      </c>
      <c r="P118" s="218">
        <f>IF(LEFT($B118,4)="_Mil","",_xlfn.IFNA(ROUND(INDEX(Spectrum!$N:$N,MATCH(RIGHT($B118,13)&amp;"|"&amp;$C118&amp;"|"&amp;$D118&amp;"|"&amp;P$14&amp;"|"&amp;"CY2024Q3",Spectrum!$R:$R,0)),0),""))</f>
        <v>109</v>
      </c>
      <c r="Q118" s="218">
        <f>IF(LEFT($B118,4)="_Mil","",_xlfn.IFNA(ROUND(INDEX(Spectrum!$N:$N,MATCH(RIGHT($B118,13)&amp;"|"&amp;$C118&amp;"|"&amp;$D118&amp;"|"&amp;Q$14&amp;"|"&amp;"CY2024Q3",Spectrum!$R:$R,0)),0),""))</f>
        <v>19</v>
      </c>
      <c r="R118" s="38">
        <v>1606</v>
      </c>
      <c r="S118" s="33">
        <v>0</v>
      </c>
      <c r="T118" s="218">
        <f t="shared" si="85"/>
        <v>1606</v>
      </c>
      <c r="U118" s="33">
        <f t="shared" si="86"/>
        <v>0.82570694087403596</v>
      </c>
      <c r="V118" s="218">
        <f t="shared" si="87"/>
        <v>1945</v>
      </c>
      <c r="W118" s="33">
        <v>7.8E-2</v>
      </c>
      <c r="X118" s="33">
        <f t="shared" si="88"/>
        <v>7.8E-2</v>
      </c>
      <c r="Y118" s="231">
        <v>1.0999999999999999E-2</v>
      </c>
      <c r="Z118" s="33">
        <f t="shared" si="89"/>
        <v>1.0348583877995643E-2</v>
      </c>
      <c r="AA118" s="38">
        <f t="shared" si="90"/>
        <v>1606</v>
      </c>
      <c r="AB118" s="218">
        <f t="shared" si="91"/>
        <v>125</v>
      </c>
      <c r="AC118" s="218">
        <f t="shared" si="92"/>
        <v>15</v>
      </c>
      <c r="AD118" s="218">
        <f t="shared" si="93"/>
        <v>1466</v>
      </c>
      <c r="AE118" s="38">
        <f t="shared" si="94"/>
        <v>1945</v>
      </c>
      <c r="AF118" s="218">
        <f t="shared" si="95"/>
        <v>152</v>
      </c>
      <c r="AG118" s="218">
        <f t="shared" si="96"/>
        <v>19</v>
      </c>
      <c r="AH118" s="218">
        <f t="shared" si="97"/>
        <v>1774</v>
      </c>
      <c r="AI118" s="33">
        <f>IF(SUM($AC118)=0,"",INDEX(Cascade!$BG:$BG,MATCH($E118,Cascade!$E:$E,0)))</f>
        <v>0.95</v>
      </c>
      <c r="AJ118" s="218">
        <f t="shared" si="98"/>
        <v>125</v>
      </c>
      <c r="AK118" s="218">
        <f t="shared" si="99"/>
        <v>14</v>
      </c>
      <c r="AL118" s="218">
        <f t="shared" si="100"/>
        <v>171</v>
      </c>
      <c r="AM118" s="218">
        <f t="shared" si="101"/>
        <v>152</v>
      </c>
      <c r="AN118" s="218">
        <f t="shared" si="102"/>
        <v>18</v>
      </c>
      <c r="AO118" s="38">
        <f t="shared" si="103"/>
        <v>1466</v>
      </c>
      <c r="AP118" s="231">
        <v>4.0000000000000001E-3</v>
      </c>
      <c r="AQ118" s="33">
        <f t="shared" si="104"/>
        <v>4.0000000000000001E-3</v>
      </c>
      <c r="AR118" s="33">
        <f>IF(SUM($AO118)=0,"",INDEX(Cascade!$BG:$BG,MATCH($E118,Cascade!$E:$E,0)))</f>
        <v>0.95</v>
      </c>
      <c r="AS118" s="218">
        <f t="shared" si="105"/>
        <v>6</v>
      </c>
      <c r="AT118" s="218">
        <f t="shared" si="106"/>
        <v>1460</v>
      </c>
      <c r="AU118" s="38">
        <f t="shared" si="107"/>
        <v>6</v>
      </c>
      <c r="AV118" s="38">
        <f t="shared" si="108"/>
        <v>146</v>
      </c>
      <c r="AW118" s="38">
        <f>IFERROR(1/(1/INDEX(Cascade!$BH:$BH,MATCH($E118,Cascade!$E:$E,0))),"")</f>
        <v>187</v>
      </c>
      <c r="AX118" s="38">
        <f t="shared" si="109"/>
        <v>15</v>
      </c>
      <c r="AY118" s="38">
        <f t="shared" si="110"/>
        <v>6</v>
      </c>
      <c r="AZ118" s="38">
        <f>IFERROR(1/(1/INDEX(TB!$P:$P,MATCH($E118,TB!$E:$E,0))),"")</f>
        <v>2</v>
      </c>
      <c r="BA118" s="38">
        <f t="shared" si="111"/>
        <v>164</v>
      </c>
    </row>
    <row r="119" spans="1:53" x14ac:dyDescent="0.2">
      <c r="A119" t="str">
        <f>INDEX(Prioritization!$D:$D,MATCH($B119,Prioritization!$A:$A,0))</f>
        <v>4 - Sustained</v>
      </c>
      <c r="B119" t="s">
        <v>303</v>
      </c>
      <c r="C119" t="s">
        <v>478</v>
      </c>
      <c r="D119" t="s">
        <v>30</v>
      </c>
      <c r="E119" t="str">
        <f t="shared" si="84"/>
        <v>Nkhotakota District [YCKiBAp8QAg]|50+|Female</v>
      </c>
      <c r="F119" s="38">
        <f>IF(LEFT($B119,4)="_Mil","",INDEX(Cascade!$T:$T,MATCH($E119,Cascade!$E:$E,0)))</f>
        <v>18414</v>
      </c>
      <c r="G119" s="38">
        <f>IF(LEFT($B119,4)="_Mil","",INDEX(Cascade!$U:$U,MATCH($E119,Cascade!$E:$E,0)))</f>
        <v>1797</v>
      </c>
      <c r="H119" s="110">
        <f>IF(LEFT($B119,4)="_Mil","",INDEX(Cascade!$W:$W,MATCH($E119,Cascade!$E:$E,0)))</f>
        <v>9.7609396000000001E-2</v>
      </c>
      <c r="I119" s="38">
        <f>IF(LEFT($B119,4)="_Mil","",INDEX(Cascade!$Z:$Z,MATCH($E119,Cascade!$E:$E,0)))</f>
        <v>2013</v>
      </c>
      <c r="J119" s="33">
        <f>IF(LEFT($B119,4)="_Mil","",INDEX(Cascade!$AA:$AA,MATCH($E119,Cascade!$E:$E,0)))</f>
        <v>0.98803872700000006</v>
      </c>
      <c r="K119" s="218" t="str">
        <f>IF(LEFT($B119,4)="_Mil","",_xlfn.IFNA(ROUND(INDEX(Spectrum!$N:$N,MATCH(RIGHT($B119,13)&amp;"|"&amp;$C119&amp;"|"&amp;$D119&amp;"|"&amp;K$14&amp;"|"&amp;"CY2024Q3",Spectrum!$R:$R,0)),0),""))</f>
        <v/>
      </c>
      <c r="L119" s="218" t="str">
        <f>IF(LEFT($B119,4)="_Mil","",_xlfn.IFNA(ROUND(INDEX(Spectrum!$N:$N,MATCH(RIGHT($B119,13)&amp;"|"&amp;$C119&amp;"|"&amp;$D119&amp;"|"&amp;L$14&amp;"|"&amp;"CY2024Q3",Spectrum!$R:$R,0)),0),""))</f>
        <v/>
      </c>
      <c r="M119" s="218" t="str">
        <f>IF(LEFT($B119,4)="_Mil","",_xlfn.IFNA(ROUND(INDEX(Spectrum!$N:$N,MATCH(RIGHT($B119,13)&amp;"|"&amp;$C119&amp;"|"&amp;$D119&amp;"|"&amp;M$14&amp;"|"&amp;"CY2024Q3",Spectrum!$R:$R,0)),0),""))</f>
        <v/>
      </c>
      <c r="N119" s="218" t="str">
        <f>IF(LEFT($B119,4)="_Mil","",_xlfn.IFNA(ROUND(INDEX(Spectrum!$N:$N,MATCH(RIGHT($B119,13)&amp;"|"&amp;$C119&amp;"|"&amp;$D119&amp;"|"&amp;N$14&amp;"|"&amp;"CY2024Q3",Spectrum!$R:$R,0)),0),""))</f>
        <v/>
      </c>
      <c r="O119" s="218" t="str">
        <f>IF(LEFT($B119,4)="_Mil","",_xlfn.IFNA(ROUND(INDEX(Spectrum!$N:$N,MATCH(RIGHT($B119,13)&amp;"|"&amp;$C119&amp;"|"&amp;$D119&amp;"|"&amp;O$14&amp;"|"&amp;"CY2024Q3",Spectrum!$R:$R,0)),0),""))</f>
        <v/>
      </c>
      <c r="P119" s="218" t="str">
        <f>IF(LEFT($B119,4)="_Mil","",_xlfn.IFNA(ROUND(INDEX(Spectrum!$N:$N,MATCH(RIGHT($B119,13)&amp;"|"&amp;$C119&amp;"|"&amp;$D119&amp;"|"&amp;P$14&amp;"|"&amp;"CY2024Q3",Spectrum!$R:$R,0)),0),""))</f>
        <v/>
      </c>
      <c r="Q119" s="218" t="str">
        <f>IF(LEFT($B119,4)="_Mil","",_xlfn.IFNA(ROUND(INDEX(Spectrum!$N:$N,MATCH(RIGHT($B119,13)&amp;"|"&amp;$C119&amp;"|"&amp;$D119&amp;"|"&amp;Q$14&amp;"|"&amp;"CY2024Q3",Spectrum!$R:$R,0)),0),""))</f>
        <v/>
      </c>
      <c r="R119" s="38"/>
      <c r="S119" s="33">
        <v>0</v>
      </c>
      <c r="T119" s="218" t="str">
        <f t="shared" si="85"/>
        <v/>
      </c>
      <c r="U119" s="33" t="str">
        <f t="shared" si="86"/>
        <v/>
      </c>
      <c r="V119" s="218" t="str">
        <f t="shared" si="87"/>
        <v/>
      </c>
      <c r="W119" s="33">
        <v>7.8E-2</v>
      </c>
      <c r="X119" s="33">
        <f t="shared" si="88"/>
        <v>7.8E-2</v>
      </c>
      <c r="Y119" s="231">
        <v>1.0999999999999999E-2</v>
      </c>
      <c r="Z119" s="33">
        <f t="shared" si="89"/>
        <v>1.0999999999999999E-2</v>
      </c>
      <c r="AA119" s="38" t="str">
        <f t="shared" si="90"/>
        <v/>
      </c>
      <c r="AB119" s="218" t="str">
        <f t="shared" si="91"/>
        <v/>
      </c>
      <c r="AC119" s="218" t="str">
        <f t="shared" si="92"/>
        <v/>
      </c>
      <c r="AD119" s="218" t="str">
        <f t="shared" si="93"/>
        <v/>
      </c>
      <c r="AE119" s="38" t="str">
        <f t="shared" si="94"/>
        <v/>
      </c>
      <c r="AF119" s="218" t="str">
        <f t="shared" si="95"/>
        <v/>
      </c>
      <c r="AG119" s="218" t="str">
        <f t="shared" si="96"/>
        <v/>
      </c>
      <c r="AH119" s="218" t="str">
        <f t="shared" si="97"/>
        <v/>
      </c>
      <c r="AI119" s="33" t="str">
        <f>IF(SUM($AC119)=0,"",INDEX(Cascade!$BG:$BG,MATCH($E119,Cascade!$E:$E,0)))</f>
        <v/>
      </c>
      <c r="AJ119" s="218" t="str">
        <f t="shared" si="98"/>
        <v/>
      </c>
      <c r="AK119" s="218" t="str">
        <f t="shared" si="99"/>
        <v/>
      </c>
      <c r="AL119" s="218" t="str">
        <f t="shared" si="100"/>
        <v/>
      </c>
      <c r="AM119" s="218" t="str">
        <f t="shared" si="101"/>
        <v/>
      </c>
      <c r="AN119" s="218" t="str">
        <f t="shared" si="102"/>
        <v/>
      </c>
      <c r="AO119" s="38" t="str">
        <f t="shared" si="103"/>
        <v/>
      </c>
      <c r="AP119" s="231">
        <v>4.0000000000000001E-3</v>
      </c>
      <c r="AQ119" s="33">
        <f t="shared" si="104"/>
        <v>4.0000000000000001E-3</v>
      </c>
      <c r="AR119" s="33" t="str">
        <f>IF(SUM($AO119)=0,"",INDEX(Cascade!$BG:$BG,MATCH($E119,Cascade!$E:$E,0)))</f>
        <v/>
      </c>
      <c r="AS119" s="218" t="str">
        <f t="shared" si="105"/>
        <v/>
      </c>
      <c r="AT119" s="218" t="str">
        <f t="shared" si="106"/>
        <v/>
      </c>
      <c r="AU119" s="38" t="str">
        <f t="shared" si="107"/>
        <v/>
      </c>
      <c r="AV119" s="38" t="str">
        <f t="shared" si="108"/>
        <v/>
      </c>
      <c r="AW119" s="38">
        <f>IFERROR(1/(1/INDEX(Cascade!$BH:$BH,MATCH($E119,Cascade!$E:$E,0))),"")</f>
        <v>100</v>
      </c>
      <c r="AX119" s="38" t="str">
        <f t="shared" si="109"/>
        <v/>
      </c>
      <c r="AY119" s="38" t="str">
        <f t="shared" si="110"/>
        <v/>
      </c>
      <c r="AZ119" s="38" t="str">
        <f>IFERROR(1/(1/INDEX(TB!$P:$P,MATCH($E119,TB!$E:$E,0))),"")</f>
        <v/>
      </c>
      <c r="BA119" s="38">
        <f t="shared" si="111"/>
        <v>100</v>
      </c>
    </row>
    <row r="120" spans="1:53" x14ac:dyDescent="0.2">
      <c r="A120" t="str">
        <f>INDEX(Prioritization!$D:$D,MATCH($B120,Prioritization!$A:$A,0))</f>
        <v>INVALID</v>
      </c>
      <c r="B120" t="s">
        <v>322</v>
      </c>
      <c r="C120" t="s">
        <v>474</v>
      </c>
      <c r="D120" t="s">
        <v>30</v>
      </c>
      <c r="E120" t="str">
        <f t="shared" si="84"/>
        <v>Nsanje District [rpw540fmNUz]|10-14|Female</v>
      </c>
      <c r="F120" s="38">
        <f>IF(LEFT($B120,4)="_Mil","",INDEX(Cascade!$T:$T,MATCH($E120,Cascade!$E:$E,0)))</f>
        <v>22370</v>
      </c>
      <c r="G120" s="38">
        <f>IF(LEFT($B120,4)="_Mil","",INDEX(Cascade!$U:$U,MATCH($E120,Cascade!$E:$E,0)))</f>
        <v>316</v>
      </c>
      <c r="H120" s="110">
        <f>IF(LEFT($B120,4)="_Mil","",INDEX(Cascade!$W:$W,MATCH($E120,Cascade!$E:$E,0)))</f>
        <v>1.4146051E-2</v>
      </c>
      <c r="I120" s="38">
        <f>IF(LEFT($B120,4)="_Mil","",INDEX(Cascade!$Z:$Z,MATCH($E120,Cascade!$E:$E,0)))</f>
        <v>318</v>
      </c>
      <c r="J120" s="33">
        <f>IF(LEFT($B120,4)="_Mil","",INDEX(Cascade!$AA:$AA,MATCH($E120,Cascade!$E:$E,0)))</f>
        <v>0.85258405900000001</v>
      </c>
      <c r="K120" s="218" t="str">
        <f>IF(LEFT($B120,4)="_Mil","",_xlfn.IFNA(ROUND(INDEX(Spectrum!$N:$N,MATCH(RIGHT($B120,13)&amp;"|"&amp;$C120&amp;"|"&amp;$D120&amp;"|"&amp;K$14&amp;"|"&amp;"CY2024Q3",Spectrum!$R:$R,0)),0),""))</f>
        <v/>
      </c>
      <c r="L120" s="218" t="str">
        <f>IF(LEFT($B120,4)="_Mil","",_xlfn.IFNA(ROUND(INDEX(Spectrum!$N:$N,MATCH(RIGHT($B120,13)&amp;"|"&amp;$C120&amp;"|"&amp;$D120&amp;"|"&amp;L$14&amp;"|"&amp;"CY2024Q3",Spectrum!$R:$R,0)),0),""))</f>
        <v/>
      </c>
      <c r="M120" s="218" t="str">
        <f>IF(LEFT($B120,4)="_Mil","",_xlfn.IFNA(ROUND(INDEX(Spectrum!$N:$N,MATCH(RIGHT($B120,13)&amp;"|"&amp;$C120&amp;"|"&amp;$D120&amp;"|"&amp;M$14&amp;"|"&amp;"CY2024Q3",Spectrum!$R:$R,0)),0),""))</f>
        <v/>
      </c>
      <c r="N120" s="218" t="str">
        <f>IF(LEFT($B120,4)="_Mil","",_xlfn.IFNA(ROUND(INDEX(Spectrum!$N:$N,MATCH(RIGHT($B120,13)&amp;"|"&amp;$C120&amp;"|"&amp;$D120&amp;"|"&amp;N$14&amp;"|"&amp;"CY2024Q3",Spectrum!$R:$R,0)),0),""))</f>
        <v/>
      </c>
      <c r="O120" s="218" t="str">
        <f>IF(LEFT($B120,4)="_Mil","",_xlfn.IFNA(ROUND(INDEX(Spectrum!$N:$N,MATCH(RIGHT($B120,13)&amp;"|"&amp;$C120&amp;"|"&amp;$D120&amp;"|"&amp;O$14&amp;"|"&amp;"CY2024Q3",Spectrum!$R:$R,0)),0),""))</f>
        <v/>
      </c>
      <c r="P120" s="218" t="str">
        <f>IF(LEFT($B120,4)="_Mil","",_xlfn.IFNA(ROUND(INDEX(Spectrum!$N:$N,MATCH(RIGHT($B120,13)&amp;"|"&amp;$C120&amp;"|"&amp;$D120&amp;"|"&amp;P$14&amp;"|"&amp;"CY2024Q3",Spectrum!$R:$R,0)),0),""))</f>
        <v/>
      </c>
      <c r="Q120" s="218" t="str">
        <f>IF(LEFT($B120,4)="_Mil","",_xlfn.IFNA(ROUND(INDEX(Spectrum!$N:$N,MATCH(RIGHT($B120,13)&amp;"|"&amp;$C120&amp;"|"&amp;$D120&amp;"|"&amp;Q$14&amp;"|"&amp;"CY2024Q3",Spectrum!$R:$R,0)),0),""))</f>
        <v/>
      </c>
      <c r="R120" s="38">
        <v>62</v>
      </c>
      <c r="S120" s="33">
        <v>0</v>
      </c>
      <c r="T120" s="218">
        <f t="shared" si="85"/>
        <v>62</v>
      </c>
      <c r="U120" s="33">
        <f t="shared" si="86"/>
        <v>1</v>
      </c>
      <c r="V120" s="218">
        <f t="shared" si="87"/>
        <v>62</v>
      </c>
      <c r="W120" s="33">
        <v>1.6E-2</v>
      </c>
      <c r="X120" s="33">
        <f t="shared" si="88"/>
        <v>1.6E-2</v>
      </c>
      <c r="Y120" s="231">
        <v>1.0999999999999999E-2</v>
      </c>
      <c r="Z120" s="33">
        <f t="shared" si="89"/>
        <v>1.0999999999999999E-2</v>
      </c>
      <c r="AA120" s="38">
        <f t="shared" si="90"/>
        <v>62</v>
      </c>
      <c r="AB120" s="218">
        <f t="shared" si="91"/>
        <v>1</v>
      </c>
      <c r="AC120" s="218">
        <f t="shared" si="92"/>
        <v>1</v>
      </c>
      <c r="AD120" s="218">
        <f t="shared" si="93"/>
        <v>60</v>
      </c>
      <c r="AE120" s="38">
        <f t="shared" si="94"/>
        <v>62</v>
      </c>
      <c r="AF120" s="218">
        <f t="shared" si="95"/>
        <v>1</v>
      </c>
      <c r="AG120" s="218">
        <f t="shared" si="96"/>
        <v>1</v>
      </c>
      <c r="AH120" s="218">
        <f t="shared" si="97"/>
        <v>60</v>
      </c>
      <c r="AI120" s="33">
        <f>IF(SUM($AC120)=0,"",INDEX(Cascade!$BG:$BG,MATCH($E120,Cascade!$E:$E,0)))</f>
        <v>0.95</v>
      </c>
      <c r="AJ120" s="218">
        <f t="shared" si="98"/>
        <v>1</v>
      </c>
      <c r="AK120" s="218">
        <f t="shared" si="99"/>
        <v>1</v>
      </c>
      <c r="AL120" s="218">
        <f t="shared" si="100"/>
        <v>2</v>
      </c>
      <c r="AM120" s="218">
        <f t="shared" si="101"/>
        <v>1</v>
      </c>
      <c r="AN120" s="218">
        <f t="shared" si="102"/>
        <v>1</v>
      </c>
      <c r="AO120" s="38">
        <f t="shared" si="103"/>
        <v>60</v>
      </c>
      <c r="AP120" s="231">
        <v>4.0000000000000001E-3</v>
      </c>
      <c r="AQ120" s="33">
        <f t="shared" si="104"/>
        <v>4.0000000000000001E-3</v>
      </c>
      <c r="AR120" s="33">
        <f>IF(SUM($AO120)=0,"",INDEX(Cascade!$BG:$BG,MATCH($E120,Cascade!$E:$E,0)))</f>
        <v>0.95</v>
      </c>
      <c r="AS120" s="218">
        <f t="shared" si="105"/>
        <v>0</v>
      </c>
      <c r="AT120" s="218">
        <f t="shared" si="106"/>
        <v>60</v>
      </c>
      <c r="AU120" s="38" t="str">
        <f t="shared" si="107"/>
        <v/>
      </c>
      <c r="AV120" s="38">
        <f t="shared" si="108"/>
        <v>2</v>
      </c>
      <c r="AW120" s="38">
        <f>IFERROR(1/(1/INDEX(Cascade!$BH:$BH,MATCH($E120,Cascade!$E:$E,0))),"")</f>
        <v>36</v>
      </c>
      <c r="AX120" s="38">
        <f t="shared" si="109"/>
        <v>1</v>
      </c>
      <c r="AY120" s="38" t="str">
        <f t="shared" si="110"/>
        <v/>
      </c>
      <c r="AZ120" s="38" t="str">
        <f>IFERROR(1/(1/INDEX(TB!$P:$P,MATCH($E120,TB!$E:$E,0))),"")</f>
        <v/>
      </c>
      <c r="BA120" s="38">
        <f t="shared" si="111"/>
        <v>35</v>
      </c>
    </row>
    <row r="121" spans="1:53" x14ac:dyDescent="0.2">
      <c r="A121" t="str">
        <f>INDEX(Prioritization!$D:$D,MATCH($B121,Prioritization!$A:$A,0))</f>
        <v>INVALID</v>
      </c>
      <c r="B121" t="s">
        <v>322</v>
      </c>
      <c r="C121" t="s">
        <v>475</v>
      </c>
      <c r="D121" t="s">
        <v>30</v>
      </c>
      <c r="E121" t="str">
        <f t="shared" si="84"/>
        <v>Nsanje District [rpw540fmNUz]|15-24|Female</v>
      </c>
      <c r="F121" s="38">
        <f>IF(LEFT($B121,4)="_Mil","",INDEX(Cascade!$T:$T,MATCH($E121,Cascade!$E:$E,0)))</f>
        <v>38727</v>
      </c>
      <c r="G121" s="38">
        <f>IF(LEFT($B121,4)="_Mil","",INDEX(Cascade!$U:$U,MATCH($E121,Cascade!$E:$E,0)))</f>
        <v>1079</v>
      </c>
      <c r="H121" s="110">
        <f>IF(LEFT($B121,4)="_Mil","",INDEX(Cascade!$W:$W,MATCH($E121,Cascade!$E:$E,0)))</f>
        <v>2.78628E-2</v>
      </c>
      <c r="I121" s="38">
        <f>IF(LEFT($B121,4)="_Mil","",INDEX(Cascade!$Z:$Z,MATCH($E121,Cascade!$E:$E,0)))</f>
        <v>1204</v>
      </c>
      <c r="J121" s="33">
        <f>IF(LEFT($B121,4)="_Mil","",INDEX(Cascade!$AA:$AA,MATCH($E121,Cascade!$E:$E,0)))</f>
        <v>0.95070151899999999</v>
      </c>
      <c r="K121" s="218">
        <f>IF(LEFT($B121,4)="_Mil","",_xlfn.IFNA(ROUND(INDEX(Spectrum!$N:$N,MATCH(RIGHT($B121,13)&amp;"|"&amp;$C121&amp;"|"&amp;$D121&amp;"|"&amp;K$14&amp;"|"&amp;"CY2024Q3",Spectrum!$R:$R,0)),0),""))</f>
        <v>7521</v>
      </c>
      <c r="L121" s="218">
        <f>IF(LEFT($B121,4)="_Mil","",_xlfn.IFNA(ROUND(INDEX(Spectrum!$N:$N,MATCH(RIGHT($B121,13)&amp;"|"&amp;$C121&amp;"|"&amp;$D121&amp;"|"&amp;L$14&amp;"|"&amp;"CY2024Q3",Spectrum!$R:$R,0)),0),""))</f>
        <v>187</v>
      </c>
      <c r="M121" s="218">
        <f>IF(LEFT($B121,4)="_Mil","",_xlfn.IFNA(ROUND(INDEX(Spectrum!$N:$N,MATCH(RIGHT($B121,13)&amp;"|"&amp;$C121&amp;"|"&amp;$D121&amp;"|"&amp;M$14&amp;"|"&amp;"CY2024Q3",Spectrum!$R:$R,0)),0),""))</f>
        <v>63</v>
      </c>
      <c r="N121" s="218">
        <f>IF(LEFT($B121,4)="_Mil","",_xlfn.IFNA(ROUND(INDEX(Spectrum!$N:$N,MATCH(RIGHT($B121,13)&amp;"|"&amp;$C121&amp;"|"&amp;$D121&amp;"|"&amp;N$14&amp;"|"&amp;"CY2024Q3",Spectrum!$R:$R,0)),0),""))</f>
        <v>7271</v>
      </c>
      <c r="O121" s="218">
        <f>IF(LEFT($B121,4)="_Mil","",_xlfn.IFNA(ROUND(INDEX(Spectrum!$N:$N,MATCH(RIGHT($B121,13)&amp;"|"&amp;$C121&amp;"|"&amp;$D121&amp;"|"&amp;O$14&amp;"|"&amp;"CY2024Q3",Spectrum!$R:$R,0)),0),""))</f>
        <v>250</v>
      </c>
      <c r="P121" s="218">
        <f>IF(LEFT($B121,4)="_Mil","",_xlfn.IFNA(ROUND(INDEX(Spectrum!$N:$N,MATCH(RIGHT($B121,13)&amp;"|"&amp;$C121&amp;"|"&amp;$D121&amp;"|"&amp;P$14&amp;"|"&amp;"CY2024Q3",Spectrum!$R:$R,0)),0),""))</f>
        <v>187</v>
      </c>
      <c r="Q121" s="218">
        <f>IF(LEFT($B121,4)="_Mil","",_xlfn.IFNA(ROUND(INDEX(Spectrum!$N:$N,MATCH(RIGHT($B121,13)&amp;"|"&amp;$C121&amp;"|"&amp;$D121&amp;"|"&amp;Q$14&amp;"|"&amp;"CY2024Q3",Spectrum!$R:$R,0)),0),""))</f>
        <v>63</v>
      </c>
      <c r="R121" s="38">
        <v>10055</v>
      </c>
      <c r="S121" s="33">
        <v>0</v>
      </c>
      <c r="T121" s="218">
        <f t="shared" si="85"/>
        <v>10055</v>
      </c>
      <c r="U121" s="33">
        <f t="shared" si="86"/>
        <v>1</v>
      </c>
      <c r="V121" s="218">
        <f t="shared" si="87"/>
        <v>10055</v>
      </c>
      <c r="W121" s="33">
        <v>2.3E-2</v>
      </c>
      <c r="X121" s="33">
        <f t="shared" si="88"/>
        <v>2.4863714931525064E-2</v>
      </c>
      <c r="Y121" s="231">
        <v>1.0999999999999999E-2</v>
      </c>
      <c r="Z121" s="33">
        <f t="shared" si="89"/>
        <v>8.5901281701663487E-3</v>
      </c>
      <c r="AA121" s="38">
        <f t="shared" si="90"/>
        <v>10055</v>
      </c>
      <c r="AB121" s="218">
        <f t="shared" si="91"/>
        <v>250</v>
      </c>
      <c r="AC121" s="218">
        <f t="shared" si="92"/>
        <v>84</v>
      </c>
      <c r="AD121" s="218">
        <f t="shared" si="93"/>
        <v>9721</v>
      </c>
      <c r="AE121" s="38">
        <f t="shared" si="94"/>
        <v>10055</v>
      </c>
      <c r="AF121" s="218">
        <f t="shared" si="95"/>
        <v>250</v>
      </c>
      <c r="AG121" s="218">
        <f t="shared" si="96"/>
        <v>84</v>
      </c>
      <c r="AH121" s="218">
        <f t="shared" si="97"/>
        <v>9721</v>
      </c>
      <c r="AI121" s="33">
        <f>IF(SUM($AC121)=0,"",INDEX(Cascade!$BG:$BG,MATCH($E121,Cascade!$E:$E,0)))</f>
        <v>0.95</v>
      </c>
      <c r="AJ121" s="218">
        <f t="shared" si="98"/>
        <v>250</v>
      </c>
      <c r="AK121" s="218">
        <f t="shared" si="99"/>
        <v>80</v>
      </c>
      <c r="AL121" s="218">
        <f t="shared" si="100"/>
        <v>334</v>
      </c>
      <c r="AM121" s="218">
        <f t="shared" si="101"/>
        <v>250</v>
      </c>
      <c r="AN121" s="218">
        <f t="shared" si="102"/>
        <v>80</v>
      </c>
      <c r="AO121" s="38">
        <f t="shared" si="103"/>
        <v>9721</v>
      </c>
      <c r="AP121" s="231">
        <v>4.0000000000000001E-3</v>
      </c>
      <c r="AQ121" s="33">
        <f t="shared" si="104"/>
        <v>4.0000000000000001E-3</v>
      </c>
      <c r="AR121" s="33">
        <f>IF(SUM($AO121)=0,"",INDEX(Cascade!$BG:$BG,MATCH($E121,Cascade!$E:$E,0)))</f>
        <v>0.95</v>
      </c>
      <c r="AS121" s="218">
        <f t="shared" si="105"/>
        <v>39</v>
      </c>
      <c r="AT121" s="218">
        <f t="shared" si="106"/>
        <v>9682</v>
      </c>
      <c r="AU121" s="38">
        <f t="shared" si="107"/>
        <v>37</v>
      </c>
      <c r="AV121" s="38">
        <f t="shared" si="108"/>
        <v>373</v>
      </c>
      <c r="AW121" s="38">
        <f>IFERROR(1/(1/INDEX(Cascade!$BH:$BH,MATCH($E121,Cascade!$E:$E,0))),"")</f>
        <v>257</v>
      </c>
      <c r="AX121" s="38">
        <f t="shared" si="109"/>
        <v>84</v>
      </c>
      <c r="AY121" s="38">
        <f t="shared" si="110"/>
        <v>39</v>
      </c>
      <c r="AZ121" s="38">
        <f>IFERROR(1/(1/INDEX(TB!$P:$P,MATCH($E121,TB!$E:$E,0))),"")</f>
        <v>2</v>
      </c>
      <c r="BA121" s="38">
        <f t="shared" si="111"/>
        <v>132</v>
      </c>
    </row>
    <row r="122" spans="1:53" x14ac:dyDescent="0.2">
      <c r="A122" t="str">
        <f>INDEX(Prioritization!$D:$D,MATCH($B122,Prioritization!$A:$A,0))</f>
        <v>INVALID</v>
      </c>
      <c r="B122" t="s">
        <v>322</v>
      </c>
      <c r="C122" t="s">
        <v>476</v>
      </c>
      <c r="D122" t="s">
        <v>30</v>
      </c>
      <c r="E122" t="str">
        <f t="shared" si="84"/>
        <v>Nsanje District [rpw540fmNUz]|25-34|Female</v>
      </c>
      <c r="F122" s="38">
        <f>IF(LEFT($B122,4)="_Mil","",INDEX(Cascade!$T:$T,MATCH($E122,Cascade!$E:$E,0)))</f>
        <v>25181</v>
      </c>
      <c r="G122" s="38">
        <f>IF(LEFT($B122,4)="_Mil","",INDEX(Cascade!$U:$U,MATCH($E122,Cascade!$E:$E,0)))</f>
        <v>2614</v>
      </c>
      <c r="H122" s="110">
        <f>IF(LEFT($B122,4)="_Mil","",INDEX(Cascade!$W:$W,MATCH($E122,Cascade!$E:$E,0)))</f>
        <v>0.103820359</v>
      </c>
      <c r="I122" s="38">
        <f>IF(LEFT($B122,4)="_Mil","",INDEX(Cascade!$Z:$Z,MATCH($E122,Cascade!$E:$E,0)))</f>
        <v>3004</v>
      </c>
      <c r="J122" s="33">
        <f>IF(LEFT($B122,4)="_Mil","",INDEX(Cascade!$AA:$AA,MATCH($E122,Cascade!$E:$E,0)))</f>
        <v>0.97385967500000004</v>
      </c>
      <c r="K122" s="218">
        <f>IF(LEFT($B122,4)="_Mil","",_xlfn.IFNA(ROUND(INDEX(Spectrum!$N:$N,MATCH(RIGHT($B122,13)&amp;"|"&amp;$C122&amp;"|"&amp;$D122&amp;"|"&amp;K$14&amp;"|"&amp;"CY2024Q3",Spectrum!$R:$R,0)),0),""))</f>
        <v>4794</v>
      </c>
      <c r="L122" s="218">
        <f>IF(LEFT($B122,4)="_Mil","",_xlfn.IFNA(ROUND(INDEX(Spectrum!$N:$N,MATCH(RIGHT($B122,13)&amp;"|"&amp;$C122&amp;"|"&amp;$D122&amp;"|"&amp;L$14&amp;"|"&amp;"CY2024Q3",Spectrum!$R:$R,0)),0),""))</f>
        <v>344</v>
      </c>
      <c r="M122" s="218">
        <f>IF(LEFT($B122,4)="_Mil","",_xlfn.IFNA(ROUND(INDEX(Spectrum!$N:$N,MATCH(RIGHT($B122,13)&amp;"|"&amp;$C122&amp;"|"&amp;$D122&amp;"|"&amp;M$14&amp;"|"&amp;"CY2024Q3",Spectrum!$R:$R,0)),0),""))</f>
        <v>83</v>
      </c>
      <c r="N122" s="218">
        <f>IF(LEFT($B122,4)="_Mil","",_xlfn.IFNA(ROUND(INDEX(Spectrum!$N:$N,MATCH(RIGHT($B122,13)&amp;"|"&amp;$C122&amp;"|"&amp;$D122&amp;"|"&amp;N$14&amp;"|"&amp;"CY2024Q3",Spectrum!$R:$R,0)),0),""))</f>
        <v>4368</v>
      </c>
      <c r="O122" s="218">
        <f>IF(LEFT($B122,4)="_Mil","",_xlfn.IFNA(ROUND(INDEX(Spectrum!$N:$N,MATCH(RIGHT($B122,13)&amp;"|"&amp;$C122&amp;"|"&amp;$D122&amp;"|"&amp;O$14&amp;"|"&amp;"CY2024Q3",Spectrum!$R:$R,0)),0),""))</f>
        <v>426</v>
      </c>
      <c r="P122" s="218">
        <f>IF(LEFT($B122,4)="_Mil","",_xlfn.IFNA(ROUND(INDEX(Spectrum!$N:$N,MATCH(RIGHT($B122,13)&amp;"|"&amp;$C122&amp;"|"&amp;$D122&amp;"|"&amp;P$14&amp;"|"&amp;"CY2024Q3",Spectrum!$R:$R,0)),0),""))</f>
        <v>344</v>
      </c>
      <c r="Q122" s="218">
        <f>IF(LEFT($B122,4)="_Mil","",_xlfn.IFNA(ROUND(INDEX(Spectrum!$N:$N,MATCH(RIGHT($B122,13)&amp;"|"&amp;$C122&amp;"|"&amp;$D122&amp;"|"&amp;Q$14&amp;"|"&amp;"CY2024Q3",Spectrum!$R:$R,0)),0),""))</f>
        <v>83</v>
      </c>
      <c r="R122" s="38">
        <v>6407</v>
      </c>
      <c r="S122" s="33">
        <v>0</v>
      </c>
      <c r="T122" s="218">
        <f t="shared" si="85"/>
        <v>6407</v>
      </c>
      <c r="U122" s="33">
        <f t="shared" si="86"/>
        <v>1</v>
      </c>
      <c r="V122" s="218">
        <f t="shared" si="87"/>
        <v>6407</v>
      </c>
      <c r="W122" s="33">
        <v>8.3000000000000004E-2</v>
      </c>
      <c r="X122" s="33">
        <f t="shared" si="88"/>
        <v>8.3000000000000004E-2</v>
      </c>
      <c r="Y122" s="231">
        <v>1.0999999999999999E-2</v>
      </c>
      <c r="Z122" s="33">
        <f t="shared" si="89"/>
        <v>1.0999999999999999E-2</v>
      </c>
      <c r="AA122" s="38">
        <f t="shared" si="90"/>
        <v>6407</v>
      </c>
      <c r="AB122" s="218">
        <f t="shared" si="91"/>
        <v>532</v>
      </c>
      <c r="AC122" s="218">
        <f t="shared" si="92"/>
        <v>65</v>
      </c>
      <c r="AD122" s="218">
        <f t="shared" si="93"/>
        <v>5810</v>
      </c>
      <c r="AE122" s="38">
        <f t="shared" si="94"/>
        <v>6407</v>
      </c>
      <c r="AF122" s="218">
        <f t="shared" si="95"/>
        <v>532</v>
      </c>
      <c r="AG122" s="218">
        <f t="shared" si="96"/>
        <v>65</v>
      </c>
      <c r="AH122" s="218">
        <f t="shared" si="97"/>
        <v>5810</v>
      </c>
      <c r="AI122" s="33">
        <f>IF(SUM($AC122)=0,"",INDEX(Cascade!$BG:$BG,MATCH($E122,Cascade!$E:$E,0)))</f>
        <v>0.95</v>
      </c>
      <c r="AJ122" s="218">
        <f t="shared" si="98"/>
        <v>532</v>
      </c>
      <c r="AK122" s="218">
        <f t="shared" si="99"/>
        <v>62</v>
      </c>
      <c r="AL122" s="218">
        <f t="shared" si="100"/>
        <v>597</v>
      </c>
      <c r="AM122" s="218">
        <f t="shared" si="101"/>
        <v>532</v>
      </c>
      <c r="AN122" s="218">
        <f t="shared" si="102"/>
        <v>62</v>
      </c>
      <c r="AO122" s="38">
        <f t="shared" si="103"/>
        <v>5810</v>
      </c>
      <c r="AP122" s="231">
        <v>4.0000000000000001E-3</v>
      </c>
      <c r="AQ122" s="33">
        <f t="shared" si="104"/>
        <v>4.0000000000000001E-3</v>
      </c>
      <c r="AR122" s="33">
        <f>IF(SUM($AO122)=0,"",INDEX(Cascade!$BG:$BG,MATCH($E122,Cascade!$E:$E,0)))</f>
        <v>0.95</v>
      </c>
      <c r="AS122" s="218">
        <f t="shared" si="105"/>
        <v>23</v>
      </c>
      <c r="AT122" s="218">
        <f t="shared" si="106"/>
        <v>5787</v>
      </c>
      <c r="AU122" s="38">
        <f t="shared" si="107"/>
        <v>22</v>
      </c>
      <c r="AV122" s="38">
        <f t="shared" si="108"/>
        <v>620</v>
      </c>
      <c r="AW122" s="38">
        <f>IFERROR(1/(1/INDEX(Cascade!$BH:$BH,MATCH($E122,Cascade!$E:$E,0))),"")</f>
        <v>204</v>
      </c>
      <c r="AX122" s="38">
        <f t="shared" si="109"/>
        <v>65</v>
      </c>
      <c r="AY122" s="38">
        <f t="shared" si="110"/>
        <v>23</v>
      </c>
      <c r="AZ122" s="38">
        <f>IFERROR(1/(1/INDEX(TB!$P:$P,MATCH($E122,TB!$E:$E,0))),"")</f>
        <v>2</v>
      </c>
      <c r="BA122" s="38">
        <f t="shared" si="111"/>
        <v>114</v>
      </c>
    </row>
    <row r="123" spans="1:53" x14ac:dyDescent="0.2">
      <c r="A123" t="str">
        <f>INDEX(Prioritization!$D:$D,MATCH($B123,Prioritization!$A:$A,0))</f>
        <v>INVALID</v>
      </c>
      <c r="B123" t="s">
        <v>322</v>
      </c>
      <c r="C123" t="s">
        <v>477</v>
      </c>
      <c r="D123" t="s">
        <v>30</v>
      </c>
      <c r="E123" t="str">
        <f t="shared" si="84"/>
        <v>Nsanje District [rpw540fmNUz]|35-49|Female</v>
      </c>
      <c r="F123" s="38">
        <f>IF(LEFT($B123,4)="_Mil","",INDEX(Cascade!$T:$T,MATCH($E123,Cascade!$E:$E,0)))</f>
        <v>25444</v>
      </c>
      <c r="G123" s="38">
        <f>IF(LEFT($B123,4)="_Mil","",INDEX(Cascade!$U:$U,MATCH($E123,Cascade!$E:$E,0)))</f>
        <v>6132</v>
      </c>
      <c r="H123" s="110">
        <f>IF(LEFT($B123,4)="_Mil","",INDEX(Cascade!$W:$W,MATCH($E123,Cascade!$E:$E,0)))</f>
        <v>0.240999512</v>
      </c>
      <c r="I123" s="38">
        <f>IF(LEFT($B123,4)="_Mil","",INDEX(Cascade!$Z:$Z,MATCH($E123,Cascade!$E:$E,0)))</f>
        <v>7212</v>
      </c>
      <c r="J123" s="33">
        <f>IF(LEFT($B123,4)="_Mil","",INDEX(Cascade!$AA:$AA,MATCH($E123,Cascade!$E:$E,0)))</f>
        <v>0.98713408399999991</v>
      </c>
      <c r="K123" s="218">
        <f>IF(LEFT($B123,4)="_Mil","",_xlfn.IFNA(ROUND(INDEX(Spectrum!$N:$N,MATCH(RIGHT($B123,13)&amp;"|"&amp;$C123&amp;"|"&amp;$D123&amp;"|"&amp;K$14&amp;"|"&amp;"CY2024Q3",Spectrum!$R:$R,0)),0),""))</f>
        <v>1728</v>
      </c>
      <c r="L123" s="218">
        <f>IF(LEFT($B123,4)="_Mil","",_xlfn.IFNA(ROUND(INDEX(Spectrum!$N:$N,MATCH(RIGHT($B123,13)&amp;"|"&amp;$C123&amp;"|"&amp;$D123&amp;"|"&amp;L$14&amp;"|"&amp;"CY2024Q3",Spectrum!$R:$R,0)),0),""))</f>
        <v>248</v>
      </c>
      <c r="M123" s="218">
        <f>IF(LEFT($B123,4)="_Mil","",_xlfn.IFNA(ROUND(INDEX(Spectrum!$N:$N,MATCH(RIGHT($B123,13)&amp;"|"&amp;$C123&amp;"|"&amp;$D123&amp;"|"&amp;M$14&amp;"|"&amp;"CY2024Q3",Spectrum!$R:$R,0)),0),""))</f>
        <v>20</v>
      </c>
      <c r="N123" s="218">
        <f>IF(LEFT($B123,4)="_Mil","",_xlfn.IFNA(ROUND(INDEX(Spectrum!$N:$N,MATCH(RIGHT($B123,13)&amp;"|"&amp;$C123&amp;"|"&amp;$D123&amp;"|"&amp;N$14&amp;"|"&amp;"CY2024Q3",Spectrum!$R:$R,0)),0),""))</f>
        <v>1460</v>
      </c>
      <c r="O123" s="218">
        <f>IF(LEFT($B123,4)="_Mil","",_xlfn.IFNA(ROUND(INDEX(Spectrum!$N:$N,MATCH(RIGHT($B123,13)&amp;"|"&amp;$C123&amp;"|"&amp;$D123&amp;"|"&amp;O$14&amp;"|"&amp;"CY2024Q3",Spectrum!$R:$R,0)),0),""))</f>
        <v>268</v>
      </c>
      <c r="P123" s="218">
        <f>IF(LEFT($B123,4)="_Mil","",_xlfn.IFNA(ROUND(INDEX(Spectrum!$N:$N,MATCH(RIGHT($B123,13)&amp;"|"&amp;$C123&amp;"|"&amp;$D123&amp;"|"&amp;P$14&amp;"|"&amp;"CY2024Q3",Spectrum!$R:$R,0)),0),""))</f>
        <v>248</v>
      </c>
      <c r="Q123" s="218">
        <f>IF(LEFT($B123,4)="_Mil","",_xlfn.IFNA(ROUND(INDEX(Spectrum!$N:$N,MATCH(RIGHT($B123,13)&amp;"|"&amp;$C123&amp;"|"&amp;$D123&amp;"|"&amp;Q$14&amp;"|"&amp;"CY2024Q3",Spectrum!$R:$R,0)),0),""))</f>
        <v>20</v>
      </c>
      <c r="R123" s="38">
        <v>1651</v>
      </c>
      <c r="S123" s="33">
        <v>0</v>
      </c>
      <c r="T123" s="218">
        <f t="shared" si="85"/>
        <v>1651</v>
      </c>
      <c r="U123" s="33">
        <f t="shared" si="86"/>
        <v>0.95543981481481477</v>
      </c>
      <c r="V123" s="218">
        <f t="shared" si="87"/>
        <v>1728</v>
      </c>
      <c r="W123" s="33">
        <v>0.14199999999999999</v>
      </c>
      <c r="X123" s="33">
        <f t="shared" si="88"/>
        <v>0.14351851851851852</v>
      </c>
      <c r="Y123" s="231">
        <v>1.0999999999999999E-2</v>
      </c>
      <c r="Z123" s="33">
        <f t="shared" si="89"/>
        <v>1.0999999999999999E-2</v>
      </c>
      <c r="AA123" s="38">
        <f t="shared" si="90"/>
        <v>1651</v>
      </c>
      <c r="AB123" s="218">
        <f t="shared" si="91"/>
        <v>237</v>
      </c>
      <c r="AC123" s="218">
        <f t="shared" si="92"/>
        <v>16</v>
      </c>
      <c r="AD123" s="218">
        <f t="shared" si="93"/>
        <v>1398</v>
      </c>
      <c r="AE123" s="38">
        <f t="shared" si="94"/>
        <v>1728</v>
      </c>
      <c r="AF123" s="218">
        <f t="shared" si="95"/>
        <v>248</v>
      </c>
      <c r="AG123" s="218">
        <f t="shared" si="96"/>
        <v>16</v>
      </c>
      <c r="AH123" s="218">
        <f t="shared" si="97"/>
        <v>1464</v>
      </c>
      <c r="AI123" s="33">
        <f>IF(SUM($AC123)=0,"",INDEX(Cascade!$BG:$BG,MATCH($E123,Cascade!$E:$E,0)))</f>
        <v>0.95</v>
      </c>
      <c r="AJ123" s="218">
        <f t="shared" si="98"/>
        <v>237</v>
      </c>
      <c r="AK123" s="218">
        <f t="shared" si="99"/>
        <v>15</v>
      </c>
      <c r="AL123" s="218">
        <f t="shared" si="100"/>
        <v>264</v>
      </c>
      <c r="AM123" s="218">
        <f t="shared" si="101"/>
        <v>248</v>
      </c>
      <c r="AN123" s="218">
        <f t="shared" si="102"/>
        <v>15</v>
      </c>
      <c r="AO123" s="38">
        <f t="shared" si="103"/>
        <v>1398</v>
      </c>
      <c r="AP123" s="231">
        <v>4.0000000000000001E-3</v>
      </c>
      <c r="AQ123" s="33">
        <f t="shared" si="104"/>
        <v>4.0000000000000001E-3</v>
      </c>
      <c r="AR123" s="33">
        <f>IF(SUM($AO123)=0,"",INDEX(Cascade!$BG:$BG,MATCH($E123,Cascade!$E:$E,0)))</f>
        <v>0.95</v>
      </c>
      <c r="AS123" s="218">
        <f t="shared" si="105"/>
        <v>6</v>
      </c>
      <c r="AT123" s="218">
        <f t="shared" si="106"/>
        <v>1392</v>
      </c>
      <c r="AU123" s="38">
        <f t="shared" si="107"/>
        <v>6</v>
      </c>
      <c r="AV123" s="38">
        <f t="shared" si="108"/>
        <v>259</v>
      </c>
      <c r="AW123" s="38">
        <f>IFERROR(1/(1/INDEX(Cascade!$BH:$BH,MATCH($E123,Cascade!$E:$E,0))),"")</f>
        <v>233.99999999999997</v>
      </c>
      <c r="AX123" s="38">
        <f t="shared" si="109"/>
        <v>16</v>
      </c>
      <c r="AY123" s="38">
        <f t="shared" si="110"/>
        <v>6</v>
      </c>
      <c r="AZ123" s="38">
        <f>IFERROR(1/(1/INDEX(TB!$P:$P,MATCH($E123,TB!$E:$E,0))),"")</f>
        <v>3</v>
      </c>
      <c r="BA123" s="38">
        <f t="shared" si="111"/>
        <v>208.99999999999997</v>
      </c>
    </row>
    <row r="124" spans="1:53" x14ac:dyDescent="0.2">
      <c r="A124" t="str">
        <f>INDEX(Prioritization!$D:$D,MATCH($B124,Prioritization!$A:$A,0))</f>
        <v>INVALID</v>
      </c>
      <c r="B124" t="s">
        <v>322</v>
      </c>
      <c r="C124" t="s">
        <v>478</v>
      </c>
      <c r="D124" t="s">
        <v>30</v>
      </c>
      <c r="E124" t="str">
        <f t="shared" si="84"/>
        <v>Nsanje District [rpw540fmNUz]|50+|Female</v>
      </c>
      <c r="F124" s="38">
        <f>IF(LEFT($B124,4)="_Mil","",INDEX(Cascade!$T:$T,MATCH($E124,Cascade!$E:$E,0)))</f>
        <v>16655</v>
      </c>
      <c r="G124" s="38">
        <f>IF(LEFT($B124,4)="_Mil","",INDEX(Cascade!$U:$U,MATCH($E124,Cascade!$E:$E,0)))</f>
        <v>3188</v>
      </c>
      <c r="H124" s="110">
        <f>IF(LEFT($B124,4)="_Mil","",INDEX(Cascade!$W:$W,MATCH($E124,Cascade!$E:$E,0)))</f>
        <v>0.19139657299999999</v>
      </c>
      <c r="I124" s="38">
        <f>IF(LEFT($B124,4)="_Mil","",INDEX(Cascade!$Z:$Z,MATCH($E124,Cascade!$E:$E,0)))</f>
        <v>3736</v>
      </c>
      <c r="J124" s="33">
        <f>IF(LEFT($B124,4)="_Mil","",INDEX(Cascade!$AA:$AA,MATCH($E124,Cascade!$E:$E,0)))</f>
        <v>0.99118106800000016</v>
      </c>
      <c r="K124" s="218" t="str">
        <f>IF(LEFT($B124,4)="_Mil","",_xlfn.IFNA(ROUND(INDEX(Spectrum!$N:$N,MATCH(RIGHT($B124,13)&amp;"|"&amp;$C124&amp;"|"&amp;$D124&amp;"|"&amp;K$14&amp;"|"&amp;"CY2024Q3",Spectrum!$R:$R,0)),0),""))</f>
        <v/>
      </c>
      <c r="L124" s="218" t="str">
        <f>IF(LEFT($B124,4)="_Mil","",_xlfn.IFNA(ROUND(INDEX(Spectrum!$N:$N,MATCH(RIGHT($B124,13)&amp;"|"&amp;$C124&amp;"|"&amp;$D124&amp;"|"&amp;L$14&amp;"|"&amp;"CY2024Q3",Spectrum!$R:$R,0)),0),""))</f>
        <v/>
      </c>
      <c r="M124" s="218" t="str">
        <f>IF(LEFT($B124,4)="_Mil","",_xlfn.IFNA(ROUND(INDEX(Spectrum!$N:$N,MATCH(RIGHT($B124,13)&amp;"|"&amp;$C124&amp;"|"&amp;$D124&amp;"|"&amp;M$14&amp;"|"&amp;"CY2024Q3",Spectrum!$R:$R,0)),0),""))</f>
        <v/>
      </c>
      <c r="N124" s="218" t="str">
        <f>IF(LEFT($B124,4)="_Mil","",_xlfn.IFNA(ROUND(INDEX(Spectrum!$N:$N,MATCH(RIGHT($B124,13)&amp;"|"&amp;$C124&amp;"|"&amp;$D124&amp;"|"&amp;N$14&amp;"|"&amp;"CY2024Q3",Spectrum!$R:$R,0)),0),""))</f>
        <v/>
      </c>
      <c r="O124" s="218" t="str">
        <f>IF(LEFT($B124,4)="_Mil","",_xlfn.IFNA(ROUND(INDEX(Spectrum!$N:$N,MATCH(RIGHT($B124,13)&amp;"|"&amp;$C124&amp;"|"&amp;$D124&amp;"|"&amp;O$14&amp;"|"&amp;"CY2024Q3",Spectrum!$R:$R,0)),0),""))</f>
        <v/>
      </c>
      <c r="P124" s="218" t="str">
        <f>IF(LEFT($B124,4)="_Mil","",_xlfn.IFNA(ROUND(INDEX(Spectrum!$N:$N,MATCH(RIGHT($B124,13)&amp;"|"&amp;$C124&amp;"|"&amp;$D124&amp;"|"&amp;P$14&amp;"|"&amp;"CY2024Q3",Spectrum!$R:$R,0)),0),""))</f>
        <v/>
      </c>
      <c r="Q124" s="218" t="str">
        <f>IF(LEFT($B124,4)="_Mil","",_xlfn.IFNA(ROUND(INDEX(Spectrum!$N:$N,MATCH(RIGHT($B124,13)&amp;"|"&amp;$C124&amp;"|"&amp;$D124&amp;"|"&amp;Q$14&amp;"|"&amp;"CY2024Q3",Spectrum!$R:$R,0)),0),""))</f>
        <v/>
      </c>
      <c r="R124" s="38"/>
      <c r="S124" s="33">
        <v>0</v>
      </c>
      <c r="T124" s="218" t="str">
        <f t="shared" si="85"/>
        <v/>
      </c>
      <c r="U124" s="33" t="str">
        <f t="shared" si="86"/>
        <v/>
      </c>
      <c r="V124" s="218" t="str">
        <f t="shared" si="87"/>
        <v/>
      </c>
      <c r="W124" s="33">
        <v>0.14199999999999999</v>
      </c>
      <c r="X124" s="33">
        <f t="shared" si="88"/>
        <v>0.14199999999999999</v>
      </c>
      <c r="Y124" s="231">
        <v>1.0999999999999999E-2</v>
      </c>
      <c r="Z124" s="33">
        <f t="shared" si="89"/>
        <v>1.0999999999999999E-2</v>
      </c>
      <c r="AA124" s="38" t="str">
        <f t="shared" si="90"/>
        <v/>
      </c>
      <c r="AB124" s="218" t="str">
        <f t="shared" si="91"/>
        <v/>
      </c>
      <c r="AC124" s="218" t="str">
        <f t="shared" si="92"/>
        <v/>
      </c>
      <c r="AD124" s="218" t="str">
        <f t="shared" si="93"/>
        <v/>
      </c>
      <c r="AE124" s="38" t="str">
        <f t="shared" si="94"/>
        <v/>
      </c>
      <c r="AF124" s="218" t="str">
        <f t="shared" si="95"/>
        <v/>
      </c>
      <c r="AG124" s="218" t="str">
        <f t="shared" si="96"/>
        <v/>
      </c>
      <c r="AH124" s="218" t="str">
        <f t="shared" si="97"/>
        <v/>
      </c>
      <c r="AI124" s="33" t="str">
        <f>IF(SUM($AC124)=0,"",INDEX(Cascade!$BG:$BG,MATCH($E124,Cascade!$E:$E,0)))</f>
        <v/>
      </c>
      <c r="AJ124" s="218" t="str">
        <f t="shared" si="98"/>
        <v/>
      </c>
      <c r="AK124" s="218" t="str">
        <f t="shared" si="99"/>
        <v/>
      </c>
      <c r="AL124" s="218" t="str">
        <f t="shared" si="100"/>
        <v/>
      </c>
      <c r="AM124" s="218" t="str">
        <f t="shared" si="101"/>
        <v/>
      </c>
      <c r="AN124" s="218" t="str">
        <f t="shared" si="102"/>
        <v/>
      </c>
      <c r="AO124" s="38" t="str">
        <f t="shared" si="103"/>
        <v/>
      </c>
      <c r="AP124" s="231">
        <v>4.0000000000000001E-3</v>
      </c>
      <c r="AQ124" s="33">
        <f t="shared" si="104"/>
        <v>4.0000000000000001E-3</v>
      </c>
      <c r="AR124" s="33" t="str">
        <f>IF(SUM($AO124)=0,"",INDEX(Cascade!$BG:$BG,MATCH($E124,Cascade!$E:$E,0)))</f>
        <v/>
      </c>
      <c r="AS124" s="218" t="str">
        <f t="shared" si="105"/>
        <v/>
      </c>
      <c r="AT124" s="218" t="str">
        <f t="shared" si="106"/>
        <v/>
      </c>
      <c r="AU124" s="38" t="str">
        <f t="shared" si="107"/>
        <v/>
      </c>
      <c r="AV124" s="38" t="str">
        <f t="shared" si="108"/>
        <v/>
      </c>
      <c r="AW124" s="38">
        <f>IFERROR(1/(1/INDEX(Cascade!$BH:$BH,MATCH($E124,Cascade!$E:$E,0))),"")</f>
        <v>56</v>
      </c>
      <c r="AX124" s="38" t="str">
        <f t="shared" si="109"/>
        <v/>
      </c>
      <c r="AY124" s="38" t="str">
        <f t="shared" si="110"/>
        <v/>
      </c>
      <c r="AZ124" s="38">
        <f>IFERROR(1/(1/INDEX(TB!$P:$P,MATCH($E124,TB!$E:$E,0))),"")</f>
        <v>1</v>
      </c>
      <c r="BA124" s="38">
        <f t="shared" si="111"/>
        <v>55</v>
      </c>
    </row>
    <row r="125" spans="1:53" x14ac:dyDescent="0.2">
      <c r="A125" t="str">
        <f>INDEX(Prioritization!$D:$D,MATCH($B125,Prioritization!$A:$A,0))</f>
        <v>4 - Sustained</v>
      </c>
      <c r="B125" t="s">
        <v>304</v>
      </c>
      <c r="C125" t="s">
        <v>474</v>
      </c>
      <c r="D125" t="s">
        <v>30</v>
      </c>
      <c r="E125" t="str">
        <f t="shared" si="84"/>
        <v>Ntcheu District [am530wpaGvr]|10-14|Female</v>
      </c>
      <c r="F125" s="38">
        <f>IF(LEFT($B125,4)="_Mil","",INDEX(Cascade!$T:$T,MATCH($E125,Cascade!$E:$E,0)))</f>
        <v>53856</v>
      </c>
      <c r="G125" s="38">
        <f>IF(LEFT($B125,4)="_Mil","",INDEX(Cascade!$U:$U,MATCH($E125,Cascade!$E:$E,0)))</f>
        <v>384</v>
      </c>
      <c r="H125" s="110">
        <f>IF(LEFT($B125,4)="_Mil","",INDEX(Cascade!$W:$W,MATCH($E125,Cascade!$E:$E,0)))</f>
        <v>7.1284089999999996E-3</v>
      </c>
      <c r="I125" s="38">
        <f>IF(LEFT($B125,4)="_Mil","",INDEX(Cascade!$Z:$Z,MATCH($E125,Cascade!$E:$E,0)))</f>
        <v>343</v>
      </c>
      <c r="J125" s="33">
        <f>IF(LEFT($B125,4)="_Mil","",INDEX(Cascade!$AA:$AA,MATCH($E125,Cascade!$E:$E,0)))</f>
        <v>0.74253842000000014</v>
      </c>
      <c r="K125" s="218" t="str">
        <f>IF(LEFT($B125,4)="_Mil","",_xlfn.IFNA(ROUND(INDEX(Spectrum!$N:$N,MATCH(RIGHT($B125,13)&amp;"|"&amp;$C125&amp;"|"&amp;$D125&amp;"|"&amp;K$14&amp;"|"&amp;"CY2024Q3",Spectrum!$R:$R,0)),0),""))</f>
        <v/>
      </c>
      <c r="L125" s="218" t="str">
        <f>IF(LEFT($B125,4)="_Mil","",_xlfn.IFNA(ROUND(INDEX(Spectrum!$N:$N,MATCH(RIGHT($B125,13)&amp;"|"&amp;$C125&amp;"|"&amp;$D125&amp;"|"&amp;L$14&amp;"|"&amp;"CY2024Q3",Spectrum!$R:$R,0)),0),""))</f>
        <v/>
      </c>
      <c r="M125" s="218" t="str">
        <f>IF(LEFT($B125,4)="_Mil","",_xlfn.IFNA(ROUND(INDEX(Spectrum!$N:$N,MATCH(RIGHT($B125,13)&amp;"|"&amp;$C125&amp;"|"&amp;$D125&amp;"|"&amp;M$14&amp;"|"&amp;"CY2024Q3",Spectrum!$R:$R,0)),0),""))</f>
        <v/>
      </c>
      <c r="N125" s="218" t="str">
        <f>IF(LEFT($B125,4)="_Mil","",_xlfn.IFNA(ROUND(INDEX(Spectrum!$N:$N,MATCH(RIGHT($B125,13)&amp;"|"&amp;$C125&amp;"|"&amp;$D125&amp;"|"&amp;N$14&amp;"|"&amp;"CY2024Q3",Spectrum!$R:$R,0)),0),""))</f>
        <v/>
      </c>
      <c r="O125" s="218" t="str">
        <f>IF(LEFT($B125,4)="_Mil","",_xlfn.IFNA(ROUND(INDEX(Spectrum!$N:$N,MATCH(RIGHT($B125,13)&amp;"|"&amp;$C125&amp;"|"&amp;$D125&amp;"|"&amp;O$14&amp;"|"&amp;"CY2024Q3",Spectrum!$R:$R,0)),0),""))</f>
        <v/>
      </c>
      <c r="P125" s="218" t="str">
        <f>IF(LEFT($B125,4)="_Mil","",_xlfn.IFNA(ROUND(INDEX(Spectrum!$N:$N,MATCH(RIGHT($B125,13)&amp;"|"&amp;$C125&amp;"|"&amp;$D125&amp;"|"&amp;P$14&amp;"|"&amp;"CY2024Q3",Spectrum!$R:$R,0)),0),""))</f>
        <v/>
      </c>
      <c r="Q125" s="218" t="str">
        <f>IF(LEFT($B125,4)="_Mil","",_xlfn.IFNA(ROUND(INDEX(Spectrum!$N:$N,MATCH(RIGHT($B125,13)&amp;"|"&amp;$C125&amp;"|"&amp;$D125&amp;"|"&amp;Q$14&amp;"|"&amp;"CY2024Q3",Spectrum!$R:$R,0)),0),""))</f>
        <v/>
      </c>
      <c r="R125" s="38">
        <v>72</v>
      </c>
      <c r="S125" s="33">
        <v>0</v>
      </c>
      <c r="T125" s="218">
        <f t="shared" si="85"/>
        <v>72</v>
      </c>
      <c r="U125" s="33">
        <f t="shared" si="86"/>
        <v>1</v>
      </c>
      <c r="V125" s="218">
        <f t="shared" si="87"/>
        <v>72</v>
      </c>
      <c r="W125" s="33">
        <v>0.01</v>
      </c>
      <c r="X125" s="33">
        <f t="shared" si="88"/>
        <v>0.01</v>
      </c>
      <c r="Y125" s="231">
        <v>1.0999999999999999E-2</v>
      </c>
      <c r="Z125" s="33">
        <f t="shared" si="89"/>
        <v>1.0999999999999999E-2</v>
      </c>
      <c r="AA125" s="38">
        <f t="shared" si="90"/>
        <v>72</v>
      </c>
      <c r="AB125" s="218">
        <f t="shared" si="91"/>
        <v>1</v>
      </c>
      <c r="AC125" s="218">
        <f t="shared" si="92"/>
        <v>1</v>
      </c>
      <c r="AD125" s="218">
        <f t="shared" si="93"/>
        <v>70</v>
      </c>
      <c r="AE125" s="38">
        <f t="shared" si="94"/>
        <v>72</v>
      </c>
      <c r="AF125" s="218">
        <f t="shared" si="95"/>
        <v>1</v>
      </c>
      <c r="AG125" s="218">
        <f t="shared" si="96"/>
        <v>1</v>
      </c>
      <c r="AH125" s="218">
        <f t="shared" si="97"/>
        <v>70</v>
      </c>
      <c r="AI125" s="33">
        <f>IF(SUM($AC125)=0,"",INDEX(Cascade!$BG:$BG,MATCH($E125,Cascade!$E:$E,0)))</f>
        <v>0.95</v>
      </c>
      <c r="AJ125" s="218">
        <f t="shared" si="98"/>
        <v>1</v>
      </c>
      <c r="AK125" s="218">
        <f t="shared" si="99"/>
        <v>1</v>
      </c>
      <c r="AL125" s="218">
        <f t="shared" si="100"/>
        <v>2</v>
      </c>
      <c r="AM125" s="218">
        <f t="shared" si="101"/>
        <v>1</v>
      </c>
      <c r="AN125" s="218">
        <f t="shared" si="102"/>
        <v>1</v>
      </c>
      <c r="AO125" s="38">
        <f t="shared" si="103"/>
        <v>70</v>
      </c>
      <c r="AP125" s="231">
        <v>4.0000000000000001E-3</v>
      </c>
      <c r="AQ125" s="33">
        <f t="shared" si="104"/>
        <v>4.0000000000000001E-3</v>
      </c>
      <c r="AR125" s="33">
        <f>IF(SUM($AO125)=0,"",INDEX(Cascade!$BG:$BG,MATCH($E125,Cascade!$E:$E,0)))</f>
        <v>0.95</v>
      </c>
      <c r="AS125" s="218">
        <f t="shared" si="105"/>
        <v>0</v>
      </c>
      <c r="AT125" s="218">
        <f t="shared" si="106"/>
        <v>70</v>
      </c>
      <c r="AU125" s="38" t="str">
        <f t="shared" si="107"/>
        <v/>
      </c>
      <c r="AV125" s="38">
        <f t="shared" si="108"/>
        <v>2</v>
      </c>
      <c r="AW125" s="38">
        <f>IFERROR(1/(1/INDEX(Cascade!$BH:$BH,MATCH($E125,Cascade!$E:$E,0))),"")</f>
        <v>37</v>
      </c>
      <c r="AX125" s="38">
        <f t="shared" si="109"/>
        <v>1</v>
      </c>
      <c r="AY125" s="38" t="str">
        <f t="shared" si="110"/>
        <v/>
      </c>
      <c r="AZ125" s="38" t="str">
        <f>IFERROR(1/(1/INDEX(TB!$P:$P,MATCH($E125,TB!$E:$E,0))),"")</f>
        <v/>
      </c>
      <c r="BA125" s="38">
        <f t="shared" si="111"/>
        <v>36</v>
      </c>
    </row>
    <row r="126" spans="1:53" x14ac:dyDescent="0.2">
      <c r="A126" t="str">
        <f>INDEX(Prioritization!$D:$D,MATCH($B126,Prioritization!$A:$A,0))</f>
        <v>4 - Sustained</v>
      </c>
      <c r="B126" t="s">
        <v>304</v>
      </c>
      <c r="C126" t="s">
        <v>475</v>
      </c>
      <c r="D126" t="s">
        <v>30</v>
      </c>
      <c r="E126" t="str">
        <f t="shared" si="84"/>
        <v>Ntcheu District [am530wpaGvr]|15-24|Female</v>
      </c>
      <c r="F126" s="38">
        <f>IF(LEFT($B126,4)="_Mil","",INDEX(Cascade!$T:$T,MATCH($E126,Cascade!$E:$E,0)))</f>
        <v>89059</v>
      </c>
      <c r="G126" s="38">
        <f>IF(LEFT($B126,4)="_Mil","",INDEX(Cascade!$U:$U,MATCH($E126,Cascade!$E:$E,0)))</f>
        <v>1335</v>
      </c>
      <c r="H126" s="110">
        <f>IF(LEFT($B126,4)="_Mil","",INDEX(Cascade!$W:$W,MATCH($E126,Cascade!$E:$E,0)))</f>
        <v>1.4988258000000001E-2</v>
      </c>
      <c r="I126" s="38">
        <f>IF(LEFT($B126,4)="_Mil","",INDEX(Cascade!$Z:$Z,MATCH($E126,Cascade!$E:$E,0)))</f>
        <v>1470</v>
      </c>
      <c r="J126" s="33">
        <f>IF(LEFT($B126,4)="_Mil","",INDEX(Cascade!$AA:$AA,MATCH($E126,Cascade!$E:$E,0)))</f>
        <v>0.91552181600000015</v>
      </c>
      <c r="K126" s="218">
        <f>IF(LEFT($B126,4)="_Mil","",_xlfn.IFNA(ROUND(INDEX(Spectrum!$N:$N,MATCH(RIGHT($B126,13)&amp;"|"&amp;$C126&amp;"|"&amp;$D126&amp;"|"&amp;K$14&amp;"|"&amp;"CY2024Q3",Spectrum!$R:$R,0)),0),""))</f>
        <v>10356</v>
      </c>
      <c r="L126" s="218">
        <f>IF(LEFT($B126,4)="_Mil","",_xlfn.IFNA(ROUND(INDEX(Spectrum!$N:$N,MATCH(RIGHT($B126,13)&amp;"|"&amp;$C126&amp;"|"&amp;$D126&amp;"|"&amp;L$14&amp;"|"&amp;"CY2024Q3",Spectrum!$R:$R,0)),0),""))</f>
        <v>130</v>
      </c>
      <c r="M126" s="218">
        <f>IF(LEFT($B126,4)="_Mil","",_xlfn.IFNA(ROUND(INDEX(Spectrum!$N:$N,MATCH(RIGHT($B126,13)&amp;"|"&amp;$C126&amp;"|"&amp;$D126&amp;"|"&amp;M$14&amp;"|"&amp;"CY2024Q3",Spectrum!$R:$R,0)),0),""))</f>
        <v>94</v>
      </c>
      <c r="N126" s="218">
        <f>IF(LEFT($B126,4)="_Mil","",_xlfn.IFNA(ROUND(INDEX(Spectrum!$N:$N,MATCH(RIGHT($B126,13)&amp;"|"&amp;$C126&amp;"|"&amp;$D126&amp;"|"&amp;N$14&amp;"|"&amp;"CY2024Q3",Spectrum!$R:$R,0)),0),""))</f>
        <v>10132</v>
      </c>
      <c r="O126" s="218">
        <f>IF(LEFT($B126,4)="_Mil","",_xlfn.IFNA(ROUND(INDEX(Spectrum!$N:$N,MATCH(RIGHT($B126,13)&amp;"|"&amp;$C126&amp;"|"&amp;$D126&amp;"|"&amp;O$14&amp;"|"&amp;"CY2024Q3",Spectrum!$R:$R,0)),0),""))</f>
        <v>224</v>
      </c>
      <c r="P126" s="218">
        <f>IF(LEFT($B126,4)="_Mil","",_xlfn.IFNA(ROUND(INDEX(Spectrum!$N:$N,MATCH(RIGHT($B126,13)&amp;"|"&amp;$C126&amp;"|"&amp;$D126&amp;"|"&amp;P$14&amp;"|"&amp;"CY2024Q3",Spectrum!$R:$R,0)),0),""))</f>
        <v>130</v>
      </c>
      <c r="Q126" s="218">
        <f>IF(LEFT($B126,4)="_Mil","",_xlfn.IFNA(ROUND(INDEX(Spectrum!$N:$N,MATCH(RIGHT($B126,13)&amp;"|"&amp;$C126&amp;"|"&amp;$D126&amp;"|"&amp;Q$14&amp;"|"&amp;"CY2024Q3",Spectrum!$R:$R,0)),0),""))</f>
        <v>94</v>
      </c>
      <c r="R126" s="38">
        <v>13317</v>
      </c>
      <c r="S126" s="33">
        <v>0</v>
      </c>
      <c r="T126" s="218">
        <f t="shared" si="85"/>
        <v>13317</v>
      </c>
      <c r="U126" s="33">
        <f t="shared" si="86"/>
        <v>1</v>
      </c>
      <c r="V126" s="218">
        <f t="shared" si="87"/>
        <v>13317</v>
      </c>
      <c r="W126" s="33">
        <v>1.4999999999999999E-2</v>
      </c>
      <c r="X126" s="33">
        <f t="shared" si="88"/>
        <v>1.4999999999999999E-2</v>
      </c>
      <c r="Y126" s="231">
        <v>1.0999999999999999E-2</v>
      </c>
      <c r="Z126" s="33">
        <f t="shared" si="89"/>
        <v>9.192255036182281E-3</v>
      </c>
      <c r="AA126" s="38">
        <f t="shared" si="90"/>
        <v>13317</v>
      </c>
      <c r="AB126" s="218">
        <f t="shared" si="91"/>
        <v>200</v>
      </c>
      <c r="AC126" s="218">
        <f t="shared" si="92"/>
        <v>121</v>
      </c>
      <c r="AD126" s="218">
        <f t="shared" si="93"/>
        <v>12996</v>
      </c>
      <c r="AE126" s="38">
        <f t="shared" si="94"/>
        <v>13317</v>
      </c>
      <c r="AF126" s="218">
        <f t="shared" si="95"/>
        <v>200</v>
      </c>
      <c r="AG126" s="218">
        <f t="shared" si="96"/>
        <v>121</v>
      </c>
      <c r="AH126" s="218">
        <f t="shared" si="97"/>
        <v>12996</v>
      </c>
      <c r="AI126" s="33">
        <f>IF(SUM($AC126)=0,"",INDEX(Cascade!$BG:$BG,MATCH($E126,Cascade!$E:$E,0)))</f>
        <v>0.95</v>
      </c>
      <c r="AJ126" s="218">
        <f t="shared" si="98"/>
        <v>200</v>
      </c>
      <c r="AK126" s="218">
        <f t="shared" si="99"/>
        <v>115</v>
      </c>
      <c r="AL126" s="218">
        <f t="shared" si="100"/>
        <v>321</v>
      </c>
      <c r="AM126" s="218">
        <f t="shared" si="101"/>
        <v>200</v>
      </c>
      <c r="AN126" s="218">
        <f t="shared" si="102"/>
        <v>115</v>
      </c>
      <c r="AO126" s="38">
        <f t="shared" si="103"/>
        <v>12996</v>
      </c>
      <c r="AP126" s="231">
        <v>4.0000000000000001E-3</v>
      </c>
      <c r="AQ126" s="33">
        <f t="shared" si="104"/>
        <v>4.0000000000000001E-3</v>
      </c>
      <c r="AR126" s="33">
        <f>IF(SUM($AO126)=0,"",INDEX(Cascade!$BG:$BG,MATCH($E126,Cascade!$E:$E,0)))</f>
        <v>0.95</v>
      </c>
      <c r="AS126" s="218">
        <f t="shared" si="105"/>
        <v>52</v>
      </c>
      <c r="AT126" s="218">
        <f t="shared" si="106"/>
        <v>12944</v>
      </c>
      <c r="AU126" s="38">
        <f t="shared" si="107"/>
        <v>49</v>
      </c>
      <c r="AV126" s="38">
        <f t="shared" si="108"/>
        <v>373</v>
      </c>
      <c r="AW126" s="38">
        <f>IFERROR(1/(1/INDEX(Cascade!$BH:$BH,MATCH($E126,Cascade!$E:$E,0))),"")</f>
        <v>238</v>
      </c>
      <c r="AX126" s="38">
        <f t="shared" si="109"/>
        <v>121</v>
      </c>
      <c r="AY126" s="38">
        <f t="shared" si="110"/>
        <v>52</v>
      </c>
      <c r="AZ126" s="38">
        <f>IFERROR(1/(1/INDEX(TB!$P:$P,MATCH($E126,TB!$E:$E,0))),"")</f>
        <v>1</v>
      </c>
      <c r="BA126" s="38">
        <f t="shared" si="111"/>
        <v>64</v>
      </c>
    </row>
    <row r="127" spans="1:53" x14ac:dyDescent="0.2">
      <c r="A127" t="str">
        <f>INDEX(Prioritization!$D:$D,MATCH($B127,Prioritization!$A:$A,0))</f>
        <v>4 - Sustained</v>
      </c>
      <c r="B127" t="s">
        <v>304</v>
      </c>
      <c r="C127" t="s">
        <v>476</v>
      </c>
      <c r="D127" t="s">
        <v>30</v>
      </c>
      <c r="E127" t="str">
        <f t="shared" si="84"/>
        <v>Ntcheu District [am530wpaGvr]|25-34|Female</v>
      </c>
      <c r="F127" s="38">
        <f>IF(LEFT($B127,4)="_Mil","",INDEX(Cascade!$T:$T,MATCH($E127,Cascade!$E:$E,0)))</f>
        <v>59017</v>
      </c>
      <c r="G127" s="38">
        <f>IF(LEFT($B127,4)="_Mil","",INDEX(Cascade!$U:$U,MATCH($E127,Cascade!$E:$E,0)))</f>
        <v>3251</v>
      </c>
      <c r="H127" s="110">
        <f>IF(LEFT($B127,4)="_Mil","",INDEX(Cascade!$W:$W,MATCH($E127,Cascade!$E:$E,0)))</f>
        <v>5.5089781999999997E-2</v>
      </c>
      <c r="I127" s="38">
        <f>IF(LEFT($B127,4)="_Mil","",INDEX(Cascade!$Z:$Z,MATCH($E127,Cascade!$E:$E,0)))</f>
        <v>3706</v>
      </c>
      <c r="J127" s="33">
        <f>IF(LEFT($B127,4)="_Mil","",INDEX(Cascade!$AA:$AA,MATCH($E127,Cascade!$E:$E,0)))</f>
        <v>0.95456085000000013</v>
      </c>
      <c r="K127" s="218">
        <f>IF(LEFT($B127,4)="_Mil","",_xlfn.IFNA(ROUND(INDEX(Spectrum!$N:$N,MATCH(RIGHT($B127,13)&amp;"|"&amp;$C127&amp;"|"&amp;$D127&amp;"|"&amp;K$14&amp;"|"&amp;"CY2024Q3",Spectrum!$R:$R,0)),0),""))</f>
        <v>6647</v>
      </c>
      <c r="L127" s="218">
        <f>IF(LEFT($B127,4)="_Mil","",_xlfn.IFNA(ROUND(INDEX(Spectrum!$N:$N,MATCH(RIGHT($B127,13)&amp;"|"&amp;$C127&amp;"|"&amp;$D127&amp;"|"&amp;L$14&amp;"|"&amp;"CY2024Q3",Spectrum!$R:$R,0)),0),""))</f>
        <v>250</v>
      </c>
      <c r="M127" s="218">
        <f>IF(LEFT($B127,4)="_Mil","",_xlfn.IFNA(ROUND(INDEX(Spectrum!$N:$N,MATCH(RIGHT($B127,13)&amp;"|"&amp;$C127&amp;"|"&amp;$D127&amp;"|"&amp;M$14&amp;"|"&amp;"CY2024Q3",Spectrum!$R:$R,0)),0),""))</f>
        <v>128</v>
      </c>
      <c r="N127" s="218">
        <f>IF(LEFT($B127,4)="_Mil","",_xlfn.IFNA(ROUND(INDEX(Spectrum!$N:$N,MATCH(RIGHT($B127,13)&amp;"|"&amp;$C127&amp;"|"&amp;$D127&amp;"|"&amp;N$14&amp;"|"&amp;"CY2024Q3",Spectrum!$R:$R,0)),0),""))</f>
        <v>6269</v>
      </c>
      <c r="O127" s="218">
        <f>IF(LEFT($B127,4)="_Mil","",_xlfn.IFNA(ROUND(INDEX(Spectrum!$N:$N,MATCH(RIGHT($B127,13)&amp;"|"&amp;$C127&amp;"|"&amp;$D127&amp;"|"&amp;O$14&amp;"|"&amp;"CY2024Q3",Spectrum!$R:$R,0)),0),""))</f>
        <v>377</v>
      </c>
      <c r="P127" s="218">
        <f>IF(LEFT($B127,4)="_Mil","",_xlfn.IFNA(ROUND(INDEX(Spectrum!$N:$N,MATCH(RIGHT($B127,13)&amp;"|"&amp;$C127&amp;"|"&amp;$D127&amp;"|"&amp;P$14&amp;"|"&amp;"CY2024Q3",Spectrum!$R:$R,0)),0),""))</f>
        <v>250</v>
      </c>
      <c r="Q127" s="218">
        <f>IF(LEFT($B127,4)="_Mil","",_xlfn.IFNA(ROUND(INDEX(Spectrum!$N:$N,MATCH(RIGHT($B127,13)&amp;"|"&amp;$C127&amp;"|"&amp;$D127&amp;"|"&amp;Q$14&amp;"|"&amp;"CY2024Q3",Spectrum!$R:$R,0)),0),""))</f>
        <v>128</v>
      </c>
      <c r="R127" s="38">
        <v>7377</v>
      </c>
      <c r="S127" s="33">
        <v>0</v>
      </c>
      <c r="T127" s="218">
        <f t="shared" si="85"/>
        <v>7377</v>
      </c>
      <c r="U127" s="33">
        <f t="shared" si="86"/>
        <v>1</v>
      </c>
      <c r="V127" s="218">
        <f t="shared" si="87"/>
        <v>7377</v>
      </c>
      <c r="W127" s="33">
        <v>5.7000000000000002E-2</v>
      </c>
      <c r="X127" s="33">
        <f t="shared" si="88"/>
        <v>5.7000000000000002E-2</v>
      </c>
      <c r="Y127" s="231">
        <v>1.0999999999999999E-2</v>
      </c>
      <c r="Z127" s="33">
        <f t="shared" si="89"/>
        <v>1.0999999999999999E-2</v>
      </c>
      <c r="AA127" s="38">
        <f t="shared" si="90"/>
        <v>7377</v>
      </c>
      <c r="AB127" s="218">
        <f t="shared" si="91"/>
        <v>420</v>
      </c>
      <c r="AC127" s="218">
        <f t="shared" si="92"/>
        <v>77</v>
      </c>
      <c r="AD127" s="218">
        <f t="shared" si="93"/>
        <v>6880</v>
      </c>
      <c r="AE127" s="38">
        <f t="shared" si="94"/>
        <v>7377</v>
      </c>
      <c r="AF127" s="218">
        <f t="shared" si="95"/>
        <v>420</v>
      </c>
      <c r="AG127" s="218">
        <f t="shared" si="96"/>
        <v>77</v>
      </c>
      <c r="AH127" s="218">
        <f t="shared" si="97"/>
        <v>6880</v>
      </c>
      <c r="AI127" s="33">
        <f>IF(SUM($AC127)=0,"",INDEX(Cascade!$BG:$BG,MATCH($E127,Cascade!$E:$E,0)))</f>
        <v>0.95</v>
      </c>
      <c r="AJ127" s="218">
        <f t="shared" si="98"/>
        <v>420</v>
      </c>
      <c r="AK127" s="218">
        <f t="shared" si="99"/>
        <v>73</v>
      </c>
      <c r="AL127" s="218">
        <f t="shared" si="100"/>
        <v>497</v>
      </c>
      <c r="AM127" s="218">
        <f t="shared" si="101"/>
        <v>420</v>
      </c>
      <c r="AN127" s="218">
        <f t="shared" si="102"/>
        <v>73</v>
      </c>
      <c r="AO127" s="38">
        <f t="shared" si="103"/>
        <v>6880</v>
      </c>
      <c r="AP127" s="231">
        <v>4.0000000000000001E-3</v>
      </c>
      <c r="AQ127" s="33">
        <f t="shared" si="104"/>
        <v>4.0000000000000001E-3</v>
      </c>
      <c r="AR127" s="33">
        <f>IF(SUM($AO127)=0,"",INDEX(Cascade!$BG:$BG,MATCH($E127,Cascade!$E:$E,0)))</f>
        <v>0.95</v>
      </c>
      <c r="AS127" s="218">
        <f t="shared" si="105"/>
        <v>28</v>
      </c>
      <c r="AT127" s="218">
        <f t="shared" si="106"/>
        <v>6852</v>
      </c>
      <c r="AU127" s="38">
        <f t="shared" si="107"/>
        <v>27</v>
      </c>
      <c r="AV127" s="38">
        <f t="shared" si="108"/>
        <v>525</v>
      </c>
      <c r="AW127" s="38">
        <f>IFERROR(1/(1/INDEX(Cascade!$BH:$BH,MATCH($E127,Cascade!$E:$E,0))),"")</f>
        <v>245.99999999999997</v>
      </c>
      <c r="AX127" s="38">
        <f t="shared" si="109"/>
        <v>77</v>
      </c>
      <c r="AY127" s="38">
        <f t="shared" si="110"/>
        <v>28</v>
      </c>
      <c r="AZ127" s="38">
        <f>IFERROR(1/(1/INDEX(TB!$P:$P,MATCH($E127,TB!$E:$E,0))),"")</f>
        <v>1</v>
      </c>
      <c r="BA127" s="38">
        <f t="shared" si="111"/>
        <v>139.99999999999997</v>
      </c>
    </row>
    <row r="128" spans="1:53" x14ac:dyDescent="0.2">
      <c r="A128" t="str">
        <f>INDEX(Prioritization!$D:$D,MATCH($B128,Prioritization!$A:$A,0))</f>
        <v>4 - Sustained</v>
      </c>
      <c r="B128" t="s">
        <v>304</v>
      </c>
      <c r="C128" t="s">
        <v>477</v>
      </c>
      <c r="D128" t="s">
        <v>30</v>
      </c>
      <c r="E128" t="str">
        <f t="shared" si="84"/>
        <v>Ntcheu District [am530wpaGvr]|35-49|Female</v>
      </c>
      <c r="F128" s="38">
        <f>IF(LEFT($B128,4)="_Mil","",INDEX(Cascade!$T:$T,MATCH($E128,Cascade!$E:$E,0)))</f>
        <v>62971</v>
      </c>
      <c r="G128" s="38">
        <f>IF(LEFT($B128,4)="_Mil","",INDEX(Cascade!$U:$U,MATCH($E128,Cascade!$E:$E,0)))</f>
        <v>8833</v>
      </c>
      <c r="H128" s="110">
        <f>IF(LEFT($B128,4)="_Mil","",INDEX(Cascade!$W:$W,MATCH($E128,Cascade!$E:$E,0)))</f>
        <v>0.14027089600000001</v>
      </c>
      <c r="I128" s="38">
        <f>IF(LEFT($B128,4)="_Mil","",INDEX(Cascade!$Z:$Z,MATCH($E128,Cascade!$E:$E,0)))</f>
        <v>10172</v>
      </c>
      <c r="J128" s="33">
        <f>IF(LEFT($B128,4)="_Mil","",INDEX(Cascade!$AA:$AA,MATCH($E128,Cascade!$E:$E,0)))</f>
        <v>0.97728523500000009</v>
      </c>
      <c r="K128" s="218">
        <f>IF(LEFT($B128,4)="_Mil","",_xlfn.IFNA(ROUND(INDEX(Spectrum!$N:$N,MATCH(RIGHT($B128,13)&amp;"|"&amp;$C128&amp;"|"&amp;$D128&amp;"|"&amp;K$14&amp;"|"&amp;"CY2024Q3",Spectrum!$R:$R,0)),0),""))</f>
        <v>2647</v>
      </c>
      <c r="L128" s="218">
        <f>IF(LEFT($B128,4)="_Mil","",_xlfn.IFNA(ROUND(INDEX(Spectrum!$N:$N,MATCH(RIGHT($B128,13)&amp;"|"&amp;$C128&amp;"|"&amp;$D128&amp;"|"&amp;L$14&amp;"|"&amp;"CY2024Q3",Spectrum!$R:$R,0)),0),""))</f>
        <v>226</v>
      </c>
      <c r="M128" s="218">
        <f>IF(LEFT($B128,4)="_Mil","",_xlfn.IFNA(ROUND(INDEX(Spectrum!$N:$N,MATCH(RIGHT($B128,13)&amp;"|"&amp;$C128&amp;"|"&amp;$D128&amp;"|"&amp;M$14&amp;"|"&amp;"CY2024Q3",Spectrum!$R:$R,0)),0),""))</f>
        <v>39</v>
      </c>
      <c r="N128" s="218">
        <f>IF(LEFT($B128,4)="_Mil","",_xlfn.IFNA(ROUND(INDEX(Spectrum!$N:$N,MATCH(RIGHT($B128,13)&amp;"|"&amp;$C128&amp;"|"&amp;$D128&amp;"|"&amp;N$14&amp;"|"&amp;"CY2024Q3",Spectrum!$R:$R,0)),0),""))</f>
        <v>2382</v>
      </c>
      <c r="O128" s="218">
        <f>IF(LEFT($B128,4)="_Mil","",_xlfn.IFNA(ROUND(INDEX(Spectrum!$N:$N,MATCH(RIGHT($B128,13)&amp;"|"&amp;$C128&amp;"|"&amp;$D128&amp;"|"&amp;O$14&amp;"|"&amp;"CY2024Q3",Spectrum!$R:$R,0)),0),""))</f>
        <v>266</v>
      </c>
      <c r="P128" s="218">
        <f>IF(LEFT($B128,4)="_Mil","",_xlfn.IFNA(ROUND(INDEX(Spectrum!$N:$N,MATCH(RIGHT($B128,13)&amp;"|"&amp;$C128&amp;"|"&amp;$D128&amp;"|"&amp;P$14&amp;"|"&amp;"CY2024Q3",Spectrum!$R:$R,0)),0),""))</f>
        <v>226</v>
      </c>
      <c r="Q128" s="218">
        <f>IF(LEFT($B128,4)="_Mil","",_xlfn.IFNA(ROUND(INDEX(Spectrum!$N:$N,MATCH(RIGHT($B128,13)&amp;"|"&amp;$C128&amp;"|"&amp;$D128&amp;"|"&amp;Q$14&amp;"|"&amp;"CY2024Q3",Spectrum!$R:$R,0)),0),""))</f>
        <v>39</v>
      </c>
      <c r="R128" s="38">
        <v>2119</v>
      </c>
      <c r="S128" s="33">
        <v>0</v>
      </c>
      <c r="T128" s="218">
        <f t="shared" si="85"/>
        <v>2119</v>
      </c>
      <c r="U128" s="33">
        <f t="shared" si="86"/>
        <v>0.80052890064223647</v>
      </c>
      <c r="V128" s="218">
        <f t="shared" si="87"/>
        <v>2647</v>
      </c>
      <c r="W128" s="33">
        <v>0.115</v>
      </c>
      <c r="X128" s="33">
        <f t="shared" si="88"/>
        <v>0.115</v>
      </c>
      <c r="Y128" s="231">
        <v>1.0999999999999999E-2</v>
      </c>
      <c r="Z128" s="33">
        <f t="shared" si="89"/>
        <v>1.0999999999999999E-2</v>
      </c>
      <c r="AA128" s="38">
        <f t="shared" si="90"/>
        <v>2119</v>
      </c>
      <c r="AB128" s="218">
        <f t="shared" si="91"/>
        <v>244</v>
      </c>
      <c r="AC128" s="218">
        <f t="shared" si="92"/>
        <v>21</v>
      </c>
      <c r="AD128" s="218">
        <f t="shared" si="93"/>
        <v>1854</v>
      </c>
      <c r="AE128" s="38">
        <f t="shared" si="94"/>
        <v>2647</v>
      </c>
      <c r="AF128" s="218">
        <f t="shared" si="95"/>
        <v>304</v>
      </c>
      <c r="AG128" s="218">
        <f t="shared" si="96"/>
        <v>26</v>
      </c>
      <c r="AH128" s="218">
        <f t="shared" si="97"/>
        <v>2317</v>
      </c>
      <c r="AI128" s="33">
        <f>IF(SUM($AC128)=0,"",INDEX(Cascade!$BG:$BG,MATCH($E128,Cascade!$E:$E,0)))</f>
        <v>0.95</v>
      </c>
      <c r="AJ128" s="218">
        <f t="shared" si="98"/>
        <v>244</v>
      </c>
      <c r="AK128" s="218">
        <f t="shared" si="99"/>
        <v>20</v>
      </c>
      <c r="AL128" s="218">
        <f t="shared" si="100"/>
        <v>330</v>
      </c>
      <c r="AM128" s="218">
        <f t="shared" si="101"/>
        <v>304</v>
      </c>
      <c r="AN128" s="218">
        <f t="shared" si="102"/>
        <v>25</v>
      </c>
      <c r="AO128" s="38">
        <f t="shared" si="103"/>
        <v>1854.0000000000002</v>
      </c>
      <c r="AP128" s="231">
        <v>4.0000000000000001E-3</v>
      </c>
      <c r="AQ128" s="33">
        <f t="shared" si="104"/>
        <v>4.0000000000000001E-3</v>
      </c>
      <c r="AR128" s="33">
        <f>IF(SUM($AO128)=0,"",INDEX(Cascade!$BG:$BG,MATCH($E128,Cascade!$E:$E,0)))</f>
        <v>0.95</v>
      </c>
      <c r="AS128" s="218">
        <f t="shared" si="105"/>
        <v>7</v>
      </c>
      <c r="AT128" s="218">
        <f t="shared" si="106"/>
        <v>1847.0000000000002</v>
      </c>
      <c r="AU128" s="38">
        <f t="shared" si="107"/>
        <v>7</v>
      </c>
      <c r="AV128" s="38">
        <f t="shared" si="108"/>
        <v>272</v>
      </c>
      <c r="AW128" s="38">
        <f>IFERROR(1/(1/INDEX(Cascade!$BH:$BH,MATCH($E128,Cascade!$E:$E,0))),"")</f>
        <v>395.99999999999994</v>
      </c>
      <c r="AX128" s="38">
        <f t="shared" si="109"/>
        <v>21</v>
      </c>
      <c r="AY128" s="38">
        <f t="shared" si="110"/>
        <v>7</v>
      </c>
      <c r="AZ128" s="38">
        <f>IFERROR(1/(1/INDEX(TB!$P:$P,MATCH($E128,TB!$E:$E,0))),"")</f>
        <v>2</v>
      </c>
      <c r="BA128" s="38">
        <f t="shared" si="111"/>
        <v>365.99999999999994</v>
      </c>
    </row>
    <row r="129" spans="1:53" x14ac:dyDescent="0.2">
      <c r="A129" t="str">
        <f>INDEX(Prioritization!$D:$D,MATCH($B129,Prioritization!$A:$A,0))</f>
        <v>4 - Sustained</v>
      </c>
      <c r="B129" t="s">
        <v>304</v>
      </c>
      <c r="C129" t="s">
        <v>478</v>
      </c>
      <c r="D129" t="s">
        <v>30</v>
      </c>
      <c r="E129" t="str">
        <f t="shared" si="84"/>
        <v>Ntcheu District [am530wpaGvr]|50+|Female</v>
      </c>
      <c r="F129" s="38">
        <f>IF(LEFT($B129,4)="_Mil","",INDEX(Cascade!$T:$T,MATCH($E129,Cascade!$E:$E,0)))</f>
        <v>42479</v>
      </c>
      <c r="G129" s="38">
        <f>IF(LEFT($B129,4)="_Mil","",INDEX(Cascade!$U:$U,MATCH($E129,Cascade!$E:$E,0)))</f>
        <v>4475</v>
      </c>
      <c r="H129" s="110">
        <f>IF(LEFT($B129,4)="_Mil","",INDEX(Cascade!$W:$W,MATCH($E129,Cascade!$E:$E,0)))</f>
        <v>0.105358067</v>
      </c>
      <c r="I129" s="38">
        <f>IF(LEFT($B129,4)="_Mil","",INDEX(Cascade!$Z:$Z,MATCH($E129,Cascade!$E:$E,0)))</f>
        <v>5114</v>
      </c>
      <c r="J129" s="33">
        <f>IF(LEFT($B129,4)="_Mil","",INDEX(Cascade!$AA:$AA,MATCH($E129,Cascade!$E:$E,0)))</f>
        <v>0.98439424099999995</v>
      </c>
      <c r="K129" s="218" t="str">
        <f>IF(LEFT($B129,4)="_Mil","",_xlfn.IFNA(ROUND(INDEX(Spectrum!$N:$N,MATCH(RIGHT($B129,13)&amp;"|"&amp;$C129&amp;"|"&amp;$D129&amp;"|"&amp;K$14&amp;"|"&amp;"CY2024Q3",Spectrum!$R:$R,0)),0),""))</f>
        <v/>
      </c>
      <c r="L129" s="218" t="str">
        <f>IF(LEFT($B129,4)="_Mil","",_xlfn.IFNA(ROUND(INDEX(Spectrum!$N:$N,MATCH(RIGHT($B129,13)&amp;"|"&amp;$C129&amp;"|"&amp;$D129&amp;"|"&amp;L$14&amp;"|"&amp;"CY2024Q3",Spectrum!$R:$R,0)),0),""))</f>
        <v/>
      </c>
      <c r="M129" s="218" t="str">
        <f>IF(LEFT($B129,4)="_Mil","",_xlfn.IFNA(ROUND(INDEX(Spectrum!$N:$N,MATCH(RIGHT($B129,13)&amp;"|"&amp;$C129&amp;"|"&amp;$D129&amp;"|"&amp;M$14&amp;"|"&amp;"CY2024Q3",Spectrum!$R:$R,0)),0),""))</f>
        <v/>
      </c>
      <c r="N129" s="218" t="str">
        <f>IF(LEFT($B129,4)="_Mil","",_xlfn.IFNA(ROUND(INDEX(Spectrum!$N:$N,MATCH(RIGHT($B129,13)&amp;"|"&amp;$C129&amp;"|"&amp;$D129&amp;"|"&amp;N$14&amp;"|"&amp;"CY2024Q3",Spectrum!$R:$R,0)),0),""))</f>
        <v/>
      </c>
      <c r="O129" s="218" t="str">
        <f>IF(LEFT($B129,4)="_Mil","",_xlfn.IFNA(ROUND(INDEX(Spectrum!$N:$N,MATCH(RIGHT($B129,13)&amp;"|"&amp;$C129&amp;"|"&amp;$D129&amp;"|"&amp;O$14&amp;"|"&amp;"CY2024Q3",Spectrum!$R:$R,0)),0),""))</f>
        <v/>
      </c>
      <c r="P129" s="218" t="str">
        <f>IF(LEFT($B129,4)="_Mil","",_xlfn.IFNA(ROUND(INDEX(Spectrum!$N:$N,MATCH(RIGHT($B129,13)&amp;"|"&amp;$C129&amp;"|"&amp;$D129&amp;"|"&amp;P$14&amp;"|"&amp;"CY2024Q3",Spectrum!$R:$R,0)),0),""))</f>
        <v/>
      </c>
      <c r="Q129" s="218" t="str">
        <f>IF(LEFT($B129,4)="_Mil","",_xlfn.IFNA(ROUND(INDEX(Spectrum!$N:$N,MATCH(RIGHT($B129,13)&amp;"|"&amp;$C129&amp;"|"&amp;$D129&amp;"|"&amp;Q$14&amp;"|"&amp;"CY2024Q3",Spectrum!$R:$R,0)),0),""))</f>
        <v/>
      </c>
      <c r="R129" s="38">
        <v>12</v>
      </c>
      <c r="S129" s="33">
        <v>0</v>
      </c>
      <c r="T129" s="218">
        <f t="shared" si="85"/>
        <v>12</v>
      </c>
      <c r="U129" s="33">
        <f t="shared" si="86"/>
        <v>1</v>
      </c>
      <c r="V129" s="218">
        <f t="shared" si="87"/>
        <v>12</v>
      </c>
      <c r="W129" s="33">
        <v>0.115</v>
      </c>
      <c r="X129" s="33">
        <f t="shared" si="88"/>
        <v>0.115</v>
      </c>
      <c r="Y129" s="231">
        <v>1.0999999999999999E-2</v>
      </c>
      <c r="Z129" s="33">
        <f t="shared" si="89"/>
        <v>1.0999999999999999E-2</v>
      </c>
      <c r="AA129" s="38">
        <f t="shared" si="90"/>
        <v>12</v>
      </c>
      <c r="AB129" s="218">
        <f t="shared" si="91"/>
        <v>1</v>
      </c>
      <c r="AC129" s="218">
        <f t="shared" si="92"/>
        <v>0</v>
      </c>
      <c r="AD129" s="218">
        <f t="shared" si="93"/>
        <v>11</v>
      </c>
      <c r="AE129" s="38">
        <f t="shared" si="94"/>
        <v>12</v>
      </c>
      <c r="AF129" s="218">
        <f t="shared" si="95"/>
        <v>1</v>
      </c>
      <c r="AG129" s="218">
        <f t="shared" si="96"/>
        <v>0</v>
      </c>
      <c r="AH129" s="218">
        <f t="shared" si="97"/>
        <v>11</v>
      </c>
      <c r="AI129" s="33" t="str">
        <f>IF(SUM($AC129)=0,"",INDEX(Cascade!$BG:$BG,MATCH($E129,Cascade!$E:$E,0)))</f>
        <v/>
      </c>
      <c r="AJ129" s="218">
        <f t="shared" si="98"/>
        <v>1</v>
      </c>
      <c r="AK129" s="218" t="str">
        <f t="shared" si="99"/>
        <v/>
      </c>
      <c r="AL129" s="218">
        <f t="shared" si="100"/>
        <v>1</v>
      </c>
      <c r="AM129" s="218">
        <f t="shared" si="101"/>
        <v>1</v>
      </c>
      <c r="AN129" s="218" t="str">
        <f t="shared" si="102"/>
        <v/>
      </c>
      <c r="AO129" s="38">
        <f t="shared" si="103"/>
        <v>11</v>
      </c>
      <c r="AP129" s="231">
        <v>4.0000000000000001E-3</v>
      </c>
      <c r="AQ129" s="33">
        <f t="shared" si="104"/>
        <v>4.0000000000000001E-3</v>
      </c>
      <c r="AR129" s="33">
        <f>IF(SUM($AO129)=0,"",INDEX(Cascade!$BG:$BG,MATCH($E129,Cascade!$E:$E,0)))</f>
        <v>0.95</v>
      </c>
      <c r="AS129" s="218">
        <f t="shared" si="105"/>
        <v>0</v>
      </c>
      <c r="AT129" s="218">
        <f t="shared" si="106"/>
        <v>11</v>
      </c>
      <c r="AU129" s="38" t="str">
        <f t="shared" si="107"/>
        <v/>
      </c>
      <c r="AV129" s="38">
        <f t="shared" si="108"/>
        <v>1</v>
      </c>
      <c r="AW129" s="38">
        <f>IFERROR(1/(1/INDEX(Cascade!$BH:$BH,MATCH($E129,Cascade!$E:$E,0))),"")</f>
        <v>244</v>
      </c>
      <c r="AX129" s="38" t="str">
        <f t="shared" si="109"/>
        <v/>
      </c>
      <c r="AY129" s="38" t="str">
        <f t="shared" si="110"/>
        <v/>
      </c>
      <c r="AZ129" s="38">
        <f>IFERROR(1/(1/INDEX(TB!$P:$P,MATCH($E129,TB!$E:$E,0))),"")</f>
        <v>1</v>
      </c>
      <c r="BA129" s="38">
        <f t="shared" si="111"/>
        <v>242.99999999999997</v>
      </c>
    </row>
    <row r="130" spans="1:53" x14ac:dyDescent="0.2">
      <c r="A130" t="str">
        <f>INDEX(Prioritization!$D:$D,MATCH($B130,Prioritization!$A:$A,0))</f>
        <v>4 - Sustained</v>
      </c>
      <c r="B130" t="s">
        <v>305</v>
      </c>
      <c r="C130" t="s">
        <v>474</v>
      </c>
      <c r="D130" t="s">
        <v>30</v>
      </c>
      <c r="E130" t="str">
        <f t="shared" si="84"/>
        <v>Ntchisi District [fiRkU6gEjLz]|10-14|Female</v>
      </c>
      <c r="F130" s="38">
        <f>IF(LEFT($B130,4)="_Mil","",INDEX(Cascade!$T:$T,MATCH($E130,Cascade!$E:$E,0)))</f>
        <v>27191</v>
      </c>
      <c r="G130" s="38">
        <f>IF(LEFT($B130,4)="_Mil","",INDEX(Cascade!$U:$U,MATCH($E130,Cascade!$E:$E,0)))</f>
        <v>66</v>
      </c>
      <c r="H130" s="110">
        <f>IF(LEFT($B130,4)="_Mil","",INDEX(Cascade!$W:$W,MATCH($E130,Cascade!$E:$E,0)))</f>
        <v>2.4384699999999999E-3</v>
      </c>
      <c r="I130" s="38">
        <f>IF(LEFT($B130,4)="_Mil","",INDEX(Cascade!$Z:$Z,MATCH($E130,Cascade!$E:$E,0)))</f>
        <v>50</v>
      </c>
      <c r="J130" s="33">
        <f>IF(LEFT($B130,4)="_Mil","",INDEX(Cascade!$AA:$AA,MATCH($E130,Cascade!$E:$E,0)))</f>
        <v>0.74002315799999996</v>
      </c>
      <c r="K130" s="218" t="str">
        <f>IF(LEFT($B130,4)="_Mil","",_xlfn.IFNA(ROUND(INDEX(Spectrum!$N:$N,MATCH(RIGHT($B130,13)&amp;"|"&amp;$C130&amp;"|"&amp;$D130&amp;"|"&amp;K$14&amp;"|"&amp;"CY2024Q3",Spectrum!$R:$R,0)),0),""))</f>
        <v/>
      </c>
      <c r="L130" s="218" t="str">
        <f>IF(LEFT($B130,4)="_Mil","",_xlfn.IFNA(ROUND(INDEX(Spectrum!$N:$N,MATCH(RIGHT($B130,13)&amp;"|"&amp;$C130&amp;"|"&amp;$D130&amp;"|"&amp;L$14&amp;"|"&amp;"CY2024Q3",Spectrum!$R:$R,0)),0),""))</f>
        <v/>
      </c>
      <c r="M130" s="218" t="str">
        <f>IF(LEFT($B130,4)="_Mil","",_xlfn.IFNA(ROUND(INDEX(Spectrum!$N:$N,MATCH(RIGHT($B130,13)&amp;"|"&amp;$C130&amp;"|"&amp;$D130&amp;"|"&amp;M$14&amp;"|"&amp;"CY2024Q3",Spectrum!$R:$R,0)),0),""))</f>
        <v/>
      </c>
      <c r="N130" s="218" t="str">
        <f>IF(LEFT($B130,4)="_Mil","",_xlfn.IFNA(ROUND(INDEX(Spectrum!$N:$N,MATCH(RIGHT($B130,13)&amp;"|"&amp;$C130&amp;"|"&amp;$D130&amp;"|"&amp;N$14&amp;"|"&amp;"CY2024Q3",Spectrum!$R:$R,0)),0),""))</f>
        <v/>
      </c>
      <c r="O130" s="218" t="str">
        <f>IF(LEFT($B130,4)="_Mil","",_xlfn.IFNA(ROUND(INDEX(Spectrum!$N:$N,MATCH(RIGHT($B130,13)&amp;"|"&amp;$C130&amp;"|"&amp;$D130&amp;"|"&amp;O$14&amp;"|"&amp;"CY2024Q3",Spectrum!$R:$R,0)),0),""))</f>
        <v/>
      </c>
      <c r="P130" s="218" t="str">
        <f>IF(LEFT($B130,4)="_Mil","",_xlfn.IFNA(ROUND(INDEX(Spectrum!$N:$N,MATCH(RIGHT($B130,13)&amp;"|"&amp;$C130&amp;"|"&amp;$D130&amp;"|"&amp;P$14&amp;"|"&amp;"CY2024Q3",Spectrum!$R:$R,0)),0),""))</f>
        <v/>
      </c>
      <c r="Q130" s="218" t="str">
        <f>IF(LEFT($B130,4)="_Mil","",_xlfn.IFNA(ROUND(INDEX(Spectrum!$N:$N,MATCH(RIGHT($B130,13)&amp;"|"&amp;$C130&amp;"|"&amp;$D130&amp;"|"&amp;Q$14&amp;"|"&amp;"CY2024Q3",Spectrum!$R:$R,0)),0),""))</f>
        <v/>
      </c>
      <c r="R130" s="38">
        <v>21</v>
      </c>
      <c r="S130" s="33">
        <v>0</v>
      </c>
      <c r="T130" s="218">
        <f t="shared" si="85"/>
        <v>21</v>
      </c>
      <c r="U130" s="33">
        <f t="shared" si="86"/>
        <v>1</v>
      </c>
      <c r="V130" s="218">
        <f t="shared" si="87"/>
        <v>21</v>
      </c>
      <c r="W130" s="33">
        <v>1.6999999999999999E-3</v>
      </c>
      <c r="X130" s="33">
        <f t="shared" si="88"/>
        <v>1.6999999999999999E-3</v>
      </c>
      <c r="Y130" s="231">
        <v>1.0999999999999999E-2</v>
      </c>
      <c r="Z130" s="33">
        <f t="shared" si="89"/>
        <v>1.0999999999999999E-2</v>
      </c>
      <c r="AA130" s="38">
        <f t="shared" si="90"/>
        <v>21</v>
      </c>
      <c r="AB130" s="218">
        <f t="shared" si="91"/>
        <v>0</v>
      </c>
      <c r="AC130" s="218">
        <f t="shared" si="92"/>
        <v>0</v>
      </c>
      <c r="AD130" s="218">
        <f t="shared" si="93"/>
        <v>21</v>
      </c>
      <c r="AE130" s="38">
        <f t="shared" si="94"/>
        <v>21</v>
      </c>
      <c r="AF130" s="218">
        <f t="shared" si="95"/>
        <v>0</v>
      </c>
      <c r="AG130" s="218">
        <f t="shared" si="96"/>
        <v>0</v>
      </c>
      <c r="AH130" s="218">
        <f t="shared" si="97"/>
        <v>21</v>
      </c>
      <c r="AI130" s="33" t="str">
        <f>IF(SUM($AC130)=0,"",INDEX(Cascade!$BG:$BG,MATCH($E130,Cascade!$E:$E,0)))</f>
        <v/>
      </c>
      <c r="AJ130" s="218">
        <f t="shared" si="98"/>
        <v>0</v>
      </c>
      <c r="AK130" s="218" t="str">
        <f t="shared" si="99"/>
        <v/>
      </c>
      <c r="AL130" s="218" t="str">
        <f t="shared" si="100"/>
        <v/>
      </c>
      <c r="AM130" s="218">
        <f t="shared" si="101"/>
        <v>0</v>
      </c>
      <c r="AN130" s="218" t="str">
        <f t="shared" si="102"/>
        <v/>
      </c>
      <c r="AO130" s="38">
        <f t="shared" si="103"/>
        <v>21</v>
      </c>
      <c r="AP130" s="231">
        <v>4.0000000000000001E-3</v>
      </c>
      <c r="AQ130" s="33">
        <f t="shared" si="104"/>
        <v>4.0000000000000001E-3</v>
      </c>
      <c r="AR130" s="33">
        <f>IF(SUM($AO130)=0,"",INDEX(Cascade!$BG:$BG,MATCH($E130,Cascade!$E:$E,0)))</f>
        <v>0.95</v>
      </c>
      <c r="AS130" s="218">
        <f t="shared" si="105"/>
        <v>0</v>
      </c>
      <c r="AT130" s="218">
        <f t="shared" si="106"/>
        <v>21</v>
      </c>
      <c r="AU130" s="38" t="str">
        <f t="shared" si="107"/>
        <v/>
      </c>
      <c r="AV130" s="38" t="str">
        <f t="shared" si="108"/>
        <v/>
      </c>
      <c r="AW130" s="38">
        <f>IFERROR(1/(1/INDEX(Cascade!$BH:$BH,MATCH($E130,Cascade!$E:$E,0))),"")</f>
        <v>13</v>
      </c>
      <c r="AX130" s="38" t="str">
        <f t="shared" si="109"/>
        <v/>
      </c>
      <c r="AY130" s="38" t="str">
        <f t="shared" si="110"/>
        <v/>
      </c>
      <c r="AZ130" s="38" t="str">
        <f>IFERROR(1/(1/INDEX(TB!$P:$P,MATCH($E130,TB!$E:$E,0))),"")</f>
        <v/>
      </c>
      <c r="BA130" s="38">
        <f t="shared" si="111"/>
        <v>13</v>
      </c>
    </row>
    <row r="131" spans="1:53" x14ac:dyDescent="0.2">
      <c r="A131" t="str">
        <f>INDEX(Prioritization!$D:$D,MATCH($B131,Prioritization!$A:$A,0))</f>
        <v>4 - Sustained</v>
      </c>
      <c r="B131" t="s">
        <v>305</v>
      </c>
      <c r="C131" t="s">
        <v>475</v>
      </c>
      <c r="D131" t="s">
        <v>30</v>
      </c>
      <c r="E131" t="str">
        <f t="shared" si="84"/>
        <v>Ntchisi District [fiRkU6gEjLz]|15-24|Female</v>
      </c>
      <c r="F131" s="38">
        <f>IF(LEFT($B131,4)="_Mil","",INDEX(Cascade!$T:$T,MATCH($E131,Cascade!$E:$E,0)))</f>
        <v>43060</v>
      </c>
      <c r="G131" s="38">
        <f>IF(LEFT($B131,4)="_Mil","",INDEX(Cascade!$U:$U,MATCH($E131,Cascade!$E:$E,0)))</f>
        <v>225</v>
      </c>
      <c r="H131" s="110">
        <f>IF(LEFT($B131,4)="_Mil","",INDEX(Cascade!$W:$W,MATCH($E131,Cascade!$E:$E,0)))</f>
        <v>5.2141679999999999E-3</v>
      </c>
      <c r="I131" s="38">
        <f>IF(LEFT($B131,4)="_Mil","",INDEX(Cascade!$Z:$Z,MATCH($E131,Cascade!$E:$E,0)))</f>
        <v>218</v>
      </c>
      <c r="J131" s="33">
        <f>IF(LEFT($B131,4)="_Mil","",INDEX(Cascade!$AA:$AA,MATCH($E131,Cascade!$E:$E,0)))</f>
        <v>0.93177653699999985</v>
      </c>
      <c r="K131" s="218">
        <f>IF(LEFT($B131,4)="_Mil","",_xlfn.IFNA(ROUND(INDEX(Spectrum!$N:$N,MATCH(RIGHT($B131,13)&amp;"|"&amp;$C131&amp;"|"&amp;$D131&amp;"|"&amp;K$14&amp;"|"&amp;"CY2024Q3",Spectrum!$R:$R,0)),0),""))</f>
        <v>4698</v>
      </c>
      <c r="L131" s="218">
        <f>IF(LEFT($B131,4)="_Mil","",_xlfn.IFNA(ROUND(INDEX(Spectrum!$N:$N,MATCH(RIGHT($B131,13)&amp;"|"&amp;$C131&amp;"|"&amp;$D131&amp;"|"&amp;L$14&amp;"|"&amp;"CY2024Q3",Spectrum!$R:$R,0)),0),""))</f>
        <v>17</v>
      </c>
      <c r="M131" s="218">
        <f>IF(LEFT($B131,4)="_Mil","",_xlfn.IFNA(ROUND(INDEX(Spectrum!$N:$N,MATCH(RIGHT($B131,13)&amp;"|"&amp;$C131&amp;"|"&amp;$D131&amp;"|"&amp;M$14&amp;"|"&amp;"CY2024Q3",Spectrum!$R:$R,0)),0),""))</f>
        <v>11</v>
      </c>
      <c r="N131" s="218">
        <f>IF(LEFT($B131,4)="_Mil","",_xlfn.IFNA(ROUND(INDEX(Spectrum!$N:$N,MATCH(RIGHT($B131,13)&amp;"|"&amp;$C131&amp;"|"&amp;$D131&amp;"|"&amp;N$14&amp;"|"&amp;"CY2024Q3",Spectrum!$R:$R,0)),0),""))</f>
        <v>4669</v>
      </c>
      <c r="O131" s="218">
        <f>IF(LEFT($B131,4)="_Mil","",_xlfn.IFNA(ROUND(INDEX(Spectrum!$N:$N,MATCH(RIGHT($B131,13)&amp;"|"&amp;$C131&amp;"|"&amp;$D131&amp;"|"&amp;O$14&amp;"|"&amp;"CY2024Q3",Spectrum!$R:$R,0)),0),""))</f>
        <v>28</v>
      </c>
      <c r="P131" s="218">
        <f>IF(LEFT($B131,4)="_Mil","",_xlfn.IFNA(ROUND(INDEX(Spectrum!$N:$N,MATCH(RIGHT($B131,13)&amp;"|"&amp;$C131&amp;"|"&amp;$D131&amp;"|"&amp;P$14&amp;"|"&amp;"CY2024Q3",Spectrum!$R:$R,0)),0),""))</f>
        <v>17</v>
      </c>
      <c r="Q131" s="218">
        <f>IF(LEFT($B131,4)="_Mil","",_xlfn.IFNA(ROUND(INDEX(Spectrum!$N:$N,MATCH(RIGHT($B131,13)&amp;"|"&amp;$C131&amp;"|"&amp;$D131&amp;"|"&amp;Q$14&amp;"|"&amp;"CY2024Q3",Spectrum!$R:$R,0)),0),""))</f>
        <v>11</v>
      </c>
      <c r="R131" s="38">
        <v>2646</v>
      </c>
      <c r="S131" s="33">
        <v>0</v>
      </c>
      <c r="T131" s="218">
        <f t="shared" si="85"/>
        <v>2646</v>
      </c>
      <c r="U131" s="33">
        <f t="shared" si="86"/>
        <v>0.56321839080459768</v>
      </c>
      <c r="V131" s="218">
        <f t="shared" si="87"/>
        <v>4698</v>
      </c>
      <c r="W131" s="33">
        <v>1.6999999999999999E-3</v>
      </c>
      <c r="X131" s="33">
        <f t="shared" si="88"/>
        <v>3.6185610898254576E-3</v>
      </c>
      <c r="Y131" s="231">
        <v>1.0999999999999999E-2</v>
      </c>
      <c r="Z131" s="33">
        <f t="shared" si="89"/>
        <v>2.3499252296517838E-3</v>
      </c>
      <c r="AA131" s="38">
        <f t="shared" si="90"/>
        <v>2646</v>
      </c>
      <c r="AB131" s="218">
        <f t="shared" si="91"/>
        <v>10</v>
      </c>
      <c r="AC131" s="218">
        <f t="shared" si="92"/>
        <v>6</v>
      </c>
      <c r="AD131" s="218">
        <f t="shared" si="93"/>
        <v>2630</v>
      </c>
      <c r="AE131" s="38">
        <f t="shared" si="94"/>
        <v>4698</v>
      </c>
      <c r="AF131" s="218">
        <f t="shared" si="95"/>
        <v>17</v>
      </c>
      <c r="AG131" s="218">
        <f t="shared" si="96"/>
        <v>11</v>
      </c>
      <c r="AH131" s="218">
        <f t="shared" si="97"/>
        <v>4670</v>
      </c>
      <c r="AI131" s="33">
        <f>IF(SUM($AC131)=0,"",INDEX(Cascade!$BG:$BG,MATCH($E131,Cascade!$E:$E,0)))</f>
        <v>0.95</v>
      </c>
      <c r="AJ131" s="218">
        <f t="shared" si="98"/>
        <v>10</v>
      </c>
      <c r="AK131" s="218">
        <f t="shared" si="99"/>
        <v>6</v>
      </c>
      <c r="AL131" s="218">
        <f t="shared" si="100"/>
        <v>28</v>
      </c>
      <c r="AM131" s="218">
        <f t="shared" si="101"/>
        <v>17</v>
      </c>
      <c r="AN131" s="218">
        <f t="shared" si="102"/>
        <v>10</v>
      </c>
      <c r="AO131" s="38">
        <f t="shared" si="103"/>
        <v>2630</v>
      </c>
      <c r="AP131" s="231">
        <v>4.0000000000000001E-3</v>
      </c>
      <c r="AQ131" s="33">
        <f t="shared" si="104"/>
        <v>4.0000000000000001E-3</v>
      </c>
      <c r="AR131" s="33">
        <f>IF(SUM($AO131)=0,"",INDEX(Cascade!$BG:$BG,MATCH($E131,Cascade!$E:$E,0)))</f>
        <v>0.95</v>
      </c>
      <c r="AS131" s="218">
        <f t="shared" si="105"/>
        <v>11</v>
      </c>
      <c r="AT131" s="218">
        <f t="shared" si="106"/>
        <v>2619</v>
      </c>
      <c r="AU131" s="38">
        <f t="shared" si="107"/>
        <v>10</v>
      </c>
      <c r="AV131" s="38">
        <f t="shared" si="108"/>
        <v>27</v>
      </c>
      <c r="AW131" s="38">
        <f>IFERROR(1/(1/INDEX(Cascade!$BH:$BH,MATCH($E131,Cascade!$E:$E,0))),"")</f>
        <v>23</v>
      </c>
      <c r="AX131" s="38">
        <f t="shared" si="109"/>
        <v>6</v>
      </c>
      <c r="AY131" s="38">
        <f t="shared" si="110"/>
        <v>11</v>
      </c>
      <c r="AZ131" s="38" t="str">
        <f>IFERROR(1/(1/INDEX(TB!$P:$P,MATCH($E131,TB!$E:$E,0))),"")</f>
        <v/>
      </c>
      <c r="BA131" s="38">
        <f t="shared" si="111"/>
        <v>6</v>
      </c>
    </row>
    <row r="132" spans="1:53" x14ac:dyDescent="0.2">
      <c r="A132" t="str">
        <f>INDEX(Prioritization!$D:$D,MATCH($B132,Prioritization!$A:$A,0))</f>
        <v>4 - Sustained</v>
      </c>
      <c r="B132" t="s">
        <v>305</v>
      </c>
      <c r="C132" t="s">
        <v>476</v>
      </c>
      <c r="D132" t="s">
        <v>30</v>
      </c>
      <c r="E132" t="str">
        <f t="shared" si="84"/>
        <v>Ntchisi District [fiRkU6gEjLz]|25-34|Female</v>
      </c>
      <c r="F132" s="38">
        <f>IF(LEFT($B132,4)="_Mil","",INDEX(Cascade!$T:$T,MATCH($E132,Cascade!$E:$E,0)))</f>
        <v>28944</v>
      </c>
      <c r="G132" s="38">
        <f>IF(LEFT($B132,4)="_Mil","",INDEX(Cascade!$U:$U,MATCH($E132,Cascade!$E:$E,0)))</f>
        <v>555</v>
      </c>
      <c r="H132" s="110">
        <f>IF(LEFT($B132,4)="_Mil","",INDEX(Cascade!$W:$W,MATCH($E132,Cascade!$E:$E,0)))</f>
        <v>1.9174152999999999E-2</v>
      </c>
      <c r="I132" s="38">
        <f>IF(LEFT($B132,4)="_Mil","",INDEX(Cascade!$Z:$Z,MATCH($E132,Cascade!$E:$E,0)))</f>
        <v>555</v>
      </c>
      <c r="J132" s="33">
        <f>IF(LEFT($B132,4)="_Mil","",INDEX(Cascade!$AA:$AA,MATCH($E132,Cascade!$E:$E,0)))</f>
        <v>0.96369239500000015</v>
      </c>
      <c r="K132" s="218">
        <f>IF(LEFT($B132,4)="_Mil","",_xlfn.IFNA(ROUND(INDEX(Spectrum!$N:$N,MATCH(RIGHT($B132,13)&amp;"|"&amp;$C132&amp;"|"&amp;$D132&amp;"|"&amp;K$14&amp;"|"&amp;"CY2024Q3",Spectrum!$R:$R,0)),0),""))</f>
        <v>3065</v>
      </c>
      <c r="L132" s="218">
        <f>IF(LEFT($B132,4)="_Mil","",_xlfn.IFNA(ROUND(INDEX(Spectrum!$N:$N,MATCH(RIGHT($B132,13)&amp;"|"&amp;$C132&amp;"|"&amp;$D132&amp;"|"&amp;L$14&amp;"|"&amp;"CY2024Q3",Spectrum!$R:$R,0)),0),""))</f>
        <v>33</v>
      </c>
      <c r="M132" s="218">
        <f>IF(LEFT($B132,4)="_Mil","",_xlfn.IFNA(ROUND(INDEX(Spectrum!$N:$N,MATCH(RIGHT($B132,13)&amp;"|"&amp;$C132&amp;"|"&amp;$D132&amp;"|"&amp;M$14&amp;"|"&amp;"CY2024Q3",Spectrum!$R:$R,0)),0),""))</f>
        <v>16</v>
      </c>
      <c r="N132" s="218">
        <f>IF(LEFT($B132,4)="_Mil","",_xlfn.IFNA(ROUND(INDEX(Spectrum!$N:$N,MATCH(RIGHT($B132,13)&amp;"|"&amp;$C132&amp;"|"&amp;$D132&amp;"|"&amp;N$14&amp;"|"&amp;"CY2024Q3",Spectrum!$R:$R,0)),0),""))</f>
        <v>3016</v>
      </c>
      <c r="O132" s="218">
        <f>IF(LEFT($B132,4)="_Mil","",_xlfn.IFNA(ROUND(INDEX(Spectrum!$N:$N,MATCH(RIGHT($B132,13)&amp;"|"&amp;$C132&amp;"|"&amp;$D132&amp;"|"&amp;O$14&amp;"|"&amp;"CY2024Q3",Spectrum!$R:$R,0)),0),""))</f>
        <v>48</v>
      </c>
      <c r="P132" s="218">
        <f>IF(LEFT($B132,4)="_Mil","",_xlfn.IFNA(ROUND(INDEX(Spectrum!$N:$N,MATCH(RIGHT($B132,13)&amp;"|"&amp;$C132&amp;"|"&amp;$D132&amp;"|"&amp;P$14&amp;"|"&amp;"CY2024Q3",Spectrum!$R:$R,0)),0),""))</f>
        <v>33</v>
      </c>
      <c r="Q132" s="218">
        <f>IF(LEFT($B132,4)="_Mil","",_xlfn.IFNA(ROUND(INDEX(Spectrum!$N:$N,MATCH(RIGHT($B132,13)&amp;"|"&amp;$C132&amp;"|"&amp;$D132&amp;"|"&amp;Q$14&amp;"|"&amp;"CY2024Q3",Spectrum!$R:$R,0)),0),""))</f>
        <v>16</v>
      </c>
      <c r="R132" s="38">
        <v>3720</v>
      </c>
      <c r="S132" s="33">
        <v>0</v>
      </c>
      <c r="T132" s="218">
        <f t="shared" si="85"/>
        <v>3720</v>
      </c>
      <c r="U132" s="33">
        <f t="shared" si="86"/>
        <v>1</v>
      </c>
      <c r="V132" s="218">
        <f t="shared" si="87"/>
        <v>3720</v>
      </c>
      <c r="W132" s="33">
        <v>1.4999999999999999E-2</v>
      </c>
      <c r="X132" s="33">
        <f t="shared" si="88"/>
        <v>1.4999999999999999E-2</v>
      </c>
      <c r="Y132" s="231">
        <v>1.0999999999999999E-2</v>
      </c>
      <c r="Z132" s="33">
        <f t="shared" si="89"/>
        <v>5.2770448548812663E-3</v>
      </c>
      <c r="AA132" s="38">
        <f t="shared" si="90"/>
        <v>3720</v>
      </c>
      <c r="AB132" s="218">
        <f t="shared" si="91"/>
        <v>56</v>
      </c>
      <c r="AC132" s="218">
        <f t="shared" si="92"/>
        <v>19</v>
      </c>
      <c r="AD132" s="218">
        <f t="shared" si="93"/>
        <v>3645</v>
      </c>
      <c r="AE132" s="38">
        <f t="shared" si="94"/>
        <v>3720</v>
      </c>
      <c r="AF132" s="218">
        <f t="shared" si="95"/>
        <v>56</v>
      </c>
      <c r="AG132" s="218">
        <f t="shared" si="96"/>
        <v>19</v>
      </c>
      <c r="AH132" s="218">
        <f t="shared" si="97"/>
        <v>3645</v>
      </c>
      <c r="AI132" s="33">
        <f>IF(SUM($AC132)=0,"",INDEX(Cascade!$BG:$BG,MATCH($E132,Cascade!$E:$E,0)))</f>
        <v>0.95</v>
      </c>
      <c r="AJ132" s="218">
        <f t="shared" si="98"/>
        <v>56</v>
      </c>
      <c r="AK132" s="218">
        <f t="shared" si="99"/>
        <v>18</v>
      </c>
      <c r="AL132" s="218">
        <f t="shared" si="100"/>
        <v>75</v>
      </c>
      <c r="AM132" s="218">
        <f t="shared" si="101"/>
        <v>56</v>
      </c>
      <c r="AN132" s="218">
        <f t="shared" si="102"/>
        <v>18</v>
      </c>
      <c r="AO132" s="38">
        <f t="shared" si="103"/>
        <v>3645</v>
      </c>
      <c r="AP132" s="231">
        <v>4.0000000000000001E-3</v>
      </c>
      <c r="AQ132" s="33">
        <f t="shared" si="104"/>
        <v>4.0000000000000001E-3</v>
      </c>
      <c r="AR132" s="33">
        <f>IF(SUM($AO132)=0,"",INDEX(Cascade!$BG:$BG,MATCH($E132,Cascade!$E:$E,0)))</f>
        <v>0.95</v>
      </c>
      <c r="AS132" s="218">
        <f t="shared" si="105"/>
        <v>15</v>
      </c>
      <c r="AT132" s="218">
        <f t="shared" si="106"/>
        <v>3630</v>
      </c>
      <c r="AU132" s="38">
        <f t="shared" si="107"/>
        <v>14</v>
      </c>
      <c r="AV132" s="38">
        <f t="shared" si="108"/>
        <v>90</v>
      </c>
      <c r="AW132" s="38">
        <f>IFERROR(1/(1/INDEX(Cascade!$BH:$BH,MATCH($E132,Cascade!$E:$E,0))),"")</f>
        <v>52</v>
      </c>
      <c r="AX132" s="38">
        <f t="shared" si="109"/>
        <v>19</v>
      </c>
      <c r="AY132" s="38">
        <f t="shared" si="110"/>
        <v>15</v>
      </c>
      <c r="AZ132" s="38" t="str">
        <f>IFERROR(1/(1/INDEX(TB!$P:$P,MATCH($E132,TB!$E:$E,0))),"")</f>
        <v/>
      </c>
      <c r="BA132" s="38">
        <f t="shared" si="111"/>
        <v>18</v>
      </c>
    </row>
    <row r="133" spans="1:53" x14ac:dyDescent="0.2">
      <c r="A133" t="str">
        <f>INDEX(Prioritization!$D:$D,MATCH($B133,Prioritization!$A:$A,0))</f>
        <v>4 - Sustained</v>
      </c>
      <c r="B133" t="s">
        <v>305</v>
      </c>
      <c r="C133" t="s">
        <v>477</v>
      </c>
      <c r="D133" t="s">
        <v>30</v>
      </c>
      <c r="E133" t="str">
        <f t="shared" si="84"/>
        <v>Ntchisi District [fiRkU6gEjLz]|35-49|Female</v>
      </c>
      <c r="F133" s="38">
        <f>IF(LEFT($B133,4)="_Mil","",INDEX(Cascade!$T:$T,MATCH($E133,Cascade!$E:$E,0)))</f>
        <v>29676</v>
      </c>
      <c r="G133" s="38">
        <f>IF(LEFT($B133,4)="_Mil","",INDEX(Cascade!$U:$U,MATCH($E133,Cascade!$E:$E,0)))</f>
        <v>1532</v>
      </c>
      <c r="H133" s="110">
        <f>IF(LEFT($B133,4)="_Mil","",INDEX(Cascade!$W:$W,MATCH($E133,Cascade!$E:$E,0)))</f>
        <v>5.1629192999999997E-2</v>
      </c>
      <c r="I133" s="38">
        <f>IF(LEFT($B133,4)="_Mil","",INDEX(Cascade!$Z:$Z,MATCH($E133,Cascade!$E:$E,0)))</f>
        <v>1568</v>
      </c>
      <c r="J133" s="33">
        <f>IF(LEFT($B133,4)="_Mil","",INDEX(Cascade!$AA:$AA,MATCH($E133,Cascade!$E:$E,0)))</f>
        <v>0.98197121600000004</v>
      </c>
      <c r="K133" s="218">
        <f>IF(LEFT($B133,4)="_Mil","",_xlfn.IFNA(ROUND(INDEX(Spectrum!$N:$N,MATCH(RIGHT($B133,13)&amp;"|"&amp;$C133&amp;"|"&amp;$D133&amp;"|"&amp;K$14&amp;"|"&amp;"CY2024Q3",Spectrum!$R:$R,0)),0),""))</f>
        <v>1144</v>
      </c>
      <c r="L133" s="218">
        <f>IF(LEFT($B133,4)="_Mil","",_xlfn.IFNA(ROUND(INDEX(Spectrum!$N:$N,MATCH(RIGHT($B133,13)&amp;"|"&amp;$C133&amp;"|"&amp;$D133&amp;"|"&amp;L$14&amp;"|"&amp;"CY2024Q3",Spectrum!$R:$R,0)),0),""))</f>
        <v>29</v>
      </c>
      <c r="M133" s="218">
        <f>IF(LEFT($B133,4)="_Mil","",_xlfn.IFNA(ROUND(INDEX(Spectrum!$N:$N,MATCH(RIGHT($B133,13)&amp;"|"&amp;$C133&amp;"|"&amp;$D133&amp;"|"&amp;M$14&amp;"|"&amp;"CY2024Q3",Spectrum!$R:$R,0)),0),""))</f>
        <v>5</v>
      </c>
      <c r="N133" s="218">
        <f>IF(LEFT($B133,4)="_Mil","",_xlfn.IFNA(ROUND(INDEX(Spectrum!$N:$N,MATCH(RIGHT($B133,13)&amp;"|"&amp;$C133&amp;"|"&amp;$D133&amp;"|"&amp;N$14&amp;"|"&amp;"CY2024Q3",Spectrum!$R:$R,0)),0),""))</f>
        <v>1110</v>
      </c>
      <c r="O133" s="218">
        <f>IF(LEFT($B133,4)="_Mil","",_xlfn.IFNA(ROUND(INDEX(Spectrum!$N:$N,MATCH(RIGHT($B133,13)&amp;"|"&amp;$C133&amp;"|"&amp;$D133&amp;"|"&amp;O$14&amp;"|"&amp;"CY2024Q3",Spectrum!$R:$R,0)),0),""))</f>
        <v>34</v>
      </c>
      <c r="P133" s="218">
        <f>IF(LEFT($B133,4)="_Mil","",_xlfn.IFNA(ROUND(INDEX(Spectrum!$N:$N,MATCH(RIGHT($B133,13)&amp;"|"&amp;$C133&amp;"|"&amp;$D133&amp;"|"&amp;P$14&amp;"|"&amp;"CY2024Q3",Spectrum!$R:$R,0)),0),""))</f>
        <v>29</v>
      </c>
      <c r="Q133" s="218">
        <f>IF(LEFT($B133,4)="_Mil","",_xlfn.IFNA(ROUND(INDEX(Spectrum!$N:$N,MATCH(RIGHT($B133,13)&amp;"|"&amp;$C133&amp;"|"&amp;$D133&amp;"|"&amp;Q$14&amp;"|"&amp;"CY2024Q3",Spectrum!$R:$R,0)),0),""))</f>
        <v>5</v>
      </c>
      <c r="R133" s="38">
        <v>1066</v>
      </c>
      <c r="S133" s="33">
        <v>0</v>
      </c>
      <c r="T133" s="218">
        <f t="shared" si="85"/>
        <v>1066</v>
      </c>
      <c r="U133" s="33">
        <f t="shared" si="86"/>
        <v>0.93181818181818177</v>
      </c>
      <c r="V133" s="218">
        <f t="shared" si="87"/>
        <v>1144</v>
      </c>
      <c r="W133" s="33">
        <v>6.8000000000000005E-2</v>
      </c>
      <c r="X133" s="33">
        <f t="shared" si="88"/>
        <v>6.8000000000000005E-2</v>
      </c>
      <c r="Y133" s="231">
        <v>1.0999999999999999E-2</v>
      </c>
      <c r="Z133" s="33">
        <f t="shared" si="89"/>
        <v>4.4843049327354259E-3</v>
      </c>
      <c r="AA133" s="38">
        <f t="shared" si="90"/>
        <v>1066</v>
      </c>
      <c r="AB133" s="218">
        <f t="shared" si="91"/>
        <v>72</v>
      </c>
      <c r="AC133" s="218">
        <f t="shared" si="92"/>
        <v>4</v>
      </c>
      <c r="AD133" s="218">
        <f t="shared" si="93"/>
        <v>990</v>
      </c>
      <c r="AE133" s="38">
        <f t="shared" si="94"/>
        <v>1144</v>
      </c>
      <c r="AF133" s="218">
        <f t="shared" si="95"/>
        <v>78</v>
      </c>
      <c r="AG133" s="218">
        <f t="shared" si="96"/>
        <v>5</v>
      </c>
      <c r="AH133" s="218">
        <f t="shared" si="97"/>
        <v>1061</v>
      </c>
      <c r="AI133" s="33">
        <f>IF(SUM($AC133)=0,"",INDEX(Cascade!$BG:$BG,MATCH($E133,Cascade!$E:$E,0)))</f>
        <v>0.95</v>
      </c>
      <c r="AJ133" s="218">
        <f t="shared" si="98"/>
        <v>72</v>
      </c>
      <c r="AK133" s="218">
        <f t="shared" si="99"/>
        <v>4</v>
      </c>
      <c r="AL133" s="218">
        <f t="shared" si="100"/>
        <v>83</v>
      </c>
      <c r="AM133" s="218">
        <f t="shared" si="101"/>
        <v>78</v>
      </c>
      <c r="AN133" s="218">
        <f t="shared" si="102"/>
        <v>5</v>
      </c>
      <c r="AO133" s="38">
        <f t="shared" si="103"/>
        <v>990</v>
      </c>
      <c r="AP133" s="231">
        <v>4.0000000000000001E-3</v>
      </c>
      <c r="AQ133" s="33">
        <f t="shared" si="104"/>
        <v>4.0000000000000001E-3</v>
      </c>
      <c r="AR133" s="33">
        <f>IF(SUM($AO133)=0,"",INDEX(Cascade!$BG:$BG,MATCH($E133,Cascade!$E:$E,0)))</f>
        <v>0.95</v>
      </c>
      <c r="AS133" s="218">
        <f t="shared" si="105"/>
        <v>4</v>
      </c>
      <c r="AT133" s="218">
        <f t="shared" si="106"/>
        <v>986</v>
      </c>
      <c r="AU133" s="38">
        <f t="shared" si="107"/>
        <v>4</v>
      </c>
      <c r="AV133" s="38">
        <f t="shared" si="108"/>
        <v>80</v>
      </c>
      <c r="AW133" s="38">
        <f>IFERROR(1/(1/INDEX(Cascade!$BH:$BH,MATCH($E133,Cascade!$E:$E,0))),"")</f>
        <v>32</v>
      </c>
      <c r="AX133" s="38">
        <f t="shared" si="109"/>
        <v>4</v>
      </c>
      <c r="AY133" s="38">
        <f t="shared" si="110"/>
        <v>4</v>
      </c>
      <c r="AZ133" s="38">
        <f>IFERROR(1/(1/INDEX(TB!$P:$P,MATCH($E133,TB!$E:$E,0))),"")</f>
        <v>1</v>
      </c>
      <c r="BA133" s="38">
        <f t="shared" si="111"/>
        <v>23</v>
      </c>
    </row>
    <row r="134" spans="1:53" x14ac:dyDescent="0.2">
      <c r="A134" t="str">
        <f>INDEX(Prioritization!$D:$D,MATCH($B134,Prioritization!$A:$A,0))</f>
        <v>4 - Sustained</v>
      </c>
      <c r="B134" t="s">
        <v>305</v>
      </c>
      <c r="C134" t="s">
        <v>478</v>
      </c>
      <c r="D134" t="s">
        <v>30</v>
      </c>
      <c r="E134" t="str">
        <f t="shared" si="84"/>
        <v>Ntchisi District [fiRkU6gEjLz]|50+|Female</v>
      </c>
      <c r="F134" s="38">
        <f>IF(LEFT($B134,4)="_Mil","",INDEX(Cascade!$T:$T,MATCH($E134,Cascade!$E:$E,0)))</f>
        <v>17940</v>
      </c>
      <c r="G134" s="38">
        <f>IF(LEFT($B134,4)="_Mil","",INDEX(Cascade!$U:$U,MATCH($E134,Cascade!$E:$E,0)))</f>
        <v>744</v>
      </c>
      <c r="H134" s="110">
        <f>IF(LEFT($B134,4)="_Mil","",INDEX(Cascade!$W:$W,MATCH($E134,Cascade!$E:$E,0)))</f>
        <v>4.1472736000000003E-2</v>
      </c>
      <c r="I134" s="38">
        <f>IF(LEFT($B134,4)="_Mil","",INDEX(Cascade!$Z:$Z,MATCH($E134,Cascade!$E:$E,0)))</f>
        <v>749</v>
      </c>
      <c r="J134" s="33">
        <f>IF(LEFT($B134,4)="_Mil","",INDEX(Cascade!$AA:$AA,MATCH($E134,Cascade!$E:$E,0)))</f>
        <v>0.98757174000000003</v>
      </c>
      <c r="K134" s="218" t="str">
        <f>IF(LEFT($B134,4)="_Mil","",_xlfn.IFNA(ROUND(INDEX(Spectrum!$N:$N,MATCH(RIGHT($B134,13)&amp;"|"&amp;$C134&amp;"|"&amp;$D134&amp;"|"&amp;K$14&amp;"|"&amp;"CY2024Q3",Spectrum!$R:$R,0)),0),""))</f>
        <v/>
      </c>
      <c r="L134" s="218" t="str">
        <f>IF(LEFT($B134,4)="_Mil","",_xlfn.IFNA(ROUND(INDEX(Spectrum!$N:$N,MATCH(RIGHT($B134,13)&amp;"|"&amp;$C134&amp;"|"&amp;$D134&amp;"|"&amp;L$14&amp;"|"&amp;"CY2024Q3",Spectrum!$R:$R,0)),0),""))</f>
        <v/>
      </c>
      <c r="M134" s="218" t="str">
        <f>IF(LEFT($B134,4)="_Mil","",_xlfn.IFNA(ROUND(INDEX(Spectrum!$N:$N,MATCH(RIGHT($B134,13)&amp;"|"&amp;$C134&amp;"|"&amp;$D134&amp;"|"&amp;M$14&amp;"|"&amp;"CY2024Q3",Spectrum!$R:$R,0)),0),""))</f>
        <v/>
      </c>
      <c r="N134" s="218" t="str">
        <f>IF(LEFT($B134,4)="_Mil","",_xlfn.IFNA(ROUND(INDEX(Spectrum!$N:$N,MATCH(RIGHT($B134,13)&amp;"|"&amp;$C134&amp;"|"&amp;$D134&amp;"|"&amp;N$14&amp;"|"&amp;"CY2024Q3",Spectrum!$R:$R,0)),0),""))</f>
        <v/>
      </c>
      <c r="O134" s="218" t="str">
        <f>IF(LEFT($B134,4)="_Mil","",_xlfn.IFNA(ROUND(INDEX(Spectrum!$N:$N,MATCH(RIGHT($B134,13)&amp;"|"&amp;$C134&amp;"|"&amp;$D134&amp;"|"&amp;O$14&amp;"|"&amp;"CY2024Q3",Spectrum!$R:$R,0)),0),""))</f>
        <v/>
      </c>
      <c r="P134" s="218" t="str">
        <f>IF(LEFT($B134,4)="_Mil","",_xlfn.IFNA(ROUND(INDEX(Spectrum!$N:$N,MATCH(RIGHT($B134,13)&amp;"|"&amp;$C134&amp;"|"&amp;$D134&amp;"|"&amp;P$14&amp;"|"&amp;"CY2024Q3",Spectrum!$R:$R,0)),0),""))</f>
        <v/>
      </c>
      <c r="Q134" s="218" t="str">
        <f>IF(LEFT($B134,4)="_Mil","",_xlfn.IFNA(ROUND(INDEX(Spectrum!$N:$N,MATCH(RIGHT($B134,13)&amp;"|"&amp;$C134&amp;"|"&amp;$D134&amp;"|"&amp;Q$14&amp;"|"&amp;"CY2024Q3",Spectrum!$R:$R,0)),0),""))</f>
        <v/>
      </c>
      <c r="R134" s="38">
        <v>4</v>
      </c>
      <c r="S134" s="33">
        <v>0</v>
      </c>
      <c r="T134" s="218">
        <f t="shared" si="85"/>
        <v>4</v>
      </c>
      <c r="U134" s="33">
        <f t="shared" si="86"/>
        <v>1</v>
      </c>
      <c r="V134" s="218">
        <f t="shared" si="87"/>
        <v>4</v>
      </c>
      <c r="W134" s="33">
        <v>6.8000000000000005E-2</v>
      </c>
      <c r="X134" s="33">
        <f t="shared" si="88"/>
        <v>6.8000000000000005E-2</v>
      </c>
      <c r="Y134" s="231">
        <v>1.0999999999999999E-2</v>
      </c>
      <c r="Z134" s="33">
        <f t="shared" si="89"/>
        <v>1.0999999999999999E-2</v>
      </c>
      <c r="AA134" s="38">
        <f t="shared" si="90"/>
        <v>4</v>
      </c>
      <c r="AB134" s="218">
        <f t="shared" si="91"/>
        <v>0</v>
      </c>
      <c r="AC134" s="218">
        <f t="shared" si="92"/>
        <v>0</v>
      </c>
      <c r="AD134" s="218">
        <f t="shared" si="93"/>
        <v>4</v>
      </c>
      <c r="AE134" s="38">
        <f t="shared" si="94"/>
        <v>4</v>
      </c>
      <c r="AF134" s="218">
        <f t="shared" si="95"/>
        <v>0</v>
      </c>
      <c r="AG134" s="218">
        <f t="shared" si="96"/>
        <v>0</v>
      </c>
      <c r="AH134" s="218">
        <f t="shared" si="97"/>
        <v>4</v>
      </c>
      <c r="AI134" s="33" t="str">
        <f>IF(SUM($AC134)=0,"",INDEX(Cascade!$BG:$BG,MATCH($E134,Cascade!$E:$E,0)))</f>
        <v/>
      </c>
      <c r="AJ134" s="218">
        <f t="shared" si="98"/>
        <v>0</v>
      </c>
      <c r="AK134" s="218" t="str">
        <f t="shared" si="99"/>
        <v/>
      </c>
      <c r="AL134" s="218" t="str">
        <f t="shared" si="100"/>
        <v/>
      </c>
      <c r="AM134" s="218">
        <f t="shared" si="101"/>
        <v>0</v>
      </c>
      <c r="AN134" s="218" t="str">
        <f t="shared" si="102"/>
        <v/>
      </c>
      <c r="AO134" s="38">
        <f t="shared" si="103"/>
        <v>4</v>
      </c>
      <c r="AP134" s="231">
        <v>4.0000000000000001E-3</v>
      </c>
      <c r="AQ134" s="33">
        <f t="shared" si="104"/>
        <v>4.0000000000000001E-3</v>
      </c>
      <c r="AR134" s="33">
        <f>IF(SUM($AO134)=0,"",INDEX(Cascade!$BG:$BG,MATCH($E134,Cascade!$E:$E,0)))</f>
        <v>0.95</v>
      </c>
      <c r="AS134" s="218">
        <f t="shared" si="105"/>
        <v>0</v>
      </c>
      <c r="AT134" s="218">
        <f t="shared" si="106"/>
        <v>4</v>
      </c>
      <c r="AU134" s="38" t="str">
        <f t="shared" si="107"/>
        <v/>
      </c>
      <c r="AV134" s="38" t="str">
        <f t="shared" si="108"/>
        <v/>
      </c>
      <c r="AW134" s="38">
        <f>IFERROR(1/(1/INDEX(Cascade!$BH:$BH,MATCH($E134,Cascade!$E:$E,0))),"")</f>
        <v>44</v>
      </c>
      <c r="AX134" s="38" t="str">
        <f t="shared" si="109"/>
        <v/>
      </c>
      <c r="AY134" s="38" t="str">
        <f t="shared" si="110"/>
        <v/>
      </c>
      <c r="AZ134" s="38" t="str">
        <f>IFERROR(1/(1/INDEX(TB!$P:$P,MATCH($E134,TB!$E:$E,0))),"")</f>
        <v/>
      </c>
      <c r="BA134" s="38">
        <f t="shared" si="111"/>
        <v>44</v>
      </c>
    </row>
    <row r="135" spans="1:53" x14ac:dyDescent="0.2">
      <c r="A135" t="str">
        <f>INDEX(Prioritization!$D:$D,MATCH($B135,Prioritization!$A:$A,0))</f>
        <v>INVALID</v>
      </c>
      <c r="B135" t="s">
        <v>323</v>
      </c>
      <c r="C135" t="s">
        <v>474</v>
      </c>
      <c r="D135" t="s">
        <v>30</v>
      </c>
      <c r="E135" t="str">
        <f t="shared" si="84"/>
        <v>Phalombe District [AZyWpGzhcaA]|10-14|Female</v>
      </c>
      <c r="F135" s="38">
        <f>IF(LEFT($B135,4)="_Mil","",INDEX(Cascade!$T:$T,MATCH($E135,Cascade!$E:$E,0)))</f>
        <v>36005</v>
      </c>
      <c r="G135" s="38">
        <f>IF(LEFT($B135,4)="_Mil","",INDEX(Cascade!$U:$U,MATCH($E135,Cascade!$E:$E,0)))</f>
        <v>557</v>
      </c>
      <c r="H135" s="110">
        <f>IF(LEFT($B135,4)="_Mil","",INDEX(Cascade!$W:$W,MATCH($E135,Cascade!$E:$E,0)))</f>
        <v>1.5477388E-2</v>
      </c>
      <c r="I135" s="38">
        <f>IF(LEFT($B135,4)="_Mil","",INDEX(Cascade!$Z:$Z,MATCH($E135,Cascade!$E:$E,0)))</f>
        <v>439</v>
      </c>
      <c r="J135" s="33">
        <f>IF(LEFT($B135,4)="_Mil","",INDEX(Cascade!$AA:$AA,MATCH($E135,Cascade!$E:$E,0)))</f>
        <v>0.881937164</v>
      </c>
      <c r="K135" s="218" t="str">
        <f>IF(LEFT($B135,4)="_Mil","",_xlfn.IFNA(ROUND(INDEX(Spectrum!$N:$N,MATCH(RIGHT($B135,13)&amp;"|"&amp;$C135&amp;"|"&amp;$D135&amp;"|"&amp;K$14&amp;"|"&amp;"CY2024Q3",Spectrum!$R:$R,0)),0),""))</f>
        <v/>
      </c>
      <c r="L135" s="218" t="str">
        <f>IF(LEFT($B135,4)="_Mil","",_xlfn.IFNA(ROUND(INDEX(Spectrum!$N:$N,MATCH(RIGHT($B135,13)&amp;"|"&amp;$C135&amp;"|"&amp;$D135&amp;"|"&amp;L$14&amp;"|"&amp;"CY2024Q3",Spectrum!$R:$R,0)),0),""))</f>
        <v/>
      </c>
      <c r="M135" s="218" t="str">
        <f>IF(LEFT($B135,4)="_Mil","",_xlfn.IFNA(ROUND(INDEX(Spectrum!$N:$N,MATCH(RIGHT($B135,13)&amp;"|"&amp;$C135&amp;"|"&amp;$D135&amp;"|"&amp;M$14&amp;"|"&amp;"CY2024Q3",Spectrum!$R:$R,0)),0),""))</f>
        <v/>
      </c>
      <c r="N135" s="218" t="str">
        <f>IF(LEFT($B135,4)="_Mil","",_xlfn.IFNA(ROUND(INDEX(Spectrum!$N:$N,MATCH(RIGHT($B135,13)&amp;"|"&amp;$C135&amp;"|"&amp;$D135&amp;"|"&amp;N$14&amp;"|"&amp;"CY2024Q3",Spectrum!$R:$R,0)),0),""))</f>
        <v/>
      </c>
      <c r="O135" s="218" t="str">
        <f>IF(LEFT($B135,4)="_Mil","",_xlfn.IFNA(ROUND(INDEX(Spectrum!$N:$N,MATCH(RIGHT($B135,13)&amp;"|"&amp;$C135&amp;"|"&amp;$D135&amp;"|"&amp;O$14&amp;"|"&amp;"CY2024Q3",Spectrum!$R:$R,0)),0),""))</f>
        <v/>
      </c>
      <c r="P135" s="218" t="str">
        <f>IF(LEFT($B135,4)="_Mil","",_xlfn.IFNA(ROUND(INDEX(Spectrum!$N:$N,MATCH(RIGHT($B135,13)&amp;"|"&amp;$C135&amp;"|"&amp;$D135&amp;"|"&amp;P$14&amp;"|"&amp;"CY2024Q3",Spectrum!$R:$R,0)),0),""))</f>
        <v/>
      </c>
      <c r="Q135" s="218" t="str">
        <f>IF(LEFT($B135,4)="_Mil","",_xlfn.IFNA(ROUND(INDEX(Spectrum!$N:$N,MATCH(RIGHT($B135,13)&amp;"|"&amp;$C135&amp;"|"&amp;$D135&amp;"|"&amp;Q$14&amp;"|"&amp;"CY2024Q3",Spectrum!$R:$R,0)),0),""))</f>
        <v/>
      </c>
      <c r="R135" s="38">
        <v>62</v>
      </c>
      <c r="S135" s="33">
        <v>0</v>
      </c>
      <c r="T135" s="218">
        <f t="shared" si="85"/>
        <v>62</v>
      </c>
      <c r="U135" s="33">
        <f t="shared" si="86"/>
        <v>1</v>
      </c>
      <c r="V135" s="218">
        <f t="shared" si="87"/>
        <v>62</v>
      </c>
      <c r="W135" s="33">
        <v>2.1000000000000001E-2</v>
      </c>
      <c r="X135" s="33">
        <f t="shared" si="88"/>
        <v>2.1000000000000001E-2</v>
      </c>
      <c r="Y135" s="231">
        <v>8.0000000000000002E-3</v>
      </c>
      <c r="Z135" s="33">
        <f t="shared" si="89"/>
        <v>8.0000000000000002E-3</v>
      </c>
      <c r="AA135" s="38">
        <f t="shared" si="90"/>
        <v>62</v>
      </c>
      <c r="AB135" s="218">
        <f t="shared" si="91"/>
        <v>1</v>
      </c>
      <c r="AC135" s="218">
        <f t="shared" si="92"/>
        <v>0</v>
      </c>
      <c r="AD135" s="218">
        <f t="shared" si="93"/>
        <v>61</v>
      </c>
      <c r="AE135" s="38">
        <f t="shared" si="94"/>
        <v>62</v>
      </c>
      <c r="AF135" s="218">
        <f t="shared" si="95"/>
        <v>1</v>
      </c>
      <c r="AG135" s="218">
        <f t="shared" si="96"/>
        <v>0</v>
      </c>
      <c r="AH135" s="218">
        <f t="shared" si="97"/>
        <v>61</v>
      </c>
      <c r="AI135" s="33" t="str">
        <f>IF(SUM($AC135)=0,"",INDEX(Cascade!$BG:$BG,MATCH($E135,Cascade!$E:$E,0)))</f>
        <v/>
      </c>
      <c r="AJ135" s="218">
        <f t="shared" si="98"/>
        <v>1</v>
      </c>
      <c r="AK135" s="218" t="str">
        <f t="shared" si="99"/>
        <v/>
      </c>
      <c r="AL135" s="218">
        <f t="shared" si="100"/>
        <v>1</v>
      </c>
      <c r="AM135" s="218">
        <f t="shared" si="101"/>
        <v>1</v>
      </c>
      <c r="AN135" s="218" t="str">
        <f t="shared" si="102"/>
        <v/>
      </c>
      <c r="AO135" s="38">
        <f t="shared" si="103"/>
        <v>61</v>
      </c>
      <c r="AP135" s="232">
        <v>4.0000000000000001E-3</v>
      </c>
      <c r="AQ135" s="33">
        <f t="shared" si="104"/>
        <v>4.0000000000000001E-3</v>
      </c>
      <c r="AR135" s="33">
        <f>IF(SUM($AO135)=0,"",INDEX(Cascade!$BG:$BG,MATCH($E135,Cascade!$E:$E,0)))</f>
        <v>0.95</v>
      </c>
      <c r="AS135" s="218">
        <f t="shared" si="105"/>
        <v>0</v>
      </c>
      <c r="AT135" s="218">
        <f t="shared" si="106"/>
        <v>61</v>
      </c>
      <c r="AU135" s="38" t="str">
        <f t="shared" si="107"/>
        <v/>
      </c>
      <c r="AV135" s="38">
        <f t="shared" si="108"/>
        <v>1</v>
      </c>
      <c r="AW135" s="38">
        <f>IFERROR(1/(1/INDEX(Cascade!$BH:$BH,MATCH($E135,Cascade!$E:$E,0))),"")</f>
        <v>58</v>
      </c>
      <c r="AX135" s="38" t="str">
        <f t="shared" si="109"/>
        <v/>
      </c>
      <c r="AY135" s="38" t="str">
        <f t="shared" si="110"/>
        <v/>
      </c>
      <c r="AZ135" s="38" t="str">
        <f>IFERROR(1/(1/INDEX(TB!$P:$P,MATCH($E135,TB!$E:$E,0))),"")</f>
        <v/>
      </c>
      <c r="BA135" s="38">
        <f t="shared" si="111"/>
        <v>58</v>
      </c>
    </row>
    <row r="136" spans="1:53" x14ac:dyDescent="0.2">
      <c r="A136" t="str">
        <f>INDEX(Prioritization!$D:$D,MATCH($B136,Prioritization!$A:$A,0))</f>
        <v>INVALID</v>
      </c>
      <c r="B136" t="s">
        <v>323</v>
      </c>
      <c r="C136" t="s">
        <v>475</v>
      </c>
      <c r="D136" t="s">
        <v>30</v>
      </c>
      <c r="E136" t="str">
        <f t="shared" si="84"/>
        <v>Phalombe District [AZyWpGzhcaA]|15-24|Female</v>
      </c>
      <c r="F136" s="38">
        <f>IF(LEFT($B136,4)="_Mil","",INDEX(Cascade!$T:$T,MATCH($E136,Cascade!$E:$E,0)))</f>
        <v>56280</v>
      </c>
      <c r="G136" s="38">
        <f>IF(LEFT($B136,4)="_Mil","",INDEX(Cascade!$U:$U,MATCH($E136,Cascade!$E:$E,0)))</f>
        <v>2006</v>
      </c>
      <c r="H136" s="110">
        <f>IF(LEFT($B136,4)="_Mil","",INDEX(Cascade!$W:$W,MATCH($E136,Cascade!$E:$E,0)))</f>
        <v>3.5641812000000002E-2</v>
      </c>
      <c r="I136" s="38">
        <f>IF(LEFT($B136,4)="_Mil","",INDEX(Cascade!$Z:$Z,MATCH($E136,Cascade!$E:$E,0)))</f>
        <v>1653</v>
      </c>
      <c r="J136" s="33">
        <f>IF(LEFT($B136,4)="_Mil","",INDEX(Cascade!$AA:$AA,MATCH($E136,Cascade!$E:$E,0)))</f>
        <v>0.96984132700000014</v>
      </c>
      <c r="K136" s="218">
        <f>IF(LEFT($B136,4)="_Mil","",_xlfn.IFNA(ROUND(INDEX(Spectrum!$N:$N,MATCH(RIGHT($B136,13)&amp;"|"&amp;$C136&amp;"|"&amp;$D136&amp;"|"&amp;K$14&amp;"|"&amp;"CY2024Q3",Spectrum!$R:$R,0)),0),""))</f>
        <v>6305</v>
      </c>
      <c r="L136" s="218">
        <f>IF(LEFT($B136,4)="_Mil","",_xlfn.IFNA(ROUND(INDEX(Spectrum!$N:$N,MATCH(RIGHT($B136,13)&amp;"|"&amp;$C136&amp;"|"&amp;$D136&amp;"|"&amp;L$14&amp;"|"&amp;"CY2024Q3",Spectrum!$R:$R,0)),0),""))</f>
        <v>157</v>
      </c>
      <c r="M136" s="218">
        <f>IF(LEFT($B136,4)="_Mil","",_xlfn.IFNA(ROUND(INDEX(Spectrum!$N:$N,MATCH(RIGHT($B136,13)&amp;"|"&amp;$C136&amp;"|"&amp;$D136&amp;"|"&amp;M$14&amp;"|"&amp;"CY2024Q3",Spectrum!$R:$R,0)),0),""))</f>
        <v>41</v>
      </c>
      <c r="N136" s="218">
        <f>IF(LEFT($B136,4)="_Mil","",_xlfn.IFNA(ROUND(INDEX(Spectrum!$N:$N,MATCH(RIGHT($B136,13)&amp;"|"&amp;$C136&amp;"|"&amp;$D136&amp;"|"&amp;N$14&amp;"|"&amp;"CY2024Q3",Spectrum!$R:$R,0)),0),""))</f>
        <v>6107</v>
      </c>
      <c r="O136" s="218">
        <f>IF(LEFT($B136,4)="_Mil","",_xlfn.IFNA(ROUND(INDEX(Spectrum!$N:$N,MATCH(RIGHT($B136,13)&amp;"|"&amp;$C136&amp;"|"&amp;$D136&amp;"|"&amp;O$14&amp;"|"&amp;"CY2024Q3",Spectrum!$R:$R,0)),0),""))</f>
        <v>198</v>
      </c>
      <c r="P136" s="218">
        <f>IF(LEFT($B136,4)="_Mil","",_xlfn.IFNA(ROUND(INDEX(Spectrum!$N:$N,MATCH(RIGHT($B136,13)&amp;"|"&amp;$C136&amp;"|"&amp;$D136&amp;"|"&amp;P$14&amp;"|"&amp;"CY2024Q3",Spectrum!$R:$R,0)),0),""))</f>
        <v>157</v>
      </c>
      <c r="Q136" s="218">
        <f>IF(LEFT($B136,4)="_Mil","",_xlfn.IFNA(ROUND(INDEX(Spectrum!$N:$N,MATCH(RIGHT($B136,13)&amp;"|"&amp;$C136&amp;"|"&amp;$D136&amp;"|"&amp;Q$14&amp;"|"&amp;"CY2024Q3",Spectrum!$R:$R,0)),0),""))</f>
        <v>41</v>
      </c>
      <c r="R136" s="38">
        <v>16671</v>
      </c>
      <c r="S136" s="33">
        <v>0</v>
      </c>
      <c r="T136" s="218">
        <f t="shared" si="85"/>
        <v>16671</v>
      </c>
      <c r="U136" s="33">
        <f t="shared" si="86"/>
        <v>1</v>
      </c>
      <c r="V136" s="218">
        <f t="shared" si="87"/>
        <v>16671</v>
      </c>
      <c r="W136" s="33">
        <v>2.5000000000000001E-2</v>
      </c>
      <c r="X136" s="33">
        <f t="shared" si="88"/>
        <v>2.5000000000000001E-2</v>
      </c>
      <c r="Y136" s="231">
        <v>8.9999999999999993E-3</v>
      </c>
      <c r="Z136" s="33">
        <f t="shared" si="89"/>
        <v>6.668835393623943E-3</v>
      </c>
      <c r="AA136" s="38">
        <f t="shared" si="90"/>
        <v>16671</v>
      </c>
      <c r="AB136" s="218">
        <f t="shared" si="91"/>
        <v>417</v>
      </c>
      <c r="AC136" s="218">
        <f t="shared" si="92"/>
        <v>108</v>
      </c>
      <c r="AD136" s="218">
        <f t="shared" si="93"/>
        <v>16146</v>
      </c>
      <c r="AE136" s="38">
        <f t="shared" si="94"/>
        <v>16671</v>
      </c>
      <c r="AF136" s="218">
        <f t="shared" si="95"/>
        <v>417</v>
      </c>
      <c r="AG136" s="218">
        <f t="shared" si="96"/>
        <v>108</v>
      </c>
      <c r="AH136" s="218">
        <f t="shared" si="97"/>
        <v>16146</v>
      </c>
      <c r="AI136" s="33">
        <f>IF(SUM($AC136)=0,"",INDEX(Cascade!$BG:$BG,MATCH($E136,Cascade!$E:$E,0)))</f>
        <v>0.95</v>
      </c>
      <c r="AJ136" s="218">
        <f t="shared" si="98"/>
        <v>417</v>
      </c>
      <c r="AK136" s="218">
        <f t="shared" si="99"/>
        <v>103</v>
      </c>
      <c r="AL136" s="218">
        <f t="shared" si="100"/>
        <v>525</v>
      </c>
      <c r="AM136" s="218">
        <f t="shared" si="101"/>
        <v>417</v>
      </c>
      <c r="AN136" s="218">
        <f t="shared" si="102"/>
        <v>103</v>
      </c>
      <c r="AO136" s="38">
        <f t="shared" si="103"/>
        <v>16146</v>
      </c>
      <c r="AP136" s="232">
        <v>4.0000000000000001E-3</v>
      </c>
      <c r="AQ136" s="33">
        <f t="shared" si="104"/>
        <v>4.0000000000000001E-3</v>
      </c>
      <c r="AR136" s="33">
        <f>IF(SUM($AO136)=0,"",INDEX(Cascade!$BG:$BG,MATCH($E136,Cascade!$E:$E,0)))</f>
        <v>0.95</v>
      </c>
      <c r="AS136" s="218">
        <f t="shared" si="105"/>
        <v>65</v>
      </c>
      <c r="AT136" s="218">
        <f t="shared" si="106"/>
        <v>16081</v>
      </c>
      <c r="AU136" s="38">
        <f t="shared" si="107"/>
        <v>62</v>
      </c>
      <c r="AV136" s="38">
        <f t="shared" si="108"/>
        <v>590</v>
      </c>
      <c r="AW136" s="38">
        <f>IFERROR(1/(1/INDEX(Cascade!$BH:$BH,MATCH($E136,Cascade!$E:$E,0))),"")</f>
        <v>414.99999999999994</v>
      </c>
      <c r="AX136" s="38">
        <f t="shared" si="109"/>
        <v>108</v>
      </c>
      <c r="AY136" s="38">
        <f t="shared" si="110"/>
        <v>65</v>
      </c>
      <c r="AZ136" s="38">
        <f>IFERROR(1/(1/INDEX(TB!$P:$P,MATCH($E136,TB!$E:$E,0))),"")</f>
        <v>1</v>
      </c>
      <c r="BA136" s="38">
        <f t="shared" si="111"/>
        <v>240.99999999999994</v>
      </c>
    </row>
    <row r="137" spans="1:53" x14ac:dyDescent="0.2">
      <c r="A137" t="str">
        <f>INDEX(Prioritization!$D:$D,MATCH($B137,Prioritization!$A:$A,0))</f>
        <v>INVALID</v>
      </c>
      <c r="B137" t="s">
        <v>323</v>
      </c>
      <c r="C137" t="s">
        <v>476</v>
      </c>
      <c r="D137" t="s">
        <v>30</v>
      </c>
      <c r="E137" t="str">
        <f t="shared" si="84"/>
        <v>Phalombe District [AZyWpGzhcaA]|25-34|Female</v>
      </c>
      <c r="F137" s="38">
        <f>IF(LEFT($B137,4)="_Mil","",INDEX(Cascade!$T:$T,MATCH($E137,Cascade!$E:$E,0)))</f>
        <v>38527</v>
      </c>
      <c r="G137" s="38">
        <f>IF(LEFT($B137,4)="_Mil","",INDEX(Cascade!$U:$U,MATCH($E137,Cascade!$E:$E,0)))</f>
        <v>4842</v>
      </c>
      <c r="H137" s="110">
        <f>IF(LEFT($B137,4)="_Mil","",INDEX(Cascade!$W:$W,MATCH($E137,Cascade!$E:$E,0)))</f>
        <v>0.125687242</v>
      </c>
      <c r="I137" s="38">
        <f>IF(LEFT($B137,4)="_Mil","",INDEX(Cascade!$Z:$Z,MATCH($E137,Cascade!$E:$E,0)))</f>
        <v>4081</v>
      </c>
      <c r="J137" s="33">
        <f>IF(LEFT($B137,4)="_Mil","",INDEX(Cascade!$AA:$AA,MATCH($E137,Cascade!$E:$E,0)))</f>
        <v>0.98423557100000003</v>
      </c>
      <c r="K137" s="218">
        <f>IF(LEFT($B137,4)="_Mil","",_xlfn.IFNA(ROUND(INDEX(Spectrum!$N:$N,MATCH(RIGHT($B137,13)&amp;"|"&amp;$C137&amp;"|"&amp;$D137&amp;"|"&amp;K$14&amp;"|"&amp;"CY2024Q3",Spectrum!$R:$R,0)),0),""))</f>
        <v>4196</v>
      </c>
      <c r="L137" s="218">
        <f>IF(LEFT($B137,4)="_Mil","",_xlfn.IFNA(ROUND(INDEX(Spectrum!$N:$N,MATCH(RIGHT($B137,13)&amp;"|"&amp;$C137&amp;"|"&amp;$D137&amp;"|"&amp;L$14&amp;"|"&amp;"CY2024Q3",Spectrum!$R:$R,0)),0),""))</f>
        <v>289</v>
      </c>
      <c r="M137" s="218">
        <f>IF(LEFT($B137,4)="_Mil","",_xlfn.IFNA(ROUND(INDEX(Spectrum!$N:$N,MATCH(RIGHT($B137,13)&amp;"|"&amp;$C137&amp;"|"&amp;$D137&amp;"|"&amp;M$14&amp;"|"&amp;"CY2024Q3",Spectrum!$R:$R,0)),0),""))</f>
        <v>54</v>
      </c>
      <c r="N137" s="218">
        <f>IF(LEFT($B137,4)="_Mil","",_xlfn.IFNA(ROUND(INDEX(Spectrum!$N:$N,MATCH(RIGHT($B137,13)&amp;"|"&amp;$C137&amp;"|"&amp;$D137&amp;"|"&amp;N$14&amp;"|"&amp;"CY2024Q3",Spectrum!$R:$R,0)),0),""))</f>
        <v>3853</v>
      </c>
      <c r="O137" s="218">
        <f>IF(LEFT($B137,4)="_Mil","",_xlfn.IFNA(ROUND(INDEX(Spectrum!$N:$N,MATCH(RIGHT($B137,13)&amp;"|"&amp;$C137&amp;"|"&amp;$D137&amp;"|"&amp;O$14&amp;"|"&amp;"CY2024Q3",Spectrum!$R:$R,0)),0),""))</f>
        <v>343</v>
      </c>
      <c r="P137" s="218">
        <f>IF(LEFT($B137,4)="_Mil","",_xlfn.IFNA(ROUND(INDEX(Spectrum!$N:$N,MATCH(RIGHT($B137,13)&amp;"|"&amp;$C137&amp;"|"&amp;$D137&amp;"|"&amp;P$14&amp;"|"&amp;"CY2024Q3",Spectrum!$R:$R,0)),0),""))</f>
        <v>289</v>
      </c>
      <c r="Q137" s="218">
        <f>IF(LEFT($B137,4)="_Mil","",_xlfn.IFNA(ROUND(INDEX(Spectrum!$N:$N,MATCH(RIGHT($B137,13)&amp;"|"&amp;$C137&amp;"|"&amp;$D137&amp;"|"&amp;Q$14&amp;"|"&amp;"CY2024Q3",Spectrum!$R:$R,0)),0),""))</f>
        <v>54</v>
      </c>
      <c r="R137" s="38">
        <v>12066</v>
      </c>
      <c r="S137" s="33">
        <v>0</v>
      </c>
      <c r="T137" s="218">
        <f t="shared" si="85"/>
        <v>12066</v>
      </c>
      <c r="U137" s="33">
        <f t="shared" si="86"/>
        <v>1</v>
      </c>
      <c r="V137" s="218">
        <f t="shared" si="87"/>
        <v>12066</v>
      </c>
      <c r="W137" s="33">
        <v>9.4E-2</v>
      </c>
      <c r="X137" s="33">
        <f t="shared" si="88"/>
        <v>9.4E-2</v>
      </c>
      <c r="Y137" s="231">
        <v>1.7999999999999999E-2</v>
      </c>
      <c r="Z137" s="33">
        <f t="shared" si="89"/>
        <v>1.382134630151011E-2</v>
      </c>
      <c r="AA137" s="38">
        <f t="shared" si="90"/>
        <v>12066</v>
      </c>
      <c r="AB137" s="218">
        <f t="shared" si="91"/>
        <v>1134</v>
      </c>
      <c r="AC137" s="218">
        <f t="shared" si="92"/>
        <v>151</v>
      </c>
      <c r="AD137" s="218">
        <f t="shared" si="93"/>
        <v>10781</v>
      </c>
      <c r="AE137" s="38">
        <f t="shared" si="94"/>
        <v>12066</v>
      </c>
      <c r="AF137" s="218">
        <f t="shared" si="95"/>
        <v>1134</v>
      </c>
      <c r="AG137" s="218">
        <f t="shared" si="96"/>
        <v>151</v>
      </c>
      <c r="AH137" s="218">
        <f t="shared" si="97"/>
        <v>10781</v>
      </c>
      <c r="AI137" s="33">
        <f>IF(SUM($AC137)=0,"",INDEX(Cascade!$BG:$BG,MATCH($E137,Cascade!$E:$E,0)))</f>
        <v>0.95</v>
      </c>
      <c r="AJ137" s="218">
        <f t="shared" si="98"/>
        <v>1134</v>
      </c>
      <c r="AK137" s="218">
        <f t="shared" si="99"/>
        <v>143</v>
      </c>
      <c r="AL137" s="218">
        <f t="shared" si="100"/>
        <v>1285</v>
      </c>
      <c r="AM137" s="218">
        <f t="shared" si="101"/>
        <v>1134</v>
      </c>
      <c r="AN137" s="218">
        <f t="shared" si="102"/>
        <v>143</v>
      </c>
      <c r="AO137" s="38">
        <f t="shared" si="103"/>
        <v>10781</v>
      </c>
      <c r="AP137" s="232">
        <v>7.0000000000000001E-3</v>
      </c>
      <c r="AQ137" s="33">
        <f t="shared" si="104"/>
        <v>7.0000000000000001E-3</v>
      </c>
      <c r="AR137" s="33">
        <f>IF(SUM($AO137)=0,"",INDEX(Cascade!$BG:$BG,MATCH($E137,Cascade!$E:$E,0)))</f>
        <v>0.95</v>
      </c>
      <c r="AS137" s="218">
        <f t="shared" si="105"/>
        <v>75</v>
      </c>
      <c r="AT137" s="218">
        <f t="shared" si="106"/>
        <v>10706</v>
      </c>
      <c r="AU137" s="38">
        <f t="shared" si="107"/>
        <v>71</v>
      </c>
      <c r="AV137" s="38">
        <f t="shared" si="108"/>
        <v>1360</v>
      </c>
      <c r="AW137" s="38">
        <f>IFERROR(1/(1/INDEX(Cascade!$BH:$BH,MATCH($E137,Cascade!$E:$E,0))),"")</f>
        <v>431</v>
      </c>
      <c r="AX137" s="38">
        <f t="shared" si="109"/>
        <v>151</v>
      </c>
      <c r="AY137" s="38">
        <f t="shared" si="110"/>
        <v>75</v>
      </c>
      <c r="AZ137" s="38">
        <f>IFERROR(1/(1/INDEX(TB!$P:$P,MATCH($E137,TB!$E:$E,0))),"")</f>
        <v>1</v>
      </c>
      <c r="BA137" s="38">
        <f t="shared" si="111"/>
        <v>204</v>
      </c>
    </row>
    <row r="138" spans="1:53" x14ac:dyDescent="0.2">
      <c r="A138" t="str">
        <f>INDEX(Prioritization!$D:$D,MATCH($B138,Prioritization!$A:$A,0))</f>
        <v>INVALID</v>
      </c>
      <c r="B138" t="s">
        <v>323</v>
      </c>
      <c r="C138" t="s">
        <v>477</v>
      </c>
      <c r="D138" t="s">
        <v>30</v>
      </c>
      <c r="E138" t="str">
        <f t="shared" si="84"/>
        <v>Phalombe District [AZyWpGzhcaA]|35-49|Female</v>
      </c>
      <c r="F138" s="38">
        <f>IF(LEFT($B138,4)="_Mil","",INDEX(Cascade!$T:$T,MATCH($E138,Cascade!$E:$E,0)))</f>
        <v>37371</v>
      </c>
      <c r="G138" s="38">
        <f>IF(LEFT($B138,4)="_Mil","",INDEX(Cascade!$U:$U,MATCH($E138,Cascade!$E:$E,0)))</f>
        <v>11509</v>
      </c>
      <c r="H138" s="110">
        <f>IF(LEFT($B138,4)="_Mil","",INDEX(Cascade!$W:$W,MATCH($E138,Cascade!$E:$E,0)))</f>
        <v>0.30795450600000002</v>
      </c>
      <c r="I138" s="38">
        <f>IF(LEFT($B138,4)="_Mil","",INDEX(Cascade!$Z:$Z,MATCH($E138,Cascade!$E:$E,0)))</f>
        <v>9705</v>
      </c>
      <c r="J138" s="33">
        <f>IF(LEFT($B138,4)="_Mil","",INDEX(Cascade!$AA:$AA,MATCH($E138,Cascade!$E:$E,0)))</f>
        <v>0.99220979999999992</v>
      </c>
      <c r="K138" s="218">
        <f>IF(LEFT($B138,4)="_Mil","",_xlfn.IFNA(ROUND(INDEX(Spectrum!$N:$N,MATCH(RIGHT($B138,13)&amp;"|"&amp;$C138&amp;"|"&amp;$D138&amp;"|"&amp;K$14&amp;"|"&amp;"CY2024Q3",Spectrum!$R:$R,0)),0),""))</f>
        <v>1510</v>
      </c>
      <c r="L138" s="218">
        <f>IF(LEFT($B138,4)="_Mil","",_xlfn.IFNA(ROUND(INDEX(Spectrum!$N:$N,MATCH(RIGHT($B138,13)&amp;"|"&amp;$C138&amp;"|"&amp;$D138&amp;"|"&amp;L$14&amp;"|"&amp;"CY2024Q3",Spectrum!$R:$R,0)),0),""))</f>
        <v>225</v>
      </c>
      <c r="M138" s="218">
        <f>IF(LEFT($B138,4)="_Mil","",_xlfn.IFNA(ROUND(INDEX(Spectrum!$N:$N,MATCH(RIGHT($B138,13)&amp;"|"&amp;$C138&amp;"|"&amp;$D138&amp;"|"&amp;M$14&amp;"|"&amp;"CY2024Q3",Spectrum!$R:$R,0)),0),""))</f>
        <v>14</v>
      </c>
      <c r="N138" s="218">
        <f>IF(LEFT($B138,4)="_Mil","",_xlfn.IFNA(ROUND(INDEX(Spectrum!$N:$N,MATCH(RIGHT($B138,13)&amp;"|"&amp;$C138&amp;"|"&amp;$D138&amp;"|"&amp;N$14&amp;"|"&amp;"CY2024Q3",Spectrum!$R:$R,0)),0),""))</f>
        <v>1271</v>
      </c>
      <c r="O138" s="218">
        <f>IF(LEFT($B138,4)="_Mil","",_xlfn.IFNA(ROUND(INDEX(Spectrum!$N:$N,MATCH(RIGHT($B138,13)&amp;"|"&amp;$C138&amp;"|"&amp;$D138&amp;"|"&amp;O$14&amp;"|"&amp;"CY2024Q3",Spectrum!$R:$R,0)),0),""))</f>
        <v>239</v>
      </c>
      <c r="P138" s="218">
        <f>IF(LEFT($B138,4)="_Mil","",_xlfn.IFNA(ROUND(INDEX(Spectrum!$N:$N,MATCH(RIGHT($B138,13)&amp;"|"&amp;$C138&amp;"|"&amp;$D138&amp;"|"&amp;P$14&amp;"|"&amp;"CY2024Q3",Spectrum!$R:$R,0)),0),""))</f>
        <v>225</v>
      </c>
      <c r="Q138" s="218">
        <f>IF(LEFT($B138,4)="_Mil","",_xlfn.IFNA(ROUND(INDEX(Spectrum!$N:$N,MATCH(RIGHT($B138,13)&amp;"|"&amp;$C138&amp;"|"&amp;$D138&amp;"|"&amp;Q$14&amp;"|"&amp;"CY2024Q3",Spectrum!$R:$R,0)),0),""))</f>
        <v>14</v>
      </c>
      <c r="R138" s="38">
        <v>771</v>
      </c>
      <c r="S138" s="33">
        <v>0</v>
      </c>
      <c r="T138" s="218">
        <f t="shared" si="85"/>
        <v>771</v>
      </c>
      <c r="U138" s="33">
        <f t="shared" si="86"/>
        <v>0.51059602649006619</v>
      </c>
      <c r="V138" s="218">
        <f t="shared" si="87"/>
        <v>1510</v>
      </c>
      <c r="W138" s="33">
        <v>0.185</v>
      </c>
      <c r="X138" s="33">
        <f t="shared" si="88"/>
        <v>0.185</v>
      </c>
      <c r="Y138" s="231">
        <v>1.7999999999999999E-2</v>
      </c>
      <c r="Z138" s="33">
        <f t="shared" si="89"/>
        <v>1.0894941634241245E-2</v>
      </c>
      <c r="AA138" s="38">
        <f t="shared" si="90"/>
        <v>771</v>
      </c>
      <c r="AB138" s="218">
        <f t="shared" si="91"/>
        <v>143</v>
      </c>
      <c r="AC138" s="218">
        <f t="shared" si="92"/>
        <v>7</v>
      </c>
      <c r="AD138" s="218">
        <f t="shared" si="93"/>
        <v>621</v>
      </c>
      <c r="AE138" s="38">
        <f t="shared" si="94"/>
        <v>1510</v>
      </c>
      <c r="AF138" s="218">
        <f t="shared" si="95"/>
        <v>279</v>
      </c>
      <c r="AG138" s="218">
        <f t="shared" si="96"/>
        <v>13</v>
      </c>
      <c r="AH138" s="218">
        <f t="shared" si="97"/>
        <v>1218</v>
      </c>
      <c r="AI138" s="33">
        <f>IF(SUM($AC138)=0,"",INDEX(Cascade!$BG:$BG,MATCH($E138,Cascade!$E:$E,0)))</f>
        <v>0.95</v>
      </c>
      <c r="AJ138" s="218">
        <f t="shared" si="98"/>
        <v>143</v>
      </c>
      <c r="AK138" s="218">
        <f t="shared" si="99"/>
        <v>7</v>
      </c>
      <c r="AL138" s="218">
        <f t="shared" si="100"/>
        <v>292</v>
      </c>
      <c r="AM138" s="218">
        <f t="shared" si="101"/>
        <v>279</v>
      </c>
      <c r="AN138" s="218">
        <f t="shared" si="102"/>
        <v>12</v>
      </c>
      <c r="AO138" s="38">
        <f t="shared" si="103"/>
        <v>621</v>
      </c>
      <c r="AP138" s="232">
        <v>8.9999999999999993E-3</v>
      </c>
      <c r="AQ138" s="33">
        <f t="shared" si="104"/>
        <v>8.9999999999999993E-3</v>
      </c>
      <c r="AR138" s="33">
        <f>IF(SUM($AO138)=0,"",INDEX(Cascade!$BG:$BG,MATCH($E138,Cascade!$E:$E,0)))</f>
        <v>0.95</v>
      </c>
      <c r="AS138" s="218">
        <f t="shared" si="105"/>
        <v>6</v>
      </c>
      <c r="AT138" s="218">
        <f t="shared" si="106"/>
        <v>615</v>
      </c>
      <c r="AU138" s="38">
        <f t="shared" si="107"/>
        <v>6</v>
      </c>
      <c r="AV138" s="38">
        <f t="shared" si="108"/>
        <v>156</v>
      </c>
      <c r="AW138" s="38">
        <f>IFERROR(1/(1/INDEX(Cascade!$BH:$BH,MATCH($E138,Cascade!$E:$E,0))),"")</f>
        <v>215</v>
      </c>
      <c r="AX138" s="38">
        <f t="shared" si="109"/>
        <v>7</v>
      </c>
      <c r="AY138" s="38">
        <f t="shared" si="110"/>
        <v>6</v>
      </c>
      <c r="AZ138" s="38">
        <f>IFERROR(1/(1/INDEX(TB!$P:$P,MATCH($E138,TB!$E:$E,0))),"")</f>
        <v>1</v>
      </c>
      <c r="BA138" s="38">
        <f t="shared" si="111"/>
        <v>201</v>
      </c>
    </row>
    <row r="139" spans="1:53" x14ac:dyDescent="0.2">
      <c r="A139" t="str">
        <f>INDEX(Prioritization!$D:$D,MATCH($B139,Prioritization!$A:$A,0))</f>
        <v>INVALID</v>
      </c>
      <c r="B139" t="s">
        <v>323</v>
      </c>
      <c r="C139" t="s">
        <v>478</v>
      </c>
      <c r="D139" t="s">
        <v>30</v>
      </c>
      <c r="E139" t="str">
        <f t="shared" si="84"/>
        <v>Phalombe District [AZyWpGzhcaA]|50+|Female</v>
      </c>
      <c r="F139" s="38">
        <f>IF(LEFT($B139,4)="_Mil","",INDEX(Cascade!$T:$T,MATCH($E139,Cascade!$E:$E,0)))</f>
        <v>23211</v>
      </c>
      <c r="G139" s="38">
        <f>IF(LEFT($B139,4)="_Mil","",INDEX(Cascade!$U:$U,MATCH($E139,Cascade!$E:$E,0)))</f>
        <v>5456</v>
      </c>
      <c r="H139" s="110">
        <f>IF(LEFT($B139,4)="_Mil","",INDEX(Cascade!$W:$W,MATCH($E139,Cascade!$E:$E,0)))</f>
        <v>0.23504441100000001</v>
      </c>
      <c r="I139" s="38">
        <f>IF(LEFT($B139,4)="_Mil","",INDEX(Cascade!$Z:$Z,MATCH($E139,Cascade!$E:$E,0)))</f>
        <v>4664</v>
      </c>
      <c r="J139" s="33">
        <f>IF(LEFT($B139,4)="_Mil","",INDEX(Cascade!$AA:$AA,MATCH($E139,Cascade!$E:$E,0)))</f>
        <v>0.99472093100000014</v>
      </c>
      <c r="K139" s="218" t="str">
        <f>IF(LEFT($B139,4)="_Mil","",_xlfn.IFNA(ROUND(INDEX(Spectrum!$N:$N,MATCH(RIGHT($B139,13)&amp;"|"&amp;$C139&amp;"|"&amp;$D139&amp;"|"&amp;K$14&amp;"|"&amp;"CY2024Q3",Spectrum!$R:$R,0)),0),""))</f>
        <v/>
      </c>
      <c r="L139" s="218" t="str">
        <f>IF(LEFT($B139,4)="_Mil","",_xlfn.IFNA(ROUND(INDEX(Spectrum!$N:$N,MATCH(RIGHT($B139,13)&amp;"|"&amp;$C139&amp;"|"&amp;$D139&amp;"|"&amp;L$14&amp;"|"&amp;"CY2024Q3",Spectrum!$R:$R,0)),0),""))</f>
        <v/>
      </c>
      <c r="M139" s="218" t="str">
        <f>IF(LEFT($B139,4)="_Mil","",_xlfn.IFNA(ROUND(INDEX(Spectrum!$N:$N,MATCH(RIGHT($B139,13)&amp;"|"&amp;$C139&amp;"|"&amp;$D139&amp;"|"&amp;M$14&amp;"|"&amp;"CY2024Q3",Spectrum!$R:$R,0)),0),""))</f>
        <v/>
      </c>
      <c r="N139" s="218" t="str">
        <f>IF(LEFT($B139,4)="_Mil","",_xlfn.IFNA(ROUND(INDEX(Spectrum!$N:$N,MATCH(RIGHT($B139,13)&amp;"|"&amp;$C139&amp;"|"&amp;$D139&amp;"|"&amp;N$14&amp;"|"&amp;"CY2024Q3",Spectrum!$R:$R,0)),0),""))</f>
        <v/>
      </c>
      <c r="O139" s="218" t="str">
        <f>IF(LEFT($B139,4)="_Mil","",_xlfn.IFNA(ROUND(INDEX(Spectrum!$N:$N,MATCH(RIGHT($B139,13)&amp;"|"&amp;$C139&amp;"|"&amp;$D139&amp;"|"&amp;O$14&amp;"|"&amp;"CY2024Q3",Spectrum!$R:$R,0)),0),""))</f>
        <v/>
      </c>
      <c r="P139" s="218" t="str">
        <f>IF(LEFT($B139,4)="_Mil","",_xlfn.IFNA(ROUND(INDEX(Spectrum!$N:$N,MATCH(RIGHT($B139,13)&amp;"|"&amp;$C139&amp;"|"&amp;$D139&amp;"|"&amp;P$14&amp;"|"&amp;"CY2024Q3",Spectrum!$R:$R,0)),0),""))</f>
        <v/>
      </c>
      <c r="Q139" s="218" t="str">
        <f>IF(LEFT($B139,4)="_Mil","",_xlfn.IFNA(ROUND(INDEX(Spectrum!$N:$N,MATCH(RIGHT($B139,13)&amp;"|"&amp;$C139&amp;"|"&amp;$D139&amp;"|"&amp;Q$14&amp;"|"&amp;"CY2024Q3",Spectrum!$R:$R,0)),0),""))</f>
        <v/>
      </c>
      <c r="R139" s="38">
        <v>13</v>
      </c>
      <c r="S139" s="33">
        <v>0</v>
      </c>
      <c r="T139" s="218">
        <f t="shared" si="85"/>
        <v>13</v>
      </c>
      <c r="U139" s="33">
        <f t="shared" si="86"/>
        <v>1</v>
      </c>
      <c r="V139" s="218">
        <f t="shared" si="87"/>
        <v>13</v>
      </c>
      <c r="W139" s="33">
        <v>0.185</v>
      </c>
      <c r="X139" s="33">
        <f t="shared" si="88"/>
        <v>0.185</v>
      </c>
      <c r="Y139" s="231">
        <v>1.4E-2</v>
      </c>
      <c r="Z139" s="33">
        <f t="shared" si="89"/>
        <v>1.4E-2</v>
      </c>
      <c r="AA139" s="38">
        <f t="shared" si="90"/>
        <v>13</v>
      </c>
      <c r="AB139" s="218">
        <f t="shared" si="91"/>
        <v>2</v>
      </c>
      <c r="AC139" s="218">
        <f t="shared" si="92"/>
        <v>0</v>
      </c>
      <c r="AD139" s="218">
        <f t="shared" si="93"/>
        <v>11</v>
      </c>
      <c r="AE139" s="38">
        <f t="shared" si="94"/>
        <v>13</v>
      </c>
      <c r="AF139" s="218">
        <f t="shared" si="95"/>
        <v>2</v>
      </c>
      <c r="AG139" s="218">
        <f t="shared" si="96"/>
        <v>0</v>
      </c>
      <c r="AH139" s="218">
        <f t="shared" si="97"/>
        <v>11</v>
      </c>
      <c r="AI139" s="33" t="str">
        <f>IF(SUM($AC139)=0,"",INDEX(Cascade!$BG:$BG,MATCH($E139,Cascade!$E:$E,0)))</f>
        <v/>
      </c>
      <c r="AJ139" s="218">
        <f t="shared" si="98"/>
        <v>2</v>
      </c>
      <c r="AK139" s="218" t="str">
        <f t="shared" si="99"/>
        <v/>
      </c>
      <c r="AL139" s="218">
        <f t="shared" si="100"/>
        <v>2</v>
      </c>
      <c r="AM139" s="218">
        <f t="shared" si="101"/>
        <v>2</v>
      </c>
      <c r="AN139" s="218" t="str">
        <f t="shared" si="102"/>
        <v/>
      </c>
      <c r="AO139" s="38">
        <f t="shared" si="103"/>
        <v>11</v>
      </c>
      <c r="AP139" s="232">
        <v>6.0000000000000001E-3</v>
      </c>
      <c r="AQ139" s="33">
        <f t="shared" si="104"/>
        <v>6.0000000000000001E-3</v>
      </c>
      <c r="AR139" s="33">
        <f>IF(SUM($AO139)=0,"",INDEX(Cascade!$BG:$BG,MATCH($E139,Cascade!$E:$E,0)))</f>
        <v>0.95</v>
      </c>
      <c r="AS139" s="218">
        <f t="shared" si="105"/>
        <v>0</v>
      </c>
      <c r="AT139" s="218">
        <f t="shared" si="106"/>
        <v>11</v>
      </c>
      <c r="AU139" s="38" t="str">
        <f t="shared" si="107"/>
        <v/>
      </c>
      <c r="AV139" s="38">
        <f t="shared" si="108"/>
        <v>2</v>
      </c>
      <c r="AW139" s="38">
        <f>IFERROR(1/(1/INDEX(Cascade!$BH:$BH,MATCH($E139,Cascade!$E:$E,0))),"")</f>
        <v>183</v>
      </c>
      <c r="AX139" s="38" t="str">
        <f t="shared" si="109"/>
        <v/>
      </c>
      <c r="AY139" s="38" t="str">
        <f t="shared" si="110"/>
        <v/>
      </c>
      <c r="AZ139" s="38" t="str">
        <f>IFERROR(1/(1/INDEX(TB!$P:$P,MATCH($E139,TB!$E:$E,0))),"")</f>
        <v/>
      </c>
      <c r="BA139" s="38">
        <f t="shared" si="111"/>
        <v>183</v>
      </c>
    </row>
    <row r="140" spans="1:53" x14ac:dyDescent="0.2">
      <c r="A140" t="str">
        <f>INDEX(Prioritization!$D:$D,MATCH($B140,Prioritization!$A:$A,0))</f>
        <v>4 - Sustained</v>
      </c>
      <c r="B140" t="s">
        <v>312</v>
      </c>
      <c r="C140" t="s">
        <v>474</v>
      </c>
      <c r="D140" t="s">
        <v>30</v>
      </c>
      <c r="E140" t="str">
        <f t="shared" si="84"/>
        <v>Rumphi District [lPTyjLi4w3d]|10-14|Female</v>
      </c>
      <c r="F140" s="38">
        <f>IF(LEFT($B140,4)="_Mil","",INDEX(Cascade!$T:$T,MATCH($E140,Cascade!$E:$E,0)))</f>
        <v>18621</v>
      </c>
      <c r="G140" s="38">
        <f>IF(LEFT($B140,4)="_Mil","",INDEX(Cascade!$U:$U,MATCH($E140,Cascade!$E:$E,0)))</f>
        <v>116</v>
      </c>
      <c r="H140" s="110">
        <f>IF(LEFT($B140,4)="_Mil","",INDEX(Cascade!$W:$W,MATCH($E140,Cascade!$E:$E,0)))</f>
        <v>6.2346229999999999E-3</v>
      </c>
      <c r="I140" s="38">
        <f>IF(LEFT($B140,4)="_Mil","",INDEX(Cascade!$Z:$Z,MATCH($E140,Cascade!$E:$E,0)))</f>
        <v>89</v>
      </c>
      <c r="J140" s="33">
        <f>IF(LEFT($B140,4)="_Mil","",INDEX(Cascade!$AA:$AA,MATCH($E140,Cascade!$E:$E,0)))</f>
        <v>0.74536502100000002</v>
      </c>
      <c r="K140" s="218" t="str">
        <f>IF(LEFT($B140,4)="_Mil","",_xlfn.IFNA(ROUND(INDEX(Spectrum!$N:$N,MATCH(RIGHT($B140,13)&amp;"|"&amp;$C140&amp;"|"&amp;$D140&amp;"|"&amp;K$14&amp;"|"&amp;"CY2024Q3",Spectrum!$R:$R,0)),0),""))</f>
        <v/>
      </c>
      <c r="L140" s="218" t="str">
        <f>IF(LEFT($B140,4)="_Mil","",_xlfn.IFNA(ROUND(INDEX(Spectrum!$N:$N,MATCH(RIGHT($B140,13)&amp;"|"&amp;$C140&amp;"|"&amp;$D140&amp;"|"&amp;L$14&amp;"|"&amp;"CY2024Q3",Spectrum!$R:$R,0)),0),""))</f>
        <v/>
      </c>
      <c r="M140" s="218" t="str">
        <f>IF(LEFT($B140,4)="_Mil","",_xlfn.IFNA(ROUND(INDEX(Spectrum!$N:$N,MATCH(RIGHT($B140,13)&amp;"|"&amp;$C140&amp;"|"&amp;$D140&amp;"|"&amp;M$14&amp;"|"&amp;"CY2024Q3",Spectrum!$R:$R,0)),0),""))</f>
        <v/>
      </c>
      <c r="N140" s="218" t="str">
        <f>IF(LEFT($B140,4)="_Mil","",_xlfn.IFNA(ROUND(INDEX(Spectrum!$N:$N,MATCH(RIGHT($B140,13)&amp;"|"&amp;$C140&amp;"|"&amp;$D140&amp;"|"&amp;N$14&amp;"|"&amp;"CY2024Q3",Spectrum!$R:$R,0)),0),""))</f>
        <v/>
      </c>
      <c r="O140" s="218" t="str">
        <f>IF(LEFT($B140,4)="_Mil","",_xlfn.IFNA(ROUND(INDEX(Spectrum!$N:$N,MATCH(RIGHT($B140,13)&amp;"|"&amp;$C140&amp;"|"&amp;$D140&amp;"|"&amp;O$14&amp;"|"&amp;"CY2024Q3",Spectrum!$R:$R,0)),0),""))</f>
        <v/>
      </c>
      <c r="P140" s="218" t="str">
        <f>IF(LEFT($B140,4)="_Mil","",_xlfn.IFNA(ROUND(INDEX(Spectrum!$N:$N,MATCH(RIGHT($B140,13)&amp;"|"&amp;$C140&amp;"|"&amp;$D140&amp;"|"&amp;P$14&amp;"|"&amp;"CY2024Q3",Spectrum!$R:$R,0)),0),""))</f>
        <v/>
      </c>
      <c r="Q140" s="218" t="str">
        <f>IF(LEFT($B140,4)="_Mil","",_xlfn.IFNA(ROUND(INDEX(Spectrum!$N:$N,MATCH(RIGHT($B140,13)&amp;"|"&amp;$C140&amp;"|"&amp;$D140&amp;"|"&amp;Q$14&amp;"|"&amp;"CY2024Q3",Spectrum!$R:$R,0)),0),""))</f>
        <v/>
      </c>
      <c r="R140" s="38">
        <v>18</v>
      </c>
      <c r="S140" s="33">
        <v>0</v>
      </c>
      <c r="T140" s="218">
        <f t="shared" si="85"/>
        <v>18</v>
      </c>
      <c r="U140" s="33">
        <f t="shared" si="86"/>
        <v>1</v>
      </c>
      <c r="V140" s="218">
        <f t="shared" si="87"/>
        <v>18</v>
      </c>
      <c r="W140" s="33">
        <v>7.4000000000000003E-3</v>
      </c>
      <c r="X140" s="33">
        <f t="shared" si="88"/>
        <v>7.4000000000000003E-3</v>
      </c>
      <c r="Y140" s="231">
        <v>1.0999999999999999E-2</v>
      </c>
      <c r="Z140" s="33">
        <f t="shared" si="89"/>
        <v>1.0999999999999999E-2</v>
      </c>
      <c r="AA140" s="38">
        <f t="shared" si="90"/>
        <v>18</v>
      </c>
      <c r="AB140" s="218">
        <f t="shared" si="91"/>
        <v>0</v>
      </c>
      <c r="AC140" s="218">
        <f t="shared" si="92"/>
        <v>0</v>
      </c>
      <c r="AD140" s="218">
        <f t="shared" si="93"/>
        <v>18</v>
      </c>
      <c r="AE140" s="38">
        <f t="shared" si="94"/>
        <v>18</v>
      </c>
      <c r="AF140" s="218">
        <f t="shared" si="95"/>
        <v>0</v>
      </c>
      <c r="AG140" s="218">
        <f t="shared" si="96"/>
        <v>0</v>
      </c>
      <c r="AH140" s="218">
        <f t="shared" si="97"/>
        <v>18</v>
      </c>
      <c r="AI140" s="33" t="str">
        <f>IF(SUM($AC140)=0,"",INDEX(Cascade!$BG:$BG,MATCH($E140,Cascade!$E:$E,0)))</f>
        <v/>
      </c>
      <c r="AJ140" s="218">
        <f t="shared" si="98"/>
        <v>0</v>
      </c>
      <c r="AK140" s="218" t="str">
        <f t="shared" si="99"/>
        <v/>
      </c>
      <c r="AL140" s="218" t="str">
        <f t="shared" si="100"/>
        <v/>
      </c>
      <c r="AM140" s="218">
        <f t="shared" si="101"/>
        <v>0</v>
      </c>
      <c r="AN140" s="218" t="str">
        <f t="shared" si="102"/>
        <v/>
      </c>
      <c r="AO140" s="38">
        <f t="shared" si="103"/>
        <v>18</v>
      </c>
      <c r="AP140" s="231">
        <v>4.0000000000000001E-3</v>
      </c>
      <c r="AQ140" s="33">
        <f t="shared" si="104"/>
        <v>4.0000000000000001E-3</v>
      </c>
      <c r="AR140" s="33">
        <f>IF(SUM($AO140)=0,"",INDEX(Cascade!$BG:$BG,MATCH($E140,Cascade!$E:$E,0)))</f>
        <v>0.95</v>
      </c>
      <c r="AS140" s="218">
        <f t="shared" si="105"/>
        <v>0</v>
      </c>
      <c r="AT140" s="218">
        <f t="shared" si="106"/>
        <v>18</v>
      </c>
      <c r="AU140" s="38" t="str">
        <f t="shared" si="107"/>
        <v/>
      </c>
      <c r="AV140" s="38" t="str">
        <f t="shared" si="108"/>
        <v/>
      </c>
      <c r="AW140" s="38">
        <f>IFERROR(1/(1/INDEX(Cascade!$BH:$BH,MATCH($E140,Cascade!$E:$E,0))),"")</f>
        <v>9</v>
      </c>
      <c r="AX140" s="38" t="str">
        <f t="shared" si="109"/>
        <v/>
      </c>
      <c r="AY140" s="38" t="str">
        <f t="shared" si="110"/>
        <v/>
      </c>
      <c r="AZ140" s="38" t="str">
        <f>IFERROR(1/(1/INDEX(TB!$P:$P,MATCH($E140,TB!$E:$E,0))),"")</f>
        <v/>
      </c>
      <c r="BA140" s="38">
        <f t="shared" si="111"/>
        <v>9</v>
      </c>
    </row>
    <row r="141" spans="1:53" x14ac:dyDescent="0.2">
      <c r="A141" t="str">
        <f>INDEX(Prioritization!$D:$D,MATCH($B141,Prioritization!$A:$A,0))</f>
        <v>4 - Sustained</v>
      </c>
      <c r="B141" t="s">
        <v>312</v>
      </c>
      <c r="C141" t="s">
        <v>475</v>
      </c>
      <c r="D141" t="s">
        <v>30</v>
      </c>
      <c r="E141" t="str">
        <f t="shared" si="84"/>
        <v>Rumphi District [lPTyjLi4w3d]|15-24|Female</v>
      </c>
      <c r="F141" s="38">
        <f>IF(LEFT($B141,4)="_Mil","",INDEX(Cascade!$T:$T,MATCH($E141,Cascade!$E:$E,0)))</f>
        <v>31076</v>
      </c>
      <c r="G141" s="38">
        <f>IF(LEFT($B141,4)="_Mil","",INDEX(Cascade!$U:$U,MATCH($E141,Cascade!$E:$E,0)))</f>
        <v>402</v>
      </c>
      <c r="H141" s="110">
        <f>IF(LEFT($B141,4)="_Mil","",INDEX(Cascade!$W:$W,MATCH($E141,Cascade!$E:$E,0)))</f>
        <v>1.2926517E-2</v>
      </c>
      <c r="I141" s="38">
        <f>IF(LEFT($B141,4)="_Mil","",INDEX(Cascade!$Z:$Z,MATCH($E141,Cascade!$E:$E,0)))</f>
        <v>392</v>
      </c>
      <c r="J141" s="33">
        <f>IF(LEFT($B141,4)="_Mil","",INDEX(Cascade!$AA:$AA,MATCH($E141,Cascade!$E:$E,0)))</f>
        <v>0.93293244500000017</v>
      </c>
      <c r="K141" s="218">
        <f>IF(LEFT($B141,4)="_Mil","",_xlfn.IFNA(ROUND(INDEX(Spectrum!$N:$N,MATCH(RIGHT($B141,13)&amp;"|"&amp;$C141&amp;"|"&amp;$D141&amp;"|"&amp;K$14&amp;"|"&amp;"CY2024Q3",Spectrum!$R:$R,0)),0),""))</f>
        <v>3198</v>
      </c>
      <c r="L141" s="218">
        <f>IF(LEFT($B141,4)="_Mil","",_xlfn.IFNA(ROUND(INDEX(Spectrum!$N:$N,MATCH(RIGHT($B141,13)&amp;"|"&amp;$C141&amp;"|"&amp;$D141&amp;"|"&amp;L$14&amp;"|"&amp;"CY2024Q3",Spectrum!$R:$R,0)),0),""))</f>
        <v>34</v>
      </c>
      <c r="M141" s="218">
        <f>IF(LEFT($B141,4)="_Mil","",_xlfn.IFNA(ROUND(INDEX(Spectrum!$N:$N,MATCH(RIGHT($B141,13)&amp;"|"&amp;$C141&amp;"|"&amp;$D141&amp;"|"&amp;M$14&amp;"|"&amp;"CY2024Q3",Spectrum!$R:$R,0)),0),""))</f>
        <v>18</v>
      </c>
      <c r="N141" s="218">
        <f>IF(LEFT($B141,4)="_Mil","",_xlfn.IFNA(ROUND(INDEX(Spectrum!$N:$N,MATCH(RIGHT($B141,13)&amp;"|"&amp;$C141&amp;"|"&amp;$D141&amp;"|"&amp;N$14&amp;"|"&amp;"CY2024Q3",Spectrum!$R:$R,0)),0),""))</f>
        <v>3146</v>
      </c>
      <c r="O141" s="218">
        <f>IF(LEFT($B141,4)="_Mil","",_xlfn.IFNA(ROUND(INDEX(Spectrum!$N:$N,MATCH(RIGHT($B141,13)&amp;"|"&amp;$C141&amp;"|"&amp;$D141&amp;"|"&amp;O$14&amp;"|"&amp;"CY2024Q3",Spectrum!$R:$R,0)),0),""))</f>
        <v>52</v>
      </c>
      <c r="P141" s="218">
        <f>IF(LEFT($B141,4)="_Mil","",_xlfn.IFNA(ROUND(INDEX(Spectrum!$N:$N,MATCH(RIGHT($B141,13)&amp;"|"&amp;$C141&amp;"|"&amp;$D141&amp;"|"&amp;P$14&amp;"|"&amp;"CY2024Q3",Spectrum!$R:$R,0)),0),""))</f>
        <v>34</v>
      </c>
      <c r="Q141" s="218">
        <f>IF(LEFT($B141,4)="_Mil","",_xlfn.IFNA(ROUND(INDEX(Spectrum!$N:$N,MATCH(RIGHT($B141,13)&amp;"|"&amp;$C141&amp;"|"&amp;$D141&amp;"|"&amp;Q$14&amp;"|"&amp;"CY2024Q3",Spectrum!$R:$R,0)),0),""))</f>
        <v>18</v>
      </c>
      <c r="R141" s="38">
        <v>4270</v>
      </c>
      <c r="S141" s="33">
        <v>0</v>
      </c>
      <c r="T141" s="218">
        <f t="shared" si="85"/>
        <v>4270</v>
      </c>
      <c r="U141" s="33">
        <f t="shared" si="86"/>
        <v>1</v>
      </c>
      <c r="V141" s="218">
        <f t="shared" si="87"/>
        <v>4270</v>
      </c>
      <c r="W141" s="33">
        <v>7.4000000000000003E-3</v>
      </c>
      <c r="X141" s="33">
        <f t="shared" si="88"/>
        <v>1.0631644777986242E-2</v>
      </c>
      <c r="Y141" s="231">
        <v>1.0999999999999999E-2</v>
      </c>
      <c r="Z141" s="33">
        <f t="shared" si="89"/>
        <v>5.6890012642225032E-3</v>
      </c>
      <c r="AA141" s="38">
        <f t="shared" si="90"/>
        <v>4270</v>
      </c>
      <c r="AB141" s="218">
        <f t="shared" si="91"/>
        <v>45</v>
      </c>
      <c r="AC141" s="218">
        <f t="shared" si="92"/>
        <v>24</v>
      </c>
      <c r="AD141" s="218">
        <f t="shared" si="93"/>
        <v>4201</v>
      </c>
      <c r="AE141" s="38">
        <f t="shared" si="94"/>
        <v>4270</v>
      </c>
      <c r="AF141" s="218">
        <f t="shared" si="95"/>
        <v>45</v>
      </c>
      <c r="AG141" s="218">
        <f t="shared" si="96"/>
        <v>24</v>
      </c>
      <c r="AH141" s="218">
        <f t="shared" si="97"/>
        <v>4201</v>
      </c>
      <c r="AI141" s="33">
        <f>IF(SUM($AC141)=0,"",INDEX(Cascade!$BG:$BG,MATCH($E141,Cascade!$E:$E,0)))</f>
        <v>0.95</v>
      </c>
      <c r="AJ141" s="218">
        <f t="shared" si="98"/>
        <v>45</v>
      </c>
      <c r="AK141" s="218">
        <f t="shared" si="99"/>
        <v>23</v>
      </c>
      <c r="AL141" s="218">
        <f t="shared" si="100"/>
        <v>69</v>
      </c>
      <c r="AM141" s="218">
        <f t="shared" si="101"/>
        <v>45</v>
      </c>
      <c r="AN141" s="218">
        <f t="shared" si="102"/>
        <v>23</v>
      </c>
      <c r="AO141" s="38">
        <f t="shared" si="103"/>
        <v>4201</v>
      </c>
      <c r="AP141" s="231">
        <v>4.0000000000000001E-3</v>
      </c>
      <c r="AQ141" s="33">
        <f t="shared" si="104"/>
        <v>4.0000000000000001E-3</v>
      </c>
      <c r="AR141" s="33">
        <f>IF(SUM($AO141)=0,"",INDEX(Cascade!$BG:$BG,MATCH($E141,Cascade!$E:$E,0)))</f>
        <v>0.95</v>
      </c>
      <c r="AS141" s="218">
        <f t="shared" si="105"/>
        <v>17</v>
      </c>
      <c r="AT141" s="218">
        <f t="shared" si="106"/>
        <v>4184</v>
      </c>
      <c r="AU141" s="38">
        <f t="shared" si="107"/>
        <v>16</v>
      </c>
      <c r="AV141" s="38">
        <f t="shared" si="108"/>
        <v>86</v>
      </c>
      <c r="AW141" s="38">
        <f>IFERROR(1/(1/INDEX(Cascade!$BH:$BH,MATCH($E141,Cascade!$E:$E,0))),"")</f>
        <v>58</v>
      </c>
      <c r="AX141" s="38">
        <f t="shared" si="109"/>
        <v>24</v>
      </c>
      <c r="AY141" s="38">
        <f t="shared" si="110"/>
        <v>17</v>
      </c>
      <c r="AZ141" s="38" t="str">
        <f>IFERROR(1/(1/INDEX(TB!$P:$P,MATCH($E141,TB!$E:$E,0))),"")</f>
        <v/>
      </c>
      <c r="BA141" s="38">
        <f t="shared" si="111"/>
        <v>17</v>
      </c>
    </row>
    <row r="142" spans="1:53" x14ac:dyDescent="0.2">
      <c r="A142" t="str">
        <f>INDEX(Prioritization!$D:$D,MATCH($B142,Prioritization!$A:$A,0))</f>
        <v>4 - Sustained</v>
      </c>
      <c r="B142" t="s">
        <v>312</v>
      </c>
      <c r="C142" t="s">
        <v>476</v>
      </c>
      <c r="D142" t="s">
        <v>30</v>
      </c>
      <c r="E142" t="str">
        <f t="shared" si="84"/>
        <v>Rumphi District [lPTyjLi4w3d]|25-34|Female</v>
      </c>
      <c r="F142" s="38">
        <f>IF(LEFT($B142,4)="_Mil","",INDEX(Cascade!$T:$T,MATCH($E142,Cascade!$E:$E,0)))</f>
        <v>20516</v>
      </c>
      <c r="G142" s="38">
        <f>IF(LEFT($B142,4)="_Mil","",INDEX(Cascade!$U:$U,MATCH($E142,Cascade!$E:$E,0)))</f>
        <v>985</v>
      </c>
      <c r="H142" s="110">
        <f>IF(LEFT($B142,4)="_Mil","",INDEX(Cascade!$W:$W,MATCH($E142,Cascade!$E:$E,0)))</f>
        <v>4.7989641999999999E-2</v>
      </c>
      <c r="I142" s="38">
        <f>IF(LEFT($B142,4)="_Mil","",INDEX(Cascade!$Z:$Z,MATCH($E142,Cascade!$E:$E,0)))</f>
        <v>987</v>
      </c>
      <c r="J142" s="33">
        <f>IF(LEFT($B142,4)="_Mil","",INDEX(Cascade!$AA:$AA,MATCH($E142,Cascade!$E:$E,0)))</f>
        <v>0.96423711199999984</v>
      </c>
      <c r="K142" s="218">
        <f>IF(LEFT($B142,4)="_Mil","",_xlfn.IFNA(ROUND(INDEX(Spectrum!$N:$N,MATCH(RIGHT($B142,13)&amp;"|"&amp;$C142&amp;"|"&amp;$D142&amp;"|"&amp;K$14&amp;"|"&amp;"CY2024Q3",Spectrum!$R:$R,0)),0),""))</f>
        <v>2050</v>
      </c>
      <c r="L142" s="218">
        <f>IF(LEFT($B142,4)="_Mil","",_xlfn.IFNA(ROUND(INDEX(Spectrum!$N:$N,MATCH(RIGHT($B142,13)&amp;"|"&amp;$C142&amp;"|"&amp;$D142&amp;"|"&amp;L$14&amp;"|"&amp;"CY2024Q3",Spectrum!$R:$R,0)),0),""))</f>
        <v>64</v>
      </c>
      <c r="M142" s="218">
        <f>IF(LEFT($B142,4)="_Mil","",_xlfn.IFNA(ROUND(INDEX(Spectrum!$N:$N,MATCH(RIGHT($B142,13)&amp;"|"&amp;$C142&amp;"|"&amp;$D142&amp;"|"&amp;M$14&amp;"|"&amp;"CY2024Q3",Spectrum!$R:$R,0)),0),""))</f>
        <v>24</v>
      </c>
      <c r="N142" s="218">
        <f>IF(LEFT($B142,4)="_Mil","",_xlfn.IFNA(ROUND(INDEX(Spectrum!$N:$N,MATCH(RIGHT($B142,13)&amp;"|"&amp;$C142&amp;"|"&amp;$D142&amp;"|"&amp;N$14&amp;"|"&amp;"CY2024Q3",Spectrum!$R:$R,0)),0),""))</f>
        <v>1961</v>
      </c>
      <c r="O142" s="218">
        <f>IF(LEFT($B142,4)="_Mil","",_xlfn.IFNA(ROUND(INDEX(Spectrum!$N:$N,MATCH(RIGHT($B142,13)&amp;"|"&amp;$C142&amp;"|"&amp;$D142&amp;"|"&amp;O$14&amp;"|"&amp;"CY2024Q3",Spectrum!$R:$R,0)),0),""))</f>
        <v>89</v>
      </c>
      <c r="P142" s="218">
        <f>IF(LEFT($B142,4)="_Mil","",_xlfn.IFNA(ROUND(INDEX(Spectrum!$N:$N,MATCH(RIGHT($B142,13)&amp;"|"&amp;$C142&amp;"|"&amp;$D142&amp;"|"&amp;P$14&amp;"|"&amp;"CY2024Q3",Spectrum!$R:$R,0)),0),""))</f>
        <v>64</v>
      </c>
      <c r="Q142" s="218">
        <f>IF(LEFT($B142,4)="_Mil","",_xlfn.IFNA(ROUND(INDEX(Spectrum!$N:$N,MATCH(RIGHT($B142,13)&amp;"|"&amp;$C142&amp;"|"&amp;$D142&amp;"|"&amp;Q$14&amp;"|"&amp;"CY2024Q3",Spectrum!$R:$R,0)),0),""))</f>
        <v>24</v>
      </c>
      <c r="R142" s="38">
        <v>2368</v>
      </c>
      <c r="S142" s="33">
        <v>0</v>
      </c>
      <c r="T142" s="218">
        <f t="shared" si="85"/>
        <v>2368</v>
      </c>
      <c r="U142" s="33">
        <f t="shared" si="86"/>
        <v>1</v>
      </c>
      <c r="V142" s="218">
        <f t="shared" si="87"/>
        <v>2368</v>
      </c>
      <c r="W142" s="33">
        <v>4.7E-2</v>
      </c>
      <c r="X142" s="33">
        <f t="shared" si="88"/>
        <v>4.7E-2</v>
      </c>
      <c r="Y142" s="231">
        <v>1.0999999999999999E-2</v>
      </c>
      <c r="Z142" s="33">
        <f t="shared" si="89"/>
        <v>1.0999999999999999E-2</v>
      </c>
      <c r="AA142" s="38">
        <f t="shared" si="90"/>
        <v>2368</v>
      </c>
      <c r="AB142" s="218">
        <f t="shared" si="91"/>
        <v>111</v>
      </c>
      <c r="AC142" s="218">
        <f t="shared" si="92"/>
        <v>25</v>
      </c>
      <c r="AD142" s="218">
        <f t="shared" si="93"/>
        <v>2232</v>
      </c>
      <c r="AE142" s="38">
        <f t="shared" si="94"/>
        <v>2368</v>
      </c>
      <c r="AF142" s="218">
        <f t="shared" si="95"/>
        <v>111</v>
      </c>
      <c r="AG142" s="218">
        <f t="shared" si="96"/>
        <v>25</v>
      </c>
      <c r="AH142" s="218">
        <f t="shared" si="97"/>
        <v>2232</v>
      </c>
      <c r="AI142" s="33">
        <f>IF(SUM($AC142)=0,"",INDEX(Cascade!$BG:$BG,MATCH($E142,Cascade!$E:$E,0)))</f>
        <v>0.95</v>
      </c>
      <c r="AJ142" s="218">
        <f t="shared" si="98"/>
        <v>111</v>
      </c>
      <c r="AK142" s="218">
        <f t="shared" si="99"/>
        <v>24</v>
      </c>
      <c r="AL142" s="218">
        <f t="shared" si="100"/>
        <v>136</v>
      </c>
      <c r="AM142" s="218">
        <f t="shared" si="101"/>
        <v>111</v>
      </c>
      <c r="AN142" s="218">
        <f t="shared" si="102"/>
        <v>24</v>
      </c>
      <c r="AO142" s="38">
        <f t="shared" si="103"/>
        <v>2232</v>
      </c>
      <c r="AP142" s="231">
        <v>4.0000000000000001E-3</v>
      </c>
      <c r="AQ142" s="33">
        <f t="shared" si="104"/>
        <v>4.0000000000000001E-3</v>
      </c>
      <c r="AR142" s="33">
        <f>IF(SUM($AO142)=0,"",INDEX(Cascade!$BG:$BG,MATCH($E142,Cascade!$E:$E,0)))</f>
        <v>0.95</v>
      </c>
      <c r="AS142" s="218">
        <f t="shared" si="105"/>
        <v>9</v>
      </c>
      <c r="AT142" s="218">
        <f t="shared" si="106"/>
        <v>2223</v>
      </c>
      <c r="AU142" s="38">
        <f t="shared" si="107"/>
        <v>9</v>
      </c>
      <c r="AV142" s="38">
        <f t="shared" si="108"/>
        <v>145</v>
      </c>
      <c r="AW142" s="38">
        <f>IFERROR(1/(1/INDEX(Cascade!$BH:$BH,MATCH($E142,Cascade!$E:$E,0))),"")</f>
        <v>65</v>
      </c>
      <c r="AX142" s="38">
        <f t="shared" si="109"/>
        <v>25</v>
      </c>
      <c r="AY142" s="38">
        <f t="shared" si="110"/>
        <v>9</v>
      </c>
      <c r="AZ142" s="38" t="str">
        <f>IFERROR(1/(1/INDEX(TB!$P:$P,MATCH($E142,TB!$E:$E,0))),"")</f>
        <v/>
      </c>
      <c r="BA142" s="38">
        <f t="shared" si="111"/>
        <v>31</v>
      </c>
    </row>
    <row r="143" spans="1:53" x14ac:dyDescent="0.2">
      <c r="A143" t="str">
        <f>INDEX(Prioritization!$D:$D,MATCH($B143,Prioritization!$A:$A,0))</f>
        <v>4 - Sustained</v>
      </c>
      <c r="B143" t="s">
        <v>312</v>
      </c>
      <c r="C143" t="s">
        <v>477</v>
      </c>
      <c r="D143" t="s">
        <v>30</v>
      </c>
      <c r="E143" t="str">
        <f t="shared" ref="E143:E159" si="112">B143&amp;"|"&amp;C143&amp;"|"&amp;D143</f>
        <v>Rumphi District [lPTyjLi4w3d]|35-49|Female</v>
      </c>
      <c r="F143" s="38">
        <f>IF(LEFT($B143,4)="_Mil","",INDEX(Cascade!$T:$T,MATCH($E143,Cascade!$E:$E,0)))</f>
        <v>21003</v>
      </c>
      <c r="G143" s="38">
        <f>IF(LEFT($B143,4)="_Mil","",INDEX(Cascade!$U:$U,MATCH($E143,Cascade!$E:$E,0)))</f>
        <v>2582</v>
      </c>
      <c r="H143" s="110">
        <f>IF(LEFT($B143,4)="_Mil","",INDEX(Cascade!$W:$W,MATCH($E143,Cascade!$E:$E,0)))</f>
        <v>0.122955473</v>
      </c>
      <c r="I143" s="38">
        <f>IF(LEFT($B143,4)="_Mil","",INDEX(Cascade!$Z:$Z,MATCH($E143,Cascade!$E:$E,0)))</f>
        <v>2648</v>
      </c>
      <c r="J143" s="33">
        <f>IF(LEFT($B143,4)="_Mil","",INDEX(Cascade!$AA:$AA,MATCH($E143,Cascade!$E:$E,0)))</f>
        <v>0.98222830700000008</v>
      </c>
      <c r="K143" s="218">
        <f>IF(LEFT($B143,4)="_Mil","",_xlfn.IFNA(ROUND(INDEX(Spectrum!$N:$N,MATCH(RIGHT($B143,13)&amp;"|"&amp;$C143&amp;"|"&amp;$D143&amp;"|"&amp;K$14&amp;"|"&amp;"CY2024Q3",Spectrum!$R:$R,0)),0),""))</f>
        <v>767</v>
      </c>
      <c r="L143" s="218">
        <f>IF(LEFT($B143,4)="_Mil","",_xlfn.IFNA(ROUND(INDEX(Spectrum!$N:$N,MATCH(RIGHT($B143,13)&amp;"|"&amp;$C143&amp;"|"&amp;$D143&amp;"|"&amp;L$14&amp;"|"&amp;"CY2024Q3",Spectrum!$R:$R,0)),0),""))</f>
        <v>54</v>
      </c>
      <c r="M143" s="218">
        <f>IF(LEFT($B143,4)="_Mil","",_xlfn.IFNA(ROUND(INDEX(Spectrum!$N:$N,MATCH(RIGHT($B143,13)&amp;"|"&amp;$C143&amp;"|"&amp;$D143&amp;"|"&amp;M$14&amp;"|"&amp;"CY2024Q3",Spectrum!$R:$R,0)),0),""))</f>
        <v>7</v>
      </c>
      <c r="N143" s="218">
        <f>IF(LEFT($B143,4)="_Mil","",_xlfn.IFNA(ROUND(INDEX(Spectrum!$N:$N,MATCH(RIGHT($B143,13)&amp;"|"&amp;$C143&amp;"|"&amp;$D143&amp;"|"&amp;N$14&amp;"|"&amp;"CY2024Q3",Spectrum!$R:$R,0)),0),""))</f>
        <v>707</v>
      </c>
      <c r="O143" s="218">
        <f>IF(LEFT($B143,4)="_Mil","",_xlfn.IFNA(ROUND(INDEX(Spectrum!$N:$N,MATCH(RIGHT($B143,13)&amp;"|"&amp;$C143&amp;"|"&amp;$D143&amp;"|"&amp;O$14&amp;"|"&amp;"CY2024Q3",Spectrum!$R:$R,0)),0),""))</f>
        <v>60</v>
      </c>
      <c r="P143" s="218">
        <f>IF(LEFT($B143,4)="_Mil","",_xlfn.IFNA(ROUND(INDEX(Spectrum!$N:$N,MATCH(RIGHT($B143,13)&amp;"|"&amp;$C143&amp;"|"&amp;$D143&amp;"|"&amp;P$14&amp;"|"&amp;"CY2024Q3",Spectrum!$R:$R,0)),0),""))</f>
        <v>54</v>
      </c>
      <c r="Q143" s="218">
        <f>IF(LEFT($B143,4)="_Mil","",_xlfn.IFNA(ROUND(INDEX(Spectrum!$N:$N,MATCH(RIGHT($B143,13)&amp;"|"&amp;$C143&amp;"|"&amp;$D143&amp;"|"&amp;Q$14&amp;"|"&amp;"CY2024Q3",Spectrum!$R:$R,0)),0),""))</f>
        <v>7</v>
      </c>
      <c r="R143" s="38">
        <v>663</v>
      </c>
      <c r="S143" s="33">
        <v>0</v>
      </c>
      <c r="T143" s="218">
        <f t="shared" ref="T143:T159" si="113">IF(SUM($R143)=0,"",ROUND($R143*(1+$S143),0))</f>
        <v>663</v>
      </c>
      <c r="U143" s="33">
        <f t="shared" ref="U143:U159" si="114">IF(LEFT($B143,4)="_Mil","",IF(SUM($K143)=0,IF(SUM($R143)=0,"",1),MIN($R143/$K143,1)))</f>
        <v>0.86440677966101698</v>
      </c>
      <c r="V143" s="218">
        <f t="shared" ref="V143:V159" si="115">IF(OR(SUM($T143)=0,LEFT($B143,4)="_Mil"),"",ROUND($T143/$U143,0))</f>
        <v>767</v>
      </c>
      <c r="W143" s="33">
        <v>0.05</v>
      </c>
      <c r="X143" s="33">
        <f t="shared" ref="X143:X159" si="116">IF(SUM($K143,$W143)=0,"",MAX(IFERROR(SUM($L143)/$K143,0),SUM($W143)))</f>
        <v>7.040417209908735E-2</v>
      </c>
      <c r="Y143" s="231">
        <v>1.0999999999999999E-2</v>
      </c>
      <c r="Z143" s="33">
        <f t="shared" ref="Z143:Z159" si="117">IF(SUM($K143,$Y143)=0,"",MIN(SUM($Y143),IFERROR(SUM($M143)/(SUM($K143)-SUM($L143)),1)))</f>
        <v>9.8176718092566617E-3</v>
      </c>
      <c r="AA143" s="38">
        <f t="shared" ref="AA143:AA159" si="118">$T143</f>
        <v>663</v>
      </c>
      <c r="AB143" s="218">
        <f t="shared" ref="AB143:AB159" si="119">IF(SUM($AA143)=0,"",IF(AND(SUM($AA143)&gt;0,$X143=""),"ENTER KNOWN POSITIVITY RATE",ROUND($AA143*$X143,0)))</f>
        <v>47</v>
      </c>
      <c r="AC143" s="218">
        <f t="shared" ref="AC143:AC159" si="120">IF(SUM($AA143)=0,"",IF(AND((SUM($AA143)-SUM($AB143))&gt;0,$Z143=""),"ENTER YIELD RATE",ROUND(($AA143-SUM($AB143))*$Z143,0)))</f>
        <v>6</v>
      </c>
      <c r="AD143" s="218">
        <f t="shared" ref="AD143:AD159" si="121">IF(SUM($AA143)=0,"",$AA143-SUM($AB143)-SUM($AC143))</f>
        <v>610</v>
      </c>
      <c r="AE143" s="38">
        <f t="shared" ref="AE143:AE159" si="122">$V143</f>
        <v>767</v>
      </c>
      <c r="AF143" s="218">
        <f t="shared" ref="AF143:AF159" si="123">IF(SUM($AE143)=0,"",ROUND($AE143*SUM($X143),0))</f>
        <v>54</v>
      </c>
      <c r="AG143" s="218">
        <f t="shared" ref="AG143:AG159" si="124">IF(SUM($AE143)=0,"",ROUND(($AE143-SUM($AF143))*SUM($Z143),0))</f>
        <v>7</v>
      </c>
      <c r="AH143" s="218">
        <f t="shared" ref="AH143:AH159" si="125">IF(SUM($AE143)=0,"",$AE143-SUM($AF143)-SUM($AG143))</f>
        <v>706</v>
      </c>
      <c r="AI143" s="33">
        <f>IF(SUM($AC143)=0,"",INDEX(Cascade!$BG:$BG,MATCH($E143,Cascade!$E:$E,0)))</f>
        <v>0.95</v>
      </c>
      <c r="AJ143" s="218">
        <f t="shared" ref="AJ143:AJ159" si="126">$AB143</f>
        <v>47</v>
      </c>
      <c r="AK143" s="218">
        <f t="shared" ref="AK143:AK159" si="127">IF(SUM($AC143)=0,"",IF(AND($AI143="",SUM($AC143)&gt;0),"&lt;- Enter Linkage Rate",ROUND($AC143*$AI143,0)))</f>
        <v>6</v>
      </c>
      <c r="AL143" s="218">
        <f t="shared" ref="AL143:AL159" si="128">IF(SUM($AF143,$AG143)=0,"",SUM($AF143,$AG143))</f>
        <v>61</v>
      </c>
      <c r="AM143" s="218">
        <f t="shared" ref="AM143:AM159" si="129">$AF143</f>
        <v>54</v>
      </c>
      <c r="AN143" s="218">
        <f t="shared" ref="AN143:AN159" si="130">IF(SUM($AG143)=0,"",ROUND($AG143*SUM($AI143),0))</f>
        <v>7</v>
      </c>
      <c r="AO143" s="38">
        <f t="shared" ref="AO143:AO159" si="131">IFERROR(1/(1/MAX(SUM($T143)-SUM($AB143,$AC143),$AD143)),"")</f>
        <v>610</v>
      </c>
      <c r="AP143" s="231">
        <v>4.0000000000000001E-3</v>
      </c>
      <c r="AQ143" s="33">
        <f t="shared" ref="AQ143:AQ159" si="132">IF($AP143="","",$AP143)</f>
        <v>4.0000000000000001E-3</v>
      </c>
      <c r="AR143" s="33">
        <f>IF(SUM($AO143)=0,"",INDEX(Cascade!$BG:$BG,MATCH($E143,Cascade!$E:$E,0)))</f>
        <v>0.95</v>
      </c>
      <c r="AS143" s="218">
        <f t="shared" ref="AS143:AS159" si="133">IF(SUM($AO143)=0,"",IF(AND(SUM($AO143)&gt;0,$AQ143=""),"ENTER YIELD RATE",ROUND($AO143*$AQ143,0)))</f>
        <v>2</v>
      </c>
      <c r="AT143" s="218">
        <f t="shared" ref="AT143:AT159" si="134">IF(SUM($AO143)=0,"",$AO143-SUM($AS143))</f>
        <v>608</v>
      </c>
      <c r="AU143" s="38">
        <f t="shared" ref="AU143:AU159" si="135">IF(SUM($AS143)=0,"",ROUND($AS143*$AR143,0))</f>
        <v>2</v>
      </c>
      <c r="AV143" s="38">
        <f t="shared" ref="AV143:AV159" si="136">IFERROR(1/(1/SUM($AC143,$AB143,$AS143)),"")</f>
        <v>55</v>
      </c>
      <c r="AW143" s="38">
        <f>IFERROR(1/(1/INDEX(Cascade!$BH:$BH,MATCH($E143,Cascade!$E:$E,0))),"")</f>
        <v>51</v>
      </c>
      <c r="AX143" s="38">
        <f t="shared" ref="AX143:AX159" si="137">IF(SUM($AC143)=0,"",$AC143)</f>
        <v>6</v>
      </c>
      <c r="AY143" s="38">
        <f t="shared" ref="AY143:AY159" si="138">IF(SUM($AS143)=0,"",$AS143)</f>
        <v>2</v>
      </c>
      <c r="AZ143" s="38">
        <f>IFERROR(1/(1/INDEX(TB!$P:$P,MATCH($E143,TB!$E:$E,0))),"")</f>
        <v>1</v>
      </c>
      <c r="BA143" s="38">
        <f t="shared" ref="BA143:BA159" si="139">IFERROR(1/(1/(SUM($AW143)-SUM($AX143:$AZ143))),"")</f>
        <v>42</v>
      </c>
    </row>
    <row r="144" spans="1:53" x14ac:dyDescent="0.2">
      <c r="A144" t="str">
        <f>INDEX(Prioritization!$D:$D,MATCH($B144,Prioritization!$A:$A,0))</f>
        <v>4 - Sustained</v>
      </c>
      <c r="B144" t="s">
        <v>312</v>
      </c>
      <c r="C144" t="s">
        <v>478</v>
      </c>
      <c r="D144" t="s">
        <v>30</v>
      </c>
      <c r="E144" t="str">
        <f t="shared" si="112"/>
        <v>Rumphi District [lPTyjLi4w3d]|50+|Female</v>
      </c>
      <c r="F144" s="38">
        <f>IF(LEFT($B144,4)="_Mil","",INDEX(Cascade!$T:$T,MATCH($E144,Cascade!$E:$E,0)))</f>
        <v>12245</v>
      </c>
      <c r="G144" s="38">
        <f>IF(LEFT($B144,4)="_Mil","",INDEX(Cascade!$U:$U,MATCH($E144,Cascade!$E:$E,0)))</f>
        <v>1243</v>
      </c>
      <c r="H144" s="110">
        <f>IF(LEFT($B144,4)="_Mil","",INDEX(Cascade!$W:$W,MATCH($E144,Cascade!$E:$E,0)))</f>
        <v>0.101483992</v>
      </c>
      <c r="I144" s="38">
        <f>IF(LEFT($B144,4)="_Mil","",INDEX(Cascade!$Z:$Z,MATCH($E144,Cascade!$E:$E,0)))</f>
        <v>1275</v>
      </c>
      <c r="J144" s="33">
        <f>IF(LEFT($B144,4)="_Mil","",INDEX(Cascade!$AA:$AA,MATCH($E144,Cascade!$E:$E,0)))</f>
        <v>0.98776393200000001</v>
      </c>
      <c r="K144" s="218" t="str">
        <f>IF(LEFT($B144,4)="_Mil","",_xlfn.IFNA(ROUND(INDEX(Spectrum!$N:$N,MATCH(RIGHT($B144,13)&amp;"|"&amp;$C144&amp;"|"&amp;$D144&amp;"|"&amp;K$14&amp;"|"&amp;"CY2024Q3",Spectrum!$R:$R,0)),0),""))</f>
        <v/>
      </c>
      <c r="L144" s="218" t="str">
        <f>IF(LEFT($B144,4)="_Mil","",_xlfn.IFNA(ROUND(INDEX(Spectrum!$N:$N,MATCH(RIGHT($B144,13)&amp;"|"&amp;$C144&amp;"|"&amp;$D144&amp;"|"&amp;L$14&amp;"|"&amp;"CY2024Q3",Spectrum!$R:$R,0)),0),""))</f>
        <v/>
      </c>
      <c r="M144" s="218" t="str">
        <f>IF(LEFT($B144,4)="_Mil","",_xlfn.IFNA(ROUND(INDEX(Spectrum!$N:$N,MATCH(RIGHT($B144,13)&amp;"|"&amp;$C144&amp;"|"&amp;$D144&amp;"|"&amp;M$14&amp;"|"&amp;"CY2024Q3",Spectrum!$R:$R,0)),0),""))</f>
        <v/>
      </c>
      <c r="N144" s="218" t="str">
        <f>IF(LEFT($B144,4)="_Mil","",_xlfn.IFNA(ROUND(INDEX(Spectrum!$N:$N,MATCH(RIGHT($B144,13)&amp;"|"&amp;$C144&amp;"|"&amp;$D144&amp;"|"&amp;N$14&amp;"|"&amp;"CY2024Q3",Spectrum!$R:$R,0)),0),""))</f>
        <v/>
      </c>
      <c r="O144" s="218" t="str">
        <f>IF(LEFT($B144,4)="_Mil","",_xlfn.IFNA(ROUND(INDEX(Spectrum!$N:$N,MATCH(RIGHT($B144,13)&amp;"|"&amp;$C144&amp;"|"&amp;$D144&amp;"|"&amp;O$14&amp;"|"&amp;"CY2024Q3",Spectrum!$R:$R,0)),0),""))</f>
        <v/>
      </c>
      <c r="P144" s="218" t="str">
        <f>IF(LEFT($B144,4)="_Mil","",_xlfn.IFNA(ROUND(INDEX(Spectrum!$N:$N,MATCH(RIGHT($B144,13)&amp;"|"&amp;$C144&amp;"|"&amp;$D144&amp;"|"&amp;P$14&amp;"|"&amp;"CY2024Q3",Spectrum!$R:$R,0)),0),""))</f>
        <v/>
      </c>
      <c r="Q144" s="218" t="str">
        <f>IF(LEFT($B144,4)="_Mil","",_xlfn.IFNA(ROUND(INDEX(Spectrum!$N:$N,MATCH(RIGHT($B144,13)&amp;"|"&amp;$C144&amp;"|"&amp;$D144&amp;"|"&amp;Q$14&amp;"|"&amp;"CY2024Q3",Spectrum!$R:$R,0)),0),""))</f>
        <v/>
      </c>
      <c r="R144" s="38">
        <v>2</v>
      </c>
      <c r="S144" s="33">
        <v>0</v>
      </c>
      <c r="T144" s="218">
        <f t="shared" si="113"/>
        <v>2</v>
      </c>
      <c r="U144" s="33">
        <f t="shared" si="114"/>
        <v>1</v>
      </c>
      <c r="V144" s="218">
        <f t="shared" si="115"/>
        <v>2</v>
      </c>
      <c r="W144" s="33">
        <v>0.05</v>
      </c>
      <c r="X144" s="33">
        <f t="shared" si="116"/>
        <v>0.05</v>
      </c>
      <c r="Y144" s="231">
        <v>1.0999999999999999E-2</v>
      </c>
      <c r="Z144" s="33">
        <f t="shared" si="117"/>
        <v>1.0999999999999999E-2</v>
      </c>
      <c r="AA144" s="38">
        <f t="shared" si="118"/>
        <v>2</v>
      </c>
      <c r="AB144" s="218">
        <f t="shared" si="119"/>
        <v>0</v>
      </c>
      <c r="AC144" s="218">
        <f t="shared" si="120"/>
        <v>0</v>
      </c>
      <c r="AD144" s="218">
        <f t="shared" si="121"/>
        <v>2</v>
      </c>
      <c r="AE144" s="38">
        <f t="shared" si="122"/>
        <v>2</v>
      </c>
      <c r="AF144" s="218">
        <f t="shared" si="123"/>
        <v>0</v>
      </c>
      <c r="AG144" s="218">
        <f t="shared" si="124"/>
        <v>0</v>
      </c>
      <c r="AH144" s="218">
        <f t="shared" si="125"/>
        <v>2</v>
      </c>
      <c r="AI144" s="33" t="str">
        <f>IF(SUM($AC144)=0,"",INDEX(Cascade!$BG:$BG,MATCH($E144,Cascade!$E:$E,0)))</f>
        <v/>
      </c>
      <c r="AJ144" s="218">
        <f t="shared" si="126"/>
        <v>0</v>
      </c>
      <c r="AK144" s="218" t="str">
        <f t="shared" si="127"/>
        <v/>
      </c>
      <c r="AL144" s="218" t="str">
        <f t="shared" si="128"/>
        <v/>
      </c>
      <c r="AM144" s="218">
        <f t="shared" si="129"/>
        <v>0</v>
      </c>
      <c r="AN144" s="218" t="str">
        <f t="shared" si="130"/>
        <v/>
      </c>
      <c r="AO144" s="38">
        <f t="shared" si="131"/>
        <v>2</v>
      </c>
      <c r="AP144" s="231">
        <v>4.0000000000000001E-3</v>
      </c>
      <c r="AQ144" s="33">
        <f t="shared" si="132"/>
        <v>4.0000000000000001E-3</v>
      </c>
      <c r="AR144" s="33">
        <f>IF(SUM($AO144)=0,"",INDEX(Cascade!$BG:$BG,MATCH($E144,Cascade!$E:$E,0)))</f>
        <v>0.95</v>
      </c>
      <c r="AS144" s="218">
        <f t="shared" si="133"/>
        <v>0</v>
      </c>
      <c r="AT144" s="218">
        <f t="shared" si="134"/>
        <v>2</v>
      </c>
      <c r="AU144" s="38" t="str">
        <f t="shared" si="135"/>
        <v/>
      </c>
      <c r="AV144" s="38" t="str">
        <f t="shared" si="136"/>
        <v/>
      </c>
      <c r="AW144" s="38">
        <f>IFERROR(1/(1/INDEX(Cascade!$BH:$BH,MATCH($E144,Cascade!$E:$E,0))),"")</f>
        <v>65</v>
      </c>
      <c r="AX144" s="38" t="str">
        <f t="shared" si="137"/>
        <v/>
      </c>
      <c r="AY144" s="38" t="str">
        <f t="shared" si="138"/>
        <v/>
      </c>
      <c r="AZ144" s="38" t="str">
        <f>IFERROR(1/(1/INDEX(TB!$P:$P,MATCH($E144,TB!$E:$E,0))),"")</f>
        <v/>
      </c>
      <c r="BA144" s="38">
        <f t="shared" si="139"/>
        <v>65</v>
      </c>
    </row>
    <row r="145" spans="1:53" x14ac:dyDescent="0.2">
      <c r="A145" t="str">
        <f>INDEX(Prioritization!$D:$D,MATCH($B145,Prioritization!$A:$A,0))</f>
        <v>4 - Sustained</v>
      </c>
      <c r="B145" t="s">
        <v>306</v>
      </c>
      <c r="C145" t="s">
        <v>474</v>
      </c>
      <c r="D145" t="s">
        <v>30</v>
      </c>
      <c r="E145" t="str">
        <f t="shared" si="112"/>
        <v>Salima District [msW2zpIN7up]|10-14|Female</v>
      </c>
      <c r="F145" s="38">
        <f>IF(LEFT($B145,4)="_Mil","",INDEX(Cascade!$T:$T,MATCH($E145,Cascade!$E:$E,0)))</f>
        <v>40118</v>
      </c>
      <c r="G145" s="38">
        <f>IF(LEFT($B145,4)="_Mil","",INDEX(Cascade!$U:$U,MATCH($E145,Cascade!$E:$E,0)))</f>
        <v>288</v>
      </c>
      <c r="H145" s="110">
        <f>IF(LEFT($B145,4)="_Mil","",INDEX(Cascade!$W:$W,MATCH($E145,Cascade!$E:$E,0)))</f>
        <v>7.189974E-3</v>
      </c>
      <c r="I145" s="38">
        <f>IF(LEFT($B145,4)="_Mil","",INDEX(Cascade!$Z:$Z,MATCH($E145,Cascade!$E:$E,0)))</f>
        <v>221</v>
      </c>
      <c r="J145" s="33">
        <f>IF(LEFT($B145,4)="_Mil","",INDEX(Cascade!$AA:$AA,MATCH($E145,Cascade!$E:$E,0)))</f>
        <v>0.80802627000000016</v>
      </c>
      <c r="K145" s="218" t="str">
        <f>IF(LEFT($B145,4)="_Mil","",_xlfn.IFNA(ROUND(INDEX(Spectrum!$N:$N,MATCH(RIGHT($B145,13)&amp;"|"&amp;$C145&amp;"|"&amp;$D145&amp;"|"&amp;K$14&amp;"|"&amp;"CY2024Q3",Spectrum!$R:$R,0)),0),""))</f>
        <v/>
      </c>
      <c r="L145" s="218" t="str">
        <f>IF(LEFT($B145,4)="_Mil","",_xlfn.IFNA(ROUND(INDEX(Spectrum!$N:$N,MATCH(RIGHT($B145,13)&amp;"|"&amp;$C145&amp;"|"&amp;$D145&amp;"|"&amp;L$14&amp;"|"&amp;"CY2024Q3",Spectrum!$R:$R,0)),0),""))</f>
        <v/>
      </c>
      <c r="M145" s="218" t="str">
        <f>IF(LEFT($B145,4)="_Mil","",_xlfn.IFNA(ROUND(INDEX(Spectrum!$N:$N,MATCH(RIGHT($B145,13)&amp;"|"&amp;$C145&amp;"|"&amp;$D145&amp;"|"&amp;M$14&amp;"|"&amp;"CY2024Q3",Spectrum!$R:$R,0)),0),""))</f>
        <v/>
      </c>
      <c r="N145" s="218" t="str">
        <f>IF(LEFT($B145,4)="_Mil","",_xlfn.IFNA(ROUND(INDEX(Spectrum!$N:$N,MATCH(RIGHT($B145,13)&amp;"|"&amp;$C145&amp;"|"&amp;$D145&amp;"|"&amp;N$14&amp;"|"&amp;"CY2024Q3",Spectrum!$R:$R,0)),0),""))</f>
        <v/>
      </c>
      <c r="O145" s="218" t="str">
        <f>IF(LEFT($B145,4)="_Mil","",_xlfn.IFNA(ROUND(INDEX(Spectrum!$N:$N,MATCH(RIGHT($B145,13)&amp;"|"&amp;$C145&amp;"|"&amp;$D145&amp;"|"&amp;O$14&amp;"|"&amp;"CY2024Q3",Spectrum!$R:$R,0)),0),""))</f>
        <v/>
      </c>
      <c r="P145" s="218" t="str">
        <f>IF(LEFT($B145,4)="_Mil","",_xlfn.IFNA(ROUND(INDEX(Spectrum!$N:$N,MATCH(RIGHT($B145,13)&amp;"|"&amp;$C145&amp;"|"&amp;$D145&amp;"|"&amp;P$14&amp;"|"&amp;"CY2024Q3",Spectrum!$R:$R,0)),0),""))</f>
        <v/>
      </c>
      <c r="Q145" s="218" t="str">
        <f>IF(LEFT($B145,4)="_Mil","",_xlfn.IFNA(ROUND(INDEX(Spectrum!$N:$N,MATCH(RIGHT($B145,13)&amp;"|"&amp;$C145&amp;"|"&amp;$D145&amp;"|"&amp;Q$14&amp;"|"&amp;"CY2024Q3",Spectrum!$R:$R,0)),0),""))</f>
        <v/>
      </c>
      <c r="R145" s="38">
        <v>68</v>
      </c>
      <c r="S145" s="33">
        <v>0</v>
      </c>
      <c r="T145" s="218">
        <f t="shared" si="113"/>
        <v>68</v>
      </c>
      <c r="U145" s="33">
        <f t="shared" si="114"/>
        <v>1</v>
      </c>
      <c r="V145" s="218">
        <f t="shared" si="115"/>
        <v>68</v>
      </c>
      <c r="W145" s="33">
        <v>1.0999999999999999E-2</v>
      </c>
      <c r="X145" s="33">
        <f t="shared" si="116"/>
        <v>1.0999999999999999E-2</v>
      </c>
      <c r="Y145" s="231">
        <v>1.0999999999999999E-2</v>
      </c>
      <c r="Z145" s="33">
        <f t="shared" si="117"/>
        <v>1.0999999999999999E-2</v>
      </c>
      <c r="AA145" s="38">
        <f t="shared" si="118"/>
        <v>68</v>
      </c>
      <c r="AB145" s="218">
        <f t="shared" si="119"/>
        <v>1</v>
      </c>
      <c r="AC145" s="218">
        <f t="shared" si="120"/>
        <v>1</v>
      </c>
      <c r="AD145" s="218">
        <f t="shared" si="121"/>
        <v>66</v>
      </c>
      <c r="AE145" s="38">
        <f t="shared" si="122"/>
        <v>68</v>
      </c>
      <c r="AF145" s="218">
        <f t="shared" si="123"/>
        <v>1</v>
      </c>
      <c r="AG145" s="218">
        <f t="shared" si="124"/>
        <v>1</v>
      </c>
      <c r="AH145" s="218">
        <f t="shared" si="125"/>
        <v>66</v>
      </c>
      <c r="AI145" s="33">
        <f>IF(SUM($AC145)=0,"",INDEX(Cascade!$BG:$BG,MATCH($E145,Cascade!$E:$E,0)))</f>
        <v>0.95</v>
      </c>
      <c r="AJ145" s="218">
        <f t="shared" si="126"/>
        <v>1</v>
      </c>
      <c r="AK145" s="218">
        <f t="shared" si="127"/>
        <v>1</v>
      </c>
      <c r="AL145" s="218">
        <f t="shared" si="128"/>
        <v>2</v>
      </c>
      <c r="AM145" s="218">
        <f t="shared" si="129"/>
        <v>1</v>
      </c>
      <c r="AN145" s="218">
        <f t="shared" si="130"/>
        <v>1</v>
      </c>
      <c r="AO145" s="38">
        <f t="shared" si="131"/>
        <v>66</v>
      </c>
      <c r="AP145" s="231">
        <v>4.0000000000000001E-3</v>
      </c>
      <c r="AQ145" s="33">
        <f t="shared" si="132"/>
        <v>4.0000000000000001E-3</v>
      </c>
      <c r="AR145" s="33">
        <f>IF(SUM($AO145)=0,"",INDEX(Cascade!$BG:$BG,MATCH($E145,Cascade!$E:$E,0)))</f>
        <v>0.95</v>
      </c>
      <c r="AS145" s="218">
        <f t="shared" si="133"/>
        <v>0</v>
      </c>
      <c r="AT145" s="218">
        <f t="shared" si="134"/>
        <v>66</v>
      </c>
      <c r="AU145" s="38" t="str">
        <f t="shared" si="135"/>
        <v/>
      </c>
      <c r="AV145" s="38">
        <f t="shared" si="136"/>
        <v>2</v>
      </c>
      <c r="AW145" s="38">
        <f>IFERROR(1/(1/INDEX(Cascade!$BH:$BH,MATCH($E145,Cascade!$E:$E,0))),"")</f>
        <v>25</v>
      </c>
      <c r="AX145" s="38">
        <f t="shared" si="137"/>
        <v>1</v>
      </c>
      <c r="AY145" s="38" t="str">
        <f t="shared" si="138"/>
        <v/>
      </c>
      <c r="AZ145" s="38" t="str">
        <f>IFERROR(1/(1/INDEX(TB!$P:$P,MATCH($E145,TB!$E:$E,0))),"")</f>
        <v/>
      </c>
      <c r="BA145" s="38">
        <f t="shared" si="139"/>
        <v>24</v>
      </c>
    </row>
    <row r="146" spans="1:53" x14ac:dyDescent="0.2">
      <c r="A146" t="str">
        <f>INDEX(Prioritization!$D:$D,MATCH($B146,Prioritization!$A:$A,0))</f>
        <v>4 - Sustained</v>
      </c>
      <c r="B146" t="s">
        <v>306</v>
      </c>
      <c r="C146" t="s">
        <v>475</v>
      </c>
      <c r="D146" t="s">
        <v>30</v>
      </c>
      <c r="E146" t="str">
        <f t="shared" si="112"/>
        <v>Salima District [msW2zpIN7up]|15-24|Female</v>
      </c>
      <c r="F146" s="38">
        <f>IF(LEFT($B146,4)="_Mil","",INDEX(Cascade!$T:$T,MATCH($E146,Cascade!$E:$E,0)))</f>
        <v>65175</v>
      </c>
      <c r="G146" s="38">
        <f>IF(LEFT($B146,4)="_Mil","",INDEX(Cascade!$U:$U,MATCH($E146,Cascade!$E:$E,0)))</f>
        <v>968</v>
      </c>
      <c r="H146" s="110">
        <f>IF(LEFT($B146,4)="_Mil","",INDEX(Cascade!$W:$W,MATCH($E146,Cascade!$E:$E,0)))</f>
        <v>1.4857617E-2</v>
      </c>
      <c r="I146" s="38">
        <f>IF(LEFT($B146,4)="_Mil","",INDEX(Cascade!$Z:$Z,MATCH($E146,Cascade!$E:$E,0)))</f>
        <v>863</v>
      </c>
      <c r="J146" s="33">
        <f>IF(LEFT($B146,4)="_Mil","",INDEX(Cascade!$AA:$AA,MATCH($E146,Cascade!$E:$E,0)))</f>
        <v>0.94846739200000008</v>
      </c>
      <c r="K146" s="218">
        <f>IF(LEFT($B146,4)="_Mil","",_xlfn.IFNA(ROUND(INDEX(Spectrum!$N:$N,MATCH(RIGHT($B146,13)&amp;"|"&amp;$C146&amp;"|"&amp;$D146&amp;"|"&amp;K$14&amp;"|"&amp;"CY2024Q3",Spectrum!$R:$R,0)),0),""))</f>
        <v>8618</v>
      </c>
      <c r="L146" s="218">
        <f>IF(LEFT($B146,4)="_Mil","",_xlfn.IFNA(ROUND(INDEX(Spectrum!$N:$N,MATCH(RIGHT($B146,13)&amp;"|"&amp;$C146&amp;"|"&amp;$D146&amp;"|"&amp;L$14&amp;"|"&amp;"CY2024Q3",Spectrum!$R:$R,0)),0),""))</f>
        <v>107</v>
      </c>
      <c r="M146" s="218">
        <f>IF(LEFT($B146,4)="_Mil","",_xlfn.IFNA(ROUND(INDEX(Spectrum!$N:$N,MATCH(RIGHT($B146,13)&amp;"|"&amp;$C146&amp;"|"&amp;$D146&amp;"|"&amp;M$14&amp;"|"&amp;"CY2024Q3",Spectrum!$R:$R,0)),0),""))</f>
        <v>42</v>
      </c>
      <c r="N146" s="218">
        <f>IF(LEFT($B146,4)="_Mil","",_xlfn.IFNA(ROUND(INDEX(Spectrum!$N:$N,MATCH(RIGHT($B146,13)&amp;"|"&amp;$C146&amp;"|"&amp;$D146&amp;"|"&amp;N$14&amp;"|"&amp;"CY2024Q3",Spectrum!$R:$R,0)),0),""))</f>
        <v>8469</v>
      </c>
      <c r="O146" s="218">
        <f>IF(LEFT($B146,4)="_Mil","",_xlfn.IFNA(ROUND(INDEX(Spectrum!$N:$N,MATCH(RIGHT($B146,13)&amp;"|"&amp;$C146&amp;"|"&amp;$D146&amp;"|"&amp;O$14&amp;"|"&amp;"CY2024Q3",Spectrum!$R:$R,0)),0),""))</f>
        <v>149</v>
      </c>
      <c r="P146" s="218">
        <f>IF(LEFT($B146,4)="_Mil","",_xlfn.IFNA(ROUND(INDEX(Spectrum!$N:$N,MATCH(RIGHT($B146,13)&amp;"|"&amp;$C146&amp;"|"&amp;$D146&amp;"|"&amp;P$14&amp;"|"&amp;"CY2024Q3",Spectrum!$R:$R,0)),0),""))</f>
        <v>107</v>
      </c>
      <c r="Q146" s="218">
        <f>IF(LEFT($B146,4)="_Mil","",_xlfn.IFNA(ROUND(INDEX(Spectrum!$N:$N,MATCH(RIGHT($B146,13)&amp;"|"&amp;$C146&amp;"|"&amp;$D146&amp;"|"&amp;Q$14&amp;"|"&amp;"CY2024Q3",Spectrum!$R:$R,0)),0),""))</f>
        <v>42</v>
      </c>
      <c r="R146" s="38">
        <v>11612</v>
      </c>
      <c r="S146" s="33">
        <v>0</v>
      </c>
      <c r="T146" s="218">
        <f t="shared" si="113"/>
        <v>11612</v>
      </c>
      <c r="U146" s="33">
        <f t="shared" si="114"/>
        <v>1</v>
      </c>
      <c r="V146" s="218">
        <f t="shared" si="115"/>
        <v>11612</v>
      </c>
      <c r="W146" s="33">
        <v>1.0999999999999999E-2</v>
      </c>
      <c r="X146" s="33">
        <f t="shared" si="116"/>
        <v>1.2415873752610815E-2</v>
      </c>
      <c r="Y146" s="231">
        <v>1.0999999999999999E-2</v>
      </c>
      <c r="Z146" s="33">
        <f t="shared" si="117"/>
        <v>4.9347902714134652E-3</v>
      </c>
      <c r="AA146" s="38">
        <f t="shared" si="118"/>
        <v>11612</v>
      </c>
      <c r="AB146" s="218">
        <f t="shared" si="119"/>
        <v>144</v>
      </c>
      <c r="AC146" s="218">
        <f t="shared" si="120"/>
        <v>57</v>
      </c>
      <c r="AD146" s="218">
        <f t="shared" si="121"/>
        <v>11411</v>
      </c>
      <c r="AE146" s="38">
        <f t="shared" si="122"/>
        <v>11612</v>
      </c>
      <c r="AF146" s="218">
        <f t="shared" si="123"/>
        <v>144</v>
      </c>
      <c r="AG146" s="218">
        <f t="shared" si="124"/>
        <v>57</v>
      </c>
      <c r="AH146" s="218">
        <f t="shared" si="125"/>
        <v>11411</v>
      </c>
      <c r="AI146" s="33">
        <f>IF(SUM($AC146)=0,"",INDEX(Cascade!$BG:$BG,MATCH($E146,Cascade!$E:$E,0)))</f>
        <v>0.95</v>
      </c>
      <c r="AJ146" s="218">
        <f t="shared" si="126"/>
        <v>144</v>
      </c>
      <c r="AK146" s="218">
        <f t="shared" si="127"/>
        <v>54</v>
      </c>
      <c r="AL146" s="218">
        <f t="shared" si="128"/>
        <v>201</v>
      </c>
      <c r="AM146" s="218">
        <f t="shared" si="129"/>
        <v>144</v>
      </c>
      <c r="AN146" s="218">
        <f t="shared" si="130"/>
        <v>54</v>
      </c>
      <c r="AO146" s="38">
        <f t="shared" si="131"/>
        <v>11411</v>
      </c>
      <c r="AP146" s="231">
        <v>4.0000000000000001E-3</v>
      </c>
      <c r="AQ146" s="33">
        <f t="shared" si="132"/>
        <v>4.0000000000000001E-3</v>
      </c>
      <c r="AR146" s="33">
        <f>IF(SUM($AO146)=0,"",INDEX(Cascade!$BG:$BG,MATCH($E146,Cascade!$E:$E,0)))</f>
        <v>0.95</v>
      </c>
      <c r="AS146" s="218">
        <f t="shared" si="133"/>
        <v>46</v>
      </c>
      <c r="AT146" s="218">
        <f t="shared" si="134"/>
        <v>11365</v>
      </c>
      <c r="AU146" s="38">
        <f t="shared" si="135"/>
        <v>44</v>
      </c>
      <c r="AV146" s="38">
        <f t="shared" si="136"/>
        <v>247</v>
      </c>
      <c r="AW146" s="38">
        <f>IFERROR(1/(1/INDEX(Cascade!$BH:$BH,MATCH($E146,Cascade!$E:$E,0))),"")</f>
        <v>145</v>
      </c>
      <c r="AX146" s="38">
        <f t="shared" si="137"/>
        <v>57</v>
      </c>
      <c r="AY146" s="38">
        <f t="shared" si="138"/>
        <v>46</v>
      </c>
      <c r="AZ146" s="38">
        <f>IFERROR(1/(1/INDEX(TB!$P:$P,MATCH($E146,TB!$E:$E,0))),"")</f>
        <v>1</v>
      </c>
      <c r="BA146" s="38">
        <f t="shared" si="139"/>
        <v>41</v>
      </c>
    </row>
    <row r="147" spans="1:53" x14ac:dyDescent="0.2">
      <c r="A147" t="str">
        <f>INDEX(Prioritization!$D:$D,MATCH($B147,Prioritization!$A:$A,0))</f>
        <v>4 - Sustained</v>
      </c>
      <c r="B147" t="s">
        <v>306</v>
      </c>
      <c r="C147" t="s">
        <v>476</v>
      </c>
      <c r="D147" t="s">
        <v>30</v>
      </c>
      <c r="E147" t="str">
        <f t="shared" si="112"/>
        <v>Salima District [msW2zpIN7up]|25-34|Female</v>
      </c>
      <c r="F147" s="38">
        <f>IF(LEFT($B147,4)="_Mil","",INDEX(Cascade!$T:$T,MATCH($E147,Cascade!$E:$E,0)))</f>
        <v>44531</v>
      </c>
      <c r="G147" s="38">
        <f>IF(LEFT($B147,4)="_Mil","",INDEX(Cascade!$U:$U,MATCH($E147,Cascade!$E:$E,0)))</f>
        <v>2428</v>
      </c>
      <c r="H147" s="110">
        <f>IF(LEFT($B147,4)="_Mil","",INDEX(Cascade!$W:$W,MATCH($E147,Cascade!$E:$E,0)))</f>
        <v>5.4532056000000002E-2</v>
      </c>
      <c r="I147" s="38">
        <f>IF(LEFT($B147,4)="_Mil","",INDEX(Cascade!$Z:$Z,MATCH($E147,Cascade!$E:$E,0)))</f>
        <v>2225</v>
      </c>
      <c r="J147" s="33">
        <f>IF(LEFT($B147,4)="_Mil","",INDEX(Cascade!$AA:$AA,MATCH($E147,Cascade!$E:$E,0)))</f>
        <v>0.97282246999999999</v>
      </c>
      <c r="K147" s="218">
        <f>IF(LEFT($B147,4)="_Mil","",_xlfn.IFNA(ROUND(INDEX(Spectrum!$N:$N,MATCH(RIGHT($B147,13)&amp;"|"&amp;$C147&amp;"|"&amp;$D147&amp;"|"&amp;K$14&amp;"|"&amp;"CY2024Q3",Spectrum!$R:$R,0)),0),""))</f>
        <v>5727</v>
      </c>
      <c r="L147" s="218">
        <f>IF(LEFT($B147,4)="_Mil","",_xlfn.IFNA(ROUND(INDEX(Spectrum!$N:$N,MATCH(RIGHT($B147,13)&amp;"|"&amp;$C147&amp;"|"&amp;$D147&amp;"|"&amp;L$14&amp;"|"&amp;"CY2024Q3",Spectrum!$R:$R,0)),0),""))</f>
        <v>203</v>
      </c>
      <c r="M147" s="218">
        <f>IF(LEFT($B147,4)="_Mil","",_xlfn.IFNA(ROUND(INDEX(Spectrum!$N:$N,MATCH(RIGHT($B147,13)&amp;"|"&amp;$C147&amp;"|"&amp;$D147&amp;"|"&amp;M$14&amp;"|"&amp;"CY2024Q3",Spectrum!$R:$R,0)),0),""))</f>
        <v>57</v>
      </c>
      <c r="N147" s="218">
        <f>IF(LEFT($B147,4)="_Mil","",_xlfn.IFNA(ROUND(INDEX(Spectrum!$N:$N,MATCH(RIGHT($B147,13)&amp;"|"&amp;$C147&amp;"|"&amp;$D147&amp;"|"&amp;N$14&amp;"|"&amp;"CY2024Q3",Spectrum!$R:$R,0)),0),""))</f>
        <v>5467</v>
      </c>
      <c r="O147" s="218">
        <f>IF(LEFT($B147,4)="_Mil","",_xlfn.IFNA(ROUND(INDEX(Spectrum!$N:$N,MATCH(RIGHT($B147,13)&amp;"|"&amp;$C147&amp;"|"&amp;$D147&amp;"|"&amp;O$14&amp;"|"&amp;"CY2024Q3",Spectrum!$R:$R,0)),0),""))</f>
        <v>259</v>
      </c>
      <c r="P147" s="218">
        <f>IF(LEFT($B147,4)="_Mil","",_xlfn.IFNA(ROUND(INDEX(Spectrum!$N:$N,MATCH(RIGHT($B147,13)&amp;"|"&amp;$C147&amp;"|"&amp;$D147&amp;"|"&amp;P$14&amp;"|"&amp;"CY2024Q3",Spectrum!$R:$R,0)),0),""))</f>
        <v>203</v>
      </c>
      <c r="Q147" s="218">
        <f>IF(LEFT($B147,4)="_Mil","",_xlfn.IFNA(ROUND(INDEX(Spectrum!$N:$N,MATCH(RIGHT($B147,13)&amp;"|"&amp;$C147&amp;"|"&amp;$D147&amp;"|"&amp;Q$14&amp;"|"&amp;"CY2024Q3",Spectrum!$R:$R,0)),0),""))</f>
        <v>57</v>
      </c>
      <c r="R147" s="38">
        <v>6993</v>
      </c>
      <c r="S147" s="33">
        <v>0</v>
      </c>
      <c r="T147" s="218">
        <f t="shared" si="113"/>
        <v>6993</v>
      </c>
      <c r="U147" s="33">
        <f t="shared" si="114"/>
        <v>1</v>
      </c>
      <c r="V147" s="218">
        <f t="shared" si="115"/>
        <v>6993</v>
      </c>
      <c r="W147" s="33">
        <v>0.05</v>
      </c>
      <c r="X147" s="33">
        <f t="shared" si="116"/>
        <v>0.05</v>
      </c>
      <c r="Y147" s="231">
        <v>1.0999999999999999E-2</v>
      </c>
      <c r="Z147" s="33">
        <f t="shared" si="117"/>
        <v>1.0318609703113686E-2</v>
      </c>
      <c r="AA147" s="38">
        <f t="shared" si="118"/>
        <v>6993</v>
      </c>
      <c r="AB147" s="218">
        <f t="shared" si="119"/>
        <v>350</v>
      </c>
      <c r="AC147" s="218">
        <f t="shared" si="120"/>
        <v>69</v>
      </c>
      <c r="AD147" s="218">
        <f t="shared" si="121"/>
        <v>6574</v>
      </c>
      <c r="AE147" s="38">
        <f t="shared" si="122"/>
        <v>6993</v>
      </c>
      <c r="AF147" s="218">
        <f t="shared" si="123"/>
        <v>350</v>
      </c>
      <c r="AG147" s="218">
        <f t="shared" si="124"/>
        <v>69</v>
      </c>
      <c r="AH147" s="218">
        <f t="shared" si="125"/>
        <v>6574</v>
      </c>
      <c r="AI147" s="33">
        <f>IF(SUM($AC147)=0,"",INDEX(Cascade!$BG:$BG,MATCH($E147,Cascade!$E:$E,0)))</f>
        <v>0.95</v>
      </c>
      <c r="AJ147" s="218">
        <f t="shared" si="126"/>
        <v>350</v>
      </c>
      <c r="AK147" s="218">
        <f t="shared" si="127"/>
        <v>66</v>
      </c>
      <c r="AL147" s="218">
        <f t="shared" si="128"/>
        <v>419</v>
      </c>
      <c r="AM147" s="218">
        <f t="shared" si="129"/>
        <v>350</v>
      </c>
      <c r="AN147" s="218">
        <f t="shared" si="130"/>
        <v>66</v>
      </c>
      <c r="AO147" s="38">
        <f t="shared" si="131"/>
        <v>6574</v>
      </c>
      <c r="AP147" s="231">
        <v>4.0000000000000001E-3</v>
      </c>
      <c r="AQ147" s="33">
        <f t="shared" si="132"/>
        <v>4.0000000000000001E-3</v>
      </c>
      <c r="AR147" s="33">
        <f>IF(SUM($AO147)=0,"",INDEX(Cascade!$BG:$BG,MATCH($E147,Cascade!$E:$E,0)))</f>
        <v>0.95</v>
      </c>
      <c r="AS147" s="218">
        <f t="shared" si="133"/>
        <v>26</v>
      </c>
      <c r="AT147" s="218">
        <f t="shared" si="134"/>
        <v>6548</v>
      </c>
      <c r="AU147" s="38">
        <f t="shared" si="135"/>
        <v>25</v>
      </c>
      <c r="AV147" s="38">
        <f t="shared" si="136"/>
        <v>444.99999999999994</v>
      </c>
      <c r="AW147" s="38">
        <f>IFERROR(1/(1/INDEX(Cascade!$BH:$BH,MATCH($E147,Cascade!$E:$E,0))),"")</f>
        <v>389</v>
      </c>
      <c r="AX147" s="38">
        <f t="shared" si="137"/>
        <v>69</v>
      </c>
      <c r="AY147" s="38">
        <f t="shared" si="138"/>
        <v>26</v>
      </c>
      <c r="AZ147" s="38">
        <f>IFERROR(1/(1/INDEX(TB!$P:$P,MATCH($E147,TB!$E:$E,0))),"")</f>
        <v>1</v>
      </c>
      <c r="BA147" s="38">
        <f t="shared" si="139"/>
        <v>293</v>
      </c>
    </row>
    <row r="148" spans="1:53" x14ac:dyDescent="0.2">
      <c r="A148" t="str">
        <f>INDEX(Prioritization!$D:$D,MATCH($B148,Prioritization!$A:$A,0))</f>
        <v>4 - Sustained</v>
      </c>
      <c r="B148" t="s">
        <v>306</v>
      </c>
      <c r="C148" t="s">
        <v>477</v>
      </c>
      <c r="D148" t="s">
        <v>30</v>
      </c>
      <c r="E148" t="str">
        <f t="shared" si="112"/>
        <v>Salima District [msW2zpIN7up]|35-49|Female</v>
      </c>
      <c r="F148" s="38">
        <f>IF(LEFT($B148,4)="_Mil","",INDEX(Cascade!$T:$T,MATCH($E148,Cascade!$E:$E,0)))</f>
        <v>43663</v>
      </c>
      <c r="G148" s="38">
        <f>IF(LEFT($B148,4)="_Mil","",INDEX(Cascade!$U:$U,MATCH($E148,Cascade!$E:$E,0)))</f>
        <v>6219</v>
      </c>
      <c r="H148" s="110">
        <f>IF(LEFT($B148,4)="_Mil","",INDEX(Cascade!$W:$W,MATCH($E148,Cascade!$E:$E,0)))</f>
        <v>0.14243650599999999</v>
      </c>
      <c r="I148" s="38">
        <f>IF(LEFT($B148,4)="_Mil","",INDEX(Cascade!$Z:$Z,MATCH($E148,Cascade!$E:$E,0)))</f>
        <v>5833</v>
      </c>
      <c r="J148" s="33">
        <f>IF(LEFT($B148,4)="_Mil","",INDEX(Cascade!$AA:$AA,MATCH($E148,Cascade!$E:$E,0)))</f>
        <v>0.98652527599999995</v>
      </c>
      <c r="K148" s="218">
        <f>IF(LEFT($B148,4)="_Mil","",_xlfn.IFNA(ROUND(INDEX(Spectrum!$N:$N,MATCH(RIGHT($B148,13)&amp;"|"&amp;$C148&amp;"|"&amp;$D148&amp;"|"&amp;K$14&amp;"|"&amp;"CY2024Q3",Spectrum!$R:$R,0)),0),""))</f>
        <v>2081</v>
      </c>
      <c r="L148" s="218">
        <f>IF(LEFT($B148,4)="_Mil","",_xlfn.IFNA(ROUND(INDEX(Spectrum!$N:$N,MATCH(RIGHT($B148,13)&amp;"|"&amp;$C148&amp;"|"&amp;$D148&amp;"|"&amp;L$14&amp;"|"&amp;"CY2024Q3",Spectrum!$R:$R,0)),0),""))</f>
        <v>161</v>
      </c>
      <c r="M148" s="218">
        <f>IF(LEFT($B148,4)="_Mil","",_xlfn.IFNA(ROUND(INDEX(Spectrum!$N:$N,MATCH(RIGHT($B148,13)&amp;"|"&amp;$C148&amp;"|"&amp;$D148&amp;"|"&amp;M$14&amp;"|"&amp;"CY2024Q3",Spectrum!$R:$R,0)),0),""))</f>
        <v>15</v>
      </c>
      <c r="N148" s="218">
        <f>IF(LEFT($B148,4)="_Mil","",_xlfn.IFNA(ROUND(INDEX(Spectrum!$N:$N,MATCH(RIGHT($B148,13)&amp;"|"&amp;$C148&amp;"|"&amp;$D148&amp;"|"&amp;N$14&amp;"|"&amp;"CY2024Q3",Spectrum!$R:$R,0)),0),""))</f>
        <v>1904</v>
      </c>
      <c r="O148" s="218">
        <f>IF(LEFT($B148,4)="_Mil","",_xlfn.IFNA(ROUND(INDEX(Spectrum!$N:$N,MATCH(RIGHT($B148,13)&amp;"|"&amp;$C148&amp;"|"&amp;$D148&amp;"|"&amp;O$14&amp;"|"&amp;"CY2024Q3",Spectrum!$R:$R,0)),0),""))</f>
        <v>177</v>
      </c>
      <c r="P148" s="218">
        <f>IF(LEFT($B148,4)="_Mil","",_xlfn.IFNA(ROUND(INDEX(Spectrum!$N:$N,MATCH(RIGHT($B148,13)&amp;"|"&amp;$C148&amp;"|"&amp;$D148&amp;"|"&amp;P$14&amp;"|"&amp;"CY2024Q3",Spectrum!$R:$R,0)),0),""))</f>
        <v>161</v>
      </c>
      <c r="Q148" s="218">
        <f>IF(LEFT($B148,4)="_Mil","",_xlfn.IFNA(ROUND(INDEX(Spectrum!$N:$N,MATCH(RIGHT($B148,13)&amp;"|"&amp;$C148&amp;"|"&amp;$D148&amp;"|"&amp;Q$14&amp;"|"&amp;"CY2024Q3",Spectrum!$R:$R,0)),0),""))</f>
        <v>15</v>
      </c>
      <c r="R148" s="38">
        <v>1859</v>
      </c>
      <c r="S148" s="33">
        <v>0</v>
      </c>
      <c r="T148" s="218">
        <f t="shared" si="113"/>
        <v>1859</v>
      </c>
      <c r="U148" s="33">
        <f t="shared" si="114"/>
        <v>0.89332051898125897</v>
      </c>
      <c r="V148" s="218">
        <f t="shared" si="115"/>
        <v>2081</v>
      </c>
      <c r="W148" s="33">
        <v>9.0999999999999998E-2</v>
      </c>
      <c r="X148" s="33">
        <f t="shared" si="116"/>
        <v>9.0999999999999998E-2</v>
      </c>
      <c r="Y148" s="231">
        <v>1.0999999999999999E-2</v>
      </c>
      <c r="Z148" s="33">
        <f t="shared" si="117"/>
        <v>7.8125E-3</v>
      </c>
      <c r="AA148" s="38">
        <f t="shared" si="118"/>
        <v>1859</v>
      </c>
      <c r="AB148" s="218">
        <f t="shared" si="119"/>
        <v>169</v>
      </c>
      <c r="AC148" s="218">
        <f t="shared" si="120"/>
        <v>13</v>
      </c>
      <c r="AD148" s="218">
        <f t="shared" si="121"/>
        <v>1677</v>
      </c>
      <c r="AE148" s="38">
        <f t="shared" si="122"/>
        <v>2081</v>
      </c>
      <c r="AF148" s="218">
        <f t="shared" si="123"/>
        <v>189</v>
      </c>
      <c r="AG148" s="218">
        <f t="shared" si="124"/>
        <v>15</v>
      </c>
      <c r="AH148" s="218">
        <f t="shared" si="125"/>
        <v>1877</v>
      </c>
      <c r="AI148" s="33">
        <f>IF(SUM($AC148)=0,"",INDEX(Cascade!$BG:$BG,MATCH($E148,Cascade!$E:$E,0)))</f>
        <v>0.95</v>
      </c>
      <c r="AJ148" s="218">
        <f t="shared" si="126"/>
        <v>169</v>
      </c>
      <c r="AK148" s="218">
        <f t="shared" si="127"/>
        <v>12</v>
      </c>
      <c r="AL148" s="218">
        <f t="shared" si="128"/>
        <v>204</v>
      </c>
      <c r="AM148" s="218">
        <f t="shared" si="129"/>
        <v>189</v>
      </c>
      <c r="AN148" s="218">
        <f t="shared" si="130"/>
        <v>14</v>
      </c>
      <c r="AO148" s="38">
        <f t="shared" si="131"/>
        <v>1677</v>
      </c>
      <c r="AP148" s="231">
        <v>4.0000000000000001E-3</v>
      </c>
      <c r="AQ148" s="33">
        <f t="shared" si="132"/>
        <v>4.0000000000000001E-3</v>
      </c>
      <c r="AR148" s="33">
        <f>IF(SUM($AO148)=0,"",INDEX(Cascade!$BG:$BG,MATCH($E148,Cascade!$E:$E,0)))</f>
        <v>0.95</v>
      </c>
      <c r="AS148" s="218">
        <f t="shared" si="133"/>
        <v>7</v>
      </c>
      <c r="AT148" s="218">
        <f t="shared" si="134"/>
        <v>1670</v>
      </c>
      <c r="AU148" s="38">
        <f t="shared" si="135"/>
        <v>7</v>
      </c>
      <c r="AV148" s="38">
        <f t="shared" si="136"/>
        <v>189</v>
      </c>
      <c r="AW148" s="38">
        <f>IFERROR(1/(1/INDEX(Cascade!$BH:$BH,MATCH($E148,Cascade!$E:$E,0))),"")</f>
        <v>168</v>
      </c>
      <c r="AX148" s="38">
        <f t="shared" si="137"/>
        <v>13</v>
      </c>
      <c r="AY148" s="38">
        <f t="shared" si="138"/>
        <v>7</v>
      </c>
      <c r="AZ148" s="38">
        <f>IFERROR(1/(1/INDEX(TB!$P:$P,MATCH($E148,TB!$E:$E,0))),"")</f>
        <v>2</v>
      </c>
      <c r="BA148" s="38">
        <f t="shared" si="139"/>
        <v>146</v>
      </c>
    </row>
    <row r="149" spans="1:53" x14ac:dyDescent="0.2">
      <c r="A149" t="str">
        <f>INDEX(Prioritization!$D:$D,MATCH($B149,Prioritization!$A:$A,0))</f>
        <v>4 - Sustained</v>
      </c>
      <c r="B149" t="s">
        <v>306</v>
      </c>
      <c r="C149" t="s">
        <v>478</v>
      </c>
      <c r="D149" t="s">
        <v>30</v>
      </c>
      <c r="E149" t="str">
        <f t="shared" si="112"/>
        <v>Salima District [msW2zpIN7up]|50+|Female</v>
      </c>
      <c r="F149" s="38">
        <f>IF(LEFT($B149,4)="_Mil","",INDEX(Cascade!$T:$T,MATCH($E149,Cascade!$E:$E,0)))</f>
        <v>24676</v>
      </c>
      <c r="G149" s="38">
        <f>IF(LEFT($B149,4)="_Mil","",INDEX(Cascade!$U:$U,MATCH($E149,Cascade!$E:$E,0)))</f>
        <v>2799</v>
      </c>
      <c r="H149" s="110">
        <f>IF(LEFT($B149,4)="_Mil","",INDEX(Cascade!$W:$W,MATCH($E149,Cascade!$E:$E,0)))</f>
        <v>0.113417276</v>
      </c>
      <c r="I149" s="38">
        <f>IF(LEFT($B149,4)="_Mil","",INDEX(Cascade!$Z:$Z,MATCH($E149,Cascade!$E:$E,0)))</f>
        <v>2636</v>
      </c>
      <c r="J149" s="33">
        <f>IF(LEFT($B149,4)="_Mil","",INDEX(Cascade!$AA:$AA,MATCH($E149,Cascade!$E:$E,0)))</f>
        <v>0.99076948200000015</v>
      </c>
      <c r="K149" s="218" t="str">
        <f>IF(LEFT($B149,4)="_Mil","",_xlfn.IFNA(ROUND(INDEX(Spectrum!$N:$N,MATCH(RIGHT($B149,13)&amp;"|"&amp;$C149&amp;"|"&amp;$D149&amp;"|"&amp;K$14&amp;"|"&amp;"CY2024Q3",Spectrum!$R:$R,0)),0),""))</f>
        <v/>
      </c>
      <c r="L149" s="218" t="str">
        <f>IF(LEFT($B149,4)="_Mil","",_xlfn.IFNA(ROUND(INDEX(Spectrum!$N:$N,MATCH(RIGHT($B149,13)&amp;"|"&amp;$C149&amp;"|"&amp;$D149&amp;"|"&amp;L$14&amp;"|"&amp;"CY2024Q3",Spectrum!$R:$R,0)),0),""))</f>
        <v/>
      </c>
      <c r="M149" s="218" t="str">
        <f>IF(LEFT($B149,4)="_Mil","",_xlfn.IFNA(ROUND(INDEX(Spectrum!$N:$N,MATCH(RIGHT($B149,13)&amp;"|"&amp;$C149&amp;"|"&amp;$D149&amp;"|"&amp;M$14&amp;"|"&amp;"CY2024Q3",Spectrum!$R:$R,0)),0),""))</f>
        <v/>
      </c>
      <c r="N149" s="218" t="str">
        <f>IF(LEFT($B149,4)="_Mil","",_xlfn.IFNA(ROUND(INDEX(Spectrum!$N:$N,MATCH(RIGHT($B149,13)&amp;"|"&amp;$C149&amp;"|"&amp;$D149&amp;"|"&amp;N$14&amp;"|"&amp;"CY2024Q3",Spectrum!$R:$R,0)),0),""))</f>
        <v/>
      </c>
      <c r="O149" s="218" t="str">
        <f>IF(LEFT($B149,4)="_Mil","",_xlfn.IFNA(ROUND(INDEX(Spectrum!$N:$N,MATCH(RIGHT($B149,13)&amp;"|"&amp;$C149&amp;"|"&amp;$D149&amp;"|"&amp;O$14&amp;"|"&amp;"CY2024Q3",Spectrum!$R:$R,0)),0),""))</f>
        <v/>
      </c>
      <c r="P149" s="218" t="str">
        <f>IF(LEFT($B149,4)="_Mil","",_xlfn.IFNA(ROUND(INDEX(Spectrum!$N:$N,MATCH(RIGHT($B149,13)&amp;"|"&amp;$C149&amp;"|"&amp;$D149&amp;"|"&amp;P$14&amp;"|"&amp;"CY2024Q3",Spectrum!$R:$R,0)),0),""))</f>
        <v/>
      </c>
      <c r="Q149" s="218" t="str">
        <f>IF(LEFT($B149,4)="_Mil","",_xlfn.IFNA(ROUND(INDEX(Spectrum!$N:$N,MATCH(RIGHT($B149,13)&amp;"|"&amp;$C149&amp;"|"&amp;$D149&amp;"|"&amp;Q$14&amp;"|"&amp;"CY2024Q3",Spectrum!$R:$R,0)),0),""))</f>
        <v/>
      </c>
      <c r="R149" s="38">
        <v>9</v>
      </c>
      <c r="S149" s="33">
        <v>0</v>
      </c>
      <c r="T149" s="218">
        <f t="shared" si="113"/>
        <v>9</v>
      </c>
      <c r="U149" s="33">
        <f t="shared" si="114"/>
        <v>1</v>
      </c>
      <c r="V149" s="218">
        <f t="shared" si="115"/>
        <v>9</v>
      </c>
      <c r="W149" s="33">
        <v>0.33300000000000002</v>
      </c>
      <c r="X149" s="33">
        <f t="shared" si="116"/>
        <v>0.33300000000000002</v>
      </c>
      <c r="Y149" s="231">
        <v>1.0999999999999999E-2</v>
      </c>
      <c r="Z149" s="33">
        <f t="shared" si="117"/>
        <v>1.0999999999999999E-2</v>
      </c>
      <c r="AA149" s="38">
        <f t="shared" si="118"/>
        <v>9</v>
      </c>
      <c r="AB149" s="218">
        <f t="shared" si="119"/>
        <v>3</v>
      </c>
      <c r="AC149" s="218">
        <f t="shared" si="120"/>
        <v>0</v>
      </c>
      <c r="AD149" s="218">
        <f t="shared" si="121"/>
        <v>6</v>
      </c>
      <c r="AE149" s="38">
        <f t="shared" si="122"/>
        <v>9</v>
      </c>
      <c r="AF149" s="218">
        <f t="shared" si="123"/>
        <v>3</v>
      </c>
      <c r="AG149" s="218">
        <f t="shared" si="124"/>
        <v>0</v>
      </c>
      <c r="AH149" s="218">
        <f t="shared" si="125"/>
        <v>6</v>
      </c>
      <c r="AI149" s="33" t="str">
        <f>IF(SUM($AC149)=0,"",INDEX(Cascade!$BG:$BG,MATCH($E149,Cascade!$E:$E,0)))</f>
        <v/>
      </c>
      <c r="AJ149" s="218">
        <f t="shared" si="126"/>
        <v>3</v>
      </c>
      <c r="AK149" s="218" t="str">
        <f t="shared" si="127"/>
        <v/>
      </c>
      <c r="AL149" s="218">
        <f t="shared" si="128"/>
        <v>3</v>
      </c>
      <c r="AM149" s="218">
        <f t="shared" si="129"/>
        <v>3</v>
      </c>
      <c r="AN149" s="218" t="str">
        <f t="shared" si="130"/>
        <v/>
      </c>
      <c r="AO149" s="38">
        <f t="shared" si="131"/>
        <v>6</v>
      </c>
      <c r="AP149" s="231">
        <v>4.0000000000000001E-3</v>
      </c>
      <c r="AQ149" s="33">
        <f t="shared" si="132"/>
        <v>4.0000000000000001E-3</v>
      </c>
      <c r="AR149" s="33">
        <f>IF(SUM($AO149)=0,"",INDEX(Cascade!$BG:$BG,MATCH($E149,Cascade!$E:$E,0)))</f>
        <v>0.95</v>
      </c>
      <c r="AS149" s="218">
        <f t="shared" si="133"/>
        <v>0</v>
      </c>
      <c r="AT149" s="218">
        <f t="shared" si="134"/>
        <v>6</v>
      </c>
      <c r="AU149" s="38" t="str">
        <f t="shared" si="135"/>
        <v/>
      </c>
      <c r="AV149" s="38">
        <f t="shared" si="136"/>
        <v>3</v>
      </c>
      <c r="AW149" s="38">
        <f>IFERROR(1/(1/INDEX(Cascade!$BH:$BH,MATCH($E149,Cascade!$E:$E,0))),"")</f>
        <v>141</v>
      </c>
      <c r="AX149" s="38" t="str">
        <f t="shared" si="137"/>
        <v/>
      </c>
      <c r="AY149" s="38" t="str">
        <f t="shared" si="138"/>
        <v/>
      </c>
      <c r="AZ149" s="38" t="str">
        <f>IFERROR(1/(1/INDEX(TB!$P:$P,MATCH($E149,TB!$E:$E,0))),"")</f>
        <v/>
      </c>
      <c r="BA149" s="38">
        <f t="shared" si="139"/>
        <v>141</v>
      </c>
    </row>
    <row r="150" spans="1:53" x14ac:dyDescent="0.2">
      <c r="A150" t="str">
        <f>INDEX(Prioritization!$D:$D,MATCH($B150,Prioritization!$A:$A,0))</f>
        <v>INVALID</v>
      </c>
      <c r="B150" t="s">
        <v>324</v>
      </c>
      <c r="C150" t="s">
        <v>474</v>
      </c>
      <c r="D150" t="s">
        <v>30</v>
      </c>
      <c r="E150" t="str">
        <f t="shared" si="112"/>
        <v>Thyolo District [ul0y9diGujK]|10-14|Female</v>
      </c>
      <c r="F150" s="38">
        <f>IF(LEFT($B150,4)="_Mil","",INDEX(Cascade!$T:$T,MATCH($E150,Cascade!$E:$E,0)))</f>
        <v>57044</v>
      </c>
      <c r="G150" s="38">
        <f>IF(LEFT($B150,4)="_Mil","",INDEX(Cascade!$U:$U,MATCH($E150,Cascade!$E:$E,0)))</f>
        <v>843</v>
      </c>
      <c r="H150" s="110">
        <f>IF(LEFT($B150,4)="_Mil","",INDEX(Cascade!$W:$W,MATCH($E150,Cascade!$E:$E,0)))</f>
        <v>1.4784179999999999E-2</v>
      </c>
      <c r="I150" s="38">
        <f>IF(LEFT($B150,4)="_Mil","",INDEX(Cascade!$Z:$Z,MATCH($E150,Cascade!$E:$E,0)))</f>
        <v>512</v>
      </c>
      <c r="J150" s="33">
        <f>IF(LEFT($B150,4)="_Mil","",INDEX(Cascade!$AA:$AA,MATCH($E150,Cascade!$E:$E,0)))</f>
        <v>0.68907048900000001</v>
      </c>
      <c r="K150" s="218" t="str">
        <f>IF(LEFT($B150,4)="_Mil","",_xlfn.IFNA(ROUND(INDEX(Spectrum!$N:$N,MATCH(RIGHT($B150,13)&amp;"|"&amp;$C150&amp;"|"&amp;$D150&amp;"|"&amp;K$14&amp;"|"&amp;"CY2024Q3",Spectrum!$R:$R,0)),0),""))</f>
        <v/>
      </c>
      <c r="L150" s="218" t="str">
        <f>IF(LEFT($B150,4)="_Mil","",_xlfn.IFNA(ROUND(INDEX(Spectrum!$N:$N,MATCH(RIGHT($B150,13)&amp;"|"&amp;$C150&amp;"|"&amp;$D150&amp;"|"&amp;L$14&amp;"|"&amp;"CY2024Q3",Spectrum!$R:$R,0)),0),""))</f>
        <v/>
      </c>
      <c r="M150" s="218" t="str">
        <f>IF(LEFT($B150,4)="_Mil","",_xlfn.IFNA(ROUND(INDEX(Spectrum!$N:$N,MATCH(RIGHT($B150,13)&amp;"|"&amp;$C150&amp;"|"&amp;$D150&amp;"|"&amp;M$14&amp;"|"&amp;"CY2024Q3",Spectrum!$R:$R,0)),0),""))</f>
        <v/>
      </c>
      <c r="N150" s="218" t="str">
        <f>IF(LEFT($B150,4)="_Mil","",_xlfn.IFNA(ROUND(INDEX(Spectrum!$N:$N,MATCH(RIGHT($B150,13)&amp;"|"&amp;$C150&amp;"|"&amp;$D150&amp;"|"&amp;N$14&amp;"|"&amp;"CY2024Q3",Spectrum!$R:$R,0)),0),""))</f>
        <v/>
      </c>
      <c r="O150" s="218" t="str">
        <f>IF(LEFT($B150,4)="_Mil","",_xlfn.IFNA(ROUND(INDEX(Spectrum!$N:$N,MATCH(RIGHT($B150,13)&amp;"|"&amp;$C150&amp;"|"&amp;$D150&amp;"|"&amp;O$14&amp;"|"&amp;"CY2024Q3",Spectrum!$R:$R,0)),0),""))</f>
        <v/>
      </c>
      <c r="P150" s="218" t="str">
        <f>IF(LEFT($B150,4)="_Mil","",_xlfn.IFNA(ROUND(INDEX(Spectrum!$N:$N,MATCH(RIGHT($B150,13)&amp;"|"&amp;$C150&amp;"|"&amp;$D150&amp;"|"&amp;P$14&amp;"|"&amp;"CY2024Q3",Spectrum!$R:$R,0)),0),""))</f>
        <v/>
      </c>
      <c r="Q150" s="218" t="str">
        <f>IF(LEFT($B150,4)="_Mil","",_xlfn.IFNA(ROUND(INDEX(Spectrum!$N:$N,MATCH(RIGHT($B150,13)&amp;"|"&amp;$C150&amp;"|"&amp;$D150&amp;"|"&amp;Q$14&amp;"|"&amp;"CY2024Q3",Spectrum!$R:$R,0)),0),""))</f>
        <v/>
      </c>
      <c r="R150" s="38">
        <v>78</v>
      </c>
      <c r="S150" s="33">
        <v>0</v>
      </c>
      <c r="T150" s="218">
        <f t="shared" si="113"/>
        <v>78</v>
      </c>
      <c r="U150" s="33">
        <f t="shared" si="114"/>
        <v>1</v>
      </c>
      <c r="V150" s="218">
        <f t="shared" si="115"/>
        <v>78</v>
      </c>
      <c r="W150" s="33">
        <v>1.9E-2</v>
      </c>
      <c r="X150" s="33">
        <f t="shared" si="116"/>
        <v>1.9E-2</v>
      </c>
      <c r="Y150" s="231">
        <v>8.0000000000000002E-3</v>
      </c>
      <c r="Z150" s="33">
        <f t="shared" si="117"/>
        <v>8.0000000000000002E-3</v>
      </c>
      <c r="AA150" s="38">
        <f t="shared" si="118"/>
        <v>78</v>
      </c>
      <c r="AB150" s="218">
        <f t="shared" si="119"/>
        <v>1</v>
      </c>
      <c r="AC150" s="218">
        <f t="shared" si="120"/>
        <v>1</v>
      </c>
      <c r="AD150" s="218">
        <f t="shared" si="121"/>
        <v>76</v>
      </c>
      <c r="AE150" s="38">
        <f t="shared" si="122"/>
        <v>78</v>
      </c>
      <c r="AF150" s="218">
        <f t="shared" si="123"/>
        <v>1</v>
      </c>
      <c r="AG150" s="218">
        <f t="shared" si="124"/>
        <v>1</v>
      </c>
      <c r="AH150" s="218">
        <f t="shared" si="125"/>
        <v>76</v>
      </c>
      <c r="AI150" s="33">
        <f>IF(SUM($AC150)=0,"",INDEX(Cascade!$BG:$BG,MATCH($E150,Cascade!$E:$E,0)))</f>
        <v>0.95</v>
      </c>
      <c r="AJ150" s="218">
        <f t="shared" si="126"/>
        <v>1</v>
      </c>
      <c r="AK150" s="218">
        <f t="shared" si="127"/>
        <v>1</v>
      </c>
      <c r="AL150" s="218">
        <f t="shared" si="128"/>
        <v>2</v>
      </c>
      <c r="AM150" s="218">
        <f t="shared" si="129"/>
        <v>1</v>
      </c>
      <c r="AN150" s="218">
        <f t="shared" si="130"/>
        <v>1</v>
      </c>
      <c r="AO150" s="38">
        <f t="shared" si="131"/>
        <v>76</v>
      </c>
      <c r="AP150" s="232">
        <v>4.0000000000000001E-3</v>
      </c>
      <c r="AQ150" s="33">
        <f t="shared" si="132"/>
        <v>4.0000000000000001E-3</v>
      </c>
      <c r="AR150" s="33">
        <f>IF(SUM($AO150)=0,"",INDEX(Cascade!$BG:$BG,MATCH($E150,Cascade!$E:$E,0)))</f>
        <v>0.95</v>
      </c>
      <c r="AS150" s="218">
        <f t="shared" si="133"/>
        <v>0</v>
      </c>
      <c r="AT150" s="218">
        <f t="shared" si="134"/>
        <v>76</v>
      </c>
      <c r="AU150" s="38" t="str">
        <f t="shared" si="135"/>
        <v/>
      </c>
      <c r="AV150" s="38">
        <f t="shared" si="136"/>
        <v>2</v>
      </c>
      <c r="AW150" s="38">
        <f>IFERROR(1/(1/INDEX(Cascade!$BH:$BH,MATCH($E150,Cascade!$E:$E,0))),"")</f>
        <v>13</v>
      </c>
      <c r="AX150" s="38">
        <f t="shared" si="137"/>
        <v>1</v>
      </c>
      <c r="AY150" s="38" t="str">
        <f t="shared" si="138"/>
        <v/>
      </c>
      <c r="AZ150" s="38" t="str">
        <f>IFERROR(1/(1/INDEX(TB!$P:$P,MATCH($E150,TB!$E:$E,0))),"")</f>
        <v/>
      </c>
      <c r="BA150" s="38">
        <f t="shared" si="139"/>
        <v>12</v>
      </c>
    </row>
    <row r="151" spans="1:53" x14ac:dyDescent="0.2">
      <c r="A151" t="str">
        <f>INDEX(Prioritization!$D:$D,MATCH($B151,Prioritization!$A:$A,0))</f>
        <v>INVALID</v>
      </c>
      <c r="B151" t="s">
        <v>324</v>
      </c>
      <c r="C151" t="s">
        <v>475</v>
      </c>
      <c r="D151" t="s">
        <v>30</v>
      </c>
      <c r="E151" t="str">
        <f t="shared" si="112"/>
        <v>Thyolo District [ul0y9diGujK]|15-24|Female</v>
      </c>
      <c r="F151" s="38">
        <f>IF(LEFT($B151,4)="_Mil","",INDEX(Cascade!$T:$T,MATCH($E151,Cascade!$E:$E,0)))</f>
        <v>94960</v>
      </c>
      <c r="G151" s="38">
        <f>IF(LEFT($B151,4)="_Mil","",INDEX(Cascade!$U:$U,MATCH($E151,Cascade!$E:$E,0)))</f>
        <v>3402</v>
      </c>
      <c r="H151" s="110">
        <f>IF(LEFT($B151,4)="_Mil","",INDEX(Cascade!$W:$W,MATCH($E151,Cascade!$E:$E,0)))</f>
        <v>3.5830616000000003E-2</v>
      </c>
      <c r="I151" s="38">
        <f>IF(LEFT($B151,4)="_Mil","",INDEX(Cascade!$Z:$Z,MATCH($E151,Cascade!$E:$E,0)))</f>
        <v>2866</v>
      </c>
      <c r="J151" s="33">
        <f>IF(LEFT($B151,4)="_Mil","",INDEX(Cascade!$AA:$AA,MATCH($E151,Cascade!$E:$E,0)))</f>
        <v>0.94278845899999997</v>
      </c>
      <c r="K151" s="218">
        <f>IF(LEFT($B151,4)="_Mil","",_xlfn.IFNA(ROUND(INDEX(Spectrum!$N:$N,MATCH(RIGHT($B151,13)&amp;"|"&amp;$C151&amp;"|"&amp;$D151&amp;"|"&amp;K$14&amp;"|"&amp;"CY2024Q3",Spectrum!$R:$R,0)),0),""))</f>
        <v>9071</v>
      </c>
      <c r="L151" s="218">
        <f>IF(LEFT($B151,4)="_Mil","",_xlfn.IFNA(ROUND(INDEX(Spectrum!$N:$N,MATCH(RIGHT($B151,13)&amp;"|"&amp;$C151&amp;"|"&amp;$D151&amp;"|"&amp;L$14&amp;"|"&amp;"CY2024Q3",Spectrum!$R:$R,0)),0),""))</f>
        <v>218</v>
      </c>
      <c r="M151" s="218">
        <f>IF(LEFT($B151,4)="_Mil","",_xlfn.IFNA(ROUND(INDEX(Spectrum!$N:$N,MATCH(RIGHT($B151,13)&amp;"|"&amp;$C151&amp;"|"&amp;$D151&amp;"|"&amp;M$14&amp;"|"&amp;"CY2024Q3",Spectrum!$R:$R,0)),0),""))</f>
        <v>86</v>
      </c>
      <c r="N151" s="218">
        <f>IF(LEFT($B151,4)="_Mil","",_xlfn.IFNA(ROUND(INDEX(Spectrum!$N:$N,MATCH(RIGHT($B151,13)&amp;"|"&amp;$C151&amp;"|"&amp;$D151&amp;"|"&amp;N$14&amp;"|"&amp;"CY2024Q3",Spectrum!$R:$R,0)),0),""))</f>
        <v>8767</v>
      </c>
      <c r="O151" s="218">
        <f>IF(LEFT($B151,4)="_Mil","",_xlfn.IFNA(ROUND(INDEX(Spectrum!$N:$N,MATCH(RIGHT($B151,13)&amp;"|"&amp;$C151&amp;"|"&amp;$D151&amp;"|"&amp;O$14&amp;"|"&amp;"CY2024Q3",Spectrum!$R:$R,0)),0),""))</f>
        <v>305</v>
      </c>
      <c r="P151" s="218">
        <f>IF(LEFT($B151,4)="_Mil","",_xlfn.IFNA(ROUND(INDEX(Spectrum!$N:$N,MATCH(RIGHT($B151,13)&amp;"|"&amp;$C151&amp;"|"&amp;$D151&amp;"|"&amp;P$14&amp;"|"&amp;"CY2024Q3",Spectrum!$R:$R,0)),0),""))</f>
        <v>218</v>
      </c>
      <c r="Q151" s="218">
        <f>IF(LEFT($B151,4)="_Mil","",_xlfn.IFNA(ROUND(INDEX(Spectrum!$N:$N,MATCH(RIGHT($B151,13)&amp;"|"&amp;$C151&amp;"|"&amp;$D151&amp;"|"&amp;Q$14&amp;"|"&amp;"CY2024Q3",Spectrum!$R:$R,0)),0),""))</f>
        <v>86</v>
      </c>
      <c r="R151" s="38">
        <v>23720</v>
      </c>
      <c r="S151" s="33">
        <v>0</v>
      </c>
      <c r="T151" s="218">
        <f t="shared" si="113"/>
        <v>23720</v>
      </c>
      <c r="U151" s="33">
        <f t="shared" si="114"/>
        <v>1</v>
      </c>
      <c r="V151" s="218">
        <f t="shared" si="115"/>
        <v>23720</v>
      </c>
      <c r="W151" s="33">
        <v>1.9E-2</v>
      </c>
      <c r="X151" s="33">
        <f t="shared" si="116"/>
        <v>2.4032631462903759E-2</v>
      </c>
      <c r="Y151" s="231">
        <v>8.9999999999999993E-3</v>
      </c>
      <c r="Z151" s="33">
        <f t="shared" si="117"/>
        <v>8.9999999999999993E-3</v>
      </c>
      <c r="AA151" s="38">
        <f t="shared" si="118"/>
        <v>23720</v>
      </c>
      <c r="AB151" s="218">
        <f t="shared" si="119"/>
        <v>570</v>
      </c>
      <c r="AC151" s="218">
        <f t="shared" si="120"/>
        <v>208</v>
      </c>
      <c r="AD151" s="218">
        <f t="shared" si="121"/>
        <v>22942</v>
      </c>
      <c r="AE151" s="38">
        <f t="shared" si="122"/>
        <v>23720</v>
      </c>
      <c r="AF151" s="218">
        <f t="shared" si="123"/>
        <v>570</v>
      </c>
      <c r="AG151" s="218">
        <f t="shared" si="124"/>
        <v>208</v>
      </c>
      <c r="AH151" s="218">
        <f t="shared" si="125"/>
        <v>22942</v>
      </c>
      <c r="AI151" s="33">
        <f>IF(SUM($AC151)=0,"",INDEX(Cascade!$BG:$BG,MATCH($E151,Cascade!$E:$E,0)))</f>
        <v>0.95</v>
      </c>
      <c r="AJ151" s="218">
        <f t="shared" si="126"/>
        <v>570</v>
      </c>
      <c r="AK151" s="218">
        <f t="shared" si="127"/>
        <v>198</v>
      </c>
      <c r="AL151" s="218">
        <f t="shared" si="128"/>
        <v>778</v>
      </c>
      <c r="AM151" s="218">
        <f t="shared" si="129"/>
        <v>570</v>
      </c>
      <c r="AN151" s="218">
        <f t="shared" si="130"/>
        <v>198</v>
      </c>
      <c r="AO151" s="38">
        <f t="shared" si="131"/>
        <v>22942</v>
      </c>
      <c r="AP151" s="232">
        <v>4.0000000000000001E-3</v>
      </c>
      <c r="AQ151" s="33">
        <f t="shared" si="132"/>
        <v>4.0000000000000001E-3</v>
      </c>
      <c r="AR151" s="33">
        <f>IF(SUM($AO151)=0,"",INDEX(Cascade!$BG:$BG,MATCH($E151,Cascade!$E:$E,0)))</f>
        <v>0.95</v>
      </c>
      <c r="AS151" s="218">
        <f t="shared" si="133"/>
        <v>92</v>
      </c>
      <c r="AT151" s="218">
        <f t="shared" si="134"/>
        <v>22850</v>
      </c>
      <c r="AU151" s="38">
        <f t="shared" si="135"/>
        <v>87</v>
      </c>
      <c r="AV151" s="38">
        <f t="shared" si="136"/>
        <v>870</v>
      </c>
      <c r="AW151" s="38">
        <f>IFERROR(1/(1/INDEX(Cascade!$BH:$BH,MATCH($E151,Cascade!$E:$E,0))),"")</f>
        <v>469</v>
      </c>
      <c r="AX151" s="38">
        <f t="shared" si="137"/>
        <v>208</v>
      </c>
      <c r="AY151" s="38">
        <f t="shared" si="138"/>
        <v>92</v>
      </c>
      <c r="AZ151" s="38">
        <f>IFERROR(1/(1/INDEX(TB!$P:$P,MATCH($E151,TB!$E:$E,0))),"")</f>
        <v>2</v>
      </c>
      <c r="BA151" s="38">
        <f t="shared" si="139"/>
        <v>167</v>
      </c>
    </row>
    <row r="152" spans="1:53" x14ac:dyDescent="0.2">
      <c r="A152" t="str">
        <f>INDEX(Prioritization!$D:$D,MATCH($B152,Prioritization!$A:$A,0))</f>
        <v>INVALID</v>
      </c>
      <c r="B152" t="s">
        <v>324</v>
      </c>
      <c r="C152" t="s">
        <v>476</v>
      </c>
      <c r="D152" t="s">
        <v>30</v>
      </c>
      <c r="E152" t="str">
        <f t="shared" si="112"/>
        <v>Thyolo District [ul0y9diGujK]|25-34|Female</v>
      </c>
      <c r="F152" s="38">
        <f>IF(LEFT($B152,4)="_Mil","",INDEX(Cascade!$T:$T,MATCH($E152,Cascade!$E:$E,0)))</f>
        <v>63274</v>
      </c>
      <c r="G152" s="38">
        <f>IF(LEFT($B152,4)="_Mil","",INDEX(Cascade!$U:$U,MATCH($E152,Cascade!$E:$E,0)))</f>
        <v>8216</v>
      </c>
      <c r="H152" s="110">
        <f>IF(LEFT($B152,4)="_Mil","",INDEX(Cascade!$W:$W,MATCH($E152,Cascade!$E:$E,0)))</f>
        <v>0.12984515699999999</v>
      </c>
      <c r="I152" s="38">
        <f>IF(LEFT($B152,4)="_Mil","",INDEX(Cascade!$Z:$Z,MATCH($E152,Cascade!$E:$E,0)))</f>
        <v>7156</v>
      </c>
      <c r="J152" s="33">
        <f>IF(LEFT($B152,4)="_Mil","",INDEX(Cascade!$AA:$AA,MATCH($E152,Cascade!$E:$E,0)))</f>
        <v>0.96969375599999985</v>
      </c>
      <c r="K152" s="218">
        <f>IF(LEFT($B152,4)="_Mil","",_xlfn.IFNA(ROUND(INDEX(Spectrum!$N:$N,MATCH(RIGHT($B152,13)&amp;"|"&amp;$C152&amp;"|"&amp;$D152&amp;"|"&amp;K$14&amp;"|"&amp;"CY2024Q3",Spectrum!$R:$R,0)),0),""))</f>
        <v>5875</v>
      </c>
      <c r="L152" s="218">
        <f>IF(LEFT($B152,4)="_Mil","",_xlfn.IFNA(ROUND(INDEX(Spectrum!$N:$N,MATCH(RIGHT($B152,13)&amp;"|"&amp;$C152&amp;"|"&amp;$D152&amp;"|"&amp;L$14&amp;"|"&amp;"CY2024Q3",Spectrum!$R:$R,0)),0),""))</f>
        <v>410</v>
      </c>
      <c r="M152" s="218">
        <f>IF(LEFT($B152,4)="_Mil","",_xlfn.IFNA(ROUND(INDEX(Spectrum!$N:$N,MATCH(RIGHT($B152,13)&amp;"|"&amp;$C152&amp;"|"&amp;$D152&amp;"|"&amp;M$14&amp;"|"&amp;"CY2024Q3",Spectrum!$R:$R,0)),0),""))</f>
        <v>116</v>
      </c>
      <c r="N152" s="218">
        <f>IF(LEFT($B152,4)="_Mil","",_xlfn.IFNA(ROUND(INDEX(Spectrum!$N:$N,MATCH(RIGHT($B152,13)&amp;"|"&amp;$C152&amp;"|"&amp;$D152&amp;"|"&amp;N$14&amp;"|"&amp;"CY2024Q3",Spectrum!$R:$R,0)),0),""))</f>
        <v>5350</v>
      </c>
      <c r="O152" s="218">
        <f>IF(LEFT($B152,4)="_Mil","",_xlfn.IFNA(ROUND(INDEX(Spectrum!$N:$N,MATCH(RIGHT($B152,13)&amp;"|"&amp;$C152&amp;"|"&amp;$D152&amp;"|"&amp;O$14&amp;"|"&amp;"CY2024Q3",Spectrum!$R:$R,0)),0),""))</f>
        <v>526</v>
      </c>
      <c r="P152" s="218">
        <f>IF(LEFT($B152,4)="_Mil","",_xlfn.IFNA(ROUND(INDEX(Spectrum!$N:$N,MATCH(RIGHT($B152,13)&amp;"|"&amp;$C152&amp;"|"&amp;$D152&amp;"|"&amp;P$14&amp;"|"&amp;"CY2024Q3",Spectrum!$R:$R,0)),0),""))</f>
        <v>410</v>
      </c>
      <c r="Q152" s="218">
        <f>IF(LEFT($B152,4)="_Mil","",_xlfn.IFNA(ROUND(INDEX(Spectrum!$N:$N,MATCH(RIGHT($B152,13)&amp;"|"&amp;$C152&amp;"|"&amp;$D152&amp;"|"&amp;Q$14&amp;"|"&amp;"CY2024Q3",Spectrum!$R:$R,0)),0),""))</f>
        <v>116</v>
      </c>
      <c r="R152" s="38">
        <v>14662</v>
      </c>
      <c r="S152" s="33">
        <v>0</v>
      </c>
      <c r="T152" s="218">
        <f t="shared" si="113"/>
        <v>14662</v>
      </c>
      <c r="U152" s="33">
        <f t="shared" si="114"/>
        <v>1</v>
      </c>
      <c r="V152" s="218">
        <f t="shared" si="115"/>
        <v>14662</v>
      </c>
      <c r="W152" s="33">
        <v>7.2999999999999995E-2</v>
      </c>
      <c r="X152" s="33">
        <f t="shared" si="116"/>
        <v>7.2999999999999995E-2</v>
      </c>
      <c r="Y152" s="231">
        <v>1.7999999999999999E-2</v>
      </c>
      <c r="Z152" s="33">
        <f t="shared" si="117"/>
        <v>1.7999999999999999E-2</v>
      </c>
      <c r="AA152" s="38">
        <f t="shared" si="118"/>
        <v>14662</v>
      </c>
      <c r="AB152" s="218">
        <f t="shared" si="119"/>
        <v>1070</v>
      </c>
      <c r="AC152" s="218">
        <f t="shared" si="120"/>
        <v>245</v>
      </c>
      <c r="AD152" s="218">
        <f t="shared" si="121"/>
        <v>13347</v>
      </c>
      <c r="AE152" s="38">
        <f t="shared" si="122"/>
        <v>14662</v>
      </c>
      <c r="AF152" s="218">
        <f t="shared" si="123"/>
        <v>1070</v>
      </c>
      <c r="AG152" s="218">
        <f t="shared" si="124"/>
        <v>245</v>
      </c>
      <c r="AH152" s="218">
        <f t="shared" si="125"/>
        <v>13347</v>
      </c>
      <c r="AI152" s="33">
        <f>IF(SUM($AC152)=0,"",INDEX(Cascade!$BG:$BG,MATCH($E152,Cascade!$E:$E,0)))</f>
        <v>0.95</v>
      </c>
      <c r="AJ152" s="218">
        <f t="shared" si="126"/>
        <v>1070</v>
      </c>
      <c r="AK152" s="218">
        <f t="shared" si="127"/>
        <v>233</v>
      </c>
      <c r="AL152" s="218">
        <f t="shared" si="128"/>
        <v>1315</v>
      </c>
      <c r="AM152" s="218">
        <f t="shared" si="129"/>
        <v>1070</v>
      </c>
      <c r="AN152" s="218">
        <f t="shared" si="130"/>
        <v>233</v>
      </c>
      <c r="AO152" s="38">
        <f t="shared" si="131"/>
        <v>13347</v>
      </c>
      <c r="AP152" s="232">
        <v>7.0000000000000001E-3</v>
      </c>
      <c r="AQ152" s="33">
        <f t="shared" si="132"/>
        <v>7.0000000000000001E-3</v>
      </c>
      <c r="AR152" s="33">
        <f>IF(SUM($AO152)=0,"",INDEX(Cascade!$BG:$BG,MATCH($E152,Cascade!$E:$E,0)))</f>
        <v>0.95</v>
      </c>
      <c r="AS152" s="218">
        <f t="shared" si="133"/>
        <v>93</v>
      </c>
      <c r="AT152" s="218">
        <f t="shared" si="134"/>
        <v>13254</v>
      </c>
      <c r="AU152" s="38">
        <f t="shared" si="135"/>
        <v>88</v>
      </c>
      <c r="AV152" s="38">
        <f t="shared" si="136"/>
        <v>1408</v>
      </c>
      <c r="AW152" s="38">
        <f>IFERROR(1/(1/INDEX(Cascade!$BH:$BH,MATCH($E152,Cascade!$E:$E,0))),"")</f>
        <v>920</v>
      </c>
      <c r="AX152" s="38">
        <f t="shared" si="137"/>
        <v>245</v>
      </c>
      <c r="AY152" s="38">
        <f t="shared" si="138"/>
        <v>93</v>
      </c>
      <c r="AZ152" s="38">
        <f>IFERROR(1/(1/INDEX(TB!$P:$P,MATCH($E152,TB!$E:$E,0))),"")</f>
        <v>2</v>
      </c>
      <c r="BA152" s="38">
        <f t="shared" si="139"/>
        <v>580</v>
      </c>
    </row>
    <row r="153" spans="1:53" x14ac:dyDescent="0.2">
      <c r="A153" t="str">
        <f>INDEX(Prioritization!$D:$D,MATCH($B153,Prioritization!$A:$A,0))</f>
        <v>INVALID</v>
      </c>
      <c r="B153" t="s">
        <v>324</v>
      </c>
      <c r="C153" t="s">
        <v>477</v>
      </c>
      <c r="D153" t="s">
        <v>30</v>
      </c>
      <c r="E153" t="str">
        <f t="shared" si="112"/>
        <v>Thyolo District [ul0y9diGujK]|35-49|Female</v>
      </c>
      <c r="F153" s="38">
        <f>IF(LEFT($B153,4)="_Mil","",INDEX(Cascade!$T:$T,MATCH($E153,Cascade!$E:$E,0)))</f>
        <v>71748</v>
      </c>
      <c r="G153" s="38">
        <f>IF(LEFT($B153,4)="_Mil","",INDEX(Cascade!$U:$U,MATCH($E153,Cascade!$E:$E,0)))</f>
        <v>21434</v>
      </c>
      <c r="H153" s="110">
        <f>IF(LEFT($B153,4)="_Mil","",INDEX(Cascade!$W:$W,MATCH($E153,Cascade!$E:$E,0)))</f>
        <v>0.29874725000000002</v>
      </c>
      <c r="I153" s="38">
        <f>IF(LEFT($B153,4)="_Mil","",INDEX(Cascade!$Z:$Z,MATCH($E153,Cascade!$E:$E,0)))</f>
        <v>18807</v>
      </c>
      <c r="J153" s="33">
        <f>IF(LEFT($B153,4)="_Mil","",INDEX(Cascade!$AA:$AA,MATCH($E153,Cascade!$E:$E,0)))</f>
        <v>0.98503778099999995</v>
      </c>
      <c r="K153" s="218">
        <f>IF(LEFT($B153,4)="_Mil","",_xlfn.IFNA(ROUND(INDEX(Spectrum!$N:$N,MATCH(RIGHT($B153,13)&amp;"|"&amp;$C153&amp;"|"&amp;$D153&amp;"|"&amp;K$14&amp;"|"&amp;"CY2024Q3",Spectrum!$R:$R,0)),0),""))</f>
        <v>2410</v>
      </c>
      <c r="L153" s="218">
        <f>IF(LEFT($B153,4)="_Mil","",_xlfn.IFNA(ROUND(INDEX(Spectrum!$N:$N,MATCH(RIGHT($B153,13)&amp;"|"&amp;$C153&amp;"|"&amp;$D153&amp;"|"&amp;L$14&amp;"|"&amp;"CY2024Q3",Spectrum!$R:$R,0)),0),""))</f>
        <v>347</v>
      </c>
      <c r="M153" s="218">
        <f>IF(LEFT($B153,4)="_Mil","",_xlfn.IFNA(ROUND(INDEX(Spectrum!$N:$N,MATCH(RIGHT($B153,13)&amp;"|"&amp;$C153&amp;"|"&amp;$D153&amp;"|"&amp;M$14&amp;"|"&amp;"CY2024Q3",Spectrum!$R:$R,0)),0),""))</f>
        <v>33</v>
      </c>
      <c r="N153" s="218">
        <f>IF(LEFT($B153,4)="_Mil","",_xlfn.IFNA(ROUND(INDEX(Spectrum!$N:$N,MATCH(RIGHT($B153,13)&amp;"|"&amp;$C153&amp;"|"&amp;$D153&amp;"|"&amp;N$14&amp;"|"&amp;"CY2024Q3",Spectrum!$R:$R,0)),0),""))</f>
        <v>2030</v>
      </c>
      <c r="O153" s="218">
        <f>IF(LEFT($B153,4)="_Mil","",_xlfn.IFNA(ROUND(INDEX(Spectrum!$N:$N,MATCH(RIGHT($B153,13)&amp;"|"&amp;$C153&amp;"|"&amp;$D153&amp;"|"&amp;O$14&amp;"|"&amp;"CY2024Q3",Spectrum!$R:$R,0)),0),""))</f>
        <v>380</v>
      </c>
      <c r="P153" s="218">
        <f>IF(LEFT($B153,4)="_Mil","",_xlfn.IFNA(ROUND(INDEX(Spectrum!$N:$N,MATCH(RIGHT($B153,13)&amp;"|"&amp;$C153&amp;"|"&amp;$D153&amp;"|"&amp;P$14&amp;"|"&amp;"CY2024Q3",Spectrum!$R:$R,0)),0),""))</f>
        <v>347</v>
      </c>
      <c r="Q153" s="218">
        <f>IF(LEFT($B153,4)="_Mil","",_xlfn.IFNA(ROUND(INDEX(Spectrum!$N:$N,MATCH(RIGHT($B153,13)&amp;"|"&amp;$C153&amp;"|"&amp;$D153&amp;"|"&amp;Q$14&amp;"|"&amp;"CY2024Q3",Spectrum!$R:$R,0)),0),""))</f>
        <v>33</v>
      </c>
      <c r="R153" s="38">
        <v>918</v>
      </c>
      <c r="S153" s="33">
        <v>0</v>
      </c>
      <c r="T153" s="218">
        <f t="shared" si="113"/>
        <v>918</v>
      </c>
      <c r="U153" s="33">
        <f t="shared" si="114"/>
        <v>0.3809128630705394</v>
      </c>
      <c r="V153" s="218">
        <f t="shared" si="115"/>
        <v>2410</v>
      </c>
      <c r="W153" s="33">
        <v>0.14699999999999999</v>
      </c>
      <c r="X153" s="33">
        <f t="shared" si="116"/>
        <v>0.14699999999999999</v>
      </c>
      <c r="Y153" s="231">
        <v>1.7999999999999999E-2</v>
      </c>
      <c r="Z153" s="33">
        <f t="shared" si="117"/>
        <v>1.5996122152205527E-2</v>
      </c>
      <c r="AA153" s="38">
        <f t="shared" si="118"/>
        <v>918</v>
      </c>
      <c r="AB153" s="218">
        <f t="shared" si="119"/>
        <v>135</v>
      </c>
      <c r="AC153" s="218">
        <f t="shared" si="120"/>
        <v>13</v>
      </c>
      <c r="AD153" s="218">
        <f t="shared" si="121"/>
        <v>770</v>
      </c>
      <c r="AE153" s="38">
        <f t="shared" si="122"/>
        <v>2410</v>
      </c>
      <c r="AF153" s="218">
        <f t="shared" si="123"/>
        <v>354</v>
      </c>
      <c r="AG153" s="218">
        <f t="shared" si="124"/>
        <v>33</v>
      </c>
      <c r="AH153" s="218">
        <f t="shared" si="125"/>
        <v>2023</v>
      </c>
      <c r="AI153" s="33">
        <f>IF(SUM($AC153)=0,"",INDEX(Cascade!$BG:$BG,MATCH($E153,Cascade!$E:$E,0)))</f>
        <v>0.95</v>
      </c>
      <c r="AJ153" s="218">
        <f t="shared" si="126"/>
        <v>135</v>
      </c>
      <c r="AK153" s="218">
        <f t="shared" si="127"/>
        <v>12</v>
      </c>
      <c r="AL153" s="218">
        <f t="shared" si="128"/>
        <v>387</v>
      </c>
      <c r="AM153" s="218">
        <f t="shared" si="129"/>
        <v>354</v>
      </c>
      <c r="AN153" s="218">
        <f t="shared" si="130"/>
        <v>31</v>
      </c>
      <c r="AO153" s="38">
        <f t="shared" si="131"/>
        <v>770</v>
      </c>
      <c r="AP153" s="232">
        <v>8.9999999999999993E-3</v>
      </c>
      <c r="AQ153" s="33">
        <f t="shared" si="132"/>
        <v>8.9999999999999993E-3</v>
      </c>
      <c r="AR153" s="33">
        <f>IF(SUM($AO153)=0,"",INDEX(Cascade!$BG:$BG,MATCH($E153,Cascade!$E:$E,0)))</f>
        <v>0.95</v>
      </c>
      <c r="AS153" s="218">
        <f t="shared" si="133"/>
        <v>7</v>
      </c>
      <c r="AT153" s="218">
        <f t="shared" si="134"/>
        <v>763</v>
      </c>
      <c r="AU153" s="38">
        <f t="shared" si="135"/>
        <v>7</v>
      </c>
      <c r="AV153" s="38">
        <f t="shared" si="136"/>
        <v>155</v>
      </c>
      <c r="AW153" s="38">
        <f>IFERROR(1/(1/INDEX(Cascade!$BH:$BH,MATCH($E153,Cascade!$E:$E,0))),"")</f>
        <v>314</v>
      </c>
      <c r="AX153" s="38">
        <f t="shared" si="137"/>
        <v>13</v>
      </c>
      <c r="AY153" s="38">
        <f t="shared" si="138"/>
        <v>7</v>
      </c>
      <c r="AZ153" s="38">
        <f>IFERROR(1/(1/INDEX(TB!$P:$P,MATCH($E153,TB!$E:$E,0))),"")</f>
        <v>3</v>
      </c>
      <c r="BA153" s="38">
        <f t="shared" si="139"/>
        <v>291</v>
      </c>
    </row>
    <row r="154" spans="1:53" x14ac:dyDescent="0.2">
      <c r="A154" t="str">
        <f>INDEX(Prioritization!$D:$D,MATCH($B154,Prioritization!$A:$A,0))</f>
        <v>INVALID</v>
      </c>
      <c r="B154" t="s">
        <v>324</v>
      </c>
      <c r="C154" t="s">
        <v>478</v>
      </c>
      <c r="D154" t="s">
        <v>30</v>
      </c>
      <c r="E154" t="str">
        <f t="shared" si="112"/>
        <v>Thyolo District [ul0y9diGujK]|50+|Female</v>
      </c>
      <c r="F154" s="38">
        <f>IF(LEFT($B154,4)="_Mil","",INDEX(Cascade!$T:$T,MATCH($E154,Cascade!$E:$E,0)))</f>
        <v>43595</v>
      </c>
      <c r="G154" s="38">
        <f>IF(LEFT($B154,4)="_Mil","",INDEX(Cascade!$U:$U,MATCH($E154,Cascade!$E:$E,0)))</f>
        <v>10801</v>
      </c>
      <c r="H154" s="110">
        <f>IF(LEFT($B154,4)="_Mil","",INDEX(Cascade!$W:$W,MATCH($E154,Cascade!$E:$E,0)))</f>
        <v>0.247746414</v>
      </c>
      <c r="I154" s="38">
        <f>IF(LEFT($B154,4)="_Mil","",INDEX(Cascade!$Z:$Z,MATCH($E154,Cascade!$E:$E,0)))</f>
        <v>9541</v>
      </c>
      <c r="J154" s="33">
        <f>IF(LEFT($B154,4)="_Mil","",INDEX(Cascade!$AA:$AA,MATCH($E154,Cascade!$E:$E,0)))</f>
        <v>0.98972613899999995</v>
      </c>
      <c r="K154" s="218" t="str">
        <f>IF(LEFT($B154,4)="_Mil","",_xlfn.IFNA(ROUND(INDEX(Spectrum!$N:$N,MATCH(RIGHT($B154,13)&amp;"|"&amp;$C154&amp;"|"&amp;$D154&amp;"|"&amp;K$14&amp;"|"&amp;"CY2024Q3",Spectrum!$R:$R,0)),0),""))</f>
        <v/>
      </c>
      <c r="L154" s="218" t="str">
        <f>IF(LEFT($B154,4)="_Mil","",_xlfn.IFNA(ROUND(INDEX(Spectrum!$N:$N,MATCH(RIGHT($B154,13)&amp;"|"&amp;$C154&amp;"|"&amp;$D154&amp;"|"&amp;L$14&amp;"|"&amp;"CY2024Q3",Spectrum!$R:$R,0)),0),""))</f>
        <v/>
      </c>
      <c r="M154" s="218" t="str">
        <f>IF(LEFT($B154,4)="_Mil","",_xlfn.IFNA(ROUND(INDEX(Spectrum!$N:$N,MATCH(RIGHT($B154,13)&amp;"|"&amp;$C154&amp;"|"&amp;$D154&amp;"|"&amp;M$14&amp;"|"&amp;"CY2024Q3",Spectrum!$R:$R,0)),0),""))</f>
        <v/>
      </c>
      <c r="N154" s="218" t="str">
        <f>IF(LEFT($B154,4)="_Mil","",_xlfn.IFNA(ROUND(INDEX(Spectrum!$N:$N,MATCH(RIGHT($B154,13)&amp;"|"&amp;$C154&amp;"|"&amp;$D154&amp;"|"&amp;N$14&amp;"|"&amp;"CY2024Q3",Spectrum!$R:$R,0)),0),""))</f>
        <v/>
      </c>
      <c r="O154" s="218" t="str">
        <f>IF(LEFT($B154,4)="_Mil","",_xlfn.IFNA(ROUND(INDEX(Spectrum!$N:$N,MATCH(RIGHT($B154,13)&amp;"|"&amp;$C154&amp;"|"&amp;$D154&amp;"|"&amp;O$14&amp;"|"&amp;"CY2024Q3",Spectrum!$R:$R,0)),0),""))</f>
        <v/>
      </c>
      <c r="P154" s="218" t="str">
        <f>IF(LEFT($B154,4)="_Mil","",_xlfn.IFNA(ROUND(INDEX(Spectrum!$N:$N,MATCH(RIGHT($B154,13)&amp;"|"&amp;$C154&amp;"|"&amp;$D154&amp;"|"&amp;P$14&amp;"|"&amp;"CY2024Q3",Spectrum!$R:$R,0)),0),""))</f>
        <v/>
      </c>
      <c r="Q154" s="218" t="str">
        <f>IF(LEFT($B154,4)="_Mil","",_xlfn.IFNA(ROUND(INDEX(Spectrum!$N:$N,MATCH(RIGHT($B154,13)&amp;"|"&amp;$C154&amp;"|"&amp;$D154&amp;"|"&amp;Q$14&amp;"|"&amp;"CY2024Q3",Spectrum!$R:$R,0)),0),""))</f>
        <v/>
      </c>
      <c r="R154" s="38">
        <v>12</v>
      </c>
      <c r="S154" s="33">
        <v>0</v>
      </c>
      <c r="T154" s="218">
        <f t="shared" si="113"/>
        <v>12</v>
      </c>
      <c r="U154" s="33">
        <f t="shared" si="114"/>
        <v>1</v>
      </c>
      <c r="V154" s="218">
        <f t="shared" si="115"/>
        <v>12</v>
      </c>
      <c r="W154" s="33">
        <v>7.6999999999999999E-2</v>
      </c>
      <c r="X154" s="33">
        <f t="shared" si="116"/>
        <v>7.6999999999999999E-2</v>
      </c>
      <c r="Y154" s="231">
        <v>1.4E-2</v>
      </c>
      <c r="Z154" s="33">
        <f t="shared" si="117"/>
        <v>1.4E-2</v>
      </c>
      <c r="AA154" s="38">
        <f t="shared" si="118"/>
        <v>12</v>
      </c>
      <c r="AB154" s="218">
        <f t="shared" si="119"/>
        <v>1</v>
      </c>
      <c r="AC154" s="218">
        <f t="shared" si="120"/>
        <v>0</v>
      </c>
      <c r="AD154" s="218">
        <f t="shared" si="121"/>
        <v>11</v>
      </c>
      <c r="AE154" s="38">
        <f t="shared" si="122"/>
        <v>12</v>
      </c>
      <c r="AF154" s="218">
        <f t="shared" si="123"/>
        <v>1</v>
      </c>
      <c r="AG154" s="218">
        <f t="shared" si="124"/>
        <v>0</v>
      </c>
      <c r="AH154" s="218">
        <f t="shared" si="125"/>
        <v>11</v>
      </c>
      <c r="AI154" s="33" t="str">
        <f>IF(SUM($AC154)=0,"",INDEX(Cascade!$BG:$BG,MATCH($E154,Cascade!$E:$E,0)))</f>
        <v/>
      </c>
      <c r="AJ154" s="218">
        <f t="shared" si="126"/>
        <v>1</v>
      </c>
      <c r="AK154" s="218" t="str">
        <f t="shared" si="127"/>
        <v/>
      </c>
      <c r="AL154" s="218">
        <f t="shared" si="128"/>
        <v>1</v>
      </c>
      <c r="AM154" s="218">
        <f t="shared" si="129"/>
        <v>1</v>
      </c>
      <c r="AN154" s="218" t="str">
        <f t="shared" si="130"/>
        <v/>
      </c>
      <c r="AO154" s="38">
        <f t="shared" si="131"/>
        <v>11</v>
      </c>
      <c r="AP154" s="232">
        <v>6.0000000000000001E-3</v>
      </c>
      <c r="AQ154" s="33">
        <f t="shared" si="132"/>
        <v>6.0000000000000001E-3</v>
      </c>
      <c r="AR154" s="33">
        <f>IF(SUM($AO154)=0,"",INDEX(Cascade!$BG:$BG,MATCH($E154,Cascade!$E:$E,0)))</f>
        <v>0.95</v>
      </c>
      <c r="AS154" s="218">
        <f t="shared" si="133"/>
        <v>0</v>
      </c>
      <c r="AT154" s="218">
        <f t="shared" si="134"/>
        <v>11</v>
      </c>
      <c r="AU154" s="38" t="str">
        <f t="shared" si="135"/>
        <v/>
      </c>
      <c r="AV154" s="38">
        <f t="shared" si="136"/>
        <v>1</v>
      </c>
      <c r="AW154" s="38">
        <f>IFERROR(1/(1/INDEX(Cascade!$BH:$BH,MATCH($E154,Cascade!$E:$E,0))),"")</f>
        <v>377</v>
      </c>
      <c r="AX154" s="38" t="str">
        <f t="shared" si="137"/>
        <v/>
      </c>
      <c r="AY154" s="38" t="str">
        <f t="shared" si="138"/>
        <v/>
      </c>
      <c r="AZ154" s="38">
        <f>IFERROR(1/(1/INDEX(TB!$P:$P,MATCH($E154,TB!$E:$E,0))),"")</f>
        <v>1</v>
      </c>
      <c r="BA154" s="38">
        <f t="shared" si="139"/>
        <v>376</v>
      </c>
    </row>
    <row r="155" spans="1:53" x14ac:dyDescent="0.2">
      <c r="A155" t="str">
        <f>INDEX(Prioritization!$D:$D,MATCH($B155,Prioritization!$A:$A,0))</f>
        <v>1 - Scale-up: Saturation</v>
      </c>
      <c r="B155" t="s">
        <v>325</v>
      </c>
      <c r="C155" t="s">
        <v>474</v>
      </c>
      <c r="D155" t="s">
        <v>30</v>
      </c>
      <c r="E155" t="str">
        <f t="shared" si="112"/>
        <v>Zomba District [fyEoGEPERdI]|10-14|Female</v>
      </c>
      <c r="F155" s="38">
        <f>IF(LEFT($B155,4)="_Mil","",INDEX(Cascade!$T:$T,MATCH($E155,Cascade!$E:$E,0)))</f>
        <v>67070</v>
      </c>
      <c r="G155" s="38">
        <f>IF(LEFT($B155,4)="_Mil","",INDEX(Cascade!$U:$U,MATCH($E155,Cascade!$E:$E,0)))</f>
        <v>890</v>
      </c>
      <c r="H155" s="110">
        <f>IF(LEFT($B155,4)="_Mil","",INDEX(Cascade!$W:$W,MATCH($E155,Cascade!$E:$E,0)))</f>
        <v>1.3273541999999999E-2</v>
      </c>
      <c r="I155" s="38">
        <f>IF(LEFT($B155,4)="_Mil","",INDEX(Cascade!$Z:$Z,MATCH($E155,Cascade!$E:$E,0)))</f>
        <v>673</v>
      </c>
      <c r="J155" s="33">
        <f>IF(LEFT($B155,4)="_Mil","",INDEX(Cascade!$AA:$AA,MATCH($E155,Cascade!$E:$E,0)))</f>
        <v>0.75721107200000004</v>
      </c>
      <c r="K155" s="218" t="str">
        <f>IF(LEFT($B155,4)="_Mil","",_xlfn.IFNA(ROUND(INDEX(Spectrum!$N:$N,MATCH(RIGHT($B155,13)&amp;"|"&amp;$C155&amp;"|"&amp;$D155&amp;"|"&amp;K$14&amp;"|"&amp;"CY2024Q3",Spectrum!$R:$R,0)),0),""))</f>
        <v/>
      </c>
      <c r="L155" s="218" t="str">
        <f>IF(LEFT($B155,4)="_Mil","",_xlfn.IFNA(ROUND(INDEX(Spectrum!$N:$N,MATCH(RIGHT($B155,13)&amp;"|"&amp;$C155&amp;"|"&amp;$D155&amp;"|"&amp;L$14&amp;"|"&amp;"CY2024Q3",Spectrum!$R:$R,0)),0),""))</f>
        <v/>
      </c>
      <c r="M155" s="218" t="str">
        <f>IF(LEFT($B155,4)="_Mil","",_xlfn.IFNA(ROUND(INDEX(Spectrum!$N:$N,MATCH(RIGHT($B155,13)&amp;"|"&amp;$C155&amp;"|"&amp;$D155&amp;"|"&amp;M$14&amp;"|"&amp;"CY2024Q3",Spectrum!$R:$R,0)),0),""))</f>
        <v/>
      </c>
      <c r="N155" s="218" t="str">
        <f>IF(LEFT($B155,4)="_Mil","",_xlfn.IFNA(ROUND(INDEX(Spectrum!$N:$N,MATCH(RIGHT($B155,13)&amp;"|"&amp;$C155&amp;"|"&amp;$D155&amp;"|"&amp;N$14&amp;"|"&amp;"CY2024Q3",Spectrum!$R:$R,0)),0),""))</f>
        <v/>
      </c>
      <c r="O155" s="218" t="str">
        <f>IF(LEFT($B155,4)="_Mil","",_xlfn.IFNA(ROUND(INDEX(Spectrum!$N:$N,MATCH(RIGHT($B155,13)&amp;"|"&amp;$C155&amp;"|"&amp;$D155&amp;"|"&amp;O$14&amp;"|"&amp;"CY2024Q3",Spectrum!$R:$R,0)),0),""))</f>
        <v/>
      </c>
      <c r="P155" s="218" t="str">
        <f>IF(LEFT($B155,4)="_Mil","",_xlfn.IFNA(ROUND(INDEX(Spectrum!$N:$N,MATCH(RIGHT($B155,13)&amp;"|"&amp;$C155&amp;"|"&amp;$D155&amp;"|"&amp;P$14&amp;"|"&amp;"CY2024Q3",Spectrum!$R:$R,0)),0),""))</f>
        <v/>
      </c>
      <c r="Q155" s="218" t="str">
        <f>IF(LEFT($B155,4)="_Mil","",_xlfn.IFNA(ROUND(INDEX(Spectrum!$N:$N,MATCH(RIGHT($B155,13)&amp;"|"&amp;$C155&amp;"|"&amp;$D155&amp;"|"&amp;Q$14&amp;"|"&amp;"CY2024Q3",Spectrum!$R:$R,0)),0),""))</f>
        <v/>
      </c>
      <c r="R155" s="38">
        <v>101</v>
      </c>
      <c r="S155" s="33">
        <v>0</v>
      </c>
      <c r="T155" s="218">
        <f t="shared" si="113"/>
        <v>101</v>
      </c>
      <c r="U155" s="33">
        <f t="shared" si="114"/>
        <v>1</v>
      </c>
      <c r="V155" s="218">
        <f t="shared" si="115"/>
        <v>101</v>
      </c>
      <c r="W155" s="33">
        <v>1.2999999999999999E-2</v>
      </c>
      <c r="X155" s="33">
        <f t="shared" si="116"/>
        <v>1.2999999999999999E-2</v>
      </c>
      <c r="Y155" s="231">
        <v>8.0000000000000002E-3</v>
      </c>
      <c r="Z155" s="33">
        <f t="shared" si="117"/>
        <v>8.0000000000000002E-3</v>
      </c>
      <c r="AA155" s="38">
        <f t="shared" si="118"/>
        <v>101</v>
      </c>
      <c r="AB155" s="218">
        <f t="shared" si="119"/>
        <v>1</v>
      </c>
      <c r="AC155" s="218">
        <f t="shared" si="120"/>
        <v>1</v>
      </c>
      <c r="AD155" s="218">
        <f t="shared" si="121"/>
        <v>99</v>
      </c>
      <c r="AE155" s="38">
        <f t="shared" si="122"/>
        <v>101</v>
      </c>
      <c r="AF155" s="218">
        <f t="shared" si="123"/>
        <v>1</v>
      </c>
      <c r="AG155" s="218">
        <f t="shared" si="124"/>
        <v>1</v>
      </c>
      <c r="AH155" s="218">
        <f t="shared" si="125"/>
        <v>99</v>
      </c>
      <c r="AI155" s="33">
        <f>IF(SUM($AC155)=0,"",INDEX(Cascade!$BG:$BG,MATCH($E155,Cascade!$E:$E,0)))</f>
        <v>0.95</v>
      </c>
      <c r="AJ155" s="218">
        <f t="shared" si="126"/>
        <v>1</v>
      </c>
      <c r="AK155" s="218">
        <f t="shared" si="127"/>
        <v>1</v>
      </c>
      <c r="AL155" s="218">
        <f t="shared" si="128"/>
        <v>2</v>
      </c>
      <c r="AM155" s="218">
        <f t="shared" si="129"/>
        <v>1</v>
      </c>
      <c r="AN155" s="218">
        <f t="shared" si="130"/>
        <v>1</v>
      </c>
      <c r="AO155" s="38">
        <f t="shared" si="131"/>
        <v>98.999999999999986</v>
      </c>
      <c r="AP155" s="232">
        <v>4.0000000000000001E-3</v>
      </c>
      <c r="AQ155" s="33">
        <f t="shared" si="132"/>
        <v>4.0000000000000001E-3</v>
      </c>
      <c r="AR155" s="33">
        <f>IF(SUM($AO155)=0,"",INDEX(Cascade!$BG:$BG,MATCH($E155,Cascade!$E:$E,0)))</f>
        <v>0.95</v>
      </c>
      <c r="AS155" s="218">
        <f t="shared" si="133"/>
        <v>0</v>
      </c>
      <c r="AT155" s="218">
        <f t="shared" si="134"/>
        <v>98.999999999999986</v>
      </c>
      <c r="AU155" s="38" t="str">
        <f t="shared" si="135"/>
        <v/>
      </c>
      <c r="AV155" s="38">
        <f t="shared" si="136"/>
        <v>2</v>
      </c>
      <c r="AW155" s="38">
        <f>IFERROR(1/(1/INDEX(Cascade!$BH:$BH,MATCH($E155,Cascade!$E:$E,0))),"")</f>
        <v>20</v>
      </c>
      <c r="AX155" s="38">
        <f t="shared" si="137"/>
        <v>1</v>
      </c>
      <c r="AY155" s="38" t="str">
        <f t="shared" si="138"/>
        <v/>
      </c>
      <c r="AZ155" s="38" t="str">
        <f>IFERROR(1/(1/INDEX(TB!$P:$P,MATCH($E155,TB!$E:$E,0))),"")</f>
        <v/>
      </c>
      <c r="BA155" s="38">
        <f t="shared" si="139"/>
        <v>19</v>
      </c>
    </row>
    <row r="156" spans="1:53" x14ac:dyDescent="0.2">
      <c r="A156" t="str">
        <f>INDEX(Prioritization!$D:$D,MATCH($B156,Prioritization!$A:$A,0))</f>
        <v>1 - Scale-up: Saturation</v>
      </c>
      <c r="B156" t="s">
        <v>325</v>
      </c>
      <c r="C156" t="s">
        <v>475</v>
      </c>
      <c r="D156" t="s">
        <v>30</v>
      </c>
      <c r="E156" t="str">
        <f t="shared" si="112"/>
        <v>Zomba District [fyEoGEPERdI]|15-24|Female</v>
      </c>
      <c r="F156" s="38">
        <f>IF(LEFT($B156,4)="_Mil","",INDEX(Cascade!$T:$T,MATCH($E156,Cascade!$E:$E,0)))</f>
        <v>114375</v>
      </c>
      <c r="G156" s="38">
        <f>IF(LEFT($B156,4)="_Mil","",INDEX(Cascade!$U:$U,MATCH($E156,Cascade!$E:$E,0)))</f>
        <v>3471</v>
      </c>
      <c r="H156" s="110">
        <f>IF(LEFT($B156,4)="_Mil","",INDEX(Cascade!$W:$W,MATCH($E156,Cascade!$E:$E,0)))</f>
        <v>3.0345459000000002E-2</v>
      </c>
      <c r="I156" s="38">
        <f>IF(LEFT($B156,4)="_Mil","",INDEX(Cascade!$Z:$Z,MATCH($E156,Cascade!$E:$E,0)))</f>
        <v>3253</v>
      </c>
      <c r="J156" s="33">
        <f>IF(LEFT($B156,4)="_Mil","",INDEX(Cascade!$AA:$AA,MATCH($E156,Cascade!$E:$E,0)))</f>
        <v>0.94401551399999983</v>
      </c>
      <c r="K156" s="218">
        <f>IF(LEFT($B156,4)="_Mil","",_xlfn.IFNA(ROUND(INDEX(Spectrum!$N:$N,MATCH(RIGHT($B156,13)&amp;"|"&amp;$C156&amp;"|"&amp;$D156&amp;"|"&amp;K$14&amp;"|"&amp;"CY2024Q3",Spectrum!$R:$R,0)),0),""))</f>
        <v>14276</v>
      </c>
      <c r="L156" s="218">
        <f>IF(LEFT($B156,4)="_Mil","",_xlfn.IFNA(ROUND(INDEX(Spectrum!$N:$N,MATCH(RIGHT($B156,13)&amp;"|"&amp;$C156&amp;"|"&amp;$D156&amp;"|"&amp;L$14&amp;"|"&amp;"CY2024Q3",Spectrum!$R:$R,0)),0),""))</f>
        <v>332</v>
      </c>
      <c r="M156" s="218">
        <f>IF(LEFT($B156,4)="_Mil","",_xlfn.IFNA(ROUND(INDEX(Spectrum!$N:$N,MATCH(RIGHT($B156,13)&amp;"|"&amp;$C156&amp;"|"&amp;$D156&amp;"|"&amp;M$14&amp;"|"&amp;"CY2024Q3",Spectrum!$R:$R,0)),0),""))</f>
        <v>129</v>
      </c>
      <c r="N156" s="218">
        <f>IF(LEFT($B156,4)="_Mil","",_xlfn.IFNA(ROUND(INDEX(Spectrum!$N:$N,MATCH(RIGHT($B156,13)&amp;"|"&amp;$C156&amp;"|"&amp;$D156&amp;"|"&amp;N$14&amp;"|"&amp;"CY2024Q3",Spectrum!$R:$R,0)),0),""))</f>
        <v>13815</v>
      </c>
      <c r="O156" s="218">
        <f>IF(LEFT($B156,4)="_Mil","",_xlfn.IFNA(ROUND(INDEX(Spectrum!$N:$N,MATCH(RIGHT($B156,13)&amp;"|"&amp;$C156&amp;"|"&amp;$D156&amp;"|"&amp;O$14&amp;"|"&amp;"CY2024Q3",Spectrum!$R:$R,0)),0),""))</f>
        <v>461</v>
      </c>
      <c r="P156" s="218">
        <f>IF(LEFT($B156,4)="_Mil","",_xlfn.IFNA(ROUND(INDEX(Spectrum!$N:$N,MATCH(RIGHT($B156,13)&amp;"|"&amp;$C156&amp;"|"&amp;$D156&amp;"|"&amp;P$14&amp;"|"&amp;"CY2024Q3",Spectrum!$R:$R,0)),0),""))</f>
        <v>332</v>
      </c>
      <c r="Q156" s="218">
        <f>IF(LEFT($B156,4)="_Mil","",_xlfn.IFNA(ROUND(INDEX(Spectrum!$N:$N,MATCH(RIGHT($B156,13)&amp;"|"&amp;$C156&amp;"|"&amp;$D156&amp;"|"&amp;Q$14&amp;"|"&amp;"CY2024Q3",Spectrum!$R:$R,0)),0),""))</f>
        <v>129</v>
      </c>
      <c r="R156" s="38">
        <v>23960</v>
      </c>
      <c r="S156" s="33">
        <v>0</v>
      </c>
      <c r="T156" s="218">
        <f t="shared" si="113"/>
        <v>23960</v>
      </c>
      <c r="U156" s="33">
        <f t="shared" si="114"/>
        <v>1</v>
      </c>
      <c r="V156" s="218">
        <f t="shared" si="115"/>
        <v>23960</v>
      </c>
      <c r="W156" s="33">
        <v>2.4E-2</v>
      </c>
      <c r="X156" s="33">
        <f t="shared" si="116"/>
        <v>2.4E-2</v>
      </c>
      <c r="Y156" s="231">
        <v>8.9999999999999993E-3</v>
      </c>
      <c r="Z156" s="33">
        <f t="shared" si="117"/>
        <v>8.9999999999999993E-3</v>
      </c>
      <c r="AA156" s="38">
        <f t="shared" si="118"/>
        <v>23960</v>
      </c>
      <c r="AB156" s="218">
        <f t="shared" si="119"/>
        <v>575</v>
      </c>
      <c r="AC156" s="218">
        <f t="shared" si="120"/>
        <v>210</v>
      </c>
      <c r="AD156" s="218">
        <f t="shared" si="121"/>
        <v>23175</v>
      </c>
      <c r="AE156" s="38">
        <f t="shared" si="122"/>
        <v>23960</v>
      </c>
      <c r="AF156" s="218">
        <f t="shared" si="123"/>
        <v>575</v>
      </c>
      <c r="AG156" s="218">
        <f t="shared" si="124"/>
        <v>210</v>
      </c>
      <c r="AH156" s="218">
        <f t="shared" si="125"/>
        <v>23175</v>
      </c>
      <c r="AI156" s="33">
        <f>IF(SUM($AC156)=0,"",INDEX(Cascade!$BG:$BG,MATCH($E156,Cascade!$E:$E,0)))</f>
        <v>0.95</v>
      </c>
      <c r="AJ156" s="218">
        <f t="shared" si="126"/>
        <v>575</v>
      </c>
      <c r="AK156" s="218">
        <f t="shared" si="127"/>
        <v>200</v>
      </c>
      <c r="AL156" s="218">
        <f t="shared" si="128"/>
        <v>785</v>
      </c>
      <c r="AM156" s="218">
        <f t="shared" si="129"/>
        <v>575</v>
      </c>
      <c r="AN156" s="218">
        <f t="shared" si="130"/>
        <v>200</v>
      </c>
      <c r="AO156" s="38">
        <f t="shared" si="131"/>
        <v>23175</v>
      </c>
      <c r="AP156" s="232">
        <v>4.0000000000000001E-3</v>
      </c>
      <c r="AQ156" s="33">
        <f t="shared" si="132"/>
        <v>4.0000000000000001E-3</v>
      </c>
      <c r="AR156" s="33">
        <f>IF(SUM($AO156)=0,"",INDEX(Cascade!$BG:$BG,MATCH($E156,Cascade!$E:$E,0)))</f>
        <v>0.95</v>
      </c>
      <c r="AS156" s="218">
        <f t="shared" si="133"/>
        <v>93</v>
      </c>
      <c r="AT156" s="218">
        <f t="shared" si="134"/>
        <v>23082</v>
      </c>
      <c r="AU156" s="38">
        <f t="shared" si="135"/>
        <v>88</v>
      </c>
      <c r="AV156" s="38">
        <f t="shared" si="136"/>
        <v>878</v>
      </c>
      <c r="AW156" s="38">
        <f>IFERROR(1/(1/INDEX(Cascade!$BH:$BH,MATCH($E156,Cascade!$E:$E,0))),"")</f>
        <v>560</v>
      </c>
      <c r="AX156" s="38">
        <f t="shared" si="137"/>
        <v>210</v>
      </c>
      <c r="AY156" s="38">
        <f t="shared" si="138"/>
        <v>93</v>
      </c>
      <c r="AZ156" s="38">
        <f>IFERROR(1/(1/INDEX(TB!$P:$P,MATCH($E156,TB!$E:$E,0))),"")</f>
        <v>3</v>
      </c>
      <c r="BA156" s="38">
        <f t="shared" si="139"/>
        <v>254</v>
      </c>
    </row>
    <row r="157" spans="1:53" x14ac:dyDescent="0.2">
      <c r="A157" t="str">
        <f>INDEX(Prioritization!$D:$D,MATCH($B157,Prioritization!$A:$A,0))</f>
        <v>1 - Scale-up: Saturation</v>
      </c>
      <c r="B157" t="s">
        <v>325</v>
      </c>
      <c r="C157" t="s">
        <v>476</v>
      </c>
      <c r="D157" t="s">
        <v>30</v>
      </c>
      <c r="E157" t="str">
        <f t="shared" si="112"/>
        <v>Zomba District [fyEoGEPERdI]|25-34|Female</v>
      </c>
      <c r="F157" s="38">
        <f>IF(LEFT($B157,4)="_Mil","",INDEX(Cascade!$T:$T,MATCH($E157,Cascade!$E:$E,0)))</f>
        <v>78033</v>
      </c>
      <c r="G157" s="38">
        <f>IF(LEFT($B157,4)="_Mil","",INDEX(Cascade!$U:$U,MATCH($E157,Cascade!$E:$E,0)))</f>
        <v>8867</v>
      </c>
      <c r="H157" s="110">
        <f>IF(LEFT($B157,4)="_Mil","",INDEX(Cascade!$W:$W,MATCH($E157,Cascade!$E:$E,0)))</f>
        <v>0.113633519</v>
      </c>
      <c r="I157" s="38">
        <f>IF(LEFT($B157,4)="_Mil","",INDEX(Cascade!$Z:$Z,MATCH($E157,Cascade!$E:$E,0)))</f>
        <v>8559</v>
      </c>
      <c r="J157" s="33">
        <f>IF(LEFT($B157,4)="_Mil","",INDEX(Cascade!$AA:$AA,MATCH($E157,Cascade!$E:$E,0)))</f>
        <v>0.97052296500000002</v>
      </c>
      <c r="K157" s="218">
        <f>IF(LEFT($B157,4)="_Mil","",_xlfn.IFNA(ROUND(INDEX(Spectrum!$N:$N,MATCH(RIGHT($B157,13)&amp;"|"&amp;$C157&amp;"|"&amp;$D157&amp;"|"&amp;K$14&amp;"|"&amp;"CY2024Q3",Spectrum!$R:$R,0)),0),""))</f>
        <v>9359</v>
      </c>
      <c r="L157" s="218">
        <f>IF(LEFT($B157,4)="_Mil","",_xlfn.IFNA(ROUND(INDEX(Spectrum!$N:$N,MATCH(RIGHT($B157,13)&amp;"|"&amp;$C157&amp;"|"&amp;$D157&amp;"|"&amp;L$14&amp;"|"&amp;"CY2024Q3",Spectrum!$R:$R,0)),0),""))</f>
        <v>640</v>
      </c>
      <c r="M157" s="218">
        <f>IF(LEFT($B157,4)="_Mil","",_xlfn.IFNA(ROUND(INDEX(Spectrum!$N:$N,MATCH(RIGHT($B157,13)&amp;"|"&amp;$C157&amp;"|"&amp;$D157&amp;"|"&amp;M$14&amp;"|"&amp;"CY2024Q3",Spectrum!$R:$R,0)),0),""))</f>
        <v>175</v>
      </c>
      <c r="N157" s="218">
        <f>IF(LEFT($B157,4)="_Mil","",_xlfn.IFNA(ROUND(INDEX(Spectrum!$N:$N,MATCH(RIGHT($B157,13)&amp;"|"&amp;$C157&amp;"|"&amp;$D157&amp;"|"&amp;N$14&amp;"|"&amp;"CY2024Q3",Spectrum!$R:$R,0)),0),""))</f>
        <v>8544</v>
      </c>
      <c r="O157" s="218">
        <f>IF(LEFT($B157,4)="_Mil","",_xlfn.IFNA(ROUND(INDEX(Spectrum!$N:$N,MATCH(RIGHT($B157,13)&amp;"|"&amp;$C157&amp;"|"&amp;$D157&amp;"|"&amp;O$14&amp;"|"&amp;"CY2024Q3",Spectrum!$R:$R,0)),0),""))</f>
        <v>815</v>
      </c>
      <c r="P157" s="218">
        <f>IF(LEFT($B157,4)="_Mil","",_xlfn.IFNA(ROUND(INDEX(Spectrum!$N:$N,MATCH(RIGHT($B157,13)&amp;"|"&amp;$C157&amp;"|"&amp;$D157&amp;"|"&amp;P$14&amp;"|"&amp;"CY2024Q3",Spectrum!$R:$R,0)),0),""))</f>
        <v>640</v>
      </c>
      <c r="Q157" s="218">
        <f>IF(LEFT($B157,4)="_Mil","",_xlfn.IFNA(ROUND(INDEX(Spectrum!$N:$N,MATCH(RIGHT($B157,13)&amp;"|"&amp;$C157&amp;"|"&amp;$D157&amp;"|"&amp;Q$14&amp;"|"&amp;"CY2024Q3",Spectrum!$R:$R,0)),0),""))</f>
        <v>175</v>
      </c>
      <c r="R157" s="38">
        <v>16761</v>
      </c>
      <c r="S157" s="33">
        <v>0</v>
      </c>
      <c r="T157" s="218">
        <f t="shared" si="113"/>
        <v>16761</v>
      </c>
      <c r="U157" s="33">
        <f t="shared" si="114"/>
        <v>1</v>
      </c>
      <c r="V157" s="218">
        <f t="shared" si="115"/>
        <v>16761</v>
      </c>
      <c r="W157" s="33">
        <v>8.1000000000000003E-2</v>
      </c>
      <c r="X157" s="33">
        <f t="shared" si="116"/>
        <v>8.1000000000000003E-2</v>
      </c>
      <c r="Y157" s="231">
        <v>1.7999999999999999E-2</v>
      </c>
      <c r="Z157" s="33">
        <f t="shared" si="117"/>
        <v>1.7999999999999999E-2</v>
      </c>
      <c r="AA157" s="38">
        <f t="shared" si="118"/>
        <v>16761</v>
      </c>
      <c r="AB157" s="218">
        <f t="shared" si="119"/>
        <v>1358</v>
      </c>
      <c r="AC157" s="218">
        <f t="shared" si="120"/>
        <v>277</v>
      </c>
      <c r="AD157" s="218">
        <f t="shared" si="121"/>
        <v>15126</v>
      </c>
      <c r="AE157" s="38">
        <f t="shared" si="122"/>
        <v>16761</v>
      </c>
      <c r="AF157" s="218">
        <f t="shared" si="123"/>
        <v>1358</v>
      </c>
      <c r="AG157" s="218">
        <f t="shared" si="124"/>
        <v>277</v>
      </c>
      <c r="AH157" s="218">
        <f t="shared" si="125"/>
        <v>15126</v>
      </c>
      <c r="AI157" s="33">
        <f>IF(SUM($AC157)=0,"",INDEX(Cascade!$BG:$BG,MATCH($E157,Cascade!$E:$E,0)))</f>
        <v>0.95</v>
      </c>
      <c r="AJ157" s="218">
        <f t="shared" si="126"/>
        <v>1358</v>
      </c>
      <c r="AK157" s="218">
        <f t="shared" si="127"/>
        <v>263</v>
      </c>
      <c r="AL157" s="218">
        <f t="shared" si="128"/>
        <v>1635</v>
      </c>
      <c r="AM157" s="218">
        <f t="shared" si="129"/>
        <v>1358</v>
      </c>
      <c r="AN157" s="218">
        <f t="shared" si="130"/>
        <v>263</v>
      </c>
      <c r="AO157" s="38">
        <f t="shared" si="131"/>
        <v>15125.999999999998</v>
      </c>
      <c r="AP157" s="232">
        <v>7.0000000000000001E-3</v>
      </c>
      <c r="AQ157" s="33">
        <f t="shared" si="132"/>
        <v>7.0000000000000001E-3</v>
      </c>
      <c r="AR157" s="33">
        <f>IF(SUM($AO157)=0,"",INDEX(Cascade!$BG:$BG,MATCH($E157,Cascade!$E:$E,0)))</f>
        <v>0.95</v>
      </c>
      <c r="AS157" s="218">
        <f t="shared" si="133"/>
        <v>106</v>
      </c>
      <c r="AT157" s="218">
        <f t="shared" si="134"/>
        <v>15019.999999999998</v>
      </c>
      <c r="AU157" s="38">
        <f t="shared" si="135"/>
        <v>101</v>
      </c>
      <c r="AV157" s="38">
        <f t="shared" si="136"/>
        <v>1741</v>
      </c>
      <c r="AW157" s="38">
        <f>IFERROR(1/(1/INDEX(Cascade!$BH:$BH,MATCH($E157,Cascade!$E:$E,0))),"")</f>
        <v>1251</v>
      </c>
      <c r="AX157" s="38">
        <f t="shared" si="137"/>
        <v>277</v>
      </c>
      <c r="AY157" s="38">
        <f t="shared" si="138"/>
        <v>106</v>
      </c>
      <c r="AZ157" s="38">
        <f>IFERROR(1/(1/INDEX(TB!$P:$P,MATCH($E157,TB!$E:$E,0))),"")</f>
        <v>3</v>
      </c>
      <c r="BA157" s="38">
        <f t="shared" si="139"/>
        <v>865</v>
      </c>
    </row>
    <row r="158" spans="1:53" x14ac:dyDescent="0.2">
      <c r="A158" t="str">
        <f>INDEX(Prioritization!$D:$D,MATCH($B158,Prioritization!$A:$A,0))</f>
        <v>1 - Scale-up: Saturation</v>
      </c>
      <c r="B158" t="s">
        <v>325</v>
      </c>
      <c r="C158" t="s">
        <v>477</v>
      </c>
      <c r="D158" t="s">
        <v>30</v>
      </c>
      <c r="E158" t="str">
        <f t="shared" si="112"/>
        <v>Zomba District [fyEoGEPERdI]|35-49|Female</v>
      </c>
      <c r="F158" s="38">
        <f>IF(LEFT($B158,4)="_Mil","",INDEX(Cascade!$T:$T,MATCH($E158,Cascade!$E:$E,0)))</f>
        <v>79543</v>
      </c>
      <c r="G158" s="38">
        <f>IF(LEFT($B158,4)="_Mil","",INDEX(Cascade!$U:$U,MATCH($E158,Cascade!$E:$E,0)))</f>
        <v>21361</v>
      </c>
      <c r="H158" s="110">
        <f>IF(LEFT($B158,4)="_Mil","",INDEX(Cascade!$W:$W,MATCH($E158,Cascade!$E:$E,0)))</f>
        <v>0.26854677599999999</v>
      </c>
      <c r="I158" s="38">
        <f>IF(LEFT($B158,4)="_Mil","",INDEX(Cascade!$Z:$Z,MATCH($E158,Cascade!$E:$E,0)))</f>
        <v>20723</v>
      </c>
      <c r="J158" s="33">
        <f>IF(LEFT($B158,4)="_Mil","",INDEX(Cascade!$AA:$AA,MATCH($E158,Cascade!$E:$E,0)))</f>
        <v>0.98528611099999996</v>
      </c>
      <c r="K158" s="218">
        <f>IF(LEFT($B158,4)="_Mil","",_xlfn.IFNA(ROUND(INDEX(Spectrum!$N:$N,MATCH(RIGHT($B158,13)&amp;"|"&amp;$C158&amp;"|"&amp;$D158&amp;"|"&amp;K$14&amp;"|"&amp;"CY2024Q3",Spectrum!$R:$R,0)),0),""))</f>
        <v>3594</v>
      </c>
      <c r="L158" s="218">
        <f>IF(LEFT($B158,4)="_Mil","",_xlfn.IFNA(ROUND(INDEX(Spectrum!$N:$N,MATCH(RIGHT($B158,13)&amp;"|"&amp;$C158&amp;"|"&amp;$D158&amp;"|"&amp;L$14&amp;"|"&amp;"CY2024Q3",Spectrum!$R:$R,0)),0),""))</f>
        <v>513</v>
      </c>
      <c r="M158" s="218">
        <f>IF(LEFT($B158,4)="_Mil","",_xlfn.IFNA(ROUND(INDEX(Spectrum!$N:$N,MATCH(RIGHT($B158,13)&amp;"|"&amp;$C158&amp;"|"&amp;$D158&amp;"|"&amp;M$14&amp;"|"&amp;"CY2024Q3",Spectrum!$R:$R,0)),0),""))</f>
        <v>48</v>
      </c>
      <c r="N158" s="218">
        <f>IF(LEFT($B158,4)="_Mil","",_xlfn.IFNA(ROUND(INDEX(Spectrum!$N:$N,MATCH(RIGHT($B158,13)&amp;"|"&amp;$C158&amp;"|"&amp;$D158&amp;"|"&amp;N$14&amp;"|"&amp;"CY2024Q3",Spectrum!$R:$R,0)),0),""))</f>
        <v>3032</v>
      </c>
      <c r="O158" s="218">
        <f>IF(LEFT($B158,4)="_Mil","",_xlfn.IFNA(ROUND(INDEX(Spectrum!$N:$N,MATCH(RIGHT($B158,13)&amp;"|"&amp;$C158&amp;"|"&amp;$D158&amp;"|"&amp;O$14&amp;"|"&amp;"CY2024Q3",Spectrum!$R:$R,0)),0),""))</f>
        <v>562</v>
      </c>
      <c r="P158" s="218">
        <f>IF(LEFT($B158,4)="_Mil","",_xlfn.IFNA(ROUND(INDEX(Spectrum!$N:$N,MATCH(RIGHT($B158,13)&amp;"|"&amp;$C158&amp;"|"&amp;$D158&amp;"|"&amp;P$14&amp;"|"&amp;"CY2024Q3",Spectrum!$R:$R,0)),0),""))</f>
        <v>513</v>
      </c>
      <c r="Q158" s="218">
        <f>IF(LEFT($B158,4)="_Mil","",_xlfn.IFNA(ROUND(INDEX(Spectrum!$N:$N,MATCH(RIGHT($B158,13)&amp;"|"&amp;$C158&amp;"|"&amp;$D158&amp;"|"&amp;Q$14&amp;"|"&amp;"CY2024Q3",Spectrum!$R:$R,0)),0),""))</f>
        <v>48</v>
      </c>
      <c r="R158" s="38">
        <v>1323</v>
      </c>
      <c r="S158" s="33">
        <v>0</v>
      </c>
      <c r="T158" s="218">
        <f t="shared" si="113"/>
        <v>1323</v>
      </c>
      <c r="U158" s="33">
        <f t="shared" si="114"/>
        <v>0.36811352253756263</v>
      </c>
      <c r="V158" s="218">
        <f t="shared" si="115"/>
        <v>3594</v>
      </c>
      <c r="W158" s="33">
        <v>0.16400000000000001</v>
      </c>
      <c r="X158" s="33">
        <f t="shared" si="116"/>
        <v>0.16400000000000001</v>
      </c>
      <c r="Y158" s="231">
        <v>1.7999999999999999E-2</v>
      </c>
      <c r="Z158" s="33">
        <f t="shared" si="117"/>
        <v>1.5579357351509251E-2</v>
      </c>
      <c r="AA158" s="38">
        <f t="shared" si="118"/>
        <v>1323</v>
      </c>
      <c r="AB158" s="218">
        <f t="shared" si="119"/>
        <v>217</v>
      </c>
      <c r="AC158" s="218">
        <f t="shared" si="120"/>
        <v>17</v>
      </c>
      <c r="AD158" s="218">
        <f t="shared" si="121"/>
        <v>1089</v>
      </c>
      <c r="AE158" s="38">
        <f t="shared" si="122"/>
        <v>3594</v>
      </c>
      <c r="AF158" s="218">
        <f t="shared" si="123"/>
        <v>589</v>
      </c>
      <c r="AG158" s="218">
        <f t="shared" si="124"/>
        <v>47</v>
      </c>
      <c r="AH158" s="218">
        <f t="shared" si="125"/>
        <v>2958</v>
      </c>
      <c r="AI158" s="33">
        <f>IF(SUM($AC158)=0,"",INDEX(Cascade!$BG:$BG,MATCH($E158,Cascade!$E:$E,0)))</f>
        <v>0.95</v>
      </c>
      <c r="AJ158" s="218">
        <f t="shared" si="126"/>
        <v>217</v>
      </c>
      <c r="AK158" s="218">
        <f t="shared" si="127"/>
        <v>16</v>
      </c>
      <c r="AL158" s="218">
        <f t="shared" si="128"/>
        <v>636</v>
      </c>
      <c r="AM158" s="218">
        <f t="shared" si="129"/>
        <v>589</v>
      </c>
      <c r="AN158" s="218">
        <f t="shared" si="130"/>
        <v>45</v>
      </c>
      <c r="AO158" s="38">
        <f t="shared" si="131"/>
        <v>1089</v>
      </c>
      <c r="AP158" s="232">
        <v>8.9999999999999993E-3</v>
      </c>
      <c r="AQ158" s="33">
        <f t="shared" si="132"/>
        <v>8.9999999999999993E-3</v>
      </c>
      <c r="AR158" s="33">
        <f>IF(SUM($AO158)=0,"",INDEX(Cascade!$BG:$BG,MATCH($E158,Cascade!$E:$E,0)))</f>
        <v>0.95</v>
      </c>
      <c r="AS158" s="218">
        <f t="shared" si="133"/>
        <v>10</v>
      </c>
      <c r="AT158" s="218">
        <f t="shared" si="134"/>
        <v>1079</v>
      </c>
      <c r="AU158" s="38">
        <f t="shared" si="135"/>
        <v>10</v>
      </c>
      <c r="AV158" s="38">
        <f t="shared" si="136"/>
        <v>244</v>
      </c>
      <c r="AW158" s="38">
        <f>IFERROR(1/(1/INDEX(Cascade!$BH:$BH,MATCH($E158,Cascade!$E:$E,0))),"")</f>
        <v>680</v>
      </c>
      <c r="AX158" s="38">
        <f t="shared" si="137"/>
        <v>17</v>
      </c>
      <c r="AY158" s="38">
        <f t="shared" si="138"/>
        <v>10</v>
      </c>
      <c r="AZ158" s="38">
        <f>IFERROR(1/(1/INDEX(TB!$P:$P,MATCH($E158,TB!$E:$E,0))),"")</f>
        <v>4</v>
      </c>
      <c r="BA158" s="38">
        <f t="shared" si="139"/>
        <v>649</v>
      </c>
    </row>
    <row r="159" spans="1:53" x14ac:dyDescent="0.2">
      <c r="A159" t="str">
        <f>INDEX(Prioritization!$D:$D,MATCH($B159,Prioritization!$A:$A,0))</f>
        <v>1 - Scale-up: Saturation</v>
      </c>
      <c r="B159" t="s">
        <v>325</v>
      </c>
      <c r="C159" t="s">
        <v>478</v>
      </c>
      <c r="D159" t="s">
        <v>30</v>
      </c>
      <c r="E159" t="str">
        <f t="shared" si="112"/>
        <v>Zomba District [fyEoGEPERdI]|50+|Female</v>
      </c>
      <c r="F159" s="38">
        <f>IF(LEFT($B159,4)="_Mil","",INDEX(Cascade!$T:$T,MATCH($E159,Cascade!$E:$E,0)))</f>
        <v>46614</v>
      </c>
      <c r="G159" s="38">
        <f>IF(LEFT($B159,4)="_Mil","",INDEX(Cascade!$U:$U,MATCH($E159,Cascade!$E:$E,0)))</f>
        <v>9647</v>
      </c>
      <c r="H159" s="110">
        <f>IF(LEFT($B159,4)="_Mil","",INDEX(Cascade!$W:$W,MATCH($E159,Cascade!$E:$E,0)))</f>
        <v>0.206953098</v>
      </c>
      <c r="I159" s="38">
        <f>IF(LEFT($B159,4)="_Mil","",INDEX(Cascade!$Z:$Z,MATCH($E159,Cascade!$E:$E,0)))</f>
        <v>9439</v>
      </c>
      <c r="J159" s="33">
        <f>IF(LEFT($B159,4)="_Mil","",INDEX(Cascade!$AA:$AA,MATCH($E159,Cascade!$E:$E,0)))</f>
        <v>0.98989951200000015</v>
      </c>
      <c r="K159" s="218" t="str">
        <f>IF(LEFT($B159,4)="_Mil","",_xlfn.IFNA(ROUND(INDEX(Spectrum!$N:$N,MATCH(RIGHT($B159,13)&amp;"|"&amp;$C159&amp;"|"&amp;$D159&amp;"|"&amp;K$14&amp;"|"&amp;"CY2024Q3",Spectrum!$R:$R,0)),0),""))</f>
        <v/>
      </c>
      <c r="L159" s="218" t="str">
        <f>IF(LEFT($B159,4)="_Mil","",_xlfn.IFNA(ROUND(INDEX(Spectrum!$N:$N,MATCH(RIGHT($B159,13)&amp;"|"&amp;$C159&amp;"|"&amp;$D159&amp;"|"&amp;L$14&amp;"|"&amp;"CY2024Q3",Spectrum!$R:$R,0)),0),""))</f>
        <v/>
      </c>
      <c r="M159" s="218" t="str">
        <f>IF(LEFT($B159,4)="_Mil","",_xlfn.IFNA(ROUND(INDEX(Spectrum!$N:$N,MATCH(RIGHT($B159,13)&amp;"|"&amp;$C159&amp;"|"&amp;$D159&amp;"|"&amp;M$14&amp;"|"&amp;"CY2024Q3",Spectrum!$R:$R,0)),0),""))</f>
        <v/>
      </c>
      <c r="N159" s="218" t="str">
        <f>IF(LEFT($B159,4)="_Mil","",_xlfn.IFNA(ROUND(INDEX(Spectrum!$N:$N,MATCH(RIGHT($B159,13)&amp;"|"&amp;$C159&amp;"|"&amp;$D159&amp;"|"&amp;N$14&amp;"|"&amp;"CY2024Q3",Spectrum!$R:$R,0)),0),""))</f>
        <v/>
      </c>
      <c r="O159" s="218" t="str">
        <f>IF(LEFT($B159,4)="_Mil","",_xlfn.IFNA(ROUND(INDEX(Spectrum!$N:$N,MATCH(RIGHT($B159,13)&amp;"|"&amp;$C159&amp;"|"&amp;$D159&amp;"|"&amp;O$14&amp;"|"&amp;"CY2024Q3",Spectrum!$R:$R,0)),0),""))</f>
        <v/>
      </c>
      <c r="P159" s="218" t="str">
        <f>IF(LEFT($B159,4)="_Mil","",_xlfn.IFNA(ROUND(INDEX(Spectrum!$N:$N,MATCH(RIGHT($B159,13)&amp;"|"&amp;$C159&amp;"|"&amp;$D159&amp;"|"&amp;P$14&amp;"|"&amp;"CY2024Q3",Spectrum!$R:$R,0)),0),""))</f>
        <v/>
      </c>
      <c r="Q159" s="218" t="str">
        <f>IF(LEFT($B159,4)="_Mil","",_xlfn.IFNA(ROUND(INDEX(Spectrum!$N:$N,MATCH(RIGHT($B159,13)&amp;"|"&amp;$C159&amp;"|"&amp;$D159&amp;"|"&amp;Q$14&amp;"|"&amp;"CY2024Q3",Spectrum!$R:$R,0)),0),""))</f>
        <v/>
      </c>
      <c r="R159" s="38"/>
      <c r="S159" s="33">
        <v>0</v>
      </c>
      <c r="T159" s="218" t="str">
        <f t="shared" si="113"/>
        <v/>
      </c>
      <c r="U159" s="33" t="str">
        <f t="shared" si="114"/>
        <v/>
      </c>
      <c r="V159" s="218" t="str">
        <f t="shared" si="115"/>
        <v/>
      </c>
      <c r="W159" s="33">
        <v>0.03</v>
      </c>
      <c r="X159" s="33">
        <f t="shared" si="116"/>
        <v>0.03</v>
      </c>
      <c r="Y159" s="231">
        <v>1.4E-2</v>
      </c>
      <c r="Z159" s="33">
        <f t="shared" si="117"/>
        <v>1.4E-2</v>
      </c>
      <c r="AA159" s="38" t="str">
        <f t="shared" si="118"/>
        <v/>
      </c>
      <c r="AB159" s="218" t="str">
        <f t="shared" si="119"/>
        <v/>
      </c>
      <c r="AC159" s="218" t="str">
        <f t="shared" si="120"/>
        <v/>
      </c>
      <c r="AD159" s="218" t="str">
        <f t="shared" si="121"/>
        <v/>
      </c>
      <c r="AE159" s="38" t="str">
        <f t="shared" si="122"/>
        <v/>
      </c>
      <c r="AF159" s="218" t="str">
        <f t="shared" si="123"/>
        <v/>
      </c>
      <c r="AG159" s="218" t="str">
        <f t="shared" si="124"/>
        <v/>
      </c>
      <c r="AH159" s="218" t="str">
        <f t="shared" si="125"/>
        <v/>
      </c>
      <c r="AI159" s="33" t="str">
        <f>IF(SUM($AC159)=0,"",INDEX(Cascade!$BG:$BG,MATCH($E159,Cascade!$E:$E,0)))</f>
        <v/>
      </c>
      <c r="AJ159" s="218" t="str">
        <f t="shared" si="126"/>
        <v/>
      </c>
      <c r="AK159" s="218" t="str">
        <f t="shared" si="127"/>
        <v/>
      </c>
      <c r="AL159" s="218" t="str">
        <f t="shared" si="128"/>
        <v/>
      </c>
      <c r="AM159" s="218" t="str">
        <f t="shared" si="129"/>
        <v/>
      </c>
      <c r="AN159" s="218" t="str">
        <f t="shared" si="130"/>
        <v/>
      </c>
      <c r="AO159" s="38" t="str">
        <f t="shared" si="131"/>
        <v/>
      </c>
      <c r="AP159" s="232">
        <v>6.0000000000000001E-3</v>
      </c>
      <c r="AQ159" s="33">
        <f t="shared" si="132"/>
        <v>6.0000000000000001E-3</v>
      </c>
      <c r="AR159" s="33" t="str">
        <f>IF(SUM($AO159)=0,"",INDEX(Cascade!$BG:$BG,MATCH($E159,Cascade!$E:$E,0)))</f>
        <v/>
      </c>
      <c r="AS159" s="218" t="str">
        <f t="shared" si="133"/>
        <v/>
      </c>
      <c r="AT159" s="218" t="str">
        <f t="shared" si="134"/>
        <v/>
      </c>
      <c r="AU159" s="38" t="str">
        <f t="shared" si="135"/>
        <v/>
      </c>
      <c r="AV159" s="38" t="str">
        <f t="shared" si="136"/>
        <v/>
      </c>
      <c r="AW159" s="38">
        <f>IFERROR(1/(1/INDEX(Cascade!$BH:$BH,MATCH($E159,Cascade!$E:$E,0))),"")</f>
        <v>491.00000000000006</v>
      </c>
      <c r="AX159" s="38" t="str">
        <f t="shared" si="137"/>
        <v/>
      </c>
      <c r="AY159" s="38" t="str">
        <f t="shared" si="138"/>
        <v/>
      </c>
      <c r="AZ159" s="38">
        <f>IFERROR(1/(1/INDEX(TB!$P:$P,MATCH($E159,TB!$E:$E,0))),"")</f>
        <v>1</v>
      </c>
      <c r="BA159" s="38">
        <f t="shared" si="139"/>
        <v>490.00000000000006</v>
      </c>
    </row>
  </sheetData>
  <autoFilter ref="A14:BA159" xr:uid="{00000000-0001-0000-0600-000000000000}"/>
  <sortState xmlns:xlrd2="http://schemas.microsoft.com/office/spreadsheetml/2017/richdata2" ref="A15:BA159">
    <sortCondition ref="B15:B159"/>
    <sortCondition ref="C15:C159"/>
  </sortState>
  <mergeCells count="1">
    <mergeCell ref="A2:B3"/>
  </mergeCells>
  <conditionalFormatting sqref="F1:Q1048576 U1:V1048576 AE1:AH1048576 AL1:AN1048576">
    <cfRule type="expression" dxfId="132" priority="1">
      <formula>AND(ROW(F1)&gt;14,LEFT($B1,4)="_Mil")</formula>
    </cfRule>
  </conditionalFormatting>
  <conditionalFormatting sqref="S1:S1048576">
    <cfRule type="expression" dxfId="131" priority="49">
      <formula>AND(ISNUMBER($S1),ROUND($S1,2)&lt;0)</formula>
    </cfRule>
  </conditionalFormatting>
  <conditionalFormatting sqref="T1:BA14 F1:R1048576 Z15:BA19 T15:X159 Z20:AO159 T160:BA1048576 AQ20:BA159">
    <cfRule type="expression" dxfId="130" priority="2">
      <formula>AND(ISNUMBER(F1),F1&lt;0)</formula>
    </cfRule>
  </conditionalFormatting>
  <conditionalFormatting sqref="X1:X1048576">
    <cfRule type="expression" dxfId="129" priority="4">
      <formula>$AB1="ENTER KNOWN POSITIVITY RATE"</formula>
    </cfRule>
    <cfRule type="expression" dxfId="128" priority="1283">
      <formula>AND(ISNUMBER(X1),ROUND(X1,2)&gt;=0.75)</formula>
    </cfRule>
  </conditionalFormatting>
  <conditionalFormatting sqref="Z1:Z1048576">
    <cfRule type="expression" dxfId="127" priority="5">
      <formula>$AC1="ENTER YIELD RATE"</formula>
    </cfRule>
  </conditionalFormatting>
  <conditionalFormatting sqref="AI1:AI1048576 AR1:AR1048576">
    <cfRule type="expression" dxfId="126" priority="47">
      <formula>AND(ISNUMBER(AI1),ROUND(AI1,2)&lt;0.95)</formula>
    </cfRule>
  </conditionalFormatting>
  <conditionalFormatting sqref="AP1:AR19 AQ20:AR159 AP160:AR1048576 W1:Z14 Z15:Z159 W160:Z1048576 W15:X159 H1:H1048576 J1:J1048576 U1:U1048576 AI1:AI1048576">
    <cfRule type="expression" dxfId="125" priority="14">
      <formula>AND(ISNUMBER(H1),H1&gt;1)</formula>
    </cfRule>
  </conditionalFormatting>
  <conditionalFormatting sqref="AQ1:AQ1048576 Z1:Z1048576">
    <cfRule type="expression" dxfId="124" priority="24">
      <formula>AND(ISNUMBER(Z1),Z1&gt;10%)</formula>
    </cfRule>
  </conditionalFormatting>
  <conditionalFormatting sqref="AQ1:AQ1048576">
    <cfRule type="expression" dxfId="123" priority="6">
      <formula>$AS1="ENTER YIELD RATE"</formula>
    </cfRule>
  </conditionalFormatting>
  <hyperlinks>
    <hyperlink ref="F3" location="Cascade!T:T" display="H.C. Est. Female Population (FY23)" xr:uid="{00000000-0004-0000-0600-000000000000}"/>
    <hyperlink ref="G3" location="Cascade!U:U" display="H.C. Est. PLHIV (FY23)" xr:uid="{00000000-0004-0000-0600-000001000000}"/>
    <hyperlink ref="H3" location="Cascade!W:W" display="P.C. Est. HIV Prevalence (FY23) (%)" xr:uid="{00000000-0004-0000-0600-000002000000}"/>
    <hyperlink ref="I3" location="Cascade!Z:Z" display="P.C. Est. # on ART (FY23)" xr:uid="{00000000-0004-0000-0600-000003000000}"/>
    <hyperlink ref="J3" location="Cascade!AA:AA" display="P.C. Est. ART Coverage (ART/PLHIV) (FY23) (%)" xr:uid="{00000000-0004-0000-0600-000004000000}"/>
    <hyperlink ref="AW3" location="Cascade!BI:BI" display="Total HTS_TST_POS (FY24)" xr:uid="{00000000-0004-0000-0600-000005000000}"/>
    <hyperlink ref="AX3" location="PMTCT!AC:AC" display="Total New Positives from PMTCT_STAT ANC1 (FY24)" xr:uid="{00000000-0004-0000-0600-000006000000}"/>
    <hyperlink ref="AY3" location="PMTCT!AS:AS" display="Total New Positives from PMTCT Post ANC1 (FY24)" xr:uid="{00000000-0004-0000-0600-000007000000}"/>
    <hyperlink ref="AZ3" location="TB!P:P" display="Total New Positives from TB_STAT (FY24)" xr:uid="{00000000-0004-0000-0600-000008000000}"/>
  </hyperlinks>
  <pageMargins left="0.7" right="0.7" top="0.75" bottom="0.75" header="0.3" footer="0.3"/>
  <pageSetup orientation="portrait" horizontalDpi="0" verticalDpi="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44"/>
  <sheetViews>
    <sheetView zoomScaleNormal="100" workbookViewId="0">
      <pane xSplit="2" ySplit="14" topLeftCell="C15" activePane="bottomRight" state="frozen"/>
      <selection pane="topRight"/>
      <selection pane="bottomLeft"/>
      <selection pane="bottomRight" activeCell="H38" sqref="H38"/>
    </sheetView>
  </sheetViews>
  <sheetFormatPr baseColWidth="10" defaultColWidth="11" defaultRowHeight="16" x14ac:dyDescent="0.2"/>
  <cols>
    <col min="1" max="1" width="16.1640625" customWidth="1"/>
    <col min="2" max="2" width="30.6640625" customWidth="1"/>
    <col min="3" max="22" width="11.6640625" customWidth="1"/>
  </cols>
  <sheetData>
    <row r="1" spans="1:22" ht="31.25" customHeight="1" x14ac:dyDescent="0.2">
      <c r="A1" s="68" t="s">
        <v>1069</v>
      </c>
      <c r="B1" s="23"/>
      <c r="C1" s="52" t="s">
        <v>1070</v>
      </c>
      <c r="D1" s="45"/>
      <c r="E1" s="45"/>
      <c r="F1" s="43"/>
      <c r="G1" s="43"/>
      <c r="H1" s="53" t="s">
        <v>1071</v>
      </c>
      <c r="I1" s="45"/>
      <c r="J1" s="45"/>
      <c r="K1" s="45"/>
      <c r="L1" s="43"/>
      <c r="M1" s="45"/>
      <c r="N1" s="43"/>
      <c r="O1" s="45"/>
      <c r="P1" s="43"/>
      <c r="Q1" s="45"/>
      <c r="R1" s="13"/>
      <c r="S1" s="45"/>
      <c r="T1" s="43"/>
      <c r="U1" s="45"/>
      <c r="V1" s="43"/>
    </row>
    <row r="2" spans="1:22" ht="19.25" customHeight="1" x14ac:dyDescent="0.25">
      <c r="A2" s="24"/>
      <c r="B2" s="4"/>
      <c r="C2" s="105"/>
      <c r="F2" s="20" t="s">
        <v>281</v>
      </c>
      <c r="G2" s="20" t="s">
        <v>281</v>
      </c>
      <c r="H2" s="31"/>
      <c r="I2" s="32"/>
      <c r="J2" s="32"/>
      <c r="L2" s="20" t="s">
        <v>281</v>
      </c>
      <c r="N2" s="20" t="s">
        <v>281</v>
      </c>
      <c r="P2" s="20" t="s">
        <v>281</v>
      </c>
      <c r="R2" s="120"/>
      <c r="T2" s="20" t="s">
        <v>281</v>
      </c>
      <c r="V2" s="20" t="s">
        <v>281</v>
      </c>
    </row>
    <row r="3" spans="1:22" ht="117" customHeight="1" x14ac:dyDescent="0.2">
      <c r="A3" s="67"/>
      <c r="B3" s="9"/>
      <c r="C3" s="142" t="s">
        <v>1072</v>
      </c>
      <c r="D3" s="184" t="s">
        <v>1073</v>
      </c>
      <c r="E3" s="184" t="s">
        <v>1074</v>
      </c>
      <c r="F3" s="69" t="s">
        <v>1075</v>
      </c>
      <c r="G3" s="69" t="s">
        <v>1076</v>
      </c>
      <c r="H3" s="183" t="s">
        <v>1077</v>
      </c>
      <c r="I3" s="90" t="s">
        <v>1078</v>
      </c>
      <c r="J3" s="42" t="s">
        <v>1079</v>
      </c>
      <c r="K3" s="42" t="s">
        <v>1080</v>
      </c>
      <c r="L3" s="143" t="s">
        <v>1081</v>
      </c>
      <c r="M3" s="42" t="s">
        <v>390</v>
      </c>
      <c r="N3" s="143" t="s">
        <v>1082</v>
      </c>
      <c r="O3" s="42" t="s">
        <v>1083</v>
      </c>
      <c r="P3" s="143" t="s">
        <v>1084</v>
      </c>
      <c r="Q3" s="42" t="s">
        <v>1085</v>
      </c>
      <c r="R3" s="143" t="s">
        <v>1086</v>
      </c>
      <c r="S3" s="42" t="s">
        <v>1087</v>
      </c>
      <c r="T3" s="143" t="s">
        <v>1088</v>
      </c>
      <c r="U3" s="42" t="s">
        <v>1089</v>
      </c>
      <c r="V3" s="143" t="s">
        <v>1090</v>
      </c>
    </row>
    <row r="4" spans="1:22" x14ac:dyDescent="0.2">
      <c r="A4" s="35"/>
      <c r="B4" s="5" t="s">
        <v>392</v>
      </c>
      <c r="C4" s="106">
        <f>SUBTOTAL(109,C$15:INDEX(C:C,COUNTA($B:$B)+14-COUNTA($B$1:$B$14)))</f>
        <v>28303</v>
      </c>
      <c r="D4" s="41">
        <f>IF(SUM($C4)=0,"",SUM($F4)/$C4)</f>
        <v>0.67010564251139459</v>
      </c>
      <c r="E4" s="41">
        <f>IF(SUM($C4)=0,"",SUM($F4,$G4)/$C4)</f>
        <v>0.91269476733915134</v>
      </c>
      <c r="F4" s="132">
        <f>SUBTOTAL(109,F$15:INDEX(F:F,COUNTA($B:$B)+14-COUNTA($B$1:$B$14)))</f>
        <v>18966</v>
      </c>
      <c r="G4" s="132">
        <f>SUBTOTAL(109,G$15:INDEX(G:G,COUNTA($B:$B)+14-COUNTA($B$1:$B$14)))</f>
        <v>6866</v>
      </c>
      <c r="H4" s="77"/>
      <c r="I4" s="41"/>
      <c r="J4" s="41"/>
      <c r="K4" s="41"/>
      <c r="L4" s="132">
        <f>SUBTOTAL(109,L$15:INDEX(L:L,COUNTA($B:$B)+14-COUNTA($B$1:$B$14)))</f>
        <v>238</v>
      </c>
      <c r="M4" s="41">
        <f>IF(SUM($L4)=0,"",SUM($N4)/$L4)</f>
        <v>0.80252100840336138</v>
      </c>
      <c r="N4" s="132">
        <f>SUBTOTAL(109,N$15:INDEX(N:N,COUNTA($B:$B)+14-COUNTA($B$1:$B$14)))</f>
        <v>191</v>
      </c>
      <c r="O4" s="41">
        <f>IF(SUM($N4)=0,"",SUM($P4)/$N4)</f>
        <v>0.98952879581151831</v>
      </c>
      <c r="P4" s="132">
        <f>SUBTOTAL(109,P$15:INDEX(P:P,COUNTA($B:$B)+14-COUNTA($B$1:$B$14)))</f>
        <v>189</v>
      </c>
      <c r="Q4" s="41">
        <f>IF(SUM($N4)=0,"",SUM($R4)/$N4)</f>
        <v>0.70157068062827221</v>
      </c>
      <c r="R4" s="28">
        <f>SUBTOTAL(109,R$15:INDEX(R:R,COUNTA($B:$B)+14-COUNTA($B$1:$B$14)))</f>
        <v>134</v>
      </c>
      <c r="S4" s="41">
        <f>IF(SUM($R4)=0,"",SUM($T4)/$R4)</f>
        <v>0.94776119402985071</v>
      </c>
      <c r="T4" s="132">
        <f>SUBTOTAL(109,T$15:INDEX(T:T,COUNTA($B:$B)+14-COUNTA($B$1:$B$14)))</f>
        <v>127</v>
      </c>
      <c r="U4" s="41">
        <f>IF(SUM($T4)=0,"",SUM($V4)/$T4)</f>
        <v>0.94488188976377951</v>
      </c>
      <c r="V4" s="132">
        <f>SUBTOTAL(109,V$15:INDEX(V:V,COUNTA($B:$B)+14-COUNTA($B$1:$B$14)))</f>
        <v>120</v>
      </c>
    </row>
    <row r="5" spans="1:22" ht="0" hidden="1" customHeight="1" x14ac:dyDescent="0.2">
      <c r="A5" t="s">
        <v>285</v>
      </c>
      <c r="B5" s="1" t="s">
        <v>285</v>
      </c>
      <c r="C5" s="104" t="s">
        <v>285</v>
      </c>
      <c r="D5" s="33" t="s">
        <v>285</v>
      </c>
      <c r="E5" s="33" t="s">
        <v>285</v>
      </c>
      <c r="F5" s="2" t="s">
        <v>393</v>
      </c>
      <c r="G5" s="2" t="s">
        <v>393</v>
      </c>
      <c r="H5" s="36" t="s">
        <v>285</v>
      </c>
      <c r="I5" s="33" t="s">
        <v>285</v>
      </c>
      <c r="J5" s="33" t="s">
        <v>285</v>
      </c>
      <c r="K5" s="33" t="s">
        <v>285</v>
      </c>
      <c r="L5" s="2" t="s">
        <v>285</v>
      </c>
      <c r="M5" s="33" t="s">
        <v>285</v>
      </c>
      <c r="N5" s="2" t="s">
        <v>285</v>
      </c>
      <c r="O5" s="33" t="s">
        <v>285</v>
      </c>
      <c r="P5" s="2" t="s">
        <v>285</v>
      </c>
      <c r="Q5" s="34" t="s">
        <v>285</v>
      </c>
      <c r="R5" s="29" t="s">
        <v>285</v>
      </c>
      <c r="S5" s="34" t="s">
        <v>285</v>
      </c>
      <c r="T5" s="2" t="s">
        <v>285</v>
      </c>
      <c r="U5" s="34" t="s">
        <v>285</v>
      </c>
      <c r="V5" s="2" t="s">
        <v>285</v>
      </c>
    </row>
    <row r="6" spans="1:22" ht="0" hidden="1" customHeight="1" x14ac:dyDescent="0.2">
      <c r="A6" t="s">
        <v>287</v>
      </c>
      <c r="B6" s="1" t="s">
        <v>287</v>
      </c>
      <c r="C6" s="104" t="s">
        <v>290</v>
      </c>
      <c r="D6" s="33" t="s">
        <v>395</v>
      </c>
      <c r="E6" s="33" t="s">
        <v>395</v>
      </c>
      <c r="F6" s="2" t="s">
        <v>289</v>
      </c>
      <c r="G6" s="2" t="s">
        <v>289</v>
      </c>
      <c r="H6" s="36" t="s">
        <v>396</v>
      </c>
      <c r="I6" s="33" t="s">
        <v>396</v>
      </c>
      <c r="J6" s="33" t="s">
        <v>395</v>
      </c>
      <c r="K6" s="33" t="s">
        <v>395</v>
      </c>
      <c r="L6" s="2" t="s">
        <v>290</v>
      </c>
      <c r="M6" s="33" t="s">
        <v>395</v>
      </c>
      <c r="N6" s="2" t="s">
        <v>290</v>
      </c>
      <c r="O6" s="33" t="s">
        <v>395</v>
      </c>
      <c r="P6" s="2" t="s">
        <v>290</v>
      </c>
      <c r="Q6" s="34" t="s">
        <v>395</v>
      </c>
      <c r="R6" s="29" t="s">
        <v>290</v>
      </c>
      <c r="S6" s="34" t="s">
        <v>395</v>
      </c>
      <c r="T6" s="2" t="s">
        <v>290</v>
      </c>
      <c r="U6" s="34" t="s">
        <v>395</v>
      </c>
      <c r="V6" s="2" t="s">
        <v>290</v>
      </c>
    </row>
    <row r="7" spans="1:22" ht="0" hidden="1" customHeight="1" x14ac:dyDescent="0.2">
      <c r="A7" t="s">
        <v>291</v>
      </c>
      <c r="B7" s="1" t="s">
        <v>291</v>
      </c>
      <c r="C7" s="104" t="s">
        <v>292</v>
      </c>
      <c r="D7" s="33" t="s">
        <v>398</v>
      </c>
      <c r="E7" s="33" t="s">
        <v>398</v>
      </c>
      <c r="F7" s="2" t="s">
        <v>292</v>
      </c>
      <c r="G7" s="2" t="s">
        <v>292</v>
      </c>
      <c r="H7" s="36" t="s">
        <v>398</v>
      </c>
      <c r="I7" s="33" t="s">
        <v>398</v>
      </c>
      <c r="J7" s="33" t="s">
        <v>398</v>
      </c>
      <c r="K7" s="33" t="s">
        <v>398</v>
      </c>
      <c r="L7" s="2" t="s">
        <v>292</v>
      </c>
      <c r="M7" s="33" t="s">
        <v>398</v>
      </c>
      <c r="N7" s="2" t="s">
        <v>292</v>
      </c>
      <c r="O7" s="33" t="s">
        <v>398</v>
      </c>
      <c r="P7" s="2" t="s">
        <v>292</v>
      </c>
      <c r="Q7" s="34" t="s">
        <v>398</v>
      </c>
      <c r="R7" s="29" t="s">
        <v>292</v>
      </c>
      <c r="S7" s="34" t="s">
        <v>398</v>
      </c>
      <c r="T7" s="2" t="s">
        <v>292</v>
      </c>
      <c r="U7" s="34" t="s">
        <v>398</v>
      </c>
      <c r="V7" s="2" t="s">
        <v>292</v>
      </c>
    </row>
    <row r="8" spans="1:22" ht="0" hidden="1" customHeight="1" x14ac:dyDescent="0.2">
      <c r="B8" s="1"/>
      <c r="F8" s="63" t="s">
        <v>1091</v>
      </c>
      <c r="G8" s="63" t="s">
        <v>1091</v>
      </c>
      <c r="H8" s="36"/>
      <c r="I8" s="33"/>
      <c r="J8" s="33"/>
      <c r="K8" s="33"/>
      <c r="M8" s="33"/>
      <c r="O8" s="33"/>
      <c r="Q8" s="33"/>
      <c r="R8" s="29"/>
      <c r="S8" s="33"/>
      <c r="U8" s="33"/>
    </row>
    <row r="9" spans="1:22" ht="0" hidden="1" customHeight="1" x14ac:dyDescent="0.2">
      <c r="B9" s="1"/>
      <c r="F9" s="63" t="s">
        <v>1092</v>
      </c>
      <c r="G9" s="63" t="s">
        <v>1092</v>
      </c>
      <c r="H9" s="36"/>
      <c r="I9" s="33"/>
      <c r="J9" s="33"/>
      <c r="K9" s="33"/>
      <c r="M9" s="33"/>
      <c r="O9" s="33"/>
      <c r="Q9" s="33"/>
      <c r="R9" s="29"/>
      <c r="S9" s="33"/>
      <c r="U9" s="33"/>
    </row>
    <row r="10" spans="1:22" ht="0" hidden="1" customHeight="1" x14ac:dyDescent="0.2">
      <c r="B10" s="1"/>
      <c r="F10" s="63" t="s">
        <v>1093</v>
      </c>
      <c r="G10" s="63" t="s">
        <v>1094</v>
      </c>
      <c r="H10" s="36"/>
      <c r="I10" s="33"/>
      <c r="J10" s="33"/>
      <c r="K10" s="33"/>
      <c r="M10" s="33"/>
      <c r="O10" s="33"/>
      <c r="Q10" s="33"/>
      <c r="R10" s="29"/>
      <c r="S10" s="33"/>
      <c r="U10" s="33"/>
    </row>
    <row r="11" spans="1:22" ht="0" hidden="1" customHeight="1" x14ac:dyDescent="0.2">
      <c r="B11" s="1"/>
      <c r="H11" s="36"/>
      <c r="I11" s="33"/>
      <c r="J11" s="33"/>
      <c r="K11" s="33"/>
      <c r="M11" s="33"/>
      <c r="O11" s="33"/>
      <c r="Q11" s="33"/>
      <c r="R11" s="29"/>
      <c r="S11" s="33"/>
      <c r="U11" s="33"/>
    </row>
    <row r="12" spans="1:22" ht="0" hidden="1" customHeight="1" x14ac:dyDescent="0.2">
      <c r="B12" s="1"/>
      <c r="H12" s="36"/>
      <c r="I12" s="33"/>
      <c r="J12" s="33"/>
      <c r="K12" s="33"/>
      <c r="M12" s="33"/>
      <c r="O12" s="33"/>
      <c r="Q12" s="33"/>
      <c r="R12" s="29"/>
      <c r="S12" s="33"/>
      <c r="U12" s="33"/>
    </row>
    <row r="13" spans="1:22" ht="0" hidden="1" customHeight="1" x14ac:dyDescent="0.2">
      <c r="B13" s="1"/>
      <c r="H13" s="36"/>
      <c r="I13" s="33"/>
      <c r="J13" s="33"/>
      <c r="K13" s="33"/>
      <c r="M13" s="33"/>
      <c r="O13" s="33"/>
      <c r="Q13" s="33"/>
      <c r="R13" s="29"/>
      <c r="S13" s="33"/>
      <c r="U13" s="33"/>
    </row>
    <row r="14" spans="1:22" x14ac:dyDescent="0.2">
      <c r="A14" s="131" t="s">
        <v>280</v>
      </c>
      <c r="B14" s="15" t="s">
        <v>294</v>
      </c>
      <c r="C14" s="55" t="s">
        <v>1095</v>
      </c>
      <c r="D14" s="48" t="s">
        <v>1096</v>
      </c>
      <c r="E14" s="48" t="s">
        <v>1097</v>
      </c>
      <c r="F14" s="49" t="s">
        <v>1098</v>
      </c>
      <c r="G14" s="49" t="s">
        <v>1099</v>
      </c>
      <c r="H14" s="56" t="s">
        <v>1100</v>
      </c>
      <c r="I14" s="48" t="s">
        <v>1101</v>
      </c>
      <c r="J14" s="48" t="s">
        <v>1102</v>
      </c>
      <c r="K14" s="48" t="s">
        <v>1103</v>
      </c>
      <c r="L14" s="49" t="s">
        <v>1104</v>
      </c>
      <c r="M14" s="48" t="s">
        <v>1105</v>
      </c>
      <c r="N14" s="49" t="s">
        <v>452</v>
      </c>
      <c r="O14" s="48" t="s">
        <v>1106</v>
      </c>
      <c r="P14" s="49" t="s">
        <v>1107</v>
      </c>
      <c r="Q14" s="48" t="s">
        <v>1108</v>
      </c>
      <c r="R14" s="18" t="s">
        <v>1109</v>
      </c>
      <c r="S14" s="48" t="s">
        <v>1110</v>
      </c>
      <c r="T14" s="49" t="s">
        <v>1111</v>
      </c>
      <c r="U14" s="48" t="s">
        <v>1112</v>
      </c>
      <c r="V14" s="49" t="s">
        <v>1113</v>
      </c>
    </row>
    <row r="15" spans="1:22" x14ac:dyDescent="0.2">
      <c r="A15" t="str">
        <f>INDEX(Prioritization!$D:$D,MATCH($B15,Prioritization!$A:$A,0))</f>
        <v>Military</v>
      </c>
      <c r="B15" t="s">
        <v>326</v>
      </c>
      <c r="C15" s="104">
        <v>220</v>
      </c>
      <c r="D15" s="33">
        <f t="shared" ref="D15:D44" si="0">0.95</f>
        <v>0.95</v>
      </c>
      <c r="E15" s="33">
        <f>1</f>
        <v>1</v>
      </c>
      <c r="F15" s="218">
        <f t="shared" ref="F15:F44" si="1">ROUND(SUM($C15)*$D15,0)</f>
        <v>209</v>
      </c>
      <c r="G15" s="218">
        <f t="shared" ref="G15:G44" si="2">ROUND(SUM($C15)*$E15,0)-SUM($F15)</f>
        <v>11</v>
      </c>
      <c r="H15" s="36">
        <v>9.7999999999999997E-3</v>
      </c>
      <c r="I15" s="33">
        <v>1.7999999999999999E-2</v>
      </c>
      <c r="J15" s="33">
        <f t="shared" ref="J15:J44" si="3">IF(SUM($F15)=0,"",IF($H15="","Enter Positivity Rate",$H15))</f>
        <v>9.7999999999999997E-3</v>
      </c>
      <c r="K15" s="33">
        <f t="shared" ref="K15:K44" si="4">IF(SUM($G15)=0,"",IF($I15="","Enter Positivity Rate",$I15))</f>
        <v>1.7999999999999999E-2</v>
      </c>
      <c r="L15" s="38">
        <f t="shared" ref="L15:L44" si="5">ROUND(SUM(SUM($F15)*SUM($J15),SUM($G15)*SUM($K15)),0)</f>
        <v>2</v>
      </c>
      <c r="M15" s="33">
        <f t="shared" ref="M15:M44" si="6">0.95</f>
        <v>0.95</v>
      </c>
      <c r="N15" s="38">
        <f t="shared" ref="N15:N44" si="7">ROUND(SUM($L15)*$M15,0)</f>
        <v>2</v>
      </c>
      <c r="O15" s="33">
        <f t="shared" ref="O15:O44" si="8">0.98</f>
        <v>0.98</v>
      </c>
      <c r="P15" s="38">
        <f t="shared" ref="P15:P44" si="9">ROUND(SUM($N15)*$O15,0)</f>
        <v>2</v>
      </c>
      <c r="Q15" s="33">
        <f t="shared" ref="Q15:Q44" si="10">0.7</f>
        <v>0.7</v>
      </c>
      <c r="R15" s="38">
        <f t="shared" ref="R15:R44" si="11">ROUND(SUM($N15)*$Q15,0)</f>
        <v>1</v>
      </c>
      <c r="S15" s="33">
        <f t="shared" ref="S15:S44" si="12">0.95</f>
        <v>0.95</v>
      </c>
      <c r="T15" s="38">
        <f t="shared" ref="T15:T44" si="13">ROUND(SUM($R15)*$S15,0)</f>
        <v>1</v>
      </c>
      <c r="U15" s="33">
        <f t="shared" ref="U15:U44" si="14">0.95</f>
        <v>0.95</v>
      </c>
      <c r="V15" s="38">
        <f t="shared" ref="V15:V44" si="15">ROUND(SUM($T15)*$U15,0)</f>
        <v>1</v>
      </c>
    </row>
    <row r="16" spans="1:22" x14ac:dyDescent="0.2">
      <c r="A16" t="str">
        <f>INDEX(Prioritization!$D:$D,MATCH($B16,Prioritization!$A:$A,0))</f>
        <v>4 - Sustained</v>
      </c>
      <c r="B16" t="s">
        <v>313</v>
      </c>
      <c r="C16" s="38">
        <f>SUMIF(PMTCT!$B:$B,$B16,PMTCT!$AV:$AV)</f>
        <v>947</v>
      </c>
      <c r="D16" s="33">
        <f t="shared" si="0"/>
        <v>0.95</v>
      </c>
      <c r="E16" s="33">
        <f>1</f>
        <v>1</v>
      </c>
      <c r="F16" s="218">
        <f t="shared" si="1"/>
        <v>900</v>
      </c>
      <c r="G16" s="218">
        <f t="shared" si="2"/>
        <v>47</v>
      </c>
      <c r="H16" s="33">
        <v>7.9000000000000008E-3</v>
      </c>
      <c r="I16" s="33">
        <v>2.1000000000000001E-2</v>
      </c>
      <c r="J16" s="33">
        <f t="shared" si="3"/>
        <v>7.9000000000000008E-3</v>
      </c>
      <c r="K16" s="33">
        <f t="shared" si="4"/>
        <v>2.1000000000000001E-2</v>
      </c>
      <c r="L16" s="38">
        <f t="shared" si="5"/>
        <v>8</v>
      </c>
      <c r="M16" s="33">
        <f t="shared" si="6"/>
        <v>0.95</v>
      </c>
      <c r="N16" s="38">
        <f t="shared" si="7"/>
        <v>8</v>
      </c>
      <c r="O16" s="33">
        <f t="shared" si="8"/>
        <v>0.98</v>
      </c>
      <c r="P16" s="38">
        <f t="shared" si="9"/>
        <v>8</v>
      </c>
      <c r="Q16" s="33">
        <f t="shared" si="10"/>
        <v>0.7</v>
      </c>
      <c r="R16" s="38">
        <f t="shared" si="11"/>
        <v>6</v>
      </c>
      <c r="S16" s="33">
        <f t="shared" si="12"/>
        <v>0.95</v>
      </c>
      <c r="T16" s="38">
        <f t="shared" si="13"/>
        <v>6</v>
      </c>
      <c r="U16" s="33">
        <f t="shared" si="14"/>
        <v>0.95</v>
      </c>
      <c r="V16" s="38">
        <f t="shared" si="15"/>
        <v>6</v>
      </c>
    </row>
    <row r="17" spans="1:22" x14ac:dyDescent="0.2">
      <c r="A17" t="str">
        <f>INDEX(Prioritization!$D:$D,MATCH($B17,Prioritization!$A:$A,0))</f>
        <v>1 - Scale-up: Saturation</v>
      </c>
      <c r="B17" t="s">
        <v>314</v>
      </c>
      <c r="C17" s="38">
        <f>SUMIF(PMTCT!$B:$B,$B17,PMTCT!$AV:$AV)</f>
        <v>4122</v>
      </c>
      <c r="D17" s="33">
        <f t="shared" si="0"/>
        <v>0.95</v>
      </c>
      <c r="E17" s="33">
        <f>1</f>
        <v>1</v>
      </c>
      <c r="F17" s="218">
        <f t="shared" si="1"/>
        <v>3916</v>
      </c>
      <c r="G17" s="218">
        <f t="shared" si="2"/>
        <v>206</v>
      </c>
      <c r="H17" s="33">
        <v>1.2999999999999999E-2</v>
      </c>
      <c r="I17" s="33">
        <v>0.02</v>
      </c>
      <c r="J17" s="33">
        <f t="shared" si="3"/>
        <v>1.2999999999999999E-2</v>
      </c>
      <c r="K17" s="33">
        <f t="shared" si="4"/>
        <v>0.02</v>
      </c>
      <c r="L17" s="38">
        <f t="shared" si="5"/>
        <v>55</v>
      </c>
      <c r="M17" s="33">
        <f t="shared" si="6"/>
        <v>0.95</v>
      </c>
      <c r="N17" s="38">
        <f t="shared" si="7"/>
        <v>52</v>
      </c>
      <c r="O17" s="33">
        <f t="shared" si="8"/>
        <v>0.98</v>
      </c>
      <c r="P17" s="38">
        <f t="shared" si="9"/>
        <v>51</v>
      </c>
      <c r="Q17" s="33">
        <f t="shared" si="10"/>
        <v>0.7</v>
      </c>
      <c r="R17" s="38">
        <f t="shared" si="11"/>
        <v>36</v>
      </c>
      <c r="S17" s="33">
        <f t="shared" si="12"/>
        <v>0.95</v>
      </c>
      <c r="T17" s="38">
        <f t="shared" si="13"/>
        <v>34</v>
      </c>
      <c r="U17" s="33">
        <f t="shared" si="14"/>
        <v>0.95</v>
      </c>
      <c r="V17" s="38">
        <f t="shared" si="15"/>
        <v>32</v>
      </c>
    </row>
    <row r="18" spans="1:22" x14ac:dyDescent="0.2">
      <c r="A18" t="str">
        <f>INDEX(Prioritization!$D:$D,MATCH($B18,Prioritization!$A:$A,0))</f>
        <v>1 - Scale-up: Saturation</v>
      </c>
      <c r="B18" t="s">
        <v>315</v>
      </c>
      <c r="C18" s="38">
        <f>SUMIF(PMTCT!$B:$B,$B18,PMTCT!$AV:$AV)</f>
        <v>684</v>
      </c>
      <c r="D18" s="33">
        <f t="shared" si="0"/>
        <v>0.95</v>
      </c>
      <c r="E18" s="33">
        <f>1</f>
        <v>1</v>
      </c>
      <c r="F18" s="218">
        <f t="shared" si="1"/>
        <v>650</v>
      </c>
      <c r="G18" s="218">
        <f t="shared" si="2"/>
        <v>34</v>
      </c>
      <c r="H18" s="33">
        <v>6.7999999999999996E-3</v>
      </c>
      <c r="I18" s="33">
        <v>2.4E-2</v>
      </c>
      <c r="J18" s="33">
        <f t="shared" si="3"/>
        <v>6.7999999999999996E-3</v>
      </c>
      <c r="K18" s="33">
        <f t="shared" si="4"/>
        <v>2.4E-2</v>
      </c>
      <c r="L18" s="38">
        <f t="shared" si="5"/>
        <v>5</v>
      </c>
      <c r="M18" s="33">
        <f t="shared" si="6"/>
        <v>0.95</v>
      </c>
      <c r="N18" s="38">
        <f t="shared" si="7"/>
        <v>5</v>
      </c>
      <c r="O18" s="33">
        <f t="shared" si="8"/>
        <v>0.98</v>
      </c>
      <c r="P18" s="38">
        <f t="shared" si="9"/>
        <v>5</v>
      </c>
      <c r="Q18" s="33">
        <f t="shared" si="10"/>
        <v>0.7</v>
      </c>
      <c r="R18" s="38">
        <f t="shared" si="11"/>
        <v>4</v>
      </c>
      <c r="S18" s="33">
        <f t="shared" si="12"/>
        <v>0.95</v>
      </c>
      <c r="T18" s="38">
        <f t="shared" si="13"/>
        <v>4</v>
      </c>
      <c r="U18" s="33">
        <f t="shared" si="14"/>
        <v>0.95</v>
      </c>
      <c r="V18" s="38">
        <f t="shared" si="15"/>
        <v>4</v>
      </c>
    </row>
    <row r="19" spans="1:22" x14ac:dyDescent="0.2">
      <c r="A19" t="str">
        <f>INDEX(Prioritization!$D:$D,MATCH($B19,Prioritization!$A:$A,0))</f>
        <v>INVALID</v>
      </c>
      <c r="B19" t="s">
        <v>316</v>
      </c>
      <c r="C19" s="38">
        <f>SUMIF(PMTCT!$B:$B,$B19,PMTCT!$AV:$AV)</f>
        <v>1</v>
      </c>
      <c r="D19" s="33">
        <f t="shared" si="0"/>
        <v>0.95</v>
      </c>
      <c r="E19" s="33">
        <f>1</f>
        <v>1</v>
      </c>
      <c r="F19" s="218">
        <f t="shared" si="1"/>
        <v>1</v>
      </c>
      <c r="G19" s="218">
        <f t="shared" si="2"/>
        <v>0</v>
      </c>
      <c r="H19" s="33">
        <v>2.8000000000000001E-2</v>
      </c>
      <c r="I19" s="33">
        <v>3.7000000000000002E-3</v>
      </c>
      <c r="J19" s="33">
        <f t="shared" si="3"/>
        <v>2.8000000000000001E-2</v>
      </c>
      <c r="K19" s="33" t="str">
        <f t="shared" si="4"/>
        <v/>
      </c>
      <c r="L19" s="38">
        <f t="shared" si="5"/>
        <v>0</v>
      </c>
      <c r="M19" s="33">
        <f t="shared" si="6"/>
        <v>0.95</v>
      </c>
      <c r="N19" s="38">
        <f t="shared" si="7"/>
        <v>0</v>
      </c>
      <c r="O19" s="33">
        <f t="shared" si="8"/>
        <v>0.98</v>
      </c>
      <c r="P19" s="38">
        <f t="shared" si="9"/>
        <v>0</v>
      </c>
      <c r="Q19" s="33">
        <f t="shared" si="10"/>
        <v>0.7</v>
      </c>
      <c r="R19" s="38">
        <f t="shared" si="11"/>
        <v>0</v>
      </c>
      <c r="S19" s="33">
        <f t="shared" si="12"/>
        <v>0.95</v>
      </c>
      <c r="T19" s="38">
        <f t="shared" si="13"/>
        <v>0</v>
      </c>
      <c r="U19" s="33">
        <f t="shared" si="14"/>
        <v>0.95</v>
      </c>
      <c r="V19" s="38">
        <f t="shared" si="15"/>
        <v>0</v>
      </c>
    </row>
    <row r="20" spans="1:22" x14ac:dyDescent="0.2">
      <c r="A20" t="str">
        <f>INDEX(Prioritization!$D:$D,MATCH($B20,Prioritization!$A:$A,0))</f>
        <v>4 - Sustained</v>
      </c>
      <c r="B20" t="s">
        <v>307</v>
      </c>
      <c r="C20" s="38">
        <f>SUMIF(PMTCT!$B:$B,$B20,PMTCT!$AV:$AV)</f>
        <v>0</v>
      </c>
      <c r="D20" s="33">
        <f t="shared" si="0"/>
        <v>0.95</v>
      </c>
      <c r="E20" s="33">
        <f>1</f>
        <v>1</v>
      </c>
      <c r="F20" s="218">
        <f t="shared" si="1"/>
        <v>0</v>
      </c>
      <c r="G20" s="218">
        <f t="shared" si="2"/>
        <v>0</v>
      </c>
      <c r="H20" s="33">
        <v>0.03</v>
      </c>
      <c r="I20" s="33">
        <v>1.2E-2</v>
      </c>
      <c r="J20" s="33" t="str">
        <f t="shared" si="3"/>
        <v/>
      </c>
      <c r="K20" s="33" t="str">
        <f t="shared" si="4"/>
        <v/>
      </c>
      <c r="L20" s="38">
        <f t="shared" si="5"/>
        <v>0</v>
      </c>
      <c r="M20" s="33">
        <f t="shared" si="6"/>
        <v>0.95</v>
      </c>
      <c r="N20" s="38">
        <f t="shared" si="7"/>
        <v>0</v>
      </c>
      <c r="O20" s="33">
        <f t="shared" si="8"/>
        <v>0.98</v>
      </c>
      <c r="P20" s="38">
        <f t="shared" si="9"/>
        <v>0</v>
      </c>
      <c r="Q20" s="33">
        <f t="shared" si="10"/>
        <v>0.7</v>
      </c>
      <c r="R20" s="38">
        <f t="shared" si="11"/>
        <v>0</v>
      </c>
      <c r="S20" s="33">
        <f t="shared" si="12"/>
        <v>0.95</v>
      </c>
      <c r="T20" s="38">
        <f t="shared" si="13"/>
        <v>0</v>
      </c>
      <c r="U20" s="33">
        <f t="shared" si="14"/>
        <v>0.95</v>
      </c>
      <c r="V20" s="38">
        <f t="shared" si="15"/>
        <v>0</v>
      </c>
    </row>
    <row r="21" spans="1:22" x14ac:dyDescent="0.2">
      <c r="A21" s="85" t="str">
        <f>INDEX(Prioritization!$D:$D,MATCH($B21,Prioritization!$A:$A,0))</f>
        <v>4 - Sustained</v>
      </c>
      <c r="B21" s="10" t="s">
        <v>298</v>
      </c>
      <c r="C21" s="38">
        <f>SUMIF(PMTCT!$B:$B,$B21,PMTCT!$AV:$AV)</f>
        <v>724</v>
      </c>
      <c r="D21" s="33">
        <f t="shared" si="0"/>
        <v>0.95</v>
      </c>
      <c r="E21" s="33">
        <f>1</f>
        <v>1</v>
      </c>
      <c r="F21" s="2">
        <f t="shared" si="1"/>
        <v>688</v>
      </c>
      <c r="G21" s="2">
        <f t="shared" si="2"/>
        <v>36</v>
      </c>
      <c r="H21" s="33">
        <v>3.0999999999999999E-3</v>
      </c>
      <c r="I21" s="33">
        <v>1.9E-2</v>
      </c>
      <c r="J21" s="33">
        <f t="shared" si="3"/>
        <v>3.0999999999999999E-3</v>
      </c>
      <c r="K21" s="33">
        <f t="shared" si="4"/>
        <v>1.9E-2</v>
      </c>
      <c r="L21" s="2">
        <f t="shared" si="5"/>
        <v>3</v>
      </c>
      <c r="M21" s="33">
        <f t="shared" si="6"/>
        <v>0.95</v>
      </c>
      <c r="N21" s="2">
        <f t="shared" si="7"/>
        <v>3</v>
      </c>
      <c r="O21" s="33">
        <f t="shared" si="8"/>
        <v>0.98</v>
      </c>
      <c r="P21" s="2">
        <f t="shared" si="9"/>
        <v>3</v>
      </c>
      <c r="Q21" s="33">
        <f t="shared" si="10"/>
        <v>0.7</v>
      </c>
      <c r="R21" s="29">
        <f t="shared" si="11"/>
        <v>2</v>
      </c>
      <c r="S21" s="33">
        <f t="shared" si="12"/>
        <v>0.95</v>
      </c>
      <c r="T21" s="2">
        <f t="shared" si="13"/>
        <v>2</v>
      </c>
      <c r="U21" s="33">
        <f t="shared" si="14"/>
        <v>0.95</v>
      </c>
      <c r="V21" s="2">
        <f t="shared" si="15"/>
        <v>2</v>
      </c>
    </row>
    <row r="22" spans="1:22" x14ac:dyDescent="0.2">
      <c r="A22" t="str">
        <f>INDEX(Prioritization!$D:$D,MATCH($B22,Prioritization!$A:$A,0))</f>
        <v>4 - Sustained</v>
      </c>
      <c r="B22" t="s">
        <v>299</v>
      </c>
      <c r="C22" s="38"/>
      <c r="D22" s="33"/>
      <c r="E22" s="33"/>
      <c r="F22" s="218"/>
      <c r="G22" s="218"/>
      <c r="H22" s="33"/>
      <c r="I22" s="33">
        <v>2.4E-2</v>
      </c>
      <c r="J22" s="33" t="str">
        <f t="shared" si="3"/>
        <v/>
      </c>
      <c r="K22" s="33" t="str">
        <f t="shared" si="4"/>
        <v/>
      </c>
      <c r="L22" s="38">
        <f t="shared" si="5"/>
        <v>0</v>
      </c>
      <c r="M22" s="33"/>
      <c r="N22" s="38"/>
      <c r="O22" s="33"/>
      <c r="P22" s="38"/>
      <c r="Q22" s="33">
        <f t="shared" si="10"/>
        <v>0.7</v>
      </c>
      <c r="R22" s="38">
        <f t="shared" si="11"/>
        <v>0</v>
      </c>
      <c r="S22" s="33">
        <f t="shared" si="12"/>
        <v>0.95</v>
      </c>
      <c r="T22" s="38">
        <f t="shared" si="13"/>
        <v>0</v>
      </c>
      <c r="U22" s="33">
        <f t="shared" si="14"/>
        <v>0.95</v>
      </c>
      <c r="V22" s="38">
        <f t="shared" si="15"/>
        <v>0</v>
      </c>
    </row>
    <row r="23" spans="1:22" x14ac:dyDescent="0.2">
      <c r="A23" t="str">
        <f>INDEX(Prioritization!$D:$D,MATCH($B23,Prioritization!$A:$A,0))</f>
        <v>INVALID</v>
      </c>
      <c r="B23" t="s">
        <v>308</v>
      </c>
      <c r="C23" s="38"/>
      <c r="D23" s="33"/>
      <c r="E23" s="33"/>
      <c r="F23" s="218"/>
      <c r="G23" s="218"/>
      <c r="H23" s="33"/>
      <c r="I23" s="33">
        <v>2.7E-2</v>
      </c>
      <c r="J23" s="33" t="str">
        <f t="shared" si="3"/>
        <v/>
      </c>
      <c r="K23" s="33" t="str">
        <f t="shared" si="4"/>
        <v/>
      </c>
      <c r="L23" s="38">
        <f t="shared" si="5"/>
        <v>0</v>
      </c>
      <c r="M23" s="33"/>
      <c r="N23" s="38"/>
      <c r="O23" s="33"/>
      <c r="P23" s="38"/>
      <c r="Q23" s="33">
        <f t="shared" si="10"/>
        <v>0.7</v>
      </c>
      <c r="R23" s="38">
        <f t="shared" si="11"/>
        <v>0</v>
      </c>
      <c r="S23" s="33">
        <f t="shared" si="12"/>
        <v>0.95</v>
      </c>
      <c r="T23" s="38">
        <f t="shared" si="13"/>
        <v>0</v>
      </c>
      <c r="U23" s="33">
        <f t="shared" si="14"/>
        <v>0.95</v>
      </c>
      <c r="V23" s="38">
        <f t="shared" si="15"/>
        <v>0</v>
      </c>
    </row>
    <row r="24" spans="1:22" x14ac:dyDescent="0.2">
      <c r="A24" t="str">
        <f>INDEX(Prioritization!$D:$D,MATCH($B24,Prioritization!$A:$A,0))</f>
        <v>INVALID</v>
      </c>
      <c r="B24" t="s">
        <v>300</v>
      </c>
      <c r="C24" s="38"/>
      <c r="D24" s="33"/>
      <c r="E24" s="33"/>
      <c r="F24" s="218"/>
      <c r="G24" s="218"/>
      <c r="H24" s="33"/>
      <c r="I24" s="33">
        <v>2.7E-2</v>
      </c>
      <c r="J24" s="33" t="str">
        <f t="shared" si="3"/>
        <v/>
      </c>
      <c r="K24" s="33" t="str">
        <f t="shared" si="4"/>
        <v/>
      </c>
      <c r="L24" s="38">
        <f t="shared" si="5"/>
        <v>0</v>
      </c>
      <c r="M24" s="33"/>
      <c r="N24" s="38"/>
      <c r="O24" s="33"/>
      <c r="P24" s="38"/>
      <c r="Q24" s="33">
        <f t="shared" si="10"/>
        <v>0.7</v>
      </c>
      <c r="R24" s="38">
        <f t="shared" si="11"/>
        <v>0</v>
      </c>
      <c r="S24" s="33">
        <f t="shared" si="12"/>
        <v>0.95</v>
      </c>
      <c r="T24" s="38">
        <f t="shared" si="13"/>
        <v>0</v>
      </c>
      <c r="U24" s="33">
        <f t="shared" si="14"/>
        <v>0.95</v>
      </c>
      <c r="V24" s="38">
        <f t="shared" si="15"/>
        <v>0</v>
      </c>
    </row>
    <row r="25" spans="1:22" x14ac:dyDescent="0.2">
      <c r="A25" t="str">
        <f>INDEX(Prioritization!$D:$D,MATCH($B25,Prioritization!$A:$A,0))</f>
        <v>4 - Sustained</v>
      </c>
      <c r="B25" t="s">
        <v>309</v>
      </c>
      <c r="C25" s="38"/>
      <c r="D25" s="33"/>
      <c r="E25" s="33"/>
      <c r="F25" s="218"/>
      <c r="G25" s="218"/>
      <c r="H25" s="33"/>
      <c r="I25" s="33">
        <v>5.6000000000000001E-2</v>
      </c>
      <c r="J25" s="33" t="str">
        <f t="shared" si="3"/>
        <v/>
      </c>
      <c r="K25" s="33" t="str">
        <f t="shared" si="4"/>
        <v/>
      </c>
      <c r="L25" s="38">
        <f t="shared" si="5"/>
        <v>0</v>
      </c>
      <c r="M25" s="33"/>
      <c r="N25" s="38"/>
      <c r="O25" s="33"/>
      <c r="P25" s="38"/>
      <c r="Q25" s="33">
        <f t="shared" si="10"/>
        <v>0.7</v>
      </c>
      <c r="R25" s="38">
        <f t="shared" si="11"/>
        <v>0</v>
      </c>
      <c r="S25" s="33">
        <f t="shared" si="12"/>
        <v>0.95</v>
      </c>
      <c r="T25" s="38">
        <f t="shared" si="13"/>
        <v>0</v>
      </c>
      <c r="U25" s="33">
        <f t="shared" si="14"/>
        <v>0.95</v>
      </c>
      <c r="V25" s="38">
        <f t="shared" si="15"/>
        <v>0</v>
      </c>
    </row>
    <row r="26" spans="1:22" x14ac:dyDescent="0.2">
      <c r="A26" t="str">
        <f>INDEX(Prioritization!$D:$D,MATCH($B26,Prioritization!$A:$A,0))</f>
        <v>INVALID</v>
      </c>
      <c r="B26" t="s">
        <v>301</v>
      </c>
      <c r="C26" s="38"/>
      <c r="D26" s="33"/>
      <c r="E26" s="33"/>
      <c r="F26" s="218"/>
      <c r="G26" s="218"/>
      <c r="H26" s="33"/>
      <c r="I26" s="33">
        <v>2.7E-2</v>
      </c>
      <c r="J26" s="33" t="str">
        <f t="shared" si="3"/>
        <v/>
      </c>
      <c r="K26" s="33" t="str">
        <f t="shared" si="4"/>
        <v/>
      </c>
      <c r="L26" s="38">
        <f t="shared" si="5"/>
        <v>0</v>
      </c>
      <c r="M26" s="33"/>
      <c r="N26" s="38"/>
      <c r="O26" s="33"/>
      <c r="P26" s="38"/>
      <c r="Q26" s="33">
        <f t="shared" si="10"/>
        <v>0.7</v>
      </c>
      <c r="R26" s="38">
        <f t="shared" si="11"/>
        <v>0</v>
      </c>
      <c r="S26" s="33">
        <f t="shared" si="12"/>
        <v>0.95</v>
      </c>
      <c r="T26" s="38">
        <f t="shared" si="13"/>
        <v>0</v>
      </c>
      <c r="U26" s="33">
        <f t="shared" si="14"/>
        <v>0.95</v>
      </c>
      <c r="V26" s="38">
        <f t="shared" si="15"/>
        <v>0</v>
      </c>
    </row>
    <row r="27" spans="1:22" x14ac:dyDescent="0.2">
      <c r="A27" t="str">
        <f>INDEX(Prioritization!$D:$D,MATCH($B27,Prioritization!$A:$A,0))</f>
        <v>1 - Scale-up: Saturation</v>
      </c>
      <c r="B27" t="s">
        <v>317</v>
      </c>
      <c r="C27" s="38"/>
      <c r="D27" s="33"/>
      <c r="E27" s="33"/>
      <c r="F27" s="218"/>
      <c r="G27" s="218"/>
      <c r="H27" s="33"/>
      <c r="I27" s="33">
        <v>1.2999999999999999E-2</v>
      </c>
      <c r="J27" s="33" t="str">
        <f t="shared" si="3"/>
        <v/>
      </c>
      <c r="K27" s="33" t="str">
        <f t="shared" si="4"/>
        <v/>
      </c>
      <c r="L27" s="38">
        <f t="shared" si="5"/>
        <v>0</v>
      </c>
      <c r="M27" s="33"/>
      <c r="N27" s="38"/>
      <c r="O27" s="33"/>
      <c r="P27" s="38"/>
      <c r="Q27" s="33">
        <f t="shared" si="10"/>
        <v>0.7</v>
      </c>
      <c r="R27" s="38">
        <f t="shared" si="11"/>
        <v>0</v>
      </c>
      <c r="S27" s="33">
        <f t="shared" si="12"/>
        <v>0.95</v>
      </c>
      <c r="T27" s="38">
        <f t="shared" si="13"/>
        <v>0</v>
      </c>
      <c r="U27" s="33">
        <f t="shared" si="14"/>
        <v>0.95</v>
      </c>
      <c r="V27" s="38">
        <f t="shared" si="15"/>
        <v>0</v>
      </c>
    </row>
    <row r="28" spans="1:22" x14ac:dyDescent="0.2">
      <c r="A28" t="str">
        <f>INDEX(Prioritization!$D:$D,MATCH($B28,Prioritization!$A:$A,0))</f>
        <v>1 - Scale-up: Saturation</v>
      </c>
      <c r="B28" t="s">
        <v>318</v>
      </c>
      <c r="C28" s="38">
        <f>SUMIF(PMTCT!$B:$B,$B28,PMTCT!$AV:$AV)</f>
        <v>3391</v>
      </c>
      <c r="D28" s="33">
        <f t="shared" si="0"/>
        <v>0.95</v>
      </c>
      <c r="E28" s="33">
        <f>1</f>
        <v>1</v>
      </c>
      <c r="F28" s="218">
        <f t="shared" si="1"/>
        <v>3221</v>
      </c>
      <c r="G28" s="218">
        <f t="shared" si="2"/>
        <v>170</v>
      </c>
      <c r="H28" s="33">
        <v>1.0999999999999999E-2</v>
      </c>
      <c r="I28" s="33">
        <v>1.7000000000000001E-2</v>
      </c>
      <c r="J28" s="33">
        <f t="shared" si="3"/>
        <v>1.0999999999999999E-2</v>
      </c>
      <c r="K28" s="33">
        <f t="shared" si="4"/>
        <v>1.7000000000000001E-2</v>
      </c>
      <c r="L28" s="38">
        <f t="shared" si="5"/>
        <v>38</v>
      </c>
      <c r="M28" s="33"/>
      <c r="N28" s="38"/>
      <c r="O28" s="33"/>
      <c r="P28" s="38"/>
      <c r="Q28" s="33">
        <f t="shared" si="10"/>
        <v>0.7</v>
      </c>
      <c r="R28" s="38">
        <f t="shared" si="11"/>
        <v>0</v>
      </c>
      <c r="S28" s="33">
        <f t="shared" si="12"/>
        <v>0.95</v>
      </c>
      <c r="T28" s="38">
        <f t="shared" si="13"/>
        <v>0</v>
      </c>
      <c r="U28" s="33">
        <f t="shared" si="14"/>
        <v>0.95</v>
      </c>
      <c r="V28" s="38">
        <f t="shared" si="15"/>
        <v>0</v>
      </c>
    </row>
    <row r="29" spans="1:22" x14ac:dyDescent="0.2">
      <c r="A29" t="str">
        <f>INDEX(Prioritization!$D:$D,MATCH($B29,Prioritization!$A:$A,0))</f>
        <v>4 - Sustained</v>
      </c>
      <c r="B29" t="s">
        <v>302</v>
      </c>
      <c r="C29" s="38">
        <f>SUMIF(PMTCT!$B:$B,$B29,PMTCT!$AV:$AV)</f>
        <v>561</v>
      </c>
      <c r="D29" s="33">
        <f t="shared" si="0"/>
        <v>0.95</v>
      </c>
      <c r="E29" s="33">
        <f>1</f>
        <v>1</v>
      </c>
      <c r="F29" s="218">
        <f t="shared" si="1"/>
        <v>533</v>
      </c>
      <c r="G29" s="218">
        <f t="shared" si="2"/>
        <v>28</v>
      </c>
      <c r="H29" s="33"/>
      <c r="I29" s="33"/>
      <c r="J29" s="33" t="str">
        <f t="shared" si="3"/>
        <v>Enter Positivity Rate</v>
      </c>
      <c r="K29" s="33" t="str">
        <f t="shared" si="4"/>
        <v>Enter Positivity Rate</v>
      </c>
      <c r="L29" s="38">
        <f t="shared" si="5"/>
        <v>0</v>
      </c>
      <c r="M29" s="33">
        <f t="shared" si="6"/>
        <v>0.95</v>
      </c>
      <c r="N29" s="38">
        <f t="shared" si="7"/>
        <v>0</v>
      </c>
      <c r="O29" s="33">
        <f t="shared" si="8"/>
        <v>0.98</v>
      </c>
      <c r="P29" s="38">
        <f t="shared" si="9"/>
        <v>0</v>
      </c>
      <c r="Q29" s="33">
        <f t="shared" si="10"/>
        <v>0.7</v>
      </c>
      <c r="R29" s="38">
        <f t="shared" si="11"/>
        <v>0</v>
      </c>
      <c r="S29" s="33">
        <f t="shared" si="12"/>
        <v>0.95</v>
      </c>
      <c r="T29" s="38">
        <f t="shared" si="13"/>
        <v>0</v>
      </c>
      <c r="U29" s="33">
        <f t="shared" si="14"/>
        <v>0.95</v>
      </c>
      <c r="V29" s="38">
        <f t="shared" si="15"/>
        <v>0</v>
      </c>
    </row>
    <row r="30" spans="1:22" x14ac:dyDescent="0.2">
      <c r="A30" t="str">
        <f>INDEX(Prioritization!$D:$D,MATCH($B30,Prioritization!$A:$A,0))</f>
        <v>INVALID</v>
      </c>
      <c r="B30" t="s">
        <v>319</v>
      </c>
      <c r="C30" s="38">
        <f>SUMIF(PMTCT!$B:$B,$B30,PMTCT!$AV:$AV)</f>
        <v>2862</v>
      </c>
      <c r="D30" s="33">
        <f t="shared" si="0"/>
        <v>0.95</v>
      </c>
      <c r="E30" s="33">
        <f>1</f>
        <v>1</v>
      </c>
      <c r="F30" s="218">
        <f t="shared" si="1"/>
        <v>2719</v>
      </c>
      <c r="G30" s="218">
        <f t="shared" si="2"/>
        <v>143</v>
      </c>
      <c r="H30" s="33"/>
      <c r="I30" s="33"/>
      <c r="J30" s="33" t="str">
        <f t="shared" si="3"/>
        <v>Enter Positivity Rate</v>
      </c>
      <c r="K30" s="33" t="str">
        <f t="shared" si="4"/>
        <v>Enter Positivity Rate</v>
      </c>
      <c r="L30" s="38">
        <f t="shared" si="5"/>
        <v>0</v>
      </c>
      <c r="M30" s="33">
        <f t="shared" si="6"/>
        <v>0.95</v>
      </c>
      <c r="N30" s="38">
        <f t="shared" si="7"/>
        <v>0</v>
      </c>
      <c r="O30" s="33">
        <f t="shared" si="8"/>
        <v>0.98</v>
      </c>
      <c r="P30" s="38">
        <f t="shared" si="9"/>
        <v>0</v>
      </c>
      <c r="Q30" s="33">
        <f t="shared" si="10"/>
        <v>0.7</v>
      </c>
      <c r="R30" s="38">
        <f t="shared" si="11"/>
        <v>0</v>
      </c>
      <c r="S30" s="33">
        <f t="shared" si="12"/>
        <v>0.95</v>
      </c>
      <c r="T30" s="38">
        <f t="shared" si="13"/>
        <v>0</v>
      </c>
      <c r="U30" s="33">
        <f t="shared" si="14"/>
        <v>0.95</v>
      </c>
      <c r="V30" s="38">
        <f t="shared" si="15"/>
        <v>0</v>
      </c>
    </row>
    <row r="31" spans="1:22" x14ac:dyDescent="0.2">
      <c r="A31" t="str">
        <f>INDEX(Prioritization!$D:$D,MATCH($B31,Prioritization!$A:$A,0))</f>
        <v>4 - Sustained</v>
      </c>
      <c r="B31" t="s">
        <v>320</v>
      </c>
      <c r="C31" s="38">
        <f>SUMIF(PMTCT!$B:$B,$B31,PMTCT!$AV:$AV)</f>
        <v>307</v>
      </c>
      <c r="D31" s="33">
        <f t="shared" si="0"/>
        <v>0.95</v>
      </c>
      <c r="E31" s="33">
        <f>1</f>
        <v>1</v>
      </c>
      <c r="F31" s="218">
        <f t="shared" si="1"/>
        <v>292</v>
      </c>
      <c r="G31" s="218">
        <f t="shared" si="2"/>
        <v>15</v>
      </c>
      <c r="H31" s="33"/>
      <c r="I31" s="33"/>
      <c r="J31" s="33" t="str">
        <f t="shared" si="3"/>
        <v>Enter Positivity Rate</v>
      </c>
      <c r="K31" s="33" t="str">
        <f t="shared" si="4"/>
        <v>Enter Positivity Rate</v>
      </c>
      <c r="L31" s="38">
        <f t="shared" si="5"/>
        <v>0</v>
      </c>
      <c r="M31" s="33">
        <f t="shared" si="6"/>
        <v>0.95</v>
      </c>
      <c r="N31" s="38">
        <f t="shared" si="7"/>
        <v>0</v>
      </c>
      <c r="O31" s="33">
        <f t="shared" si="8"/>
        <v>0.98</v>
      </c>
      <c r="P31" s="38">
        <f t="shared" si="9"/>
        <v>0</v>
      </c>
      <c r="Q31" s="33">
        <f t="shared" si="10"/>
        <v>0.7</v>
      </c>
      <c r="R31" s="38">
        <f t="shared" si="11"/>
        <v>0</v>
      </c>
      <c r="S31" s="33">
        <f t="shared" si="12"/>
        <v>0.95</v>
      </c>
      <c r="T31" s="38">
        <f t="shared" si="13"/>
        <v>0</v>
      </c>
      <c r="U31" s="33">
        <f t="shared" si="14"/>
        <v>0.95</v>
      </c>
      <c r="V31" s="38">
        <f t="shared" si="15"/>
        <v>0</v>
      </c>
    </row>
    <row r="32" spans="1:22" x14ac:dyDescent="0.2">
      <c r="A32" t="str">
        <f>INDEX(Prioritization!$D:$D,MATCH($B32,Prioritization!$A:$A,0))</f>
        <v>1 - Scale-up: Saturation</v>
      </c>
      <c r="B32" t="s">
        <v>310</v>
      </c>
      <c r="C32" s="38">
        <f>SUMIF(PMTCT!$B:$B,$B32,PMTCT!$AV:$AV)</f>
        <v>1996</v>
      </c>
      <c r="D32" s="33">
        <f t="shared" si="0"/>
        <v>0.95</v>
      </c>
      <c r="E32" s="33">
        <f>1</f>
        <v>1</v>
      </c>
      <c r="F32" s="218">
        <f t="shared" si="1"/>
        <v>1896</v>
      </c>
      <c r="G32" s="218">
        <f t="shared" si="2"/>
        <v>100</v>
      </c>
      <c r="H32" s="33">
        <v>1.7000000000000001E-2</v>
      </c>
      <c r="I32" s="33">
        <v>2.4E-2</v>
      </c>
      <c r="J32" s="33">
        <f t="shared" si="3"/>
        <v>1.7000000000000001E-2</v>
      </c>
      <c r="K32" s="33">
        <f t="shared" si="4"/>
        <v>2.4E-2</v>
      </c>
      <c r="L32" s="38">
        <f t="shared" si="5"/>
        <v>35</v>
      </c>
      <c r="M32" s="33">
        <f t="shared" si="6"/>
        <v>0.95</v>
      </c>
      <c r="N32" s="38">
        <f t="shared" si="7"/>
        <v>33</v>
      </c>
      <c r="O32" s="33">
        <f t="shared" si="8"/>
        <v>0.98</v>
      </c>
      <c r="P32" s="38">
        <f t="shared" si="9"/>
        <v>32</v>
      </c>
      <c r="Q32" s="33">
        <f t="shared" si="10"/>
        <v>0.7</v>
      </c>
      <c r="R32" s="38">
        <f t="shared" si="11"/>
        <v>23</v>
      </c>
      <c r="S32" s="33">
        <f t="shared" si="12"/>
        <v>0.95</v>
      </c>
      <c r="T32" s="38">
        <f t="shared" si="13"/>
        <v>22</v>
      </c>
      <c r="U32" s="33">
        <f t="shared" si="14"/>
        <v>0.95</v>
      </c>
      <c r="V32" s="38">
        <f t="shared" si="15"/>
        <v>21</v>
      </c>
    </row>
    <row r="33" spans="1:22" x14ac:dyDescent="0.2">
      <c r="A33" t="str">
        <f>INDEX(Prioritization!$D:$D,MATCH($B33,Prioritization!$A:$A,0))</f>
        <v>4 - Sustained</v>
      </c>
      <c r="B33" t="s">
        <v>321</v>
      </c>
      <c r="C33" s="38">
        <f>SUMIF(PMTCT!$B:$B,$B33,PMTCT!$AV:$AV)</f>
        <v>388</v>
      </c>
      <c r="D33" s="33">
        <f t="shared" si="0"/>
        <v>0.95</v>
      </c>
      <c r="E33" s="33">
        <f>1</f>
        <v>1</v>
      </c>
      <c r="F33" s="218">
        <f t="shared" si="1"/>
        <v>369</v>
      </c>
      <c r="G33" s="218">
        <f t="shared" si="2"/>
        <v>19</v>
      </c>
      <c r="H33" s="33">
        <v>6.4999999999999997E-3</v>
      </c>
      <c r="I33" s="33">
        <v>6.8999999999999999E-3</v>
      </c>
      <c r="J33" s="33">
        <f t="shared" si="3"/>
        <v>6.4999999999999997E-3</v>
      </c>
      <c r="K33" s="33">
        <f t="shared" si="4"/>
        <v>6.8999999999999999E-3</v>
      </c>
      <c r="L33" s="38">
        <f t="shared" si="5"/>
        <v>3</v>
      </c>
      <c r="M33" s="33">
        <f t="shared" si="6"/>
        <v>0.95</v>
      </c>
      <c r="N33" s="38">
        <f t="shared" si="7"/>
        <v>3</v>
      </c>
      <c r="O33" s="33">
        <f t="shared" si="8"/>
        <v>0.98</v>
      </c>
      <c r="P33" s="38">
        <f t="shared" si="9"/>
        <v>3</v>
      </c>
      <c r="Q33" s="33">
        <f t="shared" si="10"/>
        <v>0.7</v>
      </c>
      <c r="R33" s="38">
        <f t="shared" si="11"/>
        <v>2</v>
      </c>
      <c r="S33" s="33">
        <f t="shared" si="12"/>
        <v>0.95</v>
      </c>
      <c r="T33" s="38">
        <f t="shared" si="13"/>
        <v>2</v>
      </c>
      <c r="U33" s="33">
        <f t="shared" si="14"/>
        <v>0.95</v>
      </c>
      <c r="V33" s="38">
        <f t="shared" si="15"/>
        <v>2</v>
      </c>
    </row>
    <row r="34" spans="1:22" x14ac:dyDescent="0.2">
      <c r="A34" t="str">
        <f>INDEX(Prioritization!$D:$D,MATCH($B34,Prioritization!$A:$A,0))</f>
        <v>4 - Sustained</v>
      </c>
      <c r="B34" t="s">
        <v>311</v>
      </c>
      <c r="C34" s="38">
        <f>SUMIF(PMTCT!$B:$B,$B34,PMTCT!$AV:$AV)</f>
        <v>370</v>
      </c>
      <c r="D34" s="33">
        <f t="shared" si="0"/>
        <v>0.95</v>
      </c>
      <c r="E34" s="33">
        <f>1</f>
        <v>1</v>
      </c>
      <c r="F34" s="218">
        <f t="shared" si="1"/>
        <v>352</v>
      </c>
      <c r="G34" s="218"/>
      <c r="H34" s="33"/>
      <c r="I34" s="33"/>
      <c r="J34" s="33"/>
      <c r="K34" s="33"/>
      <c r="L34" s="38">
        <f t="shared" si="5"/>
        <v>0</v>
      </c>
      <c r="M34" s="33">
        <f t="shared" si="6"/>
        <v>0.95</v>
      </c>
      <c r="N34" s="38">
        <f t="shared" si="7"/>
        <v>0</v>
      </c>
      <c r="O34" s="33">
        <f t="shared" si="8"/>
        <v>0.98</v>
      </c>
      <c r="P34" s="38">
        <f t="shared" si="9"/>
        <v>0</v>
      </c>
      <c r="Q34" s="33">
        <f t="shared" si="10"/>
        <v>0.7</v>
      </c>
      <c r="R34" s="38">
        <f t="shared" si="11"/>
        <v>0</v>
      </c>
      <c r="S34" s="33">
        <f t="shared" si="12"/>
        <v>0.95</v>
      </c>
      <c r="T34" s="38">
        <f t="shared" si="13"/>
        <v>0</v>
      </c>
      <c r="U34" s="33">
        <f t="shared" si="14"/>
        <v>0.95</v>
      </c>
      <c r="V34" s="38">
        <f t="shared" si="15"/>
        <v>0</v>
      </c>
    </row>
    <row r="35" spans="1:22" x14ac:dyDescent="0.2">
      <c r="A35" t="str">
        <f>INDEX(Prioritization!$D:$D,MATCH($B35,Prioritization!$A:$A,0))</f>
        <v>4 - Sustained</v>
      </c>
      <c r="B35" t="s">
        <v>303</v>
      </c>
      <c r="C35" s="38">
        <f>SUMIF(PMTCT!$B:$B,$B35,PMTCT!$AV:$AV)</f>
        <v>524</v>
      </c>
      <c r="D35" s="33">
        <f t="shared" si="0"/>
        <v>0.95</v>
      </c>
      <c r="E35" s="33">
        <f>1</f>
        <v>1</v>
      </c>
      <c r="F35" s="218">
        <f t="shared" si="1"/>
        <v>498</v>
      </c>
      <c r="G35" s="218"/>
      <c r="H35" s="33"/>
      <c r="I35" s="33"/>
      <c r="J35" s="33"/>
      <c r="K35" s="33"/>
      <c r="L35" s="38">
        <f t="shared" si="5"/>
        <v>0</v>
      </c>
      <c r="M35" s="33">
        <f t="shared" si="6"/>
        <v>0.95</v>
      </c>
      <c r="N35" s="38">
        <f t="shared" si="7"/>
        <v>0</v>
      </c>
      <c r="O35" s="33">
        <f t="shared" si="8"/>
        <v>0.98</v>
      </c>
      <c r="P35" s="38">
        <f t="shared" si="9"/>
        <v>0</v>
      </c>
      <c r="Q35" s="33">
        <f t="shared" si="10"/>
        <v>0.7</v>
      </c>
      <c r="R35" s="38">
        <f t="shared" si="11"/>
        <v>0</v>
      </c>
      <c r="S35" s="33">
        <f t="shared" si="12"/>
        <v>0.95</v>
      </c>
      <c r="T35" s="38">
        <f t="shared" si="13"/>
        <v>0</v>
      </c>
      <c r="U35" s="33">
        <f t="shared" si="14"/>
        <v>0.95</v>
      </c>
      <c r="V35" s="38">
        <f t="shared" si="15"/>
        <v>0</v>
      </c>
    </row>
    <row r="36" spans="1:22" x14ac:dyDescent="0.2">
      <c r="A36" t="str">
        <f>INDEX(Prioritization!$D:$D,MATCH($B36,Prioritization!$A:$A,0))</f>
        <v>INVALID</v>
      </c>
      <c r="B36" t="s">
        <v>322</v>
      </c>
      <c r="C36" s="38">
        <f>SUMIF(PMTCT!$B:$B,$B36,PMTCT!$AV:$AV)</f>
        <v>1254</v>
      </c>
      <c r="D36" s="33">
        <v>0</v>
      </c>
      <c r="E36" s="33">
        <f>1</f>
        <v>1</v>
      </c>
      <c r="F36" s="218">
        <f t="shared" si="1"/>
        <v>0</v>
      </c>
      <c r="G36" s="218"/>
      <c r="H36" s="33"/>
      <c r="I36" s="33"/>
      <c r="J36" s="33"/>
      <c r="K36" s="33"/>
      <c r="L36" s="38">
        <f t="shared" si="5"/>
        <v>0</v>
      </c>
      <c r="M36" s="33">
        <f t="shared" si="6"/>
        <v>0.95</v>
      </c>
      <c r="N36" s="38">
        <f t="shared" si="7"/>
        <v>0</v>
      </c>
      <c r="O36" s="33">
        <f t="shared" si="8"/>
        <v>0.98</v>
      </c>
      <c r="P36" s="38">
        <f t="shared" si="9"/>
        <v>0</v>
      </c>
      <c r="Q36" s="33">
        <f t="shared" si="10"/>
        <v>0.7</v>
      </c>
      <c r="R36" s="38">
        <f t="shared" si="11"/>
        <v>0</v>
      </c>
      <c r="S36" s="33">
        <f t="shared" si="12"/>
        <v>0.95</v>
      </c>
      <c r="T36" s="38">
        <f t="shared" si="13"/>
        <v>0</v>
      </c>
      <c r="U36" s="33">
        <f t="shared" si="14"/>
        <v>0.95</v>
      </c>
      <c r="V36" s="38">
        <f t="shared" si="15"/>
        <v>0</v>
      </c>
    </row>
    <row r="37" spans="1:22" x14ac:dyDescent="0.2">
      <c r="A37" t="str">
        <f>INDEX(Prioritization!$D:$D,MATCH($B37,Prioritization!$A:$A,0))</f>
        <v>4 - Sustained</v>
      </c>
      <c r="B37" t="s">
        <v>304</v>
      </c>
      <c r="C37" s="38">
        <f>SUMIF(PMTCT!$B:$B,$B37,PMTCT!$AV:$AV)</f>
        <v>1173</v>
      </c>
      <c r="D37" s="33">
        <v>0</v>
      </c>
      <c r="E37" s="33">
        <f>1</f>
        <v>1</v>
      </c>
      <c r="F37" s="218">
        <f t="shared" si="1"/>
        <v>0</v>
      </c>
      <c r="G37" s="218"/>
      <c r="H37" s="33"/>
      <c r="I37" s="33"/>
      <c r="J37" s="33"/>
      <c r="K37" s="33"/>
      <c r="L37" s="38">
        <f t="shared" si="5"/>
        <v>0</v>
      </c>
      <c r="M37" s="33">
        <f t="shared" si="6"/>
        <v>0.95</v>
      </c>
      <c r="N37" s="38">
        <f t="shared" si="7"/>
        <v>0</v>
      </c>
      <c r="O37" s="33">
        <f t="shared" si="8"/>
        <v>0.98</v>
      </c>
      <c r="P37" s="38">
        <f t="shared" si="9"/>
        <v>0</v>
      </c>
      <c r="Q37" s="33">
        <f t="shared" si="10"/>
        <v>0.7</v>
      </c>
      <c r="R37" s="38">
        <f t="shared" si="11"/>
        <v>0</v>
      </c>
      <c r="S37" s="33">
        <f t="shared" si="12"/>
        <v>0.95</v>
      </c>
      <c r="T37" s="38">
        <f t="shared" si="13"/>
        <v>0</v>
      </c>
      <c r="U37" s="33">
        <f t="shared" si="14"/>
        <v>0.95</v>
      </c>
      <c r="V37" s="38">
        <f t="shared" si="15"/>
        <v>0</v>
      </c>
    </row>
    <row r="38" spans="1:22" x14ac:dyDescent="0.2">
      <c r="A38" t="str">
        <f>INDEX(Prioritization!$D:$D,MATCH($B38,Prioritization!$A:$A,0))</f>
        <v>4 - Sustained</v>
      </c>
      <c r="B38" t="s">
        <v>305</v>
      </c>
      <c r="C38" s="38">
        <f>SUMIF(PMTCT!$B:$B,$B38,PMTCT!$AV:$AV)</f>
        <v>197</v>
      </c>
      <c r="D38" s="33">
        <v>0</v>
      </c>
      <c r="E38" s="33">
        <f>1</f>
        <v>1</v>
      </c>
      <c r="F38" s="218">
        <f t="shared" si="1"/>
        <v>0</v>
      </c>
      <c r="G38" s="218">
        <f t="shared" si="2"/>
        <v>197</v>
      </c>
      <c r="H38" s="33">
        <v>5.2999999999999999E-2</v>
      </c>
      <c r="I38" s="33">
        <v>1.7000000000000001E-2</v>
      </c>
      <c r="J38" s="33" t="str">
        <f t="shared" si="3"/>
        <v/>
      </c>
      <c r="K38" s="33">
        <f t="shared" si="4"/>
        <v>1.7000000000000001E-2</v>
      </c>
      <c r="L38" s="38">
        <f t="shared" si="5"/>
        <v>3</v>
      </c>
      <c r="M38" s="33">
        <f t="shared" si="6"/>
        <v>0.95</v>
      </c>
      <c r="N38" s="38">
        <f t="shared" si="7"/>
        <v>3</v>
      </c>
      <c r="O38" s="33">
        <f t="shared" si="8"/>
        <v>0.98</v>
      </c>
      <c r="P38" s="38">
        <f t="shared" si="9"/>
        <v>3</v>
      </c>
      <c r="Q38" s="33">
        <f t="shared" si="10"/>
        <v>0.7</v>
      </c>
      <c r="R38" s="38">
        <f t="shared" si="11"/>
        <v>2</v>
      </c>
      <c r="S38" s="33">
        <f t="shared" si="12"/>
        <v>0.95</v>
      </c>
      <c r="T38" s="38">
        <f t="shared" si="13"/>
        <v>2</v>
      </c>
      <c r="U38" s="33">
        <f t="shared" si="14"/>
        <v>0.95</v>
      </c>
      <c r="V38" s="38">
        <f t="shared" si="15"/>
        <v>2</v>
      </c>
    </row>
    <row r="39" spans="1:22" x14ac:dyDescent="0.2">
      <c r="A39" t="str">
        <f>INDEX(Prioritization!$D:$D,MATCH($B39,Prioritization!$A:$A,0))</f>
        <v>INVALID</v>
      </c>
      <c r="B39" t="s">
        <v>323</v>
      </c>
      <c r="C39" s="38">
        <f>SUMIF(PMTCT!$B:$B,$B39,PMTCT!$AV:$AV)</f>
        <v>2109</v>
      </c>
      <c r="D39" s="33">
        <v>0</v>
      </c>
      <c r="E39" s="33">
        <f>1</f>
        <v>1</v>
      </c>
      <c r="F39" s="218">
        <f t="shared" si="1"/>
        <v>0</v>
      </c>
      <c r="G39" s="218">
        <f t="shared" si="2"/>
        <v>2109</v>
      </c>
      <c r="H39" s="33">
        <v>6.1000000000000004E-3</v>
      </c>
      <c r="I39" s="33">
        <v>9.7000000000000003E-3</v>
      </c>
      <c r="J39" s="33" t="str">
        <f t="shared" si="3"/>
        <v/>
      </c>
      <c r="K39" s="33">
        <f t="shared" si="4"/>
        <v>9.7000000000000003E-3</v>
      </c>
      <c r="L39" s="38">
        <f t="shared" si="5"/>
        <v>20</v>
      </c>
      <c r="M39" s="33">
        <f t="shared" si="6"/>
        <v>0.95</v>
      </c>
      <c r="N39" s="38">
        <f t="shared" si="7"/>
        <v>19</v>
      </c>
      <c r="O39" s="33">
        <f t="shared" si="8"/>
        <v>0.98</v>
      </c>
      <c r="P39" s="38">
        <f t="shared" si="9"/>
        <v>19</v>
      </c>
      <c r="Q39" s="33">
        <f t="shared" si="10"/>
        <v>0.7</v>
      </c>
      <c r="R39" s="38">
        <f t="shared" si="11"/>
        <v>13</v>
      </c>
      <c r="S39" s="33">
        <f t="shared" si="12"/>
        <v>0.95</v>
      </c>
      <c r="T39" s="38">
        <f t="shared" si="13"/>
        <v>12</v>
      </c>
      <c r="U39" s="33">
        <f t="shared" si="14"/>
        <v>0.95</v>
      </c>
      <c r="V39" s="38">
        <f t="shared" si="15"/>
        <v>11</v>
      </c>
    </row>
    <row r="40" spans="1:22" x14ac:dyDescent="0.2">
      <c r="A40" t="e">
        <f>INDEX(Prioritization!$D:$D,MATCH($B40,Prioritization!$A:$A,0))</f>
        <v>#N/A</v>
      </c>
      <c r="B40" t="s">
        <v>1114</v>
      </c>
      <c r="C40" s="38">
        <f>SUMIF(PMTCT!$B:$B,$B40,PMTCT!$AV:$AV)</f>
        <v>0</v>
      </c>
      <c r="D40" s="33">
        <v>0</v>
      </c>
      <c r="E40" s="33">
        <f>1</f>
        <v>1</v>
      </c>
      <c r="F40" s="218">
        <f t="shared" si="1"/>
        <v>0</v>
      </c>
      <c r="G40" s="218">
        <f t="shared" si="2"/>
        <v>0</v>
      </c>
      <c r="H40" s="33"/>
      <c r="I40" s="33"/>
      <c r="J40" s="33" t="str">
        <f t="shared" si="3"/>
        <v/>
      </c>
      <c r="K40" s="33" t="str">
        <f t="shared" si="4"/>
        <v/>
      </c>
      <c r="L40" s="38">
        <f t="shared" si="5"/>
        <v>0</v>
      </c>
      <c r="M40" s="33">
        <f t="shared" si="6"/>
        <v>0.95</v>
      </c>
      <c r="N40" s="38">
        <f t="shared" si="7"/>
        <v>0</v>
      </c>
      <c r="O40" s="33">
        <f t="shared" si="8"/>
        <v>0.98</v>
      </c>
      <c r="P40" s="38">
        <f t="shared" si="9"/>
        <v>0</v>
      </c>
      <c r="Q40" s="33">
        <f t="shared" si="10"/>
        <v>0.7</v>
      </c>
      <c r="R40" s="38">
        <f t="shared" si="11"/>
        <v>0</v>
      </c>
      <c r="S40" s="33">
        <f t="shared" si="12"/>
        <v>0.95</v>
      </c>
      <c r="T40" s="38">
        <f t="shared" si="13"/>
        <v>0</v>
      </c>
      <c r="U40" s="33">
        <f t="shared" si="14"/>
        <v>0.95</v>
      </c>
      <c r="V40" s="38">
        <f t="shared" si="15"/>
        <v>0</v>
      </c>
    </row>
    <row r="41" spans="1:22" x14ac:dyDescent="0.2">
      <c r="A41" t="str">
        <f>INDEX(Prioritization!$D:$D,MATCH($B41,Prioritization!$A:$A,0))</f>
        <v>4 - Sustained</v>
      </c>
      <c r="B41" t="s">
        <v>312</v>
      </c>
      <c r="C41" s="38">
        <f>SUMIF(PMTCT!$B:$B,$B41,PMTCT!$AV:$AV)</f>
        <v>286</v>
      </c>
      <c r="D41" s="33">
        <v>0</v>
      </c>
      <c r="E41" s="33">
        <f>1</f>
        <v>1</v>
      </c>
      <c r="F41" s="218">
        <f t="shared" si="1"/>
        <v>0</v>
      </c>
      <c r="G41" s="218">
        <f t="shared" si="2"/>
        <v>286</v>
      </c>
      <c r="H41" s="33">
        <v>0.01</v>
      </c>
      <c r="I41" s="33">
        <v>0.02</v>
      </c>
      <c r="J41" s="33" t="str">
        <f t="shared" si="3"/>
        <v/>
      </c>
      <c r="K41" s="33">
        <f t="shared" si="4"/>
        <v>0.02</v>
      </c>
      <c r="L41" s="38">
        <f t="shared" si="5"/>
        <v>6</v>
      </c>
      <c r="M41" s="33">
        <f t="shared" si="6"/>
        <v>0.95</v>
      </c>
      <c r="N41" s="38">
        <f t="shared" si="7"/>
        <v>6</v>
      </c>
      <c r="O41" s="33">
        <f t="shared" si="8"/>
        <v>0.98</v>
      </c>
      <c r="P41" s="38">
        <f t="shared" si="9"/>
        <v>6</v>
      </c>
      <c r="Q41" s="33">
        <f t="shared" si="10"/>
        <v>0.7</v>
      </c>
      <c r="R41" s="38">
        <f t="shared" si="11"/>
        <v>4</v>
      </c>
      <c r="S41" s="33">
        <f t="shared" si="12"/>
        <v>0.95</v>
      </c>
      <c r="T41" s="38">
        <f t="shared" si="13"/>
        <v>4</v>
      </c>
      <c r="U41" s="33">
        <f t="shared" si="14"/>
        <v>0.95</v>
      </c>
      <c r="V41" s="38">
        <f t="shared" si="15"/>
        <v>4</v>
      </c>
    </row>
    <row r="42" spans="1:22" x14ac:dyDescent="0.2">
      <c r="A42" t="str">
        <f>INDEX(Prioritization!$D:$D,MATCH($B42,Prioritization!$A:$A,0))</f>
        <v>4 - Sustained</v>
      </c>
      <c r="B42" t="s">
        <v>306</v>
      </c>
      <c r="C42" s="38">
        <f>SUMIF(PMTCT!$B:$B,$B42,PMTCT!$AV:$AV)</f>
        <v>886</v>
      </c>
      <c r="D42" s="33">
        <v>0</v>
      </c>
      <c r="E42" s="33">
        <f>1</f>
        <v>1</v>
      </c>
      <c r="F42" s="218">
        <f t="shared" si="1"/>
        <v>0</v>
      </c>
      <c r="G42" s="218">
        <f t="shared" si="2"/>
        <v>886</v>
      </c>
      <c r="H42" s="33">
        <v>1.4E-2</v>
      </c>
      <c r="I42" s="33">
        <v>2.1999999999999999E-2</v>
      </c>
      <c r="J42" s="33" t="str">
        <f t="shared" si="3"/>
        <v/>
      </c>
      <c r="K42" s="33">
        <f t="shared" si="4"/>
        <v>2.1999999999999999E-2</v>
      </c>
      <c r="L42" s="38">
        <f t="shared" si="5"/>
        <v>19</v>
      </c>
      <c r="M42" s="33">
        <f t="shared" si="6"/>
        <v>0.95</v>
      </c>
      <c r="N42" s="38">
        <f t="shared" si="7"/>
        <v>18</v>
      </c>
      <c r="O42" s="33">
        <f t="shared" si="8"/>
        <v>0.98</v>
      </c>
      <c r="P42" s="38">
        <f t="shared" si="9"/>
        <v>18</v>
      </c>
      <c r="Q42" s="33">
        <f t="shared" si="10"/>
        <v>0.7</v>
      </c>
      <c r="R42" s="38">
        <f t="shared" si="11"/>
        <v>13</v>
      </c>
      <c r="S42" s="33">
        <f t="shared" si="12"/>
        <v>0.95</v>
      </c>
      <c r="T42" s="38">
        <f t="shared" si="13"/>
        <v>12</v>
      </c>
      <c r="U42" s="33">
        <f t="shared" si="14"/>
        <v>0.95</v>
      </c>
      <c r="V42" s="38">
        <f t="shared" si="15"/>
        <v>11</v>
      </c>
    </row>
    <row r="43" spans="1:22" x14ac:dyDescent="0.2">
      <c r="A43" t="str">
        <f>INDEX(Prioritization!$D:$D,MATCH($B43,Prioritization!$A:$A,0))</f>
        <v>INVALID</v>
      </c>
      <c r="B43" t="s">
        <v>324</v>
      </c>
      <c r="C43" s="38">
        <f>SUMIF(PMTCT!$B:$B,$B43,PMTCT!$AV:$AV)</f>
        <v>2436</v>
      </c>
      <c r="D43" s="33">
        <v>0</v>
      </c>
      <c r="E43" s="33">
        <f>1</f>
        <v>1</v>
      </c>
      <c r="F43" s="218">
        <f t="shared" si="1"/>
        <v>0</v>
      </c>
      <c r="G43" s="218">
        <f t="shared" si="2"/>
        <v>2436</v>
      </c>
      <c r="H43" s="33">
        <v>8.3000000000000001E-3</v>
      </c>
      <c r="I43" s="33">
        <v>8.9999999999999993E-3</v>
      </c>
      <c r="J43" s="33" t="str">
        <f t="shared" si="3"/>
        <v/>
      </c>
      <c r="K43" s="33">
        <f t="shared" si="4"/>
        <v>8.9999999999999993E-3</v>
      </c>
      <c r="L43" s="38">
        <f t="shared" si="5"/>
        <v>22</v>
      </c>
      <c r="M43" s="33">
        <f t="shared" si="6"/>
        <v>0.95</v>
      </c>
      <c r="N43" s="38">
        <f t="shared" si="7"/>
        <v>21</v>
      </c>
      <c r="O43" s="33">
        <f t="shared" si="8"/>
        <v>0.98</v>
      </c>
      <c r="P43" s="38">
        <f t="shared" si="9"/>
        <v>21</v>
      </c>
      <c r="Q43" s="33">
        <f t="shared" si="10"/>
        <v>0.7</v>
      </c>
      <c r="R43" s="38">
        <f t="shared" si="11"/>
        <v>15</v>
      </c>
      <c r="S43" s="33">
        <f t="shared" si="12"/>
        <v>0.95</v>
      </c>
      <c r="T43" s="38">
        <f t="shared" si="13"/>
        <v>14</v>
      </c>
      <c r="U43" s="33">
        <f t="shared" si="14"/>
        <v>0.95</v>
      </c>
      <c r="V43" s="38">
        <f t="shared" si="15"/>
        <v>13</v>
      </c>
    </row>
    <row r="44" spans="1:22" x14ac:dyDescent="0.2">
      <c r="A44" t="str">
        <f>INDEX(Prioritization!$D:$D,MATCH($B44,Prioritization!$A:$A,0))</f>
        <v>1 - Scale-up: Saturation</v>
      </c>
      <c r="B44" t="s">
        <v>325</v>
      </c>
      <c r="C44" s="38">
        <f>SUMIF(PMTCT!$B:$B,$B44,PMTCT!$AV:$AV)</f>
        <v>2865</v>
      </c>
      <c r="D44" s="33">
        <f t="shared" si="0"/>
        <v>0.95</v>
      </c>
      <c r="E44" s="33">
        <f>1</f>
        <v>1</v>
      </c>
      <c r="F44" s="218">
        <f t="shared" si="1"/>
        <v>2722</v>
      </c>
      <c r="G44" s="218">
        <f t="shared" si="2"/>
        <v>143</v>
      </c>
      <c r="H44" s="33">
        <v>6.6E-3</v>
      </c>
      <c r="I44" s="33">
        <v>8.8000000000000005E-3</v>
      </c>
      <c r="J44" s="33">
        <f t="shared" si="3"/>
        <v>6.6E-3</v>
      </c>
      <c r="K44" s="33">
        <f t="shared" si="4"/>
        <v>8.8000000000000005E-3</v>
      </c>
      <c r="L44" s="38">
        <f t="shared" si="5"/>
        <v>19</v>
      </c>
      <c r="M44" s="33">
        <f t="shared" si="6"/>
        <v>0.95</v>
      </c>
      <c r="N44" s="38">
        <f t="shared" si="7"/>
        <v>18</v>
      </c>
      <c r="O44" s="33">
        <f t="shared" si="8"/>
        <v>0.98</v>
      </c>
      <c r="P44" s="38">
        <f t="shared" si="9"/>
        <v>18</v>
      </c>
      <c r="Q44" s="33">
        <f t="shared" si="10"/>
        <v>0.7</v>
      </c>
      <c r="R44" s="38">
        <f t="shared" si="11"/>
        <v>13</v>
      </c>
      <c r="S44" s="33">
        <f t="shared" si="12"/>
        <v>0.95</v>
      </c>
      <c r="T44" s="38">
        <f t="shared" si="13"/>
        <v>12</v>
      </c>
      <c r="U44" s="33">
        <f t="shared" si="14"/>
        <v>0.95</v>
      </c>
      <c r="V44" s="38">
        <f t="shared" si="15"/>
        <v>11</v>
      </c>
    </row>
  </sheetData>
  <autoFilter ref="A14:V14" xr:uid="{00000000-0001-0000-0700-000000000000}"/>
  <sortState xmlns:xlrd2="http://schemas.microsoft.com/office/spreadsheetml/2017/richdata2" ref="A15:V44">
    <sortCondition ref="B15:B44"/>
  </sortState>
  <conditionalFormatting sqref="C1:V1048576">
    <cfRule type="expression" dxfId="122" priority="1">
      <formula>AND(ISNUMBER(C1),C1&lt;0)</formula>
    </cfRule>
  </conditionalFormatting>
  <conditionalFormatting sqref="D1:D1048576 M1:M1048576 S1:S1048576 U1:U1048576">
    <cfRule type="expression" dxfId="121" priority="1268">
      <formula>AND(ISNUMBER(D1),ROUND(D1,2)&lt;0.95)</formula>
    </cfRule>
  </conditionalFormatting>
  <conditionalFormatting sqref="D1:E1048576 H1:K1048576 M1:M1048576 O1:O1048576 Q1:Q1048576 S1:S1048576 U1:U1048576">
    <cfRule type="expression" dxfId="120" priority="3">
      <formula>AND(ISNUMBER(D1),D1&gt;1)</formula>
    </cfRule>
  </conditionalFormatting>
  <conditionalFormatting sqref="D1:E1048576">
    <cfRule type="expression" dxfId="119" priority="4">
      <formula>AND(ISNUMBER($D1),ROUND($E1,2)&lt;ROUND($D1,2))</formula>
    </cfRule>
  </conditionalFormatting>
  <conditionalFormatting sqref="E1:E1048576">
    <cfRule type="expression" dxfId="118" priority="2152">
      <formula>AND(ISNUMBER(E1),E1&lt;1)</formula>
    </cfRule>
  </conditionalFormatting>
  <conditionalFormatting sqref="J1:J1048576">
    <cfRule type="expression" dxfId="117" priority="14">
      <formula>AND(SUM(F1)&gt;0,ROW(J1)&gt;14,SUM(J1)=0)</formula>
    </cfRule>
  </conditionalFormatting>
  <conditionalFormatting sqref="K1:K1048576">
    <cfRule type="expression" dxfId="116" priority="6">
      <formula>AND(SUM(G1)&gt;0,ROW(K1)&gt;14,SUM(K1)=0)</formula>
    </cfRule>
  </conditionalFormatting>
  <conditionalFormatting sqref="O1:O1048576">
    <cfRule type="expression" dxfId="115" priority="24">
      <formula>AND(ISNUMBER(O1),ROUND(O1,2)&lt;98%)</formula>
    </cfRule>
  </conditionalFormatting>
  <conditionalFormatting sqref="Q1:Q1048576">
    <cfRule type="expression" dxfId="114" priority="23">
      <formula>AND(ISNUMBER(Q1),ROUND(Q1,2)&lt;70%)</formula>
    </cfRule>
  </conditionalFormatting>
  <hyperlinks>
    <hyperlink ref="N3" location="Cascade!AW:AW" display="HIV+ infants Initiated on ART (FY24)" xr:uid="{00000000-0004-0000-0700-000000000000}"/>
    <hyperlink ref="C3" location="PMTCT!AV:AV" display="Est. # infants born to HIV-positive women (FY24)" xr:uid="{00000000-0004-0000-0700-000001000000}"/>
    <hyperlink ref="V3" location="Cascade!BF:BF" display="HIV+ infants  Virally Suppressed (FY24)" xr:uid="{00000000-0004-0000-0700-000002000000}"/>
    <hyperlink ref="T3" location="Cascade!BC:BC" display="HIV+ infants tested for VLS (FY24)" xr:uid="{00000000-0004-0000-0700-000003000000}"/>
    <hyperlink ref="P3" location="Cascade!AO:AO" display="HIV+ infants retained on ART at end of FY24" xr:uid="{00000000-0004-0000-0700-000004000000}"/>
    <hyperlink ref="L3" location="Cascade!BI:BI" display="Total HIV+ infants identified (FY24)" xr:uid="{00000000-0004-0000-0700-000005000000}"/>
    <hyperlink ref="R3" location="Cascade!BA:BA" display="HIV+ Infants Eligible for VLT (FY24)" xr:uid="{00000000-0004-0000-0700-000006000000}"/>
  </hyperlinks>
  <pageMargins left="0.7" right="0.7" top="0.75" bottom="0.75" header="0.3" footer="0.3"/>
  <pageSetup orientation="portrait" horizontalDpi="0" verticalDpi="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62"/>
  <sheetViews>
    <sheetView zoomScaleNormal="100" workbookViewId="0">
      <pane xSplit="5" ySplit="14" topLeftCell="F19" activePane="bottomRight" state="frozen"/>
      <selection pane="topRight"/>
      <selection pane="bottomLeft"/>
      <selection pane="bottomRight" activeCell="H36" sqref="H36:J43"/>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26" width="11.6640625" customWidth="1"/>
  </cols>
  <sheetData>
    <row r="1" spans="1:26" ht="31.25" customHeight="1" x14ac:dyDescent="0.2">
      <c r="A1" s="68" t="s">
        <v>1115</v>
      </c>
      <c r="B1" s="23"/>
      <c r="C1" s="112"/>
      <c r="D1" s="112"/>
      <c r="E1" s="112"/>
      <c r="F1" s="52" t="s">
        <v>1116</v>
      </c>
      <c r="G1" s="45"/>
      <c r="H1" s="43"/>
      <c r="I1" s="52" t="s">
        <v>1117</v>
      </c>
      <c r="J1" s="45"/>
      <c r="K1" s="45"/>
      <c r="L1" s="45"/>
      <c r="M1" s="45"/>
      <c r="N1" s="43"/>
      <c r="O1" s="43"/>
      <c r="P1" s="43"/>
      <c r="Q1" s="43"/>
      <c r="R1" s="53" t="s">
        <v>597</v>
      </c>
      <c r="S1" s="43"/>
      <c r="T1" s="43"/>
      <c r="U1" s="52" t="s">
        <v>988</v>
      </c>
      <c r="V1" s="13"/>
      <c r="W1" s="13"/>
      <c r="X1" s="13"/>
      <c r="Y1" s="13"/>
      <c r="Z1" s="13"/>
    </row>
    <row r="2" spans="1:26" ht="20" customHeight="1" x14ac:dyDescent="0.25">
      <c r="A2" s="255" t="s">
        <v>1118</v>
      </c>
      <c r="B2" s="251"/>
      <c r="C2" s="4"/>
      <c r="D2" s="4"/>
      <c r="E2" s="4"/>
      <c r="F2" s="105"/>
      <c r="G2" s="32"/>
      <c r="H2" s="20" t="s">
        <v>281</v>
      </c>
      <c r="I2" s="105"/>
      <c r="J2" s="32"/>
      <c r="K2" s="32"/>
      <c r="L2" s="32"/>
      <c r="M2" s="32"/>
      <c r="N2" s="20" t="s">
        <v>281</v>
      </c>
      <c r="O2" s="20" t="s">
        <v>281</v>
      </c>
      <c r="P2" s="20" t="s">
        <v>281</v>
      </c>
      <c r="Q2" s="20" t="s">
        <v>281</v>
      </c>
      <c r="R2" s="31"/>
      <c r="S2" s="20" t="s">
        <v>281</v>
      </c>
      <c r="T2" s="20" t="s">
        <v>281</v>
      </c>
      <c r="U2" s="105"/>
      <c r="V2" s="24"/>
      <c r="W2" s="24"/>
      <c r="X2" s="24"/>
      <c r="Y2" s="24"/>
      <c r="Z2" s="24"/>
    </row>
    <row r="3" spans="1:26" ht="117" customHeight="1" x14ac:dyDescent="0.2">
      <c r="A3" s="252"/>
      <c r="B3" s="253"/>
      <c r="C3" s="9"/>
      <c r="D3" s="9"/>
      <c r="E3" s="9"/>
      <c r="F3" s="6" t="s">
        <v>1119</v>
      </c>
      <c r="G3" s="184" t="s">
        <v>1120</v>
      </c>
      <c r="H3" s="69" t="s">
        <v>1121</v>
      </c>
      <c r="I3" s="6" t="s">
        <v>1122</v>
      </c>
      <c r="J3" s="179" t="s">
        <v>1123</v>
      </c>
      <c r="K3" s="184" t="s">
        <v>1124</v>
      </c>
      <c r="L3" s="179" t="s">
        <v>1125</v>
      </c>
      <c r="M3" s="184" t="s">
        <v>1126</v>
      </c>
      <c r="N3" s="69" t="s">
        <v>672</v>
      </c>
      <c r="O3" s="69" t="s">
        <v>669</v>
      </c>
      <c r="P3" s="69" t="s">
        <v>670</v>
      </c>
      <c r="Q3" s="69" t="s">
        <v>671</v>
      </c>
      <c r="R3" s="182" t="s">
        <v>390</v>
      </c>
      <c r="S3" s="69" t="s">
        <v>665</v>
      </c>
      <c r="T3" s="69" t="s">
        <v>666</v>
      </c>
      <c r="U3" s="142" t="s">
        <v>1024</v>
      </c>
      <c r="V3" s="143" t="s">
        <v>1027</v>
      </c>
      <c r="W3" s="143" t="s">
        <v>1025</v>
      </c>
      <c r="X3" s="143" t="s">
        <v>1026</v>
      </c>
      <c r="Y3" s="143" t="s">
        <v>1127</v>
      </c>
      <c r="Z3" s="109" t="s">
        <v>1028</v>
      </c>
    </row>
    <row r="4" spans="1:26" x14ac:dyDescent="0.2">
      <c r="A4" s="35"/>
      <c r="B4" s="5"/>
      <c r="C4" s="5"/>
      <c r="D4" s="5" t="s">
        <v>392</v>
      </c>
      <c r="E4" s="5"/>
      <c r="F4" s="106">
        <f>SUBTOTAL(109,F$15:INDEX(F:F,COUNTA($B:$B)+14-COUNTA($B$1:$B$14)))</f>
        <v>13116</v>
      </c>
      <c r="G4" s="41">
        <f>IF(SUM($F$4)=0,"",SUM($H$4)/SUM($F$4)-1)</f>
        <v>0.34515096065873752</v>
      </c>
      <c r="H4" s="132">
        <f>SUBTOTAL(109,H$15:INDEX(H:H,COUNTA($B:$B)+14-COUNTA($B$1:$B$14)))</f>
        <v>17643</v>
      </c>
      <c r="I4" s="106">
        <f>SUBTOTAL(109,I$15:INDEX(I:I,COUNTA($B:$B)+14-COUNTA($B$1:$B$14)))</f>
        <v>354</v>
      </c>
      <c r="J4" s="41"/>
      <c r="K4" s="41" t="e">
        <f>IF(SUM($N$4)=0,"",SUM($O$4)/$N$4)</f>
        <v>#VALUE!</v>
      </c>
      <c r="L4" s="41"/>
      <c r="M4" s="41" t="e">
        <f>IF(SUM($N$4,$O$4)=0,"",SUM($P$4)/(SUM($N$4)-SUM($O$4)))</f>
        <v>#VALUE!</v>
      </c>
      <c r="N4" s="132" t="e">
        <f>SUBTOTAL(109,N$15:INDEX($N:$N,COUNTA($B:$B)+14-COUNTA($B$1:$B$14)))</f>
        <v>#VALUE!</v>
      </c>
      <c r="O4" s="132" t="e">
        <f>SUBTOTAL(109,O$15:INDEX(O:O,COUNTA($B:$B)+14-COUNTA($B$1:$B$14)))</f>
        <v>#VALUE!</v>
      </c>
      <c r="P4" s="132" t="e">
        <f>SUBTOTAL(109,P$15:INDEX(P:P,COUNTA($B:$B)+14-COUNTA($B$1:$B$14)))</f>
        <v>#VALUE!</v>
      </c>
      <c r="Q4" s="132" t="e">
        <f>SUBTOTAL(109,Q$15:INDEX(Q:Q,COUNTA($B:$B)+14-COUNTA($B$1:$B$14)))</f>
        <v>#VALUE!</v>
      </c>
      <c r="R4" s="77" t="e">
        <f>IF(SUM($P$4)=0,"",SUM($T$4)/$P$4)</f>
        <v>#VALUE!</v>
      </c>
      <c r="S4" s="132" t="e">
        <f>SUBTOTAL(109,S$15:INDEX(S:S,COUNTA($B:$B)+14-COUNTA($B$1:$B$14)))</f>
        <v>#VALUE!</v>
      </c>
      <c r="T4" s="132" t="e">
        <f>SUBTOTAL(109,T$15:INDEX(T:T,COUNTA($B:$B)+14-COUNTA($B$1:$B$14)))</f>
        <v>#VALUE!</v>
      </c>
      <c r="U4" s="106">
        <f>SUBTOTAL(109,U$15:INDEX(U:U,COUNTA($B:$B)+14-COUNTA($B$1:$B$14)))</f>
        <v>50745</v>
      </c>
      <c r="V4" s="35" t="e">
        <f>SUBTOTAL(109,V$15:INDEX(V:V,COUNTA($B:$B)+14-COUNTA($B$1:$B$14)))</f>
        <v>#VALUE!</v>
      </c>
      <c r="W4" s="35">
        <f>SUBTOTAL(109,W$15:INDEX(W:W,COUNTA($B:$B)+14-COUNTA($B$1:$B$14)))</f>
        <v>6332</v>
      </c>
      <c r="X4" s="35">
        <f>SUBTOTAL(109,X$15:INDEX(X:X,COUNTA($B:$B)+14-COUNTA($B$1:$B$14)))</f>
        <v>2912</v>
      </c>
      <c r="Y4" s="35">
        <f>SUBTOTAL(109,Y$15:INDEX(Y:Y,COUNTA($B:$B)+14-COUNTA($B$1:$B$14)))</f>
        <v>465</v>
      </c>
      <c r="Z4" s="35">
        <f>SUBTOTAL(109,Z$15:INDEX(Z:Z,COUNTA($B:$B)+14-COUNTA($B$1:$B$14)))</f>
        <v>40610</v>
      </c>
    </row>
    <row r="5" spans="1:26" ht="0" hidden="1" customHeight="1" x14ac:dyDescent="0.2">
      <c r="A5" t="s">
        <v>285</v>
      </c>
      <c r="B5" s="1" t="s">
        <v>285</v>
      </c>
      <c r="C5" s="1" t="s">
        <v>285</v>
      </c>
      <c r="D5" s="1" t="s">
        <v>285</v>
      </c>
      <c r="E5" s="1" t="s">
        <v>285</v>
      </c>
      <c r="F5" s="104" t="s">
        <v>393</v>
      </c>
      <c r="G5" s="33" t="s">
        <v>285</v>
      </c>
      <c r="H5" s="2" t="s">
        <v>393</v>
      </c>
      <c r="I5" s="104" t="s">
        <v>393</v>
      </c>
      <c r="J5" s="33" t="s">
        <v>285</v>
      </c>
      <c r="K5" s="33" t="s">
        <v>285</v>
      </c>
      <c r="L5" s="33" t="s">
        <v>285</v>
      </c>
      <c r="M5" s="33" t="s">
        <v>285</v>
      </c>
      <c r="N5" s="2" t="s">
        <v>285</v>
      </c>
      <c r="O5" s="2" t="s">
        <v>393</v>
      </c>
      <c r="P5" s="2" t="s">
        <v>393</v>
      </c>
      <c r="Q5" s="2" t="s">
        <v>393</v>
      </c>
      <c r="R5" s="36" t="s">
        <v>285</v>
      </c>
      <c r="S5" s="2" t="s">
        <v>393</v>
      </c>
      <c r="T5" s="2" t="s">
        <v>393</v>
      </c>
      <c r="U5" s="104" t="s">
        <v>285</v>
      </c>
      <c r="V5" s="38" t="s">
        <v>285</v>
      </c>
      <c r="W5" s="38" t="s">
        <v>285</v>
      </c>
      <c r="X5" s="38" t="s">
        <v>285</v>
      </c>
      <c r="Y5" s="38" t="s">
        <v>285</v>
      </c>
      <c r="Z5" s="38" t="s">
        <v>285</v>
      </c>
    </row>
    <row r="6" spans="1:26" ht="0" hidden="1" customHeight="1" x14ac:dyDescent="0.2">
      <c r="A6" t="s">
        <v>287</v>
      </c>
      <c r="B6" s="1" t="s">
        <v>287</v>
      </c>
      <c r="C6" s="1" t="s">
        <v>287</v>
      </c>
      <c r="D6" s="1" t="s">
        <v>287</v>
      </c>
      <c r="E6" s="1" t="s">
        <v>287</v>
      </c>
      <c r="F6" s="104" t="s">
        <v>288</v>
      </c>
      <c r="G6" s="33" t="s">
        <v>395</v>
      </c>
      <c r="H6" s="2" t="s">
        <v>289</v>
      </c>
      <c r="I6" s="104" t="s">
        <v>288</v>
      </c>
      <c r="J6" s="33" t="s">
        <v>396</v>
      </c>
      <c r="K6" s="33" t="s">
        <v>395</v>
      </c>
      <c r="L6" s="33" t="s">
        <v>396</v>
      </c>
      <c r="M6" s="33" t="s">
        <v>395</v>
      </c>
      <c r="N6" s="2" t="s">
        <v>290</v>
      </c>
      <c r="O6" s="2" t="s">
        <v>289</v>
      </c>
      <c r="P6" s="2" t="s">
        <v>289</v>
      </c>
      <c r="Q6" s="2" t="s">
        <v>289</v>
      </c>
      <c r="R6" s="36" t="s">
        <v>290</v>
      </c>
      <c r="S6" s="2" t="s">
        <v>289</v>
      </c>
      <c r="T6" s="2" t="s">
        <v>289</v>
      </c>
      <c r="U6" s="104" t="s">
        <v>290</v>
      </c>
      <c r="V6" s="38" t="s">
        <v>290</v>
      </c>
      <c r="W6" s="38" t="s">
        <v>290</v>
      </c>
      <c r="X6" s="38" t="s">
        <v>290</v>
      </c>
      <c r="Y6" s="38" t="s">
        <v>290</v>
      </c>
      <c r="Z6" s="38" t="s">
        <v>290</v>
      </c>
    </row>
    <row r="7" spans="1:26" ht="0" hidden="1" customHeight="1" x14ac:dyDescent="0.2">
      <c r="A7" t="s">
        <v>291</v>
      </c>
      <c r="B7" s="1" t="s">
        <v>291</v>
      </c>
      <c r="C7" s="1" t="s">
        <v>291</v>
      </c>
      <c r="D7" s="1" t="s">
        <v>291</v>
      </c>
      <c r="E7" s="1" t="s">
        <v>291</v>
      </c>
      <c r="F7" s="104" t="s">
        <v>292</v>
      </c>
      <c r="G7" s="33" t="s">
        <v>398</v>
      </c>
      <c r="H7" s="2" t="s">
        <v>292</v>
      </c>
      <c r="I7" s="104" t="s">
        <v>292</v>
      </c>
      <c r="J7" s="33" t="s">
        <v>398</v>
      </c>
      <c r="K7" s="33" t="s">
        <v>398</v>
      </c>
      <c r="L7" s="33" t="s">
        <v>398</v>
      </c>
      <c r="M7" s="33" t="s">
        <v>398</v>
      </c>
      <c r="N7" s="2" t="s">
        <v>292</v>
      </c>
      <c r="O7" s="2" t="s">
        <v>292</v>
      </c>
      <c r="P7" s="2" t="s">
        <v>292</v>
      </c>
      <c r="Q7" s="2" t="s">
        <v>292</v>
      </c>
      <c r="R7" s="36" t="s">
        <v>398</v>
      </c>
      <c r="S7" s="2" t="s">
        <v>292</v>
      </c>
      <c r="T7" s="2" t="s">
        <v>292</v>
      </c>
      <c r="U7" s="104" t="s">
        <v>292</v>
      </c>
      <c r="V7" s="38" t="s">
        <v>292</v>
      </c>
      <c r="W7" s="38" t="s">
        <v>292</v>
      </c>
      <c r="X7" s="38" t="s">
        <v>292</v>
      </c>
      <c r="Y7" s="38" t="s">
        <v>292</v>
      </c>
      <c r="Z7" s="38" t="s">
        <v>292</v>
      </c>
    </row>
    <row r="8" spans="1:26" ht="0" hidden="1" customHeight="1" x14ac:dyDescent="0.2">
      <c r="F8" s="65" t="s">
        <v>1128</v>
      </c>
      <c r="G8" s="33"/>
      <c r="H8" s="63" t="s">
        <v>1128</v>
      </c>
      <c r="I8" s="65" t="s">
        <v>760</v>
      </c>
      <c r="J8" s="33"/>
      <c r="K8" s="33"/>
      <c r="L8" s="33"/>
      <c r="M8" s="33"/>
      <c r="O8" s="63" t="s">
        <v>760</v>
      </c>
      <c r="P8" s="63" t="s">
        <v>760</v>
      </c>
      <c r="Q8" s="63" t="s">
        <v>760</v>
      </c>
      <c r="R8" s="36"/>
      <c r="S8" s="63" t="s">
        <v>770</v>
      </c>
      <c r="T8" s="63" t="s">
        <v>770</v>
      </c>
      <c r="U8" s="104"/>
      <c r="V8" s="38"/>
      <c r="W8" s="38"/>
      <c r="X8" s="38"/>
      <c r="Y8" s="38"/>
      <c r="Z8" s="38"/>
    </row>
    <row r="9" spans="1:26" ht="0" hidden="1" customHeight="1" x14ac:dyDescent="0.2">
      <c r="F9" s="65" t="s">
        <v>1129</v>
      </c>
      <c r="G9" s="33"/>
      <c r="H9" s="63" t="s">
        <v>1129</v>
      </c>
      <c r="I9" s="65" t="s">
        <v>1130</v>
      </c>
      <c r="J9" s="33"/>
      <c r="K9" s="33"/>
      <c r="L9" s="33"/>
      <c r="M9" s="33"/>
      <c r="O9" s="63" t="s">
        <v>1130</v>
      </c>
      <c r="P9" s="63" t="s">
        <v>1130</v>
      </c>
      <c r="Q9" s="63" t="s">
        <v>1130</v>
      </c>
      <c r="R9" s="36"/>
      <c r="S9" s="63" t="s">
        <v>1131</v>
      </c>
      <c r="T9" s="63" t="s">
        <v>1131</v>
      </c>
      <c r="U9" s="104"/>
      <c r="V9" s="38"/>
      <c r="W9" s="38"/>
      <c r="X9" s="38"/>
      <c r="Y9" s="38"/>
      <c r="Z9" s="38"/>
    </row>
    <row r="10" spans="1:26" ht="0" hidden="1" customHeight="1" x14ac:dyDescent="0.2">
      <c r="F10" s="65"/>
      <c r="G10" s="33"/>
      <c r="H10" s="63"/>
      <c r="I10" s="65" t="s">
        <v>788</v>
      </c>
      <c r="J10" s="33"/>
      <c r="K10" s="33"/>
      <c r="L10" s="33"/>
      <c r="M10" s="33"/>
      <c r="O10" s="63" t="s">
        <v>789</v>
      </c>
      <c r="P10" s="63" t="s">
        <v>788</v>
      </c>
      <c r="Q10" s="63" t="s">
        <v>790</v>
      </c>
      <c r="R10" s="36"/>
      <c r="S10" s="63" t="s">
        <v>791</v>
      </c>
      <c r="T10" s="63" t="s">
        <v>792</v>
      </c>
      <c r="U10" s="104"/>
      <c r="V10" s="38"/>
      <c r="W10" s="38"/>
      <c r="X10" s="38"/>
      <c r="Y10" s="38"/>
      <c r="Z10" s="38"/>
    </row>
    <row r="11" spans="1:26" ht="0" hidden="1" customHeight="1" x14ac:dyDescent="0.2">
      <c r="F11" s="104" t="s">
        <v>424</v>
      </c>
      <c r="G11" s="33" t="s">
        <v>424</v>
      </c>
      <c r="H11" s="2" t="s">
        <v>424</v>
      </c>
      <c r="I11" s="104" t="s">
        <v>424</v>
      </c>
      <c r="J11" s="33" t="s">
        <v>424</v>
      </c>
      <c r="K11" s="33" t="s">
        <v>424</v>
      </c>
      <c r="L11" s="33" t="s">
        <v>424</v>
      </c>
      <c r="M11" s="33" t="s">
        <v>424</v>
      </c>
      <c r="N11" s="2" t="s">
        <v>424</v>
      </c>
      <c r="O11" s="2" t="s">
        <v>424</v>
      </c>
      <c r="P11" s="2" t="s">
        <v>424</v>
      </c>
      <c r="Q11" s="2" t="s">
        <v>424</v>
      </c>
      <c r="R11" s="36" t="s">
        <v>424</v>
      </c>
      <c r="S11" s="2" t="s">
        <v>424</v>
      </c>
      <c r="T11" s="2" t="s">
        <v>424</v>
      </c>
      <c r="U11" s="104" t="s">
        <v>424</v>
      </c>
      <c r="V11" s="38" t="s">
        <v>424</v>
      </c>
      <c r="W11" s="38" t="s">
        <v>804</v>
      </c>
      <c r="X11" s="38" t="s">
        <v>804</v>
      </c>
      <c r="Y11" s="38" t="s">
        <v>805</v>
      </c>
      <c r="Z11" s="38" t="s">
        <v>424</v>
      </c>
    </row>
    <row r="12" spans="1:26" ht="0" hidden="1" customHeight="1" x14ac:dyDescent="0.2">
      <c r="F12" s="104" t="s">
        <v>427</v>
      </c>
      <c r="G12" s="33" t="s">
        <v>427</v>
      </c>
      <c r="H12" s="2" t="s">
        <v>427</v>
      </c>
      <c r="I12" s="104" t="s">
        <v>427</v>
      </c>
      <c r="J12" s="33" t="s">
        <v>427</v>
      </c>
      <c r="K12" s="33" t="s">
        <v>427</v>
      </c>
      <c r="L12" s="33" t="s">
        <v>427</v>
      </c>
      <c r="M12" s="33" t="s">
        <v>427</v>
      </c>
      <c r="N12" s="2" t="s">
        <v>427</v>
      </c>
      <c r="O12" s="2" t="s">
        <v>427</v>
      </c>
      <c r="P12" s="2" t="s">
        <v>427</v>
      </c>
      <c r="Q12" s="2" t="s">
        <v>427</v>
      </c>
      <c r="R12" s="36" t="s">
        <v>427</v>
      </c>
      <c r="S12" s="2" t="s">
        <v>427</v>
      </c>
      <c r="T12" s="2" t="s">
        <v>427</v>
      </c>
      <c r="U12" s="104" t="s">
        <v>427</v>
      </c>
      <c r="V12" s="38" t="s">
        <v>427</v>
      </c>
      <c r="W12" s="38" t="s">
        <v>813</v>
      </c>
      <c r="X12" s="38" t="s">
        <v>813</v>
      </c>
      <c r="Y12" s="38" t="s">
        <v>814</v>
      </c>
      <c r="Z12" s="38" t="s">
        <v>427</v>
      </c>
    </row>
    <row r="13" spans="1:26" ht="0" hidden="1" customHeight="1" x14ac:dyDescent="0.2"/>
    <row r="14" spans="1:26" x14ac:dyDescent="0.2">
      <c r="A14" s="70" t="s">
        <v>280</v>
      </c>
      <c r="B14" s="47" t="s">
        <v>294</v>
      </c>
      <c r="C14" s="47" t="s">
        <v>428</v>
      </c>
      <c r="D14" s="47" t="s">
        <v>429</v>
      </c>
      <c r="E14" s="47" t="s">
        <v>20</v>
      </c>
      <c r="F14" s="55" t="s">
        <v>1132</v>
      </c>
      <c r="G14" s="48" t="s">
        <v>1133</v>
      </c>
      <c r="H14" s="49" t="s">
        <v>1134</v>
      </c>
      <c r="I14" s="55" t="s">
        <v>1135</v>
      </c>
      <c r="J14" s="48" t="s">
        <v>1136</v>
      </c>
      <c r="K14" s="48" t="s">
        <v>1137</v>
      </c>
      <c r="L14" s="48" t="s">
        <v>1138</v>
      </c>
      <c r="M14" s="48" t="s">
        <v>1139</v>
      </c>
      <c r="N14" s="49" t="s">
        <v>881</v>
      </c>
      <c r="O14" s="49" t="s">
        <v>878</v>
      </c>
      <c r="P14" s="49" t="s">
        <v>879</v>
      </c>
      <c r="Q14" s="49" t="s">
        <v>880</v>
      </c>
      <c r="R14" s="56" t="s">
        <v>1140</v>
      </c>
      <c r="S14" s="49" t="s">
        <v>887</v>
      </c>
      <c r="T14" s="49" t="s">
        <v>888</v>
      </c>
      <c r="U14" s="55" t="s">
        <v>1064</v>
      </c>
      <c r="V14" s="18" t="s">
        <v>1067</v>
      </c>
      <c r="W14" s="18" t="s">
        <v>1065</v>
      </c>
      <c r="X14" s="18" t="s">
        <v>1066</v>
      </c>
      <c r="Y14" s="18" t="s">
        <v>1141</v>
      </c>
      <c r="Z14" s="18" t="s">
        <v>1068</v>
      </c>
    </row>
    <row r="15" spans="1:26" x14ac:dyDescent="0.2">
      <c r="A15" t="str">
        <f>INDEX(Prioritization!$D:$D,MATCH($B15,Prioritization!$A:$A,0))</f>
        <v>Military</v>
      </c>
      <c r="B15" t="s">
        <v>326</v>
      </c>
      <c r="C15" t="s">
        <v>473</v>
      </c>
      <c r="D15" t="s">
        <v>30</v>
      </c>
      <c r="E15" t="str">
        <f t="shared" ref="E15:E78" si="0">B15&amp;"|"&amp;C15&amp;"|"&amp;D15</f>
        <v>_Military Malawi [PQZgU9dagaH]|01-09|Female</v>
      </c>
      <c r="F15" s="38"/>
      <c r="G15" s="33">
        <f>0</f>
        <v>0</v>
      </c>
      <c r="H15" s="218" t="str">
        <f t="shared" ref="H15:H78" si="1">IF(SUM($F15)=0,"",ROUND($F15*(1+$G15),0))</f>
        <v/>
      </c>
      <c r="I15" s="38"/>
      <c r="J15" s="33"/>
      <c r="K15" s="33" t="str">
        <f t="shared" ref="K15:K20" si="2">IF($J15="","",$J15)</f>
        <v/>
      </c>
      <c r="L15" s="33"/>
      <c r="M15" s="33" t="str">
        <f t="shared" ref="M15:M20" si="3">IF($L15="","",$L15)</f>
        <v/>
      </c>
      <c r="N15" s="38" t="str">
        <f t="shared" ref="N15:N26" si="4">$H15</f>
        <v/>
      </c>
      <c r="O15" s="218" t="str">
        <f t="shared" ref="O15:O78" si="5">IF(SUM($N15)=0,"",IF(AND(SUM($N15)&gt;0,$K15=""),"ENTER KNOWN POSITIVITY RATE",ROUND($N15*$K15,0)))</f>
        <v/>
      </c>
      <c r="P15" s="218" t="str">
        <f t="shared" ref="P15:P78" si="6">IF(SUM($N15)=0,"",IF(AND((SUM($N15)-SUM($O15))&gt;0,$M15=""),"ENTER YIELD RATE",ROUND(($N15-SUM($O15))*$M15,0)))</f>
        <v/>
      </c>
      <c r="Q15" s="218" t="str">
        <f t="shared" ref="Q15:Q78" si="7">IF(SUM($N15)=0,"",$N15-SUM($O15)-SUM($P15))</f>
        <v/>
      </c>
      <c r="R15" s="36" t="str">
        <f>IF(SUM($P15)=0,"",INDEX(Cascade!$BG:$BG,MATCH($E15,Cascade!$E:$E,0)))</f>
        <v/>
      </c>
      <c r="S15" s="218" t="str">
        <f t="shared" ref="S15:S78" si="8">$O15</f>
        <v/>
      </c>
      <c r="T15" s="218" t="str">
        <f t="shared" ref="T15:T78" si="9">IF(SUM($P15)=0,"",IF(AND($R15="",SUM($P15)&gt;0),"&lt;- Enter Linkage Rate",ROUND($P15*$R15,0)))</f>
        <v/>
      </c>
      <c r="U15" s="104">
        <f>IFERROR(1/(1/INDEX(Cascade!$BH:$BH,MATCH($E15,Cascade!$E:$E,0))),"")</f>
        <v>5</v>
      </c>
      <c r="V15" s="38" t="str">
        <f t="shared" ref="V15:V78" si="10">IF(SUM($P15)=0,"",$P15)</f>
        <v/>
      </c>
      <c r="W15" s="38" t="str">
        <f>IFERROR(1/(1/INDEX(PMTCT!$AC:$AC,MATCH($E15,PMTCT!$E:$E,0))),"")</f>
        <v/>
      </c>
      <c r="X15" s="38" t="str">
        <f>IFERROR(1/(1/INDEX(PMTCT!$AS:$AS,MATCH($E15,PMTCT!$E:$E,0))),"")</f>
        <v/>
      </c>
      <c r="Y15" s="38" t="str">
        <f>IFERROR(1/(1/INDEX(VMMC!$AA:$AA,MATCH($E15,VMMC!$E:$E,0))),"")</f>
        <v/>
      </c>
      <c r="Z15" s="38">
        <f t="shared" ref="Z15:Z78" si="11">IFERROR(1/(1/(SUM($U15)-SUM($V15:$Y15))),"")</f>
        <v>5</v>
      </c>
    </row>
    <row r="16" spans="1:26" x14ac:dyDescent="0.2">
      <c r="A16" t="str">
        <f>INDEX(Prioritization!$D:$D,MATCH($B16,Prioritization!$A:$A,0))</f>
        <v>Military</v>
      </c>
      <c r="B16" t="s">
        <v>326</v>
      </c>
      <c r="C16" t="s">
        <v>473</v>
      </c>
      <c r="D16" t="s">
        <v>48</v>
      </c>
      <c r="E16" t="str">
        <f t="shared" si="0"/>
        <v>_Military Malawi [PQZgU9dagaH]|01-09|Male</v>
      </c>
      <c r="F16" s="38"/>
      <c r="G16" s="33">
        <f>0</f>
        <v>0</v>
      </c>
      <c r="H16" s="218" t="str">
        <f t="shared" si="1"/>
        <v/>
      </c>
      <c r="I16" s="38"/>
      <c r="J16" s="33"/>
      <c r="K16" s="33" t="str">
        <f t="shared" si="2"/>
        <v/>
      </c>
      <c r="L16" s="33"/>
      <c r="M16" s="33" t="str">
        <f t="shared" si="3"/>
        <v/>
      </c>
      <c r="N16" s="38" t="str">
        <f t="shared" si="4"/>
        <v/>
      </c>
      <c r="O16" s="218" t="str">
        <f t="shared" si="5"/>
        <v/>
      </c>
      <c r="P16" s="218" t="str">
        <f t="shared" si="6"/>
        <v/>
      </c>
      <c r="Q16" s="218" t="str">
        <f t="shared" si="7"/>
        <v/>
      </c>
      <c r="R16" s="33" t="str">
        <f>IF(SUM($P16)=0,"",INDEX(Cascade!$BG:$BG,MATCH($E16,Cascade!$E:$E,0)))</f>
        <v/>
      </c>
      <c r="S16" s="218" t="str">
        <f t="shared" si="8"/>
        <v/>
      </c>
      <c r="T16" s="218" t="str">
        <f t="shared" si="9"/>
        <v/>
      </c>
      <c r="U16" s="38">
        <f>IFERROR(1/(1/INDEX(Cascade!$BH:$BH,MATCH($E16,Cascade!$E:$E,0))),"")</f>
        <v>5</v>
      </c>
      <c r="V16" s="38" t="str">
        <f t="shared" si="10"/>
        <v/>
      </c>
      <c r="W16" s="38" t="str">
        <f>IFERROR(1/(1/INDEX(PMTCT!$AC:$AC,MATCH($E16,PMTCT!$E:$E,0))),"")</f>
        <v/>
      </c>
      <c r="X16" s="38" t="str">
        <f>IFERROR(1/(1/INDEX(PMTCT!$AS:$AS,MATCH($E16,PMTCT!$E:$E,0))),"")</f>
        <v/>
      </c>
      <c r="Y16" s="38" t="str">
        <f>IFERROR(1/(1/INDEX(VMMC!$AA:$AA,MATCH($E16,VMMC!$E:$E,0))),"")</f>
        <v/>
      </c>
      <c r="Z16" s="38">
        <f t="shared" si="11"/>
        <v>5</v>
      </c>
    </row>
    <row r="17" spans="1:26" x14ac:dyDescent="0.2">
      <c r="A17" t="str">
        <f>INDEX(Prioritization!$D:$D,MATCH($B17,Prioritization!$A:$A,0))</f>
        <v>Military</v>
      </c>
      <c r="B17" t="s">
        <v>326</v>
      </c>
      <c r="C17" t="s">
        <v>474</v>
      </c>
      <c r="D17" t="s">
        <v>30</v>
      </c>
      <c r="E17" t="str">
        <f t="shared" si="0"/>
        <v>_Military Malawi [PQZgU9dagaH]|10-14|Female</v>
      </c>
      <c r="F17" s="38"/>
      <c r="G17" s="33">
        <f>0</f>
        <v>0</v>
      </c>
      <c r="H17" s="218" t="str">
        <f t="shared" si="1"/>
        <v/>
      </c>
      <c r="I17" s="38"/>
      <c r="J17" s="33">
        <v>1</v>
      </c>
      <c r="K17" s="33">
        <v>0.45</v>
      </c>
      <c r="L17" s="33"/>
      <c r="M17" s="33">
        <v>0.06</v>
      </c>
      <c r="N17" s="38" t="str">
        <f t="shared" si="4"/>
        <v/>
      </c>
      <c r="O17" s="218" t="str">
        <f t="shared" si="5"/>
        <v/>
      </c>
      <c r="P17" s="218" t="str">
        <f t="shared" si="6"/>
        <v/>
      </c>
      <c r="Q17" s="218" t="str">
        <f t="shared" si="7"/>
        <v/>
      </c>
      <c r="R17" s="33">
        <v>0.95</v>
      </c>
      <c r="S17" s="218" t="str">
        <f t="shared" si="8"/>
        <v/>
      </c>
      <c r="T17" s="218" t="str">
        <f t="shared" si="9"/>
        <v/>
      </c>
      <c r="U17" s="38">
        <f>IFERROR(1/(1/INDEX(Cascade!$BH:$BH,MATCH($E17,Cascade!$E:$E,0))),"")</f>
        <v>5</v>
      </c>
      <c r="V17" s="38" t="str">
        <f t="shared" si="10"/>
        <v/>
      </c>
      <c r="W17" s="38" t="str">
        <f>IFERROR(1/(1/INDEX(PMTCT!$AC:$AC,MATCH($E17,PMTCT!$E:$E,0))),"")</f>
        <v/>
      </c>
      <c r="X17" s="38" t="str">
        <f>IFERROR(1/(1/INDEX(PMTCT!$AS:$AS,MATCH($E17,PMTCT!$E:$E,0))),"")</f>
        <v/>
      </c>
      <c r="Y17" s="38" t="str">
        <f>IFERROR(1/(1/INDEX(VMMC!$AA:$AA,MATCH($E17,VMMC!$E:$E,0))),"")</f>
        <v/>
      </c>
      <c r="Z17" s="38">
        <f t="shared" si="11"/>
        <v>5</v>
      </c>
    </row>
    <row r="18" spans="1:26" x14ac:dyDescent="0.2">
      <c r="A18" t="str">
        <f>INDEX(Prioritization!$D:$D,MATCH($B18,Prioritization!$A:$A,0))</f>
        <v>Military</v>
      </c>
      <c r="B18" t="s">
        <v>326</v>
      </c>
      <c r="C18" t="s">
        <v>474</v>
      </c>
      <c r="D18" t="s">
        <v>48</v>
      </c>
      <c r="E18" t="str">
        <f t="shared" si="0"/>
        <v>_Military Malawi [PQZgU9dagaH]|10-14|Male</v>
      </c>
      <c r="F18" s="38"/>
      <c r="G18" s="33">
        <f>0</f>
        <v>0</v>
      </c>
      <c r="H18" s="218" t="str">
        <f t="shared" si="1"/>
        <v/>
      </c>
      <c r="I18" s="38"/>
      <c r="J18" s="33"/>
      <c r="K18" s="33" t="str">
        <f t="shared" si="2"/>
        <v/>
      </c>
      <c r="L18" s="33"/>
      <c r="M18" s="33" t="str">
        <f t="shared" si="3"/>
        <v/>
      </c>
      <c r="N18" s="38" t="str">
        <f t="shared" si="4"/>
        <v/>
      </c>
      <c r="O18" s="218" t="str">
        <f t="shared" si="5"/>
        <v/>
      </c>
      <c r="P18" s="218" t="str">
        <f t="shared" si="6"/>
        <v/>
      </c>
      <c r="Q18" s="218" t="str">
        <f t="shared" si="7"/>
        <v/>
      </c>
      <c r="R18" s="33" t="str">
        <f>IF(SUM($P18)=0,"",INDEX(Cascade!$BG:$BG,MATCH($E18,Cascade!$E:$E,0)))</f>
        <v/>
      </c>
      <c r="S18" s="218" t="str">
        <f t="shared" si="8"/>
        <v/>
      </c>
      <c r="T18" s="218" t="str">
        <f t="shared" si="9"/>
        <v/>
      </c>
      <c r="U18" s="38">
        <f>IFERROR(1/(1/INDEX(Cascade!$BH:$BH,MATCH($E18,Cascade!$E:$E,0))),"")</f>
        <v>5</v>
      </c>
      <c r="V18" s="38" t="str">
        <f t="shared" si="10"/>
        <v/>
      </c>
      <c r="W18" s="38" t="str">
        <f>IFERROR(1/(1/INDEX(PMTCT!$AC:$AC,MATCH($E18,PMTCT!$E:$E,0))),"")</f>
        <v/>
      </c>
      <c r="X18" s="38" t="str">
        <f>IFERROR(1/(1/INDEX(PMTCT!$AS:$AS,MATCH($E18,PMTCT!$E:$E,0))),"")</f>
        <v/>
      </c>
      <c r="Y18" s="38" t="str">
        <f>IFERROR(1/(1/INDEX(VMMC!$AA:$AA,MATCH($E18,VMMC!$E:$E,0))),"")</f>
        <v/>
      </c>
      <c r="Z18" s="38">
        <f t="shared" si="11"/>
        <v>5</v>
      </c>
    </row>
    <row r="19" spans="1:26" x14ac:dyDescent="0.2">
      <c r="A19" t="str">
        <f>INDEX(Prioritization!$D:$D,MATCH($B19,Prioritization!$A:$A,0))</f>
        <v>Military</v>
      </c>
      <c r="B19" t="s">
        <v>326</v>
      </c>
      <c r="C19" t="s">
        <v>475</v>
      </c>
      <c r="D19" t="s">
        <v>30</v>
      </c>
      <c r="E19" t="str">
        <f t="shared" si="0"/>
        <v>_Military Malawi [PQZgU9dagaH]|15-24|Female</v>
      </c>
      <c r="F19" s="38"/>
      <c r="G19" s="33">
        <f>0</f>
        <v>0</v>
      </c>
      <c r="H19" s="218" t="str">
        <f t="shared" si="1"/>
        <v/>
      </c>
      <c r="I19" s="38"/>
      <c r="J19" s="33">
        <v>1</v>
      </c>
      <c r="K19" s="33">
        <v>0.45</v>
      </c>
      <c r="L19" s="33"/>
      <c r="M19" s="33">
        <v>0.06</v>
      </c>
      <c r="N19" s="38" t="str">
        <f t="shared" si="4"/>
        <v/>
      </c>
      <c r="O19" s="218" t="str">
        <f t="shared" si="5"/>
        <v/>
      </c>
      <c r="P19" s="218" t="str">
        <f t="shared" si="6"/>
        <v/>
      </c>
      <c r="Q19" s="218" t="str">
        <f t="shared" si="7"/>
        <v/>
      </c>
      <c r="R19" s="33">
        <v>0.95</v>
      </c>
      <c r="S19" s="218" t="str">
        <f t="shared" si="8"/>
        <v/>
      </c>
      <c r="T19" s="218" t="str">
        <f t="shared" si="9"/>
        <v/>
      </c>
      <c r="U19" s="38">
        <f>IFERROR(1/(1/INDEX(Cascade!$BH:$BH,MATCH($E19,Cascade!$E:$E,0))),"")</f>
        <v>37</v>
      </c>
      <c r="V19" s="38" t="str">
        <f t="shared" si="10"/>
        <v/>
      </c>
      <c r="W19" s="38">
        <f>IFERROR(1/(1/INDEX(PMTCT!$AC:$AC,MATCH($E19,PMTCT!$E:$E,0))),"")</f>
        <v>4</v>
      </c>
      <c r="X19" s="38" t="str">
        <f>IFERROR(1/(1/INDEX(PMTCT!$AS:$AS,MATCH($E19,PMTCT!$E:$E,0))),"")</f>
        <v/>
      </c>
      <c r="Y19" s="38" t="str">
        <f>IFERROR(1/(1/INDEX(VMMC!$AA:$AA,MATCH($E19,VMMC!$E:$E,0))),"")</f>
        <v/>
      </c>
      <c r="Z19" s="38">
        <f t="shared" si="11"/>
        <v>33</v>
      </c>
    </row>
    <row r="20" spans="1:26" x14ac:dyDescent="0.2">
      <c r="A20" t="str">
        <f>INDEX(Prioritization!$D:$D,MATCH($B20,Prioritization!$A:$A,0))</f>
        <v>Military</v>
      </c>
      <c r="B20" t="s">
        <v>326</v>
      </c>
      <c r="C20" t="s">
        <v>475</v>
      </c>
      <c r="D20" t="s">
        <v>48</v>
      </c>
      <c r="E20" t="str">
        <f t="shared" si="0"/>
        <v>_Military Malawi [PQZgU9dagaH]|15-24|Male</v>
      </c>
      <c r="F20" s="38"/>
      <c r="G20" s="33">
        <f>0</f>
        <v>0</v>
      </c>
      <c r="H20" s="218" t="str">
        <f t="shared" si="1"/>
        <v/>
      </c>
      <c r="I20" s="38"/>
      <c r="J20" s="33"/>
      <c r="K20" s="33" t="str">
        <f t="shared" si="2"/>
        <v/>
      </c>
      <c r="L20" s="33"/>
      <c r="M20" s="33" t="str">
        <f t="shared" si="3"/>
        <v/>
      </c>
      <c r="N20" s="38" t="str">
        <f t="shared" si="4"/>
        <v/>
      </c>
      <c r="O20" s="218" t="str">
        <f t="shared" si="5"/>
        <v/>
      </c>
      <c r="P20" s="218" t="str">
        <f t="shared" si="6"/>
        <v/>
      </c>
      <c r="Q20" s="218" t="str">
        <f t="shared" si="7"/>
        <v/>
      </c>
      <c r="R20" s="33" t="str">
        <f>IF(SUM($P20)=0,"",INDEX(Cascade!$BG:$BG,MATCH($E20,Cascade!$E:$E,0)))</f>
        <v/>
      </c>
      <c r="S20" s="218" t="str">
        <f t="shared" si="8"/>
        <v/>
      </c>
      <c r="T20" s="218" t="str">
        <f t="shared" si="9"/>
        <v/>
      </c>
      <c r="U20" s="38">
        <f>IFERROR(1/(1/INDEX(Cascade!$BH:$BH,MATCH($E20,Cascade!$E:$E,0))),"")</f>
        <v>20</v>
      </c>
      <c r="V20" s="38" t="str">
        <f t="shared" si="10"/>
        <v/>
      </c>
      <c r="W20" s="38" t="str">
        <f>IFERROR(1/(1/INDEX(PMTCT!$AC:$AC,MATCH($E20,PMTCT!$E:$E,0))),"")</f>
        <v/>
      </c>
      <c r="X20" s="38" t="str">
        <f>IFERROR(1/(1/INDEX(PMTCT!$AS:$AS,MATCH($E20,PMTCT!$E:$E,0))),"")</f>
        <v/>
      </c>
      <c r="Y20" s="38">
        <f>IFERROR(1/(1/INDEX(VMMC!$AA:$AA,MATCH($E20,VMMC!$E:$E,0))),"")</f>
        <v>1</v>
      </c>
      <c r="Z20" s="38">
        <f t="shared" si="11"/>
        <v>19</v>
      </c>
    </row>
    <row r="21" spans="1:26" x14ac:dyDescent="0.2">
      <c r="A21" t="str">
        <f>INDEX(Prioritization!$D:$D,MATCH($B21,Prioritization!$A:$A,0))</f>
        <v>Military</v>
      </c>
      <c r="B21" t="s">
        <v>326</v>
      </c>
      <c r="C21" t="s">
        <v>476</v>
      </c>
      <c r="D21" t="s">
        <v>30</v>
      </c>
      <c r="E21" t="str">
        <f t="shared" si="0"/>
        <v>_Military Malawi [PQZgU9dagaH]|25-34|Female</v>
      </c>
      <c r="F21" s="38">
        <v>8</v>
      </c>
      <c r="G21" s="33">
        <v>0.25</v>
      </c>
      <c r="H21" s="218">
        <f t="shared" si="1"/>
        <v>10</v>
      </c>
      <c r="I21" s="38"/>
      <c r="J21" s="33">
        <v>1</v>
      </c>
      <c r="K21" s="33">
        <v>0.45</v>
      </c>
      <c r="L21" s="33"/>
      <c r="M21" s="33">
        <v>0.06</v>
      </c>
      <c r="N21" s="38">
        <f t="shared" si="4"/>
        <v>10</v>
      </c>
      <c r="O21" s="218">
        <f t="shared" si="5"/>
        <v>5</v>
      </c>
      <c r="P21" s="218">
        <f t="shared" si="6"/>
        <v>0</v>
      </c>
      <c r="Q21" s="218">
        <f t="shared" si="7"/>
        <v>5</v>
      </c>
      <c r="R21" s="33">
        <v>0.95</v>
      </c>
      <c r="S21" s="218">
        <f t="shared" si="8"/>
        <v>5</v>
      </c>
      <c r="T21" s="218" t="str">
        <f t="shared" si="9"/>
        <v/>
      </c>
      <c r="U21" s="38">
        <f>IFERROR(1/(1/INDEX(Cascade!$BH:$BH,MATCH($E21,Cascade!$E:$E,0))),"")</f>
        <v>82</v>
      </c>
      <c r="V21" s="38" t="str">
        <f t="shared" si="10"/>
        <v/>
      </c>
      <c r="W21" s="38">
        <f>IFERROR(1/(1/INDEX(PMTCT!$AC:$AC,MATCH($E21,PMTCT!$E:$E,0))),"")</f>
        <v>8</v>
      </c>
      <c r="X21" s="38">
        <f>IFERROR(1/(1/INDEX(PMTCT!$AS:$AS,MATCH($E21,PMTCT!$E:$E,0))),"")</f>
        <v>4</v>
      </c>
      <c r="Y21" s="38" t="str">
        <f>IFERROR(1/(1/INDEX(VMMC!$AA:$AA,MATCH($E21,VMMC!$E:$E,0))),"")</f>
        <v/>
      </c>
      <c r="Z21" s="38">
        <f t="shared" si="11"/>
        <v>70</v>
      </c>
    </row>
    <row r="22" spans="1:26" x14ac:dyDescent="0.2">
      <c r="A22" t="str">
        <f>INDEX(Prioritization!$D:$D,MATCH($B22,Prioritization!$A:$A,0))</f>
        <v>Military</v>
      </c>
      <c r="B22" t="s">
        <v>326</v>
      </c>
      <c r="C22" t="s">
        <v>476</v>
      </c>
      <c r="D22" t="s">
        <v>48</v>
      </c>
      <c r="E22" t="str">
        <f t="shared" si="0"/>
        <v>_Military Malawi [PQZgU9dagaH]|25-34|Male</v>
      </c>
      <c r="F22" s="38">
        <v>8</v>
      </c>
      <c r="G22" s="33">
        <v>0.25</v>
      </c>
      <c r="H22" s="218">
        <f t="shared" si="1"/>
        <v>10</v>
      </c>
      <c r="I22" s="38"/>
      <c r="J22" s="33"/>
      <c r="K22" s="33">
        <v>0.45</v>
      </c>
      <c r="L22" s="33"/>
      <c r="M22" s="33">
        <v>0.06</v>
      </c>
      <c r="N22" s="38">
        <f t="shared" si="4"/>
        <v>10</v>
      </c>
      <c r="O22" s="218">
        <f t="shared" si="5"/>
        <v>5</v>
      </c>
      <c r="P22" s="218">
        <f t="shared" si="6"/>
        <v>0</v>
      </c>
      <c r="Q22" s="218">
        <f t="shared" si="7"/>
        <v>5</v>
      </c>
      <c r="R22" s="33">
        <v>0.95</v>
      </c>
      <c r="S22" s="218">
        <f t="shared" si="8"/>
        <v>5</v>
      </c>
      <c r="T22" s="218" t="str">
        <f t="shared" si="9"/>
        <v/>
      </c>
      <c r="U22" s="38">
        <f>IFERROR(1/(1/INDEX(Cascade!$BH:$BH,MATCH($E22,Cascade!$E:$E,0))),"")</f>
        <v>39</v>
      </c>
      <c r="V22" s="38" t="str">
        <f t="shared" si="10"/>
        <v/>
      </c>
      <c r="W22" s="38" t="str">
        <f>IFERROR(1/(1/INDEX(PMTCT!$AC:$AC,MATCH($E22,PMTCT!$E:$E,0))),"")</f>
        <v/>
      </c>
      <c r="X22" s="38" t="str">
        <f>IFERROR(1/(1/INDEX(PMTCT!$AS:$AS,MATCH($E22,PMTCT!$E:$E,0))),"")</f>
        <v/>
      </c>
      <c r="Y22" s="38">
        <f>IFERROR(1/(1/INDEX(VMMC!$AA:$AA,MATCH($E22,VMMC!$E:$E,0))),"")</f>
        <v>11</v>
      </c>
      <c r="Z22" s="38">
        <f t="shared" si="11"/>
        <v>28</v>
      </c>
    </row>
    <row r="23" spans="1:26" x14ac:dyDescent="0.2">
      <c r="A23" t="str">
        <f>INDEX(Prioritization!$D:$D,MATCH($B23,Prioritization!$A:$A,0))</f>
        <v>Military</v>
      </c>
      <c r="B23" t="s">
        <v>326</v>
      </c>
      <c r="C23" t="s">
        <v>477</v>
      </c>
      <c r="D23" t="s">
        <v>30</v>
      </c>
      <c r="E23" t="str">
        <f t="shared" si="0"/>
        <v>_Military Malawi [PQZgU9dagaH]|35-49|Female</v>
      </c>
      <c r="F23" s="38">
        <v>17</v>
      </c>
      <c r="G23" s="33">
        <v>0.25</v>
      </c>
      <c r="H23" s="218">
        <v>19</v>
      </c>
      <c r="I23" s="38">
        <v>1</v>
      </c>
      <c r="J23" s="33">
        <v>0.625</v>
      </c>
      <c r="K23" s="33">
        <v>0.45</v>
      </c>
      <c r="L23" s="33"/>
      <c r="M23" s="33">
        <v>0.06</v>
      </c>
      <c r="N23" s="38">
        <f t="shared" si="4"/>
        <v>19</v>
      </c>
      <c r="O23" s="218">
        <f t="shared" si="5"/>
        <v>9</v>
      </c>
      <c r="P23" s="218">
        <f t="shared" si="6"/>
        <v>1</v>
      </c>
      <c r="Q23" s="218">
        <f t="shared" si="7"/>
        <v>9</v>
      </c>
      <c r="R23" s="33">
        <f>IF(SUM($P23)=0,"",INDEX(Cascade!$BG:$BG,MATCH($E23,Cascade!$E:$E,0)))</f>
        <v>0.95</v>
      </c>
      <c r="S23" s="218">
        <f t="shared" si="8"/>
        <v>9</v>
      </c>
      <c r="T23" s="218">
        <f t="shared" si="9"/>
        <v>1</v>
      </c>
      <c r="U23" s="38">
        <f>IFERROR(1/(1/INDEX(Cascade!$BH:$BH,MATCH($E23,Cascade!$E:$E,0))),"")</f>
        <v>220.99999999999997</v>
      </c>
      <c r="V23" s="38">
        <f t="shared" si="10"/>
        <v>1</v>
      </c>
      <c r="W23" s="38">
        <f>IFERROR(1/(1/INDEX(PMTCT!$AC:$AC,MATCH($E23,PMTCT!$E:$E,0))),"")</f>
        <v>2</v>
      </c>
      <c r="X23" s="38">
        <f>IFERROR(1/(1/INDEX(PMTCT!$AS:$AS,MATCH($E23,PMTCT!$E:$E,0))),"")</f>
        <v>1</v>
      </c>
      <c r="Y23" s="38" t="str">
        <f>IFERROR(1/(1/INDEX(VMMC!$AA:$AA,MATCH($E23,VMMC!$E:$E,0))),"")</f>
        <v/>
      </c>
      <c r="Z23" s="38">
        <f t="shared" si="11"/>
        <v>216.99999999999997</v>
      </c>
    </row>
    <row r="24" spans="1:26" x14ac:dyDescent="0.2">
      <c r="A24" t="str">
        <f>INDEX(Prioritization!$D:$D,MATCH($B24,Prioritization!$A:$A,0))</f>
        <v>Military</v>
      </c>
      <c r="B24" t="s">
        <v>326</v>
      </c>
      <c r="C24" t="s">
        <v>477</v>
      </c>
      <c r="D24" t="s">
        <v>48</v>
      </c>
      <c r="E24" t="str">
        <f t="shared" si="0"/>
        <v>_Military Malawi [PQZgU9dagaH]|35-49|Male</v>
      </c>
      <c r="F24" s="38">
        <v>17</v>
      </c>
      <c r="G24" s="33">
        <v>0.25</v>
      </c>
      <c r="H24" s="218">
        <v>15</v>
      </c>
      <c r="I24" s="38"/>
      <c r="J24" s="33">
        <v>0.625</v>
      </c>
      <c r="K24" s="33">
        <v>0.45</v>
      </c>
      <c r="L24" s="33">
        <v>0.33300000000000002</v>
      </c>
      <c r="M24" s="33">
        <v>0.06</v>
      </c>
      <c r="N24" s="38">
        <f t="shared" si="4"/>
        <v>15</v>
      </c>
      <c r="O24" s="218">
        <f t="shared" si="5"/>
        <v>7</v>
      </c>
      <c r="P24" s="218">
        <f t="shared" si="6"/>
        <v>0</v>
      </c>
      <c r="Q24" s="218">
        <f t="shared" si="7"/>
        <v>8</v>
      </c>
      <c r="R24" s="33">
        <v>0.95</v>
      </c>
      <c r="S24" s="218">
        <f t="shared" si="8"/>
        <v>7</v>
      </c>
      <c r="T24" s="218" t="str">
        <f t="shared" si="9"/>
        <v/>
      </c>
      <c r="U24" s="38">
        <f>IFERROR(1/(1/INDEX(Cascade!$BH:$BH,MATCH($E24,Cascade!$E:$E,0))),"")</f>
        <v>152</v>
      </c>
      <c r="V24" s="38" t="str">
        <f t="shared" si="10"/>
        <v/>
      </c>
      <c r="W24" s="38" t="str">
        <f>IFERROR(1/(1/INDEX(PMTCT!$AC:$AC,MATCH($E24,PMTCT!$E:$E,0))),"")</f>
        <v/>
      </c>
      <c r="X24" s="38" t="str">
        <f>IFERROR(1/(1/INDEX(PMTCT!$AS:$AS,MATCH($E24,PMTCT!$E:$E,0))),"")</f>
        <v/>
      </c>
      <c r="Y24" s="38">
        <f>IFERROR(1/(1/INDEX(VMMC!$AA:$AA,MATCH($E24,VMMC!$E:$E,0))),"")</f>
        <v>42</v>
      </c>
      <c r="Z24" s="38">
        <f t="shared" si="11"/>
        <v>110</v>
      </c>
    </row>
    <row r="25" spans="1:26" x14ac:dyDescent="0.2">
      <c r="A25" t="str">
        <f>INDEX(Prioritization!$D:$D,MATCH($B25,Prioritization!$A:$A,0))</f>
        <v>Military</v>
      </c>
      <c r="B25" t="s">
        <v>326</v>
      </c>
      <c r="C25" t="s">
        <v>478</v>
      </c>
      <c r="D25" t="s">
        <v>30</v>
      </c>
      <c r="E25" t="str">
        <f t="shared" si="0"/>
        <v>_Military Malawi [PQZgU9dagaH]|50+|Female</v>
      </c>
      <c r="F25" s="38">
        <v>5</v>
      </c>
      <c r="G25" s="33">
        <v>0.5</v>
      </c>
      <c r="H25" s="218">
        <f t="shared" si="1"/>
        <v>8</v>
      </c>
      <c r="I25" s="38"/>
      <c r="J25" s="33">
        <v>0.6</v>
      </c>
      <c r="K25" s="33">
        <v>0.45</v>
      </c>
      <c r="L25" s="33">
        <v>0.25</v>
      </c>
      <c r="M25" s="33">
        <v>0.06</v>
      </c>
      <c r="N25" s="38">
        <f t="shared" si="4"/>
        <v>8</v>
      </c>
      <c r="O25" s="218">
        <f t="shared" si="5"/>
        <v>4</v>
      </c>
      <c r="P25" s="218">
        <f t="shared" si="6"/>
        <v>0</v>
      </c>
      <c r="Q25" s="218">
        <f t="shared" si="7"/>
        <v>4</v>
      </c>
      <c r="R25" s="33">
        <v>0.95</v>
      </c>
      <c r="S25" s="218">
        <f t="shared" si="8"/>
        <v>4</v>
      </c>
      <c r="T25" s="218" t="str">
        <f t="shared" si="9"/>
        <v/>
      </c>
      <c r="U25" s="38">
        <f>IFERROR(1/(1/INDEX(Cascade!$BH:$BH,MATCH($E25,Cascade!$E:$E,0))),"")</f>
        <v>101</v>
      </c>
      <c r="V25" s="38" t="str">
        <f t="shared" si="10"/>
        <v/>
      </c>
      <c r="W25" s="38" t="str">
        <f>IFERROR(1/(1/INDEX(PMTCT!$AC:$AC,MATCH($E25,PMTCT!$E:$E,0))),"")</f>
        <v/>
      </c>
      <c r="X25" s="38" t="str">
        <f>IFERROR(1/(1/INDEX(PMTCT!$AS:$AS,MATCH($E25,PMTCT!$E:$E,0))),"")</f>
        <v/>
      </c>
      <c r="Y25" s="38" t="str">
        <f>IFERROR(1/(1/INDEX(VMMC!$AA:$AA,MATCH($E25,VMMC!$E:$E,0))),"")</f>
        <v/>
      </c>
      <c r="Z25" s="38">
        <f t="shared" si="11"/>
        <v>101</v>
      </c>
    </row>
    <row r="26" spans="1:26" x14ac:dyDescent="0.2">
      <c r="A26" t="str">
        <f>INDEX(Prioritization!$D:$D,MATCH($B26,Prioritization!$A:$A,0))</f>
        <v>Military</v>
      </c>
      <c r="B26" t="s">
        <v>326</v>
      </c>
      <c r="C26" t="s">
        <v>478</v>
      </c>
      <c r="D26" t="s">
        <v>48</v>
      </c>
      <c r="E26" t="str">
        <f t="shared" si="0"/>
        <v>_Military Malawi [PQZgU9dagaH]|50+|Male</v>
      </c>
      <c r="F26" s="38">
        <v>5</v>
      </c>
      <c r="G26" s="33">
        <v>0.5</v>
      </c>
      <c r="H26" s="218">
        <f t="shared" si="1"/>
        <v>8</v>
      </c>
      <c r="I26" s="38"/>
      <c r="J26" s="33">
        <v>0.5</v>
      </c>
      <c r="K26" s="33">
        <v>0.45</v>
      </c>
      <c r="L26" s="33">
        <v>0.25</v>
      </c>
      <c r="M26" s="33">
        <v>0.06</v>
      </c>
      <c r="N26" s="38">
        <f t="shared" si="4"/>
        <v>8</v>
      </c>
      <c r="O26" s="218">
        <f t="shared" si="5"/>
        <v>4</v>
      </c>
      <c r="P26" s="218">
        <f t="shared" si="6"/>
        <v>0</v>
      </c>
      <c r="Q26" s="218">
        <f t="shared" si="7"/>
        <v>4</v>
      </c>
      <c r="R26" s="33">
        <v>0.95</v>
      </c>
      <c r="S26" s="218">
        <f t="shared" si="8"/>
        <v>4</v>
      </c>
      <c r="T26" s="218" t="str">
        <f t="shared" si="9"/>
        <v/>
      </c>
      <c r="U26" s="38">
        <f>IFERROR(1/(1/INDEX(Cascade!$BH:$BH,MATCH($E26,Cascade!$E:$E,0))),"")</f>
        <v>120</v>
      </c>
      <c r="V26" s="38" t="str">
        <f t="shared" si="10"/>
        <v/>
      </c>
      <c r="W26" s="38" t="str">
        <f>IFERROR(1/(1/INDEX(PMTCT!$AC:$AC,MATCH($E26,PMTCT!$E:$E,0))),"")</f>
        <v/>
      </c>
      <c r="X26" s="38" t="str">
        <f>IFERROR(1/(1/INDEX(PMTCT!$AS:$AS,MATCH($E26,PMTCT!$E:$E,0))),"")</f>
        <v/>
      </c>
      <c r="Y26" s="38" t="str">
        <f>IFERROR(1/(1/INDEX(VMMC!$AA:$AA,MATCH($E26,VMMC!$E:$E,0))),"")</f>
        <v/>
      </c>
      <c r="Z26" s="38">
        <f t="shared" si="11"/>
        <v>120</v>
      </c>
    </row>
    <row r="27" spans="1:26" x14ac:dyDescent="0.2">
      <c r="A27" t="str">
        <f>INDEX(Prioritization!$D:$D,MATCH($B27,Prioritization!$A:$A,0))</f>
        <v>4 - Sustained</v>
      </c>
      <c r="B27" t="s">
        <v>313</v>
      </c>
      <c r="C27" t="s">
        <v>473</v>
      </c>
      <c r="D27" t="s">
        <v>30</v>
      </c>
      <c r="E27" t="str">
        <f t="shared" si="0"/>
        <v>Balaka District [ir8wuHHzoSs]|01-09|Female</v>
      </c>
      <c r="F27" s="38">
        <v>8</v>
      </c>
      <c r="G27" s="33">
        <v>0.39</v>
      </c>
      <c r="H27" s="218">
        <f t="shared" si="1"/>
        <v>11</v>
      </c>
      <c r="I27" s="38"/>
      <c r="J27" s="33"/>
      <c r="K27" s="33">
        <v>0.45</v>
      </c>
      <c r="L27" s="33"/>
      <c r="M27" s="33">
        <v>0.06</v>
      </c>
      <c r="N27" s="38">
        <f>ROUND($H27*0.99,0)</f>
        <v>11</v>
      </c>
      <c r="O27" s="218">
        <f>IF(SUM($N27)=0,"",IF(AND(SUM($N27)&gt;0,$K27=""),"ENTER KNOWN POSITIVITY RATE",ROUND($N27*$K27,0)))</f>
        <v>5</v>
      </c>
      <c r="P27" s="218">
        <f>IF(SUM($N27)=0,"",IF(AND((SUM($N27)-SUM($O27))&gt;0,$M27=""),"ENTER YIELD RATE",ROUND(($N27-SUM($O27))*$M27,0)))</f>
        <v>0</v>
      </c>
      <c r="Q27" s="218">
        <f t="shared" si="7"/>
        <v>6</v>
      </c>
      <c r="R27" s="33" t="str">
        <f>IF(SUM($P27)=0,"",INDEX(Cascade!$BG:$BG,MATCH($E27,Cascade!$E:$E,0)))</f>
        <v/>
      </c>
      <c r="S27" s="218">
        <f t="shared" si="8"/>
        <v>5</v>
      </c>
      <c r="T27" s="218" t="str">
        <f t="shared" si="9"/>
        <v/>
      </c>
      <c r="U27" s="38" t="str">
        <f>IFERROR(1/(1/INDEX(Cascade!$BH:$BH,MATCH($E27,Cascade!$E:$E,0))),"")</f>
        <v/>
      </c>
      <c r="V27" s="38" t="str">
        <f t="shared" si="10"/>
        <v/>
      </c>
      <c r="W27" s="38" t="str">
        <f>IFERROR(1/(1/INDEX(PMTCT!$AC:$AC,MATCH($E27,PMTCT!$E:$E,0))),"")</f>
        <v/>
      </c>
      <c r="X27" s="38" t="str">
        <f>IFERROR(1/(1/INDEX(PMTCT!$AS:$AS,MATCH($E27,PMTCT!$E:$E,0))),"")</f>
        <v/>
      </c>
      <c r="Y27" s="38" t="str">
        <f>IFERROR(1/(1/INDEX(VMMC!$AA:$AA,MATCH($E27,VMMC!$E:$E,0))),"")</f>
        <v/>
      </c>
      <c r="Z27" s="38" t="str">
        <f t="shared" si="11"/>
        <v/>
      </c>
    </row>
    <row r="28" spans="1:26" x14ac:dyDescent="0.2">
      <c r="A28" t="str">
        <f>INDEX(Prioritization!$D:$D,MATCH($B28,Prioritization!$A:$A,0))</f>
        <v>4 - Sustained</v>
      </c>
      <c r="B28" t="s">
        <v>313</v>
      </c>
      <c r="C28" t="s">
        <v>473</v>
      </c>
      <c r="D28" t="s">
        <v>48</v>
      </c>
      <c r="E28" t="str">
        <f t="shared" si="0"/>
        <v>Balaka District [ir8wuHHzoSs]|01-09|Male</v>
      </c>
      <c r="F28" s="38">
        <v>8</v>
      </c>
      <c r="G28" s="33">
        <v>0.39</v>
      </c>
      <c r="H28" s="218">
        <f t="shared" si="1"/>
        <v>11</v>
      </c>
      <c r="I28" s="38"/>
      <c r="J28" s="33"/>
      <c r="K28" s="33">
        <v>0.45</v>
      </c>
      <c r="L28" s="33"/>
      <c r="M28" s="33">
        <v>0.06</v>
      </c>
      <c r="N28" s="38">
        <f t="shared" ref="N28:N91" si="12">ROUND($H28*0.99,0)</f>
        <v>11</v>
      </c>
      <c r="O28" s="218">
        <f t="shared" si="5"/>
        <v>5</v>
      </c>
      <c r="P28" s="218">
        <f t="shared" si="6"/>
        <v>0</v>
      </c>
      <c r="Q28" s="218">
        <f t="shared" si="7"/>
        <v>6</v>
      </c>
      <c r="R28" s="33" t="str">
        <f>IF(SUM($P28)=0,"",INDEX(Cascade!$BG:$BG,MATCH($E28,Cascade!$E:$E,0)))</f>
        <v/>
      </c>
      <c r="S28" s="218">
        <f t="shared" si="8"/>
        <v>5</v>
      </c>
      <c r="T28" s="218" t="str">
        <f t="shared" si="9"/>
        <v/>
      </c>
      <c r="U28" s="38" t="str">
        <f>IFERROR(1/(1/INDEX(Cascade!$BH:$BH,MATCH($E28,Cascade!$E:$E,0))),"")</f>
        <v/>
      </c>
      <c r="V28" s="38" t="str">
        <f t="shared" si="10"/>
        <v/>
      </c>
      <c r="W28" s="38" t="str">
        <f>IFERROR(1/(1/INDEX(PMTCT!$AC:$AC,MATCH($E28,PMTCT!$E:$E,0))),"")</f>
        <v/>
      </c>
      <c r="X28" s="38" t="str">
        <f>IFERROR(1/(1/INDEX(PMTCT!$AS:$AS,MATCH($E28,PMTCT!$E:$E,0))),"")</f>
        <v/>
      </c>
      <c r="Y28" s="38" t="str">
        <f>IFERROR(1/(1/INDEX(VMMC!$AA:$AA,MATCH($E28,VMMC!$E:$E,0))),"")</f>
        <v/>
      </c>
      <c r="Z28" s="38" t="str">
        <f t="shared" si="11"/>
        <v/>
      </c>
    </row>
    <row r="29" spans="1:26" x14ac:dyDescent="0.2">
      <c r="A29" t="str">
        <f>INDEX(Prioritization!$D:$D,MATCH($B29,Prioritization!$A:$A,0))</f>
        <v>4 - Sustained</v>
      </c>
      <c r="B29" t="s">
        <v>313</v>
      </c>
      <c r="C29" t="s">
        <v>474</v>
      </c>
      <c r="D29" t="s">
        <v>30</v>
      </c>
      <c r="E29" t="str">
        <f t="shared" si="0"/>
        <v>Balaka District [ir8wuHHzoSs]|10-14|Female</v>
      </c>
      <c r="F29" s="38">
        <v>4</v>
      </c>
      <c r="G29" s="33">
        <v>0.39</v>
      </c>
      <c r="H29" s="218">
        <f t="shared" si="1"/>
        <v>6</v>
      </c>
      <c r="I29" s="38"/>
      <c r="J29" s="33"/>
      <c r="K29" s="33">
        <v>0.45</v>
      </c>
      <c r="L29" s="33"/>
      <c r="M29" s="33">
        <v>0.06</v>
      </c>
      <c r="N29" s="38">
        <f t="shared" si="12"/>
        <v>6</v>
      </c>
      <c r="O29" s="218">
        <f t="shared" si="5"/>
        <v>3</v>
      </c>
      <c r="P29" s="218">
        <f t="shared" si="6"/>
        <v>0</v>
      </c>
      <c r="Q29" s="218">
        <f t="shared" si="7"/>
        <v>3</v>
      </c>
      <c r="R29" s="33" t="str">
        <f>IF(SUM($P29)=0,"",INDEX(Cascade!$BG:$BG,MATCH($E29,Cascade!$E:$E,0)))</f>
        <v/>
      </c>
      <c r="S29" s="218">
        <f t="shared" si="8"/>
        <v>3</v>
      </c>
      <c r="T29" s="218" t="str">
        <f t="shared" si="9"/>
        <v/>
      </c>
      <c r="U29" s="38" t="str">
        <f>IFERROR(1/(1/INDEX(Cascade!$BH:$BH,MATCH($E29,Cascade!$E:$E,0))),"")</f>
        <v/>
      </c>
      <c r="V29" s="38" t="str">
        <f t="shared" si="10"/>
        <v/>
      </c>
      <c r="W29" s="38">
        <f>IFERROR(1/(1/INDEX(PMTCT!$AC:$AC,MATCH($E29,PMTCT!$E:$E,0))),"")</f>
        <v>1</v>
      </c>
      <c r="X29" s="38" t="str">
        <f>IFERROR(1/(1/INDEX(PMTCT!$AS:$AS,MATCH($E29,PMTCT!$E:$E,0))),"")</f>
        <v/>
      </c>
      <c r="Y29" s="38" t="str">
        <f>IFERROR(1/(1/INDEX(VMMC!$AA:$AA,MATCH($E29,VMMC!$E:$E,0))),"")</f>
        <v/>
      </c>
      <c r="Z29" s="38">
        <f t="shared" si="11"/>
        <v>-1</v>
      </c>
    </row>
    <row r="30" spans="1:26" x14ac:dyDescent="0.2">
      <c r="A30" t="str">
        <f>INDEX(Prioritization!$D:$D,MATCH($B30,Prioritization!$A:$A,0))</f>
        <v>4 - Sustained</v>
      </c>
      <c r="B30" t="s">
        <v>313</v>
      </c>
      <c r="C30" t="s">
        <v>474</v>
      </c>
      <c r="D30" t="s">
        <v>48</v>
      </c>
      <c r="E30" t="str">
        <f t="shared" si="0"/>
        <v>Balaka District [ir8wuHHzoSs]|10-14|Male</v>
      </c>
      <c r="F30" s="38">
        <v>4</v>
      </c>
      <c r="G30" s="33">
        <v>0.39</v>
      </c>
      <c r="H30" s="218">
        <f t="shared" si="1"/>
        <v>6</v>
      </c>
      <c r="I30" s="38"/>
      <c r="J30" s="33"/>
      <c r="K30" s="33">
        <v>0.45</v>
      </c>
      <c r="L30" s="33"/>
      <c r="M30" s="33">
        <v>0.06</v>
      </c>
      <c r="N30" s="38">
        <f t="shared" si="12"/>
        <v>6</v>
      </c>
      <c r="O30" s="218">
        <f t="shared" si="5"/>
        <v>3</v>
      </c>
      <c r="P30" s="218">
        <f t="shared" si="6"/>
        <v>0</v>
      </c>
      <c r="Q30" s="218">
        <f t="shared" si="7"/>
        <v>3</v>
      </c>
      <c r="R30" s="33" t="str">
        <f>IF(SUM($P30)=0,"",INDEX(Cascade!$BG:$BG,MATCH($E30,Cascade!$E:$E,0)))</f>
        <v/>
      </c>
      <c r="S30" s="218">
        <f t="shared" si="8"/>
        <v>3</v>
      </c>
      <c r="T30" s="218" t="str">
        <f t="shared" si="9"/>
        <v/>
      </c>
      <c r="U30" s="38" t="str">
        <f>IFERROR(1/(1/INDEX(Cascade!$BH:$BH,MATCH($E30,Cascade!$E:$E,0))),"")</f>
        <v/>
      </c>
      <c r="V30" s="38" t="str">
        <f t="shared" si="10"/>
        <v/>
      </c>
      <c r="W30" s="38" t="str">
        <f>IFERROR(1/(1/INDEX(PMTCT!$AC:$AC,MATCH($E30,PMTCT!$E:$E,0))),"")</f>
        <v/>
      </c>
      <c r="X30" s="38" t="str">
        <f>IFERROR(1/(1/INDEX(PMTCT!$AS:$AS,MATCH($E30,PMTCT!$E:$E,0))),"")</f>
        <v/>
      </c>
      <c r="Y30" s="38" t="str">
        <f>IFERROR(1/(1/INDEX(VMMC!$AA:$AA,MATCH($E30,VMMC!$E:$E,0))),"")</f>
        <v/>
      </c>
      <c r="Z30" s="38" t="str">
        <f t="shared" si="11"/>
        <v/>
      </c>
    </row>
    <row r="31" spans="1:26" x14ac:dyDescent="0.2">
      <c r="A31" t="str">
        <f>INDEX(Prioritization!$D:$D,MATCH($B31,Prioritization!$A:$A,0))</f>
        <v>4 - Sustained</v>
      </c>
      <c r="B31" t="s">
        <v>313</v>
      </c>
      <c r="C31" t="s">
        <v>475</v>
      </c>
      <c r="D31" t="s">
        <v>30</v>
      </c>
      <c r="E31" t="str">
        <f t="shared" si="0"/>
        <v>Balaka District [ir8wuHHzoSs]|15-24|Female</v>
      </c>
      <c r="F31" s="38"/>
      <c r="G31" s="33"/>
      <c r="H31" s="218" t="str">
        <f t="shared" si="1"/>
        <v/>
      </c>
      <c r="I31" s="38">
        <v>1</v>
      </c>
      <c r="J31" s="33"/>
      <c r="K31" s="33">
        <v>0.45</v>
      </c>
      <c r="L31" s="33"/>
      <c r="M31" s="33">
        <v>0.06</v>
      </c>
      <c r="N31" s="38" t="e">
        <f t="shared" si="12"/>
        <v>#VALUE!</v>
      </c>
      <c r="O31" s="218" t="e">
        <f>IF(SUM($N31)=0,"",IF(AND(SUM($N31)&gt;0,$K31=""),"ENTER KNOWN POSITIVITY RATE",ROUND($N31*$K31,0)))</f>
        <v>#VALUE!</v>
      </c>
      <c r="P31" s="218" t="e">
        <f>IF(SUM($N31)=0,"",IF(AND((SUM($N31)-SUM($O31))&gt;0,$M31=""),"ENTER YIELD RATE",ROUND(($N31-SUM($O31))*$M31,0)))</f>
        <v>#VALUE!</v>
      </c>
      <c r="Q31" s="218" t="e">
        <f t="shared" si="7"/>
        <v>#VALUE!</v>
      </c>
      <c r="R31" s="33" t="e">
        <f>IF(SUM($P31)=0,"",INDEX(Cascade!$BG:$BG,MATCH($E31,Cascade!$E:$E,0)))</f>
        <v>#VALUE!</v>
      </c>
      <c r="S31" s="218" t="e">
        <f t="shared" si="8"/>
        <v>#VALUE!</v>
      </c>
      <c r="T31" s="218" t="e">
        <f t="shared" si="9"/>
        <v>#VALUE!</v>
      </c>
      <c r="U31" s="38" t="str">
        <f>IFERROR(1/(1/INDEX(Cascade!$BH:$BH,MATCH($E31,Cascade!$E:$E,0))),"")</f>
        <v/>
      </c>
      <c r="V31" s="38" t="e">
        <f t="shared" si="10"/>
        <v>#VALUE!</v>
      </c>
      <c r="W31" s="38">
        <f>IFERROR(1/(1/INDEX(PMTCT!$AC:$AC,MATCH($E31,PMTCT!$E:$E,0))),"")</f>
        <v>76</v>
      </c>
      <c r="X31" s="38">
        <f>IFERROR(1/(1/INDEX(PMTCT!$AS:$AS,MATCH($E31,PMTCT!$E:$E,0))),"")</f>
        <v>36</v>
      </c>
      <c r="Y31" s="38" t="str">
        <f>IFERROR(1/(1/INDEX(VMMC!$AA:$AA,MATCH($E31,VMMC!$E:$E,0))),"")</f>
        <v/>
      </c>
      <c r="Z31" s="38" t="str">
        <f t="shared" si="11"/>
        <v/>
      </c>
    </row>
    <row r="32" spans="1:26" x14ac:dyDescent="0.2">
      <c r="A32" t="str">
        <f>INDEX(Prioritization!$D:$D,MATCH($B32,Prioritization!$A:$A,0))</f>
        <v>4 - Sustained</v>
      </c>
      <c r="B32" t="s">
        <v>313</v>
      </c>
      <c r="C32" t="s">
        <v>475</v>
      </c>
      <c r="D32" t="s">
        <v>48</v>
      </c>
      <c r="E32" t="str">
        <f t="shared" si="0"/>
        <v>Balaka District [ir8wuHHzoSs]|15-24|Male</v>
      </c>
      <c r="F32" s="38"/>
      <c r="G32" s="33"/>
      <c r="H32" s="218" t="str">
        <f t="shared" si="1"/>
        <v/>
      </c>
      <c r="I32" s="38">
        <v>1</v>
      </c>
      <c r="J32" s="33"/>
      <c r="K32" s="33">
        <v>0.45</v>
      </c>
      <c r="L32" s="33"/>
      <c r="M32" s="33">
        <v>0.06</v>
      </c>
      <c r="N32" s="38" t="e">
        <f t="shared" si="12"/>
        <v>#VALUE!</v>
      </c>
      <c r="O32" s="218" t="e">
        <f t="shared" si="5"/>
        <v>#VALUE!</v>
      </c>
      <c r="P32" s="218"/>
      <c r="Q32" s="218"/>
      <c r="R32" s="33"/>
      <c r="S32" s="218"/>
      <c r="T32" s="218"/>
      <c r="U32" s="38"/>
      <c r="V32" s="38" t="str">
        <f t="shared" si="10"/>
        <v/>
      </c>
      <c r="W32" s="38" t="str">
        <f>IFERROR(1/(1/INDEX(PMTCT!$AC:$AC,MATCH($E32,PMTCT!$E:$E,0))),"")</f>
        <v/>
      </c>
      <c r="X32" s="38" t="str">
        <f>IFERROR(1/(1/INDEX(PMTCT!$AS:$AS,MATCH($E32,PMTCT!$E:$E,0))),"")</f>
        <v/>
      </c>
      <c r="Y32" s="38" t="str">
        <f>IFERROR(1/(1/INDEX(VMMC!$AA:$AA,MATCH($E32,VMMC!$E:$E,0))),"")</f>
        <v/>
      </c>
      <c r="Z32" s="38" t="str">
        <f t="shared" si="11"/>
        <v/>
      </c>
    </row>
    <row r="33" spans="1:26" x14ac:dyDescent="0.2">
      <c r="A33" t="str">
        <f>INDEX(Prioritization!$D:$D,MATCH($B33,Prioritization!$A:$A,0))</f>
        <v>4 - Sustained</v>
      </c>
      <c r="B33" t="s">
        <v>313</v>
      </c>
      <c r="C33" t="s">
        <v>476</v>
      </c>
      <c r="D33" t="s">
        <v>30</v>
      </c>
      <c r="E33" t="str">
        <f t="shared" si="0"/>
        <v>Balaka District [ir8wuHHzoSs]|25-34|Female</v>
      </c>
      <c r="F33" s="38"/>
      <c r="G33" s="33"/>
      <c r="H33" s="218" t="str">
        <f t="shared" si="1"/>
        <v/>
      </c>
      <c r="I33" s="38">
        <v>1</v>
      </c>
      <c r="J33" s="33"/>
      <c r="K33" s="33">
        <v>0.45</v>
      </c>
      <c r="L33" s="33"/>
      <c r="M33" s="33">
        <v>0.06</v>
      </c>
      <c r="N33" s="38" t="e">
        <f t="shared" si="12"/>
        <v>#VALUE!</v>
      </c>
      <c r="O33" s="218" t="e">
        <f t="shared" si="5"/>
        <v>#VALUE!</v>
      </c>
      <c r="P33" s="218"/>
      <c r="Q33" s="218"/>
      <c r="R33" s="33"/>
      <c r="S33" s="218"/>
      <c r="T33" s="218"/>
      <c r="U33" s="38"/>
      <c r="V33" s="38" t="str">
        <f t="shared" si="10"/>
        <v/>
      </c>
      <c r="W33" s="38">
        <f>IFERROR(1/(1/INDEX(PMTCT!$AC:$AC,MATCH($E33,PMTCT!$E:$E,0))),"")</f>
        <v>53</v>
      </c>
      <c r="X33" s="38">
        <f>IFERROR(1/(1/INDEX(PMTCT!$AS:$AS,MATCH($E33,PMTCT!$E:$E,0))),"")</f>
        <v>19</v>
      </c>
      <c r="Y33" s="38" t="str">
        <f>IFERROR(1/(1/INDEX(VMMC!$AA:$AA,MATCH($E33,VMMC!$E:$E,0))),"")</f>
        <v/>
      </c>
      <c r="Z33" s="38">
        <f t="shared" si="11"/>
        <v>-72</v>
      </c>
    </row>
    <row r="34" spans="1:26" x14ac:dyDescent="0.2">
      <c r="A34" t="str">
        <f>INDEX(Prioritization!$D:$D,MATCH($B34,Prioritization!$A:$A,0))</f>
        <v>4 - Sustained</v>
      </c>
      <c r="B34" t="s">
        <v>313</v>
      </c>
      <c r="C34" t="s">
        <v>476</v>
      </c>
      <c r="D34" t="s">
        <v>48</v>
      </c>
      <c r="E34" t="str">
        <f t="shared" si="0"/>
        <v>Balaka District [ir8wuHHzoSs]|25-34|Male</v>
      </c>
      <c r="F34" s="38"/>
      <c r="G34" s="33"/>
      <c r="H34" s="218" t="str">
        <f t="shared" si="1"/>
        <v/>
      </c>
      <c r="I34" s="38">
        <v>1</v>
      </c>
      <c r="J34" s="33"/>
      <c r="K34" s="33">
        <v>0.45</v>
      </c>
      <c r="L34" s="33"/>
      <c r="M34" s="33">
        <v>0.06</v>
      </c>
      <c r="N34" s="38" t="e">
        <f t="shared" si="12"/>
        <v>#VALUE!</v>
      </c>
      <c r="O34" s="218" t="e">
        <f t="shared" si="5"/>
        <v>#VALUE!</v>
      </c>
      <c r="P34" s="218"/>
      <c r="Q34" s="218"/>
      <c r="R34" s="33"/>
      <c r="S34" s="218"/>
      <c r="T34" s="218"/>
      <c r="U34" s="38"/>
      <c r="V34" s="38" t="str">
        <f t="shared" si="10"/>
        <v/>
      </c>
      <c r="W34" s="38" t="str">
        <f>IFERROR(1/(1/INDEX(PMTCT!$AC:$AC,MATCH($E34,PMTCT!$E:$E,0))),"")</f>
        <v/>
      </c>
      <c r="X34" s="38" t="str">
        <f>IFERROR(1/(1/INDEX(PMTCT!$AS:$AS,MATCH($E34,PMTCT!$E:$E,0))),"")</f>
        <v/>
      </c>
      <c r="Y34" s="38" t="str">
        <f>IFERROR(1/(1/INDEX(VMMC!$AA:$AA,MATCH($E34,VMMC!$E:$E,0))),"")</f>
        <v/>
      </c>
      <c r="Z34" s="38" t="str">
        <f t="shared" si="11"/>
        <v/>
      </c>
    </row>
    <row r="35" spans="1:26" x14ac:dyDescent="0.2">
      <c r="A35" t="str">
        <f>INDEX(Prioritization!$D:$D,MATCH($B35,Prioritization!$A:$A,0))</f>
        <v>4 - Sustained</v>
      </c>
      <c r="B35" t="s">
        <v>313</v>
      </c>
      <c r="C35" t="s">
        <v>477</v>
      </c>
      <c r="D35" t="s">
        <v>30</v>
      </c>
      <c r="E35" t="str">
        <f t="shared" si="0"/>
        <v>Balaka District [ir8wuHHzoSs]|35-49|Female</v>
      </c>
      <c r="F35" s="38"/>
      <c r="G35" s="33"/>
      <c r="H35" s="218" t="str">
        <f t="shared" si="1"/>
        <v/>
      </c>
      <c r="I35" s="38">
        <v>1</v>
      </c>
      <c r="J35" s="33"/>
      <c r="K35" s="33">
        <v>0.45</v>
      </c>
      <c r="L35" s="33"/>
      <c r="M35" s="33">
        <v>0.06</v>
      </c>
      <c r="N35" s="38" t="e">
        <f t="shared" si="12"/>
        <v>#VALUE!</v>
      </c>
      <c r="O35" s="218" t="e">
        <f t="shared" si="5"/>
        <v>#VALUE!</v>
      </c>
      <c r="P35" s="218"/>
      <c r="Q35" s="218"/>
      <c r="R35" s="33"/>
      <c r="S35" s="218"/>
      <c r="T35" s="218"/>
      <c r="U35" s="38"/>
      <c r="V35" s="38" t="str">
        <f t="shared" si="10"/>
        <v/>
      </c>
      <c r="W35" s="38">
        <f>IFERROR(1/(1/INDEX(PMTCT!$AC:$AC,MATCH($E35,PMTCT!$E:$E,0))),"")</f>
        <v>13</v>
      </c>
      <c r="X35" s="38">
        <f>IFERROR(1/(1/INDEX(PMTCT!$AS:$AS,MATCH($E35,PMTCT!$E:$E,0))),"")</f>
        <v>5</v>
      </c>
      <c r="Y35" s="38" t="str">
        <f>IFERROR(1/(1/INDEX(VMMC!$AA:$AA,MATCH($E35,VMMC!$E:$E,0))),"")</f>
        <v/>
      </c>
      <c r="Z35" s="38">
        <f t="shared" si="11"/>
        <v>-18</v>
      </c>
    </row>
    <row r="36" spans="1:26" x14ac:dyDescent="0.2">
      <c r="A36" t="str">
        <f>INDEX(Prioritization!$D:$D,MATCH($B36,Prioritization!$A:$A,0))</f>
        <v>4 - Sustained</v>
      </c>
      <c r="B36" t="s">
        <v>313</v>
      </c>
      <c r="C36" t="s">
        <v>477</v>
      </c>
      <c r="D36" t="s">
        <v>48</v>
      </c>
      <c r="E36" t="str">
        <f t="shared" si="0"/>
        <v>Balaka District [ir8wuHHzoSs]|35-49|Male</v>
      </c>
      <c r="F36" s="38"/>
      <c r="G36" s="33"/>
      <c r="H36" s="218"/>
      <c r="I36" s="38"/>
      <c r="J36" s="33"/>
      <c r="K36" s="33">
        <v>0.45</v>
      </c>
      <c r="L36" s="33"/>
      <c r="M36" s="33">
        <v>0.06</v>
      </c>
      <c r="N36" s="38">
        <f t="shared" si="12"/>
        <v>0</v>
      </c>
      <c r="O36" s="218" t="str">
        <f t="shared" si="5"/>
        <v/>
      </c>
      <c r="P36" s="218"/>
      <c r="Q36" s="218"/>
      <c r="R36" s="33"/>
      <c r="S36" s="218"/>
      <c r="T36" s="218"/>
      <c r="U36" s="38"/>
      <c r="V36" s="38" t="str">
        <f t="shared" si="10"/>
        <v/>
      </c>
      <c r="W36" s="38" t="str">
        <f>IFERROR(1/(1/INDEX(PMTCT!$AC:$AC,MATCH($E36,PMTCT!$E:$E,0))),"")</f>
        <v/>
      </c>
      <c r="X36" s="38" t="str">
        <f>IFERROR(1/(1/INDEX(PMTCT!$AS:$AS,MATCH($E36,PMTCT!$E:$E,0))),"")</f>
        <v/>
      </c>
      <c r="Y36" s="38" t="str">
        <f>IFERROR(1/(1/INDEX(VMMC!$AA:$AA,MATCH($E36,VMMC!$E:$E,0))),"")</f>
        <v/>
      </c>
      <c r="Z36" s="38" t="str">
        <f t="shared" si="11"/>
        <v/>
      </c>
    </row>
    <row r="37" spans="1:26" x14ac:dyDescent="0.2">
      <c r="A37" t="str">
        <f>INDEX(Prioritization!$D:$D,MATCH($B37,Prioritization!$A:$A,0))</f>
        <v>4 - Sustained</v>
      </c>
      <c r="B37" t="s">
        <v>313</v>
      </c>
      <c r="C37" t="s">
        <v>478</v>
      </c>
      <c r="D37" t="s">
        <v>30</v>
      </c>
      <c r="E37" t="str">
        <f t="shared" si="0"/>
        <v>Balaka District [ir8wuHHzoSs]|50+|Female</v>
      </c>
      <c r="F37" s="38">
        <v>14</v>
      </c>
      <c r="G37" s="33">
        <v>0.39</v>
      </c>
      <c r="H37" s="218"/>
      <c r="I37" s="38"/>
      <c r="J37" s="33"/>
      <c r="K37" s="33">
        <v>0.45</v>
      </c>
      <c r="L37" s="33"/>
      <c r="M37" s="33">
        <v>0.06</v>
      </c>
      <c r="N37" s="38">
        <f t="shared" si="12"/>
        <v>0</v>
      </c>
      <c r="O37" s="218" t="str">
        <f t="shared" si="5"/>
        <v/>
      </c>
      <c r="P37" s="218"/>
      <c r="Q37" s="218"/>
      <c r="R37" s="33"/>
      <c r="S37" s="218"/>
      <c r="T37" s="218"/>
      <c r="U37" s="38"/>
      <c r="V37" s="38" t="str">
        <f t="shared" si="10"/>
        <v/>
      </c>
      <c r="W37" s="38" t="str">
        <f>IFERROR(1/(1/INDEX(PMTCT!$AC:$AC,MATCH($E37,PMTCT!$E:$E,0))),"")</f>
        <v/>
      </c>
      <c r="X37" s="38" t="str">
        <f>IFERROR(1/(1/INDEX(PMTCT!$AS:$AS,MATCH($E37,PMTCT!$E:$E,0))),"")</f>
        <v/>
      </c>
      <c r="Y37" s="38" t="str">
        <f>IFERROR(1/(1/INDEX(VMMC!$AA:$AA,MATCH($E37,VMMC!$E:$E,0))),"")</f>
        <v/>
      </c>
      <c r="Z37" s="38" t="str">
        <f t="shared" si="11"/>
        <v/>
      </c>
    </row>
    <row r="38" spans="1:26" x14ac:dyDescent="0.2">
      <c r="A38" t="str">
        <f>INDEX(Prioritization!$D:$D,MATCH($B38,Prioritization!$A:$A,0))</f>
        <v>4 - Sustained</v>
      </c>
      <c r="B38" t="s">
        <v>313</v>
      </c>
      <c r="C38" t="s">
        <v>478</v>
      </c>
      <c r="D38" t="s">
        <v>48</v>
      </c>
      <c r="E38" t="str">
        <f t="shared" si="0"/>
        <v>Balaka District [ir8wuHHzoSs]|50+|Male</v>
      </c>
      <c r="F38" s="38">
        <v>22</v>
      </c>
      <c r="G38" s="33">
        <v>0.39</v>
      </c>
      <c r="H38" s="218"/>
      <c r="I38" s="38"/>
      <c r="J38" s="33"/>
      <c r="K38" s="33">
        <v>0.45</v>
      </c>
      <c r="L38" s="33"/>
      <c r="M38" s="33">
        <v>0.06</v>
      </c>
      <c r="N38" s="38">
        <f t="shared" si="12"/>
        <v>0</v>
      </c>
      <c r="O38" s="218" t="str">
        <f t="shared" si="5"/>
        <v/>
      </c>
      <c r="P38" s="218"/>
      <c r="Q38" s="218"/>
      <c r="R38" s="33"/>
      <c r="S38" s="218"/>
      <c r="T38" s="218"/>
      <c r="U38" s="38"/>
      <c r="V38" s="38" t="str">
        <f t="shared" si="10"/>
        <v/>
      </c>
      <c r="W38" s="38" t="str">
        <f>IFERROR(1/(1/INDEX(PMTCT!$AC:$AC,MATCH($E38,PMTCT!$E:$E,0))),"")</f>
        <v/>
      </c>
      <c r="X38" s="38" t="str">
        <f>IFERROR(1/(1/INDEX(PMTCT!$AS:$AS,MATCH($E38,PMTCT!$E:$E,0))),"")</f>
        <v/>
      </c>
      <c r="Y38" s="38" t="str">
        <f>IFERROR(1/(1/INDEX(VMMC!$AA:$AA,MATCH($E38,VMMC!$E:$E,0))),"")</f>
        <v/>
      </c>
      <c r="Z38" s="38" t="str">
        <f t="shared" si="11"/>
        <v/>
      </c>
    </row>
    <row r="39" spans="1:26" x14ac:dyDescent="0.2">
      <c r="A39" t="str">
        <f>INDEX(Prioritization!$D:$D,MATCH($B39,Prioritization!$A:$A,0))</f>
        <v>1 - Scale-up: Saturation</v>
      </c>
      <c r="B39" t="s">
        <v>314</v>
      </c>
      <c r="C39" t="s">
        <v>473</v>
      </c>
      <c r="D39" t="s">
        <v>30</v>
      </c>
      <c r="E39" t="str">
        <f t="shared" si="0"/>
        <v>Blantyre District [mxqa3CDFmIT]|01-09|Female</v>
      </c>
      <c r="F39" s="38">
        <v>56</v>
      </c>
      <c r="G39" s="33">
        <v>0.39</v>
      </c>
      <c r="H39" s="218"/>
      <c r="I39" s="38"/>
      <c r="J39" s="33"/>
      <c r="K39" s="33">
        <v>0.45</v>
      </c>
      <c r="L39" s="33">
        <v>0.41699999999999998</v>
      </c>
      <c r="M39" s="33">
        <v>0.06</v>
      </c>
      <c r="N39" s="38">
        <f t="shared" si="12"/>
        <v>0</v>
      </c>
      <c r="O39" s="218" t="str">
        <f t="shared" si="5"/>
        <v/>
      </c>
      <c r="P39" s="218"/>
      <c r="Q39" s="218"/>
      <c r="R39" s="33"/>
      <c r="S39" s="218"/>
      <c r="T39" s="218"/>
      <c r="U39" s="38"/>
      <c r="V39" s="38" t="str">
        <f t="shared" si="10"/>
        <v/>
      </c>
      <c r="W39" s="38" t="str">
        <f>IFERROR(1/(1/INDEX(PMTCT!$AC:$AC,MATCH($E39,PMTCT!$E:$E,0))),"")</f>
        <v/>
      </c>
      <c r="X39" s="38" t="str">
        <f>IFERROR(1/(1/INDEX(PMTCT!$AS:$AS,MATCH($E39,PMTCT!$E:$E,0))),"")</f>
        <v/>
      </c>
      <c r="Y39" s="38" t="str">
        <f>IFERROR(1/(1/INDEX(VMMC!$AA:$AA,MATCH($E39,VMMC!$E:$E,0))),"")</f>
        <v/>
      </c>
      <c r="Z39" s="38" t="str">
        <f t="shared" si="11"/>
        <v/>
      </c>
    </row>
    <row r="40" spans="1:26" x14ac:dyDescent="0.2">
      <c r="A40" t="str">
        <f>INDEX(Prioritization!$D:$D,MATCH($B40,Prioritization!$A:$A,0))</f>
        <v>1 - Scale-up: Saturation</v>
      </c>
      <c r="B40" t="s">
        <v>314</v>
      </c>
      <c r="C40" t="s">
        <v>473</v>
      </c>
      <c r="D40" t="s">
        <v>48</v>
      </c>
      <c r="E40" t="str">
        <f t="shared" si="0"/>
        <v>Blantyre District [mxqa3CDFmIT]|01-09|Male</v>
      </c>
      <c r="F40" s="38">
        <v>56</v>
      </c>
      <c r="G40" s="33">
        <v>0.39</v>
      </c>
      <c r="H40" s="218"/>
      <c r="I40" s="38"/>
      <c r="J40" s="33"/>
      <c r="K40" s="33">
        <v>0.45</v>
      </c>
      <c r="L40" s="33">
        <v>0.313</v>
      </c>
      <c r="M40" s="33">
        <v>0.06</v>
      </c>
      <c r="N40" s="38">
        <f t="shared" si="12"/>
        <v>0</v>
      </c>
      <c r="O40" s="218" t="str">
        <f t="shared" si="5"/>
        <v/>
      </c>
      <c r="P40" s="218"/>
      <c r="Q40" s="218"/>
      <c r="R40" s="33"/>
      <c r="S40" s="218"/>
      <c r="T40" s="218"/>
      <c r="U40" s="38"/>
      <c r="V40" s="38" t="str">
        <f t="shared" si="10"/>
        <v/>
      </c>
      <c r="W40" s="38" t="str">
        <f>IFERROR(1/(1/INDEX(PMTCT!$AC:$AC,MATCH($E40,PMTCT!$E:$E,0))),"")</f>
        <v/>
      </c>
      <c r="X40" s="38" t="str">
        <f>IFERROR(1/(1/INDEX(PMTCT!$AS:$AS,MATCH($E40,PMTCT!$E:$E,0))),"")</f>
        <v/>
      </c>
      <c r="Y40" s="38" t="str">
        <f>IFERROR(1/(1/INDEX(VMMC!$AA:$AA,MATCH($E40,VMMC!$E:$E,0))),"")</f>
        <v/>
      </c>
      <c r="Z40" s="38" t="str">
        <f t="shared" si="11"/>
        <v/>
      </c>
    </row>
    <row r="41" spans="1:26" x14ac:dyDescent="0.2">
      <c r="A41" t="str">
        <f>INDEX(Prioritization!$D:$D,MATCH($B41,Prioritization!$A:$A,0))</f>
        <v>1 - Scale-up: Saturation</v>
      </c>
      <c r="B41" t="s">
        <v>314</v>
      </c>
      <c r="C41" t="s">
        <v>474</v>
      </c>
      <c r="D41" t="s">
        <v>30</v>
      </c>
      <c r="E41" t="str">
        <f t="shared" si="0"/>
        <v>Blantyre District [mxqa3CDFmIT]|10-14|Female</v>
      </c>
      <c r="F41" s="38">
        <v>28</v>
      </c>
      <c r="G41" s="33">
        <v>0.39</v>
      </c>
      <c r="H41" s="218"/>
      <c r="I41" s="38"/>
      <c r="J41" s="33"/>
      <c r="K41" s="33">
        <v>0.45</v>
      </c>
      <c r="L41" s="33"/>
      <c r="M41" s="33">
        <v>0.06</v>
      </c>
      <c r="N41" s="38">
        <f t="shared" si="12"/>
        <v>0</v>
      </c>
      <c r="O41" s="218" t="str">
        <f t="shared" si="5"/>
        <v/>
      </c>
      <c r="P41" s="218"/>
      <c r="Q41" s="218"/>
      <c r="R41" s="33"/>
      <c r="S41" s="218"/>
      <c r="T41" s="218"/>
      <c r="U41" s="38"/>
      <c r="V41" s="38" t="str">
        <f t="shared" si="10"/>
        <v/>
      </c>
      <c r="W41" s="38">
        <f>IFERROR(1/(1/INDEX(PMTCT!$AC:$AC,MATCH($E41,PMTCT!$E:$E,0))),"")</f>
        <v>1</v>
      </c>
      <c r="X41" s="38" t="str">
        <f>IFERROR(1/(1/INDEX(PMTCT!$AS:$AS,MATCH($E41,PMTCT!$E:$E,0))),"")</f>
        <v/>
      </c>
      <c r="Y41" s="38" t="str">
        <f>IFERROR(1/(1/INDEX(VMMC!$AA:$AA,MATCH($E41,VMMC!$E:$E,0))),"")</f>
        <v/>
      </c>
      <c r="Z41" s="38">
        <f t="shared" si="11"/>
        <v>-1</v>
      </c>
    </row>
    <row r="42" spans="1:26" x14ac:dyDescent="0.2">
      <c r="A42" t="str">
        <f>INDEX(Prioritization!$D:$D,MATCH($B42,Prioritization!$A:$A,0))</f>
        <v>1 - Scale-up: Saturation</v>
      </c>
      <c r="B42" t="s">
        <v>314</v>
      </c>
      <c r="C42" t="s">
        <v>474</v>
      </c>
      <c r="D42" t="s">
        <v>48</v>
      </c>
      <c r="E42" t="str">
        <f t="shared" si="0"/>
        <v>Blantyre District [mxqa3CDFmIT]|10-14|Male</v>
      </c>
      <c r="F42" s="38">
        <v>28</v>
      </c>
      <c r="G42" s="33">
        <v>0.39</v>
      </c>
      <c r="H42" s="218"/>
      <c r="I42" s="38"/>
      <c r="J42" s="33"/>
      <c r="K42" s="33">
        <v>0.45</v>
      </c>
      <c r="L42" s="33">
        <v>0.2</v>
      </c>
      <c r="M42" s="33">
        <v>0.06</v>
      </c>
      <c r="N42" s="38">
        <f t="shared" si="12"/>
        <v>0</v>
      </c>
      <c r="O42" s="218" t="str">
        <f t="shared" si="5"/>
        <v/>
      </c>
      <c r="P42" s="218"/>
      <c r="Q42" s="218"/>
      <c r="R42" s="33"/>
      <c r="S42" s="218"/>
      <c r="T42" s="218"/>
      <c r="U42" s="38"/>
      <c r="V42" s="38" t="str">
        <f t="shared" si="10"/>
        <v/>
      </c>
      <c r="W42" s="38" t="str">
        <f>IFERROR(1/(1/INDEX(PMTCT!$AC:$AC,MATCH($E42,PMTCT!$E:$E,0))),"")</f>
        <v/>
      </c>
      <c r="X42" s="38" t="str">
        <f>IFERROR(1/(1/INDEX(PMTCT!$AS:$AS,MATCH($E42,PMTCT!$E:$E,0))),"")</f>
        <v/>
      </c>
      <c r="Y42" s="38" t="str">
        <f>IFERROR(1/(1/INDEX(VMMC!$AA:$AA,MATCH($E42,VMMC!$E:$E,0))),"")</f>
        <v/>
      </c>
      <c r="Z42" s="38" t="str">
        <f t="shared" si="11"/>
        <v/>
      </c>
    </row>
    <row r="43" spans="1:26" x14ac:dyDescent="0.2">
      <c r="A43" t="str">
        <f>INDEX(Prioritization!$D:$D,MATCH($B43,Prioritization!$A:$A,0))</f>
        <v>1 - Scale-up: Saturation</v>
      </c>
      <c r="B43" t="s">
        <v>314</v>
      </c>
      <c r="C43" t="s">
        <v>475</v>
      </c>
      <c r="D43" t="s">
        <v>30</v>
      </c>
      <c r="E43" t="str">
        <f t="shared" si="0"/>
        <v>Blantyre District [mxqa3CDFmIT]|15-24|Female</v>
      </c>
      <c r="F43" s="38">
        <v>204</v>
      </c>
      <c r="G43" s="33">
        <v>0.39</v>
      </c>
      <c r="H43" s="218"/>
      <c r="I43" s="38"/>
      <c r="J43" s="33"/>
      <c r="K43" s="33">
        <v>0.45</v>
      </c>
      <c r="L43" s="33">
        <v>0.29599999999999999</v>
      </c>
      <c r="M43" s="33">
        <v>0.06</v>
      </c>
      <c r="N43" s="38">
        <f t="shared" si="12"/>
        <v>0</v>
      </c>
      <c r="O43" s="218" t="str">
        <f t="shared" si="5"/>
        <v/>
      </c>
      <c r="P43" s="218"/>
      <c r="Q43" s="218"/>
      <c r="R43" s="33"/>
      <c r="S43" s="218"/>
      <c r="T43" s="218"/>
      <c r="U43" s="38"/>
      <c r="V43" s="38" t="str">
        <f t="shared" si="10"/>
        <v/>
      </c>
      <c r="W43" s="38">
        <f>IFERROR(1/(1/INDEX(PMTCT!$AC:$AC,MATCH($E43,PMTCT!$E:$E,0))),"")</f>
        <v>237.00000000000003</v>
      </c>
      <c r="X43" s="38">
        <f>IFERROR(1/(1/INDEX(PMTCT!$AS:$AS,MATCH($E43,PMTCT!$E:$E,0))),"")</f>
        <v>104</v>
      </c>
      <c r="Y43" s="38" t="str">
        <f>IFERROR(1/(1/INDEX(VMMC!$AA:$AA,MATCH($E43,VMMC!$E:$E,0))),"")</f>
        <v/>
      </c>
      <c r="Z43" s="38">
        <f t="shared" si="11"/>
        <v>-341</v>
      </c>
    </row>
    <row r="44" spans="1:26" x14ac:dyDescent="0.2">
      <c r="A44" t="str">
        <f>INDEX(Prioritization!$D:$D,MATCH($B44,Prioritization!$A:$A,0))</f>
        <v>1 - Scale-up: Saturation</v>
      </c>
      <c r="B44" t="s">
        <v>314</v>
      </c>
      <c r="C44" t="s">
        <v>475</v>
      </c>
      <c r="D44" t="s">
        <v>48</v>
      </c>
      <c r="E44" t="str">
        <f t="shared" si="0"/>
        <v>Blantyre District [mxqa3CDFmIT]|15-24|Male</v>
      </c>
      <c r="F44" s="38">
        <v>324</v>
      </c>
      <c r="G44" s="33">
        <v>0.39</v>
      </c>
      <c r="H44" s="218">
        <f t="shared" si="1"/>
        <v>450</v>
      </c>
      <c r="I44" s="38">
        <v>9</v>
      </c>
      <c r="J44" s="33"/>
      <c r="K44" s="33">
        <v>0.45</v>
      </c>
      <c r="L44" s="33">
        <v>0.08</v>
      </c>
      <c r="M44" s="33">
        <v>0.06</v>
      </c>
      <c r="N44" s="38">
        <f t="shared" si="12"/>
        <v>446</v>
      </c>
      <c r="O44" s="218">
        <f t="shared" si="5"/>
        <v>201</v>
      </c>
      <c r="P44" s="218"/>
      <c r="Q44" s="218"/>
      <c r="R44" s="33"/>
      <c r="S44" s="218"/>
      <c r="T44" s="218"/>
      <c r="U44" s="38"/>
      <c r="V44" s="38" t="str">
        <f t="shared" si="10"/>
        <v/>
      </c>
      <c r="W44" s="38" t="str">
        <f>IFERROR(1/(1/INDEX(PMTCT!$AC:$AC,MATCH($E44,PMTCT!$E:$E,0))),"")</f>
        <v/>
      </c>
      <c r="X44" s="38" t="str">
        <f>IFERROR(1/(1/INDEX(PMTCT!$AS:$AS,MATCH($E44,PMTCT!$E:$E,0))),"")</f>
        <v/>
      </c>
      <c r="Y44" s="38">
        <f>IFERROR(1/(1/INDEX(VMMC!$AA:$AA,MATCH($E44,VMMC!$E:$E,0))),"")</f>
        <v>15</v>
      </c>
      <c r="Z44" s="38">
        <f t="shared" si="11"/>
        <v>-15</v>
      </c>
    </row>
    <row r="45" spans="1:26" x14ac:dyDescent="0.2">
      <c r="A45" t="str">
        <f>INDEX(Prioritization!$D:$D,MATCH($B45,Prioritization!$A:$A,0))</f>
        <v>1 - Scale-up: Saturation</v>
      </c>
      <c r="B45" t="s">
        <v>314</v>
      </c>
      <c r="C45" t="s">
        <v>476</v>
      </c>
      <c r="D45" t="s">
        <v>30</v>
      </c>
      <c r="E45" t="str">
        <f t="shared" si="0"/>
        <v>Blantyre District [mxqa3CDFmIT]|25-34|Female</v>
      </c>
      <c r="F45" s="38">
        <v>204</v>
      </c>
      <c r="G45" s="33">
        <v>0.39</v>
      </c>
      <c r="H45" s="218">
        <f t="shared" si="1"/>
        <v>284</v>
      </c>
      <c r="I45" s="38">
        <v>6</v>
      </c>
      <c r="J45" s="33"/>
      <c r="K45" s="33">
        <v>0.45</v>
      </c>
      <c r="L45" s="33">
        <v>0.161</v>
      </c>
      <c r="M45" s="33">
        <v>0.06</v>
      </c>
      <c r="N45" s="38">
        <f t="shared" si="12"/>
        <v>281</v>
      </c>
      <c r="O45" s="218">
        <f t="shared" si="5"/>
        <v>126</v>
      </c>
      <c r="P45" s="218"/>
      <c r="Q45" s="218"/>
      <c r="R45" s="33"/>
      <c r="S45" s="218"/>
      <c r="T45" s="218"/>
      <c r="U45" s="38"/>
      <c r="V45" s="38" t="str">
        <f t="shared" si="10"/>
        <v/>
      </c>
      <c r="W45" s="38">
        <f>IFERROR(1/(1/INDEX(PMTCT!$AC:$AC,MATCH($E45,PMTCT!$E:$E,0))),"")</f>
        <v>326</v>
      </c>
      <c r="X45" s="38">
        <f>IFERROR(1/(1/INDEX(PMTCT!$AS:$AS,MATCH($E45,PMTCT!$E:$E,0))),"")</f>
        <v>125</v>
      </c>
      <c r="Y45" s="38" t="str">
        <f>IFERROR(1/(1/INDEX(VMMC!$AA:$AA,MATCH($E45,VMMC!$E:$E,0))),"")</f>
        <v/>
      </c>
      <c r="Z45" s="38">
        <f t="shared" si="11"/>
        <v>-451</v>
      </c>
    </row>
    <row r="46" spans="1:26" x14ac:dyDescent="0.2">
      <c r="A46" t="str">
        <f>INDEX(Prioritization!$D:$D,MATCH($B46,Prioritization!$A:$A,0))</f>
        <v>1 - Scale-up: Saturation</v>
      </c>
      <c r="B46" t="s">
        <v>314</v>
      </c>
      <c r="C46" t="s">
        <v>476</v>
      </c>
      <c r="D46" t="s">
        <v>48</v>
      </c>
      <c r="E46" t="str">
        <f t="shared" si="0"/>
        <v>Blantyre District [mxqa3CDFmIT]|25-34|Male</v>
      </c>
      <c r="F46" s="38">
        <v>324</v>
      </c>
      <c r="G46" s="33">
        <v>0.39</v>
      </c>
      <c r="H46" s="218">
        <f t="shared" si="1"/>
        <v>450</v>
      </c>
      <c r="I46" s="38">
        <v>9</v>
      </c>
      <c r="J46" s="33"/>
      <c r="K46" s="33">
        <v>0.45</v>
      </c>
      <c r="L46" s="33">
        <v>0.25</v>
      </c>
      <c r="M46" s="33">
        <v>0.06</v>
      </c>
      <c r="N46" s="38">
        <f t="shared" si="12"/>
        <v>446</v>
      </c>
      <c r="O46" s="218">
        <f t="shared" si="5"/>
        <v>201</v>
      </c>
      <c r="P46" s="218">
        <f t="shared" si="6"/>
        <v>15</v>
      </c>
      <c r="Q46" s="218">
        <f t="shared" si="7"/>
        <v>230</v>
      </c>
      <c r="R46" s="33">
        <f>IF(SUM($P46)=0,"",INDEX(Cascade!$BG:$BG,MATCH($E46,Cascade!$E:$E,0)))</f>
        <v>0.95</v>
      </c>
      <c r="S46" s="218">
        <f t="shared" si="8"/>
        <v>201</v>
      </c>
      <c r="T46" s="218">
        <f t="shared" si="9"/>
        <v>14</v>
      </c>
      <c r="U46" s="38">
        <f>IFERROR(1/(1/INDEX(Cascade!$BH:$BH,MATCH($E46,Cascade!$E:$E,0))),"")</f>
        <v>127</v>
      </c>
      <c r="V46" s="38">
        <f t="shared" si="10"/>
        <v>15</v>
      </c>
      <c r="W46" s="38" t="str">
        <f>IFERROR(1/(1/INDEX(PMTCT!$AC:$AC,MATCH($E46,PMTCT!$E:$E,0))),"")</f>
        <v/>
      </c>
      <c r="X46" s="38" t="str">
        <f>IFERROR(1/(1/INDEX(PMTCT!$AS:$AS,MATCH($E46,PMTCT!$E:$E,0))),"")</f>
        <v/>
      </c>
      <c r="Y46" s="38">
        <f>IFERROR(1/(1/INDEX(VMMC!$AA:$AA,MATCH($E46,VMMC!$E:$E,0))),"")</f>
        <v>11</v>
      </c>
      <c r="Z46" s="38">
        <f t="shared" si="11"/>
        <v>101</v>
      </c>
    </row>
    <row r="47" spans="1:26" x14ac:dyDescent="0.2">
      <c r="A47" t="str">
        <f>INDEX(Prioritization!$D:$D,MATCH($B47,Prioritization!$A:$A,0))</f>
        <v>1 - Scale-up: Saturation</v>
      </c>
      <c r="B47" t="s">
        <v>314</v>
      </c>
      <c r="C47" t="s">
        <v>477</v>
      </c>
      <c r="D47" t="s">
        <v>30</v>
      </c>
      <c r="E47" t="str">
        <f t="shared" si="0"/>
        <v>Blantyre District [mxqa3CDFmIT]|35-49|Female</v>
      </c>
      <c r="F47" s="38">
        <v>306</v>
      </c>
      <c r="G47" s="33">
        <v>0.39</v>
      </c>
      <c r="H47" s="218">
        <f t="shared" si="1"/>
        <v>425</v>
      </c>
      <c r="I47" s="38">
        <v>9</v>
      </c>
      <c r="J47" s="33"/>
      <c r="K47" s="33">
        <v>0.45</v>
      </c>
      <c r="L47" s="33">
        <v>0.128</v>
      </c>
      <c r="M47" s="33">
        <v>0.06</v>
      </c>
      <c r="N47" s="38">
        <f t="shared" si="12"/>
        <v>421</v>
      </c>
      <c r="O47" s="218">
        <f t="shared" si="5"/>
        <v>189</v>
      </c>
      <c r="P47" s="218">
        <f t="shared" si="6"/>
        <v>14</v>
      </c>
      <c r="Q47" s="218">
        <f t="shared" si="7"/>
        <v>218</v>
      </c>
      <c r="R47" s="33">
        <f>IF(SUM($P47)=0,"",INDEX(Cascade!$BG:$BG,MATCH($E47,Cascade!$E:$E,0)))</f>
        <v>0.95</v>
      </c>
      <c r="S47" s="218">
        <f t="shared" si="8"/>
        <v>189</v>
      </c>
      <c r="T47" s="218">
        <f t="shared" si="9"/>
        <v>13</v>
      </c>
      <c r="U47" s="38">
        <f>IFERROR(1/(1/INDEX(Cascade!$BH:$BH,MATCH($E47,Cascade!$E:$E,0))),"")</f>
        <v>1858.0000000000002</v>
      </c>
      <c r="V47" s="38">
        <f t="shared" si="10"/>
        <v>14</v>
      </c>
      <c r="W47" s="38">
        <f>IFERROR(1/(1/INDEX(PMTCT!$AC:$AC,MATCH($E47,PMTCT!$E:$E,0))),"")</f>
        <v>26</v>
      </c>
      <c r="X47" s="38">
        <f>IFERROR(1/(1/INDEX(PMTCT!$AS:$AS,MATCH($E47,PMTCT!$E:$E,0))),"")</f>
        <v>13</v>
      </c>
      <c r="Y47" s="38" t="str">
        <f>IFERROR(1/(1/INDEX(VMMC!$AA:$AA,MATCH($E47,VMMC!$E:$E,0))),"")</f>
        <v/>
      </c>
      <c r="Z47" s="38">
        <f t="shared" si="11"/>
        <v>1805.0000000000002</v>
      </c>
    </row>
    <row r="48" spans="1:26" x14ac:dyDescent="0.2">
      <c r="A48" t="str">
        <f>INDEX(Prioritization!$D:$D,MATCH($B48,Prioritization!$A:$A,0))</f>
        <v>1 - Scale-up: Saturation</v>
      </c>
      <c r="B48" t="s">
        <v>314</v>
      </c>
      <c r="C48" t="s">
        <v>477</v>
      </c>
      <c r="D48" t="s">
        <v>48</v>
      </c>
      <c r="E48" t="str">
        <f t="shared" si="0"/>
        <v>Blantyre District [mxqa3CDFmIT]|35-49|Male</v>
      </c>
      <c r="F48" s="38">
        <v>486</v>
      </c>
      <c r="G48" s="33">
        <v>0.39</v>
      </c>
      <c r="H48" s="218">
        <f t="shared" si="1"/>
        <v>676</v>
      </c>
      <c r="I48" s="38">
        <v>14</v>
      </c>
      <c r="J48" s="33"/>
      <c r="K48" s="33">
        <v>0.45</v>
      </c>
      <c r="L48" s="33">
        <v>0.20899999999999999</v>
      </c>
      <c r="M48" s="33">
        <v>0.06</v>
      </c>
      <c r="N48" s="38">
        <f t="shared" si="12"/>
        <v>669</v>
      </c>
      <c r="O48" s="218">
        <f t="shared" si="5"/>
        <v>301</v>
      </c>
      <c r="P48" s="218">
        <f t="shared" si="6"/>
        <v>22</v>
      </c>
      <c r="Q48" s="218">
        <f t="shared" si="7"/>
        <v>346</v>
      </c>
      <c r="R48" s="33">
        <f>IF(SUM($P48)=0,"",INDEX(Cascade!$BG:$BG,MATCH($E48,Cascade!$E:$E,0)))</f>
        <v>0.95</v>
      </c>
      <c r="S48" s="218">
        <f t="shared" si="8"/>
        <v>301</v>
      </c>
      <c r="T48" s="218">
        <f t="shared" si="9"/>
        <v>21</v>
      </c>
      <c r="U48" s="38">
        <f>IFERROR(1/(1/INDEX(Cascade!$BH:$BH,MATCH($E48,Cascade!$E:$E,0))),"")</f>
        <v>1877.9999999999998</v>
      </c>
      <c r="V48" s="38">
        <f t="shared" si="10"/>
        <v>22</v>
      </c>
      <c r="W48" s="38" t="str">
        <f>IFERROR(1/(1/INDEX(PMTCT!$AC:$AC,MATCH($E48,PMTCT!$E:$E,0))),"")</f>
        <v/>
      </c>
      <c r="X48" s="38" t="str">
        <f>IFERROR(1/(1/INDEX(PMTCT!$AS:$AS,MATCH($E48,PMTCT!$E:$E,0))),"")</f>
        <v/>
      </c>
      <c r="Y48" s="38">
        <f>IFERROR(1/(1/INDEX(VMMC!$AA:$AA,MATCH($E48,VMMC!$E:$E,0))),"")</f>
        <v>20</v>
      </c>
      <c r="Z48" s="38">
        <f t="shared" si="11"/>
        <v>1835.9999999999998</v>
      </c>
    </row>
    <row r="49" spans="1:26" x14ac:dyDescent="0.2">
      <c r="A49" t="str">
        <f>INDEX(Prioritization!$D:$D,MATCH($B49,Prioritization!$A:$A,0))</f>
        <v>1 - Scale-up: Saturation</v>
      </c>
      <c r="B49" t="s">
        <v>314</v>
      </c>
      <c r="C49" t="s">
        <v>478</v>
      </c>
      <c r="D49" t="s">
        <v>30</v>
      </c>
      <c r="E49" t="str">
        <f t="shared" si="0"/>
        <v>Blantyre District [mxqa3CDFmIT]|50+|Female</v>
      </c>
      <c r="F49" s="38">
        <v>104</v>
      </c>
      <c r="G49" s="33">
        <v>0.39</v>
      </c>
      <c r="H49" s="218">
        <f t="shared" si="1"/>
        <v>145</v>
      </c>
      <c r="I49" s="38">
        <v>3</v>
      </c>
      <c r="J49" s="33"/>
      <c r="K49" s="33">
        <v>0.45</v>
      </c>
      <c r="L49" s="33">
        <v>8.8999999999999996E-2</v>
      </c>
      <c r="M49" s="33">
        <v>0.06</v>
      </c>
      <c r="N49" s="38">
        <f t="shared" si="12"/>
        <v>144</v>
      </c>
      <c r="O49" s="218">
        <f t="shared" si="5"/>
        <v>65</v>
      </c>
      <c r="P49" s="218">
        <f t="shared" si="6"/>
        <v>5</v>
      </c>
      <c r="Q49" s="218">
        <f t="shared" si="7"/>
        <v>74</v>
      </c>
      <c r="R49" s="33">
        <f>IF(SUM($P49)=0,"",INDEX(Cascade!$BG:$BG,MATCH($E49,Cascade!$E:$E,0)))</f>
        <v>0.95</v>
      </c>
      <c r="S49" s="218">
        <f t="shared" si="8"/>
        <v>65</v>
      </c>
      <c r="T49" s="218">
        <f t="shared" si="9"/>
        <v>5</v>
      </c>
      <c r="U49" s="38">
        <f>IFERROR(1/(1/INDEX(Cascade!$BH:$BH,MATCH($E49,Cascade!$E:$E,0))),"")</f>
        <v>882</v>
      </c>
      <c r="V49" s="38">
        <f t="shared" si="10"/>
        <v>5</v>
      </c>
      <c r="W49" s="38">
        <f>IFERROR(1/(1/INDEX(PMTCT!$AC:$AC,MATCH($E49,PMTCT!$E:$E,0))),"")</f>
        <v>1</v>
      </c>
      <c r="X49" s="38" t="str">
        <f>IFERROR(1/(1/INDEX(PMTCT!$AS:$AS,MATCH($E49,PMTCT!$E:$E,0))),"")</f>
        <v/>
      </c>
      <c r="Y49" s="38" t="str">
        <f>IFERROR(1/(1/INDEX(VMMC!$AA:$AA,MATCH($E49,VMMC!$E:$E,0))),"")</f>
        <v/>
      </c>
      <c r="Z49" s="38">
        <f t="shared" si="11"/>
        <v>876</v>
      </c>
    </row>
    <row r="50" spans="1:26" x14ac:dyDescent="0.2">
      <c r="A50" t="str">
        <f>INDEX(Prioritization!$D:$D,MATCH($B50,Prioritization!$A:$A,0))</f>
        <v>1 - Scale-up: Saturation</v>
      </c>
      <c r="B50" t="s">
        <v>314</v>
      </c>
      <c r="C50" t="s">
        <v>478</v>
      </c>
      <c r="D50" t="s">
        <v>48</v>
      </c>
      <c r="E50" t="str">
        <f t="shared" si="0"/>
        <v>Blantyre District [mxqa3CDFmIT]|50+|Male</v>
      </c>
      <c r="F50" s="38">
        <v>165</v>
      </c>
      <c r="G50" s="33">
        <v>0.39</v>
      </c>
      <c r="H50" s="218">
        <f t="shared" si="1"/>
        <v>229</v>
      </c>
      <c r="I50" s="38">
        <v>5</v>
      </c>
      <c r="J50" s="33"/>
      <c r="K50" s="33">
        <v>0.45</v>
      </c>
      <c r="L50" s="33">
        <v>0.16700000000000001</v>
      </c>
      <c r="M50" s="33">
        <v>0.06</v>
      </c>
      <c r="N50" s="38">
        <f t="shared" si="12"/>
        <v>227</v>
      </c>
      <c r="O50" s="218">
        <f t="shared" si="5"/>
        <v>102</v>
      </c>
      <c r="P50" s="218">
        <f t="shared" si="6"/>
        <v>8</v>
      </c>
      <c r="Q50" s="218">
        <f t="shared" si="7"/>
        <v>117</v>
      </c>
      <c r="R50" s="33">
        <f>IF(SUM($P50)=0,"",INDEX(Cascade!$BG:$BG,MATCH($E50,Cascade!$E:$E,0)))</f>
        <v>0.95</v>
      </c>
      <c r="S50" s="218">
        <f t="shared" si="8"/>
        <v>102</v>
      </c>
      <c r="T50" s="218">
        <f t="shared" si="9"/>
        <v>8</v>
      </c>
      <c r="U50" s="38">
        <f>IFERROR(1/(1/INDEX(Cascade!$BH:$BH,MATCH($E50,Cascade!$E:$E,0))),"")</f>
        <v>724</v>
      </c>
      <c r="V50" s="38">
        <f t="shared" si="10"/>
        <v>8</v>
      </c>
      <c r="W50" s="38" t="str">
        <f>IFERROR(1/(1/INDEX(PMTCT!$AC:$AC,MATCH($E50,PMTCT!$E:$E,0))),"")</f>
        <v/>
      </c>
      <c r="X50" s="38" t="str">
        <f>IFERROR(1/(1/INDEX(PMTCT!$AS:$AS,MATCH($E50,PMTCT!$E:$E,0))),"")</f>
        <v/>
      </c>
      <c r="Y50" s="38" t="str">
        <f>IFERROR(1/(1/INDEX(VMMC!$AA:$AA,MATCH($E50,VMMC!$E:$E,0))),"")</f>
        <v/>
      </c>
      <c r="Z50" s="38">
        <f t="shared" si="11"/>
        <v>716</v>
      </c>
    </row>
    <row r="51" spans="1:26" x14ac:dyDescent="0.2">
      <c r="A51" t="str">
        <f>INDEX(Prioritization!$D:$D,MATCH($B51,Prioritization!$A:$A,0))</f>
        <v>1 - Scale-up: Saturation</v>
      </c>
      <c r="B51" t="s">
        <v>315</v>
      </c>
      <c r="C51" t="s">
        <v>473</v>
      </c>
      <c r="D51" t="s">
        <v>30</v>
      </c>
      <c r="E51" t="str">
        <f t="shared" si="0"/>
        <v>Chikwawa District [U8c0so51kT6]|01-09|Female</v>
      </c>
      <c r="F51" s="38">
        <v>6</v>
      </c>
      <c r="G51" s="33">
        <v>0.39</v>
      </c>
      <c r="H51" s="218">
        <f t="shared" si="1"/>
        <v>8</v>
      </c>
      <c r="I51" s="38"/>
      <c r="J51" s="33"/>
      <c r="K51" s="33">
        <v>0.45</v>
      </c>
      <c r="L51" s="33"/>
      <c r="M51" s="33">
        <v>0.06</v>
      </c>
      <c r="N51" s="38">
        <f t="shared" si="12"/>
        <v>8</v>
      </c>
      <c r="O51" s="218">
        <f t="shared" si="5"/>
        <v>4</v>
      </c>
      <c r="P51" s="218">
        <f t="shared" si="6"/>
        <v>0</v>
      </c>
      <c r="Q51" s="218">
        <f t="shared" si="7"/>
        <v>4</v>
      </c>
      <c r="R51" s="33" t="str">
        <f>IF(SUM($P51)=0,"",INDEX(Cascade!$BG:$BG,MATCH($E51,Cascade!$E:$E,0)))</f>
        <v/>
      </c>
      <c r="S51" s="218">
        <f t="shared" si="8"/>
        <v>4</v>
      </c>
      <c r="T51" s="218" t="str">
        <f t="shared" si="9"/>
        <v/>
      </c>
      <c r="U51" s="38">
        <f>IFERROR(1/(1/INDEX(Cascade!$BH:$BH,MATCH($E51,Cascade!$E:$E,0))),"")</f>
        <v>25</v>
      </c>
      <c r="V51" s="38" t="str">
        <f t="shared" si="10"/>
        <v/>
      </c>
      <c r="W51" s="38" t="str">
        <f>IFERROR(1/(1/INDEX(PMTCT!$AC:$AC,MATCH($E51,PMTCT!$E:$E,0))),"")</f>
        <v/>
      </c>
      <c r="X51" s="38" t="str">
        <f>IFERROR(1/(1/INDEX(PMTCT!$AS:$AS,MATCH($E51,PMTCT!$E:$E,0))),"")</f>
        <v/>
      </c>
      <c r="Y51" s="38" t="str">
        <f>IFERROR(1/(1/INDEX(VMMC!$AA:$AA,MATCH($E51,VMMC!$E:$E,0))),"")</f>
        <v/>
      </c>
      <c r="Z51" s="38">
        <f t="shared" si="11"/>
        <v>25</v>
      </c>
    </row>
    <row r="52" spans="1:26" x14ac:dyDescent="0.2">
      <c r="A52" t="str">
        <f>INDEX(Prioritization!$D:$D,MATCH($B52,Prioritization!$A:$A,0))</f>
        <v>1 - Scale-up: Saturation</v>
      </c>
      <c r="B52" t="s">
        <v>315</v>
      </c>
      <c r="C52" t="s">
        <v>473</v>
      </c>
      <c r="D52" t="s">
        <v>48</v>
      </c>
      <c r="E52" t="str">
        <f t="shared" si="0"/>
        <v>Chikwawa District [U8c0so51kT6]|01-09|Male</v>
      </c>
      <c r="F52" s="38">
        <v>6</v>
      </c>
      <c r="G52" s="33">
        <v>0.39</v>
      </c>
      <c r="H52" s="218">
        <f t="shared" si="1"/>
        <v>8</v>
      </c>
      <c r="I52" s="38"/>
      <c r="J52" s="33"/>
      <c r="K52" s="33">
        <v>0.45</v>
      </c>
      <c r="L52" s="33"/>
      <c r="M52" s="33">
        <v>0.06</v>
      </c>
      <c r="N52" s="38">
        <f t="shared" si="12"/>
        <v>8</v>
      </c>
      <c r="O52" s="218">
        <f t="shared" si="5"/>
        <v>4</v>
      </c>
      <c r="P52" s="218">
        <f t="shared" si="6"/>
        <v>0</v>
      </c>
      <c r="Q52" s="218">
        <f t="shared" si="7"/>
        <v>4</v>
      </c>
      <c r="R52" s="33" t="str">
        <f>IF(SUM($P52)=0,"",INDEX(Cascade!$BG:$BG,MATCH($E52,Cascade!$E:$E,0)))</f>
        <v/>
      </c>
      <c r="S52" s="218">
        <f t="shared" si="8"/>
        <v>4</v>
      </c>
      <c r="T52" s="218" t="str">
        <f t="shared" si="9"/>
        <v/>
      </c>
      <c r="U52" s="38">
        <f>IFERROR(1/(1/INDEX(Cascade!$BH:$BH,MATCH($E52,Cascade!$E:$E,0))),"")</f>
        <v>5</v>
      </c>
      <c r="V52" s="38" t="str">
        <f t="shared" si="10"/>
        <v/>
      </c>
      <c r="W52" s="38" t="str">
        <f>IFERROR(1/(1/INDEX(PMTCT!$AC:$AC,MATCH($E52,PMTCT!$E:$E,0))),"")</f>
        <v/>
      </c>
      <c r="X52" s="38" t="str">
        <f>IFERROR(1/(1/INDEX(PMTCT!$AS:$AS,MATCH($E52,PMTCT!$E:$E,0))),"")</f>
        <v/>
      </c>
      <c r="Y52" s="38" t="str">
        <f>IFERROR(1/(1/INDEX(VMMC!$AA:$AA,MATCH($E52,VMMC!$E:$E,0))),"")</f>
        <v/>
      </c>
      <c r="Z52" s="38">
        <f t="shared" si="11"/>
        <v>5</v>
      </c>
    </row>
    <row r="53" spans="1:26" x14ac:dyDescent="0.2">
      <c r="A53" t="str">
        <f>INDEX(Prioritization!$D:$D,MATCH($B53,Prioritization!$A:$A,0))</f>
        <v>1 - Scale-up: Saturation</v>
      </c>
      <c r="B53" t="s">
        <v>315</v>
      </c>
      <c r="C53" t="s">
        <v>474</v>
      </c>
      <c r="D53" t="s">
        <v>30</v>
      </c>
      <c r="E53" t="str">
        <f t="shared" si="0"/>
        <v>Chikwawa District [U8c0so51kT6]|10-14|Female</v>
      </c>
      <c r="F53" s="38">
        <v>3</v>
      </c>
      <c r="G53" s="33">
        <v>0.39</v>
      </c>
      <c r="H53" s="218">
        <f t="shared" si="1"/>
        <v>4</v>
      </c>
      <c r="I53" s="38"/>
      <c r="J53" s="33"/>
      <c r="K53" s="33">
        <v>0.45</v>
      </c>
      <c r="L53" s="33"/>
      <c r="M53" s="33">
        <v>0.06</v>
      </c>
      <c r="N53" s="38">
        <f t="shared" si="12"/>
        <v>4</v>
      </c>
      <c r="O53" s="218">
        <f t="shared" si="5"/>
        <v>2</v>
      </c>
      <c r="P53" s="218">
        <f t="shared" si="6"/>
        <v>0</v>
      </c>
      <c r="Q53" s="218">
        <f t="shared" si="7"/>
        <v>2</v>
      </c>
      <c r="R53" s="33" t="str">
        <f>IF(SUM($P53)=0,"",INDEX(Cascade!$BG:$BG,MATCH($E53,Cascade!$E:$E,0)))</f>
        <v/>
      </c>
      <c r="S53" s="218">
        <f t="shared" si="8"/>
        <v>2</v>
      </c>
      <c r="T53" s="218" t="str">
        <f t="shared" si="9"/>
        <v/>
      </c>
      <c r="U53" s="38">
        <f>IFERROR(1/(1/INDEX(Cascade!$BH:$BH,MATCH($E53,Cascade!$E:$E,0))),"")</f>
        <v>17</v>
      </c>
      <c r="V53" s="38" t="str">
        <f t="shared" si="10"/>
        <v/>
      </c>
      <c r="W53" s="38">
        <f>IFERROR(1/(1/INDEX(PMTCT!$AC:$AC,MATCH($E53,PMTCT!$E:$E,0))),"")</f>
        <v>1</v>
      </c>
      <c r="X53" s="38" t="str">
        <f>IFERROR(1/(1/INDEX(PMTCT!$AS:$AS,MATCH($E53,PMTCT!$E:$E,0))),"")</f>
        <v/>
      </c>
      <c r="Y53" s="38" t="str">
        <f>IFERROR(1/(1/INDEX(VMMC!$AA:$AA,MATCH($E53,VMMC!$E:$E,0))),"")</f>
        <v/>
      </c>
      <c r="Z53" s="38">
        <f t="shared" si="11"/>
        <v>16</v>
      </c>
    </row>
    <row r="54" spans="1:26" x14ac:dyDescent="0.2">
      <c r="A54" t="str">
        <f>INDEX(Prioritization!$D:$D,MATCH($B54,Prioritization!$A:$A,0))</f>
        <v>1 - Scale-up: Saturation</v>
      </c>
      <c r="B54" t="s">
        <v>315</v>
      </c>
      <c r="C54" t="s">
        <v>474</v>
      </c>
      <c r="D54" t="s">
        <v>48</v>
      </c>
      <c r="E54" t="str">
        <f t="shared" si="0"/>
        <v>Chikwawa District [U8c0so51kT6]|10-14|Male</v>
      </c>
      <c r="F54" s="38">
        <v>3</v>
      </c>
      <c r="G54" s="33">
        <v>0.39</v>
      </c>
      <c r="H54" s="218">
        <f t="shared" si="1"/>
        <v>4</v>
      </c>
      <c r="I54" s="38"/>
      <c r="J54" s="33"/>
      <c r="K54" s="33">
        <v>0.45</v>
      </c>
      <c r="L54" s="33"/>
      <c r="M54" s="33">
        <v>0.06</v>
      </c>
      <c r="N54" s="38">
        <f t="shared" si="12"/>
        <v>4</v>
      </c>
      <c r="O54" s="218">
        <f t="shared" si="5"/>
        <v>2</v>
      </c>
      <c r="P54" s="218">
        <f t="shared" si="6"/>
        <v>0</v>
      </c>
      <c r="Q54" s="218">
        <f t="shared" si="7"/>
        <v>2</v>
      </c>
      <c r="R54" s="33" t="str">
        <f>IF(SUM($P54)=0,"",INDEX(Cascade!$BG:$BG,MATCH($E54,Cascade!$E:$E,0)))</f>
        <v/>
      </c>
      <c r="S54" s="218">
        <f t="shared" si="8"/>
        <v>2</v>
      </c>
      <c r="T54" s="218" t="str">
        <f t="shared" si="9"/>
        <v/>
      </c>
      <c r="U54" s="38">
        <f>IFERROR(1/(1/INDEX(Cascade!$BH:$BH,MATCH($E54,Cascade!$E:$E,0))),"")</f>
        <v>9</v>
      </c>
      <c r="V54" s="38" t="str">
        <f t="shared" si="10"/>
        <v/>
      </c>
      <c r="W54" s="38" t="str">
        <f>IFERROR(1/(1/INDEX(PMTCT!$AC:$AC,MATCH($E54,PMTCT!$E:$E,0))),"")</f>
        <v/>
      </c>
      <c r="X54" s="38" t="str">
        <f>IFERROR(1/(1/INDEX(PMTCT!$AS:$AS,MATCH($E54,PMTCT!$E:$E,0))),"")</f>
        <v/>
      </c>
      <c r="Y54" s="38" t="str">
        <f>IFERROR(1/(1/INDEX(VMMC!$AA:$AA,MATCH($E54,VMMC!$E:$E,0))),"")</f>
        <v/>
      </c>
      <c r="Z54" s="38">
        <f t="shared" si="11"/>
        <v>9</v>
      </c>
    </row>
    <row r="55" spans="1:26" x14ac:dyDescent="0.2">
      <c r="A55" t="str">
        <f>INDEX(Prioritization!$D:$D,MATCH($B55,Prioritization!$A:$A,0))</f>
        <v>1 - Scale-up: Saturation</v>
      </c>
      <c r="B55" t="s">
        <v>315</v>
      </c>
      <c r="C55" t="s">
        <v>475</v>
      </c>
      <c r="D55" t="s">
        <v>30</v>
      </c>
      <c r="E55" t="str">
        <f t="shared" si="0"/>
        <v>Chikwawa District [U8c0so51kT6]|15-24|Female</v>
      </c>
      <c r="F55" s="38">
        <v>34</v>
      </c>
      <c r="G55" s="33">
        <v>0.39</v>
      </c>
      <c r="H55" s="218">
        <f t="shared" si="1"/>
        <v>47</v>
      </c>
      <c r="I55" s="38">
        <v>1</v>
      </c>
      <c r="J55" s="33"/>
      <c r="K55" s="33">
        <v>0.45</v>
      </c>
      <c r="L55" s="33"/>
      <c r="M55" s="33">
        <v>0.06</v>
      </c>
      <c r="N55" s="38">
        <f t="shared" si="12"/>
        <v>47</v>
      </c>
      <c r="O55" s="218">
        <f t="shared" si="5"/>
        <v>21</v>
      </c>
      <c r="P55" s="218">
        <f t="shared" si="6"/>
        <v>2</v>
      </c>
      <c r="Q55" s="218">
        <f t="shared" si="7"/>
        <v>24</v>
      </c>
      <c r="R55" s="33">
        <f>IF(SUM($P55)=0,"",INDEX(Cascade!$BG:$BG,MATCH($E55,Cascade!$E:$E,0)))</f>
        <v>0.95</v>
      </c>
      <c r="S55" s="218">
        <f t="shared" si="8"/>
        <v>21</v>
      </c>
      <c r="T55" s="218">
        <f t="shared" si="9"/>
        <v>2</v>
      </c>
      <c r="U55" s="38">
        <f>IFERROR(1/(1/INDEX(Cascade!$BH:$BH,MATCH($E55,Cascade!$E:$E,0))),"")</f>
        <v>274</v>
      </c>
      <c r="V55" s="38">
        <f t="shared" si="10"/>
        <v>2</v>
      </c>
      <c r="W55" s="38">
        <f>IFERROR(1/(1/INDEX(PMTCT!$AC:$AC,MATCH($E55,PMTCT!$E:$E,0))),"")</f>
        <v>92.999999999999986</v>
      </c>
      <c r="X55" s="38">
        <f>IFERROR(1/(1/INDEX(PMTCT!$AS:$AS,MATCH($E55,PMTCT!$E:$E,0))),"")</f>
        <v>46</v>
      </c>
      <c r="Y55" s="38" t="str">
        <f>IFERROR(1/(1/INDEX(VMMC!$AA:$AA,MATCH($E55,VMMC!$E:$E,0))),"")</f>
        <v/>
      </c>
      <c r="Z55" s="38">
        <f t="shared" si="11"/>
        <v>133</v>
      </c>
    </row>
    <row r="56" spans="1:26" x14ac:dyDescent="0.2">
      <c r="A56" t="str">
        <f>INDEX(Prioritization!$D:$D,MATCH($B56,Prioritization!$A:$A,0))</f>
        <v>1 - Scale-up: Saturation</v>
      </c>
      <c r="B56" t="s">
        <v>315</v>
      </c>
      <c r="C56" t="s">
        <v>475</v>
      </c>
      <c r="D56" t="s">
        <v>48</v>
      </c>
      <c r="E56" t="str">
        <f t="shared" si="0"/>
        <v>Chikwawa District [U8c0so51kT6]|15-24|Male</v>
      </c>
      <c r="F56" s="38">
        <v>52</v>
      </c>
      <c r="G56" s="33">
        <v>0.39</v>
      </c>
      <c r="H56" s="218">
        <f t="shared" si="1"/>
        <v>72</v>
      </c>
      <c r="I56" s="38">
        <v>1</v>
      </c>
      <c r="J56" s="33"/>
      <c r="K56" s="33">
        <v>0.45</v>
      </c>
      <c r="L56" s="33"/>
      <c r="M56" s="33">
        <v>0.06</v>
      </c>
      <c r="N56" s="38">
        <f t="shared" si="12"/>
        <v>71</v>
      </c>
      <c r="O56" s="218">
        <f t="shared" si="5"/>
        <v>32</v>
      </c>
      <c r="P56" s="218">
        <f t="shared" si="6"/>
        <v>2</v>
      </c>
      <c r="Q56" s="218">
        <f t="shared" si="7"/>
        <v>37</v>
      </c>
      <c r="R56" s="33">
        <f>IF(SUM($P56)=0,"",INDEX(Cascade!$BG:$BG,MATCH($E56,Cascade!$E:$E,0)))</f>
        <v>0.95</v>
      </c>
      <c r="S56" s="218">
        <f t="shared" si="8"/>
        <v>32</v>
      </c>
      <c r="T56" s="218">
        <f t="shared" si="9"/>
        <v>2</v>
      </c>
      <c r="U56" s="38">
        <f>IFERROR(1/(1/INDEX(Cascade!$BH:$BH,MATCH($E56,Cascade!$E:$E,0))),"")</f>
        <v>157</v>
      </c>
      <c r="V56" s="38">
        <f t="shared" si="10"/>
        <v>2</v>
      </c>
      <c r="W56" s="38" t="str">
        <f>IFERROR(1/(1/INDEX(PMTCT!$AC:$AC,MATCH($E56,PMTCT!$E:$E,0))),"")</f>
        <v/>
      </c>
      <c r="X56" s="38" t="str">
        <f>IFERROR(1/(1/INDEX(PMTCT!$AS:$AS,MATCH($E56,PMTCT!$E:$E,0))),"")</f>
        <v/>
      </c>
      <c r="Y56" s="38">
        <f>IFERROR(1/(1/INDEX(VMMC!$AA:$AA,MATCH($E56,VMMC!$E:$E,0))),"")</f>
        <v>13</v>
      </c>
      <c r="Z56" s="38">
        <f t="shared" si="11"/>
        <v>142</v>
      </c>
    </row>
    <row r="57" spans="1:26" x14ac:dyDescent="0.2">
      <c r="A57" t="str">
        <f>INDEX(Prioritization!$D:$D,MATCH($B57,Prioritization!$A:$A,0))</f>
        <v>1 - Scale-up: Saturation</v>
      </c>
      <c r="B57" t="s">
        <v>315</v>
      </c>
      <c r="C57" t="s">
        <v>476</v>
      </c>
      <c r="D57" t="s">
        <v>30</v>
      </c>
      <c r="E57" t="str">
        <f t="shared" si="0"/>
        <v>Chikwawa District [U8c0so51kT6]|25-34|Female</v>
      </c>
      <c r="F57" s="38">
        <v>34</v>
      </c>
      <c r="G57" s="33">
        <v>0.39</v>
      </c>
      <c r="H57" s="218">
        <f t="shared" si="1"/>
        <v>47</v>
      </c>
      <c r="I57" s="38">
        <v>1</v>
      </c>
      <c r="J57" s="33"/>
      <c r="K57" s="33">
        <v>0.45</v>
      </c>
      <c r="L57" s="33"/>
      <c r="M57" s="33">
        <v>0.06</v>
      </c>
      <c r="N57" s="38">
        <f t="shared" si="12"/>
        <v>47</v>
      </c>
      <c r="O57" s="218">
        <f t="shared" si="5"/>
        <v>21</v>
      </c>
      <c r="P57" s="218">
        <f t="shared" si="6"/>
        <v>2</v>
      </c>
      <c r="Q57" s="218">
        <f t="shared" si="7"/>
        <v>24</v>
      </c>
      <c r="R57" s="33">
        <f>IF(SUM($P57)=0,"",INDEX(Cascade!$BG:$BG,MATCH($E57,Cascade!$E:$E,0)))</f>
        <v>0.95</v>
      </c>
      <c r="S57" s="218">
        <f t="shared" si="8"/>
        <v>21</v>
      </c>
      <c r="T57" s="218">
        <f t="shared" si="9"/>
        <v>2</v>
      </c>
      <c r="U57" s="38">
        <f>IFERROR(1/(1/INDEX(Cascade!$BH:$BH,MATCH($E57,Cascade!$E:$E,0))),"")</f>
        <v>351</v>
      </c>
      <c r="V57" s="38">
        <f t="shared" si="10"/>
        <v>2</v>
      </c>
      <c r="W57" s="38" t="str">
        <f>IFERROR(1/(1/INDEX(PMTCT!$AC:$AC,MATCH($E57,PMTCT!$E:$E,0))),"")</f>
        <v/>
      </c>
      <c r="X57" s="38" t="str">
        <f>IFERROR(1/(1/INDEX(PMTCT!$AS:$AS,MATCH($E57,PMTCT!$E:$E,0))),"")</f>
        <v/>
      </c>
      <c r="Y57" s="38" t="str">
        <f>IFERROR(1/(1/INDEX(VMMC!$AA:$AA,MATCH($E57,VMMC!$E:$E,0))),"")</f>
        <v/>
      </c>
      <c r="Z57" s="38">
        <f t="shared" si="11"/>
        <v>349</v>
      </c>
    </row>
    <row r="58" spans="1:26" x14ac:dyDescent="0.2">
      <c r="A58" t="str">
        <f>INDEX(Prioritization!$D:$D,MATCH($B58,Prioritization!$A:$A,0))</f>
        <v>1 - Scale-up: Saturation</v>
      </c>
      <c r="B58" t="s">
        <v>315</v>
      </c>
      <c r="C58" t="s">
        <v>476</v>
      </c>
      <c r="D58" t="s">
        <v>48</v>
      </c>
      <c r="E58" t="str">
        <f t="shared" si="0"/>
        <v>Chikwawa District [U8c0so51kT6]|25-34|Male</v>
      </c>
      <c r="F58" s="38">
        <v>53</v>
      </c>
      <c r="G58" s="33">
        <v>0.39</v>
      </c>
      <c r="H58" s="218">
        <f t="shared" si="1"/>
        <v>74</v>
      </c>
      <c r="I58" s="38">
        <v>2</v>
      </c>
      <c r="J58" s="33"/>
      <c r="K58" s="33">
        <v>0.45</v>
      </c>
      <c r="L58" s="33"/>
      <c r="M58" s="33">
        <v>0.06</v>
      </c>
      <c r="N58" s="38">
        <f t="shared" si="12"/>
        <v>73</v>
      </c>
      <c r="O58" s="218">
        <f t="shared" si="5"/>
        <v>33</v>
      </c>
      <c r="P58" s="218">
        <f t="shared" si="6"/>
        <v>2</v>
      </c>
      <c r="Q58" s="218">
        <f t="shared" si="7"/>
        <v>38</v>
      </c>
      <c r="R58" s="33">
        <f>IF(SUM($P58)=0,"",INDEX(Cascade!$BG:$BG,MATCH($E58,Cascade!$E:$E,0)))</f>
        <v>0.95</v>
      </c>
      <c r="S58" s="218">
        <f t="shared" si="8"/>
        <v>33</v>
      </c>
      <c r="T58" s="218">
        <f t="shared" si="9"/>
        <v>2</v>
      </c>
      <c r="U58" s="38">
        <f>IFERROR(1/(1/INDEX(Cascade!$BH:$BH,MATCH($E58,Cascade!$E:$E,0))),"")</f>
        <v>92.999999999999986</v>
      </c>
      <c r="V58" s="38">
        <f t="shared" si="10"/>
        <v>2</v>
      </c>
      <c r="W58" s="38" t="str">
        <f>IFERROR(1/(1/INDEX(PMTCT!$AC:$AC,MATCH($E58,PMTCT!$E:$E,0))),"")</f>
        <v/>
      </c>
      <c r="X58" s="38" t="str">
        <f>IFERROR(1/(1/INDEX(PMTCT!$AS:$AS,MATCH($E58,PMTCT!$E:$E,0))),"")</f>
        <v/>
      </c>
      <c r="Y58" s="38" t="str">
        <f>IFERROR(1/(1/INDEX(VMMC!$AA:$AA,MATCH($E58,VMMC!$E:$E,0))),"")</f>
        <v/>
      </c>
      <c r="Z58" s="38">
        <f t="shared" si="11"/>
        <v>91</v>
      </c>
    </row>
    <row r="59" spans="1:26" x14ac:dyDescent="0.2">
      <c r="A59" t="str">
        <f>INDEX(Prioritization!$D:$D,MATCH($B59,Prioritization!$A:$A,0))</f>
        <v>1 - Scale-up: Saturation</v>
      </c>
      <c r="B59" t="s">
        <v>315</v>
      </c>
      <c r="C59" t="s">
        <v>477</v>
      </c>
      <c r="D59" t="s">
        <v>30</v>
      </c>
      <c r="E59" t="str">
        <f t="shared" si="0"/>
        <v>Chikwawa District [U8c0so51kT6]|35-49|Female</v>
      </c>
      <c r="F59" s="38">
        <v>51</v>
      </c>
      <c r="G59" s="33">
        <v>0.39</v>
      </c>
      <c r="H59" s="218">
        <f t="shared" si="1"/>
        <v>71</v>
      </c>
      <c r="I59" s="38">
        <v>1</v>
      </c>
      <c r="J59" s="33"/>
      <c r="K59" s="33">
        <v>0.45</v>
      </c>
      <c r="L59" s="33"/>
      <c r="M59" s="33">
        <v>0.06</v>
      </c>
      <c r="N59" s="38">
        <f t="shared" si="12"/>
        <v>70</v>
      </c>
      <c r="O59" s="218">
        <f t="shared" si="5"/>
        <v>32</v>
      </c>
      <c r="P59" s="218">
        <f t="shared" si="6"/>
        <v>2</v>
      </c>
      <c r="Q59" s="218">
        <f t="shared" si="7"/>
        <v>36</v>
      </c>
      <c r="R59" s="33">
        <f>IF(SUM($P59)=0,"",INDEX(Cascade!$BG:$BG,MATCH($E59,Cascade!$E:$E,0)))</f>
        <v>0.95</v>
      </c>
      <c r="S59" s="218">
        <f t="shared" si="8"/>
        <v>32</v>
      </c>
      <c r="T59" s="218">
        <f t="shared" si="9"/>
        <v>2</v>
      </c>
      <c r="U59" s="38">
        <f>IFERROR(1/(1/INDEX(Cascade!$BH:$BH,MATCH($E59,Cascade!$E:$E,0))),"")</f>
        <v>522</v>
      </c>
      <c r="V59" s="38">
        <f t="shared" si="10"/>
        <v>2</v>
      </c>
      <c r="W59" s="38">
        <f>IFERROR(1/(1/INDEX(PMTCT!$AC:$AC,MATCH($E59,PMTCT!$E:$E,0))),"")</f>
        <v>21</v>
      </c>
      <c r="X59" s="38">
        <f>IFERROR(1/(1/INDEX(PMTCT!$AS:$AS,MATCH($E59,PMTCT!$E:$E,0))),"")</f>
        <v>14</v>
      </c>
      <c r="Y59" s="38" t="str">
        <f>IFERROR(1/(1/INDEX(VMMC!$AA:$AA,MATCH($E59,VMMC!$E:$E,0))),"")</f>
        <v/>
      </c>
      <c r="Z59" s="38">
        <f t="shared" si="11"/>
        <v>485</v>
      </c>
    </row>
    <row r="60" spans="1:26" x14ac:dyDescent="0.2">
      <c r="A60" t="str">
        <f>INDEX(Prioritization!$D:$D,MATCH($B60,Prioritization!$A:$A,0))</f>
        <v>1 - Scale-up: Saturation</v>
      </c>
      <c r="B60" t="s">
        <v>315</v>
      </c>
      <c r="C60" t="s">
        <v>477</v>
      </c>
      <c r="D60" t="s">
        <v>48</v>
      </c>
      <c r="E60" t="str">
        <f t="shared" si="0"/>
        <v>Chikwawa District [U8c0so51kT6]|35-49|Male</v>
      </c>
      <c r="F60" s="38">
        <v>78</v>
      </c>
      <c r="G60" s="33">
        <v>0.39</v>
      </c>
      <c r="H60" s="218">
        <f t="shared" si="1"/>
        <v>108</v>
      </c>
      <c r="I60" s="38">
        <v>2</v>
      </c>
      <c r="J60" s="33"/>
      <c r="K60" s="33">
        <v>0.45</v>
      </c>
      <c r="L60" s="33"/>
      <c r="M60" s="33">
        <v>0.06</v>
      </c>
      <c r="N60" s="38">
        <f t="shared" si="12"/>
        <v>107</v>
      </c>
      <c r="O60" s="218">
        <f t="shared" si="5"/>
        <v>48</v>
      </c>
      <c r="P60" s="218">
        <f t="shared" si="6"/>
        <v>4</v>
      </c>
      <c r="Q60" s="218">
        <f t="shared" si="7"/>
        <v>55</v>
      </c>
      <c r="R60" s="33">
        <f>IF(SUM($P60)=0,"",INDEX(Cascade!$BG:$BG,MATCH($E60,Cascade!$E:$E,0)))</f>
        <v>0.95</v>
      </c>
      <c r="S60" s="218">
        <f t="shared" si="8"/>
        <v>48</v>
      </c>
      <c r="T60" s="218">
        <f t="shared" si="9"/>
        <v>4</v>
      </c>
      <c r="U60" s="38">
        <f>IFERROR(1/(1/INDEX(Cascade!$BH:$BH,MATCH($E60,Cascade!$E:$E,0))),"")</f>
        <v>622</v>
      </c>
      <c r="V60" s="38">
        <f t="shared" si="10"/>
        <v>4</v>
      </c>
      <c r="W60" s="38" t="str">
        <f>IFERROR(1/(1/INDEX(PMTCT!$AC:$AC,MATCH($E60,PMTCT!$E:$E,0))),"")</f>
        <v/>
      </c>
      <c r="X60" s="38" t="str">
        <f>IFERROR(1/(1/INDEX(PMTCT!$AS:$AS,MATCH($E60,PMTCT!$E:$E,0))),"")</f>
        <v/>
      </c>
      <c r="Y60" s="38">
        <f>IFERROR(1/(1/INDEX(VMMC!$AA:$AA,MATCH($E60,VMMC!$E:$E,0))),"")</f>
        <v>21</v>
      </c>
      <c r="Z60" s="38">
        <f t="shared" si="11"/>
        <v>597</v>
      </c>
    </row>
    <row r="61" spans="1:26" x14ac:dyDescent="0.2">
      <c r="A61" t="str">
        <f>INDEX(Prioritization!$D:$D,MATCH($B61,Prioritization!$A:$A,0))</f>
        <v>1 - Scale-up: Saturation</v>
      </c>
      <c r="B61" t="s">
        <v>315</v>
      </c>
      <c r="C61" t="s">
        <v>478</v>
      </c>
      <c r="D61" t="s">
        <v>30</v>
      </c>
      <c r="E61" t="str">
        <f t="shared" si="0"/>
        <v>Chikwawa District [U8c0so51kT6]|50+|Female</v>
      </c>
      <c r="F61" s="38">
        <v>18</v>
      </c>
      <c r="G61" s="33">
        <v>0.39</v>
      </c>
      <c r="H61" s="218">
        <f t="shared" si="1"/>
        <v>25</v>
      </c>
      <c r="I61" s="38">
        <v>1</v>
      </c>
      <c r="J61" s="33"/>
      <c r="K61" s="33">
        <v>0.45</v>
      </c>
      <c r="L61" s="33"/>
      <c r="M61" s="33">
        <v>0.06</v>
      </c>
      <c r="N61" s="38">
        <f t="shared" si="12"/>
        <v>25</v>
      </c>
      <c r="O61" s="218">
        <f t="shared" si="5"/>
        <v>11</v>
      </c>
      <c r="P61" s="218">
        <f t="shared" si="6"/>
        <v>1</v>
      </c>
      <c r="Q61" s="218">
        <f t="shared" si="7"/>
        <v>13</v>
      </c>
      <c r="R61" s="33">
        <f>IF(SUM($P61)=0,"",INDEX(Cascade!$BG:$BG,MATCH($E61,Cascade!$E:$E,0)))</f>
        <v>0.95</v>
      </c>
      <c r="S61" s="218">
        <f t="shared" si="8"/>
        <v>11</v>
      </c>
      <c r="T61" s="218">
        <f t="shared" si="9"/>
        <v>1</v>
      </c>
      <c r="U61" s="38">
        <f>IFERROR(1/(1/INDEX(Cascade!$BH:$BH,MATCH($E61,Cascade!$E:$E,0))),"")</f>
        <v>181</v>
      </c>
      <c r="V61" s="38">
        <f t="shared" si="10"/>
        <v>1</v>
      </c>
      <c r="W61" s="38" t="str">
        <f>IFERROR(1/(1/INDEX(PMTCT!$AC:$AC,MATCH($E61,PMTCT!$E:$E,0))),"")</f>
        <v/>
      </c>
      <c r="X61" s="38" t="str">
        <f>IFERROR(1/(1/INDEX(PMTCT!$AS:$AS,MATCH($E61,PMTCT!$E:$E,0))),"")</f>
        <v/>
      </c>
      <c r="Y61" s="38" t="str">
        <f>IFERROR(1/(1/INDEX(VMMC!$AA:$AA,MATCH($E61,VMMC!$E:$E,0))),"")</f>
        <v/>
      </c>
      <c r="Z61" s="38">
        <f t="shared" si="11"/>
        <v>180</v>
      </c>
    </row>
    <row r="62" spans="1:26" x14ac:dyDescent="0.2">
      <c r="A62" t="str">
        <f>INDEX(Prioritization!$D:$D,MATCH($B62,Prioritization!$A:$A,0))</f>
        <v>1 - Scale-up: Saturation</v>
      </c>
      <c r="B62" t="s">
        <v>315</v>
      </c>
      <c r="C62" t="s">
        <v>478</v>
      </c>
      <c r="D62" t="s">
        <v>48</v>
      </c>
      <c r="E62" t="str">
        <f t="shared" si="0"/>
        <v>Chikwawa District [U8c0so51kT6]|50+|Male</v>
      </c>
      <c r="F62" s="38">
        <v>26</v>
      </c>
      <c r="G62" s="33">
        <v>0.39</v>
      </c>
      <c r="H62" s="218">
        <f t="shared" si="1"/>
        <v>36</v>
      </c>
      <c r="I62" s="38">
        <v>1</v>
      </c>
      <c r="J62" s="33"/>
      <c r="K62" s="33">
        <v>0.45</v>
      </c>
      <c r="L62" s="33"/>
      <c r="M62" s="33">
        <v>0.06</v>
      </c>
      <c r="N62" s="38">
        <f t="shared" si="12"/>
        <v>36</v>
      </c>
      <c r="O62" s="218">
        <f t="shared" si="5"/>
        <v>16</v>
      </c>
      <c r="P62" s="218">
        <f t="shared" si="6"/>
        <v>1</v>
      </c>
      <c r="Q62" s="218">
        <f t="shared" si="7"/>
        <v>19</v>
      </c>
      <c r="R62" s="33">
        <f>IF(SUM($P62)=0,"",INDEX(Cascade!$BG:$BG,MATCH($E62,Cascade!$E:$E,0)))</f>
        <v>0.95</v>
      </c>
      <c r="S62" s="218">
        <f t="shared" si="8"/>
        <v>16</v>
      </c>
      <c r="T62" s="218">
        <f t="shared" si="9"/>
        <v>1</v>
      </c>
      <c r="U62" s="38">
        <f>IFERROR(1/(1/INDEX(Cascade!$BH:$BH,MATCH($E62,Cascade!$E:$E,0))),"")</f>
        <v>173</v>
      </c>
      <c r="V62" s="38">
        <f t="shared" si="10"/>
        <v>1</v>
      </c>
      <c r="W62" s="38" t="str">
        <f>IFERROR(1/(1/INDEX(PMTCT!$AC:$AC,MATCH($E62,PMTCT!$E:$E,0))),"")</f>
        <v/>
      </c>
      <c r="X62" s="38" t="str">
        <f>IFERROR(1/(1/INDEX(PMTCT!$AS:$AS,MATCH($E62,PMTCT!$E:$E,0))),"")</f>
        <v/>
      </c>
      <c r="Y62" s="38" t="str">
        <f>IFERROR(1/(1/INDEX(VMMC!$AA:$AA,MATCH($E62,VMMC!$E:$E,0))),"")</f>
        <v/>
      </c>
      <c r="Z62" s="38">
        <f t="shared" si="11"/>
        <v>172</v>
      </c>
    </row>
    <row r="63" spans="1:26" x14ac:dyDescent="0.2">
      <c r="A63" t="str">
        <f>INDEX(Prioritization!$D:$D,MATCH($B63,Prioritization!$A:$A,0))</f>
        <v>INVALID</v>
      </c>
      <c r="B63" t="s">
        <v>316</v>
      </c>
      <c r="C63" t="s">
        <v>473</v>
      </c>
      <c r="D63" t="s">
        <v>30</v>
      </c>
      <c r="E63" t="str">
        <f t="shared" si="0"/>
        <v>Chiradzulu District [oiPR2CiVJbf]|01-09|Female</v>
      </c>
      <c r="F63" s="38">
        <v>8</v>
      </c>
      <c r="G63" s="33">
        <v>0.39</v>
      </c>
      <c r="H63" s="218">
        <f t="shared" si="1"/>
        <v>11</v>
      </c>
      <c r="I63" s="38"/>
      <c r="J63" s="33"/>
      <c r="K63" s="33">
        <v>0.45</v>
      </c>
      <c r="L63" s="33"/>
      <c r="M63" s="33">
        <v>0.06</v>
      </c>
      <c r="N63" s="38">
        <f t="shared" si="12"/>
        <v>11</v>
      </c>
      <c r="O63" s="218">
        <f t="shared" si="5"/>
        <v>5</v>
      </c>
      <c r="P63" s="218">
        <f t="shared" si="6"/>
        <v>0</v>
      </c>
      <c r="Q63" s="218">
        <f t="shared" si="7"/>
        <v>6</v>
      </c>
      <c r="R63" s="33" t="str">
        <f>IF(SUM($P63)=0,"",INDEX(Cascade!$BG:$BG,MATCH($E63,Cascade!$E:$E,0)))</f>
        <v/>
      </c>
      <c r="S63" s="218">
        <f t="shared" si="8"/>
        <v>5</v>
      </c>
      <c r="T63" s="218" t="str">
        <f t="shared" si="9"/>
        <v/>
      </c>
      <c r="U63" s="38">
        <f>IFERROR(1/(1/INDEX(Cascade!$BH:$BH,MATCH($E63,Cascade!$E:$E,0))),"")</f>
        <v>7</v>
      </c>
      <c r="V63" s="38" t="str">
        <f t="shared" si="10"/>
        <v/>
      </c>
      <c r="W63" s="38" t="str">
        <f>IFERROR(1/(1/INDEX(PMTCT!$AC:$AC,MATCH($E63,PMTCT!$E:$E,0))),"")</f>
        <v/>
      </c>
      <c r="X63" s="38" t="str">
        <f>IFERROR(1/(1/INDEX(PMTCT!$AS:$AS,MATCH($E63,PMTCT!$E:$E,0))),"")</f>
        <v/>
      </c>
      <c r="Y63" s="38" t="str">
        <f>IFERROR(1/(1/INDEX(VMMC!$AA:$AA,MATCH($E63,VMMC!$E:$E,0))),"")</f>
        <v/>
      </c>
      <c r="Z63" s="38">
        <f t="shared" si="11"/>
        <v>7</v>
      </c>
    </row>
    <row r="64" spans="1:26" x14ac:dyDescent="0.2">
      <c r="A64" t="str">
        <f>INDEX(Prioritization!$D:$D,MATCH($B64,Prioritization!$A:$A,0))</f>
        <v>INVALID</v>
      </c>
      <c r="B64" t="s">
        <v>316</v>
      </c>
      <c r="C64" t="s">
        <v>473</v>
      </c>
      <c r="D64" t="s">
        <v>48</v>
      </c>
      <c r="E64" t="str">
        <f t="shared" si="0"/>
        <v>Chiradzulu District [oiPR2CiVJbf]|01-09|Male</v>
      </c>
      <c r="F64" s="38">
        <v>8</v>
      </c>
      <c r="G64" s="33">
        <v>0.39</v>
      </c>
      <c r="H64" s="218">
        <f t="shared" si="1"/>
        <v>11</v>
      </c>
      <c r="I64" s="38"/>
      <c r="J64" s="33"/>
      <c r="K64" s="33">
        <v>0.45</v>
      </c>
      <c r="L64" s="33"/>
      <c r="M64" s="33">
        <v>0.06</v>
      </c>
      <c r="N64" s="38">
        <f t="shared" si="12"/>
        <v>11</v>
      </c>
      <c r="O64" s="218">
        <f t="shared" si="5"/>
        <v>5</v>
      </c>
      <c r="P64" s="218">
        <f t="shared" si="6"/>
        <v>0</v>
      </c>
      <c r="Q64" s="218">
        <f t="shared" si="7"/>
        <v>6</v>
      </c>
      <c r="R64" s="33" t="str">
        <f>IF(SUM($P64)=0,"",INDEX(Cascade!$BG:$BG,MATCH($E64,Cascade!$E:$E,0)))</f>
        <v/>
      </c>
      <c r="S64" s="218">
        <f t="shared" si="8"/>
        <v>5</v>
      </c>
      <c r="T64" s="218" t="str">
        <f t="shared" si="9"/>
        <v/>
      </c>
      <c r="U64" s="38">
        <f>IFERROR(1/(1/INDEX(Cascade!$BH:$BH,MATCH($E64,Cascade!$E:$E,0))),"")</f>
        <v>7</v>
      </c>
      <c r="V64" s="38" t="str">
        <f t="shared" si="10"/>
        <v/>
      </c>
      <c r="W64" s="38" t="str">
        <f>IFERROR(1/(1/INDEX(PMTCT!$AC:$AC,MATCH($E64,PMTCT!$E:$E,0))),"")</f>
        <v/>
      </c>
      <c r="X64" s="38" t="str">
        <f>IFERROR(1/(1/INDEX(PMTCT!$AS:$AS,MATCH($E64,PMTCT!$E:$E,0))),"")</f>
        <v/>
      </c>
      <c r="Y64" s="38" t="str">
        <f>IFERROR(1/(1/INDEX(VMMC!$AA:$AA,MATCH($E64,VMMC!$E:$E,0))),"")</f>
        <v/>
      </c>
      <c r="Z64" s="38">
        <f t="shared" si="11"/>
        <v>7</v>
      </c>
    </row>
    <row r="65" spans="1:26" x14ac:dyDescent="0.2">
      <c r="A65" t="str">
        <f>INDEX(Prioritization!$D:$D,MATCH($B65,Prioritization!$A:$A,0))</f>
        <v>INVALID</v>
      </c>
      <c r="B65" t="s">
        <v>316</v>
      </c>
      <c r="C65" t="s">
        <v>474</v>
      </c>
      <c r="D65" t="s">
        <v>30</v>
      </c>
      <c r="E65" t="str">
        <f t="shared" si="0"/>
        <v>Chiradzulu District [oiPR2CiVJbf]|10-14|Female</v>
      </c>
      <c r="F65" s="38">
        <v>4</v>
      </c>
      <c r="G65" s="33">
        <v>0.39</v>
      </c>
      <c r="H65" s="218">
        <f t="shared" si="1"/>
        <v>6</v>
      </c>
      <c r="I65" s="38"/>
      <c r="J65" s="33"/>
      <c r="K65" s="33">
        <v>0.45</v>
      </c>
      <c r="L65" s="33"/>
      <c r="M65" s="33">
        <v>0.06</v>
      </c>
      <c r="N65" s="38">
        <f t="shared" si="12"/>
        <v>6</v>
      </c>
      <c r="O65" s="218">
        <f t="shared" si="5"/>
        <v>3</v>
      </c>
      <c r="P65" s="218">
        <f t="shared" si="6"/>
        <v>0</v>
      </c>
      <c r="Q65" s="218">
        <f t="shared" si="7"/>
        <v>3</v>
      </c>
      <c r="R65" s="33" t="str">
        <f>IF(SUM($P65)=0,"",INDEX(Cascade!$BG:$BG,MATCH($E65,Cascade!$E:$E,0)))</f>
        <v/>
      </c>
      <c r="S65" s="218">
        <f t="shared" si="8"/>
        <v>3</v>
      </c>
      <c r="T65" s="218" t="str">
        <f t="shared" si="9"/>
        <v/>
      </c>
      <c r="U65" s="38">
        <f>IFERROR(1/(1/INDEX(Cascade!$BH:$BH,MATCH($E65,Cascade!$E:$E,0))),"")</f>
        <v>44</v>
      </c>
      <c r="V65" s="38" t="str">
        <f t="shared" si="10"/>
        <v/>
      </c>
      <c r="W65" s="38" t="str">
        <f>IFERROR(1/(1/INDEX(PMTCT!$AC:$AC,MATCH($E65,PMTCT!$E:$E,0))),"")</f>
        <v/>
      </c>
      <c r="X65" s="38" t="str">
        <f>IFERROR(1/(1/INDEX(PMTCT!$AS:$AS,MATCH($E65,PMTCT!$E:$E,0))),"")</f>
        <v/>
      </c>
      <c r="Y65" s="38" t="str">
        <f>IFERROR(1/(1/INDEX(VMMC!$AA:$AA,MATCH($E65,VMMC!$E:$E,0))),"")</f>
        <v/>
      </c>
      <c r="Z65" s="38">
        <f t="shared" si="11"/>
        <v>44</v>
      </c>
    </row>
    <row r="66" spans="1:26" x14ac:dyDescent="0.2">
      <c r="A66" t="str">
        <f>INDEX(Prioritization!$D:$D,MATCH($B66,Prioritization!$A:$A,0))</f>
        <v>INVALID</v>
      </c>
      <c r="B66" t="s">
        <v>316</v>
      </c>
      <c r="C66" t="s">
        <v>474</v>
      </c>
      <c r="D66" t="s">
        <v>48</v>
      </c>
      <c r="E66" t="str">
        <f t="shared" si="0"/>
        <v>Chiradzulu District [oiPR2CiVJbf]|10-14|Male</v>
      </c>
      <c r="F66" s="38">
        <v>4</v>
      </c>
      <c r="G66" s="33">
        <v>0.39</v>
      </c>
      <c r="H66" s="218">
        <f t="shared" si="1"/>
        <v>6</v>
      </c>
      <c r="I66" s="38"/>
      <c r="J66" s="33"/>
      <c r="K66" s="33">
        <v>0.45</v>
      </c>
      <c r="L66" s="33"/>
      <c r="M66" s="33">
        <v>0.06</v>
      </c>
      <c r="N66" s="38">
        <f t="shared" si="12"/>
        <v>6</v>
      </c>
      <c r="O66" s="218">
        <f t="shared" si="5"/>
        <v>3</v>
      </c>
      <c r="P66" s="218">
        <f t="shared" si="6"/>
        <v>0</v>
      </c>
      <c r="Q66" s="218">
        <f t="shared" si="7"/>
        <v>3</v>
      </c>
      <c r="R66" s="33" t="str">
        <f>IF(SUM($P66)=0,"",INDEX(Cascade!$BG:$BG,MATCH($E66,Cascade!$E:$E,0)))</f>
        <v/>
      </c>
      <c r="S66" s="218">
        <f t="shared" si="8"/>
        <v>3</v>
      </c>
      <c r="T66" s="218" t="str">
        <f t="shared" si="9"/>
        <v/>
      </c>
      <c r="U66" s="38">
        <f>IFERROR(1/(1/INDEX(Cascade!$BH:$BH,MATCH($E66,Cascade!$E:$E,0))),"")</f>
        <v>9</v>
      </c>
      <c r="V66" s="38" t="str">
        <f t="shared" si="10"/>
        <v/>
      </c>
      <c r="W66" s="38" t="str">
        <f>IFERROR(1/(1/INDEX(PMTCT!$AC:$AC,MATCH($E66,PMTCT!$E:$E,0))),"")</f>
        <v/>
      </c>
      <c r="X66" s="38" t="str">
        <f>IFERROR(1/(1/INDEX(PMTCT!$AS:$AS,MATCH($E66,PMTCT!$E:$E,0))),"")</f>
        <v/>
      </c>
      <c r="Y66" s="38" t="str">
        <f>IFERROR(1/(1/INDEX(VMMC!$AA:$AA,MATCH($E66,VMMC!$E:$E,0))),"")</f>
        <v/>
      </c>
      <c r="Z66" s="38">
        <f t="shared" si="11"/>
        <v>9</v>
      </c>
    </row>
    <row r="67" spans="1:26" x14ac:dyDescent="0.2">
      <c r="A67" t="str">
        <f>INDEX(Prioritization!$D:$D,MATCH($B67,Prioritization!$A:$A,0))</f>
        <v>INVALID</v>
      </c>
      <c r="B67" t="s">
        <v>316</v>
      </c>
      <c r="C67" t="s">
        <v>475</v>
      </c>
      <c r="D67" t="s">
        <v>30</v>
      </c>
      <c r="E67" t="str">
        <f t="shared" si="0"/>
        <v>Chiradzulu District [oiPR2CiVJbf]|15-24|Female</v>
      </c>
      <c r="F67" s="38">
        <v>36</v>
      </c>
      <c r="G67" s="33">
        <v>0.39</v>
      </c>
      <c r="H67" s="218">
        <f t="shared" si="1"/>
        <v>50</v>
      </c>
      <c r="I67" s="38">
        <v>1</v>
      </c>
      <c r="J67" s="33"/>
      <c r="K67" s="33">
        <v>0.45</v>
      </c>
      <c r="L67" s="33"/>
      <c r="M67" s="33">
        <v>0.06</v>
      </c>
      <c r="N67" s="38">
        <f t="shared" si="12"/>
        <v>50</v>
      </c>
      <c r="O67" s="218">
        <f t="shared" si="5"/>
        <v>23</v>
      </c>
      <c r="P67" s="218">
        <f t="shared" si="6"/>
        <v>2</v>
      </c>
      <c r="Q67" s="218">
        <f t="shared" si="7"/>
        <v>25</v>
      </c>
      <c r="R67" s="33">
        <f>IF(SUM($P67)=0,"",INDEX(Cascade!$BG:$BG,MATCH($E67,Cascade!$E:$E,0)))</f>
        <v>0.95</v>
      </c>
      <c r="S67" s="218">
        <f t="shared" si="8"/>
        <v>23</v>
      </c>
      <c r="T67" s="218">
        <f t="shared" si="9"/>
        <v>2</v>
      </c>
      <c r="U67" s="38">
        <f>IFERROR(1/(1/INDEX(Cascade!$BH:$BH,MATCH($E67,Cascade!$E:$E,0))),"")</f>
        <v>313</v>
      </c>
      <c r="V67" s="38">
        <f t="shared" si="10"/>
        <v>2</v>
      </c>
      <c r="W67" s="38" t="str">
        <f>IFERROR(1/(1/INDEX(PMTCT!$AC:$AC,MATCH($E67,PMTCT!$E:$E,0))),"")</f>
        <v/>
      </c>
      <c r="X67" s="38" t="str">
        <f>IFERROR(1/(1/INDEX(PMTCT!$AS:$AS,MATCH($E67,PMTCT!$E:$E,0))),"")</f>
        <v/>
      </c>
      <c r="Y67" s="38" t="str">
        <f>IFERROR(1/(1/INDEX(VMMC!$AA:$AA,MATCH($E67,VMMC!$E:$E,0))),"")</f>
        <v/>
      </c>
      <c r="Z67" s="38">
        <f t="shared" si="11"/>
        <v>311</v>
      </c>
    </row>
    <row r="68" spans="1:26" x14ac:dyDescent="0.2">
      <c r="A68" t="str">
        <f>INDEX(Prioritization!$D:$D,MATCH($B68,Prioritization!$A:$A,0))</f>
        <v>INVALID</v>
      </c>
      <c r="B68" t="s">
        <v>316</v>
      </c>
      <c r="C68" t="s">
        <v>475</v>
      </c>
      <c r="D68" t="s">
        <v>48</v>
      </c>
      <c r="E68" t="str">
        <f t="shared" si="0"/>
        <v>Chiradzulu District [oiPR2CiVJbf]|15-24|Male</v>
      </c>
      <c r="F68" s="38">
        <v>58</v>
      </c>
      <c r="G68" s="33">
        <v>0.39</v>
      </c>
      <c r="H68" s="218">
        <f t="shared" si="1"/>
        <v>81</v>
      </c>
      <c r="I68" s="38">
        <v>2</v>
      </c>
      <c r="J68" s="33"/>
      <c r="K68" s="33">
        <v>0.45</v>
      </c>
      <c r="L68" s="33"/>
      <c r="M68" s="33">
        <v>0.06</v>
      </c>
      <c r="N68" s="38">
        <f t="shared" si="12"/>
        <v>80</v>
      </c>
      <c r="O68" s="218">
        <f t="shared" si="5"/>
        <v>36</v>
      </c>
      <c r="P68" s="218">
        <f t="shared" si="6"/>
        <v>3</v>
      </c>
      <c r="Q68" s="218">
        <f t="shared" si="7"/>
        <v>41</v>
      </c>
      <c r="R68" s="33">
        <f>IF(SUM($P68)=0,"",INDEX(Cascade!$BG:$BG,MATCH($E68,Cascade!$E:$E,0)))</f>
        <v>0.95</v>
      </c>
      <c r="S68" s="218">
        <f t="shared" si="8"/>
        <v>36</v>
      </c>
      <c r="T68" s="218">
        <f t="shared" si="9"/>
        <v>3</v>
      </c>
      <c r="U68" s="38">
        <f>IFERROR(1/(1/INDEX(Cascade!$BH:$BH,MATCH($E68,Cascade!$E:$E,0))),"")</f>
        <v>137</v>
      </c>
      <c r="V68" s="38">
        <f t="shared" si="10"/>
        <v>3</v>
      </c>
      <c r="W68" s="38" t="str">
        <f>IFERROR(1/(1/INDEX(PMTCT!$AC:$AC,MATCH($E68,PMTCT!$E:$E,0))),"")</f>
        <v/>
      </c>
      <c r="X68" s="38" t="str">
        <f>IFERROR(1/(1/INDEX(PMTCT!$AS:$AS,MATCH($E68,PMTCT!$E:$E,0))),"")</f>
        <v/>
      </c>
      <c r="Y68" s="38" t="str">
        <f>IFERROR(1/(1/INDEX(VMMC!$AA:$AA,MATCH($E68,VMMC!$E:$E,0))),"")</f>
        <v/>
      </c>
      <c r="Z68" s="38">
        <f t="shared" si="11"/>
        <v>134</v>
      </c>
    </row>
    <row r="69" spans="1:26" x14ac:dyDescent="0.2">
      <c r="A69" t="str">
        <f>INDEX(Prioritization!$D:$D,MATCH($B69,Prioritization!$A:$A,0))</f>
        <v>INVALID</v>
      </c>
      <c r="B69" t="s">
        <v>316</v>
      </c>
      <c r="C69" t="s">
        <v>476</v>
      </c>
      <c r="D69" t="s">
        <v>30</v>
      </c>
      <c r="E69" t="str">
        <f t="shared" si="0"/>
        <v>Chiradzulu District [oiPR2CiVJbf]|25-34|Female</v>
      </c>
      <c r="F69" s="38">
        <v>36</v>
      </c>
      <c r="G69" s="33">
        <v>0.39</v>
      </c>
      <c r="H69" s="218">
        <f t="shared" si="1"/>
        <v>50</v>
      </c>
      <c r="I69" s="38">
        <v>1</v>
      </c>
      <c r="J69" s="33"/>
      <c r="K69" s="33">
        <v>0.45</v>
      </c>
      <c r="L69" s="33"/>
      <c r="M69" s="33">
        <v>0.06</v>
      </c>
      <c r="N69" s="38">
        <f t="shared" si="12"/>
        <v>50</v>
      </c>
      <c r="O69" s="218">
        <f t="shared" si="5"/>
        <v>23</v>
      </c>
      <c r="P69" s="218">
        <f t="shared" si="6"/>
        <v>2</v>
      </c>
      <c r="Q69" s="218">
        <f t="shared" si="7"/>
        <v>25</v>
      </c>
      <c r="R69" s="33">
        <f>IF(SUM($P69)=0,"",INDEX(Cascade!$BG:$BG,MATCH($E69,Cascade!$E:$E,0)))</f>
        <v>0.95</v>
      </c>
      <c r="S69" s="218">
        <f t="shared" si="8"/>
        <v>23</v>
      </c>
      <c r="T69" s="218">
        <f t="shared" si="9"/>
        <v>2</v>
      </c>
      <c r="U69" s="38">
        <f>IFERROR(1/(1/INDEX(Cascade!$BH:$BH,MATCH($E69,Cascade!$E:$E,0))),"")</f>
        <v>578</v>
      </c>
      <c r="V69" s="38">
        <f t="shared" si="10"/>
        <v>2</v>
      </c>
      <c r="W69" s="38" t="str">
        <f>IFERROR(1/(1/INDEX(PMTCT!$AC:$AC,MATCH($E69,PMTCT!$E:$E,0))),"")</f>
        <v/>
      </c>
      <c r="X69" s="38" t="str">
        <f>IFERROR(1/(1/INDEX(PMTCT!$AS:$AS,MATCH($E69,PMTCT!$E:$E,0))),"")</f>
        <v/>
      </c>
      <c r="Y69" s="38" t="str">
        <f>IFERROR(1/(1/INDEX(VMMC!$AA:$AA,MATCH($E69,VMMC!$E:$E,0))),"")</f>
        <v/>
      </c>
      <c r="Z69" s="38">
        <f t="shared" si="11"/>
        <v>576</v>
      </c>
    </row>
    <row r="70" spans="1:26" x14ac:dyDescent="0.2">
      <c r="A70" t="str">
        <f>INDEX(Prioritization!$D:$D,MATCH($B70,Prioritization!$A:$A,0))</f>
        <v>INVALID</v>
      </c>
      <c r="B70" t="s">
        <v>316</v>
      </c>
      <c r="C70" t="s">
        <v>476</v>
      </c>
      <c r="D70" t="s">
        <v>48</v>
      </c>
      <c r="E70" t="str">
        <f t="shared" si="0"/>
        <v>Chiradzulu District [oiPR2CiVJbf]|25-34|Male</v>
      </c>
      <c r="F70" s="38">
        <v>58</v>
      </c>
      <c r="G70" s="33">
        <v>0.39</v>
      </c>
      <c r="H70" s="218">
        <f t="shared" si="1"/>
        <v>81</v>
      </c>
      <c r="I70" s="38">
        <v>2</v>
      </c>
      <c r="J70" s="33"/>
      <c r="K70" s="33">
        <v>0.45</v>
      </c>
      <c r="L70" s="33"/>
      <c r="M70" s="33">
        <v>0.06</v>
      </c>
      <c r="N70" s="38">
        <f t="shared" si="12"/>
        <v>80</v>
      </c>
      <c r="O70" s="218">
        <f t="shared" si="5"/>
        <v>36</v>
      </c>
      <c r="P70" s="218">
        <f t="shared" si="6"/>
        <v>3</v>
      </c>
      <c r="Q70" s="218">
        <f t="shared" si="7"/>
        <v>41</v>
      </c>
      <c r="R70" s="33">
        <f>IF(SUM($P70)=0,"",INDEX(Cascade!$BG:$BG,MATCH($E70,Cascade!$E:$E,0)))</f>
        <v>0.95</v>
      </c>
      <c r="S70" s="218">
        <f t="shared" si="8"/>
        <v>36</v>
      </c>
      <c r="T70" s="218">
        <f t="shared" si="9"/>
        <v>3</v>
      </c>
      <c r="U70" s="38">
        <f>IFERROR(1/(1/INDEX(Cascade!$BH:$BH,MATCH($E70,Cascade!$E:$E,0))),"")</f>
        <v>177</v>
      </c>
      <c r="V70" s="38">
        <f t="shared" si="10"/>
        <v>3</v>
      </c>
      <c r="W70" s="38" t="str">
        <f>IFERROR(1/(1/INDEX(PMTCT!$AC:$AC,MATCH($E70,PMTCT!$E:$E,0))),"")</f>
        <v/>
      </c>
      <c r="X70" s="38" t="str">
        <f>IFERROR(1/(1/INDEX(PMTCT!$AS:$AS,MATCH($E70,PMTCT!$E:$E,0))),"")</f>
        <v/>
      </c>
      <c r="Y70" s="38" t="str">
        <f>IFERROR(1/(1/INDEX(VMMC!$AA:$AA,MATCH($E70,VMMC!$E:$E,0))),"")</f>
        <v/>
      </c>
      <c r="Z70" s="38">
        <f t="shared" si="11"/>
        <v>174</v>
      </c>
    </row>
    <row r="71" spans="1:26" x14ac:dyDescent="0.2">
      <c r="A71" t="str">
        <f>INDEX(Prioritization!$D:$D,MATCH($B71,Prioritization!$A:$A,0))</f>
        <v>INVALID</v>
      </c>
      <c r="B71" t="s">
        <v>316</v>
      </c>
      <c r="C71" t="s">
        <v>477</v>
      </c>
      <c r="D71" t="s">
        <v>30</v>
      </c>
      <c r="E71" t="str">
        <f t="shared" si="0"/>
        <v>Chiradzulu District [oiPR2CiVJbf]|35-49|Female</v>
      </c>
      <c r="F71" s="38">
        <v>54</v>
      </c>
      <c r="G71" s="33">
        <v>0.39</v>
      </c>
      <c r="H71" s="218">
        <f t="shared" si="1"/>
        <v>75</v>
      </c>
      <c r="I71" s="38">
        <v>2</v>
      </c>
      <c r="J71" s="33"/>
      <c r="K71" s="33">
        <v>0.45</v>
      </c>
      <c r="L71" s="33"/>
      <c r="M71" s="33">
        <v>0.06</v>
      </c>
      <c r="N71" s="38">
        <f t="shared" si="12"/>
        <v>74</v>
      </c>
      <c r="O71" s="218">
        <f t="shared" si="5"/>
        <v>33</v>
      </c>
      <c r="P71" s="218">
        <f t="shared" si="6"/>
        <v>2</v>
      </c>
      <c r="Q71" s="218">
        <f t="shared" si="7"/>
        <v>39</v>
      </c>
      <c r="R71" s="33">
        <f>IF(SUM($P71)=0,"",INDEX(Cascade!$BG:$BG,MATCH($E71,Cascade!$E:$E,0)))</f>
        <v>0.95</v>
      </c>
      <c r="S71" s="218">
        <f t="shared" si="8"/>
        <v>33</v>
      </c>
      <c r="T71" s="218">
        <f t="shared" si="9"/>
        <v>2</v>
      </c>
      <c r="U71" s="38">
        <f>IFERROR(1/(1/INDEX(Cascade!$BH:$BH,MATCH($E71,Cascade!$E:$E,0))),"")</f>
        <v>302</v>
      </c>
      <c r="V71" s="38">
        <f t="shared" si="10"/>
        <v>2</v>
      </c>
      <c r="W71" s="38" t="str">
        <f>IFERROR(1/(1/INDEX(PMTCT!$AC:$AC,MATCH($E71,PMTCT!$E:$E,0))),"")</f>
        <v/>
      </c>
      <c r="X71" s="38" t="str">
        <f>IFERROR(1/(1/INDEX(PMTCT!$AS:$AS,MATCH($E71,PMTCT!$E:$E,0))),"")</f>
        <v/>
      </c>
      <c r="Y71" s="38" t="str">
        <f>IFERROR(1/(1/INDEX(VMMC!$AA:$AA,MATCH($E71,VMMC!$E:$E,0))),"")</f>
        <v/>
      </c>
      <c r="Z71" s="38">
        <f t="shared" si="11"/>
        <v>300</v>
      </c>
    </row>
    <row r="72" spans="1:26" x14ac:dyDescent="0.2">
      <c r="A72" t="str">
        <f>INDEX(Prioritization!$D:$D,MATCH($B72,Prioritization!$A:$A,0))</f>
        <v>INVALID</v>
      </c>
      <c r="B72" t="s">
        <v>316</v>
      </c>
      <c r="C72" t="s">
        <v>477</v>
      </c>
      <c r="D72" t="s">
        <v>48</v>
      </c>
      <c r="E72" t="str">
        <f t="shared" si="0"/>
        <v>Chiradzulu District [oiPR2CiVJbf]|35-49|Male</v>
      </c>
      <c r="F72" s="38">
        <v>87</v>
      </c>
      <c r="G72" s="33">
        <v>0.39</v>
      </c>
      <c r="H72" s="218">
        <f t="shared" si="1"/>
        <v>121</v>
      </c>
      <c r="I72" s="38">
        <v>2</v>
      </c>
      <c r="J72" s="33"/>
      <c r="K72" s="33">
        <v>0.45</v>
      </c>
      <c r="L72" s="33"/>
      <c r="M72" s="33">
        <v>0.06</v>
      </c>
      <c r="N72" s="38">
        <f t="shared" si="12"/>
        <v>120</v>
      </c>
      <c r="O72" s="218">
        <f t="shared" si="5"/>
        <v>54</v>
      </c>
      <c r="P72" s="218">
        <f t="shared" si="6"/>
        <v>4</v>
      </c>
      <c r="Q72" s="218">
        <f t="shared" si="7"/>
        <v>62</v>
      </c>
      <c r="R72" s="33">
        <f>IF(SUM($P72)=0,"",INDEX(Cascade!$BG:$BG,MATCH($E72,Cascade!$E:$E,0)))</f>
        <v>0.95</v>
      </c>
      <c r="S72" s="218">
        <f t="shared" si="8"/>
        <v>54</v>
      </c>
      <c r="T72" s="218">
        <f t="shared" si="9"/>
        <v>4</v>
      </c>
      <c r="U72" s="38">
        <f>IFERROR(1/(1/INDEX(Cascade!$BH:$BH,MATCH($E72,Cascade!$E:$E,0))),"")</f>
        <v>677</v>
      </c>
      <c r="V72" s="38">
        <f t="shared" si="10"/>
        <v>4</v>
      </c>
      <c r="W72" s="38" t="str">
        <f>IFERROR(1/(1/INDEX(PMTCT!$AC:$AC,MATCH($E72,PMTCT!$E:$E,0))),"")</f>
        <v/>
      </c>
      <c r="X72" s="38" t="str">
        <f>IFERROR(1/(1/INDEX(PMTCT!$AS:$AS,MATCH($E72,PMTCT!$E:$E,0))),"")</f>
        <v/>
      </c>
      <c r="Y72" s="38" t="str">
        <f>IFERROR(1/(1/INDEX(VMMC!$AA:$AA,MATCH($E72,VMMC!$E:$E,0))),"")</f>
        <v/>
      </c>
      <c r="Z72" s="38">
        <f t="shared" si="11"/>
        <v>673</v>
      </c>
    </row>
    <row r="73" spans="1:26" x14ac:dyDescent="0.2">
      <c r="A73" t="str">
        <f>INDEX(Prioritization!$D:$D,MATCH($B73,Prioritization!$A:$A,0))</f>
        <v>INVALID</v>
      </c>
      <c r="B73" t="s">
        <v>316</v>
      </c>
      <c r="C73" t="s">
        <v>478</v>
      </c>
      <c r="D73" t="s">
        <v>30</v>
      </c>
      <c r="E73" t="str">
        <f t="shared" si="0"/>
        <v>Chiradzulu District [oiPR2CiVJbf]|50+|Female</v>
      </c>
      <c r="F73" s="38">
        <v>19</v>
      </c>
      <c r="G73" s="33">
        <v>0.39</v>
      </c>
      <c r="H73" s="218">
        <f t="shared" si="1"/>
        <v>26</v>
      </c>
      <c r="I73" s="38">
        <v>1</v>
      </c>
      <c r="J73" s="33"/>
      <c r="K73" s="33">
        <v>0.45</v>
      </c>
      <c r="L73" s="33"/>
      <c r="M73" s="33">
        <v>0.06</v>
      </c>
      <c r="N73" s="38">
        <f t="shared" si="12"/>
        <v>26</v>
      </c>
      <c r="O73" s="218">
        <f t="shared" si="5"/>
        <v>12</v>
      </c>
      <c r="P73" s="218">
        <f t="shared" si="6"/>
        <v>1</v>
      </c>
      <c r="Q73" s="218">
        <f t="shared" si="7"/>
        <v>13</v>
      </c>
      <c r="R73" s="33">
        <f>IF(SUM($P73)=0,"",INDEX(Cascade!$BG:$BG,MATCH($E73,Cascade!$E:$E,0)))</f>
        <v>0.95</v>
      </c>
      <c r="S73" s="218">
        <f t="shared" si="8"/>
        <v>12</v>
      </c>
      <c r="T73" s="218">
        <f t="shared" si="9"/>
        <v>1</v>
      </c>
      <c r="U73" s="38">
        <f>IFERROR(1/(1/INDEX(Cascade!$BH:$BH,MATCH($E73,Cascade!$E:$E,0))),"")</f>
        <v>133</v>
      </c>
      <c r="V73" s="38">
        <f t="shared" si="10"/>
        <v>1</v>
      </c>
      <c r="W73" s="38" t="str">
        <f>IFERROR(1/(1/INDEX(PMTCT!$AC:$AC,MATCH($E73,PMTCT!$E:$E,0))),"")</f>
        <v/>
      </c>
      <c r="X73" s="38" t="str">
        <f>IFERROR(1/(1/INDEX(PMTCT!$AS:$AS,MATCH($E73,PMTCT!$E:$E,0))),"")</f>
        <v/>
      </c>
      <c r="Y73" s="38" t="str">
        <f>IFERROR(1/(1/INDEX(VMMC!$AA:$AA,MATCH($E73,VMMC!$E:$E,0))),"")</f>
        <v/>
      </c>
      <c r="Z73" s="38">
        <f t="shared" si="11"/>
        <v>132</v>
      </c>
    </row>
    <row r="74" spans="1:26" x14ac:dyDescent="0.2">
      <c r="A74" t="str">
        <f>INDEX(Prioritization!$D:$D,MATCH($B74,Prioritization!$A:$A,0))</f>
        <v>INVALID</v>
      </c>
      <c r="B74" t="s">
        <v>316</v>
      </c>
      <c r="C74" t="s">
        <v>478</v>
      </c>
      <c r="D74" t="s">
        <v>48</v>
      </c>
      <c r="E74" t="str">
        <f t="shared" si="0"/>
        <v>Chiradzulu District [oiPR2CiVJbf]|50+|Male</v>
      </c>
      <c r="F74" s="38">
        <v>29</v>
      </c>
      <c r="G74" s="33">
        <v>0.39</v>
      </c>
      <c r="H74" s="218">
        <f t="shared" si="1"/>
        <v>40</v>
      </c>
      <c r="I74" s="38">
        <v>1</v>
      </c>
      <c r="J74" s="33"/>
      <c r="K74" s="33">
        <v>0.45</v>
      </c>
      <c r="L74" s="33"/>
      <c r="M74" s="33">
        <v>0.06</v>
      </c>
      <c r="N74" s="38">
        <f t="shared" si="12"/>
        <v>40</v>
      </c>
      <c r="O74" s="218">
        <f t="shared" si="5"/>
        <v>18</v>
      </c>
      <c r="P74" s="218">
        <f t="shared" si="6"/>
        <v>1</v>
      </c>
      <c r="Q74" s="218">
        <f t="shared" si="7"/>
        <v>21</v>
      </c>
      <c r="R74" s="33">
        <f>IF(SUM($P74)=0,"",INDEX(Cascade!$BG:$BG,MATCH($E74,Cascade!$E:$E,0)))</f>
        <v>0.95</v>
      </c>
      <c r="S74" s="218">
        <f t="shared" si="8"/>
        <v>18</v>
      </c>
      <c r="T74" s="218">
        <f t="shared" si="9"/>
        <v>1</v>
      </c>
      <c r="U74" s="38">
        <f>IFERROR(1/(1/INDEX(Cascade!$BH:$BH,MATCH($E74,Cascade!$E:$E,0))),"")</f>
        <v>104</v>
      </c>
      <c r="V74" s="38">
        <f t="shared" si="10"/>
        <v>1</v>
      </c>
      <c r="W74" s="38" t="str">
        <f>IFERROR(1/(1/INDEX(PMTCT!$AC:$AC,MATCH($E74,PMTCT!$E:$E,0))),"")</f>
        <v/>
      </c>
      <c r="X74" s="38" t="str">
        <f>IFERROR(1/(1/INDEX(PMTCT!$AS:$AS,MATCH($E74,PMTCT!$E:$E,0))),"")</f>
        <v/>
      </c>
      <c r="Y74" s="38" t="str">
        <f>IFERROR(1/(1/INDEX(VMMC!$AA:$AA,MATCH($E74,VMMC!$E:$E,0))),"")</f>
        <v/>
      </c>
      <c r="Z74" s="38">
        <f t="shared" si="11"/>
        <v>103.00000000000001</v>
      </c>
    </row>
    <row r="75" spans="1:26" x14ac:dyDescent="0.2">
      <c r="A75" t="str">
        <f>INDEX(Prioritization!$D:$D,MATCH($B75,Prioritization!$A:$A,0))</f>
        <v>4 - Sustained</v>
      </c>
      <c r="B75" t="s">
        <v>307</v>
      </c>
      <c r="C75" t="s">
        <v>473</v>
      </c>
      <c r="D75" t="s">
        <v>30</v>
      </c>
      <c r="E75" t="str">
        <f t="shared" si="0"/>
        <v>Chitipa District [GkIwZrXy1h2]|01-09|Female</v>
      </c>
      <c r="F75" s="38">
        <v>2</v>
      </c>
      <c r="G75" s="33">
        <v>0.39</v>
      </c>
      <c r="H75" s="218">
        <f t="shared" si="1"/>
        <v>3</v>
      </c>
      <c r="I75" s="38"/>
      <c r="J75" s="33"/>
      <c r="K75" s="33">
        <v>0.45</v>
      </c>
      <c r="L75" s="33"/>
      <c r="M75" s="33">
        <v>0.06</v>
      </c>
      <c r="N75" s="38">
        <f t="shared" si="12"/>
        <v>3</v>
      </c>
      <c r="O75" s="218">
        <f t="shared" si="5"/>
        <v>1</v>
      </c>
      <c r="P75" s="218">
        <f t="shared" si="6"/>
        <v>0</v>
      </c>
      <c r="Q75" s="218">
        <f t="shared" si="7"/>
        <v>2</v>
      </c>
      <c r="R75" s="33" t="str">
        <f>IF(SUM($P75)=0,"",INDEX(Cascade!$BG:$BG,MATCH($E75,Cascade!$E:$E,0)))</f>
        <v/>
      </c>
      <c r="S75" s="218">
        <f t="shared" si="8"/>
        <v>1</v>
      </c>
      <c r="T75" s="218" t="str">
        <f t="shared" si="9"/>
        <v/>
      </c>
      <c r="U75" s="38" t="str">
        <f>IFERROR(1/(1/INDEX(Cascade!$BH:$BH,MATCH($E75,Cascade!$E:$E,0))),"")</f>
        <v/>
      </c>
      <c r="V75" s="38" t="str">
        <f t="shared" si="10"/>
        <v/>
      </c>
      <c r="W75" s="38" t="str">
        <f>IFERROR(1/(1/INDEX(PMTCT!$AC:$AC,MATCH($E75,PMTCT!$E:$E,0))),"")</f>
        <v/>
      </c>
      <c r="X75" s="38" t="str">
        <f>IFERROR(1/(1/INDEX(PMTCT!$AS:$AS,MATCH($E75,PMTCT!$E:$E,0))),"")</f>
        <v/>
      </c>
      <c r="Y75" s="38" t="str">
        <f>IFERROR(1/(1/INDEX(VMMC!$AA:$AA,MATCH($E75,VMMC!$E:$E,0))),"")</f>
        <v/>
      </c>
      <c r="Z75" s="38" t="str">
        <f t="shared" si="11"/>
        <v/>
      </c>
    </row>
    <row r="76" spans="1:26" x14ac:dyDescent="0.2">
      <c r="A76" t="str">
        <f>INDEX(Prioritization!$D:$D,MATCH($B76,Prioritization!$A:$A,0))</f>
        <v>4 - Sustained</v>
      </c>
      <c r="B76" t="s">
        <v>307</v>
      </c>
      <c r="C76" t="s">
        <v>473</v>
      </c>
      <c r="D76" t="s">
        <v>48</v>
      </c>
      <c r="E76" t="str">
        <f t="shared" si="0"/>
        <v>Chitipa District [GkIwZrXy1h2]|01-09|Male</v>
      </c>
      <c r="F76" s="38">
        <v>2</v>
      </c>
      <c r="G76" s="33">
        <v>0.39</v>
      </c>
      <c r="H76" s="218">
        <f t="shared" si="1"/>
        <v>3</v>
      </c>
      <c r="I76" s="38"/>
      <c r="J76" s="33"/>
      <c r="K76" s="33">
        <v>0.45</v>
      </c>
      <c r="L76" s="33"/>
      <c r="M76" s="33">
        <v>0.06</v>
      </c>
      <c r="N76" s="38">
        <f t="shared" si="12"/>
        <v>3</v>
      </c>
      <c r="O76" s="218">
        <f t="shared" si="5"/>
        <v>1</v>
      </c>
      <c r="P76" s="218">
        <f t="shared" si="6"/>
        <v>0</v>
      </c>
      <c r="Q76" s="218">
        <f t="shared" si="7"/>
        <v>2</v>
      </c>
      <c r="R76" s="33" t="str">
        <f>IF(SUM($P76)=0,"",INDEX(Cascade!$BG:$BG,MATCH($E76,Cascade!$E:$E,0)))</f>
        <v/>
      </c>
      <c r="S76" s="218">
        <f t="shared" si="8"/>
        <v>1</v>
      </c>
      <c r="T76" s="218" t="str">
        <f t="shared" si="9"/>
        <v/>
      </c>
      <c r="U76" s="38">
        <f>IFERROR(1/(1/INDEX(Cascade!$BH:$BH,MATCH($E76,Cascade!$E:$E,0))),"")</f>
        <v>1</v>
      </c>
      <c r="V76" s="38" t="str">
        <f t="shared" si="10"/>
        <v/>
      </c>
      <c r="W76" s="38" t="str">
        <f>IFERROR(1/(1/INDEX(PMTCT!$AC:$AC,MATCH($E76,PMTCT!$E:$E,0))),"")</f>
        <v/>
      </c>
      <c r="X76" s="38" t="str">
        <f>IFERROR(1/(1/INDEX(PMTCT!$AS:$AS,MATCH($E76,PMTCT!$E:$E,0))),"")</f>
        <v/>
      </c>
      <c r="Y76" s="38" t="str">
        <f>IFERROR(1/(1/INDEX(VMMC!$AA:$AA,MATCH($E76,VMMC!$E:$E,0))),"")</f>
        <v/>
      </c>
      <c r="Z76" s="38">
        <f t="shared" si="11"/>
        <v>1</v>
      </c>
    </row>
    <row r="77" spans="1:26" x14ac:dyDescent="0.2">
      <c r="A77" t="str">
        <f>INDEX(Prioritization!$D:$D,MATCH($B77,Prioritization!$A:$A,0))</f>
        <v>4 - Sustained</v>
      </c>
      <c r="B77" t="s">
        <v>307</v>
      </c>
      <c r="C77" t="s">
        <v>474</v>
      </c>
      <c r="D77" t="s">
        <v>30</v>
      </c>
      <c r="E77" t="str">
        <f t="shared" si="0"/>
        <v>Chitipa District [GkIwZrXy1h2]|10-14|Female</v>
      </c>
      <c r="F77" s="38">
        <v>1</v>
      </c>
      <c r="G77" s="33">
        <v>0.39</v>
      </c>
      <c r="H77" s="218">
        <f t="shared" si="1"/>
        <v>1</v>
      </c>
      <c r="I77" s="38"/>
      <c r="J77" s="33"/>
      <c r="K77" s="33">
        <v>0.45</v>
      </c>
      <c r="L77" s="33"/>
      <c r="M77" s="33">
        <v>0.06</v>
      </c>
      <c r="N77" s="38">
        <f t="shared" si="12"/>
        <v>1</v>
      </c>
      <c r="O77" s="218">
        <f t="shared" si="5"/>
        <v>0</v>
      </c>
      <c r="P77" s="218">
        <f t="shared" si="6"/>
        <v>0</v>
      </c>
      <c r="Q77" s="218">
        <f t="shared" si="7"/>
        <v>1</v>
      </c>
      <c r="R77" s="33" t="str">
        <f>IF(SUM($P77)=0,"",INDEX(Cascade!$BG:$BG,MATCH($E77,Cascade!$E:$E,0)))</f>
        <v/>
      </c>
      <c r="S77" s="218">
        <f t="shared" si="8"/>
        <v>0</v>
      </c>
      <c r="T77" s="218" t="str">
        <f t="shared" si="9"/>
        <v/>
      </c>
      <c r="U77" s="38">
        <f>IFERROR(1/(1/INDEX(Cascade!$BH:$BH,MATCH($E77,Cascade!$E:$E,0))),"")</f>
        <v>9</v>
      </c>
      <c r="V77" s="38" t="str">
        <f t="shared" si="10"/>
        <v/>
      </c>
      <c r="W77" s="38" t="str">
        <f>IFERROR(1/(1/INDEX(PMTCT!$AC:$AC,MATCH($E77,PMTCT!$E:$E,0))),"")</f>
        <v/>
      </c>
      <c r="X77" s="38" t="str">
        <f>IFERROR(1/(1/INDEX(PMTCT!$AS:$AS,MATCH($E77,PMTCT!$E:$E,0))),"")</f>
        <v/>
      </c>
      <c r="Y77" s="38" t="str">
        <f>IFERROR(1/(1/INDEX(VMMC!$AA:$AA,MATCH($E77,VMMC!$E:$E,0))),"")</f>
        <v/>
      </c>
      <c r="Z77" s="38">
        <f t="shared" si="11"/>
        <v>9</v>
      </c>
    </row>
    <row r="78" spans="1:26" x14ac:dyDescent="0.2">
      <c r="A78" t="str">
        <f>INDEX(Prioritization!$D:$D,MATCH($B78,Prioritization!$A:$A,0))</f>
        <v>4 - Sustained</v>
      </c>
      <c r="B78" t="s">
        <v>307</v>
      </c>
      <c r="C78" t="s">
        <v>474</v>
      </c>
      <c r="D78" t="s">
        <v>48</v>
      </c>
      <c r="E78" t="str">
        <f t="shared" si="0"/>
        <v>Chitipa District [GkIwZrXy1h2]|10-14|Male</v>
      </c>
      <c r="F78" s="38">
        <v>1</v>
      </c>
      <c r="G78" s="33">
        <v>0.39</v>
      </c>
      <c r="H78" s="218">
        <f t="shared" si="1"/>
        <v>1</v>
      </c>
      <c r="I78" s="38"/>
      <c r="J78" s="33"/>
      <c r="K78" s="33">
        <v>0.45</v>
      </c>
      <c r="L78" s="33"/>
      <c r="M78" s="33">
        <v>0.06</v>
      </c>
      <c r="N78" s="38">
        <f t="shared" si="12"/>
        <v>1</v>
      </c>
      <c r="O78" s="218">
        <f t="shared" si="5"/>
        <v>0</v>
      </c>
      <c r="P78" s="218">
        <f t="shared" si="6"/>
        <v>0</v>
      </c>
      <c r="Q78" s="218">
        <f t="shared" si="7"/>
        <v>1</v>
      </c>
      <c r="R78" s="33" t="str">
        <f>IF(SUM($P78)=0,"",INDEX(Cascade!$BG:$BG,MATCH($E78,Cascade!$E:$E,0)))</f>
        <v/>
      </c>
      <c r="S78" s="218">
        <f t="shared" si="8"/>
        <v>0</v>
      </c>
      <c r="T78" s="218" t="str">
        <f t="shared" si="9"/>
        <v/>
      </c>
      <c r="U78" s="38">
        <f>IFERROR(1/(1/INDEX(Cascade!$BH:$BH,MATCH($E78,Cascade!$E:$E,0))),"")</f>
        <v>1</v>
      </c>
      <c r="V78" s="38" t="str">
        <f t="shared" si="10"/>
        <v/>
      </c>
      <c r="W78" s="38" t="str">
        <f>IFERROR(1/(1/INDEX(PMTCT!$AC:$AC,MATCH($E78,PMTCT!$E:$E,0))),"")</f>
        <v/>
      </c>
      <c r="X78" s="38" t="str">
        <f>IFERROR(1/(1/INDEX(PMTCT!$AS:$AS,MATCH($E78,PMTCT!$E:$E,0))),"")</f>
        <v/>
      </c>
      <c r="Y78" s="38" t="str">
        <f>IFERROR(1/(1/INDEX(VMMC!$AA:$AA,MATCH($E78,VMMC!$E:$E,0))),"")</f>
        <v/>
      </c>
      <c r="Z78" s="38">
        <f t="shared" si="11"/>
        <v>1</v>
      </c>
    </row>
    <row r="79" spans="1:26" x14ac:dyDescent="0.2">
      <c r="A79" t="str">
        <f>INDEX(Prioritization!$D:$D,MATCH($B79,Prioritization!$A:$A,0))</f>
        <v>4 - Sustained</v>
      </c>
      <c r="B79" t="s">
        <v>307</v>
      </c>
      <c r="C79" t="s">
        <v>475</v>
      </c>
      <c r="D79" t="s">
        <v>30</v>
      </c>
      <c r="E79" t="str">
        <f t="shared" ref="E79:E142" si="13">B79&amp;"|"&amp;C79&amp;"|"&amp;D79</f>
        <v>Chitipa District [GkIwZrXy1h2]|15-24|Female</v>
      </c>
      <c r="F79" s="38">
        <v>10</v>
      </c>
      <c r="G79" s="33">
        <v>0.39</v>
      </c>
      <c r="H79" s="218">
        <f t="shared" ref="H79:H142" si="14">IF(SUM($F79)=0,"",ROUND($F79*(1+$G79),0))</f>
        <v>14</v>
      </c>
      <c r="I79" s="38"/>
      <c r="J79" s="33"/>
      <c r="K79" s="33">
        <v>0.45</v>
      </c>
      <c r="L79" s="33"/>
      <c r="M79" s="33">
        <v>0.06</v>
      </c>
      <c r="N79" s="38">
        <f t="shared" si="12"/>
        <v>14</v>
      </c>
      <c r="O79" s="218">
        <f t="shared" ref="O79:O142" si="15">IF(SUM($N79)=0,"",IF(AND(SUM($N79)&gt;0,$K79=""),"ENTER KNOWN POSITIVITY RATE",ROUND($N79*$K79,0)))</f>
        <v>6</v>
      </c>
      <c r="P79" s="218">
        <f t="shared" ref="P79:P142" si="16">IF(SUM($N79)=0,"",IF(AND((SUM($N79)-SUM($O79))&gt;0,$M79=""),"ENTER YIELD RATE",ROUND(($N79-SUM($O79))*$M79,0)))</f>
        <v>0</v>
      </c>
      <c r="Q79" s="218">
        <f t="shared" ref="Q79:Q142" si="17">IF(SUM($N79)=0,"",$N79-SUM($O79)-SUM($P79))</f>
        <v>8</v>
      </c>
      <c r="R79" s="33" t="str">
        <f>IF(SUM($P79)=0,"",INDEX(Cascade!$BG:$BG,MATCH($E79,Cascade!$E:$E,0)))</f>
        <v/>
      </c>
      <c r="S79" s="218">
        <f t="shared" ref="S79:S142" si="18">$O79</f>
        <v>6</v>
      </c>
      <c r="T79" s="218" t="str">
        <f t="shared" ref="T79:T142" si="19">IF(SUM($P79)=0,"",IF(AND($R79="",SUM($P79)&gt;0),"&lt;- Enter Linkage Rate",ROUND($P79*$R79,0)))</f>
        <v/>
      </c>
      <c r="U79" s="38">
        <f>IFERROR(1/(1/INDEX(Cascade!$BH:$BH,MATCH($E79,Cascade!$E:$E,0))),"")</f>
        <v>27</v>
      </c>
      <c r="V79" s="38" t="str">
        <f t="shared" ref="V79:V142" si="20">IF(SUM($P79)=0,"",$P79)</f>
        <v/>
      </c>
      <c r="W79" s="38" t="str">
        <f>IFERROR(1/(1/INDEX(PMTCT!$AC:$AC,MATCH($E79,PMTCT!$E:$E,0))),"")</f>
        <v/>
      </c>
      <c r="X79" s="38" t="str">
        <f>IFERROR(1/(1/INDEX(PMTCT!$AS:$AS,MATCH($E79,PMTCT!$E:$E,0))),"")</f>
        <v/>
      </c>
      <c r="Y79" s="38" t="str">
        <f>IFERROR(1/(1/INDEX(VMMC!$AA:$AA,MATCH($E79,VMMC!$E:$E,0))),"")</f>
        <v/>
      </c>
      <c r="Z79" s="38">
        <f t="shared" ref="Z79:Z142" si="21">IFERROR(1/(1/(SUM($U79)-SUM($V79:$Y79))),"")</f>
        <v>27</v>
      </c>
    </row>
    <row r="80" spans="1:26" x14ac:dyDescent="0.2">
      <c r="A80" t="str">
        <f>INDEX(Prioritization!$D:$D,MATCH($B80,Prioritization!$A:$A,0))</f>
        <v>4 - Sustained</v>
      </c>
      <c r="B80" t="s">
        <v>307</v>
      </c>
      <c r="C80" t="s">
        <v>475</v>
      </c>
      <c r="D80" t="s">
        <v>48</v>
      </c>
      <c r="E80" t="str">
        <f t="shared" si="13"/>
        <v>Chitipa District [GkIwZrXy1h2]|15-24|Male</v>
      </c>
      <c r="F80" s="38">
        <v>14</v>
      </c>
      <c r="G80" s="33">
        <v>0.39</v>
      </c>
      <c r="H80" s="218">
        <f t="shared" si="14"/>
        <v>19</v>
      </c>
      <c r="I80" s="38"/>
      <c r="J80" s="33"/>
      <c r="K80" s="33">
        <v>0.45</v>
      </c>
      <c r="L80" s="33"/>
      <c r="M80" s="33">
        <v>0.06</v>
      </c>
      <c r="N80" s="38">
        <f t="shared" si="12"/>
        <v>19</v>
      </c>
      <c r="O80" s="218">
        <f t="shared" si="15"/>
        <v>9</v>
      </c>
      <c r="P80" s="218">
        <f t="shared" si="16"/>
        <v>1</v>
      </c>
      <c r="Q80" s="218">
        <f t="shared" si="17"/>
        <v>9</v>
      </c>
      <c r="R80" s="33">
        <f>IF(SUM($P80)=0,"",INDEX(Cascade!$BG:$BG,MATCH($E80,Cascade!$E:$E,0)))</f>
        <v>0.95</v>
      </c>
      <c r="S80" s="218">
        <f t="shared" si="18"/>
        <v>9</v>
      </c>
      <c r="T80" s="218">
        <f t="shared" si="19"/>
        <v>1</v>
      </c>
      <c r="U80" s="38">
        <f>IFERROR(1/(1/INDEX(Cascade!$BH:$BH,MATCH($E80,Cascade!$E:$E,0))),"")</f>
        <v>3</v>
      </c>
      <c r="V80" s="38">
        <f t="shared" si="20"/>
        <v>1</v>
      </c>
      <c r="W80" s="38" t="str">
        <f>IFERROR(1/(1/INDEX(PMTCT!$AC:$AC,MATCH($E80,PMTCT!$E:$E,0))),"")</f>
        <v/>
      </c>
      <c r="X80" s="38" t="str">
        <f>IFERROR(1/(1/INDEX(PMTCT!$AS:$AS,MATCH($E80,PMTCT!$E:$E,0))),"")</f>
        <v/>
      </c>
      <c r="Y80" s="38" t="str">
        <f>IFERROR(1/(1/INDEX(VMMC!$AA:$AA,MATCH($E80,VMMC!$E:$E,0))),"")</f>
        <v/>
      </c>
      <c r="Z80" s="38">
        <f t="shared" si="21"/>
        <v>2</v>
      </c>
    </row>
    <row r="81" spans="1:26" x14ac:dyDescent="0.2">
      <c r="A81" t="str">
        <f>INDEX(Prioritization!$D:$D,MATCH($B81,Prioritization!$A:$A,0))</f>
        <v>4 - Sustained</v>
      </c>
      <c r="B81" t="s">
        <v>307</v>
      </c>
      <c r="C81" t="s">
        <v>476</v>
      </c>
      <c r="D81" t="s">
        <v>30</v>
      </c>
      <c r="E81" t="str">
        <f t="shared" si="13"/>
        <v>Chitipa District [GkIwZrXy1h2]|25-34|Female</v>
      </c>
      <c r="F81" s="38">
        <v>10</v>
      </c>
      <c r="G81" s="33">
        <v>0.39</v>
      </c>
      <c r="H81" s="218">
        <f t="shared" si="14"/>
        <v>14</v>
      </c>
      <c r="I81" s="38"/>
      <c r="J81" s="33"/>
      <c r="K81" s="33">
        <v>0.45</v>
      </c>
      <c r="L81" s="33"/>
      <c r="M81" s="33">
        <v>0.06</v>
      </c>
      <c r="N81" s="38">
        <f t="shared" si="12"/>
        <v>14</v>
      </c>
      <c r="O81" s="218">
        <f t="shared" si="15"/>
        <v>6</v>
      </c>
      <c r="P81" s="218">
        <f t="shared" si="16"/>
        <v>0</v>
      </c>
      <c r="Q81" s="218">
        <f t="shared" si="17"/>
        <v>8</v>
      </c>
      <c r="R81" s="33" t="str">
        <f>IF(SUM($P81)=0,"",INDEX(Cascade!$BG:$BG,MATCH($E81,Cascade!$E:$E,0)))</f>
        <v/>
      </c>
      <c r="S81" s="218">
        <f t="shared" si="18"/>
        <v>6</v>
      </c>
      <c r="T81" s="218" t="str">
        <f t="shared" si="19"/>
        <v/>
      </c>
      <c r="U81" s="38">
        <f>IFERROR(1/(1/INDEX(Cascade!$BH:$BH,MATCH($E81,Cascade!$E:$E,0))),"")</f>
        <v>75</v>
      </c>
      <c r="V81" s="38" t="str">
        <f t="shared" si="20"/>
        <v/>
      </c>
      <c r="W81" s="38" t="str">
        <f>IFERROR(1/(1/INDEX(PMTCT!$AC:$AC,MATCH($E81,PMTCT!$E:$E,0))),"")</f>
        <v/>
      </c>
      <c r="X81" s="38" t="str">
        <f>IFERROR(1/(1/INDEX(PMTCT!$AS:$AS,MATCH($E81,PMTCT!$E:$E,0))),"")</f>
        <v/>
      </c>
      <c r="Y81" s="38" t="str">
        <f>IFERROR(1/(1/INDEX(VMMC!$AA:$AA,MATCH($E81,VMMC!$E:$E,0))),"")</f>
        <v/>
      </c>
      <c r="Z81" s="38">
        <f t="shared" si="21"/>
        <v>75</v>
      </c>
    </row>
    <row r="82" spans="1:26" x14ac:dyDescent="0.2">
      <c r="A82" t="str">
        <f>INDEX(Prioritization!$D:$D,MATCH($B82,Prioritization!$A:$A,0))</f>
        <v>4 - Sustained</v>
      </c>
      <c r="B82" t="s">
        <v>307</v>
      </c>
      <c r="C82" t="s">
        <v>476</v>
      </c>
      <c r="D82" t="s">
        <v>48</v>
      </c>
      <c r="E82" t="str">
        <f t="shared" si="13"/>
        <v>Chitipa District [GkIwZrXy1h2]|25-34|Male</v>
      </c>
      <c r="F82" s="38">
        <v>14</v>
      </c>
      <c r="G82" s="33">
        <v>0.39</v>
      </c>
      <c r="H82" s="218">
        <f t="shared" si="14"/>
        <v>19</v>
      </c>
      <c r="I82" s="38"/>
      <c r="J82" s="33"/>
      <c r="K82" s="33">
        <v>0.45</v>
      </c>
      <c r="L82" s="33"/>
      <c r="M82" s="33">
        <v>0.06</v>
      </c>
      <c r="N82" s="38">
        <f t="shared" si="12"/>
        <v>19</v>
      </c>
      <c r="O82" s="218">
        <f t="shared" si="15"/>
        <v>9</v>
      </c>
      <c r="P82" s="218">
        <f t="shared" si="16"/>
        <v>1</v>
      </c>
      <c r="Q82" s="218">
        <f t="shared" si="17"/>
        <v>9</v>
      </c>
      <c r="R82" s="33">
        <f>IF(SUM($P82)=0,"",INDEX(Cascade!$BG:$BG,MATCH($E82,Cascade!$E:$E,0)))</f>
        <v>0.95</v>
      </c>
      <c r="S82" s="218">
        <f t="shared" si="18"/>
        <v>9</v>
      </c>
      <c r="T82" s="218">
        <f t="shared" si="19"/>
        <v>1</v>
      </c>
      <c r="U82" s="38">
        <f>IFERROR(1/(1/INDEX(Cascade!$BH:$BH,MATCH($E82,Cascade!$E:$E,0))),"")</f>
        <v>5</v>
      </c>
      <c r="V82" s="38">
        <f t="shared" si="20"/>
        <v>1</v>
      </c>
      <c r="W82" s="38" t="str">
        <f>IFERROR(1/(1/INDEX(PMTCT!$AC:$AC,MATCH($E82,PMTCT!$E:$E,0))),"")</f>
        <v/>
      </c>
      <c r="X82" s="38" t="str">
        <f>IFERROR(1/(1/INDEX(PMTCT!$AS:$AS,MATCH($E82,PMTCT!$E:$E,0))),"")</f>
        <v/>
      </c>
      <c r="Y82" s="38" t="str">
        <f>IFERROR(1/(1/INDEX(VMMC!$AA:$AA,MATCH($E82,VMMC!$E:$E,0))),"")</f>
        <v/>
      </c>
      <c r="Z82" s="38">
        <f t="shared" si="21"/>
        <v>4</v>
      </c>
    </row>
    <row r="83" spans="1:26" x14ac:dyDescent="0.2">
      <c r="A83" t="str">
        <f>INDEX(Prioritization!$D:$D,MATCH($B83,Prioritization!$A:$A,0))</f>
        <v>4 - Sustained</v>
      </c>
      <c r="B83" t="s">
        <v>307</v>
      </c>
      <c r="C83" t="s">
        <v>477</v>
      </c>
      <c r="D83" t="s">
        <v>30</v>
      </c>
      <c r="E83" t="str">
        <f t="shared" si="13"/>
        <v>Chitipa District [GkIwZrXy1h2]|35-49|Female</v>
      </c>
      <c r="F83" s="38">
        <v>15</v>
      </c>
      <c r="G83" s="33">
        <v>0.39</v>
      </c>
      <c r="H83" s="218">
        <f t="shared" si="14"/>
        <v>21</v>
      </c>
      <c r="I83" s="38"/>
      <c r="J83" s="33"/>
      <c r="K83" s="33">
        <v>0.45</v>
      </c>
      <c r="L83" s="33"/>
      <c r="M83" s="33">
        <v>0.06</v>
      </c>
      <c r="N83" s="38">
        <f t="shared" si="12"/>
        <v>21</v>
      </c>
      <c r="O83" s="218">
        <f t="shared" si="15"/>
        <v>9</v>
      </c>
      <c r="P83" s="218">
        <f t="shared" si="16"/>
        <v>1</v>
      </c>
      <c r="Q83" s="218">
        <f t="shared" si="17"/>
        <v>11</v>
      </c>
      <c r="R83" s="33">
        <f>IF(SUM($P83)=0,"",INDEX(Cascade!$BG:$BG,MATCH($E83,Cascade!$E:$E,0)))</f>
        <v>0.95</v>
      </c>
      <c r="S83" s="218">
        <f t="shared" si="18"/>
        <v>9</v>
      </c>
      <c r="T83" s="218">
        <f t="shared" si="19"/>
        <v>1</v>
      </c>
      <c r="U83" s="38">
        <f>IFERROR(1/(1/INDEX(Cascade!$BH:$BH,MATCH($E83,Cascade!$E:$E,0))),"")</f>
        <v>34</v>
      </c>
      <c r="V83" s="38">
        <f t="shared" si="20"/>
        <v>1</v>
      </c>
      <c r="W83" s="38" t="str">
        <f>IFERROR(1/(1/INDEX(PMTCT!$AC:$AC,MATCH($E83,PMTCT!$E:$E,0))),"")</f>
        <v/>
      </c>
      <c r="X83" s="38" t="str">
        <f>IFERROR(1/(1/INDEX(PMTCT!$AS:$AS,MATCH($E83,PMTCT!$E:$E,0))),"")</f>
        <v/>
      </c>
      <c r="Y83" s="38" t="str">
        <f>IFERROR(1/(1/INDEX(VMMC!$AA:$AA,MATCH($E83,VMMC!$E:$E,0))),"")</f>
        <v/>
      </c>
      <c r="Z83" s="38">
        <f t="shared" si="21"/>
        <v>33</v>
      </c>
    </row>
    <row r="84" spans="1:26" x14ac:dyDescent="0.2">
      <c r="A84" t="str">
        <f>INDEX(Prioritization!$D:$D,MATCH($B84,Prioritization!$A:$A,0))</f>
        <v>4 - Sustained</v>
      </c>
      <c r="B84" t="s">
        <v>307</v>
      </c>
      <c r="C84" t="s">
        <v>477</v>
      </c>
      <c r="D84" t="s">
        <v>48</v>
      </c>
      <c r="E84" t="str">
        <f t="shared" si="13"/>
        <v>Chitipa District [GkIwZrXy1h2]|35-49|Male</v>
      </c>
      <c r="F84" s="38">
        <v>21</v>
      </c>
      <c r="G84" s="33">
        <v>0.39</v>
      </c>
      <c r="H84" s="218">
        <f t="shared" si="14"/>
        <v>29</v>
      </c>
      <c r="I84" s="38">
        <v>1</v>
      </c>
      <c r="J84" s="33"/>
      <c r="K84" s="33">
        <v>0.45</v>
      </c>
      <c r="L84" s="33"/>
      <c r="M84" s="33">
        <v>0.06</v>
      </c>
      <c r="N84" s="38">
        <f t="shared" si="12"/>
        <v>29</v>
      </c>
      <c r="O84" s="218">
        <f t="shared" si="15"/>
        <v>13</v>
      </c>
      <c r="P84" s="218">
        <f t="shared" si="16"/>
        <v>1</v>
      </c>
      <c r="Q84" s="218">
        <f t="shared" si="17"/>
        <v>15</v>
      </c>
      <c r="R84" s="33">
        <f>IF(SUM($P84)=0,"",INDEX(Cascade!$BG:$BG,MATCH($E84,Cascade!$E:$E,0)))</f>
        <v>0.95</v>
      </c>
      <c r="S84" s="218">
        <f t="shared" si="18"/>
        <v>13</v>
      </c>
      <c r="T84" s="218">
        <f t="shared" si="19"/>
        <v>1</v>
      </c>
      <c r="U84" s="38">
        <f>IFERROR(1/(1/INDEX(Cascade!$BH:$BH,MATCH($E84,Cascade!$E:$E,0))),"")</f>
        <v>54</v>
      </c>
      <c r="V84" s="38">
        <f t="shared" si="20"/>
        <v>1</v>
      </c>
      <c r="W84" s="38" t="str">
        <f>IFERROR(1/(1/INDEX(PMTCT!$AC:$AC,MATCH($E84,PMTCT!$E:$E,0))),"")</f>
        <v/>
      </c>
      <c r="X84" s="38" t="str">
        <f>IFERROR(1/(1/INDEX(PMTCT!$AS:$AS,MATCH($E84,PMTCT!$E:$E,0))),"")</f>
        <v/>
      </c>
      <c r="Y84" s="38" t="str">
        <f>IFERROR(1/(1/INDEX(VMMC!$AA:$AA,MATCH($E84,VMMC!$E:$E,0))),"")</f>
        <v/>
      </c>
      <c r="Z84" s="38">
        <f t="shared" si="21"/>
        <v>53</v>
      </c>
    </row>
    <row r="85" spans="1:26" x14ac:dyDescent="0.2">
      <c r="A85" t="str">
        <f>INDEX(Prioritization!$D:$D,MATCH($B85,Prioritization!$A:$A,0))</f>
        <v>4 - Sustained</v>
      </c>
      <c r="B85" t="s">
        <v>307</v>
      </c>
      <c r="C85" t="s">
        <v>478</v>
      </c>
      <c r="D85" t="s">
        <v>30</v>
      </c>
      <c r="E85" t="str">
        <f t="shared" si="13"/>
        <v>Chitipa District [GkIwZrXy1h2]|50+|Female</v>
      </c>
      <c r="F85" s="38">
        <v>7</v>
      </c>
      <c r="G85" s="33">
        <v>0.39</v>
      </c>
      <c r="H85" s="218">
        <f t="shared" si="14"/>
        <v>10</v>
      </c>
      <c r="I85" s="38"/>
      <c r="J85" s="33"/>
      <c r="K85" s="33">
        <v>0.45</v>
      </c>
      <c r="L85" s="33"/>
      <c r="M85" s="33">
        <v>0.06</v>
      </c>
      <c r="N85" s="38">
        <f t="shared" si="12"/>
        <v>10</v>
      </c>
      <c r="O85" s="218">
        <f t="shared" si="15"/>
        <v>5</v>
      </c>
      <c r="P85" s="218">
        <f t="shared" si="16"/>
        <v>0</v>
      </c>
      <c r="Q85" s="218">
        <f t="shared" si="17"/>
        <v>5</v>
      </c>
      <c r="R85" s="33" t="str">
        <f>IF(SUM($P85)=0,"",INDEX(Cascade!$BG:$BG,MATCH($E85,Cascade!$E:$E,0)))</f>
        <v/>
      </c>
      <c r="S85" s="218">
        <f t="shared" si="18"/>
        <v>5</v>
      </c>
      <c r="T85" s="218" t="str">
        <f t="shared" si="19"/>
        <v/>
      </c>
      <c r="U85" s="38">
        <f>IFERROR(1/(1/INDEX(Cascade!$BH:$BH,MATCH($E85,Cascade!$E:$E,0))),"")</f>
        <v>42</v>
      </c>
      <c r="V85" s="38" t="str">
        <f t="shared" si="20"/>
        <v/>
      </c>
      <c r="W85" s="38" t="str">
        <f>IFERROR(1/(1/INDEX(PMTCT!$AC:$AC,MATCH($E85,PMTCT!$E:$E,0))),"")</f>
        <v/>
      </c>
      <c r="X85" s="38" t="str">
        <f>IFERROR(1/(1/INDEX(PMTCT!$AS:$AS,MATCH($E85,PMTCT!$E:$E,0))),"")</f>
        <v/>
      </c>
      <c r="Y85" s="38" t="str">
        <f>IFERROR(1/(1/INDEX(VMMC!$AA:$AA,MATCH($E85,VMMC!$E:$E,0))),"")</f>
        <v/>
      </c>
      <c r="Z85" s="38">
        <f t="shared" si="21"/>
        <v>42</v>
      </c>
    </row>
    <row r="86" spans="1:26" x14ac:dyDescent="0.2">
      <c r="A86" t="str">
        <f>INDEX(Prioritization!$D:$D,MATCH($B86,Prioritization!$A:$A,0))</f>
        <v>4 - Sustained</v>
      </c>
      <c r="B86" t="s">
        <v>307</v>
      </c>
      <c r="C86" t="s">
        <v>478</v>
      </c>
      <c r="D86" t="s">
        <v>48</v>
      </c>
      <c r="E86" t="str">
        <f t="shared" si="13"/>
        <v>Chitipa District [GkIwZrXy1h2]|50+|Male</v>
      </c>
      <c r="F86" s="38">
        <v>8</v>
      </c>
      <c r="G86" s="33">
        <v>0.39</v>
      </c>
      <c r="H86" s="218">
        <f t="shared" si="14"/>
        <v>11</v>
      </c>
      <c r="I86" s="38"/>
      <c r="J86" s="33"/>
      <c r="K86" s="33">
        <v>0.45</v>
      </c>
      <c r="L86" s="33"/>
      <c r="M86" s="33">
        <v>0.06</v>
      </c>
      <c r="N86" s="38">
        <f t="shared" si="12"/>
        <v>11</v>
      </c>
      <c r="O86" s="218">
        <f t="shared" si="15"/>
        <v>5</v>
      </c>
      <c r="P86" s="218">
        <f t="shared" si="16"/>
        <v>0</v>
      </c>
      <c r="Q86" s="218">
        <f t="shared" si="17"/>
        <v>6</v>
      </c>
      <c r="R86" s="33" t="str">
        <f>IF(SUM($P86)=0,"",INDEX(Cascade!$BG:$BG,MATCH($E86,Cascade!$E:$E,0)))</f>
        <v/>
      </c>
      <c r="S86" s="218">
        <f t="shared" si="18"/>
        <v>5</v>
      </c>
      <c r="T86" s="218" t="str">
        <f t="shared" si="19"/>
        <v/>
      </c>
      <c r="U86" s="38">
        <f>IFERROR(1/(1/INDEX(Cascade!$BH:$BH,MATCH($E86,Cascade!$E:$E,0))),"")</f>
        <v>19</v>
      </c>
      <c r="V86" s="38" t="str">
        <f t="shared" si="20"/>
        <v/>
      </c>
      <c r="W86" s="38" t="str">
        <f>IFERROR(1/(1/INDEX(PMTCT!$AC:$AC,MATCH($E86,PMTCT!$E:$E,0))),"")</f>
        <v/>
      </c>
      <c r="X86" s="38" t="str">
        <f>IFERROR(1/(1/INDEX(PMTCT!$AS:$AS,MATCH($E86,PMTCT!$E:$E,0))),"")</f>
        <v/>
      </c>
      <c r="Y86" s="38" t="str">
        <f>IFERROR(1/(1/INDEX(VMMC!$AA:$AA,MATCH($E86,VMMC!$E:$E,0))),"")</f>
        <v/>
      </c>
      <c r="Z86" s="38">
        <f t="shared" si="21"/>
        <v>19</v>
      </c>
    </row>
    <row r="87" spans="1:26" x14ac:dyDescent="0.2">
      <c r="A87" t="str">
        <f>INDEX(Prioritization!$D:$D,MATCH($B87,Prioritization!$A:$A,0))</f>
        <v>4 - Sustained</v>
      </c>
      <c r="B87" t="s">
        <v>298</v>
      </c>
      <c r="C87" t="s">
        <v>473</v>
      </c>
      <c r="D87" t="s">
        <v>30</v>
      </c>
      <c r="E87" s="1" t="str">
        <f t="shared" si="13"/>
        <v>Dedza District [PekKUkKHAzY]|01-09|Female</v>
      </c>
      <c r="F87" s="38">
        <v>8</v>
      </c>
      <c r="G87" s="33">
        <v>0.39</v>
      </c>
      <c r="H87" s="2">
        <f t="shared" si="14"/>
        <v>11</v>
      </c>
      <c r="I87" s="38"/>
      <c r="J87" s="33"/>
      <c r="K87" s="33">
        <v>0.45</v>
      </c>
      <c r="L87" s="33"/>
      <c r="M87" s="33">
        <v>0.06</v>
      </c>
      <c r="N87" s="38">
        <f t="shared" si="12"/>
        <v>11</v>
      </c>
      <c r="O87" s="2">
        <f t="shared" si="15"/>
        <v>5</v>
      </c>
      <c r="P87" s="2">
        <f t="shared" si="16"/>
        <v>0</v>
      </c>
      <c r="Q87" s="2">
        <f t="shared" si="17"/>
        <v>6</v>
      </c>
      <c r="R87" s="33" t="str">
        <f>IF(SUM($P87)=0,"",INDEX(Cascade!$BG:$BG,MATCH($E87,Cascade!$E:$E,0)))</f>
        <v/>
      </c>
      <c r="S87" s="2">
        <f t="shared" si="18"/>
        <v>5</v>
      </c>
      <c r="T87" s="2" t="str">
        <f t="shared" si="19"/>
        <v/>
      </c>
      <c r="U87" s="38">
        <f>IFERROR(1/(1/INDEX(Cascade!$BH:$BH,MATCH($E87,Cascade!$E:$E,0))),"")</f>
        <v>4</v>
      </c>
      <c r="V87" s="38" t="str">
        <f t="shared" si="20"/>
        <v/>
      </c>
      <c r="W87" s="38" t="str">
        <f>IFERROR(1/(1/INDEX(PMTCT!$AC:$AC,MATCH($E87,PMTCT!$E:$E,0))),"")</f>
        <v/>
      </c>
      <c r="X87" s="38" t="str">
        <f>IFERROR(1/(1/INDEX(PMTCT!$AS:$AS,MATCH($E87,PMTCT!$E:$E,0))),"")</f>
        <v/>
      </c>
      <c r="Y87" s="38" t="str">
        <f>IFERROR(1/(1/INDEX(VMMC!$AA:$AA,MATCH($E87,VMMC!$E:$E,0))),"")</f>
        <v/>
      </c>
      <c r="Z87" s="38">
        <f t="shared" si="21"/>
        <v>4</v>
      </c>
    </row>
    <row r="88" spans="1:26" x14ac:dyDescent="0.2">
      <c r="A88" t="str">
        <f>INDEX(Prioritization!$D:$D,MATCH($B88,Prioritization!$A:$A,0))</f>
        <v>4 - Sustained</v>
      </c>
      <c r="B88" t="s">
        <v>298</v>
      </c>
      <c r="C88" t="s">
        <v>473</v>
      </c>
      <c r="D88" t="s">
        <v>48</v>
      </c>
      <c r="E88" t="str">
        <f t="shared" si="13"/>
        <v>Dedza District [PekKUkKHAzY]|01-09|Male</v>
      </c>
      <c r="F88" s="38">
        <v>8</v>
      </c>
      <c r="G88" s="33">
        <v>0.39</v>
      </c>
      <c r="H88" s="218">
        <f t="shared" si="14"/>
        <v>11</v>
      </c>
      <c r="I88" s="38"/>
      <c r="J88" s="33"/>
      <c r="K88" s="33">
        <v>0.45</v>
      </c>
      <c r="L88" s="33"/>
      <c r="M88" s="33">
        <v>0.06</v>
      </c>
      <c r="N88" s="38">
        <f t="shared" si="12"/>
        <v>11</v>
      </c>
      <c r="O88" s="218">
        <f t="shared" si="15"/>
        <v>5</v>
      </c>
      <c r="P88" s="218">
        <f t="shared" si="16"/>
        <v>0</v>
      </c>
      <c r="Q88" s="218">
        <f t="shared" si="17"/>
        <v>6</v>
      </c>
      <c r="R88" s="33" t="str">
        <f>IF(SUM($P88)=0,"",INDEX(Cascade!$BG:$BG,MATCH($E88,Cascade!$E:$E,0)))</f>
        <v/>
      </c>
      <c r="S88" s="218">
        <f t="shared" si="18"/>
        <v>5</v>
      </c>
      <c r="T88" s="218" t="str">
        <f t="shared" si="19"/>
        <v/>
      </c>
      <c r="U88" s="38">
        <f>IFERROR(1/(1/INDEX(Cascade!$BH:$BH,MATCH($E88,Cascade!$E:$E,0))),"")</f>
        <v>4</v>
      </c>
      <c r="V88" s="38" t="str">
        <f t="shared" si="20"/>
        <v/>
      </c>
      <c r="W88" s="38" t="str">
        <f>IFERROR(1/(1/INDEX(PMTCT!$AC:$AC,MATCH($E88,PMTCT!$E:$E,0))),"")</f>
        <v/>
      </c>
      <c r="X88" s="38" t="str">
        <f>IFERROR(1/(1/INDEX(PMTCT!$AS:$AS,MATCH($E88,PMTCT!$E:$E,0))),"")</f>
        <v/>
      </c>
      <c r="Y88" s="38" t="str">
        <f>IFERROR(1/(1/INDEX(VMMC!$AA:$AA,MATCH($E88,VMMC!$E:$E,0))),"")</f>
        <v/>
      </c>
      <c r="Z88" s="38">
        <f t="shared" si="21"/>
        <v>4</v>
      </c>
    </row>
    <row r="89" spans="1:26" x14ac:dyDescent="0.2">
      <c r="A89" t="str">
        <f>INDEX(Prioritization!$D:$D,MATCH($B89,Prioritization!$A:$A,0))</f>
        <v>4 - Sustained</v>
      </c>
      <c r="B89" t="s">
        <v>298</v>
      </c>
      <c r="C89" t="s">
        <v>474</v>
      </c>
      <c r="D89" t="s">
        <v>30</v>
      </c>
      <c r="E89" t="str">
        <f t="shared" si="13"/>
        <v>Dedza District [PekKUkKHAzY]|10-14|Female</v>
      </c>
      <c r="F89" s="38">
        <v>4</v>
      </c>
      <c r="G89" s="33">
        <v>0.39</v>
      </c>
      <c r="H89" s="218">
        <f t="shared" si="14"/>
        <v>6</v>
      </c>
      <c r="I89" s="38"/>
      <c r="J89" s="33"/>
      <c r="K89" s="33">
        <v>0.45</v>
      </c>
      <c r="L89" s="33"/>
      <c r="M89" s="33">
        <v>0.06</v>
      </c>
      <c r="N89" s="38">
        <f t="shared" si="12"/>
        <v>6</v>
      </c>
      <c r="O89" s="218">
        <f t="shared" si="15"/>
        <v>3</v>
      </c>
      <c r="P89" s="218">
        <f t="shared" si="16"/>
        <v>0</v>
      </c>
      <c r="Q89" s="218">
        <f t="shared" si="17"/>
        <v>3</v>
      </c>
      <c r="R89" s="33" t="str">
        <f>IF(SUM($P89)=0,"",INDEX(Cascade!$BG:$BG,MATCH($E89,Cascade!$E:$E,0)))</f>
        <v/>
      </c>
      <c r="S89" s="218">
        <f t="shared" si="18"/>
        <v>3</v>
      </c>
      <c r="T89" s="218" t="str">
        <f t="shared" si="19"/>
        <v/>
      </c>
      <c r="U89" s="38">
        <f>IFERROR(1/(1/INDEX(Cascade!$BH:$BH,MATCH($E89,Cascade!$E:$E,0))),"")</f>
        <v>25</v>
      </c>
      <c r="V89" s="38" t="str">
        <f t="shared" si="20"/>
        <v/>
      </c>
      <c r="W89" s="38" t="str">
        <f>IFERROR(1/(1/INDEX(PMTCT!$AC:$AC,MATCH($E89,PMTCT!$E:$E,0))),"")</f>
        <v/>
      </c>
      <c r="X89" s="38" t="str">
        <f>IFERROR(1/(1/INDEX(PMTCT!$AS:$AS,MATCH($E89,PMTCT!$E:$E,0))),"")</f>
        <v/>
      </c>
      <c r="Y89" s="38" t="str">
        <f>IFERROR(1/(1/INDEX(VMMC!$AA:$AA,MATCH($E89,VMMC!$E:$E,0))),"")</f>
        <v/>
      </c>
      <c r="Z89" s="38">
        <f t="shared" si="21"/>
        <v>25</v>
      </c>
    </row>
    <row r="90" spans="1:26" x14ac:dyDescent="0.2">
      <c r="A90" t="str">
        <f>INDEX(Prioritization!$D:$D,MATCH($B90,Prioritization!$A:$A,0))</f>
        <v>4 - Sustained</v>
      </c>
      <c r="B90" t="s">
        <v>298</v>
      </c>
      <c r="C90" t="s">
        <v>474</v>
      </c>
      <c r="D90" t="s">
        <v>48</v>
      </c>
      <c r="E90" t="str">
        <f t="shared" si="13"/>
        <v>Dedza District [PekKUkKHAzY]|10-14|Male</v>
      </c>
      <c r="F90" s="38">
        <v>4</v>
      </c>
      <c r="G90" s="33">
        <v>0.39</v>
      </c>
      <c r="H90" s="218">
        <f t="shared" si="14"/>
        <v>6</v>
      </c>
      <c r="I90" s="38"/>
      <c r="J90" s="33"/>
      <c r="K90" s="33">
        <v>0.45</v>
      </c>
      <c r="L90" s="33"/>
      <c r="M90" s="33">
        <v>0.06</v>
      </c>
      <c r="N90" s="38">
        <f t="shared" si="12"/>
        <v>6</v>
      </c>
      <c r="O90" s="218">
        <f t="shared" si="15"/>
        <v>3</v>
      </c>
      <c r="P90" s="218">
        <f t="shared" si="16"/>
        <v>0</v>
      </c>
      <c r="Q90" s="218">
        <f t="shared" si="17"/>
        <v>3</v>
      </c>
      <c r="R90" s="33" t="str">
        <f>IF(SUM($P90)=0,"",INDEX(Cascade!$BG:$BG,MATCH($E90,Cascade!$E:$E,0)))</f>
        <v/>
      </c>
      <c r="S90" s="218">
        <f t="shared" si="18"/>
        <v>3</v>
      </c>
      <c r="T90" s="218" t="str">
        <f t="shared" si="19"/>
        <v/>
      </c>
      <c r="U90" s="38">
        <f>IFERROR(1/(1/INDEX(Cascade!$BH:$BH,MATCH($E90,Cascade!$E:$E,0))),"")</f>
        <v>5</v>
      </c>
      <c r="V90" s="38" t="str">
        <f t="shared" si="20"/>
        <v/>
      </c>
      <c r="W90" s="38" t="str">
        <f>IFERROR(1/(1/INDEX(PMTCT!$AC:$AC,MATCH($E90,PMTCT!$E:$E,0))),"")</f>
        <v/>
      </c>
      <c r="X90" s="38" t="str">
        <f>IFERROR(1/(1/INDEX(PMTCT!$AS:$AS,MATCH($E90,PMTCT!$E:$E,0))),"")</f>
        <v/>
      </c>
      <c r="Y90" s="38" t="str">
        <f>IFERROR(1/(1/INDEX(VMMC!$AA:$AA,MATCH($E90,VMMC!$E:$E,0))),"")</f>
        <v/>
      </c>
      <c r="Z90" s="38">
        <f t="shared" si="21"/>
        <v>5</v>
      </c>
    </row>
    <row r="91" spans="1:26" x14ac:dyDescent="0.2">
      <c r="A91" t="str">
        <f>INDEX(Prioritization!$D:$D,MATCH($B91,Prioritization!$A:$A,0))</f>
        <v>4 - Sustained</v>
      </c>
      <c r="B91" t="s">
        <v>298</v>
      </c>
      <c r="C91" t="s">
        <v>475</v>
      </c>
      <c r="D91" t="s">
        <v>30</v>
      </c>
      <c r="E91" t="str">
        <f t="shared" si="13"/>
        <v>Dedza District [PekKUkKHAzY]|15-24|Female</v>
      </c>
      <c r="F91" s="38">
        <v>24</v>
      </c>
      <c r="G91" s="33">
        <v>0.39</v>
      </c>
      <c r="H91" s="218">
        <f t="shared" si="14"/>
        <v>33</v>
      </c>
      <c r="I91" s="38">
        <v>1</v>
      </c>
      <c r="J91" s="33"/>
      <c r="K91" s="33">
        <v>0.45</v>
      </c>
      <c r="L91" s="33"/>
      <c r="M91" s="33">
        <v>0.06</v>
      </c>
      <c r="N91" s="38">
        <f t="shared" si="12"/>
        <v>33</v>
      </c>
      <c r="O91" s="218">
        <f t="shared" si="15"/>
        <v>15</v>
      </c>
      <c r="P91" s="218">
        <f t="shared" si="16"/>
        <v>1</v>
      </c>
      <c r="Q91" s="218">
        <f t="shared" si="17"/>
        <v>17</v>
      </c>
      <c r="R91" s="33">
        <f>IF(SUM($P91)=0,"",INDEX(Cascade!$BG:$BG,MATCH($E91,Cascade!$E:$E,0)))</f>
        <v>0.95</v>
      </c>
      <c r="S91" s="218">
        <f t="shared" si="18"/>
        <v>15</v>
      </c>
      <c r="T91" s="218">
        <f t="shared" si="19"/>
        <v>1</v>
      </c>
      <c r="U91" s="38">
        <f>IFERROR(1/(1/INDEX(Cascade!$BH:$BH,MATCH($E91,Cascade!$E:$E,0))),"")</f>
        <v>122</v>
      </c>
      <c r="V91" s="38">
        <f t="shared" si="20"/>
        <v>1</v>
      </c>
      <c r="W91" s="38">
        <f>IFERROR(1/(1/INDEX(PMTCT!$AC:$AC,MATCH($E91,PMTCT!$E:$E,0))),"")</f>
        <v>34</v>
      </c>
      <c r="X91" s="38">
        <f>IFERROR(1/(1/INDEX(PMTCT!$AS:$AS,MATCH($E91,PMTCT!$E:$E,0))),"")</f>
        <v>27</v>
      </c>
      <c r="Y91" s="38" t="str">
        <f>IFERROR(1/(1/INDEX(VMMC!$AA:$AA,MATCH($E91,VMMC!$E:$E,0))),"")</f>
        <v/>
      </c>
      <c r="Z91" s="38">
        <f t="shared" si="21"/>
        <v>60</v>
      </c>
    </row>
    <row r="92" spans="1:26" x14ac:dyDescent="0.2">
      <c r="A92" t="str">
        <f>INDEX(Prioritization!$D:$D,MATCH($B92,Prioritization!$A:$A,0))</f>
        <v>4 - Sustained</v>
      </c>
      <c r="B92" t="s">
        <v>298</v>
      </c>
      <c r="C92" t="s">
        <v>475</v>
      </c>
      <c r="D92" t="s">
        <v>48</v>
      </c>
      <c r="E92" t="str">
        <f t="shared" si="13"/>
        <v>Dedza District [PekKUkKHAzY]|15-24|Male</v>
      </c>
      <c r="F92" s="38">
        <v>40</v>
      </c>
      <c r="G92" s="33">
        <v>0.39</v>
      </c>
      <c r="H92" s="218">
        <f t="shared" si="14"/>
        <v>56</v>
      </c>
      <c r="I92" s="38">
        <v>1</v>
      </c>
      <c r="J92" s="33"/>
      <c r="K92" s="33">
        <v>0.45</v>
      </c>
      <c r="L92" s="33"/>
      <c r="M92" s="33">
        <v>0.06</v>
      </c>
      <c r="N92" s="38">
        <f t="shared" ref="N92:N134" si="22">ROUND($H92*0.99,0)</f>
        <v>55</v>
      </c>
      <c r="O92" s="218">
        <f t="shared" si="15"/>
        <v>25</v>
      </c>
      <c r="P92" s="218">
        <f t="shared" si="16"/>
        <v>2</v>
      </c>
      <c r="Q92" s="218">
        <f t="shared" si="17"/>
        <v>28</v>
      </c>
      <c r="R92" s="33">
        <f>IF(SUM($P92)=0,"",INDEX(Cascade!$BG:$BG,MATCH($E92,Cascade!$E:$E,0)))</f>
        <v>0.95</v>
      </c>
      <c r="S92" s="218">
        <f t="shared" si="18"/>
        <v>25</v>
      </c>
      <c r="T92" s="218">
        <f t="shared" si="19"/>
        <v>2</v>
      </c>
      <c r="U92" s="38">
        <f>IFERROR(1/(1/INDEX(Cascade!$BH:$BH,MATCH($E92,Cascade!$E:$E,0))),"")</f>
        <v>21</v>
      </c>
      <c r="V92" s="38">
        <f t="shared" si="20"/>
        <v>2</v>
      </c>
      <c r="W92" s="38" t="str">
        <f>IFERROR(1/(1/INDEX(PMTCT!$AC:$AC,MATCH($E92,PMTCT!$E:$E,0))),"")</f>
        <v/>
      </c>
      <c r="X92" s="38" t="str">
        <f>IFERROR(1/(1/INDEX(PMTCT!$AS:$AS,MATCH($E92,PMTCT!$E:$E,0))),"")</f>
        <v/>
      </c>
      <c r="Y92" s="38" t="str">
        <f>IFERROR(1/(1/INDEX(VMMC!$AA:$AA,MATCH($E92,VMMC!$E:$E,0))),"")</f>
        <v/>
      </c>
      <c r="Z92" s="38">
        <f t="shared" si="21"/>
        <v>19</v>
      </c>
    </row>
    <row r="93" spans="1:26" x14ac:dyDescent="0.2">
      <c r="A93" t="str">
        <f>INDEX(Prioritization!$D:$D,MATCH($B93,Prioritization!$A:$A,0))</f>
        <v>4 - Sustained</v>
      </c>
      <c r="B93" t="s">
        <v>298</v>
      </c>
      <c r="C93" t="s">
        <v>476</v>
      </c>
      <c r="D93" t="s">
        <v>30</v>
      </c>
      <c r="E93" t="str">
        <f t="shared" si="13"/>
        <v>Dedza District [PekKUkKHAzY]|25-34|Female</v>
      </c>
      <c r="F93" s="38">
        <v>24</v>
      </c>
      <c r="G93" s="33">
        <v>0.39</v>
      </c>
      <c r="H93" s="218">
        <f t="shared" si="14"/>
        <v>33</v>
      </c>
      <c r="I93" s="38">
        <v>1</v>
      </c>
      <c r="J93" s="33"/>
      <c r="K93" s="33">
        <v>0.45</v>
      </c>
      <c r="L93" s="33"/>
      <c r="M93" s="33">
        <v>0.06</v>
      </c>
      <c r="N93" s="38">
        <f t="shared" si="22"/>
        <v>33</v>
      </c>
      <c r="O93" s="218">
        <f t="shared" si="15"/>
        <v>15</v>
      </c>
      <c r="P93" s="218">
        <f t="shared" si="16"/>
        <v>1</v>
      </c>
      <c r="Q93" s="218">
        <f t="shared" si="17"/>
        <v>17</v>
      </c>
      <c r="R93" s="33">
        <f>IF(SUM($P93)=0,"",INDEX(Cascade!$BG:$BG,MATCH($E93,Cascade!$E:$E,0)))</f>
        <v>0.95</v>
      </c>
      <c r="S93" s="218">
        <f t="shared" si="18"/>
        <v>15</v>
      </c>
      <c r="T93" s="218">
        <f t="shared" si="19"/>
        <v>1</v>
      </c>
      <c r="U93" s="38">
        <f>IFERROR(1/(1/INDEX(Cascade!$BH:$BH,MATCH($E93,Cascade!$E:$E,0))),"")</f>
        <v>319</v>
      </c>
      <c r="V93" s="38">
        <f t="shared" si="20"/>
        <v>1</v>
      </c>
      <c r="W93" s="38">
        <f>IFERROR(1/(1/INDEX(PMTCT!$AC:$AC,MATCH($E93,PMTCT!$E:$E,0))),"")</f>
        <v>104</v>
      </c>
      <c r="X93" s="38">
        <f>IFERROR(1/(1/INDEX(PMTCT!$AS:$AS,MATCH($E93,PMTCT!$E:$E,0))),"")</f>
        <v>38</v>
      </c>
      <c r="Y93" s="38" t="str">
        <f>IFERROR(1/(1/INDEX(VMMC!$AA:$AA,MATCH($E93,VMMC!$E:$E,0))),"")</f>
        <v/>
      </c>
      <c r="Z93" s="38">
        <f t="shared" si="21"/>
        <v>176</v>
      </c>
    </row>
    <row r="94" spans="1:26" x14ac:dyDescent="0.2">
      <c r="A94" t="str">
        <f>INDEX(Prioritization!$D:$D,MATCH($B94,Prioritization!$A:$A,0))</f>
        <v>4 - Sustained</v>
      </c>
      <c r="B94" t="s">
        <v>298</v>
      </c>
      <c r="C94" t="s">
        <v>476</v>
      </c>
      <c r="D94" t="s">
        <v>48</v>
      </c>
      <c r="E94" t="str">
        <f t="shared" si="13"/>
        <v>Dedza District [PekKUkKHAzY]|25-34|Male</v>
      </c>
      <c r="F94" s="38">
        <v>41</v>
      </c>
      <c r="G94" s="33">
        <v>0.39</v>
      </c>
      <c r="H94" s="218">
        <f t="shared" si="14"/>
        <v>57</v>
      </c>
      <c r="I94" s="38">
        <v>1</v>
      </c>
      <c r="J94" s="33"/>
      <c r="K94" s="33">
        <v>0.45</v>
      </c>
      <c r="L94" s="33"/>
      <c r="M94" s="33">
        <v>0.06</v>
      </c>
      <c r="N94" s="38">
        <f t="shared" si="22"/>
        <v>56</v>
      </c>
      <c r="O94" s="218">
        <f t="shared" si="15"/>
        <v>25</v>
      </c>
      <c r="P94" s="218">
        <f t="shared" si="16"/>
        <v>2</v>
      </c>
      <c r="Q94" s="218">
        <f t="shared" si="17"/>
        <v>29</v>
      </c>
      <c r="R94" s="33">
        <f>IF(SUM($P94)=0,"",INDEX(Cascade!$BG:$BG,MATCH($E94,Cascade!$E:$E,0)))</f>
        <v>0.95</v>
      </c>
      <c r="S94" s="218">
        <f t="shared" si="18"/>
        <v>25</v>
      </c>
      <c r="T94" s="218">
        <f t="shared" si="19"/>
        <v>2</v>
      </c>
      <c r="U94" s="38">
        <f>IFERROR(1/(1/INDEX(Cascade!$BH:$BH,MATCH($E94,Cascade!$E:$E,0))),"")</f>
        <v>9</v>
      </c>
      <c r="V94" s="38">
        <f t="shared" si="20"/>
        <v>2</v>
      </c>
      <c r="W94" s="38" t="str">
        <f>IFERROR(1/(1/INDEX(PMTCT!$AC:$AC,MATCH($E94,PMTCT!$E:$E,0))),"")</f>
        <v/>
      </c>
      <c r="X94" s="38" t="str">
        <f>IFERROR(1/(1/INDEX(PMTCT!$AS:$AS,MATCH($E94,PMTCT!$E:$E,0))),"")</f>
        <v/>
      </c>
      <c r="Y94" s="38" t="str">
        <f>IFERROR(1/(1/INDEX(VMMC!$AA:$AA,MATCH($E94,VMMC!$E:$E,0))),"")</f>
        <v/>
      </c>
      <c r="Z94" s="38">
        <f t="shared" si="21"/>
        <v>7</v>
      </c>
    </row>
    <row r="95" spans="1:26" x14ac:dyDescent="0.2">
      <c r="A95" t="str">
        <f>INDEX(Prioritization!$D:$D,MATCH($B95,Prioritization!$A:$A,0))</f>
        <v>4 - Sustained</v>
      </c>
      <c r="B95" t="s">
        <v>298</v>
      </c>
      <c r="C95" t="s">
        <v>477</v>
      </c>
      <c r="D95" t="s">
        <v>30</v>
      </c>
      <c r="E95" t="str">
        <f t="shared" si="13"/>
        <v>Dedza District [PekKUkKHAzY]|35-49|Female</v>
      </c>
      <c r="F95" s="38">
        <v>36</v>
      </c>
      <c r="G95" s="33">
        <v>0.39</v>
      </c>
      <c r="H95" s="218">
        <f t="shared" si="14"/>
        <v>50</v>
      </c>
      <c r="I95" s="38">
        <v>1</v>
      </c>
      <c r="J95" s="33"/>
      <c r="K95" s="33">
        <v>0.45</v>
      </c>
      <c r="L95" s="33"/>
      <c r="M95" s="33">
        <v>0.06</v>
      </c>
      <c r="N95" s="38">
        <f t="shared" si="22"/>
        <v>50</v>
      </c>
      <c r="O95" s="218">
        <f t="shared" si="15"/>
        <v>23</v>
      </c>
      <c r="P95" s="218">
        <f t="shared" si="16"/>
        <v>2</v>
      </c>
      <c r="Q95" s="218">
        <f t="shared" si="17"/>
        <v>25</v>
      </c>
      <c r="R95" s="33">
        <f>IF(SUM($P95)=0,"",INDEX(Cascade!$BG:$BG,MATCH($E95,Cascade!$E:$E,0)))</f>
        <v>0.95</v>
      </c>
      <c r="S95" s="218">
        <f t="shared" si="18"/>
        <v>23</v>
      </c>
      <c r="T95" s="218">
        <f t="shared" si="19"/>
        <v>2</v>
      </c>
      <c r="U95" s="38">
        <f>IFERROR(1/(1/INDEX(Cascade!$BH:$BH,MATCH($E95,Cascade!$E:$E,0))),"")</f>
        <v>137</v>
      </c>
      <c r="V95" s="38">
        <f t="shared" si="20"/>
        <v>2</v>
      </c>
      <c r="W95" s="38">
        <f>IFERROR(1/(1/INDEX(PMTCT!$AC:$AC,MATCH($E95,PMTCT!$E:$E,0))),"")</f>
        <v>24</v>
      </c>
      <c r="X95" s="38">
        <f>IFERROR(1/(1/INDEX(PMTCT!$AS:$AS,MATCH($E95,PMTCT!$E:$E,0))),"")</f>
        <v>10</v>
      </c>
      <c r="Y95" s="38" t="str">
        <f>IFERROR(1/(1/INDEX(VMMC!$AA:$AA,MATCH($E95,VMMC!$E:$E,0))),"")</f>
        <v/>
      </c>
      <c r="Z95" s="38">
        <f t="shared" si="21"/>
        <v>101</v>
      </c>
    </row>
    <row r="96" spans="1:26" x14ac:dyDescent="0.2">
      <c r="A96" t="str">
        <f>INDEX(Prioritization!$D:$D,MATCH($B96,Prioritization!$A:$A,0))</f>
        <v>4 - Sustained</v>
      </c>
      <c r="B96" t="s">
        <v>298</v>
      </c>
      <c r="C96" t="s">
        <v>477</v>
      </c>
      <c r="D96" t="s">
        <v>48</v>
      </c>
      <c r="E96" t="str">
        <f t="shared" si="13"/>
        <v>Dedza District [PekKUkKHAzY]|35-49|Male</v>
      </c>
      <c r="F96" s="38">
        <v>61</v>
      </c>
      <c r="G96" s="33">
        <v>0.39</v>
      </c>
      <c r="H96" s="218">
        <f t="shared" si="14"/>
        <v>85</v>
      </c>
      <c r="I96" s="38">
        <v>2</v>
      </c>
      <c r="J96" s="33"/>
      <c r="K96" s="33">
        <v>0.45</v>
      </c>
      <c r="L96" s="33"/>
      <c r="M96" s="33">
        <v>0.06</v>
      </c>
      <c r="N96" s="38">
        <f t="shared" si="22"/>
        <v>84</v>
      </c>
      <c r="O96" s="218">
        <f t="shared" si="15"/>
        <v>38</v>
      </c>
      <c r="P96" s="218">
        <f t="shared" si="16"/>
        <v>3</v>
      </c>
      <c r="Q96" s="218">
        <f t="shared" si="17"/>
        <v>43</v>
      </c>
      <c r="R96" s="33">
        <f>IF(SUM($P96)=0,"",INDEX(Cascade!$BG:$BG,MATCH($E96,Cascade!$E:$E,0)))</f>
        <v>0.95</v>
      </c>
      <c r="S96" s="218">
        <f t="shared" si="18"/>
        <v>38</v>
      </c>
      <c r="T96" s="218">
        <f t="shared" si="19"/>
        <v>3</v>
      </c>
      <c r="U96" s="38">
        <f>IFERROR(1/(1/INDEX(Cascade!$BH:$BH,MATCH($E96,Cascade!$E:$E,0))),"")</f>
        <v>94</v>
      </c>
      <c r="V96" s="38">
        <f t="shared" si="20"/>
        <v>3</v>
      </c>
      <c r="W96" s="38" t="str">
        <f>IFERROR(1/(1/INDEX(PMTCT!$AC:$AC,MATCH($E96,PMTCT!$E:$E,0))),"")</f>
        <v/>
      </c>
      <c r="X96" s="38" t="str">
        <f>IFERROR(1/(1/INDEX(PMTCT!$AS:$AS,MATCH($E96,PMTCT!$E:$E,0))),"")</f>
        <v/>
      </c>
      <c r="Y96" s="38" t="str">
        <f>IFERROR(1/(1/INDEX(VMMC!$AA:$AA,MATCH($E96,VMMC!$E:$E,0))),"")</f>
        <v/>
      </c>
      <c r="Z96" s="38">
        <f t="shared" si="21"/>
        <v>91</v>
      </c>
    </row>
    <row r="97" spans="1:26" x14ac:dyDescent="0.2">
      <c r="A97" t="str">
        <f>INDEX(Prioritization!$D:$D,MATCH($B97,Prioritization!$A:$A,0))</f>
        <v>4 - Sustained</v>
      </c>
      <c r="B97" t="s">
        <v>298</v>
      </c>
      <c r="C97" t="s">
        <v>478</v>
      </c>
      <c r="D97" t="s">
        <v>30</v>
      </c>
      <c r="E97" t="str">
        <f t="shared" si="13"/>
        <v>Dedza District [PekKUkKHAzY]|50+|Female</v>
      </c>
      <c r="F97" s="38">
        <v>12</v>
      </c>
      <c r="G97" s="33">
        <v>0.39</v>
      </c>
      <c r="H97" s="218">
        <f t="shared" si="14"/>
        <v>17</v>
      </c>
      <c r="I97" s="38"/>
      <c r="J97" s="33"/>
      <c r="K97" s="33">
        <v>0.45</v>
      </c>
      <c r="L97" s="33"/>
      <c r="M97" s="33">
        <v>0.06</v>
      </c>
      <c r="N97" s="38">
        <f t="shared" si="22"/>
        <v>17</v>
      </c>
      <c r="O97" s="218">
        <f t="shared" si="15"/>
        <v>8</v>
      </c>
      <c r="P97" s="218">
        <f t="shared" si="16"/>
        <v>1</v>
      </c>
      <c r="Q97" s="218">
        <f t="shared" si="17"/>
        <v>8</v>
      </c>
      <c r="R97" s="33">
        <f>IF(SUM($P97)=0,"",INDEX(Cascade!$BG:$BG,MATCH($E97,Cascade!$E:$E,0)))</f>
        <v>0.95</v>
      </c>
      <c r="S97" s="218">
        <f t="shared" si="18"/>
        <v>8</v>
      </c>
      <c r="T97" s="218">
        <f t="shared" si="19"/>
        <v>1</v>
      </c>
      <c r="U97" s="38">
        <f>IFERROR(1/(1/INDEX(Cascade!$BH:$BH,MATCH($E97,Cascade!$E:$E,0))),"")</f>
        <v>81</v>
      </c>
      <c r="V97" s="38">
        <f t="shared" si="20"/>
        <v>1</v>
      </c>
      <c r="W97" s="38" t="str">
        <f>IFERROR(1/(1/INDEX(PMTCT!$AC:$AC,MATCH($E97,PMTCT!$E:$E,0))),"")</f>
        <v/>
      </c>
      <c r="X97" s="38" t="str">
        <f>IFERROR(1/(1/INDEX(PMTCT!$AS:$AS,MATCH($E97,PMTCT!$E:$E,0))),"")</f>
        <v/>
      </c>
      <c r="Y97" s="38" t="str">
        <f>IFERROR(1/(1/INDEX(VMMC!$AA:$AA,MATCH($E97,VMMC!$E:$E,0))),"")</f>
        <v/>
      </c>
      <c r="Z97" s="38">
        <f t="shared" si="21"/>
        <v>80</v>
      </c>
    </row>
    <row r="98" spans="1:26" x14ac:dyDescent="0.2">
      <c r="A98" t="str">
        <f>INDEX(Prioritization!$D:$D,MATCH($B98,Prioritization!$A:$A,0))</f>
        <v>4 - Sustained</v>
      </c>
      <c r="B98" t="s">
        <v>298</v>
      </c>
      <c r="C98" t="s">
        <v>478</v>
      </c>
      <c r="D98" t="s">
        <v>48</v>
      </c>
      <c r="E98" t="str">
        <f t="shared" si="13"/>
        <v>Dedza District [PekKUkKHAzY]|50+|Male</v>
      </c>
      <c r="F98" s="38">
        <v>20</v>
      </c>
      <c r="G98" s="33">
        <v>0.39</v>
      </c>
      <c r="H98" s="218">
        <f t="shared" si="14"/>
        <v>28</v>
      </c>
      <c r="I98" s="38">
        <v>1</v>
      </c>
      <c r="J98" s="33"/>
      <c r="K98" s="33">
        <v>0.45</v>
      </c>
      <c r="L98" s="33"/>
      <c r="M98" s="33">
        <v>0.06</v>
      </c>
      <c r="N98" s="38">
        <f t="shared" si="22"/>
        <v>28</v>
      </c>
      <c r="O98" s="218">
        <f t="shared" si="15"/>
        <v>13</v>
      </c>
      <c r="P98" s="218">
        <f t="shared" si="16"/>
        <v>1</v>
      </c>
      <c r="Q98" s="218">
        <f t="shared" si="17"/>
        <v>14</v>
      </c>
      <c r="R98" s="33">
        <f>IF(SUM($P98)=0,"",INDEX(Cascade!$BG:$BG,MATCH($E98,Cascade!$E:$E,0)))</f>
        <v>0.95</v>
      </c>
      <c r="S98" s="218">
        <f t="shared" si="18"/>
        <v>13</v>
      </c>
      <c r="T98" s="218">
        <f t="shared" si="19"/>
        <v>1</v>
      </c>
      <c r="U98" s="38">
        <f>IFERROR(1/(1/INDEX(Cascade!$BH:$BH,MATCH($E98,Cascade!$E:$E,0))),"")</f>
        <v>128</v>
      </c>
      <c r="V98" s="38">
        <f t="shared" si="20"/>
        <v>1</v>
      </c>
      <c r="W98" s="38" t="str">
        <f>IFERROR(1/(1/INDEX(PMTCT!$AC:$AC,MATCH($E98,PMTCT!$E:$E,0))),"")</f>
        <v/>
      </c>
      <c r="X98" s="38" t="str">
        <f>IFERROR(1/(1/INDEX(PMTCT!$AS:$AS,MATCH($E98,PMTCT!$E:$E,0))),"")</f>
        <v/>
      </c>
      <c r="Y98" s="38" t="str">
        <f>IFERROR(1/(1/INDEX(VMMC!$AA:$AA,MATCH($E98,VMMC!$E:$E,0))),"")</f>
        <v/>
      </c>
      <c r="Z98" s="38">
        <f t="shared" si="21"/>
        <v>127</v>
      </c>
    </row>
    <row r="99" spans="1:26" x14ac:dyDescent="0.2">
      <c r="A99" t="str">
        <f>INDEX(Prioritization!$D:$D,MATCH($B99,Prioritization!$A:$A,0))</f>
        <v>4 - Sustained</v>
      </c>
      <c r="B99" t="s">
        <v>299</v>
      </c>
      <c r="C99" t="s">
        <v>473</v>
      </c>
      <c r="D99" t="s">
        <v>30</v>
      </c>
      <c r="E99" t="str">
        <f t="shared" si="13"/>
        <v>Dowa District [zphK9WV8JB4]|01-09|Female</v>
      </c>
      <c r="F99" s="38">
        <v>2</v>
      </c>
      <c r="G99" s="33">
        <v>0.39</v>
      </c>
      <c r="H99" s="218">
        <f t="shared" si="14"/>
        <v>3</v>
      </c>
      <c r="I99" s="38"/>
      <c r="J99" s="33"/>
      <c r="K99" s="33">
        <v>0.45</v>
      </c>
      <c r="L99" s="33"/>
      <c r="M99" s="33">
        <v>0.06</v>
      </c>
      <c r="N99" s="38">
        <f t="shared" si="22"/>
        <v>3</v>
      </c>
      <c r="O99" s="218">
        <f t="shared" si="15"/>
        <v>1</v>
      </c>
      <c r="P99" s="218">
        <f t="shared" si="16"/>
        <v>0</v>
      </c>
      <c r="Q99" s="218">
        <f t="shared" si="17"/>
        <v>2</v>
      </c>
      <c r="R99" s="33" t="str">
        <f>IF(SUM($P99)=0,"",INDEX(Cascade!$BG:$BG,MATCH($E99,Cascade!$E:$E,0)))</f>
        <v/>
      </c>
      <c r="S99" s="218">
        <f t="shared" si="18"/>
        <v>1</v>
      </c>
      <c r="T99" s="218" t="str">
        <f t="shared" si="19"/>
        <v/>
      </c>
      <c r="U99" s="38">
        <f>IFERROR(1/(1/INDEX(Cascade!$BH:$BH,MATCH($E99,Cascade!$E:$E,0))),"")</f>
        <v>2</v>
      </c>
      <c r="V99" s="38" t="str">
        <f t="shared" si="20"/>
        <v/>
      </c>
      <c r="W99" s="38" t="str">
        <f>IFERROR(1/(1/INDEX(PMTCT!$AC:$AC,MATCH($E99,PMTCT!$E:$E,0))),"")</f>
        <v/>
      </c>
      <c r="X99" s="38" t="str">
        <f>IFERROR(1/(1/INDEX(PMTCT!$AS:$AS,MATCH($E99,PMTCT!$E:$E,0))),"")</f>
        <v/>
      </c>
      <c r="Y99" s="38" t="str">
        <f>IFERROR(1/(1/INDEX(VMMC!$AA:$AA,MATCH($E99,VMMC!$E:$E,0))),"")</f>
        <v/>
      </c>
      <c r="Z99" s="38">
        <f t="shared" si="21"/>
        <v>2</v>
      </c>
    </row>
    <row r="100" spans="1:26" x14ac:dyDescent="0.2">
      <c r="A100" t="str">
        <f>INDEX(Prioritization!$D:$D,MATCH($B100,Prioritization!$A:$A,0))</f>
        <v>4 - Sustained</v>
      </c>
      <c r="B100" t="s">
        <v>299</v>
      </c>
      <c r="C100" t="s">
        <v>473</v>
      </c>
      <c r="D100" t="s">
        <v>48</v>
      </c>
      <c r="E100" t="str">
        <f t="shared" si="13"/>
        <v>Dowa District [zphK9WV8JB4]|01-09|Male</v>
      </c>
      <c r="F100" s="38">
        <v>2</v>
      </c>
      <c r="G100" s="33">
        <v>0.39</v>
      </c>
      <c r="H100" s="218">
        <f t="shared" si="14"/>
        <v>3</v>
      </c>
      <c r="I100" s="38"/>
      <c r="J100" s="33"/>
      <c r="K100" s="33">
        <v>0.45</v>
      </c>
      <c r="L100" s="33"/>
      <c r="M100" s="33">
        <v>0.06</v>
      </c>
      <c r="N100" s="38">
        <f t="shared" si="22"/>
        <v>3</v>
      </c>
      <c r="O100" s="218">
        <f t="shared" si="15"/>
        <v>1</v>
      </c>
      <c r="P100" s="218">
        <f t="shared" si="16"/>
        <v>0</v>
      </c>
      <c r="Q100" s="218">
        <f t="shared" si="17"/>
        <v>2</v>
      </c>
      <c r="R100" s="33" t="str">
        <f>IF(SUM($P100)=0,"",INDEX(Cascade!$BG:$BG,MATCH($E100,Cascade!$E:$E,0)))</f>
        <v/>
      </c>
      <c r="S100" s="218">
        <f t="shared" si="18"/>
        <v>1</v>
      </c>
      <c r="T100" s="218" t="str">
        <f t="shared" si="19"/>
        <v/>
      </c>
      <c r="U100" s="38">
        <f>IFERROR(1/(1/INDEX(Cascade!$BH:$BH,MATCH($E100,Cascade!$E:$E,0))),"")</f>
        <v>2</v>
      </c>
      <c r="V100" s="38" t="str">
        <f t="shared" si="20"/>
        <v/>
      </c>
      <c r="W100" s="38" t="str">
        <f>IFERROR(1/(1/INDEX(PMTCT!$AC:$AC,MATCH($E100,PMTCT!$E:$E,0))),"")</f>
        <v/>
      </c>
      <c r="X100" s="38" t="str">
        <f>IFERROR(1/(1/INDEX(PMTCT!$AS:$AS,MATCH($E100,PMTCT!$E:$E,0))),"")</f>
        <v/>
      </c>
      <c r="Y100" s="38" t="str">
        <f>IFERROR(1/(1/INDEX(VMMC!$AA:$AA,MATCH($E100,VMMC!$E:$E,0))),"")</f>
        <v/>
      </c>
      <c r="Z100" s="38">
        <f t="shared" si="21"/>
        <v>2</v>
      </c>
    </row>
    <row r="101" spans="1:26" x14ac:dyDescent="0.2">
      <c r="A101" t="str">
        <f>INDEX(Prioritization!$D:$D,MATCH($B101,Prioritization!$A:$A,0))</f>
        <v>4 - Sustained</v>
      </c>
      <c r="B101" t="s">
        <v>299</v>
      </c>
      <c r="C101" t="s">
        <v>474</v>
      </c>
      <c r="D101" t="s">
        <v>30</v>
      </c>
      <c r="E101" t="str">
        <f t="shared" si="13"/>
        <v>Dowa District [zphK9WV8JB4]|10-14|Female</v>
      </c>
      <c r="F101" s="38">
        <v>1</v>
      </c>
      <c r="G101" s="33">
        <v>0.39</v>
      </c>
      <c r="H101" s="218">
        <f t="shared" si="14"/>
        <v>1</v>
      </c>
      <c r="I101" s="38"/>
      <c r="J101" s="33"/>
      <c r="K101" s="33">
        <v>0.45</v>
      </c>
      <c r="L101" s="33"/>
      <c r="M101" s="33">
        <v>0.06</v>
      </c>
      <c r="N101" s="38">
        <f t="shared" si="22"/>
        <v>1</v>
      </c>
      <c r="O101" s="218">
        <f t="shared" si="15"/>
        <v>0</v>
      </c>
      <c r="P101" s="218">
        <f t="shared" si="16"/>
        <v>0</v>
      </c>
      <c r="Q101" s="218">
        <f t="shared" si="17"/>
        <v>1</v>
      </c>
      <c r="R101" s="33" t="str">
        <f>IF(SUM($P101)=0,"",INDEX(Cascade!$BG:$BG,MATCH($E101,Cascade!$E:$E,0)))</f>
        <v/>
      </c>
      <c r="S101" s="218">
        <f t="shared" si="18"/>
        <v>0</v>
      </c>
      <c r="T101" s="218" t="str">
        <f t="shared" si="19"/>
        <v/>
      </c>
      <c r="U101" s="38">
        <f>IFERROR(1/(1/INDEX(Cascade!$BH:$BH,MATCH($E101,Cascade!$E:$E,0))),"")</f>
        <v>16</v>
      </c>
      <c r="V101" s="38" t="str">
        <f t="shared" si="20"/>
        <v/>
      </c>
      <c r="W101" s="38">
        <f>IFERROR(1/(1/INDEX(PMTCT!$AC:$AC,MATCH($E101,PMTCT!$E:$E,0))),"")</f>
        <v>1</v>
      </c>
      <c r="X101" s="38" t="str">
        <f>IFERROR(1/(1/INDEX(PMTCT!$AS:$AS,MATCH($E101,PMTCT!$E:$E,0))),"")</f>
        <v/>
      </c>
      <c r="Y101" s="38" t="str">
        <f>IFERROR(1/(1/INDEX(VMMC!$AA:$AA,MATCH($E101,VMMC!$E:$E,0))),"")</f>
        <v/>
      </c>
      <c r="Z101" s="38">
        <f t="shared" si="21"/>
        <v>15</v>
      </c>
    </row>
    <row r="102" spans="1:26" x14ac:dyDescent="0.2">
      <c r="A102" t="str">
        <f>INDEX(Prioritization!$D:$D,MATCH($B102,Prioritization!$A:$A,0))</f>
        <v>4 - Sustained</v>
      </c>
      <c r="B102" t="s">
        <v>299</v>
      </c>
      <c r="C102" t="s">
        <v>474</v>
      </c>
      <c r="D102" t="s">
        <v>48</v>
      </c>
      <c r="E102" t="str">
        <f t="shared" si="13"/>
        <v>Dowa District [zphK9WV8JB4]|10-14|Male</v>
      </c>
      <c r="F102" s="38">
        <v>1</v>
      </c>
      <c r="G102" s="33">
        <v>0.39</v>
      </c>
      <c r="H102" s="218">
        <f t="shared" si="14"/>
        <v>1</v>
      </c>
      <c r="I102" s="38"/>
      <c r="J102" s="33"/>
      <c r="K102" s="33">
        <v>0.45</v>
      </c>
      <c r="L102" s="33"/>
      <c r="M102" s="33">
        <v>0.06</v>
      </c>
      <c r="N102" s="38">
        <f t="shared" si="22"/>
        <v>1</v>
      </c>
      <c r="O102" s="218">
        <f t="shared" si="15"/>
        <v>0</v>
      </c>
      <c r="P102" s="218">
        <f t="shared" si="16"/>
        <v>0</v>
      </c>
      <c r="Q102" s="218">
        <f t="shared" si="17"/>
        <v>1</v>
      </c>
      <c r="R102" s="33" t="str">
        <f>IF(SUM($P102)=0,"",INDEX(Cascade!$BG:$BG,MATCH($E102,Cascade!$E:$E,0)))</f>
        <v/>
      </c>
      <c r="S102" s="218">
        <f t="shared" si="18"/>
        <v>0</v>
      </c>
      <c r="T102" s="218" t="str">
        <f t="shared" si="19"/>
        <v/>
      </c>
      <c r="U102" s="38">
        <f>IFERROR(1/(1/INDEX(Cascade!$BH:$BH,MATCH($E102,Cascade!$E:$E,0))),"")</f>
        <v>3</v>
      </c>
      <c r="V102" s="38" t="str">
        <f t="shared" si="20"/>
        <v/>
      </c>
      <c r="W102" s="38" t="str">
        <f>IFERROR(1/(1/INDEX(PMTCT!$AC:$AC,MATCH($E102,PMTCT!$E:$E,0))),"")</f>
        <v/>
      </c>
      <c r="X102" s="38" t="str">
        <f>IFERROR(1/(1/INDEX(PMTCT!$AS:$AS,MATCH($E102,PMTCT!$E:$E,0))),"")</f>
        <v/>
      </c>
      <c r="Y102" s="38" t="str">
        <f>IFERROR(1/(1/INDEX(VMMC!$AA:$AA,MATCH($E102,VMMC!$E:$E,0))),"")</f>
        <v/>
      </c>
      <c r="Z102" s="38">
        <f t="shared" si="21"/>
        <v>3</v>
      </c>
    </row>
    <row r="103" spans="1:26" x14ac:dyDescent="0.2">
      <c r="A103" t="str">
        <f>INDEX(Prioritization!$D:$D,MATCH($B103,Prioritization!$A:$A,0))</f>
        <v>4 - Sustained</v>
      </c>
      <c r="B103" t="s">
        <v>299</v>
      </c>
      <c r="C103" t="s">
        <v>475</v>
      </c>
      <c r="D103" t="s">
        <v>30</v>
      </c>
      <c r="E103" t="str">
        <f t="shared" si="13"/>
        <v>Dowa District [zphK9WV8JB4]|15-24|Female</v>
      </c>
      <c r="F103" s="38">
        <v>16</v>
      </c>
      <c r="G103" s="33">
        <v>0.39</v>
      </c>
      <c r="H103" s="218">
        <f t="shared" si="14"/>
        <v>22</v>
      </c>
      <c r="I103" s="38"/>
      <c r="J103" s="33"/>
      <c r="K103" s="33">
        <v>0.45</v>
      </c>
      <c r="L103" s="33"/>
      <c r="M103" s="33">
        <v>0.06</v>
      </c>
      <c r="N103" s="38">
        <f t="shared" si="22"/>
        <v>22</v>
      </c>
      <c r="O103" s="218">
        <f t="shared" si="15"/>
        <v>10</v>
      </c>
      <c r="P103" s="218">
        <f t="shared" si="16"/>
        <v>1</v>
      </c>
      <c r="Q103" s="218">
        <f t="shared" si="17"/>
        <v>11</v>
      </c>
      <c r="R103" s="33">
        <f>IF(SUM($P103)=0,"",INDEX(Cascade!$BG:$BG,MATCH($E103,Cascade!$E:$E,0)))</f>
        <v>0.95</v>
      </c>
      <c r="S103" s="218">
        <f t="shared" si="18"/>
        <v>10</v>
      </c>
      <c r="T103" s="218">
        <f t="shared" si="19"/>
        <v>1</v>
      </c>
      <c r="U103" s="38">
        <f>IFERROR(1/(1/INDEX(Cascade!$BH:$BH,MATCH($E103,Cascade!$E:$E,0))),"")</f>
        <v>54</v>
      </c>
      <c r="V103" s="38">
        <f t="shared" si="20"/>
        <v>1</v>
      </c>
      <c r="W103" s="38">
        <f>IFERROR(1/(1/INDEX(PMTCT!$AC:$AC,MATCH($E103,PMTCT!$E:$E,0))),"")</f>
        <v>18</v>
      </c>
      <c r="X103" s="38">
        <f>IFERROR(1/(1/INDEX(PMTCT!$AS:$AS,MATCH($E103,PMTCT!$E:$E,0))),"")</f>
        <v>19</v>
      </c>
      <c r="Y103" s="38" t="str">
        <f>IFERROR(1/(1/INDEX(VMMC!$AA:$AA,MATCH($E103,VMMC!$E:$E,0))),"")</f>
        <v/>
      </c>
      <c r="Z103" s="38">
        <f t="shared" si="21"/>
        <v>16</v>
      </c>
    </row>
    <row r="104" spans="1:26" x14ac:dyDescent="0.2">
      <c r="A104" t="str">
        <f>INDEX(Prioritization!$D:$D,MATCH($B104,Prioritization!$A:$A,0))</f>
        <v>4 - Sustained</v>
      </c>
      <c r="B104" t="s">
        <v>299</v>
      </c>
      <c r="C104" t="s">
        <v>475</v>
      </c>
      <c r="D104" t="s">
        <v>48</v>
      </c>
      <c r="E104" t="str">
        <f t="shared" si="13"/>
        <v>Dowa District [zphK9WV8JB4]|15-24|Male</v>
      </c>
      <c r="F104" s="38">
        <v>22</v>
      </c>
      <c r="G104" s="33">
        <v>0.39</v>
      </c>
      <c r="H104" s="218">
        <f t="shared" si="14"/>
        <v>31</v>
      </c>
      <c r="I104" s="38">
        <v>1</v>
      </c>
      <c r="J104" s="33"/>
      <c r="K104" s="33">
        <v>0.45</v>
      </c>
      <c r="L104" s="33"/>
      <c r="M104" s="33">
        <v>0.06</v>
      </c>
      <c r="N104" s="38">
        <f t="shared" si="22"/>
        <v>31</v>
      </c>
      <c r="O104" s="218">
        <f t="shared" si="15"/>
        <v>14</v>
      </c>
      <c r="P104" s="218">
        <f t="shared" si="16"/>
        <v>1</v>
      </c>
      <c r="Q104" s="218">
        <f t="shared" si="17"/>
        <v>16</v>
      </c>
      <c r="R104" s="33">
        <f>IF(SUM($P104)=0,"",INDEX(Cascade!$BG:$BG,MATCH($E104,Cascade!$E:$E,0)))</f>
        <v>0.95</v>
      </c>
      <c r="S104" s="218">
        <f t="shared" si="18"/>
        <v>14</v>
      </c>
      <c r="T104" s="218">
        <f t="shared" si="19"/>
        <v>1</v>
      </c>
      <c r="U104" s="38">
        <f>IFERROR(1/(1/INDEX(Cascade!$BH:$BH,MATCH($E104,Cascade!$E:$E,0))),"")</f>
        <v>8</v>
      </c>
      <c r="V104" s="38">
        <f t="shared" si="20"/>
        <v>1</v>
      </c>
      <c r="W104" s="38" t="str">
        <f>IFERROR(1/(1/INDEX(PMTCT!$AC:$AC,MATCH($E104,PMTCT!$E:$E,0))),"")</f>
        <v/>
      </c>
      <c r="X104" s="38" t="str">
        <f>IFERROR(1/(1/INDEX(PMTCT!$AS:$AS,MATCH($E104,PMTCT!$E:$E,0))),"")</f>
        <v/>
      </c>
      <c r="Y104" s="38" t="str">
        <f>IFERROR(1/(1/INDEX(VMMC!$AA:$AA,MATCH($E104,VMMC!$E:$E,0))),"")</f>
        <v/>
      </c>
      <c r="Z104" s="38">
        <f t="shared" si="21"/>
        <v>7</v>
      </c>
    </row>
    <row r="105" spans="1:26" x14ac:dyDescent="0.2">
      <c r="A105" t="str">
        <f>INDEX(Prioritization!$D:$D,MATCH($B105,Prioritization!$A:$A,0))</f>
        <v>4 - Sustained</v>
      </c>
      <c r="B105" t="s">
        <v>299</v>
      </c>
      <c r="C105" t="s">
        <v>476</v>
      </c>
      <c r="D105" t="s">
        <v>30</v>
      </c>
      <c r="E105" t="str">
        <f t="shared" si="13"/>
        <v>Dowa District [zphK9WV8JB4]|25-34|Female</v>
      </c>
      <c r="F105" s="38">
        <v>16</v>
      </c>
      <c r="G105" s="33">
        <v>0.39</v>
      </c>
      <c r="H105" s="218">
        <f t="shared" si="14"/>
        <v>22</v>
      </c>
      <c r="I105" s="38"/>
      <c r="J105" s="33"/>
      <c r="K105" s="33">
        <v>0.45</v>
      </c>
      <c r="L105" s="33"/>
      <c r="M105" s="33">
        <v>0.06</v>
      </c>
      <c r="N105" s="38">
        <f t="shared" si="22"/>
        <v>22</v>
      </c>
      <c r="O105" s="218">
        <f t="shared" si="15"/>
        <v>10</v>
      </c>
      <c r="P105" s="218">
        <f t="shared" si="16"/>
        <v>1</v>
      </c>
      <c r="Q105" s="218">
        <f t="shared" si="17"/>
        <v>11</v>
      </c>
      <c r="R105" s="33">
        <f>IF(SUM($P105)=0,"",INDEX(Cascade!$BG:$BG,MATCH($E105,Cascade!$E:$E,0)))</f>
        <v>0.95</v>
      </c>
      <c r="S105" s="218">
        <f t="shared" si="18"/>
        <v>10</v>
      </c>
      <c r="T105" s="218">
        <f t="shared" si="19"/>
        <v>1</v>
      </c>
      <c r="U105" s="38">
        <f>IFERROR(1/(1/INDEX(Cascade!$BH:$BH,MATCH($E105,Cascade!$E:$E,0))),"")</f>
        <v>187</v>
      </c>
      <c r="V105" s="38">
        <f t="shared" si="20"/>
        <v>1</v>
      </c>
      <c r="W105" s="38">
        <f>IFERROR(1/(1/INDEX(PMTCT!$AC:$AC,MATCH($E105,PMTCT!$E:$E,0))),"")</f>
        <v>57</v>
      </c>
      <c r="X105" s="38">
        <f>IFERROR(1/(1/INDEX(PMTCT!$AS:$AS,MATCH($E105,PMTCT!$E:$E,0))),"")</f>
        <v>29</v>
      </c>
      <c r="Y105" s="38" t="str">
        <f>IFERROR(1/(1/INDEX(VMMC!$AA:$AA,MATCH($E105,VMMC!$E:$E,0))),"")</f>
        <v/>
      </c>
      <c r="Z105" s="38">
        <f t="shared" si="21"/>
        <v>100</v>
      </c>
    </row>
    <row r="106" spans="1:26" x14ac:dyDescent="0.2">
      <c r="A106" t="str">
        <f>INDEX(Prioritization!$D:$D,MATCH($B106,Prioritization!$A:$A,0))</f>
        <v>4 - Sustained</v>
      </c>
      <c r="B106" t="s">
        <v>299</v>
      </c>
      <c r="C106" t="s">
        <v>476</v>
      </c>
      <c r="D106" t="s">
        <v>48</v>
      </c>
      <c r="E106" t="str">
        <f t="shared" si="13"/>
        <v>Dowa District [zphK9WV8JB4]|25-34|Male</v>
      </c>
      <c r="F106" s="38">
        <v>22</v>
      </c>
      <c r="G106" s="33">
        <v>0.39</v>
      </c>
      <c r="H106" s="218">
        <f t="shared" si="14"/>
        <v>31</v>
      </c>
      <c r="I106" s="38">
        <v>1</v>
      </c>
      <c r="J106" s="33"/>
      <c r="K106" s="33">
        <v>0.45</v>
      </c>
      <c r="L106" s="33"/>
      <c r="M106" s="33">
        <v>0.06</v>
      </c>
      <c r="N106" s="38">
        <f t="shared" si="22"/>
        <v>31</v>
      </c>
      <c r="O106" s="218">
        <f t="shared" si="15"/>
        <v>14</v>
      </c>
      <c r="P106" s="218">
        <f t="shared" si="16"/>
        <v>1</v>
      </c>
      <c r="Q106" s="218">
        <f t="shared" si="17"/>
        <v>16</v>
      </c>
      <c r="R106" s="33">
        <f>IF(SUM($P106)=0,"",INDEX(Cascade!$BG:$BG,MATCH($E106,Cascade!$E:$E,0)))</f>
        <v>0.95</v>
      </c>
      <c r="S106" s="218">
        <f t="shared" si="18"/>
        <v>14</v>
      </c>
      <c r="T106" s="218">
        <f t="shared" si="19"/>
        <v>1</v>
      </c>
      <c r="U106" s="38">
        <f>IFERROR(1/(1/INDEX(Cascade!$BH:$BH,MATCH($E106,Cascade!$E:$E,0))),"")</f>
        <v>12</v>
      </c>
      <c r="V106" s="38">
        <f t="shared" si="20"/>
        <v>1</v>
      </c>
      <c r="W106" s="38" t="str">
        <f>IFERROR(1/(1/INDEX(PMTCT!$AC:$AC,MATCH($E106,PMTCT!$E:$E,0))),"")</f>
        <v/>
      </c>
      <c r="X106" s="38" t="str">
        <f>IFERROR(1/(1/INDEX(PMTCT!$AS:$AS,MATCH($E106,PMTCT!$E:$E,0))),"")</f>
        <v/>
      </c>
      <c r="Y106" s="38" t="str">
        <f>IFERROR(1/(1/INDEX(VMMC!$AA:$AA,MATCH($E106,VMMC!$E:$E,0))),"")</f>
        <v/>
      </c>
      <c r="Z106" s="38">
        <f t="shared" si="21"/>
        <v>11</v>
      </c>
    </row>
    <row r="107" spans="1:26" x14ac:dyDescent="0.2">
      <c r="A107" t="str">
        <f>INDEX(Prioritization!$D:$D,MATCH($B107,Prioritization!$A:$A,0))</f>
        <v>4 - Sustained</v>
      </c>
      <c r="B107" t="s">
        <v>299</v>
      </c>
      <c r="C107" t="s">
        <v>477</v>
      </c>
      <c r="D107" t="s">
        <v>30</v>
      </c>
      <c r="E107" t="str">
        <f t="shared" si="13"/>
        <v>Dowa District [zphK9WV8JB4]|35-49|Female</v>
      </c>
      <c r="F107" s="38">
        <v>24</v>
      </c>
      <c r="G107" s="33">
        <v>0.39</v>
      </c>
      <c r="H107" s="218">
        <f t="shared" si="14"/>
        <v>33</v>
      </c>
      <c r="I107" s="38">
        <v>1</v>
      </c>
      <c r="J107" s="33"/>
      <c r="K107" s="33">
        <v>0.45</v>
      </c>
      <c r="L107" s="33"/>
      <c r="M107" s="33">
        <v>0.06</v>
      </c>
      <c r="N107" s="38">
        <f t="shared" si="22"/>
        <v>33</v>
      </c>
      <c r="O107" s="218">
        <f t="shared" si="15"/>
        <v>15</v>
      </c>
      <c r="P107" s="218">
        <f t="shared" si="16"/>
        <v>1</v>
      </c>
      <c r="Q107" s="218">
        <f t="shared" si="17"/>
        <v>17</v>
      </c>
      <c r="R107" s="33">
        <f>IF(SUM($P107)=0,"",INDEX(Cascade!$BG:$BG,MATCH($E107,Cascade!$E:$E,0)))</f>
        <v>0.95</v>
      </c>
      <c r="S107" s="218">
        <f t="shared" si="18"/>
        <v>15</v>
      </c>
      <c r="T107" s="218">
        <f t="shared" si="19"/>
        <v>1</v>
      </c>
      <c r="U107" s="38">
        <f>IFERROR(1/(1/INDEX(Cascade!$BH:$BH,MATCH($E107,Cascade!$E:$E,0))),"")</f>
        <v>79</v>
      </c>
      <c r="V107" s="38">
        <f t="shared" si="20"/>
        <v>1</v>
      </c>
      <c r="W107" s="38">
        <f>IFERROR(1/(1/INDEX(PMTCT!$AC:$AC,MATCH($E107,PMTCT!$E:$E,0))),"")</f>
        <v>12</v>
      </c>
      <c r="X107" s="38">
        <f>IFERROR(1/(1/INDEX(PMTCT!$AS:$AS,MATCH($E107,PMTCT!$E:$E,0))),"")</f>
        <v>7</v>
      </c>
      <c r="Y107" s="38" t="str">
        <f>IFERROR(1/(1/INDEX(VMMC!$AA:$AA,MATCH($E107,VMMC!$E:$E,0))),"")</f>
        <v/>
      </c>
      <c r="Z107" s="38">
        <f t="shared" si="21"/>
        <v>59</v>
      </c>
    </row>
    <row r="108" spans="1:26" x14ac:dyDescent="0.2">
      <c r="A108" t="str">
        <f>INDEX(Prioritization!$D:$D,MATCH($B108,Prioritization!$A:$A,0))</f>
        <v>4 - Sustained</v>
      </c>
      <c r="B108" t="s">
        <v>299</v>
      </c>
      <c r="C108" t="s">
        <v>477</v>
      </c>
      <c r="D108" t="s">
        <v>48</v>
      </c>
      <c r="E108" t="str">
        <f t="shared" si="13"/>
        <v>Dowa District [zphK9WV8JB4]|35-49|Male</v>
      </c>
      <c r="F108" s="38">
        <v>33</v>
      </c>
      <c r="G108" s="33">
        <v>0.39</v>
      </c>
      <c r="H108" s="218">
        <f t="shared" si="14"/>
        <v>46</v>
      </c>
      <c r="I108" s="38">
        <v>1</v>
      </c>
      <c r="J108" s="33"/>
      <c r="K108" s="33">
        <v>0.45</v>
      </c>
      <c r="L108" s="33"/>
      <c r="M108" s="33">
        <v>0.06</v>
      </c>
      <c r="N108" s="38">
        <f t="shared" si="22"/>
        <v>46</v>
      </c>
      <c r="O108" s="218">
        <f t="shared" si="15"/>
        <v>21</v>
      </c>
      <c r="P108" s="218">
        <f t="shared" si="16"/>
        <v>2</v>
      </c>
      <c r="Q108" s="218">
        <f t="shared" si="17"/>
        <v>23</v>
      </c>
      <c r="R108" s="33">
        <f>IF(SUM($P108)=0,"",INDEX(Cascade!$BG:$BG,MATCH($E108,Cascade!$E:$E,0)))</f>
        <v>0.95</v>
      </c>
      <c r="S108" s="218">
        <f t="shared" si="18"/>
        <v>21</v>
      </c>
      <c r="T108" s="218">
        <f t="shared" si="19"/>
        <v>2</v>
      </c>
      <c r="U108" s="38">
        <f>IFERROR(1/(1/INDEX(Cascade!$BH:$BH,MATCH($E108,Cascade!$E:$E,0))),"")</f>
        <v>46</v>
      </c>
      <c r="V108" s="38">
        <f t="shared" si="20"/>
        <v>2</v>
      </c>
      <c r="W108" s="38" t="str">
        <f>IFERROR(1/(1/INDEX(PMTCT!$AC:$AC,MATCH($E108,PMTCT!$E:$E,0))),"")</f>
        <v/>
      </c>
      <c r="X108" s="38" t="str">
        <f>IFERROR(1/(1/INDEX(PMTCT!$AS:$AS,MATCH($E108,PMTCT!$E:$E,0))),"")</f>
        <v/>
      </c>
      <c r="Y108" s="38" t="str">
        <f>IFERROR(1/(1/INDEX(VMMC!$AA:$AA,MATCH($E108,VMMC!$E:$E,0))),"")</f>
        <v/>
      </c>
      <c r="Z108" s="38">
        <f t="shared" si="21"/>
        <v>44</v>
      </c>
    </row>
    <row r="109" spans="1:26" x14ac:dyDescent="0.2">
      <c r="A109" t="str">
        <f>INDEX(Prioritization!$D:$D,MATCH($B109,Prioritization!$A:$A,0))</f>
        <v>4 - Sustained</v>
      </c>
      <c r="B109" t="s">
        <v>299</v>
      </c>
      <c r="C109" t="s">
        <v>478</v>
      </c>
      <c r="D109" t="s">
        <v>30</v>
      </c>
      <c r="E109" t="str">
        <f t="shared" si="13"/>
        <v>Dowa District [zphK9WV8JB4]|50+|Female</v>
      </c>
      <c r="F109" s="38">
        <v>8</v>
      </c>
      <c r="G109" s="33">
        <v>0.39</v>
      </c>
      <c r="H109" s="218">
        <f t="shared" si="14"/>
        <v>11</v>
      </c>
      <c r="I109" s="38"/>
      <c r="J109" s="33"/>
      <c r="K109" s="33">
        <v>0.45</v>
      </c>
      <c r="L109" s="33"/>
      <c r="M109" s="33">
        <v>0.06</v>
      </c>
      <c r="N109" s="38">
        <f t="shared" si="22"/>
        <v>11</v>
      </c>
      <c r="O109" s="218">
        <f t="shared" si="15"/>
        <v>5</v>
      </c>
      <c r="P109" s="218">
        <f t="shared" si="16"/>
        <v>0</v>
      </c>
      <c r="Q109" s="218">
        <f t="shared" si="17"/>
        <v>6</v>
      </c>
      <c r="R109" s="33" t="str">
        <f>IF(SUM($P109)=0,"",INDEX(Cascade!$BG:$BG,MATCH($E109,Cascade!$E:$E,0)))</f>
        <v/>
      </c>
      <c r="S109" s="218">
        <f t="shared" si="18"/>
        <v>5</v>
      </c>
      <c r="T109" s="218" t="str">
        <f t="shared" si="19"/>
        <v/>
      </c>
      <c r="U109" s="38">
        <f>IFERROR(1/(1/INDEX(Cascade!$BH:$BH,MATCH($E109,Cascade!$E:$E,0))),"")</f>
        <v>74</v>
      </c>
      <c r="V109" s="38" t="str">
        <f t="shared" si="20"/>
        <v/>
      </c>
      <c r="W109" s="38" t="str">
        <f>IFERROR(1/(1/INDEX(PMTCT!$AC:$AC,MATCH($E109,PMTCT!$E:$E,0))),"")</f>
        <v/>
      </c>
      <c r="X109" s="38" t="str">
        <f>IFERROR(1/(1/INDEX(PMTCT!$AS:$AS,MATCH($E109,PMTCT!$E:$E,0))),"")</f>
        <v/>
      </c>
      <c r="Y109" s="38" t="str">
        <f>IFERROR(1/(1/INDEX(VMMC!$AA:$AA,MATCH($E109,VMMC!$E:$E,0))),"")</f>
        <v/>
      </c>
      <c r="Z109" s="38">
        <f t="shared" si="21"/>
        <v>74</v>
      </c>
    </row>
    <row r="110" spans="1:26" x14ac:dyDescent="0.2">
      <c r="A110" t="str">
        <f>INDEX(Prioritization!$D:$D,MATCH($B110,Prioritization!$A:$A,0))</f>
        <v>4 - Sustained</v>
      </c>
      <c r="B110" t="s">
        <v>299</v>
      </c>
      <c r="C110" t="s">
        <v>478</v>
      </c>
      <c r="D110" t="s">
        <v>48</v>
      </c>
      <c r="E110" t="str">
        <f t="shared" si="13"/>
        <v>Dowa District [zphK9WV8JB4]|50+|Male</v>
      </c>
      <c r="F110" s="38">
        <v>11</v>
      </c>
      <c r="G110" s="33">
        <v>0.39</v>
      </c>
      <c r="H110" s="218">
        <f t="shared" si="14"/>
        <v>15</v>
      </c>
      <c r="I110" s="38"/>
      <c r="J110" s="33"/>
      <c r="K110" s="33">
        <v>0.45</v>
      </c>
      <c r="L110" s="33"/>
      <c r="M110" s="33">
        <v>0.06</v>
      </c>
      <c r="N110" s="38">
        <f t="shared" si="22"/>
        <v>15</v>
      </c>
      <c r="O110" s="218">
        <f t="shared" si="15"/>
        <v>7</v>
      </c>
      <c r="P110" s="218">
        <f t="shared" si="16"/>
        <v>0</v>
      </c>
      <c r="Q110" s="218">
        <f t="shared" si="17"/>
        <v>8</v>
      </c>
      <c r="R110" s="33" t="str">
        <f>IF(SUM($P110)=0,"",INDEX(Cascade!$BG:$BG,MATCH($E110,Cascade!$E:$E,0)))</f>
        <v/>
      </c>
      <c r="S110" s="218">
        <f t="shared" si="18"/>
        <v>7</v>
      </c>
      <c r="T110" s="218" t="str">
        <f t="shared" si="19"/>
        <v/>
      </c>
      <c r="U110" s="38">
        <f>IFERROR(1/(1/INDEX(Cascade!$BH:$BH,MATCH($E110,Cascade!$E:$E,0))),"")</f>
        <v>21</v>
      </c>
      <c r="V110" s="38" t="str">
        <f t="shared" si="20"/>
        <v/>
      </c>
      <c r="W110" s="38" t="str">
        <f>IFERROR(1/(1/INDEX(PMTCT!$AC:$AC,MATCH($E110,PMTCT!$E:$E,0))),"")</f>
        <v/>
      </c>
      <c r="X110" s="38" t="str">
        <f>IFERROR(1/(1/INDEX(PMTCT!$AS:$AS,MATCH($E110,PMTCT!$E:$E,0))),"")</f>
        <v/>
      </c>
      <c r="Y110" s="38" t="str">
        <f>IFERROR(1/(1/INDEX(VMMC!$AA:$AA,MATCH($E110,VMMC!$E:$E,0))),"")</f>
        <v/>
      </c>
      <c r="Z110" s="38">
        <f t="shared" si="21"/>
        <v>21</v>
      </c>
    </row>
    <row r="111" spans="1:26" x14ac:dyDescent="0.2">
      <c r="A111" t="str">
        <f>INDEX(Prioritization!$D:$D,MATCH($B111,Prioritization!$A:$A,0))</f>
        <v>INVALID</v>
      </c>
      <c r="B111" t="s">
        <v>308</v>
      </c>
      <c r="C111" t="s">
        <v>473</v>
      </c>
      <c r="D111" t="s">
        <v>30</v>
      </c>
      <c r="E111" t="str">
        <f t="shared" si="13"/>
        <v>Karonga District [cPtvxaZqXIH]|01-09|Female</v>
      </c>
      <c r="F111" s="38">
        <v>6</v>
      </c>
      <c r="G111" s="33">
        <v>0.39</v>
      </c>
      <c r="H111" s="218">
        <f t="shared" si="14"/>
        <v>8</v>
      </c>
      <c r="I111" s="38"/>
      <c r="J111" s="33"/>
      <c r="K111" s="33">
        <v>0.45</v>
      </c>
      <c r="L111" s="33"/>
      <c r="M111" s="33">
        <v>0.06</v>
      </c>
      <c r="N111" s="38">
        <f t="shared" si="22"/>
        <v>8</v>
      </c>
      <c r="O111" s="218">
        <f t="shared" si="15"/>
        <v>4</v>
      </c>
      <c r="P111" s="218">
        <f t="shared" si="16"/>
        <v>0</v>
      </c>
      <c r="Q111" s="218">
        <f t="shared" si="17"/>
        <v>4</v>
      </c>
      <c r="R111" s="33" t="str">
        <f>IF(SUM($P111)=0,"",INDEX(Cascade!$BG:$BG,MATCH($E111,Cascade!$E:$E,0)))</f>
        <v/>
      </c>
      <c r="S111" s="218">
        <f t="shared" si="18"/>
        <v>4</v>
      </c>
      <c r="T111" s="218" t="str">
        <f t="shared" si="19"/>
        <v/>
      </c>
      <c r="U111" s="38">
        <f>IFERROR(1/(1/INDEX(Cascade!$BH:$BH,MATCH($E111,Cascade!$E:$E,0))),"")</f>
        <v>3</v>
      </c>
      <c r="V111" s="38" t="str">
        <f t="shared" si="20"/>
        <v/>
      </c>
      <c r="W111" s="38" t="str">
        <f>IFERROR(1/(1/INDEX(PMTCT!$AC:$AC,MATCH($E111,PMTCT!$E:$E,0))),"")</f>
        <v/>
      </c>
      <c r="X111" s="38" t="str">
        <f>IFERROR(1/(1/INDEX(PMTCT!$AS:$AS,MATCH($E111,PMTCT!$E:$E,0))),"")</f>
        <v/>
      </c>
      <c r="Y111" s="38" t="str">
        <f>IFERROR(1/(1/INDEX(VMMC!$AA:$AA,MATCH($E111,VMMC!$E:$E,0))),"")</f>
        <v/>
      </c>
      <c r="Z111" s="38">
        <f t="shared" si="21"/>
        <v>3</v>
      </c>
    </row>
    <row r="112" spans="1:26" x14ac:dyDescent="0.2">
      <c r="A112" t="str">
        <f>INDEX(Prioritization!$D:$D,MATCH($B112,Prioritization!$A:$A,0))</f>
        <v>INVALID</v>
      </c>
      <c r="B112" t="s">
        <v>308</v>
      </c>
      <c r="C112" t="s">
        <v>473</v>
      </c>
      <c r="D112" t="s">
        <v>48</v>
      </c>
      <c r="E112" t="str">
        <f t="shared" si="13"/>
        <v>Karonga District [cPtvxaZqXIH]|01-09|Male</v>
      </c>
      <c r="F112" s="38">
        <v>6</v>
      </c>
      <c r="G112" s="33">
        <v>0.39</v>
      </c>
      <c r="H112" s="218">
        <f t="shared" si="14"/>
        <v>8</v>
      </c>
      <c r="I112" s="38"/>
      <c r="J112" s="33"/>
      <c r="K112" s="33">
        <v>0.45</v>
      </c>
      <c r="L112" s="33"/>
      <c r="M112" s="33">
        <v>0.06</v>
      </c>
      <c r="N112" s="38">
        <f t="shared" si="22"/>
        <v>8</v>
      </c>
      <c r="O112" s="218">
        <f t="shared" si="15"/>
        <v>4</v>
      </c>
      <c r="P112" s="218">
        <f t="shared" si="16"/>
        <v>0</v>
      </c>
      <c r="Q112" s="218">
        <f t="shared" si="17"/>
        <v>4</v>
      </c>
      <c r="R112" s="33" t="str">
        <f>IF(SUM($P112)=0,"",INDEX(Cascade!$BG:$BG,MATCH($E112,Cascade!$E:$E,0)))</f>
        <v/>
      </c>
      <c r="S112" s="218">
        <f t="shared" si="18"/>
        <v>4</v>
      </c>
      <c r="T112" s="218" t="str">
        <f t="shared" si="19"/>
        <v/>
      </c>
      <c r="U112" s="38">
        <f>IFERROR(1/(1/INDEX(Cascade!$BH:$BH,MATCH($E112,Cascade!$E:$E,0))),"")</f>
        <v>3</v>
      </c>
      <c r="V112" s="38" t="str">
        <f t="shared" si="20"/>
        <v/>
      </c>
      <c r="W112" s="38" t="str">
        <f>IFERROR(1/(1/INDEX(PMTCT!$AC:$AC,MATCH($E112,PMTCT!$E:$E,0))),"")</f>
        <v/>
      </c>
      <c r="X112" s="38" t="str">
        <f>IFERROR(1/(1/INDEX(PMTCT!$AS:$AS,MATCH($E112,PMTCT!$E:$E,0))),"")</f>
        <v/>
      </c>
      <c r="Y112" s="38" t="str">
        <f>IFERROR(1/(1/INDEX(VMMC!$AA:$AA,MATCH($E112,VMMC!$E:$E,0))),"")</f>
        <v/>
      </c>
      <c r="Z112" s="38">
        <f t="shared" si="21"/>
        <v>3</v>
      </c>
    </row>
    <row r="113" spans="1:26" x14ac:dyDescent="0.2">
      <c r="A113" t="str">
        <f>INDEX(Prioritization!$D:$D,MATCH($B113,Prioritization!$A:$A,0))</f>
        <v>INVALID</v>
      </c>
      <c r="B113" t="s">
        <v>308</v>
      </c>
      <c r="C113" t="s">
        <v>474</v>
      </c>
      <c r="D113" t="s">
        <v>30</v>
      </c>
      <c r="E113" t="str">
        <f t="shared" si="13"/>
        <v>Karonga District [cPtvxaZqXIH]|10-14|Female</v>
      </c>
      <c r="F113" s="38">
        <v>3</v>
      </c>
      <c r="G113" s="33">
        <v>0.39</v>
      </c>
      <c r="H113" s="218">
        <f t="shared" si="14"/>
        <v>4</v>
      </c>
      <c r="I113" s="38"/>
      <c r="J113" s="33"/>
      <c r="K113" s="33">
        <v>0.45</v>
      </c>
      <c r="L113" s="33"/>
      <c r="M113" s="33">
        <v>0.06</v>
      </c>
      <c r="N113" s="38">
        <f t="shared" si="22"/>
        <v>4</v>
      </c>
      <c r="O113" s="218">
        <f t="shared" si="15"/>
        <v>2</v>
      </c>
      <c r="P113" s="218">
        <f t="shared" si="16"/>
        <v>0</v>
      </c>
      <c r="Q113" s="218">
        <f t="shared" si="17"/>
        <v>2</v>
      </c>
      <c r="R113" s="33" t="str">
        <f>IF(SUM($P113)=0,"",INDEX(Cascade!$BG:$BG,MATCH($E113,Cascade!$E:$E,0)))</f>
        <v/>
      </c>
      <c r="S113" s="218">
        <f t="shared" si="18"/>
        <v>2</v>
      </c>
      <c r="T113" s="218" t="str">
        <f t="shared" si="19"/>
        <v/>
      </c>
      <c r="U113" s="38">
        <f>IFERROR(1/(1/INDEX(Cascade!$BH:$BH,MATCH($E113,Cascade!$E:$E,0))),"")</f>
        <v>21</v>
      </c>
      <c r="V113" s="38" t="str">
        <f t="shared" si="20"/>
        <v/>
      </c>
      <c r="W113" s="38" t="str">
        <f>IFERROR(1/(1/INDEX(PMTCT!$AC:$AC,MATCH($E113,PMTCT!$E:$E,0))),"")</f>
        <v/>
      </c>
      <c r="X113" s="38" t="str">
        <f>IFERROR(1/(1/INDEX(PMTCT!$AS:$AS,MATCH($E113,PMTCT!$E:$E,0))),"")</f>
        <v/>
      </c>
      <c r="Y113" s="38" t="str">
        <f>IFERROR(1/(1/INDEX(VMMC!$AA:$AA,MATCH($E113,VMMC!$E:$E,0))),"")</f>
        <v/>
      </c>
      <c r="Z113" s="38">
        <f t="shared" si="21"/>
        <v>21</v>
      </c>
    </row>
    <row r="114" spans="1:26" x14ac:dyDescent="0.2">
      <c r="A114" t="str">
        <f>INDEX(Prioritization!$D:$D,MATCH($B114,Prioritization!$A:$A,0))</f>
        <v>INVALID</v>
      </c>
      <c r="B114" t="s">
        <v>308</v>
      </c>
      <c r="C114" t="s">
        <v>474</v>
      </c>
      <c r="D114" t="s">
        <v>48</v>
      </c>
      <c r="E114" t="str">
        <f t="shared" si="13"/>
        <v>Karonga District [cPtvxaZqXIH]|10-14|Male</v>
      </c>
      <c r="F114" s="38">
        <v>3</v>
      </c>
      <c r="G114" s="33">
        <v>0.39</v>
      </c>
      <c r="H114" s="218">
        <f t="shared" si="14"/>
        <v>4</v>
      </c>
      <c r="I114" s="38"/>
      <c r="J114" s="33"/>
      <c r="K114" s="33">
        <v>0.45</v>
      </c>
      <c r="L114" s="33"/>
      <c r="M114" s="33">
        <v>0.06</v>
      </c>
      <c r="N114" s="38">
        <f t="shared" si="22"/>
        <v>4</v>
      </c>
      <c r="O114" s="218">
        <f t="shared" si="15"/>
        <v>2</v>
      </c>
      <c r="P114" s="218">
        <f t="shared" si="16"/>
        <v>0</v>
      </c>
      <c r="Q114" s="218">
        <f t="shared" si="17"/>
        <v>2</v>
      </c>
      <c r="R114" s="33" t="str">
        <f>IF(SUM($P114)=0,"",INDEX(Cascade!$BG:$BG,MATCH($E114,Cascade!$E:$E,0)))</f>
        <v/>
      </c>
      <c r="S114" s="218">
        <f t="shared" si="18"/>
        <v>2</v>
      </c>
      <c r="T114" s="218" t="str">
        <f t="shared" si="19"/>
        <v/>
      </c>
      <c r="U114" s="38">
        <f>IFERROR(1/(1/INDEX(Cascade!$BH:$BH,MATCH($E114,Cascade!$E:$E,0))),"")</f>
        <v>3</v>
      </c>
      <c r="V114" s="38" t="str">
        <f t="shared" si="20"/>
        <v/>
      </c>
      <c r="W114" s="38" t="str">
        <f>IFERROR(1/(1/INDEX(PMTCT!$AC:$AC,MATCH($E114,PMTCT!$E:$E,0))),"")</f>
        <v/>
      </c>
      <c r="X114" s="38" t="str">
        <f>IFERROR(1/(1/INDEX(PMTCT!$AS:$AS,MATCH($E114,PMTCT!$E:$E,0))),"")</f>
        <v/>
      </c>
      <c r="Y114" s="38" t="str">
        <f>IFERROR(1/(1/INDEX(VMMC!$AA:$AA,MATCH($E114,VMMC!$E:$E,0))),"")</f>
        <v/>
      </c>
      <c r="Z114" s="38">
        <f t="shared" si="21"/>
        <v>3</v>
      </c>
    </row>
    <row r="115" spans="1:26" x14ac:dyDescent="0.2">
      <c r="A115" t="str">
        <f>INDEX(Prioritization!$D:$D,MATCH($B115,Prioritization!$A:$A,0))</f>
        <v>INVALID</v>
      </c>
      <c r="B115" t="s">
        <v>308</v>
      </c>
      <c r="C115" t="s">
        <v>475</v>
      </c>
      <c r="D115" t="s">
        <v>30</v>
      </c>
      <c r="E115" t="str">
        <f t="shared" si="13"/>
        <v>Karonga District [cPtvxaZqXIH]|15-24|Female</v>
      </c>
      <c r="F115" s="38">
        <v>14</v>
      </c>
      <c r="G115" s="33">
        <v>0.39</v>
      </c>
      <c r="H115" s="218">
        <f t="shared" si="14"/>
        <v>19</v>
      </c>
      <c r="I115" s="38"/>
      <c r="J115" s="33"/>
      <c r="K115" s="33">
        <v>0.45</v>
      </c>
      <c r="L115" s="33"/>
      <c r="M115" s="33">
        <v>0.06</v>
      </c>
      <c r="N115" s="38">
        <f t="shared" si="22"/>
        <v>19</v>
      </c>
      <c r="O115" s="218">
        <f t="shared" si="15"/>
        <v>9</v>
      </c>
      <c r="P115" s="218">
        <f t="shared" si="16"/>
        <v>1</v>
      </c>
      <c r="Q115" s="218">
        <f t="shared" si="17"/>
        <v>9</v>
      </c>
      <c r="R115" s="33">
        <f>IF(SUM($P115)=0,"",INDEX(Cascade!$BG:$BG,MATCH($E115,Cascade!$E:$E,0)))</f>
        <v>0.95</v>
      </c>
      <c r="S115" s="218">
        <f t="shared" si="18"/>
        <v>9</v>
      </c>
      <c r="T115" s="218">
        <f t="shared" si="19"/>
        <v>1</v>
      </c>
      <c r="U115" s="38">
        <f>IFERROR(1/(1/INDEX(Cascade!$BH:$BH,MATCH($E115,Cascade!$E:$E,0))),"")</f>
        <v>139</v>
      </c>
      <c r="V115" s="38">
        <f t="shared" si="20"/>
        <v>1</v>
      </c>
      <c r="W115" s="38">
        <f>IFERROR(1/(1/INDEX(PMTCT!$AC:$AC,MATCH($E115,PMTCT!$E:$E,0))),"")</f>
        <v>62</v>
      </c>
      <c r="X115" s="38">
        <f>IFERROR(1/(1/INDEX(PMTCT!$AS:$AS,MATCH($E115,PMTCT!$E:$E,0))),"")</f>
        <v>25</v>
      </c>
      <c r="Y115" s="38" t="str">
        <f>IFERROR(1/(1/INDEX(VMMC!$AA:$AA,MATCH($E115,VMMC!$E:$E,0))),"")</f>
        <v/>
      </c>
      <c r="Z115" s="38">
        <f t="shared" si="21"/>
        <v>51</v>
      </c>
    </row>
    <row r="116" spans="1:26" x14ac:dyDescent="0.2">
      <c r="A116" t="str">
        <f>INDEX(Prioritization!$D:$D,MATCH($B116,Prioritization!$A:$A,0))</f>
        <v>INVALID</v>
      </c>
      <c r="B116" t="s">
        <v>308</v>
      </c>
      <c r="C116" t="s">
        <v>475</v>
      </c>
      <c r="D116" t="s">
        <v>48</v>
      </c>
      <c r="E116" t="str">
        <f t="shared" si="13"/>
        <v>Karonga District [cPtvxaZqXIH]|15-24|Male</v>
      </c>
      <c r="F116" s="38">
        <v>20</v>
      </c>
      <c r="G116" s="33">
        <v>0.39</v>
      </c>
      <c r="H116" s="218">
        <f t="shared" si="14"/>
        <v>28</v>
      </c>
      <c r="I116" s="38">
        <v>1</v>
      </c>
      <c r="J116" s="33"/>
      <c r="K116" s="33">
        <v>0.45</v>
      </c>
      <c r="L116" s="33"/>
      <c r="M116" s="33">
        <v>0.06</v>
      </c>
      <c r="N116" s="38">
        <f t="shared" si="22"/>
        <v>28</v>
      </c>
      <c r="O116" s="218">
        <f t="shared" si="15"/>
        <v>13</v>
      </c>
      <c r="P116" s="218">
        <f t="shared" si="16"/>
        <v>1</v>
      </c>
      <c r="Q116" s="218">
        <f t="shared" si="17"/>
        <v>14</v>
      </c>
      <c r="R116" s="33">
        <f>IF(SUM($P116)=0,"",INDEX(Cascade!$BG:$BG,MATCH($E116,Cascade!$E:$E,0)))</f>
        <v>0.95</v>
      </c>
      <c r="S116" s="218">
        <f t="shared" si="18"/>
        <v>13</v>
      </c>
      <c r="T116" s="218">
        <f t="shared" si="19"/>
        <v>1</v>
      </c>
      <c r="U116" s="38">
        <f>IFERROR(1/(1/INDEX(Cascade!$BH:$BH,MATCH($E116,Cascade!$E:$E,0))),"")</f>
        <v>18</v>
      </c>
      <c r="V116" s="38">
        <f t="shared" si="20"/>
        <v>1</v>
      </c>
      <c r="W116" s="38" t="str">
        <f>IFERROR(1/(1/INDEX(PMTCT!$AC:$AC,MATCH($E116,PMTCT!$E:$E,0))),"")</f>
        <v/>
      </c>
      <c r="X116" s="38" t="str">
        <f>IFERROR(1/(1/INDEX(PMTCT!$AS:$AS,MATCH($E116,PMTCT!$E:$E,0))),"")</f>
        <v/>
      </c>
      <c r="Y116" s="38" t="str">
        <f>IFERROR(1/(1/INDEX(VMMC!$AA:$AA,MATCH($E116,VMMC!$E:$E,0))),"")</f>
        <v/>
      </c>
      <c r="Z116" s="38">
        <f t="shared" si="21"/>
        <v>17</v>
      </c>
    </row>
    <row r="117" spans="1:26" x14ac:dyDescent="0.2">
      <c r="A117" t="str">
        <f>INDEX(Prioritization!$D:$D,MATCH($B117,Prioritization!$A:$A,0))</f>
        <v>INVALID</v>
      </c>
      <c r="B117" t="s">
        <v>308</v>
      </c>
      <c r="C117" t="s">
        <v>476</v>
      </c>
      <c r="D117" t="s">
        <v>30</v>
      </c>
      <c r="E117" t="str">
        <f t="shared" si="13"/>
        <v>Karonga District [cPtvxaZqXIH]|25-34|Female</v>
      </c>
      <c r="F117" s="38">
        <v>14</v>
      </c>
      <c r="G117" s="33">
        <v>0.39</v>
      </c>
      <c r="H117" s="218">
        <f t="shared" si="14"/>
        <v>19</v>
      </c>
      <c r="I117" s="38"/>
      <c r="J117" s="33"/>
      <c r="K117" s="33">
        <v>0.45</v>
      </c>
      <c r="L117" s="33"/>
      <c r="M117" s="33">
        <v>0.06</v>
      </c>
      <c r="N117" s="38">
        <f t="shared" si="22"/>
        <v>19</v>
      </c>
      <c r="O117" s="218">
        <f t="shared" si="15"/>
        <v>9</v>
      </c>
      <c r="P117" s="218">
        <f t="shared" si="16"/>
        <v>1</v>
      </c>
      <c r="Q117" s="218">
        <f t="shared" si="17"/>
        <v>9</v>
      </c>
      <c r="R117" s="33">
        <f>IF(SUM($P117)=0,"",INDEX(Cascade!$BG:$BG,MATCH($E117,Cascade!$E:$E,0)))</f>
        <v>0.95</v>
      </c>
      <c r="S117" s="218">
        <f t="shared" si="18"/>
        <v>9</v>
      </c>
      <c r="T117" s="218">
        <f t="shared" si="19"/>
        <v>1</v>
      </c>
      <c r="U117" s="38">
        <f>IFERROR(1/(1/INDEX(Cascade!$BH:$BH,MATCH($E117,Cascade!$E:$E,0))),"")</f>
        <v>187</v>
      </c>
      <c r="V117" s="38">
        <f t="shared" si="20"/>
        <v>1</v>
      </c>
      <c r="W117" s="38">
        <f>IFERROR(1/(1/INDEX(PMTCT!$AC:$AC,MATCH($E117,PMTCT!$E:$E,0))),"")</f>
        <v>42</v>
      </c>
      <c r="X117" s="38" t="str">
        <f>IFERROR(1/(1/INDEX(PMTCT!$AS:$AS,MATCH($E117,PMTCT!$E:$E,0))),"")</f>
        <v/>
      </c>
      <c r="Y117" s="38" t="str">
        <f>IFERROR(1/(1/INDEX(VMMC!$AA:$AA,MATCH($E117,VMMC!$E:$E,0))),"")</f>
        <v/>
      </c>
      <c r="Z117" s="38">
        <f t="shared" si="21"/>
        <v>144</v>
      </c>
    </row>
    <row r="118" spans="1:26" x14ac:dyDescent="0.2">
      <c r="A118" t="str">
        <f>INDEX(Prioritization!$D:$D,MATCH($B118,Prioritization!$A:$A,0))</f>
        <v>INVALID</v>
      </c>
      <c r="B118" t="s">
        <v>308</v>
      </c>
      <c r="C118" t="s">
        <v>476</v>
      </c>
      <c r="D118" t="s">
        <v>48</v>
      </c>
      <c r="E118" t="str">
        <f t="shared" si="13"/>
        <v>Karonga District [cPtvxaZqXIH]|25-34|Male</v>
      </c>
      <c r="F118" s="38">
        <v>20</v>
      </c>
      <c r="G118" s="33">
        <v>0.39</v>
      </c>
      <c r="H118" s="218">
        <f t="shared" si="14"/>
        <v>28</v>
      </c>
      <c r="I118" s="38">
        <v>1</v>
      </c>
      <c r="J118" s="33"/>
      <c r="K118" s="33">
        <v>0.45</v>
      </c>
      <c r="L118" s="33"/>
      <c r="M118" s="33">
        <v>0.06</v>
      </c>
      <c r="N118" s="38">
        <f t="shared" si="22"/>
        <v>28</v>
      </c>
      <c r="O118" s="218">
        <f t="shared" si="15"/>
        <v>13</v>
      </c>
      <c r="P118" s="218">
        <f t="shared" si="16"/>
        <v>1</v>
      </c>
      <c r="Q118" s="218">
        <f t="shared" si="17"/>
        <v>14</v>
      </c>
      <c r="R118" s="33">
        <f>IF(SUM($P118)=0,"",INDEX(Cascade!$BG:$BG,MATCH($E118,Cascade!$E:$E,0)))</f>
        <v>0.95</v>
      </c>
      <c r="S118" s="218">
        <f t="shared" si="18"/>
        <v>13</v>
      </c>
      <c r="T118" s="218">
        <f t="shared" si="19"/>
        <v>1</v>
      </c>
      <c r="U118" s="38">
        <f>IFERROR(1/(1/INDEX(Cascade!$BH:$BH,MATCH($E118,Cascade!$E:$E,0))),"")</f>
        <v>20</v>
      </c>
      <c r="V118" s="38">
        <f t="shared" si="20"/>
        <v>1</v>
      </c>
      <c r="W118" s="38" t="str">
        <f>IFERROR(1/(1/INDEX(PMTCT!$AC:$AC,MATCH($E118,PMTCT!$E:$E,0))),"")</f>
        <v/>
      </c>
      <c r="X118" s="38" t="str">
        <f>IFERROR(1/(1/INDEX(PMTCT!$AS:$AS,MATCH($E118,PMTCT!$E:$E,0))),"")</f>
        <v/>
      </c>
      <c r="Y118" s="38" t="str">
        <f>IFERROR(1/(1/INDEX(VMMC!$AA:$AA,MATCH($E118,VMMC!$E:$E,0))),"")</f>
        <v/>
      </c>
      <c r="Z118" s="38">
        <f t="shared" si="21"/>
        <v>19</v>
      </c>
    </row>
    <row r="119" spans="1:26" x14ac:dyDescent="0.2">
      <c r="A119" t="str">
        <f>INDEX(Prioritization!$D:$D,MATCH($B119,Prioritization!$A:$A,0))</f>
        <v>INVALID</v>
      </c>
      <c r="B119" t="s">
        <v>308</v>
      </c>
      <c r="C119" t="s">
        <v>477</v>
      </c>
      <c r="D119" t="s">
        <v>30</v>
      </c>
      <c r="E119" t="str">
        <f t="shared" si="13"/>
        <v>Karonga District [cPtvxaZqXIH]|35-49|Female</v>
      </c>
      <c r="F119" s="38">
        <v>21</v>
      </c>
      <c r="G119" s="33">
        <v>0.39</v>
      </c>
      <c r="H119" s="218">
        <f t="shared" si="14"/>
        <v>29</v>
      </c>
      <c r="I119" s="38">
        <v>1</v>
      </c>
      <c r="J119" s="33"/>
      <c r="K119" s="33">
        <v>0.45</v>
      </c>
      <c r="L119" s="33"/>
      <c r="M119" s="33">
        <v>0.06</v>
      </c>
      <c r="N119" s="38">
        <f t="shared" si="22"/>
        <v>29</v>
      </c>
      <c r="O119" s="218">
        <f t="shared" si="15"/>
        <v>13</v>
      </c>
      <c r="P119" s="218">
        <f t="shared" si="16"/>
        <v>1</v>
      </c>
      <c r="Q119" s="218">
        <f t="shared" si="17"/>
        <v>15</v>
      </c>
      <c r="R119" s="33">
        <f>IF(SUM($P119)=0,"",INDEX(Cascade!$BG:$BG,MATCH($E119,Cascade!$E:$E,0)))</f>
        <v>0.95</v>
      </c>
      <c r="S119" s="218">
        <f t="shared" si="18"/>
        <v>13</v>
      </c>
      <c r="T119" s="218">
        <f t="shared" si="19"/>
        <v>1</v>
      </c>
      <c r="U119" s="38">
        <f>IFERROR(1/(1/INDEX(Cascade!$BH:$BH,MATCH($E119,Cascade!$E:$E,0))),"")</f>
        <v>136</v>
      </c>
      <c r="V119" s="38">
        <f t="shared" si="20"/>
        <v>1</v>
      </c>
      <c r="W119" s="38">
        <f>IFERROR(1/(1/INDEX(PMTCT!$AC:$AC,MATCH($E119,PMTCT!$E:$E,0))),"")</f>
        <v>10</v>
      </c>
      <c r="X119" s="38" t="str">
        <f>IFERROR(1/(1/INDEX(PMTCT!$AS:$AS,MATCH($E119,PMTCT!$E:$E,0))),"")</f>
        <v/>
      </c>
      <c r="Y119" s="38" t="str">
        <f>IFERROR(1/(1/INDEX(VMMC!$AA:$AA,MATCH($E119,VMMC!$E:$E,0))),"")</f>
        <v/>
      </c>
      <c r="Z119" s="38">
        <f t="shared" si="21"/>
        <v>125</v>
      </c>
    </row>
    <row r="120" spans="1:26" x14ac:dyDescent="0.2">
      <c r="A120" t="str">
        <f>INDEX(Prioritization!$D:$D,MATCH($B120,Prioritization!$A:$A,0))</f>
        <v>INVALID</v>
      </c>
      <c r="B120" t="s">
        <v>308</v>
      </c>
      <c r="C120" t="s">
        <v>477</v>
      </c>
      <c r="D120" t="s">
        <v>48</v>
      </c>
      <c r="E120" t="str">
        <f t="shared" si="13"/>
        <v>Karonga District [cPtvxaZqXIH]|35-49|Male</v>
      </c>
      <c r="F120" s="38">
        <v>30</v>
      </c>
      <c r="G120" s="33">
        <v>0.39</v>
      </c>
      <c r="H120" s="218">
        <f t="shared" si="14"/>
        <v>42</v>
      </c>
      <c r="I120" s="38">
        <v>1</v>
      </c>
      <c r="J120" s="33"/>
      <c r="K120" s="33">
        <v>0.45</v>
      </c>
      <c r="L120" s="33"/>
      <c r="M120" s="33">
        <v>0.06</v>
      </c>
      <c r="N120" s="38">
        <f t="shared" si="22"/>
        <v>42</v>
      </c>
      <c r="O120" s="218">
        <f t="shared" si="15"/>
        <v>19</v>
      </c>
      <c r="P120" s="218">
        <f t="shared" si="16"/>
        <v>1</v>
      </c>
      <c r="Q120" s="218">
        <f t="shared" si="17"/>
        <v>22</v>
      </c>
      <c r="R120" s="33">
        <f>IF(SUM($P120)=0,"",INDEX(Cascade!$BG:$BG,MATCH($E120,Cascade!$E:$E,0)))</f>
        <v>0.95</v>
      </c>
      <c r="S120" s="218">
        <f t="shared" si="18"/>
        <v>19</v>
      </c>
      <c r="T120" s="218">
        <f t="shared" si="19"/>
        <v>1</v>
      </c>
      <c r="U120" s="38">
        <f>IFERROR(1/(1/INDEX(Cascade!$BH:$BH,MATCH($E120,Cascade!$E:$E,0))),"")</f>
        <v>48</v>
      </c>
      <c r="V120" s="38">
        <f t="shared" si="20"/>
        <v>1</v>
      </c>
      <c r="W120" s="38" t="str">
        <f>IFERROR(1/(1/INDEX(PMTCT!$AC:$AC,MATCH($E120,PMTCT!$E:$E,0))),"")</f>
        <v/>
      </c>
      <c r="X120" s="38" t="str">
        <f>IFERROR(1/(1/INDEX(PMTCT!$AS:$AS,MATCH($E120,PMTCT!$E:$E,0))),"")</f>
        <v/>
      </c>
      <c r="Y120" s="38" t="str">
        <f>IFERROR(1/(1/INDEX(VMMC!$AA:$AA,MATCH($E120,VMMC!$E:$E,0))),"")</f>
        <v/>
      </c>
      <c r="Z120" s="38">
        <f t="shared" si="21"/>
        <v>47</v>
      </c>
    </row>
    <row r="121" spans="1:26" x14ac:dyDescent="0.2">
      <c r="A121" t="str">
        <f>INDEX(Prioritization!$D:$D,MATCH($B121,Prioritization!$A:$A,0))</f>
        <v>INVALID</v>
      </c>
      <c r="B121" t="s">
        <v>308</v>
      </c>
      <c r="C121" t="s">
        <v>478</v>
      </c>
      <c r="D121" t="s">
        <v>30</v>
      </c>
      <c r="E121" t="str">
        <f t="shared" si="13"/>
        <v>Karonga District [cPtvxaZqXIH]|50+|Female</v>
      </c>
      <c r="F121" s="38">
        <v>8</v>
      </c>
      <c r="G121" s="33">
        <v>0.39</v>
      </c>
      <c r="H121" s="218">
        <f t="shared" si="14"/>
        <v>11</v>
      </c>
      <c r="I121" s="38"/>
      <c r="J121" s="33"/>
      <c r="K121" s="33">
        <v>0.45</v>
      </c>
      <c r="L121" s="33"/>
      <c r="M121" s="33">
        <v>0.06</v>
      </c>
      <c r="N121" s="38">
        <f t="shared" si="22"/>
        <v>11</v>
      </c>
      <c r="O121" s="218">
        <f t="shared" si="15"/>
        <v>5</v>
      </c>
      <c r="P121" s="218">
        <f t="shared" si="16"/>
        <v>0</v>
      </c>
      <c r="Q121" s="218">
        <f t="shared" si="17"/>
        <v>6</v>
      </c>
      <c r="R121" s="33" t="str">
        <f>IF(SUM($P121)=0,"",INDEX(Cascade!$BG:$BG,MATCH($E121,Cascade!$E:$E,0)))</f>
        <v/>
      </c>
      <c r="S121" s="218">
        <f t="shared" si="18"/>
        <v>5</v>
      </c>
      <c r="T121" s="218" t="str">
        <f t="shared" si="19"/>
        <v/>
      </c>
      <c r="U121" s="38">
        <f>IFERROR(1/(1/INDEX(Cascade!$BH:$BH,MATCH($E121,Cascade!$E:$E,0))),"")</f>
        <v>98.999999999999986</v>
      </c>
      <c r="V121" s="38" t="str">
        <f t="shared" si="20"/>
        <v/>
      </c>
      <c r="W121" s="38" t="str">
        <f>IFERROR(1/(1/INDEX(PMTCT!$AC:$AC,MATCH($E121,PMTCT!$E:$E,0))),"")</f>
        <v/>
      </c>
      <c r="X121" s="38" t="str">
        <f>IFERROR(1/(1/INDEX(PMTCT!$AS:$AS,MATCH($E121,PMTCT!$E:$E,0))),"")</f>
        <v/>
      </c>
      <c r="Y121" s="38" t="str">
        <f>IFERROR(1/(1/INDEX(VMMC!$AA:$AA,MATCH($E121,VMMC!$E:$E,0))),"")</f>
        <v/>
      </c>
      <c r="Z121" s="38">
        <f t="shared" si="21"/>
        <v>98.999999999999986</v>
      </c>
    </row>
    <row r="122" spans="1:26" x14ac:dyDescent="0.2">
      <c r="A122" t="str">
        <f>INDEX(Prioritization!$D:$D,MATCH($B122,Prioritization!$A:$A,0))</f>
        <v>INVALID</v>
      </c>
      <c r="B122" t="s">
        <v>308</v>
      </c>
      <c r="C122" t="s">
        <v>478</v>
      </c>
      <c r="D122" t="s">
        <v>48</v>
      </c>
      <c r="E122" t="str">
        <f t="shared" si="13"/>
        <v>Karonga District [cPtvxaZqXIH]|50+|Male</v>
      </c>
      <c r="F122" s="38">
        <v>10</v>
      </c>
      <c r="G122" s="33">
        <v>0.39</v>
      </c>
      <c r="H122" s="218">
        <f t="shared" si="14"/>
        <v>14</v>
      </c>
      <c r="I122" s="38"/>
      <c r="J122" s="33"/>
      <c r="K122" s="33">
        <v>0.45</v>
      </c>
      <c r="L122" s="33"/>
      <c r="M122" s="33">
        <v>0.06</v>
      </c>
      <c r="N122" s="38">
        <f t="shared" si="22"/>
        <v>14</v>
      </c>
      <c r="O122" s="218">
        <f t="shared" si="15"/>
        <v>6</v>
      </c>
      <c r="P122" s="218">
        <f t="shared" si="16"/>
        <v>0</v>
      </c>
      <c r="Q122" s="218">
        <f t="shared" si="17"/>
        <v>8</v>
      </c>
      <c r="R122" s="33" t="str">
        <f>IF(SUM($P122)=0,"",INDEX(Cascade!$BG:$BG,MATCH($E122,Cascade!$E:$E,0)))</f>
        <v/>
      </c>
      <c r="S122" s="218">
        <f t="shared" si="18"/>
        <v>6</v>
      </c>
      <c r="T122" s="218" t="str">
        <f t="shared" si="19"/>
        <v/>
      </c>
      <c r="U122" s="38">
        <f>IFERROR(1/(1/INDEX(Cascade!$BH:$BH,MATCH($E122,Cascade!$E:$E,0))),"")</f>
        <v>74</v>
      </c>
      <c r="V122" s="38" t="str">
        <f t="shared" si="20"/>
        <v/>
      </c>
      <c r="W122" s="38" t="str">
        <f>IFERROR(1/(1/INDEX(PMTCT!$AC:$AC,MATCH($E122,PMTCT!$E:$E,0))),"")</f>
        <v/>
      </c>
      <c r="X122" s="38" t="str">
        <f>IFERROR(1/(1/INDEX(PMTCT!$AS:$AS,MATCH($E122,PMTCT!$E:$E,0))),"")</f>
        <v/>
      </c>
      <c r="Y122" s="38" t="str">
        <f>IFERROR(1/(1/INDEX(VMMC!$AA:$AA,MATCH($E122,VMMC!$E:$E,0))),"")</f>
        <v/>
      </c>
      <c r="Z122" s="38">
        <f t="shared" si="21"/>
        <v>74</v>
      </c>
    </row>
    <row r="123" spans="1:26" x14ac:dyDescent="0.2">
      <c r="A123" t="str">
        <f>INDEX(Prioritization!$D:$D,MATCH($B123,Prioritization!$A:$A,0))</f>
        <v>INVALID</v>
      </c>
      <c r="B123" t="s">
        <v>300</v>
      </c>
      <c r="C123" t="s">
        <v>473</v>
      </c>
      <c r="D123" t="s">
        <v>30</v>
      </c>
      <c r="E123" t="str">
        <f t="shared" si="13"/>
        <v>Kasungu District [JQKLKuVuY61]|01-09|Female</v>
      </c>
      <c r="F123" s="38">
        <v>6</v>
      </c>
      <c r="G123" s="33">
        <v>0.39</v>
      </c>
      <c r="H123" s="218">
        <f t="shared" si="14"/>
        <v>8</v>
      </c>
      <c r="I123" s="38"/>
      <c r="J123" s="33"/>
      <c r="K123" s="33">
        <v>0.45</v>
      </c>
      <c r="L123" s="33"/>
      <c r="M123" s="33">
        <v>0.06</v>
      </c>
      <c r="N123" s="38">
        <f t="shared" si="22"/>
        <v>8</v>
      </c>
      <c r="O123" s="218">
        <f t="shared" si="15"/>
        <v>4</v>
      </c>
      <c r="P123" s="218">
        <f t="shared" si="16"/>
        <v>0</v>
      </c>
      <c r="Q123" s="218">
        <f t="shared" si="17"/>
        <v>4</v>
      </c>
      <c r="R123" s="33" t="str">
        <f>IF(SUM($P123)=0,"",INDEX(Cascade!$BG:$BG,MATCH($E123,Cascade!$E:$E,0)))</f>
        <v/>
      </c>
      <c r="S123" s="218">
        <f t="shared" si="18"/>
        <v>4</v>
      </c>
      <c r="T123" s="218" t="str">
        <f t="shared" si="19"/>
        <v/>
      </c>
      <c r="U123" s="38">
        <f>IFERROR(1/(1/INDEX(Cascade!$BH:$BH,MATCH($E123,Cascade!$E:$E,0))),"")</f>
        <v>3</v>
      </c>
      <c r="V123" s="38" t="str">
        <f t="shared" si="20"/>
        <v/>
      </c>
      <c r="W123" s="38" t="str">
        <f>IFERROR(1/(1/INDEX(PMTCT!$AC:$AC,MATCH($E123,PMTCT!$E:$E,0))),"")</f>
        <v/>
      </c>
      <c r="X123" s="38" t="str">
        <f>IFERROR(1/(1/INDEX(PMTCT!$AS:$AS,MATCH($E123,PMTCT!$E:$E,0))),"")</f>
        <v/>
      </c>
      <c r="Y123" s="38" t="str">
        <f>IFERROR(1/(1/INDEX(VMMC!$AA:$AA,MATCH($E123,VMMC!$E:$E,0))),"")</f>
        <v/>
      </c>
      <c r="Z123" s="38">
        <f t="shared" si="21"/>
        <v>3</v>
      </c>
    </row>
    <row r="124" spans="1:26" x14ac:dyDescent="0.2">
      <c r="A124" t="str">
        <f>INDEX(Prioritization!$D:$D,MATCH($B124,Prioritization!$A:$A,0))</f>
        <v>INVALID</v>
      </c>
      <c r="B124" t="s">
        <v>300</v>
      </c>
      <c r="C124" t="s">
        <v>473</v>
      </c>
      <c r="D124" t="s">
        <v>48</v>
      </c>
      <c r="E124" t="str">
        <f t="shared" si="13"/>
        <v>Kasungu District [JQKLKuVuY61]|01-09|Male</v>
      </c>
      <c r="F124" s="38">
        <v>6</v>
      </c>
      <c r="G124" s="33">
        <v>0.39</v>
      </c>
      <c r="H124" s="218">
        <f t="shared" si="14"/>
        <v>8</v>
      </c>
      <c r="I124" s="38"/>
      <c r="J124" s="33"/>
      <c r="K124" s="33">
        <v>0.45</v>
      </c>
      <c r="L124" s="33"/>
      <c r="M124" s="33">
        <v>0.06</v>
      </c>
      <c r="N124" s="38">
        <f t="shared" si="22"/>
        <v>8</v>
      </c>
      <c r="O124" s="218">
        <f t="shared" si="15"/>
        <v>4</v>
      </c>
      <c r="P124" s="218">
        <f t="shared" si="16"/>
        <v>0</v>
      </c>
      <c r="Q124" s="218">
        <f t="shared" si="17"/>
        <v>4</v>
      </c>
      <c r="R124" s="33" t="str">
        <f>IF(SUM($P124)=0,"",INDEX(Cascade!$BG:$BG,MATCH($E124,Cascade!$E:$E,0)))</f>
        <v/>
      </c>
      <c r="S124" s="218">
        <f t="shared" si="18"/>
        <v>4</v>
      </c>
      <c r="T124" s="218" t="str">
        <f t="shared" si="19"/>
        <v/>
      </c>
      <c r="U124" s="38">
        <f>IFERROR(1/(1/INDEX(Cascade!$BH:$BH,MATCH($E124,Cascade!$E:$E,0))),"")</f>
        <v>3</v>
      </c>
      <c r="V124" s="38" t="str">
        <f t="shared" si="20"/>
        <v/>
      </c>
      <c r="W124" s="38" t="str">
        <f>IFERROR(1/(1/INDEX(PMTCT!$AC:$AC,MATCH($E124,PMTCT!$E:$E,0))),"")</f>
        <v/>
      </c>
      <c r="X124" s="38" t="str">
        <f>IFERROR(1/(1/INDEX(PMTCT!$AS:$AS,MATCH($E124,PMTCT!$E:$E,0))),"")</f>
        <v/>
      </c>
      <c r="Y124" s="38" t="str">
        <f>IFERROR(1/(1/INDEX(VMMC!$AA:$AA,MATCH($E124,VMMC!$E:$E,0))),"")</f>
        <v/>
      </c>
      <c r="Z124" s="38">
        <f t="shared" si="21"/>
        <v>3</v>
      </c>
    </row>
    <row r="125" spans="1:26" x14ac:dyDescent="0.2">
      <c r="A125" t="str">
        <f>INDEX(Prioritization!$D:$D,MATCH($B125,Prioritization!$A:$A,0))</f>
        <v>INVALID</v>
      </c>
      <c r="B125" t="s">
        <v>300</v>
      </c>
      <c r="C125" t="s">
        <v>474</v>
      </c>
      <c r="D125" t="s">
        <v>30</v>
      </c>
      <c r="E125" t="str">
        <f t="shared" si="13"/>
        <v>Kasungu District [JQKLKuVuY61]|10-14|Female</v>
      </c>
      <c r="F125" s="38">
        <v>3</v>
      </c>
      <c r="G125" s="33">
        <v>0.39</v>
      </c>
      <c r="H125" s="218">
        <f t="shared" si="14"/>
        <v>4</v>
      </c>
      <c r="I125" s="38"/>
      <c r="J125" s="33"/>
      <c r="K125" s="33">
        <v>0.45</v>
      </c>
      <c r="L125" s="33"/>
      <c r="M125" s="33">
        <v>0.06</v>
      </c>
      <c r="N125" s="38">
        <f t="shared" si="22"/>
        <v>4</v>
      </c>
      <c r="O125" s="218">
        <f t="shared" si="15"/>
        <v>2</v>
      </c>
      <c r="P125" s="218">
        <f t="shared" si="16"/>
        <v>0</v>
      </c>
      <c r="Q125" s="218">
        <f t="shared" si="17"/>
        <v>2</v>
      </c>
      <c r="R125" s="33" t="str">
        <f>IF(SUM($P125)=0,"",INDEX(Cascade!$BG:$BG,MATCH($E125,Cascade!$E:$E,0)))</f>
        <v/>
      </c>
      <c r="S125" s="218">
        <f t="shared" si="18"/>
        <v>2</v>
      </c>
      <c r="T125" s="218" t="str">
        <f t="shared" si="19"/>
        <v/>
      </c>
      <c r="U125" s="38">
        <f>IFERROR(1/(1/INDEX(Cascade!$BH:$BH,MATCH($E125,Cascade!$E:$E,0))),"")</f>
        <v>24</v>
      </c>
      <c r="V125" s="38" t="str">
        <f t="shared" si="20"/>
        <v/>
      </c>
      <c r="W125" s="38">
        <f>IFERROR(1/(1/INDEX(PMTCT!$AC:$AC,MATCH($E125,PMTCT!$E:$E,0))),"")</f>
        <v>1</v>
      </c>
      <c r="X125" s="38" t="str">
        <f>IFERROR(1/(1/INDEX(PMTCT!$AS:$AS,MATCH($E125,PMTCT!$E:$E,0))),"")</f>
        <v/>
      </c>
      <c r="Y125" s="38" t="str">
        <f>IFERROR(1/(1/INDEX(VMMC!$AA:$AA,MATCH($E125,VMMC!$E:$E,0))),"")</f>
        <v/>
      </c>
      <c r="Z125" s="38">
        <f t="shared" si="21"/>
        <v>23</v>
      </c>
    </row>
    <row r="126" spans="1:26" x14ac:dyDescent="0.2">
      <c r="A126" t="str">
        <f>INDEX(Prioritization!$D:$D,MATCH($B126,Prioritization!$A:$A,0))</f>
        <v>INVALID</v>
      </c>
      <c r="B126" t="s">
        <v>300</v>
      </c>
      <c r="C126" t="s">
        <v>474</v>
      </c>
      <c r="D126" t="s">
        <v>48</v>
      </c>
      <c r="E126" t="str">
        <f t="shared" si="13"/>
        <v>Kasungu District [JQKLKuVuY61]|10-14|Male</v>
      </c>
      <c r="F126" s="38">
        <v>3</v>
      </c>
      <c r="G126" s="33">
        <v>0.39</v>
      </c>
      <c r="H126" s="218">
        <f t="shared" si="14"/>
        <v>4</v>
      </c>
      <c r="I126" s="38"/>
      <c r="J126" s="33"/>
      <c r="K126" s="33">
        <v>0.45</v>
      </c>
      <c r="L126" s="33"/>
      <c r="M126" s="33">
        <v>0.06</v>
      </c>
      <c r="N126" s="38">
        <f t="shared" si="22"/>
        <v>4</v>
      </c>
      <c r="O126" s="218">
        <f t="shared" si="15"/>
        <v>2</v>
      </c>
      <c r="P126" s="218">
        <f t="shared" si="16"/>
        <v>0</v>
      </c>
      <c r="Q126" s="218">
        <f t="shared" si="17"/>
        <v>2</v>
      </c>
      <c r="R126" s="33" t="str">
        <f>IF(SUM($P126)=0,"",INDEX(Cascade!$BG:$BG,MATCH($E126,Cascade!$E:$E,0)))</f>
        <v/>
      </c>
      <c r="S126" s="218">
        <f t="shared" si="18"/>
        <v>2</v>
      </c>
      <c r="T126" s="218" t="str">
        <f t="shared" si="19"/>
        <v/>
      </c>
      <c r="U126" s="38">
        <f>IFERROR(1/(1/INDEX(Cascade!$BH:$BH,MATCH($E126,Cascade!$E:$E,0))),"")</f>
        <v>4</v>
      </c>
      <c r="V126" s="38" t="str">
        <f t="shared" si="20"/>
        <v/>
      </c>
      <c r="W126" s="38" t="str">
        <f>IFERROR(1/(1/INDEX(PMTCT!$AC:$AC,MATCH($E126,PMTCT!$E:$E,0))),"")</f>
        <v/>
      </c>
      <c r="X126" s="38" t="str">
        <f>IFERROR(1/(1/INDEX(PMTCT!$AS:$AS,MATCH($E126,PMTCT!$E:$E,0))),"")</f>
        <v/>
      </c>
      <c r="Y126" s="38" t="str">
        <f>IFERROR(1/(1/INDEX(VMMC!$AA:$AA,MATCH($E126,VMMC!$E:$E,0))),"")</f>
        <v/>
      </c>
      <c r="Z126" s="38">
        <f t="shared" si="21"/>
        <v>4</v>
      </c>
    </row>
    <row r="127" spans="1:26" x14ac:dyDescent="0.2">
      <c r="A127" t="str">
        <f>INDEX(Prioritization!$D:$D,MATCH($B127,Prioritization!$A:$A,0))</f>
        <v>INVALID</v>
      </c>
      <c r="B127" t="s">
        <v>300</v>
      </c>
      <c r="C127" t="s">
        <v>475</v>
      </c>
      <c r="D127" t="s">
        <v>30</v>
      </c>
      <c r="E127" t="str">
        <f t="shared" si="13"/>
        <v>Kasungu District [JQKLKuVuY61]|15-24|Female</v>
      </c>
      <c r="F127" s="38">
        <v>20</v>
      </c>
      <c r="G127" s="33">
        <v>0.39</v>
      </c>
      <c r="H127" s="218">
        <f t="shared" si="14"/>
        <v>28</v>
      </c>
      <c r="I127" s="38">
        <v>1</v>
      </c>
      <c r="J127" s="33"/>
      <c r="K127" s="33">
        <v>0.45</v>
      </c>
      <c r="L127" s="33"/>
      <c r="M127" s="33">
        <v>0.06</v>
      </c>
      <c r="N127" s="38">
        <f t="shared" si="22"/>
        <v>28</v>
      </c>
      <c r="O127" s="218">
        <f t="shared" si="15"/>
        <v>13</v>
      </c>
      <c r="P127" s="218">
        <f t="shared" si="16"/>
        <v>1</v>
      </c>
      <c r="Q127" s="218">
        <f t="shared" si="17"/>
        <v>14</v>
      </c>
      <c r="R127" s="33">
        <f>IF(SUM($P127)=0,"",INDEX(Cascade!$BG:$BG,MATCH($E127,Cascade!$E:$E,0)))</f>
        <v>0.95</v>
      </c>
      <c r="S127" s="218">
        <f t="shared" si="18"/>
        <v>13</v>
      </c>
      <c r="T127" s="218">
        <f t="shared" si="19"/>
        <v>1</v>
      </c>
      <c r="U127" s="38">
        <f>IFERROR(1/(1/INDEX(Cascade!$BH:$BH,MATCH($E127,Cascade!$E:$E,0))),"")</f>
        <v>98.999999999999986</v>
      </c>
      <c r="V127" s="38">
        <f t="shared" si="20"/>
        <v>1</v>
      </c>
      <c r="W127" s="38">
        <f>IFERROR(1/(1/INDEX(PMTCT!$AC:$AC,MATCH($E127,PMTCT!$E:$E,0))),"")</f>
        <v>25</v>
      </c>
      <c r="X127" s="38">
        <f>IFERROR(1/(1/INDEX(PMTCT!$AS:$AS,MATCH($E127,PMTCT!$E:$E,0))),"")</f>
        <v>23</v>
      </c>
      <c r="Y127" s="38" t="str">
        <f>IFERROR(1/(1/INDEX(VMMC!$AA:$AA,MATCH($E127,VMMC!$E:$E,0))),"")</f>
        <v/>
      </c>
      <c r="Z127" s="38">
        <f t="shared" si="21"/>
        <v>49.999999999999979</v>
      </c>
    </row>
    <row r="128" spans="1:26" x14ac:dyDescent="0.2">
      <c r="A128" t="str">
        <f>INDEX(Prioritization!$D:$D,MATCH($B128,Prioritization!$A:$A,0))</f>
        <v>INVALID</v>
      </c>
      <c r="B128" t="s">
        <v>300</v>
      </c>
      <c r="C128" t="s">
        <v>475</v>
      </c>
      <c r="D128" t="s">
        <v>48</v>
      </c>
      <c r="E128" t="str">
        <f t="shared" si="13"/>
        <v>Kasungu District [JQKLKuVuY61]|15-24|Male</v>
      </c>
      <c r="F128" s="38">
        <v>34</v>
      </c>
      <c r="G128" s="33">
        <v>0.39</v>
      </c>
      <c r="H128" s="218">
        <f t="shared" si="14"/>
        <v>47</v>
      </c>
      <c r="I128" s="38">
        <v>1</v>
      </c>
      <c r="J128" s="33"/>
      <c r="K128" s="33">
        <v>0.45</v>
      </c>
      <c r="L128" s="33"/>
      <c r="M128" s="33">
        <v>0.06</v>
      </c>
      <c r="N128" s="38">
        <f t="shared" si="22"/>
        <v>47</v>
      </c>
      <c r="O128" s="218">
        <f t="shared" si="15"/>
        <v>21</v>
      </c>
      <c r="P128" s="218">
        <f t="shared" si="16"/>
        <v>2</v>
      </c>
      <c r="Q128" s="218">
        <f t="shared" si="17"/>
        <v>24</v>
      </c>
      <c r="R128" s="33">
        <f>IF(SUM($P128)=0,"",INDEX(Cascade!$BG:$BG,MATCH($E128,Cascade!$E:$E,0)))</f>
        <v>0.95</v>
      </c>
      <c r="S128" s="218">
        <f t="shared" si="18"/>
        <v>21</v>
      </c>
      <c r="T128" s="218">
        <f t="shared" si="19"/>
        <v>2</v>
      </c>
      <c r="U128" s="38">
        <f>IFERROR(1/(1/INDEX(Cascade!$BH:$BH,MATCH($E128,Cascade!$E:$E,0))),"")</f>
        <v>20</v>
      </c>
      <c r="V128" s="38">
        <f t="shared" si="20"/>
        <v>2</v>
      </c>
      <c r="W128" s="38" t="str">
        <f>IFERROR(1/(1/INDEX(PMTCT!$AC:$AC,MATCH($E128,PMTCT!$E:$E,0))),"")</f>
        <v/>
      </c>
      <c r="X128" s="38" t="str">
        <f>IFERROR(1/(1/INDEX(PMTCT!$AS:$AS,MATCH($E128,PMTCT!$E:$E,0))),"")</f>
        <v/>
      </c>
      <c r="Y128" s="38" t="str">
        <f>IFERROR(1/(1/INDEX(VMMC!$AA:$AA,MATCH($E128,VMMC!$E:$E,0))),"")</f>
        <v/>
      </c>
      <c r="Z128" s="38">
        <f t="shared" si="21"/>
        <v>18</v>
      </c>
    </row>
    <row r="129" spans="1:26" x14ac:dyDescent="0.2">
      <c r="A129" t="str">
        <f>INDEX(Prioritization!$D:$D,MATCH($B129,Prioritization!$A:$A,0))</f>
        <v>INVALID</v>
      </c>
      <c r="B129" t="s">
        <v>300</v>
      </c>
      <c r="C129" t="s">
        <v>476</v>
      </c>
      <c r="D129" t="s">
        <v>30</v>
      </c>
      <c r="E129" t="str">
        <f t="shared" si="13"/>
        <v>Kasungu District [JQKLKuVuY61]|25-34|Female</v>
      </c>
      <c r="F129" s="38">
        <v>20</v>
      </c>
      <c r="G129" s="33">
        <v>0.39</v>
      </c>
      <c r="H129" s="218">
        <f t="shared" si="14"/>
        <v>28</v>
      </c>
      <c r="I129" s="38">
        <v>1</v>
      </c>
      <c r="J129" s="33"/>
      <c r="K129" s="33">
        <v>0.45</v>
      </c>
      <c r="L129" s="33"/>
      <c r="M129" s="33">
        <v>0.06</v>
      </c>
      <c r="N129" s="38">
        <f t="shared" si="22"/>
        <v>28</v>
      </c>
      <c r="O129" s="218">
        <f t="shared" si="15"/>
        <v>13</v>
      </c>
      <c r="P129" s="218">
        <f t="shared" si="16"/>
        <v>1</v>
      </c>
      <c r="Q129" s="218">
        <f t="shared" si="17"/>
        <v>14</v>
      </c>
      <c r="R129" s="33">
        <f>IF(SUM($P129)=0,"",INDEX(Cascade!$BG:$BG,MATCH($E129,Cascade!$E:$E,0)))</f>
        <v>0.95</v>
      </c>
      <c r="S129" s="218">
        <f t="shared" si="18"/>
        <v>13</v>
      </c>
      <c r="T129" s="218">
        <f t="shared" si="19"/>
        <v>1</v>
      </c>
      <c r="U129" s="38">
        <f>IFERROR(1/(1/INDEX(Cascade!$BH:$BH,MATCH($E129,Cascade!$E:$E,0))),"")</f>
        <v>294</v>
      </c>
      <c r="V129" s="38">
        <f t="shared" si="20"/>
        <v>1</v>
      </c>
      <c r="W129" s="38">
        <f>IFERROR(1/(1/INDEX(PMTCT!$AC:$AC,MATCH($E129,PMTCT!$E:$E,0))),"")</f>
        <v>87</v>
      </c>
      <c r="X129" s="38">
        <f>IFERROR(1/(1/INDEX(PMTCT!$AS:$AS,MATCH($E129,PMTCT!$E:$E,0))),"")</f>
        <v>37</v>
      </c>
      <c r="Y129" s="38" t="str">
        <f>IFERROR(1/(1/INDEX(VMMC!$AA:$AA,MATCH($E129,VMMC!$E:$E,0))),"")</f>
        <v/>
      </c>
      <c r="Z129" s="38">
        <f t="shared" si="21"/>
        <v>169</v>
      </c>
    </row>
    <row r="130" spans="1:26" x14ac:dyDescent="0.2">
      <c r="A130" t="str">
        <f>INDEX(Prioritization!$D:$D,MATCH($B130,Prioritization!$A:$A,0))</f>
        <v>INVALID</v>
      </c>
      <c r="B130" t="s">
        <v>300</v>
      </c>
      <c r="C130" t="s">
        <v>476</v>
      </c>
      <c r="D130" t="s">
        <v>48</v>
      </c>
      <c r="E130" t="str">
        <f t="shared" si="13"/>
        <v>Kasungu District [JQKLKuVuY61]|25-34|Male</v>
      </c>
      <c r="F130" s="38">
        <v>34</v>
      </c>
      <c r="G130" s="33">
        <v>0.39</v>
      </c>
      <c r="H130" s="218">
        <f t="shared" si="14"/>
        <v>47</v>
      </c>
      <c r="I130" s="38">
        <v>1</v>
      </c>
      <c r="J130" s="33"/>
      <c r="K130" s="33">
        <v>0.45</v>
      </c>
      <c r="L130" s="33"/>
      <c r="M130" s="33">
        <v>0.06</v>
      </c>
      <c r="N130" s="38">
        <f t="shared" si="22"/>
        <v>47</v>
      </c>
      <c r="O130" s="218">
        <f t="shared" si="15"/>
        <v>21</v>
      </c>
      <c r="P130" s="218">
        <f t="shared" si="16"/>
        <v>2</v>
      </c>
      <c r="Q130" s="218">
        <f t="shared" si="17"/>
        <v>24</v>
      </c>
      <c r="R130" s="33">
        <f>IF(SUM($P130)=0,"",INDEX(Cascade!$BG:$BG,MATCH($E130,Cascade!$E:$E,0)))</f>
        <v>0.95</v>
      </c>
      <c r="S130" s="218">
        <f t="shared" si="18"/>
        <v>21</v>
      </c>
      <c r="T130" s="218">
        <f t="shared" si="19"/>
        <v>2</v>
      </c>
      <c r="U130" s="38">
        <f>IFERROR(1/(1/INDEX(Cascade!$BH:$BH,MATCH($E130,Cascade!$E:$E,0))),"")</f>
        <v>14</v>
      </c>
      <c r="V130" s="38">
        <f t="shared" si="20"/>
        <v>2</v>
      </c>
      <c r="W130" s="38" t="str">
        <f>IFERROR(1/(1/INDEX(PMTCT!$AC:$AC,MATCH($E130,PMTCT!$E:$E,0))),"")</f>
        <v/>
      </c>
      <c r="X130" s="38" t="str">
        <f>IFERROR(1/(1/INDEX(PMTCT!$AS:$AS,MATCH($E130,PMTCT!$E:$E,0))),"")</f>
        <v/>
      </c>
      <c r="Y130" s="38" t="str">
        <f>IFERROR(1/(1/INDEX(VMMC!$AA:$AA,MATCH($E130,VMMC!$E:$E,0))),"")</f>
        <v/>
      </c>
      <c r="Z130" s="38">
        <f t="shared" si="21"/>
        <v>12</v>
      </c>
    </row>
    <row r="131" spans="1:26" x14ac:dyDescent="0.2">
      <c r="A131" t="str">
        <f>INDEX(Prioritization!$D:$D,MATCH($B131,Prioritization!$A:$A,0))</f>
        <v>INVALID</v>
      </c>
      <c r="B131" t="s">
        <v>300</v>
      </c>
      <c r="C131" t="s">
        <v>477</v>
      </c>
      <c r="D131" t="s">
        <v>30</v>
      </c>
      <c r="E131" t="str">
        <f t="shared" si="13"/>
        <v>Kasungu District [JQKLKuVuY61]|35-49|Female</v>
      </c>
      <c r="F131" s="38">
        <v>30</v>
      </c>
      <c r="G131" s="33">
        <v>0.39</v>
      </c>
      <c r="H131" s="218">
        <f t="shared" si="14"/>
        <v>42</v>
      </c>
      <c r="I131" s="38">
        <v>1</v>
      </c>
      <c r="J131" s="33"/>
      <c r="K131" s="33">
        <v>0.45</v>
      </c>
      <c r="L131" s="33"/>
      <c r="M131" s="33">
        <v>0.06</v>
      </c>
      <c r="N131" s="38">
        <f t="shared" si="22"/>
        <v>42</v>
      </c>
      <c r="O131" s="218">
        <f t="shared" si="15"/>
        <v>19</v>
      </c>
      <c r="P131" s="218">
        <f t="shared" si="16"/>
        <v>1</v>
      </c>
      <c r="Q131" s="218">
        <f t="shared" si="17"/>
        <v>22</v>
      </c>
      <c r="R131" s="33">
        <f>IF(SUM($P131)=0,"",INDEX(Cascade!$BG:$BG,MATCH($E131,Cascade!$E:$E,0)))</f>
        <v>0.95</v>
      </c>
      <c r="S131" s="218">
        <f t="shared" si="18"/>
        <v>19</v>
      </c>
      <c r="T131" s="218">
        <f t="shared" si="19"/>
        <v>1</v>
      </c>
      <c r="U131" s="38">
        <f>IFERROR(1/(1/INDEX(Cascade!$BH:$BH,MATCH($E131,Cascade!$E:$E,0))),"")</f>
        <v>118</v>
      </c>
      <c r="V131" s="38">
        <f t="shared" si="20"/>
        <v>1</v>
      </c>
      <c r="W131" s="38">
        <f>IFERROR(1/(1/INDEX(PMTCT!$AC:$AC,MATCH($E131,PMTCT!$E:$E,0))),"")</f>
        <v>17</v>
      </c>
      <c r="X131" s="38">
        <f>IFERROR(1/(1/INDEX(PMTCT!$AS:$AS,MATCH($E131,PMTCT!$E:$E,0))),"")</f>
        <v>9</v>
      </c>
      <c r="Y131" s="38" t="str">
        <f>IFERROR(1/(1/INDEX(VMMC!$AA:$AA,MATCH($E131,VMMC!$E:$E,0))),"")</f>
        <v/>
      </c>
      <c r="Z131" s="38">
        <f t="shared" si="21"/>
        <v>91</v>
      </c>
    </row>
    <row r="132" spans="1:26" x14ac:dyDescent="0.2">
      <c r="A132" t="str">
        <f>INDEX(Prioritization!$D:$D,MATCH($B132,Prioritization!$A:$A,0))</f>
        <v>INVALID</v>
      </c>
      <c r="B132" t="s">
        <v>300</v>
      </c>
      <c r="C132" t="s">
        <v>477</v>
      </c>
      <c r="D132" t="s">
        <v>48</v>
      </c>
      <c r="E132" t="str">
        <f t="shared" si="13"/>
        <v>Kasungu District [JQKLKuVuY61]|35-49|Male</v>
      </c>
      <c r="F132" s="38">
        <v>51</v>
      </c>
      <c r="G132" s="33">
        <v>0.39</v>
      </c>
      <c r="H132" s="218">
        <f t="shared" si="14"/>
        <v>71</v>
      </c>
      <c r="I132" s="38">
        <v>1</v>
      </c>
      <c r="J132" s="33"/>
      <c r="K132" s="33">
        <v>0.45</v>
      </c>
      <c r="L132" s="33"/>
      <c r="M132" s="33">
        <v>0.06</v>
      </c>
      <c r="N132" s="38">
        <f t="shared" si="22"/>
        <v>70</v>
      </c>
      <c r="O132" s="218">
        <f t="shared" si="15"/>
        <v>32</v>
      </c>
      <c r="P132" s="218">
        <f t="shared" si="16"/>
        <v>2</v>
      </c>
      <c r="Q132" s="218">
        <f t="shared" si="17"/>
        <v>36</v>
      </c>
      <c r="R132" s="33">
        <f>IF(SUM($P132)=0,"",INDEX(Cascade!$BG:$BG,MATCH($E132,Cascade!$E:$E,0)))</f>
        <v>0.95</v>
      </c>
      <c r="S132" s="218">
        <f t="shared" si="18"/>
        <v>32</v>
      </c>
      <c r="T132" s="218">
        <f t="shared" si="19"/>
        <v>2</v>
      </c>
      <c r="U132" s="38">
        <f>IFERROR(1/(1/INDEX(Cascade!$BH:$BH,MATCH($E132,Cascade!$E:$E,0))),"")</f>
        <v>60</v>
      </c>
      <c r="V132" s="38">
        <f t="shared" si="20"/>
        <v>2</v>
      </c>
      <c r="W132" s="38" t="str">
        <f>IFERROR(1/(1/INDEX(PMTCT!$AC:$AC,MATCH($E132,PMTCT!$E:$E,0))),"")</f>
        <v/>
      </c>
      <c r="X132" s="38" t="str">
        <f>IFERROR(1/(1/INDEX(PMTCT!$AS:$AS,MATCH($E132,PMTCT!$E:$E,0))),"")</f>
        <v/>
      </c>
      <c r="Y132" s="38" t="str">
        <f>IFERROR(1/(1/INDEX(VMMC!$AA:$AA,MATCH($E132,VMMC!$E:$E,0))),"")</f>
        <v/>
      </c>
      <c r="Z132" s="38">
        <f t="shared" si="21"/>
        <v>58</v>
      </c>
    </row>
    <row r="133" spans="1:26" x14ac:dyDescent="0.2">
      <c r="A133" t="str">
        <f>INDEX(Prioritization!$D:$D,MATCH($B133,Prioritization!$A:$A,0))</f>
        <v>INVALID</v>
      </c>
      <c r="B133" t="s">
        <v>300</v>
      </c>
      <c r="C133" t="s">
        <v>478</v>
      </c>
      <c r="D133" t="s">
        <v>30</v>
      </c>
      <c r="E133" t="str">
        <f t="shared" si="13"/>
        <v>Kasungu District [JQKLKuVuY61]|50+|Female</v>
      </c>
      <c r="F133" s="38">
        <v>10</v>
      </c>
      <c r="G133" s="33">
        <v>0.39</v>
      </c>
      <c r="H133" s="218">
        <f t="shared" si="14"/>
        <v>14</v>
      </c>
      <c r="I133" s="38"/>
      <c r="J133" s="33"/>
      <c r="K133" s="33">
        <v>0.45</v>
      </c>
      <c r="L133" s="33"/>
      <c r="M133" s="33">
        <v>0.06</v>
      </c>
      <c r="N133" s="38">
        <f t="shared" si="22"/>
        <v>14</v>
      </c>
      <c r="O133" s="218">
        <f t="shared" si="15"/>
        <v>6</v>
      </c>
      <c r="P133" s="218">
        <f t="shared" si="16"/>
        <v>0</v>
      </c>
      <c r="Q133" s="218">
        <f t="shared" si="17"/>
        <v>8</v>
      </c>
      <c r="R133" s="33" t="str">
        <f>IF(SUM($P133)=0,"",INDEX(Cascade!$BG:$BG,MATCH($E133,Cascade!$E:$E,0)))</f>
        <v/>
      </c>
      <c r="S133" s="218">
        <f t="shared" si="18"/>
        <v>6</v>
      </c>
      <c r="T133" s="218" t="str">
        <f t="shared" si="19"/>
        <v/>
      </c>
      <c r="U133" s="38">
        <f>IFERROR(1/(1/INDEX(Cascade!$BH:$BH,MATCH($E133,Cascade!$E:$E,0))),"")</f>
        <v>129</v>
      </c>
      <c r="V133" s="38" t="str">
        <f t="shared" si="20"/>
        <v/>
      </c>
      <c r="W133" s="38" t="str">
        <f>IFERROR(1/(1/INDEX(PMTCT!$AC:$AC,MATCH($E133,PMTCT!$E:$E,0))),"")</f>
        <v/>
      </c>
      <c r="X133" s="38" t="str">
        <f>IFERROR(1/(1/INDEX(PMTCT!$AS:$AS,MATCH($E133,PMTCT!$E:$E,0))),"")</f>
        <v/>
      </c>
      <c r="Y133" s="38" t="str">
        <f>IFERROR(1/(1/INDEX(VMMC!$AA:$AA,MATCH($E133,VMMC!$E:$E,0))),"")</f>
        <v/>
      </c>
      <c r="Z133" s="38">
        <f t="shared" si="21"/>
        <v>129</v>
      </c>
    </row>
    <row r="134" spans="1:26" x14ac:dyDescent="0.2">
      <c r="A134" t="str">
        <f>INDEX(Prioritization!$D:$D,MATCH($B134,Prioritization!$A:$A,0))</f>
        <v>INVALID</v>
      </c>
      <c r="B134" t="s">
        <v>300</v>
      </c>
      <c r="C134" t="s">
        <v>478</v>
      </c>
      <c r="D134" t="s">
        <v>48</v>
      </c>
      <c r="E134" t="str">
        <f t="shared" si="13"/>
        <v>Kasungu District [JQKLKuVuY61]|50+|Male</v>
      </c>
      <c r="F134" s="38">
        <v>18</v>
      </c>
      <c r="G134" s="33">
        <v>0.39</v>
      </c>
      <c r="H134" s="218">
        <f t="shared" si="14"/>
        <v>25</v>
      </c>
      <c r="I134" s="38">
        <v>1</v>
      </c>
      <c r="J134" s="33"/>
      <c r="K134" s="33">
        <v>0.45</v>
      </c>
      <c r="L134" s="33"/>
      <c r="M134" s="33">
        <v>0.06</v>
      </c>
      <c r="N134" s="38">
        <f t="shared" si="22"/>
        <v>25</v>
      </c>
      <c r="O134" s="218">
        <f t="shared" si="15"/>
        <v>11</v>
      </c>
      <c r="P134" s="218">
        <f t="shared" si="16"/>
        <v>1</v>
      </c>
      <c r="Q134" s="218">
        <f t="shared" si="17"/>
        <v>13</v>
      </c>
      <c r="R134" s="33">
        <f>IF(SUM($P134)=0,"",INDEX(Cascade!$BG:$BG,MATCH($E134,Cascade!$E:$E,0)))</f>
        <v>0.95</v>
      </c>
      <c r="S134" s="218">
        <f t="shared" si="18"/>
        <v>11</v>
      </c>
      <c r="T134" s="218">
        <f t="shared" si="19"/>
        <v>1</v>
      </c>
      <c r="U134" s="38">
        <f>IFERROR(1/(1/INDEX(Cascade!$BH:$BH,MATCH($E134,Cascade!$E:$E,0))),"")</f>
        <v>85</v>
      </c>
      <c r="V134" s="38">
        <f t="shared" si="20"/>
        <v>1</v>
      </c>
      <c r="W134" s="38" t="str">
        <f>IFERROR(1/(1/INDEX(PMTCT!$AC:$AC,MATCH($E134,PMTCT!$E:$E,0))),"")</f>
        <v/>
      </c>
      <c r="X134" s="38" t="str">
        <f>IFERROR(1/(1/INDEX(PMTCT!$AS:$AS,MATCH($E134,PMTCT!$E:$E,0))),"")</f>
        <v/>
      </c>
      <c r="Y134" s="38" t="str">
        <f>IFERROR(1/(1/INDEX(VMMC!$AA:$AA,MATCH($E134,VMMC!$E:$E,0))),"")</f>
        <v/>
      </c>
      <c r="Z134" s="38">
        <f t="shared" si="21"/>
        <v>84</v>
      </c>
    </row>
    <row r="135" spans="1:26" x14ac:dyDescent="0.2">
      <c r="A135" t="str">
        <f>INDEX(Prioritization!$D:$D,MATCH($B135,Prioritization!$A:$A,0))</f>
        <v>4 - Sustained</v>
      </c>
      <c r="B135" t="s">
        <v>309</v>
      </c>
      <c r="C135" t="s">
        <v>473</v>
      </c>
      <c r="D135" t="s">
        <v>30</v>
      </c>
      <c r="E135" t="str">
        <f t="shared" si="13"/>
        <v>Likoma District [ZCjuwgaMB9u]|01-09|Female</v>
      </c>
      <c r="F135" s="38"/>
      <c r="G135" s="33">
        <v>0.39</v>
      </c>
      <c r="H135" s="218" t="str">
        <f t="shared" si="14"/>
        <v/>
      </c>
      <c r="I135" s="38"/>
      <c r="J135" s="33"/>
      <c r="K135" s="33">
        <v>0.45</v>
      </c>
      <c r="L135" s="33"/>
      <c r="M135" s="33">
        <v>0.06</v>
      </c>
      <c r="N135" s="38" t="str">
        <f>IFERROR(ROUND($H135*0.99,0),"")</f>
        <v/>
      </c>
      <c r="O135" s="218" t="str">
        <f t="shared" si="15"/>
        <v/>
      </c>
      <c r="P135" s="218" t="str">
        <f t="shared" si="16"/>
        <v/>
      </c>
      <c r="Q135" s="218" t="str">
        <f t="shared" si="17"/>
        <v/>
      </c>
      <c r="R135" s="33" t="str">
        <f>IF(SUM($P135)=0,"",INDEX(Cascade!$BG:$BG,MATCH($E135,Cascade!$E:$E,0)))</f>
        <v/>
      </c>
      <c r="S135" s="218" t="str">
        <f t="shared" si="18"/>
        <v/>
      </c>
      <c r="T135" s="218" t="str">
        <f t="shared" si="19"/>
        <v/>
      </c>
      <c r="U135" s="38" t="str">
        <f>IFERROR(1/(1/INDEX(Cascade!$BH:$BH,MATCH($E135,Cascade!$E:$E,0))),"")</f>
        <v/>
      </c>
      <c r="V135" s="38" t="str">
        <f t="shared" si="20"/>
        <v/>
      </c>
      <c r="W135" s="38" t="str">
        <f>IFERROR(1/(1/INDEX(PMTCT!$AC:$AC,MATCH($E135,PMTCT!$E:$E,0))),"")</f>
        <v/>
      </c>
      <c r="X135" s="38" t="str">
        <f>IFERROR(1/(1/INDEX(PMTCT!$AS:$AS,MATCH($E135,PMTCT!$E:$E,0))),"")</f>
        <v/>
      </c>
      <c r="Y135" s="38" t="str">
        <f>IFERROR(1/(1/INDEX(VMMC!$AA:$AA,MATCH($E135,VMMC!$E:$E,0))),"")</f>
        <v/>
      </c>
      <c r="Z135" s="38" t="str">
        <f t="shared" si="21"/>
        <v/>
      </c>
    </row>
    <row r="136" spans="1:26" x14ac:dyDescent="0.2">
      <c r="A136" t="str">
        <f>INDEX(Prioritization!$D:$D,MATCH($B136,Prioritization!$A:$A,0))</f>
        <v>4 - Sustained</v>
      </c>
      <c r="B136" t="s">
        <v>309</v>
      </c>
      <c r="C136" t="s">
        <v>473</v>
      </c>
      <c r="D136" t="s">
        <v>48</v>
      </c>
      <c r="E136" t="str">
        <f t="shared" si="13"/>
        <v>Likoma District [ZCjuwgaMB9u]|01-09|Male</v>
      </c>
      <c r="F136" s="38"/>
      <c r="G136" s="33">
        <v>0.39</v>
      </c>
      <c r="H136" s="218" t="str">
        <f t="shared" si="14"/>
        <v/>
      </c>
      <c r="I136" s="38"/>
      <c r="J136" s="33"/>
      <c r="K136" s="33">
        <v>0.45</v>
      </c>
      <c r="L136" s="33"/>
      <c r="M136" s="33">
        <v>0.06</v>
      </c>
      <c r="N136" s="38" t="str">
        <f t="shared" ref="N136:N199" si="23">IFERROR(ROUND($H136*0.99,0),"")</f>
        <v/>
      </c>
      <c r="O136" s="218" t="str">
        <f t="shared" si="15"/>
        <v/>
      </c>
      <c r="P136" s="218" t="str">
        <f t="shared" si="16"/>
        <v/>
      </c>
      <c r="Q136" s="218" t="str">
        <f t="shared" si="17"/>
        <v/>
      </c>
      <c r="R136" s="33" t="str">
        <f>IF(SUM($P136)=0,"",INDEX(Cascade!$BG:$BG,MATCH($E136,Cascade!$E:$E,0)))</f>
        <v/>
      </c>
      <c r="S136" s="218" t="str">
        <f t="shared" si="18"/>
        <v/>
      </c>
      <c r="T136" s="218" t="str">
        <f t="shared" si="19"/>
        <v/>
      </c>
      <c r="U136" s="38">
        <f>IFERROR(1/(1/INDEX(Cascade!$BH:$BH,MATCH($E136,Cascade!$E:$E,0))),"")</f>
        <v>1</v>
      </c>
      <c r="V136" s="38" t="str">
        <f t="shared" si="20"/>
        <v/>
      </c>
      <c r="W136" s="38" t="str">
        <f>IFERROR(1/(1/INDEX(PMTCT!$AC:$AC,MATCH($E136,PMTCT!$E:$E,0))),"")</f>
        <v/>
      </c>
      <c r="X136" s="38" t="str">
        <f>IFERROR(1/(1/INDEX(PMTCT!$AS:$AS,MATCH($E136,PMTCT!$E:$E,0))),"")</f>
        <v/>
      </c>
      <c r="Y136" s="38" t="str">
        <f>IFERROR(1/(1/INDEX(VMMC!$AA:$AA,MATCH($E136,VMMC!$E:$E,0))),"")</f>
        <v/>
      </c>
      <c r="Z136" s="38">
        <f t="shared" si="21"/>
        <v>1</v>
      </c>
    </row>
    <row r="137" spans="1:26" x14ac:dyDescent="0.2">
      <c r="A137" t="str">
        <f>INDEX(Prioritization!$D:$D,MATCH($B137,Prioritization!$A:$A,0))</f>
        <v>4 - Sustained</v>
      </c>
      <c r="B137" t="s">
        <v>309</v>
      </c>
      <c r="C137" t="s">
        <v>474</v>
      </c>
      <c r="D137" t="s">
        <v>30</v>
      </c>
      <c r="E137" t="str">
        <f t="shared" si="13"/>
        <v>Likoma District [ZCjuwgaMB9u]|10-14|Female</v>
      </c>
      <c r="F137" s="38"/>
      <c r="G137" s="33">
        <v>0.39</v>
      </c>
      <c r="H137" s="218" t="str">
        <f t="shared" si="14"/>
        <v/>
      </c>
      <c r="I137" s="38"/>
      <c r="J137" s="33"/>
      <c r="K137" s="33">
        <v>0.45</v>
      </c>
      <c r="L137" s="33"/>
      <c r="M137" s="33">
        <v>0.06</v>
      </c>
      <c r="N137" s="38" t="str">
        <f t="shared" si="23"/>
        <v/>
      </c>
      <c r="O137" s="218" t="str">
        <f t="shared" si="15"/>
        <v/>
      </c>
      <c r="P137" s="218" t="str">
        <f t="shared" si="16"/>
        <v/>
      </c>
      <c r="Q137" s="218" t="str">
        <f t="shared" si="17"/>
        <v/>
      </c>
      <c r="R137" s="33" t="str">
        <f>IF(SUM($P137)=0,"",INDEX(Cascade!$BG:$BG,MATCH($E137,Cascade!$E:$E,0)))</f>
        <v/>
      </c>
      <c r="S137" s="218" t="str">
        <f t="shared" si="18"/>
        <v/>
      </c>
      <c r="T137" s="218" t="str">
        <f t="shared" si="19"/>
        <v/>
      </c>
      <c r="U137" s="38">
        <f>IFERROR(1/(1/INDEX(Cascade!$BH:$BH,MATCH($E137,Cascade!$E:$E,0))),"")</f>
        <v>2</v>
      </c>
      <c r="V137" s="38" t="str">
        <f t="shared" si="20"/>
        <v/>
      </c>
      <c r="W137" s="38" t="str">
        <f>IFERROR(1/(1/INDEX(PMTCT!$AC:$AC,MATCH($E137,PMTCT!$E:$E,0))),"")</f>
        <v/>
      </c>
      <c r="X137" s="38" t="str">
        <f>IFERROR(1/(1/INDEX(PMTCT!$AS:$AS,MATCH($E137,PMTCT!$E:$E,0))),"")</f>
        <v/>
      </c>
      <c r="Y137" s="38" t="str">
        <f>IFERROR(1/(1/INDEX(VMMC!$AA:$AA,MATCH($E137,VMMC!$E:$E,0))),"")</f>
        <v/>
      </c>
      <c r="Z137" s="38">
        <f t="shared" si="21"/>
        <v>2</v>
      </c>
    </row>
    <row r="138" spans="1:26" x14ac:dyDescent="0.2">
      <c r="A138" t="str">
        <f>INDEX(Prioritization!$D:$D,MATCH($B138,Prioritization!$A:$A,0))</f>
        <v>4 - Sustained</v>
      </c>
      <c r="B138" t="s">
        <v>309</v>
      </c>
      <c r="C138" t="s">
        <v>474</v>
      </c>
      <c r="D138" t="s">
        <v>48</v>
      </c>
      <c r="E138" t="str">
        <f t="shared" si="13"/>
        <v>Likoma District [ZCjuwgaMB9u]|10-14|Male</v>
      </c>
      <c r="F138" s="38"/>
      <c r="G138" s="33">
        <v>0.39</v>
      </c>
      <c r="H138" s="218" t="str">
        <f t="shared" si="14"/>
        <v/>
      </c>
      <c r="I138" s="38"/>
      <c r="J138" s="33"/>
      <c r="K138" s="33">
        <v>0.45</v>
      </c>
      <c r="L138" s="33"/>
      <c r="M138" s="33">
        <v>0.06</v>
      </c>
      <c r="N138" s="38" t="str">
        <f t="shared" si="23"/>
        <v/>
      </c>
      <c r="O138" s="218" t="str">
        <f t="shared" si="15"/>
        <v/>
      </c>
      <c r="P138" s="218" t="str">
        <f t="shared" si="16"/>
        <v/>
      </c>
      <c r="Q138" s="218" t="str">
        <f t="shared" si="17"/>
        <v/>
      </c>
      <c r="R138" s="33" t="str">
        <f>IF(SUM($P138)=0,"",INDEX(Cascade!$BG:$BG,MATCH($E138,Cascade!$E:$E,0)))</f>
        <v/>
      </c>
      <c r="S138" s="218" t="str">
        <f t="shared" si="18"/>
        <v/>
      </c>
      <c r="T138" s="218" t="str">
        <f t="shared" si="19"/>
        <v/>
      </c>
      <c r="U138" s="38" t="str">
        <f>IFERROR(1/(1/INDEX(Cascade!$BH:$BH,MATCH($E138,Cascade!$E:$E,0))),"")</f>
        <v/>
      </c>
      <c r="V138" s="38" t="str">
        <f t="shared" si="20"/>
        <v/>
      </c>
      <c r="W138" s="38" t="str">
        <f>IFERROR(1/(1/INDEX(PMTCT!$AC:$AC,MATCH($E138,PMTCT!$E:$E,0))),"")</f>
        <v/>
      </c>
      <c r="X138" s="38" t="str">
        <f>IFERROR(1/(1/INDEX(PMTCT!$AS:$AS,MATCH($E138,PMTCT!$E:$E,0))),"")</f>
        <v/>
      </c>
      <c r="Y138" s="38" t="str">
        <f>IFERROR(1/(1/INDEX(VMMC!$AA:$AA,MATCH($E138,VMMC!$E:$E,0))),"")</f>
        <v/>
      </c>
      <c r="Z138" s="38" t="str">
        <f t="shared" si="21"/>
        <v/>
      </c>
    </row>
    <row r="139" spans="1:26" x14ac:dyDescent="0.2">
      <c r="A139" t="str">
        <f>INDEX(Prioritization!$D:$D,MATCH($B139,Prioritization!$A:$A,0))</f>
        <v>4 - Sustained</v>
      </c>
      <c r="B139" t="s">
        <v>309</v>
      </c>
      <c r="C139" t="s">
        <v>475</v>
      </c>
      <c r="D139" t="s">
        <v>30</v>
      </c>
      <c r="E139" t="str">
        <f t="shared" si="13"/>
        <v>Likoma District [ZCjuwgaMB9u]|15-24|Female</v>
      </c>
      <c r="F139" s="38"/>
      <c r="G139" s="33">
        <v>0.39</v>
      </c>
      <c r="H139" s="218" t="str">
        <f t="shared" si="14"/>
        <v/>
      </c>
      <c r="I139" s="38"/>
      <c r="J139" s="33"/>
      <c r="K139" s="33">
        <v>0.45</v>
      </c>
      <c r="L139" s="33"/>
      <c r="M139" s="33">
        <v>0.06</v>
      </c>
      <c r="N139" s="38" t="str">
        <f t="shared" si="23"/>
        <v/>
      </c>
      <c r="O139" s="218" t="str">
        <f t="shared" si="15"/>
        <v/>
      </c>
      <c r="P139" s="218" t="str">
        <f t="shared" si="16"/>
        <v/>
      </c>
      <c r="Q139" s="218" t="str">
        <f t="shared" si="17"/>
        <v/>
      </c>
      <c r="R139" s="33" t="str">
        <f>IF(SUM($P139)=0,"",INDEX(Cascade!$BG:$BG,MATCH($E139,Cascade!$E:$E,0)))</f>
        <v/>
      </c>
      <c r="S139" s="218" t="str">
        <f t="shared" si="18"/>
        <v/>
      </c>
      <c r="T139" s="218" t="str">
        <f t="shared" si="19"/>
        <v/>
      </c>
      <c r="U139" s="38">
        <f>IFERROR(1/(1/INDEX(Cascade!$BH:$BH,MATCH($E139,Cascade!$E:$E,0))),"")</f>
        <v>15</v>
      </c>
      <c r="V139" s="38" t="str">
        <f t="shared" si="20"/>
        <v/>
      </c>
      <c r="W139" s="38">
        <f>IFERROR(1/(1/INDEX(PMTCT!$AC:$AC,MATCH($E139,PMTCT!$E:$E,0))),"")</f>
        <v>3</v>
      </c>
      <c r="X139" s="38">
        <f>IFERROR(1/(1/INDEX(PMTCT!$AS:$AS,MATCH($E139,PMTCT!$E:$E,0))),"")</f>
        <v>1</v>
      </c>
      <c r="Y139" s="38" t="str">
        <f>IFERROR(1/(1/INDEX(VMMC!$AA:$AA,MATCH($E139,VMMC!$E:$E,0))),"")</f>
        <v/>
      </c>
      <c r="Z139" s="38">
        <f t="shared" si="21"/>
        <v>11</v>
      </c>
    </row>
    <row r="140" spans="1:26" x14ac:dyDescent="0.2">
      <c r="A140" t="str">
        <f>INDEX(Prioritization!$D:$D,MATCH($B140,Prioritization!$A:$A,0))</f>
        <v>4 - Sustained</v>
      </c>
      <c r="B140" t="s">
        <v>309</v>
      </c>
      <c r="C140" t="s">
        <v>475</v>
      </c>
      <c r="D140" t="s">
        <v>48</v>
      </c>
      <c r="E140" t="str">
        <f t="shared" si="13"/>
        <v>Likoma District [ZCjuwgaMB9u]|15-24|Male</v>
      </c>
      <c r="F140" s="38"/>
      <c r="G140" s="33">
        <v>0.39</v>
      </c>
      <c r="H140" s="218" t="str">
        <f t="shared" si="14"/>
        <v/>
      </c>
      <c r="I140" s="38"/>
      <c r="J140" s="33"/>
      <c r="K140" s="33">
        <v>0.45</v>
      </c>
      <c r="L140" s="33"/>
      <c r="M140" s="33">
        <v>0.06</v>
      </c>
      <c r="N140" s="38" t="str">
        <f t="shared" si="23"/>
        <v/>
      </c>
      <c r="O140" s="218" t="str">
        <f t="shared" si="15"/>
        <v/>
      </c>
      <c r="P140" s="218" t="str">
        <f t="shared" si="16"/>
        <v/>
      </c>
      <c r="Q140" s="218" t="str">
        <f t="shared" si="17"/>
        <v/>
      </c>
      <c r="R140" s="33" t="str">
        <f>IF(SUM($P140)=0,"",INDEX(Cascade!$BG:$BG,MATCH($E140,Cascade!$E:$E,0)))</f>
        <v/>
      </c>
      <c r="S140" s="218" t="str">
        <f t="shared" si="18"/>
        <v/>
      </c>
      <c r="T140" s="218" t="str">
        <f t="shared" si="19"/>
        <v/>
      </c>
      <c r="U140" s="38">
        <f>IFERROR(1/(1/INDEX(Cascade!$BH:$BH,MATCH($E140,Cascade!$E:$E,0))),"")</f>
        <v>1</v>
      </c>
      <c r="V140" s="38" t="str">
        <f t="shared" si="20"/>
        <v/>
      </c>
      <c r="W140" s="38" t="str">
        <f>IFERROR(1/(1/INDEX(PMTCT!$AC:$AC,MATCH($E140,PMTCT!$E:$E,0))),"")</f>
        <v/>
      </c>
      <c r="X140" s="38" t="str">
        <f>IFERROR(1/(1/INDEX(PMTCT!$AS:$AS,MATCH($E140,PMTCT!$E:$E,0))),"")</f>
        <v/>
      </c>
      <c r="Y140" s="38" t="str">
        <f>IFERROR(1/(1/INDEX(VMMC!$AA:$AA,MATCH($E140,VMMC!$E:$E,0))),"")</f>
        <v/>
      </c>
      <c r="Z140" s="38">
        <f t="shared" si="21"/>
        <v>1</v>
      </c>
    </row>
    <row r="141" spans="1:26" x14ac:dyDescent="0.2">
      <c r="A141" t="str">
        <f>INDEX(Prioritization!$D:$D,MATCH($B141,Prioritization!$A:$A,0))</f>
        <v>4 - Sustained</v>
      </c>
      <c r="B141" t="s">
        <v>309</v>
      </c>
      <c r="C141" t="s">
        <v>476</v>
      </c>
      <c r="D141" t="s">
        <v>30</v>
      </c>
      <c r="E141" t="str">
        <f t="shared" si="13"/>
        <v>Likoma District [ZCjuwgaMB9u]|25-34|Female</v>
      </c>
      <c r="F141" s="38"/>
      <c r="G141" s="33">
        <v>0.39</v>
      </c>
      <c r="H141" s="218" t="str">
        <f t="shared" si="14"/>
        <v/>
      </c>
      <c r="I141" s="38"/>
      <c r="J141" s="33"/>
      <c r="K141" s="33">
        <v>0.45</v>
      </c>
      <c r="L141" s="33"/>
      <c r="M141" s="33">
        <v>0.06</v>
      </c>
      <c r="N141" s="38" t="str">
        <f t="shared" si="23"/>
        <v/>
      </c>
      <c r="O141" s="218" t="str">
        <f t="shared" si="15"/>
        <v/>
      </c>
      <c r="P141" s="218" t="str">
        <f t="shared" si="16"/>
        <v/>
      </c>
      <c r="Q141" s="218" t="str">
        <f t="shared" si="17"/>
        <v/>
      </c>
      <c r="R141" s="33" t="str">
        <f>IF(SUM($P141)=0,"",INDEX(Cascade!$BG:$BG,MATCH($E141,Cascade!$E:$E,0)))</f>
        <v/>
      </c>
      <c r="S141" s="218" t="str">
        <f t="shared" si="18"/>
        <v/>
      </c>
      <c r="T141" s="218" t="str">
        <f t="shared" si="19"/>
        <v/>
      </c>
      <c r="U141" s="38">
        <f>IFERROR(1/(1/INDEX(Cascade!$BH:$BH,MATCH($E141,Cascade!$E:$E,0))),"")</f>
        <v>11</v>
      </c>
      <c r="V141" s="38" t="str">
        <f t="shared" si="20"/>
        <v/>
      </c>
      <c r="W141" s="38">
        <f>IFERROR(1/(1/INDEX(PMTCT!$AC:$AC,MATCH($E141,PMTCT!$E:$E,0))),"")</f>
        <v>3</v>
      </c>
      <c r="X141" s="38">
        <f>IFERROR(1/(1/INDEX(PMTCT!$AS:$AS,MATCH($E141,PMTCT!$E:$E,0))),"")</f>
        <v>1</v>
      </c>
      <c r="Y141" s="38" t="str">
        <f>IFERROR(1/(1/INDEX(VMMC!$AA:$AA,MATCH($E141,VMMC!$E:$E,0))),"")</f>
        <v/>
      </c>
      <c r="Z141" s="38">
        <f t="shared" si="21"/>
        <v>7</v>
      </c>
    </row>
    <row r="142" spans="1:26" x14ac:dyDescent="0.2">
      <c r="A142" t="str">
        <f>INDEX(Prioritization!$D:$D,MATCH($B142,Prioritization!$A:$A,0))</f>
        <v>4 - Sustained</v>
      </c>
      <c r="B142" t="s">
        <v>309</v>
      </c>
      <c r="C142" t="s">
        <v>476</v>
      </c>
      <c r="D142" t="s">
        <v>48</v>
      </c>
      <c r="E142" t="str">
        <f t="shared" si="13"/>
        <v>Likoma District [ZCjuwgaMB9u]|25-34|Male</v>
      </c>
      <c r="F142" s="38"/>
      <c r="G142" s="33">
        <v>0.39</v>
      </c>
      <c r="H142" s="218" t="str">
        <f t="shared" si="14"/>
        <v/>
      </c>
      <c r="I142" s="38"/>
      <c r="J142" s="33"/>
      <c r="K142" s="33">
        <v>0.45</v>
      </c>
      <c r="L142" s="33"/>
      <c r="M142" s="33">
        <v>0.06</v>
      </c>
      <c r="N142" s="38" t="str">
        <f t="shared" si="23"/>
        <v/>
      </c>
      <c r="O142" s="218" t="str">
        <f t="shared" si="15"/>
        <v/>
      </c>
      <c r="P142" s="218" t="str">
        <f t="shared" si="16"/>
        <v/>
      </c>
      <c r="Q142" s="218" t="str">
        <f t="shared" si="17"/>
        <v/>
      </c>
      <c r="R142" s="33" t="str">
        <f>IF(SUM($P142)=0,"",INDEX(Cascade!$BG:$BG,MATCH($E142,Cascade!$E:$E,0)))</f>
        <v/>
      </c>
      <c r="S142" s="218" t="str">
        <f t="shared" si="18"/>
        <v/>
      </c>
      <c r="T142" s="218" t="str">
        <f t="shared" si="19"/>
        <v/>
      </c>
      <c r="U142" s="38">
        <f>IFERROR(1/(1/INDEX(Cascade!$BH:$BH,MATCH($E142,Cascade!$E:$E,0))),"")</f>
        <v>1</v>
      </c>
      <c r="V142" s="38" t="str">
        <f t="shared" si="20"/>
        <v/>
      </c>
      <c r="W142" s="38" t="str">
        <f>IFERROR(1/(1/INDEX(PMTCT!$AC:$AC,MATCH($E142,PMTCT!$E:$E,0))),"")</f>
        <v/>
      </c>
      <c r="X142" s="38" t="str">
        <f>IFERROR(1/(1/INDEX(PMTCT!$AS:$AS,MATCH($E142,PMTCT!$E:$E,0))),"")</f>
        <v/>
      </c>
      <c r="Y142" s="38" t="str">
        <f>IFERROR(1/(1/INDEX(VMMC!$AA:$AA,MATCH($E142,VMMC!$E:$E,0))),"")</f>
        <v/>
      </c>
      <c r="Z142" s="38">
        <f t="shared" si="21"/>
        <v>1</v>
      </c>
    </row>
    <row r="143" spans="1:26" x14ac:dyDescent="0.2">
      <c r="A143" t="str">
        <f>INDEX(Prioritization!$D:$D,MATCH($B143,Prioritization!$A:$A,0))</f>
        <v>4 - Sustained</v>
      </c>
      <c r="B143" t="s">
        <v>309</v>
      </c>
      <c r="C143" t="s">
        <v>477</v>
      </c>
      <c r="D143" t="s">
        <v>30</v>
      </c>
      <c r="E143" t="str">
        <f t="shared" ref="E143:E206" si="24">B143&amp;"|"&amp;C143&amp;"|"&amp;D143</f>
        <v>Likoma District [ZCjuwgaMB9u]|35-49|Female</v>
      </c>
      <c r="F143" s="38"/>
      <c r="G143" s="33">
        <v>0.39</v>
      </c>
      <c r="H143" s="218" t="str">
        <f t="shared" ref="H143:H206" si="25">IF(SUM($F143)=0,"",ROUND($F143*(1+$G143),0))</f>
        <v/>
      </c>
      <c r="I143" s="38"/>
      <c r="J143" s="33"/>
      <c r="K143" s="33">
        <v>0.45</v>
      </c>
      <c r="L143" s="33"/>
      <c r="M143" s="33">
        <v>0.06</v>
      </c>
      <c r="N143" s="38" t="str">
        <f t="shared" si="23"/>
        <v/>
      </c>
      <c r="O143" s="218" t="str">
        <f t="shared" ref="O143:O206" si="26">IF(SUM($N143)=0,"",IF(AND(SUM($N143)&gt;0,$K143=""),"ENTER KNOWN POSITIVITY RATE",ROUND($N143*$K143,0)))</f>
        <v/>
      </c>
      <c r="P143" s="218" t="str">
        <f t="shared" ref="P143:P206" si="27">IF(SUM($N143)=0,"",IF(AND((SUM($N143)-SUM($O143))&gt;0,$M143=""),"ENTER YIELD RATE",ROUND(($N143-SUM($O143))*$M143,0)))</f>
        <v/>
      </c>
      <c r="Q143" s="218" t="str">
        <f t="shared" ref="Q143:Q206" si="28">IF(SUM($N143)=0,"",$N143-SUM($O143)-SUM($P143))</f>
        <v/>
      </c>
      <c r="R143" s="33" t="str">
        <f>IF(SUM($P143)=0,"",INDEX(Cascade!$BG:$BG,MATCH($E143,Cascade!$E:$E,0)))</f>
        <v/>
      </c>
      <c r="S143" s="218" t="str">
        <f t="shared" ref="S143:S206" si="29">$O143</f>
        <v/>
      </c>
      <c r="T143" s="218" t="str">
        <f t="shared" ref="T143:T206" si="30">IF(SUM($P143)=0,"",IF(AND($R143="",SUM($P143)&gt;0),"&lt;- Enter Linkage Rate",ROUND($P143*$R143,0)))</f>
        <v/>
      </c>
      <c r="U143" s="38">
        <f>IFERROR(1/(1/INDEX(Cascade!$BH:$BH,MATCH($E143,Cascade!$E:$E,0))),"")</f>
        <v>25</v>
      </c>
      <c r="V143" s="38" t="str">
        <f t="shared" ref="V143:V206" si="31">IF(SUM($P143)=0,"",$P143)</f>
        <v/>
      </c>
      <c r="W143" s="38">
        <f>IFERROR(1/(1/INDEX(PMTCT!$AC:$AC,MATCH($E143,PMTCT!$E:$E,0))),"")</f>
        <v>1</v>
      </c>
      <c r="X143" s="38" t="str">
        <f>IFERROR(1/(1/INDEX(PMTCT!$AS:$AS,MATCH($E143,PMTCT!$E:$E,0))),"")</f>
        <v/>
      </c>
      <c r="Y143" s="38" t="str">
        <f>IFERROR(1/(1/INDEX(VMMC!$AA:$AA,MATCH($E143,VMMC!$E:$E,0))),"")</f>
        <v/>
      </c>
      <c r="Z143" s="38">
        <f t="shared" ref="Z143:Z206" si="32">IFERROR(1/(1/(SUM($U143)-SUM($V143:$Y143))),"")</f>
        <v>24</v>
      </c>
    </row>
    <row r="144" spans="1:26" x14ac:dyDescent="0.2">
      <c r="A144" t="str">
        <f>INDEX(Prioritization!$D:$D,MATCH($B144,Prioritization!$A:$A,0))</f>
        <v>4 - Sustained</v>
      </c>
      <c r="B144" t="s">
        <v>309</v>
      </c>
      <c r="C144" t="s">
        <v>477</v>
      </c>
      <c r="D144" t="s">
        <v>48</v>
      </c>
      <c r="E144" t="str">
        <f t="shared" si="24"/>
        <v>Likoma District [ZCjuwgaMB9u]|35-49|Male</v>
      </c>
      <c r="F144" s="38"/>
      <c r="G144" s="33">
        <v>0.39</v>
      </c>
      <c r="H144" s="218" t="str">
        <f t="shared" si="25"/>
        <v/>
      </c>
      <c r="I144" s="38"/>
      <c r="J144" s="33"/>
      <c r="K144" s="33">
        <v>0.45</v>
      </c>
      <c r="L144" s="33"/>
      <c r="M144" s="33">
        <v>0.06</v>
      </c>
      <c r="N144" s="38" t="str">
        <f t="shared" si="23"/>
        <v/>
      </c>
      <c r="O144" s="218" t="str">
        <f t="shared" si="26"/>
        <v/>
      </c>
      <c r="P144" s="218" t="str">
        <f t="shared" si="27"/>
        <v/>
      </c>
      <c r="Q144" s="218" t="str">
        <f t="shared" si="28"/>
        <v/>
      </c>
      <c r="R144" s="33" t="str">
        <f>IF(SUM($P144)=0,"",INDEX(Cascade!$BG:$BG,MATCH($E144,Cascade!$E:$E,0)))</f>
        <v/>
      </c>
      <c r="S144" s="218" t="str">
        <f t="shared" si="29"/>
        <v/>
      </c>
      <c r="T144" s="218" t="str">
        <f t="shared" si="30"/>
        <v/>
      </c>
      <c r="U144" s="38">
        <f>IFERROR(1/(1/INDEX(Cascade!$BH:$BH,MATCH($E144,Cascade!$E:$E,0))),"")</f>
        <v>3</v>
      </c>
      <c r="V144" s="38" t="str">
        <f t="shared" si="31"/>
        <v/>
      </c>
      <c r="W144" s="38" t="str">
        <f>IFERROR(1/(1/INDEX(PMTCT!$AC:$AC,MATCH($E144,PMTCT!$E:$E,0))),"")</f>
        <v/>
      </c>
      <c r="X144" s="38" t="str">
        <f>IFERROR(1/(1/INDEX(PMTCT!$AS:$AS,MATCH($E144,PMTCT!$E:$E,0))),"")</f>
        <v/>
      </c>
      <c r="Y144" s="38" t="str">
        <f>IFERROR(1/(1/INDEX(VMMC!$AA:$AA,MATCH($E144,VMMC!$E:$E,0))),"")</f>
        <v/>
      </c>
      <c r="Z144" s="38">
        <f t="shared" si="32"/>
        <v>3</v>
      </c>
    </row>
    <row r="145" spans="1:26" x14ac:dyDescent="0.2">
      <c r="A145" t="str">
        <f>INDEX(Prioritization!$D:$D,MATCH($B145,Prioritization!$A:$A,0))</f>
        <v>4 - Sustained</v>
      </c>
      <c r="B145" t="s">
        <v>309</v>
      </c>
      <c r="C145" t="s">
        <v>478</v>
      </c>
      <c r="D145" t="s">
        <v>30</v>
      </c>
      <c r="E145" t="str">
        <f t="shared" si="24"/>
        <v>Likoma District [ZCjuwgaMB9u]|50+|Female</v>
      </c>
      <c r="F145" s="38"/>
      <c r="G145" s="33">
        <v>0.39</v>
      </c>
      <c r="H145" s="218" t="str">
        <f t="shared" si="25"/>
        <v/>
      </c>
      <c r="I145" s="38"/>
      <c r="J145" s="33"/>
      <c r="K145" s="33">
        <v>0.45</v>
      </c>
      <c r="L145" s="33"/>
      <c r="M145" s="33">
        <v>0.06</v>
      </c>
      <c r="N145" s="38" t="str">
        <f t="shared" si="23"/>
        <v/>
      </c>
      <c r="O145" s="218" t="str">
        <f t="shared" si="26"/>
        <v/>
      </c>
      <c r="P145" s="218" t="str">
        <f t="shared" si="27"/>
        <v/>
      </c>
      <c r="Q145" s="218" t="str">
        <f t="shared" si="28"/>
        <v/>
      </c>
      <c r="R145" s="33" t="str">
        <f>IF(SUM($P145)=0,"",INDEX(Cascade!$BG:$BG,MATCH($E145,Cascade!$E:$E,0)))</f>
        <v/>
      </c>
      <c r="S145" s="218" t="str">
        <f t="shared" si="29"/>
        <v/>
      </c>
      <c r="T145" s="218" t="str">
        <f t="shared" si="30"/>
        <v/>
      </c>
      <c r="U145" s="38">
        <f>IFERROR(1/(1/INDEX(Cascade!$BH:$BH,MATCH($E145,Cascade!$E:$E,0))),"")</f>
        <v>2</v>
      </c>
      <c r="V145" s="38" t="str">
        <f t="shared" si="31"/>
        <v/>
      </c>
      <c r="W145" s="38" t="str">
        <f>IFERROR(1/(1/INDEX(PMTCT!$AC:$AC,MATCH($E145,PMTCT!$E:$E,0))),"")</f>
        <v/>
      </c>
      <c r="X145" s="38" t="str">
        <f>IFERROR(1/(1/INDEX(PMTCT!$AS:$AS,MATCH($E145,PMTCT!$E:$E,0))),"")</f>
        <v/>
      </c>
      <c r="Y145" s="38" t="str">
        <f>IFERROR(1/(1/INDEX(VMMC!$AA:$AA,MATCH($E145,VMMC!$E:$E,0))),"")</f>
        <v/>
      </c>
      <c r="Z145" s="38">
        <f t="shared" si="32"/>
        <v>2</v>
      </c>
    </row>
    <row r="146" spans="1:26" x14ac:dyDescent="0.2">
      <c r="A146" t="str">
        <f>INDEX(Prioritization!$D:$D,MATCH($B146,Prioritization!$A:$A,0))</f>
        <v>4 - Sustained</v>
      </c>
      <c r="B146" t="s">
        <v>309</v>
      </c>
      <c r="C146" t="s">
        <v>478</v>
      </c>
      <c r="D146" t="s">
        <v>48</v>
      </c>
      <c r="E146" t="str">
        <f t="shared" si="24"/>
        <v>Likoma District [ZCjuwgaMB9u]|50+|Male</v>
      </c>
      <c r="F146" s="38"/>
      <c r="G146" s="33">
        <v>0.39</v>
      </c>
      <c r="H146" s="218" t="str">
        <f t="shared" si="25"/>
        <v/>
      </c>
      <c r="I146" s="38"/>
      <c r="J146" s="33"/>
      <c r="K146" s="33">
        <v>0.45</v>
      </c>
      <c r="L146" s="33"/>
      <c r="M146" s="33">
        <v>0.06</v>
      </c>
      <c r="N146" s="38" t="str">
        <f t="shared" si="23"/>
        <v/>
      </c>
      <c r="O146" s="218" t="str">
        <f t="shared" si="26"/>
        <v/>
      </c>
      <c r="P146" s="218" t="str">
        <f t="shared" si="27"/>
        <v/>
      </c>
      <c r="Q146" s="218" t="str">
        <f t="shared" si="28"/>
        <v/>
      </c>
      <c r="R146" s="33" t="str">
        <f>IF(SUM($P146)=0,"",INDEX(Cascade!$BG:$BG,MATCH($E146,Cascade!$E:$E,0)))</f>
        <v/>
      </c>
      <c r="S146" s="218" t="str">
        <f t="shared" si="29"/>
        <v/>
      </c>
      <c r="T146" s="218" t="str">
        <f t="shared" si="30"/>
        <v/>
      </c>
      <c r="U146" s="38">
        <f>IFERROR(1/(1/INDEX(Cascade!$BH:$BH,MATCH($E146,Cascade!$E:$E,0))),"")</f>
        <v>2</v>
      </c>
      <c r="V146" s="38" t="str">
        <f t="shared" si="31"/>
        <v/>
      </c>
      <c r="W146" s="38" t="str">
        <f>IFERROR(1/(1/INDEX(PMTCT!$AC:$AC,MATCH($E146,PMTCT!$E:$E,0))),"")</f>
        <v/>
      </c>
      <c r="X146" s="38" t="str">
        <f>IFERROR(1/(1/INDEX(PMTCT!$AS:$AS,MATCH($E146,PMTCT!$E:$E,0))),"")</f>
        <v/>
      </c>
      <c r="Y146" s="38" t="str">
        <f>IFERROR(1/(1/INDEX(VMMC!$AA:$AA,MATCH($E146,VMMC!$E:$E,0))),"")</f>
        <v/>
      </c>
      <c r="Z146" s="38">
        <f t="shared" si="32"/>
        <v>2</v>
      </c>
    </row>
    <row r="147" spans="1:26" x14ac:dyDescent="0.2">
      <c r="A147" t="str">
        <f>INDEX(Prioritization!$D:$D,MATCH($B147,Prioritization!$A:$A,0))</f>
        <v>INVALID</v>
      </c>
      <c r="B147" t="s">
        <v>301</v>
      </c>
      <c r="C147" t="s">
        <v>473</v>
      </c>
      <c r="D147" t="s">
        <v>30</v>
      </c>
      <c r="E147" t="str">
        <f t="shared" si="24"/>
        <v>Lilongwe District [ScR9iFKAasW]|01-09|Female</v>
      </c>
      <c r="F147" s="38">
        <v>74</v>
      </c>
      <c r="G147" s="33">
        <v>0.39</v>
      </c>
      <c r="H147" s="218">
        <f t="shared" si="25"/>
        <v>103</v>
      </c>
      <c r="I147" s="38">
        <v>2</v>
      </c>
      <c r="J147" s="33"/>
      <c r="K147" s="33">
        <v>0.45</v>
      </c>
      <c r="L147" s="33"/>
      <c r="M147" s="33">
        <v>0.06</v>
      </c>
      <c r="N147" s="38">
        <f t="shared" si="23"/>
        <v>102</v>
      </c>
      <c r="O147" s="218">
        <f t="shared" si="26"/>
        <v>46</v>
      </c>
      <c r="P147" s="218">
        <f t="shared" si="27"/>
        <v>3</v>
      </c>
      <c r="Q147" s="218">
        <f t="shared" si="28"/>
        <v>53</v>
      </c>
      <c r="R147" s="33">
        <f>IF(SUM($P147)=0,"",INDEX(Cascade!$BG:$BG,MATCH($E147,Cascade!$E:$E,0)))</f>
        <v>0.95</v>
      </c>
      <c r="S147" s="218">
        <f t="shared" si="29"/>
        <v>46</v>
      </c>
      <c r="T147" s="218">
        <f t="shared" si="30"/>
        <v>3</v>
      </c>
      <c r="U147" s="38">
        <f>IFERROR(1/(1/INDEX(Cascade!$BH:$BH,MATCH($E147,Cascade!$E:$E,0))),"")</f>
        <v>19</v>
      </c>
      <c r="V147" s="38">
        <f t="shared" si="31"/>
        <v>3</v>
      </c>
      <c r="W147" s="38" t="str">
        <f>IFERROR(1/(1/INDEX(PMTCT!$AC:$AC,MATCH($E147,PMTCT!$E:$E,0))),"")</f>
        <v/>
      </c>
      <c r="X147" s="38" t="str">
        <f>IFERROR(1/(1/INDEX(PMTCT!$AS:$AS,MATCH($E147,PMTCT!$E:$E,0))),"")</f>
        <v/>
      </c>
      <c r="Y147" s="38" t="str">
        <f>IFERROR(1/(1/INDEX(VMMC!$AA:$AA,MATCH($E147,VMMC!$E:$E,0))),"")</f>
        <v/>
      </c>
      <c r="Z147" s="38">
        <f t="shared" si="32"/>
        <v>16</v>
      </c>
    </row>
    <row r="148" spans="1:26" x14ac:dyDescent="0.2">
      <c r="A148" t="str">
        <f>INDEX(Prioritization!$D:$D,MATCH($B148,Prioritization!$A:$A,0))</f>
        <v>INVALID</v>
      </c>
      <c r="B148" t="s">
        <v>301</v>
      </c>
      <c r="C148" t="s">
        <v>473</v>
      </c>
      <c r="D148" t="s">
        <v>48</v>
      </c>
      <c r="E148" t="str">
        <f t="shared" si="24"/>
        <v>Lilongwe District [ScR9iFKAasW]|01-09|Male</v>
      </c>
      <c r="F148" s="38">
        <v>74</v>
      </c>
      <c r="G148" s="33">
        <v>0.39</v>
      </c>
      <c r="H148" s="218">
        <f t="shared" si="25"/>
        <v>103</v>
      </c>
      <c r="I148" s="38">
        <v>2</v>
      </c>
      <c r="J148" s="33"/>
      <c r="K148" s="33">
        <v>0.45</v>
      </c>
      <c r="L148" s="33"/>
      <c r="M148" s="33">
        <v>0.06</v>
      </c>
      <c r="N148" s="38">
        <f t="shared" si="23"/>
        <v>102</v>
      </c>
      <c r="O148" s="218">
        <f t="shared" si="26"/>
        <v>46</v>
      </c>
      <c r="P148" s="218">
        <f t="shared" si="27"/>
        <v>3</v>
      </c>
      <c r="Q148" s="218">
        <f t="shared" si="28"/>
        <v>53</v>
      </c>
      <c r="R148" s="33">
        <f>IF(SUM($P148)=0,"",INDEX(Cascade!$BG:$BG,MATCH($E148,Cascade!$E:$E,0)))</f>
        <v>0.95</v>
      </c>
      <c r="S148" s="218">
        <f t="shared" si="29"/>
        <v>46</v>
      </c>
      <c r="T148" s="218">
        <f t="shared" si="30"/>
        <v>3</v>
      </c>
      <c r="U148" s="38">
        <f>IFERROR(1/(1/INDEX(Cascade!$BH:$BH,MATCH($E148,Cascade!$E:$E,0))),"")</f>
        <v>19</v>
      </c>
      <c r="V148" s="38">
        <f t="shared" si="31"/>
        <v>3</v>
      </c>
      <c r="W148" s="38" t="str">
        <f>IFERROR(1/(1/INDEX(PMTCT!$AC:$AC,MATCH($E148,PMTCT!$E:$E,0))),"")</f>
        <v/>
      </c>
      <c r="X148" s="38" t="str">
        <f>IFERROR(1/(1/INDEX(PMTCT!$AS:$AS,MATCH($E148,PMTCT!$E:$E,0))),"")</f>
        <v/>
      </c>
      <c r="Y148" s="38" t="str">
        <f>IFERROR(1/(1/INDEX(VMMC!$AA:$AA,MATCH($E148,VMMC!$E:$E,0))),"")</f>
        <v/>
      </c>
      <c r="Z148" s="38">
        <f t="shared" si="32"/>
        <v>16</v>
      </c>
    </row>
    <row r="149" spans="1:26" x14ac:dyDescent="0.2">
      <c r="A149" t="str">
        <f>INDEX(Prioritization!$D:$D,MATCH($B149,Prioritization!$A:$A,0))</f>
        <v>INVALID</v>
      </c>
      <c r="B149" t="s">
        <v>301</v>
      </c>
      <c r="C149" t="s">
        <v>474</v>
      </c>
      <c r="D149" t="s">
        <v>30</v>
      </c>
      <c r="E149" t="str">
        <f t="shared" si="24"/>
        <v>Lilongwe District [ScR9iFKAasW]|10-14|Female</v>
      </c>
      <c r="F149" s="38">
        <v>37</v>
      </c>
      <c r="G149" s="33">
        <v>0.39</v>
      </c>
      <c r="H149" s="218">
        <f t="shared" si="25"/>
        <v>51</v>
      </c>
      <c r="I149" s="38">
        <v>1</v>
      </c>
      <c r="J149" s="33"/>
      <c r="K149" s="33">
        <v>0.45</v>
      </c>
      <c r="L149" s="33"/>
      <c r="M149" s="33">
        <v>0.06</v>
      </c>
      <c r="N149" s="38">
        <f t="shared" si="23"/>
        <v>50</v>
      </c>
      <c r="O149" s="218">
        <f t="shared" si="26"/>
        <v>23</v>
      </c>
      <c r="P149" s="218">
        <f t="shared" si="27"/>
        <v>2</v>
      </c>
      <c r="Q149" s="218">
        <f t="shared" si="28"/>
        <v>25</v>
      </c>
      <c r="R149" s="33">
        <f>IF(SUM($P149)=0,"",INDEX(Cascade!$BG:$BG,MATCH($E149,Cascade!$E:$E,0)))</f>
        <v>0.95</v>
      </c>
      <c r="S149" s="218">
        <f t="shared" si="29"/>
        <v>23</v>
      </c>
      <c r="T149" s="218">
        <f t="shared" si="30"/>
        <v>2</v>
      </c>
      <c r="U149" s="38">
        <f>IFERROR(1/(1/INDEX(Cascade!$BH:$BH,MATCH($E149,Cascade!$E:$E,0))),"")</f>
        <v>22</v>
      </c>
      <c r="V149" s="38">
        <f t="shared" si="31"/>
        <v>2</v>
      </c>
      <c r="W149" s="38">
        <f>IFERROR(1/(1/INDEX(PMTCT!$AC:$AC,MATCH($E149,PMTCT!$E:$E,0))),"")</f>
        <v>2</v>
      </c>
      <c r="X149" s="38">
        <f>IFERROR(1/(1/INDEX(PMTCT!$AS:$AS,MATCH($E149,PMTCT!$E:$E,0))),"")</f>
        <v>1</v>
      </c>
      <c r="Y149" s="38" t="str">
        <f>IFERROR(1/(1/INDEX(VMMC!$AA:$AA,MATCH($E149,VMMC!$E:$E,0))),"")</f>
        <v/>
      </c>
      <c r="Z149" s="38">
        <f t="shared" si="32"/>
        <v>17</v>
      </c>
    </row>
    <row r="150" spans="1:26" x14ac:dyDescent="0.2">
      <c r="A150" t="str">
        <f>INDEX(Prioritization!$D:$D,MATCH($B150,Prioritization!$A:$A,0))</f>
        <v>INVALID</v>
      </c>
      <c r="B150" t="s">
        <v>301</v>
      </c>
      <c r="C150" t="s">
        <v>474</v>
      </c>
      <c r="D150" t="s">
        <v>48</v>
      </c>
      <c r="E150" t="str">
        <f t="shared" si="24"/>
        <v>Lilongwe District [ScR9iFKAasW]|10-14|Male</v>
      </c>
      <c r="F150" s="38">
        <v>37</v>
      </c>
      <c r="G150" s="33">
        <v>0.39</v>
      </c>
      <c r="H150" s="218">
        <f t="shared" si="25"/>
        <v>51</v>
      </c>
      <c r="I150" s="38">
        <v>1</v>
      </c>
      <c r="J150" s="33"/>
      <c r="K150" s="33">
        <v>0.45</v>
      </c>
      <c r="L150" s="33"/>
      <c r="M150" s="33">
        <v>0.06</v>
      </c>
      <c r="N150" s="38">
        <f t="shared" si="23"/>
        <v>50</v>
      </c>
      <c r="O150" s="218">
        <f t="shared" si="26"/>
        <v>23</v>
      </c>
      <c r="P150" s="218">
        <f t="shared" si="27"/>
        <v>2</v>
      </c>
      <c r="Q150" s="218">
        <f t="shared" si="28"/>
        <v>25</v>
      </c>
      <c r="R150" s="33">
        <f>IF(SUM($P150)=0,"",INDEX(Cascade!$BG:$BG,MATCH($E150,Cascade!$E:$E,0)))</f>
        <v>0.95</v>
      </c>
      <c r="S150" s="218">
        <f t="shared" si="29"/>
        <v>23</v>
      </c>
      <c r="T150" s="218">
        <f t="shared" si="30"/>
        <v>2</v>
      </c>
      <c r="U150" s="38">
        <f>IFERROR(1/(1/INDEX(Cascade!$BH:$BH,MATCH($E150,Cascade!$E:$E,0))),"")</f>
        <v>21</v>
      </c>
      <c r="V150" s="38">
        <f t="shared" si="31"/>
        <v>2</v>
      </c>
      <c r="W150" s="38" t="str">
        <f>IFERROR(1/(1/INDEX(PMTCT!$AC:$AC,MATCH($E150,PMTCT!$E:$E,0))),"")</f>
        <v/>
      </c>
      <c r="X150" s="38" t="str">
        <f>IFERROR(1/(1/INDEX(PMTCT!$AS:$AS,MATCH($E150,PMTCT!$E:$E,0))),"")</f>
        <v/>
      </c>
      <c r="Y150" s="38" t="str">
        <f>IFERROR(1/(1/INDEX(VMMC!$AA:$AA,MATCH($E150,VMMC!$E:$E,0))),"")</f>
        <v/>
      </c>
      <c r="Z150" s="38">
        <f t="shared" si="32"/>
        <v>19</v>
      </c>
    </row>
    <row r="151" spans="1:26" x14ac:dyDescent="0.2">
      <c r="A151" t="str">
        <f>INDEX(Prioritization!$D:$D,MATCH($B151,Prioritization!$A:$A,0))</f>
        <v>INVALID</v>
      </c>
      <c r="B151" t="s">
        <v>301</v>
      </c>
      <c r="C151" t="s">
        <v>475</v>
      </c>
      <c r="D151" t="s">
        <v>30</v>
      </c>
      <c r="E151" t="str">
        <f t="shared" si="24"/>
        <v>Lilongwe District [ScR9iFKAasW]|15-24|Female</v>
      </c>
      <c r="F151" s="38">
        <v>273</v>
      </c>
      <c r="G151" s="33">
        <v>0.39</v>
      </c>
      <c r="H151" s="218">
        <f t="shared" si="25"/>
        <v>379</v>
      </c>
      <c r="I151" s="38">
        <v>7</v>
      </c>
      <c r="J151" s="33"/>
      <c r="K151" s="33">
        <v>0.45</v>
      </c>
      <c r="L151" s="33"/>
      <c r="M151" s="33">
        <v>0.06</v>
      </c>
      <c r="N151" s="38">
        <f t="shared" si="23"/>
        <v>375</v>
      </c>
      <c r="O151" s="218">
        <f t="shared" si="26"/>
        <v>169</v>
      </c>
      <c r="P151" s="218">
        <f t="shared" si="27"/>
        <v>12</v>
      </c>
      <c r="Q151" s="218">
        <f t="shared" si="28"/>
        <v>194</v>
      </c>
      <c r="R151" s="33">
        <f>IF(SUM($P151)=0,"",INDEX(Cascade!$BG:$BG,MATCH($E151,Cascade!$E:$E,0)))</f>
        <v>0.95</v>
      </c>
      <c r="S151" s="218">
        <f t="shared" si="29"/>
        <v>169</v>
      </c>
      <c r="T151" s="218">
        <f t="shared" si="30"/>
        <v>11</v>
      </c>
      <c r="U151" s="38">
        <f>IFERROR(1/(1/INDEX(Cascade!$BH:$BH,MATCH($E151,Cascade!$E:$E,0))),"")</f>
        <v>1174</v>
      </c>
      <c r="V151" s="38">
        <f t="shared" si="31"/>
        <v>12</v>
      </c>
      <c r="W151" s="38">
        <f>IFERROR(1/(1/INDEX(PMTCT!$AC:$AC,MATCH($E151,PMTCT!$E:$E,0))),"")</f>
        <v>419.99999999999994</v>
      </c>
      <c r="X151" s="38">
        <f>IFERROR(1/(1/INDEX(PMTCT!$AS:$AS,MATCH($E151,PMTCT!$E:$E,0))),"")</f>
        <v>212</v>
      </c>
      <c r="Y151" s="38" t="str">
        <f>IFERROR(1/(1/INDEX(VMMC!$AA:$AA,MATCH($E151,VMMC!$E:$E,0))),"")</f>
        <v/>
      </c>
      <c r="Z151" s="38">
        <f t="shared" si="32"/>
        <v>530</v>
      </c>
    </row>
    <row r="152" spans="1:26" x14ac:dyDescent="0.2">
      <c r="A152" t="str">
        <f>INDEX(Prioritization!$D:$D,MATCH($B152,Prioritization!$A:$A,0))</f>
        <v>INVALID</v>
      </c>
      <c r="B152" t="s">
        <v>301</v>
      </c>
      <c r="C152" t="s">
        <v>475</v>
      </c>
      <c r="D152" t="s">
        <v>48</v>
      </c>
      <c r="E152" t="str">
        <f t="shared" si="24"/>
        <v>Lilongwe District [ScR9iFKAasW]|15-24|Male</v>
      </c>
      <c r="F152" s="38">
        <v>424</v>
      </c>
      <c r="G152" s="33">
        <v>0.39</v>
      </c>
      <c r="H152" s="218">
        <f t="shared" si="25"/>
        <v>589</v>
      </c>
      <c r="I152" s="38">
        <v>12</v>
      </c>
      <c r="J152" s="33"/>
      <c r="K152" s="33">
        <v>0.45</v>
      </c>
      <c r="L152" s="33"/>
      <c r="M152" s="33">
        <v>0.06</v>
      </c>
      <c r="N152" s="38">
        <f t="shared" si="23"/>
        <v>583</v>
      </c>
      <c r="O152" s="218">
        <f t="shared" si="26"/>
        <v>262</v>
      </c>
      <c r="P152" s="218">
        <f t="shared" si="27"/>
        <v>19</v>
      </c>
      <c r="Q152" s="218">
        <f t="shared" si="28"/>
        <v>302</v>
      </c>
      <c r="R152" s="33">
        <f>IF(SUM($P152)=0,"",INDEX(Cascade!$BG:$BG,MATCH($E152,Cascade!$E:$E,0)))</f>
        <v>0.95</v>
      </c>
      <c r="S152" s="218">
        <f t="shared" si="29"/>
        <v>262</v>
      </c>
      <c r="T152" s="218">
        <f t="shared" si="30"/>
        <v>18</v>
      </c>
      <c r="U152" s="38">
        <f>IFERROR(1/(1/INDEX(Cascade!$BH:$BH,MATCH($E152,Cascade!$E:$E,0))),"")</f>
        <v>593</v>
      </c>
      <c r="V152" s="38">
        <f t="shared" si="31"/>
        <v>19</v>
      </c>
      <c r="W152" s="38" t="str">
        <f>IFERROR(1/(1/INDEX(PMTCT!$AC:$AC,MATCH($E152,PMTCT!$E:$E,0))),"")</f>
        <v/>
      </c>
      <c r="X152" s="38" t="str">
        <f>IFERROR(1/(1/INDEX(PMTCT!$AS:$AS,MATCH($E152,PMTCT!$E:$E,0))),"")</f>
        <v/>
      </c>
      <c r="Y152" s="38">
        <f>IFERROR(1/(1/INDEX(VMMC!$AA:$AA,MATCH($E152,VMMC!$E:$E,0))),"")</f>
        <v>81</v>
      </c>
      <c r="Z152" s="38">
        <f t="shared" si="32"/>
        <v>493</v>
      </c>
    </row>
    <row r="153" spans="1:26" x14ac:dyDescent="0.2">
      <c r="A153" t="str">
        <f>INDEX(Prioritization!$D:$D,MATCH($B153,Prioritization!$A:$A,0))</f>
        <v>INVALID</v>
      </c>
      <c r="B153" t="s">
        <v>301</v>
      </c>
      <c r="C153" t="s">
        <v>476</v>
      </c>
      <c r="D153" t="s">
        <v>30</v>
      </c>
      <c r="E153" t="str">
        <f t="shared" si="24"/>
        <v>Lilongwe District [ScR9iFKAasW]|25-34|Female</v>
      </c>
      <c r="F153" s="38">
        <v>273</v>
      </c>
      <c r="G153" s="33">
        <v>0.39</v>
      </c>
      <c r="H153" s="218">
        <f t="shared" si="25"/>
        <v>379</v>
      </c>
      <c r="I153" s="38">
        <v>7</v>
      </c>
      <c r="J153" s="33"/>
      <c r="K153" s="33">
        <v>0.45</v>
      </c>
      <c r="L153" s="33"/>
      <c r="M153" s="33">
        <v>0.06</v>
      </c>
      <c r="N153" s="38">
        <f t="shared" si="23"/>
        <v>375</v>
      </c>
      <c r="O153" s="218">
        <f t="shared" si="26"/>
        <v>169</v>
      </c>
      <c r="P153" s="218">
        <f t="shared" si="27"/>
        <v>12</v>
      </c>
      <c r="Q153" s="218">
        <f t="shared" si="28"/>
        <v>194</v>
      </c>
      <c r="R153" s="33">
        <f>IF(SUM($P153)=0,"",INDEX(Cascade!$BG:$BG,MATCH($E153,Cascade!$E:$E,0)))</f>
        <v>0.95</v>
      </c>
      <c r="S153" s="218">
        <f t="shared" si="29"/>
        <v>169</v>
      </c>
      <c r="T153" s="218">
        <f t="shared" si="30"/>
        <v>11</v>
      </c>
      <c r="U153" s="38">
        <f>IFERROR(1/(1/INDEX(Cascade!$BH:$BH,MATCH($E153,Cascade!$E:$E,0))),"")</f>
        <v>1949</v>
      </c>
      <c r="V153" s="38">
        <f t="shared" si="31"/>
        <v>12</v>
      </c>
      <c r="W153" s="38">
        <f>IFERROR(1/(1/INDEX(PMTCT!$AC:$AC,MATCH($E153,PMTCT!$E:$E,0))),"")</f>
        <v>573</v>
      </c>
      <c r="X153" s="38">
        <f>IFERROR(1/(1/INDEX(PMTCT!$AS:$AS,MATCH($E153,PMTCT!$E:$E,0))),"")</f>
        <v>219</v>
      </c>
      <c r="Y153" s="38" t="str">
        <f>IFERROR(1/(1/INDEX(VMMC!$AA:$AA,MATCH($E153,VMMC!$E:$E,0))),"")</f>
        <v/>
      </c>
      <c r="Z153" s="38">
        <f t="shared" si="32"/>
        <v>1145</v>
      </c>
    </row>
    <row r="154" spans="1:26" x14ac:dyDescent="0.2">
      <c r="A154" t="str">
        <f>INDEX(Prioritization!$D:$D,MATCH($B154,Prioritization!$A:$A,0))</f>
        <v>INVALID</v>
      </c>
      <c r="B154" t="s">
        <v>301</v>
      </c>
      <c r="C154" t="s">
        <v>476</v>
      </c>
      <c r="D154" t="s">
        <v>48</v>
      </c>
      <c r="E154" t="str">
        <f t="shared" si="24"/>
        <v>Lilongwe District [ScR9iFKAasW]|25-34|Male</v>
      </c>
      <c r="F154" s="38">
        <v>426</v>
      </c>
      <c r="G154" s="33">
        <v>0.39</v>
      </c>
      <c r="H154" s="218">
        <f t="shared" si="25"/>
        <v>592</v>
      </c>
      <c r="I154" s="38">
        <v>12</v>
      </c>
      <c r="J154" s="33"/>
      <c r="K154" s="33">
        <v>0.45</v>
      </c>
      <c r="L154" s="33"/>
      <c r="M154" s="33">
        <v>0.06</v>
      </c>
      <c r="N154" s="38">
        <f t="shared" si="23"/>
        <v>586</v>
      </c>
      <c r="O154" s="218">
        <f t="shared" si="26"/>
        <v>264</v>
      </c>
      <c r="P154" s="218">
        <f t="shared" si="27"/>
        <v>19</v>
      </c>
      <c r="Q154" s="218">
        <f t="shared" si="28"/>
        <v>303</v>
      </c>
      <c r="R154" s="33">
        <f>IF(SUM($P154)=0,"",INDEX(Cascade!$BG:$BG,MATCH($E154,Cascade!$E:$E,0)))</f>
        <v>0.95</v>
      </c>
      <c r="S154" s="218">
        <f t="shared" si="29"/>
        <v>264</v>
      </c>
      <c r="T154" s="218">
        <f t="shared" si="30"/>
        <v>18</v>
      </c>
      <c r="U154" s="38">
        <f>IFERROR(1/(1/INDEX(Cascade!$BH:$BH,MATCH($E154,Cascade!$E:$E,0))),"")</f>
        <v>794</v>
      </c>
      <c r="V154" s="38">
        <f t="shared" si="31"/>
        <v>19</v>
      </c>
      <c r="W154" s="38" t="str">
        <f>IFERROR(1/(1/INDEX(PMTCT!$AC:$AC,MATCH($E154,PMTCT!$E:$E,0))),"")</f>
        <v/>
      </c>
      <c r="X154" s="38" t="str">
        <f>IFERROR(1/(1/INDEX(PMTCT!$AS:$AS,MATCH($E154,PMTCT!$E:$E,0))),"")</f>
        <v/>
      </c>
      <c r="Y154" s="38">
        <f>IFERROR(1/(1/INDEX(VMMC!$AA:$AA,MATCH($E154,VMMC!$E:$E,0))),"")</f>
        <v>68</v>
      </c>
      <c r="Z154" s="38">
        <f t="shared" si="32"/>
        <v>707</v>
      </c>
    </row>
    <row r="155" spans="1:26" x14ac:dyDescent="0.2">
      <c r="A155" t="str">
        <f>INDEX(Prioritization!$D:$D,MATCH($B155,Prioritization!$A:$A,0))</f>
        <v>INVALID</v>
      </c>
      <c r="B155" t="s">
        <v>301</v>
      </c>
      <c r="C155" t="s">
        <v>477</v>
      </c>
      <c r="D155" t="s">
        <v>30</v>
      </c>
      <c r="E155" t="str">
        <f t="shared" si="24"/>
        <v>Lilongwe District [ScR9iFKAasW]|35-49|Female</v>
      </c>
      <c r="F155" s="38">
        <v>407</v>
      </c>
      <c r="G155" s="33">
        <v>0.39</v>
      </c>
      <c r="H155" s="218">
        <f t="shared" si="25"/>
        <v>566</v>
      </c>
      <c r="I155" s="38">
        <v>11</v>
      </c>
      <c r="J155" s="33"/>
      <c r="K155" s="33">
        <v>0.45</v>
      </c>
      <c r="L155" s="33"/>
      <c r="M155" s="33">
        <v>0.06</v>
      </c>
      <c r="N155" s="38">
        <f t="shared" si="23"/>
        <v>560</v>
      </c>
      <c r="O155" s="218">
        <f t="shared" si="26"/>
        <v>252</v>
      </c>
      <c r="P155" s="218">
        <f t="shared" si="27"/>
        <v>18</v>
      </c>
      <c r="Q155" s="218">
        <f t="shared" si="28"/>
        <v>290</v>
      </c>
      <c r="R155" s="33">
        <f>IF(SUM($P155)=0,"",INDEX(Cascade!$BG:$BG,MATCH($E155,Cascade!$E:$E,0)))</f>
        <v>0.95</v>
      </c>
      <c r="S155" s="218">
        <f t="shared" si="29"/>
        <v>252</v>
      </c>
      <c r="T155" s="218">
        <f t="shared" si="30"/>
        <v>17</v>
      </c>
      <c r="U155" s="38">
        <f>IFERROR(1/(1/INDEX(Cascade!$BH:$BH,MATCH($E155,Cascade!$E:$E,0))),"")</f>
        <v>1009</v>
      </c>
      <c r="V155" s="38">
        <f t="shared" si="31"/>
        <v>18</v>
      </c>
      <c r="W155" s="38">
        <f>IFERROR(1/(1/INDEX(PMTCT!$AC:$AC,MATCH($E155,PMTCT!$E:$E,0))),"")</f>
        <v>129</v>
      </c>
      <c r="X155" s="38">
        <f>IFERROR(1/(1/INDEX(PMTCT!$AS:$AS,MATCH($E155,PMTCT!$E:$E,0))),"")</f>
        <v>69</v>
      </c>
      <c r="Y155" s="38" t="str">
        <f>IFERROR(1/(1/INDEX(VMMC!$AA:$AA,MATCH($E155,VMMC!$E:$E,0))),"")</f>
        <v/>
      </c>
      <c r="Z155" s="38">
        <f t="shared" si="32"/>
        <v>793</v>
      </c>
    </row>
    <row r="156" spans="1:26" x14ac:dyDescent="0.2">
      <c r="A156" t="str">
        <f>INDEX(Prioritization!$D:$D,MATCH($B156,Prioritization!$A:$A,0))</f>
        <v>INVALID</v>
      </c>
      <c r="B156" t="s">
        <v>301</v>
      </c>
      <c r="C156" t="s">
        <v>477</v>
      </c>
      <c r="D156" t="s">
        <v>48</v>
      </c>
      <c r="E156" t="str">
        <f t="shared" si="24"/>
        <v>Lilongwe District [ScR9iFKAasW]|35-49|Male</v>
      </c>
      <c r="F156" s="38">
        <v>637</v>
      </c>
      <c r="G156" s="33">
        <v>0.39</v>
      </c>
      <c r="H156" s="218">
        <f t="shared" si="25"/>
        <v>885</v>
      </c>
      <c r="I156" s="38">
        <v>18</v>
      </c>
      <c r="J156" s="33"/>
      <c r="K156" s="33">
        <v>0.45</v>
      </c>
      <c r="L156" s="33"/>
      <c r="M156" s="33">
        <v>0.06</v>
      </c>
      <c r="N156" s="38">
        <f t="shared" si="23"/>
        <v>876</v>
      </c>
      <c r="O156" s="218">
        <f t="shared" si="26"/>
        <v>394</v>
      </c>
      <c r="P156" s="218">
        <f t="shared" si="27"/>
        <v>29</v>
      </c>
      <c r="Q156" s="218">
        <f t="shared" si="28"/>
        <v>453</v>
      </c>
      <c r="R156" s="33">
        <f>IF(SUM($P156)=0,"",INDEX(Cascade!$BG:$BG,MATCH($E156,Cascade!$E:$E,0)))</f>
        <v>0.95</v>
      </c>
      <c r="S156" s="218">
        <f t="shared" si="29"/>
        <v>394</v>
      </c>
      <c r="T156" s="218">
        <f t="shared" si="30"/>
        <v>28</v>
      </c>
      <c r="U156" s="38">
        <f>IFERROR(1/(1/INDEX(Cascade!$BH:$BH,MATCH($E156,Cascade!$E:$E,0))),"")</f>
        <v>1068</v>
      </c>
      <c r="V156" s="38">
        <f t="shared" si="31"/>
        <v>29</v>
      </c>
      <c r="W156" s="38" t="str">
        <f>IFERROR(1/(1/INDEX(PMTCT!$AC:$AC,MATCH($E156,PMTCT!$E:$E,0))),"")</f>
        <v/>
      </c>
      <c r="X156" s="38" t="str">
        <f>IFERROR(1/(1/INDEX(PMTCT!$AS:$AS,MATCH($E156,PMTCT!$E:$E,0))),"")</f>
        <v/>
      </c>
      <c r="Y156" s="38">
        <f>IFERROR(1/(1/INDEX(VMMC!$AA:$AA,MATCH($E156,VMMC!$E:$E,0))),"")</f>
        <v>98.000000000000014</v>
      </c>
      <c r="Z156" s="38">
        <f t="shared" si="32"/>
        <v>941</v>
      </c>
    </row>
    <row r="157" spans="1:26" x14ac:dyDescent="0.2">
      <c r="A157" t="str">
        <f>INDEX(Prioritization!$D:$D,MATCH($B157,Prioritization!$A:$A,0))</f>
        <v>INVALID</v>
      </c>
      <c r="B157" t="s">
        <v>301</v>
      </c>
      <c r="C157" t="s">
        <v>478</v>
      </c>
      <c r="D157" t="s">
        <v>30</v>
      </c>
      <c r="E157" t="str">
        <f t="shared" si="24"/>
        <v>Lilongwe District [ScR9iFKAasW]|50+|Female</v>
      </c>
      <c r="F157" s="38">
        <v>136</v>
      </c>
      <c r="G157" s="33">
        <v>0.39</v>
      </c>
      <c r="H157" s="218">
        <f t="shared" si="25"/>
        <v>189</v>
      </c>
      <c r="I157" s="38">
        <v>4</v>
      </c>
      <c r="J157" s="33"/>
      <c r="K157" s="33">
        <v>0.45</v>
      </c>
      <c r="L157" s="33"/>
      <c r="M157" s="33">
        <v>0.06</v>
      </c>
      <c r="N157" s="38">
        <f t="shared" si="23"/>
        <v>187</v>
      </c>
      <c r="O157" s="218">
        <f t="shared" si="26"/>
        <v>84</v>
      </c>
      <c r="P157" s="218">
        <f t="shared" si="27"/>
        <v>6</v>
      </c>
      <c r="Q157" s="218">
        <f t="shared" si="28"/>
        <v>97</v>
      </c>
      <c r="R157" s="33">
        <f>IF(SUM($P157)=0,"",INDEX(Cascade!$BG:$BG,MATCH($E157,Cascade!$E:$E,0)))</f>
        <v>0.95</v>
      </c>
      <c r="S157" s="218">
        <f t="shared" si="29"/>
        <v>84</v>
      </c>
      <c r="T157" s="218">
        <f t="shared" si="30"/>
        <v>6</v>
      </c>
      <c r="U157" s="38">
        <f>IFERROR(1/(1/INDEX(Cascade!$BH:$BH,MATCH($E157,Cascade!$E:$E,0))),"")</f>
        <v>903</v>
      </c>
      <c r="V157" s="38">
        <f t="shared" si="31"/>
        <v>6</v>
      </c>
      <c r="W157" s="38">
        <f>IFERROR(1/(1/INDEX(PMTCT!$AC:$AC,MATCH($E157,PMTCT!$E:$E,0))),"")</f>
        <v>1</v>
      </c>
      <c r="X157" s="38" t="str">
        <f>IFERROR(1/(1/INDEX(PMTCT!$AS:$AS,MATCH($E157,PMTCT!$E:$E,0))),"")</f>
        <v/>
      </c>
      <c r="Y157" s="38" t="str">
        <f>IFERROR(1/(1/INDEX(VMMC!$AA:$AA,MATCH($E157,VMMC!$E:$E,0))),"")</f>
        <v/>
      </c>
      <c r="Z157" s="38">
        <f t="shared" si="32"/>
        <v>896</v>
      </c>
    </row>
    <row r="158" spans="1:26" x14ac:dyDescent="0.2">
      <c r="A158" t="str">
        <f>INDEX(Prioritization!$D:$D,MATCH($B158,Prioritization!$A:$A,0))</f>
        <v>INVALID</v>
      </c>
      <c r="B158" t="s">
        <v>301</v>
      </c>
      <c r="C158" t="s">
        <v>478</v>
      </c>
      <c r="D158" t="s">
        <v>48</v>
      </c>
      <c r="E158" t="str">
        <f t="shared" si="24"/>
        <v>Lilongwe District [ScR9iFKAasW]|50+|Male</v>
      </c>
      <c r="F158" s="38">
        <v>216</v>
      </c>
      <c r="G158" s="33">
        <v>0.39</v>
      </c>
      <c r="H158" s="218">
        <f t="shared" si="25"/>
        <v>300</v>
      </c>
      <c r="I158" s="38">
        <v>6</v>
      </c>
      <c r="J158" s="33"/>
      <c r="K158" s="33">
        <v>0.45</v>
      </c>
      <c r="L158" s="33"/>
      <c r="M158" s="33">
        <v>0.06</v>
      </c>
      <c r="N158" s="38">
        <f t="shared" si="23"/>
        <v>297</v>
      </c>
      <c r="O158" s="218">
        <f t="shared" si="26"/>
        <v>134</v>
      </c>
      <c r="P158" s="218">
        <f t="shared" si="27"/>
        <v>10</v>
      </c>
      <c r="Q158" s="218">
        <f t="shared" si="28"/>
        <v>153</v>
      </c>
      <c r="R158" s="33">
        <f>IF(SUM($P158)=0,"",INDEX(Cascade!$BG:$BG,MATCH($E158,Cascade!$E:$E,0)))</f>
        <v>0.95</v>
      </c>
      <c r="S158" s="218">
        <f t="shared" si="29"/>
        <v>134</v>
      </c>
      <c r="T158" s="218">
        <f t="shared" si="30"/>
        <v>10</v>
      </c>
      <c r="U158" s="38">
        <f>IFERROR(1/(1/INDEX(Cascade!$BH:$BH,MATCH($E158,Cascade!$E:$E,0))),"")</f>
        <v>711</v>
      </c>
      <c r="V158" s="38">
        <f t="shared" si="31"/>
        <v>10</v>
      </c>
      <c r="W158" s="38" t="str">
        <f>IFERROR(1/(1/INDEX(PMTCT!$AC:$AC,MATCH($E158,PMTCT!$E:$E,0))),"")</f>
        <v/>
      </c>
      <c r="X158" s="38" t="str">
        <f>IFERROR(1/(1/INDEX(PMTCT!$AS:$AS,MATCH($E158,PMTCT!$E:$E,0))),"")</f>
        <v/>
      </c>
      <c r="Y158" s="38" t="str">
        <f>IFERROR(1/(1/INDEX(VMMC!$AA:$AA,MATCH($E158,VMMC!$E:$E,0))),"")</f>
        <v/>
      </c>
      <c r="Z158" s="38">
        <f t="shared" si="32"/>
        <v>701</v>
      </c>
    </row>
    <row r="159" spans="1:26" x14ac:dyDescent="0.2">
      <c r="A159" t="str">
        <f>INDEX(Prioritization!$D:$D,MATCH($B159,Prioritization!$A:$A,0))</f>
        <v>1 - Scale-up: Saturation</v>
      </c>
      <c r="B159" t="s">
        <v>317</v>
      </c>
      <c r="C159" t="s">
        <v>473</v>
      </c>
      <c r="D159" t="s">
        <v>30</v>
      </c>
      <c r="E159" t="str">
        <f t="shared" si="24"/>
        <v>Machinga District [TYnMSwzko3z]|01-09|Female</v>
      </c>
      <c r="F159" s="38">
        <v>8</v>
      </c>
      <c r="G159" s="33">
        <v>0.39</v>
      </c>
      <c r="H159" s="218">
        <f t="shared" si="25"/>
        <v>11</v>
      </c>
      <c r="I159" s="38"/>
      <c r="J159" s="33"/>
      <c r="K159" s="33">
        <v>0.45</v>
      </c>
      <c r="L159" s="33"/>
      <c r="M159" s="33">
        <v>0.06</v>
      </c>
      <c r="N159" s="38">
        <f t="shared" si="23"/>
        <v>11</v>
      </c>
      <c r="O159" s="218">
        <f t="shared" si="26"/>
        <v>5</v>
      </c>
      <c r="P159" s="218">
        <f t="shared" si="27"/>
        <v>0</v>
      </c>
      <c r="Q159" s="218">
        <f t="shared" si="28"/>
        <v>6</v>
      </c>
      <c r="R159" s="33" t="str">
        <f>IF(SUM($P159)=0,"",INDEX(Cascade!$BG:$BG,MATCH($E159,Cascade!$E:$E,0)))</f>
        <v/>
      </c>
      <c r="S159" s="218">
        <f t="shared" si="29"/>
        <v>5</v>
      </c>
      <c r="T159" s="218" t="str">
        <f t="shared" si="30"/>
        <v/>
      </c>
      <c r="U159" s="38">
        <f>IFERROR(1/(1/INDEX(Cascade!$BH:$BH,MATCH($E159,Cascade!$E:$E,0))),"")</f>
        <v>7</v>
      </c>
      <c r="V159" s="38" t="str">
        <f t="shared" si="31"/>
        <v/>
      </c>
      <c r="W159" s="38" t="str">
        <f>IFERROR(1/(1/INDEX(PMTCT!$AC:$AC,MATCH($E159,PMTCT!$E:$E,0))),"")</f>
        <v/>
      </c>
      <c r="X159" s="38" t="str">
        <f>IFERROR(1/(1/INDEX(PMTCT!$AS:$AS,MATCH($E159,PMTCT!$E:$E,0))),"")</f>
        <v/>
      </c>
      <c r="Y159" s="38" t="str">
        <f>IFERROR(1/(1/INDEX(VMMC!$AA:$AA,MATCH($E159,VMMC!$E:$E,0))),"")</f>
        <v/>
      </c>
      <c r="Z159" s="38">
        <f t="shared" si="32"/>
        <v>7</v>
      </c>
    </row>
    <row r="160" spans="1:26" x14ac:dyDescent="0.2">
      <c r="A160" t="str">
        <f>INDEX(Prioritization!$D:$D,MATCH($B160,Prioritization!$A:$A,0))</f>
        <v>1 - Scale-up: Saturation</v>
      </c>
      <c r="B160" t="s">
        <v>317</v>
      </c>
      <c r="C160" t="s">
        <v>473</v>
      </c>
      <c r="D160" t="s">
        <v>48</v>
      </c>
      <c r="E160" t="str">
        <f t="shared" si="24"/>
        <v>Machinga District [TYnMSwzko3z]|01-09|Male</v>
      </c>
      <c r="F160" s="38">
        <v>8</v>
      </c>
      <c r="G160" s="33">
        <v>0.39</v>
      </c>
      <c r="H160" s="218">
        <f t="shared" si="25"/>
        <v>11</v>
      </c>
      <c r="I160" s="38"/>
      <c r="J160" s="33"/>
      <c r="K160" s="33">
        <v>0.45</v>
      </c>
      <c r="L160" s="33"/>
      <c r="M160" s="33">
        <v>0.06</v>
      </c>
      <c r="N160" s="38">
        <f t="shared" si="23"/>
        <v>11</v>
      </c>
      <c r="O160" s="218">
        <f t="shared" si="26"/>
        <v>5</v>
      </c>
      <c r="P160" s="218">
        <f t="shared" si="27"/>
        <v>0</v>
      </c>
      <c r="Q160" s="218">
        <f t="shared" si="28"/>
        <v>6</v>
      </c>
      <c r="R160" s="33" t="str">
        <f>IF(SUM($P160)=0,"",INDEX(Cascade!$BG:$BG,MATCH($E160,Cascade!$E:$E,0)))</f>
        <v/>
      </c>
      <c r="S160" s="218">
        <f t="shared" si="29"/>
        <v>5</v>
      </c>
      <c r="T160" s="218" t="str">
        <f t="shared" si="30"/>
        <v/>
      </c>
      <c r="U160" s="38">
        <f>IFERROR(1/(1/INDEX(Cascade!$BH:$BH,MATCH($E160,Cascade!$E:$E,0))),"")</f>
        <v>8</v>
      </c>
      <c r="V160" s="38" t="str">
        <f t="shared" si="31"/>
        <v/>
      </c>
      <c r="W160" s="38" t="str">
        <f>IFERROR(1/(1/INDEX(PMTCT!$AC:$AC,MATCH($E160,PMTCT!$E:$E,0))),"")</f>
        <v/>
      </c>
      <c r="X160" s="38" t="str">
        <f>IFERROR(1/(1/INDEX(PMTCT!$AS:$AS,MATCH($E160,PMTCT!$E:$E,0))),"")</f>
        <v/>
      </c>
      <c r="Y160" s="38" t="str">
        <f>IFERROR(1/(1/INDEX(VMMC!$AA:$AA,MATCH($E160,VMMC!$E:$E,0))),"")</f>
        <v/>
      </c>
      <c r="Z160" s="38">
        <f t="shared" si="32"/>
        <v>8</v>
      </c>
    </row>
    <row r="161" spans="1:26" x14ac:dyDescent="0.2">
      <c r="A161" t="str">
        <f>INDEX(Prioritization!$D:$D,MATCH($B161,Prioritization!$A:$A,0))</f>
        <v>1 - Scale-up: Saturation</v>
      </c>
      <c r="B161" t="s">
        <v>317</v>
      </c>
      <c r="C161" t="s">
        <v>474</v>
      </c>
      <c r="D161" t="s">
        <v>30</v>
      </c>
      <c r="E161" t="str">
        <f t="shared" si="24"/>
        <v>Machinga District [TYnMSwzko3z]|10-14|Female</v>
      </c>
      <c r="F161" s="38">
        <v>4</v>
      </c>
      <c r="G161" s="33">
        <v>0.39</v>
      </c>
      <c r="H161" s="218">
        <f t="shared" si="25"/>
        <v>6</v>
      </c>
      <c r="I161" s="38"/>
      <c r="J161" s="33"/>
      <c r="K161" s="33">
        <v>0.45</v>
      </c>
      <c r="L161" s="33"/>
      <c r="M161" s="33">
        <v>0.06</v>
      </c>
      <c r="N161" s="38">
        <f t="shared" si="23"/>
        <v>6</v>
      </c>
      <c r="O161" s="218">
        <f t="shared" si="26"/>
        <v>3</v>
      </c>
      <c r="P161" s="218">
        <f t="shared" si="27"/>
        <v>0</v>
      </c>
      <c r="Q161" s="218">
        <f t="shared" si="28"/>
        <v>3</v>
      </c>
      <c r="R161" s="33" t="str">
        <f>IF(SUM($P161)=0,"",INDEX(Cascade!$BG:$BG,MATCH($E161,Cascade!$E:$E,0)))</f>
        <v/>
      </c>
      <c r="S161" s="218">
        <f t="shared" si="29"/>
        <v>3</v>
      </c>
      <c r="T161" s="218" t="str">
        <f t="shared" si="30"/>
        <v/>
      </c>
      <c r="U161" s="38">
        <f>IFERROR(1/(1/INDEX(Cascade!$BH:$BH,MATCH($E161,Cascade!$E:$E,0))),"")</f>
        <v>48</v>
      </c>
      <c r="V161" s="38" t="str">
        <f t="shared" si="31"/>
        <v/>
      </c>
      <c r="W161" s="38">
        <f>IFERROR(1/(1/INDEX(PMTCT!$AC:$AC,MATCH($E161,PMTCT!$E:$E,0))),"")</f>
        <v>1</v>
      </c>
      <c r="X161" s="38" t="str">
        <f>IFERROR(1/(1/INDEX(PMTCT!$AS:$AS,MATCH($E161,PMTCT!$E:$E,0))),"")</f>
        <v/>
      </c>
      <c r="Y161" s="38" t="str">
        <f>IFERROR(1/(1/INDEX(VMMC!$AA:$AA,MATCH($E161,VMMC!$E:$E,0))),"")</f>
        <v/>
      </c>
      <c r="Z161" s="38">
        <f t="shared" si="32"/>
        <v>47</v>
      </c>
    </row>
    <row r="162" spans="1:26" x14ac:dyDescent="0.2">
      <c r="A162" t="str">
        <f>INDEX(Prioritization!$D:$D,MATCH($B162,Prioritization!$A:$A,0))</f>
        <v>1 - Scale-up: Saturation</v>
      </c>
      <c r="B162" t="s">
        <v>317</v>
      </c>
      <c r="C162" t="s">
        <v>474</v>
      </c>
      <c r="D162" t="s">
        <v>48</v>
      </c>
      <c r="E162" t="str">
        <f t="shared" si="24"/>
        <v>Machinga District [TYnMSwzko3z]|10-14|Male</v>
      </c>
      <c r="F162" s="38">
        <v>4</v>
      </c>
      <c r="G162" s="33">
        <v>0.39</v>
      </c>
      <c r="H162" s="218">
        <f t="shared" si="25"/>
        <v>6</v>
      </c>
      <c r="I162" s="38"/>
      <c r="J162" s="33"/>
      <c r="K162" s="33">
        <v>0.45</v>
      </c>
      <c r="L162" s="33"/>
      <c r="M162" s="33">
        <v>0.06</v>
      </c>
      <c r="N162" s="38">
        <f t="shared" si="23"/>
        <v>6</v>
      </c>
      <c r="O162" s="218">
        <f t="shared" si="26"/>
        <v>3</v>
      </c>
      <c r="P162" s="218">
        <f t="shared" si="27"/>
        <v>0</v>
      </c>
      <c r="Q162" s="218">
        <f t="shared" si="28"/>
        <v>3</v>
      </c>
      <c r="R162" s="33" t="str">
        <f>IF(SUM($P162)=0,"",INDEX(Cascade!$BG:$BG,MATCH($E162,Cascade!$E:$E,0)))</f>
        <v/>
      </c>
      <c r="S162" s="218">
        <f t="shared" si="29"/>
        <v>3</v>
      </c>
      <c r="T162" s="218" t="str">
        <f t="shared" si="30"/>
        <v/>
      </c>
      <c r="U162" s="38">
        <f>IFERROR(1/(1/INDEX(Cascade!$BH:$BH,MATCH($E162,Cascade!$E:$E,0))),"")</f>
        <v>9</v>
      </c>
      <c r="V162" s="38" t="str">
        <f t="shared" si="31"/>
        <v/>
      </c>
      <c r="W162" s="38" t="str">
        <f>IFERROR(1/(1/INDEX(PMTCT!$AC:$AC,MATCH($E162,PMTCT!$E:$E,0))),"")</f>
        <v/>
      </c>
      <c r="X162" s="38" t="str">
        <f>IFERROR(1/(1/INDEX(PMTCT!$AS:$AS,MATCH($E162,PMTCT!$E:$E,0))),"")</f>
        <v/>
      </c>
      <c r="Y162" s="38" t="str">
        <f>IFERROR(1/(1/INDEX(VMMC!$AA:$AA,MATCH($E162,VMMC!$E:$E,0))),"")</f>
        <v/>
      </c>
      <c r="Z162" s="38">
        <f t="shared" si="32"/>
        <v>9</v>
      </c>
    </row>
    <row r="163" spans="1:26" x14ac:dyDescent="0.2">
      <c r="A163" t="str">
        <f>INDEX(Prioritization!$D:$D,MATCH($B163,Prioritization!$A:$A,0))</f>
        <v>1 - Scale-up: Saturation</v>
      </c>
      <c r="B163" t="s">
        <v>317</v>
      </c>
      <c r="C163" t="s">
        <v>475</v>
      </c>
      <c r="D163" t="s">
        <v>30</v>
      </c>
      <c r="E163" t="str">
        <f t="shared" si="24"/>
        <v>Machinga District [TYnMSwzko3z]|15-24|Female</v>
      </c>
      <c r="F163" s="38">
        <v>34</v>
      </c>
      <c r="G163" s="33">
        <v>0.39</v>
      </c>
      <c r="H163" s="218">
        <f t="shared" si="25"/>
        <v>47</v>
      </c>
      <c r="I163" s="38">
        <v>1</v>
      </c>
      <c r="J163" s="33"/>
      <c r="K163" s="33">
        <v>0.45</v>
      </c>
      <c r="L163" s="33"/>
      <c r="M163" s="33">
        <v>0.06</v>
      </c>
      <c r="N163" s="38">
        <f t="shared" si="23"/>
        <v>47</v>
      </c>
      <c r="O163" s="218">
        <f t="shared" si="26"/>
        <v>21</v>
      </c>
      <c r="P163" s="218">
        <f t="shared" si="27"/>
        <v>2</v>
      </c>
      <c r="Q163" s="218">
        <f t="shared" si="28"/>
        <v>24</v>
      </c>
      <c r="R163" s="33">
        <f>IF(SUM($P163)=0,"",INDEX(Cascade!$BG:$BG,MATCH($E163,Cascade!$E:$E,0)))</f>
        <v>0.95</v>
      </c>
      <c r="S163" s="218">
        <f t="shared" si="29"/>
        <v>21</v>
      </c>
      <c r="T163" s="218">
        <f t="shared" si="30"/>
        <v>2</v>
      </c>
      <c r="U163" s="38">
        <f>IFERROR(1/(1/INDEX(Cascade!$BH:$BH,MATCH($E163,Cascade!$E:$E,0))),"")</f>
        <v>274</v>
      </c>
      <c r="V163" s="38">
        <f t="shared" si="31"/>
        <v>2</v>
      </c>
      <c r="W163" s="38">
        <f>IFERROR(1/(1/INDEX(PMTCT!$AC:$AC,MATCH($E163,PMTCT!$E:$E,0))),"")</f>
        <v>98.999999999999986</v>
      </c>
      <c r="X163" s="38">
        <f>IFERROR(1/(1/INDEX(PMTCT!$AS:$AS,MATCH($E163,PMTCT!$E:$E,0))),"")</f>
        <v>69</v>
      </c>
      <c r="Y163" s="38" t="str">
        <f>IFERROR(1/(1/INDEX(VMMC!$AA:$AA,MATCH($E163,VMMC!$E:$E,0))),"")</f>
        <v/>
      </c>
      <c r="Z163" s="38">
        <f t="shared" si="32"/>
        <v>104</v>
      </c>
    </row>
    <row r="164" spans="1:26" x14ac:dyDescent="0.2">
      <c r="A164" t="str">
        <f>INDEX(Prioritization!$D:$D,MATCH($B164,Prioritization!$A:$A,0))</f>
        <v>1 - Scale-up: Saturation</v>
      </c>
      <c r="B164" t="s">
        <v>317</v>
      </c>
      <c r="C164" t="s">
        <v>475</v>
      </c>
      <c r="D164" t="s">
        <v>48</v>
      </c>
      <c r="E164" t="str">
        <f t="shared" si="24"/>
        <v>Machinga District [TYnMSwzko3z]|15-24|Male</v>
      </c>
      <c r="F164" s="38">
        <v>52</v>
      </c>
      <c r="G164" s="33">
        <v>0.39</v>
      </c>
      <c r="H164" s="218">
        <f t="shared" si="25"/>
        <v>72</v>
      </c>
      <c r="I164" s="38">
        <v>1</v>
      </c>
      <c r="J164" s="33"/>
      <c r="K164" s="33">
        <v>0.45</v>
      </c>
      <c r="L164" s="33"/>
      <c r="M164" s="33">
        <v>0.06</v>
      </c>
      <c r="N164" s="38">
        <f t="shared" si="23"/>
        <v>71</v>
      </c>
      <c r="O164" s="218">
        <f t="shared" si="26"/>
        <v>32</v>
      </c>
      <c r="P164" s="218">
        <f t="shared" si="27"/>
        <v>2</v>
      </c>
      <c r="Q164" s="218">
        <f t="shared" si="28"/>
        <v>37</v>
      </c>
      <c r="R164" s="33">
        <f>IF(SUM($P164)=0,"",INDEX(Cascade!$BG:$BG,MATCH($E164,Cascade!$E:$E,0)))</f>
        <v>0.95</v>
      </c>
      <c r="S164" s="218">
        <f t="shared" si="29"/>
        <v>32</v>
      </c>
      <c r="T164" s="218">
        <f t="shared" si="30"/>
        <v>2</v>
      </c>
      <c r="U164" s="38">
        <f>IFERROR(1/(1/INDEX(Cascade!$BH:$BH,MATCH($E164,Cascade!$E:$E,0))),"")</f>
        <v>66</v>
      </c>
      <c r="V164" s="38">
        <f t="shared" si="31"/>
        <v>2</v>
      </c>
      <c r="W164" s="38" t="str">
        <f>IFERROR(1/(1/INDEX(PMTCT!$AC:$AC,MATCH($E164,PMTCT!$E:$E,0))),"")</f>
        <v/>
      </c>
      <c r="X164" s="38" t="str">
        <f>IFERROR(1/(1/INDEX(PMTCT!$AS:$AS,MATCH($E164,PMTCT!$E:$E,0))),"")</f>
        <v/>
      </c>
      <c r="Y164" s="38" t="str">
        <f>IFERROR(1/(1/INDEX(VMMC!$AA:$AA,MATCH($E164,VMMC!$E:$E,0))),"")</f>
        <v/>
      </c>
      <c r="Z164" s="38">
        <f t="shared" si="32"/>
        <v>64</v>
      </c>
    </row>
    <row r="165" spans="1:26" x14ac:dyDescent="0.2">
      <c r="A165" t="str">
        <f>INDEX(Prioritization!$D:$D,MATCH($B165,Prioritization!$A:$A,0))</f>
        <v>1 - Scale-up: Saturation</v>
      </c>
      <c r="B165" t="s">
        <v>317</v>
      </c>
      <c r="C165" t="s">
        <v>476</v>
      </c>
      <c r="D165" t="s">
        <v>30</v>
      </c>
      <c r="E165" t="str">
        <f t="shared" si="24"/>
        <v>Machinga District [TYnMSwzko3z]|25-34|Female</v>
      </c>
      <c r="F165" s="38">
        <v>34</v>
      </c>
      <c r="G165" s="33">
        <v>0.39</v>
      </c>
      <c r="H165" s="218">
        <f t="shared" si="25"/>
        <v>47</v>
      </c>
      <c r="I165" s="38">
        <v>1</v>
      </c>
      <c r="J165" s="33"/>
      <c r="K165" s="33">
        <v>0.45</v>
      </c>
      <c r="L165" s="33"/>
      <c r="M165" s="33">
        <v>0.06</v>
      </c>
      <c r="N165" s="38">
        <f t="shared" si="23"/>
        <v>47</v>
      </c>
      <c r="O165" s="218">
        <f t="shared" si="26"/>
        <v>21</v>
      </c>
      <c r="P165" s="218">
        <f t="shared" si="27"/>
        <v>2</v>
      </c>
      <c r="Q165" s="218">
        <f t="shared" si="28"/>
        <v>24</v>
      </c>
      <c r="R165" s="33">
        <f>IF(SUM($P165)=0,"",INDEX(Cascade!$BG:$BG,MATCH($E165,Cascade!$E:$E,0)))</f>
        <v>0.95</v>
      </c>
      <c r="S165" s="218">
        <f t="shared" si="29"/>
        <v>21</v>
      </c>
      <c r="T165" s="218">
        <f t="shared" si="30"/>
        <v>2</v>
      </c>
      <c r="U165" s="38">
        <f>IFERROR(1/(1/INDEX(Cascade!$BH:$BH,MATCH($E165,Cascade!$E:$E,0))),"")</f>
        <v>436</v>
      </c>
      <c r="V165" s="38">
        <f t="shared" si="31"/>
        <v>2</v>
      </c>
      <c r="W165" s="38">
        <f>IFERROR(1/(1/INDEX(PMTCT!$AC:$AC,MATCH($E165,PMTCT!$E:$E,0))),"")</f>
        <v>132</v>
      </c>
      <c r="X165" s="38">
        <f>IFERROR(1/(1/INDEX(PMTCT!$AS:$AS,MATCH($E165,PMTCT!$E:$E,0))),"")</f>
        <v>76</v>
      </c>
      <c r="Y165" s="38" t="str">
        <f>IFERROR(1/(1/INDEX(VMMC!$AA:$AA,MATCH($E165,VMMC!$E:$E,0))),"")</f>
        <v/>
      </c>
      <c r="Z165" s="38">
        <f t="shared" si="32"/>
        <v>226</v>
      </c>
    </row>
    <row r="166" spans="1:26" x14ac:dyDescent="0.2">
      <c r="A166" t="str">
        <f>INDEX(Prioritization!$D:$D,MATCH($B166,Prioritization!$A:$A,0))</f>
        <v>1 - Scale-up: Saturation</v>
      </c>
      <c r="B166" t="s">
        <v>317</v>
      </c>
      <c r="C166" t="s">
        <v>476</v>
      </c>
      <c r="D166" t="s">
        <v>48</v>
      </c>
      <c r="E166" t="str">
        <f t="shared" si="24"/>
        <v>Machinga District [TYnMSwzko3z]|25-34|Male</v>
      </c>
      <c r="F166" s="38">
        <v>52</v>
      </c>
      <c r="G166" s="33">
        <v>0.39</v>
      </c>
      <c r="H166" s="218">
        <f t="shared" si="25"/>
        <v>72</v>
      </c>
      <c r="I166" s="38">
        <v>1</v>
      </c>
      <c r="J166" s="33"/>
      <c r="K166" s="33">
        <v>0.45</v>
      </c>
      <c r="L166" s="33"/>
      <c r="M166" s="33">
        <v>0.06</v>
      </c>
      <c r="N166" s="38">
        <f t="shared" si="23"/>
        <v>71</v>
      </c>
      <c r="O166" s="218">
        <f t="shared" si="26"/>
        <v>32</v>
      </c>
      <c r="P166" s="218">
        <f t="shared" si="27"/>
        <v>2</v>
      </c>
      <c r="Q166" s="218">
        <f t="shared" si="28"/>
        <v>37</v>
      </c>
      <c r="R166" s="33">
        <f>IF(SUM($P166)=0,"",INDEX(Cascade!$BG:$BG,MATCH($E166,Cascade!$E:$E,0)))</f>
        <v>0.95</v>
      </c>
      <c r="S166" s="218">
        <f t="shared" si="29"/>
        <v>32</v>
      </c>
      <c r="T166" s="218">
        <f t="shared" si="30"/>
        <v>2</v>
      </c>
      <c r="U166" s="38">
        <f>IFERROR(1/(1/INDEX(Cascade!$BH:$BH,MATCH($E166,Cascade!$E:$E,0))),"")</f>
        <v>21</v>
      </c>
      <c r="V166" s="38">
        <f t="shared" si="31"/>
        <v>2</v>
      </c>
      <c r="W166" s="38" t="str">
        <f>IFERROR(1/(1/INDEX(PMTCT!$AC:$AC,MATCH($E166,PMTCT!$E:$E,0))),"")</f>
        <v/>
      </c>
      <c r="X166" s="38" t="str">
        <f>IFERROR(1/(1/INDEX(PMTCT!$AS:$AS,MATCH($E166,PMTCT!$E:$E,0))),"")</f>
        <v/>
      </c>
      <c r="Y166" s="38" t="str">
        <f>IFERROR(1/(1/INDEX(VMMC!$AA:$AA,MATCH($E166,VMMC!$E:$E,0))),"")</f>
        <v/>
      </c>
      <c r="Z166" s="38">
        <f t="shared" si="32"/>
        <v>19</v>
      </c>
    </row>
    <row r="167" spans="1:26" x14ac:dyDescent="0.2">
      <c r="A167" t="str">
        <f>INDEX(Prioritization!$D:$D,MATCH($B167,Prioritization!$A:$A,0))</f>
        <v>1 - Scale-up: Saturation</v>
      </c>
      <c r="B167" t="s">
        <v>317</v>
      </c>
      <c r="C167" t="s">
        <v>477</v>
      </c>
      <c r="D167" t="s">
        <v>30</v>
      </c>
      <c r="E167" t="str">
        <f t="shared" si="24"/>
        <v>Machinga District [TYnMSwzko3z]|35-49|Female</v>
      </c>
      <c r="F167" s="38">
        <v>51</v>
      </c>
      <c r="G167" s="33">
        <v>0.39</v>
      </c>
      <c r="H167" s="218">
        <f t="shared" si="25"/>
        <v>71</v>
      </c>
      <c r="I167" s="38">
        <v>1</v>
      </c>
      <c r="J167" s="33"/>
      <c r="K167" s="33">
        <v>0.45</v>
      </c>
      <c r="L167" s="33"/>
      <c r="M167" s="33">
        <v>0.06</v>
      </c>
      <c r="N167" s="38">
        <f t="shared" si="23"/>
        <v>70</v>
      </c>
      <c r="O167" s="218">
        <f t="shared" si="26"/>
        <v>32</v>
      </c>
      <c r="P167" s="218">
        <f t="shared" si="27"/>
        <v>2</v>
      </c>
      <c r="Q167" s="218">
        <f t="shared" si="28"/>
        <v>36</v>
      </c>
      <c r="R167" s="33">
        <f>IF(SUM($P167)=0,"",INDEX(Cascade!$BG:$BG,MATCH($E167,Cascade!$E:$E,0)))</f>
        <v>0.95</v>
      </c>
      <c r="S167" s="218">
        <f t="shared" si="29"/>
        <v>32</v>
      </c>
      <c r="T167" s="218">
        <f t="shared" si="30"/>
        <v>2</v>
      </c>
      <c r="U167" s="38">
        <f>IFERROR(1/(1/INDEX(Cascade!$BH:$BH,MATCH($E167,Cascade!$E:$E,0))),"")</f>
        <v>280</v>
      </c>
      <c r="V167" s="38">
        <f t="shared" si="31"/>
        <v>2</v>
      </c>
      <c r="W167" s="38">
        <f>IFERROR(1/(1/INDEX(PMTCT!$AC:$AC,MATCH($E167,PMTCT!$E:$E,0))),"")</f>
        <v>25</v>
      </c>
      <c r="X167" s="38">
        <f>IFERROR(1/(1/INDEX(PMTCT!$AS:$AS,MATCH($E167,PMTCT!$E:$E,0))),"")</f>
        <v>23</v>
      </c>
      <c r="Y167" s="38" t="str">
        <f>IFERROR(1/(1/INDEX(VMMC!$AA:$AA,MATCH($E167,VMMC!$E:$E,0))),"")</f>
        <v/>
      </c>
      <c r="Z167" s="38">
        <f t="shared" si="32"/>
        <v>230</v>
      </c>
    </row>
    <row r="168" spans="1:26" x14ac:dyDescent="0.2">
      <c r="A168" t="str">
        <f>INDEX(Prioritization!$D:$D,MATCH($B168,Prioritization!$A:$A,0))</f>
        <v>1 - Scale-up: Saturation</v>
      </c>
      <c r="B168" t="s">
        <v>317</v>
      </c>
      <c r="C168" t="s">
        <v>477</v>
      </c>
      <c r="D168" t="s">
        <v>48</v>
      </c>
      <c r="E168" t="str">
        <f t="shared" si="24"/>
        <v>Machinga District [TYnMSwzko3z]|35-49|Male</v>
      </c>
      <c r="F168" s="38">
        <v>78</v>
      </c>
      <c r="G168" s="33">
        <v>0.39</v>
      </c>
      <c r="H168" s="218">
        <f t="shared" si="25"/>
        <v>108</v>
      </c>
      <c r="I168" s="38">
        <v>2</v>
      </c>
      <c r="J168" s="33"/>
      <c r="K168" s="33">
        <v>0.45</v>
      </c>
      <c r="L168" s="33"/>
      <c r="M168" s="33">
        <v>0.06</v>
      </c>
      <c r="N168" s="38">
        <f t="shared" si="23"/>
        <v>107</v>
      </c>
      <c r="O168" s="218">
        <f t="shared" si="26"/>
        <v>48</v>
      </c>
      <c r="P168" s="218">
        <f t="shared" si="27"/>
        <v>4</v>
      </c>
      <c r="Q168" s="218">
        <f t="shared" si="28"/>
        <v>55</v>
      </c>
      <c r="R168" s="33">
        <f>IF(SUM($P168)=0,"",INDEX(Cascade!$BG:$BG,MATCH($E168,Cascade!$E:$E,0)))</f>
        <v>0.95</v>
      </c>
      <c r="S168" s="218">
        <f t="shared" si="29"/>
        <v>48</v>
      </c>
      <c r="T168" s="218">
        <f t="shared" si="30"/>
        <v>4</v>
      </c>
      <c r="U168" s="38">
        <f>IFERROR(1/(1/INDEX(Cascade!$BH:$BH,MATCH($E168,Cascade!$E:$E,0))),"")</f>
        <v>89</v>
      </c>
      <c r="V168" s="38">
        <f t="shared" si="31"/>
        <v>4</v>
      </c>
      <c r="W168" s="38" t="str">
        <f>IFERROR(1/(1/INDEX(PMTCT!$AC:$AC,MATCH($E168,PMTCT!$E:$E,0))),"")</f>
        <v/>
      </c>
      <c r="X168" s="38" t="str">
        <f>IFERROR(1/(1/INDEX(PMTCT!$AS:$AS,MATCH($E168,PMTCT!$E:$E,0))),"")</f>
        <v/>
      </c>
      <c r="Y168" s="38" t="str">
        <f>IFERROR(1/(1/INDEX(VMMC!$AA:$AA,MATCH($E168,VMMC!$E:$E,0))),"")</f>
        <v/>
      </c>
      <c r="Z168" s="38">
        <f t="shared" si="32"/>
        <v>85</v>
      </c>
    </row>
    <row r="169" spans="1:26" x14ac:dyDescent="0.2">
      <c r="A169" t="str">
        <f>INDEX(Prioritization!$D:$D,MATCH($B169,Prioritization!$A:$A,0))</f>
        <v>1 - Scale-up: Saturation</v>
      </c>
      <c r="B169" t="s">
        <v>317</v>
      </c>
      <c r="C169" t="s">
        <v>478</v>
      </c>
      <c r="D169" t="s">
        <v>30</v>
      </c>
      <c r="E169" t="str">
        <f t="shared" si="24"/>
        <v>Machinga District [TYnMSwzko3z]|50+|Female</v>
      </c>
      <c r="F169" s="38">
        <v>18</v>
      </c>
      <c r="G169" s="33">
        <v>0.39</v>
      </c>
      <c r="H169" s="218">
        <f t="shared" si="25"/>
        <v>25</v>
      </c>
      <c r="I169" s="38">
        <v>1</v>
      </c>
      <c r="J169" s="33"/>
      <c r="K169" s="33">
        <v>0.45</v>
      </c>
      <c r="L169" s="33"/>
      <c r="M169" s="33">
        <v>0.06</v>
      </c>
      <c r="N169" s="38">
        <f t="shared" si="23"/>
        <v>25</v>
      </c>
      <c r="O169" s="218">
        <f t="shared" si="26"/>
        <v>11</v>
      </c>
      <c r="P169" s="218">
        <f t="shared" si="27"/>
        <v>1</v>
      </c>
      <c r="Q169" s="218">
        <f t="shared" si="28"/>
        <v>13</v>
      </c>
      <c r="R169" s="33">
        <f>IF(SUM($P169)=0,"",INDEX(Cascade!$BG:$BG,MATCH($E169,Cascade!$E:$E,0)))</f>
        <v>0.95</v>
      </c>
      <c r="S169" s="218">
        <f t="shared" si="29"/>
        <v>11</v>
      </c>
      <c r="T169" s="218">
        <f t="shared" si="30"/>
        <v>1</v>
      </c>
      <c r="U169" s="38">
        <f>IFERROR(1/(1/INDEX(Cascade!$BH:$BH,MATCH($E169,Cascade!$E:$E,0))),"")</f>
        <v>179</v>
      </c>
      <c r="V169" s="38">
        <f t="shared" si="31"/>
        <v>1</v>
      </c>
      <c r="W169" s="38" t="str">
        <f>IFERROR(1/(1/INDEX(PMTCT!$AC:$AC,MATCH($E169,PMTCT!$E:$E,0))),"")</f>
        <v/>
      </c>
      <c r="X169" s="38" t="str">
        <f>IFERROR(1/(1/INDEX(PMTCT!$AS:$AS,MATCH($E169,PMTCT!$E:$E,0))),"")</f>
        <v/>
      </c>
      <c r="Y169" s="38" t="str">
        <f>IFERROR(1/(1/INDEX(VMMC!$AA:$AA,MATCH($E169,VMMC!$E:$E,0))),"")</f>
        <v/>
      </c>
      <c r="Z169" s="38">
        <f t="shared" si="32"/>
        <v>178</v>
      </c>
    </row>
    <row r="170" spans="1:26" x14ac:dyDescent="0.2">
      <c r="A170" t="str">
        <f>INDEX(Prioritization!$D:$D,MATCH($B170,Prioritization!$A:$A,0))</f>
        <v>1 - Scale-up: Saturation</v>
      </c>
      <c r="B170" t="s">
        <v>317</v>
      </c>
      <c r="C170" t="s">
        <v>478</v>
      </c>
      <c r="D170" t="s">
        <v>48</v>
      </c>
      <c r="E170" t="str">
        <f t="shared" si="24"/>
        <v>Machinga District [TYnMSwzko3z]|50+|Male</v>
      </c>
      <c r="F170" s="38">
        <v>26</v>
      </c>
      <c r="G170" s="33">
        <v>0.39</v>
      </c>
      <c r="H170" s="218">
        <f t="shared" si="25"/>
        <v>36</v>
      </c>
      <c r="I170" s="38">
        <v>1</v>
      </c>
      <c r="J170" s="33"/>
      <c r="K170" s="33">
        <v>0.45</v>
      </c>
      <c r="L170" s="33"/>
      <c r="M170" s="33">
        <v>0.06</v>
      </c>
      <c r="N170" s="38">
        <f t="shared" si="23"/>
        <v>36</v>
      </c>
      <c r="O170" s="218">
        <f t="shared" si="26"/>
        <v>16</v>
      </c>
      <c r="P170" s="218">
        <f t="shared" si="27"/>
        <v>1</v>
      </c>
      <c r="Q170" s="218">
        <f t="shared" si="28"/>
        <v>19</v>
      </c>
      <c r="R170" s="33">
        <f>IF(SUM($P170)=0,"",INDEX(Cascade!$BG:$BG,MATCH($E170,Cascade!$E:$E,0)))</f>
        <v>0.95</v>
      </c>
      <c r="S170" s="218">
        <f t="shared" si="29"/>
        <v>16</v>
      </c>
      <c r="T170" s="218">
        <f t="shared" si="30"/>
        <v>1</v>
      </c>
      <c r="U170" s="38">
        <f>IFERROR(1/(1/INDEX(Cascade!$BH:$BH,MATCH($E170,Cascade!$E:$E,0))),"")</f>
        <v>107.00000000000001</v>
      </c>
      <c r="V170" s="38">
        <f t="shared" si="31"/>
        <v>1</v>
      </c>
      <c r="W170" s="38" t="str">
        <f>IFERROR(1/(1/INDEX(PMTCT!$AC:$AC,MATCH($E170,PMTCT!$E:$E,0))),"")</f>
        <v/>
      </c>
      <c r="X170" s="38" t="str">
        <f>IFERROR(1/(1/INDEX(PMTCT!$AS:$AS,MATCH($E170,PMTCT!$E:$E,0))),"")</f>
        <v/>
      </c>
      <c r="Y170" s="38" t="str">
        <f>IFERROR(1/(1/INDEX(VMMC!$AA:$AA,MATCH($E170,VMMC!$E:$E,0))),"")</f>
        <v/>
      </c>
      <c r="Z170" s="38">
        <f t="shared" si="32"/>
        <v>106.00000000000003</v>
      </c>
    </row>
    <row r="171" spans="1:26" x14ac:dyDescent="0.2">
      <c r="A171" t="str">
        <f>INDEX(Prioritization!$D:$D,MATCH($B171,Prioritization!$A:$A,0))</f>
        <v>1 - Scale-up: Saturation</v>
      </c>
      <c r="B171" t="s">
        <v>318</v>
      </c>
      <c r="C171" t="s">
        <v>473</v>
      </c>
      <c r="D171" t="s">
        <v>30</v>
      </c>
      <c r="E171" t="str">
        <f t="shared" si="24"/>
        <v>Mangochi District [lLDyBx5XyUi]|01-09|Female</v>
      </c>
      <c r="F171" s="38">
        <v>20</v>
      </c>
      <c r="G171" s="33">
        <v>0.39</v>
      </c>
      <c r="H171" s="218">
        <f t="shared" si="25"/>
        <v>28</v>
      </c>
      <c r="I171" s="38">
        <v>1</v>
      </c>
      <c r="J171" s="33"/>
      <c r="K171" s="33">
        <v>0.45</v>
      </c>
      <c r="L171" s="33"/>
      <c r="M171" s="33">
        <v>0.06</v>
      </c>
      <c r="N171" s="38">
        <f t="shared" si="23"/>
        <v>28</v>
      </c>
      <c r="O171" s="218">
        <f t="shared" si="26"/>
        <v>13</v>
      </c>
      <c r="P171" s="218">
        <f t="shared" si="27"/>
        <v>1</v>
      </c>
      <c r="Q171" s="218">
        <f t="shared" si="28"/>
        <v>14</v>
      </c>
      <c r="R171" s="33">
        <f>IF(SUM($P171)=0,"",INDEX(Cascade!$BG:$BG,MATCH($E171,Cascade!$E:$E,0)))</f>
        <v>0.95</v>
      </c>
      <c r="S171" s="218">
        <f t="shared" si="29"/>
        <v>13</v>
      </c>
      <c r="T171" s="218">
        <f t="shared" si="30"/>
        <v>1</v>
      </c>
      <c r="U171" s="38">
        <f>IFERROR(1/(1/INDEX(Cascade!$BH:$BH,MATCH($E171,Cascade!$E:$E,0))),"")</f>
        <v>44</v>
      </c>
      <c r="V171" s="38">
        <f t="shared" si="31"/>
        <v>1</v>
      </c>
      <c r="W171" s="38" t="str">
        <f>IFERROR(1/(1/INDEX(PMTCT!$AC:$AC,MATCH($E171,PMTCT!$E:$E,0))),"")</f>
        <v/>
      </c>
      <c r="X171" s="38" t="str">
        <f>IFERROR(1/(1/INDEX(PMTCT!$AS:$AS,MATCH($E171,PMTCT!$E:$E,0))),"")</f>
        <v/>
      </c>
      <c r="Y171" s="38" t="str">
        <f>IFERROR(1/(1/INDEX(VMMC!$AA:$AA,MATCH($E171,VMMC!$E:$E,0))),"")</f>
        <v/>
      </c>
      <c r="Z171" s="38">
        <f t="shared" si="32"/>
        <v>43</v>
      </c>
    </row>
    <row r="172" spans="1:26" x14ac:dyDescent="0.2">
      <c r="A172" t="str">
        <f>INDEX(Prioritization!$D:$D,MATCH($B172,Prioritization!$A:$A,0))</f>
        <v>1 - Scale-up: Saturation</v>
      </c>
      <c r="B172" t="s">
        <v>318</v>
      </c>
      <c r="C172" t="s">
        <v>473</v>
      </c>
      <c r="D172" t="s">
        <v>48</v>
      </c>
      <c r="E172" t="str">
        <f t="shared" si="24"/>
        <v>Mangochi District [lLDyBx5XyUi]|01-09|Male</v>
      </c>
      <c r="F172" s="38">
        <v>20</v>
      </c>
      <c r="G172" s="33">
        <v>0.39</v>
      </c>
      <c r="H172" s="218">
        <f t="shared" si="25"/>
        <v>28</v>
      </c>
      <c r="I172" s="38">
        <v>1</v>
      </c>
      <c r="J172" s="33"/>
      <c r="K172" s="33">
        <v>0.45</v>
      </c>
      <c r="L172" s="33"/>
      <c r="M172" s="33">
        <v>0.06</v>
      </c>
      <c r="N172" s="38">
        <f t="shared" si="23"/>
        <v>28</v>
      </c>
      <c r="O172" s="218">
        <f t="shared" si="26"/>
        <v>13</v>
      </c>
      <c r="P172" s="218">
        <f t="shared" si="27"/>
        <v>1</v>
      </c>
      <c r="Q172" s="218">
        <f t="shared" si="28"/>
        <v>14</v>
      </c>
      <c r="R172" s="33">
        <f>IF(SUM($P172)=0,"",INDEX(Cascade!$BG:$BG,MATCH($E172,Cascade!$E:$E,0)))</f>
        <v>0.95</v>
      </c>
      <c r="S172" s="218">
        <f t="shared" si="29"/>
        <v>13</v>
      </c>
      <c r="T172" s="218">
        <f t="shared" si="30"/>
        <v>1</v>
      </c>
      <c r="U172" s="38">
        <f>IFERROR(1/(1/INDEX(Cascade!$BH:$BH,MATCH($E172,Cascade!$E:$E,0))),"")</f>
        <v>78</v>
      </c>
      <c r="V172" s="38">
        <f t="shared" si="31"/>
        <v>1</v>
      </c>
      <c r="W172" s="38" t="str">
        <f>IFERROR(1/(1/INDEX(PMTCT!$AC:$AC,MATCH($E172,PMTCT!$E:$E,0))),"")</f>
        <v/>
      </c>
      <c r="X172" s="38" t="str">
        <f>IFERROR(1/(1/INDEX(PMTCT!$AS:$AS,MATCH($E172,PMTCT!$E:$E,0))),"")</f>
        <v/>
      </c>
      <c r="Y172" s="38" t="str">
        <f>IFERROR(1/(1/INDEX(VMMC!$AA:$AA,MATCH($E172,VMMC!$E:$E,0))),"")</f>
        <v/>
      </c>
      <c r="Z172" s="38">
        <f t="shared" si="32"/>
        <v>77</v>
      </c>
    </row>
    <row r="173" spans="1:26" x14ac:dyDescent="0.2">
      <c r="A173" t="str">
        <f>INDEX(Prioritization!$D:$D,MATCH($B173,Prioritization!$A:$A,0))</f>
        <v>1 - Scale-up: Saturation</v>
      </c>
      <c r="B173" t="s">
        <v>318</v>
      </c>
      <c r="C173" t="s">
        <v>474</v>
      </c>
      <c r="D173" t="s">
        <v>30</v>
      </c>
      <c r="E173" t="str">
        <f t="shared" si="24"/>
        <v>Mangochi District [lLDyBx5XyUi]|10-14|Female</v>
      </c>
      <c r="F173" s="38">
        <v>10</v>
      </c>
      <c r="G173" s="33">
        <v>0.39</v>
      </c>
      <c r="H173" s="218">
        <f t="shared" si="25"/>
        <v>14</v>
      </c>
      <c r="I173" s="38"/>
      <c r="J173" s="33"/>
      <c r="K173" s="33">
        <v>0.45</v>
      </c>
      <c r="L173" s="33"/>
      <c r="M173" s="33">
        <v>0.06</v>
      </c>
      <c r="N173" s="38">
        <f t="shared" si="23"/>
        <v>14</v>
      </c>
      <c r="O173" s="218">
        <f t="shared" si="26"/>
        <v>6</v>
      </c>
      <c r="P173" s="218">
        <f t="shared" si="27"/>
        <v>0</v>
      </c>
      <c r="Q173" s="218">
        <f t="shared" si="28"/>
        <v>8</v>
      </c>
      <c r="R173" s="33" t="str">
        <f>IF(SUM($P173)=0,"",INDEX(Cascade!$BG:$BG,MATCH($E173,Cascade!$E:$E,0)))</f>
        <v/>
      </c>
      <c r="S173" s="218">
        <f t="shared" si="29"/>
        <v>6</v>
      </c>
      <c r="T173" s="218" t="str">
        <f t="shared" si="30"/>
        <v/>
      </c>
      <c r="U173" s="38">
        <f>IFERROR(1/(1/INDEX(Cascade!$BH:$BH,MATCH($E173,Cascade!$E:$E,0))),"")</f>
        <v>92</v>
      </c>
      <c r="V173" s="38" t="str">
        <f t="shared" si="31"/>
        <v/>
      </c>
      <c r="W173" s="38">
        <f>IFERROR(1/(1/INDEX(PMTCT!$AC:$AC,MATCH($E173,PMTCT!$E:$E,0))),"")</f>
        <v>1</v>
      </c>
      <c r="X173" s="38">
        <f>IFERROR(1/(1/INDEX(PMTCT!$AS:$AS,MATCH($E173,PMTCT!$E:$E,0))),"")</f>
        <v>1</v>
      </c>
      <c r="Y173" s="38" t="str">
        <f>IFERROR(1/(1/INDEX(VMMC!$AA:$AA,MATCH($E173,VMMC!$E:$E,0))),"")</f>
        <v/>
      </c>
      <c r="Z173" s="38">
        <f t="shared" si="32"/>
        <v>90</v>
      </c>
    </row>
    <row r="174" spans="1:26" x14ac:dyDescent="0.2">
      <c r="A174" t="str">
        <f>INDEX(Prioritization!$D:$D,MATCH($B174,Prioritization!$A:$A,0))</f>
        <v>1 - Scale-up: Saturation</v>
      </c>
      <c r="B174" t="s">
        <v>318</v>
      </c>
      <c r="C174" t="s">
        <v>474</v>
      </c>
      <c r="D174" t="s">
        <v>48</v>
      </c>
      <c r="E174" t="str">
        <f t="shared" si="24"/>
        <v>Mangochi District [lLDyBx5XyUi]|10-14|Male</v>
      </c>
      <c r="F174" s="38">
        <v>10</v>
      </c>
      <c r="G174" s="33">
        <v>0.39</v>
      </c>
      <c r="H174" s="218">
        <f t="shared" si="25"/>
        <v>14</v>
      </c>
      <c r="I174" s="38"/>
      <c r="J174" s="33"/>
      <c r="K174" s="33">
        <v>0.45</v>
      </c>
      <c r="L174" s="33"/>
      <c r="M174" s="33">
        <v>0.06</v>
      </c>
      <c r="N174" s="38">
        <f t="shared" si="23"/>
        <v>14</v>
      </c>
      <c r="O174" s="218">
        <f t="shared" si="26"/>
        <v>6</v>
      </c>
      <c r="P174" s="218">
        <f t="shared" si="27"/>
        <v>0</v>
      </c>
      <c r="Q174" s="218">
        <f t="shared" si="28"/>
        <v>8</v>
      </c>
      <c r="R174" s="33" t="str">
        <f>IF(SUM($P174)=0,"",INDEX(Cascade!$BG:$BG,MATCH($E174,Cascade!$E:$E,0)))</f>
        <v/>
      </c>
      <c r="S174" s="218">
        <f t="shared" si="29"/>
        <v>6</v>
      </c>
      <c r="T174" s="218" t="str">
        <f t="shared" si="30"/>
        <v/>
      </c>
      <c r="U174" s="38">
        <f>IFERROR(1/(1/INDEX(Cascade!$BH:$BH,MATCH($E174,Cascade!$E:$E,0))),"")</f>
        <v>22</v>
      </c>
      <c r="V174" s="38" t="str">
        <f t="shared" si="31"/>
        <v/>
      </c>
      <c r="W174" s="38" t="str">
        <f>IFERROR(1/(1/INDEX(PMTCT!$AC:$AC,MATCH($E174,PMTCT!$E:$E,0))),"")</f>
        <v/>
      </c>
      <c r="X174" s="38" t="str">
        <f>IFERROR(1/(1/INDEX(PMTCT!$AS:$AS,MATCH($E174,PMTCT!$E:$E,0))),"")</f>
        <v/>
      </c>
      <c r="Y174" s="38" t="str">
        <f>IFERROR(1/(1/INDEX(VMMC!$AA:$AA,MATCH($E174,VMMC!$E:$E,0))),"")</f>
        <v/>
      </c>
      <c r="Z174" s="38">
        <f t="shared" si="32"/>
        <v>22</v>
      </c>
    </row>
    <row r="175" spans="1:26" x14ac:dyDescent="0.2">
      <c r="A175" t="str">
        <f>INDEX(Prioritization!$D:$D,MATCH($B175,Prioritization!$A:$A,0))</f>
        <v>1 - Scale-up: Saturation</v>
      </c>
      <c r="B175" t="s">
        <v>318</v>
      </c>
      <c r="C175" t="s">
        <v>475</v>
      </c>
      <c r="D175" t="s">
        <v>30</v>
      </c>
      <c r="E175" t="str">
        <f t="shared" si="24"/>
        <v>Mangochi District [lLDyBx5XyUi]|15-24|Female</v>
      </c>
      <c r="F175" s="38">
        <v>52</v>
      </c>
      <c r="G175" s="33">
        <v>0.39</v>
      </c>
      <c r="H175" s="218">
        <f t="shared" si="25"/>
        <v>72</v>
      </c>
      <c r="I175" s="38">
        <v>1</v>
      </c>
      <c r="J175" s="33"/>
      <c r="K175" s="33">
        <v>0.45</v>
      </c>
      <c r="L175" s="33"/>
      <c r="M175" s="33">
        <v>0.06</v>
      </c>
      <c r="N175" s="38">
        <f t="shared" si="23"/>
        <v>71</v>
      </c>
      <c r="O175" s="218">
        <f t="shared" si="26"/>
        <v>32</v>
      </c>
      <c r="P175" s="218">
        <f t="shared" si="27"/>
        <v>2</v>
      </c>
      <c r="Q175" s="218">
        <f t="shared" si="28"/>
        <v>37</v>
      </c>
      <c r="R175" s="33">
        <f>IF(SUM($P175)=0,"",INDEX(Cascade!$BG:$BG,MATCH($E175,Cascade!$E:$E,0)))</f>
        <v>0.95</v>
      </c>
      <c r="S175" s="218">
        <f t="shared" si="29"/>
        <v>32</v>
      </c>
      <c r="T175" s="218">
        <f t="shared" si="30"/>
        <v>2</v>
      </c>
      <c r="U175" s="38">
        <f>IFERROR(1/(1/INDEX(Cascade!$BH:$BH,MATCH($E175,Cascade!$E:$E,0))),"")</f>
        <v>574</v>
      </c>
      <c r="V175" s="38">
        <f t="shared" si="31"/>
        <v>2</v>
      </c>
      <c r="W175" s="38">
        <f>IFERROR(1/(1/INDEX(PMTCT!$AC:$AC,MATCH($E175,PMTCT!$E:$E,0))),"")</f>
        <v>226.99999999999997</v>
      </c>
      <c r="X175" s="38">
        <f>IFERROR(1/(1/INDEX(PMTCT!$AS:$AS,MATCH($E175,PMTCT!$E:$E,0))),"")</f>
        <v>122</v>
      </c>
      <c r="Y175" s="38" t="str">
        <f>IFERROR(1/(1/INDEX(VMMC!$AA:$AA,MATCH($E175,VMMC!$E:$E,0))),"")</f>
        <v/>
      </c>
      <c r="Z175" s="38">
        <f t="shared" si="32"/>
        <v>223</v>
      </c>
    </row>
    <row r="176" spans="1:26" x14ac:dyDescent="0.2">
      <c r="A176" t="str">
        <f>INDEX(Prioritization!$D:$D,MATCH($B176,Prioritization!$A:$A,0))</f>
        <v>1 - Scale-up: Saturation</v>
      </c>
      <c r="B176" t="s">
        <v>318</v>
      </c>
      <c r="C176" t="s">
        <v>475</v>
      </c>
      <c r="D176" t="s">
        <v>48</v>
      </c>
      <c r="E176" t="str">
        <f t="shared" si="24"/>
        <v>Mangochi District [lLDyBx5XyUi]|15-24|Male</v>
      </c>
      <c r="F176" s="38">
        <v>78</v>
      </c>
      <c r="G176" s="33">
        <v>0.39</v>
      </c>
      <c r="H176" s="218">
        <f t="shared" si="25"/>
        <v>108</v>
      </c>
      <c r="I176" s="38">
        <v>2</v>
      </c>
      <c r="J176" s="33"/>
      <c r="K176" s="33">
        <v>0.45</v>
      </c>
      <c r="L176" s="33"/>
      <c r="M176" s="33">
        <v>0.06</v>
      </c>
      <c r="N176" s="38">
        <f t="shared" si="23"/>
        <v>107</v>
      </c>
      <c r="O176" s="218">
        <f t="shared" si="26"/>
        <v>48</v>
      </c>
      <c r="P176" s="218">
        <f t="shared" si="27"/>
        <v>4</v>
      </c>
      <c r="Q176" s="218">
        <f t="shared" si="28"/>
        <v>55</v>
      </c>
      <c r="R176" s="33">
        <f>IF(SUM($P176)=0,"",INDEX(Cascade!$BG:$BG,MATCH($E176,Cascade!$E:$E,0)))</f>
        <v>0.95</v>
      </c>
      <c r="S176" s="218">
        <f t="shared" si="29"/>
        <v>48</v>
      </c>
      <c r="T176" s="218">
        <f t="shared" si="30"/>
        <v>4</v>
      </c>
      <c r="U176" s="38">
        <f>IFERROR(1/(1/INDEX(Cascade!$BH:$BH,MATCH($E176,Cascade!$E:$E,0))),"")</f>
        <v>116.99999999999999</v>
      </c>
      <c r="V176" s="38">
        <f t="shared" si="31"/>
        <v>4</v>
      </c>
      <c r="W176" s="38" t="str">
        <f>IFERROR(1/(1/INDEX(PMTCT!$AC:$AC,MATCH($E176,PMTCT!$E:$E,0))),"")</f>
        <v/>
      </c>
      <c r="X176" s="38" t="str">
        <f>IFERROR(1/(1/INDEX(PMTCT!$AS:$AS,MATCH($E176,PMTCT!$E:$E,0))),"")</f>
        <v/>
      </c>
      <c r="Y176" s="38" t="str">
        <f>IFERROR(1/(1/INDEX(VMMC!$AA:$AA,MATCH($E176,VMMC!$E:$E,0))),"")</f>
        <v/>
      </c>
      <c r="Z176" s="38">
        <f t="shared" si="32"/>
        <v>112.99999999999999</v>
      </c>
    </row>
    <row r="177" spans="1:26" x14ac:dyDescent="0.2">
      <c r="A177" t="str">
        <f>INDEX(Prioritization!$D:$D,MATCH($B177,Prioritization!$A:$A,0))</f>
        <v>1 - Scale-up: Saturation</v>
      </c>
      <c r="B177" t="s">
        <v>318</v>
      </c>
      <c r="C177" t="s">
        <v>476</v>
      </c>
      <c r="D177" t="s">
        <v>30</v>
      </c>
      <c r="E177" t="str">
        <f t="shared" si="24"/>
        <v>Mangochi District [lLDyBx5XyUi]|25-34|Female</v>
      </c>
      <c r="F177" s="38">
        <v>52</v>
      </c>
      <c r="G177" s="33">
        <v>0.39</v>
      </c>
      <c r="H177" s="218">
        <f t="shared" si="25"/>
        <v>72</v>
      </c>
      <c r="I177" s="38">
        <v>1</v>
      </c>
      <c r="J177" s="33"/>
      <c r="K177" s="33">
        <v>0.45</v>
      </c>
      <c r="L177" s="33"/>
      <c r="M177" s="33">
        <v>0.06</v>
      </c>
      <c r="N177" s="38">
        <f t="shared" si="23"/>
        <v>71</v>
      </c>
      <c r="O177" s="218">
        <f t="shared" si="26"/>
        <v>32</v>
      </c>
      <c r="P177" s="218">
        <f t="shared" si="27"/>
        <v>2</v>
      </c>
      <c r="Q177" s="218">
        <f t="shared" si="28"/>
        <v>37</v>
      </c>
      <c r="R177" s="33">
        <f>IF(SUM($P177)=0,"",INDEX(Cascade!$BG:$BG,MATCH($E177,Cascade!$E:$E,0)))</f>
        <v>0.95</v>
      </c>
      <c r="S177" s="218">
        <f t="shared" si="29"/>
        <v>32</v>
      </c>
      <c r="T177" s="218">
        <f t="shared" si="30"/>
        <v>2</v>
      </c>
      <c r="U177" s="38">
        <f>IFERROR(1/(1/INDEX(Cascade!$BH:$BH,MATCH($E177,Cascade!$E:$E,0))),"")</f>
        <v>713</v>
      </c>
      <c r="V177" s="38">
        <f t="shared" si="31"/>
        <v>2</v>
      </c>
      <c r="W177" s="38">
        <f>IFERROR(1/(1/INDEX(PMTCT!$AC:$AC,MATCH($E177,PMTCT!$E:$E,0))),"")</f>
        <v>262</v>
      </c>
      <c r="X177" s="38">
        <f>IFERROR(1/(1/INDEX(PMTCT!$AS:$AS,MATCH($E177,PMTCT!$E:$E,0))),"")</f>
        <v>112</v>
      </c>
      <c r="Y177" s="38" t="str">
        <f>IFERROR(1/(1/INDEX(VMMC!$AA:$AA,MATCH($E177,VMMC!$E:$E,0))),"")</f>
        <v/>
      </c>
      <c r="Z177" s="38">
        <f t="shared" si="32"/>
        <v>337</v>
      </c>
    </row>
    <row r="178" spans="1:26" x14ac:dyDescent="0.2">
      <c r="A178" t="str">
        <f>INDEX(Prioritization!$D:$D,MATCH($B178,Prioritization!$A:$A,0))</f>
        <v>1 - Scale-up: Saturation</v>
      </c>
      <c r="B178" t="s">
        <v>318</v>
      </c>
      <c r="C178" t="s">
        <v>476</v>
      </c>
      <c r="D178" t="s">
        <v>48</v>
      </c>
      <c r="E178" t="str">
        <f t="shared" si="24"/>
        <v>Mangochi District [lLDyBx5XyUi]|25-34|Male</v>
      </c>
      <c r="F178" s="38">
        <v>78</v>
      </c>
      <c r="G178" s="33">
        <v>0.39</v>
      </c>
      <c r="H178" s="218">
        <f t="shared" si="25"/>
        <v>108</v>
      </c>
      <c r="I178" s="38">
        <v>2</v>
      </c>
      <c r="J178" s="33"/>
      <c r="K178" s="33">
        <v>0.45</v>
      </c>
      <c r="L178" s="33"/>
      <c r="M178" s="33">
        <v>0.06</v>
      </c>
      <c r="N178" s="38">
        <f t="shared" si="23"/>
        <v>107</v>
      </c>
      <c r="O178" s="218">
        <f t="shared" si="26"/>
        <v>48</v>
      </c>
      <c r="P178" s="218">
        <f t="shared" si="27"/>
        <v>4</v>
      </c>
      <c r="Q178" s="218">
        <f t="shared" si="28"/>
        <v>55</v>
      </c>
      <c r="R178" s="33">
        <f>IF(SUM($P178)=0,"",INDEX(Cascade!$BG:$BG,MATCH($E178,Cascade!$E:$E,0)))</f>
        <v>0.95</v>
      </c>
      <c r="S178" s="218">
        <f t="shared" si="29"/>
        <v>48</v>
      </c>
      <c r="T178" s="218">
        <f t="shared" si="30"/>
        <v>4</v>
      </c>
      <c r="U178" s="38">
        <f>IFERROR(1/(1/INDEX(Cascade!$BH:$BH,MATCH($E178,Cascade!$E:$E,0))),"")</f>
        <v>41</v>
      </c>
      <c r="V178" s="38">
        <f t="shared" si="31"/>
        <v>4</v>
      </c>
      <c r="W178" s="38" t="str">
        <f>IFERROR(1/(1/INDEX(PMTCT!$AC:$AC,MATCH($E178,PMTCT!$E:$E,0))),"")</f>
        <v/>
      </c>
      <c r="X178" s="38" t="str">
        <f>IFERROR(1/(1/INDEX(PMTCT!$AS:$AS,MATCH($E178,PMTCT!$E:$E,0))),"")</f>
        <v/>
      </c>
      <c r="Y178" s="38" t="str">
        <f>IFERROR(1/(1/INDEX(VMMC!$AA:$AA,MATCH($E178,VMMC!$E:$E,0))),"")</f>
        <v/>
      </c>
      <c r="Z178" s="38">
        <f t="shared" si="32"/>
        <v>37</v>
      </c>
    </row>
    <row r="179" spans="1:26" x14ac:dyDescent="0.2">
      <c r="A179" t="str">
        <f>INDEX(Prioritization!$D:$D,MATCH($B179,Prioritization!$A:$A,0))</f>
        <v>1 - Scale-up: Saturation</v>
      </c>
      <c r="B179" t="s">
        <v>318</v>
      </c>
      <c r="C179" t="s">
        <v>477</v>
      </c>
      <c r="D179" t="s">
        <v>30</v>
      </c>
      <c r="E179" t="str">
        <f t="shared" si="24"/>
        <v>Mangochi District [lLDyBx5XyUi]|35-49|Female</v>
      </c>
      <c r="F179" s="38">
        <v>78</v>
      </c>
      <c r="G179" s="33">
        <v>0.39</v>
      </c>
      <c r="H179" s="218">
        <f t="shared" si="25"/>
        <v>108</v>
      </c>
      <c r="I179" s="38">
        <v>2</v>
      </c>
      <c r="J179" s="33"/>
      <c r="K179" s="33">
        <v>0.45</v>
      </c>
      <c r="L179" s="33"/>
      <c r="M179" s="33">
        <v>0.06</v>
      </c>
      <c r="N179" s="38">
        <f t="shared" si="23"/>
        <v>107</v>
      </c>
      <c r="O179" s="218">
        <f t="shared" si="26"/>
        <v>48</v>
      </c>
      <c r="P179" s="218">
        <f t="shared" si="27"/>
        <v>4</v>
      </c>
      <c r="Q179" s="218">
        <f t="shared" si="28"/>
        <v>55</v>
      </c>
      <c r="R179" s="33">
        <f>IF(SUM($P179)=0,"",INDEX(Cascade!$BG:$BG,MATCH($E179,Cascade!$E:$E,0)))</f>
        <v>0.95</v>
      </c>
      <c r="S179" s="218">
        <f t="shared" si="29"/>
        <v>48</v>
      </c>
      <c r="T179" s="218">
        <f t="shared" si="30"/>
        <v>4</v>
      </c>
      <c r="U179" s="38">
        <f>IFERROR(1/(1/INDEX(Cascade!$BH:$BH,MATCH($E179,Cascade!$E:$E,0))),"")</f>
        <v>802</v>
      </c>
      <c r="V179" s="38">
        <f t="shared" si="31"/>
        <v>4</v>
      </c>
      <c r="W179" s="38">
        <f>IFERROR(1/(1/INDEX(PMTCT!$AC:$AC,MATCH($E179,PMTCT!$E:$E,0))),"")</f>
        <v>56</v>
      </c>
      <c r="X179" s="38">
        <f>IFERROR(1/(1/INDEX(PMTCT!$AS:$AS,MATCH($E179,PMTCT!$E:$E,0))),"")</f>
        <v>39</v>
      </c>
      <c r="Y179" s="38" t="str">
        <f>IFERROR(1/(1/INDEX(VMMC!$AA:$AA,MATCH($E179,VMMC!$E:$E,0))),"")</f>
        <v/>
      </c>
      <c r="Z179" s="38">
        <f t="shared" si="32"/>
        <v>703</v>
      </c>
    </row>
    <row r="180" spans="1:26" x14ac:dyDescent="0.2">
      <c r="A180" t="str">
        <f>INDEX(Prioritization!$D:$D,MATCH($B180,Prioritization!$A:$A,0))</f>
        <v>1 - Scale-up: Saturation</v>
      </c>
      <c r="B180" t="s">
        <v>318</v>
      </c>
      <c r="C180" t="s">
        <v>477</v>
      </c>
      <c r="D180" t="s">
        <v>48</v>
      </c>
      <c r="E180" t="str">
        <f t="shared" si="24"/>
        <v>Mangochi District [lLDyBx5XyUi]|35-49|Male</v>
      </c>
      <c r="F180" s="38">
        <v>117</v>
      </c>
      <c r="G180" s="33">
        <v>0.39</v>
      </c>
      <c r="H180" s="218">
        <f t="shared" si="25"/>
        <v>163</v>
      </c>
      <c r="I180" s="38">
        <v>3</v>
      </c>
      <c r="J180" s="33"/>
      <c r="K180" s="33">
        <v>0.45</v>
      </c>
      <c r="L180" s="33"/>
      <c r="M180" s="33">
        <v>0.06</v>
      </c>
      <c r="N180" s="38">
        <f t="shared" si="23"/>
        <v>161</v>
      </c>
      <c r="O180" s="218">
        <f t="shared" si="26"/>
        <v>72</v>
      </c>
      <c r="P180" s="218">
        <f t="shared" si="27"/>
        <v>5</v>
      </c>
      <c r="Q180" s="218">
        <f t="shared" si="28"/>
        <v>84</v>
      </c>
      <c r="R180" s="33">
        <f>IF(SUM($P180)=0,"",INDEX(Cascade!$BG:$BG,MATCH($E180,Cascade!$E:$E,0)))</f>
        <v>0.95</v>
      </c>
      <c r="S180" s="218">
        <f t="shared" si="29"/>
        <v>72</v>
      </c>
      <c r="T180" s="218">
        <f t="shared" si="30"/>
        <v>5</v>
      </c>
      <c r="U180" s="38">
        <f>IFERROR(1/(1/INDEX(Cascade!$BH:$BH,MATCH($E180,Cascade!$E:$E,0))),"")</f>
        <v>167</v>
      </c>
      <c r="V180" s="38">
        <f t="shared" si="31"/>
        <v>5</v>
      </c>
      <c r="W180" s="38" t="str">
        <f>IFERROR(1/(1/INDEX(PMTCT!$AC:$AC,MATCH($E180,PMTCT!$E:$E,0))),"")</f>
        <v/>
      </c>
      <c r="X180" s="38" t="str">
        <f>IFERROR(1/(1/INDEX(PMTCT!$AS:$AS,MATCH($E180,PMTCT!$E:$E,0))),"")</f>
        <v/>
      </c>
      <c r="Y180" s="38" t="str">
        <f>IFERROR(1/(1/INDEX(VMMC!$AA:$AA,MATCH($E180,VMMC!$E:$E,0))),"")</f>
        <v/>
      </c>
      <c r="Z180" s="38">
        <f t="shared" si="32"/>
        <v>162</v>
      </c>
    </row>
    <row r="181" spans="1:26" x14ac:dyDescent="0.2">
      <c r="A181" t="str">
        <f>INDEX(Prioritization!$D:$D,MATCH($B181,Prioritization!$A:$A,0))</f>
        <v>1 - Scale-up: Saturation</v>
      </c>
      <c r="B181" t="s">
        <v>318</v>
      </c>
      <c r="C181" t="s">
        <v>478</v>
      </c>
      <c r="D181" t="s">
        <v>30</v>
      </c>
      <c r="E181" t="str">
        <f t="shared" si="24"/>
        <v>Mangochi District [lLDyBx5XyUi]|50+|Female</v>
      </c>
      <c r="F181" s="38">
        <v>26</v>
      </c>
      <c r="G181" s="33">
        <v>0.39</v>
      </c>
      <c r="H181" s="218">
        <f t="shared" si="25"/>
        <v>36</v>
      </c>
      <c r="I181" s="38">
        <v>1</v>
      </c>
      <c r="J181" s="33"/>
      <c r="K181" s="33">
        <v>0.45</v>
      </c>
      <c r="L181" s="33"/>
      <c r="M181" s="33">
        <v>0.06</v>
      </c>
      <c r="N181" s="38">
        <f t="shared" si="23"/>
        <v>36</v>
      </c>
      <c r="O181" s="218">
        <f t="shared" si="26"/>
        <v>16</v>
      </c>
      <c r="P181" s="218">
        <f t="shared" si="27"/>
        <v>1</v>
      </c>
      <c r="Q181" s="218">
        <f t="shared" si="28"/>
        <v>19</v>
      </c>
      <c r="R181" s="33">
        <f>IF(SUM($P181)=0,"",INDEX(Cascade!$BG:$BG,MATCH($E181,Cascade!$E:$E,0)))</f>
        <v>0.95</v>
      </c>
      <c r="S181" s="218">
        <f t="shared" si="29"/>
        <v>16</v>
      </c>
      <c r="T181" s="218">
        <f t="shared" si="30"/>
        <v>1</v>
      </c>
      <c r="U181" s="38">
        <f>IFERROR(1/(1/INDEX(Cascade!$BH:$BH,MATCH($E181,Cascade!$E:$E,0))),"")</f>
        <v>332</v>
      </c>
      <c r="V181" s="38">
        <f t="shared" si="31"/>
        <v>1</v>
      </c>
      <c r="W181" s="38" t="str">
        <f>IFERROR(1/(1/INDEX(PMTCT!$AC:$AC,MATCH($E181,PMTCT!$E:$E,0))),"")</f>
        <v/>
      </c>
      <c r="X181" s="38" t="str">
        <f>IFERROR(1/(1/INDEX(PMTCT!$AS:$AS,MATCH($E181,PMTCT!$E:$E,0))),"")</f>
        <v/>
      </c>
      <c r="Y181" s="38" t="str">
        <f>IFERROR(1/(1/INDEX(VMMC!$AA:$AA,MATCH($E181,VMMC!$E:$E,0))),"")</f>
        <v/>
      </c>
      <c r="Z181" s="38">
        <f t="shared" si="32"/>
        <v>331</v>
      </c>
    </row>
    <row r="182" spans="1:26" x14ac:dyDescent="0.2">
      <c r="A182" t="str">
        <f>INDEX(Prioritization!$D:$D,MATCH($B182,Prioritization!$A:$A,0))</f>
        <v>1 - Scale-up: Saturation</v>
      </c>
      <c r="B182" t="s">
        <v>318</v>
      </c>
      <c r="C182" t="s">
        <v>478</v>
      </c>
      <c r="D182" t="s">
        <v>48</v>
      </c>
      <c r="E182" t="str">
        <f t="shared" si="24"/>
        <v>Mangochi District [lLDyBx5XyUi]|50+|Male</v>
      </c>
      <c r="F182" s="38">
        <v>39</v>
      </c>
      <c r="G182" s="33">
        <v>0.39</v>
      </c>
      <c r="H182" s="218">
        <f t="shared" si="25"/>
        <v>54</v>
      </c>
      <c r="I182" s="38">
        <v>1</v>
      </c>
      <c r="J182" s="33"/>
      <c r="K182" s="33">
        <v>0.45</v>
      </c>
      <c r="L182" s="33"/>
      <c r="M182" s="33">
        <v>0.06</v>
      </c>
      <c r="N182" s="38">
        <f t="shared" si="23"/>
        <v>53</v>
      </c>
      <c r="O182" s="218">
        <f t="shared" si="26"/>
        <v>24</v>
      </c>
      <c r="P182" s="218">
        <f t="shared" si="27"/>
        <v>2</v>
      </c>
      <c r="Q182" s="218">
        <f t="shared" si="28"/>
        <v>27</v>
      </c>
      <c r="R182" s="33">
        <f>IF(SUM($P182)=0,"",INDEX(Cascade!$BG:$BG,MATCH($E182,Cascade!$E:$E,0)))</f>
        <v>0.95</v>
      </c>
      <c r="S182" s="218">
        <f t="shared" si="29"/>
        <v>24</v>
      </c>
      <c r="T182" s="218">
        <f t="shared" si="30"/>
        <v>2</v>
      </c>
      <c r="U182" s="38">
        <f>IFERROR(1/(1/INDEX(Cascade!$BH:$BH,MATCH($E182,Cascade!$E:$E,0))),"")</f>
        <v>327</v>
      </c>
      <c r="V182" s="38">
        <f t="shared" si="31"/>
        <v>2</v>
      </c>
      <c r="W182" s="38" t="str">
        <f>IFERROR(1/(1/INDEX(PMTCT!$AC:$AC,MATCH($E182,PMTCT!$E:$E,0))),"")</f>
        <v/>
      </c>
      <c r="X182" s="38" t="str">
        <f>IFERROR(1/(1/INDEX(PMTCT!$AS:$AS,MATCH($E182,PMTCT!$E:$E,0))),"")</f>
        <v/>
      </c>
      <c r="Y182" s="38" t="str">
        <f>IFERROR(1/(1/INDEX(VMMC!$AA:$AA,MATCH($E182,VMMC!$E:$E,0))),"")</f>
        <v/>
      </c>
      <c r="Z182" s="38">
        <f t="shared" si="32"/>
        <v>325</v>
      </c>
    </row>
    <row r="183" spans="1:26" x14ac:dyDescent="0.2">
      <c r="A183" t="str">
        <f>INDEX(Prioritization!$D:$D,MATCH($B183,Prioritization!$A:$A,0))</f>
        <v>4 - Sustained</v>
      </c>
      <c r="B183" t="s">
        <v>302</v>
      </c>
      <c r="C183" t="s">
        <v>473</v>
      </c>
      <c r="D183" t="s">
        <v>30</v>
      </c>
      <c r="E183" t="str">
        <f t="shared" si="24"/>
        <v>Mchinji District [kxuuIFpOXyO]|01-09|Female</v>
      </c>
      <c r="F183" s="38">
        <v>6</v>
      </c>
      <c r="G183" s="33">
        <v>0.39</v>
      </c>
      <c r="H183" s="218">
        <f t="shared" si="25"/>
        <v>8</v>
      </c>
      <c r="I183" s="38"/>
      <c r="J183" s="33"/>
      <c r="K183" s="33">
        <v>0.45</v>
      </c>
      <c r="L183" s="33"/>
      <c r="M183" s="33">
        <v>0.06</v>
      </c>
      <c r="N183" s="38">
        <f t="shared" si="23"/>
        <v>8</v>
      </c>
      <c r="O183" s="218">
        <f t="shared" si="26"/>
        <v>4</v>
      </c>
      <c r="P183" s="218">
        <f t="shared" si="27"/>
        <v>0</v>
      </c>
      <c r="Q183" s="218">
        <f t="shared" si="28"/>
        <v>4</v>
      </c>
      <c r="R183" s="33" t="str">
        <f>IF(SUM($P183)=0,"",INDEX(Cascade!$BG:$BG,MATCH($E183,Cascade!$E:$E,0)))</f>
        <v/>
      </c>
      <c r="S183" s="218">
        <f t="shared" si="29"/>
        <v>4</v>
      </c>
      <c r="T183" s="218" t="str">
        <f t="shared" si="30"/>
        <v/>
      </c>
      <c r="U183" s="38">
        <f>IFERROR(1/(1/INDEX(Cascade!$BH:$BH,MATCH($E183,Cascade!$E:$E,0))),"")</f>
        <v>3</v>
      </c>
      <c r="V183" s="38" t="str">
        <f t="shared" si="31"/>
        <v/>
      </c>
      <c r="W183" s="38" t="str">
        <f>IFERROR(1/(1/INDEX(PMTCT!$AC:$AC,MATCH($E183,PMTCT!$E:$E,0))),"")</f>
        <v/>
      </c>
      <c r="X183" s="38" t="str">
        <f>IFERROR(1/(1/INDEX(PMTCT!$AS:$AS,MATCH($E183,PMTCT!$E:$E,0))),"")</f>
        <v/>
      </c>
      <c r="Y183" s="38" t="str">
        <f>IFERROR(1/(1/INDEX(VMMC!$AA:$AA,MATCH($E183,VMMC!$E:$E,0))),"")</f>
        <v/>
      </c>
      <c r="Z183" s="38">
        <f t="shared" si="32"/>
        <v>3</v>
      </c>
    </row>
    <row r="184" spans="1:26" x14ac:dyDescent="0.2">
      <c r="A184" t="str">
        <f>INDEX(Prioritization!$D:$D,MATCH($B184,Prioritization!$A:$A,0))</f>
        <v>4 - Sustained</v>
      </c>
      <c r="B184" t="s">
        <v>302</v>
      </c>
      <c r="C184" t="s">
        <v>473</v>
      </c>
      <c r="D184" t="s">
        <v>48</v>
      </c>
      <c r="E184" t="str">
        <f t="shared" si="24"/>
        <v>Mchinji District [kxuuIFpOXyO]|01-09|Male</v>
      </c>
      <c r="F184" s="38">
        <v>6</v>
      </c>
      <c r="G184" s="33">
        <v>0.39</v>
      </c>
      <c r="H184" s="218">
        <f t="shared" si="25"/>
        <v>8</v>
      </c>
      <c r="I184" s="38"/>
      <c r="J184" s="33"/>
      <c r="K184" s="33">
        <v>0.45</v>
      </c>
      <c r="L184" s="33"/>
      <c r="M184" s="33">
        <v>0.06</v>
      </c>
      <c r="N184" s="38">
        <f t="shared" si="23"/>
        <v>8</v>
      </c>
      <c r="O184" s="218">
        <f t="shared" si="26"/>
        <v>4</v>
      </c>
      <c r="P184" s="218">
        <f t="shared" si="27"/>
        <v>0</v>
      </c>
      <c r="Q184" s="218">
        <f t="shared" si="28"/>
        <v>4</v>
      </c>
      <c r="R184" s="33" t="str">
        <f>IF(SUM($P184)=0,"",INDEX(Cascade!$BG:$BG,MATCH($E184,Cascade!$E:$E,0)))</f>
        <v/>
      </c>
      <c r="S184" s="218">
        <f t="shared" si="29"/>
        <v>4</v>
      </c>
      <c r="T184" s="218" t="str">
        <f t="shared" si="30"/>
        <v/>
      </c>
      <c r="U184" s="38">
        <f>IFERROR(1/(1/INDEX(Cascade!$BH:$BH,MATCH($E184,Cascade!$E:$E,0))),"")</f>
        <v>3</v>
      </c>
      <c r="V184" s="38" t="str">
        <f t="shared" si="31"/>
        <v/>
      </c>
      <c r="W184" s="38" t="str">
        <f>IFERROR(1/(1/INDEX(PMTCT!$AC:$AC,MATCH($E184,PMTCT!$E:$E,0))),"")</f>
        <v/>
      </c>
      <c r="X184" s="38" t="str">
        <f>IFERROR(1/(1/INDEX(PMTCT!$AS:$AS,MATCH($E184,PMTCT!$E:$E,0))),"")</f>
        <v/>
      </c>
      <c r="Y184" s="38" t="str">
        <f>IFERROR(1/(1/INDEX(VMMC!$AA:$AA,MATCH($E184,VMMC!$E:$E,0))),"")</f>
        <v/>
      </c>
      <c r="Z184" s="38">
        <f t="shared" si="32"/>
        <v>3</v>
      </c>
    </row>
    <row r="185" spans="1:26" x14ac:dyDescent="0.2">
      <c r="A185" t="str">
        <f>INDEX(Prioritization!$D:$D,MATCH($B185,Prioritization!$A:$A,0))</f>
        <v>4 - Sustained</v>
      </c>
      <c r="B185" t="s">
        <v>302</v>
      </c>
      <c r="C185" t="s">
        <v>474</v>
      </c>
      <c r="D185" t="s">
        <v>30</v>
      </c>
      <c r="E185" t="str">
        <f t="shared" si="24"/>
        <v>Mchinji District [kxuuIFpOXyO]|10-14|Female</v>
      </c>
      <c r="F185" s="38">
        <v>3</v>
      </c>
      <c r="G185" s="33">
        <v>0.39</v>
      </c>
      <c r="H185" s="218">
        <f t="shared" si="25"/>
        <v>4</v>
      </c>
      <c r="I185" s="38"/>
      <c r="J185" s="33"/>
      <c r="K185" s="33">
        <v>0.45</v>
      </c>
      <c r="L185" s="33"/>
      <c r="M185" s="33">
        <v>0.06</v>
      </c>
      <c r="N185" s="38">
        <f t="shared" si="23"/>
        <v>4</v>
      </c>
      <c r="O185" s="218">
        <f t="shared" si="26"/>
        <v>2</v>
      </c>
      <c r="P185" s="218">
        <f t="shared" si="27"/>
        <v>0</v>
      </c>
      <c r="Q185" s="218">
        <f t="shared" si="28"/>
        <v>2</v>
      </c>
      <c r="R185" s="33" t="str">
        <f>IF(SUM($P185)=0,"",INDEX(Cascade!$BG:$BG,MATCH($E185,Cascade!$E:$E,0)))</f>
        <v/>
      </c>
      <c r="S185" s="218">
        <f t="shared" si="29"/>
        <v>2</v>
      </c>
      <c r="T185" s="218" t="str">
        <f t="shared" si="30"/>
        <v/>
      </c>
      <c r="U185" s="38">
        <f>IFERROR(1/(1/INDEX(Cascade!$BH:$BH,MATCH($E185,Cascade!$E:$E,0))),"")</f>
        <v>26</v>
      </c>
      <c r="V185" s="38" t="str">
        <f t="shared" si="31"/>
        <v/>
      </c>
      <c r="W185" s="38">
        <f>IFERROR(1/(1/INDEX(PMTCT!$AC:$AC,MATCH($E185,PMTCT!$E:$E,0))),"")</f>
        <v>1</v>
      </c>
      <c r="X185" s="38" t="str">
        <f>IFERROR(1/(1/INDEX(PMTCT!$AS:$AS,MATCH($E185,PMTCT!$E:$E,0))),"")</f>
        <v/>
      </c>
      <c r="Y185" s="38" t="str">
        <f>IFERROR(1/(1/INDEX(VMMC!$AA:$AA,MATCH($E185,VMMC!$E:$E,0))),"")</f>
        <v/>
      </c>
      <c r="Z185" s="38">
        <f t="shared" si="32"/>
        <v>25</v>
      </c>
    </row>
    <row r="186" spans="1:26" x14ac:dyDescent="0.2">
      <c r="A186" t="str">
        <f>INDEX(Prioritization!$D:$D,MATCH($B186,Prioritization!$A:$A,0))</f>
        <v>4 - Sustained</v>
      </c>
      <c r="B186" t="s">
        <v>302</v>
      </c>
      <c r="C186" t="s">
        <v>474</v>
      </c>
      <c r="D186" t="s">
        <v>48</v>
      </c>
      <c r="E186" t="str">
        <f t="shared" si="24"/>
        <v>Mchinji District [kxuuIFpOXyO]|10-14|Male</v>
      </c>
      <c r="F186" s="38">
        <v>3</v>
      </c>
      <c r="G186" s="33">
        <v>0.39</v>
      </c>
      <c r="H186" s="218">
        <f t="shared" si="25"/>
        <v>4</v>
      </c>
      <c r="I186" s="38"/>
      <c r="J186" s="33"/>
      <c r="K186" s="33">
        <v>0.45</v>
      </c>
      <c r="L186" s="33"/>
      <c r="M186" s="33">
        <v>0.06</v>
      </c>
      <c r="N186" s="38">
        <f t="shared" si="23"/>
        <v>4</v>
      </c>
      <c r="O186" s="218">
        <f t="shared" si="26"/>
        <v>2</v>
      </c>
      <c r="P186" s="218">
        <f t="shared" si="27"/>
        <v>0</v>
      </c>
      <c r="Q186" s="218">
        <f t="shared" si="28"/>
        <v>2</v>
      </c>
      <c r="R186" s="33" t="str">
        <f>IF(SUM($P186)=0,"",INDEX(Cascade!$BG:$BG,MATCH($E186,Cascade!$E:$E,0)))</f>
        <v/>
      </c>
      <c r="S186" s="218">
        <f t="shared" si="29"/>
        <v>2</v>
      </c>
      <c r="T186" s="218" t="str">
        <f t="shared" si="30"/>
        <v/>
      </c>
      <c r="U186" s="38">
        <f>IFERROR(1/(1/INDEX(Cascade!$BH:$BH,MATCH($E186,Cascade!$E:$E,0))),"")</f>
        <v>4</v>
      </c>
      <c r="V186" s="38" t="str">
        <f t="shared" si="31"/>
        <v/>
      </c>
      <c r="W186" s="38" t="str">
        <f>IFERROR(1/(1/INDEX(PMTCT!$AC:$AC,MATCH($E186,PMTCT!$E:$E,0))),"")</f>
        <v/>
      </c>
      <c r="X186" s="38" t="str">
        <f>IFERROR(1/(1/INDEX(PMTCT!$AS:$AS,MATCH($E186,PMTCT!$E:$E,0))),"")</f>
        <v/>
      </c>
      <c r="Y186" s="38" t="str">
        <f>IFERROR(1/(1/INDEX(VMMC!$AA:$AA,MATCH($E186,VMMC!$E:$E,0))),"")</f>
        <v/>
      </c>
      <c r="Z186" s="38">
        <f t="shared" si="32"/>
        <v>4</v>
      </c>
    </row>
    <row r="187" spans="1:26" x14ac:dyDescent="0.2">
      <c r="A187" t="str">
        <f>INDEX(Prioritization!$D:$D,MATCH($B187,Prioritization!$A:$A,0))</f>
        <v>4 - Sustained</v>
      </c>
      <c r="B187" t="s">
        <v>302</v>
      </c>
      <c r="C187" t="s">
        <v>475</v>
      </c>
      <c r="D187" t="s">
        <v>30</v>
      </c>
      <c r="E187" t="str">
        <f t="shared" si="24"/>
        <v>Mchinji District [kxuuIFpOXyO]|15-24|Female</v>
      </c>
      <c r="F187" s="38">
        <v>18</v>
      </c>
      <c r="G187" s="33">
        <v>0.39</v>
      </c>
      <c r="H187" s="218">
        <f t="shared" si="25"/>
        <v>25</v>
      </c>
      <c r="I187" s="38">
        <v>1</v>
      </c>
      <c r="J187" s="33"/>
      <c r="K187" s="33">
        <v>0.45</v>
      </c>
      <c r="L187" s="33"/>
      <c r="M187" s="33">
        <v>0.06</v>
      </c>
      <c r="N187" s="38">
        <f t="shared" si="23"/>
        <v>25</v>
      </c>
      <c r="O187" s="218">
        <f t="shared" si="26"/>
        <v>11</v>
      </c>
      <c r="P187" s="218">
        <f t="shared" si="27"/>
        <v>1</v>
      </c>
      <c r="Q187" s="218">
        <f t="shared" si="28"/>
        <v>13</v>
      </c>
      <c r="R187" s="33">
        <f>IF(SUM($P187)=0,"",INDEX(Cascade!$BG:$BG,MATCH($E187,Cascade!$E:$E,0)))</f>
        <v>0.95</v>
      </c>
      <c r="S187" s="218">
        <f t="shared" si="29"/>
        <v>11</v>
      </c>
      <c r="T187" s="218">
        <f t="shared" si="30"/>
        <v>1</v>
      </c>
      <c r="U187" s="38">
        <f>IFERROR(1/(1/INDEX(Cascade!$BH:$BH,MATCH($E187,Cascade!$E:$E,0))),"")</f>
        <v>86</v>
      </c>
      <c r="V187" s="38">
        <f t="shared" si="31"/>
        <v>1</v>
      </c>
      <c r="W187" s="38">
        <f>IFERROR(1/(1/INDEX(PMTCT!$AC:$AC,MATCH($E187,PMTCT!$E:$E,0))),"")</f>
        <v>28</v>
      </c>
      <c r="X187" s="38">
        <f>IFERROR(1/(1/INDEX(PMTCT!$AS:$AS,MATCH($E187,PMTCT!$E:$E,0))),"")</f>
        <v>19</v>
      </c>
      <c r="Y187" s="38" t="str">
        <f>IFERROR(1/(1/INDEX(VMMC!$AA:$AA,MATCH($E187,VMMC!$E:$E,0))),"")</f>
        <v/>
      </c>
      <c r="Z187" s="38">
        <f t="shared" si="32"/>
        <v>38</v>
      </c>
    </row>
    <row r="188" spans="1:26" x14ac:dyDescent="0.2">
      <c r="A188" t="str">
        <f>INDEX(Prioritization!$D:$D,MATCH($B188,Prioritization!$A:$A,0))</f>
        <v>4 - Sustained</v>
      </c>
      <c r="B188" t="s">
        <v>302</v>
      </c>
      <c r="C188" t="s">
        <v>475</v>
      </c>
      <c r="D188" t="s">
        <v>48</v>
      </c>
      <c r="E188" t="str">
        <f t="shared" si="24"/>
        <v>Mchinji District [kxuuIFpOXyO]|15-24|Male</v>
      </c>
      <c r="F188" s="38">
        <v>30</v>
      </c>
      <c r="G188" s="33">
        <v>0.39</v>
      </c>
      <c r="H188" s="218">
        <f t="shared" si="25"/>
        <v>42</v>
      </c>
      <c r="I188" s="38">
        <v>1</v>
      </c>
      <c r="J188" s="33"/>
      <c r="K188" s="33">
        <v>0.45</v>
      </c>
      <c r="L188" s="33"/>
      <c r="M188" s="33">
        <v>0.06</v>
      </c>
      <c r="N188" s="38">
        <f t="shared" si="23"/>
        <v>42</v>
      </c>
      <c r="O188" s="218">
        <f t="shared" si="26"/>
        <v>19</v>
      </c>
      <c r="P188" s="218">
        <f t="shared" si="27"/>
        <v>1</v>
      </c>
      <c r="Q188" s="218">
        <f t="shared" si="28"/>
        <v>22</v>
      </c>
      <c r="R188" s="33">
        <f>IF(SUM($P188)=0,"",INDEX(Cascade!$BG:$BG,MATCH($E188,Cascade!$E:$E,0)))</f>
        <v>0.95</v>
      </c>
      <c r="S188" s="218">
        <f t="shared" si="29"/>
        <v>19</v>
      </c>
      <c r="T188" s="218">
        <f t="shared" si="30"/>
        <v>1</v>
      </c>
      <c r="U188" s="38">
        <f>IFERROR(1/(1/INDEX(Cascade!$BH:$BH,MATCH($E188,Cascade!$E:$E,0))),"")</f>
        <v>63</v>
      </c>
      <c r="V188" s="38">
        <f t="shared" si="31"/>
        <v>1</v>
      </c>
      <c r="W188" s="38" t="str">
        <f>IFERROR(1/(1/INDEX(PMTCT!$AC:$AC,MATCH($E188,PMTCT!$E:$E,0))),"")</f>
        <v/>
      </c>
      <c r="X188" s="38" t="str">
        <f>IFERROR(1/(1/INDEX(PMTCT!$AS:$AS,MATCH($E188,PMTCT!$E:$E,0))),"")</f>
        <v/>
      </c>
      <c r="Y188" s="38" t="str">
        <f>IFERROR(1/(1/INDEX(VMMC!$AA:$AA,MATCH($E188,VMMC!$E:$E,0))),"")</f>
        <v/>
      </c>
      <c r="Z188" s="38">
        <f t="shared" si="32"/>
        <v>62</v>
      </c>
    </row>
    <row r="189" spans="1:26" x14ac:dyDescent="0.2">
      <c r="A189" t="str">
        <f>INDEX(Prioritization!$D:$D,MATCH($B189,Prioritization!$A:$A,0))</f>
        <v>4 - Sustained</v>
      </c>
      <c r="B189" t="s">
        <v>302</v>
      </c>
      <c r="C189" t="s">
        <v>476</v>
      </c>
      <c r="D189" t="s">
        <v>30</v>
      </c>
      <c r="E189" t="str">
        <f t="shared" si="24"/>
        <v>Mchinji District [kxuuIFpOXyO]|25-34|Female</v>
      </c>
      <c r="F189" s="38">
        <v>18</v>
      </c>
      <c r="G189" s="33">
        <v>0.39</v>
      </c>
      <c r="H189" s="218">
        <f t="shared" si="25"/>
        <v>25</v>
      </c>
      <c r="I189" s="38">
        <v>1</v>
      </c>
      <c r="J189" s="33"/>
      <c r="K189" s="33">
        <v>0.45</v>
      </c>
      <c r="L189" s="33"/>
      <c r="M189" s="33">
        <v>0.06</v>
      </c>
      <c r="N189" s="38">
        <f t="shared" si="23"/>
        <v>25</v>
      </c>
      <c r="O189" s="218">
        <f t="shared" si="26"/>
        <v>11</v>
      </c>
      <c r="P189" s="218">
        <f t="shared" si="27"/>
        <v>1</v>
      </c>
      <c r="Q189" s="218">
        <f t="shared" si="28"/>
        <v>13</v>
      </c>
      <c r="R189" s="33">
        <f>IF(SUM($P189)=0,"",INDEX(Cascade!$BG:$BG,MATCH($E189,Cascade!$E:$E,0)))</f>
        <v>0.95</v>
      </c>
      <c r="S189" s="218">
        <f t="shared" si="29"/>
        <v>11</v>
      </c>
      <c r="T189" s="218">
        <f t="shared" si="30"/>
        <v>1</v>
      </c>
      <c r="U189" s="38">
        <f>IFERROR(1/(1/INDEX(Cascade!$BH:$BH,MATCH($E189,Cascade!$E:$E,0))),"")</f>
        <v>202</v>
      </c>
      <c r="V189" s="38">
        <f t="shared" si="31"/>
        <v>1</v>
      </c>
      <c r="W189" s="38">
        <f>IFERROR(1/(1/INDEX(PMTCT!$AC:$AC,MATCH($E189,PMTCT!$E:$E,0))),"")</f>
        <v>82</v>
      </c>
      <c r="X189" s="38">
        <f>IFERROR(1/(1/INDEX(PMTCT!$AS:$AS,MATCH($E189,PMTCT!$E:$E,0))),"")</f>
        <v>30</v>
      </c>
      <c r="Y189" s="38" t="str">
        <f>IFERROR(1/(1/INDEX(VMMC!$AA:$AA,MATCH($E189,VMMC!$E:$E,0))),"")</f>
        <v/>
      </c>
      <c r="Z189" s="38">
        <f t="shared" si="32"/>
        <v>89</v>
      </c>
    </row>
    <row r="190" spans="1:26" x14ac:dyDescent="0.2">
      <c r="A190" t="str">
        <f>INDEX(Prioritization!$D:$D,MATCH($B190,Prioritization!$A:$A,0))</f>
        <v>4 - Sustained</v>
      </c>
      <c r="B190" t="s">
        <v>302</v>
      </c>
      <c r="C190" t="s">
        <v>476</v>
      </c>
      <c r="D190" t="s">
        <v>48</v>
      </c>
      <c r="E190" t="str">
        <f t="shared" si="24"/>
        <v>Mchinji District [kxuuIFpOXyO]|25-34|Male</v>
      </c>
      <c r="F190" s="38">
        <v>30</v>
      </c>
      <c r="G190" s="33">
        <v>0.39</v>
      </c>
      <c r="H190" s="218">
        <f t="shared" si="25"/>
        <v>42</v>
      </c>
      <c r="I190" s="38">
        <v>1</v>
      </c>
      <c r="J190" s="33"/>
      <c r="K190" s="33">
        <v>0.45</v>
      </c>
      <c r="L190" s="33"/>
      <c r="M190" s="33">
        <v>0.06</v>
      </c>
      <c r="N190" s="38">
        <f t="shared" si="23"/>
        <v>42</v>
      </c>
      <c r="O190" s="218">
        <f t="shared" si="26"/>
        <v>19</v>
      </c>
      <c r="P190" s="218">
        <f t="shared" si="27"/>
        <v>1</v>
      </c>
      <c r="Q190" s="218">
        <f t="shared" si="28"/>
        <v>22</v>
      </c>
      <c r="R190" s="33">
        <f>IF(SUM($P190)=0,"",INDEX(Cascade!$BG:$BG,MATCH($E190,Cascade!$E:$E,0)))</f>
        <v>0.95</v>
      </c>
      <c r="S190" s="218">
        <f t="shared" si="29"/>
        <v>19</v>
      </c>
      <c r="T190" s="218">
        <f t="shared" si="30"/>
        <v>1</v>
      </c>
      <c r="U190" s="38">
        <f>IFERROR(1/(1/INDEX(Cascade!$BH:$BH,MATCH($E190,Cascade!$E:$E,0))),"")</f>
        <v>18</v>
      </c>
      <c r="V190" s="38">
        <f t="shared" si="31"/>
        <v>1</v>
      </c>
      <c r="W190" s="38" t="str">
        <f>IFERROR(1/(1/INDEX(PMTCT!$AC:$AC,MATCH($E190,PMTCT!$E:$E,0))),"")</f>
        <v/>
      </c>
      <c r="X190" s="38" t="str">
        <f>IFERROR(1/(1/INDEX(PMTCT!$AS:$AS,MATCH($E190,PMTCT!$E:$E,0))),"")</f>
        <v/>
      </c>
      <c r="Y190" s="38" t="str">
        <f>IFERROR(1/(1/INDEX(VMMC!$AA:$AA,MATCH($E190,VMMC!$E:$E,0))),"")</f>
        <v/>
      </c>
      <c r="Z190" s="38">
        <f t="shared" si="32"/>
        <v>17</v>
      </c>
    </row>
    <row r="191" spans="1:26" x14ac:dyDescent="0.2">
      <c r="A191" t="str">
        <f>INDEX(Prioritization!$D:$D,MATCH($B191,Prioritization!$A:$A,0))</f>
        <v>4 - Sustained</v>
      </c>
      <c r="B191" t="s">
        <v>302</v>
      </c>
      <c r="C191" t="s">
        <v>477</v>
      </c>
      <c r="D191" t="s">
        <v>30</v>
      </c>
      <c r="E191" t="str">
        <f t="shared" si="24"/>
        <v>Mchinji District [kxuuIFpOXyO]|35-49|Female</v>
      </c>
      <c r="F191" s="38">
        <v>27</v>
      </c>
      <c r="G191" s="33">
        <v>0.39</v>
      </c>
      <c r="H191" s="218">
        <f t="shared" si="25"/>
        <v>38</v>
      </c>
      <c r="I191" s="38">
        <v>1</v>
      </c>
      <c r="J191" s="33"/>
      <c r="K191" s="33">
        <v>0.45</v>
      </c>
      <c r="L191" s="33"/>
      <c r="M191" s="33">
        <v>0.06</v>
      </c>
      <c r="N191" s="38">
        <f t="shared" si="23"/>
        <v>38</v>
      </c>
      <c r="O191" s="218">
        <f t="shared" si="26"/>
        <v>17</v>
      </c>
      <c r="P191" s="218">
        <f t="shared" si="27"/>
        <v>1</v>
      </c>
      <c r="Q191" s="218">
        <f t="shared" si="28"/>
        <v>20</v>
      </c>
      <c r="R191" s="33">
        <f>IF(SUM($P191)=0,"",INDEX(Cascade!$BG:$BG,MATCH($E191,Cascade!$E:$E,0)))</f>
        <v>0.95</v>
      </c>
      <c r="S191" s="218">
        <f t="shared" si="29"/>
        <v>17</v>
      </c>
      <c r="T191" s="218">
        <f t="shared" si="30"/>
        <v>1</v>
      </c>
      <c r="U191" s="38">
        <f>IFERROR(1/(1/INDEX(Cascade!$BH:$BH,MATCH($E191,Cascade!$E:$E,0))),"")</f>
        <v>192</v>
      </c>
      <c r="V191" s="38">
        <f t="shared" si="31"/>
        <v>1</v>
      </c>
      <c r="W191" s="38">
        <f>IFERROR(1/(1/INDEX(PMTCT!$AC:$AC,MATCH($E191,PMTCT!$E:$E,0))),"")</f>
        <v>20</v>
      </c>
      <c r="X191" s="38">
        <f>IFERROR(1/(1/INDEX(PMTCT!$AS:$AS,MATCH($E191,PMTCT!$E:$E,0))),"")</f>
        <v>7</v>
      </c>
      <c r="Y191" s="38" t="str">
        <f>IFERROR(1/(1/INDEX(VMMC!$AA:$AA,MATCH($E191,VMMC!$E:$E,0))),"")</f>
        <v/>
      </c>
      <c r="Z191" s="38">
        <f t="shared" si="32"/>
        <v>164</v>
      </c>
    </row>
    <row r="192" spans="1:26" x14ac:dyDescent="0.2">
      <c r="A192" t="str">
        <f>INDEX(Prioritization!$D:$D,MATCH($B192,Prioritization!$A:$A,0))</f>
        <v>4 - Sustained</v>
      </c>
      <c r="B192" t="s">
        <v>302</v>
      </c>
      <c r="C192" t="s">
        <v>477</v>
      </c>
      <c r="D192" t="s">
        <v>48</v>
      </c>
      <c r="E192" t="str">
        <f t="shared" si="24"/>
        <v>Mchinji District [kxuuIFpOXyO]|35-49|Male</v>
      </c>
      <c r="F192" s="38">
        <v>45</v>
      </c>
      <c r="G192" s="33">
        <v>0.39</v>
      </c>
      <c r="H192" s="218">
        <f t="shared" si="25"/>
        <v>63</v>
      </c>
      <c r="I192" s="38">
        <v>1</v>
      </c>
      <c r="J192" s="33"/>
      <c r="K192" s="33">
        <v>0.45</v>
      </c>
      <c r="L192" s="33"/>
      <c r="M192" s="33">
        <v>0.06</v>
      </c>
      <c r="N192" s="38">
        <f t="shared" si="23"/>
        <v>62</v>
      </c>
      <c r="O192" s="218">
        <f t="shared" si="26"/>
        <v>28</v>
      </c>
      <c r="P192" s="218">
        <f t="shared" si="27"/>
        <v>2</v>
      </c>
      <c r="Q192" s="218">
        <f t="shared" si="28"/>
        <v>32</v>
      </c>
      <c r="R192" s="33">
        <f>IF(SUM($P192)=0,"",INDEX(Cascade!$BG:$BG,MATCH($E192,Cascade!$E:$E,0)))</f>
        <v>0.95</v>
      </c>
      <c r="S192" s="218">
        <f t="shared" si="29"/>
        <v>28</v>
      </c>
      <c r="T192" s="218">
        <f t="shared" si="30"/>
        <v>2</v>
      </c>
      <c r="U192" s="38">
        <f>IFERROR(1/(1/INDEX(Cascade!$BH:$BH,MATCH($E192,Cascade!$E:$E,0))),"")</f>
        <v>143</v>
      </c>
      <c r="V192" s="38">
        <f t="shared" si="31"/>
        <v>2</v>
      </c>
      <c r="W192" s="38" t="str">
        <f>IFERROR(1/(1/INDEX(PMTCT!$AC:$AC,MATCH($E192,PMTCT!$E:$E,0))),"")</f>
        <v/>
      </c>
      <c r="X192" s="38" t="str">
        <f>IFERROR(1/(1/INDEX(PMTCT!$AS:$AS,MATCH($E192,PMTCT!$E:$E,0))),"")</f>
        <v/>
      </c>
      <c r="Y192" s="38" t="str">
        <f>IFERROR(1/(1/INDEX(VMMC!$AA:$AA,MATCH($E192,VMMC!$E:$E,0))),"")</f>
        <v/>
      </c>
      <c r="Z192" s="38">
        <f t="shared" si="32"/>
        <v>141</v>
      </c>
    </row>
    <row r="193" spans="1:26" x14ac:dyDescent="0.2">
      <c r="A193" t="str">
        <f>INDEX(Prioritization!$D:$D,MATCH($B193,Prioritization!$A:$A,0))</f>
        <v>4 - Sustained</v>
      </c>
      <c r="B193" t="s">
        <v>302</v>
      </c>
      <c r="C193" t="s">
        <v>478</v>
      </c>
      <c r="D193" t="s">
        <v>30</v>
      </c>
      <c r="E193" t="str">
        <f t="shared" si="24"/>
        <v>Mchinji District [kxuuIFpOXyO]|50+|Female</v>
      </c>
      <c r="F193" s="38">
        <v>8</v>
      </c>
      <c r="G193" s="33">
        <v>0.39</v>
      </c>
      <c r="H193" s="218">
        <f t="shared" si="25"/>
        <v>11</v>
      </c>
      <c r="I193" s="38"/>
      <c r="J193" s="33"/>
      <c r="K193" s="33">
        <v>0.45</v>
      </c>
      <c r="L193" s="33"/>
      <c r="M193" s="33">
        <v>0.06</v>
      </c>
      <c r="N193" s="38">
        <f t="shared" si="23"/>
        <v>11</v>
      </c>
      <c r="O193" s="218">
        <f t="shared" si="26"/>
        <v>5</v>
      </c>
      <c r="P193" s="218">
        <f t="shared" si="27"/>
        <v>0</v>
      </c>
      <c r="Q193" s="218">
        <f t="shared" si="28"/>
        <v>6</v>
      </c>
      <c r="R193" s="33" t="str">
        <f>IF(SUM($P193)=0,"",INDEX(Cascade!$BG:$BG,MATCH($E193,Cascade!$E:$E,0)))</f>
        <v/>
      </c>
      <c r="S193" s="218">
        <f t="shared" si="29"/>
        <v>5</v>
      </c>
      <c r="T193" s="218" t="str">
        <f t="shared" si="30"/>
        <v/>
      </c>
      <c r="U193" s="38">
        <f>IFERROR(1/(1/INDEX(Cascade!$BH:$BH,MATCH($E193,Cascade!$E:$E,0))),"")</f>
        <v>102</v>
      </c>
      <c r="V193" s="38" t="str">
        <f t="shared" si="31"/>
        <v/>
      </c>
      <c r="W193" s="38" t="str">
        <f>IFERROR(1/(1/INDEX(PMTCT!$AC:$AC,MATCH($E193,PMTCT!$E:$E,0))),"")</f>
        <v/>
      </c>
      <c r="X193" s="38" t="str">
        <f>IFERROR(1/(1/INDEX(PMTCT!$AS:$AS,MATCH($E193,PMTCT!$E:$E,0))),"")</f>
        <v/>
      </c>
      <c r="Y193" s="38" t="str">
        <f>IFERROR(1/(1/INDEX(VMMC!$AA:$AA,MATCH($E193,VMMC!$E:$E,0))),"")</f>
        <v/>
      </c>
      <c r="Z193" s="38">
        <f t="shared" si="32"/>
        <v>102</v>
      </c>
    </row>
    <row r="194" spans="1:26" x14ac:dyDescent="0.2">
      <c r="A194" t="str">
        <f>INDEX(Prioritization!$D:$D,MATCH($B194,Prioritization!$A:$A,0))</f>
        <v>4 - Sustained</v>
      </c>
      <c r="B194" t="s">
        <v>302</v>
      </c>
      <c r="C194" t="s">
        <v>478</v>
      </c>
      <c r="D194" t="s">
        <v>48</v>
      </c>
      <c r="E194" t="str">
        <f t="shared" si="24"/>
        <v>Mchinji District [kxuuIFpOXyO]|50+|Male</v>
      </c>
      <c r="F194" s="38">
        <v>15</v>
      </c>
      <c r="G194" s="33">
        <v>0.39</v>
      </c>
      <c r="H194" s="218">
        <f t="shared" si="25"/>
        <v>21</v>
      </c>
      <c r="I194" s="38"/>
      <c r="J194" s="33"/>
      <c r="K194" s="33">
        <v>0.45</v>
      </c>
      <c r="L194" s="33"/>
      <c r="M194" s="33">
        <v>0.06</v>
      </c>
      <c r="N194" s="38">
        <f t="shared" si="23"/>
        <v>21</v>
      </c>
      <c r="O194" s="218">
        <f t="shared" si="26"/>
        <v>9</v>
      </c>
      <c r="P194" s="218">
        <f t="shared" si="27"/>
        <v>1</v>
      </c>
      <c r="Q194" s="218">
        <f t="shared" si="28"/>
        <v>11</v>
      </c>
      <c r="R194" s="33">
        <f>IF(SUM($P194)=0,"",INDEX(Cascade!$BG:$BG,MATCH($E194,Cascade!$E:$E,0)))</f>
        <v>0.95</v>
      </c>
      <c r="S194" s="218">
        <f t="shared" si="29"/>
        <v>9</v>
      </c>
      <c r="T194" s="218">
        <f t="shared" si="30"/>
        <v>1</v>
      </c>
      <c r="U194" s="38">
        <f>IFERROR(1/(1/INDEX(Cascade!$BH:$BH,MATCH($E194,Cascade!$E:$E,0))),"")</f>
        <v>85</v>
      </c>
      <c r="V194" s="38">
        <f t="shared" si="31"/>
        <v>1</v>
      </c>
      <c r="W194" s="38" t="str">
        <f>IFERROR(1/(1/INDEX(PMTCT!$AC:$AC,MATCH($E194,PMTCT!$E:$E,0))),"")</f>
        <v/>
      </c>
      <c r="X194" s="38" t="str">
        <f>IFERROR(1/(1/INDEX(PMTCT!$AS:$AS,MATCH($E194,PMTCT!$E:$E,0))),"")</f>
        <v/>
      </c>
      <c r="Y194" s="38" t="str">
        <f>IFERROR(1/(1/INDEX(VMMC!$AA:$AA,MATCH($E194,VMMC!$E:$E,0))),"")</f>
        <v/>
      </c>
      <c r="Z194" s="38">
        <f t="shared" si="32"/>
        <v>84</v>
      </c>
    </row>
    <row r="195" spans="1:26" x14ac:dyDescent="0.2">
      <c r="A195" t="str">
        <f>INDEX(Prioritization!$D:$D,MATCH($B195,Prioritization!$A:$A,0))</f>
        <v>INVALID</v>
      </c>
      <c r="B195" t="s">
        <v>319</v>
      </c>
      <c r="C195" t="s">
        <v>473</v>
      </c>
      <c r="D195" t="s">
        <v>30</v>
      </c>
      <c r="E195" t="str">
        <f t="shared" si="24"/>
        <v>Mulanje District [umc2n1Z4wNv]|01-09|Female</v>
      </c>
      <c r="F195" s="38">
        <v>12</v>
      </c>
      <c r="G195" s="33">
        <v>0.39</v>
      </c>
      <c r="H195" s="218">
        <f t="shared" si="25"/>
        <v>17</v>
      </c>
      <c r="I195" s="38"/>
      <c r="J195" s="33"/>
      <c r="K195" s="33">
        <v>0.45</v>
      </c>
      <c r="L195" s="33"/>
      <c r="M195" s="33">
        <v>0.06</v>
      </c>
      <c r="N195" s="38">
        <f t="shared" si="23"/>
        <v>17</v>
      </c>
      <c r="O195" s="218">
        <f t="shared" si="26"/>
        <v>8</v>
      </c>
      <c r="P195" s="218">
        <f t="shared" si="27"/>
        <v>1</v>
      </c>
      <c r="Q195" s="218">
        <f t="shared" si="28"/>
        <v>8</v>
      </c>
      <c r="R195" s="33">
        <f>IF(SUM($P195)=0,"",INDEX(Cascade!$BG:$BG,MATCH($E195,Cascade!$E:$E,0)))</f>
        <v>0.95</v>
      </c>
      <c r="S195" s="218">
        <f t="shared" si="29"/>
        <v>8</v>
      </c>
      <c r="T195" s="218">
        <f t="shared" si="30"/>
        <v>1</v>
      </c>
      <c r="U195" s="38">
        <f>IFERROR(1/(1/INDEX(Cascade!$BH:$BH,MATCH($E195,Cascade!$E:$E,0))),"")</f>
        <v>11</v>
      </c>
      <c r="V195" s="38">
        <f t="shared" si="31"/>
        <v>1</v>
      </c>
      <c r="W195" s="38" t="str">
        <f>IFERROR(1/(1/INDEX(PMTCT!$AC:$AC,MATCH($E195,PMTCT!$E:$E,0))),"")</f>
        <v/>
      </c>
      <c r="X195" s="38" t="str">
        <f>IFERROR(1/(1/INDEX(PMTCT!$AS:$AS,MATCH($E195,PMTCT!$E:$E,0))),"")</f>
        <v/>
      </c>
      <c r="Y195" s="38" t="str">
        <f>IFERROR(1/(1/INDEX(VMMC!$AA:$AA,MATCH($E195,VMMC!$E:$E,0))),"")</f>
        <v/>
      </c>
      <c r="Z195" s="38">
        <f t="shared" si="32"/>
        <v>10</v>
      </c>
    </row>
    <row r="196" spans="1:26" x14ac:dyDescent="0.2">
      <c r="A196" t="str">
        <f>INDEX(Prioritization!$D:$D,MATCH($B196,Prioritization!$A:$A,0))</f>
        <v>INVALID</v>
      </c>
      <c r="B196" t="s">
        <v>319</v>
      </c>
      <c r="C196" t="s">
        <v>473</v>
      </c>
      <c r="D196" t="s">
        <v>48</v>
      </c>
      <c r="E196" t="str">
        <f t="shared" si="24"/>
        <v>Mulanje District [umc2n1Z4wNv]|01-09|Male</v>
      </c>
      <c r="F196" s="38">
        <v>12</v>
      </c>
      <c r="G196" s="33">
        <v>0.39</v>
      </c>
      <c r="H196" s="218">
        <f t="shared" si="25"/>
        <v>17</v>
      </c>
      <c r="I196" s="38"/>
      <c r="J196" s="33"/>
      <c r="K196" s="33">
        <v>0.45</v>
      </c>
      <c r="L196" s="33"/>
      <c r="M196" s="33">
        <v>0.06</v>
      </c>
      <c r="N196" s="38">
        <f t="shared" si="23"/>
        <v>17</v>
      </c>
      <c r="O196" s="218">
        <f t="shared" si="26"/>
        <v>8</v>
      </c>
      <c r="P196" s="218">
        <f t="shared" si="27"/>
        <v>1</v>
      </c>
      <c r="Q196" s="218">
        <f t="shared" si="28"/>
        <v>8</v>
      </c>
      <c r="R196" s="33">
        <f>IF(SUM($P196)=0,"",INDEX(Cascade!$BG:$BG,MATCH($E196,Cascade!$E:$E,0)))</f>
        <v>0.95</v>
      </c>
      <c r="S196" s="218">
        <f t="shared" si="29"/>
        <v>8</v>
      </c>
      <c r="T196" s="218">
        <f t="shared" si="30"/>
        <v>1</v>
      </c>
      <c r="U196" s="38">
        <f>IFERROR(1/(1/INDEX(Cascade!$BH:$BH,MATCH($E196,Cascade!$E:$E,0))),"")</f>
        <v>11</v>
      </c>
      <c r="V196" s="38">
        <f t="shared" si="31"/>
        <v>1</v>
      </c>
      <c r="W196" s="38" t="str">
        <f>IFERROR(1/(1/INDEX(PMTCT!$AC:$AC,MATCH($E196,PMTCT!$E:$E,0))),"")</f>
        <v/>
      </c>
      <c r="X196" s="38" t="str">
        <f>IFERROR(1/(1/INDEX(PMTCT!$AS:$AS,MATCH($E196,PMTCT!$E:$E,0))),"")</f>
        <v/>
      </c>
      <c r="Y196" s="38" t="str">
        <f>IFERROR(1/(1/INDEX(VMMC!$AA:$AA,MATCH($E196,VMMC!$E:$E,0))),"")</f>
        <v/>
      </c>
      <c r="Z196" s="38">
        <f t="shared" si="32"/>
        <v>10</v>
      </c>
    </row>
    <row r="197" spans="1:26" x14ac:dyDescent="0.2">
      <c r="A197" t="str">
        <f>INDEX(Prioritization!$D:$D,MATCH($B197,Prioritization!$A:$A,0))</f>
        <v>INVALID</v>
      </c>
      <c r="B197" t="s">
        <v>319</v>
      </c>
      <c r="C197" t="s">
        <v>474</v>
      </c>
      <c r="D197" t="s">
        <v>30</v>
      </c>
      <c r="E197" t="str">
        <f t="shared" si="24"/>
        <v>Mulanje District [umc2n1Z4wNv]|10-14|Female</v>
      </c>
      <c r="F197" s="38">
        <v>6</v>
      </c>
      <c r="G197" s="33">
        <v>0.39</v>
      </c>
      <c r="H197" s="218">
        <f t="shared" si="25"/>
        <v>8</v>
      </c>
      <c r="I197" s="38"/>
      <c r="J197" s="33"/>
      <c r="K197" s="33">
        <v>0.45</v>
      </c>
      <c r="L197" s="33"/>
      <c r="M197" s="33">
        <v>0.06</v>
      </c>
      <c r="N197" s="38">
        <f t="shared" si="23"/>
        <v>8</v>
      </c>
      <c r="O197" s="218">
        <f t="shared" si="26"/>
        <v>4</v>
      </c>
      <c r="P197" s="218">
        <f t="shared" si="27"/>
        <v>0</v>
      </c>
      <c r="Q197" s="218">
        <f t="shared" si="28"/>
        <v>4</v>
      </c>
      <c r="R197" s="33" t="str">
        <f>IF(SUM($P197)=0,"",INDEX(Cascade!$BG:$BG,MATCH($E197,Cascade!$E:$E,0)))</f>
        <v/>
      </c>
      <c r="S197" s="218">
        <f t="shared" si="29"/>
        <v>4</v>
      </c>
      <c r="T197" s="218" t="str">
        <f t="shared" si="30"/>
        <v/>
      </c>
      <c r="U197" s="38">
        <f>IFERROR(1/(1/INDEX(Cascade!$BH:$BH,MATCH($E197,Cascade!$E:$E,0))),"")</f>
        <v>82</v>
      </c>
      <c r="V197" s="38" t="str">
        <f t="shared" si="31"/>
        <v/>
      </c>
      <c r="W197" s="38">
        <f>IFERROR(1/(1/INDEX(PMTCT!$AC:$AC,MATCH($E197,PMTCT!$E:$E,0))),"")</f>
        <v>1</v>
      </c>
      <c r="X197" s="38" t="str">
        <f>IFERROR(1/(1/INDEX(PMTCT!$AS:$AS,MATCH($E197,PMTCT!$E:$E,0))),"")</f>
        <v/>
      </c>
      <c r="Y197" s="38" t="str">
        <f>IFERROR(1/(1/INDEX(VMMC!$AA:$AA,MATCH($E197,VMMC!$E:$E,0))),"")</f>
        <v/>
      </c>
      <c r="Z197" s="38">
        <f t="shared" si="32"/>
        <v>81</v>
      </c>
    </row>
    <row r="198" spans="1:26" x14ac:dyDescent="0.2">
      <c r="A198" t="str">
        <f>INDEX(Prioritization!$D:$D,MATCH($B198,Prioritization!$A:$A,0))</f>
        <v>INVALID</v>
      </c>
      <c r="B198" t="s">
        <v>319</v>
      </c>
      <c r="C198" t="s">
        <v>474</v>
      </c>
      <c r="D198" t="s">
        <v>48</v>
      </c>
      <c r="E198" t="str">
        <f t="shared" si="24"/>
        <v>Mulanje District [umc2n1Z4wNv]|10-14|Male</v>
      </c>
      <c r="F198" s="38">
        <v>6</v>
      </c>
      <c r="G198" s="33">
        <v>0.39</v>
      </c>
      <c r="H198" s="218">
        <f t="shared" si="25"/>
        <v>8</v>
      </c>
      <c r="I198" s="38"/>
      <c r="J198" s="33"/>
      <c r="K198" s="33">
        <v>0.45</v>
      </c>
      <c r="L198" s="33"/>
      <c r="M198" s="33">
        <v>0.06</v>
      </c>
      <c r="N198" s="38">
        <f t="shared" si="23"/>
        <v>8</v>
      </c>
      <c r="O198" s="218">
        <f t="shared" si="26"/>
        <v>4</v>
      </c>
      <c r="P198" s="218">
        <f t="shared" si="27"/>
        <v>0</v>
      </c>
      <c r="Q198" s="218">
        <f t="shared" si="28"/>
        <v>4</v>
      </c>
      <c r="R198" s="33" t="str">
        <f>IF(SUM($P198)=0,"",INDEX(Cascade!$BG:$BG,MATCH($E198,Cascade!$E:$E,0)))</f>
        <v/>
      </c>
      <c r="S198" s="218">
        <f t="shared" si="29"/>
        <v>4</v>
      </c>
      <c r="T198" s="218" t="str">
        <f t="shared" si="30"/>
        <v/>
      </c>
      <c r="U198" s="38">
        <f>IFERROR(1/(1/INDEX(Cascade!$BH:$BH,MATCH($E198,Cascade!$E:$E,0))),"")</f>
        <v>52</v>
      </c>
      <c r="V198" s="38" t="str">
        <f t="shared" si="31"/>
        <v/>
      </c>
      <c r="W198" s="38" t="str">
        <f>IFERROR(1/(1/INDEX(PMTCT!$AC:$AC,MATCH($E198,PMTCT!$E:$E,0))),"")</f>
        <v/>
      </c>
      <c r="X198" s="38" t="str">
        <f>IFERROR(1/(1/INDEX(PMTCT!$AS:$AS,MATCH($E198,PMTCT!$E:$E,0))),"")</f>
        <v/>
      </c>
      <c r="Y198" s="38" t="str">
        <f>IFERROR(1/(1/INDEX(VMMC!$AA:$AA,MATCH($E198,VMMC!$E:$E,0))),"")</f>
        <v/>
      </c>
      <c r="Z198" s="38">
        <f t="shared" si="32"/>
        <v>52</v>
      </c>
    </row>
    <row r="199" spans="1:26" x14ac:dyDescent="0.2">
      <c r="A199" t="str">
        <f>INDEX(Prioritization!$D:$D,MATCH($B199,Prioritization!$A:$A,0))</f>
        <v>INVALID</v>
      </c>
      <c r="B199" t="s">
        <v>319</v>
      </c>
      <c r="C199" t="s">
        <v>475</v>
      </c>
      <c r="D199" t="s">
        <v>30</v>
      </c>
      <c r="E199" t="str">
        <f t="shared" si="24"/>
        <v>Mulanje District [umc2n1Z4wNv]|15-24|Female</v>
      </c>
      <c r="F199" s="38">
        <v>38</v>
      </c>
      <c r="G199" s="33">
        <v>0.39</v>
      </c>
      <c r="H199" s="218">
        <f t="shared" si="25"/>
        <v>53</v>
      </c>
      <c r="I199" s="38">
        <v>1</v>
      </c>
      <c r="J199" s="33"/>
      <c r="K199" s="33">
        <v>0.45</v>
      </c>
      <c r="L199" s="33"/>
      <c r="M199" s="33">
        <v>0.06</v>
      </c>
      <c r="N199" s="38">
        <f t="shared" si="23"/>
        <v>52</v>
      </c>
      <c r="O199" s="218">
        <f t="shared" si="26"/>
        <v>23</v>
      </c>
      <c r="P199" s="218">
        <f t="shared" si="27"/>
        <v>2</v>
      </c>
      <c r="Q199" s="218">
        <f t="shared" si="28"/>
        <v>27</v>
      </c>
      <c r="R199" s="33">
        <f>IF(SUM($P199)=0,"",INDEX(Cascade!$BG:$BG,MATCH($E199,Cascade!$E:$E,0)))</f>
        <v>0.95</v>
      </c>
      <c r="S199" s="218">
        <f t="shared" si="29"/>
        <v>23</v>
      </c>
      <c r="T199" s="218">
        <f t="shared" si="30"/>
        <v>2</v>
      </c>
      <c r="U199" s="38">
        <f>IFERROR(1/(1/INDEX(Cascade!$BH:$BH,MATCH($E199,Cascade!$E:$E,0))),"")</f>
        <v>491.00000000000006</v>
      </c>
      <c r="V199" s="38">
        <f t="shared" si="31"/>
        <v>2</v>
      </c>
      <c r="W199" s="38">
        <f>IFERROR(1/(1/INDEX(PMTCT!$AC:$AC,MATCH($E199,PMTCT!$E:$E,0))),"")</f>
        <v>157</v>
      </c>
      <c r="X199" s="38">
        <f>IFERROR(1/(1/INDEX(PMTCT!$AS:$AS,MATCH($E199,PMTCT!$E:$E,0))),"")</f>
        <v>69</v>
      </c>
      <c r="Y199" s="38" t="str">
        <f>IFERROR(1/(1/INDEX(VMMC!$AA:$AA,MATCH($E199,VMMC!$E:$E,0))),"")</f>
        <v/>
      </c>
      <c r="Z199" s="38">
        <f t="shared" si="32"/>
        <v>263.00000000000006</v>
      </c>
    </row>
    <row r="200" spans="1:26" x14ac:dyDescent="0.2">
      <c r="A200" t="str">
        <f>INDEX(Prioritization!$D:$D,MATCH($B200,Prioritization!$A:$A,0))</f>
        <v>INVALID</v>
      </c>
      <c r="B200" t="s">
        <v>319</v>
      </c>
      <c r="C200" t="s">
        <v>475</v>
      </c>
      <c r="D200" t="s">
        <v>48</v>
      </c>
      <c r="E200" t="str">
        <f t="shared" si="24"/>
        <v>Mulanje District [umc2n1Z4wNv]|15-24|Male</v>
      </c>
      <c r="F200" s="38">
        <v>62</v>
      </c>
      <c r="G200" s="33">
        <v>0.39</v>
      </c>
      <c r="H200" s="218">
        <f t="shared" si="25"/>
        <v>86</v>
      </c>
      <c r="I200" s="38">
        <v>2</v>
      </c>
      <c r="J200" s="33"/>
      <c r="K200" s="33">
        <v>0.45</v>
      </c>
      <c r="L200" s="33"/>
      <c r="M200" s="33">
        <v>0.06</v>
      </c>
      <c r="N200" s="38">
        <f t="shared" ref="N200:N263" si="33">IFERROR(ROUND($H200*0.99,0),"")</f>
        <v>85</v>
      </c>
      <c r="O200" s="218">
        <f t="shared" si="26"/>
        <v>38</v>
      </c>
      <c r="P200" s="218">
        <f t="shared" si="27"/>
        <v>3</v>
      </c>
      <c r="Q200" s="218">
        <f t="shared" si="28"/>
        <v>44</v>
      </c>
      <c r="R200" s="33">
        <f>IF(SUM($P200)=0,"",INDEX(Cascade!$BG:$BG,MATCH($E200,Cascade!$E:$E,0)))</f>
        <v>0.95</v>
      </c>
      <c r="S200" s="218">
        <f t="shared" si="29"/>
        <v>38</v>
      </c>
      <c r="T200" s="218">
        <f t="shared" si="30"/>
        <v>3</v>
      </c>
      <c r="U200" s="38">
        <f>IFERROR(1/(1/INDEX(Cascade!$BH:$BH,MATCH($E200,Cascade!$E:$E,0))),"")</f>
        <v>94</v>
      </c>
      <c r="V200" s="38">
        <f t="shared" si="31"/>
        <v>3</v>
      </c>
      <c r="W200" s="38" t="str">
        <f>IFERROR(1/(1/INDEX(PMTCT!$AC:$AC,MATCH($E200,PMTCT!$E:$E,0))),"")</f>
        <v/>
      </c>
      <c r="X200" s="38" t="str">
        <f>IFERROR(1/(1/INDEX(PMTCT!$AS:$AS,MATCH($E200,PMTCT!$E:$E,0))),"")</f>
        <v/>
      </c>
      <c r="Y200" s="38">
        <f>IFERROR(1/(1/INDEX(VMMC!$AA:$AA,MATCH($E200,VMMC!$E:$E,0))),"")</f>
        <v>8</v>
      </c>
      <c r="Z200" s="38">
        <f t="shared" si="32"/>
        <v>83</v>
      </c>
    </row>
    <row r="201" spans="1:26" x14ac:dyDescent="0.2">
      <c r="A201" t="str">
        <f>INDEX(Prioritization!$D:$D,MATCH($B201,Prioritization!$A:$A,0))</f>
        <v>INVALID</v>
      </c>
      <c r="B201" t="s">
        <v>319</v>
      </c>
      <c r="C201" t="s">
        <v>476</v>
      </c>
      <c r="D201" t="s">
        <v>30</v>
      </c>
      <c r="E201" t="str">
        <f t="shared" si="24"/>
        <v>Mulanje District [umc2n1Z4wNv]|25-34|Female</v>
      </c>
      <c r="F201" s="38">
        <v>38</v>
      </c>
      <c r="G201" s="33">
        <v>0.39</v>
      </c>
      <c r="H201" s="218">
        <f t="shared" si="25"/>
        <v>53</v>
      </c>
      <c r="I201" s="38">
        <v>1</v>
      </c>
      <c r="J201" s="33"/>
      <c r="K201" s="33">
        <v>0.45</v>
      </c>
      <c r="L201" s="33"/>
      <c r="M201" s="33">
        <v>0.06</v>
      </c>
      <c r="N201" s="38">
        <f t="shared" si="33"/>
        <v>52</v>
      </c>
      <c r="O201" s="218">
        <f t="shared" si="26"/>
        <v>23</v>
      </c>
      <c r="P201" s="218">
        <f t="shared" si="27"/>
        <v>2</v>
      </c>
      <c r="Q201" s="218">
        <f t="shared" si="28"/>
        <v>27</v>
      </c>
      <c r="R201" s="33">
        <f>IF(SUM($P201)=0,"",INDEX(Cascade!$BG:$BG,MATCH($E201,Cascade!$E:$E,0)))</f>
        <v>0.95</v>
      </c>
      <c r="S201" s="218">
        <f t="shared" si="29"/>
        <v>23</v>
      </c>
      <c r="T201" s="218">
        <f t="shared" si="30"/>
        <v>2</v>
      </c>
      <c r="U201" s="38">
        <f>IFERROR(1/(1/INDEX(Cascade!$BH:$BH,MATCH($E201,Cascade!$E:$E,0))),"")</f>
        <v>479.00000000000006</v>
      </c>
      <c r="V201" s="38">
        <f t="shared" si="31"/>
        <v>2</v>
      </c>
      <c r="W201" s="38">
        <f>IFERROR(1/(1/INDEX(PMTCT!$AC:$AC,MATCH($E201,PMTCT!$E:$E,0))),"")</f>
        <v>163</v>
      </c>
      <c r="X201" s="38">
        <f>IFERROR(1/(1/INDEX(PMTCT!$AS:$AS,MATCH($E201,PMTCT!$E:$E,0))),"")</f>
        <v>62</v>
      </c>
      <c r="Y201" s="38" t="str">
        <f>IFERROR(1/(1/INDEX(VMMC!$AA:$AA,MATCH($E201,VMMC!$E:$E,0))),"")</f>
        <v/>
      </c>
      <c r="Z201" s="38">
        <f t="shared" si="32"/>
        <v>252.00000000000006</v>
      </c>
    </row>
    <row r="202" spans="1:26" x14ac:dyDescent="0.2">
      <c r="A202" t="str">
        <f>INDEX(Prioritization!$D:$D,MATCH($B202,Prioritization!$A:$A,0))</f>
        <v>INVALID</v>
      </c>
      <c r="B202" t="s">
        <v>319</v>
      </c>
      <c r="C202" t="s">
        <v>476</v>
      </c>
      <c r="D202" t="s">
        <v>48</v>
      </c>
      <c r="E202" t="str">
        <f t="shared" si="24"/>
        <v>Mulanje District [umc2n1Z4wNv]|25-34|Male</v>
      </c>
      <c r="F202" s="38">
        <v>62</v>
      </c>
      <c r="G202" s="33">
        <v>0.39</v>
      </c>
      <c r="H202" s="218">
        <f t="shared" si="25"/>
        <v>86</v>
      </c>
      <c r="I202" s="38">
        <v>2</v>
      </c>
      <c r="J202" s="33"/>
      <c r="K202" s="33">
        <v>0.45</v>
      </c>
      <c r="L202" s="33"/>
      <c r="M202" s="33">
        <v>0.06</v>
      </c>
      <c r="N202" s="38">
        <f t="shared" si="33"/>
        <v>85</v>
      </c>
      <c r="O202" s="218">
        <f t="shared" si="26"/>
        <v>38</v>
      </c>
      <c r="P202" s="218">
        <f t="shared" si="27"/>
        <v>3</v>
      </c>
      <c r="Q202" s="218">
        <f t="shared" si="28"/>
        <v>44</v>
      </c>
      <c r="R202" s="33">
        <f>IF(SUM($P202)=0,"",INDEX(Cascade!$BG:$BG,MATCH($E202,Cascade!$E:$E,0)))</f>
        <v>0.95</v>
      </c>
      <c r="S202" s="218">
        <f t="shared" si="29"/>
        <v>38</v>
      </c>
      <c r="T202" s="218">
        <f t="shared" si="30"/>
        <v>3</v>
      </c>
      <c r="U202" s="38">
        <f>IFERROR(1/(1/INDEX(Cascade!$BH:$BH,MATCH($E202,Cascade!$E:$E,0))),"")</f>
        <v>46</v>
      </c>
      <c r="V202" s="38">
        <f t="shared" si="31"/>
        <v>3</v>
      </c>
      <c r="W202" s="38" t="str">
        <f>IFERROR(1/(1/INDEX(PMTCT!$AC:$AC,MATCH($E202,PMTCT!$E:$E,0))),"")</f>
        <v/>
      </c>
      <c r="X202" s="38" t="str">
        <f>IFERROR(1/(1/INDEX(PMTCT!$AS:$AS,MATCH($E202,PMTCT!$E:$E,0))),"")</f>
        <v/>
      </c>
      <c r="Y202" s="38">
        <f>IFERROR(1/(1/INDEX(VMMC!$AA:$AA,MATCH($E202,VMMC!$E:$E,0))),"")</f>
        <v>5</v>
      </c>
      <c r="Z202" s="38">
        <f t="shared" si="32"/>
        <v>38</v>
      </c>
    </row>
    <row r="203" spans="1:26" x14ac:dyDescent="0.2">
      <c r="A203" t="str">
        <f>INDEX(Prioritization!$D:$D,MATCH($B203,Prioritization!$A:$A,0))</f>
        <v>INVALID</v>
      </c>
      <c r="B203" t="s">
        <v>319</v>
      </c>
      <c r="C203" t="s">
        <v>477</v>
      </c>
      <c r="D203" t="s">
        <v>30</v>
      </c>
      <c r="E203" t="str">
        <f t="shared" si="24"/>
        <v>Mulanje District [umc2n1Z4wNv]|35-49|Female</v>
      </c>
      <c r="F203" s="38">
        <v>57</v>
      </c>
      <c r="G203" s="33">
        <v>0.39</v>
      </c>
      <c r="H203" s="218">
        <f t="shared" si="25"/>
        <v>79</v>
      </c>
      <c r="I203" s="38">
        <v>2</v>
      </c>
      <c r="J203" s="33"/>
      <c r="K203" s="33">
        <v>0.45</v>
      </c>
      <c r="L203" s="33"/>
      <c r="M203" s="33">
        <v>0.06</v>
      </c>
      <c r="N203" s="38">
        <f t="shared" si="33"/>
        <v>78</v>
      </c>
      <c r="O203" s="218">
        <f t="shared" si="26"/>
        <v>35</v>
      </c>
      <c r="P203" s="218">
        <f t="shared" si="27"/>
        <v>3</v>
      </c>
      <c r="Q203" s="218">
        <f t="shared" si="28"/>
        <v>40</v>
      </c>
      <c r="R203" s="33">
        <f>IF(SUM($P203)=0,"",INDEX(Cascade!$BG:$BG,MATCH($E203,Cascade!$E:$E,0)))</f>
        <v>0.95</v>
      </c>
      <c r="S203" s="218">
        <f t="shared" si="29"/>
        <v>35</v>
      </c>
      <c r="T203" s="218">
        <f t="shared" si="30"/>
        <v>3</v>
      </c>
      <c r="U203" s="38">
        <f>IFERROR(1/(1/INDEX(Cascade!$BH:$BH,MATCH($E203,Cascade!$E:$E,0))),"")</f>
        <v>763</v>
      </c>
      <c r="V203" s="38">
        <f t="shared" si="31"/>
        <v>3</v>
      </c>
      <c r="W203" s="38">
        <f>IFERROR(1/(1/INDEX(PMTCT!$AC:$AC,MATCH($E203,PMTCT!$E:$E,0))),"")</f>
        <v>34</v>
      </c>
      <c r="X203" s="38">
        <f>IFERROR(1/(1/INDEX(PMTCT!$AS:$AS,MATCH($E203,PMTCT!$E:$E,0))),"")</f>
        <v>17</v>
      </c>
      <c r="Y203" s="38" t="str">
        <f>IFERROR(1/(1/INDEX(VMMC!$AA:$AA,MATCH($E203,VMMC!$E:$E,0))),"")</f>
        <v/>
      </c>
      <c r="Z203" s="38">
        <f t="shared" si="32"/>
        <v>709</v>
      </c>
    </row>
    <row r="204" spans="1:26" x14ac:dyDescent="0.2">
      <c r="A204" t="str">
        <f>INDEX(Prioritization!$D:$D,MATCH($B204,Prioritization!$A:$A,0))</f>
        <v>INVALID</v>
      </c>
      <c r="B204" t="s">
        <v>319</v>
      </c>
      <c r="C204" t="s">
        <v>477</v>
      </c>
      <c r="D204" t="s">
        <v>48</v>
      </c>
      <c r="E204" t="str">
        <f t="shared" si="24"/>
        <v>Mulanje District [umc2n1Z4wNv]|35-49|Male</v>
      </c>
      <c r="F204" s="38">
        <v>93</v>
      </c>
      <c r="G204" s="33">
        <v>0.39</v>
      </c>
      <c r="H204" s="218">
        <f t="shared" si="25"/>
        <v>129</v>
      </c>
      <c r="I204" s="38">
        <v>3</v>
      </c>
      <c r="J204" s="33"/>
      <c r="K204" s="33">
        <v>0.45</v>
      </c>
      <c r="L204" s="33"/>
      <c r="M204" s="33">
        <v>0.06</v>
      </c>
      <c r="N204" s="38">
        <f t="shared" si="33"/>
        <v>128</v>
      </c>
      <c r="O204" s="218">
        <f t="shared" si="26"/>
        <v>58</v>
      </c>
      <c r="P204" s="218">
        <f t="shared" si="27"/>
        <v>4</v>
      </c>
      <c r="Q204" s="218">
        <f t="shared" si="28"/>
        <v>66</v>
      </c>
      <c r="R204" s="33">
        <f>IF(SUM($P204)=0,"",INDEX(Cascade!$BG:$BG,MATCH($E204,Cascade!$E:$E,0)))</f>
        <v>0.95</v>
      </c>
      <c r="S204" s="218">
        <f t="shared" si="29"/>
        <v>58</v>
      </c>
      <c r="T204" s="218">
        <f t="shared" si="30"/>
        <v>4</v>
      </c>
      <c r="U204" s="38">
        <f>IFERROR(1/(1/INDEX(Cascade!$BH:$BH,MATCH($E204,Cascade!$E:$E,0))),"")</f>
        <v>956.00000000000011</v>
      </c>
      <c r="V204" s="38">
        <f t="shared" si="31"/>
        <v>4</v>
      </c>
      <c r="W204" s="38" t="str">
        <f>IFERROR(1/(1/INDEX(PMTCT!$AC:$AC,MATCH($E204,PMTCT!$E:$E,0))),"")</f>
        <v/>
      </c>
      <c r="X204" s="38" t="str">
        <f>IFERROR(1/(1/INDEX(PMTCT!$AS:$AS,MATCH($E204,PMTCT!$E:$E,0))),"")</f>
        <v/>
      </c>
      <c r="Y204" s="38">
        <f>IFERROR(1/(1/INDEX(VMMC!$AA:$AA,MATCH($E204,VMMC!$E:$E,0))),"")</f>
        <v>8</v>
      </c>
      <c r="Z204" s="38">
        <f t="shared" si="32"/>
        <v>944.00000000000023</v>
      </c>
    </row>
    <row r="205" spans="1:26" x14ac:dyDescent="0.2">
      <c r="A205" t="str">
        <f>INDEX(Prioritization!$D:$D,MATCH($B205,Prioritization!$A:$A,0))</f>
        <v>INVALID</v>
      </c>
      <c r="B205" t="s">
        <v>319</v>
      </c>
      <c r="C205" t="s">
        <v>478</v>
      </c>
      <c r="D205" t="s">
        <v>30</v>
      </c>
      <c r="E205" t="str">
        <f t="shared" si="24"/>
        <v>Mulanje District [umc2n1Z4wNv]|50+|Female</v>
      </c>
      <c r="F205" s="38">
        <v>20</v>
      </c>
      <c r="G205" s="33">
        <v>0.39</v>
      </c>
      <c r="H205" s="218">
        <f t="shared" si="25"/>
        <v>28</v>
      </c>
      <c r="I205" s="38">
        <v>1</v>
      </c>
      <c r="J205" s="33"/>
      <c r="K205" s="33">
        <v>0.45</v>
      </c>
      <c r="L205" s="33"/>
      <c r="M205" s="33">
        <v>0.06</v>
      </c>
      <c r="N205" s="38">
        <f t="shared" si="33"/>
        <v>28</v>
      </c>
      <c r="O205" s="218">
        <f t="shared" si="26"/>
        <v>13</v>
      </c>
      <c r="P205" s="218">
        <f t="shared" si="27"/>
        <v>1</v>
      </c>
      <c r="Q205" s="218">
        <f t="shared" si="28"/>
        <v>14</v>
      </c>
      <c r="R205" s="33">
        <f>IF(SUM($P205)=0,"",INDEX(Cascade!$BG:$BG,MATCH($E205,Cascade!$E:$E,0)))</f>
        <v>0.95</v>
      </c>
      <c r="S205" s="218">
        <f t="shared" si="29"/>
        <v>13</v>
      </c>
      <c r="T205" s="218">
        <f t="shared" si="30"/>
        <v>1</v>
      </c>
      <c r="U205" s="38">
        <f>IFERROR(1/(1/INDEX(Cascade!$BH:$BH,MATCH($E205,Cascade!$E:$E,0))),"")</f>
        <v>278</v>
      </c>
      <c r="V205" s="38">
        <f t="shared" si="31"/>
        <v>1</v>
      </c>
      <c r="W205" s="38" t="str">
        <f>IFERROR(1/(1/INDEX(PMTCT!$AC:$AC,MATCH($E205,PMTCT!$E:$E,0))),"")</f>
        <v/>
      </c>
      <c r="X205" s="38" t="str">
        <f>IFERROR(1/(1/INDEX(PMTCT!$AS:$AS,MATCH($E205,PMTCT!$E:$E,0))),"")</f>
        <v/>
      </c>
      <c r="Y205" s="38" t="str">
        <f>IFERROR(1/(1/INDEX(VMMC!$AA:$AA,MATCH($E205,VMMC!$E:$E,0))),"")</f>
        <v/>
      </c>
      <c r="Z205" s="38">
        <f t="shared" si="32"/>
        <v>277</v>
      </c>
    </row>
    <row r="206" spans="1:26" x14ac:dyDescent="0.2">
      <c r="A206" t="str">
        <f>INDEX(Prioritization!$D:$D,MATCH($B206,Prioritization!$A:$A,0))</f>
        <v>INVALID</v>
      </c>
      <c r="B206" t="s">
        <v>319</v>
      </c>
      <c r="C206" t="s">
        <v>478</v>
      </c>
      <c r="D206" t="s">
        <v>48</v>
      </c>
      <c r="E206" t="str">
        <f t="shared" si="24"/>
        <v>Mulanje District [umc2n1Z4wNv]|50+|Male</v>
      </c>
      <c r="F206" s="38">
        <v>31</v>
      </c>
      <c r="G206" s="33">
        <v>0.39</v>
      </c>
      <c r="H206" s="218">
        <f t="shared" si="25"/>
        <v>43</v>
      </c>
      <c r="I206" s="38">
        <v>1</v>
      </c>
      <c r="J206" s="33"/>
      <c r="K206" s="33">
        <v>0.45</v>
      </c>
      <c r="L206" s="33"/>
      <c r="M206" s="33">
        <v>0.06</v>
      </c>
      <c r="N206" s="38">
        <f t="shared" si="33"/>
        <v>43</v>
      </c>
      <c r="O206" s="218">
        <f t="shared" si="26"/>
        <v>19</v>
      </c>
      <c r="P206" s="218">
        <f t="shared" si="27"/>
        <v>1</v>
      </c>
      <c r="Q206" s="218">
        <f t="shared" si="28"/>
        <v>23</v>
      </c>
      <c r="R206" s="33">
        <f>IF(SUM($P206)=0,"",INDEX(Cascade!$BG:$BG,MATCH($E206,Cascade!$E:$E,0)))</f>
        <v>0.95</v>
      </c>
      <c r="S206" s="218">
        <f t="shared" si="29"/>
        <v>19</v>
      </c>
      <c r="T206" s="218">
        <f t="shared" si="30"/>
        <v>1</v>
      </c>
      <c r="U206" s="38">
        <f>IFERROR(1/(1/INDEX(Cascade!$BH:$BH,MATCH($E206,Cascade!$E:$E,0))),"")</f>
        <v>196.00000000000003</v>
      </c>
      <c r="V206" s="38">
        <f t="shared" si="31"/>
        <v>1</v>
      </c>
      <c r="W206" s="38" t="str">
        <f>IFERROR(1/(1/INDEX(PMTCT!$AC:$AC,MATCH($E206,PMTCT!$E:$E,0))),"")</f>
        <v/>
      </c>
      <c r="X206" s="38" t="str">
        <f>IFERROR(1/(1/INDEX(PMTCT!$AS:$AS,MATCH($E206,PMTCT!$E:$E,0))),"")</f>
        <v/>
      </c>
      <c r="Y206" s="38" t="str">
        <f>IFERROR(1/(1/INDEX(VMMC!$AA:$AA,MATCH($E206,VMMC!$E:$E,0))),"")</f>
        <v/>
      </c>
      <c r="Z206" s="38">
        <f t="shared" si="32"/>
        <v>195.00000000000003</v>
      </c>
    </row>
    <row r="207" spans="1:26" x14ac:dyDescent="0.2">
      <c r="A207" t="str">
        <f>INDEX(Prioritization!$D:$D,MATCH($B207,Prioritization!$A:$A,0))</f>
        <v>4 - Sustained</v>
      </c>
      <c r="B207" t="s">
        <v>320</v>
      </c>
      <c r="C207" t="s">
        <v>473</v>
      </c>
      <c r="D207" t="s">
        <v>30</v>
      </c>
      <c r="E207" t="str">
        <f t="shared" ref="E207:E270" si="34">B207&amp;"|"&amp;C207&amp;"|"&amp;D207</f>
        <v>Mwanza District [wNqJp8oRIcF]|01-09|Female</v>
      </c>
      <c r="F207" s="38">
        <v>6</v>
      </c>
      <c r="G207" s="33">
        <v>0.39</v>
      </c>
      <c r="H207" s="218">
        <f t="shared" ref="H207:H270" si="35">IF(SUM($F207)=0,"",ROUND($F207*(1+$G207),0))</f>
        <v>8</v>
      </c>
      <c r="I207" s="38"/>
      <c r="J207" s="33"/>
      <c r="K207" s="33">
        <v>0.45</v>
      </c>
      <c r="L207" s="33"/>
      <c r="M207" s="33">
        <v>0.06</v>
      </c>
      <c r="N207" s="38">
        <f t="shared" si="33"/>
        <v>8</v>
      </c>
      <c r="O207" s="218">
        <f t="shared" ref="O207:O270" si="36">IF(SUM($N207)=0,"",IF(AND(SUM($N207)&gt;0,$K207=""),"ENTER KNOWN POSITIVITY RATE",ROUND($N207*$K207,0)))</f>
        <v>4</v>
      </c>
      <c r="P207" s="218">
        <f t="shared" ref="P207:P270" si="37">IF(SUM($N207)=0,"",IF(AND((SUM($N207)-SUM($O207))&gt;0,$M207=""),"ENTER YIELD RATE",ROUND(($N207-SUM($O207))*$M207,0)))</f>
        <v>0</v>
      </c>
      <c r="Q207" s="218">
        <f t="shared" ref="Q207:Q270" si="38">IF(SUM($N207)=0,"",$N207-SUM($O207)-SUM($P207))</f>
        <v>4</v>
      </c>
      <c r="R207" s="33" t="str">
        <f>IF(SUM($P207)=0,"",INDEX(Cascade!$BG:$BG,MATCH($E207,Cascade!$E:$E,0)))</f>
        <v/>
      </c>
      <c r="S207" s="218">
        <f t="shared" ref="S207:S270" si="39">$O207</f>
        <v>4</v>
      </c>
      <c r="T207" s="218" t="str">
        <f t="shared" ref="T207:T270" si="40">IF(SUM($P207)=0,"",IF(AND($R207="",SUM($P207)&gt;0),"&lt;- Enter Linkage Rate",ROUND($P207*$R207,0)))</f>
        <v/>
      </c>
      <c r="U207" s="38">
        <f>IFERROR(1/(1/INDEX(Cascade!$BH:$BH,MATCH($E207,Cascade!$E:$E,0))),"")</f>
        <v>1</v>
      </c>
      <c r="V207" s="38" t="str">
        <f t="shared" ref="V207:V270" si="41">IF(SUM($P207)=0,"",$P207)</f>
        <v/>
      </c>
      <c r="W207" s="38" t="str">
        <f>IFERROR(1/(1/INDEX(PMTCT!$AC:$AC,MATCH($E207,PMTCT!$E:$E,0))),"")</f>
        <v/>
      </c>
      <c r="X207" s="38" t="str">
        <f>IFERROR(1/(1/INDEX(PMTCT!$AS:$AS,MATCH($E207,PMTCT!$E:$E,0))),"")</f>
        <v/>
      </c>
      <c r="Y207" s="38" t="str">
        <f>IFERROR(1/(1/INDEX(VMMC!$AA:$AA,MATCH($E207,VMMC!$E:$E,0))),"")</f>
        <v/>
      </c>
      <c r="Z207" s="38">
        <f t="shared" ref="Z207:Z270" si="42">IFERROR(1/(1/(SUM($U207)-SUM($V207:$Y207))),"")</f>
        <v>1</v>
      </c>
    </row>
    <row r="208" spans="1:26" x14ac:dyDescent="0.2">
      <c r="A208" t="str">
        <f>INDEX(Prioritization!$D:$D,MATCH($B208,Prioritization!$A:$A,0))</f>
        <v>4 - Sustained</v>
      </c>
      <c r="B208" t="s">
        <v>320</v>
      </c>
      <c r="C208" t="s">
        <v>473</v>
      </c>
      <c r="D208" t="s">
        <v>48</v>
      </c>
      <c r="E208" t="str">
        <f t="shared" si="34"/>
        <v>Mwanza District [wNqJp8oRIcF]|01-09|Male</v>
      </c>
      <c r="F208" s="38">
        <v>6</v>
      </c>
      <c r="G208" s="33">
        <v>0.39</v>
      </c>
      <c r="H208" s="218">
        <f t="shared" si="35"/>
        <v>8</v>
      </c>
      <c r="I208" s="38"/>
      <c r="J208" s="33"/>
      <c r="K208" s="33">
        <v>0.45</v>
      </c>
      <c r="L208" s="33"/>
      <c r="M208" s="33">
        <v>0.06</v>
      </c>
      <c r="N208" s="38">
        <f t="shared" si="33"/>
        <v>8</v>
      </c>
      <c r="O208" s="218">
        <f t="shared" si="36"/>
        <v>4</v>
      </c>
      <c r="P208" s="218">
        <f t="shared" si="37"/>
        <v>0</v>
      </c>
      <c r="Q208" s="218">
        <f t="shared" si="38"/>
        <v>4</v>
      </c>
      <c r="R208" s="33" t="str">
        <f>IF(SUM($P208)=0,"",INDEX(Cascade!$BG:$BG,MATCH($E208,Cascade!$E:$E,0)))</f>
        <v/>
      </c>
      <c r="S208" s="218">
        <f t="shared" si="39"/>
        <v>4</v>
      </c>
      <c r="T208" s="218" t="str">
        <f t="shared" si="40"/>
        <v/>
      </c>
      <c r="U208" s="38">
        <f>IFERROR(1/(1/INDEX(Cascade!$BH:$BH,MATCH($E208,Cascade!$E:$E,0))),"")</f>
        <v>1</v>
      </c>
      <c r="V208" s="38" t="str">
        <f t="shared" si="41"/>
        <v/>
      </c>
      <c r="W208" s="38" t="str">
        <f>IFERROR(1/(1/INDEX(PMTCT!$AC:$AC,MATCH($E208,PMTCT!$E:$E,0))),"")</f>
        <v/>
      </c>
      <c r="X208" s="38" t="str">
        <f>IFERROR(1/(1/INDEX(PMTCT!$AS:$AS,MATCH($E208,PMTCT!$E:$E,0))),"")</f>
        <v/>
      </c>
      <c r="Y208" s="38" t="str">
        <f>IFERROR(1/(1/INDEX(VMMC!$AA:$AA,MATCH($E208,VMMC!$E:$E,0))),"")</f>
        <v/>
      </c>
      <c r="Z208" s="38">
        <f t="shared" si="42"/>
        <v>1</v>
      </c>
    </row>
    <row r="209" spans="1:26" x14ac:dyDescent="0.2">
      <c r="A209" t="str">
        <f>INDEX(Prioritization!$D:$D,MATCH($B209,Prioritization!$A:$A,0))</f>
        <v>4 - Sustained</v>
      </c>
      <c r="B209" t="s">
        <v>320</v>
      </c>
      <c r="C209" t="s">
        <v>474</v>
      </c>
      <c r="D209" t="s">
        <v>30</v>
      </c>
      <c r="E209" t="str">
        <f t="shared" si="34"/>
        <v>Mwanza District [wNqJp8oRIcF]|10-14|Female</v>
      </c>
      <c r="F209" s="38">
        <v>3</v>
      </c>
      <c r="G209" s="33">
        <v>0.39</v>
      </c>
      <c r="H209" s="218">
        <f t="shared" si="35"/>
        <v>4</v>
      </c>
      <c r="I209" s="38"/>
      <c r="J209" s="33"/>
      <c r="K209" s="33">
        <v>0.45</v>
      </c>
      <c r="L209" s="33"/>
      <c r="M209" s="33">
        <v>0.06</v>
      </c>
      <c r="N209" s="38">
        <f t="shared" si="33"/>
        <v>4</v>
      </c>
      <c r="O209" s="218">
        <f t="shared" si="36"/>
        <v>2</v>
      </c>
      <c r="P209" s="218">
        <f t="shared" si="37"/>
        <v>0</v>
      </c>
      <c r="Q209" s="218">
        <f t="shared" si="38"/>
        <v>2</v>
      </c>
      <c r="R209" s="33" t="str">
        <f>IF(SUM($P209)=0,"",INDEX(Cascade!$BG:$BG,MATCH($E209,Cascade!$E:$E,0)))</f>
        <v/>
      </c>
      <c r="S209" s="218">
        <f t="shared" si="39"/>
        <v>2</v>
      </c>
      <c r="T209" s="218" t="str">
        <f t="shared" si="40"/>
        <v/>
      </c>
      <c r="U209" s="38">
        <f>IFERROR(1/(1/INDEX(Cascade!$BH:$BH,MATCH($E209,Cascade!$E:$E,0))),"")</f>
        <v>14</v>
      </c>
      <c r="V209" s="38" t="str">
        <f t="shared" si="41"/>
        <v/>
      </c>
      <c r="W209" s="38" t="str">
        <f>IFERROR(1/(1/INDEX(PMTCT!$AC:$AC,MATCH($E209,PMTCT!$E:$E,0))),"")</f>
        <v/>
      </c>
      <c r="X209" s="38" t="str">
        <f>IFERROR(1/(1/INDEX(PMTCT!$AS:$AS,MATCH($E209,PMTCT!$E:$E,0))),"")</f>
        <v/>
      </c>
      <c r="Y209" s="38" t="str">
        <f>IFERROR(1/(1/INDEX(VMMC!$AA:$AA,MATCH($E209,VMMC!$E:$E,0))),"")</f>
        <v/>
      </c>
      <c r="Z209" s="38">
        <f t="shared" si="42"/>
        <v>14</v>
      </c>
    </row>
    <row r="210" spans="1:26" x14ac:dyDescent="0.2">
      <c r="A210" t="str">
        <f>INDEX(Prioritization!$D:$D,MATCH($B210,Prioritization!$A:$A,0))</f>
        <v>4 - Sustained</v>
      </c>
      <c r="B210" t="s">
        <v>320</v>
      </c>
      <c r="C210" t="s">
        <v>474</v>
      </c>
      <c r="D210" t="s">
        <v>48</v>
      </c>
      <c r="E210" t="str">
        <f t="shared" si="34"/>
        <v>Mwanza District [wNqJp8oRIcF]|10-14|Male</v>
      </c>
      <c r="F210" s="38">
        <v>3</v>
      </c>
      <c r="G210" s="33">
        <v>0.39</v>
      </c>
      <c r="H210" s="218">
        <f t="shared" si="35"/>
        <v>4</v>
      </c>
      <c r="I210" s="38"/>
      <c r="J210" s="33"/>
      <c r="K210" s="33">
        <v>0.45</v>
      </c>
      <c r="L210" s="33"/>
      <c r="M210" s="33">
        <v>0.06</v>
      </c>
      <c r="N210" s="38">
        <f t="shared" si="33"/>
        <v>4</v>
      </c>
      <c r="O210" s="218">
        <f t="shared" si="36"/>
        <v>2</v>
      </c>
      <c r="P210" s="218">
        <f t="shared" si="37"/>
        <v>0</v>
      </c>
      <c r="Q210" s="218">
        <f t="shared" si="38"/>
        <v>2</v>
      </c>
      <c r="R210" s="33" t="str">
        <f>IF(SUM($P210)=0,"",INDEX(Cascade!$BG:$BG,MATCH($E210,Cascade!$E:$E,0)))</f>
        <v/>
      </c>
      <c r="S210" s="218">
        <f t="shared" si="39"/>
        <v>2</v>
      </c>
      <c r="T210" s="218" t="str">
        <f t="shared" si="40"/>
        <v/>
      </c>
      <c r="U210" s="38">
        <f>IFERROR(1/(1/INDEX(Cascade!$BH:$BH,MATCH($E210,Cascade!$E:$E,0))),"")</f>
        <v>2</v>
      </c>
      <c r="V210" s="38" t="str">
        <f t="shared" si="41"/>
        <v/>
      </c>
      <c r="W210" s="38" t="str">
        <f>IFERROR(1/(1/INDEX(PMTCT!$AC:$AC,MATCH($E210,PMTCT!$E:$E,0))),"")</f>
        <v/>
      </c>
      <c r="X210" s="38" t="str">
        <f>IFERROR(1/(1/INDEX(PMTCT!$AS:$AS,MATCH($E210,PMTCT!$E:$E,0))),"")</f>
        <v/>
      </c>
      <c r="Y210" s="38" t="str">
        <f>IFERROR(1/(1/INDEX(VMMC!$AA:$AA,MATCH($E210,VMMC!$E:$E,0))),"")</f>
        <v/>
      </c>
      <c r="Z210" s="38">
        <f t="shared" si="42"/>
        <v>2</v>
      </c>
    </row>
    <row r="211" spans="1:26" x14ac:dyDescent="0.2">
      <c r="A211" t="str">
        <f>INDEX(Prioritization!$D:$D,MATCH($B211,Prioritization!$A:$A,0))</f>
        <v>4 - Sustained</v>
      </c>
      <c r="B211" t="s">
        <v>320</v>
      </c>
      <c r="C211" t="s">
        <v>475</v>
      </c>
      <c r="D211" t="s">
        <v>30</v>
      </c>
      <c r="E211" t="str">
        <f t="shared" si="34"/>
        <v>Mwanza District [wNqJp8oRIcF]|15-24|Female</v>
      </c>
      <c r="F211" s="38">
        <v>22</v>
      </c>
      <c r="G211" s="33">
        <v>0.39</v>
      </c>
      <c r="H211" s="218">
        <f t="shared" si="35"/>
        <v>31</v>
      </c>
      <c r="I211" s="38">
        <v>1</v>
      </c>
      <c r="J211" s="33"/>
      <c r="K211" s="33">
        <v>0.45</v>
      </c>
      <c r="L211" s="33"/>
      <c r="M211" s="33">
        <v>0.06</v>
      </c>
      <c r="N211" s="38">
        <f t="shared" si="33"/>
        <v>31</v>
      </c>
      <c r="O211" s="218">
        <f t="shared" si="36"/>
        <v>14</v>
      </c>
      <c r="P211" s="218">
        <f t="shared" si="37"/>
        <v>1</v>
      </c>
      <c r="Q211" s="218">
        <f t="shared" si="38"/>
        <v>16</v>
      </c>
      <c r="R211" s="33">
        <f>IF(SUM($P211)=0,"",INDEX(Cascade!$BG:$BG,MATCH($E211,Cascade!$E:$E,0)))</f>
        <v>0.95</v>
      </c>
      <c r="S211" s="218">
        <f t="shared" si="39"/>
        <v>14</v>
      </c>
      <c r="T211" s="218">
        <f t="shared" si="40"/>
        <v>1</v>
      </c>
      <c r="U211" s="38">
        <f>IFERROR(1/(1/INDEX(Cascade!$BH:$BH,MATCH($E211,Cascade!$E:$E,0))),"")</f>
        <v>54</v>
      </c>
      <c r="V211" s="38">
        <f t="shared" si="41"/>
        <v>1</v>
      </c>
      <c r="W211" s="38">
        <f>IFERROR(1/(1/INDEX(PMTCT!$AC:$AC,MATCH($E211,PMTCT!$E:$E,0))),"")</f>
        <v>18</v>
      </c>
      <c r="X211" s="38">
        <f>IFERROR(1/(1/INDEX(PMTCT!$AS:$AS,MATCH($E211,PMTCT!$E:$E,0))),"")</f>
        <v>14</v>
      </c>
      <c r="Y211" s="38" t="str">
        <f>IFERROR(1/(1/INDEX(VMMC!$AA:$AA,MATCH($E211,VMMC!$E:$E,0))),"")</f>
        <v/>
      </c>
      <c r="Z211" s="38">
        <f t="shared" si="42"/>
        <v>21</v>
      </c>
    </row>
    <row r="212" spans="1:26" x14ac:dyDescent="0.2">
      <c r="A212" t="str">
        <f>INDEX(Prioritization!$D:$D,MATCH($B212,Prioritization!$A:$A,0))</f>
        <v>4 - Sustained</v>
      </c>
      <c r="B212" t="s">
        <v>320</v>
      </c>
      <c r="C212" t="s">
        <v>475</v>
      </c>
      <c r="D212" t="s">
        <v>48</v>
      </c>
      <c r="E212" t="str">
        <f t="shared" si="34"/>
        <v>Mwanza District [wNqJp8oRIcF]|15-24|Male</v>
      </c>
      <c r="F212" s="38">
        <v>36</v>
      </c>
      <c r="G212" s="33">
        <v>0.39</v>
      </c>
      <c r="H212" s="218">
        <f t="shared" si="35"/>
        <v>50</v>
      </c>
      <c r="I212" s="38">
        <v>1</v>
      </c>
      <c r="J212" s="33"/>
      <c r="K212" s="33">
        <v>0.45</v>
      </c>
      <c r="L212" s="33"/>
      <c r="M212" s="33">
        <v>0.06</v>
      </c>
      <c r="N212" s="38">
        <f t="shared" si="33"/>
        <v>50</v>
      </c>
      <c r="O212" s="218">
        <f t="shared" si="36"/>
        <v>23</v>
      </c>
      <c r="P212" s="218">
        <f t="shared" si="37"/>
        <v>2</v>
      </c>
      <c r="Q212" s="218">
        <f t="shared" si="38"/>
        <v>25</v>
      </c>
      <c r="R212" s="33">
        <f>IF(SUM($P212)=0,"",INDEX(Cascade!$BG:$BG,MATCH($E212,Cascade!$E:$E,0)))</f>
        <v>0.95</v>
      </c>
      <c r="S212" s="218">
        <f t="shared" si="39"/>
        <v>23</v>
      </c>
      <c r="T212" s="218">
        <f t="shared" si="40"/>
        <v>2</v>
      </c>
      <c r="U212" s="38">
        <f>IFERROR(1/(1/INDEX(Cascade!$BH:$BH,MATCH($E212,Cascade!$E:$E,0))),"")</f>
        <v>44</v>
      </c>
      <c r="V212" s="38">
        <f t="shared" si="41"/>
        <v>2</v>
      </c>
      <c r="W212" s="38" t="str">
        <f>IFERROR(1/(1/INDEX(PMTCT!$AC:$AC,MATCH($E212,PMTCT!$E:$E,0))),"")</f>
        <v/>
      </c>
      <c r="X212" s="38" t="str">
        <f>IFERROR(1/(1/INDEX(PMTCT!$AS:$AS,MATCH($E212,PMTCT!$E:$E,0))),"")</f>
        <v/>
      </c>
      <c r="Y212" s="38" t="str">
        <f>IFERROR(1/(1/INDEX(VMMC!$AA:$AA,MATCH($E212,VMMC!$E:$E,0))),"")</f>
        <v/>
      </c>
      <c r="Z212" s="38">
        <f t="shared" si="42"/>
        <v>42</v>
      </c>
    </row>
    <row r="213" spans="1:26" x14ac:dyDescent="0.2">
      <c r="A213" t="str">
        <f>INDEX(Prioritization!$D:$D,MATCH($B213,Prioritization!$A:$A,0))</f>
        <v>4 - Sustained</v>
      </c>
      <c r="B213" t="s">
        <v>320</v>
      </c>
      <c r="C213" t="s">
        <v>476</v>
      </c>
      <c r="D213" t="s">
        <v>30</v>
      </c>
      <c r="E213" t="str">
        <f t="shared" si="34"/>
        <v>Mwanza District [wNqJp8oRIcF]|25-34|Female</v>
      </c>
      <c r="F213" s="38">
        <v>22</v>
      </c>
      <c r="G213" s="33">
        <v>0.39</v>
      </c>
      <c r="H213" s="218">
        <f t="shared" si="35"/>
        <v>31</v>
      </c>
      <c r="I213" s="38">
        <v>1</v>
      </c>
      <c r="J213" s="33"/>
      <c r="K213" s="33">
        <v>0.45</v>
      </c>
      <c r="L213" s="33"/>
      <c r="M213" s="33">
        <v>0.06</v>
      </c>
      <c r="N213" s="38">
        <f t="shared" si="33"/>
        <v>31</v>
      </c>
      <c r="O213" s="218">
        <f t="shared" si="36"/>
        <v>14</v>
      </c>
      <c r="P213" s="218">
        <f t="shared" si="37"/>
        <v>1</v>
      </c>
      <c r="Q213" s="218">
        <f t="shared" si="38"/>
        <v>16</v>
      </c>
      <c r="R213" s="33">
        <f>IF(SUM($P213)=0,"",INDEX(Cascade!$BG:$BG,MATCH($E213,Cascade!$E:$E,0)))</f>
        <v>0.95</v>
      </c>
      <c r="S213" s="218">
        <f t="shared" si="39"/>
        <v>14</v>
      </c>
      <c r="T213" s="218">
        <f t="shared" si="40"/>
        <v>1</v>
      </c>
      <c r="U213" s="38">
        <f>IFERROR(1/(1/INDEX(Cascade!$BH:$BH,MATCH($E213,Cascade!$E:$E,0))),"")</f>
        <v>94</v>
      </c>
      <c r="V213" s="38">
        <f t="shared" si="41"/>
        <v>1</v>
      </c>
      <c r="W213" s="38">
        <f>IFERROR(1/(1/INDEX(PMTCT!$AC:$AC,MATCH($E213,PMTCT!$E:$E,0))),"")</f>
        <v>21</v>
      </c>
      <c r="X213" s="38">
        <f>IFERROR(1/(1/INDEX(PMTCT!$AS:$AS,MATCH($E213,PMTCT!$E:$E,0))),"")</f>
        <v>8</v>
      </c>
      <c r="Y213" s="38" t="str">
        <f>IFERROR(1/(1/INDEX(VMMC!$AA:$AA,MATCH($E213,VMMC!$E:$E,0))),"")</f>
        <v/>
      </c>
      <c r="Z213" s="38">
        <f t="shared" si="42"/>
        <v>64</v>
      </c>
    </row>
    <row r="214" spans="1:26" x14ac:dyDescent="0.2">
      <c r="A214" t="str">
        <f>INDEX(Prioritization!$D:$D,MATCH($B214,Prioritization!$A:$A,0))</f>
        <v>4 - Sustained</v>
      </c>
      <c r="B214" t="s">
        <v>320</v>
      </c>
      <c r="C214" t="s">
        <v>476</v>
      </c>
      <c r="D214" t="s">
        <v>48</v>
      </c>
      <c r="E214" t="str">
        <f t="shared" si="34"/>
        <v>Mwanza District [wNqJp8oRIcF]|25-34|Male</v>
      </c>
      <c r="F214" s="38">
        <v>36</v>
      </c>
      <c r="G214" s="33">
        <v>0.39</v>
      </c>
      <c r="H214" s="218">
        <f t="shared" si="35"/>
        <v>50</v>
      </c>
      <c r="I214" s="38">
        <v>1</v>
      </c>
      <c r="J214" s="33"/>
      <c r="K214" s="33">
        <v>0.45</v>
      </c>
      <c r="L214" s="33"/>
      <c r="M214" s="33">
        <v>0.06</v>
      </c>
      <c r="N214" s="38">
        <f t="shared" si="33"/>
        <v>50</v>
      </c>
      <c r="O214" s="218">
        <f t="shared" si="36"/>
        <v>23</v>
      </c>
      <c r="P214" s="218">
        <f t="shared" si="37"/>
        <v>2</v>
      </c>
      <c r="Q214" s="218">
        <f t="shared" si="38"/>
        <v>25</v>
      </c>
      <c r="R214" s="33">
        <f>IF(SUM($P214)=0,"",INDEX(Cascade!$BG:$BG,MATCH($E214,Cascade!$E:$E,0)))</f>
        <v>0.95</v>
      </c>
      <c r="S214" s="218">
        <f t="shared" si="39"/>
        <v>23</v>
      </c>
      <c r="T214" s="218">
        <f t="shared" si="40"/>
        <v>2</v>
      </c>
      <c r="U214" s="38">
        <f>IFERROR(1/(1/INDEX(Cascade!$BH:$BH,MATCH($E214,Cascade!$E:$E,0))),"")</f>
        <v>46</v>
      </c>
      <c r="V214" s="38">
        <f t="shared" si="41"/>
        <v>2</v>
      </c>
      <c r="W214" s="38" t="str">
        <f>IFERROR(1/(1/INDEX(PMTCT!$AC:$AC,MATCH($E214,PMTCT!$E:$E,0))),"")</f>
        <v/>
      </c>
      <c r="X214" s="38" t="str">
        <f>IFERROR(1/(1/INDEX(PMTCT!$AS:$AS,MATCH($E214,PMTCT!$E:$E,0))),"")</f>
        <v/>
      </c>
      <c r="Y214" s="38" t="str">
        <f>IFERROR(1/(1/INDEX(VMMC!$AA:$AA,MATCH($E214,VMMC!$E:$E,0))),"")</f>
        <v/>
      </c>
      <c r="Z214" s="38">
        <f t="shared" si="42"/>
        <v>44</v>
      </c>
    </row>
    <row r="215" spans="1:26" x14ac:dyDescent="0.2">
      <c r="A215" t="str">
        <f>INDEX(Prioritization!$D:$D,MATCH($B215,Prioritization!$A:$A,0))</f>
        <v>4 - Sustained</v>
      </c>
      <c r="B215" t="s">
        <v>320</v>
      </c>
      <c r="C215" t="s">
        <v>477</v>
      </c>
      <c r="D215" t="s">
        <v>30</v>
      </c>
      <c r="E215" t="str">
        <f t="shared" si="34"/>
        <v>Mwanza District [wNqJp8oRIcF]|35-49|Female</v>
      </c>
      <c r="F215" s="38">
        <v>33</v>
      </c>
      <c r="G215" s="33">
        <v>0.39</v>
      </c>
      <c r="H215" s="218">
        <f t="shared" si="35"/>
        <v>46</v>
      </c>
      <c r="I215" s="38">
        <v>1</v>
      </c>
      <c r="J215" s="33"/>
      <c r="K215" s="33">
        <v>0.45</v>
      </c>
      <c r="L215" s="33"/>
      <c r="M215" s="33">
        <v>0.06</v>
      </c>
      <c r="N215" s="38">
        <f t="shared" si="33"/>
        <v>46</v>
      </c>
      <c r="O215" s="218">
        <f t="shared" si="36"/>
        <v>21</v>
      </c>
      <c r="P215" s="218">
        <f t="shared" si="37"/>
        <v>2</v>
      </c>
      <c r="Q215" s="218">
        <f t="shared" si="38"/>
        <v>23</v>
      </c>
      <c r="R215" s="33">
        <f>IF(SUM($P215)=0,"",INDEX(Cascade!$BG:$BG,MATCH($E215,Cascade!$E:$E,0)))</f>
        <v>0.95</v>
      </c>
      <c r="S215" s="218">
        <f t="shared" si="39"/>
        <v>21</v>
      </c>
      <c r="T215" s="218">
        <f t="shared" si="40"/>
        <v>2</v>
      </c>
      <c r="U215" s="38">
        <f>IFERROR(1/(1/INDEX(Cascade!$BH:$BH,MATCH($E215,Cascade!$E:$E,0))),"")</f>
        <v>127</v>
      </c>
      <c r="V215" s="38">
        <f t="shared" si="41"/>
        <v>2</v>
      </c>
      <c r="W215" s="38">
        <f>IFERROR(1/(1/INDEX(PMTCT!$AC:$AC,MATCH($E215,PMTCT!$E:$E,0))),"")</f>
        <v>5</v>
      </c>
      <c r="X215" s="38">
        <f>IFERROR(1/(1/INDEX(PMTCT!$AS:$AS,MATCH($E215,PMTCT!$E:$E,0))),"")</f>
        <v>2</v>
      </c>
      <c r="Y215" s="38" t="str">
        <f>IFERROR(1/(1/INDEX(VMMC!$AA:$AA,MATCH($E215,VMMC!$E:$E,0))),"")</f>
        <v/>
      </c>
      <c r="Z215" s="38">
        <f t="shared" si="42"/>
        <v>118</v>
      </c>
    </row>
    <row r="216" spans="1:26" x14ac:dyDescent="0.2">
      <c r="A216" t="str">
        <f>INDEX(Prioritization!$D:$D,MATCH($B216,Prioritization!$A:$A,0))</f>
        <v>4 - Sustained</v>
      </c>
      <c r="B216" t="s">
        <v>320</v>
      </c>
      <c r="C216" t="s">
        <v>477</v>
      </c>
      <c r="D216" t="s">
        <v>48</v>
      </c>
      <c r="E216" t="str">
        <f t="shared" si="34"/>
        <v>Mwanza District [wNqJp8oRIcF]|35-49|Male</v>
      </c>
      <c r="F216" s="38">
        <v>54</v>
      </c>
      <c r="G216" s="33">
        <v>0.39</v>
      </c>
      <c r="H216" s="218">
        <f t="shared" si="35"/>
        <v>75</v>
      </c>
      <c r="I216" s="38">
        <v>2</v>
      </c>
      <c r="J216" s="33"/>
      <c r="K216" s="33">
        <v>0.45</v>
      </c>
      <c r="L216" s="33"/>
      <c r="M216" s="33">
        <v>0.06</v>
      </c>
      <c r="N216" s="38">
        <f t="shared" si="33"/>
        <v>74</v>
      </c>
      <c r="O216" s="218">
        <f t="shared" si="36"/>
        <v>33</v>
      </c>
      <c r="P216" s="218">
        <f t="shared" si="37"/>
        <v>2</v>
      </c>
      <c r="Q216" s="218">
        <f t="shared" si="38"/>
        <v>39</v>
      </c>
      <c r="R216" s="33">
        <f>IF(SUM($P216)=0,"",INDEX(Cascade!$BG:$BG,MATCH($E216,Cascade!$E:$E,0)))</f>
        <v>0.95</v>
      </c>
      <c r="S216" s="218">
        <f t="shared" si="39"/>
        <v>33</v>
      </c>
      <c r="T216" s="218">
        <f t="shared" si="40"/>
        <v>2</v>
      </c>
      <c r="U216" s="38">
        <f>IFERROR(1/(1/INDEX(Cascade!$BH:$BH,MATCH($E216,Cascade!$E:$E,0))),"")</f>
        <v>164</v>
      </c>
      <c r="V216" s="38">
        <f t="shared" si="41"/>
        <v>2</v>
      </c>
      <c r="W216" s="38" t="str">
        <f>IFERROR(1/(1/INDEX(PMTCT!$AC:$AC,MATCH($E216,PMTCT!$E:$E,0))),"")</f>
        <v/>
      </c>
      <c r="X216" s="38" t="str">
        <f>IFERROR(1/(1/INDEX(PMTCT!$AS:$AS,MATCH($E216,PMTCT!$E:$E,0))),"")</f>
        <v/>
      </c>
      <c r="Y216" s="38" t="str">
        <f>IFERROR(1/(1/INDEX(VMMC!$AA:$AA,MATCH($E216,VMMC!$E:$E,0))),"")</f>
        <v/>
      </c>
      <c r="Z216" s="38">
        <f t="shared" si="42"/>
        <v>162</v>
      </c>
    </row>
    <row r="217" spans="1:26" x14ac:dyDescent="0.2">
      <c r="A217" t="str">
        <f>INDEX(Prioritization!$D:$D,MATCH($B217,Prioritization!$A:$A,0))</f>
        <v>4 - Sustained</v>
      </c>
      <c r="B217" t="s">
        <v>320</v>
      </c>
      <c r="C217" t="s">
        <v>478</v>
      </c>
      <c r="D217" t="s">
        <v>30</v>
      </c>
      <c r="E217" t="str">
        <f t="shared" si="34"/>
        <v>Mwanza District [wNqJp8oRIcF]|50+|Female</v>
      </c>
      <c r="F217" s="38">
        <v>11</v>
      </c>
      <c r="G217" s="33">
        <v>0.39</v>
      </c>
      <c r="H217" s="218">
        <f t="shared" si="35"/>
        <v>15</v>
      </c>
      <c r="I217" s="38"/>
      <c r="J217" s="33"/>
      <c r="K217" s="33">
        <v>0.45</v>
      </c>
      <c r="L217" s="33"/>
      <c r="M217" s="33">
        <v>0.06</v>
      </c>
      <c r="N217" s="38">
        <f t="shared" si="33"/>
        <v>15</v>
      </c>
      <c r="O217" s="218">
        <f t="shared" si="36"/>
        <v>7</v>
      </c>
      <c r="P217" s="218">
        <f t="shared" si="37"/>
        <v>0</v>
      </c>
      <c r="Q217" s="218">
        <f t="shared" si="38"/>
        <v>8</v>
      </c>
      <c r="R217" s="33" t="str">
        <f>IF(SUM($P217)=0,"",INDEX(Cascade!$BG:$BG,MATCH($E217,Cascade!$E:$E,0)))</f>
        <v/>
      </c>
      <c r="S217" s="218">
        <f t="shared" si="39"/>
        <v>7</v>
      </c>
      <c r="T217" s="218" t="str">
        <f t="shared" si="40"/>
        <v/>
      </c>
      <c r="U217" s="38">
        <f>IFERROR(1/(1/INDEX(Cascade!$BH:$BH,MATCH($E217,Cascade!$E:$E,0))),"")</f>
        <v>41</v>
      </c>
      <c r="V217" s="38" t="str">
        <f t="shared" si="41"/>
        <v/>
      </c>
      <c r="W217" s="38" t="str">
        <f>IFERROR(1/(1/INDEX(PMTCT!$AC:$AC,MATCH($E217,PMTCT!$E:$E,0))),"")</f>
        <v/>
      </c>
      <c r="X217" s="38" t="str">
        <f>IFERROR(1/(1/INDEX(PMTCT!$AS:$AS,MATCH($E217,PMTCT!$E:$E,0))),"")</f>
        <v/>
      </c>
      <c r="Y217" s="38" t="str">
        <f>IFERROR(1/(1/INDEX(VMMC!$AA:$AA,MATCH($E217,VMMC!$E:$E,0))),"")</f>
        <v/>
      </c>
      <c r="Z217" s="38">
        <f t="shared" si="42"/>
        <v>41</v>
      </c>
    </row>
    <row r="218" spans="1:26" x14ac:dyDescent="0.2">
      <c r="A218" t="str">
        <f>INDEX(Prioritization!$D:$D,MATCH($B218,Prioritization!$A:$A,0))</f>
        <v>4 - Sustained</v>
      </c>
      <c r="B218" t="s">
        <v>320</v>
      </c>
      <c r="C218" t="s">
        <v>478</v>
      </c>
      <c r="D218" t="s">
        <v>48</v>
      </c>
      <c r="E218" t="str">
        <f t="shared" si="34"/>
        <v>Mwanza District [wNqJp8oRIcF]|50+|Male</v>
      </c>
      <c r="F218" s="38">
        <v>18</v>
      </c>
      <c r="G218" s="33">
        <v>0.39</v>
      </c>
      <c r="H218" s="218">
        <f t="shared" si="35"/>
        <v>25</v>
      </c>
      <c r="I218" s="38">
        <v>1</v>
      </c>
      <c r="J218" s="33"/>
      <c r="K218" s="33">
        <v>0.45</v>
      </c>
      <c r="L218" s="33"/>
      <c r="M218" s="33">
        <v>0.06</v>
      </c>
      <c r="N218" s="38">
        <f t="shared" si="33"/>
        <v>25</v>
      </c>
      <c r="O218" s="218">
        <f t="shared" si="36"/>
        <v>11</v>
      </c>
      <c r="P218" s="218">
        <f t="shared" si="37"/>
        <v>1</v>
      </c>
      <c r="Q218" s="218">
        <f t="shared" si="38"/>
        <v>13</v>
      </c>
      <c r="R218" s="33">
        <f>IF(SUM($P218)=0,"",INDEX(Cascade!$BG:$BG,MATCH($E218,Cascade!$E:$E,0)))</f>
        <v>0.95</v>
      </c>
      <c r="S218" s="218">
        <f t="shared" si="39"/>
        <v>11</v>
      </c>
      <c r="T218" s="218">
        <f t="shared" si="40"/>
        <v>1</v>
      </c>
      <c r="U218" s="38">
        <f>IFERROR(1/(1/INDEX(Cascade!$BH:$BH,MATCH($E218,Cascade!$E:$E,0))),"")</f>
        <v>44</v>
      </c>
      <c r="V218" s="38">
        <f t="shared" si="41"/>
        <v>1</v>
      </c>
      <c r="W218" s="38" t="str">
        <f>IFERROR(1/(1/INDEX(PMTCT!$AC:$AC,MATCH($E218,PMTCT!$E:$E,0))),"")</f>
        <v/>
      </c>
      <c r="X218" s="38" t="str">
        <f>IFERROR(1/(1/INDEX(PMTCT!$AS:$AS,MATCH($E218,PMTCT!$E:$E,0))),"")</f>
        <v/>
      </c>
      <c r="Y218" s="38" t="str">
        <f>IFERROR(1/(1/INDEX(VMMC!$AA:$AA,MATCH($E218,VMMC!$E:$E,0))),"")</f>
        <v/>
      </c>
      <c r="Z218" s="38">
        <f t="shared" si="42"/>
        <v>43</v>
      </c>
    </row>
    <row r="219" spans="1:26" x14ac:dyDescent="0.2">
      <c r="A219" t="str">
        <f>INDEX(Prioritization!$D:$D,MATCH($B219,Prioritization!$A:$A,0))</f>
        <v>1 - Scale-up: Saturation</v>
      </c>
      <c r="B219" t="s">
        <v>310</v>
      </c>
      <c r="C219" t="s">
        <v>473</v>
      </c>
      <c r="D219" t="s">
        <v>30</v>
      </c>
      <c r="E219" t="str">
        <f t="shared" si="34"/>
        <v>Mzimba District [vA4NcHxfMBq]|01-09|Female</v>
      </c>
      <c r="F219" s="38">
        <v>24</v>
      </c>
      <c r="G219" s="33">
        <v>0.39</v>
      </c>
      <c r="H219" s="218">
        <f t="shared" si="35"/>
        <v>33</v>
      </c>
      <c r="I219" s="38">
        <v>1</v>
      </c>
      <c r="J219" s="33">
        <v>0.5</v>
      </c>
      <c r="K219" s="33">
        <v>0.45</v>
      </c>
      <c r="L219" s="33">
        <v>0.33300000000000002</v>
      </c>
      <c r="M219" s="33">
        <v>0.06</v>
      </c>
      <c r="N219" s="38">
        <f t="shared" si="33"/>
        <v>33</v>
      </c>
      <c r="O219" s="218">
        <f t="shared" si="36"/>
        <v>15</v>
      </c>
      <c r="P219" s="218">
        <f t="shared" si="37"/>
        <v>1</v>
      </c>
      <c r="Q219" s="218">
        <f t="shared" si="38"/>
        <v>17</v>
      </c>
      <c r="R219" s="33">
        <f>IF(SUM($P219)=0,"",INDEX(Cascade!$BG:$BG,MATCH($E219,Cascade!$E:$E,0)))</f>
        <v>0.95</v>
      </c>
      <c r="S219" s="218">
        <f t="shared" si="39"/>
        <v>15</v>
      </c>
      <c r="T219" s="218">
        <f t="shared" si="40"/>
        <v>1</v>
      </c>
      <c r="U219" s="38">
        <f>IFERROR(1/(1/INDEX(Cascade!$BH:$BH,MATCH($E219,Cascade!$E:$E,0))),"")</f>
        <v>8</v>
      </c>
      <c r="V219" s="38">
        <f t="shared" si="41"/>
        <v>1</v>
      </c>
      <c r="W219" s="38" t="str">
        <f>IFERROR(1/(1/INDEX(PMTCT!$AC:$AC,MATCH($E219,PMTCT!$E:$E,0))),"")</f>
        <v/>
      </c>
      <c r="X219" s="38" t="str">
        <f>IFERROR(1/(1/INDEX(PMTCT!$AS:$AS,MATCH($E219,PMTCT!$E:$E,0))),"")</f>
        <v/>
      </c>
      <c r="Y219" s="38" t="str">
        <f>IFERROR(1/(1/INDEX(VMMC!$AA:$AA,MATCH($E219,VMMC!$E:$E,0))),"")</f>
        <v/>
      </c>
      <c r="Z219" s="38">
        <f t="shared" si="42"/>
        <v>7</v>
      </c>
    </row>
    <row r="220" spans="1:26" x14ac:dyDescent="0.2">
      <c r="A220" t="str">
        <f>INDEX(Prioritization!$D:$D,MATCH($B220,Prioritization!$A:$A,0))</f>
        <v>1 - Scale-up: Saturation</v>
      </c>
      <c r="B220" t="s">
        <v>310</v>
      </c>
      <c r="C220" t="s">
        <v>473</v>
      </c>
      <c r="D220" t="s">
        <v>48</v>
      </c>
      <c r="E220" t="str">
        <f t="shared" si="34"/>
        <v>Mzimba District [vA4NcHxfMBq]|01-09|Male</v>
      </c>
      <c r="F220" s="38">
        <v>26</v>
      </c>
      <c r="G220" s="33">
        <v>0.39</v>
      </c>
      <c r="H220" s="218">
        <f t="shared" si="35"/>
        <v>36</v>
      </c>
      <c r="I220" s="38">
        <v>1</v>
      </c>
      <c r="J220" s="33">
        <v>0.35714285714285698</v>
      </c>
      <c r="K220" s="33">
        <v>0.45</v>
      </c>
      <c r="L220" s="33">
        <v>0.222</v>
      </c>
      <c r="M220" s="33">
        <v>0.06</v>
      </c>
      <c r="N220" s="38">
        <f t="shared" si="33"/>
        <v>36</v>
      </c>
      <c r="O220" s="218">
        <f t="shared" si="36"/>
        <v>16</v>
      </c>
      <c r="P220" s="218">
        <f t="shared" si="37"/>
        <v>1</v>
      </c>
      <c r="Q220" s="218">
        <f t="shared" si="38"/>
        <v>19</v>
      </c>
      <c r="R220" s="33">
        <f>IF(SUM($P220)=0,"",INDEX(Cascade!$BG:$BG,MATCH($E220,Cascade!$E:$E,0)))</f>
        <v>0.95</v>
      </c>
      <c r="S220" s="218">
        <f t="shared" si="39"/>
        <v>16</v>
      </c>
      <c r="T220" s="218">
        <f t="shared" si="40"/>
        <v>1</v>
      </c>
      <c r="U220" s="38">
        <f>IFERROR(1/(1/INDEX(Cascade!$BH:$BH,MATCH($E220,Cascade!$E:$E,0))),"")</f>
        <v>7</v>
      </c>
      <c r="V220" s="38">
        <f t="shared" si="41"/>
        <v>1</v>
      </c>
      <c r="W220" s="38" t="str">
        <f>IFERROR(1/(1/INDEX(PMTCT!$AC:$AC,MATCH($E220,PMTCT!$E:$E,0))),"")</f>
        <v/>
      </c>
      <c r="X220" s="38" t="str">
        <f>IFERROR(1/(1/INDEX(PMTCT!$AS:$AS,MATCH($E220,PMTCT!$E:$E,0))),"")</f>
        <v/>
      </c>
      <c r="Y220" s="38" t="str">
        <f>IFERROR(1/(1/INDEX(VMMC!$AA:$AA,MATCH($E220,VMMC!$E:$E,0))),"")</f>
        <v/>
      </c>
      <c r="Z220" s="38">
        <f t="shared" si="42"/>
        <v>6</v>
      </c>
    </row>
    <row r="221" spans="1:26" x14ac:dyDescent="0.2">
      <c r="A221" t="str">
        <f>INDEX(Prioritization!$D:$D,MATCH($B221,Prioritization!$A:$A,0))</f>
        <v>1 - Scale-up: Saturation</v>
      </c>
      <c r="B221" t="s">
        <v>310</v>
      </c>
      <c r="C221" t="s">
        <v>474</v>
      </c>
      <c r="D221" t="s">
        <v>30</v>
      </c>
      <c r="E221" t="str">
        <f t="shared" si="34"/>
        <v>Mzimba District [vA4NcHxfMBq]|10-14|Female</v>
      </c>
      <c r="F221" s="38">
        <v>12</v>
      </c>
      <c r="G221" s="33">
        <v>0.39</v>
      </c>
      <c r="H221" s="218">
        <f t="shared" si="35"/>
        <v>17</v>
      </c>
      <c r="I221" s="38"/>
      <c r="J221" s="33"/>
      <c r="K221" s="33">
        <v>0.45</v>
      </c>
      <c r="L221" s="33">
        <v>0.4</v>
      </c>
      <c r="M221" s="33">
        <v>0.06</v>
      </c>
      <c r="N221" s="38">
        <f t="shared" si="33"/>
        <v>17</v>
      </c>
      <c r="O221" s="218">
        <f t="shared" si="36"/>
        <v>8</v>
      </c>
      <c r="P221" s="218">
        <f t="shared" si="37"/>
        <v>1</v>
      </c>
      <c r="Q221" s="218">
        <f t="shared" si="38"/>
        <v>8</v>
      </c>
      <c r="R221" s="33">
        <f>IF(SUM($P221)=0,"",INDEX(Cascade!$BG:$BG,MATCH($E221,Cascade!$E:$E,0)))</f>
        <v>0.95</v>
      </c>
      <c r="S221" s="218">
        <f t="shared" si="39"/>
        <v>8</v>
      </c>
      <c r="T221" s="218">
        <f t="shared" si="40"/>
        <v>1</v>
      </c>
      <c r="U221" s="38">
        <f>IFERROR(1/(1/INDEX(Cascade!$BH:$BH,MATCH($E221,Cascade!$E:$E,0))),"")</f>
        <v>9</v>
      </c>
      <c r="V221" s="38">
        <f t="shared" si="41"/>
        <v>1</v>
      </c>
      <c r="W221" s="38">
        <f>IFERROR(1/(1/INDEX(PMTCT!$AC:$AC,MATCH($E221,PMTCT!$E:$E,0))),"")</f>
        <v>1</v>
      </c>
      <c r="X221" s="38" t="str">
        <f>IFERROR(1/(1/INDEX(PMTCT!$AS:$AS,MATCH($E221,PMTCT!$E:$E,0))),"")</f>
        <v/>
      </c>
      <c r="Y221" s="38" t="str">
        <f>IFERROR(1/(1/INDEX(VMMC!$AA:$AA,MATCH($E221,VMMC!$E:$E,0))),"")</f>
        <v/>
      </c>
      <c r="Z221" s="38">
        <f t="shared" si="42"/>
        <v>7</v>
      </c>
    </row>
    <row r="222" spans="1:26" x14ac:dyDescent="0.2">
      <c r="A222" t="str">
        <f>INDEX(Prioritization!$D:$D,MATCH($B222,Prioritization!$A:$A,0))</f>
        <v>1 - Scale-up: Saturation</v>
      </c>
      <c r="B222" t="s">
        <v>310</v>
      </c>
      <c r="C222" t="s">
        <v>474</v>
      </c>
      <c r="D222" t="s">
        <v>48</v>
      </c>
      <c r="E222" t="str">
        <f t="shared" si="34"/>
        <v>Mzimba District [vA4NcHxfMBq]|10-14|Male</v>
      </c>
      <c r="F222" s="38">
        <v>13</v>
      </c>
      <c r="G222" s="33">
        <v>0.39</v>
      </c>
      <c r="H222" s="218">
        <f t="shared" si="35"/>
        <v>18</v>
      </c>
      <c r="I222" s="38"/>
      <c r="J222" s="33">
        <v>0.5</v>
      </c>
      <c r="K222" s="33">
        <v>0.45</v>
      </c>
      <c r="L222" s="33"/>
      <c r="M222" s="33">
        <v>0.06</v>
      </c>
      <c r="N222" s="38">
        <f t="shared" si="33"/>
        <v>18</v>
      </c>
      <c r="O222" s="218">
        <f t="shared" si="36"/>
        <v>8</v>
      </c>
      <c r="P222" s="218">
        <f t="shared" si="37"/>
        <v>1</v>
      </c>
      <c r="Q222" s="218">
        <f t="shared" si="38"/>
        <v>9</v>
      </c>
      <c r="R222" s="33">
        <f>IF(SUM($P222)=0,"",INDEX(Cascade!$BG:$BG,MATCH($E222,Cascade!$E:$E,0)))</f>
        <v>0.95</v>
      </c>
      <c r="S222" s="218">
        <f t="shared" si="39"/>
        <v>8</v>
      </c>
      <c r="T222" s="218">
        <f t="shared" si="40"/>
        <v>1</v>
      </c>
      <c r="U222" s="38">
        <f>IFERROR(1/(1/INDEX(Cascade!$BH:$BH,MATCH($E222,Cascade!$E:$E,0))),"")</f>
        <v>9</v>
      </c>
      <c r="V222" s="38">
        <f t="shared" si="41"/>
        <v>1</v>
      </c>
      <c r="W222" s="38" t="str">
        <f>IFERROR(1/(1/INDEX(PMTCT!$AC:$AC,MATCH($E222,PMTCT!$E:$E,0))),"")</f>
        <v/>
      </c>
      <c r="X222" s="38" t="str">
        <f>IFERROR(1/(1/INDEX(PMTCT!$AS:$AS,MATCH($E222,PMTCT!$E:$E,0))),"")</f>
        <v/>
      </c>
      <c r="Y222" s="38" t="str">
        <f>IFERROR(1/(1/INDEX(VMMC!$AA:$AA,MATCH($E222,VMMC!$E:$E,0))),"")</f>
        <v/>
      </c>
      <c r="Z222" s="38">
        <f t="shared" si="42"/>
        <v>8</v>
      </c>
    </row>
    <row r="223" spans="1:26" x14ac:dyDescent="0.2">
      <c r="A223" t="str">
        <f>INDEX(Prioritization!$D:$D,MATCH($B223,Prioritization!$A:$A,0))</f>
        <v>1 - Scale-up: Saturation</v>
      </c>
      <c r="B223" t="s">
        <v>310</v>
      </c>
      <c r="C223" t="s">
        <v>475</v>
      </c>
      <c r="D223" t="s">
        <v>30</v>
      </c>
      <c r="E223" t="str">
        <f t="shared" si="34"/>
        <v>Mzimba District [vA4NcHxfMBq]|15-24|Female</v>
      </c>
      <c r="F223" s="38">
        <v>91</v>
      </c>
      <c r="G223" s="33">
        <v>0.39</v>
      </c>
      <c r="H223" s="218">
        <f t="shared" si="35"/>
        <v>126</v>
      </c>
      <c r="I223" s="38">
        <v>3</v>
      </c>
      <c r="J223" s="33">
        <v>0.66666666666666696</v>
      </c>
      <c r="K223" s="33">
        <v>0.45</v>
      </c>
      <c r="L223" s="33"/>
      <c r="M223" s="33">
        <v>0.06</v>
      </c>
      <c r="N223" s="38">
        <f t="shared" si="33"/>
        <v>125</v>
      </c>
      <c r="O223" s="218">
        <f t="shared" si="36"/>
        <v>56</v>
      </c>
      <c r="P223" s="218">
        <f t="shared" si="37"/>
        <v>4</v>
      </c>
      <c r="Q223" s="218">
        <f t="shared" si="38"/>
        <v>65</v>
      </c>
      <c r="R223" s="33">
        <f>IF(SUM($P223)=0,"",INDEX(Cascade!$BG:$BG,MATCH($E223,Cascade!$E:$E,0)))</f>
        <v>0.95</v>
      </c>
      <c r="S223" s="218">
        <f t="shared" si="39"/>
        <v>56</v>
      </c>
      <c r="T223" s="218">
        <f t="shared" si="40"/>
        <v>4</v>
      </c>
      <c r="U223" s="38">
        <f>IFERROR(1/(1/INDEX(Cascade!$BH:$BH,MATCH($E223,Cascade!$E:$E,0))),"")</f>
        <v>419</v>
      </c>
      <c r="V223" s="38">
        <f t="shared" si="41"/>
        <v>4</v>
      </c>
      <c r="W223" s="38">
        <f>IFERROR(1/(1/INDEX(PMTCT!$AC:$AC,MATCH($E223,PMTCT!$E:$E,0))),"")</f>
        <v>168</v>
      </c>
      <c r="X223" s="38">
        <f>IFERROR(1/(1/INDEX(PMTCT!$AS:$AS,MATCH($E223,PMTCT!$E:$E,0))),"")</f>
        <v>92.999999999999986</v>
      </c>
      <c r="Y223" s="38" t="str">
        <f>IFERROR(1/(1/INDEX(VMMC!$AA:$AA,MATCH($E223,VMMC!$E:$E,0))),"")</f>
        <v/>
      </c>
      <c r="Z223" s="38">
        <f t="shared" si="42"/>
        <v>154</v>
      </c>
    </row>
    <row r="224" spans="1:26" x14ac:dyDescent="0.2">
      <c r="A224" t="str">
        <f>INDEX(Prioritization!$D:$D,MATCH($B224,Prioritization!$A:$A,0))</f>
        <v>1 - Scale-up: Saturation</v>
      </c>
      <c r="B224" t="s">
        <v>310</v>
      </c>
      <c r="C224" t="s">
        <v>475</v>
      </c>
      <c r="D224" t="s">
        <v>48</v>
      </c>
      <c r="E224" t="str">
        <f t="shared" si="34"/>
        <v>Mzimba District [vA4NcHxfMBq]|15-24|Male</v>
      </c>
      <c r="F224" s="38">
        <v>146</v>
      </c>
      <c r="G224" s="33">
        <v>0.39</v>
      </c>
      <c r="H224" s="218">
        <f t="shared" si="35"/>
        <v>203</v>
      </c>
      <c r="I224" s="38">
        <v>4</v>
      </c>
      <c r="J224" s="33">
        <v>0.57142857142857095</v>
      </c>
      <c r="K224" s="33">
        <v>0.45</v>
      </c>
      <c r="L224" s="33"/>
      <c r="M224" s="33">
        <v>0.06</v>
      </c>
      <c r="N224" s="38">
        <f t="shared" si="33"/>
        <v>201</v>
      </c>
      <c r="O224" s="218">
        <f t="shared" si="36"/>
        <v>90</v>
      </c>
      <c r="P224" s="218">
        <f t="shared" si="37"/>
        <v>7</v>
      </c>
      <c r="Q224" s="218">
        <f t="shared" si="38"/>
        <v>104</v>
      </c>
      <c r="R224" s="33">
        <f>IF(SUM($P224)=0,"",INDEX(Cascade!$BG:$BG,MATCH($E224,Cascade!$E:$E,0)))</f>
        <v>0.95</v>
      </c>
      <c r="S224" s="218">
        <f t="shared" si="39"/>
        <v>90</v>
      </c>
      <c r="T224" s="218">
        <f t="shared" si="40"/>
        <v>7</v>
      </c>
      <c r="U224" s="38">
        <f>IFERROR(1/(1/INDEX(Cascade!$BH:$BH,MATCH($E224,Cascade!$E:$E,0))),"")</f>
        <v>104</v>
      </c>
      <c r="V224" s="38">
        <f t="shared" si="41"/>
        <v>7</v>
      </c>
      <c r="W224" s="38" t="str">
        <f>IFERROR(1/(1/INDEX(PMTCT!$AC:$AC,MATCH($E224,PMTCT!$E:$E,0))),"")</f>
        <v/>
      </c>
      <c r="X224" s="38" t="str">
        <f>IFERROR(1/(1/INDEX(PMTCT!$AS:$AS,MATCH($E224,PMTCT!$E:$E,0))),"")</f>
        <v/>
      </c>
      <c r="Y224" s="38" t="str">
        <f>IFERROR(1/(1/INDEX(VMMC!$AA:$AA,MATCH($E224,VMMC!$E:$E,0))),"")</f>
        <v/>
      </c>
      <c r="Z224" s="38">
        <f t="shared" si="42"/>
        <v>97</v>
      </c>
    </row>
    <row r="225" spans="1:26" x14ac:dyDescent="0.2">
      <c r="A225" t="str">
        <f>INDEX(Prioritization!$D:$D,MATCH($B225,Prioritization!$A:$A,0))</f>
        <v>1 - Scale-up: Saturation</v>
      </c>
      <c r="B225" t="s">
        <v>310</v>
      </c>
      <c r="C225" t="s">
        <v>476</v>
      </c>
      <c r="D225" t="s">
        <v>30</v>
      </c>
      <c r="E225" t="str">
        <f t="shared" si="34"/>
        <v>Mzimba District [vA4NcHxfMBq]|25-34|Female</v>
      </c>
      <c r="F225" s="38">
        <v>91</v>
      </c>
      <c r="G225" s="33">
        <v>0.39</v>
      </c>
      <c r="H225" s="218">
        <f t="shared" si="35"/>
        <v>126</v>
      </c>
      <c r="I225" s="38">
        <v>3</v>
      </c>
      <c r="J225" s="33">
        <v>0.66666666666666696</v>
      </c>
      <c r="K225" s="33">
        <v>0.45</v>
      </c>
      <c r="L225" s="33">
        <v>0.33300000000000002</v>
      </c>
      <c r="M225" s="33">
        <v>0.06</v>
      </c>
      <c r="N225" s="38">
        <f t="shared" si="33"/>
        <v>125</v>
      </c>
      <c r="O225" s="218">
        <f t="shared" si="36"/>
        <v>56</v>
      </c>
      <c r="P225" s="218">
        <f t="shared" si="37"/>
        <v>4</v>
      </c>
      <c r="Q225" s="218">
        <f t="shared" si="38"/>
        <v>65</v>
      </c>
      <c r="R225" s="33">
        <f>IF(SUM($P225)=0,"",INDEX(Cascade!$BG:$BG,MATCH($E225,Cascade!$E:$E,0)))</f>
        <v>0.95</v>
      </c>
      <c r="S225" s="218">
        <f t="shared" si="39"/>
        <v>56</v>
      </c>
      <c r="T225" s="218">
        <f t="shared" si="40"/>
        <v>4</v>
      </c>
      <c r="U225" s="38">
        <f>IFERROR(1/(1/INDEX(Cascade!$BH:$BH,MATCH($E225,Cascade!$E:$E,0))),"")</f>
        <v>676</v>
      </c>
      <c r="V225" s="38">
        <f t="shared" si="41"/>
        <v>4</v>
      </c>
      <c r="W225" s="38">
        <f>IFERROR(1/(1/INDEX(PMTCT!$AC:$AC,MATCH($E225,PMTCT!$E:$E,0))),"")</f>
        <v>220</v>
      </c>
      <c r="X225" s="38">
        <f>IFERROR(1/(1/INDEX(PMTCT!$AS:$AS,MATCH($E225,PMTCT!$E:$E,0))),"")</f>
        <v>89</v>
      </c>
      <c r="Y225" s="38" t="str">
        <f>IFERROR(1/(1/INDEX(VMMC!$AA:$AA,MATCH($E225,VMMC!$E:$E,0))),"")</f>
        <v/>
      </c>
      <c r="Z225" s="38">
        <f t="shared" si="42"/>
        <v>363</v>
      </c>
    </row>
    <row r="226" spans="1:26" x14ac:dyDescent="0.2">
      <c r="A226" t="str">
        <f>INDEX(Prioritization!$D:$D,MATCH($B226,Prioritization!$A:$A,0))</f>
        <v>1 - Scale-up: Saturation</v>
      </c>
      <c r="B226" t="s">
        <v>310</v>
      </c>
      <c r="C226" t="s">
        <v>476</v>
      </c>
      <c r="D226" t="s">
        <v>48</v>
      </c>
      <c r="E226" t="str">
        <f t="shared" si="34"/>
        <v>Mzimba District [vA4NcHxfMBq]|25-34|Male</v>
      </c>
      <c r="F226" s="38">
        <v>146</v>
      </c>
      <c r="G226" s="33">
        <v>0.39</v>
      </c>
      <c r="H226" s="218">
        <f t="shared" si="35"/>
        <v>203</v>
      </c>
      <c r="I226" s="38">
        <v>4</v>
      </c>
      <c r="J226" s="33">
        <v>0.62962962962962998</v>
      </c>
      <c r="K226" s="33">
        <v>0.45</v>
      </c>
      <c r="L226" s="33">
        <v>0.2</v>
      </c>
      <c r="M226" s="33">
        <v>0.06</v>
      </c>
      <c r="N226" s="38">
        <f t="shared" si="33"/>
        <v>201</v>
      </c>
      <c r="O226" s="218">
        <f t="shared" si="36"/>
        <v>90</v>
      </c>
      <c r="P226" s="218">
        <f t="shared" si="37"/>
        <v>7</v>
      </c>
      <c r="Q226" s="218">
        <f t="shared" si="38"/>
        <v>104</v>
      </c>
      <c r="R226" s="33">
        <f>IF(SUM($P226)=0,"",INDEX(Cascade!$BG:$BG,MATCH($E226,Cascade!$E:$E,0)))</f>
        <v>0.95</v>
      </c>
      <c r="S226" s="218">
        <f t="shared" si="39"/>
        <v>90</v>
      </c>
      <c r="T226" s="218">
        <f t="shared" si="40"/>
        <v>7</v>
      </c>
      <c r="U226" s="38">
        <f>IFERROR(1/(1/INDEX(Cascade!$BH:$BH,MATCH($E226,Cascade!$E:$E,0))),"")</f>
        <v>48</v>
      </c>
      <c r="V226" s="38">
        <f t="shared" si="41"/>
        <v>7</v>
      </c>
      <c r="W226" s="38" t="str">
        <f>IFERROR(1/(1/INDEX(PMTCT!$AC:$AC,MATCH($E226,PMTCT!$E:$E,0))),"")</f>
        <v/>
      </c>
      <c r="X226" s="38" t="str">
        <f>IFERROR(1/(1/INDEX(PMTCT!$AS:$AS,MATCH($E226,PMTCT!$E:$E,0))),"")</f>
        <v/>
      </c>
      <c r="Y226" s="38" t="str">
        <f>IFERROR(1/(1/INDEX(VMMC!$AA:$AA,MATCH($E226,VMMC!$E:$E,0))),"")</f>
        <v/>
      </c>
      <c r="Z226" s="38">
        <f t="shared" si="42"/>
        <v>41</v>
      </c>
    </row>
    <row r="227" spans="1:26" x14ac:dyDescent="0.2">
      <c r="A227" t="str">
        <f>INDEX(Prioritization!$D:$D,MATCH($B227,Prioritization!$A:$A,0))</f>
        <v>1 - Scale-up: Saturation</v>
      </c>
      <c r="B227" t="s">
        <v>310</v>
      </c>
      <c r="C227" t="s">
        <v>477</v>
      </c>
      <c r="D227" t="s">
        <v>30</v>
      </c>
      <c r="E227" t="str">
        <f t="shared" si="34"/>
        <v>Mzimba District [vA4NcHxfMBq]|35-49|Female</v>
      </c>
      <c r="F227" s="38">
        <v>135</v>
      </c>
      <c r="G227" s="33">
        <v>0.39</v>
      </c>
      <c r="H227" s="218">
        <f t="shared" si="35"/>
        <v>188</v>
      </c>
      <c r="I227" s="38">
        <v>4</v>
      </c>
      <c r="J227" s="33">
        <v>0.87179487179487203</v>
      </c>
      <c r="K227" s="33">
        <v>0.45</v>
      </c>
      <c r="L227" s="33">
        <v>0.2</v>
      </c>
      <c r="M227" s="33">
        <v>0.06</v>
      </c>
      <c r="N227" s="38">
        <f t="shared" si="33"/>
        <v>186</v>
      </c>
      <c r="O227" s="218">
        <f t="shared" si="36"/>
        <v>84</v>
      </c>
      <c r="P227" s="218">
        <f t="shared" si="37"/>
        <v>6</v>
      </c>
      <c r="Q227" s="218">
        <f t="shared" si="38"/>
        <v>96</v>
      </c>
      <c r="R227" s="33">
        <f>IF(SUM($P227)=0,"",INDEX(Cascade!$BG:$BG,MATCH($E227,Cascade!$E:$E,0)))</f>
        <v>0.95</v>
      </c>
      <c r="S227" s="218">
        <f t="shared" si="39"/>
        <v>84</v>
      </c>
      <c r="T227" s="218">
        <f t="shared" si="40"/>
        <v>6</v>
      </c>
      <c r="U227" s="38">
        <f>IFERROR(1/(1/INDEX(Cascade!$BH:$BH,MATCH($E227,Cascade!$E:$E,0))),"")</f>
        <v>542</v>
      </c>
      <c r="V227" s="38">
        <f t="shared" si="41"/>
        <v>6</v>
      </c>
      <c r="W227" s="38">
        <f>IFERROR(1/(1/INDEX(PMTCT!$AC:$AC,MATCH($E227,PMTCT!$E:$E,0))),"")</f>
        <v>49.000000000000007</v>
      </c>
      <c r="X227" s="38">
        <f>IFERROR(1/(1/INDEX(PMTCT!$AS:$AS,MATCH($E227,PMTCT!$E:$E,0))),"")</f>
        <v>29</v>
      </c>
      <c r="Y227" s="38" t="str">
        <f>IFERROR(1/(1/INDEX(VMMC!$AA:$AA,MATCH($E227,VMMC!$E:$E,0))),"")</f>
        <v/>
      </c>
      <c r="Z227" s="38">
        <f t="shared" si="42"/>
        <v>458</v>
      </c>
    </row>
    <row r="228" spans="1:26" x14ac:dyDescent="0.2">
      <c r="A228" t="str">
        <f>INDEX(Prioritization!$D:$D,MATCH($B228,Prioritization!$A:$A,0))</f>
        <v>1 - Scale-up: Saturation</v>
      </c>
      <c r="B228" t="s">
        <v>310</v>
      </c>
      <c r="C228" t="s">
        <v>477</v>
      </c>
      <c r="D228" t="s">
        <v>48</v>
      </c>
      <c r="E228" t="str">
        <f t="shared" si="34"/>
        <v>Mzimba District [vA4NcHxfMBq]|35-49|Male</v>
      </c>
      <c r="F228" s="38">
        <v>220</v>
      </c>
      <c r="G228" s="33">
        <v>0.39</v>
      </c>
      <c r="H228" s="218">
        <f t="shared" si="35"/>
        <v>306</v>
      </c>
      <c r="I228" s="38">
        <v>6</v>
      </c>
      <c r="J228" s="33">
        <v>0.57777777777777795</v>
      </c>
      <c r="K228" s="33">
        <v>0.45</v>
      </c>
      <c r="L228" s="33">
        <v>0.26300000000000001</v>
      </c>
      <c r="M228" s="33">
        <v>0.06</v>
      </c>
      <c r="N228" s="38">
        <f t="shared" si="33"/>
        <v>303</v>
      </c>
      <c r="O228" s="218">
        <f t="shared" si="36"/>
        <v>136</v>
      </c>
      <c r="P228" s="218">
        <f t="shared" si="37"/>
        <v>10</v>
      </c>
      <c r="Q228" s="218">
        <f t="shared" si="38"/>
        <v>157</v>
      </c>
      <c r="R228" s="33">
        <f>IF(SUM($P228)=0,"",INDEX(Cascade!$BG:$BG,MATCH($E228,Cascade!$E:$E,0)))</f>
        <v>0.95</v>
      </c>
      <c r="S228" s="218">
        <f t="shared" si="39"/>
        <v>136</v>
      </c>
      <c r="T228" s="218">
        <f t="shared" si="40"/>
        <v>10</v>
      </c>
      <c r="U228" s="38">
        <f>IFERROR(1/(1/INDEX(Cascade!$BH:$BH,MATCH($E228,Cascade!$E:$E,0))),"")</f>
        <v>188</v>
      </c>
      <c r="V228" s="38">
        <f t="shared" si="41"/>
        <v>10</v>
      </c>
      <c r="W228" s="38" t="str">
        <f>IFERROR(1/(1/INDEX(PMTCT!$AC:$AC,MATCH($E228,PMTCT!$E:$E,0))),"")</f>
        <v/>
      </c>
      <c r="X228" s="38" t="str">
        <f>IFERROR(1/(1/INDEX(PMTCT!$AS:$AS,MATCH($E228,PMTCT!$E:$E,0))),"")</f>
        <v/>
      </c>
      <c r="Y228" s="38" t="str">
        <f>IFERROR(1/(1/INDEX(VMMC!$AA:$AA,MATCH($E228,VMMC!$E:$E,0))),"")</f>
        <v/>
      </c>
      <c r="Z228" s="38">
        <f t="shared" si="42"/>
        <v>178</v>
      </c>
    </row>
    <row r="229" spans="1:26" x14ac:dyDescent="0.2">
      <c r="A229" t="str">
        <f>INDEX(Prioritization!$D:$D,MATCH($B229,Prioritization!$A:$A,0))</f>
        <v>1 - Scale-up: Saturation</v>
      </c>
      <c r="B229" t="s">
        <v>310</v>
      </c>
      <c r="C229" t="s">
        <v>478</v>
      </c>
      <c r="D229" t="s">
        <v>30</v>
      </c>
      <c r="E229" t="str">
        <f t="shared" si="34"/>
        <v>Mzimba District [vA4NcHxfMBq]|50+|Female</v>
      </c>
      <c r="F229" s="38">
        <v>45</v>
      </c>
      <c r="G229" s="33">
        <v>0.39</v>
      </c>
      <c r="H229" s="218">
        <f t="shared" si="35"/>
        <v>63</v>
      </c>
      <c r="I229" s="38">
        <v>1</v>
      </c>
      <c r="J229" s="33">
        <v>0.86956521739130399</v>
      </c>
      <c r="K229" s="33">
        <v>0.45</v>
      </c>
      <c r="L229" s="33"/>
      <c r="M229" s="33">
        <v>0.06</v>
      </c>
      <c r="N229" s="38">
        <f t="shared" si="33"/>
        <v>62</v>
      </c>
      <c r="O229" s="218">
        <f t="shared" si="36"/>
        <v>28</v>
      </c>
      <c r="P229" s="218">
        <f t="shared" si="37"/>
        <v>2</v>
      </c>
      <c r="Q229" s="218">
        <f t="shared" si="38"/>
        <v>32</v>
      </c>
      <c r="R229" s="33">
        <f>IF(SUM($P229)=0,"",INDEX(Cascade!$BG:$BG,MATCH($E229,Cascade!$E:$E,0)))</f>
        <v>0.95</v>
      </c>
      <c r="S229" s="218">
        <f t="shared" si="39"/>
        <v>28</v>
      </c>
      <c r="T229" s="218">
        <f t="shared" si="40"/>
        <v>2</v>
      </c>
      <c r="U229" s="38">
        <f>IFERROR(1/(1/INDEX(Cascade!$BH:$BH,MATCH($E229,Cascade!$E:$E,0))),"")</f>
        <v>374</v>
      </c>
      <c r="V229" s="38">
        <f t="shared" si="41"/>
        <v>2</v>
      </c>
      <c r="W229" s="38" t="str">
        <f>IFERROR(1/(1/INDEX(PMTCT!$AC:$AC,MATCH($E229,PMTCT!$E:$E,0))),"")</f>
        <v/>
      </c>
      <c r="X229" s="38" t="str">
        <f>IFERROR(1/(1/INDEX(PMTCT!$AS:$AS,MATCH($E229,PMTCT!$E:$E,0))),"")</f>
        <v/>
      </c>
      <c r="Y229" s="38" t="str">
        <f>IFERROR(1/(1/INDEX(VMMC!$AA:$AA,MATCH($E229,VMMC!$E:$E,0))),"")</f>
        <v/>
      </c>
      <c r="Z229" s="38">
        <f t="shared" si="42"/>
        <v>371.99999999999994</v>
      </c>
    </row>
    <row r="230" spans="1:26" x14ac:dyDescent="0.2">
      <c r="A230" t="str">
        <f>INDEX(Prioritization!$D:$D,MATCH($B230,Prioritization!$A:$A,0))</f>
        <v>1 - Scale-up: Saturation</v>
      </c>
      <c r="B230" t="s">
        <v>310</v>
      </c>
      <c r="C230" t="s">
        <v>478</v>
      </c>
      <c r="D230" t="s">
        <v>48</v>
      </c>
      <c r="E230" t="str">
        <f t="shared" si="34"/>
        <v>Mzimba District [vA4NcHxfMBq]|50+|Male</v>
      </c>
      <c r="F230" s="38">
        <v>72</v>
      </c>
      <c r="G230" s="33">
        <v>0.39</v>
      </c>
      <c r="H230" s="218">
        <f t="shared" si="35"/>
        <v>100</v>
      </c>
      <c r="I230" s="38">
        <v>2</v>
      </c>
      <c r="J230" s="33">
        <v>0.625</v>
      </c>
      <c r="K230" s="33">
        <v>0.45</v>
      </c>
      <c r="L230" s="33">
        <v>0.111</v>
      </c>
      <c r="M230" s="33">
        <v>0.06</v>
      </c>
      <c r="N230" s="38">
        <f t="shared" si="33"/>
        <v>99</v>
      </c>
      <c r="O230" s="218">
        <f t="shared" si="36"/>
        <v>45</v>
      </c>
      <c r="P230" s="218">
        <f t="shared" si="37"/>
        <v>3</v>
      </c>
      <c r="Q230" s="218">
        <f t="shared" si="38"/>
        <v>51</v>
      </c>
      <c r="R230" s="33">
        <f>IF(SUM($P230)=0,"",INDEX(Cascade!$BG:$BG,MATCH($E230,Cascade!$E:$E,0)))</f>
        <v>0.95</v>
      </c>
      <c r="S230" s="218">
        <f t="shared" si="39"/>
        <v>45</v>
      </c>
      <c r="T230" s="218">
        <f t="shared" si="40"/>
        <v>3</v>
      </c>
      <c r="U230" s="38">
        <f>IFERROR(1/(1/INDEX(Cascade!$BH:$BH,MATCH($E230,Cascade!$E:$E,0))),"")</f>
        <v>229</v>
      </c>
      <c r="V230" s="38">
        <f t="shared" si="41"/>
        <v>3</v>
      </c>
      <c r="W230" s="38" t="str">
        <f>IFERROR(1/(1/INDEX(PMTCT!$AC:$AC,MATCH($E230,PMTCT!$E:$E,0))),"")</f>
        <v/>
      </c>
      <c r="X230" s="38" t="str">
        <f>IFERROR(1/(1/INDEX(PMTCT!$AS:$AS,MATCH($E230,PMTCT!$E:$E,0))),"")</f>
        <v/>
      </c>
      <c r="Y230" s="38" t="str">
        <f>IFERROR(1/(1/INDEX(VMMC!$AA:$AA,MATCH($E230,VMMC!$E:$E,0))),"")</f>
        <v/>
      </c>
      <c r="Z230" s="38">
        <f t="shared" si="42"/>
        <v>226</v>
      </c>
    </row>
    <row r="231" spans="1:26" x14ac:dyDescent="0.2">
      <c r="A231" t="str">
        <f>INDEX(Prioritization!$D:$D,MATCH($B231,Prioritization!$A:$A,0))</f>
        <v>4 - Sustained</v>
      </c>
      <c r="B231" t="s">
        <v>321</v>
      </c>
      <c r="C231" t="s">
        <v>473</v>
      </c>
      <c r="D231" t="s">
        <v>30</v>
      </c>
      <c r="E231" t="str">
        <f t="shared" si="34"/>
        <v>Neno District [gwVYinjBAe9]|01-09|Female</v>
      </c>
      <c r="F231" s="38">
        <v>8</v>
      </c>
      <c r="G231" s="33">
        <v>0.39</v>
      </c>
      <c r="H231" s="218">
        <f t="shared" si="35"/>
        <v>11</v>
      </c>
      <c r="I231" s="38"/>
      <c r="J231" s="33"/>
      <c r="K231" s="33">
        <v>0.45</v>
      </c>
      <c r="L231" s="33"/>
      <c r="M231" s="33">
        <v>0.06</v>
      </c>
      <c r="N231" s="38">
        <f t="shared" si="33"/>
        <v>11</v>
      </c>
      <c r="O231" s="218">
        <f t="shared" si="36"/>
        <v>5</v>
      </c>
      <c r="P231" s="218">
        <f t="shared" si="37"/>
        <v>0</v>
      </c>
      <c r="Q231" s="218">
        <f t="shared" si="38"/>
        <v>6</v>
      </c>
      <c r="R231" s="33" t="str">
        <f>IF(SUM($P231)=0,"",INDEX(Cascade!$BG:$BG,MATCH($E231,Cascade!$E:$E,0)))</f>
        <v/>
      </c>
      <c r="S231" s="218">
        <f t="shared" si="39"/>
        <v>5</v>
      </c>
      <c r="T231" s="218" t="str">
        <f t="shared" si="40"/>
        <v/>
      </c>
      <c r="U231" s="38">
        <f>IFERROR(1/(1/INDEX(Cascade!$BH:$BH,MATCH($E231,Cascade!$E:$E,0))),"")</f>
        <v>2</v>
      </c>
      <c r="V231" s="38" t="str">
        <f t="shared" si="41"/>
        <v/>
      </c>
      <c r="W231" s="38" t="str">
        <f>IFERROR(1/(1/INDEX(PMTCT!$AC:$AC,MATCH($E231,PMTCT!$E:$E,0))),"")</f>
        <v/>
      </c>
      <c r="X231" s="38" t="str">
        <f>IFERROR(1/(1/INDEX(PMTCT!$AS:$AS,MATCH($E231,PMTCT!$E:$E,0))),"")</f>
        <v/>
      </c>
      <c r="Y231" s="38" t="str">
        <f>IFERROR(1/(1/INDEX(VMMC!$AA:$AA,MATCH($E231,VMMC!$E:$E,0))),"")</f>
        <v/>
      </c>
      <c r="Z231" s="38">
        <f t="shared" si="42"/>
        <v>2</v>
      </c>
    </row>
    <row r="232" spans="1:26" x14ac:dyDescent="0.2">
      <c r="A232" t="str">
        <f>INDEX(Prioritization!$D:$D,MATCH($B232,Prioritization!$A:$A,0))</f>
        <v>4 - Sustained</v>
      </c>
      <c r="B232" t="s">
        <v>321</v>
      </c>
      <c r="C232" t="s">
        <v>473</v>
      </c>
      <c r="D232" t="s">
        <v>48</v>
      </c>
      <c r="E232" t="str">
        <f t="shared" si="34"/>
        <v>Neno District [gwVYinjBAe9]|01-09|Male</v>
      </c>
      <c r="F232" s="38">
        <v>8</v>
      </c>
      <c r="G232" s="33">
        <v>0.39</v>
      </c>
      <c r="H232" s="218">
        <f t="shared" si="35"/>
        <v>11</v>
      </c>
      <c r="I232" s="38"/>
      <c r="J232" s="33"/>
      <c r="K232" s="33">
        <v>0.45</v>
      </c>
      <c r="L232" s="33"/>
      <c r="M232" s="33">
        <v>0.06</v>
      </c>
      <c r="N232" s="38">
        <f t="shared" si="33"/>
        <v>11</v>
      </c>
      <c r="O232" s="218">
        <f t="shared" si="36"/>
        <v>5</v>
      </c>
      <c r="P232" s="218">
        <f t="shared" si="37"/>
        <v>0</v>
      </c>
      <c r="Q232" s="218">
        <f t="shared" si="38"/>
        <v>6</v>
      </c>
      <c r="R232" s="33" t="str">
        <f>IF(SUM($P232)=0,"",INDEX(Cascade!$BG:$BG,MATCH($E232,Cascade!$E:$E,0)))</f>
        <v/>
      </c>
      <c r="S232" s="218">
        <f t="shared" si="39"/>
        <v>5</v>
      </c>
      <c r="T232" s="218" t="str">
        <f t="shared" si="40"/>
        <v/>
      </c>
      <c r="U232" s="38">
        <f>IFERROR(1/(1/INDEX(Cascade!$BH:$BH,MATCH($E232,Cascade!$E:$E,0))),"")</f>
        <v>2</v>
      </c>
      <c r="V232" s="38" t="str">
        <f t="shared" si="41"/>
        <v/>
      </c>
      <c r="W232" s="38" t="str">
        <f>IFERROR(1/(1/INDEX(PMTCT!$AC:$AC,MATCH($E232,PMTCT!$E:$E,0))),"")</f>
        <v/>
      </c>
      <c r="X232" s="38" t="str">
        <f>IFERROR(1/(1/INDEX(PMTCT!$AS:$AS,MATCH($E232,PMTCT!$E:$E,0))),"")</f>
        <v/>
      </c>
      <c r="Y232" s="38" t="str">
        <f>IFERROR(1/(1/INDEX(VMMC!$AA:$AA,MATCH($E232,VMMC!$E:$E,0))),"")</f>
        <v/>
      </c>
      <c r="Z232" s="38">
        <f t="shared" si="42"/>
        <v>2</v>
      </c>
    </row>
    <row r="233" spans="1:26" x14ac:dyDescent="0.2">
      <c r="A233" t="str">
        <f>INDEX(Prioritization!$D:$D,MATCH($B233,Prioritization!$A:$A,0))</f>
        <v>4 - Sustained</v>
      </c>
      <c r="B233" t="s">
        <v>321</v>
      </c>
      <c r="C233" t="s">
        <v>474</v>
      </c>
      <c r="D233" t="s">
        <v>30</v>
      </c>
      <c r="E233" t="str">
        <f t="shared" si="34"/>
        <v>Neno District [gwVYinjBAe9]|10-14|Female</v>
      </c>
      <c r="F233" s="38">
        <v>4</v>
      </c>
      <c r="G233" s="33">
        <v>0.39</v>
      </c>
      <c r="H233" s="218">
        <f t="shared" si="35"/>
        <v>6</v>
      </c>
      <c r="I233" s="38"/>
      <c r="J233" s="33"/>
      <c r="K233" s="33">
        <v>0.45</v>
      </c>
      <c r="L233" s="33"/>
      <c r="M233" s="33">
        <v>0.06</v>
      </c>
      <c r="N233" s="38">
        <f t="shared" si="33"/>
        <v>6</v>
      </c>
      <c r="O233" s="218">
        <f t="shared" si="36"/>
        <v>3</v>
      </c>
      <c r="P233" s="218">
        <f t="shared" si="37"/>
        <v>0</v>
      </c>
      <c r="Q233" s="218">
        <f t="shared" si="38"/>
        <v>3</v>
      </c>
      <c r="R233" s="33" t="str">
        <f>IF(SUM($P233)=0,"",INDEX(Cascade!$BG:$BG,MATCH($E233,Cascade!$E:$E,0)))</f>
        <v/>
      </c>
      <c r="S233" s="218">
        <f t="shared" si="39"/>
        <v>3</v>
      </c>
      <c r="T233" s="218" t="str">
        <f t="shared" si="40"/>
        <v/>
      </c>
      <c r="U233" s="38">
        <f>IFERROR(1/(1/INDEX(Cascade!$BH:$BH,MATCH($E233,Cascade!$E:$E,0))),"")</f>
        <v>12</v>
      </c>
      <c r="V233" s="38" t="str">
        <f t="shared" si="41"/>
        <v/>
      </c>
      <c r="W233" s="38" t="str">
        <f>IFERROR(1/(1/INDEX(PMTCT!$AC:$AC,MATCH($E233,PMTCT!$E:$E,0))),"")</f>
        <v/>
      </c>
      <c r="X233" s="38" t="str">
        <f>IFERROR(1/(1/INDEX(PMTCT!$AS:$AS,MATCH($E233,PMTCT!$E:$E,0))),"")</f>
        <v/>
      </c>
      <c r="Y233" s="38" t="str">
        <f>IFERROR(1/(1/INDEX(VMMC!$AA:$AA,MATCH($E233,VMMC!$E:$E,0))),"")</f>
        <v/>
      </c>
      <c r="Z233" s="38">
        <f t="shared" si="42"/>
        <v>12</v>
      </c>
    </row>
    <row r="234" spans="1:26" x14ac:dyDescent="0.2">
      <c r="A234" t="str">
        <f>INDEX(Prioritization!$D:$D,MATCH($B234,Prioritization!$A:$A,0))</f>
        <v>4 - Sustained</v>
      </c>
      <c r="B234" t="s">
        <v>321</v>
      </c>
      <c r="C234" t="s">
        <v>474</v>
      </c>
      <c r="D234" t="s">
        <v>48</v>
      </c>
      <c r="E234" t="str">
        <f t="shared" si="34"/>
        <v>Neno District [gwVYinjBAe9]|10-14|Male</v>
      </c>
      <c r="F234" s="38">
        <v>4</v>
      </c>
      <c r="G234" s="33">
        <v>0.39</v>
      </c>
      <c r="H234" s="218">
        <f t="shared" si="35"/>
        <v>6</v>
      </c>
      <c r="I234" s="38"/>
      <c r="J234" s="33"/>
      <c r="K234" s="33">
        <v>0.45</v>
      </c>
      <c r="L234" s="33"/>
      <c r="M234" s="33">
        <v>0.06</v>
      </c>
      <c r="N234" s="38">
        <f t="shared" si="33"/>
        <v>6</v>
      </c>
      <c r="O234" s="218">
        <f t="shared" si="36"/>
        <v>3</v>
      </c>
      <c r="P234" s="218">
        <f t="shared" si="37"/>
        <v>0</v>
      </c>
      <c r="Q234" s="218">
        <f t="shared" si="38"/>
        <v>3</v>
      </c>
      <c r="R234" s="33" t="str">
        <f>IF(SUM($P234)=0,"",INDEX(Cascade!$BG:$BG,MATCH($E234,Cascade!$E:$E,0)))</f>
        <v/>
      </c>
      <c r="S234" s="218">
        <f t="shared" si="39"/>
        <v>3</v>
      </c>
      <c r="T234" s="218" t="str">
        <f t="shared" si="40"/>
        <v/>
      </c>
      <c r="U234" s="38">
        <f>IFERROR(1/(1/INDEX(Cascade!$BH:$BH,MATCH($E234,Cascade!$E:$E,0))),"")</f>
        <v>2</v>
      </c>
      <c r="V234" s="38" t="str">
        <f t="shared" si="41"/>
        <v/>
      </c>
      <c r="W234" s="38" t="str">
        <f>IFERROR(1/(1/INDEX(PMTCT!$AC:$AC,MATCH($E234,PMTCT!$E:$E,0))),"")</f>
        <v/>
      </c>
      <c r="X234" s="38" t="str">
        <f>IFERROR(1/(1/INDEX(PMTCT!$AS:$AS,MATCH($E234,PMTCT!$E:$E,0))),"")</f>
        <v/>
      </c>
      <c r="Y234" s="38" t="str">
        <f>IFERROR(1/(1/INDEX(VMMC!$AA:$AA,MATCH($E234,VMMC!$E:$E,0))),"")</f>
        <v/>
      </c>
      <c r="Z234" s="38">
        <f t="shared" si="42"/>
        <v>2</v>
      </c>
    </row>
    <row r="235" spans="1:26" x14ac:dyDescent="0.2">
      <c r="A235" t="str">
        <f>INDEX(Prioritization!$D:$D,MATCH($B235,Prioritization!$A:$A,0))</f>
        <v>4 - Sustained</v>
      </c>
      <c r="B235" t="s">
        <v>321</v>
      </c>
      <c r="C235" t="s">
        <v>475</v>
      </c>
      <c r="D235" t="s">
        <v>30</v>
      </c>
      <c r="E235" t="str">
        <f t="shared" si="34"/>
        <v>Neno District [gwVYinjBAe9]|15-24|Female</v>
      </c>
      <c r="F235" s="38">
        <v>11</v>
      </c>
      <c r="G235" s="33">
        <v>0.39</v>
      </c>
      <c r="H235" s="218">
        <f t="shared" si="35"/>
        <v>15</v>
      </c>
      <c r="I235" s="38"/>
      <c r="J235" s="33"/>
      <c r="K235" s="33">
        <v>0.45</v>
      </c>
      <c r="L235" s="33"/>
      <c r="M235" s="33">
        <v>0.06</v>
      </c>
      <c r="N235" s="38">
        <f t="shared" si="33"/>
        <v>15</v>
      </c>
      <c r="O235" s="218">
        <f t="shared" si="36"/>
        <v>7</v>
      </c>
      <c r="P235" s="218">
        <f t="shared" si="37"/>
        <v>0</v>
      </c>
      <c r="Q235" s="218">
        <f t="shared" si="38"/>
        <v>8</v>
      </c>
      <c r="R235" s="33" t="str">
        <f>IF(SUM($P235)=0,"",INDEX(Cascade!$BG:$BG,MATCH($E235,Cascade!$E:$E,0)))</f>
        <v/>
      </c>
      <c r="S235" s="218">
        <f t="shared" si="39"/>
        <v>7</v>
      </c>
      <c r="T235" s="218" t="str">
        <f t="shared" si="40"/>
        <v/>
      </c>
      <c r="U235" s="38">
        <f>IFERROR(1/(1/INDEX(Cascade!$BH:$BH,MATCH($E235,Cascade!$E:$E,0))),"")</f>
        <v>53</v>
      </c>
      <c r="V235" s="38" t="str">
        <f t="shared" si="41"/>
        <v/>
      </c>
      <c r="W235" s="38">
        <f>IFERROR(1/(1/INDEX(PMTCT!$AC:$AC,MATCH($E235,PMTCT!$E:$E,0))),"")</f>
        <v>22</v>
      </c>
      <c r="X235" s="38">
        <f>IFERROR(1/(1/INDEX(PMTCT!$AS:$AS,MATCH($E235,PMTCT!$E:$E,0))),"")</f>
        <v>14</v>
      </c>
      <c r="Y235" s="38" t="str">
        <f>IFERROR(1/(1/INDEX(VMMC!$AA:$AA,MATCH($E235,VMMC!$E:$E,0))),"")</f>
        <v/>
      </c>
      <c r="Z235" s="38">
        <f t="shared" si="42"/>
        <v>17</v>
      </c>
    </row>
    <row r="236" spans="1:26" x14ac:dyDescent="0.2">
      <c r="A236" t="str">
        <f>INDEX(Prioritization!$D:$D,MATCH($B236,Prioritization!$A:$A,0))</f>
        <v>4 - Sustained</v>
      </c>
      <c r="B236" t="s">
        <v>321</v>
      </c>
      <c r="C236" t="s">
        <v>475</v>
      </c>
      <c r="D236" t="s">
        <v>48</v>
      </c>
      <c r="E236" t="str">
        <f t="shared" si="34"/>
        <v>Neno District [gwVYinjBAe9]|15-24|Male</v>
      </c>
      <c r="F236" s="38">
        <v>22</v>
      </c>
      <c r="G236" s="33">
        <v>0.39</v>
      </c>
      <c r="H236" s="218">
        <f t="shared" si="35"/>
        <v>31</v>
      </c>
      <c r="I236" s="38">
        <v>1</v>
      </c>
      <c r="J236" s="33"/>
      <c r="K236" s="33">
        <v>0.45</v>
      </c>
      <c r="L236" s="33"/>
      <c r="M236" s="33">
        <v>0.06</v>
      </c>
      <c r="N236" s="38">
        <f t="shared" si="33"/>
        <v>31</v>
      </c>
      <c r="O236" s="218">
        <f t="shared" si="36"/>
        <v>14</v>
      </c>
      <c r="P236" s="218">
        <f t="shared" si="37"/>
        <v>1</v>
      </c>
      <c r="Q236" s="218">
        <f t="shared" si="38"/>
        <v>16</v>
      </c>
      <c r="R236" s="33">
        <f>IF(SUM($P236)=0,"",INDEX(Cascade!$BG:$BG,MATCH($E236,Cascade!$E:$E,0)))</f>
        <v>0.95</v>
      </c>
      <c r="S236" s="218">
        <f t="shared" si="39"/>
        <v>14</v>
      </c>
      <c r="T236" s="218">
        <f t="shared" si="40"/>
        <v>1</v>
      </c>
      <c r="U236" s="38">
        <f>IFERROR(1/(1/INDEX(Cascade!$BH:$BH,MATCH($E236,Cascade!$E:$E,0))),"")</f>
        <v>18</v>
      </c>
      <c r="V236" s="38">
        <f t="shared" si="41"/>
        <v>1</v>
      </c>
      <c r="W236" s="38" t="str">
        <f>IFERROR(1/(1/INDEX(PMTCT!$AC:$AC,MATCH($E236,PMTCT!$E:$E,0))),"")</f>
        <v/>
      </c>
      <c r="X236" s="38" t="str">
        <f>IFERROR(1/(1/INDEX(PMTCT!$AS:$AS,MATCH($E236,PMTCT!$E:$E,0))),"")</f>
        <v/>
      </c>
      <c r="Y236" s="38" t="str">
        <f>IFERROR(1/(1/INDEX(VMMC!$AA:$AA,MATCH($E236,VMMC!$E:$E,0))),"")</f>
        <v/>
      </c>
      <c r="Z236" s="38">
        <f t="shared" si="42"/>
        <v>17</v>
      </c>
    </row>
    <row r="237" spans="1:26" x14ac:dyDescent="0.2">
      <c r="A237" t="str">
        <f>INDEX(Prioritization!$D:$D,MATCH($B237,Prioritization!$A:$A,0))</f>
        <v>4 - Sustained</v>
      </c>
      <c r="B237" t="s">
        <v>321</v>
      </c>
      <c r="C237" t="s">
        <v>476</v>
      </c>
      <c r="D237" t="s">
        <v>30</v>
      </c>
      <c r="E237" t="str">
        <f t="shared" si="34"/>
        <v>Neno District [gwVYinjBAe9]|25-34|Female</v>
      </c>
      <c r="F237" s="38">
        <v>16</v>
      </c>
      <c r="G237" s="33">
        <v>0.39</v>
      </c>
      <c r="H237" s="218">
        <f t="shared" si="35"/>
        <v>22</v>
      </c>
      <c r="I237" s="38"/>
      <c r="J237" s="33"/>
      <c r="K237" s="33">
        <v>0.45</v>
      </c>
      <c r="L237" s="33"/>
      <c r="M237" s="33">
        <v>0.06</v>
      </c>
      <c r="N237" s="38">
        <f t="shared" si="33"/>
        <v>22</v>
      </c>
      <c r="O237" s="218">
        <f t="shared" si="36"/>
        <v>10</v>
      </c>
      <c r="P237" s="218">
        <f t="shared" si="37"/>
        <v>1</v>
      </c>
      <c r="Q237" s="218">
        <f t="shared" si="38"/>
        <v>11</v>
      </c>
      <c r="R237" s="33">
        <f>IF(SUM($P237)=0,"",INDEX(Cascade!$BG:$BG,MATCH($E237,Cascade!$E:$E,0)))</f>
        <v>0.95</v>
      </c>
      <c r="S237" s="218">
        <f t="shared" si="39"/>
        <v>10</v>
      </c>
      <c r="T237" s="218">
        <f t="shared" si="40"/>
        <v>1</v>
      </c>
      <c r="U237" s="38">
        <f>IFERROR(1/(1/INDEX(Cascade!$BH:$BH,MATCH($E237,Cascade!$E:$E,0))),"")</f>
        <v>118</v>
      </c>
      <c r="V237" s="38">
        <f t="shared" si="41"/>
        <v>1</v>
      </c>
      <c r="W237" s="38">
        <f>IFERROR(1/(1/INDEX(PMTCT!$AC:$AC,MATCH($E237,PMTCT!$E:$E,0))),"")</f>
        <v>18</v>
      </c>
      <c r="X237" s="38">
        <f>IFERROR(1/(1/INDEX(PMTCT!$AS:$AS,MATCH($E237,PMTCT!$E:$E,0))),"")</f>
        <v>6</v>
      </c>
      <c r="Y237" s="38" t="str">
        <f>IFERROR(1/(1/INDEX(VMMC!$AA:$AA,MATCH($E237,VMMC!$E:$E,0))),"")</f>
        <v/>
      </c>
      <c r="Z237" s="38">
        <f t="shared" si="42"/>
        <v>92.999999999999986</v>
      </c>
    </row>
    <row r="238" spans="1:26" x14ac:dyDescent="0.2">
      <c r="A238" t="str">
        <f>INDEX(Prioritization!$D:$D,MATCH($B238,Prioritization!$A:$A,0))</f>
        <v>4 - Sustained</v>
      </c>
      <c r="B238" t="s">
        <v>321</v>
      </c>
      <c r="C238" t="s">
        <v>476</v>
      </c>
      <c r="D238" t="s">
        <v>48</v>
      </c>
      <c r="E238" t="str">
        <f t="shared" si="34"/>
        <v>Neno District [gwVYinjBAe9]|25-34|Male</v>
      </c>
      <c r="F238" s="38">
        <v>22</v>
      </c>
      <c r="G238" s="33">
        <v>0.39</v>
      </c>
      <c r="H238" s="218">
        <f t="shared" si="35"/>
        <v>31</v>
      </c>
      <c r="I238" s="38">
        <v>1</v>
      </c>
      <c r="J238" s="33"/>
      <c r="K238" s="33">
        <v>0.45</v>
      </c>
      <c r="L238" s="33"/>
      <c r="M238" s="33">
        <v>0.06</v>
      </c>
      <c r="N238" s="38">
        <f t="shared" si="33"/>
        <v>31</v>
      </c>
      <c r="O238" s="218">
        <f t="shared" si="36"/>
        <v>14</v>
      </c>
      <c r="P238" s="218">
        <f t="shared" si="37"/>
        <v>1</v>
      </c>
      <c r="Q238" s="218">
        <f t="shared" si="38"/>
        <v>16</v>
      </c>
      <c r="R238" s="33">
        <f>IF(SUM($P238)=0,"",INDEX(Cascade!$BG:$BG,MATCH($E238,Cascade!$E:$E,0)))</f>
        <v>0.95</v>
      </c>
      <c r="S238" s="218">
        <f t="shared" si="39"/>
        <v>14</v>
      </c>
      <c r="T238" s="218">
        <f t="shared" si="40"/>
        <v>1</v>
      </c>
      <c r="U238" s="38">
        <f>IFERROR(1/(1/INDEX(Cascade!$BH:$BH,MATCH($E238,Cascade!$E:$E,0))),"")</f>
        <v>6</v>
      </c>
      <c r="V238" s="38">
        <f t="shared" si="41"/>
        <v>1</v>
      </c>
      <c r="W238" s="38" t="str">
        <f>IFERROR(1/(1/INDEX(PMTCT!$AC:$AC,MATCH($E238,PMTCT!$E:$E,0))),"")</f>
        <v/>
      </c>
      <c r="X238" s="38" t="str">
        <f>IFERROR(1/(1/INDEX(PMTCT!$AS:$AS,MATCH($E238,PMTCT!$E:$E,0))),"")</f>
        <v/>
      </c>
      <c r="Y238" s="38" t="str">
        <f>IFERROR(1/(1/INDEX(VMMC!$AA:$AA,MATCH($E238,VMMC!$E:$E,0))),"")</f>
        <v/>
      </c>
      <c r="Z238" s="38">
        <f t="shared" si="42"/>
        <v>5</v>
      </c>
    </row>
    <row r="239" spans="1:26" x14ac:dyDescent="0.2">
      <c r="A239" t="str">
        <f>INDEX(Prioritization!$D:$D,MATCH($B239,Prioritization!$A:$A,0))</f>
        <v>4 - Sustained</v>
      </c>
      <c r="B239" t="s">
        <v>321</v>
      </c>
      <c r="C239" t="s">
        <v>477</v>
      </c>
      <c r="D239" t="s">
        <v>30</v>
      </c>
      <c r="E239" t="str">
        <f t="shared" si="34"/>
        <v>Neno District [gwVYinjBAe9]|35-49|Female</v>
      </c>
      <c r="F239" s="38">
        <v>24</v>
      </c>
      <c r="G239" s="33">
        <v>0.39</v>
      </c>
      <c r="H239" s="218">
        <f t="shared" si="35"/>
        <v>33</v>
      </c>
      <c r="I239" s="38">
        <v>1</v>
      </c>
      <c r="J239" s="33"/>
      <c r="K239" s="33">
        <v>0.45</v>
      </c>
      <c r="L239" s="33"/>
      <c r="M239" s="33">
        <v>0.06</v>
      </c>
      <c r="N239" s="38">
        <f t="shared" si="33"/>
        <v>33</v>
      </c>
      <c r="O239" s="218">
        <f t="shared" si="36"/>
        <v>15</v>
      </c>
      <c r="P239" s="218">
        <f t="shared" si="37"/>
        <v>1</v>
      </c>
      <c r="Q239" s="218">
        <f t="shared" si="38"/>
        <v>17</v>
      </c>
      <c r="R239" s="33">
        <f>IF(SUM($P239)=0,"",INDEX(Cascade!$BG:$BG,MATCH($E239,Cascade!$E:$E,0)))</f>
        <v>0.95</v>
      </c>
      <c r="S239" s="218">
        <f t="shared" si="39"/>
        <v>15</v>
      </c>
      <c r="T239" s="218">
        <f t="shared" si="40"/>
        <v>1</v>
      </c>
      <c r="U239" s="38">
        <f>IFERROR(1/(1/INDEX(Cascade!$BH:$BH,MATCH($E239,Cascade!$E:$E,0))),"")</f>
        <v>58</v>
      </c>
      <c r="V239" s="38">
        <f t="shared" si="41"/>
        <v>1</v>
      </c>
      <c r="W239" s="38">
        <f>IFERROR(1/(1/INDEX(PMTCT!$AC:$AC,MATCH($E239,PMTCT!$E:$E,0))),"")</f>
        <v>5</v>
      </c>
      <c r="X239" s="38">
        <f>IFERROR(1/(1/INDEX(PMTCT!$AS:$AS,MATCH($E239,PMTCT!$E:$E,0))),"")</f>
        <v>2</v>
      </c>
      <c r="Y239" s="38" t="str">
        <f>IFERROR(1/(1/INDEX(VMMC!$AA:$AA,MATCH($E239,VMMC!$E:$E,0))),"")</f>
        <v/>
      </c>
      <c r="Z239" s="38">
        <f t="shared" si="42"/>
        <v>50</v>
      </c>
    </row>
    <row r="240" spans="1:26" x14ac:dyDescent="0.2">
      <c r="A240" t="str">
        <f>INDEX(Prioritization!$D:$D,MATCH($B240,Prioritization!$A:$A,0))</f>
        <v>4 - Sustained</v>
      </c>
      <c r="B240" t="s">
        <v>321</v>
      </c>
      <c r="C240" t="s">
        <v>477</v>
      </c>
      <c r="D240" t="s">
        <v>48</v>
      </c>
      <c r="E240" t="str">
        <f t="shared" si="34"/>
        <v>Neno District [gwVYinjBAe9]|35-49|Male</v>
      </c>
      <c r="F240" s="38">
        <v>33</v>
      </c>
      <c r="G240" s="33">
        <v>0.39</v>
      </c>
      <c r="H240" s="218">
        <f t="shared" si="35"/>
        <v>46</v>
      </c>
      <c r="I240" s="38">
        <v>1</v>
      </c>
      <c r="J240" s="33"/>
      <c r="K240" s="33">
        <v>0.45</v>
      </c>
      <c r="L240" s="33"/>
      <c r="M240" s="33">
        <v>0.06</v>
      </c>
      <c r="N240" s="38">
        <f t="shared" si="33"/>
        <v>46</v>
      </c>
      <c r="O240" s="218">
        <f t="shared" si="36"/>
        <v>21</v>
      </c>
      <c r="P240" s="218">
        <f t="shared" si="37"/>
        <v>2</v>
      </c>
      <c r="Q240" s="218">
        <f t="shared" si="38"/>
        <v>23</v>
      </c>
      <c r="R240" s="33">
        <f>IF(SUM($P240)=0,"",INDEX(Cascade!$BG:$BG,MATCH($E240,Cascade!$E:$E,0)))</f>
        <v>0.95</v>
      </c>
      <c r="S240" s="218">
        <f t="shared" si="39"/>
        <v>21</v>
      </c>
      <c r="T240" s="218">
        <f t="shared" si="40"/>
        <v>2</v>
      </c>
      <c r="U240" s="38">
        <f>IFERROR(1/(1/INDEX(Cascade!$BH:$BH,MATCH($E240,Cascade!$E:$E,0))),"")</f>
        <v>25</v>
      </c>
      <c r="V240" s="38">
        <f t="shared" si="41"/>
        <v>2</v>
      </c>
      <c r="W240" s="38" t="str">
        <f>IFERROR(1/(1/INDEX(PMTCT!$AC:$AC,MATCH($E240,PMTCT!$E:$E,0))),"")</f>
        <v/>
      </c>
      <c r="X240" s="38" t="str">
        <f>IFERROR(1/(1/INDEX(PMTCT!$AS:$AS,MATCH($E240,PMTCT!$E:$E,0))),"")</f>
        <v/>
      </c>
      <c r="Y240" s="38" t="str">
        <f>IFERROR(1/(1/INDEX(VMMC!$AA:$AA,MATCH($E240,VMMC!$E:$E,0))),"")</f>
        <v/>
      </c>
      <c r="Z240" s="38">
        <f t="shared" si="42"/>
        <v>23</v>
      </c>
    </row>
    <row r="241" spans="1:26" x14ac:dyDescent="0.2">
      <c r="A241" t="str">
        <f>INDEX(Prioritization!$D:$D,MATCH($B241,Prioritization!$A:$A,0))</f>
        <v>4 - Sustained</v>
      </c>
      <c r="B241" t="s">
        <v>321</v>
      </c>
      <c r="C241" t="s">
        <v>478</v>
      </c>
      <c r="D241" t="s">
        <v>30</v>
      </c>
      <c r="E241" t="str">
        <f t="shared" si="34"/>
        <v>Neno District [gwVYinjBAe9]|50+|Female</v>
      </c>
      <c r="F241" s="38">
        <v>8</v>
      </c>
      <c r="G241" s="33">
        <v>0.39</v>
      </c>
      <c r="H241" s="218">
        <f t="shared" si="35"/>
        <v>11</v>
      </c>
      <c r="I241" s="38"/>
      <c r="J241" s="33"/>
      <c r="K241" s="33">
        <v>0.45</v>
      </c>
      <c r="L241" s="33"/>
      <c r="M241" s="33">
        <v>0.06</v>
      </c>
      <c r="N241" s="38">
        <f t="shared" si="33"/>
        <v>11</v>
      </c>
      <c r="O241" s="218">
        <f t="shared" si="36"/>
        <v>5</v>
      </c>
      <c r="P241" s="218">
        <f t="shared" si="37"/>
        <v>0</v>
      </c>
      <c r="Q241" s="218">
        <f t="shared" si="38"/>
        <v>6</v>
      </c>
      <c r="R241" s="33" t="str">
        <f>IF(SUM($P241)=0,"",INDEX(Cascade!$BG:$BG,MATCH($E241,Cascade!$E:$E,0)))</f>
        <v/>
      </c>
      <c r="S241" s="218">
        <f t="shared" si="39"/>
        <v>5</v>
      </c>
      <c r="T241" s="218" t="str">
        <f t="shared" si="40"/>
        <v/>
      </c>
      <c r="U241" s="38">
        <f>IFERROR(1/(1/INDEX(Cascade!$BH:$BH,MATCH($E241,Cascade!$E:$E,0))),"")</f>
        <v>71</v>
      </c>
      <c r="V241" s="38" t="str">
        <f t="shared" si="41"/>
        <v/>
      </c>
      <c r="W241" s="38" t="str">
        <f>IFERROR(1/(1/INDEX(PMTCT!$AC:$AC,MATCH($E241,PMTCT!$E:$E,0))),"")</f>
        <v/>
      </c>
      <c r="X241" s="38" t="str">
        <f>IFERROR(1/(1/INDEX(PMTCT!$AS:$AS,MATCH($E241,PMTCT!$E:$E,0))),"")</f>
        <v/>
      </c>
      <c r="Y241" s="38" t="str">
        <f>IFERROR(1/(1/INDEX(VMMC!$AA:$AA,MATCH($E241,VMMC!$E:$E,0))),"")</f>
        <v/>
      </c>
      <c r="Z241" s="38">
        <f t="shared" si="42"/>
        <v>71</v>
      </c>
    </row>
    <row r="242" spans="1:26" x14ac:dyDescent="0.2">
      <c r="A242" t="str">
        <f>INDEX(Prioritization!$D:$D,MATCH($B242,Prioritization!$A:$A,0))</f>
        <v>4 - Sustained</v>
      </c>
      <c r="B242" t="s">
        <v>321</v>
      </c>
      <c r="C242" t="s">
        <v>478</v>
      </c>
      <c r="D242" t="s">
        <v>48</v>
      </c>
      <c r="E242" t="str">
        <f t="shared" si="34"/>
        <v>Neno District [gwVYinjBAe9]|50+|Male</v>
      </c>
      <c r="F242" s="38">
        <v>11</v>
      </c>
      <c r="G242" s="33">
        <v>0.39</v>
      </c>
      <c r="H242" s="218">
        <f t="shared" si="35"/>
        <v>15</v>
      </c>
      <c r="I242" s="38"/>
      <c r="J242" s="33"/>
      <c r="K242" s="33">
        <v>0.45</v>
      </c>
      <c r="L242" s="33"/>
      <c r="M242" s="33">
        <v>0.06</v>
      </c>
      <c r="N242" s="38">
        <f t="shared" si="33"/>
        <v>15</v>
      </c>
      <c r="O242" s="218">
        <f t="shared" si="36"/>
        <v>7</v>
      </c>
      <c r="P242" s="218">
        <f t="shared" si="37"/>
        <v>0</v>
      </c>
      <c r="Q242" s="218">
        <f t="shared" si="38"/>
        <v>8</v>
      </c>
      <c r="R242" s="33" t="str">
        <f>IF(SUM($P242)=0,"",INDEX(Cascade!$BG:$BG,MATCH($E242,Cascade!$E:$E,0)))</f>
        <v/>
      </c>
      <c r="S242" s="218">
        <f t="shared" si="39"/>
        <v>7</v>
      </c>
      <c r="T242" s="218" t="str">
        <f t="shared" si="40"/>
        <v/>
      </c>
      <c r="U242" s="38">
        <f>IFERROR(1/(1/INDEX(Cascade!$BH:$BH,MATCH($E242,Cascade!$E:$E,0))),"")</f>
        <v>28</v>
      </c>
      <c r="V242" s="38" t="str">
        <f t="shared" si="41"/>
        <v/>
      </c>
      <c r="W242" s="38" t="str">
        <f>IFERROR(1/(1/INDEX(PMTCT!$AC:$AC,MATCH($E242,PMTCT!$E:$E,0))),"")</f>
        <v/>
      </c>
      <c r="X242" s="38" t="str">
        <f>IFERROR(1/(1/INDEX(PMTCT!$AS:$AS,MATCH($E242,PMTCT!$E:$E,0))),"")</f>
        <v/>
      </c>
      <c r="Y242" s="38" t="str">
        <f>IFERROR(1/(1/INDEX(VMMC!$AA:$AA,MATCH($E242,VMMC!$E:$E,0))),"")</f>
        <v/>
      </c>
      <c r="Z242" s="38">
        <f t="shared" si="42"/>
        <v>28</v>
      </c>
    </row>
    <row r="243" spans="1:26" x14ac:dyDescent="0.2">
      <c r="A243" t="str">
        <f>INDEX(Prioritization!$D:$D,MATCH($B243,Prioritization!$A:$A,0))</f>
        <v>4 - Sustained</v>
      </c>
      <c r="B243" t="s">
        <v>311</v>
      </c>
      <c r="C243" t="s">
        <v>473</v>
      </c>
      <c r="D243" t="s">
        <v>30</v>
      </c>
      <c r="E243" t="str">
        <f t="shared" si="34"/>
        <v>Nkhata Bay District [E7zpfyBt7Tw]|01-09|Female</v>
      </c>
      <c r="F243" s="38">
        <v>4</v>
      </c>
      <c r="G243" s="33">
        <v>0.39</v>
      </c>
      <c r="H243" s="218">
        <f t="shared" si="35"/>
        <v>6</v>
      </c>
      <c r="I243" s="38"/>
      <c r="J243" s="33"/>
      <c r="K243" s="33">
        <v>0.45</v>
      </c>
      <c r="L243" s="33"/>
      <c r="M243" s="33">
        <v>0.06</v>
      </c>
      <c r="N243" s="38">
        <f t="shared" si="33"/>
        <v>6</v>
      </c>
      <c r="O243" s="218">
        <f t="shared" si="36"/>
        <v>3</v>
      </c>
      <c r="P243" s="218">
        <f t="shared" si="37"/>
        <v>0</v>
      </c>
      <c r="Q243" s="218">
        <f t="shared" si="38"/>
        <v>3</v>
      </c>
      <c r="R243" s="33" t="str">
        <f>IF(SUM($P243)=0,"",INDEX(Cascade!$BG:$BG,MATCH($E243,Cascade!$E:$E,0)))</f>
        <v/>
      </c>
      <c r="S243" s="218">
        <f t="shared" si="39"/>
        <v>3</v>
      </c>
      <c r="T243" s="218" t="str">
        <f t="shared" si="40"/>
        <v/>
      </c>
      <c r="U243" s="38">
        <f>IFERROR(1/(1/INDEX(Cascade!$BH:$BH,MATCH($E243,Cascade!$E:$E,0))),"")</f>
        <v>2</v>
      </c>
      <c r="V243" s="38" t="str">
        <f t="shared" si="41"/>
        <v/>
      </c>
      <c r="W243" s="38" t="str">
        <f>IFERROR(1/(1/INDEX(PMTCT!$AC:$AC,MATCH($E243,PMTCT!$E:$E,0))),"")</f>
        <v/>
      </c>
      <c r="X243" s="38" t="str">
        <f>IFERROR(1/(1/INDEX(PMTCT!$AS:$AS,MATCH($E243,PMTCT!$E:$E,0))),"")</f>
        <v/>
      </c>
      <c r="Y243" s="38" t="str">
        <f>IFERROR(1/(1/INDEX(VMMC!$AA:$AA,MATCH($E243,VMMC!$E:$E,0))),"")</f>
        <v/>
      </c>
      <c r="Z243" s="38">
        <f t="shared" si="42"/>
        <v>2</v>
      </c>
    </row>
    <row r="244" spans="1:26" x14ac:dyDescent="0.2">
      <c r="A244" t="str">
        <f>INDEX(Prioritization!$D:$D,MATCH($B244,Prioritization!$A:$A,0))</f>
        <v>4 - Sustained</v>
      </c>
      <c r="B244" t="s">
        <v>311</v>
      </c>
      <c r="C244" t="s">
        <v>473</v>
      </c>
      <c r="D244" t="s">
        <v>48</v>
      </c>
      <c r="E244" t="str">
        <f t="shared" si="34"/>
        <v>Nkhata Bay District [E7zpfyBt7Tw]|01-09|Male</v>
      </c>
      <c r="F244" s="38">
        <v>4</v>
      </c>
      <c r="G244" s="33">
        <v>0.39</v>
      </c>
      <c r="H244" s="218">
        <f t="shared" si="35"/>
        <v>6</v>
      </c>
      <c r="I244" s="38"/>
      <c r="J244" s="33"/>
      <c r="K244" s="33">
        <v>0.45</v>
      </c>
      <c r="L244" s="33"/>
      <c r="M244" s="33">
        <v>0.06</v>
      </c>
      <c r="N244" s="38">
        <f t="shared" si="33"/>
        <v>6</v>
      </c>
      <c r="O244" s="218">
        <f t="shared" si="36"/>
        <v>3</v>
      </c>
      <c r="P244" s="218">
        <f t="shared" si="37"/>
        <v>0</v>
      </c>
      <c r="Q244" s="218">
        <f t="shared" si="38"/>
        <v>3</v>
      </c>
      <c r="R244" s="33" t="str">
        <f>IF(SUM($P244)=0,"",INDEX(Cascade!$BG:$BG,MATCH($E244,Cascade!$E:$E,0)))</f>
        <v/>
      </c>
      <c r="S244" s="218">
        <f t="shared" si="39"/>
        <v>3</v>
      </c>
      <c r="T244" s="218" t="str">
        <f t="shared" si="40"/>
        <v/>
      </c>
      <c r="U244" s="38">
        <f>IFERROR(1/(1/INDEX(Cascade!$BH:$BH,MATCH($E244,Cascade!$E:$E,0))),"")</f>
        <v>2</v>
      </c>
      <c r="V244" s="38" t="str">
        <f t="shared" si="41"/>
        <v/>
      </c>
      <c r="W244" s="38" t="str">
        <f>IFERROR(1/(1/INDEX(PMTCT!$AC:$AC,MATCH($E244,PMTCT!$E:$E,0))),"")</f>
        <v/>
      </c>
      <c r="X244" s="38" t="str">
        <f>IFERROR(1/(1/INDEX(PMTCT!$AS:$AS,MATCH($E244,PMTCT!$E:$E,0))),"")</f>
        <v/>
      </c>
      <c r="Y244" s="38" t="str">
        <f>IFERROR(1/(1/INDEX(VMMC!$AA:$AA,MATCH($E244,VMMC!$E:$E,0))),"")</f>
        <v/>
      </c>
      <c r="Z244" s="38">
        <f t="shared" si="42"/>
        <v>2</v>
      </c>
    </row>
    <row r="245" spans="1:26" x14ac:dyDescent="0.2">
      <c r="A245" t="str">
        <f>INDEX(Prioritization!$D:$D,MATCH($B245,Prioritization!$A:$A,0))</f>
        <v>4 - Sustained</v>
      </c>
      <c r="B245" t="s">
        <v>311</v>
      </c>
      <c r="C245" t="s">
        <v>474</v>
      </c>
      <c r="D245" t="s">
        <v>30</v>
      </c>
      <c r="E245" t="str">
        <f t="shared" si="34"/>
        <v>Nkhata Bay District [E7zpfyBt7Tw]|10-14|Female</v>
      </c>
      <c r="F245" s="38">
        <v>2</v>
      </c>
      <c r="G245" s="33">
        <v>0.39</v>
      </c>
      <c r="H245" s="218">
        <f t="shared" si="35"/>
        <v>3</v>
      </c>
      <c r="I245" s="38"/>
      <c r="J245" s="33"/>
      <c r="K245" s="33">
        <v>0.45</v>
      </c>
      <c r="L245" s="33"/>
      <c r="M245" s="33">
        <v>0.06</v>
      </c>
      <c r="N245" s="38">
        <f t="shared" si="33"/>
        <v>3</v>
      </c>
      <c r="O245" s="218">
        <f t="shared" si="36"/>
        <v>1</v>
      </c>
      <c r="P245" s="218">
        <f t="shared" si="37"/>
        <v>0</v>
      </c>
      <c r="Q245" s="218">
        <f t="shared" si="38"/>
        <v>2</v>
      </c>
      <c r="R245" s="33" t="str">
        <f>IF(SUM($P245)=0,"",INDEX(Cascade!$BG:$BG,MATCH($E245,Cascade!$E:$E,0)))</f>
        <v/>
      </c>
      <c r="S245" s="218">
        <f t="shared" si="39"/>
        <v>1</v>
      </c>
      <c r="T245" s="218" t="str">
        <f t="shared" si="40"/>
        <v/>
      </c>
      <c r="U245" s="38">
        <f>IFERROR(1/(1/INDEX(Cascade!$BH:$BH,MATCH($E245,Cascade!$E:$E,0))),"")</f>
        <v>13</v>
      </c>
      <c r="V245" s="38" t="str">
        <f t="shared" si="41"/>
        <v/>
      </c>
      <c r="W245" s="38" t="str">
        <f>IFERROR(1/(1/INDEX(PMTCT!$AC:$AC,MATCH($E245,PMTCT!$E:$E,0))),"")</f>
        <v/>
      </c>
      <c r="X245" s="38" t="str">
        <f>IFERROR(1/(1/INDEX(PMTCT!$AS:$AS,MATCH($E245,PMTCT!$E:$E,0))),"")</f>
        <v/>
      </c>
      <c r="Y245" s="38" t="str">
        <f>IFERROR(1/(1/INDEX(VMMC!$AA:$AA,MATCH($E245,VMMC!$E:$E,0))),"")</f>
        <v/>
      </c>
      <c r="Z245" s="38">
        <f t="shared" si="42"/>
        <v>13</v>
      </c>
    </row>
    <row r="246" spans="1:26" x14ac:dyDescent="0.2">
      <c r="A246" t="str">
        <f>INDEX(Prioritization!$D:$D,MATCH($B246,Prioritization!$A:$A,0))</f>
        <v>4 - Sustained</v>
      </c>
      <c r="B246" t="s">
        <v>311</v>
      </c>
      <c r="C246" t="s">
        <v>474</v>
      </c>
      <c r="D246" t="s">
        <v>48</v>
      </c>
      <c r="E246" t="str">
        <f t="shared" si="34"/>
        <v>Nkhata Bay District [E7zpfyBt7Tw]|10-14|Male</v>
      </c>
      <c r="F246" s="38">
        <v>2</v>
      </c>
      <c r="G246" s="33">
        <v>0.39</v>
      </c>
      <c r="H246" s="218">
        <f t="shared" si="35"/>
        <v>3</v>
      </c>
      <c r="I246" s="38"/>
      <c r="J246" s="33"/>
      <c r="K246" s="33">
        <v>0.45</v>
      </c>
      <c r="L246" s="33"/>
      <c r="M246" s="33">
        <v>0.06</v>
      </c>
      <c r="N246" s="38">
        <f t="shared" si="33"/>
        <v>3</v>
      </c>
      <c r="O246" s="218">
        <f t="shared" si="36"/>
        <v>1</v>
      </c>
      <c r="P246" s="218">
        <f t="shared" si="37"/>
        <v>0</v>
      </c>
      <c r="Q246" s="218">
        <f t="shared" si="38"/>
        <v>2</v>
      </c>
      <c r="R246" s="33" t="str">
        <f>IF(SUM($P246)=0,"",INDEX(Cascade!$BG:$BG,MATCH($E246,Cascade!$E:$E,0)))</f>
        <v/>
      </c>
      <c r="S246" s="218">
        <f t="shared" si="39"/>
        <v>1</v>
      </c>
      <c r="T246" s="218" t="str">
        <f t="shared" si="40"/>
        <v/>
      </c>
      <c r="U246" s="38">
        <f>IFERROR(1/(1/INDEX(Cascade!$BH:$BH,MATCH($E246,Cascade!$E:$E,0))),"")</f>
        <v>2</v>
      </c>
      <c r="V246" s="38" t="str">
        <f t="shared" si="41"/>
        <v/>
      </c>
      <c r="W246" s="38" t="str">
        <f>IFERROR(1/(1/INDEX(PMTCT!$AC:$AC,MATCH($E246,PMTCT!$E:$E,0))),"")</f>
        <v/>
      </c>
      <c r="X246" s="38" t="str">
        <f>IFERROR(1/(1/INDEX(PMTCT!$AS:$AS,MATCH($E246,PMTCT!$E:$E,0))),"")</f>
        <v/>
      </c>
      <c r="Y246" s="38" t="str">
        <f>IFERROR(1/(1/INDEX(VMMC!$AA:$AA,MATCH($E246,VMMC!$E:$E,0))),"")</f>
        <v/>
      </c>
      <c r="Z246" s="38">
        <f t="shared" si="42"/>
        <v>2</v>
      </c>
    </row>
    <row r="247" spans="1:26" x14ac:dyDescent="0.2">
      <c r="A247" t="str">
        <f>INDEX(Prioritization!$D:$D,MATCH($B247,Prioritization!$A:$A,0))</f>
        <v>4 - Sustained</v>
      </c>
      <c r="B247" t="s">
        <v>311</v>
      </c>
      <c r="C247" t="s">
        <v>475</v>
      </c>
      <c r="D247" t="s">
        <v>30</v>
      </c>
      <c r="E247" t="str">
        <f t="shared" si="34"/>
        <v>Nkhata Bay District [E7zpfyBt7Tw]|15-24|Female</v>
      </c>
      <c r="F247" s="38">
        <v>12</v>
      </c>
      <c r="G247" s="33">
        <v>0.39</v>
      </c>
      <c r="H247" s="218">
        <f t="shared" si="35"/>
        <v>17</v>
      </c>
      <c r="I247" s="38"/>
      <c r="J247" s="33"/>
      <c r="K247" s="33">
        <v>0.45</v>
      </c>
      <c r="L247" s="33"/>
      <c r="M247" s="33">
        <v>0.06</v>
      </c>
      <c r="N247" s="38">
        <f t="shared" si="33"/>
        <v>17</v>
      </c>
      <c r="O247" s="218">
        <f t="shared" si="36"/>
        <v>8</v>
      </c>
      <c r="P247" s="218">
        <f t="shared" si="37"/>
        <v>1</v>
      </c>
      <c r="Q247" s="218">
        <f t="shared" si="38"/>
        <v>8</v>
      </c>
      <c r="R247" s="33">
        <f>IF(SUM($P247)=0,"",INDEX(Cascade!$BG:$BG,MATCH($E247,Cascade!$E:$E,0)))</f>
        <v>0.95</v>
      </c>
      <c r="S247" s="218">
        <f t="shared" si="39"/>
        <v>8</v>
      </c>
      <c r="T247" s="218">
        <f t="shared" si="40"/>
        <v>1</v>
      </c>
      <c r="U247" s="38">
        <f>IFERROR(1/(1/INDEX(Cascade!$BH:$BH,MATCH($E247,Cascade!$E:$E,0))),"")</f>
        <v>94</v>
      </c>
      <c r="V247" s="38">
        <f t="shared" si="41"/>
        <v>1</v>
      </c>
      <c r="W247" s="38">
        <f>IFERROR(1/(1/INDEX(PMTCT!$AC:$AC,MATCH($E247,PMTCT!$E:$E,0))),"")</f>
        <v>42</v>
      </c>
      <c r="X247" s="38">
        <f>IFERROR(1/(1/INDEX(PMTCT!$AS:$AS,MATCH($E247,PMTCT!$E:$E,0))),"")</f>
        <v>19</v>
      </c>
      <c r="Y247" s="38" t="str">
        <f>IFERROR(1/(1/INDEX(VMMC!$AA:$AA,MATCH($E247,VMMC!$E:$E,0))),"")</f>
        <v/>
      </c>
      <c r="Z247" s="38">
        <f t="shared" si="42"/>
        <v>32</v>
      </c>
    </row>
    <row r="248" spans="1:26" x14ac:dyDescent="0.2">
      <c r="A248" t="str">
        <f>INDEX(Prioritization!$D:$D,MATCH($B248,Prioritization!$A:$A,0))</f>
        <v>4 - Sustained</v>
      </c>
      <c r="B248" t="s">
        <v>311</v>
      </c>
      <c r="C248" t="s">
        <v>475</v>
      </c>
      <c r="D248" t="s">
        <v>48</v>
      </c>
      <c r="E248" t="str">
        <f t="shared" si="34"/>
        <v>Nkhata Bay District [E7zpfyBt7Tw]|15-24|Male</v>
      </c>
      <c r="F248" s="38">
        <v>19</v>
      </c>
      <c r="G248" s="33">
        <v>0.39</v>
      </c>
      <c r="H248" s="218">
        <f t="shared" si="35"/>
        <v>26</v>
      </c>
      <c r="I248" s="38">
        <v>1</v>
      </c>
      <c r="J248" s="33"/>
      <c r="K248" s="33">
        <v>0.45</v>
      </c>
      <c r="L248" s="33"/>
      <c r="M248" s="33">
        <v>0.06</v>
      </c>
      <c r="N248" s="38">
        <f t="shared" si="33"/>
        <v>26</v>
      </c>
      <c r="O248" s="218">
        <f t="shared" si="36"/>
        <v>12</v>
      </c>
      <c r="P248" s="218">
        <f t="shared" si="37"/>
        <v>1</v>
      </c>
      <c r="Q248" s="218">
        <f t="shared" si="38"/>
        <v>13</v>
      </c>
      <c r="R248" s="33">
        <f>IF(SUM($P248)=0,"",INDEX(Cascade!$BG:$BG,MATCH($E248,Cascade!$E:$E,0)))</f>
        <v>0.95</v>
      </c>
      <c r="S248" s="218">
        <f t="shared" si="39"/>
        <v>12</v>
      </c>
      <c r="T248" s="218">
        <f t="shared" si="40"/>
        <v>1</v>
      </c>
      <c r="U248" s="38">
        <f>IFERROR(1/(1/INDEX(Cascade!$BH:$BH,MATCH($E248,Cascade!$E:$E,0))),"")</f>
        <v>20</v>
      </c>
      <c r="V248" s="38">
        <f t="shared" si="41"/>
        <v>1</v>
      </c>
      <c r="W248" s="38" t="str">
        <f>IFERROR(1/(1/INDEX(PMTCT!$AC:$AC,MATCH($E248,PMTCT!$E:$E,0))),"")</f>
        <v/>
      </c>
      <c r="X248" s="38" t="str">
        <f>IFERROR(1/(1/INDEX(PMTCT!$AS:$AS,MATCH($E248,PMTCT!$E:$E,0))),"")</f>
        <v/>
      </c>
      <c r="Y248" s="38" t="str">
        <f>IFERROR(1/(1/INDEX(VMMC!$AA:$AA,MATCH($E248,VMMC!$E:$E,0))),"")</f>
        <v/>
      </c>
      <c r="Z248" s="38">
        <f t="shared" si="42"/>
        <v>19</v>
      </c>
    </row>
    <row r="249" spans="1:26" x14ac:dyDescent="0.2">
      <c r="A249" t="str">
        <f>INDEX(Prioritization!$D:$D,MATCH($B249,Prioritization!$A:$A,0))</f>
        <v>4 - Sustained</v>
      </c>
      <c r="B249" t="s">
        <v>311</v>
      </c>
      <c r="C249" t="s">
        <v>476</v>
      </c>
      <c r="D249" t="s">
        <v>30</v>
      </c>
      <c r="E249" t="str">
        <f t="shared" si="34"/>
        <v>Nkhata Bay District [E7zpfyBt7Tw]|25-34|Female</v>
      </c>
      <c r="F249" s="38">
        <v>12</v>
      </c>
      <c r="G249" s="33">
        <v>0.39</v>
      </c>
      <c r="H249" s="218">
        <f t="shared" si="35"/>
        <v>17</v>
      </c>
      <c r="I249" s="38"/>
      <c r="J249" s="33"/>
      <c r="K249" s="33">
        <v>0.45</v>
      </c>
      <c r="L249" s="33"/>
      <c r="M249" s="33">
        <v>0.06</v>
      </c>
      <c r="N249" s="38">
        <f t="shared" si="33"/>
        <v>17</v>
      </c>
      <c r="O249" s="218">
        <f t="shared" si="36"/>
        <v>8</v>
      </c>
      <c r="P249" s="218">
        <f t="shared" si="37"/>
        <v>1</v>
      </c>
      <c r="Q249" s="218">
        <f t="shared" si="38"/>
        <v>8</v>
      </c>
      <c r="R249" s="33">
        <f>IF(SUM($P249)=0,"",INDEX(Cascade!$BG:$BG,MATCH($E249,Cascade!$E:$E,0)))</f>
        <v>0.95</v>
      </c>
      <c r="S249" s="218">
        <f t="shared" si="39"/>
        <v>8</v>
      </c>
      <c r="T249" s="218">
        <f t="shared" si="40"/>
        <v>1</v>
      </c>
      <c r="U249" s="38">
        <f>IFERROR(1/(1/INDEX(Cascade!$BH:$BH,MATCH($E249,Cascade!$E:$E,0))),"")</f>
        <v>152</v>
      </c>
      <c r="V249" s="38">
        <f t="shared" si="41"/>
        <v>1</v>
      </c>
      <c r="W249" s="38">
        <f>IFERROR(1/(1/INDEX(PMTCT!$AC:$AC,MATCH($E249,PMTCT!$E:$E,0))),"")</f>
        <v>28</v>
      </c>
      <c r="X249" s="38">
        <f>IFERROR(1/(1/INDEX(PMTCT!$AS:$AS,MATCH($E249,PMTCT!$E:$E,0))),"")</f>
        <v>10</v>
      </c>
      <c r="Y249" s="38" t="str">
        <f>IFERROR(1/(1/INDEX(VMMC!$AA:$AA,MATCH($E249,VMMC!$E:$E,0))),"")</f>
        <v/>
      </c>
      <c r="Z249" s="38">
        <f t="shared" si="42"/>
        <v>113</v>
      </c>
    </row>
    <row r="250" spans="1:26" x14ac:dyDescent="0.2">
      <c r="A250" t="str">
        <f>INDEX(Prioritization!$D:$D,MATCH($B250,Prioritization!$A:$A,0))</f>
        <v>4 - Sustained</v>
      </c>
      <c r="B250" t="s">
        <v>311</v>
      </c>
      <c r="C250" t="s">
        <v>476</v>
      </c>
      <c r="D250" t="s">
        <v>48</v>
      </c>
      <c r="E250" t="str">
        <f t="shared" si="34"/>
        <v>Nkhata Bay District [E7zpfyBt7Tw]|25-34|Male</v>
      </c>
      <c r="F250" s="38">
        <v>19</v>
      </c>
      <c r="G250" s="33">
        <v>0.39</v>
      </c>
      <c r="H250" s="218">
        <f t="shared" si="35"/>
        <v>26</v>
      </c>
      <c r="I250" s="38">
        <v>1</v>
      </c>
      <c r="J250" s="33"/>
      <c r="K250" s="33">
        <v>0.45</v>
      </c>
      <c r="L250" s="33"/>
      <c r="M250" s="33">
        <v>0.06</v>
      </c>
      <c r="N250" s="38">
        <f t="shared" si="33"/>
        <v>26</v>
      </c>
      <c r="O250" s="218">
        <f t="shared" si="36"/>
        <v>12</v>
      </c>
      <c r="P250" s="218">
        <f t="shared" si="37"/>
        <v>1</v>
      </c>
      <c r="Q250" s="218">
        <f t="shared" si="38"/>
        <v>13</v>
      </c>
      <c r="R250" s="33">
        <f>IF(SUM($P250)=0,"",INDEX(Cascade!$BG:$BG,MATCH($E250,Cascade!$E:$E,0)))</f>
        <v>0.95</v>
      </c>
      <c r="S250" s="218">
        <f t="shared" si="39"/>
        <v>12</v>
      </c>
      <c r="T250" s="218">
        <f t="shared" si="40"/>
        <v>1</v>
      </c>
      <c r="U250" s="38">
        <f>IFERROR(1/(1/INDEX(Cascade!$BH:$BH,MATCH($E250,Cascade!$E:$E,0))),"")</f>
        <v>26</v>
      </c>
      <c r="V250" s="38">
        <f t="shared" si="41"/>
        <v>1</v>
      </c>
      <c r="W250" s="38" t="str">
        <f>IFERROR(1/(1/INDEX(PMTCT!$AC:$AC,MATCH($E250,PMTCT!$E:$E,0))),"")</f>
        <v/>
      </c>
      <c r="X250" s="38" t="str">
        <f>IFERROR(1/(1/INDEX(PMTCT!$AS:$AS,MATCH($E250,PMTCT!$E:$E,0))),"")</f>
        <v/>
      </c>
      <c r="Y250" s="38" t="str">
        <f>IFERROR(1/(1/INDEX(VMMC!$AA:$AA,MATCH($E250,VMMC!$E:$E,0))),"")</f>
        <v/>
      </c>
      <c r="Z250" s="38">
        <f t="shared" si="42"/>
        <v>25</v>
      </c>
    </row>
    <row r="251" spans="1:26" x14ac:dyDescent="0.2">
      <c r="A251" t="str">
        <f>INDEX(Prioritization!$D:$D,MATCH($B251,Prioritization!$A:$A,0))</f>
        <v>4 - Sustained</v>
      </c>
      <c r="B251" t="s">
        <v>311</v>
      </c>
      <c r="C251" t="s">
        <v>477</v>
      </c>
      <c r="D251" t="s">
        <v>30</v>
      </c>
      <c r="E251" t="str">
        <f t="shared" si="34"/>
        <v>Nkhata Bay District [E7zpfyBt7Tw]|35-49|Female</v>
      </c>
      <c r="F251" s="38">
        <v>19</v>
      </c>
      <c r="G251" s="33">
        <v>0.39</v>
      </c>
      <c r="H251" s="218">
        <f t="shared" si="35"/>
        <v>26</v>
      </c>
      <c r="I251" s="38">
        <v>1</v>
      </c>
      <c r="J251" s="33"/>
      <c r="K251" s="33">
        <v>0.45</v>
      </c>
      <c r="L251" s="33"/>
      <c r="M251" s="33">
        <v>0.06</v>
      </c>
      <c r="N251" s="38">
        <f t="shared" si="33"/>
        <v>26</v>
      </c>
      <c r="O251" s="218">
        <f t="shared" si="36"/>
        <v>12</v>
      </c>
      <c r="P251" s="218">
        <f t="shared" si="37"/>
        <v>1</v>
      </c>
      <c r="Q251" s="218">
        <f t="shared" si="38"/>
        <v>13</v>
      </c>
      <c r="R251" s="33">
        <f>IF(SUM($P251)=0,"",INDEX(Cascade!$BG:$BG,MATCH($E251,Cascade!$E:$E,0)))</f>
        <v>0.95</v>
      </c>
      <c r="S251" s="218">
        <f t="shared" si="39"/>
        <v>12</v>
      </c>
      <c r="T251" s="218">
        <f t="shared" si="40"/>
        <v>1</v>
      </c>
      <c r="U251" s="38">
        <f>IFERROR(1/(1/INDEX(Cascade!$BH:$BH,MATCH($E251,Cascade!$E:$E,0))),"")</f>
        <v>72</v>
      </c>
      <c r="V251" s="38">
        <f t="shared" si="41"/>
        <v>1</v>
      </c>
      <c r="W251" s="38">
        <f>IFERROR(1/(1/INDEX(PMTCT!$AC:$AC,MATCH($E251,PMTCT!$E:$E,0))),"")</f>
        <v>8</v>
      </c>
      <c r="X251" s="38">
        <f>IFERROR(1/(1/INDEX(PMTCT!$AS:$AS,MATCH($E251,PMTCT!$E:$E,0))),"")</f>
        <v>3</v>
      </c>
      <c r="Y251" s="38" t="str">
        <f>IFERROR(1/(1/INDEX(VMMC!$AA:$AA,MATCH($E251,VMMC!$E:$E,0))),"")</f>
        <v/>
      </c>
      <c r="Z251" s="38">
        <f t="shared" si="42"/>
        <v>60</v>
      </c>
    </row>
    <row r="252" spans="1:26" x14ac:dyDescent="0.2">
      <c r="A252" t="str">
        <f>INDEX(Prioritization!$D:$D,MATCH($B252,Prioritization!$A:$A,0))</f>
        <v>4 - Sustained</v>
      </c>
      <c r="B252" t="s">
        <v>311</v>
      </c>
      <c r="C252" t="s">
        <v>477</v>
      </c>
      <c r="D252" t="s">
        <v>48</v>
      </c>
      <c r="E252" t="str">
        <f t="shared" si="34"/>
        <v>Nkhata Bay District [E7zpfyBt7Tw]|35-49|Male</v>
      </c>
      <c r="F252" s="38">
        <v>28</v>
      </c>
      <c r="G252" s="33">
        <v>0.39</v>
      </c>
      <c r="H252" s="218">
        <f t="shared" si="35"/>
        <v>39</v>
      </c>
      <c r="I252" s="38">
        <v>1</v>
      </c>
      <c r="J252" s="33"/>
      <c r="K252" s="33">
        <v>0.45</v>
      </c>
      <c r="L252" s="33"/>
      <c r="M252" s="33">
        <v>0.06</v>
      </c>
      <c r="N252" s="38">
        <f t="shared" si="33"/>
        <v>39</v>
      </c>
      <c r="O252" s="218">
        <f t="shared" si="36"/>
        <v>18</v>
      </c>
      <c r="P252" s="218">
        <f t="shared" si="37"/>
        <v>1</v>
      </c>
      <c r="Q252" s="218">
        <f t="shared" si="38"/>
        <v>20</v>
      </c>
      <c r="R252" s="33">
        <f>IF(SUM($P252)=0,"",INDEX(Cascade!$BG:$BG,MATCH($E252,Cascade!$E:$E,0)))</f>
        <v>0.95</v>
      </c>
      <c r="S252" s="218">
        <f t="shared" si="39"/>
        <v>18</v>
      </c>
      <c r="T252" s="218">
        <f t="shared" si="40"/>
        <v>1</v>
      </c>
      <c r="U252" s="38">
        <f>IFERROR(1/(1/INDEX(Cascade!$BH:$BH,MATCH($E252,Cascade!$E:$E,0))),"")</f>
        <v>40</v>
      </c>
      <c r="V252" s="38">
        <f t="shared" si="41"/>
        <v>1</v>
      </c>
      <c r="W252" s="38" t="str">
        <f>IFERROR(1/(1/INDEX(PMTCT!$AC:$AC,MATCH($E252,PMTCT!$E:$E,0))),"")</f>
        <v/>
      </c>
      <c r="X252" s="38" t="str">
        <f>IFERROR(1/(1/INDEX(PMTCT!$AS:$AS,MATCH($E252,PMTCT!$E:$E,0))),"")</f>
        <v/>
      </c>
      <c r="Y252" s="38" t="str">
        <f>IFERROR(1/(1/INDEX(VMMC!$AA:$AA,MATCH($E252,VMMC!$E:$E,0))),"")</f>
        <v/>
      </c>
      <c r="Z252" s="38">
        <f t="shared" si="42"/>
        <v>39</v>
      </c>
    </row>
    <row r="253" spans="1:26" x14ac:dyDescent="0.2">
      <c r="A253" t="str">
        <f>INDEX(Prioritization!$D:$D,MATCH($B253,Prioritization!$A:$A,0))</f>
        <v>4 - Sustained</v>
      </c>
      <c r="B253" t="s">
        <v>311</v>
      </c>
      <c r="C253" t="s">
        <v>478</v>
      </c>
      <c r="D253" t="s">
        <v>30</v>
      </c>
      <c r="E253" t="str">
        <f t="shared" si="34"/>
        <v>Nkhata Bay District [E7zpfyBt7Tw]|50+|Female</v>
      </c>
      <c r="F253" s="38">
        <v>7</v>
      </c>
      <c r="G253" s="33">
        <v>0.39</v>
      </c>
      <c r="H253" s="218">
        <f t="shared" si="35"/>
        <v>10</v>
      </c>
      <c r="I253" s="38"/>
      <c r="J253" s="33"/>
      <c r="K253" s="33">
        <v>0.45</v>
      </c>
      <c r="L253" s="33"/>
      <c r="M253" s="33">
        <v>0.06</v>
      </c>
      <c r="N253" s="38">
        <f t="shared" si="33"/>
        <v>10</v>
      </c>
      <c r="O253" s="218">
        <f t="shared" si="36"/>
        <v>5</v>
      </c>
      <c r="P253" s="218">
        <f t="shared" si="37"/>
        <v>0</v>
      </c>
      <c r="Q253" s="218">
        <f t="shared" si="38"/>
        <v>5</v>
      </c>
      <c r="R253" s="33" t="str">
        <f>IF(SUM($P253)=0,"",INDEX(Cascade!$BG:$BG,MATCH($E253,Cascade!$E:$E,0)))</f>
        <v/>
      </c>
      <c r="S253" s="218">
        <f t="shared" si="39"/>
        <v>5</v>
      </c>
      <c r="T253" s="218" t="str">
        <f t="shared" si="40"/>
        <v/>
      </c>
      <c r="U253" s="38">
        <f>IFERROR(1/(1/INDEX(Cascade!$BH:$BH,MATCH($E253,Cascade!$E:$E,0))),"")</f>
        <v>79</v>
      </c>
      <c r="V253" s="38" t="str">
        <f t="shared" si="41"/>
        <v/>
      </c>
      <c r="W253" s="38" t="str">
        <f>IFERROR(1/(1/INDEX(PMTCT!$AC:$AC,MATCH($E253,PMTCT!$E:$E,0))),"")</f>
        <v/>
      </c>
      <c r="X253" s="38" t="str">
        <f>IFERROR(1/(1/INDEX(PMTCT!$AS:$AS,MATCH($E253,PMTCT!$E:$E,0))),"")</f>
        <v/>
      </c>
      <c r="Y253" s="38" t="str">
        <f>IFERROR(1/(1/INDEX(VMMC!$AA:$AA,MATCH($E253,VMMC!$E:$E,0))),"")</f>
        <v/>
      </c>
      <c r="Z253" s="38">
        <f t="shared" si="42"/>
        <v>79</v>
      </c>
    </row>
    <row r="254" spans="1:26" x14ac:dyDescent="0.2">
      <c r="A254" t="str">
        <f>INDEX(Prioritization!$D:$D,MATCH($B254,Prioritization!$A:$A,0))</f>
        <v>4 - Sustained</v>
      </c>
      <c r="B254" t="s">
        <v>311</v>
      </c>
      <c r="C254" t="s">
        <v>478</v>
      </c>
      <c r="D254" t="s">
        <v>48</v>
      </c>
      <c r="E254" t="str">
        <f t="shared" si="34"/>
        <v>Nkhata Bay District [E7zpfyBt7Tw]|50+|Male</v>
      </c>
      <c r="F254" s="38">
        <v>9</v>
      </c>
      <c r="G254" s="33">
        <v>0.39</v>
      </c>
      <c r="H254" s="218">
        <f t="shared" si="35"/>
        <v>13</v>
      </c>
      <c r="I254" s="38"/>
      <c r="J254" s="33"/>
      <c r="K254" s="33">
        <v>0.45</v>
      </c>
      <c r="L254" s="33"/>
      <c r="M254" s="33">
        <v>0.06</v>
      </c>
      <c r="N254" s="38">
        <f t="shared" si="33"/>
        <v>13</v>
      </c>
      <c r="O254" s="218">
        <f t="shared" si="36"/>
        <v>6</v>
      </c>
      <c r="P254" s="218">
        <f t="shared" si="37"/>
        <v>0</v>
      </c>
      <c r="Q254" s="218">
        <f t="shared" si="38"/>
        <v>7</v>
      </c>
      <c r="R254" s="33" t="str">
        <f>IF(SUM($P254)=0,"",INDEX(Cascade!$BG:$BG,MATCH($E254,Cascade!$E:$E,0)))</f>
        <v/>
      </c>
      <c r="S254" s="218">
        <f t="shared" si="39"/>
        <v>6</v>
      </c>
      <c r="T254" s="218" t="str">
        <f t="shared" si="40"/>
        <v/>
      </c>
      <c r="U254" s="38">
        <f>IFERROR(1/(1/INDEX(Cascade!$BH:$BH,MATCH($E254,Cascade!$E:$E,0))),"")</f>
        <v>42</v>
      </c>
      <c r="V254" s="38" t="str">
        <f t="shared" si="41"/>
        <v/>
      </c>
      <c r="W254" s="38" t="str">
        <f>IFERROR(1/(1/INDEX(PMTCT!$AC:$AC,MATCH($E254,PMTCT!$E:$E,0))),"")</f>
        <v/>
      </c>
      <c r="X254" s="38" t="str">
        <f>IFERROR(1/(1/INDEX(PMTCT!$AS:$AS,MATCH($E254,PMTCT!$E:$E,0))),"")</f>
        <v/>
      </c>
      <c r="Y254" s="38" t="str">
        <f>IFERROR(1/(1/INDEX(VMMC!$AA:$AA,MATCH($E254,VMMC!$E:$E,0))),"")</f>
        <v/>
      </c>
      <c r="Z254" s="38">
        <f t="shared" si="42"/>
        <v>42</v>
      </c>
    </row>
    <row r="255" spans="1:26" x14ac:dyDescent="0.2">
      <c r="A255" t="str">
        <f>INDEX(Prioritization!$D:$D,MATCH($B255,Prioritization!$A:$A,0))</f>
        <v>4 - Sustained</v>
      </c>
      <c r="B255" t="s">
        <v>303</v>
      </c>
      <c r="C255" t="s">
        <v>473</v>
      </c>
      <c r="D255" t="s">
        <v>30</v>
      </c>
      <c r="E255" t="str">
        <f t="shared" si="34"/>
        <v>Nkhotakota District [YCKiBAp8QAg]|01-09|Female</v>
      </c>
      <c r="F255" s="38">
        <v>6</v>
      </c>
      <c r="G255" s="33">
        <v>0.39</v>
      </c>
      <c r="H255" s="218">
        <f t="shared" si="35"/>
        <v>8</v>
      </c>
      <c r="I255" s="38"/>
      <c r="J255" s="33"/>
      <c r="K255" s="33">
        <v>0.45</v>
      </c>
      <c r="L255" s="33"/>
      <c r="M255" s="33">
        <v>0.06</v>
      </c>
      <c r="N255" s="38">
        <f t="shared" si="33"/>
        <v>8</v>
      </c>
      <c r="O255" s="218">
        <f t="shared" si="36"/>
        <v>4</v>
      </c>
      <c r="P255" s="218">
        <f t="shared" si="37"/>
        <v>0</v>
      </c>
      <c r="Q255" s="218">
        <f t="shared" si="38"/>
        <v>4</v>
      </c>
      <c r="R255" s="33" t="str">
        <f>IF(SUM($P255)=0,"",INDEX(Cascade!$BG:$BG,MATCH($E255,Cascade!$E:$E,0)))</f>
        <v/>
      </c>
      <c r="S255" s="218">
        <f t="shared" si="39"/>
        <v>4</v>
      </c>
      <c r="T255" s="218" t="str">
        <f t="shared" si="40"/>
        <v/>
      </c>
      <c r="U255" s="38">
        <f>IFERROR(1/(1/INDEX(Cascade!$BH:$BH,MATCH($E255,Cascade!$E:$E,0))),"")</f>
        <v>3</v>
      </c>
      <c r="V255" s="38" t="str">
        <f t="shared" si="41"/>
        <v/>
      </c>
      <c r="W255" s="38" t="str">
        <f>IFERROR(1/(1/INDEX(PMTCT!$AC:$AC,MATCH($E255,PMTCT!$E:$E,0))),"")</f>
        <v/>
      </c>
      <c r="X255" s="38" t="str">
        <f>IFERROR(1/(1/INDEX(PMTCT!$AS:$AS,MATCH($E255,PMTCT!$E:$E,0))),"")</f>
        <v/>
      </c>
      <c r="Y255" s="38" t="str">
        <f>IFERROR(1/(1/INDEX(VMMC!$AA:$AA,MATCH($E255,VMMC!$E:$E,0))),"")</f>
        <v/>
      </c>
      <c r="Z255" s="38">
        <f t="shared" si="42"/>
        <v>3</v>
      </c>
    </row>
    <row r="256" spans="1:26" x14ac:dyDescent="0.2">
      <c r="A256" t="str">
        <f>INDEX(Prioritization!$D:$D,MATCH($B256,Prioritization!$A:$A,0))</f>
        <v>4 - Sustained</v>
      </c>
      <c r="B256" t="s">
        <v>303</v>
      </c>
      <c r="C256" t="s">
        <v>473</v>
      </c>
      <c r="D256" t="s">
        <v>48</v>
      </c>
      <c r="E256" t="str">
        <f t="shared" si="34"/>
        <v>Nkhotakota District [YCKiBAp8QAg]|01-09|Male</v>
      </c>
      <c r="F256" s="38">
        <v>6</v>
      </c>
      <c r="G256" s="33">
        <v>0.39</v>
      </c>
      <c r="H256" s="218">
        <f t="shared" si="35"/>
        <v>8</v>
      </c>
      <c r="I256" s="38"/>
      <c r="J256" s="33"/>
      <c r="K256" s="33">
        <v>0.45</v>
      </c>
      <c r="L256" s="33"/>
      <c r="M256" s="33">
        <v>0.06</v>
      </c>
      <c r="N256" s="38">
        <f t="shared" si="33"/>
        <v>8</v>
      </c>
      <c r="O256" s="218">
        <f t="shared" si="36"/>
        <v>4</v>
      </c>
      <c r="P256" s="218">
        <f t="shared" si="37"/>
        <v>0</v>
      </c>
      <c r="Q256" s="218">
        <f t="shared" si="38"/>
        <v>4</v>
      </c>
      <c r="R256" s="33" t="str">
        <f>IF(SUM($P256)=0,"",INDEX(Cascade!$BG:$BG,MATCH($E256,Cascade!$E:$E,0)))</f>
        <v/>
      </c>
      <c r="S256" s="218">
        <f t="shared" si="39"/>
        <v>4</v>
      </c>
      <c r="T256" s="218" t="str">
        <f t="shared" si="40"/>
        <v/>
      </c>
      <c r="U256" s="38">
        <f>IFERROR(1/(1/INDEX(Cascade!$BH:$BH,MATCH($E256,Cascade!$E:$E,0))),"")</f>
        <v>3</v>
      </c>
      <c r="V256" s="38" t="str">
        <f t="shared" si="41"/>
        <v/>
      </c>
      <c r="W256" s="38" t="str">
        <f>IFERROR(1/(1/INDEX(PMTCT!$AC:$AC,MATCH($E256,PMTCT!$E:$E,0))),"")</f>
        <v/>
      </c>
      <c r="X256" s="38" t="str">
        <f>IFERROR(1/(1/INDEX(PMTCT!$AS:$AS,MATCH($E256,PMTCT!$E:$E,0))),"")</f>
        <v/>
      </c>
      <c r="Y256" s="38" t="str">
        <f>IFERROR(1/(1/INDEX(VMMC!$AA:$AA,MATCH($E256,VMMC!$E:$E,0))),"")</f>
        <v/>
      </c>
      <c r="Z256" s="38">
        <f t="shared" si="42"/>
        <v>3</v>
      </c>
    </row>
    <row r="257" spans="1:26" x14ac:dyDescent="0.2">
      <c r="A257" t="str">
        <f>INDEX(Prioritization!$D:$D,MATCH($B257,Prioritization!$A:$A,0))</f>
        <v>4 - Sustained</v>
      </c>
      <c r="B257" t="s">
        <v>303</v>
      </c>
      <c r="C257" t="s">
        <v>474</v>
      </c>
      <c r="D257" t="s">
        <v>30</v>
      </c>
      <c r="E257" t="str">
        <f t="shared" si="34"/>
        <v>Nkhotakota District [YCKiBAp8QAg]|10-14|Female</v>
      </c>
      <c r="F257" s="38">
        <v>3</v>
      </c>
      <c r="G257" s="33">
        <v>0.39</v>
      </c>
      <c r="H257" s="218">
        <f t="shared" si="35"/>
        <v>4</v>
      </c>
      <c r="I257" s="38"/>
      <c r="J257" s="33"/>
      <c r="K257" s="33">
        <v>0.45</v>
      </c>
      <c r="L257" s="33"/>
      <c r="M257" s="33">
        <v>0.06</v>
      </c>
      <c r="N257" s="38">
        <f t="shared" si="33"/>
        <v>4</v>
      </c>
      <c r="O257" s="218">
        <f t="shared" si="36"/>
        <v>2</v>
      </c>
      <c r="P257" s="218">
        <f t="shared" si="37"/>
        <v>0</v>
      </c>
      <c r="Q257" s="218">
        <f t="shared" si="38"/>
        <v>2</v>
      </c>
      <c r="R257" s="33" t="str">
        <f>IF(SUM($P257)=0,"",INDEX(Cascade!$BG:$BG,MATCH($E257,Cascade!$E:$E,0)))</f>
        <v/>
      </c>
      <c r="S257" s="218">
        <f t="shared" si="39"/>
        <v>2</v>
      </c>
      <c r="T257" s="218" t="str">
        <f t="shared" si="40"/>
        <v/>
      </c>
      <c r="U257" s="38">
        <f>IFERROR(1/(1/INDEX(Cascade!$BH:$BH,MATCH($E257,Cascade!$E:$E,0))),"")</f>
        <v>17</v>
      </c>
      <c r="V257" s="38" t="str">
        <f t="shared" si="41"/>
        <v/>
      </c>
      <c r="W257" s="38">
        <f>IFERROR(1/(1/INDEX(PMTCT!$AC:$AC,MATCH($E257,PMTCT!$E:$E,0))),"")</f>
        <v>1</v>
      </c>
      <c r="X257" s="38" t="str">
        <f>IFERROR(1/(1/INDEX(PMTCT!$AS:$AS,MATCH($E257,PMTCT!$E:$E,0))),"")</f>
        <v/>
      </c>
      <c r="Y257" s="38" t="str">
        <f>IFERROR(1/(1/INDEX(VMMC!$AA:$AA,MATCH($E257,VMMC!$E:$E,0))),"")</f>
        <v/>
      </c>
      <c r="Z257" s="38">
        <f t="shared" si="42"/>
        <v>16</v>
      </c>
    </row>
    <row r="258" spans="1:26" x14ac:dyDescent="0.2">
      <c r="A258" t="str">
        <f>INDEX(Prioritization!$D:$D,MATCH($B258,Prioritization!$A:$A,0))</f>
        <v>4 - Sustained</v>
      </c>
      <c r="B258" t="s">
        <v>303</v>
      </c>
      <c r="C258" t="s">
        <v>474</v>
      </c>
      <c r="D258" t="s">
        <v>48</v>
      </c>
      <c r="E258" t="str">
        <f t="shared" si="34"/>
        <v>Nkhotakota District [YCKiBAp8QAg]|10-14|Male</v>
      </c>
      <c r="F258" s="38">
        <v>3</v>
      </c>
      <c r="G258" s="33">
        <v>0.39</v>
      </c>
      <c r="H258" s="218">
        <f t="shared" si="35"/>
        <v>4</v>
      </c>
      <c r="I258" s="38"/>
      <c r="J258" s="33"/>
      <c r="K258" s="33">
        <v>0.45</v>
      </c>
      <c r="L258" s="33"/>
      <c r="M258" s="33">
        <v>0.06</v>
      </c>
      <c r="N258" s="38">
        <f t="shared" si="33"/>
        <v>4</v>
      </c>
      <c r="O258" s="218">
        <f t="shared" si="36"/>
        <v>2</v>
      </c>
      <c r="P258" s="218">
        <f t="shared" si="37"/>
        <v>0</v>
      </c>
      <c r="Q258" s="218">
        <f t="shared" si="38"/>
        <v>2</v>
      </c>
      <c r="R258" s="33" t="str">
        <f>IF(SUM($P258)=0,"",INDEX(Cascade!$BG:$BG,MATCH($E258,Cascade!$E:$E,0)))</f>
        <v/>
      </c>
      <c r="S258" s="218">
        <f t="shared" si="39"/>
        <v>2</v>
      </c>
      <c r="T258" s="218" t="str">
        <f t="shared" si="40"/>
        <v/>
      </c>
      <c r="U258" s="38">
        <f>IFERROR(1/(1/INDEX(Cascade!$BH:$BH,MATCH($E258,Cascade!$E:$E,0))),"")</f>
        <v>3</v>
      </c>
      <c r="V258" s="38" t="str">
        <f t="shared" si="41"/>
        <v/>
      </c>
      <c r="W258" s="38" t="str">
        <f>IFERROR(1/(1/INDEX(PMTCT!$AC:$AC,MATCH($E258,PMTCT!$E:$E,0))),"")</f>
        <v/>
      </c>
      <c r="X258" s="38" t="str">
        <f>IFERROR(1/(1/INDEX(PMTCT!$AS:$AS,MATCH($E258,PMTCT!$E:$E,0))),"")</f>
        <v/>
      </c>
      <c r="Y258" s="38" t="str">
        <f>IFERROR(1/(1/INDEX(VMMC!$AA:$AA,MATCH($E258,VMMC!$E:$E,0))),"")</f>
        <v/>
      </c>
      <c r="Z258" s="38">
        <f t="shared" si="42"/>
        <v>3</v>
      </c>
    </row>
    <row r="259" spans="1:26" x14ac:dyDescent="0.2">
      <c r="A259" t="str">
        <f>INDEX(Prioritization!$D:$D,MATCH($B259,Prioritization!$A:$A,0))</f>
        <v>4 - Sustained</v>
      </c>
      <c r="B259" t="s">
        <v>303</v>
      </c>
      <c r="C259" t="s">
        <v>475</v>
      </c>
      <c r="D259" t="s">
        <v>30</v>
      </c>
      <c r="E259" t="str">
        <f t="shared" si="34"/>
        <v>Nkhotakota District [YCKiBAp8QAg]|15-24|Female</v>
      </c>
      <c r="F259" s="38">
        <v>22</v>
      </c>
      <c r="G259" s="33">
        <v>0.39</v>
      </c>
      <c r="H259" s="218">
        <f t="shared" si="35"/>
        <v>31</v>
      </c>
      <c r="I259" s="38">
        <v>1</v>
      </c>
      <c r="J259" s="33"/>
      <c r="K259" s="33">
        <v>0.45</v>
      </c>
      <c r="L259" s="33"/>
      <c r="M259" s="33">
        <v>0.06</v>
      </c>
      <c r="N259" s="38">
        <f t="shared" si="33"/>
        <v>31</v>
      </c>
      <c r="O259" s="218">
        <f t="shared" si="36"/>
        <v>14</v>
      </c>
      <c r="P259" s="218">
        <f t="shared" si="37"/>
        <v>1</v>
      </c>
      <c r="Q259" s="218">
        <f t="shared" si="38"/>
        <v>16</v>
      </c>
      <c r="R259" s="33">
        <f>IF(SUM($P259)=0,"",INDEX(Cascade!$BG:$BG,MATCH($E259,Cascade!$E:$E,0)))</f>
        <v>0.95</v>
      </c>
      <c r="S259" s="218">
        <f t="shared" si="39"/>
        <v>14</v>
      </c>
      <c r="T259" s="218">
        <f t="shared" si="40"/>
        <v>1</v>
      </c>
      <c r="U259" s="38">
        <f>IFERROR(1/(1/INDEX(Cascade!$BH:$BH,MATCH($E259,Cascade!$E:$E,0))),"")</f>
        <v>91</v>
      </c>
      <c r="V259" s="38">
        <f t="shared" si="41"/>
        <v>1</v>
      </c>
      <c r="W259" s="38">
        <f>IFERROR(1/(1/INDEX(PMTCT!$AC:$AC,MATCH($E259,PMTCT!$E:$E,0))),"")</f>
        <v>23</v>
      </c>
      <c r="X259" s="38">
        <f>IFERROR(1/(1/INDEX(PMTCT!$AS:$AS,MATCH($E259,PMTCT!$E:$E,0))),"")</f>
        <v>16</v>
      </c>
      <c r="Y259" s="38" t="str">
        <f>IFERROR(1/(1/INDEX(VMMC!$AA:$AA,MATCH($E259,VMMC!$E:$E,0))),"")</f>
        <v/>
      </c>
      <c r="Z259" s="38">
        <f t="shared" si="42"/>
        <v>51</v>
      </c>
    </row>
    <row r="260" spans="1:26" x14ac:dyDescent="0.2">
      <c r="A260" t="str">
        <f>INDEX(Prioritization!$D:$D,MATCH($B260,Prioritization!$A:$A,0))</f>
        <v>4 - Sustained</v>
      </c>
      <c r="B260" t="s">
        <v>303</v>
      </c>
      <c r="C260" t="s">
        <v>475</v>
      </c>
      <c r="D260" t="s">
        <v>48</v>
      </c>
      <c r="E260" t="str">
        <f t="shared" si="34"/>
        <v>Nkhotakota District [YCKiBAp8QAg]|15-24|Male</v>
      </c>
      <c r="F260" s="38">
        <v>26</v>
      </c>
      <c r="G260" s="33">
        <v>0.39</v>
      </c>
      <c r="H260" s="218">
        <f t="shared" si="35"/>
        <v>36</v>
      </c>
      <c r="I260" s="38">
        <v>1</v>
      </c>
      <c r="J260" s="33"/>
      <c r="K260" s="33">
        <v>0.45</v>
      </c>
      <c r="L260" s="33"/>
      <c r="M260" s="33">
        <v>0.06</v>
      </c>
      <c r="N260" s="38">
        <f t="shared" si="33"/>
        <v>36</v>
      </c>
      <c r="O260" s="218">
        <f t="shared" si="36"/>
        <v>16</v>
      </c>
      <c r="P260" s="218">
        <f t="shared" si="37"/>
        <v>1</v>
      </c>
      <c r="Q260" s="218">
        <f t="shared" si="38"/>
        <v>19</v>
      </c>
      <c r="R260" s="33">
        <f>IF(SUM($P260)=0,"",INDEX(Cascade!$BG:$BG,MATCH($E260,Cascade!$E:$E,0)))</f>
        <v>0.95</v>
      </c>
      <c r="S260" s="218">
        <f t="shared" si="39"/>
        <v>16</v>
      </c>
      <c r="T260" s="218">
        <f t="shared" si="40"/>
        <v>1</v>
      </c>
      <c r="U260" s="38">
        <f>IFERROR(1/(1/INDEX(Cascade!$BH:$BH,MATCH($E260,Cascade!$E:$E,0))),"")</f>
        <v>8</v>
      </c>
      <c r="V260" s="38">
        <f t="shared" si="41"/>
        <v>1</v>
      </c>
      <c r="W260" s="38" t="str">
        <f>IFERROR(1/(1/INDEX(PMTCT!$AC:$AC,MATCH($E260,PMTCT!$E:$E,0))),"")</f>
        <v/>
      </c>
      <c r="X260" s="38" t="str">
        <f>IFERROR(1/(1/INDEX(PMTCT!$AS:$AS,MATCH($E260,PMTCT!$E:$E,0))),"")</f>
        <v/>
      </c>
      <c r="Y260" s="38" t="str">
        <f>IFERROR(1/(1/INDEX(VMMC!$AA:$AA,MATCH($E260,VMMC!$E:$E,0))),"")</f>
        <v/>
      </c>
      <c r="Z260" s="38">
        <f t="shared" si="42"/>
        <v>7</v>
      </c>
    </row>
    <row r="261" spans="1:26" x14ac:dyDescent="0.2">
      <c r="A261" t="str">
        <f>INDEX(Prioritization!$D:$D,MATCH($B261,Prioritization!$A:$A,0))</f>
        <v>4 - Sustained</v>
      </c>
      <c r="B261" t="s">
        <v>303</v>
      </c>
      <c r="C261" t="s">
        <v>476</v>
      </c>
      <c r="D261" t="s">
        <v>30</v>
      </c>
      <c r="E261" t="str">
        <f t="shared" si="34"/>
        <v>Nkhotakota District [YCKiBAp8QAg]|25-34|Female</v>
      </c>
      <c r="F261" s="38">
        <v>22</v>
      </c>
      <c r="G261" s="33">
        <v>0.39</v>
      </c>
      <c r="H261" s="218">
        <f t="shared" si="35"/>
        <v>31</v>
      </c>
      <c r="I261" s="38">
        <v>1</v>
      </c>
      <c r="J261" s="33"/>
      <c r="K261" s="33">
        <v>0.45</v>
      </c>
      <c r="L261" s="33"/>
      <c r="M261" s="33">
        <v>0.06</v>
      </c>
      <c r="N261" s="38">
        <f t="shared" si="33"/>
        <v>31</v>
      </c>
      <c r="O261" s="218">
        <f t="shared" si="36"/>
        <v>14</v>
      </c>
      <c r="P261" s="218">
        <f t="shared" si="37"/>
        <v>1</v>
      </c>
      <c r="Q261" s="218">
        <f t="shared" si="38"/>
        <v>16</v>
      </c>
      <c r="R261" s="33">
        <f>IF(SUM($P261)=0,"",INDEX(Cascade!$BG:$BG,MATCH($E261,Cascade!$E:$E,0)))</f>
        <v>0.95</v>
      </c>
      <c r="S261" s="218">
        <f t="shared" si="39"/>
        <v>14</v>
      </c>
      <c r="T261" s="218">
        <f t="shared" si="40"/>
        <v>1</v>
      </c>
      <c r="U261" s="38">
        <f>IFERROR(1/(1/INDEX(Cascade!$BH:$BH,MATCH($E261,Cascade!$E:$E,0))),"")</f>
        <v>226</v>
      </c>
      <c r="V261" s="38">
        <f t="shared" si="41"/>
        <v>1</v>
      </c>
      <c r="W261" s="38">
        <f>IFERROR(1/(1/INDEX(PMTCT!$AC:$AC,MATCH($E261,PMTCT!$E:$E,0))),"")</f>
        <v>62</v>
      </c>
      <c r="X261" s="38">
        <f>IFERROR(1/(1/INDEX(PMTCT!$AS:$AS,MATCH($E261,PMTCT!$E:$E,0))),"")</f>
        <v>22</v>
      </c>
      <c r="Y261" s="38" t="str">
        <f>IFERROR(1/(1/INDEX(VMMC!$AA:$AA,MATCH($E261,VMMC!$E:$E,0))),"")</f>
        <v/>
      </c>
      <c r="Z261" s="38">
        <f t="shared" si="42"/>
        <v>141</v>
      </c>
    </row>
    <row r="262" spans="1:26" x14ac:dyDescent="0.2">
      <c r="A262" t="str">
        <f>INDEX(Prioritization!$D:$D,MATCH($B262,Prioritization!$A:$A,0))</f>
        <v>4 - Sustained</v>
      </c>
      <c r="B262" t="s">
        <v>303</v>
      </c>
      <c r="C262" t="s">
        <v>476</v>
      </c>
      <c r="D262" t="s">
        <v>48</v>
      </c>
      <c r="E262" t="str">
        <f t="shared" si="34"/>
        <v>Nkhotakota District [YCKiBAp8QAg]|25-34|Male</v>
      </c>
      <c r="F262" s="38">
        <v>26</v>
      </c>
      <c r="G262" s="33">
        <v>0.39</v>
      </c>
      <c r="H262" s="218">
        <f t="shared" si="35"/>
        <v>36</v>
      </c>
      <c r="I262" s="38">
        <v>1</v>
      </c>
      <c r="J262" s="33"/>
      <c r="K262" s="33">
        <v>0.45</v>
      </c>
      <c r="L262" s="33"/>
      <c r="M262" s="33">
        <v>0.06</v>
      </c>
      <c r="N262" s="38">
        <f t="shared" si="33"/>
        <v>36</v>
      </c>
      <c r="O262" s="218">
        <f t="shared" si="36"/>
        <v>16</v>
      </c>
      <c r="P262" s="218">
        <f t="shared" si="37"/>
        <v>1</v>
      </c>
      <c r="Q262" s="218">
        <f t="shared" si="38"/>
        <v>19</v>
      </c>
      <c r="R262" s="33">
        <f>IF(SUM($P262)=0,"",INDEX(Cascade!$BG:$BG,MATCH($E262,Cascade!$E:$E,0)))</f>
        <v>0.95</v>
      </c>
      <c r="S262" s="218">
        <f t="shared" si="39"/>
        <v>16</v>
      </c>
      <c r="T262" s="218">
        <f t="shared" si="40"/>
        <v>1</v>
      </c>
      <c r="U262" s="38">
        <f>IFERROR(1/(1/INDEX(Cascade!$BH:$BH,MATCH($E262,Cascade!$E:$E,0))),"")</f>
        <v>11</v>
      </c>
      <c r="V262" s="38">
        <f t="shared" si="41"/>
        <v>1</v>
      </c>
      <c r="W262" s="38" t="str">
        <f>IFERROR(1/(1/INDEX(PMTCT!$AC:$AC,MATCH($E262,PMTCT!$E:$E,0))),"")</f>
        <v/>
      </c>
      <c r="X262" s="38" t="str">
        <f>IFERROR(1/(1/INDEX(PMTCT!$AS:$AS,MATCH($E262,PMTCT!$E:$E,0))),"")</f>
        <v/>
      </c>
      <c r="Y262" s="38" t="str">
        <f>IFERROR(1/(1/INDEX(VMMC!$AA:$AA,MATCH($E262,VMMC!$E:$E,0))),"")</f>
        <v/>
      </c>
      <c r="Z262" s="38">
        <f t="shared" si="42"/>
        <v>10</v>
      </c>
    </row>
    <row r="263" spans="1:26" x14ac:dyDescent="0.2">
      <c r="A263" t="str">
        <f>INDEX(Prioritization!$D:$D,MATCH($B263,Prioritization!$A:$A,0))</f>
        <v>4 - Sustained</v>
      </c>
      <c r="B263" t="s">
        <v>303</v>
      </c>
      <c r="C263" t="s">
        <v>477</v>
      </c>
      <c r="D263" t="s">
        <v>30</v>
      </c>
      <c r="E263" t="str">
        <f t="shared" si="34"/>
        <v>Nkhotakota District [YCKiBAp8QAg]|35-49|Female</v>
      </c>
      <c r="F263" s="38">
        <v>33</v>
      </c>
      <c r="G263" s="33">
        <v>0.39</v>
      </c>
      <c r="H263" s="218">
        <f t="shared" si="35"/>
        <v>46</v>
      </c>
      <c r="I263" s="38">
        <v>1</v>
      </c>
      <c r="J263" s="33"/>
      <c r="K263" s="33">
        <v>0.45</v>
      </c>
      <c r="L263" s="33"/>
      <c r="M263" s="33">
        <v>0.06</v>
      </c>
      <c r="N263" s="38">
        <f t="shared" si="33"/>
        <v>46</v>
      </c>
      <c r="O263" s="218">
        <f t="shared" si="36"/>
        <v>21</v>
      </c>
      <c r="P263" s="218">
        <f t="shared" si="37"/>
        <v>2</v>
      </c>
      <c r="Q263" s="218">
        <f t="shared" si="38"/>
        <v>23</v>
      </c>
      <c r="R263" s="33">
        <f>IF(SUM($P263)=0,"",INDEX(Cascade!$BG:$BG,MATCH($E263,Cascade!$E:$E,0)))</f>
        <v>0.95</v>
      </c>
      <c r="S263" s="218">
        <f t="shared" si="39"/>
        <v>21</v>
      </c>
      <c r="T263" s="218">
        <f t="shared" si="40"/>
        <v>2</v>
      </c>
      <c r="U263" s="38">
        <f>IFERROR(1/(1/INDEX(Cascade!$BH:$BH,MATCH($E263,Cascade!$E:$E,0))),"")</f>
        <v>187</v>
      </c>
      <c r="V263" s="38">
        <f t="shared" si="41"/>
        <v>2</v>
      </c>
      <c r="W263" s="38">
        <f>IFERROR(1/(1/INDEX(PMTCT!$AC:$AC,MATCH($E263,PMTCT!$E:$E,0))),"")</f>
        <v>15</v>
      </c>
      <c r="X263" s="38">
        <f>IFERROR(1/(1/INDEX(PMTCT!$AS:$AS,MATCH($E263,PMTCT!$E:$E,0))),"")</f>
        <v>6</v>
      </c>
      <c r="Y263" s="38" t="str">
        <f>IFERROR(1/(1/INDEX(VMMC!$AA:$AA,MATCH($E263,VMMC!$E:$E,0))),"")</f>
        <v/>
      </c>
      <c r="Z263" s="38">
        <f t="shared" si="42"/>
        <v>164</v>
      </c>
    </row>
    <row r="264" spans="1:26" x14ac:dyDescent="0.2">
      <c r="A264" t="str">
        <f>INDEX(Prioritization!$D:$D,MATCH($B264,Prioritization!$A:$A,0))</f>
        <v>4 - Sustained</v>
      </c>
      <c r="B264" t="s">
        <v>303</v>
      </c>
      <c r="C264" t="s">
        <v>477</v>
      </c>
      <c r="D264" t="s">
        <v>48</v>
      </c>
      <c r="E264" t="str">
        <f t="shared" si="34"/>
        <v>Nkhotakota District [YCKiBAp8QAg]|35-49|Male</v>
      </c>
      <c r="F264" s="38">
        <v>39</v>
      </c>
      <c r="G264" s="33">
        <v>0.39</v>
      </c>
      <c r="H264" s="218">
        <f t="shared" si="35"/>
        <v>54</v>
      </c>
      <c r="I264" s="38">
        <v>1</v>
      </c>
      <c r="J264" s="33"/>
      <c r="K264" s="33">
        <v>0.45</v>
      </c>
      <c r="L264" s="33"/>
      <c r="M264" s="33">
        <v>0.06</v>
      </c>
      <c r="N264" s="38">
        <f t="shared" ref="N264:N327" si="43">IFERROR(ROUND($H264*0.99,0),"")</f>
        <v>53</v>
      </c>
      <c r="O264" s="218">
        <f t="shared" si="36"/>
        <v>24</v>
      </c>
      <c r="P264" s="218">
        <f t="shared" si="37"/>
        <v>2</v>
      </c>
      <c r="Q264" s="218">
        <f t="shared" si="38"/>
        <v>27</v>
      </c>
      <c r="R264" s="33">
        <f>IF(SUM($P264)=0,"",INDEX(Cascade!$BG:$BG,MATCH($E264,Cascade!$E:$E,0)))</f>
        <v>0.95</v>
      </c>
      <c r="S264" s="218">
        <f t="shared" si="39"/>
        <v>24</v>
      </c>
      <c r="T264" s="218">
        <f t="shared" si="40"/>
        <v>2</v>
      </c>
      <c r="U264" s="38">
        <f>IFERROR(1/(1/INDEX(Cascade!$BH:$BH,MATCH($E264,Cascade!$E:$E,0))),"")</f>
        <v>45</v>
      </c>
      <c r="V264" s="38">
        <f t="shared" si="41"/>
        <v>2</v>
      </c>
      <c r="W264" s="38" t="str">
        <f>IFERROR(1/(1/INDEX(PMTCT!$AC:$AC,MATCH($E264,PMTCT!$E:$E,0))),"")</f>
        <v/>
      </c>
      <c r="X264" s="38" t="str">
        <f>IFERROR(1/(1/INDEX(PMTCT!$AS:$AS,MATCH($E264,PMTCT!$E:$E,0))),"")</f>
        <v/>
      </c>
      <c r="Y264" s="38" t="str">
        <f>IFERROR(1/(1/INDEX(VMMC!$AA:$AA,MATCH($E264,VMMC!$E:$E,0))),"")</f>
        <v/>
      </c>
      <c r="Z264" s="38">
        <f t="shared" si="42"/>
        <v>43</v>
      </c>
    </row>
    <row r="265" spans="1:26" x14ac:dyDescent="0.2">
      <c r="A265" t="str">
        <f>INDEX(Prioritization!$D:$D,MATCH($B265,Prioritization!$A:$A,0))</f>
        <v>4 - Sustained</v>
      </c>
      <c r="B265" t="s">
        <v>303</v>
      </c>
      <c r="C265" t="s">
        <v>478</v>
      </c>
      <c r="D265" t="s">
        <v>30</v>
      </c>
      <c r="E265" t="str">
        <f t="shared" si="34"/>
        <v>Nkhotakota District [YCKiBAp8QAg]|50+|Female</v>
      </c>
      <c r="F265" s="38">
        <v>11</v>
      </c>
      <c r="G265" s="33">
        <v>0.39</v>
      </c>
      <c r="H265" s="218">
        <f t="shared" si="35"/>
        <v>15</v>
      </c>
      <c r="I265" s="38"/>
      <c r="J265" s="33"/>
      <c r="K265" s="33">
        <v>0.45</v>
      </c>
      <c r="L265" s="33"/>
      <c r="M265" s="33">
        <v>0.06</v>
      </c>
      <c r="N265" s="38">
        <f t="shared" si="43"/>
        <v>15</v>
      </c>
      <c r="O265" s="218">
        <f t="shared" si="36"/>
        <v>7</v>
      </c>
      <c r="P265" s="218">
        <f t="shared" si="37"/>
        <v>0</v>
      </c>
      <c r="Q265" s="218">
        <f t="shared" si="38"/>
        <v>8</v>
      </c>
      <c r="R265" s="33" t="str">
        <f>IF(SUM($P265)=0,"",INDEX(Cascade!$BG:$BG,MATCH($E265,Cascade!$E:$E,0)))</f>
        <v/>
      </c>
      <c r="S265" s="218">
        <f t="shared" si="39"/>
        <v>7</v>
      </c>
      <c r="T265" s="218" t="str">
        <f t="shared" si="40"/>
        <v/>
      </c>
      <c r="U265" s="38">
        <f>IFERROR(1/(1/INDEX(Cascade!$BH:$BH,MATCH($E265,Cascade!$E:$E,0))),"")</f>
        <v>100</v>
      </c>
      <c r="V265" s="38" t="str">
        <f t="shared" si="41"/>
        <v/>
      </c>
      <c r="W265" s="38" t="str">
        <f>IFERROR(1/(1/INDEX(PMTCT!$AC:$AC,MATCH($E265,PMTCT!$E:$E,0))),"")</f>
        <v/>
      </c>
      <c r="X265" s="38" t="str">
        <f>IFERROR(1/(1/INDEX(PMTCT!$AS:$AS,MATCH($E265,PMTCT!$E:$E,0))),"")</f>
        <v/>
      </c>
      <c r="Y265" s="38" t="str">
        <f>IFERROR(1/(1/INDEX(VMMC!$AA:$AA,MATCH($E265,VMMC!$E:$E,0))),"")</f>
        <v/>
      </c>
      <c r="Z265" s="38">
        <f t="shared" si="42"/>
        <v>100</v>
      </c>
    </row>
    <row r="266" spans="1:26" x14ac:dyDescent="0.2">
      <c r="A266" t="str">
        <f>INDEX(Prioritization!$D:$D,MATCH($B266,Prioritization!$A:$A,0))</f>
        <v>4 - Sustained</v>
      </c>
      <c r="B266" t="s">
        <v>303</v>
      </c>
      <c r="C266" t="s">
        <v>478</v>
      </c>
      <c r="D266" t="s">
        <v>48</v>
      </c>
      <c r="E266" t="str">
        <f t="shared" si="34"/>
        <v>Nkhotakota District [YCKiBAp8QAg]|50+|Male</v>
      </c>
      <c r="F266" s="38">
        <v>12</v>
      </c>
      <c r="G266" s="33">
        <v>0.39</v>
      </c>
      <c r="H266" s="218">
        <f t="shared" si="35"/>
        <v>17</v>
      </c>
      <c r="I266" s="38"/>
      <c r="J266" s="33"/>
      <c r="K266" s="33">
        <v>0.45</v>
      </c>
      <c r="L266" s="33"/>
      <c r="M266" s="33">
        <v>0.06</v>
      </c>
      <c r="N266" s="38">
        <f t="shared" si="43"/>
        <v>17</v>
      </c>
      <c r="O266" s="218">
        <f t="shared" si="36"/>
        <v>8</v>
      </c>
      <c r="P266" s="218">
        <f t="shared" si="37"/>
        <v>1</v>
      </c>
      <c r="Q266" s="218">
        <f t="shared" si="38"/>
        <v>8</v>
      </c>
      <c r="R266" s="33">
        <f>IF(SUM($P266)=0,"",INDEX(Cascade!$BG:$BG,MATCH($E266,Cascade!$E:$E,0)))</f>
        <v>0.95</v>
      </c>
      <c r="S266" s="218">
        <f t="shared" si="39"/>
        <v>8</v>
      </c>
      <c r="T266" s="218">
        <f t="shared" si="40"/>
        <v>1</v>
      </c>
      <c r="U266" s="38">
        <f>IFERROR(1/(1/INDEX(Cascade!$BH:$BH,MATCH($E266,Cascade!$E:$E,0))),"")</f>
        <v>64</v>
      </c>
      <c r="V266" s="38">
        <f t="shared" si="41"/>
        <v>1</v>
      </c>
      <c r="W266" s="38" t="str">
        <f>IFERROR(1/(1/INDEX(PMTCT!$AC:$AC,MATCH($E266,PMTCT!$E:$E,0))),"")</f>
        <v/>
      </c>
      <c r="X266" s="38" t="str">
        <f>IFERROR(1/(1/INDEX(PMTCT!$AS:$AS,MATCH($E266,PMTCT!$E:$E,0))),"")</f>
        <v/>
      </c>
      <c r="Y266" s="38" t="str">
        <f>IFERROR(1/(1/INDEX(VMMC!$AA:$AA,MATCH($E266,VMMC!$E:$E,0))),"")</f>
        <v/>
      </c>
      <c r="Z266" s="38">
        <f t="shared" si="42"/>
        <v>63</v>
      </c>
    </row>
    <row r="267" spans="1:26" x14ac:dyDescent="0.2">
      <c r="A267" t="str">
        <f>INDEX(Prioritization!$D:$D,MATCH($B267,Prioritization!$A:$A,0))</f>
        <v>INVALID</v>
      </c>
      <c r="B267" t="s">
        <v>322</v>
      </c>
      <c r="C267" t="s">
        <v>473</v>
      </c>
      <c r="D267" t="s">
        <v>30</v>
      </c>
      <c r="E267" t="str">
        <f t="shared" si="34"/>
        <v>Nsanje District [rpw540fmNUz]|01-09|Female</v>
      </c>
      <c r="F267" s="38">
        <v>10</v>
      </c>
      <c r="G267" s="33">
        <v>0.39</v>
      </c>
      <c r="H267" s="218">
        <f t="shared" si="35"/>
        <v>14</v>
      </c>
      <c r="I267" s="38"/>
      <c r="J267" s="33"/>
      <c r="K267" s="33">
        <v>0.45</v>
      </c>
      <c r="L267" s="33"/>
      <c r="M267" s="33">
        <v>0.06</v>
      </c>
      <c r="N267" s="38">
        <f t="shared" si="43"/>
        <v>14</v>
      </c>
      <c r="O267" s="218">
        <f t="shared" si="36"/>
        <v>6</v>
      </c>
      <c r="P267" s="218">
        <f t="shared" si="37"/>
        <v>0</v>
      </c>
      <c r="Q267" s="218">
        <f t="shared" si="38"/>
        <v>8</v>
      </c>
      <c r="R267" s="33" t="str">
        <f>IF(SUM($P267)=0,"",INDEX(Cascade!$BG:$BG,MATCH($E267,Cascade!$E:$E,0)))</f>
        <v/>
      </c>
      <c r="S267" s="218">
        <f t="shared" si="39"/>
        <v>6</v>
      </c>
      <c r="T267" s="218" t="str">
        <f t="shared" si="40"/>
        <v/>
      </c>
      <c r="U267" s="38">
        <f>IFERROR(1/(1/INDEX(Cascade!$BH:$BH,MATCH($E267,Cascade!$E:$E,0))),"")</f>
        <v>40</v>
      </c>
      <c r="V267" s="38" t="str">
        <f t="shared" si="41"/>
        <v/>
      </c>
      <c r="W267" s="38" t="str">
        <f>IFERROR(1/(1/INDEX(PMTCT!$AC:$AC,MATCH($E267,PMTCT!$E:$E,0))),"")</f>
        <v/>
      </c>
      <c r="X267" s="38" t="str">
        <f>IFERROR(1/(1/INDEX(PMTCT!$AS:$AS,MATCH($E267,PMTCT!$E:$E,0))),"")</f>
        <v/>
      </c>
      <c r="Y267" s="38" t="str">
        <f>IFERROR(1/(1/INDEX(VMMC!$AA:$AA,MATCH($E267,VMMC!$E:$E,0))),"")</f>
        <v/>
      </c>
      <c r="Z267" s="38">
        <f t="shared" si="42"/>
        <v>40</v>
      </c>
    </row>
    <row r="268" spans="1:26" x14ac:dyDescent="0.2">
      <c r="A268" t="str">
        <f>INDEX(Prioritization!$D:$D,MATCH($B268,Prioritization!$A:$A,0))</f>
        <v>INVALID</v>
      </c>
      <c r="B268" t="s">
        <v>322</v>
      </c>
      <c r="C268" t="s">
        <v>473</v>
      </c>
      <c r="D268" t="s">
        <v>48</v>
      </c>
      <c r="E268" t="str">
        <f t="shared" si="34"/>
        <v>Nsanje District [rpw540fmNUz]|01-09|Male</v>
      </c>
      <c r="F268" s="38">
        <v>12</v>
      </c>
      <c r="G268" s="33">
        <v>0.39</v>
      </c>
      <c r="H268" s="218">
        <f t="shared" si="35"/>
        <v>17</v>
      </c>
      <c r="I268" s="38"/>
      <c r="J268" s="33"/>
      <c r="K268" s="33">
        <v>0.45</v>
      </c>
      <c r="L268" s="33"/>
      <c r="M268" s="33">
        <v>0.06</v>
      </c>
      <c r="N268" s="38">
        <f t="shared" si="43"/>
        <v>17</v>
      </c>
      <c r="O268" s="218">
        <f t="shared" si="36"/>
        <v>8</v>
      </c>
      <c r="P268" s="218">
        <f t="shared" si="37"/>
        <v>1</v>
      </c>
      <c r="Q268" s="218">
        <f t="shared" si="38"/>
        <v>8</v>
      </c>
      <c r="R268" s="33">
        <f>IF(SUM($P268)=0,"",INDEX(Cascade!$BG:$BG,MATCH($E268,Cascade!$E:$E,0)))</f>
        <v>0.95</v>
      </c>
      <c r="S268" s="218">
        <f t="shared" si="39"/>
        <v>8</v>
      </c>
      <c r="T268" s="218">
        <f t="shared" si="40"/>
        <v>1</v>
      </c>
      <c r="U268" s="38">
        <f>IFERROR(1/(1/INDEX(Cascade!$BH:$BH,MATCH($E268,Cascade!$E:$E,0))),"")</f>
        <v>32</v>
      </c>
      <c r="V268" s="38">
        <f t="shared" si="41"/>
        <v>1</v>
      </c>
      <c r="W268" s="38" t="str">
        <f>IFERROR(1/(1/INDEX(PMTCT!$AC:$AC,MATCH($E268,PMTCT!$E:$E,0))),"")</f>
        <v/>
      </c>
      <c r="X268" s="38" t="str">
        <f>IFERROR(1/(1/INDEX(PMTCT!$AS:$AS,MATCH($E268,PMTCT!$E:$E,0))),"")</f>
        <v/>
      </c>
      <c r="Y268" s="38" t="str">
        <f>IFERROR(1/(1/INDEX(VMMC!$AA:$AA,MATCH($E268,VMMC!$E:$E,0))),"")</f>
        <v/>
      </c>
      <c r="Z268" s="38">
        <f t="shared" si="42"/>
        <v>31</v>
      </c>
    </row>
    <row r="269" spans="1:26" x14ac:dyDescent="0.2">
      <c r="A269" t="str">
        <f>INDEX(Prioritization!$D:$D,MATCH($B269,Prioritization!$A:$A,0))</f>
        <v>INVALID</v>
      </c>
      <c r="B269" t="s">
        <v>322</v>
      </c>
      <c r="C269" t="s">
        <v>474</v>
      </c>
      <c r="D269" t="s">
        <v>30</v>
      </c>
      <c r="E269" t="str">
        <f t="shared" si="34"/>
        <v>Nsanje District [rpw540fmNUz]|10-14|Female</v>
      </c>
      <c r="F269" s="38">
        <v>5</v>
      </c>
      <c r="G269" s="33">
        <v>0.39</v>
      </c>
      <c r="H269" s="218">
        <f t="shared" si="35"/>
        <v>7</v>
      </c>
      <c r="I269" s="38"/>
      <c r="J269" s="33"/>
      <c r="K269" s="33">
        <v>0.45</v>
      </c>
      <c r="L269" s="33"/>
      <c r="M269" s="33">
        <v>0.06</v>
      </c>
      <c r="N269" s="38">
        <f t="shared" si="43"/>
        <v>7</v>
      </c>
      <c r="O269" s="218">
        <f t="shared" si="36"/>
        <v>3</v>
      </c>
      <c r="P269" s="218">
        <f t="shared" si="37"/>
        <v>0</v>
      </c>
      <c r="Q269" s="218">
        <f t="shared" si="38"/>
        <v>4</v>
      </c>
      <c r="R269" s="33" t="str">
        <f>IF(SUM($P269)=0,"",INDEX(Cascade!$BG:$BG,MATCH($E269,Cascade!$E:$E,0)))</f>
        <v/>
      </c>
      <c r="S269" s="218">
        <f t="shared" si="39"/>
        <v>3</v>
      </c>
      <c r="T269" s="218" t="str">
        <f t="shared" si="40"/>
        <v/>
      </c>
      <c r="U269" s="38">
        <f>IFERROR(1/(1/INDEX(Cascade!$BH:$BH,MATCH($E269,Cascade!$E:$E,0))),"")</f>
        <v>36</v>
      </c>
      <c r="V269" s="38" t="str">
        <f t="shared" si="41"/>
        <v/>
      </c>
      <c r="W269" s="38">
        <f>IFERROR(1/(1/INDEX(PMTCT!$AC:$AC,MATCH($E269,PMTCT!$E:$E,0))),"")</f>
        <v>1</v>
      </c>
      <c r="X269" s="38" t="str">
        <f>IFERROR(1/(1/INDEX(PMTCT!$AS:$AS,MATCH($E269,PMTCT!$E:$E,0))),"")</f>
        <v/>
      </c>
      <c r="Y269" s="38" t="str">
        <f>IFERROR(1/(1/INDEX(VMMC!$AA:$AA,MATCH($E269,VMMC!$E:$E,0))),"")</f>
        <v/>
      </c>
      <c r="Z269" s="38">
        <f t="shared" si="42"/>
        <v>35</v>
      </c>
    </row>
    <row r="270" spans="1:26" x14ac:dyDescent="0.2">
      <c r="A270" t="str">
        <f>INDEX(Prioritization!$D:$D,MATCH($B270,Prioritization!$A:$A,0))</f>
        <v>INVALID</v>
      </c>
      <c r="B270" t="s">
        <v>322</v>
      </c>
      <c r="C270" t="s">
        <v>474</v>
      </c>
      <c r="D270" t="s">
        <v>48</v>
      </c>
      <c r="E270" t="str">
        <f t="shared" si="34"/>
        <v>Nsanje District [rpw540fmNUz]|10-14|Male</v>
      </c>
      <c r="F270" s="38">
        <v>6</v>
      </c>
      <c r="G270" s="33">
        <v>0.39</v>
      </c>
      <c r="H270" s="218">
        <f t="shared" si="35"/>
        <v>8</v>
      </c>
      <c r="I270" s="38"/>
      <c r="J270" s="33"/>
      <c r="K270" s="33">
        <v>0.45</v>
      </c>
      <c r="L270" s="33"/>
      <c r="M270" s="33">
        <v>0.06</v>
      </c>
      <c r="N270" s="38">
        <f t="shared" si="43"/>
        <v>8</v>
      </c>
      <c r="O270" s="218">
        <f t="shared" si="36"/>
        <v>4</v>
      </c>
      <c r="P270" s="218">
        <f t="shared" si="37"/>
        <v>0</v>
      </c>
      <c r="Q270" s="218">
        <f t="shared" si="38"/>
        <v>4</v>
      </c>
      <c r="R270" s="33" t="str">
        <f>IF(SUM($P270)=0,"",INDEX(Cascade!$BG:$BG,MATCH($E270,Cascade!$E:$E,0)))</f>
        <v/>
      </c>
      <c r="S270" s="218">
        <f t="shared" si="39"/>
        <v>4</v>
      </c>
      <c r="T270" s="218" t="str">
        <f t="shared" si="40"/>
        <v/>
      </c>
      <c r="U270" s="38">
        <f>IFERROR(1/(1/INDEX(Cascade!$BH:$BH,MATCH($E270,Cascade!$E:$E,0))),"")</f>
        <v>24</v>
      </c>
      <c r="V270" s="38" t="str">
        <f t="shared" si="41"/>
        <v/>
      </c>
      <c r="W270" s="38" t="str">
        <f>IFERROR(1/(1/INDEX(PMTCT!$AC:$AC,MATCH($E270,PMTCT!$E:$E,0))),"")</f>
        <v/>
      </c>
      <c r="X270" s="38" t="str">
        <f>IFERROR(1/(1/INDEX(PMTCT!$AS:$AS,MATCH($E270,PMTCT!$E:$E,0))),"")</f>
        <v/>
      </c>
      <c r="Y270" s="38" t="str">
        <f>IFERROR(1/(1/INDEX(VMMC!$AA:$AA,MATCH($E270,VMMC!$E:$E,0))),"")</f>
        <v/>
      </c>
      <c r="Z270" s="38">
        <f t="shared" si="42"/>
        <v>24</v>
      </c>
    </row>
    <row r="271" spans="1:26" x14ac:dyDescent="0.2">
      <c r="A271" t="str">
        <f>INDEX(Prioritization!$D:$D,MATCH($B271,Prioritization!$A:$A,0))</f>
        <v>INVALID</v>
      </c>
      <c r="B271" t="s">
        <v>322</v>
      </c>
      <c r="C271" t="s">
        <v>475</v>
      </c>
      <c r="D271" t="s">
        <v>30</v>
      </c>
      <c r="E271" t="str">
        <f t="shared" ref="E271:E322" si="44">B271&amp;"|"&amp;C271&amp;"|"&amp;D271</f>
        <v>Nsanje District [rpw540fmNUz]|15-24|Female</v>
      </c>
      <c r="F271" s="38">
        <v>48</v>
      </c>
      <c r="G271" s="33">
        <v>0.39</v>
      </c>
      <c r="H271" s="218">
        <f t="shared" ref="H271:H322" si="45">IF(SUM($F271)=0,"",ROUND($F271*(1+$G271),0))</f>
        <v>67</v>
      </c>
      <c r="I271" s="38">
        <v>1</v>
      </c>
      <c r="J271" s="33"/>
      <c r="K271" s="33">
        <v>0.45</v>
      </c>
      <c r="L271" s="33"/>
      <c r="M271" s="33">
        <v>0.06</v>
      </c>
      <c r="N271" s="38">
        <f t="shared" si="43"/>
        <v>66</v>
      </c>
      <c r="O271" s="218">
        <f t="shared" ref="O271:O322" si="46">IF(SUM($N271)=0,"",IF(AND(SUM($N271)&gt;0,$K271=""),"ENTER KNOWN POSITIVITY RATE",ROUND($N271*$K271,0)))</f>
        <v>30</v>
      </c>
      <c r="P271" s="218">
        <f t="shared" ref="P271:P322" si="47">IF(SUM($N271)=0,"",IF(AND((SUM($N271)-SUM($O271))&gt;0,$M271=""),"ENTER YIELD RATE",ROUND(($N271-SUM($O271))*$M271,0)))</f>
        <v>2</v>
      </c>
      <c r="Q271" s="218">
        <f t="shared" ref="Q271:Q322" si="48">IF(SUM($N271)=0,"",$N271-SUM($O271)-SUM($P271))</f>
        <v>34</v>
      </c>
      <c r="R271" s="33">
        <f>IF(SUM($P271)=0,"",INDEX(Cascade!$BG:$BG,MATCH($E271,Cascade!$E:$E,0)))</f>
        <v>0.95</v>
      </c>
      <c r="S271" s="218">
        <f t="shared" ref="S271:S322" si="49">$O271</f>
        <v>30</v>
      </c>
      <c r="T271" s="218">
        <f t="shared" ref="T271:T322" si="50">IF(SUM($P271)=0,"",IF(AND($R271="",SUM($P271)&gt;0),"&lt;- Enter Linkage Rate",ROUND($P271*$R271,0)))</f>
        <v>2</v>
      </c>
      <c r="U271" s="38">
        <f>IFERROR(1/(1/INDEX(Cascade!$BH:$BH,MATCH($E271,Cascade!$E:$E,0))),"")</f>
        <v>257</v>
      </c>
      <c r="V271" s="38">
        <f t="shared" ref="V271:V322" si="51">IF(SUM($P271)=0,"",$P271)</f>
        <v>2</v>
      </c>
      <c r="W271" s="38">
        <f>IFERROR(1/(1/INDEX(PMTCT!$AC:$AC,MATCH($E271,PMTCT!$E:$E,0))),"")</f>
        <v>84</v>
      </c>
      <c r="X271" s="38">
        <f>IFERROR(1/(1/INDEX(PMTCT!$AS:$AS,MATCH($E271,PMTCT!$E:$E,0))),"")</f>
        <v>39</v>
      </c>
      <c r="Y271" s="38" t="str">
        <f>IFERROR(1/(1/INDEX(VMMC!$AA:$AA,MATCH($E271,VMMC!$E:$E,0))),"")</f>
        <v/>
      </c>
      <c r="Z271" s="38">
        <f t="shared" ref="Z271:Z322" si="52">IFERROR(1/(1/(SUM($U271)-SUM($V271:$Y271))),"")</f>
        <v>132</v>
      </c>
    </row>
    <row r="272" spans="1:26" x14ac:dyDescent="0.2">
      <c r="A272" t="str">
        <f>INDEX(Prioritization!$D:$D,MATCH($B272,Prioritization!$A:$A,0))</f>
        <v>INVALID</v>
      </c>
      <c r="B272" t="s">
        <v>322</v>
      </c>
      <c r="C272" t="s">
        <v>475</v>
      </c>
      <c r="D272" t="s">
        <v>48</v>
      </c>
      <c r="E272" t="str">
        <f t="shared" si="44"/>
        <v>Nsanje District [rpw540fmNUz]|15-24|Male</v>
      </c>
      <c r="F272" s="38">
        <v>76</v>
      </c>
      <c r="G272" s="33">
        <v>0.39</v>
      </c>
      <c r="H272" s="218">
        <f t="shared" si="45"/>
        <v>106</v>
      </c>
      <c r="I272" s="38">
        <v>2</v>
      </c>
      <c r="J272" s="33"/>
      <c r="K272" s="33">
        <v>0.45</v>
      </c>
      <c r="L272" s="33"/>
      <c r="M272" s="33">
        <v>0.06</v>
      </c>
      <c r="N272" s="38">
        <f t="shared" si="43"/>
        <v>105</v>
      </c>
      <c r="O272" s="218">
        <f t="shared" si="46"/>
        <v>47</v>
      </c>
      <c r="P272" s="218">
        <f t="shared" si="47"/>
        <v>3</v>
      </c>
      <c r="Q272" s="218">
        <f t="shared" si="48"/>
        <v>55</v>
      </c>
      <c r="R272" s="33">
        <f>IF(SUM($P272)=0,"",INDEX(Cascade!$BG:$BG,MATCH($E272,Cascade!$E:$E,0)))</f>
        <v>0.95</v>
      </c>
      <c r="S272" s="218">
        <f t="shared" si="49"/>
        <v>47</v>
      </c>
      <c r="T272" s="218">
        <f t="shared" si="50"/>
        <v>3</v>
      </c>
      <c r="U272" s="38">
        <f>IFERROR(1/(1/INDEX(Cascade!$BH:$BH,MATCH($E272,Cascade!$E:$E,0))),"")</f>
        <v>59</v>
      </c>
      <c r="V272" s="38">
        <f t="shared" si="51"/>
        <v>3</v>
      </c>
      <c r="W272" s="38" t="str">
        <f>IFERROR(1/(1/INDEX(PMTCT!$AC:$AC,MATCH($E272,PMTCT!$E:$E,0))),"")</f>
        <v/>
      </c>
      <c r="X272" s="38" t="str">
        <f>IFERROR(1/(1/INDEX(PMTCT!$AS:$AS,MATCH($E272,PMTCT!$E:$E,0))),"")</f>
        <v/>
      </c>
      <c r="Y272" s="38">
        <f>IFERROR(1/(1/INDEX(VMMC!$AA:$AA,MATCH($E272,VMMC!$E:$E,0))),"")</f>
        <v>6</v>
      </c>
      <c r="Z272" s="38">
        <f t="shared" si="52"/>
        <v>50</v>
      </c>
    </row>
    <row r="273" spans="1:26" x14ac:dyDescent="0.2">
      <c r="A273" t="str">
        <f>INDEX(Prioritization!$D:$D,MATCH($B273,Prioritization!$A:$A,0))</f>
        <v>INVALID</v>
      </c>
      <c r="B273" t="s">
        <v>322</v>
      </c>
      <c r="C273" t="s">
        <v>476</v>
      </c>
      <c r="D273" t="s">
        <v>30</v>
      </c>
      <c r="E273" t="str">
        <f t="shared" si="44"/>
        <v>Nsanje District [rpw540fmNUz]|25-34|Female</v>
      </c>
      <c r="F273" s="38">
        <v>48</v>
      </c>
      <c r="G273" s="33">
        <v>0.39</v>
      </c>
      <c r="H273" s="218">
        <f t="shared" si="45"/>
        <v>67</v>
      </c>
      <c r="I273" s="38">
        <v>1</v>
      </c>
      <c r="J273" s="33"/>
      <c r="K273" s="33">
        <v>0.45</v>
      </c>
      <c r="L273" s="33"/>
      <c r="M273" s="33">
        <v>0.06</v>
      </c>
      <c r="N273" s="38">
        <f t="shared" si="43"/>
        <v>66</v>
      </c>
      <c r="O273" s="218">
        <f t="shared" si="46"/>
        <v>30</v>
      </c>
      <c r="P273" s="218">
        <f t="shared" si="47"/>
        <v>2</v>
      </c>
      <c r="Q273" s="218">
        <f t="shared" si="48"/>
        <v>34</v>
      </c>
      <c r="R273" s="33">
        <f>IF(SUM($P273)=0,"",INDEX(Cascade!$BG:$BG,MATCH($E273,Cascade!$E:$E,0)))</f>
        <v>0.95</v>
      </c>
      <c r="S273" s="218">
        <f t="shared" si="49"/>
        <v>30</v>
      </c>
      <c r="T273" s="218">
        <f t="shared" si="50"/>
        <v>2</v>
      </c>
      <c r="U273" s="38">
        <f>IFERROR(1/(1/INDEX(Cascade!$BH:$BH,MATCH($E273,Cascade!$E:$E,0))),"")</f>
        <v>204</v>
      </c>
      <c r="V273" s="38">
        <f t="shared" si="51"/>
        <v>2</v>
      </c>
      <c r="W273" s="38">
        <f>IFERROR(1/(1/INDEX(PMTCT!$AC:$AC,MATCH($E273,PMTCT!$E:$E,0))),"")</f>
        <v>65</v>
      </c>
      <c r="X273" s="38">
        <f>IFERROR(1/(1/INDEX(PMTCT!$AS:$AS,MATCH($E273,PMTCT!$E:$E,0))),"")</f>
        <v>23</v>
      </c>
      <c r="Y273" s="38" t="str">
        <f>IFERROR(1/(1/INDEX(VMMC!$AA:$AA,MATCH($E273,VMMC!$E:$E,0))),"")</f>
        <v/>
      </c>
      <c r="Z273" s="38">
        <f t="shared" si="52"/>
        <v>114</v>
      </c>
    </row>
    <row r="274" spans="1:26" x14ac:dyDescent="0.2">
      <c r="A274" t="str">
        <f>INDEX(Prioritization!$D:$D,MATCH($B274,Prioritization!$A:$A,0))</f>
        <v>INVALID</v>
      </c>
      <c r="B274" t="s">
        <v>322</v>
      </c>
      <c r="C274" t="s">
        <v>476</v>
      </c>
      <c r="D274" t="s">
        <v>48</v>
      </c>
      <c r="E274" t="str">
        <f t="shared" si="44"/>
        <v>Nsanje District [rpw540fmNUz]|25-34|Male</v>
      </c>
      <c r="F274" s="38">
        <v>76</v>
      </c>
      <c r="G274" s="33">
        <v>0.39</v>
      </c>
      <c r="H274" s="218">
        <f t="shared" si="45"/>
        <v>106</v>
      </c>
      <c r="I274" s="38">
        <v>2</v>
      </c>
      <c r="J274" s="33"/>
      <c r="K274" s="33">
        <v>0.45</v>
      </c>
      <c r="L274" s="33"/>
      <c r="M274" s="33">
        <v>0.06</v>
      </c>
      <c r="N274" s="38">
        <f t="shared" si="43"/>
        <v>105</v>
      </c>
      <c r="O274" s="218">
        <f t="shared" si="46"/>
        <v>47</v>
      </c>
      <c r="P274" s="218">
        <f t="shared" si="47"/>
        <v>3</v>
      </c>
      <c r="Q274" s="218">
        <f t="shared" si="48"/>
        <v>55</v>
      </c>
      <c r="R274" s="33">
        <f>IF(SUM($P274)=0,"",INDEX(Cascade!$BG:$BG,MATCH($E274,Cascade!$E:$E,0)))</f>
        <v>0.95</v>
      </c>
      <c r="S274" s="218">
        <f t="shared" si="49"/>
        <v>47</v>
      </c>
      <c r="T274" s="218">
        <f t="shared" si="50"/>
        <v>3</v>
      </c>
      <c r="U274" s="38">
        <f>IFERROR(1/(1/INDEX(Cascade!$BH:$BH,MATCH($E274,Cascade!$E:$E,0))),"")</f>
        <v>48</v>
      </c>
      <c r="V274" s="38">
        <f t="shared" si="51"/>
        <v>3</v>
      </c>
      <c r="W274" s="38" t="str">
        <f>IFERROR(1/(1/INDEX(PMTCT!$AC:$AC,MATCH($E274,PMTCT!$E:$E,0))),"")</f>
        <v/>
      </c>
      <c r="X274" s="38" t="str">
        <f>IFERROR(1/(1/INDEX(PMTCT!$AS:$AS,MATCH($E274,PMTCT!$E:$E,0))),"")</f>
        <v/>
      </c>
      <c r="Y274" s="38">
        <f>IFERROR(1/(1/INDEX(VMMC!$AA:$AA,MATCH($E274,VMMC!$E:$E,0))),"")</f>
        <v>11</v>
      </c>
      <c r="Z274" s="38">
        <f t="shared" si="52"/>
        <v>34</v>
      </c>
    </row>
    <row r="275" spans="1:26" x14ac:dyDescent="0.2">
      <c r="A275" t="str">
        <f>INDEX(Prioritization!$D:$D,MATCH($B275,Prioritization!$A:$A,0))</f>
        <v>INVALID</v>
      </c>
      <c r="B275" t="s">
        <v>322</v>
      </c>
      <c r="C275" t="s">
        <v>477</v>
      </c>
      <c r="D275" t="s">
        <v>30</v>
      </c>
      <c r="E275" t="str">
        <f t="shared" si="44"/>
        <v>Nsanje District [rpw540fmNUz]|35-49|Female</v>
      </c>
      <c r="F275" s="38">
        <v>72</v>
      </c>
      <c r="G275" s="33">
        <v>0.39</v>
      </c>
      <c r="H275" s="218">
        <f t="shared" si="45"/>
        <v>100</v>
      </c>
      <c r="I275" s="38">
        <v>2</v>
      </c>
      <c r="J275" s="33"/>
      <c r="K275" s="33">
        <v>0.45</v>
      </c>
      <c r="L275" s="33"/>
      <c r="M275" s="33">
        <v>0.06</v>
      </c>
      <c r="N275" s="38">
        <f t="shared" si="43"/>
        <v>99</v>
      </c>
      <c r="O275" s="218">
        <f t="shared" si="46"/>
        <v>45</v>
      </c>
      <c r="P275" s="218">
        <f t="shared" si="47"/>
        <v>3</v>
      </c>
      <c r="Q275" s="218">
        <f t="shared" si="48"/>
        <v>51</v>
      </c>
      <c r="R275" s="33">
        <f>IF(SUM($P275)=0,"",INDEX(Cascade!$BG:$BG,MATCH($E275,Cascade!$E:$E,0)))</f>
        <v>0.95</v>
      </c>
      <c r="S275" s="218">
        <f t="shared" si="49"/>
        <v>45</v>
      </c>
      <c r="T275" s="218">
        <f t="shared" si="50"/>
        <v>3</v>
      </c>
      <c r="U275" s="38">
        <f>IFERROR(1/(1/INDEX(Cascade!$BH:$BH,MATCH($E275,Cascade!$E:$E,0))),"")</f>
        <v>233.99999999999997</v>
      </c>
      <c r="V275" s="38">
        <f t="shared" si="51"/>
        <v>3</v>
      </c>
      <c r="W275" s="38">
        <f>IFERROR(1/(1/INDEX(PMTCT!$AC:$AC,MATCH($E275,PMTCT!$E:$E,0))),"")</f>
        <v>16</v>
      </c>
      <c r="X275" s="38">
        <f>IFERROR(1/(1/INDEX(PMTCT!$AS:$AS,MATCH($E275,PMTCT!$E:$E,0))),"")</f>
        <v>6</v>
      </c>
      <c r="Y275" s="38" t="str">
        <f>IFERROR(1/(1/INDEX(VMMC!$AA:$AA,MATCH($E275,VMMC!$E:$E,0))),"")</f>
        <v/>
      </c>
      <c r="Z275" s="38">
        <f t="shared" si="52"/>
        <v>208.99999999999997</v>
      </c>
    </row>
    <row r="276" spans="1:26" x14ac:dyDescent="0.2">
      <c r="A276" t="str">
        <f>INDEX(Prioritization!$D:$D,MATCH($B276,Prioritization!$A:$A,0))</f>
        <v>INVALID</v>
      </c>
      <c r="B276" t="s">
        <v>322</v>
      </c>
      <c r="C276" t="s">
        <v>477</v>
      </c>
      <c r="D276" t="s">
        <v>48</v>
      </c>
      <c r="E276" t="str">
        <f t="shared" si="44"/>
        <v>Nsanje District [rpw540fmNUz]|35-49|Male</v>
      </c>
      <c r="F276" s="38">
        <v>114</v>
      </c>
      <c r="G276" s="33">
        <v>0.39</v>
      </c>
      <c r="H276" s="218">
        <f t="shared" si="45"/>
        <v>158</v>
      </c>
      <c r="I276" s="38">
        <v>3</v>
      </c>
      <c r="J276" s="33"/>
      <c r="K276" s="33">
        <v>0.45</v>
      </c>
      <c r="L276" s="33"/>
      <c r="M276" s="33">
        <v>0.06</v>
      </c>
      <c r="N276" s="38">
        <f t="shared" si="43"/>
        <v>156</v>
      </c>
      <c r="O276" s="218">
        <f t="shared" si="46"/>
        <v>70</v>
      </c>
      <c r="P276" s="218">
        <f t="shared" si="47"/>
        <v>5</v>
      </c>
      <c r="Q276" s="218">
        <f t="shared" si="48"/>
        <v>81</v>
      </c>
      <c r="R276" s="33">
        <f>IF(SUM($P276)=0,"",INDEX(Cascade!$BG:$BG,MATCH($E276,Cascade!$E:$E,0)))</f>
        <v>0.95</v>
      </c>
      <c r="S276" s="218">
        <f t="shared" si="49"/>
        <v>70</v>
      </c>
      <c r="T276" s="218">
        <f t="shared" si="50"/>
        <v>5</v>
      </c>
      <c r="U276" s="38">
        <f>IFERROR(1/(1/INDEX(Cascade!$BH:$BH,MATCH($E276,Cascade!$E:$E,0))),"")</f>
        <v>72</v>
      </c>
      <c r="V276" s="38">
        <f t="shared" si="51"/>
        <v>5</v>
      </c>
      <c r="W276" s="38" t="str">
        <f>IFERROR(1/(1/INDEX(PMTCT!$AC:$AC,MATCH($E276,PMTCT!$E:$E,0))),"")</f>
        <v/>
      </c>
      <c r="X276" s="38" t="str">
        <f>IFERROR(1/(1/INDEX(PMTCT!$AS:$AS,MATCH($E276,PMTCT!$E:$E,0))),"")</f>
        <v/>
      </c>
      <c r="Y276" s="38">
        <f>IFERROR(1/(1/INDEX(VMMC!$AA:$AA,MATCH($E276,VMMC!$E:$E,0))),"")</f>
        <v>21</v>
      </c>
      <c r="Z276" s="38">
        <f t="shared" si="52"/>
        <v>46</v>
      </c>
    </row>
    <row r="277" spans="1:26" x14ac:dyDescent="0.2">
      <c r="A277" t="str">
        <f>INDEX(Prioritization!$D:$D,MATCH($B277,Prioritization!$A:$A,0))</f>
        <v>INVALID</v>
      </c>
      <c r="B277" t="s">
        <v>322</v>
      </c>
      <c r="C277" t="s">
        <v>478</v>
      </c>
      <c r="D277" t="s">
        <v>30</v>
      </c>
      <c r="E277" t="str">
        <f t="shared" si="44"/>
        <v>Nsanje District [rpw540fmNUz]|50+|Female</v>
      </c>
      <c r="F277" s="38">
        <v>25</v>
      </c>
      <c r="G277" s="33">
        <v>0.39</v>
      </c>
      <c r="H277" s="218">
        <f t="shared" si="45"/>
        <v>35</v>
      </c>
      <c r="I277" s="38">
        <v>1</v>
      </c>
      <c r="J277" s="33"/>
      <c r="K277" s="33">
        <v>0.45</v>
      </c>
      <c r="L277" s="33"/>
      <c r="M277" s="33">
        <v>0.06</v>
      </c>
      <c r="N277" s="38">
        <f t="shared" si="43"/>
        <v>35</v>
      </c>
      <c r="O277" s="218">
        <f t="shared" si="46"/>
        <v>16</v>
      </c>
      <c r="P277" s="218">
        <f t="shared" si="47"/>
        <v>1</v>
      </c>
      <c r="Q277" s="218">
        <f t="shared" si="48"/>
        <v>18</v>
      </c>
      <c r="R277" s="33">
        <f>IF(SUM($P277)=0,"",INDEX(Cascade!$BG:$BG,MATCH($E277,Cascade!$E:$E,0)))</f>
        <v>0.95</v>
      </c>
      <c r="S277" s="218">
        <f t="shared" si="49"/>
        <v>16</v>
      </c>
      <c r="T277" s="218">
        <f t="shared" si="50"/>
        <v>1</v>
      </c>
      <c r="U277" s="38">
        <f>IFERROR(1/(1/INDEX(Cascade!$BH:$BH,MATCH($E277,Cascade!$E:$E,0))),"")</f>
        <v>56</v>
      </c>
      <c r="V277" s="38">
        <f t="shared" si="51"/>
        <v>1</v>
      </c>
      <c r="W277" s="38" t="str">
        <f>IFERROR(1/(1/INDEX(PMTCT!$AC:$AC,MATCH($E277,PMTCT!$E:$E,0))),"")</f>
        <v/>
      </c>
      <c r="X277" s="38" t="str">
        <f>IFERROR(1/(1/INDEX(PMTCT!$AS:$AS,MATCH($E277,PMTCT!$E:$E,0))),"")</f>
        <v/>
      </c>
      <c r="Y277" s="38" t="str">
        <f>IFERROR(1/(1/INDEX(VMMC!$AA:$AA,MATCH($E277,VMMC!$E:$E,0))),"")</f>
        <v/>
      </c>
      <c r="Z277" s="38">
        <f t="shared" si="52"/>
        <v>55</v>
      </c>
    </row>
    <row r="278" spans="1:26" x14ac:dyDescent="0.2">
      <c r="A278" t="str">
        <f>INDEX(Prioritization!$D:$D,MATCH($B278,Prioritization!$A:$A,0))</f>
        <v>INVALID</v>
      </c>
      <c r="B278" t="s">
        <v>322</v>
      </c>
      <c r="C278" t="s">
        <v>478</v>
      </c>
      <c r="D278" t="s">
        <v>48</v>
      </c>
      <c r="E278" t="str">
        <f t="shared" si="44"/>
        <v>Nsanje District [rpw540fmNUz]|50+|Male</v>
      </c>
      <c r="F278" s="38">
        <v>37</v>
      </c>
      <c r="G278" s="33">
        <v>0.39</v>
      </c>
      <c r="H278" s="218">
        <f t="shared" si="45"/>
        <v>51</v>
      </c>
      <c r="I278" s="38">
        <v>1</v>
      </c>
      <c r="J278" s="33"/>
      <c r="K278" s="33">
        <v>0.45</v>
      </c>
      <c r="L278" s="33"/>
      <c r="M278" s="33">
        <v>0.06</v>
      </c>
      <c r="N278" s="38">
        <f t="shared" si="43"/>
        <v>50</v>
      </c>
      <c r="O278" s="218">
        <f t="shared" si="46"/>
        <v>23</v>
      </c>
      <c r="P278" s="218">
        <f t="shared" si="47"/>
        <v>2</v>
      </c>
      <c r="Q278" s="218">
        <f t="shared" si="48"/>
        <v>25</v>
      </c>
      <c r="R278" s="33">
        <f>IF(SUM($P278)=0,"",INDEX(Cascade!$BG:$BG,MATCH($E278,Cascade!$E:$E,0)))</f>
        <v>0.95</v>
      </c>
      <c r="S278" s="218">
        <f t="shared" si="49"/>
        <v>23</v>
      </c>
      <c r="T278" s="218">
        <f t="shared" si="50"/>
        <v>2</v>
      </c>
      <c r="U278" s="38">
        <f>IFERROR(1/(1/INDEX(Cascade!$BH:$BH,MATCH($E278,Cascade!$E:$E,0))),"")</f>
        <v>7</v>
      </c>
      <c r="V278" s="38">
        <f t="shared" si="51"/>
        <v>2</v>
      </c>
      <c r="W278" s="38" t="str">
        <f>IFERROR(1/(1/INDEX(PMTCT!$AC:$AC,MATCH($E278,PMTCT!$E:$E,0))),"")</f>
        <v/>
      </c>
      <c r="X278" s="38" t="str">
        <f>IFERROR(1/(1/INDEX(PMTCT!$AS:$AS,MATCH($E278,PMTCT!$E:$E,0))),"")</f>
        <v/>
      </c>
      <c r="Y278" s="38" t="str">
        <f>IFERROR(1/(1/INDEX(VMMC!$AA:$AA,MATCH($E278,VMMC!$E:$E,0))),"")</f>
        <v/>
      </c>
      <c r="Z278" s="38">
        <f t="shared" si="52"/>
        <v>5</v>
      </c>
    </row>
    <row r="279" spans="1:26" x14ac:dyDescent="0.2">
      <c r="A279" t="str">
        <f>INDEX(Prioritization!$D:$D,MATCH($B279,Prioritization!$A:$A,0))</f>
        <v>4 - Sustained</v>
      </c>
      <c r="B279" t="s">
        <v>304</v>
      </c>
      <c r="C279" t="s">
        <v>473</v>
      </c>
      <c r="D279" t="s">
        <v>30</v>
      </c>
      <c r="E279" t="str">
        <f t="shared" si="44"/>
        <v>Ntcheu District [am530wpaGvr]|01-09|Female</v>
      </c>
      <c r="F279" s="38">
        <v>6</v>
      </c>
      <c r="G279" s="33">
        <v>0.39</v>
      </c>
      <c r="H279" s="218">
        <f t="shared" si="45"/>
        <v>8</v>
      </c>
      <c r="I279" s="38"/>
      <c r="J279" s="33"/>
      <c r="K279" s="33">
        <v>0.45</v>
      </c>
      <c r="L279" s="33"/>
      <c r="M279" s="33">
        <v>0.06</v>
      </c>
      <c r="N279" s="38">
        <f t="shared" si="43"/>
        <v>8</v>
      </c>
      <c r="O279" s="218">
        <f t="shared" si="46"/>
        <v>4</v>
      </c>
      <c r="P279" s="218">
        <f t="shared" si="47"/>
        <v>0</v>
      </c>
      <c r="Q279" s="218">
        <f t="shared" si="48"/>
        <v>4</v>
      </c>
      <c r="R279" s="33" t="str">
        <f>IF(SUM($P279)=0,"",INDEX(Cascade!$BG:$BG,MATCH($E279,Cascade!$E:$E,0)))</f>
        <v/>
      </c>
      <c r="S279" s="218">
        <f t="shared" si="49"/>
        <v>4</v>
      </c>
      <c r="T279" s="218" t="str">
        <f t="shared" si="50"/>
        <v/>
      </c>
      <c r="U279" s="38">
        <f>IFERROR(1/(1/INDEX(Cascade!$BH:$BH,MATCH($E279,Cascade!$E:$E,0))),"")</f>
        <v>6</v>
      </c>
      <c r="V279" s="38" t="str">
        <f t="shared" si="51"/>
        <v/>
      </c>
      <c r="W279" s="38" t="str">
        <f>IFERROR(1/(1/INDEX(PMTCT!$AC:$AC,MATCH($E279,PMTCT!$E:$E,0))),"")</f>
        <v/>
      </c>
      <c r="X279" s="38" t="str">
        <f>IFERROR(1/(1/INDEX(PMTCT!$AS:$AS,MATCH($E279,PMTCT!$E:$E,0))),"")</f>
        <v/>
      </c>
      <c r="Y279" s="38" t="str">
        <f>IFERROR(1/(1/INDEX(VMMC!$AA:$AA,MATCH($E279,VMMC!$E:$E,0))),"")</f>
        <v/>
      </c>
      <c r="Z279" s="38">
        <f t="shared" si="52"/>
        <v>6</v>
      </c>
    </row>
    <row r="280" spans="1:26" x14ac:dyDescent="0.2">
      <c r="A280" t="str">
        <f>INDEX(Prioritization!$D:$D,MATCH($B280,Prioritization!$A:$A,0))</f>
        <v>4 - Sustained</v>
      </c>
      <c r="B280" t="s">
        <v>304</v>
      </c>
      <c r="C280" t="s">
        <v>473</v>
      </c>
      <c r="D280" t="s">
        <v>48</v>
      </c>
      <c r="E280" t="str">
        <f t="shared" si="44"/>
        <v>Ntcheu District [am530wpaGvr]|01-09|Male</v>
      </c>
      <c r="F280" s="38">
        <v>6</v>
      </c>
      <c r="G280" s="33">
        <v>0.39</v>
      </c>
      <c r="H280" s="218">
        <f t="shared" si="45"/>
        <v>8</v>
      </c>
      <c r="I280" s="38"/>
      <c r="J280" s="33"/>
      <c r="K280" s="33">
        <v>0.45</v>
      </c>
      <c r="L280" s="33"/>
      <c r="M280" s="33">
        <v>0.06</v>
      </c>
      <c r="N280" s="38">
        <f t="shared" si="43"/>
        <v>8</v>
      </c>
      <c r="O280" s="218">
        <f t="shared" si="46"/>
        <v>4</v>
      </c>
      <c r="P280" s="218">
        <f t="shared" si="47"/>
        <v>0</v>
      </c>
      <c r="Q280" s="218">
        <f t="shared" si="48"/>
        <v>4</v>
      </c>
      <c r="R280" s="33" t="str">
        <f>IF(SUM($P280)=0,"",INDEX(Cascade!$BG:$BG,MATCH($E280,Cascade!$E:$E,0)))</f>
        <v/>
      </c>
      <c r="S280" s="218">
        <f t="shared" si="49"/>
        <v>4</v>
      </c>
      <c r="T280" s="218" t="str">
        <f t="shared" si="50"/>
        <v/>
      </c>
      <c r="U280" s="38">
        <f>IFERROR(1/(1/INDEX(Cascade!$BH:$BH,MATCH($E280,Cascade!$E:$E,0))),"")</f>
        <v>6</v>
      </c>
      <c r="V280" s="38" t="str">
        <f t="shared" si="51"/>
        <v/>
      </c>
      <c r="W280" s="38" t="str">
        <f>IFERROR(1/(1/INDEX(PMTCT!$AC:$AC,MATCH($E280,PMTCT!$E:$E,0))),"")</f>
        <v/>
      </c>
      <c r="X280" s="38" t="str">
        <f>IFERROR(1/(1/INDEX(PMTCT!$AS:$AS,MATCH($E280,PMTCT!$E:$E,0))),"")</f>
        <v/>
      </c>
      <c r="Y280" s="38" t="str">
        <f>IFERROR(1/(1/INDEX(VMMC!$AA:$AA,MATCH($E280,VMMC!$E:$E,0))),"")</f>
        <v/>
      </c>
      <c r="Z280" s="38">
        <f t="shared" si="52"/>
        <v>6</v>
      </c>
    </row>
    <row r="281" spans="1:26" x14ac:dyDescent="0.2">
      <c r="A281" t="str">
        <f>INDEX(Prioritization!$D:$D,MATCH($B281,Prioritization!$A:$A,0))</f>
        <v>4 - Sustained</v>
      </c>
      <c r="B281" t="s">
        <v>304</v>
      </c>
      <c r="C281" t="s">
        <v>474</v>
      </c>
      <c r="D281" t="s">
        <v>30</v>
      </c>
      <c r="E281" t="str">
        <f t="shared" si="44"/>
        <v>Ntcheu District [am530wpaGvr]|10-14|Female</v>
      </c>
      <c r="F281" s="38">
        <v>3</v>
      </c>
      <c r="G281" s="33">
        <v>0.39</v>
      </c>
      <c r="H281" s="218">
        <f t="shared" si="45"/>
        <v>4</v>
      </c>
      <c r="I281" s="38"/>
      <c r="J281" s="33"/>
      <c r="K281" s="33">
        <v>0.45</v>
      </c>
      <c r="L281" s="33"/>
      <c r="M281" s="33">
        <v>0.06</v>
      </c>
      <c r="N281" s="38">
        <f t="shared" si="43"/>
        <v>4</v>
      </c>
      <c r="O281" s="218">
        <f t="shared" si="46"/>
        <v>2</v>
      </c>
      <c r="P281" s="218">
        <f t="shared" si="47"/>
        <v>0</v>
      </c>
      <c r="Q281" s="218">
        <f t="shared" si="48"/>
        <v>2</v>
      </c>
      <c r="R281" s="33" t="str">
        <f>IF(SUM($P281)=0,"",INDEX(Cascade!$BG:$BG,MATCH($E281,Cascade!$E:$E,0)))</f>
        <v/>
      </c>
      <c r="S281" s="218">
        <f t="shared" si="49"/>
        <v>2</v>
      </c>
      <c r="T281" s="218" t="str">
        <f t="shared" si="50"/>
        <v/>
      </c>
      <c r="U281" s="38">
        <f>IFERROR(1/(1/INDEX(Cascade!$BH:$BH,MATCH($E281,Cascade!$E:$E,0))),"")</f>
        <v>37</v>
      </c>
      <c r="V281" s="38" t="str">
        <f t="shared" si="51"/>
        <v/>
      </c>
      <c r="W281" s="38">
        <f>IFERROR(1/(1/INDEX(PMTCT!$AC:$AC,MATCH($E281,PMTCT!$E:$E,0))),"")</f>
        <v>1</v>
      </c>
      <c r="X281" s="38" t="str">
        <f>IFERROR(1/(1/INDEX(PMTCT!$AS:$AS,MATCH($E281,PMTCT!$E:$E,0))),"")</f>
        <v/>
      </c>
      <c r="Y281" s="38" t="str">
        <f>IFERROR(1/(1/INDEX(VMMC!$AA:$AA,MATCH($E281,VMMC!$E:$E,0))),"")</f>
        <v/>
      </c>
      <c r="Z281" s="38">
        <f t="shared" si="52"/>
        <v>36</v>
      </c>
    </row>
    <row r="282" spans="1:26" x14ac:dyDescent="0.2">
      <c r="A282" t="str">
        <f>INDEX(Prioritization!$D:$D,MATCH($B282,Prioritization!$A:$A,0))</f>
        <v>4 - Sustained</v>
      </c>
      <c r="B282" t="s">
        <v>304</v>
      </c>
      <c r="C282" t="s">
        <v>474</v>
      </c>
      <c r="D282" t="s">
        <v>48</v>
      </c>
      <c r="E282" t="str">
        <f t="shared" si="44"/>
        <v>Ntcheu District [am530wpaGvr]|10-14|Male</v>
      </c>
      <c r="F282" s="38">
        <v>3</v>
      </c>
      <c r="G282" s="33">
        <v>0.39</v>
      </c>
      <c r="H282" s="218">
        <f t="shared" si="45"/>
        <v>4</v>
      </c>
      <c r="I282" s="38"/>
      <c r="J282" s="33"/>
      <c r="K282" s="33">
        <v>0.45</v>
      </c>
      <c r="L282" s="33"/>
      <c r="M282" s="33">
        <v>0.06</v>
      </c>
      <c r="N282" s="38">
        <f t="shared" si="43"/>
        <v>4</v>
      </c>
      <c r="O282" s="218">
        <f t="shared" si="46"/>
        <v>2</v>
      </c>
      <c r="P282" s="218">
        <f t="shared" si="47"/>
        <v>0</v>
      </c>
      <c r="Q282" s="218">
        <f t="shared" si="48"/>
        <v>2</v>
      </c>
      <c r="R282" s="33" t="str">
        <f>IF(SUM($P282)=0,"",INDEX(Cascade!$BG:$BG,MATCH($E282,Cascade!$E:$E,0)))</f>
        <v/>
      </c>
      <c r="S282" s="218">
        <f t="shared" si="49"/>
        <v>2</v>
      </c>
      <c r="T282" s="218" t="str">
        <f t="shared" si="50"/>
        <v/>
      </c>
      <c r="U282" s="38">
        <f>IFERROR(1/(1/INDEX(Cascade!$BH:$BH,MATCH($E282,Cascade!$E:$E,0))),"")</f>
        <v>7</v>
      </c>
      <c r="V282" s="38" t="str">
        <f t="shared" si="51"/>
        <v/>
      </c>
      <c r="W282" s="38" t="str">
        <f>IFERROR(1/(1/INDEX(PMTCT!$AC:$AC,MATCH($E282,PMTCT!$E:$E,0))),"")</f>
        <v/>
      </c>
      <c r="X282" s="38" t="str">
        <f>IFERROR(1/(1/INDEX(PMTCT!$AS:$AS,MATCH($E282,PMTCT!$E:$E,0))),"")</f>
        <v/>
      </c>
      <c r="Y282" s="38" t="str">
        <f>IFERROR(1/(1/INDEX(VMMC!$AA:$AA,MATCH($E282,VMMC!$E:$E,0))),"")</f>
        <v/>
      </c>
      <c r="Z282" s="38">
        <f t="shared" si="52"/>
        <v>7</v>
      </c>
    </row>
    <row r="283" spans="1:26" x14ac:dyDescent="0.2">
      <c r="A283" t="str">
        <f>INDEX(Prioritization!$D:$D,MATCH($B283,Prioritization!$A:$A,0))</f>
        <v>4 - Sustained</v>
      </c>
      <c r="B283" t="s">
        <v>304</v>
      </c>
      <c r="C283" t="s">
        <v>475</v>
      </c>
      <c r="D283" t="s">
        <v>30</v>
      </c>
      <c r="E283" t="str">
        <f t="shared" si="44"/>
        <v>Ntcheu District [am530wpaGvr]|15-24|Female</v>
      </c>
      <c r="F283" s="38">
        <v>24</v>
      </c>
      <c r="G283" s="33">
        <v>0.39</v>
      </c>
      <c r="H283" s="218">
        <f t="shared" si="45"/>
        <v>33</v>
      </c>
      <c r="I283" s="38">
        <v>1</v>
      </c>
      <c r="J283" s="33"/>
      <c r="K283" s="33">
        <v>0.45</v>
      </c>
      <c r="L283" s="33"/>
      <c r="M283" s="33">
        <v>0.06</v>
      </c>
      <c r="N283" s="38">
        <f t="shared" si="43"/>
        <v>33</v>
      </c>
      <c r="O283" s="218">
        <f t="shared" si="46"/>
        <v>15</v>
      </c>
      <c r="P283" s="218">
        <f t="shared" si="47"/>
        <v>1</v>
      </c>
      <c r="Q283" s="218">
        <f t="shared" si="48"/>
        <v>17</v>
      </c>
      <c r="R283" s="33">
        <f>IF(SUM($P283)=0,"",INDEX(Cascade!$BG:$BG,MATCH($E283,Cascade!$E:$E,0)))</f>
        <v>0.95</v>
      </c>
      <c r="S283" s="218">
        <f t="shared" si="49"/>
        <v>15</v>
      </c>
      <c r="T283" s="218">
        <f t="shared" si="50"/>
        <v>1</v>
      </c>
      <c r="U283" s="38">
        <f>IFERROR(1/(1/INDEX(Cascade!$BH:$BH,MATCH($E283,Cascade!$E:$E,0))),"")</f>
        <v>238</v>
      </c>
      <c r="V283" s="38">
        <f t="shared" si="51"/>
        <v>1</v>
      </c>
      <c r="W283" s="38">
        <f>IFERROR(1/(1/INDEX(PMTCT!$AC:$AC,MATCH($E283,PMTCT!$E:$E,0))),"")</f>
        <v>121</v>
      </c>
      <c r="X283" s="38">
        <f>IFERROR(1/(1/INDEX(PMTCT!$AS:$AS,MATCH($E283,PMTCT!$E:$E,0))),"")</f>
        <v>52</v>
      </c>
      <c r="Y283" s="38" t="str">
        <f>IFERROR(1/(1/INDEX(VMMC!$AA:$AA,MATCH($E283,VMMC!$E:$E,0))),"")</f>
        <v/>
      </c>
      <c r="Z283" s="38">
        <f t="shared" si="52"/>
        <v>64</v>
      </c>
    </row>
    <row r="284" spans="1:26" x14ac:dyDescent="0.2">
      <c r="A284" t="str">
        <f>INDEX(Prioritization!$D:$D,MATCH($B284,Prioritization!$A:$A,0))</f>
        <v>4 - Sustained</v>
      </c>
      <c r="B284" t="s">
        <v>304</v>
      </c>
      <c r="C284" t="s">
        <v>475</v>
      </c>
      <c r="D284" t="s">
        <v>48</v>
      </c>
      <c r="E284" t="str">
        <f t="shared" si="44"/>
        <v>Ntcheu District [am530wpaGvr]|15-24|Male</v>
      </c>
      <c r="F284" s="38">
        <v>38</v>
      </c>
      <c r="G284" s="33">
        <v>0.39</v>
      </c>
      <c r="H284" s="218">
        <f t="shared" si="45"/>
        <v>53</v>
      </c>
      <c r="I284" s="38">
        <v>1</v>
      </c>
      <c r="J284" s="33"/>
      <c r="K284" s="33">
        <v>0.45</v>
      </c>
      <c r="L284" s="33"/>
      <c r="M284" s="33">
        <v>0.06</v>
      </c>
      <c r="N284" s="38">
        <f t="shared" si="43"/>
        <v>52</v>
      </c>
      <c r="O284" s="218">
        <f t="shared" si="46"/>
        <v>23</v>
      </c>
      <c r="P284" s="218">
        <f t="shared" si="47"/>
        <v>2</v>
      </c>
      <c r="Q284" s="218">
        <f t="shared" si="48"/>
        <v>27</v>
      </c>
      <c r="R284" s="33">
        <f>IF(SUM($P284)=0,"",INDEX(Cascade!$BG:$BG,MATCH($E284,Cascade!$E:$E,0)))</f>
        <v>0.95</v>
      </c>
      <c r="S284" s="218">
        <f t="shared" si="49"/>
        <v>23</v>
      </c>
      <c r="T284" s="218">
        <f t="shared" si="50"/>
        <v>2</v>
      </c>
      <c r="U284" s="38">
        <f>IFERROR(1/(1/INDEX(Cascade!$BH:$BH,MATCH($E284,Cascade!$E:$E,0))),"")</f>
        <v>53</v>
      </c>
      <c r="V284" s="38">
        <f t="shared" si="51"/>
        <v>2</v>
      </c>
      <c r="W284" s="38" t="str">
        <f>IFERROR(1/(1/INDEX(PMTCT!$AC:$AC,MATCH($E284,PMTCT!$E:$E,0))),"")</f>
        <v/>
      </c>
      <c r="X284" s="38" t="str">
        <f>IFERROR(1/(1/INDEX(PMTCT!$AS:$AS,MATCH($E284,PMTCT!$E:$E,0))),"")</f>
        <v/>
      </c>
      <c r="Y284" s="38" t="str">
        <f>IFERROR(1/(1/INDEX(VMMC!$AA:$AA,MATCH($E284,VMMC!$E:$E,0))),"")</f>
        <v/>
      </c>
      <c r="Z284" s="38">
        <f t="shared" si="52"/>
        <v>51</v>
      </c>
    </row>
    <row r="285" spans="1:26" x14ac:dyDescent="0.2">
      <c r="A285" t="str">
        <f>INDEX(Prioritization!$D:$D,MATCH($B285,Prioritization!$A:$A,0))</f>
        <v>4 - Sustained</v>
      </c>
      <c r="B285" t="s">
        <v>304</v>
      </c>
      <c r="C285" t="s">
        <v>476</v>
      </c>
      <c r="D285" t="s">
        <v>30</v>
      </c>
      <c r="E285" t="str">
        <f t="shared" si="44"/>
        <v>Ntcheu District [am530wpaGvr]|25-34|Female</v>
      </c>
      <c r="F285" s="38">
        <v>24</v>
      </c>
      <c r="G285" s="33">
        <v>0.39</v>
      </c>
      <c r="H285" s="218">
        <f t="shared" si="45"/>
        <v>33</v>
      </c>
      <c r="I285" s="38">
        <v>1</v>
      </c>
      <c r="J285" s="33"/>
      <c r="K285" s="33">
        <v>0.45</v>
      </c>
      <c r="L285" s="33"/>
      <c r="M285" s="33">
        <v>0.06</v>
      </c>
      <c r="N285" s="38">
        <f t="shared" si="43"/>
        <v>33</v>
      </c>
      <c r="O285" s="218">
        <f t="shared" si="46"/>
        <v>15</v>
      </c>
      <c r="P285" s="218">
        <f t="shared" si="47"/>
        <v>1</v>
      </c>
      <c r="Q285" s="218">
        <f t="shared" si="48"/>
        <v>17</v>
      </c>
      <c r="R285" s="33">
        <f>IF(SUM($P285)=0,"",INDEX(Cascade!$BG:$BG,MATCH($E285,Cascade!$E:$E,0)))</f>
        <v>0.95</v>
      </c>
      <c r="S285" s="218">
        <f t="shared" si="49"/>
        <v>15</v>
      </c>
      <c r="T285" s="218">
        <f t="shared" si="50"/>
        <v>1</v>
      </c>
      <c r="U285" s="38">
        <f>IFERROR(1/(1/INDEX(Cascade!$BH:$BH,MATCH($E285,Cascade!$E:$E,0))),"")</f>
        <v>245.99999999999997</v>
      </c>
      <c r="V285" s="38">
        <f t="shared" si="51"/>
        <v>1</v>
      </c>
      <c r="W285" s="38">
        <f>IFERROR(1/(1/INDEX(PMTCT!$AC:$AC,MATCH($E285,PMTCT!$E:$E,0))),"")</f>
        <v>77</v>
      </c>
      <c r="X285" s="38">
        <f>IFERROR(1/(1/INDEX(PMTCT!$AS:$AS,MATCH($E285,PMTCT!$E:$E,0))),"")</f>
        <v>28</v>
      </c>
      <c r="Y285" s="38" t="str">
        <f>IFERROR(1/(1/INDEX(VMMC!$AA:$AA,MATCH($E285,VMMC!$E:$E,0))),"")</f>
        <v/>
      </c>
      <c r="Z285" s="38">
        <f t="shared" si="52"/>
        <v>139.99999999999997</v>
      </c>
    </row>
    <row r="286" spans="1:26" x14ac:dyDescent="0.2">
      <c r="A286" t="str">
        <f>INDEX(Prioritization!$D:$D,MATCH($B286,Prioritization!$A:$A,0))</f>
        <v>4 - Sustained</v>
      </c>
      <c r="B286" t="s">
        <v>304</v>
      </c>
      <c r="C286" t="s">
        <v>476</v>
      </c>
      <c r="D286" t="s">
        <v>48</v>
      </c>
      <c r="E286" t="str">
        <f t="shared" si="44"/>
        <v>Ntcheu District [am530wpaGvr]|25-34|Male</v>
      </c>
      <c r="F286" s="38">
        <v>39</v>
      </c>
      <c r="G286" s="33">
        <v>0.39</v>
      </c>
      <c r="H286" s="218">
        <f t="shared" si="45"/>
        <v>54</v>
      </c>
      <c r="I286" s="38">
        <v>1</v>
      </c>
      <c r="J286" s="33"/>
      <c r="K286" s="33">
        <v>0.45</v>
      </c>
      <c r="L286" s="33"/>
      <c r="M286" s="33">
        <v>0.06</v>
      </c>
      <c r="N286" s="38">
        <f t="shared" si="43"/>
        <v>53</v>
      </c>
      <c r="O286" s="218">
        <f t="shared" si="46"/>
        <v>24</v>
      </c>
      <c r="P286" s="218">
        <f t="shared" si="47"/>
        <v>2</v>
      </c>
      <c r="Q286" s="218">
        <f t="shared" si="48"/>
        <v>27</v>
      </c>
      <c r="R286" s="33">
        <f>IF(SUM($P286)=0,"",INDEX(Cascade!$BG:$BG,MATCH($E286,Cascade!$E:$E,0)))</f>
        <v>0.95</v>
      </c>
      <c r="S286" s="218">
        <f t="shared" si="49"/>
        <v>24</v>
      </c>
      <c r="T286" s="218">
        <f t="shared" si="50"/>
        <v>2</v>
      </c>
      <c r="U286" s="38">
        <f>IFERROR(1/(1/INDEX(Cascade!$BH:$BH,MATCH($E286,Cascade!$E:$E,0))),"")</f>
        <v>26</v>
      </c>
      <c r="V286" s="38">
        <f t="shared" si="51"/>
        <v>2</v>
      </c>
      <c r="W286" s="38" t="str">
        <f>IFERROR(1/(1/INDEX(PMTCT!$AC:$AC,MATCH($E286,PMTCT!$E:$E,0))),"")</f>
        <v/>
      </c>
      <c r="X286" s="38" t="str">
        <f>IFERROR(1/(1/INDEX(PMTCT!$AS:$AS,MATCH($E286,PMTCT!$E:$E,0))),"")</f>
        <v/>
      </c>
      <c r="Y286" s="38" t="str">
        <f>IFERROR(1/(1/INDEX(VMMC!$AA:$AA,MATCH($E286,VMMC!$E:$E,0))),"")</f>
        <v/>
      </c>
      <c r="Z286" s="38">
        <f t="shared" si="52"/>
        <v>24</v>
      </c>
    </row>
    <row r="287" spans="1:26" x14ac:dyDescent="0.2">
      <c r="A287" t="str">
        <f>INDEX(Prioritization!$D:$D,MATCH($B287,Prioritization!$A:$A,0))</f>
        <v>4 - Sustained</v>
      </c>
      <c r="B287" t="s">
        <v>304</v>
      </c>
      <c r="C287" t="s">
        <v>477</v>
      </c>
      <c r="D287" t="s">
        <v>30</v>
      </c>
      <c r="E287" t="str">
        <f t="shared" si="44"/>
        <v>Ntcheu District [am530wpaGvr]|35-49|Female</v>
      </c>
      <c r="F287" s="38">
        <v>37</v>
      </c>
      <c r="G287" s="33">
        <v>0.39</v>
      </c>
      <c r="H287" s="218">
        <f t="shared" si="45"/>
        <v>51</v>
      </c>
      <c r="I287" s="38">
        <v>1</v>
      </c>
      <c r="J287" s="33"/>
      <c r="K287" s="33">
        <v>0.45</v>
      </c>
      <c r="L287" s="33"/>
      <c r="M287" s="33">
        <v>0.06</v>
      </c>
      <c r="N287" s="38">
        <f t="shared" si="43"/>
        <v>50</v>
      </c>
      <c r="O287" s="218">
        <f t="shared" si="46"/>
        <v>23</v>
      </c>
      <c r="P287" s="218">
        <f t="shared" si="47"/>
        <v>2</v>
      </c>
      <c r="Q287" s="218">
        <f t="shared" si="48"/>
        <v>25</v>
      </c>
      <c r="R287" s="33">
        <f>IF(SUM($P287)=0,"",INDEX(Cascade!$BG:$BG,MATCH($E287,Cascade!$E:$E,0)))</f>
        <v>0.95</v>
      </c>
      <c r="S287" s="218">
        <f t="shared" si="49"/>
        <v>23</v>
      </c>
      <c r="T287" s="218">
        <f t="shared" si="50"/>
        <v>2</v>
      </c>
      <c r="U287" s="38">
        <f>IFERROR(1/(1/INDEX(Cascade!$BH:$BH,MATCH($E287,Cascade!$E:$E,0))),"")</f>
        <v>395.99999999999994</v>
      </c>
      <c r="V287" s="38">
        <f t="shared" si="51"/>
        <v>2</v>
      </c>
      <c r="W287" s="38">
        <f>IFERROR(1/(1/INDEX(PMTCT!$AC:$AC,MATCH($E287,PMTCT!$E:$E,0))),"")</f>
        <v>21</v>
      </c>
      <c r="X287" s="38">
        <f>IFERROR(1/(1/INDEX(PMTCT!$AS:$AS,MATCH($E287,PMTCT!$E:$E,0))),"")</f>
        <v>7</v>
      </c>
      <c r="Y287" s="38" t="str">
        <f>IFERROR(1/(1/INDEX(VMMC!$AA:$AA,MATCH($E287,VMMC!$E:$E,0))),"")</f>
        <v/>
      </c>
      <c r="Z287" s="38">
        <f t="shared" si="52"/>
        <v>365.99999999999994</v>
      </c>
    </row>
    <row r="288" spans="1:26" x14ac:dyDescent="0.2">
      <c r="A288" t="str">
        <f>INDEX(Prioritization!$D:$D,MATCH($B288,Prioritization!$A:$A,0))</f>
        <v>4 - Sustained</v>
      </c>
      <c r="B288" t="s">
        <v>304</v>
      </c>
      <c r="C288" t="s">
        <v>477</v>
      </c>
      <c r="D288" t="s">
        <v>48</v>
      </c>
      <c r="E288" t="str">
        <f t="shared" si="44"/>
        <v>Ntcheu District [am530wpaGvr]|35-49|Male</v>
      </c>
      <c r="F288" s="38">
        <v>58</v>
      </c>
      <c r="G288" s="33">
        <v>0.39</v>
      </c>
      <c r="H288" s="218">
        <f t="shared" si="45"/>
        <v>81</v>
      </c>
      <c r="I288" s="38">
        <v>2</v>
      </c>
      <c r="J288" s="33"/>
      <c r="K288" s="33">
        <v>0.45</v>
      </c>
      <c r="L288" s="33"/>
      <c r="M288" s="33">
        <v>0.06</v>
      </c>
      <c r="N288" s="38">
        <f t="shared" si="43"/>
        <v>80</v>
      </c>
      <c r="O288" s="218">
        <f t="shared" si="46"/>
        <v>36</v>
      </c>
      <c r="P288" s="218">
        <f t="shared" si="47"/>
        <v>3</v>
      </c>
      <c r="Q288" s="218">
        <f t="shared" si="48"/>
        <v>41</v>
      </c>
      <c r="R288" s="33">
        <f>IF(SUM($P288)=0,"",INDEX(Cascade!$BG:$BG,MATCH($E288,Cascade!$E:$E,0)))</f>
        <v>0.95</v>
      </c>
      <c r="S288" s="218">
        <f t="shared" si="49"/>
        <v>36</v>
      </c>
      <c r="T288" s="218">
        <f t="shared" si="50"/>
        <v>3</v>
      </c>
      <c r="U288" s="38">
        <f>IFERROR(1/(1/INDEX(Cascade!$BH:$BH,MATCH($E288,Cascade!$E:$E,0))),"")</f>
        <v>273</v>
      </c>
      <c r="V288" s="38">
        <f t="shared" si="51"/>
        <v>3</v>
      </c>
      <c r="W288" s="38" t="str">
        <f>IFERROR(1/(1/INDEX(PMTCT!$AC:$AC,MATCH($E288,PMTCT!$E:$E,0))),"")</f>
        <v/>
      </c>
      <c r="X288" s="38" t="str">
        <f>IFERROR(1/(1/INDEX(PMTCT!$AS:$AS,MATCH($E288,PMTCT!$E:$E,0))),"")</f>
        <v/>
      </c>
      <c r="Y288" s="38" t="str">
        <f>IFERROR(1/(1/INDEX(VMMC!$AA:$AA,MATCH($E288,VMMC!$E:$E,0))),"")</f>
        <v/>
      </c>
      <c r="Z288" s="38">
        <f t="shared" si="52"/>
        <v>270</v>
      </c>
    </row>
    <row r="289" spans="1:26" x14ac:dyDescent="0.2">
      <c r="A289" t="str">
        <f>INDEX(Prioritization!$D:$D,MATCH($B289,Prioritization!$A:$A,0))</f>
        <v>4 - Sustained</v>
      </c>
      <c r="B289" t="s">
        <v>304</v>
      </c>
      <c r="C289" t="s">
        <v>478</v>
      </c>
      <c r="D289" t="s">
        <v>30</v>
      </c>
      <c r="E289" t="str">
        <f t="shared" si="44"/>
        <v>Ntcheu District [am530wpaGvr]|50+|Female</v>
      </c>
      <c r="F289" s="38">
        <v>12</v>
      </c>
      <c r="G289" s="33">
        <v>0.39</v>
      </c>
      <c r="H289" s="218">
        <f t="shared" si="45"/>
        <v>17</v>
      </c>
      <c r="I289" s="38"/>
      <c r="J289" s="33"/>
      <c r="K289" s="33">
        <v>0.45</v>
      </c>
      <c r="L289" s="33"/>
      <c r="M289" s="33">
        <v>0.06</v>
      </c>
      <c r="N289" s="38">
        <f t="shared" si="43"/>
        <v>17</v>
      </c>
      <c r="O289" s="218">
        <f t="shared" si="46"/>
        <v>8</v>
      </c>
      <c r="P289" s="218">
        <f t="shared" si="47"/>
        <v>1</v>
      </c>
      <c r="Q289" s="218">
        <f t="shared" si="48"/>
        <v>8</v>
      </c>
      <c r="R289" s="33">
        <f>IF(SUM($P289)=0,"",INDEX(Cascade!$BG:$BG,MATCH($E289,Cascade!$E:$E,0)))</f>
        <v>0.95</v>
      </c>
      <c r="S289" s="218">
        <f t="shared" si="49"/>
        <v>8</v>
      </c>
      <c r="T289" s="218">
        <f t="shared" si="50"/>
        <v>1</v>
      </c>
      <c r="U289" s="38">
        <f>IFERROR(1/(1/INDEX(Cascade!$BH:$BH,MATCH($E289,Cascade!$E:$E,0))),"")</f>
        <v>244</v>
      </c>
      <c r="V289" s="38">
        <f t="shared" si="51"/>
        <v>1</v>
      </c>
      <c r="W289" s="38" t="str">
        <f>IFERROR(1/(1/INDEX(PMTCT!$AC:$AC,MATCH($E289,PMTCT!$E:$E,0))),"")</f>
        <v/>
      </c>
      <c r="X289" s="38" t="str">
        <f>IFERROR(1/(1/INDEX(PMTCT!$AS:$AS,MATCH($E289,PMTCT!$E:$E,0))),"")</f>
        <v/>
      </c>
      <c r="Y289" s="38" t="str">
        <f>IFERROR(1/(1/INDEX(VMMC!$AA:$AA,MATCH($E289,VMMC!$E:$E,0))),"")</f>
        <v/>
      </c>
      <c r="Z289" s="38">
        <f t="shared" si="52"/>
        <v>242.99999999999997</v>
      </c>
    </row>
    <row r="290" spans="1:26" x14ac:dyDescent="0.2">
      <c r="A290" t="str">
        <f>INDEX(Prioritization!$D:$D,MATCH($B290,Prioritization!$A:$A,0))</f>
        <v>4 - Sustained</v>
      </c>
      <c r="B290" t="s">
        <v>304</v>
      </c>
      <c r="C290" t="s">
        <v>478</v>
      </c>
      <c r="D290" t="s">
        <v>48</v>
      </c>
      <c r="E290" t="str">
        <f t="shared" si="44"/>
        <v>Ntcheu District [am530wpaGvr]|50+|Male</v>
      </c>
      <c r="F290" s="38">
        <v>20</v>
      </c>
      <c r="G290" s="33">
        <v>0.39</v>
      </c>
      <c r="H290" s="218">
        <f t="shared" si="45"/>
        <v>28</v>
      </c>
      <c r="I290" s="38">
        <v>1</v>
      </c>
      <c r="J290" s="33"/>
      <c r="K290" s="33">
        <v>0.45</v>
      </c>
      <c r="L290" s="33"/>
      <c r="M290" s="33">
        <v>0.06</v>
      </c>
      <c r="N290" s="38">
        <f t="shared" si="43"/>
        <v>28</v>
      </c>
      <c r="O290" s="218">
        <f t="shared" si="46"/>
        <v>13</v>
      </c>
      <c r="P290" s="218">
        <f t="shared" si="47"/>
        <v>1</v>
      </c>
      <c r="Q290" s="218">
        <f t="shared" si="48"/>
        <v>14</v>
      </c>
      <c r="R290" s="33">
        <f>IF(SUM($P290)=0,"",INDEX(Cascade!$BG:$BG,MATCH($E290,Cascade!$E:$E,0)))</f>
        <v>0.95</v>
      </c>
      <c r="S290" s="218">
        <f t="shared" si="49"/>
        <v>13</v>
      </c>
      <c r="T290" s="218">
        <f t="shared" si="50"/>
        <v>1</v>
      </c>
      <c r="U290" s="38">
        <f>IFERROR(1/(1/INDEX(Cascade!$BH:$BH,MATCH($E290,Cascade!$E:$E,0))),"")</f>
        <v>253.00000000000003</v>
      </c>
      <c r="V290" s="38">
        <f t="shared" si="51"/>
        <v>1</v>
      </c>
      <c r="W290" s="38" t="str">
        <f>IFERROR(1/(1/INDEX(PMTCT!$AC:$AC,MATCH($E290,PMTCT!$E:$E,0))),"")</f>
        <v/>
      </c>
      <c r="X290" s="38" t="str">
        <f>IFERROR(1/(1/INDEX(PMTCT!$AS:$AS,MATCH($E290,PMTCT!$E:$E,0))),"")</f>
        <v/>
      </c>
      <c r="Y290" s="38" t="str">
        <f>IFERROR(1/(1/INDEX(VMMC!$AA:$AA,MATCH($E290,VMMC!$E:$E,0))),"")</f>
        <v/>
      </c>
      <c r="Z290" s="38">
        <f t="shared" si="52"/>
        <v>252</v>
      </c>
    </row>
    <row r="291" spans="1:26" x14ac:dyDescent="0.2">
      <c r="A291" t="str">
        <f>INDEX(Prioritization!$D:$D,MATCH($B291,Prioritization!$A:$A,0))</f>
        <v>4 - Sustained</v>
      </c>
      <c r="B291" t="s">
        <v>305</v>
      </c>
      <c r="C291" t="s">
        <v>473</v>
      </c>
      <c r="D291" t="s">
        <v>30</v>
      </c>
      <c r="E291" t="str">
        <f t="shared" si="44"/>
        <v>Ntchisi District [fiRkU6gEjLz]|01-09|Female</v>
      </c>
      <c r="F291" s="38">
        <v>2</v>
      </c>
      <c r="G291" s="33">
        <v>0.39</v>
      </c>
      <c r="H291" s="218">
        <f t="shared" si="45"/>
        <v>3</v>
      </c>
      <c r="I291" s="38"/>
      <c r="J291" s="33"/>
      <c r="K291" s="33">
        <v>0.45</v>
      </c>
      <c r="L291" s="33"/>
      <c r="M291" s="33">
        <v>0.06</v>
      </c>
      <c r="N291" s="38">
        <f t="shared" si="43"/>
        <v>3</v>
      </c>
      <c r="O291" s="218">
        <f t="shared" si="46"/>
        <v>1</v>
      </c>
      <c r="P291" s="218">
        <f t="shared" si="47"/>
        <v>0</v>
      </c>
      <c r="Q291" s="218">
        <f t="shared" si="48"/>
        <v>2</v>
      </c>
      <c r="R291" s="33" t="str">
        <f>IF(SUM($P291)=0,"",INDEX(Cascade!$BG:$BG,MATCH($E291,Cascade!$E:$E,0)))</f>
        <v/>
      </c>
      <c r="S291" s="218">
        <f t="shared" si="49"/>
        <v>1</v>
      </c>
      <c r="T291" s="218" t="str">
        <f t="shared" si="50"/>
        <v/>
      </c>
      <c r="U291" s="38">
        <f>IFERROR(1/(1/INDEX(Cascade!$BH:$BH,MATCH($E291,Cascade!$E:$E,0))),"")</f>
        <v>1</v>
      </c>
      <c r="V291" s="38" t="str">
        <f t="shared" si="51"/>
        <v/>
      </c>
      <c r="W291" s="38" t="str">
        <f>IFERROR(1/(1/INDEX(PMTCT!$AC:$AC,MATCH($E291,PMTCT!$E:$E,0))),"")</f>
        <v/>
      </c>
      <c r="X291" s="38" t="str">
        <f>IFERROR(1/(1/INDEX(PMTCT!$AS:$AS,MATCH($E291,PMTCT!$E:$E,0))),"")</f>
        <v/>
      </c>
      <c r="Y291" s="38" t="str">
        <f>IFERROR(1/(1/INDEX(VMMC!$AA:$AA,MATCH($E291,VMMC!$E:$E,0))),"")</f>
        <v/>
      </c>
      <c r="Z291" s="38">
        <f t="shared" si="52"/>
        <v>1</v>
      </c>
    </row>
    <row r="292" spans="1:26" x14ac:dyDescent="0.2">
      <c r="A292" t="str">
        <f>INDEX(Prioritization!$D:$D,MATCH($B292,Prioritization!$A:$A,0))</f>
        <v>4 - Sustained</v>
      </c>
      <c r="B292" t="s">
        <v>305</v>
      </c>
      <c r="C292" t="s">
        <v>473</v>
      </c>
      <c r="D292" t="s">
        <v>48</v>
      </c>
      <c r="E292" t="str">
        <f t="shared" si="44"/>
        <v>Ntchisi District [fiRkU6gEjLz]|01-09|Male</v>
      </c>
      <c r="F292" s="38">
        <v>2</v>
      </c>
      <c r="G292" s="33">
        <v>0.39</v>
      </c>
      <c r="H292" s="218">
        <f t="shared" si="45"/>
        <v>3</v>
      </c>
      <c r="I292" s="38"/>
      <c r="J292" s="33"/>
      <c r="K292" s="33">
        <v>0.45</v>
      </c>
      <c r="L292" s="33"/>
      <c r="M292" s="33">
        <v>0.06</v>
      </c>
      <c r="N292" s="38">
        <f t="shared" si="43"/>
        <v>3</v>
      </c>
      <c r="O292" s="218">
        <f t="shared" si="46"/>
        <v>1</v>
      </c>
      <c r="P292" s="218">
        <f t="shared" si="47"/>
        <v>0</v>
      </c>
      <c r="Q292" s="218">
        <f t="shared" si="48"/>
        <v>2</v>
      </c>
      <c r="R292" s="33" t="str">
        <f>IF(SUM($P292)=0,"",INDEX(Cascade!$BG:$BG,MATCH($E292,Cascade!$E:$E,0)))</f>
        <v/>
      </c>
      <c r="S292" s="218">
        <f t="shared" si="49"/>
        <v>1</v>
      </c>
      <c r="T292" s="218" t="str">
        <f t="shared" si="50"/>
        <v/>
      </c>
      <c r="U292" s="38">
        <f>IFERROR(1/(1/INDEX(Cascade!$BH:$BH,MATCH($E292,Cascade!$E:$E,0))),"")</f>
        <v>1</v>
      </c>
      <c r="V292" s="38" t="str">
        <f t="shared" si="51"/>
        <v/>
      </c>
      <c r="W292" s="38" t="str">
        <f>IFERROR(1/(1/INDEX(PMTCT!$AC:$AC,MATCH($E292,PMTCT!$E:$E,0))),"")</f>
        <v/>
      </c>
      <c r="X292" s="38" t="str">
        <f>IFERROR(1/(1/INDEX(PMTCT!$AS:$AS,MATCH($E292,PMTCT!$E:$E,0))),"")</f>
        <v/>
      </c>
      <c r="Y292" s="38" t="str">
        <f>IFERROR(1/(1/INDEX(VMMC!$AA:$AA,MATCH($E292,VMMC!$E:$E,0))),"")</f>
        <v/>
      </c>
      <c r="Z292" s="38">
        <f t="shared" si="52"/>
        <v>1</v>
      </c>
    </row>
    <row r="293" spans="1:26" x14ac:dyDescent="0.2">
      <c r="A293" t="str">
        <f>INDEX(Prioritization!$D:$D,MATCH($B293,Prioritization!$A:$A,0))</f>
        <v>4 - Sustained</v>
      </c>
      <c r="B293" t="s">
        <v>305</v>
      </c>
      <c r="C293" t="s">
        <v>474</v>
      </c>
      <c r="D293" t="s">
        <v>30</v>
      </c>
      <c r="E293" t="str">
        <f t="shared" si="44"/>
        <v>Ntchisi District [fiRkU6gEjLz]|10-14|Female</v>
      </c>
      <c r="F293" s="38">
        <v>1</v>
      </c>
      <c r="G293" s="33">
        <v>0.39</v>
      </c>
      <c r="H293" s="218">
        <f t="shared" si="45"/>
        <v>1</v>
      </c>
      <c r="I293" s="38"/>
      <c r="J293" s="33"/>
      <c r="K293" s="33">
        <v>0.45</v>
      </c>
      <c r="L293" s="33"/>
      <c r="M293" s="33">
        <v>0.06</v>
      </c>
      <c r="N293" s="38">
        <f t="shared" si="43"/>
        <v>1</v>
      </c>
      <c r="O293" s="218">
        <f t="shared" si="46"/>
        <v>0</v>
      </c>
      <c r="P293" s="218">
        <f t="shared" si="47"/>
        <v>0</v>
      </c>
      <c r="Q293" s="218">
        <f t="shared" si="48"/>
        <v>1</v>
      </c>
      <c r="R293" s="33" t="str">
        <f>IF(SUM($P293)=0,"",INDEX(Cascade!$BG:$BG,MATCH($E293,Cascade!$E:$E,0)))</f>
        <v/>
      </c>
      <c r="S293" s="218">
        <f t="shared" si="49"/>
        <v>0</v>
      </c>
      <c r="T293" s="218" t="str">
        <f t="shared" si="50"/>
        <v/>
      </c>
      <c r="U293" s="38">
        <f>IFERROR(1/(1/INDEX(Cascade!$BH:$BH,MATCH($E293,Cascade!$E:$E,0))),"")</f>
        <v>13</v>
      </c>
      <c r="V293" s="38" t="str">
        <f t="shared" si="51"/>
        <v/>
      </c>
      <c r="W293" s="38" t="str">
        <f>IFERROR(1/(1/INDEX(PMTCT!$AC:$AC,MATCH($E293,PMTCT!$E:$E,0))),"")</f>
        <v/>
      </c>
      <c r="X293" s="38" t="str">
        <f>IFERROR(1/(1/INDEX(PMTCT!$AS:$AS,MATCH($E293,PMTCT!$E:$E,0))),"")</f>
        <v/>
      </c>
      <c r="Y293" s="38" t="str">
        <f>IFERROR(1/(1/INDEX(VMMC!$AA:$AA,MATCH($E293,VMMC!$E:$E,0))),"")</f>
        <v/>
      </c>
      <c r="Z293" s="38">
        <f t="shared" si="52"/>
        <v>13</v>
      </c>
    </row>
    <row r="294" spans="1:26" x14ac:dyDescent="0.2">
      <c r="A294" t="str">
        <f>INDEX(Prioritization!$D:$D,MATCH($B294,Prioritization!$A:$A,0))</f>
        <v>4 - Sustained</v>
      </c>
      <c r="B294" t="s">
        <v>305</v>
      </c>
      <c r="C294" t="s">
        <v>474</v>
      </c>
      <c r="D294" t="s">
        <v>48</v>
      </c>
      <c r="E294" t="str">
        <f t="shared" si="44"/>
        <v>Ntchisi District [fiRkU6gEjLz]|10-14|Male</v>
      </c>
      <c r="F294" s="38">
        <v>1</v>
      </c>
      <c r="G294" s="33">
        <v>0.39</v>
      </c>
      <c r="H294" s="218">
        <f t="shared" si="45"/>
        <v>1</v>
      </c>
      <c r="I294" s="38"/>
      <c r="J294" s="33"/>
      <c r="K294" s="33">
        <v>0.45</v>
      </c>
      <c r="L294" s="33"/>
      <c r="M294" s="33">
        <v>0.06</v>
      </c>
      <c r="N294" s="38">
        <f t="shared" si="43"/>
        <v>1</v>
      </c>
      <c r="O294" s="218">
        <f t="shared" si="46"/>
        <v>0</v>
      </c>
      <c r="P294" s="218">
        <f t="shared" si="47"/>
        <v>0</v>
      </c>
      <c r="Q294" s="218">
        <f t="shared" si="48"/>
        <v>1</v>
      </c>
      <c r="R294" s="33" t="str">
        <f>IF(SUM($P294)=0,"",INDEX(Cascade!$BG:$BG,MATCH($E294,Cascade!$E:$E,0)))</f>
        <v/>
      </c>
      <c r="S294" s="218">
        <f t="shared" si="49"/>
        <v>0</v>
      </c>
      <c r="T294" s="218" t="str">
        <f t="shared" si="50"/>
        <v/>
      </c>
      <c r="U294" s="38">
        <f>IFERROR(1/(1/INDEX(Cascade!$BH:$BH,MATCH($E294,Cascade!$E:$E,0))),"")</f>
        <v>1</v>
      </c>
      <c r="V294" s="38" t="str">
        <f t="shared" si="51"/>
        <v/>
      </c>
      <c r="W294" s="38" t="str">
        <f>IFERROR(1/(1/INDEX(PMTCT!$AC:$AC,MATCH($E294,PMTCT!$E:$E,0))),"")</f>
        <v/>
      </c>
      <c r="X294" s="38" t="str">
        <f>IFERROR(1/(1/INDEX(PMTCT!$AS:$AS,MATCH($E294,PMTCT!$E:$E,0))),"")</f>
        <v/>
      </c>
      <c r="Y294" s="38" t="str">
        <f>IFERROR(1/(1/INDEX(VMMC!$AA:$AA,MATCH($E294,VMMC!$E:$E,0))),"")</f>
        <v/>
      </c>
      <c r="Z294" s="38">
        <f t="shared" si="52"/>
        <v>1</v>
      </c>
    </row>
    <row r="295" spans="1:26" x14ac:dyDescent="0.2">
      <c r="A295" t="str">
        <f>INDEX(Prioritization!$D:$D,MATCH($B295,Prioritization!$A:$A,0))</f>
        <v>4 - Sustained</v>
      </c>
      <c r="B295" t="s">
        <v>305</v>
      </c>
      <c r="C295" t="s">
        <v>475</v>
      </c>
      <c r="D295" t="s">
        <v>30</v>
      </c>
      <c r="E295" t="str">
        <f t="shared" si="44"/>
        <v>Ntchisi District [fiRkU6gEjLz]|15-24|Female</v>
      </c>
      <c r="F295" s="38">
        <v>8</v>
      </c>
      <c r="G295" s="33">
        <v>0.39</v>
      </c>
      <c r="H295" s="218">
        <f t="shared" si="45"/>
        <v>11</v>
      </c>
      <c r="I295" s="38"/>
      <c r="J295" s="33"/>
      <c r="K295" s="33">
        <v>0.45</v>
      </c>
      <c r="L295" s="33"/>
      <c r="M295" s="33">
        <v>0.06</v>
      </c>
      <c r="N295" s="38">
        <f t="shared" si="43"/>
        <v>11</v>
      </c>
      <c r="O295" s="218">
        <f t="shared" si="46"/>
        <v>5</v>
      </c>
      <c r="P295" s="218">
        <f t="shared" si="47"/>
        <v>0</v>
      </c>
      <c r="Q295" s="218">
        <f t="shared" si="48"/>
        <v>6</v>
      </c>
      <c r="R295" s="33" t="str">
        <f>IF(SUM($P295)=0,"",INDEX(Cascade!$BG:$BG,MATCH($E295,Cascade!$E:$E,0)))</f>
        <v/>
      </c>
      <c r="S295" s="218">
        <f t="shared" si="49"/>
        <v>5</v>
      </c>
      <c r="T295" s="218" t="str">
        <f t="shared" si="50"/>
        <v/>
      </c>
      <c r="U295" s="38">
        <f>IFERROR(1/(1/INDEX(Cascade!$BH:$BH,MATCH($E295,Cascade!$E:$E,0))),"")</f>
        <v>23</v>
      </c>
      <c r="V295" s="38" t="str">
        <f t="shared" si="51"/>
        <v/>
      </c>
      <c r="W295" s="38">
        <f>IFERROR(1/(1/INDEX(PMTCT!$AC:$AC,MATCH($E295,PMTCT!$E:$E,0))),"")</f>
        <v>6</v>
      </c>
      <c r="X295" s="38">
        <f>IFERROR(1/(1/INDEX(PMTCT!$AS:$AS,MATCH($E295,PMTCT!$E:$E,0))),"")</f>
        <v>11</v>
      </c>
      <c r="Y295" s="38" t="str">
        <f>IFERROR(1/(1/INDEX(VMMC!$AA:$AA,MATCH($E295,VMMC!$E:$E,0))),"")</f>
        <v/>
      </c>
      <c r="Z295" s="38">
        <f t="shared" si="52"/>
        <v>6</v>
      </c>
    </row>
    <row r="296" spans="1:26" x14ac:dyDescent="0.2">
      <c r="A296" t="str">
        <f>INDEX(Prioritization!$D:$D,MATCH($B296,Prioritization!$A:$A,0))</f>
        <v>4 - Sustained</v>
      </c>
      <c r="B296" t="s">
        <v>305</v>
      </c>
      <c r="C296" t="s">
        <v>475</v>
      </c>
      <c r="D296" t="s">
        <v>48</v>
      </c>
      <c r="E296" t="str">
        <f t="shared" si="44"/>
        <v>Ntchisi District [fiRkU6gEjLz]|15-24|Male</v>
      </c>
      <c r="F296" s="38">
        <v>8</v>
      </c>
      <c r="G296" s="33">
        <v>0.39</v>
      </c>
      <c r="H296" s="218">
        <f t="shared" si="45"/>
        <v>11</v>
      </c>
      <c r="I296" s="38"/>
      <c r="J296" s="33"/>
      <c r="K296" s="33">
        <v>0.45</v>
      </c>
      <c r="L296" s="33"/>
      <c r="M296" s="33">
        <v>0.06</v>
      </c>
      <c r="N296" s="38">
        <f t="shared" si="43"/>
        <v>11</v>
      </c>
      <c r="O296" s="218">
        <f t="shared" si="46"/>
        <v>5</v>
      </c>
      <c r="P296" s="218">
        <f t="shared" si="47"/>
        <v>0</v>
      </c>
      <c r="Q296" s="218">
        <f t="shared" si="48"/>
        <v>6</v>
      </c>
      <c r="R296" s="33" t="str">
        <f>IF(SUM($P296)=0,"",INDEX(Cascade!$BG:$BG,MATCH($E296,Cascade!$E:$E,0)))</f>
        <v/>
      </c>
      <c r="S296" s="218">
        <f t="shared" si="49"/>
        <v>5</v>
      </c>
      <c r="T296" s="218" t="str">
        <f t="shared" si="50"/>
        <v/>
      </c>
      <c r="U296" s="38">
        <f>IFERROR(1/(1/INDEX(Cascade!$BH:$BH,MATCH($E296,Cascade!$E:$E,0))),"")</f>
        <v>11</v>
      </c>
      <c r="V296" s="38" t="str">
        <f t="shared" si="51"/>
        <v/>
      </c>
      <c r="W296" s="38" t="str">
        <f>IFERROR(1/(1/INDEX(PMTCT!$AC:$AC,MATCH($E296,PMTCT!$E:$E,0))),"")</f>
        <v/>
      </c>
      <c r="X296" s="38" t="str">
        <f>IFERROR(1/(1/INDEX(PMTCT!$AS:$AS,MATCH($E296,PMTCT!$E:$E,0))),"")</f>
        <v/>
      </c>
      <c r="Y296" s="38" t="str">
        <f>IFERROR(1/(1/INDEX(VMMC!$AA:$AA,MATCH($E296,VMMC!$E:$E,0))),"")</f>
        <v/>
      </c>
      <c r="Z296" s="38">
        <f t="shared" si="52"/>
        <v>11</v>
      </c>
    </row>
    <row r="297" spans="1:26" x14ac:dyDescent="0.2">
      <c r="A297" t="str">
        <f>INDEX(Prioritization!$D:$D,MATCH($B297,Prioritization!$A:$A,0))</f>
        <v>4 - Sustained</v>
      </c>
      <c r="B297" t="s">
        <v>305</v>
      </c>
      <c r="C297" t="s">
        <v>476</v>
      </c>
      <c r="D297" t="s">
        <v>30</v>
      </c>
      <c r="E297" t="str">
        <f t="shared" si="44"/>
        <v>Ntchisi District [fiRkU6gEjLz]|25-34|Female</v>
      </c>
      <c r="F297" s="38">
        <v>8</v>
      </c>
      <c r="G297" s="33">
        <v>0.39</v>
      </c>
      <c r="H297" s="218">
        <f t="shared" si="45"/>
        <v>11</v>
      </c>
      <c r="I297" s="38"/>
      <c r="J297" s="33"/>
      <c r="K297" s="33">
        <v>0.45</v>
      </c>
      <c r="L297" s="33"/>
      <c r="M297" s="33">
        <v>0.06</v>
      </c>
      <c r="N297" s="38">
        <f t="shared" si="43"/>
        <v>11</v>
      </c>
      <c r="O297" s="218">
        <f t="shared" si="46"/>
        <v>5</v>
      </c>
      <c r="P297" s="218">
        <f t="shared" si="47"/>
        <v>0</v>
      </c>
      <c r="Q297" s="218">
        <f t="shared" si="48"/>
        <v>6</v>
      </c>
      <c r="R297" s="33" t="str">
        <f>IF(SUM($P297)=0,"",INDEX(Cascade!$BG:$BG,MATCH($E297,Cascade!$E:$E,0)))</f>
        <v/>
      </c>
      <c r="S297" s="218">
        <f t="shared" si="49"/>
        <v>5</v>
      </c>
      <c r="T297" s="218" t="str">
        <f t="shared" si="50"/>
        <v/>
      </c>
      <c r="U297" s="38">
        <f>IFERROR(1/(1/INDEX(Cascade!$BH:$BH,MATCH($E297,Cascade!$E:$E,0))),"")</f>
        <v>52</v>
      </c>
      <c r="V297" s="38" t="str">
        <f t="shared" si="51"/>
        <v/>
      </c>
      <c r="W297" s="38">
        <f>IFERROR(1/(1/INDEX(PMTCT!$AC:$AC,MATCH($E297,PMTCT!$E:$E,0))),"")</f>
        <v>19</v>
      </c>
      <c r="X297" s="38">
        <f>IFERROR(1/(1/INDEX(PMTCT!$AS:$AS,MATCH($E297,PMTCT!$E:$E,0))),"")</f>
        <v>15</v>
      </c>
      <c r="Y297" s="38" t="str">
        <f>IFERROR(1/(1/INDEX(VMMC!$AA:$AA,MATCH($E297,VMMC!$E:$E,0))),"")</f>
        <v/>
      </c>
      <c r="Z297" s="38">
        <f t="shared" si="52"/>
        <v>18</v>
      </c>
    </row>
    <row r="298" spans="1:26" x14ac:dyDescent="0.2">
      <c r="A298" t="str">
        <f>INDEX(Prioritization!$D:$D,MATCH($B298,Prioritization!$A:$A,0))</f>
        <v>4 - Sustained</v>
      </c>
      <c r="B298" t="s">
        <v>305</v>
      </c>
      <c r="C298" t="s">
        <v>476</v>
      </c>
      <c r="D298" t="s">
        <v>48</v>
      </c>
      <c r="E298" t="str">
        <f t="shared" si="44"/>
        <v>Ntchisi District [fiRkU6gEjLz]|25-34|Male</v>
      </c>
      <c r="F298" s="38">
        <v>8</v>
      </c>
      <c r="G298" s="33">
        <v>0.39</v>
      </c>
      <c r="H298" s="218">
        <f t="shared" si="45"/>
        <v>11</v>
      </c>
      <c r="I298" s="38"/>
      <c r="J298" s="33"/>
      <c r="K298" s="33">
        <v>0.45</v>
      </c>
      <c r="L298" s="33"/>
      <c r="M298" s="33">
        <v>0.06</v>
      </c>
      <c r="N298" s="38">
        <f t="shared" si="43"/>
        <v>11</v>
      </c>
      <c r="O298" s="218">
        <f t="shared" si="46"/>
        <v>5</v>
      </c>
      <c r="P298" s="218">
        <f t="shared" si="47"/>
        <v>0</v>
      </c>
      <c r="Q298" s="218">
        <f t="shared" si="48"/>
        <v>6</v>
      </c>
      <c r="R298" s="33" t="str">
        <f>IF(SUM($P298)=0,"",INDEX(Cascade!$BG:$BG,MATCH($E298,Cascade!$E:$E,0)))</f>
        <v/>
      </c>
      <c r="S298" s="218">
        <f t="shared" si="49"/>
        <v>5</v>
      </c>
      <c r="T298" s="218" t="str">
        <f t="shared" si="50"/>
        <v/>
      </c>
      <c r="U298" s="38">
        <f>IFERROR(1/(1/INDEX(Cascade!$BH:$BH,MATCH($E298,Cascade!$E:$E,0))),"")</f>
        <v>6</v>
      </c>
      <c r="V298" s="38" t="str">
        <f t="shared" si="51"/>
        <v/>
      </c>
      <c r="W298" s="38" t="str">
        <f>IFERROR(1/(1/INDEX(PMTCT!$AC:$AC,MATCH($E298,PMTCT!$E:$E,0))),"")</f>
        <v/>
      </c>
      <c r="X298" s="38" t="str">
        <f>IFERROR(1/(1/INDEX(PMTCT!$AS:$AS,MATCH($E298,PMTCT!$E:$E,0))),"")</f>
        <v/>
      </c>
      <c r="Y298" s="38" t="str">
        <f>IFERROR(1/(1/INDEX(VMMC!$AA:$AA,MATCH($E298,VMMC!$E:$E,0))),"")</f>
        <v/>
      </c>
      <c r="Z298" s="38">
        <f t="shared" si="52"/>
        <v>6</v>
      </c>
    </row>
    <row r="299" spans="1:26" x14ac:dyDescent="0.2">
      <c r="A299" t="str">
        <f>INDEX(Prioritization!$D:$D,MATCH($B299,Prioritization!$A:$A,0))</f>
        <v>4 - Sustained</v>
      </c>
      <c r="B299" t="s">
        <v>305</v>
      </c>
      <c r="C299" t="s">
        <v>477</v>
      </c>
      <c r="D299" t="s">
        <v>30</v>
      </c>
      <c r="E299" t="str">
        <f t="shared" si="44"/>
        <v>Ntchisi District [fiRkU6gEjLz]|35-49|Female</v>
      </c>
      <c r="F299" s="38">
        <v>12</v>
      </c>
      <c r="G299" s="33">
        <v>0.39</v>
      </c>
      <c r="H299" s="218">
        <f t="shared" si="45"/>
        <v>17</v>
      </c>
      <c r="I299" s="38"/>
      <c r="J299" s="33"/>
      <c r="K299" s="33">
        <v>0.45</v>
      </c>
      <c r="L299" s="33"/>
      <c r="M299" s="33">
        <v>0.06</v>
      </c>
      <c r="N299" s="38">
        <f t="shared" si="43"/>
        <v>17</v>
      </c>
      <c r="O299" s="218">
        <f t="shared" si="46"/>
        <v>8</v>
      </c>
      <c r="P299" s="218">
        <f t="shared" si="47"/>
        <v>1</v>
      </c>
      <c r="Q299" s="218">
        <f t="shared" si="48"/>
        <v>8</v>
      </c>
      <c r="R299" s="33">
        <f>IF(SUM($P299)=0,"",INDEX(Cascade!$BG:$BG,MATCH($E299,Cascade!$E:$E,0)))</f>
        <v>0.95</v>
      </c>
      <c r="S299" s="218">
        <f t="shared" si="49"/>
        <v>8</v>
      </c>
      <c r="T299" s="218">
        <f t="shared" si="50"/>
        <v>1</v>
      </c>
      <c r="U299" s="38">
        <f>IFERROR(1/(1/INDEX(Cascade!$BH:$BH,MATCH($E299,Cascade!$E:$E,0))),"")</f>
        <v>32</v>
      </c>
      <c r="V299" s="38">
        <f t="shared" si="51"/>
        <v>1</v>
      </c>
      <c r="W299" s="38">
        <f>IFERROR(1/(1/INDEX(PMTCT!$AC:$AC,MATCH($E299,PMTCT!$E:$E,0))),"")</f>
        <v>4</v>
      </c>
      <c r="X299" s="38">
        <f>IFERROR(1/(1/INDEX(PMTCT!$AS:$AS,MATCH($E299,PMTCT!$E:$E,0))),"")</f>
        <v>4</v>
      </c>
      <c r="Y299" s="38" t="str">
        <f>IFERROR(1/(1/INDEX(VMMC!$AA:$AA,MATCH($E299,VMMC!$E:$E,0))),"")</f>
        <v/>
      </c>
      <c r="Z299" s="38">
        <f t="shared" si="52"/>
        <v>23</v>
      </c>
    </row>
    <row r="300" spans="1:26" x14ac:dyDescent="0.2">
      <c r="A300" t="str">
        <f>INDEX(Prioritization!$D:$D,MATCH($B300,Prioritization!$A:$A,0))</f>
        <v>4 - Sustained</v>
      </c>
      <c r="B300" t="s">
        <v>305</v>
      </c>
      <c r="C300" t="s">
        <v>477</v>
      </c>
      <c r="D300" t="s">
        <v>48</v>
      </c>
      <c r="E300" t="str">
        <f t="shared" si="44"/>
        <v>Ntchisi District [fiRkU6gEjLz]|35-49|Male</v>
      </c>
      <c r="F300" s="38">
        <v>12</v>
      </c>
      <c r="G300" s="33">
        <v>0.39</v>
      </c>
      <c r="H300" s="218">
        <f t="shared" si="45"/>
        <v>17</v>
      </c>
      <c r="I300" s="38"/>
      <c r="J300" s="33"/>
      <c r="K300" s="33">
        <v>0.45</v>
      </c>
      <c r="L300" s="33"/>
      <c r="M300" s="33">
        <v>0.06</v>
      </c>
      <c r="N300" s="38">
        <f t="shared" si="43"/>
        <v>17</v>
      </c>
      <c r="O300" s="218">
        <f t="shared" si="46"/>
        <v>8</v>
      </c>
      <c r="P300" s="218">
        <f t="shared" si="47"/>
        <v>1</v>
      </c>
      <c r="Q300" s="218">
        <f t="shared" si="48"/>
        <v>8</v>
      </c>
      <c r="R300" s="33">
        <f>IF(SUM($P300)=0,"",INDEX(Cascade!$BG:$BG,MATCH($E300,Cascade!$E:$E,0)))</f>
        <v>0.95</v>
      </c>
      <c r="S300" s="218">
        <f t="shared" si="49"/>
        <v>8</v>
      </c>
      <c r="T300" s="218">
        <f t="shared" si="50"/>
        <v>1</v>
      </c>
      <c r="U300" s="38">
        <f>IFERROR(1/(1/INDEX(Cascade!$BH:$BH,MATCH($E300,Cascade!$E:$E,0))),"")</f>
        <v>24</v>
      </c>
      <c r="V300" s="38">
        <f t="shared" si="51"/>
        <v>1</v>
      </c>
      <c r="W300" s="38" t="str">
        <f>IFERROR(1/(1/INDEX(PMTCT!$AC:$AC,MATCH($E300,PMTCT!$E:$E,0))),"")</f>
        <v/>
      </c>
      <c r="X300" s="38" t="str">
        <f>IFERROR(1/(1/INDEX(PMTCT!$AS:$AS,MATCH($E300,PMTCT!$E:$E,0))),"")</f>
        <v/>
      </c>
      <c r="Y300" s="38" t="str">
        <f>IFERROR(1/(1/INDEX(VMMC!$AA:$AA,MATCH($E300,VMMC!$E:$E,0))),"")</f>
        <v/>
      </c>
      <c r="Z300" s="38">
        <f t="shared" si="52"/>
        <v>23</v>
      </c>
    </row>
    <row r="301" spans="1:26" x14ac:dyDescent="0.2">
      <c r="A301" t="str">
        <f>INDEX(Prioritization!$D:$D,MATCH($B301,Prioritization!$A:$A,0))</f>
        <v>4 - Sustained</v>
      </c>
      <c r="B301" t="s">
        <v>305</v>
      </c>
      <c r="C301" t="s">
        <v>478</v>
      </c>
      <c r="D301" t="s">
        <v>30</v>
      </c>
      <c r="E301" t="str">
        <f t="shared" si="44"/>
        <v>Ntchisi District [fiRkU6gEjLz]|50+|Female</v>
      </c>
      <c r="F301" s="38">
        <v>2</v>
      </c>
      <c r="G301" s="33">
        <v>0.39</v>
      </c>
      <c r="H301" s="218">
        <f t="shared" si="45"/>
        <v>3</v>
      </c>
      <c r="I301" s="38"/>
      <c r="J301" s="33"/>
      <c r="K301" s="33">
        <v>0.45</v>
      </c>
      <c r="L301" s="33"/>
      <c r="M301" s="33">
        <v>0.06</v>
      </c>
      <c r="N301" s="38">
        <f t="shared" si="43"/>
        <v>3</v>
      </c>
      <c r="O301" s="218">
        <f t="shared" si="46"/>
        <v>1</v>
      </c>
      <c r="P301" s="218">
        <f t="shared" si="47"/>
        <v>0</v>
      </c>
      <c r="Q301" s="218">
        <f t="shared" si="48"/>
        <v>2</v>
      </c>
      <c r="R301" s="33" t="str">
        <f>IF(SUM($P301)=0,"",INDEX(Cascade!$BG:$BG,MATCH($E301,Cascade!$E:$E,0)))</f>
        <v/>
      </c>
      <c r="S301" s="218">
        <f t="shared" si="49"/>
        <v>1</v>
      </c>
      <c r="T301" s="218" t="str">
        <f t="shared" si="50"/>
        <v/>
      </c>
      <c r="U301" s="38">
        <f>IFERROR(1/(1/INDEX(Cascade!$BH:$BH,MATCH($E301,Cascade!$E:$E,0))),"")</f>
        <v>44</v>
      </c>
      <c r="V301" s="38" t="str">
        <f t="shared" si="51"/>
        <v/>
      </c>
      <c r="W301" s="38" t="str">
        <f>IFERROR(1/(1/INDEX(PMTCT!$AC:$AC,MATCH($E301,PMTCT!$E:$E,0))),"")</f>
        <v/>
      </c>
      <c r="X301" s="38" t="str">
        <f>IFERROR(1/(1/INDEX(PMTCT!$AS:$AS,MATCH($E301,PMTCT!$E:$E,0))),"")</f>
        <v/>
      </c>
      <c r="Y301" s="38" t="str">
        <f>IFERROR(1/(1/INDEX(VMMC!$AA:$AA,MATCH($E301,VMMC!$E:$E,0))),"")</f>
        <v/>
      </c>
      <c r="Z301" s="38">
        <f t="shared" si="52"/>
        <v>44</v>
      </c>
    </row>
    <row r="302" spans="1:26" x14ac:dyDescent="0.2">
      <c r="A302" t="str">
        <f>INDEX(Prioritization!$D:$D,MATCH($B302,Prioritization!$A:$A,0))</f>
        <v>4 - Sustained</v>
      </c>
      <c r="B302" t="s">
        <v>305</v>
      </c>
      <c r="C302" t="s">
        <v>478</v>
      </c>
      <c r="D302" t="s">
        <v>48</v>
      </c>
      <c r="E302" t="str">
        <f t="shared" si="44"/>
        <v>Ntchisi District [fiRkU6gEjLz]|50+|Male</v>
      </c>
      <c r="F302" s="38">
        <v>6</v>
      </c>
      <c r="G302" s="33">
        <v>0.39</v>
      </c>
      <c r="H302" s="218">
        <f t="shared" si="45"/>
        <v>8</v>
      </c>
      <c r="I302" s="38"/>
      <c r="J302" s="33"/>
      <c r="K302" s="33">
        <v>0.45</v>
      </c>
      <c r="L302" s="33"/>
      <c r="M302" s="33">
        <v>0.06</v>
      </c>
      <c r="N302" s="38">
        <f t="shared" si="43"/>
        <v>8</v>
      </c>
      <c r="O302" s="218">
        <f t="shared" si="46"/>
        <v>4</v>
      </c>
      <c r="P302" s="218">
        <f t="shared" si="47"/>
        <v>0</v>
      </c>
      <c r="Q302" s="218">
        <f t="shared" si="48"/>
        <v>4</v>
      </c>
      <c r="R302" s="33" t="str">
        <f>IF(SUM($P302)=0,"",INDEX(Cascade!$BG:$BG,MATCH($E302,Cascade!$E:$E,0)))</f>
        <v/>
      </c>
      <c r="S302" s="218">
        <f t="shared" si="49"/>
        <v>4</v>
      </c>
      <c r="T302" s="218" t="str">
        <f t="shared" si="50"/>
        <v/>
      </c>
      <c r="U302" s="38">
        <f>IFERROR(1/(1/INDEX(Cascade!$BH:$BH,MATCH($E302,Cascade!$E:$E,0))),"")</f>
        <v>24</v>
      </c>
      <c r="V302" s="38" t="str">
        <f t="shared" si="51"/>
        <v/>
      </c>
      <c r="W302" s="38" t="str">
        <f>IFERROR(1/(1/INDEX(PMTCT!$AC:$AC,MATCH($E302,PMTCT!$E:$E,0))),"")</f>
        <v/>
      </c>
      <c r="X302" s="38" t="str">
        <f>IFERROR(1/(1/INDEX(PMTCT!$AS:$AS,MATCH($E302,PMTCT!$E:$E,0))),"")</f>
        <v/>
      </c>
      <c r="Y302" s="38" t="str">
        <f>IFERROR(1/(1/INDEX(VMMC!$AA:$AA,MATCH($E302,VMMC!$E:$E,0))),"")</f>
        <v/>
      </c>
      <c r="Z302" s="38">
        <f t="shared" si="52"/>
        <v>24</v>
      </c>
    </row>
    <row r="303" spans="1:26" x14ac:dyDescent="0.2">
      <c r="A303" t="str">
        <f>INDEX(Prioritization!$D:$D,MATCH($B303,Prioritization!$A:$A,0))</f>
        <v>INVALID</v>
      </c>
      <c r="B303" t="s">
        <v>323</v>
      </c>
      <c r="C303" t="s">
        <v>473</v>
      </c>
      <c r="D303" t="s">
        <v>30</v>
      </c>
      <c r="E303" t="str">
        <f t="shared" si="44"/>
        <v>Phalombe District [AZyWpGzhcaA]|01-09|Female</v>
      </c>
      <c r="F303" s="38">
        <v>6</v>
      </c>
      <c r="G303" s="33">
        <v>0.39</v>
      </c>
      <c r="H303" s="218">
        <f t="shared" si="45"/>
        <v>8</v>
      </c>
      <c r="I303" s="38"/>
      <c r="J303" s="33"/>
      <c r="K303" s="33">
        <v>0.45</v>
      </c>
      <c r="L303" s="33"/>
      <c r="M303" s="33">
        <v>0.06</v>
      </c>
      <c r="N303" s="38">
        <f t="shared" si="43"/>
        <v>8</v>
      </c>
      <c r="O303" s="218">
        <f t="shared" si="46"/>
        <v>4</v>
      </c>
      <c r="P303" s="218">
        <f t="shared" si="47"/>
        <v>0</v>
      </c>
      <c r="Q303" s="218">
        <f t="shared" si="48"/>
        <v>4</v>
      </c>
      <c r="R303" s="33" t="str">
        <f>IF(SUM($P303)=0,"",INDEX(Cascade!$BG:$BG,MATCH($E303,Cascade!$E:$E,0)))</f>
        <v/>
      </c>
      <c r="S303" s="218">
        <f t="shared" si="49"/>
        <v>4</v>
      </c>
      <c r="T303" s="218" t="str">
        <f t="shared" si="50"/>
        <v/>
      </c>
      <c r="U303" s="38">
        <f>IFERROR(1/(1/INDEX(Cascade!$BH:$BH,MATCH($E303,Cascade!$E:$E,0))),"")</f>
        <v>7</v>
      </c>
      <c r="V303" s="38" t="str">
        <f t="shared" si="51"/>
        <v/>
      </c>
      <c r="W303" s="38" t="str">
        <f>IFERROR(1/(1/INDEX(PMTCT!$AC:$AC,MATCH($E303,PMTCT!$E:$E,0))),"")</f>
        <v/>
      </c>
      <c r="X303" s="38" t="str">
        <f>IFERROR(1/(1/INDEX(PMTCT!$AS:$AS,MATCH($E303,PMTCT!$E:$E,0))),"")</f>
        <v/>
      </c>
      <c r="Y303" s="38" t="str">
        <f>IFERROR(1/(1/INDEX(VMMC!$AA:$AA,MATCH($E303,VMMC!$E:$E,0))),"")</f>
        <v/>
      </c>
      <c r="Z303" s="38">
        <f t="shared" si="52"/>
        <v>7</v>
      </c>
    </row>
    <row r="304" spans="1:26" x14ac:dyDescent="0.2">
      <c r="A304" t="str">
        <f>INDEX(Prioritization!$D:$D,MATCH($B304,Prioritization!$A:$A,0))</f>
        <v>INVALID</v>
      </c>
      <c r="B304" t="s">
        <v>323</v>
      </c>
      <c r="C304" t="s">
        <v>473</v>
      </c>
      <c r="D304" t="s">
        <v>48</v>
      </c>
      <c r="E304" t="str">
        <f t="shared" si="44"/>
        <v>Phalombe District [AZyWpGzhcaA]|01-09|Male</v>
      </c>
      <c r="F304" s="38">
        <v>6</v>
      </c>
      <c r="G304" s="33">
        <v>0.39</v>
      </c>
      <c r="H304" s="218">
        <f t="shared" si="45"/>
        <v>8</v>
      </c>
      <c r="I304" s="38"/>
      <c r="J304" s="33"/>
      <c r="K304" s="33">
        <v>0.45</v>
      </c>
      <c r="L304" s="33"/>
      <c r="M304" s="33">
        <v>0.06</v>
      </c>
      <c r="N304" s="38">
        <f t="shared" si="43"/>
        <v>8</v>
      </c>
      <c r="O304" s="218">
        <f t="shared" si="46"/>
        <v>4</v>
      </c>
      <c r="P304" s="218">
        <f t="shared" si="47"/>
        <v>0</v>
      </c>
      <c r="Q304" s="218">
        <f t="shared" si="48"/>
        <v>4</v>
      </c>
      <c r="R304" s="33" t="str">
        <f>IF(SUM($P304)=0,"",INDEX(Cascade!$BG:$BG,MATCH($E304,Cascade!$E:$E,0)))</f>
        <v/>
      </c>
      <c r="S304" s="218">
        <f t="shared" si="49"/>
        <v>4</v>
      </c>
      <c r="T304" s="218" t="str">
        <f t="shared" si="50"/>
        <v/>
      </c>
      <c r="U304" s="38">
        <f>IFERROR(1/(1/INDEX(Cascade!$BH:$BH,MATCH($E304,Cascade!$E:$E,0))),"")</f>
        <v>7</v>
      </c>
      <c r="V304" s="38" t="str">
        <f t="shared" si="51"/>
        <v/>
      </c>
      <c r="W304" s="38" t="str">
        <f>IFERROR(1/(1/INDEX(PMTCT!$AC:$AC,MATCH($E304,PMTCT!$E:$E,0))),"")</f>
        <v/>
      </c>
      <c r="X304" s="38" t="str">
        <f>IFERROR(1/(1/INDEX(PMTCT!$AS:$AS,MATCH($E304,PMTCT!$E:$E,0))),"")</f>
        <v/>
      </c>
      <c r="Y304" s="38" t="str">
        <f>IFERROR(1/(1/INDEX(VMMC!$AA:$AA,MATCH($E304,VMMC!$E:$E,0))),"")</f>
        <v/>
      </c>
      <c r="Z304" s="38">
        <f t="shared" si="52"/>
        <v>7</v>
      </c>
    </row>
    <row r="305" spans="1:26" x14ac:dyDescent="0.2">
      <c r="A305" t="str">
        <f>INDEX(Prioritization!$D:$D,MATCH($B305,Prioritization!$A:$A,0))</f>
        <v>INVALID</v>
      </c>
      <c r="B305" t="s">
        <v>323</v>
      </c>
      <c r="C305" t="s">
        <v>474</v>
      </c>
      <c r="D305" t="s">
        <v>30</v>
      </c>
      <c r="E305" t="str">
        <f t="shared" si="44"/>
        <v>Phalombe District [AZyWpGzhcaA]|10-14|Female</v>
      </c>
      <c r="F305" s="38">
        <v>3</v>
      </c>
      <c r="G305" s="33">
        <v>0.39</v>
      </c>
      <c r="H305" s="218">
        <f t="shared" si="45"/>
        <v>4</v>
      </c>
      <c r="I305" s="38"/>
      <c r="J305" s="33"/>
      <c r="K305" s="33">
        <v>0.45</v>
      </c>
      <c r="L305" s="33"/>
      <c r="M305" s="33">
        <v>0.06</v>
      </c>
      <c r="N305" s="38">
        <f t="shared" si="43"/>
        <v>4</v>
      </c>
      <c r="O305" s="218">
        <f t="shared" si="46"/>
        <v>2</v>
      </c>
      <c r="P305" s="218">
        <f t="shared" si="47"/>
        <v>0</v>
      </c>
      <c r="Q305" s="218">
        <f t="shared" si="48"/>
        <v>2</v>
      </c>
      <c r="R305" s="33" t="str">
        <f>IF(SUM($P305)=0,"",INDEX(Cascade!$BG:$BG,MATCH($E305,Cascade!$E:$E,0)))</f>
        <v/>
      </c>
      <c r="S305" s="218">
        <f t="shared" si="49"/>
        <v>2</v>
      </c>
      <c r="T305" s="218" t="str">
        <f t="shared" si="50"/>
        <v/>
      </c>
      <c r="U305" s="38">
        <f>IFERROR(1/(1/INDEX(Cascade!$BH:$BH,MATCH($E305,Cascade!$E:$E,0))),"")</f>
        <v>58</v>
      </c>
      <c r="V305" s="38" t="str">
        <f t="shared" si="51"/>
        <v/>
      </c>
      <c r="W305" s="38" t="str">
        <f>IFERROR(1/(1/INDEX(PMTCT!$AC:$AC,MATCH($E305,PMTCT!$E:$E,0))),"")</f>
        <v/>
      </c>
      <c r="X305" s="38" t="str">
        <f>IFERROR(1/(1/INDEX(PMTCT!$AS:$AS,MATCH($E305,PMTCT!$E:$E,0))),"")</f>
        <v/>
      </c>
      <c r="Y305" s="38" t="str">
        <f>IFERROR(1/(1/INDEX(VMMC!$AA:$AA,MATCH($E305,VMMC!$E:$E,0))),"")</f>
        <v/>
      </c>
      <c r="Z305" s="38">
        <f t="shared" si="52"/>
        <v>58</v>
      </c>
    </row>
    <row r="306" spans="1:26" x14ac:dyDescent="0.2">
      <c r="A306" t="str">
        <f>INDEX(Prioritization!$D:$D,MATCH($B306,Prioritization!$A:$A,0))</f>
        <v>INVALID</v>
      </c>
      <c r="B306" t="s">
        <v>323</v>
      </c>
      <c r="C306" t="s">
        <v>474</v>
      </c>
      <c r="D306" t="s">
        <v>48</v>
      </c>
      <c r="E306" t="str">
        <f t="shared" si="44"/>
        <v>Phalombe District [AZyWpGzhcaA]|10-14|Male</v>
      </c>
      <c r="F306" s="38">
        <v>3</v>
      </c>
      <c r="G306" s="33">
        <v>0.39</v>
      </c>
      <c r="H306" s="218">
        <f t="shared" si="45"/>
        <v>4</v>
      </c>
      <c r="I306" s="38"/>
      <c r="J306" s="33"/>
      <c r="K306" s="33">
        <v>0.45</v>
      </c>
      <c r="L306" s="33"/>
      <c r="M306" s="33">
        <v>0.06</v>
      </c>
      <c r="N306" s="38">
        <f t="shared" si="43"/>
        <v>4</v>
      </c>
      <c r="O306" s="218">
        <f t="shared" si="46"/>
        <v>2</v>
      </c>
      <c r="P306" s="218">
        <f t="shared" si="47"/>
        <v>0</v>
      </c>
      <c r="Q306" s="218">
        <f t="shared" si="48"/>
        <v>2</v>
      </c>
      <c r="R306" s="33" t="str">
        <f>IF(SUM($P306)=0,"",INDEX(Cascade!$BG:$BG,MATCH($E306,Cascade!$E:$E,0)))</f>
        <v/>
      </c>
      <c r="S306" s="218">
        <f t="shared" si="49"/>
        <v>2</v>
      </c>
      <c r="T306" s="218" t="str">
        <f t="shared" si="50"/>
        <v/>
      </c>
      <c r="U306" s="38">
        <f>IFERROR(1/(1/INDEX(Cascade!$BH:$BH,MATCH($E306,Cascade!$E:$E,0))),"")</f>
        <v>78</v>
      </c>
      <c r="V306" s="38" t="str">
        <f t="shared" si="51"/>
        <v/>
      </c>
      <c r="W306" s="38" t="str">
        <f>IFERROR(1/(1/INDEX(PMTCT!$AC:$AC,MATCH($E306,PMTCT!$E:$E,0))),"")</f>
        <v/>
      </c>
      <c r="X306" s="38" t="str">
        <f>IFERROR(1/(1/INDEX(PMTCT!$AS:$AS,MATCH($E306,PMTCT!$E:$E,0))),"")</f>
        <v/>
      </c>
      <c r="Y306" s="38" t="str">
        <f>IFERROR(1/(1/INDEX(VMMC!$AA:$AA,MATCH($E306,VMMC!$E:$E,0))),"")</f>
        <v/>
      </c>
      <c r="Z306" s="38">
        <f t="shared" si="52"/>
        <v>78</v>
      </c>
    </row>
    <row r="307" spans="1:26" x14ac:dyDescent="0.2">
      <c r="A307" t="str">
        <f>INDEX(Prioritization!$D:$D,MATCH($B307,Prioritization!$A:$A,0))</f>
        <v>INVALID</v>
      </c>
      <c r="B307" t="s">
        <v>323</v>
      </c>
      <c r="C307" t="s">
        <v>475</v>
      </c>
      <c r="D307" t="s">
        <v>30</v>
      </c>
      <c r="E307" t="str">
        <f t="shared" si="44"/>
        <v>Phalombe District [AZyWpGzhcaA]|15-24|Female</v>
      </c>
      <c r="F307" s="38">
        <v>20</v>
      </c>
      <c r="G307" s="33">
        <v>0.39</v>
      </c>
      <c r="H307" s="218">
        <f t="shared" si="45"/>
        <v>28</v>
      </c>
      <c r="I307" s="38">
        <v>1</v>
      </c>
      <c r="J307" s="33"/>
      <c r="K307" s="33">
        <v>0.45</v>
      </c>
      <c r="L307" s="33"/>
      <c r="M307" s="33">
        <v>0.06</v>
      </c>
      <c r="N307" s="38">
        <f t="shared" si="43"/>
        <v>28</v>
      </c>
      <c r="O307" s="218">
        <f t="shared" si="46"/>
        <v>13</v>
      </c>
      <c r="P307" s="218">
        <f t="shared" si="47"/>
        <v>1</v>
      </c>
      <c r="Q307" s="218">
        <f t="shared" si="48"/>
        <v>14</v>
      </c>
      <c r="R307" s="33">
        <f>IF(SUM($P307)=0,"",INDEX(Cascade!$BG:$BG,MATCH($E307,Cascade!$E:$E,0)))</f>
        <v>0.95</v>
      </c>
      <c r="S307" s="218">
        <f t="shared" si="49"/>
        <v>13</v>
      </c>
      <c r="T307" s="218">
        <f t="shared" si="50"/>
        <v>1</v>
      </c>
      <c r="U307" s="38">
        <f>IFERROR(1/(1/INDEX(Cascade!$BH:$BH,MATCH($E307,Cascade!$E:$E,0))),"")</f>
        <v>414.99999999999994</v>
      </c>
      <c r="V307" s="38">
        <f t="shared" si="51"/>
        <v>1</v>
      </c>
      <c r="W307" s="38">
        <f>IFERROR(1/(1/INDEX(PMTCT!$AC:$AC,MATCH($E307,PMTCT!$E:$E,0))),"")</f>
        <v>108</v>
      </c>
      <c r="X307" s="38">
        <f>IFERROR(1/(1/INDEX(PMTCT!$AS:$AS,MATCH($E307,PMTCT!$E:$E,0))),"")</f>
        <v>65</v>
      </c>
      <c r="Y307" s="38" t="str">
        <f>IFERROR(1/(1/INDEX(VMMC!$AA:$AA,MATCH($E307,VMMC!$E:$E,0))),"")</f>
        <v/>
      </c>
      <c r="Z307" s="38">
        <f t="shared" si="52"/>
        <v>240.99999999999994</v>
      </c>
    </row>
    <row r="308" spans="1:26" x14ac:dyDescent="0.2">
      <c r="A308" t="str">
        <f>INDEX(Prioritization!$D:$D,MATCH($B308,Prioritization!$A:$A,0))</f>
        <v>INVALID</v>
      </c>
      <c r="B308" t="s">
        <v>323</v>
      </c>
      <c r="C308" t="s">
        <v>475</v>
      </c>
      <c r="D308" t="s">
        <v>48</v>
      </c>
      <c r="E308" t="str">
        <f t="shared" si="44"/>
        <v>Phalombe District [AZyWpGzhcaA]|15-24|Male</v>
      </c>
      <c r="F308" s="38">
        <v>34</v>
      </c>
      <c r="G308" s="33">
        <v>0.39</v>
      </c>
      <c r="H308" s="218">
        <f t="shared" si="45"/>
        <v>47</v>
      </c>
      <c r="I308" s="38">
        <v>1</v>
      </c>
      <c r="J308" s="33"/>
      <c r="K308" s="33">
        <v>0.45</v>
      </c>
      <c r="L308" s="33"/>
      <c r="M308" s="33">
        <v>0.06</v>
      </c>
      <c r="N308" s="38">
        <f t="shared" si="43"/>
        <v>47</v>
      </c>
      <c r="O308" s="218">
        <f t="shared" si="46"/>
        <v>21</v>
      </c>
      <c r="P308" s="218">
        <f t="shared" si="47"/>
        <v>2</v>
      </c>
      <c r="Q308" s="218">
        <f t="shared" si="48"/>
        <v>24</v>
      </c>
      <c r="R308" s="33">
        <f>IF(SUM($P308)=0,"",INDEX(Cascade!$BG:$BG,MATCH($E308,Cascade!$E:$E,0)))</f>
        <v>0.95</v>
      </c>
      <c r="S308" s="218">
        <f t="shared" si="49"/>
        <v>21</v>
      </c>
      <c r="T308" s="218">
        <f t="shared" si="50"/>
        <v>2</v>
      </c>
      <c r="U308" s="38">
        <f>IFERROR(1/(1/INDEX(Cascade!$BH:$BH,MATCH($E308,Cascade!$E:$E,0))),"")</f>
        <v>74</v>
      </c>
      <c r="V308" s="38">
        <f t="shared" si="51"/>
        <v>2</v>
      </c>
      <c r="W308" s="38" t="str">
        <f>IFERROR(1/(1/INDEX(PMTCT!$AC:$AC,MATCH($E308,PMTCT!$E:$E,0))),"")</f>
        <v/>
      </c>
      <c r="X308" s="38" t="str">
        <f>IFERROR(1/(1/INDEX(PMTCT!$AS:$AS,MATCH($E308,PMTCT!$E:$E,0))),"")</f>
        <v/>
      </c>
      <c r="Y308" s="38">
        <f>IFERROR(1/(1/INDEX(VMMC!$AA:$AA,MATCH($E308,VMMC!$E:$E,0))),"")</f>
        <v>10</v>
      </c>
      <c r="Z308" s="38">
        <f t="shared" si="52"/>
        <v>62</v>
      </c>
    </row>
    <row r="309" spans="1:26" x14ac:dyDescent="0.2">
      <c r="A309" t="str">
        <f>INDEX(Prioritization!$D:$D,MATCH($B309,Prioritization!$A:$A,0))</f>
        <v>INVALID</v>
      </c>
      <c r="B309" t="s">
        <v>323</v>
      </c>
      <c r="C309" t="s">
        <v>476</v>
      </c>
      <c r="D309" t="s">
        <v>30</v>
      </c>
      <c r="E309" t="str">
        <f t="shared" si="44"/>
        <v>Phalombe District [AZyWpGzhcaA]|25-34|Female</v>
      </c>
      <c r="F309" s="38">
        <v>20</v>
      </c>
      <c r="G309" s="33">
        <v>0.39</v>
      </c>
      <c r="H309" s="218">
        <f t="shared" si="45"/>
        <v>28</v>
      </c>
      <c r="I309" s="38">
        <v>1</v>
      </c>
      <c r="J309" s="33"/>
      <c r="K309" s="33">
        <v>0.45</v>
      </c>
      <c r="L309" s="33"/>
      <c r="M309" s="33">
        <v>0.06</v>
      </c>
      <c r="N309" s="38">
        <f t="shared" si="43"/>
        <v>28</v>
      </c>
      <c r="O309" s="218">
        <f t="shared" si="46"/>
        <v>13</v>
      </c>
      <c r="P309" s="218">
        <f t="shared" si="47"/>
        <v>1</v>
      </c>
      <c r="Q309" s="218">
        <f t="shared" si="48"/>
        <v>14</v>
      </c>
      <c r="R309" s="33">
        <f>IF(SUM($P309)=0,"",INDEX(Cascade!$BG:$BG,MATCH($E309,Cascade!$E:$E,0)))</f>
        <v>0.95</v>
      </c>
      <c r="S309" s="218">
        <f t="shared" si="49"/>
        <v>13</v>
      </c>
      <c r="T309" s="218">
        <f t="shared" si="50"/>
        <v>1</v>
      </c>
      <c r="U309" s="38">
        <f>IFERROR(1/(1/INDEX(Cascade!$BH:$BH,MATCH($E309,Cascade!$E:$E,0))),"")</f>
        <v>431</v>
      </c>
      <c r="V309" s="38">
        <f t="shared" si="51"/>
        <v>1</v>
      </c>
      <c r="W309" s="38">
        <f>IFERROR(1/(1/INDEX(PMTCT!$AC:$AC,MATCH($E309,PMTCT!$E:$E,0))),"")</f>
        <v>151</v>
      </c>
      <c r="X309" s="38">
        <f>IFERROR(1/(1/INDEX(PMTCT!$AS:$AS,MATCH($E309,PMTCT!$E:$E,0))),"")</f>
        <v>75</v>
      </c>
      <c r="Y309" s="38" t="str">
        <f>IFERROR(1/(1/INDEX(VMMC!$AA:$AA,MATCH($E309,VMMC!$E:$E,0))),"")</f>
        <v/>
      </c>
      <c r="Z309" s="38">
        <f t="shared" si="52"/>
        <v>204</v>
      </c>
    </row>
    <row r="310" spans="1:26" x14ac:dyDescent="0.2">
      <c r="A310" t="str">
        <f>INDEX(Prioritization!$D:$D,MATCH($B310,Prioritization!$A:$A,0))</f>
        <v>INVALID</v>
      </c>
      <c r="B310" t="s">
        <v>323</v>
      </c>
      <c r="C310" t="s">
        <v>476</v>
      </c>
      <c r="D310" t="s">
        <v>48</v>
      </c>
      <c r="E310" t="str">
        <f t="shared" si="44"/>
        <v>Phalombe District [AZyWpGzhcaA]|25-34|Male</v>
      </c>
      <c r="F310" s="38">
        <v>34</v>
      </c>
      <c r="G310" s="33">
        <v>0.39</v>
      </c>
      <c r="H310" s="218">
        <f t="shared" si="45"/>
        <v>47</v>
      </c>
      <c r="I310" s="38">
        <v>1</v>
      </c>
      <c r="J310" s="33"/>
      <c r="K310" s="33">
        <v>0.45</v>
      </c>
      <c r="L310" s="33"/>
      <c r="M310" s="33">
        <v>0.06</v>
      </c>
      <c r="N310" s="38">
        <f t="shared" si="43"/>
        <v>47</v>
      </c>
      <c r="O310" s="218">
        <f t="shared" si="46"/>
        <v>21</v>
      </c>
      <c r="P310" s="218">
        <f t="shared" si="47"/>
        <v>2</v>
      </c>
      <c r="Q310" s="218">
        <f t="shared" si="48"/>
        <v>24</v>
      </c>
      <c r="R310" s="33">
        <f>IF(SUM($P310)=0,"",INDEX(Cascade!$BG:$BG,MATCH($E310,Cascade!$E:$E,0)))</f>
        <v>0.95</v>
      </c>
      <c r="S310" s="218">
        <f t="shared" si="49"/>
        <v>21</v>
      </c>
      <c r="T310" s="218">
        <f t="shared" si="50"/>
        <v>2</v>
      </c>
      <c r="U310" s="38">
        <f>IFERROR(1/(1/INDEX(Cascade!$BH:$BH,MATCH($E310,Cascade!$E:$E,0))),"")</f>
        <v>31</v>
      </c>
      <c r="V310" s="38">
        <f t="shared" si="51"/>
        <v>2</v>
      </c>
      <c r="W310" s="38" t="str">
        <f>IFERROR(1/(1/INDEX(PMTCT!$AC:$AC,MATCH($E310,PMTCT!$E:$E,0))),"")</f>
        <v/>
      </c>
      <c r="X310" s="38" t="str">
        <f>IFERROR(1/(1/INDEX(PMTCT!$AS:$AS,MATCH($E310,PMTCT!$E:$E,0))),"")</f>
        <v/>
      </c>
      <c r="Y310" s="38">
        <f>IFERROR(1/(1/INDEX(VMMC!$AA:$AA,MATCH($E310,VMMC!$E:$E,0))),"")</f>
        <v>7</v>
      </c>
      <c r="Z310" s="38">
        <f t="shared" si="52"/>
        <v>22</v>
      </c>
    </row>
    <row r="311" spans="1:26" x14ac:dyDescent="0.2">
      <c r="A311" t="str">
        <f>INDEX(Prioritization!$D:$D,MATCH($B311,Prioritization!$A:$A,0))</f>
        <v>INVALID</v>
      </c>
      <c r="B311" t="s">
        <v>323</v>
      </c>
      <c r="C311" t="s">
        <v>477</v>
      </c>
      <c r="D311" t="s">
        <v>30</v>
      </c>
      <c r="E311" t="str">
        <f t="shared" si="44"/>
        <v>Phalombe District [AZyWpGzhcaA]|35-49|Female</v>
      </c>
      <c r="F311" s="38">
        <v>30</v>
      </c>
      <c r="G311" s="33">
        <v>0.39</v>
      </c>
      <c r="H311" s="218">
        <f t="shared" si="45"/>
        <v>42</v>
      </c>
      <c r="I311" s="38">
        <v>1</v>
      </c>
      <c r="J311" s="33"/>
      <c r="K311" s="33">
        <v>0.45</v>
      </c>
      <c r="L311" s="33"/>
      <c r="M311" s="33">
        <v>0.06</v>
      </c>
      <c r="N311" s="38">
        <f t="shared" si="43"/>
        <v>42</v>
      </c>
      <c r="O311" s="218">
        <f t="shared" si="46"/>
        <v>19</v>
      </c>
      <c r="P311" s="218">
        <f t="shared" si="47"/>
        <v>1</v>
      </c>
      <c r="Q311" s="218">
        <f t="shared" si="48"/>
        <v>22</v>
      </c>
      <c r="R311" s="33">
        <f>IF(SUM($P311)=0,"",INDEX(Cascade!$BG:$BG,MATCH($E311,Cascade!$E:$E,0)))</f>
        <v>0.95</v>
      </c>
      <c r="S311" s="218">
        <f t="shared" si="49"/>
        <v>19</v>
      </c>
      <c r="T311" s="218">
        <f t="shared" si="50"/>
        <v>1</v>
      </c>
      <c r="U311" s="38">
        <f>IFERROR(1/(1/INDEX(Cascade!$BH:$BH,MATCH($E311,Cascade!$E:$E,0))),"")</f>
        <v>215</v>
      </c>
      <c r="V311" s="38">
        <f t="shared" si="51"/>
        <v>1</v>
      </c>
      <c r="W311" s="38">
        <f>IFERROR(1/(1/INDEX(PMTCT!$AC:$AC,MATCH($E311,PMTCT!$E:$E,0))),"")</f>
        <v>7</v>
      </c>
      <c r="X311" s="38">
        <f>IFERROR(1/(1/INDEX(PMTCT!$AS:$AS,MATCH($E311,PMTCT!$E:$E,0))),"")</f>
        <v>6</v>
      </c>
      <c r="Y311" s="38" t="str">
        <f>IFERROR(1/(1/INDEX(VMMC!$AA:$AA,MATCH($E311,VMMC!$E:$E,0))),"")</f>
        <v/>
      </c>
      <c r="Z311" s="38">
        <f t="shared" si="52"/>
        <v>201</v>
      </c>
    </row>
    <row r="312" spans="1:26" x14ac:dyDescent="0.2">
      <c r="A312" t="str">
        <f>INDEX(Prioritization!$D:$D,MATCH($B312,Prioritization!$A:$A,0))</f>
        <v>INVALID</v>
      </c>
      <c r="B312" t="s">
        <v>323</v>
      </c>
      <c r="C312" t="s">
        <v>477</v>
      </c>
      <c r="D312" t="s">
        <v>48</v>
      </c>
      <c r="E312" t="str">
        <f t="shared" si="44"/>
        <v>Phalombe District [AZyWpGzhcaA]|35-49|Male</v>
      </c>
      <c r="F312" s="38">
        <v>51</v>
      </c>
      <c r="G312" s="33">
        <v>0.39</v>
      </c>
      <c r="H312" s="218">
        <f t="shared" si="45"/>
        <v>71</v>
      </c>
      <c r="I312" s="38">
        <v>1</v>
      </c>
      <c r="J312" s="33"/>
      <c r="K312" s="33">
        <v>0.45</v>
      </c>
      <c r="L312" s="33"/>
      <c r="M312" s="33">
        <v>0.06</v>
      </c>
      <c r="N312" s="38">
        <f t="shared" si="43"/>
        <v>70</v>
      </c>
      <c r="O312" s="218">
        <f t="shared" si="46"/>
        <v>32</v>
      </c>
      <c r="P312" s="218">
        <f t="shared" si="47"/>
        <v>2</v>
      </c>
      <c r="Q312" s="218">
        <f t="shared" si="48"/>
        <v>36</v>
      </c>
      <c r="R312" s="33">
        <f>IF(SUM($P312)=0,"",INDEX(Cascade!$BG:$BG,MATCH($E312,Cascade!$E:$E,0)))</f>
        <v>0.95</v>
      </c>
      <c r="S312" s="218">
        <f t="shared" si="49"/>
        <v>32</v>
      </c>
      <c r="T312" s="218">
        <f t="shared" si="50"/>
        <v>2</v>
      </c>
      <c r="U312" s="38">
        <f>IFERROR(1/(1/INDEX(Cascade!$BH:$BH,MATCH($E312,Cascade!$E:$E,0))),"")</f>
        <v>864</v>
      </c>
      <c r="V312" s="38">
        <f t="shared" si="51"/>
        <v>2</v>
      </c>
      <c r="W312" s="38" t="str">
        <f>IFERROR(1/(1/INDEX(PMTCT!$AC:$AC,MATCH($E312,PMTCT!$E:$E,0))),"")</f>
        <v/>
      </c>
      <c r="X312" s="38" t="str">
        <f>IFERROR(1/(1/INDEX(PMTCT!$AS:$AS,MATCH($E312,PMTCT!$E:$E,0))),"")</f>
        <v/>
      </c>
      <c r="Y312" s="38">
        <f>IFERROR(1/(1/INDEX(VMMC!$AA:$AA,MATCH($E312,VMMC!$E:$E,0))),"")</f>
        <v>8</v>
      </c>
      <c r="Z312" s="38">
        <f t="shared" si="52"/>
        <v>854</v>
      </c>
    </row>
    <row r="313" spans="1:26" x14ac:dyDescent="0.2">
      <c r="A313" t="str">
        <f>INDEX(Prioritization!$D:$D,MATCH($B313,Prioritization!$A:$A,0))</f>
        <v>INVALID</v>
      </c>
      <c r="B313" t="s">
        <v>323</v>
      </c>
      <c r="C313" t="s">
        <v>478</v>
      </c>
      <c r="D313" t="s">
        <v>30</v>
      </c>
      <c r="E313" t="str">
        <f t="shared" si="44"/>
        <v>Phalombe District [AZyWpGzhcaA]|50+|Female</v>
      </c>
      <c r="F313" s="38">
        <v>10</v>
      </c>
      <c r="G313" s="33">
        <v>0.39</v>
      </c>
      <c r="H313" s="218">
        <f t="shared" si="45"/>
        <v>14</v>
      </c>
      <c r="I313" s="38"/>
      <c r="J313" s="33"/>
      <c r="K313" s="33">
        <v>0.45</v>
      </c>
      <c r="L313" s="33"/>
      <c r="M313" s="33">
        <v>0.06</v>
      </c>
      <c r="N313" s="38">
        <f t="shared" si="43"/>
        <v>14</v>
      </c>
      <c r="O313" s="218">
        <f t="shared" si="46"/>
        <v>6</v>
      </c>
      <c r="P313" s="218">
        <f t="shared" si="47"/>
        <v>0</v>
      </c>
      <c r="Q313" s="218">
        <f t="shared" si="48"/>
        <v>8</v>
      </c>
      <c r="R313" s="33" t="str">
        <f>IF(SUM($P313)=0,"",INDEX(Cascade!$BG:$BG,MATCH($E313,Cascade!$E:$E,0)))</f>
        <v/>
      </c>
      <c r="S313" s="218">
        <f t="shared" si="49"/>
        <v>6</v>
      </c>
      <c r="T313" s="218" t="str">
        <f t="shared" si="50"/>
        <v/>
      </c>
      <c r="U313" s="38">
        <f>IFERROR(1/(1/INDEX(Cascade!$BH:$BH,MATCH($E313,Cascade!$E:$E,0))),"")</f>
        <v>183</v>
      </c>
      <c r="V313" s="38" t="str">
        <f t="shared" si="51"/>
        <v/>
      </c>
      <c r="W313" s="38" t="str">
        <f>IFERROR(1/(1/INDEX(PMTCT!$AC:$AC,MATCH($E313,PMTCT!$E:$E,0))),"")</f>
        <v/>
      </c>
      <c r="X313" s="38" t="str">
        <f>IFERROR(1/(1/INDEX(PMTCT!$AS:$AS,MATCH($E313,PMTCT!$E:$E,0))),"")</f>
        <v/>
      </c>
      <c r="Y313" s="38" t="str">
        <f>IFERROR(1/(1/INDEX(VMMC!$AA:$AA,MATCH($E313,VMMC!$E:$E,0))),"")</f>
        <v/>
      </c>
      <c r="Z313" s="38">
        <f t="shared" si="52"/>
        <v>183</v>
      </c>
    </row>
    <row r="314" spans="1:26" x14ac:dyDescent="0.2">
      <c r="A314" t="str">
        <f>INDEX(Prioritization!$D:$D,MATCH($B314,Prioritization!$A:$A,0))</f>
        <v>INVALID</v>
      </c>
      <c r="B314" t="s">
        <v>323</v>
      </c>
      <c r="C314" t="s">
        <v>478</v>
      </c>
      <c r="D314" t="s">
        <v>48</v>
      </c>
      <c r="E314" t="str">
        <f t="shared" si="44"/>
        <v>Phalombe District [AZyWpGzhcaA]|50+|Male</v>
      </c>
      <c r="F314" s="38">
        <v>18</v>
      </c>
      <c r="G314" s="33">
        <v>0.39</v>
      </c>
      <c r="H314" s="218">
        <f t="shared" si="45"/>
        <v>25</v>
      </c>
      <c r="I314" s="38">
        <v>1</v>
      </c>
      <c r="J314" s="33"/>
      <c r="K314" s="33">
        <v>0.45</v>
      </c>
      <c r="L314" s="33"/>
      <c r="M314" s="33">
        <v>0.06</v>
      </c>
      <c r="N314" s="38">
        <f t="shared" si="43"/>
        <v>25</v>
      </c>
      <c r="O314" s="218">
        <f t="shared" si="46"/>
        <v>11</v>
      </c>
      <c r="P314" s="218">
        <f t="shared" si="47"/>
        <v>1</v>
      </c>
      <c r="Q314" s="218">
        <f t="shared" si="48"/>
        <v>13</v>
      </c>
      <c r="R314" s="33">
        <f>IF(SUM($P314)=0,"",INDEX(Cascade!$BG:$BG,MATCH($E314,Cascade!$E:$E,0)))</f>
        <v>0.95</v>
      </c>
      <c r="S314" s="218">
        <f t="shared" si="49"/>
        <v>11</v>
      </c>
      <c r="T314" s="218">
        <f t="shared" si="50"/>
        <v>1</v>
      </c>
      <c r="U314" s="38">
        <f>IFERROR(1/(1/INDEX(Cascade!$BH:$BH,MATCH($E314,Cascade!$E:$E,0))),"")</f>
        <v>100</v>
      </c>
      <c r="V314" s="38">
        <f t="shared" si="51"/>
        <v>1</v>
      </c>
      <c r="W314" s="38" t="str">
        <f>IFERROR(1/(1/INDEX(PMTCT!$AC:$AC,MATCH($E314,PMTCT!$E:$E,0))),"")</f>
        <v/>
      </c>
      <c r="X314" s="38" t="str">
        <f>IFERROR(1/(1/INDEX(PMTCT!$AS:$AS,MATCH($E314,PMTCT!$E:$E,0))),"")</f>
        <v/>
      </c>
      <c r="Y314" s="38" t="str">
        <f>IFERROR(1/(1/INDEX(VMMC!$AA:$AA,MATCH($E314,VMMC!$E:$E,0))),"")</f>
        <v/>
      </c>
      <c r="Z314" s="38">
        <f t="shared" si="52"/>
        <v>98.999999999999986</v>
      </c>
    </row>
    <row r="315" spans="1:26" x14ac:dyDescent="0.2">
      <c r="A315" t="str">
        <f>INDEX(Prioritization!$D:$D,MATCH($B315,Prioritization!$A:$A,0))</f>
        <v>4 - Sustained</v>
      </c>
      <c r="B315" t="s">
        <v>312</v>
      </c>
      <c r="C315" t="s">
        <v>473</v>
      </c>
      <c r="D315" t="s">
        <v>30</v>
      </c>
      <c r="E315" t="str">
        <f t="shared" si="44"/>
        <v>Rumphi District [lPTyjLi4w3d]|01-09|Female</v>
      </c>
      <c r="F315" s="38">
        <v>4</v>
      </c>
      <c r="G315" s="33">
        <v>0.39</v>
      </c>
      <c r="H315" s="218">
        <f t="shared" si="45"/>
        <v>6</v>
      </c>
      <c r="I315" s="38"/>
      <c r="J315" s="33"/>
      <c r="K315" s="33">
        <v>0.45</v>
      </c>
      <c r="L315" s="33"/>
      <c r="M315" s="33">
        <v>0.06</v>
      </c>
      <c r="N315" s="38">
        <f t="shared" si="43"/>
        <v>6</v>
      </c>
      <c r="O315" s="218">
        <f t="shared" si="46"/>
        <v>3</v>
      </c>
      <c r="P315" s="218">
        <f t="shared" si="47"/>
        <v>0</v>
      </c>
      <c r="Q315" s="218">
        <f t="shared" si="48"/>
        <v>3</v>
      </c>
      <c r="R315" s="33" t="str">
        <f>IF(SUM($P315)=0,"",INDEX(Cascade!$BG:$BG,MATCH($E315,Cascade!$E:$E,0)))</f>
        <v/>
      </c>
      <c r="S315" s="218">
        <f t="shared" si="49"/>
        <v>3</v>
      </c>
      <c r="T315" s="218" t="str">
        <f t="shared" si="50"/>
        <v/>
      </c>
      <c r="U315" s="38">
        <f>IFERROR(1/(1/INDEX(Cascade!$BH:$BH,MATCH($E315,Cascade!$E:$E,0))),"")</f>
        <v>1</v>
      </c>
      <c r="V315" s="38" t="str">
        <f t="shared" si="51"/>
        <v/>
      </c>
      <c r="W315" s="38" t="str">
        <f>IFERROR(1/(1/INDEX(PMTCT!$AC:$AC,MATCH($E315,PMTCT!$E:$E,0))),"")</f>
        <v/>
      </c>
      <c r="X315" s="38" t="str">
        <f>IFERROR(1/(1/INDEX(PMTCT!$AS:$AS,MATCH($E315,PMTCT!$E:$E,0))),"")</f>
        <v/>
      </c>
      <c r="Y315" s="38" t="str">
        <f>IFERROR(1/(1/INDEX(VMMC!$AA:$AA,MATCH($E315,VMMC!$E:$E,0))),"")</f>
        <v/>
      </c>
      <c r="Z315" s="38">
        <f t="shared" si="52"/>
        <v>1</v>
      </c>
    </row>
    <row r="316" spans="1:26" x14ac:dyDescent="0.2">
      <c r="A316" t="str">
        <f>INDEX(Prioritization!$D:$D,MATCH($B316,Prioritization!$A:$A,0))</f>
        <v>4 - Sustained</v>
      </c>
      <c r="B316" t="s">
        <v>312</v>
      </c>
      <c r="C316" t="s">
        <v>473</v>
      </c>
      <c r="D316" t="s">
        <v>48</v>
      </c>
      <c r="E316" t="str">
        <f t="shared" si="44"/>
        <v>Rumphi District [lPTyjLi4w3d]|01-09|Male</v>
      </c>
      <c r="F316" s="38">
        <v>4</v>
      </c>
      <c r="G316" s="33">
        <v>0.39</v>
      </c>
      <c r="H316" s="218">
        <f t="shared" si="45"/>
        <v>6</v>
      </c>
      <c r="I316" s="38"/>
      <c r="J316" s="33"/>
      <c r="K316" s="33">
        <v>0.45</v>
      </c>
      <c r="L316" s="33"/>
      <c r="M316" s="33">
        <v>0.06</v>
      </c>
      <c r="N316" s="38">
        <f t="shared" si="43"/>
        <v>6</v>
      </c>
      <c r="O316" s="218">
        <f t="shared" si="46"/>
        <v>3</v>
      </c>
      <c r="P316" s="218">
        <f t="shared" si="47"/>
        <v>0</v>
      </c>
      <c r="Q316" s="218">
        <f t="shared" si="48"/>
        <v>3</v>
      </c>
      <c r="R316" s="33" t="str">
        <f>IF(SUM($P316)=0,"",INDEX(Cascade!$BG:$BG,MATCH($E316,Cascade!$E:$E,0)))</f>
        <v/>
      </c>
      <c r="S316" s="218">
        <f t="shared" si="49"/>
        <v>3</v>
      </c>
      <c r="T316" s="218" t="str">
        <f t="shared" si="50"/>
        <v/>
      </c>
      <c r="U316" s="38">
        <f>IFERROR(1/(1/INDEX(Cascade!$BH:$BH,MATCH($E316,Cascade!$E:$E,0))),"")</f>
        <v>1</v>
      </c>
      <c r="V316" s="38" t="str">
        <f t="shared" si="51"/>
        <v/>
      </c>
      <c r="W316" s="38" t="str">
        <f>IFERROR(1/(1/INDEX(PMTCT!$AC:$AC,MATCH($E316,PMTCT!$E:$E,0))),"")</f>
        <v/>
      </c>
      <c r="X316" s="38" t="str">
        <f>IFERROR(1/(1/INDEX(PMTCT!$AS:$AS,MATCH($E316,PMTCT!$E:$E,0))),"")</f>
        <v/>
      </c>
      <c r="Y316" s="38" t="str">
        <f>IFERROR(1/(1/INDEX(VMMC!$AA:$AA,MATCH($E316,VMMC!$E:$E,0))),"")</f>
        <v/>
      </c>
      <c r="Z316" s="38">
        <f t="shared" si="52"/>
        <v>1</v>
      </c>
    </row>
    <row r="317" spans="1:26" x14ac:dyDescent="0.2">
      <c r="A317" t="str">
        <f>INDEX(Prioritization!$D:$D,MATCH($B317,Prioritization!$A:$A,0))</f>
        <v>4 - Sustained</v>
      </c>
      <c r="B317" t="s">
        <v>312</v>
      </c>
      <c r="C317" t="s">
        <v>474</v>
      </c>
      <c r="D317" t="s">
        <v>30</v>
      </c>
      <c r="E317" t="str">
        <f t="shared" si="44"/>
        <v>Rumphi District [lPTyjLi4w3d]|10-14|Female</v>
      </c>
      <c r="F317" s="38">
        <v>2</v>
      </c>
      <c r="G317" s="33">
        <v>0.39</v>
      </c>
      <c r="H317" s="218">
        <f t="shared" si="45"/>
        <v>3</v>
      </c>
      <c r="I317" s="38"/>
      <c r="J317" s="33"/>
      <c r="K317" s="33">
        <v>0.45</v>
      </c>
      <c r="L317" s="33"/>
      <c r="M317" s="33">
        <v>0.06</v>
      </c>
      <c r="N317" s="38">
        <f t="shared" si="43"/>
        <v>3</v>
      </c>
      <c r="O317" s="218">
        <f t="shared" si="46"/>
        <v>1</v>
      </c>
      <c r="P317" s="218">
        <f t="shared" si="47"/>
        <v>0</v>
      </c>
      <c r="Q317" s="218">
        <f t="shared" si="48"/>
        <v>2</v>
      </c>
      <c r="R317" s="33" t="str">
        <f>IF(SUM($P317)=0,"",INDEX(Cascade!$BG:$BG,MATCH($E317,Cascade!$E:$E,0)))</f>
        <v/>
      </c>
      <c r="S317" s="218">
        <f t="shared" si="49"/>
        <v>1</v>
      </c>
      <c r="T317" s="218" t="str">
        <f t="shared" si="50"/>
        <v/>
      </c>
      <c r="U317" s="38">
        <f>IFERROR(1/(1/INDEX(Cascade!$BH:$BH,MATCH($E317,Cascade!$E:$E,0))),"")</f>
        <v>9</v>
      </c>
      <c r="V317" s="38" t="str">
        <f t="shared" si="51"/>
        <v/>
      </c>
      <c r="W317" s="38" t="str">
        <f>IFERROR(1/(1/INDEX(PMTCT!$AC:$AC,MATCH($E317,PMTCT!$E:$E,0))),"")</f>
        <v/>
      </c>
      <c r="X317" s="38" t="str">
        <f>IFERROR(1/(1/INDEX(PMTCT!$AS:$AS,MATCH($E317,PMTCT!$E:$E,0))),"")</f>
        <v/>
      </c>
      <c r="Y317" s="38" t="str">
        <f>IFERROR(1/(1/INDEX(VMMC!$AA:$AA,MATCH($E317,VMMC!$E:$E,0))),"")</f>
        <v/>
      </c>
      <c r="Z317" s="38">
        <f t="shared" si="52"/>
        <v>9</v>
      </c>
    </row>
    <row r="318" spans="1:26" x14ac:dyDescent="0.2">
      <c r="A318" t="str">
        <f>INDEX(Prioritization!$D:$D,MATCH($B318,Prioritization!$A:$A,0))</f>
        <v>4 - Sustained</v>
      </c>
      <c r="B318" t="s">
        <v>312</v>
      </c>
      <c r="C318" t="s">
        <v>474</v>
      </c>
      <c r="D318" t="s">
        <v>48</v>
      </c>
      <c r="E318" t="str">
        <f t="shared" si="44"/>
        <v>Rumphi District [lPTyjLi4w3d]|10-14|Male</v>
      </c>
      <c r="F318" s="38">
        <v>2</v>
      </c>
      <c r="G318" s="33">
        <v>0.39</v>
      </c>
      <c r="H318" s="218">
        <f t="shared" si="45"/>
        <v>3</v>
      </c>
      <c r="I318" s="38"/>
      <c r="J318" s="33"/>
      <c r="K318" s="33">
        <v>0.45</v>
      </c>
      <c r="L318" s="33"/>
      <c r="M318" s="33">
        <v>0.06</v>
      </c>
      <c r="N318" s="38">
        <f t="shared" si="43"/>
        <v>3</v>
      </c>
      <c r="O318" s="218">
        <f t="shared" si="46"/>
        <v>1</v>
      </c>
      <c r="P318" s="218">
        <f t="shared" si="47"/>
        <v>0</v>
      </c>
      <c r="Q318" s="218">
        <f t="shared" si="48"/>
        <v>2</v>
      </c>
      <c r="R318" s="33" t="str">
        <f>IF(SUM($P318)=0,"",INDEX(Cascade!$BG:$BG,MATCH($E318,Cascade!$E:$E,0)))</f>
        <v/>
      </c>
      <c r="S318" s="218">
        <f t="shared" si="49"/>
        <v>1</v>
      </c>
      <c r="T318" s="218" t="str">
        <f t="shared" si="50"/>
        <v/>
      </c>
      <c r="U318" s="38">
        <f>IFERROR(1/(1/INDEX(Cascade!$BH:$BH,MATCH($E318,Cascade!$E:$E,0))),"")</f>
        <v>2</v>
      </c>
      <c r="V318" s="38" t="str">
        <f t="shared" si="51"/>
        <v/>
      </c>
      <c r="W318" s="38" t="str">
        <f>IFERROR(1/(1/INDEX(PMTCT!$AC:$AC,MATCH($E318,PMTCT!$E:$E,0))),"")</f>
        <v/>
      </c>
      <c r="X318" s="38" t="str">
        <f>IFERROR(1/(1/INDEX(PMTCT!$AS:$AS,MATCH($E318,PMTCT!$E:$E,0))),"")</f>
        <v/>
      </c>
      <c r="Y318" s="38" t="str">
        <f>IFERROR(1/(1/INDEX(VMMC!$AA:$AA,MATCH($E318,VMMC!$E:$E,0))),"")</f>
        <v/>
      </c>
      <c r="Z318" s="38">
        <f t="shared" si="52"/>
        <v>2</v>
      </c>
    </row>
    <row r="319" spans="1:26" x14ac:dyDescent="0.2">
      <c r="A319" t="str">
        <f>INDEX(Prioritization!$D:$D,MATCH($B319,Prioritization!$A:$A,0))</f>
        <v>4 - Sustained</v>
      </c>
      <c r="B319" t="s">
        <v>312</v>
      </c>
      <c r="C319" t="s">
        <v>475</v>
      </c>
      <c r="D319" t="s">
        <v>30</v>
      </c>
      <c r="E319" t="str">
        <f t="shared" si="44"/>
        <v>Rumphi District [lPTyjLi4w3d]|15-24|Female</v>
      </c>
      <c r="F319" s="38">
        <v>8</v>
      </c>
      <c r="G319" s="33">
        <v>0.39</v>
      </c>
      <c r="H319" s="218">
        <f t="shared" si="45"/>
        <v>11</v>
      </c>
      <c r="I319" s="38"/>
      <c r="J319" s="33"/>
      <c r="K319" s="33">
        <v>0.45</v>
      </c>
      <c r="L319" s="33"/>
      <c r="M319" s="33">
        <v>0.06</v>
      </c>
      <c r="N319" s="38">
        <f t="shared" si="43"/>
        <v>11</v>
      </c>
      <c r="O319" s="218">
        <f t="shared" si="46"/>
        <v>5</v>
      </c>
      <c r="P319" s="218">
        <f t="shared" si="47"/>
        <v>0</v>
      </c>
      <c r="Q319" s="218">
        <f t="shared" si="48"/>
        <v>6</v>
      </c>
      <c r="R319" s="33" t="str">
        <f>IF(SUM($P319)=0,"",INDEX(Cascade!$BG:$BG,MATCH($E319,Cascade!$E:$E,0)))</f>
        <v/>
      </c>
      <c r="S319" s="218">
        <f t="shared" si="49"/>
        <v>5</v>
      </c>
      <c r="T319" s="218" t="str">
        <f t="shared" si="50"/>
        <v/>
      </c>
      <c r="U319" s="38">
        <f>IFERROR(1/(1/INDEX(Cascade!$BH:$BH,MATCH($E319,Cascade!$E:$E,0))),"")</f>
        <v>58</v>
      </c>
      <c r="V319" s="38" t="str">
        <f t="shared" si="51"/>
        <v/>
      </c>
      <c r="W319" s="38">
        <f>IFERROR(1/(1/INDEX(PMTCT!$AC:$AC,MATCH($E319,PMTCT!$E:$E,0))),"")</f>
        <v>24</v>
      </c>
      <c r="X319" s="38">
        <f>IFERROR(1/(1/INDEX(PMTCT!$AS:$AS,MATCH($E319,PMTCT!$E:$E,0))),"")</f>
        <v>17</v>
      </c>
      <c r="Y319" s="38" t="str">
        <f>IFERROR(1/(1/INDEX(VMMC!$AA:$AA,MATCH($E319,VMMC!$E:$E,0))),"")</f>
        <v/>
      </c>
      <c r="Z319" s="38">
        <f t="shared" si="52"/>
        <v>17</v>
      </c>
    </row>
    <row r="320" spans="1:26" x14ac:dyDescent="0.2">
      <c r="A320" t="str">
        <f>INDEX(Prioritization!$D:$D,MATCH($B320,Prioritization!$A:$A,0))</f>
        <v>4 - Sustained</v>
      </c>
      <c r="B320" t="s">
        <v>312</v>
      </c>
      <c r="C320" t="s">
        <v>475</v>
      </c>
      <c r="D320" t="s">
        <v>48</v>
      </c>
      <c r="E320" t="str">
        <f t="shared" si="44"/>
        <v>Rumphi District [lPTyjLi4w3d]|15-24|Male</v>
      </c>
      <c r="F320" s="38">
        <v>13</v>
      </c>
      <c r="G320" s="33">
        <v>0.39</v>
      </c>
      <c r="H320" s="218">
        <f t="shared" si="45"/>
        <v>18</v>
      </c>
      <c r="I320" s="38"/>
      <c r="J320" s="33"/>
      <c r="K320" s="33">
        <v>0.45</v>
      </c>
      <c r="L320" s="33"/>
      <c r="M320" s="33">
        <v>0.06</v>
      </c>
      <c r="N320" s="38">
        <f t="shared" si="43"/>
        <v>18</v>
      </c>
      <c r="O320" s="218">
        <f t="shared" si="46"/>
        <v>8</v>
      </c>
      <c r="P320" s="218">
        <f t="shared" si="47"/>
        <v>1</v>
      </c>
      <c r="Q320" s="218">
        <f t="shared" si="48"/>
        <v>9</v>
      </c>
      <c r="R320" s="33">
        <f>IF(SUM($P320)=0,"",INDEX(Cascade!$BG:$BG,MATCH($E320,Cascade!$E:$E,0)))</f>
        <v>0.95</v>
      </c>
      <c r="S320" s="218">
        <f t="shared" si="49"/>
        <v>8</v>
      </c>
      <c r="T320" s="218">
        <f t="shared" si="50"/>
        <v>1</v>
      </c>
      <c r="U320" s="38">
        <f>IFERROR(1/(1/INDEX(Cascade!$BH:$BH,MATCH($E320,Cascade!$E:$E,0))),"")</f>
        <v>5</v>
      </c>
      <c r="V320" s="38">
        <f t="shared" si="51"/>
        <v>1</v>
      </c>
      <c r="W320" s="38" t="str">
        <f>IFERROR(1/(1/INDEX(PMTCT!$AC:$AC,MATCH($E320,PMTCT!$E:$E,0))),"")</f>
        <v/>
      </c>
      <c r="X320" s="38" t="str">
        <f>IFERROR(1/(1/INDEX(PMTCT!$AS:$AS,MATCH($E320,PMTCT!$E:$E,0))),"")</f>
        <v/>
      </c>
      <c r="Y320" s="38" t="str">
        <f>IFERROR(1/(1/INDEX(VMMC!$AA:$AA,MATCH($E320,VMMC!$E:$E,0))),"")</f>
        <v/>
      </c>
      <c r="Z320" s="38">
        <f t="shared" si="52"/>
        <v>4</v>
      </c>
    </row>
    <row r="321" spans="1:26" x14ac:dyDescent="0.2">
      <c r="A321" t="str">
        <f>INDEX(Prioritization!$D:$D,MATCH($B321,Prioritization!$A:$A,0))</f>
        <v>4 - Sustained</v>
      </c>
      <c r="B321" t="s">
        <v>312</v>
      </c>
      <c r="C321" t="s">
        <v>476</v>
      </c>
      <c r="D321" t="s">
        <v>30</v>
      </c>
      <c r="E321" t="str">
        <f t="shared" si="44"/>
        <v>Rumphi District [lPTyjLi4w3d]|25-34|Female</v>
      </c>
      <c r="F321" s="38">
        <v>8</v>
      </c>
      <c r="G321" s="33">
        <v>0.39</v>
      </c>
      <c r="H321" s="218">
        <f t="shared" si="45"/>
        <v>11</v>
      </c>
      <c r="I321" s="38"/>
      <c r="J321" s="33"/>
      <c r="K321" s="33">
        <v>0.45</v>
      </c>
      <c r="L321" s="33"/>
      <c r="M321" s="33">
        <v>0.06</v>
      </c>
      <c r="N321" s="38">
        <f t="shared" si="43"/>
        <v>11</v>
      </c>
      <c r="O321" s="218">
        <f t="shared" si="46"/>
        <v>5</v>
      </c>
      <c r="P321" s="218">
        <f t="shared" si="47"/>
        <v>0</v>
      </c>
      <c r="Q321" s="218">
        <f t="shared" si="48"/>
        <v>6</v>
      </c>
      <c r="R321" s="33" t="str">
        <f>IF(SUM($P321)=0,"",INDEX(Cascade!$BG:$BG,MATCH($E321,Cascade!$E:$E,0)))</f>
        <v/>
      </c>
      <c r="S321" s="218">
        <f t="shared" si="49"/>
        <v>5</v>
      </c>
      <c r="T321" s="218" t="str">
        <f t="shared" si="50"/>
        <v/>
      </c>
      <c r="U321" s="38">
        <f>IFERROR(1/(1/INDEX(Cascade!$BH:$BH,MATCH($E321,Cascade!$E:$E,0))),"")</f>
        <v>65</v>
      </c>
      <c r="V321" s="38" t="str">
        <f t="shared" si="51"/>
        <v/>
      </c>
      <c r="W321" s="38">
        <f>IFERROR(1/(1/INDEX(PMTCT!$AC:$AC,MATCH($E321,PMTCT!$E:$E,0))),"")</f>
        <v>25</v>
      </c>
      <c r="X321" s="38">
        <f>IFERROR(1/(1/INDEX(PMTCT!$AS:$AS,MATCH($E321,PMTCT!$E:$E,0))),"")</f>
        <v>9</v>
      </c>
      <c r="Y321" s="38" t="str">
        <f>IFERROR(1/(1/INDEX(VMMC!$AA:$AA,MATCH($E321,VMMC!$E:$E,0))),"")</f>
        <v/>
      </c>
      <c r="Z321" s="38">
        <f t="shared" si="52"/>
        <v>31</v>
      </c>
    </row>
    <row r="322" spans="1:26" x14ac:dyDescent="0.2">
      <c r="A322" t="str">
        <f>INDEX(Prioritization!$D:$D,MATCH($B322,Prioritization!$A:$A,0))</f>
        <v>4 - Sustained</v>
      </c>
      <c r="B322" t="s">
        <v>312</v>
      </c>
      <c r="C322" t="s">
        <v>476</v>
      </c>
      <c r="D322" t="s">
        <v>48</v>
      </c>
      <c r="E322" t="str">
        <f t="shared" si="44"/>
        <v>Rumphi District [lPTyjLi4w3d]|25-34|Male</v>
      </c>
      <c r="F322" s="38">
        <v>12</v>
      </c>
      <c r="G322" s="33">
        <v>0.39</v>
      </c>
      <c r="H322" s="218">
        <f t="shared" si="45"/>
        <v>17</v>
      </c>
      <c r="I322" s="38"/>
      <c r="J322" s="33"/>
      <c r="K322" s="33">
        <v>0.45</v>
      </c>
      <c r="L322" s="33"/>
      <c r="M322" s="33">
        <v>0.06</v>
      </c>
      <c r="N322" s="38">
        <f t="shared" si="43"/>
        <v>17</v>
      </c>
      <c r="O322" s="218">
        <f t="shared" si="46"/>
        <v>8</v>
      </c>
      <c r="P322" s="218">
        <f t="shared" si="47"/>
        <v>1</v>
      </c>
      <c r="Q322" s="218">
        <f t="shared" si="48"/>
        <v>8</v>
      </c>
      <c r="R322" s="33">
        <f>IF(SUM($P322)=0,"",INDEX(Cascade!$BG:$BG,MATCH($E322,Cascade!$E:$E,0)))</f>
        <v>0.95</v>
      </c>
      <c r="S322" s="218">
        <f t="shared" si="49"/>
        <v>8</v>
      </c>
      <c r="T322" s="218">
        <f t="shared" si="50"/>
        <v>1</v>
      </c>
      <c r="U322" s="38">
        <f>IFERROR(1/(1/INDEX(Cascade!$BH:$BH,MATCH($E322,Cascade!$E:$E,0))),"")</f>
        <v>7</v>
      </c>
      <c r="V322" s="38">
        <f t="shared" si="51"/>
        <v>1</v>
      </c>
      <c r="W322" s="38" t="str">
        <f>IFERROR(1/(1/INDEX(PMTCT!$AC:$AC,MATCH($E322,PMTCT!$E:$E,0))),"")</f>
        <v/>
      </c>
      <c r="X322" s="38" t="str">
        <f>IFERROR(1/(1/INDEX(PMTCT!$AS:$AS,MATCH($E322,PMTCT!$E:$E,0))),"")</f>
        <v/>
      </c>
      <c r="Y322" s="38" t="str">
        <f>IFERROR(1/(1/INDEX(VMMC!$AA:$AA,MATCH($E322,VMMC!$E:$E,0))),"")</f>
        <v/>
      </c>
      <c r="Z322" s="38">
        <f t="shared" si="52"/>
        <v>6</v>
      </c>
    </row>
    <row r="323" spans="1:26" x14ac:dyDescent="0.2">
      <c r="A323" t="str">
        <f>INDEX(Prioritization!$D:$D,MATCH($B323,Prioritization!$A:$A,0))</f>
        <v>4 - Sustained</v>
      </c>
      <c r="B323" t="s">
        <v>312</v>
      </c>
      <c r="C323" t="s">
        <v>477</v>
      </c>
      <c r="D323" t="s">
        <v>30</v>
      </c>
      <c r="E323" t="str">
        <f t="shared" ref="E323:E362" si="53">B323&amp;"|"&amp;C323&amp;"|"&amp;D323</f>
        <v>Rumphi District [lPTyjLi4w3d]|35-49|Female</v>
      </c>
      <c r="F323" s="38">
        <v>12</v>
      </c>
      <c r="G323" s="33">
        <v>0.39</v>
      </c>
      <c r="H323" s="218">
        <f t="shared" ref="H323:H362" si="54">IF(SUM($F323)=0,"",ROUND($F323*(1+$G323),0))</f>
        <v>17</v>
      </c>
      <c r="I323" s="38"/>
      <c r="J323" s="33"/>
      <c r="K323" s="33">
        <v>0.45</v>
      </c>
      <c r="L323" s="33"/>
      <c r="M323" s="33">
        <v>0.06</v>
      </c>
      <c r="N323" s="38">
        <f t="shared" si="43"/>
        <v>17</v>
      </c>
      <c r="O323" s="218">
        <f t="shared" ref="O323:O362" si="55">IF(SUM($N323)=0,"",IF(AND(SUM($N323)&gt;0,$K323=""),"ENTER KNOWN POSITIVITY RATE",ROUND($N323*$K323,0)))</f>
        <v>8</v>
      </c>
      <c r="P323" s="218">
        <f t="shared" ref="P323:P362" si="56">IF(SUM($N323)=0,"",IF(AND((SUM($N323)-SUM($O323))&gt;0,$M323=""),"ENTER YIELD RATE",ROUND(($N323-SUM($O323))*$M323,0)))</f>
        <v>1</v>
      </c>
      <c r="Q323" s="218">
        <f t="shared" ref="Q323:Q362" si="57">IF(SUM($N323)=0,"",$N323-SUM($O323)-SUM($P323))</f>
        <v>8</v>
      </c>
      <c r="R323" s="33">
        <f>IF(SUM($P323)=0,"",INDEX(Cascade!$BG:$BG,MATCH($E323,Cascade!$E:$E,0)))</f>
        <v>0.95</v>
      </c>
      <c r="S323" s="218">
        <f t="shared" ref="S323:S362" si="58">$O323</f>
        <v>8</v>
      </c>
      <c r="T323" s="218">
        <f t="shared" ref="T323:T362" si="59">IF(SUM($P323)=0,"",IF(AND($R323="",SUM($P323)&gt;0),"&lt;- Enter Linkage Rate",ROUND($P323*$R323,0)))</f>
        <v>1</v>
      </c>
      <c r="U323" s="38">
        <f>IFERROR(1/(1/INDEX(Cascade!$BH:$BH,MATCH($E323,Cascade!$E:$E,0))),"")</f>
        <v>51</v>
      </c>
      <c r="V323" s="38">
        <f t="shared" ref="V323:V362" si="60">IF(SUM($P323)=0,"",$P323)</f>
        <v>1</v>
      </c>
      <c r="W323" s="38">
        <f>IFERROR(1/(1/INDEX(PMTCT!$AC:$AC,MATCH($E323,PMTCT!$E:$E,0))),"")</f>
        <v>6</v>
      </c>
      <c r="X323" s="38">
        <f>IFERROR(1/(1/INDEX(PMTCT!$AS:$AS,MATCH($E323,PMTCT!$E:$E,0))),"")</f>
        <v>2</v>
      </c>
      <c r="Y323" s="38" t="str">
        <f>IFERROR(1/(1/INDEX(VMMC!$AA:$AA,MATCH($E323,VMMC!$E:$E,0))),"")</f>
        <v/>
      </c>
      <c r="Z323" s="38">
        <f t="shared" ref="Z323:Z362" si="61">IFERROR(1/(1/(SUM($U323)-SUM($V323:$Y323))),"")</f>
        <v>42</v>
      </c>
    </row>
    <row r="324" spans="1:26" x14ac:dyDescent="0.2">
      <c r="A324" t="str">
        <f>INDEX(Prioritization!$D:$D,MATCH($B324,Prioritization!$A:$A,0))</f>
        <v>4 - Sustained</v>
      </c>
      <c r="B324" t="s">
        <v>312</v>
      </c>
      <c r="C324" t="s">
        <v>477</v>
      </c>
      <c r="D324" t="s">
        <v>48</v>
      </c>
      <c r="E324" t="str">
        <f t="shared" si="53"/>
        <v>Rumphi District [lPTyjLi4w3d]|35-49|Male</v>
      </c>
      <c r="F324" s="38">
        <v>19</v>
      </c>
      <c r="G324" s="33">
        <v>0.39</v>
      </c>
      <c r="H324" s="218">
        <f t="shared" si="54"/>
        <v>26</v>
      </c>
      <c r="I324" s="38">
        <v>1</v>
      </c>
      <c r="J324" s="33"/>
      <c r="K324" s="33">
        <v>0.45</v>
      </c>
      <c r="L324" s="33"/>
      <c r="M324" s="33">
        <v>0.06</v>
      </c>
      <c r="N324" s="38">
        <f t="shared" si="43"/>
        <v>26</v>
      </c>
      <c r="O324" s="218">
        <f t="shared" si="55"/>
        <v>12</v>
      </c>
      <c r="P324" s="218">
        <f t="shared" si="56"/>
        <v>1</v>
      </c>
      <c r="Q324" s="218">
        <f t="shared" si="57"/>
        <v>13</v>
      </c>
      <c r="R324" s="33">
        <f>IF(SUM($P324)=0,"",INDEX(Cascade!$BG:$BG,MATCH($E324,Cascade!$E:$E,0)))</f>
        <v>0.95</v>
      </c>
      <c r="S324" s="218">
        <f t="shared" si="58"/>
        <v>12</v>
      </c>
      <c r="T324" s="218">
        <f t="shared" si="59"/>
        <v>1</v>
      </c>
      <c r="U324" s="38">
        <f>IFERROR(1/(1/INDEX(Cascade!$BH:$BH,MATCH($E324,Cascade!$E:$E,0))),"")</f>
        <v>92.999999999999986</v>
      </c>
      <c r="V324" s="38">
        <f t="shared" si="60"/>
        <v>1</v>
      </c>
      <c r="W324" s="38" t="str">
        <f>IFERROR(1/(1/INDEX(PMTCT!$AC:$AC,MATCH($E324,PMTCT!$E:$E,0))),"")</f>
        <v/>
      </c>
      <c r="X324" s="38" t="str">
        <f>IFERROR(1/(1/INDEX(PMTCT!$AS:$AS,MATCH($E324,PMTCT!$E:$E,0))),"")</f>
        <v/>
      </c>
      <c r="Y324" s="38" t="str">
        <f>IFERROR(1/(1/INDEX(VMMC!$AA:$AA,MATCH($E324,VMMC!$E:$E,0))),"")</f>
        <v/>
      </c>
      <c r="Z324" s="38">
        <f t="shared" si="61"/>
        <v>91.999999999999986</v>
      </c>
    </row>
    <row r="325" spans="1:26" x14ac:dyDescent="0.2">
      <c r="A325" t="str">
        <f>INDEX(Prioritization!$D:$D,MATCH($B325,Prioritization!$A:$A,0))</f>
        <v>4 - Sustained</v>
      </c>
      <c r="B325" t="s">
        <v>312</v>
      </c>
      <c r="C325" t="s">
        <v>478</v>
      </c>
      <c r="D325" t="s">
        <v>30</v>
      </c>
      <c r="E325" t="str">
        <f t="shared" si="53"/>
        <v>Rumphi District [lPTyjLi4w3d]|50+|Female</v>
      </c>
      <c r="F325" s="38">
        <v>6</v>
      </c>
      <c r="G325" s="33">
        <v>0.39</v>
      </c>
      <c r="H325" s="218">
        <f t="shared" si="54"/>
        <v>8</v>
      </c>
      <c r="I325" s="38"/>
      <c r="J325" s="33"/>
      <c r="K325" s="33">
        <v>0.45</v>
      </c>
      <c r="L325" s="33"/>
      <c r="M325" s="33">
        <v>0.06</v>
      </c>
      <c r="N325" s="38">
        <f t="shared" si="43"/>
        <v>8</v>
      </c>
      <c r="O325" s="218">
        <f t="shared" si="55"/>
        <v>4</v>
      </c>
      <c r="P325" s="218">
        <f t="shared" si="56"/>
        <v>0</v>
      </c>
      <c r="Q325" s="218">
        <f t="shared" si="57"/>
        <v>4</v>
      </c>
      <c r="R325" s="33" t="str">
        <f>IF(SUM($P325)=0,"",INDEX(Cascade!$BG:$BG,MATCH($E325,Cascade!$E:$E,0)))</f>
        <v/>
      </c>
      <c r="S325" s="218">
        <f t="shared" si="58"/>
        <v>4</v>
      </c>
      <c r="T325" s="218" t="str">
        <f t="shared" si="59"/>
        <v/>
      </c>
      <c r="U325" s="38">
        <f>IFERROR(1/(1/INDEX(Cascade!$BH:$BH,MATCH($E325,Cascade!$E:$E,0))),"")</f>
        <v>65</v>
      </c>
      <c r="V325" s="38" t="str">
        <f t="shared" si="60"/>
        <v/>
      </c>
      <c r="W325" s="38" t="str">
        <f>IFERROR(1/(1/INDEX(PMTCT!$AC:$AC,MATCH($E325,PMTCT!$E:$E,0))),"")</f>
        <v/>
      </c>
      <c r="X325" s="38" t="str">
        <f>IFERROR(1/(1/INDEX(PMTCT!$AS:$AS,MATCH($E325,PMTCT!$E:$E,0))),"")</f>
        <v/>
      </c>
      <c r="Y325" s="38" t="str">
        <f>IFERROR(1/(1/INDEX(VMMC!$AA:$AA,MATCH($E325,VMMC!$E:$E,0))),"")</f>
        <v/>
      </c>
      <c r="Z325" s="38">
        <f t="shared" si="61"/>
        <v>65</v>
      </c>
    </row>
    <row r="326" spans="1:26" x14ac:dyDescent="0.2">
      <c r="A326" t="str">
        <f>INDEX(Prioritization!$D:$D,MATCH($B326,Prioritization!$A:$A,0))</f>
        <v>4 - Sustained</v>
      </c>
      <c r="B326" t="s">
        <v>312</v>
      </c>
      <c r="C326" t="s">
        <v>478</v>
      </c>
      <c r="D326" t="s">
        <v>48</v>
      </c>
      <c r="E326" t="str">
        <f t="shared" si="53"/>
        <v>Rumphi District [lPTyjLi4w3d]|50+|Male</v>
      </c>
      <c r="F326" s="38">
        <v>7</v>
      </c>
      <c r="G326" s="33">
        <v>0.39</v>
      </c>
      <c r="H326" s="218">
        <f t="shared" si="54"/>
        <v>10</v>
      </c>
      <c r="I326" s="38"/>
      <c r="J326" s="33"/>
      <c r="K326" s="33">
        <v>0.45</v>
      </c>
      <c r="L326" s="33"/>
      <c r="M326" s="33">
        <v>0.06</v>
      </c>
      <c r="N326" s="38">
        <f t="shared" si="43"/>
        <v>10</v>
      </c>
      <c r="O326" s="218">
        <f t="shared" si="55"/>
        <v>5</v>
      </c>
      <c r="P326" s="218">
        <f t="shared" si="56"/>
        <v>0</v>
      </c>
      <c r="Q326" s="218">
        <f t="shared" si="57"/>
        <v>5</v>
      </c>
      <c r="R326" s="33" t="str">
        <f>IF(SUM($P326)=0,"",INDEX(Cascade!$BG:$BG,MATCH($E326,Cascade!$E:$E,0)))</f>
        <v/>
      </c>
      <c r="S326" s="218">
        <f t="shared" si="58"/>
        <v>5</v>
      </c>
      <c r="T326" s="218" t="str">
        <f t="shared" si="59"/>
        <v/>
      </c>
      <c r="U326" s="38">
        <f>IFERROR(1/(1/INDEX(Cascade!$BH:$BH,MATCH($E326,Cascade!$E:$E,0))),"")</f>
        <v>42</v>
      </c>
      <c r="V326" s="38" t="str">
        <f t="shared" si="60"/>
        <v/>
      </c>
      <c r="W326" s="38" t="str">
        <f>IFERROR(1/(1/INDEX(PMTCT!$AC:$AC,MATCH($E326,PMTCT!$E:$E,0))),"")</f>
        <v/>
      </c>
      <c r="X326" s="38" t="str">
        <f>IFERROR(1/(1/INDEX(PMTCT!$AS:$AS,MATCH($E326,PMTCT!$E:$E,0))),"")</f>
        <v/>
      </c>
      <c r="Y326" s="38" t="str">
        <f>IFERROR(1/(1/INDEX(VMMC!$AA:$AA,MATCH($E326,VMMC!$E:$E,0))),"")</f>
        <v/>
      </c>
      <c r="Z326" s="38">
        <f t="shared" si="61"/>
        <v>42</v>
      </c>
    </row>
    <row r="327" spans="1:26" x14ac:dyDescent="0.2">
      <c r="A327" t="str">
        <f>INDEX(Prioritization!$D:$D,MATCH($B327,Prioritization!$A:$A,0))</f>
        <v>4 - Sustained</v>
      </c>
      <c r="B327" t="s">
        <v>306</v>
      </c>
      <c r="C327" t="s">
        <v>473</v>
      </c>
      <c r="D327" t="s">
        <v>30</v>
      </c>
      <c r="E327" t="str">
        <f t="shared" si="53"/>
        <v>Salima District [msW2zpIN7up]|01-09|Female</v>
      </c>
      <c r="F327" s="38">
        <v>6</v>
      </c>
      <c r="G327" s="33">
        <v>0.39</v>
      </c>
      <c r="H327" s="218">
        <f t="shared" si="54"/>
        <v>8</v>
      </c>
      <c r="I327" s="38"/>
      <c r="J327" s="33"/>
      <c r="K327" s="33">
        <v>0.45</v>
      </c>
      <c r="L327" s="33"/>
      <c r="M327" s="33">
        <v>0.06</v>
      </c>
      <c r="N327" s="38">
        <f t="shared" si="43"/>
        <v>8</v>
      </c>
      <c r="O327" s="218">
        <f t="shared" si="55"/>
        <v>4</v>
      </c>
      <c r="P327" s="218">
        <f t="shared" si="56"/>
        <v>0</v>
      </c>
      <c r="Q327" s="218">
        <f t="shared" si="57"/>
        <v>4</v>
      </c>
      <c r="R327" s="33" t="str">
        <f>IF(SUM($P327)=0,"",INDEX(Cascade!$BG:$BG,MATCH($E327,Cascade!$E:$E,0)))</f>
        <v/>
      </c>
      <c r="S327" s="218">
        <f t="shared" si="58"/>
        <v>4</v>
      </c>
      <c r="T327" s="218" t="str">
        <f t="shared" si="59"/>
        <v/>
      </c>
      <c r="U327" s="38">
        <f>IFERROR(1/(1/INDEX(Cascade!$BH:$BH,MATCH($E327,Cascade!$E:$E,0))),"")</f>
        <v>3</v>
      </c>
      <c r="V327" s="38" t="str">
        <f t="shared" si="60"/>
        <v/>
      </c>
      <c r="W327" s="38" t="str">
        <f>IFERROR(1/(1/INDEX(PMTCT!$AC:$AC,MATCH($E327,PMTCT!$E:$E,0))),"")</f>
        <v/>
      </c>
      <c r="X327" s="38" t="str">
        <f>IFERROR(1/(1/INDEX(PMTCT!$AS:$AS,MATCH($E327,PMTCT!$E:$E,0))),"")</f>
        <v/>
      </c>
      <c r="Y327" s="38" t="str">
        <f>IFERROR(1/(1/INDEX(VMMC!$AA:$AA,MATCH($E327,VMMC!$E:$E,0))),"")</f>
        <v/>
      </c>
      <c r="Z327" s="38">
        <f t="shared" si="61"/>
        <v>3</v>
      </c>
    </row>
    <row r="328" spans="1:26" x14ac:dyDescent="0.2">
      <c r="A328" t="str">
        <f>INDEX(Prioritization!$D:$D,MATCH($B328,Prioritization!$A:$A,0))</f>
        <v>4 - Sustained</v>
      </c>
      <c r="B328" t="s">
        <v>306</v>
      </c>
      <c r="C328" t="s">
        <v>473</v>
      </c>
      <c r="D328" t="s">
        <v>48</v>
      </c>
      <c r="E328" t="str">
        <f t="shared" si="53"/>
        <v>Salima District [msW2zpIN7up]|01-09|Male</v>
      </c>
      <c r="F328" s="38">
        <v>6</v>
      </c>
      <c r="G328" s="33">
        <v>0.39</v>
      </c>
      <c r="H328" s="218">
        <f t="shared" si="54"/>
        <v>8</v>
      </c>
      <c r="I328" s="38"/>
      <c r="J328" s="33"/>
      <c r="K328" s="33">
        <v>0.45</v>
      </c>
      <c r="L328" s="33"/>
      <c r="M328" s="33">
        <v>0.06</v>
      </c>
      <c r="N328" s="38">
        <f t="shared" ref="N328:N362" si="62">IFERROR(ROUND($H328*0.99,0),"")</f>
        <v>8</v>
      </c>
      <c r="O328" s="218">
        <f t="shared" si="55"/>
        <v>4</v>
      </c>
      <c r="P328" s="218">
        <f t="shared" si="56"/>
        <v>0</v>
      </c>
      <c r="Q328" s="218">
        <f t="shared" si="57"/>
        <v>4</v>
      </c>
      <c r="R328" s="33" t="str">
        <f>IF(SUM($P328)=0,"",INDEX(Cascade!$BG:$BG,MATCH($E328,Cascade!$E:$E,0)))</f>
        <v/>
      </c>
      <c r="S328" s="218">
        <f t="shared" si="58"/>
        <v>4</v>
      </c>
      <c r="T328" s="218" t="str">
        <f t="shared" si="59"/>
        <v/>
      </c>
      <c r="U328" s="38">
        <f>IFERROR(1/(1/INDEX(Cascade!$BH:$BH,MATCH($E328,Cascade!$E:$E,0))),"")</f>
        <v>4</v>
      </c>
      <c r="V328" s="38" t="str">
        <f t="shared" si="60"/>
        <v/>
      </c>
      <c r="W328" s="38" t="str">
        <f>IFERROR(1/(1/INDEX(PMTCT!$AC:$AC,MATCH($E328,PMTCT!$E:$E,0))),"")</f>
        <v/>
      </c>
      <c r="X328" s="38" t="str">
        <f>IFERROR(1/(1/INDEX(PMTCT!$AS:$AS,MATCH($E328,PMTCT!$E:$E,0))),"")</f>
        <v/>
      </c>
      <c r="Y328" s="38" t="str">
        <f>IFERROR(1/(1/INDEX(VMMC!$AA:$AA,MATCH($E328,VMMC!$E:$E,0))),"")</f>
        <v/>
      </c>
      <c r="Z328" s="38">
        <f t="shared" si="61"/>
        <v>4</v>
      </c>
    </row>
    <row r="329" spans="1:26" x14ac:dyDescent="0.2">
      <c r="A329" t="str">
        <f>INDEX(Prioritization!$D:$D,MATCH($B329,Prioritization!$A:$A,0))</f>
        <v>4 - Sustained</v>
      </c>
      <c r="B329" t="s">
        <v>306</v>
      </c>
      <c r="C329" t="s">
        <v>474</v>
      </c>
      <c r="D329" t="s">
        <v>30</v>
      </c>
      <c r="E329" t="str">
        <f t="shared" si="53"/>
        <v>Salima District [msW2zpIN7up]|10-14|Female</v>
      </c>
      <c r="F329" s="38">
        <v>3</v>
      </c>
      <c r="G329" s="33">
        <v>0.39</v>
      </c>
      <c r="H329" s="218">
        <f t="shared" si="54"/>
        <v>4</v>
      </c>
      <c r="I329" s="38"/>
      <c r="J329" s="33"/>
      <c r="K329" s="33">
        <v>0.45</v>
      </c>
      <c r="L329" s="33"/>
      <c r="M329" s="33">
        <v>0.06</v>
      </c>
      <c r="N329" s="38">
        <f t="shared" si="62"/>
        <v>4</v>
      </c>
      <c r="O329" s="218">
        <f t="shared" si="55"/>
        <v>2</v>
      </c>
      <c r="P329" s="218">
        <f t="shared" si="56"/>
        <v>0</v>
      </c>
      <c r="Q329" s="218">
        <f t="shared" si="57"/>
        <v>2</v>
      </c>
      <c r="R329" s="33" t="str">
        <f>IF(SUM($P329)=0,"",INDEX(Cascade!$BG:$BG,MATCH($E329,Cascade!$E:$E,0)))</f>
        <v/>
      </c>
      <c r="S329" s="218">
        <f t="shared" si="58"/>
        <v>2</v>
      </c>
      <c r="T329" s="218" t="str">
        <f t="shared" si="59"/>
        <v/>
      </c>
      <c r="U329" s="38">
        <f>IFERROR(1/(1/INDEX(Cascade!$BH:$BH,MATCH($E329,Cascade!$E:$E,0))),"")</f>
        <v>25</v>
      </c>
      <c r="V329" s="38" t="str">
        <f t="shared" si="60"/>
        <v/>
      </c>
      <c r="W329" s="38">
        <f>IFERROR(1/(1/INDEX(PMTCT!$AC:$AC,MATCH($E329,PMTCT!$E:$E,0))),"")</f>
        <v>1</v>
      </c>
      <c r="X329" s="38" t="str">
        <f>IFERROR(1/(1/INDEX(PMTCT!$AS:$AS,MATCH($E329,PMTCT!$E:$E,0))),"")</f>
        <v/>
      </c>
      <c r="Y329" s="38" t="str">
        <f>IFERROR(1/(1/INDEX(VMMC!$AA:$AA,MATCH($E329,VMMC!$E:$E,0))),"")</f>
        <v/>
      </c>
      <c r="Z329" s="38">
        <f t="shared" si="61"/>
        <v>24</v>
      </c>
    </row>
    <row r="330" spans="1:26" x14ac:dyDescent="0.2">
      <c r="A330" t="str">
        <f>INDEX(Prioritization!$D:$D,MATCH($B330,Prioritization!$A:$A,0))</f>
        <v>4 - Sustained</v>
      </c>
      <c r="B330" t="s">
        <v>306</v>
      </c>
      <c r="C330" t="s">
        <v>474</v>
      </c>
      <c r="D330" t="s">
        <v>48</v>
      </c>
      <c r="E330" t="str">
        <f t="shared" si="53"/>
        <v>Salima District [msW2zpIN7up]|10-14|Male</v>
      </c>
      <c r="F330" s="38">
        <v>3</v>
      </c>
      <c r="G330" s="33">
        <v>0.39</v>
      </c>
      <c r="H330" s="218">
        <f t="shared" si="54"/>
        <v>4</v>
      </c>
      <c r="I330" s="38"/>
      <c r="J330" s="33"/>
      <c r="K330" s="33">
        <v>0.45</v>
      </c>
      <c r="L330" s="33"/>
      <c r="M330" s="33">
        <v>0.06</v>
      </c>
      <c r="N330" s="38">
        <f t="shared" si="62"/>
        <v>4</v>
      </c>
      <c r="O330" s="218">
        <f t="shared" si="55"/>
        <v>2</v>
      </c>
      <c r="P330" s="218">
        <f t="shared" si="56"/>
        <v>0</v>
      </c>
      <c r="Q330" s="218">
        <f t="shared" si="57"/>
        <v>2</v>
      </c>
      <c r="R330" s="33" t="str">
        <f>IF(SUM($P330)=0,"",INDEX(Cascade!$BG:$BG,MATCH($E330,Cascade!$E:$E,0)))</f>
        <v/>
      </c>
      <c r="S330" s="218">
        <f t="shared" si="58"/>
        <v>2</v>
      </c>
      <c r="T330" s="218" t="str">
        <f t="shared" si="59"/>
        <v/>
      </c>
      <c r="U330" s="38">
        <f>IFERROR(1/(1/INDEX(Cascade!$BH:$BH,MATCH($E330,Cascade!$E:$E,0))),"")</f>
        <v>4</v>
      </c>
      <c r="V330" s="38" t="str">
        <f t="shared" si="60"/>
        <v/>
      </c>
      <c r="W330" s="38" t="str">
        <f>IFERROR(1/(1/INDEX(PMTCT!$AC:$AC,MATCH($E330,PMTCT!$E:$E,0))),"")</f>
        <v/>
      </c>
      <c r="X330" s="38" t="str">
        <f>IFERROR(1/(1/INDEX(PMTCT!$AS:$AS,MATCH($E330,PMTCT!$E:$E,0))),"")</f>
        <v/>
      </c>
      <c r="Y330" s="38" t="str">
        <f>IFERROR(1/(1/INDEX(VMMC!$AA:$AA,MATCH($E330,VMMC!$E:$E,0))),"")</f>
        <v/>
      </c>
      <c r="Z330" s="38">
        <f t="shared" si="61"/>
        <v>4</v>
      </c>
    </row>
    <row r="331" spans="1:26" x14ac:dyDescent="0.2">
      <c r="A331" t="str">
        <f>INDEX(Prioritization!$D:$D,MATCH($B331,Prioritization!$A:$A,0))</f>
        <v>4 - Sustained</v>
      </c>
      <c r="B331" t="s">
        <v>306</v>
      </c>
      <c r="C331" t="s">
        <v>475</v>
      </c>
      <c r="D331" t="s">
        <v>30</v>
      </c>
      <c r="E331" t="str">
        <f t="shared" si="53"/>
        <v>Salima District [msW2zpIN7up]|15-24|Female</v>
      </c>
      <c r="F331" s="38">
        <v>23</v>
      </c>
      <c r="G331" s="33">
        <v>0.39</v>
      </c>
      <c r="H331" s="218">
        <f t="shared" si="54"/>
        <v>32</v>
      </c>
      <c r="I331" s="38">
        <v>1</v>
      </c>
      <c r="J331" s="33"/>
      <c r="K331" s="33">
        <v>0.45</v>
      </c>
      <c r="L331" s="33"/>
      <c r="M331" s="33">
        <v>0.06</v>
      </c>
      <c r="N331" s="38">
        <f t="shared" si="62"/>
        <v>32</v>
      </c>
      <c r="O331" s="218">
        <f t="shared" si="55"/>
        <v>14</v>
      </c>
      <c r="P331" s="218">
        <f t="shared" si="56"/>
        <v>1</v>
      </c>
      <c r="Q331" s="218">
        <f t="shared" si="57"/>
        <v>17</v>
      </c>
      <c r="R331" s="33">
        <f>IF(SUM($P331)=0,"",INDEX(Cascade!$BG:$BG,MATCH($E331,Cascade!$E:$E,0)))</f>
        <v>0.95</v>
      </c>
      <c r="S331" s="218">
        <f t="shared" si="58"/>
        <v>14</v>
      </c>
      <c r="T331" s="218">
        <f t="shared" si="59"/>
        <v>1</v>
      </c>
      <c r="U331" s="38">
        <f>IFERROR(1/(1/INDEX(Cascade!$BH:$BH,MATCH($E331,Cascade!$E:$E,0))),"")</f>
        <v>145</v>
      </c>
      <c r="V331" s="38">
        <f t="shared" si="60"/>
        <v>1</v>
      </c>
      <c r="W331" s="38">
        <f>IFERROR(1/(1/INDEX(PMTCT!$AC:$AC,MATCH($E331,PMTCT!$E:$E,0))),"")</f>
        <v>57</v>
      </c>
      <c r="X331" s="38">
        <f>IFERROR(1/(1/INDEX(PMTCT!$AS:$AS,MATCH($E331,PMTCT!$E:$E,0))),"")</f>
        <v>46</v>
      </c>
      <c r="Y331" s="38" t="str">
        <f>IFERROR(1/(1/INDEX(VMMC!$AA:$AA,MATCH($E331,VMMC!$E:$E,0))),"")</f>
        <v/>
      </c>
      <c r="Z331" s="38">
        <f t="shared" si="61"/>
        <v>41</v>
      </c>
    </row>
    <row r="332" spans="1:26" x14ac:dyDescent="0.2">
      <c r="A332" t="str">
        <f>INDEX(Prioritization!$D:$D,MATCH($B332,Prioritization!$A:$A,0))</f>
        <v>4 - Sustained</v>
      </c>
      <c r="B332" t="s">
        <v>306</v>
      </c>
      <c r="C332" t="s">
        <v>475</v>
      </c>
      <c r="D332" t="s">
        <v>48</v>
      </c>
      <c r="E332" t="str">
        <f t="shared" si="53"/>
        <v>Salima District [msW2zpIN7up]|15-24|Male</v>
      </c>
      <c r="F332" s="38">
        <v>34</v>
      </c>
      <c r="G332" s="33">
        <v>0.39</v>
      </c>
      <c r="H332" s="218">
        <f t="shared" si="54"/>
        <v>47</v>
      </c>
      <c r="I332" s="38">
        <v>1</v>
      </c>
      <c r="J332" s="33"/>
      <c r="K332" s="33">
        <v>0.45</v>
      </c>
      <c r="L332" s="33"/>
      <c r="M332" s="33">
        <v>0.06</v>
      </c>
      <c r="N332" s="38">
        <f t="shared" si="62"/>
        <v>47</v>
      </c>
      <c r="O332" s="218">
        <f t="shared" si="55"/>
        <v>21</v>
      </c>
      <c r="P332" s="218">
        <f t="shared" si="56"/>
        <v>2</v>
      </c>
      <c r="Q332" s="218">
        <f t="shared" si="57"/>
        <v>24</v>
      </c>
      <c r="R332" s="33">
        <f>IF(SUM($P332)=0,"",INDEX(Cascade!$BG:$BG,MATCH($E332,Cascade!$E:$E,0)))</f>
        <v>0.95</v>
      </c>
      <c r="S332" s="218">
        <f t="shared" si="58"/>
        <v>21</v>
      </c>
      <c r="T332" s="218">
        <f t="shared" si="59"/>
        <v>2</v>
      </c>
      <c r="U332" s="38">
        <f>IFERROR(1/(1/INDEX(Cascade!$BH:$BH,MATCH($E332,Cascade!$E:$E,0))),"")</f>
        <v>32</v>
      </c>
      <c r="V332" s="38">
        <f t="shared" si="60"/>
        <v>2</v>
      </c>
      <c r="W332" s="38" t="str">
        <f>IFERROR(1/(1/INDEX(PMTCT!$AC:$AC,MATCH($E332,PMTCT!$E:$E,0))),"")</f>
        <v/>
      </c>
      <c r="X332" s="38" t="str">
        <f>IFERROR(1/(1/INDEX(PMTCT!$AS:$AS,MATCH($E332,PMTCT!$E:$E,0))),"")</f>
        <v/>
      </c>
      <c r="Y332" s="38" t="str">
        <f>IFERROR(1/(1/INDEX(VMMC!$AA:$AA,MATCH($E332,VMMC!$E:$E,0))),"")</f>
        <v/>
      </c>
      <c r="Z332" s="38">
        <f t="shared" si="61"/>
        <v>30</v>
      </c>
    </row>
    <row r="333" spans="1:26" x14ac:dyDescent="0.2">
      <c r="A333" t="str">
        <f>INDEX(Prioritization!$D:$D,MATCH($B333,Prioritization!$A:$A,0))</f>
        <v>4 - Sustained</v>
      </c>
      <c r="B333" t="s">
        <v>306</v>
      </c>
      <c r="C333" t="s">
        <v>476</v>
      </c>
      <c r="D333" t="s">
        <v>30</v>
      </c>
      <c r="E333" t="str">
        <f t="shared" si="53"/>
        <v>Salima District [msW2zpIN7up]|25-34|Female</v>
      </c>
      <c r="F333" s="38">
        <v>22</v>
      </c>
      <c r="G333" s="33">
        <v>0.39</v>
      </c>
      <c r="H333" s="218">
        <f t="shared" si="54"/>
        <v>31</v>
      </c>
      <c r="I333" s="38">
        <v>1</v>
      </c>
      <c r="J333" s="33"/>
      <c r="K333" s="33">
        <v>0.45</v>
      </c>
      <c r="L333" s="33"/>
      <c r="M333" s="33">
        <v>0.06</v>
      </c>
      <c r="N333" s="38">
        <f t="shared" si="62"/>
        <v>31</v>
      </c>
      <c r="O333" s="218">
        <f t="shared" si="55"/>
        <v>14</v>
      </c>
      <c r="P333" s="218">
        <f t="shared" si="56"/>
        <v>1</v>
      </c>
      <c r="Q333" s="218">
        <f t="shared" si="57"/>
        <v>16</v>
      </c>
      <c r="R333" s="33">
        <f>IF(SUM($P333)=0,"",INDEX(Cascade!$BG:$BG,MATCH($E333,Cascade!$E:$E,0)))</f>
        <v>0.95</v>
      </c>
      <c r="S333" s="218">
        <f t="shared" si="58"/>
        <v>14</v>
      </c>
      <c r="T333" s="218">
        <f t="shared" si="59"/>
        <v>1</v>
      </c>
      <c r="U333" s="38">
        <f>IFERROR(1/(1/INDEX(Cascade!$BH:$BH,MATCH($E333,Cascade!$E:$E,0))),"")</f>
        <v>389</v>
      </c>
      <c r="V333" s="38">
        <f t="shared" si="60"/>
        <v>1</v>
      </c>
      <c r="W333" s="38">
        <f>IFERROR(1/(1/INDEX(PMTCT!$AC:$AC,MATCH($E333,PMTCT!$E:$E,0))),"")</f>
        <v>69</v>
      </c>
      <c r="X333" s="38">
        <f>IFERROR(1/(1/INDEX(PMTCT!$AS:$AS,MATCH($E333,PMTCT!$E:$E,0))),"")</f>
        <v>26</v>
      </c>
      <c r="Y333" s="38" t="str">
        <f>IFERROR(1/(1/INDEX(VMMC!$AA:$AA,MATCH($E333,VMMC!$E:$E,0))),"")</f>
        <v/>
      </c>
      <c r="Z333" s="38">
        <f t="shared" si="61"/>
        <v>293</v>
      </c>
    </row>
    <row r="334" spans="1:26" x14ac:dyDescent="0.2">
      <c r="A334" t="str">
        <f>INDEX(Prioritization!$D:$D,MATCH($B334,Prioritization!$A:$A,0))</f>
        <v>4 - Sustained</v>
      </c>
      <c r="B334" t="s">
        <v>306</v>
      </c>
      <c r="C334" t="s">
        <v>476</v>
      </c>
      <c r="D334" t="s">
        <v>48</v>
      </c>
      <c r="E334" t="str">
        <f t="shared" si="53"/>
        <v>Salima District [msW2zpIN7up]|25-34|Male</v>
      </c>
      <c r="F334" s="38">
        <v>34</v>
      </c>
      <c r="G334" s="33">
        <v>0.39</v>
      </c>
      <c r="H334" s="218">
        <f t="shared" si="54"/>
        <v>47</v>
      </c>
      <c r="I334" s="38">
        <v>1</v>
      </c>
      <c r="J334" s="33"/>
      <c r="K334" s="33">
        <v>0.45</v>
      </c>
      <c r="L334" s="33"/>
      <c r="M334" s="33">
        <v>0.06</v>
      </c>
      <c r="N334" s="38">
        <f t="shared" si="62"/>
        <v>47</v>
      </c>
      <c r="O334" s="218">
        <f t="shared" si="55"/>
        <v>21</v>
      </c>
      <c r="P334" s="218">
        <f t="shared" si="56"/>
        <v>2</v>
      </c>
      <c r="Q334" s="218">
        <f t="shared" si="57"/>
        <v>24</v>
      </c>
      <c r="R334" s="33">
        <f>IF(SUM($P334)=0,"",INDEX(Cascade!$BG:$BG,MATCH($E334,Cascade!$E:$E,0)))</f>
        <v>0.95</v>
      </c>
      <c r="S334" s="218">
        <f t="shared" si="58"/>
        <v>21</v>
      </c>
      <c r="T334" s="218">
        <f t="shared" si="59"/>
        <v>2</v>
      </c>
      <c r="U334" s="38">
        <f>IFERROR(1/(1/INDEX(Cascade!$BH:$BH,MATCH($E334,Cascade!$E:$E,0))),"")</f>
        <v>13</v>
      </c>
      <c r="V334" s="38">
        <f t="shared" si="60"/>
        <v>2</v>
      </c>
      <c r="W334" s="38" t="str">
        <f>IFERROR(1/(1/INDEX(PMTCT!$AC:$AC,MATCH($E334,PMTCT!$E:$E,0))),"")</f>
        <v/>
      </c>
      <c r="X334" s="38" t="str">
        <f>IFERROR(1/(1/INDEX(PMTCT!$AS:$AS,MATCH($E334,PMTCT!$E:$E,0))),"")</f>
        <v/>
      </c>
      <c r="Y334" s="38" t="str">
        <f>IFERROR(1/(1/INDEX(VMMC!$AA:$AA,MATCH($E334,VMMC!$E:$E,0))),"")</f>
        <v/>
      </c>
      <c r="Z334" s="38">
        <f t="shared" si="61"/>
        <v>11</v>
      </c>
    </row>
    <row r="335" spans="1:26" x14ac:dyDescent="0.2">
      <c r="A335" t="str">
        <f>INDEX(Prioritization!$D:$D,MATCH($B335,Prioritization!$A:$A,0))</f>
        <v>4 - Sustained</v>
      </c>
      <c r="B335" t="s">
        <v>306</v>
      </c>
      <c r="C335" t="s">
        <v>477</v>
      </c>
      <c r="D335" t="s">
        <v>30</v>
      </c>
      <c r="E335" t="str">
        <f t="shared" si="53"/>
        <v>Salima District [msW2zpIN7up]|35-49|Female</v>
      </c>
      <c r="F335" s="38">
        <v>33</v>
      </c>
      <c r="G335" s="33">
        <v>0.39</v>
      </c>
      <c r="H335" s="218">
        <f t="shared" si="54"/>
        <v>46</v>
      </c>
      <c r="I335" s="38">
        <v>1</v>
      </c>
      <c r="J335" s="33"/>
      <c r="K335" s="33">
        <v>0.45</v>
      </c>
      <c r="L335" s="33"/>
      <c r="M335" s="33">
        <v>0.06</v>
      </c>
      <c r="N335" s="38">
        <f t="shared" si="62"/>
        <v>46</v>
      </c>
      <c r="O335" s="218">
        <f t="shared" si="55"/>
        <v>21</v>
      </c>
      <c r="P335" s="218">
        <f t="shared" si="56"/>
        <v>2</v>
      </c>
      <c r="Q335" s="218">
        <f t="shared" si="57"/>
        <v>23</v>
      </c>
      <c r="R335" s="33">
        <f>IF(SUM($P335)=0,"",INDEX(Cascade!$BG:$BG,MATCH($E335,Cascade!$E:$E,0)))</f>
        <v>0.95</v>
      </c>
      <c r="S335" s="218">
        <f t="shared" si="58"/>
        <v>21</v>
      </c>
      <c r="T335" s="218">
        <f t="shared" si="59"/>
        <v>2</v>
      </c>
      <c r="U335" s="38">
        <f>IFERROR(1/(1/INDEX(Cascade!$BH:$BH,MATCH($E335,Cascade!$E:$E,0))),"")</f>
        <v>168</v>
      </c>
      <c r="V335" s="38">
        <f t="shared" si="60"/>
        <v>2</v>
      </c>
      <c r="W335" s="38">
        <f>IFERROR(1/(1/INDEX(PMTCT!$AC:$AC,MATCH($E335,PMTCT!$E:$E,0))),"")</f>
        <v>13</v>
      </c>
      <c r="X335" s="38">
        <f>IFERROR(1/(1/INDEX(PMTCT!$AS:$AS,MATCH($E335,PMTCT!$E:$E,0))),"")</f>
        <v>7</v>
      </c>
      <c r="Y335" s="38" t="str">
        <f>IFERROR(1/(1/INDEX(VMMC!$AA:$AA,MATCH($E335,VMMC!$E:$E,0))),"")</f>
        <v/>
      </c>
      <c r="Z335" s="38">
        <f t="shared" si="61"/>
        <v>146</v>
      </c>
    </row>
    <row r="336" spans="1:26" x14ac:dyDescent="0.2">
      <c r="A336" t="str">
        <f>INDEX(Prioritization!$D:$D,MATCH($B336,Prioritization!$A:$A,0))</f>
        <v>4 - Sustained</v>
      </c>
      <c r="B336" t="s">
        <v>306</v>
      </c>
      <c r="C336" t="s">
        <v>477</v>
      </c>
      <c r="D336" t="s">
        <v>48</v>
      </c>
      <c r="E336" t="str">
        <f t="shared" si="53"/>
        <v>Salima District [msW2zpIN7up]|35-49|Male</v>
      </c>
      <c r="F336" s="38">
        <v>51</v>
      </c>
      <c r="G336" s="33">
        <v>0.39</v>
      </c>
      <c r="H336" s="218">
        <f t="shared" si="54"/>
        <v>71</v>
      </c>
      <c r="I336" s="38">
        <v>1</v>
      </c>
      <c r="J336" s="33"/>
      <c r="K336" s="33">
        <v>0.45</v>
      </c>
      <c r="L336" s="33"/>
      <c r="M336" s="33">
        <v>0.06</v>
      </c>
      <c r="N336" s="38">
        <f t="shared" si="62"/>
        <v>70</v>
      </c>
      <c r="O336" s="218">
        <f t="shared" si="55"/>
        <v>32</v>
      </c>
      <c r="P336" s="218">
        <f t="shared" si="56"/>
        <v>2</v>
      </c>
      <c r="Q336" s="218">
        <f t="shared" si="57"/>
        <v>36</v>
      </c>
      <c r="R336" s="33">
        <f>IF(SUM($P336)=0,"",INDEX(Cascade!$BG:$BG,MATCH($E336,Cascade!$E:$E,0)))</f>
        <v>0.95</v>
      </c>
      <c r="S336" s="218">
        <f t="shared" si="58"/>
        <v>32</v>
      </c>
      <c r="T336" s="218">
        <f t="shared" si="59"/>
        <v>2</v>
      </c>
      <c r="U336" s="38">
        <f>IFERROR(1/(1/INDEX(Cascade!$BH:$BH,MATCH($E336,Cascade!$E:$E,0))),"")</f>
        <v>54</v>
      </c>
      <c r="V336" s="38">
        <f t="shared" si="60"/>
        <v>2</v>
      </c>
      <c r="W336" s="38" t="str">
        <f>IFERROR(1/(1/INDEX(PMTCT!$AC:$AC,MATCH($E336,PMTCT!$E:$E,0))),"")</f>
        <v/>
      </c>
      <c r="X336" s="38" t="str">
        <f>IFERROR(1/(1/INDEX(PMTCT!$AS:$AS,MATCH($E336,PMTCT!$E:$E,0))),"")</f>
        <v/>
      </c>
      <c r="Y336" s="38" t="str">
        <f>IFERROR(1/(1/INDEX(VMMC!$AA:$AA,MATCH($E336,VMMC!$E:$E,0))),"")</f>
        <v/>
      </c>
      <c r="Z336" s="38">
        <f t="shared" si="61"/>
        <v>52</v>
      </c>
    </row>
    <row r="337" spans="1:26" x14ac:dyDescent="0.2">
      <c r="A337" t="str">
        <f>INDEX(Prioritization!$D:$D,MATCH($B337,Prioritization!$A:$A,0))</f>
        <v>4 - Sustained</v>
      </c>
      <c r="B337" t="s">
        <v>306</v>
      </c>
      <c r="C337" t="s">
        <v>478</v>
      </c>
      <c r="D337" t="s">
        <v>30</v>
      </c>
      <c r="E337" t="str">
        <f t="shared" si="53"/>
        <v>Salima District [msW2zpIN7up]|50+|Female</v>
      </c>
      <c r="F337" s="38">
        <v>11</v>
      </c>
      <c r="G337" s="33">
        <v>0.39</v>
      </c>
      <c r="H337" s="218">
        <f t="shared" si="54"/>
        <v>15</v>
      </c>
      <c r="I337" s="38"/>
      <c r="J337" s="33"/>
      <c r="K337" s="33">
        <v>0.45</v>
      </c>
      <c r="L337" s="33"/>
      <c r="M337" s="33">
        <v>0.06</v>
      </c>
      <c r="N337" s="38">
        <f t="shared" si="62"/>
        <v>15</v>
      </c>
      <c r="O337" s="218">
        <f t="shared" si="55"/>
        <v>7</v>
      </c>
      <c r="P337" s="218">
        <f t="shared" si="56"/>
        <v>0</v>
      </c>
      <c r="Q337" s="218">
        <f t="shared" si="57"/>
        <v>8</v>
      </c>
      <c r="R337" s="33" t="str">
        <f>IF(SUM($P337)=0,"",INDEX(Cascade!$BG:$BG,MATCH($E337,Cascade!$E:$E,0)))</f>
        <v/>
      </c>
      <c r="S337" s="218">
        <f t="shared" si="58"/>
        <v>7</v>
      </c>
      <c r="T337" s="218" t="str">
        <f t="shared" si="59"/>
        <v/>
      </c>
      <c r="U337" s="38">
        <f>IFERROR(1/(1/INDEX(Cascade!$BH:$BH,MATCH($E337,Cascade!$E:$E,0))),"")</f>
        <v>141</v>
      </c>
      <c r="V337" s="38" t="str">
        <f t="shared" si="60"/>
        <v/>
      </c>
      <c r="W337" s="38" t="str">
        <f>IFERROR(1/(1/INDEX(PMTCT!$AC:$AC,MATCH($E337,PMTCT!$E:$E,0))),"")</f>
        <v/>
      </c>
      <c r="X337" s="38" t="str">
        <f>IFERROR(1/(1/INDEX(PMTCT!$AS:$AS,MATCH($E337,PMTCT!$E:$E,0))),"")</f>
        <v/>
      </c>
      <c r="Y337" s="38" t="str">
        <f>IFERROR(1/(1/INDEX(VMMC!$AA:$AA,MATCH($E337,VMMC!$E:$E,0))),"")</f>
        <v/>
      </c>
      <c r="Z337" s="38">
        <f t="shared" si="61"/>
        <v>141</v>
      </c>
    </row>
    <row r="338" spans="1:26" x14ac:dyDescent="0.2">
      <c r="A338" t="str">
        <f>INDEX(Prioritization!$D:$D,MATCH($B338,Prioritization!$A:$A,0))</f>
        <v>4 - Sustained</v>
      </c>
      <c r="B338" t="s">
        <v>306</v>
      </c>
      <c r="C338" t="s">
        <v>478</v>
      </c>
      <c r="D338" t="s">
        <v>48</v>
      </c>
      <c r="E338" t="str">
        <f t="shared" si="53"/>
        <v>Salima District [msW2zpIN7up]|50+|Male</v>
      </c>
      <c r="F338" s="38">
        <v>18</v>
      </c>
      <c r="G338" s="33">
        <v>0.39</v>
      </c>
      <c r="H338" s="218">
        <f t="shared" si="54"/>
        <v>25</v>
      </c>
      <c r="I338" s="38">
        <v>1</v>
      </c>
      <c r="J338" s="33"/>
      <c r="K338" s="33">
        <v>0.45</v>
      </c>
      <c r="L338" s="33"/>
      <c r="M338" s="33">
        <v>0.06</v>
      </c>
      <c r="N338" s="38">
        <f t="shared" si="62"/>
        <v>25</v>
      </c>
      <c r="O338" s="218">
        <f t="shared" si="55"/>
        <v>11</v>
      </c>
      <c r="P338" s="218">
        <f t="shared" si="56"/>
        <v>1</v>
      </c>
      <c r="Q338" s="218">
        <f t="shared" si="57"/>
        <v>13</v>
      </c>
      <c r="R338" s="33">
        <f>IF(SUM($P338)=0,"",INDEX(Cascade!$BG:$BG,MATCH($E338,Cascade!$E:$E,0)))</f>
        <v>0.95</v>
      </c>
      <c r="S338" s="218">
        <f t="shared" si="58"/>
        <v>11</v>
      </c>
      <c r="T338" s="218">
        <f t="shared" si="59"/>
        <v>1</v>
      </c>
      <c r="U338" s="38">
        <f>IFERROR(1/(1/INDEX(Cascade!$BH:$BH,MATCH($E338,Cascade!$E:$E,0))),"")</f>
        <v>78</v>
      </c>
      <c r="V338" s="38">
        <f t="shared" si="60"/>
        <v>1</v>
      </c>
      <c r="W338" s="38" t="str">
        <f>IFERROR(1/(1/INDEX(PMTCT!$AC:$AC,MATCH($E338,PMTCT!$E:$E,0))),"")</f>
        <v/>
      </c>
      <c r="X338" s="38" t="str">
        <f>IFERROR(1/(1/INDEX(PMTCT!$AS:$AS,MATCH($E338,PMTCT!$E:$E,0))),"")</f>
        <v/>
      </c>
      <c r="Y338" s="38" t="str">
        <f>IFERROR(1/(1/INDEX(VMMC!$AA:$AA,MATCH($E338,VMMC!$E:$E,0))),"")</f>
        <v/>
      </c>
      <c r="Z338" s="38">
        <f t="shared" si="61"/>
        <v>77</v>
      </c>
    </row>
    <row r="339" spans="1:26" x14ac:dyDescent="0.2">
      <c r="A339" t="str">
        <f>INDEX(Prioritization!$D:$D,MATCH($B339,Prioritization!$A:$A,0))</f>
        <v>INVALID</v>
      </c>
      <c r="B339" t="s">
        <v>324</v>
      </c>
      <c r="C339" t="s">
        <v>473</v>
      </c>
      <c r="D339" t="s">
        <v>30</v>
      </c>
      <c r="E339" t="str">
        <f t="shared" si="53"/>
        <v>Thyolo District [ul0y9diGujK]|01-09|Female</v>
      </c>
      <c r="F339" s="38">
        <v>12</v>
      </c>
      <c r="G339" s="33">
        <v>0.39</v>
      </c>
      <c r="H339" s="218">
        <f t="shared" si="54"/>
        <v>17</v>
      </c>
      <c r="I339" s="38"/>
      <c r="J339" s="33">
        <v>1</v>
      </c>
      <c r="K339" s="33">
        <v>0.45</v>
      </c>
      <c r="L339" s="33"/>
      <c r="M339" s="33">
        <v>0.06</v>
      </c>
      <c r="N339" s="38">
        <f t="shared" si="62"/>
        <v>17</v>
      </c>
      <c r="O339" s="218">
        <f t="shared" si="55"/>
        <v>8</v>
      </c>
      <c r="P339" s="218">
        <f t="shared" si="56"/>
        <v>1</v>
      </c>
      <c r="Q339" s="218">
        <f t="shared" si="57"/>
        <v>8</v>
      </c>
      <c r="R339" s="33">
        <f>IF(SUM($P339)=0,"",INDEX(Cascade!$BG:$BG,MATCH($E339,Cascade!$E:$E,0)))</f>
        <v>0.95</v>
      </c>
      <c r="S339" s="218">
        <f t="shared" si="58"/>
        <v>8</v>
      </c>
      <c r="T339" s="218">
        <f t="shared" si="59"/>
        <v>1</v>
      </c>
      <c r="U339" s="38">
        <f>IFERROR(1/(1/INDEX(Cascade!$BH:$BH,MATCH($E339,Cascade!$E:$E,0))),"")</f>
        <v>9</v>
      </c>
      <c r="V339" s="38">
        <f t="shared" si="60"/>
        <v>1</v>
      </c>
      <c r="W339" s="38" t="str">
        <f>IFERROR(1/(1/INDEX(PMTCT!$AC:$AC,MATCH($E339,PMTCT!$E:$E,0))),"")</f>
        <v/>
      </c>
      <c r="X339" s="38" t="str">
        <f>IFERROR(1/(1/INDEX(PMTCT!$AS:$AS,MATCH($E339,PMTCT!$E:$E,0))),"")</f>
        <v/>
      </c>
      <c r="Y339" s="38" t="str">
        <f>IFERROR(1/(1/INDEX(VMMC!$AA:$AA,MATCH($E339,VMMC!$E:$E,0))),"")</f>
        <v/>
      </c>
      <c r="Z339" s="38">
        <f t="shared" si="61"/>
        <v>8</v>
      </c>
    </row>
    <row r="340" spans="1:26" x14ac:dyDescent="0.2">
      <c r="A340" t="str">
        <f>INDEX(Prioritization!$D:$D,MATCH($B340,Prioritization!$A:$A,0))</f>
        <v>INVALID</v>
      </c>
      <c r="B340" t="s">
        <v>324</v>
      </c>
      <c r="C340" t="s">
        <v>473</v>
      </c>
      <c r="D340" t="s">
        <v>48</v>
      </c>
      <c r="E340" t="str">
        <f t="shared" si="53"/>
        <v>Thyolo District [ul0y9diGujK]|01-09|Male</v>
      </c>
      <c r="F340" s="38">
        <v>12</v>
      </c>
      <c r="G340" s="33">
        <v>0.39</v>
      </c>
      <c r="H340" s="218">
        <f t="shared" si="54"/>
        <v>17</v>
      </c>
      <c r="I340" s="38"/>
      <c r="J340" s="33"/>
      <c r="K340" s="33">
        <v>0.45</v>
      </c>
      <c r="L340" s="33"/>
      <c r="M340" s="33">
        <v>0.06</v>
      </c>
      <c r="N340" s="38">
        <f t="shared" si="62"/>
        <v>17</v>
      </c>
      <c r="O340" s="218">
        <f t="shared" si="55"/>
        <v>8</v>
      </c>
      <c r="P340" s="218">
        <f t="shared" si="56"/>
        <v>1</v>
      </c>
      <c r="Q340" s="218">
        <f t="shared" si="57"/>
        <v>8</v>
      </c>
      <c r="R340" s="33">
        <f>IF(SUM($P340)=0,"",INDEX(Cascade!$BG:$BG,MATCH($E340,Cascade!$E:$E,0)))</f>
        <v>0.95</v>
      </c>
      <c r="S340" s="218">
        <f t="shared" si="58"/>
        <v>8</v>
      </c>
      <c r="T340" s="218">
        <f t="shared" si="59"/>
        <v>1</v>
      </c>
      <c r="U340" s="38">
        <f>IFERROR(1/(1/INDEX(Cascade!$BH:$BH,MATCH($E340,Cascade!$E:$E,0))),"")</f>
        <v>9</v>
      </c>
      <c r="V340" s="38">
        <f t="shared" si="60"/>
        <v>1</v>
      </c>
      <c r="W340" s="38" t="str">
        <f>IFERROR(1/(1/INDEX(PMTCT!$AC:$AC,MATCH($E340,PMTCT!$E:$E,0))),"")</f>
        <v/>
      </c>
      <c r="X340" s="38" t="str">
        <f>IFERROR(1/(1/INDEX(PMTCT!$AS:$AS,MATCH($E340,PMTCT!$E:$E,0))),"")</f>
        <v/>
      </c>
      <c r="Y340" s="38" t="str">
        <f>IFERROR(1/(1/INDEX(VMMC!$AA:$AA,MATCH($E340,VMMC!$E:$E,0))),"")</f>
        <v/>
      </c>
      <c r="Z340" s="38">
        <f t="shared" si="61"/>
        <v>8</v>
      </c>
    </row>
    <row r="341" spans="1:26" x14ac:dyDescent="0.2">
      <c r="A341" t="str">
        <f>INDEX(Prioritization!$D:$D,MATCH($B341,Prioritization!$A:$A,0))</f>
        <v>INVALID</v>
      </c>
      <c r="B341" t="s">
        <v>324</v>
      </c>
      <c r="C341" t="s">
        <v>474</v>
      </c>
      <c r="D341" t="s">
        <v>30</v>
      </c>
      <c r="E341" t="str">
        <f t="shared" si="53"/>
        <v>Thyolo District [ul0y9diGujK]|10-14|Female</v>
      </c>
      <c r="F341" s="38">
        <v>6</v>
      </c>
      <c r="G341" s="33">
        <v>0.39</v>
      </c>
      <c r="H341" s="218">
        <f t="shared" si="54"/>
        <v>8</v>
      </c>
      <c r="I341" s="38"/>
      <c r="J341" s="33"/>
      <c r="K341" s="33">
        <v>0.45</v>
      </c>
      <c r="L341" s="33"/>
      <c r="M341" s="33">
        <v>0.06</v>
      </c>
      <c r="N341" s="38">
        <f t="shared" si="62"/>
        <v>8</v>
      </c>
      <c r="O341" s="218">
        <f t="shared" si="55"/>
        <v>4</v>
      </c>
      <c r="P341" s="218">
        <f t="shared" si="56"/>
        <v>0</v>
      </c>
      <c r="Q341" s="218">
        <f t="shared" si="57"/>
        <v>4</v>
      </c>
      <c r="R341" s="33" t="str">
        <f>IF(SUM($P341)=0,"",INDEX(Cascade!$BG:$BG,MATCH($E341,Cascade!$E:$E,0)))</f>
        <v/>
      </c>
      <c r="S341" s="218">
        <f t="shared" si="58"/>
        <v>4</v>
      </c>
      <c r="T341" s="218" t="str">
        <f t="shared" si="59"/>
        <v/>
      </c>
      <c r="U341" s="38">
        <f>IFERROR(1/(1/INDEX(Cascade!$BH:$BH,MATCH($E341,Cascade!$E:$E,0))),"")</f>
        <v>13</v>
      </c>
      <c r="V341" s="38" t="str">
        <f t="shared" si="60"/>
        <v/>
      </c>
      <c r="W341" s="38">
        <f>IFERROR(1/(1/INDEX(PMTCT!$AC:$AC,MATCH($E341,PMTCT!$E:$E,0))),"")</f>
        <v>1</v>
      </c>
      <c r="X341" s="38" t="str">
        <f>IFERROR(1/(1/INDEX(PMTCT!$AS:$AS,MATCH($E341,PMTCT!$E:$E,0))),"")</f>
        <v/>
      </c>
      <c r="Y341" s="38" t="str">
        <f>IFERROR(1/(1/INDEX(VMMC!$AA:$AA,MATCH($E341,VMMC!$E:$E,0))),"")</f>
        <v/>
      </c>
      <c r="Z341" s="38">
        <f t="shared" si="61"/>
        <v>12</v>
      </c>
    </row>
    <row r="342" spans="1:26" x14ac:dyDescent="0.2">
      <c r="A342" t="str">
        <f>INDEX(Prioritization!$D:$D,MATCH($B342,Prioritization!$A:$A,0))</f>
        <v>INVALID</v>
      </c>
      <c r="B342" t="s">
        <v>324</v>
      </c>
      <c r="C342" t="s">
        <v>474</v>
      </c>
      <c r="D342" t="s">
        <v>48</v>
      </c>
      <c r="E342" t="str">
        <f t="shared" si="53"/>
        <v>Thyolo District [ul0y9diGujK]|10-14|Male</v>
      </c>
      <c r="F342" s="38">
        <v>6</v>
      </c>
      <c r="G342" s="33">
        <v>0.39</v>
      </c>
      <c r="H342" s="218">
        <f t="shared" si="54"/>
        <v>8</v>
      </c>
      <c r="I342" s="38"/>
      <c r="J342" s="33">
        <v>0.5</v>
      </c>
      <c r="K342" s="33">
        <v>0.45</v>
      </c>
      <c r="L342" s="33"/>
      <c r="M342" s="33">
        <v>0.06</v>
      </c>
      <c r="N342" s="38">
        <f t="shared" si="62"/>
        <v>8</v>
      </c>
      <c r="O342" s="218">
        <f t="shared" si="55"/>
        <v>4</v>
      </c>
      <c r="P342" s="218">
        <f t="shared" si="56"/>
        <v>0</v>
      </c>
      <c r="Q342" s="218">
        <f t="shared" si="57"/>
        <v>4</v>
      </c>
      <c r="R342" s="33" t="str">
        <f>IF(SUM($P342)=0,"",INDEX(Cascade!$BG:$BG,MATCH($E342,Cascade!$E:$E,0)))</f>
        <v/>
      </c>
      <c r="S342" s="218">
        <f t="shared" si="58"/>
        <v>4</v>
      </c>
      <c r="T342" s="218" t="str">
        <f t="shared" si="59"/>
        <v/>
      </c>
      <c r="U342" s="38">
        <f>IFERROR(1/(1/INDEX(Cascade!$BH:$BH,MATCH($E342,Cascade!$E:$E,0))),"")</f>
        <v>13</v>
      </c>
      <c r="V342" s="38" t="str">
        <f t="shared" si="60"/>
        <v/>
      </c>
      <c r="W342" s="38" t="str">
        <f>IFERROR(1/(1/INDEX(PMTCT!$AC:$AC,MATCH($E342,PMTCT!$E:$E,0))),"")</f>
        <v/>
      </c>
      <c r="X342" s="38" t="str">
        <f>IFERROR(1/(1/INDEX(PMTCT!$AS:$AS,MATCH($E342,PMTCT!$E:$E,0))),"")</f>
        <v/>
      </c>
      <c r="Y342" s="38" t="str">
        <f>IFERROR(1/(1/INDEX(VMMC!$AA:$AA,MATCH($E342,VMMC!$E:$E,0))),"")</f>
        <v/>
      </c>
      <c r="Z342" s="38">
        <f t="shared" si="61"/>
        <v>13</v>
      </c>
    </row>
    <row r="343" spans="1:26" x14ac:dyDescent="0.2">
      <c r="A343" t="str">
        <f>INDEX(Prioritization!$D:$D,MATCH($B343,Prioritization!$A:$A,0))</f>
        <v>INVALID</v>
      </c>
      <c r="B343" t="s">
        <v>324</v>
      </c>
      <c r="C343" t="s">
        <v>475</v>
      </c>
      <c r="D343" t="s">
        <v>30</v>
      </c>
      <c r="E343" t="str">
        <f t="shared" si="53"/>
        <v>Thyolo District [ul0y9diGujK]|15-24|Female</v>
      </c>
      <c r="F343" s="38">
        <v>46</v>
      </c>
      <c r="G343" s="33">
        <v>0.39</v>
      </c>
      <c r="H343" s="218">
        <f t="shared" si="54"/>
        <v>64</v>
      </c>
      <c r="I343" s="38">
        <v>1</v>
      </c>
      <c r="J343" s="33">
        <v>0.4</v>
      </c>
      <c r="K343" s="33">
        <v>0.45</v>
      </c>
      <c r="L343" s="33"/>
      <c r="M343" s="33">
        <v>0.06</v>
      </c>
      <c r="N343" s="38">
        <f t="shared" si="62"/>
        <v>63</v>
      </c>
      <c r="O343" s="218">
        <f t="shared" si="55"/>
        <v>28</v>
      </c>
      <c r="P343" s="218">
        <f t="shared" si="56"/>
        <v>2</v>
      </c>
      <c r="Q343" s="218">
        <f t="shared" si="57"/>
        <v>33</v>
      </c>
      <c r="R343" s="33">
        <f>IF(SUM($P343)=0,"",INDEX(Cascade!$BG:$BG,MATCH($E343,Cascade!$E:$E,0)))</f>
        <v>0.95</v>
      </c>
      <c r="S343" s="218">
        <f t="shared" si="58"/>
        <v>28</v>
      </c>
      <c r="T343" s="218">
        <f t="shared" si="59"/>
        <v>2</v>
      </c>
      <c r="U343" s="38">
        <f>IFERROR(1/(1/INDEX(Cascade!$BH:$BH,MATCH($E343,Cascade!$E:$E,0))),"")</f>
        <v>469</v>
      </c>
      <c r="V343" s="38">
        <f t="shared" si="60"/>
        <v>2</v>
      </c>
      <c r="W343" s="38">
        <f>IFERROR(1/(1/INDEX(PMTCT!$AC:$AC,MATCH($E343,PMTCT!$E:$E,0))),"")</f>
        <v>208</v>
      </c>
      <c r="X343" s="38">
        <f>IFERROR(1/(1/INDEX(PMTCT!$AS:$AS,MATCH($E343,PMTCT!$E:$E,0))),"")</f>
        <v>92</v>
      </c>
      <c r="Y343" s="38" t="str">
        <f>IFERROR(1/(1/INDEX(VMMC!$AA:$AA,MATCH($E343,VMMC!$E:$E,0))),"")</f>
        <v/>
      </c>
      <c r="Z343" s="38">
        <f t="shared" si="61"/>
        <v>167</v>
      </c>
    </row>
    <row r="344" spans="1:26" x14ac:dyDescent="0.2">
      <c r="A344" t="str">
        <f>INDEX(Prioritization!$D:$D,MATCH($B344,Prioritization!$A:$A,0))</f>
        <v>INVALID</v>
      </c>
      <c r="B344" t="s">
        <v>324</v>
      </c>
      <c r="C344" t="s">
        <v>475</v>
      </c>
      <c r="D344" t="s">
        <v>48</v>
      </c>
      <c r="E344" t="str">
        <f t="shared" si="53"/>
        <v>Thyolo District [ul0y9diGujK]|15-24|Male</v>
      </c>
      <c r="F344" s="38">
        <v>72</v>
      </c>
      <c r="G344" s="33">
        <v>0.39</v>
      </c>
      <c r="H344" s="218">
        <f t="shared" si="54"/>
        <v>100</v>
      </c>
      <c r="I344" s="38">
        <v>2</v>
      </c>
      <c r="J344" s="33">
        <v>1</v>
      </c>
      <c r="K344" s="33">
        <v>0.45</v>
      </c>
      <c r="L344" s="33"/>
      <c r="M344" s="33">
        <v>0.06</v>
      </c>
      <c r="N344" s="38">
        <f t="shared" si="62"/>
        <v>99</v>
      </c>
      <c r="O344" s="218">
        <f t="shared" si="55"/>
        <v>45</v>
      </c>
      <c r="P344" s="218">
        <f t="shared" si="56"/>
        <v>3</v>
      </c>
      <c r="Q344" s="218">
        <f t="shared" si="57"/>
        <v>51</v>
      </c>
      <c r="R344" s="33">
        <f>IF(SUM($P344)=0,"",INDEX(Cascade!$BG:$BG,MATCH($E344,Cascade!$E:$E,0)))</f>
        <v>0.95</v>
      </c>
      <c r="S344" s="218">
        <f t="shared" si="58"/>
        <v>45</v>
      </c>
      <c r="T344" s="218">
        <f t="shared" si="59"/>
        <v>3</v>
      </c>
      <c r="U344" s="38">
        <f>IFERROR(1/(1/INDEX(Cascade!$BH:$BH,MATCH($E344,Cascade!$E:$E,0))),"")</f>
        <v>35</v>
      </c>
      <c r="V344" s="38">
        <f t="shared" si="60"/>
        <v>3</v>
      </c>
      <c r="W344" s="38" t="str">
        <f>IFERROR(1/(1/INDEX(PMTCT!$AC:$AC,MATCH($E344,PMTCT!$E:$E,0))),"")</f>
        <v/>
      </c>
      <c r="X344" s="38" t="str">
        <f>IFERROR(1/(1/INDEX(PMTCT!$AS:$AS,MATCH($E344,PMTCT!$E:$E,0))),"")</f>
        <v/>
      </c>
      <c r="Y344" s="38" t="str">
        <f>IFERROR(1/(1/INDEX(VMMC!$AA:$AA,MATCH($E344,VMMC!$E:$E,0))),"")</f>
        <v/>
      </c>
      <c r="Z344" s="38">
        <f t="shared" si="61"/>
        <v>32</v>
      </c>
    </row>
    <row r="345" spans="1:26" x14ac:dyDescent="0.2">
      <c r="A345" t="str">
        <f>INDEX(Prioritization!$D:$D,MATCH($B345,Prioritization!$A:$A,0))</f>
        <v>INVALID</v>
      </c>
      <c r="B345" t="s">
        <v>324</v>
      </c>
      <c r="C345" t="s">
        <v>476</v>
      </c>
      <c r="D345" t="s">
        <v>30</v>
      </c>
      <c r="E345" t="str">
        <f t="shared" si="53"/>
        <v>Thyolo District [ul0y9diGujK]|25-34|Female</v>
      </c>
      <c r="F345" s="38">
        <v>46</v>
      </c>
      <c r="G345" s="33">
        <v>0.39</v>
      </c>
      <c r="H345" s="218">
        <f t="shared" si="54"/>
        <v>64</v>
      </c>
      <c r="I345" s="38">
        <v>1</v>
      </c>
      <c r="J345" s="33">
        <v>1</v>
      </c>
      <c r="K345" s="33">
        <v>0.45</v>
      </c>
      <c r="L345" s="33"/>
      <c r="M345" s="33">
        <v>0.06</v>
      </c>
      <c r="N345" s="38">
        <f t="shared" si="62"/>
        <v>63</v>
      </c>
      <c r="O345" s="218">
        <f t="shared" si="55"/>
        <v>28</v>
      </c>
      <c r="P345" s="218">
        <f t="shared" si="56"/>
        <v>2</v>
      </c>
      <c r="Q345" s="218">
        <f t="shared" si="57"/>
        <v>33</v>
      </c>
      <c r="R345" s="33">
        <f>IF(SUM($P345)=0,"",INDEX(Cascade!$BG:$BG,MATCH($E345,Cascade!$E:$E,0)))</f>
        <v>0.95</v>
      </c>
      <c r="S345" s="218">
        <f t="shared" si="58"/>
        <v>28</v>
      </c>
      <c r="T345" s="218">
        <f t="shared" si="59"/>
        <v>2</v>
      </c>
      <c r="U345" s="38">
        <f>IFERROR(1/(1/INDEX(Cascade!$BH:$BH,MATCH($E345,Cascade!$E:$E,0))),"")</f>
        <v>920</v>
      </c>
      <c r="V345" s="38">
        <f t="shared" si="60"/>
        <v>2</v>
      </c>
      <c r="W345" s="38">
        <f>IFERROR(1/(1/INDEX(PMTCT!$AC:$AC,MATCH($E345,PMTCT!$E:$E,0))),"")</f>
        <v>244.99999999999997</v>
      </c>
      <c r="X345" s="38">
        <f>IFERROR(1/(1/INDEX(PMTCT!$AS:$AS,MATCH($E345,PMTCT!$E:$E,0))),"")</f>
        <v>92.999999999999986</v>
      </c>
      <c r="Y345" s="38" t="str">
        <f>IFERROR(1/(1/INDEX(VMMC!$AA:$AA,MATCH($E345,VMMC!$E:$E,0))),"")</f>
        <v/>
      </c>
      <c r="Z345" s="38">
        <f t="shared" si="61"/>
        <v>580</v>
      </c>
    </row>
    <row r="346" spans="1:26" x14ac:dyDescent="0.2">
      <c r="A346" t="str">
        <f>INDEX(Prioritization!$D:$D,MATCH($B346,Prioritization!$A:$A,0))</f>
        <v>INVALID</v>
      </c>
      <c r="B346" t="s">
        <v>324</v>
      </c>
      <c r="C346" t="s">
        <v>476</v>
      </c>
      <c r="D346" t="s">
        <v>48</v>
      </c>
      <c r="E346" t="str">
        <f t="shared" si="53"/>
        <v>Thyolo District [ul0y9diGujK]|25-34|Male</v>
      </c>
      <c r="F346" s="38">
        <v>72</v>
      </c>
      <c r="G346" s="33">
        <v>0.39</v>
      </c>
      <c r="H346" s="218">
        <f t="shared" si="54"/>
        <v>100</v>
      </c>
      <c r="I346" s="38">
        <v>2</v>
      </c>
      <c r="J346" s="33">
        <v>0.6</v>
      </c>
      <c r="K346" s="33">
        <v>0.45</v>
      </c>
      <c r="L346" s="33"/>
      <c r="M346" s="33">
        <v>0.06</v>
      </c>
      <c r="N346" s="38">
        <f t="shared" si="62"/>
        <v>99</v>
      </c>
      <c r="O346" s="218">
        <f t="shared" si="55"/>
        <v>45</v>
      </c>
      <c r="P346" s="218">
        <f t="shared" si="56"/>
        <v>3</v>
      </c>
      <c r="Q346" s="218">
        <f t="shared" si="57"/>
        <v>51</v>
      </c>
      <c r="R346" s="33">
        <f>IF(SUM($P346)=0,"",INDEX(Cascade!$BG:$BG,MATCH($E346,Cascade!$E:$E,0)))</f>
        <v>0.95</v>
      </c>
      <c r="S346" s="218">
        <f t="shared" si="58"/>
        <v>45</v>
      </c>
      <c r="T346" s="218">
        <f t="shared" si="59"/>
        <v>3</v>
      </c>
      <c r="U346" s="38">
        <f>IFERROR(1/(1/INDEX(Cascade!$BH:$BH,MATCH($E346,Cascade!$E:$E,0))),"")</f>
        <v>41</v>
      </c>
      <c r="V346" s="38">
        <f t="shared" si="60"/>
        <v>3</v>
      </c>
      <c r="W346" s="38" t="str">
        <f>IFERROR(1/(1/INDEX(PMTCT!$AC:$AC,MATCH($E346,PMTCT!$E:$E,0))),"")</f>
        <v/>
      </c>
      <c r="X346" s="38" t="str">
        <f>IFERROR(1/(1/INDEX(PMTCT!$AS:$AS,MATCH($E346,PMTCT!$E:$E,0))),"")</f>
        <v/>
      </c>
      <c r="Y346" s="38" t="str">
        <f>IFERROR(1/(1/INDEX(VMMC!$AA:$AA,MATCH($E346,VMMC!$E:$E,0))),"")</f>
        <v/>
      </c>
      <c r="Z346" s="38">
        <f t="shared" si="61"/>
        <v>38</v>
      </c>
    </row>
    <row r="347" spans="1:26" x14ac:dyDescent="0.2">
      <c r="A347" t="str">
        <f>INDEX(Prioritization!$D:$D,MATCH($B347,Prioritization!$A:$A,0))</f>
        <v>INVALID</v>
      </c>
      <c r="B347" t="s">
        <v>324</v>
      </c>
      <c r="C347" t="s">
        <v>477</v>
      </c>
      <c r="D347" t="s">
        <v>30</v>
      </c>
      <c r="E347" t="str">
        <f t="shared" si="53"/>
        <v>Thyolo District [ul0y9diGujK]|35-49|Female</v>
      </c>
      <c r="F347" s="38">
        <v>69</v>
      </c>
      <c r="G347" s="33">
        <v>0.39</v>
      </c>
      <c r="H347" s="218">
        <f t="shared" si="54"/>
        <v>96</v>
      </c>
      <c r="I347" s="38">
        <v>2</v>
      </c>
      <c r="J347" s="33">
        <v>0.61538461538461497</v>
      </c>
      <c r="K347" s="33">
        <v>0.45</v>
      </c>
      <c r="L347" s="33"/>
      <c r="M347" s="33">
        <v>0.06</v>
      </c>
      <c r="N347" s="38">
        <f t="shared" si="62"/>
        <v>95</v>
      </c>
      <c r="O347" s="218">
        <f t="shared" si="55"/>
        <v>43</v>
      </c>
      <c r="P347" s="218">
        <f t="shared" si="56"/>
        <v>3</v>
      </c>
      <c r="Q347" s="218">
        <f t="shared" si="57"/>
        <v>49</v>
      </c>
      <c r="R347" s="33">
        <f>IF(SUM($P347)=0,"",INDEX(Cascade!$BG:$BG,MATCH($E347,Cascade!$E:$E,0)))</f>
        <v>0.95</v>
      </c>
      <c r="S347" s="218">
        <f t="shared" si="58"/>
        <v>43</v>
      </c>
      <c r="T347" s="218">
        <f t="shared" si="59"/>
        <v>3</v>
      </c>
      <c r="U347" s="38">
        <f>IFERROR(1/(1/INDEX(Cascade!$BH:$BH,MATCH($E347,Cascade!$E:$E,0))),"")</f>
        <v>314</v>
      </c>
      <c r="V347" s="38">
        <f t="shared" si="60"/>
        <v>3</v>
      </c>
      <c r="W347" s="38">
        <f>IFERROR(1/(1/INDEX(PMTCT!$AC:$AC,MATCH($E347,PMTCT!$E:$E,0))),"")</f>
        <v>13</v>
      </c>
      <c r="X347" s="38">
        <f>IFERROR(1/(1/INDEX(PMTCT!$AS:$AS,MATCH($E347,PMTCT!$E:$E,0))),"")</f>
        <v>7</v>
      </c>
      <c r="Y347" s="38" t="str">
        <f>IFERROR(1/(1/INDEX(VMMC!$AA:$AA,MATCH($E347,VMMC!$E:$E,0))),"")</f>
        <v/>
      </c>
      <c r="Z347" s="38">
        <f t="shared" si="61"/>
        <v>291</v>
      </c>
    </row>
    <row r="348" spans="1:26" x14ac:dyDescent="0.2">
      <c r="A348" t="str">
        <f>INDEX(Prioritization!$D:$D,MATCH($B348,Prioritization!$A:$A,0))</f>
        <v>INVALID</v>
      </c>
      <c r="B348" t="s">
        <v>324</v>
      </c>
      <c r="C348" t="s">
        <v>477</v>
      </c>
      <c r="D348" t="s">
        <v>48</v>
      </c>
      <c r="E348" t="str">
        <f t="shared" si="53"/>
        <v>Thyolo District [ul0y9diGujK]|35-49|Male</v>
      </c>
      <c r="F348" s="38">
        <v>108</v>
      </c>
      <c r="G348" s="33">
        <v>0.39</v>
      </c>
      <c r="H348" s="218">
        <f t="shared" si="54"/>
        <v>150</v>
      </c>
      <c r="I348" s="38">
        <v>3</v>
      </c>
      <c r="J348" s="33">
        <v>0.92307692307692302</v>
      </c>
      <c r="K348" s="33">
        <v>0.45</v>
      </c>
      <c r="L348" s="33"/>
      <c r="M348" s="33">
        <v>0.06</v>
      </c>
      <c r="N348" s="38">
        <f t="shared" si="62"/>
        <v>149</v>
      </c>
      <c r="O348" s="218">
        <f t="shared" si="55"/>
        <v>67</v>
      </c>
      <c r="P348" s="218">
        <f t="shared" si="56"/>
        <v>5</v>
      </c>
      <c r="Q348" s="218">
        <f t="shared" si="57"/>
        <v>77</v>
      </c>
      <c r="R348" s="33">
        <f>IF(SUM($P348)=0,"",INDEX(Cascade!$BG:$BG,MATCH($E348,Cascade!$E:$E,0)))</f>
        <v>0.95</v>
      </c>
      <c r="S348" s="218">
        <f t="shared" si="58"/>
        <v>67</v>
      </c>
      <c r="T348" s="218">
        <f t="shared" si="59"/>
        <v>5</v>
      </c>
      <c r="U348" s="38">
        <f>IFERROR(1/(1/INDEX(Cascade!$BH:$BH,MATCH($E348,Cascade!$E:$E,0))),"")</f>
        <v>180</v>
      </c>
      <c r="V348" s="38">
        <f t="shared" si="60"/>
        <v>5</v>
      </c>
      <c r="W348" s="38" t="str">
        <f>IFERROR(1/(1/INDEX(PMTCT!$AC:$AC,MATCH($E348,PMTCT!$E:$E,0))),"")</f>
        <v/>
      </c>
      <c r="X348" s="38" t="str">
        <f>IFERROR(1/(1/INDEX(PMTCT!$AS:$AS,MATCH($E348,PMTCT!$E:$E,0))),"")</f>
        <v/>
      </c>
      <c r="Y348" s="38" t="str">
        <f>IFERROR(1/(1/INDEX(VMMC!$AA:$AA,MATCH($E348,VMMC!$E:$E,0))),"")</f>
        <v/>
      </c>
      <c r="Z348" s="38">
        <f t="shared" si="61"/>
        <v>175</v>
      </c>
    </row>
    <row r="349" spans="1:26" x14ac:dyDescent="0.2">
      <c r="A349" t="str">
        <f>INDEX(Prioritization!$D:$D,MATCH($B349,Prioritization!$A:$A,0))</f>
        <v>INVALID</v>
      </c>
      <c r="B349" t="s">
        <v>324</v>
      </c>
      <c r="C349" t="s">
        <v>478</v>
      </c>
      <c r="D349" t="s">
        <v>30</v>
      </c>
      <c r="E349" t="str">
        <f t="shared" si="53"/>
        <v>Thyolo District [ul0y9diGujK]|50+|Female</v>
      </c>
      <c r="F349" s="38">
        <v>23</v>
      </c>
      <c r="G349" s="33">
        <v>0.39</v>
      </c>
      <c r="H349" s="218">
        <f t="shared" si="54"/>
        <v>32</v>
      </c>
      <c r="I349" s="38">
        <v>1</v>
      </c>
      <c r="J349" s="33">
        <v>0.57894736842105299</v>
      </c>
      <c r="K349" s="33">
        <v>0.45</v>
      </c>
      <c r="L349" s="33">
        <v>0.125</v>
      </c>
      <c r="M349" s="33">
        <v>0.06</v>
      </c>
      <c r="N349" s="38">
        <f t="shared" si="62"/>
        <v>32</v>
      </c>
      <c r="O349" s="218">
        <f t="shared" si="55"/>
        <v>14</v>
      </c>
      <c r="P349" s="218">
        <f t="shared" si="56"/>
        <v>1</v>
      </c>
      <c r="Q349" s="218">
        <f t="shared" si="57"/>
        <v>17</v>
      </c>
      <c r="R349" s="33">
        <f>IF(SUM($P349)=0,"",INDEX(Cascade!$BG:$BG,MATCH($E349,Cascade!$E:$E,0)))</f>
        <v>0.95</v>
      </c>
      <c r="S349" s="218">
        <f t="shared" si="58"/>
        <v>14</v>
      </c>
      <c r="T349" s="218">
        <f t="shared" si="59"/>
        <v>1</v>
      </c>
      <c r="U349" s="38">
        <f>IFERROR(1/(1/INDEX(Cascade!$BH:$BH,MATCH($E349,Cascade!$E:$E,0))),"")</f>
        <v>377</v>
      </c>
      <c r="V349" s="38">
        <f t="shared" si="60"/>
        <v>1</v>
      </c>
      <c r="W349" s="38" t="str">
        <f>IFERROR(1/(1/INDEX(PMTCT!$AC:$AC,MATCH($E349,PMTCT!$E:$E,0))),"")</f>
        <v/>
      </c>
      <c r="X349" s="38" t="str">
        <f>IFERROR(1/(1/INDEX(PMTCT!$AS:$AS,MATCH($E349,PMTCT!$E:$E,0))),"")</f>
        <v/>
      </c>
      <c r="Y349" s="38" t="str">
        <f>IFERROR(1/(1/INDEX(VMMC!$AA:$AA,MATCH($E349,VMMC!$E:$E,0))),"")</f>
        <v/>
      </c>
      <c r="Z349" s="38">
        <f t="shared" si="61"/>
        <v>376</v>
      </c>
    </row>
    <row r="350" spans="1:26" x14ac:dyDescent="0.2">
      <c r="A350" t="str">
        <f>INDEX(Prioritization!$D:$D,MATCH($B350,Prioritization!$A:$A,0))</f>
        <v>INVALID</v>
      </c>
      <c r="B350" t="s">
        <v>324</v>
      </c>
      <c r="C350" t="s">
        <v>478</v>
      </c>
      <c r="D350" t="s">
        <v>48</v>
      </c>
      <c r="E350" t="str">
        <f t="shared" si="53"/>
        <v>Thyolo District [ul0y9diGujK]|50+|Male</v>
      </c>
      <c r="F350" s="38">
        <v>35</v>
      </c>
      <c r="G350" s="33">
        <v>0.39</v>
      </c>
      <c r="H350" s="218">
        <f t="shared" si="54"/>
        <v>49</v>
      </c>
      <c r="I350" s="38">
        <v>1</v>
      </c>
      <c r="J350" s="33">
        <v>0.66666666666666696</v>
      </c>
      <c r="K350" s="33">
        <v>0.45</v>
      </c>
      <c r="L350" s="33"/>
      <c r="M350" s="33">
        <v>0.06</v>
      </c>
      <c r="N350" s="38">
        <f t="shared" si="62"/>
        <v>49</v>
      </c>
      <c r="O350" s="218">
        <f t="shared" si="55"/>
        <v>22</v>
      </c>
      <c r="P350" s="218">
        <f t="shared" si="56"/>
        <v>2</v>
      </c>
      <c r="Q350" s="218">
        <f t="shared" si="57"/>
        <v>25</v>
      </c>
      <c r="R350" s="33">
        <f>IF(SUM($P350)=0,"",INDEX(Cascade!$BG:$BG,MATCH($E350,Cascade!$E:$E,0)))</f>
        <v>0.95</v>
      </c>
      <c r="S350" s="218">
        <f t="shared" si="58"/>
        <v>22</v>
      </c>
      <c r="T350" s="218">
        <f t="shared" si="59"/>
        <v>2</v>
      </c>
      <c r="U350" s="38">
        <f>IFERROR(1/(1/INDEX(Cascade!$BH:$BH,MATCH($E350,Cascade!$E:$E,0))),"")</f>
        <v>210.99999999999997</v>
      </c>
      <c r="V350" s="38">
        <f t="shared" si="60"/>
        <v>2</v>
      </c>
      <c r="W350" s="38" t="str">
        <f>IFERROR(1/(1/INDEX(PMTCT!$AC:$AC,MATCH($E350,PMTCT!$E:$E,0))),"")</f>
        <v/>
      </c>
      <c r="X350" s="38" t="str">
        <f>IFERROR(1/(1/INDEX(PMTCT!$AS:$AS,MATCH($E350,PMTCT!$E:$E,0))),"")</f>
        <v/>
      </c>
      <c r="Y350" s="38" t="str">
        <f>IFERROR(1/(1/INDEX(VMMC!$AA:$AA,MATCH($E350,VMMC!$E:$E,0))),"")</f>
        <v/>
      </c>
      <c r="Z350" s="38">
        <f t="shared" si="61"/>
        <v>208.99999999999997</v>
      </c>
    </row>
    <row r="351" spans="1:26" x14ac:dyDescent="0.2">
      <c r="A351" t="str">
        <f>INDEX(Prioritization!$D:$D,MATCH($B351,Prioritization!$A:$A,0))</f>
        <v>1 - Scale-up: Saturation</v>
      </c>
      <c r="B351" t="s">
        <v>325</v>
      </c>
      <c r="C351" t="s">
        <v>473</v>
      </c>
      <c r="D351" t="s">
        <v>30</v>
      </c>
      <c r="E351" t="str">
        <f t="shared" si="53"/>
        <v>Zomba District [fyEoGEPERdI]|01-09|Female</v>
      </c>
      <c r="F351" s="38">
        <v>18</v>
      </c>
      <c r="G351" s="33">
        <v>0.39</v>
      </c>
      <c r="H351" s="218">
        <f t="shared" si="54"/>
        <v>25</v>
      </c>
      <c r="I351" s="38">
        <v>1</v>
      </c>
      <c r="J351" s="33"/>
      <c r="K351" s="33">
        <v>0.45</v>
      </c>
      <c r="L351" s="33"/>
      <c r="M351" s="33">
        <v>0.06</v>
      </c>
      <c r="N351" s="38">
        <f t="shared" si="62"/>
        <v>25</v>
      </c>
      <c r="O351" s="218">
        <f t="shared" si="55"/>
        <v>11</v>
      </c>
      <c r="P351" s="218">
        <f t="shared" si="56"/>
        <v>1</v>
      </c>
      <c r="Q351" s="218">
        <f t="shared" si="57"/>
        <v>13</v>
      </c>
      <c r="R351" s="33">
        <f>IF(SUM($P351)=0,"",INDEX(Cascade!$BG:$BG,MATCH($E351,Cascade!$E:$E,0)))</f>
        <v>0.95</v>
      </c>
      <c r="S351" s="218">
        <f t="shared" si="58"/>
        <v>11</v>
      </c>
      <c r="T351" s="218">
        <f t="shared" si="59"/>
        <v>1</v>
      </c>
      <c r="U351" s="38">
        <f>IFERROR(1/(1/INDEX(Cascade!$BH:$BH,MATCH($E351,Cascade!$E:$E,0))),"")</f>
        <v>12</v>
      </c>
      <c r="V351" s="38">
        <f t="shared" si="60"/>
        <v>1</v>
      </c>
      <c r="W351" s="38" t="str">
        <f>IFERROR(1/(1/INDEX(PMTCT!$AC:$AC,MATCH($E351,PMTCT!$E:$E,0))),"")</f>
        <v/>
      </c>
      <c r="X351" s="38" t="str">
        <f>IFERROR(1/(1/INDEX(PMTCT!$AS:$AS,MATCH($E351,PMTCT!$E:$E,0))),"")</f>
        <v/>
      </c>
      <c r="Y351" s="38" t="str">
        <f>IFERROR(1/(1/INDEX(VMMC!$AA:$AA,MATCH($E351,VMMC!$E:$E,0))),"")</f>
        <v/>
      </c>
      <c r="Z351" s="38">
        <f t="shared" si="61"/>
        <v>11</v>
      </c>
    </row>
    <row r="352" spans="1:26" x14ac:dyDescent="0.2">
      <c r="A352" t="str">
        <f>INDEX(Prioritization!$D:$D,MATCH($B352,Prioritization!$A:$A,0))</f>
        <v>1 - Scale-up: Saturation</v>
      </c>
      <c r="B352" t="s">
        <v>325</v>
      </c>
      <c r="C352" t="s">
        <v>473</v>
      </c>
      <c r="D352" t="s">
        <v>48</v>
      </c>
      <c r="E352" t="str">
        <f t="shared" si="53"/>
        <v>Zomba District [fyEoGEPERdI]|01-09|Male</v>
      </c>
      <c r="F352" s="38">
        <v>18</v>
      </c>
      <c r="G352" s="33">
        <v>0.39</v>
      </c>
      <c r="H352" s="218">
        <f t="shared" si="54"/>
        <v>25</v>
      </c>
      <c r="I352" s="38">
        <v>1</v>
      </c>
      <c r="J352" s="33"/>
      <c r="K352" s="33">
        <v>0.45</v>
      </c>
      <c r="L352" s="33"/>
      <c r="M352" s="33">
        <v>0.06</v>
      </c>
      <c r="N352" s="38">
        <f t="shared" si="62"/>
        <v>25</v>
      </c>
      <c r="O352" s="218">
        <f t="shared" si="55"/>
        <v>11</v>
      </c>
      <c r="P352" s="218">
        <f t="shared" si="56"/>
        <v>1</v>
      </c>
      <c r="Q352" s="218">
        <f t="shared" si="57"/>
        <v>13</v>
      </c>
      <c r="R352" s="33">
        <f>IF(SUM($P352)=0,"",INDEX(Cascade!$BG:$BG,MATCH($E352,Cascade!$E:$E,0)))</f>
        <v>0.95</v>
      </c>
      <c r="S352" s="218">
        <f t="shared" si="58"/>
        <v>11</v>
      </c>
      <c r="T352" s="218">
        <f t="shared" si="59"/>
        <v>1</v>
      </c>
      <c r="U352" s="38">
        <f>IFERROR(1/(1/INDEX(Cascade!$BH:$BH,MATCH($E352,Cascade!$E:$E,0))),"")</f>
        <v>12</v>
      </c>
      <c r="V352" s="38">
        <f t="shared" si="60"/>
        <v>1</v>
      </c>
      <c r="W352" s="38" t="str">
        <f>IFERROR(1/(1/INDEX(PMTCT!$AC:$AC,MATCH($E352,PMTCT!$E:$E,0))),"")</f>
        <v/>
      </c>
      <c r="X352" s="38" t="str">
        <f>IFERROR(1/(1/INDEX(PMTCT!$AS:$AS,MATCH($E352,PMTCT!$E:$E,0))),"")</f>
        <v/>
      </c>
      <c r="Y352" s="38" t="str">
        <f>IFERROR(1/(1/INDEX(VMMC!$AA:$AA,MATCH($E352,VMMC!$E:$E,0))),"")</f>
        <v/>
      </c>
      <c r="Z352" s="38">
        <f t="shared" si="61"/>
        <v>11</v>
      </c>
    </row>
    <row r="353" spans="1:26" x14ac:dyDescent="0.2">
      <c r="A353" t="str">
        <f>INDEX(Prioritization!$D:$D,MATCH($B353,Prioritization!$A:$A,0))</f>
        <v>1 - Scale-up: Saturation</v>
      </c>
      <c r="B353" t="s">
        <v>325</v>
      </c>
      <c r="C353" t="s">
        <v>474</v>
      </c>
      <c r="D353" t="s">
        <v>30</v>
      </c>
      <c r="E353" t="str">
        <f t="shared" si="53"/>
        <v>Zomba District [fyEoGEPERdI]|10-14|Female</v>
      </c>
      <c r="F353" s="38">
        <v>9</v>
      </c>
      <c r="G353" s="33">
        <v>0.39</v>
      </c>
      <c r="H353" s="218">
        <f t="shared" si="54"/>
        <v>13</v>
      </c>
      <c r="I353" s="38"/>
      <c r="J353" s="33"/>
      <c r="K353" s="33">
        <v>0.45</v>
      </c>
      <c r="L353" s="33"/>
      <c r="M353" s="33">
        <v>0.06</v>
      </c>
      <c r="N353" s="38">
        <f t="shared" si="62"/>
        <v>13</v>
      </c>
      <c r="O353" s="218">
        <f t="shared" si="55"/>
        <v>6</v>
      </c>
      <c r="P353" s="218">
        <f t="shared" si="56"/>
        <v>0</v>
      </c>
      <c r="Q353" s="218">
        <f t="shared" si="57"/>
        <v>7</v>
      </c>
      <c r="R353" s="33" t="str">
        <f>IF(SUM($P353)=0,"",INDEX(Cascade!$BG:$BG,MATCH($E353,Cascade!$E:$E,0)))</f>
        <v/>
      </c>
      <c r="S353" s="218">
        <f t="shared" si="58"/>
        <v>6</v>
      </c>
      <c r="T353" s="218" t="str">
        <f t="shared" si="59"/>
        <v/>
      </c>
      <c r="U353" s="38">
        <f>IFERROR(1/(1/INDEX(Cascade!$BH:$BH,MATCH($E353,Cascade!$E:$E,0))),"")</f>
        <v>20</v>
      </c>
      <c r="V353" s="38" t="str">
        <f t="shared" si="60"/>
        <v/>
      </c>
      <c r="W353" s="38">
        <f>IFERROR(1/(1/INDEX(PMTCT!$AC:$AC,MATCH($E353,PMTCT!$E:$E,0))),"")</f>
        <v>1</v>
      </c>
      <c r="X353" s="38" t="str">
        <f>IFERROR(1/(1/INDEX(PMTCT!$AS:$AS,MATCH($E353,PMTCT!$E:$E,0))),"")</f>
        <v/>
      </c>
      <c r="Y353" s="38" t="str">
        <f>IFERROR(1/(1/INDEX(VMMC!$AA:$AA,MATCH($E353,VMMC!$E:$E,0))),"")</f>
        <v/>
      </c>
      <c r="Z353" s="38">
        <f t="shared" si="61"/>
        <v>19</v>
      </c>
    </row>
    <row r="354" spans="1:26" x14ac:dyDescent="0.2">
      <c r="A354" t="str">
        <f>INDEX(Prioritization!$D:$D,MATCH($B354,Prioritization!$A:$A,0))</f>
        <v>1 - Scale-up: Saturation</v>
      </c>
      <c r="B354" t="s">
        <v>325</v>
      </c>
      <c r="C354" t="s">
        <v>474</v>
      </c>
      <c r="D354" t="s">
        <v>48</v>
      </c>
      <c r="E354" t="str">
        <f t="shared" si="53"/>
        <v>Zomba District [fyEoGEPERdI]|10-14|Male</v>
      </c>
      <c r="F354" s="38">
        <v>9</v>
      </c>
      <c r="G354" s="33">
        <v>0.39</v>
      </c>
      <c r="H354" s="218">
        <f t="shared" si="54"/>
        <v>13</v>
      </c>
      <c r="I354" s="38"/>
      <c r="J354" s="33"/>
      <c r="K354" s="33">
        <v>0.45</v>
      </c>
      <c r="L354" s="33"/>
      <c r="M354" s="33">
        <v>0.06</v>
      </c>
      <c r="N354" s="38">
        <f t="shared" si="62"/>
        <v>13</v>
      </c>
      <c r="O354" s="218">
        <f t="shared" si="55"/>
        <v>6</v>
      </c>
      <c r="P354" s="218">
        <f t="shared" si="56"/>
        <v>0</v>
      </c>
      <c r="Q354" s="218">
        <f t="shared" si="57"/>
        <v>7</v>
      </c>
      <c r="R354" s="33" t="str">
        <f>IF(SUM($P354)=0,"",INDEX(Cascade!$BG:$BG,MATCH($E354,Cascade!$E:$E,0)))</f>
        <v/>
      </c>
      <c r="S354" s="218">
        <f t="shared" si="58"/>
        <v>6</v>
      </c>
      <c r="T354" s="218" t="str">
        <f t="shared" si="59"/>
        <v/>
      </c>
      <c r="U354" s="38">
        <f>IFERROR(1/(1/INDEX(Cascade!$BH:$BH,MATCH($E354,Cascade!$E:$E,0))),"")</f>
        <v>16</v>
      </c>
      <c r="V354" s="38" t="str">
        <f t="shared" si="60"/>
        <v/>
      </c>
      <c r="W354" s="38" t="str">
        <f>IFERROR(1/(1/INDEX(PMTCT!$AC:$AC,MATCH($E354,PMTCT!$E:$E,0))),"")</f>
        <v/>
      </c>
      <c r="X354" s="38" t="str">
        <f>IFERROR(1/(1/INDEX(PMTCT!$AS:$AS,MATCH($E354,PMTCT!$E:$E,0))),"")</f>
        <v/>
      </c>
      <c r="Y354" s="38" t="str">
        <f>IFERROR(1/(1/INDEX(VMMC!$AA:$AA,MATCH($E354,VMMC!$E:$E,0))),"")</f>
        <v/>
      </c>
      <c r="Z354" s="38">
        <f t="shared" si="61"/>
        <v>16</v>
      </c>
    </row>
    <row r="355" spans="1:26" x14ac:dyDescent="0.2">
      <c r="A355" t="str">
        <f>INDEX(Prioritization!$D:$D,MATCH($B355,Prioritization!$A:$A,0))</f>
        <v>1 - Scale-up: Saturation</v>
      </c>
      <c r="B355" t="s">
        <v>325</v>
      </c>
      <c r="C355" t="s">
        <v>475</v>
      </c>
      <c r="D355" t="s">
        <v>30</v>
      </c>
      <c r="E355" t="str">
        <f t="shared" si="53"/>
        <v>Zomba District [fyEoGEPERdI]|15-24|Female</v>
      </c>
      <c r="F355" s="38">
        <v>60</v>
      </c>
      <c r="G355" s="33">
        <v>0.39</v>
      </c>
      <c r="H355" s="218">
        <f t="shared" si="54"/>
        <v>83</v>
      </c>
      <c r="I355" s="38">
        <v>2</v>
      </c>
      <c r="J355" s="33"/>
      <c r="K355" s="33">
        <v>0.45</v>
      </c>
      <c r="L355" s="33"/>
      <c r="M355" s="33">
        <v>0.06</v>
      </c>
      <c r="N355" s="38">
        <f t="shared" si="62"/>
        <v>82</v>
      </c>
      <c r="O355" s="218">
        <f t="shared" si="55"/>
        <v>37</v>
      </c>
      <c r="P355" s="218">
        <f t="shared" si="56"/>
        <v>3</v>
      </c>
      <c r="Q355" s="218">
        <f t="shared" si="57"/>
        <v>42</v>
      </c>
      <c r="R355" s="33">
        <f>IF(SUM($P355)=0,"",INDEX(Cascade!$BG:$BG,MATCH($E355,Cascade!$E:$E,0)))</f>
        <v>0.95</v>
      </c>
      <c r="S355" s="218">
        <f t="shared" si="58"/>
        <v>37</v>
      </c>
      <c r="T355" s="218">
        <f t="shared" si="59"/>
        <v>3</v>
      </c>
      <c r="U355" s="38">
        <f>IFERROR(1/(1/INDEX(Cascade!$BH:$BH,MATCH($E355,Cascade!$E:$E,0))),"")</f>
        <v>560</v>
      </c>
      <c r="V355" s="38">
        <f t="shared" si="60"/>
        <v>3</v>
      </c>
      <c r="W355" s="38">
        <f>IFERROR(1/(1/INDEX(PMTCT!$AC:$AC,MATCH($E355,PMTCT!$E:$E,0))),"")</f>
        <v>209.99999999999997</v>
      </c>
      <c r="X355" s="38">
        <f>IFERROR(1/(1/INDEX(PMTCT!$AS:$AS,MATCH($E355,PMTCT!$E:$E,0))),"")</f>
        <v>92.999999999999986</v>
      </c>
      <c r="Y355" s="38" t="str">
        <f>IFERROR(1/(1/INDEX(VMMC!$AA:$AA,MATCH($E355,VMMC!$E:$E,0))),"")</f>
        <v/>
      </c>
      <c r="Z355" s="38">
        <f t="shared" si="61"/>
        <v>254.00000000000006</v>
      </c>
    </row>
    <row r="356" spans="1:26" x14ac:dyDescent="0.2">
      <c r="A356" t="str">
        <f>INDEX(Prioritization!$D:$D,MATCH($B356,Prioritization!$A:$A,0))</f>
        <v>1 - Scale-up: Saturation</v>
      </c>
      <c r="B356" t="s">
        <v>325</v>
      </c>
      <c r="C356" t="s">
        <v>475</v>
      </c>
      <c r="D356" t="s">
        <v>48</v>
      </c>
      <c r="E356" t="str">
        <f t="shared" si="53"/>
        <v>Zomba District [fyEoGEPERdI]|15-24|Male</v>
      </c>
      <c r="F356" s="38">
        <v>92</v>
      </c>
      <c r="G356" s="33">
        <v>0.39</v>
      </c>
      <c r="H356" s="218">
        <f t="shared" si="54"/>
        <v>128</v>
      </c>
      <c r="I356" s="38">
        <v>3</v>
      </c>
      <c r="J356" s="33"/>
      <c r="K356" s="33">
        <v>0.45</v>
      </c>
      <c r="L356" s="33">
        <v>0.25</v>
      </c>
      <c r="M356" s="33">
        <v>0.06</v>
      </c>
      <c r="N356" s="38">
        <f t="shared" si="62"/>
        <v>127</v>
      </c>
      <c r="O356" s="218">
        <f t="shared" si="55"/>
        <v>57</v>
      </c>
      <c r="P356" s="218">
        <f t="shared" si="56"/>
        <v>4</v>
      </c>
      <c r="Q356" s="218">
        <f t="shared" si="57"/>
        <v>66</v>
      </c>
      <c r="R356" s="33">
        <f>IF(SUM($P356)=0,"",INDEX(Cascade!$BG:$BG,MATCH($E356,Cascade!$E:$E,0)))</f>
        <v>0.95</v>
      </c>
      <c r="S356" s="218">
        <f t="shared" si="58"/>
        <v>57</v>
      </c>
      <c r="T356" s="218">
        <f t="shared" si="59"/>
        <v>4</v>
      </c>
      <c r="U356" s="38">
        <f>IFERROR(1/(1/INDEX(Cascade!$BH:$BH,MATCH($E356,Cascade!$E:$E,0))),"")</f>
        <v>167</v>
      </c>
      <c r="V356" s="38">
        <f t="shared" si="60"/>
        <v>4</v>
      </c>
      <c r="W356" s="38" t="str">
        <f>IFERROR(1/(1/INDEX(PMTCT!$AC:$AC,MATCH($E356,PMTCT!$E:$E,0))),"")</f>
        <v/>
      </c>
      <c r="X356" s="38" t="str">
        <f>IFERROR(1/(1/INDEX(PMTCT!$AS:$AS,MATCH($E356,PMTCT!$E:$E,0))),"")</f>
        <v/>
      </c>
      <c r="Y356" s="38" t="str">
        <f>IFERROR(1/(1/INDEX(VMMC!$AA:$AA,MATCH($E356,VMMC!$E:$E,0))),"")</f>
        <v/>
      </c>
      <c r="Z356" s="38">
        <f t="shared" si="61"/>
        <v>163</v>
      </c>
    </row>
    <row r="357" spans="1:26" x14ac:dyDescent="0.2">
      <c r="A357" t="str">
        <f>INDEX(Prioritization!$D:$D,MATCH($B357,Prioritization!$A:$A,0))</f>
        <v>1 - Scale-up: Saturation</v>
      </c>
      <c r="B357" t="s">
        <v>325</v>
      </c>
      <c r="C357" t="s">
        <v>476</v>
      </c>
      <c r="D357" t="s">
        <v>30</v>
      </c>
      <c r="E357" t="str">
        <f t="shared" si="53"/>
        <v>Zomba District [fyEoGEPERdI]|25-34|Female</v>
      </c>
      <c r="F357" s="38">
        <v>60</v>
      </c>
      <c r="G357" s="33">
        <v>0.39</v>
      </c>
      <c r="H357" s="218">
        <f t="shared" si="54"/>
        <v>83</v>
      </c>
      <c r="I357" s="38">
        <v>2</v>
      </c>
      <c r="J357" s="33"/>
      <c r="K357" s="33">
        <v>0.45</v>
      </c>
      <c r="L357" s="33">
        <v>0.5</v>
      </c>
      <c r="M357" s="33">
        <v>0.06</v>
      </c>
      <c r="N357" s="38">
        <f t="shared" si="62"/>
        <v>82</v>
      </c>
      <c r="O357" s="218">
        <f t="shared" si="55"/>
        <v>37</v>
      </c>
      <c r="P357" s="218">
        <f t="shared" si="56"/>
        <v>3</v>
      </c>
      <c r="Q357" s="218">
        <f t="shared" si="57"/>
        <v>42</v>
      </c>
      <c r="R357" s="33">
        <f>IF(SUM($P357)=0,"",INDEX(Cascade!$BG:$BG,MATCH($E357,Cascade!$E:$E,0)))</f>
        <v>0.95</v>
      </c>
      <c r="S357" s="218">
        <f t="shared" si="58"/>
        <v>37</v>
      </c>
      <c r="T357" s="218">
        <f t="shared" si="59"/>
        <v>3</v>
      </c>
      <c r="U357" s="38">
        <f>IFERROR(1/(1/INDEX(Cascade!$BH:$BH,MATCH($E357,Cascade!$E:$E,0))),"")</f>
        <v>1251</v>
      </c>
      <c r="V357" s="38">
        <f t="shared" si="60"/>
        <v>3</v>
      </c>
      <c r="W357" s="38">
        <f>IFERROR(1/(1/INDEX(PMTCT!$AC:$AC,MATCH($E357,PMTCT!$E:$E,0))),"")</f>
        <v>277</v>
      </c>
      <c r="X357" s="38">
        <f>IFERROR(1/(1/INDEX(PMTCT!$AS:$AS,MATCH($E357,PMTCT!$E:$E,0))),"")</f>
        <v>106</v>
      </c>
      <c r="Y357" s="38" t="str">
        <f>IFERROR(1/(1/INDEX(VMMC!$AA:$AA,MATCH($E357,VMMC!$E:$E,0))),"")</f>
        <v/>
      </c>
      <c r="Z357" s="38">
        <f t="shared" si="61"/>
        <v>865</v>
      </c>
    </row>
    <row r="358" spans="1:26" x14ac:dyDescent="0.2">
      <c r="A358" t="str">
        <f>INDEX(Prioritization!$D:$D,MATCH($B358,Prioritization!$A:$A,0))</f>
        <v>1 - Scale-up: Saturation</v>
      </c>
      <c r="B358" t="s">
        <v>325</v>
      </c>
      <c r="C358" t="s">
        <v>476</v>
      </c>
      <c r="D358" t="s">
        <v>48</v>
      </c>
      <c r="E358" t="str">
        <f t="shared" si="53"/>
        <v>Zomba District [fyEoGEPERdI]|25-34|Male</v>
      </c>
      <c r="F358" s="38">
        <v>92</v>
      </c>
      <c r="G358" s="33">
        <v>0.39</v>
      </c>
      <c r="H358" s="218">
        <f t="shared" si="54"/>
        <v>128</v>
      </c>
      <c r="I358" s="38">
        <v>3</v>
      </c>
      <c r="J358" s="33"/>
      <c r="K358" s="33">
        <v>0.45</v>
      </c>
      <c r="L358" s="33">
        <v>0.1</v>
      </c>
      <c r="M358" s="33">
        <v>0.06</v>
      </c>
      <c r="N358" s="38">
        <f t="shared" si="62"/>
        <v>127</v>
      </c>
      <c r="O358" s="218">
        <f t="shared" si="55"/>
        <v>57</v>
      </c>
      <c r="P358" s="218">
        <f t="shared" si="56"/>
        <v>4</v>
      </c>
      <c r="Q358" s="218">
        <f t="shared" si="57"/>
        <v>66</v>
      </c>
      <c r="R358" s="33">
        <f>IF(SUM($P358)=0,"",INDEX(Cascade!$BG:$BG,MATCH($E358,Cascade!$E:$E,0)))</f>
        <v>0.95</v>
      </c>
      <c r="S358" s="218">
        <f t="shared" si="58"/>
        <v>57</v>
      </c>
      <c r="T358" s="218">
        <f t="shared" si="59"/>
        <v>4</v>
      </c>
      <c r="U358" s="38">
        <f>IFERROR(1/(1/INDEX(Cascade!$BH:$BH,MATCH($E358,Cascade!$E:$E,0))),"")</f>
        <v>55</v>
      </c>
      <c r="V358" s="38">
        <f t="shared" si="60"/>
        <v>4</v>
      </c>
      <c r="W358" s="38" t="str">
        <f>IFERROR(1/(1/INDEX(PMTCT!$AC:$AC,MATCH($E358,PMTCT!$E:$E,0))),"")</f>
        <v/>
      </c>
      <c r="X358" s="38" t="str">
        <f>IFERROR(1/(1/INDEX(PMTCT!$AS:$AS,MATCH($E358,PMTCT!$E:$E,0))),"")</f>
        <v/>
      </c>
      <c r="Y358" s="38" t="str">
        <f>IFERROR(1/(1/INDEX(VMMC!$AA:$AA,MATCH($E358,VMMC!$E:$E,0))),"")</f>
        <v/>
      </c>
      <c r="Z358" s="38">
        <f t="shared" si="61"/>
        <v>51</v>
      </c>
    </row>
    <row r="359" spans="1:26" x14ac:dyDescent="0.2">
      <c r="A359" t="str">
        <f>INDEX(Prioritization!$D:$D,MATCH($B359,Prioritization!$A:$A,0))</f>
        <v>1 - Scale-up: Saturation</v>
      </c>
      <c r="B359" t="s">
        <v>325</v>
      </c>
      <c r="C359" t="s">
        <v>477</v>
      </c>
      <c r="D359" t="s">
        <v>30</v>
      </c>
      <c r="E359" t="str">
        <f t="shared" si="53"/>
        <v>Zomba District [fyEoGEPERdI]|35-49|Female</v>
      </c>
      <c r="F359" s="38">
        <v>90</v>
      </c>
      <c r="G359" s="33">
        <v>0.39</v>
      </c>
      <c r="H359" s="218">
        <f t="shared" si="54"/>
        <v>125</v>
      </c>
      <c r="I359" s="38">
        <v>3</v>
      </c>
      <c r="J359" s="33"/>
      <c r="K359" s="33">
        <v>0.45</v>
      </c>
      <c r="L359" s="33">
        <v>0.66700000000000004</v>
      </c>
      <c r="M359" s="33">
        <v>0.06</v>
      </c>
      <c r="N359" s="38">
        <f t="shared" si="62"/>
        <v>124</v>
      </c>
      <c r="O359" s="218">
        <f t="shared" si="55"/>
        <v>56</v>
      </c>
      <c r="P359" s="218">
        <f t="shared" si="56"/>
        <v>4</v>
      </c>
      <c r="Q359" s="218">
        <f t="shared" si="57"/>
        <v>64</v>
      </c>
      <c r="R359" s="33">
        <f>IF(SUM($P359)=0,"",INDEX(Cascade!$BG:$BG,MATCH($E359,Cascade!$E:$E,0)))</f>
        <v>0.95</v>
      </c>
      <c r="S359" s="218">
        <f t="shared" si="58"/>
        <v>56</v>
      </c>
      <c r="T359" s="218">
        <f t="shared" si="59"/>
        <v>4</v>
      </c>
      <c r="U359" s="38">
        <f>IFERROR(1/(1/INDEX(Cascade!$BH:$BH,MATCH($E359,Cascade!$E:$E,0))),"")</f>
        <v>680</v>
      </c>
      <c r="V359" s="38">
        <f t="shared" si="60"/>
        <v>4</v>
      </c>
      <c r="W359" s="38">
        <f>IFERROR(1/(1/INDEX(PMTCT!$AC:$AC,MATCH($E359,PMTCT!$E:$E,0))),"")</f>
        <v>17</v>
      </c>
      <c r="X359" s="38">
        <f>IFERROR(1/(1/INDEX(PMTCT!$AS:$AS,MATCH($E359,PMTCT!$E:$E,0))),"")</f>
        <v>10</v>
      </c>
      <c r="Y359" s="38" t="str">
        <f>IFERROR(1/(1/INDEX(VMMC!$AA:$AA,MATCH($E359,VMMC!$E:$E,0))),"")</f>
        <v/>
      </c>
      <c r="Z359" s="38">
        <f t="shared" si="61"/>
        <v>649</v>
      </c>
    </row>
    <row r="360" spans="1:26" x14ac:dyDescent="0.2">
      <c r="A360" t="str">
        <f>INDEX(Prioritization!$D:$D,MATCH($B360,Prioritization!$A:$A,0))</f>
        <v>1 - Scale-up: Saturation</v>
      </c>
      <c r="B360" t="s">
        <v>325</v>
      </c>
      <c r="C360" t="s">
        <v>477</v>
      </c>
      <c r="D360" t="s">
        <v>48</v>
      </c>
      <c r="E360" t="str">
        <f t="shared" si="53"/>
        <v>Zomba District [fyEoGEPERdI]|35-49|Male</v>
      </c>
      <c r="F360" s="38">
        <v>138</v>
      </c>
      <c r="G360" s="33">
        <v>0.39</v>
      </c>
      <c r="H360" s="218">
        <f t="shared" si="54"/>
        <v>192</v>
      </c>
      <c r="I360" s="38">
        <v>4</v>
      </c>
      <c r="J360" s="33"/>
      <c r="K360" s="33">
        <v>0.45</v>
      </c>
      <c r="L360" s="33">
        <v>0.14299999999999999</v>
      </c>
      <c r="M360" s="33">
        <v>0.06</v>
      </c>
      <c r="N360" s="38">
        <f t="shared" si="62"/>
        <v>190</v>
      </c>
      <c r="O360" s="218">
        <f t="shared" si="55"/>
        <v>86</v>
      </c>
      <c r="P360" s="218">
        <f t="shared" si="56"/>
        <v>6</v>
      </c>
      <c r="Q360" s="218">
        <f t="shared" si="57"/>
        <v>98</v>
      </c>
      <c r="R360" s="33">
        <f>IF(SUM($P360)=0,"",INDEX(Cascade!$BG:$BG,MATCH($E360,Cascade!$E:$E,0)))</f>
        <v>0.95</v>
      </c>
      <c r="S360" s="218">
        <f t="shared" si="58"/>
        <v>86</v>
      </c>
      <c r="T360" s="218">
        <f t="shared" si="59"/>
        <v>6</v>
      </c>
      <c r="U360" s="38">
        <f>IFERROR(1/(1/INDEX(Cascade!$BH:$BH,MATCH($E360,Cascade!$E:$E,0))),"")</f>
        <v>613</v>
      </c>
      <c r="V360" s="38">
        <f t="shared" si="60"/>
        <v>6</v>
      </c>
      <c r="W360" s="38" t="str">
        <f>IFERROR(1/(1/INDEX(PMTCT!$AC:$AC,MATCH($E360,PMTCT!$E:$E,0))),"")</f>
        <v/>
      </c>
      <c r="X360" s="38" t="str">
        <f>IFERROR(1/(1/INDEX(PMTCT!$AS:$AS,MATCH($E360,PMTCT!$E:$E,0))),"")</f>
        <v/>
      </c>
      <c r="Y360" s="38" t="str">
        <f>IFERROR(1/(1/INDEX(VMMC!$AA:$AA,MATCH($E360,VMMC!$E:$E,0))),"")</f>
        <v/>
      </c>
      <c r="Z360" s="38">
        <f t="shared" si="61"/>
        <v>607</v>
      </c>
    </row>
    <row r="361" spans="1:26" x14ac:dyDescent="0.2">
      <c r="A361" t="str">
        <f>INDEX(Prioritization!$D:$D,MATCH($B361,Prioritization!$A:$A,0))</f>
        <v>1 - Scale-up: Saturation</v>
      </c>
      <c r="B361" t="s">
        <v>325</v>
      </c>
      <c r="C361" t="s">
        <v>478</v>
      </c>
      <c r="D361" t="s">
        <v>30</v>
      </c>
      <c r="E361" t="str">
        <f t="shared" si="53"/>
        <v>Zomba District [fyEoGEPERdI]|50+|Female</v>
      </c>
      <c r="F361" s="38">
        <v>30</v>
      </c>
      <c r="G361" s="33">
        <v>0.39</v>
      </c>
      <c r="H361" s="218">
        <f t="shared" si="54"/>
        <v>42</v>
      </c>
      <c r="I361" s="38">
        <v>1</v>
      </c>
      <c r="J361" s="33"/>
      <c r="K361" s="33">
        <v>0.45</v>
      </c>
      <c r="L361" s="33">
        <v>0.5</v>
      </c>
      <c r="M361" s="33">
        <v>0.06</v>
      </c>
      <c r="N361" s="38">
        <f t="shared" si="62"/>
        <v>42</v>
      </c>
      <c r="O361" s="218">
        <f t="shared" si="55"/>
        <v>19</v>
      </c>
      <c r="P361" s="218">
        <f t="shared" si="56"/>
        <v>1</v>
      </c>
      <c r="Q361" s="218">
        <f t="shared" si="57"/>
        <v>22</v>
      </c>
      <c r="R361" s="33">
        <f>IF(SUM($P361)=0,"",INDEX(Cascade!$BG:$BG,MATCH($E361,Cascade!$E:$E,0)))</f>
        <v>0.95</v>
      </c>
      <c r="S361" s="218">
        <f t="shared" si="58"/>
        <v>19</v>
      </c>
      <c r="T361" s="218">
        <f t="shared" si="59"/>
        <v>1</v>
      </c>
      <c r="U361" s="38">
        <f>IFERROR(1/(1/INDEX(Cascade!$BH:$BH,MATCH($E361,Cascade!$E:$E,0))),"")</f>
        <v>491.00000000000006</v>
      </c>
      <c r="V361" s="38">
        <f t="shared" si="60"/>
        <v>1</v>
      </c>
      <c r="W361" s="38" t="str">
        <f>IFERROR(1/(1/INDEX(PMTCT!$AC:$AC,MATCH($E361,PMTCT!$E:$E,0))),"")</f>
        <v/>
      </c>
      <c r="X361" s="38" t="str">
        <f>IFERROR(1/(1/INDEX(PMTCT!$AS:$AS,MATCH($E361,PMTCT!$E:$E,0))),"")</f>
        <v/>
      </c>
      <c r="Y361" s="38" t="str">
        <f>IFERROR(1/(1/INDEX(VMMC!$AA:$AA,MATCH($E361,VMMC!$E:$E,0))),"")</f>
        <v/>
      </c>
      <c r="Z361" s="38">
        <f t="shared" si="61"/>
        <v>490.00000000000006</v>
      </c>
    </row>
    <row r="362" spans="1:26" x14ac:dyDescent="0.2">
      <c r="A362" t="str">
        <f>INDEX(Prioritization!$D:$D,MATCH($B362,Prioritization!$A:$A,0))</f>
        <v>1 - Scale-up: Saturation</v>
      </c>
      <c r="B362" t="s">
        <v>325</v>
      </c>
      <c r="C362" t="s">
        <v>478</v>
      </c>
      <c r="D362" t="s">
        <v>48</v>
      </c>
      <c r="E362" t="str">
        <f t="shared" si="53"/>
        <v>Zomba District [fyEoGEPERdI]|50+|Male</v>
      </c>
      <c r="F362" s="38">
        <v>46</v>
      </c>
      <c r="G362" s="33">
        <v>0.39</v>
      </c>
      <c r="H362" s="218">
        <f t="shared" si="54"/>
        <v>64</v>
      </c>
      <c r="I362" s="38">
        <v>1</v>
      </c>
      <c r="J362" s="33"/>
      <c r="K362" s="33">
        <v>0.45</v>
      </c>
      <c r="L362" s="33"/>
      <c r="M362" s="33">
        <v>0.06</v>
      </c>
      <c r="N362" s="38">
        <f t="shared" si="62"/>
        <v>63</v>
      </c>
      <c r="O362" s="218">
        <f t="shared" si="55"/>
        <v>28</v>
      </c>
      <c r="P362" s="218">
        <f t="shared" si="56"/>
        <v>2</v>
      </c>
      <c r="Q362" s="218">
        <f t="shared" si="57"/>
        <v>33</v>
      </c>
      <c r="R362" s="33">
        <f>IF(SUM($P362)=0,"",INDEX(Cascade!$BG:$BG,MATCH($E362,Cascade!$E:$E,0)))</f>
        <v>0.95</v>
      </c>
      <c r="S362" s="218">
        <f t="shared" si="58"/>
        <v>28</v>
      </c>
      <c r="T362" s="218">
        <f t="shared" si="59"/>
        <v>2</v>
      </c>
      <c r="U362" s="38">
        <f>IFERROR(1/(1/INDEX(Cascade!$BH:$BH,MATCH($E362,Cascade!$E:$E,0))),"")</f>
        <v>262</v>
      </c>
      <c r="V362" s="38">
        <f t="shared" si="60"/>
        <v>2</v>
      </c>
      <c r="W362" s="38" t="str">
        <f>IFERROR(1/(1/INDEX(PMTCT!$AC:$AC,MATCH($E362,PMTCT!$E:$E,0))),"")</f>
        <v/>
      </c>
      <c r="X362" s="38" t="str">
        <f>IFERROR(1/(1/INDEX(PMTCT!$AS:$AS,MATCH($E362,PMTCT!$E:$E,0))),"")</f>
        <v/>
      </c>
      <c r="Y362" s="38" t="str">
        <f>IFERROR(1/(1/INDEX(VMMC!$AA:$AA,MATCH($E362,VMMC!$E:$E,0))),"")</f>
        <v/>
      </c>
      <c r="Z362" s="38">
        <f t="shared" si="61"/>
        <v>260</v>
      </c>
    </row>
  </sheetData>
  <autoFilter ref="A14:Z362" xr:uid="{00000000-0001-0000-0800-000000000000}"/>
  <sortState xmlns:xlrd2="http://schemas.microsoft.com/office/spreadsheetml/2017/richdata2" ref="A15:Z362">
    <sortCondition ref="B15:B362"/>
    <sortCondition ref="C15:C362"/>
    <sortCondition ref="D15:D362"/>
  </sortState>
  <mergeCells count="1">
    <mergeCell ref="A2:B3"/>
  </mergeCells>
  <conditionalFormatting sqref="G1:G1048576">
    <cfRule type="expression" dxfId="113" priority="17">
      <formula>AND(ISNUMBER(G1),G1&lt;0)</formula>
    </cfRule>
  </conditionalFormatting>
  <conditionalFormatting sqref="H1:Z1048576 F1:F1048576">
    <cfRule type="expression" dxfId="112" priority="3">
      <formula>AND(ISNUMBER(F1),F1&lt;0)</formula>
    </cfRule>
  </conditionalFormatting>
  <conditionalFormatting sqref="J1:M1048576 R1:R1048576">
    <cfRule type="expression" dxfId="111" priority="4">
      <formula>AND(ISNUMBER(J1),J1&gt;1)</formula>
    </cfRule>
  </conditionalFormatting>
  <conditionalFormatting sqref="K1:K1048576">
    <cfRule type="expression" dxfId="110" priority="15">
      <formula>AND(ROW($K1)&gt;14,$O1="ENTER KNOWN POSITIVITY RATE")</formula>
    </cfRule>
    <cfRule type="expression" dxfId="109" priority="3819">
      <formula>AND(ISNUMBER($K1),ROUND(SUM($K1),2)&gt;=0.75)</formula>
    </cfRule>
  </conditionalFormatting>
  <conditionalFormatting sqref="M1:M1048576">
    <cfRule type="expression" dxfId="108" priority="10">
      <formula>AND(ROW($M1)&gt;14,$P1="ENTER YIELD RATE")</formula>
    </cfRule>
    <cfRule type="expression" dxfId="107" priority="690">
      <formula>AND(ISNUMBER($M1),SUM($M1)&gt;10%)</formula>
    </cfRule>
  </conditionalFormatting>
  <conditionalFormatting sqref="P1:P1048576">
    <cfRule type="expression" dxfId="106" priority="18">
      <formula>AND(ISNUMBER($P1),ROUND(SUM($P1),2)&gt;ROUND(SUM($I1),2))</formula>
    </cfRule>
  </conditionalFormatting>
  <conditionalFormatting sqref="R1:R1048576">
    <cfRule type="expression" dxfId="105" priority="23">
      <formula>AND(ISNUMBER(R1),R1&lt;0.95)</formula>
    </cfRule>
  </conditionalFormatting>
  <conditionalFormatting sqref="U1:Z1048576">
    <cfRule type="expression" dxfId="104" priority="6">
      <formula>AND(ROW($Z1)&gt;14,$Z1&lt;0)</formula>
    </cfRule>
    <cfRule type="expression" dxfId="103" priority="8">
      <formula>AND(ROW($Z1)&gt;14,ISERROR($Z1))</formula>
    </cfRule>
  </conditionalFormatting>
  <conditionalFormatting sqref="W1:X1048576">
    <cfRule type="expression" dxfId="102" priority="1">
      <formula>AND(ROW(W1)&gt;14,$B1&lt;&gt;"",OR($D1&lt;&gt;"Female",$C1="&lt;01",$C1="01-09"))</formula>
    </cfRule>
  </conditionalFormatting>
  <conditionalFormatting sqref="Y1:Y1048576">
    <cfRule type="expression" dxfId="101" priority="2">
      <formula>AND(ROW(Y1)&gt;14,$B1&lt;&gt;"",OR($D1&lt;&gt;"Male",$C1="&lt;01",$C1="01-09",$C1="10-14"))</formula>
    </cfRule>
  </conditionalFormatting>
  <hyperlinks>
    <hyperlink ref="U3" location="Cascade!BI:BI" display="Total HTS_TST_POS (FY24)" xr:uid="{00000000-0004-0000-0800-000000000000}"/>
    <hyperlink ref="V3" location="TB!P:P" display="Total New Positives from TB_STAT (FY24)" xr:uid="{00000000-0004-0000-0800-000001000000}"/>
    <hyperlink ref="W3" location="PMTCT!AC:AC" display="Total New Positives from PMTCT_STAT ANC1 (FY24)" xr:uid="{00000000-0004-0000-0800-000002000000}"/>
    <hyperlink ref="X3" location="PMTCT!AS:AS" display="Total New Positives from PMTCT Post ANC1 (FY24)" xr:uid="{00000000-0004-0000-0800-000003000000}"/>
    <hyperlink ref="Y3" location="VMMC!AA:AA" display="Total Positives from VMMC_CIRC (FY24)" xr:uid="{00000000-0004-0000-0800-000004000000}"/>
  </hyperlinks>
  <pageMargins left="0.7" right="0.7" top="0.75" bottom="0.75" header="0.3" footer="0.3"/>
  <pageSetup orientation="portrait" horizontalDpi="0" verticalDpi="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130"/>
  <sheetViews>
    <sheetView workbookViewId="0">
      <pane xSplit="5" ySplit="14" topLeftCell="W24" activePane="bottomRight" state="frozen"/>
      <selection pane="topRight"/>
      <selection pane="bottomLeft"/>
      <selection pane="bottomRight" activeCell="AA27" sqref="AA27:AB29"/>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32" width="11.6640625" customWidth="1"/>
  </cols>
  <sheetData>
    <row r="1" spans="1:32" ht="31.25" customHeight="1" x14ac:dyDescent="0.2">
      <c r="A1" s="68" t="s">
        <v>1142</v>
      </c>
      <c r="B1" s="23"/>
      <c r="C1" s="112"/>
      <c r="D1" s="112"/>
      <c r="E1" s="112"/>
      <c r="F1" s="52" t="s">
        <v>1143</v>
      </c>
      <c r="G1" s="43"/>
      <c r="H1" s="45"/>
      <c r="I1" s="43"/>
      <c r="J1" s="45"/>
      <c r="K1" s="43"/>
      <c r="L1" s="13"/>
      <c r="M1" s="43"/>
      <c r="N1" s="43"/>
      <c r="O1" s="45"/>
      <c r="P1" s="45"/>
      <c r="Q1" s="43"/>
      <c r="R1" s="43"/>
      <c r="S1" s="53" t="s">
        <v>598</v>
      </c>
      <c r="T1" s="44"/>
      <c r="U1" s="44"/>
      <c r="V1" s="44"/>
      <c r="W1" s="44"/>
      <c r="X1" s="44"/>
      <c r="Y1" s="43"/>
      <c r="Z1" s="43"/>
      <c r="AA1" s="43"/>
      <c r="AB1" s="43"/>
      <c r="AC1" s="52" t="s">
        <v>988</v>
      </c>
      <c r="AD1" s="13"/>
      <c r="AE1" s="13"/>
      <c r="AF1" s="13"/>
    </row>
    <row r="2" spans="1:32" ht="19.25" customHeight="1" x14ac:dyDescent="0.25">
      <c r="A2" s="255" t="s">
        <v>1144</v>
      </c>
      <c r="B2" s="251"/>
      <c r="C2" s="4"/>
      <c r="D2" s="4"/>
      <c r="E2" s="4"/>
      <c r="F2" s="105"/>
      <c r="G2" s="24"/>
      <c r="H2" s="32"/>
      <c r="I2" s="24"/>
      <c r="J2" s="32"/>
      <c r="K2" s="24"/>
      <c r="L2" s="24"/>
      <c r="M2" s="20" t="s">
        <v>281</v>
      </c>
      <c r="N2" s="20" t="s">
        <v>281</v>
      </c>
      <c r="O2" s="32"/>
      <c r="P2" s="32"/>
      <c r="Q2" s="20" t="s">
        <v>281</v>
      </c>
      <c r="R2" s="20" t="s">
        <v>281</v>
      </c>
      <c r="S2" s="31"/>
      <c r="T2" s="32"/>
      <c r="U2" s="32"/>
      <c r="V2" s="32"/>
      <c r="W2" s="32"/>
      <c r="X2" s="32"/>
      <c r="Y2" s="20" t="s">
        <v>281</v>
      </c>
      <c r="Z2" s="20" t="s">
        <v>281</v>
      </c>
      <c r="AA2" s="20" t="s">
        <v>281</v>
      </c>
      <c r="AB2" s="20" t="s">
        <v>281</v>
      </c>
      <c r="AC2" s="105"/>
      <c r="AD2" s="24"/>
      <c r="AE2" s="24"/>
      <c r="AF2" s="24"/>
    </row>
    <row r="3" spans="1:32" ht="69.75" customHeight="1" x14ac:dyDescent="0.2">
      <c r="A3" s="252"/>
      <c r="B3" s="253"/>
      <c r="C3" s="9"/>
      <c r="D3" s="9"/>
      <c r="E3" s="9"/>
      <c r="F3" s="142" t="s">
        <v>1145</v>
      </c>
      <c r="G3" s="143" t="s">
        <v>991</v>
      </c>
      <c r="H3" s="144" t="s">
        <v>489</v>
      </c>
      <c r="I3" s="143" t="s">
        <v>992</v>
      </c>
      <c r="J3" s="144" t="s">
        <v>993</v>
      </c>
      <c r="K3" s="109" t="s">
        <v>1146</v>
      </c>
      <c r="L3" s="109" t="s">
        <v>1147</v>
      </c>
      <c r="M3" s="14" t="s">
        <v>1148</v>
      </c>
      <c r="N3" s="14" t="s">
        <v>1149</v>
      </c>
      <c r="O3" s="90" t="s">
        <v>1150</v>
      </c>
      <c r="P3" s="184" t="s">
        <v>1151</v>
      </c>
      <c r="Q3" s="14" t="s">
        <v>1152</v>
      </c>
      <c r="R3" s="14" t="s">
        <v>1153</v>
      </c>
      <c r="S3" s="60" t="s">
        <v>1154</v>
      </c>
      <c r="T3" s="42" t="s">
        <v>1155</v>
      </c>
      <c r="U3" s="90" t="s">
        <v>1156</v>
      </c>
      <c r="V3" s="42" t="s">
        <v>1157</v>
      </c>
      <c r="W3" s="90" t="s">
        <v>1125</v>
      </c>
      <c r="X3" s="42" t="s">
        <v>1126</v>
      </c>
      <c r="Y3" s="14" t="s">
        <v>1158</v>
      </c>
      <c r="Z3" s="69" t="s">
        <v>1159</v>
      </c>
      <c r="AA3" s="69" t="s">
        <v>1160</v>
      </c>
      <c r="AB3" s="69" t="s">
        <v>1161</v>
      </c>
      <c r="AC3" s="142" t="s">
        <v>1024</v>
      </c>
      <c r="AD3" s="143" t="s">
        <v>1127</v>
      </c>
      <c r="AE3" s="143" t="s">
        <v>1162</v>
      </c>
      <c r="AF3" s="109" t="s">
        <v>1163</v>
      </c>
    </row>
    <row r="4" spans="1:32" x14ac:dyDescent="0.2">
      <c r="A4" s="35"/>
      <c r="B4" s="5"/>
      <c r="C4" s="5"/>
      <c r="D4" s="5" t="s">
        <v>392</v>
      </c>
      <c r="E4" s="5"/>
      <c r="F4" s="106">
        <f>SUBTOTAL(109,F$15:INDEX(F:F,COUNTA($B:$B)+14-COUNTA($B$1:$B$14)))</f>
        <v>5972701</v>
      </c>
      <c r="G4" s="100">
        <f>SUBTOTAL(109,G$15:INDEX(G:G,COUNTA($B:$B)+14-COUNTA($B$1:$B$14)))</f>
        <v>346775</v>
      </c>
      <c r="H4" s="37">
        <f>IF(SUM($F$4)=0,"",SUM($G$4)/$F$4)</f>
        <v>5.8059996641385531E-2</v>
      </c>
      <c r="I4" s="100">
        <f>SUBTOTAL(109,I$15:INDEX(I:I,COUNTA($B:$B)+14-COUNTA($B$1:$B$14)))</f>
        <v>319800</v>
      </c>
      <c r="J4" s="37">
        <f>IF(SUM($G$4)=0,"",SUM($I$4)/$G$4)</f>
        <v>0.92221180880974696</v>
      </c>
      <c r="K4" s="35">
        <f>SUBTOTAL(109,K$15:INDEX(K:K,COUNTA($B:$B)+14-COUNTA($B$1:$B$14)))</f>
        <v>115797</v>
      </c>
      <c r="L4" s="35">
        <f>SUBTOTAL(109,L$15:INDEX(L:L,COUNTA($B:$B)+14-COUNTA($B$1:$B$14)))</f>
        <v>147009</v>
      </c>
      <c r="M4" s="132">
        <f>SUBTOTAL(109,M$15:INDEX(M:M,COUNTA($B:$B)+14-COUNTA($B$1:$B$14)))</f>
        <v>138009</v>
      </c>
      <c r="N4" s="132">
        <f>SUBTOTAL(109,N$15:INDEX(N:N,COUNTA($B:$B)+14-COUNTA($B$1:$B$14)))</f>
        <v>2561085</v>
      </c>
      <c r="O4" s="41">
        <f>IF($F$4=0,"",$N$4/$F$4)</f>
        <v>0.42879846153356749</v>
      </c>
      <c r="P4" s="41">
        <f>IF($F$4=0,"",$Q$4/$F$4)</f>
        <v>0.81989203879450856</v>
      </c>
      <c r="Q4" s="132">
        <f>SUBTOTAL(109,Q$15:INDEX(Q:Q,COUNTA($B:$B)+14-COUNTA($B$1:$B$14)))</f>
        <v>4896970</v>
      </c>
      <c r="R4" s="132">
        <f>SUBTOTAL(109,R$15:INDEX(R:R,COUNTA($B:$B)+14-COUNTA($B$1:$B$14)))</f>
        <v>2389506</v>
      </c>
      <c r="S4" s="117">
        <f>IF($R$4=0,"",$Y$4/$R$4)</f>
        <v>5.2535545003862726E-2</v>
      </c>
      <c r="T4" s="136"/>
      <c r="U4" s="136"/>
      <c r="V4" s="136">
        <f>IF($Y$4=0,"",$Z$4/$Y$4)</f>
        <v>0</v>
      </c>
      <c r="W4" s="136"/>
      <c r="X4" s="136">
        <f>IF(SUM($Y$4,$Z$4)=0,"",SUM($AA4)/(SUM($Y$4)-SUM($Z$4)))</f>
        <v>3.704175761148374E-3</v>
      </c>
      <c r="Y4" s="132">
        <f>SUBTOTAL(109,Y$15:INDEX(Y:Y,COUNTA($B:$B)+14-COUNTA($B$1:$B$14)))</f>
        <v>125534</v>
      </c>
      <c r="Z4" s="132">
        <f>SUBTOTAL(109,Z$15:INDEX(Z:Z,COUNTA($B:$B)+14-COUNTA($B$1:$B$14)))</f>
        <v>0</v>
      </c>
      <c r="AA4" s="132">
        <f>SUBTOTAL(109,AA$15:INDEX(AA:AA,COUNTA($B:$B)+14-COUNTA($B$1:$B$14)))</f>
        <v>465</v>
      </c>
      <c r="AB4" s="132">
        <f>SUBTOTAL(109,AB$15:INDEX(AB:AB,COUNTA($B:$B)+14-COUNTA($B$1:$B$14)))</f>
        <v>125069</v>
      </c>
      <c r="AC4" s="106">
        <f>SUBTOTAL(109,AC$15:INDEX(AC:AC,COUNTA($B:$B)+14-COUNTA($B$1:$B$14)))</f>
        <v>17574</v>
      </c>
      <c r="AD4" s="28">
        <f>SUBTOTAL(109,AD$15:INDEX(AD:AD,COUNTA($B:$B)+14-COUNTA($B$1:$B$14)))</f>
        <v>465</v>
      </c>
      <c r="AE4" s="28">
        <f>SUBTOTAL(109,AE$15:INDEX(AE:AE,COUNTA($B:$B)+14-COUNTA($B$1:$B$14)))</f>
        <v>321</v>
      </c>
      <c r="AF4" s="28">
        <f>SUBTOTAL(109,AF$15:INDEX(AF:AF,COUNTA($B:$B)+14-COUNTA($B$1:$B$14)))</f>
        <v>16788</v>
      </c>
    </row>
    <row r="5" spans="1:32" ht="0" hidden="1" customHeight="1" x14ac:dyDescent="0.2">
      <c r="A5" t="s">
        <v>285</v>
      </c>
      <c r="B5" s="1" t="s">
        <v>285</v>
      </c>
      <c r="C5" s="1" t="s">
        <v>285</v>
      </c>
      <c r="D5" s="1" t="s">
        <v>285</v>
      </c>
      <c r="E5" s="1" t="s">
        <v>285</v>
      </c>
      <c r="F5" s="104" t="s">
        <v>285</v>
      </c>
      <c r="G5" s="38" t="s">
        <v>285</v>
      </c>
      <c r="H5" s="33" t="s">
        <v>285</v>
      </c>
      <c r="I5" s="38" t="s">
        <v>285</v>
      </c>
      <c r="J5" s="33" t="s">
        <v>285</v>
      </c>
      <c r="K5" s="38" t="s">
        <v>393</v>
      </c>
      <c r="L5" s="38" t="s">
        <v>393</v>
      </c>
      <c r="M5" s="2" t="s">
        <v>394</v>
      </c>
      <c r="N5" s="2" t="s">
        <v>394</v>
      </c>
      <c r="O5" s="33" t="s">
        <v>285</v>
      </c>
      <c r="P5" s="33" t="s">
        <v>285</v>
      </c>
      <c r="Q5" s="2" t="s">
        <v>394</v>
      </c>
      <c r="R5" s="2" t="s">
        <v>394</v>
      </c>
      <c r="S5" s="116" t="s">
        <v>285</v>
      </c>
      <c r="T5" s="34" t="s">
        <v>285</v>
      </c>
      <c r="U5" s="34" t="s">
        <v>285</v>
      </c>
      <c r="V5" s="34" t="s">
        <v>285</v>
      </c>
      <c r="W5" s="34" t="s">
        <v>285</v>
      </c>
      <c r="X5" s="34" t="s">
        <v>285</v>
      </c>
      <c r="Y5" s="2" t="s">
        <v>285</v>
      </c>
      <c r="Z5" s="2" t="s">
        <v>393</v>
      </c>
      <c r="AA5" s="2" t="s">
        <v>393</v>
      </c>
      <c r="AB5" s="2" t="s">
        <v>393</v>
      </c>
      <c r="AC5" s="104" t="s">
        <v>285</v>
      </c>
      <c r="AD5" s="38" t="s">
        <v>285</v>
      </c>
      <c r="AE5" s="38" t="s">
        <v>285</v>
      </c>
      <c r="AF5" s="29" t="s">
        <v>285</v>
      </c>
    </row>
    <row r="6" spans="1:32" ht="0" hidden="1" customHeight="1" x14ac:dyDescent="0.2">
      <c r="A6" t="s">
        <v>287</v>
      </c>
      <c r="B6" s="1" t="s">
        <v>287</v>
      </c>
      <c r="C6" s="1" t="s">
        <v>287</v>
      </c>
      <c r="D6" s="1" t="s">
        <v>287</v>
      </c>
      <c r="E6" s="1" t="s">
        <v>287</v>
      </c>
      <c r="F6" s="104" t="s">
        <v>290</v>
      </c>
      <c r="G6" s="38" t="s">
        <v>290</v>
      </c>
      <c r="H6" s="33" t="s">
        <v>290</v>
      </c>
      <c r="I6" s="38" t="s">
        <v>290</v>
      </c>
      <c r="J6" s="33" t="s">
        <v>290</v>
      </c>
      <c r="K6" s="38" t="s">
        <v>288</v>
      </c>
      <c r="L6" s="38" t="s">
        <v>288</v>
      </c>
      <c r="M6" s="2" t="s">
        <v>289</v>
      </c>
      <c r="N6" s="2" t="s">
        <v>289</v>
      </c>
      <c r="O6" s="33" t="s">
        <v>290</v>
      </c>
      <c r="P6" s="33" t="s">
        <v>395</v>
      </c>
      <c r="Q6" s="2" t="s">
        <v>289</v>
      </c>
      <c r="R6" s="2" t="s">
        <v>289</v>
      </c>
      <c r="S6" s="116" t="s">
        <v>395</v>
      </c>
      <c r="T6" s="34" t="s">
        <v>395</v>
      </c>
      <c r="U6" s="34" t="s">
        <v>396</v>
      </c>
      <c r="V6" s="34" t="s">
        <v>395</v>
      </c>
      <c r="W6" s="34" t="s">
        <v>396</v>
      </c>
      <c r="X6" s="34" t="s">
        <v>395</v>
      </c>
      <c r="Y6" s="2" t="s">
        <v>395</v>
      </c>
      <c r="Z6" s="2" t="s">
        <v>289</v>
      </c>
      <c r="AA6" s="2" t="s">
        <v>289</v>
      </c>
      <c r="AB6" s="2" t="s">
        <v>289</v>
      </c>
      <c r="AC6" s="104" t="s">
        <v>290</v>
      </c>
      <c r="AD6" s="38" t="s">
        <v>290</v>
      </c>
      <c r="AE6" s="38" t="s">
        <v>290</v>
      </c>
      <c r="AF6" s="29" t="s">
        <v>290</v>
      </c>
    </row>
    <row r="7" spans="1:32" ht="0" hidden="1" customHeight="1" x14ac:dyDescent="0.2">
      <c r="A7" t="s">
        <v>291</v>
      </c>
      <c r="B7" s="1" t="s">
        <v>291</v>
      </c>
      <c r="C7" s="1" t="s">
        <v>291</v>
      </c>
      <c r="D7" s="1" t="s">
        <v>291</v>
      </c>
      <c r="E7" s="1" t="s">
        <v>291</v>
      </c>
      <c r="F7" s="104" t="s">
        <v>292</v>
      </c>
      <c r="G7" s="38" t="s">
        <v>292</v>
      </c>
      <c r="H7" s="33" t="s">
        <v>398</v>
      </c>
      <c r="I7" s="38" t="s">
        <v>292</v>
      </c>
      <c r="J7" s="33" t="s">
        <v>398</v>
      </c>
      <c r="K7" s="38" t="s">
        <v>292</v>
      </c>
      <c r="L7" s="38" t="s">
        <v>292</v>
      </c>
      <c r="M7" s="2" t="s">
        <v>292</v>
      </c>
      <c r="N7" s="2" t="s">
        <v>292</v>
      </c>
      <c r="O7" s="33" t="s">
        <v>398</v>
      </c>
      <c r="P7" s="33" t="s">
        <v>398</v>
      </c>
      <c r="Q7" s="2" t="s">
        <v>292</v>
      </c>
      <c r="R7" s="2" t="s">
        <v>292</v>
      </c>
      <c r="S7" s="116" t="s">
        <v>398</v>
      </c>
      <c r="T7" s="34" t="s">
        <v>398</v>
      </c>
      <c r="U7" s="34" t="s">
        <v>398</v>
      </c>
      <c r="V7" s="34" t="s">
        <v>398</v>
      </c>
      <c r="W7" s="34" t="s">
        <v>398</v>
      </c>
      <c r="X7" s="34" t="s">
        <v>398</v>
      </c>
      <c r="Y7" s="2" t="s">
        <v>292</v>
      </c>
      <c r="Z7" s="2" t="s">
        <v>292</v>
      </c>
      <c r="AA7" s="2" t="s">
        <v>292</v>
      </c>
      <c r="AB7" s="2" t="s">
        <v>292</v>
      </c>
      <c r="AC7" s="104" t="s">
        <v>292</v>
      </c>
      <c r="AD7" s="38" t="s">
        <v>292</v>
      </c>
      <c r="AE7" s="38" t="s">
        <v>292</v>
      </c>
      <c r="AF7" s="29" t="s">
        <v>292</v>
      </c>
    </row>
    <row r="8" spans="1:32" ht="0" hidden="1" customHeight="1" x14ac:dyDescent="0.2">
      <c r="F8" s="104"/>
      <c r="G8" s="38"/>
      <c r="H8" s="33"/>
      <c r="I8" s="38"/>
      <c r="J8" s="33"/>
      <c r="K8" s="64" t="s">
        <v>1164</v>
      </c>
      <c r="L8" s="64" t="s">
        <v>761</v>
      </c>
      <c r="M8" s="63" t="s">
        <v>216</v>
      </c>
      <c r="N8" s="63" t="s">
        <v>218</v>
      </c>
      <c r="O8" s="33"/>
      <c r="P8" s="33"/>
      <c r="Q8" s="63" t="s">
        <v>218</v>
      </c>
      <c r="R8" s="63" t="s">
        <v>216</v>
      </c>
      <c r="Z8" s="63" t="s">
        <v>761</v>
      </c>
      <c r="AA8" s="63" t="s">
        <v>761</v>
      </c>
      <c r="AB8" s="63" t="s">
        <v>761</v>
      </c>
    </row>
    <row r="9" spans="1:32" ht="0" hidden="1" customHeight="1" x14ac:dyDescent="0.2">
      <c r="F9" s="104"/>
      <c r="G9" s="38"/>
      <c r="H9" s="33"/>
      <c r="I9" s="38"/>
      <c r="J9" s="33"/>
      <c r="K9" s="64" t="s">
        <v>1165</v>
      </c>
      <c r="L9" s="64" t="s">
        <v>1166</v>
      </c>
      <c r="M9" s="63"/>
      <c r="N9" s="63"/>
      <c r="O9" s="33"/>
      <c r="P9" s="33"/>
      <c r="Q9" s="63"/>
      <c r="R9" s="63"/>
      <c r="Z9" s="63" t="s">
        <v>1166</v>
      </c>
      <c r="AA9" s="63" t="s">
        <v>1166</v>
      </c>
      <c r="AB9" s="63" t="s">
        <v>1166</v>
      </c>
    </row>
    <row r="10" spans="1:32" ht="0" hidden="1" customHeight="1" x14ac:dyDescent="0.2">
      <c r="F10" s="104"/>
      <c r="G10" s="38"/>
      <c r="H10" s="33"/>
      <c r="I10" s="38"/>
      <c r="J10" s="33"/>
      <c r="K10" s="64"/>
      <c r="L10" s="64"/>
      <c r="M10" s="63"/>
      <c r="N10" s="63"/>
      <c r="O10" s="33"/>
      <c r="P10" s="33"/>
      <c r="Q10" s="63"/>
      <c r="R10" s="63"/>
      <c r="Z10" s="63" t="s">
        <v>793</v>
      </c>
      <c r="AA10" s="63" t="s">
        <v>422</v>
      </c>
      <c r="AB10" s="63" t="s">
        <v>541</v>
      </c>
    </row>
    <row r="11" spans="1:32" ht="0" hidden="1" customHeight="1" x14ac:dyDescent="0.2">
      <c r="F11" s="104" t="s">
        <v>805</v>
      </c>
      <c r="G11" s="38" t="s">
        <v>805</v>
      </c>
      <c r="H11" s="33" t="s">
        <v>805</v>
      </c>
      <c r="I11" s="38" t="s">
        <v>805</v>
      </c>
      <c r="J11" s="33" t="s">
        <v>805</v>
      </c>
      <c r="K11" s="38" t="s">
        <v>805</v>
      </c>
      <c r="L11" s="38" t="s">
        <v>805</v>
      </c>
      <c r="M11" s="2" t="s">
        <v>805</v>
      </c>
      <c r="N11" s="2" t="s">
        <v>805</v>
      </c>
      <c r="O11" s="33" t="s">
        <v>805</v>
      </c>
      <c r="P11" s="33" t="s">
        <v>805</v>
      </c>
      <c r="Q11" s="2" t="s">
        <v>805</v>
      </c>
      <c r="R11" s="2" t="s">
        <v>805</v>
      </c>
      <c r="S11" s="116" t="s">
        <v>805</v>
      </c>
      <c r="T11" s="34" t="s">
        <v>805</v>
      </c>
      <c r="U11" s="34" t="s">
        <v>805</v>
      </c>
      <c r="V11" s="34" t="s">
        <v>805</v>
      </c>
      <c r="W11" s="34" t="s">
        <v>805</v>
      </c>
      <c r="X11" s="34" t="s">
        <v>805</v>
      </c>
      <c r="Y11" s="2" t="s">
        <v>805</v>
      </c>
      <c r="Z11" s="2" t="s">
        <v>805</v>
      </c>
      <c r="AA11" s="2" t="s">
        <v>805</v>
      </c>
      <c r="AB11" s="2" t="s">
        <v>805</v>
      </c>
      <c r="AC11" s="104" t="s">
        <v>805</v>
      </c>
      <c r="AD11" s="38" t="s">
        <v>805</v>
      </c>
      <c r="AE11" s="38" t="s">
        <v>805</v>
      </c>
      <c r="AF11" s="29" t="s">
        <v>805</v>
      </c>
    </row>
    <row r="12" spans="1:32" ht="0" hidden="1" customHeight="1" x14ac:dyDescent="0.2">
      <c r="F12" s="104" t="s">
        <v>814</v>
      </c>
      <c r="G12" s="38" t="s">
        <v>814</v>
      </c>
      <c r="H12" s="33" t="s">
        <v>814</v>
      </c>
      <c r="I12" s="38" t="s">
        <v>814</v>
      </c>
      <c r="J12" s="33" t="s">
        <v>814</v>
      </c>
      <c r="K12" s="38" t="s">
        <v>814</v>
      </c>
      <c r="L12" s="38" t="s">
        <v>814</v>
      </c>
      <c r="M12" s="2" t="s">
        <v>814</v>
      </c>
      <c r="N12" s="2" t="s">
        <v>814</v>
      </c>
      <c r="O12" s="33" t="s">
        <v>814</v>
      </c>
      <c r="P12" s="33" t="s">
        <v>814</v>
      </c>
      <c r="Q12" s="2" t="s">
        <v>814</v>
      </c>
      <c r="R12" s="2" t="s">
        <v>814</v>
      </c>
      <c r="S12" s="116" t="s">
        <v>814</v>
      </c>
      <c r="T12" s="34" t="s">
        <v>814</v>
      </c>
      <c r="U12" s="34" t="s">
        <v>814</v>
      </c>
      <c r="V12" s="34" t="s">
        <v>814</v>
      </c>
      <c r="W12" s="34" t="s">
        <v>814</v>
      </c>
      <c r="X12" s="34" t="s">
        <v>814</v>
      </c>
      <c r="Y12" s="2" t="s">
        <v>814</v>
      </c>
      <c r="Z12" s="2" t="s">
        <v>814</v>
      </c>
      <c r="AA12" s="2" t="s">
        <v>814</v>
      </c>
      <c r="AB12" s="2" t="s">
        <v>814</v>
      </c>
      <c r="AC12" s="104" t="s">
        <v>814</v>
      </c>
      <c r="AD12" s="38" t="s">
        <v>814</v>
      </c>
      <c r="AE12" s="38" t="s">
        <v>814</v>
      </c>
      <c r="AF12" s="29" t="s">
        <v>814</v>
      </c>
    </row>
    <row r="13" spans="1:32" ht="0" hidden="1" customHeight="1" x14ac:dyDescent="0.2">
      <c r="F13" s="104"/>
      <c r="G13" s="38"/>
      <c r="H13" s="33"/>
      <c r="I13" s="38"/>
      <c r="J13" s="33"/>
      <c r="K13" s="38"/>
    </row>
    <row r="14" spans="1:32" x14ac:dyDescent="0.2">
      <c r="A14" s="131" t="s">
        <v>280</v>
      </c>
      <c r="B14" s="15" t="s">
        <v>294</v>
      </c>
      <c r="C14" s="15" t="s">
        <v>428</v>
      </c>
      <c r="D14" s="15" t="s">
        <v>429</v>
      </c>
      <c r="E14" s="15" t="s">
        <v>20</v>
      </c>
      <c r="F14" s="55" t="s">
        <v>138</v>
      </c>
      <c r="G14" s="18" t="s">
        <v>1038</v>
      </c>
      <c r="H14" s="48" t="s">
        <v>141</v>
      </c>
      <c r="I14" s="18" t="s">
        <v>146</v>
      </c>
      <c r="J14" s="48" t="s">
        <v>145</v>
      </c>
      <c r="K14" s="18" t="s">
        <v>1167</v>
      </c>
      <c r="L14" s="18" t="s">
        <v>1168</v>
      </c>
      <c r="M14" s="49" t="s">
        <v>215</v>
      </c>
      <c r="N14" s="49" t="s">
        <v>217</v>
      </c>
      <c r="O14" s="48" t="s">
        <v>1169</v>
      </c>
      <c r="P14" s="48" t="s">
        <v>1170</v>
      </c>
      <c r="Q14" s="49" t="s">
        <v>1171</v>
      </c>
      <c r="R14" s="49" t="s">
        <v>1172</v>
      </c>
      <c r="S14" s="56" t="s">
        <v>1173</v>
      </c>
      <c r="T14" s="48" t="s">
        <v>1174</v>
      </c>
      <c r="U14" s="48" t="s">
        <v>1175</v>
      </c>
      <c r="V14" s="48" t="s">
        <v>1176</v>
      </c>
      <c r="W14" s="48" t="s">
        <v>1177</v>
      </c>
      <c r="X14" s="48" t="s">
        <v>1178</v>
      </c>
      <c r="Y14" s="49" t="s">
        <v>895</v>
      </c>
      <c r="Z14" s="49" t="s">
        <v>892</v>
      </c>
      <c r="AA14" s="49" t="s">
        <v>893</v>
      </c>
      <c r="AB14" s="49" t="s">
        <v>894</v>
      </c>
      <c r="AC14" s="55" t="s">
        <v>1064</v>
      </c>
      <c r="AD14" s="18" t="s">
        <v>1141</v>
      </c>
      <c r="AE14" s="18" t="s">
        <v>1067</v>
      </c>
      <c r="AF14" s="18" t="s">
        <v>1068</v>
      </c>
    </row>
    <row r="15" spans="1:32" x14ac:dyDescent="0.2">
      <c r="A15" t="str">
        <f>INDEX(Prioritization!$D:$D,MATCH($B15,Prioritization!$A:$A,0))</f>
        <v>Military</v>
      </c>
      <c r="B15" t="s">
        <v>326</v>
      </c>
      <c r="C15" t="s">
        <v>475</v>
      </c>
      <c r="D15" t="s">
        <v>48</v>
      </c>
      <c r="E15" t="str">
        <f t="shared" ref="E15:E46" si="0">B15&amp;"|"&amp;C15&amp;"|"&amp;D15</f>
        <v>_Military Malawi [PQZgU9dagaH]|15-24|Male</v>
      </c>
      <c r="F15" s="104" t="str">
        <f>IF(LEFT($B15,4)="_Mil","",INDEX(Cascade!$T:$T,MATCH($E15,Cascade!$E:$E,0)))</f>
        <v/>
      </c>
      <c r="G15" s="38" t="str">
        <f>IF(LEFT($B15,4)="_Mil","",INDEX(Cascade!$U:$U,MATCH($E15,Cascade!$E:$E,0)))</f>
        <v/>
      </c>
      <c r="H15" s="110" t="str">
        <f>IF(LEFT($B15,4)="_Mil","",INDEX(Cascade!$W:$W,MATCH($E15,Cascade!$E:$E,0)))</f>
        <v/>
      </c>
      <c r="I15" s="38" t="str">
        <f>IF(LEFT($B15,4)="_Mil","",INDEX(Cascade!$Z:$Z,MATCH($E15,Cascade!$E:$E,0)))</f>
        <v/>
      </c>
      <c r="J15" s="33" t="str">
        <f>IF(LEFT($B15,4)="_Mil","",INDEX(Cascade!$AA:$AA,MATCH($E15,Cascade!$E:$E,0)))</f>
        <v/>
      </c>
      <c r="K15" s="38">
        <v>3939</v>
      </c>
      <c r="L15" s="38">
        <v>1299</v>
      </c>
      <c r="M15" s="218" t="str">
        <f>IF(LEFT($B15,4)="_Mil","",IFERROR(1/(1/ROUND(INDEX(Spectrum!$N:$N,MATCH(RIGHT($B15,13)&amp;"|"&amp;$C15&amp;"|"&amp;$D15&amp;"|"&amp;M$14&amp;"|"&amp;"CY2024Q3",Spectrum!$R:$R,0)),0)),IF(SUM($L15)=0,"",$L15)))</f>
        <v/>
      </c>
      <c r="N15" s="218" t="str">
        <f>IF(LEFT($B15,4)="_Mil","",IFERROR(1/(1/ROUND(INDEX(Spectrum!$N:$N,MATCH(RIGHT($B15,13)&amp;"|"&amp;$C15&amp;"|"&amp;$D15&amp;"|"&amp;N$14&amp;"|"&amp;"CY2024Q3",Spectrum!$R:$R,0)),0)),IF(SUM($M15)=0,"",$M15)))</f>
        <v/>
      </c>
      <c r="O15" s="33" t="str">
        <f t="shared" ref="O15:O46" si="1">IF(OR(LEFT($B15,4)="_Mil",SUM($F15)=0),"",SUM($N15)/$F15)</f>
        <v/>
      </c>
      <c r="P15" s="33" t="str">
        <f t="shared" ref="P15:P46" si="2">IF(OR(LEFT($B15,4)="_Mil",SUM($F15)=0),"",MAX(SUM($O15),80%))</f>
        <v/>
      </c>
      <c r="Q15" s="218" t="str">
        <f t="shared" ref="Q15:Q46" si="3">IF(OR(LEFT($B15,4)="_Mil",SUM($F15)=0),"",ROUND(SUM($F15)*$P15,0))</f>
        <v/>
      </c>
      <c r="R15" s="218" t="str">
        <f t="shared" ref="R15:R46" si="4">IF(OR(LEFT($B15,4)="_Mil",SUM($Q15)=0),"",ROUND(MAX($Q15-SUM($N15),0),0))</f>
        <v/>
      </c>
      <c r="S15" s="36" t="str">
        <f t="shared" ref="S15:S32" si="5">IF(LEFT($B15,4)="_Mil","",IF(SUM($L15)=0,"",IF(SUM($M15)=0,1,$L15/$M15)))</f>
        <v/>
      </c>
      <c r="T15" s="33">
        <v>-0.12</v>
      </c>
      <c r="U15" s="33">
        <v>0.59399999999999997</v>
      </c>
      <c r="V15" s="33">
        <v>0</v>
      </c>
      <c r="W15" s="33">
        <v>1.2999999999999999E-3</v>
      </c>
      <c r="X15" s="33">
        <f t="shared" ref="X15:X22" si="6">IF($W15="","",$W15)</f>
        <v>1.2999999999999999E-3</v>
      </c>
      <c r="Y15" s="38">
        <f t="shared" ref="Y15:Y46" si="7">IF(LEFT($B15,4)="_Mil",IF(SUM($L15)=0,"",ROUND($L15*(1+$T15),0)),IF(SUM($R15)=0,"",IF($S15="","ENTER IN COL S",ROUND($R15*$S15,0))))</f>
        <v>1143</v>
      </c>
      <c r="Z15" s="218">
        <f t="shared" ref="Z15:Z46" si="8">IF(SUM($Y15)=0,"",IF(AND(SUM($Y15)&gt;0,$V15=""),"ENTER INDETERMINATE RATE",ROUND($Y15*$V15,0)))</f>
        <v>0</v>
      </c>
      <c r="AA15" s="218">
        <f t="shared" ref="AA15:AA46" si="9">IF(SUM($Y15)=0,"",IF(AND(($Y15-SUM($Z15))&gt;0,$X15=""),"ENTER YIELD RATE",ROUND(($Y15-SUM($Z15))*SUM($X15),0)))</f>
        <v>1</v>
      </c>
      <c r="AB15" s="218">
        <f t="shared" ref="AB15:AB46" si="10">IF(SUM($Y15)=0,"",$Y15-SUM($Z15)-SUM($AA15))</f>
        <v>1142</v>
      </c>
      <c r="AC15" s="104">
        <f>IFERROR(1/(1/INDEX(Cascade!$BH:$BH,MATCH($E15,Cascade!$E:$E,0))),"")</f>
        <v>20</v>
      </c>
      <c r="AD15" s="38">
        <f t="shared" ref="AD15:AD46" si="11">IF(SUM($AA15)=0,"",$AA15)</f>
        <v>1</v>
      </c>
      <c r="AE15" s="38" t="str">
        <f>IFERROR(1/(1/INDEX(TB!$P:$P,MATCH($E15,TB!$E:$E,0))),"")</f>
        <v/>
      </c>
      <c r="AF15" s="38">
        <f t="shared" ref="AF15:AF46" si="12">IFERROR(1/(1/(SUM($AC15)-SUM($AD15:$AE15))),"")</f>
        <v>19</v>
      </c>
    </row>
    <row r="16" spans="1:32" x14ac:dyDescent="0.2">
      <c r="A16" t="str">
        <f>INDEX(Prioritization!$D:$D,MATCH($B16,Prioritization!$A:$A,0))</f>
        <v>Military</v>
      </c>
      <c r="B16" t="s">
        <v>326</v>
      </c>
      <c r="C16" t="s">
        <v>476</v>
      </c>
      <c r="D16" t="s">
        <v>48</v>
      </c>
      <c r="E16" t="str">
        <f t="shared" si="0"/>
        <v>_Military Malawi [PQZgU9dagaH]|25-34|Male</v>
      </c>
      <c r="F16" s="38" t="str">
        <f>IF(LEFT($B16,4)="_Mil","",INDEX(Cascade!$T:$T,MATCH($E16,Cascade!$E:$E,0)))</f>
        <v/>
      </c>
      <c r="G16" s="38" t="str">
        <f>IF(LEFT($B16,4)="_Mil","",INDEX(Cascade!$U:$U,MATCH($E16,Cascade!$E:$E,0)))</f>
        <v/>
      </c>
      <c r="H16" s="110" t="str">
        <f>IF(LEFT($B16,4)="_Mil","",INDEX(Cascade!$W:$W,MATCH($E16,Cascade!$E:$E,0)))</f>
        <v/>
      </c>
      <c r="I16" s="38" t="str">
        <f>IF(LEFT($B16,4)="_Mil","",INDEX(Cascade!$Z:$Z,MATCH($E16,Cascade!$E:$E,0)))</f>
        <v/>
      </c>
      <c r="J16" s="33" t="str">
        <f>IF(LEFT($B16,4)="_Mil","",INDEX(Cascade!$AA:$AA,MATCH($E16,Cascade!$E:$E,0)))</f>
        <v/>
      </c>
      <c r="K16" s="38">
        <v>2562</v>
      </c>
      <c r="L16" s="38">
        <v>3760</v>
      </c>
      <c r="M16" s="218" t="str">
        <f>IF(LEFT($B16,4)="_Mil","",IFERROR(1/(1/ROUND(INDEX(Spectrum!$N:$N,MATCH(RIGHT($B16,13)&amp;"|"&amp;$C16&amp;"|"&amp;$D16&amp;"|"&amp;M$14&amp;"|"&amp;"CY2024Q3",Spectrum!$R:$R,0)),0)),IF(SUM($L16)=0,"",$L16)))</f>
        <v/>
      </c>
      <c r="N16" s="218" t="str">
        <f>IF(LEFT($B16,4)="_Mil","",IFERROR(1/(1/ROUND(INDEX(Spectrum!$N:$N,MATCH(RIGHT($B16,13)&amp;"|"&amp;$C16&amp;"|"&amp;$D16&amp;"|"&amp;N$14&amp;"|"&amp;"CY2024Q3",Spectrum!$R:$R,0)),0)),IF(SUM($M16)=0,"",$M16)))</f>
        <v/>
      </c>
      <c r="O16" s="33" t="str">
        <f t="shared" si="1"/>
        <v/>
      </c>
      <c r="P16" s="33" t="str">
        <f t="shared" si="2"/>
        <v/>
      </c>
      <c r="Q16" s="218" t="str">
        <f t="shared" si="3"/>
        <v/>
      </c>
      <c r="R16" s="218" t="str">
        <f t="shared" si="4"/>
        <v/>
      </c>
      <c r="S16" s="33" t="str">
        <f t="shared" si="5"/>
        <v/>
      </c>
      <c r="T16" s="33">
        <v>-0.12</v>
      </c>
      <c r="U16" s="33">
        <v>0.63400000000000001</v>
      </c>
      <c r="V16" s="33">
        <v>0</v>
      </c>
      <c r="W16" s="33">
        <v>3.2000000000000002E-3</v>
      </c>
      <c r="X16" s="33">
        <f t="shared" si="6"/>
        <v>3.2000000000000002E-3</v>
      </c>
      <c r="Y16" s="38">
        <f t="shared" si="7"/>
        <v>3309</v>
      </c>
      <c r="Z16" s="218">
        <f t="shared" si="8"/>
        <v>0</v>
      </c>
      <c r="AA16" s="218">
        <f t="shared" si="9"/>
        <v>11</v>
      </c>
      <c r="AB16" s="218">
        <f t="shared" si="10"/>
        <v>3298</v>
      </c>
      <c r="AC16" s="38">
        <f>IFERROR(1/(1/INDEX(Cascade!$BH:$BH,MATCH($E16,Cascade!$E:$E,0))),"")</f>
        <v>39</v>
      </c>
      <c r="AD16" s="38">
        <f t="shared" si="11"/>
        <v>11</v>
      </c>
      <c r="AE16" s="38" t="str">
        <f>IFERROR(1/(1/INDEX(TB!$P:$P,MATCH($E16,TB!$E:$E,0))),"")</f>
        <v/>
      </c>
      <c r="AF16" s="38">
        <f t="shared" si="12"/>
        <v>28</v>
      </c>
    </row>
    <row r="17" spans="1:32" x14ac:dyDescent="0.2">
      <c r="A17" t="str">
        <f>INDEX(Prioritization!$D:$D,MATCH($B17,Prioritization!$A:$A,0))</f>
        <v>Military</v>
      </c>
      <c r="B17" t="s">
        <v>326</v>
      </c>
      <c r="C17" t="s">
        <v>477</v>
      </c>
      <c r="D17" t="s">
        <v>48</v>
      </c>
      <c r="E17" t="str">
        <f t="shared" si="0"/>
        <v>_Military Malawi [PQZgU9dagaH]|35-49|Male</v>
      </c>
      <c r="F17" s="38" t="str">
        <f>IF(LEFT($B17,4)="_Mil","",INDEX(Cascade!$T:$T,MATCH($E17,Cascade!$E:$E,0)))</f>
        <v/>
      </c>
      <c r="G17" s="38" t="str">
        <f>IF(LEFT($B17,4)="_Mil","",INDEX(Cascade!$U:$U,MATCH($E17,Cascade!$E:$E,0)))</f>
        <v/>
      </c>
      <c r="H17" s="110" t="str">
        <f>IF(LEFT($B17,4)="_Mil","",INDEX(Cascade!$W:$W,MATCH($E17,Cascade!$E:$E,0)))</f>
        <v/>
      </c>
      <c r="I17" s="38" t="str">
        <f>IF(LEFT($B17,4)="_Mil","",INDEX(Cascade!$Z:$Z,MATCH($E17,Cascade!$E:$E,0)))</f>
        <v/>
      </c>
      <c r="J17" s="33" t="str">
        <f>IF(LEFT($B17,4)="_Mil","",INDEX(Cascade!$AA:$AA,MATCH($E17,Cascade!$E:$E,0)))</f>
        <v/>
      </c>
      <c r="K17" s="38">
        <v>1079</v>
      </c>
      <c r="L17" s="38">
        <v>3941</v>
      </c>
      <c r="M17" s="218" t="str">
        <f>IF(LEFT($B17,4)="_Mil","",IFERROR(1/(1/ROUND(INDEX(Spectrum!$N:$N,MATCH(RIGHT($B17,13)&amp;"|"&amp;$C17&amp;"|"&amp;$D17&amp;"|"&amp;M$14&amp;"|"&amp;"CY2024Q3",Spectrum!$R:$R,0)),0)),IF(SUM($L17)=0,"",$L17)))</f>
        <v/>
      </c>
      <c r="N17" s="218" t="str">
        <f>IF(LEFT($B17,4)="_Mil","",IFERROR(1/(1/ROUND(INDEX(Spectrum!$N:$N,MATCH(RIGHT($B17,13)&amp;"|"&amp;$C17&amp;"|"&amp;$D17&amp;"|"&amp;N$14&amp;"|"&amp;"CY2024Q3",Spectrum!$R:$R,0)),0)),IF(SUM($M17)=0,"",$M17)))</f>
        <v/>
      </c>
      <c r="O17" s="33" t="str">
        <f t="shared" si="1"/>
        <v/>
      </c>
      <c r="P17" s="33" t="str">
        <f t="shared" si="2"/>
        <v/>
      </c>
      <c r="Q17" s="218" t="str">
        <f t="shared" si="3"/>
        <v/>
      </c>
      <c r="R17" s="218" t="str">
        <f t="shared" si="4"/>
        <v/>
      </c>
      <c r="S17" s="33" t="str">
        <f t="shared" si="5"/>
        <v/>
      </c>
      <c r="T17" s="33">
        <v>-0.12</v>
      </c>
      <c r="U17" s="33">
        <v>0.77300000000000002</v>
      </c>
      <c r="V17" s="33">
        <v>0</v>
      </c>
      <c r="W17" s="33">
        <v>1.2E-2</v>
      </c>
      <c r="X17" s="33">
        <f t="shared" si="6"/>
        <v>1.2E-2</v>
      </c>
      <c r="Y17" s="38">
        <f t="shared" si="7"/>
        <v>3468</v>
      </c>
      <c r="Z17" s="218">
        <f t="shared" si="8"/>
        <v>0</v>
      </c>
      <c r="AA17" s="218">
        <f t="shared" si="9"/>
        <v>42</v>
      </c>
      <c r="AB17" s="218">
        <f t="shared" si="10"/>
        <v>3426</v>
      </c>
      <c r="AC17" s="38">
        <f>IFERROR(1/(1/INDEX(Cascade!$BH:$BH,MATCH($E17,Cascade!$E:$E,0))),"")</f>
        <v>152</v>
      </c>
      <c r="AD17" s="38">
        <f t="shared" si="11"/>
        <v>42</v>
      </c>
      <c r="AE17" s="38" t="str">
        <f>IFERROR(1/(1/INDEX(TB!$P:$P,MATCH($E17,TB!$E:$E,0))),"")</f>
        <v/>
      </c>
      <c r="AF17" s="38">
        <f t="shared" si="12"/>
        <v>110</v>
      </c>
    </row>
    <row r="18" spans="1:32" x14ac:dyDescent="0.2">
      <c r="A18" t="str">
        <f>INDEX(Prioritization!$D:$D,MATCH($B18,Prioritization!$A:$A,0))</f>
        <v>Military</v>
      </c>
      <c r="B18" t="s">
        <v>326</v>
      </c>
      <c r="C18" t="s">
        <v>478</v>
      </c>
      <c r="D18" t="s">
        <v>48</v>
      </c>
      <c r="E18" t="str">
        <f t="shared" si="0"/>
        <v>_Military Malawi [PQZgU9dagaH]|50+|Male</v>
      </c>
      <c r="F18" s="38" t="str">
        <f>IF(LEFT($B18,4)="_Mil","",INDEX(Cascade!$T:$T,MATCH($E18,Cascade!$E:$E,0)))</f>
        <v/>
      </c>
      <c r="G18" s="38" t="str">
        <f>IF(LEFT($B18,4)="_Mil","",INDEX(Cascade!$U:$U,MATCH($E18,Cascade!$E:$E,0)))</f>
        <v/>
      </c>
      <c r="H18" s="110" t="str">
        <f>IF(LEFT($B18,4)="_Mil","",INDEX(Cascade!$W:$W,MATCH($E18,Cascade!$E:$E,0)))</f>
        <v/>
      </c>
      <c r="I18" s="38" t="str">
        <f>IF(LEFT($B18,4)="_Mil","",INDEX(Cascade!$Z:$Z,MATCH($E18,Cascade!$E:$E,0)))</f>
        <v/>
      </c>
      <c r="J18" s="33" t="str">
        <f>IF(LEFT($B18,4)="_Mil","",INDEX(Cascade!$AA:$AA,MATCH($E18,Cascade!$E:$E,0)))</f>
        <v/>
      </c>
      <c r="K18" s="38">
        <v>43</v>
      </c>
      <c r="L18" s="38"/>
      <c r="M18" s="218" t="str">
        <f>IF(LEFT($B18,4)="_Mil","",IFERROR(1/(1/ROUND(INDEX(Spectrum!$N:$N,MATCH(RIGHT($B18,13)&amp;"|"&amp;$C18&amp;"|"&amp;$D18&amp;"|"&amp;M$14&amp;"|"&amp;"CY2024Q3",Spectrum!$R:$R,0)),0)),IF(SUM($L18)=0,"",$L18)))</f>
        <v/>
      </c>
      <c r="N18" s="218" t="str">
        <f>IF(LEFT($B18,4)="_Mil","",IFERROR(1/(1/ROUND(INDEX(Spectrum!$N:$N,MATCH(RIGHT($B18,13)&amp;"|"&amp;$C18&amp;"|"&amp;$D18&amp;"|"&amp;N$14&amp;"|"&amp;"CY2024Q3",Spectrum!$R:$R,0)),0)),IF(SUM($M18)=0,"",$M18)))</f>
        <v/>
      </c>
      <c r="O18" s="33" t="str">
        <f t="shared" si="1"/>
        <v/>
      </c>
      <c r="P18" s="33" t="str">
        <f t="shared" si="2"/>
        <v/>
      </c>
      <c r="Q18" s="218" t="str">
        <f t="shared" si="3"/>
        <v/>
      </c>
      <c r="R18" s="218" t="str">
        <f t="shared" si="4"/>
        <v/>
      </c>
      <c r="S18" s="33" t="str">
        <f t="shared" si="5"/>
        <v/>
      </c>
      <c r="T18" s="33">
        <v>-0.12</v>
      </c>
      <c r="U18" s="33">
        <v>0.83699999999999997</v>
      </c>
      <c r="V18" s="33">
        <v>0</v>
      </c>
      <c r="W18" s="33"/>
      <c r="X18" s="33" t="str">
        <f t="shared" si="6"/>
        <v/>
      </c>
      <c r="Y18" s="38" t="str">
        <f t="shared" si="7"/>
        <v/>
      </c>
      <c r="Z18" s="218" t="str">
        <f t="shared" si="8"/>
        <v/>
      </c>
      <c r="AA18" s="218" t="str">
        <f t="shared" si="9"/>
        <v/>
      </c>
      <c r="AB18" s="218" t="str">
        <f t="shared" si="10"/>
        <v/>
      </c>
      <c r="AC18" s="38">
        <f>IFERROR(1/(1/INDEX(Cascade!$BH:$BH,MATCH($E18,Cascade!$E:$E,0))),"")</f>
        <v>120</v>
      </c>
      <c r="AD18" s="38" t="str">
        <f t="shared" si="11"/>
        <v/>
      </c>
      <c r="AE18" s="38" t="str">
        <f>IFERROR(1/(1/INDEX(TB!$P:$P,MATCH($E18,TB!$E:$E,0))),"")</f>
        <v/>
      </c>
      <c r="AF18" s="38">
        <f t="shared" si="12"/>
        <v>120</v>
      </c>
    </row>
    <row r="19" spans="1:32" x14ac:dyDescent="0.2">
      <c r="A19" t="str">
        <f>INDEX(Prioritization!$D:$D,MATCH($B19,Prioritization!$A:$A,0))</f>
        <v>4 - Sustained</v>
      </c>
      <c r="B19" t="s">
        <v>313</v>
      </c>
      <c r="C19" t="s">
        <v>475</v>
      </c>
      <c r="D19" t="s">
        <v>48</v>
      </c>
      <c r="E19" t="str">
        <f t="shared" si="0"/>
        <v>Balaka District [ir8wuHHzoSs]|15-24|Male</v>
      </c>
      <c r="F19" s="38">
        <f>IF(LEFT($B19,4)="_Mil","",INDEX(Cascade!$T:$T,MATCH($E19,Cascade!$E:$E,0)))</f>
        <v>57583</v>
      </c>
      <c r="G19" s="38">
        <f>IF(LEFT($B19,4)="_Mil","",INDEX(Cascade!$U:$U,MATCH($E19,Cascade!$E:$E,0)))</f>
        <v>1091</v>
      </c>
      <c r="H19" s="110">
        <f>IF(LEFT($B19,4)="_Mil","",INDEX(Cascade!$W:$W,MATCH($E19,Cascade!$E:$E,0)))</f>
        <v>1.8938349E-2</v>
      </c>
      <c r="I19" s="38">
        <f>IF(LEFT($B19,4)="_Mil","",INDEX(Cascade!$Z:$Z,MATCH($E19,Cascade!$E:$E,0)))</f>
        <v>786</v>
      </c>
      <c r="J19" s="33">
        <f>IF(LEFT($B19,4)="_Mil","",INDEX(Cascade!$AA:$AA,MATCH($E19,Cascade!$E:$E,0)))</f>
        <v>0.90392237399999997</v>
      </c>
      <c r="K19" s="38"/>
      <c r="L19" s="38">
        <v>0</v>
      </c>
      <c r="M19" s="218" t="str">
        <f>IF(LEFT($B19,4)="_Mil","",IFERROR(1/(1/ROUND(INDEX(Spectrum!$N:$N,MATCH(RIGHT($B19,13)&amp;"|"&amp;$C19&amp;"|"&amp;$D19&amp;"|"&amp;M$14&amp;"|"&amp;"CY2024Q3",Spectrum!$R:$R,0)),0)),IF(SUM($L19)=0,"",$L19)))</f>
        <v/>
      </c>
      <c r="N19" s="218">
        <f>IF(LEFT($B19,4)="_Mil","",IFERROR(1/(1/ROUND(INDEX(Spectrum!$N:$N,MATCH(RIGHT($B19,13)&amp;"|"&amp;$C19&amp;"|"&amp;$D19&amp;"|"&amp;N$14&amp;"|"&amp;"CY2024Q3",Spectrum!$R:$R,0)),0)),IF(SUM($M19)=0,"",$M19)))</f>
        <v>30303</v>
      </c>
      <c r="O19" s="33">
        <f t="shared" si="1"/>
        <v>0.52624906656478476</v>
      </c>
      <c r="P19" s="33">
        <f t="shared" si="2"/>
        <v>0.8</v>
      </c>
      <c r="Q19" s="218">
        <f t="shared" si="3"/>
        <v>46066</v>
      </c>
      <c r="R19" s="218">
        <f t="shared" si="4"/>
        <v>15763</v>
      </c>
      <c r="S19" s="33">
        <v>0</v>
      </c>
      <c r="T19" s="33" t="str">
        <f t="shared" ref="T19:T46" si="13">IF(LEFT($B19,4)="_Mil",0,"")</f>
        <v/>
      </c>
      <c r="U19" s="33">
        <v>0</v>
      </c>
      <c r="V19" s="33">
        <f t="shared" ref="V19:V46" si="14">IF($U19="","",$U19)</f>
        <v>0</v>
      </c>
      <c r="W19" s="33">
        <v>0</v>
      </c>
      <c r="X19" s="33">
        <f t="shared" si="6"/>
        <v>0</v>
      </c>
      <c r="Y19" s="38">
        <f t="shared" si="7"/>
        <v>0</v>
      </c>
      <c r="Z19" s="218" t="str">
        <f t="shared" si="8"/>
        <v/>
      </c>
      <c r="AA19" s="218" t="str">
        <f t="shared" si="9"/>
        <v/>
      </c>
      <c r="AB19" s="218" t="str">
        <f t="shared" si="10"/>
        <v/>
      </c>
      <c r="AC19" s="38">
        <f>IFERROR(1/(1/INDEX(Cascade!$BH:$BH,MATCH($E19,Cascade!$E:$E,0))),"")</f>
        <v>716</v>
      </c>
      <c r="AD19" s="38" t="str">
        <f t="shared" si="11"/>
        <v/>
      </c>
      <c r="AE19" s="38" t="str">
        <f>IFERROR(1/(1/INDEX(TB!$P:$P,MATCH($E19,TB!$E:$E,0))),"")</f>
        <v/>
      </c>
      <c r="AF19" s="38">
        <f t="shared" si="12"/>
        <v>716</v>
      </c>
    </row>
    <row r="20" spans="1:32" x14ac:dyDescent="0.2">
      <c r="A20" t="str">
        <f>INDEX(Prioritization!$D:$D,MATCH($B20,Prioritization!$A:$A,0))</f>
        <v>4 - Sustained</v>
      </c>
      <c r="B20" t="s">
        <v>313</v>
      </c>
      <c r="C20" t="s">
        <v>476</v>
      </c>
      <c r="D20" t="s">
        <v>48</v>
      </c>
      <c r="E20" t="str">
        <f t="shared" si="0"/>
        <v>Balaka District [ir8wuHHzoSs]|25-34|Male</v>
      </c>
      <c r="F20" s="38">
        <f>IF(LEFT($B20,4)="_Mil","",INDEX(Cascade!$T:$T,MATCH($E20,Cascade!$E:$E,0)))</f>
        <v>0</v>
      </c>
      <c r="G20" s="38">
        <f>IF(LEFT($B20,4)="_Mil","",INDEX(Cascade!$U:$U,MATCH($E20,Cascade!$E:$E,0)))</f>
        <v>0</v>
      </c>
      <c r="H20" s="110">
        <f>IF(LEFT($B20,4)="_Mil","",INDEX(Cascade!$W:$W,MATCH($E20,Cascade!$E:$E,0)))</f>
        <v>0</v>
      </c>
      <c r="I20" s="38">
        <f>IF(LEFT($B20,4)="_Mil","",INDEX(Cascade!$Z:$Z,MATCH($E20,Cascade!$E:$E,0)))</f>
        <v>0</v>
      </c>
      <c r="J20" s="33">
        <f>IF(LEFT($B20,4)="_Mil","",INDEX(Cascade!$AA:$AA,MATCH($E20,Cascade!$E:$E,0)))</f>
        <v>0</v>
      </c>
      <c r="K20" s="38"/>
      <c r="L20" s="38"/>
      <c r="M20" s="218" t="str">
        <f>IF(LEFT($B20,4)="_Mil","",IFERROR(1/(1/ROUND(INDEX(Spectrum!$N:$N,MATCH(RIGHT($B20,13)&amp;"|"&amp;$C20&amp;"|"&amp;$D20&amp;"|"&amp;M$14&amp;"|"&amp;"CY2024Q3",Spectrum!$R:$R,0)),0)),IF(SUM($L20)=0,"",$L20)))</f>
        <v/>
      </c>
      <c r="N20" s="218">
        <f>IF(LEFT($B20,4)="_Mil","",IFERROR(1/(1/ROUND(INDEX(Spectrum!$N:$N,MATCH(RIGHT($B20,13)&amp;"|"&amp;$C20&amp;"|"&amp;$D20&amp;"|"&amp;N$14&amp;"|"&amp;"CY2024Q3",Spectrum!$R:$R,0)),0)),IF(SUM($M20)=0,"",$M20)))</f>
        <v>29133</v>
      </c>
      <c r="O20" s="33" t="str">
        <f t="shared" si="1"/>
        <v/>
      </c>
      <c r="P20" s="33" t="str">
        <f t="shared" si="2"/>
        <v/>
      </c>
      <c r="Q20" s="218" t="str">
        <f t="shared" si="3"/>
        <v/>
      </c>
      <c r="R20" s="218" t="str">
        <f t="shared" si="4"/>
        <v/>
      </c>
      <c r="S20" s="33" t="str">
        <f t="shared" si="5"/>
        <v/>
      </c>
      <c r="T20" s="33" t="str">
        <f t="shared" si="13"/>
        <v/>
      </c>
      <c r="U20" s="33"/>
      <c r="V20" s="33" t="str">
        <f t="shared" si="14"/>
        <v/>
      </c>
      <c r="W20" s="33"/>
      <c r="X20" s="33" t="str">
        <f t="shared" si="6"/>
        <v/>
      </c>
      <c r="Y20" s="38" t="str">
        <f t="shared" si="7"/>
        <v/>
      </c>
      <c r="Z20" s="218" t="str">
        <f t="shared" si="8"/>
        <v/>
      </c>
      <c r="AA20" s="218" t="str">
        <f t="shared" si="9"/>
        <v/>
      </c>
      <c r="AB20" s="218" t="str">
        <f t="shared" si="10"/>
        <v/>
      </c>
      <c r="AC20" s="38" t="str">
        <f>IFERROR(1/(1/INDEX(Cascade!$BH:$BH,MATCH($E20,Cascade!$E:$E,0))),"")</f>
        <v/>
      </c>
      <c r="AD20" s="38" t="str">
        <f t="shared" si="11"/>
        <v/>
      </c>
      <c r="AE20" s="38" t="str">
        <f>IFERROR(1/(1/INDEX(TB!$P:$P,MATCH($E20,TB!$E:$E,0))),"")</f>
        <v/>
      </c>
      <c r="AF20" s="38" t="str">
        <f t="shared" si="12"/>
        <v/>
      </c>
    </row>
    <row r="21" spans="1:32" x14ac:dyDescent="0.2">
      <c r="A21" t="str">
        <f>INDEX(Prioritization!$D:$D,MATCH($B21,Prioritization!$A:$A,0))</f>
        <v>4 - Sustained</v>
      </c>
      <c r="B21" t="s">
        <v>313</v>
      </c>
      <c r="C21" t="s">
        <v>477</v>
      </c>
      <c r="D21" t="s">
        <v>48</v>
      </c>
      <c r="E21" t="str">
        <f t="shared" si="0"/>
        <v>Balaka District [ir8wuHHzoSs]|35-49|Male</v>
      </c>
      <c r="F21" s="38">
        <f>IF(LEFT($B21,4)="_Mil","",INDEX(Cascade!$T:$T,MATCH($E21,Cascade!$E:$E,0)))</f>
        <v>0</v>
      </c>
      <c r="G21" s="38">
        <f>IF(LEFT($B21,4)="_Mil","",INDEX(Cascade!$U:$U,MATCH($E21,Cascade!$E:$E,0)))</f>
        <v>0</v>
      </c>
      <c r="H21" s="110">
        <f>IF(LEFT($B21,4)="_Mil","",INDEX(Cascade!$W:$W,MATCH($E21,Cascade!$E:$E,0)))</f>
        <v>0</v>
      </c>
      <c r="I21" s="38">
        <f>IF(LEFT($B21,4)="_Mil","",INDEX(Cascade!$Z:$Z,MATCH($E21,Cascade!$E:$E,0)))</f>
        <v>0</v>
      </c>
      <c r="J21" s="33">
        <f>IF(LEFT($B21,4)="_Mil","",INDEX(Cascade!$AA:$AA,MATCH($E21,Cascade!$E:$E,0)))</f>
        <v>0</v>
      </c>
      <c r="K21" s="38"/>
      <c r="L21" s="38"/>
      <c r="M21" s="218" t="str">
        <f>IF(LEFT($B21,4)="_Mil","",IFERROR(1/(1/ROUND(INDEX(Spectrum!$N:$N,MATCH(RIGHT($B21,13)&amp;"|"&amp;$C21&amp;"|"&amp;$D21&amp;"|"&amp;M$14&amp;"|"&amp;"CY2024Q3",Spectrum!$R:$R,0)),0)),IF(SUM($L21)=0,"",$L21)))</f>
        <v/>
      </c>
      <c r="N21" s="218">
        <f>IF(LEFT($B21,4)="_Mil","",IFERROR(1/(1/ROUND(INDEX(Spectrum!$N:$N,MATCH(RIGHT($B21,13)&amp;"|"&amp;$C21&amp;"|"&amp;$D21&amp;"|"&amp;N$14&amp;"|"&amp;"CY2024Q3",Spectrum!$R:$R,0)),0)),IF(SUM($M21)=0,"",$M21)))</f>
        <v>24488</v>
      </c>
      <c r="O21" s="33" t="str">
        <f t="shared" si="1"/>
        <v/>
      </c>
      <c r="P21" s="33" t="str">
        <f t="shared" si="2"/>
        <v/>
      </c>
      <c r="Q21" s="218" t="str">
        <f t="shared" si="3"/>
        <v/>
      </c>
      <c r="R21" s="218" t="str">
        <f t="shared" si="4"/>
        <v/>
      </c>
      <c r="S21" s="33">
        <v>0</v>
      </c>
      <c r="T21" s="33" t="str">
        <f t="shared" si="13"/>
        <v/>
      </c>
      <c r="U21" s="33"/>
      <c r="V21" s="33" t="str">
        <f t="shared" si="14"/>
        <v/>
      </c>
      <c r="W21" s="33"/>
      <c r="X21" s="33" t="str">
        <f t="shared" si="6"/>
        <v/>
      </c>
      <c r="Y21" s="38" t="str">
        <f>IF(LEFT($B21,4)="_Mil",IF(SUM($L21)=0,"",ROUND($L21*(1+$T21),0)),IF(SUM($R21)=0,"",IF($S21="","ENTER IN COL S",ROUND($R21*$S21,0))))</f>
        <v/>
      </c>
      <c r="Z21" s="218" t="str">
        <f t="shared" si="8"/>
        <v/>
      </c>
      <c r="AA21" s="218" t="str">
        <f t="shared" si="9"/>
        <v/>
      </c>
      <c r="AB21" s="218" t="str">
        <f t="shared" si="10"/>
        <v/>
      </c>
      <c r="AC21" s="38" t="str">
        <f>IFERROR(1/(1/INDEX(Cascade!$BH:$BH,MATCH($E21,Cascade!$E:$E,0))),"")</f>
        <v/>
      </c>
      <c r="AD21" s="38" t="str">
        <f t="shared" si="11"/>
        <v/>
      </c>
      <c r="AE21" s="38" t="str">
        <f>IFERROR(1/(1/INDEX(TB!$P:$P,MATCH($E21,TB!$E:$E,0))),"")</f>
        <v/>
      </c>
      <c r="AF21" s="38" t="str">
        <f t="shared" si="12"/>
        <v/>
      </c>
    </row>
    <row r="22" spans="1:32" x14ac:dyDescent="0.2">
      <c r="A22" t="str">
        <f>INDEX(Prioritization!$D:$D,MATCH($B22,Prioritization!$A:$A,0))</f>
        <v>4 - Sustained</v>
      </c>
      <c r="B22" t="s">
        <v>313</v>
      </c>
      <c r="C22" t="s">
        <v>478</v>
      </c>
      <c r="D22" t="s">
        <v>48</v>
      </c>
      <c r="E22" t="str">
        <f t="shared" si="0"/>
        <v>Balaka District [ir8wuHHzoSs]|50+|Male</v>
      </c>
      <c r="F22" s="38">
        <f>IF(LEFT($B22,4)="_Mil","",INDEX(Cascade!$T:$T,MATCH($E22,Cascade!$E:$E,0)))</f>
        <v>18528</v>
      </c>
      <c r="G22" s="38">
        <f>IF(LEFT($B22,4)="_Mil","",INDEX(Cascade!$U:$U,MATCH($E22,Cascade!$E:$E,0)))</f>
        <v>3226</v>
      </c>
      <c r="H22" s="110">
        <f>IF(LEFT($B22,4)="_Mil","",INDEX(Cascade!$W:$W,MATCH($E22,Cascade!$E:$E,0)))</f>
        <v>0</v>
      </c>
      <c r="I22" s="38">
        <f>IF(LEFT($B22,4)="_Mil","",INDEX(Cascade!$Z:$Z,MATCH($E22,Cascade!$E:$E,0)))</f>
        <v>0</v>
      </c>
      <c r="J22" s="33">
        <f>IF(LEFT($B22,4)="_Mil","",INDEX(Cascade!$AA:$AA,MATCH($E22,Cascade!$E:$E,0)))</f>
        <v>0</v>
      </c>
      <c r="K22" s="38"/>
      <c r="L22" s="38"/>
      <c r="M22" s="218" t="str">
        <f>IF(LEFT($B22,4)="_Mil","",IFERROR(1/(1/ROUND(INDEX(Spectrum!$N:$N,MATCH(RIGHT($B22,13)&amp;"|"&amp;$C22&amp;"|"&amp;$D22&amp;"|"&amp;M$14&amp;"|"&amp;"CY2024Q3",Spectrum!$R:$R,0)),0)),IF(SUM($L22)=0,"",$L22)))</f>
        <v/>
      </c>
      <c r="N22" s="218">
        <f>IF(LEFT($B22,4)="_Mil","",IFERROR(1/(1/ROUND(INDEX(Spectrum!$N:$N,MATCH(RIGHT($B22,13)&amp;"|"&amp;$C22&amp;"|"&amp;$D22&amp;"|"&amp;N$14&amp;"|"&amp;"CY2024Q3",Spectrum!$R:$R,0)),0)),IF(SUM($M22)=0,"",$M22)))</f>
        <v>8176</v>
      </c>
      <c r="O22" s="33">
        <f t="shared" si="1"/>
        <v>0.44127806563039723</v>
      </c>
      <c r="P22" s="33">
        <f t="shared" si="2"/>
        <v>0.8</v>
      </c>
      <c r="Q22" s="218">
        <f t="shared" si="3"/>
        <v>14822</v>
      </c>
      <c r="R22" s="218">
        <f t="shared" si="4"/>
        <v>6646</v>
      </c>
      <c r="S22" s="33">
        <v>0</v>
      </c>
      <c r="T22" s="33" t="str">
        <f t="shared" si="13"/>
        <v/>
      </c>
      <c r="U22" s="33"/>
      <c r="V22" s="33" t="str">
        <f t="shared" si="14"/>
        <v/>
      </c>
      <c r="W22" s="33"/>
      <c r="X22" s="33" t="str">
        <f t="shared" si="6"/>
        <v/>
      </c>
      <c r="Y22" s="38">
        <f t="shared" si="7"/>
        <v>0</v>
      </c>
      <c r="Z22" s="218" t="str">
        <f t="shared" si="8"/>
        <v/>
      </c>
      <c r="AA22" s="218" t="str">
        <f t="shared" si="9"/>
        <v/>
      </c>
      <c r="AB22" s="218" t="str">
        <f t="shared" si="10"/>
        <v/>
      </c>
      <c r="AC22" s="38">
        <f>IFERROR(1/(1/INDEX(Cascade!$BH:$BH,MATCH($E22,Cascade!$E:$E,0))),"")</f>
        <v>75</v>
      </c>
      <c r="AD22" s="38" t="str">
        <f t="shared" si="11"/>
        <v/>
      </c>
      <c r="AE22" s="38" t="str">
        <f>IFERROR(1/(1/INDEX(TB!$P:$P,MATCH($E22,TB!$E:$E,0))),"")</f>
        <v/>
      </c>
      <c r="AF22" s="38">
        <f t="shared" si="12"/>
        <v>75</v>
      </c>
    </row>
    <row r="23" spans="1:32" x14ac:dyDescent="0.2">
      <c r="A23" t="str">
        <f>INDEX(Prioritization!$D:$D,MATCH($B23,Prioritization!$A:$A,0))</f>
        <v>1 - Scale-up: Saturation</v>
      </c>
      <c r="B23" t="s">
        <v>314</v>
      </c>
      <c r="C23" t="s">
        <v>475</v>
      </c>
      <c r="D23" t="s">
        <v>48</v>
      </c>
      <c r="E23" t="str">
        <f t="shared" si="0"/>
        <v>Blantyre District [mxqa3CDFmIT]|15-24|Male</v>
      </c>
      <c r="F23" s="38">
        <f>IF(LEFT($B23,4)="_Mil","",INDEX(Cascade!$T:$T,MATCH($E23,Cascade!$E:$E,0)))</f>
        <v>177883</v>
      </c>
      <c r="G23" s="38">
        <f>IF(LEFT($B23,4)="_Mil","",INDEX(Cascade!$U:$U,MATCH($E23,Cascade!$E:$E,0)))</f>
        <v>4062</v>
      </c>
      <c r="H23" s="110">
        <f>IF(LEFT($B23,4)="_Mil","",INDEX(Cascade!$W:$W,MATCH($E23,Cascade!$E:$E,0)))</f>
        <v>2.2835617999999999E-2</v>
      </c>
      <c r="I23" s="38">
        <f>IF(LEFT($B23,4)="_Mil","",INDEX(Cascade!$Z:$Z,MATCH($E23,Cascade!$E:$E,0)))</f>
        <v>3767</v>
      </c>
      <c r="J23" s="33">
        <f>IF(LEFT($B23,4)="_Mil","",INDEX(Cascade!$AA:$AA,MATCH($E23,Cascade!$E:$E,0)))</f>
        <v>0.880261081</v>
      </c>
      <c r="K23" s="38">
        <v>7457</v>
      </c>
      <c r="L23" s="38">
        <v>4939</v>
      </c>
      <c r="M23" s="218">
        <f>IF(LEFT($B23,4)="_Mil","",IFERROR(1/(1/ROUND(INDEX(Spectrum!$N:$N,MATCH(RIGHT($B23,13)&amp;"|"&amp;$C23&amp;"|"&amp;$D23&amp;"|"&amp;M$14&amp;"|"&amp;"CY2024Q3",Spectrum!$R:$R,0)),0)),IF(SUM($L23)=0,"",$L23)))</f>
        <v>4939</v>
      </c>
      <c r="N23" s="218">
        <f>IF(LEFT($B23,4)="_Mil","",IFERROR(1/(1/ROUND(INDEX(Spectrum!$N:$N,MATCH(RIGHT($B23,13)&amp;"|"&amp;$C23&amp;"|"&amp;$D23&amp;"|"&amp;N$14&amp;"|"&amp;"CY2024Q3",Spectrum!$R:$R,0)),0)),IF(SUM($M23)=0,"",$M23)))</f>
        <v>120259.00000000001</v>
      </c>
      <c r="O23" s="33">
        <f t="shared" si="1"/>
        <v>0.67605673392061083</v>
      </c>
      <c r="P23" s="33">
        <f t="shared" si="2"/>
        <v>0.8</v>
      </c>
      <c r="Q23" s="218">
        <f t="shared" si="3"/>
        <v>142306</v>
      </c>
      <c r="R23" s="218">
        <f t="shared" si="4"/>
        <v>22047</v>
      </c>
      <c r="S23" s="234">
        <v>0.2</v>
      </c>
      <c r="T23" s="33" t="str">
        <f t="shared" si="13"/>
        <v/>
      </c>
      <c r="U23" s="33">
        <v>0.747</v>
      </c>
      <c r="V23" s="33">
        <v>0</v>
      </c>
      <c r="W23" s="33">
        <v>4.7999999999999996E-3</v>
      </c>
      <c r="X23" s="236">
        <v>3.5000000000000001E-3</v>
      </c>
      <c r="Y23" s="38">
        <f t="shared" si="7"/>
        <v>4409</v>
      </c>
      <c r="Z23" s="218">
        <f t="shared" si="8"/>
        <v>0</v>
      </c>
      <c r="AA23" s="218">
        <f t="shared" si="9"/>
        <v>15</v>
      </c>
      <c r="AB23" s="218">
        <f t="shared" si="10"/>
        <v>4394</v>
      </c>
      <c r="AC23" s="38">
        <f>IFERROR(1/(1/INDEX(Cascade!$BH:$BH,MATCH($E23,Cascade!$E:$E,0))),"")</f>
        <v>102</v>
      </c>
      <c r="AD23" s="38">
        <f t="shared" si="11"/>
        <v>15</v>
      </c>
      <c r="AE23" s="38" t="str">
        <f>IFERROR(1/(1/INDEX(TB!$P:$P,MATCH($E23,TB!$E:$E,0))),"")</f>
        <v/>
      </c>
      <c r="AF23" s="38">
        <f t="shared" si="12"/>
        <v>87</v>
      </c>
    </row>
    <row r="24" spans="1:32" x14ac:dyDescent="0.2">
      <c r="A24" t="str">
        <f>INDEX(Prioritization!$D:$D,MATCH($B24,Prioritization!$A:$A,0))</f>
        <v>1 - Scale-up: Saturation</v>
      </c>
      <c r="B24" t="s">
        <v>314</v>
      </c>
      <c r="C24" t="s">
        <v>476</v>
      </c>
      <c r="D24" t="s">
        <v>48</v>
      </c>
      <c r="E24" t="str">
        <f t="shared" si="0"/>
        <v>Blantyre District [mxqa3CDFmIT]|25-34|Male</v>
      </c>
      <c r="F24" s="38">
        <f>IF(LEFT($B24,4)="_Mil","",INDEX(Cascade!$T:$T,MATCH($E24,Cascade!$E:$E,0)))</f>
        <v>132101</v>
      </c>
      <c r="G24" s="38">
        <f>IF(LEFT($B24,4)="_Mil","",INDEX(Cascade!$U:$U,MATCH($E24,Cascade!$E:$E,0)))</f>
        <v>7249</v>
      </c>
      <c r="H24" s="110">
        <f>IF(LEFT($B24,4)="_Mil","",INDEX(Cascade!$W:$W,MATCH($E24,Cascade!$E:$E,0)))</f>
        <v>5.4875206000000003E-2</v>
      </c>
      <c r="I24" s="38">
        <f>IF(LEFT($B24,4)="_Mil","",INDEX(Cascade!$Z:$Z,MATCH($E24,Cascade!$E:$E,0)))</f>
        <v>6407</v>
      </c>
      <c r="J24" s="33">
        <f>IF(LEFT($B24,4)="_Mil","",INDEX(Cascade!$AA:$AA,MATCH($E24,Cascade!$E:$E,0)))</f>
        <v>0.8469765199999999</v>
      </c>
      <c r="K24" s="38">
        <v>1808</v>
      </c>
      <c r="L24" s="38">
        <v>3555</v>
      </c>
      <c r="M24" s="218">
        <f>IF(LEFT($B24,4)="_Mil","",IFERROR(1/(1/ROUND(INDEX(Spectrum!$N:$N,MATCH(RIGHT($B24,13)&amp;"|"&amp;$C24&amp;"|"&amp;$D24&amp;"|"&amp;M$14&amp;"|"&amp;"CY2024Q3",Spectrum!$R:$R,0)),0)),IF(SUM($L24)=0,"",$L24)))</f>
        <v>3555</v>
      </c>
      <c r="N24" s="218">
        <f>IF(LEFT($B24,4)="_Mil","",IFERROR(1/(1/ROUND(INDEX(Spectrum!$N:$N,MATCH(RIGHT($B24,13)&amp;"|"&amp;$C24&amp;"|"&amp;$D24&amp;"|"&amp;N$14&amp;"|"&amp;"CY2024Q3",Spectrum!$R:$R,0)),0)),IF(SUM($M24)=0,"",$M24)))</f>
        <v>101410</v>
      </c>
      <c r="O24" s="33">
        <f t="shared" si="1"/>
        <v>0.76767019174722373</v>
      </c>
      <c r="P24" s="33">
        <f t="shared" si="2"/>
        <v>0.8</v>
      </c>
      <c r="Q24" s="218">
        <f t="shared" si="3"/>
        <v>105681</v>
      </c>
      <c r="R24" s="218">
        <f t="shared" si="4"/>
        <v>4271</v>
      </c>
      <c r="S24" s="234">
        <v>0.73</v>
      </c>
      <c r="T24" s="33" t="str">
        <f t="shared" si="13"/>
        <v/>
      </c>
      <c r="U24" s="33">
        <v>0.72899999999999998</v>
      </c>
      <c r="V24" s="33">
        <v>0</v>
      </c>
      <c r="W24" s="33">
        <v>2.1999999999999999E-2</v>
      </c>
      <c r="X24" s="236">
        <v>3.5000000000000001E-3</v>
      </c>
      <c r="Y24" s="38">
        <f t="shared" si="7"/>
        <v>3118</v>
      </c>
      <c r="Z24" s="218">
        <f t="shared" si="8"/>
        <v>0</v>
      </c>
      <c r="AA24" s="218">
        <f t="shared" si="9"/>
        <v>11</v>
      </c>
      <c r="AB24" s="218">
        <f t="shared" si="10"/>
        <v>3107</v>
      </c>
      <c r="AC24" s="38">
        <f>IFERROR(1/(1/INDEX(Cascade!$BH:$BH,MATCH($E24,Cascade!$E:$E,0))),"")</f>
        <v>127</v>
      </c>
      <c r="AD24" s="38">
        <f t="shared" si="11"/>
        <v>11</v>
      </c>
      <c r="AE24" s="38">
        <f>IFERROR(1/(1/INDEX(TB!$P:$P,MATCH($E24,TB!$E:$E,0))),"")</f>
        <v>15</v>
      </c>
      <c r="AF24" s="38">
        <f t="shared" si="12"/>
        <v>101</v>
      </c>
    </row>
    <row r="25" spans="1:32" x14ac:dyDescent="0.2">
      <c r="A25" t="str">
        <f>INDEX(Prioritization!$D:$D,MATCH($B25,Prioritization!$A:$A,0))</f>
        <v>1 - Scale-up: Saturation</v>
      </c>
      <c r="B25" t="s">
        <v>314</v>
      </c>
      <c r="C25" t="s">
        <v>477</v>
      </c>
      <c r="D25" t="s">
        <v>48</v>
      </c>
      <c r="E25" t="str">
        <f t="shared" si="0"/>
        <v>Blantyre District [mxqa3CDFmIT]|35-49|Male</v>
      </c>
      <c r="F25" s="38">
        <f>IF(LEFT($B25,4)="_Mil","",INDEX(Cascade!$T:$T,MATCH($E25,Cascade!$E:$E,0)))</f>
        <v>117838</v>
      </c>
      <c r="G25" s="38">
        <f>IF(LEFT($B25,4)="_Mil","",INDEX(Cascade!$U:$U,MATCH($E25,Cascade!$E:$E,0)))</f>
        <v>24428</v>
      </c>
      <c r="H25" s="110">
        <f>IF(LEFT($B25,4)="_Mil","",INDEX(Cascade!$W:$W,MATCH($E25,Cascade!$E:$E,0)))</f>
        <v>0.207297815</v>
      </c>
      <c r="I25" s="38">
        <f>IF(LEFT($B25,4)="_Mil","",INDEX(Cascade!$Z:$Z,MATCH($E25,Cascade!$E:$E,0)))</f>
        <v>23159</v>
      </c>
      <c r="J25" s="33">
        <f>IF(LEFT($B25,4)="_Mil","",INDEX(Cascade!$AA:$AA,MATCH($E25,Cascade!$E:$E,0)))</f>
        <v>0.90412988899999991</v>
      </c>
      <c r="K25" s="38">
        <v>937</v>
      </c>
      <c r="L25" s="38">
        <v>6506</v>
      </c>
      <c r="M25" s="218">
        <f>IF(LEFT($B25,4)="_Mil","",IFERROR(1/(1/ROUND(INDEX(Spectrum!$N:$N,MATCH(RIGHT($B25,13)&amp;"|"&amp;$C25&amp;"|"&amp;$D25&amp;"|"&amp;M$14&amp;"|"&amp;"CY2024Q3",Spectrum!$R:$R,0)),0)),IF(SUM($L25)=0,"",$L25)))</f>
        <v>6506</v>
      </c>
      <c r="N25" s="218">
        <f>IF(LEFT($B25,4)="_Mil","",IFERROR(1/(1/ROUND(INDEX(Spectrum!$N:$N,MATCH(RIGHT($B25,13)&amp;"|"&amp;$C25&amp;"|"&amp;$D25&amp;"|"&amp;N$14&amp;"|"&amp;"CY2024Q3",Spectrum!$R:$R,0)),0)),IF(SUM($M25)=0,"",$M25)))</f>
        <v>71695</v>
      </c>
      <c r="O25" s="33">
        <f t="shared" si="1"/>
        <v>0.60842003428435654</v>
      </c>
      <c r="P25" s="33">
        <f t="shared" si="2"/>
        <v>0.8</v>
      </c>
      <c r="Q25" s="218">
        <f t="shared" si="3"/>
        <v>94270</v>
      </c>
      <c r="R25" s="218">
        <f t="shared" si="4"/>
        <v>22575</v>
      </c>
      <c r="S25" s="234">
        <v>0.25</v>
      </c>
      <c r="T25" s="33" t="str">
        <f t="shared" si="13"/>
        <v/>
      </c>
      <c r="U25" s="33">
        <v>0.68200000000000005</v>
      </c>
      <c r="V25" s="33">
        <v>0</v>
      </c>
      <c r="W25" s="33">
        <v>6.4000000000000001E-2</v>
      </c>
      <c r="X25" s="236">
        <v>3.5000000000000001E-3</v>
      </c>
      <c r="Y25" s="38">
        <f t="shared" si="7"/>
        <v>5644</v>
      </c>
      <c r="Z25" s="218">
        <f t="shared" si="8"/>
        <v>0</v>
      </c>
      <c r="AA25" s="218">
        <f t="shared" si="9"/>
        <v>20</v>
      </c>
      <c r="AB25" s="218">
        <f t="shared" si="10"/>
        <v>5624</v>
      </c>
      <c r="AC25" s="38">
        <f>IFERROR(1/(1/INDEX(Cascade!$BH:$BH,MATCH($E25,Cascade!$E:$E,0))),"")</f>
        <v>1877.9999999999998</v>
      </c>
      <c r="AD25" s="38">
        <f t="shared" si="11"/>
        <v>20</v>
      </c>
      <c r="AE25" s="38">
        <f>IFERROR(1/(1/INDEX(TB!$P:$P,MATCH($E25,TB!$E:$E,0))),"")</f>
        <v>22</v>
      </c>
      <c r="AF25" s="38">
        <f t="shared" si="12"/>
        <v>1835.9999999999998</v>
      </c>
    </row>
    <row r="26" spans="1:32" x14ac:dyDescent="0.2">
      <c r="A26" t="str">
        <f>INDEX(Prioritization!$D:$D,MATCH($B26,Prioritization!$A:$A,0))</f>
        <v>1 - Scale-up: Saturation</v>
      </c>
      <c r="B26" t="s">
        <v>314</v>
      </c>
      <c r="C26" t="s">
        <v>478</v>
      </c>
      <c r="D26" t="s">
        <v>48</v>
      </c>
      <c r="E26" t="str">
        <f t="shared" si="0"/>
        <v>Blantyre District [mxqa3CDFmIT]|50+|Male</v>
      </c>
      <c r="F26" s="38">
        <f>IF(LEFT($B26,4)="_Mil","",INDEX(Cascade!$T:$T,MATCH($E26,Cascade!$E:$E,0)))</f>
        <v>46839</v>
      </c>
      <c r="G26" s="38">
        <f>IF(LEFT($B26,4)="_Mil","",INDEX(Cascade!$U:$U,MATCH($E26,Cascade!$E:$E,0)))</f>
        <v>13586</v>
      </c>
      <c r="H26" s="110">
        <f>IF(LEFT($B26,4)="_Mil","",INDEX(Cascade!$W:$W,MATCH($E26,Cascade!$E:$E,0)))</f>
        <v>0.29006646800000002</v>
      </c>
      <c r="I26" s="38">
        <f>IF(LEFT($B26,4)="_Mil","",INDEX(Cascade!$Z:$Z,MATCH($E26,Cascade!$E:$E,0)))</f>
        <v>13388</v>
      </c>
      <c r="J26" s="33">
        <f>IF(LEFT($B26,4)="_Mil","",INDEX(Cascade!$AA:$AA,MATCH($E26,Cascade!$E:$E,0)))</f>
        <v>0.93427018299999998</v>
      </c>
      <c r="K26" s="38">
        <v>48</v>
      </c>
      <c r="L26" s="38">
        <v>0</v>
      </c>
      <c r="M26" s="218" t="str">
        <f>IF(LEFT($B26,4)="_Mil","",IFERROR(1/(1/ROUND(INDEX(Spectrum!$N:$N,MATCH(RIGHT($B26,13)&amp;"|"&amp;$C26&amp;"|"&amp;$D26&amp;"|"&amp;M$14&amp;"|"&amp;"CY2024Q3",Spectrum!$R:$R,0)),0)),IF(SUM($L26)=0,"",$L26)))</f>
        <v/>
      </c>
      <c r="N26" s="218">
        <f>IF(LEFT($B26,4)="_Mil","",IFERROR(1/(1/ROUND(INDEX(Spectrum!$N:$N,MATCH(RIGHT($B26,13)&amp;"|"&amp;$C26&amp;"|"&amp;$D26&amp;"|"&amp;N$14&amp;"|"&amp;"CY2024Q3",Spectrum!$R:$R,0)),0)),IF(SUM($M26)=0,"",$M26)))</f>
        <v>17720</v>
      </c>
      <c r="O26" s="33">
        <f t="shared" si="1"/>
        <v>0.37831721428723925</v>
      </c>
      <c r="P26" s="33">
        <f t="shared" si="2"/>
        <v>0.8</v>
      </c>
      <c r="Q26" s="218">
        <f t="shared" si="3"/>
        <v>37471</v>
      </c>
      <c r="R26" s="218">
        <f t="shared" si="4"/>
        <v>19751</v>
      </c>
      <c r="S26" s="33">
        <v>0</v>
      </c>
      <c r="T26" s="33" t="str">
        <f t="shared" si="13"/>
        <v/>
      </c>
      <c r="U26" s="33">
        <v>0.61499999999999999</v>
      </c>
      <c r="V26" s="33">
        <v>0</v>
      </c>
      <c r="W26" s="33">
        <v>0.15</v>
      </c>
      <c r="X26" s="236">
        <v>3.5000000000000001E-3</v>
      </c>
      <c r="Y26" s="38">
        <f t="shared" si="7"/>
        <v>0</v>
      </c>
      <c r="Z26" s="218" t="str">
        <f t="shared" si="8"/>
        <v/>
      </c>
      <c r="AA26" s="218" t="str">
        <f t="shared" si="9"/>
        <v/>
      </c>
      <c r="AB26" s="218" t="str">
        <f t="shared" si="10"/>
        <v/>
      </c>
      <c r="AC26" s="38">
        <f>IFERROR(1/(1/INDEX(Cascade!$BH:$BH,MATCH($E26,Cascade!$E:$E,0))),"")</f>
        <v>724</v>
      </c>
      <c r="AD26" s="38" t="str">
        <f t="shared" si="11"/>
        <v/>
      </c>
      <c r="AE26" s="38">
        <f>IFERROR(1/(1/INDEX(TB!$P:$P,MATCH($E26,TB!$E:$E,0))),"")</f>
        <v>8</v>
      </c>
      <c r="AF26" s="38">
        <f t="shared" si="12"/>
        <v>716</v>
      </c>
    </row>
    <row r="27" spans="1:32" x14ac:dyDescent="0.2">
      <c r="A27" t="str">
        <f>INDEX(Prioritization!$D:$D,MATCH($B27,Prioritization!$A:$A,0))</f>
        <v>1 - Scale-up: Saturation</v>
      </c>
      <c r="B27" t="s">
        <v>315</v>
      </c>
      <c r="C27" t="s">
        <v>475</v>
      </c>
      <c r="D27" t="s">
        <v>48</v>
      </c>
      <c r="E27" t="str">
        <f t="shared" si="0"/>
        <v>Chikwawa District [U8c0so51kT6]|15-24|Male</v>
      </c>
      <c r="F27" s="38">
        <f>IF(LEFT($B27,4)="_Mil","",INDEX(Cascade!$T:$T,MATCH($E27,Cascade!$E:$E,0)))</f>
        <v>72428</v>
      </c>
      <c r="G27" s="38">
        <f>IF(LEFT($B27,4)="_Mil","",INDEX(Cascade!$U:$U,MATCH($E27,Cascade!$E:$E,0)))</f>
        <v>1299</v>
      </c>
      <c r="H27" s="110">
        <f>IF(LEFT($B27,4)="_Mil","",INDEX(Cascade!$W:$W,MATCH($E27,Cascade!$E:$E,0)))</f>
        <v>1.7933068E-2</v>
      </c>
      <c r="I27" s="38">
        <f>IF(LEFT($B27,4)="_Mil","",INDEX(Cascade!$Z:$Z,MATCH($E27,Cascade!$E:$E,0)))</f>
        <v>1059</v>
      </c>
      <c r="J27" s="33">
        <f>IF(LEFT($B27,4)="_Mil","",INDEX(Cascade!$AA:$AA,MATCH($E27,Cascade!$E:$E,0)))</f>
        <v>0.92118114299999987</v>
      </c>
      <c r="K27" s="38">
        <v>413</v>
      </c>
      <c r="L27" s="38">
        <v>5920</v>
      </c>
      <c r="M27" s="218">
        <f>IF(LEFT($B27,4)="_Mil","",IFERROR(1/(1/ROUND(INDEX(Spectrum!$N:$N,MATCH(RIGHT($B27,13)&amp;"|"&amp;$C27&amp;"|"&amp;$D27&amp;"|"&amp;M$14&amp;"|"&amp;"CY2024Q3",Spectrum!$R:$R,0)),0)),IF(SUM($L27)=0,"",$L27)))</f>
        <v>5920</v>
      </c>
      <c r="N27" s="218">
        <f>IF(LEFT($B27,4)="_Mil","",IFERROR(1/(1/ROUND(INDEX(Spectrum!$N:$N,MATCH(RIGHT($B27,13)&amp;"|"&amp;$C27&amp;"|"&amp;$D27&amp;"|"&amp;N$14&amp;"|"&amp;"CY2024Q3",Spectrum!$R:$R,0)),0)),IF(SUM($M27)=0,"",$M27)))</f>
        <v>50502</v>
      </c>
      <c r="O27" s="33">
        <f t="shared" si="1"/>
        <v>0.69727177334732426</v>
      </c>
      <c r="P27" s="33">
        <f t="shared" si="2"/>
        <v>0.8</v>
      </c>
      <c r="Q27" s="218">
        <f t="shared" si="3"/>
        <v>57942</v>
      </c>
      <c r="R27" s="218">
        <f t="shared" si="4"/>
        <v>7440</v>
      </c>
      <c r="S27" s="234">
        <v>0.497</v>
      </c>
      <c r="T27" s="33" t="str">
        <f t="shared" si="13"/>
        <v/>
      </c>
      <c r="U27" s="33">
        <v>0.254</v>
      </c>
      <c r="V27" s="33">
        <v>0</v>
      </c>
      <c r="W27" s="33"/>
      <c r="X27" s="236">
        <v>3.5000000000000001E-3</v>
      </c>
      <c r="Y27" s="38">
        <f t="shared" si="7"/>
        <v>3698</v>
      </c>
      <c r="Z27" s="218">
        <f t="shared" si="8"/>
        <v>0</v>
      </c>
      <c r="AA27" s="218">
        <f t="shared" si="9"/>
        <v>13</v>
      </c>
      <c r="AB27" s="218">
        <f t="shared" si="10"/>
        <v>3685</v>
      </c>
      <c r="AC27" s="38">
        <f>IFERROR(1/(1/INDEX(Cascade!$BH:$BH,MATCH($E27,Cascade!$E:$E,0))),"")</f>
        <v>157</v>
      </c>
      <c r="AD27" s="38">
        <f t="shared" si="11"/>
        <v>13</v>
      </c>
      <c r="AE27" s="38">
        <f>IFERROR(1/(1/INDEX(TB!$P:$P,MATCH($E27,TB!$E:$E,0))),"")</f>
        <v>2</v>
      </c>
      <c r="AF27" s="38">
        <f t="shared" si="12"/>
        <v>142</v>
      </c>
    </row>
    <row r="28" spans="1:32" x14ac:dyDescent="0.2">
      <c r="A28" t="str">
        <f>INDEX(Prioritization!$D:$D,MATCH($B28,Prioritization!$A:$A,0))</f>
        <v>1 - Scale-up: Saturation</v>
      </c>
      <c r="B28" t="s">
        <v>315</v>
      </c>
      <c r="C28" t="s">
        <v>476</v>
      </c>
      <c r="D28" t="s">
        <v>48</v>
      </c>
      <c r="E28" t="str">
        <f t="shared" si="0"/>
        <v>Chikwawa District [U8c0so51kT6]|25-34|Male</v>
      </c>
      <c r="F28" s="38">
        <f>IF(LEFT($B28,4)="_Mil","",INDEX(Cascade!$T:$T,MATCH($E28,Cascade!$E:$E,0)))</f>
        <v>47119</v>
      </c>
      <c r="G28" s="38">
        <f>IF(LEFT($B28,4)="_Mil","",INDEX(Cascade!$U:$U,MATCH($E28,Cascade!$E:$E,0)))</f>
        <v>1699</v>
      </c>
      <c r="H28" s="110">
        <f>IF(LEFT($B28,4)="_Mil","",INDEX(Cascade!$W:$W,MATCH($E28,Cascade!$E:$E,0)))</f>
        <v>3.6059121999999999E-2</v>
      </c>
      <c r="I28" s="38">
        <f>IF(LEFT($B28,4)="_Mil","",INDEX(Cascade!$Z:$Z,MATCH($E28,Cascade!$E:$E,0)))</f>
        <v>1340</v>
      </c>
      <c r="J28" s="33">
        <f>IF(LEFT($B28,4)="_Mil","",INDEX(Cascade!$AA:$AA,MATCH($E28,Cascade!$E:$E,0)))</f>
        <v>0.89722069799999993</v>
      </c>
      <c r="K28" s="38">
        <v>305</v>
      </c>
      <c r="L28" s="38">
        <v>218</v>
      </c>
      <c r="M28" s="218">
        <f>IF(LEFT($B28,4)="_Mil","",IFERROR(1/(1/ROUND(INDEX(Spectrum!$N:$N,MATCH(RIGHT($B28,13)&amp;"|"&amp;$C28&amp;"|"&amp;$D28&amp;"|"&amp;M$14&amp;"|"&amp;"CY2024Q3",Spectrum!$R:$R,0)),0)),IF(SUM($L28)=0,"",$L28)))</f>
        <v>218</v>
      </c>
      <c r="N28" s="218">
        <f>IF(LEFT($B28,4)="_Mil","",IFERROR(1/(1/ROUND(INDEX(Spectrum!$N:$N,MATCH(RIGHT($B28,13)&amp;"|"&amp;$C28&amp;"|"&amp;$D28&amp;"|"&amp;N$14&amp;"|"&amp;"CY2024Q3",Spectrum!$R:$R,0)),0)),IF(SUM($M28)=0,"",$M28)))</f>
        <v>36541</v>
      </c>
      <c r="O28" s="33">
        <f t="shared" si="1"/>
        <v>0.77550457352660285</v>
      </c>
      <c r="P28" s="33">
        <f t="shared" si="2"/>
        <v>0.8</v>
      </c>
      <c r="Q28" s="218">
        <f t="shared" si="3"/>
        <v>37695</v>
      </c>
      <c r="R28" s="218">
        <f t="shared" si="4"/>
        <v>1154</v>
      </c>
      <c r="S28" s="234">
        <v>0.122</v>
      </c>
      <c r="T28" s="33" t="str">
        <f t="shared" si="13"/>
        <v/>
      </c>
      <c r="U28" s="33">
        <v>0.27900000000000003</v>
      </c>
      <c r="V28" s="33">
        <v>0</v>
      </c>
      <c r="W28" s="33"/>
      <c r="X28" s="236">
        <v>3.5000000000000001E-3</v>
      </c>
      <c r="Y28" s="38">
        <f t="shared" si="7"/>
        <v>141</v>
      </c>
      <c r="Z28" s="218">
        <f t="shared" si="8"/>
        <v>0</v>
      </c>
      <c r="AA28" s="218">
        <f t="shared" si="9"/>
        <v>0</v>
      </c>
      <c r="AB28" s="218">
        <f t="shared" si="10"/>
        <v>141</v>
      </c>
      <c r="AC28" s="38">
        <f>IFERROR(1/(1/INDEX(Cascade!$BH:$BH,MATCH($E28,Cascade!$E:$E,0))),"")</f>
        <v>92.999999999999986</v>
      </c>
      <c r="AD28" s="38" t="str">
        <f t="shared" si="11"/>
        <v/>
      </c>
      <c r="AE28" s="38">
        <f>IFERROR(1/(1/INDEX(TB!$P:$P,MATCH($E28,TB!$E:$E,0))),"")</f>
        <v>2</v>
      </c>
      <c r="AF28" s="38">
        <f t="shared" si="12"/>
        <v>91</v>
      </c>
    </row>
    <row r="29" spans="1:32" x14ac:dyDescent="0.2">
      <c r="A29" t="str">
        <f>INDEX(Prioritization!$D:$D,MATCH($B29,Prioritization!$A:$A,0))</f>
        <v>1 - Scale-up: Saturation</v>
      </c>
      <c r="B29" t="s">
        <v>315</v>
      </c>
      <c r="C29" t="s">
        <v>477</v>
      </c>
      <c r="D29" t="s">
        <v>48</v>
      </c>
      <c r="E29" t="str">
        <f t="shared" si="0"/>
        <v>Chikwawa District [U8c0so51kT6]|35-49|Male</v>
      </c>
      <c r="F29" s="38">
        <f>IF(LEFT($B29,4)="_Mil","",INDEX(Cascade!$T:$T,MATCH($E29,Cascade!$E:$E,0)))</f>
        <v>45517</v>
      </c>
      <c r="G29" s="38">
        <f>IF(LEFT($B29,4)="_Mil","",INDEX(Cascade!$U:$U,MATCH($E29,Cascade!$E:$E,0)))</f>
        <v>6287</v>
      </c>
      <c r="H29" s="110">
        <f>IF(LEFT($B29,4)="_Mil","",INDEX(Cascade!$W:$W,MATCH($E29,Cascade!$E:$E,0)))</f>
        <v>0.13812439400000001</v>
      </c>
      <c r="I29" s="38">
        <f>IF(LEFT($B29,4)="_Mil","",INDEX(Cascade!$Z:$Z,MATCH($E29,Cascade!$E:$E,0)))</f>
        <v>5182</v>
      </c>
      <c r="J29" s="33">
        <f>IF(LEFT($B29,4)="_Mil","",INDEX(Cascade!$AA:$AA,MATCH($E29,Cascade!$E:$E,0)))</f>
        <v>0.93787394999999996</v>
      </c>
      <c r="K29" s="38">
        <v>119</v>
      </c>
      <c r="L29" s="38">
        <v>9493</v>
      </c>
      <c r="M29" s="218">
        <f>IF(LEFT($B29,4)="_Mil","",IFERROR(1/(1/ROUND(INDEX(Spectrum!$N:$N,MATCH(RIGHT($B29,13)&amp;"|"&amp;$C29&amp;"|"&amp;$D29&amp;"|"&amp;M$14&amp;"|"&amp;"CY2024Q3",Spectrum!$R:$R,0)),0)),IF(SUM($L29)=0,"",$L29)))</f>
        <v>9494</v>
      </c>
      <c r="N29" s="218">
        <f>IF(LEFT($B29,4)="_Mil","",IFERROR(1/(1/ROUND(INDEX(Spectrum!$N:$N,MATCH(RIGHT($B29,13)&amp;"|"&amp;$C29&amp;"|"&amp;$D29&amp;"|"&amp;N$14&amp;"|"&amp;"CY2024Q3",Spectrum!$R:$R,0)),0)),IF(SUM($M29)=0,"",$M29)))</f>
        <v>27611.000000000004</v>
      </c>
      <c r="O29" s="33">
        <f t="shared" si="1"/>
        <v>0.60660851989366615</v>
      </c>
      <c r="P29" s="33">
        <f t="shared" si="2"/>
        <v>0.8</v>
      </c>
      <c r="Q29" s="218">
        <f t="shared" si="3"/>
        <v>36414</v>
      </c>
      <c r="R29" s="218">
        <f t="shared" si="4"/>
        <v>8803</v>
      </c>
      <c r="S29" s="234">
        <v>0.67400000000000004</v>
      </c>
      <c r="T29" s="33" t="str">
        <f t="shared" si="13"/>
        <v/>
      </c>
      <c r="U29" s="33">
        <v>0.27700000000000002</v>
      </c>
      <c r="V29" s="33">
        <v>0</v>
      </c>
      <c r="W29" s="33"/>
      <c r="X29" s="236">
        <v>3.5000000000000001E-3</v>
      </c>
      <c r="Y29" s="38">
        <f t="shared" si="7"/>
        <v>5933</v>
      </c>
      <c r="Z29" s="218">
        <f t="shared" si="8"/>
        <v>0</v>
      </c>
      <c r="AA29" s="218">
        <f t="shared" si="9"/>
        <v>21</v>
      </c>
      <c r="AB29" s="218">
        <f t="shared" si="10"/>
        <v>5912</v>
      </c>
      <c r="AC29" s="38">
        <f>IFERROR(1/(1/INDEX(Cascade!$BH:$BH,MATCH($E29,Cascade!$E:$E,0))),"")</f>
        <v>622</v>
      </c>
      <c r="AD29" s="38">
        <f t="shared" si="11"/>
        <v>21</v>
      </c>
      <c r="AE29" s="38">
        <f>IFERROR(1/(1/INDEX(TB!$P:$P,MATCH($E29,TB!$E:$E,0))),"")</f>
        <v>4</v>
      </c>
      <c r="AF29" s="38">
        <f t="shared" si="12"/>
        <v>597</v>
      </c>
    </row>
    <row r="30" spans="1:32" x14ac:dyDescent="0.2">
      <c r="A30" t="str">
        <f>INDEX(Prioritization!$D:$D,MATCH($B30,Prioritization!$A:$A,0))</f>
        <v>1 - Scale-up: Saturation</v>
      </c>
      <c r="B30" t="s">
        <v>315</v>
      </c>
      <c r="C30" t="s">
        <v>478</v>
      </c>
      <c r="D30" t="s">
        <v>48</v>
      </c>
      <c r="E30" t="str">
        <f t="shared" si="0"/>
        <v>Chikwawa District [U8c0so51kT6]|50+|Male</v>
      </c>
      <c r="F30" s="38">
        <f>IF(LEFT($B30,4)="_Mil","",INDEX(Cascade!$T:$T,MATCH($E30,Cascade!$E:$E,0)))</f>
        <v>23630</v>
      </c>
      <c r="G30" s="38">
        <f>IF(LEFT($B30,4)="_Mil","",INDEX(Cascade!$U:$U,MATCH($E30,Cascade!$E:$E,0)))</f>
        <v>4629</v>
      </c>
      <c r="H30" s="110">
        <f>IF(LEFT($B30,4)="_Mil","",INDEX(Cascade!$W:$W,MATCH($E30,Cascade!$E:$E,0)))</f>
        <v>0.19591251300000001</v>
      </c>
      <c r="I30" s="38">
        <f>IF(LEFT($B30,4)="_Mil","",INDEX(Cascade!$Z:$Z,MATCH($E30,Cascade!$E:$E,0)))</f>
        <v>3918</v>
      </c>
      <c r="J30" s="33">
        <f>IF(LEFT($B30,4)="_Mil","",INDEX(Cascade!$AA:$AA,MATCH($E30,Cascade!$E:$E,0)))</f>
        <v>0.95751110599999989</v>
      </c>
      <c r="K30" s="38"/>
      <c r="L30" s="38">
        <v>0</v>
      </c>
      <c r="M30" s="218" t="str">
        <f>IF(LEFT($B30,4)="_Mil","",IFERROR(1/(1/ROUND(INDEX(Spectrum!$N:$N,MATCH(RIGHT($B30,13)&amp;"|"&amp;$C30&amp;"|"&amp;$D30&amp;"|"&amp;M$14&amp;"|"&amp;"CY2024Q3",Spectrum!$R:$R,0)),0)),IF(SUM($L30)=0,"",$L30)))</f>
        <v/>
      </c>
      <c r="N30" s="218">
        <f>IF(LEFT($B30,4)="_Mil","",IFERROR(1/(1/ROUND(INDEX(Spectrum!$N:$N,MATCH(RIGHT($B30,13)&amp;"|"&amp;$C30&amp;"|"&amp;$D30&amp;"|"&amp;N$14&amp;"|"&amp;"CY2024Q3",Spectrum!$R:$R,0)),0)),IF(SUM($M30)=0,"",$M30)))</f>
        <v>3723</v>
      </c>
      <c r="O30" s="33">
        <f t="shared" si="1"/>
        <v>0.15755395683453238</v>
      </c>
      <c r="P30" s="33">
        <f t="shared" si="2"/>
        <v>0.8</v>
      </c>
      <c r="Q30" s="218">
        <f t="shared" si="3"/>
        <v>18904</v>
      </c>
      <c r="R30" s="218">
        <f t="shared" si="4"/>
        <v>15181</v>
      </c>
      <c r="S30" s="33">
        <v>0</v>
      </c>
      <c r="T30" s="33" t="str">
        <f t="shared" si="13"/>
        <v/>
      </c>
      <c r="U30" s="33"/>
      <c r="V30" s="33" t="str">
        <f t="shared" si="14"/>
        <v/>
      </c>
      <c r="W30" s="33"/>
      <c r="X30" s="236">
        <v>3.5000000000000001E-3</v>
      </c>
      <c r="Y30" s="38">
        <f t="shared" si="7"/>
        <v>0</v>
      </c>
      <c r="Z30" s="218" t="str">
        <f t="shared" si="8"/>
        <v/>
      </c>
      <c r="AA30" s="218" t="str">
        <f t="shared" si="9"/>
        <v/>
      </c>
      <c r="AB30" s="218" t="str">
        <f t="shared" si="10"/>
        <v/>
      </c>
      <c r="AC30" s="38">
        <f>IFERROR(1/(1/INDEX(Cascade!$BH:$BH,MATCH($E30,Cascade!$E:$E,0))),"")</f>
        <v>173</v>
      </c>
      <c r="AD30" s="38" t="str">
        <f t="shared" si="11"/>
        <v/>
      </c>
      <c r="AE30" s="38">
        <f>IFERROR(1/(1/INDEX(TB!$P:$P,MATCH($E30,TB!$E:$E,0))),"")</f>
        <v>1</v>
      </c>
      <c r="AF30" s="38">
        <f t="shared" si="12"/>
        <v>172</v>
      </c>
    </row>
    <row r="31" spans="1:32" x14ac:dyDescent="0.2">
      <c r="A31" t="str">
        <f>INDEX(Prioritization!$D:$D,MATCH($B31,Prioritization!$A:$A,0))</f>
        <v>INVALID</v>
      </c>
      <c r="B31" t="s">
        <v>316</v>
      </c>
      <c r="C31" t="s">
        <v>475</v>
      </c>
      <c r="D31" t="s">
        <v>48</v>
      </c>
      <c r="E31" t="str">
        <f t="shared" si="0"/>
        <v>Chiradzulu District [oiPR2CiVJbf]|15-24|Male</v>
      </c>
      <c r="F31" s="38">
        <f>IF(LEFT($B31,4)="_Mil","",INDEX(Cascade!$T:$T,MATCH($E31,Cascade!$E:$E,0)))</f>
        <v>47319</v>
      </c>
      <c r="G31" s="38">
        <f>IF(LEFT($B31,4)="_Mil","",INDEX(Cascade!$U:$U,MATCH($E31,Cascade!$E:$E,0)))</f>
        <v>1375</v>
      </c>
      <c r="H31" s="110">
        <f>IF(LEFT($B31,4)="_Mil","",INDEX(Cascade!$W:$W,MATCH($E31,Cascade!$E:$E,0)))</f>
        <v>2.9059426999999999E-2</v>
      </c>
      <c r="I31" s="38">
        <f>IF(LEFT($B31,4)="_Mil","",INDEX(Cascade!$Z:$Z,MATCH($E31,Cascade!$E:$E,0)))</f>
        <v>1479</v>
      </c>
      <c r="J31" s="33">
        <f>IF(LEFT($B31,4)="_Mil","",INDEX(Cascade!$AA:$AA,MATCH($E31,Cascade!$E:$E,0)))</f>
        <v>0.88935998699999985</v>
      </c>
      <c r="K31" s="38"/>
      <c r="L31" s="38">
        <v>0</v>
      </c>
      <c r="M31" s="218" t="str">
        <f>IF(LEFT($B31,4)="_Mil","",IFERROR(1/(1/ROUND(INDEX(Spectrum!$N:$N,MATCH(RIGHT($B31,13)&amp;"|"&amp;$C31&amp;"|"&amp;$D31&amp;"|"&amp;M$14&amp;"|"&amp;"CY2024Q3",Spectrum!$R:$R,0)),0)),IF(SUM($L31)=0,"",$L31)))</f>
        <v/>
      </c>
      <c r="N31" s="218">
        <f>IF(LEFT($B31,4)="_Mil","",IFERROR(1/(1/ROUND(INDEX(Spectrum!$N:$N,MATCH(RIGHT($B31,13)&amp;"|"&amp;$C31&amp;"|"&amp;$D31&amp;"|"&amp;N$14&amp;"|"&amp;"CY2024Q3",Spectrum!$R:$R,0)),0)),IF(SUM($M31)=0,"",$M31)))</f>
        <v>23402</v>
      </c>
      <c r="O31" s="33">
        <f t="shared" si="1"/>
        <v>0.49455821128933408</v>
      </c>
      <c r="P31" s="33">
        <f t="shared" si="2"/>
        <v>0.8</v>
      </c>
      <c r="Q31" s="218">
        <f t="shared" si="3"/>
        <v>37855</v>
      </c>
      <c r="R31" s="218">
        <f t="shared" si="4"/>
        <v>14453</v>
      </c>
      <c r="S31" s="33">
        <v>0</v>
      </c>
      <c r="T31" s="33" t="str">
        <f t="shared" si="13"/>
        <v/>
      </c>
      <c r="U31" s="33"/>
      <c r="V31" s="33" t="str">
        <f t="shared" si="14"/>
        <v/>
      </c>
      <c r="W31" s="33"/>
      <c r="X31" s="236">
        <v>3.5000000000000001E-3</v>
      </c>
      <c r="Y31" s="38">
        <f t="shared" si="7"/>
        <v>0</v>
      </c>
      <c r="Z31" s="218" t="str">
        <f t="shared" si="8"/>
        <v/>
      </c>
      <c r="AA31" s="218" t="str">
        <f t="shared" si="9"/>
        <v/>
      </c>
      <c r="AB31" s="218" t="str">
        <f t="shared" si="10"/>
        <v/>
      </c>
      <c r="AC31" s="38">
        <f>IFERROR(1/(1/INDEX(Cascade!$BH:$BH,MATCH($E31,Cascade!$E:$E,0))),"")</f>
        <v>137</v>
      </c>
      <c r="AD31" s="38" t="str">
        <f t="shared" si="11"/>
        <v/>
      </c>
      <c r="AE31" s="38">
        <f>IFERROR(1/(1/INDEX(TB!$P:$P,MATCH($E31,TB!$E:$E,0))),"")</f>
        <v>3</v>
      </c>
      <c r="AF31" s="38">
        <f t="shared" si="12"/>
        <v>134</v>
      </c>
    </row>
    <row r="32" spans="1:32" x14ac:dyDescent="0.2">
      <c r="A32" t="str">
        <f>INDEX(Prioritization!$D:$D,MATCH($B32,Prioritization!$A:$A,0))</f>
        <v>INVALID</v>
      </c>
      <c r="B32" t="s">
        <v>316</v>
      </c>
      <c r="C32" t="s">
        <v>476</v>
      </c>
      <c r="D32" t="s">
        <v>48</v>
      </c>
      <c r="E32" t="str">
        <f t="shared" si="0"/>
        <v>Chiradzulu District [oiPR2CiVJbf]|25-34|Male</v>
      </c>
      <c r="F32" s="38">
        <f>IF(LEFT($B32,4)="_Mil","",INDEX(Cascade!$T:$T,MATCH($E32,Cascade!$E:$E,0)))</f>
        <v>28482</v>
      </c>
      <c r="G32" s="38">
        <f>IF(LEFT($B32,4)="_Mil","",INDEX(Cascade!$U:$U,MATCH($E32,Cascade!$E:$E,0)))</f>
        <v>1849</v>
      </c>
      <c r="H32" s="110">
        <f>IF(LEFT($B32,4)="_Mil","",INDEX(Cascade!$W:$W,MATCH($E32,Cascade!$E:$E,0)))</f>
        <v>6.4902737000000002E-2</v>
      </c>
      <c r="I32" s="38">
        <f>IF(LEFT($B32,4)="_Mil","",INDEX(Cascade!$Z:$Z,MATCH($E32,Cascade!$E:$E,0)))</f>
        <v>1913</v>
      </c>
      <c r="J32" s="33">
        <f>IF(LEFT($B32,4)="_Mil","",INDEX(Cascade!$AA:$AA,MATCH($E32,Cascade!$E:$E,0)))</f>
        <v>0.85752875299999987</v>
      </c>
      <c r="K32" s="38"/>
      <c r="L32" s="38"/>
      <c r="M32" s="218" t="str">
        <f>IF(LEFT($B32,4)="_Mil","",IFERROR(1/(1/ROUND(INDEX(Spectrum!$N:$N,MATCH(RIGHT($B32,13)&amp;"|"&amp;$C32&amp;"|"&amp;$D32&amp;"|"&amp;M$14&amp;"|"&amp;"CY2024Q3",Spectrum!$R:$R,0)),0)),IF(SUM($L32)=0,"",$L32)))</f>
        <v/>
      </c>
      <c r="N32" s="218">
        <f>IF(LEFT($B32,4)="_Mil","",IFERROR(1/(1/ROUND(INDEX(Spectrum!$N:$N,MATCH(RIGHT($B32,13)&amp;"|"&amp;$C32&amp;"|"&amp;$D32&amp;"|"&amp;N$14&amp;"|"&amp;"CY2024Q3",Spectrum!$R:$R,0)),0)),IF(SUM($M32)=0,"",$M32)))</f>
        <v>23426.000000000004</v>
      </c>
      <c r="O32" s="33">
        <f t="shared" si="1"/>
        <v>0.82248437609718428</v>
      </c>
      <c r="P32" s="33">
        <f t="shared" si="2"/>
        <v>0.82248437609718428</v>
      </c>
      <c r="Q32" s="218">
        <f t="shared" si="3"/>
        <v>23426</v>
      </c>
      <c r="R32" s="218">
        <f t="shared" si="4"/>
        <v>0</v>
      </c>
      <c r="S32" s="33" t="str">
        <f t="shared" si="5"/>
        <v/>
      </c>
      <c r="T32" s="33" t="str">
        <f t="shared" si="13"/>
        <v/>
      </c>
      <c r="U32" s="33"/>
      <c r="V32" s="33" t="str">
        <f t="shared" si="14"/>
        <v/>
      </c>
      <c r="W32" s="33"/>
      <c r="X32" s="236">
        <v>3.5000000000000001E-3</v>
      </c>
      <c r="Y32" s="38" t="str">
        <f t="shared" si="7"/>
        <v/>
      </c>
      <c r="Z32" s="218" t="str">
        <f t="shared" si="8"/>
        <v/>
      </c>
      <c r="AA32" s="218" t="str">
        <f t="shared" si="9"/>
        <v/>
      </c>
      <c r="AB32" s="218" t="str">
        <f t="shared" si="10"/>
        <v/>
      </c>
      <c r="AC32" s="38">
        <f>IFERROR(1/(1/INDEX(Cascade!$BH:$BH,MATCH($E32,Cascade!$E:$E,0))),"")</f>
        <v>177</v>
      </c>
      <c r="AD32" s="38" t="str">
        <f t="shared" si="11"/>
        <v/>
      </c>
      <c r="AE32" s="38">
        <f>IFERROR(1/(1/INDEX(TB!$P:$P,MATCH($E32,TB!$E:$E,0))),"")</f>
        <v>3</v>
      </c>
      <c r="AF32" s="38">
        <f t="shared" si="12"/>
        <v>174</v>
      </c>
    </row>
    <row r="33" spans="1:32" x14ac:dyDescent="0.2">
      <c r="A33" t="str">
        <f>INDEX(Prioritization!$D:$D,MATCH($B33,Prioritization!$A:$A,0))</f>
        <v>INVALID</v>
      </c>
      <c r="B33" t="s">
        <v>316</v>
      </c>
      <c r="C33" t="s">
        <v>477</v>
      </c>
      <c r="D33" t="s">
        <v>48</v>
      </c>
      <c r="E33" t="str">
        <f t="shared" si="0"/>
        <v>Chiradzulu District [oiPR2CiVJbf]|35-49|Male</v>
      </c>
      <c r="F33" s="38">
        <f>IF(LEFT($B33,4)="_Mil","",INDEX(Cascade!$T:$T,MATCH($E33,Cascade!$E:$E,0)))</f>
        <v>26689</v>
      </c>
      <c r="G33" s="38">
        <f>IF(LEFT($B33,4)="_Mil","",INDEX(Cascade!$U:$U,MATCH($E33,Cascade!$E:$E,0)))</f>
        <v>6138</v>
      </c>
      <c r="H33" s="110">
        <f>IF(LEFT($B33,4)="_Mil","",INDEX(Cascade!$W:$W,MATCH($E33,Cascade!$E:$E,0)))</f>
        <v>0.22998005099999999</v>
      </c>
      <c r="I33" s="38">
        <f>IF(LEFT($B33,4)="_Mil","",INDEX(Cascade!$Z:$Z,MATCH($E33,Cascade!$E:$E,0)))</f>
        <v>6856</v>
      </c>
      <c r="J33" s="33">
        <f>IF(LEFT($B33,4)="_Mil","",INDEX(Cascade!$AA:$AA,MATCH($E33,Cascade!$E:$E,0)))</f>
        <v>0.91152878199999998</v>
      </c>
      <c r="K33" s="38"/>
      <c r="L33" s="38">
        <v>0</v>
      </c>
      <c r="M33" s="218" t="str">
        <f>IF(LEFT($B33,4)="_Mil","",IFERROR(1/(1/ROUND(INDEX(Spectrum!$N:$N,MATCH(RIGHT($B33,13)&amp;"|"&amp;$C33&amp;"|"&amp;$D33&amp;"|"&amp;M$14&amp;"|"&amp;"CY2024Q3",Spectrum!$R:$R,0)),0)),IF(SUM($L33)=0,"",$L33)))</f>
        <v/>
      </c>
      <c r="N33" s="218">
        <f>IF(LEFT($B33,4)="_Mil","",IFERROR(1/(1/ROUND(INDEX(Spectrum!$N:$N,MATCH(RIGHT($B33,13)&amp;"|"&amp;$C33&amp;"|"&amp;$D33&amp;"|"&amp;N$14&amp;"|"&amp;"CY2024Q3",Spectrum!$R:$R,0)),0)),IF(SUM($M33)=0,"",$M33)))</f>
        <v>18578</v>
      </c>
      <c r="O33" s="33">
        <f t="shared" si="1"/>
        <v>0.69609202293079542</v>
      </c>
      <c r="P33" s="33">
        <f t="shared" si="2"/>
        <v>0.8</v>
      </c>
      <c r="Q33" s="218">
        <f t="shared" si="3"/>
        <v>21351</v>
      </c>
      <c r="R33" s="218">
        <f t="shared" si="4"/>
        <v>2773</v>
      </c>
      <c r="S33" s="33">
        <v>0</v>
      </c>
      <c r="T33" s="33" t="str">
        <f t="shared" si="13"/>
        <v/>
      </c>
      <c r="U33" s="33"/>
      <c r="V33" s="33" t="str">
        <f t="shared" si="14"/>
        <v/>
      </c>
      <c r="W33" s="33"/>
      <c r="X33" s="236">
        <v>3.5000000000000001E-3</v>
      </c>
      <c r="Y33" s="38">
        <f t="shared" si="7"/>
        <v>0</v>
      </c>
      <c r="Z33" s="218" t="str">
        <f t="shared" si="8"/>
        <v/>
      </c>
      <c r="AA33" s="218" t="str">
        <f t="shared" si="9"/>
        <v/>
      </c>
      <c r="AB33" s="218" t="str">
        <f t="shared" si="10"/>
        <v/>
      </c>
      <c r="AC33" s="38">
        <f>IFERROR(1/(1/INDEX(Cascade!$BH:$BH,MATCH($E33,Cascade!$E:$E,0))),"")</f>
        <v>677</v>
      </c>
      <c r="AD33" s="38" t="str">
        <f t="shared" si="11"/>
        <v/>
      </c>
      <c r="AE33" s="38">
        <f>IFERROR(1/(1/INDEX(TB!$P:$P,MATCH($E33,TB!$E:$E,0))),"")</f>
        <v>4</v>
      </c>
      <c r="AF33" s="38">
        <f t="shared" si="12"/>
        <v>673</v>
      </c>
    </row>
    <row r="34" spans="1:32" x14ac:dyDescent="0.2">
      <c r="A34" t="str">
        <f>INDEX(Prioritization!$D:$D,MATCH($B34,Prioritization!$A:$A,0))</f>
        <v>INVALID</v>
      </c>
      <c r="B34" t="s">
        <v>316</v>
      </c>
      <c r="C34" t="s">
        <v>478</v>
      </c>
      <c r="D34" t="s">
        <v>48</v>
      </c>
      <c r="E34" t="str">
        <f t="shared" si="0"/>
        <v>Chiradzulu District [oiPR2CiVJbf]|50+|Male</v>
      </c>
      <c r="F34" s="38">
        <f>IF(LEFT($B34,4)="_Mil","",INDEX(Cascade!$T:$T,MATCH($E34,Cascade!$E:$E,0)))</f>
        <v>15774</v>
      </c>
      <c r="G34" s="38">
        <f>IF(LEFT($B34,4)="_Mil","",INDEX(Cascade!$U:$U,MATCH($E34,Cascade!$E:$E,0)))</f>
        <v>4510</v>
      </c>
      <c r="H34" s="110">
        <f>IF(LEFT($B34,4)="_Mil","",INDEX(Cascade!$W:$W,MATCH($E34,Cascade!$E:$E,0)))</f>
        <v>0.28591303899999998</v>
      </c>
      <c r="I34" s="38">
        <f>IF(LEFT($B34,4)="_Mil","",INDEX(Cascade!$Z:$Z,MATCH($E34,Cascade!$E:$E,0)))</f>
        <v>5096</v>
      </c>
      <c r="J34" s="33">
        <f>IF(LEFT($B34,4)="_Mil","",INDEX(Cascade!$AA:$AA,MATCH($E34,Cascade!$E:$E,0)))</f>
        <v>0.93965161799999997</v>
      </c>
      <c r="K34" s="38"/>
      <c r="L34" s="38">
        <v>0</v>
      </c>
      <c r="M34" s="218" t="str">
        <f>IF(LEFT($B34,4)="_Mil","",IFERROR(1/(1/ROUND(INDEX(Spectrum!$N:$N,MATCH(RIGHT($B34,13)&amp;"|"&amp;$C34&amp;"|"&amp;$D34&amp;"|"&amp;M$14&amp;"|"&amp;"CY2024Q3",Spectrum!$R:$R,0)),0)),IF(SUM($L34)=0,"",$L34)))</f>
        <v/>
      </c>
      <c r="N34" s="218">
        <f>IF(LEFT($B34,4)="_Mil","",IFERROR(1/(1/ROUND(INDEX(Spectrum!$N:$N,MATCH(RIGHT($B34,13)&amp;"|"&amp;$C34&amp;"|"&amp;$D34&amp;"|"&amp;N$14&amp;"|"&amp;"CY2024Q3",Spectrum!$R:$R,0)),0)),IF(SUM($M34)=0,"",$M34)))</f>
        <v>6003</v>
      </c>
      <c r="O34" s="33">
        <f t="shared" si="1"/>
        <v>0.3805629516926588</v>
      </c>
      <c r="P34" s="33">
        <f t="shared" si="2"/>
        <v>0.8</v>
      </c>
      <c r="Q34" s="218">
        <f t="shared" si="3"/>
        <v>12619</v>
      </c>
      <c r="R34" s="218">
        <f t="shared" si="4"/>
        <v>6616</v>
      </c>
      <c r="S34" s="33">
        <v>0</v>
      </c>
      <c r="T34" s="33" t="str">
        <f t="shared" si="13"/>
        <v/>
      </c>
      <c r="U34" s="33"/>
      <c r="V34" s="33" t="str">
        <f t="shared" si="14"/>
        <v/>
      </c>
      <c r="W34" s="33"/>
      <c r="X34" s="236">
        <v>3.5000000000000001E-3</v>
      </c>
      <c r="Y34" s="38">
        <f t="shared" si="7"/>
        <v>0</v>
      </c>
      <c r="Z34" s="218" t="str">
        <f t="shared" si="8"/>
        <v/>
      </c>
      <c r="AA34" s="218" t="str">
        <f t="shared" si="9"/>
        <v/>
      </c>
      <c r="AB34" s="218" t="str">
        <f t="shared" si="10"/>
        <v/>
      </c>
      <c r="AC34" s="38">
        <f>IFERROR(1/(1/INDEX(Cascade!$BH:$BH,MATCH($E34,Cascade!$E:$E,0))),"")</f>
        <v>104</v>
      </c>
      <c r="AD34" s="38" t="str">
        <f t="shared" si="11"/>
        <v/>
      </c>
      <c r="AE34" s="38">
        <f>IFERROR(1/(1/INDEX(TB!$P:$P,MATCH($E34,TB!$E:$E,0))),"")</f>
        <v>1</v>
      </c>
      <c r="AF34" s="38">
        <f t="shared" si="12"/>
        <v>103.00000000000001</v>
      </c>
    </row>
    <row r="35" spans="1:32" x14ac:dyDescent="0.2">
      <c r="A35" t="str">
        <f>INDEX(Prioritization!$D:$D,MATCH($B35,Prioritization!$A:$A,0))</f>
        <v>4 - Sustained</v>
      </c>
      <c r="B35" t="s">
        <v>307</v>
      </c>
      <c r="C35" t="s">
        <v>475</v>
      </c>
      <c r="D35" t="s">
        <v>48</v>
      </c>
      <c r="E35" t="str">
        <f t="shared" si="0"/>
        <v>Chitipa District [GkIwZrXy1h2]|15-24|Male</v>
      </c>
      <c r="F35" s="38">
        <f>IF(LEFT($B35,4)="_Mil","",INDEX(Cascade!$T:$T,MATCH($E35,Cascade!$E:$E,0)))</f>
        <v>30447</v>
      </c>
      <c r="G35" s="38">
        <f>IF(LEFT($B35,4)="_Mil","",INDEX(Cascade!$U:$U,MATCH($E35,Cascade!$E:$E,0)))</f>
        <v>195</v>
      </c>
      <c r="H35" s="110">
        <f>IF(LEFT($B35,4)="_Mil","",INDEX(Cascade!$W:$W,MATCH($E35,Cascade!$E:$E,0)))</f>
        <v>6.4085660000000001E-3</v>
      </c>
      <c r="I35" s="38">
        <f>IF(LEFT($B35,4)="_Mil","",INDEX(Cascade!$Z:$Z,MATCH($E35,Cascade!$E:$E,0)))</f>
        <v>192</v>
      </c>
      <c r="J35" s="33">
        <f>IF(LEFT($B35,4)="_Mil","",INDEX(Cascade!$AA:$AA,MATCH($E35,Cascade!$E:$E,0)))</f>
        <v>0.900563699</v>
      </c>
      <c r="K35" s="38"/>
      <c r="L35" s="38">
        <v>0</v>
      </c>
      <c r="M35" s="218" t="str">
        <f>IF(LEFT($B35,4)="_Mil","",IFERROR(1/(1/ROUND(INDEX(Spectrum!$N:$N,MATCH(RIGHT($B35,13)&amp;"|"&amp;$C35&amp;"|"&amp;$D35&amp;"|"&amp;M$14&amp;"|"&amp;"CY2024Q3",Spectrum!$R:$R,0)),0)),IF(SUM($L35)=0,"",$L35)))</f>
        <v/>
      </c>
      <c r="N35" s="218">
        <f>IF(LEFT($B35,4)="_Mil","",IFERROR(1/(1/ROUND(INDEX(Spectrum!$N:$N,MATCH(RIGHT($B35,13)&amp;"|"&amp;$C35&amp;"|"&amp;$D35&amp;"|"&amp;N$14&amp;"|"&amp;"CY2024Q3",Spectrum!$R:$R,0)),0)),IF(SUM($M35)=0,"",$M35)))</f>
        <v>2215</v>
      </c>
      <c r="O35" s="33">
        <f t="shared" si="1"/>
        <v>7.2749367753801683E-2</v>
      </c>
      <c r="P35" s="33">
        <f t="shared" si="2"/>
        <v>0.8</v>
      </c>
      <c r="Q35" s="218">
        <f t="shared" si="3"/>
        <v>24358</v>
      </c>
      <c r="R35" s="218">
        <f t="shared" si="4"/>
        <v>22143</v>
      </c>
      <c r="S35" s="33">
        <v>0</v>
      </c>
      <c r="T35" s="33" t="str">
        <f t="shared" si="13"/>
        <v/>
      </c>
      <c r="U35" s="33"/>
      <c r="V35" s="33" t="str">
        <f t="shared" si="14"/>
        <v/>
      </c>
      <c r="W35" s="33"/>
      <c r="X35" s="236">
        <v>3.5000000000000001E-3</v>
      </c>
      <c r="Y35" s="38">
        <f t="shared" si="7"/>
        <v>0</v>
      </c>
      <c r="Z35" s="218" t="str">
        <f t="shared" si="8"/>
        <v/>
      </c>
      <c r="AA35" s="218" t="str">
        <f t="shared" si="9"/>
        <v/>
      </c>
      <c r="AB35" s="218" t="str">
        <f t="shared" si="10"/>
        <v/>
      </c>
      <c r="AC35" s="38">
        <f>IFERROR(1/(1/INDEX(Cascade!$BH:$BH,MATCH($E35,Cascade!$E:$E,0))),"")</f>
        <v>3</v>
      </c>
      <c r="AD35" s="38" t="str">
        <f t="shared" si="11"/>
        <v/>
      </c>
      <c r="AE35" s="38">
        <f>IFERROR(1/(1/INDEX(TB!$P:$P,MATCH($E35,TB!$E:$E,0))),"")</f>
        <v>1</v>
      </c>
      <c r="AF35" s="38">
        <f t="shared" si="12"/>
        <v>2</v>
      </c>
    </row>
    <row r="36" spans="1:32" x14ac:dyDescent="0.2">
      <c r="A36" t="str">
        <f>INDEX(Prioritization!$D:$D,MATCH($B36,Prioritization!$A:$A,0))</f>
        <v>4 - Sustained</v>
      </c>
      <c r="B36" t="s">
        <v>307</v>
      </c>
      <c r="C36" t="s">
        <v>476</v>
      </c>
      <c r="D36" t="s">
        <v>48</v>
      </c>
      <c r="E36" t="str">
        <f t="shared" si="0"/>
        <v>Chitipa District [GkIwZrXy1h2]|25-34|Male</v>
      </c>
      <c r="F36" s="38">
        <f>IF(LEFT($B36,4)="_Mil","",INDEX(Cascade!$T:$T,MATCH($E36,Cascade!$E:$E,0)))</f>
        <v>19203</v>
      </c>
      <c r="G36" s="38">
        <f>IF(LEFT($B36,4)="_Mil","",INDEX(Cascade!$U:$U,MATCH($E36,Cascade!$E:$E,0)))</f>
        <v>260</v>
      </c>
      <c r="H36" s="110">
        <f>IF(LEFT($B36,4)="_Mil","",INDEX(Cascade!$W:$W,MATCH($E36,Cascade!$E:$E,0)))</f>
        <v>1.3532608E-2</v>
      </c>
      <c r="I36" s="38">
        <f>IF(LEFT($B36,4)="_Mil","",INDEX(Cascade!$Z:$Z,MATCH($E36,Cascade!$E:$E,0)))</f>
        <v>247</v>
      </c>
      <c r="J36" s="33">
        <f>IF(LEFT($B36,4)="_Mil","",INDEX(Cascade!$AA:$AA,MATCH($E36,Cascade!$E:$E,0)))</f>
        <v>0.87149221600000004</v>
      </c>
      <c r="K36" s="38"/>
      <c r="L36" s="38">
        <v>0</v>
      </c>
      <c r="M36" s="218" t="str">
        <f>IF(LEFT($B36,4)="_Mil","",IFERROR(1/(1/ROUND(INDEX(Spectrum!$N:$N,MATCH(RIGHT($B36,13)&amp;"|"&amp;$C36&amp;"|"&amp;$D36&amp;"|"&amp;M$14&amp;"|"&amp;"CY2024Q3",Spectrum!$R:$R,0)),0)),IF(SUM($L36)=0,"",$L36)))</f>
        <v/>
      </c>
      <c r="N36" s="218">
        <f>IF(LEFT($B36,4)="_Mil","",IFERROR(1/(1/ROUND(INDEX(Spectrum!$N:$N,MATCH(RIGHT($B36,13)&amp;"|"&amp;$C36&amp;"|"&amp;$D36&amp;"|"&amp;N$14&amp;"|"&amp;"CY2024Q3",Spectrum!$R:$R,0)),0)),IF(SUM($M36)=0,"",$M36)))</f>
        <v>2380</v>
      </c>
      <c r="O36" s="33">
        <f t="shared" si="1"/>
        <v>0.12393896786960371</v>
      </c>
      <c r="P36" s="33">
        <f t="shared" si="2"/>
        <v>0.8</v>
      </c>
      <c r="Q36" s="218">
        <f t="shared" si="3"/>
        <v>15362</v>
      </c>
      <c r="R36" s="218">
        <f t="shared" si="4"/>
        <v>12982</v>
      </c>
      <c r="S36" s="33">
        <v>0</v>
      </c>
      <c r="T36" s="33" t="str">
        <f t="shared" si="13"/>
        <v/>
      </c>
      <c r="U36" s="33"/>
      <c r="V36" s="33" t="str">
        <f t="shared" si="14"/>
        <v/>
      </c>
      <c r="W36" s="33"/>
      <c r="X36" s="236">
        <v>3.5000000000000001E-3</v>
      </c>
      <c r="Y36" s="38">
        <f t="shared" si="7"/>
        <v>0</v>
      </c>
      <c r="Z36" s="218" t="str">
        <f t="shared" si="8"/>
        <v/>
      </c>
      <c r="AA36" s="218" t="str">
        <f t="shared" si="9"/>
        <v/>
      </c>
      <c r="AB36" s="218" t="str">
        <f t="shared" si="10"/>
        <v/>
      </c>
      <c r="AC36" s="38">
        <f>IFERROR(1/(1/INDEX(Cascade!$BH:$BH,MATCH($E36,Cascade!$E:$E,0))),"")</f>
        <v>5</v>
      </c>
      <c r="AD36" s="38" t="str">
        <f t="shared" si="11"/>
        <v/>
      </c>
      <c r="AE36" s="38">
        <f>IFERROR(1/(1/INDEX(TB!$P:$P,MATCH($E36,TB!$E:$E,0))),"")</f>
        <v>1</v>
      </c>
      <c r="AF36" s="38">
        <f t="shared" si="12"/>
        <v>4</v>
      </c>
    </row>
    <row r="37" spans="1:32" x14ac:dyDescent="0.2">
      <c r="A37" t="str">
        <f>INDEX(Prioritization!$D:$D,MATCH($B37,Prioritization!$A:$A,0))</f>
        <v>4 - Sustained</v>
      </c>
      <c r="B37" t="s">
        <v>307</v>
      </c>
      <c r="C37" t="s">
        <v>477</v>
      </c>
      <c r="D37" t="s">
        <v>48</v>
      </c>
      <c r="E37" t="str">
        <f t="shared" si="0"/>
        <v>Chitipa District [GkIwZrXy1h2]|35-49|Male</v>
      </c>
      <c r="F37" s="38">
        <f>IF(LEFT($B37,4)="_Mil","",INDEX(Cascade!$T:$T,MATCH($E37,Cascade!$E:$E,0)))</f>
        <v>18145</v>
      </c>
      <c r="G37" s="38">
        <f>IF(LEFT($B37,4)="_Mil","",INDEX(Cascade!$U:$U,MATCH($E37,Cascade!$E:$E,0)))</f>
        <v>988</v>
      </c>
      <c r="H37" s="110">
        <f>IF(LEFT($B37,4)="_Mil","",INDEX(Cascade!$W:$W,MATCH($E37,Cascade!$E:$E,0)))</f>
        <v>5.4438738E-2</v>
      </c>
      <c r="I37" s="38">
        <f>IF(LEFT($B37,4)="_Mil","",INDEX(Cascade!$Z:$Z,MATCH($E37,Cascade!$E:$E,0)))</f>
        <v>984</v>
      </c>
      <c r="J37" s="33">
        <f>IF(LEFT($B37,4)="_Mil","",INDEX(Cascade!$AA:$AA,MATCH($E37,Cascade!$E:$E,0)))</f>
        <v>0.92157162100000012</v>
      </c>
      <c r="K37" s="38"/>
      <c r="L37" s="38">
        <v>0</v>
      </c>
      <c r="M37" s="218" t="str">
        <f>IF(LEFT($B37,4)="_Mil","",IFERROR(1/(1/ROUND(INDEX(Spectrum!$N:$N,MATCH(RIGHT($B37,13)&amp;"|"&amp;$C37&amp;"|"&amp;$D37&amp;"|"&amp;M$14&amp;"|"&amp;"CY2024Q3",Spectrum!$R:$R,0)),0)),IF(SUM($L37)=0,"",$L37)))</f>
        <v/>
      </c>
      <c r="N37" s="218">
        <f>IF(LEFT($B37,4)="_Mil","",IFERROR(1/(1/ROUND(INDEX(Spectrum!$N:$N,MATCH(RIGHT($B37,13)&amp;"|"&amp;$C37&amp;"|"&amp;$D37&amp;"|"&amp;N$14&amp;"|"&amp;"CY2024Q3",Spectrum!$R:$R,0)),0)),IF(SUM($M37)=0,"",$M37)))</f>
        <v>1543</v>
      </c>
      <c r="O37" s="33">
        <f t="shared" si="1"/>
        <v>8.503720033066961E-2</v>
      </c>
      <c r="P37" s="33">
        <f t="shared" si="2"/>
        <v>0.8</v>
      </c>
      <c r="Q37" s="218">
        <f t="shared" si="3"/>
        <v>14516</v>
      </c>
      <c r="R37" s="218">
        <f t="shared" si="4"/>
        <v>12973</v>
      </c>
      <c r="S37" s="33">
        <v>0</v>
      </c>
      <c r="T37" s="33" t="str">
        <f t="shared" si="13"/>
        <v/>
      </c>
      <c r="U37" s="33"/>
      <c r="V37" s="33" t="str">
        <f t="shared" si="14"/>
        <v/>
      </c>
      <c r="W37" s="33"/>
      <c r="X37" s="236">
        <v>3.5000000000000001E-3</v>
      </c>
      <c r="Y37" s="38">
        <f t="shared" si="7"/>
        <v>0</v>
      </c>
      <c r="Z37" s="218" t="str">
        <f t="shared" si="8"/>
        <v/>
      </c>
      <c r="AA37" s="218" t="str">
        <f t="shared" si="9"/>
        <v/>
      </c>
      <c r="AB37" s="218" t="str">
        <f t="shared" si="10"/>
        <v/>
      </c>
      <c r="AC37" s="38">
        <f>IFERROR(1/(1/INDEX(Cascade!$BH:$BH,MATCH($E37,Cascade!$E:$E,0))),"")</f>
        <v>54</v>
      </c>
      <c r="AD37" s="38" t="str">
        <f t="shared" si="11"/>
        <v/>
      </c>
      <c r="AE37" s="38">
        <f>IFERROR(1/(1/INDEX(TB!$P:$P,MATCH($E37,TB!$E:$E,0))),"")</f>
        <v>1</v>
      </c>
      <c r="AF37" s="38">
        <f t="shared" si="12"/>
        <v>53</v>
      </c>
    </row>
    <row r="38" spans="1:32" x14ac:dyDescent="0.2">
      <c r="A38" t="str">
        <f>INDEX(Prioritization!$D:$D,MATCH($B38,Prioritization!$A:$A,0))</f>
        <v>4 - Sustained</v>
      </c>
      <c r="B38" t="s">
        <v>307</v>
      </c>
      <c r="C38" t="s">
        <v>478</v>
      </c>
      <c r="D38" t="s">
        <v>48</v>
      </c>
      <c r="E38" t="str">
        <f t="shared" si="0"/>
        <v>Chitipa District [GkIwZrXy1h2]|50+|Male</v>
      </c>
      <c r="F38" s="38">
        <f>IF(LEFT($B38,4)="_Mil","",INDEX(Cascade!$T:$T,MATCH($E38,Cascade!$E:$E,0)))</f>
        <v>10930</v>
      </c>
      <c r="G38" s="38">
        <f>IF(LEFT($B38,4)="_Mil","",INDEX(Cascade!$U:$U,MATCH($E38,Cascade!$E:$E,0)))</f>
        <v>833</v>
      </c>
      <c r="H38" s="110">
        <f>IF(LEFT($B38,4)="_Mil","",INDEX(Cascade!$W:$W,MATCH($E38,Cascade!$E:$E,0)))</f>
        <v>7.6228679999999993E-2</v>
      </c>
      <c r="I38" s="38">
        <f>IF(LEFT($B38,4)="_Mil","",INDEX(Cascade!$Z:$Z,MATCH($E38,Cascade!$E:$E,0)))</f>
        <v>840</v>
      </c>
      <c r="J38" s="33">
        <f>IF(LEFT($B38,4)="_Mil","",INDEX(Cascade!$AA:$AA,MATCH($E38,Cascade!$E:$E,0)))</f>
        <v>0.94608708999999991</v>
      </c>
      <c r="K38" s="38"/>
      <c r="L38" s="38">
        <v>0</v>
      </c>
      <c r="M38" s="218" t="str">
        <f>IF(LEFT($B38,4)="_Mil","",IFERROR(1/(1/ROUND(INDEX(Spectrum!$N:$N,MATCH(RIGHT($B38,13)&amp;"|"&amp;$C38&amp;"|"&amp;$D38&amp;"|"&amp;M$14&amp;"|"&amp;"CY2024Q3",Spectrum!$R:$R,0)),0)),IF(SUM($L38)=0,"",$L38)))</f>
        <v/>
      </c>
      <c r="N38" s="218">
        <f>IF(LEFT($B38,4)="_Mil","",IFERROR(1/(1/ROUND(INDEX(Spectrum!$N:$N,MATCH(RIGHT($B38,13)&amp;"|"&amp;$C38&amp;"|"&amp;$D38&amp;"|"&amp;N$14&amp;"|"&amp;"CY2024Q3",Spectrum!$R:$R,0)),0)),IF(SUM($M38)=0,"",$M38)))</f>
        <v>371</v>
      </c>
      <c r="O38" s="33">
        <f t="shared" si="1"/>
        <v>3.3943275388838061E-2</v>
      </c>
      <c r="P38" s="33">
        <f t="shared" si="2"/>
        <v>0.8</v>
      </c>
      <c r="Q38" s="218">
        <f t="shared" si="3"/>
        <v>8744</v>
      </c>
      <c r="R38" s="218">
        <f t="shared" si="4"/>
        <v>8373</v>
      </c>
      <c r="S38" s="33">
        <v>0</v>
      </c>
      <c r="T38" s="33" t="str">
        <f t="shared" si="13"/>
        <v/>
      </c>
      <c r="U38" s="33"/>
      <c r="V38" s="33" t="str">
        <f t="shared" si="14"/>
        <v/>
      </c>
      <c r="W38" s="33"/>
      <c r="X38" s="236">
        <v>3.5000000000000001E-3</v>
      </c>
      <c r="Y38" s="38">
        <f t="shared" si="7"/>
        <v>0</v>
      </c>
      <c r="Z38" s="218" t="str">
        <f t="shared" si="8"/>
        <v/>
      </c>
      <c r="AA38" s="218" t="str">
        <f t="shared" si="9"/>
        <v/>
      </c>
      <c r="AB38" s="218" t="str">
        <f t="shared" si="10"/>
        <v/>
      </c>
      <c r="AC38" s="38">
        <f>IFERROR(1/(1/INDEX(Cascade!$BH:$BH,MATCH($E38,Cascade!$E:$E,0))),"")</f>
        <v>19</v>
      </c>
      <c r="AD38" s="38" t="str">
        <f t="shared" si="11"/>
        <v/>
      </c>
      <c r="AE38" s="38" t="str">
        <f>IFERROR(1/(1/INDEX(TB!$P:$P,MATCH($E38,TB!$E:$E,0))),"")</f>
        <v/>
      </c>
      <c r="AF38" s="38">
        <f t="shared" si="12"/>
        <v>19</v>
      </c>
    </row>
    <row r="39" spans="1:32" x14ac:dyDescent="0.2">
      <c r="A39" t="str">
        <f>INDEX(Prioritization!$D:$D,MATCH($B39,Prioritization!$A:$A,0))</f>
        <v>4 - Sustained</v>
      </c>
      <c r="B39" t="s">
        <v>298</v>
      </c>
      <c r="C39" t="s">
        <v>475</v>
      </c>
      <c r="D39" t="s">
        <v>48</v>
      </c>
      <c r="E39" s="1" t="str">
        <f t="shared" si="0"/>
        <v>Dedza District [PekKUkKHAzY]|15-24|Male</v>
      </c>
      <c r="F39" s="38">
        <f>IF(LEFT($B39,4)="_Mil","",INDEX(Cascade!$T:$T,MATCH($E39,Cascade!$E:$E,0)))</f>
        <v>106127</v>
      </c>
      <c r="G39" s="38">
        <f>IF(LEFT($B39,4)="_Mil","",INDEX(Cascade!$U:$U,MATCH($E39,Cascade!$E:$E,0)))</f>
        <v>669</v>
      </c>
      <c r="H39" s="110">
        <f>IF(LEFT($B39,4)="_Mil","",INDEX(Cascade!$W:$W,MATCH($E39,Cascade!$E:$E,0)))</f>
        <v>6.3021750000000001E-3</v>
      </c>
      <c r="I39" s="38">
        <f>IF(LEFT($B39,4)="_Mil","",INDEX(Cascade!$Z:$Z,MATCH($E39,Cascade!$E:$E,0)))</f>
        <v>680</v>
      </c>
      <c r="J39" s="33">
        <f>IF(LEFT($B39,4)="_Mil","",INDEX(Cascade!$AA:$AA,MATCH($E39,Cascade!$E:$E,0)))</f>
        <v>0.89049498699999996</v>
      </c>
      <c r="K39" s="38"/>
      <c r="L39" s="38">
        <v>0</v>
      </c>
      <c r="M39" s="2" t="str">
        <f>IF(LEFT($B39,4)="_Mil","",IFERROR(1/(1/ROUND(INDEX(Spectrum!$N:$N,MATCH(RIGHT($B39,13)&amp;"|"&amp;$C39&amp;"|"&amp;$D39&amp;"|"&amp;M$14&amp;"|"&amp;"CY2024Q3",Spectrum!$R:$R,0)),0)),IF(SUM($L39)=0,"",$L39)))</f>
        <v/>
      </c>
      <c r="N39" s="2">
        <f>IF(LEFT($B39,4)="_Mil","",IFERROR(1/(1/ROUND(INDEX(Spectrum!$N:$N,MATCH(RIGHT($B39,13)&amp;"|"&amp;$C39&amp;"|"&amp;$D39&amp;"|"&amp;N$14&amp;"|"&amp;"CY2024Q3",Spectrum!$R:$R,0)),0)),IF(SUM($M39)=0,"",$M39)))</f>
        <v>15232</v>
      </c>
      <c r="O39" s="33">
        <f t="shared" si="1"/>
        <v>0.14352615262845458</v>
      </c>
      <c r="P39" s="33">
        <f t="shared" si="2"/>
        <v>0.8</v>
      </c>
      <c r="Q39" s="2">
        <f t="shared" si="3"/>
        <v>84902</v>
      </c>
      <c r="R39" s="2">
        <f t="shared" si="4"/>
        <v>69670</v>
      </c>
      <c r="S39" s="236">
        <v>0</v>
      </c>
      <c r="T39" s="33" t="str">
        <f t="shared" si="13"/>
        <v/>
      </c>
      <c r="U39" s="33"/>
      <c r="V39" s="33" t="str">
        <f t="shared" si="14"/>
        <v/>
      </c>
      <c r="W39" s="33"/>
      <c r="X39" s="236">
        <v>3.5000000000000001E-3</v>
      </c>
      <c r="Y39" s="2">
        <f t="shared" si="7"/>
        <v>0</v>
      </c>
      <c r="Z39" s="2" t="str">
        <f t="shared" si="8"/>
        <v/>
      </c>
      <c r="AA39" s="2" t="str">
        <f t="shared" si="9"/>
        <v/>
      </c>
      <c r="AB39" s="2" t="str">
        <f t="shared" si="10"/>
        <v/>
      </c>
      <c r="AC39" s="38">
        <f>IFERROR(1/(1/INDEX(Cascade!$BH:$BH,MATCH($E39,Cascade!$E:$E,0))),"")</f>
        <v>21</v>
      </c>
      <c r="AD39" s="38" t="str">
        <f t="shared" si="11"/>
        <v/>
      </c>
      <c r="AE39" s="38">
        <f>IFERROR(1/(1/INDEX(TB!$P:$P,MATCH($E39,TB!$E:$E,0))),"")</f>
        <v>2</v>
      </c>
      <c r="AF39" s="38">
        <f t="shared" si="12"/>
        <v>19</v>
      </c>
    </row>
    <row r="40" spans="1:32" x14ac:dyDescent="0.2">
      <c r="A40" t="str">
        <f>INDEX(Prioritization!$D:$D,MATCH($B40,Prioritization!$A:$A,0))</f>
        <v>4 - Sustained</v>
      </c>
      <c r="B40" t="s">
        <v>298</v>
      </c>
      <c r="C40" t="s">
        <v>476</v>
      </c>
      <c r="D40" t="s">
        <v>48</v>
      </c>
      <c r="E40" t="str">
        <f t="shared" si="0"/>
        <v>Dedza District [PekKUkKHAzY]|25-34|Male</v>
      </c>
      <c r="F40" s="38">
        <f>IF(LEFT($B40,4)="_Mil","",INDEX(Cascade!$T:$T,MATCH($E40,Cascade!$E:$E,0)))</f>
        <v>68603</v>
      </c>
      <c r="G40" s="38">
        <f>IF(LEFT($B40,4)="_Mil","",INDEX(Cascade!$U:$U,MATCH($E40,Cascade!$E:$E,0)))</f>
        <v>869</v>
      </c>
      <c r="H40" s="110">
        <f>IF(LEFT($B40,4)="_Mil","",INDEX(Cascade!$W:$W,MATCH($E40,Cascade!$E:$E,0)))</f>
        <v>1.2673461E-2</v>
      </c>
      <c r="I40" s="38">
        <f>IF(LEFT($B40,4)="_Mil","",INDEX(Cascade!$Z:$Z,MATCH($E40,Cascade!$E:$E,0)))</f>
        <v>846</v>
      </c>
      <c r="J40" s="33">
        <f>IF(LEFT($B40,4)="_Mil","",INDEX(Cascade!$AA:$AA,MATCH($E40,Cascade!$E:$E,0)))</f>
        <v>0.85865854699999999</v>
      </c>
      <c r="K40" s="38"/>
      <c r="L40" s="38">
        <v>0</v>
      </c>
      <c r="M40" s="218" t="str">
        <f>IF(LEFT($B40,4)="_Mil","",IFERROR(1/(1/ROUND(INDEX(Spectrum!$N:$N,MATCH(RIGHT($B40,13)&amp;"|"&amp;$C40&amp;"|"&amp;$D40&amp;"|"&amp;M$14&amp;"|"&amp;"CY2024Q3",Spectrum!$R:$R,0)),0)),IF(SUM($L40)=0,"",$L40)))</f>
        <v/>
      </c>
      <c r="N40" s="218">
        <f>IF(LEFT($B40,4)="_Mil","",IFERROR(1/(1/ROUND(INDEX(Spectrum!$N:$N,MATCH(RIGHT($B40,13)&amp;"|"&amp;$C40&amp;"|"&amp;$D40&amp;"|"&amp;N$14&amp;"|"&amp;"CY2024Q3",Spectrum!$R:$R,0)),0)),IF(SUM($M40)=0,"",$M40)))</f>
        <v>15360</v>
      </c>
      <c r="O40" s="33">
        <f t="shared" si="1"/>
        <v>0.22389691412911972</v>
      </c>
      <c r="P40" s="33">
        <f t="shared" si="2"/>
        <v>0.8</v>
      </c>
      <c r="Q40" s="218">
        <f t="shared" si="3"/>
        <v>54882</v>
      </c>
      <c r="R40" s="218">
        <f t="shared" si="4"/>
        <v>39522</v>
      </c>
      <c r="S40" s="33">
        <v>0</v>
      </c>
      <c r="T40" s="33" t="str">
        <f t="shared" si="13"/>
        <v/>
      </c>
      <c r="U40" s="33"/>
      <c r="V40" s="33" t="str">
        <f t="shared" si="14"/>
        <v/>
      </c>
      <c r="W40" s="33"/>
      <c r="X40" s="236">
        <v>3.5000000000000001E-3</v>
      </c>
      <c r="Y40" s="38">
        <f t="shared" si="7"/>
        <v>0</v>
      </c>
      <c r="Z40" s="218" t="str">
        <f t="shared" si="8"/>
        <v/>
      </c>
      <c r="AA40" s="218" t="str">
        <f t="shared" si="9"/>
        <v/>
      </c>
      <c r="AB40" s="218" t="str">
        <f t="shared" si="10"/>
        <v/>
      </c>
      <c r="AC40" s="38">
        <f>IFERROR(1/(1/INDEX(Cascade!$BH:$BH,MATCH($E40,Cascade!$E:$E,0))),"")</f>
        <v>9</v>
      </c>
      <c r="AD40" s="38" t="str">
        <f t="shared" si="11"/>
        <v/>
      </c>
      <c r="AE40" s="38">
        <f>IFERROR(1/(1/INDEX(TB!$P:$P,MATCH($E40,TB!$E:$E,0))),"")</f>
        <v>2</v>
      </c>
      <c r="AF40" s="38">
        <f t="shared" si="12"/>
        <v>7</v>
      </c>
    </row>
    <row r="41" spans="1:32" x14ac:dyDescent="0.2">
      <c r="A41" t="str">
        <f>INDEX(Prioritization!$D:$D,MATCH($B41,Prioritization!$A:$A,0))</f>
        <v>4 - Sustained</v>
      </c>
      <c r="B41" t="s">
        <v>298</v>
      </c>
      <c r="C41" t="s">
        <v>477</v>
      </c>
      <c r="D41" t="s">
        <v>48</v>
      </c>
      <c r="E41" t="str">
        <f t="shared" si="0"/>
        <v>Dedza District [PekKUkKHAzY]|35-49|Male</v>
      </c>
      <c r="F41" s="38">
        <f>IF(LEFT($B41,4)="_Mil","",INDEX(Cascade!$T:$T,MATCH($E41,Cascade!$E:$E,0)))</f>
        <v>66362</v>
      </c>
      <c r="G41" s="38">
        <f>IF(LEFT($B41,4)="_Mil","",INDEX(Cascade!$U:$U,MATCH($E41,Cascade!$E:$E,0)))</f>
        <v>3455</v>
      </c>
      <c r="H41" s="110">
        <f>IF(LEFT($B41,4)="_Mil","",INDEX(Cascade!$W:$W,MATCH($E41,Cascade!$E:$E,0)))</f>
        <v>5.2059382000000001E-2</v>
      </c>
      <c r="I41" s="38">
        <f>IF(LEFT($B41,4)="_Mil","",INDEX(Cascade!$Z:$Z,MATCH($E41,Cascade!$E:$E,0)))</f>
        <v>3508</v>
      </c>
      <c r="J41" s="33">
        <f>IF(LEFT($B41,4)="_Mil","",INDEX(Cascade!$AA:$AA,MATCH($E41,Cascade!$E:$E,0)))</f>
        <v>0.91334394299999988</v>
      </c>
      <c r="K41" s="38"/>
      <c r="L41" s="38">
        <v>0</v>
      </c>
      <c r="M41" s="218" t="str">
        <f>IF(LEFT($B41,4)="_Mil","",IFERROR(1/(1/ROUND(INDEX(Spectrum!$N:$N,MATCH(RIGHT($B41,13)&amp;"|"&amp;$C41&amp;"|"&amp;$D41&amp;"|"&amp;M$14&amp;"|"&amp;"CY2024Q3",Spectrum!$R:$R,0)),0)),IF(SUM($L41)=0,"",$L41)))</f>
        <v/>
      </c>
      <c r="N41" s="218">
        <f>IF(LEFT($B41,4)="_Mil","",IFERROR(1/(1/ROUND(INDEX(Spectrum!$N:$N,MATCH(RIGHT($B41,13)&amp;"|"&amp;$C41&amp;"|"&amp;$D41&amp;"|"&amp;N$14&amp;"|"&amp;"CY2024Q3",Spectrum!$R:$R,0)),0)),IF(SUM($M41)=0,"",$M41)))</f>
        <v>12120</v>
      </c>
      <c r="O41" s="33">
        <f t="shared" si="1"/>
        <v>0.18263464030619933</v>
      </c>
      <c r="P41" s="33">
        <f t="shared" si="2"/>
        <v>0.8</v>
      </c>
      <c r="Q41" s="218">
        <f t="shared" si="3"/>
        <v>53090</v>
      </c>
      <c r="R41" s="218">
        <f t="shared" si="4"/>
        <v>40970</v>
      </c>
      <c r="S41" s="33">
        <v>0</v>
      </c>
      <c r="T41" s="33" t="str">
        <f t="shared" si="13"/>
        <v/>
      </c>
      <c r="U41" s="33"/>
      <c r="V41" s="33" t="str">
        <f t="shared" si="14"/>
        <v/>
      </c>
      <c r="W41" s="33"/>
      <c r="X41" s="236">
        <v>3.5000000000000001E-3</v>
      </c>
      <c r="Y41" s="38">
        <f t="shared" si="7"/>
        <v>0</v>
      </c>
      <c r="Z41" s="218" t="str">
        <f t="shared" si="8"/>
        <v/>
      </c>
      <c r="AA41" s="218" t="str">
        <f t="shared" si="9"/>
        <v/>
      </c>
      <c r="AB41" s="218" t="str">
        <f t="shared" si="10"/>
        <v/>
      </c>
      <c r="AC41" s="38">
        <f>IFERROR(1/(1/INDEX(Cascade!$BH:$BH,MATCH($E41,Cascade!$E:$E,0))),"")</f>
        <v>94</v>
      </c>
      <c r="AD41" s="38" t="str">
        <f t="shared" si="11"/>
        <v/>
      </c>
      <c r="AE41" s="38">
        <f>IFERROR(1/(1/INDEX(TB!$P:$P,MATCH($E41,TB!$E:$E,0))),"")</f>
        <v>3</v>
      </c>
      <c r="AF41" s="38">
        <f t="shared" si="12"/>
        <v>91</v>
      </c>
    </row>
    <row r="42" spans="1:32" x14ac:dyDescent="0.2">
      <c r="A42" t="str">
        <f>INDEX(Prioritization!$D:$D,MATCH($B42,Prioritization!$A:$A,0))</f>
        <v>4 - Sustained</v>
      </c>
      <c r="B42" t="s">
        <v>298</v>
      </c>
      <c r="C42" t="s">
        <v>478</v>
      </c>
      <c r="D42" t="s">
        <v>48</v>
      </c>
      <c r="E42" t="str">
        <f t="shared" si="0"/>
        <v>Dedza District [PekKUkKHAzY]|50+|Male</v>
      </c>
      <c r="F42" s="38">
        <f>IF(LEFT($B42,4)="_Mil","",INDEX(Cascade!$T:$T,MATCH($E42,Cascade!$E:$E,0)))</f>
        <v>35890</v>
      </c>
      <c r="G42" s="38">
        <f>IF(LEFT($B42,4)="_Mil","",INDEX(Cascade!$U:$U,MATCH($E42,Cascade!$E:$E,0)))</f>
        <v>2626</v>
      </c>
      <c r="H42" s="110">
        <f>IF(LEFT($B42,4)="_Mil","",INDEX(Cascade!$W:$W,MATCH($E42,Cascade!$E:$E,0)))</f>
        <v>7.3155392999999999E-2</v>
      </c>
      <c r="I42" s="38">
        <f>IF(LEFT($B42,4)="_Mil","",INDEX(Cascade!$Z:$Z,MATCH($E42,Cascade!$E:$E,0)))</f>
        <v>2744</v>
      </c>
      <c r="J42" s="33">
        <f>IF(LEFT($B42,4)="_Mil","",INDEX(Cascade!$AA:$AA,MATCH($E42,Cascade!$E:$E,0)))</f>
        <v>0.93995411799999995</v>
      </c>
      <c r="K42" s="38"/>
      <c r="L42" s="38">
        <v>0</v>
      </c>
      <c r="M42" s="218" t="str">
        <f>IF(LEFT($B42,4)="_Mil","",IFERROR(1/(1/ROUND(INDEX(Spectrum!$N:$N,MATCH(RIGHT($B42,13)&amp;"|"&amp;$C42&amp;"|"&amp;$D42&amp;"|"&amp;M$14&amp;"|"&amp;"CY2024Q3",Spectrum!$R:$R,0)),0)),IF(SUM($L42)=0,"",$L42)))</f>
        <v/>
      </c>
      <c r="N42" s="218">
        <f>IF(LEFT($B42,4)="_Mil","",IFERROR(1/(1/ROUND(INDEX(Spectrum!$N:$N,MATCH(RIGHT($B42,13)&amp;"|"&amp;$C42&amp;"|"&amp;$D42&amp;"|"&amp;N$14&amp;"|"&amp;"CY2024Q3",Spectrum!$R:$R,0)),0)),IF(SUM($M42)=0,"",$M42)))</f>
        <v>3845</v>
      </c>
      <c r="O42" s="33">
        <f t="shared" si="1"/>
        <v>0.10713290610197827</v>
      </c>
      <c r="P42" s="33">
        <f t="shared" si="2"/>
        <v>0.8</v>
      </c>
      <c r="Q42" s="218">
        <f t="shared" si="3"/>
        <v>28712</v>
      </c>
      <c r="R42" s="218">
        <f t="shared" si="4"/>
        <v>24867</v>
      </c>
      <c r="S42" s="33">
        <v>0</v>
      </c>
      <c r="T42" s="33" t="str">
        <f t="shared" si="13"/>
        <v/>
      </c>
      <c r="U42" s="33"/>
      <c r="V42" s="33" t="str">
        <f t="shared" si="14"/>
        <v/>
      </c>
      <c r="W42" s="33"/>
      <c r="X42" s="236">
        <v>3.5000000000000001E-3</v>
      </c>
      <c r="Y42" s="38">
        <f t="shared" si="7"/>
        <v>0</v>
      </c>
      <c r="Z42" s="218" t="str">
        <f t="shared" si="8"/>
        <v/>
      </c>
      <c r="AA42" s="218" t="str">
        <f t="shared" si="9"/>
        <v/>
      </c>
      <c r="AB42" s="218" t="str">
        <f t="shared" si="10"/>
        <v/>
      </c>
      <c r="AC42" s="38">
        <f>IFERROR(1/(1/INDEX(Cascade!$BH:$BH,MATCH($E42,Cascade!$E:$E,0))),"")</f>
        <v>128</v>
      </c>
      <c r="AD42" s="38" t="str">
        <f t="shared" si="11"/>
        <v/>
      </c>
      <c r="AE42" s="38">
        <f>IFERROR(1/(1/INDEX(TB!$P:$P,MATCH($E42,TB!$E:$E,0))),"")</f>
        <v>1</v>
      </c>
      <c r="AF42" s="38">
        <f t="shared" si="12"/>
        <v>127</v>
      </c>
    </row>
    <row r="43" spans="1:32" x14ac:dyDescent="0.2">
      <c r="A43" t="str">
        <f>INDEX(Prioritization!$D:$D,MATCH($B43,Prioritization!$A:$A,0))</f>
        <v>4 - Sustained</v>
      </c>
      <c r="B43" t="s">
        <v>299</v>
      </c>
      <c r="C43" t="s">
        <v>475</v>
      </c>
      <c r="D43" t="s">
        <v>48</v>
      </c>
      <c r="E43" t="str">
        <f t="shared" si="0"/>
        <v>Dowa District [zphK9WV8JB4]|15-24|Male</v>
      </c>
      <c r="F43" s="38">
        <f>IF(LEFT($B43,4)="_Mil","",INDEX(Cascade!$T:$T,MATCH($E43,Cascade!$E:$E,0)))</f>
        <v>106218</v>
      </c>
      <c r="G43" s="38">
        <f>IF(LEFT($B43,4)="_Mil","",INDEX(Cascade!$U:$U,MATCH($E43,Cascade!$E:$E,0)))</f>
        <v>498</v>
      </c>
      <c r="H43" s="110">
        <f>IF(LEFT($B43,4)="_Mil","",INDEX(Cascade!$W:$W,MATCH($E43,Cascade!$E:$E,0)))</f>
        <v>4.6842569999999998E-3</v>
      </c>
      <c r="I43" s="38">
        <f>IF(LEFT($B43,4)="_Mil","",INDEX(Cascade!$Z:$Z,MATCH($E43,Cascade!$E:$E,0)))</f>
        <v>414</v>
      </c>
      <c r="J43" s="33">
        <f>IF(LEFT($B43,4)="_Mil","",INDEX(Cascade!$AA:$AA,MATCH($E43,Cascade!$E:$E,0)))</f>
        <v>0.87844108300000001</v>
      </c>
      <c r="K43" s="38"/>
      <c r="L43" s="38">
        <v>0</v>
      </c>
      <c r="M43" s="218" t="str">
        <f>IF(LEFT($B43,4)="_Mil","",IFERROR(1/(1/ROUND(INDEX(Spectrum!$N:$N,MATCH(RIGHT($B43,13)&amp;"|"&amp;$C43&amp;"|"&amp;$D43&amp;"|"&amp;M$14&amp;"|"&amp;"CY2024Q3",Spectrum!$R:$R,0)),0)),IF(SUM($L43)=0,"",$L43)))</f>
        <v/>
      </c>
      <c r="N43" s="218">
        <f>IF(LEFT($B43,4)="_Mil","",IFERROR(1/(1/ROUND(INDEX(Spectrum!$N:$N,MATCH(RIGHT($B43,13)&amp;"|"&amp;$C43&amp;"|"&amp;$D43&amp;"|"&amp;N$14&amp;"|"&amp;"CY2024Q3",Spectrum!$R:$R,0)),0)),IF(SUM($M43)=0,"",$M43)))</f>
        <v>8454</v>
      </c>
      <c r="O43" s="33">
        <f t="shared" si="1"/>
        <v>7.9591029768965718E-2</v>
      </c>
      <c r="P43" s="33">
        <f t="shared" si="2"/>
        <v>0.8</v>
      </c>
      <c r="Q43" s="218">
        <f t="shared" si="3"/>
        <v>84974</v>
      </c>
      <c r="R43" s="218">
        <f t="shared" si="4"/>
        <v>76520</v>
      </c>
      <c r="S43" s="33">
        <v>0</v>
      </c>
      <c r="T43" s="33" t="str">
        <f t="shared" si="13"/>
        <v/>
      </c>
      <c r="U43" s="33"/>
      <c r="V43" s="33" t="str">
        <f t="shared" si="14"/>
        <v/>
      </c>
      <c r="W43" s="33"/>
      <c r="X43" s="236">
        <v>3.5000000000000001E-3</v>
      </c>
      <c r="Y43" s="38">
        <f t="shared" si="7"/>
        <v>0</v>
      </c>
      <c r="Z43" s="218" t="str">
        <f t="shared" si="8"/>
        <v/>
      </c>
      <c r="AA43" s="218" t="str">
        <f t="shared" si="9"/>
        <v/>
      </c>
      <c r="AB43" s="218" t="str">
        <f t="shared" si="10"/>
        <v/>
      </c>
      <c r="AC43" s="38">
        <f>IFERROR(1/(1/INDEX(Cascade!$BH:$BH,MATCH($E43,Cascade!$E:$E,0))),"")</f>
        <v>8</v>
      </c>
      <c r="AD43" s="38" t="str">
        <f t="shared" si="11"/>
        <v/>
      </c>
      <c r="AE43" s="38">
        <f>IFERROR(1/(1/INDEX(TB!$P:$P,MATCH($E43,TB!$E:$E,0))),"")</f>
        <v>1</v>
      </c>
      <c r="AF43" s="38">
        <f t="shared" si="12"/>
        <v>7</v>
      </c>
    </row>
    <row r="44" spans="1:32" x14ac:dyDescent="0.2">
      <c r="A44" t="str">
        <f>INDEX(Prioritization!$D:$D,MATCH($B44,Prioritization!$A:$A,0))</f>
        <v>4 - Sustained</v>
      </c>
      <c r="B44" t="s">
        <v>299</v>
      </c>
      <c r="C44" t="s">
        <v>476</v>
      </c>
      <c r="D44" t="s">
        <v>48</v>
      </c>
      <c r="E44" t="str">
        <f t="shared" si="0"/>
        <v>Dowa District [zphK9WV8JB4]|25-34|Male</v>
      </c>
      <c r="F44" s="38">
        <f>IF(LEFT($B44,4)="_Mil","",INDEX(Cascade!$T:$T,MATCH($E44,Cascade!$E:$E,0)))</f>
        <v>70247</v>
      </c>
      <c r="G44" s="38">
        <f>IF(LEFT($B44,4)="_Mil","",INDEX(Cascade!$U:$U,MATCH($E44,Cascade!$E:$E,0)))</f>
        <v>698</v>
      </c>
      <c r="H44" s="110">
        <f>IF(LEFT($B44,4)="_Mil","",INDEX(Cascade!$W:$W,MATCH($E44,Cascade!$E:$E,0)))</f>
        <v>9.9316270000000002E-3</v>
      </c>
      <c r="I44" s="38">
        <f>IF(LEFT($B44,4)="_Mil","",INDEX(Cascade!$Z:$Z,MATCH($E44,Cascade!$E:$E,0)))</f>
        <v>568</v>
      </c>
      <c r="J44" s="33">
        <f>IF(LEFT($B44,4)="_Mil","",INDEX(Cascade!$AA:$AA,MATCH($E44,Cascade!$E:$E,0)))</f>
        <v>0.84374567499999997</v>
      </c>
      <c r="K44" s="38"/>
      <c r="L44" s="38">
        <v>0</v>
      </c>
      <c r="M44" s="218" t="str">
        <f>IF(LEFT($B44,4)="_Mil","",IFERROR(1/(1/ROUND(INDEX(Spectrum!$N:$N,MATCH(RIGHT($B44,13)&amp;"|"&amp;$C44&amp;"|"&amp;$D44&amp;"|"&amp;M$14&amp;"|"&amp;"CY2024Q3",Spectrum!$R:$R,0)),0)),IF(SUM($L44)=0,"",$L44)))</f>
        <v/>
      </c>
      <c r="N44" s="218">
        <f>IF(LEFT($B44,4)="_Mil","",IFERROR(1/(1/ROUND(INDEX(Spectrum!$N:$N,MATCH(RIGHT($B44,13)&amp;"|"&amp;$C44&amp;"|"&amp;$D44&amp;"|"&amp;N$14&amp;"|"&amp;"CY2024Q3",Spectrum!$R:$R,0)),0)),IF(SUM($M44)=0,"",$M44)))</f>
        <v>7506</v>
      </c>
      <c r="O44" s="33">
        <f t="shared" si="1"/>
        <v>0.10685153814397767</v>
      </c>
      <c r="P44" s="33">
        <f t="shared" si="2"/>
        <v>0.8</v>
      </c>
      <c r="Q44" s="218">
        <f t="shared" si="3"/>
        <v>56198</v>
      </c>
      <c r="R44" s="218">
        <f t="shared" si="4"/>
        <v>48692</v>
      </c>
      <c r="S44" s="33">
        <v>0</v>
      </c>
      <c r="T44" s="33" t="str">
        <f t="shared" si="13"/>
        <v/>
      </c>
      <c r="U44" s="33"/>
      <c r="V44" s="33" t="str">
        <f t="shared" si="14"/>
        <v/>
      </c>
      <c r="W44" s="33"/>
      <c r="X44" s="236">
        <v>3.5000000000000001E-3</v>
      </c>
      <c r="Y44" s="38">
        <f t="shared" si="7"/>
        <v>0</v>
      </c>
      <c r="Z44" s="218" t="str">
        <f t="shared" si="8"/>
        <v/>
      </c>
      <c r="AA44" s="218" t="str">
        <f t="shared" si="9"/>
        <v/>
      </c>
      <c r="AB44" s="218" t="str">
        <f t="shared" si="10"/>
        <v/>
      </c>
      <c r="AC44" s="38">
        <f>IFERROR(1/(1/INDEX(Cascade!$BH:$BH,MATCH($E44,Cascade!$E:$E,0))),"")</f>
        <v>12</v>
      </c>
      <c r="AD44" s="38" t="str">
        <f t="shared" si="11"/>
        <v/>
      </c>
      <c r="AE44" s="38">
        <f>IFERROR(1/(1/INDEX(TB!$P:$P,MATCH($E44,TB!$E:$E,0))),"")</f>
        <v>1</v>
      </c>
      <c r="AF44" s="38">
        <f t="shared" si="12"/>
        <v>11</v>
      </c>
    </row>
    <row r="45" spans="1:32" x14ac:dyDescent="0.2">
      <c r="A45" t="str">
        <f>INDEX(Prioritization!$D:$D,MATCH($B45,Prioritization!$A:$A,0))</f>
        <v>4 - Sustained</v>
      </c>
      <c r="B45" t="s">
        <v>299</v>
      </c>
      <c r="C45" t="s">
        <v>477</v>
      </c>
      <c r="D45" t="s">
        <v>48</v>
      </c>
      <c r="E45" t="str">
        <f t="shared" si="0"/>
        <v>Dowa District [zphK9WV8JB4]|35-49|Male</v>
      </c>
      <c r="F45" s="38">
        <f>IF(LEFT($B45,4)="_Mil","",INDEX(Cascade!$T:$T,MATCH($E45,Cascade!$E:$E,0)))</f>
        <v>66687</v>
      </c>
      <c r="G45" s="38">
        <f>IF(LEFT($B45,4)="_Mil","",INDEX(Cascade!$U:$U,MATCH($E45,Cascade!$E:$E,0)))</f>
        <v>2760</v>
      </c>
      <c r="H45" s="110">
        <f>IF(LEFT($B45,4)="_Mil","",INDEX(Cascade!$W:$W,MATCH($E45,Cascade!$E:$E,0)))</f>
        <v>4.1389410000000001E-2</v>
      </c>
      <c r="I45" s="38">
        <f>IF(LEFT($B45,4)="_Mil","",INDEX(Cascade!$Z:$Z,MATCH($E45,Cascade!$E:$E,0)))</f>
        <v>2357</v>
      </c>
      <c r="J45" s="33">
        <f>IF(LEFT($B45,4)="_Mil","",INDEX(Cascade!$AA:$AA,MATCH($E45,Cascade!$E:$E,0)))</f>
        <v>0.90343677899999997</v>
      </c>
      <c r="K45" s="38"/>
      <c r="L45" s="38">
        <v>0</v>
      </c>
      <c r="M45" s="218" t="str">
        <f>IF(LEFT($B45,4)="_Mil","",IFERROR(1/(1/ROUND(INDEX(Spectrum!$N:$N,MATCH(RIGHT($B45,13)&amp;"|"&amp;$C45&amp;"|"&amp;$D45&amp;"|"&amp;M$14&amp;"|"&amp;"CY2024Q3",Spectrum!$R:$R,0)),0)),IF(SUM($L45)=0,"",$L45)))</f>
        <v/>
      </c>
      <c r="N45" s="218">
        <f>IF(LEFT($B45,4)="_Mil","",IFERROR(1/(1/ROUND(INDEX(Spectrum!$N:$N,MATCH(RIGHT($B45,13)&amp;"|"&amp;$C45&amp;"|"&amp;$D45&amp;"|"&amp;N$14&amp;"|"&amp;"CY2024Q3",Spectrum!$R:$R,0)),0)),IF(SUM($M45)=0,"",$M45)))</f>
        <v>4889</v>
      </c>
      <c r="O45" s="33">
        <f t="shared" si="1"/>
        <v>7.3312639644908306E-2</v>
      </c>
      <c r="P45" s="33">
        <f t="shared" si="2"/>
        <v>0.8</v>
      </c>
      <c r="Q45" s="218">
        <f t="shared" si="3"/>
        <v>53350</v>
      </c>
      <c r="R45" s="218">
        <f t="shared" si="4"/>
        <v>48461</v>
      </c>
      <c r="S45" s="33">
        <v>0</v>
      </c>
      <c r="T45" s="33" t="str">
        <f t="shared" si="13"/>
        <v/>
      </c>
      <c r="U45" s="33"/>
      <c r="V45" s="33" t="str">
        <f t="shared" si="14"/>
        <v/>
      </c>
      <c r="W45" s="33"/>
      <c r="X45" s="236">
        <v>3.5000000000000001E-3</v>
      </c>
      <c r="Y45" s="38">
        <f t="shared" si="7"/>
        <v>0</v>
      </c>
      <c r="Z45" s="218" t="str">
        <f t="shared" si="8"/>
        <v/>
      </c>
      <c r="AA45" s="218" t="str">
        <f t="shared" si="9"/>
        <v/>
      </c>
      <c r="AB45" s="218" t="str">
        <f t="shared" si="10"/>
        <v/>
      </c>
      <c r="AC45" s="38">
        <f>IFERROR(1/(1/INDEX(Cascade!$BH:$BH,MATCH($E45,Cascade!$E:$E,0))),"")</f>
        <v>46</v>
      </c>
      <c r="AD45" s="38" t="str">
        <f t="shared" si="11"/>
        <v/>
      </c>
      <c r="AE45" s="38">
        <f>IFERROR(1/(1/INDEX(TB!$P:$P,MATCH($E45,TB!$E:$E,0))),"")</f>
        <v>2</v>
      </c>
      <c r="AF45" s="38">
        <f t="shared" si="12"/>
        <v>44</v>
      </c>
    </row>
    <row r="46" spans="1:32" x14ac:dyDescent="0.2">
      <c r="A46" t="str">
        <f>INDEX(Prioritization!$D:$D,MATCH($B46,Prioritization!$A:$A,0))</f>
        <v>4 - Sustained</v>
      </c>
      <c r="B46" t="s">
        <v>299</v>
      </c>
      <c r="C46" t="s">
        <v>478</v>
      </c>
      <c r="D46" t="s">
        <v>48</v>
      </c>
      <c r="E46" t="str">
        <f t="shared" si="0"/>
        <v>Dowa District [zphK9WV8JB4]|50+|Male</v>
      </c>
      <c r="F46" s="38">
        <f>IF(LEFT($B46,4)="_Mil","",INDEX(Cascade!$T:$T,MATCH($E46,Cascade!$E:$E,0)))</f>
        <v>37052</v>
      </c>
      <c r="G46" s="38">
        <f>IF(LEFT($B46,4)="_Mil","",INDEX(Cascade!$U:$U,MATCH($E46,Cascade!$E:$E,0)))</f>
        <v>2191</v>
      </c>
      <c r="H46" s="110">
        <f>IF(LEFT($B46,4)="_Mil","",INDEX(Cascade!$W:$W,MATCH($E46,Cascade!$E:$E,0)))</f>
        <v>5.9119000999999997E-2</v>
      </c>
      <c r="I46" s="38">
        <f>IF(LEFT($B46,4)="_Mil","",INDEX(Cascade!$Z:$Z,MATCH($E46,Cascade!$E:$E,0)))</f>
        <v>1882</v>
      </c>
      <c r="J46" s="33">
        <f>IF(LEFT($B46,4)="_Mil","",INDEX(Cascade!$AA:$AA,MATCH($E46,Cascade!$E:$E,0)))</f>
        <v>0.93289692199999996</v>
      </c>
      <c r="K46" s="38"/>
      <c r="L46" s="38">
        <v>0</v>
      </c>
      <c r="M46" s="218" t="str">
        <f>IF(LEFT($B46,4)="_Mil","",IFERROR(1/(1/ROUND(INDEX(Spectrum!$N:$N,MATCH(RIGHT($B46,13)&amp;"|"&amp;$C46&amp;"|"&amp;$D46&amp;"|"&amp;M$14&amp;"|"&amp;"CY2024Q3",Spectrum!$R:$R,0)),0)),IF(SUM($L46)=0,"",$L46)))</f>
        <v/>
      </c>
      <c r="N46" s="218">
        <f>IF(LEFT($B46,4)="_Mil","",IFERROR(1/(1/ROUND(INDEX(Spectrum!$N:$N,MATCH(RIGHT($B46,13)&amp;"|"&amp;$C46&amp;"|"&amp;$D46&amp;"|"&amp;N$14&amp;"|"&amp;"CY2024Q3",Spectrum!$R:$R,0)),0)),IF(SUM($M46)=0,"",$M46)))</f>
        <v>1262</v>
      </c>
      <c r="O46" s="33">
        <f t="shared" si="1"/>
        <v>3.4060239663176076E-2</v>
      </c>
      <c r="P46" s="33">
        <f t="shared" si="2"/>
        <v>0.8</v>
      </c>
      <c r="Q46" s="218">
        <f t="shared" si="3"/>
        <v>29642</v>
      </c>
      <c r="R46" s="218">
        <f t="shared" si="4"/>
        <v>28380</v>
      </c>
      <c r="S46" s="33">
        <v>0</v>
      </c>
      <c r="T46" s="33" t="str">
        <f t="shared" si="13"/>
        <v/>
      </c>
      <c r="U46" s="33"/>
      <c r="V46" s="33" t="str">
        <f t="shared" si="14"/>
        <v/>
      </c>
      <c r="W46" s="33"/>
      <c r="X46" s="236">
        <v>3.5000000000000001E-3</v>
      </c>
      <c r="Y46" s="38">
        <f t="shared" si="7"/>
        <v>0</v>
      </c>
      <c r="Z46" s="218" t="str">
        <f t="shared" si="8"/>
        <v/>
      </c>
      <c r="AA46" s="218" t="str">
        <f t="shared" si="9"/>
        <v/>
      </c>
      <c r="AB46" s="218" t="str">
        <f t="shared" si="10"/>
        <v/>
      </c>
      <c r="AC46" s="38">
        <f>IFERROR(1/(1/INDEX(Cascade!$BH:$BH,MATCH($E46,Cascade!$E:$E,0))),"")</f>
        <v>21</v>
      </c>
      <c r="AD46" s="38" t="str">
        <f t="shared" si="11"/>
        <v/>
      </c>
      <c r="AE46" s="38" t="str">
        <f>IFERROR(1/(1/INDEX(TB!$P:$P,MATCH($E46,TB!$E:$E,0))),"")</f>
        <v/>
      </c>
      <c r="AF46" s="38">
        <f t="shared" si="12"/>
        <v>21</v>
      </c>
    </row>
    <row r="47" spans="1:32" x14ac:dyDescent="0.2">
      <c r="A47" t="str">
        <f>INDEX(Prioritization!$D:$D,MATCH($B47,Prioritization!$A:$A,0))</f>
        <v>INVALID</v>
      </c>
      <c r="B47" t="s">
        <v>308</v>
      </c>
      <c r="C47" t="s">
        <v>475</v>
      </c>
      <c r="D47" t="s">
        <v>48</v>
      </c>
      <c r="E47" t="str">
        <f t="shared" ref="E47:E78" si="15">B47&amp;"|"&amp;C47&amp;"|"&amp;D47</f>
        <v>Karonga District [cPtvxaZqXIH]|15-24|Male</v>
      </c>
      <c r="F47" s="38">
        <f>IF(LEFT($B47,4)="_Mil","",INDEX(Cascade!$T:$T,MATCH($E47,Cascade!$E:$E,0)))</f>
        <v>48216</v>
      </c>
      <c r="G47" s="38">
        <f>IF(LEFT($B47,4)="_Mil","",INDEX(Cascade!$U:$U,MATCH($E47,Cascade!$E:$E,0)))</f>
        <v>589</v>
      </c>
      <c r="H47" s="110">
        <f>IF(LEFT($B47,4)="_Mil","",INDEX(Cascade!$W:$W,MATCH($E47,Cascade!$E:$E,0)))</f>
        <v>1.2213945E-2</v>
      </c>
      <c r="I47" s="38">
        <f>IF(LEFT($B47,4)="_Mil","",INDEX(Cascade!$Z:$Z,MATCH($E47,Cascade!$E:$E,0)))</f>
        <v>523</v>
      </c>
      <c r="J47" s="33">
        <f>IF(LEFT($B47,4)="_Mil","",INDEX(Cascade!$AA:$AA,MATCH($E47,Cascade!$E:$E,0)))</f>
        <v>0.91544905799999998</v>
      </c>
      <c r="K47" s="38"/>
      <c r="L47" s="38">
        <v>0</v>
      </c>
      <c r="M47" s="218" t="str">
        <f>IF(LEFT($B47,4)="_Mil","",IFERROR(1/(1/ROUND(INDEX(Spectrum!$N:$N,MATCH(RIGHT($B47,13)&amp;"|"&amp;$C47&amp;"|"&amp;$D47&amp;"|"&amp;M$14&amp;"|"&amp;"CY2024Q3",Spectrum!$R:$R,0)),0)),IF(SUM($L47)=0,"",$L47)))</f>
        <v/>
      </c>
      <c r="N47" s="218">
        <f>IF(LEFT($B47,4)="_Mil","",IFERROR(1/(1/ROUND(INDEX(Spectrum!$N:$N,MATCH(RIGHT($B47,13)&amp;"|"&amp;$C47&amp;"|"&amp;$D47&amp;"|"&amp;N$14&amp;"|"&amp;"CY2024Q3",Spectrum!$R:$R,0)),0)),IF(SUM($M47)=0,"",$M47)))</f>
        <v>6958.9999999999991</v>
      </c>
      <c r="O47" s="33">
        <f t="shared" ref="O47:O78" si="16">IF(OR(LEFT($B47,4)="_Mil",SUM($F47)=0),"",SUM($N47)/$F47)</f>
        <v>0.14432968309274927</v>
      </c>
      <c r="P47" s="33">
        <f t="shared" ref="P47:P78" si="17">IF(OR(LEFT($B47,4)="_Mil",SUM($F47)=0),"",MAX(SUM($O47),80%))</f>
        <v>0.8</v>
      </c>
      <c r="Q47" s="218">
        <f t="shared" ref="Q47:Q78" si="18">IF(OR(LEFT($B47,4)="_Mil",SUM($F47)=0),"",ROUND(SUM($F47)*$P47,0))</f>
        <v>38573</v>
      </c>
      <c r="R47" s="218">
        <f t="shared" ref="R47:R78" si="19">IF(OR(LEFT($B47,4)="_Mil",SUM($Q47)=0),"",ROUND(MAX($Q47-SUM($N47),0),0))</f>
        <v>31614</v>
      </c>
      <c r="S47" s="33">
        <v>0</v>
      </c>
      <c r="T47" s="33" t="str">
        <f t="shared" ref="T47:T78" si="20">IF(LEFT($B47,4)="_Mil",0,"")</f>
        <v/>
      </c>
      <c r="U47" s="33"/>
      <c r="V47" s="33" t="str">
        <f t="shared" ref="V47:V74" si="21">IF($U47="","",$U47)</f>
        <v/>
      </c>
      <c r="W47" s="33"/>
      <c r="X47" s="236">
        <v>3.5000000000000001E-3</v>
      </c>
      <c r="Y47" s="38">
        <f t="shared" ref="Y47:Y78" si="22">IF(LEFT($B47,4)="_Mil",IF(SUM($L47)=0,"",ROUND($L47*(1+$T47),0)),IF(SUM($R47)=0,"",IF($S47="","ENTER IN COL S",ROUND($R47*$S47,0))))</f>
        <v>0</v>
      </c>
      <c r="Z47" s="218" t="str">
        <f t="shared" ref="Z47:Z78" si="23">IF(SUM($Y47)=0,"",IF(AND(SUM($Y47)&gt;0,$V47=""),"ENTER INDETERMINATE RATE",ROUND($Y47*$V47,0)))</f>
        <v/>
      </c>
      <c r="AA47" s="218" t="str">
        <f t="shared" ref="AA47:AA78" si="24">IF(SUM($Y47)=0,"",IF(AND(($Y47-SUM($Z47))&gt;0,$X47=""),"ENTER YIELD RATE",ROUND(($Y47-SUM($Z47))*SUM($X47),0)))</f>
        <v/>
      </c>
      <c r="AB47" s="218" t="str">
        <f t="shared" ref="AB47:AB78" si="25">IF(SUM($Y47)=0,"",$Y47-SUM($Z47)-SUM($AA47))</f>
        <v/>
      </c>
      <c r="AC47" s="38">
        <f>IFERROR(1/(1/INDEX(Cascade!$BH:$BH,MATCH($E47,Cascade!$E:$E,0))),"")</f>
        <v>18</v>
      </c>
      <c r="AD47" s="38" t="str">
        <f t="shared" ref="AD47:AD78" si="26">IF(SUM($AA47)=0,"",$AA47)</f>
        <v/>
      </c>
      <c r="AE47" s="38">
        <f>IFERROR(1/(1/INDEX(TB!$P:$P,MATCH($E47,TB!$E:$E,0))),"")</f>
        <v>1</v>
      </c>
      <c r="AF47" s="38">
        <f t="shared" ref="AF47:AF78" si="27">IFERROR(1/(1/(SUM($AC47)-SUM($AD47:$AE47))),"")</f>
        <v>17</v>
      </c>
    </row>
    <row r="48" spans="1:32" x14ac:dyDescent="0.2">
      <c r="A48" t="str">
        <f>INDEX(Prioritization!$D:$D,MATCH($B48,Prioritization!$A:$A,0))</f>
        <v>INVALID</v>
      </c>
      <c r="B48" t="s">
        <v>308</v>
      </c>
      <c r="C48" t="s">
        <v>476</v>
      </c>
      <c r="D48" t="s">
        <v>48</v>
      </c>
      <c r="E48" t="str">
        <f t="shared" si="15"/>
        <v>Karonga District [cPtvxaZqXIH]|25-34|Male</v>
      </c>
      <c r="F48" s="38">
        <f>IF(LEFT($B48,4)="_Mil","",INDEX(Cascade!$T:$T,MATCH($E48,Cascade!$E:$E,0)))</f>
        <v>30275</v>
      </c>
      <c r="G48" s="38">
        <f>IF(LEFT($B48,4)="_Mil","",INDEX(Cascade!$U:$U,MATCH($E48,Cascade!$E:$E,0)))</f>
        <v>753</v>
      </c>
      <c r="H48" s="110">
        <f>IF(LEFT($B48,4)="_Mil","",INDEX(Cascade!$W:$W,MATCH($E48,Cascade!$E:$E,0)))</f>
        <v>2.4860447000000001E-2</v>
      </c>
      <c r="I48" s="38">
        <f>IF(LEFT($B48,4)="_Mil","",INDEX(Cascade!$Z:$Z,MATCH($E48,Cascade!$E:$E,0)))</f>
        <v>649</v>
      </c>
      <c r="J48" s="33">
        <f>IF(LEFT($B48,4)="_Mil","",INDEX(Cascade!$AA:$AA,MATCH($E48,Cascade!$E:$E,0)))</f>
        <v>0.890155629</v>
      </c>
      <c r="K48" s="38"/>
      <c r="L48" s="38">
        <v>0</v>
      </c>
      <c r="M48" s="218" t="str">
        <f>IF(LEFT($B48,4)="_Mil","",IFERROR(1/(1/ROUND(INDEX(Spectrum!$N:$N,MATCH(RIGHT($B48,13)&amp;"|"&amp;$C48&amp;"|"&amp;$D48&amp;"|"&amp;M$14&amp;"|"&amp;"CY2024Q3",Spectrum!$R:$R,0)),0)),IF(SUM($L48)=0,"",$L48)))</f>
        <v/>
      </c>
      <c r="N48" s="218">
        <f>IF(LEFT($B48,4)="_Mil","",IFERROR(1/(1/ROUND(INDEX(Spectrum!$N:$N,MATCH(RIGHT($B48,13)&amp;"|"&amp;$C48&amp;"|"&amp;$D48&amp;"|"&amp;N$14&amp;"|"&amp;"CY2024Q3",Spectrum!$R:$R,0)),0)),IF(SUM($M48)=0,"",$M48)))</f>
        <v>7306.0000000000009</v>
      </c>
      <c r="O48" s="33">
        <f t="shared" si="16"/>
        <v>0.24132122213047072</v>
      </c>
      <c r="P48" s="33">
        <f t="shared" si="17"/>
        <v>0.8</v>
      </c>
      <c r="Q48" s="218">
        <f t="shared" si="18"/>
        <v>24220</v>
      </c>
      <c r="R48" s="218">
        <f t="shared" si="19"/>
        <v>16914</v>
      </c>
      <c r="S48" s="33">
        <v>0</v>
      </c>
      <c r="T48" s="33" t="str">
        <f t="shared" si="20"/>
        <v/>
      </c>
      <c r="U48" s="33"/>
      <c r="V48" s="33" t="str">
        <f t="shared" si="21"/>
        <v/>
      </c>
      <c r="W48" s="33"/>
      <c r="X48" s="236">
        <v>3.5000000000000001E-3</v>
      </c>
      <c r="Y48" s="38">
        <f t="shared" si="22"/>
        <v>0</v>
      </c>
      <c r="Z48" s="218" t="str">
        <f t="shared" si="23"/>
        <v/>
      </c>
      <c r="AA48" s="218" t="str">
        <f t="shared" si="24"/>
        <v/>
      </c>
      <c r="AB48" s="218" t="str">
        <f t="shared" si="25"/>
        <v/>
      </c>
      <c r="AC48" s="38">
        <f>IFERROR(1/(1/INDEX(Cascade!$BH:$BH,MATCH($E48,Cascade!$E:$E,0))),"")</f>
        <v>20</v>
      </c>
      <c r="AD48" s="38" t="str">
        <f t="shared" si="26"/>
        <v/>
      </c>
      <c r="AE48" s="38">
        <f>IFERROR(1/(1/INDEX(TB!$P:$P,MATCH($E48,TB!$E:$E,0))),"")</f>
        <v>1</v>
      </c>
      <c r="AF48" s="38">
        <f t="shared" si="27"/>
        <v>19</v>
      </c>
    </row>
    <row r="49" spans="1:32" x14ac:dyDescent="0.2">
      <c r="A49" t="str">
        <f>INDEX(Prioritization!$D:$D,MATCH($B49,Prioritization!$A:$A,0))</f>
        <v>INVALID</v>
      </c>
      <c r="B49" t="s">
        <v>308</v>
      </c>
      <c r="C49" t="s">
        <v>477</v>
      </c>
      <c r="D49" t="s">
        <v>48</v>
      </c>
      <c r="E49" t="str">
        <f t="shared" si="15"/>
        <v>Karonga District [cPtvxaZqXIH]|35-49|Male</v>
      </c>
      <c r="F49" s="38">
        <f>IF(LEFT($B49,4)="_Mil","",INDEX(Cascade!$T:$T,MATCH($E49,Cascade!$E:$E,0)))</f>
        <v>29248</v>
      </c>
      <c r="G49" s="38">
        <f>IF(LEFT($B49,4)="_Mil","",INDEX(Cascade!$U:$U,MATCH($E49,Cascade!$E:$E,0)))</f>
        <v>2889</v>
      </c>
      <c r="H49" s="110">
        <f>IF(LEFT($B49,4)="_Mil","",INDEX(Cascade!$W:$W,MATCH($E49,Cascade!$E:$E,0)))</f>
        <v>9.8790363000000006E-2</v>
      </c>
      <c r="I49" s="38">
        <f>IF(LEFT($B49,4)="_Mil","",INDEX(Cascade!$Z:$Z,MATCH($E49,Cascade!$E:$E,0)))</f>
        <v>2602</v>
      </c>
      <c r="J49" s="33">
        <f>IF(LEFT($B49,4)="_Mil","",INDEX(Cascade!$AA:$AA,MATCH($E49,Cascade!$E:$E,0)))</f>
        <v>0.93335633299999998</v>
      </c>
      <c r="K49" s="38"/>
      <c r="L49" s="38">
        <v>0</v>
      </c>
      <c r="M49" s="218" t="str">
        <f>IF(LEFT($B49,4)="_Mil","",IFERROR(1/(1/ROUND(INDEX(Spectrum!$N:$N,MATCH(RIGHT($B49,13)&amp;"|"&amp;$C49&amp;"|"&amp;$D49&amp;"|"&amp;M$14&amp;"|"&amp;"CY2024Q3",Spectrum!$R:$R,0)),0)),IF(SUM($L49)=0,"",$L49)))</f>
        <v/>
      </c>
      <c r="N49" s="218">
        <f>IF(LEFT($B49,4)="_Mil","",IFERROR(1/(1/ROUND(INDEX(Spectrum!$N:$N,MATCH(RIGHT($B49,13)&amp;"|"&amp;$C49&amp;"|"&amp;$D49&amp;"|"&amp;N$14&amp;"|"&amp;"CY2024Q3",Spectrum!$R:$R,0)),0)),IF(SUM($M49)=0,"",$M49)))</f>
        <v>4910</v>
      </c>
      <c r="O49" s="33">
        <f t="shared" si="16"/>
        <v>0.16787472647702406</v>
      </c>
      <c r="P49" s="33">
        <f t="shared" si="17"/>
        <v>0.8</v>
      </c>
      <c r="Q49" s="218">
        <f t="shared" si="18"/>
        <v>23398</v>
      </c>
      <c r="R49" s="218">
        <f t="shared" si="19"/>
        <v>18488</v>
      </c>
      <c r="S49" s="33">
        <v>0</v>
      </c>
      <c r="T49" s="33" t="str">
        <f t="shared" si="20"/>
        <v/>
      </c>
      <c r="U49" s="33"/>
      <c r="V49" s="33" t="str">
        <f t="shared" si="21"/>
        <v/>
      </c>
      <c r="W49" s="33"/>
      <c r="X49" s="236">
        <v>3.5000000000000001E-3</v>
      </c>
      <c r="Y49" s="38">
        <f t="shared" si="22"/>
        <v>0</v>
      </c>
      <c r="Z49" s="218" t="str">
        <f t="shared" si="23"/>
        <v/>
      </c>
      <c r="AA49" s="218" t="str">
        <f t="shared" si="24"/>
        <v/>
      </c>
      <c r="AB49" s="218" t="str">
        <f t="shared" si="25"/>
        <v/>
      </c>
      <c r="AC49" s="38">
        <f>IFERROR(1/(1/INDEX(Cascade!$BH:$BH,MATCH($E49,Cascade!$E:$E,0))),"")</f>
        <v>48</v>
      </c>
      <c r="AD49" s="38" t="str">
        <f t="shared" si="26"/>
        <v/>
      </c>
      <c r="AE49" s="38">
        <f>IFERROR(1/(1/INDEX(TB!$P:$P,MATCH($E49,TB!$E:$E,0))),"")</f>
        <v>1</v>
      </c>
      <c r="AF49" s="38">
        <f t="shared" si="27"/>
        <v>47</v>
      </c>
    </row>
    <row r="50" spans="1:32" x14ac:dyDescent="0.2">
      <c r="A50" t="str">
        <f>INDEX(Prioritization!$D:$D,MATCH($B50,Prioritization!$A:$A,0))</f>
        <v>INVALID</v>
      </c>
      <c r="B50" t="s">
        <v>308</v>
      </c>
      <c r="C50" t="s">
        <v>478</v>
      </c>
      <c r="D50" t="s">
        <v>48</v>
      </c>
      <c r="E50" t="str">
        <f t="shared" si="15"/>
        <v>Karonga District [cPtvxaZqXIH]|50+|Male</v>
      </c>
      <c r="F50" s="38">
        <f>IF(LEFT($B50,4)="_Mil","",INDEX(Cascade!$T:$T,MATCH($E50,Cascade!$E:$E,0)))</f>
        <v>15147</v>
      </c>
      <c r="G50" s="38">
        <f>IF(LEFT($B50,4)="_Mil","",INDEX(Cascade!$U:$U,MATCH($E50,Cascade!$E:$E,0)))</f>
        <v>2048</v>
      </c>
      <c r="H50" s="110">
        <f>IF(LEFT($B50,4)="_Mil","",INDEX(Cascade!$W:$W,MATCH($E50,Cascade!$E:$E,0)))</f>
        <v>0.13523723500000001</v>
      </c>
      <c r="I50" s="38">
        <f>IF(LEFT($B50,4)="_Mil","",INDEX(Cascade!$Z:$Z,MATCH($E50,Cascade!$E:$E,0)))</f>
        <v>1899</v>
      </c>
      <c r="J50" s="33">
        <f>IF(LEFT($B50,4)="_Mil","",INDEX(Cascade!$AA:$AA,MATCH($E50,Cascade!$E:$E,0)))</f>
        <v>0.95438316400000001</v>
      </c>
      <c r="K50" s="38"/>
      <c r="L50" s="38">
        <v>0</v>
      </c>
      <c r="M50" s="218" t="str">
        <f>IF(LEFT($B50,4)="_Mil","",IFERROR(1/(1/ROUND(INDEX(Spectrum!$N:$N,MATCH(RIGHT($B50,13)&amp;"|"&amp;$C50&amp;"|"&amp;$D50&amp;"|"&amp;M$14&amp;"|"&amp;"CY2024Q3",Spectrum!$R:$R,0)),0)),IF(SUM($L50)=0,"",$L50)))</f>
        <v/>
      </c>
      <c r="N50" s="218">
        <f>IF(LEFT($B50,4)="_Mil","",IFERROR(1/(1/ROUND(INDEX(Spectrum!$N:$N,MATCH(RIGHT($B50,13)&amp;"|"&amp;$C50&amp;"|"&amp;$D50&amp;"|"&amp;N$14&amp;"|"&amp;"CY2024Q3",Spectrum!$R:$R,0)),0)),IF(SUM($M50)=0,"",$M50)))</f>
        <v>1241</v>
      </c>
      <c r="O50" s="33">
        <f t="shared" si="16"/>
        <v>8.1930415263748599E-2</v>
      </c>
      <c r="P50" s="33">
        <f t="shared" si="17"/>
        <v>0.8</v>
      </c>
      <c r="Q50" s="218">
        <f t="shared" si="18"/>
        <v>12118</v>
      </c>
      <c r="R50" s="218">
        <f t="shared" si="19"/>
        <v>10877</v>
      </c>
      <c r="S50" s="33">
        <v>0</v>
      </c>
      <c r="T50" s="33" t="str">
        <f t="shared" si="20"/>
        <v/>
      </c>
      <c r="U50" s="33"/>
      <c r="V50" s="33" t="str">
        <f t="shared" si="21"/>
        <v/>
      </c>
      <c r="W50" s="33"/>
      <c r="X50" s="236">
        <v>3.5000000000000001E-3</v>
      </c>
      <c r="Y50" s="38">
        <f t="shared" si="22"/>
        <v>0</v>
      </c>
      <c r="Z50" s="218" t="str">
        <f t="shared" si="23"/>
        <v/>
      </c>
      <c r="AA50" s="218" t="str">
        <f t="shared" si="24"/>
        <v/>
      </c>
      <c r="AB50" s="218" t="str">
        <f t="shared" si="25"/>
        <v/>
      </c>
      <c r="AC50" s="38">
        <f>IFERROR(1/(1/INDEX(Cascade!$BH:$BH,MATCH($E50,Cascade!$E:$E,0))),"")</f>
        <v>74</v>
      </c>
      <c r="AD50" s="38" t="str">
        <f t="shared" si="26"/>
        <v/>
      </c>
      <c r="AE50" s="38" t="str">
        <f>IFERROR(1/(1/INDEX(TB!$P:$P,MATCH($E50,TB!$E:$E,0))),"")</f>
        <v/>
      </c>
      <c r="AF50" s="38">
        <f t="shared" si="27"/>
        <v>74</v>
      </c>
    </row>
    <row r="51" spans="1:32" x14ac:dyDescent="0.2">
      <c r="A51" t="str">
        <f>INDEX(Prioritization!$D:$D,MATCH($B51,Prioritization!$A:$A,0))</f>
        <v>INVALID</v>
      </c>
      <c r="B51" t="s">
        <v>300</v>
      </c>
      <c r="C51" t="s">
        <v>475</v>
      </c>
      <c r="D51" t="s">
        <v>48</v>
      </c>
      <c r="E51" t="str">
        <f t="shared" si="15"/>
        <v>Kasungu District [JQKLKuVuY61]|15-24|Male</v>
      </c>
      <c r="F51" s="38">
        <f>IF(LEFT($B51,4)="_Mil","",INDEX(Cascade!$T:$T,MATCH($E51,Cascade!$E:$E,0)))</f>
        <v>114291</v>
      </c>
      <c r="G51" s="38">
        <f>IF(LEFT($B51,4)="_Mil","",INDEX(Cascade!$U:$U,MATCH($E51,Cascade!$E:$E,0)))</f>
        <v>673</v>
      </c>
      <c r="H51" s="110">
        <f>IF(LEFT($B51,4)="_Mil","",INDEX(Cascade!$W:$W,MATCH($E51,Cascade!$E:$E,0)))</f>
        <v>5.8870570000000002E-3</v>
      </c>
      <c r="I51" s="38">
        <f>IF(LEFT($B51,4)="_Mil","",INDEX(Cascade!$Z:$Z,MATCH($E51,Cascade!$E:$E,0)))</f>
        <v>623</v>
      </c>
      <c r="J51" s="33">
        <f>IF(LEFT($B51,4)="_Mil","",INDEX(Cascade!$AA:$AA,MATCH($E51,Cascade!$E:$E,0)))</f>
        <v>0.90832086699999992</v>
      </c>
      <c r="K51" s="38"/>
      <c r="L51" s="38">
        <v>0</v>
      </c>
      <c r="M51" s="218" t="str">
        <f>IF(LEFT($B51,4)="_Mil","",IFERROR(1/(1/ROUND(INDEX(Spectrum!$N:$N,MATCH(RIGHT($B51,13)&amp;"|"&amp;$C51&amp;"|"&amp;$D51&amp;"|"&amp;M$14&amp;"|"&amp;"CY2024Q3",Spectrum!$R:$R,0)),0)),IF(SUM($L51)=0,"",$L51)))</f>
        <v/>
      </c>
      <c r="N51" s="218">
        <f>IF(LEFT($B51,4)="_Mil","",IFERROR(1/(1/ROUND(INDEX(Spectrum!$N:$N,MATCH(RIGHT($B51,13)&amp;"|"&amp;$C51&amp;"|"&amp;$D51&amp;"|"&amp;N$14&amp;"|"&amp;"CY2024Q3",Spectrum!$R:$R,0)),0)),IF(SUM($M51)=0,"",$M51)))</f>
        <v>12771</v>
      </c>
      <c r="O51" s="33">
        <f t="shared" si="16"/>
        <v>0.11174108197495866</v>
      </c>
      <c r="P51" s="33">
        <f t="shared" si="17"/>
        <v>0.8</v>
      </c>
      <c r="Q51" s="218">
        <f t="shared" si="18"/>
        <v>91433</v>
      </c>
      <c r="R51" s="218">
        <f t="shared" si="19"/>
        <v>78662</v>
      </c>
      <c r="S51" s="33">
        <v>0</v>
      </c>
      <c r="T51" s="33" t="str">
        <f t="shared" si="20"/>
        <v/>
      </c>
      <c r="U51" s="33"/>
      <c r="V51" s="33" t="str">
        <f t="shared" si="21"/>
        <v/>
      </c>
      <c r="W51" s="33"/>
      <c r="X51" s="236">
        <v>3.5000000000000001E-3</v>
      </c>
      <c r="Y51" s="38">
        <f t="shared" si="22"/>
        <v>0</v>
      </c>
      <c r="Z51" s="218" t="str">
        <f t="shared" si="23"/>
        <v/>
      </c>
      <c r="AA51" s="218" t="str">
        <f t="shared" si="24"/>
        <v/>
      </c>
      <c r="AB51" s="218" t="str">
        <f t="shared" si="25"/>
        <v/>
      </c>
      <c r="AC51" s="38">
        <f>IFERROR(1/(1/INDEX(Cascade!$BH:$BH,MATCH($E51,Cascade!$E:$E,0))),"")</f>
        <v>20</v>
      </c>
      <c r="AD51" s="38" t="str">
        <f t="shared" si="26"/>
        <v/>
      </c>
      <c r="AE51" s="38">
        <f>IFERROR(1/(1/INDEX(TB!$P:$P,MATCH($E51,TB!$E:$E,0))),"")</f>
        <v>2</v>
      </c>
      <c r="AF51" s="38">
        <f t="shared" si="27"/>
        <v>18</v>
      </c>
    </row>
    <row r="52" spans="1:32" x14ac:dyDescent="0.2">
      <c r="A52" t="str">
        <f>INDEX(Prioritization!$D:$D,MATCH($B52,Prioritization!$A:$A,0))</f>
        <v>INVALID</v>
      </c>
      <c r="B52" t="s">
        <v>300</v>
      </c>
      <c r="C52" t="s">
        <v>476</v>
      </c>
      <c r="D52" t="s">
        <v>48</v>
      </c>
      <c r="E52" t="str">
        <f t="shared" si="15"/>
        <v>Kasungu District [JQKLKuVuY61]|25-34|Male</v>
      </c>
      <c r="F52" s="38">
        <f>IF(LEFT($B52,4)="_Mil","",INDEX(Cascade!$T:$T,MATCH($E52,Cascade!$E:$E,0)))</f>
        <v>73468</v>
      </c>
      <c r="G52" s="38">
        <f>IF(LEFT($B52,4)="_Mil","",INDEX(Cascade!$U:$U,MATCH($E52,Cascade!$E:$E,0)))</f>
        <v>856</v>
      </c>
      <c r="H52" s="110">
        <f>IF(LEFT($B52,4)="_Mil","",INDEX(Cascade!$W:$W,MATCH($E52,Cascade!$E:$E,0)))</f>
        <v>1.1657545E-2</v>
      </c>
      <c r="I52" s="38">
        <f>IF(LEFT($B52,4)="_Mil","",INDEX(Cascade!$Z:$Z,MATCH($E52,Cascade!$E:$E,0)))</f>
        <v>773</v>
      </c>
      <c r="J52" s="33">
        <f>IF(LEFT($B52,4)="_Mil","",INDEX(Cascade!$AA:$AA,MATCH($E52,Cascade!$E:$E,0)))</f>
        <v>0.88106239500000005</v>
      </c>
      <c r="K52" s="38"/>
      <c r="L52" s="38">
        <v>0</v>
      </c>
      <c r="M52" s="218" t="str">
        <f>IF(LEFT($B52,4)="_Mil","",IFERROR(1/(1/ROUND(INDEX(Spectrum!$N:$N,MATCH(RIGHT($B52,13)&amp;"|"&amp;$C52&amp;"|"&amp;$D52&amp;"|"&amp;M$14&amp;"|"&amp;"CY2024Q3",Spectrum!$R:$R,0)),0)),IF(SUM($L52)=0,"",$L52)))</f>
        <v/>
      </c>
      <c r="N52" s="218">
        <f>IF(LEFT($B52,4)="_Mil","",IFERROR(1/(1/ROUND(INDEX(Spectrum!$N:$N,MATCH(RIGHT($B52,13)&amp;"|"&amp;$C52&amp;"|"&amp;$D52&amp;"|"&amp;N$14&amp;"|"&amp;"CY2024Q3",Spectrum!$R:$R,0)),0)),IF(SUM($M52)=0,"",$M52)))</f>
        <v>12357</v>
      </c>
      <c r="O52" s="33">
        <f t="shared" si="16"/>
        <v>0.16819567702945501</v>
      </c>
      <c r="P52" s="33">
        <f t="shared" si="17"/>
        <v>0.8</v>
      </c>
      <c r="Q52" s="218">
        <f t="shared" si="18"/>
        <v>58774</v>
      </c>
      <c r="R52" s="218">
        <f t="shared" si="19"/>
        <v>46417</v>
      </c>
      <c r="S52" s="33">
        <v>0</v>
      </c>
      <c r="T52" s="33" t="str">
        <f t="shared" si="20"/>
        <v/>
      </c>
      <c r="U52" s="33"/>
      <c r="V52" s="33" t="str">
        <f t="shared" si="21"/>
        <v/>
      </c>
      <c r="W52" s="33"/>
      <c r="X52" s="236">
        <v>3.5000000000000001E-3</v>
      </c>
      <c r="Y52" s="38">
        <f t="shared" si="22"/>
        <v>0</v>
      </c>
      <c r="Z52" s="218" t="str">
        <f t="shared" si="23"/>
        <v/>
      </c>
      <c r="AA52" s="218" t="str">
        <f t="shared" si="24"/>
        <v/>
      </c>
      <c r="AB52" s="218" t="str">
        <f t="shared" si="25"/>
        <v/>
      </c>
      <c r="AC52" s="38">
        <f>IFERROR(1/(1/INDEX(Cascade!$BH:$BH,MATCH($E52,Cascade!$E:$E,0))),"")</f>
        <v>14</v>
      </c>
      <c r="AD52" s="38" t="str">
        <f t="shared" si="26"/>
        <v/>
      </c>
      <c r="AE52" s="38">
        <f>IFERROR(1/(1/INDEX(TB!$P:$P,MATCH($E52,TB!$E:$E,0))),"")</f>
        <v>2</v>
      </c>
      <c r="AF52" s="38">
        <f t="shared" si="27"/>
        <v>12</v>
      </c>
    </row>
    <row r="53" spans="1:32" x14ac:dyDescent="0.2">
      <c r="A53" t="str">
        <f>INDEX(Prioritization!$D:$D,MATCH($B53,Prioritization!$A:$A,0))</f>
        <v>INVALID</v>
      </c>
      <c r="B53" t="s">
        <v>300</v>
      </c>
      <c r="C53" t="s">
        <v>477</v>
      </c>
      <c r="D53" t="s">
        <v>48</v>
      </c>
      <c r="E53" t="str">
        <f t="shared" si="15"/>
        <v>Kasungu District [JQKLKuVuY61]|35-49|Male</v>
      </c>
      <c r="F53" s="38">
        <f>IF(LEFT($B53,4)="_Mil","",INDEX(Cascade!$T:$T,MATCH($E53,Cascade!$E:$E,0)))</f>
        <v>72207</v>
      </c>
      <c r="G53" s="38">
        <f>IF(LEFT($B53,4)="_Mil","",INDEX(Cascade!$U:$U,MATCH($E53,Cascade!$E:$E,0)))</f>
        <v>3486</v>
      </c>
      <c r="H53" s="110">
        <f>IF(LEFT($B53,4)="_Mil","",INDEX(Cascade!$W:$W,MATCH($E53,Cascade!$E:$E,0)))</f>
        <v>4.8277970000000003E-2</v>
      </c>
      <c r="I53" s="38">
        <f>IF(LEFT($B53,4)="_Mil","",INDEX(Cascade!$Z:$Z,MATCH($E53,Cascade!$E:$E,0)))</f>
        <v>3269</v>
      </c>
      <c r="J53" s="33">
        <f>IF(LEFT($B53,4)="_Mil","",INDEX(Cascade!$AA:$AA,MATCH($E53,Cascade!$E:$E,0)))</f>
        <v>0.92758116099999988</v>
      </c>
      <c r="K53" s="38"/>
      <c r="L53" s="38">
        <v>0</v>
      </c>
      <c r="M53" s="218" t="str">
        <f>IF(LEFT($B53,4)="_Mil","",IFERROR(1/(1/ROUND(INDEX(Spectrum!$N:$N,MATCH(RIGHT($B53,13)&amp;"|"&amp;$C53&amp;"|"&amp;$D53&amp;"|"&amp;M$14&amp;"|"&amp;"CY2024Q3",Spectrum!$R:$R,0)),0)),IF(SUM($L53)=0,"",$L53)))</f>
        <v/>
      </c>
      <c r="N53" s="218">
        <f>IF(LEFT($B53,4)="_Mil","",IFERROR(1/(1/ROUND(INDEX(Spectrum!$N:$N,MATCH(RIGHT($B53,13)&amp;"|"&amp;$C53&amp;"|"&amp;$D53&amp;"|"&amp;N$14&amp;"|"&amp;"CY2024Q3",Spectrum!$R:$R,0)),0)),IF(SUM($M53)=0,"",$M53)))</f>
        <v>9043</v>
      </c>
      <c r="O53" s="33">
        <f t="shared" si="16"/>
        <v>0.12523716537177837</v>
      </c>
      <c r="P53" s="33">
        <f t="shared" si="17"/>
        <v>0.8</v>
      </c>
      <c r="Q53" s="218">
        <f t="shared" si="18"/>
        <v>57766</v>
      </c>
      <c r="R53" s="218">
        <f t="shared" si="19"/>
        <v>48723</v>
      </c>
      <c r="S53" s="33">
        <v>0</v>
      </c>
      <c r="T53" s="33" t="str">
        <f t="shared" si="20"/>
        <v/>
      </c>
      <c r="U53" s="33"/>
      <c r="V53" s="33" t="str">
        <f t="shared" si="21"/>
        <v/>
      </c>
      <c r="W53" s="33"/>
      <c r="X53" s="236">
        <v>3.5000000000000001E-3</v>
      </c>
      <c r="Y53" s="38">
        <f t="shared" si="22"/>
        <v>0</v>
      </c>
      <c r="Z53" s="218" t="str">
        <f t="shared" si="23"/>
        <v/>
      </c>
      <c r="AA53" s="218" t="str">
        <f t="shared" si="24"/>
        <v/>
      </c>
      <c r="AB53" s="218" t="str">
        <f t="shared" si="25"/>
        <v/>
      </c>
      <c r="AC53" s="38">
        <f>IFERROR(1/(1/INDEX(Cascade!$BH:$BH,MATCH($E53,Cascade!$E:$E,0))),"")</f>
        <v>60</v>
      </c>
      <c r="AD53" s="38" t="str">
        <f t="shared" si="26"/>
        <v/>
      </c>
      <c r="AE53" s="38">
        <f>IFERROR(1/(1/INDEX(TB!$P:$P,MATCH($E53,TB!$E:$E,0))),"")</f>
        <v>2</v>
      </c>
      <c r="AF53" s="38">
        <f t="shared" si="27"/>
        <v>58</v>
      </c>
    </row>
    <row r="54" spans="1:32" x14ac:dyDescent="0.2">
      <c r="A54" t="str">
        <f>INDEX(Prioritization!$D:$D,MATCH($B54,Prioritization!$A:$A,0))</f>
        <v>INVALID</v>
      </c>
      <c r="B54" t="s">
        <v>300</v>
      </c>
      <c r="C54" t="s">
        <v>478</v>
      </c>
      <c r="D54" t="s">
        <v>48</v>
      </c>
      <c r="E54" t="str">
        <f t="shared" si="15"/>
        <v>Kasungu District [JQKLKuVuY61]|50+|Male</v>
      </c>
      <c r="F54" s="38">
        <f>IF(LEFT($B54,4)="_Mil","",INDEX(Cascade!$T:$T,MATCH($E54,Cascade!$E:$E,0)))</f>
        <v>38951</v>
      </c>
      <c r="G54" s="38">
        <f>IF(LEFT($B54,4)="_Mil","",INDEX(Cascade!$U:$U,MATCH($E54,Cascade!$E:$E,0)))</f>
        <v>2710</v>
      </c>
      <c r="H54" s="110">
        <f>IF(LEFT($B54,4)="_Mil","",INDEX(Cascade!$W:$W,MATCH($E54,Cascade!$E:$E,0)))</f>
        <v>6.9580300999999997E-2</v>
      </c>
      <c r="I54" s="38">
        <f>IF(LEFT($B54,4)="_Mil","",INDEX(Cascade!$Z:$Z,MATCH($E54,Cascade!$E:$E,0)))</f>
        <v>2617</v>
      </c>
      <c r="J54" s="33">
        <f>IF(LEFT($B54,4)="_Mil","",INDEX(Cascade!$AA:$AA,MATCH($E54,Cascade!$E:$E,0)))</f>
        <v>0.95031301300000004</v>
      </c>
      <c r="K54" s="38"/>
      <c r="L54" s="38">
        <v>0</v>
      </c>
      <c r="M54" s="218" t="str">
        <f>IF(LEFT($B54,4)="_Mil","",IFERROR(1/(1/ROUND(INDEX(Spectrum!$N:$N,MATCH(RIGHT($B54,13)&amp;"|"&amp;$C54&amp;"|"&amp;$D54&amp;"|"&amp;M$14&amp;"|"&amp;"CY2024Q3",Spectrum!$R:$R,0)),0)),IF(SUM($L54)=0,"",$L54)))</f>
        <v/>
      </c>
      <c r="N54" s="218">
        <f>IF(LEFT($B54,4)="_Mil","",IFERROR(1/(1/ROUND(INDEX(Spectrum!$N:$N,MATCH(RIGHT($B54,13)&amp;"|"&amp;$C54&amp;"|"&amp;$D54&amp;"|"&amp;N$14&amp;"|"&amp;"CY2024Q3",Spectrum!$R:$R,0)),0)),IF(SUM($M54)=0,"",$M54)))</f>
        <v>2588</v>
      </c>
      <c r="O54" s="33">
        <f t="shared" si="16"/>
        <v>6.6442453338810298E-2</v>
      </c>
      <c r="P54" s="33">
        <f t="shared" si="17"/>
        <v>0.8</v>
      </c>
      <c r="Q54" s="218">
        <f t="shared" si="18"/>
        <v>31161</v>
      </c>
      <c r="R54" s="218">
        <f t="shared" si="19"/>
        <v>28573</v>
      </c>
      <c r="S54" s="33">
        <v>0</v>
      </c>
      <c r="T54" s="33" t="str">
        <f t="shared" si="20"/>
        <v/>
      </c>
      <c r="U54" s="33"/>
      <c r="V54" s="33" t="str">
        <f t="shared" si="21"/>
        <v/>
      </c>
      <c r="W54" s="33"/>
      <c r="X54" s="236">
        <v>3.5000000000000001E-3</v>
      </c>
      <c r="Y54" s="38">
        <f t="shared" si="22"/>
        <v>0</v>
      </c>
      <c r="Z54" s="218" t="str">
        <f t="shared" si="23"/>
        <v/>
      </c>
      <c r="AA54" s="218" t="str">
        <f t="shared" si="24"/>
        <v/>
      </c>
      <c r="AB54" s="218" t="str">
        <f t="shared" si="25"/>
        <v/>
      </c>
      <c r="AC54" s="38">
        <f>IFERROR(1/(1/INDEX(Cascade!$BH:$BH,MATCH($E54,Cascade!$E:$E,0))),"")</f>
        <v>85</v>
      </c>
      <c r="AD54" s="38" t="str">
        <f t="shared" si="26"/>
        <v/>
      </c>
      <c r="AE54" s="38">
        <f>IFERROR(1/(1/INDEX(TB!$P:$P,MATCH($E54,TB!$E:$E,0))),"")</f>
        <v>1</v>
      </c>
      <c r="AF54" s="38">
        <f t="shared" si="27"/>
        <v>84</v>
      </c>
    </row>
    <row r="55" spans="1:32" x14ac:dyDescent="0.2">
      <c r="A55" t="str">
        <f>INDEX(Prioritization!$D:$D,MATCH($B55,Prioritization!$A:$A,0))</f>
        <v>4 - Sustained</v>
      </c>
      <c r="B55" t="s">
        <v>309</v>
      </c>
      <c r="C55" t="s">
        <v>475</v>
      </c>
      <c r="D55" t="s">
        <v>48</v>
      </c>
      <c r="E55" t="str">
        <f t="shared" si="15"/>
        <v>Likoma District [ZCjuwgaMB9u]|15-24|Male</v>
      </c>
      <c r="F55" s="38">
        <f>IF(LEFT($B55,4)="_Mil","",INDEX(Cascade!$T:$T,MATCH($E55,Cascade!$E:$E,0)))</f>
        <v>2230</v>
      </c>
      <c r="G55" s="38">
        <f>IF(LEFT($B55,4)="_Mil","",INDEX(Cascade!$U:$U,MATCH($E55,Cascade!$E:$E,0)))</f>
        <v>31</v>
      </c>
      <c r="H55" s="110">
        <f>IF(LEFT($B55,4)="_Mil","",INDEX(Cascade!$W:$W,MATCH($E55,Cascade!$E:$E,0)))</f>
        <v>1.3991986E-2</v>
      </c>
      <c r="I55" s="38">
        <f>IF(LEFT($B55,4)="_Mil","",INDEX(Cascade!$Z:$Z,MATCH($E55,Cascade!$E:$E,0)))</f>
        <v>28</v>
      </c>
      <c r="J55" s="33">
        <f>IF(LEFT($B55,4)="_Mil","",INDEX(Cascade!$AA:$AA,MATCH($E55,Cascade!$E:$E,0)))</f>
        <v>0.90676878999999999</v>
      </c>
      <c r="K55" s="38"/>
      <c r="L55" s="38">
        <v>0</v>
      </c>
      <c r="M55" s="218" t="str">
        <f>IF(LEFT($B55,4)="_Mil","",IFERROR(1/(1/ROUND(INDEX(Spectrum!$N:$N,MATCH(RIGHT($B55,13)&amp;"|"&amp;$C55&amp;"|"&amp;$D55&amp;"|"&amp;M$14&amp;"|"&amp;"CY2024Q3",Spectrum!$R:$R,0)),0)),IF(SUM($L55)=0,"",$L55)))</f>
        <v/>
      </c>
      <c r="N55" s="218">
        <f>IF(LEFT($B55,4)="_Mil","",IFERROR(1/(1/ROUND(INDEX(Spectrum!$N:$N,MATCH(RIGHT($B55,13)&amp;"|"&amp;$C55&amp;"|"&amp;$D55&amp;"|"&amp;N$14&amp;"|"&amp;"CY2024Q3",Spectrum!$R:$R,0)),0)),IF(SUM($M55)=0,"",$M55)))</f>
        <v>446</v>
      </c>
      <c r="O55" s="33">
        <f t="shared" si="16"/>
        <v>0.2</v>
      </c>
      <c r="P55" s="33">
        <f t="shared" si="17"/>
        <v>0.8</v>
      </c>
      <c r="Q55" s="218">
        <f t="shared" si="18"/>
        <v>1784</v>
      </c>
      <c r="R55" s="218">
        <f t="shared" si="19"/>
        <v>1338</v>
      </c>
      <c r="S55" s="33">
        <v>0</v>
      </c>
      <c r="T55" s="33" t="str">
        <f t="shared" si="20"/>
        <v/>
      </c>
      <c r="U55" s="33"/>
      <c r="V55" s="33" t="str">
        <f t="shared" si="21"/>
        <v/>
      </c>
      <c r="W55" s="33"/>
      <c r="X55" s="236">
        <v>3.5000000000000001E-3</v>
      </c>
      <c r="Y55" s="38">
        <f t="shared" si="22"/>
        <v>0</v>
      </c>
      <c r="Z55" s="218" t="str">
        <f t="shared" si="23"/>
        <v/>
      </c>
      <c r="AA55" s="218" t="str">
        <f t="shared" si="24"/>
        <v/>
      </c>
      <c r="AB55" s="218" t="str">
        <f t="shared" si="25"/>
        <v/>
      </c>
      <c r="AC55" s="38">
        <f>IFERROR(1/(1/INDEX(Cascade!$BH:$BH,MATCH($E55,Cascade!$E:$E,0))),"")</f>
        <v>1</v>
      </c>
      <c r="AD55" s="38" t="str">
        <f t="shared" si="26"/>
        <v/>
      </c>
      <c r="AE55" s="38" t="str">
        <f>IFERROR(1/(1/INDEX(TB!$P:$P,MATCH($E55,TB!$E:$E,0))),"")</f>
        <v/>
      </c>
      <c r="AF55" s="38">
        <f t="shared" si="27"/>
        <v>1</v>
      </c>
    </row>
    <row r="56" spans="1:32" x14ac:dyDescent="0.2">
      <c r="A56" t="str">
        <f>INDEX(Prioritization!$D:$D,MATCH($B56,Prioritization!$A:$A,0))</f>
        <v>4 - Sustained</v>
      </c>
      <c r="B56" t="s">
        <v>309</v>
      </c>
      <c r="C56" t="s">
        <v>476</v>
      </c>
      <c r="D56" t="s">
        <v>48</v>
      </c>
      <c r="E56" t="str">
        <f t="shared" si="15"/>
        <v>Likoma District [ZCjuwgaMB9u]|25-34|Male</v>
      </c>
      <c r="F56" s="38">
        <f>IF(LEFT($B56,4)="_Mil","",INDEX(Cascade!$T:$T,MATCH($E56,Cascade!$E:$E,0)))</f>
        <v>1637</v>
      </c>
      <c r="G56" s="38">
        <f>IF(LEFT($B56,4)="_Mil","",INDEX(Cascade!$U:$U,MATCH($E56,Cascade!$E:$E,0)))</f>
        <v>53</v>
      </c>
      <c r="H56" s="110">
        <f>IF(LEFT($B56,4)="_Mil","",INDEX(Cascade!$W:$W,MATCH($E56,Cascade!$E:$E,0)))</f>
        <v>3.2142069000000002E-2</v>
      </c>
      <c r="I56" s="38">
        <f>IF(LEFT($B56,4)="_Mil","",INDEX(Cascade!$Z:$Z,MATCH($E56,Cascade!$E:$E,0)))</f>
        <v>46</v>
      </c>
      <c r="J56" s="33">
        <f>IF(LEFT($B56,4)="_Mil","",INDEX(Cascade!$AA:$AA,MATCH($E56,Cascade!$E:$E,0)))</f>
        <v>0.87973873499999988</v>
      </c>
      <c r="K56" s="38"/>
      <c r="L56" s="38">
        <v>0</v>
      </c>
      <c r="M56" s="218" t="str">
        <f>IF(LEFT($B56,4)="_Mil","",IFERROR(1/(1/ROUND(INDEX(Spectrum!$N:$N,MATCH(RIGHT($B56,13)&amp;"|"&amp;$C56&amp;"|"&amp;$D56&amp;"|"&amp;M$14&amp;"|"&amp;"CY2024Q3",Spectrum!$R:$R,0)),0)),IF(SUM($L56)=0,"",$L56)))</f>
        <v/>
      </c>
      <c r="N56" s="218">
        <f>IF(LEFT($B56,4)="_Mil","",IFERROR(1/(1/ROUND(INDEX(Spectrum!$N:$N,MATCH(RIGHT($B56,13)&amp;"|"&amp;$C56&amp;"|"&amp;$D56&amp;"|"&amp;N$14&amp;"|"&amp;"CY2024Q3",Spectrum!$R:$R,0)),0)),IF(SUM($M56)=0,"",$M56)))</f>
        <v>429</v>
      </c>
      <c r="O56" s="33">
        <f t="shared" si="16"/>
        <v>0.26206475259621259</v>
      </c>
      <c r="P56" s="33">
        <f t="shared" si="17"/>
        <v>0.8</v>
      </c>
      <c r="Q56" s="218">
        <f t="shared" si="18"/>
        <v>1310</v>
      </c>
      <c r="R56" s="218">
        <f t="shared" si="19"/>
        <v>881</v>
      </c>
      <c r="S56" s="33">
        <v>0</v>
      </c>
      <c r="T56" s="33" t="str">
        <f t="shared" si="20"/>
        <v/>
      </c>
      <c r="U56" s="33"/>
      <c r="V56" s="33" t="str">
        <f t="shared" si="21"/>
        <v/>
      </c>
      <c r="W56" s="33"/>
      <c r="X56" s="236">
        <v>3.5000000000000001E-3</v>
      </c>
      <c r="Y56" s="38">
        <f t="shared" si="22"/>
        <v>0</v>
      </c>
      <c r="Z56" s="218" t="str">
        <f t="shared" si="23"/>
        <v/>
      </c>
      <c r="AA56" s="218" t="str">
        <f t="shared" si="24"/>
        <v/>
      </c>
      <c r="AB56" s="218" t="str">
        <f t="shared" si="25"/>
        <v/>
      </c>
      <c r="AC56" s="38">
        <f>IFERROR(1/(1/INDEX(Cascade!$BH:$BH,MATCH($E56,Cascade!$E:$E,0))),"")</f>
        <v>1</v>
      </c>
      <c r="AD56" s="38" t="str">
        <f t="shared" si="26"/>
        <v/>
      </c>
      <c r="AE56" s="38" t="str">
        <f>IFERROR(1/(1/INDEX(TB!$P:$P,MATCH($E56,TB!$E:$E,0))),"")</f>
        <v/>
      </c>
      <c r="AF56" s="38">
        <f t="shared" si="27"/>
        <v>1</v>
      </c>
    </row>
    <row r="57" spans="1:32" x14ac:dyDescent="0.2">
      <c r="A57" t="str">
        <f>INDEX(Prioritization!$D:$D,MATCH($B57,Prioritization!$A:$A,0))</f>
        <v>4 - Sustained</v>
      </c>
      <c r="B57" t="s">
        <v>309</v>
      </c>
      <c r="C57" t="s">
        <v>477</v>
      </c>
      <c r="D57" t="s">
        <v>48</v>
      </c>
      <c r="E57" t="str">
        <f t="shared" si="15"/>
        <v>Likoma District [ZCjuwgaMB9u]|35-49|Male</v>
      </c>
      <c r="F57" s="38">
        <f>IF(LEFT($B57,4)="_Mil","",INDEX(Cascade!$T:$T,MATCH($E57,Cascade!$E:$E,0)))</f>
        <v>1348</v>
      </c>
      <c r="G57" s="38">
        <f>IF(LEFT($B57,4)="_Mil","",INDEX(Cascade!$U:$U,MATCH($E57,Cascade!$E:$E,0)))</f>
        <v>179</v>
      </c>
      <c r="H57" s="110">
        <f>IF(LEFT($B57,4)="_Mil","",INDEX(Cascade!$W:$W,MATCH($E57,Cascade!$E:$E,0)))</f>
        <v>0.13259605699999999</v>
      </c>
      <c r="I57" s="38">
        <f>IF(LEFT($B57,4)="_Mil","",INDEX(Cascade!$Z:$Z,MATCH($E57,Cascade!$E:$E,0)))</f>
        <v>165</v>
      </c>
      <c r="J57" s="33">
        <f>IF(LEFT($B57,4)="_Mil","",INDEX(Cascade!$AA:$AA,MATCH($E57,Cascade!$E:$E,0)))</f>
        <v>0.92567324599999989</v>
      </c>
      <c r="K57" s="38"/>
      <c r="L57" s="38">
        <v>0</v>
      </c>
      <c r="M57" s="218" t="str">
        <f>IF(LEFT($B57,4)="_Mil","",IFERROR(1/(1/ROUND(INDEX(Spectrum!$N:$N,MATCH(RIGHT($B57,13)&amp;"|"&amp;$C57&amp;"|"&amp;$D57&amp;"|"&amp;M$14&amp;"|"&amp;"CY2024Q3",Spectrum!$R:$R,0)),0)),IF(SUM($L57)=0,"",$L57)))</f>
        <v/>
      </c>
      <c r="N57" s="218">
        <f>IF(LEFT($B57,4)="_Mil","",IFERROR(1/(1/ROUND(INDEX(Spectrum!$N:$N,MATCH(RIGHT($B57,13)&amp;"|"&amp;$C57&amp;"|"&amp;$D57&amp;"|"&amp;N$14&amp;"|"&amp;"CY2024Q3",Spectrum!$R:$R,0)),0)),IF(SUM($M57)=0,"",$M57)))</f>
        <v>291</v>
      </c>
      <c r="O57" s="33">
        <f t="shared" si="16"/>
        <v>0.21587537091988129</v>
      </c>
      <c r="P57" s="33">
        <f t="shared" si="17"/>
        <v>0.8</v>
      </c>
      <c r="Q57" s="218">
        <f t="shared" si="18"/>
        <v>1078</v>
      </c>
      <c r="R57" s="218">
        <f t="shared" si="19"/>
        <v>787</v>
      </c>
      <c r="S57" s="33">
        <v>0</v>
      </c>
      <c r="T57" s="33" t="str">
        <f t="shared" si="20"/>
        <v/>
      </c>
      <c r="U57" s="33"/>
      <c r="V57" s="33" t="str">
        <f t="shared" si="21"/>
        <v/>
      </c>
      <c r="W57" s="33"/>
      <c r="X57" s="236">
        <v>3.5000000000000001E-3</v>
      </c>
      <c r="Y57" s="38">
        <f t="shared" si="22"/>
        <v>0</v>
      </c>
      <c r="Z57" s="218" t="str">
        <f t="shared" si="23"/>
        <v/>
      </c>
      <c r="AA57" s="218" t="str">
        <f t="shared" si="24"/>
        <v/>
      </c>
      <c r="AB57" s="218" t="str">
        <f t="shared" si="25"/>
        <v/>
      </c>
      <c r="AC57" s="38">
        <f>IFERROR(1/(1/INDEX(Cascade!$BH:$BH,MATCH($E57,Cascade!$E:$E,0))),"")</f>
        <v>3</v>
      </c>
      <c r="AD57" s="38" t="str">
        <f t="shared" si="26"/>
        <v/>
      </c>
      <c r="AE57" s="38" t="str">
        <f>IFERROR(1/(1/INDEX(TB!$P:$P,MATCH($E57,TB!$E:$E,0))),"")</f>
        <v/>
      </c>
      <c r="AF57" s="38">
        <f t="shared" si="27"/>
        <v>3</v>
      </c>
    </row>
    <row r="58" spans="1:32" x14ac:dyDescent="0.2">
      <c r="A58" t="str">
        <f>INDEX(Prioritization!$D:$D,MATCH($B58,Prioritization!$A:$A,0))</f>
        <v>4 - Sustained</v>
      </c>
      <c r="B58" t="s">
        <v>309</v>
      </c>
      <c r="C58" t="s">
        <v>478</v>
      </c>
      <c r="D58" t="s">
        <v>48</v>
      </c>
      <c r="E58" t="str">
        <f t="shared" si="15"/>
        <v>Likoma District [ZCjuwgaMB9u]|50+|Male</v>
      </c>
      <c r="F58" s="38">
        <f>IF(LEFT($B58,4)="_Mil","",INDEX(Cascade!$T:$T,MATCH($E58,Cascade!$E:$E,0)))</f>
        <v>619</v>
      </c>
      <c r="G58" s="38">
        <f>IF(LEFT($B58,4)="_Mil","",INDEX(Cascade!$U:$U,MATCH($E58,Cascade!$E:$E,0)))</f>
        <v>111</v>
      </c>
      <c r="H58" s="110">
        <f>IF(LEFT($B58,4)="_Mil","",INDEX(Cascade!$W:$W,MATCH($E58,Cascade!$E:$E,0)))</f>
        <v>0.17904529899999999</v>
      </c>
      <c r="I58" s="38">
        <f>IF(LEFT($B58,4)="_Mil","",INDEX(Cascade!$Z:$Z,MATCH($E58,Cascade!$E:$E,0)))</f>
        <v>105</v>
      </c>
      <c r="J58" s="33">
        <f>IF(LEFT($B58,4)="_Mil","",INDEX(Cascade!$AA:$AA,MATCH($E58,Cascade!$E:$E,0)))</f>
        <v>0.94964043200000003</v>
      </c>
      <c r="K58" s="38"/>
      <c r="L58" s="38">
        <v>0</v>
      </c>
      <c r="M58" s="218" t="str">
        <f>IF(LEFT($B58,4)="_Mil","",IFERROR(1/(1/ROUND(INDEX(Spectrum!$N:$N,MATCH(RIGHT($B58,13)&amp;"|"&amp;$C58&amp;"|"&amp;$D58&amp;"|"&amp;M$14&amp;"|"&amp;"CY2024Q3",Spectrum!$R:$R,0)),0)),IF(SUM($L58)=0,"",$L58)))</f>
        <v/>
      </c>
      <c r="N58" s="218">
        <f>IF(LEFT($B58,4)="_Mil","",IFERROR(1/(1/ROUND(INDEX(Spectrum!$N:$N,MATCH(RIGHT($B58,13)&amp;"|"&amp;$C58&amp;"|"&amp;$D58&amp;"|"&amp;N$14&amp;"|"&amp;"CY2024Q3",Spectrum!$R:$R,0)),0)),IF(SUM($M58)=0,"",$M58)))</f>
        <v>81</v>
      </c>
      <c r="O58" s="33">
        <f t="shared" si="16"/>
        <v>0.13085621970920841</v>
      </c>
      <c r="P58" s="33">
        <f t="shared" si="17"/>
        <v>0.8</v>
      </c>
      <c r="Q58" s="218">
        <f t="shared" si="18"/>
        <v>495</v>
      </c>
      <c r="R58" s="218">
        <f t="shared" si="19"/>
        <v>414</v>
      </c>
      <c r="S58" s="33">
        <v>0</v>
      </c>
      <c r="T58" s="33" t="str">
        <f t="shared" si="20"/>
        <v/>
      </c>
      <c r="U58" s="33"/>
      <c r="V58" s="33" t="str">
        <f t="shared" si="21"/>
        <v/>
      </c>
      <c r="W58" s="33"/>
      <c r="X58" s="236">
        <v>3.5000000000000001E-3</v>
      </c>
      <c r="Y58" s="38">
        <f t="shared" si="22"/>
        <v>0</v>
      </c>
      <c r="Z58" s="218" t="str">
        <f t="shared" si="23"/>
        <v/>
      </c>
      <c r="AA58" s="218" t="str">
        <f t="shared" si="24"/>
        <v/>
      </c>
      <c r="AB58" s="218" t="str">
        <f t="shared" si="25"/>
        <v/>
      </c>
      <c r="AC58" s="38">
        <f>IFERROR(1/(1/INDEX(Cascade!$BH:$BH,MATCH($E58,Cascade!$E:$E,0))),"")</f>
        <v>2</v>
      </c>
      <c r="AD58" s="38" t="str">
        <f t="shared" si="26"/>
        <v/>
      </c>
      <c r="AE58" s="38" t="str">
        <f>IFERROR(1/(1/INDEX(TB!$P:$P,MATCH($E58,TB!$E:$E,0))),"")</f>
        <v/>
      </c>
      <c r="AF58" s="38">
        <f t="shared" si="27"/>
        <v>2</v>
      </c>
    </row>
    <row r="59" spans="1:32" x14ac:dyDescent="0.2">
      <c r="A59" t="str">
        <f>INDEX(Prioritization!$D:$D,MATCH($B59,Prioritization!$A:$A,0))</f>
        <v>INVALID</v>
      </c>
      <c r="B59" t="s">
        <v>301</v>
      </c>
      <c r="C59" t="s">
        <v>475</v>
      </c>
      <c r="D59" t="s">
        <v>48</v>
      </c>
      <c r="E59" t="str">
        <f t="shared" si="15"/>
        <v>Lilongwe District [ScR9iFKAasW]|15-24|Male</v>
      </c>
      <c r="F59" s="38">
        <f>IF(LEFT($B59,4)="_Mil","",INDEX(Cascade!$T:$T,MATCH($E59,Cascade!$E:$E,0)))</f>
        <v>363064</v>
      </c>
      <c r="G59" s="38">
        <f>IF(LEFT($B59,4)="_Mil","",INDEX(Cascade!$U:$U,MATCH($E59,Cascade!$E:$E,0)))</f>
        <v>3885</v>
      </c>
      <c r="H59" s="110">
        <f>IF(LEFT($B59,4)="_Mil","",INDEX(Cascade!$W:$W,MATCH($E59,Cascade!$E:$E,0)))</f>
        <v>1.0701336000000001E-2</v>
      </c>
      <c r="I59" s="38">
        <f>IF(LEFT($B59,4)="_Mil","",INDEX(Cascade!$Z:$Z,MATCH($E59,Cascade!$E:$E,0)))</f>
        <v>3446</v>
      </c>
      <c r="J59" s="33">
        <f>IF(LEFT($B59,4)="_Mil","",INDEX(Cascade!$AA:$AA,MATCH($E59,Cascade!$E:$E,0)))</f>
        <v>0.91757151299999995</v>
      </c>
      <c r="K59" s="38">
        <v>44997</v>
      </c>
      <c r="L59" s="38">
        <v>26309</v>
      </c>
      <c r="M59" s="218">
        <f>IF(LEFT($B59,4)="_Mil","",IFERROR(1/(1/ROUND(INDEX(Spectrum!$N:$N,MATCH(RIGHT($B59,13)&amp;"|"&amp;$C59&amp;"|"&amp;$D59&amp;"|"&amp;M$14&amp;"|"&amp;"CY2024Q3",Spectrum!$R:$R,0)),0)),IF(SUM($L59)=0,"",$L59)))</f>
        <v>26308.999999999996</v>
      </c>
      <c r="N59" s="218">
        <f>IF(LEFT($B59,4)="_Mil","",IFERROR(1/(1/ROUND(INDEX(Spectrum!$N:$N,MATCH(RIGHT($B59,13)&amp;"|"&amp;$C59&amp;"|"&amp;$D59&amp;"|"&amp;N$14&amp;"|"&amp;"CY2024Q3",Spectrum!$R:$R,0)),0)),IF(SUM($M59)=0,"",$M59)))</f>
        <v>197818</v>
      </c>
      <c r="O59" s="33">
        <f t="shared" si="16"/>
        <v>0.54485710508340124</v>
      </c>
      <c r="P59" s="33">
        <f t="shared" si="17"/>
        <v>0.8</v>
      </c>
      <c r="Q59" s="218">
        <f t="shared" si="18"/>
        <v>290451</v>
      </c>
      <c r="R59" s="218">
        <f t="shared" si="19"/>
        <v>92633</v>
      </c>
      <c r="S59" s="234">
        <v>0.25</v>
      </c>
      <c r="T59" s="33" t="str">
        <f t="shared" si="20"/>
        <v/>
      </c>
      <c r="U59" s="33">
        <v>0.51400000000000001</v>
      </c>
      <c r="V59" s="33">
        <v>0</v>
      </c>
      <c r="W59" s="33">
        <v>5.9999999999999995E-4</v>
      </c>
      <c r="X59" s="236">
        <v>3.5000000000000001E-3</v>
      </c>
      <c r="Y59" s="38">
        <f t="shared" si="22"/>
        <v>23158</v>
      </c>
      <c r="Z59" s="218">
        <f t="shared" si="23"/>
        <v>0</v>
      </c>
      <c r="AA59" s="218">
        <f t="shared" si="24"/>
        <v>81</v>
      </c>
      <c r="AB59" s="218">
        <f t="shared" si="25"/>
        <v>23077</v>
      </c>
      <c r="AC59" s="38">
        <f>IFERROR(1/(1/INDEX(Cascade!$BH:$BH,MATCH($E59,Cascade!$E:$E,0))),"")</f>
        <v>593</v>
      </c>
      <c r="AD59" s="38">
        <f t="shared" si="26"/>
        <v>81</v>
      </c>
      <c r="AE59" s="38">
        <f>IFERROR(1/(1/INDEX(TB!$P:$P,MATCH($E59,TB!$E:$E,0))),"")</f>
        <v>19</v>
      </c>
      <c r="AF59" s="38">
        <f t="shared" si="27"/>
        <v>493</v>
      </c>
    </row>
    <row r="60" spans="1:32" x14ac:dyDescent="0.2">
      <c r="A60" t="str">
        <f>INDEX(Prioritization!$D:$D,MATCH($B60,Prioritization!$A:$A,0))</f>
        <v>INVALID</v>
      </c>
      <c r="B60" t="s">
        <v>301</v>
      </c>
      <c r="C60" t="s">
        <v>476</v>
      </c>
      <c r="D60" t="s">
        <v>48</v>
      </c>
      <c r="E60" t="str">
        <f t="shared" si="15"/>
        <v>Lilongwe District [ScR9iFKAasW]|25-34|Male</v>
      </c>
      <c r="F60" s="38">
        <f>IF(LEFT($B60,4)="_Mil","",INDEX(Cascade!$T:$T,MATCH($E60,Cascade!$E:$E,0)))</f>
        <v>267588</v>
      </c>
      <c r="G60" s="38">
        <f>IF(LEFT($B60,4)="_Mil","",INDEX(Cascade!$U:$U,MATCH($E60,Cascade!$E:$E,0)))</f>
        <v>6726</v>
      </c>
      <c r="H60" s="110">
        <f>IF(LEFT($B60,4)="_Mil","",INDEX(Cascade!$W:$W,MATCH($E60,Cascade!$E:$E,0)))</f>
        <v>2.513719E-2</v>
      </c>
      <c r="I60" s="38">
        <f>IF(LEFT($B60,4)="_Mil","",INDEX(Cascade!$Z:$Z,MATCH($E60,Cascade!$E:$E,0)))</f>
        <v>5832</v>
      </c>
      <c r="J60" s="33">
        <f>IF(LEFT($B60,4)="_Mil","",INDEX(Cascade!$AA:$AA,MATCH($E60,Cascade!$E:$E,0)))</f>
        <v>0.89544854299999999</v>
      </c>
      <c r="K60" s="38">
        <v>15718</v>
      </c>
      <c r="L60" s="38">
        <v>22043</v>
      </c>
      <c r="M60" s="218">
        <f>IF(LEFT($B60,4)="_Mil","",IFERROR(1/(1/ROUND(INDEX(Spectrum!$N:$N,MATCH(RIGHT($B60,13)&amp;"|"&amp;$C60&amp;"|"&amp;$D60&amp;"|"&amp;M$14&amp;"|"&amp;"CY2024Q3",Spectrum!$R:$R,0)),0)),IF(SUM($L60)=0,"",$L60)))</f>
        <v>22043</v>
      </c>
      <c r="N60" s="218">
        <f>IF(LEFT($B60,4)="_Mil","",IFERROR(1/(1/ROUND(INDEX(Spectrum!$N:$N,MATCH(RIGHT($B60,13)&amp;"|"&amp;$C60&amp;"|"&amp;$D60&amp;"|"&amp;N$14&amp;"|"&amp;"CY2024Q3",Spectrum!$R:$R,0)),0)),IF(SUM($M60)=0,"",$M60)))</f>
        <v>151648</v>
      </c>
      <c r="O60" s="33">
        <f t="shared" si="16"/>
        <v>0.56672197557439052</v>
      </c>
      <c r="P60" s="33">
        <f t="shared" si="17"/>
        <v>0.8</v>
      </c>
      <c r="Q60" s="218">
        <f t="shared" si="18"/>
        <v>214070</v>
      </c>
      <c r="R60" s="218">
        <f t="shared" si="19"/>
        <v>62422</v>
      </c>
      <c r="S60" s="234">
        <v>0.31</v>
      </c>
      <c r="T60" s="33" t="str">
        <f t="shared" si="20"/>
        <v/>
      </c>
      <c r="U60" s="33">
        <v>0.53200000000000003</v>
      </c>
      <c r="V60" s="33">
        <v>0</v>
      </c>
      <c r="W60" s="33">
        <v>6.9999999999999999E-4</v>
      </c>
      <c r="X60" s="236">
        <v>3.5000000000000001E-3</v>
      </c>
      <c r="Y60" s="38">
        <f t="shared" si="22"/>
        <v>19351</v>
      </c>
      <c r="Z60" s="218">
        <f t="shared" si="23"/>
        <v>0</v>
      </c>
      <c r="AA60" s="218">
        <f t="shared" si="24"/>
        <v>68</v>
      </c>
      <c r="AB60" s="218">
        <f t="shared" si="25"/>
        <v>19283</v>
      </c>
      <c r="AC60" s="38">
        <f>IFERROR(1/(1/INDEX(Cascade!$BH:$BH,MATCH($E60,Cascade!$E:$E,0))),"")</f>
        <v>794</v>
      </c>
      <c r="AD60" s="38">
        <f t="shared" si="26"/>
        <v>68</v>
      </c>
      <c r="AE60" s="38">
        <f>IFERROR(1/(1/INDEX(TB!$P:$P,MATCH($E60,TB!$E:$E,0))),"")</f>
        <v>19</v>
      </c>
      <c r="AF60" s="38">
        <f t="shared" si="27"/>
        <v>707</v>
      </c>
    </row>
    <row r="61" spans="1:32" x14ac:dyDescent="0.2">
      <c r="A61" t="str">
        <f>INDEX(Prioritization!$D:$D,MATCH($B61,Prioritization!$A:$A,0))</f>
        <v>INVALID</v>
      </c>
      <c r="B61" t="s">
        <v>301</v>
      </c>
      <c r="C61" t="s">
        <v>477</v>
      </c>
      <c r="D61" t="s">
        <v>48</v>
      </c>
      <c r="E61" t="str">
        <f t="shared" si="15"/>
        <v>Lilongwe District [ScR9iFKAasW]|35-49|Male</v>
      </c>
      <c r="F61" s="38">
        <f>IF(LEFT($B61,4)="_Mil","",INDEX(Cascade!$T:$T,MATCH($E61,Cascade!$E:$E,0)))</f>
        <v>252089</v>
      </c>
      <c r="G61" s="38">
        <f>IF(LEFT($B61,4)="_Mil","",INDEX(Cascade!$U:$U,MATCH($E61,Cascade!$E:$E,0)))</f>
        <v>25359</v>
      </c>
      <c r="H61" s="110">
        <f>IF(LEFT($B61,4)="_Mil","",INDEX(Cascade!$W:$W,MATCH($E61,Cascade!$E:$E,0)))</f>
        <v>0.100595752</v>
      </c>
      <c r="I61" s="38">
        <f>IF(LEFT($B61,4)="_Mil","",INDEX(Cascade!$Z:$Z,MATCH($E61,Cascade!$E:$E,0)))</f>
        <v>22977</v>
      </c>
      <c r="J61" s="33">
        <f>IF(LEFT($B61,4)="_Mil","",INDEX(Cascade!$AA:$AA,MATCH($E61,Cascade!$E:$E,0)))</f>
        <v>0.93583390700000013</v>
      </c>
      <c r="K61" s="38">
        <v>1401</v>
      </c>
      <c r="L61" s="38">
        <v>31649</v>
      </c>
      <c r="M61" s="218">
        <f>IF(LEFT($B61,4)="_Mil","",IFERROR(1/(1/ROUND(INDEX(Spectrum!$N:$N,MATCH(RIGHT($B61,13)&amp;"|"&amp;$C61&amp;"|"&amp;$D61&amp;"|"&amp;M$14&amp;"|"&amp;"CY2024Q3",Spectrum!$R:$R,0)),0)),IF(SUM($L61)=0,"",$L61)))</f>
        <v>31648.999999999996</v>
      </c>
      <c r="N61" s="218">
        <f>IF(LEFT($B61,4)="_Mil","",IFERROR(1/(1/ROUND(INDEX(Spectrum!$N:$N,MATCH(RIGHT($B61,13)&amp;"|"&amp;$C61&amp;"|"&amp;$D61&amp;"|"&amp;N$14&amp;"|"&amp;"CY2024Q3",Spectrum!$R:$R,0)),0)),IF(SUM($M61)=0,"",$M61)))</f>
        <v>93899</v>
      </c>
      <c r="O61" s="33">
        <f t="shared" si="16"/>
        <v>0.37248352764301496</v>
      </c>
      <c r="P61" s="33">
        <f t="shared" si="17"/>
        <v>0.8</v>
      </c>
      <c r="Q61" s="218">
        <f t="shared" si="18"/>
        <v>201671</v>
      </c>
      <c r="R61" s="218">
        <f t="shared" si="19"/>
        <v>107772</v>
      </c>
      <c r="S61" s="234">
        <v>0.26</v>
      </c>
      <c r="T61" s="33" t="str">
        <f t="shared" si="20"/>
        <v/>
      </c>
      <c r="U61" s="33">
        <v>0.60199999999999998</v>
      </c>
      <c r="V61" s="33">
        <v>0</v>
      </c>
      <c r="W61" s="33">
        <v>3.5000000000000001E-3</v>
      </c>
      <c r="X61" s="236">
        <v>3.5000000000000001E-3</v>
      </c>
      <c r="Y61" s="38">
        <f t="shared" si="22"/>
        <v>28021</v>
      </c>
      <c r="Z61" s="218">
        <f t="shared" si="23"/>
        <v>0</v>
      </c>
      <c r="AA61" s="218">
        <f t="shared" si="24"/>
        <v>98</v>
      </c>
      <c r="AB61" s="218">
        <f t="shared" si="25"/>
        <v>27923</v>
      </c>
      <c r="AC61" s="38">
        <f>IFERROR(1/(1/INDEX(Cascade!$BH:$BH,MATCH($E61,Cascade!$E:$E,0))),"")</f>
        <v>1068</v>
      </c>
      <c r="AD61" s="38">
        <f t="shared" si="26"/>
        <v>98</v>
      </c>
      <c r="AE61" s="38">
        <f>IFERROR(1/(1/INDEX(TB!$P:$P,MATCH($E61,TB!$E:$E,0))),"")</f>
        <v>29</v>
      </c>
      <c r="AF61" s="38">
        <f t="shared" si="27"/>
        <v>941</v>
      </c>
    </row>
    <row r="62" spans="1:32" x14ac:dyDescent="0.2">
      <c r="A62" t="str">
        <f>INDEX(Prioritization!$D:$D,MATCH($B62,Prioritization!$A:$A,0))</f>
        <v>INVALID</v>
      </c>
      <c r="B62" t="s">
        <v>301</v>
      </c>
      <c r="C62" t="s">
        <v>478</v>
      </c>
      <c r="D62" t="s">
        <v>48</v>
      </c>
      <c r="E62" t="str">
        <f t="shared" si="15"/>
        <v>Lilongwe District [ScR9iFKAasW]|50+|Male</v>
      </c>
      <c r="F62" s="38">
        <f>IF(LEFT($B62,4)="_Mil","",INDEX(Cascade!$T:$T,MATCH($E62,Cascade!$E:$E,0)))</f>
        <v>106361</v>
      </c>
      <c r="G62" s="38">
        <f>IF(LEFT($B62,4)="_Mil","",INDEX(Cascade!$U:$U,MATCH($E62,Cascade!$E:$E,0)))</f>
        <v>14007</v>
      </c>
      <c r="H62" s="110">
        <f>IF(LEFT($B62,4)="_Mil","",INDEX(Cascade!$W:$W,MATCH($E62,Cascade!$E:$E,0)))</f>
        <v>0.13169607999999999</v>
      </c>
      <c r="I62" s="38">
        <f>IF(LEFT($B62,4)="_Mil","",INDEX(Cascade!$Z:$Z,MATCH($E62,Cascade!$E:$E,0)))</f>
        <v>12920</v>
      </c>
      <c r="J62" s="33">
        <f>IF(LEFT($B62,4)="_Mil","",INDEX(Cascade!$AA:$AA,MATCH($E62,Cascade!$E:$E,0)))</f>
        <v>0.95512615900000009</v>
      </c>
      <c r="K62" s="38">
        <v>36</v>
      </c>
      <c r="L62" s="38">
        <v>0</v>
      </c>
      <c r="M62" s="218" t="str">
        <f>IF(LEFT($B62,4)="_Mil","",IFERROR(1/(1/ROUND(INDEX(Spectrum!$N:$N,MATCH(RIGHT($B62,13)&amp;"|"&amp;$C62&amp;"|"&amp;$D62&amp;"|"&amp;M$14&amp;"|"&amp;"CY2024Q3",Spectrum!$R:$R,0)),0)),IF(SUM($L62)=0,"",$L62)))</f>
        <v/>
      </c>
      <c r="N62" s="218">
        <f>IF(LEFT($B62,4)="_Mil","",IFERROR(1/(1/ROUND(INDEX(Spectrum!$N:$N,MATCH(RIGHT($B62,13)&amp;"|"&amp;$C62&amp;"|"&amp;$D62&amp;"|"&amp;N$14&amp;"|"&amp;"CY2024Q3",Spectrum!$R:$R,0)),0)),IF(SUM($M62)=0,"",$M62)))</f>
        <v>16037.999999999998</v>
      </c>
      <c r="O62" s="33">
        <f t="shared" si="16"/>
        <v>0.15078835287370368</v>
      </c>
      <c r="P62" s="33">
        <f t="shared" si="17"/>
        <v>0.8</v>
      </c>
      <c r="Q62" s="218">
        <f t="shared" si="18"/>
        <v>85089</v>
      </c>
      <c r="R62" s="218">
        <f t="shared" si="19"/>
        <v>69051</v>
      </c>
      <c r="S62" s="33">
        <v>0</v>
      </c>
      <c r="T62" s="33" t="str">
        <f t="shared" si="20"/>
        <v/>
      </c>
      <c r="U62" s="33">
        <v>0.57899999999999996</v>
      </c>
      <c r="V62" s="33">
        <v>0</v>
      </c>
      <c r="W62" s="33">
        <v>6.3E-2</v>
      </c>
      <c r="X62" s="236">
        <v>3.5000000000000001E-3</v>
      </c>
      <c r="Y62" s="38">
        <f t="shared" si="22"/>
        <v>0</v>
      </c>
      <c r="Z62" s="218" t="str">
        <f t="shared" si="23"/>
        <v/>
      </c>
      <c r="AA62" s="218" t="str">
        <f t="shared" si="24"/>
        <v/>
      </c>
      <c r="AB62" s="218" t="str">
        <f t="shared" si="25"/>
        <v/>
      </c>
      <c r="AC62" s="38">
        <f>IFERROR(1/(1/INDEX(Cascade!$BH:$BH,MATCH($E62,Cascade!$E:$E,0))),"")</f>
        <v>711</v>
      </c>
      <c r="AD62" s="38" t="str">
        <f t="shared" si="26"/>
        <v/>
      </c>
      <c r="AE62" s="38">
        <f>IFERROR(1/(1/INDEX(TB!$P:$P,MATCH($E62,TB!$E:$E,0))),"")</f>
        <v>10</v>
      </c>
      <c r="AF62" s="38">
        <f t="shared" si="27"/>
        <v>701</v>
      </c>
    </row>
    <row r="63" spans="1:32" x14ac:dyDescent="0.2">
      <c r="A63" t="str">
        <f>INDEX(Prioritization!$D:$D,MATCH($B63,Prioritization!$A:$A,0))</f>
        <v>1 - Scale-up: Saturation</v>
      </c>
      <c r="B63" t="s">
        <v>317</v>
      </c>
      <c r="C63" t="s">
        <v>475</v>
      </c>
      <c r="D63" t="s">
        <v>48</v>
      </c>
      <c r="E63" t="str">
        <f t="shared" si="15"/>
        <v>Machinga District [TYnMSwzko3z]|15-24|Male</v>
      </c>
      <c r="F63" s="38">
        <f>IF(LEFT($B63,4)="_Mil","",INDEX(Cascade!$T:$T,MATCH($E63,Cascade!$E:$E,0)))</f>
        <v>93230</v>
      </c>
      <c r="G63" s="38">
        <f>IF(LEFT($B63,4)="_Mil","",INDEX(Cascade!$U:$U,MATCH($E63,Cascade!$E:$E,0)))</f>
        <v>1038</v>
      </c>
      <c r="H63" s="110">
        <f>IF(LEFT($B63,4)="_Mil","",INDEX(Cascade!$W:$W,MATCH($E63,Cascade!$E:$E,0)))</f>
        <v>1.1139019E-2</v>
      </c>
      <c r="I63" s="38">
        <f>IF(LEFT($B63,4)="_Mil","",INDEX(Cascade!$Z:$Z,MATCH($E63,Cascade!$E:$E,0)))</f>
        <v>1078</v>
      </c>
      <c r="J63" s="33">
        <f>IF(LEFT($B63,4)="_Mil","",INDEX(Cascade!$AA:$AA,MATCH($E63,Cascade!$E:$E,0)))</f>
        <v>0.90654579700000004</v>
      </c>
      <c r="K63" s="38"/>
      <c r="L63" s="38"/>
      <c r="M63" s="218" t="str">
        <f>IF(LEFT($B63,4)="_Mil","",IFERROR(1/(1/ROUND(INDEX(Spectrum!$N:$N,MATCH(RIGHT($B63,13)&amp;"|"&amp;$C63&amp;"|"&amp;$D63&amp;"|"&amp;M$14&amp;"|"&amp;"CY2024Q3",Spectrum!$R:$R,0)),0)),IF(SUM($L63)=0,"",$L63)))</f>
        <v/>
      </c>
      <c r="N63" s="218">
        <f>IF(LEFT($B63,4)="_Mil","",IFERROR(1/(1/ROUND(INDEX(Spectrum!$N:$N,MATCH(RIGHT($B63,13)&amp;"|"&amp;$C63&amp;"|"&amp;$D63&amp;"|"&amp;N$14&amp;"|"&amp;"CY2024Q3",Spectrum!$R:$R,0)),0)),IF(SUM($M63)=0,"",$M63)))</f>
        <v>76859</v>
      </c>
      <c r="O63" s="33">
        <f t="shared" si="16"/>
        <v>0.82440201651828815</v>
      </c>
      <c r="P63" s="33">
        <f t="shared" si="17"/>
        <v>0.82440201651828815</v>
      </c>
      <c r="Q63" s="218">
        <f t="shared" si="18"/>
        <v>76859</v>
      </c>
      <c r="R63" s="218">
        <f t="shared" si="19"/>
        <v>0</v>
      </c>
      <c r="S63" s="33" t="str">
        <f t="shared" ref="S63:S69" si="28">IF(LEFT($B63,4)="_Mil","",IF(SUM($L63)=0,"",IF(SUM($M63)=0,1,$L63/$M63)))</f>
        <v/>
      </c>
      <c r="T63" s="33" t="str">
        <f t="shared" si="20"/>
        <v/>
      </c>
      <c r="U63" s="33"/>
      <c r="V63" s="33" t="str">
        <f t="shared" si="21"/>
        <v/>
      </c>
      <c r="W63" s="33"/>
      <c r="X63" s="236">
        <v>3.5000000000000001E-3</v>
      </c>
      <c r="Y63" s="38" t="str">
        <f t="shared" si="22"/>
        <v/>
      </c>
      <c r="Z63" s="218" t="str">
        <f t="shared" si="23"/>
        <v/>
      </c>
      <c r="AA63" s="218" t="str">
        <f t="shared" si="24"/>
        <v/>
      </c>
      <c r="AB63" s="218" t="str">
        <f t="shared" si="25"/>
        <v/>
      </c>
      <c r="AC63" s="38">
        <f>IFERROR(1/(1/INDEX(Cascade!$BH:$BH,MATCH($E63,Cascade!$E:$E,0))),"")</f>
        <v>66</v>
      </c>
      <c r="AD63" s="38" t="str">
        <f t="shared" si="26"/>
        <v/>
      </c>
      <c r="AE63" s="38">
        <f>IFERROR(1/(1/INDEX(TB!$P:$P,MATCH($E63,TB!$E:$E,0))),"")</f>
        <v>2</v>
      </c>
      <c r="AF63" s="38">
        <f t="shared" si="27"/>
        <v>64</v>
      </c>
    </row>
    <row r="64" spans="1:32" x14ac:dyDescent="0.2">
      <c r="A64" t="str">
        <f>INDEX(Prioritization!$D:$D,MATCH($B64,Prioritization!$A:$A,0))</f>
        <v>1 - Scale-up: Saturation</v>
      </c>
      <c r="B64" t="s">
        <v>317</v>
      </c>
      <c r="C64" t="s">
        <v>476</v>
      </c>
      <c r="D64" t="s">
        <v>48</v>
      </c>
      <c r="E64" t="str">
        <f t="shared" si="15"/>
        <v>Machinga District [TYnMSwzko3z]|25-34|Male</v>
      </c>
      <c r="F64" s="38">
        <f>IF(LEFT($B64,4)="_Mil","",INDEX(Cascade!$T:$T,MATCH($E64,Cascade!$E:$E,0)))</f>
        <v>55790</v>
      </c>
      <c r="G64" s="38">
        <f>IF(LEFT($B64,4)="_Mil","",INDEX(Cascade!$U:$U,MATCH($E64,Cascade!$E:$E,0)))</f>
        <v>1135</v>
      </c>
      <c r="H64" s="110">
        <f>IF(LEFT($B64,4)="_Mil","",INDEX(Cascade!$W:$W,MATCH($E64,Cascade!$E:$E,0)))</f>
        <v>2.0345143999999999E-2</v>
      </c>
      <c r="I64" s="38">
        <f>IF(LEFT($B64,4)="_Mil","",INDEX(Cascade!$Z:$Z,MATCH($E64,Cascade!$E:$E,0)))</f>
        <v>1146</v>
      </c>
      <c r="J64" s="33">
        <f>IF(LEFT($B64,4)="_Mil","",INDEX(Cascade!$AA:$AA,MATCH($E64,Cascade!$E:$E,0)))</f>
        <v>0.87858911399999995</v>
      </c>
      <c r="K64" s="38"/>
      <c r="L64" s="38"/>
      <c r="M64" s="218" t="str">
        <f>IF(LEFT($B64,4)="_Mil","",IFERROR(1/(1/ROUND(INDEX(Spectrum!$N:$N,MATCH(RIGHT($B64,13)&amp;"|"&amp;$C64&amp;"|"&amp;$D64&amp;"|"&amp;M$14&amp;"|"&amp;"CY2024Q3",Spectrum!$R:$R,0)),0)),IF(SUM($L64)=0,"",$L64)))</f>
        <v/>
      </c>
      <c r="N64" s="218">
        <f>IF(LEFT($B64,4)="_Mil","",IFERROR(1/(1/ROUND(INDEX(Spectrum!$N:$N,MATCH(RIGHT($B64,13)&amp;"|"&amp;$C64&amp;"|"&amp;$D64&amp;"|"&amp;N$14&amp;"|"&amp;"CY2024Q3",Spectrum!$R:$R,0)),0)),IF(SUM($M64)=0,"",$M64)))</f>
        <v>71102</v>
      </c>
      <c r="O64" s="33">
        <f t="shared" si="16"/>
        <v>1.2744577881340742</v>
      </c>
      <c r="P64" s="33">
        <f t="shared" si="17"/>
        <v>1.2744577881340742</v>
      </c>
      <c r="Q64" s="218">
        <f t="shared" si="18"/>
        <v>71102</v>
      </c>
      <c r="R64" s="218">
        <f t="shared" si="19"/>
        <v>0</v>
      </c>
      <c r="S64" s="33" t="str">
        <f t="shared" si="28"/>
        <v/>
      </c>
      <c r="T64" s="33" t="str">
        <f t="shared" si="20"/>
        <v/>
      </c>
      <c r="U64" s="33"/>
      <c r="V64" s="33" t="str">
        <f t="shared" si="21"/>
        <v/>
      </c>
      <c r="W64" s="33"/>
      <c r="X64" s="236">
        <v>3.5000000000000001E-3</v>
      </c>
      <c r="Y64" s="38" t="str">
        <f t="shared" si="22"/>
        <v/>
      </c>
      <c r="Z64" s="218" t="str">
        <f t="shared" si="23"/>
        <v/>
      </c>
      <c r="AA64" s="218" t="str">
        <f t="shared" si="24"/>
        <v/>
      </c>
      <c r="AB64" s="218" t="str">
        <f t="shared" si="25"/>
        <v/>
      </c>
      <c r="AC64" s="38">
        <f>IFERROR(1/(1/INDEX(Cascade!$BH:$BH,MATCH($E64,Cascade!$E:$E,0))),"")</f>
        <v>21</v>
      </c>
      <c r="AD64" s="38" t="str">
        <f t="shared" si="26"/>
        <v/>
      </c>
      <c r="AE64" s="38">
        <f>IFERROR(1/(1/INDEX(TB!$P:$P,MATCH($E64,TB!$E:$E,0))),"")</f>
        <v>2</v>
      </c>
      <c r="AF64" s="38">
        <f t="shared" si="27"/>
        <v>19</v>
      </c>
    </row>
    <row r="65" spans="1:32" x14ac:dyDescent="0.2">
      <c r="A65" t="str">
        <f>INDEX(Prioritization!$D:$D,MATCH($B65,Prioritization!$A:$A,0))</f>
        <v>1 - Scale-up: Saturation</v>
      </c>
      <c r="B65" t="s">
        <v>317</v>
      </c>
      <c r="C65" t="s">
        <v>477</v>
      </c>
      <c r="D65" t="s">
        <v>48</v>
      </c>
      <c r="E65" t="str">
        <f t="shared" si="15"/>
        <v>Machinga District [TYnMSwzko3z]|35-49|Male</v>
      </c>
      <c r="F65" s="38">
        <f>IF(LEFT($B65,4)="_Mil","",INDEX(Cascade!$T:$T,MATCH($E65,Cascade!$E:$E,0)))</f>
        <v>51561</v>
      </c>
      <c r="G65" s="38">
        <f>IF(LEFT($B65,4)="_Mil","",INDEX(Cascade!$U:$U,MATCH($E65,Cascade!$E:$E,0)))</f>
        <v>4149</v>
      </c>
      <c r="H65" s="110">
        <f>IF(LEFT($B65,4)="_Mil","",INDEX(Cascade!$W:$W,MATCH($E65,Cascade!$E:$E,0)))</f>
        <v>8.0474354999999997E-2</v>
      </c>
      <c r="I65" s="38">
        <f>IF(LEFT($B65,4)="_Mil","",INDEX(Cascade!$Z:$Z,MATCH($E65,Cascade!$E:$E,0)))</f>
        <v>4371</v>
      </c>
      <c r="J65" s="33">
        <f>IF(LEFT($B65,4)="_Mil","",INDEX(Cascade!$AA:$AA,MATCH($E65,Cascade!$E:$E,0)))</f>
        <v>0.92580439999999986</v>
      </c>
      <c r="K65" s="38"/>
      <c r="L65" s="38"/>
      <c r="M65" s="218" t="str">
        <f>IF(LEFT($B65,4)="_Mil","",IFERROR(1/(1/ROUND(INDEX(Spectrum!$N:$N,MATCH(RIGHT($B65,13)&amp;"|"&amp;$C65&amp;"|"&amp;$D65&amp;"|"&amp;M$14&amp;"|"&amp;"CY2024Q3",Spectrum!$R:$R,0)),0)),IF(SUM($L65)=0,"",$L65)))</f>
        <v/>
      </c>
      <c r="N65" s="218">
        <f>IF(LEFT($B65,4)="_Mil","",IFERROR(1/(1/ROUND(INDEX(Spectrum!$N:$N,MATCH(RIGHT($B65,13)&amp;"|"&amp;$C65&amp;"|"&amp;$D65&amp;"|"&amp;N$14&amp;"|"&amp;"CY2024Q3",Spectrum!$R:$R,0)),0)),IF(SUM($M65)=0,"",$M65)))</f>
        <v>63644.000000000007</v>
      </c>
      <c r="O65" s="33">
        <f t="shared" si="16"/>
        <v>1.2343437869707725</v>
      </c>
      <c r="P65" s="33">
        <f t="shared" si="17"/>
        <v>1.2343437869707725</v>
      </c>
      <c r="Q65" s="218">
        <f t="shared" si="18"/>
        <v>63644</v>
      </c>
      <c r="R65" s="218">
        <f t="shared" si="19"/>
        <v>0</v>
      </c>
      <c r="S65" s="33" t="str">
        <f t="shared" si="28"/>
        <v/>
      </c>
      <c r="T65" s="33" t="str">
        <f t="shared" si="20"/>
        <v/>
      </c>
      <c r="U65" s="33"/>
      <c r="V65" s="33" t="str">
        <f t="shared" si="21"/>
        <v/>
      </c>
      <c r="W65" s="33"/>
      <c r="X65" s="236">
        <v>3.5000000000000001E-3</v>
      </c>
      <c r="Y65" s="38" t="str">
        <f t="shared" si="22"/>
        <v/>
      </c>
      <c r="Z65" s="218" t="str">
        <f t="shared" si="23"/>
        <v/>
      </c>
      <c r="AA65" s="218" t="str">
        <f t="shared" si="24"/>
        <v/>
      </c>
      <c r="AB65" s="218" t="str">
        <f t="shared" si="25"/>
        <v/>
      </c>
      <c r="AC65" s="38">
        <f>IFERROR(1/(1/INDEX(Cascade!$BH:$BH,MATCH($E65,Cascade!$E:$E,0))),"")</f>
        <v>89</v>
      </c>
      <c r="AD65" s="38" t="str">
        <f t="shared" si="26"/>
        <v/>
      </c>
      <c r="AE65" s="38">
        <f>IFERROR(1/(1/INDEX(TB!$P:$P,MATCH($E65,TB!$E:$E,0))),"")</f>
        <v>4</v>
      </c>
      <c r="AF65" s="38">
        <f t="shared" si="27"/>
        <v>85</v>
      </c>
    </row>
    <row r="66" spans="1:32" x14ac:dyDescent="0.2">
      <c r="A66" t="str">
        <f>INDEX(Prioritization!$D:$D,MATCH($B66,Prioritization!$A:$A,0))</f>
        <v>1 - Scale-up: Saturation</v>
      </c>
      <c r="B66" t="s">
        <v>317</v>
      </c>
      <c r="C66" t="s">
        <v>478</v>
      </c>
      <c r="D66" t="s">
        <v>48</v>
      </c>
      <c r="E66" t="str">
        <f t="shared" si="15"/>
        <v>Machinga District [TYnMSwzko3z]|50+|Male</v>
      </c>
      <c r="F66" s="38">
        <f>IF(LEFT($B66,4)="_Mil","",INDEX(Cascade!$T:$T,MATCH($E66,Cascade!$E:$E,0)))</f>
        <v>30149</v>
      </c>
      <c r="G66" s="38">
        <f>IF(LEFT($B66,4)="_Mil","",INDEX(Cascade!$U:$U,MATCH($E66,Cascade!$E:$E,0)))</f>
        <v>3336</v>
      </c>
      <c r="H66" s="110">
        <f>IF(LEFT($B66,4)="_Mil","",INDEX(Cascade!$W:$W,MATCH($E66,Cascade!$E:$E,0)))</f>
        <v>0.110638053</v>
      </c>
      <c r="I66" s="38">
        <f>IF(LEFT($B66,4)="_Mil","",INDEX(Cascade!$Z:$Z,MATCH($E66,Cascade!$E:$E,0)))</f>
        <v>3589</v>
      </c>
      <c r="J66" s="33">
        <f>IF(LEFT($B66,4)="_Mil","",INDEX(Cascade!$AA:$AA,MATCH($E66,Cascade!$E:$E,0)))</f>
        <v>0.949072837</v>
      </c>
      <c r="K66" s="38"/>
      <c r="L66" s="38">
        <v>0</v>
      </c>
      <c r="M66" s="218" t="str">
        <f>IF(LEFT($B66,4)="_Mil","",IFERROR(1/(1/ROUND(INDEX(Spectrum!$N:$N,MATCH(RIGHT($B66,13)&amp;"|"&amp;$C66&amp;"|"&amp;$D66&amp;"|"&amp;M$14&amp;"|"&amp;"CY2024Q3",Spectrum!$R:$R,0)),0)),IF(SUM($L66)=0,"",$L66)))</f>
        <v/>
      </c>
      <c r="N66" s="218">
        <f>IF(LEFT($B66,4)="_Mil","",IFERROR(1/(1/ROUND(INDEX(Spectrum!$N:$N,MATCH(RIGHT($B66,13)&amp;"|"&amp;$C66&amp;"|"&amp;$D66&amp;"|"&amp;N$14&amp;"|"&amp;"CY2024Q3",Spectrum!$R:$R,0)),0)),IF(SUM($M66)=0,"",$M66)))</f>
        <v>21735</v>
      </c>
      <c r="O66" s="33">
        <f t="shared" si="16"/>
        <v>0.72091943348038079</v>
      </c>
      <c r="P66" s="33">
        <f t="shared" si="17"/>
        <v>0.8</v>
      </c>
      <c r="Q66" s="218">
        <f t="shared" si="18"/>
        <v>24119</v>
      </c>
      <c r="R66" s="218">
        <f t="shared" si="19"/>
        <v>2384</v>
      </c>
      <c r="S66" s="33">
        <v>0</v>
      </c>
      <c r="T66" s="33" t="str">
        <f t="shared" si="20"/>
        <v/>
      </c>
      <c r="U66" s="33"/>
      <c r="V66" s="33" t="str">
        <f t="shared" si="21"/>
        <v/>
      </c>
      <c r="W66" s="33"/>
      <c r="X66" s="236">
        <v>3.5000000000000001E-3</v>
      </c>
      <c r="Y66" s="38">
        <f t="shared" si="22"/>
        <v>0</v>
      </c>
      <c r="Z66" s="218" t="str">
        <f t="shared" si="23"/>
        <v/>
      </c>
      <c r="AA66" s="218" t="str">
        <f t="shared" si="24"/>
        <v/>
      </c>
      <c r="AB66" s="218" t="str">
        <f t="shared" si="25"/>
        <v/>
      </c>
      <c r="AC66" s="38">
        <f>IFERROR(1/(1/INDEX(Cascade!$BH:$BH,MATCH($E66,Cascade!$E:$E,0))),"")</f>
        <v>107.00000000000001</v>
      </c>
      <c r="AD66" s="38" t="str">
        <f t="shared" si="26"/>
        <v/>
      </c>
      <c r="AE66" s="38">
        <f>IFERROR(1/(1/INDEX(TB!$P:$P,MATCH($E66,TB!$E:$E,0))),"")</f>
        <v>1</v>
      </c>
      <c r="AF66" s="38">
        <f t="shared" si="27"/>
        <v>106.00000000000003</v>
      </c>
    </row>
    <row r="67" spans="1:32" x14ac:dyDescent="0.2">
      <c r="A67" t="str">
        <f>INDEX(Prioritization!$D:$D,MATCH($B67,Prioritization!$A:$A,0))</f>
        <v>1 - Scale-up: Saturation</v>
      </c>
      <c r="B67" t="s">
        <v>318</v>
      </c>
      <c r="C67" t="s">
        <v>475</v>
      </c>
      <c r="D67" t="s">
        <v>48</v>
      </c>
      <c r="E67" t="str">
        <f t="shared" si="15"/>
        <v>Mangochi District [lLDyBx5XyUi]|15-24|Male</v>
      </c>
      <c r="F67" s="38">
        <f>IF(LEFT($B67,4)="_Mil","",INDEX(Cascade!$T:$T,MATCH($E67,Cascade!$E:$E,0)))</f>
        <v>141560</v>
      </c>
      <c r="G67" s="38">
        <f>IF(LEFT($B67,4)="_Mil","",INDEX(Cascade!$U:$U,MATCH($E67,Cascade!$E:$E,0)))</f>
        <v>2256</v>
      </c>
      <c r="H67" s="110">
        <f>IF(LEFT($B67,4)="_Mil","",INDEX(Cascade!$W:$W,MATCH($E67,Cascade!$E:$E,0)))</f>
        <v>1.5937185999999999E-2</v>
      </c>
      <c r="I67" s="38">
        <f>IF(LEFT($B67,4)="_Mil","",INDEX(Cascade!$Z:$Z,MATCH($E67,Cascade!$E:$E,0)))</f>
        <v>1964</v>
      </c>
      <c r="J67" s="33">
        <f>IF(LEFT($B67,4)="_Mil","",INDEX(Cascade!$AA:$AA,MATCH($E67,Cascade!$E:$E,0)))</f>
        <v>0.91517324900000008</v>
      </c>
      <c r="K67" s="38"/>
      <c r="L67" s="38">
        <v>0</v>
      </c>
      <c r="M67" s="218" t="str">
        <f>IF(LEFT($B67,4)="_Mil","",IFERROR(1/(1/ROUND(INDEX(Spectrum!$N:$N,MATCH(RIGHT($B67,13)&amp;"|"&amp;$C67&amp;"|"&amp;$D67&amp;"|"&amp;M$14&amp;"|"&amp;"CY2024Q3",Spectrum!$R:$R,0)),0)),IF(SUM($L67)=0,"",$L67)))</f>
        <v/>
      </c>
      <c r="N67" s="218">
        <f>IF(LEFT($B67,4)="_Mil","",IFERROR(1/(1/ROUND(INDEX(Spectrum!$N:$N,MATCH(RIGHT($B67,13)&amp;"|"&amp;$C67&amp;"|"&amp;$D67&amp;"|"&amp;N$14&amp;"|"&amp;"CY2024Q3",Spectrum!$R:$R,0)),0)),IF(SUM($M67)=0,"",$M67)))</f>
        <v>105381.99999999999</v>
      </c>
      <c r="O67" s="33">
        <f t="shared" si="16"/>
        <v>0.74443345577846842</v>
      </c>
      <c r="P67" s="33">
        <f t="shared" si="17"/>
        <v>0.8</v>
      </c>
      <c r="Q67" s="218">
        <f t="shared" si="18"/>
        <v>113248</v>
      </c>
      <c r="R67" s="218">
        <f t="shared" si="19"/>
        <v>7866</v>
      </c>
      <c r="S67" s="33">
        <v>0</v>
      </c>
      <c r="T67" s="33" t="str">
        <f t="shared" si="20"/>
        <v/>
      </c>
      <c r="U67" s="33"/>
      <c r="V67" s="33" t="str">
        <f t="shared" si="21"/>
        <v/>
      </c>
      <c r="W67" s="33"/>
      <c r="X67" s="236">
        <v>3.5000000000000001E-3</v>
      </c>
      <c r="Y67" s="38">
        <f t="shared" si="22"/>
        <v>0</v>
      </c>
      <c r="Z67" s="218" t="str">
        <f t="shared" si="23"/>
        <v/>
      </c>
      <c r="AA67" s="218" t="str">
        <f t="shared" si="24"/>
        <v/>
      </c>
      <c r="AB67" s="218" t="str">
        <f t="shared" si="25"/>
        <v/>
      </c>
      <c r="AC67" s="38">
        <f>IFERROR(1/(1/INDEX(Cascade!$BH:$BH,MATCH($E67,Cascade!$E:$E,0))),"")</f>
        <v>116.99999999999999</v>
      </c>
      <c r="AD67" s="38" t="str">
        <f t="shared" si="26"/>
        <v/>
      </c>
      <c r="AE67" s="38">
        <f>IFERROR(1/(1/INDEX(TB!$P:$P,MATCH($E67,TB!$E:$E,0))),"")</f>
        <v>4</v>
      </c>
      <c r="AF67" s="38">
        <f t="shared" si="27"/>
        <v>112.99999999999999</v>
      </c>
    </row>
    <row r="68" spans="1:32" x14ac:dyDescent="0.2">
      <c r="A68" t="str">
        <f>INDEX(Prioritization!$D:$D,MATCH($B68,Prioritization!$A:$A,0))</f>
        <v>1 - Scale-up: Saturation</v>
      </c>
      <c r="B68" t="s">
        <v>318</v>
      </c>
      <c r="C68" t="s">
        <v>476</v>
      </c>
      <c r="D68" t="s">
        <v>48</v>
      </c>
      <c r="E68" t="str">
        <f t="shared" si="15"/>
        <v>Mangochi District [lLDyBx5XyUi]|25-34|Male</v>
      </c>
      <c r="F68" s="38">
        <f>IF(LEFT($B68,4)="_Mil","",INDEX(Cascade!$T:$T,MATCH($E68,Cascade!$E:$E,0)))</f>
        <v>86099</v>
      </c>
      <c r="G68" s="38">
        <f>IF(LEFT($B68,4)="_Mil","",INDEX(Cascade!$U:$U,MATCH($E68,Cascade!$E:$E,0)))</f>
        <v>2486</v>
      </c>
      <c r="H68" s="110">
        <f>IF(LEFT($B68,4)="_Mil","",INDEX(Cascade!$W:$W,MATCH($E68,Cascade!$E:$E,0)))</f>
        <v>2.8876678999999999E-2</v>
      </c>
      <c r="I68" s="38">
        <f>IF(LEFT($B68,4)="_Mil","",INDEX(Cascade!$Z:$Z,MATCH($E68,Cascade!$E:$E,0)))</f>
        <v>2099</v>
      </c>
      <c r="J68" s="33">
        <f>IF(LEFT($B68,4)="_Mil","",INDEX(Cascade!$AA:$AA,MATCH($E68,Cascade!$E:$E,0)))</f>
        <v>0.88935630600000004</v>
      </c>
      <c r="K68" s="38"/>
      <c r="L68" s="38"/>
      <c r="M68" s="218" t="str">
        <f>IF(LEFT($B68,4)="_Mil","",IFERROR(1/(1/ROUND(INDEX(Spectrum!$N:$N,MATCH(RIGHT($B68,13)&amp;"|"&amp;$C68&amp;"|"&amp;$D68&amp;"|"&amp;M$14&amp;"|"&amp;"CY2024Q3",Spectrum!$R:$R,0)),0)),IF(SUM($L68)=0,"",$L68)))</f>
        <v/>
      </c>
      <c r="N68" s="218">
        <f>IF(LEFT($B68,4)="_Mil","",IFERROR(1/(1/ROUND(INDEX(Spectrum!$N:$N,MATCH(RIGHT($B68,13)&amp;"|"&amp;$C68&amp;"|"&amp;$D68&amp;"|"&amp;N$14&amp;"|"&amp;"CY2024Q3",Spectrum!$R:$R,0)),0)),IF(SUM($M68)=0,"",$M68)))</f>
        <v>98333</v>
      </c>
      <c r="O68" s="33">
        <f t="shared" si="16"/>
        <v>1.1420922426509019</v>
      </c>
      <c r="P68" s="33">
        <f t="shared" si="17"/>
        <v>1.1420922426509019</v>
      </c>
      <c r="Q68" s="218">
        <f t="shared" si="18"/>
        <v>98333</v>
      </c>
      <c r="R68" s="218">
        <f t="shared" si="19"/>
        <v>0</v>
      </c>
      <c r="S68" s="33" t="str">
        <f t="shared" si="28"/>
        <v/>
      </c>
      <c r="T68" s="33" t="str">
        <f t="shared" si="20"/>
        <v/>
      </c>
      <c r="U68" s="33"/>
      <c r="V68" s="33" t="str">
        <f t="shared" si="21"/>
        <v/>
      </c>
      <c r="W68" s="33"/>
      <c r="X68" s="236">
        <v>3.5000000000000001E-3</v>
      </c>
      <c r="Y68" s="38" t="str">
        <f t="shared" si="22"/>
        <v/>
      </c>
      <c r="Z68" s="218" t="str">
        <f t="shared" si="23"/>
        <v/>
      </c>
      <c r="AA68" s="218" t="str">
        <f t="shared" si="24"/>
        <v/>
      </c>
      <c r="AB68" s="218" t="str">
        <f t="shared" si="25"/>
        <v/>
      </c>
      <c r="AC68" s="38">
        <f>IFERROR(1/(1/INDEX(Cascade!$BH:$BH,MATCH($E68,Cascade!$E:$E,0))),"")</f>
        <v>41</v>
      </c>
      <c r="AD68" s="38" t="str">
        <f t="shared" si="26"/>
        <v/>
      </c>
      <c r="AE68" s="38">
        <f>IFERROR(1/(1/INDEX(TB!$P:$P,MATCH($E68,TB!$E:$E,0))),"")</f>
        <v>4</v>
      </c>
      <c r="AF68" s="38">
        <f t="shared" si="27"/>
        <v>37</v>
      </c>
    </row>
    <row r="69" spans="1:32" x14ac:dyDescent="0.2">
      <c r="A69" t="str">
        <f>INDEX(Prioritization!$D:$D,MATCH($B69,Prioritization!$A:$A,0))</f>
        <v>1 - Scale-up: Saturation</v>
      </c>
      <c r="B69" t="s">
        <v>318</v>
      </c>
      <c r="C69" t="s">
        <v>477</v>
      </c>
      <c r="D69" t="s">
        <v>48</v>
      </c>
      <c r="E69" t="str">
        <f t="shared" si="15"/>
        <v>Mangochi District [lLDyBx5XyUi]|35-49|Male</v>
      </c>
      <c r="F69" s="38">
        <f>IF(LEFT($B69,4)="_Mil","",INDEX(Cascade!$T:$T,MATCH($E69,Cascade!$E:$E,0)))</f>
        <v>79516</v>
      </c>
      <c r="G69" s="38">
        <f>IF(LEFT($B69,4)="_Mil","",INDEX(Cascade!$U:$U,MATCH($E69,Cascade!$E:$E,0)))</f>
        <v>8975</v>
      </c>
      <c r="H69" s="110">
        <f>IF(LEFT($B69,4)="_Mil","",INDEX(Cascade!$W:$W,MATCH($E69,Cascade!$E:$E,0)))</f>
        <v>0.112868463</v>
      </c>
      <c r="I69" s="38">
        <f>IF(LEFT($B69,4)="_Mil","",INDEX(Cascade!$Z:$Z,MATCH($E69,Cascade!$E:$E,0)))</f>
        <v>7934</v>
      </c>
      <c r="J69" s="33">
        <f>IF(LEFT($B69,4)="_Mil","",INDEX(Cascade!$AA:$AA,MATCH($E69,Cascade!$E:$E,0)))</f>
        <v>0.93266976599999996</v>
      </c>
      <c r="K69" s="38"/>
      <c r="L69" s="38"/>
      <c r="M69" s="218" t="str">
        <f>IF(LEFT($B69,4)="_Mil","",IFERROR(1/(1/ROUND(INDEX(Spectrum!$N:$N,MATCH(RIGHT($B69,13)&amp;"|"&amp;$C69&amp;"|"&amp;$D69&amp;"|"&amp;M$14&amp;"|"&amp;"CY2024Q3",Spectrum!$R:$R,0)),0)),IF(SUM($L69)=0,"",$L69)))</f>
        <v/>
      </c>
      <c r="N69" s="218">
        <f>IF(LEFT($B69,4)="_Mil","",IFERROR(1/(1/ROUND(INDEX(Spectrum!$N:$N,MATCH(RIGHT($B69,13)&amp;"|"&amp;$C69&amp;"|"&amp;$D69&amp;"|"&amp;N$14&amp;"|"&amp;"CY2024Q3",Spectrum!$R:$R,0)),0)),IF(SUM($M69)=0,"",$M69)))</f>
        <v>87492</v>
      </c>
      <c r="O69" s="33">
        <f t="shared" si="16"/>
        <v>1.1003068564817144</v>
      </c>
      <c r="P69" s="33">
        <f t="shared" si="17"/>
        <v>1.1003068564817144</v>
      </c>
      <c r="Q69" s="218">
        <f t="shared" si="18"/>
        <v>87492</v>
      </c>
      <c r="R69" s="218">
        <f t="shared" si="19"/>
        <v>0</v>
      </c>
      <c r="S69" s="33" t="str">
        <f t="shared" si="28"/>
        <v/>
      </c>
      <c r="T69" s="33" t="str">
        <f t="shared" si="20"/>
        <v/>
      </c>
      <c r="U69" s="33"/>
      <c r="V69" s="33" t="str">
        <f t="shared" si="21"/>
        <v/>
      </c>
      <c r="W69" s="33"/>
      <c r="X69" s="236">
        <v>3.5000000000000001E-3</v>
      </c>
      <c r="Y69" s="38" t="str">
        <f t="shared" si="22"/>
        <v/>
      </c>
      <c r="Z69" s="218" t="str">
        <f t="shared" si="23"/>
        <v/>
      </c>
      <c r="AA69" s="218" t="str">
        <f t="shared" si="24"/>
        <v/>
      </c>
      <c r="AB69" s="218" t="str">
        <f t="shared" si="25"/>
        <v/>
      </c>
      <c r="AC69" s="38">
        <f>IFERROR(1/(1/INDEX(Cascade!$BH:$BH,MATCH($E69,Cascade!$E:$E,0))),"")</f>
        <v>167</v>
      </c>
      <c r="AD69" s="38" t="str">
        <f t="shared" si="26"/>
        <v/>
      </c>
      <c r="AE69" s="38">
        <f>IFERROR(1/(1/INDEX(TB!$P:$P,MATCH($E69,TB!$E:$E,0))),"")</f>
        <v>5</v>
      </c>
      <c r="AF69" s="38">
        <f t="shared" si="27"/>
        <v>162</v>
      </c>
    </row>
    <row r="70" spans="1:32" x14ac:dyDescent="0.2">
      <c r="A70" t="str">
        <f>INDEX(Prioritization!$D:$D,MATCH($B70,Prioritization!$A:$A,0))</f>
        <v>1 - Scale-up: Saturation</v>
      </c>
      <c r="B70" t="s">
        <v>318</v>
      </c>
      <c r="C70" t="s">
        <v>478</v>
      </c>
      <c r="D70" t="s">
        <v>48</v>
      </c>
      <c r="E70" t="str">
        <f t="shared" si="15"/>
        <v>Mangochi District [lLDyBx5XyUi]|50+|Male</v>
      </c>
      <c r="F70" s="38">
        <f>IF(LEFT($B70,4)="_Mil","",INDEX(Cascade!$T:$T,MATCH($E70,Cascade!$E:$E,0)))</f>
        <v>46320</v>
      </c>
      <c r="G70" s="38">
        <f>IF(LEFT($B70,4)="_Mil","",INDEX(Cascade!$U:$U,MATCH($E70,Cascade!$E:$E,0)))</f>
        <v>7068</v>
      </c>
      <c r="H70" s="110">
        <f>IF(LEFT($B70,4)="_Mil","",INDEX(Cascade!$W:$W,MATCH($E70,Cascade!$E:$E,0)))</f>
        <v>0.15258785599999999</v>
      </c>
      <c r="I70" s="38">
        <f>IF(LEFT($B70,4)="_Mil","",INDEX(Cascade!$Z:$Z,MATCH($E70,Cascade!$E:$E,0)))</f>
        <v>6412</v>
      </c>
      <c r="J70" s="33">
        <f>IF(LEFT($B70,4)="_Mil","",INDEX(Cascade!$AA:$AA,MATCH($E70,Cascade!$E:$E,0)))</f>
        <v>0.95404985099999995</v>
      </c>
      <c r="K70" s="38"/>
      <c r="L70" s="38">
        <v>0</v>
      </c>
      <c r="M70" s="218" t="str">
        <f>IF(LEFT($B70,4)="_Mil","",IFERROR(1/(1/ROUND(INDEX(Spectrum!$N:$N,MATCH(RIGHT($B70,13)&amp;"|"&amp;$C70&amp;"|"&amp;$D70&amp;"|"&amp;M$14&amp;"|"&amp;"CY2024Q3",Spectrum!$R:$R,0)),0)),IF(SUM($L70)=0,"",$L70)))</f>
        <v/>
      </c>
      <c r="N70" s="218">
        <f>IF(LEFT($B70,4)="_Mil","",IFERROR(1/(1/ROUND(INDEX(Spectrum!$N:$N,MATCH(RIGHT($B70,13)&amp;"|"&amp;$C70&amp;"|"&amp;$D70&amp;"|"&amp;N$14&amp;"|"&amp;"CY2024Q3",Spectrum!$R:$R,0)),0)),IF(SUM($M70)=0,"",$M70)))</f>
        <v>29955</v>
      </c>
      <c r="O70" s="33">
        <f t="shared" si="16"/>
        <v>0.64669689119170981</v>
      </c>
      <c r="P70" s="33">
        <f t="shared" si="17"/>
        <v>0.8</v>
      </c>
      <c r="Q70" s="218">
        <f t="shared" si="18"/>
        <v>37056</v>
      </c>
      <c r="R70" s="218">
        <f t="shared" si="19"/>
        <v>7101</v>
      </c>
      <c r="S70" s="33">
        <v>0</v>
      </c>
      <c r="T70" s="33" t="str">
        <f t="shared" si="20"/>
        <v/>
      </c>
      <c r="U70" s="33"/>
      <c r="V70" s="33" t="str">
        <f t="shared" si="21"/>
        <v/>
      </c>
      <c r="W70" s="33"/>
      <c r="X70" s="236">
        <v>3.5000000000000001E-3</v>
      </c>
      <c r="Y70" s="38">
        <f t="shared" si="22"/>
        <v>0</v>
      </c>
      <c r="Z70" s="218" t="str">
        <f t="shared" si="23"/>
        <v/>
      </c>
      <c r="AA70" s="218" t="str">
        <f t="shared" si="24"/>
        <v/>
      </c>
      <c r="AB70" s="218" t="str">
        <f t="shared" si="25"/>
        <v/>
      </c>
      <c r="AC70" s="38">
        <f>IFERROR(1/(1/INDEX(Cascade!$BH:$BH,MATCH($E70,Cascade!$E:$E,0))),"")</f>
        <v>327</v>
      </c>
      <c r="AD70" s="38" t="str">
        <f t="shared" si="26"/>
        <v/>
      </c>
      <c r="AE70" s="38">
        <f>IFERROR(1/(1/INDEX(TB!$P:$P,MATCH($E70,TB!$E:$E,0))),"")</f>
        <v>2</v>
      </c>
      <c r="AF70" s="38">
        <f t="shared" si="27"/>
        <v>325</v>
      </c>
    </row>
    <row r="71" spans="1:32" x14ac:dyDescent="0.2">
      <c r="A71" t="str">
        <f>INDEX(Prioritization!$D:$D,MATCH($B71,Prioritization!$A:$A,0))</f>
        <v>4 - Sustained</v>
      </c>
      <c r="B71" t="s">
        <v>302</v>
      </c>
      <c r="C71" t="s">
        <v>475</v>
      </c>
      <c r="D71" t="s">
        <v>48</v>
      </c>
      <c r="E71" t="str">
        <f t="shared" si="15"/>
        <v>Mchinji District [kxuuIFpOXyO]|15-24|Male</v>
      </c>
      <c r="F71" s="38">
        <f>IF(LEFT($B71,4)="_Mil","",INDEX(Cascade!$T:$T,MATCH($E71,Cascade!$E:$E,0)))</f>
        <v>79838</v>
      </c>
      <c r="G71" s="38">
        <f>IF(LEFT($B71,4)="_Mil","",INDEX(Cascade!$U:$U,MATCH($E71,Cascade!$E:$E,0)))</f>
        <v>654</v>
      </c>
      <c r="H71" s="110">
        <f>IF(LEFT($B71,4)="_Mil","",INDEX(Cascade!$W:$W,MATCH($E71,Cascade!$E:$E,0)))</f>
        <v>8.1878999999999997E-3</v>
      </c>
      <c r="I71" s="38">
        <f>IF(LEFT($B71,4)="_Mil","",INDEX(Cascade!$Z:$Z,MATCH($E71,Cascade!$E:$E,0)))</f>
        <v>641</v>
      </c>
      <c r="J71" s="33">
        <f>IF(LEFT($B71,4)="_Mil","",INDEX(Cascade!$AA:$AA,MATCH($E71,Cascade!$E:$E,0)))</f>
        <v>0.89061911900000013</v>
      </c>
      <c r="K71" s="38"/>
      <c r="L71" s="38">
        <v>0</v>
      </c>
      <c r="M71" s="218" t="str">
        <f>IF(LEFT($B71,4)="_Mil","",IFERROR(1/(1/ROUND(INDEX(Spectrum!$N:$N,MATCH(RIGHT($B71,13)&amp;"|"&amp;$C71&amp;"|"&amp;$D71&amp;"|"&amp;M$14&amp;"|"&amp;"CY2024Q3",Spectrum!$R:$R,0)),0)),IF(SUM($L71)=0,"",$L71)))</f>
        <v/>
      </c>
      <c r="N71" s="218">
        <f>IF(LEFT($B71,4)="_Mil","",IFERROR(1/(1/ROUND(INDEX(Spectrum!$N:$N,MATCH(RIGHT($B71,13)&amp;"|"&amp;$C71&amp;"|"&amp;$D71&amp;"|"&amp;N$14&amp;"|"&amp;"CY2024Q3",Spectrum!$R:$R,0)),0)),IF(SUM($M71)=0,"",$M71)))</f>
        <v>7437.0000000000009</v>
      </c>
      <c r="O71" s="33">
        <f t="shared" si="16"/>
        <v>9.315113104035673E-2</v>
      </c>
      <c r="P71" s="33">
        <f t="shared" si="17"/>
        <v>0.8</v>
      </c>
      <c r="Q71" s="218">
        <f t="shared" si="18"/>
        <v>63870</v>
      </c>
      <c r="R71" s="218">
        <f t="shared" si="19"/>
        <v>56433</v>
      </c>
      <c r="S71" s="33">
        <v>0</v>
      </c>
      <c r="T71" s="33" t="str">
        <f t="shared" si="20"/>
        <v/>
      </c>
      <c r="U71" s="33"/>
      <c r="V71" s="33" t="str">
        <f t="shared" si="21"/>
        <v/>
      </c>
      <c r="W71" s="33"/>
      <c r="X71" s="236">
        <v>3.5000000000000001E-3</v>
      </c>
      <c r="Y71" s="38">
        <f t="shared" si="22"/>
        <v>0</v>
      </c>
      <c r="Z71" s="218" t="str">
        <f t="shared" si="23"/>
        <v/>
      </c>
      <c r="AA71" s="218" t="str">
        <f t="shared" si="24"/>
        <v/>
      </c>
      <c r="AB71" s="218" t="str">
        <f t="shared" si="25"/>
        <v/>
      </c>
      <c r="AC71" s="38">
        <f>IFERROR(1/(1/INDEX(Cascade!$BH:$BH,MATCH($E71,Cascade!$E:$E,0))),"")</f>
        <v>63</v>
      </c>
      <c r="AD71" s="38" t="str">
        <f t="shared" si="26"/>
        <v/>
      </c>
      <c r="AE71" s="38">
        <f>IFERROR(1/(1/INDEX(TB!$P:$P,MATCH($E71,TB!$E:$E,0))),"")</f>
        <v>1</v>
      </c>
      <c r="AF71" s="38">
        <f t="shared" si="27"/>
        <v>62</v>
      </c>
    </row>
    <row r="72" spans="1:32" x14ac:dyDescent="0.2">
      <c r="A72" t="str">
        <f>INDEX(Prioritization!$D:$D,MATCH($B72,Prioritization!$A:$A,0))</f>
        <v>4 - Sustained</v>
      </c>
      <c r="B72" t="s">
        <v>302</v>
      </c>
      <c r="C72" t="s">
        <v>476</v>
      </c>
      <c r="D72" t="s">
        <v>48</v>
      </c>
      <c r="E72" t="str">
        <f t="shared" si="15"/>
        <v>Mchinji District [kxuuIFpOXyO]|25-34|Male</v>
      </c>
      <c r="F72" s="38">
        <f>IF(LEFT($B72,4)="_Mil","",INDEX(Cascade!$T:$T,MATCH($E72,Cascade!$E:$E,0)))</f>
        <v>53249</v>
      </c>
      <c r="G72" s="38">
        <f>IF(LEFT($B72,4)="_Mil","",INDEX(Cascade!$U:$U,MATCH($E72,Cascade!$E:$E,0)))</f>
        <v>910</v>
      </c>
      <c r="H72" s="110">
        <f>IF(LEFT($B72,4)="_Mil","",INDEX(Cascade!$W:$W,MATCH($E72,Cascade!$E:$E,0)))</f>
        <v>1.7091942999999998E-2</v>
      </c>
      <c r="I72" s="38">
        <f>IF(LEFT($B72,4)="_Mil","",INDEX(Cascade!$Z:$Z,MATCH($E72,Cascade!$E:$E,0)))</f>
        <v>859</v>
      </c>
      <c r="J72" s="33">
        <f>IF(LEFT($B72,4)="_Mil","",INDEX(Cascade!$AA:$AA,MATCH($E72,Cascade!$E:$E,0)))</f>
        <v>0.85908688699999991</v>
      </c>
      <c r="K72" s="38"/>
      <c r="L72" s="38">
        <v>0</v>
      </c>
      <c r="M72" s="218" t="str">
        <f>IF(LEFT($B72,4)="_Mil","",IFERROR(1/(1/ROUND(INDEX(Spectrum!$N:$N,MATCH(RIGHT($B72,13)&amp;"|"&amp;$C72&amp;"|"&amp;$D72&amp;"|"&amp;M$14&amp;"|"&amp;"CY2024Q3",Spectrum!$R:$R,0)),0)),IF(SUM($L72)=0,"",$L72)))</f>
        <v/>
      </c>
      <c r="N72" s="218">
        <f>IF(LEFT($B72,4)="_Mil","",IFERROR(1/(1/ROUND(INDEX(Spectrum!$N:$N,MATCH(RIGHT($B72,13)&amp;"|"&amp;$C72&amp;"|"&amp;$D72&amp;"|"&amp;N$14&amp;"|"&amp;"CY2024Q3",Spectrum!$R:$R,0)),0)),IF(SUM($M72)=0,"",$M72)))</f>
        <v>7403.0000000000009</v>
      </c>
      <c r="O72" s="33">
        <f t="shared" si="16"/>
        <v>0.13902608499690136</v>
      </c>
      <c r="P72" s="33">
        <f t="shared" si="17"/>
        <v>0.8</v>
      </c>
      <c r="Q72" s="218">
        <f t="shared" si="18"/>
        <v>42599</v>
      </c>
      <c r="R72" s="218">
        <f t="shared" si="19"/>
        <v>35196</v>
      </c>
      <c r="S72" s="33">
        <v>0</v>
      </c>
      <c r="T72" s="33" t="str">
        <f t="shared" si="20"/>
        <v/>
      </c>
      <c r="U72" s="33"/>
      <c r="V72" s="33" t="str">
        <f t="shared" si="21"/>
        <v/>
      </c>
      <c r="W72" s="33"/>
      <c r="X72" s="236">
        <v>3.5000000000000001E-3</v>
      </c>
      <c r="Y72" s="38">
        <f t="shared" si="22"/>
        <v>0</v>
      </c>
      <c r="Z72" s="218" t="str">
        <f t="shared" si="23"/>
        <v/>
      </c>
      <c r="AA72" s="218" t="str">
        <f t="shared" si="24"/>
        <v/>
      </c>
      <c r="AB72" s="218" t="str">
        <f t="shared" si="25"/>
        <v/>
      </c>
      <c r="AC72" s="38">
        <f>IFERROR(1/(1/INDEX(Cascade!$BH:$BH,MATCH($E72,Cascade!$E:$E,0))),"")</f>
        <v>18</v>
      </c>
      <c r="AD72" s="38" t="str">
        <f t="shared" si="26"/>
        <v/>
      </c>
      <c r="AE72" s="38">
        <f>IFERROR(1/(1/INDEX(TB!$P:$P,MATCH($E72,TB!$E:$E,0))),"")</f>
        <v>1</v>
      </c>
      <c r="AF72" s="38">
        <f t="shared" si="27"/>
        <v>17</v>
      </c>
    </row>
    <row r="73" spans="1:32" x14ac:dyDescent="0.2">
      <c r="A73" t="str">
        <f>INDEX(Prioritization!$D:$D,MATCH($B73,Prioritization!$A:$A,0))</f>
        <v>4 - Sustained</v>
      </c>
      <c r="B73" t="s">
        <v>302</v>
      </c>
      <c r="C73" t="s">
        <v>477</v>
      </c>
      <c r="D73" t="s">
        <v>48</v>
      </c>
      <c r="E73" t="str">
        <f t="shared" si="15"/>
        <v>Mchinji District [kxuuIFpOXyO]|35-49|Male</v>
      </c>
      <c r="F73" s="38">
        <f>IF(LEFT($B73,4)="_Mil","",INDEX(Cascade!$T:$T,MATCH($E73,Cascade!$E:$E,0)))</f>
        <v>49726</v>
      </c>
      <c r="G73" s="38">
        <f>IF(LEFT($B73,4)="_Mil","",INDEX(Cascade!$U:$U,MATCH($E73,Cascade!$E:$E,0)))</f>
        <v>3509</v>
      </c>
      <c r="H73" s="110">
        <f>IF(LEFT($B73,4)="_Mil","",INDEX(Cascade!$W:$W,MATCH($E73,Cascade!$E:$E,0)))</f>
        <v>7.0566282999999994E-2</v>
      </c>
      <c r="I73" s="38">
        <f>IF(LEFT($B73,4)="_Mil","",INDEX(Cascade!$Z:$Z,MATCH($E73,Cascade!$E:$E,0)))</f>
        <v>3493</v>
      </c>
      <c r="J73" s="33">
        <f>IF(LEFT($B73,4)="_Mil","",INDEX(Cascade!$AA:$AA,MATCH($E73,Cascade!$E:$E,0)))</f>
        <v>0.91316525599999998</v>
      </c>
      <c r="K73" s="38"/>
      <c r="L73" s="38">
        <v>0</v>
      </c>
      <c r="M73" s="218" t="str">
        <f>IF(LEFT($B73,4)="_Mil","",IFERROR(1/(1/ROUND(INDEX(Spectrum!$N:$N,MATCH(RIGHT($B73,13)&amp;"|"&amp;$C73&amp;"|"&amp;$D73&amp;"|"&amp;M$14&amp;"|"&amp;"CY2024Q3",Spectrum!$R:$R,0)),0)),IF(SUM($L73)=0,"",$L73)))</f>
        <v/>
      </c>
      <c r="N73" s="218">
        <f>IF(LEFT($B73,4)="_Mil","",IFERROR(1/(1/ROUND(INDEX(Spectrum!$N:$N,MATCH(RIGHT($B73,13)&amp;"|"&amp;$C73&amp;"|"&amp;$D73&amp;"|"&amp;N$14&amp;"|"&amp;"CY2024Q3",Spectrum!$R:$R,0)),0)),IF(SUM($M73)=0,"",$M73)))</f>
        <v>5527</v>
      </c>
      <c r="O73" s="33">
        <f t="shared" si="16"/>
        <v>0.1111490970518441</v>
      </c>
      <c r="P73" s="33">
        <f t="shared" si="17"/>
        <v>0.8</v>
      </c>
      <c r="Q73" s="218">
        <f t="shared" si="18"/>
        <v>39781</v>
      </c>
      <c r="R73" s="218">
        <f t="shared" si="19"/>
        <v>34254</v>
      </c>
      <c r="S73" s="33">
        <v>0</v>
      </c>
      <c r="T73" s="33" t="str">
        <f t="shared" si="20"/>
        <v/>
      </c>
      <c r="U73" s="33"/>
      <c r="V73" s="33" t="str">
        <f t="shared" si="21"/>
        <v/>
      </c>
      <c r="W73" s="33"/>
      <c r="X73" s="236">
        <v>3.5000000000000001E-3</v>
      </c>
      <c r="Y73" s="38">
        <f t="shared" si="22"/>
        <v>0</v>
      </c>
      <c r="Z73" s="218" t="str">
        <f t="shared" si="23"/>
        <v/>
      </c>
      <c r="AA73" s="218" t="str">
        <f t="shared" si="24"/>
        <v/>
      </c>
      <c r="AB73" s="218" t="str">
        <f t="shared" si="25"/>
        <v/>
      </c>
      <c r="AC73" s="38">
        <f>IFERROR(1/(1/INDEX(Cascade!$BH:$BH,MATCH($E73,Cascade!$E:$E,0))),"")</f>
        <v>143</v>
      </c>
      <c r="AD73" s="38" t="str">
        <f t="shared" si="26"/>
        <v/>
      </c>
      <c r="AE73" s="38">
        <f>IFERROR(1/(1/INDEX(TB!$P:$P,MATCH($E73,TB!$E:$E,0))),"")</f>
        <v>2</v>
      </c>
      <c r="AF73" s="38">
        <f t="shared" si="27"/>
        <v>141</v>
      </c>
    </row>
    <row r="74" spans="1:32" x14ac:dyDescent="0.2">
      <c r="A74" t="str">
        <f>INDEX(Prioritization!$D:$D,MATCH($B74,Prioritization!$A:$A,0))</f>
        <v>4 - Sustained</v>
      </c>
      <c r="B74" t="s">
        <v>302</v>
      </c>
      <c r="C74" t="s">
        <v>478</v>
      </c>
      <c r="D74" t="s">
        <v>48</v>
      </c>
      <c r="E74" t="str">
        <f t="shared" si="15"/>
        <v>Mchinji District [kxuuIFpOXyO]|50+|Male</v>
      </c>
      <c r="F74" s="38">
        <f>IF(LEFT($B74,4)="_Mil","",INDEX(Cascade!$T:$T,MATCH($E74,Cascade!$E:$E,0)))</f>
        <v>25904</v>
      </c>
      <c r="G74" s="38">
        <f>IF(LEFT($B74,4)="_Mil","",INDEX(Cascade!$U:$U,MATCH($E74,Cascade!$E:$E,0)))</f>
        <v>2642</v>
      </c>
      <c r="H74" s="110">
        <f>IF(LEFT($B74,4)="_Mil","",INDEX(Cascade!$W:$W,MATCH($E74,Cascade!$E:$E,0)))</f>
        <v>0.101973947</v>
      </c>
      <c r="I74" s="38">
        <f>IF(LEFT($B74,4)="_Mil","",INDEX(Cascade!$Z:$Z,MATCH($E74,Cascade!$E:$E,0)))</f>
        <v>2711</v>
      </c>
      <c r="J74" s="33">
        <f>IF(LEFT($B74,4)="_Mil","",INDEX(Cascade!$AA:$AA,MATCH($E74,Cascade!$E:$E,0)))</f>
        <v>0.94032277099999995</v>
      </c>
      <c r="K74" s="38"/>
      <c r="L74" s="38">
        <v>0</v>
      </c>
      <c r="M74" s="218" t="str">
        <f>IF(LEFT($B74,4)="_Mil","",IFERROR(1/(1/ROUND(INDEX(Spectrum!$N:$N,MATCH(RIGHT($B74,13)&amp;"|"&amp;$C74&amp;"|"&amp;$D74&amp;"|"&amp;M$14&amp;"|"&amp;"CY2024Q3",Spectrum!$R:$R,0)),0)),IF(SUM($L74)=0,"",$L74)))</f>
        <v/>
      </c>
      <c r="N74" s="218">
        <f>IF(LEFT($B74,4)="_Mil","",IFERROR(1/(1/ROUND(INDEX(Spectrum!$N:$N,MATCH(RIGHT($B74,13)&amp;"|"&amp;$C74&amp;"|"&amp;$D74&amp;"|"&amp;N$14&amp;"|"&amp;"CY2024Q3",Spectrum!$R:$R,0)),0)),IF(SUM($M74)=0,"",$M74)))</f>
        <v>1614</v>
      </c>
      <c r="O74" s="33">
        <f t="shared" si="16"/>
        <v>6.2306979617047557E-2</v>
      </c>
      <c r="P74" s="33">
        <f t="shared" si="17"/>
        <v>0.8</v>
      </c>
      <c r="Q74" s="218">
        <f t="shared" si="18"/>
        <v>20723</v>
      </c>
      <c r="R74" s="218">
        <f t="shared" si="19"/>
        <v>19109</v>
      </c>
      <c r="S74" s="33">
        <v>0</v>
      </c>
      <c r="T74" s="33" t="str">
        <f t="shared" si="20"/>
        <v/>
      </c>
      <c r="U74" s="33"/>
      <c r="V74" s="33" t="str">
        <f t="shared" si="21"/>
        <v/>
      </c>
      <c r="W74" s="33"/>
      <c r="X74" s="236">
        <v>3.5000000000000001E-3</v>
      </c>
      <c r="Y74" s="38">
        <f t="shared" si="22"/>
        <v>0</v>
      </c>
      <c r="Z74" s="218" t="str">
        <f t="shared" si="23"/>
        <v/>
      </c>
      <c r="AA74" s="218" t="str">
        <f t="shared" si="24"/>
        <v/>
      </c>
      <c r="AB74" s="218" t="str">
        <f t="shared" si="25"/>
        <v/>
      </c>
      <c r="AC74" s="38">
        <f>IFERROR(1/(1/INDEX(Cascade!$BH:$BH,MATCH($E74,Cascade!$E:$E,0))),"")</f>
        <v>85</v>
      </c>
      <c r="AD74" s="38" t="str">
        <f t="shared" si="26"/>
        <v/>
      </c>
      <c r="AE74" s="38">
        <f>IFERROR(1/(1/INDEX(TB!$P:$P,MATCH($E74,TB!$E:$E,0))),"")</f>
        <v>1</v>
      </c>
      <c r="AF74" s="38">
        <f t="shared" si="27"/>
        <v>84</v>
      </c>
    </row>
    <row r="75" spans="1:32" x14ac:dyDescent="0.2">
      <c r="A75" t="str">
        <f>INDEX(Prioritization!$D:$D,MATCH($B75,Prioritization!$A:$A,0))</f>
        <v>INVALID</v>
      </c>
      <c r="B75" t="s">
        <v>319</v>
      </c>
      <c r="C75" t="s">
        <v>475</v>
      </c>
      <c r="D75" t="s">
        <v>48</v>
      </c>
      <c r="E75" t="str">
        <f t="shared" si="15"/>
        <v>Mulanje District [umc2n1Z4wNv]|15-24|Male</v>
      </c>
      <c r="F75" s="38">
        <f>IF(LEFT($B75,4)="_Mil","",INDEX(Cascade!$T:$T,MATCH($E75,Cascade!$E:$E,0)))</f>
        <v>90851</v>
      </c>
      <c r="G75" s="38">
        <f>IF(LEFT($B75,4)="_Mil","",INDEX(Cascade!$U:$U,MATCH($E75,Cascade!$E:$E,0)))</f>
        <v>2161</v>
      </c>
      <c r="H75" s="110">
        <f>IF(LEFT($B75,4)="_Mil","",INDEX(Cascade!$W:$W,MATCH($E75,Cascade!$E:$E,0)))</f>
        <v>2.3782398E-2</v>
      </c>
      <c r="I75" s="38">
        <f>IF(LEFT($B75,4)="_Mil","",INDEX(Cascade!$Z:$Z,MATCH($E75,Cascade!$E:$E,0)))</f>
        <v>1929</v>
      </c>
      <c r="J75" s="33">
        <f>IF(LEFT($B75,4)="_Mil","",INDEX(Cascade!$AA:$AA,MATCH($E75,Cascade!$E:$E,0)))</f>
        <v>0.94219673599999998</v>
      </c>
      <c r="K75" s="38">
        <v>7556</v>
      </c>
      <c r="L75" s="38">
        <v>2712</v>
      </c>
      <c r="M75" s="218">
        <f>IF(LEFT($B75,4)="_Mil","",IFERROR(1/(1/ROUND(INDEX(Spectrum!$N:$N,MATCH(RIGHT($B75,13)&amp;"|"&amp;$C75&amp;"|"&amp;$D75&amp;"|"&amp;M$14&amp;"|"&amp;"CY2024Q3",Spectrum!$R:$R,0)),0)),IF(SUM($L75)=0,"",$L75)))</f>
        <v>2712</v>
      </c>
      <c r="N75" s="218">
        <f>IF(LEFT($B75,4)="_Mil","",IFERROR(1/(1/ROUND(INDEX(Spectrum!$N:$N,MATCH(RIGHT($B75,13)&amp;"|"&amp;$C75&amp;"|"&amp;$D75&amp;"|"&amp;N$14&amp;"|"&amp;"CY2024Q3",Spectrum!$R:$R,0)),0)),IF(SUM($M75)=0,"",$M75)))</f>
        <v>48959</v>
      </c>
      <c r="O75" s="33">
        <f t="shared" si="16"/>
        <v>0.53889335285247275</v>
      </c>
      <c r="P75" s="33">
        <f t="shared" si="17"/>
        <v>0.8</v>
      </c>
      <c r="Q75" s="218">
        <f t="shared" si="18"/>
        <v>72681</v>
      </c>
      <c r="R75" s="218">
        <f t="shared" si="19"/>
        <v>23722</v>
      </c>
      <c r="S75" s="234">
        <v>0.1</v>
      </c>
      <c r="T75" s="33" t="str">
        <f t="shared" si="20"/>
        <v/>
      </c>
      <c r="U75" s="33">
        <v>0.70299999999999996</v>
      </c>
      <c r="V75" s="33">
        <v>0</v>
      </c>
      <c r="W75" s="33">
        <v>3.0999999999999999E-3</v>
      </c>
      <c r="X75" s="236">
        <v>3.5000000000000001E-3</v>
      </c>
      <c r="Y75" s="38">
        <f t="shared" si="22"/>
        <v>2372</v>
      </c>
      <c r="Z75" s="218">
        <f t="shared" si="23"/>
        <v>0</v>
      </c>
      <c r="AA75" s="218">
        <f t="shared" si="24"/>
        <v>8</v>
      </c>
      <c r="AB75" s="218">
        <f t="shared" si="25"/>
        <v>2364</v>
      </c>
      <c r="AC75" s="38">
        <f>IFERROR(1/(1/INDEX(Cascade!$BH:$BH,MATCH($E75,Cascade!$E:$E,0))),"")</f>
        <v>94</v>
      </c>
      <c r="AD75" s="38">
        <f t="shared" si="26"/>
        <v>8</v>
      </c>
      <c r="AE75" s="38">
        <f>IFERROR(1/(1/INDEX(TB!$P:$P,MATCH($E75,TB!$E:$E,0))),"")</f>
        <v>3</v>
      </c>
      <c r="AF75" s="38">
        <f t="shared" si="27"/>
        <v>83</v>
      </c>
    </row>
    <row r="76" spans="1:32" x14ac:dyDescent="0.2">
      <c r="A76" t="str">
        <f>INDEX(Prioritization!$D:$D,MATCH($B76,Prioritization!$A:$A,0))</f>
        <v>INVALID</v>
      </c>
      <c r="B76" t="s">
        <v>319</v>
      </c>
      <c r="C76" t="s">
        <v>476</v>
      </c>
      <c r="D76" t="s">
        <v>48</v>
      </c>
      <c r="E76" t="str">
        <f t="shared" si="15"/>
        <v>Mulanje District [umc2n1Z4wNv]|25-34|Male</v>
      </c>
      <c r="F76" s="38">
        <f>IF(LEFT($B76,4)="_Mil","",INDEX(Cascade!$T:$T,MATCH($E76,Cascade!$E:$E,0)))</f>
        <v>53971</v>
      </c>
      <c r="G76" s="38">
        <f>IF(LEFT($B76,4)="_Mil","",INDEX(Cascade!$U:$U,MATCH($E76,Cascade!$E:$E,0)))</f>
        <v>2712</v>
      </c>
      <c r="H76" s="110">
        <f>IF(LEFT($B76,4)="_Mil","",INDEX(Cascade!$W:$W,MATCH($E76,Cascade!$E:$E,0)))</f>
        <v>5.0250229E-2</v>
      </c>
      <c r="I76" s="38">
        <f>IF(LEFT($B76,4)="_Mil","",INDEX(Cascade!$Z:$Z,MATCH($E76,Cascade!$E:$E,0)))</f>
        <v>2342</v>
      </c>
      <c r="J76" s="33">
        <f>IF(LEFT($B76,4)="_Mil","",INDEX(Cascade!$AA:$AA,MATCH($E76,Cascade!$E:$E,0)))</f>
        <v>0.92420764700000013</v>
      </c>
      <c r="K76" s="38">
        <v>303</v>
      </c>
      <c r="L76" s="38">
        <v>1647</v>
      </c>
      <c r="M76" s="218">
        <f>IF(LEFT($B76,4)="_Mil","",IFERROR(1/(1/ROUND(INDEX(Spectrum!$N:$N,MATCH(RIGHT($B76,13)&amp;"|"&amp;$C76&amp;"|"&amp;$D76&amp;"|"&amp;M$14&amp;"|"&amp;"CY2024Q3",Spectrum!$R:$R,0)),0)),IF(SUM($L76)=0,"",$L76)))</f>
        <v>1647</v>
      </c>
      <c r="N76" s="218">
        <f>IF(LEFT($B76,4)="_Mil","",IFERROR(1/(1/ROUND(INDEX(Spectrum!$N:$N,MATCH(RIGHT($B76,13)&amp;"|"&amp;$C76&amp;"|"&amp;$D76&amp;"|"&amp;N$14&amp;"|"&amp;"CY2024Q3",Spectrum!$R:$R,0)),0)),IF(SUM($M76)=0,"",$M76)))</f>
        <v>35560</v>
      </c>
      <c r="O76" s="33">
        <f t="shared" si="16"/>
        <v>0.65887235737710992</v>
      </c>
      <c r="P76" s="33">
        <f t="shared" si="17"/>
        <v>0.8</v>
      </c>
      <c r="Q76" s="218">
        <f t="shared" si="18"/>
        <v>43177</v>
      </c>
      <c r="R76" s="218">
        <f t="shared" si="19"/>
        <v>7617</v>
      </c>
      <c r="S76" s="234">
        <v>0.19</v>
      </c>
      <c r="T76" s="33" t="str">
        <f t="shared" si="20"/>
        <v/>
      </c>
      <c r="U76" s="33">
        <v>0.16200000000000001</v>
      </c>
      <c r="V76" s="33">
        <v>0</v>
      </c>
      <c r="W76" s="33">
        <v>2.3E-2</v>
      </c>
      <c r="X76" s="236">
        <v>3.5000000000000001E-3</v>
      </c>
      <c r="Y76" s="38">
        <f t="shared" si="22"/>
        <v>1447</v>
      </c>
      <c r="Z76" s="218">
        <f t="shared" si="23"/>
        <v>0</v>
      </c>
      <c r="AA76" s="218">
        <f t="shared" si="24"/>
        <v>5</v>
      </c>
      <c r="AB76" s="218">
        <f t="shared" si="25"/>
        <v>1442</v>
      </c>
      <c r="AC76" s="38">
        <f>IFERROR(1/(1/INDEX(Cascade!$BH:$BH,MATCH($E76,Cascade!$E:$E,0))),"")</f>
        <v>46</v>
      </c>
      <c r="AD76" s="38">
        <f t="shared" si="26"/>
        <v>5</v>
      </c>
      <c r="AE76" s="38">
        <f>IFERROR(1/(1/INDEX(TB!$P:$P,MATCH($E76,TB!$E:$E,0))),"")</f>
        <v>3</v>
      </c>
      <c r="AF76" s="38">
        <f t="shared" si="27"/>
        <v>38</v>
      </c>
    </row>
    <row r="77" spans="1:32" x14ac:dyDescent="0.2">
      <c r="A77" t="str">
        <f>INDEX(Prioritization!$D:$D,MATCH($B77,Prioritization!$A:$A,0))</f>
        <v>INVALID</v>
      </c>
      <c r="B77" t="s">
        <v>319</v>
      </c>
      <c r="C77" t="s">
        <v>477</v>
      </c>
      <c r="D77" t="s">
        <v>48</v>
      </c>
      <c r="E77" t="str">
        <f t="shared" si="15"/>
        <v>Mulanje District [umc2n1Z4wNv]|35-49|Male</v>
      </c>
      <c r="F77" s="38">
        <f>IF(LEFT($B77,4)="_Mil","",INDEX(Cascade!$T:$T,MATCH($E77,Cascade!$E:$E,0)))</f>
        <v>50837</v>
      </c>
      <c r="G77" s="38">
        <f>IF(LEFT($B77,4)="_Mil","",INDEX(Cascade!$U:$U,MATCH($E77,Cascade!$E:$E,0)))</f>
        <v>9576</v>
      </c>
      <c r="H77" s="110">
        <f>IF(LEFT($B77,4)="_Mil","",INDEX(Cascade!$W:$W,MATCH($E77,Cascade!$E:$E,0)))</f>
        <v>0.18836955899999999</v>
      </c>
      <c r="I77" s="38">
        <f>IF(LEFT($B77,4)="_Mil","",INDEX(Cascade!$Z:$Z,MATCH($E77,Cascade!$E:$E,0)))</f>
        <v>8606</v>
      </c>
      <c r="J77" s="33">
        <f>IF(LEFT($B77,4)="_Mil","",INDEX(Cascade!$AA:$AA,MATCH($E77,Cascade!$E:$E,0)))</f>
        <v>0.9544250299999999</v>
      </c>
      <c r="K77" s="38">
        <v>148</v>
      </c>
      <c r="L77" s="38">
        <v>2643</v>
      </c>
      <c r="M77" s="218">
        <f>IF(LEFT($B77,4)="_Mil","",IFERROR(1/(1/ROUND(INDEX(Spectrum!$N:$N,MATCH(RIGHT($B77,13)&amp;"|"&amp;$C77&amp;"|"&amp;$D77&amp;"|"&amp;M$14&amp;"|"&amp;"CY2024Q3",Spectrum!$R:$R,0)),0)),IF(SUM($L77)=0,"",$L77)))</f>
        <v>2644</v>
      </c>
      <c r="N77" s="218">
        <f>IF(LEFT($B77,4)="_Mil","",IFERROR(1/(1/ROUND(INDEX(Spectrum!$N:$N,MATCH(RIGHT($B77,13)&amp;"|"&amp;$C77&amp;"|"&amp;$D77&amp;"|"&amp;N$14&amp;"|"&amp;"CY2024Q3",Spectrum!$R:$R,0)),0)),IF(SUM($M77)=0,"",$M77)))</f>
        <v>24974</v>
      </c>
      <c r="O77" s="33">
        <f t="shared" si="16"/>
        <v>0.4912563683930995</v>
      </c>
      <c r="P77" s="33">
        <f t="shared" si="17"/>
        <v>0.8</v>
      </c>
      <c r="Q77" s="218">
        <f t="shared" si="18"/>
        <v>40670</v>
      </c>
      <c r="R77" s="218">
        <f t="shared" si="19"/>
        <v>15696</v>
      </c>
      <c r="S77" s="234">
        <v>0.15</v>
      </c>
      <c r="T77" s="33" t="str">
        <f t="shared" si="20"/>
        <v/>
      </c>
      <c r="U77" s="33">
        <v>0.27</v>
      </c>
      <c r="V77" s="33">
        <v>0</v>
      </c>
      <c r="W77" s="33">
        <v>3.6999999999999998E-2</v>
      </c>
      <c r="X77" s="236">
        <v>3.5000000000000001E-3</v>
      </c>
      <c r="Y77" s="38">
        <f t="shared" si="22"/>
        <v>2354</v>
      </c>
      <c r="Z77" s="218">
        <f t="shared" si="23"/>
        <v>0</v>
      </c>
      <c r="AA77" s="218">
        <f t="shared" si="24"/>
        <v>8</v>
      </c>
      <c r="AB77" s="218">
        <f t="shared" si="25"/>
        <v>2346</v>
      </c>
      <c r="AC77" s="38">
        <f>IFERROR(1/(1/INDEX(Cascade!$BH:$BH,MATCH($E77,Cascade!$E:$E,0))),"")</f>
        <v>956.00000000000011</v>
      </c>
      <c r="AD77" s="38">
        <f t="shared" si="26"/>
        <v>8</v>
      </c>
      <c r="AE77" s="38">
        <f>IFERROR(1/(1/INDEX(TB!$P:$P,MATCH($E77,TB!$E:$E,0))),"")</f>
        <v>4</v>
      </c>
      <c r="AF77" s="38">
        <f t="shared" si="27"/>
        <v>944.00000000000023</v>
      </c>
    </row>
    <row r="78" spans="1:32" x14ac:dyDescent="0.2">
      <c r="A78" t="str">
        <f>INDEX(Prioritization!$D:$D,MATCH($B78,Prioritization!$A:$A,0))</f>
        <v>INVALID</v>
      </c>
      <c r="B78" t="s">
        <v>319</v>
      </c>
      <c r="C78" t="s">
        <v>478</v>
      </c>
      <c r="D78" t="s">
        <v>48</v>
      </c>
      <c r="E78" t="str">
        <f t="shared" si="15"/>
        <v>Mulanje District [umc2n1Z4wNv]|50+|Male</v>
      </c>
      <c r="F78" s="38">
        <f>IF(LEFT($B78,4)="_Mil","",INDEX(Cascade!$T:$T,MATCH($E78,Cascade!$E:$E,0)))</f>
        <v>27939</v>
      </c>
      <c r="G78" s="38">
        <f>IF(LEFT($B78,4)="_Mil","",INDEX(Cascade!$U:$U,MATCH($E78,Cascade!$E:$E,0)))</f>
        <v>6670</v>
      </c>
      <c r="H78" s="110">
        <f>IF(LEFT($B78,4)="_Mil","",INDEX(Cascade!$W:$W,MATCH($E78,Cascade!$E:$E,0)))</f>
        <v>0.238734164</v>
      </c>
      <c r="I78" s="38">
        <f>IF(LEFT($B78,4)="_Mil","",INDEX(Cascade!$Z:$Z,MATCH($E78,Cascade!$E:$E,0)))</f>
        <v>6141</v>
      </c>
      <c r="J78" s="33">
        <f>IF(LEFT($B78,4)="_Mil","",INDEX(Cascade!$AA:$AA,MATCH($E78,Cascade!$E:$E,0)))</f>
        <v>0.96930602599999993</v>
      </c>
      <c r="K78" s="38">
        <v>15</v>
      </c>
      <c r="L78" s="38">
        <v>0</v>
      </c>
      <c r="M78" s="218" t="str">
        <f>IF(LEFT($B78,4)="_Mil","",IFERROR(1/(1/ROUND(INDEX(Spectrum!$N:$N,MATCH(RIGHT($B78,13)&amp;"|"&amp;$C78&amp;"|"&amp;$D78&amp;"|"&amp;M$14&amp;"|"&amp;"CY2024Q3",Spectrum!$R:$R,0)),0)),IF(SUM($L78)=0,"",$L78)))</f>
        <v/>
      </c>
      <c r="N78" s="218">
        <f>IF(LEFT($B78,4)="_Mil","",IFERROR(1/(1/ROUND(INDEX(Spectrum!$N:$N,MATCH(RIGHT($B78,13)&amp;"|"&amp;$C78&amp;"|"&amp;$D78&amp;"|"&amp;N$14&amp;"|"&amp;"CY2024Q3",Spectrum!$R:$R,0)),0)),IF(SUM($M78)=0,"",$M78)))</f>
        <v>6611.9999999999991</v>
      </c>
      <c r="O78" s="33">
        <f t="shared" si="16"/>
        <v>0.23665843444647264</v>
      </c>
      <c r="P78" s="33">
        <f t="shared" si="17"/>
        <v>0.8</v>
      </c>
      <c r="Q78" s="218">
        <f t="shared" si="18"/>
        <v>22351</v>
      </c>
      <c r="R78" s="218">
        <f t="shared" si="19"/>
        <v>15739</v>
      </c>
      <c r="S78" s="33">
        <v>0</v>
      </c>
      <c r="T78" s="33" t="str">
        <f t="shared" si="20"/>
        <v/>
      </c>
      <c r="U78" s="33">
        <v>0.214</v>
      </c>
      <c r="V78" s="33">
        <v>0</v>
      </c>
      <c r="W78" s="33">
        <v>9.0999999999999998E-2</v>
      </c>
      <c r="X78" s="236">
        <v>3.5000000000000001E-3</v>
      </c>
      <c r="Y78" s="38">
        <f t="shared" si="22"/>
        <v>0</v>
      </c>
      <c r="Z78" s="218" t="str">
        <f t="shared" si="23"/>
        <v/>
      </c>
      <c r="AA78" s="218" t="str">
        <f t="shared" si="24"/>
        <v/>
      </c>
      <c r="AB78" s="218" t="str">
        <f t="shared" si="25"/>
        <v/>
      </c>
      <c r="AC78" s="38">
        <f>IFERROR(1/(1/INDEX(Cascade!$BH:$BH,MATCH($E78,Cascade!$E:$E,0))),"")</f>
        <v>196.00000000000003</v>
      </c>
      <c r="AD78" s="38" t="str">
        <f t="shared" si="26"/>
        <v/>
      </c>
      <c r="AE78" s="38">
        <f>IFERROR(1/(1/INDEX(TB!$P:$P,MATCH($E78,TB!$E:$E,0))),"")</f>
        <v>1</v>
      </c>
      <c r="AF78" s="38">
        <f t="shared" si="27"/>
        <v>195.00000000000003</v>
      </c>
    </row>
    <row r="79" spans="1:32" x14ac:dyDescent="0.2">
      <c r="A79" t="str">
        <f>INDEX(Prioritization!$D:$D,MATCH($B79,Prioritization!$A:$A,0))</f>
        <v>4 - Sustained</v>
      </c>
      <c r="B79" t="s">
        <v>320</v>
      </c>
      <c r="C79" t="s">
        <v>475</v>
      </c>
      <c r="D79" t="s">
        <v>48</v>
      </c>
      <c r="E79" t="str">
        <f t="shared" ref="E79:E110" si="29">B79&amp;"|"&amp;C79&amp;"|"&amp;D79</f>
        <v>Mwanza District [wNqJp8oRIcF]|15-24|Male</v>
      </c>
      <c r="F79" s="38">
        <f>IF(LEFT($B79,4)="_Mil","",INDEX(Cascade!$T:$T,MATCH($E79,Cascade!$E:$E,0)))</f>
        <v>18857</v>
      </c>
      <c r="G79" s="38">
        <f>IF(LEFT($B79,4)="_Mil","",INDEX(Cascade!$U:$U,MATCH($E79,Cascade!$E:$E,0)))</f>
        <v>232</v>
      </c>
      <c r="H79" s="110">
        <f>IF(LEFT($B79,4)="_Mil","",INDEX(Cascade!$W:$W,MATCH($E79,Cascade!$E:$E,0)))</f>
        <v>1.2285348E-2</v>
      </c>
      <c r="I79" s="38">
        <f>IF(LEFT($B79,4)="_Mil","",INDEX(Cascade!$Z:$Z,MATCH($E79,Cascade!$E:$E,0)))</f>
        <v>263</v>
      </c>
      <c r="J79" s="33">
        <f>IF(LEFT($B79,4)="_Mil","",INDEX(Cascade!$AA:$AA,MATCH($E79,Cascade!$E:$E,0)))</f>
        <v>0.88483243499999997</v>
      </c>
      <c r="K79" s="38"/>
      <c r="L79" s="38">
        <v>0</v>
      </c>
      <c r="M79" s="218" t="str">
        <f>IF(LEFT($B79,4)="_Mil","",IFERROR(1/(1/ROUND(INDEX(Spectrum!$N:$N,MATCH(RIGHT($B79,13)&amp;"|"&amp;$C79&amp;"|"&amp;$D79&amp;"|"&amp;M$14&amp;"|"&amp;"CY2024Q3",Spectrum!$R:$R,0)),0)),IF(SUM($L79)=0,"",$L79)))</f>
        <v/>
      </c>
      <c r="N79" s="218">
        <f>IF(LEFT($B79,4)="_Mil","",IFERROR(1/(1/ROUND(INDEX(Spectrum!$N:$N,MATCH(RIGHT($B79,13)&amp;"|"&amp;$C79&amp;"|"&amp;$D79&amp;"|"&amp;N$14&amp;"|"&amp;"CY2024Q3",Spectrum!$R:$R,0)),0)),IF(SUM($M79)=0,"",$M79)))</f>
        <v>2747</v>
      </c>
      <c r="O79" s="33">
        <f t="shared" ref="O79:O110" si="30">IF(OR(LEFT($B79,4)="_Mil",SUM($F79)=0),"",SUM($N79)/$F79)</f>
        <v>0.14567534602534868</v>
      </c>
      <c r="P79" s="33">
        <f t="shared" ref="P79:P110" si="31">IF(OR(LEFT($B79,4)="_Mil",SUM($F79)=0),"",MAX(SUM($O79),80%))</f>
        <v>0.8</v>
      </c>
      <c r="Q79" s="218">
        <f t="shared" ref="Q79:Q110" si="32">IF(OR(LEFT($B79,4)="_Mil",SUM($F79)=0),"",ROUND(SUM($F79)*$P79,0))</f>
        <v>15086</v>
      </c>
      <c r="R79" s="218">
        <f t="shared" ref="R79:R110" si="33">IF(OR(LEFT($B79,4)="_Mil",SUM($Q79)=0),"",ROUND(MAX($Q79-SUM($N79),0),0))</f>
        <v>12339</v>
      </c>
      <c r="S79" s="33">
        <v>0</v>
      </c>
      <c r="T79" s="33" t="str">
        <f t="shared" ref="T79:T110" si="34">IF(LEFT($B79,4)="_Mil",0,"")</f>
        <v/>
      </c>
      <c r="U79" s="33"/>
      <c r="V79" s="33" t="str">
        <f t="shared" ref="V79:V110" si="35">IF($U79="","",$U79)</f>
        <v/>
      </c>
      <c r="W79" s="33"/>
      <c r="X79" s="236">
        <v>3.5000000000000001E-3</v>
      </c>
      <c r="Y79" s="38">
        <f t="shared" ref="Y79:Y110" si="36">IF(LEFT($B79,4)="_Mil",IF(SUM($L79)=0,"",ROUND($L79*(1+$T79),0)),IF(SUM($R79)=0,"",IF($S79="","ENTER IN COL S",ROUND($R79*$S79,0))))</f>
        <v>0</v>
      </c>
      <c r="Z79" s="218" t="str">
        <f t="shared" ref="Z79:Z110" si="37">IF(SUM($Y79)=0,"",IF(AND(SUM($Y79)&gt;0,$V79=""),"ENTER INDETERMINATE RATE",ROUND($Y79*$V79,0)))</f>
        <v/>
      </c>
      <c r="AA79" s="218" t="str">
        <f t="shared" ref="AA79:AA110" si="38">IF(SUM($Y79)=0,"",IF(AND(($Y79-SUM($Z79))&gt;0,$X79=""),"ENTER YIELD RATE",ROUND(($Y79-SUM($Z79))*SUM($X79),0)))</f>
        <v/>
      </c>
      <c r="AB79" s="218" t="str">
        <f t="shared" ref="AB79:AB110" si="39">IF(SUM($Y79)=0,"",$Y79-SUM($Z79)-SUM($AA79))</f>
        <v/>
      </c>
      <c r="AC79" s="38">
        <f>IFERROR(1/(1/INDEX(Cascade!$BH:$BH,MATCH($E79,Cascade!$E:$E,0))),"")</f>
        <v>44</v>
      </c>
      <c r="AD79" s="38" t="str">
        <f t="shared" ref="AD79:AD110" si="40">IF(SUM($AA79)=0,"",$AA79)</f>
        <v/>
      </c>
      <c r="AE79" s="38">
        <f>IFERROR(1/(1/INDEX(TB!$P:$P,MATCH($E79,TB!$E:$E,0))),"")</f>
        <v>2</v>
      </c>
      <c r="AF79" s="38">
        <f t="shared" ref="AF79:AF110" si="41">IFERROR(1/(1/(SUM($AC79)-SUM($AD79:$AE79))),"")</f>
        <v>42</v>
      </c>
    </row>
    <row r="80" spans="1:32" x14ac:dyDescent="0.2">
      <c r="A80" t="str">
        <f>INDEX(Prioritization!$D:$D,MATCH($B80,Prioritization!$A:$A,0))</f>
        <v>4 - Sustained</v>
      </c>
      <c r="B80" t="s">
        <v>320</v>
      </c>
      <c r="C80" t="s">
        <v>476</v>
      </c>
      <c r="D80" t="s">
        <v>48</v>
      </c>
      <c r="E80" t="str">
        <f t="shared" si="29"/>
        <v>Mwanza District [wNqJp8oRIcF]|25-34|Male</v>
      </c>
      <c r="F80" s="38">
        <f>IF(LEFT($B80,4)="_Mil","",INDEX(Cascade!$T:$T,MATCH($E80,Cascade!$E:$E,0)))</f>
        <v>12179</v>
      </c>
      <c r="G80" s="38">
        <f>IF(LEFT($B80,4)="_Mil","",INDEX(Cascade!$U:$U,MATCH($E80,Cascade!$E:$E,0)))</f>
        <v>323</v>
      </c>
      <c r="H80" s="110">
        <f>IF(LEFT($B80,4)="_Mil","",INDEX(Cascade!$W:$W,MATCH($E80,Cascade!$E:$E,0)))</f>
        <v>2.6507598E-2</v>
      </c>
      <c r="I80" s="38">
        <f>IF(LEFT($B80,4)="_Mil","",INDEX(Cascade!$Z:$Z,MATCH($E80,Cascade!$E:$E,0)))</f>
        <v>350</v>
      </c>
      <c r="J80" s="33">
        <f>IF(LEFT($B80,4)="_Mil","",INDEX(Cascade!$AA:$AA,MATCH($E80,Cascade!$E:$E,0)))</f>
        <v>0.851851421</v>
      </c>
      <c r="K80" s="38"/>
      <c r="L80" s="38">
        <v>0</v>
      </c>
      <c r="M80" s="218" t="str">
        <f>IF(LEFT($B80,4)="_Mil","",IFERROR(1/(1/ROUND(INDEX(Spectrum!$N:$N,MATCH(RIGHT($B80,13)&amp;"|"&amp;$C80&amp;"|"&amp;$D80&amp;"|"&amp;M$14&amp;"|"&amp;"CY2024Q3",Spectrum!$R:$R,0)),0)),IF(SUM($L80)=0,"",$L80)))</f>
        <v/>
      </c>
      <c r="N80" s="218">
        <f>IF(LEFT($B80,4)="_Mil","",IFERROR(1/(1/ROUND(INDEX(Spectrum!$N:$N,MATCH(RIGHT($B80,13)&amp;"|"&amp;$C80&amp;"|"&amp;$D80&amp;"|"&amp;N$14&amp;"|"&amp;"CY2024Q3",Spectrum!$R:$R,0)),0)),IF(SUM($M80)=0,"",$M80)))</f>
        <v>2600</v>
      </c>
      <c r="O80" s="33">
        <f t="shared" si="30"/>
        <v>0.2134822234994663</v>
      </c>
      <c r="P80" s="33">
        <f t="shared" si="31"/>
        <v>0.8</v>
      </c>
      <c r="Q80" s="218">
        <f t="shared" si="32"/>
        <v>9743</v>
      </c>
      <c r="R80" s="218">
        <f t="shared" si="33"/>
        <v>7143</v>
      </c>
      <c r="S80" s="33">
        <v>0</v>
      </c>
      <c r="T80" s="33" t="str">
        <f t="shared" si="34"/>
        <v/>
      </c>
      <c r="U80" s="33"/>
      <c r="V80" s="33" t="str">
        <f t="shared" si="35"/>
        <v/>
      </c>
      <c r="W80" s="33"/>
      <c r="X80" s="236">
        <v>3.5000000000000001E-3</v>
      </c>
      <c r="Y80" s="38">
        <f t="shared" si="36"/>
        <v>0</v>
      </c>
      <c r="Z80" s="218" t="str">
        <f t="shared" si="37"/>
        <v/>
      </c>
      <c r="AA80" s="218" t="str">
        <f t="shared" si="38"/>
        <v/>
      </c>
      <c r="AB80" s="218" t="str">
        <f t="shared" si="39"/>
        <v/>
      </c>
      <c r="AC80" s="38">
        <f>IFERROR(1/(1/INDEX(Cascade!$BH:$BH,MATCH($E80,Cascade!$E:$E,0))),"")</f>
        <v>46</v>
      </c>
      <c r="AD80" s="38" t="str">
        <f t="shared" si="40"/>
        <v/>
      </c>
      <c r="AE80" s="38">
        <f>IFERROR(1/(1/INDEX(TB!$P:$P,MATCH($E80,TB!$E:$E,0))),"")</f>
        <v>2</v>
      </c>
      <c r="AF80" s="38">
        <f t="shared" si="41"/>
        <v>44</v>
      </c>
    </row>
    <row r="81" spans="1:32" x14ac:dyDescent="0.2">
      <c r="A81" t="str">
        <f>INDEX(Prioritization!$D:$D,MATCH($B81,Prioritization!$A:$A,0))</f>
        <v>4 - Sustained</v>
      </c>
      <c r="B81" t="s">
        <v>320</v>
      </c>
      <c r="C81" t="s">
        <v>477</v>
      </c>
      <c r="D81" t="s">
        <v>48</v>
      </c>
      <c r="E81" t="str">
        <f t="shared" si="29"/>
        <v>Mwanza District [wNqJp8oRIcF]|35-49|Male</v>
      </c>
      <c r="F81" s="38">
        <f>IF(LEFT($B81,4)="_Mil","",INDEX(Cascade!$T:$T,MATCH($E81,Cascade!$E:$E,0)))</f>
        <v>10745</v>
      </c>
      <c r="G81" s="38">
        <f>IF(LEFT($B81,4)="_Mil","",INDEX(Cascade!$U:$U,MATCH($E81,Cascade!$E:$E,0)))</f>
        <v>1130</v>
      </c>
      <c r="H81" s="110">
        <f>IF(LEFT($B81,4)="_Mil","",INDEX(Cascade!$W:$W,MATCH($E81,Cascade!$E:$E,0)))</f>
        <v>0.105198074</v>
      </c>
      <c r="I81" s="38">
        <f>IF(LEFT($B81,4)="_Mil","",INDEX(Cascade!$Z:$Z,MATCH($E81,Cascade!$E:$E,0)))</f>
        <v>1307</v>
      </c>
      <c r="J81" s="33">
        <f>IF(LEFT($B81,4)="_Mil","",INDEX(Cascade!$AA:$AA,MATCH($E81,Cascade!$E:$E,0)))</f>
        <v>0.90792339799999988</v>
      </c>
      <c r="K81" s="38"/>
      <c r="L81" s="38">
        <v>0</v>
      </c>
      <c r="M81" s="218" t="str">
        <f>IF(LEFT($B81,4)="_Mil","",IFERROR(1/(1/ROUND(INDEX(Spectrum!$N:$N,MATCH(RIGHT($B81,13)&amp;"|"&amp;$C81&amp;"|"&amp;$D81&amp;"|"&amp;M$14&amp;"|"&amp;"CY2024Q3",Spectrum!$R:$R,0)),0)),IF(SUM($L81)=0,"",$L81)))</f>
        <v/>
      </c>
      <c r="N81" s="218">
        <f>IF(LEFT($B81,4)="_Mil","",IFERROR(1/(1/ROUND(INDEX(Spectrum!$N:$N,MATCH(RIGHT($B81,13)&amp;"|"&amp;$C81&amp;"|"&amp;$D81&amp;"|"&amp;N$14&amp;"|"&amp;"CY2024Q3",Spectrum!$R:$R,0)),0)),IF(SUM($M81)=0,"",$M81)))</f>
        <v>1643</v>
      </c>
      <c r="O81" s="33">
        <f t="shared" si="30"/>
        <v>0.15290832945556074</v>
      </c>
      <c r="P81" s="33">
        <f t="shared" si="31"/>
        <v>0.8</v>
      </c>
      <c r="Q81" s="218">
        <f t="shared" si="32"/>
        <v>8596</v>
      </c>
      <c r="R81" s="218">
        <f t="shared" si="33"/>
        <v>6953</v>
      </c>
      <c r="S81" s="33">
        <v>0</v>
      </c>
      <c r="T81" s="33" t="str">
        <f t="shared" si="34"/>
        <v/>
      </c>
      <c r="U81" s="33"/>
      <c r="V81" s="33" t="str">
        <f t="shared" si="35"/>
        <v/>
      </c>
      <c r="W81" s="33"/>
      <c r="X81" s="236">
        <v>3.5000000000000001E-3</v>
      </c>
      <c r="Y81" s="38">
        <f t="shared" si="36"/>
        <v>0</v>
      </c>
      <c r="Z81" s="218" t="str">
        <f t="shared" si="37"/>
        <v/>
      </c>
      <c r="AA81" s="218" t="str">
        <f t="shared" si="38"/>
        <v/>
      </c>
      <c r="AB81" s="218" t="str">
        <f t="shared" si="39"/>
        <v/>
      </c>
      <c r="AC81" s="38">
        <f>IFERROR(1/(1/INDEX(Cascade!$BH:$BH,MATCH($E81,Cascade!$E:$E,0))),"")</f>
        <v>164</v>
      </c>
      <c r="AD81" s="38" t="str">
        <f t="shared" si="40"/>
        <v/>
      </c>
      <c r="AE81" s="38">
        <f>IFERROR(1/(1/INDEX(TB!$P:$P,MATCH($E81,TB!$E:$E,0))),"")</f>
        <v>2</v>
      </c>
      <c r="AF81" s="38">
        <f t="shared" si="41"/>
        <v>162</v>
      </c>
    </row>
    <row r="82" spans="1:32" x14ac:dyDescent="0.2">
      <c r="A82" t="str">
        <f>INDEX(Prioritization!$D:$D,MATCH($B82,Prioritization!$A:$A,0))</f>
        <v>4 - Sustained</v>
      </c>
      <c r="B82" t="s">
        <v>320</v>
      </c>
      <c r="C82" t="s">
        <v>478</v>
      </c>
      <c r="D82" t="s">
        <v>48</v>
      </c>
      <c r="E82" t="str">
        <f t="shared" si="29"/>
        <v>Mwanza District [wNqJp8oRIcF]|50+|Male</v>
      </c>
      <c r="F82" s="38">
        <f>IF(LEFT($B82,4)="_Mil","",INDEX(Cascade!$T:$T,MATCH($E82,Cascade!$E:$E,0)))</f>
        <v>5143</v>
      </c>
      <c r="G82" s="38">
        <f>IF(LEFT($B82,4)="_Mil","",INDEX(Cascade!$U:$U,MATCH($E82,Cascade!$E:$E,0)))</f>
        <v>758</v>
      </c>
      <c r="H82" s="110">
        <f>IF(LEFT($B82,4)="_Mil","",INDEX(Cascade!$W:$W,MATCH($E82,Cascade!$E:$E,0)))</f>
        <v>0.147368692</v>
      </c>
      <c r="I82" s="38">
        <f>IF(LEFT($B82,4)="_Mil","",INDEX(Cascade!$Z:$Z,MATCH($E82,Cascade!$E:$E,0)))</f>
        <v>918</v>
      </c>
      <c r="J82" s="33">
        <f>IF(LEFT($B82,4)="_Mil","",INDEX(Cascade!$AA:$AA,MATCH($E82,Cascade!$E:$E,0)))</f>
        <v>0.9366095860000001</v>
      </c>
      <c r="K82" s="38"/>
      <c r="L82" s="38">
        <v>0</v>
      </c>
      <c r="M82" s="218" t="str">
        <f>IF(LEFT($B82,4)="_Mil","",IFERROR(1/(1/ROUND(INDEX(Spectrum!$N:$N,MATCH(RIGHT($B82,13)&amp;"|"&amp;$C82&amp;"|"&amp;$D82&amp;"|"&amp;M$14&amp;"|"&amp;"CY2024Q3",Spectrum!$R:$R,0)),0)),IF(SUM($L82)=0,"",$L82)))</f>
        <v/>
      </c>
      <c r="N82" s="218">
        <f>IF(LEFT($B82,4)="_Mil","",IFERROR(1/(1/ROUND(INDEX(Spectrum!$N:$N,MATCH(RIGHT($B82,13)&amp;"|"&amp;$C82&amp;"|"&amp;$D82&amp;"|"&amp;N$14&amp;"|"&amp;"CY2024Q3",Spectrum!$R:$R,0)),0)),IF(SUM($M82)=0,"",$M82)))</f>
        <v>444.99999999999994</v>
      </c>
      <c r="O82" s="33">
        <f t="shared" si="30"/>
        <v>8.6525374295158455E-2</v>
      </c>
      <c r="P82" s="33">
        <f t="shared" si="31"/>
        <v>0.8</v>
      </c>
      <c r="Q82" s="218">
        <f t="shared" si="32"/>
        <v>4114</v>
      </c>
      <c r="R82" s="218">
        <f t="shared" si="33"/>
        <v>3669</v>
      </c>
      <c r="S82" s="33">
        <v>0</v>
      </c>
      <c r="T82" s="33" t="str">
        <f t="shared" si="34"/>
        <v/>
      </c>
      <c r="U82" s="33"/>
      <c r="V82" s="33" t="str">
        <f t="shared" si="35"/>
        <v/>
      </c>
      <c r="W82" s="33"/>
      <c r="X82" s="236">
        <v>3.5000000000000001E-3</v>
      </c>
      <c r="Y82" s="38">
        <f t="shared" si="36"/>
        <v>0</v>
      </c>
      <c r="Z82" s="218" t="str">
        <f t="shared" si="37"/>
        <v/>
      </c>
      <c r="AA82" s="218" t="str">
        <f t="shared" si="38"/>
        <v/>
      </c>
      <c r="AB82" s="218" t="str">
        <f t="shared" si="39"/>
        <v/>
      </c>
      <c r="AC82" s="38">
        <f>IFERROR(1/(1/INDEX(Cascade!$BH:$BH,MATCH($E82,Cascade!$E:$E,0))),"")</f>
        <v>44</v>
      </c>
      <c r="AD82" s="38" t="str">
        <f t="shared" si="40"/>
        <v/>
      </c>
      <c r="AE82" s="38">
        <f>IFERROR(1/(1/INDEX(TB!$P:$P,MATCH($E82,TB!$E:$E,0))),"")</f>
        <v>1</v>
      </c>
      <c r="AF82" s="38">
        <f t="shared" si="41"/>
        <v>43</v>
      </c>
    </row>
    <row r="83" spans="1:32" x14ac:dyDescent="0.2">
      <c r="A83" t="str">
        <f>INDEX(Prioritization!$D:$D,MATCH($B83,Prioritization!$A:$A,0))</f>
        <v>1 - Scale-up: Saturation</v>
      </c>
      <c r="B83" t="s">
        <v>310</v>
      </c>
      <c r="C83" t="s">
        <v>475</v>
      </c>
      <c r="D83" t="s">
        <v>48</v>
      </c>
      <c r="E83" t="str">
        <f t="shared" si="29"/>
        <v>Mzimba District [vA4NcHxfMBq]|15-24|Male</v>
      </c>
      <c r="F83" s="38">
        <f>IF(LEFT($B83,4)="_Mil","",INDEX(Cascade!$T:$T,MATCH($E83,Cascade!$E:$E,0)))</f>
        <v>152017</v>
      </c>
      <c r="G83" s="38">
        <f>IF(LEFT($B83,4)="_Mil","",INDEX(Cascade!$U:$U,MATCH($E83,Cascade!$E:$E,0)))</f>
        <v>1579</v>
      </c>
      <c r="H83" s="110">
        <f>IF(LEFT($B83,4)="_Mil","",INDEX(Cascade!$W:$W,MATCH($E83,Cascade!$E:$E,0)))</f>
        <v>1.0384226999999999E-2</v>
      </c>
      <c r="I83" s="38">
        <f>IF(LEFT($B83,4)="_Mil","",INDEX(Cascade!$Z:$Z,MATCH($E83,Cascade!$E:$E,0)))</f>
        <v>1478</v>
      </c>
      <c r="J83" s="33">
        <f>IF(LEFT($B83,4)="_Mil","",INDEX(Cascade!$AA:$AA,MATCH($E83,Cascade!$E:$E,0)))</f>
        <v>0.89525706800000004</v>
      </c>
      <c r="K83" s="38"/>
      <c r="L83" s="38">
        <v>0</v>
      </c>
      <c r="M83" s="218" t="str">
        <f>IF(LEFT($B83,4)="_Mil","",IFERROR(1/(1/ROUND(INDEX(Spectrum!$N:$N,MATCH(RIGHT($B83,13)&amp;"|"&amp;$C83&amp;"|"&amp;$D83&amp;"|"&amp;M$14&amp;"|"&amp;"CY2024Q3",Spectrum!$R:$R,0)),0)),IF(SUM($L83)=0,"",$L83)))</f>
        <v/>
      </c>
      <c r="N83" s="218">
        <f>IF(LEFT($B83,4)="_Mil","",IFERROR(1/(1/ROUND(INDEX(Spectrum!$N:$N,MATCH(RIGHT($B83,13)&amp;"|"&amp;$C83&amp;"|"&amp;$D83&amp;"|"&amp;N$14&amp;"|"&amp;"CY2024Q3",Spectrum!$R:$R,0)),0)),IF(SUM($M83)=0,"",$M83)))</f>
        <v>14821.999999999998</v>
      </c>
      <c r="O83" s="33">
        <f t="shared" si="30"/>
        <v>9.7502253037489217E-2</v>
      </c>
      <c r="P83" s="33">
        <f t="shared" si="31"/>
        <v>0.8</v>
      </c>
      <c r="Q83" s="218">
        <f t="shared" si="32"/>
        <v>121614</v>
      </c>
      <c r="R83" s="218">
        <f t="shared" si="33"/>
        <v>106792</v>
      </c>
      <c r="S83" s="33">
        <v>0</v>
      </c>
      <c r="T83" s="33" t="str">
        <f t="shared" si="34"/>
        <v/>
      </c>
      <c r="U83" s="33"/>
      <c r="V83" s="33" t="str">
        <f t="shared" si="35"/>
        <v/>
      </c>
      <c r="W83" s="33"/>
      <c r="X83" s="236">
        <v>3.5000000000000001E-3</v>
      </c>
      <c r="Y83" s="38">
        <f t="shared" si="36"/>
        <v>0</v>
      </c>
      <c r="Z83" s="218" t="str">
        <f t="shared" si="37"/>
        <v/>
      </c>
      <c r="AA83" s="218" t="str">
        <f t="shared" si="38"/>
        <v/>
      </c>
      <c r="AB83" s="218" t="str">
        <f t="shared" si="39"/>
        <v/>
      </c>
      <c r="AC83" s="38">
        <f>IFERROR(1/(1/INDEX(Cascade!$BH:$BH,MATCH($E83,Cascade!$E:$E,0))),"")</f>
        <v>104</v>
      </c>
      <c r="AD83" s="38" t="str">
        <f t="shared" si="40"/>
        <v/>
      </c>
      <c r="AE83" s="38">
        <f>IFERROR(1/(1/INDEX(TB!$P:$P,MATCH($E83,TB!$E:$E,0))),"")</f>
        <v>7</v>
      </c>
      <c r="AF83" s="38">
        <f t="shared" si="41"/>
        <v>97</v>
      </c>
    </row>
    <row r="84" spans="1:32" x14ac:dyDescent="0.2">
      <c r="A84" t="str">
        <f>INDEX(Prioritization!$D:$D,MATCH($B84,Prioritization!$A:$A,0))</f>
        <v>1 - Scale-up: Saturation</v>
      </c>
      <c r="B84" t="s">
        <v>310</v>
      </c>
      <c r="C84" t="s">
        <v>476</v>
      </c>
      <c r="D84" t="s">
        <v>48</v>
      </c>
      <c r="E84" t="str">
        <f t="shared" si="29"/>
        <v>Mzimba District [vA4NcHxfMBq]|25-34|Male</v>
      </c>
      <c r="F84" s="38">
        <f>IF(LEFT($B84,4)="_Mil","",INDEX(Cascade!$T:$T,MATCH($E84,Cascade!$E:$E,0)))</f>
        <v>100517</v>
      </c>
      <c r="G84" s="38">
        <f>IF(LEFT($B84,4)="_Mil","",INDEX(Cascade!$U:$U,MATCH($E84,Cascade!$E:$E,0)))</f>
        <v>2388</v>
      </c>
      <c r="H84" s="110">
        <f>IF(LEFT($B84,4)="_Mil","",INDEX(Cascade!$W:$W,MATCH($E84,Cascade!$E:$E,0)))</f>
        <v>2.3757133E-2</v>
      </c>
      <c r="I84" s="38">
        <f>IF(LEFT($B84,4)="_Mil","",INDEX(Cascade!$Z:$Z,MATCH($E84,Cascade!$E:$E,0)))</f>
        <v>2156</v>
      </c>
      <c r="J84" s="33">
        <f>IF(LEFT($B84,4)="_Mil","",INDEX(Cascade!$AA:$AA,MATCH($E84,Cascade!$E:$E,0)))</f>
        <v>0.86840037299999995</v>
      </c>
      <c r="K84" s="38"/>
      <c r="L84" s="38">
        <v>0</v>
      </c>
      <c r="M84" s="218" t="str">
        <f>IF(LEFT($B84,4)="_Mil","",IFERROR(1/(1/ROUND(INDEX(Spectrum!$N:$N,MATCH(RIGHT($B84,13)&amp;"|"&amp;$C84&amp;"|"&amp;$D84&amp;"|"&amp;M$14&amp;"|"&amp;"CY2024Q3",Spectrum!$R:$R,0)),0)),IF(SUM($L84)=0,"",$L84)))</f>
        <v/>
      </c>
      <c r="N84" s="218">
        <f>IF(LEFT($B84,4)="_Mil","",IFERROR(1/(1/ROUND(INDEX(Spectrum!$N:$N,MATCH(RIGHT($B84,13)&amp;"|"&amp;$C84&amp;"|"&amp;$D84&amp;"|"&amp;N$14&amp;"|"&amp;"CY2024Q3",Spectrum!$R:$R,0)),0)),IF(SUM($M84)=0,"",$M84)))</f>
        <v>14233</v>
      </c>
      <c r="O84" s="33">
        <f t="shared" si="30"/>
        <v>0.14159793865714257</v>
      </c>
      <c r="P84" s="33">
        <f t="shared" si="31"/>
        <v>0.8</v>
      </c>
      <c r="Q84" s="218">
        <f t="shared" si="32"/>
        <v>80414</v>
      </c>
      <c r="R84" s="218">
        <f t="shared" si="33"/>
        <v>66181</v>
      </c>
      <c r="S84" s="33">
        <v>0</v>
      </c>
      <c r="T84" s="33" t="str">
        <f t="shared" si="34"/>
        <v/>
      </c>
      <c r="U84" s="33"/>
      <c r="V84" s="33" t="str">
        <f t="shared" si="35"/>
        <v/>
      </c>
      <c r="W84" s="33"/>
      <c r="X84" s="236">
        <v>3.5000000000000001E-3</v>
      </c>
      <c r="Y84" s="38">
        <f t="shared" si="36"/>
        <v>0</v>
      </c>
      <c r="Z84" s="218" t="str">
        <f t="shared" si="37"/>
        <v/>
      </c>
      <c r="AA84" s="218" t="str">
        <f t="shared" si="38"/>
        <v/>
      </c>
      <c r="AB84" s="218" t="str">
        <f t="shared" si="39"/>
        <v/>
      </c>
      <c r="AC84" s="38">
        <f>IFERROR(1/(1/INDEX(Cascade!$BH:$BH,MATCH($E84,Cascade!$E:$E,0))),"")</f>
        <v>48</v>
      </c>
      <c r="AD84" s="38" t="str">
        <f t="shared" si="40"/>
        <v/>
      </c>
      <c r="AE84" s="38">
        <f>IFERROR(1/(1/INDEX(TB!$P:$P,MATCH($E84,TB!$E:$E,0))),"")</f>
        <v>7</v>
      </c>
      <c r="AF84" s="38">
        <f t="shared" si="41"/>
        <v>41</v>
      </c>
    </row>
    <row r="85" spans="1:32" x14ac:dyDescent="0.2">
      <c r="A85" t="str">
        <f>INDEX(Prioritization!$D:$D,MATCH($B85,Prioritization!$A:$A,0))</f>
        <v>1 - Scale-up: Saturation</v>
      </c>
      <c r="B85" t="s">
        <v>310</v>
      </c>
      <c r="C85" t="s">
        <v>477</v>
      </c>
      <c r="D85" t="s">
        <v>48</v>
      </c>
      <c r="E85" t="str">
        <f t="shared" si="29"/>
        <v>Mzimba District [vA4NcHxfMBq]|35-49|Male</v>
      </c>
      <c r="F85" s="38">
        <f>IF(LEFT($B85,4)="_Mil","",INDEX(Cascade!$T:$T,MATCH($E85,Cascade!$E:$E,0)))</f>
        <v>94814</v>
      </c>
      <c r="G85" s="38">
        <f>IF(LEFT($B85,4)="_Mil","",INDEX(Cascade!$U:$U,MATCH($E85,Cascade!$E:$E,0)))</f>
        <v>8895</v>
      </c>
      <c r="H85" s="110">
        <f>IF(LEFT($B85,4)="_Mil","",INDEX(Cascade!$W:$W,MATCH($E85,Cascade!$E:$E,0)))</f>
        <v>9.3812175999999997E-2</v>
      </c>
      <c r="I85" s="38">
        <f>IF(LEFT($B85,4)="_Mil","",INDEX(Cascade!$Z:$Z,MATCH($E85,Cascade!$E:$E,0)))</f>
        <v>8451</v>
      </c>
      <c r="J85" s="33">
        <f>IF(LEFT($B85,4)="_Mil","",INDEX(Cascade!$AA:$AA,MATCH($E85,Cascade!$E:$E,0)))</f>
        <v>0.91850760099999995</v>
      </c>
      <c r="K85" s="38"/>
      <c r="L85" s="38">
        <v>0</v>
      </c>
      <c r="M85" s="218" t="str">
        <f>IF(LEFT($B85,4)="_Mil","",IFERROR(1/(1/ROUND(INDEX(Spectrum!$N:$N,MATCH(RIGHT($B85,13)&amp;"|"&amp;$C85&amp;"|"&amp;$D85&amp;"|"&amp;M$14&amp;"|"&amp;"CY2024Q3",Spectrum!$R:$R,0)),0)),IF(SUM($L85)=0,"",$L85)))</f>
        <v/>
      </c>
      <c r="N85" s="218">
        <f>IF(LEFT($B85,4)="_Mil","",IFERROR(1/(1/ROUND(INDEX(Spectrum!$N:$N,MATCH(RIGHT($B85,13)&amp;"|"&amp;$C85&amp;"|"&amp;$D85&amp;"|"&amp;N$14&amp;"|"&amp;"CY2024Q3",Spectrum!$R:$R,0)),0)),IF(SUM($M85)=0,"",$M85)))</f>
        <v>10130</v>
      </c>
      <c r="O85" s="33">
        <f t="shared" si="30"/>
        <v>0.10684076191279769</v>
      </c>
      <c r="P85" s="33">
        <f t="shared" si="31"/>
        <v>0.8</v>
      </c>
      <c r="Q85" s="218">
        <f t="shared" si="32"/>
        <v>75851</v>
      </c>
      <c r="R85" s="218">
        <f t="shared" si="33"/>
        <v>65721</v>
      </c>
      <c r="S85" s="33">
        <v>0</v>
      </c>
      <c r="T85" s="33" t="str">
        <f t="shared" si="34"/>
        <v/>
      </c>
      <c r="U85" s="33"/>
      <c r="V85" s="33" t="str">
        <f t="shared" si="35"/>
        <v/>
      </c>
      <c r="W85" s="33"/>
      <c r="X85" s="236">
        <v>3.5000000000000001E-3</v>
      </c>
      <c r="Y85" s="38">
        <f t="shared" si="36"/>
        <v>0</v>
      </c>
      <c r="Z85" s="218" t="str">
        <f t="shared" si="37"/>
        <v/>
      </c>
      <c r="AA85" s="218" t="str">
        <f t="shared" si="38"/>
        <v/>
      </c>
      <c r="AB85" s="218" t="str">
        <f t="shared" si="39"/>
        <v/>
      </c>
      <c r="AC85" s="38">
        <f>IFERROR(1/(1/INDEX(Cascade!$BH:$BH,MATCH($E85,Cascade!$E:$E,0))),"")</f>
        <v>188</v>
      </c>
      <c r="AD85" s="38" t="str">
        <f t="shared" si="40"/>
        <v/>
      </c>
      <c r="AE85" s="38">
        <f>IFERROR(1/(1/INDEX(TB!$P:$P,MATCH($E85,TB!$E:$E,0))),"")</f>
        <v>10</v>
      </c>
      <c r="AF85" s="38">
        <f t="shared" si="41"/>
        <v>178</v>
      </c>
    </row>
    <row r="86" spans="1:32" x14ac:dyDescent="0.2">
      <c r="A86" t="str">
        <f>INDEX(Prioritization!$D:$D,MATCH($B86,Prioritization!$A:$A,0))</f>
        <v>1 - Scale-up: Saturation</v>
      </c>
      <c r="B86" t="s">
        <v>310</v>
      </c>
      <c r="C86" t="s">
        <v>478</v>
      </c>
      <c r="D86" t="s">
        <v>48</v>
      </c>
      <c r="E86" t="str">
        <f t="shared" si="29"/>
        <v>Mzimba District [vA4NcHxfMBq]|50+|Male</v>
      </c>
      <c r="F86" s="38">
        <f>IF(LEFT($B86,4)="_Mil","",INDEX(Cascade!$T:$T,MATCH($E86,Cascade!$E:$E,0)))</f>
        <v>54702</v>
      </c>
      <c r="G86" s="38">
        <f>IF(LEFT($B86,4)="_Mil","",INDEX(Cascade!$U:$U,MATCH($E86,Cascade!$E:$E,0)))</f>
        <v>6219</v>
      </c>
      <c r="H86" s="110">
        <f>IF(LEFT($B86,4)="_Mil","",INDEX(Cascade!$W:$W,MATCH($E86,Cascade!$E:$E,0)))</f>
        <v>0.113678979</v>
      </c>
      <c r="I86" s="38">
        <f>IF(LEFT($B86,4)="_Mil","",INDEX(Cascade!$Z:$Z,MATCH($E86,Cascade!$E:$E,0)))</f>
        <v>6076</v>
      </c>
      <c r="J86" s="33">
        <f>IF(LEFT($B86,4)="_Mil","",INDEX(Cascade!$AA:$AA,MATCH($E86,Cascade!$E:$E,0)))</f>
        <v>0.94219619399999999</v>
      </c>
      <c r="K86" s="38"/>
      <c r="L86" s="38">
        <v>0</v>
      </c>
      <c r="M86" s="218" t="str">
        <f>IF(LEFT($B86,4)="_Mil","",IFERROR(1/(1/ROUND(INDEX(Spectrum!$N:$N,MATCH(RIGHT($B86,13)&amp;"|"&amp;$C86&amp;"|"&amp;$D86&amp;"|"&amp;M$14&amp;"|"&amp;"CY2024Q3",Spectrum!$R:$R,0)),0)),IF(SUM($L86)=0,"",$L86)))</f>
        <v/>
      </c>
      <c r="N86" s="218">
        <f>IF(LEFT($B86,4)="_Mil","",IFERROR(1/(1/ROUND(INDEX(Spectrum!$N:$N,MATCH(RIGHT($B86,13)&amp;"|"&amp;$C86&amp;"|"&amp;$D86&amp;"|"&amp;N$14&amp;"|"&amp;"CY2024Q3",Spectrum!$R:$R,0)),0)),IF(SUM($M86)=0,"",$M86)))</f>
        <v>2825</v>
      </c>
      <c r="O86" s="33">
        <f t="shared" si="30"/>
        <v>5.1643449965266354E-2</v>
      </c>
      <c r="P86" s="33">
        <f t="shared" si="31"/>
        <v>0.8</v>
      </c>
      <c r="Q86" s="218">
        <f t="shared" si="32"/>
        <v>43762</v>
      </c>
      <c r="R86" s="218">
        <f t="shared" si="33"/>
        <v>40937</v>
      </c>
      <c r="S86" s="33">
        <v>0</v>
      </c>
      <c r="T86" s="33" t="str">
        <f t="shared" si="34"/>
        <v/>
      </c>
      <c r="U86" s="33"/>
      <c r="V86" s="33" t="str">
        <f t="shared" si="35"/>
        <v/>
      </c>
      <c r="W86" s="33"/>
      <c r="X86" s="236">
        <v>3.5000000000000001E-3</v>
      </c>
      <c r="Y86" s="38">
        <f t="shared" si="36"/>
        <v>0</v>
      </c>
      <c r="Z86" s="218" t="str">
        <f t="shared" si="37"/>
        <v/>
      </c>
      <c r="AA86" s="218" t="str">
        <f t="shared" si="38"/>
        <v/>
      </c>
      <c r="AB86" s="218" t="str">
        <f t="shared" si="39"/>
        <v/>
      </c>
      <c r="AC86" s="38">
        <f>IFERROR(1/(1/INDEX(Cascade!$BH:$BH,MATCH($E86,Cascade!$E:$E,0))),"")</f>
        <v>229</v>
      </c>
      <c r="AD86" s="38" t="str">
        <f t="shared" si="40"/>
        <v/>
      </c>
      <c r="AE86" s="38">
        <f>IFERROR(1/(1/INDEX(TB!$P:$P,MATCH($E86,TB!$E:$E,0))),"")</f>
        <v>3</v>
      </c>
      <c r="AF86" s="38">
        <f t="shared" si="41"/>
        <v>226</v>
      </c>
    </row>
    <row r="87" spans="1:32" x14ac:dyDescent="0.2">
      <c r="A87" t="str">
        <f>INDEX(Prioritization!$D:$D,MATCH($B87,Prioritization!$A:$A,0))</f>
        <v>4 - Sustained</v>
      </c>
      <c r="B87" t="s">
        <v>321</v>
      </c>
      <c r="C87" t="s">
        <v>475</v>
      </c>
      <c r="D87" t="s">
        <v>48</v>
      </c>
      <c r="E87" t="str">
        <f t="shared" si="29"/>
        <v>Neno District [gwVYinjBAe9]|15-24|Male</v>
      </c>
      <c r="F87" s="38">
        <f>IF(LEFT($B87,4)="_Mil","",INDEX(Cascade!$T:$T,MATCH($E87,Cascade!$E:$E,0)))</f>
        <v>18109</v>
      </c>
      <c r="G87" s="38">
        <f>IF(LEFT($B87,4)="_Mil","",INDEX(Cascade!$U:$U,MATCH($E87,Cascade!$E:$E,0)))</f>
        <v>260</v>
      </c>
      <c r="H87" s="110">
        <f>IF(LEFT($B87,4)="_Mil","",INDEX(Cascade!$W:$W,MATCH($E87,Cascade!$E:$E,0)))</f>
        <v>1.4330051E-2</v>
      </c>
      <c r="I87" s="38">
        <f>IF(LEFT($B87,4)="_Mil","",INDEX(Cascade!$Z:$Z,MATCH($E87,Cascade!$E:$E,0)))</f>
        <v>300</v>
      </c>
      <c r="J87" s="33">
        <f>IF(LEFT($B87,4)="_Mil","",INDEX(Cascade!$AA:$AA,MATCH($E87,Cascade!$E:$E,0)))</f>
        <v>0.92737244600000002</v>
      </c>
      <c r="K87" s="38"/>
      <c r="L87" s="38">
        <v>0</v>
      </c>
      <c r="M87" s="218" t="str">
        <f>IF(LEFT($B87,4)="_Mil","",IFERROR(1/(1/ROUND(INDEX(Spectrum!$N:$N,MATCH(RIGHT($B87,13)&amp;"|"&amp;$C87&amp;"|"&amp;$D87&amp;"|"&amp;M$14&amp;"|"&amp;"CY2024Q3",Spectrum!$R:$R,0)),0)),IF(SUM($L87)=0,"",$L87)))</f>
        <v/>
      </c>
      <c r="N87" s="218">
        <f>IF(LEFT($B87,4)="_Mil","",IFERROR(1/(1/ROUND(INDEX(Spectrum!$N:$N,MATCH(RIGHT($B87,13)&amp;"|"&amp;$C87&amp;"|"&amp;$D87&amp;"|"&amp;N$14&amp;"|"&amp;"CY2024Q3",Spectrum!$R:$R,0)),0)),IF(SUM($M87)=0,"",$M87)))</f>
        <v>4281</v>
      </c>
      <c r="O87" s="33">
        <f t="shared" si="30"/>
        <v>0.23640178916560825</v>
      </c>
      <c r="P87" s="33">
        <f t="shared" si="31"/>
        <v>0.8</v>
      </c>
      <c r="Q87" s="218">
        <f t="shared" si="32"/>
        <v>14487</v>
      </c>
      <c r="R87" s="218">
        <f t="shared" si="33"/>
        <v>10206</v>
      </c>
      <c r="S87" s="33">
        <v>0</v>
      </c>
      <c r="T87" s="33" t="str">
        <f t="shared" si="34"/>
        <v/>
      </c>
      <c r="U87" s="33"/>
      <c r="V87" s="33" t="str">
        <f t="shared" si="35"/>
        <v/>
      </c>
      <c r="W87" s="33"/>
      <c r="X87" s="236">
        <v>3.5000000000000001E-3</v>
      </c>
      <c r="Y87" s="38">
        <f t="shared" si="36"/>
        <v>0</v>
      </c>
      <c r="Z87" s="218" t="str">
        <f t="shared" si="37"/>
        <v/>
      </c>
      <c r="AA87" s="218" t="str">
        <f t="shared" si="38"/>
        <v/>
      </c>
      <c r="AB87" s="218" t="str">
        <f t="shared" si="39"/>
        <v/>
      </c>
      <c r="AC87" s="38">
        <f>IFERROR(1/(1/INDEX(Cascade!$BH:$BH,MATCH($E87,Cascade!$E:$E,0))),"")</f>
        <v>18</v>
      </c>
      <c r="AD87" s="38" t="str">
        <f t="shared" si="40"/>
        <v/>
      </c>
      <c r="AE87" s="38">
        <f>IFERROR(1/(1/INDEX(TB!$P:$P,MATCH($E87,TB!$E:$E,0))),"")</f>
        <v>1</v>
      </c>
      <c r="AF87" s="38">
        <f t="shared" si="41"/>
        <v>17</v>
      </c>
    </row>
    <row r="88" spans="1:32" x14ac:dyDescent="0.2">
      <c r="A88" t="str">
        <f>INDEX(Prioritization!$D:$D,MATCH($B88,Prioritization!$A:$A,0))</f>
        <v>4 - Sustained</v>
      </c>
      <c r="B88" t="s">
        <v>321</v>
      </c>
      <c r="C88" t="s">
        <v>476</v>
      </c>
      <c r="D88" t="s">
        <v>48</v>
      </c>
      <c r="E88" t="str">
        <f t="shared" si="29"/>
        <v>Neno District [gwVYinjBAe9]|25-34|Male</v>
      </c>
      <c r="F88" s="38">
        <f>IF(LEFT($B88,4)="_Mil","",INDEX(Cascade!$T:$T,MATCH($E88,Cascade!$E:$E,0)))</f>
        <v>11371</v>
      </c>
      <c r="G88" s="38">
        <f>IF(LEFT($B88,4)="_Mil","",INDEX(Cascade!$U:$U,MATCH($E88,Cascade!$E:$E,0)))</f>
        <v>327</v>
      </c>
      <c r="H88" s="110">
        <f>IF(LEFT($B88,4)="_Mil","",INDEX(Cascade!$W:$W,MATCH($E88,Cascade!$E:$E,0)))</f>
        <v>2.8759356E-2</v>
      </c>
      <c r="I88" s="38">
        <f>IF(LEFT($B88,4)="_Mil","",INDEX(Cascade!$Z:$Z,MATCH($E88,Cascade!$E:$E,0)))</f>
        <v>360</v>
      </c>
      <c r="J88" s="33">
        <f>IF(LEFT($B88,4)="_Mil","",INDEX(Cascade!$AA:$AA,MATCH($E88,Cascade!$E:$E,0)))</f>
        <v>0.90508178899999991</v>
      </c>
      <c r="K88" s="38"/>
      <c r="L88" s="38">
        <v>0</v>
      </c>
      <c r="M88" s="218" t="str">
        <f>IF(LEFT($B88,4)="_Mil","",IFERROR(1/(1/ROUND(INDEX(Spectrum!$N:$N,MATCH(RIGHT($B88,13)&amp;"|"&amp;$C88&amp;"|"&amp;$D88&amp;"|"&amp;M$14&amp;"|"&amp;"CY2024Q3",Spectrum!$R:$R,0)),0)),IF(SUM($L88)=0,"",$L88)))</f>
        <v/>
      </c>
      <c r="N88" s="218">
        <f>IF(LEFT($B88,4)="_Mil","",IFERROR(1/(1/ROUND(INDEX(Spectrum!$N:$N,MATCH(RIGHT($B88,13)&amp;"|"&amp;$C88&amp;"|"&amp;$D88&amp;"|"&amp;N$14&amp;"|"&amp;"CY2024Q3",Spectrum!$R:$R,0)),0)),IF(SUM($M88)=0,"",$M88)))</f>
        <v>4289</v>
      </c>
      <c r="O88" s="33">
        <f t="shared" si="30"/>
        <v>0.37718758244657463</v>
      </c>
      <c r="P88" s="33">
        <f t="shared" si="31"/>
        <v>0.8</v>
      </c>
      <c r="Q88" s="218">
        <f t="shared" si="32"/>
        <v>9097</v>
      </c>
      <c r="R88" s="218">
        <f t="shared" si="33"/>
        <v>4808</v>
      </c>
      <c r="S88" s="33">
        <v>0</v>
      </c>
      <c r="T88" s="33" t="str">
        <f t="shared" si="34"/>
        <v/>
      </c>
      <c r="U88" s="33"/>
      <c r="V88" s="33" t="str">
        <f t="shared" si="35"/>
        <v/>
      </c>
      <c r="W88" s="33"/>
      <c r="X88" s="236">
        <v>3.5000000000000001E-3</v>
      </c>
      <c r="Y88" s="38">
        <f t="shared" si="36"/>
        <v>0</v>
      </c>
      <c r="Z88" s="218" t="str">
        <f t="shared" si="37"/>
        <v/>
      </c>
      <c r="AA88" s="218" t="str">
        <f t="shared" si="38"/>
        <v/>
      </c>
      <c r="AB88" s="218" t="str">
        <f t="shared" si="39"/>
        <v/>
      </c>
      <c r="AC88" s="38">
        <f>IFERROR(1/(1/INDEX(Cascade!$BH:$BH,MATCH($E88,Cascade!$E:$E,0))),"")</f>
        <v>6</v>
      </c>
      <c r="AD88" s="38" t="str">
        <f t="shared" si="40"/>
        <v/>
      </c>
      <c r="AE88" s="38">
        <f>IFERROR(1/(1/INDEX(TB!$P:$P,MATCH($E88,TB!$E:$E,0))),"")</f>
        <v>1</v>
      </c>
      <c r="AF88" s="38">
        <f t="shared" si="41"/>
        <v>5</v>
      </c>
    </row>
    <row r="89" spans="1:32" x14ac:dyDescent="0.2">
      <c r="A89" t="str">
        <f>INDEX(Prioritization!$D:$D,MATCH($B89,Prioritization!$A:$A,0))</f>
        <v>4 - Sustained</v>
      </c>
      <c r="B89" t="s">
        <v>321</v>
      </c>
      <c r="C89" t="s">
        <v>477</v>
      </c>
      <c r="D89" t="s">
        <v>48</v>
      </c>
      <c r="E89" t="str">
        <f t="shared" si="29"/>
        <v>Neno District [gwVYinjBAe9]|35-49|Male</v>
      </c>
      <c r="F89" s="38">
        <f>IF(LEFT($B89,4)="_Mil","",INDEX(Cascade!$T:$T,MATCH($E89,Cascade!$E:$E,0)))</f>
        <v>10319</v>
      </c>
      <c r="G89" s="38">
        <f>IF(LEFT($B89,4)="_Mil","",INDEX(Cascade!$U:$U,MATCH($E89,Cascade!$E:$E,0)))</f>
        <v>1175</v>
      </c>
      <c r="H89" s="110">
        <f>IF(LEFT($B89,4)="_Mil","",INDEX(Cascade!$W:$W,MATCH($E89,Cascade!$E:$E,0)))</f>
        <v>0.11387313</v>
      </c>
      <c r="I89" s="38">
        <f>IF(LEFT($B89,4)="_Mil","",INDEX(Cascade!$Z:$Z,MATCH($E89,Cascade!$E:$E,0)))</f>
        <v>1351</v>
      </c>
      <c r="J89" s="33">
        <f>IF(LEFT($B89,4)="_Mil","",INDEX(Cascade!$AA:$AA,MATCH($E89,Cascade!$E:$E,0)))</f>
        <v>0.94254833299999985</v>
      </c>
      <c r="K89" s="38"/>
      <c r="L89" s="38">
        <v>0</v>
      </c>
      <c r="M89" s="218" t="str">
        <f>IF(LEFT($B89,4)="_Mil","",IFERROR(1/(1/ROUND(INDEX(Spectrum!$N:$N,MATCH(RIGHT($B89,13)&amp;"|"&amp;$C89&amp;"|"&amp;$D89&amp;"|"&amp;M$14&amp;"|"&amp;"CY2024Q3",Spectrum!$R:$R,0)),0)),IF(SUM($L89)=0,"",$L89)))</f>
        <v/>
      </c>
      <c r="N89" s="218">
        <f>IF(LEFT($B89,4)="_Mil","",IFERROR(1/(1/ROUND(INDEX(Spectrum!$N:$N,MATCH(RIGHT($B89,13)&amp;"|"&amp;$C89&amp;"|"&amp;$D89&amp;"|"&amp;N$14&amp;"|"&amp;"CY2024Q3",Spectrum!$R:$R,0)),0)),IF(SUM($M89)=0,"",$M89)))</f>
        <v>3210</v>
      </c>
      <c r="O89" s="33">
        <f t="shared" si="30"/>
        <v>0.31107665471460411</v>
      </c>
      <c r="P89" s="33">
        <f t="shared" si="31"/>
        <v>0.8</v>
      </c>
      <c r="Q89" s="218">
        <f t="shared" si="32"/>
        <v>8255</v>
      </c>
      <c r="R89" s="218">
        <f t="shared" si="33"/>
        <v>5045</v>
      </c>
      <c r="S89" s="33">
        <v>0</v>
      </c>
      <c r="T89" s="33" t="str">
        <f t="shared" si="34"/>
        <v/>
      </c>
      <c r="U89" s="33"/>
      <c r="V89" s="33" t="str">
        <f t="shared" si="35"/>
        <v/>
      </c>
      <c r="W89" s="33"/>
      <c r="X89" s="236">
        <v>3.5000000000000001E-3</v>
      </c>
      <c r="Y89" s="38">
        <f t="shared" si="36"/>
        <v>0</v>
      </c>
      <c r="Z89" s="218" t="str">
        <f t="shared" si="37"/>
        <v/>
      </c>
      <c r="AA89" s="218" t="str">
        <f t="shared" si="38"/>
        <v/>
      </c>
      <c r="AB89" s="218" t="str">
        <f t="shared" si="39"/>
        <v/>
      </c>
      <c r="AC89" s="38">
        <f>IFERROR(1/(1/INDEX(Cascade!$BH:$BH,MATCH($E89,Cascade!$E:$E,0))),"")</f>
        <v>25</v>
      </c>
      <c r="AD89" s="38" t="str">
        <f t="shared" si="40"/>
        <v/>
      </c>
      <c r="AE89" s="38">
        <f>IFERROR(1/(1/INDEX(TB!$P:$P,MATCH($E89,TB!$E:$E,0))),"")</f>
        <v>2</v>
      </c>
      <c r="AF89" s="38">
        <f t="shared" si="41"/>
        <v>23</v>
      </c>
    </row>
    <row r="90" spans="1:32" x14ac:dyDescent="0.2">
      <c r="A90" t="str">
        <f>INDEX(Prioritization!$D:$D,MATCH($B90,Prioritization!$A:$A,0))</f>
        <v>4 - Sustained</v>
      </c>
      <c r="B90" t="s">
        <v>321</v>
      </c>
      <c r="C90" t="s">
        <v>478</v>
      </c>
      <c r="D90" t="s">
        <v>48</v>
      </c>
      <c r="E90" t="str">
        <f t="shared" si="29"/>
        <v>Neno District [gwVYinjBAe9]|50+|Male</v>
      </c>
      <c r="F90" s="38">
        <f>IF(LEFT($B90,4)="_Mil","",INDEX(Cascade!$T:$T,MATCH($E90,Cascade!$E:$E,0)))</f>
        <v>5704</v>
      </c>
      <c r="G90" s="38">
        <f>IF(LEFT($B90,4)="_Mil","",INDEX(Cascade!$U:$U,MATCH($E90,Cascade!$E:$E,0)))</f>
        <v>891</v>
      </c>
      <c r="H90" s="110">
        <f>IF(LEFT($B90,4)="_Mil","",INDEX(Cascade!$W:$W,MATCH($E90,Cascade!$E:$E,0)))</f>
        <v>0.15613564199999999</v>
      </c>
      <c r="I90" s="38">
        <f>IF(LEFT($B90,4)="_Mil","",INDEX(Cascade!$Z:$Z,MATCH($E90,Cascade!$E:$E,0)))</f>
        <v>1046</v>
      </c>
      <c r="J90" s="33">
        <f>IF(LEFT($B90,4)="_Mil","",INDEX(Cascade!$AA:$AA,MATCH($E90,Cascade!$E:$E,0)))</f>
        <v>0.96101100399999995</v>
      </c>
      <c r="K90" s="38"/>
      <c r="L90" s="38">
        <v>0</v>
      </c>
      <c r="M90" s="218" t="str">
        <f>IF(LEFT($B90,4)="_Mil","",IFERROR(1/(1/ROUND(INDEX(Spectrum!$N:$N,MATCH(RIGHT($B90,13)&amp;"|"&amp;$C90&amp;"|"&amp;$D90&amp;"|"&amp;M$14&amp;"|"&amp;"CY2024Q3",Spectrum!$R:$R,0)),0)),IF(SUM($L90)=0,"",$L90)))</f>
        <v/>
      </c>
      <c r="N90" s="218">
        <f>IF(LEFT($B90,4)="_Mil","",IFERROR(1/(1/ROUND(INDEX(Spectrum!$N:$N,MATCH(RIGHT($B90,13)&amp;"|"&amp;$C90&amp;"|"&amp;$D90&amp;"|"&amp;N$14&amp;"|"&amp;"CY2024Q3",Spectrum!$R:$R,0)),0)),IF(SUM($M90)=0,"",$M90)))</f>
        <v>1007</v>
      </c>
      <c r="O90" s="33">
        <f t="shared" si="30"/>
        <v>0.17654277699859747</v>
      </c>
      <c r="P90" s="33">
        <f t="shared" si="31"/>
        <v>0.8</v>
      </c>
      <c r="Q90" s="218">
        <f t="shared" si="32"/>
        <v>4563</v>
      </c>
      <c r="R90" s="218">
        <f t="shared" si="33"/>
        <v>3556</v>
      </c>
      <c r="S90" s="33">
        <v>0</v>
      </c>
      <c r="T90" s="33" t="str">
        <f t="shared" si="34"/>
        <v/>
      </c>
      <c r="U90" s="33"/>
      <c r="V90" s="33" t="str">
        <f t="shared" si="35"/>
        <v/>
      </c>
      <c r="W90" s="33"/>
      <c r="X90" s="236">
        <v>3.5000000000000001E-3</v>
      </c>
      <c r="Y90" s="38">
        <f t="shared" si="36"/>
        <v>0</v>
      </c>
      <c r="Z90" s="218" t="str">
        <f t="shared" si="37"/>
        <v/>
      </c>
      <c r="AA90" s="218" t="str">
        <f t="shared" si="38"/>
        <v/>
      </c>
      <c r="AB90" s="218" t="str">
        <f t="shared" si="39"/>
        <v/>
      </c>
      <c r="AC90" s="38">
        <f>IFERROR(1/(1/INDEX(Cascade!$BH:$BH,MATCH($E90,Cascade!$E:$E,0))),"")</f>
        <v>28</v>
      </c>
      <c r="AD90" s="38" t="str">
        <f t="shared" si="40"/>
        <v/>
      </c>
      <c r="AE90" s="38" t="str">
        <f>IFERROR(1/(1/INDEX(TB!$P:$P,MATCH($E90,TB!$E:$E,0))),"")</f>
        <v/>
      </c>
      <c r="AF90" s="38">
        <f t="shared" si="41"/>
        <v>28</v>
      </c>
    </row>
    <row r="91" spans="1:32" x14ac:dyDescent="0.2">
      <c r="A91" t="str">
        <f>INDEX(Prioritization!$D:$D,MATCH($B91,Prioritization!$A:$A,0))</f>
        <v>4 - Sustained</v>
      </c>
      <c r="B91" t="s">
        <v>311</v>
      </c>
      <c r="C91" t="s">
        <v>475</v>
      </c>
      <c r="D91" t="s">
        <v>48</v>
      </c>
      <c r="E91" t="str">
        <f t="shared" si="29"/>
        <v>Nkhata Bay District [E7zpfyBt7Tw]|15-24|Male</v>
      </c>
      <c r="F91" s="38">
        <f>IF(LEFT($B91,4)="_Mil","",INDEX(Cascade!$T:$T,MATCH($E91,Cascade!$E:$E,0)))</f>
        <v>38988</v>
      </c>
      <c r="G91" s="38">
        <f>IF(LEFT($B91,4)="_Mil","",INDEX(Cascade!$U:$U,MATCH($E91,Cascade!$E:$E,0)))</f>
        <v>559</v>
      </c>
      <c r="H91" s="110">
        <f>IF(LEFT($B91,4)="_Mil","",INDEX(Cascade!$W:$W,MATCH($E91,Cascade!$E:$E,0)))</f>
        <v>1.4339184E-2</v>
      </c>
      <c r="I91" s="38">
        <f>IF(LEFT($B91,4)="_Mil","",INDEX(Cascade!$Z:$Z,MATCH($E91,Cascade!$E:$E,0)))</f>
        <v>420</v>
      </c>
      <c r="J91" s="33">
        <f>IF(LEFT($B91,4)="_Mil","",INDEX(Cascade!$AA:$AA,MATCH($E91,Cascade!$E:$E,0)))</f>
        <v>0.89991666600000009</v>
      </c>
      <c r="K91" s="38"/>
      <c r="L91" s="38">
        <v>0</v>
      </c>
      <c r="M91" s="218" t="str">
        <f>IF(LEFT($B91,4)="_Mil","",IFERROR(1/(1/ROUND(INDEX(Spectrum!$N:$N,MATCH(RIGHT($B91,13)&amp;"|"&amp;$C91&amp;"|"&amp;$D91&amp;"|"&amp;M$14&amp;"|"&amp;"CY2024Q3",Spectrum!$R:$R,0)),0)),IF(SUM($L91)=0,"",$L91)))</f>
        <v/>
      </c>
      <c r="N91" s="218">
        <f>IF(LEFT($B91,4)="_Mil","",IFERROR(1/(1/ROUND(INDEX(Spectrum!$N:$N,MATCH(RIGHT($B91,13)&amp;"|"&amp;$C91&amp;"|"&amp;$D91&amp;"|"&amp;N$14&amp;"|"&amp;"CY2024Q3",Spectrum!$R:$R,0)),0)),IF(SUM($M91)=0,"",$M91)))</f>
        <v>2770</v>
      </c>
      <c r="O91" s="33">
        <f t="shared" si="30"/>
        <v>7.1047501795424239E-2</v>
      </c>
      <c r="P91" s="33">
        <f t="shared" si="31"/>
        <v>0.8</v>
      </c>
      <c r="Q91" s="218">
        <f t="shared" si="32"/>
        <v>31190</v>
      </c>
      <c r="R91" s="218">
        <f t="shared" si="33"/>
        <v>28420</v>
      </c>
      <c r="S91" s="33">
        <v>0</v>
      </c>
      <c r="T91" s="33" t="str">
        <f t="shared" si="34"/>
        <v/>
      </c>
      <c r="U91" s="33"/>
      <c r="V91" s="33" t="str">
        <f t="shared" si="35"/>
        <v/>
      </c>
      <c r="W91" s="33"/>
      <c r="X91" s="236">
        <v>3.5000000000000001E-3</v>
      </c>
      <c r="Y91" s="38">
        <f t="shared" si="36"/>
        <v>0</v>
      </c>
      <c r="Z91" s="218" t="str">
        <f t="shared" si="37"/>
        <v/>
      </c>
      <c r="AA91" s="218" t="str">
        <f t="shared" si="38"/>
        <v/>
      </c>
      <c r="AB91" s="218" t="str">
        <f t="shared" si="39"/>
        <v/>
      </c>
      <c r="AC91" s="38">
        <f>IFERROR(1/(1/INDEX(Cascade!$BH:$BH,MATCH($E91,Cascade!$E:$E,0))),"")</f>
        <v>20</v>
      </c>
      <c r="AD91" s="38" t="str">
        <f t="shared" si="40"/>
        <v/>
      </c>
      <c r="AE91" s="38">
        <f>IFERROR(1/(1/INDEX(TB!$P:$P,MATCH($E91,TB!$E:$E,0))),"")</f>
        <v>1</v>
      </c>
      <c r="AF91" s="38">
        <f t="shared" si="41"/>
        <v>19</v>
      </c>
    </row>
    <row r="92" spans="1:32" x14ac:dyDescent="0.2">
      <c r="A92" t="str">
        <f>INDEX(Prioritization!$D:$D,MATCH($B92,Prioritization!$A:$A,0))</f>
        <v>4 - Sustained</v>
      </c>
      <c r="B92" t="s">
        <v>311</v>
      </c>
      <c r="C92" t="s">
        <v>476</v>
      </c>
      <c r="D92" t="s">
        <v>48</v>
      </c>
      <c r="E92" t="str">
        <f t="shared" si="29"/>
        <v>Nkhata Bay District [E7zpfyBt7Tw]|25-34|Male</v>
      </c>
      <c r="F92" s="38">
        <f>IF(LEFT($B92,4)="_Mil","",INDEX(Cascade!$T:$T,MATCH($E92,Cascade!$E:$E,0)))</f>
        <v>21959</v>
      </c>
      <c r="G92" s="38">
        <f>IF(LEFT($B92,4)="_Mil","",INDEX(Cascade!$U:$U,MATCH($E92,Cascade!$E:$E,0)))</f>
        <v>700</v>
      </c>
      <c r="H92" s="110">
        <f>IF(LEFT($B92,4)="_Mil","",INDEX(Cascade!$W:$W,MATCH($E92,Cascade!$E:$E,0)))</f>
        <v>3.1860667000000002E-2</v>
      </c>
      <c r="I92" s="38">
        <f>IF(LEFT($B92,4)="_Mil","",INDEX(Cascade!$Z:$Z,MATCH($E92,Cascade!$E:$E,0)))</f>
        <v>512</v>
      </c>
      <c r="J92" s="33">
        <f>IF(LEFT($B92,4)="_Mil","",INDEX(Cascade!$AA:$AA,MATCH($E92,Cascade!$E:$E,0)))</f>
        <v>0.87060098799999996</v>
      </c>
      <c r="K92" s="38"/>
      <c r="L92" s="38">
        <v>0</v>
      </c>
      <c r="M92" s="218" t="str">
        <f>IF(LEFT($B92,4)="_Mil","",IFERROR(1/(1/ROUND(INDEX(Spectrum!$N:$N,MATCH(RIGHT($B92,13)&amp;"|"&amp;$C92&amp;"|"&amp;$D92&amp;"|"&amp;M$14&amp;"|"&amp;"CY2024Q3",Spectrum!$R:$R,0)),0)),IF(SUM($L92)=0,"",$L92)))</f>
        <v/>
      </c>
      <c r="N92" s="218">
        <f>IF(LEFT($B92,4)="_Mil","",IFERROR(1/(1/ROUND(INDEX(Spectrum!$N:$N,MATCH(RIGHT($B92,13)&amp;"|"&amp;$C92&amp;"|"&amp;$D92&amp;"|"&amp;N$14&amp;"|"&amp;"CY2024Q3",Spectrum!$R:$R,0)),0)),IF(SUM($M92)=0,"",$M92)))</f>
        <v>2848</v>
      </c>
      <c r="O92" s="33">
        <f t="shared" si="30"/>
        <v>0.12969625210619792</v>
      </c>
      <c r="P92" s="33">
        <f t="shared" si="31"/>
        <v>0.8</v>
      </c>
      <c r="Q92" s="218">
        <f t="shared" si="32"/>
        <v>17567</v>
      </c>
      <c r="R92" s="218">
        <f t="shared" si="33"/>
        <v>14719</v>
      </c>
      <c r="S92" s="33">
        <v>0</v>
      </c>
      <c r="T92" s="33" t="str">
        <f t="shared" si="34"/>
        <v/>
      </c>
      <c r="U92" s="33"/>
      <c r="V92" s="33" t="str">
        <f t="shared" si="35"/>
        <v/>
      </c>
      <c r="W92" s="33"/>
      <c r="X92" s="236">
        <v>3.5000000000000001E-3</v>
      </c>
      <c r="Y92" s="38">
        <f t="shared" si="36"/>
        <v>0</v>
      </c>
      <c r="Z92" s="218" t="str">
        <f t="shared" si="37"/>
        <v/>
      </c>
      <c r="AA92" s="218" t="str">
        <f t="shared" si="38"/>
        <v/>
      </c>
      <c r="AB92" s="218" t="str">
        <f t="shared" si="39"/>
        <v/>
      </c>
      <c r="AC92" s="38">
        <f>IFERROR(1/(1/INDEX(Cascade!$BH:$BH,MATCH($E92,Cascade!$E:$E,0))),"")</f>
        <v>26</v>
      </c>
      <c r="AD92" s="38" t="str">
        <f t="shared" si="40"/>
        <v/>
      </c>
      <c r="AE92" s="38">
        <f>IFERROR(1/(1/INDEX(TB!$P:$P,MATCH($E92,TB!$E:$E,0))),"")</f>
        <v>1</v>
      </c>
      <c r="AF92" s="38">
        <f t="shared" si="41"/>
        <v>25</v>
      </c>
    </row>
    <row r="93" spans="1:32" x14ac:dyDescent="0.2">
      <c r="A93" t="str">
        <f>INDEX(Prioritization!$D:$D,MATCH($B93,Prioritization!$A:$A,0))</f>
        <v>4 - Sustained</v>
      </c>
      <c r="B93" t="s">
        <v>311</v>
      </c>
      <c r="C93" t="s">
        <v>477</v>
      </c>
      <c r="D93" t="s">
        <v>48</v>
      </c>
      <c r="E93" t="str">
        <f t="shared" si="29"/>
        <v>Nkhata Bay District [E7zpfyBt7Tw]|35-49|Male</v>
      </c>
      <c r="F93" s="38">
        <f>IF(LEFT($B93,4)="_Mil","",INDEX(Cascade!$T:$T,MATCH($E93,Cascade!$E:$E,0)))</f>
        <v>21458</v>
      </c>
      <c r="G93" s="38">
        <f>IF(LEFT($B93,4)="_Mil","",INDEX(Cascade!$U:$U,MATCH($E93,Cascade!$E:$E,0)))</f>
        <v>2558</v>
      </c>
      <c r="H93" s="110">
        <f>IF(LEFT($B93,4)="_Mil","",INDEX(Cascade!$W:$W,MATCH($E93,Cascade!$E:$E,0)))</f>
        <v>0.11922395199999999</v>
      </c>
      <c r="I93" s="38">
        <f>IF(LEFT($B93,4)="_Mil","",INDEX(Cascade!$Z:$Z,MATCH($E93,Cascade!$E:$E,0)))</f>
        <v>1977</v>
      </c>
      <c r="J93" s="33">
        <f>IF(LEFT($B93,4)="_Mil","",INDEX(Cascade!$AA:$AA,MATCH($E93,Cascade!$E:$E,0)))</f>
        <v>0.92083868099999988</v>
      </c>
      <c r="K93" s="38"/>
      <c r="L93" s="38">
        <v>0</v>
      </c>
      <c r="M93" s="218" t="str">
        <f>IF(LEFT($B93,4)="_Mil","",IFERROR(1/(1/ROUND(INDEX(Spectrum!$N:$N,MATCH(RIGHT($B93,13)&amp;"|"&amp;$C93&amp;"|"&amp;$D93&amp;"|"&amp;M$14&amp;"|"&amp;"CY2024Q3",Spectrum!$R:$R,0)),0)),IF(SUM($L93)=0,"",$L93)))</f>
        <v/>
      </c>
      <c r="N93" s="218">
        <f>IF(LEFT($B93,4)="_Mil","",IFERROR(1/(1/ROUND(INDEX(Spectrum!$N:$N,MATCH(RIGHT($B93,13)&amp;"|"&amp;$C93&amp;"|"&amp;$D93&amp;"|"&amp;N$14&amp;"|"&amp;"CY2024Q3",Spectrum!$R:$R,0)),0)),IF(SUM($M93)=0,"",$M93)))</f>
        <v>2059</v>
      </c>
      <c r="O93" s="33">
        <f t="shared" si="30"/>
        <v>9.5954888619629045E-2</v>
      </c>
      <c r="P93" s="33">
        <f t="shared" si="31"/>
        <v>0.8</v>
      </c>
      <c r="Q93" s="218">
        <f t="shared" si="32"/>
        <v>17166</v>
      </c>
      <c r="R93" s="218">
        <f t="shared" si="33"/>
        <v>15107</v>
      </c>
      <c r="S93" s="33">
        <v>0</v>
      </c>
      <c r="T93" s="33" t="str">
        <f t="shared" si="34"/>
        <v/>
      </c>
      <c r="U93" s="33"/>
      <c r="V93" s="33" t="str">
        <f t="shared" si="35"/>
        <v/>
      </c>
      <c r="W93" s="33"/>
      <c r="X93" s="236">
        <v>3.5000000000000001E-3</v>
      </c>
      <c r="Y93" s="38">
        <f t="shared" si="36"/>
        <v>0</v>
      </c>
      <c r="Z93" s="218" t="str">
        <f t="shared" si="37"/>
        <v/>
      </c>
      <c r="AA93" s="218" t="str">
        <f t="shared" si="38"/>
        <v/>
      </c>
      <c r="AB93" s="218" t="str">
        <f t="shared" si="39"/>
        <v/>
      </c>
      <c r="AC93" s="38">
        <f>IFERROR(1/(1/INDEX(Cascade!$BH:$BH,MATCH($E93,Cascade!$E:$E,0))),"")</f>
        <v>40</v>
      </c>
      <c r="AD93" s="38" t="str">
        <f t="shared" si="40"/>
        <v/>
      </c>
      <c r="AE93" s="38">
        <f>IFERROR(1/(1/INDEX(TB!$P:$P,MATCH($E93,TB!$E:$E,0))),"")</f>
        <v>1</v>
      </c>
      <c r="AF93" s="38">
        <f t="shared" si="41"/>
        <v>39</v>
      </c>
    </row>
    <row r="94" spans="1:32" x14ac:dyDescent="0.2">
      <c r="A94" t="str">
        <f>INDEX(Prioritization!$D:$D,MATCH($B94,Prioritization!$A:$A,0))</f>
        <v>4 - Sustained</v>
      </c>
      <c r="B94" t="s">
        <v>311</v>
      </c>
      <c r="C94" t="s">
        <v>478</v>
      </c>
      <c r="D94" t="s">
        <v>48</v>
      </c>
      <c r="E94" t="str">
        <f t="shared" si="29"/>
        <v>Nkhata Bay District [E7zpfyBt7Tw]|50+|Male</v>
      </c>
      <c r="F94" s="38">
        <f>IF(LEFT($B94,4)="_Mil","",INDEX(Cascade!$T:$T,MATCH($E94,Cascade!$E:$E,0)))</f>
        <v>13116</v>
      </c>
      <c r="G94" s="38">
        <f>IF(LEFT($B94,4)="_Mil","",INDEX(Cascade!$U:$U,MATCH($E94,Cascade!$E:$E,0)))</f>
        <v>2054</v>
      </c>
      <c r="H94" s="110">
        <f>IF(LEFT($B94,4)="_Mil","",INDEX(Cascade!$W:$W,MATCH($E94,Cascade!$E:$E,0)))</f>
        <v>0.15662590100000001</v>
      </c>
      <c r="I94" s="38">
        <f>IF(LEFT($B94,4)="_Mil","",INDEX(Cascade!$Z:$Z,MATCH($E94,Cascade!$E:$E,0)))</f>
        <v>1623</v>
      </c>
      <c r="J94" s="33">
        <f>IF(LEFT($B94,4)="_Mil","",INDEX(Cascade!$AA:$AA,MATCH($E94,Cascade!$E:$E,0)))</f>
        <v>0.94559209499999997</v>
      </c>
      <c r="K94" s="38"/>
      <c r="L94" s="38">
        <v>0</v>
      </c>
      <c r="M94" s="218" t="str">
        <f>IF(LEFT($B94,4)="_Mil","",IFERROR(1/(1/ROUND(INDEX(Spectrum!$N:$N,MATCH(RIGHT($B94,13)&amp;"|"&amp;$C94&amp;"|"&amp;$D94&amp;"|"&amp;M$14&amp;"|"&amp;"CY2024Q3",Spectrum!$R:$R,0)),0)),IF(SUM($L94)=0,"",$L94)))</f>
        <v/>
      </c>
      <c r="N94" s="218">
        <f>IF(LEFT($B94,4)="_Mil","",IFERROR(1/(1/ROUND(INDEX(Spectrum!$N:$N,MATCH(RIGHT($B94,13)&amp;"|"&amp;$C94&amp;"|"&amp;$D94&amp;"|"&amp;N$14&amp;"|"&amp;"CY2024Q3",Spectrum!$R:$R,0)),0)),IF(SUM($M94)=0,"",$M94)))</f>
        <v>574</v>
      </c>
      <c r="O94" s="33">
        <f t="shared" si="30"/>
        <v>4.3763342482464163E-2</v>
      </c>
      <c r="P94" s="33">
        <f t="shared" si="31"/>
        <v>0.8</v>
      </c>
      <c r="Q94" s="218">
        <f t="shared" si="32"/>
        <v>10493</v>
      </c>
      <c r="R94" s="218">
        <f t="shared" si="33"/>
        <v>9919</v>
      </c>
      <c r="S94" s="33">
        <v>0</v>
      </c>
      <c r="T94" s="33" t="str">
        <f t="shared" si="34"/>
        <v/>
      </c>
      <c r="U94" s="33"/>
      <c r="V94" s="33" t="str">
        <f t="shared" si="35"/>
        <v/>
      </c>
      <c r="W94" s="33"/>
      <c r="X94" s="236">
        <v>3.5000000000000001E-3</v>
      </c>
      <c r="Y94" s="38">
        <f t="shared" si="36"/>
        <v>0</v>
      </c>
      <c r="Z94" s="218" t="str">
        <f t="shared" si="37"/>
        <v/>
      </c>
      <c r="AA94" s="218" t="str">
        <f t="shared" si="38"/>
        <v/>
      </c>
      <c r="AB94" s="218" t="str">
        <f t="shared" si="39"/>
        <v/>
      </c>
      <c r="AC94" s="38">
        <f>IFERROR(1/(1/INDEX(Cascade!$BH:$BH,MATCH($E94,Cascade!$E:$E,0))),"")</f>
        <v>42</v>
      </c>
      <c r="AD94" s="38" t="str">
        <f t="shared" si="40"/>
        <v/>
      </c>
      <c r="AE94" s="38" t="str">
        <f>IFERROR(1/(1/INDEX(TB!$P:$P,MATCH($E94,TB!$E:$E,0))),"")</f>
        <v/>
      </c>
      <c r="AF94" s="38">
        <f t="shared" si="41"/>
        <v>42</v>
      </c>
    </row>
    <row r="95" spans="1:32" x14ac:dyDescent="0.2">
      <c r="A95" t="str">
        <f>INDEX(Prioritization!$D:$D,MATCH($B95,Prioritization!$A:$A,0))</f>
        <v>4 - Sustained</v>
      </c>
      <c r="B95" t="s">
        <v>303</v>
      </c>
      <c r="C95" t="s">
        <v>475</v>
      </c>
      <c r="D95" t="s">
        <v>48</v>
      </c>
      <c r="E95" t="str">
        <f t="shared" si="29"/>
        <v>Nkhotakota District [YCKiBAp8QAg]|15-24|Male</v>
      </c>
      <c r="F95" s="38">
        <f>IF(LEFT($B95,4)="_Mil","",INDEX(Cascade!$T:$T,MATCH($E95,Cascade!$E:$E,0)))</f>
        <v>52190</v>
      </c>
      <c r="G95" s="38">
        <f>IF(LEFT($B95,4)="_Mil","",INDEX(Cascade!$U:$U,MATCH($E95,Cascade!$E:$E,0)))</f>
        <v>482</v>
      </c>
      <c r="H95" s="110">
        <f>IF(LEFT($B95,4)="_Mil","",INDEX(Cascade!$W:$W,MATCH($E95,Cascade!$E:$E,0)))</f>
        <v>9.2323449999999994E-3</v>
      </c>
      <c r="I95" s="38">
        <f>IF(LEFT($B95,4)="_Mil","",INDEX(Cascade!$Z:$Z,MATCH($E95,Cascade!$E:$E,0)))</f>
        <v>487</v>
      </c>
      <c r="J95" s="33">
        <f>IF(LEFT($B95,4)="_Mil","",INDEX(Cascade!$AA:$AA,MATCH($E95,Cascade!$E:$E,0)))</f>
        <v>0.90349623899999998</v>
      </c>
      <c r="K95" s="38"/>
      <c r="L95" s="38">
        <v>0</v>
      </c>
      <c r="M95" s="218" t="str">
        <f>IF(LEFT($B95,4)="_Mil","",IFERROR(1/(1/ROUND(INDEX(Spectrum!$N:$N,MATCH(RIGHT($B95,13)&amp;"|"&amp;$C95&amp;"|"&amp;$D95&amp;"|"&amp;M$14&amp;"|"&amp;"CY2024Q3",Spectrum!$R:$R,0)),0)),IF(SUM($L95)=0,"",$L95)))</f>
        <v/>
      </c>
      <c r="N95" s="218">
        <f>IF(LEFT($B95,4)="_Mil","",IFERROR(1/(1/ROUND(INDEX(Spectrum!$N:$N,MATCH(RIGHT($B95,13)&amp;"|"&amp;$C95&amp;"|"&amp;$D95&amp;"|"&amp;N$14&amp;"|"&amp;"CY2024Q3",Spectrum!$R:$R,0)),0)),IF(SUM($M95)=0,"",$M95)))</f>
        <v>19702</v>
      </c>
      <c r="O95" s="33">
        <f t="shared" si="30"/>
        <v>0.37750526920866068</v>
      </c>
      <c r="P95" s="33">
        <f t="shared" si="31"/>
        <v>0.8</v>
      </c>
      <c r="Q95" s="218">
        <f t="shared" si="32"/>
        <v>41752</v>
      </c>
      <c r="R95" s="218">
        <f t="shared" si="33"/>
        <v>22050</v>
      </c>
      <c r="S95" s="33">
        <v>0</v>
      </c>
      <c r="T95" s="33" t="str">
        <f t="shared" si="34"/>
        <v/>
      </c>
      <c r="U95" s="33"/>
      <c r="V95" s="33" t="str">
        <f t="shared" si="35"/>
        <v/>
      </c>
      <c r="W95" s="33"/>
      <c r="X95" s="236">
        <v>3.5000000000000001E-3</v>
      </c>
      <c r="Y95" s="38">
        <f t="shared" si="36"/>
        <v>0</v>
      </c>
      <c r="Z95" s="218" t="str">
        <f t="shared" si="37"/>
        <v/>
      </c>
      <c r="AA95" s="218" t="str">
        <f t="shared" si="38"/>
        <v/>
      </c>
      <c r="AB95" s="218" t="str">
        <f t="shared" si="39"/>
        <v/>
      </c>
      <c r="AC95" s="38">
        <f>IFERROR(1/(1/INDEX(Cascade!$BH:$BH,MATCH($E95,Cascade!$E:$E,0))),"")</f>
        <v>8</v>
      </c>
      <c r="AD95" s="38" t="str">
        <f t="shared" si="40"/>
        <v/>
      </c>
      <c r="AE95" s="38">
        <f>IFERROR(1/(1/INDEX(TB!$P:$P,MATCH($E95,TB!$E:$E,0))),"")</f>
        <v>1</v>
      </c>
      <c r="AF95" s="38">
        <f t="shared" si="41"/>
        <v>7</v>
      </c>
    </row>
    <row r="96" spans="1:32" x14ac:dyDescent="0.2">
      <c r="A96" t="str">
        <f>INDEX(Prioritization!$D:$D,MATCH($B96,Prioritization!$A:$A,0))</f>
        <v>4 - Sustained</v>
      </c>
      <c r="B96" t="s">
        <v>303</v>
      </c>
      <c r="C96" t="s">
        <v>476</v>
      </c>
      <c r="D96" t="s">
        <v>48</v>
      </c>
      <c r="E96" t="str">
        <f t="shared" si="29"/>
        <v>Nkhotakota District [YCKiBAp8QAg]|25-34|Male</v>
      </c>
      <c r="F96" s="38">
        <f>IF(LEFT($B96,4)="_Mil","",INDEX(Cascade!$T:$T,MATCH($E96,Cascade!$E:$E,0)))</f>
        <v>32017</v>
      </c>
      <c r="G96" s="38">
        <f>IF(LEFT($B96,4)="_Mil","",INDEX(Cascade!$U:$U,MATCH($E96,Cascade!$E:$E,0)))</f>
        <v>609</v>
      </c>
      <c r="H96" s="110">
        <f>IF(LEFT($B96,4)="_Mil","",INDEX(Cascade!$W:$W,MATCH($E96,Cascade!$E:$E,0)))</f>
        <v>1.9017213000000002E-2</v>
      </c>
      <c r="I96" s="38">
        <f>IF(LEFT($B96,4)="_Mil","",INDEX(Cascade!$Z:$Z,MATCH($E96,Cascade!$E:$E,0)))</f>
        <v>596</v>
      </c>
      <c r="J96" s="33">
        <f>IF(LEFT($B96,4)="_Mil","",INDEX(Cascade!$AA:$AA,MATCH($E96,Cascade!$E:$E,0)))</f>
        <v>0.87478092399999996</v>
      </c>
      <c r="K96" s="38"/>
      <c r="L96" s="38">
        <v>0</v>
      </c>
      <c r="M96" s="218" t="str">
        <f>IF(LEFT($B96,4)="_Mil","",IFERROR(1/(1/ROUND(INDEX(Spectrum!$N:$N,MATCH(RIGHT($B96,13)&amp;"|"&amp;$C96&amp;"|"&amp;$D96&amp;"|"&amp;M$14&amp;"|"&amp;"CY2024Q3",Spectrum!$R:$R,0)),0)),IF(SUM($L96)=0,"",$L96)))</f>
        <v/>
      </c>
      <c r="N96" s="218">
        <f>IF(LEFT($B96,4)="_Mil","",IFERROR(1/(1/ROUND(INDEX(Spectrum!$N:$N,MATCH(RIGHT($B96,13)&amp;"|"&amp;$C96&amp;"|"&amp;$D96&amp;"|"&amp;N$14&amp;"|"&amp;"CY2024Q3",Spectrum!$R:$R,0)),0)),IF(SUM($M96)=0,"",$M96)))</f>
        <v>19421</v>
      </c>
      <c r="O96" s="33">
        <f t="shared" si="30"/>
        <v>0.60658400224880538</v>
      </c>
      <c r="P96" s="33">
        <f t="shared" si="31"/>
        <v>0.8</v>
      </c>
      <c r="Q96" s="218">
        <f t="shared" si="32"/>
        <v>25614</v>
      </c>
      <c r="R96" s="218">
        <f t="shared" si="33"/>
        <v>6193</v>
      </c>
      <c r="S96" s="33">
        <v>0</v>
      </c>
      <c r="T96" s="33" t="str">
        <f t="shared" si="34"/>
        <v/>
      </c>
      <c r="U96" s="33"/>
      <c r="V96" s="33" t="str">
        <f t="shared" si="35"/>
        <v/>
      </c>
      <c r="W96" s="33"/>
      <c r="X96" s="236">
        <v>3.5000000000000001E-3</v>
      </c>
      <c r="Y96" s="38">
        <f t="shared" si="36"/>
        <v>0</v>
      </c>
      <c r="Z96" s="218" t="str">
        <f t="shared" si="37"/>
        <v/>
      </c>
      <c r="AA96" s="218" t="str">
        <f t="shared" si="38"/>
        <v/>
      </c>
      <c r="AB96" s="218" t="str">
        <f t="shared" si="39"/>
        <v/>
      </c>
      <c r="AC96" s="38">
        <f>IFERROR(1/(1/INDEX(Cascade!$BH:$BH,MATCH($E96,Cascade!$E:$E,0))),"")</f>
        <v>11</v>
      </c>
      <c r="AD96" s="38" t="str">
        <f t="shared" si="40"/>
        <v/>
      </c>
      <c r="AE96" s="38">
        <f>IFERROR(1/(1/INDEX(TB!$P:$P,MATCH($E96,TB!$E:$E,0))),"")</f>
        <v>1</v>
      </c>
      <c r="AF96" s="38">
        <f t="shared" si="41"/>
        <v>10</v>
      </c>
    </row>
    <row r="97" spans="1:32" x14ac:dyDescent="0.2">
      <c r="A97" t="str">
        <f>INDEX(Prioritization!$D:$D,MATCH($B97,Prioritization!$A:$A,0))</f>
        <v>4 - Sustained</v>
      </c>
      <c r="B97" t="s">
        <v>303</v>
      </c>
      <c r="C97" t="s">
        <v>477</v>
      </c>
      <c r="D97" t="s">
        <v>48</v>
      </c>
      <c r="E97" t="str">
        <f t="shared" si="29"/>
        <v>Nkhotakota District [YCKiBAp8QAg]|35-49|Male</v>
      </c>
      <c r="F97" s="38">
        <f>IF(LEFT($B97,4)="_Mil","",INDEX(Cascade!$T:$T,MATCH($E97,Cascade!$E:$E,0)))</f>
        <v>30849</v>
      </c>
      <c r="G97" s="38">
        <f>IF(LEFT($B97,4)="_Mil","",INDEX(Cascade!$U:$U,MATCH($E97,Cascade!$E:$E,0)))</f>
        <v>2358</v>
      </c>
      <c r="H97" s="110">
        <f>IF(LEFT($B97,4)="_Mil","",INDEX(Cascade!$W:$W,MATCH($E97,Cascade!$E:$E,0)))</f>
        <v>7.6437272000000001E-2</v>
      </c>
      <c r="I97" s="38">
        <f>IF(LEFT($B97,4)="_Mil","",INDEX(Cascade!$Z:$Z,MATCH($E97,Cascade!$E:$E,0)))</f>
        <v>2415</v>
      </c>
      <c r="J97" s="33">
        <f>IF(LEFT($B97,4)="_Mil","",INDEX(Cascade!$AA:$AA,MATCH($E97,Cascade!$E:$E,0)))</f>
        <v>0.92371606699999997</v>
      </c>
      <c r="K97" s="38"/>
      <c r="L97" s="38">
        <v>0</v>
      </c>
      <c r="M97" s="218" t="str">
        <f>IF(LEFT($B97,4)="_Mil","",IFERROR(1/(1/ROUND(INDEX(Spectrum!$N:$N,MATCH(RIGHT($B97,13)&amp;"|"&amp;$C97&amp;"|"&amp;$D97&amp;"|"&amp;M$14&amp;"|"&amp;"CY2024Q3",Spectrum!$R:$R,0)),0)),IF(SUM($L97)=0,"",$L97)))</f>
        <v/>
      </c>
      <c r="N97" s="218">
        <f>IF(LEFT($B97,4)="_Mil","",IFERROR(1/(1/ROUND(INDEX(Spectrum!$N:$N,MATCH(RIGHT($B97,13)&amp;"|"&amp;$C97&amp;"|"&amp;$D97&amp;"|"&amp;N$14&amp;"|"&amp;"CY2024Q3",Spectrum!$R:$R,0)),0)),IF(SUM($M97)=0,"",$M97)))</f>
        <v>16467</v>
      </c>
      <c r="O97" s="33">
        <f t="shared" si="30"/>
        <v>0.53379363998833029</v>
      </c>
      <c r="P97" s="33">
        <f t="shared" si="31"/>
        <v>0.8</v>
      </c>
      <c r="Q97" s="218">
        <f t="shared" si="32"/>
        <v>24679</v>
      </c>
      <c r="R97" s="218">
        <f t="shared" si="33"/>
        <v>8212</v>
      </c>
      <c r="S97" s="33">
        <v>0</v>
      </c>
      <c r="T97" s="33" t="str">
        <f t="shared" si="34"/>
        <v/>
      </c>
      <c r="U97" s="33"/>
      <c r="V97" s="33" t="str">
        <f t="shared" si="35"/>
        <v/>
      </c>
      <c r="W97" s="33"/>
      <c r="X97" s="236">
        <v>3.5000000000000001E-3</v>
      </c>
      <c r="Y97" s="38">
        <f t="shared" si="36"/>
        <v>0</v>
      </c>
      <c r="Z97" s="218" t="str">
        <f t="shared" si="37"/>
        <v/>
      </c>
      <c r="AA97" s="218" t="str">
        <f t="shared" si="38"/>
        <v/>
      </c>
      <c r="AB97" s="218" t="str">
        <f t="shared" si="39"/>
        <v/>
      </c>
      <c r="AC97" s="38">
        <f>IFERROR(1/(1/INDEX(Cascade!$BH:$BH,MATCH($E97,Cascade!$E:$E,0))),"")</f>
        <v>45</v>
      </c>
      <c r="AD97" s="38" t="str">
        <f t="shared" si="40"/>
        <v/>
      </c>
      <c r="AE97" s="38">
        <f>IFERROR(1/(1/INDEX(TB!$P:$P,MATCH($E97,TB!$E:$E,0))),"")</f>
        <v>2</v>
      </c>
      <c r="AF97" s="38">
        <f t="shared" si="41"/>
        <v>43</v>
      </c>
    </row>
    <row r="98" spans="1:32" x14ac:dyDescent="0.2">
      <c r="A98" t="str">
        <f>INDEX(Prioritization!$D:$D,MATCH($B98,Prioritization!$A:$A,0))</f>
        <v>4 - Sustained</v>
      </c>
      <c r="B98" t="s">
        <v>303</v>
      </c>
      <c r="C98" t="s">
        <v>478</v>
      </c>
      <c r="D98" t="s">
        <v>48</v>
      </c>
      <c r="E98" t="str">
        <f t="shared" si="29"/>
        <v>Nkhotakota District [YCKiBAp8QAg]|50+|Male</v>
      </c>
      <c r="F98" s="38">
        <f>IF(LEFT($B98,4)="_Mil","",INDEX(Cascade!$T:$T,MATCH($E98,Cascade!$E:$E,0)))</f>
        <v>16737</v>
      </c>
      <c r="G98" s="38">
        <f>IF(LEFT($B98,4)="_Mil","",INDEX(Cascade!$U:$U,MATCH($E98,Cascade!$E:$E,0)))</f>
        <v>1816</v>
      </c>
      <c r="H98" s="110">
        <f>IF(LEFT($B98,4)="_Mil","",INDEX(Cascade!$W:$W,MATCH($E98,Cascade!$E:$E,0)))</f>
        <v>0.108521255</v>
      </c>
      <c r="I98" s="38">
        <f>IF(LEFT($B98,4)="_Mil","",INDEX(Cascade!$Z:$Z,MATCH($E98,Cascade!$E:$E,0)))</f>
        <v>1918</v>
      </c>
      <c r="J98" s="33">
        <f>IF(LEFT($B98,4)="_Mil","",INDEX(Cascade!$AA:$AA,MATCH($E98,Cascade!$E:$E,0)))</f>
        <v>0.9475505540000001</v>
      </c>
      <c r="K98" s="38"/>
      <c r="L98" s="38">
        <v>0</v>
      </c>
      <c r="M98" s="218" t="str">
        <f>IF(LEFT($B98,4)="_Mil","",IFERROR(1/(1/ROUND(INDEX(Spectrum!$N:$N,MATCH(RIGHT($B98,13)&amp;"|"&amp;$C98&amp;"|"&amp;$D98&amp;"|"&amp;M$14&amp;"|"&amp;"CY2024Q3",Spectrum!$R:$R,0)),0)),IF(SUM($L98)=0,"",$L98)))</f>
        <v/>
      </c>
      <c r="N98" s="218">
        <f>IF(LEFT($B98,4)="_Mil","",IFERROR(1/(1/ROUND(INDEX(Spectrum!$N:$N,MATCH(RIGHT($B98,13)&amp;"|"&amp;$C98&amp;"|"&amp;$D98&amp;"|"&amp;N$14&amp;"|"&amp;"CY2024Q3",Spectrum!$R:$R,0)),0)),IF(SUM($M98)=0,"",$M98)))</f>
        <v>5336</v>
      </c>
      <c r="O98" s="33">
        <f t="shared" si="30"/>
        <v>0.318814602377965</v>
      </c>
      <c r="P98" s="33">
        <f t="shared" si="31"/>
        <v>0.8</v>
      </c>
      <c r="Q98" s="218">
        <f t="shared" si="32"/>
        <v>13390</v>
      </c>
      <c r="R98" s="218">
        <f t="shared" si="33"/>
        <v>8054</v>
      </c>
      <c r="S98" s="33">
        <v>0</v>
      </c>
      <c r="T98" s="33" t="str">
        <f t="shared" si="34"/>
        <v/>
      </c>
      <c r="U98" s="33"/>
      <c r="V98" s="33" t="str">
        <f t="shared" si="35"/>
        <v/>
      </c>
      <c r="W98" s="33"/>
      <c r="X98" s="236">
        <v>3.5000000000000001E-3</v>
      </c>
      <c r="Y98" s="38">
        <f t="shared" si="36"/>
        <v>0</v>
      </c>
      <c r="Z98" s="218" t="str">
        <f t="shared" si="37"/>
        <v/>
      </c>
      <c r="AA98" s="218" t="str">
        <f t="shared" si="38"/>
        <v/>
      </c>
      <c r="AB98" s="218" t="str">
        <f t="shared" si="39"/>
        <v/>
      </c>
      <c r="AC98" s="38">
        <f>IFERROR(1/(1/INDEX(Cascade!$BH:$BH,MATCH($E98,Cascade!$E:$E,0))),"")</f>
        <v>64</v>
      </c>
      <c r="AD98" s="38" t="str">
        <f t="shared" si="40"/>
        <v/>
      </c>
      <c r="AE98" s="38">
        <f>IFERROR(1/(1/INDEX(TB!$P:$P,MATCH($E98,TB!$E:$E,0))),"")</f>
        <v>1</v>
      </c>
      <c r="AF98" s="38">
        <f t="shared" si="41"/>
        <v>63</v>
      </c>
    </row>
    <row r="99" spans="1:32" x14ac:dyDescent="0.2">
      <c r="A99" t="str">
        <f>INDEX(Prioritization!$D:$D,MATCH($B99,Prioritization!$A:$A,0))</f>
        <v>INVALID</v>
      </c>
      <c r="B99" t="s">
        <v>322</v>
      </c>
      <c r="C99" t="s">
        <v>475</v>
      </c>
      <c r="D99" t="s">
        <v>48</v>
      </c>
      <c r="E99" t="str">
        <f t="shared" si="29"/>
        <v>Nsanje District [rpw540fmNUz]|15-24|Male</v>
      </c>
      <c r="F99" s="38">
        <f>IF(LEFT($B99,4)="_Mil","",INDEX(Cascade!$T:$T,MATCH($E99,Cascade!$E:$E,0)))</f>
        <v>36682</v>
      </c>
      <c r="G99" s="38">
        <f>IF(LEFT($B99,4)="_Mil","",INDEX(Cascade!$U:$U,MATCH($E99,Cascade!$E:$E,0)))</f>
        <v>716</v>
      </c>
      <c r="H99" s="110">
        <f>IF(LEFT($B99,4)="_Mil","",INDEX(Cascade!$W:$W,MATCH($E99,Cascade!$E:$E,0)))</f>
        <v>1.9515329000000001E-2</v>
      </c>
      <c r="I99" s="38">
        <f>IF(LEFT($B99,4)="_Mil","",INDEX(Cascade!$Z:$Z,MATCH($E99,Cascade!$E:$E,0)))</f>
        <v>778</v>
      </c>
      <c r="J99" s="33">
        <f>IF(LEFT($B99,4)="_Mil","",INDEX(Cascade!$AA:$AA,MATCH($E99,Cascade!$E:$E,0)))</f>
        <v>0.92256944600000002</v>
      </c>
      <c r="K99" s="38">
        <v>11387</v>
      </c>
      <c r="L99" s="38">
        <v>10621</v>
      </c>
      <c r="M99" s="218">
        <f>IF(LEFT($B99,4)="_Mil","",IFERROR(1/(1/ROUND(INDEX(Spectrum!$N:$N,MATCH(RIGHT($B99,13)&amp;"|"&amp;$C99&amp;"|"&amp;$D99&amp;"|"&amp;M$14&amp;"|"&amp;"CY2024Q3",Spectrum!$R:$R,0)),0)),IF(SUM($L99)=0,"",$L99)))</f>
        <v>10621</v>
      </c>
      <c r="N99" s="218">
        <f>IF(LEFT($B99,4)="_Mil","",IFERROR(1/(1/ROUND(INDEX(Spectrum!$N:$N,MATCH(RIGHT($B99,13)&amp;"|"&amp;$C99&amp;"|"&amp;$D99&amp;"|"&amp;N$14&amp;"|"&amp;"CY2024Q3",Spectrum!$R:$R,0)),0)),IF(SUM($M99)=0,"",$M99)))</f>
        <v>31274</v>
      </c>
      <c r="O99" s="33">
        <f t="shared" si="30"/>
        <v>0.85257074314377623</v>
      </c>
      <c r="P99" s="33">
        <f>IF(OR(LEFT($B99,4)="_Mil",SUM($F99)=0),"",MAX(SUM($O99),90%))</f>
        <v>0.9</v>
      </c>
      <c r="Q99" s="218">
        <f t="shared" si="32"/>
        <v>33014</v>
      </c>
      <c r="R99" s="218">
        <f t="shared" si="33"/>
        <v>1740</v>
      </c>
      <c r="S99" s="234">
        <v>1</v>
      </c>
      <c r="T99" s="33" t="str">
        <f t="shared" si="34"/>
        <v/>
      </c>
      <c r="U99" s="33">
        <v>0.245</v>
      </c>
      <c r="V99" s="33">
        <v>0</v>
      </c>
      <c r="W99" s="33">
        <v>1E-4</v>
      </c>
      <c r="X99" s="236">
        <v>3.5000000000000001E-3</v>
      </c>
      <c r="Y99" s="38">
        <f t="shared" si="36"/>
        <v>1740</v>
      </c>
      <c r="Z99" s="218">
        <f t="shared" si="37"/>
        <v>0</v>
      </c>
      <c r="AA99" s="218">
        <f t="shared" si="38"/>
        <v>6</v>
      </c>
      <c r="AB99" s="218">
        <f t="shared" si="39"/>
        <v>1734</v>
      </c>
      <c r="AC99" s="38">
        <f>IFERROR(1/(1/INDEX(Cascade!$BH:$BH,MATCH($E99,Cascade!$E:$E,0))),"")</f>
        <v>59</v>
      </c>
      <c r="AD99" s="38">
        <f t="shared" si="40"/>
        <v>6</v>
      </c>
      <c r="AE99" s="38">
        <f>IFERROR(1/(1/INDEX(TB!$P:$P,MATCH($E99,TB!$E:$E,0))),"")</f>
        <v>3</v>
      </c>
      <c r="AF99" s="38">
        <f t="shared" si="41"/>
        <v>50</v>
      </c>
    </row>
    <row r="100" spans="1:32" x14ac:dyDescent="0.2">
      <c r="A100" t="str">
        <f>INDEX(Prioritization!$D:$D,MATCH($B100,Prioritization!$A:$A,0))</f>
        <v>INVALID</v>
      </c>
      <c r="B100" t="s">
        <v>322</v>
      </c>
      <c r="C100" t="s">
        <v>476</v>
      </c>
      <c r="D100" t="s">
        <v>48</v>
      </c>
      <c r="E100" t="str">
        <f t="shared" si="29"/>
        <v>Nsanje District [rpw540fmNUz]|25-34|Male</v>
      </c>
      <c r="F100" s="38">
        <f>IF(LEFT($B100,4)="_Mil","",INDEX(Cascade!$T:$T,MATCH($E100,Cascade!$E:$E,0)))</f>
        <v>21541</v>
      </c>
      <c r="G100" s="38">
        <f>IF(LEFT($B100,4)="_Mil","",INDEX(Cascade!$U:$U,MATCH($E100,Cascade!$E:$E,0)))</f>
        <v>821</v>
      </c>
      <c r="H100" s="110">
        <f>IF(LEFT($B100,4)="_Mil","",INDEX(Cascade!$W:$W,MATCH($E100,Cascade!$E:$E,0)))</f>
        <v>3.8130184999999997E-2</v>
      </c>
      <c r="I100" s="38">
        <f>IF(LEFT($B100,4)="_Mil","",INDEX(Cascade!$Z:$Z,MATCH($E100,Cascade!$E:$E,0)))</f>
        <v>879</v>
      </c>
      <c r="J100" s="33">
        <f>IF(LEFT($B100,4)="_Mil","",INDEX(Cascade!$AA:$AA,MATCH($E100,Cascade!$E:$E,0)))</f>
        <v>0.89897509900000006</v>
      </c>
      <c r="K100" s="38">
        <v>6078</v>
      </c>
      <c r="L100" s="38"/>
      <c r="M100" s="218" t="str">
        <f>IF(LEFT($B100,4)="_Mil","",IFERROR(1/(1/ROUND(INDEX(Spectrum!$N:$N,MATCH(RIGHT($B100,13)&amp;"|"&amp;$C100&amp;"|"&amp;$D100&amp;"|"&amp;M$14&amp;"|"&amp;"CY2024Q3",Spectrum!$R:$R,0)),0)),IF(SUM($L100)=0,"",$L100)))</f>
        <v/>
      </c>
      <c r="N100" s="218">
        <f>IF(LEFT($B100,4)="_Mil","",IFERROR(1/(1/ROUND(INDEX(Spectrum!$N:$N,MATCH(RIGHT($B100,13)&amp;"|"&amp;$C100&amp;"|"&amp;$D100&amp;"|"&amp;N$14&amp;"|"&amp;"CY2024Q3",Spectrum!$R:$R,0)),0)),IF(SUM($M100)=0,"",$M100)))</f>
        <v>14126.999999999998</v>
      </c>
      <c r="O100" s="33">
        <f t="shared" si="30"/>
        <v>0.65581913560187544</v>
      </c>
      <c r="P100" s="33">
        <f t="shared" si="31"/>
        <v>0.8</v>
      </c>
      <c r="Q100" s="218">
        <f t="shared" si="32"/>
        <v>17233</v>
      </c>
      <c r="R100" s="218">
        <f t="shared" si="33"/>
        <v>3106</v>
      </c>
      <c r="S100" s="234">
        <v>1</v>
      </c>
      <c r="T100" s="33" t="str">
        <f t="shared" si="34"/>
        <v/>
      </c>
      <c r="U100" s="33">
        <v>0.27800000000000002</v>
      </c>
      <c r="V100" s="33">
        <v>0</v>
      </c>
      <c r="W100" s="33">
        <v>8.9999999999999998E-4</v>
      </c>
      <c r="X100" s="236">
        <v>3.5000000000000001E-3</v>
      </c>
      <c r="Y100" s="38">
        <f t="shared" si="36"/>
        <v>3106</v>
      </c>
      <c r="Z100" s="218">
        <f t="shared" si="37"/>
        <v>0</v>
      </c>
      <c r="AA100" s="218">
        <f t="shared" si="38"/>
        <v>11</v>
      </c>
      <c r="AB100" s="218">
        <f t="shared" si="39"/>
        <v>3095</v>
      </c>
      <c r="AC100" s="38">
        <f>IFERROR(1/(1/INDEX(Cascade!$BH:$BH,MATCH($E100,Cascade!$E:$E,0))),"")</f>
        <v>48</v>
      </c>
      <c r="AD100" s="38">
        <f t="shared" si="40"/>
        <v>11</v>
      </c>
      <c r="AE100" s="38">
        <f>IFERROR(1/(1/INDEX(TB!$P:$P,MATCH($E100,TB!$E:$E,0))),"")</f>
        <v>3</v>
      </c>
      <c r="AF100" s="38">
        <f t="shared" si="41"/>
        <v>34</v>
      </c>
    </row>
    <row r="101" spans="1:32" x14ac:dyDescent="0.2">
      <c r="A101" t="str">
        <f>INDEX(Prioritization!$D:$D,MATCH($B101,Prioritization!$A:$A,0))</f>
        <v>INVALID</v>
      </c>
      <c r="B101" t="s">
        <v>322</v>
      </c>
      <c r="C101" t="s">
        <v>477</v>
      </c>
      <c r="D101" t="s">
        <v>48</v>
      </c>
      <c r="E101" t="str">
        <f t="shared" si="29"/>
        <v>Nsanje District [rpw540fmNUz]|35-49|Male</v>
      </c>
      <c r="F101" s="38">
        <f>IF(LEFT($B101,4)="_Mil","",INDEX(Cascade!$T:$T,MATCH($E101,Cascade!$E:$E,0)))</f>
        <v>20925</v>
      </c>
      <c r="G101" s="38">
        <f>IF(LEFT($B101,4)="_Mil","",INDEX(Cascade!$U:$U,MATCH($E101,Cascade!$E:$E,0)))</f>
        <v>2953</v>
      </c>
      <c r="H101" s="110">
        <f>IF(LEFT($B101,4)="_Mil","",INDEX(Cascade!$W:$W,MATCH($E101,Cascade!$E:$E,0)))</f>
        <v>0.14111537299999999</v>
      </c>
      <c r="I101" s="38">
        <f>IF(LEFT($B101,4)="_Mil","",INDEX(Cascade!$Z:$Z,MATCH($E101,Cascade!$E:$E,0)))</f>
        <v>3317</v>
      </c>
      <c r="J101" s="33">
        <f>IF(LEFT($B101,4)="_Mil","",INDEX(Cascade!$AA:$AA,MATCH($E101,Cascade!$E:$E,0)))</f>
        <v>0.93908005200000011</v>
      </c>
      <c r="K101" s="38">
        <v>1896</v>
      </c>
      <c r="L101" s="38">
        <v>1752</v>
      </c>
      <c r="M101" s="218">
        <f>IF(LEFT($B101,4)="_Mil","",IFERROR(1/(1/ROUND(INDEX(Spectrum!$N:$N,MATCH(RIGHT($B101,13)&amp;"|"&amp;$C101&amp;"|"&amp;$D101&amp;"|"&amp;M$14&amp;"|"&amp;"CY2024Q3",Spectrum!$R:$R,0)),0)),IF(SUM($L101)=0,"",$L101)))</f>
        <v>1751</v>
      </c>
      <c r="N101" s="218">
        <f>IF(LEFT($B101,4)="_Mil","",IFERROR(1/(1/ROUND(INDEX(Spectrum!$N:$N,MATCH(RIGHT($B101,13)&amp;"|"&amp;$C101&amp;"|"&amp;$D101&amp;"|"&amp;N$14&amp;"|"&amp;"CY2024Q3",Spectrum!$R:$R,0)),0)),IF(SUM($M101)=0,"",$M101)))</f>
        <v>7815</v>
      </c>
      <c r="O101" s="33">
        <f t="shared" si="30"/>
        <v>0.37347670250896059</v>
      </c>
      <c r="P101" s="33">
        <f t="shared" si="31"/>
        <v>0.8</v>
      </c>
      <c r="Q101" s="218">
        <f t="shared" si="32"/>
        <v>16740</v>
      </c>
      <c r="R101" s="218">
        <f t="shared" si="33"/>
        <v>8925</v>
      </c>
      <c r="S101" s="234">
        <v>0.68</v>
      </c>
      <c r="T101" s="33" t="str">
        <f t="shared" si="34"/>
        <v/>
      </c>
      <c r="U101" s="33">
        <v>0.35899999999999999</v>
      </c>
      <c r="V101" s="33">
        <v>0</v>
      </c>
      <c r="W101" s="33">
        <v>8.0000000000000004E-4</v>
      </c>
      <c r="X101" s="236">
        <v>3.5000000000000001E-3</v>
      </c>
      <c r="Y101" s="38">
        <f t="shared" si="36"/>
        <v>6069</v>
      </c>
      <c r="Z101" s="218">
        <f t="shared" si="37"/>
        <v>0</v>
      </c>
      <c r="AA101" s="218">
        <f t="shared" si="38"/>
        <v>21</v>
      </c>
      <c r="AB101" s="218">
        <f t="shared" si="39"/>
        <v>6048</v>
      </c>
      <c r="AC101" s="38">
        <f>IFERROR(1/(1/INDEX(Cascade!$BH:$BH,MATCH($E101,Cascade!$E:$E,0))),"")</f>
        <v>72</v>
      </c>
      <c r="AD101" s="38">
        <f t="shared" si="40"/>
        <v>21</v>
      </c>
      <c r="AE101" s="38">
        <f>IFERROR(1/(1/INDEX(TB!$P:$P,MATCH($E101,TB!$E:$E,0))),"")</f>
        <v>5</v>
      </c>
      <c r="AF101" s="38">
        <f t="shared" si="41"/>
        <v>46</v>
      </c>
    </row>
    <row r="102" spans="1:32" x14ac:dyDescent="0.2">
      <c r="A102" t="str">
        <f>INDEX(Prioritization!$D:$D,MATCH($B102,Prioritization!$A:$A,0))</f>
        <v>INVALID</v>
      </c>
      <c r="B102" t="s">
        <v>322</v>
      </c>
      <c r="C102" t="s">
        <v>478</v>
      </c>
      <c r="D102" t="s">
        <v>48</v>
      </c>
      <c r="E102" t="str">
        <f t="shared" si="29"/>
        <v>Nsanje District [rpw540fmNUz]|50+|Male</v>
      </c>
      <c r="F102" s="38">
        <f>IF(LEFT($B102,4)="_Mil","",INDEX(Cascade!$T:$T,MATCH($E102,Cascade!$E:$E,0)))</f>
        <v>12232</v>
      </c>
      <c r="G102" s="38">
        <f>IF(LEFT($B102,4)="_Mil","",INDEX(Cascade!$U:$U,MATCH($E102,Cascade!$E:$E,0)))</f>
        <v>2303</v>
      </c>
      <c r="H102" s="110">
        <f>IF(LEFT($B102,4)="_Mil","",INDEX(Cascade!$W:$W,MATCH($E102,Cascade!$E:$E,0)))</f>
        <v>0.18826631899999999</v>
      </c>
      <c r="I102" s="38">
        <f>IF(LEFT($B102,4)="_Mil","",INDEX(Cascade!$Z:$Z,MATCH($E102,Cascade!$E:$E,0)))</f>
        <v>2636</v>
      </c>
      <c r="J102" s="33">
        <f>IF(LEFT($B102,4)="_Mil","",INDEX(Cascade!$AA:$AA,MATCH($E102,Cascade!$E:$E,0)))</f>
        <v>0.95835509800000007</v>
      </c>
      <c r="K102" s="38">
        <v>55</v>
      </c>
      <c r="L102" s="38">
        <v>0</v>
      </c>
      <c r="M102" s="218" t="str">
        <f>IF(LEFT($B102,4)="_Mil","",IFERROR(1/(1/ROUND(INDEX(Spectrum!$N:$N,MATCH(RIGHT($B102,13)&amp;"|"&amp;$C102&amp;"|"&amp;$D102&amp;"|"&amp;M$14&amp;"|"&amp;"CY2024Q3",Spectrum!$R:$R,0)),0)),IF(SUM($L102)=0,"",$L102)))</f>
        <v/>
      </c>
      <c r="N102" s="218">
        <f>IF(LEFT($B102,4)="_Mil","",IFERROR(1/(1/ROUND(INDEX(Spectrum!$N:$N,MATCH(RIGHT($B102,13)&amp;"|"&amp;$C102&amp;"|"&amp;$D102&amp;"|"&amp;N$14&amp;"|"&amp;"CY2024Q3",Spectrum!$R:$R,0)),0)),IF(SUM($M102)=0,"",$M102)))</f>
        <v>1137</v>
      </c>
      <c r="O102" s="33">
        <f t="shared" si="30"/>
        <v>9.2952910398953564E-2</v>
      </c>
      <c r="P102" s="33">
        <f t="shared" si="31"/>
        <v>0.8</v>
      </c>
      <c r="Q102" s="218">
        <f t="shared" si="32"/>
        <v>9786</v>
      </c>
      <c r="R102" s="218">
        <f t="shared" si="33"/>
        <v>8649</v>
      </c>
      <c r="S102" s="33">
        <v>0</v>
      </c>
      <c r="T102" s="33" t="str">
        <f t="shared" si="34"/>
        <v/>
      </c>
      <c r="U102" s="33">
        <v>0.373</v>
      </c>
      <c r="V102" s="33">
        <v>0</v>
      </c>
      <c r="W102" s="33"/>
      <c r="X102" s="236">
        <v>3.5000000000000001E-3</v>
      </c>
      <c r="Y102" s="38">
        <f t="shared" si="36"/>
        <v>0</v>
      </c>
      <c r="Z102" s="218" t="str">
        <f t="shared" si="37"/>
        <v/>
      </c>
      <c r="AA102" s="218" t="str">
        <f t="shared" si="38"/>
        <v/>
      </c>
      <c r="AB102" s="218" t="str">
        <f t="shared" si="39"/>
        <v/>
      </c>
      <c r="AC102" s="38">
        <f>IFERROR(1/(1/INDEX(Cascade!$BH:$BH,MATCH($E102,Cascade!$E:$E,0))),"")</f>
        <v>7</v>
      </c>
      <c r="AD102" s="38" t="str">
        <f t="shared" si="40"/>
        <v/>
      </c>
      <c r="AE102" s="38">
        <f>IFERROR(1/(1/INDEX(TB!$P:$P,MATCH($E102,TB!$E:$E,0))),"")</f>
        <v>2</v>
      </c>
      <c r="AF102" s="38">
        <f t="shared" si="41"/>
        <v>5</v>
      </c>
    </row>
    <row r="103" spans="1:32" x14ac:dyDescent="0.2">
      <c r="A103" t="str">
        <f>INDEX(Prioritization!$D:$D,MATCH($B103,Prioritization!$A:$A,0))</f>
        <v>4 - Sustained</v>
      </c>
      <c r="B103" t="s">
        <v>304</v>
      </c>
      <c r="C103" t="s">
        <v>475</v>
      </c>
      <c r="D103" t="s">
        <v>48</v>
      </c>
      <c r="E103" t="str">
        <f t="shared" si="29"/>
        <v>Ntcheu District [am530wpaGvr]|15-24|Male</v>
      </c>
      <c r="F103" s="38">
        <f>IF(LEFT($B103,4)="_Mil","",INDEX(Cascade!$T:$T,MATCH($E103,Cascade!$E:$E,0)))</f>
        <v>91383</v>
      </c>
      <c r="G103" s="38">
        <f>IF(LEFT($B103,4)="_Mil","",INDEX(Cascade!$U:$U,MATCH($E103,Cascade!$E:$E,0)))</f>
        <v>969</v>
      </c>
      <c r="H103" s="110">
        <f>IF(LEFT($B103,4)="_Mil","",INDEX(Cascade!$W:$W,MATCH($E103,Cascade!$E:$E,0)))</f>
        <v>1.0605262000000001E-2</v>
      </c>
      <c r="I103" s="38">
        <f>IF(LEFT($B103,4)="_Mil","",INDEX(Cascade!$Z:$Z,MATCH($E103,Cascade!$E:$E,0)))</f>
        <v>1015</v>
      </c>
      <c r="J103" s="33">
        <f>IF(LEFT($B103,4)="_Mil","",INDEX(Cascade!$AA:$AA,MATCH($E103,Cascade!$E:$E,0)))</f>
        <v>0.87517345000000002</v>
      </c>
      <c r="K103" s="38"/>
      <c r="L103" s="38">
        <v>0</v>
      </c>
      <c r="M103" s="218" t="str">
        <f>IF(LEFT($B103,4)="_Mil","",IFERROR(1/(1/ROUND(INDEX(Spectrum!$N:$N,MATCH(RIGHT($B103,13)&amp;"|"&amp;$C103&amp;"|"&amp;$D103&amp;"|"&amp;M$14&amp;"|"&amp;"CY2024Q3",Spectrum!$R:$R,0)),0)),IF(SUM($L103)=0,"",$L103)))</f>
        <v/>
      </c>
      <c r="N103" s="218">
        <f>IF(LEFT($B103,4)="_Mil","",IFERROR(1/(1/ROUND(INDEX(Spectrum!$N:$N,MATCH(RIGHT($B103,13)&amp;"|"&amp;$C103&amp;"|"&amp;$D103&amp;"|"&amp;N$14&amp;"|"&amp;"CY2024Q3",Spectrum!$R:$R,0)),0)),IF(SUM($M103)=0,"",$M103)))</f>
        <v>9775</v>
      </c>
      <c r="O103" s="33">
        <f t="shared" si="30"/>
        <v>0.10696737905299673</v>
      </c>
      <c r="P103" s="33">
        <f>IF(OR(LEFT($B103,4)="_Mil",SUM($F103)=0),"",MAX(SUM($O103),80%))</f>
        <v>0.8</v>
      </c>
      <c r="Q103" s="218">
        <f t="shared" si="32"/>
        <v>73106</v>
      </c>
      <c r="R103" s="218">
        <f t="shared" si="33"/>
        <v>63331</v>
      </c>
      <c r="S103" s="33">
        <v>0</v>
      </c>
      <c r="T103" s="33" t="str">
        <f t="shared" si="34"/>
        <v/>
      </c>
      <c r="U103" s="33"/>
      <c r="V103" s="33" t="str">
        <f t="shared" si="35"/>
        <v/>
      </c>
      <c r="W103" s="33"/>
      <c r="X103" s="236">
        <v>3.5000000000000001E-3</v>
      </c>
      <c r="Y103" s="38">
        <f t="shared" si="36"/>
        <v>0</v>
      </c>
      <c r="Z103" s="218" t="str">
        <f t="shared" si="37"/>
        <v/>
      </c>
      <c r="AA103" s="218" t="str">
        <f t="shared" si="38"/>
        <v/>
      </c>
      <c r="AB103" s="218" t="str">
        <f t="shared" si="39"/>
        <v/>
      </c>
      <c r="AC103" s="38">
        <f>IFERROR(1/(1/INDEX(Cascade!$BH:$BH,MATCH($E103,Cascade!$E:$E,0))),"")</f>
        <v>53</v>
      </c>
      <c r="AD103" s="38" t="str">
        <f t="shared" si="40"/>
        <v/>
      </c>
      <c r="AE103" s="38">
        <f>IFERROR(1/(1/INDEX(TB!$P:$P,MATCH($E103,TB!$E:$E,0))),"")</f>
        <v>2</v>
      </c>
      <c r="AF103" s="38">
        <f t="shared" si="41"/>
        <v>51</v>
      </c>
    </row>
    <row r="104" spans="1:32" x14ac:dyDescent="0.2">
      <c r="A104" t="str">
        <f>INDEX(Prioritization!$D:$D,MATCH($B104,Prioritization!$A:$A,0))</f>
        <v>4 - Sustained</v>
      </c>
      <c r="B104" t="s">
        <v>304</v>
      </c>
      <c r="C104" t="s">
        <v>476</v>
      </c>
      <c r="D104" t="s">
        <v>48</v>
      </c>
      <c r="E104" t="str">
        <f t="shared" si="29"/>
        <v>Ntcheu District [am530wpaGvr]|25-34|Male</v>
      </c>
      <c r="F104" s="38">
        <f>IF(LEFT($B104,4)="_Mil","",INDEX(Cascade!$T:$T,MATCH($E104,Cascade!$E:$E,0)))</f>
        <v>56371</v>
      </c>
      <c r="G104" s="38">
        <f>IF(LEFT($B104,4)="_Mil","",INDEX(Cascade!$U:$U,MATCH($E104,Cascade!$E:$E,0)))</f>
        <v>1199</v>
      </c>
      <c r="H104" s="110">
        <f>IF(LEFT($B104,4)="_Mil","",INDEX(Cascade!$W:$W,MATCH($E104,Cascade!$E:$E,0)))</f>
        <v>2.1278411000000001E-2</v>
      </c>
      <c r="I104" s="38">
        <f>IF(LEFT($B104,4)="_Mil","",INDEX(Cascade!$Z:$Z,MATCH($E104,Cascade!$E:$E,0)))</f>
        <v>1196</v>
      </c>
      <c r="J104" s="33">
        <f>IF(LEFT($B104,4)="_Mil","",INDEX(Cascade!$AA:$AA,MATCH($E104,Cascade!$E:$E,0)))</f>
        <v>0.83954640999999997</v>
      </c>
      <c r="K104" s="38"/>
      <c r="L104" s="38">
        <v>0</v>
      </c>
      <c r="M104" s="218" t="str">
        <f>IF(LEFT($B104,4)="_Mil","",IFERROR(1/(1/ROUND(INDEX(Spectrum!$N:$N,MATCH(RIGHT($B104,13)&amp;"|"&amp;$C104&amp;"|"&amp;$D104&amp;"|"&amp;M$14&amp;"|"&amp;"CY2024Q3",Spectrum!$R:$R,0)),0)),IF(SUM($L104)=0,"",$L104)))</f>
        <v/>
      </c>
      <c r="N104" s="218">
        <f>IF(LEFT($B104,4)="_Mil","",IFERROR(1/(1/ROUND(INDEX(Spectrum!$N:$N,MATCH(RIGHT($B104,13)&amp;"|"&amp;$C104&amp;"|"&amp;$D104&amp;"|"&amp;N$14&amp;"|"&amp;"CY2024Q3",Spectrum!$R:$R,0)),0)),IF(SUM($M104)=0,"",$M104)))</f>
        <v>9754</v>
      </c>
      <c r="O104" s="33">
        <f t="shared" si="30"/>
        <v>0.17303223288570363</v>
      </c>
      <c r="P104" s="33">
        <f t="shared" si="31"/>
        <v>0.8</v>
      </c>
      <c r="Q104" s="218">
        <f t="shared" si="32"/>
        <v>45097</v>
      </c>
      <c r="R104" s="218">
        <f t="shared" si="33"/>
        <v>35343</v>
      </c>
      <c r="S104" s="33">
        <v>0</v>
      </c>
      <c r="T104" s="33" t="str">
        <f t="shared" si="34"/>
        <v/>
      </c>
      <c r="U104" s="33"/>
      <c r="V104" s="33" t="str">
        <f t="shared" si="35"/>
        <v/>
      </c>
      <c r="W104" s="33"/>
      <c r="X104" s="236">
        <v>3.5000000000000001E-3</v>
      </c>
      <c r="Y104" s="38">
        <f t="shared" si="36"/>
        <v>0</v>
      </c>
      <c r="Z104" s="218" t="str">
        <f t="shared" si="37"/>
        <v/>
      </c>
      <c r="AA104" s="218" t="str">
        <f t="shared" si="38"/>
        <v/>
      </c>
      <c r="AB104" s="218" t="str">
        <f t="shared" si="39"/>
        <v/>
      </c>
      <c r="AC104" s="38">
        <f>IFERROR(1/(1/INDEX(Cascade!$BH:$BH,MATCH($E104,Cascade!$E:$E,0))),"")</f>
        <v>26</v>
      </c>
      <c r="AD104" s="38" t="str">
        <f t="shared" si="40"/>
        <v/>
      </c>
      <c r="AE104" s="38">
        <f>IFERROR(1/(1/INDEX(TB!$P:$P,MATCH($E104,TB!$E:$E,0))),"")</f>
        <v>2</v>
      </c>
      <c r="AF104" s="38">
        <f t="shared" si="41"/>
        <v>24</v>
      </c>
    </row>
    <row r="105" spans="1:32" x14ac:dyDescent="0.2">
      <c r="A105" t="str">
        <f>INDEX(Prioritization!$D:$D,MATCH($B105,Prioritization!$A:$A,0))</f>
        <v>4 - Sustained</v>
      </c>
      <c r="B105" t="s">
        <v>304</v>
      </c>
      <c r="C105" t="s">
        <v>477</v>
      </c>
      <c r="D105" t="s">
        <v>48</v>
      </c>
      <c r="E105" t="str">
        <f t="shared" si="29"/>
        <v>Ntcheu District [am530wpaGvr]|35-49|Male</v>
      </c>
      <c r="F105" s="38">
        <f>IF(LEFT($B105,4)="_Mil","",INDEX(Cascade!$T:$T,MATCH($E105,Cascade!$E:$E,0)))</f>
        <v>54163</v>
      </c>
      <c r="G105" s="38">
        <f>IF(LEFT($B105,4)="_Mil","",INDEX(Cascade!$U:$U,MATCH($E105,Cascade!$E:$E,0)))</f>
        <v>4555</v>
      </c>
      <c r="H105" s="110">
        <f>IF(LEFT($B105,4)="_Mil","",INDEX(Cascade!$W:$W,MATCH($E105,Cascade!$E:$E,0)))</f>
        <v>8.409266E-2</v>
      </c>
      <c r="I105" s="38">
        <f>IF(LEFT($B105,4)="_Mil","",INDEX(Cascade!$Z:$Z,MATCH($E105,Cascade!$E:$E,0)))</f>
        <v>4775</v>
      </c>
      <c r="J105" s="33">
        <f>IF(LEFT($B105,4)="_Mil","",INDEX(Cascade!$AA:$AA,MATCH($E105,Cascade!$E:$E,0)))</f>
        <v>0.90023134500000002</v>
      </c>
      <c r="K105" s="38"/>
      <c r="L105" s="38">
        <v>0</v>
      </c>
      <c r="M105" s="218" t="str">
        <f>IF(LEFT($B105,4)="_Mil","",IFERROR(1/(1/ROUND(INDEX(Spectrum!$N:$N,MATCH(RIGHT($B105,13)&amp;"|"&amp;$C105&amp;"|"&amp;$D105&amp;"|"&amp;M$14&amp;"|"&amp;"CY2024Q3",Spectrum!$R:$R,0)),0)),IF(SUM($L105)=0,"",$L105)))</f>
        <v/>
      </c>
      <c r="N105" s="218">
        <f>IF(LEFT($B105,4)="_Mil","",IFERROR(1/(1/ROUND(INDEX(Spectrum!$N:$N,MATCH(RIGHT($B105,13)&amp;"|"&amp;$C105&amp;"|"&amp;$D105&amp;"|"&amp;N$14&amp;"|"&amp;"CY2024Q3",Spectrum!$R:$R,0)),0)),IF(SUM($M105)=0,"",$M105)))</f>
        <v>7360</v>
      </c>
      <c r="O105" s="33">
        <f t="shared" si="30"/>
        <v>0.13588612152207227</v>
      </c>
      <c r="P105" s="33">
        <f t="shared" si="31"/>
        <v>0.8</v>
      </c>
      <c r="Q105" s="218">
        <f t="shared" si="32"/>
        <v>43330</v>
      </c>
      <c r="R105" s="218">
        <f t="shared" si="33"/>
        <v>35970</v>
      </c>
      <c r="S105" s="33">
        <v>0</v>
      </c>
      <c r="T105" s="33" t="str">
        <f t="shared" si="34"/>
        <v/>
      </c>
      <c r="U105" s="33"/>
      <c r="V105" s="33" t="str">
        <f t="shared" si="35"/>
        <v/>
      </c>
      <c r="W105" s="33"/>
      <c r="X105" s="236">
        <v>3.5000000000000001E-3</v>
      </c>
      <c r="Y105" s="38">
        <f t="shared" si="36"/>
        <v>0</v>
      </c>
      <c r="Z105" s="218" t="str">
        <f t="shared" si="37"/>
        <v/>
      </c>
      <c r="AA105" s="218" t="str">
        <f t="shared" si="38"/>
        <v/>
      </c>
      <c r="AB105" s="218" t="str">
        <f t="shared" si="39"/>
        <v/>
      </c>
      <c r="AC105" s="38">
        <f>IFERROR(1/(1/INDEX(Cascade!$BH:$BH,MATCH($E105,Cascade!$E:$E,0))),"")</f>
        <v>273</v>
      </c>
      <c r="AD105" s="38" t="str">
        <f t="shared" si="40"/>
        <v/>
      </c>
      <c r="AE105" s="38">
        <f>IFERROR(1/(1/INDEX(TB!$P:$P,MATCH($E105,TB!$E:$E,0))),"")</f>
        <v>3</v>
      </c>
      <c r="AF105" s="38">
        <f t="shared" si="41"/>
        <v>270</v>
      </c>
    </row>
    <row r="106" spans="1:32" x14ac:dyDescent="0.2">
      <c r="A106" t="str">
        <f>INDEX(Prioritization!$D:$D,MATCH($B106,Prioritization!$A:$A,0))</f>
        <v>4 - Sustained</v>
      </c>
      <c r="B106" t="s">
        <v>304</v>
      </c>
      <c r="C106" t="s">
        <v>478</v>
      </c>
      <c r="D106" t="s">
        <v>48</v>
      </c>
      <c r="E106" t="str">
        <f t="shared" si="29"/>
        <v>Ntcheu District [am530wpaGvr]|50+|Male</v>
      </c>
      <c r="F106" s="38">
        <f>IF(LEFT($B106,4)="_Mil","",INDEX(Cascade!$T:$T,MATCH($E106,Cascade!$E:$E,0)))</f>
        <v>30684</v>
      </c>
      <c r="G106" s="38">
        <f>IF(LEFT($B106,4)="_Mil","",INDEX(Cascade!$U:$U,MATCH($E106,Cascade!$E:$E,0)))</f>
        <v>3414</v>
      </c>
      <c r="H106" s="110">
        <f>IF(LEFT($B106,4)="_Mil","",INDEX(Cascade!$W:$W,MATCH($E106,Cascade!$E:$E,0)))</f>
        <v>0.11127217</v>
      </c>
      <c r="I106" s="38">
        <f>IF(LEFT($B106,4)="_Mil","",INDEX(Cascade!$Z:$Z,MATCH($E106,Cascade!$E:$E,0)))</f>
        <v>3698</v>
      </c>
      <c r="J106" s="33">
        <f>IF(LEFT($B106,4)="_Mil","",INDEX(Cascade!$AA:$AA,MATCH($E106,Cascade!$E:$E,0)))</f>
        <v>0.93104606199999995</v>
      </c>
      <c r="K106" s="38"/>
      <c r="L106" s="38">
        <v>0</v>
      </c>
      <c r="M106" s="218" t="str">
        <f>IF(LEFT($B106,4)="_Mil","",IFERROR(1/(1/ROUND(INDEX(Spectrum!$N:$N,MATCH(RIGHT($B106,13)&amp;"|"&amp;$C106&amp;"|"&amp;$D106&amp;"|"&amp;M$14&amp;"|"&amp;"CY2024Q3",Spectrum!$R:$R,0)),0)),IF(SUM($L106)=0,"",$L106)))</f>
        <v/>
      </c>
      <c r="N106" s="218">
        <f>IF(LEFT($B106,4)="_Mil","",IFERROR(1/(1/ROUND(INDEX(Spectrum!$N:$N,MATCH(RIGHT($B106,13)&amp;"|"&amp;$C106&amp;"|"&amp;$D106&amp;"|"&amp;N$14&amp;"|"&amp;"CY2024Q3",Spectrum!$R:$R,0)),0)),IF(SUM($M106)=0,"",$M106)))</f>
        <v>2293</v>
      </c>
      <c r="O106" s="33">
        <f t="shared" si="30"/>
        <v>7.4729500716986058E-2</v>
      </c>
      <c r="P106" s="33">
        <f t="shared" si="31"/>
        <v>0.8</v>
      </c>
      <c r="Q106" s="218">
        <f t="shared" si="32"/>
        <v>24547</v>
      </c>
      <c r="R106" s="218">
        <f t="shared" si="33"/>
        <v>22254</v>
      </c>
      <c r="S106" s="33">
        <v>0</v>
      </c>
      <c r="T106" s="33" t="str">
        <f t="shared" si="34"/>
        <v/>
      </c>
      <c r="U106" s="33"/>
      <c r="V106" s="33" t="str">
        <f t="shared" si="35"/>
        <v/>
      </c>
      <c r="W106" s="33"/>
      <c r="X106" s="236">
        <v>3.5000000000000001E-3</v>
      </c>
      <c r="Y106" s="38">
        <f t="shared" si="36"/>
        <v>0</v>
      </c>
      <c r="Z106" s="218" t="str">
        <f t="shared" si="37"/>
        <v/>
      </c>
      <c r="AA106" s="218" t="str">
        <f t="shared" si="38"/>
        <v/>
      </c>
      <c r="AB106" s="218" t="str">
        <f t="shared" si="39"/>
        <v/>
      </c>
      <c r="AC106" s="38">
        <f>IFERROR(1/(1/INDEX(Cascade!$BH:$BH,MATCH($E106,Cascade!$E:$E,0))),"")</f>
        <v>253.00000000000003</v>
      </c>
      <c r="AD106" s="38" t="str">
        <f t="shared" si="40"/>
        <v/>
      </c>
      <c r="AE106" s="38">
        <f>IFERROR(1/(1/INDEX(TB!$P:$P,MATCH($E106,TB!$E:$E,0))),"")</f>
        <v>1</v>
      </c>
      <c r="AF106" s="38">
        <f t="shared" si="41"/>
        <v>252</v>
      </c>
    </row>
    <row r="107" spans="1:32" x14ac:dyDescent="0.2">
      <c r="A107" t="str">
        <f>INDEX(Prioritization!$D:$D,MATCH($B107,Prioritization!$A:$A,0))</f>
        <v>4 - Sustained</v>
      </c>
      <c r="B107" t="s">
        <v>305</v>
      </c>
      <c r="C107" t="s">
        <v>475</v>
      </c>
      <c r="D107" t="s">
        <v>48</v>
      </c>
      <c r="E107" t="str">
        <f t="shared" si="29"/>
        <v>Ntchisi District [fiRkU6gEjLz]|15-24|Male</v>
      </c>
      <c r="F107" s="38">
        <f>IF(LEFT($B107,4)="_Mil","",INDEX(Cascade!$T:$T,MATCH($E107,Cascade!$E:$E,0)))</f>
        <v>43324</v>
      </c>
      <c r="G107" s="38">
        <f>IF(LEFT($B107,4)="_Mil","",INDEX(Cascade!$U:$U,MATCH($E107,Cascade!$E:$E,0)))</f>
        <v>170</v>
      </c>
      <c r="H107" s="110">
        <f>IF(LEFT($B107,4)="_Mil","",INDEX(Cascade!$W:$W,MATCH($E107,Cascade!$E:$E,0)))</f>
        <v>3.9300029999999996E-3</v>
      </c>
      <c r="I107" s="38">
        <f>IF(LEFT($B107,4)="_Mil","",INDEX(Cascade!$Z:$Z,MATCH($E107,Cascade!$E:$E,0)))</f>
        <v>158</v>
      </c>
      <c r="J107" s="33">
        <f>IF(LEFT($B107,4)="_Mil","",INDEX(Cascade!$AA:$AA,MATCH($E107,Cascade!$E:$E,0)))</f>
        <v>0.89981646599999998</v>
      </c>
      <c r="K107" s="38"/>
      <c r="L107" s="38">
        <v>0</v>
      </c>
      <c r="M107" s="218" t="str">
        <f>IF(LEFT($B107,4)="_Mil","",IFERROR(1/(1/ROUND(INDEX(Spectrum!$N:$N,MATCH(RIGHT($B107,13)&amp;"|"&amp;$C107&amp;"|"&amp;$D107&amp;"|"&amp;M$14&amp;"|"&amp;"CY2024Q3",Spectrum!$R:$R,0)),0)),IF(SUM($L107)=0,"",$L107)))</f>
        <v/>
      </c>
      <c r="N107" s="218">
        <f>IF(LEFT($B107,4)="_Mil","",IFERROR(1/(1/ROUND(INDEX(Spectrum!$N:$N,MATCH(RIGHT($B107,13)&amp;"|"&amp;$C107&amp;"|"&amp;$D107&amp;"|"&amp;N$14&amp;"|"&amp;"CY2024Q3",Spectrum!$R:$R,0)),0)),IF(SUM($M107)=0,"",$M107)))</f>
        <v>2735</v>
      </c>
      <c r="O107" s="33">
        <f t="shared" si="30"/>
        <v>6.3128981626811922E-2</v>
      </c>
      <c r="P107" s="33">
        <f t="shared" si="31"/>
        <v>0.8</v>
      </c>
      <c r="Q107" s="218">
        <f t="shared" si="32"/>
        <v>34659</v>
      </c>
      <c r="R107" s="218">
        <f t="shared" si="33"/>
        <v>31924</v>
      </c>
      <c r="S107" s="33">
        <v>0</v>
      </c>
      <c r="T107" s="33" t="str">
        <f t="shared" si="34"/>
        <v/>
      </c>
      <c r="U107" s="33"/>
      <c r="V107" s="33" t="str">
        <f t="shared" si="35"/>
        <v/>
      </c>
      <c r="W107" s="33"/>
      <c r="X107" s="236">
        <v>3.5000000000000001E-3</v>
      </c>
      <c r="Y107" s="38">
        <f t="shared" si="36"/>
        <v>0</v>
      </c>
      <c r="Z107" s="218" t="str">
        <f t="shared" si="37"/>
        <v/>
      </c>
      <c r="AA107" s="218" t="str">
        <f t="shared" si="38"/>
        <v/>
      </c>
      <c r="AB107" s="218" t="str">
        <f t="shared" si="39"/>
        <v/>
      </c>
      <c r="AC107" s="38">
        <f>IFERROR(1/(1/INDEX(Cascade!$BH:$BH,MATCH($E107,Cascade!$E:$E,0))),"")</f>
        <v>11</v>
      </c>
      <c r="AD107" s="38" t="str">
        <f t="shared" si="40"/>
        <v/>
      </c>
      <c r="AE107" s="38" t="str">
        <f>IFERROR(1/(1/INDEX(TB!$P:$P,MATCH($E107,TB!$E:$E,0))),"")</f>
        <v/>
      </c>
      <c r="AF107" s="38">
        <f t="shared" si="41"/>
        <v>11</v>
      </c>
    </row>
    <row r="108" spans="1:32" x14ac:dyDescent="0.2">
      <c r="A108" t="str">
        <f>INDEX(Prioritization!$D:$D,MATCH($B108,Prioritization!$A:$A,0))</f>
        <v>4 - Sustained</v>
      </c>
      <c r="B108" t="s">
        <v>305</v>
      </c>
      <c r="C108" t="s">
        <v>476</v>
      </c>
      <c r="D108" t="s">
        <v>48</v>
      </c>
      <c r="E108" t="str">
        <f t="shared" si="29"/>
        <v>Ntchisi District [fiRkU6gEjLz]|25-34|Male</v>
      </c>
      <c r="F108" s="38">
        <f>IF(LEFT($B108,4)="_Mil","",INDEX(Cascade!$T:$T,MATCH($E108,Cascade!$E:$E,0)))</f>
        <v>28097</v>
      </c>
      <c r="G108" s="38">
        <f>IF(LEFT($B108,4)="_Mil","",INDEX(Cascade!$U:$U,MATCH($E108,Cascade!$E:$E,0)))</f>
        <v>230</v>
      </c>
      <c r="H108" s="110">
        <f>IF(LEFT($B108,4)="_Mil","",INDEX(Cascade!$W:$W,MATCH($E108,Cascade!$E:$E,0)))</f>
        <v>8.1821299999999993E-3</v>
      </c>
      <c r="I108" s="38">
        <f>IF(LEFT($B108,4)="_Mil","",INDEX(Cascade!$Z:$Z,MATCH($E108,Cascade!$E:$E,0)))</f>
        <v>206</v>
      </c>
      <c r="J108" s="33">
        <f>IF(LEFT($B108,4)="_Mil","",INDEX(Cascade!$AA:$AA,MATCH($E108,Cascade!$E:$E,0)))</f>
        <v>0.87049392800000003</v>
      </c>
      <c r="K108" s="38"/>
      <c r="L108" s="38">
        <v>0</v>
      </c>
      <c r="M108" s="218" t="str">
        <f>IF(LEFT($B108,4)="_Mil","",IFERROR(1/(1/ROUND(INDEX(Spectrum!$N:$N,MATCH(RIGHT($B108,13)&amp;"|"&amp;$C108&amp;"|"&amp;$D108&amp;"|"&amp;M$14&amp;"|"&amp;"CY2024Q3",Spectrum!$R:$R,0)),0)),IF(SUM($L108)=0,"",$L108)))</f>
        <v/>
      </c>
      <c r="N108" s="218">
        <f>IF(LEFT($B108,4)="_Mil","",IFERROR(1/(1/ROUND(INDEX(Spectrum!$N:$N,MATCH(RIGHT($B108,13)&amp;"|"&amp;$C108&amp;"|"&amp;$D108&amp;"|"&amp;N$14&amp;"|"&amp;"CY2024Q3",Spectrum!$R:$R,0)),0)),IF(SUM($M108)=0,"",$M108)))</f>
        <v>2742</v>
      </c>
      <c r="O108" s="33">
        <f t="shared" si="30"/>
        <v>9.7590490087909737E-2</v>
      </c>
      <c r="P108" s="33">
        <f t="shared" si="31"/>
        <v>0.8</v>
      </c>
      <c r="Q108" s="218">
        <f t="shared" si="32"/>
        <v>22478</v>
      </c>
      <c r="R108" s="218">
        <f t="shared" si="33"/>
        <v>19736</v>
      </c>
      <c r="S108" s="33">
        <v>0</v>
      </c>
      <c r="T108" s="33" t="str">
        <f t="shared" si="34"/>
        <v/>
      </c>
      <c r="U108" s="33"/>
      <c r="V108" s="33" t="str">
        <f t="shared" si="35"/>
        <v/>
      </c>
      <c r="W108" s="33"/>
      <c r="X108" s="236">
        <v>3.5000000000000001E-3</v>
      </c>
      <c r="Y108" s="38">
        <f t="shared" si="36"/>
        <v>0</v>
      </c>
      <c r="Z108" s="218" t="str">
        <f t="shared" si="37"/>
        <v/>
      </c>
      <c r="AA108" s="218" t="str">
        <f t="shared" si="38"/>
        <v/>
      </c>
      <c r="AB108" s="218" t="str">
        <f t="shared" si="39"/>
        <v/>
      </c>
      <c r="AC108" s="38">
        <f>IFERROR(1/(1/INDEX(Cascade!$BH:$BH,MATCH($E108,Cascade!$E:$E,0))),"")</f>
        <v>6</v>
      </c>
      <c r="AD108" s="38" t="str">
        <f t="shared" si="40"/>
        <v/>
      </c>
      <c r="AE108" s="38" t="str">
        <f>IFERROR(1/(1/INDEX(TB!$P:$P,MATCH($E108,TB!$E:$E,0))),"")</f>
        <v/>
      </c>
      <c r="AF108" s="38">
        <f t="shared" si="41"/>
        <v>6</v>
      </c>
    </row>
    <row r="109" spans="1:32" x14ac:dyDescent="0.2">
      <c r="A109" t="str">
        <f>INDEX(Prioritization!$D:$D,MATCH($B109,Prioritization!$A:$A,0))</f>
        <v>4 - Sustained</v>
      </c>
      <c r="B109" t="s">
        <v>305</v>
      </c>
      <c r="C109" t="s">
        <v>477</v>
      </c>
      <c r="D109" t="s">
        <v>48</v>
      </c>
      <c r="E109" t="str">
        <f t="shared" si="29"/>
        <v>Ntchisi District [fiRkU6gEjLz]|35-49|Male</v>
      </c>
      <c r="F109" s="38">
        <f>IF(LEFT($B109,4)="_Mil","",INDEX(Cascade!$T:$T,MATCH($E109,Cascade!$E:$E,0)))</f>
        <v>26499</v>
      </c>
      <c r="G109" s="38">
        <f>IF(LEFT($B109,4)="_Mil","",INDEX(Cascade!$U:$U,MATCH($E109,Cascade!$E:$E,0)))</f>
        <v>916</v>
      </c>
      <c r="H109" s="110">
        <f>IF(LEFT($B109,4)="_Mil","",INDEX(Cascade!$W:$W,MATCH($E109,Cascade!$E:$E,0)))</f>
        <v>3.4548983999999998E-2</v>
      </c>
      <c r="I109" s="38">
        <f>IF(LEFT($B109,4)="_Mil","",INDEX(Cascade!$Z:$Z,MATCH($E109,Cascade!$E:$E,0)))</f>
        <v>856</v>
      </c>
      <c r="J109" s="33">
        <f>IF(LEFT($B109,4)="_Mil","",INDEX(Cascade!$AA:$AA,MATCH($E109,Cascade!$E:$E,0)))</f>
        <v>0.92068153900000016</v>
      </c>
      <c r="K109" s="38"/>
      <c r="L109" s="38">
        <v>0</v>
      </c>
      <c r="M109" s="218" t="str">
        <f>IF(LEFT($B109,4)="_Mil","",IFERROR(1/(1/ROUND(INDEX(Spectrum!$N:$N,MATCH(RIGHT($B109,13)&amp;"|"&amp;$C109&amp;"|"&amp;$D109&amp;"|"&amp;M$14&amp;"|"&amp;"CY2024Q3",Spectrum!$R:$R,0)),0)),IF(SUM($L109)=0,"",$L109)))</f>
        <v/>
      </c>
      <c r="N109" s="218">
        <f>IF(LEFT($B109,4)="_Mil","",IFERROR(1/(1/ROUND(INDEX(Spectrum!$N:$N,MATCH(RIGHT($B109,13)&amp;"|"&amp;$C109&amp;"|"&amp;$D109&amp;"|"&amp;N$14&amp;"|"&amp;"CY2024Q3",Spectrum!$R:$R,0)),0)),IF(SUM($M109)=0,"",$M109)))</f>
        <v>1949</v>
      </c>
      <c r="O109" s="33">
        <f t="shared" si="30"/>
        <v>7.3549945280954002E-2</v>
      </c>
      <c r="P109" s="33">
        <f t="shared" si="31"/>
        <v>0.8</v>
      </c>
      <c r="Q109" s="218">
        <f t="shared" si="32"/>
        <v>21199</v>
      </c>
      <c r="R109" s="218">
        <f t="shared" si="33"/>
        <v>19250</v>
      </c>
      <c r="S109" s="33">
        <v>0</v>
      </c>
      <c r="T109" s="33" t="str">
        <f t="shared" si="34"/>
        <v/>
      </c>
      <c r="U109" s="33"/>
      <c r="V109" s="33" t="str">
        <f t="shared" si="35"/>
        <v/>
      </c>
      <c r="W109" s="33"/>
      <c r="X109" s="236">
        <v>3.5000000000000001E-3</v>
      </c>
      <c r="Y109" s="38">
        <f t="shared" si="36"/>
        <v>0</v>
      </c>
      <c r="Z109" s="218" t="str">
        <f t="shared" si="37"/>
        <v/>
      </c>
      <c r="AA109" s="218" t="str">
        <f t="shared" si="38"/>
        <v/>
      </c>
      <c r="AB109" s="218" t="str">
        <f t="shared" si="39"/>
        <v/>
      </c>
      <c r="AC109" s="38">
        <f>IFERROR(1/(1/INDEX(Cascade!$BH:$BH,MATCH($E109,Cascade!$E:$E,0))),"")</f>
        <v>24</v>
      </c>
      <c r="AD109" s="38" t="str">
        <f t="shared" si="40"/>
        <v/>
      </c>
      <c r="AE109" s="38">
        <f>IFERROR(1/(1/INDEX(TB!$P:$P,MATCH($E109,TB!$E:$E,0))),"")</f>
        <v>1</v>
      </c>
      <c r="AF109" s="38">
        <f t="shared" si="41"/>
        <v>23</v>
      </c>
    </row>
    <row r="110" spans="1:32" x14ac:dyDescent="0.2">
      <c r="A110" t="str">
        <f>INDEX(Prioritization!$D:$D,MATCH($B110,Prioritization!$A:$A,0))</f>
        <v>4 - Sustained</v>
      </c>
      <c r="B110" t="s">
        <v>305</v>
      </c>
      <c r="C110" t="s">
        <v>478</v>
      </c>
      <c r="D110" t="s">
        <v>48</v>
      </c>
      <c r="E110" t="str">
        <f t="shared" si="29"/>
        <v>Ntchisi District [fiRkU6gEjLz]|50+|Male</v>
      </c>
      <c r="F110" s="38">
        <f>IF(LEFT($B110,4)="_Mil","",INDEX(Cascade!$T:$T,MATCH($E110,Cascade!$E:$E,0)))</f>
        <v>14476</v>
      </c>
      <c r="G110" s="38">
        <f>IF(LEFT($B110,4)="_Mil","",INDEX(Cascade!$U:$U,MATCH($E110,Cascade!$E:$E,0)))</f>
        <v>699</v>
      </c>
      <c r="H110" s="110">
        <f>IF(LEFT($B110,4)="_Mil","",INDEX(Cascade!$W:$W,MATCH($E110,Cascade!$E:$E,0)))</f>
        <v>4.8310389000000002E-2</v>
      </c>
      <c r="I110" s="38">
        <f>IF(LEFT($B110,4)="_Mil","",INDEX(Cascade!$Z:$Z,MATCH($E110,Cascade!$E:$E,0)))</f>
        <v>673</v>
      </c>
      <c r="J110" s="33">
        <f>IF(LEFT($B110,4)="_Mil","",INDEX(Cascade!$AA:$AA,MATCH($E110,Cascade!$E:$E,0)))</f>
        <v>0.94551303299999989</v>
      </c>
      <c r="K110" s="38"/>
      <c r="L110" s="38">
        <v>0</v>
      </c>
      <c r="M110" s="218" t="str">
        <f>IF(LEFT($B110,4)="_Mil","",IFERROR(1/(1/ROUND(INDEX(Spectrum!$N:$N,MATCH(RIGHT($B110,13)&amp;"|"&amp;$C110&amp;"|"&amp;$D110&amp;"|"&amp;M$14&amp;"|"&amp;"CY2024Q3",Spectrum!$R:$R,0)),0)),IF(SUM($L110)=0,"",$L110)))</f>
        <v/>
      </c>
      <c r="N110" s="218">
        <f>IF(LEFT($B110,4)="_Mil","",IFERROR(1/(1/ROUND(INDEX(Spectrum!$N:$N,MATCH(RIGHT($B110,13)&amp;"|"&amp;$C110&amp;"|"&amp;$D110&amp;"|"&amp;N$14&amp;"|"&amp;"CY2024Q3",Spectrum!$R:$R,0)),0)),IF(SUM($M110)=0,"",$M110)))</f>
        <v>534</v>
      </c>
      <c r="O110" s="33">
        <f t="shared" si="30"/>
        <v>3.6888643271621994E-2</v>
      </c>
      <c r="P110" s="33">
        <f t="shared" si="31"/>
        <v>0.8</v>
      </c>
      <c r="Q110" s="218">
        <f t="shared" si="32"/>
        <v>11581</v>
      </c>
      <c r="R110" s="218">
        <f t="shared" si="33"/>
        <v>11047</v>
      </c>
      <c r="S110" s="33">
        <v>0</v>
      </c>
      <c r="T110" s="33" t="str">
        <f t="shared" si="34"/>
        <v/>
      </c>
      <c r="U110" s="33"/>
      <c r="V110" s="33" t="str">
        <f t="shared" si="35"/>
        <v/>
      </c>
      <c r="W110" s="33"/>
      <c r="X110" s="236">
        <v>3.5000000000000001E-3</v>
      </c>
      <c r="Y110" s="38">
        <f t="shared" si="36"/>
        <v>0</v>
      </c>
      <c r="Z110" s="218" t="str">
        <f t="shared" si="37"/>
        <v/>
      </c>
      <c r="AA110" s="218" t="str">
        <f t="shared" si="38"/>
        <v/>
      </c>
      <c r="AB110" s="218" t="str">
        <f t="shared" si="39"/>
        <v/>
      </c>
      <c r="AC110" s="38">
        <f>IFERROR(1/(1/INDEX(Cascade!$BH:$BH,MATCH($E110,Cascade!$E:$E,0))),"")</f>
        <v>24</v>
      </c>
      <c r="AD110" s="38" t="str">
        <f t="shared" si="40"/>
        <v/>
      </c>
      <c r="AE110" s="38" t="str">
        <f>IFERROR(1/(1/INDEX(TB!$P:$P,MATCH($E110,TB!$E:$E,0))),"")</f>
        <v/>
      </c>
      <c r="AF110" s="38">
        <f t="shared" si="41"/>
        <v>24</v>
      </c>
    </row>
    <row r="111" spans="1:32" x14ac:dyDescent="0.2">
      <c r="A111" t="str">
        <f>INDEX(Prioritization!$D:$D,MATCH($B111,Prioritization!$A:$A,0))</f>
        <v>INVALID</v>
      </c>
      <c r="B111" t="s">
        <v>323</v>
      </c>
      <c r="C111" t="s">
        <v>475</v>
      </c>
      <c r="D111" t="s">
        <v>48</v>
      </c>
      <c r="E111" t="str">
        <f t="shared" ref="E111:E130" si="42">B111&amp;"|"&amp;C111&amp;"|"&amp;D111</f>
        <v>Phalombe District [AZyWpGzhcaA]|15-24|Male</v>
      </c>
      <c r="F111" s="38">
        <f>IF(LEFT($B111,4)="_Mil","",INDEX(Cascade!$T:$T,MATCH($E111,Cascade!$E:$E,0)))</f>
        <v>57613</v>
      </c>
      <c r="G111" s="38">
        <f>IF(LEFT($B111,4)="_Mil","",INDEX(Cascade!$U:$U,MATCH($E111,Cascade!$E:$E,0)))</f>
        <v>1431</v>
      </c>
      <c r="H111" s="110">
        <f>IF(LEFT($B111,4)="_Mil","",INDEX(Cascade!$W:$W,MATCH($E111,Cascade!$E:$E,0)))</f>
        <v>2.4836566000000001E-2</v>
      </c>
      <c r="I111" s="38">
        <f>IF(LEFT($B111,4)="_Mil","",INDEX(Cascade!$Z:$Z,MATCH($E111,Cascade!$E:$E,0)))</f>
        <v>1142</v>
      </c>
      <c r="J111" s="33">
        <f>IF(LEFT($B111,4)="_Mil","",INDEX(Cascade!$AA:$AA,MATCH($E111,Cascade!$E:$E,0)))</f>
        <v>0.95348282400000006</v>
      </c>
      <c r="K111" s="38">
        <v>7252</v>
      </c>
      <c r="L111" s="38">
        <v>3307</v>
      </c>
      <c r="M111" s="218">
        <f>IF(LEFT($B111,4)="_Mil","",IFERROR(1/(1/ROUND(INDEX(Spectrum!$N:$N,MATCH(RIGHT($B111,13)&amp;"|"&amp;$C111&amp;"|"&amp;$D111&amp;"|"&amp;M$14&amp;"|"&amp;"CY2024Q3",Spectrum!$R:$R,0)),0)),IF(SUM($L111)=0,"",$L111)))</f>
        <v>3307</v>
      </c>
      <c r="N111" s="218">
        <f>IF(LEFT($B111,4)="_Mil","",IFERROR(1/(1/ROUND(INDEX(Spectrum!$N:$N,MATCH(RIGHT($B111,13)&amp;"|"&amp;$C111&amp;"|"&amp;$D111&amp;"|"&amp;N$14&amp;"|"&amp;"CY2024Q3",Spectrum!$R:$R,0)),0)),IF(SUM($M111)=0,"",$M111)))</f>
        <v>25877</v>
      </c>
      <c r="O111" s="33">
        <f t="shared" ref="O111:O130" si="43">IF(OR(LEFT($B111,4)="_Mil",SUM($F111)=0),"",SUM($N111)/$F111)</f>
        <v>0.44915210108829606</v>
      </c>
      <c r="P111" s="33">
        <f t="shared" ref="P111:P130" si="44">IF(OR(LEFT($B111,4)="_Mil",SUM($F111)=0),"",MAX(SUM($O111),80%))</f>
        <v>0.8</v>
      </c>
      <c r="Q111" s="218">
        <f t="shared" ref="Q111:Q130" si="45">IF(OR(LEFT($B111,4)="_Mil",SUM($F111)=0),"",ROUND(SUM($F111)*$P111,0))</f>
        <v>46090</v>
      </c>
      <c r="R111" s="218">
        <f t="shared" ref="R111:R130" si="46">IF(OR(LEFT($B111,4)="_Mil",SUM($Q111)=0),"",ROUND(MAX($Q111-SUM($N111),0),0))</f>
        <v>20213</v>
      </c>
      <c r="S111" s="234">
        <v>0.14000000000000001</v>
      </c>
      <c r="T111" s="33" t="str">
        <f t="shared" ref="T111:T130" si="47">IF(LEFT($B111,4)="_Mil",0,"")</f>
        <v/>
      </c>
      <c r="U111" s="33">
        <v>0.64400000000000002</v>
      </c>
      <c r="V111" s="33">
        <v>0</v>
      </c>
      <c r="W111" s="33">
        <v>1.6000000000000001E-3</v>
      </c>
      <c r="X111" s="236">
        <v>3.5000000000000001E-3</v>
      </c>
      <c r="Y111" s="38">
        <f t="shared" ref="Y111:Y130" si="48">IF(LEFT($B111,4)="_Mil",IF(SUM($L111)=0,"",ROUND($L111*(1+$T111),0)),IF(SUM($R111)=0,"",IF($S111="","ENTER IN COL S",ROUND($R111*$S111,0))))</f>
        <v>2830</v>
      </c>
      <c r="Z111" s="218">
        <f t="shared" ref="Z111:Z130" si="49">IF(SUM($Y111)=0,"",IF(AND(SUM($Y111)&gt;0,$V111=""),"ENTER INDETERMINATE RATE",ROUND($Y111*$V111,0)))</f>
        <v>0</v>
      </c>
      <c r="AA111" s="218">
        <f t="shared" ref="AA111:AA130" si="50">IF(SUM($Y111)=0,"",IF(AND(($Y111-SUM($Z111))&gt;0,$X111=""),"ENTER YIELD RATE",ROUND(($Y111-SUM($Z111))*SUM($X111),0)))</f>
        <v>10</v>
      </c>
      <c r="AB111" s="218">
        <f t="shared" ref="AB111:AB130" si="51">IF(SUM($Y111)=0,"",$Y111-SUM($Z111)-SUM($AA111))</f>
        <v>2820</v>
      </c>
      <c r="AC111" s="38">
        <f>IFERROR(1/(1/INDEX(Cascade!$BH:$BH,MATCH($E111,Cascade!$E:$E,0))),"")</f>
        <v>74</v>
      </c>
      <c r="AD111" s="38">
        <f t="shared" ref="AD111:AD130" si="52">IF(SUM($AA111)=0,"",$AA111)</f>
        <v>10</v>
      </c>
      <c r="AE111" s="38">
        <f>IFERROR(1/(1/INDEX(TB!$P:$P,MATCH($E111,TB!$E:$E,0))),"")</f>
        <v>2</v>
      </c>
      <c r="AF111" s="38">
        <f t="shared" ref="AF111:AF130" si="53">IFERROR(1/(1/(SUM($AC111)-SUM($AD111:$AE111))),"")</f>
        <v>62</v>
      </c>
    </row>
    <row r="112" spans="1:32" x14ac:dyDescent="0.2">
      <c r="A112" t="str">
        <f>INDEX(Prioritization!$D:$D,MATCH($B112,Prioritization!$A:$A,0))</f>
        <v>INVALID</v>
      </c>
      <c r="B112" t="s">
        <v>323</v>
      </c>
      <c r="C112" t="s">
        <v>476</v>
      </c>
      <c r="D112" t="s">
        <v>48</v>
      </c>
      <c r="E112" t="str">
        <f t="shared" si="42"/>
        <v>Phalombe District [AZyWpGzhcaA]|25-34|Male</v>
      </c>
      <c r="F112" s="38">
        <f>IF(LEFT($B112,4)="_Mil","",INDEX(Cascade!$T:$T,MATCH($E112,Cascade!$E:$E,0)))</f>
        <v>35221</v>
      </c>
      <c r="G112" s="38">
        <f>IF(LEFT($B112,4)="_Mil","",INDEX(Cascade!$U:$U,MATCH($E112,Cascade!$E:$E,0)))</f>
        <v>1735</v>
      </c>
      <c r="H112" s="110">
        <f>IF(LEFT($B112,4)="_Mil","",INDEX(Cascade!$W:$W,MATCH($E112,Cascade!$E:$E,0)))</f>
        <v>4.9266281000000002E-2</v>
      </c>
      <c r="I112" s="38">
        <f>IF(LEFT($B112,4)="_Mil","",INDEX(Cascade!$Z:$Z,MATCH($E112,Cascade!$E:$E,0)))</f>
        <v>1343</v>
      </c>
      <c r="J112" s="33">
        <f>IF(LEFT($B112,4)="_Mil","",INDEX(Cascade!$AA:$AA,MATCH($E112,Cascade!$E:$E,0)))</f>
        <v>0.93871762599999997</v>
      </c>
      <c r="K112" s="38">
        <v>163</v>
      </c>
      <c r="L112" s="38">
        <v>2093</v>
      </c>
      <c r="M112" s="218">
        <f>IF(LEFT($B112,4)="_Mil","",IFERROR(1/(1/ROUND(INDEX(Spectrum!$N:$N,MATCH(RIGHT($B112,13)&amp;"|"&amp;$C112&amp;"|"&amp;$D112&amp;"|"&amp;M$14&amp;"|"&amp;"CY2024Q3",Spectrum!$R:$R,0)),0)),IF(SUM($L112)=0,"",$L112)))</f>
        <v>2093</v>
      </c>
      <c r="N112" s="218">
        <f>IF(LEFT($B112,4)="_Mil","",IFERROR(1/(1/ROUND(INDEX(Spectrum!$N:$N,MATCH(RIGHT($B112,13)&amp;"|"&amp;$C112&amp;"|"&amp;$D112&amp;"|"&amp;N$14&amp;"|"&amp;"CY2024Q3",Spectrum!$R:$R,0)),0)),IF(SUM($M112)=0,"",$M112)))</f>
        <v>18278</v>
      </c>
      <c r="O112" s="33">
        <f t="shared" si="43"/>
        <v>0.51895176173305702</v>
      </c>
      <c r="P112" s="33">
        <f t="shared" si="44"/>
        <v>0.8</v>
      </c>
      <c r="Q112" s="218">
        <f t="shared" si="45"/>
        <v>28177</v>
      </c>
      <c r="R112" s="218">
        <f t="shared" si="46"/>
        <v>9899</v>
      </c>
      <c r="S112" s="234">
        <v>0.19</v>
      </c>
      <c r="T112" s="33" t="str">
        <f t="shared" si="47"/>
        <v/>
      </c>
      <c r="U112" s="33">
        <v>0.35899999999999999</v>
      </c>
      <c r="V112" s="33">
        <v>0</v>
      </c>
      <c r="W112" s="33"/>
      <c r="X112" s="236">
        <v>3.5000000000000001E-3</v>
      </c>
      <c r="Y112" s="38">
        <f t="shared" si="48"/>
        <v>1881</v>
      </c>
      <c r="Z112" s="218">
        <f t="shared" si="49"/>
        <v>0</v>
      </c>
      <c r="AA112" s="218">
        <f t="shared" si="50"/>
        <v>7</v>
      </c>
      <c r="AB112" s="218">
        <f t="shared" si="51"/>
        <v>1874</v>
      </c>
      <c r="AC112" s="38">
        <f>IFERROR(1/(1/INDEX(Cascade!$BH:$BH,MATCH($E112,Cascade!$E:$E,0))),"")</f>
        <v>31</v>
      </c>
      <c r="AD112" s="38">
        <f t="shared" si="52"/>
        <v>7</v>
      </c>
      <c r="AE112" s="38">
        <f>IFERROR(1/(1/INDEX(TB!$P:$P,MATCH($E112,TB!$E:$E,0))),"")</f>
        <v>2</v>
      </c>
      <c r="AF112" s="38">
        <f t="shared" si="53"/>
        <v>22</v>
      </c>
    </row>
    <row r="113" spans="1:32" x14ac:dyDescent="0.2">
      <c r="A113" t="str">
        <f>INDEX(Prioritization!$D:$D,MATCH($B113,Prioritization!$A:$A,0))</f>
        <v>INVALID</v>
      </c>
      <c r="B113" t="s">
        <v>323</v>
      </c>
      <c r="C113" t="s">
        <v>477</v>
      </c>
      <c r="D113" t="s">
        <v>48</v>
      </c>
      <c r="E113" t="str">
        <f t="shared" si="42"/>
        <v>Phalombe District [AZyWpGzhcaA]|35-49|Male</v>
      </c>
      <c r="F113" s="38">
        <f>IF(LEFT($B113,4)="_Mil","",INDEX(Cascade!$T:$T,MATCH($E113,Cascade!$E:$E,0)))</f>
        <v>31050</v>
      </c>
      <c r="G113" s="38">
        <f>IF(LEFT($B113,4)="_Mil","",INDEX(Cascade!$U:$U,MATCH($E113,Cascade!$E:$E,0)))</f>
        <v>5873</v>
      </c>
      <c r="H113" s="110">
        <f>IF(LEFT($B113,4)="_Mil","",INDEX(Cascade!$W:$W,MATCH($E113,Cascade!$E:$E,0)))</f>
        <v>0.18914888299999999</v>
      </c>
      <c r="I113" s="38">
        <f>IF(LEFT($B113,4)="_Mil","",INDEX(Cascade!$Z:$Z,MATCH($E113,Cascade!$E:$E,0)))</f>
        <v>4720</v>
      </c>
      <c r="J113" s="33">
        <f>IF(LEFT($B113,4)="_Mil","",INDEX(Cascade!$AA:$AA,MATCH($E113,Cascade!$E:$E,0)))</f>
        <v>0.96324561200000014</v>
      </c>
      <c r="K113" s="38">
        <v>74</v>
      </c>
      <c r="L113" s="38">
        <v>2602</v>
      </c>
      <c r="M113" s="218">
        <f>IF(LEFT($B113,4)="_Mil","",IFERROR(1/(1/ROUND(INDEX(Spectrum!$N:$N,MATCH(RIGHT($B113,13)&amp;"|"&amp;$C113&amp;"|"&amp;$D113&amp;"|"&amp;M$14&amp;"|"&amp;"CY2024Q3",Spectrum!$R:$R,0)),0)),IF(SUM($L113)=0,"",$L113)))</f>
        <v>2601</v>
      </c>
      <c r="N113" s="218">
        <f>IF(LEFT($B113,4)="_Mil","",IFERROR(1/(1/ROUND(INDEX(Spectrum!$N:$N,MATCH(RIGHT($B113,13)&amp;"|"&amp;$C113&amp;"|"&amp;$D113&amp;"|"&amp;N$14&amp;"|"&amp;"CY2024Q3",Spectrum!$R:$R,0)),0)),IF(SUM($M113)=0,"",$M113)))</f>
        <v>13128.999999999998</v>
      </c>
      <c r="O113" s="33">
        <f t="shared" si="43"/>
        <v>0.42283413848631235</v>
      </c>
      <c r="P113" s="33">
        <f t="shared" si="44"/>
        <v>0.8</v>
      </c>
      <c r="Q113" s="218">
        <f t="shared" si="45"/>
        <v>24840</v>
      </c>
      <c r="R113" s="218">
        <f t="shared" si="46"/>
        <v>11711</v>
      </c>
      <c r="S113" s="234">
        <v>0.2</v>
      </c>
      <c r="T113" s="33" t="str">
        <f t="shared" si="47"/>
        <v/>
      </c>
      <c r="U113" s="33">
        <v>0.40300000000000002</v>
      </c>
      <c r="V113" s="33">
        <v>0</v>
      </c>
      <c r="W113" s="33">
        <v>4.2999999999999997E-2</v>
      </c>
      <c r="X113" s="236">
        <v>3.5000000000000001E-3</v>
      </c>
      <c r="Y113" s="38">
        <f t="shared" si="48"/>
        <v>2342</v>
      </c>
      <c r="Z113" s="218">
        <f t="shared" si="49"/>
        <v>0</v>
      </c>
      <c r="AA113" s="218">
        <f t="shared" si="50"/>
        <v>8</v>
      </c>
      <c r="AB113" s="218">
        <f t="shared" si="51"/>
        <v>2334</v>
      </c>
      <c r="AC113" s="38">
        <f>IFERROR(1/(1/INDEX(Cascade!$BH:$BH,MATCH($E113,Cascade!$E:$E,0))),"")</f>
        <v>864</v>
      </c>
      <c r="AD113" s="38">
        <f t="shared" si="52"/>
        <v>8</v>
      </c>
      <c r="AE113" s="38">
        <f>IFERROR(1/(1/INDEX(TB!$P:$P,MATCH($E113,TB!$E:$E,0))),"")</f>
        <v>2</v>
      </c>
      <c r="AF113" s="38">
        <f t="shared" si="53"/>
        <v>854</v>
      </c>
    </row>
    <row r="114" spans="1:32" x14ac:dyDescent="0.2">
      <c r="A114" t="str">
        <f>INDEX(Prioritization!$D:$D,MATCH($B114,Prioritization!$A:$A,0))</f>
        <v>INVALID</v>
      </c>
      <c r="B114" t="s">
        <v>323</v>
      </c>
      <c r="C114" t="s">
        <v>478</v>
      </c>
      <c r="D114" t="s">
        <v>48</v>
      </c>
      <c r="E114" t="str">
        <f t="shared" si="42"/>
        <v>Phalombe District [AZyWpGzhcaA]|50+|Male</v>
      </c>
      <c r="F114" s="38">
        <f>IF(LEFT($B114,4)="_Mil","",INDEX(Cascade!$T:$T,MATCH($E114,Cascade!$E:$E,0)))</f>
        <v>16717</v>
      </c>
      <c r="G114" s="38">
        <f>IF(LEFT($B114,4)="_Mil","",INDEX(Cascade!$U:$U,MATCH($E114,Cascade!$E:$E,0)))</f>
        <v>3970</v>
      </c>
      <c r="H114" s="110">
        <f>IF(LEFT($B114,4)="_Mil","",INDEX(Cascade!$W:$W,MATCH($E114,Cascade!$E:$E,0)))</f>
        <v>0.23748361700000001</v>
      </c>
      <c r="I114" s="38">
        <f>IF(LEFT($B114,4)="_Mil","",INDEX(Cascade!$Z:$Z,MATCH($E114,Cascade!$E:$E,0)))</f>
        <v>3269</v>
      </c>
      <c r="J114" s="33">
        <f>IF(LEFT($B114,4)="_Mil","",INDEX(Cascade!$AA:$AA,MATCH($E114,Cascade!$E:$E,0)))</f>
        <v>0.97539912299999998</v>
      </c>
      <c r="K114" s="38">
        <v>8</v>
      </c>
      <c r="L114" s="38">
        <v>0</v>
      </c>
      <c r="M114" s="218" t="str">
        <f>IF(LEFT($B114,4)="_Mil","",IFERROR(1/(1/ROUND(INDEX(Spectrum!$N:$N,MATCH(RIGHT($B114,13)&amp;"|"&amp;$C114&amp;"|"&amp;$D114&amp;"|"&amp;M$14&amp;"|"&amp;"CY2024Q3",Spectrum!$R:$R,0)),0)),IF(SUM($L114)=0,"",$L114)))</f>
        <v/>
      </c>
      <c r="N114" s="218">
        <f>IF(LEFT($B114,4)="_Mil","",IFERROR(1/(1/ROUND(INDEX(Spectrum!$N:$N,MATCH(RIGHT($B114,13)&amp;"|"&amp;$C114&amp;"|"&amp;$D114&amp;"|"&amp;N$14&amp;"|"&amp;"CY2024Q3",Spectrum!$R:$R,0)),0)),IF(SUM($M114)=0,"",$M114)))</f>
        <v>2974</v>
      </c>
      <c r="O114" s="33">
        <f t="shared" si="43"/>
        <v>0.17790273374409285</v>
      </c>
      <c r="P114" s="33">
        <f t="shared" si="44"/>
        <v>0.8</v>
      </c>
      <c r="Q114" s="218">
        <f t="shared" si="45"/>
        <v>13374</v>
      </c>
      <c r="R114" s="218">
        <f t="shared" si="46"/>
        <v>10400</v>
      </c>
      <c r="S114" s="33">
        <v>0</v>
      </c>
      <c r="T114" s="33" t="str">
        <f t="shared" si="47"/>
        <v/>
      </c>
      <c r="U114" s="33">
        <v>0.625</v>
      </c>
      <c r="V114" s="33">
        <v>0</v>
      </c>
      <c r="W114" s="33"/>
      <c r="X114" s="236">
        <v>3.5000000000000001E-3</v>
      </c>
      <c r="Y114" s="38">
        <f t="shared" si="48"/>
        <v>0</v>
      </c>
      <c r="Z114" s="218" t="str">
        <f t="shared" si="49"/>
        <v/>
      </c>
      <c r="AA114" s="218" t="str">
        <f t="shared" si="50"/>
        <v/>
      </c>
      <c r="AB114" s="218" t="str">
        <f t="shared" si="51"/>
        <v/>
      </c>
      <c r="AC114" s="38">
        <f>IFERROR(1/(1/INDEX(Cascade!$BH:$BH,MATCH($E114,Cascade!$E:$E,0))),"")</f>
        <v>100</v>
      </c>
      <c r="AD114" s="38" t="str">
        <f t="shared" si="52"/>
        <v/>
      </c>
      <c r="AE114" s="38">
        <f>IFERROR(1/(1/INDEX(TB!$P:$P,MATCH($E114,TB!$E:$E,0))),"")</f>
        <v>1</v>
      </c>
      <c r="AF114" s="38">
        <f t="shared" si="53"/>
        <v>98.999999999999986</v>
      </c>
    </row>
    <row r="115" spans="1:32" x14ac:dyDescent="0.2">
      <c r="A115" t="str">
        <f>INDEX(Prioritization!$D:$D,MATCH($B115,Prioritization!$A:$A,0))</f>
        <v>4 - Sustained</v>
      </c>
      <c r="B115" t="s">
        <v>312</v>
      </c>
      <c r="C115" t="s">
        <v>475</v>
      </c>
      <c r="D115" t="s">
        <v>48</v>
      </c>
      <c r="E115" t="str">
        <f t="shared" si="42"/>
        <v>Rumphi District [lPTyjLi4w3d]|15-24|Male</v>
      </c>
      <c r="F115" s="38">
        <f>IF(LEFT($B115,4)="_Mil","",INDEX(Cascade!$T:$T,MATCH($E115,Cascade!$E:$E,0)))</f>
        <v>30149</v>
      </c>
      <c r="G115" s="38">
        <f>IF(LEFT($B115,4)="_Mil","",INDEX(Cascade!$U:$U,MATCH($E115,Cascade!$E:$E,0)))</f>
        <v>310</v>
      </c>
      <c r="H115" s="110">
        <f>IF(LEFT($B115,4)="_Mil","",INDEX(Cascade!$W:$W,MATCH($E115,Cascade!$E:$E,0)))</f>
        <v>1.0293546000000001E-2</v>
      </c>
      <c r="I115" s="38">
        <f>IF(LEFT($B115,4)="_Mil","",INDEX(Cascade!$Z:$Z,MATCH($E115,Cascade!$E:$E,0)))</f>
        <v>292</v>
      </c>
      <c r="J115" s="33">
        <f>IF(LEFT($B115,4)="_Mil","",INDEX(Cascade!$AA:$AA,MATCH($E115,Cascade!$E:$E,0)))</f>
        <v>0.903059948</v>
      </c>
      <c r="K115" s="38"/>
      <c r="L115" s="38">
        <v>0</v>
      </c>
      <c r="M115" s="218" t="str">
        <f>IF(LEFT($B115,4)="_Mil","",IFERROR(1/(1/ROUND(INDEX(Spectrum!$N:$N,MATCH(RIGHT($B115,13)&amp;"|"&amp;$C115&amp;"|"&amp;$D115&amp;"|"&amp;M$14&amp;"|"&amp;"CY2024Q3",Spectrum!$R:$R,0)),0)),IF(SUM($L115)=0,"",$L115)))</f>
        <v/>
      </c>
      <c r="N115" s="218">
        <f>IF(LEFT($B115,4)="_Mil","",IFERROR(1/(1/ROUND(INDEX(Spectrum!$N:$N,MATCH(RIGHT($B115,13)&amp;"|"&amp;$C115&amp;"|"&amp;$D115&amp;"|"&amp;N$14&amp;"|"&amp;"CY2024Q3",Spectrum!$R:$R,0)),0)),IF(SUM($M115)=0,"",$M115)))</f>
        <v>2229</v>
      </c>
      <c r="O115" s="33">
        <f t="shared" si="43"/>
        <v>7.3932800424558034E-2</v>
      </c>
      <c r="P115" s="33">
        <f t="shared" si="44"/>
        <v>0.8</v>
      </c>
      <c r="Q115" s="218">
        <f t="shared" si="45"/>
        <v>24119</v>
      </c>
      <c r="R115" s="218">
        <f t="shared" si="46"/>
        <v>21890</v>
      </c>
      <c r="S115" s="33">
        <v>0</v>
      </c>
      <c r="T115" s="33" t="str">
        <f t="shared" si="47"/>
        <v/>
      </c>
      <c r="U115" s="33"/>
      <c r="V115" s="33" t="str">
        <f t="shared" ref="V115:V130" si="54">IF($U115="","",$U115)</f>
        <v/>
      </c>
      <c r="W115" s="33"/>
      <c r="X115" s="236">
        <v>3.5000000000000001E-3</v>
      </c>
      <c r="Y115" s="38">
        <f t="shared" si="48"/>
        <v>0</v>
      </c>
      <c r="Z115" s="218" t="str">
        <f t="shared" si="49"/>
        <v/>
      </c>
      <c r="AA115" s="218" t="str">
        <f t="shared" si="50"/>
        <v/>
      </c>
      <c r="AB115" s="218" t="str">
        <f t="shared" si="51"/>
        <v/>
      </c>
      <c r="AC115" s="38">
        <f>IFERROR(1/(1/INDEX(Cascade!$BH:$BH,MATCH($E115,Cascade!$E:$E,0))),"")</f>
        <v>5</v>
      </c>
      <c r="AD115" s="38" t="str">
        <f t="shared" si="52"/>
        <v/>
      </c>
      <c r="AE115" s="38">
        <f>IFERROR(1/(1/INDEX(TB!$P:$P,MATCH($E115,TB!$E:$E,0))),"")</f>
        <v>1</v>
      </c>
      <c r="AF115" s="38">
        <f t="shared" si="53"/>
        <v>4</v>
      </c>
    </row>
    <row r="116" spans="1:32" x14ac:dyDescent="0.2">
      <c r="A116" t="str">
        <f>INDEX(Prioritization!$D:$D,MATCH($B116,Prioritization!$A:$A,0))</f>
        <v>4 - Sustained</v>
      </c>
      <c r="B116" t="s">
        <v>312</v>
      </c>
      <c r="C116" t="s">
        <v>476</v>
      </c>
      <c r="D116" t="s">
        <v>48</v>
      </c>
      <c r="E116" t="str">
        <f t="shared" si="42"/>
        <v>Rumphi District [lPTyjLi4w3d]|25-34|Male</v>
      </c>
      <c r="F116" s="38">
        <f>IF(LEFT($B116,4)="_Mil","",INDEX(Cascade!$T:$T,MATCH($E116,Cascade!$E:$E,0)))</f>
        <v>19303</v>
      </c>
      <c r="G116" s="38">
        <f>IF(LEFT($B116,4)="_Mil","",INDEX(Cascade!$U:$U,MATCH($E116,Cascade!$E:$E,0)))</f>
        <v>418</v>
      </c>
      <c r="H116" s="110">
        <f>IF(LEFT($B116,4)="_Mil","",INDEX(Cascade!$W:$W,MATCH($E116,Cascade!$E:$E,0)))</f>
        <v>2.1667559999999999E-2</v>
      </c>
      <c r="I116" s="38">
        <f>IF(LEFT($B116,4)="_Mil","",INDEX(Cascade!$Z:$Z,MATCH($E116,Cascade!$E:$E,0)))</f>
        <v>380</v>
      </c>
      <c r="J116" s="33">
        <f>IF(LEFT($B116,4)="_Mil","",INDEX(Cascade!$AA:$AA,MATCH($E116,Cascade!$E:$E,0)))</f>
        <v>0.87441124999999997</v>
      </c>
      <c r="K116" s="38"/>
      <c r="L116" s="38">
        <v>0</v>
      </c>
      <c r="M116" s="218" t="str">
        <f>IF(LEFT($B116,4)="_Mil","",IFERROR(1/(1/ROUND(INDEX(Spectrum!$N:$N,MATCH(RIGHT($B116,13)&amp;"|"&amp;$C116&amp;"|"&amp;$D116&amp;"|"&amp;M$14&amp;"|"&amp;"CY2024Q3",Spectrum!$R:$R,0)),0)),IF(SUM($L116)=0,"",$L116)))</f>
        <v/>
      </c>
      <c r="N116" s="218">
        <f>IF(LEFT($B116,4)="_Mil","",IFERROR(1/(1/ROUND(INDEX(Spectrum!$N:$N,MATCH(RIGHT($B116,13)&amp;"|"&amp;$C116&amp;"|"&amp;$D116&amp;"|"&amp;N$14&amp;"|"&amp;"CY2024Q3",Spectrum!$R:$R,0)),0)),IF(SUM($M116)=0,"",$M116)))</f>
        <v>2440</v>
      </c>
      <c r="O116" s="33">
        <f t="shared" si="43"/>
        <v>0.12640522198621976</v>
      </c>
      <c r="P116" s="33">
        <f t="shared" si="44"/>
        <v>0.8</v>
      </c>
      <c r="Q116" s="218">
        <f t="shared" si="45"/>
        <v>15442</v>
      </c>
      <c r="R116" s="218">
        <f t="shared" si="46"/>
        <v>13002</v>
      </c>
      <c r="S116" s="33">
        <v>0</v>
      </c>
      <c r="T116" s="33" t="str">
        <f t="shared" si="47"/>
        <v/>
      </c>
      <c r="U116" s="33"/>
      <c r="V116" s="33" t="str">
        <f t="shared" si="54"/>
        <v/>
      </c>
      <c r="W116" s="33"/>
      <c r="X116" s="236">
        <v>3.5000000000000001E-3</v>
      </c>
      <c r="Y116" s="38">
        <f t="shared" si="48"/>
        <v>0</v>
      </c>
      <c r="Z116" s="218" t="str">
        <f t="shared" si="49"/>
        <v/>
      </c>
      <c r="AA116" s="218" t="str">
        <f t="shared" si="50"/>
        <v/>
      </c>
      <c r="AB116" s="218" t="str">
        <f t="shared" si="51"/>
        <v/>
      </c>
      <c r="AC116" s="38">
        <f>IFERROR(1/(1/INDEX(Cascade!$BH:$BH,MATCH($E116,Cascade!$E:$E,0))),"")</f>
        <v>7</v>
      </c>
      <c r="AD116" s="38" t="str">
        <f t="shared" si="52"/>
        <v/>
      </c>
      <c r="AE116" s="38">
        <f>IFERROR(1/(1/INDEX(TB!$P:$P,MATCH($E116,TB!$E:$E,0))),"")</f>
        <v>1</v>
      </c>
      <c r="AF116" s="38">
        <f t="shared" si="53"/>
        <v>6</v>
      </c>
    </row>
    <row r="117" spans="1:32" x14ac:dyDescent="0.2">
      <c r="A117" t="str">
        <f>INDEX(Prioritization!$D:$D,MATCH($B117,Prioritization!$A:$A,0))</f>
        <v>4 - Sustained</v>
      </c>
      <c r="B117" t="s">
        <v>312</v>
      </c>
      <c r="C117" t="s">
        <v>477</v>
      </c>
      <c r="D117" t="s">
        <v>48</v>
      </c>
      <c r="E117" t="str">
        <f t="shared" si="42"/>
        <v>Rumphi District [lPTyjLi4w3d]|35-49|Male</v>
      </c>
      <c r="F117" s="38">
        <f>IF(LEFT($B117,4)="_Mil","",INDEX(Cascade!$T:$T,MATCH($E117,Cascade!$E:$E,0)))</f>
        <v>19383</v>
      </c>
      <c r="G117" s="38">
        <f>IF(LEFT($B117,4)="_Mil","",INDEX(Cascade!$U:$U,MATCH($E117,Cascade!$E:$E,0)))</f>
        <v>1669</v>
      </c>
      <c r="H117" s="110">
        <f>IF(LEFT($B117,4)="_Mil","",INDEX(Cascade!$W:$W,MATCH($E117,Cascade!$E:$E,0)))</f>
        <v>8.6110010000000001E-2</v>
      </c>
      <c r="I117" s="38">
        <f>IF(LEFT($B117,4)="_Mil","",INDEX(Cascade!$Z:$Z,MATCH($E117,Cascade!$E:$E,0)))</f>
        <v>1579</v>
      </c>
      <c r="J117" s="33">
        <f>IF(LEFT($B117,4)="_Mil","",INDEX(Cascade!$AA:$AA,MATCH($E117,Cascade!$E:$E,0)))</f>
        <v>0.92321659099999998</v>
      </c>
      <c r="K117" s="38"/>
      <c r="L117" s="38">
        <v>0</v>
      </c>
      <c r="M117" s="218" t="str">
        <f>IF(LEFT($B117,4)="_Mil","",IFERROR(1/(1/ROUND(INDEX(Spectrum!$N:$N,MATCH(RIGHT($B117,13)&amp;"|"&amp;$C117&amp;"|"&amp;$D117&amp;"|"&amp;M$14&amp;"|"&amp;"CY2024Q3",Spectrum!$R:$R,0)),0)),IF(SUM($L117)=0,"",$L117)))</f>
        <v/>
      </c>
      <c r="N117" s="218">
        <f>IF(LEFT($B117,4)="_Mil","",IFERROR(1/(1/ROUND(INDEX(Spectrum!$N:$N,MATCH(RIGHT($B117,13)&amp;"|"&amp;$C117&amp;"|"&amp;$D117&amp;"|"&amp;N$14&amp;"|"&amp;"CY2024Q3",Spectrum!$R:$R,0)),0)),IF(SUM($M117)=0,"",$M117)))</f>
        <v>1652</v>
      </c>
      <c r="O117" s="33">
        <f t="shared" si="43"/>
        <v>8.5229324665944378E-2</v>
      </c>
      <c r="P117" s="33">
        <f t="shared" si="44"/>
        <v>0.8</v>
      </c>
      <c r="Q117" s="218">
        <f t="shared" si="45"/>
        <v>15506</v>
      </c>
      <c r="R117" s="218">
        <f t="shared" si="46"/>
        <v>13854</v>
      </c>
      <c r="S117" s="33">
        <v>0</v>
      </c>
      <c r="T117" s="33" t="str">
        <f t="shared" si="47"/>
        <v/>
      </c>
      <c r="U117" s="33"/>
      <c r="V117" s="33" t="str">
        <f t="shared" si="54"/>
        <v/>
      </c>
      <c r="W117" s="33"/>
      <c r="X117" s="236">
        <v>3.5000000000000001E-3</v>
      </c>
      <c r="Y117" s="38">
        <f t="shared" si="48"/>
        <v>0</v>
      </c>
      <c r="Z117" s="218" t="str">
        <f t="shared" si="49"/>
        <v/>
      </c>
      <c r="AA117" s="218" t="str">
        <f t="shared" si="50"/>
        <v/>
      </c>
      <c r="AB117" s="218" t="str">
        <f t="shared" si="51"/>
        <v/>
      </c>
      <c r="AC117" s="38">
        <f>IFERROR(1/(1/INDEX(Cascade!$BH:$BH,MATCH($E117,Cascade!$E:$E,0))),"")</f>
        <v>92.999999999999986</v>
      </c>
      <c r="AD117" s="38" t="str">
        <f t="shared" si="52"/>
        <v/>
      </c>
      <c r="AE117" s="38">
        <f>IFERROR(1/(1/INDEX(TB!$P:$P,MATCH($E117,TB!$E:$E,0))),"")</f>
        <v>1</v>
      </c>
      <c r="AF117" s="38">
        <f t="shared" si="53"/>
        <v>91.999999999999986</v>
      </c>
    </row>
    <row r="118" spans="1:32" x14ac:dyDescent="0.2">
      <c r="A118" t="str">
        <f>INDEX(Prioritization!$D:$D,MATCH($B118,Prioritization!$A:$A,0))</f>
        <v>4 - Sustained</v>
      </c>
      <c r="B118" t="s">
        <v>312</v>
      </c>
      <c r="C118" t="s">
        <v>478</v>
      </c>
      <c r="D118" t="s">
        <v>48</v>
      </c>
      <c r="E118" t="str">
        <f t="shared" si="42"/>
        <v>Rumphi District [lPTyjLi4w3d]|50+|Male</v>
      </c>
      <c r="F118" s="38">
        <f>IF(LEFT($B118,4)="_Mil","",INDEX(Cascade!$T:$T,MATCH($E118,Cascade!$E:$E,0)))</f>
        <v>10570</v>
      </c>
      <c r="G118" s="38">
        <f>IF(LEFT($B118,4)="_Mil","",INDEX(Cascade!$U:$U,MATCH($E118,Cascade!$E:$E,0)))</f>
        <v>1267</v>
      </c>
      <c r="H118" s="110">
        <f>IF(LEFT($B118,4)="_Mil","",INDEX(Cascade!$W:$W,MATCH($E118,Cascade!$E:$E,0)))</f>
        <v>0.11990174100000001</v>
      </c>
      <c r="I118" s="38">
        <f>IF(LEFT($B118,4)="_Mil","",INDEX(Cascade!$Z:$Z,MATCH($E118,Cascade!$E:$E,0)))</f>
        <v>1236</v>
      </c>
      <c r="J118" s="33">
        <f>IF(LEFT($B118,4)="_Mil","",INDEX(Cascade!$AA:$AA,MATCH($E118,Cascade!$E:$E,0)))</f>
        <v>0.94738130499999995</v>
      </c>
      <c r="K118" s="38"/>
      <c r="L118" s="38">
        <v>0</v>
      </c>
      <c r="M118" s="218" t="str">
        <f>IF(LEFT($B118,4)="_Mil","",IFERROR(1/(1/ROUND(INDEX(Spectrum!$N:$N,MATCH(RIGHT($B118,13)&amp;"|"&amp;$C118&amp;"|"&amp;$D118&amp;"|"&amp;M$14&amp;"|"&amp;"CY2024Q3",Spectrum!$R:$R,0)),0)),IF(SUM($L118)=0,"",$L118)))</f>
        <v/>
      </c>
      <c r="N118" s="218">
        <f>IF(LEFT($B118,4)="_Mil","",IFERROR(1/(1/ROUND(INDEX(Spectrum!$N:$N,MATCH(RIGHT($B118,13)&amp;"|"&amp;$C118&amp;"|"&amp;$D118&amp;"|"&amp;N$14&amp;"|"&amp;"CY2024Q3",Spectrum!$R:$R,0)),0)),IF(SUM($M118)=0,"",$M118)))</f>
        <v>423</v>
      </c>
      <c r="O118" s="33">
        <f t="shared" si="43"/>
        <v>4.0018921475875116E-2</v>
      </c>
      <c r="P118" s="33">
        <f t="shared" si="44"/>
        <v>0.8</v>
      </c>
      <c r="Q118" s="218">
        <f t="shared" si="45"/>
        <v>8456</v>
      </c>
      <c r="R118" s="218">
        <f t="shared" si="46"/>
        <v>8033</v>
      </c>
      <c r="S118" s="33">
        <v>0</v>
      </c>
      <c r="T118" s="33" t="str">
        <f t="shared" si="47"/>
        <v/>
      </c>
      <c r="U118" s="33"/>
      <c r="V118" s="33" t="str">
        <f t="shared" si="54"/>
        <v/>
      </c>
      <c r="W118" s="33"/>
      <c r="X118" s="236">
        <v>3.5000000000000001E-3</v>
      </c>
      <c r="Y118" s="38">
        <f t="shared" si="48"/>
        <v>0</v>
      </c>
      <c r="Z118" s="218" t="str">
        <f t="shared" si="49"/>
        <v/>
      </c>
      <c r="AA118" s="218" t="str">
        <f t="shared" si="50"/>
        <v/>
      </c>
      <c r="AB118" s="218" t="str">
        <f t="shared" si="51"/>
        <v/>
      </c>
      <c r="AC118" s="38">
        <f>IFERROR(1/(1/INDEX(Cascade!$BH:$BH,MATCH($E118,Cascade!$E:$E,0))),"")</f>
        <v>42</v>
      </c>
      <c r="AD118" s="38" t="str">
        <f t="shared" si="52"/>
        <v/>
      </c>
      <c r="AE118" s="38" t="str">
        <f>IFERROR(1/(1/INDEX(TB!$P:$P,MATCH($E118,TB!$E:$E,0))),"")</f>
        <v/>
      </c>
      <c r="AF118" s="38">
        <f t="shared" si="53"/>
        <v>42</v>
      </c>
    </row>
    <row r="119" spans="1:32" x14ac:dyDescent="0.2">
      <c r="A119" t="str">
        <f>INDEX(Prioritization!$D:$D,MATCH($B119,Prioritization!$A:$A,0))</f>
        <v>4 - Sustained</v>
      </c>
      <c r="B119" t="s">
        <v>306</v>
      </c>
      <c r="C119" t="s">
        <v>475</v>
      </c>
      <c r="D119" t="s">
        <v>48</v>
      </c>
      <c r="E119" t="str">
        <f t="shared" si="42"/>
        <v>Salima District [msW2zpIN7up]|15-24|Male</v>
      </c>
      <c r="F119" s="38">
        <f>IF(LEFT($B119,4)="_Mil","",INDEX(Cascade!$T:$T,MATCH($E119,Cascade!$E:$E,0)))</f>
        <v>62495</v>
      </c>
      <c r="G119" s="38">
        <f>IF(LEFT($B119,4)="_Mil","",INDEX(Cascade!$U:$U,MATCH($E119,Cascade!$E:$E,0)))</f>
        <v>675</v>
      </c>
      <c r="H119" s="110">
        <f>IF(LEFT($B119,4)="_Mil","",INDEX(Cascade!$W:$W,MATCH($E119,Cascade!$E:$E,0)))</f>
        <v>1.079423E-2</v>
      </c>
      <c r="I119" s="38">
        <f>IF(LEFT($B119,4)="_Mil","",INDEX(Cascade!$Z:$Z,MATCH($E119,Cascade!$E:$E,0)))</f>
        <v>583</v>
      </c>
      <c r="J119" s="33">
        <f>IF(LEFT($B119,4)="_Mil","",INDEX(Cascade!$AA:$AA,MATCH($E119,Cascade!$E:$E,0)))</f>
        <v>0.92394196200000001</v>
      </c>
      <c r="K119" s="38"/>
      <c r="L119" s="38">
        <v>0</v>
      </c>
      <c r="M119" s="218" t="str">
        <f>IF(LEFT($B119,4)="_Mil","",IFERROR(1/(1/ROUND(INDEX(Spectrum!$N:$N,MATCH(RIGHT($B119,13)&amp;"|"&amp;$C119&amp;"|"&amp;$D119&amp;"|"&amp;M$14&amp;"|"&amp;"CY2024Q3",Spectrum!$R:$R,0)),0)),IF(SUM($L119)=0,"",$L119)))</f>
        <v/>
      </c>
      <c r="N119" s="218">
        <f>IF(LEFT($B119,4)="_Mil","",IFERROR(1/(1/ROUND(INDEX(Spectrum!$N:$N,MATCH(RIGHT($B119,13)&amp;"|"&amp;$C119&amp;"|"&amp;$D119&amp;"|"&amp;N$14&amp;"|"&amp;"CY2024Q3",Spectrum!$R:$R,0)),0)),IF(SUM($M119)=0,"",$M119)))</f>
        <v>23253</v>
      </c>
      <c r="O119" s="33">
        <f t="shared" si="43"/>
        <v>0.37207776622129768</v>
      </c>
      <c r="P119" s="33">
        <f t="shared" si="44"/>
        <v>0.8</v>
      </c>
      <c r="Q119" s="218">
        <f t="shared" si="45"/>
        <v>49996</v>
      </c>
      <c r="R119" s="218">
        <f t="shared" si="46"/>
        <v>26743</v>
      </c>
      <c r="S119" s="33">
        <v>0</v>
      </c>
      <c r="T119" s="33" t="str">
        <f t="shared" si="47"/>
        <v/>
      </c>
      <c r="U119" s="33"/>
      <c r="V119" s="33" t="str">
        <f t="shared" si="54"/>
        <v/>
      </c>
      <c r="W119" s="33"/>
      <c r="X119" s="236">
        <v>3.5000000000000001E-3</v>
      </c>
      <c r="Y119" s="38">
        <f t="shared" si="48"/>
        <v>0</v>
      </c>
      <c r="Z119" s="218" t="str">
        <f t="shared" si="49"/>
        <v/>
      </c>
      <c r="AA119" s="218" t="str">
        <f t="shared" si="50"/>
        <v/>
      </c>
      <c r="AB119" s="218" t="str">
        <f t="shared" si="51"/>
        <v/>
      </c>
      <c r="AC119" s="38">
        <f>IFERROR(1/(1/INDEX(Cascade!$BH:$BH,MATCH($E119,Cascade!$E:$E,0))),"")</f>
        <v>32</v>
      </c>
      <c r="AD119" s="38" t="str">
        <f t="shared" si="52"/>
        <v/>
      </c>
      <c r="AE119" s="38">
        <f>IFERROR(1/(1/INDEX(TB!$P:$P,MATCH($E119,TB!$E:$E,0))),"")</f>
        <v>2</v>
      </c>
      <c r="AF119" s="38">
        <f t="shared" si="53"/>
        <v>30</v>
      </c>
    </row>
    <row r="120" spans="1:32" x14ac:dyDescent="0.2">
      <c r="A120" t="str">
        <f>INDEX(Prioritization!$D:$D,MATCH($B120,Prioritization!$A:$A,0))</f>
        <v>4 - Sustained</v>
      </c>
      <c r="B120" t="s">
        <v>306</v>
      </c>
      <c r="C120" t="s">
        <v>476</v>
      </c>
      <c r="D120" t="s">
        <v>48</v>
      </c>
      <c r="E120" t="str">
        <f t="shared" si="42"/>
        <v>Salima District [msW2zpIN7up]|25-34|Male</v>
      </c>
      <c r="F120" s="38">
        <f>IF(LEFT($B120,4)="_Mil","",INDEX(Cascade!$T:$T,MATCH($E120,Cascade!$E:$E,0)))</f>
        <v>39574</v>
      </c>
      <c r="G120" s="38">
        <f>IF(LEFT($B120,4)="_Mil","",INDEX(Cascade!$U:$U,MATCH($E120,Cascade!$E:$E,0)))</f>
        <v>810</v>
      </c>
      <c r="H120" s="110">
        <f>IF(LEFT($B120,4)="_Mil","",INDEX(Cascade!$W:$W,MATCH($E120,Cascade!$E:$E,0)))</f>
        <v>2.0466472999999999E-2</v>
      </c>
      <c r="I120" s="38">
        <f>IF(LEFT($B120,4)="_Mil","",INDEX(Cascade!$Z:$Z,MATCH($E120,Cascade!$E:$E,0)))</f>
        <v>684</v>
      </c>
      <c r="J120" s="33">
        <f>IF(LEFT($B120,4)="_Mil","",INDEX(Cascade!$AA:$AA,MATCH($E120,Cascade!$E:$E,0)))</f>
        <v>0.90049973300000008</v>
      </c>
      <c r="K120" s="38"/>
      <c r="L120" s="38">
        <v>0</v>
      </c>
      <c r="M120" s="218" t="str">
        <f>IF(LEFT($B120,4)="_Mil","",IFERROR(1/(1/ROUND(INDEX(Spectrum!$N:$N,MATCH(RIGHT($B120,13)&amp;"|"&amp;$C120&amp;"|"&amp;$D120&amp;"|"&amp;M$14&amp;"|"&amp;"CY2024Q3",Spectrum!$R:$R,0)),0)),IF(SUM($L120)=0,"",$L120)))</f>
        <v/>
      </c>
      <c r="N120" s="218">
        <f>IF(LEFT($B120,4)="_Mil","",IFERROR(1/(1/ROUND(INDEX(Spectrum!$N:$N,MATCH(RIGHT($B120,13)&amp;"|"&amp;$C120&amp;"|"&amp;$D120&amp;"|"&amp;N$14&amp;"|"&amp;"CY2024Q3",Spectrum!$R:$R,0)),0)),IF(SUM($M120)=0,"",$M120)))</f>
        <v>23344</v>
      </c>
      <c r="O120" s="33">
        <f t="shared" si="43"/>
        <v>0.58988224591903771</v>
      </c>
      <c r="P120" s="33">
        <f t="shared" si="44"/>
        <v>0.8</v>
      </c>
      <c r="Q120" s="218">
        <f t="shared" si="45"/>
        <v>31659</v>
      </c>
      <c r="R120" s="218">
        <f t="shared" si="46"/>
        <v>8315</v>
      </c>
      <c r="S120" s="33">
        <v>0</v>
      </c>
      <c r="T120" s="33" t="str">
        <f t="shared" si="47"/>
        <v/>
      </c>
      <c r="U120" s="33"/>
      <c r="V120" s="33" t="str">
        <f t="shared" si="54"/>
        <v/>
      </c>
      <c r="W120" s="33"/>
      <c r="X120" s="236">
        <v>3.5000000000000001E-3</v>
      </c>
      <c r="Y120" s="38">
        <f t="shared" si="48"/>
        <v>0</v>
      </c>
      <c r="Z120" s="218" t="str">
        <f t="shared" si="49"/>
        <v/>
      </c>
      <c r="AA120" s="218" t="str">
        <f t="shared" si="50"/>
        <v/>
      </c>
      <c r="AB120" s="218" t="str">
        <f t="shared" si="51"/>
        <v/>
      </c>
      <c r="AC120" s="38">
        <f>IFERROR(1/(1/INDEX(Cascade!$BH:$BH,MATCH($E120,Cascade!$E:$E,0))),"")</f>
        <v>13</v>
      </c>
      <c r="AD120" s="38" t="str">
        <f t="shared" si="52"/>
        <v/>
      </c>
      <c r="AE120" s="38">
        <f>IFERROR(1/(1/INDEX(TB!$P:$P,MATCH($E120,TB!$E:$E,0))),"")</f>
        <v>2</v>
      </c>
      <c r="AF120" s="38">
        <f t="shared" si="53"/>
        <v>11</v>
      </c>
    </row>
    <row r="121" spans="1:32" x14ac:dyDescent="0.2">
      <c r="A121" t="str">
        <f>INDEX(Prioritization!$D:$D,MATCH($B121,Prioritization!$A:$A,0))</f>
        <v>4 - Sustained</v>
      </c>
      <c r="B121" t="s">
        <v>306</v>
      </c>
      <c r="C121" t="s">
        <v>477</v>
      </c>
      <c r="D121" t="s">
        <v>48</v>
      </c>
      <c r="E121" t="str">
        <f t="shared" si="42"/>
        <v>Salima District [msW2zpIN7up]|35-49|Male</v>
      </c>
      <c r="F121" s="38">
        <f>IF(LEFT($B121,4)="_Mil","",INDEX(Cascade!$T:$T,MATCH($E121,Cascade!$E:$E,0)))</f>
        <v>39162</v>
      </c>
      <c r="G121" s="38">
        <f>IF(LEFT($B121,4)="_Mil","",INDEX(Cascade!$U:$U,MATCH($E121,Cascade!$E:$E,0)))</f>
        <v>3210</v>
      </c>
      <c r="H121" s="110">
        <f>IF(LEFT($B121,4)="_Mil","",INDEX(Cascade!$W:$W,MATCH($E121,Cascade!$E:$E,0)))</f>
        <v>8.1975430000000002E-2</v>
      </c>
      <c r="I121" s="38">
        <f>IF(LEFT($B121,4)="_Mil","",INDEX(Cascade!$Z:$Z,MATCH($E121,Cascade!$E:$E,0)))</f>
        <v>2821</v>
      </c>
      <c r="J121" s="33">
        <f>IF(LEFT($B121,4)="_Mil","",INDEX(Cascade!$AA:$AA,MATCH($E121,Cascade!$E:$E,0)))</f>
        <v>0.94003702500000008</v>
      </c>
      <c r="K121" s="38"/>
      <c r="L121" s="38">
        <v>0</v>
      </c>
      <c r="M121" s="218" t="str">
        <f>IF(LEFT($B121,4)="_Mil","",IFERROR(1/(1/ROUND(INDEX(Spectrum!$N:$N,MATCH(RIGHT($B121,13)&amp;"|"&amp;$C121&amp;"|"&amp;$D121&amp;"|"&amp;M$14&amp;"|"&amp;"CY2024Q3",Spectrum!$R:$R,0)),0)),IF(SUM($L121)=0,"",$L121)))</f>
        <v/>
      </c>
      <c r="N121" s="218">
        <f>IF(LEFT($B121,4)="_Mil","",IFERROR(1/(1/ROUND(INDEX(Spectrum!$N:$N,MATCH(RIGHT($B121,13)&amp;"|"&amp;$C121&amp;"|"&amp;$D121&amp;"|"&amp;N$14&amp;"|"&amp;"CY2024Q3",Spectrum!$R:$R,0)),0)),IF(SUM($M121)=0,"",$M121)))</f>
        <v>20423</v>
      </c>
      <c r="O121" s="33">
        <f t="shared" si="43"/>
        <v>0.52150043409427504</v>
      </c>
      <c r="P121" s="33">
        <f t="shared" si="44"/>
        <v>0.8</v>
      </c>
      <c r="Q121" s="218">
        <f t="shared" si="45"/>
        <v>31330</v>
      </c>
      <c r="R121" s="218">
        <f t="shared" si="46"/>
        <v>10907</v>
      </c>
      <c r="S121" s="33">
        <v>0</v>
      </c>
      <c r="T121" s="33" t="str">
        <f t="shared" si="47"/>
        <v/>
      </c>
      <c r="U121" s="33"/>
      <c r="V121" s="33" t="str">
        <f t="shared" si="54"/>
        <v/>
      </c>
      <c r="W121" s="33"/>
      <c r="X121" s="236">
        <v>3.5000000000000001E-3</v>
      </c>
      <c r="Y121" s="38">
        <f t="shared" si="48"/>
        <v>0</v>
      </c>
      <c r="Z121" s="218" t="str">
        <f t="shared" si="49"/>
        <v/>
      </c>
      <c r="AA121" s="218" t="str">
        <f t="shared" si="50"/>
        <v/>
      </c>
      <c r="AB121" s="218" t="str">
        <f t="shared" si="51"/>
        <v/>
      </c>
      <c r="AC121" s="38">
        <f>IFERROR(1/(1/INDEX(Cascade!$BH:$BH,MATCH($E121,Cascade!$E:$E,0))),"")</f>
        <v>54</v>
      </c>
      <c r="AD121" s="38" t="str">
        <f t="shared" si="52"/>
        <v/>
      </c>
      <c r="AE121" s="38">
        <f>IFERROR(1/(1/INDEX(TB!$P:$P,MATCH($E121,TB!$E:$E,0))),"")</f>
        <v>2</v>
      </c>
      <c r="AF121" s="38">
        <f t="shared" si="53"/>
        <v>52</v>
      </c>
    </row>
    <row r="122" spans="1:32" x14ac:dyDescent="0.2">
      <c r="A122" t="str">
        <f>INDEX(Prioritization!$D:$D,MATCH($B122,Prioritization!$A:$A,0))</f>
        <v>4 - Sustained</v>
      </c>
      <c r="B122" t="s">
        <v>306</v>
      </c>
      <c r="C122" t="s">
        <v>478</v>
      </c>
      <c r="D122" t="s">
        <v>48</v>
      </c>
      <c r="E122" t="str">
        <f t="shared" si="42"/>
        <v>Salima District [msW2zpIN7up]|50+|Male</v>
      </c>
      <c r="F122" s="38">
        <f>IF(LEFT($B122,4)="_Mil","",INDEX(Cascade!$T:$T,MATCH($E122,Cascade!$E:$E,0)))</f>
        <v>19907</v>
      </c>
      <c r="G122" s="38">
        <f>IF(LEFT($B122,4)="_Mil","",INDEX(Cascade!$U:$U,MATCH($E122,Cascade!$E:$E,0)))</f>
        <v>2330</v>
      </c>
      <c r="H122" s="110">
        <f>IF(LEFT($B122,4)="_Mil","",INDEX(Cascade!$W:$W,MATCH($E122,Cascade!$E:$E,0)))</f>
        <v>0.11703311</v>
      </c>
      <c r="I122" s="38">
        <f>IF(LEFT($B122,4)="_Mil","",INDEX(Cascade!$Z:$Z,MATCH($E122,Cascade!$E:$E,0)))</f>
        <v>2116</v>
      </c>
      <c r="J122" s="33">
        <f>IF(LEFT($B122,4)="_Mil","",INDEX(Cascade!$AA:$AA,MATCH($E122,Cascade!$E:$E,0)))</f>
        <v>0.95897100299999993</v>
      </c>
      <c r="K122" s="38"/>
      <c r="L122" s="38">
        <v>0</v>
      </c>
      <c r="M122" s="218" t="str">
        <f>IF(LEFT($B122,4)="_Mil","",IFERROR(1/(1/ROUND(INDEX(Spectrum!$N:$N,MATCH(RIGHT($B122,13)&amp;"|"&amp;$C122&amp;"|"&amp;$D122&amp;"|"&amp;M$14&amp;"|"&amp;"CY2024Q3",Spectrum!$R:$R,0)),0)),IF(SUM($L122)=0,"",$L122)))</f>
        <v/>
      </c>
      <c r="N122" s="218">
        <f>IF(LEFT($B122,4)="_Mil","",IFERROR(1/(1/ROUND(INDEX(Spectrum!$N:$N,MATCH(RIGHT($B122,13)&amp;"|"&amp;$C122&amp;"|"&amp;$D122&amp;"|"&amp;N$14&amp;"|"&amp;"CY2024Q3",Spectrum!$R:$R,0)),0)),IF(SUM($M122)=0,"",$M122)))</f>
        <v>6846</v>
      </c>
      <c r="O122" s="33">
        <f t="shared" si="43"/>
        <v>0.34389913095895919</v>
      </c>
      <c r="P122" s="33">
        <f t="shared" si="44"/>
        <v>0.8</v>
      </c>
      <c r="Q122" s="218">
        <f t="shared" si="45"/>
        <v>15926</v>
      </c>
      <c r="R122" s="218">
        <f t="shared" si="46"/>
        <v>9080</v>
      </c>
      <c r="S122" s="33">
        <v>0</v>
      </c>
      <c r="T122" s="33" t="str">
        <f t="shared" si="47"/>
        <v/>
      </c>
      <c r="U122" s="33"/>
      <c r="V122" s="33" t="str">
        <f t="shared" si="54"/>
        <v/>
      </c>
      <c r="W122" s="33"/>
      <c r="X122" s="236">
        <v>3.5000000000000001E-3</v>
      </c>
      <c r="Y122" s="38">
        <f t="shared" si="48"/>
        <v>0</v>
      </c>
      <c r="Z122" s="218" t="str">
        <f t="shared" si="49"/>
        <v/>
      </c>
      <c r="AA122" s="218" t="str">
        <f t="shared" si="50"/>
        <v/>
      </c>
      <c r="AB122" s="218" t="str">
        <f t="shared" si="51"/>
        <v/>
      </c>
      <c r="AC122" s="38">
        <f>IFERROR(1/(1/INDEX(Cascade!$BH:$BH,MATCH($E122,Cascade!$E:$E,0))),"")</f>
        <v>78</v>
      </c>
      <c r="AD122" s="38" t="str">
        <f t="shared" si="52"/>
        <v/>
      </c>
      <c r="AE122" s="38">
        <f>IFERROR(1/(1/INDEX(TB!$P:$P,MATCH($E122,TB!$E:$E,0))),"")</f>
        <v>1</v>
      </c>
      <c r="AF122" s="38">
        <f t="shared" si="53"/>
        <v>77</v>
      </c>
    </row>
    <row r="123" spans="1:32" x14ac:dyDescent="0.2">
      <c r="A123" t="str">
        <f>INDEX(Prioritization!$D:$D,MATCH($B123,Prioritization!$A:$A,0))</f>
        <v>INVALID</v>
      </c>
      <c r="B123" t="s">
        <v>324</v>
      </c>
      <c r="C123" t="s">
        <v>475</v>
      </c>
      <c r="D123" t="s">
        <v>48</v>
      </c>
      <c r="E123" t="str">
        <f t="shared" si="42"/>
        <v>Thyolo District [ul0y9diGujK]|15-24|Male</v>
      </c>
      <c r="F123" s="38">
        <f>IF(LEFT($B123,4)="_Mil","",INDEX(Cascade!$T:$T,MATCH($E123,Cascade!$E:$E,0)))</f>
        <v>91430</v>
      </c>
      <c r="G123" s="38">
        <f>IF(LEFT($B123,4)="_Mil","",INDEX(Cascade!$U:$U,MATCH($E123,Cascade!$E:$E,0)))</f>
        <v>2384</v>
      </c>
      <c r="H123" s="110">
        <f>IF(LEFT($B123,4)="_Mil","",INDEX(Cascade!$W:$W,MATCH($E123,Cascade!$E:$E,0)))</f>
        <v>2.6076021000000001E-2</v>
      </c>
      <c r="I123" s="38">
        <f>IF(LEFT($B123,4)="_Mil","",INDEX(Cascade!$Z:$Z,MATCH($E123,Cascade!$E:$E,0)))</f>
        <v>1942</v>
      </c>
      <c r="J123" s="33">
        <f>IF(LEFT($B123,4)="_Mil","",INDEX(Cascade!$AA:$AA,MATCH($E123,Cascade!$E:$E,0)))</f>
        <v>0.91191234399999987</v>
      </c>
      <c r="K123" s="38"/>
      <c r="L123" s="38">
        <v>0</v>
      </c>
      <c r="M123" s="218" t="str">
        <f>IF(LEFT($B123,4)="_Mil","",IFERROR(1/(1/ROUND(INDEX(Spectrum!$N:$N,MATCH(RIGHT($B123,13)&amp;"|"&amp;$C123&amp;"|"&amp;$D123&amp;"|"&amp;M$14&amp;"|"&amp;"CY2024Q3",Spectrum!$R:$R,0)),0)),IF(SUM($L123)=0,"",$L123)))</f>
        <v/>
      </c>
      <c r="N123" s="218">
        <f>IF(LEFT($B123,4)="_Mil","",IFERROR(1/(1/ROUND(INDEX(Spectrum!$N:$N,MATCH(RIGHT($B123,13)&amp;"|"&amp;$C123&amp;"|"&amp;$D123&amp;"|"&amp;N$14&amp;"|"&amp;"CY2024Q3",Spectrum!$R:$R,0)),0)),IF(SUM($M123)=0,"",$M123)))</f>
        <v>39965</v>
      </c>
      <c r="O123" s="33">
        <f t="shared" si="43"/>
        <v>0.4371103576506617</v>
      </c>
      <c r="P123" s="33">
        <f t="shared" si="44"/>
        <v>0.8</v>
      </c>
      <c r="Q123" s="218">
        <f t="shared" si="45"/>
        <v>73144</v>
      </c>
      <c r="R123" s="218">
        <f t="shared" si="46"/>
        <v>33179</v>
      </c>
      <c r="S123" s="33">
        <v>0</v>
      </c>
      <c r="T123" s="33" t="str">
        <f t="shared" si="47"/>
        <v/>
      </c>
      <c r="U123" s="33"/>
      <c r="V123" s="33" t="str">
        <f t="shared" si="54"/>
        <v/>
      </c>
      <c r="W123" s="33"/>
      <c r="X123" s="236">
        <v>3.5000000000000001E-3</v>
      </c>
      <c r="Y123" s="38">
        <f t="shared" si="48"/>
        <v>0</v>
      </c>
      <c r="Z123" s="218" t="str">
        <f t="shared" si="49"/>
        <v/>
      </c>
      <c r="AA123" s="218" t="str">
        <f t="shared" si="50"/>
        <v/>
      </c>
      <c r="AB123" s="218" t="str">
        <f t="shared" si="51"/>
        <v/>
      </c>
      <c r="AC123" s="38">
        <f>IFERROR(1/(1/INDEX(Cascade!$BH:$BH,MATCH($E123,Cascade!$E:$E,0))),"")</f>
        <v>35</v>
      </c>
      <c r="AD123" s="38" t="str">
        <f t="shared" si="52"/>
        <v/>
      </c>
      <c r="AE123" s="38">
        <f>IFERROR(1/(1/INDEX(TB!$P:$P,MATCH($E123,TB!$E:$E,0))),"")</f>
        <v>3</v>
      </c>
      <c r="AF123" s="38">
        <f t="shared" si="53"/>
        <v>32</v>
      </c>
    </row>
    <row r="124" spans="1:32" x14ac:dyDescent="0.2">
      <c r="A124" t="str">
        <f>INDEX(Prioritization!$D:$D,MATCH($B124,Prioritization!$A:$A,0))</f>
        <v>INVALID</v>
      </c>
      <c r="B124" t="s">
        <v>324</v>
      </c>
      <c r="C124" t="s">
        <v>476</v>
      </c>
      <c r="D124" t="s">
        <v>48</v>
      </c>
      <c r="E124" t="str">
        <f t="shared" si="42"/>
        <v>Thyolo District [ul0y9diGujK]|25-34|Male</v>
      </c>
      <c r="F124" s="38">
        <f>IF(LEFT($B124,4)="_Mil","",INDEX(Cascade!$T:$T,MATCH($E124,Cascade!$E:$E,0)))</f>
        <v>52244</v>
      </c>
      <c r="G124" s="38">
        <f>IF(LEFT($B124,4)="_Mil","",INDEX(Cascade!$U:$U,MATCH($E124,Cascade!$E:$E,0)))</f>
        <v>2860</v>
      </c>
      <c r="H124" s="110">
        <f>IF(LEFT($B124,4)="_Mil","",INDEX(Cascade!$W:$W,MATCH($E124,Cascade!$E:$E,0)))</f>
        <v>5.4746511999999997E-2</v>
      </c>
      <c r="I124" s="38">
        <f>IF(LEFT($B124,4)="_Mil","",INDEX(Cascade!$Z:$Z,MATCH($E124,Cascade!$E:$E,0)))</f>
        <v>2277</v>
      </c>
      <c r="J124" s="33">
        <f>IF(LEFT($B124,4)="_Mil","",INDEX(Cascade!$AA:$AA,MATCH($E124,Cascade!$E:$E,0)))</f>
        <v>0.88571062700000003</v>
      </c>
      <c r="K124" s="38"/>
      <c r="L124" s="38">
        <v>0</v>
      </c>
      <c r="M124" s="218" t="str">
        <f>IF(LEFT($B124,4)="_Mil","",IFERROR(1/(1/ROUND(INDEX(Spectrum!$N:$N,MATCH(RIGHT($B124,13)&amp;"|"&amp;$C124&amp;"|"&amp;$D124&amp;"|"&amp;M$14&amp;"|"&amp;"CY2024Q3",Spectrum!$R:$R,0)),0)),IF(SUM($L124)=0,"",$L124)))</f>
        <v/>
      </c>
      <c r="N124" s="218">
        <f>IF(LEFT($B124,4)="_Mil","",IFERROR(1/(1/ROUND(INDEX(Spectrum!$N:$N,MATCH(RIGHT($B124,13)&amp;"|"&amp;$C124&amp;"|"&amp;$D124&amp;"|"&amp;N$14&amp;"|"&amp;"CY2024Q3",Spectrum!$R:$R,0)),0)),IF(SUM($M124)=0,"",$M124)))</f>
        <v>39555</v>
      </c>
      <c r="O124" s="33">
        <f t="shared" si="43"/>
        <v>0.75712043488247449</v>
      </c>
      <c r="P124" s="33">
        <f t="shared" si="44"/>
        <v>0.8</v>
      </c>
      <c r="Q124" s="218">
        <f t="shared" si="45"/>
        <v>41795</v>
      </c>
      <c r="R124" s="218">
        <f t="shared" si="46"/>
        <v>2240</v>
      </c>
      <c r="S124" s="33">
        <v>0</v>
      </c>
      <c r="T124" s="33" t="str">
        <f t="shared" si="47"/>
        <v/>
      </c>
      <c r="U124" s="33"/>
      <c r="V124" s="33" t="str">
        <f t="shared" si="54"/>
        <v/>
      </c>
      <c r="W124" s="33"/>
      <c r="X124" s="236">
        <v>3.5000000000000001E-3</v>
      </c>
      <c r="Y124" s="38">
        <f t="shared" si="48"/>
        <v>0</v>
      </c>
      <c r="Z124" s="218" t="str">
        <f t="shared" si="49"/>
        <v/>
      </c>
      <c r="AA124" s="218" t="str">
        <f t="shared" si="50"/>
        <v/>
      </c>
      <c r="AB124" s="218" t="str">
        <f t="shared" si="51"/>
        <v/>
      </c>
      <c r="AC124" s="38">
        <f>IFERROR(1/(1/INDEX(Cascade!$BH:$BH,MATCH($E124,Cascade!$E:$E,0))),"")</f>
        <v>41</v>
      </c>
      <c r="AD124" s="38" t="str">
        <f t="shared" si="52"/>
        <v/>
      </c>
      <c r="AE124" s="38">
        <f>IFERROR(1/(1/INDEX(TB!$P:$P,MATCH($E124,TB!$E:$E,0))),"")</f>
        <v>3</v>
      </c>
      <c r="AF124" s="38">
        <f t="shared" si="53"/>
        <v>38</v>
      </c>
    </row>
    <row r="125" spans="1:32" x14ac:dyDescent="0.2">
      <c r="A125" t="str">
        <f>INDEX(Prioritization!$D:$D,MATCH($B125,Prioritization!$A:$A,0))</f>
        <v>INVALID</v>
      </c>
      <c r="B125" t="s">
        <v>324</v>
      </c>
      <c r="C125" t="s">
        <v>477</v>
      </c>
      <c r="D125" t="s">
        <v>48</v>
      </c>
      <c r="E125" t="str">
        <f t="shared" si="42"/>
        <v>Thyolo District [ul0y9diGujK]|35-49|Male</v>
      </c>
      <c r="F125" s="38">
        <f>IF(LEFT($B125,4)="_Mil","",INDEX(Cascade!$T:$T,MATCH($E125,Cascade!$E:$E,0)))</f>
        <v>52380</v>
      </c>
      <c r="G125" s="38">
        <f>IF(LEFT($B125,4)="_Mil","",INDEX(Cascade!$U:$U,MATCH($E125,Cascade!$E:$E,0)))</f>
        <v>10327</v>
      </c>
      <c r="H125" s="110">
        <f>IF(LEFT($B125,4)="_Mil","",INDEX(Cascade!$W:$W,MATCH($E125,Cascade!$E:$E,0)))</f>
        <v>0.19715259700000001</v>
      </c>
      <c r="I125" s="38">
        <f>IF(LEFT($B125,4)="_Mil","",INDEX(Cascade!$Z:$Z,MATCH($E125,Cascade!$E:$E,0)))</f>
        <v>8665</v>
      </c>
      <c r="J125" s="33">
        <f>IF(LEFT($B125,4)="_Mil","",INDEX(Cascade!$AA:$AA,MATCH($E125,Cascade!$E:$E,0)))</f>
        <v>0.93047459600000004</v>
      </c>
      <c r="K125" s="38"/>
      <c r="L125" s="38">
        <v>0</v>
      </c>
      <c r="M125" s="218" t="str">
        <f>IF(LEFT($B125,4)="_Mil","",IFERROR(1/(1/ROUND(INDEX(Spectrum!$N:$N,MATCH(RIGHT($B125,13)&amp;"|"&amp;$C125&amp;"|"&amp;$D125&amp;"|"&amp;M$14&amp;"|"&amp;"CY2024Q3",Spectrum!$R:$R,0)),0)),IF(SUM($L125)=0,"",$L125)))</f>
        <v/>
      </c>
      <c r="N125" s="218">
        <f>IF(LEFT($B125,4)="_Mil","",IFERROR(1/(1/ROUND(INDEX(Spectrum!$N:$N,MATCH(RIGHT($B125,13)&amp;"|"&amp;$C125&amp;"|"&amp;$D125&amp;"|"&amp;N$14&amp;"|"&amp;"CY2024Q3",Spectrum!$R:$R,0)),0)),IF(SUM($M125)=0,"",$M125)))</f>
        <v>29507</v>
      </c>
      <c r="O125" s="33">
        <f t="shared" si="43"/>
        <v>0.56332569683085143</v>
      </c>
      <c r="P125" s="33">
        <f t="shared" si="44"/>
        <v>0.8</v>
      </c>
      <c r="Q125" s="218">
        <f t="shared" si="45"/>
        <v>41904</v>
      </c>
      <c r="R125" s="218">
        <f t="shared" si="46"/>
        <v>12397</v>
      </c>
      <c r="S125" s="33">
        <v>0</v>
      </c>
      <c r="T125" s="33" t="str">
        <f t="shared" si="47"/>
        <v/>
      </c>
      <c r="U125" s="33"/>
      <c r="V125" s="33" t="str">
        <f t="shared" si="54"/>
        <v/>
      </c>
      <c r="W125" s="33"/>
      <c r="X125" s="236">
        <v>3.5000000000000001E-3</v>
      </c>
      <c r="Y125" s="38">
        <f t="shared" si="48"/>
        <v>0</v>
      </c>
      <c r="Z125" s="218" t="str">
        <f t="shared" si="49"/>
        <v/>
      </c>
      <c r="AA125" s="218" t="str">
        <f t="shared" si="50"/>
        <v/>
      </c>
      <c r="AB125" s="218" t="str">
        <f t="shared" si="51"/>
        <v/>
      </c>
      <c r="AC125" s="38">
        <f>IFERROR(1/(1/INDEX(Cascade!$BH:$BH,MATCH($E125,Cascade!$E:$E,0))),"")</f>
        <v>180</v>
      </c>
      <c r="AD125" s="38" t="str">
        <f t="shared" si="52"/>
        <v/>
      </c>
      <c r="AE125" s="38">
        <f>IFERROR(1/(1/INDEX(TB!$P:$P,MATCH($E125,TB!$E:$E,0))),"")</f>
        <v>5</v>
      </c>
      <c r="AF125" s="38">
        <f t="shared" si="53"/>
        <v>175</v>
      </c>
    </row>
    <row r="126" spans="1:32" x14ac:dyDescent="0.2">
      <c r="A126" t="str">
        <f>INDEX(Prioritization!$D:$D,MATCH($B126,Prioritization!$A:$A,0))</f>
        <v>INVALID</v>
      </c>
      <c r="B126" t="s">
        <v>324</v>
      </c>
      <c r="C126" t="s">
        <v>478</v>
      </c>
      <c r="D126" t="s">
        <v>48</v>
      </c>
      <c r="E126" t="str">
        <f t="shared" si="42"/>
        <v>Thyolo District [ul0y9diGujK]|50+|Male</v>
      </c>
      <c r="F126" s="38">
        <f>IF(LEFT($B126,4)="_Mil","",INDEX(Cascade!$T:$T,MATCH($E126,Cascade!$E:$E,0)))</f>
        <v>30884</v>
      </c>
      <c r="G126" s="38">
        <f>IF(LEFT($B126,4)="_Mil","",INDEX(Cascade!$U:$U,MATCH($E126,Cascade!$E:$E,0)))</f>
        <v>7943</v>
      </c>
      <c r="H126" s="110">
        <f>IF(LEFT($B126,4)="_Mil","",INDEX(Cascade!$W:$W,MATCH($E126,Cascade!$E:$E,0)))</f>
        <v>0.25717641000000002</v>
      </c>
      <c r="I126" s="38">
        <f>IF(LEFT($B126,4)="_Mil","",INDEX(Cascade!$Z:$Z,MATCH($E126,Cascade!$E:$E,0)))</f>
        <v>6769</v>
      </c>
      <c r="J126" s="33">
        <f>IF(LEFT($B126,4)="_Mil","",INDEX(Cascade!$AA:$AA,MATCH($E126,Cascade!$E:$E,0)))</f>
        <v>0.95247974299999993</v>
      </c>
      <c r="K126" s="38"/>
      <c r="L126" s="38">
        <v>0</v>
      </c>
      <c r="M126" s="218" t="str">
        <f>IF(LEFT($B126,4)="_Mil","",IFERROR(1/(1/ROUND(INDEX(Spectrum!$N:$N,MATCH(RIGHT($B126,13)&amp;"|"&amp;$C126&amp;"|"&amp;$D126&amp;"|"&amp;M$14&amp;"|"&amp;"CY2024Q3",Spectrum!$R:$R,0)),0)),IF(SUM($L126)=0,"",$L126)))</f>
        <v/>
      </c>
      <c r="N126" s="218">
        <f>IF(LEFT($B126,4)="_Mil","",IFERROR(1/(1/ROUND(INDEX(Spectrum!$N:$N,MATCH(RIGHT($B126,13)&amp;"|"&amp;$C126&amp;"|"&amp;$D126&amp;"|"&amp;N$14&amp;"|"&amp;"CY2024Q3",Spectrum!$R:$R,0)),0)),IF(SUM($M126)=0,"",$M126)))</f>
        <v>9133</v>
      </c>
      <c r="O126" s="33">
        <f t="shared" si="43"/>
        <v>0.29571946639036395</v>
      </c>
      <c r="P126" s="33">
        <f t="shared" si="44"/>
        <v>0.8</v>
      </c>
      <c r="Q126" s="218">
        <f t="shared" si="45"/>
        <v>24707</v>
      </c>
      <c r="R126" s="218">
        <f t="shared" si="46"/>
        <v>15574</v>
      </c>
      <c r="S126" s="33">
        <v>0</v>
      </c>
      <c r="T126" s="33" t="str">
        <f t="shared" si="47"/>
        <v/>
      </c>
      <c r="U126" s="33"/>
      <c r="V126" s="33" t="str">
        <f t="shared" si="54"/>
        <v/>
      </c>
      <c r="W126" s="33"/>
      <c r="X126" s="236">
        <v>3.5000000000000001E-3</v>
      </c>
      <c r="Y126" s="38">
        <f t="shared" si="48"/>
        <v>0</v>
      </c>
      <c r="Z126" s="218" t="str">
        <f t="shared" si="49"/>
        <v/>
      </c>
      <c r="AA126" s="218" t="str">
        <f t="shared" si="50"/>
        <v/>
      </c>
      <c r="AB126" s="218" t="str">
        <f t="shared" si="51"/>
        <v/>
      </c>
      <c r="AC126" s="38">
        <f>IFERROR(1/(1/INDEX(Cascade!$BH:$BH,MATCH($E126,Cascade!$E:$E,0))),"")</f>
        <v>210.99999999999997</v>
      </c>
      <c r="AD126" s="38" t="str">
        <f t="shared" si="52"/>
        <v/>
      </c>
      <c r="AE126" s="38">
        <f>IFERROR(1/(1/INDEX(TB!$P:$P,MATCH($E126,TB!$E:$E,0))),"")</f>
        <v>2</v>
      </c>
      <c r="AF126" s="38">
        <f t="shared" si="53"/>
        <v>208.99999999999997</v>
      </c>
    </row>
    <row r="127" spans="1:32" x14ac:dyDescent="0.2">
      <c r="A127" t="str">
        <f>INDEX(Prioritization!$D:$D,MATCH($B127,Prioritization!$A:$A,0))</f>
        <v>1 - Scale-up: Saturation</v>
      </c>
      <c r="B127" t="s">
        <v>325</v>
      </c>
      <c r="C127" t="s">
        <v>475</v>
      </c>
      <c r="D127" t="s">
        <v>48</v>
      </c>
      <c r="E127" t="str">
        <f t="shared" si="42"/>
        <v>Zomba District [fyEoGEPERdI]|15-24|Male</v>
      </c>
      <c r="F127" s="38">
        <f>IF(LEFT($B127,4)="_Mil","",INDEX(Cascade!$T:$T,MATCH($E127,Cascade!$E:$E,0)))</f>
        <v>110935</v>
      </c>
      <c r="G127" s="38">
        <f>IF(LEFT($B127,4)="_Mil","",INDEX(Cascade!$U:$U,MATCH($E127,Cascade!$E:$E,0)))</f>
        <v>2383</v>
      </c>
      <c r="H127" s="110">
        <f>IF(LEFT($B127,4)="_Mil","",INDEX(Cascade!$W:$W,MATCH($E127,Cascade!$E:$E,0)))</f>
        <v>2.1483163999999999E-2</v>
      </c>
      <c r="I127" s="38">
        <f>IF(LEFT($B127,4)="_Mil","",INDEX(Cascade!$Z:$Z,MATCH($E127,Cascade!$E:$E,0)))</f>
        <v>2167</v>
      </c>
      <c r="J127" s="33">
        <f>IF(LEFT($B127,4)="_Mil","",INDEX(Cascade!$AA:$AA,MATCH($E127,Cascade!$E:$E,0)))</f>
        <v>0.91281844899999987</v>
      </c>
      <c r="K127" s="38"/>
      <c r="L127" s="38">
        <v>0</v>
      </c>
      <c r="M127" s="218" t="str">
        <f>IF(LEFT($B127,4)="_Mil","",IFERROR(1/(1/ROUND(INDEX(Spectrum!$N:$N,MATCH(RIGHT($B127,13)&amp;"|"&amp;$C127&amp;"|"&amp;$D127&amp;"|"&amp;M$14&amp;"|"&amp;"CY2024Q3",Spectrum!$R:$R,0)),0)),IF(SUM($L127)=0,"",$L127)))</f>
        <v/>
      </c>
      <c r="N127" s="218">
        <f>IF(LEFT($B127,4)="_Mil","",IFERROR(1/(1/ROUND(INDEX(Spectrum!$N:$N,MATCH(RIGHT($B127,13)&amp;"|"&amp;$C127&amp;"|"&amp;$D127&amp;"|"&amp;N$14&amp;"|"&amp;"CY2024Q3",Spectrum!$R:$R,0)),0)),IF(SUM($M127)=0,"",$M127)))</f>
        <v>66965</v>
      </c>
      <c r="O127" s="33">
        <f t="shared" si="43"/>
        <v>0.60364177220895121</v>
      </c>
      <c r="P127" s="33">
        <f t="shared" si="44"/>
        <v>0.8</v>
      </c>
      <c r="Q127" s="218">
        <f t="shared" si="45"/>
        <v>88748</v>
      </c>
      <c r="R127" s="218">
        <f t="shared" si="46"/>
        <v>21783</v>
      </c>
      <c r="S127" s="33">
        <v>0</v>
      </c>
      <c r="T127" s="33" t="str">
        <f t="shared" si="47"/>
        <v/>
      </c>
      <c r="U127" s="33"/>
      <c r="V127" s="33" t="str">
        <f t="shared" si="54"/>
        <v/>
      </c>
      <c r="W127" s="33"/>
      <c r="X127" s="236">
        <v>3.5000000000000001E-3</v>
      </c>
      <c r="Y127" s="38">
        <f t="shared" si="48"/>
        <v>0</v>
      </c>
      <c r="Z127" s="218" t="str">
        <f t="shared" si="49"/>
        <v/>
      </c>
      <c r="AA127" s="218" t="str">
        <f t="shared" si="50"/>
        <v/>
      </c>
      <c r="AB127" s="218" t="str">
        <f t="shared" si="51"/>
        <v/>
      </c>
      <c r="AC127" s="38">
        <f>IFERROR(1/(1/INDEX(Cascade!$BH:$BH,MATCH($E127,Cascade!$E:$E,0))),"")</f>
        <v>167</v>
      </c>
      <c r="AD127" s="38" t="str">
        <f t="shared" si="52"/>
        <v/>
      </c>
      <c r="AE127" s="38">
        <f>IFERROR(1/(1/INDEX(TB!$P:$P,MATCH($E127,TB!$E:$E,0))),"")</f>
        <v>4</v>
      </c>
      <c r="AF127" s="38">
        <f t="shared" si="53"/>
        <v>163</v>
      </c>
    </row>
    <row r="128" spans="1:32" x14ac:dyDescent="0.2">
      <c r="A128" t="str">
        <f>INDEX(Prioritization!$D:$D,MATCH($B128,Prioritization!$A:$A,0))</f>
        <v>1 - Scale-up: Saturation</v>
      </c>
      <c r="B128" t="s">
        <v>325</v>
      </c>
      <c r="C128" t="s">
        <v>476</v>
      </c>
      <c r="D128" t="s">
        <v>48</v>
      </c>
      <c r="E128" t="str">
        <f t="shared" si="42"/>
        <v>Zomba District [fyEoGEPERdI]|25-34|Male</v>
      </c>
      <c r="F128" s="38">
        <f>IF(LEFT($B128,4)="_Mil","",INDEX(Cascade!$T:$T,MATCH($E128,Cascade!$E:$E,0)))</f>
        <v>69407</v>
      </c>
      <c r="G128" s="38">
        <f>IF(LEFT($B128,4)="_Mil","",INDEX(Cascade!$U:$U,MATCH($E128,Cascade!$E:$E,0)))</f>
        <v>3224</v>
      </c>
      <c r="H128" s="110">
        <f>IF(LEFT($B128,4)="_Mil","",INDEX(Cascade!$W:$W,MATCH($E128,Cascade!$E:$E,0)))</f>
        <v>4.6445605000000001E-2</v>
      </c>
      <c r="I128" s="38">
        <f>IF(LEFT($B128,4)="_Mil","",INDEX(Cascade!$Z:$Z,MATCH($E128,Cascade!$E:$E,0)))</f>
        <v>2849</v>
      </c>
      <c r="J128" s="33">
        <f>IF(LEFT($B128,4)="_Mil","",INDEX(Cascade!$AA:$AA,MATCH($E128,Cascade!$E:$E,0)))</f>
        <v>0.88782268799999986</v>
      </c>
      <c r="K128" s="38"/>
      <c r="L128" s="38"/>
      <c r="M128" s="218" t="str">
        <f>IF(LEFT($B128,4)="_Mil","",IFERROR(1/(1/ROUND(INDEX(Spectrum!$N:$N,MATCH(RIGHT($B128,13)&amp;"|"&amp;$C128&amp;"|"&amp;$D128&amp;"|"&amp;M$14&amp;"|"&amp;"CY2024Q3",Spectrum!$R:$R,0)),0)),IF(SUM($L128)=0,"",$L128)))</f>
        <v/>
      </c>
      <c r="N128" s="218">
        <f>IF(LEFT($B128,4)="_Mil","",IFERROR(1/(1/ROUND(INDEX(Spectrum!$N:$N,MATCH(RIGHT($B128,13)&amp;"|"&amp;$C128&amp;"|"&amp;$D128&amp;"|"&amp;N$14&amp;"|"&amp;"CY2024Q3",Spectrum!$R:$R,0)),0)),IF(SUM($M128)=0,"",$M128)))</f>
        <v>64422.999999999993</v>
      </c>
      <c r="O128" s="33">
        <f t="shared" si="43"/>
        <v>0.92819168095437055</v>
      </c>
      <c r="P128" s="33">
        <f t="shared" si="44"/>
        <v>0.92819168095437055</v>
      </c>
      <c r="Q128" s="218">
        <f t="shared" si="45"/>
        <v>64423</v>
      </c>
      <c r="R128" s="218">
        <f t="shared" si="46"/>
        <v>0</v>
      </c>
      <c r="S128" s="33" t="str">
        <f t="shared" ref="S128:S129" si="55">IF(LEFT($B128,4)="_Mil","",IF(SUM($L128)=0,"",IF(SUM($M128)=0,1,$L128/$M128)))</f>
        <v/>
      </c>
      <c r="T128" s="33" t="str">
        <f t="shared" si="47"/>
        <v/>
      </c>
      <c r="U128" s="33"/>
      <c r="V128" s="33" t="str">
        <f t="shared" si="54"/>
        <v/>
      </c>
      <c r="W128" s="33"/>
      <c r="X128" s="236">
        <v>3.5000000000000001E-3</v>
      </c>
      <c r="Y128" s="38" t="str">
        <f t="shared" si="48"/>
        <v/>
      </c>
      <c r="Z128" s="218" t="str">
        <f t="shared" si="49"/>
        <v/>
      </c>
      <c r="AA128" s="218" t="str">
        <f t="shared" si="50"/>
        <v/>
      </c>
      <c r="AB128" s="218" t="str">
        <f t="shared" si="51"/>
        <v/>
      </c>
      <c r="AC128" s="38">
        <f>IFERROR(1/(1/INDEX(Cascade!$BH:$BH,MATCH($E128,Cascade!$E:$E,0))),"")</f>
        <v>55</v>
      </c>
      <c r="AD128" s="38" t="str">
        <f t="shared" si="52"/>
        <v/>
      </c>
      <c r="AE128" s="38">
        <f>IFERROR(1/(1/INDEX(TB!$P:$P,MATCH($E128,TB!$E:$E,0))),"")</f>
        <v>4</v>
      </c>
      <c r="AF128" s="38">
        <f t="shared" si="53"/>
        <v>51</v>
      </c>
    </row>
    <row r="129" spans="1:32" x14ac:dyDescent="0.2">
      <c r="A129" t="str">
        <f>INDEX(Prioritization!$D:$D,MATCH($B129,Prioritization!$A:$A,0))</f>
        <v>1 - Scale-up: Saturation</v>
      </c>
      <c r="B129" t="s">
        <v>325</v>
      </c>
      <c r="C129" t="s">
        <v>477</v>
      </c>
      <c r="D129" t="s">
        <v>48</v>
      </c>
      <c r="E129" t="str">
        <f t="shared" si="42"/>
        <v>Zomba District [fyEoGEPERdI]|35-49|Male</v>
      </c>
      <c r="F129" s="38">
        <f>IF(LEFT($B129,4)="_Mil","",INDEX(Cascade!$T:$T,MATCH($E129,Cascade!$E:$E,0)))</f>
        <v>63975</v>
      </c>
      <c r="G129" s="38">
        <f>IF(LEFT($B129,4)="_Mil","",INDEX(Cascade!$U:$U,MATCH($E129,Cascade!$E:$E,0)))</f>
        <v>11008</v>
      </c>
      <c r="H129" s="110">
        <f>IF(LEFT($B129,4)="_Mil","",INDEX(Cascade!$W:$W,MATCH($E129,Cascade!$E:$E,0)))</f>
        <v>0.172068998</v>
      </c>
      <c r="I129" s="38">
        <f>IF(LEFT($B129,4)="_Mil","",INDEX(Cascade!$Z:$Z,MATCH($E129,Cascade!$E:$E,0)))</f>
        <v>10226</v>
      </c>
      <c r="J129" s="33">
        <f>IF(LEFT($B129,4)="_Mil","",INDEX(Cascade!$AA:$AA,MATCH($E129,Cascade!$E:$E,0)))</f>
        <v>0.93094442099999986</v>
      </c>
      <c r="K129" s="38"/>
      <c r="L129" s="38"/>
      <c r="M129" s="218" t="str">
        <f>IF(LEFT($B129,4)="_Mil","",IFERROR(1/(1/ROUND(INDEX(Spectrum!$N:$N,MATCH(RIGHT($B129,13)&amp;"|"&amp;$C129&amp;"|"&amp;$D129&amp;"|"&amp;M$14&amp;"|"&amp;"CY2024Q3",Spectrum!$R:$R,0)),0)),IF(SUM($L129)=0,"",$L129)))</f>
        <v/>
      </c>
      <c r="N129" s="218">
        <f>IF(LEFT($B129,4)="_Mil","",IFERROR(1/(1/ROUND(INDEX(Spectrum!$N:$N,MATCH(RIGHT($B129,13)&amp;"|"&amp;$C129&amp;"|"&amp;$D129&amp;"|"&amp;N$14&amp;"|"&amp;"CY2024Q3",Spectrum!$R:$R,0)),0)),IF(SUM($M129)=0,"",$M129)))</f>
        <v>52312</v>
      </c>
      <c r="O129" s="33">
        <f t="shared" si="43"/>
        <v>0.81769441187964054</v>
      </c>
      <c r="P129" s="33">
        <f t="shared" si="44"/>
        <v>0.81769441187964054</v>
      </c>
      <c r="Q129" s="218">
        <f t="shared" si="45"/>
        <v>52312</v>
      </c>
      <c r="R129" s="218">
        <f t="shared" si="46"/>
        <v>0</v>
      </c>
      <c r="S129" s="33" t="str">
        <f t="shared" si="55"/>
        <v/>
      </c>
      <c r="T129" s="33" t="str">
        <f t="shared" si="47"/>
        <v/>
      </c>
      <c r="U129" s="33"/>
      <c r="V129" s="33" t="str">
        <f t="shared" si="54"/>
        <v/>
      </c>
      <c r="W129" s="33"/>
      <c r="X129" s="236">
        <v>3.5000000000000001E-3</v>
      </c>
      <c r="Y129" s="38" t="str">
        <f t="shared" si="48"/>
        <v/>
      </c>
      <c r="Z129" s="218" t="str">
        <f t="shared" si="49"/>
        <v/>
      </c>
      <c r="AA129" s="218" t="str">
        <f t="shared" si="50"/>
        <v/>
      </c>
      <c r="AB129" s="218" t="str">
        <f t="shared" si="51"/>
        <v/>
      </c>
      <c r="AC129" s="38">
        <f>IFERROR(1/(1/INDEX(Cascade!$BH:$BH,MATCH($E129,Cascade!$E:$E,0))),"")</f>
        <v>613</v>
      </c>
      <c r="AD129" s="38" t="str">
        <f t="shared" si="52"/>
        <v/>
      </c>
      <c r="AE129" s="38">
        <f>IFERROR(1/(1/INDEX(TB!$P:$P,MATCH($E129,TB!$E:$E,0))),"")</f>
        <v>6</v>
      </c>
      <c r="AF129" s="38">
        <f t="shared" si="53"/>
        <v>607</v>
      </c>
    </row>
    <row r="130" spans="1:32" x14ac:dyDescent="0.2">
      <c r="A130" t="str">
        <f>INDEX(Prioritization!$D:$D,MATCH($B130,Prioritization!$A:$A,0))</f>
        <v>1 - Scale-up: Saturation</v>
      </c>
      <c r="B130" t="s">
        <v>325</v>
      </c>
      <c r="C130" t="s">
        <v>478</v>
      </c>
      <c r="D130" t="s">
        <v>48</v>
      </c>
      <c r="E130" t="str">
        <f t="shared" si="42"/>
        <v>Zomba District [fyEoGEPERdI]|50+|Male</v>
      </c>
      <c r="F130" s="38">
        <f>IF(LEFT($B130,4)="_Mil","",INDEX(Cascade!$T:$T,MATCH($E130,Cascade!$E:$E,0)))</f>
        <v>35214</v>
      </c>
      <c r="G130" s="38">
        <f>IF(LEFT($B130,4)="_Mil","",INDEX(Cascade!$U:$U,MATCH($E130,Cascade!$E:$E,0)))</f>
        <v>7588</v>
      </c>
      <c r="H130" s="110">
        <f>IF(LEFT($B130,4)="_Mil","",INDEX(Cascade!$W:$W,MATCH($E130,Cascade!$E:$E,0)))</f>
        <v>0.21549512700000001</v>
      </c>
      <c r="I130" s="38">
        <f>IF(LEFT($B130,4)="_Mil","",INDEX(Cascade!$Z:$Z,MATCH($E130,Cascade!$E:$E,0)))</f>
        <v>7148</v>
      </c>
      <c r="J130" s="33">
        <f>IF(LEFT($B130,4)="_Mil","",INDEX(Cascade!$AA:$AA,MATCH($E130,Cascade!$E:$E,0)))</f>
        <v>0.95286562399999997</v>
      </c>
      <c r="K130" s="38"/>
      <c r="L130" s="38">
        <v>0</v>
      </c>
      <c r="M130" s="218" t="str">
        <f>IF(LEFT($B130,4)="_Mil","",IFERROR(1/(1/ROUND(INDEX(Spectrum!$N:$N,MATCH(RIGHT($B130,13)&amp;"|"&amp;$C130&amp;"|"&amp;$D130&amp;"|"&amp;M$14&amp;"|"&amp;"CY2024Q3",Spectrum!$R:$R,0)),0)),IF(SUM($L130)=0,"",$L130)))</f>
        <v/>
      </c>
      <c r="N130" s="218">
        <f>IF(LEFT($B130,4)="_Mil","",IFERROR(1/(1/ROUND(INDEX(Spectrum!$N:$N,MATCH(RIGHT($B130,13)&amp;"|"&amp;$C130&amp;"|"&amp;$D130&amp;"|"&amp;N$14&amp;"|"&amp;"CY2024Q3",Spectrum!$R:$R,0)),0)),IF(SUM($M130)=0,"",$M130)))</f>
        <v>16893</v>
      </c>
      <c r="O130" s="33">
        <f t="shared" si="43"/>
        <v>0.47972397341966261</v>
      </c>
      <c r="P130" s="33">
        <f t="shared" si="44"/>
        <v>0.8</v>
      </c>
      <c r="Q130" s="218">
        <f t="shared" si="45"/>
        <v>28171</v>
      </c>
      <c r="R130" s="218">
        <f t="shared" si="46"/>
        <v>11278</v>
      </c>
      <c r="S130" s="33">
        <v>0</v>
      </c>
      <c r="T130" s="33" t="str">
        <f t="shared" si="47"/>
        <v/>
      </c>
      <c r="U130" s="33"/>
      <c r="V130" s="33" t="str">
        <f t="shared" si="54"/>
        <v/>
      </c>
      <c r="W130" s="33"/>
      <c r="X130" s="236">
        <v>3.5000000000000001E-3</v>
      </c>
      <c r="Y130" s="38">
        <f t="shared" si="48"/>
        <v>0</v>
      </c>
      <c r="Z130" s="218" t="str">
        <f t="shared" si="49"/>
        <v/>
      </c>
      <c r="AA130" s="218" t="str">
        <f t="shared" si="50"/>
        <v/>
      </c>
      <c r="AB130" s="218" t="str">
        <f t="shared" si="51"/>
        <v/>
      </c>
      <c r="AC130" s="38">
        <f>IFERROR(1/(1/INDEX(Cascade!$BH:$BH,MATCH($E130,Cascade!$E:$E,0))),"")</f>
        <v>262</v>
      </c>
      <c r="AD130" s="38" t="str">
        <f t="shared" si="52"/>
        <v/>
      </c>
      <c r="AE130" s="38">
        <f>IFERROR(1/(1/INDEX(TB!$P:$P,MATCH($E130,TB!$E:$E,0))),"")</f>
        <v>2</v>
      </c>
      <c r="AF130" s="38">
        <f t="shared" si="53"/>
        <v>260</v>
      </c>
    </row>
  </sheetData>
  <autoFilter ref="A14:AF130" xr:uid="{00000000-0001-0000-0900-000000000000}"/>
  <sortState xmlns:xlrd2="http://schemas.microsoft.com/office/spreadsheetml/2017/richdata2" ref="A15:AF130">
    <sortCondition ref="B15:B130"/>
    <sortCondition ref="C15:C130"/>
    <sortCondition ref="D15:D130"/>
  </sortState>
  <mergeCells count="1">
    <mergeCell ref="A2:B3"/>
  </mergeCells>
  <conditionalFormatting sqref="F1:S22 F23:R25 F26:S26 F27:R29 F30:S58 F59:R61 F62:S74 F75:R77 F78:S98 F99:R101 F102:S110 F111:R113 F114:S1048576 U1:AF1048576">
    <cfRule type="expression" dxfId="100" priority="7">
      <formula>AND(ISNUMBER(F1),F1&lt;0)</formula>
    </cfRule>
  </conditionalFormatting>
  <conditionalFormatting sqref="M1:N1048576">
    <cfRule type="expression" dxfId="99" priority="3765">
      <formula>AND(ISNUMBER($M1),ISNUMBER($N1),$N1&lt;$M1)</formula>
    </cfRule>
  </conditionalFormatting>
  <conditionalFormatting sqref="M1:S22 F1:J1048576 M23:R25 M26:S26 M27:R29 M30:S58 M59:R61 M62:S74 M75:R77 M78:S98 M99:R101 M102:S110 M111:R113 M114:S1048576">
    <cfRule type="expression" dxfId="98" priority="1">
      <formula>LEFT($B1,4)="_Mil"</formula>
    </cfRule>
  </conditionalFormatting>
  <conditionalFormatting sqref="P1:P1048576">
    <cfRule type="expression" dxfId="97" priority="3764">
      <formula>AND(ISNUMBER($P1),$P1&lt;0.8)</formula>
    </cfRule>
  </conditionalFormatting>
  <conditionalFormatting sqref="Q1:Q1048576">
    <cfRule type="expression" dxfId="96" priority="29">
      <formula>AND(ISNUMBER($Q1),$Q1&lt;$N1)</formula>
    </cfRule>
  </conditionalFormatting>
  <conditionalFormatting sqref="S1:S22 H1:H1048576 O1:P1048576 U1:X1048576 S26 S30:S58 S62:S74 S78:S98 S102:S110 S114:S1048576">
    <cfRule type="expression" dxfId="95" priority="8">
      <formula>AND(ISNUMBER(H1),H1&gt;1)</formula>
    </cfRule>
  </conditionalFormatting>
  <conditionalFormatting sqref="S1:S22 S26 S30:S58 S62:S74 S78:S98 S102:S110 S114:S1048576">
    <cfRule type="expression" dxfId="94" priority="3">
      <formula>AND(SUM($R1)&lt;&gt;0,$S1="",LEFT($B1,4)&lt;&gt;"_Mil")</formula>
    </cfRule>
  </conditionalFormatting>
  <conditionalFormatting sqref="T1:T1048576">
    <cfRule type="expression" dxfId="93" priority="4">
      <formula>AND(ROW($T1)&gt;14,$E1&lt;&gt;"",LEFT($B1,4)&lt;&gt;"_Mil")</formula>
    </cfRule>
  </conditionalFormatting>
  <conditionalFormatting sqref="V1:V1048576">
    <cfRule type="expression" dxfId="92" priority="9">
      <formula>AND(ROW($V1)&gt;14,$Z1="ENTER INDETERMINATE RATE")</formula>
    </cfRule>
  </conditionalFormatting>
  <conditionalFormatting sqref="X1:X1048576">
    <cfRule type="expression" dxfId="91" priority="13">
      <formula>AND(ROW($X1)&gt;14,$AA1="ENTER YIELD RATE")</formula>
    </cfRule>
    <cfRule type="expression" dxfId="90" priority="19">
      <formula>AND(ROW($X1)&gt;14,ROUND(SUM($X1),2)&gt;0.01)</formula>
    </cfRule>
  </conditionalFormatting>
  <conditionalFormatting sqref="AC1:AF1048576">
    <cfRule type="expression" dxfId="89" priority="18">
      <formula>AND(ISNUMBER($AF1),OR(ISERROR($AF1),$AF1&lt;0))</formula>
    </cfRule>
  </conditionalFormatting>
  <hyperlinks>
    <hyperlink ref="F3" location="Cascade!T:T" display="H.C. Est. Male Population (FY23)" xr:uid="{00000000-0004-0000-0900-000000000000}"/>
    <hyperlink ref="G3" location="Cascade!U:U" display="H.C. Est. PLHIV (FY23)" xr:uid="{00000000-0004-0000-0900-000001000000}"/>
    <hyperlink ref="H3" location="Cascade!W:W" display="P.C. Est. HIV Prevalence (FY23) (%)" xr:uid="{00000000-0004-0000-0900-000002000000}"/>
    <hyperlink ref="I3" location="Cascade!Z:Z" display="P.C. Est. # on ART (FY23)" xr:uid="{00000000-0004-0000-0900-000003000000}"/>
    <hyperlink ref="J3" location="Cascade!AA:AA" display="P.C. Est. ART Coverage (ART/PLHIV) (FY23) (%)" xr:uid="{00000000-0004-0000-0900-000004000000}"/>
    <hyperlink ref="AC3" location="Cascade!BI:BI" display="Total HTS_TST_POS (FY24)" xr:uid="{00000000-0004-0000-0900-000005000000}"/>
    <hyperlink ref="AD3" location="VMMC!AA:AA" display="Total Positives from VMMC_CIRC (FY24)" xr:uid="{00000000-0004-0000-0900-000006000000}"/>
    <hyperlink ref="AE3" location="TB!P:P" display="Total Positives from TB_STAT (FY24)" xr:uid="{00000000-0004-0000-0900-000007000000}"/>
  </hyperlinks>
  <pageMargins left="0.7" right="0.7" top="0.75" bottom="0.75" header="0.3" footer="0.3"/>
  <pageSetup orientation="portrait" horizontalDpi="0" verticalDpi="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Q246"/>
  <sheetViews>
    <sheetView zoomScaleNormal="100" workbookViewId="0">
      <pane xSplit="5" ySplit="14" topLeftCell="F139" activePane="bottomRight" state="frozen"/>
      <selection pane="topRight"/>
      <selection pane="bottomLeft"/>
      <selection pane="bottomRight" activeCell="O139" sqref="O139"/>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17" width="11.6640625" customWidth="1"/>
  </cols>
  <sheetData>
    <row r="1" spans="1:17" ht="31.25" customHeight="1" x14ac:dyDescent="0.2">
      <c r="A1" s="68" t="s">
        <v>599</v>
      </c>
      <c r="B1" s="23"/>
      <c r="C1" s="112"/>
      <c r="D1" s="112"/>
      <c r="E1" s="112"/>
      <c r="F1" s="52" t="s">
        <v>482</v>
      </c>
      <c r="G1" s="43"/>
      <c r="H1" s="43"/>
      <c r="I1" s="43"/>
      <c r="J1" s="43"/>
      <c r="K1" s="43"/>
      <c r="L1" s="43"/>
      <c r="M1" s="52" t="s">
        <v>481</v>
      </c>
      <c r="N1" s="43"/>
      <c r="O1" s="43"/>
      <c r="P1" s="52" t="s">
        <v>1179</v>
      </c>
      <c r="Q1" s="43"/>
    </row>
    <row r="2" spans="1:17" ht="19.25" customHeight="1" x14ac:dyDescent="0.25">
      <c r="A2" s="24"/>
      <c r="B2" s="4"/>
      <c r="C2" s="4"/>
      <c r="D2" s="4"/>
      <c r="E2" s="4"/>
      <c r="F2" s="105"/>
      <c r="G2" s="24"/>
      <c r="H2" s="24"/>
      <c r="I2" s="24"/>
      <c r="J2" s="24"/>
      <c r="K2" s="24"/>
      <c r="L2" s="20" t="s">
        <v>281</v>
      </c>
      <c r="M2" s="105"/>
      <c r="N2" s="24"/>
      <c r="O2" s="20" t="s">
        <v>281</v>
      </c>
      <c r="P2" s="105"/>
      <c r="Q2" s="20" t="s">
        <v>281</v>
      </c>
    </row>
    <row r="3" spans="1:17" ht="117" customHeight="1" x14ac:dyDescent="0.2">
      <c r="A3" s="67"/>
      <c r="B3" s="9"/>
      <c r="C3" s="9"/>
      <c r="D3" s="9"/>
      <c r="E3" s="9"/>
      <c r="F3" s="142" t="s">
        <v>991</v>
      </c>
      <c r="G3" s="143" t="s">
        <v>1180</v>
      </c>
      <c r="H3" s="143" t="s">
        <v>737</v>
      </c>
      <c r="I3" s="143" t="s">
        <v>738</v>
      </c>
      <c r="J3" s="109" t="s">
        <v>1181</v>
      </c>
      <c r="K3" s="109" t="s">
        <v>1182</v>
      </c>
      <c r="L3" s="14" t="s">
        <v>687</v>
      </c>
      <c r="M3" s="6" t="s">
        <v>1183</v>
      </c>
      <c r="N3" s="109" t="s">
        <v>1184</v>
      </c>
      <c r="O3" s="14" t="s">
        <v>1185</v>
      </c>
      <c r="P3" s="72" t="s">
        <v>1186</v>
      </c>
      <c r="Q3" s="14" t="s">
        <v>1187</v>
      </c>
    </row>
    <row r="4" spans="1:17" x14ac:dyDescent="0.2">
      <c r="A4" s="35"/>
      <c r="B4" s="5"/>
      <c r="C4" s="5"/>
      <c r="D4" s="5" t="s">
        <v>392</v>
      </c>
      <c r="E4" s="5"/>
      <c r="F4" s="106"/>
      <c r="G4" s="35">
        <f>SUBTOTAL(109,G$15:INDEX(G:G,COUNTA($B:$B)+14-COUNTA($B$1:$B$14)))</f>
        <v>1884561</v>
      </c>
      <c r="H4" s="35">
        <f ca="1">SUBTOTAL(109,H$15:INDEX(H:H,COUNTA($B:$B)+14-COUNTA($B$1:$B$14)))</f>
        <v>49800</v>
      </c>
      <c r="I4" s="35">
        <f ca="1">SUBTOTAL(109,I$15:INDEX(I:I,COUNTA($B:$B)+14-COUNTA($B$1:$B$14)))</f>
        <v>42330</v>
      </c>
      <c r="J4" s="35">
        <f>SUBTOTAL(109,J$15:INDEX(J:J,COUNTA($B:$B)+14-COUNTA($B$1:$B$14)))</f>
        <v>45174</v>
      </c>
      <c r="K4" s="35">
        <f>SUBTOTAL(109,K$15:INDEX(K:K,COUNTA($B:$B)+14-COUNTA($B$1:$B$14)))</f>
        <v>51261</v>
      </c>
      <c r="L4" s="132">
        <f>SUBTOTAL(109,L$15:INDEX(L:L,COUNTA($B:$B)+14-COUNTA($B$1:$B$14)))</f>
        <v>63076</v>
      </c>
      <c r="M4" s="106">
        <f>SUBTOTAL(109,M$15:INDEX(M:M,COUNTA($B:$B)+14-COUNTA($B$1:$B$14)))</f>
        <v>7757</v>
      </c>
      <c r="N4" s="35">
        <f>SUBTOTAL(109,N$15:INDEX(N:N,COUNTA($B:$B)+14-COUNTA($B$1:$B$14)))</f>
        <v>24222</v>
      </c>
      <c r="O4" s="132">
        <f>SUBTOTAL(109,O$15:INDEX(O:O,COUNTA($B:$B)+14-COUNTA($B$1:$B$14)))</f>
        <v>23125</v>
      </c>
      <c r="P4" s="106">
        <f>IF(SUM($O4)=0,"",SUM($Q4)/SUM($O4))</f>
        <v>1.9170594594594594</v>
      </c>
      <c r="Q4" s="132">
        <f>SUBTOTAL(109,Q$15:INDEX(Q:Q,COUNTA($B:$B)+14-COUNTA($B$1:$B$14)))</f>
        <v>44332</v>
      </c>
    </row>
    <row r="5" spans="1:17" ht="0" hidden="1" customHeight="1" x14ac:dyDescent="0.2">
      <c r="A5" t="s">
        <v>285</v>
      </c>
      <c r="B5" s="1" t="s">
        <v>285</v>
      </c>
      <c r="C5" s="1" t="s">
        <v>285</v>
      </c>
      <c r="D5" s="1" t="s">
        <v>285</v>
      </c>
      <c r="E5" s="1" t="s">
        <v>285</v>
      </c>
      <c r="F5" s="104" t="s">
        <v>285</v>
      </c>
      <c r="G5" s="38" t="s">
        <v>285</v>
      </c>
      <c r="H5" s="38" t="s">
        <v>285</v>
      </c>
      <c r="I5" s="38" t="s">
        <v>285</v>
      </c>
      <c r="J5" s="38" t="s">
        <v>393</v>
      </c>
      <c r="K5" s="38" t="s">
        <v>393</v>
      </c>
      <c r="L5" s="2" t="s">
        <v>393</v>
      </c>
      <c r="M5" s="104" t="s">
        <v>393</v>
      </c>
      <c r="N5" s="38" t="s">
        <v>393</v>
      </c>
      <c r="O5" s="2" t="s">
        <v>393</v>
      </c>
      <c r="P5" s="104" t="s">
        <v>285</v>
      </c>
      <c r="Q5" s="2" t="s">
        <v>393</v>
      </c>
    </row>
    <row r="6" spans="1:17" ht="0" hidden="1" customHeight="1" x14ac:dyDescent="0.2">
      <c r="A6" t="s">
        <v>287</v>
      </c>
      <c r="B6" s="1" t="s">
        <v>287</v>
      </c>
      <c r="C6" s="1" t="s">
        <v>287</v>
      </c>
      <c r="D6" s="1" t="s">
        <v>287</v>
      </c>
      <c r="E6" s="1" t="s">
        <v>287</v>
      </c>
      <c r="F6" s="104" t="s">
        <v>290</v>
      </c>
      <c r="G6" s="38" t="s">
        <v>290</v>
      </c>
      <c r="H6" s="38" t="s">
        <v>290</v>
      </c>
      <c r="I6" s="38" t="s">
        <v>290</v>
      </c>
      <c r="J6" s="38" t="s">
        <v>288</v>
      </c>
      <c r="K6" s="38" t="s">
        <v>288</v>
      </c>
      <c r="L6" s="2" t="s">
        <v>289</v>
      </c>
      <c r="M6" s="104" t="s">
        <v>288</v>
      </c>
      <c r="N6" s="38" t="s">
        <v>288</v>
      </c>
      <c r="O6" s="2" t="s">
        <v>289</v>
      </c>
      <c r="P6" s="104" t="s">
        <v>395</v>
      </c>
      <c r="Q6" s="2" t="s">
        <v>289</v>
      </c>
    </row>
    <row r="7" spans="1:17" ht="0" hidden="1" customHeight="1" x14ac:dyDescent="0.2">
      <c r="A7" t="s">
        <v>291</v>
      </c>
      <c r="B7" s="1" t="s">
        <v>291</v>
      </c>
      <c r="C7" s="1" t="s">
        <v>291</v>
      </c>
      <c r="D7" s="1" t="s">
        <v>291</v>
      </c>
      <c r="E7" s="1" t="s">
        <v>291</v>
      </c>
      <c r="F7" s="104" t="s">
        <v>292</v>
      </c>
      <c r="G7" s="38" t="s">
        <v>292</v>
      </c>
      <c r="H7" s="38" t="s">
        <v>292</v>
      </c>
      <c r="I7" s="38" t="s">
        <v>292</v>
      </c>
      <c r="J7" s="38" t="s">
        <v>292</v>
      </c>
      <c r="K7" s="38" t="s">
        <v>292</v>
      </c>
      <c r="L7" s="2" t="s">
        <v>292</v>
      </c>
      <c r="M7" s="104" t="s">
        <v>292</v>
      </c>
      <c r="N7" s="38" t="s">
        <v>292</v>
      </c>
      <c r="O7" s="2" t="s">
        <v>292</v>
      </c>
      <c r="P7" s="104" t="s">
        <v>292</v>
      </c>
      <c r="Q7" s="2" t="s">
        <v>292</v>
      </c>
    </row>
    <row r="8" spans="1:17" ht="0" hidden="1" customHeight="1" x14ac:dyDescent="0.2">
      <c r="J8" s="129" t="s">
        <v>1188</v>
      </c>
      <c r="K8" s="64" t="s">
        <v>1189</v>
      </c>
      <c r="L8" s="63" t="s">
        <v>1189</v>
      </c>
      <c r="M8" s="127" t="s">
        <v>1190</v>
      </c>
      <c r="N8" s="64" t="s">
        <v>1191</v>
      </c>
      <c r="O8" s="63" t="s">
        <v>1191</v>
      </c>
      <c r="P8" s="114"/>
      <c r="Q8" s="63" t="s">
        <v>1192</v>
      </c>
    </row>
    <row r="9" spans="1:17" ht="0" hidden="1" customHeight="1" x14ac:dyDescent="0.2">
      <c r="J9" s="129" t="s">
        <v>1193</v>
      </c>
      <c r="K9" s="64" t="s">
        <v>1194</v>
      </c>
      <c r="L9" s="63" t="s">
        <v>1194</v>
      </c>
      <c r="M9" s="127" t="s">
        <v>1195</v>
      </c>
      <c r="N9" s="64" t="s">
        <v>1196</v>
      </c>
      <c r="O9" s="63" t="s">
        <v>1196</v>
      </c>
      <c r="P9" s="114"/>
      <c r="Q9" s="63" t="s">
        <v>1197</v>
      </c>
    </row>
    <row r="10" spans="1:17" ht="0" hidden="1" customHeight="1" x14ac:dyDescent="0.2">
      <c r="J10" s="64"/>
      <c r="K10" s="64"/>
      <c r="L10" s="63"/>
      <c r="M10" s="65"/>
      <c r="N10" s="64"/>
      <c r="O10" s="63"/>
      <c r="Q10" s="63" t="s">
        <v>541</v>
      </c>
    </row>
    <row r="11" spans="1:17" ht="0" hidden="1" customHeight="1" x14ac:dyDescent="0.2">
      <c r="F11" s="104" t="s">
        <v>805</v>
      </c>
      <c r="G11" s="38" t="s">
        <v>805</v>
      </c>
      <c r="H11" s="38" t="s">
        <v>1198</v>
      </c>
      <c r="I11" s="38" t="s">
        <v>1198</v>
      </c>
      <c r="J11" s="38" t="s">
        <v>805</v>
      </c>
      <c r="K11" s="38" t="s">
        <v>805</v>
      </c>
      <c r="L11" s="2" t="s">
        <v>805</v>
      </c>
      <c r="M11" s="104" t="s">
        <v>805</v>
      </c>
      <c r="N11" s="38" t="s">
        <v>805</v>
      </c>
      <c r="O11" s="2" t="s">
        <v>805</v>
      </c>
      <c r="P11" s="104" t="s">
        <v>805</v>
      </c>
      <c r="Q11" s="2" t="s">
        <v>805</v>
      </c>
    </row>
    <row r="12" spans="1:17" ht="0" hidden="1" customHeight="1" x14ac:dyDescent="0.2">
      <c r="F12" s="104" t="s">
        <v>427</v>
      </c>
      <c r="G12" s="38" t="s">
        <v>427</v>
      </c>
      <c r="H12" s="38" t="s">
        <v>813</v>
      </c>
      <c r="I12" s="38" t="s">
        <v>813</v>
      </c>
      <c r="J12" s="38" t="s">
        <v>427</v>
      </c>
      <c r="K12" s="38" t="s">
        <v>427</v>
      </c>
      <c r="L12" s="2" t="s">
        <v>427</v>
      </c>
      <c r="M12" s="104" t="s">
        <v>427</v>
      </c>
      <c r="N12" s="38" t="s">
        <v>427</v>
      </c>
      <c r="O12" s="2" t="s">
        <v>427</v>
      </c>
      <c r="P12" s="104" t="s">
        <v>427</v>
      </c>
      <c r="Q12" s="2" t="s">
        <v>427</v>
      </c>
    </row>
    <row r="13" spans="1:17" ht="0" hidden="1" customHeight="1" x14ac:dyDescent="0.2"/>
    <row r="14" spans="1:17" x14ac:dyDescent="0.2">
      <c r="A14" s="70" t="s">
        <v>280</v>
      </c>
      <c r="B14" s="47" t="s">
        <v>294</v>
      </c>
      <c r="C14" s="47" t="s">
        <v>428</v>
      </c>
      <c r="D14" s="47" t="s">
        <v>429</v>
      </c>
      <c r="E14" s="47" t="s">
        <v>20</v>
      </c>
      <c r="F14" s="55" t="s">
        <v>1038</v>
      </c>
      <c r="G14" s="18" t="s">
        <v>1199</v>
      </c>
      <c r="H14" s="18" t="s">
        <v>951</v>
      </c>
      <c r="I14" s="18" t="s">
        <v>952</v>
      </c>
      <c r="J14" s="18" t="s">
        <v>1200</v>
      </c>
      <c r="K14" s="18" t="s">
        <v>1201</v>
      </c>
      <c r="L14" s="49" t="s">
        <v>901</v>
      </c>
      <c r="M14" s="55" t="s">
        <v>1202</v>
      </c>
      <c r="N14" s="18" t="s">
        <v>1203</v>
      </c>
      <c r="O14" s="49" t="s">
        <v>902</v>
      </c>
      <c r="P14" s="55" t="s">
        <v>1204</v>
      </c>
      <c r="Q14" s="49" t="s">
        <v>1205</v>
      </c>
    </row>
    <row r="15" spans="1:17" hidden="1" x14ac:dyDescent="0.2">
      <c r="A15" t="str">
        <f>INDEX(Prioritization!$D:$D,MATCH($B15,Prioritization!$A:$A,0))</f>
        <v>Military</v>
      </c>
      <c r="B15" t="s">
        <v>326</v>
      </c>
      <c r="C15" t="s">
        <v>475</v>
      </c>
      <c r="D15" t="s">
        <v>30</v>
      </c>
      <c r="E15" t="str">
        <f t="shared" ref="E15:E78" si="0">B15&amp;"|"&amp;C15&amp;"|"&amp;D15</f>
        <v>_Military Malawi [PQZgU9dagaH]|15-24|Female</v>
      </c>
      <c r="F15" s="104" t="str">
        <f>IF(LEFT($B15,4)="_Mil","",INDEX(Cascade!$U:$U,MATCH($E15,Cascade!$E:$E,0)))</f>
        <v/>
      </c>
      <c r="G15" s="38">
        <f>IFERROR(1/(1/INDEX(HTS!$AU:$AU,MATCH($E15,HTS!$E:$E,0))),"")</f>
        <v>1681</v>
      </c>
      <c r="H15" s="38" t="str">
        <f>IF(OR($C15="15-24",$C15="25-34"),IFERROR(1/(1/SUM(SUMIFS(AGYW!$S:$S,AGYW!$B:$B,$B15,AGYW!$C:$C,IF($C15="15-24",{"15-19","20-24"},{"25-29"}),AGYW!$D:$D,$D15))),""),"")</f>
        <v/>
      </c>
      <c r="I15" s="38" t="str">
        <f>IF(OR($C15="15-24",$C15="25-34"),IFERROR(1/(1/SUM(SUMIFS(AGYW!$T:$T,AGYW!$B:$B,$B15,AGYW!$C:$C,IF($C15="15-24",{"15-19","20-24"},{"25-29"}),AGYW!$D:$D,$D15))),""),"")</f>
        <v/>
      </c>
      <c r="J15" s="38"/>
      <c r="K15" s="38"/>
      <c r="L15" s="218" t="str">
        <f t="shared" ref="L15:L22" si="1">IF(SUM($K15)=0,"",ROUND($K15,0))</f>
        <v/>
      </c>
      <c r="M15" s="38"/>
      <c r="N15" s="38"/>
      <c r="O15" s="218" t="str">
        <f t="shared" ref="O15:O22" si="2">IF(SUM($N15)=0,"",ROUND($N15,0))</f>
        <v/>
      </c>
      <c r="P15" s="104">
        <f>2</f>
        <v>2</v>
      </c>
      <c r="Q15" s="218" t="str">
        <f t="shared" ref="Q15:Q78" si="3">IF(SUM($O15)=0,"",ROUND($O15*$P15,0))</f>
        <v/>
      </c>
    </row>
    <row r="16" spans="1:17" hidden="1" x14ac:dyDescent="0.2">
      <c r="A16" t="str">
        <f>INDEX(Prioritization!$D:$D,MATCH($B16,Prioritization!$A:$A,0))</f>
        <v>Military</v>
      </c>
      <c r="B16" t="s">
        <v>326</v>
      </c>
      <c r="C16" t="s">
        <v>475</v>
      </c>
      <c r="D16" t="s">
        <v>48</v>
      </c>
      <c r="E16" t="str">
        <f t="shared" si="0"/>
        <v>_Military Malawi [PQZgU9dagaH]|15-24|Male</v>
      </c>
      <c r="F16" s="38" t="str">
        <f>IF(LEFT($B16,4)="_Mil","",INDEX(Cascade!$U:$U,MATCH($E16,Cascade!$E:$E,0)))</f>
        <v/>
      </c>
      <c r="G16" s="38">
        <f>IFERROR(1/(1/INDEX(HTS!$AU:$AU,MATCH($E16,HTS!$E:$E,0))),"")</f>
        <v>2168</v>
      </c>
      <c r="H16" s="38" t="str">
        <f>IF(OR($C16="15-24",$C16="25-34"),IFERROR(1/(1/SUM(SUMIFS(AGYW!$S:$S,AGYW!$B:$B,$B16,AGYW!$C:$C,IF($C16="15-24",{"15-19","20-24"},{"25-29"}),AGYW!$D:$D,$D16))),""),"")</f>
        <v/>
      </c>
      <c r="I16" s="38" t="str">
        <f>IF(OR($C16="15-24",$C16="25-34"),IFERROR(1/(1/SUM(SUMIFS(AGYW!$T:$T,AGYW!$B:$B,$B16,AGYW!$C:$C,IF($C16="15-24",{"15-19","20-24"},{"25-29"}),AGYW!$D:$D,$D16))),""),"")</f>
        <v/>
      </c>
      <c r="J16" s="38"/>
      <c r="K16" s="38"/>
      <c r="L16" s="218" t="str">
        <f t="shared" si="1"/>
        <v/>
      </c>
      <c r="M16" s="38"/>
      <c r="N16" s="38"/>
      <c r="O16" s="218" t="str">
        <f t="shared" si="2"/>
        <v/>
      </c>
      <c r="P16" s="38">
        <f>2</f>
        <v>2</v>
      </c>
      <c r="Q16" s="218" t="str">
        <f t="shared" si="3"/>
        <v/>
      </c>
    </row>
    <row r="17" spans="1:17" hidden="1" x14ac:dyDescent="0.2">
      <c r="A17" t="str">
        <f>INDEX(Prioritization!$D:$D,MATCH($B17,Prioritization!$A:$A,0))</f>
        <v>Military</v>
      </c>
      <c r="B17" t="s">
        <v>326</v>
      </c>
      <c r="C17" t="s">
        <v>476</v>
      </c>
      <c r="D17" t="s">
        <v>30</v>
      </c>
      <c r="E17" t="str">
        <f t="shared" si="0"/>
        <v>_Military Malawi [PQZgU9dagaH]|25-34|Female</v>
      </c>
      <c r="F17" s="38" t="str">
        <f>IF(LEFT($B17,4)="_Mil","",INDEX(Cascade!$U:$U,MATCH($E17,Cascade!$E:$E,0)))</f>
        <v/>
      </c>
      <c r="G17" s="38">
        <f>IFERROR(1/(1/INDEX(HTS!$AU:$AU,MATCH($E17,HTS!$E:$E,0))),"")</f>
        <v>2714</v>
      </c>
      <c r="H17" s="38" t="str">
        <f>IF(OR($C17="15-24",$C17="25-34"),IFERROR(1/(1/SUM(SUMIFS(AGYW!$S:$S,AGYW!$B:$B,$B17,AGYW!$C:$C,IF($C17="15-24",{"15-19","20-24"},{"25-29"}),AGYW!$D:$D,$D17))),""),"")</f>
        <v/>
      </c>
      <c r="I17" s="38" t="str">
        <f>IF(OR($C17="15-24",$C17="25-34"),IFERROR(1/(1/SUM(SUMIFS(AGYW!$T:$T,AGYW!$B:$B,$B17,AGYW!$C:$C,IF($C17="15-24",{"15-19","20-24"},{"25-29"}),AGYW!$D:$D,$D17))),""),"")</f>
        <v/>
      </c>
      <c r="J17" s="38"/>
      <c r="K17" s="38"/>
      <c r="L17" s="218" t="str">
        <f t="shared" si="1"/>
        <v/>
      </c>
      <c r="M17" s="38"/>
      <c r="N17" s="38"/>
      <c r="O17" s="218" t="str">
        <f t="shared" si="2"/>
        <v/>
      </c>
      <c r="P17" s="38">
        <f>2</f>
        <v>2</v>
      </c>
      <c r="Q17" s="218" t="str">
        <f t="shared" si="3"/>
        <v/>
      </c>
    </row>
    <row r="18" spans="1:17" hidden="1" x14ac:dyDescent="0.2">
      <c r="A18" t="str">
        <f>INDEX(Prioritization!$D:$D,MATCH($B18,Prioritization!$A:$A,0))</f>
        <v>Military</v>
      </c>
      <c r="B18" t="s">
        <v>326</v>
      </c>
      <c r="C18" t="s">
        <v>476</v>
      </c>
      <c r="D18" t="s">
        <v>48</v>
      </c>
      <c r="E18" t="str">
        <f t="shared" si="0"/>
        <v>_Military Malawi [PQZgU9dagaH]|25-34|Male</v>
      </c>
      <c r="F18" s="38" t="str">
        <f>IF(LEFT($B18,4)="_Mil","",INDEX(Cascade!$U:$U,MATCH($E18,Cascade!$E:$E,0)))</f>
        <v/>
      </c>
      <c r="G18" s="38">
        <f>IFERROR(1/(1/INDEX(HTS!$AU:$AU,MATCH($E18,HTS!$E:$E,0))),"")</f>
        <v>4693</v>
      </c>
      <c r="H18" s="38" t="str">
        <f>IF(OR($C18="15-24",$C18="25-34"),IFERROR(1/(1/SUM(SUMIFS(AGYW!$S:$S,AGYW!$B:$B,$B18,AGYW!$C:$C,IF($C18="15-24",{"15-19","20-24"},{"25-29"}),AGYW!$D:$D,$D18))),""),"")</f>
        <v/>
      </c>
      <c r="I18" s="38" t="str">
        <f>IF(OR($C18="15-24",$C18="25-34"),IFERROR(1/(1/SUM(SUMIFS(AGYW!$T:$T,AGYW!$B:$B,$B18,AGYW!$C:$C,IF($C18="15-24",{"15-19","20-24"},{"25-29"}),AGYW!$D:$D,$D18))),""),"")</f>
        <v/>
      </c>
      <c r="J18" s="38"/>
      <c r="K18" s="38"/>
      <c r="L18" s="218" t="str">
        <f t="shared" si="1"/>
        <v/>
      </c>
      <c r="M18" s="38"/>
      <c r="N18" s="38"/>
      <c r="O18" s="218" t="str">
        <f t="shared" si="2"/>
        <v/>
      </c>
      <c r="P18" s="38">
        <f>2</f>
        <v>2</v>
      </c>
      <c r="Q18" s="218" t="str">
        <f t="shared" si="3"/>
        <v/>
      </c>
    </row>
    <row r="19" spans="1:17" hidden="1" x14ac:dyDescent="0.2">
      <c r="A19" t="str">
        <f>INDEX(Prioritization!$D:$D,MATCH($B19,Prioritization!$A:$A,0))</f>
        <v>Military</v>
      </c>
      <c r="B19" t="s">
        <v>326</v>
      </c>
      <c r="C19" t="s">
        <v>477</v>
      </c>
      <c r="D19" t="s">
        <v>30</v>
      </c>
      <c r="E19" t="str">
        <f t="shared" si="0"/>
        <v>_Military Malawi [PQZgU9dagaH]|35-49|Female</v>
      </c>
      <c r="F19" s="38" t="str">
        <f>IF(LEFT($B19,4)="_Mil","",INDEX(Cascade!$U:$U,MATCH($E19,Cascade!$E:$E,0)))</f>
        <v/>
      </c>
      <c r="G19" s="38">
        <f>IFERROR(1/(1/INDEX(HTS!$AU:$AU,MATCH($E19,HTS!$E:$E,0))),"")</f>
        <v>6667</v>
      </c>
      <c r="H19" s="38" t="str">
        <f>IF(OR($C19="15-24",$C19="25-34"),IFERROR(1/(1/SUM(SUMIFS(AGYW!$S:$S,AGYW!$B:$B,$B19,AGYW!$C:$C,IF($C19="15-24",{"15-19","20-24"},{"25-29"}),AGYW!$D:$D,$D19))),""),"")</f>
        <v/>
      </c>
      <c r="I19" s="38" t="str">
        <f>IF(OR($C19="15-24",$C19="25-34"),IFERROR(1/(1/SUM(SUMIFS(AGYW!$T:$T,AGYW!$B:$B,$B19,AGYW!$C:$C,IF($C19="15-24",{"15-19","20-24"},{"25-29"}),AGYW!$D:$D,$D19))),""),"")</f>
        <v/>
      </c>
      <c r="J19" s="38"/>
      <c r="K19" s="38"/>
      <c r="L19" s="218" t="str">
        <f t="shared" si="1"/>
        <v/>
      </c>
      <c r="M19" s="38"/>
      <c r="N19" s="38"/>
      <c r="O19" s="218" t="str">
        <f t="shared" si="2"/>
        <v/>
      </c>
      <c r="P19" s="38">
        <f>2</f>
        <v>2</v>
      </c>
      <c r="Q19" s="218" t="str">
        <f t="shared" si="3"/>
        <v/>
      </c>
    </row>
    <row r="20" spans="1:17" hidden="1" x14ac:dyDescent="0.2">
      <c r="A20" t="str">
        <f>INDEX(Prioritization!$D:$D,MATCH($B20,Prioritization!$A:$A,0))</f>
        <v>Military</v>
      </c>
      <c r="B20" t="s">
        <v>326</v>
      </c>
      <c r="C20" t="s">
        <v>477</v>
      </c>
      <c r="D20" t="s">
        <v>48</v>
      </c>
      <c r="E20" t="str">
        <f t="shared" si="0"/>
        <v>_Military Malawi [PQZgU9dagaH]|35-49|Male</v>
      </c>
      <c r="F20" s="38" t="str">
        <f>IF(LEFT($B20,4)="_Mil","",INDEX(Cascade!$U:$U,MATCH($E20,Cascade!$E:$E,0)))</f>
        <v/>
      </c>
      <c r="G20" s="38">
        <f>IFERROR(1/(1/INDEX(HTS!$AU:$AU,MATCH($E20,HTS!$E:$E,0))),"")</f>
        <v>7389.9999999999991</v>
      </c>
      <c r="H20" s="38" t="str">
        <f>IF(OR($C20="15-24",$C20="25-34"),IFERROR(1/(1/SUM(SUMIFS(AGYW!$S:$S,AGYW!$B:$B,$B20,AGYW!$C:$C,IF($C20="15-24",{"15-19","20-24"},{"25-29"}),AGYW!$D:$D,$D20))),""),"")</f>
        <v/>
      </c>
      <c r="I20" s="38" t="str">
        <f>IF(OR($C20="15-24",$C20="25-34"),IFERROR(1/(1/SUM(SUMIFS(AGYW!$T:$T,AGYW!$B:$B,$B20,AGYW!$C:$C,IF($C20="15-24",{"15-19","20-24"},{"25-29"}),AGYW!$D:$D,$D20))),""),"")</f>
        <v/>
      </c>
      <c r="J20" s="38"/>
      <c r="K20" s="38"/>
      <c r="L20" s="218" t="str">
        <f t="shared" si="1"/>
        <v/>
      </c>
      <c r="M20" s="38"/>
      <c r="N20" s="38"/>
      <c r="O20" s="218" t="str">
        <f t="shared" si="2"/>
        <v/>
      </c>
      <c r="P20" s="38">
        <f>2</f>
        <v>2</v>
      </c>
      <c r="Q20" s="218" t="str">
        <f t="shared" si="3"/>
        <v/>
      </c>
    </row>
    <row r="21" spans="1:17" hidden="1" x14ac:dyDescent="0.2">
      <c r="A21" t="str">
        <f>INDEX(Prioritization!$D:$D,MATCH($B21,Prioritization!$A:$A,0))</f>
        <v>Military</v>
      </c>
      <c r="B21" t="s">
        <v>326</v>
      </c>
      <c r="C21" t="s">
        <v>478</v>
      </c>
      <c r="D21" t="s">
        <v>30</v>
      </c>
      <c r="E21" t="str">
        <f t="shared" si="0"/>
        <v>_Military Malawi [PQZgU9dagaH]|50+|Female</v>
      </c>
      <c r="F21" s="38" t="str">
        <f>IF(LEFT($B21,4)="_Mil","",INDEX(Cascade!$U:$U,MATCH($E21,Cascade!$E:$E,0)))</f>
        <v/>
      </c>
      <c r="G21" s="38">
        <f>IFERROR(1/(1/INDEX(HTS!$AU:$AU,MATCH($E21,HTS!$E:$E,0))),"")</f>
        <v>2734</v>
      </c>
      <c r="H21" s="38" t="str">
        <f>IF(OR($C21="15-24",$C21="25-34"),IFERROR(1/(1/SUM(SUMIFS(AGYW!$S:$S,AGYW!$B:$B,$B21,AGYW!$C:$C,IF($C21="15-24",{"15-19","20-24"},{"25-29"}),AGYW!$D:$D,$D21))),""),"")</f>
        <v/>
      </c>
      <c r="I21" s="38" t="str">
        <f>IF(OR($C21="15-24",$C21="25-34"),IFERROR(1/(1/SUM(SUMIFS(AGYW!$T:$T,AGYW!$B:$B,$B21,AGYW!$C:$C,IF($C21="15-24",{"15-19","20-24"},{"25-29"}),AGYW!$D:$D,$D21))),""),"")</f>
        <v/>
      </c>
      <c r="J21" s="38"/>
      <c r="K21" s="38"/>
      <c r="L21" s="218" t="str">
        <f t="shared" si="1"/>
        <v/>
      </c>
      <c r="M21" s="38"/>
      <c r="N21" s="38"/>
      <c r="O21" s="218" t="str">
        <f t="shared" si="2"/>
        <v/>
      </c>
      <c r="P21" s="38">
        <f>2</f>
        <v>2</v>
      </c>
      <c r="Q21" s="218" t="str">
        <f t="shared" si="3"/>
        <v/>
      </c>
    </row>
    <row r="22" spans="1:17" hidden="1" x14ac:dyDescent="0.2">
      <c r="A22" t="str">
        <f>INDEX(Prioritization!$D:$D,MATCH($B22,Prioritization!$A:$A,0))</f>
        <v>Military</v>
      </c>
      <c r="B22" t="s">
        <v>326</v>
      </c>
      <c r="C22" t="s">
        <v>478</v>
      </c>
      <c r="D22" t="s">
        <v>48</v>
      </c>
      <c r="E22" t="str">
        <f t="shared" si="0"/>
        <v>_Military Malawi [PQZgU9dagaH]|50+|Male</v>
      </c>
      <c r="F22" s="38" t="str">
        <f>IF(LEFT($B22,4)="_Mil","",INDEX(Cascade!$U:$U,MATCH($E22,Cascade!$E:$E,0)))</f>
        <v/>
      </c>
      <c r="G22" s="38">
        <f>IFERROR(1/(1/INDEX(HTS!$AU:$AU,MATCH($E22,HTS!$E:$E,0))),"")</f>
        <v>3588</v>
      </c>
      <c r="H22" s="38" t="str">
        <f>IF(OR($C22="15-24",$C22="25-34"),IFERROR(1/(1/SUM(SUMIFS(AGYW!$S:$S,AGYW!$B:$B,$B22,AGYW!$C:$C,IF($C22="15-24",{"15-19","20-24"},{"25-29"}),AGYW!$D:$D,$D22))),""),"")</f>
        <v/>
      </c>
      <c r="I22" s="38" t="str">
        <f>IF(OR($C22="15-24",$C22="25-34"),IFERROR(1/(1/SUM(SUMIFS(AGYW!$T:$T,AGYW!$B:$B,$B22,AGYW!$C:$C,IF($C22="15-24",{"15-19","20-24"},{"25-29"}),AGYW!$D:$D,$D22))),""),"")</f>
        <v/>
      </c>
      <c r="J22" s="38"/>
      <c r="K22" s="38"/>
      <c r="L22" s="218" t="str">
        <f t="shared" si="1"/>
        <v/>
      </c>
      <c r="M22" s="38"/>
      <c r="N22" s="38"/>
      <c r="O22" s="218" t="str">
        <f t="shared" si="2"/>
        <v/>
      </c>
      <c r="P22" s="38">
        <f>2</f>
        <v>2</v>
      </c>
      <c r="Q22" s="218" t="str">
        <f t="shared" si="3"/>
        <v/>
      </c>
    </row>
    <row r="23" spans="1:17" x14ac:dyDescent="0.2">
      <c r="A23" t="str">
        <f>INDEX(Prioritization!$D:$D,MATCH($B23,Prioritization!$A:$A,0))</f>
        <v>4 - Sustained</v>
      </c>
      <c r="B23" t="s">
        <v>313</v>
      </c>
      <c r="C23" t="s">
        <v>475</v>
      </c>
      <c r="D23" t="s">
        <v>30</v>
      </c>
      <c r="E23" t="str">
        <f t="shared" si="0"/>
        <v>Balaka District [ir8wuHHzoSs]|15-24|Female</v>
      </c>
      <c r="F23" s="38">
        <f>IF(LEFT($B23,4)="_Mil","",INDEX(Cascade!$U:$U,MATCH($E23,Cascade!$E:$E,0)))</f>
        <v>0</v>
      </c>
      <c r="G23" s="38" t="str">
        <f>IFERROR(1/(1/INDEX(HTS!$AU:$AU,MATCH($E23,HTS!$E:$E,0))),"")</f>
        <v/>
      </c>
      <c r="H23" s="38" t="str">
        <f>IF(OR($C23="15-24",$C23="25-34"),IFERROR(1/(1/SUM(SUMIFS(AGYW!$S:$S,AGYW!$B:$B,$B23,AGYW!$C:$C,IF($C23="15-24",{"15-19","20-24"},{"25-29"}),AGYW!$D:$D,$D23))),""),"")</f>
        <v/>
      </c>
      <c r="I23" s="38" t="str">
        <f>IF(OR($C23="15-24",$C23="25-34"),IFERROR(1/(1/SUM(SUMIFS(AGYW!$T:$T,AGYW!$B:$B,$B23,AGYW!$C:$C,IF($C23="15-24",{"15-19","20-24"},{"25-29"}),AGYW!$D:$D,$D23))),""),"")</f>
        <v/>
      </c>
      <c r="J23" s="38">
        <v>135</v>
      </c>
      <c r="K23" s="38">
        <v>1048</v>
      </c>
      <c r="L23">
        <v>194</v>
      </c>
      <c r="M23" s="38">
        <v>33</v>
      </c>
      <c r="N23" s="38">
        <v>622</v>
      </c>
      <c r="O23">
        <v>98</v>
      </c>
      <c r="P23" s="38">
        <f>2</f>
        <v>2</v>
      </c>
      <c r="Q23" s="218">
        <f t="shared" si="3"/>
        <v>196</v>
      </c>
    </row>
    <row r="24" spans="1:17" hidden="1" x14ac:dyDescent="0.2">
      <c r="A24" t="str">
        <f>INDEX(Prioritization!$D:$D,MATCH($B24,Prioritization!$A:$A,0))</f>
        <v>4 - Sustained</v>
      </c>
      <c r="B24" t="s">
        <v>313</v>
      </c>
      <c r="C24" t="s">
        <v>475</v>
      </c>
      <c r="D24" t="s">
        <v>48</v>
      </c>
      <c r="E24" t="str">
        <f t="shared" si="0"/>
        <v>Balaka District [ir8wuHHzoSs]|15-24|Male</v>
      </c>
      <c r="F24" s="38">
        <f>IF(LEFT($B24,4)="_Mil","",INDEX(Cascade!$U:$U,MATCH($E24,Cascade!$E:$E,0)))</f>
        <v>1091</v>
      </c>
      <c r="G24" s="38">
        <f>IFERROR(1/(1/INDEX(HTS!$AU:$AU,MATCH($E24,HTS!$E:$E,0))),"")</f>
        <v>60560</v>
      </c>
      <c r="H24" s="38" t="str">
        <f>IF(OR($C24="15-24",$C24="25-34"),IFERROR(1/(1/SUM(SUMIFS(AGYW!$S:$S,AGYW!$B:$B,$B24,AGYW!$C:$C,IF($C24="15-24",{"15-19","20-24"},{"25-29"}),AGYW!$D:$D,$D24))),""),"")</f>
        <v/>
      </c>
      <c r="I24" s="38" t="str">
        <f>IF(OR($C24="15-24",$C24="25-34"),IFERROR(1/(1/SUM(SUMIFS(AGYW!$T:$T,AGYW!$B:$B,$B24,AGYW!$C:$C,IF($C24="15-24",{"15-19","20-24"},{"25-29"}),AGYW!$D:$D,$D24))),""),"")</f>
        <v/>
      </c>
      <c r="J24" s="38">
        <v>170</v>
      </c>
      <c r="K24" s="38">
        <v>83</v>
      </c>
      <c r="L24">
        <v>244</v>
      </c>
      <c r="M24" s="38">
        <v>27</v>
      </c>
      <c r="N24" s="38">
        <v>26</v>
      </c>
      <c r="O24">
        <v>80</v>
      </c>
      <c r="P24" s="38">
        <f>2</f>
        <v>2</v>
      </c>
      <c r="Q24" s="218">
        <f t="shared" si="3"/>
        <v>160</v>
      </c>
    </row>
    <row r="25" spans="1:17" x14ac:dyDescent="0.2">
      <c r="A25" t="str">
        <f>INDEX(Prioritization!$D:$D,MATCH($B25,Prioritization!$A:$A,0))</f>
        <v>4 - Sustained</v>
      </c>
      <c r="B25" t="s">
        <v>313</v>
      </c>
      <c r="C25" t="s">
        <v>476</v>
      </c>
      <c r="D25" t="s">
        <v>30</v>
      </c>
      <c r="E25" t="str">
        <f t="shared" si="0"/>
        <v>Balaka District [ir8wuHHzoSs]|25-34|Female</v>
      </c>
      <c r="F25" s="38">
        <f>IF(LEFT($B25,4)="_Mil","",INDEX(Cascade!$U:$U,MATCH($E25,Cascade!$E:$E,0)))</f>
        <v>0</v>
      </c>
      <c r="G25" s="38" t="str">
        <f>IFERROR(1/(1/INDEX(HTS!$AU:$AU,MATCH($E25,HTS!$E:$E,0))),"")</f>
        <v/>
      </c>
      <c r="H25" s="38" t="str">
        <f>IF(OR($C25="15-24",$C25="25-34"),IFERROR(1/(1/SUM(SUMIFS(AGYW!$S:$S,AGYW!$B:$B,$B25,AGYW!$C:$C,IF($C25="15-24",{"15-19","20-24"},{"25-29"}),AGYW!$D:$D,$D25))),""),"")</f>
        <v/>
      </c>
      <c r="I25" s="38" t="str">
        <f>IF(OR($C25="15-24",$C25="25-34"),IFERROR(1/(1/SUM(SUMIFS(AGYW!$T:$T,AGYW!$B:$B,$B25,AGYW!$C:$C,IF($C25="15-24",{"15-19","20-24"},{"25-29"}),AGYW!$D:$D,$D25))),""),"")</f>
        <v/>
      </c>
      <c r="J25" s="38">
        <v>119</v>
      </c>
      <c r="K25" s="38">
        <v>873</v>
      </c>
      <c r="L25">
        <v>171</v>
      </c>
      <c r="M25" s="38">
        <v>28</v>
      </c>
      <c r="N25" s="38">
        <v>487</v>
      </c>
      <c r="O25">
        <v>83</v>
      </c>
      <c r="P25" s="38">
        <f>2</f>
        <v>2</v>
      </c>
      <c r="Q25" s="218">
        <f t="shared" si="3"/>
        <v>166</v>
      </c>
    </row>
    <row r="26" spans="1:17" hidden="1" x14ac:dyDescent="0.2">
      <c r="A26" t="str">
        <f>INDEX(Prioritization!$D:$D,MATCH($B26,Prioritization!$A:$A,0))</f>
        <v>4 - Sustained</v>
      </c>
      <c r="B26" t="s">
        <v>313</v>
      </c>
      <c r="C26" t="s">
        <v>476</v>
      </c>
      <c r="D26" t="s">
        <v>48</v>
      </c>
      <c r="E26" t="str">
        <f t="shared" si="0"/>
        <v>Balaka District [ir8wuHHzoSs]|25-34|Male</v>
      </c>
      <c r="F26" s="38">
        <f>IF(LEFT($B26,4)="_Mil","",INDEX(Cascade!$U:$U,MATCH($E26,Cascade!$E:$E,0)))</f>
        <v>0</v>
      </c>
      <c r="G26" s="38">
        <f>IFERROR(1/(1/INDEX(HTS!$AU:$AU,MATCH($E26,HTS!$E:$E,0))),"")</f>
        <v>178</v>
      </c>
      <c r="H26" s="38" t="str">
        <f>IF(OR($C26="15-24",$C26="25-34"),IFERROR(1/(1/SUM(SUMIFS(AGYW!$S:$S,AGYW!$B:$B,$B26,AGYW!$C:$C,IF($C26="15-24",{"15-19","20-24"},{"25-29"}),AGYW!$D:$D,$D26))),""),"")</f>
        <v/>
      </c>
      <c r="I26" s="38" t="str">
        <f>IF(OR($C26="15-24",$C26="25-34"),IFERROR(1/(1/SUM(SUMIFS(AGYW!$T:$T,AGYW!$B:$B,$B26,AGYW!$C:$C,IF($C26="15-24",{"15-19","20-24"},{"25-29"}),AGYW!$D:$D,$D26))),""),"")</f>
        <v/>
      </c>
      <c r="J26" s="38">
        <v>133</v>
      </c>
      <c r="K26" s="38">
        <v>159</v>
      </c>
      <c r="L26">
        <v>191</v>
      </c>
      <c r="M26" s="38">
        <v>30</v>
      </c>
      <c r="N26" s="38">
        <v>50</v>
      </c>
      <c r="O26">
        <v>89</v>
      </c>
      <c r="P26" s="38">
        <f>2</f>
        <v>2</v>
      </c>
      <c r="Q26" s="218">
        <f t="shared" si="3"/>
        <v>178</v>
      </c>
    </row>
    <row r="27" spans="1:17" x14ac:dyDescent="0.2">
      <c r="A27" t="str">
        <f>INDEX(Prioritization!$D:$D,MATCH($B27,Prioritization!$A:$A,0))</f>
        <v>4 - Sustained</v>
      </c>
      <c r="B27" t="s">
        <v>313</v>
      </c>
      <c r="C27" t="s">
        <v>477</v>
      </c>
      <c r="D27" t="s">
        <v>30</v>
      </c>
      <c r="E27" t="str">
        <f t="shared" si="0"/>
        <v>Balaka District [ir8wuHHzoSs]|35-49|Female</v>
      </c>
      <c r="F27" s="38">
        <f>IF(LEFT($B27,4)="_Mil","",INDEX(Cascade!$U:$U,MATCH($E27,Cascade!$E:$E,0)))</f>
        <v>0</v>
      </c>
      <c r="G27" s="38" t="str">
        <f>IFERROR(1/(1/INDEX(HTS!$AU:$AU,MATCH($E27,HTS!$E:$E,0))),"")</f>
        <v/>
      </c>
      <c r="H27" s="38" t="str">
        <f>IF(OR($C27="15-24",$C27="25-34"),IFERROR(1/(1/SUM(SUMIFS(AGYW!$S:$S,AGYW!$B:$B,$B27,AGYW!$C:$C,IF($C27="15-24",{"15-19","20-24"},{"25-29"}),AGYW!$D:$D,$D27))),""),"")</f>
        <v/>
      </c>
      <c r="I27" s="38" t="str">
        <f>IF(OR($C27="15-24",$C27="25-34"),IFERROR(1/(1/SUM(SUMIFS(AGYW!$T:$T,AGYW!$B:$B,$B27,AGYW!$C:$C,IF($C27="15-24",{"15-19","20-24"},{"25-29"}),AGYW!$D:$D,$D27))),""),"")</f>
        <v/>
      </c>
      <c r="J27" s="38">
        <v>120</v>
      </c>
      <c r="K27" s="38">
        <v>256</v>
      </c>
      <c r="L27">
        <v>172</v>
      </c>
      <c r="M27" s="38">
        <v>25</v>
      </c>
      <c r="N27" s="38">
        <v>91</v>
      </c>
      <c r="O27">
        <v>75</v>
      </c>
      <c r="P27" s="38">
        <f>2</f>
        <v>2</v>
      </c>
      <c r="Q27" s="218">
        <f t="shared" si="3"/>
        <v>150</v>
      </c>
    </row>
    <row r="28" spans="1:17" hidden="1" x14ac:dyDescent="0.2">
      <c r="A28" t="str">
        <f>INDEX(Prioritization!$D:$D,MATCH($B28,Prioritization!$A:$A,0))</f>
        <v>4 - Sustained</v>
      </c>
      <c r="B28" t="s">
        <v>313</v>
      </c>
      <c r="C28" t="s">
        <v>477</v>
      </c>
      <c r="D28" t="s">
        <v>48</v>
      </c>
      <c r="E28" t="str">
        <f t="shared" si="0"/>
        <v>Balaka District [ir8wuHHzoSs]|35-49|Male</v>
      </c>
      <c r="F28" s="38">
        <f>IF(LEFT($B28,4)="_Mil","",INDEX(Cascade!$U:$U,MATCH($E28,Cascade!$E:$E,0)))</f>
        <v>0</v>
      </c>
      <c r="G28" s="38">
        <f>IFERROR(1/(1/INDEX(HTS!$AU:$AU,MATCH($E28,HTS!$E:$E,0))),"")</f>
        <v>144</v>
      </c>
      <c r="H28" s="38" t="str">
        <f>IF(OR($C28="15-24",$C28="25-34"),IFERROR(1/(1/SUM(SUMIFS(AGYW!$S:$S,AGYW!$B:$B,$B28,AGYW!$C:$C,IF($C28="15-24",{"15-19","20-24"},{"25-29"}),AGYW!$D:$D,$D28))),""),"")</f>
        <v/>
      </c>
      <c r="I28" s="38" t="str">
        <f>IF(OR($C28="15-24",$C28="25-34"),IFERROR(1/(1/SUM(SUMIFS(AGYW!$T:$T,AGYW!$B:$B,$B28,AGYW!$C:$C,IF($C28="15-24",{"15-19","20-24"},{"25-29"}),AGYW!$D:$D,$D28))),""),"")</f>
        <v/>
      </c>
      <c r="J28" s="38">
        <v>125</v>
      </c>
      <c r="K28" s="38">
        <v>161</v>
      </c>
      <c r="L28">
        <v>180</v>
      </c>
      <c r="M28" s="38">
        <v>24</v>
      </c>
      <c r="N28" s="38">
        <v>50</v>
      </c>
      <c r="O28">
        <v>72</v>
      </c>
      <c r="P28" s="38">
        <f>2</f>
        <v>2</v>
      </c>
      <c r="Q28" s="218">
        <f t="shared" si="3"/>
        <v>144</v>
      </c>
    </row>
    <row r="29" spans="1:17" x14ac:dyDescent="0.2">
      <c r="A29" t="str">
        <f>INDEX(Prioritization!$D:$D,MATCH($B29,Prioritization!$A:$A,0))</f>
        <v>4 - Sustained</v>
      </c>
      <c r="B29" t="s">
        <v>313</v>
      </c>
      <c r="C29" t="s">
        <v>478</v>
      </c>
      <c r="D29" t="s">
        <v>30</v>
      </c>
      <c r="E29" t="str">
        <f t="shared" si="0"/>
        <v>Balaka District [ir8wuHHzoSs]|50+|Female</v>
      </c>
      <c r="F29" s="38">
        <f>IF(LEFT($B29,4)="_Mil","",INDEX(Cascade!$U:$U,MATCH($E29,Cascade!$E:$E,0)))</f>
        <v>0</v>
      </c>
      <c r="G29" s="38">
        <f>IFERROR(1/(1/INDEX(HTS!$AU:$AU,MATCH($E29,HTS!$E:$E,0))),"")</f>
        <v>48</v>
      </c>
      <c r="H29" s="38" t="str">
        <f>IF(OR($C29="15-24",$C29="25-34"),IFERROR(1/(1/SUM(SUMIFS(AGYW!$S:$S,AGYW!$B:$B,$B29,AGYW!$C:$C,IF($C29="15-24",{"15-19","20-24"},{"25-29"}),AGYW!$D:$D,$D29))),""),"")</f>
        <v/>
      </c>
      <c r="I29" s="38" t="str">
        <f>IF(OR($C29="15-24",$C29="25-34"),IFERROR(1/(1/SUM(SUMIFS(AGYW!$T:$T,AGYW!$B:$B,$B29,AGYW!$C:$C,IF($C29="15-24",{"15-19","20-24"},{"25-29"}),AGYW!$D:$D,$D29))),""),"")</f>
        <v/>
      </c>
      <c r="J29" s="38">
        <v>21</v>
      </c>
      <c r="K29" s="38">
        <v>33</v>
      </c>
      <c r="L29">
        <v>30</v>
      </c>
      <c r="M29" s="38">
        <v>4</v>
      </c>
      <c r="N29" s="38">
        <v>20</v>
      </c>
      <c r="O29">
        <v>12</v>
      </c>
      <c r="P29" s="38">
        <f>2</f>
        <v>2</v>
      </c>
      <c r="Q29" s="218">
        <f t="shared" si="3"/>
        <v>24</v>
      </c>
    </row>
    <row r="30" spans="1:17" hidden="1" x14ac:dyDescent="0.2">
      <c r="A30" t="str">
        <f>INDEX(Prioritization!$D:$D,MATCH($B30,Prioritization!$A:$A,0))</f>
        <v>4 - Sustained</v>
      </c>
      <c r="B30" t="s">
        <v>313</v>
      </c>
      <c r="C30" t="s">
        <v>478</v>
      </c>
      <c r="D30" t="s">
        <v>48</v>
      </c>
      <c r="E30" t="str">
        <f t="shared" si="0"/>
        <v>Balaka District [ir8wuHHzoSs]|50+|Male</v>
      </c>
      <c r="F30" s="38">
        <f>IF(LEFT($B30,4)="_Mil","",INDEX(Cascade!$U:$U,MATCH($E30,Cascade!$E:$E,0)))</f>
        <v>3226</v>
      </c>
      <c r="G30" s="38">
        <f>IFERROR(1/(1/INDEX(HTS!$AU:$AU,MATCH($E30,HTS!$E:$E,0))),"")</f>
        <v>1882</v>
      </c>
      <c r="H30" s="38" t="str">
        <f>IF(OR($C30="15-24",$C30="25-34"),IFERROR(1/(1/SUM(SUMIFS(AGYW!$S:$S,AGYW!$B:$B,$B30,AGYW!$C:$C,IF($C30="15-24",{"15-19","20-24"},{"25-29"}),AGYW!$D:$D,$D30))),""),"")</f>
        <v/>
      </c>
      <c r="I30" s="38" t="str">
        <f>IF(OR($C30="15-24",$C30="25-34"),IFERROR(1/(1/SUM(SUMIFS(AGYW!$T:$T,AGYW!$B:$B,$B30,AGYW!$C:$C,IF($C30="15-24",{"15-19","20-24"},{"25-29"}),AGYW!$D:$D,$D30))),""),"")</f>
        <v/>
      </c>
      <c r="J30" s="38">
        <v>45</v>
      </c>
      <c r="K30" s="38">
        <v>126</v>
      </c>
      <c r="L30">
        <v>65</v>
      </c>
      <c r="M30" s="38">
        <v>8</v>
      </c>
      <c r="N30" s="38">
        <v>40</v>
      </c>
      <c r="O30">
        <v>24</v>
      </c>
      <c r="P30" s="38">
        <f>2</f>
        <v>2</v>
      </c>
      <c r="Q30" s="218">
        <f t="shared" si="3"/>
        <v>48</v>
      </c>
    </row>
    <row r="31" spans="1:17" x14ac:dyDescent="0.2">
      <c r="A31" t="str">
        <f>INDEX(Prioritization!$D:$D,MATCH($B31,Prioritization!$A:$A,0))</f>
        <v>1 - Scale-up: Saturation</v>
      </c>
      <c r="B31" t="s">
        <v>314</v>
      </c>
      <c r="C31" t="s">
        <v>475</v>
      </c>
      <c r="D31" t="s">
        <v>30</v>
      </c>
      <c r="E31" t="str">
        <f t="shared" si="0"/>
        <v>Blantyre District [mxqa3CDFmIT]|15-24|Female</v>
      </c>
      <c r="F31" s="38">
        <f>IF(LEFT($B31,4)="_Mil","",INDEX(Cascade!$U:$U,MATCH($E31,Cascade!$E:$E,0)))</f>
        <v>0</v>
      </c>
      <c r="G31" s="38" t="str">
        <f>IFERROR(1/(1/INDEX(HTS!$AU:$AU,MATCH($E31,HTS!$E:$E,0))),"")</f>
        <v/>
      </c>
      <c r="H31" s="38">
        <f ca="1">IF(OR($C31="15-24",$C31="25-34"),IFERROR(1/(1/SUM(SUMIFS(AGYW!$S:$S,AGYW!$B:$B,$B31,AGYW!$C:$C,IF($C31="15-24",{"15-19","20-24"},{"25-29"}),AGYW!$D:$D,$D31))),""),"")</f>
        <v>15567</v>
      </c>
      <c r="I31" s="38">
        <f ca="1">IF(OR($C31="15-24",$C31="25-34"),IFERROR(1/(1/SUM(SUMIFS(AGYW!$T:$T,AGYW!$B:$B,$B31,AGYW!$C:$C,IF($C31="15-24",{"15-19","20-24"},{"25-29"}),AGYW!$D:$D,$D31))),""),"")</f>
        <v>13232</v>
      </c>
      <c r="J31" s="38">
        <v>4709</v>
      </c>
      <c r="K31" s="38">
        <v>3263</v>
      </c>
      <c r="L31">
        <v>6762</v>
      </c>
      <c r="M31" s="38">
        <v>591</v>
      </c>
      <c r="N31" s="38">
        <v>1936</v>
      </c>
      <c r="O31">
        <v>1761</v>
      </c>
      <c r="P31" s="38">
        <f>2</f>
        <v>2</v>
      </c>
      <c r="Q31" s="218">
        <f t="shared" si="3"/>
        <v>3522</v>
      </c>
    </row>
    <row r="32" spans="1:17" hidden="1" x14ac:dyDescent="0.2">
      <c r="A32" t="str">
        <f>INDEX(Prioritization!$D:$D,MATCH($B32,Prioritization!$A:$A,0))</f>
        <v>1 - Scale-up: Saturation</v>
      </c>
      <c r="B32" t="s">
        <v>314</v>
      </c>
      <c r="C32" t="s">
        <v>475</v>
      </c>
      <c r="D32" t="s">
        <v>48</v>
      </c>
      <c r="E32" t="str">
        <f t="shared" si="0"/>
        <v>Blantyre District [mxqa3CDFmIT]|15-24|Male</v>
      </c>
      <c r="F32" s="38">
        <f>IF(LEFT($B32,4)="_Mil","",INDEX(Cascade!$U:$U,MATCH($E32,Cascade!$E:$E,0)))</f>
        <v>4062</v>
      </c>
      <c r="G32" s="38">
        <f>IFERROR(1/(1/INDEX(HTS!$AU:$AU,MATCH($E32,HTS!$E:$E,0))),"")</f>
        <v>14127.999999999998</v>
      </c>
      <c r="H32" s="38" t="str">
        <f>IF(OR($C32="15-24",$C32="25-34"),IFERROR(1/(1/SUM(SUMIFS(AGYW!$S:$S,AGYW!$B:$B,$B32,AGYW!$C:$C,IF($C32="15-24",{"15-19","20-24"},{"25-29"}),AGYW!$D:$D,$D32))),""),"")</f>
        <v/>
      </c>
      <c r="I32" s="38" t="str">
        <f>IF(OR($C32="15-24",$C32="25-34"),IFERROR(1/(1/SUM(SUMIFS(AGYW!$T:$T,AGYW!$B:$B,$B32,AGYW!$C:$C,IF($C32="15-24",{"15-19","20-24"},{"25-29"}),AGYW!$D:$D,$D32))),""),"")</f>
        <v/>
      </c>
      <c r="J32" s="38">
        <v>1699</v>
      </c>
      <c r="K32" s="38">
        <v>257</v>
      </c>
      <c r="L32">
        <v>2440</v>
      </c>
      <c r="M32" s="38">
        <v>1006</v>
      </c>
      <c r="N32" s="38">
        <v>79</v>
      </c>
      <c r="O32">
        <v>2998</v>
      </c>
      <c r="P32" s="38">
        <f>2</f>
        <v>2</v>
      </c>
      <c r="Q32" s="218">
        <f t="shared" si="3"/>
        <v>5996</v>
      </c>
    </row>
    <row r="33" spans="1:17" x14ac:dyDescent="0.2">
      <c r="A33" t="str">
        <f>INDEX(Prioritization!$D:$D,MATCH($B33,Prioritization!$A:$A,0))</f>
        <v>1 - Scale-up: Saturation</v>
      </c>
      <c r="B33" t="s">
        <v>314</v>
      </c>
      <c r="C33" t="s">
        <v>476</v>
      </c>
      <c r="D33" t="s">
        <v>30</v>
      </c>
      <c r="E33" t="str">
        <f t="shared" si="0"/>
        <v>Blantyre District [mxqa3CDFmIT]|25-34|Female</v>
      </c>
      <c r="F33" s="38">
        <f>IF(LEFT($B33,4)="_Mil","",INDEX(Cascade!$U:$U,MATCH($E33,Cascade!$E:$E,0)))</f>
        <v>17031</v>
      </c>
      <c r="G33" s="38">
        <f>IFERROR(1/(1/INDEX(HTS!$AU:$AU,MATCH($E33,HTS!$E:$E,0))),"")</f>
        <v>47256</v>
      </c>
      <c r="H33" s="38" t="str">
        <f ca="1">IF(OR($C33="15-24",$C33="25-34"),IFERROR(1/(1/SUM(SUMIFS(AGYW!$S:$S,AGYW!$B:$B,$B33,AGYW!$C:$C,IF($C33="15-24",{"15-19","20-24"},{"25-29"}),AGYW!$D:$D,$D33))),""),"")</f>
        <v/>
      </c>
      <c r="I33" s="38" t="str">
        <f ca="1">IF(OR($C33="15-24",$C33="25-34"),IFERROR(1/(1/SUM(SUMIFS(AGYW!$T:$T,AGYW!$B:$B,$B33,AGYW!$C:$C,IF($C33="15-24",{"15-19","20-24"},{"25-29"}),AGYW!$D:$D,$D33))),""),"")</f>
        <v/>
      </c>
      <c r="J33" s="38">
        <v>2255</v>
      </c>
      <c r="K33" s="38">
        <v>2718</v>
      </c>
      <c r="L33">
        <v>3238</v>
      </c>
      <c r="M33" s="38">
        <v>502</v>
      </c>
      <c r="N33" s="38">
        <v>1515</v>
      </c>
      <c r="O33">
        <v>1496</v>
      </c>
      <c r="P33" s="38">
        <f>2</f>
        <v>2</v>
      </c>
      <c r="Q33" s="218">
        <f t="shared" si="3"/>
        <v>2992</v>
      </c>
    </row>
    <row r="34" spans="1:17" hidden="1" x14ac:dyDescent="0.2">
      <c r="A34" t="str">
        <f>INDEX(Prioritization!$D:$D,MATCH($B34,Prioritization!$A:$A,0))</f>
        <v>1 - Scale-up: Saturation</v>
      </c>
      <c r="B34" t="s">
        <v>314</v>
      </c>
      <c r="C34" t="s">
        <v>476</v>
      </c>
      <c r="D34" t="s">
        <v>48</v>
      </c>
      <c r="E34" t="str">
        <f t="shared" si="0"/>
        <v>Blantyre District [mxqa3CDFmIT]|25-34|Male</v>
      </c>
      <c r="F34" s="38">
        <f>IF(LEFT($B34,4)="_Mil","",INDEX(Cascade!$U:$U,MATCH($E34,Cascade!$E:$E,0)))</f>
        <v>7249</v>
      </c>
      <c r="G34" s="38">
        <f>IFERROR(1/(1/INDEX(HTS!$AU:$AU,MATCH($E34,HTS!$E:$E,0))),"")</f>
        <v>11510</v>
      </c>
      <c r="H34" s="38" t="str">
        <f>IF(OR($C34="15-24",$C34="25-34"),IFERROR(1/(1/SUM(SUMIFS(AGYW!$S:$S,AGYW!$B:$B,$B34,AGYW!$C:$C,IF($C34="15-24",{"15-19","20-24"},{"25-29"}),AGYW!$D:$D,$D34))),""),"")</f>
        <v/>
      </c>
      <c r="I34" s="38" t="str">
        <f>IF(OR($C34="15-24",$C34="25-34"),IFERROR(1/(1/SUM(SUMIFS(AGYW!$T:$T,AGYW!$B:$B,$B34,AGYW!$C:$C,IF($C34="15-24",{"15-19","20-24"},{"25-29"}),AGYW!$D:$D,$D34))),""),"")</f>
        <v/>
      </c>
      <c r="J34" s="38">
        <v>1838</v>
      </c>
      <c r="K34" s="38">
        <v>494</v>
      </c>
      <c r="L34">
        <v>2639</v>
      </c>
      <c r="M34" s="38">
        <v>1029</v>
      </c>
      <c r="N34" s="38">
        <v>155</v>
      </c>
      <c r="O34">
        <v>3067</v>
      </c>
      <c r="P34" s="38">
        <f>2</f>
        <v>2</v>
      </c>
      <c r="Q34" s="218">
        <f t="shared" si="3"/>
        <v>6134</v>
      </c>
    </row>
    <row r="35" spans="1:17" x14ac:dyDescent="0.2">
      <c r="A35" t="str">
        <f>INDEX(Prioritization!$D:$D,MATCH($B35,Prioritization!$A:$A,0))</f>
        <v>1 - Scale-up: Saturation</v>
      </c>
      <c r="B35" t="s">
        <v>314</v>
      </c>
      <c r="C35" t="s">
        <v>477</v>
      </c>
      <c r="D35" t="s">
        <v>30</v>
      </c>
      <c r="E35" t="str">
        <f t="shared" si="0"/>
        <v>Blantyre District [mxqa3CDFmIT]|35-49|Female</v>
      </c>
      <c r="F35" s="38">
        <f>IF(LEFT($B35,4)="_Mil","",INDEX(Cascade!$U:$U,MATCH($E35,Cascade!$E:$E,0)))</f>
        <v>37173</v>
      </c>
      <c r="G35" s="38">
        <f>IFERROR(1/(1/INDEX(HTS!$AU:$AU,MATCH($E35,HTS!$E:$E,0))),"")</f>
        <v>29922</v>
      </c>
      <c r="H35" s="38" t="str">
        <f>IF(OR($C35="15-24",$C35="25-34"),IFERROR(1/(1/SUM(SUMIFS(AGYW!$S:$S,AGYW!$B:$B,$B35,AGYW!$C:$C,IF($C35="15-24",{"15-19","20-24"},{"25-29"}),AGYW!$D:$D,$D35))),""),"")</f>
        <v/>
      </c>
      <c r="I35" s="38" t="str">
        <f>IF(OR($C35="15-24",$C35="25-34"),IFERROR(1/(1/SUM(SUMIFS(AGYW!$T:$T,AGYW!$B:$B,$B35,AGYW!$C:$C,IF($C35="15-24",{"15-19","20-24"},{"25-29"}),AGYW!$D:$D,$D35))),""),"")</f>
        <v/>
      </c>
      <c r="J35" s="38">
        <v>730</v>
      </c>
      <c r="K35" s="38">
        <v>798</v>
      </c>
      <c r="L35">
        <v>1048</v>
      </c>
      <c r="M35" s="38">
        <v>226</v>
      </c>
      <c r="N35" s="38">
        <v>282</v>
      </c>
      <c r="O35">
        <v>674</v>
      </c>
      <c r="P35" s="38">
        <f>2</f>
        <v>2</v>
      </c>
      <c r="Q35" s="218">
        <f t="shared" si="3"/>
        <v>1348</v>
      </c>
    </row>
    <row r="36" spans="1:17" hidden="1" x14ac:dyDescent="0.2">
      <c r="A36" t="str">
        <f>INDEX(Prioritization!$D:$D,MATCH($B36,Prioritization!$A:$A,0))</f>
        <v>1 - Scale-up: Saturation</v>
      </c>
      <c r="B36" t="s">
        <v>314</v>
      </c>
      <c r="C36" t="s">
        <v>477</v>
      </c>
      <c r="D36" t="s">
        <v>48</v>
      </c>
      <c r="E36" t="str">
        <f t="shared" si="0"/>
        <v>Blantyre District [mxqa3CDFmIT]|35-49|Male</v>
      </c>
      <c r="F36" s="38">
        <f>IF(LEFT($B36,4)="_Mil","",INDEX(Cascade!$U:$U,MATCH($E36,Cascade!$E:$E,0)))</f>
        <v>24428</v>
      </c>
      <c r="G36" s="38">
        <f>IFERROR(1/(1/INDEX(HTS!$AU:$AU,MATCH($E36,HTS!$E:$E,0))),"")</f>
        <v>32763.000000000004</v>
      </c>
      <c r="H36" s="38" t="str">
        <f>IF(OR($C36="15-24",$C36="25-34"),IFERROR(1/(1/SUM(SUMIFS(AGYW!$S:$S,AGYW!$B:$B,$B36,AGYW!$C:$C,IF($C36="15-24",{"15-19","20-24"},{"25-29"}),AGYW!$D:$D,$D36))),""),"")</f>
        <v/>
      </c>
      <c r="I36" s="38" t="str">
        <f>IF(OR($C36="15-24",$C36="25-34"),IFERROR(1/(1/SUM(SUMIFS(AGYW!$T:$T,AGYW!$B:$B,$B36,AGYW!$C:$C,IF($C36="15-24",{"15-19","20-24"},{"25-29"}),AGYW!$D:$D,$D36))),""),"")</f>
        <v/>
      </c>
      <c r="J36" s="38">
        <v>745</v>
      </c>
      <c r="K36" s="38">
        <v>502</v>
      </c>
      <c r="L36">
        <v>1070</v>
      </c>
      <c r="M36" s="38">
        <v>298</v>
      </c>
      <c r="N36" s="38">
        <v>157</v>
      </c>
      <c r="O36">
        <v>888</v>
      </c>
      <c r="P36" s="38">
        <f>2</f>
        <v>2</v>
      </c>
      <c r="Q36" s="218">
        <f t="shared" si="3"/>
        <v>1776</v>
      </c>
    </row>
    <row r="37" spans="1:17" x14ac:dyDescent="0.2">
      <c r="A37" t="str">
        <f>INDEX(Prioritization!$D:$D,MATCH($B37,Prioritization!$A:$A,0))</f>
        <v>1 - Scale-up: Saturation</v>
      </c>
      <c r="B37" t="s">
        <v>314</v>
      </c>
      <c r="C37" t="s">
        <v>478</v>
      </c>
      <c r="D37" t="s">
        <v>30</v>
      </c>
      <c r="E37" t="str">
        <f t="shared" si="0"/>
        <v>Blantyre District [mxqa3CDFmIT]|50+|Female</v>
      </c>
      <c r="F37" s="38">
        <f>IF(LEFT($B37,4)="_Mil","",INDEX(Cascade!$U:$U,MATCH($E37,Cascade!$E:$E,0)))</f>
        <v>13177</v>
      </c>
      <c r="G37" s="38">
        <f>IFERROR(1/(1/INDEX(HTS!$AU:$AU,MATCH($E37,HTS!$E:$E,0))),"")</f>
        <v>15150.000000000002</v>
      </c>
      <c r="H37" s="38" t="str">
        <f>IF(OR($C37="15-24",$C37="25-34"),IFERROR(1/(1/SUM(SUMIFS(AGYW!$S:$S,AGYW!$B:$B,$B37,AGYW!$C:$C,IF($C37="15-24",{"15-19","20-24"},{"25-29"}),AGYW!$D:$D,$D37))),""),"")</f>
        <v/>
      </c>
      <c r="I37" s="38" t="str">
        <f>IF(OR($C37="15-24",$C37="25-34"),IFERROR(1/(1/SUM(SUMIFS(AGYW!$T:$T,AGYW!$B:$B,$B37,AGYW!$C:$C,IF($C37="15-24",{"15-19","20-24"},{"25-29"}),AGYW!$D:$D,$D37))),""),"")</f>
        <v/>
      </c>
      <c r="J37" s="38">
        <v>79</v>
      </c>
      <c r="K37" s="38">
        <v>104</v>
      </c>
      <c r="L37">
        <v>113</v>
      </c>
      <c r="M37" s="38">
        <v>38</v>
      </c>
      <c r="N37" s="38">
        <v>63</v>
      </c>
      <c r="O37">
        <v>113</v>
      </c>
      <c r="P37" s="38">
        <f>2</f>
        <v>2</v>
      </c>
      <c r="Q37" s="218">
        <f t="shared" si="3"/>
        <v>226</v>
      </c>
    </row>
    <row r="38" spans="1:17" hidden="1" x14ac:dyDescent="0.2">
      <c r="A38" t="str">
        <f>INDEX(Prioritization!$D:$D,MATCH($B38,Prioritization!$A:$A,0))</f>
        <v>1 - Scale-up: Saturation</v>
      </c>
      <c r="B38" t="s">
        <v>314</v>
      </c>
      <c r="C38" t="s">
        <v>478</v>
      </c>
      <c r="D38" t="s">
        <v>48</v>
      </c>
      <c r="E38" t="str">
        <f t="shared" si="0"/>
        <v>Blantyre District [mxqa3CDFmIT]|50+|Male</v>
      </c>
      <c r="F38" s="38">
        <f>IF(LEFT($B38,4)="_Mil","",INDEX(Cascade!$U:$U,MATCH($E38,Cascade!$E:$E,0)))</f>
        <v>13586</v>
      </c>
      <c r="G38" s="38">
        <f>IFERROR(1/(1/INDEX(HTS!$AU:$AU,MATCH($E38,HTS!$E:$E,0))),"")</f>
        <v>12493</v>
      </c>
      <c r="H38" s="38" t="str">
        <f>IF(OR($C38="15-24",$C38="25-34"),IFERROR(1/(1/SUM(SUMIFS(AGYW!$S:$S,AGYW!$B:$B,$B38,AGYW!$C:$C,IF($C38="15-24",{"15-19","20-24"},{"25-29"}),AGYW!$D:$D,$D38))),""),"")</f>
        <v/>
      </c>
      <c r="I38" s="38" t="str">
        <f>IF(OR($C38="15-24",$C38="25-34"),IFERROR(1/(1/SUM(SUMIFS(AGYW!$T:$T,AGYW!$B:$B,$B38,AGYW!$C:$C,IF($C38="15-24",{"15-19","20-24"},{"25-29"}),AGYW!$D:$D,$D38))),""),"")</f>
        <v/>
      </c>
      <c r="J38" s="38">
        <v>133</v>
      </c>
      <c r="K38" s="38">
        <v>394</v>
      </c>
      <c r="L38">
        <v>191</v>
      </c>
      <c r="M38" s="38">
        <v>56</v>
      </c>
      <c r="N38" s="38">
        <v>123</v>
      </c>
      <c r="O38">
        <v>167</v>
      </c>
      <c r="P38" s="38">
        <f>2</f>
        <v>2</v>
      </c>
      <c r="Q38" s="218">
        <f t="shared" si="3"/>
        <v>334</v>
      </c>
    </row>
    <row r="39" spans="1:17" x14ac:dyDescent="0.2">
      <c r="A39" t="str">
        <f>INDEX(Prioritization!$D:$D,MATCH($B39,Prioritization!$A:$A,0))</f>
        <v>1 - Scale-up: Saturation</v>
      </c>
      <c r="B39" t="s">
        <v>315</v>
      </c>
      <c r="C39" t="s">
        <v>475</v>
      </c>
      <c r="D39" t="s">
        <v>30</v>
      </c>
      <c r="E39" t="str">
        <f t="shared" si="0"/>
        <v>Chikwawa District [U8c0so51kT6]|15-24|Female</v>
      </c>
      <c r="F39" s="38">
        <f>IF(LEFT($B39,4)="_Mil","",INDEX(Cascade!$U:$U,MATCH($E39,Cascade!$E:$E,0)))</f>
        <v>1861</v>
      </c>
      <c r="G39" s="38">
        <f>IFERROR(1/(1/INDEX(HTS!$AU:$AU,MATCH($E39,HTS!$E:$E,0))),"")</f>
        <v>26505</v>
      </c>
      <c r="H39" s="38" t="str">
        <f>IF(OR($C39="15-24",$C39="25-34"),IFERROR(1/(1/SUM(SUMIFS(AGYW!$S:$S,AGYW!$B:$B,$B39,AGYW!$C:$C,IF($C39="15-24",{"15-19","20-24"},{"25-29"}),AGYW!$D:$D,$D39))),""),"")</f>
        <v/>
      </c>
      <c r="I39" s="38" t="str">
        <f>IF(OR($C39="15-24",$C39="25-34"),IFERROR(1/(1/SUM(SUMIFS(AGYW!$T:$T,AGYW!$B:$B,$B39,AGYW!$C:$C,IF($C39="15-24",{"15-19","20-24"},{"25-29"}),AGYW!$D:$D,$D39))),""),"")</f>
        <v/>
      </c>
      <c r="J39" s="38">
        <v>464</v>
      </c>
      <c r="K39" s="38">
        <v>277</v>
      </c>
      <c r="L39">
        <v>666</v>
      </c>
      <c r="M39" s="38">
        <v>69</v>
      </c>
      <c r="N39" s="38">
        <v>98</v>
      </c>
      <c r="O39">
        <v>206</v>
      </c>
      <c r="P39" s="38">
        <f>2</f>
        <v>2</v>
      </c>
      <c r="Q39" s="218">
        <f t="shared" si="3"/>
        <v>412</v>
      </c>
    </row>
    <row r="40" spans="1:17" hidden="1" x14ac:dyDescent="0.2">
      <c r="A40" t="str">
        <f>INDEX(Prioritization!$D:$D,MATCH($B40,Prioritization!$A:$A,0))</f>
        <v>1 - Scale-up: Saturation</v>
      </c>
      <c r="B40" t="s">
        <v>315</v>
      </c>
      <c r="C40" t="s">
        <v>475</v>
      </c>
      <c r="D40" t="s">
        <v>48</v>
      </c>
      <c r="E40" t="str">
        <f t="shared" si="0"/>
        <v>Chikwawa District [U8c0so51kT6]|15-24|Male</v>
      </c>
      <c r="F40" s="38">
        <f>IF(LEFT($B40,4)="_Mil","",INDEX(Cascade!$U:$U,MATCH($E40,Cascade!$E:$E,0)))</f>
        <v>1299</v>
      </c>
      <c r="G40" s="38">
        <f>IFERROR(1/(1/INDEX(HTS!$AU:$AU,MATCH($E40,HTS!$E:$E,0))),"")</f>
        <v>12086</v>
      </c>
      <c r="H40" s="38" t="str">
        <f>IF(OR($C40="15-24",$C40="25-34"),IFERROR(1/(1/SUM(SUMIFS(AGYW!$S:$S,AGYW!$B:$B,$B40,AGYW!$C:$C,IF($C40="15-24",{"15-19","20-24"},{"25-29"}),AGYW!$D:$D,$D40))),""),"")</f>
        <v/>
      </c>
      <c r="I40" s="38" t="str">
        <f>IF(OR($C40="15-24",$C40="25-34"),IFERROR(1/(1/SUM(SUMIFS(AGYW!$T:$T,AGYW!$B:$B,$B40,AGYW!$C:$C,IF($C40="15-24",{"15-19","20-24"},{"25-29"}),AGYW!$D:$D,$D40))),""),"")</f>
        <v/>
      </c>
      <c r="J40" s="38">
        <v>697</v>
      </c>
      <c r="K40" s="38">
        <v>106</v>
      </c>
      <c r="L40">
        <v>1001</v>
      </c>
      <c r="M40" s="38">
        <v>85</v>
      </c>
      <c r="N40" s="38">
        <v>33</v>
      </c>
      <c r="O40">
        <v>253</v>
      </c>
      <c r="P40" s="38">
        <f>2</f>
        <v>2</v>
      </c>
      <c r="Q40" s="218">
        <f t="shared" si="3"/>
        <v>506</v>
      </c>
    </row>
    <row r="41" spans="1:17" x14ac:dyDescent="0.2">
      <c r="A41" t="str">
        <f>INDEX(Prioritization!$D:$D,MATCH($B41,Prioritization!$A:$A,0))</f>
        <v>1 - Scale-up: Saturation</v>
      </c>
      <c r="B41" t="s">
        <v>315</v>
      </c>
      <c r="C41" t="s">
        <v>476</v>
      </c>
      <c r="D41" t="s">
        <v>30</v>
      </c>
      <c r="E41" t="str">
        <f t="shared" si="0"/>
        <v>Chikwawa District [U8c0so51kT6]|25-34|Female</v>
      </c>
      <c r="F41" s="38">
        <f>IF(LEFT($B41,4)="_Mil","",INDEX(Cascade!$U:$U,MATCH($E41,Cascade!$E:$E,0)))</f>
        <v>4676</v>
      </c>
      <c r="G41" s="38" t="str">
        <f>IFERROR(1/(1/INDEX(HTS!$AU:$AU,MATCH($E41,HTS!$E:$E,0))),"")</f>
        <v/>
      </c>
      <c r="H41" s="38" t="str">
        <f>IF(OR($C41="15-24",$C41="25-34"),IFERROR(1/(1/SUM(SUMIFS(AGYW!$S:$S,AGYW!$B:$B,$B41,AGYW!$C:$C,IF($C41="15-24",{"15-19","20-24"},{"25-29"}),AGYW!$D:$D,$D41))),""),"")</f>
        <v/>
      </c>
      <c r="I41" s="38" t="str">
        <f>IF(OR($C41="15-24",$C41="25-34"),IFERROR(1/(1/SUM(SUMIFS(AGYW!$T:$T,AGYW!$B:$B,$B41,AGYW!$C:$C,IF($C41="15-24",{"15-19","20-24"},{"25-29"}),AGYW!$D:$D,$D41))),""),"")</f>
        <v/>
      </c>
      <c r="J41" s="38">
        <v>518</v>
      </c>
      <c r="K41" s="38">
        <v>363</v>
      </c>
      <c r="L41">
        <v>744</v>
      </c>
      <c r="M41" s="38">
        <v>182</v>
      </c>
      <c r="N41" s="38">
        <v>129</v>
      </c>
      <c r="O41">
        <v>542</v>
      </c>
      <c r="P41" s="38">
        <f>2</f>
        <v>2</v>
      </c>
      <c r="Q41" s="218">
        <f t="shared" si="3"/>
        <v>1084</v>
      </c>
    </row>
    <row r="42" spans="1:17" hidden="1" x14ac:dyDescent="0.2">
      <c r="A42" t="str">
        <f>INDEX(Prioritization!$D:$D,MATCH($B42,Prioritization!$A:$A,0))</f>
        <v>1 - Scale-up: Saturation</v>
      </c>
      <c r="B42" t="s">
        <v>315</v>
      </c>
      <c r="C42" t="s">
        <v>476</v>
      </c>
      <c r="D42" t="s">
        <v>48</v>
      </c>
      <c r="E42" t="str">
        <f t="shared" si="0"/>
        <v>Chikwawa District [U8c0so51kT6]|25-34|Male</v>
      </c>
      <c r="F42" s="38">
        <f>IF(LEFT($B42,4)="_Mil","",INDEX(Cascade!$U:$U,MATCH($E42,Cascade!$E:$E,0)))</f>
        <v>1699</v>
      </c>
      <c r="G42" s="38">
        <f>IFERROR(1/(1/INDEX(HTS!$AU:$AU,MATCH($E42,HTS!$E:$E,0))),"")</f>
        <v>3415</v>
      </c>
      <c r="H42" s="38" t="str">
        <f>IF(OR($C42="15-24",$C42="25-34"),IFERROR(1/(1/SUM(SUMIFS(AGYW!$S:$S,AGYW!$B:$B,$B42,AGYW!$C:$C,IF($C42="15-24",{"15-19","20-24"},{"25-29"}),AGYW!$D:$D,$D42))),""),"")</f>
        <v/>
      </c>
      <c r="I42" s="38" t="str">
        <f>IF(OR($C42="15-24",$C42="25-34"),IFERROR(1/(1/SUM(SUMIFS(AGYW!$T:$T,AGYW!$B:$B,$B42,AGYW!$C:$C,IF($C42="15-24",{"15-19","20-24"},{"25-29"}),AGYW!$D:$D,$D42))),""),"")</f>
        <v/>
      </c>
      <c r="J42" s="38">
        <v>528</v>
      </c>
      <c r="K42" s="38">
        <v>203</v>
      </c>
      <c r="L42">
        <v>758</v>
      </c>
      <c r="M42" s="38">
        <v>157</v>
      </c>
      <c r="N42" s="38">
        <v>64</v>
      </c>
      <c r="O42">
        <v>468</v>
      </c>
      <c r="P42" s="38">
        <f>2</f>
        <v>2</v>
      </c>
      <c r="Q42" s="218">
        <f t="shared" si="3"/>
        <v>936</v>
      </c>
    </row>
    <row r="43" spans="1:17" x14ac:dyDescent="0.2">
      <c r="A43" t="str">
        <f>INDEX(Prioritization!$D:$D,MATCH($B43,Prioritization!$A:$A,0))</f>
        <v>1 - Scale-up: Saturation</v>
      </c>
      <c r="B43" t="s">
        <v>315</v>
      </c>
      <c r="C43" t="s">
        <v>477</v>
      </c>
      <c r="D43" t="s">
        <v>30</v>
      </c>
      <c r="E43" t="str">
        <f t="shared" si="0"/>
        <v>Chikwawa District [U8c0so51kT6]|35-49|Female</v>
      </c>
      <c r="F43" s="38">
        <f>IF(LEFT($B43,4)="_Mil","",INDEX(Cascade!$U:$U,MATCH($E43,Cascade!$E:$E,0)))</f>
        <v>11333</v>
      </c>
      <c r="G43" s="38">
        <f>IFERROR(1/(1/INDEX(HTS!$AU:$AU,MATCH($E43,HTS!$E:$E,0))),"")</f>
        <v>17145</v>
      </c>
      <c r="H43" s="38" t="str">
        <f>IF(OR($C43="15-24",$C43="25-34"),IFERROR(1/(1/SUM(SUMIFS(AGYW!$S:$S,AGYW!$B:$B,$B43,AGYW!$C:$C,IF($C43="15-24",{"15-19","20-24"},{"25-29"}),AGYW!$D:$D,$D43))),""),"")</f>
        <v/>
      </c>
      <c r="I43" s="38" t="str">
        <f>IF(OR($C43="15-24",$C43="25-34"),IFERROR(1/(1/SUM(SUMIFS(AGYW!$T:$T,AGYW!$B:$B,$B43,AGYW!$C:$C,IF($C43="15-24",{"15-19","20-24"},{"25-29"}),AGYW!$D:$D,$D43))),""),"")</f>
        <v/>
      </c>
      <c r="J43" s="38">
        <v>315</v>
      </c>
      <c r="K43" s="38">
        <v>328</v>
      </c>
      <c r="L43">
        <v>452</v>
      </c>
      <c r="M43" s="38">
        <v>85</v>
      </c>
      <c r="N43" s="38">
        <v>117</v>
      </c>
      <c r="O43">
        <v>253</v>
      </c>
      <c r="P43" s="38">
        <f>2</f>
        <v>2</v>
      </c>
      <c r="Q43" s="218">
        <f t="shared" si="3"/>
        <v>506</v>
      </c>
    </row>
    <row r="44" spans="1:17" hidden="1" x14ac:dyDescent="0.2">
      <c r="A44" t="str">
        <f>INDEX(Prioritization!$D:$D,MATCH($B44,Prioritization!$A:$A,0))</f>
        <v>1 - Scale-up: Saturation</v>
      </c>
      <c r="B44" t="s">
        <v>315</v>
      </c>
      <c r="C44" t="s">
        <v>477</v>
      </c>
      <c r="D44" t="s">
        <v>48</v>
      </c>
      <c r="E44" t="str">
        <f t="shared" si="0"/>
        <v>Chikwawa District [U8c0so51kT6]|35-49|Male</v>
      </c>
      <c r="F44" s="38">
        <f>IF(LEFT($B44,4)="_Mil","",INDEX(Cascade!$U:$U,MATCH($E44,Cascade!$E:$E,0)))</f>
        <v>6287</v>
      </c>
      <c r="G44" s="38">
        <f>IFERROR(1/(1/INDEX(HTS!$AU:$AU,MATCH($E44,HTS!$E:$E,0))),"")</f>
        <v>18131</v>
      </c>
      <c r="H44" s="38" t="str">
        <f>IF(OR($C44="15-24",$C44="25-34"),IFERROR(1/(1/SUM(SUMIFS(AGYW!$S:$S,AGYW!$B:$B,$B44,AGYW!$C:$C,IF($C44="15-24",{"15-19","20-24"},{"25-29"}),AGYW!$D:$D,$D44))),""),"")</f>
        <v/>
      </c>
      <c r="I44" s="38" t="str">
        <f>IF(OR($C44="15-24",$C44="25-34"),IFERROR(1/(1/SUM(SUMIFS(AGYW!$T:$T,AGYW!$B:$B,$B44,AGYW!$C:$C,IF($C44="15-24",{"15-19","20-24"},{"25-29"}),AGYW!$D:$D,$D44))),""),"")</f>
        <v/>
      </c>
      <c r="J44" s="38">
        <v>371</v>
      </c>
      <c r="K44" s="38">
        <v>206</v>
      </c>
      <c r="L44">
        <v>533</v>
      </c>
      <c r="M44" s="38">
        <v>50</v>
      </c>
      <c r="N44" s="38">
        <v>65</v>
      </c>
      <c r="O44">
        <v>149</v>
      </c>
      <c r="P44" s="38">
        <f>2</f>
        <v>2</v>
      </c>
      <c r="Q44" s="218">
        <f t="shared" si="3"/>
        <v>298</v>
      </c>
    </row>
    <row r="45" spans="1:17" x14ac:dyDescent="0.2">
      <c r="A45" t="str">
        <f>INDEX(Prioritization!$D:$D,MATCH($B45,Prioritization!$A:$A,0))</f>
        <v>1 - Scale-up: Saturation</v>
      </c>
      <c r="B45" t="s">
        <v>315</v>
      </c>
      <c r="C45" t="s">
        <v>478</v>
      </c>
      <c r="D45" t="s">
        <v>30</v>
      </c>
      <c r="E45" t="str">
        <f t="shared" si="0"/>
        <v>Chikwawa District [U8c0so51kT6]|50+|Female</v>
      </c>
      <c r="F45" s="38">
        <f>IF(LEFT($B45,4)="_Mil","",INDEX(Cascade!$U:$U,MATCH($E45,Cascade!$E:$E,0)))</f>
        <v>5311</v>
      </c>
      <c r="G45" s="38">
        <f>IFERROR(1/(1/INDEX(HTS!$AU:$AU,MATCH($E45,HTS!$E:$E,0))),"")</f>
        <v>5833</v>
      </c>
      <c r="H45" s="38" t="str">
        <f>IF(OR($C45="15-24",$C45="25-34"),IFERROR(1/(1/SUM(SUMIFS(AGYW!$S:$S,AGYW!$B:$B,$B45,AGYW!$C:$C,IF($C45="15-24",{"15-19","20-24"},{"25-29"}),AGYW!$D:$D,$D45))),""),"")</f>
        <v/>
      </c>
      <c r="I45" s="38" t="str">
        <f>IF(OR($C45="15-24",$C45="25-34"),IFERROR(1/(1/SUM(SUMIFS(AGYW!$T:$T,AGYW!$B:$B,$B45,AGYW!$C:$C,IF($C45="15-24",{"15-19","20-24"},{"25-29"}),AGYW!$D:$D,$D45))),""),"")</f>
        <v/>
      </c>
      <c r="J45" s="38">
        <v>34</v>
      </c>
      <c r="K45" s="38">
        <v>42</v>
      </c>
      <c r="L45">
        <v>49</v>
      </c>
      <c r="M45" s="38">
        <v>12</v>
      </c>
      <c r="N45" s="38">
        <v>26</v>
      </c>
      <c r="O45">
        <v>36</v>
      </c>
      <c r="P45" s="38">
        <f>2</f>
        <v>2</v>
      </c>
      <c r="Q45" s="218">
        <f t="shared" si="3"/>
        <v>72</v>
      </c>
    </row>
    <row r="46" spans="1:17" hidden="1" x14ac:dyDescent="0.2">
      <c r="A46" t="str">
        <f>INDEX(Prioritization!$D:$D,MATCH($B46,Prioritization!$A:$A,0))</f>
        <v>1 - Scale-up: Saturation</v>
      </c>
      <c r="B46" t="s">
        <v>315</v>
      </c>
      <c r="C46" t="s">
        <v>478</v>
      </c>
      <c r="D46" t="s">
        <v>48</v>
      </c>
      <c r="E46" t="str">
        <f t="shared" si="0"/>
        <v>Chikwawa District [U8c0so51kT6]|50+|Male</v>
      </c>
      <c r="F46" s="38">
        <f>IF(LEFT($B46,4)="_Mil","",INDEX(Cascade!$U:$U,MATCH($E46,Cascade!$E:$E,0)))</f>
        <v>4629</v>
      </c>
      <c r="G46" s="38">
        <f>IFERROR(1/(1/INDEX(HTS!$AU:$AU,MATCH($E46,HTS!$E:$E,0))),"")</f>
        <v>6246.0000000000009</v>
      </c>
      <c r="H46" s="38" t="str">
        <f>IF(OR($C46="15-24",$C46="25-34"),IFERROR(1/(1/SUM(SUMIFS(AGYW!$S:$S,AGYW!$B:$B,$B46,AGYW!$C:$C,IF($C46="15-24",{"15-19","20-24"},{"25-29"}),AGYW!$D:$D,$D46))),""),"")</f>
        <v/>
      </c>
      <c r="I46" s="38" t="str">
        <f>IF(OR($C46="15-24",$C46="25-34"),IFERROR(1/(1/SUM(SUMIFS(AGYW!$T:$T,AGYW!$B:$B,$B46,AGYW!$C:$C,IF($C46="15-24",{"15-19","20-24"},{"25-29"}),AGYW!$D:$D,$D46))),""),"")</f>
        <v/>
      </c>
      <c r="J46" s="38">
        <v>86</v>
      </c>
      <c r="K46" s="38">
        <v>162</v>
      </c>
      <c r="L46">
        <v>123</v>
      </c>
      <c r="M46" s="38">
        <v>28</v>
      </c>
      <c r="N46" s="38">
        <v>51</v>
      </c>
      <c r="O46">
        <v>83</v>
      </c>
      <c r="P46" s="38">
        <f>2</f>
        <v>2</v>
      </c>
      <c r="Q46" s="218">
        <f t="shared" si="3"/>
        <v>166</v>
      </c>
    </row>
    <row r="47" spans="1:17" x14ac:dyDescent="0.2">
      <c r="A47" t="str">
        <f>INDEX(Prioritization!$D:$D,MATCH($B47,Prioritization!$A:$A,0))</f>
        <v>INVALID</v>
      </c>
      <c r="B47" t="s">
        <v>316</v>
      </c>
      <c r="C47" t="s">
        <v>475</v>
      </c>
      <c r="D47" t="s">
        <v>30</v>
      </c>
      <c r="E47" t="str">
        <f t="shared" si="0"/>
        <v>Chiradzulu District [oiPR2CiVJbf]|15-24|Female</v>
      </c>
      <c r="F47" s="38">
        <f>IF(LEFT($B47,4)="_Mil","",INDEX(Cascade!$U:$U,MATCH($E47,Cascade!$E:$E,0)))</f>
        <v>1882</v>
      </c>
      <c r="G47" s="38">
        <f>IFERROR(1/(1/INDEX(HTS!$AU:$AU,MATCH($E47,HTS!$E:$E,0))),"")</f>
        <v>18863</v>
      </c>
      <c r="H47" s="38">
        <f>IF(OR($C47="15-24",$C47="25-34"),IFERROR(1/(1/SUM(SUMIFS(AGYW!$S:$S,AGYW!$B:$B,$B47,AGYW!$C:$C,IF($C47="15-24",{"15-19","20-24"},{"25-29"}),AGYW!$D:$D,$D47))),""),"")</f>
        <v>-10</v>
      </c>
      <c r="I47" s="38">
        <f>IF(OR($C47="15-24",$C47="25-34"),IFERROR(1/(1/SUM(SUMIFS(AGYW!$T:$T,AGYW!$B:$B,$B47,AGYW!$C:$C,IF($C47="15-24",{"15-19","20-24"},{"25-29"}),AGYW!$D:$D,$D47))),""),"")</f>
        <v>1</v>
      </c>
      <c r="J47" s="38">
        <v>2260</v>
      </c>
      <c r="K47" s="38">
        <v>886</v>
      </c>
      <c r="L47">
        <v>3245</v>
      </c>
      <c r="M47" s="38">
        <v>31</v>
      </c>
      <c r="N47" s="38">
        <v>524</v>
      </c>
      <c r="O47">
        <v>92</v>
      </c>
      <c r="P47" s="38">
        <f>2</f>
        <v>2</v>
      </c>
      <c r="Q47" s="218">
        <f t="shared" si="3"/>
        <v>184</v>
      </c>
    </row>
    <row r="48" spans="1:17" hidden="1" x14ac:dyDescent="0.2">
      <c r="A48" t="str">
        <f>INDEX(Prioritization!$D:$D,MATCH($B48,Prioritization!$A:$A,0))</f>
        <v>INVALID</v>
      </c>
      <c r="B48" t="s">
        <v>316</v>
      </c>
      <c r="C48" t="s">
        <v>475</v>
      </c>
      <c r="D48" t="s">
        <v>48</v>
      </c>
      <c r="E48" t="str">
        <f t="shared" si="0"/>
        <v>Chiradzulu District [oiPR2CiVJbf]|15-24|Male</v>
      </c>
      <c r="F48" s="38">
        <f>IF(LEFT($B48,4)="_Mil","",INDEX(Cascade!$U:$U,MATCH($E48,Cascade!$E:$E,0)))</f>
        <v>1375</v>
      </c>
      <c r="G48" s="38">
        <f>IFERROR(1/(1/INDEX(HTS!$AU:$AU,MATCH($E48,HTS!$E:$E,0))),"")</f>
        <v>9407</v>
      </c>
      <c r="H48" s="38" t="str">
        <f>IF(OR($C48="15-24",$C48="25-34"),IFERROR(1/(1/SUM(SUMIFS(AGYW!$S:$S,AGYW!$B:$B,$B48,AGYW!$C:$C,IF($C48="15-24",{"15-19","20-24"},{"25-29"}),AGYW!$D:$D,$D48))),""),"")</f>
        <v/>
      </c>
      <c r="I48" s="38" t="str">
        <f>IF(OR($C48="15-24",$C48="25-34"),IFERROR(1/(1/SUM(SUMIFS(AGYW!$T:$T,AGYW!$B:$B,$B48,AGYW!$C:$C,IF($C48="15-24",{"15-19","20-24"},{"25-29"}),AGYW!$D:$D,$D48))),""),"")</f>
        <v/>
      </c>
      <c r="J48" s="38">
        <v>380</v>
      </c>
      <c r="K48" s="38">
        <v>70</v>
      </c>
      <c r="L48">
        <v>546</v>
      </c>
      <c r="M48" s="38">
        <v>16</v>
      </c>
      <c r="N48" s="38">
        <v>22</v>
      </c>
      <c r="O48">
        <v>48</v>
      </c>
      <c r="P48" s="38">
        <f>2</f>
        <v>2</v>
      </c>
      <c r="Q48" s="218">
        <f t="shared" si="3"/>
        <v>96</v>
      </c>
    </row>
    <row r="49" spans="1:17" x14ac:dyDescent="0.2">
      <c r="A49" t="str">
        <f>INDEX(Prioritization!$D:$D,MATCH($B49,Prioritization!$A:$A,0))</f>
        <v>INVALID</v>
      </c>
      <c r="B49" t="s">
        <v>316</v>
      </c>
      <c r="C49" t="s">
        <v>476</v>
      </c>
      <c r="D49" t="s">
        <v>30</v>
      </c>
      <c r="E49" t="str">
        <f t="shared" si="0"/>
        <v>Chiradzulu District [oiPR2CiVJbf]|25-34|Female</v>
      </c>
      <c r="F49" s="38">
        <f>IF(LEFT($B49,4)="_Mil","",INDEX(Cascade!$U:$U,MATCH($E49,Cascade!$E:$E,0)))</f>
        <v>4735</v>
      </c>
      <c r="G49" s="38">
        <f>IFERROR(1/(1/INDEX(HTS!$AU:$AU,MATCH($E49,HTS!$E:$E,0))),"")</f>
        <v>19558</v>
      </c>
      <c r="H49" s="38">
        <f>IF(OR($C49="15-24",$C49="25-34"),IFERROR(1/(1/SUM(SUMIFS(AGYW!$S:$S,AGYW!$B:$B,$B49,AGYW!$C:$C,IF($C49="15-24",{"15-19","20-24"},{"25-29"}),AGYW!$D:$D,$D49))),""),"")</f>
        <v>-10</v>
      </c>
      <c r="I49" s="38">
        <f>IF(OR($C49="15-24",$C49="25-34"),IFERROR(1/(1/SUM(SUMIFS(AGYW!$T:$T,AGYW!$B:$B,$B49,AGYW!$C:$C,IF($C49="15-24",{"15-19","20-24"},{"25-29"}),AGYW!$D:$D,$D49))),""),"")</f>
        <v>-9</v>
      </c>
      <c r="J49" s="38">
        <v>315</v>
      </c>
      <c r="K49" s="38">
        <v>738</v>
      </c>
      <c r="L49">
        <v>452</v>
      </c>
      <c r="M49" s="38">
        <v>87</v>
      </c>
      <c r="N49" s="38">
        <v>411</v>
      </c>
      <c r="O49">
        <v>259</v>
      </c>
      <c r="P49" s="38">
        <f>2</f>
        <v>2</v>
      </c>
      <c r="Q49" s="218">
        <f t="shared" si="3"/>
        <v>518</v>
      </c>
    </row>
    <row r="50" spans="1:17" hidden="1" x14ac:dyDescent="0.2">
      <c r="A50" t="str">
        <f>INDEX(Prioritization!$D:$D,MATCH($B50,Prioritization!$A:$A,0))</f>
        <v>INVALID</v>
      </c>
      <c r="B50" t="s">
        <v>316</v>
      </c>
      <c r="C50" t="s">
        <v>476</v>
      </c>
      <c r="D50" t="s">
        <v>48</v>
      </c>
      <c r="E50" t="str">
        <f t="shared" si="0"/>
        <v>Chiradzulu District [oiPR2CiVJbf]|25-34|Male</v>
      </c>
      <c r="F50" s="38">
        <f>IF(LEFT($B50,4)="_Mil","",INDEX(Cascade!$U:$U,MATCH($E50,Cascade!$E:$E,0)))</f>
        <v>1849</v>
      </c>
      <c r="G50" s="38">
        <f>IFERROR(1/(1/INDEX(HTS!$AU:$AU,MATCH($E50,HTS!$E:$E,0))),"")</f>
        <v>3990</v>
      </c>
      <c r="H50" s="38" t="str">
        <f>IF(OR($C50="15-24",$C50="25-34"),IFERROR(1/(1/SUM(SUMIFS(AGYW!$S:$S,AGYW!$B:$B,$B50,AGYW!$C:$C,IF($C50="15-24",{"15-19","20-24"},{"25-29"}),AGYW!$D:$D,$D50))),""),"")</f>
        <v/>
      </c>
      <c r="I50" s="38" t="str">
        <f>IF(OR($C50="15-24",$C50="25-34"),IFERROR(1/(1/SUM(SUMIFS(AGYW!$T:$T,AGYW!$B:$B,$B50,AGYW!$C:$C,IF($C50="15-24",{"15-19","20-24"},{"25-29"}),AGYW!$D:$D,$D50))),""),"")</f>
        <v/>
      </c>
      <c r="J50" s="38">
        <v>285</v>
      </c>
      <c r="K50" s="38">
        <v>134</v>
      </c>
      <c r="L50">
        <v>409</v>
      </c>
      <c r="M50" s="38">
        <v>86</v>
      </c>
      <c r="N50" s="38">
        <v>42</v>
      </c>
      <c r="O50">
        <v>256</v>
      </c>
      <c r="P50" s="38">
        <f>2</f>
        <v>2</v>
      </c>
      <c r="Q50" s="218">
        <f t="shared" si="3"/>
        <v>512</v>
      </c>
    </row>
    <row r="51" spans="1:17" x14ac:dyDescent="0.2">
      <c r="A51" t="str">
        <f>INDEX(Prioritization!$D:$D,MATCH($B51,Prioritization!$A:$A,0))</f>
        <v>INVALID</v>
      </c>
      <c r="B51" t="s">
        <v>316</v>
      </c>
      <c r="C51" t="s">
        <v>477</v>
      </c>
      <c r="D51" t="s">
        <v>30</v>
      </c>
      <c r="E51" t="str">
        <f t="shared" si="0"/>
        <v>Chiradzulu District [oiPR2CiVJbf]|35-49|Female</v>
      </c>
      <c r="F51" s="38">
        <f>IF(LEFT($B51,4)="_Mil","",INDEX(Cascade!$U:$U,MATCH($E51,Cascade!$E:$E,0)))</f>
        <v>11832</v>
      </c>
      <c r="G51" s="38">
        <f>IFERROR(1/(1/INDEX(HTS!$AU:$AU,MATCH($E51,HTS!$E:$E,0))),"")</f>
        <v>7196</v>
      </c>
      <c r="H51" s="38" t="str">
        <f>IF(OR($C51="15-24",$C51="25-34"),IFERROR(1/(1/SUM(SUMIFS(AGYW!$S:$S,AGYW!$B:$B,$B51,AGYW!$C:$C,IF($C51="15-24",{"15-19","20-24"},{"25-29"}),AGYW!$D:$D,$D51))),""),"")</f>
        <v/>
      </c>
      <c r="I51" s="38" t="str">
        <f>IF(OR($C51="15-24",$C51="25-34"),IFERROR(1/(1/SUM(SUMIFS(AGYW!$T:$T,AGYW!$B:$B,$B51,AGYW!$C:$C,IF($C51="15-24",{"15-19","20-24"},{"25-29"}),AGYW!$D:$D,$D51))),""),"")</f>
        <v/>
      </c>
      <c r="J51" s="38">
        <v>159</v>
      </c>
      <c r="K51" s="38">
        <v>217</v>
      </c>
      <c r="L51">
        <v>228</v>
      </c>
      <c r="M51" s="38">
        <v>32</v>
      </c>
      <c r="N51" s="38">
        <v>77</v>
      </c>
      <c r="O51">
        <v>95</v>
      </c>
      <c r="P51" s="38">
        <f>2</f>
        <v>2</v>
      </c>
      <c r="Q51" s="218">
        <f t="shared" si="3"/>
        <v>190</v>
      </c>
    </row>
    <row r="52" spans="1:17" hidden="1" x14ac:dyDescent="0.2">
      <c r="A52" t="str">
        <f>INDEX(Prioritization!$D:$D,MATCH($B52,Prioritization!$A:$A,0))</f>
        <v>INVALID</v>
      </c>
      <c r="B52" t="s">
        <v>316</v>
      </c>
      <c r="C52" t="s">
        <v>477</v>
      </c>
      <c r="D52" t="s">
        <v>48</v>
      </c>
      <c r="E52" t="str">
        <f t="shared" si="0"/>
        <v>Chiradzulu District [oiPR2CiVJbf]|35-49|Male</v>
      </c>
      <c r="F52" s="38">
        <f>IF(LEFT($B52,4)="_Mil","",INDEX(Cascade!$U:$U,MATCH($E52,Cascade!$E:$E,0)))</f>
        <v>6138</v>
      </c>
      <c r="G52" s="38">
        <f>IFERROR(1/(1/INDEX(HTS!$AU:$AU,MATCH($E52,HTS!$E:$E,0))),"")</f>
        <v>8137.0000000000009</v>
      </c>
      <c r="H52" s="38" t="str">
        <f>IF(OR($C52="15-24",$C52="25-34"),IFERROR(1/(1/SUM(SUMIFS(AGYW!$S:$S,AGYW!$B:$B,$B52,AGYW!$C:$C,IF($C52="15-24",{"15-19","20-24"},{"25-29"}),AGYW!$D:$D,$D52))),""),"")</f>
        <v/>
      </c>
      <c r="I52" s="38" t="str">
        <f>IF(OR($C52="15-24",$C52="25-34"),IFERROR(1/(1/SUM(SUMIFS(AGYW!$T:$T,AGYW!$B:$B,$B52,AGYW!$C:$C,IF($C52="15-24",{"15-19","20-24"},{"25-29"}),AGYW!$D:$D,$D52))),""),"")</f>
        <v/>
      </c>
      <c r="J52" s="38">
        <v>129</v>
      </c>
      <c r="K52" s="38">
        <v>136</v>
      </c>
      <c r="L52">
        <v>185</v>
      </c>
      <c r="M52" s="38">
        <v>21</v>
      </c>
      <c r="N52" s="38">
        <v>43</v>
      </c>
      <c r="O52">
        <v>63</v>
      </c>
      <c r="P52" s="38">
        <f>2</f>
        <v>2</v>
      </c>
      <c r="Q52" s="218">
        <f t="shared" si="3"/>
        <v>126</v>
      </c>
    </row>
    <row r="53" spans="1:17" x14ac:dyDescent="0.2">
      <c r="A53" t="str">
        <f>INDEX(Prioritization!$D:$D,MATCH($B53,Prioritization!$A:$A,0))</f>
        <v>INVALID</v>
      </c>
      <c r="B53" t="s">
        <v>316</v>
      </c>
      <c r="C53" t="s">
        <v>478</v>
      </c>
      <c r="D53" t="s">
        <v>30</v>
      </c>
      <c r="E53" t="str">
        <f t="shared" si="0"/>
        <v>Chiradzulu District [oiPR2CiVJbf]|50+|Female</v>
      </c>
      <c r="F53" s="38">
        <f>IF(LEFT($B53,4)="_Mil","",INDEX(Cascade!$U:$U,MATCH($E53,Cascade!$E:$E,0)))</f>
        <v>6351</v>
      </c>
      <c r="G53" s="38">
        <f>IFERROR(1/(1/INDEX(HTS!$AU:$AU,MATCH($E53,HTS!$E:$E,0))),"")</f>
        <v>3887.9999999999995</v>
      </c>
      <c r="H53" s="38" t="str">
        <f>IF(OR($C53="15-24",$C53="25-34"),IFERROR(1/(1/SUM(SUMIFS(AGYW!$S:$S,AGYW!$B:$B,$B53,AGYW!$C:$C,IF($C53="15-24",{"15-19","20-24"},{"25-29"}),AGYW!$D:$D,$D53))),""),"")</f>
        <v/>
      </c>
      <c r="I53" s="38" t="str">
        <f>IF(OR($C53="15-24",$C53="25-34"),IFERROR(1/(1/SUM(SUMIFS(AGYW!$T:$T,AGYW!$B:$B,$B53,AGYW!$C:$C,IF($C53="15-24",{"15-19","20-24"},{"25-29"}),AGYW!$D:$D,$D53))),""),"")</f>
        <v/>
      </c>
      <c r="J53" s="38">
        <v>18</v>
      </c>
      <c r="K53" s="38">
        <v>28</v>
      </c>
      <c r="L53">
        <v>26</v>
      </c>
      <c r="M53" s="38">
        <v>6</v>
      </c>
      <c r="N53" s="38">
        <v>17</v>
      </c>
      <c r="O53">
        <v>18</v>
      </c>
      <c r="P53" s="38">
        <f>2</f>
        <v>2</v>
      </c>
      <c r="Q53" s="218">
        <f t="shared" si="3"/>
        <v>36</v>
      </c>
    </row>
    <row r="54" spans="1:17" hidden="1" x14ac:dyDescent="0.2">
      <c r="A54" t="str">
        <f>INDEX(Prioritization!$D:$D,MATCH($B54,Prioritization!$A:$A,0))</f>
        <v>INVALID</v>
      </c>
      <c r="B54" t="s">
        <v>316</v>
      </c>
      <c r="C54" t="s">
        <v>478</v>
      </c>
      <c r="D54" t="s">
        <v>48</v>
      </c>
      <c r="E54" t="str">
        <f t="shared" si="0"/>
        <v>Chiradzulu District [oiPR2CiVJbf]|50+|Male</v>
      </c>
      <c r="F54" s="38">
        <f>IF(LEFT($B54,4)="_Mil","",INDEX(Cascade!$U:$U,MATCH($E54,Cascade!$E:$E,0)))</f>
        <v>4510</v>
      </c>
      <c r="G54" s="38">
        <f>IFERROR(1/(1/INDEX(HTS!$AU:$AU,MATCH($E54,HTS!$E:$E,0))),"")</f>
        <v>2359</v>
      </c>
      <c r="H54" s="38" t="str">
        <f>IF(OR($C54="15-24",$C54="25-34"),IFERROR(1/(1/SUM(SUMIFS(AGYW!$S:$S,AGYW!$B:$B,$B54,AGYW!$C:$C,IF($C54="15-24",{"15-19","20-24"},{"25-29"}),AGYW!$D:$D,$D54))),""),"")</f>
        <v/>
      </c>
      <c r="I54" s="38" t="str">
        <f>IF(OR($C54="15-24",$C54="25-34"),IFERROR(1/(1/SUM(SUMIFS(AGYW!$T:$T,AGYW!$B:$B,$B54,AGYW!$C:$C,IF($C54="15-24",{"15-19","20-24"},{"25-29"}),AGYW!$D:$D,$D54))),""),"")</f>
        <v/>
      </c>
      <c r="J54" s="38">
        <v>23</v>
      </c>
      <c r="K54" s="38">
        <v>107</v>
      </c>
      <c r="L54">
        <v>33</v>
      </c>
      <c r="M54" s="38">
        <v>7</v>
      </c>
      <c r="N54" s="38">
        <v>33</v>
      </c>
      <c r="O54">
        <v>21</v>
      </c>
      <c r="P54" s="38">
        <f>2</f>
        <v>2</v>
      </c>
      <c r="Q54" s="218">
        <f t="shared" si="3"/>
        <v>42</v>
      </c>
    </row>
    <row r="55" spans="1:17" x14ac:dyDescent="0.2">
      <c r="A55" t="str">
        <f>INDEX(Prioritization!$D:$D,MATCH($B55,Prioritization!$A:$A,0))</f>
        <v>4 - Sustained</v>
      </c>
      <c r="B55" t="s">
        <v>307</v>
      </c>
      <c r="C55" t="s">
        <v>475</v>
      </c>
      <c r="D55" t="s">
        <v>30</v>
      </c>
      <c r="E55" t="str">
        <f t="shared" si="0"/>
        <v>Chitipa District [GkIwZrXy1h2]|15-24|Female</v>
      </c>
      <c r="F55" s="38">
        <f>IF(LEFT($B55,4)="_Mil","",INDEX(Cascade!$U:$U,MATCH($E55,Cascade!$E:$E,0)))</f>
        <v>257</v>
      </c>
      <c r="G55" s="38">
        <f>IFERROR(1/(1/INDEX(HTS!$AU:$AU,MATCH($E55,HTS!$E:$E,0))),"")</f>
        <v>1759</v>
      </c>
      <c r="H55" s="38" t="str">
        <f>IF(OR($C55="15-24",$C55="25-34"),IFERROR(1/(1/SUM(SUMIFS(AGYW!$S:$S,AGYW!$B:$B,$B55,AGYW!$C:$C,IF($C55="15-24",{"15-19","20-24"},{"25-29"}),AGYW!$D:$D,$D55))),""),"")</f>
        <v/>
      </c>
      <c r="I55" s="38" t="str">
        <f>IF(OR($C55="15-24",$C55="25-34"),IFERROR(1/(1/SUM(SUMIFS(AGYW!$T:$T,AGYW!$B:$B,$B55,AGYW!$C:$C,IF($C55="15-24",{"15-19","20-24"},{"25-29"}),AGYW!$D:$D,$D55))),""),"")</f>
        <v/>
      </c>
      <c r="J55" s="38">
        <v>56</v>
      </c>
      <c r="K55" s="38">
        <v>95</v>
      </c>
      <c r="L55">
        <v>80</v>
      </c>
      <c r="M55" s="38">
        <v>4</v>
      </c>
      <c r="N55" s="38">
        <v>28</v>
      </c>
      <c r="O55">
        <v>12</v>
      </c>
      <c r="P55" s="38">
        <f>2</f>
        <v>2</v>
      </c>
      <c r="Q55" s="218">
        <f t="shared" si="3"/>
        <v>24</v>
      </c>
    </row>
    <row r="56" spans="1:17" hidden="1" x14ac:dyDescent="0.2">
      <c r="A56" t="str">
        <f>INDEX(Prioritization!$D:$D,MATCH($B56,Prioritization!$A:$A,0))</f>
        <v>4 - Sustained</v>
      </c>
      <c r="B56" t="s">
        <v>307</v>
      </c>
      <c r="C56" t="s">
        <v>475</v>
      </c>
      <c r="D56" t="s">
        <v>48</v>
      </c>
      <c r="E56" t="str">
        <f t="shared" si="0"/>
        <v>Chitipa District [GkIwZrXy1h2]|15-24|Male</v>
      </c>
      <c r="F56" s="38">
        <f>IF(LEFT($B56,4)="_Mil","",INDEX(Cascade!$U:$U,MATCH($E56,Cascade!$E:$E,0)))</f>
        <v>195</v>
      </c>
      <c r="G56" s="38">
        <f>IFERROR(1/(1/INDEX(HTS!$AU:$AU,MATCH($E56,HTS!$E:$E,0))),"")</f>
        <v>235</v>
      </c>
      <c r="H56" s="38" t="str">
        <f>IF(OR($C56="15-24",$C56="25-34"),IFERROR(1/(1/SUM(SUMIFS(AGYW!$S:$S,AGYW!$B:$B,$B56,AGYW!$C:$C,IF($C56="15-24",{"15-19","20-24"},{"25-29"}),AGYW!$D:$D,$D56))),""),"")</f>
        <v/>
      </c>
      <c r="I56" s="38" t="str">
        <f>IF(OR($C56="15-24",$C56="25-34"),IFERROR(1/(1/SUM(SUMIFS(AGYW!$T:$T,AGYW!$B:$B,$B56,AGYW!$C:$C,IF($C56="15-24",{"15-19","20-24"},{"25-29"}),AGYW!$D:$D,$D56))),""),"")</f>
        <v/>
      </c>
      <c r="J56" s="38">
        <v>40</v>
      </c>
      <c r="K56" s="38">
        <v>34</v>
      </c>
      <c r="L56">
        <v>57</v>
      </c>
      <c r="M56" s="38">
        <v>1</v>
      </c>
      <c r="N56" s="38">
        <v>10</v>
      </c>
      <c r="O56">
        <v>3</v>
      </c>
      <c r="P56" s="38">
        <f>2</f>
        <v>2</v>
      </c>
      <c r="Q56" s="218">
        <f t="shared" si="3"/>
        <v>6</v>
      </c>
    </row>
    <row r="57" spans="1:17" x14ac:dyDescent="0.2">
      <c r="A57" t="str">
        <f>INDEX(Prioritization!$D:$D,MATCH($B57,Prioritization!$A:$A,0))</f>
        <v>4 - Sustained</v>
      </c>
      <c r="B57" t="s">
        <v>307</v>
      </c>
      <c r="C57" t="s">
        <v>476</v>
      </c>
      <c r="D57" t="s">
        <v>30</v>
      </c>
      <c r="E57" t="str">
        <f t="shared" si="0"/>
        <v>Chitipa District [GkIwZrXy1h2]|25-34|Female</v>
      </c>
      <c r="F57" s="38">
        <f>IF(LEFT($B57,4)="_Mil","",INDEX(Cascade!$U:$U,MATCH($E57,Cascade!$E:$E,0)))</f>
        <v>629</v>
      </c>
      <c r="G57" s="38">
        <f>IFERROR(1/(1/INDEX(HTS!$AU:$AU,MATCH($E57,HTS!$E:$E,0))),"")</f>
        <v>3843.9999999999995</v>
      </c>
      <c r="H57" s="38" t="str">
        <f>IF(OR($C57="15-24",$C57="25-34"),IFERROR(1/(1/SUM(SUMIFS(AGYW!$S:$S,AGYW!$B:$B,$B57,AGYW!$C:$C,IF($C57="15-24",{"15-19","20-24"},{"25-29"}),AGYW!$D:$D,$D57))),""),"")</f>
        <v/>
      </c>
      <c r="I57" s="38" t="str">
        <f>IF(OR($C57="15-24",$C57="25-34"),IFERROR(1/(1/SUM(SUMIFS(AGYW!$T:$T,AGYW!$B:$B,$B57,AGYW!$C:$C,IF($C57="15-24",{"15-19","20-24"},{"25-29"}),AGYW!$D:$D,$D57))),""),"")</f>
        <v/>
      </c>
      <c r="J57" s="38">
        <v>50</v>
      </c>
      <c r="K57" s="38">
        <v>125</v>
      </c>
      <c r="L57">
        <v>72</v>
      </c>
      <c r="M57" s="38">
        <v>4</v>
      </c>
      <c r="N57" s="38">
        <v>36</v>
      </c>
      <c r="O57">
        <v>12</v>
      </c>
      <c r="P57" s="38">
        <f>2</f>
        <v>2</v>
      </c>
      <c r="Q57" s="218">
        <f t="shared" si="3"/>
        <v>24</v>
      </c>
    </row>
    <row r="58" spans="1:17" hidden="1" x14ac:dyDescent="0.2">
      <c r="A58" t="str">
        <f>INDEX(Prioritization!$D:$D,MATCH($B58,Prioritization!$A:$A,0))</f>
        <v>4 - Sustained</v>
      </c>
      <c r="B58" t="s">
        <v>307</v>
      </c>
      <c r="C58" t="s">
        <v>476</v>
      </c>
      <c r="D58" t="s">
        <v>48</v>
      </c>
      <c r="E58" t="str">
        <f t="shared" si="0"/>
        <v>Chitipa District [GkIwZrXy1h2]|25-34|Male</v>
      </c>
      <c r="F58" s="38">
        <f>IF(LEFT($B58,4)="_Mil","",INDEX(Cascade!$U:$U,MATCH($E58,Cascade!$E:$E,0)))</f>
        <v>260</v>
      </c>
      <c r="G58" s="38">
        <f>IFERROR(1/(1/INDEX(HTS!$AU:$AU,MATCH($E58,HTS!$E:$E,0))),"")</f>
        <v>116.99999999999999</v>
      </c>
      <c r="H58" s="38" t="str">
        <f>IF(OR($C58="15-24",$C58="25-34"),IFERROR(1/(1/SUM(SUMIFS(AGYW!$S:$S,AGYW!$B:$B,$B58,AGYW!$C:$C,IF($C58="15-24",{"15-19","20-24"},{"25-29"}),AGYW!$D:$D,$D58))),""),"")</f>
        <v/>
      </c>
      <c r="I58" s="38" t="str">
        <f>IF(OR($C58="15-24",$C58="25-34"),IFERROR(1/(1/SUM(SUMIFS(AGYW!$T:$T,AGYW!$B:$B,$B58,AGYW!$C:$C,IF($C58="15-24",{"15-19","20-24"},{"25-29"}),AGYW!$D:$D,$D58))),""),"")</f>
        <v/>
      </c>
      <c r="J58" s="38">
        <v>73</v>
      </c>
      <c r="K58" s="38">
        <v>66</v>
      </c>
      <c r="L58">
        <v>105</v>
      </c>
      <c r="M58" s="38">
        <v>4</v>
      </c>
      <c r="N58" s="38">
        <v>19</v>
      </c>
      <c r="O58">
        <v>12</v>
      </c>
      <c r="P58" s="38">
        <f>2</f>
        <v>2</v>
      </c>
      <c r="Q58" s="218">
        <f t="shared" si="3"/>
        <v>24</v>
      </c>
    </row>
    <row r="59" spans="1:17" x14ac:dyDescent="0.2">
      <c r="A59" t="str">
        <f>INDEX(Prioritization!$D:$D,MATCH($B59,Prioritization!$A:$A,0))</f>
        <v>4 - Sustained</v>
      </c>
      <c r="B59" t="s">
        <v>307</v>
      </c>
      <c r="C59" t="s">
        <v>477</v>
      </c>
      <c r="D59" t="s">
        <v>30</v>
      </c>
      <c r="E59" t="str">
        <f t="shared" si="0"/>
        <v>Chitipa District [GkIwZrXy1h2]|35-49|Female</v>
      </c>
      <c r="F59" s="38">
        <f>IF(LEFT($B59,4)="_Mil","",INDEX(Cascade!$U:$U,MATCH($E59,Cascade!$E:$E,0)))</f>
        <v>1675</v>
      </c>
      <c r="G59" s="38">
        <f>IFERROR(1/(1/INDEX(HTS!$AU:$AU,MATCH($E59,HTS!$E:$E,0))),"")</f>
        <v>1060</v>
      </c>
      <c r="H59" s="38" t="str">
        <f>IF(OR($C59="15-24",$C59="25-34"),IFERROR(1/(1/SUM(SUMIFS(AGYW!$S:$S,AGYW!$B:$B,$B59,AGYW!$C:$C,IF($C59="15-24",{"15-19","20-24"},{"25-29"}),AGYW!$D:$D,$D59))),""),"")</f>
        <v/>
      </c>
      <c r="I59" s="38" t="str">
        <f>IF(OR($C59="15-24",$C59="25-34"),IFERROR(1/(1/SUM(SUMIFS(AGYW!$T:$T,AGYW!$B:$B,$B59,AGYW!$C:$C,IF($C59="15-24",{"15-19","20-24"},{"25-29"}),AGYW!$D:$D,$D59))),""),"")</f>
        <v/>
      </c>
      <c r="J59" s="38">
        <v>49</v>
      </c>
      <c r="K59" s="38">
        <v>113</v>
      </c>
      <c r="L59">
        <v>70</v>
      </c>
      <c r="M59" s="38">
        <v>10</v>
      </c>
      <c r="N59" s="38">
        <v>33</v>
      </c>
      <c r="O59">
        <v>30</v>
      </c>
      <c r="P59" s="38">
        <f>2</f>
        <v>2</v>
      </c>
      <c r="Q59" s="218">
        <f t="shared" si="3"/>
        <v>60</v>
      </c>
    </row>
    <row r="60" spans="1:17" hidden="1" x14ac:dyDescent="0.2">
      <c r="A60" t="str">
        <f>INDEX(Prioritization!$D:$D,MATCH($B60,Prioritization!$A:$A,0))</f>
        <v>4 - Sustained</v>
      </c>
      <c r="B60" t="s">
        <v>307</v>
      </c>
      <c r="C60" t="s">
        <v>477</v>
      </c>
      <c r="D60" t="s">
        <v>48</v>
      </c>
      <c r="E60" t="str">
        <f t="shared" si="0"/>
        <v>Chitipa District [GkIwZrXy1h2]|35-49|Male</v>
      </c>
      <c r="F60" s="38">
        <f>IF(LEFT($B60,4)="_Mil","",INDEX(Cascade!$U:$U,MATCH($E60,Cascade!$E:$E,0)))</f>
        <v>988</v>
      </c>
      <c r="G60" s="38">
        <f>IFERROR(1/(1/INDEX(HTS!$AU:$AU,MATCH($E60,HTS!$E:$E,0))),"")</f>
        <v>952</v>
      </c>
      <c r="H60" s="38" t="str">
        <f>IF(OR($C60="15-24",$C60="25-34"),IFERROR(1/(1/SUM(SUMIFS(AGYW!$S:$S,AGYW!$B:$B,$B60,AGYW!$C:$C,IF($C60="15-24",{"15-19","20-24"},{"25-29"}),AGYW!$D:$D,$D60))),""),"")</f>
        <v/>
      </c>
      <c r="I60" s="38" t="str">
        <f>IF(OR($C60="15-24",$C60="25-34"),IFERROR(1/(1/SUM(SUMIFS(AGYW!$T:$T,AGYW!$B:$B,$B60,AGYW!$C:$C,IF($C60="15-24",{"15-19","20-24"},{"25-29"}),AGYW!$D:$D,$D60))),""),"")</f>
        <v/>
      </c>
      <c r="J60" s="38">
        <v>37</v>
      </c>
      <c r="K60" s="38">
        <v>66</v>
      </c>
      <c r="L60">
        <v>53</v>
      </c>
      <c r="M60" s="38">
        <v>10</v>
      </c>
      <c r="N60" s="38">
        <v>19</v>
      </c>
      <c r="O60">
        <v>30</v>
      </c>
      <c r="P60" s="38">
        <f>2</f>
        <v>2</v>
      </c>
      <c r="Q60" s="218">
        <f t="shared" si="3"/>
        <v>60</v>
      </c>
    </row>
    <row r="61" spans="1:17" x14ac:dyDescent="0.2">
      <c r="A61" t="str">
        <f>INDEX(Prioritization!$D:$D,MATCH($B61,Prioritization!$A:$A,0))</f>
        <v>4 - Sustained</v>
      </c>
      <c r="B61" t="s">
        <v>307</v>
      </c>
      <c r="C61" t="s">
        <v>478</v>
      </c>
      <c r="D61" t="s">
        <v>30</v>
      </c>
      <c r="E61" t="str">
        <f t="shared" si="0"/>
        <v>Chitipa District [GkIwZrXy1h2]|50+|Female</v>
      </c>
      <c r="F61" s="38">
        <f>IF(LEFT($B61,4)="_Mil","",INDEX(Cascade!$U:$U,MATCH($E61,Cascade!$E:$E,0)))</f>
        <v>843</v>
      </c>
      <c r="G61" s="38">
        <f>IFERROR(1/(1/INDEX(HTS!$AU:$AU,MATCH($E61,HTS!$E:$E,0))),"")</f>
        <v>1088</v>
      </c>
      <c r="H61" s="38" t="str">
        <f>IF(OR($C61="15-24",$C61="25-34"),IFERROR(1/(1/SUM(SUMIFS(AGYW!$S:$S,AGYW!$B:$B,$B61,AGYW!$C:$C,IF($C61="15-24",{"15-19","20-24"},{"25-29"}),AGYW!$D:$D,$D61))),""),"")</f>
        <v/>
      </c>
      <c r="I61" s="38" t="str">
        <f>IF(OR($C61="15-24",$C61="25-34"),IFERROR(1/(1/SUM(SUMIFS(AGYW!$T:$T,AGYW!$B:$B,$B61,AGYW!$C:$C,IF($C61="15-24",{"15-19","20-24"},{"25-29"}),AGYW!$D:$D,$D61))),""),"")</f>
        <v/>
      </c>
      <c r="J61" s="38">
        <v>7</v>
      </c>
      <c r="K61" s="38">
        <v>1</v>
      </c>
      <c r="L61">
        <v>10</v>
      </c>
      <c r="M61" s="38">
        <v>2</v>
      </c>
      <c r="N61" s="38">
        <v>1</v>
      </c>
      <c r="O61">
        <v>6</v>
      </c>
      <c r="P61" s="38">
        <f>2</f>
        <v>2</v>
      </c>
      <c r="Q61" s="218">
        <f t="shared" si="3"/>
        <v>12</v>
      </c>
    </row>
    <row r="62" spans="1:17" hidden="1" x14ac:dyDescent="0.2">
      <c r="A62" t="str">
        <f>INDEX(Prioritization!$D:$D,MATCH($B62,Prioritization!$A:$A,0))</f>
        <v>4 - Sustained</v>
      </c>
      <c r="B62" t="s">
        <v>307</v>
      </c>
      <c r="C62" t="s">
        <v>478</v>
      </c>
      <c r="D62" t="s">
        <v>48</v>
      </c>
      <c r="E62" t="str">
        <f t="shared" si="0"/>
        <v>Chitipa District [GkIwZrXy1h2]|50+|Male</v>
      </c>
      <c r="F62" s="38">
        <f>IF(LEFT($B62,4)="_Mil","",INDEX(Cascade!$U:$U,MATCH($E62,Cascade!$E:$E,0)))</f>
        <v>833</v>
      </c>
      <c r="G62" s="38">
        <f>IFERROR(1/(1/INDEX(HTS!$AU:$AU,MATCH($E62,HTS!$E:$E,0))),"")</f>
        <v>576</v>
      </c>
      <c r="H62" s="38" t="str">
        <f>IF(OR($C62="15-24",$C62="25-34"),IFERROR(1/(1/SUM(SUMIFS(AGYW!$S:$S,AGYW!$B:$B,$B62,AGYW!$C:$C,IF($C62="15-24",{"15-19","20-24"},{"25-29"}),AGYW!$D:$D,$D62))),""),"")</f>
        <v/>
      </c>
      <c r="I62" s="38" t="str">
        <f>IF(OR($C62="15-24",$C62="25-34"),IFERROR(1/(1/SUM(SUMIFS(AGYW!$T:$T,AGYW!$B:$B,$B62,AGYW!$C:$C,IF($C62="15-24",{"15-19","20-24"},{"25-29"}),AGYW!$D:$D,$D62))),""),"")</f>
        <v/>
      </c>
      <c r="J62" s="38">
        <v>21</v>
      </c>
      <c r="K62" s="38">
        <v>52</v>
      </c>
      <c r="L62">
        <v>30</v>
      </c>
      <c r="M62" s="38">
        <v>3</v>
      </c>
      <c r="N62" s="38">
        <v>15</v>
      </c>
      <c r="O62">
        <v>9</v>
      </c>
      <c r="P62" s="38">
        <f>2</f>
        <v>2</v>
      </c>
      <c r="Q62" s="218">
        <f t="shared" si="3"/>
        <v>18</v>
      </c>
    </row>
    <row r="63" spans="1:17" x14ac:dyDescent="0.2">
      <c r="A63" t="str">
        <f>INDEX(Prioritization!$D:$D,MATCH($B63,Prioritization!$A:$A,0))</f>
        <v>4 - Sustained</v>
      </c>
      <c r="B63" t="s">
        <v>298</v>
      </c>
      <c r="C63" t="s">
        <v>475</v>
      </c>
      <c r="D63" t="s">
        <v>30</v>
      </c>
      <c r="E63" s="1" t="str">
        <f t="shared" si="0"/>
        <v>Dedza District [PekKUkKHAzY]|15-24|Female</v>
      </c>
      <c r="F63" s="38">
        <f>IF(LEFT($B63,4)="_Mil","",INDEX(Cascade!$U:$U,MATCH($E63,Cascade!$E:$E,0)))</f>
        <v>922</v>
      </c>
      <c r="G63" s="38">
        <f>IFERROR(1/(1/INDEX(HTS!$AU:$AU,MATCH($E63,HTS!$E:$E,0))),"")</f>
        <v>18489</v>
      </c>
      <c r="H63" s="38" t="str">
        <f>IF(OR($C63="15-24",$C63="25-34"),IFERROR(1/(1/SUM(SUMIFS(AGYW!$S:$S,AGYW!$B:$B,$B63,AGYW!$C:$C,IF($C63="15-24",{"15-19","20-24"},{"25-29"}),AGYW!$D:$D,$D63))),""),"")</f>
        <v/>
      </c>
      <c r="I63" s="38" t="str">
        <f>IF(OR($C63="15-24",$C63="25-34"),IFERROR(1/(1/SUM(SUMIFS(AGYW!$T:$T,AGYW!$B:$B,$B63,AGYW!$C:$C,IF($C63="15-24",{"15-19","20-24"},{"25-29"}),AGYW!$D:$D,$D63))),""),"")</f>
        <v/>
      </c>
      <c r="J63" s="38">
        <v>83</v>
      </c>
      <c r="K63" s="38">
        <v>342</v>
      </c>
      <c r="L63">
        <v>119</v>
      </c>
      <c r="M63" s="38">
        <v>7</v>
      </c>
      <c r="N63" s="38">
        <v>99</v>
      </c>
      <c r="O63">
        <v>21</v>
      </c>
      <c r="P63" s="38">
        <f>2</f>
        <v>2</v>
      </c>
      <c r="Q63" s="2">
        <f t="shared" si="3"/>
        <v>42</v>
      </c>
    </row>
    <row r="64" spans="1:17" hidden="1" x14ac:dyDescent="0.2">
      <c r="A64" t="str">
        <f>INDEX(Prioritization!$D:$D,MATCH($B64,Prioritization!$A:$A,0))</f>
        <v>4 - Sustained</v>
      </c>
      <c r="B64" t="s">
        <v>298</v>
      </c>
      <c r="C64" t="s">
        <v>475</v>
      </c>
      <c r="D64" t="s">
        <v>48</v>
      </c>
      <c r="E64" t="str">
        <f t="shared" si="0"/>
        <v>Dedza District [PekKUkKHAzY]|15-24|Male</v>
      </c>
      <c r="F64" s="38">
        <f>IF(LEFT($B64,4)="_Mil","",INDEX(Cascade!$U:$U,MATCH($E64,Cascade!$E:$E,0)))</f>
        <v>669</v>
      </c>
      <c r="G64" s="38">
        <f>IFERROR(1/(1/INDEX(HTS!$AU:$AU,MATCH($E64,HTS!$E:$E,0))),"")</f>
        <v>1795</v>
      </c>
      <c r="H64" s="38" t="str">
        <f>IF(OR($C64="15-24",$C64="25-34"),IFERROR(1/(1/SUM(SUMIFS(AGYW!$S:$S,AGYW!$B:$B,$B64,AGYW!$C:$C,IF($C64="15-24",{"15-19","20-24"},{"25-29"}),AGYW!$D:$D,$D64))),""),"")</f>
        <v/>
      </c>
      <c r="I64" s="38" t="str">
        <f>IF(OR($C64="15-24",$C64="25-34"),IFERROR(1/(1/SUM(SUMIFS(AGYW!$T:$T,AGYW!$B:$B,$B64,AGYW!$C:$C,IF($C64="15-24",{"15-19","20-24"},{"25-29"}),AGYW!$D:$D,$D64))),""),"")</f>
        <v/>
      </c>
      <c r="J64" s="38">
        <v>44</v>
      </c>
      <c r="K64" s="38">
        <v>123</v>
      </c>
      <c r="L64">
        <v>63</v>
      </c>
      <c r="M64" s="38">
        <v>2</v>
      </c>
      <c r="N64" s="38">
        <v>36</v>
      </c>
      <c r="O64">
        <v>6</v>
      </c>
      <c r="P64" s="38">
        <f>2</f>
        <v>2</v>
      </c>
      <c r="Q64" s="218">
        <f t="shared" si="3"/>
        <v>12</v>
      </c>
    </row>
    <row r="65" spans="1:17" x14ac:dyDescent="0.2">
      <c r="A65" t="str">
        <f>INDEX(Prioritization!$D:$D,MATCH($B65,Prioritization!$A:$A,0))</f>
        <v>4 - Sustained</v>
      </c>
      <c r="B65" t="s">
        <v>298</v>
      </c>
      <c r="C65" t="s">
        <v>476</v>
      </c>
      <c r="D65" t="s">
        <v>30</v>
      </c>
      <c r="E65" t="str">
        <f t="shared" si="0"/>
        <v>Dedza District [PekKUkKHAzY]|25-34|Female</v>
      </c>
      <c r="F65" s="38">
        <f>IF(LEFT($B65,4)="_Mil","",INDEX(Cascade!$U:$U,MATCH($E65,Cascade!$E:$E,0)))</f>
        <v>2357</v>
      </c>
      <c r="G65" s="38">
        <f>IFERROR(1/(1/INDEX(HTS!$AU:$AU,MATCH($E65,HTS!$E:$E,0))),"")</f>
        <v>28488</v>
      </c>
      <c r="H65" s="38" t="str">
        <f>IF(OR($C65="15-24",$C65="25-34"),IFERROR(1/(1/SUM(SUMIFS(AGYW!$S:$S,AGYW!$B:$B,$B65,AGYW!$C:$C,IF($C65="15-24",{"15-19","20-24"},{"25-29"}),AGYW!$D:$D,$D65))),""),"")</f>
        <v/>
      </c>
      <c r="I65" s="38" t="str">
        <f>IF(OR($C65="15-24",$C65="25-34"),IFERROR(1/(1/SUM(SUMIFS(AGYW!$T:$T,AGYW!$B:$B,$B65,AGYW!$C:$C,IF($C65="15-24",{"15-19","20-24"},{"25-29"}),AGYW!$D:$D,$D65))),""),"")</f>
        <v/>
      </c>
      <c r="J65" s="38">
        <v>91</v>
      </c>
      <c r="K65" s="38">
        <v>449</v>
      </c>
      <c r="L65">
        <v>131</v>
      </c>
      <c r="M65" s="38">
        <v>3</v>
      </c>
      <c r="N65" s="38">
        <v>130</v>
      </c>
      <c r="O65">
        <v>9</v>
      </c>
      <c r="P65" s="38">
        <f>2</f>
        <v>2</v>
      </c>
      <c r="Q65" s="218">
        <f t="shared" si="3"/>
        <v>18</v>
      </c>
    </row>
    <row r="66" spans="1:17" hidden="1" x14ac:dyDescent="0.2">
      <c r="A66" t="str">
        <f>INDEX(Prioritization!$D:$D,MATCH($B66,Prioritization!$A:$A,0))</f>
        <v>4 - Sustained</v>
      </c>
      <c r="B66" t="s">
        <v>298</v>
      </c>
      <c r="C66" t="s">
        <v>476</v>
      </c>
      <c r="D66" t="s">
        <v>48</v>
      </c>
      <c r="E66" t="str">
        <f t="shared" si="0"/>
        <v>Dedza District [PekKUkKHAzY]|25-34|Male</v>
      </c>
      <c r="F66" s="38">
        <f>IF(LEFT($B66,4)="_Mil","",INDEX(Cascade!$U:$U,MATCH($E66,Cascade!$E:$E,0)))</f>
        <v>869</v>
      </c>
      <c r="G66" s="38">
        <f>IFERROR(1/(1/INDEX(HTS!$AU:$AU,MATCH($E66,HTS!$E:$E,0))),"")</f>
        <v>303</v>
      </c>
      <c r="H66" s="38" t="str">
        <f>IF(OR($C66="15-24",$C66="25-34"),IFERROR(1/(1/SUM(SUMIFS(AGYW!$S:$S,AGYW!$B:$B,$B66,AGYW!$C:$C,IF($C66="15-24",{"15-19","20-24"},{"25-29"}),AGYW!$D:$D,$D66))),""),"")</f>
        <v/>
      </c>
      <c r="I66" s="38" t="str">
        <f>IF(OR($C66="15-24",$C66="25-34"),IFERROR(1/(1/SUM(SUMIFS(AGYW!$T:$T,AGYW!$B:$B,$B66,AGYW!$C:$C,IF($C66="15-24",{"15-19","20-24"},{"25-29"}),AGYW!$D:$D,$D66))),""),"")</f>
        <v/>
      </c>
      <c r="J66" s="38">
        <v>61</v>
      </c>
      <c r="K66" s="38">
        <v>236</v>
      </c>
      <c r="L66">
        <v>88</v>
      </c>
      <c r="M66" s="38">
        <v>2</v>
      </c>
      <c r="N66" s="38">
        <v>69</v>
      </c>
      <c r="O66">
        <v>6</v>
      </c>
      <c r="P66" s="38">
        <f>2</f>
        <v>2</v>
      </c>
      <c r="Q66" s="218">
        <f t="shared" si="3"/>
        <v>12</v>
      </c>
    </row>
    <row r="67" spans="1:17" x14ac:dyDescent="0.2">
      <c r="A67" t="str">
        <f>INDEX(Prioritization!$D:$D,MATCH($B67,Prioritization!$A:$A,0))</f>
        <v>4 - Sustained</v>
      </c>
      <c r="B67" t="s">
        <v>298</v>
      </c>
      <c r="C67" t="s">
        <v>477</v>
      </c>
      <c r="D67" t="s">
        <v>30</v>
      </c>
      <c r="E67" t="str">
        <f t="shared" si="0"/>
        <v>Dedza District [PekKUkKHAzY]|35-49|Female</v>
      </c>
      <c r="F67" s="38">
        <f>IF(LEFT($B67,4)="_Mil","",INDEX(Cascade!$U:$U,MATCH($E67,Cascade!$E:$E,0)))</f>
        <v>6432</v>
      </c>
      <c r="G67" s="38">
        <f>IFERROR(1/(1/INDEX(HTS!$AU:$AU,MATCH($E67,HTS!$E:$E,0))),"")</f>
        <v>8835</v>
      </c>
      <c r="H67" s="38" t="str">
        <f>IF(OR($C67="15-24",$C67="25-34"),IFERROR(1/(1/SUM(SUMIFS(AGYW!$S:$S,AGYW!$B:$B,$B67,AGYW!$C:$C,IF($C67="15-24",{"15-19","20-24"},{"25-29"}),AGYW!$D:$D,$D67))),""),"")</f>
        <v/>
      </c>
      <c r="I67" s="38" t="str">
        <f>IF(OR($C67="15-24",$C67="25-34"),IFERROR(1/(1/SUM(SUMIFS(AGYW!$T:$T,AGYW!$B:$B,$B67,AGYW!$C:$C,IF($C67="15-24",{"15-19","20-24"},{"25-29"}),AGYW!$D:$D,$D67))),""),"")</f>
        <v/>
      </c>
      <c r="J67" s="38">
        <v>57</v>
      </c>
      <c r="K67" s="38">
        <v>407</v>
      </c>
      <c r="L67">
        <v>82</v>
      </c>
      <c r="M67" s="38"/>
      <c r="N67" s="38">
        <v>118</v>
      </c>
      <c r="O67">
        <v>0</v>
      </c>
      <c r="P67" s="38">
        <f>2</f>
        <v>2</v>
      </c>
      <c r="Q67" s="218" t="str">
        <f t="shared" si="3"/>
        <v/>
      </c>
    </row>
    <row r="68" spans="1:17" hidden="1" x14ac:dyDescent="0.2">
      <c r="A68" t="str">
        <f>INDEX(Prioritization!$D:$D,MATCH($B68,Prioritization!$A:$A,0))</f>
        <v>4 - Sustained</v>
      </c>
      <c r="B68" t="s">
        <v>298</v>
      </c>
      <c r="C68" t="s">
        <v>477</v>
      </c>
      <c r="D68" t="s">
        <v>48</v>
      </c>
      <c r="E68" t="str">
        <f t="shared" si="0"/>
        <v>Dedza District [PekKUkKHAzY]|35-49|Male</v>
      </c>
      <c r="F68" s="38">
        <f>IF(LEFT($B68,4)="_Mil","",INDEX(Cascade!$U:$U,MATCH($E68,Cascade!$E:$E,0)))</f>
        <v>3455</v>
      </c>
      <c r="G68" s="38">
        <f>IFERROR(1/(1/INDEX(HTS!$AU:$AU,MATCH($E68,HTS!$E:$E,0))),"")</f>
        <v>2344</v>
      </c>
      <c r="H68" s="38" t="str">
        <f>IF(OR($C68="15-24",$C68="25-34"),IFERROR(1/(1/SUM(SUMIFS(AGYW!$S:$S,AGYW!$B:$B,$B68,AGYW!$C:$C,IF($C68="15-24",{"15-19","20-24"},{"25-29"}),AGYW!$D:$D,$D68))),""),"")</f>
        <v/>
      </c>
      <c r="I68" s="38" t="str">
        <f>IF(OR($C68="15-24",$C68="25-34"),IFERROR(1/(1/SUM(SUMIFS(AGYW!$T:$T,AGYW!$B:$B,$B68,AGYW!$C:$C,IF($C68="15-24",{"15-19","20-24"},{"25-29"}),AGYW!$D:$D,$D68))),""),"")</f>
        <v/>
      </c>
      <c r="J68" s="38">
        <v>41</v>
      </c>
      <c r="K68" s="38">
        <v>239</v>
      </c>
      <c r="L68">
        <v>59</v>
      </c>
      <c r="M68" s="38">
        <v>6</v>
      </c>
      <c r="N68" s="38">
        <v>70</v>
      </c>
      <c r="O68">
        <v>18</v>
      </c>
      <c r="P68" s="38">
        <f>2</f>
        <v>2</v>
      </c>
      <c r="Q68" s="218">
        <f t="shared" si="3"/>
        <v>36</v>
      </c>
    </row>
    <row r="69" spans="1:17" x14ac:dyDescent="0.2">
      <c r="A69" t="str">
        <f>INDEX(Prioritization!$D:$D,MATCH($B69,Prioritization!$A:$A,0))</f>
        <v>4 - Sustained</v>
      </c>
      <c r="B69" t="s">
        <v>298</v>
      </c>
      <c r="C69" t="s">
        <v>478</v>
      </c>
      <c r="D69" t="s">
        <v>30</v>
      </c>
      <c r="E69" t="str">
        <f t="shared" si="0"/>
        <v>Dedza District [PekKUkKHAzY]|50+|Female</v>
      </c>
      <c r="F69" s="38">
        <f>IF(LEFT($B69,4)="_Mil","",INDEX(Cascade!$U:$U,MATCH($E69,Cascade!$E:$E,0)))</f>
        <v>3256</v>
      </c>
      <c r="G69" s="38">
        <f>IFERROR(1/(1/INDEX(HTS!$AU:$AU,MATCH($E69,HTS!$E:$E,0))),"")</f>
        <v>2995</v>
      </c>
      <c r="H69" s="38" t="str">
        <f>IF(OR($C69="15-24",$C69="25-34"),IFERROR(1/(1/SUM(SUMIFS(AGYW!$S:$S,AGYW!$B:$B,$B69,AGYW!$C:$C,IF($C69="15-24",{"15-19","20-24"},{"25-29"}),AGYW!$D:$D,$D69))),""),"")</f>
        <v/>
      </c>
      <c r="I69" s="38" t="str">
        <f>IF(OR($C69="15-24",$C69="25-34"),IFERROR(1/(1/SUM(SUMIFS(AGYW!$T:$T,AGYW!$B:$B,$B69,AGYW!$C:$C,IF($C69="15-24",{"15-19","20-24"},{"25-29"}),AGYW!$D:$D,$D69))),""),"")</f>
        <v/>
      </c>
      <c r="J69" s="38">
        <v>10</v>
      </c>
      <c r="K69" s="38">
        <v>5</v>
      </c>
      <c r="L69">
        <v>14</v>
      </c>
      <c r="M69" s="38">
        <v>1</v>
      </c>
      <c r="N69" s="38">
        <v>2</v>
      </c>
      <c r="O69">
        <v>3</v>
      </c>
      <c r="P69" s="38">
        <f>2</f>
        <v>2</v>
      </c>
      <c r="Q69" s="218">
        <f t="shared" si="3"/>
        <v>6</v>
      </c>
    </row>
    <row r="70" spans="1:17" hidden="1" x14ac:dyDescent="0.2">
      <c r="A70" t="str">
        <f>INDEX(Prioritization!$D:$D,MATCH($B70,Prioritization!$A:$A,0))</f>
        <v>4 - Sustained</v>
      </c>
      <c r="B70" t="s">
        <v>298</v>
      </c>
      <c r="C70" t="s">
        <v>478</v>
      </c>
      <c r="D70" t="s">
        <v>48</v>
      </c>
      <c r="E70" t="str">
        <f t="shared" si="0"/>
        <v>Dedza District [PekKUkKHAzY]|50+|Male</v>
      </c>
      <c r="F70" s="38">
        <f>IF(LEFT($B70,4)="_Mil","",INDEX(Cascade!$U:$U,MATCH($E70,Cascade!$E:$E,0)))</f>
        <v>2626</v>
      </c>
      <c r="G70" s="38">
        <f>IFERROR(1/(1/INDEX(HTS!$AU:$AU,MATCH($E70,HTS!$E:$E,0))),"")</f>
        <v>4485</v>
      </c>
      <c r="H70" s="38" t="str">
        <f>IF(OR($C70="15-24",$C70="25-34"),IFERROR(1/(1/SUM(SUMIFS(AGYW!$S:$S,AGYW!$B:$B,$B70,AGYW!$C:$C,IF($C70="15-24",{"15-19","20-24"},{"25-29"}),AGYW!$D:$D,$D70))),""),"")</f>
        <v/>
      </c>
      <c r="I70" s="38" t="str">
        <f>IF(OR($C70="15-24",$C70="25-34"),IFERROR(1/(1/SUM(SUMIFS(AGYW!$T:$T,AGYW!$B:$B,$B70,AGYW!$C:$C,IF($C70="15-24",{"15-19","20-24"},{"25-29"}),AGYW!$D:$D,$D70))),""),"")</f>
        <v/>
      </c>
      <c r="J70" s="38">
        <v>17</v>
      </c>
      <c r="K70" s="38">
        <v>188</v>
      </c>
      <c r="L70">
        <v>24</v>
      </c>
      <c r="M70" s="38">
        <v>1</v>
      </c>
      <c r="N70" s="38">
        <v>55</v>
      </c>
      <c r="O70">
        <v>3</v>
      </c>
      <c r="P70" s="38">
        <f>2</f>
        <v>2</v>
      </c>
      <c r="Q70" s="218">
        <f t="shared" si="3"/>
        <v>6</v>
      </c>
    </row>
    <row r="71" spans="1:17" x14ac:dyDescent="0.2">
      <c r="A71" t="str">
        <f>INDEX(Prioritization!$D:$D,MATCH($B71,Prioritization!$A:$A,0))</f>
        <v>4 - Sustained</v>
      </c>
      <c r="B71" t="s">
        <v>299</v>
      </c>
      <c r="C71" t="s">
        <v>475</v>
      </c>
      <c r="D71" t="s">
        <v>30</v>
      </c>
      <c r="E71" t="str">
        <f t="shared" si="0"/>
        <v>Dowa District [zphK9WV8JB4]|15-24|Female</v>
      </c>
      <c r="F71" s="38">
        <f>IF(LEFT($B71,4)="_Mil","",INDEX(Cascade!$U:$U,MATCH($E71,Cascade!$E:$E,0)))</f>
        <v>650</v>
      </c>
      <c r="G71" s="38">
        <f>IFERROR(1/(1/INDEX(HTS!$AU:$AU,MATCH($E71,HTS!$E:$E,0))),"")</f>
        <v>10203</v>
      </c>
      <c r="H71" s="38" t="str">
        <f>IF(OR($C71="15-24",$C71="25-34"),IFERROR(1/(1/SUM(SUMIFS(AGYW!$S:$S,AGYW!$B:$B,$B71,AGYW!$C:$C,IF($C71="15-24",{"15-19","20-24"},{"25-29"}),AGYW!$D:$D,$D71))),""),"")</f>
        <v/>
      </c>
      <c r="I71" s="38" t="str">
        <f>IF(OR($C71="15-24",$C71="25-34"),IFERROR(1/(1/SUM(SUMIFS(AGYW!$T:$T,AGYW!$B:$B,$B71,AGYW!$C:$C,IF($C71="15-24",{"15-19","20-24"},{"25-29"}),AGYW!$D:$D,$D71))),""),"")</f>
        <v/>
      </c>
      <c r="J71" s="38">
        <v>124</v>
      </c>
      <c r="K71" s="38">
        <v>330</v>
      </c>
      <c r="L71">
        <v>178</v>
      </c>
      <c r="M71" s="38"/>
      <c r="N71" s="38">
        <v>96</v>
      </c>
      <c r="O71">
        <v>0</v>
      </c>
      <c r="P71" s="38">
        <f>2</f>
        <v>2</v>
      </c>
      <c r="Q71" s="218" t="str">
        <f t="shared" si="3"/>
        <v/>
      </c>
    </row>
    <row r="72" spans="1:17" hidden="1" x14ac:dyDescent="0.2">
      <c r="A72" t="str">
        <f>INDEX(Prioritization!$D:$D,MATCH($B72,Prioritization!$A:$A,0))</f>
        <v>4 - Sustained</v>
      </c>
      <c r="B72" t="s">
        <v>299</v>
      </c>
      <c r="C72" t="s">
        <v>475</v>
      </c>
      <c r="D72" t="s">
        <v>48</v>
      </c>
      <c r="E72" t="str">
        <f t="shared" si="0"/>
        <v>Dowa District [zphK9WV8JB4]|15-24|Male</v>
      </c>
      <c r="F72" s="38">
        <f>IF(LEFT($B72,4)="_Mil","",INDEX(Cascade!$U:$U,MATCH($E72,Cascade!$E:$E,0)))</f>
        <v>498</v>
      </c>
      <c r="G72" s="38">
        <f>IFERROR(1/(1/INDEX(HTS!$AU:$AU,MATCH($E72,HTS!$E:$E,0))),"")</f>
        <v>965.99999999999989</v>
      </c>
      <c r="H72" s="38" t="str">
        <f>IF(OR($C72="15-24",$C72="25-34"),IFERROR(1/(1/SUM(SUMIFS(AGYW!$S:$S,AGYW!$B:$B,$B72,AGYW!$C:$C,IF($C72="15-24",{"15-19","20-24"},{"25-29"}),AGYW!$D:$D,$D72))),""),"")</f>
        <v/>
      </c>
      <c r="I72" s="38" t="str">
        <f>IF(OR($C72="15-24",$C72="25-34"),IFERROR(1/(1/SUM(SUMIFS(AGYW!$T:$T,AGYW!$B:$B,$B72,AGYW!$C:$C,IF($C72="15-24",{"15-19","20-24"},{"25-29"}),AGYW!$D:$D,$D72))),""),"")</f>
        <v/>
      </c>
      <c r="J72" s="38">
        <v>94</v>
      </c>
      <c r="K72" s="38">
        <v>118</v>
      </c>
      <c r="L72">
        <v>135</v>
      </c>
      <c r="M72" s="38">
        <v>2</v>
      </c>
      <c r="N72" s="38">
        <v>35</v>
      </c>
      <c r="O72">
        <v>6</v>
      </c>
      <c r="P72" s="38">
        <f>2</f>
        <v>2</v>
      </c>
      <c r="Q72" s="218">
        <f t="shared" si="3"/>
        <v>12</v>
      </c>
    </row>
    <row r="73" spans="1:17" x14ac:dyDescent="0.2">
      <c r="A73" t="str">
        <f>INDEX(Prioritization!$D:$D,MATCH($B73,Prioritization!$A:$A,0))</f>
        <v>4 - Sustained</v>
      </c>
      <c r="B73" t="s">
        <v>299</v>
      </c>
      <c r="C73" t="s">
        <v>476</v>
      </c>
      <c r="D73" t="s">
        <v>30</v>
      </c>
      <c r="E73" t="str">
        <f t="shared" si="0"/>
        <v>Dowa District [zphK9WV8JB4]|25-34|Female</v>
      </c>
      <c r="F73" s="38">
        <f>IF(LEFT($B73,4)="_Mil","",INDEX(Cascade!$U:$U,MATCH($E73,Cascade!$E:$E,0)))</f>
        <v>1641</v>
      </c>
      <c r="G73" s="38">
        <f>IFERROR(1/(1/INDEX(HTS!$AU:$AU,MATCH($E73,HTS!$E:$E,0))),"")</f>
        <v>19227</v>
      </c>
      <c r="H73" s="38" t="str">
        <f>IF(OR($C73="15-24",$C73="25-34"),IFERROR(1/(1/SUM(SUMIFS(AGYW!$S:$S,AGYW!$B:$B,$B73,AGYW!$C:$C,IF($C73="15-24",{"15-19","20-24"},{"25-29"}),AGYW!$D:$D,$D73))),""),"")</f>
        <v/>
      </c>
      <c r="I73" s="38" t="str">
        <f>IF(OR($C73="15-24",$C73="25-34"),IFERROR(1/(1/SUM(SUMIFS(AGYW!$T:$T,AGYW!$B:$B,$B73,AGYW!$C:$C,IF($C73="15-24",{"15-19","20-24"},{"25-29"}),AGYW!$D:$D,$D73))),""),"")</f>
        <v/>
      </c>
      <c r="J73" s="38">
        <v>150</v>
      </c>
      <c r="K73" s="38">
        <v>433</v>
      </c>
      <c r="L73">
        <v>215</v>
      </c>
      <c r="M73" s="38">
        <v>5</v>
      </c>
      <c r="N73" s="38">
        <v>126</v>
      </c>
      <c r="O73">
        <v>15</v>
      </c>
      <c r="P73" s="38">
        <f>2</f>
        <v>2</v>
      </c>
      <c r="Q73" s="218">
        <f t="shared" si="3"/>
        <v>30</v>
      </c>
    </row>
    <row r="74" spans="1:17" hidden="1" x14ac:dyDescent="0.2">
      <c r="A74" t="str">
        <f>INDEX(Prioritization!$D:$D,MATCH($B74,Prioritization!$A:$A,0))</f>
        <v>4 - Sustained</v>
      </c>
      <c r="B74" t="s">
        <v>299</v>
      </c>
      <c r="C74" t="s">
        <v>476</v>
      </c>
      <c r="D74" t="s">
        <v>48</v>
      </c>
      <c r="E74" t="str">
        <f t="shared" si="0"/>
        <v>Dowa District [zphK9WV8JB4]|25-34|Male</v>
      </c>
      <c r="F74" s="38">
        <f>IF(LEFT($B74,4)="_Mil","",INDEX(Cascade!$U:$U,MATCH($E74,Cascade!$E:$E,0)))</f>
        <v>698</v>
      </c>
      <c r="G74" s="38">
        <f>IFERROR(1/(1/INDEX(HTS!$AU:$AU,MATCH($E74,HTS!$E:$E,0))),"")</f>
        <v>836</v>
      </c>
      <c r="H74" s="38" t="str">
        <f>IF(OR($C74="15-24",$C74="25-34"),IFERROR(1/(1/SUM(SUMIFS(AGYW!$S:$S,AGYW!$B:$B,$B74,AGYW!$C:$C,IF($C74="15-24",{"15-19","20-24"},{"25-29"}),AGYW!$D:$D,$D74))),""),"")</f>
        <v/>
      </c>
      <c r="I74" s="38" t="str">
        <f>IF(OR($C74="15-24",$C74="25-34"),IFERROR(1/(1/SUM(SUMIFS(AGYW!$T:$T,AGYW!$B:$B,$B74,AGYW!$C:$C,IF($C74="15-24",{"15-19","20-24"},{"25-29"}),AGYW!$D:$D,$D74))),""),"")</f>
        <v/>
      </c>
      <c r="J74" s="38">
        <v>142</v>
      </c>
      <c r="K74" s="38">
        <v>227</v>
      </c>
      <c r="L74">
        <v>204</v>
      </c>
      <c r="M74" s="38">
        <v>5</v>
      </c>
      <c r="N74" s="38">
        <v>66</v>
      </c>
      <c r="O74">
        <v>15</v>
      </c>
      <c r="P74" s="38">
        <f>2</f>
        <v>2</v>
      </c>
      <c r="Q74" s="218">
        <f t="shared" si="3"/>
        <v>30</v>
      </c>
    </row>
    <row r="75" spans="1:17" x14ac:dyDescent="0.2">
      <c r="A75" t="str">
        <f>INDEX(Prioritization!$D:$D,MATCH($B75,Prioritization!$A:$A,0))</f>
        <v>4 - Sustained</v>
      </c>
      <c r="B75" t="s">
        <v>299</v>
      </c>
      <c r="C75" t="s">
        <v>477</v>
      </c>
      <c r="D75" t="s">
        <v>30</v>
      </c>
      <c r="E75" t="str">
        <f t="shared" si="0"/>
        <v>Dowa District [zphK9WV8JB4]|35-49|Female</v>
      </c>
      <c r="F75" s="38">
        <f>IF(LEFT($B75,4)="_Mil","",INDEX(Cascade!$U:$U,MATCH($E75,Cascade!$E:$E,0)))</f>
        <v>4546</v>
      </c>
      <c r="G75" s="38">
        <f>IFERROR(1/(1/INDEX(HTS!$AU:$AU,MATCH($E75,HTS!$E:$E,0))),"")</f>
        <v>5404</v>
      </c>
      <c r="H75" s="38" t="str">
        <f>IF(OR($C75="15-24",$C75="25-34"),IFERROR(1/(1/SUM(SUMIFS(AGYW!$S:$S,AGYW!$B:$B,$B75,AGYW!$C:$C,IF($C75="15-24",{"15-19","20-24"},{"25-29"}),AGYW!$D:$D,$D75))),""),"")</f>
        <v/>
      </c>
      <c r="I75" s="38" t="str">
        <f>IF(OR($C75="15-24",$C75="25-34"),IFERROR(1/(1/SUM(SUMIFS(AGYW!$T:$T,AGYW!$B:$B,$B75,AGYW!$C:$C,IF($C75="15-24",{"15-19","20-24"},{"25-29"}),AGYW!$D:$D,$D75))),""),"")</f>
        <v/>
      </c>
      <c r="J75" s="38">
        <v>107</v>
      </c>
      <c r="K75" s="38">
        <v>392</v>
      </c>
      <c r="L75">
        <v>154</v>
      </c>
      <c r="M75" s="38">
        <v>8</v>
      </c>
      <c r="N75" s="38">
        <v>114</v>
      </c>
      <c r="O75">
        <v>24</v>
      </c>
      <c r="P75" s="38">
        <f>2</f>
        <v>2</v>
      </c>
      <c r="Q75" s="218">
        <f t="shared" si="3"/>
        <v>48</v>
      </c>
    </row>
    <row r="76" spans="1:17" hidden="1" x14ac:dyDescent="0.2">
      <c r="A76" t="str">
        <f>INDEX(Prioritization!$D:$D,MATCH($B76,Prioritization!$A:$A,0))</f>
        <v>4 - Sustained</v>
      </c>
      <c r="B76" t="s">
        <v>299</v>
      </c>
      <c r="C76" t="s">
        <v>477</v>
      </c>
      <c r="D76" t="s">
        <v>48</v>
      </c>
      <c r="E76" t="str">
        <f t="shared" si="0"/>
        <v>Dowa District [zphK9WV8JB4]|35-49|Male</v>
      </c>
      <c r="F76" s="38">
        <f>IF(LEFT($B76,4)="_Mil","",INDEX(Cascade!$U:$U,MATCH($E76,Cascade!$E:$E,0)))</f>
        <v>2760</v>
      </c>
      <c r="G76" s="38">
        <f>IFERROR(1/(1/INDEX(HTS!$AU:$AU,MATCH($E76,HTS!$E:$E,0))),"")</f>
        <v>1335</v>
      </c>
      <c r="H76" s="38" t="str">
        <f>IF(OR($C76="15-24",$C76="25-34"),IFERROR(1/(1/SUM(SUMIFS(AGYW!$S:$S,AGYW!$B:$B,$B76,AGYW!$C:$C,IF($C76="15-24",{"15-19","20-24"},{"25-29"}),AGYW!$D:$D,$D76))),""),"")</f>
        <v/>
      </c>
      <c r="I76" s="38" t="str">
        <f>IF(OR($C76="15-24",$C76="25-34"),IFERROR(1/(1/SUM(SUMIFS(AGYW!$T:$T,AGYW!$B:$B,$B76,AGYW!$C:$C,IF($C76="15-24",{"15-19","20-24"},{"25-29"}),AGYW!$D:$D,$D76))),""),"")</f>
        <v/>
      </c>
      <c r="J76" s="38">
        <v>117</v>
      </c>
      <c r="K76" s="38">
        <v>231</v>
      </c>
      <c r="L76">
        <v>168</v>
      </c>
      <c r="M76" s="38">
        <v>2</v>
      </c>
      <c r="N76" s="38">
        <v>67</v>
      </c>
      <c r="O76">
        <v>6</v>
      </c>
      <c r="P76" s="38">
        <f>2</f>
        <v>2</v>
      </c>
      <c r="Q76" s="218">
        <f t="shared" si="3"/>
        <v>12</v>
      </c>
    </row>
    <row r="77" spans="1:17" x14ac:dyDescent="0.2">
      <c r="A77" t="str">
        <f>INDEX(Prioritization!$D:$D,MATCH($B77,Prioritization!$A:$A,0))</f>
        <v>4 - Sustained</v>
      </c>
      <c r="B77" t="s">
        <v>299</v>
      </c>
      <c r="C77" t="s">
        <v>478</v>
      </c>
      <c r="D77" t="s">
        <v>30</v>
      </c>
      <c r="E77" t="str">
        <f t="shared" si="0"/>
        <v>Dowa District [zphK9WV8JB4]|50+|Female</v>
      </c>
      <c r="F77" s="38">
        <f>IF(LEFT($B77,4)="_Mil","",INDEX(Cascade!$U:$U,MATCH($E77,Cascade!$E:$E,0)))</f>
        <v>2287</v>
      </c>
      <c r="G77" s="38">
        <f>IFERROR(1/(1/INDEX(HTS!$AU:$AU,MATCH($E77,HTS!$E:$E,0))),"")</f>
        <v>9263</v>
      </c>
      <c r="H77" s="38" t="str">
        <f>IF(OR($C77="15-24",$C77="25-34"),IFERROR(1/(1/SUM(SUMIFS(AGYW!$S:$S,AGYW!$B:$B,$B77,AGYW!$C:$C,IF($C77="15-24",{"15-19","20-24"},{"25-29"}),AGYW!$D:$D,$D77))),""),"")</f>
        <v/>
      </c>
      <c r="I77" s="38" t="str">
        <f>IF(OR($C77="15-24",$C77="25-34"),IFERROR(1/(1/SUM(SUMIFS(AGYW!$T:$T,AGYW!$B:$B,$B77,AGYW!$C:$C,IF($C77="15-24",{"15-19","20-24"},{"25-29"}),AGYW!$D:$D,$D77))),""),"")</f>
        <v/>
      </c>
      <c r="J77" s="38">
        <v>13</v>
      </c>
      <c r="K77" s="38">
        <v>5</v>
      </c>
      <c r="L77">
        <v>19</v>
      </c>
      <c r="M77" s="38">
        <v>2</v>
      </c>
      <c r="N77" s="38">
        <v>2</v>
      </c>
      <c r="O77">
        <v>6</v>
      </c>
      <c r="P77" s="38">
        <f>2</f>
        <v>2</v>
      </c>
      <c r="Q77" s="218">
        <f t="shared" si="3"/>
        <v>12</v>
      </c>
    </row>
    <row r="78" spans="1:17" hidden="1" x14ac:dyDescent="0.2">
      <c r="A78" t="str">
        <f>INDEX(Prioritization!$D:$D,MATCH($B78,Prioritization!$A:$A,0))</f>
        <v>4 - Sustained</v>
      </c>
      <c r="B78" t="s">
        <v>299</v>
      </c>
      <c r="C78" t="s">
        <v>478</v>
      </c>
      <c r="D78" t="s">
        <v>48</v>
      </c>
      <c r="E78" t="str">
        <f t="shared" si="0"/>
        <v>Dowa District [zphK9WV8JB4]|50+|Male</v>
      </c>
      <c r="F78" s="38">
        <f>IF(LEFT($B78,4)="_Mil","",INDEX(Cascade!$U:$U,MATCH($E78,Cascade!$E:$E,0)))</f>
        <v>2191</v>
      </c>
      <c r="G78" s="38">
        <f>IFERROR(1/(1/INDEX(HTS!$AU:$AU,MATCH($E78,HTS!$E:$E,0))),"")</f>
        <v>876</v>
      </c>
      <c r="H78" s="38" t="str">
        <f>IF(OR($C78="15-24",$C78="25-34"),IFERROR(1/(1/SUM(SUMIFS(AGYW!$S:$S,AGYW!$B:$B,$B78,AGYW!$C:$C,IF($C78="15-24",{"15-19","20-24"},{"25-29"}),AGYW!$D:$D,$D78))),""),"")</f>
        <v/>
      </c>
      <c r="I78" s="38" t="str">
        <f>IF(OR($C78="15-24",$C78="25-34"),IFERROR(1/(1/SUM(SUMIFS(AGYW!$T:$T,AGYW!$B:$B,$B78,AGYW!$C:$C,IF($C78="15-24",{"15-19","20-24"},{"25-29"}),AGYW!$D:$D,$D78))),""),"")</f>
        <v/>
      </c>
      <c r="J78" s="38">
        <v>24</v>
      </c>
      <c r="K78" s="38">
        <v>181</v>
      </c>
      <c r="L78">
        <v>34</v>
      </c>
      <c r="M78" s="38">
        <v>4</v>
      </c>
      <c r="N78" s="38">
        <v>53</v>
      </c>
      <c r="O78">
        <v>12</v>
      </c>
      <c r="P78" s="38">
        <f>2</f>
        <v>2</v>
      </c>
      <c r="Q78" s="218">
        <f t="shared" si="3"/>
        <v>24</v>
      </c>
    </row>
    <row r="79" spans="1:17" x14ac:dyDescent="0.2">
      <c r="A79" t="str">
        <f>INDEX(Prioritization!$D:$D,MATCH($B79,Prioritization!$A:$A,0))</f>
        <v>INVALID</v>
      </c>
      <c r="B79" t="s">
        <v>308</v>
      </c>
      <c r="C79" t="s">
        <v>475</v>
      </c>
      <c r="D79" t="s">
        <v>30</v>
      </c>
      <c r="E79" t="str">
        <f t="shared" ref="E79:E142" si="4">B79&amp;"|"&amp;C79&amp;"|"&amp;D79</f>
        <v>Karonga District [cPtvxaZqXIH]|15-24|Female</v>
      </c>
      <c r="F79" s="38">
        <f>IF(LEFT($B79,4)="_Mil","",INDEX(Cascade!$U:$U,MATCH($E79,Cascade!$E:$E,0)))</f>
        <v>826</v>
      </c>
      <c r="G79" s="38">
        <f>IFERROR(1/(1/INDEX(HTS!$AU:$AU,MATCH($E79,HTS!$E:$E,0))),"")</f>
        <v>15357</v>
      </c>
      <c r="H79" s="38" t="str">
        <f>IF(OR($C79="15-24",$C79="25-34"),IFERROR(1/(1/SUM(SUMIFS(AGYW!$S:$S,AGYW!$B:$B,$B79,AGYW!$C:$C,IF($C79="15-24",{"15-19","20-24"},{"25-29"}),AGYW!$D:$D,$D79))),""),"")</f>
        <v/>
      </c>
      <c r="I79" s="38" t="str">
        <f>IF(OR($C79="15-24",$C79="25-34"),IFERROR(1/(1/SUM(SUMIFS(AGYW!$T:$T,AGYW!$B:$B,$B79,AGYW!$C:$C,IF($C79="15-24",{"15-19","20-24"},{"25-29"}),AGYW!$D:$D,$D79))),""),"")</f>
        <v/>
      </c>
      <c r="J79" s="38">
        <v>191</v>
      </c>
      <c r="K79" s="38">
        <v>150</v>
      </c>
      <c r="L79">
        <v>274</v>
      </c>
      <c r="M79" s="38">
        <v>10</v>
      </c>
      <c r="N79" s="38">
        <v>43</v>
      </c>
      <c r="O79">
        <v>30</v>
      </c>
      <c r="P79" s="38">
        <f>2</f>
        <v>2</v>
      </c>
      <c r="Q79" s="218">
        <f t="shared" ref="Q79:Q142" si="5">IF(SUM($O79)=0,"",ROUND($O79*$P79,0))</f>
        <v>60</v>
      </c>
    </row>
    <row r="80" spans="1:17" hidden="1" x14ac:dyDescent="0.2">
      <c r="A80" t="str">
        <f>INDEX(Prioritization!$D:$D,MATCH($B80,Prioritization!$A:$A,0))</f>
        <v>INVALID</v>
      </c>
      <c r="B80" t="s">
        <v>308</v>
      </c>
      <c r="C80" t="s">
        <v>475</v>
      </c>
      <c r="D80" t="s">
        <v>48</v>
      </c>
      <c r="E80" t="str">
        <f t="shared" si="4"/>
        <v>Karonga District [cPtvxaZqXIH]|15-24|Male</v>
      </c>
      <c r="F80" s="38">
        <f>IF(LEFT($B80,4)="_Mil","",INDEX(Cascade!$U:$U,MATCH($E80,Cascade!$E:$E,0)))</f>
        <v>589</v>
      </c>
      <c r="G80" s="38">
        <f>IFERROR(1/(1/INDEX(HTS!$AU:$AU,MATCH($E80,HTS!$E:$E,0))),"")</f>
        <v>2959</v>
      </c>
      <c r="H80" s="38" t="str">
        <f>IF(OR($C80="15-24",$C80="25-34"),IFERROR(1/(1/SUM(SUMIFS(AGYW!$S:$S,AGYW!$B:$B,$B80,AGYW!$C:$C,IF($C80="15-24",{"15-19","20-24"},{"25-29"}),AGYW!$D:$D,$D80))),""),"")</f>
        <v/>
      </c>
      <c r="I80" s="38" t="str">
        <f>IF(OR($C80="15-24",$C80="25-34"),IFERROR(1/(1/SUM(SUMIFS(AGYW!$T:$T,AGYW!$B:$B,$B80,AGYW!$C:$C,IF($C80="15-24",{"15-19","20-24"},{"25-29"}),AGYW!$D:$D,$D80))),""),"")</f>
        <v/>
      </c>
      <c r="J80" s="38">
        <v>156</v>
      </c>
      <c r="K80" s="38">
        <v>54</v>
      </c>
      <c r="L80">
        <v>224</v>
      </c>
      <c r="M80" s="38">
        <v>3</v>
      </c>
      <c r="N80" s="38">
        <v>16</v>
      </c>
      <c r="O80">
        <v>9</v>
      </c>
      <c r="P80" s="38">
        <f>2</f>
        <v>2</v>
      </c>
      <c r="Q80" s="218">
        <f t="shared" si="5"/>
        <v>18</v>
      </c>
    </row>
    <row r="81" spans="1:17" x14ac:dyDescent="0.2">
      <c r="A81" t="str">
        <f>INDEX(Prioritization!$D:$D,MATCH($B81,Prioritization!$A:$A,0))</f>
        <v>INVALID</v>
      </c>
      <c r="B81" t="s">
        <v>308</v>
      </c>
      <c r="C81" t="s">
        <v>476</v>
      </c>
      <c r="D81" t="s">
        <v>30</v>
      </c>
      <c r="E81" t="str">
        <f t="shared" si="4"/>
        <v>Karonga District [cPtvxaZqXIH]|25-34|Female</v>
      </c>
      <c r="F81" s="38">
        <f>IF(LEFT($B81,4)="_Mil","",INDEX(Cascade!$U:$U,MATCH($E81,Cascade!$E:$E,0)))</f>
        <v>2017</v>
      </c>
      <c r="G81" s="38">
        <f>IFERROR(1/(1/INDEX(HTS!$AU:$AU,MATCH($E81,HTS!$E:$E,0))),"")</f>
        <v>12954</v>
      </c>
      <c r="H81" s="38" t="str">
        <f>IF(OR($C81="15-24",$C81="25-34"),IFERROR(1/(1/SUM(SUMIFS(AGYW!$S:$S,AGYW!$B:$B,$B81,AGYW!$C:$C,IF($C81="15-24",{"15-19","20-24"},{"25-29"}),AGYW!$D:$D,$D81))),""),"")</f>
        <v/>
      </c>
      <c r="I81" s="38" t="str">
        <f>IF(OR($C81="15-24",$C81="25-34"),IFERROR(1/(1/SUM(SUMIFS(AGYW!$T:$T,AGYW!$B:$B,$B81,AGYW!$C:$C,IF($C81="15-24",{"15-19","20-24"},{"25-29"}),AGYW!$D:$D,$D81))),""),"")</f>
        <v/>
      </c>
      <c r="J81" s="38">
        <v>191</v>
      </c>
      <c r="K81" s="38">
        <v>196</v>
      </c>
      <c r="L81">
        <v>274</v>
      </c>
      <c r="M81" s="38">
        <v>12</v>
      </c>
      <c r="N81" s="38">
        <v>57</v>
      </c>
      <c r="O81">
        <v>36</v>
      </c>
      <c r="P81" s="38">
        <f>2</f>
        <v>2</v>
      </c>
      <c r="Q81" s="218">
        <f t="shared" si="5"/>
        <v>72</v>
      </c>
    </row>
    <row r="82" spans="1:17" hidden="1" x14ac:dyDescent="0.2">
      <c r="A82" t="str">
        <f>INDEX(Prioritization!$D:$D,MATCH($B82,Prioritization!$A:$A,0))</f>
        <v>INVALID</v>
      </c>
      <c r="B82" t="s">
        <v>308</v>
      </c>
      <c r="C82" t="s">
        <v>476</v>
      </c>
      <c r="D82" t="s">
        <v>48</v>
      </c>
      <c r="E82" t="str">
        <f t="shared" si="4"/>
        <v>Karonga District [cPtvxaZqXIH]|25-34|Male</v>
      </c>
      <c r="F82" s="38">
        <f>IF(LEFT($B82,4)="_Mil","",INDEX(Cascade!$U:$U,MATCH($E82,Cascade!$E:$E,0)))</f>
        <v>753</v>
      </c>
      <c r="G82" s="38">
        <f>IFERROR(1/(1/INDEX(HTS!$AU:$AU,MATCH($E82,HTS!$E:$E,0))),"")</f>
        <v>672</v>
      </c>
      <c r="H82" s="38" t="str">
        <f>IF(OR($C82="15-24",$C82="25-34"),IFERROR(1/(1/SUM(SUMIFS(AGYW!$S:$S,AGYW!$B:$B,$B82,AGYW!$C:$C,IF($C82="15-24",{"15-19","20-24"},{"25-29"}),AGYW!$D:$D,$D82))),""),"")</f>
        <v/>
      </c>
      <c r="I82" s="38" t="str">
        <f>IF(OR($C82="15-24",$C82="25-34"),IFERROR(1/(1/SUM(SUMIFS(AGYW!$T:$T,AGYW!$B:$B,$B82,AGYW!$C:$C,IF($C82="15-24",{"15-19","20-24"},{"25-29"}),AGYW!$D:$D,$D82))),""),"")</f>
        <v/>
      </c>
      <c r="J82" s="38">
        <v>196</v>
      </c>
      <c r="K82" s="38">
        <v>103</v>
      </c>
      <c r="L82">
        <v>281</v>
      </c>
      <c r="M82" s="38">
        <v>7</v>
      </c>
      <c r="N82" s="38">
        <v>30</v>
      </c>
      <c r="O82">
        <v>21</v>
      </c>
      <c r="P82" s="38">
        <f>2</f>
        <v>2</v>
      </c>
      <c r="Q82" s="218">
        <f t="shared" si="5"/>
        <v>42</v>
      </c>
    </row>
    <row r="83" spans="1:17" x14ac:dyDescent="0.2">
      <c r="A83" t="str">
        <f>INDEX(Prioritization!$D:$D,MATCH($B83,Prioritization!$A:$A,0))</f>
        <v>INVALID</v>
      </c>
      <c r="B83" t="s">
        <v>308</v>
      </c>
      <c r="C83" t="s">
        <v>477</v>
      </c>
      <c r="D83" t="s">
        <v>30</v>
      </c>
      <c r="E83" t="str">
        <f t="shared" si="4"/>
        <v>Karonga District [cPtvxaZqXIH]|35-49|Female</v>
      </c>
      <c r="F83" s="38">
        <f>IF(LEFT($B83,4)="_Mil","",INDEX(Cascade!$U:$U,MATCH($E83,Cascade!$E:$E,0)))</f>
        <v>5116</v>
      </c>
      <c r="G83" s="38">
        <f>IFERROR(1/(1/INDEX(HTS!$AU:$AU,MATCH($E83,HTS!$E:$E,0))),"")</f>
        <v>4926</v>
      </c>
      <c r="H83" s="38" t="str">
        <f>IF(OR($C83="15-24",$C83="25-34"),IFERROR(1/(1/SUM(SUMIFS(AGYW!$S:$S,AGYW!$B:$B,$B83,AGYW!$C:$C,IF($C83="15-24",{"15-19","20-24"},{"25-29"}),AGYW!$D:$D,$D83))),""),"")</f>
        <v/>
      </c>
      <c r="I83" s="38" t="str">
        <f>IF(OR($C83="15-24",$C83="25-34"),IFERROR(1/(1/SUM(SUMIFS(AGYW!$T:$T,AGYW!$B:$B,$B83,AGYW!$C:$C,IF($C83="15-24",{"15-19","20-24"},{"25-29"}),AGYW!$D:$D,$D83))),""),"")</f>
        <v/>
      </c>
      <c r="J83" s="38">
        <v>140</v>
      </c>
      <c r="K83" s="38">
        <v>178</v>
      </c>
      <c r="L83">
        <v>201</v>
      </c>
      <c r="M83" s="38">
        <v>17</v>
      </c>
      <c r="N83" s="38">
        <v>52</v>
      </c>
      <c r="O83">
        <v>51</v>
      </c>
      <c r="P83" s="38">
        <f>2</f>
        <v>2</v>
      </c>
      <c r="Q83" s="218">
        <f t="shared" si="5"/>
        <v>102</v>
      </c>
    </row>
    <row r="84" spans="1:17" hidden="1" x14ac:dyDescent="0.2">
      <c r="A84" t="str">
        <f>INDEX(Prioritization!$D:$D,MATCH($B84,Prioritization!$A:$A,0))</f>
        <v>INVALID</v>
      </c>
      <c r="B84" t="s">
        <v>308</v>
      </c>
      <c r="C84" t="s">
        <v>477</v>
      </c>
      <c r="D84" t="s">
        <v>48</v>
      </c>
      <c r="E84" t="str">
        <f t="shared" si="4"/>
        <v>Karonga District [cPtvxaZqXIH]|35-49|Male</v>
      </c>
      <c r="F84" s="38">
        <f>IF(LEFT($B84,4)="_Mil","",INDEX(Cascade!$U:$U,MATCH($E84,Cascade!$E:$E,0)))</f>
        <v>2889</v>
      </c>
      <c r="G84" s="38">
        <f>IFERROR(1/(1/INDEX(HTS!$AU:$AU,MATCH($E84,HTS!$E:$E,0))),"")</f>
        <v>709</v>
      </c>
      <c r="H84" s="38" t="str">
        <f>IF(OR($C84="15-24",$C84="25-34"),IFERROR(1/(1/SUM(SUMIFS(AGYW!$S:$S,AGYW!$B:$B,$B84,AGYW!$C:$C,IF($C84="15-24",{"15-19","20-24"},{"25-29"}),AGYW!$D:$D,$D84))),""),"")</f>
        <v/>
      </c>
      <c r="I84" s="38" t="str">
        <f>IF(OR($C84="15-24",$C84="25-34"),IFERROR(1/(1/SUM(SUMIFS(AGYW!$T:$T,AGYW!$B:$B,$B84,AGYW!$C:$C,IF($C84="15-24",{"15-19","20-24"},{"25-29"}),AGYW!$D:$D,$D84))),""),"")</f>
        <v/>
      </c>
      <c r="J84" s="38">
        <v>150</v>
      </c>
      <c r="K84" s="38">
        <v>104</v>
      </c>
      <c r="L84">
        <v>215</v>
      </c>
      <c r="M84" s="38">
        <v>10</v>
      </c>
      <c r="N84" s="38">
        <v>30</v>
      </c>
      <c r="O84">
        <v>30</v>
      </c>
      <c r="P84" s="38">
        <f>2</f>
        <v>2</v>
      </c>
      <c r="Q84" s="218">
        <f t="shared" si="5"/>
        <v>60</v>
      </c>
    </row>
    <row r="85" spans="1:17" x14ac:dyDescent="0.2">
      <c r="A85" t="str">
        <f>INDEX(Prioritization!$D:$D,MATCH($B85,Prioritization!$A:$A,0))</f>
        <v>INVALID</v>
      </c>
      <c r="B85" t="s">
        <v>308</v>
      </c>
      <c r="C85" t="s">
        <v>478</v>
      </c>
      <c r="D85" t="s">
        <v>30</v>
      </c>
      <c r="E85" t="str">
        <f t="shared" si="4"/>
        <v>Karonga District [cPtvxaZqXIH]|50+|Female</v>
      </c>
      <c r="F85" s="38">
        <f>IF(LEFT($B85,4)="_Mil","",INDEX(Cascade!$U:$U,MATCH($E85,Cascade!$E:$E,0)))</f>
        <v>2362</v>
      </c>
      <c r="G85" s="38">
        <f>IFERROR(1/(1/INDEX(HTS!$AU:$AU,MATCH($E85,HTS!$E:$E,0))),"")</f>
        <v>2877</v>
      </c>
      <c r="H85" s="38" t="str">
        <f>IF(OR($C85="15-24",$C85="25-34"),IFERROR(1/(1/SUM(SUMIFS(AGYW!$S:$S,AGYW!$B:$B,$B85,AGYW!$C:$C,IF($C85="15-24",{"15-19","20-24"},{"25-29"}),AGYW!$D:$D,$D85))),""),"")</f>
        <v/>
      </c>
      <c r="I85" s="38" t="str">
        <f>IF(OR($C85="15-24",$C85="25-34"),IFERROR(1/(1/SUM(SUMIFS(AGYW!$T:$T,AGYW!$B:$B,$B85,AGYW!$C:$C,IF($C85="15-24",{"15-19","20-24"},{"25-29"}),AGYW!$D:$D,$D85))),""),"")</f>
        <v/>
      </c>
      <c r="J85" s="38">
        <v>26</v>
      </c>
      <c r="K85" s="38">
        <v>2</v>
      </c>
      <c r="L85">
        <v>37</v>
      </c>
      <c r="M85" s="38">
        <v>2</v>
      </c>
      <c r="N85" s="38">
        <v>1</v>
      </c>
      <c r="O85">
        <v>6</v>
      </c>
      <c r="P85" s="38">
        <f>2</f>
        <v>2</v>
      </c>
      <c r="Q85" s="218">
        <f t="shared" si="5"/>
        <v>12</v>
      </c>
    </row>
    <row r="86" spans="1:17" hidden="1" x14ac:dyDescent="0.2">
      <c r="A86" t="str">
        <f>INDEX(Prioritization!$D:$D,MATCH($B86,Prioritization!$A:$A,0))</f>
        <v>INVALID</v>
      </c>
      <c r="B86" t="s">
        <v>308</v>
      </c>
      <c r="C86" t="s">
        <v>478</v>
      </c>
      <c r="D86" t="s">
        <v>48</v>
      </c>
      <c r="E86" t="str">
        <f t="shared" si="4"/>
        <v>Karonga District [cPtvxaZqXIH]|50+|Male</v>
      </c>
      <c r="F86" s="38">
        <f>IF(LEFT($B86,4)="_Mil","",INDEX(Cascade!$U:$U,MATCH($E86,Cascade!$E:$E,0)))</f>
        <v>2048</v>
      </c>
      <c r="G86" s="38">
        <f>IFERROR(1/(1/INDEX(HTS!$AU:$AU,MATCH($E86,HTS!$E:$E,0))),"")</f>
        <v>2651</v>
      </c>
      <c r="H86" s="38" t="str">
        <f>IF(OR($C86="15-24",$C86="25-34"),IFERROR(1/(1/SUM(SUMIFS(AGYW!$S:$S,AGYW!$B:$B,$B86,AGYW!$C:$C,IF($C86="15-24",{"15-19","20-24"},{"25-29"}),AGYW!$D:$D,$D86))),""),"")</f>
        <v/>
      </c>
      <c r="I86" s="38" t="str">
        <f>IF(OR($C86="15-24",$C86="25-34"),IFERROR(1/(1/SUM(SUMIFS(AGYW!$T:$T,AGYW!$B:$B,$B86,AGYW!$C:$C,IF($C86="15-24",{"15-19","20-24"},{"25-29"}),AGYW!$D:$D,$D86))),""),"")</f>
        <v/>
      </c>
      <c r="J86" s="38">
        <v>47</v>
      </c>
      <c r="K86" s="38">
        <v>82</v>
      </c>
      <c r="L86">
        <v>67</v>
      </c>
      <c r="M86" s="38">
        <v>2</v>
      </c>
      <c r="N86" s="38">
        <v>24</v>
      </c>
      <c r="O86">
        <v>6</v>
      </c>
      <c r="P86" s="38">
        <f>2</f>
        <v>2</v>
      </c>
      <c r="Q86" s="218">
        <f t="shared" si="5"/>
        <v>12</v>
      </c>
    </row>
    <row r="87" spans="1:17" x14ac:dyDescent="0.2">
      <c r="A87" t="str">
        <f>INDEX(Prioritization!$D:$D,MATCH($B87,Prioritization!$A:$A,0))</f>
        <v>INVALID</v>
      </c>
      <c r="B87" t="s">
        <v>300</v>
      </c>
      <c r="C87" t="s">
        <v>475</v>
      </c>
      <c r="D87" t="s">
        <v>30</v>
      </c>
      <c r="E87" t="str">
        <f t="shared" si="4"/>
        <v>Kasungu District [JQKLKuVuY61]|15-24|Female</v>
      </c>
      <c r="F87" s="38">
        <f>IF(LEFT($B87,4)="_Mil","",INDEX(Cascade!$U:$U,MATCH($E87,Cascade!$E:$E,0)))</f>
        <v>918</v>
      </c>
      <c r="G87" s="38">
        <f>IFERROR(1/(1/INDEX(HTS!$AU:$AU,MATCH($E87,HTS!$E:$E,0))),"")</f>
        <v>14849.000000000002</v>
      </c>
      <c r="H87" s="38" t="str">
        <f>IF(OR($C87="15-24",$C87="25-34"),IFERROR(1/(1/SUM(SUMIFS(AGYW!$S:$S,AGYW!$B:$B,$B87,AGYW!$C:$C,IF($C87="15-24",{"15-19","20-24"},{"25-29"}),AGYW!$D:$D,$D87))),""),"")</f>
        <v/>
      </c>
      <c r="I87" s="38" t="str">
        <f>IF(OR($C87="15-24",$C87="25-34"),IFERROR(1/(1/SUM(SUMIFS(AGYW!$T:$T,AGYW!$B:$B,$B87,AGYW!$C:$C,IF($C87="15-24",{"15-19","20-24"},{"25-29"}),AGYW!$D:$D,$D87))),""),"")</f>
        <v/>
      </c>
      <c r="J87" s="38">
        <v>174</v>
      </c>
      <c r="K87" s="38">
        <v>346</v>
      </c>
      <c r="L87">
        <v>250</v>
      </c>
      <c r="M87" s="38">
        <v>10</v>
      </c>
      <c r="N87" s="38">
        <v>100</v>
      </c>
      <c r="O87">
        <v>30</v>
      </c>
      <c r="P87" s="38">
        <f>2</f>
        <v>2</v>
      </c>
      <c r="Q87" s="218">
        <f t="shared" si="5"/>
        <v>60</v>
      </c>
    </row>
    <row r="88" spans="1:17" hidden="1" x14ac:dyDescent="0.2">
      <c r="A88" t="str">
        <f>INDEX(Prioritization!$D:$D,MATCH($B88,Prioritization!$A:$A,0))</f>
        <v>INVALID</v>
      </c>
      <c r="B88" t="s">
        <v>300</v>
      </c>
      <c r="C88" t="s">
        <v>475</v>
      </c>
      <c r="D88" t="s">
        <v>48</v>
      </c>
      <c r="E88" t="str">
        <f t="shared" si="4"/>
        <v>Kasungu District [JQKLKuVuY61]|15-24|Male</v>
      </c>
      <c r="F88" s="38">
        <f>IF(LEFT($B88,4)="_Mil","",INDEX(Cascade!$U:$U,MATCH($E88,Cascade!$E:$E,0)))</f>
        <v>673</v>
      </c>
      <c r="G88" s="38">
        <f>IFERROR(1/(1/INDEX(HTS!$AU:$AU,MATCH($E88,HTS!$E:$E,0))),"")</f>
        <v>2478</v>
      </c>
      <c r="H88" s="38" t="str">
        <f>IF(OR($C88="15-24",$C88="25-34"),IFERROR(1/(1/SUM(SUMIFS(AGYW!$S:$S,AGYW!$B:$B,$B88,AGYW!$C:$C,IF($C88="15-24",{"15-19","20-24"},{"25-29"}),AGYW!$D:$D,$D88))),""),"")</f>
        <v/>
      </c>
      <c r="I88" s="38" t="str">
        <f>IF(OR($C88="15-24",$C88="25-34"),IFERROR(1/(1/SUM(SUMIFS(AGYW!$T:$T,AGYW!$B:$B,$B88,AGYW!$C:$C,IF($C88="15-24",{"15-19","20-24"},{"25-29"}),AGYW!$D:$D,$D88))),""),"")</f>
        <v/>
      </c>
      <c r="J88" s="38">
        <v>92</v>
      </c>
      <c r="K88" s="38">
        <v>124</v>
      </c>
      <c r="L88">
        <v>132</v>
      </c>
      <c r="M88" s="38">
        <v>7</v>
      </c>
      <c r="N88" s="38">
        <v>36</v>
      </c>
      <c r="O88">
        <v>21</v>
      </c>
      <c r="P88" s="38">
        <f>2</f>
        <v>2</v>
      </c>
      <c r="Q88" s="218">
        <f t="shared" si="5"/>
        <v>42</v>
      </c>
    </row>
    <row r="89" spans="1:17" x14ac:dyDescent="0.2">
      <c r="A89" t="str">
        <f>INDEX(Prioritization!$D:$D,MATCH($B89,Prioritization!$A:$A,0))</f>
        <v>INVALID</v>
      </c>
      <c r="B89" t="s">
        <v>300</v>
      </c>
      <c r="C89" t="s">
        <v>476</v>
      </c>
      <c r="D89" t="s">
        <v>30</v>
      </c>
      <c r="E89" t="str">
        <f t="shared" si="4"/>
        <v>Kasungu District [JQKLKuVuY61]|25-34|Female</v>
      </c>
      <c r="F89" s="38">
        <f>IF(LEFT($B89,4)="_Mil","",INDEX(Cascade!$U:$U,MATCH($E89,Cascade!$E:$E,0)))</f>
        <v>2224</v>
      </c>
      <c r="G89" s="38">
        <f>IFERROR(1/(1/INDEX(HTS!$AU:$AU,MATCH($E89,HTS!$E:$E,0))),"")</f>
        <v>25719</v>
      </c>
      <c r="H89" s="38" t="str">
        <f>IF(OR($C89="15-24",$C89="25-34"),IFERROR(1/(1/SUM(SUMIFS(AGYW!$S:$S,AGYW!$B:$B,$B89,AGYW!$C:$C,IF($C89="15-24",{"15-19","20-24"},{"25-29"}),AGYW!$D:$D,$D89))),""),"")</f>
        <v/>
      </c>
      <c r="I89" s="38" t="str">
        <f>IF(OR($C89="15-24",$C89="25-34"),IFERROR(1/(1/SUM(SUMIFS(AGYW!$T:$T,AGYW!$B:$B,$B89,AGYW!$C:$C,IF($C89="15-24",{"15-19","20-24"},{"25-29"}),AGYW!$D:$D,$D89))),""),"")</f>
        <v/>
      </c>
      <c r="J89" s="38">
        <v>217</v>
      </c>
      <c r="K89" s="38">
        <v>453</v>
      </c>
      <c r="L89">
        <v>312</v>
      </c>
      <c r="M89" s="38">
        <v>24</v>
      </c>
      <c r="N89" s="38">
        <v>131</v>
      </c>
      <c r="O89">
        <v>72</v>
      </c>
      <c r="P89" s="38">
        <f>2</f>
        <v>2</v>
      </c>
      <c r="Q89" s="218">
        <f t="shared" si="5"/>
        <v>144</v>
      </c>
    </row>
    <row r="90" spans="1:17" hidden="1" x14ac:dyDescent="0.2">
      <c r="A90" t="str">
        <f>INDEX(Prioritization!$D:$D,MATCH($B90,Prioritization!$A:$A,0))</f>
        <v>INVALID</v>
      </c>
      <c r="B90" t="s">
        <v>300</v>
      </c>
      <c r="C90" t="s">
        <v>476</v>
      </c>
      <c r="D90" t="s">
        <v>48</v>
      </c>
      <c r="E90" t="str">
        <f t="shared" si="4"/>
        <v>Kasungu District [JQKLKuVuY61]|25-34|Male</v>
      </c>
      <c r="F90" s="38">
        <f>IF(LEFT($B90,4)="_Mil","",INDEX(Cascade!$U:$U,MATCH($E90,Cascade!$E:$E,0)))</f>
        <v>856</v>
      </c>
      <c r="G90" s="38">
        <f>IFERROR(1/(1/INDEX(HTS!$AU:$AU,MATCH($E90,HTS!$E:$E,0))),"")</f>
        <v>600</v>
      </c>
      <c r="H90" s="38" t="str">
        <f>IF(OR($C90="15-24",$C90="25-34"),IFERROR(1/(1/SUM(SUMIFS(AGYW!$S:$S,AGYW!$B:$B,$B90,AGYW!$C:$C,IF($C90="15-24",{"15-19","20-24"},{"25-29"}),AGYW!$D:$D,$D90))),""),"")</f>
        <v/>
      </c>
      <c r="I90" s="38" t="str">
        <f>IF(OR($C90="15-24",$C90="25-34"),IFERROR(1/(1/SUM(SUMIFS(AGYW!$T:$T,AGYW!$B:$B,$B90,AGYW!$C:$C,IF($C90="15-24",{"15-19","20-24"},{"25-29"}),AGYW!$D:$D,$D90))),""),"")</f>
        <v/>
      </c>
      <c r="J90" s="38">
        <v>155</v>
      </c>
      <c r="K90" s="38">
        <v>238</v>
      </c>
      <c r="L90">
        <v>223</v>
      </c>
      <c r="M90" s="38">
        <v>9</v>
      </c>
      <c r="N90" s="38">
        <v>69</v>
      </c>
      <c r="O90">
        <v>27</v>
      </c>
      <c r="P90" s="38">
        <f>2</f>
        <v>2</v>
      </c>
      <c r="Q90" s="218">
        <f t="shared" si="5"/>
        <v>54</v>
      </c>
    </row>
    <row r="91" spans="1:17" x14ac:dyDescent="0.2">
      <c r="A91" t="str">
        <f>INDEX(Prioritization!$D:$D,MATCH($B91,Prioritization!$A:$A,0))</f>
        <v>INVALID</v>
      </c>
      <c r="B91" t="s">
        <v>300</v>
      </c>
      <c r="C91" t="s">
        <v>477</v>
      </c>
      <c r="D91" t="s">
        <v>30</v>
      </c>
      <c r="E91" t="str">
        <f t="shared" si="4"/>
        <v>Kasungu District [JQKLKuVuY61]|35-49|Female</v>
      </c>
      <c r="F91" s="38">
        <f>IF(LEFT($B91,4)="_Mil","",INDEX(Cascade!$U:$U,MATCH($E91,Cascade!$E:$E,0)))</f>
        <v>6117</v>
      </c>
      <c r="G91" s="38">
        <f>IFERROR(1/(1/INDEX(HTS!$AU:$AU,MATCH($E91,HTS!$E:$E,0))),"")</f>
        <v>8515</v>
      </c>
      <c r="H91" s="38" t="str">
        <f>IF(OR($C91="15-24",$C91="25-34"),IFERROR(1/(1/SUM(SUMIFS(AGYW!$S:$S,AGYW!$B:$B,$B91,AGYW!$C:$C,IF($C91="15-24",{"15-19","20-24"},{"25-29"}),AGYW!$D:$D,$D91))),""),"")</f>
        <v/>
      </c>
      <c r="I91" s="38" t="str">
        <f>IF(OR($C91="15-24",$C91="25-34"),IFERROR(1/(1/SUM(SUMIFS(AGYW!$T:$T,AGYW!$B:$B,$B91,AGYW!$C:$C,IF($C91="15-24",{"15-19","20-24"},{"25-29"}),AGYW!$D:$D,$D91))),""),"")</f>
        <v/>
      </c>
      <c r="J91" s="38">
        <v>182</v>
      </c>
      <c r="K91" s="38">
        <v>411</v>
      </c>
      <c r="L91">
        <v>261</v>
      </c>
      <c r="M91" s="38">
        <v>34</v>
      </c>
      <c r="N91" s="38">
        <v>119</v>
      </c>
      <c r="O91">
        <v>101</v>
      </c>
      <c r="P91" s="38">
        <f>2</f>
        <v>2</v>
      </c>
      <c r="Q91" s="218">
        <f t="shared" si="5"/>
        <v>202</v>
      </c>
    </row>
    <row r="92" spans="1:17" hidden="1" x14ac:dyDescent="0.2">
      <c r="A92" t="str">
        <f>INDEX(Prioritization!$D:$D,MATCH($B92,Prioritization!$A:$A,0))</f>
        <v>INVALID</v>
      </c>
      <c r="B92" t="s">
        <v>300</v>
      </c>
      <c r="C92" t="s">
        <v>477</v>
      </c>
      <c r="D92" t="s">
        <v>48</v>
      </c>
      <c r="E92" t="str">
        <f t="shared" si="4"/>
        <v>Kasungu District [JQKLKuVuY61]|35-49|Male</v>
      </c>
      <c r="F92" s="38">
        <f>IF(LEFT($B92,4)="_Mil","",INDEX(Cascade!$U:$U,MATCH($E92,Cascade!$E:$E,0)))</f>
        <v>3486</v>
      </c>
      <c r="G92" s="38">
        <f>IFERROR(1/(1/INDEX(HTS!$AU:$AU,MATCH($E92,HTS!$E:$E,0))),"")</f>
        <v>1364</v>
      </c>
      <c r="H92" s="38" t="str">
        <f>IF(OR($C92="15-24",$C92="25-34"),IFERROR(1/(1/SUM(SUMIFS(AGYW!$S:$S,AGYW!$B:$B,$B92,AGYW!$C:$C,IF($C92="15-24",{"15-19","20-24"},{"25-29"}),AGYW!$D:$D,$D92))),""),"")</f>
        <v/>
      </c>
      <c r="I92" s="38" t="str">
        <f>IF(OR($C92="15-24",$C92="25-34"),IFERROR(1/(1/SUM(SUMIFS(AGYW!$T:$T,AGYW!$B:$B,$B92,AGYW!$C:$C,IF($C92="15-24",{"15-19","20-24"},{"25-29"}),AGYW!$D:$D,$D92))),""),"")</f>
        <v/>
      </c>
      <c r="J92" s="38">
        <v>144</v>
      </c>
      <c r="K92" s="38">
        <v>242</v>
      </c>
      <c r="L92">
        <v>207</v>
      </c>
      <c r="M92" s="38">
        <v>18</v>
      </c>
      <c r="N92" s="38">
        <v>70</v>
      </c>
      <c r="O92">
        <v>54</v>
      </c>
      <c r="P92" s="38">
        <f>2</f>
        <v>2</v>
      </c>
      <c r="Q92" s="218">
        <f t="shared" si="5"/>
        <v>108</v>
      </c>
    </row>
    <row r="93" spans="1:17" x14ac:dyDescent="0.2">
      <c r="A93" t="str">
        <f>INDEX(Prioritization!$D:$D,MATCH($B93,Prioritization!$A:$A,0))</f>
        <v>INVALID</v>
      </c>
      <c r="B93" t="s">
        <v>300</v>
      </c>
      <c r="C93" t="s">
        <v>478</v>
      </c>
      <c r="D93" t="s">
        <v>30</v>
      </c>
      <c r="E93" t="str">
        <f t="shared" si="4"/>
        <v>Kasungu District [JQKLKuVuY61]|50+|Female</v>
      </c>
      <c r="F93" s="38">
        <f>IF(LEFT($B93,4)="_Mil","",INDEX(Cascade!$U:$U,MATCH($E93,Cascade!$E:$E,0)))</f>
        <v>2829</v>
      </c>
      <c r="G93" s="38">
        <f>IFERROR(1/(1/INDEX(HTS!$AU:$AU,MATCH($E93,HTS!$E:$E,0))),"")</f>
        <v>8312</v>
      </c>
      <c r="H93" s="38" t="str">
        <f>IF(OR($C93="15-24",$C93="25-34"),IFERROR(1/(1/SUM(SUMIFS(AGYW!$S:$S,AGYW!$B:$B,$B93,AGYW!$C:$C,IF($C93="15-24",{"15-19","20-24"},{"25-29"}),AGYW!$D:$D,$D93))),""),"")</f>
        <v/>
      </c>
      <c r="I93" s="38" t="str">
        <f>IF(OR($C93="15-24",$C93="25-34"),IFERROR(1/(1/SUM(SUMIFS(AGYW!$T:$T,AGYW!$B:$B,$B93,AGYW!$C:$C,IF($C93="15-24",{"15-19","20-24"},{"25-29"}),AGYW!$D:$D,$D93))),""),"")</f>
        <v/>
      </c>
      <c r="J93" s="38">
        <v>36</v>
      </c>
      <c r="K93" s="38">
        <v>5</v>
      </c>
      <c r="L93">
        <v>52</v>
      </c>
      <c r="M93" s="38">
        <v>9</v>
      </c>
      <c r="N93" s="38">
        <v>2</v>
      </c>
      <c r="O93">
        <v>27</v>
      </c>
      <c r="P93" s="38">
        <f>2</f>
        <v>2</v>
      </c>
      <c r="Q93" s="218">
        <f t="shared" si="5"/>
        <v>54</v>
      </c>
    </row>
    <row r="94" spans="1:17" hidden="1" x14ac:dyDescent="0.2">
      <c r="A94" t="str">
        <f>INDEX(Prioritization!$D:$D,MATCH($B94,Prioritization!$A:$A,0))</f>
        <v>INVALID</v>
      </c>
      <c r="B94" t="s">
        <v>300</v>
      </c>
      <c r="C94" t="s">
        <v>478</v>
      </c>
      <c r="D94" t="s">
        <v>48</v>
      </c>
      <c r="E94" t="str">
        <f t="shared" si="4"/>
        <v>Kasungu District [JQKLKuVuY61]|50+|Male</v>
      </c>
      <c r="F94" s="38">
        <f>IF(LEFT($B94,4)="_Mil","",INDEX(Cascade!$U:$U,MATCH($E94,Cascade!$E:$E,0)))</f>
        <v>2710</v>
      </c>
      <c r="G94" s="38">
        <f>IFERROR(1/(1/INDEX(HTS!$AU:$AU,MATCH($E94,HTS!$E:$E,0))),"")</f>
        <v>3143</v>
      </c>
      <c r="H94" s="38" t="str">
        <f>IF(OR($C94="15-24",$C94="25-34"),IFERROR(1/(1/SUM(SUMIFS(AGYW!$S:$S,AGYW!$B:$B,$B94,AGYW!$C:$C,IF($C94="15-24",{"15-19","20-24"},{"25-29"}),AGYW!$D:$D,$D94))),""),"")</f>
        <v/>
      </c>
      <c r="I94" s="38" t="str">
        <f>IF(OR($C94="15-24",$C94="25-34"),IFERROR(1/(1/SUM(SUMIFS(AGYW!$T:$T,AGYW!$B:$B,$B94,AGYW!$C:$C,IF($C94="15-24",{"15-19","20-24"},{"25-29"}),AGYW!$D:$D,$D94))),""),"")</f>
        <v/>
      </c>
      <c r="J94" s="38">
        <v>47</v>
      </c>
      <c r="K94" s="38">
        <v>190</v>
      </c>
      <c r="L94">
        <v>67</v>
      </c>
      <c r="M94" s="38">
        <v>11</v>
      </c>
      <c r="N94" s="38">
        <v>55</v>
      </c>
      <c r="O94">
        <v>33</v>
      </c>
      <c r="P94" s="38">
        <f>2</f>
        <v>2</v>
      </c>
      <c r="Q94" s="218">
        <f t="shared" si="5"/>
        <v>66</v>
      </c>
    </row>
    <row r="95" spans="1:17" x14ac:dyDescent="0.2">
      <c r="A95" t="str">
        <f>INDEX(Prioritization!$D:$D,MATCH($B95,Prioritization!$A:$A,0))</f>
        <v>4 - Sustained</v>
      </c>
      <c r="B95" t="s">
        <v>309</v>
      </c>
      <c r="C95" t="s">
        <v>475</v>
      </c>
      <c r="D95" t="s">
        <v>30</v>
      </c>
      <c r="E95" t="str">
        <f t="shared" si="4"/>
        <v>Likoma District [ZCjuwgaMB9u]|15-24|Female</v>
      </c>
      <c r="F95" s="38">
        <f>IF(LEFT($B95,4)="_Mil","",INDEX(Cascade!$U:$U,MATCH($E95,Cascade!$E:$E,0)))</f>
        <v>40</v>
      </c>
      <c r="G95" s="38">
        <f>IFERROR(1/(1/INDEX(HTS!$AU:$AU,MATCH($E95,HTS!$E:$E,0))),"")</f>
        <v>1804.9999999999998</v>
      </c>
      <c r="H95" s="38" t="str">
        <f>IF(OR($C95="15-24",$C95="25-34"),IFERROR(1/(1/SUM(SUMIFS(AGYW!$S:$S,AGYW!$B:$B,$B95,AGYW!$C:$C,IF($C95="15-24",{"15-19","20-24"},{"25-29"}),AGYW!$D:$D,$D95))),""),"")</f>
        <v/>
      </c>
      <c r="I95" s="38" t="str">
        <f>IF(OR($C95="15-24",$C95="25-34"),IFERROR(1/(1/SUM(SUMIFS(AGYW!$T:$T,AGYW!$B:$B,$B95,AGYW!$C:$C,IF($C95="15-24",{"15-19","20-24"},{"25-29"}),AGYW!$D:$D,$D95))),""),"")</f>
        <v/>
      </c>
      <c r="J95" s="38"/>
      <c r="K95" s="38">
        <v>7</v>
      </c>
      <c r="L95">
        <v>0</v>
      </c>
      <c r="M95" s="38"/>
      <c r="N95" s="38">
        <v>2</v>
      </c>
      <c r="O95">
        <v>0</v>
      </c>
      <c r="P95" s="38">
        <f>2</f>
        <v>2</v>
      </c>
      <c r="Q95" s="218" t="str">
        <f t="shared" si="5"/>
        <v/>
      </c>
    </row>
    <row r="96" spans="1:17" hidden="1" x14ac:dyDescent="0.2">
      <c r="A96" t="str">
        <f>INDEX(Prioritization!$D:$D,MATCH($B96,Prioritization!$A:$A,0))</f>
        <v>4 - Sustained</v>
      </c>
      <c r="B96" t="s">
        <v>309</v>
      </c>
      <c r="C96" t="s">
        <v>475</v>
      </c>
      <c r="D96" t="s">
        <v>48</v>
      </c>
      <c r="E96" t="str">
        <f t="shared" si="4"/>
        <v>Likoma District [ZCjuwgaMB9u]|15-24|Male</v>
      </c>
      <c r="F96" s="38">
        <f>IF(LEFT($B96,4)="_Mil","",INDEX(Cascade!$U:$U,MATCH($E96,Cascade!$E:$E,0)))</f>
        <v>31</v>
      </c>
      <c r="G96" s="38">
        <f>IFERROR(1/(1/INDEX(HTS!$AU:$AU,MATCH($E96,HTS!$E:$E,0))),"")</f>
        <v>232</v>
      </c>
      <c r="H96" s="38" t="str">
        <f>IF(OR($C96="15-24",$C96="25-34"),IFERROR(1/(1/SUM(SUMIFS(AGYW!$S:$S,AGYW!$B:$B,$B96,AGYW!$C:$C,IF($C96="15-24",{"15-19","20-24"},{"25-29"}),AGYW!$D:$D,$D96))),""),"")</f>
        <v/>
      </c>
      <c r="I96" s="38" t="str">
        <f>IF(OR($C96="15-24",$C96="25-34"),IFERROR(1/(1/SUM(SUMIFS(AGYW!$T:$T,AGYW!$B:$B,$B96,AGYW!$C:$C,IF($C96="15-24",{"15-19","20-24"},{"25-29"}),AGYW!$D:$D,$D96))),""),"")</f>
        <v/>
      </c>
      <c r="J96" s="38"/>
      <c r="K96" s="38">
        <v>2</v>
      </c>
      <c r="L96">
        <v>0</v>
      </c>
      <c r="M96" s="38"/>
      <c r="N96" s="38">
        <v>1</v>
      </c>
      <c r="O96">
        <v>0</v>
      </c>
      <c r="P96" s="38">
        <f>2</f>
        <v>2</v>
      </c>
      <c r="Q96" s="218" t="str">
        <f t="shared" si="5"/>
        <v/>
      </c>
    </row>
    <row r="97" spans="1:17" x14ac:dyDescent="0.2">
      <c r="A97" t="str">
        <f>INDEX(Prioritization!$D:$D,MATCH($B97,Prioritization!$A:$A,0))</f>
        <v>4 - Sustained</v>
      </c>
      <c r="B97" t="s">
        <v>309</v>
      </c>
      <c r="C97" t="s">
        <v>476</v>
      </c>
      <c r="D97" t="s">
        <v>30</v>
      </c>
      <c r="E97" t="str">
        <f t="shared" si="4"/>
        <v>Likoma District [ZCjuwgaMB9u]|25-34|Female</v>
      </c>
      <c r="F97" s="38">
        <f>IF(LEFT($B97,4)="_Mil","",INDEX(Cascade!$U:$U,MATCH($E97,Cascade!$E:$E,0)))</f>
        <v>109</v>
      </c>
      <c r="G97" s="38">
        <f>IFERROR(1/(1/INDEX(HTS!$AU:$AU,MATCH($E97,HTS!$E:$E,0))),"")</f>
        <v>781.99999999999989</v>
      </c>
      <c r="H97" s="38" t="str">
        <f>IF(OR($C97="15-24",$C97="25-34"),IFERROR(1/(1/SUM(SUMIFS(AGYW!$S:$S,AGYW!$B:$B,$B97,AGYW!$C:$C,IF($C97="15-24",{"15-19","20-24"},{"25-29"}),AGYW!$D:$D,$D97))),""),"")</f>
        <v/>
      </c>
      <c r="I97" s="38" t="str">
        <f>IF(OR($C97="15-24",$C97="25-34"),IFERROR(1/(1/SUM(SUMIFS(AGYW!$T:$T,AGYW!$B:$B,$B97,AGYW!$C:$C,IF($C97="15-24",{"15-19","20-24"},{"25-29"}),AGYW!$D:$D,$D97))),""),"")</f>
        <v/>
      </c>
      <c r="J97" s="38"/>
      <c r="K97" s="38">
        <v>9</v>
      </c>
      <c r="L97">
        <v>0</v>
      </c>
      <c r="M97" s="38"/>
      <c r="N97" s="38">
        <v>3</v>
      </c>
      <c r="O97">
        <v>0</v>
      </c>
      <c r="P97" s="38">
        <f>2</f>
        <v>2</v>
      </c>
      <c r="Q97" s="218" t="str">
        <f t="shared" si="5"/>
        <v/>
      </c>
    </row>
    <row r="98" spans="1:17" hidden="1" x14ac:dyDescent="0.2">
      <c r="A98" t="str">
        <f>INDEX(Prioritization!$D:$D,MATCH($B98,Prioritization!$A:$A,0))</f>
        <v>4 - Sustained</v>
      </c>
      <c r="B98" t="s">
        <v>309</v>
      </c>
      <c r="C98" t="s">
        <v>476</v>
      </c>
      <c r="D98" t="s">
        <v>48</v>
      </c>
      <c r="E98" t="str">
        <f t="shared" si="4"/>
        <v>Likoma District [ZCjuwgaMB9u]|25-34|Male</v>
      </c>
      <c r="F98" s="38">
        <f>IF(LEFT($B98,4)="_Mil","",INDEX(Cascade!$U:$U,MATCH($E98,Cascade!$E:$E,0)))</f>
        <v>53</v>
      </c>
      <c r="G98" s="38">
        <f>IFERROR(1/(1/INDEX(HTS!$AU:$AU,MATCH($E98,HTS!$E:$E,0))),"")</f>
        <v>76</v>
      </c>
      <c r="H98" s="38" t="str">
        <f>IF(OR($C98="15-24",$C98="25-34"),IFERROR(1/(1/SUM(SUMIFS(AGYW!$S:$S,AGYW!$B:$B,$B98,AGYW!$C:$C,IF($C98="15-24",{"15-19","20-24"},{"25-29"}),AGYW!$D:$D,$D98))),""),"")</f>
        <v/>
      </c>
      <c r="I98" s="38" t="str">
        <f>IF(OR($C98="15-24",$C98="25-34"),IFERROR(1/(1/SUM(SUMIFS(AGYW!$T:$T,AGYW!$B:$B,$B98,AGYW!$C:$C,IF($C98="15-24",{"15-19","20-24"},{"25-29"}),AGYW!$D:$D,$D98))),""),"")</f>
        <v/>
      </c>
      <c r="J98" s="38"/>
      <c r="K98" s="38">
        <v>5</v>
      </c>
      <c r="L98">
        <v>0</v>
      </c>
      <c r="M98" s="38"/>
      <c r="N98" s="38">
        <v>1</v>
      </c>
      <c r="O98">
        <v>0</v>
      </c>
      <c r="P98" s="38">
        <f>2</f>
        <v>2</v>
      </c>
      <c r="Q98" s="218" t="str">
        <f t="shared" si="5"/>
        <v/>
      </c>
    </row>
    <row r="99" spans="1:17" x14ac:dyDescent="0.2">
      <c r="A99" t="str">
        <f>INDEX(Prioritization!$D:$D,MATCH($B99,Prioritization!$A:$A,0))</f>
        <v>4 - Sustained</v>
      </c>
      <c r="B99" t="s">
        <v>309</v>
      </c>
      <c r="C99" t="s">
        <v>477</v>
      </c>
      <c r="D99" t="s">
        <v>30</v>
      </c>
      <c r="E99" t="str">
        <f t="shared" si="4"/>
        <v>Likoma District [ZCjuwgaMB9u]|35-49|Female</v>
      </c>
      <c r="F99" s="38">
        <f>IF(LEFT($B99,4)="_Mil","",INDEX(Cascade!$U:$U,MATCH($E99,Cascade!$E:$E,0)))</f>
        <v>280</v>
      </c>
      <c r="G99" s="38">
        <f>IFERROR(1/(1/INDEX(HTS!$AU:$AU,MATCH($E99,HTS!$E:$E,0))),"")</f>
        <v>1136</v>
      </c>
      <c r="H99" s="38" t="str">
        <f>IF(OR($C99="15-24",$C99="25-34"),IFERROR(1/(1/SUM(SUMIFS(AGYW!$S:$S,AGYW!$B:$B,$B99,AGYW!$C:$C,IF($C99="15-24",{"15-19","20-24"},{"25-29"}),AGYW!$D:$D,$D99))),""),"")</f>
        <v/>
      </c>
      <c r="I99" s="38" t="str">
        <f>IF(OR($C99="15-24",$C99="25-34"),IFERROR(1/(1/SUM(SUMIFS(AGYW!$T:$T,AGYW!$B:$B,$B99,AGYW!$C:$C,IF($C99="15-24",{"15-19","20-24"},{"25-29"}),AGYW!$D:$D,$D99))),""),"")</f>
        <v/>
      </c>
      <c r="J99" s="38"/>
      <c r="K99" s="38">
        <v>8</v>
      </c>
      <c r="L99">
        <v>0</v>
      </c>
      <c r="M99" s="38"/>
      <c r="N99" s="38">
        <v>2</v>
      </c>
      <c r="O99">
        <v>0</v>
      </c>
      <c r="P99" s="38">
        <f>2</f>
        <v>2</v>
      </c>
      <c r="Q99" s="218" t="str">
        <f t="shared" si="5"/>
        <v/>
      </c>
    </row>
    <row r="100" spans="1:17" hidden="1" x14ac:dyDescent="0.2">
      <c r="A100" t="str">
        <f>INDEX(Prioritization!$D:$D,MATCH($B100,Prioritization!$A:$A,0))</f>
        <v>4 - Sustained</v>
      </c>
      <c r="B100" t="s">
        <v>309</v>
      </c>
      <c r="C100" t="s">
        <v>477</v>
      </c>
      <c r="D100" t="s">
        <v>48</v>
      </c>
      <c r="E100" t="str">
        <f t="shared" si="4"/>
        <v>Likoma District [ZCjuwgaMB9u]|35-49|Male</v>
      </c>
      <c r="F100" s="38">
        <f>IF(LEFT($B100,4)="_Mil","",INDEX(Cascade!$U:$U,MATCH($E100,Cascade!$E:$E,0)))</f>
        <v>179</v>
      </c>
      <c r="G100" s="38">
        <f>IFERROR(1/(1/INDEX(HTS!$AU:$AU,MATCH($E100,HTS!$E:$E,0))),"")</f>
        <v>67</v>
      </c>
      <c r="H100" s="38" t="str">
        <f>IF(OR($C100="15-24",$C100="25-34"),IFERROR(1/(1/SUM(SUMIFS(AGYW!$S:$S,AGYW!$B:$B,$B100,AGYW!$C:$C,IF($C100="15-24",{"15-19","20-24"},{"25-29"}),AGYW!$D:$D,$D100))),""),"")</f>
        <v/>
      </c>
      <c r="I100" s="38" t="str">
        <f>IF(OR($C100="15-24",$C100="25-34"),IFERROR(1/(1/SUM(SUMIFS(AGYW!$T:$T,AGYW!$B:$B,$B100,AGYW!$C:$C,IF($C100="15-24",{"15-19","20-24"},{"25-29"}),AGYW!$D:$D,$D100))),""),"")</f>
        <v/>
      </c>
      <c r="J100" s="38"/>
      <c r="K100" s="38">
        <v>5</v>
      </c>
      <c r="L100">
        <v>0</v>
      </c>
      <c r="M100" s="38"/>
      <c r="N100" s="38">
        <v>1</v>
      </c>
      <c r="O100">
        <v>0</v>
      </c>
      <c r="P100" s="38">
        <f>2</f>
        <v>2</v>
      </c>
      <c r="Q100" s="218" t="str">
        <f t="shared" si="5"/>
        <v/>
      </c>
    </row>
    <row r="101" spans="1:17" x14ac:dyDescent="0.2">
      <c r="A101" t="str">
        <f>INDEX(Prioritization!$D:$D,MATCH($B101,Prioritization!$A:$A,0))</f>
        <v>4 - Sustained</v>
      </c>
      <c r="B101" t="s">
        <v>309</v>
      </c>
      <c r="C101" t="s">
        <v>478</v>
      </c>
      <c r="D101" t="s">
        <v>30</v>
      </c>
      <c r="E101" t="str">
        <f t="shared" si="4"/>
        <v>Likoma District [ZCjuwgaMB9u]|50+|Female</v>
      </c>
      <c r="F101" s="38">
        <f>IF(LEFT($B101,4)="_Mil","",INDEX(Cascade!$U:$U,MATCH($E101,Cascade!$E:$E,0)))</f>
        <v>127</v>
      </c>
      <c r="G101" s="38">
        <f>IFERROR(1/(1/INDEX(HTS!$AU:$AU,MATCH($E101,HTS!$E:$E,0))),"")</f>
        <v>152</v>
      </c>
      <c r="H101" s="38" t="str">
        <f>IF(OR($C101="15-24",$C101="25-34"),IFERROR(1/(1/SUM(SUMIFS(AGYW!$S:$S,AGYW!$B:$B,$B101,AGYW!$C:$C,IF($C101="15-24",{"15-19","20-24"},{"25-29"}),AGYW!$D:$D,$D101))),""),"")</f>
        <v/>
      </c>
      <c r="I101" s="38" t="str">
        <f>IF(OR($C101="15-24",$C101="25-34"),IFERROR(1/(1/SUM(SUMIFS(AGYW!$T:$T,AGYW!$B:$B,$B101,AGYW!$C:$C,IF($C101="15-24",{"15-19","20-24"},{"25-29"}),AGYW!$D:$D,$D101))),""),"")</f>
        <v/>
      </c>
      <c r="J101" s="38"/>
      <c r="K101" s="38"/>
      <c r="L101">
        <v>0</v>
      </c>
      <c r="M101" s="38"/>
      <c r="N101" s="38"/>
      <c r="O101">
        <v>0</v>
      </c>
      <c r="P101" s="38">
        <f>2</f>
        <v>2</v>
      </c>
      <c r="Q101" s="218" t="str">
        <f t="shared" si="5"/>
        <v/>
      </c>
    </row>
    <row r="102" spans="1:17" hidden="1" x14ac:dyDescent="0.2">
      <c r="A102" t="str">
        <f>INDEX(Prioritization!$D:$D,MATCH($B102,Prioritization!$A:$A,0))</f>
        <v>4 - Sustained</v>
      </c>
      <c r="B102" t="s">
        <v>309</v>
      </c>
      <c r="C102" t="s">
        <v>478</v>
      </c>
      <c r="D102" t="s">
        <v>48</v>
      </c>
      <c r="E102" t="str">
        <f t="shared" si="4"/>
        <v>Likoma District [ZCjuwgaMB9u]|50+|Male</v>
      </c>
      <c r="F102" s="38">
        <f>IF(LEFT($B102,4)="_Mil","",INDEX(Cascade!$U:$U,MATCH($E102,Cascade!$E:$E,0)))</f>
        <v>111</v>
      </c>
      <c r="G102" s="38">
        <f>IFERROR(1/(1/INDEX(HTS!$AU:$AU,MATCH($E102,HTS!$E:$E,0))),"")</f>
        <v>85</v>
      </c>
      <c r="H102" s="38" t="str">
        <f>IF(OR($C102="15-24",$C102="25-34"),IFERROR(1/(1/SUM(SUMIFS(AGYW!$S:$S,AGYW!$B:$B,$B102,AGYW!$C:$C,IF($C102="15-24",{"15-19","20-24"},{"25-29"}),AGYW!$D:$D,$D102))),""),"")</f>
        <v/>
      </c>
      <c r="I102" s="38" t="str">
        <f>IF(OR($C102="15-24",$C102="25-34"),IFERROR(1/(1/SUM(SUMIFS(AGYW!$T:$T,AGYW!$B:$B,$B102,AGYW!$C:$C,IF($C102="15-24",{"15-19","20-24"},{"25-29"}),AGYW!$D:$D,$D102))),""),"")</f>
        <v/>
      </c>
      <c r="J102" s="38"/>
      <c r="K102" s="38">
        <v>4</v>
      </c>
      <c r="L102">
        <v>0</v>
      </c>
      <c r="M102" s="38"/>
      <c r="N102" s="38">
        <v>1</v>
      </c>
      <c r="O102">
        <v>0</v>
      </c>
      <c r="P102" s="38">
        <f>2</f>
        <v>2</v>
      </c>
      <c r="Q102" s="218" t="str">
        <f t="shared" si="5"/>
        <v/>
      </c>
    </row>
    <row r="103" spans="1:17" x14ac:dyDescent="0.2">
      <c r="A103" t="str">
        <f>INDEX(Prioritization!$D:$D,MATCH($B103,Prioritization!$A:$A,0))</f>
        <v>INVALID</v>
      </c>
      <c r="B103" t="s">
        <v>301</v>
      </c>
      <c r="C103" t="s">
        <v>475</v>
      </c>
      <c r="D103" t="s">
        <v>30</v>
      </c>
      <c r="E103" t="str">
        <f t="shared" si="4"/>
        <v>Lilongwe District [ScR9iFKAasW]|15-24|Female</v>
      </c>
      <c r="F103" s="38">
        <f>IF(LEFT($B103,4)="_Mil","",INDEX(Cascade!$U:$U,MATCH($E103,Cascade!$E:$E,0)))</f>
        <v>5621</v>
      </c>
      <c r="G103" s="38">
        <f>IFERROR(1/(1/INDEX(HTS!$AU:$AU,MATCH($E103,HTS!$E:$E,0))),"")</f>
        <v>123733.99999999999</v>
      </c>
      <c r="H103" s="38" t="str">
        <f>IF(OR($C103="15-24",$C103="25-34"),IFERROR(1/(1/SUM(SUMIFS(AGYW!$S:$S,AGYW!$B:$B,$B103,AGYW!$C:$C,IF($C103="15-24",{"15-19","20-24"},{"25-29"}),AGYW!$D:$D,$D103))),""),"")</f>
        <v/>
      </c>
      <c r="I103" s="38" t="str">
        <f>IF(OR($C103="15-24",$C103="25-34"),IFERROR(1/(1/SUM(SUMIFS(AGYW!$T:$T,AGYW!$B:$B,$B103,AGYW!$C:$C,IF($C103="15-24",{"15-19","20-24"},{"25-29"}),AGYW!$D:$D,$D103))),""),"")</f>
        <v/>
      </c>
      <c r="J103" s="38">
        <v>2488</v>
      </c>
      <c r="K103" s="38">
        <v>3472</v>
      </c>
      <c r="L103">
        <v>3573</v>
      </c>
      <c r="M103" s="38">
        <v>564</v>
      </c>
      <c r="N103" s="38">
        <v>1855</v>
      </c>
      <c r="O103">
        <v>1681</v>
      </c>
      <c r="P103" s="38">
        <f>2</f>
        <v>2</v>
      </c>
      <c r="Q103" s="218">
        <f t="shared" si="5"/>
        <v>3362</v>
      </c>
    </row>
    <row r="104" spans="1:17" hidden="1" x14ac:dyDescent="0.2">
      <c r="A104" t="str">
        <f>INDEX(Prioritization!$D:$D,MATCH($B104,Prioritization!$A:$A,0))</f>
        <v>INVALID</v>
      </c>
      <c r="B104" t="s">
        <v>301</v>
      </c>
      <c r="C104" t="s">
        <v>475</v>
      </c>
      <c r="D104" t="s">
        <v>48</v>
      </c>
      <c r="E104" t="str">
        <f t="shared" si="4"/>
        <v>Lilongwe District [ScR9iFKAasW]|15-24|Male</v>
      </c>
      <c r="F104" s="38">
        <f>IF(LEFT($B104,4)="_Mil","",INDEX(Cascade!$U:$U,MATCH($E104,Cascade!$E:$E,0)))</f>
        <v>3885</v>
      </c>
      <c r="G104" s="38">
        <f>IFERROR(1/(1/INDEX(HTS!$AU:$AU,MATCH($E104,HTS!$E:$E,0))),"")</f>
        <v>72450</v>
      </c>
      <c r="H104" s="38" t="str">
        <f>IF(OR($C104="15-24",$C104="25-34"),IFERROR(1/(1/SUM(SUMIFS(AGYW!$S:$S,AGYW!$B:$B,$B104,AGYW!$C:$C,IF($C104="15-24",{"15-19","20-24"},{"25-29"}),AGYW!$D:$D,$D104))),""),"")</f>
        <v/>
      </c>
      <c r="I104" s="38" t="str">
        <f>IF(OR($C104="15-24",$C104="25-34"),IFERROR(1/(1/SUM(SUMIFS(AGYW!$T:$T,AGYW!$B:$B,$B104,AGYW!$C:$C,IF($C104="15-24",{"15-19","20-24"},{"25-29"}),AGYW!$D:$D,$D104))),""),"")</f>
        <v/>
      </c>
      <c r="J104" s="38">
        <v>1520</v>
      </c>
      <c r="K104" s="38">
        <v>462</v>
      </c>
      <c r="L104">
        <v>2183</v>
      </c>
      <c r="M104" s="38">
        <v>561</v>
      </c>
      <c r="N104" s="38">
        <v>141</v>
      </c>
      <c r="O104">
        <v>1672</v>
      </c>
      <c r="P104" s="38">
        <f>2</f>
        <v>2</v>
      </c>
      <c r="Q104" s="218">
        <f t="shared" si="5"/>
        <v>3344</v>
      </c>
    </row>
    <row r="105" spans="1:17" x14ac:dyDescent="0.2">
      <c r="A105" t="str">
        <f>INDEX(Prioritization!$D:$D,MATCH($B105,Prioritization!$A:$A,0))</f>
        <v>INVALID</v>
      </c>
      <c r="B105" t="s">
        <v>301</v>
      </c>
      <c r="C105" t="s">
        <v>476</v>
      </c>
      <c r="D105" t="s">
        <v>30</v>
      </c>
      <c r="E105" t="str">
        <f t="shared" si="4"/>
        <v>Lilongwe District [ScR9iFKAasW]|25-34|Female</v>
      </c>
      <c r="F105" s="38">
        <f>IF(LEFT($B105,4)="_Mil","",INDEX(Cascade!$U:$U,MATCH($E105,Cascade!$E:$E,0)))</f>
        <v>16788</v>
      </c>
      <c r="G105" s="38">
        <f>IFERROR(1/(1/INDEX(HTS!$AU:$AU,MATCH($E105,HTS!$E:$E,0))),"")</f>
        <v>90564</v>
      </c>
      <c r="H105" s="38" t="str">
        <f>IF(OR($C105="15-24",$C105="25-34"),IFERROR(1/(1/SUM(SUMIFS(AGYW!$S:$S,AGYW!$B:$B,$B105,AGYW!$C:$C,IF($C105="15-24",{"15-19","20-24"},{"25-29"}),AGYW!$D:$D,$D105))),""),"")</f>
        <v/>
      </c>
      <c r="I105" s="38" t="str">
        <f>IF(OR($C105="15-24",$C105="25-34"),IFERROR(1/(1/SUM(SUMIFS(AGYW!$T:$T,AGYW!$B:$B,$B105,AGYW!$C:$C,IF($C105="15-24",{"15-19","20-24"},{"25-29"}),AGYW!$D:$D,$D105))),""),"")</f>
        <v/>
      </c>
      <c r="J105" s="38">
        <v>2190</v>
      </c>
      <c r="K105" s="38">
        <v>3214</v>
      </c>
      <c r="L105">
        <v>3145</v>
      </c>
      <c r="M105" s="38">
        <v>512</v>
      </c>
      <c r="N105" s="38">
        <v>1557</v>
      </c>
      <c r="O105">
        <v>1526</v>
      </c>
      <c r="P105" s="38">
        <f>2</f>
        <v>2</v>
      </c>
      <c r="Q105" s="218">
        <f t="shared" si="5"/>
        <v>3052</v>
      </c>
    </row>
    <row r="106" spans="1:17" hidden="1" x14ac:dyDescent="0.2">
      <c r="A106" t="str">
        <f>INDEX(Prioritization!$D:$D,MATCH($B106,Prioritization!$A:$A,0))</f>
        <v>INVALID</v>
      </c>
      <c r="B106" t="s">
        <v>301</v>
      </c>
      <c r="C106" t="s">
        <v>476</v>
      </c>
      <c r="D106" t="s">
        <v>48</v>
      </c>
      <c r="E106" t="str">
        <f t="shared" si="4"/>
        <v>Lilongwe District [ScR9iFKAasW]|25-34|Male</v>
      </c>
      <c r="F106" s="38">
        <f>IF(LEFT($B106,4)="_Mil","",INDEX(Cascade!$U:$U,MATCH($E106,Cascade!$E:$E,0)))</f>
        <v>6726</v>
      </c>
      <c r="G106" s="38">
        <f>IFERROR(1/(1/INDEX(HTS!$AU:$AU,MATCH($E106,HTS!$E:$E,0))),"")</f>
        <v>49680</v>
      </c>
      <c r="H106" s="38" t="str">
        <f>IF(OR($C106="15-24",$C106="25-34"),IFERROR(1/(1/SUM(SUMIFS(AGYW!$S:$S,AGYW!$B:$B,$B106,AGYW!$C:$C,IF($C106="15-24",{"15-19","20-24"},{"25-29"}),AGYW!$D:$D,$D106))),""),"")</f>
        <v/>
      </c>
      <c r="I106" s="38" t="str">
        <f>IF(OR($C106="15-24",$C106="25-34"),IFERROR(1/(1/SUM(SUMIFS(AGYW!$T:$T,AGYW!$B:$B,$B106,AGYW!$C:$C,IF($C106="15-24",{"15-19","20-24"},{"25-29"}),AGYW!$D:$D,$D106))),""),"")</f>
        <v/>
      </c>
      <c r="J106" s="38">
        <v>1827</v>
      </c>
      <c r="K106" s="38">
        <v>888</v>
      </c>
      <c r="L106">
        <v>2624</v>
      </c>
      <c r="M106" s="38">
        <v>527</v>
      </c>
      <c r="N106" s="38">
        <v>268</v>
      </c>
      <c r="O106">
        <v>1571</v>
      </c>
      <c r="P106" s="38">
        <f>2</f>
        <v>2</v>
      </c>
      <c r="Q106" s="218">
        <f t="shared" si="5"/>
        <v>3142</v>
      </c>
    </row>
    <row r="107" spans="1:17" x14ac:dyDescent="0.2">
      <c r="A107" t="str">
        <f>INDEX(Prioritization!$D:$D,MATCH($B107,Prioritization!$A:$A,0))</f>
        <v>INVALID</v>
      </c>
      <c r="B107" t="s">
        <v>301</v>
      </c>
      <c r="C107" t="s">
        <v>477</v>
      </c>
      <c r="D107" t="s">
        <v>30</v>
      </c>
      <c r="E107" t="str">
        <f t="shared" si="4"/>
        <v>Lilongwe District [ScR9iFKAasW]|35-49|Female</v>
      </c>
      <c r="F107" s="38">
        <f>IF(LEFT($B107,4)="_Mil","",INDEX(Cascade!$U:$U,MATCH($E107,Cascade!$E:$E,0)))</f>
        <v>39322</v>
      </c>
      <c r="G107" s="38">
        <f>IFERROR(1/(1/INDEX(HTS!$AU:$AU,MATCH($E107,HTS!$E:$E,0))),"")</f>
        <v>30089.999999999996</v>
      </c>
      <c r="H107" s="38" t="str">
        <f>IF(OR($C107="15-24",$C107="25-34"),IFERROR(1/(1/SUM(SUMIFS(AGYW!$S:$S,AGYW!$B:$B,$B107,AGYW!$C:$C,IF($C107="15-24",{"15-19","20-24"},{"25-29"}),AGYW!$D:$D,$D107))),""),"")</f>
        <v/>
      </c>
      <c r="I107" s="38" t="str">
        <f>IF(OR($C107="15-24",$C107="25-34"),IFERROR(1/(1/SUM(SUMIFS(AGYW!$T:$T,AGYW!$B:$B,$B107,AGYW!$C:$C,IF($C107="15-24",{"15-19","20-24"},{"25-29"}),AGYW!$D:$D,$D107))),""),"")</f>
        <v/>
      </c>
      <c r="J107" s="38">
        <v>1137</v>
      </c>
      <c r="K107" s="38">
        <v>1487</v>
      </c>
      <c r="L107">
        <v>1633</v>
      </c>
      <c r="M107" s="38">
        <v>322</v>
      </c>
      <c r="N107" s="38">
        <v>476</v>
      </c>
      <c r="O107">
        <v>960</v>
      </c>
      <c r="P107" s="38">
        <f>2</f>
        <v>2</v>
      </c>
      <c r="Q107" s="218">
        <f t="shared" si="5"/>
        <v>1920</v>
      </c>
    </row>
    <row r="108" spans="1:17" hidden="1" x14ac:dyDescent="0.2">
      <c r="A108" t="str">
        <f>INDEX(Prioritization!$D:$D,MATCH($B108,Prioritization!$A:$A,0))</f>
        <v>INVALID</v>
      </c>
      <c r="B108" t="s">
        <v>301</v>
      </c>
      <c r="C108" t="s">
        <v>477</v>
      </c>
      <c r="D108" t="s">
        <v>48</v>
      </c>
      <c r="E108" t="str">
        <f t="shared" si="4"/>
        <v>Lilongwe District [ScR9iFKAasW]|35-49|Male</v>
      </c>
      <c r="F108" s="38">
        <f>IF(LEFT($B108,4)="_Mil","",INDEX(Cascade!$U:$U,MATCH($E108,Cascade!$E:$E,0)))</f>
        <v>25359</v>
      </c>
      <c r="G108" s="38">
        <f>IFERROR(1/(1/INDEX(HTS!$AU:$AU,MATCH($E108,HTS!$E:$E,0))),"")</f>
        <v>48514</v>
      </c>
      <c r="H108" s="38" t="str">
        <f>IF(OR($C108="15-24",$C108="25-34"),IFERROR(1/(1/SUM(SUMIFS(AGYW!$S:$S,AGYW!$B:$B,$B108,AGYW!$C:$C,IF($C108="15-24",{"15-19","20-24"},{"25-29"}),AGYW!$D:$D,$D108))),""),"")</f>
        <v/>
      </c>
      <c r="I108" s="38" t="str">
        <f>IF(OR($C108="15-24",$C108="25-34"),IFERROR(1/(1/SUM(SUMIFS(AGYW!$T:$T,AGYW!$B:$B,$B108,AGYW!$C:$C,IF($C108="15-24",{"15-19","20-24"},{"25-29"}),AGYW!$D:$D,$D108))),""),"")</f>
        <v/>
      </c>
      <c r="J108" s="38">
        <v>1224</v>
      </c>
      <c r="K108" s="38">
        <v>901</v>
      </c>
      <c r="L108">
        <v>1758</v>
      </c>
      <c r="M108" s="38">
        <v>333</v>
      </c>
      <c r="N108" s="38">
        <v>272</v>
      </c>
      <c r="O108">
        <v>992</v>
      </c>
      <c r="P108" s="38">
        <f>2</f>
        <v>2</v>
      </c>
      <c r="Q108" s="218">
        <f t="shared" si="5"/>
        <v>1984</v>
      </c>
    </row>
    <row r="109" spans="1:17" x14ac:dyDescent="0.2">
      <c r="A109" t="str">
        <f>INDEX(Prioritization!$D:$D,MATCH($B109,Prioritization!$A:$A,0))</f>
        <v>INVALID</v>
      </c>
      <c r="B109" t="s">
        <v>301</v>
      </c>
      <c r="C109" t="s">
        <v>478</v>
      </c>
      <c r="D109" t="s">
        <v>30</v>
      </c>
      <c r="E109" t="str">
        <f t="shared" si="4"/>
        <v>Lilongwe District [ScR9iFKAasW]|50+|Female</v>
      </c>
      <c r="F109" s="38">
        <f>IF(LEFT($B109,4)="_Mil","",INDEX(Cascade!$U:$U,MATCH($E109,Cascade!$E:$E,0)))</f>
        <v>13555</v>
      </c>
      <c r="G109" s="38">
        <f>IFERROR(1/(1/INDEX(HTS!$AU:$AU,MATCH($E109,HTS!$E:$E,0))),"")</f>
        <v>21008</v>
      </c>
      <c r="H109" s="38" t="str">
        <f>IF(OR($C109="15-24",$C109="25-34"),IFERROR(1/(1/SUM(SUMIFS(AGYW!$S:$S,AGYW!$B:$B,$B109,AGYW!$C:$C,IF($C109="15-24",{"15-19","20-24"},{"25-29"}),AGYW!$D:$D,$D109))),""),"")</f>
        <v/>
      </c>
      <c r="I109" s="38" t="str">
        <f>IF(OR($C109="15-24",$C109="25-34"),IFERROR(1/(1/SUM(SUMIFS(AGYW!$T:$T,AGYW!$B:$B,$B109,AGYW!$C:$C,IF($C109="15-24",{"15-19","20-24"},{"25-29"}),AGYW!$D:$D,$D109))),""),"")</f>
        <v/>
      </c>
      <c r="J109" s="38">
        <v>139</v>
      </c>
      <c r="K109" s="38">
        <v>97</v>
      </c>
      <c r="L109">
        <v>200</v>
      </c>
      <c r="M109" s="38">
        <v>52</v>
      </c>
      <c r="N109" s="38">
        <v>59</v>
      </c>
      <c r="O109">
        <v>155</v>
      </c>
      <c r="P109" s="38">
        <f>2</f>
        <v>2</v>
      </c>
      <c r="Q109" s="218">
        <f t="shared" si="5"/>
        <v>310</v>
      </c>
    </row>
    <row r="110" spans="1:17" hidden="1" x14ac:dyDescent="0.2">
      <c r="A110" t="str">
        <f>INDEX(Prioritization!$D:$D,MATCH($B110,Prioritization!$A:$A,0))</f>
        <v>INVALID</v>
      </c>
      <c r="B110" t="s">
        <v>301</v>
      </c>
      <c r="C110" t="s">
        <v>478</v>
      </c>
      <c r="D110" t="s">
        <v>48</v>
      </c>
      <c r="E110" t="str">
        <f t="shared" si="4"/>
        <v>Lilongwe District [ScR9iFKAasW]|50+|Male</v>
      </c>
      <c r="F110" s="38">
        <f>IF(LEFT($B110,4)="_Mil","",INDEX(Cascade!$U:$U,MATCH($E110,Cascade!$E:$E,0)))</f>
        <v>14007</v>
      </c>
      <c r="G110" s="38">
        <f>IFERROR(1/(1/INDEX(HTS!$AU:$AU,MATCH($E110,HTS!$E:$E,0))),"")</f>
        <v>16722</v>
      </c>
      <c r="H110" s="38" t="str">
        <f>IF(OR($C110="15-24",$C110="25-34"),IFERROR(1/(1/SUM(SUMIFS(AGYW!$S:$S,AGYW!$B:$B,$B110,AGYW!$C:$C,IF($C110="15-24",{"15-19","20-24"},{"25-29"}),AGYW!$D:$D,$D110))),""),"")</f>
        <v/>
      </c>
      <c r="I110" s="38" t="str">
        <f>IF(OR($C110="15-24",$C110="25-34"),IFERROR(1/(1/SUM(SUMIFS(AGYW!$T:$T,AGYW!$B:$B,$B110,AGYW!$C:$C,IF($C110="15-24",{"15-19","20-24"},{"25-29"}),AGYW!$D:$D,$D110))),""),"")</f>
        <v/>
      </c>
      <c r="J110" s="38">
        <v>235</v>
      </c>
      <c r="K110" s="38">
        <v>708</v>
      </c>
      <c r="L110">
        <v>337</v>
      </c>
      <c r="M110" s="38">
        <v>68</v>
      </c>
      <c r="N110" s="38">
        <v>213</v>
      </c>
      <c r="O110">
        <v>203</v>
      </c>
      <c r="P110" s="38">
        <f>2</f>
        <v>2</v>
      </c>
      <c r="Q110" s="218">
        <f t="shared" si="5"/>
        <v>406</v>
      </c>
    </row>
    <row r="111" spans="1:17" x14ac:dyDescent="0.2">
      <c r="A111" t="str">
        <f>INDEX(Prioritization!$D:$D,MATCH($B111,Prioritization!$A:$A,0))</f>
        <v>1 - Scale-up: Saturation</v>
      </c>
      <c r="B111" t="s">
        <v>317</v>
      </c>
      <c r="C111" t="s">
        <v>475</v>
      </c>
      <c r="D111" t="s">
        <v>30</v>
      </c>
      <c r="E111" t="str">
        <f t="shared" si="4"/>
        <v>Machinga District [TYnMSwzko3z]|15-24|Female</v>
      </c>
      <c r="F111" s="38">
        <f>IF(LEFT($B111,4)="_Mil","",INDEX(Cascade!$U:$U,MATCH($E111,Cascade!$E:$E,0)))</f>
        <v>1603</v>
      </c>
      <c r="G111" s="38">
        <f>IFERROR(1/(1/INDEX(HTS!$AU:$AU,MATCH($E111,HTS!$E:$E,0))),"")</f>
        <v>42639</v>
      </c>
      <c r="H111" s="38">
        <f>IF(OR($C111="15-24",$C111="25-34"),IFERROR(1/(1/SUM(SUMIFS(AGYW!$S:$S,AGYW!$B:$B,$B111,AGYW!$C:$C,IF($C111="15-24",{"15-19","20-24"},{"25-29"}),AGYW!$D:$D,$D111))),""),"")</f>
        <v>-10</v>
      </c>
      <c r="I111" s="38">
        <f>IF(OR($C111="15-24",$C111="25-34"),IFERROR(1/(1/SUM(SUMIFS(AGYW!$T:$T,AGYW!$B:$B,$B111,AGYW!$C:$C,IF($C111="15-24",{"15-19","20-24"},{"25-29"}),AGYW!$D:$D,$D111))),""),"")</f>
        <v>-9</v>
      </c>
      <c r="J111" s="38">
        <v>2631</v>
      </c>
      <c r="K111" s="38">
        <v>1711</v>
      </c>
      <c r="L111">
        <v>3778</v>
      </c>
      <c r="M111" s="38">
        <v>183</v>
      </c>
      <c r="N111" s="38">
        <v>1015</v>
      </c>
      <c r="O111">
        <v>545</v>
      </c>
      <c r="P111" s="38">
        <f>2</f>
        <v>2</v>
      </c>
      <c r="Q111" s="218">
        <f t="shared" si="5"/>
        <v>1090</v>
      </c>
    </row>
    <row r="112" spans="1:17" hidden="1" x14ac:dyDescent="0.2">
      <c r="A112" t="str">
        <f>INDEX(Prioritization!$D:$D,MATCH($B112,Prioritization!$A:$A,0))</f>
        <v>1 - Scale-up: Saturation</v>
      </c>
      <c r="B112" t="s">
        <v>317</v>
      </c>
      <c r="C112" t="s">
        <v>475</v>
      </c>
      <c r="D112" t="s">
        <v>48</v>
      </c>
      <c r="E112" t="str">
        <f t="shared" si="4"/>
        <v>Machinga District [TYnMSwzko3z]|15-24|Male</v>
      </c>
      <c r="F112" s="38">
        <f>IF(LEFT($B112,4)="_Mil","",INDEX(Cascade!$U:$U,MATCH($E112,Cascade!$E:$E,0)))</f>
        <v>1038</v>
      </c>
      <c r="G112" s="38">
        <f>IFERROR(1/(1/INDEX(HTS!$AU:$AU,MATCH($E112,HTS!$E:$E,0))),"")</f>
        <v>7444.9999999999991</v>
      </c>
      <c r="H112" s="38" t="str">
        <f>IF(OR($C112="15-24",$C112="25-34"),IFERROR(1/(1/SUM(SUMIFS(AGYW!$S:$S,AGYW!$B:$B,$B112,AGYW!$C:$C,IF($C112="15-24",{"15-19","20-24"},{"25-29"}),AGYW!$D:$D,$D112))),""),"")</f>
        <v/>
      </c>
      <c r="I112" s="38" t="str">
        <f>IF(OR($C112="15-24",$C112="25-34"),IFERROR(1/(1/SUM(SUMIFS(AGYW!$T:$T,AGYW!$B:$B,$B112,AGYW!$C:$C,IF($C112="15-24",{"15-19","20-24"},{"25-29"}),AGYW!$D:$D,$D112))),""),"")</f>
        <v/>
      </c>
      <c r="J112" s="38">
        <v>178</v>
      </c>
      <c r="K112" s="38">
        <v>135</v>
      </c>
      <c r="L112">
        <v>256</v>
      </c>
      <c r="M112" s="38">
        <v>12</v>
      </c>
      <c r="N112" s="38">
        <v>42</v>
      </c>
      <c r="O112">
        <v>36</v>
      </c>
      <c r="P112" s="38">
        <f>2</f>
        <v>2</v>
      </c>
      <c r="Q112" s="218">
        <f t="shared" si="5"/>
        <v>72</v>
      </c>
    </row>
    <row r="113" spans="1:17" x14ac:dyDescent="0.2">
      <c r="A113" t="str">
        <f>INDEX(Prioritization!$D:$D,MATCH($B113,Prioritization!$A:$A,0))</f>
        <v>1 - Scale-up: Saturation</v>
      </c>
      <c r="B113" t="s">
        <v>317</v>
      </c>
      <c r="C113" t="s">
        <v>476</v>
      </c>
      <c r="D113" t="s">
        <v>30</v>
      </c>
      <c r="E113" t="str">
        <f t="shared" si="4"/>
        <v>Machinga District [TYnMSwzko3z]|25-34|Female</v>
      </c>
      <c r="F113" s="38">
        <f>IF(LEFT($B113,4)="_Mil","",INDEX(Cascade!$U:$U,MATCH($E113,Cascade!$E:$E,0)))</f>
        <v>4005</v>
      </c>
      <c r="G113" s="38">
        <f>IFERROR(1/(1/INDEX(HTS!$AU:$AU,MATCH($E113,HTS!$E:$E,0))),"")</f>
        <v>28527</v>
      </c>
      <c r="H113" s="38" t="str">
        <f ca="1">IF(OR($C113="15-24",$C113="25-34"),IFERROR(1/(1/SUM(SUMIFS(AGYW!$S:$S,AGYW!$B:$B,$B113,AGYW!$C:$C,IF($C113="15-24",{"15-19","20-24"},{"25-29"}),AGYW!$D:$D,$D113))),""),"")</f>
        <v/>
      </c>
      <c r="I113" s="38" t="str">
        <f ca="1">IF(OR($C113="15-24",$C113="25-34"),IFERROR(1/(1/SUM(SUMIFS(AGYW!$T:$T,AGYW!$B:$B,$B113,AGYW!$C:$C,IF($C113="15-24",{"15-19","20-24"},{"25-29"}),AGYW!$D:$D,$D113))),""),"")</f>
        <v/>
      </c>
      <c r="J113" s="38">
        <v>802</v>
      </c>
      <c r="K113" s="38">
        <v>1426</v>
      </c>
      <c r="L113">
        <v>1152</v>
      </c>
      <c r="M113" s="38">
        <v>75</v>
      </c>
      <c r="N113" s="38">
        <v>795</v>
      </c>
      <c r="O113">
        <v>224</v>
      </c>
      <c r="P113" s="38">
        <f>2</f>
        <v>2</v>
      </c>
      <c r="Q113" s="218">
        <f t="shared" si="5"/>
        <v>448</v>
      </c>
    </row>
    <row r="114" spans="1:17" hidden="1" x14ac:dyDescent="0.2">
      <c r="A114" t="str">
        <f>INDEX(Prioritization!$D:$D,MATCH($B114,Prioritization!$A:$A,0))</f>
        <v>1 - Scale-up: Saturation</v>
      </c>
      <c r="B114" t="s">
        <v>317</v>
      </c>
      <c r="C114" t="s">
        <v>476</v>
      </c>
      <c r="D114" t="s">
        <v>48</v>
      </c>
      <c r="E114" t="str">
        <f t="shared" si="4"/>
        <v>Machinga District [TYnMSwzko3z]|25-34|Male</v>
      </c>
      <c r="F114" s="38">
        <f>IF(LEFT($B114,4)="_Mil","",INDEX(Cascade!$U:$U,MATCH($E114,Cascade!$E:$E,0)))</f>
        <v>1135</v>
      </c>
      <c r="G114" s="38">
        <f>IFERROR(1/(1/INDEX(HTS!$AU:$AU,MATCH($E114,HTS!$E:$E,0))),"")</f>
        <v>653</v>
      </c>
      <c r="H114" s="38" t="str">
        <f>IF(OR($C114="15-24",$C114="25-34"),IFERROR(1/(1/SUM(SUMIFS(AGYW!$S:$S,AGYW!$B:$B,$B114,AGYW!$C:$C,IF($C114="15-24",{"15-19","20-24"},{"25-29"}),AGYW!$D:$D,$D114))),""),"")</f>
        <v/>
      </c>
      <c r="I114" s="38" t="str">
        <f>IF(OR($C114="15-24",$C114="25-34"),IFERROR(1/(1/SUM(SUMIFS(AGYW!$T:$T,AGYW!$B:$B,$B114,AGYW!$C:$C,IF($C114="15-24",{"15-19","20-24"},{"25-29"}),AGYW!$D:$D,$D114))),""),"")</f>
        <v/>
      </c>
      <c r="J114" s="38">
        <v>228</v>
      </c>
      <c r="K114" s="38">
        <v>259</v>
      </c>
      <c r="L114">
        <v>327</v>
      </c>
      <c r="M114" s="38">
        <v>18</v>
      </c>
      <c r="N114" s="38">
        <v>81</v>
      </c>
      <c r="O114">
        <v>54</v>
      </c>
      <c r="P114" s="38">
        <f>2</f>
        <v>2</v>
      </c>
      <c r="Q114" s="218">
        <f t="shared" si="5"/>
        <v>108</v>
      </c>
    </row>
    <row r="115" spans="1:17" x14ac:dyDescent="0.2">
      <c r="A115" t="str">
        <f>INDEX(Prioritization!$D:$D,MATCH($B115,Prioritization!$A:$A,0))</f>
        <v>1 - Scale-up: Saturation</v>
      </c>
      <c r="B115" t="s">
        <v>317</v>
      </c>
      <c r="C115" t="s">
        <v>477</v>
      </c>
      <c r="D115" t="s">
        <v>30</v>
      </c>
      <c r="E115" t="str">
        <f t="shared" si="4"/>
        <v>Machinga District [TYnMSwzko3z]|35-49|Female</v>
      </c>
      <c r="F115" s="38">
        <f>IF(LEFT($B115,4)="_Mil","",INDEX(Cascade!$U:$U,MATCH($E115,Cascade!$E:$E,0)))</f>
        <v>9758</v>
      </c>
      <c r="G115" s="38">
        <f>IFERROR(1/(1/INDEX(HTS!$AU:$AU,MATCH($E115,HTS!$E:$E,0))),"")</f>
        <v>11883</v>
      </c>
      <c r="H115" s="38" t="str">
        <f>IF(OR($C115="15-24",$C115="25-34"),IFERROR(1/(1/SUM(SUMIFS(AGYW!$S:$S,AGYW!$B:$B,$B115,AGYW!$C:$C,IF($C115="15-24",{"15-19","20-24"},{"25-29"}),AGYW!$D:$D,$D115))),""),"")</f>
        <v/>
      </c>
      <c r="I115" s="38" t="str">
        <f>IF(OR($C115="15-24",$C115="25-34"),IFERROR(1/(1/SUM(SUMIFS(AGYW!$T:$T,AGYW!$B:$B,$B115,AGYW!$C:$C,IF($C115="15-24",{"15-19","20-24"},{"25-29"}),AGYW!$D:$D,$D115))),""),"")</f>
        <v/>
      </c>
      <c r="J115" s="38">
        <v>394</v>
      </c>
      <c r="K115" s="38">
        <v>418</v>
      </c>
      <c r="L115">
        <v>566</v>
      </c>
      <c r="M115" s="38">
        <v>65</v>
      </c>
      <c r="N115" s="38">
        <v>149</v>
      </c>
      <c r="O115">
        <v>194</v>
      </c>
      <c r="P115" s="38">
        <f>2</f>
        <v>2</v>
      </c>
      <c r="Q115" s="218">
        <f t="shared" si="5"/>
        <v>388</v>
      </c>
    </row>
    <row r="116" spans="1:17" hidden="1" x14ac:dyDescent="0.2">
      <c r="A116" t="str">
        <f>INDEX(Prioritization!$D:$D,MATCH($B116,Prioritization!$A:$A,0))</f>
        <v>1 - Scale-up: Saturation</v>
      </c>
      <c r="B116" t="s">
        <v>317</v>
      </c>
      <c r="C116" t="s">
        <v>477</v>
      </c>
      <c r="D116" t="s">
        <v>48</v>
      </c>
      <c r="E116" t="str">
        <f t="shared" si="4"/>
        <v>Machinga District [TYnMSwzko3z]|35-49|Male</v>
      </c>
      <c r="F116" s="38">
        <f>IF(LEFT($B116,4)="_Mil","",INDEX(Cascade!$U:$U,MATCH($E116,Cascade!$E:$E,0)))</f>
        <v>4149</v>
      </c>
      <c r="G116" s="38">
        <f>IFERROR(1/(1/INDEX(HTS!$AU:$AU,MATCH($E116,HTS!$E:$E,0))),"")</f>
        <v>1360</v>
      </c>
      <c r="H116" s="38" t="str">
        <f>IF(OR($C116="15-24",$C116="25-34"),IFERROR(1/(1/SUM(SUMIFS(AGYW!$S:$S,AGYW!$B:$B,$B116,AGYW!$C:$C,IF($C116="15-24",{"15-19","20-24"},{"25-29"}),AGYW!$D:$D,$D116))),""),"")</f>
        <v/>
      </c>
      <c r="I116" s="38" t="str">
        <f>IF(OR($C116="15-24",$C116="25-34"),IFERROR(1/(1/SUM(SUMIFS(AGYW!$T:$T,AGYW!$B:$B,$B116,AGYW!$C:$C,IF($C116="15-24",{"15-19","20-24"},{"25-29"}),AGYW!$D:$D,$D116))),""),"")</f>
        <v/>
      </c>
      <c r="J116" s="38">
        <v>179</v>
      </c>
      <c r="K116" s="38">
        <v>263</v>
      </c>
      <c r="L116">
        <v>257</v>
      </c>
      <c r="M116" s="38">
        <v>26</v>
      </c>
      <c r="N116" s="38">
        <v>82</v>
      </c>
      <c r="O116">
        <v>77</v>
      </c>
      <c r="P116" s="38">
        <f>2</f>
        <v>2</v>
      </c>
      <c r="Q116" s="218">
        <f t="shared" si="5"/>
        <v>154</v>
      </c>
    </row>
    <row r="117" spans="1:17" x14ac:dyDescent="0.2">
      <c r="A117" t="str">
        <f>INDEX(Prioritization!$D:$D,MATCH($B117,Prioritization!$A:$A,0))</f>
        <v>1 - Scale-up: Saturation</v>
      </c>
      <c r="B117" t="s">
        <v>317</v>
      </c>
      <c r="C117" t="s">
        <v>478</v>
      </c>
      <c r="D117" t="s">
        <v>30</v>
      </c>
      <c r="E117" t="str">
        <f t="shared" si="4"/>
        <v>Machinga District [TYnMSwzko3z]|50+|Female</v>
      </c>
      <c r="F117" s="38">
        <f>IF(LEFT($B117,4)="_Mil","",INDEX(Cascade!$U:$U,MATCH($E117,Cascade!$E:$E,0)))</f>
        <v>4537</v>
      </c>
      <c r="G117" s="38">
        <f>IFERROR(1/(1/INDEX(HTS!$AU:$AU,MATCH($E117,HTS!$E:$E,0))),"")</f>
        <v>5928</v>
      </c>
      <c r="H117" s="38" t="str">
        <f>IF(OR($C117="15-24",$C117="25-34"),IFERROR(1/(1/SUM(SUMIFS(AGYW!$S:$S,AGYW!$B:$B,$B117,AGYW!$C:$C,IF($C117="15-24",{"15-19","20-24"},{"25-29"}),AGYW!$D:$D,$D117))),""),"")</f>
        <v/>
      </c>
      <c r="I117" s="38" t="str">
        <f>IF(OR($C117="15-24",$C117="25-34"),IFERROR(1/(1/SUM(SUMIFS(AGYW!$T:$T,AGYW!$B:$B,$B117,AGYW!$C:$C,IF($C117="15-24",{"15-19","20-24"},{"25-29"}),AGYW!$D:$D,$D117))),""),"")</f>
        <v/>
      </c>
      <c r="J117" s="38">
        <v>60</v>
      </c>
      <c r="K117" s="38">
        <v>54</v>
      </c>
      <c r="L117">
        <v>86</v>
      </c>
      <c r="M117" s="38">
        <v>9</v>
      </c>
      <c r="N117" s="38">
        <v>33</v>
      </c>
      <c r="O117">
        <v>27</v>
      </c>
      <c r="P117" s="38">
        <f>2</f>
        <v>2</v>
      </c>
      <c r="Q117" s="218">
        <f t="shared" si="5"/>
        <v>54</v>
      </c>
    </row>
    <row r="118" spans="1:17" hidden="1" x14ac:dyDescent="0.2">
      <c r="A118" t="str">
        <f>INDEX(Prioritization!$D:$D,MATCH($B118,Prioritization!$A:$A,0))</f>
        <v>1 - Scale-up: Saturation</v>
      </c>
      <c r="B118" t="s">
        <v>317</v>
      </c>
      <c r="C118" t="s">
        <v>478</v>
      </c>
      <c r="D118" t="s">
        <v>48</v>
      </c>
      <c r="E118" t="str">
        <f t="shared" si="4"/>
        <v>Machinga District [TYnMSwzko3z]|50+|Male</v>
      </c>
      <c r="F118" s="38">
        <f>IF(LEFT($B118,4)="_Mil","",INDEX(Cascade!$U:$U,MATCH($E118,Cascade!$E:$E,0)))</f>
        <v>3336</v>
      </c>
      <c r="G118" s="38">
        <f>IFERROR(1/(1/INDEX(HTS!$AU:$AU,MATCH($E118,HTS!$E:$E,0))),"")</f>
        <v>2632</v>
      </c>
      <c r="H118" s="38" t="str">
        <f>IF(OR($C118="15-24",$C118="25-34"),IFERROR(1/(1/SUM(SUMIFS(AGYW!$S:$S,AGYW!$B:$B,$B118,AGYW!$C:$C,IF($C118="15-24",{"15-19","20-24"},{"25-29"}),AGYW!$D:$D,$D118))),""),"")</f>
        <v/>
      </c>
      <c r="I118" s="38" t="str">
        <f>IF(OR($C118="15-24",$C118="25-34"),IFERROR(1/(1/SUM(SUMIFS(AGYW!$T:$T,AGYW!$B:$B,$B118,AGYW!$C:$C,IF($C118="15-24",{"15-19","20-24"},{"25-29"}),AGYW!$D:$D,$D118))),""),"")</f>
        <v/>
      </c>
      <c r="J118" s="38">
        <v>89</v>
      </c>
      <c r="K118" s="38">
        <v>206</v>
      </c>
      <c r="L118">
        <v>128</v>
      </c>
      <c r="M118" s="38">
        <v>16</v>
      </c>
      <c r="N118" s="38">
        <v>65</v>
      </c>
      <c r="O118">
        <v>48</v>
      </c>
      <c r="P118" s="38">
        <f>2</f>
        <v>2</v>
      </c>
      <c r="Q118" s="218">
        <f t="shared" si="5"/>
        <v>96</v>
      </c>
    </row>
    <row r="119" spans="1:17" x14ac:dyDescent="0.2">
      <c r="A119" t="str">
        <f>INDEX(Prioritization!$D:$D,MATCH($B119,Prioritization!$A:$A,0))</f>
        <v>1 - Scale-up: Saturation</v>
      </c>
      <c r="B119" t="s">
        <v>318</v>
      </c>
      <c r="C119" t="s">
        <v>475</v>
      </c>
      <c r="D119" t="s">
        <v>30</v>
      </c>
      <c r="E119" t="str">
        <f t="shared" si="4"/>
        <v>Mangochi District [lLDyBx5XyUi]|15-24|Female</v>
      </c>
      <c r="F119" s="38">
        <f>IF(LEFT($B119,4)="_Mil","",INDEX(Cascade!$U:$U,MATCH($E119,Cascade!$E:$E,0)))</f>
        <v>3536</v>
      </c>
      <c r="G119" s="38">
        <f>IFERROR(1/(1/INDEX(HTS!$AU:$AU,MATCH($E119,HTS!$E:$E,0))),"")</f>
        <v>70654</v>
      </c>
      <c r="H119" s="38" t="str">
        <f>IF(OR($C119="15-24",$C119="25-34"),IFERROR(1/(1/SUM(SUMIFS(AGYW!$S:$S,AGYW!$B:$B,$B119,AGYW!$C:$C,IF($C119="15-24",{"15-19","20-24"},{"25-29"}),AGYW!$D:$D,$D119))),""),"")</f>
        <v/>
      </c>
      <c r="I119" s="38" t="str">
        <f>IF(OR($C119="15-24",$C119="25-34"),IFERROR(1/(1/SUM(SUMIFS(AGYW!$T:$T,AGYW!$B:$B,$B119,AGYW!$C:$C,IF($C119="15-24",{"15-19","20-24"},{"25-29"}),AGYW!$D:$D,$D119))),""),"")</f>
        <v/>
      </c>
      <c r="J119" s="38">
        <v>1154</v>
      </c>
      <c r="K119" s="38">
        <v>548</v>
      </c>
      <c r="L119">
        <v>1657</v>
      </c>
      <c r="M119" s="38">
        <v>608</v>
      </c>
      <c r="N119" s="38">
        <v>195</v>
      </c>
      <c r="O119">
        <v>1812</v>
      </c>
      <c r="P119" s="38">
        <f>2</f>
        <v>2</v>
      </c>
      <c r="Q119" s="218">
        <f t="shared" si="5"/>
        <v>3624</v>
      </c>
    </row>
    <row r="120" spans="1:17" hidden="1" x14ac:dyDescent="0.2">
      <c r="A120" t="str">
        <f>INDEX(Prioritization!$D:$D,MATCH($B120,Prioritization!$A:$A,0))</f>
        <v>1 - Scale-up: Saturation</v>
      </c>
      <c r="B120" t="s">
        <v>318</v>
      </c>
      <c r="C120" t="s">
        <v>475</v>
      </c>
      <c r="D120" t="s">
        <v>48</v>
      </c>
      <c r="E120" t="str">
        <f t="shared" si="4"/>
        <v>Mangochi District [lLDyBx5XyUi]|15-24|Male</v>
      </c>
      <c r="F120" s="38">
        <f>IF(LEFT($B120,4)="_Mil","",INDEX(Cascade!$U:$U,MATCH($E120,Cascade!$E:$E,0)))</f>
        <v>2256</v>
      </c>
      <c r="G120" s="38">
        <f>IFERROR(1/(1/INDEX(HTS!$AU:$AU,MATCH($E120,HTS!$E:$E,0))),"")</f>
        <v>11514</v>
      </c>
      <c r="H120" s="38" t="str">
        <f>IF(OR($C120="15-24",$C120="25-34"),IFERROR(1/(1/SUM(SUMIFS(AGYW!$S:$S,AGYW!$B:$B,$B120,AGYW!$C:$C,IF($C120="15-24",{"15-19","20-24"},{"25-29"}),AGYW!$D:$D,$D120))),""),"")</f>
        <v/>
      </c>
      <c r="I120" s="38" t="str">
        <f>IF(OR($C120="15-24",$C120="25-34"),IFERROR(1/(1/SUM(SUMIFS(AGYW!$T:$T,AGYW!$B:$B,$B120,AGYW!$C:$C,IF($C120="15-24",{"15-19","20-24"},{"25-29"}),AGYW!$D:$D,$D120))),""),"")</f>
        <v/>
      </c>
      <c r="J120" s="38">
        <v>856</v>
      </c>
      <c r="K120" s="38">
        <v>211</v>
      </c>
      <c r="L120">
        <v>1229</v>
      </c>
      <c r="M120" s="38">
        <v>66</v>
      </c>
      <c r="N120" s="38">
        <v>66</v>
      </c>
      <c r="O120">
        <v>197</v>
      </c>
      <c r="P120" s="38">
        <f>2</f>
        <v>2</v>
      </c>
      <c r="Q120" s="218">
        <f t="shared" si="5"/>
        <v>394</v>
      </c>
    </row>
    <row r="121" spans="1:17" x14ac:dyDescent="0.2">
      <c r="A121" t="str">
        <f>INDEX(Prioritization!$D:$D,MATCH($B121,Prioritization!$A:$A,0))</f>
        <v>1 - Scale-up: Saturation</v>
      </c>
      <c r="B121" t="s">
        <v>318</v>
      </c>
      <c r="C121" t="s">
        <v>476</v>
      </c>
      <c r="D121" t="s">
        <v>30</v>
      </c>
      <c r="E121" t="str">
        <f t="shared" si="4"/>
        <v>Mangochi District [lLDyBx5XyUi]|25-34|Female</v>
      </c>
      <c r="F121" s="38">
        <f>IF(LEFT($B121,4)="_Mil","",INDEX(Cascade!$U:$U,MATCH($E121,Cascade!$E:$E,0)))</f>
        <v>8827</v>
      </c>
      <c r="G121" s="38">
        <f>IFERROR(1/(1/INDEX(HTS!$AU:$AU,MATCH($E121,HTS!$E:$E,0))),"")</f>
        <v>42211</v>
      </c>
      <c r="H121" s="38" t="str">
        <f>IF(OR($C121="15-24",$C121="25-34"),IFERROR(1/(1/SUM(SUMIFS(AGYW!$S:$S,AGYW!$B:$B,$B121,AGYW!$C:$C,IF($C121="15-24",{"15-19","20-24"},{"25-29"}),AGYW!$D:$D,$D121))),""),"")</f>
        <v/>
      </c>
      <c r="I121" s="38" t="str">
        <f>IF(OR($C121="15-24",$C121="25-34"),IFERROR(1/(1/SUM(SUMIFS(AGYW!$T:$T,AGYW!$B:$B,$B121,AGYW!$C:$C,IF($C121="15-24",{"15-19","20-24"},{"25-29"}),AGYW!$D:$D,$D121))),""),"")</f>
        <v/>
      </c>
      <c r="J121" s="38">
        <v>849</v>
      </c>
      <c r="K121" s="38">
        <v>718</v>
      </c>
      <c r="L121">
        <v>1219</v>
      </c>
      <c r="M121" s="38">
        <v>386</v>
      </c>
      <c r="N121" s="38">
        <v>255</v>
      </c>
      <c r="O121">
        <v>1150</v>
      </c>
      <c r="P121" s="38">
        <f>2</f>
        <v>2</v>
      </c>
      <c r="Q121" s="218">
        <f t="shared" si="5"/>
        <v>2300</v>
      </c>
    </row>
    <row r="122" spans="1:17" hidden="1" x14ac:dyDescent="0.2">
      <c r="A122" t="str">
        <f>INDEX(Prioritization!$D:$D,MATCH($B122,Prioritization!$A:$A,0))</f>
        <v>1 - Scale-up: Saturation</v>
      </c>
      <c r="B122" t="s">
        <v>318</v>
      </c>
      <c r="C122" t="s">
        <v>476</v>
      </c>
      <c r="D122" t="s">
        <v>48</v>
      </c>
      <c r="E122" t="str">
        <f t="shared" si="4"/>
        <v>Mangochi District [lLDyBx5XyUi]|25-34|Male</v>
      </c>
      <c r="F122" s="38">
        <f>IF(LEFT($B122,4)="_Mil","",INDEX(Cascade!$U:$U,MATCH($E122,Cascade!$E:$E,0)))</f>
        <v>2486</v>
      </c>
      <c r="G122" s="38">
        <f>IFERROR(1/(1/INDEX(HTS!$AU:$AU,MATCH($E122,HTS!$E:$E,0))),"")</f>
        <v>1190</v>
      </c>
      <c r="H122" s="38" t="str">
        <f>IF(OR($C122="15-24",$C122="25-34"),IFERROR(1/(1/SUM(SUMIFS(AGYW!$S:$S,AGYW!$B:$B,$B122,AGYW!$C:$C,IF($C122="15-24",{"15-19","20-24"},{"25-29"}),AGYW!$D:$D,$D122))),""),"")</f>
        <v/>
      </c>
      <c r="I122" s="38" t="str">
        <f>IF(OR($C122="15-24",$C122="25-34"),IFERROR(1/(1/SUM(SUMIFS(AGYW!$T:$T,AGYW!$B:$B,$B122,AGYW!$C:$C,IF($C122="15-24",{"15-19","20-24"},{"25-29"}),AGYW!$D:$D,$D122))),""),"")</f>
        <v/>
      </c>
      <c r="J122" s="38">
        <v>674</v>
      </c>
      <c r="K122" s="38">
        <v>402</v>
      </c>
      <c r="L122">
        <v>968</v>
      </c>
      <c r="M122" s="38">
        <v>54</v>
      </c>
      <c r="N122" s="38">
        <v>126</v>
      </c>
      <c r="O122">
        <v>161</v>
      </c>
      <c r="P122" s="38">
        <f>2</f>
        <v>2</v>
      </c>
      <c r="Q122" s="218">
        <f t="shared" si="5"/>
        <v>322</v>
      </c>
    </row>
    <row r="123" spans="1:17" x14ac:dyDescent="0.2">
      <c r="A123" t="str">
        <f>INDEX(Prioritization!$D:$D,MATCH($B123,Prioritization!$A:$A,0))</f>
        <v>1 - Scale-up: Saturation</v>
      </c>
      <c r="B123" t="s">
        <v>318</v>
      </c>
      <c r="C123" t="s">
        <v>477</v>
      </c>
      <c r="D123" t="s">
        <v>30</v>
      </c>
      <c r="E123" t="str">
        <f t="shared" si="4"/>
        <v>Mangochi District [lLDyBx5XyUi]|35-49|Female</v>
      </c>
      <c r="F123" s="38">
        <f>IF(LEFT($B123,4)="_Mil","",INDEX(Cascade!$U:$U,MATCH($E123,Cascade!$E:$E,0)))</f>
        <v>20538</v>
      </c>
      <c r="G123" s="38">
        <f>IFERROR(1/(1/INDEX(HTS!$AU:$AU,MATCH($E123,HTS!$E:$E,0))),"")</f>
        <v>26782</v>
      </c>
      <c r="H123" s="38" t="str">
        <f>IF(OR($C123="15-24",$C123="25-34"),IFERROR(1/(1/SUM(SUMIFS(AGYW!$S:$S,AGYW!$B:$B,$B123,AGYW!$C:$C,IF($C123="15-24",{"15-19","20-24"},{"25-29"}),AGYW!$D:$D,$D123))),""),"")</f>
        <v/>
      </c>
      <c r="I123" s="38" t="str">
        <f>IF(OR($C123="15-24",$C123="25-34"),IFERROR(1/(1/SUM(SUMIFS(AGYW!$T:$T,AGYW!$B:$B,$B123,AGYW!$C:$C,IF($C123="15-24",{"15-19","20-24"},{"25-29"}),AGYW!$D:$D,$D123))),""),"")</f>
        <v/>
      </c>
      <c r="J123" s="38">
        <v>417</v>
      </c>
      <c r="K123" s="38">
        <v>651</v>
      </c>
      <c r="L123">
        <v>599</v>
      </c>
      <c r="M123" s="38">
        <v>172</v>
      </c>
      <c r="N123" s="38">
        <v>230</v>
      </c>
      <c r="O123">
        <v>513</v>
      </c>
      <c r="P123" s="38">
        <f>2</f>
        <v>2</v>
      </c>
      <c r="Q123" s="218">
        <f t="shared" si="5"/>
        <v>1026</v>
      </c>
    </row>
    <row r="124" spans="1:17" hidden="1" x14ac:dyDescent="0.2">
      <c r="A124" t="str">
        <f>INDEX(Prioritization!$D:$D,MATCH($B124,Prioritization!$A:$A,0))</f>
        <v>1 - Scale-up: Saturation</v>
      </c>
      <c r="B124" t="s">
        <v>318</v>
      </c>
      <c r="C124" t="s">
        <v>477</v>
      </c>
      <c r="D124" t="s">
        <v>48</v>
      </c>
      <c r="E124" t="str">
        <f t="shared" si="4"/>
        <v>Mangochi District [lLDyBx5XyUi]|35-49|Male</v>
      </c>
      <c r="F124" s="38">
        <f>IF(LEFT($B124,4)="_Mil","",INDEX(Cascade!$U:$U,MATCH($E124,Cascade!$E:$E,0)))</f>
        <v>8975</v>
      </c>
      <c r="G124" s="38">
        <f>IFERROR(1/(1/INDEX(HTS!$AU:$AU,MATCH($E124,HTS!$E:$E,0))),"")</f>
        <v>2525</v>
      </c>
      <c r="H124" s="38" t="str">
        <f>IF(OR($C124="15-24",$C124="25-34"),IFERROR(1/(1/SUM(SUMIFS(AGYW!$S:$S,AGYW!$B:$B,$B124,AGYW!$C:$C,IF($C124="15-24",{"15-19","20-24"},{"25-29"}),AGYW!$D:$D,$D124))),""),"")</f>
        <v/>
      </c>
      <c r="I124" s="38" t="str">
        <f>IF(OR($C124="15-24",$C124="25-34"),IFERROR(1/(1/SUM(SUMIFS(AGYW!$T:$T,AGYW!$B:$B,$B124,AGYW!$C:$C,IF($C124="15-24",{"15-19","20-24"},{"25-29"}),AGYW!$D:$D,$D124))),""),"")</f>
        <v/>
      </c>
      <c r="J124" s="38">
        <v>529</v>
      </c>
      <c r="K124" s="38">
        <v>409</v>
      </c>
      <c r="L124">
        <v>760</v>
      </c>
      <c r="M124" s="38">
        <v>45</v>
      </c>
      <c r="N124" s="38">
        <v>128</v>
      </c>
      <c r="O124">
        <v>134</v>
      </c>
      <c r="P124" s="38">
        <f>2</f>
        <v>2</v>
      </c>
      <c r="Q124" s="218">
        <f t="shared" si="5"/>
        <v>268</v>
      </c>
    </row>
    <row r="125" spans="1:17" x14ac:dyDescent="0.2">
      <c r="A125" t="str">
        <f>INDEX(Prioritization!$D:$D,MATCH($B125,Prioritization!$A:$A,0))</f>
        <v>1 - Scale-up: Saturation</v>
      </c>
      <c r="B125" t="s">
        <v>318</v>
      </c>
      <c r="C125" t="s">
        <v>478</v>
      </c>
      <c r="D125" t="s">
        <v>30</v>
      </c>
      <c r="E125" t="str">
        <f t="shared" si="4"/>
        <v>Mangochi District [lLDyBx5XyUi]|50+|Female</v>
      </c>
      <c r="F125" s="38">
        <f>IF(LEFT($B125,4)="_Mil","",INDEX(Cascade!$U:$U,MATCH($E125,Cascade!$E:$E,0)))</f>
        <v>9787</v>
      </c>
      <c r="G125" s="38">
        <f>IFERROR(1/(1/INDEX(HTS!$AU:$AU,MATCH($E125,HTS!$E:$E,0))),"")</f>
        <v>10335</v>
      </c>
      <c r="H125" s="38" t="str">
        <f>IF(OR($C125="15-24",$C125="25-34"),IFERROR(1/(1/SUM(SUMIFS(AGYW!$S:$S,AGYW!$B:$B,$B125,AGYW!$C:$C,IF($C125="15-24",{"15-19","20-24"},{"25-29"}),AGYW!$D:$D,$D125))),""),"")</f>
        <v/>
      </c>
      <c r="I125" s="38" t="str">
        <f>IF(OR($C125="15-24",$C125="25-34"),IFERROR(1/(1/SUM(SUMIFS(AGYW!$T:$T,AGYW!$B:$B,$B125,AGYW!$C:$C,IF($C125="15-24",{"15-19","20-24"},{"25-29"}),AGYW!$D:$D,$D125))),""),"")</f>
        <v/>
      </c>
      <c r="J125" s="38">
        <v>40</v>
      </c>
      <c r="K125" s="38">
        <v>85</v>
      </c>
      <c r="L125">
        <v>57</v>
      </c>
      <c r="M125" s="38">
        <v>9</v>
      </c>
      <c r="N125" s="38">
        <v>52</v>
      </c>
      <c r="O125">
        <v>27</v>
      </c>
      <c r="P125" s="38">
        <f>2</f>
        <v>2</v>
      </c>
      <c r="Q125" s="218">
        <f t="shared" si="5"/>
        <v>54</v>
      </c>
    </row>
    <row r="126" spans="1:17" hidden="1" x14ac:dyDescent="0.2">
      <c r="A126" t="str">
        <f>INDEX(Prioritization!$D:$D,MATCH($B126,Prioritization!$A:$A,0))</f>
        <v>1 - Scale-up: Saturation</v>
      </c>
      <c r="B126" t="s">
        <v>318</v>
      </c>
      <c r="C126" t="s">
        <v>478</v>
      </c>
      <c r="D126" t="s">
        <v>48</v>
      </c>
      <c r="E126" t="str">
        <f t="shared" si="4"/>
        <v>Mangochi District [lLDyBx5XyUi]|50+|Male</v>
      </c>
      <c r="F126" s="38">
        <f>IF(LEFT($B126,4)="_Mil","",INDEX(Cascade!$U:$U,MATCH($E126,Cascade!$E:$E,0)))</f>
        <v>7068</v>
      </c>
      <c r="G126" s="38">
        <f>IFERROR(1/(1/INDEX(HTS!$AU:$AU,MATCH($E126,HTS!$E:$E,0))),"")</f>
        <v>7251.9999999999991</v>
      </c>
      <c r="H126" s="38" t="str">
        <f>IF(OR($C126="15-24",$C126="25-34"),IFERROR(1/(1/SUM(SUMIFS(AGYW!$S:$S,AGYW!$B:$B,$B126,AGYW!$C:$C,IF($C126="15-24",{"15-19","20-24"},{"25-29"}),AGYW!$D:$D,$D126))),""),"")</f>
        <v/>
      </c>
      <c r="I126" s="38" t="str">
        <f>IF(OR($C126="15-24",$C126="25-34"),IFERROR(1/(1/SUM(SUMIFS(AGYW!$T:$T,AGYW!$B:$B,$B126,AGYW!$C:$C,IF($C126="15-24",{"15-19","20-24"},{"25-29"}),AGYW!$D:$D,$D126))),""),"")</f>
        <v/>
      </c>
      <c r="J126" s="38">
        <v>117</v>
      </c>
      <c r="K126" s="38">
        <v>321</v>
      </c>
      <c r="L126">
        <v>168</v>
      </c>
      <c r="M126" s="38">
        <v>18</v>
      </c>
      <c r="N126" s="38">
        <v>100</v>
      </c>
      <c r="O126">
        <v>54</v>
      </c>
      <c r="P126" s="38">
        <f>2</f>
        <v>2</v>
      </c>
      <c r="Q126" s="218">
        <f t="shared" si="5"/>
        <v>108</v>
      </c>
    </row>
    <row r="127" spans="1:17" x14ac:dyDescent="0.2">
      <c r="A127" t="str">
        <f>INDEX(Prioritization!$D:$D,MATCH($B127,Prioritization!$A:$A,0))</f>
        <v>4 - Sustained</v>
      </c>
      <c r="B127" t="s">
        <v>302</v>
      </c>
      <c r="C127" t="s">
        <v>475</v>
      </c>
      <c r="D127" t="s">
        <v>30</v>
      </c>
      <c r="E127" t="str">
        <f t="shared" si="4"/>
        <v>Mchinji District [kxuuIFpOXyO]|15-24|Female</v>
      </c>
      <c r="F127" s="38">
        <f>IF(LEFT($B127,4)="_Mil","",INDEX(Cascade!$U:$U,MATCH($E127,Cascade!$E:$E,0)))</f>
        <v>862</v>
      </c>
      <c r="G127" s="38">
        <f>IFERROR(1/(1/INDEX(HTS!$AU:$AU,MATCH($E127,HTS!$E:$E,0))),"")</f>
        <v>13755.000000000002</v>
      </c>
      <c r="H127" s="38" t="str">
        <f>IF(OR($C127="15-24",$C127="25-34"),IFERROR(1/(1/SUM(SUMIFS(AGYW!$S:$S,AGYW!$B:$B,$B127,AGYW!$C:$C,IF($C127="15-24",{"15-19","20-24"},{"25-29"}),AGYW!$D:$D,$D127))),""),"")</f>
        <v/>
      </c>
      <c r="I127" s="38" t="str">
        <f>IF(OR($C127="15-24",$C127="25-34"),IFERROR(1/(1/SUM(SUMIFS(AGYW!$T:$T,AGYW!$B:$B,$B127,AGYW!$C:$C,IF($C127="15-24",{"15-19","20-24"},{"25-29"}),AGYW!$D:$D,$D127))),""),"")</f>
        <v/>
      </c>
      <c r="J127" s="38">
        <v>211</v>
      </c>
      <c r="K127" s="38">
        <v>244</v>
      </c>
      <c r="L127">
        <v>303</v>
      </c>
      <c r="M127" s="38">
        <v>6</v>
      </c>
      <c r="N127" s="38">
        <v>71</v>
      </c>
      <c r="O127">
        <v>18</v>
      </c>
      <c r="P127" s="38">
        <f>2</f>
        <v>2</v>
      </c>
      <c r="Q127" s="218">
        <f t="shared" si="5"/>
        <v>36</v>
      </c>
    </row>
    <row r="128" spans="1:17" hidden="1" x14ac:dyDescent="0.2">
      <c r="A128" t="str">
        <f>INDEX(Prioritization!$D:$D,MATCH($B128,Prioritization!$A:$A,0))</f>
        <v>4 - Sustained</v>
      </c>
      <c r="B128" t="s">
        <v>302</v>
      </c>
      <c r="C128" t="s">
        <v>475</v>
      </c>
      <c r="D128" t="s">
        <v>48</v>
      </c>
      <c r="E128" t="str">
        <f t="shared" si="4"/>
        <v>Mchinji District [kxuuIFpOXyO]|15-24|Male</v>
      </c>
      <c r="F128" s="38">
        <f>IF(LEFT($B128,4)="_Mil","",INDEX(Cascade!$U:$U,MATCH($E128,Cascade!$E:$E,0)))</f>
        <v>654</v>
      </c>
      <c r="G128" s="38">
        <f>IFERROR(1/(1/INDEX(HTS!$AU:$AU,MATCH($E128,HTS!$E:$E,0))),"")</f>
        <v>8757</v>
      </c>
      <c r="H128" s="38" t="str">
        <f>IF(OR($C128="15-24",$C128="25-34"),IFERROR(1/(1/SUM(SUMIFS(AGYW!$S:$S,AGYW!$B:$B,$B128,AGYW!$C:$C,IF($C128="15-24",{"15-19","20-24"},{"25-29"}),AGYW!$D:$D,$D128))),""),"")</f>
        <v/>
      </c>
      <c r="I128" s="38" t="str">
        <f>IF(OR($C128="15-24",$C128="25-34"),IFERROR(1/(1/SUM(SUMIFS(AGYW!$T:$T,AGYW!$B:$B,$B128,AGYW!$C:$C,IF($C128="15-24",{"15-19","20-24"},{"25-29"}),AGYW!$D:$D,$D128))),""),"")</f>
        <v/>
      </c>
      <c r="J128" s="38">
        <v>268</v>
      </c>
      <c r="K128" s="38">
        <v>88</v>
      </c>
      <c r="L128">
        <v>385</v>
      </c>
      <c r="M128" s="38">
        <v>6</v>
      </c>
      <c r="N128" s="38">
        <v>26</v>
      </c>
      <c r="O128">
        <v>18</v>
      </c>
      <c r="P128" s="38">
        <f>2</f>
        <v>2</v>
      </c>
      <c r="Q128" s="218">
        <f t="shared" si="5"/>
        <v>36</v>
      </c>
    </row>
    <row r="129" spans="1:17" x14ac:dyDescent="0.2">
      <c r="A129" t="str">
        <f>INDEX(Prioritization!$D:$D,MATCH($B129,Prioritization!$A:$A,0))</f>
        <v>4 - Sustained</v>
      </c>
      <c r="B129" t="s">
        <v>302</v>
      </c>
      <c r="C129" t="s">
        <v>476</v>
      </c>
      <c r="D129" t="s">
        <v>30</v>
      </c>
      <c r="E129" t="str">
        <f t="shared" si="4"/>
        <v>Mchinji District [kxuuIFpOXyO]|25-34|Female</v>
      </c>
      <c r="F129" s="38">
        <f>IF(LEFT($B129,4)="_Mil","",INDEX(Cascade!$U:$U,MATCH($E129,Cascade!$E:$E,0)))</f>
        <v>2205</v>
      </c>
      <c r="G129" s="38">
        <f>IFERROR(1/(1/INDEX(HTS!$AU:$AU,MATCH($E129,HTS!$E:$E,0))),"")</f>
        <v>18783</v>
      </c>
      <c r="H129" s="38" t="str">
        <f>IF(OR($C129="15-24",$C129="25-34"),IFERROR(1/(1/SUM(SUMIFS(AGYW!$S:$S,AGYW!$B:$B,$B129,AGYW!$C:$C,IF($C129="15-24",{"15-19","20-24"},{"25-29"}),AGYW!$D:$D,$D129))),""),"")</f>
        <v/>
      </c>
      <c r="I129" s="38" t="str">
        <f>IF(OR($C129="15-24",$C129="25-34"),IFERROR(1/(1/SUM(SUMIFS(AGYW!$T:$T,AGYW!$B:$B,$B129,AGYW!$C:$C,IF($C129="15-24",{"15-19","20-24"},{"25-29"}),AGYW!$D:$D,$D129))),""),"")</f>
        <v/>
      </c>
      <c r="J129" s="38">
        <v>93</v>
      </c>
      <c r="K129" s="38">
        <v>320</v>
      </c>
      <c r="L129">
        <v>134</v>
      </c>
      <c r="M129" s="38">
        <v>5</v>
      </c>
      <c r="N129" s="38">
        <v>93</v>
      </c>
      <c r="O129">
        <v>15</v>
      </c>
      <c r="P129" s="38">
        <f>2</f>
        <v>2</v>
      </c>
      <c r="Q129" s="218">
        <f t="shared" si="5"/>
        <v>30</v>
      </c>
    </row>
    <row r="130" spans="1:17" hidden="1" x14ac:dyDescent="0.2">
      <c r="A130" t="str">
        <f>INDEX(Prioritization!$D:$D,MATCH($B130,Prioritization!$A:$A,0))</f>
        <v>4 - Sustained</v>
      </c>
      <c r="B130" t="s">
        <v>302</v>
      </c>
      <c r="C130" t="s">
        <v>476</v>
      </c>
      <c r="D130" t="s">
        <v>48</v>
      </c>
      <c r="E130" t="str">
        <f t="shared" si="4"/>
        <v>Mchinji District [kxuuIFpOXyO]|25-34|Male</v>
      </c>
      <c r="F130" s="38">
        <f>IF(LEFT($B130,4)="_Mil","",INDEX(Cascade!$U:$U,MATCH($E130,Cascade!$E:$E,0)))</f>
        <v>910</v>
      </c>
      <c r="G130" s="38">
        <f>IFERROR(1/(1/INDEX(HTS!$AU:$AU,MATCH($E130,HTS!$E:$E,0))),"")</f>
        <v>809.00000000000011</v>
      </c>
      <c r="H130" s="38" t="str">
        <f>IF(OR($C130="15-24",$C130="25-34"),IFERROR(1/(1/SUM(SUMIFS(AGYW!$S:$S,AGYW!$B:$B,$B130,AGYW!$C:$C,IF($C130="15-24",{"15-19","20-24"},{"25-29"}),AGYW!$D:$D,$D130))),""),"")</f>
        <v/>
      </c>
      <c r="I130" s="38" t="str">
        <f>IF(OR($C130="15-24",$C130="25-34"),IFERROR(1/(1/SUM(SUMIFS(AGYW!$T:$T,AGYW!$B:$B,$B130,AGYW!$C:$C,IF($C130="15-24",{"15-19","20-24"},{"25-29"}),AGYW!$D:$D,$D130))),""),"")</f>
        <v/>
      </c>
      <c r="J130" s="38">
        <v>56</v>
      </c>
      <c r="K130" s="38">
        <v>168</v>
      </c>
      <c r="L130">
        <v>80</v>
      </c>
      <c r="M130" s="38">
        <v>2</v>
      </c>
      <c r="N130" s="38">
        <v>49</v>
      </c>
      <c r="O130">
        <v>6</v>
      </c>
      <c r="P130" s="38">
        <f>2</f>
        <v>2</v>
      </c>
      <c r="Q130" s="218">
        <f t="shared" si="5"/>
        <v>12</v>
      </c>
    </row>
    <row r="131" spans="1:17" x14ac:dyDescent="0.2">
      <c r="A131" t="str">
        <f>INDEX(Prioritization!$D:$D,MATCH($B131,Prioritization!$A:$A,0))</f>
        <v>4 - Sustained</v>
      </c>
      <c r="B131" t="s">
        <v>302</v>
      </c>
      <c r="C131" t="s">
        <v>477</v>
      </c>
      <c r="D131" t="s">
        <v>30</v>
      </c>
      <c r="E131" t="str">
        <f t="shared" si="4"/>
        <v>Mchinji District [kxuuIFpOXyO]|35-49|Female</v>
      </c>
      <c r="F131" s="38">
        <f>IF(LEFT($B131,4)="_Mil","",INDEX(Cascade!$U:$U,MATCH($E131,Cascade!$E:$E,0)))</f>
        <v>5777</v>
      </c>
      <c r="G131" s="38">
        <f>IFERROR(1/(1/INDEX(HTS!$AU:$AU,MATCH($E131,HTS!$E:$E,0))),"")</f>
        <v>9609</v>
      </c>
      <c r="H131" s="38" t="str">
        <f>IF(OR($C131="15-24",$C131="25-34"),IFERROR(1/(1/SUM(SUMIFS(AGYW!$S:$S,AGYW!$B:$B,$B131,AGYW!$C:$C,IF($C131="15-24",{"15-19","20-24"},{"25-29"}),AGYW!$D:$D,$D131))),""),"")</f>
        <v/>
      </c>
      <c r="I131" s="38" t="str">
        <f>IF(OR($C131="15-24",$C131="25-34"),IFERROR(1/(1/SUM(SUMIFS(AGYW!$T:$T,AGYW!$B:$B,$B131,AGYW!$C:$C,IF($C131="15-24",{"15-19","20-24"},{"25-29"}),AGYW!$D:$D,$D131))),""),"")</f>
        <v/>
      </c>
      <c r="J131" s="38">
        <v>65</v>
      </c>
      <c r="K131" s="38">
        <v>290</v>
      </c>
      <c r="L131">
        <v>93</v>
      </c>
      <c r="M131" s="38">
        <v>9</v>
      </c>
      <c r="N131" s="38">
        <v>84</v>
      </c>
      <c r="O131">
        <v>27</v>
      </c>
      <c r="P131" s="38">
        <f>2</f>
        <v>2</v>
      </c>
      <c r="Q131" s="218">
        <f t="shared" si="5"/>
        <v>54</v>
      </c>
    </row>
    <row r="132" spans="1:17" hidden="1" x14ac:dyDescent="0.2">
      <c r="A132" t="str">
        <f>INDEX(Prioritization!$D:$D,MATCH($B132,Prioritization!$A:$A,0))</f>
        <v>4 - Sustained</v>
      </c>
      <c r="B132" t="s">
        <v>302</v>
      </c>
      <c r="C132" t="s">
        <v>477</v>
      </c>
      <c r="D132" t="s">
        <v>48</v>
      </c>
      <c r="E132" t="str">
        <f t="shared" si="4"/>
        <v>Mchinji District [kxuuIFpOXyO]|35-49|Male</v>
      </c>
      <c r="F132" s="38">
        <f>IF(LEFT($B132,4)="_Mil","",INDEX(Cascade!$U:$U,MATCH($E132,Cascade!$E:$E,0)))</f>
        <v>3509</v>
      </c>
      <c r="G132" s="38">
        <f>IFERROR(1/(1/INDEX(HTS!$AU:$AU,MATCH($E132,HTS!$E:$E,0))),"")</f>
        <v>4458</v>
      </c>
      <c r="H132" s="38" t="str">
        <f>IF(OR($C132="15-24",$C132="25-34"),IFERROR(1/(1/SUM(SUMIFS(AGYW!$S:$S,AGYW!$B:$B,$B132,AGYW!$C:$C,IF($C132="15-24",{"15-19","20-24"},{"25-29"}),AGYW!$D:$D,$D132))),""),"")</f>
        <v/>
      </c>
      <c r="I132" s="38" t="str">
        <f>IF(OR($C132="15-24",$C132="25-34"),IFERROR(1/(1/SUM(SUMIFS(AGYW!$T:$T,AGYW!$B:$B,$B132,AGYW!$C:$C,IF($C132="15-24",{"15-19","20-24"},{"25-29"}),AGYW!$D:$D,$D132))),""),"")</f>
        <v/>
      </c>
      <c r="J132" s="38">
        <v>56</v>
      </c>
      <c r="K132" s="38">
        <v>171</v>
      </c>
      <c r="L132">
        <v>80</v>
      </c>
      <c r="M132" s="38">
        <v>4</v>
      </c>
      <c r="N132" s="38">
        <v>50</v>
      </c>
      <c r="O132">
        <v>12</v>
      </c>
      <c r="P132" s="38">
        <f>2</f>
        <v>2</v>
      </c>
      <c r="Q132" s="218">
        <f t="shared" si="5"/>
        <v>24</v>
      </c>
    </row>
    <row r="133" spans="1:17" x14ac:dyDescent="0.2">
      <c r="A133" t="str">
        <f>INDEX(Prioritization!$D:$D,MATCH($B133,Prioritization!$A:$A,0))</f>
        <v>4 - Sustained</v>
      </c>
      <c r="B133" t="s">
        <v>302</v>
      </c>
      <c r="C133" t="s">
        <v>478</v>
      </c>
      <c r="D133" t="s">
        <v>30</v>
      </c>
      <c r="E133" t="str">
        <f t="shared" si="4"/>
        <v>Mchinji District [kxuuIFpOXyO]|50+|Female</v>
      </c>
      <c r="F133" s="38">
        <f>IF(LEFT($B133,4)="_Mil","",INDEX(Cascade!$U:$U,MATCH($E133,Cascade!$E:$E,0)))</f>
        <v>2686</v>
      </c>
      <c r="G133" s="38">
        <f>IFERROR(1/(1/INDEX(HTS!$AU:$AU,MATCH($E133,HTS!$E:$E,0))),"")</f>
        <v>4591</v>
      </c>
      <c r="H133" s="38" t="str">
        <f>IF(OR($C133="15-24",$C133="25-34"),IFERROR(1/(1/SUM(SUMIFS(AGYW!$S:$S,AGYW!$B:$B,$B133,AGYW!$C:$C,IF($C133="15-24",{"15-19","20-24"},{"25-29"}),AGYW!$D:$D,$D133))),""),"")</f>
        <v/>
      </c>
      <c r="I133" s="38" t="str">
        <f>IF(OR($C133="15-24",$C133="25-34"),IFERROR(1/(1/SUM(SUMIFS(AGYW!$T:$T,AGYW!$B:$B,$B133,AGYW!$C:$C,IF($C133="15-24",{"15-19","20-24"},{"25-29"}),AGYW!$D:$D,$D133))),""),"")</f>
        <v/>
      </c>
      <c r="J133" s="38">
        <v>8</v>
      </c>
      <c r="K133" s="38">
        <v>4</v>
      </c>
      <c r="L133">
        <v>11</v>
      </c>
      <c r="M133" s="38">
        <v>2</v>
      </c>
      <c r="N133" s="38">
        <v>1</v>
      </c>
      <c r="O133">
        <v>6</v>
      </c>
      <c r="P133" s="38">
        <f>2</f>
        <v>2</v>
      </c>
      <c r="Q133" s="218">
        <f t="shared" si="5"/>
        <v>12</v>
      </c>
    </row>
    <row r="134" spans="1:17" hidden="1" x14ac:dyDescent="0.2">
      <c r="A134" t="str">
        <f>INDEX(Prioritization!$D:$D,MATCH($B134,Prioritization!$A:$A,0))</f>
        <v>4 - Sustained</v>
      </c>
      <c r="B134" t="s">
        <v>302</v>
      </c>
      <c r="C134" t="s">
        <v>478</v>
      </c>
      <c r="D134" t="s">
        <v>48</v>
      </c>
      <c r="E134" t="str">
        <f t="shared" si="4"/>
        <v>Mchinji District [kxuuIFpOXyO]|50+|Male</v>
      </c>
      <c r="F134" s="38">
        <f>IF(LEFT($B134,4)="_Mil","",INDEX(Cascade!$U:$U,MATCH($E134,Cascade!$E:$E,0)))</f>
        <v>2642</v>
      </c>
      <c r="G134" s="38">
        <f>IFERROR(1/(1/INDEX(HTS!$AU:$AU,MATCH($E134,HTS!$E:$E,0))),"")</f>
        <v>2910</v>
      </c>
      <c r="H134" s="38" t="str">
        <f>IF(OR($C134="15-24",$C134="25-34"),IFERROR(1/(1/SUM(SUMIFS(AGYW!$S:$S,AGYW!$B:$B,$B134,AGYW!$C:$C,IF($C134="15-24",{"15-19","20-24"},{"25-29"}),AGYW!$D:$D,$D134))),""),"")</f>
        <v/>
      </c>
      <c r="I134" s="38" t="str">
        <f>IF(OR($C134="15-24",$C134="25-34"),IFERROR(1/(1/SUM(SUMIFS(AGYW!$T:$T,AGYW!$B:$B,$B134,AGYW!$C:$C,IF($C134="15-24",{"15-19","20-24"},{"25-29"}),AGYW!$D:$D,$D134))),""),"")</f>
        <v/>
      </c>
      <c r="J134" s="38">
        <v>16</v>
      </c>
      <c r="K134" s="38">
        <v>134</v>
      </c>
      <c r="L134">
        <v>23</v>
      </c>
      <c r="M134" s="38">
        <v>4</v>
      </c>
      <c r="N134" s="38">
        <v>39</v>
      </c>
      <c r="O134">
        <v>12</v>
      </c>
      <c r="P134" s="38">
        <f>2</f>
        <v>2</v>
      </c>
      <c r="Q134" s="218">
        <f t="shared" si="5"/>
        <v>24</v>
      </c>
    </row>
    <row r="135" spans="1:17" x14ac:dyDescent="0.2">
      <c r="A135" t="str">
        <f>INDEX(Prioritization!$D:$D,MATCH($B135,Prioritization!$A:$A,0))</f>
        <v>INVALID</v>
      </c>
      <c r="B135" t="s">
        <v>319</v>
      </c>
      <c r="C135" t="s">
        <v>475</v>
      </c>
      <c r="D135" t="s">
        <v>30</v>
      </c>
      <c r="E135" t="str">
        <f t="shared" si="4"/>
        <v>Mulanje District [umc2n1Z4wNv]|15-24|Female</v>
      </c>
      <c r="F135" s="38">
        <f>IF(LEFT($B135,4)="_Mil","",INDEX(Cascade!$U:$U,MATCH($E135,Cascade!$E:$E,0)))</f>
        <v>3145</v>
      </c>
      <c r="G135" s="38">
        <f>IFERROR(1/(1/INDEX(HTS!$AU:$AU,MATCH($E135,HTS!$E:$E,0))),"")</f>
        <v>48014</v>
      </c>
      <c r="H135" s="38" t="str">
        <f>IF(OR($C135="15-24",$C135="25-34"),IFERROR(1/(1/SUM(SUMIFS(AGYW!$S:$S,AGYW!$B:$B,$B135,AGYW!$C:$C,IF($C135="15-24",{"15-19","20-24"},{"25-29"}),AGYW!$D:$D,$D135))),""),"")</f>
        <v/>
      </c>
      <c r="I135" s="38" t="str">
        <f>IF(OR($C135="15-24",$C135="25-34"),IFERROR(1/(1/SUM(SUMIFS(AGYW!$T:$T,AGYW!$B:$B,$B135,AGYW!$C:$C,IF($C135="15-24",{"15-19","20-24"},{"25-29"}),AGYW!$D:$D,$D135))),""),"")</f>
        <v/>
      </c>
      <c r="J135" s="38">
        <v>545</v>
      </c>
      <c r="K135" s="38">
        <v>1668</v>
      </c>
      <c r="L135">
        <v>783</v>
      </c>
      <c r="M135" s="38">
        <v>91</v>
      </c>
      <c r="N135" s="38">
        <v>989</v>
      </c>
      <c r="O135">
        <v>271</v>
      </c>
      <c r="P135" s="38">
        <f>2</f>
        <v>2</v>
      </c>
      <c r="Q135" s="218">
        <f t="shared" si="5"/>
        <v>542</v>
      </c>
    </row>
    <row r="136" spans="1:17" hidden="1" x14ac:dyDescent="0.2">
      <c r="A136" t="str">
        <f>INDEX(Prioritization!$D:$D,MATCH($B136,Prioritization!$A:$A,0))</f>
        <v>INVALID</v>
      </c>
      <c r="B136" t="s">
        <v>319</v>
      </c>
      <c r="C136" t="s">
        <v>475</v>
      </c>
      <c r="D136" t="s">
        <v>48</v>
      </c>
      <c r="E136" t="str">
        <f t="shared" si="4"/>
        <v>Mulanje District [umc2n1Z4wNv]|15-24|Male</v>
      </c>
      <c r="F136" s="38">
        <f>IF(LEFT($B136,4)="_Mil","",INDEX(Cascade!$U:$U,MATCH($E136,Cascade!$E:$E,0)))</f>
        <v>2161</v>
      </c>
      <c r="G136" s="38">
        <f>IFERROR(1/(1/INDEX(HTS!$AU:$AU,MATCH($E136,HTS!$E:$E,0))),"")</f>
        <v>8895</v>
      </c>
      <c r="H136" s="38" t="str">
        <f>IF(OR($C136="15-24",$C136="25-34"),IFERROR(1/(1/SUM(SUMIFS(AGYW!$S:$S,AGYW!$B:$B,$B136,AGYW!$C:$C,IF($C136="15-24",{"15-19","20-24"},{"25-29"}),AGYW!$D:$D,$D136))),""),"")</f>
        <v/>
      </c>
      <c r="I136" s="38" t="str">
        <f>IF(OR($C136="15-24",$C136="25-34"),IFERROR(1/(1/SUM(SUMIFS(AGYW!$T:$T,AGYW!$B:$B,$B136,AGYW!$C:$C,IF($C136="15-24",{"15-19","20-24"},{"25-29"}),AGYW!$D:$D,$D136))),""),"")</f>
        <v/>
      </c>
      <c r="J136" s="38">
        <v>396</v>
      </c>
      <c r="K136" s="38">
        <v>131</v>
      </c>
      <c r="L136">
        <v>569</v>
      </c>
      <c r="M136" s="38">
        <v>68</v>
      </c>
      <c r="N136" s="38">
        <v>41</v>
      </c>
      <c r="O136">
        <v>203</v>
      </c>
      <c r="P136" s="38">
        <f>2</f>
        <v>2</v>
      </c>
      <c r="Q136" s="218">
        <f t="shared" si="5"/>
        <v>406</v>
      </c>
    </row>
    <row r="137" spans="1:17" x14ac:dyDescent="0.2">
      <c r="A137" t="str">
        <f>INDEX(Prioritization!$D:$D,MATCH($B137,Prioritization!$A:$A,0))</f>
        <v>INVALID</v>
      </c>
      <c r="B137" t="s">
        <v>319</v>
      </c>
      <c r="C137" t="s">
        <v>476</v>
      </c>
      <c r="D137" t="s">
        <v>30</v>
      </c>
      <c r="E137" t="str">
        <f t="shared" si="4"/>
        <v>Mulanje District [umc2n1Z4wNv]|25-34|Female</v>
      </c>
      <c r="F137" s="38">
        <f>IF(LEFT($B137,4)="_Mil","",INDEX(Cascade!$U:$U,MATCH($E137,Cascade!$E:$E,0)))</f>
        <v>7860</v>
      </c>
      <c r="G137" s="38">
        <f>IFERROR(1/(1/INDEX(HTS!$AU:$AU,MATCH($E137,HTS!$E:$E,0))),"")</f>
        <v>24818</v>
      </c>
      <c r="H137" s="38" t="str">
        <f>IF(OR($C137="15-24",$C137="25-34"),IFERROR(1/(1/SUM(SUMIFS(AGYW!$S:$S,AGYW!$B:$B,$B137,AGYW!$C:$C,IF($C137="15-24",{"15-19","20-24"},{"25-29"}),AGYW!$D:$D,$D137))),""),"")</f>
        <v/>
      </c>
      <c r="I137" s="38" t="str">
        <f>IF(OR($C137="15-24",$C137="25-34"),IFERROR(1/(1/SUM(SUMIFS(AGYW!$T:$T,AGYW!$B:$B,$B137,AGYW!$C:$C,IF($C137="15-24",{"15-19","20-24"},{"25-29"}),AGYW!$D:$D,$D137))),""),"")</f>
        <v/>
      </c>
      <c r="J137" s="38">
        <v>514</v>
      </c>
      <c r="K137" s="38">
        <v>1389</v>
      </c>
      <c r="L137">
        <v>738</v>
      </c>
      <c r="M137" s="38">
        <v>137</v>
      </c>
      <c r="N137" s="38">
        <v>775</v>
      </c>
      <c r="O137">
        <v>408</v>
      </c>
      <c r="P137" s="38">
        <f>2</f>
        <v>2</v>
      </c>
      <c r="Q137" s="218">
        <f t="shared" si="5"/>
        <v>816</v>
      </c>
    </row>
    <row r="138" spans="1:17" hidden="1" x14ac:dyDescent="0.2">
      <c r="A138" t="str">
        <f>INDEX(Prioritization!$D:$D,MATCH($B138,Prioritization!$A:$A,0))</f>
        <v>INVALID</v>
      </c>
      <c r="B138" t="s">
        <v>319</v>
      </c>
      <c r="C138" t="s">
        <v>476</v>
      </c>
      <c r="D138" t="s">
        <v>48</v>
      </c>
      <c r="E138" t="str">
        <f t="shared" si="4"/>
        <v>Mulanje District [umc2n1Z4wNv]|25-34|Male</v>
      </c>
      <c r="F138" s="38">
        <f>IF(LEFT($B138,4)="_Mil","",INDEX(Cascade!$U:$U,MATCH($E138,Cascade!$E:$E,0)))</f>
        <v>2712</v>
      </c>
      <c r="G138" s="38">
        <f>IFERROR(1/(1/INDEX(HTS!$AU:$AU,MATCH($E138,HTS!$E:$E,0))),"")</f>
        <v>2624</v>
      </c>
      <c r="H138" s="38" t="str">
        <f>IF(OR($C138="15-24",$C138="25-34"),IFERROR(1/(1/SUM(SUMIFS(AGYW!$S:$S,AGYW!$B:$B,$B138,AGYW!$C:$C,IF($C138="15-24",{"15-19","20-24"},{"25-29"}),AGYW!$D:$D,$D138))),""),"")</f>
        <v/>
      </c>
      <c r="I138" s="38" t="str">
        <f>IF(OR($C138="15-24",$C138="25-34"),IFERROR(1/(1/SUM(SUMIFS(AGYW!$T:$T,AGYW!$B:$B,$B138,AGYW!$C:$C,IF($C138="15-24",{"15-19","20-24"},{"25-29"}),AGYW!$D:$D,$D138))),""),"")</f>
        <v/>
      </c>
      <c r="J138" s="38">
        <v>392</v>
      </c>
      <c r="K138" s="38">
        <v>253</v>
      </c>
      <c r="L138">
        <v>563</v>
      </c>
      <c r="M138" s="38">
        <v>57</v>
      </c>
      <c r="N138" s="38">
        <v>79</v>
      </c>
      <c r="O138">
        <v>170</v>
      </c>
      <c r="P138" s="38">
        <f>2</f>
        <v>2</v>
      </c>
      <c r="Q138" s="218">
        <f t="shared" si="5"/>
        <v>340</v>
      </c>
    </row>
    <row r="139" spans="1:17" x14ac:dyDescent="0.2">
      <c r="A139" t="str">
        <f>INDEX(Prioritization!$D:$D,MATCH($B139,Prioritization!$A:$A,0))</f>
        <v>INVALID</v>
      </c>
      <c r="B139" t="s">
        <v>319</v>
      </c>
      <c r="C139" t="s">
        <v>477</v>
      </c>
      <c r="D139" t="s">
        <v>30</v>
      </c>
      <c r="E139" t="str">
        <f t="shared" si="4"/>
        <v>Mulanje District [umc2n1Z4wNv]|35-49|Female</v>
      </c>
      <c r="F139" s="38">
        <f>IF(LEFT($B139,4)="_Mil","",INDEX(Cascade!$U:$U,MATCH($E139,Cascade!$E:$E,0)))</f>
        <v>19947</v>
      </c>
      <c r="G139" s="38">
        <f>IFERROR(1/(1/INDEX(HTS!$AU:$AU,MATCH($E139,HTS!$E:$E,0))),"")</f>
        <v>23419</v>
      </c>
      <c r="H139" s="38" t="str">
        <f>IF(OR($C139="15-24",$C139="25-34"),IFERROR(1/(1/SUM(SUMIFS(AGYW!$S:$S,AGYW!$B:$B,$B139,AGYW!$C:$C,IF($C139="15-24",{"15-19","20-24"},{"25-29"}),AGYW!$D:$D,$D139))),""),"")</f>
        <v/>
      </c>
      <c r="I139" s="38" t="str">
        <f>IF(OR($C139="15-24",$C139="25-34"),IFERROR(1/(1/SUM(SUMIFS(AGYW!$T:$T,AGYW!$B:$B,$B139,AGYW!$C:$C,IF($C139="15-24",{"15-19","20-24"},{"25-29"}),AGYW!$D:$D,$D139))),""),"")</f>
        <v/>
      </c>
      <c r="J139" s="38">
        <v>431</v>
      </c>
      <c r="K139" s="38">
        <v>408</v>
      </c>
      <c r="L139">
        <v>619</v>
      </c>
      <c r="M139" s="38">
        <v>138</v>
      </c>
      <c r="N139" s="38">
        <v>145</v>
      </c>
      <c r="O139">
        <v>411</v>
      </c>
      <c r="P139" s="38">
        <f>2</f>
        <v>2</v>
      </c>
      <c r="Q139" s="218">
        <f t="shared" si="5"/>
        <v>822</v>
      </c>
    </row>
    <row r="140" spans="1:17" hidden="1" x14ac:dyDescent="0.2">
      <c r="A140" t="str">
        <f>INDEX(Prioritization!$D:$D,MATCH($B140,Prioritization!$A:$A,0))</f>
        <v>INVALID</v>
      </c>
      <c r="B140" t="s">
        <v>319</v>
      </c>
      <c r="C140" t="s">
        <v>477</v>
      </c>
      <c r="D140" t="s">
        <v>48</v>
      </c>
      <c r="E140" t="str">
        <f t="shared" si="4"/>
        <v>Mulanje District [umc2n1Z4wNv]|35-49|Male</v>
      </c>
      <c r="F140" s="38">
        <f>IF(LEFT($B140,4)="_Mil","",INDEX(Cascade!$U:$U,MATCH($E140,Cascade!$E:$E,0)))</f>
        <v>9576</v>
      </c>
      <c r="G140" s="38">
        <f>IFERROR(1/(1/INDEX(HTS!$AU:$AU,MATCH($E140,HTS!$E:$E,0))),"")</f>
        <v>13883</v>
      </c>
      <c r="H140" s="38" t="str">
        <f>IF(OR($C140="15-24",$C140="25-34"),IFERROR(1/(1/SUM(SUMIFS(AGYW!$S:$S,AGYW!$B:$B,$B140,AGYW!$C:$C,IF($C140="15-24",{"15-19","20-24"},{"25-29"}),AGYW!$D:$D,$D140))),""),"")</f>
        <v/>
      </c>
      <c r="I140" s="38" t="str">
        <f>IF(OR($C140="15-24",$C140="25-34"),IFERROR(1/(1/SUM(SUMIFS(AGYW!$T:$T,AGYW!$B:$B,$B140,AGYW!$C:$C,IF($C140="15-24",{"15-19","20-24"},{"25-29"}),AGYW!$D:$D,$D140))),""),"")</f>
        <v/>
      </c>
      <c r="J140" s="38">
        <v>321</v>
      </c>
      <c r="K140" s="38">
        <v>256</v>
      </c>
      <c r="L140">
        <v>461</v>
      </c>
      <c r="M140" s="38">
        <v>76</v>
      </c>
      <c r="N140" s="38">
        <v>80</v>
      </c>
      <c r="O140">
        <v>226</v>
      </c>
      <c r="P140" s="38">
        <f>2</f>
        <v>2</v>
      </c>
      <c r="Q140" s="218">
        <f t="shared" si="5"/>
        <v>452</v>
      </c>
    </row>
    <row r="141" spans="1:17" x14ac:dyDescent="0.2">
      <c r="A141" t="str">
        <f>INDEX(Prioritization!$D:$D,MATCH($B141,Prioritization!$A:$A,0))</f>
        <v>INVALID</v>
      </c>
      <c r="B141" t="s">
        <v>319</v>
      </c>
      <c r="C141" t="s">
        <v>478</v>
      </c>
      <c r="D141" t="s">
        <v>30</v>
      </c>
      <c r="E141" t="str">
        <f t="shared" si="4"/>
        <v>Mulanje District [umc2n1Z4wNv]|50+|Female</v>
      </c>
      <c r="F141" s="38">
        <f>IF(LEFT($B141,4)="_Mil","",INDEX(Cascade!$U:$U,MATCH($E141,Cascade!$E:$E,0)))</f>
        <v>9837</v>
      </c>
      <c r="G141" s="38">
        <f>IFERROR(1/(1/INDEX(HTS!$AU:$AU,MATCH($E141,HTS!$E:$E,0))),"")</f>
        <v>13531.000000000002</v>
      </c>
      <c r="H141" s="38" t="str">
        <f>IF(OR($C141="15-24",$C141="25-34"),IFERROR(1/(1/SUM(SUMIFS(AGYW!$S:$S,AGYW!$B:$B,$B141,AGYW!$C:$C,IF($C141="15-24",{"15-19","20-24"},{"25-29"}),AGYW!$D:$D,$D141))),""),"")</f>
        <v/>
      </c>
      <c r="I141" s="38" t="str">
        <f>IF(OR($C141="15-24",$C141="25-34"),IFERROR(1/(1/SUM(SUMIFS(AGYW!$T:$T,AGYW!$B:$B,$B141,AGYW!$C:$C,IF($C141="15-24",{"15-19","20-24"},{"25-29"}),AGYW!$D:$D,$D141))),""),"")</f>
        <v/>
      </c>
      <c r="J141" s="38">
        <v>81</v>
      </c>
      <c r="K141" s="38">
        <v>52</v>
      </c>
      <c r="L141">
        <v>116</v>
      </c>
      <c r="M141" s="38">
        <v>27</v>
      </c>
      <c r="N141" s="38">
        <v>32</v>
      </c>
      <c r="O141">
        <v>80</v>
      </c>
      <c r="P141" s="38">
        <f>2</f>
        <v>2</v>
      </c>
      <c r="Q141" s="218">
        <f t="shared" si="5"/>
        <v>160</v>
      </c>
    </row>
    <row r="142" spans="1:17" hidden="1" x14ac:dyDescent="0.2">
      <c r="A142" t="str">
        <f>INDEX(Prioritization!$D:$D,MATCH($B142,Prioritization!$A:$A,0))</f>
        <v>INVALID</v>
      </c>
      <c r="B142" t="s">
        <v>319</v>
      </c>
      <c r="C142" t="s">
        <v>478</v>
      </c>
      <c r="D142" t="s">
        <v>48</v>
      </c>
      <c r="E142" t="str">
        <f t="shared" si="4"/>
        <v>Mulanje District [umc2n1Z4wNv]|50+|Male</v>
      </c>
      <c r="F142" s="38">
        <f>IF(LEFT($B142,4)="_Mil","",INDEX(Cascade!$U:$U,MATCH($E142,Cascade!$E:$E,0)))</f>
        <v>6670</v>
      </c>
      <c r="G142" s="38">
        <f>IFERROR(1/(1/INDEX(HTS!$AU:$AU,MATCH($E142,HTS!$E:$E,0))),"")</f>
        <v>5027</v>
      </c>
      <c r="H142" s="38" t="str">
        <f>IF(OR($C142="15-24",$C142="25-34"),IFERROR(1/(1/SUM(SUMIFS(AGYW!$S:$S,AGYW!$B:$B,$B142,AGYW!$C:$C,IF($C142="15-24",{"15-19","20-24"},{"25-29"}),AGYW!$D:$D,$D142))),""),"")</f>
        <v/>
      </c>
      <c r="I142" s="38" t="str">
        <f>IF(OR($C142="15-24",$C142="25-34"),IFERROR(1/(1/SUM(SUMIFS(AGYW!$T:$T,AGYW!$B:$B,$B142,AGYW!$C:$C,IF($C142="15-24",{"15-19","20-24"},{"25-29"}),AGYW!$D:$D,$D142))),""),"")</f>
        <v/>
      </c>
      <c r="J142" s="38">
        <v>104</v>
      </c>
      <c r="K142" s="38">
        <v>201</v>
      </c>
      <c r="L142">
        <v>149</v>
      </c>
      <c r="M142" s="38">
        <v>27</v>
      </c>
      <c r="N142" s="38">
        <v>63</v>
      </c>
      <c r="O142">
        <v>80</v>
      </c>
      <c r="P142" s="38">
        <f>2</f>
        <v>2</v>
      </c>
      <c r="Q142" s="218">
        <f t="shared" si="5"/>
        <v>160</v>
      </c>
    </row>
    <row r="143" spans="1:17" x14ac:dyDescent="0.2">
      <c r="A143" t="str">
        <f>INDEX(Prioritization!$D:$D,MATCH($B143,Prioritization!$A:$A,0))</f>
        <v>4 - Sustained</v>
      </c>
      <c r="B143" t="s">
        <v>320</v>
      </c>
      <c r="C143" t="s">
        <v>475</v>
      </c>
      <c r="D143" t="s">
        <v>30</v>
      </c>
      <c r="E143" t="str">
        <f t="shared" ref="E143:E206" si="6">B143&amp;"|"&amp;C143&amp;"|"&amp;D143</f>
        <v>Mwanza District [wNqJp8oRIcF]|15-24|Female</v>
      </c>
      <c r="F143" s="38">
        <f>IF(LEFT($B143,4)="_Mil","",INDEX(Cascade!$U:$U,MATCH($E143,Cascade!$E:$E,0)))</f>
        <v>337</v>
      </c>
      <c r="G143" s="38">
        <f>IFERROR(1/(1/INDEX(HTS!$AU:$AU,MATCH($E143,HTS!$E:$E,0))),"")</f>
        <v>7108</v>
      </c>
      <c r="H143" s="38" t="str">
        <f>IF(OR($C143="15-24",$C143="25-34"),IFERROR(1/(1/SUM(SUMIFS(AGYW!$S:$S,AGYW!$B:$B,$B143,AGYW!$C:$C,IF($C143="15-24",{"15-19","20-24"},{"25-29"}),AGYW!$D:$D,$D143))),""),"")</f>
        <v/>
      </c>
      <c r="I143" s="38" t="str">
        <f>IF(OR($C143="15-24",$C143="25-34"),IFERROR(1/(1/SUM(SUMIFS(AGYW!$T:$T,AGYW!$B:$B,$B143,AGYW!$C:$C,IF($C143="15-24",{"15-19","20-24"},{"25-29"}),AGYW!$D:$D,$D143))),""),"")</f>
        <v/>
      </c>
      <c r="J143" s="38">
        <v>200</v>
      </c>
      <c r="K143" s="38">
        <v>68</v>
      </c>
      <c r="L143">
        <v>287</v>
      </c>
      <c r="M143" s="38">
        <v>15</v>
      </c>
      <c r="N143" s="38">
        <v>24</v>
      </c>
      <c r="O143">
        <v>45</v>
      </c>
      <c r="P143" s="38">
        <f>2</f>
        <v>2</v>
      </c>
      <c r="Q143" s="218">
        <f t="shared" ref="Q143:Q206" si="7">IF(SUM($O143)=0,"",ROUND($O143*$P143,0))</f>
        <v>90</v>
      </c>
    </row>
    <row r="144" spans="1:17" hidden="1" x14ac:dyDescent="0.2">
      <c r="A144" t="str">
        <f>INDEX(Prioritization!$D:$D,MATCH($B144,Prioritization!$A:$A,0))</f>
        <v>4 - Sustained</v>
      </c>
      <c r="B144" t="s">
        <v>320</v>
      </c>
      <c r="C144" t="s">
        <v>475</v>
      </c>
      <c r="D144" t="s">
        <v>48</v>
      </c>
      <c r="E144" t="str">
        <f t="shared" si="6"/>
        <v>Mwanza District [wNqJp8oRIcF]|15-24|Male</v>
      </c>
      <c r="F144" s="38">
        <f>IF(LEFT($B144,4)="_Mil","",INDEX(Cascade!$U:$U,MATCH($E144,Cascade!$E:$E,0)))</f>
        <v>232</v>
      </c>
      <c r="G144" s="38">
        <f>IFERROR(1/(1/INDEX(HTS!$AU:$AU,MATCH($E144,HTS!$E:$E,0))),"")</f>
        <v>2048</v>
      </c>
      <c r="H144" s="38" t="str">
        <f>IF(OR($C144="15-24",$C144="25-34"),IFERROR(1/(1/SUM(SUMIFS(AGYW!$S:$S,AGYW!$B:$B,$B144,AGYW!$C:$C,IF($C144="15-24",{"15-19","20-24"},{"25-29"}),AGYW!$D:$D,$D144))),""),"")</f>
        <v/>
      </c>
      <c r="I144" s="38" t="str">
        <f>IF(OR($C144="15-24",$C144="25-34"),IFERROR(1/(1/SUM(SUMIFS(AGYW!$T:$T,AGYW!$B:$B,$B144,AGYW!$C:$C,IF($C144="15-24",{"15-19","20-24"},{"25-29"}),AGYW!$D:$D,$D144))),""),"")</f>
        <v/>
      </c>
      <c r="J144" s="38">
        <v>79</v>
      </c>
      <c r="K144" s="38">
        <v>26</v>
      </c>
      <c r="L144">
        <v>113</v>
      </c>
      <c r="M144" s="38">
        <v>8</v>
      </c>
      <c r="N144" s="38">
        <v>8</v>
      </c>
      <c r="O144">
        <v>32</v>
      </c>
      <c r="P144" s="38">
        <f>2</f>
        <v>2</v>
      </c>
      <c r="Q144" s="218">
        <f t="shared" si="7"/>
        <v>64</v>
      </c>
    </row>
    <row r="145" spans="1:17" x14ac:dyDescent="0.2">
      <c r="A145" t="str">
        <f>INDEX(Prioritization!$D:$D,MATCH($B145,Prioritization!$A:$A,0))</f>
        <v>4 - Sustained</v>
      </c>
      <c r="B145" t="s">
        <v>320</v>
      </c>
      <c r="C145" t="s">
        <v>476</v>
      </c>
      <c r="D145" t="s">
        <v>30</v>
      </c>
      <c r="E145" t="str">
        <f t="shared" si="6"/>
        <v>Mwanza District [wNqJp8oRIcF]|25-34|Female</v>
      </c>
      <c r="F145" s="38">
        <f>IF(LEFT($B145,4)="_Mil","",INDEX(Cascade!$U:$U,MATCH($E145,Cascade!$E:$E,0)))</f>
        <v>867</v>
      </c>
      <c r="G145" s="38">
        <f>IFERROR(1/(1/INDEX(HTS!$AU:$AU,MATCH($E145,HTS!$E:$E,0))),"")</f>
        <v>6686</v>
      </c>
      <c r="H145" s="38" t="str">
        <f>IF(OR($C145="15-24",$C145="25-34"),IFERROR(1/(1/SUM(SUMIFS(AGYW!$S:$S,AGYW!$B:$B,$B145,AGYW!$C:$C,IF($C145="15-24",{"15-19","20-24"},{"25-29"}),AGYW!$D:$D,$D145))),""),"")</f>
        <v/>
      </c>
      <c r="I145" s="38" t="str">
        <f>IF(OR($C145="15-24",$C145="25-34"),IFERROR(1/(1/SUM(SUMIFS(AGYW!$T:$T,AGYW!$B:$B,$B145,AGYW!$C:$C,IF($C145="15-24",{"15-19","20-24"},{"25-29"}),AGYW!$D:$D,$D145))),""),"")</f>
        <v/>
      </c>
      <c r="J145" s="38">
        <v>294</v>
      </c>
      <c r="K145" s="38">
        <v>89</v>
      </c>
      <c r="L145">
        <v>422</v>
      </c>
      <c r="M145" s="38">
        <v>87</v>
      </c>
      <c r="N145" s="38">
        <v>32</v>
      </c>
      <c r="O145">
        <v>259</v>
      </c>
      <c r="P145" s="38">
        <f>2</f>
        <v>2</v>
      </c>
      <c r="Q145" s="218">
        <f t="shared" si="7"/>
        <v>518</v>
      </c>
    </row>
    <row r="146" spans="1:17" hidden="1" x14ac:dyDescent="0.2">
      <c r="A146" t="str">
        <f>INDEX(Prioritization!$D:$D,MATCH($B146,Prioritization!$A:$A,0))</f>
        <v>4 - Sustained</v>
      </c>
      <c r="B146" t="s">
        <v>320</v>
      </c>
      <c r="C146" t="s">
        <v>476</v>
      </c>
      <c r="D146" t="s">
        <v>48</v>
      </c>
      <c r="E146" t="str">
        <f t="shared" si="6"/>
        <v>Mwanza District [wNqJp8oRIcF]|25-34|Male</v>
      </c>
      <c r="F146" s="38">
        <f>IF(LEFT($B146,4)="_Mil","",INDEX(Cascade!$U:$U,MATCH($E146,Cascade!$E:$E,0)))</f>
        <v>323</v>
      </c>
      <c r="G146" s="38">
        <f>IFERROR(1/(1/INDEX(HTS!$AU:$AU,MATCH($E146,HTS!$E:$E,0))),"")</f>
        <v>1541</v>
      </c>
      <c r="H146" s="38" t="str">
        <f>IF(OR($C146="15-24",$C146="25-34"),IFERROR(1/(1/SUM(SUMIFS(AGYW!$S:$S,AGYW!$B:$B,$B146,AGYW!$C:$C,IF($C146="15-24",{"15-19","20-24"},{"25-29"}),AGYW!$D:$D,$D146))),""),"")</f>
        <v/>
      </c>
      <c r="I146" s="38" t="str">
        <f>IF(OR($C146="15-24",$C146="25-34"),IFERROR(1/(1/SUM(SUMIFS(AGYW!$T:$T,AGYW!$B:$B,$B146,AGYW!$C:$C,IF($C146="15-24",{"15-19","20-24"},{"25-29"}),AGYW!$D:$D,$D146))),""),"")</f>
        <v/>
      </c>
      <c r="J146" s="38">
        <v>129</v>
      </c>
      <c r="K146" s="38">
        <v>50</v>
      </c>
      <c r="L146">
        <v>185</v>
      </c>
      <c r="M146" s="38">
        <v>23</v>
      </c>
      <c r="N146" s="38">
        <v>16</v>
      </c>
      <c r="O146">
        <v>69</v>
      </c>
      <c r="P146" s="38">
        <f>2</f>
        <v>2</v>
      </c>
      <c r="Q146" s="218">
        <f t="shared" si="7"/>
        <v>138</v>
      </c>
    </row>
    <row r="147" spans="1:17" x14ac:dyDescent="0.2">
      <c r="A147" t="str">
        <f>INDEX(Prioritization!$D:$D,MATCH($B147,Prioritization!$A:$A,0))</f>
        <v>4 - Sustained</v>
      </c>
      <c r="B147" t="s">
        <v>320</v>
      </c>
      <c r="C147" t="s">
        <v>477</v>
      </c>
      <c r="D147" t="s">
        <v>30</v>
      </c>
      <c r="E147" t="str">
        <f t="shared" si="6"/>
        <v>Mwanza District [wNqJp8oRIcF]|35-49|Female</v>
      </c>
      <c r="F147" s="38">
        <f>IF(LEFT($B147,4)="_Mil","",INDEX(Cascade!$U:$U,MATCH($E147,Cascade!$E:$E,0)))</f>
        <v>2081</v>
      </c>
      <c r="G147" s="38">
        <f>IFERROR(1/(1/INDEX(HTS!$AU:$AU,MATCH($E147,HTS!$E:$E,0))),"")</f>
        <v>5213</v>
      </c>
      <c r="H147" s="38" t="str">
        <f>IF(OR($C147="15-24",$C147="25-34"),IFERROR(1/(1/SUM(SUMIFS(AGYW!$S:$S,AGYW!$B:$B,$B147,AGYW!$C:$C,IF($C147="15-24",{"15-19","20-24"},{"25-29"}),AGYW!$D:$D,$D147))),""),"")</f>
        <v/>
      </c>
      <c r="I147" s="38" t="str">
        <f>IF(OR($C147="15-24",$C147="25-34"),IFERROR(1/(1/SUM(SUMIFS(AGYW!$T:$T,AGYW!$B:$B,$B147,AGYW!$C:$C,IF($C147="15-24",{"15-19","20-24"},{"25-29"}),AGYW!$D:$D,$D147))),""),"")</f>
        <v/>
      </c>
      <c r="J147" s="38">
        <v>72</v>
      </c>
      <c r="K147" s="38">
        <v>81</v>
      </c>
      <c r="L147">
        <v>103</v>
      </c>
      <c r="M147" s="38">
        <v>5</v>
      </c>
      <c r="N147" s="38">
        <v>29</v>
      </c>
      <c r="O147">
        <v>15</v>
      </c>
      <c r="P147" s="38">
        <f>2</f>
        <v>2</v>
      </c>
      <c r="Q147" s="218">
        <f t="shared" si="7"/>
        <v>30</v>
      </c>
    </row>
    <row r="148" spans="1:17" hidden="1" x14ac:dyDescent="0.2">
      <c r="A148" t="str">
        <f>INDEX(Prioritization!$D:$D,MATCH($B148,Prioritization!$A:$A,0))</f>
        <v>4 - Sustained</v>
      </c>
      <c r="B148" t="s">
        <v>320</v>
      </c>
      <c r="C148" t="s">
        <v>477</v>
      </c>
      <c r="D148" t="s">
        <v>48</v>
      </c>
      <c r="E148" t="str">
        <f t="shared" si="6"/>
        <v>Mwanza District [wNqJp8oRIcF]|35-49|Male</v>
      </c>
      <c r="F148" s="38">
        <f>IF(LEFT($B148,4)="_Mil","",INDEX(Cascade!$U:$U,MATCH($E148,Cascade!$E:$E,0)))</f>
        <v>1130</v>
      </c>
      <c r="G148" s="38">
        <f>IFERROR(1/(1/INDEX(HTS!$AU:$AU,MATCH($E148,HTS!$E:$E,0))),"")</f>
        <v>2793</v>
      </c>
      <c r="H148" s="38" t="str">
        <f>IF(OR($C148="15-24",$C148="25-34"),IFERROR(1/(1/SUM(SUMIFS(AGYW!$S:$S,AGYW!$B:$B,$B148,AGYW!$C:$C,IF($C148="15-24",{"15-19","20-24"},{"25-29"}),AGYW!$D:$D,$D148))),""),"")</f>
        <v/>
      </c>
      <c r="I148" s="38" t="str">
        <f>IF(OR($C148="15-24",$C148="25-34"),IFERROR(1/(1/SUM(SUMIFS(AGYW!$T:$T,AGYW!$B:$B,$B148,AGYW!$C:$C,IF($C148="15-24",{"15-19","20-24"},{"25-29"}),AGYW!$D:$D,$D148))),""),"")</f>
        <v/>
      </c>
      <c r="J148" s="38">
        <v>25</v>
      </c>
      <c r="K148" s="38">
        <v>51</v>
      </c>
      <c r="L148">
        <v>36</v>
      </c>
      <c r="M148" s="38">
        <v>3</v>
      </c>
      <c r="N148" s="38">
        <v>16</v>
      </c>
      <c r="O148">
        <v>9</v>
      </c>
      <c r="P148" s="38">
        <f>2</f>
        <v>2</v>
      </c>
      <c r="Q148" s="218">
        <f t="shared" si="7"/>
        <v>18</v>
      </c>
    </row>
    <row r="149" spans="1:17" x14ac:dyDescent="0.2">
      <c r="A149" t="str">
        <f>INDEX(Prioritization!$D:$D,MATCH($B149,Prioritization!$A:$A,0))</f>
        <v>4 - Sustained</v>
      </c>
      <c r="B149" t="s">
        <v>320</v>
      </c>
      <c r="C149" t="s">
        <v>478</v>
      </c>
      <c r="D149" t="s">
        <v>30</v>
      </c>
      <c r="E149" t="str">
        <f t="shared" si="6"/>
        <v>Mwanza District [wNqJp8oRIcF]|50+|Female</v>
      </c>
      <c r="F149" s="38">
        <f>IF(LEFT($B149,4)="_Mil","",INDEX(Cascade!$U:$U,MATCH($E149,Cascade!$E:$E,0)))</f>
        <v>951</v>
      </c>
      <c r="G149" s="38">
        <f>IFERROR(1/(1/INDEX(HTS!$AU:$AU,MATCH($E149,HTS!$E:$E,0))),"")</f>
        <v>1364</v>
      </c>
      <c r="H149" s="38" t="str">
        <f>IF(OR($C149="15-24",$C149="25-34"),IFERROR(1/(1/SUM(SUMIFS(AGYW!$S:$S,AGYW!$B:$B,$B149,AGYW!$C:$C,IF($C149="15-24",{"15-19","20-24"},{"25-29"}),AGYW!$D:$D,$D149))),""),"")</f>
        <v/>
      </c>
      <c r="I149" s="38" t="str">
        <f>IF(OR($C149="15-24",$C149="25-34"),IFERROR(1/(1/SUM(SUMIFS(AGYW!$T:$T,AGYW!$B:$B,$B149,AGYW!$C:$C,IF($C149="15-24",{"15-19","20-24"},{"25-29"}),AGYW!$D:$D,$D149))),""),"")</f>
        <v/>
      </c>
      <c r="J149" s="38">
        <v>5</v>
      </c>
      <c r="K149" s="38">
        <v>10</v>
      </c>
      <c r="L149">
        <v>7</v>
      </c>
      <c r="M149" s="38">
        <v>3</v>
      </c>
      <c r="N149" s="38">
        <v>6</v>
      </c>
      <c r="O149">
        <v>9</v>
      </c>
      <c r="P149" s="38">
        <f>2</f>
        <v>2</v>
      </c>
      <c r="Q149" s="218">
        <f t="shared" si="7"/>
        <v>18</v>
      </c>
    </row>
    <row r="150" spans="1:17" hidden="1" x14ac:dyDescent="0.2">
      <c r="A150" t="str">
        <f>INDEX(Prioritization!$D:$D,MATCH($B150,Prioritization!$A:$A,0))</f>
        <v>4 - Sustained</v>
      </c>
      <c r="B150" t="s">
        <v>320</v>
      </c>
      <c r="C150" t="s">
        <v>478</v>
      </c>
      <c r="D150" t="s">
        <v>48</v>
      </c>
      <c r="E150" t="str">
        <f t="shared" si="6"/>
        <v>Mwanza District [wNqJp8oRIcF]|50+|Male</v>
      </c>
      <c r="F150" s="38">
        <f>IF(LEFT($B150,4)="_Mil","",INDEX(Cascade!$U:$U,MATCH($E150,Cascade!$E:$E,0)))</f>
        <v>758</v>
      </c>
      <c r="G150" s="38">
        <f>IFERROR(1/(1/INDEX(HTS!$AU:$AU,MATCH($E150,HTS!$E:$E,0))),"")</f>
        <v>1697</v>
      </c>
      <c r="H150" s="38" t="str">
        <f>IF(OR($C150="15-24",$C150="25-34"),IFERROR(1/(1/SUM(SUMIFS(AGYW!$S:$S,AGYW!$B:$B,$B150,AGYW!$C:$C,IF($C150="15-24",{"15-19","20-24"},{"25-29"}),AGYW!$D:$D,$D150))),""),"")</f>
        <v/>
      </c>
      <c r="I150" s="38" t="str">
        <f>IF(OR($C150="15-24",$C150="25-34"),IFERROR(1/(1/SUM(SUMIFS(AGYW!$T:$T,AGYW!$B:$B,$B150,AGYW!$C:$C,IF($C150="15-24",{"15-19","20-24"},{"25-29"}),AGYW!$D:$D,$D150))),""),"")</f>
        <v/>
      </c>
      <c r="J150" s="38">
        <v>10</v>
      </c>
      <c r="K150" s="38">
        <v>40</v>
      </c>
      <c r="L150">
        <v>14</v>
      </c>
      <c r="M150" s="38"/>
      <c r="N150" s="38">
        <v>12</v>
      </c>
      <c r="O150">
        <v>0</v>
      </c>
      <c r="P150" s="38">
        <f>2</f>
        <v>2</v>
      </c>
      <c r="Q150" s="218" t="str">
        <f t="shared" si="7"/>
        <v/>
      </c>
    </row>
    <row r="151" spans="1:17" x14ac:dyDescent="0.2">
      <c r="A151" t="str">
        <f>INDEX(Prioritization!$D:$D,MATCH($B151,Prioritization!$A:$A,0))</f>
        <v>1 - Scale-up: Saturation</v>
      </c>
      <c r="B151" t="s">
        <v>310</v>
      </c>
      <c r="C151" t="s">
        <v>475</v>
      </c>
      <c r="D151" t="s">
        <v>30</v>
      </c>
      <c r="E151" t="str">
        <f t="shared" si="6"/>
        <v>Mzimba District [vA4NcHxfMBq]|15-24|Female</v>
      </c>
      <c r="F151" s="38">
        <f>IF(LEFT($B151,4)="_Mil","",INDEX(Cascade!$U:$U,MATCH($E151,Cascade!$E:$E,0)))</f>
        <v>2258</v>
      </c>
      <c r="G151" s="38">
        <f>IFERROR(1/(1/INDEX(HTS!$AU:$AU,MATCH($E151,HTS!$E:$E,0))),"")</f>
        <v>52725.000000000007</v>
      </c>
      <c r="H151" s="38" t="str">
        <f>IF(OR($C151="15-24",$C151="25-34"),IFERROR(1/(1/SUM(SUMIFS(AGYW!$S:$S,AGYW!$B:$B,$B151,AGYW!$C:$C,IF($C151="15-24",{"15-19","20-24"},{"25-29"}),AGYW!$D:$D,$D151))),""),"")</f>
        <v/>
      </c>
      <c r="I151" s="38" t="str">
        <f>IF(OR($C151="15-24",$C151="25-34"),IFERROR(1/(1/SUM(SUMIFS(AGYW!$T:$T,AGYW!$B:$B,$B151,AGYW!$C:$C,IF($C151="15-24",{"15-19","20-24"},{"25-29"}),AGYW!$D:$D,$D151))),""),"")</f>
        <v/>
      </c>
      <c r="J151" s="38">
        <v>1000</v>
      </c>
      <c r="K151" s="38">
        <v>599</v>
      </c>
      <c r="L151">
        <v>1436</v>
      </c>
      <c r="M151" s="38">
        <v>474</v>
      </c>
      <c r="N151" s="38">
        <v>212</v>
      </c>
      <c r="O151">
        <v>1413</v>
      </c>
      <c r="P151" s="38">
        <f>2</f>
        <v>2</v>
      </c>
      <c r="Q151" s="218">
        <f t="shared" si="7"/>
        <v>2826</v>
      </c>
    </row>
    <row r="152" spans="1:17" hidden="1" x14ac:dyDescent="0.2">
      <c r="A152" t="str">
        <f>INDEX(Prioritization!$D:$D,MATCH($B152,Prioritization!$A:$A,0))</f>
        <v>1 - Scale-up: Saturation</v>
      </c>
      <c r="B152" t="s">
        <v>310</v>
      </c>
      <c r="C152" t="s">
        <v>475</v>
      </c>
      <c r="D152" t="s">
        <v>48</v>
      </c>
      <c r="E152" t="str">
        <f t="shared" si="6"/>
        <v>Mzimba District [vA4NcHxfMBq]|15-24|Male</v>
      </c>
      <c r="F152" s="38">
        <f>IF(LEFT($B152,4)="_Mil","",INDEX(Cascade!$U:$U,MATCH($E152,Cascade!$E:$E,0)))</f>
        <v>1579</v>
      </c>
      <c r="G152" s="38">
        <f>IFERROR(1/(1/INDEX(HTS!$AU:$AU,MATCH($E152,HTS!$E:$E,0))),"")</f>
        <v>6895.0000000000009</v>
      </c>
      <c r="H152" s="38" t="str">
        <f>IF(OR($C152="15-24",$C152="25-34"),IFERROR(1/(1/SUM(SUMIFS(AGYW!$S:$S,AGYW!$B:$B,$B152,AGYW!$C:$C,IF($C152="15-24",{"15-19","20-24"},{"25-29"}),AGYW!$D:$D,$D152))),""),"")</f>
        <v/>
      </c>
      <c r="I152" s="38" t="str">
        <f>IF(OR($C152="15-24",$C152="25-34"),IFERROR(1/(1/SUM(SUMIFS(AGYW!$T:$T,AGYW!$B:$B,$B152,AGYW!$C:$C,IF($C152="15-24",{"15-19","20-24"},{"25-29"}),AGYW!$D:$D,$D152))),""),"")</f>
        <v/>
      </c>
      <c r="J152" s="38">
        <v>744</v>
      </c>
      <c r="K152" s="38">
        <v>229</v>
      </c>
      <c r="L152">
        <v>1068</v>
      </c>
      <c r="M152" s="38">
        <v>112</v>
      </c>
      <c r="N152" s="38">
        <v>70</v>
      </c>
      <c r="O152">
        <v>334</v>
      </c>
      <c r="P152" s="38">
        <f>2</f>
        <v>2</v>
      </c>
      <c r="Q152" s="218">
        <f t="shared" si="7"/>
        <v>668</v>
      </c>
    </row>
    <row r="153" spans="1:17" x14ac:dyDescent="0.2">
      <c r="A153" t="str">
        <f>INDEX(Prioritization!$D:$D,MATCH($B153,Prioritization!$A:$A,0))</f>
        <v>1 - Scale-up: Saturation</v>
      </c>
      <c r="B153" t="s">
        <v>310</v>
      </c>
      <c r="C153" t="s">
        <v>476</v>
      </c>
      <c r="D153" t="s">
        <v>30</v>
      </c>
      <c r="E153" t="str">
        <f t="shared" si="6"/>
        <v>Mzimba District [vA4NcHxfMBq]|25-34|Female</v>
      </c>
      <c r="F153" s="38">
        <f>IF(LEFT($B153,4)="_Mil","",INDEX(Cascade!$U:$U,MATCH($E153,Cascade!$E:$E,0)))</f>
        <v>6046</v>
      </c>
      <c r="G153" s="38">
        <f>IFERROR(1/(1/INDEX(HTS!$AU:$AU,MATCH($E153,HTS!$E:$E,0))),"")</f>
        <v>34461</v>
      </c>
      <c r="H153" s="38" t="str">
        <f>IF(OR($C153="15-24",$C153="25-34"),IFERROR(1/(1/SUM(SUMIFS(AGYW!$S:$S,AGYW!$B:$B,$B153,AGYW!$C:$C,IF($C153="15-24",{"15-19","20-24"},{"25-29"}),AGYW!$D:$D,$D153))),""),"")</f>
        <v/>
      </c>
      <c r="I153" s="38" t="str">
        <f>IF(OR($C153="15-24",$C153="25-34"),IFERROR(1/(1/SUM(SUMIFS(AGYW!$T:$T,AGYW!$B:$B,$B153,AGYW!$C:$C,IF($C153="15-24",{"15-19","20-24"},{"25-29"}),AGYW!$D:$D,$D153))),""),"")</f>
        <v/>
      </c>
      <c r="J153" s="38">
        <v>749</v>
      </c>
      <c r="K153" s="38">
        <v>783</v>
      </c>
      <c r="L153">
        <v>1076</v>
      </c>
      <c r="M153" s="38">
        <v>412</v>
      </c>
      <c r="N153" s="38">
        <v>278</v>
      </c>
      <c r="O153">
        <v>1228</v>
      </c>
      <c r="P153" s="38">
        <f>2</f>
        <v>2</v>
      </c>
      <c r="Q153" s="218">
        <f t="shared" si="7"/>
        <v>2456</v>
      </c>
    </row>
    <row r="154" spans="1:17" hidden="1" x14ac:dyDescent="0.2">
      <c r="A154" t="str">
        <f>INDEX(Prioritization!$D:$D,MATCH($B154,Prioritization!$A:$A,0))</f>
        <v>1 - Scale-up: Saturation</v>
      </c>
      <c r="B154" t="s">
        <v>310</v>
      </c>
      <c r="C154" t="s">
        <v>476</v>
      </c>
      <c r="D154" t="s">
        <v>48</v>
      </c>
      <c r="E154" t="str">
        <f t="shared" si="6"/>
        <v>Mzimba District [vA4NcHxfMBq]|25-34|Male</v>
      </c>
      <c r="F154" s="38">
        <f>IF(LEFT($B154,4)="_Mil","",INDEX(Cascade!$U:$U,MATCH($E154,Cascade!$E:$E,0)))</f>
        <v>2388</v>
      </c>
      <c r="G154" s="38">
        <f>IFERROR(1/(1/INDEX(HTS!$AU:$AU,MATCH($E154,HTS!$E:$E,0))),"")</f>
        <v>1663</v>
      </c>
      <c r="H154" s="38" t="str">
        <f>IF(OR($C154="15-24",$C154="25-34"),IFERROR(1/(1/SUM(SUMIFS(AGYW!$S:$S,AGYW!$B:$B,$B154,AGYW!$C:$C,IF($C154="15-24",{"15-19","20-24"},{"25-29"}),AGYW!$D:$D,$D154))),""),"")</f>
        <v/>
      </c>
      <c r="I154" s="38" t="str">
        <f>IF(OR($C154="15-24",$C154="25-34"),IFERROR(1/(1/SUM(SUMIFS(AGYW!$T:$T,AGYW!$B:$B,$B154,AGYW!$C:$C,IF($C154="15-24",{"15-19","20-24"},{"25-29"}),AGYW!$D:$D,$D154))),""),"")</f>
        <v/>
      </c>
      <c r="J154" s="38">
        <v>550</v>
      </c>
      <c r="K154" s="38">
        <v>441</v>
      </c>
      <c r="L154">
        <v>790</v>
      </c>
      <c r="M154" s="38">
        <v>104</v>
      </c>
      <c r="N154" s="38">
        <v>138</v>
      </c>
      <c r="O154">
        <v>310</v>
      </c>
      <c r="P154" s="38">
        <f>2</f>
        <v>2</v>
      </c>
      <c r="Q154" s="218">
        <f t="shared" si="7"/>
        <v>620</v>
      </c>
    </row>
    <row r="155" spans="1:17" x14ac:dyDescent="0.2">
      <c r="A155" t="str">
        <f>INDEX(Prioritization!$D:$D,MATCH($B155,Prioritization!$A:$A,0))</f>
        <v>1 - Scale-up: Saturation</v>
      </c>
      <c r="B155" t="s">
        <v>310</v>
      </c>
      <c r="C155" t="s">
        <v>477</v>
      </c>
      <c r="D155" t="s">
        <v>30</v>
      </c>
      <c r="E155" t="str">
        <f t="shared" si="6"/>
        <v>Mzimba District [vA4NcHxfMBq]|35-49|Female</v>
      </c>
      <c r="F155" s="38">
        <f>IF(LEFT($B155,4)="_Mil","",INDEX(Cascade!$U:$U,MATCH($E155,Cascade!$E:$E,0)))</f>
        <v>14572</v>
      </c>
      <c r="G155" s="38">
        <f>IFERROR(1/(1/INDEX(HTS!$AU:$AU,MATCH($E155,HTS!$E:$E,0))),"")</f>
        <v>15317.000000000002</v>
      </c>
      <c r="H155" s="38" t="str">
        <f>IF(OR($C155="15-24",$C155="25-34"),IFERROR(1/(1/SUM(SUMIFS(AGYW!$S:$S,AGYW!$B:$B,$B155,AGYW!$C:$C,IF($C155="15-24",{"15-19","20-24"},{"25-29"}),AGYW!$D:$D,$D155))),""),"")</f>
        <v/>
      </c>
      <c r="I155" s="38" t="str">
        <f>IF(OR($C155="15-24",$C155="25-34"),IFERROR(1/(1/SUM(SUMIFS(AGYW!$T:$T,AGYW!$B:$B,$B155,AGYW!$C:$C,IF($C155="15-24",{"15-19","20-24"},{"25-29"}),AGYW!$D:$D,$D155))),""),"")</f>
        <v/>
      </c>
      <c r="J155" s="38">
        <v>361</v>
      </c>
      <c r="K155" s="38">
        <v>710</v>
      </c>
      <c r="L155">
        <v>518</v>
      </c>
      <c r="M155" s="38">
        <v>204</v>
      </c>
      <c r="N155" s="38">
        <v>251</v>
      </c>
      <c r="O155">
        <v>608</v>
      </c>
      <c r="P155" s="38">
        <f>2</f>
        <v>2</v>
      </c>
      <c r="Q155" s="218">
        <f t="shared" si="7"/>
        <v>1216</v>
      </c>
    </row>
    <row r="156" spans="1:17" hidden="1" x14ac:dyDescent="0.2">
      <c r="A156" t="str">
        <f>INDEX(Prioritization!$D:$D,MATCH($B156,Prioritization!$A:$A,0))</f>
        <v>1 - Scale-up: Saturation</v>
      </c>
      <c r="B156" t="s">
        <v>310</v>
      </c>
      <c r="C156" t="s">
        <v>477</v>
      </c>
      <c r="D156" t="s">
        <v>48</v>
      </c>
      <c r="E156" t="str">
        <f t="shared" si="6"/>
        <v>Mzimba District [vA4NcHxfMBq]|35-49|Male</v>
      </c>
      <c r="F156" s="38">
        <f>IF(LEFT($B156,4)="_Mil","",INDEX(Cascade!$U:$U,MATCH($E156,Cascade!$E:$E,0)))</f>
        <v>8895</v>
      </c>
      <c r="G156" s="38">
        <f>IFERROR(1/(1/INDEX(HTS!$AU:$AU,MATCH($E156,HTS!$E:$E,0))),"")</f>
        <v>3800.9999999999995</v>
      </c>
      <c r="H156" s="38" t="str">
        <f>IF(OR($C156="15-24",$C156="25-34"),IFERROR(1/(1/SUM(SUMIFS(AGYW!$S:$S,AGYW!$B:$B,$B156,AGYW!$C:$C,IF($C156="15-24",{"15-19","20-24"},{"25-29"}),AGYW!$D:$D,$D156))),""),"")</f>
        <v/>
      </c>
      <c r="I156" s="38" t="str">
        <f>IF(OR($C156="15-24",$C156="25-34"),IFERROR(1/(1/SUM(SUMIFS(AGYW!$T:$T,AGYW!$B:$B,$B156,AGYW!$C:$C,IF($C156="15-24",{"15-19","20-24"},{"25-29"}),AGYW!$D:$D,$D156))),""),"")</f>
        <v/>
      </c>
      <c r="J156" s="38">
        <v>242</v>
      </c>
      <c r="K156" s="38">
        <v>447</v>
      </c>
      <c r="L156">
        <v>348</v>
      </c>
      <c r="M156" s="38">
        <v>56</v>
      </c>
      <c r="N156" s="38">
        <v>140</v>
      </c>
      <c r="O156">
        <v>167</v>
      </c>
      <c r="P156" s="38">
        <f>2</f>
        <v>2</v>
      </c>
      <c r="Q156" s="218">
        <f t="shared" si="7"/>
        <v>334</v>
      </c>
    </row>
    <row r="157" spans="1:17" x14ac:dyDescent="0.2">
      <c r="A157" t="str">
        <f>INDEX(Prioritization!$D:$D,MATCH($B157,Prioritization!$A:$A,0))</f>
        <v>1 - Scale-up: Saturation</v>
      </c>
      <c r="B157" t="s">
        <v>310</v>
      </c>
      <c r="C157" t="s">
        <v>478</v>
      </c>
      <c r="D157" t="s">
        <v>30</v>
      </c>
      <c r="E157" t="str">
        <f t="shared" si="6"/>
        <v>Mzimba District [vA4NcHxfMBq]|50+|Female</v>
      </c>
      <c r="F157" s="38"/>
      <c r="G157" s="38">
        <f>IFERROR(1/(1/INDEX(HTS!$AU:$AU,MATCH($E157,HTS!$E:$E,0))),"")</f>
        <v>14086</v>
      </c>
      <c r="H157" s="38" t="str">
        <f>IF(OR($C157="15-24",$C157="25-34"),IFERROR(1/(1/SUM(SUMIFS(AGYW!$S:$S,AGYW!$B:$B,$B157,AGYW!$C:$C,IF($C157="15-24",{"15-19","20-24"},{"25-29"}),AGYW!$D:$D,$D157))),""),"")</f>
        <v/>
      </c>
      <c r="I157" s="38" t="str">
        <f>IF(OR($C157="15-24",$C157="25-34"),IFERROR(1/(1/SUM(SUMIFS(AGYW!$T:$T,AGYW!$B:$B,$B157,AGYW!$C:$C,IF($C157="15-24",{"15-19","20-24"},{"25-29"}),AGYW!$D:$D,$D157))),""),"")</f>
        <v/>
      </c>
      <c r="J157" s="38">
        <v>40</v>
      </c>
      <c r="K157" s="38">
        <v>92</v>
      </c>
      <c r="L157">
        <v>57</v>
      </c>
      <c r="M157" s="38">
        <v>22</v>
      </c>
      <c r="N157" s="38">
        <v>57</v>
      </c>
      <c r="O157">
        <v>66</v>
      </c>
      <c r="P157" s="38">
        <f>2</f>
        <v>2</v>
      </c>
      <c r="Q157" s="218">
        <f t="shared" si="7"/>
        <v>132</v>
      </c>
    </row>
    <row r="158" spans="1:17" hidden="1" x14ac:dyDescent="0.2">
      <c r="A158" t="str">
        <f>INDEX(Prioritization!$D:$D,MATCH($B158,Prioritization!$A:$A,0))</f>
        <v>1 - Scale-up: Saturation</v>
      </c>
      <c r="B158" t="s">
        <v>310</v>
      </c>
      <c r="C158" t="s">
        <v>478</v>
      </c>
      <c r="D158" t="s">
        <v>48</v>
      </c>
      <c r="E158" t="str">
        <f t="shared" si="6"/>
        <v>Mzimba District [vA4NcHxfMBq]|50+|Male</v>
      </c>
      <c r="F158" s="38">
        <f>IF(LEFT($B158,4)="_Mil","",INDEX(Cascade!$U:$U,MATCH($E158,Cascade!$E:$E,0)))</f>
        <v>6219</v>
      </c>
      <c r="G158" s="38">
        <f>IFERROR(1/(1/INDEX(HTS!$AU:$AU,MATCH($E158,HTS!$E:$E,0))),"")</f>
        <v>6134</v>
      </c>
      <c r="H158" s="38" t="str">
        <f>IF(OR($C158="15-24",$C158="25-34"),IFERROR(1/(1/SUM(SUMIFS(AGYW!$S:$S,AGYW!$B:$B,$B158,AGYW!$C:$C,IF($C158="15-24",{"15-19","20-24"},{"25-29"}),AGYW!$D:$D,$D158))),""),"")</f>
        <v/>
      </c>
      <c r="I158" s="38" t="str">
        <f>IF(OR($C158="15-24",$C158="25-34"),IFERROR(1/(1/SUM(SUMIFS(AGYW!$T:$T,AGYW!$B:$B,$B158,AGYW!$C:$C,IF($C158="15-24",{"15-19","20-24"},{"25-29"}),AGYW!$D:$D,$D158))),""),"")</f>
        <v/>
      </c>
      <c r="J158" s="38">
        <v>47</v>
      </c>
      <c r="K158" s="38">
        <v>351</v>
      </c>
      <c r="L158">
        <v>67</v>
      </c>
      <c r="M158" s="38">
        <v>20</v>
      </c>
      <c r="N158" s="38">
        <v>109</v>
      </c>
      <c r="O158">
        <v>60</v>
      </c>
      <c r="P158" s="38">
        <f>2</f>
        <v>2</v>
      </c>
      <c r="Q158" s="218">
        <f t="shared" si="7"/>
        <v>120</v>
      </c>
    </row>
    <row r="159" spans="1:17" x14ac:dyDescent="0.2">
      <c r="A159" t="str">
        <f>INDEX(Prioritization!$D:$D,MATCH($B159,Prioritization!$A:$A,0))</f>
        <v>4 - Sustained</v>
      </c>
      <c r="B159" t="s">
        <v>321</v>
      </c>
      <c r="C159" t="s">
        <v>475</v>
      </c>
      <c r="D159" t="s">
        <v>30</v>
      </c>
      <c r="E159" t="str">
        <f t="shared" si="6"/>
        <v>Neno District [gwVYinjBAe9]|15-24|Female</v>
      </c>
      <c r="F159" s="38"/>
      <c r="G159" s="38">
        <f>IFERROR(1/(1/INDEX(HTS!$AU:$AU,MATCH($E159,HTS!$E:$E,0))),"")</f>
        <v>7435</v>
      </c>
      <c r="H159" s="38" t="str">
        <f>IF(OR($C159="15-24",$C159="25-34"),IFERROR(1/(1/SUM(SUMIFS(AGYW!$S:$S,AGYW!$B:$B,$B159,AGYW!$C:$C,IF($C159="15-24",{"15-19","20-24"},{"25-29"}),AGYW!$D:$D,$D159))),""),"")</f>
        <v/>
      </c>
      <c r="I159" s="38" t="str">
        <f>IF(OR($C159="15-24",$C159="25-34"),IFERROR(1/(1/SUM(SUMIFS(AGYW!$T:$T,AGYW!$B:$B,$B159,AGYW!$C:$C,IF($C159="15-24",{"15-19","20-24"},{"25-29"}),AGYW!$D:$D,$D159))),""),"")</f>
        <v/>
      </c>
      <c r="J159" s="38">
        <v>52</v>
      </c>
      <c r="K159" s="38">
        <v>55</v>
      </c>
      <c r="L159">
        <v>75</v>
      </c>
      <c r="M159" s="38">
        <v>1</v>
      </c>
      <c r="N159" s="38">
        <v>16</v>
      </c>
      <c r="O159">
        <v>3</v>
      </c>
      <c r="P159" s="38">
        <f>2</f>
        <v>2</v>
      </c>
      <c r="Q159" s="218">
        <f t="shared" si="7"/>
        <v>6</v>
      </c>
    </row>
    <row r="160" spans="1:17" hidden="1" x14ac:dyDescent="0.2">
      <c r="A160" t="str">
        <f>INDEX(Prioritization!$D:$D,MATCH($B160,Prioritization!$A:$A,0))</f>
        <v>4 - Sustained</v>
      </c>
      <c r="B160" t="s">
        <v>321</v>
      </c>
      <c r="C160" t="s">
        <v>475</v>
      </c>
      <c r="D160" t="s">
        <v>48</v>
      </c>
      <c r="E160" t="str">
        <f t="shared" si="6"/>
        <v>Neno District [gwVYinjBAe9]|15-24|Male</v>
      </c>
      <c r="F160" s="38">
        <f>IF(LEFT($B160,4)="_Mil","",INDEX(Cascade!$U:$U,MATCH($E160,Cascade!$E:$E,0)))</f>
        <v>260</v>
      </c>
      <c r="G160" s="38">
        <f>IFERROR(1/(1/INDEX(HTS!$AU:$AU,MATCH($E160,HTS!$E:$E,0))),"")</f>
        <v>2016</v>
      </c>
      <c r="H160" s="38" t="str">
        <f>IF(OR($C160="15-24",$C160="25-34"),IFERROR(1/(1/SUM(SUMIFS(AGYW!$S:$S,AGYW!$B:$B,$B160,AGYW!$C:$C,IF($C160="15-24",{"15-19","20-24"},{"25-29"}),AGYW!$D:$D,$D160))),""),"")</f>
        <v/>
      </c>
      <c r="I160" s="38" t="str">
        <f>IF(OR($C160="15-24",$C160="25-34"),IFERROR(1/(1/SUM(SUMIFS(AGYW!$T:$T,AGYW!$B:$B,$B160,AGYW!$C:$C,IF($C160="15-24",{"15-19","20-24"},{"25-29"}),AGYW!$D:$D,$D160))),""),"")</f>
        <v/>
      </c>
      <c r="J160" s="38">
        <v>7</v>
      </c>
      <c r="K160" s="38">
        <v>20</v>
      </c>
      <c r="L160">
        <v>10</v>
      </c>
      <c r="M160" s="38"/>
      <c r="N160" s="38">
        <v>6</v>
      </c>
      <c r="O160">
        <v>0</v>
      </c>
      <c r="P160" s="38">
        <f>2</f>
        <v>2</v>
      </c>
      <c r="Q160" s="218" t="str">
        <f t="shared" si="7"/>
        <v/>
      </c>
    </row>
    <row r="161" spans="1:17" x14ac:dyDescent="0.2">
      <c r="A161" t="str">
        <f>INDEX(Prioritization!$D:$D,MATCH($B161,Prioritization!$A:$A,0))</f>
        <v>4 - Sustained</v>
      </c>
      <c r="B161" t="s">
        <v>321</v>
      </c>
      <c r="C161" t="s">
        <v>476</v>
      </c>
      <c r="D161" t="s">
        <v>30</v>
      </c>
      <c r="E161" t="str">
        <f t="shared" si="6"/>
        <v>Neno District [gwVYinjBAe9]|25-34|Female</v>
      </c>
      <c r="F161" s="38"/>
      <c r="G161" s="38">
        <f>IFERROR(1/(1/INDEX(HTS!$AU:$AU,MATCH($E161,HTS!$E:$E,0))),"")</f>
        <v>6214</v>
      </c>
      <c r="H161" s="38" t="str">
        <f>IF(OR($C161="15-24",$C161="25-34"),IFERROR(1/(1/SUM(SUMIFS(AGYW!$S:$S,AGYW!$B:$B,$B161,AGYW!$C:$C,IF($C161="15-24",{"15-19","20-24"},{"25-29"}),AGYW!$D:$D,$D161))),""),"")</f>
        <v/>
      </c>
      <c r="I161" s="38" t="str">
        <f>IF(OR($C161="15-24",$C161="25-34"),IFERROR(1/(1/SUM(SUMIFS(AGYW!$T:$T,AGYW!$B:$B,$B161,AGYW!$C:$C,IF($C161="15-24",{"15-19","20-24"},{"25-29"}),AGYW!$D:$D,$D161))),""),"")</f>
        <v/>
      </c>
      <c r="J161" s="38">
        <v>23</v>
      </c>
      <c r="K161" s="38">
        <v>72</v>
      </c>
      <c r="L161">
        <v>33</v>
      </c>
      <c r="M161" s="38">
        <v>2</v>
      </c>
      <c r="N161" s="38">
        <v>21</v>
      </c>
      <c r="O161">
        <v>6</v>
      </c>
      <c r="P161" s="38">
        <f>2</f>
        <v>2</v>
      </c>
      <c r="Q161" s="218">
        <f t="shared" si="7"/>
        <v>12</v>
      </c>
    </row>
    <row r="162" spans="1:17" hidden="1" x14ac:dyDescent="0.2">
      <c r="A162" t="str">
        <f>INDEX(Prioritization!$D:$D,MATCH($B162,Prioritization!$A:$A,0))</f>
        <v>4 - Sustained</v>
      </c>
      <c r="B162" t="s">
        <v>321</v>
      </c>
      <c r="C162" t="s">
        <v>476</v>
      </c>
      <c r="D162" t="s">
        <v>48</v>
      </c>
      <c r="E162" t="str">
        <f t="shared" si="6"/>
        <v>Neno District [gwVYinjBAe9]|25-34|Male</v>
      </c>
      <c r="F162" s="38">
        <f>IF(LEFT($B162,4)="_Mil","",INDEX(Cascade!$U:$U,MATCH($E162,Cascade!$E:$E,0)))</f>
        <v>327</v>
      </c>
      <c r="G162" s="38">
        <f>IFERROR(1/(1/INDEX(HTS!$AU:$AU,MATCH($E162,HTS!$E:$E,0))),"")</f>
        <v>94</v>
      </c>
      <c r="H162" s="38" t="str">
        <f>IF(OR($C162="15-24",$C162="25-34"),IFERROR(1/(1/SUM(SUMIFS(AGYW!$S:$S,AGYW!$B:$B,$B162,AGYW!$C:$C,IF($C162="15-24",{"15-19","20-24"},{"25-29"}),AGYW!$D:$D,$D162))),""),"")</f>
        <v/>
      </c>
      <c r="I162" s="38" t="str">
        <f>IF(OR($C162="15-24",$C162="25-34"),IFERROR(1/(1/SUM(SUMIFS(AGYW!$T:$T,AGYW!$B:$B,$B162,AGYW!$C:$C,IF($C162="15-24",{"15-19","20-24"},{"25-29"}),AGYW!$D:$D,$D162))),""),"")</f>
        <v/>
      </c>
      <c r="J162" s="38">
        <v>10</v>
      </c>
      <c r="K162" s="38">
        <v>38</v>
      </c>
      <c r="L162">
        <v>14</v>
      </c>
      <c r="M162" s="38"/>
      <c r="N162" s="38">
        <v>11</v>
      </c>
      <c r="O162">
        <v>0</v>
      </c>
      <c r="P162" s="38">
        <f>2</f>
        <v>2</v>
      </c>
      <c r="Q162" s="218" t="str">
        <f t="shared" si="7"/>
        <v/>
      </c>
    </row>
    <row r="163" spans="1:17" x14ac:dyDescent="0.2">
      <c r="A163" t="str">
        <f>INDEX(Prioritization!$D:$D,MATCH($B163,Prioritization!$A:$A,0))</f>
        <v>4 - Sustained</v>
      </c>
      <c r="B163" t="s">
        <v>321</v>
      </c>
      <c r="C163" t="s">
        <v>477</v>
      </c>
      <c r="D163" t="s">
        <v>30</v>
      </c>
      <c r="E163" t="str">
        <f t="shared" si="6"/>
        <v>Neno District [gwVYinjBAe9]|35-49|Female</v>
      </c>
      <c r="F163" s="38"/>
      <c r="G163" s="38">
        <f>IFERROR(1/(1/INDEX(HTS!$AU:$AU,MATCH($E163,HTS!$E:$E,0))),"")</f>
        <v>2748</v>
      </c>
      <c r="H163" s="38" t="str">
        <f>IF(OR($C163="15-24",$C163="25-34"),IFERROR(1/(1/SUM(SUMIFS(AGYW!$S:$S,AGYW!$B:$B,$B163,AGYW!$C:$C,IF($C163="15-24",{"15-19","20-24"},{"25-29"}),AGYW!$D:$D,$D163))),""),"")</f>
        <v/>
      </c>
      <c r="I163" s="38" t="str">
        <f>IF(OR($C163="15-24",$C163="25-34"),IFERROR(1/(1/SUM(SUMIFS(AGYW!$T:$T,AGYW!$B:$B,$B163,AGYW!$C:$C,IF($C163="15-24",{"15-19","20-24"},{"25-29"}),AGYW!$D:$D,$D163))),""),"")</f>
        <v/>
      </c>
      <c r="J163" s="38">
        <v>17</v>
      </c>
      <c r="K163" s="38">
        <v>65</v>
      </c>
      <c r="L163">
        <v>24</v>
      </c>
      <c r="M163" s="38">
        <v>4</v>
      </c>
      <c r="N163" s="38">
        <v>19</v>
      </c>
      <c r="O163">
        <v>12</v>
      </c>
      <c r="P163" s="38">
        <f>2</f>
        <v>2</v>
      </c>
      <c r="Q163" s="218">
        <f t="shared" si="7"/>
        <v>24</v>
      </c>
    </row>
    <row r="164" spans="1:17" hidden="1" x14ac:dyDescent="0.2">
      <c r="A164" t="str">
        <f>INDEX(Prioritization!$D:$D,MATCH($B164,Prioritization!$A:$A,0))</f>
        <v>4 - Sustained</v>
      </c>
      <c r="B164" t="s">
        <v>321</v>
      </c>
      <c r="C164" t="s">
        <v>477</v>
      </c>
      <c r="D164" t="s">
        <v>48</v>
      </c>
      <c r="E164" t="str">
        <f t="shared" si="6"/>
        <v>Neno District [gwVYinjBAe9]|35-49|Male</v>
      </c>
      <c r="F164" s="38">
        <f>IF(LEFT($B164,4)="_Mil","",INDEX(Cascade!$U:$U,MATCH($E164,Cascade!$E:$E,0)))</f>
        <v>1175</v>
      </c>
      <c r="G164" s="38">
        <f>IFERROR(1/(1/INDEX(HTS!$AU:$AU,MATCH($E164,HTS!$E:$E,0))),"")</f>
        <v>382</v>
      </c>
      <c r="H164" s="38" t="str">
        <f>IF(OR($C164="15-24",$C164="25-34"),IFERROR(1/(1/SUM(SUMIFS(AGYW!$S:$S,AGYW!$B:$B,$B164,AGYW!$C:$C,IF($C164="15-24",{"15-19","20-24"},{"25-29"}),AGYW!$D:$D,$D164))),""),"")</f>
        <v/>
      </c>
      <c r="I164" s="38" t="str">
        <f>IF(OR($C164="15-24",$C164="25-34"),IFERROR(1/(1/SUM(SUMIFS(AGYW!$T:$T,AGYW!$B:$B,$B164,AGYW!$C:$C,IF($C164="15-24",{"15-19","20-24"},{"25-29"}),AGYW!$D:$D,$D164))),""),"")</f>
        <v/>
      </c>
      <c r="J164" s="38">
        <v>11</v>
      </c>
      <c r="K164" s="38">
        <v>38</v>
      </c>
      <c r="L164">
        <v>16</v>
      </c>
      <c r="M164" s="38">
        <v>1</v>
      </c>
      <c r="N164" s="38">
        <v>11</v>
      </c>
      <c r="O164">
        <v>3</v>
      </c>
      <c r="P164" s="38">
        <f>2</f>
        <v>2</v>
      </c>
      <c r="Q164" s="218">
        <f t="shared" si="7"/>
        <v>6</v>
      </c>
    </row>
    <row r="165" spans="1:17" x14ac:dyDescent="0.2">
      <c r="A165" t="str">
        <f>INDEX(Prioritization!$D:$D,MATCH($B165,Prioritization!$A:$A,0))</f>
        <v>4 - Sustained</v>
      </c>
      <c r="B165" t="s">
        <v>321</v>
      </c>
      <c r="C165" t="s">
        <v>478</v>
      </c>
      <c r="D165" t="s">
        <v>30</v>
      </c>
      <c r="E165" t="str">
        <f t="shared" si="6"/>
        <v>Neno District [gwVYinjBAe9]|50+|Female</v>
      </c>
      <c r="F165" s="38"/>
      <c r="G165" s="38">
        <f>IFERROR(1/(1/INDEX(HTS!$AU:$AU,MATCH($E165,HTS!$E:$E,0))),"")</f>
        <v>5333</v>
      </c>
      <c r="H165" s="38" t="str">
        <f>IF(OR($C165="15-24",$C165="25-34"),IFERROR(1/(1/SUM(SUMIFS(AGYW!$S:$S,AGYW!$B:$B,$B165,AGYW!$C:$C,IF($C165="15-24",{"15-19","20-24"},{"25-29"}),AGYW!$D:$D,$D165))),""),"")</f>
        <v/>
      </c>
      <c r="I165" s="38" t="str">
        <f>IF(OR($C165="15-24",$C165="25-34"),IFERROR(1/(1/SUM(SUMIFS(AGYW!$T:$T,AGYW!$B:$B,$B165,AGYW!$C:$C,IF($C165="15-24",{"15-19","20-24"},{"25-29"}),AGYW!$D:$D,$D165))),""),"")</f>
        <v/>
      </c>
      <c r="J165" s="38">
        <v>2</v>
      </c>
      <c r="K165" s="38">
        <v>1</v>
      </c>
      <c r="L165">
        <v>3</v>
      </c>
      <c r="M165" s="38">
        <v>1</v>
      </c>
      <c r="N165" s="38"/>
      <c r="O165">
        <v>3</v>
      </c>
      <c r="P165" s="38">
        <f>2</f>
        <v>2</v>
      </c>
      <c r="Q165" s="218">
        <f t="shared" si="7"/>
        <v>6</v>
      </c>
    </row>
    <row r="166" spans="1:17" hidden="1" x14ac:dyDescent="0.2">
      <c r="A166" t="str">
        <f>INDEX(Prioritization!$D:$D,MATCH($B166,Prioritization!$A:$A,0))</f>
        <v>4 - Sustained</v>
      </c>
      <c r="B166" t="s">
        <v>321</v>
      </c>
      <c r="C166" t="s">
        <v>478</v>
      </c>
      <c r="D166" t="s">
        <v>48</v>
      </c>
      <c r="E166" t="str">
        <f t="shared" si="6"/>
        <v>Neno District [gwVYinjBAe9]|50+|Male</v>
      </c>
      <c r="F166" s="38">
        <f>IF(LEFT($B166,4)="_Mil","",INDEX(Cascade!$U:$U,MATCH($E166,Cascade!$E:$E,0)))</f>
        <v>891</v>
      </c>
      <c r="G166" s="38">
        <f>IFERROR(1/(1/INDEX(HTS!$AU:$AU,MATCH($E166,HTS!$E:$E,0))),"")</f>
        <v>1329</v>
      </c>
      <c r="H166" s="38" t="str">
        <f>IF(OR($C166="15-24",$C166="25-34"),IFERROR(1/(1/SUM(SUMIFS(AGYW!$S:$S,AGYW!$B:$B,$B166,AGYW!$C:$C,IF($C166="15-24",{"15-19","20-24"},{"25-29"}),AGYW!$D:$D,$D166))),""),"")</f>
        <v/>
      </c>
      <c r="I166" s="38" t="str">
        <f>IF(OR($C166="15-24",$C166="25-34"),IFERROR(1/(1/SUM(SUMIFS(AGYW!$T:$T,AGYW!$B:$B,$B166,AGYW!$C:$C,IF($C166="15-24",{"15-19","20-24"},{"25-29"}),AGYW!$D:$D,$D166))),""),"")</f>
        <v/>
      </c>
      <c r="J166" s="38">
        <v>1</v>
      </c>
      <c r="K166" s="38">
        <v>30</v>
      </c>
      <c r="L166">
        <v>1</v>
      </c>
      <c r="M166" s="38"/>
      <c r="N166" s="38">
        <v>9</v>
      </c>
      <c r="O166">
        <v>0</v>
      </c>
      <c r="P166" s="38">
        <f>2</f>
        <v>2</v>
      </c>
      <c r="Q166" s="218" t="str">
        <f t="shared" si="7"/>
        <v/>
      </c>
    </row>
    <row r="167" spans="1:17" x14ac:dyDescent="0.2">
      <c r="A167" t="str">
        <f>INDEX(Prioritization!$D:$D,MATCH($B167,Prioritization!$A:$A,0))</f>
        <v>4 - Sustained</v>
      </c>
      <c r="B167" t="s">
        <v>311</v>
      </c>
      <c r="C167" t="s">
        <v>475</v>
      </c>
      <c r="D167" t="s">
        <v>30</v>
      </c>
      <c r="E167" t="str">
        <f t="shared" si="6"/>
        <v>Nkhata Bay District [E7zpfyBt7Tw]|15-24|Female</v>
      </c>
      <c r="F167" s="38"/>
      <c r="G167" s="38">
        <f>IFERROR(1/(1/INDEX(HTS!$AU:$AU,MATCH($E167,HTS!$E:$E,0))),"")</f>
        <v>14558.000000000002</v>
      </c>
      <c r="H167" s="38" t="str">
        <f>IF(OR($C167="15-24",$C167="25-34"),IFERROR(1/(1/SUM(SUMIFS(AGYW!$S:$S,AGYW!$B:$B,$B167,AGYW!$C:$C,IF($C167="15-24",{"15-19","20-24"},{"25-29"}),AGYW!$D:$D,$D167))),""),"")</f>
        <v/>
      </c>
      <c r="I167" s="38" t="str">
        <f>IF(OR($C167="15-24",$C167="25-34"),IFERROR(1/(1/SUM(SUMIFS(AGYW!$T:$T,AGYW!$B:$B,$B167,AGYW!$C:$C,IF($C167="15-24",{"15-19","20-24"},{"25-29"}),AGYW!$D:$D,$D167))),""),"")</f>
        <v/>
      </c>
      <c r="J167" s="38">
        <v>34</v>
      </c>
      <c r="K167" s="38">
        <v>115</v>
      </c>
      <c r="L167">
        <v>49</v>
      </c>
      <c r="M167" s="38">
        <v>9</v>
      </c>
      <c r="N167" s="38">
        <v>33</v>
      </c>
      <c r="O167">
        <v>27</v>
      </c>
      <c r="P167" s="38">
        <f>2</f>
        <v>2</v>
      </c>
      <c r="Q167" s="218">
        <f t="shared" si="7"/>
        <v>54</v>
      </c>
    </row>
    <row r="168" spans="1:17" hidden="1" x14ac:dyDescent="0.2">
      <c r="A168" t="str">
        <f>INDEX(Prioritization!$D:$D,MATCH($B168,Prioritization!$A:$A,0))</f>
        <v>4 - Sustained</v>
      </c>
      <c r="B168" t="s">
        <v>311</v>
      </c>
      <c r="C168" t="s">
        <v>475</v>
      </c>
      <c r="D168" t="s">
        <v>48</v>
      </c>
      <c r="E168" t="str">
        <f t="shared" si="6"/>
        <v>Nkhata Bay District [E7zpfyBt7Tw]|15-24|Male</v>
      </c>
      <c r="F168" s="38">
        <f>IF(LEFT($B168,4)="_Mil","",INDEX(Cascade!$U:$U,MATCH($E168,Cascade!$E:$E,0)))</f>
        <v>559</v>
      </c>
      <c r="G168" s="38">
        <f>IFERROR(1/(1/INDEX(HTS!$AU:$AU,MATCH($E168,HTS!$E:$E,0))),"")</f>
        <v>1836.9999999999998</v>
      </c>
      <c r="H168" s="38" t="str">
        <f>IF(OR($C168="15-24",$C168="25-34"),IFERROR(1/(1/SUM(SUMIFS(AGYW!$S:$S,AGYW!$B:$B,$B168,AGYW!$C:$C,IF($C168="15-24",{"15-19","20-24"},{"25-29"}),AGYW!$D:$D,$D168))),""),"")</f>
        <v/>
      </c>
      <c r="I168" s="38" t="str">
        <f>IF(OR($C168="15-24",$C168="25-34"),IFERROR(1/(1/SUM(SUMIFS(AGYW!$T:$T,AGYW!$B:$B,$B168,AGYW!$C:$C,IF($C168="15-24",{"15-19","20-24"},{"25-29"}),AGYW!$D:$D,$D168))),""),"")</f>
        <v/>
      </c>
      <c r="J168" s="38">
        <v>6</v>
      </c>
      <c r="K168" s="38">
        <v>41</v>
      </c>
      <c r="L168">
        <v>9</v>
      </c>
      <c r="M168" s="38">
        <v>2</v>
      </c>
      <c r="N168" s="38">
        <v>12</v>
      </c>
      <c r="O168">
        <v>6</v>
      </c>
      <c r="P168" s="38">
        <f>2</f>
        <v>2</v>
      </c>
      <c r="Q168" s="218">
        <f t="shared" si="7"/>
        <v>12</v>
      </c>
    </row>
    <row r="169" spans="1:17" x14ac:dyDescent="0.2">
      <c r="A169" t="str">
        <f>INDEX(Prioritization!$D:$D,MATCH($B169,Prioritization!$A:$A,0))</f>
        <v>4 - Sustained</v>
      </c>
      <c r="B169" t="s">
        <v>311</v>
      </c>
      <c r="C169" t="s">
        <v>476</v>
      </c>
      <c r="D169" t="s">
        <v>30</v>
      </c>
      <c r="E169" t="str">
        <f t="shared" si="6"/>
        <v>Nkhata Bay District [E7zpfyBt7Tw]|25-34|Female</v>
      </c>
      <c r="F169" s="38"/>
      <c r="G169" s="38">
        <f>IFERROR(1/(1/INDEX(HTS!$AU:$AU,MATCH($E169,HTS!$E:$E,0))),"")</f>
        <v>10061</v>
      </c>
      <c r="H169" s="38" t="str">
        <f>IF(OR($C169="15-24",$C169="25-34"),IFERROR(1/(1/SUM(SUMIFS(AGYW!$S:$S,AGYW!$B:$B,$B169,AGYW!$C:$C,IF($C169="15-24",{"15-19","20-24"},{"25-29"}),AGYW!$D:$D,$D169))),""),"")</f>
        <v/>
      </c>
      <c r="I169" s="38" t="str">
        <f>IF(OR($C169="15-24",$C169="25-34"),IFERROR(1/(1/SUM(SUMIFS(AGYW!$T:$T,AGYW!$B:$B,$B169,AGYW!$C:$C,IF($C169="15-24",{"15-19","20-24"},{"25-29"}),AGYW!$D:$D,$D169))),""),"")</f>
        <v/>
      </c>
      <c r="J169" s="38">
        <v>44</v>
      </c>
      <c r="K169" s="38">
        <v>151</v>
      </c>
      <c r="L169">
        <v>63</v>
      </c>
      <c r="M169" s="38">
        <v>41</v>
      </c>
      <c r="N169" s="38">
        <v>44</v>
      </c>
      <c r="O169">
        <v>122</v>
      </c>
      <c r="P169" s="38">
        <f>2</f>
        <v>2</v>
      </c>
      <c r="Q169" s="218">
        <f t="shared" si="7"/>
        <v>244</v>
      </c>
    </row>
    <row r="170" spans="1:17" hidden="1" x14ac:dyDescent="0.2">
      <c r="A170" t="str">
        <f>INDEX(Prioritization!$D:$D,MATCH($B170,Prioritization!$A:$A,0))</f>
        <v>4 - Sustained</v>
      </c>
      <c r="B170" t="s">
        <v>311</v>
      </c>
      <c r="C170" t="s">
        <v>476</v>
      </c>
      <c r="D170" t="s">
        <v>48</v>
      </c>
      <c r="E170" t="str">
        <f t="shared" si="6"/>
        <v>Nkhata Bay District [E7zpfyBt7Tw]|25-34|Male</v>
      </c>
      <c r="F170" s="38">
        <f>IF(LEFT($B170,4)="_Mil","",INDEX(Cascade!$U:$U,MATCH($E170,Cascade!$E:$E,0)))</f>
        <v>700</v>
      </c>
      <c r="G170" s="38">
        <f>IFERROR(1/(1/INDEX(HTS!$AU:$AU,MATCH($E170,HTS!$E:$E,0))),"")</f>
        <v>4103</v>
      </c>
      <c r="H170" s="38" t="str">
        <f>IF(OR($C170="15-24",$C170="25-34"),IFERROR(1/(1/SUM(SUMIFS(AGYW!$S:$S,AGYW!$B:$B,$B170,AGYW!$C:$C,IF($C170="15-24",{"15-19","20-24"},{"25-29"}),AGYW!$D:$D,$D170))),""),"")</f>
        <v/>
      </c>
      <c r="I170" s="38" t="str">
        <f>IF(OR($C170="15-24",$C170="25-34"),IFERROR(1/(1/SUM(SUMIFS(AGYW!$T:$T,AGYW!$B:$B,$B170,AGYW!$C:$C,IF($C170="15-24",{"15-19","20-24"},{"25-29"}),AGYW!$D:$D,$D170))),""),"")</f>
        <v/>
      </c>
      <c r="J170" s="38">
        <v>6</v>
      </c>
      <c r="K170" s="38">
        <v>79</v>
      </c>
      <c r="L170">
        <v>9</v>
      </c>
      <c r="M170" s="38">
        <v>3</v>
      </c>
      <c r="N170" s="38">
        <v>23</v>
      </c>
      <c r="O170">
        <v>9</v>
      </c>
      <c r="P170" s="38">
        <f>2</f>
        <v>2</v>
      </c>
      <c r="Q170" s="218">
        <f t="shared" si="7"/>
        <v>18</v>
      </c>
    </row>
    <row r="171" spans="1:17" x14ac:dyDescent="0.2">
      <c r="A171" t="str">
        <f>INDEX(Prioritization!$D:$D,MATCH($B171,Prioritization!$A:$A,0))</f>
        <v>4 - Sustained</v>
      </c>
      <c r="B171" t="s">
        <v>311</v>
      </c>
      <c r="C171" t="s">
        <v>477</v>
      </c>
      <c r="D171" t="s">
        <v>30</v>
      </c>
      <c r="E171" t="str">
        <f t="shared" si="6"/>
        <v>Nkhata Bay District [E7zpfyBt7Tw]|35-49|Female</v>
      </c>
      <c r="F171" s="38"/>
      <c r="G171" s="38">
        <f>IFERROR(1/(1/INDEX(HTS!$AU:$AU,MATCH($E171,HTS!$E:$E,0))),"")</f>
        <v>3443</v>
      </c>
      <c r="H171" s="38" t="str">
        <f>IF(OR($C171="15-24",$C171="25-34"),IFERROR(1/(1/SUM(SUMIFS(AGYW!$S:$S,AGYW!$B:$B,$B171,AGYW!$C:$C,IF($C171="15-24",{"15-19","20-24"},{"25-29"}),AGYW!$D:$D,$D171))),""),"")</f>
        <v/>
      </c>
      <c r="I171" s="38" t="str">
        <f>IF(OR($C171="15-24",$C171="25-34"),IFERROR(1/(1/SUM(SUMIFS(AGYW!$T:$T,AGYW!$B:$B,$B171,AGYW!$C:$C,IF($C171="15-24",{"15-19","20-24"},{"25-29"}),AGYW!$D:$D,$D171))),""),"")</f>
        <v/>
      </c>
      <c r="J171" s="38">
        <v>19</v>
      </c>
      <c r="K171" s="38">
        <v>137</v>
      </c>
      <c r="L171">
        <v>27</v>
      </c>
      <c r="M171" s="38">
        <v>18</v>
      </c>
      <c r="N171" s="38">
        <v>40</v>
      </c>
      <c r="O171">
        <v>54</v>
      </c>
      <c r="P171" s="38">
        <f>2</f>
        <v>2</v>
      </c>
      <c r="Q171" s="218">
        <f t="shared" si="7"/>
        <v>108</v>
      </c>
    </row>
    <row r="172" spans="1:17" hidden="1" x14ac:dyDescent="0.2">
      <c r="A172" t="str">
        <f>INDEX(Prioritization!$D:$D,MATCH($B172,Prioritization!$A:$A,0))</f>
        <v>4 - Sustained</v>
      </c>
      <c r="B172" t="s">
        <v>311</v>
      </c>
      <c r="C172" t="s">
        <v>477</v>
      </c>
      <c r="D172" t="s">
        <v>48</v>
      </c>
      <c r="E172" t="str">
        <f t="shared" si="6"/>
        <v>Nkhata Bay District [E7zpfyBt7Tw]|35-49|Male</v>
      </c>
      <c r="F172" s="38">
        <f>IF(LEFT($B172,4)="_Mil","",INDEX(Cascade!$U:$U,MATCH($E172,Cascade!$E:$E,0)))</f>
        <v>2558</v>
      </c>
      <c r="G172" s="38">
        <f>IFERROR(1/(1/INDEX(HTS!$AU:$AU,MATCH($E172,HTS!$E:$E,0))),"")</f>
        <v>1729.0000000000002</v>
      </c>
      <c r="H172" s="38" t="str">
        <f>IF(OR($C172="15-24",$C172="25-34"),IFERROR(1/(1/SUM(SUMIFS(AGYW!$S:$S,AGYW!$B:$B,$B172,AGYW!$C:$C,IF($C172="15-24",{"15-19","20-24"},{"25-29"}),AGYW!$D:$D,$D172))),""),"")</f>
        <v/>
      </c>
      <c r="I172" s="38" t="str">
        <f>IF(OR($C172="15-24",$C172="25-34"),IFERROR(1/(1/SUM(SUMIFS(AGYW!$T:$T,AGYW!$B:$B,$B172,AGYW!$C:$C,IF($C172="15-24",{"15-19","20-24"},{"25-29"}),AGYW!$D:$D,$D172))),""),"")</f>
        <v/>
      </c>
      <c r="J172" s="38">
        <v>5</v>
      </c>
      <c r="K172" s="38">
        <v>81</v>
      </c>
      <c r="L172">
        <v>7</v>
      </c>
      <c r="M172" s="38">
        <v>2</v>
      </c>
      <c r="N172" s="38">
        <v>23</v>
      </c>
      <c r="O172">
        <v>6</v>
      </c>
      <c r="P172" s="38">
        <f>2</f>
        <v>2</v>
      </c>
      <c r="Q172" s="218">
        <f t="shared" si="7"/>
        <v>12</v>
      </c>
    </row>
    <row r="173" spans="1:17" x14ac:dyDescent="0.2">
      <c r="A173" t="str">
        <f>INDEX(Prioritization!$D:$D,MATCH($B173,Prioritization!$A:$A,0))</f>
        <v>4 - Sustained</v>
      </c>
      <c r="B173" t="s">
        <v>311</v>
      </c>
      <c r="C173" t="s">
        <v>478</v>
      </c>
      <c r="D173" t="s">
        <v>30</v>
      </c>
      <c r="E173" t="str">
        <f t="shared" si="6"/>
        <v>Nkhata Bay District [E7zpfyBt7Tw]|50+|Female</v>
      </c>
      <c r="F173" s="38"/>
      <c r="G173" s="38">
        <f>IFERROR(1/(1/INDEX(HTS!$AU:$AU,MATCH($E173,HTS!$E:$E,0))),"")</f>
        <v>3502</v>
      </c>
      <c r="H173" s="38" t="str">
        <f>IF(OR($C173="15-24",$C173="25-34"),IFERROR(1/(1/SUM(SUMIFS(AGYW!$S:$S,AGYW!$B:$B,$B173,AGYW!$C:$C,IF($C173="15-24",{"15-19","20-24"},{"25-29"}),AGYW!$D:$D,$D173))),""),"")</f>
        <v/>
      </c>
      <c r="I173" s="38" t="str">
        <f>IF(OR($C173="15-24",$C173="25-34"),IFERROR(1/(1/SUM(SUMIFS(AGYW!$T:$T,AGYW!$B:$B,$B173,AGYW!$C:$C,IF($C173="15-24",{"15-19","20-24"},{"25-29"}),AGYW!$D:$D,$D173))),""),"")</f>
        <v/>
      </c>
      <c r="J173" s="38">
        <v>1</v>
      </c>
      <c r="K173" s="38">
        <v>2</v>
      </c>
      <c r="L173">
        <v>1</v>
      </c>
      <c r="M173" s="38">
        <v>4</v>
      </c>
      <c r="N173" s="38">
        <v>1</v>
      </c>
      <c r="O173">
        <v>12</v>
      </c>
      <c r="P173" s="38">
        <f>2</f>
        <v>2</v>
      </c>
      <c r="Q173" s="218">
        <f t="shared" si="7"/>
        <v>24</v>
      </c>
    </row>
    <row r="174" spans="1:17" hidden="1" x14ac:dyDescent="0.2">
      <c r="A174" t="str">
        <f>INDEX(Prioritization!$D:$D,MATCH($B174,Prioritization!$A:$A,0))</f>
        <v>4 - Sustained</v>
      </c>
      <c r="B174" t="s">
        <v>311</v>
      </c>
      <c r="C174" t="s">
        <v>478</v>
      </c>
      <c r="D174" t="s">
        <v>48</v>
      </c>
      <c r="E174" t="str">
        <f t="shared" si="6"/>
        <v>Nkhata Bay District [E7zpfyBt7Tw]|50+|Male</v>
      </c>
      <c r="F174" s="38">
        <f>IF(LEFT($B174,4)="_Mil","",INDEX(Cascade!$U:$U,MATCH($E174,Cascade!$E:$E,0)))</f>
        <v>2054</v>
      </c>
      <c r="G174" s="38">
        <f>IFERROR(1/(1/INDEX(HTS!$AU:$AU,MATCH($E174,HTS!$E:$E,0))),"")</f>
        <v>2101</v>
      </c>
      <c r="H174" s="38" t="str">
        <f>IF(OR($C174="15-24",$C174="25-34"),IFERROR(1/(1/SUM(SUMIFS(AGYW!$S:$S,AGYW!$B:$B,$B174,AGYW!$C:$C,IF($C174="15-24",{"15-19","20-24"},{"25-29"}),AGYW!$D:$D,$D174))),""),"")</f>
        <v/>
      </c>
      <c r="I174" s="38" t="str">
        <f>IF(OR($C174="15-24",$C174="25-34"),IFERROR(1/(1/SUM(SUMIFS(AGYW!$T:$T,AGYW!$B:$B,$B174,AGYW!$C:$C,IF($C174="15-24",{"15-19","20-24"},{"25-29"}),AGYW!$D:$D,$D174))),""),"")</f>
        <v/>
      </c>
      <c r="J174" s="38">
        <v>5</v>
      </c>
      <c r="K174" s="38">
        <v>63</v>
      </c>
      <c r="L174">
        <v>7</v>
      </c>
      <c r="M174" s="38">
        <v>2</v>
      </c>
      <c r="N174" s="38">
        <v>18</v>
      </c>
      <c r="O174">
        <v>6</v>
      </c>
      <c r="P174" s="38">
        <f>2</f>
        <v>2</v>
      </c>
      <c r="Q174" s="218">
        <f t="shared" si="7"/>
        <v>12</v>
      </c>
    </row>
    <row r="175" spans="1:17" x14ac:dyDescent="0.2">
      <c r="A175" t="str">
        <f>INDEX(Prioritization!$D:$D,MATCH($B175,Prioritization!$A:$A,0))</f>
        <v>4 - Sustained</v>
      </c>
      <c r="B175" t="s">
        <v>303</v>
      </c>
      <c r="C175" t="s">
        <v>475</v>
      </c>
      <c r="D175" t="s">
        <v>30</v>
      </c>
      <c r="E175" t="str">
        <f t="shared" si="6"/>
        <v>Nkhotakota District [YCKiBAp8QAg]|15-24|Female</v>
      </c>
      <c r="F175" s="38"/>
      <c r="G175" s="38">
        <f>IFERROR(1/(1/INDEX(HTS!$AU:$AU,MATCH($E175,HTS!$E:$E,0))),"")</f>
        <v>11968</v>
      </c>
      <c r="H175" s="38" t="str">
        <f>IF(OR($C175="15-24",$C175="25-34"),IFERROR(1/(1/SUM(SUMIFS(AGYW!$S:$S,AGYW!$B:$B,$B175,AGYW!$C:$C,IF($C175="15-24",{"15-19","20-24"},{"25-29"}),AGYW!$D:$D,$D175))),""),"")</f>
        <v/>
      </c>
      <c r="I175" s="38" t="str">
        <f>IF(OR($C175="15-24",$C175="25-34"),IFERROR(1/(1/SUM(SUMIFS(AGYW!$T:$T,AGYW!$B:$B,$B175,AGYW!$C:$C,IF($C175="15-24",{"15-19","20-24"},{"25-29"}),AGYW!$D:$D,$D175))),""),"")</f>
        <v/>
      </c>
      <c r="J175" s="38">
        <v>219</v>
      </c>
      <c r="K175" s="38">
        <v>156</v>
      </c>
      <c r="L175">
        <v>-3</v>
      </c>
      <c r="M175" s="38">
        <v>4</v>
      </c>
      <c r="N175" s="38">
        <v>45</v>
      </c>
      <c r="O175">
        <v>12</v>
      </c>
      <c r="P175" s="38">
        <f>2</f>
        <v>2</v>
      </c>
      <c r="Q175" s="218">
        <f t="shared" si="7"/>
        <v>24</v>
      </c>
    </row>
    <row r="176" spans="1:17" hidden="1" x14ac:dyDescent="0.2">
      <c r="A176" t="str">
        <f>INDEX(Prioritization!$D:$D,MATCH($B176,Prioritization!$A:$A,0))</f>
        <v>4 - Sustained</v>
      </c>
      <c r="B176" t="s">
        <v>303</v>
      </c>
      <c r="C176" t="s">
        <v>475</v>
      </c>
      <c r="D176" t="s">
        <v>48</v>
      </c>
      <c r="E176" t="str">
        <f t="shared" si="6"/>
        <v>Nkhotakota District [YCKiBAp8QAg]|15-24|Male</v>
      </c>
      <c r="F176" s="38">
        <f>IF(LEFT($B176,4)="_Mil","",INDEX(Cascade!$U:$U,MATCH($E176,Cascade!$E:$E,0)))</f>
        <v>482</v>
      </c>
      <c r="G176" s="38">
        <f>IFERROR(1/(1/INDEX(HTS!$AU:$AU,MATCH($E176,HTS!$E:$E,0))),"")</f>
        <v>897</v>
      </c>
      <c r="H176" s="38" t="str">
        <f>IF(OR($C176="15-24",$C176="25-34"),IFERROR(1/(1/SUM(SUMIFS(AGYW!$S:$S,AGYW!$B:$B,$B176,AGYW!$C:$C,IF($C176="15-24",{"15-19","20-24"},{"25-29"}),AGYW!$D:$D,$D176))),""),"")</f>
        <v/>
      </c>
      <c r="I176" s="38" t="str">
        <f>IF(OR($C176="15-24",$C176="25-34"),IFERROR(1/(1/SUM(SUMIFS(AGYW!$T:$T,AGYW!$B:$B,$B176,AGYW!$C:$C,IF($C176="15-24",{"15-19","20-24"},{"25-29"}),AGYW!$D:$D,$D176))),""),"")</f>
        <v/>
      </c>
      <c r="J176" s="38">
        <v>150</v>
      </c>
      <c r="K176" s="38">
        <v>56</v>
      </c>
      <c r="L176">
        <v>215</v>
      </c>
      <c r="M176" s="38">
        <v>4</v>
      </c>
      <c r="N176" s="38">
        <v>16</v>
      </c>
      <c r="O176">
        <v>12</v>
      </c>
      <c r="P176" s="38">
        <f>2</f>
        <v>2</v>
      </c>
      <c r="Q176" s="218">
        <f t="shared" si="7"/>
        <v>24</v>
      </c>
    </row>
    <row r="177" spans="1:17" x14ac:dyDescent="0.2">
      <c r="A177" t="str">
        <f>INDEX(Prioritization!$D:$D,MATCH($B177,Prioritization!$A:$A,0))</f>
        <v>4 - Sustained</v>
      </c>
      <c r="B177" t="s">
        <v>303</v>
      </c>
      <c r="C177" t="s">
        <v>476</v>
      </c>
      <c r="D177" t="s">
        <v>30</v>
      </c>
      <c r="E177" t="str">
        <f t="shared" si="6"/>
        <v>Nkhotakota District [YCKiBAp8QAg]|25-34|Female</v>
      </c>
      <c r="F177" s="38"/>
      <c r="G177" s="38">
        <f>IFERROR(1/(1/INDEX(HTS!$AU:$AU,MATCH($E177,HTS!$E:$E,0))),"")</f>
        <v>16214.999999999998</v>
      </c>
      <c r="H177" s="38" t="str">
        <f>IF(OR($C177="15-24",$C177="25-34"),IFERROR(1/(1/SUM(SUMIFS(AGYW!$S:$S,AGYW!$B:$B,$B177,AGYW!$C:$C,IF($C177="15-24",{"15-19","20-24"},{"25-29"}),AGYW!$D:$D,$D177))),""),"")</f>
        <v/>
      </c>
      <c r="I177" s="38" t="str">
        <f>IF(OR($C177="15-24",$C177="25-34"),IFERROR(1/(1/SUM(SUMIFS(AGYW!$T:$T,AGYW!$B:$B,$B177,AGYW!$C:$C,IF($C177="15-24",{"15-19","20-24"},{"25-29"}),AGYW!$D:$D,$D177))),""),"")</f>
        <v/>
      </c>
      <c r="J177" s="38">
        <v>258</v>
      </c>
      <c r="K177" s="38">
        <v>204</v>
      </c>
      <c r="L177">
        <v>-3</v>
      </c>
      <c r="M177" s="38">
        <v>25</v>
      </c>
      <c r="N177" s="38">
        <v>59</v>
      </c>
      <c r="O177">
        <v>75</v>
      </c>
      <c r="P177" s="38">
        <f>2</f>
        <v>2</v>
      </c>
      <c r="Q177" s="218">
        <f t="shared" si="7"/>
        <v>150</v>
      </c>
    </row>
    <row r="178" spans="1:17" hidden="1" x14ac:dyDescent="0.2">
      <c r="A178" t="str">
        <f>INDEX(Prioritization!$D:$D,MATCH($B178,Prioritization!$A:$A,0))</f>
        <v>4 - Sustained</v>
      </c>
      <c r="B178" t="s">
        <v>303</v>
      </c>
      <c r="C178" t="s">
        <v>476</v>
      </c>
      <c r="D178" t="s">
        <v>48</v>
      </c>
      <c r="E178" t="str">
        <f t="shared" si="6"/>
        <v>Nkhotakota District [YCKiBAp8QAg]|25-34|Male</v>
      </c>
      <c r="F178" s="38">
        <f>IF(LEFT($B178,4)="_Mil","",INDEX(Cascade!$U:$U,MATCH($E178,Cascade!$E:$E,0)))</f>
        <v>609</v>
      </c>
      <c r="G178" s="38">
        <f>IFERROR(1/(1/INDEX(HTS!$AU:$AU,MATCH($E178,HTS!$E:$E,0))),"")</f>
        <v>383</v>
      </c>
      <c r="H178" s="38" t="str">
        <f>IF(OR($C178="15-24",$C178="25-34"),IFERROR(1/(1/SUM(SUMIFS(AGYW!$S:$S,AGYW!$B:$B,$B178,AGYW!$C:$C,IF($C178="15-24",{"15-19","20-24"},{"25-29"}),AGYW!$D:$D,$D178))),""),"")</f>
        <v/>
      </c>
      <c r="I178" s="38" t="str">
        <f>IF(OR($C178="15-24",$C178="25-34"),IFERROR(1/(1/SUM(SUMIFS(AGYW!$T:$T,AGYW!$B:$B,$B178,AGYW!$C:$C,IF($C178="15-24",{"15-19","20-24"},{"25-29"}),AGYW!$D:$D,$D178))),""),"")</f>
        <v/>
      </c>
      <c r="J178" s="38">
        <v>200</v>
      </c>
      <c r="K178" s="38">
        <v>107</v>
      </c>
      <c r="L178">
        <v>287</v>
      </c>
      <c r="M178" s="38">
        <v>4</v>
      </c>
      <c r="N178" s="38">
        <v>31</v>
      </c>
      <c r="O178">
        <v>12</v>
      </c>
      <c r="P178" s="38">
        <f>2</f>
        <v>2</v>
      </c>
      <c r="Q178" s="218">
        <f t="shared" si="7"/>
        <v>24</v>
      </c>
    </row>
    <row r="179" spans="1:17" x14ac:dyDescent="0.2">
      <c r="A179" t="str">
        <f>INDEX(Prioritization!$D:$D,MATCH($B179,Prioritization!$A:$A,0))</f>
        <v>4 - Sustained</v>
      </c>
      <c r="B179" t="s">
        <v>303</v>
      </c>
      <c r="C179" t="s">
        <v>477</v>
      </c>
      <c r="D179" t="s">
        <v>30</v>
      </c>
      <c r="E179" t="str">
        <f t="shared" si="6"/>
        <v>Nkhotakota District [YCKiBAp8QAg]|35-49|Female</v>
      </c>
      <c r="F179" s="38"/>
      <c r="G179" s="38">
        <f>IFERROR(1/(1/INDEX(HTS!$AU:$AU,MATCH($E179,HTS!$E:$E,0))),"")</f>
        <v>6650</v>
      </c>
      <c r="H179" s="38" t="str">
        <f>IF(OR($C179="15-24",$C179="25-34"),IFERROR(1/(1/SUM(SUMIFS(AGYW!$S:$S,AGYW!$B:$B,$B179,AGYW!$C:$C,IF($C179="15-24",{"15-19","20-24"},{"25-29"}),AGYW!$D:$D,$D179))),""),"")</f>
        <v/>
      </c>
      <c r="I179" s="38" t="str">
        <f>IF(OR($C179="15-24",$C179="25-34"),IFERROR(1/(1/SUM(SUMIFS(AGYW!$T:$T,AGYW!$B:$B,$B179,AGYW!$C:$C,IF($C179="15-24",{"15-19","20-24"},{"25-29"}),AGYW!$D:$D,$D179))),""),"")</f>
        <v/>
      </c>
      <c r="J179" s="38">
        <v>149</v>
      </c>
      <c r="K179" s="38">
        <v>185</v>
      </c>
      <c r="L179">
        <v>-3</v>
      </c>
      <c r="M179" s="38">
        <v>20</v>
      </c>
      <c r="N179" s="38">
        <v>54</v>
      </c>
      <c r="O179">
        <v>60</v>
      </c>
      <c r="P179" s="38">
        <f>2</f>
        <v>2</v>
      </c>
      <c r="Q179" s="218">
        <f t="shared" si="7"/>
        <v>120</v>
      </c>
    </row>
    <row r="180" spans="1:17" hidden="1" x14ac:dyDescent="0.2">
      <c r="A180" t="str">
        <f>INDEX(Prioritization!$D:$D,MATCH($B180,Prioritization!$A:$A,0))</f>
        <v>4 - Sustained</v>
      </c>
      <c r="B180" t="s">
        <v>303</v>
      </c>
      <c r="C180" t="s">
        <v>477</v>
      </c>
      <c r="D180" t="s">
        <v>48</v>
      </c>
      <c r="E180" t="str">
        <f t="shared" si="6"/>
        <v>Nkhotakota District [YCKiBAp8QAg]|35-49|Male</v>
      </c>
      <c r="F180" s="38">
        <f>IF(LEFT($B180,4)="_Mil","",INDEX(Cascade!$U:$U,MATCH($E180,Cascade!$E:$E,0)))</f>
        <v>2358</v>
      </c>
      <c r="G180" s="38">
        <f>IFERROR(1/(1/INDEX(HTS!$AU:$AU,MATCH($E180,HTS!$E:$E,0))),"")</f>
        <v>754</v>
      </c>
      <c r="H180" s="38" t="str">
        <f>IF(OR($C180="15-24",$C180="25-34"),IFERROR(1/(1/SUM(SUMIFS(AGYW!$S:$S,AGYW!$B:$B,$B180,AGYW!$C:$C,IF($C180="15-24",{"15-19","20-24"},{"25-29"}),AGYW!$D:$D,$D180))),""),"")</f>
        <v/>
      </c>
      <c r="I180" s="38" t="str">
        <f>IF(OR($C180="15-24",$C180="25-34"),IFERROR(1/(1/SUM(SUMIFS(AGYW!$T:$T,AGYW!$B:$B,$B180,AGYW!$C:$C,IF($C180="15-24",{"15-19","20-24"},{"25-29"}),AGYW!$D:$D,$D180))),""),"")</f>
        <v/>
      </c>
      <c r="J180" s="38">
        <v>126</v>
      </c>
      <c r="K180" s="38">
        <v>109</v>
      </c>
      <c r="L180">
        <v>181</v>
      </c>
      <c r="M180" s="38">
        <v>12</v>
      </c>
      <c r="N180" s="38">
        <v>32</v>
      </c>
      <c r="O180">
        <v>36</v>
      </c>
      <c r="P180" s="38">
        <f>2</f>
        <v>2</v>
      </c>
      <c r="Q180" s="218">
        <f t="shared" si="7"/>
        <v>72</v>
      </c>
    </row>
    <row r="181" spans="1:17" x14ac:dyDescent="0.2">
      <c r="A181" t="str">
        <f>INDEX(Prioritization!$D:$D,MATCH($B181,Prioritization!$A:$A,0))</f>
        <v>4 - Sustained</v>
      </c>
      <c r="B181" t="s">
        <v>303</v>
      </c>
      <c r="C181" t="s">
        <v>478</v>
      </c>
      <c r="D181" t="s">
        <v>30</v>
      </c>
      <c r="E181" t="str">
        <f t="shared" si="6"/>
        <v>Nkhotakota District [YCKiBAp8QAg]|50+|Female</v>
      </c>
      <c r="F181" s="38">
        <f>IF(LEFT($B181,4)="_Mil","",INDEX(Cascade!$U:$U,MATCH($E181,Cascade!$E:$E,0)))</f>
        <v>1797</v>
      </c>
      <c r="G181" s="38">
        <f>IFERROR(1/(1/INDEX(HTS!$AU:$AU,MATCH($E181,HTS!$E:$E,0))),"")</f>
        <v>2167</v>
      </c>
      <c r="H181" s="38" t="str">
        <f>IF(OR($C181="15-24",$C181="25-34"),IFERROR(1/(1/SUM(SUMIFS(AGYW!$S:$S,AGYW!$B:$B,$B181,AGYW!$C:$C,IF($C181="15-24",{"15-19","20-24"},{"25-29"}),AGYW!$D:$D,$D181))),""),"")</f>
        <v/>
      </c>
      <c r="I181" s="38" t="str">
        <f>IF(OR($C181="15-24",$C181="25-34"),IFERROR(1/(1/SUM(SUMIFS(AGYW!$T:$T,AGYW!$B:$B,$B181,AGYW!$C:$C,IF($C181="15-24",{"15-19","20-24"},{"25-29"}),AGYW!$D:$D,$D181))),""),"")</f>
        <v/>
      </c>
      <c r="J181" s="38">
        <v>11</v>
      </c>
      <c r="K181" s="38">
        <v>2</v>
      </c>
      <c r="L181">
        <v>-3</v>
      </c>
      <c r="M181" s="38">
        <v>6</v>
      </c>
      <c r="N181" s="38">
        <v>1</v>
      </c>
      <c r="O181">
        <v>18</v>
      </c>
      <c r="P181" s="38">
        <f>2</f>
        <v>2</v>
      </c>
      <c r="Q181" s="218">
        <f t="shared" si="7"/>
        <v>36</v>
      </c>
    </row>
    <row r="182" spans="1:17" hidden="1" x14ac:dyDescent="0.2">
      <c r="A182" t="str">
        <f>INDEX(Prioritization!$D:$D,MATCH($B182,Prioritization!$A:$A,0))</f>
        <v>4 - Sustained</v>
      </c>
      <c r="B182" t="s">
        <v>303</v>
      </c>
      <c r="C182" t="s">
        <v>478</v>
      </c>
      <c r="D182" t="s">
        <v>48</v>
      </c>
      <c r="E182" t="str">
        <f t="shared" si="6"/>
        <v>Nkhotakota District [YCKiBAp8QAg]|50+|Male</v>
      </c>
      <c r="F182" s="38">
        <f>IF(LEFT($B182,4)="_Mil","",INDEX(Cascade!$U:$U,MATCH($E182,Cascade!$E:$E,0)))</f>
        <v>1816</v>
      </c>
      <c r="G182" s="38">
        <f>IFERROR(1/(1/INDEX(HTS!$AU:$AU,MATCH($E182,HTS!$E:$E,0))),"")</f>
        <v>1490</v>
      </c>
      <c r="H182" s="38" t="str">
        <f>IF(OR($C182="15-24",$C182="25-34"),IFERROR(1/(1/SUM(SUMIFS(AGYW!$S:$S,AGYW!$B:$B,$B182,AGYW!$C:$C,IF($C182="15-24",{"15-19","20-24"},{"25-29"}),AGYW!$D:$D,$D182))),""),"")</f>
        <v/>
      </c>
      <c r="I182" s="38" t="str">
        <f>IF(OR($C182="15-24",$C182="25-34"),IFERROR(1/(1/SUM(SUMIFS(AGYW!$T:$T,AGYW!$B:$B,$B182,AGYW!$C:$C,IF($C182="15-24",{"15-19","20-24"},{"25-29"}),AGYW!$D:$D,$D182))),""),"")</f>
        <v/>
      </c>
      <c r="J182" s="38">
        <v>40</v>
      </c>
      <c r="K182" s="38">
        <v>86</v>
      </c>
      <c r="L182">
        <v>57</v>
      </c>
      <c r="M182" s="38">
        <v>7</v>
      </c>
      <c r="N182" s="38">
        <v>25</v>
      </c>
      <c r="O182">
        <v>21</v>
      </c>
      <c r="P182" s="38">
        <f>2</f>
        <v>2</v>
      </c>
      <c r="Q182" s="218">
        <f t="shared" si="7"/>
        <v>42</v>
      </c>
    </row>
    <row r="183" spans="1:17" x14ac:dyDescent="0.2">
      <c r="A183" t="str">
        <f>INDEX(Prioritization!$D:$D,MATCH($B183,Prioritization!$A:$A,0))</f>
        <v>INVALID</v>
      </c>
      <c r="B183" t="s">
        <v>322</v>
      </c>
      <c r="C183" t="s">
        <v>475</v>
      </c>
      <c r="D183" t="s">
        <v>30</v>
      </c>
      <c r="E183" t="str">
        <f t="shared" si="6"/>
        <v>Nsanje District [rpw540fmNUz]|15-24|Female</v>
      </c>
      <c r="F183" s="38">
        <f>IF(LEFT($B183,4)="_Mil","",INDEX(Cascade!$U:$U,MATCH($E183,Cascade!$E:$E,0)))</f>
        <v>1079</v>
      </c>
      <c r="G183" s="38">
        <f>IFERROR(1/(1/INDEX(HTS!$AU:$AU,MATCH($E183,HTS!$E:$E,0))),"")</f>
        <v>24621</v>
      </c>
      <c r="H183" s="38" t="str">
        <f>IF(OR($C183="15-24",$C183="25-34"),IFERROR(1/(1/SUM(SUMIFS(AGYW!$S:$S,AGYW!$B:$B,$B183,AGYW!$C:$C,IF($C183="15-24",{"15-19","20-24"},{"25-29"}),AGYW!$D:$D,$D183))),""),"")</f>
        <v/>
      </c>
      <c r="I183" s="38" t="str">
        <f>IF(OR($C183="15-24",$C183="25-34"),IFERROR(1/(1/SUM(SUMIFS(AGYW!$T:$T,AGYW!$B:$B,$B183,AGYW!$C:$C,IF($C183="15-24",{"15-19","20-24"},{"25-29"}),AGYW!$D:$D,$D183))),""),"")</f>
        <v/>
      </c>
      <c r="J183" s="38">
        <v>172</v>
      </c>
      <c r="K183" s="38">
        <v>114</v>
      </c>
      <c r="L183">
        <v>-3</v>
      </c>
      <c r="M183" s="38">
        <v>18</v>
      </c>
      <c r="N183" s="38">
        <v>33</v>
      </c>
      <c r="O183">
        <v>54</v>
      </c>
      <c r="P183" s="38">
        <v>0</v>
      </c>
      <c r="Q183" s="218">
        <f t="shared" si="7"/>
        <v>0</v>
      </c>
    </row>
    <row r="184" spans="1:17" hidden="1" x14ac:dyDescent="0.2">
      <c r="A184" t="str">
        <f>INDEX(Prioritization!$D:$D,MATCH($B184,Prioritization!$A:$A,0))</f>
        <v>INVALID</v>
      </c>
      <c r="B184" t="s">
        <v>322</v>
      </c>
      <c r="C184" t="s">
        <v>475</v>
      </c>
      <c r="D184" t="s">
        <v>48</v>
      </c>
      <c r="E184" t="str">
        <f t="shared" si="6"/>
        <v>Nsanje District [rpw540fmNUz]|15-24|Male</v>
      </c>
      <c r="F184" s="38">
        <f>IF(LEFT($B184,4)="_Mil","",INDEX(Cascade!$U:$U,MATCH($E184,Cascade!$E:$E,0)))</f>
        <v>716</v>
      </c>
      <c r="G184" s="38">
        <f>IFERROR(1/(1/INDEX(HTS!$AU:$AU,MATCH($E184,HTS!$E:$E,0))),"")</f>
        <v>7543.9999999999991</v>
      </c>
      <c r="H184" s="38" t="str">
        <f>IF(OR($C184="15-24",$C184="25-34"),IFERROR(1/(1/SUM(SUMIFS(AGYW!$S:$S,AGYW!$B:$B,$B184,AGYW!$C:$C,IF($C184="15-24",{"15-19","20-24"},{"25-29"}),AGYW!$D:$D,$D184))),""),"")</f>
        <v/>
      </c>
      <c r="I184" s="38" t="str">
        <f>IF(OR($C184="15-24",$C184="25-34"),IFERROR(1/(1/SUM(SUMIFS(AGYW!$T:$T,AGYW!$B:$B,$B184,AGYW!$C:$C,IF($C184="15-24",{"15-19","20-24"},{"25-29"}),AGYW!$D:$D,$D184))),""),"")</f>
        <v/>
      </c>
      <c r="J184" s="38">
        <v>114</v>
      </c>
      <c r="K184" s="38">
        <v>41</v>
      </c>
      <c r="L184">
        <v>164</v>
      </c>
      <c r="M184" s="38">
        <v>4</v>
      </c>
      <c r="N184" s="38">
        <v>12</v>
      </c>
      <c r="O184">
        <v>12</v>
      </c>
      <c r="P184" s="38">
        <f>2</f>
        <v>2</v>
      </c>
      <c r="Q184" s="218">
        <f t="shared" si="7"/>
        <v>24</v>
      </c>
    </row>
    <row r="185" spans="1:17" x14ac:dyDescent="0.2">
      <c r="A185" t="str">
        <f>INDEX(Prioritization!$D:$D,MATCH($B185,Prioritization!$A:$A,0))</f>
        <v>INVALID</v>
      </c>
      <c r="B185" t="s">
        <v>322</v>
      </c>
      <c r="C185" t="s">
        <v>476</v>
      </c>
      <c r="D185" t="s">
        <v>30</v>
      </c>
      <c r="E185" t="str">
        <f t="shared" si="6"/>
        <v>Nsanje District [rpw540fmNUz]|25-34|Female</v>
      </c>
      <c r="F185" s="38">
        <f>IF(LEFT($B185,4)="_Mil","",INDEX(Cascade!$U:$U,MATCH($E185,Cascade!$E:$E,0)))</f>
        <v>2614</v>
      </c>
      <c r="G185" s="38">
        <f>IFERROR(1/(1/INDEX(HTS!$AU:$AU,MATCH($E185,HTS!$E:$E,0))),"")</f>
        <v>14257</v>
      </c>
      <c r="H185" s="38" t="str">
        <f>IF(OR($C185="15-24",$C185="25-34"),IFERROR(1/(1/SUM(SUMIFS(AGYW!$S:$S,AGYW!$B:$B,$B185,AGYW!$C:$C,IF($C185="15-24",{"15-19","20-24"},{"25-29"}),AGYW!$D:$D,$D185))),""),"")</f>
        <v/>
      </c>
      <c r="I185" s="38" t="str">
        <f>IF(OR($C185="15-24",$C185="25-34"),IFERROR(1/(1/SUM(SUMIFS(AGYW!$T:$T,AGYW!$B:$B,$B185,AGYW!$C:$C,IF($C185="15-24",{"15-19","20-24"},{"25-29"}),AGYW!$D:$D,$D185))),""),"")</f>
        <v/>
      </c>
      <c r="J185" s="38">
        <v>170</v>
      </c>
      <c r="K185" s="38">
        <v>150</v>
      </c>
      <c r="L185">
        <v>-3</v>
      </c>
      <c r="M185" s="38">
        <v>13</v>
      </c>
      <c r="N185" s="38">
        <v>44</v>
      </c>
      <c r="O185">
        <v>39</v>
      </c>
      <c r="P185" s="38">
        <v>0</v>
      </c>
      <c r="Q185" s="218">
        <f t="shared" si="7"/>
        <v>0</v>
      </c>
    </row>
    <row r="186" spans="1:17" hidden="1" x14ac:dyDescent="0.2">
      <c r="A186" t="str">
        <f>INDEX(Prioritization!$D:$D,MATCH($B186,Prioritization!$A:$A,0))</f>
        <v>INVALID</v>
      </c>
      <c r="B186" t="s">
        <v>322</v>
      </c>
      <c r="C186" t="s">
        <v>476</v>
      </c>
      <c r="D186" t="s">
        <v>48</v>
      </c>
      <c r="E186" t="str">
        <f t="shared" si="6"/>
        <v>Nsanje District [rpw540fmNUz]|25-34|Male</v>
      </c>
      <c r="F186" s="38">
        <f>IF(LEFT($B186,4)="_Mil","",INDEX(Cascade!$U:$U,MATCH($E186,Cascade!$E:$E,0)))</f>
        <v>821</v>
      </c>
      <c r="G186" s="38">
        <f>IFERROR(1/(1/INDEX(HTS!$AU:$AU,MATCH($E186,HTS!$E:$E,0))),"")</f>
        <v>3918</v>
      </c>
      <c r="H186" s="38" t="str">
        <f>IF(OR($C186="15-24",$C186="25-34"),IFERROR(1/(1/SUM(SUMIFS(AGYW!$S:$S,AGYW!$B:$B,$B186,AGYW!$C:$C,IF($C186="15-24",{"15-19","20-24"},{"25-29"}),AGYW!$D:$D,$D186))),""),"")</f>
        <v/>
      </c>
      <c r="I186" s="38" t="str">
        <f>IF(OR($C186="15-24",$C186="25-34"),IFERROR(1/(1/SUM(SUMIFS(AGYW!$T:$T,AGYW!$B:$B,$B186,AGYW!$C:$C,IF($C186="15-24",{"15-19","20-24"},{"25-29"}),AGYW!$D:$D,$D186))),""),"")</f>
        <v/>
      </c>
      <c r="J186" s="38">
        <v>157</v>
      </c>
      <c r="K186" s="38">
        <v>79</v>
      </c>
      <c r="L186">
        <v>225</v>
      </c>
      <c r="M186" s="38">
        <v>13</v>
      </c>
      <c r="N186" s="38">
        <v>23</v>
      </c>
      <c r="O186">
        <v>39</v>
      </c>
      <c r="P186" s="38">
        <f>2</f>
        <v>2</v>
      </c>
      <c r="Q186" s="218">
        <f t="shared" si="7"/>
        <v>78</v>
      </c>
    </row>
    <row r="187" spans="1:17" x14ac:dyDescent="0.2">
      <c r="A187" t="str">
        <f>INDEX(Prioritization!$D:$D,MATCH($B187,Prioritization!$A:$A,0))</f>
        <v>INVALID</v>
      </c>
      <c r="B187" t="s">
        <v>322</v>
      </c>
      <c r="C187" t="s">
        <v>477</v>
      </c>
      <c r="D187" t="s">
        <v>30</v>
      </c>
      <c r="E187" t="str">
        <f t="shared" si="6"/>
        <v>Nsanje District [rpw540fmNUz]|35-49|Female</v>
      </c>
      <c r="F187" s="38">
        <f>IF(LEFT($B187,4)="_Mil","",INDEX(Cascade!$U:$U,MATCH($E187,Cascade!$E:$E,0)))</f>
        <v>6132</v>
      </c>
      <c r="G187" s="38">
        <f>IFERROR(1/(1/INDEX(HTS!$AU:$AU,MATCH($E187,HTS!$E:$E,0))),"")</f>
        <v>6913</v>
      </c>
      <c r="H187" s="38" t="str">
        <f>IF(OR($C187="15-24",$C187="25-34"),IFERROR(1/(1/SUM(SUMIFS(AGYW!$S:$S,AGYW!$B:$B,$B187,AGYW!$C:$C,IF($C187="15-24",{"15-19","20-24"},{"25-29"}),AGYW!$D:$D,$D187))),""),"")</f>
        <v/>
      </c>
      <c r="I187" s="38" t="str">
        <f>IF(OR($C187="15-24",$C187="25-34"),IFERROR(1/(1/SUM(SUMIFS(AGYW!$T:$T,AGYW!$B:$B,$B187,AGYW!$C:$C,IF($C187="15-24",{"15-19","20-24"},{"25-29"}),AGYW!$D:$D,$D187))),""),"")</f>
        <v/>
      </c>
      <c r="J187" s="38">
        <v>109</v>
      </c>
      <c r="K187" s="38">
        <v>136</v>
      </c>
      <c r="L187">
        <v>-3</v>
      </c>
      <c r="M187" s="38">
        <v>7</v>
      </c>
      <c r="N187" s="38">
        <v>39</v>
      </c>
      <c r="O187">
        <v>21</v>
      </c>
      <c r="P187" s="38">
        <v>0</v>
      </c>
      <c r="Q187" s="218">
        <f t="shared" si="7"/>
        <v>0</v>
      </c>
    </row>
    <row r="188" spans="1:17" hidden="1" x14ac:dyDescent="0.2">
      <c r="A188" t="str">
        <f>INDEX(Prioritization!$D:$D,MATCH($B188,Prioritization!$A:$A,0))</f>
        <v>INVALID</v>
      </c>
      <c r="B188" t="s">
        <v>322</v>
      </c>
      <c r="C188" t="s">
        <v>477</v>
      </c>
      <c r="D188" t="s">
        <v>48</v>
      </c>
      <c r="E188" t="str">
        <f t="shared" si="6"/>
        <v>Nsanje District [rpw540fmNUz]|35-49|Male</v>
      </c>
      <c r="F188" s="38">
        <f>IF(LEFT($B188,4)="_Mil","",INDEX(Cascade!$U:$U,MATCH($E188,Cascade!$E:$E,0)))</f>
        <v>2953</v>
      </c>
      <c r="G188" s="38">
        <f>IFERROR(1/(1/INDEX(HTS!$AU:$AU,MATCH($E188,HTS!$E:$E,0))),"")</f>
        <v>6711</v>
      </c>
      <c r="H188" s="38" t="str">
        <f>IF(OR($C188="15-24",$C188="25-34"),IFERROR(1/(1/SUM(SUMIFS(AGYW!$S:$S,AGYW!$B:$B,$B188,AGYW!$C:$C,IF($C188="15-24",{"15-19","20-24"},{"25-29"}),AGYW!$D:$D,$D188))),""),"")</f>
        <v/>
      </c>
      <c r="I188" s="38" t="str">
        <f>IF(OR($C188="15-24",$C188="25-34"),IFERROR(1/(1/SUM(SUMIFS(AGYW!$T:$T,AGYW!$B:$B,$B188,AGYW!$C:$C,IF($C188="15-24",{"15-19","20-24"},{"25-29"}),AGYW!$D:$D,$D188))),""),"")</f>
        <v/>
      </c>
      <c r="J188" s="38">
        <v>110</v>
      </c>
      <c r="K188" s="38">
        <v>80</v>
      </c>
      <c r="L188">
        <v>158</v>
      </c>
      <c r="M188" s="38">
        <v>6</v>
      </c>
      <c r="N188" s="38">
        <v>23</v>
      </c>
      <c r="O188">
        <v>18</v>
      </c>
      <c r="P188" s="38">
        <f>2</f>
        <v>2</v>
      </c>
      <c r="Q188" s="218">
        <f t="shared" si="7"/>
        <v>36</v>
      </c>
    </row>
    <row r="189" spans="1:17" x14ac:dyDescent="0.2">
      <c r="A189" t="str">
        <f>INDEX(Prioritization!$D:$D,MATCH($B189,Prioritization!$A:$A,0))</f>
        <v>INVALID</v>
      </c>
      <c r="B189" t="s">
        <v>322</v>
      </c>
      <c r="C189" t="s">
        <v>478</v>
      </c>
      <c r="D189" t="s">
        <v>30</v>
      </c>
      <c r="E189" t="str">
        <f t="shared" si="6"/>
        <v>Nsanje District [rpw540fmNUz]|50+|Female</v>
      </c>
      <c r="F189" s="38">
        <f>IF(LEFT($B189,4)="_Mil","",INDEX(Cascade!$U:$U,MATCH($E189,Cascade!$E:$E,0)))</f>
        <v>3188</v>
      </c>
      <c r="G189" s="38">
        <f>IFERROR(1/(1/INDEX(HTS!$AU:$AU,MATCH($E189,HTS!$E:$E,0))),"")</f>
        <v>1959</v>
      </c>
      <c r="H189" s="38" t="str">
        <f>IF(OR($C189="15-24",$C189="25-34"),IFERROR(1/(1/SUM(SUMIFS(AGYW!$S:$S,AGYW!$B:$B,$B189,AGYW!$C:$C,IF($C189="15-24",{"15-19","20-24"},{"25-29"}),AGYW!$D:$D,$D189))),""),"")</f>
        <v/>
      </c>
      <c r="I189" s="38" t="str">
        <f>IF(OR($C189="15-24",$C189="25-34"),IFERROR(1/(1/SUM(SUMIFS(AGYW!$T:$T,AGYW!$B:$B,$B189,AGYW!$C:$C,IF($C189="15-24",{"15-19","20-24"},{"25-29"}),AGYW!$D:$D,$D189))),""),"")</f>
        <v/>
      </c>
      <c r="J189" s="38">
        <v>24</v>
      </c>
      <c r="K189" s="38">
        <v>2</v>
      </c>
      <c r="L189">
        <v>-3</v>
      </c>
      <c r="M189" s="38">
        <v>1</v>
      </c>
      <c r="N189" s="38">
        <v>1</v>
      </c>
      <c r="O189">
        <v>3</v>
      </c>
      <c r="P189" s="38">
        <v>-5</v>
      </c>
      <c r="Q189" s="218">
        <f t="shared" si="7"/>
        <v>-15</v>
      </c>
    </row>
    <row r="190" spans="1:17" hidden="1" x14ac:dyDescent="0.2">
      <c r="A190" t="str">
        <f>INDEX(Prioritization!$D:$D,MATCH($B190,Prioritization!$A:$A,0))</f>
        <v>INVALID</v>
      </c>
      <c r="B190" t="s">
        <v>322</v>
      </c>
      <c r="C190" t="s">
        <v>478</v>
      </c>
      <c r="D190" t="s">
        <v>48</v>
      </c>
      <c r="E190" t="str">
        <f t="shared" si="6"/>
        <v>Nsanje District [rpw540fmNUz]|50+|Male</v>
      </c>
      <c r="F190" s="38">
        <f>IF(LEFT($B190,4)="_Mil","",INDEX(Cascade!$U:$U,MATCH($E190,Cascade!$E:$E,0)))</f>
        <v>2303</v>
      </c>
      <c r="G190" s="38">
        <f>IFERROR(1/(1/INDEX(HTS!$AU:$AU,MATCH($E190,HTS!$E:$E,0))),"")</f>
        <v>142</v>
      </c>
      <c r="H190" s="38" t="str">
        <f>IF(OR($C190="15-24",$C190="25-34"),IFERROR(1/(1/SUM(SUMIFS(AGYW!$S:$S,AGYW!$B:$B,$B190,AGYW!$C:$C,IF($C190="15-24",{"15-19","20-24"},{"25-29"}),AGYW!$D:$D,$D190))),""),"")</f>
        <v/>
      </c>
      <c r="I190" s="38" t="str">
        <f>IF(OR($C190="15-24",$C190="25-34"),IFERROR(1/(1/SUM(SUMIFS(AGYW!$T:$T,AGYW!$B:$B,$B190,AGYW!$C:$C,IF($C190="15-24",{"15-19","20-24"},{"25-29"}),AGYW!$D:$D,$D190))),""),"")</f>
        <v/>
      </c>
      <c r="J190" s="38">
        <v>32</v>
      </c>
      <c r="K190" s="38">
        <v>63</v>
      </c>
      <c r="L190">
        <v>46</v>
      </c>
      <c r="M190" s="38">
        <v>3</v>
      </c>
      <c r="N190" s="38">
        <v>18</v>
      </c>
      <c r="O190">
        <v>9</v>
      </c>
      <c r="P190" s="38">
        <f>2</f>
        <v>2</v>
      </c>
      <c r="Q190" s="218">
        <f t="shared" si="7"/>
        <v>18</v>
      </c>
    </row>
    <row r="191" spans="1:17" x14ac:dyDescent="0.2">
      <c r="A191" t="str">
        <f>INDEX(Prioritization!$D:$D,MATCH($B191,Prioritization!$A:$A,0))</f>
        <v>4 - Sustained</v>
      </c>
      <c r="B191" t="s">
        <v>304</v>
      </c>
      <c r="C191" t="s">
        <v>475</v>
      </c>
      <c r="D191" t="s">
        <v>30</v>
      </c>
      <c r="E191" t="str">
        <f t="shared" si="6"/>
        <v>Ntcheu District [am530wpaGvr]|15-24|Female</v>
      </c>
      <c r="F191" s="38">
        <f>IF(LEFT($B191,4)="_Mil","",INDEX(Cascade!$U:$U,MATCH($E191,Cascade!$E:$E,0)))</f>
        <v>1335</v>
      </c>
      <c r="G191" s="38">
        <f>IFERROR(1/(1/INDEX(HTS!$AU:$AU,MATCH($E191,HTS!$E:$E,0))),"")</f>
        <v>28238.999999999996</v>
      </c>
      <c r="H191" s="38" t="str">
        <f>IF(OR($C191="15-24",$C191="25-34"),IFERROR(1/(1/SUM(SUMIFS(AGYW!$S:$S,AGYW!$B:$B,$B191,AGYW!$C:$C,IF($C191="15-24",{"15-19","20-24"},{"25-29"}),AGYW!$D:$D,$D191))),""),"")</f>
        <v/>
      </c>
      <c r="I191" s="38" t="str">
        <f>IF(OR($C191="15-24",$C191="25-34"),IFERROR(1/(1/SUM(SUMIFS(AGYW!$T:$T,AGYW!$B:$B,$B191,AGYW!$C:$C,IF($C191="15-24",{"15-19","20-24"},{"25-29"}),AGYW!$D:$D,$D191))),""),"")</f>
        <v/>
      </c>
      <c r="J191" s="38">
        <v>28</v>
      </c>
      <c r="K191" s="38">
        <v>279</v>
      </c>
      <c r="L191">
        <v>-3</v>
      </c>
      <c r="M191" s="38">
        <v>3</v>
      </c>
      <c r="N191" s="38">
        <v>81</v>
      </c>
      <c r="O191">
        <v>9</v>
      </c>
      <c r="P191" s="38">
        <v>-5</v>
      </c>
      <c r="Q191" s="218">
        <f t="shared" si="7"/>
        <v>-45</v>
      </c>
    </row>
    <row r="192" spans="1:17" hidden="1" x14ac:dyDescent="0.2">
      <c r="A192" t="str">
        <f>INDEX(Prioritization!$D:$D,MATCH($B192,Prioritization!$A:$A,0))</f>
        <v>4 - Sustained</v>
      </c>
      <c r="B192" t="s">
        <v>304</v>
      </c>
      <c r="C192" t="s">
        <v>475</v>
      </c>
      <c r="D192" t="s">
        <v>48</v>
      </c>
      <c r="E192" t="str">
        <f t="shared" si="6"/>
        <v>Ntcheu District [am530wpaGvr]|15-24|Male</v>
      </c>
      <c r="F192" s="38">
        <f>IF(LEFT($B192,4)="_Mil","",INDEX(Cascade!$U:$U,MATCH($E192,Cascade!$E:$E,0)))</f>
        <v>969</v>
      </c>
      <c r="G192" s="38">
        <f>IFERROR(1/(1/INDEX(HTS!$AU:$AU,MATCH($E192,HTS!$E:$E,0))),"")</f>
        <v>5435</v>
      </c>
      <c r="H192" s="38" t="str">
        <f>IF(OR($C192="15-24",$C192="25-34"),IFERROR(1/(1/SUM(SUMIFS(AGYW!$S:$S,AGYW!$B:$B,$B192,AGYW!$C:$C,IF($C192="15-24",{"15-19","20-24"},{"25-29"}),AGYW!$D:$D,$D192))),""),"")</f>
        <v/>
      </c>
      <c r="I192" s="38" t="str">
        <f>IF(OR($C192="15-24",$C192="25-34"),IFERROR(1/(1/SUM(SUMIFS(AGYW!$T:$T,AGYW!$B:$B,$B192,AGYW!$C:$C,IF($C192="15-24",{"15-19","20-24"},{"25-29"}),AGYW!$D:$D,$D192))),""),"")</f>
        <v/>
      </c>
      <c r="J192" s="38">
        <v>70</v>
      </c>
      <c r="K192" s="38">
        <v>100</v>
      </c>
      <c r="L192">
        <v>101</v>
      </c>
      <c r="M192" s="38">
        <v>3</v>
      </c>
      <c r="N192" s="38">
        <v>29</v>
      </c>
      <c r="O192">
        <v>9</v>
      </c>
      <c r="P192" s="38">
        <f>2</f>
        <v>2</v>
      </c>
      <c r="Q192" s="218">
        <f t="shared" si="7"/>
        <v>18</v>
      </c>
    </row>
    <row r="193" spans="1:17" x14ac:dyDescent="0.2">
      <c r="A193" t="str">
        <f>INDEX(Prioritization!$D:$D,MATCH($B193,Prioritization!$A:$A,0))</f>
        <v>4 - Sustained</v>
      </c>
      <c r="B193" t="s">
        <v>304</v>
      </c>
      <c r="C193" t="s">
        <v>476</v>
      </c>
      <c r="D193" t="s">
        <v>30</v>
      </c>
      <c r="E193" t="str">
        <f t="shared" si="6"/>
        <v>Ntcheu District [am530wpaGvr]|25-34|Female</v>
      </c>
      <c r="F193" s="38">
        <f>IF(LEFT($B193,4)="_Mil","",INDEX(Cascade!$U:$U,MATCH($E193,Cascade!$E:$E,0)))</f>
        <v>3251</v>
      </c>
      <c r="G193" s="38">
        <f>IFERROR(1/(1/INDEX(HTS!$AU:$AU,MATCH($E193,HTS!$E:$E,0))),"")</f>
        <v>18512</v>
      </c>
      <c r="H193" s="38" t="str">
        <f>IF(OR($C193="15-24",$C193="25-34"),IFERROR(1/(1/SUM(SUMIFS(AGYW!$S:$S,AGYW!$B:$B,$B193,AGYW!$C:$C,IF($C193="15-24",{"15-19","20-24"},{"25-29"}),AGYW!$D:$D,$D193))),""),"")</f>
        <v/>
      </c>
      <c r="I193" s="38" t="str">
        <f>IF(OR($C193="15-24",$C193="25-34"),IFERROR(1/(1/SUM(SUMIFS(AGYW!$T:$T,AGYW!$B:$B,$B193,AGYW!$C:$C,IF($C193="15-24",{"15-19","20-24"},{"25-29"}),AGYW!$D:$D,$D193))),""),"")</f>
        <v/>
      </c>
      <c r="J193" s="38">
        <v>54</v>
      </c>
      <c r="K193" s="38">
        <v>366</v>
      </c>
      <c r="L193">
        <v>-3</v>
      </c>
      <c r="M193" s="38">
        <v>7</v>
      </c>
      <c r="N193" s="38">
        <v>106</v>
      </c>
      <c r="O193">
        <v>21</v>
      </c>
      <c r="P193" s="38">
        <v>-5</v>
      </c>
      <c r="Q193" s="218">
        <f t="shared" si="7"/>
        <v>-105</v>
      </c>
    </row>
    <row r="194" spans="1:17" hidden="1" x14ac:dyDescent="0.2">
      <c r="A194" t="str">
        <f>INDEX(Prioritization!$D:$D,MATCH($B194,Prioritization!$A:$A,0))</f>
        <v>4 - Sustained</v>
      </c>
      <c r="B194" t="s">
        <v>304</v>
      </c>
      <c r="C194" t="s">
        <v>476</v>
      </c>
      <c r="D194" t="s">
        <v>48</v>
      </c>
      <c r="E194" t="str">
        <f t="shared" si="6"/>
        <v>Ntcheu District [am530wpaGvr]|25-34|Male</v>
      </c>
      <c r="F194" s="38">
        <f>IF(LEFT($B194,4)="_Mil","",INDEX(Cascade!$U:$U,MATCH($E194,Cascade!$E:$E,0)))</f>
        <v>1199</v>
      </c>
      <c r="G194" s="38">
        <f>IFERROR(1/(1/INDEX(HTS!$AU:$AU,MATCH($E194,HTS!$E:$E,0))),"")</f>
        <v>907.99999999999989</v>
      </c>
      <c r="H194" s="38" t="str">
        <f>IF(OR($C194="15-24",$C194="25-34"),IFERROR(1/(1/SUM(SUMIFS(AGYW!$S:$S,AGYW!$B:$B,$B194,AGYW!$C:$C,IF($C194="15-24",{"15-19","20-24"},{"25-29"}),AGYW!$D:$D,$D194))),""),"")</f>
        <v/>
      </c>
      <c r="I194" s="38" t="str">
        <f>IF(OR($C194="15-24",$C194="25-34"),IFERROR(1/(1/SUM(SUMIFS(AGYW!$T:$T,AGYW!$B:$B,$B194,AGYW!$C:$C,IF($C194="15-24",{"15-19","20-24"},{"25-29"}),AGYW!$D:$D,$D194))),""),"")</f>
        <v/>
      </c>
      <c r="J194" s="38">
        <v>73</v>
      </c>
      <c r="K194" s="38">
        <v>192</v>
      </c>
      <c r="L194">
        <v>105</v>
      </c>
      <c r="M194" s="38">
        <v>5</v>
      </c>
      <c r="N194" s="38">
        <v>56</v>
      </c>
      <c r="O194">
        <v>15</v>
      </c>
      <c r="P194" s="38">
        <f>2</f>
        <v>2</v>
      </c>
      <c r="Q194" s="218">
        <f t="shared" si="7"/>
        <v>30</v>
      </c>
    </row>
    <row r="195" spans="1:17" x14ac:dyDescent="0.2">
      <c r="A195" t="str">
        <f>INDEX(Prioritization!$D:$D,MATCH($B195,Prioritization!$A:$A,0))</f>
        <v>4 - Sustained</v>
      </c>
      <c r="B195" t="s">
        <v>304</v>
      </c>
      <c r="C195" t="s">
        <v>477</v>
      </c>
      <c r="D195" t="s">
        <v>30</v>
      </c>
      <c r="E195" t="str">
        <f t="shared" si="6"/>
        <v>Ntcheu District [am530wpaGvr]|35-49|Female</v>
      </c>
      <c r="F195" s="38">
        <f>IF(LEFT($B195,4)="_Mil","",INDEX(Cascade!$U:$U,MATCH($E195,Cascade!$E:$E,0)))</f>
        <v>8833</v>
      </c>
      <c r="G195" s="38">
        <f>IFERROR(1/(1/INDEX(HTS!$AU:$AU,MATCH($E195,HTS!$E:$E,0))),"")</f>
        <v>14023</v>
      </c>
      <c r="H195" s="38" t="str">
        <f>IF(OR($C195="15-24",$C195="25-34"),IFERROR(1/(1/SUM(SUMIFS(AGYW!$S:$S,AGYW!$B:$B,$B195,AGYW!$C:$C,IF($C195="15-24",{"15-19","20-24"},{"25-29"}),AGYW!$D:$D,$D195))),""),"")</f>
        <v/>
      </c>
      <c r="I195" s="38" t="str">
        <f>IF(OR($C195="15-24",$C195="25-34"),IFERROR(1/(1/SUM(SUMIFS(AGYW!$T:$T,AGYW!$B:$B,$B195,AGYW!$C:$C,IF($C195="15-24",{"15-19","20-24"},{"25-29"}),AGYW!$D:$D,$D195))),""),"")</f>
        <v/>
      </c>
      <c r="J195" s="38">
        <v>30</v>
      </c>
      <c r="K195" s="38">
        <v>332</v>
      </c>
      <c r="L195">
        <v>-3</v>
      </c>
      <c r="M195" s="38">
        <v>11</v>
      </c>
      <c r="N195" s="38">
        <v>96</v>
      </c>
      <c r="O195">
        <v>33</v>
      </c>
      <c r="P195" s="38">
        <v>-5</v>
      </c>
      <c r="Q195" s="218">
        <f t="shared" si="7"/>
        <v>-165</v>
      </c>
    </row>
    <row r="196" spans="1:17" hidden="1" x14ac:dyDescent="0.2">
      <c r="A196" t="str">
        <f>INDEX(Prioritization!$D:$D,MATCH($B196,Prioritization!$A:$A,0))</f>
        <v>4 - Sustained</v>
      </c>
      <c r="B196" t="s">
        <v>304</v>
      </c>
      <c r="C196" t="s">
        <v>477</v>
      </c>
      <c r="D196" t="s">
        <v>48</v>
      </c>
      <c r="E196" t="str">
        <f t="shared" si="6"/>
        <v>Ntcheu District [am530wpaGvr]|35-49|Male</v>
      </c>
      <c r="F196" s="38">
        <f>IF(LEFT($B196,4)="_Mil","",INDEX(Cascade!$U:$U,MATCH($E196,Cascade!$E:$E,0)))</f>
        <v>4555</v>
      </c>
      <c r="G196" s="38">
        <f>IFERROR(1/(1/INDEX(HTS!$AU:$AU,MATCH($E196,HTS!$E:$E,0))),"")</f>
        <v>5350</v>
      </c>
      <c r="H196" s="38" t="str">
        <f>IF(OR($C196="15-24",$C196="25-34"),IFERROR(1/(1/SUM(SUMIFS(AGYW!$S:$S,AGYW!$B:$B,$B196,AGYW!$C:$C,IF($C196="15-24",{"15-19","20-24"},{"25-29"}),AGYW!$D:$D,$D196))),""),"")</f>
        <v/>
      </c>
      <c r="I196" s="38" t="str">
        <f>IF(OR($C196="15-24",$C196="25-34"),IFERROR(1/(1/SUM(SUMIFS(AGYW!$T:$T,AGYW!$B:$B,$B196,AGYW!$C:$C,IF($C196="15-24",{"15-19","20-24"},{"25-29"}),AGYW!$D:$D,$D196))),""),"")</f>
        <v/>
      </c>
      <c r="J196" s="38">
        <v>56</v>
      </c>
      <c r="K196" s="38">
        <v>195</v>
      </c>
      <c r="L196">
        <v>80</v>
      </c>
      <c r="M196" s="38">
        <v>10</v>
      </c>
      <c r="N196" s="38">
        <v>57</v>
      </c>
      <c r="O196">
        <v>30</v>
      </c>
      <c r="P196" s="38">
        <f>2</f>
        <v>2</v>
      </c>
      <c r="Q196" s="218">
        <f t="shared" si="7"/>
        <v>60</v>
      </c>
    </row>
    <row r="197" spans="1:17" x14ac:dyDescent="0.2">
      <c r="A197" t="str">
        <f>INDEX(Prioritization!$D:$D,MATCH($B197,Prioritization!$A:$A,0))</f>
        <v>4 - Sustained</v>
      </c>
      <c r="B197" t="s">
        <v>304</v>
      </c>
      <c r="C197" t="s">
        <v>478</v>
      </c>
      <c r="D197" t="s">
        <v>30</v>
      </c>
      <c r="E197" t="str">
        <f t="shared" si="6"/>
        <v>Ntcheu District [am530wpaGvr]|50+|Female</v>
      </c>
      <c r="F197" s="38">
        <f>IF(LEFT($B197,4)="_Mil","",INDEX(Cascade!$U:$U,MATCH($E197,Cascade!$E:$E,0)))</f>
        <v>4475</v>
      </c>
      <c r="G197" s="38">
        <f>IFERROR(1/(1/INDEX(HTS!$AU:$AU,MATCH($E197,HTS!$E:$E,0))),"")</f>
        <v>8354</v>
      </c>
      <c r="H197" s="38" t="str">
        <f>IF(OR($C197="15-24",$C197="25-34"),IFERROR(1/(1/SUM(SUMIFS(AGYW!$S:$S,AGYW!$B:$B,$B197,AGYW!$C:$C,IF($C197="15-24",{"15-19","20-24"},{"25-29"}),AGYW!$D:$D,$D197))),""),"")</f>
        <v/>
      </c>
      <c r="I197" s="38" t="str">
        <f>IF(OR($C197="15-24",$C197="25-34"),IFERROR(1/(1/SUM(SUMIFS(AGYW!$T:$T,AGYW!$B:$B,$B197,AGYW!$C:$C,IF($C197="15-24",{"15-19","20-24"},{"25-29"}),AGYW!$D:$D,$D197))),""),"")</f>
        <v/>
      </c>
      <c r="J197" s="38">
        <v>6</v>
      </c>
      <c r="K197" s="38">
        <v>4</v>
      </c>
      <c r="L197">
        <v>9</v>
      </c>
      <c r="M197" s="38">
        <v>1</v>
      </c>
      <c r="N197" s="38">
        <v>2</v>
      </c>
      <c r="O197">
        <v>3</v>
      </c>
      <c r="P197" s="38">
        <v>-5</v>
      </c>
      <c r="Q197" s="218">
        <f t="shared" si="7"/>
        <v>-15</v>
      </c>
    </row>
    <row r="198" spans="1:17" hidden="1" x14ac:dyDescent="0.2">
      <c r="A198" t="str">
        <f>INDEX(Prioritization!$D:$D,MATCH($B198,Prioritization!$A:$A,0))</f>
        <v>4 - Sustained</v>
      </c>
      <c r="B198" t="s">
        <v>304</v>
      </c>
      <c r="C198" t="s">
        <v>478</v>
      </c>
      <c r="D198" t="s">
        <v>48</v>
      </c>
      <c r="E198" t="str">
        <f t="shared" si="6"/>
        <v>Ntcheu District [am530wpaGvr]|50+|Male</v>
      </c>
      <c r="F198" s="38">
        <f>IF(LEFT($B198,4)="_Mil","",INDEX(Cascade!$U:$U,MATCH($E198,Cascade!$E:$E,0)))</f>
        <v>3414</v>
      </c>
      <c r="G198" s="38">
        <f>IFERROR(1/(1/INDEX(HTS!$AU:$AU,MATCH($E198,HTS!$E:$E,0))),"")</f>
        <v>8312</v>
      </c>
      <c r="H198" s="38" t="str">
        <f>IF(OR($C198="15-24",$C198="25-34"),IFERROR(1/(1/SUM(SUMIFS(AGYW!$S:$S,AGYW!$B:$B,$B198,AGYW!$C:$C,IF($C198="15-24",{"15-19","20-24"},{"25-29"}),AGYW!$D:$D,$D198))),""),"")</f>
        <v/>
      </c>
      <c r="I198" s="38" t="str">
        <f>IF(OR($C198="15-24",$C198="25-34"),IFERROR(1/(1/SUM(SUMIFS(AGYW!$T:$T,AGYW!$B:$B,$B198,AGYW!$C:$C,IF($C198="15-24",{"15-19","20-24"},{"25-29"}),AGYW!$D:$D,$D198))),""),"")</f>
        <v/>
      </c>
      <c r="J198" s="38">
        <v>10</v>
      </c>
      <c r="K198" s="38">
        <v>153</v>
      </c>
      <c r="L198">
        <v>14</v>
      </c>
      <c r="M198" s="38">
        <v>4</v>
      </c>
      <c r="N198" s="38">
        <v>45</v>
      </c>
      <c r="O198">
        <v>12</v>
      </c>
      <c r="P198" s="38">
        <f>2</f>
        <v>2</v>
      </c>
      <c r="Q198" s="218">
        <f t="shared" si="7"/>
        <v>24</v>
      </c>
    </row>
    <row r="199" spans="1:17" x14ac:dyDescent="0.2">
      <c r="A199" t="str">
        <f>INDEX(Prioritization!$D:$D,MATCH($B199,Prioritization!$A:$A,0))</f>
        <v>4 - Sustained</v>
      </c>
      <c r="B199" t="s">
        <v>305</v>
      </c>
      <c r="C199" t="s">
        <v>475</v>
      </c>
      <c r="D199" t="s">
        <v>30</v>
      </c>
      <c r="E199" t="str">
        <f t="shared" si="6"/>
        <v>Ntchisi District [fiRkU6gEjLz]|15-24|Female</v>
      </c>
      <c r="F199" s="38">
        <f>IF(LEFT($B199,4)="_Mil","",INDEX(Cascade!$U:$U,MATCH($E199,Cascade!$E:$E,0)))</f>
        <v>225</v>
      </c>
      <c r="G199" s="38">
        <f>IFERROR(1/(1/INDEX(HTS!$AU:$AU,MATCH($E199,HTS!$E:$E,0))),"")</f>
        <v>5882</v>
      </c>
      <c r="H199" s="38" t="str">
        <f>IF(OR($C199="15-24",$C199="25-34"),IFERROR(1/(1/SUM(SUMIFS(AGYW!$S:$S,AGYW!$B:$B,$B199,AGYW!$C:$C,IF($C199="15-24",{"15-19","20-24"},{"25-29"}),AGYW!$D:$D,$D199))),""),"")</f>
        <v/>
      </c>
      <c r="I199" s="38" t="str">
        <f>IF(OR($C199="15-24",$C199="25-34"),IFERROR(1/(1/SUM(SUMIFS(AGYW!$T:$T,AGYW!$B:$B,$B199,AGYW!$C:$C,IF($C199="15-24",{"15-19","20-24"},{"25-29"}),AGYW!$D:$D,$D199))),""),"")</f>
        <v/>
      </c>
      <c r="J199" s="38">
        <v>26</v>
      </c>
      <c r="K199" s="38">
        <v>133</v>
      </c>
      <c r="L199">
        <v>37</v>
      </c>
      <c r="M199" s="38">
        <v>5</v>
      </c>
      <c r="N199" s="38">
        <v>38</v>
      </c>
      <c r="O199">
        <v>15</v>
      </c>
      <c r="P199" s="38">
        <v>-5</v>
      </c>
      <c r="Q199" s="218">
        <f t="shared" si="7"/>
        <v>-75</v>
      </c>
    </row>
    <row r="200" spans="1:17" hidden="1" x14ac:dyDescent="0.2">
      <c r="A200" t="str">
        <f>INDEX(Prioritization!$D:$D,MATCH($B200,Prioritization!$A:$A,0))</f>
        <v>4 - Sustained</v>
      </c>
      <c r="B200" t="s">
        <v>305</v>
      </c>
      <c r="C200" t="s">
        <v>475</v>
      </c>
      <c r="D200" t="s">
        <v>48</v>
      </c>
      <c r="E200" t="str">
        <f t="shared" si="6"/>
        <v>Ntchisi District [fiRkU6gEjLz]|15-24|Male</v>
      </c>
      <c r="F200" s="38">
        <f>IF(LEFT($B200,4)="_Mil","",INDEX(Cascade!$U:$U,MATCH($E200,Cascade!$E:$E,0)))</f>
        <v>170</v>
      </c>
      <c r="G200" s="38">
        <f>IFERROR(1/(1/INDEX(HTS!$AU:$AU,MATCH($E200,HTS!$E:$E,0))),"")</f>
        <v>1022</v>
      </c>
      <c r="H200" s="38" t="str">
        <f>IF(OR($C200="15-24",$C200="25-34"),IFERROR(1/(1/SUM(SUMIFS(AGYW!$S:$S,AGYW!$B:$B,$B200,AGYW!$C:$C,IF($C200="15-24",{"15-19","20-24"},{"25-29"}),AGYW!$D:$D,$D200))),""),"")</f>
        <v/>
      </c>
      <c r="I200" s="38" t="str">
        <f>IF(OR($C200="15-24",$C200="25-34"),IFERROR(1/(1/SUM(SUMIFS(AGYW!$T:$T,AGYW!$B:$B,$B200,AGYW!$C:$C,IF($C200="15-24",{"15-19","20-24"},{"25-29"}),AGYW!$D:$D,$D200))),""),"")</f>
        <v/>
      </c>
      <c r="J200" s="38">
        <v>19</v>
      </c>
      <c r="K200" s="38">
        <v>48</v>
      </c>
      <c r="L200">
        <v>27</v>
      </c>
      <c r="M200" s="38"/>
      <c r="N200" s="38">
        <v>14</v>
      </c>
      <c r="O200">
        <v>0</v>
      </c>
      <c r="P200" s="38">
        <f>2</f>
        <v>2</v>
      </c>
      <c r="Q200" s="218" t="str">
        <f t="shared" si="7"/>
        <v/>
      </c>
    </row>
    <row r="201" spans="1:17" x14ac:dyDescent="0.2">
      <c r="A201" t="str">
        <f>INDEX(Prioritization!$D:$D,MATCH($B201,Prioritization!$A:$A,0))</f>
        <v>4 - Sustained</v>
      </c>
      <c r="B201" t="s">
        <v>305</v>
      </c>
      <c r="C201" t="s">
        <v>476</v>
      </c>
      <c r="D201" t="s">
        <v>30</v>
      </c>
      <c r="E201" t="str">
        <f t="shared" si="6"/>
        <v>Ntchisi District [fiRkU6gEjLz]|25-34|Female</v>
      </c>
      <c r="F201" s="38">
        <f>IF(LEFT($B201,4)="_Mil","",INDEX(Cascade!$U:$U,MATCH($E201,Cascade!$E:$E,0)))</f>
        <v>555</v>
      </c>
      <c r="G201" s="38">
        <f>IFERROR(1/(1/INDEX(HTS!$AU:$AU,MATCH($E201,HTS!$E:$E,0))),"")</f>
        <v>7991.0000000000009</v>
      </c>
      <c r="H201" s="38" t="str">
        <f>IF(OR($C201="15-24",$C201="25-34"),IFERROR(1/(1/SUM(SUMIFS(AGYW!$S:$S,AGYW!$B:$B,$B201,AGYW!$C:$C,IF($C201="15-24",{"15-19","20-24"},{"25-29"}),AGYW!$D:$D,$D201))),""),"")</f>
        <v/>
      </c>
      <c r="I201" s="38" t="str">
        <f>IF(OR($C201="15-24",$C201="25-34"),IFERROR(1/(1/SUM(SUMIFS(AGYW!$T:$T,AGYW!$B:$B,$B201,AGYW!$C:$C,IF($C201="15-24",{"15-19","20-24"},{"25-29"}),AGYW!$D:$D,$D201))),""),"")</f>
        <v/>
      </c>
      <c r="J201" s="38">
        <v>29</v>
      </c>
      <c r="K201" s="38">
        <v>174</v>
      </c>
      <c r="L201">
        <v>42</v>
      </c>
      <c r="M201" s="38">
        <v>1</v>
      </c>
      <c r="N201" s="38">
        <v>50</v>
      </c>
      <c r="O201">
        <v>3</v>
      </c>
      <c r="P201" s="38">
        <v>0</v>
      </c>
      <c r="Q201" s="218">
        <f t="shared" si="7"/>
        <v>0</v>
      </c>
    </row>
    <row r="202" spans="1:17" hidden="1" x14ac:dyDescent="0.2">
      <c r="A202" t="str">
        <f>INDEX(Prioritization!$D:$D,MATCH($B202,Prioritization!$A:$A,0))</f>
        <v>4 - Sustained</v>
      </c>
      <c r="B202" t="s">
        <v>305</v>
      </c>
      <c r="C202" t="s">
        <v>476</v>
      </c>
      <c r="D202" t="s">
        <v>48</v>
      </c>
      <c r="E202" t="str">
        <f t="shared" si="6"/>
        <v>Ntchisi District [fiRkU6gEjLz]|25-34|Male</v>
      </c>
      <c r="F202" s="38">
        <f>IF(LEFT($B202,4)="_Mil","",INDEX(Cascade!$U:$U,MATCH($E202,Cascade!$E:$E,0)))</f>
        <v>230</v>
      </c>
      <c r="G202" s="38">
        <f>IFERROR(1/(1/INDEX(HTS!$AU:$AU,MATCH($E202,HTS!$E:$E,0))),"")</f>
        <v>526</v>
      </c>
      <c r="H202" s="38" t="str">
        <f>IF(OR($C202="15-24",$C202="25-34"),IFERROR(1/(1/SUM(SUMIFS(AGYW!$S:$S,AGYW!$B:$B,$B202,AGYW!$C:$C,IF($C202="15-24",{"15-19","20-24"},{"25-29"}),AGYW!$D:$D,$D202))),""),"")</f>
        <v/>
      </c>
      <c r="I202" s="38" t="str">
        <f>IF(OR($C202="15-24",$C202="25-34"),IFERROR(1/(1/SUM(SUMIFS(AGYW!$T:$T,AGYW!$B:$B,$B202,AGYW!$C:$C,IF($C202="15-24",{"15-19","20-24"},{"25-29"}),AGYW!$D:$D,$D202))),""),"")</f>
        <v/>
      </c>
      <c r="J202" s="38">
        <v>15</v>
      </c>
      <c r="K202" s="38">
        <v>91</v>
      </c>
      <c r="L202">
        <v>22</v>
      </c>
      <c r="M202" s="38">
        <v>1</v>
      </c>
      <c r="N202" s="38">
        <v>27</v>
      </c>
      <c r="O202">
        <v>3</v>
      </c>
      <c r="P202" s="38">
        <f>2</f>
        <v>2</v>
      </c>
      <c r="Q202" s="218">
        <f t="shared" si="7"/>
        <v>6</v>
      </c>
    </row>
    <row r="203" spans="1:17" x14ac:dyDescent="0.2">
      <c r="A203" t="str">
        <f>INDEX(Prioritization!$D:$D,MATCH($B203,Prioritization!$A:$A,0))</f>
        <v>4 - Sustained</v>
      </c>
      <c r="B203" t="s">
        <v>305</v>
      </c>
      <c r="C203" t="s">
        <v>477</v>
      </c>
      <c r="D203" t="s">
        <v>30</v>
      </c>
      <c r="E203" t="str">
        <f t="shared" si="6"/>
        <v>Ntchisi District [fiRkU6gEjLz]|35-49|Female</v>
      </c>
      <c r="F203" s="38">
        <f>IF(LEFT($B203,4)="_Mil","",INDEX(Cascade!$U:$U,MATCH($E203,Cascade!$E:$E,0)))</f>
        <v>1532</v>
      </c>
      <c r="G203" s="38">
        <f>IFERROR(1/(1/INDEX(HTS!$AU:$AU,MATCH($E203,HTS!$E:$E,0))),"")</f>
        <v>4632</v>
      </c>
      <c r="H203" s="38" t="str">
        <f>IF(OR($C203="15-24",$C203="25-34"),IFERROR(1/(1/SUM(SUMIFS(AGYW!$S:$S,AGYW!$B:$B,$B203,AGYW!$C:$C,IF($C203="15-24",{"15-19","20-24"},{"25-29"}),AGYW!$D:$D,$D203))),""),"")</f>
        <v/>
      </c>
      <c r="I203" s="38" t="str">
        <f>IF(OR($C203="15-24",$C203="25-34"),IFERROR(1/(1/SUM(SUMIFS(AGYW!$T:$T,AGYW!$B:$B,$B203,AGYW!$C:$C,IF($C203="15-24",{"15-19","20-24"},{"25-29"}),AGYW!$D:$D,$D203))),""),"")</f>
        <v/>
      </c>
      <c r="J203" s="38">
        <v>29</v>
      </c>
      <c r="K203" s="38">
        <v>158</v>
      </c>
      <c r="L203">
        <v>42</v>
      </c>
      <c r="M203" s="38">
        <v>2</v>
      </c>
      <c r="N203" s="38">
        <v>46</v>
      </c>
      <c r="O203">
        <v>6</v>
      </c>
      <c r="P203" s="38">
        <v>0</v>
      </c>
      <c r="Q203" s="218">
        <f t="shared" si="7"/>
        <v>0</v>
      </c>
    </row>
    <row r="204" spans="1:17" hidden="1" x14ac:dyDescent="0.2">
      <c r="A204" t="str">
        <f>INDEX(Prioritization!$D:$D,MATCH($B204,Prioritization!$A:$A,0))</f>
        <v>4 - Sustained</v>
      </c>
      <c r="B204" t="s">
        <v>305</v>
      </c>
      <c r="C204" t="s">
        <v>477</v>
      </c>
      <c r="D204" t="s">
        <v>48</v>
      </c>
      <c r="E204" t="str">
        <f t="shared" si="6"/>
        <v>Ntchisi District [fiRkU6gEjLz]|35-49|Male</v>
      </c>
      <c r="F204" s="38">
        <f>IF(LEFT($B204,4)="_Mil","",INDEX(Cascade!$U:$U,MATCH($E204,Cascade!$E:$E,0)))</f>
        <v>916</v>
      </c>
      <c r="G204" s="38">
        <f>IFERROR(1/(1/INDEX(HTS!$AU:$AU,MATCH($E204,HTS!$E:$E,0))),"")</f>
        <v>864</v>
      </c>
      <c r="H204" s="38" t="str">
        <f>IF(OR($C204="15-24",$C204="25-34"),IFERROR(1/(1/SUM(SUMIFS(AGYW!$S:$S,AGYW!$B:$B,$B204,AGYW!$C:$C,IF($C204="15-24",{"15-19","20-24"},{"25-29"}),AGYW!$D:$D,$D204))),""),"")</f>
        <v/>
      </c>
      <c r="I204" s="38" t="str">
        <f>IF(OR($C204="15-24",$C204="25-34"),IFERROR(1/(1/SUM(SUMIFS(AGYW!$T:$T,AGYW!$B:$B,$B204,AGYW!$C:$C,IF($C204="15-24",{"15-19","20-24"},{"25-29"}),AGYW!$D:$D,$D204))),""),"")</f>
        <v/>
      </c>
      <c r="J204" s="38">
        <v>13</v>
      </c>
      <c r="K204" s="38">
        <v>93</v>
      </c>
      <c r="L204">
        <v>19</v>
      </c>
      <c r="M204" s="38"/>
      <c r="N204" s="38">
        <v>27</v>
      </c>
      <c r="O204">
        <v>0</v>
      </c>
      <c r="P204" s="38">
        <f>2</f>
        <v>2</v>
      </c>
      <c r="Q204" s="218" t="str">
        <f t="shared" si="7"/>
        <v/>
      </c>
    </row>
    <row r="205" spans="1:17" x14ac:dyDescent="0.2">
      <c r="A205" t="str">
        <f>INDEX(Prioritization!$D:$D,MATCH($B205,Prioritization!$A:$A,0))</f>
        <v>4 - Sustained</v>
      </c>
      <c r="B205" t="s">
        <v>305</v>
      </c>
      <c r="C205" t="s">
        <v>478</v>
      </c>
      <c r="D205" t="s">
        <v>30</v>
      </c>
      <c r="E205" t="str">
        <f t="shared" si="6"/>
        <v>Ntchisi District [fiRkU6gEjLz]|50+|Female</v>
      </c>
      <c r="F205" s="38">
        <f>IF(LEFT($B205,4)="_Mil","",INDEX(Cascade!$U:$U,MATCH($E205,Cascade!$E:$E,0)))</f>
        <v>744</v>
      </c>
      <c r="G205" s="38">
        <f>IFERROR(1/(1/INDEX(HTS!$AU:$AU,MATCH($E205,HTS!$E:$E,0))),"")</f>
        <v>1464</v>
      </c>
      <c r="H205" s="38" t="str">
        <f>IF(OR($C205="15-24",$C205="25-34"),IFERROR(1/(1/SUM(SUMIFS(AGYW!$S:$S,AGYW!$B:$B,$B205,AGYW!$C:$C,IF($C205="15-24",{"15-19","20-24"},{"25-29"}),AGYW!$D:$D,$D205))),""),"")</f>
        <v/>
      </c>
      <c r="I205" s="38" t="str">
        <f>IF(OR($C205="15-24",$C205="25-34"),IFERROR(1/(1/SUM(SUMIFS(AGYW!$T:$T,AGYW!$B:$B,$B205,AGYW!$C:$C,IF($C205="15-24",{"15-19","20-24"},{"25-29"}),AGYW!$D:$D,$D205))),""),"")</f>
        <v/>
      </c>
      <c r="J205" s="38">
        <v>1</v>
      </c>
      <c r="K205" s="38">
        <v>2</v>
      </c>
      <c r="L205">
        <v>1</v>
      </c>
      <c r="M205" s="38">
        <v>2</v>
      </c>
      <c r="N205" s="38">
        <v>1</v>
      </c>
      <c r="O205">
        <v>6</v>
      </c>
      <c r="P205" s="38">
        <v>0</v>
      </c>
      <c r="Q205" s="218">
        <f t="shared" si="7"/>
        <v>0</v>
      </c>
    </row>
    <row r="206" spans="1:17" hidden="1" x14ac:dyDescent="0.2">
      <c r="A206" t="str">
        <f>INDEX(Prioritization!$D:$D,MATCH($B206,Prioritization!$A:$A,0))</f>
        <v>4 - Sustained</v>
      </c>
      <c r="B206" t="s">
        <v>305</v>
      </c>
      <c r="C206" t="s">
        <v>478</v>
      </c>
      <c r="D206" t="s">
        <v>48</v>
      </c>
      <c r="E206" t="str">
        <f t="shared" si="6"/>
        <v>Ntchisi District [fiRkU6gEjLz]|50+|Male</v>
      </c>
      <c r="F206" s="38">
        <f>IF(LEFT($B206,4)="_Mil","",INDEX(Cascade!$U:$U,MATCH($E206,Cascade!$E:$E,0)))</f>
        <v>699</v>
      </c>
      <c r="G206" s="38">
        <f>IFERROR(1/(1/INDEX(HTS!$AU:$AU,MATCH($E206,HTS!$E:$E,0))),"")</f>
        <v>1260</v>
      </c>
      <c r="H206" s="38" t="str">
        <f>IF(OR($C206="15-24",$C206="25-34"),IFERROR(1/(1/SUM(SUMIFS(AGYW!$S:$S,AGYW!$B:$B,$B206,AGYW!$C:$C,IF($C206="15-24",{"15-19","20-24"},{"25-29"}),AGYW!$D:$D,$D206))),""),"")</f>
        <v/>
      </c>
      <c r="I206" s="38" t="str">
        <f>IF(OR($C206="15-24",$C206="25-34"),IFERROR(1/(1/SUM(SUMIFS(AGYW!$T:$T,AGYW!$B:$B,$B206,AGYW!$C:$C,IF($C206="15-24",{"15-19","20-24"},{"25-29"}),AGYW!$D:$D,$D206))),""),"")</f>
        <v/>
      </c>
      <c r="J206" s="38">
        <v>5</v>
      </c>
      <c r="K206" s="38">
        <v>73</v>
      </c>
      <c r="L206">
        <v>7</v>
      </c>
      <c r="M206" s="38">
        <v>2</v>
      </c>
      <c r="N206" s="38">
        <v>21</v>
      </c>
      <c r="O206">
        <v>6</v>
      </c>
      <c r="P206" s="38">
        <f>2</f>
        <v>2</v>
      </c>
      <c r="Q206" s="218">
        <f t="shared" si="7"/>
        <v>12</v>
      </c>
    </row>
    <row r="207" spans="1:17" x14ac:dyDescent="0.2">
      <c r="A207" t="str">
        <f>INDEX(Prioritization!$D:$D,MATCH($B207,Prioritization!$A:$A,0))</f>
        <v>INVALID</v>
      </c>
      <c r="B207" t="s">
        <v>323</v>
      </c>
      <c r="C207" t="s">
        <v>475</v>
      </c>
      <c r="D207" t="s">
        <v>30</v>
      </c>
      <c r="E207" t="str">
        <f t="shared" ref="E207:E246" si="8">B207&amp;"|"&amp;C207&amp;"|"&amp;D207</f>
        <v>Phalombe District [AZyWpGzhcaA]|15-24|Female</v>
      </c>
      <c r="F207" s="38">
        <f>IF(LEFT($B207,4)="_Mil","",INDEX(Cascade!$U:$U,MATCH($E207,Cascade!$E:$E,0)))</f>
        <v>2006</v>
      </c>
      <c r="G207" s="38">
        <f>IFERROR(1/(1/INDEX(HTS!$AU:$AU,MATCH($E207,HTS!$E:$E,0))),"")</f>
        <v>49078</v>
      </c>
      <c r="H207" s="38">
        <f ca="1">IF(OR($C207="15-24",$C207="25-34"),IFERROR(1/(1/SUM(SUMIFS(AGYW!$S:$S,AGYW!$B:$B,$B207,AGYW!$C:$C,IF($C207="15-24",{"15-19","20-24"},{"25-29"}),AGYW!$D:$D,$D207))),""),"")</f>
        <v>6060</v>
      </c>
      <c r="I207" s="38">
        <f ca="1">IF(OR($C207="15-24",$C207="25-34"),IFERROR(1/(1/SUM(SUMIFS(AGYW!$T:$T,AGYW!$B:$B,$B207,AGYW!$C:$C,IF($C207="15-24",{"15-19","20-24"},{"25-29"}),AGYW!$D:$D,$D207))),""),"")</f>
        <v>5151</v>
      </c>
      <c r="J207" s="38">
        <v>3225</v>
      </c>
      <c r="K207" s="38">
        <v>1014</v>
      </c>
      <c r="L207">
        <v>4631</v>
      </c>
      <c r="M207" s="38">
        <v>102</v>
      </c>
      <c r="N207" s="38">
        <v>601</v>
      </c>
      <c r="O207">
        <v>304</v>
      </c>
      <c r="P207" s="38">
        <v>0</v>
      </c>
      <c r="Q207" s="218">
        <f t="shared" ref="Q207:Q246" si="9">IF(SUM($O207)=0,"",ROUND($O207*$P207,0))</f>
        <v>0</v>
      </c>
    </row>
    <row r="208" spans="1:17" hidden="1" x14ac:dyDescent="0.2">
      <c r="A208" t="str">
        <f>INDEX(Prioritization!$D:$D,MATCH($B208,Prioritization!$A:$A,0))</f>
        <v>INVALID</v>
      </c>
      <c r="B208" t="s">
        <v>323</v>
      </c>
      <c r="C208" t="s">
        <v>475</v>
      </c>
      <c r="D208" t="s">
        <v>48</v>
      </c>
      <c r="E208" t="str">
        <f t="shared" si="8"/>
        <v>Phalombe District [AZyWpGzhcaA]|15-24|Male</v>
      </c>
      <c r="F208" s="38">
        <f>IF(LEFT($B208,4)="_Mil","",INDEX(Cascade!$U:$U,MATCH($E208,Cascade!$E:$E,0)))</f>
        <v>1431</v>
      </c>
      <c r="G208" s="38">
        <f>IFERROR(1/(1/INDEX(HTS!$AU:$AU,MATCH($E208,HTS!$E:$E,0))),"")</f>
        <v>8001.0000000000009</v>
      </c>
      <c r="H208" s="38" t="str">
        <f>IF(OR($C208="15-24",$C208="25-34"),IFERROR(1/(1/SUM(SUMIFS(AGYW!$S:$S,AGYW!$B:$B,$B208,AGYW!$C:$C,IF($C208="15-24",{"15-19","20-24"},{"25-29"}),AGYW!$D:$D,$D208))),""),"")</f>
        <v/>
      </c>
      <c r="I208" s="38" t="str">
        <f>IF(OR($C208="15-24",$C208="25-34"),IFERROR(1/(1/SUM(SUMIFS(AGYW!$T:$T,AGYW!$B:$B,$B208,AGYW!$C:$C,IF($C208="15-24",{"15-19","20-24"},{"25-29"}),AGYW!$D:$D,$D208))),""),"")</f>
        <v/>
      </c>
      <c r="J208" s="38">
        <v>307</v>
      </c>
      <c r="K208" s="38">
        <v>80</v>
      </c>
      <c r="L208">
        <v>441</v>
      </c>
      <c r="M208" s="38">
        <v>9</v>
      </c>
      <c r="N208" s="38">
        <v>25</v>
      </c>
      <c r="O208">
        <v>27</v>
      </c>
      <c r="P208" s="38">
        <f>2</f>
        <v>2</v>
      </c>
      <c r="Q208" s="218">
        <f t="shared" si="9"/>
        <v>54</v>
      </c>
    </row>
    <row r="209" spans="1:17" x14ac:dyDescent="0.2">
      <c r="A209" t="str">
        <f>INDEX(Prioritization!$D:$D,MATCH($B209,Prioritization!$A:$A,0))</f>
        <v>INVALID</v>
      </c>
      <c r="B209" t="s">
        <v>323</v>
      </c>
      <c r="C209" t="s">
        <v>476</v>
      </c>
      <c r="D209" t="s">
        <v>30</v>
      </c>
      <c r="E209" t="str">
        <f t="shared" si="8"/>
        <v>Phalombe District [AZyWpGzhcaA]|25-34|Female</v>
      </c>
      <c r="F209" s="38">
        <f>IF(LEFT($B209,4)="_Mil","",INDEX(Cascade!$U:$U,MATCH($E209,Cascade!$E:$E,0)))</f>
        <v>4842</v>
      </c>
      <c r="G209" s="38">
        <f>IFERROR(1/(1/INDEX(HTS!$AU:$AU,MATCH($E209,HTS!$E:$E,0))),"")</f>
        <v>27703</v>
      </c>
      <c r="H209" s="38" t="str">
        <f ca="1">IF(OR($C209="15-24",$C209="25-34"),IFERROR(1/(1/SUM(SUMIFS(AGYW!$S:$S,AGYW!$B:$B,$B209,AGYW!$C:$C,IF($C209="15-24",{"15-19","20-24"},{"25-29"}),AGYW!$D:$D,$D209))),""),"")</f>
        <v/>
      </c>
      <c r="I209" s="38" t="str">
        <f ca="1">IF(OR($C209="15-24",$C209="25-34"),IFERROR(1/(1/SUM(SUMIFS(AGYW!$T:$T,AGYW!$B:$B,$B209,AGYW!$C:$C,IF($C209="15-24",{"15-19","20-24"},{"25-29"}),AGYW!$D:$D,$D209))),""),"")</f>
        <v/>
      </c>
      <c r="J209" s="38">
        <v>356</v>
      </c>
      <c r="K209" s="38">
        <v>844</v>
      </c>
      <c r="L209">
        <v>511</v>
      </c>
      <c r="M209" s="38">
        <v>30</v>
      </c>
      <c r="N209" s="38">
        <v>472</v>
      </c>
      <c r="O209">
        <v>89</v>
      </c>
      <c r="P209" s="38">
        <v>0</v>
      </c>
      <c r="Q209" s="218">
        <f t="shared" si="9"/>
        <v>0</v>
      </c>
    </row>
    <row r="210" spans="1:17" hidden="1" x14ac:dyDescent="0.2">
      <c r="A210" t="str">
        <f>INDEX(Prioritization!$D:$D,MATCH($B210,Prioritization!$A:$A,0))</f>
        <v>INVALID</v>
      </c>
      <c r="B210" t="s">
        <v>323</v>
      </c>
      <c r="C210" t="s">
        <v>476</v>
      </c>
      <c r="D210" t="s">
        <v>48</v>
      </c>
      <c r="E210" t="str">
        <f t="shared" si="8"/>
        <v>Phalombe District [AZyWpGzhcaA]|25-34|Male</v>
      </c>
      <c r="F210" s="38">
        <f>IF(LEFT($B210,4)="_Mil","",INDEX(Cascade!$U:$U,MATCH($E210,Cascade!$E:$E,0)))</f>
        <v>1735</v>
      </c>
      <c r="G210" s="38">
        <f>IFERROR(1/(1/INDEX(HTS!$AU:$AU,MATCH($E210,HTS!$E:$E,0))),"")</f>
        <v>2552</v>
      </c>
      <c r="H210" s="38" t="str">
        <f>IF(OR($C210="15-24",$C210="25-34"),IFERROR(1/(1/SUM(SUMIFS(AGYW!$S:$S,AGYW!$B:$B,$B210,AGYW!$C:$C,IF($C210="15-24",{"15-19","20-24"},{"25-29"}),AGYW!$D:$D,$D210))),""),"")</f>
        <v/>
      </c>
      <c r="I210" s="38" t="str">
        <f>IF(OR($C210="15-24",$C210="25-34"),IFERROR(1/(1/SUM(SUMIFS(AGYW!$T:$T,AGYW!$B:$B,$B210,AGYW!$C:$C,IF($C210="15-24",{"15-19","20-24"},{"25-29"}),AGYW!$D:$D,$D210))),""),"")</f>
        <v/>
      </c>
      <c r="J210" s="38">
        <v>322</v>
      </c>
      <c r="K210" s="38">
        <v>154</v>
      </c>
      <c r="L210">
        <v>463</v>
      </c>
      <c r="M210" s="38">
        <v>19</v>
      </c>
      <c r="N210" s="38">
        <v>48</v>
      </c>
      <c r="O210">
        <v>57</v>
      </c>
      <c r="P210" s="38">
        <f>2</f>
        <v>2</v>
      </c>
      <c r="Q210" s="218">
        <f t="shared" si="9"/>
        <v>114</v>
      </c>
    </row>
    <row r="211" spans="1:17" x14ac:dyDescent="0.2">
      <c r="A211" t="str">
        <f>INDEX(Prioritization!$D:$D,MATCH($B211,Prioritization!$A:$A,0))</f>
        <v>INVALID</v>
      </c>
      <c r="B211" t="s">
        <v>323</v>
      </c>
      <c r="C211" t="s">
        <v>477</v>
      </c>
      <c r="D211" t="s">
        <v>30</v>
      </c>
      <c r="E211" t="str">
        <f t="shared" si="8"/>
        <v>Phalombe District [AZyWpGzhcaA]|35-49|Female</v>
      </c>
      <c r="F211" s="38">
        <f>IF(LEFT($B211,4)="_Mil","",INDEX(Cascade!$U:$U,MATCH($E211,Cascade!$E:$E,0)))</f>
        <v>11509</v>
      </c>
      <c r="G211" s="38">
        <f>IFERROR(1/(1/INDEX(HTS!$AU:$AU,MATCH($E211,HTS!$E:$E,0))),"")</f>
        <v>7326.9999999999991</v>
      </c>
      <c r="H211" s="38" t="str">
        <f>IF(OR($C211="15-24",$C211="25-34"),IFERROR(1/(1/SUM(SUMIFS(AGYW!$S:$S,AGYW!$B:$B,$B211,AGYW!$C:$C,IF($C211="15-24",{"15-19","20-24"},{"25-29"}),AGYW!$D:$D,$D211))),""),"")</f>
        <v/>
      </c>
      <c r="I211" s="38" t="str">
        <f>IF(OR($C211="15-24",$C211="25-34"),IFERROR(1/(1/SUM(SUMIFS(AGYW!$T:$T,AGYW!$B:$B,$B211,AGYW!$C:$C,IF($C211="15-24",{"15-19","20-24"},{"25-29"}),AGYW!$D:$D,$D211))),""),"")</f>
        <v/>
      </c>
      <c r="J211" s="38">
        <v>190</v>
      </c>
      <c r="K211" s="38">
        <v>248</v>
      </c>
      <c r="L211">
        <v>273</v>
      </c>
      <c r="M211" s="38">
        <v>42</v>
      </c>
      <c r="N211" s="38">
        <v>88</v>
      </c>
      <c r="O211">
        <v>125</v>
      </c>
      <c r="P211" s="38">
        <v>0</v>
      </c>
      <c r="Q211" s="218">
        <f t="shared" si="9"/>
        <v>0</v>
      </c>
    </row>
    <row r="212" spans="1:17" hidden="1" x14ac:dyDescent="0.2">
      <c r="A212" t="str">
        <f>INDEX(Prioritization!$D:$D,MATCH($B212,Prioritization!$A:$A,0))</f>
        <v>INVALID</v>
      </c>
      <c r="B212" t="s">
        <v>323</v>
      </c>
      <c r="C212" t="s">
        <v>477</v>
      </c>
      <c r="D212" t="s">
        <v>48</v>
      </c>
      <c r="E212" t="str">
        <f t="shared" si="8"/>
        <v>Phalombe District [AZyWpGzhcaA]|35-49|Male</v>
      </c>
      <c r="F212" s="38">
        <f>IF(LEFT($B212,4)="_Mil","",INDEX(Cascade!$U:$U,MATCH($E212,Cascade!$E:$E,0)))</f>
        <v>5873</v>
      </c>
      <c r="G212" s="38">
        <f>IFERROR(1/(1/INDEX(HTS!$AU:$AU,MATCH($E212,HTS!$E:$E,0))),"")</f>
        <v>14631</v>
      </c>
      <c r="H212" s="38" t="str">
        <f>IF(OR($C212="15-24",$C212="25-34"),IFERROR(1/(1/SUM(SUMIFS(AGYW!$S:$S,AGYW!$B:$B,$B212,AGYW!$C:$C,IF($C212="15-24",{"15-19","20-24"},{"25-29"}),AGYW!$D:$D,$D212))),""),"")</f>
        <v/>
      </c>
      <c r="I212" s="38" t="str">
        <f>IF(OR($C212="15-24",$C212="25-34"),IFERROR(1/(1/SUM(SUMIFS(AGYW!$T:$T,AGYW!$B:$B,$B212,AGYW!$C:$C,IF($C212="15-24",{"15-19","20-24"},{"25-29"}),AGYW!$D:$D,$D212))),""),"")</f>
        <v/>
      </c>
      <c r="J212" s="38">
        <v>223</v>
      </c>
      <c r="K212" s="38">
        <v>156</v>
      </c>
      <c r="L212">
        <v>320</v>
      </c>
      <c r="M212" s="38">
        <v>19</v>
      </c>
      <c r="N212" s="38">
        <v>49</v>
      </c>
      <c r="O212">
        <v>57</v>
      </c>
      <c r="P212" s="38">
        <f>2</f>
        <v>2</v>
      </c>
      <c r="Q212" s="218">
        <f t="shared" si="9"/>
        <v>114</v>
      </c>
    </row>
    <row r="213" spans="1:17" x14ac:dyDescent="0.2">
      <c r="A213" t="str">
        <f>INDEX(Prioritization!$D:$D,MATCH($B213,Prioritization!$A:$A,0))</f>
        <v>INVALID</v>
      </c>
      <c r="B213" t="s">
        <v>323</v>
      </c>
      <c r="C213" t="s">
        <v>478</v>
      </c>
      <c r="D213" t="s">
        <v>30</v>
      </c>
      <c r="E213" t="str">
        <f t="shared" si="8"/>
        <v>Phalombe District [AZyWpGzhcaA]|50+|Female</v>
      </c>
      <c r="F213" s="38">
        <f>IF(LEFT($B213,4)="_Mil","",INDEX(Cascade!$U:$U,MATCH($E213,Cascade!$E:$E,0)))</f>
        <v>5456</v>
      </c>
      <c r="G213" s="38">
        <f>IFERROR(1/(1/INDEX(HTS!$AU:$AU,MATCH($E213,HTS!$E:$E,0))),"")</f>
        <v>6342</v>
      </c>
      <c r="H213" s="38" t="str">
        <f>IF(OR($C213="15-24",$C213="25-34"),IFERROR(1/(1/SUM(SUMIFS(AGYW!$S:$S,AGYW!$B:$B,$B213,AGYW!$C:$C,IF($C213="15-24",{"15-19","20-24"},{"25-29"}),AGYW!$D:$D,$D213))),""),"")</f>
        <v/>
      </c>
      <c r="I213" s="38" t="str">
        <f>IF(OR($C213="15-24",$C213="25-34"),IFERROR(1/(1/SUM(SUMIFS(AGYW!$T:$T,AGYW!$B:$B,$B213,AGYW!$C:$C,IF($C213="15-24",{"15-19","20-24"},{"25-29"}),AGYW!$D:$D,$D213))),""),"")</f>
        <v/>
      </c>
      <c r="J213" s="38">
        <v>28</v>
      </c>
      <c r="K213" s="38">
        <v>32</v>
      </c>
      <c r="L213">
        <v>40</v>
      </c>
      <c r="M213" s="38">
        <v>6</v>
      </c>
      <c r="N213" s="38">
        <v>20</v>
      </c>
      <c r="O213">
        <v>18</v>
      </c>
      <c r="P213" s="38">
        <v>0</v>
      </c>
      <c r="Q213" s="218">
        <f t="shared" si="9"/>
        <v>0</v>
      </c>
    </row>
    <row r="214" spans="1:17" hidden="1" x14ac:dyDescent="0.2">
      <c r="A214" t="str">
        <f>INDEX(Prioritization!$D:$D,MATCH($B214,Prioritization!$A:$A,0))</f>
        <v>INVALID</v>
      </c>
      <c r="B214" t="s">
        <v>323</v>
      </c>
      <c r="C214" t="s">
        <v>478</v>
      </c>
      <c r="D214" t="s">
        <v>48</v>
      </c>
      <c r="E214" t="str">
        <f t="shared" si="8"/>
        <v>Phalombe District [AZyWpGzhcaA]|50+|Male</v>
      </c>
      <c r="F214" s="38">
        <f>IF(LEFT($B214,4)="_Mil","",INDEX(Cascade!$U:$U,MATCH($E214,Cascade!$E:$E,0)))</f>
        <v>3970</v>
      </c>
      <c r="G214" s="38">
        <f>IFERROR(1/(1/INDEX(HTS!$AU:$AU,MATCH($E214,HTS!$E:$E,0))),"")</f>
        <v>3009.0000000000005</v>
      </c>
      <c r="H214" s="38" t="str">
        <f>IF(OR($C214="15-24",$C214="25-34"),IFERROR(1/(1/SUM(SUMIFS(AGYW!$S:$S,AGYW!$B:$B,$B214,AGYW!$C:$C,IF($C214="15-24",{"15-19","20-24"},{"25-29"}),AGYW!$D:$D,$D214))),""),"")</f>
        <v/>
      </c>
      <c r="I214" s="38" t="str">
        <f>IF(OR($C214="15-24",$C214="25-34"),IFERROR(1/(1/SUM(SUMIFS(AGYW!$T:$T,AGYW!$B:$B,$B214,AGYW!$C:$C,IF($C214="15-24",{"15-19","20-24"},{"25-29"}),AGYW!$D:$D,$D214))),""),"")</f>
        <v/>
      </c>
      <c r="J214" s="38">
        <v>71</v>
      </c>
      <c r="K214" s="38">
        <v>122</v>
      </c>
      <c r="L214">
        <v>102</v>
      </c>
      <c r="M214" s="38">
        <v>11</v>
      </c>
      <c r="N214" s="38">
        <v>38</v>
      </c>
      <c r="O214">
        <v>33</v>
      </c>
      <c r="P214" s="38">
        <f>2</f>
        <v>2</v>
      </c>
      <c r="Q214" s="218">
        <f t="shared" si="9"/>
        <v>66</v>
      </c>
    </row>
    <row r="215" spans="1:17" x14ac:dyDescent="0.2">
      <c r="A215" t="str">
        <f>INDEX(Prioritization!$D:$D,MATCH($B215,Prioritization!$A:$A,0))</f>
        <v>4 - Sustained</v>
      </c>
      <c r="B215" t="s">
        <v>312</v>
      </c>
      <c r="C215" t="s">
        <v>475</v>
      </c>
      <c r="D215" t="s">
        <v>30</v>
      </c>
      <c r="E215" t="str">
        <f t="shared" si="8"/>
        <v>Rumphi District [lPTyjLi4w3d]|15-24|Female</v>
      </c>
      <c r="F215" s="38">
        <f>IF(LEFT($B215,4)="_Mil","",INDEX(Cascade!$U:$U,MATCH($E215,Cascade!$E:$E,0)))</f>
        <v>402</v>
      </c>
      <c r="G215" s="38">
        <f>IFERROR(1/(1/INDEX(HTS!$AU:$AU,MATCH($E215,HTS!$E:$E,0))),"")</f>
        <v>8997</v>
      </c>
      <c r="H215" s="38" t="str">
        <f>IF(OR($C215="15-24",$C215="25-34"),IFERROR(1/(1/SUM(SUMIFS(AGYW!$S:$S,AGYW!$B:$B,$B215,AGYW!$C:$C,IF($C215="15-24",{"15-19","20-24"},{"25-29"}),AGYW!$D:$D,$D215))),""),"")</f>
        <v/>
      </c>
      <c r="I215" s="38" t="str">
        <f>IF(OR($C215="15-24",$C215="25-34"),IFERROR(1/(1/SUM(SUMIFS(AGYW!$T:$T,AGYW!$B:$B,$B215,AGYW!$C:$C,IF($C215="15-24",{"15-19","20-24"},{"25-29"}),AGYW!$D:$D,$D215))),""),"")</f>
        <v/>
      </c>
      <c r="J215" s="38">
        <v>2</v>
      </c>
      <c r="K215" s="38">
        <v>94</v>
      </c>
      <c r="L215">
        <v>3</v>
      </c>
      <c r="M215" s="38">
        <v>3</v>
      </c>
      <c r="N215" s="38">
        <v>27</v>
      </c>
      <c r="O215">
        <v>9</v>
      </c>
      <c r="P215" s="38">
        <f>2</f>
        <v>2</v>
      </c>
      <c r="Q215" s="218">
        <f t="shared" si="9"/>
        <v>18</v>
      </c>
    </row>
    <row r="216" spans="1:17" hidden="1" x14ac:dyDescent="0.2">
      <c r="A216" t="str">
        <f>INDEX(Prioritization!$D:$D,MATCH($B216,Prioritization!$A:$A,0))</f>
        <v>4 - Sustained</v>
      </c>
      <c r="B216" t="s">
        <v>312</v>
      </c>
      <c r="C216" t="s">
        <v>475</v>
      </c>
      <c r="D216" t="s">
        <v>48</v>
      </c>
      <c r="E216" t="str">
        <f t="shared" si="8"/>
        <v>Rumphi District [lPTyjLi4w3d]|15-24|Male</v>
      </c>
      <c r="F216" s="38">
        <f>IF(LEFT($B216,4)="_Mil","",INDEX(Cascade!$U:$U,MATCH($E216,Cascade!$E:$E,0)))</f>
        <v>310</v>
      </c>
      <c r="G216" s="38">
        <f>IFERROR(1/(1/INDEX(HTS!$AU:$AU,MATCH($E216,HTS!$E:$E,0))),"")</f>
        <v>194</v>
      </c>
      <c r="H216" s="38" t="str">
        <f>IF(OR($C216="15-24",$C216="25-34"),IFERROR(1/(1/SUM(SUMIFS(AGYW!$S:$S,AGYW!$B:$B,$B216,AGYW!$C:$C,IF($C216="15-24",{"15-19","20-24"},{"25-29"}),AGYW!$D:$D,$D216))),""),"")</f>
        <v/>
      </c>
      <c r="I216" s="38" t="str">
        <f>IF(OR($C216="15-24",$C216="25-34"),IFERROR(1/(1/SUM(SUMIFS(AGYW!$T:$T,AGYW!$B:$B,$B216,AGYW!$C:$C,IF($C216="15-24",{"15-19","20-24"},{"25-29"}),AGYW!$D:$D,$D216))),""),"")</f>
        <v/>
      </c>
      <c r="J216" s="38">
        <v>1</v>
      </c>
      <c r="K216" s="38">
        <v>34</v>
      </c>
      <c r="L216">
        <v>1</v>
      </c>
      <c r="M216" s="38">
        <v>2</v>
      </c>
      <c r="N216" s="38">
        <v>10</v>
      </c>
      <c r="O216">
        <v>6</v>
      </c>
      <c r="P216" s="38">
        <f>2</f>
        <v>2</v>
      </c>
      <c r="Q216" s="218">
        <f t="shared" si="9"/>
        <v>12</v>
      </c>
    </row>
    <row r="217" spans="1:17" x14ac:dyDescent="0.2">
      <c r="A217" t="str">
        <f>INDEX(Prioritization!$D:$D,MATCH($B217,Prioritization!$A:$A,0))</f>
        <v>4 - Sustained</v>
      </c>
      <c r="B217" t="s">
        <v>312</v>
      </c>
      <c r="C217" t="s">
        <v>476</v>
      </c>
      <c r="D217" t="s">
        <v>30</v>
      </c>
      <c r="E217" t="str">
        <f t="shared" si="8"/>
        <v>Rumphi District [lPTyjLi4w3d]|25-34|Female</v>
      </c>
      <c r="F217" s="38">
        <f>IF(LEFT($B217,4)="_Mil","",INDEX(Cascade!$U:$U,MATCH($E217,Cascade!$E:$E,0)))</f>
        <v>985</v>
      </c>
      <c r="G217" s="38">
        <f>IFERROR(1/(1/INDEX(HTS!$AU:$AU,MATCH($E217,HTS!$E:$E,0))),"")</f>
        <v>4887</v>
      </c>
      <c r="H217" s="38" t="str">
        <f>IF(OR($C217="15-24",$C217="25-34"),IFERROR(1/(1/SUM(SUMIFS(AGYW!$S:$S,AGYW!$B:$B,$B217,AGYW!$C:$C,IF($C217="15-24",{"15-19","20-24"},{"25-29"}),AGYW!$D:$D,$D217))),""),"")</f>
        <v/>
      </c>
      <c r="I217" s="38" t="str">
        <f>IF(OR($C217="15-24",$C217="25-34"),IFERROR(1/(1/SUM(SUMIFS(AGYW!$T:$T,AGYW!$B:$B,$B217,AGYW!$C:$C,IF($C217="15-24",{"15-19","20-24"},{"25-29"}),AGYW!$D:$D,$D217))),""),"")</f>
        <v/>
      </c>
      <c r="J217" s="38">
        <v>5</v>
      </c>
      <c r="K217" s="38">
        <v>124</v>
      </c>
      <c r="L217">
        <v>7</v>
      </c>
      <c r="M217" s="38">
        <v>5</v>
      </c>
      <c r="N217" s="38">
        <v>36</v>
      </c>
      <c r="O217">
        <v>15</v>
      </c>
      <c r="P217" s="38">
        <f>2</f>
        <v>2</v>
      </c>
      <c r="Q217" s="218">
        <f t="shared" si="9"/>
        <v>30</v>
      </c>
    </row>
    <row r="218" spans="1:17" hidden="1" x14ac:dyDescent="0.2">
      <c r="A218" t="str">
        <f>INDEX(Prioritization!$D:$D,MATCH($B218,Prioritization!$A:$A,0))</f>
        <v>4 - Sustained</v>
      </c>
      <c r="B218" t="s">
        <v>312</v>
      </c>
      <c r="C218" t="s">
        <v>476</v>
      </c>
      <c r="D218" t="s">
        <v>48</v>
      </c>
      <c r="E218" t="str">
        <f t="shared" si="8"/>
        <v>Rumphi District [lPTyjLi4w3d]|25-34|Male</v>
      </c>
      <c r="F218" s="38">
        <f>IF(LEFT($B218,4)="_Mil","",INDEX(Cascade!$U:$U,MATCH($E218,Cascade!$E:$E,0)))</f>
        <v>418</v>
      </c>
      <c r="G218" s="38">
        <f>IFERROR(1/(1/INDEX(HTS!$AU:$AU,MATCH($E218,HTS!$E:$E,0))),"")</f>
        <v>259</v>
      </c>
      <c r="H218" s="38" t="str">
        <f>IF(OR($C218="15-24",$C218="25-34"),IFERROR(1/(1/SUM(SUMIFS(AGYW!$S:$S,AGYW!$B:$B,$B218,AGYW!$C:$C,IF($C218="15-24",{"15-19","20-24"},{"25-29"}),AGYW!$D:$D,$D218))),""),"")</f>
        <v/>
      </c>
      <c r="I218" s="38" t="str">
        <f>IF(OR($C218="15-24",$C218="25-34"),IFERROR(1/(1/SUM(SUMIFS(AGYW!$T:$T,AGYW!$B:$B,$B218,AGYW!$C:$C,IF($C218="15-24",{"15-19","20-24"},{"25-29"}),AGYW!$D:$D,$D218))),""),"")</f>
        <v/>
      </c>
      <c r="J218" s="38">
        <v>6</v>
      </c>
      <c r="K218" s="38">
        <v>65</v>
      </c>
      <c r="L218">
        <v>9</v>
      </c>
      <c r="M218" s="38">
        <v>5</v>
      </c>
      <c r="N218" s="38">
        <v>19</v>
      </c>
      <c r="O218">
        <v>15</v>
      </c>
      <c r="P218" s="38">
        <f>2</f>
        <v>2</v>
      </c>
      <c r="Q218" s="218">
        <f t="shared" si="9"/>
        <v>30</v>
      </c>
    </row>
    <row r="219" spans="1:17" x14ac:dyDescent="0.2">
      <c r="A219" t="str">
        <f>INDEX(Prioritization!$D:$D,MATCH($B219,Prioritization!$A:$A,0))</f>
        <v>4 - Sustained</v>
      </c>
      <c r="B219" t="s">
        <v>312</v>
      </c>
      <c r="C219" t="s">
        <v>477</v>
      </c>
      <c r="D219" t="s">
        <v>30</v>
      </c>
      <c r="E219" t="str">
        <f t="shared" si="8"/>
        <v>Rumphi District [lPTyjLi4w3d]|35-49|Female</v>
      </c>
      <c r="F219" s="38">
        <f>IF(LEFT($B219,4)="_Mil","",INDEX(Cascade!$U:$U,MATCH($E219,Cascade!$E:$E,0)))</f>
        <v>2582</v>
      </c>
      <c r="G219" s="38">
        <f>IFERROR(1/(1/INDEX(HTS!$AU:$AU,MATCH($E219,HTS!$E:$E,0))),"")</f>
        <v>2464</v>
      </c>
      <c r="H219" s="38" t="str">
        <f>IF(OR($C219="15-24",$C219="25-34"),IFERROR(1/(1/SUM(SUMIFS(AGYW!$S:$S,AGYW!$B:$B,$B219,AGYW!$C:$C,IF($C219="15-24",{"15-19","20-24"},{"25-29"}),AGYW!$D:$D,$D219))),""),"")</f>
        <v/>
      </c>
      <c r="I219" s="38" t="str">
        <f>IF(OR($C219="15-24",$C219="25-34"),IFERROR(1/(1/SUM(SUMIFS(AGYW!$T:$T,AGYW!$B:$B,$B219,AGYW!$C:$C,IF($C219="15-24",{"15-19","20-24"},{"25-29"}),AGYW!$D:$D,$D219))),""),"")</f>
        <v/>
      </c>
      <c r="J219" s="38">
        <v>1</v>
      </c>
      <c r="K219" s="38">
        <v>112</v>
      </c>
      <c r="L219">
        <v>1</v>
      </c>
      <c r="M219" s="38"/>
      <c r="N219" s="38">
        <v>33</v>
      </c>
      <c r="O219">
        <v>0</v>
      </c>
      <c r="P219" s="38">
        <f>2</f>
        <v>2</v>
      </c>
      <c r="Q219" s="218" t="str">
        <f t="shared" si="9"/>
        <v/>
      </c>
    </row>
    <row r="220" spans="1:17" hidden="1" x14ac:dyDescent="0.2">
      <c r="A220" t="str">
        <f>INDEX(Prioritization!$D:$D,MATCH($B220,Prioritization!$A:$A,0))</f>
        <v>4 - Sustained</v>
      </c>
      <c r="B220" t="s">
        <v>312</v>
      </c>
      <c r="C220" t="s">
        <v>477</v>
      </c>
      <c r="D220" t="s">
        <v>48</v>
      </c>
      <c r="E220" t="str">
        <f t="shared" si="8"/>
        <v>Rumphi District [lPTyjLi4w3d]|35-49|Male</v>
      </c>
      <c r="F220" s="38">
        <f>IF(LEFT($B220,4)="_Mil","",INDEX(Cascade!$U:$U,MATCH($E220,Cascade!$E:$E,0)))</f>
        <v>1669</v>
      </c>
      <c r="G220" s="38">
        <f>IFERROR(1/(1/INDEX(HTS!$AU:$AU,MATCH($E220,HTS!$E:$E,0))),"")</f>
        <v>3963</v>
      </c>
      <c r="H220" s="38" t="str">
        <f>IF(OR($C220="15-24",$C220="25-34"),IFERROR(1/(1/SUM(SUMIFS(AGYW!$S:$S,AGYW!$B:$B,$B220,AGYW!$C:$C,IF($C220="15-24",{"15-19","20-24"},{"25-29"}),AGYW!$D:$D,$D220))),""),"")</f>
        <v/>
      </c>
      <c r="I220" s="38" t="str">
        <f>IF(OR($C220="15-24",$C220="25-34"),IFERROR(1/(1/SUM(SUMIFS(AGYW!$T:$T,AGYW!$B:$B,$B220,AGYW!$C:$C,IF($C220="15-24",{"15-19","20-24"},{"25-29"}),AGYW!$D:$D,$D220))),""),"")</f>
        <v/>
      </c>
      <c r="J220" s="38">
        <v>2</v>
      </c>
      <c r="K220" s="38">
        <v>66</v>
      </c>
      <c r="L220">
        <v>3</v>
      </c>
      <c r="M220" s="38">
        <v>4</v>
      </c>
      <c r="N220" s="38">
        <v>19</v>
      </c>
      <c r="O220">
        <v>12</v>
      </c>
      <c r="P220" s="38">
        <f>2</f>
        <v>2</v>
      </c>
      <c r="Q220" s="218">
        <f t="shared" si="9"/>
        <v>24</v>
      </c>
    </row>
    <row r="221" spans="1:17" x14ac:dyDescent="0.2">
      <c r="A221" t="str">
        <f>INDEX(Prioritization!$D:$D,MATCH($B221,Prioritization!$A:$A,0))</f>
        <v>4 - Sustained</v>
      </c>
      <c r="B221" t="s">
        <v>312</v>
      </c>
      <c r="C221" t="s">
        <v>478</v>
      </c>
      <c r="D221" t="s">
        <v>30</v>
      </c>
      <c r="E221" t="str">
        <f t="shared" si="8"/>
        <v>Rumphi District [lPTyjLi4w3d]|50+|Female</v>
      </c>
      <c r="F221" s="38">
        <f>IF(LEFT($B221,4)="_Mil","",INDEX(Cascade!$U:$U,MATCH($E221,Cascade!$E:$E,0)))</f>
        <v>1243</v>
      </c>
      <c r="G221" s="38">
        <f>IFERROR(1/(1/INDEX(HTS!$AU:$AU,MATCH($E221,HTS!$E:$E,0))),"")</f>
        <v>1117</v>
      </c>
      <c r="H221" s="38" t="str">
        <f>IF(OR($C221="15-24",$C221="25-34"),IFERROR(1/(1/SUM(SUMIFS(AGYW!$S:$S,AGYW!$B:$B,$B221,AGYW!$C:$C,IF($C221="15-24",{"15-19","20-24"},{"25-29"}),AGYW!$D:$D,$D221))),""),"")</f>
        <v/>
      </c>
      <c r="I221" s="38" t="str">
        <f>IF(OR($C221="15-24",$C221="25-34"),IFERROR(1/(1/SUM(SUMIFS(AGYW!$T:$T,AGYW!$B:$B,$B221,AGYW!$C:$C,IF($C221="15-24",{"15-19","20-24"},{"25-29"}),AGYW!$D:$D,$D221))),""),"")</f>
        <v/>
      </c>
      <c r="J221" s="38"/>
      <c r="K221" s="38">
        <v>1</v>
      </c>
      <c r="L221">
        <v>0</v>
      </c>
      <c r="M221" s="38">
        <v>3</v>
      </c>
      <c r="N221" s="38">
        <v>1</v>
      </c>
      <c r="O221">
        <v>9</v>
      </c>
      <c r="P221" s="38">
        <f>2</f>
        <v>2</v>
      </c>
      <c r="Q221" s="218">
        <f t="shared" si="9"/>
        <v>18</v>
      </c>
    </row>
    <row r="222" spans="1:17" hidden="1" x14ac:dyDescent="0.2">
      <c r="A222" t="str">
        <f>INDEX(Prioritization!$D:$D,MATCH($B222,Prioritization!$A:$A,0))</f>
        <v>4 - Sustained</v>
      </c>
      <c r="B222" t="s">
        <v>312</v>
      </c>
      <c r="C222" t="s">
        <v>478</v>
      </c>
      <c r="D222" t="s">
        <v>48</v>
      </c>
      <c r="E222" t="str">
        <f t="shared" si="8"/>
        <v>Rumphi District [lPTyjLi4w3d]|50+|Male</v>
      </c>
      <c r="F222" s="38">
        <f>IF(LEFT($B222,4)="_Mil","",INDEX(Cascade!$U:$U,MATCH($E222,Cascade!$E:$E,0)))</f>
        <v>1267</v>
      </c>
      <c r="G222" s="38">
        <f>IFERROR(1/(1/INDEX(HTS!$AU:$AU,MATCH($E222,HTS!$E:$E,0))),"")</f>
        <v>1142</v>
      </c>
      <c r="H222" s="38" t="str">
        <f>IF(OR($C222="15-24",$C222="25-34"),IFERROR(1/(1/SUM(SUMIFS(AGYW!$S:$S,AGYW!$B:$B,$B222,AGYW!$C:$C,IF($C222="15-24",{"15-19","20-24"},{"25-29"}),AGYW!$D:$D,$D222))),""),"")</f>
        <v/>
      </c>
      <c r="I222" s="38" t="str">
        <f>IF(OR($C222="15-24",$C222="25-34"),IFERROR(1/(1/SUM(SUMIFS(AGYW!$T:$T,AGYW!$B:$B,$B222,AGYW!$C:$C,IF($C222="15-24",{"15-19","20-24"},{"25-29"}),AGYW!$D:$D,$D222))),""),"")</f>
        <v/>
      </c>
      <c r="J222" s="38">
        <v>1</v>
      </c>
      <c r="K222" s="38">
        <v>52</v>
      </c>
      <c r="L222">
        <v>1</v>
      </c>
      <c r="M222" s="38"/>
      <c r="N222" s="38">
        <v>15</v>
      </c>
      <c r="O222">
        <v>0</v>
      </c>
      <c r="P222" s="38">
        <f>2</f>
        <v>2</v>
      </c>
      <c r="Q222" s="218" t="str">
        <f t="shared" si="9"/>
        <v/>
      </c>
    </row>
    <row r="223" spans="1:17" x14ac:dyDescent="0.2">
      <c r="A223" t="str">
        <f>INDEX(Prioritization!$D:$D,MATCH($B223,Prioritization!$A:$A,0))</f>
        <v>4 - Sustained</v>
      </c>
      <c r="B223" t="s">
        <v>306</v>
      </c>
      <c r="C223" t="s">
        <v>475</v>
      </c>
      <c r="D223" t="s">
        <v>30</v>
      </c>
      <c r="E223" t="str">
        <f t="shared" si="8"/>
        <v>Salima District [msW2zpIN7up]|15-24|Female</v>
      </c>
      <c r="F223" s="38">
        <f>IF(LEFT($B223,4)="_Mil","",INDEX(Cascade!$U:$U,MATCH($E223,Cascade!$E:$E,0)))</f>
        <v>968</v>
      </c>
      <c r="G223" s="38">
        <f>IFERROR(1/(1/INDEX(HTS!$AU:$AU,MATCH($E223,HTS!$E:$E,0))),"")</f>
        <v>25414</v>
      </c>
      <c r="H223" s="38" t="str">
        <f>IF(OR($C223="15-24",$C223="25-34"),IFERROR(1/(1/SUM(SUMIFS(AGYW!$S:$S,AGYW!$B:$B,$B223,AGYW!$C:$C,IF($C223="15-24",{"15-19","20-24"},{"25-29"}),AGYW!$D:$D,$D223))),""),"")</f>
        <v/>
      </c>
      <c r="I223" s="38" t="str">
        <f>IF(OR($C223="15-24",$C223="25-34"),IFERROR(1/(1/SUM(SUMIFS(AGYW!$T:$T,AGYW!$B:$B,$B223,AGYW!$C:$C,IF($C223="15-24",{"15-19","20-24"},{"25-29"}),AGYW!$D:$D,$D223))),""),"")</f>
        <v/>
      </c>
      <c r="J223" s="38">
        <v>99</v>
      </c>
      <c r="K223" s="38">
        <v>194</v>
      </c>
      <c r="L223">
        <v>143</v>
      </c>
      <c r="M223" s="38">
        <v>8</v>
      </c>
      <c r="N223" s="38">
        <v>56</v>
      </c>
      <c r="O223">
        <v>24</v>
      </c>
      <c r="P223" s="38">
        <f>2</f>
        <v>2</v>
      </c>
      <c r="Q223" s="218">
        <f t="shared" si="9"/>
        <v>48</v>
      </c>
    </row>
    <row r="224" spans="1:17" hidden="1" x14ac:dyDescent="0.2">
      <c r="A224" t="str">
        <f>INDEX(Prioritization!$D:$D,MATCH($B224,Prioritization!$A:$A,0))</f>
        <v>4 - Sustained</v>
      </c>
      <c r="B224" t="s">
        <v>306</v>
      </c>
      <c r="C224" t="s">
        <v>475</v>
      </c>
      <c r="D224" t="s">
        <v>48</v>
      </c>
      <c r="E224" t="str">
        <f t="shared" si="8"/>
        <v>Salima District [msW2zpIN7up]|15-24|Male</v>
      </c>
      <c r="F224" s="38">
        <f>IF(LEFT($B224,4)="_Mil","",INDEX(Cascade!$U:$U,MATCH($E224,Cascade!$E:$E,0)))</f>
        <v>675</v>
      </c>
      <c r="G224" s="38">
        <f>IFERROR(1/(1/INDEX(HTS!$AU:$AU,MATCH($E224,HTS!$E:$E,0))),"")</f>
        <v>3647.0000000000005</v>
      </c>
      <c r="H224" s="38" t="str">
        <f>IF(OR($C224="15-24",$C224="25-34"),IFERROR(1/(1/SUM(SUMIFS(AGYW!$S:$S,AGYW!$B:$B,$B224,AGYW!$C:$C,IF($C224="15-24",{"15-19","20-24"},{"25-29"}),AGYW!$D:$D,$D224))),""),"")</f>
        <v/>
      </c>
      <c r="I224" s="38" t="str">
        <f>IF(OR($C224="15-24",$C224="25-34"),IFERROR(1/(1/SUM(SUMIFS(AGYW!$T:$T,AGYW!$B:$B,$B224,AGYW!$C:$C,IF($C224="15-24",{"15-19","20-24"},{"25-29"}),AGYW!$D:$D,$D224))),""),"")</f>
        <v/>
      </c>
      <c r="J224" s="38">
        <v>68</v>
      </c>
      <c r="K224" s="38">
        <v>69</v>
      </c>
      <c r="L224">
        <v>98</v>
      </c>
      <c r="M224" s="38">
        <v>2</v>
      </c>
      <c r="N224" s="38">
        <v>20</v>
      </c>
      <c r="O224">
        <v>6</v>
      </c>
      <c r="P224" s="38">
        <f>2</f>
        <v>2</v>
      </c>
      <c r="Q224" s="218">
        <f t="shared" si="9"/>
        <v>12</v>
      </c>
    </row>
    <row r="225" spans="1:17" x14ac:dyDescent="0.2">
      <c r="A225" t="str">
        <f>INDEX(Prioritization!$D:$D,MATCH($B225,Prioritization!$A:$A,0))</f>
        <v>4 - Sustained</v>
      </c>
      <c r="B225" t="s">
        <v>306</v>
      </c>
      <c r="C225" t="s">
        <v>476</v>
      </c>
      <c r="D225" t="s">
        <v>30</v>
      </c>
      <c r="E225" t="str">
        <f t="shared" si="8"/>
        <v>Salima District [msW2zpIN7up]|25-34|Female</v>
      </c>
      <c r="F225" s="38">
        <f>IF(LEFT($B225,4)="_Mil","",INDEX(Cascade!$U:$U,MATCH($E225,Cascade!$E:$E,0)))</f>
        <v>2428</v>
      </c>
      <c r="G225" s="38">
        <f>IFERROR(1/(1/INDEX(HTS!$AU:$AU,MATCH($E225,HTS!$E:$E,0))),"")</f>
        <v>29185.000000000004</v>
      </c>
      <c r="H225" s="38" t="str">
        <f>IF(OR($C225="15-24",$C225="25-34"),IFERROR(1/(1/SUM(SUMIFS(AGYW!$S:$S,AGYW!$B:$B,$B225,AGYW!$C:$C,IF($C225="15-24",{"15-19","20-24"},{"25-29"}),AGYW!$D:$D,$D225))),""),"")</f>
        <v/>
      </c>
      <c r="I225" s="38" t="str">
        <f>IF(OR($C225="15-24",$C225="25-34"),IFERROR(1/(1/SUM(SUMIFS(AGYW!$T:$T,AGYW!$B:$B,$B225,AGYW!$C:$C,IF($C225="15-24",{"15-19","20-24"},{"25-29"}),AGYW!$D:$D,$D225))),""),"")</f>
        <v/>
      </c>
      <c r="J225" s="38">
        <v>134</v>
      </c>
      <c r="K225" s="38">
        <v>254</v>
      </c>
      <c r="L225">
        <v>192</v>
      </c>
      <c r="M225" s="38">
        <v>25</v>
      </c>
      <c r="N225" s="38">
        <v>74</v>
      </c>
      <c r="O225">
        <v>75</v>
      </c>
      <c r="P225" s="38">
        <f>2</f>
        <v>2</v>
      </c>
      <c r="Q225" s="218">
        <f t="shared" si="9"/>
        <v>150</v>
      </c>
    </row>
    <row r="226" spans="1:17" hidden="1" x14ac:dyDescent="0.2">
      <c r="A226" t="str">
        <f>INDEX(Prioritization!$D:$D,MATCH($B226,Prioritization!$A:$A,0))</f>
        <v>4 - Sustained</v>
      </c>
      <c r="B226" t="s">
        <v>306</v>
      </c>
      <c r="C226" t="s">
        <v>476</v>
      </c>
      <c r="D226" t="s">
        <v>48</v>
      </c>
      <c r="E226" t="str">
        <f t="shared" si="8"/>
        <v>Salima District [msW2zpIN7up]|25-34|Male</v>
      </c>
      <c r="F226" s="38">
        <f>IF(LEFT($B226,4)="_Mil","",INDEX(Cascade!$U:$U,MATCH($E226,Cascade!$E:$E,0)))</f>
        <v>810</v>
      </c>
      <c r="G226" s="38">
        <f>IFERROR(1/(1/INDEX(HTS!$AU:$AU,MATCH($E226,HTS!$E:$E,0))),"")</f>
        <v>456</v>
      </c>
      <c r="H226" s="38" t="str">
        <f>IF(OR($C226="15-24",$C226="25-34"),IFERROR(1/(1/SUM(SUMIFS(AGYW!$S:$S,AGYW!$B:$B,$B226,AGYW!$C:$C,IF($C226="15-24",{"15-19","20-24"},{"25-29"}),AGYW!$D:$D,$D226))),""),"")</f>
        <v/>
      </c>
      <c r="I226" s="38" t="str">
        <f>IF(OR($C226="15-24",$C226="25-34"),IFERROR(1/(1/SUM(SUMIFS(AGYW!$T:$T,AGYW!$B:$B,$B226,AGYW!$C:$C,IF($C226="15-24",{"15-19","20-24"},{"25-29"}),AGYW!$D:$D,$D226))),""),"")</f>
        <v/>
      </c>
      <c r="J226" s="38">
        <v>99</v>
      </c>
      <c r="K226" s="38">
        <v>133</v>
      </c>
      <c r="L226">
        <v>142</v>
      </c>
      <c r="M226" s="38">
        <v>8</v>
      </c>
      <c r="N226" s="38">
        <v>39</v>
      </c>
      <c r="O226">
        <v>24</v>
      </c>
      <c r="P226" s="38">
        <f>2</f>
        <v>2</v>
      </c>
      <c r="Q226" s="218">
        <f t="shared" si="9"/>
        <v>48</v>
      </c>
    </row>
    <row r="227" spans="1:17" x14ac:dyDescent="0.2">
      <c r="A227" t="str">
        <f>INDEX(Prioritization!$D:$D,MATCH($B227,Prioritization!$A:$A,0))</f>
        <v>4 - Sustained</v>
      </c>
      <c r="B227" t="s">
        <v>306</v>
      </c>
      <c r="C227" t="s">
        <v>477</v>
      </c>
      <c r="D227" t="s">
        <v>30</v>
      </c>
      <c r="E227" t="str">
        <f t="shared" si="8"/>
        <v>Salima District [msW2zpIN7up]|35-49|Female</v>
      </c>
      <c r="F227" s="38">
        <f>IF(LEFT($B227,4)="_Mil","",INDEX(Cascade!$U:$U,MATCH($E227,Cascade!$E:$E,0)))</f>
        <v>6219</v>
      </c>
      <c r="G227" s="38">
        <f>IFERROR(1/(1/INDEX(HTS!$AU:$AU,MATCH($E227,HTS!$E:$E,0))),"")</f>
        <v>8482</v>
      </c>
      <c r="H227" s="38" t="str">
        <f>IF(OR($C227="15-24",$C227="25-34"),IFERROR(1/(1/SUM(SUMIFS(AGYW!$S:$S,AGYW!$B:$B,$B227,AGYW!$C:$C,IF($C227="15-24",{"15-19","20-24"},{"25-29"}),AGYW!$D:$D,$D227))),""),"")</f>
        <v/>
      </c>
      <c r="I227" s="38" t="str">
        <f>IF(OR($C227="15-24",$C227="25-34"),IFERROR(1/(1/SUM(SUMIFS(AGYW!$T:$T,AGYW!$B:$B,$B227,AGYW!$C:$C,IF($C227="15-24",{"15-19","20-24"},{"25-29"}),AGYW!$D:$D,$D227))),""),"")</f>
        <v/>
      </c>
      <c r="J227" s="38">
        <v>165</v>
      </c>
      <c r="K227" s="38">
        <v>230</v>
      </c>
      <c r="L227">
        <v>237</v>
      </c>
      <c r="M227" s="38">
        <v>39</v>
      </c>
      <c r="N227" s="38">
        <v>67</v>
      </c>
      <c r="O227">
        <v>116</v>
      </c>
      <c r="P227" s="38">
        <f>2</f>
        <v>2</v>
      </c>
      <c r="Q227" s="218">
        <f t="shared" si="9"/>
        <v>232</v>
      </c>
    </row>
    <row r="228" spans="1:17" hidden="1" x14ac:dyDescent="0.2">
      <c r="A228" t="str">
        <f>INDEX(Prioritization!$D:$D,MATCH($B228,Prioritization!$A:$A,0))</f>
        <v>4 - Sustained</v>
      </c>
      <c r="B228" t="s">
        <v>306</v>
      </c>
      <c r="C228" t="s">
        <v>477</v>
      </c>
      <c r="D228" t="s">
        <v>48</v>
      </c>
      <c r="E228" t="str">
        <f t="shared" si="8"/>
        <v>Salima District [msW2zpIN7up]|35-49|Male</v>
      </c>
      <c r="F228" s="38">
        <f>IF(LEFT($B228,4)="_Mil","",INDEX(Cascade!$U:$U,MATCH($E228,Cascade!$E:$E,0)))</f>
        <v>3210</v>
      </c>
      <c r="G228" s="38">
        <f>IFERROR(1/(1/INDEX(HTS!$AU:$AU,MATCH($E228,HTS!$E:$E,0))),"")</f>
        <v>1120</v>
      </c>
      <c r="H228" s="38" t="str">
        <f>IF(OR($C228="15-24",$C228="25-34"),IFERROR(1/(1/SUM(SUMIFS(AGYW!$S:$S,AGYW!$B:$B,$B228,AGYW!$C:$C,IF($C228="15-24",{"15-19","20-24"},{"25-29"}),AGYW!$D:$D,$D228))),""),"")</f>
        <v/>
      </c>
      <c r="I228" s="38" t="str">
        <f>IF(OR($C228="15-24",$C228="25-34"),IFERROR(1/(1/SUM(SUMIFS(AGYW!$T:$T,AGYW!$B:$B,$B228,AGYW!$C:$C,IF($C228="15-24",{"15-19","20-24"},{"25-29"}),AGYW!$D:$D,$D228))),""),"")</f>
        <v/>
      </c>
      <c r="J228" s="38">
        <v>99</v>
      </c>
      <c r="K228" s="38">
        <v>135</v>
      </c>
      <c r="L228">
        <v>142</v>
      </c>
      <c r="M228" s="38">
        <v>19</v>
      </c>
      <c r="N228" s="38">
        <v>39</v>
      </c>
      <c r="O228">
        <v>57</v>
      </c>
      <c r="P228" s="38">
        <f>2</f>
        <v>2</v>
      </c>
      <c r="Q228" s="218">
        <f t="shared" si="9"/>
        <v>114</v>
      </c>
    </row>
    <row r="229" spans="1:17" x14ac:dyDescent="0.2">
      <c r="A229" t="str">
        <f>INDEX(Prioritization!$D:$D,MATCH($B229,Prioritization!$A:$A,0))</f>
        <v>4 - Sustained</v>
      </c>
      <c r="B229" t="s">
        <v>306</v>
      </c>
      <c r="C229" t="s">
        <v>478</v>
      </c>
      <c r="D229" t="s">
        <v>30</v>
      </c>
      <c r="E229" t="str">
        <f t="shared" si="8"/>
        <v>Salima District [msW2zpIN7up]|50+|Female</v>
      </c>
      <c r="F229" s="38">
        <f>IF(LEFT($B229,4)="_Mil","",INDEX(Cascade!$U:$U,MATCH($E229,Cascade!$E:$E,0)))</f>
        <v>2799</v>
      </c>
      <c r="G229" s="38">
        <f>IFERROR(1/(1/INDEX(HTS!$AU:$AU,MATCH($E229,HTS!$E:$E,0))),"")</f>
        <v>4348</v>
      </c>
      <c r="H229" s="38" t="str">
        <f>IF(OR($C229="15-24",$C229="25-34"),IFERROR(1/(1/SUM(SUMIFS(AGYW!$S:$S,AGYW!$B:$B,$B229,AGYW!$C:$C,IF($C229="15-24",{"15-19","20-24"},{"25-29"}),AGYW!$D:$D,$D229))),""),"")</f>
        <v/>
      </c>
      <c r="I229" s="38" t="str">
        <f>IF(OR($C229="15-24",$C229="25-34"),IFERROR(1/(1/SUM(SUMIFS(AGYW!$T:$T,AGYW!$B:$B,$B229,AGYW!$C:$C,IF($C229="15-24",{"15-19","20-24"},{"25-29"}),AGYW!$D:$D,$D229))),""),"")</f>
        <v/>
      </c>
      <c r="J229" s="38">
        <v>27</v>
      </c>
      <c r="K229" s="38">
        <v>3</v>
      </c>
      <c r="L229">
        <v>39</v>
      </c>
      <c r="M229" s="38">
        <v>9</v>
      </c>
      <c r="N229" s="38">
        <v>1</v>
      </c>
      <c r="O229">
        <v>27</v>
      </c>
      <c r="P229" s="38">
        <f>2</f>
        <v>2</v>
      </c>
      <c r="Q229" s="218">
        <f t="shared" si="9"/>
        <v>54</v>
      </c>
    </row>
    <row r="230" spans="1:17" hidden="1" x14ac:dyDescent="0.2">
      <c r="A230" t="str">
        <f>INDEX(Prioritization!$D:$D,MATCH($B230,Prioritization!$A:$A,0))</f>
        <v>4 - Sustained</v>
      </c>
      <c r="B230" t="s">
        <v>306</v>
      </c>
      <c r="C230" t="s">
        <v>478</v>
      </c>
      <c r="D230" t="s">
        <v>48</v>
      </c>
      <c r="E230" t="str">
        <f t="shared" si="8"/>
        <v>Salima District [msW2zpIN7up]|50+|Male</v>
      </c>
      <c r="F230" s="38">
        <f>IF(LEFT($B230,4)="_Mil","",INDEX(Cascade!$U:$U,MATCH($E230,Cascade!$E:$E,0)))</f>
        <v>2330</v>
      </c>
      <c r="G230" s="38">
        <f>IFERROR(1/(1/INDEX(HTS!$AU:$AU,MATCH($E230,HTS!$E:$E,0))),"")</f>
        <v>2284</v>
      </c>
      <c r="H230" s="38" t="str">
        <f>IF(OR($C230="15-24",$C230="25-34"),IFERROR(1/(1/SUM(SUMIFS(AGYW!$S:$S,AGYW!$B:$B,$B230,AGYW!$C:$C,IF($C230="15-24",{"15-19","20-24"},{"25-29"}),AGYW!$D:$D,$D230))),""),"")</f>
        <v/>
      </c>
      <c r="I230" s="38" t="str">
        <f>IF(OR($C230="15-24",$C230="25-34"),IFERROR(1/(1/SUM(SUMIFS(AGYW!$T:$T,AGYW!$B:$B,$B230,AGYW!$C:$C,IF($C230="15-24",{"15-19","20-24"},{"25-29"}),AGYW!$D:$D,$D230))),""),"")</f>
        <v/>
      </c>
      <c r="J230" s="38">
        <v>42</v>
      </c>
      <c r="K230" s="38">
        <v>106</v>
      </c>
      <c r="L230">
        <v>60</v>
      </c>
      <c r="M230" s="38">
        <v>16</v>
      </c>
      <c r="N230" s="38">
        <v>31</v>
      </c>
      <c r="O230">
        <v>48</v>
      </c>
      <c r="P230" s="38">
        <f>2</f>
        <v>2</v>
      </c>
      <c r="Q230" s="218">
        <f t="shared" si="9"/>
        <v>96</v>
      </c>
    </row>
    <row r="231" spans="1:17" x14ac:dyDescent="0.2">
      <c r="A231" t="str">
        <f>INDEX(Prioritization!$D:$D,MATCH($B231,Prioritization!$A:$A,0))</f>
        <v>INVALID</v>
      </c>
      <c r="B231" t="s">
        <v>324</v>
      </c>
      <c r="C231" t="s">
        <v>475</v>
      </c>
      <c r="D231" t="s">
        <v>30</v>
      </c>
      <c r="E231" t="str">
        <f t="shared" si="8"/>
        <v>Thyolo District [ul0y9diGujK]|15-24|Female</v>
      </c>
      <c r="F231" s="38">
        <f>IF(LEFT($B231,4)="_Mil","",INDEX(Cascade!$U:$U,MATCH($E231,Cascade!$E:$E,0)))</f>
        <v>3402</v>
      </c>
      <c r="G231" s="38">
        <f>IFERROR(1/(1/INDEX(HTS!$AU:$AU,MATCH($E231,HTS!$E:$E,0))),"")</f>
        <v>49405</v>
      </c>
      <c r="H231" s="38" t="str">
        <f>IF(OR($C231="15-24",$C231="25-34"),IFERROR(1/(1/SUM(SUMIFS(AGYW!$S:$S,AGYW!$B:$B,$B231,AGYW!$C:$C,IF($C231="15-24",{"15-19","20-24"},{"25-29"}),AGYW!$D:$D,$D231))),""),"")</f>
        <v/>
      </c>
      <c r="I231" s="38" t="str">
        <f>IF(OR($C231="15-24",$C231="25-34"),IFERROR(1/(1/SUM(SUMIFS(AGYW!$T:$T,AGYW!$B:$B,$B231,AGYW!$C:$C,IF($C231="15-24",{"15-19","20-24"},{"25-29"}),AGYW!$D:$D,$D231))),""),"")</f>
        <v/>
      </c>
      <c r="J231" s="38">
        <v>227</v>
      </c>
      <c r="K231" s="38">
        <v>1734</v>
      </c>
      <c r="L231">
        <v>326</v>
      </c>
      <c r="M231" s="38">
        <v>35</v>
      </c>
      <c r="N231" s="38">
        <v>1028</v>
      </c>
      <c r="O231">
        <v>104</v>
      </c>
      <c r="P231" s="38">
        <f>2</f>
        <v>2</v>
      </c>
      <c r="Q231" s="218">
        <f t="shared" si="9"/>
        <v>208</v>
      </c>
    </row>
    <row r="232" spans="1:17" hidden="1" x14ac:dyDescent="0.2">
      <c r="A232" t="str">
        <f>INDEX(Prioritization!$D:$D,MATCH($B232,Prioritization!$A:$A,0))</f>
        <v>INVALID</v>
      </c>
      <c r="B232" t="s">
        <v>324</v>
      </c>
      <c r="C232" t="s">
        <v>475</v>
      </c>
      <c r="D232" t="s">
        <v>48</v>
      </c>
      <c r="E232" t="str">
        <f t="shared" si="8"/>
        <v>Thyolo District [ul0y9diGujK]|15-24|Male</v>
      </c>
      <c r="F232" s="38">
        <f>IF(LEFT($B232,4)="_Mil","",INDEX(Cascade!$U:$U,MATCH($E232,Cascade!$E:$E,0)))</f>
        <v>2384</v>
      </c>
      <c r="G232" s="38">
        <f>IFERROR(1/(1/INDEX(HTS!$AU:$AU,MATCH($E232,HTS!$E:$E,0))),"")</f>
        <v>3058</v>
      </c>
      <c r="H232" s="38" t="str">
        <f>IF(OR($C232="15-24",$C232="25-34"),IFERROR(1/(1/SUM(SUMIFS(AGYW!$S:$S,AGYW!$B:$B,$B232,AGYW!$C:$C,IF($C232="15-24",{"15-19","20-24"},{"25-29"}),AGYW!$D:$D,$D232))),""),"")</f>
        <v/>
      </c>
      <c r="I232" s="38" t="str">
        <f>IF(OR($C232="15-24",$C232="25-34"),IFERROR(1/(1/SUM(SUMIFS(AGYW!$T:$T,AGYW!$B:$B,$B232,AGYW!$C:$C,IF($C232="15-24",{"15-19","20-24"},{"25-29"}),AGYW!$D:$D,$D232))),""),"")</f>
        <v/>
      </c>
      <c r="J232" s="38">
        <v>99</v>
      </c>
      <c r="K232" s="38">
        <v>137</v>
      </c>
      <c r="L232">
        <v>143</v>
      </c>
      <c r="M232" s="38">
        <v>7</v>
      </c>
      <c r="N232" s="38">
        <v>43</v>
      </c>
      <c r="O232">
        <v>21</v>
      </c>
      <c r="P232" s="38">
        <f>2</f>
        <v>2</v>
      </c>
      <c r="Q232" s="218">
        <f t="shared" si="9"/>
        <v>42</v>
      </c>
    </row>
    <row r="233" spans="1:17" x14ac:dyDescent="0.2">
      <c r="A233" t="str">
        <f>INDEX(Prioritization!$D:$D,MATCH($B233,Prioritization!$A:$A,0))</f>
        <v>INVALID</v>
      </c>
      <c r="B233" t="s">
        <v>324</v>
      </c>
      <c r="C233" t="s">
        <v>476</v>
      </c>
      <c r="D233" t="s">
        <v>30</v>
      </c>
      <c r="E233" t="str">
        <f t="shared" si="8"/>
        <v>Thyolo District [ul0y9diGujK]|25-34|Female</v>
      </c>
      <c r="F233" s="38">
        <f>IF(LEFT($B233,4)="_Mil","",INDEX(Cascade!$U:$U,MATCH($E233,Cascade!$E:$E,0)))</f>
        <v>8216</v>
      </c>
      <c r="G233" s="38">
        <f>IFERROR(1/(1/INDEX(HTS!$AU:$AU,MATCH($E233,HTS!$E:$E,0))),"")</f>
        <v>45699</v>
      </c>
      <c r="H233" s="38" t="str">
        <f>IF(OR($C233="15-24",$C233="25-34"),IFERROR(1/(1/SUM(SUMIFS(AGYW!$S:$S,AGYW!$B:$B,$B233,AGYW!$C:$C,IF($C233="15-24",{"15-19","20-24"},{"25-29"}),AGYW!$D:$D,$D233))),""),"")</f>
        <v/>
      </c>
      <c r="I233" s="38" t="str">
        <f>IF(OR($C233="15-24",$C233="25-34"),IFERROR(1/(1/SUM(SUMIFS(AGYW!$T:$T,AGYW!$B:$B,$B233,AGYW!$C:$C,IF($C233="15-24",{"15-19","20-24"},{"25-29"}),AGYW!$D:$D,$D233))),""),"")</f>
        <v/>
      </c>
      <c r="J233" s="38">
        <v>195</v>
      </c>
      <c r="K233" s="38">
        <v>1444</v>
      </c>
      <c r="L233">
        <v>280</v>
      </c>
      <c r="M233" s="38">
        <v>17</v>
      </c>
      <c r="N233" s="38">
        <v>805</v>
      </c>
      <c r="O233">
        <v>51</v>
      </c>
      <c r="P233" s="38">
        <f>2</f>
        <v>2</v>
      </c>
      <c r="Q233" s="218">
        <f t="shared" si="9"/>
        <v>102</v>
      </c>
    </row>
    <row r="234" spans="1:17" hidden="1" x14ac:dyDescent="0.2">
      <c r="A234" t="str">
        <f>INDEX(Prioritization!$D:$D,MATCH($B234,Prioritization!$A:$A,0))</f>
        <v>INVALID</v>
      </c>
      <c r="B234" t="s">
        <v>324</v>
      </c>
      <c r="C234" t="s">
        <v>476</v>
      </c>
      <c r="D234" t="s">
        <v>48</v>
      </c>
      <c r="E234" t="str">
        <f t="shared" si="8"/>
        <v>Thyolo District [ul0y9diGujK]|25-34|Male</v>
      </c>
      <c r="F234" s="38">
        <f>IF(LEFT($B234,4)="_Mil","",INDEX(Cascade!$U:$U,MATCH($E234,Cascade!$E:$E,0)))</f>
        <v>2860</v>
      </c>
      <c r="G234" s="38">
        <f>IFERROR(1/(1/INDEX(HTS!$AU:$AU,MATCH($E234,HTS!$E:$E,0))),"")</f>
        <v>1340</v>
      </c>
      <c r="H234" s="38" t="str">
        <f>IF(OR($C234="15-24",$C234="25-34"),IFERROR(1/(1/SUM(SUMIFS(AGYW!$S:$S,AGYW!$B:$B,$B234,AGYW!$C:$C,IF($C234="15-24",{"15-19","20-24"},{"25-29"}),AGYW!$D:$D,$D234))),""),"")</f>
        <v/>
      </c>
      <c r="I234" s="38" t="str">
        <f>IF(OR($C234="15-24",$C234="25-34"),IFERROR(1/(1/SUM(SUMIFS(AGYW!$T:$T,AGYW!$B:$B,$B234,AGYW!$C:$C,IF($C234="15-24",{"15-19","20-24"},{"25-29"}),AGYW!$D:$D,$D234))),""),"")</f>
        <v/>
      </c>
      <c r="J234" s="38">
        <v>125</v>
      </c>
      <c r="K234" s="38">
        <v>263</v>
      </c>
      <c r="L234">
        <v>180</v>
      </c>
      <c r="M234" s="38">
        <v>20</v>
      </c>
      <c r="N234" s="38">
        <v>82</v>
      </c>
      <c r="O234">
        <v>60</v>
      </c>
      <c r="P234" s="38">
        <f>2</f>
        <v>2</v>
      </c>
      <c r="Q234" s="218">
        <f t="shared" si="9"/>
        <v>120</v>
      </c>
    </row>
    <row r="235" spans="1:17" x14ac:dyDescent="0.2">
      <c r="A235" t="str">
        <f>INDEX(Prioritization!$D:$D,MATCH($B235,Prioritization!$A:$A,0))</f>
        <v>INVALID</v>
      </c>
      <c r="B235" t="s">
        <v>324</v>
      </c>
      <c r="C235" t="s">
        <v>477</v>
      </c>
      <c r="D235" t="s">
        <v>30</v>
      </c>
      <c r="E235" t="str">
        <f t="shared" si="8"/>
        <v>Thyolo District [ul0y9diGujK]|35-49|Female</v>
      </c>
      <c r="F235" s="38">
        <f>IF(LEFT($B235,4)="_Mil","",INDEX(Cascade!$U:$U,MATCH($E235,Cascade!$E:$E,0)))</f>
        <v>21434</v>
      </c>
      <c r="G235" s="38">
        <f>IFERROR(1/(1/INDEX(HTS!$AU:$AU,MATCH($E235,HTS!$E:$E,0))),"")</f>
        <v>10406</v>
      </c>
      <c r="H235" s="38" t="str">
        <f>IF(OR($C235="15-24",$C235="25-34"),IFERROR(1/(1/SUM(SUMIFS(AGYW!$S:$S,AGYW!$B:$B,$B235,AGYW!$C:$C,IF($C235="15-24",{"15-19","20-24"},{"25-29"}),AGYW!$D:$D,$D235))),""),"")</f>
        <v/>
      </c>
      <c r="I235" s="38" t="str">
        <f>IF(OR($C235="15-24",$C235="25-34"),IFERROR(1/(1/SUM(SUMIFS(AGYW!$T:$T,AGYW!$B:$B,$B235,AGYW!$C:$C,IF($C235="15-24",{"15-19","20-24"},{"25-29"}),AGYW!$D:$D,$D235))),""),"")</f>
        <v/>
      </c>
      <c r="J235" s="38">
        <v>134</v>
      </c>
      <c r="K235" s="38">
        <v>424</v>
      </c>
      <c r="L235">
        <v>193</v>
      </c>
      <c r="M235" s="38">
        <v>25</v>
      </c>
      <c r="N235" s="38">
        <v>151</v>
      </c>
      <c r="O235">
        <v>75</v>
      </c>
      <c r="P235" s="38">
        <f>2</f>
        <v>2</v>
      </c>
      <c r="Q235" s="218">
        <f t="shared" si="9"/>
        <v>150</v>
      </c>
    </row>
    <row r="236" spans="1:17" hidden="1" x14ac:dyDescent="0.2">
      <c r="A236" t="str">
        <f>INDEX(Prioritization!$D:$D,MATCH($B236,Prioritization!$A:$A,0))</f>
        <v>INVALID</v>
      </c>
      <c r="B236" t="s">
        <v>324</v>
      </c>
      <c r="C236" t="s">
        <v>477</v>
      </c>
      <c r="D236" t="s">
        <v>48</v>
      </c>
      <c r="E236" t="str">
        <f t="shared" si="8"/>
        <v>Thyolo District [ul0y9diGujK]|35-49|Male</v>
      </c>
      <c r="F236" s="38">
        <f>IF(LEFT($B236,4)="_Mil","",INDEX(Cascade!$U:$U,MATCH($E236,Cascade!$E:$E,0)))</f>
        <v>10327</v>
      </c>
      <c r="G236" s="38">
        <f>IFERROR(1/(1/INDEX(HTS!$AU:$AU,MATCH($E236,HTS!$E:$E,0))),"")</f>
        <v>2934</v>
      </c>
      <c r="H236" s="38" t="str">
        <f>IF(OR($C236="15-24",$C236="25-34"),IFERROR(1/(1/SUM(SUMIFS(AGYW!$S:$S,AGYW!$B:$B,$B236,AGYW!$C:$C,IF($C236="15-24",{"15-19","20-24"},{"25-29"}),AGYW!$D:$D,$D236))),""),"")</f>
        <v/>
      </c>
      <c r="I236" s="38" t="str">
        <f>IF(OR($C236="15-24",$C236="25-34"),IFERROR(1/(1/SUM(SUMIFS(AGYW!$T:$T,AGYW!$B:$B,$B236,AGYW!$C:$C,IF($C236="15-24",{"15-19","20-24"},{"25-29"}),AGYW!$D:$D,$D236))),""),"")</f>
        <v/>
      </c>
      <c r="J236" s="38">
        <v>97</v>
      </c>
      <c r="K236" s="38">
        <v>266</v>
      </c>
      <c r="L236">
        <v>140</v>
      </c>
      <c r="M236" s="38">
        <v>14</v>
      </c>
      <c r="N236" s="38">
        <v>83</v>
      </c>
      <c r="O236">
        <v>42</v>
      </c>
      <c r="P236" s="38">
        <f>2</f>
        <v>2</v>
      </c>
      <c r="Q236" s="218">
        <f t="shared" si="9"/>
        <v>84</v>
      </c>
    </row>
    <row r="237" spans="1:17" x14ac:dyDescent="0.2">
      <c r="A237" t="str">
        <f>INDEX(Prioritization!$D:$D,MATCH($B237,Prioritization!$A:$A,0))</f>
        <v>INVALID</v>
      </c>
      <c r="B237" t="s">
        <v>324</v>
      </c>
      <c r="C237" t="s">
        <v>478</v>
      </c>
      <c r="D237" t="s">
        <v>30</v>
      </c>
      <c r="E237" t="str">
        <f t="shared" si="8"/>
        <v>Thyolo District [ul0y9diGujK]|50+|Female</v>
      </c>
      <c r="F237" s="38">
        <f>IF(LEFT($B237,4)="_Mil","",INDEX(Cascade!$U:$U,MATCH($E237,Cascade!$E:$E,0)))</f>
        <v>10801</v>
      </c>
      <c r="G237" s="38">
        <f>IFERROR(1/(1/INDEX(HTS!$AU:$AU,MATCH($E237,HTS!$E:$E,0))),"")</f>
        <v>23494</v>
      </c>
      <c r="H237" s="38" t="str">
        <f>IF(OR($C237="15-24",$C237="25-34"),IFERROR(1/(1/SUM(SUMIFS(AGYW!$S:$S,AGYW!$B:$B,$B237,AGYW!$C:$C,IF($C237="15-24",{"15-19","20-24"},{"25-29"}),AGYW!$D:$D,$D237))),""),"")</f>
        <v/>
      </c>
      <c r="I237" s="38" t="str">
        <f>IF(OR($C237="15-24",$C237="25-34"),IFERROR(1/(1/SUM(SUMIFS(AGYW!$T:$T,AGYW!$B:$B,$B237,AGYW!$C:$C,IF($C237="15-24",{"15-19","20-24"},{"25-29"}),AGYW!$D:$D,$D237))),""),"")</f>
        <v/>
      </c>
      <c r="J237" s="38">
        <v>20</v>
      </c>
      <c r="K237" s="38">
        <v>54</v>
      </c>
      <c r="L237">
        <v>29</v>
      </c>
      <c r="M237" s="38">
        <v>6</v>
      </c>
      <c r="N237" s="38">
        <v>34</v>
      </c>
      <c r="O237">
        <v>18</v>
      </c>
      <c r="P237" s="38">
        <f>2</f>
        <v>2</v>
      </c>
      <c r="Q237" s="218">
        <f t="shared" si="9"/>
        <v>36</v>
      </c>
    </row>
    <row r="238" spans="1:17" hidden="1" x14ac:dyDescent="0.2">
      <c r="A238" t="str">
        <f>INDEX(Prioritization!$D:$D,MATCH($B238,Prioritization!$A:$A,0))</f>
        <v>INVALID</v>
      </c>
      <c r="B238" t="s">
        <v>324</v>
      </c>
      <c r="C238" t="s">
        <v>478</v>
      </c>
      <c r="D238" t="s">
        <v>48</v>
      </c>
      <c r="E238" t="str">
        <f t="shared" si="8"/>
        <v>Thyolo District [ul0y9diGujK]|50+|Male</v>
      </c>
      <c r="F238" s="38">
        <f>IF(LEFT($B238,4)="_Mil","",INDEX(Cascade!$U:$U,MATCH($E238,Cascade!$E:$E,0)))</f>
        <v>7943</v>
      </c>
      <c r="G238" s="38">
        <f>IFERROR(1/(1/INDEX(HTS!$AU:$AU,MATCH($E238,HTS!$E:$E,0))),"")</f>
        <v>9078</v>
      </c>
      <c r="H238" s="38" t="str">
        <f>IF(OR($C238="15-24",$C238="25-34"),IFERROR(1/(1/SUM(SUMIFS(AGYW!$S:$S,AGYW!$B:$B,$B238,AGYW!$C:$C,IF($C238="15-24",{"15-19","20-24"},{"25-29"}),AGYW!$D:$D,$D238))),""),"")</f>
        <v/>
      </c>
      <c r="I238" s="38" t="str">
        <f>IF(OR($C238="15-24",$C238="25-34"),IFERROR(1/(1/SUM(SUMIFS(AGYW!$T:$T,AGYW!$B:$B,$B238,AGYW!$C:$C,IF($C238="15-24",{"15-19","20-24"},{"25-29"}),AGYW!$D:$D,$D238))),""),"")</f>
        <v/>
      </c>
      <c r="J238" s="38">
        <v>38</v>
      </c>
      <c r="K238" s="38">
        <v>209</v>
      </c>
      <c r="L238">
        <v>55</v>
      </c>
      <c r="M238" s="38">
        <v>6</v>
      </c>
      <c r="N238" s="38">
        <v>65</v>
      </c>
      <c r="O238">
        <v>18</v>
      </c>
      <c r="P238" s="38">
        <f>2</f>
        <v>2</v>
      </c>
      <c r="Q238" s="218">
        <f t="shared" si="9"/>
        <v>36</v>
      </c>
    </row>
    <row r="239" spans="1:17" x14ac:dyDescent="0.2">
      <c r="A239" t="str">
        <f>INDEX(Prioritization!$D:$D,MATCH($B239,Prioritization!$A:$A,0))</f>
        <v>1 - Scale-up: Saturation</v>
      </c>
      <c r="B239" t="s">
        <v>325</v>
      </c>
      <c r="C239" t="s">
        <v>475</v>
      </c>
      <c r="D239" t="s">
        <v>30</v>
      </c>
      <c r="E239" t="str">
        <f t="shared" si="8"/>
        <v>Zomba District [fyEoGEPERdI]|15-24|Female</v>
      </c>
      <c r="F239" s="38">
        <f>IF(LEFT($B239,4)="_Mil","",INDEX(Cascade!$U:$U,MATCH($E239,Cascade!$E:$E,0)))</f>
        <v>3471</v>
      </c>
      <c r="G239" s="38">
        <f>IFERROR(1/(1/INDEX(HTS!$AU:$AU,MATCH($E239,HTS!$E:$E,0))),"")</f>
        <v>62190.999999999993</v>
      </c>
      <c r="H239" s="38">
        <f ca="1">IF(OR($C239="15-24",$C239="25-34"),IFERROR(1/(1/SUM(SUMIFS(AGYW!$S:$S,AGYW!$B:$B,$B239,AGYW!$C:$C,IF($C239="15-24",{"15-19","20-24"},{"25-29"}),AGYW!$D:$D,$D239))),""),"")</f>
        <v>5420</v>
      </c>
      <c r="I239" s="38">
        <f ca="1">IF(OR($C239="15-24",$C239="25-34"),IFERROR(1/(1/SUM(SUMIFS(AGYW!$T:$T,AGYW!$B:$B,$B239,AGYW!$C:$C,IF($C239="15-24",{"15-19","20-24"},{"25-29"}),AGYW!$D:$D,$D239))),""),"")</f>
        <v>4607</v>
      </c>
      <c r="J239" s="38">
        <v>5945</v>
      </c>
      <c r="K239" s="38">
        <v>2057</v>
      </c>
      <c r="L239">
        <v>8537</v>
      </c>
      <c r="M239" s="38">
        <v>325</v>
      </c>
      <c r="N239" s="38">
        <v>1222</v>
      </c>
      <c r="O239">
        <v>969</v>
      </c>
      <c r="P239" s="38">
        <f>2</f>
        <v>2</v>
      </c>
      <c r="Q239" s="218">
        <f t="shared" si="9"/>
        <v>1938</v>
      </c>
    </row>
    <row r="240" spans="1:17" hidden="1" x14ac:dyDescent="0.2">
      <c r="A240" t="str">
        <f>INDEX(Prioritization!$D:$D,MATCH($B240,Prioritization!$A:$A,0))</f>
        <v>1 - Scale-up: Saturation</v>
      </c>
      <c r="B240" t="s">
        <v>325</v>
      </c>
      <c r="C240" t="s">
        <v>475</v>
      </c>
      <c r="D240" t="s">
        <v>48</v>
      </c>
      <c r="E240" t="str">
        <f t="shared" si="8"/>
        <v>Zomba District [fyEoGEPERdI]|15-24|Male</v>
      </c>
      <c r="F240" s="38">
        <f>IF(LEFT($B240,4)="_Mil","",INDEX(Cascade!$U:$U,MATCH($E240,Cascade!$E:$E,0)))</f>
        <v>2383</v>
      </c>
      <c r="G240" s="38">
        <f>IFERROR(1/(1/INDEX(HTS!$AU:$AU,MATCH($E240,HTS!$E:$E,0))),"")</f>
        <v>12326</v>
      </c>
      <c r="H240" s="38" t="str">
        <f>IF(OR($C240="15-24",$C240="25-34"),IFERROR(1/(1/SUM(SUMIFS(AGYW!$S:$S,AGYW!$B:$B,$B240,AGYW!$C:$C,IF($C240="15-24",{"15-19","20-24"},{"25-29"}),AGYW!$D:$D,$D240))),""),"")</f>
        <v/>
      </c>
      <c r="I240" s="38" t="str">
        <f>IF(OR($C240="15-24",$C240="25-34"),IFERROR(1/(1/SUM(SUMIFS(AGYW!$T:$T,AGYW!$B:$B,$B240,AGYW!$C:$C,IF($C240="15-24",{"15-19","20-24"},{"25-29"}),AGYW!$D:$D,$D240))),""),"")</f>
        <v/>
      </c>
      <c r="J240" s="38">
        <v>624</v>
      </c>
      <c r="K240" s="38">
        <v>162</v>
      </c>
      <c r="L240">
        <v>896</v>
      </c>
      <c r="M240" s="38">
        <v>17</v>
      </c>
      <c r="N240" s="38">
        <v>52</v>
      </c>
      <c r="O240">
        <v>51</v>
      </c>
      <c r="P240" s="38">
        <f>2</f>
        <v>2</v>
      </c>
      <c r="Q240" s="218">
        <f t="shared" si="9"/>
        <v>102</v>
      </c>
    </row>
    <row r="241" spans="1:17" x14ac:dyDescent="0.2">
      <c r="A241" t="str">
        <f>INDEX(Prioritization!$D:$D,MATCH($B241,Prioritization!$A:$A,0))</f>
        <v>1 - Scale-up: Saturation</v>
      </c>
      <c r="B241" t="s">
        <v>325</v>
      </c>
      <c r="C241" t="s">
        <v>476</v>
      </c>
      <c r="D241" t="s">
        <v>30</v>
      </c>
      <c r="E241" t="str">
        <f t="shared" si="8"/>
        <v>Zomba District [fyEoGEPERdI]|25-34|Female</v>
      </c>
      <c r="F241" s="38">
        <f>IF(LEFT($B241,4)="_Mil","",INDEX(Cascade!$U:$U,MATCH($E241,Cascade!$E:$E,0)))</f>
        <v>8867</v>
      </c>
      <c r="G241" s="38">
        <f>IFERROR(1/(1/INDEX(HTS!$AU:$AU,MATCH($E241,HTS!$E:$E,0))),"")</f>
        <v>57045.999999999993</v>
      </c>
      <c r="H241" s="38" t="str">
        <f ca="1">IF(OR($C241="15-24",$C241="25-34"),IFERROR(1/(1/SUM(SUMIFS(AGYW!$S:$S,AGYW!$B:$B,$B241,AGYW!$C:$C,IF($C241="15-24",{"15-19","20-24"},{"25-29"}),AGYW!$D:$D,$D241))),""),"")</f>
        <v/>
      </c>
      <c r="I241" s="38" t="str">
        <f ca="1">IF(OR($C241="15-24",$C241="25-34"),IFERROR(1/(1/SUM(SUMIFS(AGYW!$T:$T,AGYW!$B:$B,$B241,AGYW!$C:$C,IF($C241="15-24",{"15-19","20-24"},{"25-29"}),AGYW!$D:$D,$D241))),""),"")</f>
        <v/>
      </c>
      <c r="J241" s="38">
        <v>1197</v>
      </c>
      <c r="K241" s="38">
        <v>1713</v>
      </c>
      <c r="L241">
        <v>1719</v>
      </c>
      <c r="M241" s="38">
        <v>79</v>
      </c>
      <c r="N241" s="38">
        <v>956</v>
      </c>
      <c r="O241">
        <v>235</v>
      </c>
      <c r="P241" s="38">
        <f>2</f>
        <v>2</v>
      </c>
      <c r="Q241" s="218">
        <f t="shared" si="9"/>
        <v>470</v>
      </c>
    </row>
    <row r="242" spans="1:17" hidden="1" x14ac:dyDescent="0.2">
      <c r="A242" t="str">
        <f>INDEX(Prioritization!$D:$D,MATCH($B242,Prioritization!$A:$A,0))</f>
        <v>1 - Scale-up: Saturation</v>
      </c>
      <c r="B242" t="s">
        <v>325</v>
      </c>
      <c r="C242" t="s">
        <v>476</v>
      </c>
      <c r="D242" t="s">
        <v>48</v>
      </c>
      <c r="E242" t="str">
        <f t="shared" si="8"/>
        <v>Zomba District [fyEoGEPERdI]|25-34|Male</v>
      </c>
      <c r="F242" s="38">
        <f>IF(LEFT($B242,4)="_Mil","",INDEX(Cascade!$U:$U,MATCH($E242,Cascade!$E:$E,0)))</f>
        <v>3224</v>
      </c>
      <c r="G242" s="38">
        <f>IFERROR(1/(1/INDEX(HTS!$AU:$AU,MATCH($E242,HTS!$E:$E,0))),"")</f>
        <v>2103</v>
      </c>
      <c r="H242" s="38" t="str">
        <f>IF(OR($C242="15-24",$C242="25-34"),IFERROR(1/(1/SUM(SUMIFS(AGYW!$S:$S,AGYW!$B:$B,$B242,AGYW!$C:$C,IF($C242="15-24",{"15-19","20-24"},{"25-29"}),AGYW!$D:$D,$D242))),""),"")</f>
        <v/>
      </c>
      <c r="I242" s="38" t="str">
        <f>IF(OR($C242="15-24",$C242="25-34"),IFERROR(1/(1/SUM(SUMIFS(AGYW!$T:$T,AGYW!$B:$B,$B242,AGYW!$C:$C,IF($C242="15-24",{"15-19","20-24"},{"25-29"}),AGYW!$D:$D,$D242))),""),"")</f>
        <v/>
      </c>
      <c r="J242" s="38">
        <v>445</v>
      </c>
      <c r="K242" s="38">
        <v>312</v>
      </c>
      <c r="L242">
        <v>639</v>
      </c>
      <c r="M242" s="38">
        <v>22</v>
      </c>
      <c r="N242" s="38">
        <v>97</v>
      </c>
      <c r="O242">
        <v>66</v>
      </c>
      <c r="P242" s="38">
        <f>2</f>
        <v>2</v>
      </c>
      <c r="Q242" s="218">
        <f t="shared" si="9"/>
        <v>132</v>
      </c>
    </row>
    <row r="243" spans="1:17" x14ac:dyDescent="0.2">
      <c r="A243" t="str">
        <f>INDEX(Prioritization!$D:$D,MATCH($B243,Prioritization!$A:$A,0))</f>
        <v>1 - Scale-up: Saturation</v>
      </c>
      <c r="B243" t="s">
        <v>325</v>
      </c>
      <c r="C243" t="s">
        <v>477</v>
      </c>
      <c r="D243" t="s">
        <v>30</v>
      </c>
      <c r="E243" t="str">
        <f t="shared" si="8"/>
        <v>Zomba District [fyEoGEPERdI]|35-49|Female</v>
      </c>
      <c r="F243" s="38">
        <f>IF(LEFT($B243,4)="_Mil","",INDEX(Cascade!$U:$U,MATCH($E243,Cascade!$E:$E,0)))</f>
        <v>21361</v>
      </c>
      <c r="G243" s="38">
        <f>IFERROR(1/(1/INDEX(HTS!$AU:$AU,MATCH($E243,HTS!$E:$E,0))),"")</f>
        <v>18369</v>
      </c>
      <c r="H243" s="38" t="str">
        <f>IF(OR($C243="15-24",$C243="25-34"),IFERROR(1/(1/SUM(SUMIFS(AGYW!$S:$S,AGYW!$B:$B,$B243,AGYW!$C:$C,IF($C243="15-24",{"15-19","20-24"},{"25-29"}),AGYW!$D:$D,$D243))),""),"")</f>
        <v/>
      </c>
      <c r="I243" s="38" t="str">
        <f>IF(OR($C243="15-24",$C243="25-34"),IFERROR(1/(1/SUM(SUMIFS(AGYW!$T:$T,AGYW!$B:$B,$B243,AGYW!$C:$C,IF($C243="15-24",{"15-19","20-24"},{"25-29"}),AGYW!$D:$D,$D243))),""),"")</f>
        <v/>
      </c>
      <c r="J243" s="38">
        <v>479</v>
      </c>
      <c r="K243" s="38">
        <v>503</v>
      </c>
      <c r="L243">
        <v>688</v>
      </c>
      <c r="M243" s="38">
        <v>70</v>
      </c>
      <c r="N243" s="38">
        <v>178</v>
      </c>
      <c r="O243">
        <v>209</v>
      </c>
      <c r="P243" s="38">
        <f>2</f>
        <v>2</v>
      </c>
      <c r="Q243" s="218">
        <f t="shared" si="9"/>
        <v>418</v>
      </c>
    </row>
    <row r="244" spans="1:17" hidden="1" x14ac:dyDescent="0.2">
      <c r="A244" t="str">
        <f>INDEX(Prioritization!$D:$D,MATCH($B244,Prioritization!$A:$A,0))</f>
        <v>1 - Scale-up: Saturation</v>
      </c>
      <c r="B244" t="s">
        <v>325</v>
      </c>
      <c r="C244" t="s">
        <v>477</v>
      </c>
      <c r="D244" t="s">
        <v>48</v>
      </c>
      <c r="E244" t="str">
        <f t="shared" si="8"/>
        <v>Zomba District [fyEoGEPERdI]|35-49|Male</v>
      </c>
      <c r="F244" s="38">
        <f>IF(LEFT($B244,4)="_Mil","",INDEX(Cascade!$U:$U,MATCH($E244,Cascade!$E:$E,0)))</f>
        <v>11008</v>
      </c>
      <c r="G244" s="38">
        <f>IFERROR(1/(1/INDEX(HTS!$AU:$AU,MATCH($E244,HTS!$E:$E,0))),"")</f>
        <v>11105</v>
      </c>
      <c r="H244" s="38" t="str">
        <f>IF(OR($C244="15-24",$C244="25-34"),IFERROR(1/(1/SUM(SUMIFS(AGYW!$S:$S,AGYW!$B:$B,$B244,AGYW!$C:$C,IF($C244="15-24",{"15-19","20-24"},{"25-29"}),AGYW!$D:$D,$D244))),""),"")</f>
        <v/>
      </c>
      <c r="I244" s="38" t="str">
        <f>IF(OR($C244="15-24",$C244="25-34"),IFERROR(1/(1/SUM(SUMIFS(AGYW!$T:$T,AGYW!$B:$B,$B244,AGYW!$C:$C,IF($C244="15-24",{"15-19","20-24"},{"25-29"}),AGYW!$D:$D,$D244))),""),"")</f>
        <v/>
      </c>
      <c r="J244" s="38">
        <v>298</v>
      </c>
      <c r="K244" s="38">
        <v>316</v>
      </c>
      <c r="L244">
        <v>428</v>
      </c>
      <c r="M244" s="38">
        <v>42</v>
      </c>
      <c r="N244" s="38">
        <v>99</v>
      </c>
      <c r="O244">
        <v>125</v>
      </c>
      <c r="P244" s="38">
        <f>2</f>
        <v>2</v>
      </c>
      <c r="Q244" s="218">
        <f t="shared" si="9"/>
        <v>250</v>
      </c>
    </row>
    <row r="245" spans="1:17" x14ac:dyDescent="0.2">
      <c r="A245" t="str">
        <f>INDEX(Prioritization!$D:$D,MATCH($B245,Prioritization!$A:$A,0))</f>
        <v>1 - Scale-up: Saturation</v>
      </c>
      <c r="B245" t="s">
        <v>325</v>
      </c>
      <c r="C245" t="s">
        <v>478</v>
      </c>
      <c r="D245" t="s">
        <v>30</v>
      </c>
      <c r="E245" t="str">
        <f t="shared" si="8"/>
        <v>Zomba District [fyEoGEPERdI]|50+|Female</v>
      </c>
      <c r="F245" s="38">
        <f>IF(LEFT($B245,4)="_Mil","",INDEX(Cascade!$U:$U,MATCH($E245,Cascade!$E:$E,0)))</f>
        <v>9647</v>
      </c>
      <c r="G245" s="38">
        <f>IFERROR(1/(1/INDEX(HTS!$AU:$AU,MATCH($E245,HTS!$E:$E,0))),"")</f>
        <v>18228</v>
      </c>
      <c r="H245" s="38" t="str">
        <f>IF(OR($C245="15-24",$C245="25-34"),IFERROR(1/(1/SUM(SUMIFS(AGYW!$S:$S,AGYW!$B:$B,$B245,AGYW!$C:$C,IF($C245="15-24",{"15-19","20-24"},{"25-29"}),AGYW!$D:$D,$D245))),""),"")</f>
        <v/>
      </c>
      <c r="I245" s="38" t="str">
        <f>IF(OR($C245="15-24",$C245="25-34"),IFERROR(1/(1/SUM(SUMIFS(AGYW!$T:$T,AGYW!$B:$B,$B245,AGYW!$C:$C,IF($C245="15-24",{"15-19","20-24"},{"25-29"}),AGYW!$D:$D,$D245))),""),"")</f>
        <v/>
      </c>
      <c r="J245" s="38">
        <v>63</v>
      </c>
      <c r="K245" s="38">
        <v>65</v>
      </c>
      <c r="L245">
        <v>91</v>
      </c>
      <c r="M245" s="38">
        <v>13</v>
      </c>
      <c r="N245" s="38">
        <v>40</v>
      </c>
      <c r="O245">
        <v>39</v>
      </c>
      <c r="P245" s="38">
        <f>2</f>
        <v>2</v>
      </c>
      <c r="Q245" s="218">
        <f t="shared" si="9"/>
        <v>78</v>
      </c>
    </row>
    <row r="246" spans="1:17" hidden="1" x14ac:dyDescent="0.2">
      <c r="A246" t="str">
        <f>INDEX(Prioritization!$D:$D,MATCH($B246,Prioritization!$A:$A,0))</f>
        <v>1 - Scale-up: Saturation</v>
      </c>
      <c r="B246" t="s">
        <v>325</v>
      </c>
      <c r="C246" t="s">
        <v>478</v>
      </c>
      <c r="D246" t="s">
        <v>48</v>
      </c>
      <c r="E246" t="str">
        <f t="shared" si="8"/>
        <v>Zomba District [fyEoGEPERdI]|50+|Male</v>
      </c>
      <c r="F246" s="38">
        <f>IF(LEFT($B246,4)="_Mil","",INDEX(Cascade!$U:$U,MATCH($E246,Cascade!$E:$E,0)))</f>
        <v>7588</v>
      </c>
      <c r="G246" s="38">
        <f>IFERROR(1/(1/INDEX(HTS!$AU:$AU,MATCH($E246,HTS!$E:$E,0))),"")</f>
        <v>10951</v>
      </c>
      <c r="H246" s="38" t="str">
        <f>IF(OR($C246="15-24",$C246="25-34"),IFERROR(1/(1/SUM(SUMIFS(AGYW!$S:$S,AGYW!$B:$B,$B246,AGYW!$C:$C,IF($C246="15-24",{"15-19","20-24"},{"25-29"}),AGYW!$D:$D,$D246))),""),"")</f>
        <v/>
      </c>
      <c r="I246" s="38" t="str">
        <f>IF(OR($C246="15-24",$C246="25-34"),IFERROR(1/(1/SUM(SUMIFS(AGYW!$T:$T,AGYW!$B:$B,$B246,AGYW!$C:$C,IF($C246="15-24",{"15-19","20-24"},{"25-29"}),AGYW!$D:$D,$D246))),""),"")</f>
        <v/>
      </c>
      <c r="J246" s="38">
        <v>84</v>
      </c>
      <c r="K246" s="38">
        <v>248</v>
      </c>
      <c r="L246">
        <v>121</v>
      </c>
      <c r="M246" s="38">
        <v>17</v>
      </c>
      <c r="N246" s="38">
        <v>77</v>
      </c>
      <c r="O246">
        <v>51</v>
      </c>
      <c r="P246" s="38">
        <f>2</f>
        <v>2</v>
      </c>
      <c r="Q246" s="218">
        <f t="shared" si="9"/>
        <v>102</v>
      </c>
    </row>
  </sheetData>
  <autoFilter ref="A14:Q246" xr:uid="{00000000-0001-0000-0A00-000000000000}">
    <filterColumn colId="0">
      <filters>
        <filter val="#N/A"/>
        <filter val="1 - Scale-up: Saturation"/>
        <filter val="4 - Sustained"/>
      </filters>
    </filterColumn>
    <filterColumn colId="3">
      <filters>
        <filter val="Female"/>
      </filters>
    </filterColumn>
  </autoFilter>
  <sortState xmlns:xlrd2="http://schemas.microsoft.com/office/spreadsheetml/2017/richdata2" ref="A15:Q246">
    <sortCondition ref="B15:B246"/>
    <sortCondition ref="C15:C246"/>
    <sortCondition ref="D15:D246"/>
  </sortState>
  <conditionalFormatting sqref="F1:F1048576">
    <cfRule type="expression" dxfId="88" priority="2">
      <formula>AND(ROW(F1)&gt;14,LEFT(B1,4)="_Mil")</formula>
    </cfRule>
  </conditionalFormatting>
  <conditionalFormatting sqref="F1:Q22 F247:Q1048576 M23:N246 P23:Q246 F23:K246">
    <cfRule type="expression" dxfId="87" priority="5">
      <formula>AND(ISNUMBER(F1),F1&lt;0)</formula>
    </cfRule>
  </conditionalFormatting>
  <conditionalFormatting sqref="H1:I1048576">
    <cfRule type="expression" dxfId="86" priority="3">
      <formula>AND(ROW(H1)&gt;14,$E1&lt;&gt;"",$D1&lt;&gt;"Female")</formula>
    </cfRule>
    <cfRule type="expression" dxfId="85" priority="4">
      <formula>AND(ROW(H1)&gt;14,$E1&lt;&gt;"",NOT(OR($C1="15-24",$C1="25-34")))</formula>
    </cfRule>
  </conditionalFormatting>
  <hyperlinks>
    <hyperlink ref="F3" location="Cascade!U:U" display="H.C. Est. PLHIV (FY23)" xr:uid="{00000000-0004-0000-0A00-000000000000}"/>
    <hyperlink ref="G3" location="HTS!AT:AT" display="HTS!AT:AT" xr:uid="{00000000-0004-0000-0A00-000001000000}"/>
    <hyperlink ref="H3" location="AGYW!T:T" display="AGYW_PREV (D) (FY24)" xr:uid="{00000000-0004-0000-0A00-000002000000}"/>
    <hyperlink ref="I3" location="AGYW!U:U" display="AGYW_PREV (N) (FY24)" xr:uid="{00000000-0004-0000-0A00-000003000000}"/>
  </hyperlinks>
  <pageMargins left="0.7" right="0.7" top="0.75" bottom="0.75" header="0.3" footer="0.3"/>
  <pageSetup paperSize="9" orientation="portrait" horizontalDpi="300" verticalDpi="30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363"/>
  <sheetViews>
    <sheetView zoomScaleNormal="100" workbookViewId="0">
      <pane xSplit="5" ySplit="14" topLeftCell="K191" activePane="bottomRight" state="frozen"/>
      <selection pane="topRight"/>
      <selection pane="bottomLeft"/>
      <selection pane="bottomRight" activeCell="Q212" sqref="Q212:T219"/>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54" width="11.6640625" customWidth="1"/>
  </cols>
  <sheetData>
    <row r="1" spans="1:54" ht="31.25" customHeight="1" x14ac:dyDescent="0.2">
      <c r="A1" s="68" t="s">
        <v>1206</v>
      </c>
      <c r="B1" s="23"/>
      <c r="C1" s="112"/>
      <c r="D1" s="112"/>
      <c r="E1" s="112"/>
      <c r="F1" s="53" t="s">
        <v>1207</v>
      </c>
      <c r="G1" s="43"/>
      <c r="H1" s="43"/>
      <c r="I1" s="43"/>
      <c r="J1" s="43"/>
      <c r="K1" s="43"/>
      <c r="L1" s="43"/>
      <c r="M1" s="53" t="s">
        <v>1208</v>
      </c>
      <c r="N1" s="45"/>
      <c r="O1" s="45"/>
      <c r="P1" s="45"/>
      <c r="Q1" s="45"/>
      <c r="R1" s="45"/>
      <c r="S1" s="45"/>
      <c r="T1" s="45"/>
      <c r="U1" s="45"/>
      <c r="V1" s="45"/>
      <c r="W1" s="43"/>
      <c r="X1" s="53" t="s">
        <v>1209</v>
      </c>
      <c r="Y1" s="43"/>
      <c r="Z1" s="43"/>
      <c r="AA1" s="53" t="s">
        <v>1210</v>
      </c>
      <c r="AB1" s="43"/>
      <c r="AC1" s="43"/>
      <c r="AD1" s="53" t="s">
        <v>1211</v>
      </c>
      <c r="AE1" s="43"/>
      <c r="AF1" s="43"/>
      <c r="AG1" s="53" t="s">
        <v>1212</v>
      </c>
      <c r="AH1" s="43"/>
      <c r="AI1" s="43"/>
      <c r="AJ1" s="53" t="s">
        <v>1213</v>
      </c>
      <c r="AK1" s="43"/>
      <c r="AL1" s="43"/>
      <c r="AM1" s="52" t="s">
        <v>1214</v>
      </c>
      <c r="AN1" s="43"/>
      <c r="AO1" s="43"/>
      <c r="AP1" s="43"/>
      <c r="AQ1" s="43"/>
      <c r="AR1" s="43"/>
      <c r="AS1" s="43"/>
      <c r="AT1" s="43"/>
      <c r="AU1" s="43"/>
      <c r="AV1" s="43"/>
      <c r="AW1" s="44"/>
      <c r="AX1" s="52" t="s">
        <v>1215</v>
      </c>
      <c r="AY1" s="45"/>
      <c r="AZ1" s="43"/>
      <c r="BA1" s="53" t="s">
        <v>485</v>
      </c>
      <c r="BB1" s="43"/>
    </row>
    <row r="2" spans="1:54" ht="19.25" customHeight="1" x14ac:dyDescent="0.25">
      <c r="A2" s="255" t="s">
        <v>1216</v>
      </c>
      <c r="B2" s="251"/>
      <c r="C2" s="4"/>
      <c r="D2" s="4"/>
      <c r="E2" s="4"/>
      <c r="F2" s="31"/>
      <c r="G2" s="24"/>
      <c r="H2" s="24"/>
      <c r="I2" s="24"/>
      <c r="J2" s="24"/>
      <c r="K2" s="24"/>
      <c r="L2" s="24"/>
      <c r="M2" s="31"/>
      <c r="N2" s="32"/>
      <c r="O2" s="32"/>
      <c r="P2" s="32"/>
      <c r="Q2" s="32"/>
      <c r="R2" s="32"/>
      <c r="S2" s="32"/>
      <c r="T2" s="32"/>
      <c r="U2" s="32"/>
      <c r="V2" s="32"/>
      <c r="W2" s="20" t="s">
        <v>281</v>
      </c>
      <c r="X2" s="31"/>
      <c r="Y2" s="20" t="s">
        <v>281</v>
      </c>
      <c r="Z2" s="20" t="s">
        <v>281</v>
      </c>
      <c r="AA2" s="31"/>
      <c r="AB2" s="20" t="s">
        <v>281</v>
      </c>
      <c r="AC2" s="20" t="s">
        <v>281</v>
      </c>
      <c r="AD2" s="31"/>
      <c r="AE2" s="20" t="s">
        <v>281</v>
      </c>
      <c r="AF2" s="20" t="s">
        <v>281</v>
      </c>
      <c r="AG2" s="31"/>
      <c r="AH2" s="20" t="s">
        <v>281</v>
      </c>
      <c r="AI2" s="20" t="s">
        <v>281</v>
      </c>
      <c r="AJ2" s="31"/>
      <c r="AK2" s="20" t="s">
        <v>281</v>
      </c>
      <c r="AL2" s="20" t="s">
        <v>281</v>
      </c>
      <c r="AM2" s="105"/>
      <c r="AN2" s="146"/>
      <c r="AO2" s="24"/>
      <c r="AP2" s="24"/>
      <c r="AQ2" s="24"/>
      <c r="AR2" s="24"/>
      <c r="AS2" s="24"/>
      <c r="AT2" s="24"/>
      <c r="AU2" s="146"/>
      <c r="AV2" s="146"/>
      <c r="AW2" s="32"/>
      <c r="AX2" s="105"/>
      <c r="AY2" s="32"/>
      <c r="AZ2" s="20" t="s">
        <v>281</v>
      </c>
      <c r="BA2" s="31"/>
      <c r="BB2" s="20" t="s">
        <v>281</v>
      </c>
    </row>
    <row r="3" spans="1:54" ht="117" customHeight="1" x14ac:dyDescent="0.2">
      <c r="A3" s="252"/>
      <c r="B3" s="253"/>
      <c r="C3" s="9"/>
      <c r="D3" s="9"/>
      <c r="E3" s="9"/>
      <c r="F3" s="145" t="s">
        <v>993</v>
      </c>
      <c r="G3" s="143" t="s">
        <v>1024</v>
      </c>
      <c r="H3" s="143" t="s">
        <v>1217</v>
      </c>
      <c r="I3" s="143" t="s">
        <v>1218</v>
      </c>
      <c r="J3" s="143" t="s">
        <v>1219</v>
      </c>
      <c r="K3" s="143" t="s">
        <v>1220</v>
      </c>
      <c r="L3" s="109" t="s">
        <v>1221</v>
      </c>
      <c r="M3" s="145" t="s">
        <v>639</v>
      </c>
      <c r="N3" s="144" t="s">
        <v>640</v>
      </c>
      <c r="O3" s="144" t="s">
        <v>641</v>
      </c>
      <c r="P3" s="144" t="s">
        <v>642</v>
      </c>
      <c r="Q3" s="191" t="s">
        <v>1222</v>
      </c>
      <c r="R3" s="191" t="s">
        <v>1223</v>
      </c>
      <c r="S3" s="191" t="s">
        <v>1224</v>
      </c>
      <c r="T3" s="191" t="s">
        <v>1225</v>
      </c>
      <c r="U3" s="191" t="s">
        <v>1226</v>
      </c>
      <c r="V3" s="179" t="s">
        <v>648</v>
      </c>
      <c r="W3" s="192" t="s">
        <v>1228</v>
      </c>
      <c r="X3" s="190" t="s">
        <v>1227</v>
      </c>
      <c r="Y3" s="192" t="s">
        <v>1228</v>
      </c>
      <c r="Z3" s="14" t="s">
        <v>1229</v>
      </c>
      <c r="AA3" s="190" t="s">
        <v>1227</v>
      </c>
      <c r="AB3" s="192" t="s">
        <v>1228</v>
      </c>
      <c r="AC3" s="14" t="s">
        <v>1229</v>
      </c>
      <c r="AD3" s="190" t="s">
        <v>1227</v>
      </c>
      <c r="AE3" s="192" t="s">
        <v>1228</v>
      </c>
      <c r="AF3" s="14" t="s">
        <v>1229</v>
      </c>
      <c r="AG3" s="190" t="s">
        <v>1227</v>
      </c>
      <c r="AH3" s="192" t="s">
        <v>1228</v>
      </c>
      <c r="AI3" s="14" t="s">
        <v>1229</v>
      </c>
      <c r="AJ3" s="190" t="s">
        <v>1227</v>
      </c>
      <c r="AK3" s="192" t="s">
        <v>1228</v>
      </c>
      <c r="AL3" s="14" t="s">
        <v>1229</v>
      </c>
      <c r="AM3" s="142" t="s">
        <v>1230</v>
      </c>
      <c r="AN3" s="69" t="s">
        <v>1231</v>
      </c>
      <c r="AO3" s="109" t="s">
        <v>1232</v>
      </c>
      <c r="AP3" s="143" t="s">
        <v>1233</v>
      </c>
      <c r="AQ3" s="143" t="s">
        <v>1234</v>
      </c>
      <c r="AR3" s="143" t="s">
        <v>1235</v>
      </c>
      <c r="AS3" s="143" t="s">
        <v>1236</v>
      </c>
      <c r="AT3" s="143" t="s">
        <v>1237</v>
      </c>
      <c r="AU3" s="69" t="s">
        <v>1238</v>
      </c>
      <c r="AV3" s="69" t="s">
        <v>1239</v>
      </c>
      <c r="AW3" s="179" t="s">
        <v>1240</v>
      </c>
      <c r="AX3" s="6" t="s">
        <v>1241</v>
      </c>
      <c r="AY3" s="184" t="s">
        <v>1242</v>
      </c>
      <c r="AZ3" s="14" t="s">
        <v>653</v>
      </c>
      <c r="BA3" s="190" t="s">
        <v>1243</v>
      </c>
      <c r="BB3" s="69" t="s">
        <v>1244</v>
      </c>
    </row>
    <row r="4" spans="1:54" x14ac:dyDescent="0.2">
      <c r="A4" s="35"/>
      <c r="B4" s="5"/>
      <c r="C4" s="5"/>
      <c r="D4" s="5" t="s">
        <v>392</v>
      </c>
      <c r="E4" s="5"/>
      <c r="F4" s="77"/>
      <c r="G4" s="35">
        <f>SUBTOTAL(109,G$15:INDEX(G:G,COUNTA($B:$B)+14-COUNTA($B$1:$B$14)))</f>
        <v>52708</v>
      </c>
      <c r="H4" s="35" t="e">
        <f>SUBTOTAL(109,H$15:INDEX(H:H,COUNTA($B:$B)+14-COUNTA($B$1:$B$14)))</f>
        <v>#N/A</v>
      </c>
      <c r="I4" s="35" t="e">
        <f>SUBTOTAL(109,I$15:INDEX(I:I,COUNTA($B:$B)+14-COUNTA($B$1:$B$14)))</f>
        <v>#N/A</v>
      </c>
      <c r="J4" s="35" t="e">
        <f>SUBTOTAL(109,J$15:INDEX(J:J,COUNTA($B:$B)+14-COUNTA($B$1:$B$14)))</f>
        <v>#VALUE!</v>
      </c>
      <c r="K4" s="35">
        <f>SUBTOTAL(109,K$15:INDEX(K:K,COUNTA($B:$B)+14-COUNTA($B$1:$B$14)))</f>
        <v>465</v>
      </c>
      <c r="L4" s="35" t="e">
        <f>SUBTOTAL(109,L$15:INDEX(L:L,COUNTA($B:$B)+14-COUNTA($B$1:$B$14)))</f>
        <v>#VALUE!</v>
      </c>
      <c r="M4" s="77" t="e">
        <f>IF(OR(SUM($G$4)=0,SUM($H$4)=0),"",SUM($H$4)/SUM($G$4))</f>
        <v>#N/A</v>
      </c>
      <c r="N4" s="41" t="e">
        <f>IF(OR(SUM($G$4)=0,SUM($I$4)=0),"",SUM($I$4)/SUM($G$4))</f>
        <v>#N/A</v>
      </c>
      <c r="O4" s="41" t="e">
        <f>IF(OR(SUM($G$4)=0,SUM($J$4)=0),"",SUM($J$4)/SUM($G$4))</f>
        <v>#VALUE!</v>
      </c>
      <c r="P4" s="140">
        <f>IF(OR(SUM($G$4)=0,SUM($K$4)=0),"",SUM($K$4)/SUM($G$4))</f>
        <v>8.8221901798588454E-3</v>
      </c>
      <c r="Q4" s="41">
        <f>IF(OR(SUM($G$4)=0,SUM($Y$4)=0),"",SUM($Y$4)/SUM($G$4))</f>
        <v>0.2377058511041967</v>
      </c>
      <c r="R4" s="140">
        <f>IF(OR(SUM($G$4)=0,SUM($AB$4)=0),"",SUM($AB$4)/SUM($G$4))</f>
        <v>3.5592319951430522E-2</v>
      </c>
      <c r="S4" s="41">
        <f>IF(OR(SUM($G$4)=0,SUM($AE$4)=0),"",SUM($AE$4)/SUM($G$4))</f>
        <v>1.9219093875692494E-2</v>
      </c>
      <c r="T4" s="140">
        <f>IF(OR(SUM($G$4)=0,SUM($AH$4)=0),"",SUM($AH$4)/SUM($G$4))</f>
        <v>4.8076193367230784E-2</v>
      </c>
      <c r="U4" s="41" t="e">
        <f>IF(OR(SUM($G$4)=0,SUM($AK$4)=0),"",SUM($AK$4)/SUM($G$4))</f>
        <v>#DIV/0!</v>
      </c>
      <c r="V4" s="41" t="e">
        <f>SUM($M4:$U4)</f>
        <v>#N/A</v>
      </c>
      <c r="W4" s="132">
        <f>SUBTOTAL(109,W$15:INDEX(W:W,COUNTA($B:$B)+14-COUNTA($B$1:$B$14)))</f>
        <v>12529</v>
      </c>
      <c r="X4" s="77">
        <f>IF(SUM(Y4:Z4)=0,"",Y4/(SUM(Y4:Z4)))</f>
        <v>0.11240097966214216</v>
      </c>
      <c r="Y4" s="132">
        <f>SUBTOTAL(109,Y$15:INDEX(Y:Y,COUNTA($B:$B)+14-COUNTA($B$1:$B$14)))</f>
        <v>12529</v>
      </c>
      <c r="Z4" s="132">
        <f>SUBTOTAL(109,Z$15:INDEX(Z:Z,COUNTA($B:$B)+14-COUNTA($B$1:$B$14)))</f>
        <v>98938</v>
      </c>
      <c r="AA4" s="77">
        <f>IF(SUM(AB4:AC4)=0,"",AB4/(SUM(AB4:AC4)))</f>
        <v>0.12499167166366847</v>
      </c>
      <c r="AB4" s="132">
        <f>SUBTOTAL(109,AB$15:INDEX(AB:AB,COUNTA($B:$B)+14-COUNTA($B$1:$B$14)))</f>
        <v>1876</v>
      </c>
      <c r="AC4" s="132">
        <f>SUBTOTAL(109,AC$15:INDEX(AC:AC,COUNTA($B:$B)+14-COUNTA($B$1:$B$14)))</f>
        <v>13133</v>
      </c>
      <c r="AD4" s="77">
        <f>IF(SUM(AE4:AF4)=0,"",AE4/(SUM(AE4:AF4)))</f>
        <v>1.7375643224699828E-2</v>
      </c>
      <c r="AE4" s="132">
        <f>SUBTOTAL(109,AE$15:INDEX(AE:AE,COUNTA($B:$B)+14-COUNTA($B$1:$B$14)))</f>
        <v>1013</v>
      </c>
      <c r="AF4" s="132">
        <f>SUBTOTAL(109,AF$15:INDEX(AF:AF,COUNTA($B:$B)+14-COUNTA($B$1:$B$14)))</f>
        <v>57287</v>
      </c>
      <c r="AG4" s="77">
        <f>IF(SUM(AH4:AI4)=0,"",AH4/(SUM(AH4:AI4)))</f>
        <v>0.02</v>
      </c>
      <c r="AH4" s="132">
        <f>SUBTOTAL(109,AH$15:INDEX(AH:AH,COUNTA($B:$B)+14-COUNTA($B$1:$B$14)))</f>
        <v>2534</v>
      </c>
      <c r="AI4" s="132">
        <f>SUBTOTAL(109,AI$15:INDEX(AI:AI,COUNTA($B:$B)+14-COUNTA($B$1:$B$14)))</f>
        <v>124166</v>
      </c>
      <c r="AJ4" s="77" t="e">
        <f>IF(SUM(AK4:AL4)=0,"",AK4/(SUM(AK4:AL4)))</f>
        <v>#DIV/0!</v>
      </c>
      <c r="AK4" s="132" t="e">
        <f>SUBTOTAL(109,AK$15:INDEX(AK:AK,COUNTA($B:$B)+14-COUNTA($B$1:$B$14)))</f>
        <v>#DIV/0!</v>
      </c>
      <c r="AL4" s="132" t="e">
        <f>SUBTOTAL(109,AL$15:INDEX(AL:AL,COUNTA($B:$B)+14-COUNTA($B$1:$B$14)))</f>
        <v>#DIV/0!</v>
      </c>
      <c r="AM4" s="106">
        <f>SUBTOTAL(109,AM$15:INDEX(AM:AM,COUNTA($B:$B)+14-COUNTA($B$1:$B$14)))</f>
        <v>52708</v>
      </c>
      <c r="AN4" s="132">
        <f>SUBTOTAL(109,AN$15:INDEX(AN:AN,COUNTA($B:$B)+14-COUNTA($B$1:$B$14)))</f>
        <v>51912</v>
      </c>
      <c r="AO4" s="35" t="e">
        <f>SUBTOTAL(109,AO$15:INDEX(AO:AO,COUNTA($B:$B)+14-COUNTA($B$1:$B$14)))</f>
        <v>#VALUE!</v>
      </c>
      <c r="AP4" s="35" t="e">
        <f>SUBTOTAL(109,AP$15:INDEX(AP:AP,COUNTA($B:$B)+14-COUNTA($B$1:$B$14)))</f>
        <v>#N/A</v>
      </c>
      <c r="AQ4" s="35" t="e">
        <f>SUBTOTAL(109,AQ$15:INDEX(AQ:AQ,COUNTA($B:$B)+14-COUNTA($B$1:$B$14)))</f>
        <v>#N/A</v>
      </c>
      <c r="AR4" s="35" t="e">
        <f>SUBTOTAL(109,AR$15:INDEX(AR:AR,COUNTA($B:$B)+14-COUNTA($B$1:$B$14)))</f>
        <v>#VALUE!</v>
      </c>
      <c r="AS4" s="35">
        <f>SUBTOTAL(109,AS$15:INDEX(AS:AS,COUNTA($B:$B)+14-COUNTA($B$1:$B$14)))</f>
        <v>125069</v>
      </c>
      <c r="AT4" s="35">
        <f>SUBTOTAL(109,AT$15:INDEX(AT:AT,COUNTA($B:$B)+14-COUNTA($B$1:$B$14)))</f>
        <v>78332</v>
      </c>
      <c r="AU4" s="132">
        <f>SUBTOTAL(109,AU$15:INDEX(AU:AU,COUNTA($B:$B)+14-COUNTA($B$1:$B$14)))</f>
        <v>2745129</v>
      </c>
      <c r="AV4" s="132">
        <f>SUBTOTAL(109,AV$15:INDEX(AV:AV,COUNTA($B:$B)+14-COUNTA($B$1:$B$14)))</f>
        <v>2797041</v>
      </c>
      <c r="AW4" s="41">
        <f>IF($AV$4=0,"",$AN$4/$AV$4)</f>
        <v>1.8559613534445865E-2</v>
      </c>
      <c r="AX4" s="106">
        <f>SUBTOTAL(109,AX$15:INDEX(AX:AX,COUNTA($B:$B)+14-COUNTA($B$1:$B$14)))</f>
        <v>616654</v>
      </c>
      <c r="AY4" s="41">
        <f>IF($AX$4=0,"",$AZ$4/$AX$4-1)</f>
        <v>0.59509708848073628</v>
      </c>
      <c r="AZ4" s="132">
        <f>SUBTOTAL(109,AZ$15:INDEX(AZ:AZ,COUNTA($B:$B)+14-COUNTA($B$1:$B$14)))</f>
        <v>983623</v>
      </c>
      <c r="BA4" s="77">
        <f>IF($AN$4=0,"",$BB$4/$AN$4)</f>
        <v>0.54850516258283244</v>
      </c>
      <c r="BB4" s="132">
        <f>SUBTOTAL(109,BB$15:INDEX(BB:BB,COUNTA($B:$B)+14-COUNTA($B$1:$B$14)))</f>
        <v>28474</v>
      </c>
    </row>
    <row r="5" spans="1:54" ht="0" hidden="1" customHeight="1" x14ac:dyDescent="0.2">
      <c r="A5" t="s">
        <v>285</v>
      </c>
      <c r="B5" s="1" t="s">
        <v>285</v>
      </c>
      <c r="C5" s="1" t="s">
        <v>285</v>
      </c>
      <c r="D5" s="1" t="s">
        <v>285</v>
      </c>
      <c r="E5" s="1" t="s">
        <v>285</v>
      </c>
      <c r="F5" s="36" t="s">
        <v>285</v>
      </c>
      <c r="G5" s="38" t="s">
        <v>285</v>
      </c>
      <c r="H5" s="38" t="s">
        <v>285</v>
      </c>
      <c r="I5" s="38" t="s">
        <v>285</v>
      </c>
      <c r="J5" s="38" t="s">
        <v>285</v>
      </c>
      <c r="K5" s="38" t="s">
        <v>285</v>
      </c>
      <c r="L5" s="38" t="s">
        <v>285</v>
      </c>
      <c r="M5" s="36" t="s">
        <v>285</v>
      </c>
      <c r="N5" s="33" t="s">
        <v>285</v>
      </c>
      <c r="O5" s="33" t="s">
        <v>285</v>
      </c>
      <c r="P5" s="33" t="s">
        <v>285</v>
      </c>
      <c r="Q5" s="33" t="s">
        <v>285</v>
      </c>
      <c r="R5" s="33" t="s">
        <v>285</v>
      </c>
      <c r="S5" s="33" t="s">
        <v>285</v>
      </c>
      <c r="T5" s="33" t="s">
        <v>285</v>
      </c>
      <c r="U5" s="33" t="s">
        <v>285</v>
      </c>
      <c r="V5" s="33" t="s">
        <v>285</v>
      </c>
      <c r="W5" s="2" t="s">
        <v>393</v>
      </c>
      <c r="X5" s="36" t="s">
        <v>285</v>
      </c>
      <c r="Y5" s="2" t="s">
        <v>393</v>
      </c>
      <c r="Z5" s="2" t="s">
        <v>393</v>
      </c>
      <c r="AA5" s="36" t="s">
        <v>285</v>
      </c>
      <c r="AB5" s="2" t="s">
        <v>393</v>
      </c>
      <c r="AC5" s="2" t="s">
        <v>393</v>
      </c>
      <c r="AD5" s="36" t="s">
        <v>285</v>
      </c>
      <c r="AE5" s="2" t="s">
        <v>393</v>
      </c>
      <c r="AF5" s="2" t="s">
        <v>393</v>
      </c>
      <c r="AG5" s="36" t="s">
        <v>285</v>
      </c>
      <c r="AH5" s="2" t="s">
        <v>393</v>
      </c>
      <c r="AI5" s="2" t="s">
        <v>393</v>
      </c>
      <c r="AJ5" s="36" t="s">
        <v>285</v>
      </c>
      <c r="AK5" s="2" t="s">
        <v>393</v>
      </c>
      <c r="AL5" s="2" t="s">
        <v>393</v>
      </c>
      <c r="AM5" s="104" t="s">
        <v>285</v>
      </c>
      <c r="AN5" s="2" t="s">
        <v>285</v>
      </c>
      <c r="AO5" s="38" t="s">
        <v>285</v>
      </c>
      <c r="AP5" s="38" t="s">
        <v>285</v>
      </c>
      <c r="AQ5" s="38" t="s">
        <v>285</v>
      </c>
      <c r="AR5" s="38" t="s">
        <v>285</v>
      </c>
      <c r="AS5" s="38" t="s">
        <v>285</v>
      </c>
      <c r="AT5" s="38" t="s">
        <v>285</v>
      </c>
      <c r="AU5" s="2" t="s">
        <v>285</v>
      </c>
      <c r="AV5" s="2" t="s">
        <v>285</v>
      </c>
      <c r="AW5" s="33" t="s">
        <v>285</v>
      </c>
      <c r="AX5" s="104" t="s">
        <v>393</v>
      </c>
      <c r="AY5" s="33" t="s">
        <v>285</v>
      </c>
      <c r="AZ5" s="2" t="s">
        <v>393</v>
      </c>
      <c r="BA5" s="36" t="s">
        <v>285</v>
      </c>
      <c r="BB5" s="2" t="s">
        <v>393</v>
      </c>
    </row>
    <row r="6" spans="1:54" ht="0" hidden="1" customHeight="1" x14ac:dyDescent="0.2">
      <c r="A6" t="s">
        <v>287</v>
      </c>
      <c r="B6" s="1" t="s">
        <v>287</v>
      </c>
      <c r="C6" s="1" t="s">
        <v>287</v>
      </c>
      <c r="D6" s="1" t="s">
        <v>287</v>
      </c>
      <c r="E6" s="1" t="s">
        <v>287</v>
      </c>
      <c r="F6" s="36" t="s">
        <v>290</v>
      </c>
      <c r="G6" s="38" t="s">
        <v>290</v>
      </c>
      <c r="H6" s="38" t="s">
        <v>290</v>
      </c>
      <c r="I6" s="38" t="s">
        <v>290</v>
      </c>
      <c r="J6" s="38" t="s">
        <v>290</v>
      </c>
      <c r="K6" s="38" t="s">
        <v>290</v>
      </c>
      <c r="L6" s="38" t="s">
        <v>290</v>
      </c>
      <c r="M6" s="36" t="s">
        <v>290</v>
      </c>
      <c r="N6" s="33" t="s">
        <v>290</v>
      </c>
      <c r="O6" s="33" t="s">
        <v>290</v>
      </c>
      <c r="P6" s="33" t="s">
        <v>290</v>
      </c>
      <c r="Q6" s="33" t="s">
        <v>396</v>
      </c>
      <c r="R6" s="33" t="s">
        <v>396</v>
      </c>
      <c r="S6" s="33" t="s">
        <v>396</v>
      </c>
      <c r="T6" s="33" t="s">
        <v>396</v>
      </c>
      <c r="U6" s="33" t="s">
        <v>396</v>
      </c>
      <c r="V6" s="33" t="s">
        <v>290</v>
      </c>
      <c r="W6" s="2" t="s">
        <v>289</v>
      </c>
      <c r="X6" s="36" t="s">
        <v>396</v>
      </c>
      <c r="Y6" s="2" t="s">
        <v>289</v>
      </c>
      <c r="Z6" s="2" t="s">
        <v>289</v>
      </c>
      <c r="AA6" s="36" t="s">
        <v>396</v>
      </c>
      <c r="AB6" s="2" t="s">
        <v>289</v>
      </c>
      <c r="AC6" s="2" t="s">
        <v>289</v>
      </c>
      <c r="AD6" s="36" t="s">
        <v>396</v>
      </c>
      <c r="AE6" s="2" t="s">
        <v>289</v>
      </c>
      <c r="AF6" s="2" t="s">
        <v>289</v>
      </c>
      <c r="AG6" s="36" t="s">
        <v>396</v>
      </c>
      <c r="AH6" s="2" t="s">
        <v>289</v>
      </c>
      <c r="AI6" s="2" t="s">
        <v>289</v>
      </c>
      <c r="AJ6" s="36" t="s">
        <v>396</v>
      </c>
      <c r="AK6" s="2" t="s">
        <v>289</v>
      </c>
      <c r="AL6" s="2" t="s">
        <v>289</v>
      </c>
      <c r="AM6" s="104" t="s">
        <v>290</v>
      </c>
      <c r="AN6" s="2" t="s">
        <v>290</v>
      </c>
      <c r="AO6" s="38" t="s">
        <v>290</v>
      </c>
      <c r="AP6" s="38" t="s">
        <v>290</v>
      </c>
      <c r="AQ6" s="38" t="s">
        <v>290</v>
      </c>
      <c r="AR6" s="38" t="s">
        <v>290</v>
      </c>
      <c r="AS6" s="38" t="s">
        <v>290</v>
      </c>
      <c r="AT6" s="38" t="s">
        <v>290</v>
      </c>
      <c r="AU6" s="2" t="s">
        <v>290</v>
      </c>
      <c r="AV6" s="2" t="s">
        <v>290</v>
      </c>
      <c r="AW6" s="33" t="s">
        <v>290</v>
      </c>
      <c r="AX6" s="104" t="s">
        <v>288</v>
      </c>
      <c r="AY6" s="33" t="s">
        <v>395</v>
      </c>
      <c r="AZ6" s="2" t="s">
        <v>289</v>
      </c>
      <c r="BA6" s="36" t="s">
        <v>395</v>
      </c>
      <c r="BB6" s="2" t="s">
        <v>289</v>
      </c>
    </row>
    <row r="7" spans="1:54" ht="0" hidden="1" customHeight="1" x14ac:dyDescent="0.2">
      <c r="A7" t="s">
        <v>291</v>
      </c>
      <c r="B7" s="1" t="s">
        <v>291</v>
      </c>
      <c r="C7" s="1" t="s">
        <v>291</v>
      </c>
      <c r="D7" s="1" t="s">
        <v>291</v>
      </c>
      <c r="E7" s="1" t="s">
        <v>291</v>
      </c>
      <c r="F7" s="36" t="s">
        <v>398</v>
      </c>
      <c r="G7" s="38" t="s">
        <v>292</v>
      </c>
      <c r="H7" s="38" t="s">
        <v>292</v>
      </c>
      <c r="I7" s="38" t="s">
        <v>292</v>
      </c>
      <c r="J7" s="38" t="s">
        <v>292</v>
      </c>
      <c r="K7" s="38" t="s">
        <v>292</v>
      </c>
      <c r="L7" s="38" t="s">
        <v>292</v>
      </c>
      <c r="M7" s="36" t="s">
        <v>398</v>
      </c>
      <c r="N7" s="33" t="s">
        <v>398</v>
      </c>
      <c r="O7" s="33" t="s">
        <v>398</v>
      </c>
      <c r="P7" s="33" t="s">
        <v>398</v>
      </c>
      <c r="Q7" s="33" t="s">
        <v>398</v>
      </c>
      <c r="R7" s="33" t="s">
        <v>398</v>
      </c>
      <c r="S7" s="33" t="s">
        <v>398</v>
      </c>
      <c r="T7" s="33" t="s">
        <v>398</v>
      </c>
      <c r="U7" s="33" t="s">
        <v>398</v>
      </c>
      <c r="V7" s="33" t="s">
        <v>398</v>
      </c>
      <c r="W7" s="2" t="s">
        <v>292</v>
      </c>
      <c r="X7" s="36" t="s">
        <v>398</v>
      </c>
      <c r="Y7" s="2" t="s">
        <v>292</v>
      </c>
      <c r="Z7" s="2" t="s">
        <v>292</v>
      </c>
      <c r="AA7" s="36" t="s">
        <v>398</v>
      </c>
      <c r="AB7" s="2" t="s">
        <v>292</v>
      </c>
      <c r="AC7" s="2" t="s">
        <v>292</v>
      </c>
      <c r="AD7" s="36" t="s">
        <v>398</v>
      </c>
      <c r="AE7" s="2" t="s">
        <v>292</v>
      </c>
      <c r="AF7" s="2" t="s">
        <v>292</v>
      </c>
      <c r="AG7" s="36" t="s">
        <v>398</v>
      </c>
      <c r="AH7" s="2" t="s">
        <v>292</v>
      </c>
      <c r="AI7" s="2" t="s">
        <v>292</v>
      </c>
      <c r="AJ7" s="36" t="s">
        <v>398</v>
      </c>
      <c r="AK7" s="2" t="s">
        <v>292</v>
      </c>
      <c r="AL7" s="2" t="s">
        <v>292</v>
      </c>
      <c r="AM7" s="104" t="s">
        <v>292</v>
      </c>
      <c r="AN7" s="2" t="s">
        <v>292</v>
      </c>
      <c r="AO7" s="38" t="s">
        <v>292</v>
      </c>
      <c r="AP7" s="38" t="s">
        <v>292</v>
      </c>
      <c r="AQ7" s="38" t="s">
        <v>292</v>
      </c>
      <c r="AR7" s="38" t="s">
        <v>292</v>
      </c>
      <c r="AS7" s="38" t="s">
        <v>292</v>
      </c>
      <c r="AT7" s="38" t="s">
        <v>292</v>
      </c>
      <c r="AU7" s="2" t="s">
        <v>292</v>
      </c>
      <c r="AV7" s="2" t="s">
        <v>292</v>
      </c>
      <c r="AW7" s="33" t="s">
        <v>398</v>
      </c>
      <c r="AX7" s="104" t="s">
        <v>292</v>
      </c>
      <c r="AY7" s="33" t="s">
        <v>398</v>
      </c>
      <c r="AZ7" s="2" t="s">
        <v>292</v>
      </c>
      <c r="BA7" s="36" t="s">
        <v>398</v>
      </c>
      <c r="BB7" s="2" t="s">
        <v>292</v>
      </c>
    </row>
    <row r="8" spans="1:54" ht="0" hidden="1" customHeight="1" x14ac:dyDescent="0.2">
      <c r="B8" s="1"/>
      <c r="C8" s="1"/>
      <c r="D8" s="1"/>
      <c r="E8" s="1"/>
      <c r="F8" s="36"/>
      <c r="M8" s="36"/>
      <c r="N8" s="33"/>
      <c r="O8" s="33"/>
      <c r="P8" s="33"/>
      <c r="Q8" s="33"/>
      <c r="R8" s="33"/>
      <c r="S8" s="33"/>
      <c r="T8" s="33"/>
      <c r="U8" s="33"/>
      <c r="V8" s="33"/>
      <c r="W8" s="63" t="s">
        <v>762</v>
      </c>
      <c r="X8" s="36"/>
      <c r="Y8" s="63" t="s">
        <v>762</v>
      </c>
      <c r="Z8" s="63" t="s">
        <v>762</v>
      </c>
      <c r="AA8" s="36"/>
      <c r="AB8" s="63" t="s">
        <v>763</v>
      </c>
      <c r="AC8" s="63" t="s">
        <v>763</v>
      </c>
      <c r="AD8" s="36"/>
      <c r="AE8" s="63" t="s">
        <v>764</v>
      </c>
      <c r="AF8" s="63" t="s">
        <v>764</v>
      </c>
      <c r="AG8" s="36"/>
      <c r="AH8" s="63" t="s">
        <v>765</v>
      </c>
      <c r="AI8" s="63" t="s">
        <v>765</v>
      </c>
      <c r="AJ8" s="36"/>
      <c r="AK8" s="63" t="s">
        <v>766</v>
      </c>
      <c r="AL8" s="63" t="s">
        <v>766</v>
      </c>
      <c r="AW8" s="33"/>
      <c r="AX8" s="127" t="s">
        <v>1245</v>
      </c>
      <c r="AY8" s="33"/>
      <c r="AZ8" s="63" t="s">
        <v>1245</v>
      </c>
      <c r="BA8" s="36"/>
      <c r="BB8" s="63" t="s">
        <v>1246</v>
      </c>
    </row>
    <row r="9" spans="1:54" ht="0" hidden="1" customHeight="1" x14ac:dyDescent="0.2">
      <c r="B9" s="1"/>
      <c r="C9" s="1"/>
      <c r="D9" s="1"/>
      <c r="E9" s="1"/>
      <c r="F9" s="36"/>
      <c r="M9" s="36"/>
      <c r="N9" s="33"/>
      <c r="O9" s="33"/>
      <c r="P9" s="33"/>
      <c r="Q9" s="33"/>
      <c r="R9" s="33"/>
      <c r="S9" s="33"/>
      <c r="T9" s="33"/>
      <c r="U9" s="33"/>
      <c r="V9" s="33"/>
      <c r="W9" s="63" t="s">
        <v>1247</v>
      </c>
      <c r="X9" s="36"/>
      <c r="Y9" s="63" t="s">
        <v>1247</v>
      </c>
      <c r="Z9" s="63" t="s">
        <v>1247</v>
      </c>
      <c r="AA9" s="36"/>
      <c r="AB9" s="63" t="s">
        <v>1248</v>
      </c>
      <c r="AC9" s="63" t="s">
        <v>1248</v>
      </c>
      <c r="AD9" s="36"/>
      <c r="AE9" s="63" t="s">
        <v>1249</v>
      </c>
      <c r="AF9" s="63" t="s">
        <v>1249</v>
      </c>
      <c r="AG9" s="36"/>
      <c r="AH9" s="63" t="s">
        <v>1250</v>
      </c>
      <c r="AI9" s="63" t="s">
        <v>1250</v>
      </c>
      <c r="AJ9" s="36"/>
      <c r="AK9" s="63" t="s">
        <v>1251</v>
      </c>
      <c r="AL9" s="63" t="s">
        <v>1251</v>
      </c>
      <c r="AW9" s="33"/>
      <c r="AX9" s="127" t="s">
        <v>1252</v>
      </c>
      <c r="AY9" s="33"/>
      <c r="AZ9" s="63" t="s">
        <v>1252</v>
      </c>
      <c r="BA9" s="36"/>
      <c r="BB9" s="63" t="s">
        <v>1253</v>
      </c>
    </row>
    <row r="10" spans="1:54" ht="0" hidden="1" customHeight="1" x14ac:dyDescent="0.2">
      <c r="B10" s="1"/>
      <c r="C10" s="1"/>
      <c r="D10" s="1"/>
      <c r="E10" s="1"/>
      <c r="F10" s="36"/>
      <c r="M10" s="36"/>
      <c r="N10" s="33"/>
      <c r="O10" s="33"/>
      <c r="P10" s="33"/>
      <c r="Q10" s="33"/>
      <c r="R10" s="33"/>
      <c r="S10" s="33"/>
      <c r="T10" s="33"/>
      <c r="U10" s="33"/>
      <c r="V10" s="33"/>
      <c r="W10" s="63" t="s">
        <v>788</v>
      </c>
      <c r="X10" s="36"/>
      <c r="Y10" s="63" t="s">
        <v>788</v>
      </c>
      <c r="Z10" s="63" t="s">
        <v>790</v>
      </c>
      <c r="AA10" s="36"/>
      <c r="AB10" s="63" t="s">
        <v>422</v>
      </c>
      <c r="AC10" s="63" t="s">
        <v>541</v>
      </c>
      <c r="AD10" s="36"/>
      <c r="AE10" s="63" t="s">
        <v>422</v>
      </c>
      <c r="AF10" s="63" t="s">
        <v>541</v>
      </c>
      <c r="AG10" s="36"/>
      <c r="AH10" s="63" t="s">
        <v>422</v>
      </c>
      <c r="AI10" s="63" t="s">
        <v>541</v>
      </c>
      <c r="AJ10" s="36"/>
      <c r="AK10" s="63" t="s">
        <v>422</v>
      </c>
      <c r="AL10" s="63" t="s">
        <v>541</v>
      </c>
      <c r="AW10" s="33"/>
      <c r="AX10" s="65"/>
      <c r="AY10" s="33"/>
      <c r="AZ10" s="63"/>
      <c r="BA10" s="36"/>
      <c r="BB10" s="63" t="s">
        <v>422</v>
      </c>
    </row>
    <row r="11" spans="1:54" ht="0" hidden="1" customHeight="1" x14ac:dyDescent="0.2">
      <c r="B11" s="1"/>
      <c r="C11" s="1"/>
      <c r="D11" s="1"/>
      <c r="E11" s="1"/>
      <c r="F11" s="36" t="s">
        <v>424</v>
      </c>
      <c r="G11" s="38" t="s">
        <v>424</v>
      </c>
      <c r="H11" s="38" t="s">
        <v>804</v>
      </c>
      <c r="I11" s="38" t="s">
        <v>804</v>
      </c>
      <c r="J11" s="38" t="s">
        <v>424</v>
      </c>
      <c r="K11" s="38" t="s">
        <v>805</v>
      </c>
      <c r="L11" s="38" t="s">
        <v>424</v>
      </c>
      <c r="M11" s="36" t="s">
        <v>804</v>
      </c>
      <c r="N11" s="33" t="s">
        <v>804</v>
      </c>
      <c r="O11" s="33" t="s">
        <v>424</v>
      </c>
      <c r="P11" s="33" t="s">
        <v>805</v>
      </c>
      <c r="Q11" s="33" t="s">
        <v>424</v>
      </c>
      <c r="R11" s="33" t="s">
        <v>424</v>
      </c>
      <c r="S11" s="33" t="s">
        <v>424</v>
      </c>
      <c r="T11" s="33" t="s">
        <v>424</v>
      </c>
      <c r="U11" s="33" t="s">
        <v>424</v>
      </c>
      <c r="V11" s="33" t="s">
        <v>424</v>
      </c>
      <c r="W11" s="2" t="s">
        <v>424</v>
      </c>
      <c r="X11" s="36" t="s">
        <v>424</v>
      </c>
      <c r="Y11" s="2" t="s">
        <v>424</v>
      </c>
      <c r="Z11" s="2" t="s">
        <v>424</v>
      </c>
      <c r="AA11" s="36" t="s">
        <v>424</v>
      </c>
      <c r="AB11" s="2" t="s">
        <v>424</v>
      </c>
      <c r="AC11" s="2" t="s">
        <v>424</v>
      </c>
      <c r="AD11" s="36" t="s">
        <v>424</v>
      </c>
      <c r="AE11" s="2" t="s">
        <v>424</v>
      </c>
      <c r="AF11" s="2" t="s">
        <v>424</v>
      </c>
      <c r="AG11" s="36" t="s">
        <v>424</v>
      </c>
      <c r="AH11" s="2" t="s">
        <v>424</v>
      </c>
      <c r="AI11" s="2" t="s">
        <v>424</v>
      </c>
      <c r="AJ11" s="36" t="s">
        <v>424</v>
      </c>
      <c r="AK11" s="2" t="s">
        <v>424</v>
      </c>
      <c r="AL11" s="2" t="s">
        <v>424</v>
      </c>
      <c r="AM11" s="104" t="s">
        <v>424</v>
      </c>
      <c r="AN11" s="2" t="s">
        <v>424</v>
      </c>
      <c r="AO11" s="38" t="s">
        <v>424</v>
      </c>
      <c r="AP11" s="38" t="s">
        <v>804</v>
      </c>
      <c r="AQ11" s="38" t="s">
        <v>804</v>
      </c>
      <c r="AR11" s="38" t="s">
        <v>424</v>
      </c>
      <c r="AS11" s="38" t="s">
        <v>805</v>
      </c>
      <c r="AT11" s="38" t="s">
        <v>805</v>
      </c>
      <c r="AU11" s="2" t="s">
        <v>424</v>
      </c>
      <c r="AV11" s="2" t="s">
        <v>424</v>
      </c>
      <c r="AW11" s="33" t="s">
        <v>424</v>
      </c>
      <c r="AX11" s="104" t="s">
        <v>804</v>
      </c>
      <c r="AY11" s="33" t="s">
        <v>804</v>
      </c>
      <c r="AZ11" s="2" t="s">
        <v>804</v>
      </c>
      <c r="BA11" s="36" t="s">
        <v>805</v>
      </c>
      <c r="BB11" s="2" t="s">
        <v>805</v>
      </c>
    </row>
    <row r="12" spans="1:54" ht="0" hidden="1" customHeight="1" x14ac:dyDescent="0.2">
      <c r="B12" s="1"/>
      <c r="C12" s="1"/>
      <c r="D12" s="1"/>
      <c r="E12" s="1"/>
      <c r="F12" s="36" t="s">
        <v>427</v>
      </c>
      <c r="G12" s="38" t="s">
        <v>427</v>
      </c>
      <c r="H12" s="38" t="s">
        <v>813</v>
      </c>
      <c r="I12" s="38" t="s">
        <v>813</v>
      </c>
      <c r="J12" s="38" t="s">
        <v>427</v>
      </c>
      <c r="K12" s="38" t="s">
        <v>814</v>
      </c>
      <c r="L12" s="38" t="s">
        <v>427</v>
      </c>
      <c r="M12" s="36" t="s">
        <v>813</v>
      </c>
      <c r="N12" s="33" t="s">
        <v>813</v>
      </c>
      <c r="O12" s="33" t="s">
        <v>427</v>
      </c>
      <c r="P12" s="33" t="s">
        <v>814</v>
      </c>
      <c r="Q12" s="33" t="s">
        <v>427</v>
      </c>
      <c r="R12" s="33" t="s">
        <v>427</v>
      </c>
      <c r="S12" s="33" t="s">
        <v>427</v>
      </c>
      <c r="T12" s="33" t="s">
        <v>427</v>
      </c>
      <c r="U12" s="33" t="s">
        <v>427</v>
      </c>
      <c r="V12" s="33" t="s">
        <v>427</v>
      </c>
      <c r="W12" s="2" t="s">
        <v>427</v>
      </c>
      <c r="X12" s="36" t="s">
        <v>427</v>
      </c>
      <c r="Y12" s="2" t="s">
        <v>427</v>
      </c>
      <c r="Z12" s="2" t="s">
        <v>427</v>
      </c>
      <c r="AA12" s="36" t="s">
        <v>427</v>
      </c>
      <c r="AB12" s="2" t="s">
        <v>427</v>
      </c>
      <c r="AC12" s="2" t="s">
        <v>427</v>
      </c>
      <c r="AD12" s="36" t="s">
        <v>427</v>
      </c>
      <c r="AE12" s="2" t="s">
        <v>427</v>
      </c>
      <c r="AF12" s="2" t="s">
        <v>427</v>
      </c>
      <c r="AG12" s="36" t="s">
        <v>427</v>
      </c>
      <c r="AH12" s="2" t="s">
        <v>427</v>
      </c>
      <c r="AI12" s="2" t="s">
        <v>427</v>
      </c>
      <c r="AJ12" s="36" t="s">
        <v>427</v>
      </c>
      <c r="AK12" s="2" t="s">
        <v>427</v>
      </c>
      <c r="AL12" s="2" t="s">
        <v>427</v>
      </c>
      <c r="AM12" s="104" t="s">
        <v>427</v>
      </c>
      <c r="AN12" s="2" t="s">
        <v>427</v>
      </c>
      <c r="AO12" s="38" t="s">
        <v>427</v>
      </c>
      <c r="AP12" s="38" t="s">
        <v>813</v>
      </c>
      <c r="AQ12" s="38" t="s">
        <v>813</v>
      </c>
      <c r="AR12" s="38" t="s">
        <v>427</v>
      </c>
      <c r="AS12" s="38" t="s">
        <v>814</v>
      </c>
      <c r="AT12" s="38" t="s">
        <v>427</v>
      </c>
      <c r="AU12" s="2" t="s">
        <v>427</v>
      </c>
      <c r="AV12" s="2" t="s">
        <v>427</v>
      </c>
      <c r="AW12" s="33" t="s">
        <v>427</v>
      </c>
      <c r="AX12" s="104" t="s">
        <v>427</v>
      </c>
      <c r="AY12" s="33" t="s">
        <v>427</v>
      </c>
      <c r="AZ12" s="2" t="s">
        <v>427</v>
      </c>
      <c r="BA12" s="36" t="s">
        <v>427</v>
      </c>
      <c r="BB12" s="2" t="s">
        <v>427</v>
      </c>
    </row>
    <row r="13" spans="1:54" ht="0" hidden="1" customHeight="1" x14ac:dyDescent="0.2">
      <c r="B13" s="1"/>
      <c r="C13" s="1"/>
      <c r="D13" s="1"/>
      <c r="E13" s="1"/>
      <c r="F13" s="36"/>
      <c r="M13" s="36"/>
      <c r="N13" s="33"/>
      <c r="O13" s="33"/>
      <c r="P13" s="33"/>
      <c r="Q13" s="33"/>
      <c r="R13" s="33"/>
      <c r="S13" s="33"/>
      <c r="T13" s="33"/>
      <c r="U13" s="33"/>
      <c r="V13" s="33"/>
      <c r="X13" s="36"/>
      <c r="AA13" s="36"/>
      <c r="AD13" s="36"/>
      <c r="AG13" s="36"/>
      <c r="AJ13" s="36"/>
      <c r="AW13" s="33"/>
      <c r="AY13" s="33"/>
      <c r="BB13" s="2"/>
    </row>
    <row r="14" spans="1:54" x14ac:dyDescent="0.2">
      <c r="A14" s="131" t="s">
        <v>280</v>
      </c>
      <c r="B14" s="15" t="s">
        <v>294</v>
      </c>
      <c r="C14" s="47" t="s">
        <v>428</v>
      </c>
      <c r="D14" s="47" t="s">
        <v>429</v>
      </c>
      <c r="E14" s="47" t="s">
        <v>20</v>
      </c>
      <c r="F14" s="56" t="s">
        <v>145</v>
      </c>
      <c r="G14" s="18" t="s">
        <v>1064</v>
      </c>
      <c r="H14" s="18" t="s">
        <v>865</v>
      </c>
      <c r="I14" s="18" t="s">
        <v>1060</v>
      </c>
      <c r="J14" s="18" t="s">
        <v>879</v>
      </c>
      <c r="K14" s="18" t="s">
        <v>893</v>
      </c>
      <c r="L14" s="18" t="s">
        <v>1254</v>
      </c>
      <c r="M14" s="56" t="s">
        <v>1255</v>
      </c>
      <c r="N14" s="48" t="s">
        <v>1256</v>
      </c>
      <c r="O14" s="48" t="s">
        <v>1257</v>
      </c>
      <c r="P14" s="48" t="s">
        <v>1258</v>
      </c>
      <c r="Q14" s="48" t="s">
        <v>1259</v>
      </c>
      <c r="R14" s="48" t="s">
        <v>1260</v>
      </c>
      <c r="S14" s="48" t="s">
        <v>1261</v>
      </c>
      <c r="T14" s="48" t="s">
        <v>1262</v>
      </c>
      <c r="U14" s="48" t="s">
        <v>1263</v>
      </c>
      <c r="V14" s="48" t="s">
        <v>1264</v>
      </c>
      <c r="W14" s="49" t="s">
        <v>1266</v>
      </c>
      <c r="X14" s="56" t="s">
        <v>1265</v>
      </c>
      <c r="Y14" s="49" t="s">
        <v>1266</v>
      </c>
      <c r="Z14" s="49" t="s">
        <v>1267</v>
      </c>
      <c r="AA14" s="56" t="s">
        <v>1268</v>
      </c>
      <c r="AB14" s="49" t="s">
        <v>1269</v>
      </c>
      <c r="AC14" s="49" t="s">
        <v>1270</v>
      </c>
      <c r="AD14" s="56" t="s">
        <v>1271</v>
      </c>
      <c r="AE14" s="49" t="s">
        <v>1272</v>
      </c>
      <c r="AF14" s="49" t="s">
        <v>1273</v>
      </c>
      <c r="AG14" s="56" t="s">
        <v>1274</v>
      </c>
      <c r="AH14" s="49" t="s">
        <v>1275</v>
      </c>
      <c r="AI14" s="49" t="s">
        <v>1276</v>
      </c>
      <c r="AJ14" s="56" t="s">
        <v>1277</v>
      </c>
      <c r="AK14" s="49" t="s">
        <v>1278</v>
      </c>
      <c r="AL14" s="49" t="s">
        <v>1279</v>
      </c>
      <c r="AM14" s="55" t="s">
        <v>1280</v>
      </c>
      <c r="AN14" s="49" t="s">
        <v>1281</v>
      </c>
      <c r="AO14" s="18" t="s">
        <v>1282</v>
      </c>
      <c r="AP14" s="18" t="s">
        <v>866</v>
      </c>
      <c r="AQ14" s="18" t="s">
        <v>1061</v>
      </c>
      <c r="AR14" s="18" t="s">
        <v>880</v>
      </c>
      <c r="AS14" s="18" t="s">
        <v>894</v>
      </c>
      <c r="AT14" s="18" t="s">
        <v>1283</v>
      </c>
      <c r="AU14" s="49" t="s">
        <v>1284</v>
      </c>
      <c r="AV14" s="49" t="s">
        <v>1285</v>
      </c>
      <c r="AW14" s="48" t="s">
        <v>1286</v>
      </c>
      <c r="AX14" s="55" t="s">
        <v>1287</v>
      </c>
      <c r="AY14" s="48" t="s">
        <v>1288</v>
      </c>
      <c r="AZ14" s="49" t="s">
        <v>861</v>
      </c>
      <c r="BA14" s="56" t="s">
        <v>858</v>
      </c>
      <c r="BB14" s="49" t="s">
        <v>857</v>
      </c>
    </row>
    <row r="15" spans="1:54" x14ac:dyDescent="0.2">
      <c r="A15" t="str">
        <f>INDEX(Prioritization!$D:$D,MATCH($B15,Prioritization!$A:$A,0))</f>
        <v>Military</v>
      </c>
      <c r="B15" t="s">
        <v>326</v>
      </c>
      <c r="C15" t="s">
        <v>473</v>
      </c>
      <c r="D15" t="s">
        <v>30</v>
      </c>
      <c r="E15" t="str">
        <f t="shared" ref="E15:E78" si="0">$B15&amp;"|"&amp;$C15&amp;"|"&amp;$D15</f>
        <v>_Military Malawi [PQZgU9dagaH]|01-09|Female</v>
      </c>
      <c r="F15" s="36" t="str">
        <f>IF(LEFT($B15,4)="_Mil","",INDEX(Cascade!$AA:$AA,MATCH($E15,Cascade!$E:$E,0)))</f>
        <v/>
      </c>
      <c r="G15" s="38">
        <f>INDEX(Cascade!$BH:$BH,MATCH($E15,Cascade!$E:$E,0))</f>
        <v>5</v>
      </c>
      <c r="H15" s="38" t="str">
        <f>IF(OR($C15="01-09",$D15="Male"),"",INDEX(PMTCT!$AC:$AC,MATCH($E15,PMTCT!$E:$E,0)))</f>
        <v/>
      </c>
      <c r="I15" s="38" t="str">
        <f>IF(OR($C15="01-09",$D15="Male"),"",INDEX(PMTCT!$AS:$AS,MATCH($E15,PMTCT!$E:$E,0)))</f>
        <v/>
      </c>
      <c r="J15" s="38" t="str">
        <f>INDEX(TB!$P:$P,MATCH($E15,TB!$E:$E,0))</f>
        <v/>
      </c>
      <c r="K15" s="38" t="str">
        <f>IF(OR($C15="01-09",$C15="10-14",$D15="Female"),"",INDEX(VMMC!$AA:$AA,MATCH($E15,VMMC!$E:$E,0)))</f>
        <v/>
      </c>
      <c r="L15" s="38">
        <f t="shared" ref="L15:L78" si="1">SUM($G15)-SUM($H15:$K15)</f>
        <v>5</v>
      </c>
      <c r="M15" s="36" t="str">
        <f t="shared" ref="M15:M78" si="2">IF(OR($C15="01-09",$D15="Male",AND(SUM($G15)=0,SUM($H15)=0)),"",SUM($H15)/SUM($G15))</f>
        <v/>
      </c>
      <c r="N15" s="33" t="str">
        <f t="shared" ref="N15:N78" si="3">IF(OR($C15="01-09",$D15="Male",AND(SUM($G15)=0,SUM($I15)=0)),"",SUM($I15)/SUM($G15))</f>
        <v/>
      </c>
      <c r="O15" s="33">
        <f t="shared" ref="O15:O78" si="4">IF(AND(SUM($G15)=0,SUM($J15)=0),"",SUM($J15)/SUM($G15))</f>
        <v>0</v>
      </c>
      <c r="P15" s="33" t="str">
        <f t="shared" ref="P15:P78" si="5">IF(OR($C15="01-09",$C15="10-14",$D15="Female",AND(SUM($G15)=0,SUM($K15)=0)),"",SUM($K15)/SUM($G15))</f>
        <v/>
      </c>
      <c r="Q15" s="33"/>
      <c r="R15" s="33"/>
      <c r="S15" s="33">
        <v>0.4</v>
      </c>
      <c r="T15" s="33"/>
      <c r="U15" s="33">
        <v>0.6</v>
      </c>
      <c r="V15" s="33">
        <f t="shared" ref="V15:V78" si="6">IF(SUM($G15)=0,"",SUM($M15:$U15))</f>
        <v>1</v>
      </c>
      <c r="W15" s="218" t="str">
        <f t="shared" ref="W15:Y78" si="7">IF(OR(SUM($G15)=0,SUM($Q15)=0),"",ROUND(SUM($G15)*SUM($Q15),0))</f>
        <v/>
      </c>
      <c r="X15" s="36">
        <v>2.1999999999999999E-2</v>
      </c>
      <c r="Y15" s="218" t="str">
        <f t="shared" si="7"/>
        <v/>
      </c>
      <c r="Z15" s="218" t="str">
        <f t="shared" ref="Z15:Z78" si="8">IF(SUM($Y15)=0,"",IF(SUM($X15)=0,"ENTER YIELD",ROUND($Y15/$X15,0)-$Y15))</f>
        <v/>
      </c>
      <c r="AA15" s="36">
        <v>0.12</v>
      </c>
      <c r="AB15" s="218" t="str">
        <f t="shared" ref="AB15:AB78" si="9">IF(OR(SUM($G15)=0,SUM($R15)=0),"",ROUND(SUM($G15)*SUM($R15),0))</f>
        <v/>
      </c>
      <c r="AC15" s="218" t="str">
        <f t="shared" ref="AC15:AC78" si="10">IF(SUM($AB15)=0,"",IF(SUM($AA15)=0,"ENTER YIELD",ROUND($AB15/$AA15,0)-$AB15))</f>
        <v/>
      </c>
      <c r="AD15" s="36">
        <v>0.02</v>
      </c>
      <c r="AE15" s="218">
        <f t="shared" ref="AE15:AE78" si="11">IF(OR(SUM($G15)=0,SUM($S15)=0),"",ROUND(SUM($G15)*SUM($S15),0))</f>
        <v>2</v>
      </c>
      <c r="AF15" s="218">
        <f t="shared" ref="AF15:AF78" si="12">IF(SUM($AE15)=0,"",IF(SUM($AD15)=0,"ENTER YIELD",ROUND($AE15/$AD15,0)-$AE15))</f>
        <v>98</v>
      </c>
      <c r="AG15" s="36">
        <v>0.02</v>
      </c>
      <c r="AH15" s="218" t="str">
        <f t="shared" ref="AH15:AH78" si="13">IF(OR(SUM($G15)=0,SUM($T15)=0),"",ROUND(SUM($G15)*SUM($T15),0))</f>
        <v/>
      </c>
      <c r="AI15" s="218" t="str">
        <f t="shared" ref="AI15:AI78" si="14">IF(SUM($AH15)=0,"",IF(SUM($AG15)=0,"ENTER YIELD",ROUND($AH15/$AG15,0)-$AH15))</f>
        <v/>
      </c>
      <c r="AJ15" s="36">
        <v>0.03</v>
      </c>
      <c r="AK15" s="218">
        <f t="shared" ref="AK15:AK78" si="15">IF(OR(SUM($G15)=0,SUM($U15)=0),"",ROUND(SUM($G15)*SUM($U15),0))</f>
        <v>3</v>
      </c>
      <c r="AL15" s="218">
        <f t="shared" ref="AL15:AL78" si="16">IF(SUM($AK15)=0,"",IF(SUM($AJ15)=0,"ENTER YIELD",ROUND($AK15/$AJ15,0)-$AK15))</f>
        <v>97</v>
      </c>
      <c r="AM15" s="104">
        <f t="shared" ref="AM15:AM78" si="17">IF(SUM($G15)=0,"",$G15)</f>
        <v>5</v>
      </c>
      <c r="AN15" s="38">
        <f t="shared" ref="AN15:AN78" si="18">IFERROR(1/(1/SUM($H15:$K15,$Y15,$AB15,$AE15,$AH15,$AK15)),"")</f>
        <v>5</v>
      </c>
      <c r="AO15" s="38">
        <f t="shared" ref="AO15:AO78" si="19">IF(AND(SUM($AN15)=0,SUM($AM15)=0),"",$AN15-$AM15)</f>
        <v>0</v>
      </c>
      <c r="AP15" s="38" t="str">
        <f>IF(OR($C15="01-09",$D15="Male"),"",INDEX(PMTCT!$AD:$AD,MATCH($E15,PMTCT!$E:$E,0)))</f>
        <v/>
      </c>
      <c r="AQ15" s="38" t="str">
        <f>IF(OR($C15="01-09",$D15="Male"),"",INDEX(PMTCT!$AT:$AT,MATCH($E15,PMTCT!$E:$E,0)))</f>
        <v/>
      </c>
      <c r="AR15" s="38" t="str">
        <f>INDEX(TB!$Q:$Q,MATCH($E15,TB!$E:$E,0))</f>
        <v/>
      </c>
      <c r="AS15" s="38" t="str">
        <f>IF(OR($C15="01-09",$C15="10-14",$D15="Female"),"",INDEX(VMMC!$AB:$AB,MATCH($E15,VMMC!$E:$E,0)))</f>
        <v/>
      </c>
      <c r="AT15" s="38" t="str">
        <f>IF(OR($C15="01-09",$C15="10-14"),"",INDEX(PrEP!$Q:$Q,MATCH($E15,PrEP!$E:$E,0)))</f>
        <v/>
      </c>
      <c r="AU15" s="38">
        <f t="shared" ref="AU15:AU78" si="20">IFERROR(1/(1/SUM($Z15,$AC15,$AF15,$AI15,$AL15,$AP15:$AT15)),"")</f>
        <v>195</v>
      </c>
      <c r="AV15" s="38">
        <f t="shared" ref="AV15:AV78" si="21">IFERROR(1/(1/SUM($AU15,$AN15)),"")</f>
        <v>200</v>
      </c>
      <c r="AW15" s="33">
        <f t="shared" ref="AW15:AW78" si="22">IF(AND(SUM($AN15)=0,SUM($AV15)=0),"",$AN15/$AV15)</f>
        <v>2.5000000000000001E-2</v>
      </c>
      <c r="AX15" s="38"/>
      <c r="AY15" s="33" t="str">
        <f t="shared" ref="AY15:AY78" si="23">IF(OR($C15="01-09",SUM($AX15)=0),"",0%)</f>
        <v/>
      </c>
      <c r="AZ15" s="218" t="str">
        <f t="shared" ref="AZ15:AZ78" si="24">IF(OR($C15="01-09",SUM($AX15)=0),"",ROUND($AX15*(1+$AY15),0))</f>
        <v/>
      </c>
      <c r="BA15" s="36" t="str">
        <f t="shared" ref="BA15:BA78" si="25">IF(OR($C15="01-09",$C15="10-14"),"",100%)</f>
        <v/>
      </c>
      <c r="BB15" s="218" t="str">
        <f t="shared" ref="BB15:BB78" si="26">IF(OR(SUM($AN15)=0,$C15="01-09",$C15="10-14"),"",ROUND($AN15*$BA15,0))</f>
        <v/>
      </c>
    </row>
    <row r="16" spans="1:54" x14ac:dyDescent="0.2">
      <c r="A16" t="str">
        <f>INDEX(Prioritization!$D:$D,MATCH($B16,Prioritization!$A:$A,0))</f>
        <v>Military</v>
      </c>
      <c r="B16" t="s">
        <v>326</v>
      </c>
      <c r="C16" t="s">
        <v>473</v>
      </c>
      <c r="D16" t="s">
        <v>48</v>
      </c>
      <c r="E16" t="str">
        <f t="shared" si="0"/>
        <v>_Military Malawi [PQZgU9dagaH]|01-09|Male</v>
      </c>
      <c r="F16" s="33" t="str">
        <f>IF(LEFT($B16,4)="_Mil","",INDEX(Cascade!$AA:$AA,MATCH($E16,Cascade!$E:$E,0)))</f>
        <v/>
      </c>
      <c r="G16" s="38">
        <f>INDEX(Cascade!$BH:$BH,MATCH($E16,Cascade!$E:$E,0))</f>
        <v>5</v>
      </c>
      <c r="H16" s="38" t="str">
        <f>IF(OR($C16="01-09",$D16="Male"),"",INDEX(PMTCT!$AC:$AC,MATCH($E16,PMTCT!$E:$E,0)))</f>
        <v/>
      </c>
      <c r="I16" s="38" t="str">
        <f>IF(OR($C16="01-09",$D16="Male"),"",INDEX(PMTCT!$AS:$AS,MATCH($E16,PMTCT!$E:$E,0)))</f>
        <v/>
      </c>
      <c r="J16" s="38" t="str">
        <f>INDEX(TB!$P:$P,MATCH($E16,TB!$E:$E,0))</f>
        <v/>
      </c>
      <c r="K16" s="38" t="str">
        <f>IF(OR($C16="01-09",$C16="10-14",$D16="Female"),"",INDEX(VMMC!$AA:$AA,MATCH($E16,VMMC!$E:$E,0)))</f>
        <v/>
      </c>
      <c r="L16" s="38">
        <f t="shared" si="1"/>
        <v>5</v>
      </c>
      <c r="M16" s="33" t="str">
        <f t="shared" si="2"/>
        <v/>
      </c>
      <c r="N16" s="33" t="str">
        <f t="shared" si="3"/>
        <v/>
      </c>
      <c r="O16" s="33">
        <f t="shared" si="4"/>
        <v>0</v>
      </c>
      <c r="P16" s="33" t="str">
        <f t="shared" si="5"/>
        <v/>
      </c>
      <c r="Q16" s="33">
        <v>0.25</v>
      </c>
      <c r="R16" s="33"/>
      <c r="S16" s="33">
        <v>0.5</v>
      </c>
      <c r="T16" s="33"/>
      <c r="U16" s="33">
        <v>0.25</v>
      </c>
      <c r="V16" s="33">
        <f t="shared" si="6"/>
        <v>1</v>
      </c>
      <c r="W16" s="218">
        <f>IF(OR(SUM($G16)=0,SUM($Q16)=0),"",ROUND(SUM($G16)*SUM($Q16),0))</f>
        <v>1</v>
      </c>
      <c r="X16" s="33">
        <v>7.8E-2</v>
      </c>
      <c r="Y16" s="218">
        <f>IF(OR(SUM($G16)=0,SUM($Q16)=0),"",ROUND(SUM($G16)*SUM($Q16),0))</f>
        <v>1</v>
      </c>
      <c r="Z16" s="218">
        <f>IF(SUM($Y16)=0,"",IF(SUM($X16)=0,"ENTER YIELD",ROUND($Y16/$X16,0)-$Y16))</f>
        <v>12</v>
      </c>
      <c r="AA16" s="36">
        <v>0.12</v>
      </c>
      <c r="AB16" s="218" t="str">
        <f>IF(OR(SUM($G16)=0,SUM($R16)=0),"",ROUND(SUM($G16)*SUM($R16),0))</f>
        <v/>
      </c>
      <c r="AC16" s="218" t="str">
        <f>IF(SUM($AB16)=0,"",IF(SUM($AA16)=0,"ENTER YIELD",ROUND($AB16/$AA16,0)-$AB16))</f>
        <v/>
      </c>
      <c r="AD16" s="33">
        <v>0.02</v>
      </c>
      <c r="AE16" s="218">
        <f>IF(OR(SUM($G16)=0,SUM($S16)=0),"",ROUND(SUM($G16)*SUM($S16),0))</f>
        <v>3</v>
      </c>
      <c r="AF16" s="218">
        <f>IF(SUM($AE16)=0,"",IF(SUM($AD16)=0,"ENTER YIELD",ROUND($AE16/$AD16,0)-$AE16))</f>
        <v>147</v>
      </c>
      <c r="AG16" s="33">
        <v>0.02</v>
      </c>
      <c r="AH16" s="218" t="str">
        <f>IF(OR(SUM($G16)=0,SUM($T16)=0),"",ROUND(SUM($G16)*SUM($T16),0))</f>
        <v/>
      </c>
      <c r="AI16" s="218" t="str">
        <f>IF(SUM($AH16)=0,"",IF(SUM($AG16)=0,"ENTER YIELD",ROUND($AH16/$AG16,0)-$AH16))</f>
        <v/>
      </c>
      <c r="AJ16" s="33">
        <v>1.2E-2</v>
      </c>
      <c r="AK16" s="218">
        <f>IF(OR(SUM($G16)=0,SUM($U16)=0),"",ROUND(SUM($G16)*SUM($U16),0))</f>
        <v>1</v>
      </c>
      <c r="AL16" s="218">
        <f>IF(SUM($AK16)=0,"",IF(SUM($AJ16)=0,"ENTER YIELD",ROUND($AK16/$AJ16,0)-$AK16))</f>
        <v>82</v>
      </c>
      <c r="AM16" s="38">
        <f t="shared" si="17"/>
        <v>5</v>
      </c>
      <c r="AN16" s="38">
        <f t="shared" si="18"/>
        <v>5</v>
      </c>
      <c r="AO16" s="38">
        <f t="shared" si="19"/>
        <v>0</v>
      </c>
      <c r="AP16" s="38" t="str">
        <f>IF(OR($C16="01-09",$D16="Male"),"",INDEX(PMTCT!$AD:$AD,MATCH($E16,PMTCT!$E:$E,0)))</f>
        <v/>
      </c>
      <c r="AQ16" s="38" t="str">
        <f>IF(OR($C16="01-09",$D16="Male"),"",INDEX(PMTCT!$AT:$AT,MATCH($E16,PMTCT!$E:$E,0)))</f>
        <v/>
      </c>
      <c r="AR16" s="38" t="str">
        <f>INDEX(TB!$Q:$Q,MATCH($E16,TB!$E:$E,0))</f>
        <v/>
      </c>
      <c r="AS16" s="38" t="str">
        <f>IF(OR($C16="01-09",$C16="10-14",$D16="Female"),"",INDEX(VMMC!$AB:$AB,MATCH($E16,VMMC!$E:$E,0)))</f>
        <v/>
      </c>
      <c r="AT16" s="38" t="str">
        <f>IF(OR($C16="01-09",$C16="10-14"),"",INDEX(PrEP!$Q:$Q,MATCH($E16,PrEP!$E:$E,0)))</f>
        <v/>
      </c>
      <c r="AU16" s="38">
        <f t="shared" si="20"/>
        <v>241</v>
      </c>
      <c r="AV16" s="38">
        <f t="shared" si="21"/>
        <v>245.99999999999997</v>
      </c>
      <c r="AW16" s="33">
        <f t="shared" si="22"/>
        <v>2.0325203252032523E-2</v>
      </c>
      <c r="AX16" s="38"/>
      <c r="AY16" s="33" t="str">
        <f t="shared" si="23"/>
        <v/>
      </c>
      <c r="AZ16" s="218" t="str">
        <f t="shared" si="24"/>
        <v/>
      </c>
      <c r="BA16" s="33" t="str">
        <f t="shared" si="25"/>
        <v/>
      </c>
      <c r="BB16" s="218" t="str">
        <f t="shared" si="26"/>
        <v/>
      </c>
    </row>
    <row r="17" spans="1:54" x14ac:dyDescent="0.2">
      <c r="A17" t="str">
        <f>INDEX(Prioritization!$D:$D,MATCH($B17,Prioritization!$A:$A,0))</f>
        <v>Military</v>
      </c>
      <c r="B17" t="s">
        <v>326</v>
      </c>
      <c r="C17" t="s">
        <v>474</v>
      </c>
      <c r="D17" t="s">
        <v>30</v>
      </c>
      <c r="E17" t="str">
        <f t="shared" si="0"/>
        <v>_Military Malawi [PQZgU9dagaH]|10-14|Female</v>
      </c>
      <c r="F17" s="33" t="str">
        <f>IF(LEFT($B17,4)="_Mil","",INDEX(Cascade!$AA:$AA,MATCH($E17,Cascade!$E:$E,0)))</f>
        <v/>
      </c>
      <c r="G17" s="38">
        <f>INDEX(Cascade!$BH:$BH,MATCH($E17,Cascade!$E:$E,0))</f>
        <v>5</v>
      </c>
      <c r="H17" s="38">
        <f>IF(OR($C17="01-09",$D17="Male"),"",INDEX(PMTCT!$AC:$AC,MATCH($E17,PMTCT!$E:$E,0)))</f>
        <v>0</v>
      </c>
      <c r="I17" s="38">
        <f>IF(OR($C17="01-09",$D17="Male"),"",INDEX(PMTCT!$AS:$AS,MATCH($E17,PMTCT!$E:$E,0)))</f>
        <v>0</v>
      </c>
      <c r="J17" s="38" t="str">
        <f>INDEX(TB!$P:$P,MATCH($E17,TB!$E:$E,0))</f>
        <v/>
      </c>
      <c r="K17" s="38" t="str">
        <f>IF(OR($C17="01-09",$C17="10-14",$D17="Female"),"",INDEX(VMMC!$AA:$AA,MATCH($E17,VMMC!$E:$E,0)))</f>
        <v/>
      </c>
      <c r="L17" s="38">
        <f t="shared" si="1"/>
        <v>5</v>
      </c>
      <c r="M17" s="33">
        <f t="shared" si="2"/>
        <v>0</v>
      </c>
      <c r="N17" s="33">
        <f t="shared" si="3"/>
        <v>0</v>
      </c>
      <c r="O17" s="33">
        <f t="shared" si="4"/>
        <v>0</v>
      </c>
      <c r="P17" s="33" t="str">
        <f t="shared" si="5"/>
        <v/>
      </c>
      <c r="Q17" s="33">
        <v>0.25</v>
      </c>
      <c r="R17" s="33"/>
      <c r="S17" s="33">
        <v>0.5</v>
      </c>
      <c r="T17" s="33"/>
      <c r="U17" s="33">
        <v>0.25</v>
      </c>
      <c r="V17" s="33">
        <f t="shared" si="6"/>
        <v>1</v>
      </c>
      <c r="W17" s="218">
        <f t="shared" si="7"/>
        <v>1</v>
      </c>
      <c r="X17" s="33">
        <v>0.04</v>
      </c>
      <c r="Y17" s="218">
        <f t="shared" si="7"/>
        <v>1</v>
      </c>
      <c r="Z17" s="218">
        <f t="shared" si="8"/>
        <v>24</v>
      </c>
      <c r="AA17" s="36">
        <v>0.12</v>
      </c>
      <c r="AB17" s="218" t="str">
        <f t="shared" si="9"/>
        <v/>
      </c>
      <c r="AC17" s="218" t="str">
        <f t="shared" si="10"/>
        <v/>
      </c>
      <c r="AD17" s="33">
        <v>0.02</v>
      </c>
      <c r="AE17" s="218">
        <f t="shared" si="11"/>
        <v>3</v>
      </c>
      <c r="AF17" s="218">
        <f t="shared" si="12"/>
        <v>147</v>
      </c>
      <c r="AG17" s="33">
        <v>0.02</v>
      </c>
      <c r="AH17" s="218" t="str">
        <f t="shared" si="13"/>
        <v/>
      </c>
      <c r="AI17" s="218" t="str">
        <f t="shared" si="14"/>
        <v/>
      </c>
      <c r="AJ17" s="33">
        <v>2.3E-2</v>
      </c>
      <c r="AK17" s="218">
        <f t="shared" si="15"/>
        <v>1</v>
      </c>
      <c r="AL17" s="218">
        <f t="shared" si="16"/>
        <v>42</v>
      </c>
      <c r="AM17" s="38">
        <f t="shared" si="17"/>
        <v>5</v>
      </c>
      <c r="AN17" s="38">
        <f t="shared" si="18"/>
        <v>5</v>
      </c>
      <c r="AO17" s="38">
        <f t="shared" si="19"/>
        <v>0</v>
      </c>
      <c r="AP17" s="38">
        <f>IF(OR($C17="01-09",$D17="Male"),"",INDEX(PMTCT!$AD:$AD,MATCH($E17,PMTCT!$E:$E,0)))</f>
        <v>8</v>
      </c>
      <c r="AQ17" s="38">
        <f>IF(OR($C17="01-09",$D17="Male"),"",INDEX(PMTCT!$AT:$AT,MATCH($E17,PMTCT!$E:$E,0)))</f>
        <v>8</v>
      </c>
      <c r="AR17" s="38" t="str">
        <f>INDEX(TB!$Q:$Q,MATCH($E17,TB!$E:$E,0))</f>
        <v/>
      </c>
      <c r="AS17" s="38" t="str">
        <f>IF(OR($C17="01-09",$C17="10-14",$D17="Female"),"",INDEX(VMMC!$AB:$AB,MATCH($E17,VMMC!$E:$E,0)))</f>
        <v/>
      </c>
      <c r="AT17" s="38" t="str">
        <f>IF(OR($C17="01-09",$C17="10-14"),"",INDEX(PrEP!$Q:$Q,MATCH($E17,PrEP!$E:$E,0)))</f>
        <v/>
      </c>
      <c r="AU17" s="38">
        <f t="shared" si="20"/>
        <v>229</v>
      </c>
      <c r="AV17" s="38">
        <f t="shared" si="21"/>
        <v>233.99999999999997</v>
      </c>
      <c r="AW17" s="33">
        <f t="shared" si="22"/>
        <v>2.1367521367521371E-2</v>
      </c>
      <c r="AX17" s="38"/>
      <c r="AY17" s="33" t="str">
        <f t="shared" si="23"/>
        <v/>
      </c>
      <c r="AZ17" s="218" t="str">
        <f t="shared" si="24"/>
        <v/>
      </c>
      <c r="BA17" s="33" t="str">
        <f t="shared" si="25"/>
        <v/>
      </c>
      <c r="BB17" s="218" t="str">
        <f t="shared" si="26"/>
        <v/>
      </c>
    </row>
    <row r="18" spans="1:54" x14ac:dyDescent="0.2">
      <c r="A18" t="str">
        <f>INDEX(Prioritization!$D:$D,MATCH($B18,Prioritization!$A:$A,0))</f>
        <v>Military</v>
      </c>
      <c r="B18" t="s">
        <v>326</v>
      </c>
      <c r="C18" t="s">
        <v>474</v>
      </c>
      <c r="D18" t="s">
        <v>48</v>
      </c>
      <c r="E18" t="str">
        <f t="shared" si="0"/>
        <v>_Military Malawi [PQZgU9dagaH]|10-14|Male</v>
      </c>
      <c r="F18" s="33" t="str">
        <f>IF(LEFT($B18,4)="_Mil","",INDEX(Cascade!$AA:$AA,MATCH($E18,Cascade!$E:$E,0)))</f>
        <v/>
      </c>
      <c r="G18" s="38">
        <f>INDEX(Cascade!$BH:$BH,MATCH($E18,Cascade!$E:$E,0))</f>
        <v>5</v>
      </c>
      <c r="H18" s="38" t="str">
        <f>IF(OR($C18="01-09",$D18="Male"),"",INDEX(PMTCT!$AC:$AC,MATCH($E18,PMTCT!$E:$E,0)))</f>
        <v/>
      </c>
      <c r="I18" s="38" t="str">
        <f>IF(OR($C18="01-09",$D18="Male"),"",INDEX(PMTCT!$AS:$AS,MATCH($E18,PMTCT!$E:$E,0)))</f>
        <v/>
      </c>
      <c r="J18" s="38" t="str">
        <f>INDEX(TB!$P:$P,MATCH($E18,TB!$E:$E,0))</f>
        <v/>
      </c>
      <c r="K18" s="38" t="str">
        <f>IF(OR($C18="01-09",$C18="10-14",$D18="Female"),"",INDEX(VMMC!$AA:$AA,MATCH($E18,VMMC!$E:$E,0)))</f>
        <v/>
      </c>
      <c r="L18" s="38">
        <f t="shared" si="1"/>
        <v>5</v>
      </c>
      <c r="M18" s="33" t="str">
        <f t="shared" si="2"/>
        <v/>
      </c>
      <c r="N18" s="33" t="str">
        <f t="shared" si="3"/>
        <v/>
      </c>
      <c r="O18" s="33">
        <f t="shared" si="4"/>
        <v>0</v>
      </c>
      <c r="P18" s="33" t="str">
        <f t="shared" si="5"/>
        <v/>
      </c>
      <c r="Q18" s="33">
        <v>0.27777777777777801</v>
      </c>
      <c r="R18" s="33"/>
      <c r="S18" s="33">
        <v>0.44444444444444398</v>
      </c>
      <c r="T18" s="33"/>
      <c r="U18" s="33">
        <v>0.27777777777777801</v>
      </c>
      <c r="V18" s="33">
        <f t="shared" si="6"/>
        <v>1</v>
      </c>
      <c r="W18" s="218">
        <f>IF(OR(SUM($G18)=0,SUM($Q18)=0),"",ROUND(SUM($G18)*SUM($Q18),0))</f>
        <v>1</v>
      </c>
      <c r="X18" s="33">
        <v>0.03</v>
      </c>
      <c r="Y18" s="218">
        <f>IF(OR(SUM($G18)=0,SUM($Q18)=0),"",ROUND(SUM($G18)*SUM($Q18),0))</f>
        <v>1</v>
      </c>
      <c r="Z18" s="218">
        <f>IF(SUM($Y18)=0,"",IF(SUM($X18)=0,"ENTER YIELD",ROUND($Y18/$X18,0)-$Y18))</f>
        <v>32</v>
      </c>
      <c r="AA18" s="36">
        <v>0.12</v>
      </c>
      <c r="AB18" s="218" t="str">
        <f>IF(OR(SUM($G18)=0,SUM($R18)=0),"",ROUND(SUM($G18)*SUM($R18),0))</f>
        <v/>
      </c>
      <c r="AC18" s="218" t="str">
        <f>IF(SUM($AB18)=0,"",IF(SUM($AA18)=0,"ENTER YIELD",ROUND($AB18/$AA18,0)-$AB18))</f>
        <v/>
      </c>
      <c r="AD18" s="33">
        <v>0.02</v>
      </c>
      <c r="AE18" s="218">
        <f>IF(OR(SUM($G18)=0,SUM($S18)=0),"",ROUND(SUM($G18)*SUM($S18),0))</f>
        <v>2</v>
      </c>
      <c r="AF18" s="218">
        <f>IF(SUM($AE18)=0,"",IF(SUM($AD18)=0,"ENTER YIELD",ROUND($AE18/$AD18,0)-$AE18))</f>
        <v>98</v>
      </c>
      <c r="AG18" s="33">
        <v>0.02</v>
      </c>
      <c r="AH18" s="218" t="str">
        <f>IF(OR(SUM($G18)=0,SUM($T18)=0),"",ROUND(SUM($G18)*SUM($T18),0))</f>
        <v/>
      </c>
      <c r="AI18" s="218" t="str">
        <f>IF(SUM($AH18)=0,"",IF(SUM($AG18)=0,"ENTER YIELD",ROUND($AH18/$AG18,0)-$AH18))</f>
        <v/>
      </c>
      <c r="AJ18" s="33">
        <v>1.4999999999999999E-2</v>
      </c>
      <c r="AK18" s="218">
        <f>IF(OR(SUM($G18)=0,SUM($U18)=0),"",ROUND(SUM($G18)*SUM($U18),0))</f>
        <v>1</v>
      </c>
      <c r="AL18" s="218">
        <f>IF(SUM($AK18)=0,"",IF(SUM($AJ18)=0,"ENTER YIELD",ROUND($AK18/$AJ18,0)-$AK18))</f>
        <v>66</v>
      </c>
      <c r="AM18" s="38">
        <f t="shared" si="17"/>
        <v>5</v>
      </c>
      <c r="AN18" s="38">
        <v>5</v>
      </c>
      <c r="AO18" s="38">
        <f t="shared" si="19"/>
        <v>0</v>
      </c>
      <c r="AP18" s="38" t="str">
        <f>IF(OR($C18="01-09",$D18="Male"),"",INDEX(PMTCT!$AD:$AD,MATCH($E18,PMTCT!$E:$E,0)))</f>
        <v/>
      </c>
      <c r="AQ18" s="38" t="str">
        <f>IF(OR($C18="01-09",$D18="Male"),"",INDEX(PMTCT!$AT:$AT,MATCH($E18,PMTCT!$E:$E,0)))</f>
        <v/>
      </c>
      <c r="AR18" s="38" t="str">
        <f>INDEX(TB!$Q:$Q,MATCH($E18,TB!$E:$E,0))</f>
        <v/>
      </c>
      <c r="AS18" s="38" t="str">
        <f>IF(OR($C18="01-09",$C18="10-14",$D18="Female"),"",INDEX(VMMC!$AB:$AB,MATCH($E18,VMMC!$E:$E,0)))</f>
        <v/>
      </c>
      <c r="AT18" s="38" t="str">
        <f>IF(OR($C18="01-09",$C18="10-14"),"",INDEX(PrEP!$Q:$Q,MATCH($E18,PrEP!$E:$E,0)))</f>
        <v/>
      </c>
      <c r="AU18" s="38">
        <f t="shared" si="20"/>
        <v>196.00000000000003</v>
      </c>
      <c r="AV18" s="38">
        <f t="shared" si="21"/>
        <v>201.00000000000003</v>
      </c>
      <c r="AW18" s="33">
        <f t="shared" si="22"/>
        <v>2.4875621890547261E-2</v>
      </c>
      <c r="AX18" s="38"/>
      <c r="AY18" s="33" t="str">
        <f t="shared" si="23"/>
        <v/>
      </c>
      <c r="AZ18" s="218" t="str">
        <f t="shared" si="24"/>
        <v/>
      </c>
      <c r="BA18" s="33" t="str">
        <f t="shared" si="25"/>
        <v/>
      </c>
      <c r="BB18" s="218" t="str">
        <f t="shared" si="26"/>
        <v/>
      </c>
    </row>
    <row r="19" spans="1:54" x14ac:dyDescent="0.2">
      <c r="A19" t="str">
        <f>INDEX(Prioritization!$D:$D,MATCH($B19,Prioritization!$A:$A,0))</f>
        <v>Military</v>
      </c>
      <c r="B19" t="s">
        <v>326</v>
      </c>
      <c r="C19" t="s">
        <v>475</v>
      </c>
      <c r="D19" t="s">
        <v>30</v>
      </c>
      <c r="E19" t="str">
        <f t="shared" si="0"/>
        <v>_Military Malawi [PQZgU9dagaH]|15-24|Female</v>
      </c>
      <c r="F19" s="33" t="str">
        <f>IF(LEFT($B19,4)="_Mil","",INDEX(Cascade!$AA:$AA,MATCH($E19,Cascade!$E:$E,0)))</f>
        <v/>
      </c>
      <c r="G19" s="38">
        <f>INDEX(Cascade!$BH:$BH,MATCH($E19,Cascade!$E:$E,0))</f>
        <v>37</v>
      </c>
      <c r="H19" s="38">
        <f>IF(OR($C19="01-09",$D19="Male"),"",INDEX(PMTCT!$AC:$AC,MATCH($E19,PMTCT!$E:$E,0)))</f>
        <v>4</v>
      </c>
      <c r="I19" s="38">
        <f>IF(OR($C19="01-09",$D19="Male"),"",INDEX(PMTCT!$AS:$AS,MATCH($E19,PMTCT!$E:$E,0)))</f>
        <v>0</v>
      </c>
      <c r="J19" s="38" t="str">
        <f>INDEX(TB!$P:$P,MATCH($E19,TB!$E:$E,0))</f>
        <v/>
      </c>
      <c r="K19" s="38" t="str">
        <f>IF(OR($C19="01-09",$C19="10-14",$D19="Female"),"",INDEX(VMMC!$AA:$AA,MATCH($E19,VMMC!$E:$E,0)))</f>
        <v/>
      </c>
      <c r="L19" s="38">
        <f t="shared" si="1"/>
        <v>33</v>
      </c>
      <c r="M19" s="33">
        <f t="shared" si="2"/>
        <v>0.10810810810810811</v>
      </c>
      <c r="N19" s="33">
        <f t="shared" si="3"/>
        <v>0</v>
      </c>
      <c r="O19" s="33">
        <f t="shared" si="4"/>
        <v>0</v>
      </c>
      <c r="P19" s="33" t="str">
        <f t="shared" si="5"/>
        <v/>
      </c>
      <c r="Q19" s="33">
        <v>0.34666666666666701</v>
      </c>
      <c r="R19" s="33"/>
      <c r="S19" s="33">
        <v>0.31</v>
      </c>
      <c r="T19" s="33">
        <v>0.05</v>
      </c>
      <c r="U19" s="33">
        <f>1-SUM(M19:T19)</f>
        <v>0.18522522522522489</v>
      </c>
      <c r="V19" s="33">
        <f t="shared" si="6"/>
        <v>1</v>
      </c>
      <c r="W19" s="218">
        <f t="shared" si="7"/>
        <v>13</v>
      </c>
      <c r="X19" s="33">
        <v>0.20300000000000001</v>
      </c>
      <c r="Y19" s="218">
        <f t="shared" si="7"/>
        <v>13</v>
      </c>
      <c r="Z19" s="218">
        <f t="shared" si="8"/>
        <v>51</v>
      </c>
      <c r="AA19" s="36">
        <v>0.12</v>
      </c>
      <c r="AB19" s="218" t="str">
        <f t="shared" si="9"/>
        <v/>
      </c>
      <c r="AC19" s="218" t="str">
        <f t="shared" si="10"/>
        <v/>
      </c>
      <c r="AD19" s="33">
        <v>0.02</v>
      </c>
      <c r="AE19" s="218">
        <f t="shared" si="11"/>
        <v>11</v>
      </c>
      <c r="AF19" s="218">
        <f t="shared" si="12"/>
        <v>539</v>
      </c>
      <c r="AG19" s="33">
        <v>0.02</v>
      </c>
      <c r="AH19" s="218">
        <f t="shared" si="13"/>
        <v>2</v>
      </c>
      <c r="AI19" s="218">
        <f t="shared" si="14"/>
        <v>98</v>
      </c>
      <c r="AJ19" s="33">
        <v>3.3000000000000002E-2</v>
      </c>
      <c r="AK19" s="218">
        <f t="shared" si="15"/>
        <v>7</v>
      </c>
      <c r="AL19" s="218">
        <f t="shared" si="16"/>
        <v>205</v>
      </c>
      <c r="AM19" s="38">
        <f t="shared" si="17"/>
        <v>37</v>
      </c>
      <c r="AN19" s="38">
        <f t="shared" si="18"/>
        <v>37</v>
      </c>
      <c r="AO19" s="38">
        <f t="shared" si="19"/>
        <v>0</v>
      </c>
      <c r="AP19" s="38">
        <f>IF(OR($C19="01-09",$D19="Male"),"",INDEX(PMTCT!$AD:$AD,MATCH($E19,PMTCT!$E:$E,0)))</f>
        <v>394</v>
      </c>
      <c r="AQ19" s="38">
        <f>IF(OR($C19="01-09",$D19="Male"),"",INDEX(PMTCT!$AT:$AT,MATCH($E19,PMTCT!$E:$E,0)))</f>
        <v>394.00000000000006</v>
      </c>
      <c r="AR19" s="38" t="str">
        <f>INDEX(TB!$Q:$Q,MATCH($E19,TB!$E:$E,0))</f>
        <v/>
      </c>
      <c r="AS19" s="38" t="str">
        <f>IF(OR($C19="01-09",$C19="10-14",$D19="Female"),"",INDEX(VMMC!$AB:$AB,MATCH($E19,VMMC!$E:$E,0)))</f>
        <v/>
      </c>
      <c r="AT19" s="38" t="str">
        <f>IF(OR($C19="01-09",$C19="10-14"),"",INDEX(PrEP!$Q:$Q,MATCH($E19,PrEP!$E:$E,0)))</f>
        <v/>
      </c>
      <c r="AU19" s="38">
        <f t="shared" si="20"/>
        <v>1681</v>
      </c>
      <c r="AV19" s="38">
        <f t="shared" si="21"/>
        <v>1718</v>
      </c>
      <c r="AW19" s="33">
        <f t="shared" si="22"/>
        <v>2.1536670547147845E-2</v>
      </c>
      <c r="AX19" s="38">
        <v>398</v>
      </c>
      <c r="AY19" s="33">
        <f t="shared" si="23"/>
        <v>0</v>
      </c>
      <c r="AZ19" s="218">
        <f t="shared" si="24"/>
        <v>398</v>
      </c>
      <c r="BA19" s="33">
        <v>0.22</v>
      </c>
      <c r="BB19" s="218">
        <f t="shared" si="26"/>
        <v>8</v>
      </c>
    </row>
    <row r="20" spans="1:54" x14ac:dyDescent="0.2">
      <c r="A20" t="str">
        <f>INDEX(Prioritization!$D:$D,MATCH($B20,Prioritization!$A:$A,0))</f>
        <v>Military</v>
      </c>
      <c r="B20" t="s">
        <v>326</v>
      </c>
      <c r="C20" t="s">
        <v>475</v>
      </c>
      <c r="D20" t="s">
        <v>48</v>
      </c>
      <c r="E20" t="str">
        <f t="shared" si="0"/>
        <v>_Military Malawi [PQZgU9dagaH]|15-24|Male</v>
      </c>
      <c r="F20" s="33" t="str">
        <f>IF(LEFT($B20,4)="_Mil","",INDEX(Cascade!$AA:$AA,MATCH($E20,Cascade!$E:$E,0)))</f>
        <v/>
      </c>
      <c r="G20" s="38">
        <f>INDEX(Cascade!$BH:$BH,MATCH($E20,Cascade!$E:$E,0))</f>
        <v>20</v>
      </c>
      <c r="H20" s="38" t="str">
        <f>IF(OR($C20="01-09",$D20="Male"),"",INDEX(PMTCT!$AC:$AC,MATCH($E20,PMTCT!$E:$E,0)))</f>
        <v/>
      </c>
      <c r="I20" s="38" t="str">
        <f>IF(OR($C20="01-09",$D20="Male"),"",INDEX(PMTCT!$AS:$AS,MATCH($E20,PMTCT!$E:$E,0)))</f>
        <v/>
      </c>
      <c r="J20" s="38" t="str">
        <f>INDEX(TB!$P:$P,MATCH($E20,TB!$E:$E,0))</f>
        <v/>
      </c>
      <c r="K20" s="38">
        <f>IF(OR($C20="01-09",$C20="10-14",$D20="Female"),"",INDEX(VMMC!$AA:$AA,MATCH($E20,VMMC!$E:$E,0)))</f>
        <v>1</v>
      </c>
      <c r="L20" s="38">
        <f t="shared" si="1"/>
        <v>19</v>
      </c>
      <c r="M20" s="33" t="str">
        <f t="shared" si="2"/>
        <v/>
      </c>
      <c r="N20" s="33" t="str">
        <f t="shared" si="3"/>
        <v/>
      </c>
      <c r="O20" s="33">
        <f t="shared" si="4"/>
        <v>0</v>
      </c>
      <c r="P20" s="33">
        <f t="shared" si="5"/>
        <v>0.05</v>
      </c>
      <c r="Q20" s="33">
        <v>0.29577464788732399</v>
      </c>
      <c r="R20" s="33"/>
      <c r="S20" s="33">
        <v>0.41</v>
      </c>
      <c r="T20" s="33">
        <v>0.05</v>
      </c>
      <c r="U20" s="33">
        <v>0.19</v>
      </c>
      <c r="V20" s="33">
        <f t="shared" si="6"/>
        <v>0.99577464788732395</v>
      </c>
      <c r="W20" s="218">
        <f>IF(OR(SUM($G20)=0,SUM($Q20)=0),"",ROUND(SUM($G20)*SUM($Q20),0))</f>
        <v>6</v>
      </c>
      <c r="X20" s="33">
        <v>0.111</v>
      </c>
      <c r="Y20" s="218">
        <f>IF(OR(SUM($G20)=0,SUM($Q20)=0),"",ROUND(SUM($G20)*SUM($Q20),0))</f>
        <v>6</v>
      </c>
      <c r="Z20" s="218">
        <f>IF(SUM($Y20)=0,"",IF(SUM($X20)=0,"ENTER YIELD",ROUND($Y20/$X20,0)-$Y20))</f>
        <v>48</v>
      </c>
      <c r="AA20" s="36">
        <v>0.12</v>
      </c>
      <c r="AB20" s="218" t="str">
        <f>IF(OR(SUM($G20)=0,SUM($R20)=0),"",ROUND(SUM($G20)*SUM($R20),0))</f>
        <v/>
      </c>
      <c r="AC20" s="218" t="str">
        <f>IF(SUM($AB20)=0,"",IF(SUM($AA20)=0,"ENTER YIELD",ROUND($AB20/$AA20,0)-$AB20))</f>
        <v/>
      </c>
      <c r="AD20" s="33">
        <v>0.02</v>
      </c>
      <c r="AE20" s="218">
        <f>IF(OR(SUM($G20)=0,SUM($S20)=0),"",ROUND(SUM($G20)*SUM($S20),0))</f>
        <v>8</v>
      </c>
      <c r="AF20" s="218">
        <f>IF(SUM($AE20)=0,"",IF(SUM($AD20)=0,"ENTER YIELD",ROUND($AE20/$AD20,0)-$AE20))</f>
        <v>392</v>
      </c>
      <c r="AG20" s="33">
        <v>0.02</v>
      </c>
      <c r="AH20" s="218">
        <f>IF(OR(SUM($G20)=0,SUM($T20)=0),"",ROUND(SUM($G20)*SUM($T20),0))</f>
        <v>1</v>
      </c>
      <c r="AI20" s="218">
        <f>IF(SUM($AH20)=0,"",IF(SUM($AG20)=0,"ENTER YIELD",ROUND($AH20/$AG20,0)-$AH20))</f>
        <v>49</v>
      </c>
      <c r="AJ20" s="33">
        <v>7.4000000000000003E-3</v>
      </c>
      <c r="AK20" s="218">
        <f>IF(OR(SUM($G20)=0,SUM($U20)=0),"",ROUND(SUM($G20)*SUM($U20),0))</f>
        <v>4</v>
      </c>
      <c r="AL20" s="218">
        <f>IF(SUM($AK20)=0,"",IF(SUM($AJ20)=0,"ENTER YIELD",ROUND($AK20/$AJ20,0)-$AK20))</f>
        <v>537</v>
      </c>
      <c r="AM20" s="38">
        <f t="shared" si="17"/>
        <v>20</v>
      </c>
      <c r="AN20" s="38">
        <f t="shared" si="18"/>
        <v>20</v>
      </c>
      <c r="AO20" s="38">
        <f t="shared" si="19"/>
        <v>0</v>
      </c>
      <c r="AP20" s="38" t="str">
        <f>IF(OR($C20="01-09",$D20="Male"),"",INDEX(PMTCT!$AD:$AD,MATCH($E20,PMTCT!$E:$E,0)))</f>
        <v/>
      </c>
      <c r="AQ20" s="38" t="str">
        <f>IF(OR($C20="01-09",$D20="Male"),"",INDEX(PMTCT!$AT:$AT,MATCH($E20,PMTCT!$E:$E,0)))</f>
        <v/>
      </c>
      <c r="AR20" s="38" t="str">
        <f>INDEX(TB!$Q:$Q,MATCH($E20,TB!$E:$E,0))</f>
        <v/>
      </c>
      <c r="AS20" s="38">
        <f>IF(OR($C20="01-09",$C20="10-14",$D20="Female"),"",INDEX(VMMC!$AB:$AB,MATCH($E20,VMMC!$E:$E,0)))</f>
        <v>1142</v>
      </c>
      <c r="AT20" s="38" t="str">
        <f>IF(OR($C20="01-09",$C20="10-14"),"",INDEX(PrEP!$Q:$Q,MATCH($E20,PrEP!$E:$E,0)))</f>
        <v/>
      </c>
      <c r="AU20" s="38">
        <f t="shared" si="20"/>
        <v>2168</v>
      </c>
      <c r="AV20" s="38">
        <f t="shared" si="21"/>
        <v>2188</v>
      </c>
      <c r="AW20" s="33">
        <f t="shared" si="22"/>
        <v>9.140767824497258E-3</v>
      </c>
      <c r="AX20" s="38">
        <v>5365</v>
      </c>
      <c r="AY20" s="33">
        <f t="shared" si="23"/>
        <v>0</v>
      </c>
      <c r="AZ20" s="218">
        <f t="shared" si="24"/>
        <v>5365</v>
      </c>
      <c r="BA20" s="33">
        <v>0.22</v>
      </c>
      <c r="BB20" s="218">
        <f t="shared" si="26"/>
        <v>4</v>
      </c>
    </row>
    <row r="21" spans="1:54" x14ac:dyDescent="0.2">
      <c r="A21" t="str">
        <f>INDEX(Prioritization!$D:$D,MATCH($B21,Prioritization!$A:$A,0))</f>
        <v>Military</v>
      </c>
      <c r="B21" t="s">
        <v>326</v>
      </c>
      <c r="C21" t="s">
        <v>476</v>
      </c>
      <c r="D21" t="s">
        <v>30</v>
      </c>
      <c r="E21" t="str">
        <f t="shared" si="0"/>
        <v>_Military Malawi [PQZgU9dagaH]|25-34|Female</v>
      </c>
      <c r="F21" s="33" t="str">
        <f>IF(LEFT($B21,4)="_Mil","",INDEX(Cascade!$AA:$AA,MATCH($E21,Cascade!$E:$E,0)))</f>
        <v/>
      </c>
      <c r="G21" s="38">
        <f>INDEX(Cascade!$BH:$BH,MATCH($E21,Cascade!$E:$E,0))</f>
        <v>82</v>
      </c>
      <c r="H21" s="38">
        <f>IF(OR($C21="01-09",$D21="Male"),"",INDEX(PMTCT!$AC:$AC,MATCH($E21,PMTCT!$E:$E,0)))</f>
        <v>8</v>
      </c>
      <c r="I21" s="38">
        <f>IF(OR($C21="01-09",$D21="Male"),"",INDEX(PMTCT!$AS:$AS,MATCH($E21,PMTCT!$E:$E,0)))</f>
        <v>4</v>
      </c>
      <c r="J21" s="38">
        <f>INDEX(TB!$P:$P,MATCH($E21,TB!$E:$E,0))</f>
        <v>0</v>
      </c>
      <c r="K21" s="38" t="str">
        <f>IF(OR($C21="01-09",$C21="10-14",$D21="Female"),"",INDEX(VMMC!$AA:$AA,MATCH($E21,VMMC!$E:$E,0)))</f>
        <v/>
      </c>
      <c r="L21" s="38">
        <f t="shared" si="1"/>
        <v>70</v>
      </c>
      <c r="M21" s="33">
        <f t="shared" si="2"/>
        <v>9.7560975609756101E-2</v>
      </c>
      <c r="N21" s="33">
        <f t="shared" si="3"/>
        <v>4.878048780487805E-2</v>
      </c>
      <c r="O21" s="33">
        <f t="shared" si="4"/>
        <v>0</v>
      </c>
      <c r="P21" s="33" t="str">
        <f t="shared" si="5"/>
        <v/>
      </c>
      <c r="Q21" s="33">
        <v>0.35</v>
      </c>
      <c r="R21" s="33"/>
      <c r="S21" s="33">
        <v>0.3</v>
      </c>
      <c r="T21" s="33">
        <v>0.05</v>
      </c>
      <c r="U21" s="33">
        <f>1-SUM(M21:T21)</f>
        <v>0.15365853658536577</v>
      </c>
      <c r="V21" s="33">
        <f t="shared" si="6"/>
        <v>1</v>
      </c>
      <c r="W21" s="218">
        <f t="shared" si="7"/>
        <v>29</v>
      </c>
      <c r="X21" s="33">
        <v>0.126</v>
      </c>
      <c r="Y21" s="218">
        <f t="shared" si="7"/>
        <v>29</v>
      </c>
      <c r="Z21" s="218">
        <f t="shared" si="8"/>
        <v>201</v>
      </c>
      <c r="AA21" s="36">
        <v>0.12</v>
      </c>
      <c r="AB21" s="218" t="str">
        <f t="shared" si="9"/>
        <v/>
      </c>
      <c r="AC21" s="218" t="str">
        <f t="shared" si="10"/>
        <v/>
      </c>
      <c r="AD21" s="33">
        <v>0.02</v>
      </c>
      <c r="AE21" s="218">
        <f t="shared" si="11"/>
        <v>25</v>
      </c>
      <c r="AF21" s="218">
        <f t="shared" si="12"/>
        <v>1225</v>
      </c>
      <c r="AG21" s="33">
        <v>0.02</v>
      </c>
      <c r="AH21" s="218">
        <f t="shared" si="13"/>
        <v>4</v>
      </c>
      <c r="AI21" s="218">
        <f t="shared" si="14"/>
        <v>196</v>
      </c>
      <c r="AJ21" s="33">
        <v>5.7000000000000002E-2</v>
      </c>
      <c r="AK21" s="218">
        <f t="shared" si="15"/>
        <v>13</v>
      </c>
      <c r="AL21" s="218">
        <f t="shared" si="16"/>
        <v>215</v>
      </c>
      <c r="AM21" s="38">
        <f>IF(SUM($G21)=0,"",$G21)</f>
        <v>82</v>
      </c>
      <c r="AN21" s="38">
        <v>82</v>
      </c>
      <c r="AO21" s="38">
        <f t="shared" si="19"/>
        <v>0</v>
      </c>
      <c r="AP21" s="38">
        <f>IF(OR($C21="01-09",$D21="Male"),"",INDEX(PMTCT!$AD:$AD,MATCH($E21,PMTCT!$E:$E,0)))</f>
        <v>438</v>
      </c>
      <c r="AQ21" s="38">
        <f>IF(OR($C21="01-09",$D21="Male"),"",INDEX(PMTCT!$AT:$AT,MATCH($E21,PMTCT!$E:$E,0)))</f>
        <v>434</v>
      </c>
      <c r="AR21" s="38">
        <f>INDEX(TB!$Q:$Q,MATCH($E21,TB!$E:$E,0))</f>
        <v>5</v>
      </c>
      <c r="AS21" s="38" t="str">
        <f>IF(OR($C21="01-09",$C21="10-14",$D21="Female"),"",INDEX(VMMC!$AB:$AB,MATCH($E21,VMMC!$E:$E,0)))</f>
        <v/>
      </c>
      <c r="AT21" s="38" t="str">
        <f>IF(OR($C21="01-09",$C21="10-14"),"",INDEX(PrEP!$Q:$Q,MATCH($E21,PrEP!$E:$E,0)))</f>
        <v/>
      </c>
      <c r="AU21" s="38">
        <f t="shared" si="20"/>
        <v>2714</v>
      </c>
      <c r="AV21" s="38">
        <f t="shared" si="21"/>
        <v>2796</v>
      </c>
      <c r="AW21" s="33">
        <f t="shared" si="22"/>
        <v>2.9327610872675252E-2</v>
      </c>
      <c r="AX21" s="38">
        <v>707</v>
      </c>
      <c r="AY21" s="33">
        <f t="shared" si="23"/>
        <v>0</v>
      </c>
      <c r="AZ21" s="218">
        <f t="shared" si="24"/>
        <v>707</v>
      </c>
      <c r="BA21" s="33">
        <v>0.22</v>
      </c>
      <c r="BB21" s="218">
        <f t="shared" si="26"/>
        <v>18</v>
      </c>
    </row>
    <row r="22" spans="1:54" x14ac:dyDescent="0.2">
      <c r="A22" t="str">
        <f>INDEX(Prioritization!$D:$D,MATCH($B22,Prioritization!$A:$A,0))</f>
        <v>Military</v>
      </c>
      <c r="B22" t="s">
        <v>326</v>
      </c>
      <c r="C22" t="s">
        <v>476</v>
      </c>
      <c r="D22" t="s">
        <v>48</v>
      </c>
      <c r="E22" t="str">
        <f t="shared" si="0"/>
        <v>_Military Malawi [PQZgU9dagaH]|25-34|Male</v>
      </c>
      <c r="F22" s="33" t="str">
        <f>IF(LEFT($B22,4)="_Mil","",INDEX(Cascade!$AA:$AA,MATCH($E22,Cascade!$E:$E,0)))</f>
        <v/>
      </c>
      <c r="G22" s="38">
        <f>INDEX(Cascade!$BH:$BH,MATCH($E22,Cascade!$E:$E,0))</f>
        <v>39</v>
      </c>
      <c r="H22" s="38" t="str">
        <f>IF(OR($C22="01-09",$D22="Male"),"",INDEX(PMTCT!$AC:$AC,MATCH($E22,PMTCT!$E:$E,0)))</f>
        <v/>
      </c>
      <c r="I22" s="38" t="str">
        <f>IF(OR($C22="01-09",$D22="Male"),"",INDEX(PMTCT!$AS:$AS,MATCH($E22,PMTCT!$E:$E,0)))</f>
        <v/>
      </c>
      <c r="J22" s="38">
        <f>INDEX(TB!$P:$P,MATCH($E22,TB!$E:$E,0))</f>
        <v>0</v>
      </c>
      <c r="K22" s="38">
        <f>IF(OR($C22="01-09",$C22="10-14",$D22="Female"),"",INDEX(VMMC!$AA:$AA,MATCH($E22,VMMC!$E:$E,0)))</f>
        <v>11</v>
      </c>
      <c r="L22" s="38">
        <f t="shared" si="1"/>
        <v>28</v>
      </c>
      <c r="M22" s="33" t="str">
        <f t="shared" si="2"/>
        <v/>
      </c>
      <c r="N22" s="33" t="str">
        <f t="shared" si="3"/>
        <v/>
      </c>
      <c r="O22" s="33">
        <f t="shared" si="4"/>
        <v>0</v>
      </c>
      <c r="P22" s="33">
        <v>0.05</v>
      </c>
      <c r="Q22" s="33">
        <v>0.29670329670329698</v>
      </c>
      <c r="R22" s="33"/>
      <c r="S22" s="33">
        <v>0.4</v>
      </c>
      <c r="T22" s="33">
        <v>0.05</v>
      </c>
      <c r="U22" s="33">
        <v>0.2</v>
      </c>
      <c r="V22" s="33">
        <f t="shared" si="6"/>
        <v>0.99670329670329694</v>
      </c>
      <c r="W22" s="218">
        <f>IF(OR(SUM($G22)=0,SUM($Q22)=0),"",ROUND(SUM($G22)*SUM($Q22),0))</f>
        <v>12</v>
      </c>
      <c r="X22" s="33">
        <v>0.14299999999999999</v>
      </c>
      <c r="Y22" s="218">
        <f>IF(OR(SUM($G22)=0,SUM($Q22)=0),"",ROUND(SUM($G22)*SUM($Q22),0))</f>
        <v>12</v>
      </c>
      <c r="Z22" s="218">
        <f>IF(SUM($Y22)=0,"",IF(SUM($X22)=0,"ENTER YIELD",ROUND($Y22/$X22,0)-$Y22))</f>
        <v>72</v>
      </c>
      <c r="AA22" s="36">
        <v>0.12</v>
      </c>
      <c r="AB22" s="218" t="str">
        <f>IF(OR(SUM($G22)=0,SUM($R22)=0),"",ROUND(SUM($G22)*SUM($R22),0))</f>
        <v/>
      </c>
      <c r="AC22" s="218" t="str">
        <f>IF(SUM($AB22)=0,"",IF(SUM($AA22)=0,"ENTER YIELD",ROUND($AB22/$AA22,0)-$AB22))</f>
        <v/>
      </c>
      <c r="AD22" s="33">
        <v>0.02</v>
      </c>
      <c r="AE22" s="218">
        <f>IF(OR(SUM($G22)=0,SUM($S22)=0),"",ROUND(SUM($G22)*SUM($S22),0))</f>
        <v>16</v>
      </c>
      <c r="AF22" s="218">
        <f>IF(SUM($AE22)=0,"",IF(SUM($AD22)=0,"ENTER YIELD",ROUND($AE22/$AD22,0)-$AE22))</f>
        <v>784</v>
      </c>
      <c r="AG22" s="33">
        <v>0.02</v>
      </c>
      <c r="AH22" s="218">
        <f>IF(OR(SUM($G22)=0,SUM($T22)=0),"",ROUND(SUM($G22)*SUM($T22),0))</f>
        <v>2</v>
      </c>
      <c r="AI22" s="218">
        <f>IF(SUM($AH22)=0,"",IF(SUM($AG22)=0,"ENTER YIELD",ROUND($AH22/$AG22,0)-$AH22))</f>
        <v>98</v>
      </c>
      <c r="AJ22" s="33">
        <v>1.7999999999999999E-2</v>
      </c>
      <c r="AK22" s="218">
        <f>IF(OR(SUM($G22)=0,SUM($U22)=0),"",ROUND(SUM($G22)*SUM($U22),0))</f>
        <v>8</v>
      </c>
      <c r="AL22" s="218">
        <f>IF(SUM($AK22)=0,"",IF(SUM($AJ22)=0,"ENTER YIELD",ROUND($AK22/$AJ22,0)-$AK22))</f>
        <v>436</v>
      </c>
      <c r="AM22" s="38">
        <f t="shared" si="17"/>
        <v>39</v>
      </c>
      <c r="AN22" s="38">
        <v>39</v>
      </c>
      <c r="AO22" s="38">
        <f t="shared" si="19"/>
        <v>0</v>
      </c>
      <c r="AP22" s="38" t="str">
        <f>IF(OR($C22="01-09",$D22="Male"),"",INDEX(PMTCT!$AD:$AD,MATCH($E22,PMTCT!$E:$E,0)))</f>
        <v/>
      </c>
      <c r="AQ22" s="38" t="str">
        <f>IF(OR($C22="01-09",$D22="Male"),"",INDEX(PMTCT!$AT:$AT,MATCH($E22,PMTCT!$E:$E,0)))</f>
        <v/>
      </c>
      <c r="AR22" s="38">
        <f>INDEX(TB!$Q:$Q,MATCH($E22,TB!$E:$E,0))</f>
        <v>5</v>
      </c>
      <c r="AS22" s="38">
        <f>IF(OR($C22="01-09",$C22="10-14",$D22="Female"),"",INDEX(VMMC!$AB:$AB,MATCH($E22,VMMC!$E:$E,0)))</f>
        <v>3298</v>
      </c>
      <c r="AT22" s="38" t="str">
        <f>IF(OR($C22="01-09",$C22="10-14"),"",INDEX(PrEP!$Q:$Q,MATCH($E22,PrEP!$E:$E,0)))</f>
        <v/>
      </c>
      <c r="AU22" s="38">
        <f t="shared" si="20"/>
        <v>4693</v>
      </c>
      <c r="AV22" s="38">
        <f t="shared" si="21"/>
        <v>4732</v>
      </c>
      <c r="AW22" s="33">
        <f t="shared" si="22"/>
        <v>8.241758241758242E-3</v>
      </c>
      <c r="AX22" s="38">
        <v>4681</v>
      </c>
      <c r="AY22" s="33">
        <f t="shared" si="23"/>
        <v>0</v>
      </c>
      <c r="AZ22" s="218">
        <f t="shared" si="24"/>
        <v>4681</v>
      </c>
      <c r="BA22" s="33">
        <v>0.22</v>
      </c>
      <c r="BB22" s="218">
        <f t="shared" si="26"/>
        <v>9</v>
      </c>
    </row>
    <row r="23" spans="1:54" x14ac:dyDescent="0.2">
      <c r="A23" t="str">
        <f>INDEX(Prioritization!$D:$D,MATCH($B23,Prioritization!$A:$A,0))</f>
        <v>Military</v>
      </c>
      <c r="B23" t="s">
        <v>326</v>
      </c>
      <c r="C23" t="s">
        <v>477</v>
      </c>
      <c r="D23" t="s">
        <v>30</v>
      </c>
      <c r="E23" t="str">
        <f t="shared" si="0"/>
        <v>_Military Malawi [PQZgU9dagaH]|35-49|Female</v>
      </c>
      <c r="F23" s="33" t="str">
        <f>IF(LEFT($B23,4)="_Mil","",INDEX(Cascade!$AA:$AA,MATCH($E23,Cascade!$E:$E,0)))</f>
        <v/>
      </c>
      <c r="G23" s="38">
        <f>INDEX(Cascade!$BH:$BH,MATCH($E23,Cascade!$E:$E,0))</f>
        <v>221</v>
      </c>
      <c r="H23" s="38">
        <f>IF(OR($C23="01-09",$D23="Male"),"",INDEX(PMTCT!$AC:$AC,MATCH($E23,PMTCT!$E:$E,0)))</f>
        <v>2</v>
      </c>
      <c r="I23" s="38">
        <f>IF(OR($C23="01-09",$D23="Male"),"",INDEX(PMTCT!$AS:$AS,MATCH($E23,PMTCT!$E:$E,0)))</f>
        <v>1</v>
      </c>
      <c r="J23" s="38">
        <f>INDEX(TB!$P:$P,MATCH($E23,TB!$E:$E,0))</f>
        <v>1</v>
      </c>
      <c r="K23" s="38" t="str">
        <f>IF(OR($C23="01-09",$C23="10-14",$D23="Female"),"",INDEX(VMMC!$AA:$AA,MATCH($E23,VMMC!$E:$E,0)))</f>
        <v/>
      </c>
      <c r="L23" s="38">
        <f t="shared" si="1"/>
        <v>217</v>
      </c>
      <c r="M23" s="33">
        <f t="shared" si="2"/>
        <v>9.0497737556561094E-3</v>
      </c>
      <c r="N23" s="33">
        <f t="shared" si="3"/>
        <v>4.5248868778280547E-3</v>
      </c>
      <c r="O23" s="33">
        <f t="shared" si="4"/>
        <v>4.5248868778280547E-3</v>
      </c>
      <c r="P23" s="33" t="str">
        <f t="shared" si="5"/>
        <v/>
      </c>
      <c r="Q23" s="33">
        <v>0.29714285714285699</v>
      </c>
      <c r="R23" s="33"/>
      <c r="S23" s="33">
        <v>0.49</v>
      </c>
      <c r="T23" s="33">
        <v>0.05</v>
      </c>
      <c r="U23" s="33">
        <v>0.14000000000000001</v>
      </c>
      <c r="V23" s="33">
        <f t="shared" si="6"/>
        <v>0.99524240465416924</v>
      </c>
      <c r="W23" s="218">
        <f t="shared" si="7"/>
        <v>66</v>
      </c>
      <c r="X23" s="33">
        <v>0.2</v>
      </c>
      <c r="Y23" s="218">
        <f t="shared" si="7"/>
        <v>66</v>
      </c>
      <c r="Z23" s="218">
        <f t="shared" si="8"/>
        <v>264</v>
      </c>
      <c r="AA23" s="36">
        <v>0.12</v>
      </c>
      <c r="AB23" s="218" t="str">
        <f t="shared" si="9"/>
        <v/>
      </c>
      <c r="AC23" s="218" t="str">
        <f t="shared" si="10"/>
        <v/>
      </c>
      <c r="AD23" s="33">
        <v>0.02</v>
      </c>
      <c r="AE23" s="218">
        <f t="shared" si="11"/>
        <v>108</v>
      </c>
      <c r="AF23" s="218">
        <f t="shared" si="12"/>
        <v>5292</v>
      </c>
      <c r="AG23" s="33">
        <v>0.02</v>
      </c>
      <c r="AH23" s="218">
        <f t="shared" si="13"/>
        <v>11</v>
      </c>
      <c r="AI23" s="218">
        <f t="shared" si="14"/>
        <v>539</v>
      </c>
      <c r="AJ23" s="33">
        <v>8.1000000000000003E-2</v>
      </c>
      <c r="AK23" s="218">
        <f t="shared" si="15"/>
        <v>31</v>
      </c>
      <c r="AL23" s="218">
        <f t="shared" si="16"/>
        <v>352</v>
      </c>
      <c r="AM23" s="38">
        <f t="shared" si="17"/>
        <v>221</v>
      </c>
      <c r="AN23" s="38">
        <v>221</v>
      </c>
      <c r="AO23" s="38">
        <f t="shared" si="19"/>
        <v>0</v>
      </c>
      <c r="AP23" s="38">
        <f>IF(OR($C23="01-09",$D23="Male"),"",INDEX(PMTCT!$AD:$AD,MATCH($E23,PMTCT!$E:$E,0)))</f>
        <v>106</v>
      </c>
      <c r="AQ23" s="38">
        <f>IF(OR($C23="01-09",$D23="Male"),"",INDEX(PMTCT!$AT:$AT,MATCH($E23,PMTCT!$E:$E,0)))</f>
        <v>105</v>
      </c>
      <c r="AR23" s="38">
        <f>INDEX(TB!$Q:$Q,MATCH($E23,TB!$E:$E,0))</f>
        <v>9</v>
      </c>
      <c r="AS23" s="38" t="str">
        <f>IF(OR($C23="01-09",$C23="10-14",$D23="Female"),"",INDEX(VMMC!$AB:$AB,MATCH($E23,VMMC!$E:$E,0)))</f>
        <v/>
      </c>
      <c r="AT23" s="38" t="str">
        <f>IF(OR($C23="01-09",$C23="10-14"),"",INDEX(PrEP!$Q:$Q,MATCH($E23,PrEP!$E:$E,0)))</f>
        <v/>
      </c>
      <c r="AU23" s="38">
        <f t="shared" si="20"/>
        <v>6667</v>
      </c>
      <c r="AV23" s="38">
        <f t="shared" si="21"/>
        <v>6888</v>
      </c>
      <c r="AW23" s="33">
        <f t="shared" si="22"/>
        <v>3.2084785133565621E-2</v>
      </c>
      <c r="AX23" s="38">
        <v>836</v>
      </c>
      <c r="AY23" s="33">
        <f t="shared" si="23"/>
        <v>0</v>
      </c>
      <c r="AZ23" s="218">
        <f t="shared" si="24"/>
        <v>836</v>
      </c>
      <c r="BA23" s="33">
        <v>0.22</v>
      </c>
      <c r="BB23" s="218">
        <f t="shared" si="26"/>
        <v>49</v>
      </c>
    </row>
    <row r="24" spans="1:54" x14ac:dyDescent="0.2">
      <c r="A24" t="str">
        <f>INDEX(Prioritization!$D:$D,MATCH($B24,Prioritization!$A:$A,0))</f>
        <v>Military</v>
      </c>
      <c r="B24" t="s">
        <v>326</v>
      </c>
      <c r="C24" t="s">
        <v>477</v>
      </c>
      <c r="D24" t="s">
        <v>48</v>
      </c>
      <c r="E24" t="str">
        <f t="shared" si="0"/>
        <v>_Military Malawi [PQZgU9dagaH]|35-49|Male</v>
      </c>
      <c r="F24" s="33" t="str">
        <f>IF(LEFT($B24,4)="_Mil","",INDEX(Cascade!$AA:$AA,MATCH($E24,Cascade!$E:$E,0)))</f>
        <v/>
      </c>
      <c r="G24" s="38">
        <f>INDEX(Cascade!$BH:$BH,MATCH($E24,Cascade!$E:$E,0))</f>
        <v>152</v>
      </c>
      <c r="H24" s="38" t="str">
        <f>IF(OR($C24="01-09",$D24="Male"),"",INDEX(PMTCT!$AC:$AC,MATCH($E24,PMTCT!$E:$E,0)))</f>
        <v/>
      </c>
      <c r="I24" s="38" t="str">
        <f>IF(OR($C24="01-09",$D24="Male"),"",INDEX(PMTCT!$AS:$AS,MATCH($E24,PMTCT!$E:$E,0)))</f>
        <v/>
      </c>
      <c r="J24" s="38">
        <f>INDEX(TB!$P:$P,MATCH($E24,TB!$E:$E,0))</f>
        <v>0</v>
      </c>
      <c r="K24" s="38">
        <f>IF(OR($C24="01-09",$C24="10-14",$D24="Female"),"",INDEX(VMMC!$AA:$AA,MATCH($E24,VMMC!$E:$E,0)))</f>
        <v>42</v>
      </c>
      <c r="L24" s="38">
        <f t="shared" si="1"/>
        <v>110</v>
      </c>
      <c r="M24" s="33" t="str">
        <f t="shared" si="2"/>
        <v/>
      </c>
      <c r="N24" s="33" t="str">
        <f t="shared" si="3"/>
        <v/>
      </c>
      <c r="O24" s="33">
        <f t="shared" si="4"/>
        <v>0</v>
      </c>
      <c r="P24" s="33">
        <v>0.05</v>
      </c>
      <c r="Q24" s="33">
        <v>0.35</v>
      </c>
      <c r="R24" s="33"/>
      <c r="S24" s="33">
        <v>0.4</v>
      </c>
      <c r="T24" s="33">
        <v>0.05</v>
      </c>
      <c r="U24" s="33">
        <f>1-SUM(M24:T24)</f>
        <v>0.14999999999999991</v>
      </c>
      <c r="V24" s="33">
        <f t="shared" si="6"/>
        <v>1</v>
      </c>
      <c r="W24" s="218">
        <f>IF(OR(SUM($G24)=0,SUM($Q24)=0),"",ROUND(SUM($G24)*SUM($Q24),0))</f>
        <v>53</v>
      </c>
      <c r="X24" s="33">
        <v>0.189</v>
      </c>
      <c r="Y24" s="218">
        <f>IF(OR(SUM($G24)=0,SUM($Q24)=0),"",ROUND(SUM($G24)*SUM($Q24),0))</f>
        <v>53</v>
      </c>
      <c r="Z24" s="218">
        <f>IF(SUM($Y24)=0,"",IF(SUM($X24)=0,"ENTER YIELD",ROUND($Y24/$X24,0)-$Y24))</f>
        <v>227</v>
      </c>
      <c r="AA24" s="36">
        <v>0.12</v>
      </c>
      <c r="AB24" s="218" t="str">
        <f>IF(OR(SUM($G24)=0,SUM($R24)=0),"",ROUND(SUM($G24)*SUM($R24),0))</f>
        <v/>
      </c>
      <c r="AC24" s="218" t="str">
        <f>IF(SUM($AB24)=0,"",IF(SUM($AA24)=0,"ENTER YIELD",ROUND($AB24/$AA24,0)-$AB24))</f>
        <v/>
      </c>
      <c r="AD24" s="33">
        <v>0.02</v>
      </c>
      <c r="AE24" s="218">
        <f>IF(OR(SUM($G24)=0,SUM($S24)=0),"",ROUND(SUM($G24)*SUM($S24),0))</f>
        <v>61</v>
      </c>
      <c r="AF24" s="218">
        <f>IF(SUM($AE24)=0,"",IF(SUM($AD24)=0,"ENTER YIELD",ROUND($AE24/$AD24,0)-$AE24))</f>
        <v>2989</v>
      </c>
      <c r="AG24" s="33">
        <v>0.02</v>
      </c>
      <c r="AH24" s="218">
        <f>IF(OR(SUM($G24)=0,SUM($T24)=0),"",ROUND(SUM($G24)*SUM($T24),0))</f>
        <v>8</v>
      </c>
      <c r="AI24" s="218">
        <f>IF(SUM($AH24)=0,"",IF(SUM($AG24)=0,"ENTER YIELD",ROUND($AH24/$AG24,0)-$AH24))</f>
        <v>392</v>
      </c>
      <c r="AJ24" s="33">
        <v>6.2E-2</v>
      </c>
      <c r="AK24" s="218">
        <f>IF(OR(SUM($G24)=0,SUM($U24)=0),"",ROUND(SUM($G24)*SUM($U24),0))</f>
        <v>23</v>
      </c>
      <c r="AL24" s="218">
        <f>IF(SUM($AK24)=0,"",IF(SUM($AJ24)=0,"ENTER YIELD",ROUND($AK24/$AJ24,0)-$AK24))</f>
        <v>348</v>
      </c>
      <c r="AM24" s="38">
        <f>IF(SUM($G24)=0,"",$G24)</f>
        <v>152</v>
      </c>
      <c r="AN24" s="38">
        <v>152</v>
      </c>
      <c r="AO24" s="38">
        <f t="shared" si="19"/>
        <v>0</v>
      </c>
      <c r="AP24" s="38" t="str">
        <f>IF(OR($C24="01-09",$D24="Male"),"",INDEX(PMTCT!$AD:$AD,MATCH($E24,PMTCT!$E:$E,0)))</f>
        <v/>
      </c>
      <c r="AQ24" s="38" t="str">
        <f>IF(OR($C24="01-09",$D24="Male"),"",INDEX(PMTCT!$AT:$AT,MATCH($E24,PMTCT!$E:$E,0)))</f>
        <v/>
      </c>
      <c r="AR24" s="38">
        <f>INDEX(TB!$Q:$Q,MATCH($E24,TB!$E:$E,0))</f>
        <v>8</v>
      </c>
      <c r="AS24" s="38">
        <f>IF(OR($C24="01-09",$C24="10-14",$D24="Female"),"",INDEX(VMMC!$AB:$AB,MATCH($E24,VMMC!$E:$E,0)))</f>
        <v>3426</v>
      </c>
      <c r="AT24" s="38" t="str">
        <f>IF(OR($C24="01-09",$C24="10-14"),"",INDEX(PrEP!$Q:$Q,MATCH($E24,PrEP!$E:$E,0)))</f>
        <v/>
      </c>
      <c r="AU24" s="38">
        <f t="shared" si="20"/>
        <v>7389.9999999999991</v>
      </c>
      <c r="AV24" s="38">
        <f t="shared" si="21"/>
        <v>7542</v>
      </c>
      <c r="AW24" s="33">
        <f t="shared" si="22"/>
        <v>2.0153805356669319E-2</v>
      </c>
      <c r="AX24" s="38">
        <v>4113</v>
      </c>
      <c r="AY24" s="33">
        <f t="shared" si="23"/>
        <v>0</v>
      </c>
      <c r="AZ24" s="218">
        <f t="shared" si="24"/>
        <v>4113</v>
      </c>
      <c r="BA24" s="33">
        <v>0.22</v>
      </c>
      <c r="BB24" s="218">
        <f t="shared" si="26"/>
        <v>33</v>
      </c>
    </row>
    <row r="25" spans="1:54" x14ac:dyDescent="0.2">
      <c r="A25" t="str">
        <f>INDEX(Prioritization!$D:$D,MATCH($B25,Prioritization!$A:$A,0))</f>
        <v>Military</v>
      </c>
      <c r="B25" t="s">
        <v>326</v>
      </c>
      <c r="C25" t="s">
        <v>478</v>
      </c>
      <c r="D25" t="s">
        <v>30</v>
      </c>
      <c r="E25" t="str">
        <f t="shared" si="0"/>
        <v>_Military Malawi [PQZgU9dagaH]|50+|Female</v>
      </c>
      <c r="F25" s="33" t="str">
        <f>IF(LEFT($B25,4)="_Mil","",INDEX(Cascade!$AA:$AA,MATCH($E25,Cascade!$E:$E,0)))</f>
        <v/>
      </c>
      <c r="G25" s="38">
        <f>INDEX(Cascade!$BH:$BH,MATCH($E25,Cascade!$E:$E,0))</f>
        <v>101</v>
      </c>
      <c r="H25" s="38" t="str">
        <f>IF(OR($C25="01-09",$D25="Male"),"",INDEX(PMTCT!$AC:$AC,MATCH($E25,PMTCT!$E:$E,0)))</f>
        <v/>
      </c>
      <c r="I25" s="38" t="str">
        <f>IF(OR($C25="01-09",$D25="Male"),"",INDEX(PMTCT!$AS:$AS,MATCH($E25,PMTCT!$E:$E,0)))</f>
        <v/>
      </c>
      <c r="J25" s="38">
        <f>INDEX(TB!$P:$P,MATCH($E25,TB!$E:$E,0))</f>
        <v>0</v>
      </c>
      <c r="K25" s="38" t="str">
        <f>IF(OR($C25="01-09",$C25="10-14",$D25="Female"),"",INDEX(VMMC!$AA:$AA,MATCH($E25,VMMC!$E:$E,0)))</f>
        <v/>
      </c>
      <c r="L25" s="38">
        <f t="shared" si="1"/>
        <v>101</v>
      </c>
      <c r="M25" s="33">
        <f t="shared" si="2"/>
        <v>0</v>
      </c>
      <c r="N25" s="33">
        <f t="shared" si="3"/>
        <v>0</v>
      </c>
      <c r="O25" s="33">
        <f t="shared" si="4"/>
        <v>0</v>
      </c>
      <c r="P25" s="33" t="str">
        <f t="shared" si="5"/>
        <v/>
      </c>
      <c r="Q25" s="33">
        <v>0.29599999999999999</v>
      </c>
      <c r="R25" s="33"/>
      <c r="S25" s="33">
        <v>0.4</v>
      </c>
      <c r="T25" s="33">
        <v>0.05</v>
      </c>
      <c r="U25" s="33">
        <v>0.25</v>
      </c>
      <c r="V25" s="33">
        <f t="shared" si="6"/>
        <v>0.996</v>
      </c>
      <c r="W25" s="218">
        <f t="shared" si="7"/>
        <v>30</v>
      </c>
      <c r="X25" s="33">
        <v>0.42899999999999999</v>
      </c>
      <c r="Y25" s="218">
        <f t="shared" si="7"/>
        <v>30</v>
      </c>
      <c r="Z25" s="218">
        <f t="shared" si="8"/>
        <v>40</v>
      </c>
      <c r="AA25" s="36">
        <v>0.12</v>
      </c>
      <c r="AB25" s="218" t="str">
        <f t="shared" si="9"/>
        <v/>
      </c>
      <c r="AC25" s="218" t="str">
        <f t="shared" si="10"/>
        <v/>
      </c>
      <c r="AD25" s="33">
        <v>0.02</v>
      </c>
      <c r="AE25" s="218">
        <f t="shared" si="11"/>
        <v>40</v>
      </c>
      <c r="AF25" s="218">
        <f t="shared" si="12"/>
        <v>1960</v>
      </c>
      <c r="AG25" s="33">
        <v>0.02</v>
      </c>
      <c r="AH25" s="218">
        <f t="shared" si="13"/>
        <v>5</v>
      </c>
      <c r="AI25" s="218">
        <f t="shared" si="14"/>
        <v>245</v>
      </c>
      <c r="AJ25" s="33">
        <v>4.9000000000000002E-2</v>
      </c>
      <c r="AK25" s="218">
        <f t="shared" si="15"/>
        <v>25</v>
      </c>
      <c r="AL25" s="218">
        <f t="shared" si="16"/>
        <v>485</v>
      </c>
      <c r="AM25" s="38">
        <f t="shared" si="17"/>
        <v>101</v>
      </c>
      <c r="AN25" s="38">
        <v>101</v>
      </c>
      <c r="AO25" s="38">
        <f t="shared" si="19"/>
        <v>0</v>
      </c>
      <c r="AP25" s="38" t="str">
        <f>IF(OR($C25="01-09",$D25="Male"),"",INDEX(PMTCT!$AD:$AD,MATCH($E25,PMTCT!$E:$E,0)))</f>
        <v/>
      </c>
      <c r="AQ25" s="38" t="str">
        <f>IF(OR($C25="01-09",$D25="Male"),"",INDEX(PMTCT!$AT:$AT,MATCH($E25,PMTCT!$E:$E,0)))</f>
        <v/>
      </c>
      <c r="AR25" s="38">
        <f>INDEX(TB!$Q:$Q,MATCH($E25,TB!$E:$E,0))</f>
        <v>4</v>
      </c>
      <c r="AS25" s="38" t="str">
        <f>IF(OR($C25="01-09",$C25="10-14",$D25="Female"),"",INDEX(VMMC!$AB:$AB,MATCH($E25,VMMC!$E:$E,0)))</f>
        <v/>
      </c>
      <c r="AT25" s="38" t="str">
        <f>IF(OR($C25="01-09",$C25="10-14"),"",INDEX(PrEP!$Q:$Q,MATCH($E25,PrEP!$E:$E,0)))</f>
        <v/>
      </c>
      <c r="AU25" s="38">
        <f t="shared" si="20"/>
        <v>2734</v>
      </c>
      <c r="AV25" s="38">
        <f t="shared" si="21"/>
        <v>2835</v>
      </c>
      <c r="AW25" s="33">
        <f t="shared" si="22"/>
        <v>3.5626102292768962E-2</v>
      </c>
      <c r="AX25" s="38">
        <v>264</v>
      </c>
      <c r="AY25" s="33">
        <f t="shared" si="23"/>
        <v>0</v>
      </c>
      <c r="AZ25" s="218">
        <f t="shared" si="24"/>
        <v>264</v>
      </c>
      <c r="BA25" s="33">
        <v>0.22</v>
      </c>
      <c r="BB25" s="218">
        <f t="shared" si="26"/>
        <v>22</v>
      </c>
    </row>
    <row r="26" spans="1:54" x14ac:dyDescent="0.2">
      <c r="A26" t="str">
        <f>INDEX(Prioritization!$D:$D,MATCH($B26,Prioritization!$A:$A,0))</f>
        <v>Military</v>
      </c>
      <c r="B26" t="s">
        <v>326</v>
      </c>
      <c r="C26" t="s">
        <v>478</v>
      </c>
      <c r="D26" t="s">
        <v>48</v>
      </c>
      <c r="E26" t="str">
        <f t="shared" si="0"/>
        <v>_Military Malawi [PQZgU9dagaH]|50+|Male</v>
      </c>
      <c r="F26" s="33" t="str">
        <f>IF(LEFT($B26,4)="_Mil","",INDEX(Cascade!$AA:$AA,MATCH($E26,Cascade!$E:$E,0)))</f>
        <v/>
      </c>
      <c r="G26" s="38">
        <f>INDEX(Cascade!$BH:$BH,MATCH($E26,Cascade!$E:$E,0))</f>
        <v>120</v>
      </c>
      <c r="H26" s="38" t="str">
        <f>IF(OR($C26="01-09",$D26="Male"),"",INDEX(PMTCT!$AC:$AC,MATCH($E26,PMTCT!$E:$E,0)))</f>
        <v/>
      </c>
      <c r="I26" s="38" t="str">
        <f>IF(OR($C26="01-09",$D26="Male"),"",INDEX(PMTCT!$AS:$AS,MATCH($E26,PMTCT!$E:$E,0)))</f>
        <v/>
      </c>
      <c r="J26" s="38">
        <f>INDEX(TB!$P:$P,MATCH($E26,TB!$E:$E,0))</f>
        <v>0</v>
      </c>
      <c r="K26" s="38" t="str">
        <f>IF(OR($C26="01-09",$C26="10-14",$D26="Female"),"",INDEX(VMMC!$AA:$AA,MATCH($E26,VMMC!$E:$E,0)))</f>
        <v/>
      </c>
      <c r="L26" s="38">
        <f t="shared" si="1"/>
        <v>120</v>
      </c>
      <c r="M26" s="33" t="str">
        <f t="shared" si="2"/>
        <v/>
      </c>
      <c r="N26" s="33" t="str">
        <f t="shared" si="3"/>
        <v/>
      </c>
      <c r="O26" s="33">
        <f t="shared" si="4"/>
        <v>0</v>
      </c>
      <c r="P26" s="33">
        <f t="shared" si="5"/>
        <v>0</v>
      </c>
      <c r="Q26" s="33">
        <v>0.35</v>
      </c>
      <c r="R26" s="33"/>
      <c r="S26" s="33">
        <v>0.51162790697674398</v>
      </c>
      <c r="T26" s="33">
        <v>0.05</v>
      </c>
      <c r="U26" s="33">
        <f>1-SUM(M26:T26)</f>
        <v>8.8372093023255993E-2</v>
      </c>
      <c r="V26" s="33">
        <f t="shared" si="6"/>
        <v>1</v>
      </c>
      <c r="W26" s="218">
        <f>IF(OR(SUM($G26)=0,SUM($Q26)=0),"",ROUND(SUM($G26)*SUM($Q26),0))</f>
        <v>42</v>
      </c>
      <c r="X26" s="33">
        <v>0.21099999999999999</v>
      </c>
      <c r="Y26" s="218">
        <f>IF(OR(SUM($G26)=0,SUM($Q26)=0),"",ROUND(SUM($G26)*SUM($Q26),0))</f>
        <v>42</v>
      </c>
      <c r="Z26" s="218">
        <f>IF(SUM($Y26)=0,"",IF(SUM($X26)=0,"ENTER YIELD",ROUND($Y26/$X26,0)-$Y26))</f>
        <v>157</v>
      </c>
      <c r="AA26" s="36">
        <v>0.12</v>
      </c>
      <c r="AB26" s="218" t="str">
        <f>IF(OR(SUM($G26)=0,SUM($R26)=0),"",ROUND(SUM($G26)*SUM($R26),0))</f>
        <v/>
      </c>
      <c r="AC26" s="218" t="str">
        <f>IF(SUM($AB26)=0,"",IF(SUM($AA26)=0,"ENTER YIELD",ROUND($AB26/$AA26,0)-$AB26))</f>
        <v/>
      </c>
      <c r="AD26" s="33">
        <v>0.02</v>
      </c>
      <c r="AE26" s="218">
        <f>IF(OR(SUM($G26)=0,SUM($S26)=0),"",ROUND(SUM($G26)*SUM($S26),0))</f>
        <v>61</v>
      </c>
      <c r="AF26" s="218">
        <f>IF(SUM($AE26)=0,"",IF(SUM($AD26)=0,"ENTER YIELD",ROUND($AE26/$AD26,0)-$AE26))</f>
        <v>2989</v>
      </c>
      <c r="AG26" s="33">
        <v>0.02</v>
      </c>
      <c r="AH26" s="218">
        <f>IF(OR(SUM($G26)=0,SUM($T26)=0),"",ROUND(SUM($G26)*SUM($T26),0))</f>
        <v>6</v>
      </c>
      <c r="AI26" s="218">
        <f>IF(SUM($AH26)=0,"",IF(SUM($AG26)=0,"ENTER YIELD",ROUND($AH26/$AG26,0)-$AH26))</f>
        <v>294</v>
      </c>
      <c r="AJ26" s="33">
        <v>7.0999999999999994E-2</v>
      </c>
      <c r="AK26" s="218">
        <f>IF(OR(SUM($G26)=0,SUM($U26)=0),"",ROUND(SUM($G26)*SUM($U26),0))</f>
        <v>11</v>
      </c>
      <c r="AL26" s="218">
        <f>IF(SUM($AK26)=0,"",IF(SUM($AJ26)=0,"ENTER YIELD",ROUND($AK26/$AJ26,0)-$AK26))</f>
        <v>144</v>
      </c>
      <c r="AM26" s="38">
        <f>IF(SUM($G26)=0,"",$G26)</f>
        <v>120</v>
      </c>
      <c r="AN26" s="38">
        <f>IFERROR(1/(1/SUM($H26:$K26,$Y26,$AB26,$AE26,$AH26,$AK26)),"")</f>
        <v>120</v>
      </c>
      <c r="AO26" s="38">
        <f t="shared" si="19"/>
        <v>0</v>
      </c>
      <c r="AP26" s="38" t="str">
        <f>IF(OR($C26="01-09",$D26="Male"),"",INDEX(PMTCT!$AD:$AD,MATCH($E26,PMTCT!$E:$E,0)))</f>
        <v/>
      </c>
      <c r="AQ26" s="38" t="str">
        <f>IF(OR($C26="01-09",$D26="Male"),"",INDEX(PMTCT!$AT:$AT,MATCH($E26,PMTCT!$E:$E,0)))</f>
        <v/>
      </c>
      <c r="AR26" s="38">
        <f>INDEX(TB!$Q:$Q,MATCH($E26,TB!$E:$E,0))</f>
        <v>4</v>
      </c>
      <c r="AS26" s="38" t="str">
        <f>IF(OR($C26="01-09",$C26="10-14",$D26="Female"),"",INDEX(VMMC!$AB:$AB,MATCH($E26,VMMC!$E:$E,0)))</f>
        <v/>
      </c>
      <c r="AT26" s="38" t="str">
        <f>IF(OR($C26="01-09",$C26="10-14"),"",INDEX(PrEP!$Q:$Q,MATCH($E26,PrEP!$E:$E,0)))</f>
        <v/>
      </c>
      <c r="AU26" s="38">
        <f t="shared" si="20"/>
        <v>3588</v>
      </c>
      <c r="AV26" s="38">
        <f t="shared" si="21"/>
        <v>3708.0000000000005</v>
      </c>
      <c r="AW26" s="33">
        <f t="shared" si="22"/>
        <v>3.2362459546925564E-2</v>
      </c>
      <c r="AX26" s="38">
        <v>841</v>
      </c>
      <c r="AY26" s="33">
        <f t="shared" si="23"/>
        <v>0</v>
      </c>
      <c r="AZ26" s="218">
        <f t="shared" si="24"/>
        <v>841</v>
      </c>
      <c r="BA26" s="33">
        <v>0.22</v>
      </c>
      <c r="BB26" s="218">
        <f t="shared" si="26"/>
        <v>26</v>
      </c>
    </row>
    <row r="27" spans="1:54" x14ac:dyDescent="0.2">
      <c r="A27" t="str">
        <f>INDEX(Prioritization!$D:$D,MATCH($B27,Prioritization!$A:$A,0))</f>
        <v>4 - Sustained</v>
      </c>
      <c r="B27" t="s">
        <v>313</v>
      </c>
      <c r="C27" t="s">
        <v>473</v>
      </c>
      <c r="D27" t="s">
        <v>30</v>
      </c>
      <c r="E27" t="str">
        <f t="shared" si="0"/>
        <v>Balaka District [ir8wuHHzoSs]|01-09|Female</v>
      </c>
      <c r="F27" s="33">
        <f>IF(LEFT($B27,4)="_Mil","",INDEX(Cascade!$AA:$AA,MATCH($E27,Cascade!$E:$E,0)))</f>
        <v>0.71466822600000002</v>
      </c>
      <c r="G27" s="38">
        <f>INDEX(Cascade!$BH:$BH,MATCH($E27,Cascade!$E:$E,0))</f>
        <v>0</v>
      </c>
      <c r="H27" s="38" t="str">
        <f>IF(OR($C27="01-09",$D27="Male"),"",INDEX(PMTCT!$AC:$AC,MATCH($E27,PMTCT!$E:$E,0)))</f>
        <v/>
      </c>
      <c r="I27" s="38" t="str">
        <f>IF(OR($C27="01-09",$D27="Male"),"",INDEX(PMTCT!$AS:$AS,MATCH($E27,PMTCT!$E:$E,0)))</f>
        <v/>
      </c>
      <c r="J27" s="38">
        <f>INDEX(TB!$P:$P,MATCH($E27,TB!$E:$E,0))</f>
        <v>0</v>
      </c>
      <c r="K27" s="38" t="str">
        <f>IF(OR($C27="01-09",$C27="10-14",$D27="Female"),"",INDEX(VMMC!$AA:$AA,MATCH($E27,VMMC!$E:$E,0)))</f>
        <v/>
      </c>
      <c r="L27" s="38">
        <f t="shared" si="1"/>
        <v>0</v>
      </c>
      <c r="M27" s="33" t="str">
        <f t="shared" si="2"/>
        <v/>
      </c>
      <c r="N27" s="33" t="str">
        <f t="shared" si="3"/>
        <v/>
      </c>
      <c r="O27" s="33" t="str">
        <f t="shared" si="4"/>
        <v/>
      </c>
      <c r="P27" s="33" t="str">
        <f t="shared" si="5"/>
        <v/>
      </c>
      <c r="Q27" s="33">
        <v>0.46153846153846201</v>
      </c>
      <c r="R27" s="33"/>
      <c r="S27" s="33"/>
      <c r="T27" s="33"/>
      <c r="U27" s="33">
        <f>1-SUM(M27:T27)</f>
        <v>0.53846153846153799</v>
      </c>
      <c r="V27" s="33" t="str">
        <f t="shared" si="6"/>
        <v/>
      </c>
      <c r="W27" s="218" t="str">
        <f t="shared" si="7"/>
        <v/>
      </c>
      <c r="X27" s="33">
        <v>2.1000000000000001E-2</v>
      </c>
      <c r="Y27" s="218" t="str">
        <f t="shared" si="7"/>
        <v/>
      </c>
      <c r="Z27" s="218" t="str">
        <f t="shared" si="8"/>
        <v/>
      </c>
      <c r="AA27" s="33">
        <v>0.12</v>
      </c>
      <c r="AB27" s="218" t="str">
        <f t="shared" si="9"/>
        <v/>
      </c>
      <c r="AC27" s="218" t="str">
        <f t="shared" si="10"/>
        <v/>
      </c>
      <c r="AD27" s="33">
        <v>0.02</v>
      </c>
      <c r="AE27" s="218" t="str">
        <f t="shared" si="11"/>
        <v/>
      </c>
      <c r="AF27" s="218" t="str">
        <f t="shared" si="12"/>
        <v/>
      </c>
      <c r="AG27" s="33">
        <v>0.02</v>
      </c>
      <c r="AH27" s="218" t="str">
        <f t="shared" si="13"/>
        <v/>
      </c>
      <c r="AI27" s="218" t="str">
        <f t="shared" si="14"/>
        <v/>
      </c>
      <c r="AJ27" s="33">
        <v>7.4999999999999997E-3</v>
      </c>
      <c r="AK27" s="218" t="str">
        <f t="shared" si="15"/>
        <v/>
      </c>
      <c r="AL27" s="218" t="str">
        <f t="shared" si="16"/>
        <v/>
      </c>
      <c r="AM27" s="38" t="str">
        <f t="shared" si="17"/>
        <v/>
      </c>
      <c r="AN27" s="38" t="str">
        <f t="shared" si="18"/>
        <v/>
      </c>
      <c r="AO27" s="38" t="str">
        <f t="shared" si="19"/>
        <v/>
      </c>
      <c r="AP27" s="38" t="str">
        <f>IF(OR($C27="01-09",$D27="Male"),"",INDEX(PMTCT!$AD:$AD,MATCH($E27,PMTCT!$E:$E,0)))</f>
        <v/>
      </c>
      <c r="AQ27" s="38" t="str">
        <f>IF(OR($C27="01-09",$D27="Male"),"",INDEX(PMTCT!$AT:$AT,MATCH($E27,PMTCT!$E:$E,0)))</f>
        <v/>
      </c>
      <c r="AR27" s="38">
        <f>INDEX(TB!$Q:$Q,MATCH($E27,TB!$E:$E,0))</f>
        <v>6</v>
      </c>
      <c r="AS27" s="38" t="str">
        <f>IF(OR($C27="01-09",$C27="10-14",$D27="Female"),"",INDEX(VMMC!$AB:$AB,MATCH($E27,VMMC!$E:$E,0)))</f>
        <v/>
      </c>
      <c r="AT27" s="38" t="str">
        <f>IF(OR($C27="01-09",$C27="10-14"),"",INDEX(PrEP!$Q:$Q,MATCH($E27,PrEP!$E:$E,0)))</f>
        <v/>
      </c>
      <c r="AU27" s="38">
        <f t="shared" si="20"/>
        <v>6</v>
      </c>
      <c r="AV27" s="38">
        <f t="shared" si="21"/>
        <v>6</v>
      </c>
      <c r="AW27" s="33" t="e">
        <f t="shared" si="22"/>
        <v>#VALUE!</v>
      </c>
      <c r="AX27" s="38"/>
      <c r="AY27" s="33" t="str">
        <f t="shared" si="23"/>
        <v/>
      </c>
      <c r="AZ27" s="218" t="str">
        <f t="shared" si="24"/>
        <v/>
      </c>
      <c r="BA27" s="33" t="str">
        <f t="shared" si="25"/>
        <v/>
      </c>
      <c r="BB27" s="218" t="str">
        <f t="shared" si="26"/>
        <v/>
      </c>
    </row>
    <row r="28" spans="1:54" x14ac:dyDescent="0.2">
      <c r="A28" t="str">
        <f>INDEX(Prioritization!$D:$D,MATCH($B28,Prioritization!$A:$A,0))</f>
        <v>4 - Sustained</v>
      </c>
      <c r="B28" t="s">
        <v>313</v>
      </c>
      <c r="C28" t="s">
        <v>473</v>
      </c>
      <c r="D28" t="s">
        <v>48</v>
      </c>
      <c r="E28" t="str">
        <f t="shared" si="0"/>
        <v>Balaka District [ir8wuHHzoSs]|01-09|Male</v>
      </c>
      <c r="F28" s="33">
        <f>IF(LEFT($B28,4)="_Mil","",INDEX(Cascade!$AA:$AA,MATCH($E28,Cascade!$E:$E,0)))</f>
        <v>0.71487340499999996</v>
      </c>
      <c r="G28" s="38">
        <f>INDEX(Cascade!$BH:$BH,MATCH($E28,Cascade!$E:$E,0))</f>
        <v>0</v>
      </c>
      <c r="H28" s="38" t="str">
        <f>IF(OR($C28="01-09",$D28="Male"),"",INDEX(PMTCT!$AC:$AC,MATCH($E28,PMTCT!$E:$E,0)))</f>
        <v/>
      </c>
      <c r="I28" s="38" t="str">
        <f>IF(OR($C28="01-09",$D28="Male"),"",INDEX(PMTCT!$AS:$AS,MATCH($E28,PMTCT!$E:$E,0)))</f>
        <v/>
      </c>
      <c r="J28" s="38">
        <f>INDEX(TB!$P:$P,MATCH($E28,TB!$E:$E,0))</f>
        <v>0</v>
      </c>
      <c r="K28" s="38" t="str">
        <f>IF(OR($C28="01-09",$C28="10-14",$D28="Female"),"",INDEX(VMMC!$AA:$AA,MATCH($E28,VMMC!$E:$E,0)))</f>
        <v/>
      </c>
      <c r="L28" s="38">
        <f t="shared" si="1"/>
        <v>0</v>
      </c>
      <c r="M28" s="33" t="str">
        <f t="shared" si="2"/>
        <v/>
      </c>
      <c r="N28" s="33" t="str">
        <f t="shared" si="3"/>
        <v/>
      </c>
      <c r="O28" s="33" t="str">
        <f t="shared" si="4"/>
        <v/>
      </c>
      <c r="P28" s="33" t="str">
        <f t="shared" si="5"/>
        <v/>
      </c>
      <c r="Q28" s="33">
        <v>0.46153846153846201</v>
      </c>
      <c r="R28" s="33"/>
      <c r="S28" s="33"/>
      <c r="T28" s="33"/>
      <c r="U28" s="33">
        <f t="shared" ref="U28:U91" si="27">1-SUM(M28:T28)</f>
        <v>0.53846153846153799</v>
      </c>
      <c r="V28" s="33" t="str">
        <f t="shared" si="6"/>
        <v/>
      </c>
      <c r="W28" s="218" t="str">
        <f>IF(OR(SUM($G28)=0,SUM($Q28)=0),"",ROUND(SUM($G28)*SUM($Q28),0))</f>
        <v/>
      </c>
      <c r="X28" s="33">
        <v>1.4E-2</v>
      </c>
      <c r="Y28" s="218" t="str">
        <f>IF(OR(SUM($G28)=0,SUM($Q28)=0),"",ROUND(SUM($G28)*SUM($Q28),0))</f>
        <v/>
      </c>
      <c r="Z28" s="218" t="str">
        <f>IF(SUM($Y28)=0,"",IF(SUM($X28)=0,"ENTER YIELD",ROUND($Y28/$X28,0)-$Y28))</f>
        <v/>
      </c>
      <c r="AA28" s="33">
        <v>0.12</v>
      </c>
      <c r="AB28" s="218" t="str">
        <f>IF(OR(SUM($G28)=0,SUM($R28)=0),"",ROUND(SUM($G28)*SUM($R28),0))</f>
        <v/>
      </c>
      <c r="AC28" s="218" t="str">
        <f>IF(SUM($AB28)=0,"",IF(SUM($AA28)=0,"ENTER YIELD",ROUND($AB28/$AA28,0)-$AB28))</f>
        <v/>
      </c>
      <c r="AD28" s="33">
        <v>0.02</v>
      </c>
      <c r="AE28" s="218" t="str">
        <f t="shared" si="11"/>
        <v/>
      </c>
      <c r="AF28" s="218" t="str">
        <f t="shared" si="12"/>
        <v/>
      </c>
      <c r="AG28" s="33">
        <v>0.02</v>
      </c>
      <c r="AH28" s="218" t="str">
        <f>IF(OR(SUM($G28)=0,SUM($T28)=0),"",ROUND(SUM($G28)*SUM($T28),0))</f>
        <v/>
      </c>
      <c r="AI28" s="218" t="str">
        <f>IF(SUM($AH28)=0,"",IF(SUM($AG28)=0,"ENTER YIELD",ROUND($AH28/$AG28,0)-$AH28))</f>
        <v/>
      </c>
      <c r="AJ28" s="33">
        <v>6.7000000000000002E-3</v>
      </c>
      <c r="AK28" s="218" t="str">
        <f>IF(OR(SUM($G28)=0,SUM($U28)=0),"",ROUND(SUM($G28)*SUM($U28),0))</f>
        <v/>
      </c>
      <c r="AL28" s="218" t="str">
        <f>IF(SUM($AK28)=0,"",IF(SUM($AJ28)=0,"ENTER YIELD",ROUND($AK28/$AJ28,0)-$AK28))</f>
        <v/>
      </c>
      <c r="AM28" s="38" t="str">
        <f t="shared" si="17"/>
        <v/>
      </c>
      <c r="AN28" s="38" t="str">
        <f t="shared" si="18"/>
        <v/>
      </c>
      <c r="AO28" s="38" t="str">
        <f t="shared" si="19"/>
        <v/>
      </c>
      <c r="AP28" s="38" t="str">
        <f>IF(OR($C28="01-09",$D28="Male"),"",INDEX(PMTCT!$AD:$AD,MATCH($E28,PMTCT!$E:$E,0)))</f>
        <v/>
      </c>
      <c r="AQ28" s="38" t="str">
        <f>IF(OR($C28="01-09",$D28="Male"),"",INDEX(PMTCT!$AT:$AT,MATCH($E28,PMTCT!$E:$E,0)))</f>
        <v/>
      </c>
      <c r="AR28" s="38">
        <f>INDEX(TB!$Q:$Q,MATCH($E28,TB!$E:$E,0))</f>
        <v>6</v>
      </c>
      <c r="AS28" s="38" t="str">
        <f>IF(OR($C28="01-09",$C28="10-14",$D28="Female"),"",INDEX(VMMC!$AB:$AB,MATCH($E28,VMMC!$E:$E,0)))</f>
        <v/>
      </c>
      <c r="AT28" s="38" t="str">
        <f>IF(OR($C28="01-09",$C28="10-14"),"",INDEX(PrEP!$Q:$Q,MATCH($E28,PrEP!$E:$E,0)))</f>
        <v/>
      </c>
      <c r="AU28" s="38">
        <f t="shared" si="20"/>
        <v>6</v>
      </c>
      <c r="AV28" s="38">
        <f t="shared" si="21"/>
        <v>6</v>
      </c>
      <c r="AW28" s="33" t="e">
        <f t="shared" si="22"/>
        <v>#VALUE!</v>
      </c>
      <c r="AX28" s="38"/>
      <c r="AY28" s="33" t="str">
        <f t="shared" si="23"/>
        <v/>
      </c>
      <c r="AZ28" s="218" t="str">
        <f t="shared" si="24"/>
        <v/>
      </c>
      <c r="BA28" s="33" t="str">
        <f t="shared" si="25"/>
        <v/>
      </c>
      <c r="BB28" s="218" t="str">
        <f t="shared" si="26"/>
        <v/>
      </c>
    </row>
    <row r="29" spans="1:54" x14ac:dyDescent="0.2">
      <c r="A29" t="str">
        <f>INDEX(Prioritization!$D:$D,MATCH($B29,Prioritization!$A:$A,0))</f>
        <v>4 - Sustained</v>
      </c>
      <c r="B29" t="s">
        <v>313</v>
      </c>
      <c r="C29" t="s">
        <v>474</v>
      </c>
      <c r="D29" t="s">
        <v>30</v>
      </c>
      <c r="E29" t="str">
        <f t="shared" si="0"/>
        <v>Balaka District [ir8wuHHzoSs]|10-14|Female</v>
      </c>
      <c r="F29" s="33">
        <f>IF(LEFT($B29,4)="_Mil","",INDEX(Cascade!$AA:$AA,MATCH($E29,Cascade!$E:$E,0)))</f>
        <v>0.75042192699999999</v>
      </c>
      <c r="G29" s="38">
        <f>INDEX(Cascade!$BH:$BH,MATCH($E29,Cascade!$E:$E,0))</f>
        <v>0</v>
      </c>
      <c r="H29" s="38">
        <f>IF(OR($C29="01-09",$D29="Male"),"",INDEX(PMTCT!$AC:$AC,MATCH($E29,PMTCT!$E:$E,0)))</f>
        <v>1</v>
      </c>
      <c r="I29" s="38">
        <f>IF(OR($C29="01-09",$D29="Male"),"",INDEX(PMTCT!$AS:$AS,MATCH($E29,PMTCT!$E:$E,0)))</f>
        <v>0</v>
      </c>
      <c r="J29" s="38">
        <f>INDEX(TB!$P:$P,MATCH($E29,TB!$E:$E,0))</f>
        <v>0</v>
      </c>
      <c r="K29" s="38" t="str">
        <f>IF(OR($C29="01-09",$C29="10-14",$D29="Female"),"",INDEX(VMMC!$AA:$AA,MATCH($E29,VMMC!$E:$E,0)))</f>
        <v/>
      </c>
      <c r="L29" s="38">
        <f t="shared" si="1"/>
        <v>-1</v>
      </c>
      <c r="M29" s="33" t="e">
        <f t="shared" si="2"/>
        <v>#DIV/0!</v>
      </c>
      <c r="N29" s="33" t="str">
        <f t="shared" si="3"/>
        <v/>
      </c>
      <c r="O29" s="33" t="str">
        <f t="shared" si="4"/>
        <v/>
      </c>
      <c r="P29" s="33" t="str">
        <f t="shared" si="5"/>
        <v/>
      </c>
      <c r="Q29" s="33">
        <v>0.45</v>
      </c>
      <c r="R29" s="33"/>
      <c r="S29" s="33"/>
      <c r="T29" s="33"/>
      <c r="U29" s="33" t="e">
        <f t="shared" si="27"/>
        <v>#DIV/0!</v>
      </c>
      <c r="V29" s="33" t="str">
        <f t="shared" si="6"/>
        <v/>
      </c>
      <c r="W29" s="218" t="str">
        <f t="shared" si="7"/>
        <v/>
      </c>
      <c r="X29" s="33">
        <v>1.7999999999999999E-2</v>
      </c>
      <c r="Y29" s="218" t="str">
        <f t="shared" si="7"/>
        <v/>
      </c>
      <c r="Z29" s="218" t="str">
        <f t="shared" si="8"/>
        <v/>
      </c>
      <c r="AA29" s="33">
        <v>0.12</v>
      </c>
      <c r="AB29" s="218" t="str">
        <f t="shared" si="9"/>
        <v/>
      </c>
      <c r="AC29" s="218" t="str">
        <f t="shared" si="10"/>
        <v/>
      </c>
      <c r="AD29" s="33">
        <v>0.02</v>
      </c>
      <c r="AE29" s="218" t="str">
        <f t="shared" si="11"/>
        <v/>
      </c>
      <c r="AF29" s="218" t="str">
        <f t="shared" si="12"/>
        <v/>
      </c>
      <c r="AG29" s="33">
        <v>0.02</v>
      </c>
      <c r="AH29" s="218" t="str">
        <f t="shared" si="13"/>
        <v/>
      </c>
      <c r="AI29" s="218" t="str">
        <f t="shared" si="14"/>
        <v/>
      </c>
      <c r="AJ29" s="33">
        <v>1.7000000000000001E-2</v>
      </c>
      <c r="AK29" s="218" t="e">
        <f t="shared" si="15"/>
        <v>#DIV/0!</v>
      </c>
      <c r="AL29" s="218" t="e">
        <f t="shared" si="16"/>
        <v>#DIV/0!</v>
      </c>
      <c r="AM29" s="38" t="str">
        <f t="shared" si="17"/>
        <v/>
      </c>
      <c r="AN29" s="38" t="str">
        <f t="shared" si="18"/>
        <v/>
      </c>
      <c r="AO29" s="38" t="str">
        <f t="shared" si="19"/>
        <v/>
      </c>
      <c r="AP29" s="38">
        <f>IF(OR($C29="01-09",$D29="Male"),"",INDEX(PMTCT!$AD:$AD,MATCH($E29,PMTCT!$E:$E,0)))</f>
        <v>49</v>
      </c>
      <c r="AQ29" s="38">
        <f>IF(OR($C29="01-09",$D29="Male"),"",INDEX(PMTCT!$AT:$AT,MATCH($E29,PMTCT!$E:$E,0)))</f>
        <v>49.000000000000007</v>
      </c>
      <c r="AR29" s="38">
        <f>INDEX(TB!$Q:$Q,MATCH($E29,TB!$E:$E,0))</f>
        <v>3</v>
      </c>
      <c r="AS29" s="38" t="str">
        <f>IF(OR($C29="01-09",$C29="10-14",$D29="Female"),"",INDEX(VMMC!$AB:$AB,MATCH($E29,VMMC!$E:$E,0)))</f>
        <v/>
      </c>
      <c r="AT29" s="38" t="str">
        <f>IF(OR($C29="01-09",$C29="10-14"),"",INDEX(PrEP!$Q:$Q,MATCH($E29,PrEP!$E:$E,0)))</f>
        <v/>
      </c>
      <c r="AU29" s="38" t="str">
        <f t="shared" si="20"/>
        <v/>
      </c>
      <c r="AV29" s="38" t="str">
        <f t="shared" si="21"/>
        <v/>
      </c>
      <c r="AW29" s="33" t="str">
        <f t="shared" si="22"/>
        <v/>
      </c>
      <c r="AX29" s="38"/>
      <c r="AY29" s="33" t="str">
        <f t="shared" si="23"/>
        <v/>
      </c>
      <c r="AZ29" s="218" t="str">
        <f t="shared" si="24"/>
        <v/>
      </c>
      <c r="BA29" s="33" t="str">
        <f t="shared" si="25"/>
        <v/>
      </c>
      <c r="BB29" s="218" t="str">
        <f t="shared" si="26"/>
        <v/>
      </c>
    </row>
    <row r="30" spans="1:54" x14ac:dyDescent="0.2">
      <c r="A30" t="str">
        <f>INDEX(Prioritization!$D:$D,MATCH($B30,Prioritization!$A:$A,0))</f>
        <v>4 - Sustained</v>
      </c>
      <c r="B30" t="s">
        <v>313</v>
      </c>
      <c r="C30" t="s">
        <v>474</v>
      </c>
      <c r="D30" t="s">
        <v>48</v>
      </c>
      <c r="E30" t="str">
        <f t="shared" si="0"/>
        <v>Balaka District [ir8wuHHzoSs]|10-14|Male</v>
      </c>
      <c r="F30" s="33">
        <f>IF(LEFT($B30,4)="_Mil","",INDEX(Cascade!$AA:$AA,MATCH($E30,Cascade!$E:$E,0)))</f>
        <v>0.750226689</v>
      </c>
      <c r="G30" s="38">
        <f>INDEX(Cascade!$BH:$BH,MATCH($E30,Cascade!$E:$E,0))</f>
        <v>0</v>
      </c>
      <c r="H30" s="38" t="str">
        <f>IF(OR($C30="01-09",$D30="Male"),"",INDEX(PMTCT!$AC:$AC,MATCH($E30,PMTCT!$E:$E,0)))</f>
        <v/>
      </c>
      <c r="I30" s="38" t="str">
        <f>IF(OR($C30="01-09",$D30="Male"),"",INDEX(PMTCT!$AS:$AS,MATCH($E30,PMTCT!$E:$E,0)))</f>
        <v/>
      </c>
      <c r="J30" s="38">
        <f>INDEX(TB!$P:$P,MATCH($E30,TB!$E:$E,0))</f>
        <v>0</v>
      </c>
      <c r="K30" s="38" t="str">
        <f>IF(OR($C30="01-09",$C30="10-14",$D30="Female"),"",INDEX(VMMC!$AA:$AA,MATCH($E30,VMMC!$E:$E,0)))</f>
        <v/>
      </c>
      <c r="L30" s="38">
        <f t="shared" si="1"/>
        <v>0</v>
      </c>
      <c r="M30" s="33" t="str">
        <f t="shared" si="2"/>
        <v/>
      </c>
      <c r="N30" s="33" t="str">
        <f t="shared" si="3"/>
        <v/>
      </c>
      <c r="O30" s="33" t="str">
        <f t="shared" si="4"/>
        <v/>
      </c>
      <c r="P30" s="33" t="str">
        <f t="shared" si="5"/>
        <v/>
      </c>
      <c r="Q30" s="33">
        <v>0.581395348837209</v>
      </c>
      <c r="R30" s="33">
        <v>0.06</v>
      </c>
      <c r="S30" s="33"/>
      <c r="T30" s="33"/>
      <c r="U30" s="33">
        <f t="shared" si="27"/>
        <v>0.35860465116279094</v>
      </c>
      <c r="V30" s="33" t="str">
        <f t="shared" si="6"/>
        <v/>
      </c>
      <c r="W30" s="218" t="str">
        <f t="shared" si="7"/>
        <v/>
      </c>
      <c r="X30" s="33">
        <v>1.7999999999999999E-2</v>
      </c>
      <c r="Y30" s="218" t="str">
        <f t="shared" si="7"/>
        <v/>
      </c>
      <c r="Z30" s="218" t="str">
        <f t="shared" si="8"/>
        <v/>
      </c>
      <c r="AA30" s="33">
        <v>0.12</v>
      </c>
      <c r="AB30" s="218" t="str">
        <f t="shared" si="9"/>
        <v/>
      </c>
      <c r="AC30" s="218" t="str">
        <f>IF(SUM($AB30)=0,"",IF(SUM($AA30)=0,"ENTER YIELD",ROUND($AB30/$AA30,0)-$AB30))</f>
        <v/>
      </c>
      <c r="AD30" s="33">
        <v>0.02</v>
      </c>
      <c r="AE30" s="218" t="str">
        <f t="shared" si="11"/>
        <v/>
      </c>
      <c r="AF30" s="218" t="str">
        <f t="shared" si="12"/>
        <v/>
      </c>
      <c r="AG30" s="33">
        <v>0.02</v>
      </c>
      <c r="AH30" s="218" t="str">
        <f>IF(OR(SUM($G30)=0,SUM($T30)=0),"",ROUND(SUM($G30)*SUM($T30),0))</f>
        <v/>
      </c>
      <c r="AI30" s="218" t="str">
        <f>IF(SUM($AH30)=0,"",IF(SUM($AG30)=0,"ENTER YIELD",ROUND($AH30/$AG30,0)-$AH30))</f>
        <v/>
      </c>
      <c r="AJ30" s="33">
        <v>1.2999999999999999E-2</v>
      </c>
      <c r="AK30" s="218" t="str">
        <f>IF(OR(SUM($G30)=0,SUM($U30)=0),"",ROUND(SUM($G30)*SUM($U30),0))</f>
        <v/>
      </c>
      <c r="AL30" s="218" t="str">
        <f>IF(SUM($AK30)=0,"",IF(SUM($AJ30)=0,"ENTER YIELD",ROUND($AK30/$AJ30,0)-$AK30))</f>
        <v/>
      </c>
      <c r="AM30" s="38" t="str">
        <f t="shared" si="17"/>
        <v/>
      </c>
      <c r="AN30" s="38" t="str">
        <f t="shared" si="18"/>
        <v/>
      </c>
      <c r="AO30" s="38" t="str">
        <f t="shared" si="19"/>
        <v/>
      </c>
      <c r="AP30" s="38" t="str">
        <f>IF(OR($C30="01-09",$D30="Male"),"",INDEX(PMTCT!$AD:$AD,MATCH($E30,PMTCT!$E:$E,0)))</f>
        <v/>
      </c>
      <c r="AQ30" s="38" t="str">
        <f>IF(OR($C30="01-09",$D30="Male"),"",INDEX(PMTCT!$AT:$AT,MATCH($E30,PMTCT!$E:$E,0)))</f>
        <v/>
      </c>
      <c r="AR30" s="38">
        <f>INDEX(TB!$Q:$Q,MATCH($E30,TB!$E:$E,0))</f>
        <v>3</v>
      </c>
      <c r="AS30" s="38" t="str">
        <f>IF(OR($C30="01-09",$C30="10-14",$D30="Female"),"",INDEX(VMMC!$AB:$AB,MATCH($E30,VMMC!$E:$E,0)))</f>
        <v/>
      </c>
      <c r="AT30" s="38" t="str">
        <f>IF(OR($C30="01-09",$C30="10-14"),"",INDEX(PrEP!$Q:$Q,MATCH($E30,PrEP!$E:$E,0)))</f>
        <v/>
      </c>
      <c r="AU30" s="38">
        <f t="shared" si="20"/>
        <v>3</v>
      </c>
      <c r="AV30" s="38">
        <f t="shared" si="21"/>
        <v>3</v>
      </c>
      <c r="AW30" s="33" t="e">
        <f t="shared" si="22"/>
        <v>#VALUE!</v>
      </c>
      <c r="AX30" s="38"/>
      <c r="AY30" s="33" t="str">
        <f t="shared" si="23"/>
        <v/>
      </c>
      <c r="AZ30" s="218" t="str">
        <f t="shared" si="24"/>
        <v/>
      </c>
      <c r="BA30" s="33" t="str">
        <f t="shared" si="25"/>
        <v/>
      </c>
      <c r="BB30" s="218" t="str">
        <f t="shared" si="26"/>
        <v/>
      </c>
    </row>
    <row r="31" spans="1:54" x14ac:dyDescent="0.2">
      <c r="A31" t="str">
        <f>INDEX(Prioritization!$D:$D,MATCH($B31,Prioritization!$A:$A,0))</f>
        <v>4 - Sustained</v>
      </c>
      <c r="B31" t="s">
        <v>313</v>
      </c>
      <c r="C31" t="s">
        <v>475</v>
      </c>
      <c r="D31" t="s">
        <v>30</v>
      </c>
      <c r="E31" t="str">
        <f t="shared" si="0"/>
        <v>Balaka District [ir8wuHHzoSs]|15-24|Female</v>
      </c>
      <c r="F31" s="33">
        <f>IF(LEFT($B31,4)="_Mil","",INDEX(Cascade!$AA:$AA,MATCH($E31,Cascade!$E:$E,0)))</f>
        <v>0.936701966</v>
      </c>
      <c r="G31" s="38">
        <f>INDEX(Cascade!$BH:$BH,MATCH($E31,Cascade!$E:$E,0))</f>
        <v>0</v>
      </c>
      <c r="H31" s="38">
        <f>IF(OR($C31="01-09",$D31="Male"),"",INDEX(PMTCT!$AC:$AC,MATCH($E31,PMTCT!$E:$E,0)))</f>
        <v>76</v>
      </c>
      <c r="I31" s="38">
        <f>IF(OR($C31="01-09",$D31="Male"),"",INDEX(PMTCT!$AS:$AS,MATCH($E31,PMTCT!$E:$E,0)))</f>
        <v>36</v>
      </c>
      <c r="J31" s="38" t="e">
        <f>INDEX(TB!$P:$P,MATCH($E31,TB!$E:$E,0))</f>
        <v>#VALUE!</v>
      </c>
      <c r="K31" s="38" t="str">
        <f>IF(OR($C31="01-09",$C31="10-14",$D31="Female"),"",INDEX(VMMC!$AA:$AA,MATCH($E31,VMMC!$E:$E,0)))</f>
        <v/>
      </c>
      <c r="L31" s="38" t="e">
        <f t="shared" si="1"/>
        <v>#VALUE!</v>
      </c>
      <c r="M31" s="33" t="e">
        <f t="shared" si="2"/>
        <v>#DIV/0!</v>
      </c>
      <c r="N31" s="33" t="e">
        <f t="shared" si="3"/>
        <v>#DIV/0!</v>
      </c>
      <c r="O31" s="33" t="e">
        <f t="shared" si="4"/>
        <v>#VALUE!</v>
      </c>
      <c r="P31" s="33" t="str">
        <f t="shared" si="5"/>
        <v/>
      </c>
      <c r="Q31" s="33">
        <v>0.15</v>
      </c>
      <c r="R31" s="33">
        <v>0.04</v>
      </c>
      <c r="S31" s="33"/>
      <c r="T31" s="33">
        <v>0.05</v>
      </c>
      <c r="U31" s="33" t="e">
        <f t="shared" si="27"/>
        <v>#DIV/0!</v>
      </c>
      <c r="V31" s="33" t="str">
        <f t="shared" si="6"/>
        <v/>
      </c>
      <c r="W31" s="218" t="str">
        <f t="shared" si="7"/>
        <v/>
      </c>
      <c r="X31" s="33">
        <v>9.0999999999999998E-2</v>
      </c>
      <c r="Y31" s="218" t="str">
        <f t="shared" si="7"/>
        <v/>
      </c>
      <c r="Z31" s="218" t="str">
        <f t="shared" si="8"/>
        <v/>
      </c>
      <c r="AA31" s="33">
        <v>0.12</v>
      </c>
      <c r="AB31" s="218" t="str">
        <f t="shared" si="9"/>
        <v/>
      </c>
      <c r="AC31" s="218" t="str">
        <f t="shared" si="10"/>
        <v/>
      </c>
      <c r="AD31" s="33">
        <v>0.02</v>
      </c>
      <c r="AE31" s="218" t="str">
        <f t="shared" si="11"/>
        <v/>
      </c>
      <c r="AF31" s="218" t="str">
        <f t="shared" si="12"/>
        <v/>
      </c>
      <c r="AG31" s="33">
        <v>0.02</v>
      </c>
      <c r="AH31" s="218" t="str">
        <f t="shared" si="13"/>
        <v/>
      </c>
      <c r="AI31" s="218" t="str">
        <f t="shared" si="14"/>
        <v/>
      </c>
      <c r="AJ31" s="33">
        <v>1.2E-2</v>
      </c>
      <c r="AK31" s="218" t="e">
        <f t="shared" si="15"/>
        <v>#DIV/0!</v>
      </c>
      <c r="AL31" s="218" t="e">
        <f t="shared" si="16"/>
        <v>#DIV/0!</v>
      </c>
      <c r="AM31" s="38" t="str">
        <f t="shared" si="17"/>
        <v/>
      </c>
      <c r="AN31" s="38" t="str">
        <f t="shared" si="18"/>
        <v/>
      </c>
      <c r="AO31" s="38" t="str">
        <f t="shared" si="19"/>
        <v/>
      </c>
      <c r="AP31" s="38">
        <f>IF(OR($C31="01-09",$D31="Male"),"",INDEX(PMTCT!$AD:$AD,MATCH($E31,PMTCT!$E:$E,0)))</f>
        <v>9063</v>
      </c>
      <c r="AQ31" s="38">
        <f>IF(OR($C31="01-09",$D31="Male"),"",INDEX(PMTCT!$AT:$AT,MATCH($E31,PMTCT!$E:$E,0)))</f>
        <v>9027</v>
      </c>
      <c r="AR31" s="38" t="e">
        <f>INDEX(TB!$Q:$Q,MATCH($E31,TB!$E:$E,0))</f>
        <v>#VALUE!</v>
      </c>
      <c r="AS31" s="38" t="str">
        <f>IF(OR($C31="01-09",$C31="10-14",$D31="Female"),"",INDEX(VMMC!$AB:$AB,MATCH($E31,VMMC!$E:$E,0)))</f>
        <v/>
      </c>
      <c r="AT31" s="38">
        <f>IF(OR($C31="01-09",$C31="10-14"),"",INDEX(PrEP!$Q:$Q,MATCH($E31,PrEP!$E:$E,0)))</f>
        <v>196</v>
      </c>
      <c r="AU31" s="38" t="str">
        <f t="shared" si="20"/>
        <v/>
      </c>
      <c r="AV31" s="38" t="str">
        <f t="shared" si="21"/>
        <v/>
      </c>
      <c r="AW31" s="33" t="str">
        <f t="shared" si="22"/>
        <v/>
      </c>
      <c r="AX31" s="38">
        <v>3535</v>
      </c>
      <c r="AY31" s="33">
        <f>IF(OR($C31="01-09",SUM($AX31)=0),"",68%)</f>
        <v>0.68</v>
      </c>
      <c r="AZ31" s="218">
        <f t="shared" si="24"/>
        <v>5939</v>
      </c>
      <c r="BA31" s="33">
        <v>0.66</v>
      </c>
      <c r="BB31" s="218" t="str">
        <f t="shared" si="26"/>
        <v/>
      </c>
    </row>
    <row r="32" spans="1:54" x14ac:dyDescent="0.2">
      <c r="A32" t="str">
        <f>INDEX(Prioritization!$D:$D,MATCH($B32,Prioritization!$A:$A,0))</f>
        <v>4 - Sustained</v>
      </c>
      <c r="B32" t="s">
        <v>313</v>
      </c>
      <c r="C32" t="s">
        <v>475</v>
      </c>
      <c r="D32" t="s">
        <v>48</v>
      </c>
      <c r="E32" t="str">
        <f t="shared" si="0"/>
        <v>Balaka District [ir8wuHHzoSs]|15-24|Male</v>
      </c>
      <c r="F32" s="33">
        <f>IF(LEFT($B32,4)="_Mil","",INDEX(Cascade!$AA:$AA,MATCH($E32,Cascade!$E:$E,0)))</f>
        <v>0.90392237399999997</v>
      </c>
      <c r="G32" s="38">
        <f>INDEX(Cascade!$BH:$BH,MATCH($E32,Cascade!$E:$E,0))</f>
        <v>716</v>
      </c>
      <c r="H32" s="38" t="str">
        <f>IF(OR($C32="01-09",$D32="Male"),"",INDEX(PMTCT!$AC:$AC,MATCH($E32,PMTCT!$E:$E,0)))</f>
        <v/>
      </c>
      <c r="I32" s="38" t="str">
        <f>IF(OR($C32="01-09",$D32="Male"),"",INDEX(PMTCT!$AS:$AS,MATCH($E32,PMTCT!$E:$E,0)))</f>
        <v/>
      </c>
      <c r="J32" s="38">
        <f>INDEX(TB!$P:$P,MATCH($E32,TB!$E:$E,0))</f>
        <v>0</v>
      </c>
      <c r="K32" s="38" t="str">
        <f>IF(OR($C32="01-09",$C32="10-14",$D32="Female"),"",INDEX(VMMC!$AA:$AA,MATCH($E32,VMMC!$E:$E,0)))</f>
        <v/>
      </c>
      <c r="L32" s="38">
        <f t="shared" si="1"/>
        <v>716</v>
      </c>
      <c r="M32" s="33" t="str">
        <f t="shared" si="2"/>
        <v/>
      </c>
      <c r="N32" s="33" t="str">
        <f t="shared" si="3"/>
        <v/>
      </c>
      <c r="O32" s="33">
        <f t="shared" si="4"/>
        <v>0</v>
      </c>
      <c r="P32" s="33">
        <f t="shared" si="5"/>
        <v>0</v>
      </c>
      <c r="Q32" s="33">
        <v>0.34013605442176897</v>
      </c>
      <c r="R32" s="33">
        <v>0.08</v>
      </c>
      <c r="S32" s="33"/>
      <c r="T32" s="33">
        <v>0.05</v>
      </c>
      <c r="U32" s="33">
        <f t="shared" si="27"/>
        <v>0.52986394557823102</v>
      </c>
      <c r="V32" s="33">
        <f t="shared" si="6"/>
        <v>1</v>
      </c>
      <c r="W32" s="218">
        <f t="shared" si="7"/>
        <v>244</v>
      </c>
      <c r="X32" s="33">
        <v>3.2000000000000001E-2</v>
      </c>
      <c r="Y32" s="218">
        <f t="shared" si="7"/>
        <v>244</v>
      </c>
      <c r="Z32" s="218">
        <f t="shared" si="8"/>
        <v>7381</v>
      </c>
      <c r="AA32" s="33">
        <v>0.12</v>
      </c>
      <c r="AB32" s="218">
        <f t="shared" si="9"/>
        <v>57</v>
      </c>
      <c r="AC32" s="218">
        <f t="shared" si="10"/>
        <v>418</v>
      </c>
      <c r="AD32" s="33">
        <v>0.02</v>
      </c>
      <c r="AE32" s="218" t="str">
        <f t="shared" si="11"/>
        <v/>
      </c>
      <c r="AF32" s="218" t="str">
        <f t="shared" si="12"/>
        <v/>
      </c>
      <c r="AG32" s="33">
        <v>0.02</v>
      </c>
      <c r="AH32" s="218">
        <f t="shared" si="13"/>
        <v>36</v>
      </c>
      <c r="AI32" s="218">
        <f t="shared" si="14"/>
        <v>1764</v>
      </c>
      <c r="AJ32" s="33">
        <v>7.4000000000000003E-3</v>
      </c>
      <c r="AK32" s="218">
        <f t="shared" si="15"/>
        <v>379</v>
      </c>
      <c r="AL32" s="218">
        <f t="shared" si="16"/>
        <v>50837</v>
      </c>
      <c r="AM32" s="38">
        <f t="shared" si="17"/>
        <v>716</v>
      </c>
      <c r="AN32" s="38">
        <f t="shared" si="18"/>
        <v>716</v>
      </c>
      <c r="AO32" s="38">
        <f t="shared" si="19"/>
        <v>0</v>
      </c>
      <c r="AP32" s="38" t="str">
        <f>IF(OR($C32="01-09",$D32="Male"),"",INDEX(PMTCT!$AD:$AD,MATCH($E32,PMTCT!$E:$E,0)))</f>
        <v/>
      </c>
      <c r="AQ32" s="38" t="str">
        <f>IF(OR($C32="01-09",$D32="Male"),"",INDEX(PMTCT!$AT:$AT,MATCH($E32,PMTCT!$E:$E,0)))</f>
        <v/>
      </c>
      <c r="AR32" s="38">
        <f>INDEX(TB!$Q:$Q,MATCH($E32,TB!$E:$E,0))</f>
        <v>0</v>
      </c>
      <c r="AS32" s="38" t="str">
        <f>IF(OR($C32="01-09",$C32="10-14",$D32="Female"),"",INDEX(VMMC!$AB:$AB,MATCH($E32,VMMC!$E:$E,0)))</f>
        <v/>
      </c>
      <c r="AT32" s="38">
        <f>IF(OR($C32="01-09",$C32="10-14"),"",INDEX(PrEP!$Q:$Q,MATCH($E32,PrEP!$E:$E,0)))</f>
        <v>160</v>
      </c>
      <c r="AU32" s="38">
        <f t="shared" si="20"/>
        <v>60560</v>
      </c>
      <c r="AV32" s="38">
        <f t="shared" si="21"/>
        <v>61276.000000000007</v>
      </c>
      <c r="AW32" s="33">
        <f t="shared" si="22"/>
        <v>1.168483582479274E-2</v>
      </c>
      <c r="AX32" s="38">
        <v>294</v>
      </c>
      <c r="AY32" s="33">
        <f t="shared" ref="AY32:AY36" si="28">IF(OR($C32="01-09",SUM($AX32)=0),"",68%)</f>
        <v>0.68</v>
      </c>
      <c r="AZ32" s="218">
        <f t="shared" si="24"/>
        <v>494</v>
      </c>
      <c r="BA32" s="33">
        <v>0.66</v>
      </c>
      <c r="BB32" s="218">
        <f t="shared" si="26"/>
        <v>473</v>
      </c>
    </row>
    <row r="33" spans="1:54" x14ac:dyDescent="0.2">
      <c r="A33" t="str">
        <f>INDEX(Prioritization!$D:$D,MATCH($B33,Prioritization!$A:$A,0))</f>
        <v>4 - Sustained</v>
      </c>
      <c r="B33" t="s">
        <v>313</v>
      </c>
      <c r="C33" t="s">
        <v>476</v>
      </c>
      <c r="D33" t="s">
        <v>30</v>
      </c>
      <c r="E33" t="str">
        <f t="shared" si="0"/>
        <v>Balaka District [ir8wuHHzoSs]|25-34|Female</v>
      </c>
      <c r="F33" s="33">
        <f>IF(LEFT($B33,4)="_Mil","",INDEX(Cascade!$AA:$AA,MATCH($E33,Cascade!$E:$E,0)))</f>
        <v>0</v>
      </c>
      <c r="G33" s="38">
        <f>INDEX(Cascade!$BH:$BH,MATCH($E33,Cascade!$E:$E,0))</f>
        <v>0</v>
      </c>
      <c r="H33" s="38">
        <f>IF(OR($C33="01-09",$D33="Male"),"",INDEX(PMTCT!$AC:$AC,MATCH($E33,PMTCT!$E:$E,0)))</f>
        <v>53</v>
      </c>
      <c r="I33" s="38">
        <f>IF(OR($C33="01-09",$D33="Male"),"",INDEX(PMTCT!$AS:$AS,MATCH($E33,PMTCT!$E:$E,0)))</f>
        <v>19</v>
      </c>
      <c r="J33" s="38">
        <f>INDEX(TB!$P:$P,MATCH($E33,TB!$E:$E,0))</f>
        <v>0</v>
      </c>
      <c r="K33" s="38" t="str">
        <f>IF(OR($C33="01-09",$C33="10-14",$D33="Female"),"",INDEX(VMMC!$AA:$AA,MATCH($E33,VMMC!$E:$E,0)))</f>
        <v/>
      </c>
      <c r="L33" s="38">
        <f t="shared" si="1"/>
        <v>-72</v>
      </c>
      <c r="M33" s="33" t="e">
        <f t="shared" si="2"/>
        <v>#DIV/0!</v>
      </c>
      <c r="N33" s="33" t="e">
        <f t="shared" si="3"/>
        <v>#DIV/0!</v>
      </c>
      <c r="O33" s="33" t="str">
        <f t="shared" si="4"/>
        <v/>
      </c>
      <c r="P33" s="33" t="str">
        <f t="shared" si="5"/>
        <v/>
      </c>
      <c r="Q33" s="33">
        <v>0.209580838323353</v>
      </c>
      <c r="R33" s="33">
        <v>0.04</v>
      </c>
      <c r="S33" s="33"/>
      <c r="T33" s="33">
        <v>0.05</v>
      </c>
      <c r="U33" s="33" t="e">
        <f t="shared" si="27"/>
        <v>#DIV/0!</v>
      </c>
      <c r="V33" s="33" t="str">
        <f t="shared" si="6"/>
        <v/>
      </c>
      <c r="W33" s="218" t="str">
        <f t="shared" si="7"/>
        <v/>
      </c>
      <c r="X33" s="33">
        <v>0.111</v>
      </c>
      <c r="Y33" s="218" t="str">
        <f t="shared" si="7"/>
        <v/>
      </c>
      <c r="Z33" s="218" t="str">
        <f t="shared" si="8"/>
        <v/>
      </c>
      <c r="AA33" s="33">
        <v>0.12</v>
      </c>
      <c r="AB33" s="218" t="str">
        <f t="shared" si="9"/>
        <v/>
      </c>
      <c r="AC33" s="218" t="str">
        <f t="shared" si="10"/>
        <v/>
      </c>
      <c r="AD33" s="33">
        <v>0.02</v>
      </c>
      <c r="AE33" s="218" t="str">
        <f t="shared" si="11"/>
        <v/>
      </c>
      <c r="AF33" s="218" t="str">
        <f t="shared" si="12"/>
        <v/>
      </c>
      <c r="AG33" s="33">
        <v>0.02</v>
      </c>
      <c r="AH33" s="218" t="str">
        <f t="shared" si="13"/>
        <v/>
      </c>
      <c r="AI33" s="218" t="str">
        <f t="shared" si="14"/>
        <v/>
      </c>
      <c r="AJ33" s="33">
        <v>2.5000000000000001E-2</v>
      </c>
      <c r="AK33" s="218" t="e">
        <f t="shared" si="15"/>
        <v>#DIV/0!</v>
      </c>
      <c r="AL33" s="218" t="e">
        <f t="shared" si="16"/>
        <v>#DIV/0!</v>
      </c>
      <c r="AM33" s="38" t="str">
        <f t="shared" si="17"/>
        <v/>
      </c>
      <c r="AN33" s="38" t="str">
        <f t="shared" si="18"/>
        <v/>
      </c>
      <c r="AO33" s="38" t="str">
        <f t="shared" si="19"/>
        <v/>
      </c>
      <c r="AP33" s="38">
        <f>IF(OR($C33="01-09",$D33="Male"),"",INDEX(PMTCT!$AD:$AD,MATCH($E33,PMTCT!$E:$E,0)))</f>
        <v>4758</v>
      </c>
      <c r="AQ33" s="38">
        <f>IF(OR($C33="01-09",$D33="Male"),"",INDEX(PMTCT!$AT:$AT,MATCH($E33,PMTCT!$E:$E,0)))</f>
        <v>4739</v>
      </c>
      <c r="AR33" s="38">
        <f>INDEX(TB!$Q:$Q,MATCH($E33,TB!$E:$E,0))</f>
        <v>0</v>
      </c>
      <c r="AS33" s="38" t="str">
        <f>IF(OR($C33="01-09",$C33="10-14",$D33="Female"),"",INDEX(VMMC!$AB:$AB,MATCH($E33,VMMC!$E:$E,0)))</f>
        <v/>
      </c>
      <c r="AT33" s="38">
        <f>IF(OR($C33="01-09",$C33="10-14"),"",INDEX(PrEP!$Q:$Q,MATCH($E33,PrEP!$E:$E,0)))</f>
        <v>166</v>
      </c>
      <c r="AU33" s="38" t="str">
        <f t="shared" si="20"/>
        <v/>
      </c>
      <c r="AV33" s="38" t="str">
        <f t="shared" si="21"/>
        <v/>
      </c>
      <c r="AW33" s="33" t="str">
        <f t="shared" si="22"/>
        <v/>
      </c>
      <c r="AX33" s="38">
        <v>2286</v>
      </c>
      <c r="AY33" s="33">
        <f t="shared" si="28"/>
        <v>0.68</v>
      </c>
      <c r="AZ33" s="218">
        <f t="shared" si="24"/>
        <v>3840</v>
      </c>
      <c r="BA33" s="33">
        <v>0.66</v>
      </c>
      <c r="BB33" s="218" t="str">
        <f t="shared" si="26"/>
        <v/>
      </c>
    </row>
    <row r="34" spans="1:54" x14ac:dyDescent="0.2">
      <c r="A34" t="str">
        <f>INDEX(Prioritization!$D:$D,MATCH($B34,Prioritization!$A:$A,0))</f>
        <v>4 - Sustained</v>
      </c>
      <c r="B34" t="s">
        <v>313</v>
      </c>
      <c r="C34" t="s">
        <v>476</v>
      </c>
      <c r="D34" t="s">
        <v>48</v>
      </c>
      <c r="E34" t="str">
        <f t="shared" si="0"/>
        <v>Balaka District [ir8wuHHzoSs]|25-34|Male</v>
      </c>
      <c r="F34" s="33">
        <f>IF(LEFT($B34,4)="_Mil","",INDEX(Cascade!$AA:$AA,MATCH($E34,Cascade!$E:$E,0)))</f>
        <v>0</v>
      </c>
      <c r="G34" s="38">
        <f>INDEX(Cascade!$BH:$BH,MATCH($E34,Cascade!$E:$E,0))</f>
        <v>0</v>
      </c>
      <c r="H34" s="38" t="str">
        <f>IF(OR($C34="01-09",$D34="Male"),"",INDEX(PMTCT!$AC:$AC,MATCH($E34,PMTCT!$E:$E,0)))</f>
        <v/>
      </c>
      <c r="I34" s="38" t="str">
        <f>IF(OR($C34="01-09",$D34="Male"),"",INDEX(PMTCT!$AS:$AS,MATCH($E34,PMTCT!$E:$E,0)))</f>
        <v/>
      </c>
      <c r="J34" s="38">
        <f>INDEX(TB!$P:$P,MATCH($E34,TB!$E:$E,0))</f>
        <v>0</v>
      </c>
      <c r="K34" s="38" t="str">
        <f>IF(OR($C34="01-09",$C34="10-14",$D34="Female"),"",INDEX(VMMC!$AA:$AA,MATCH($E34,VMMC!$E:$E,0)))</f>
        <v/>
      </c>
      <c r="L34" s="38">
        <f t="shared" si="1"/>
        <v>0</v>
      </c>
      <c r="M34" s="33" t="str">
        <f t="shared" si="2"/>
        <v/>
      </c>
      <c r="N34" s="33" t="str">
        <f t="shared" si="3"/>
        <v/>
      </c>
      <c r="O34" s="33" t="str">
        <f t="shared" si="4"/>
        <v/>
      </c>
      <c r="P34" s="33" t="str">
        <f t="shared" si="5"/>
        <v/>
      </c>
      <c r="Q34" s="33">
        <v>0.38297872340425498</v>
      </c>
      <c r="R34" s="33">
        <v>0.08</v>
      </c>
      <c r="S34" s="33"/>
      <c r="T34" s="33">
        <v>0.05</v>
      </c>
      <c r="U34" s="33">
        <f t="shared" si="27"/>
        <v>0.48702127659574501</v>
      </c>
      <c r="V34" s="33" t="str">
        <f t="shared" si="6"/>
        <v/>
      </c>
      <c r="W34" s="218" t="str">
        <f t="shared" si="7"/>
        <v/>
      </c>
      <c r="X34" s="33">
        <v>0.18</v>
      </c>
      <c r="Y34" s="218" t="str">
        <f t="shared" si="7"/>
        <v/>
      </c>
      <c r="Z34" s="218" t="str">
        <f t="shared" si="8"/>
        <v/>
      </c>
      <c r="AA34" s="33">
        <v>0.12</v>
      </c>
      <c r="AB34" s="218" t="str">
        <f t="shared" si="9"/>
        <v/>
      </c>
      <c r="AC34" s="218" t="str">
        <f t="shared" si="10"/>
        <v/>
      </c>
      <c r="AD34" s="33">
        <v>0.02</v>
      </c>
      <c r="AE34" s="218" t="str">
        <f t="shared" si="11"/>
        <v/>
      </c>
      <c r="AF34" s="218" t="str">
        <f t="shared" si="12"/>
        <v/>
      </c>
      <c r="AG34" s="33">
        <v>0.02</v>
      </c>
      <c r="AH34" s="218" t="str">
        <f t="shared" si="13"/>
        <v/>
      </c>
      <c r="AI34" s="218" t="str">
        <f t="shared" si="14"/>
        <v/>
      </c>
      <c r="AJ34" s="33">
        <v>2.8000000000000001E-2</v>
      </c>
      <c r="AK34" s="218" t="str">
        <f t="shared" si="15"/>
        <v/>
      </c>
      <c r="AL34" s="218" t="str">
        <f t="shared" si="16"/>
        <v/>
      </c>
      <c r="AM34" s="38" t="str">
        <f t="shared" si="17"/>
        <v/>
      </c>
      <c r="AN34" s="38" t="str">
        <f t="shared" si="18"/>
        <v/>
      </c>
      <c r="AO34" s="38" t="str">
        <f t="shared" si="19"/>
        <v/>
      </c>
      <c r="AP34" s="38" t="str">
        <f>IF(OR($C34="01-09",$D34="Male"),"",INDEX(PMTCT!$AD:$AD,MATCH($E34,PMTCT!$E:$E,0)))</f>
        <v/>
      </c>
      <c r="AQ34" s="38" t="str">
        <f>IF(OR($C34="01-09",$D34="Male"),"",INDEX(PMTCT!$AT:$AT,MATCH($E34,PMTCT!$E:$E,0)))</f>
        <v/>
      </c>
      <c r="AR34" s="38">
        <f>INDEX(TB!$Q:$Q,MATCH($E34,TB!$E:$E,0))</f>
        <v>0</v>
      </c>
      <c r="AS34" s="38" t="str">
        <f>IF(OR($C34="01-09",$C34="10-14",$D34="Female"),"",INDEX(VMMC!$AB:$AB,MATCH($E34,VMMC!$E:$E,0)))</f>
        <v/>
      </c>
      <c r="AT34" s="38">
        <f>IF(OR($C34="01-09",$C34="10-14"),"",INDEX(PrEP!$Q:$Q,MATCH($E34,PrEP!$E:$E,0)))</f>
        <v>178</v>
      </c>
      <c r="AU34" s="38">
        <f t="shared" si="20"/>
        <v>178</v>
      </c>
      <c r="AV34" s="38">
        <f t="shared" si="21"/>
        <v>178</v>
      </c>
      <c r="AW34" s="33" t="e">
        <f t="shared" si="22"/>
        <v>#VALUE!</v>
      </c>
      <c r="AX34" s="38">
        <v>365</v>
      </c>
      <c r="AY34" s="33">
        <f t="shared" si="28"/>
        <v>0.68</v>
      </c>
      <c r="AZ34" s="218">
        <f t="shared" si="24"/>
        <v>613</v>
      </c>
      <c r="BA34" s="33">
        <v>0.66</v>
      </c>
      <c r="BB34" s="218" t="str">
        <f t="shared" si="26"/>
        <v/>
      </c>
    </row>
    <row r="35" spans="1:54" x14ac:dyDescent="0.2">
      <c r="A35" t="str">
        <f>INDEX(Prioritization!$D:$D,MATCH($B35,Prioritization!$A:$A,0))</f>
        <v>4 - Sustained</v>
      </c>
      <c r="B35" t="s">
        <v>313</v>
      </c>
      <c r="C35" t="s">
        <v>477</v>
      </c>
      <c r="D35" t="s">
        <v>30</v>
      </c>
      <c r="E35" t="str">
        <f t="shared" si="0"/>
        <v>Balaka District [ir8wuHHzoSs]|35-49|Female</v>
      </c>
      <c r="F35" s="33">
        <f>IF(LEFT($B35,4)="_Mil","",INDEX(Cascade!$AA:$AA,MATCH($E35,Cascade!$E:$E,0)))</f>
        <v>0</v>
      </c>
      <c r="G35" s="38">
        <f>INDEX(Cascade!$BH:$BH,MATCH($E35,Cascade!$E:$E,0))</f>
        <v>0</v>
      </c>
      <c r="H35" s="38">
        <f>IF(OR($C35="01-09",$D35="Male"),"",INDEX(PMTCT!$AC:$AC,MATCH($E35,PMTCT!$E:$E,0)))</f>
        <v>13</v>
      </c>
      <c r="I35" s="38">
        <f>IF(OR($C35="01-09",$D35="Male"),"",INDEX(PMTCT!$AS:$AS,MATCH($E35,PMTCT!$E:$E,0)))</f>
        <v>5</v>
      </c>
      <c r="J35" s="38">
        <f>INDEX(TB!$P:$P,MATCH($E35,TB!$E:$E,0))</f>
        <v>0</v>
      </c>
      <c r="K35" s="38" t="str">
        <f>IF(OR($C35="01-09",$C35="10-14",$D35="Female"),"",INDEX(VMMC!$AA:$AA,MATCH($E35,VMMC!$E:$E,0)))</f>
        <v/>
      </c>
      <c r="L35" s="38">
        <f t="shared" si="1"/>
        <v>-18</v>
      </c>
      <c r="M35" s="33" t="e">
        <f t="shared" si="2"/>
        <v>#DIV/0!</v>
      </c>
      <c r="N35" s="33" t="e">
        <f t="shared" si="3"/>
        <v>#DIV/0!</v>
      </c>
      <c r="O35" s="33" t="str">
        <f t="shared" si="4"/>
        <v/>
      </c>
      <c r="P35" s="33" t="str">
        <f t="shared" si="5"/>
        <v/>
      </c>
      <c r="Q35" s="33">
        <v>0.277669902912621</v>
      </c>
      <c r="R35" s="33">
        <v>0.04</v>
      </c>
      <c r="S35" s="33"/>
      <c r="T35" s="33">
        <v>0.05</v>
      </c>
      <c r="U35" s="33" t="e">
        <f t="shared" si="27"/>
        <v>#DIV/0!</v>
      </c>
      <c r="V35" s="33" t="str">
        <f t="shared" si="6"/>
        <v/>
      </c>
      <c r="W35" s="218" t="str">
        <f t="shared" si="7"/>
        <v/>
      </c>
      <c r="X35" s="33">
        <v>0.09</v>
      </c>
      <c r="Y35" s="218" t="str">
        <f t="shared" si="7"/>
        <v/>
      </c>
      <c r="Z35" s="218" t="str">
        <f t="shared" si="8"/>
        <v/>
      </c>
      <c r="AA35" s="33">
        <v>0.12</v>
      </c>
      <c r="AB35" s="218" t="str">
        <f t="shared" si="9"/>
        <v/>
      </c>
      <c r="AC35" s="218" t="str">
        <f t="shared" si="10"/>
        <v/>
      </c>
      <c r="AD35" s="33">
        <v>0.02</v>
      </c>
      <c r="AE35" s="218" t="str">
        <f t="shared" si="11"/>
        <v/>
      </c>
      <c r="AF35" s="218" t="str">
        <f t="shared" si="12"/>
        <v/>
      </c>
      <c r="AG35" s="33">
        <v>0.02</v>
      </c>
      <c r="AH35" s="218" t="str">
        <f t="shared" si="13"/>
        <v/>
      </c>
      <c r="AI35" s="218" t="str">
        <f t="shared" si="14"/>
        <v/>
      </c>
      <c r="AJ35" s="33">
        <v>3.3000000000000002E-2</v>
      </c>
      <c r="AK35" s="218" t="e">
        <f t="shared" si="15"/>
        <v>#DIV/0!</v>
      </c>
      <c r="AL35" s="218" t="e">
        <f t="shared" si="16"/>
        <v>#DIV/0!</v>
      </c>
      <c r="AM35" s="38" t="str">
        <f t="shared" si="17"/>
        <v/>
      </c>
      <c r="AN35" s="38" t="str">
        <f t="shared" si="18"/>
        <v/>
      </c>
      <c r="AO35" s="38" t="str">
        <f t="shared" si="19"/>
        <v/>
      </c>
      <c r="AP35" s="38">
        <f>IF(OR($C35="01-09",$D35="Male"),"",INDEX(PMTCT!$AD:$AD,MATCH($E35,PMTCT!$E:$E,0)))</f>
        <v>1196</v>
      </c>
      <c r="AQ35" s="38">
        <f>IF(OR($C35="01-09",$D35="Male"),"",INDEX(PMTCT!$AT:$AT,MATCH($E35,PMTCT!$E:$E,0)))</f>
        <v>1191</v>
      </c>
      <c r="AR35" s="38">
        <f>INDEX(TB!$Q:$Q,MATCH($E35,TB!$E:$E,0))</f>
        <v>0</v>
      </c>
      <c r="AS35" s="38" t="str">
        <f>IF(OR($C35="01-09",$C35="10-14",$D35="Female"),"",INDEX(VMMC!$AB:$AB,MATCH($E35,VMMC!$E:$E,0)))</f>
        <v/>
      </c>
      <c r="AT35" s="38">
        <f>IF(OR($C35="01-09",$C35="10-14"),"",INDEX(PrEP!$Q:$Q,MATCH($E35,PrEP!$E:$E,0)))</f>
        <v>150</v>
      </c>
      <c r="AU35" s="38" t="str">
        <f t="shared" si="20"/>
        <v/>
      </c>
      <c r="AV35" s="38" t="str">
        <f t="shared" si="21"/>
        <v/>
      </c>
      <c r="AW35" s="33" t="str">
        <f t="shared" si="22"/>
        <v/>
      </c>
      <c r="AX35" s="38">
        <v>279</v>
      </c>
      <c r="AY35" s="33">
        <f t="shared" si="28"/>
        <v>0.68</v>
      </c>
      <c r="AZ35" s="218">
        <f t="shared" si="24"/>
        <v>469</v>
      </c>
      <c r="BA35" s="33">
        <v>0.66</v>
      </c>
      <c r="BB35" s="218" t="str">
        <f t="shared" si="26"/>
        <v/>
      </c>
    </row>
    <row r="36" spans="1:54" x14ac:dyDescent="0.2">
      <c r="A36" t="str">
        <f>INDEX(Prioritization!$D:$D,MATCH($B36,Prioritization!$A:$A,0))</f>
        <v>4 - Sustained</v>
      </c>
      <c r="B36" t="s">
        <v>313</v>
      </c>
      <c r="C36" t="s">
        <v>477</v>
      </c>
      <c r="D36" t="s">
        <v>48</v>
      </c>
      <c r="E36" t="str">
        <f t="shared" si="0"/>
        <v>Balaka District [ir8wuHHzoSs]|35-49|Male</v>
      </c>
      <c r="F36" s="33">
        <f>IF(LEFT($B36,4)="_Mil","",INDEX(Cascade!$AA:$AA,MATCH($E36,Cascade!$E:$E,0)))</f>
        <v>0</v>
      </c>
      <c r="G36" s="38">
        <f>INDEX(Cascade!$BH:$BH,MATCH($E36,Cascade!$E:$E,0))</f>
        <v>0</v>
      </c>
      <c r="H36" s="38" t="str">
        <f>IF(OR($C36="01-09",$D36="Male"),"",INDEX(PMTCT!$AC:$AC,MATCH($E36,PMTCT!$E:$E,0)))</f>
        <v/>
      </c>
      <c r="I36" s="38" t="str">
        <f>IF(OR($C36="01-09",$D36="Male"),"",INDEX(PMTCT!$AS:$AS,MATCH($E36,PMTCT!$E:$E,0)))</f>
        <v/>
      </c>
      <c r="J36" s="38">
        <f>INDEX(TB!$P:$P,MATCH($E36,TB!$E:$E,0))</f>
        <v>0</v>
      </c>
      <c r="K36" s="38" t="str">
        <f>IF(OR($C36="01-09",$C36="10-14",$D36="Female"),"",INDEX(VMMC!$AA:$AA,MATCH($E36,VMMC!$E:$E,0)))</f>
        <v/>
      </c>
      <c r="L36" s="38">
        <f t="shared" si="1"/>
        <v>0</v>
      </c>
      <c r="M36" s="33" t="str">
        <f t="shared" si="2"/>
        <v/>
      </c>
      <c r="N36" s="33" t="str">
        <f t="shared" si="3"/>
        <v/>
      </c>
      <c r="O36" s="33" t="str">
        <f t="shared" si="4"/>
        <v/>
      </c>
      <c r="P36" s="33" t="str">
        <f t="shared" si="5"/>
        <v/>
      </c>
      <c r="Q36" s="33">
        <v>0.392405063291139</v>
      </c>
      <c r="R36" s="33">
        <v>0.08</v>
      </c>
      <c r="S36" s="33"/>
      <c r="T36" s="33">
        <v>0.05</v>
      </c>
      <c r="U36" s="33">
        <f t="shared" si="27"/>
        <v>0.477594936708861</v>
      </c>
      <c r="V36" s="33" t="str">
        <f t="shared" si="6"/>
        <v/>
      </c>
      <c r="W36" s="218" t="str">
        <f t="shared" si="7"/>
        <v/>
      </c>
      <c r="X36" s="33">
        <v>0.156</v>
      </c>
      <c r="Y36" s="218" t="str">
        <f t="shared" si="7"/>
        <v/>
      </c>
      <c r="Z36" s="218" t="str">
        <f t="shared" si="8"/>
        <v/>
      </c>
      <c r="AA36" s="33">
        <v>0.12</v>
      </c>
      <c r="AB36" s="218" t="str">
        <f t="shared" si="9"/>
        <v/>
      </c>
      <c r="AC36" s="218" t="str">
        <f t="shared" si="10"/>
        <v/>
      </c>
      <c r="AD36" s="33">
        <v>0.02</v>
      </c>
      <c r="AE36" s="218" t="str">
        <f t="shared" si="11"/>
        <v/>
      </c>
      <c r="AF36" s="218" t="str">
        <f t="shared" si="12"/>
        <v/>
      </c>
      <c r="AG36" s="33">
        <v>0.02</v>
      </c>
      <c r="AH36" s="218" t="str">
        <f t="shared" si="13"/>
        <v/>
      </c>
      <c r="AI36" s="218" t="str">
        <f t="shared" si="14"/>
        <v/>
      </c>
      <c r="AJ36" s="33">
        <v>6.5000000000000002E-2</v>
      </c>
      <c r="AK36" s="218" t="str">
        <f t="shared" si="15"/>
        <v/>
      </c>
      <c r="AL36" s="218" t="str">
        <f t="shared" si="16"/>
        <v/>
      </c>
      <c r="AM36" s="38" t="str">
        <f t="shared" si="17"/>
        <v/>
      </c>
      <c r="AN36" s="38" t="str">
        <f t="shared" si="18"/>
        <v/>
      </c>
      <c r="AO36" s="38" t="str">
        <f t="shared" si="19"/>
        <v/>
      </c>
      <c r="AP36" s="38" t="str">
        <f>IF(OR($C36="01-09",$D36="Male"),"",INDEX(PMTCT!$AD:$AD,MATCH($E36,PMTCT!$E:$E,0)))</f>
        <v/>
      </c>
      <c r="AQ36" s="38" t="str">
        <f>IF(OR($C36="01-09",$D36="Male"),"",INDEX(PMTCT!$AT:$AT,MATCH($E36,PMTCT!$E:$E,0)))</f>
        <v/>
      </c>
      <c r="AR36" s="38">
        <f>INDEX(TB!$Q:$Q,MATCH($E36,TB!$E:$E,0))</f>
        <v>0</v>
      </c>
      <c r="AS36" s="38" t="str">
        <f>IF(OR($C36="01-09",$C36="10-14",$D36="Female"),"",INDEX(VMMC!$AB:$AB,MATCH($E36,VMMC!$E:$E,0)))</f>
        <v/>
      </c>
      <c r="AT36" s="38">
        <f>IF(OR($C36="01-09",$C36="10-14"),"",INDEX(PrEP!$Q:$Q,MATCH($E36,PrEP!$E:$E,0)))</f>
        <v>144</v>
      </c>
      <c r="AU36" s="38">
        <f t="shared" si="20"/>
        <v>144</v>
      </c>
      <c r="AV36" s="38">
        <f t="shared" si="21"/>
        <v>144</v>
      </c>
      <c r="AW36" s="33" t="e">
        <f t="shared" si="22"/>
        <v>#VALUE!</v>
      </c>
      <c r="AX36" s="38">
        <v>241</v>
      </c>
      <c r="AY36" s="33">
        <f t="shared" si="28"/>
        <v>0.68</v>
      </c>
      <c r="AZ36" s="218">
        <f t="shared" si="24"/>
        <v>405</v>
      </c>
      <c r="BA36" s="33">
        <v>0.66</v>
      </c>
      <c r="BB36" s="218" t="str">
        <f t="shared" si="26"/>
        <v/>
      </c>
    </row>
    <row r="37" spans="1:54" x14ac:dyDescent="0.2">
      <c r="A37" t="str">
        <f>INDEX(Prioritization!$D:$D,MATCH($B37,Prioritization!$A:$A,0))</f>
        <v>4 - Sustained</v>
      </c>
      <c r="B37" t="s">
        <v>313</v>
      </c>
      <c r="C37" t="s">
        <v>478</v>
      </c>
      <c r="D37" t="s">
        <v>30</v>
      </c>
      <c r="E37" t="str">
        <f t="shared" si="0"/>
        <v>Balaka District [ir8wuHHzoSs]|50+|Female</v>
      </c>
      <c r="F37" s="33">
        <f>IF(LEFT($B37,4)="_Mil","",INDEX(Cascade!$AA:$AA,MATCH($E37,Cascade!$E:$E,0)))</f>
        <v>0</v>
      </c>
      <c r="G37" s="38">
        <f>INDEX(Cascade!$BH:$BH,MATCH($E37,Cascade!$E:$E,0))</f>
        <v>0</v>
      </c>
      <c r="H37" s="38">
        <f>IF(OR($C37="01-09",$D37="Male"),"",INDEX(PMTCT!$AC:$AC,MATCH($E37,PMTCT!$E:$E,0)))</f>
        <v>0</v>
      </c>
      <c r="I37" s="38">
        <f>IF(OR($C37="01-09",$D37="Male"),"",INDEX(PMTCT!$AS:$AS,MATCH($E37,PMTCT!$E:$E,0)))</f>
        <v>0</v>
      </c>
      <c r="J37" s="38">
        <f>INDEX(TB!$P:$P,MATCH($E37,TB!$E:$E,0))</f>
        <v>0</v>
      </c>
      <c r="K37" s="38" t="str">
        <f>IF(OR($C37="01-09",$C37="10-14",$D37="Female"),"",INDEX(VMMC!$AA:$AA,MATCH($E37,VMMC!$E:$E,0)))</f>
        <v/>
      </c>
      <c r="L37" s="38">
        <f t="shared" si="1"/>
        <v>0</v>
      </c>
      <c r="M37" s="33" t="str">
        <f t="shared" si="2"/>
        <v/>
      </c>
      <c r="N37" s="33" t="str">
        <f t="shared" si="3"/>
        <v/>
      </c>
      <c r="O37" s="33" t="str">
        <f t="shared" si="4"/>
        <v/>
      </c>
      <c r="P37" s="33" t="str">
        <f t="shared" si="5"/>
        <v/>
      </c>
      <c r="Q37" s="33">
        <v>0.15</v>
      </c>
      <c r="R37" s="33"/>
      <c r="S37" s="33"/>
      <c r="T37" s="33">
        <v>0.05</v>
      </c>
      <c r="U37" s="33">
        <f t="shared" si="27"/>
        <v>0.8</v>
      </c>
      <c r="V37" s="33" t="str">
        <f t="shared" si="6"/>
        <v/>
      </c>
      <c r="W37" s="218" t="str">
        <f t="shared" si="7"/>
        <v/>
      </c>
      <c r="X37" s="33">
        <v>0.16700000000000001</v>
      </c>
      <c r="Y37" s="218" t="str">
        <f t="shared" si="7"/>
        <v/>
      </c>
      <c r="Z37" s="218" t="str">
        <f t="shared" si="8"/>
        <v/>
      </c>
      <c r="AA37" s="33">
        <v>0.12</v>
      </c>
      <c r="AB37" s="218" t="str">
        <f t="shared" si="9"/>
        <v/>
      </c>
      <c r="AC37" s="218" t="str">
        <f t="shared" si="10"/>
        <v/>
      </c>
      <c r="AD37" s="33">
        <v>0.02</v>
      </c>
      <c r="AE37" s="218" t="str">
        <f t="shared" si="11"/>
        <v/>
      </c>
      <c r="AF37" s="218" t="str">
        <f t="shared" si="12"/>
        <v/>
      </c>
      <c r="AG37" s="33">
        <v>0.02</v>
      </c>
      <c r="AH37" s="218" t="str">
        <f t="shared" si="13"/>
        <v/>
      </c>
      <c r="AI37" s="218" t="str">
        <f t="shared" si="14"/>
        <v/>
      </c>
      <c r="AJ37" s="33">
        <v>2.3E-2</v>
      </c>
      <c r="AK37" s="218" t="str">
        <f t="shared" si="15"/>
        <v/>
      </c>
      <c r="AL37" s="218" t="str">
        <f t="shared" si="16"/>
        <v/>
      </c>
      <c r="AM37" s="38" t="str">
        <f t="shared" si="17"/>
        <v/>
      </c>
      <c r="AN37" s="38" t="str">
        <f t="shared" si="18"/>
        <v/>
      </c>
      <c r="AO37" s="38" t="str">
        <f t="shared" si="19"/>
        <v/>
      </c>
      <c r="AP37" s="38">
        <f>IF(OR($C37="01-09",$D37="Male"),"",INDEX(PMTCT!$AD:$AD,MATCH($E37,PMTCT!$E:$E,0)))</f>
        <v>12</v>
      </c>
      <c r="AQ37" s="38">
        <f>IF(OR($C37="01-09",$D37="Male"),"",INDEX(PMTCT!$AT:$AT,MATCH($E37,PMTCT!$E:$E,0)))</f>
        <v>12</v>
      </c>
      <c r="AR37" s="38">
        <f>INDEX(TB!$Q:$Q,MATCH($E37,TB!$E:$E,0))</f>
        <v>0</v>
      </c>
      <c r="AS37" s="38" t="str">
        <f>IF(OR($C37="01-09",$C37="10-14",$D37="Female"),"",INDEX(VMMC!$AB:$AB,MATCH($E37,VMMC!$E:$E,0)))</f>
        <v/>
      </c>
      <c r="AT37" s="38">
        <f>IF(OR($C37="01-09",$C37="10-14"),"",INDEX(PrEP!$Q:$Q,MATCH($E37,PrEP!$E:$E,0)))</f>
        <v>24</v>
      </c>
      <c r="AU37" s="38">
        <f t="shared" si="20"/>
        <v>48</v>
      </c>
      <c r="AV37" s="38">
        <f t="shared" si="21"/>
        <v>48</v>
      </c>
      <c r="AW37" s="33" t="e">
        <f t="shared" si="22"/>
        <v>#VALUE!</v>
      </c>
      <c r="AX37" s="38">
        <v>198</v>
      </c>
      <c r="AY37" s="33">
        <f t="shared" si="23"/>
        <v>0</v>
      </c>
      <c r="AZ37" s="218">
        <f t="shared" si="24"/>
        <v>198</v>
      </c>
      <c r="BA37" s="33">
        <v>0.66</v>
      </c>
      <c r="BB37" s="218" t="str">
        <f t="shared" si="26"/>
        <v/>
      </c>
    </row>
    <row r="38" spans="1:54" x14ac:dyDescent="0.2">
      <c r="A38" t="str">
        <f>INDEX(Prioritization!$D:$D,MATCH($B38,Prioritization!$A:$A,0))</f>
        <v>4 - Sustained</v>
      </c>
      <c r="B38" t="s">
        <v>313</v>
      </c>
      <c r="C38" t="s">
        <v>478</v>
      </c>
      <c r="D38" t="s">
        <v>48</v>
      </c>
      <c r="E38" t="str">
        <f t="shared" si="0"/>
        <v>Balaka District [ir8wuHHzoSs]|50+|Male</v>
      </c>
      <c r="F38" s="33">
        <f>IF(LEFT($B38,4)="_Mil","",INDEX(Cascade!$AA:$AA,MATCH($E38,Cascade!$E:$E,0)))</f>
        <v>0</v>
      </c>
      <c r="G38" s="38">
        <f>INDEX(Cascade!$BH:$BH,MATCH($E38,Cascade!$E:$E,0))</f>
        <v>75</v>
      </c>
      <c r="H38" s="38" t="str">
        <f>IF(OR($C38="01-09",$D38="Male"),"",INDEX(PMTCT!$AC:$AC,MATCH($E38,PMTCT!$E:$E,0)))</f>
        <v/>
      </c>
      <c r="I38" s="38" t="str">
        <f>IF(OR($C38="01-09",$D38="Male"),"",INDEX(PMTCT!$AS:$AS,MATCH($E38,PMTCT!$E:$E,0)))</f>
        <v/>
      </c>
      <c r="J38" s="38">
        <f>INDEX(TB!$P:$P,MATCH($E38,TB!$E:$E,0))</f>
        <v>0</v>
      </c>
      <c r="K38" s="38" t="str">
        <f>IF(OR($C38="01-09",$C38="10-14",$D38="Female"),"",INDEX(VMMC!$AA:$AA,MATCH($E38,VMMC!$E:$E,0)))</f>
        <v/>
      </c>
      <c r="L38" s="38">
        <f t="shared" si="1"/>
        <v>75</v>
      </c>
      <c r="M38" s="33" t="str">
        <f t="shared" si="2"/>
        <v/>
      </c>
      <c r="N38" s="33" t="str">
        <f t="shared" si="3"/>
        <v/>
      </c>
      <c r="O38" s="33">
        <f t="shared" si="4"/>
        <v>0</v>
      </c>
      <c r="P38" s="33">
        <f t="shared" si="5"/>
        <v>0</v>
      </c>
      <c r="Q38" s="33">
        <v>0.15</v>
      </c>
      <c r="R38" s="33"/>
      <c r="S38" s="33"/>
      <c r="T38" s="33">
        <v>0.05</v>
      </c>
      <c r="U38" s="33">
        <f t="shared" si="27"/>
        <v>0.8</v>
      </c>
      <c r="V38" s="33">
        <f t="shared" si="6"/>
        <v>1</v>
      </c>
      <c r="W38" s="218">
        <f t="shared" si="7"/>
        <v>11</v>
      </c>
      <c r="X38" s="33">
        <v>0.127</v>
      </c>
      <c r="Y38" s="218">
        <f t="shared" si="7"/>
        <v>11</v>
      </c>
      <c r="Z38" s="218">
        <f t="shared" si="8"/>
        <v>76</v>
      </c>
      <c r="AA38" s="33">
        <v>0.12</v>
      </c>
      <c r="AB38" s="218" t="str">
        <f t="shared" si="9"/>
        <v/>
      </c>
      <c r="AC38" s="218" t="str">
        <f t="shared" si="10"/>
        <v/>
      </c>
      <c r="AD38" s="33">
        <v>0.02</v>
      </c>
      <c r="AE38" s="218" t="str">
        <f t="shared" si="11"/>
        <v/>
      </c>
      <c r="AF38" s="218" t="str">
        <f t="shared" si="12"/>
        <v/>
      </c>
      <c r="AG38" s="33">
        <v>0.02</v>
      </c>
      <c r="AH38" s="218">
        <f t="shared" si="13"/>
        <v>4</v>
      </c>
      <c r="AI38" s="218">
        <f t="shared" si="14"/>
        <v>196</v>
      </c>
      <c r="AJ38" s="33">
        <v>3.6999999999999998E-2</v>
      </c>
      <c r="AK38" s="218">
        <f t="shared" si="15"/>
        <v>60</v>
      </c>
      <c r="AL38" s="218">
        <f t="shared" si="16"/>
        <v>1562</v>
      </c>
      <c r="AM38" s="38">
        <f t="shared" si="17"/>
        <v>75</v>
      </c>
      <c r="AN38" s="38">
        <f t="shared" si="18"/>
        <v>75</v>
      </c>
      <c r="AO38" s="38">
        <f t="shared" si="19"/>
        <v>0</v>
      </c>
      <c r="AP38" s="38" t="str">
        <f>IF(OR($C38="01-09",$D38="Male"),"",INDEX(PMTCT!$AD:$AD,MATCH($E38,PMTCT!$E:$E,0)))</f>
        <v/>
      </c>
      <c r="AQ38" s="38" t="str">
        <f>IF(OR($C38="01-09",$D38="Male"),"",INDEX(PMTCT!$AT:$AT,MATCH($E38,PMTCT!$E:$E,0)))</f>
        <v/>
      </c>
      <c r="AR38" s="38">
        <f>INDEX(TB!$Q:$Q,MATCH($E38,TB!$E:$E,0))</f>
        <v>0</v>
      </c>
      <c r="AS38" s="38" t="str">
        <f>IF(OR($C38="01-09",$C38="10-14",$D38="Female"),"",INDEX(VMMC!$AB:$AB,MATCH($E38,VMMC!$E:$E,0)))</f>
        <v/>
      </c>
      <c r="AT38" s="38">
        <f>IF(OR($C38="01-09",$C38="10-14"),"",INDEX(PrEP!$Q:$Q,MATCH($E38,PrEP!$E:$E,0)))</f>
        <v>48</v>
      </c>
      <c r="AU38" s="38">
        <f t="shared" si="20"/>
        <v>1882</v>
      </c>
      <c r="AV38" s="38">
        <f t="shared" si="21"/>
        <v>1956.9999999999998</v>
      </c>
      <c r="AW38" s="33">
        <f t="shared" si="22"/>
        <v>3.8323965252938172E-2</v>
      </c>
      <c r="AX38" s="38">
        <v>214</v>
      </c>
      <c r="AY38" s="33">
        <f t="shared" si="23"/>
        <v>0</v>
      </c>
      <c r="AZ38" s="218">
        <f t="shared" si="24"/>
        <v>214</v>
      </c>
      <c r="BA38" s="33">
        <v>0.66</v>
      </c>
      <c r="BB38" s="218">
        <f t="shared" si="26"/>
        <v>50</v>
      </c>
    </row>
    <row r="39" spans="1:54" x14ac:dyDescent="0.2">
      <c r="A39" t="str">
        <f>INDEX(Prioritization!$D:$D,MATCH($B39,Prioritization!$A:$A,0))</f>
        <v>1 - Scale-up: Saturation</v>
      </c>
      <c r="B39" t="s">
        <v>314</v>
      </c>
      <c r="C39" t="s">
        <v>473</v>
      </c>
      <c r="D39" t="s">
        <v>30</v>
      </c>
      <c r="E39" t="str">
        <f t="shared" si="0"/>
        <v>Blantyre District [mxqa3CDFmIT]|01-09|Female</v>
      </c>
      <c r="F39" s="33">
        <f>IF(LEFT($B39,4)="_Mil","",INDEX(Cascade!$AA:$AA,MATCH($E39,Cascade!$E:$E,0)))</f>
        <v>0.67658420699999999</v>
      </c>
      <c r="G39" s="38">
        <f>INDEX(Cascade!$BH:$BH,MATCH($E39,Cascade!$E:$E,0))</f>
        <v>19</v>
      </c>
      <c r="H39" s="38" t="str">
        <f>IF(OR($C39="01-09",$D39="Male"),"",INDEX(PMTCT!$AC:$AC,MATCH($E39,PMTCT!$E:$E,0)))</f>
        <v/>
      </c>
      <c r="I39" s="38" t="str">
        <f>IF(OR($C39="01-09",$D39="Male"),"",INDEX(PMTCT!$AS:$AS,MATCH($E39,PMTCT!$E:$E,0)))</f>
        <v/>
      </c>
      <c r="J39" s="38">
        <f>INDEX(TB!$P:$P,MATCH($E39,TB!$E:$E,0))</f>
        <v>0</v>
      </c>
      <c r="K39" s="38" t="str">
        <f>IF(OR($C39="01-09",$C39="10-14",$D39="Female"),"",INDEX(VMMC!$AA:$AA,MATCH($E39,VMMC!$E:$E,0)))</f>
        <v/>
      </c>
      <c r="L39" s="38">
        <f t="shared" si="1"/>
        <v>19</v>
      </c>
      <c r="M39" s="33" t="str">
        <f t="shared" si="2"/>
        <v/>
      </c>
      <c r="N39" s="33" t="str">
        <f t="shared" si="3"/>
        <v/>
      </c>
      <c r="O39" s="33">
        <f t="shared" si="4"/>
        <v>0</v>
      </c>
      <c r="P39" s="33" t="str">
        <f t="shared" si="5"/>
        <v/>
      </c>
      <c r="Q39" s="33">
        <v>0.445945945945946</v>
      </c>
      <c r="R39" s="33"/>
      <c r="S39" s="33"/>
      <c r="T39" s="33"/>
      <c r="U39" s="33">
        <f t="shared" si="27"/>
        <v>0.55405405405405395</v>
      </c>
      <c r="V39" s="33">
        <f t="shared" si="6"/>
        <v>1</v>
      </c>
      <c r="W39" s="218">
        <f t="shared" si="7"/>
        <v>8</v>
      </c>
      <c r="X39" s="33">
        <v>2.4E-2</v>
      </c>
      <c r="Y39" s="218">
        <f t="shared" si="7"/>
        <v>8</v>
      </c>
      <c r="Z39" s="218">
        <f t="shared" si="8"/>
        <v>325</v>
      </c>
      <c r="AA39" s="33">
        <v>0.12</v>
      </c>
      <c r="AB39" s="218" t="str">
        <f t="shared" si="9"/>
        <v/>
      </c>
      <c r="AC39" s="218" t="str">
        <f t="shared" si="10"/>
        <v/>
      </c>
      <c r="AD39" s="33">
        <v>0.02</v>
      </c>
      <c r="AE39" s="218" t="str">
        <f t="shared" si="11"/>
        <v/>
      </c>
      <c r="AF39" s="218" t="str">
        <f t="shared" si="12"/>
        <v/>
      </c>
      <c r="AG39" s="33">
        <v>0.02</v>
      </c>
      <c r="AH39" s="218" t="str">
        <f t="shared" si="13"/>
        <v/>
      </c>
      <c r="AI39" s="218" t="str">
        <f t="shared" si="14"/>
        <v/>
      </c>
      <c r="AJ39" s="33">
        <v>7.3000000000000001E-3</v>
      </c>
      <c r="AK39" s="218">
        <f t="shared" si="15"/>
        <v>11</v>
      </c>
      <c r="AL39" s="218">
        <f t="shared" si="16"/>
        <v>1496</v>
      </c>
      <c r="AM39" s="38">
        <f t="shared" si="17"/>
        <v>19</v>
      </c>
      <c r="AN39" s="38">
        <f t="shared" si="18"/>
        <v>19</v>
      </c>
      <c r="AO39" s="38">
        <f t="shared" si="19"/>
        <v>0</v>
      </c>
      <c r="AP39" s="38" t="str">
        <f>IF(OR($C39="01-09",$D39="Male"),"",INDEX(PMTCT!$AD:$AD,MATCH($E39,PMTCT!$E:$E,0)))</f>
        <v/>
      </c>
      <c r="AQ39" s="38" t="str">
        <f>IF(OR($C39="01-09",$D39="Male"),"",INDEX(PMTCT!$AT:$AT,MATCH($E39,PMTCT!$E:$E,0)))</f>
        <v/>
      </c>
      <c r="AR39" s="38">
        <f>INDEX(TB!$Q:$Q,MATCH($E39,TB!$E:$E,0))</f>
        <v>0</v>
      </c>
      <c r="AS39" s="38" t="str">
        <f>IF(OR($C39="01-09",$C39="10-14",$D39="Female"),"",INDEX(VMMC!$AB:$AB,MATCH($E39,VMMC!$E:$E,0)))</f>
        <v/>
      </c>
      <c r="AT39" s="38" t="str">
        <f>IF(OR($C39="01-09",$C39="10-14"),"",INDEX(PrEP!$Q:$Q,MATCH($E39,PrEP!$E:$E,0)))</f>
        <v/>
      </c>
      <c r="AU39" s="38">
        <f t="shared" si="20"/>
        <v>1821</v>
      </c>
      <c r="AV39" s="38">
        <f t="shared" si="21"/>
        <v>1840</v>
      </c>
      <c r="AW39" s="33">
        <f t="shared" si="22"/>
        <v>1.0326086956521738E-2</v>
      </c>
      <c r="AX39" s="38"/>
      <c r="AY39" s="33" t="str">
        <f t="shared" si="23"/>
        <v/>
      </c>
      <c r="AZ39" s="218" t="str">
        <f t="shared" si="24"/>
        <v/>
      </c>
      <c r="BA39" s="33" t="str">
        <f t="shared" si="25"/>
        <v/>
      </c>
      <c r="BB39" s="218" t="str">
        <f t="shared" si="26"/>
        <v/>
      </c>
    </row>
    <row r="40" spans="1:54" x14ac:dyDescent="0.2">
      <c r="A40" t="str">
        <f>INDEX(Prioritization!$D:$D,MATCH($B40,Prioritization!$A:$A,0))</f>
        <v>1 - Scale-up: Saturation</v>
      </c>
      <c r="B40" t="s">
        <v>314</v>
      </c>
      <c r="C40" t="s">
        <v>473</v>
      </c>
      <c r="D40" t="s">
        <v>48</v>
      </c>
      <c r="E40" t="str">
        <f t="shared" si="0"/>
        <v>Blantyre District [mxqa3CDFmIT]|01-09|Male</v>
      </c>
      <c r="F40" s="33">
        <f>IF(LEFT($B40,4)="_Mil","",INDEX(Cascade!$AA:$AA,MATCH($E40,Cascade!$E:$E,0)))</f>
        <v>0.67707003499999996</v>
      </c>
      <c r="G40" s="38">
        <f>INDEX(Cascade!$BH:$BH,MATCH($E40,Cascade!$E:$E,0))</f>
        <v>19</v>
      </c>
      <c r="H40" s="38" t="str">
        <f>IF(OR($C40="01-09",$D40="Male"),"",INDEX(PMTCT!$AC:$AC,MATCH($E40,PMTCT!$E:$E,0)))</f>
        <v/>
      </c>
      <c r="I40" s="38" t="str">
        <f>IF(OR($C40="01-09",$D40="Male"),"",INDEX(PMTCT!$AS:$AS,MATCH($E40,PMTCT!$E:$E,0)))</f>
        <v/>
      </c>
      <c r="J40" s="38">
        <f>INDEX(TB!$P:$P,MATCH($E40,TB!$E:$E,0))</f>
        <v>0</v>
      </c>
      <c r="K40" s="38" t="str">
        <f>IF(OR($C40="01-09",$C40="10-14",$D40="Female"),"",INDEX(VMMC!$AA:$AA,MATCH($E40,VMMC!$E:$E,0)))</f>
        <v/>
      </c>
      <c r="L40" s="38">
        <f t="shared" si="1"/>
        <v>19</v>
      </c>
      <c r="M40" s="33" t="str">
        <f t="shared" si="2"/>
        <v/>
      </c>
      <c r="N40" s="33" t="str">
        <f t="shared" si="3"/>
        <v/>
      </c>
      <c r="O40" s="33">
        <f t="shared" si="4"/>
        <v>0</v>
      </c>
      <c r="P40" s="33" t="str">
        <f t="shared" si="5"/>
        <v/>
      </c>
      <c r="Q40" s="33">
        <v>0.44</v>
      </c>
      <c r="R40" s="33"/>
      <c r="S40" s="33"/>
      <c r="T40" s="33"/>
      <c r="U40" s="33">
        <f t="shared" si="27"/>
        <v>0.56000000000000005</v>
      </c>
      <c r="V40" s="33">
        <f t="shared" si="6"/>
        <v>1</v>
      </c>
      <c r="W40" s="218">
        <f t="shared" si="7"/>
        <v>8</v>
      </c>
      <c r="X40" s="33">
        <v>2.7E-2</v>
      </c>
      <c r="Y40" s="218">
        <f t="shared" si="7"/>
        <v>8</v>
      </c>
      <c r="Z40" s="218">
        <f t="shared" si="8"/>
        <v>288</v>
      </c>
      <c r="AA40" s="33">
        <v>0.12</v>
      </c>
      <c r="AB40" s="218" t="str">
        <f t="shared" si="9"/>
        <v/>
      </c>
      <c r="AC40" s="218" t="str">
        <f t="shared" si="10"/>
        <v/>
      </c>
      <c r="AD40" s="33">
        <v>0.02</v>
      </c>
      <c r="AE40" s="218" t="str">
        <f t="shared" si="11"/>
        <v/>
      </c>
      <c r="AF40" s="218" t="str">
        <f t="shared" si="12"/>
        <v/>
      </c>
      <c r="AG40" s="33">
        <v>0.02</v>
      </c>
      <c r="AH40" s="218" t="str">
        <f t="shared" si="13"/>
        <v/>
      </c>
      <c r="AI40" s="218" t="str">
        <f t="shared" si="14"/>
        <v/>
      </c>
      <c r="AJ40" s="33">
        <v>9.7000000000000003E-3</v>
      </c>
      <c r="AK40" s="218">
        <f t="shared" si="15"/>
        <v>11</v>
      </c>
      <c r="AL40" s="218">
        <f t="shared" si="16"/>
        <v>1123</v>
      </c>
      <c r="AM40" s="38">
        <f t="shared" si="17"/>
        <v>19</v>
      </c>
      <c r="AN40" s="38">
        <f t="shared" si="18"/>
        <v>19</v>
      </c>
      <c r="AO40" s="38">
        <f t="shared" si="19"/>
        <v>0</v>
      </c>
      <c r="AP40" s="38" t="str">
        <f>IF(OR($C40="01-09",$D40="Male"),"",INDEX(PMTCT!$AD:$AD,MATCH($E40,PMTCT!$E:$E,0)))</f>
        <v/>
      </c>
      <c r="AQ40" s="38" t="str">
        <f>IF(OR($C40="01-09",$D40="Male"),"",INDEX(PMTCT!$AT:$AT,MATCH($E40,PMTCT!$E:$E,0)))</f>
        <v/>
      </c>
      <c r="AR40" s="38">
        <f>INDEX(TB!$Q:$Q,MATCH($E40,TB!$E:$E,0))</f>
        <v>0</v>
      </c>
      <c r="AS40" s="38" t="str">
        <f>IF(OR($C40="01-09",$C40="10-14",$D40="Female"),"",INDEX(VMMC!$AB:$AB,MATCH($E40,VMMC!$E:$E,0)))</f>
        <v/>
      </c>
      <c r="AT40" s="38" t="str">
        <f>IF(OR($C40="01-09",$C40="10-14"),"",INDEX(PrEP!$Q:$Q,MATCH($E40,PrEP!$E:$E,0)))</f>
        <v/>
      </c>
      <c r="AU40" s="38">
        <f t="shared" si="20"/>
        <v>1411</v>
      </c>
      <c r="AV40" s="38">
        <f t="shared" si="21"/>
        <v>1430</v>
      </c>
      <c r="AW40" s="33">
        <f t="shared" si="22"/>
        <v>1.3286713286713287E-2</v>
      </c>
      <c r="AX40" s="38"/>
      <c r="AY40" s="33" t="str">
        <f t="shared" si="23"/>
        <v/>
      </c>
      <c r="AZ40" s="218" t="str">
        <f t="shared" si="24"/>
        <v/>
      </c>
      <c r="BA40" s="33" t="str">
        <f t="shared" si="25"/>
        <v/>
      </c>
      <c r="BB40" s="218" t="str">
        <f t="shared" si="26"/>
        <v/>
      </c>
    </row>
    <row r="41" spans="1:54" x14ac:dyDescent="0.2">
      <c r="A41" t="str">
        <f>INDEX(Prioritization!$D:$D,MATCH($B41,Prioritization!$A:$A,0))</f>
        <v>1 - Scale-up: Saturation</v>
      </c>
      <c r="B41" t="s">
        <v>314</v>
      </c>
      <c r="C41" t="s">
        <v>474</v>
      </c>
      <c r="D41" t="s">
        <v>30</v>
      </c>
      <c r="E41" t="str">
        <f t="shared" si="0"/>
        <v>Blantyre District [mxqa3CDFmIT]|10-14|Female</v>
      </c>
      <c r="F41" s="33">
        <f>IF(LEFT($B41,4)="_Mil","",INDEX(Cascade!$AA:$AA,MATCH($E41,Cascade!$E:$E,0)))</f>
        <v>0.71552081099999998</v>
      </c>
      <c r="G41" s="38">
        <f>INDEX(Cascade!$BH:$BH,MATCH($E41,Cascade!$E:$E,0))</f>
        <v>22</v>
      </c>
      <c r="H41" s="38">
        <f>IF(OR($C41="01-09",$D41="Male"),"",INDEX(PMTCT!$AC:$AC,MATCH($E41,PMTCT!$E:$E,0)))</f>
        <v>1</v>
      </c>
      <c r="I41" s="38">
        <f>IF(OR($C41="01-09",$D41="Male"),"",INDEX(PMTCT!$AS:$AS,MATCH($E41,PMTCT!$E:$E,0)))</f>
        <v>0</v>
      </c>
      <c r="J41" s="38">
        <f>INDEX(TB!$P:$P,MATCH($E41,TB!$E:$E,0))</f>
        <v>0</v>
      </c>
      <c r="K41" s="38" t="str">
        <f>IF(OR($C41="01-09",$C41="10-14",$D41="Female"),"",INDEX(VMMC!$AA:$AA,MATCH($E41,VMMC!$E:$E,0)))</f>
        <v/>
      </c>
      <c r="L41" s="38">
        <f t="shared" si="1"/>
        <v>21</v>
      </c>
      <c r="M41" s="33">
        <f t="shared" si="2"/>
        <v>4.5454545454545456E-2</v>
      </c>
      <c r="N41" s="33">
        <f t="shared" si="3"/>
        <v>0</v>
      </c>
      <c r="O41" s="33">
        <f t="shared" si="4"/>
        <v>0</v>
      </c>
      <c r="P41" s="33" t="str">
        <f t="shared" si="5"/>
        <v/>
      </c>
      <c r="Q41" s="33">
        <v>0.15</v>
      </c>
      <c r="R41" s="33"/>
      <c r="S41" s="33">
        <v>0.1</v>
      </c>
      <c r="T41" s="33"/>
      <c r="U41" s="33">
        <f t="shared" si="27"/>
        <v>0.70454545454545459</v>
      </c>
      <c r="V41" s="33">
        <f t="shared" si="6"/>
        <v>1</v>
      </c>
      <c r="W41" s="218">
        <f t="shared" si="7"/>
        <v>3</v>
      </c>
      <c r="X41" s="33">
        <v>3.2000000000000001E-2</v>
      </c>
      <c r="Y41" s="218">
        <f t="shared" si="7"/>
        <v>3</v>
      </c>
      <c r="Z41" s="218">
        <f t="shared" si="8"/>
        <v>91</v>
      </c>
      <c r="AA41" s="33">
        <v>0.12</v>
      </c>
      <c r="AB41" s="218" t="str">
        <f t="shared" si="9"/>
        <v/>
      </c>
      <c r="AC41" s="218" t="str">
        <f t="shared" si="10"/>
        <v/>
      </c>
      <c r="AD41" s="33">
        <v>2E-3</v>
      </c>
      <c r="AE41" s="218">
        <f t="shared" si="11"/>
        <v>2</v>
      </c>
      <c r="AF41" s="218">
        <f t="shared" si="12"/>
        <v>998</v>
      </c>
      <c r="AG41" s="33">
        <v>0.02</v>
      </c>
      <c r="AH41" s="218" t="str">
        <f t="shared" si="13"/>
        <v/>
      </c>
      <c r="AI41" s="218" t="str">
        <f t="shared" si="14"/>
        <v/>
      </c>
      <c r="AJ41" s="33">
        <v>1.4E-2</v>
      </c>
      <c r="AK41" s="218">
        <f t="shared" si="15"/>
        <v>16</v>
      </c>
      <c r="AL41" s="218">
        <f t="shared" si="16"/>
        <v>1127</v>
      </c>
      <c r="AM41" s="38">
        <f t="shared" si="17"/>
        <v>22</v>
      </c>
      <c r="AN41" s="38">
        <f t="shared" si="18"/>
        <v>22</v>
      </c>
      <c r="AO41" s="38">
        <f t="shared" si="19"/>
        <v>0</v>
      </c>
      <c r="AP41" s="38">
        <f>IF(OR($C41="01-09",$D41="Male"),"",INDEX(PMTCT!$AD:$AD,MATCH($E41,PMTCT!$E:$E,0)))</f>
        <v>115</v>
      </c>
      <c r="AQ41" s="38">
        <f>IF(OR($C41="01-09",$D41="Male"),"",INDEX(PMTCT!$AT:$AT,MATCH($E41,PMTCT!$E:$E,0)))</f>
        <v>115</v>
      </c>
      <c r="AR41" s="38">
        <f>INDEX(TB!$Q:$Q,MATCH($E41,TB!$E:$E,0))</f>
        <v>0</v>
      </c>
      <c r="AS41" s="38" t="str">
        <f>IF(OR($C41="01-09",$C41="10-14",$D41="Female"),"",INDEX(VMMC!$AB:$AB,MATCH($E41,VMMC!$E:$E,0)))</f>
        <v/>
      </c>
      <c r="AT41" s="38" t="str">
        <f>IF(OR($C41="01-09",$C41="10-14"),"",INDEX(PrEP!$Q:$Q,MATCH($E41,PrEP!$E:$E,0)))</f>
        <v/>
      </c>
      <c r="AU41" s="38">
        <f t="shared" si="20"/>
        <v>2446</v>
      </c>
      <c r="AV41" s="38">
        <f t="shared" si="21"/>
        <v>2468</v>
      </c>
      <c r="AW41" s="33">
        <f t="shared" si="22"/>
        <v>8.9141004862236632E-3</v>
      </c>
      <c r="AX41" s="38">
        <v>18362</v>
      </c>
      <c r="AY41" s="33">
        <f t="shared" si="23"/>
        <v>0</v>
      </c>
      <c r="AZ41" s="218">
        <f t="shared" si="24"/>
        <v>18362</v>
      </c>
      <c r="BA41" s="33" t="str">
        <f t="shared" si="25"/>
        <v/>
      </c>
      <c r="BB41" s="218" t="str">
        <f t="shared" si="26"/>
        <v/>
      </c>
    </row>
    <row r="42" spans="1:54" x14ac:dyDescent="0.2">
      <c r="A42" t="str">
        <f>INDEX(Prioritization!$D:$D,MATCH($B42,Prioritization!$A:$A,0))</f>
        <v>1 - Scale-up: Saturation</v>
      </c>
      <c r="B42" t="s">
        <v>314</v>
      </c>
      <c r="C42" t="s">
        <v>474</v>
      </c>
      <c r="D42" t="s">
        <v>48</v>
      </c>
      <c r="E42" t="str">
        <f t="shared" si="0"/>
        <v>Blantyre District [mxqa3CDFmIT]|10-14|Male</v>
      </c>
      <c r="F42" s="33">
        <f>IF(LEFT($B42,4)="_Mil","",INDEX(Cascade!$AA:$AA,MATCH($E42,Cascade!$E:$E,0)))</f>
        <v>0.71527235099999997</v>
      </c>
      <c r="G42" s="38">
        <f>INDEX(Cascade!$BH:$BH,MATCH($E42,Cascade!$E:$E,0))</f>
        <v>22</v>
      </c>
      <c r="H42" s="38" t="str">
        <f>IF(OR($C42="01-09",$D42="Male"),"",INDEX(PMTCT!$AC:$AC,MATCH($E42,PMTCT!$E:$E,0)))</f>
        <v/>
      </c>
      <c r="I42" s="38" t="str">
        <f>IF(OR($C42="01-09",$D42="Male"),"",INDEX(PMTCT!$AS:$AS,MATCH($E42,PMTCT!$E:$E,0)))</f>
        <v/>
      </c>
      <c r="J42" s="38">
        <f>INDEX(TB!$P:$P,MATCH($E42,TB!$E:$E,0))</f>
        <v>0</v>
      </c>
      <c r="K42" s="38" t="str">
        <f>IF(OR($C42="01-09",$C42="10-14",$D42="Female"),"",INDEX(VMMC!$AA:$AA,MATCH($E42,VMMC!$E:$E,0)))</f>
        <v/>
      </c>
      <c r="L42" s="38">
        <f t="shared" si="1"/>
        <v>22</v>
      </c>
      <c r="M42" s="33" t="str">
        <f t="shared" si="2"/>
        <v/>
      </c>
      <c r="N42" s="33" t="str">
        <f t="shared" si="3"/>
        <v/>
      </c>
      <c r="O42" s="33">
        <f t="shared" si="4"/>
        <v>0</v>
      </c>
      <c r="P42" s="33" t="str">
        <f t="shared" si="5"/>
        <v/>
      </c>
      <c r="Q42" s="33">
        <v>0.55769230769230804</v>
      </c>
      <c r="R42" s="33"/>
      <c r="S42" s="33"/>
      <c r="T42" s="33"/>
      <c r="U42" s="33">
        <f t="shared" si="27"/>
        <v>0.44230769230769196</v>
      </c>
      <c r="V42" s="33">
        <f t="shared" si="6"/>
        <v>1</v>
      </c>
      <c r="W42" s="218">
        <f t="shared" si="7"/>
        <v>12</v>
      </c>
      <c r="X42" s="33">
        <v>2.9000000000000001E-2</v>
      </c>
      <c r="Y42" s="218">
        <f t="shared" si="7"/>
        <v>12</v>
      </c>
      <c r="Z42" s="218">
        <f t="shared" si="8"/>
        <v>402</v>
      </c>
      <c r="AA42" s="33">
        <v>0.12</v>
      </c>
      <c r="AB42" s="218" t="str">
        <f t="shared" si="9"/>
        <v/>
      </c>
      <c r="AC42" s="218" t="str">
        <f t="shared" si="10"/>
        <v/>
      </c>
      <c r="AD42" s="33">
        <v>0.02</v>
      </c>
      <c r="AE42" s="218" t="str">
        <f t="shared" si="11"/>
        <v/>
      </c>
      <c r="AF42" s="218" t="str">
        <f t="shared" si="12"/>
        <v/>
      </c>
      <c r="AG42" s="33">
        <v>0.02</v>
      </c>
      <c r="AH42" s="218" t="str">
        <f t="shared" si="13"/>
        <v/>
      </c>
      <c r="AI42" s="218" t="str">
        <f t="shared" si="14"/>
        <v/>
      </c>
      <c r="AJ42" s="33">
        <v>2.1000000000000001E-2</v>
      </c>
      <c r="AK42" s="218">
        <f t="shared" si="15"/>
        <v>10</v>
      </c>
      <c r="AL42" s="218">
        <f t="shared" si="16"/>
        <v>466</v>
      </c>
      <c r="AM42" s="38">
        <f t="shared" si="17"/>
        <v>22</v>
      </c>
      <c r="AN42" s="38">
        <f t="shared" si="18"/>
        <v>22</v>
      </c>
      <c r="AO42" s="38">
        <f t="shared" si="19"/>
        <v>0</v>
      </c>
      <c r="AP42" s="38" t="str">
        <f>IF(OR($C42="01-09",$D42="Male"),"",INDEX(PMTCT!$AD:$AD,MATCH($E42,PMTCT!$E:$E,0)))</f>
        <v/>
      </c>
      <c r="AQ42" s="38" t="str">
        <f>IF(OR($C42="01-09",$D42="Male"),"",INDEX(PMTCT!$AT:$AT,MATCH($E42,PMTCT!$E:$E,0)))</f>
        <v/>
      </c>
      <c r="AR42" s="38">
        <f>INDEX(TB!$Q:$Q,MATCH($E42,TB!$E:$E,0))</f>
        <v>0</v>
      </c>
      <c r="AS42" s="38" t="str">
        <f>IF(OR($C42="01-09",$C42="10-14",$D42="Female"),"",INDEX(VMMC!$AB:$AB,MATCH($E42,VMMC!$E:$E,0)))</f>
        <v/>
      </c>
      <c r="AT42" s="38" t="str">
        <f>IF(OR($C42="01-09",$C42="10-14"),"",INDEX(PrEP!$Q:$Q,MATCH($E42,PrEP!$E:$E,0)))</f>
        <v/>
      </c>
      <c r="AU42" s="38">
        <f t="shared" si="20"/>
        <v>868</v>
      </c>
      <c r="AV42" s="38">
        <f t="shared" si="21"/>
        <v>889.99999999999989</v>
      </c>
      <c r="AW42" s="33">
        <f t="shared" si="22"/>
        <v>2.4719101123595509E-2</v>
      </c>
      <c r="AX42" s="38"/>
      <c r="AY42" s="33" t="str">
        <f t="shared" si="23"/>
        <v/>
      </c>
      <c r="AZ42" s="218" t="str">
        <f t="shared" si="24"/>
        <v/>
      </c>
      <c r="BA42" s="33" t="str">
        <f t="shared" si="25"/>
        <v/>
      </c>
      <c r="BB42" s="218" t="str">
        <f t="shared" si="26"/>
        <v/>
      </c>
    </row>
    <row r="43" spans="1:54" x14ac:dyDescent="0.2">
      <c r="A43" t="str">
        <f>INDEX(Prioritization!$D:$D,MATCH($B43,Prioritization!$A:$A,0))</f>
        <v>1 - Scale-up: Saturation</v>
      </c>
      <c r="B43" t="s">
        <v>314</v>
      </c>
      <c r="C43" t="s">
        <v>475</v>
      </c>
      <c r="D43" t="s">
        <v>30</v>
      </c>
      <c r="E43" t="str">
        <f t="shared" si="0"/>
        <v>Blantyre District [mxqa3CDFmIT]|15-24|Female</v>
      </c>
      <c r="F43" s="33">
        <f>IF(LEFT($B43,4)="_Mil","",INDEX(Cascade!$AA:$AA,MATCH($E43,Cascade!$E:$E,0)))</f>
        <v>0</v>
      </c>
      <c r="G43" s="38">
        <f>INDEX(Cascade!$BH:$BH,MATCH($E43,Cascade!$E:$E,0))</f>
        <v>0</v>
      </c>
      <c r="H43" s="38">
        <f>IF(OR($C43="01-09",$D43="Male"),"",INDEX(PMTCT!$AC:$AC,MATCH($E43,PMTCT!$E:$E,0)))</f>
        <v>237</v>
      </c>
      <c r="I43" s="38">
        <f>IF(OR($C43="01-09",$D43="Male"),"",INDEX(PMTCT!$AS:$AS,MATCH($E43,PMTCT!$E:$E,0)))</f>
        <v>104</v>
      </c>
      <c r="J43" s="38">
        <f>INDEX(TB!$P:$P,MATCH($E43,TB!$E:$E,0))</f>
        <v>0</v>
      </c>
      <c r="K43" s="38" t="str">
        <f>IF(OR($C43="01-09",$C43="10-14",$D43="Female"),"",INDEX(VMMC!$AA:$AA,MATCH($E43,VMMC!$E:$E,0)))</f>
        <v/>
      </c>
      <c r="L43" s="38">
        <f t="shared" si="1"/>
        <v>-341</v>
      </c>
      <c r="M43" s="33" t="e">
        <f t="shared" si="2"/>
        <v>#DIV/0!</v>
      </c>
      <c r="N43" s="33" t="e">
        <f t="shared" si="3"/>
        <v>#DIV/0!</v>
      </c>
      <c r="O43" s="33" t="str">
        <f t="shared" si="4"/>
        <v/>
      </c>
      <c r="P43" s="33" t="str">
        <f t="shared" si="5"/>
        <v/>
      </c>
      <c r="Q43" s="33">
        <v>0.15</v>
      </c>
      <c r="R43" s="33">
        <v>2.5999999999999999E-2</v>
      </c>
      <c r="S43" s="33">
        <v>6.0000000000000001E-3</v>
      </c>
      <c r="T43" s="33">
        <v>0.05</v>
      </c>
      <c r="U43" s="33" t="e">
        <f t="shared" si="27"/>
        <v>#DIV/0!</v>
      </c>
      <c r="V43" s="33" t="str">
        <f t="shared" si="6"/>
        <v/>
      </c>
      <c r="W43" s="218" t="str">
        <f t="shared" si="7"/>
        <v/>
      </c>
      <c r="X43" s="33">
        <v>0.22700000000000001</v>
      </c>
      <c r="Y43" s="218" t="str">
        <f t="shared" si="7"/>
        <v/>
      </c>
      <c r="Z43" s="218" t="str">
        <f t="shared" si="8"/>
        <v/>
      </c>
      <c r="AA43" s="33">
        <v>0.12</v>
      </c>
      <c r="AB43" s="218" t="str">
        <f t="shared" si="9"/>
        <v/>
      </c>
      <c r="AC43" s="218" t="str">
        <f t="shared" si="10"/>
        <v/>
      </c>
      <c r="AD43" s="33">
        <v>2E-3</v>
      </c>
      <c r="AE43" s="218" t="str">
        <f t="shared" si="11"/>
        <v/>
      </c>
      <c r="AF43" s="218" t="str">
        <f t="shared" si="12"/>
        <v/>
      </c>
      <c r="AG43" s="33">
        <v>0.02</v>
      </c>
      <c r="AH43" s="218" t="str">
        <f t="shared" si="13"/>
        <v/>
      </c>
      <c r="AI43" s="218" t="str">
        <f t="shared" si="14"/>
        <v/>
      </c>
      <c r="AJ43" s="33">
        <v>2.3E-2</v>
      </c>
      <c r="AK43" s="218" t="e">
        <f t="shared" si="15"/>
        <v>#DIV/0!</v>
      </c>
      <c r="AL43" s="218" t="e">
        <f t="shared" si="16"/>
        <v>#DIV/0!</v>
      </c>
      <c r="AM43" s="38" t="str">
        <f t="shared" si="17"/>
        <v/>
      </c>
      <c r="AN43" s="38" t="str">
        <f t="shared" si="18"/>
        <v/>
      </c>
      <c r="AO43" s="38" t="str">
        <f t="shared" si="19"/>
        <v/>
      </c>
      <c r="AP43" s="38">
        <f>IF(OR($C43="01-09",$D43="Male"),"",INDEX(PMTCT!$AD:$AD,MATCH($E43,PMTCT!$E:$E,0)))</f>
        <v>26057</v>
      </c>
      <c r="AQ43" s="38">
        <f>IF(OR($C43="01-09",$D43="Male"),"",INDEX(PMTCT!$AT:$AT,MATCH($E43,PMTCT!$E:$E,0)))</f>
        <v>25953</v>
      </c>
      <c r="AR43" s="38">
        <f>INDEX(TB!$Q:$Q,MATCH($E43,TB!$E:$E,0))</f>
        <v>0</v>
      </c>
      <c r="AS43" s="38" t="str">
        <f>IF(OR($C43="01-09",$C43="10-14",$D43="Female"),"",INDEX(VMMC!$AB:$AB,MATCH($E43,VMMC!$E:$E,0)))</f>
        <v/>
      </c>
      <c r="AT43" s="38">
        <f>IF(OR($C43="01-09",$C43="10-14"),"",INDEX(PrEP!$Q:$Q,MATCH($E43,PrEP!$E:$E,0)))</f>
        <v>3522</v>
      </c>
      <c r="AU43" s="38" t="str">
        <f t="shared" si="20"/>
        <v/>
      </c>
      <c r="AV43" s="38" t="str">
        <f t="shared" si="21"/>
        <v/>
      </c>
      <c r="AW43" s="33" t="str">
        <f t="shared" si="22"/>
        <v/>
      </c>
      <c r="AX43" s="38">
        <v>55034</v>
      </c>
      <c r="AY43" s="33">
        <f t="shared" ref="AY43:AY48" si="29">IF(OR($C43="01-09",SUM($AX43)=0),"",68%)</f>
        <v>0.68</v>
      </c>
      <c r="AZ43" s="218">
        <f t="shared" si="24"/>
        <v>92457</v>
      </c>
      <c r="BA43" s="33">
        <v>0.64</v>
      </c>
      <c r="BB43" s="218" t="str">
        <f t="shared" si="26"/>
        <v/>
      </c>
    </row>
    <row r="44" spans="1:54" x14ac:dyDescent="0.2">
      <c r="A44" t="str">
        <f>INDEX(Prioritization!$D:$D,MATCH($B44,Prioritization!$A:$A,0))</f>
        <v>1 - Scale-up: Saturation</v>
      </c>
      <c r="B44" t="s">
        <v>314</v>
      </c>
      <c r="C44" t="s">
        <v>475</v>
      </c>
      <c r="D44" t="s">
        <v>48</v>
      </c>
      <c r="E44" t="str">
        <f t="shared" si="0"/>
        <v>Blantyre District [mxqa3CDFmIT]|15-24|Male</v>
      </c>
      <c r="F44" s="33">
        <f>IF(LEFT($B44,4)="_Mil","",INDEX(Cascade!$AA:$AA,MATCH($E44,Cascade!$E:$E,0)))</f>
        <v>0.880261081</v>
      </c>
      <c r="G44" s="38">
        <f>INDEX(Cascade!$BH:$BH,MATCH($E44,Cascade!$E:$E,0))</f>
        <v>102</v>
      </c>
      <c r="H44" s="38" t="str">
        <f>IF(OR($C44="01-09",$D44="Male"),"",INDEX(PMTCT!$AC:$AC,MATCH($E44,PMTCT!$E:$E,0)))</f>
        <v/>
      </c>
      <c r="I44" s="38" t="str">
        <f>IF(OR($C44="01-09",$D44="Male"),"",INDEX(PMTCT!$AS:$AS,MATCH($E44,PMTCT!$E:$E,0)))</f>
        <v/>
      </c>
      <c r="J44" s="38">
        <f>INDEX(TB!$P:$P,MATCH($E44,TB!$E:$E,0))</f>
        <v>0</v>
      </c>
      <c r="K44" s="38">
        <f>IF(OR($C44="01-09",$C44="10-14",$D44="Female"),"",INDEX(VMMC!$AA:$AA,MATCH($E44,VMMC!$E:$E,0)))</f>
        <v>15</v>
      </c>
      <c r="L44" s="38">
        <f t="shared" si="1"/>
        <v>87</v>
      </c>
      <c r="M44" s="33" t="str">
        <f t="shared" si="2"/>
        <v/>
      </c>
      <c r="N44" s="33" t="str">
        <f t="shared" si="3"/>
        <v/>
      </c>
      <c r="O44" s="33">
        <f t="shared" si="4"/>
        <v>0</v>
      </c>
      <c r="P44" s="33">
        <f t="shared" si="5"/>
        <v>0.14705882352941177</v>
      </c>
      <c r="Q44" s="33">
        <v>0.31194690265486702</v>
      </c>
      <c r="R44" s="33">
        <v>4.2500000000000003E-2</v>
      </c>
      <c r="S44" s="33">
        <v>2.1000000000000001E-2</v>
      </c>
      <c r="T44" s="33">
        <v>0.05</v>
      </c>
      <c r="U44" s="33">
        <f t="shared" si="27"/>
        <v>0.42749427381572114</v>
      </c>
      <c r="V44" s="33">
        <f t="shared" si="6"/>
        <v>1</v>
      </c>
      <c r="W44" s="218">
        <f t="shared" si="7"/>
        <v>32</v>
      </c>
      <c r="X44" s="33">
        <v>0.107</v>
      </c>
      <c r="Y44" s="218">
        <f t="shared" si="7"/>
        <v>32</v>
      </c>
      <c r="Z44" s="218">
        <f t="shared" si="8"/>
        <v>267</v>
      </c>
      <c r="AA44" s="33">
        <v>0.12</v>
      </c>
      <c r="AB44" s="218">
        <f t="shared" si="9"/>
        <v>4</v>
      </c>
      <c r="AC44" s="218">
        <f t="shared" si="10"/>
        <v>29</v>
      </c>
      <c r="AD44" s="33">
        <v>0.02</v>
      </c>
      <c r="AE44" s="218">
        <f t="shared" si="11"/>
        <v>2</v>
      </c>
      <c r="AF44" s="218">
        <f t="shared" si="12"/>
        <v>98</v>
      </c>
      <c r="AG44" s="33">
        <v>0.02</v>
      </c>
      <c r="AH44" s="218">
        <f t="shared" si="13"/>
        <v>5</v>
      </c>
      <c r="AI44" s="218">
        <f t="shared" si="14"/>
        <v>245</v>
      </c>
      <c r="AJ44" s="33">
        <v>1.4E-2</v>
      </c>
      <c r="AK44" s="218">
        <f t="shared" si="15"/>
        <v>44</v>
      </c>
      <c r="AL44" s="218">
        <f t="shared" si="16"/>
        <v>3099</v>
      </c>
      <c r="AM44" s="38">
        <f t="shared" si="17"/>
        <v>102</v>
      </c>
      <c r="AN44" s="38">
        <f t="shared" si="18"/>
        <v>102</v>
      </c>
      <c r="AO44" s="38">
        <f t="shared" si="19"/>
        <v>0</v>
      </c>
      <c r="AP44" s="38" t="str">
        <f>IF(OR($C44="01-09",$D44="Male"),"",INDEX(PMTCT!$AD:$AD,MATCH($E44,PMTCT!$E:$E,0)))</f>
        <v/>
      </c>
      <c r="AQ44" s="38" t="str">
        <f>IF(OR($C44="01-09",$D44="Male"),"",INDEX(PMTCT!$AT:$AT,MATCH($E44,PMTCT!$E:$E,0)))</f>
        <v/>
      </c>
      <c r="AR44" s="38">
        <f>INDEX(TB!$Q:$Q,MATCH($E44,TB!$E:$E,0))</f>
        <v>0</v>
      </c>
      <c r="AS44" s="38">
        <f>IF(OR($C44="01-09",$C44="10-14",$D44="Female"),"",INDEX(VMMC!$AB:$AB,MATCH($E44,VMMC!$E:$E,0)))</f>
        <v>4394</v>
      </c>
      <c r="AT44" s="38">
        <f>IF(OR($C44="01-09",$C44="10-14"),"",INDEX(PrEP!$Q:$Q,MATCH($E44,PrEP!$E:$E,0)))</f>
        <v>5996</v>
      </c>
      <c r="AU44" s="38">
        <f t="shared" si="20"/>
        <v>14127.999999999998</v>
      </c>
      <c r="AV44" s="38">
        <f t="shared" si="21"/>
        <v>14230</v>
      </c>
      <c r="AW44" s="33">
        <f t="shared" si="22"/>
        <v>7.1679550245959244E-3</v>
      </c>
      <c r="AX44" s="38">
        <v>23048</v>
      </c>
      <c r="AY44" s="33">
        <f t="shared" si="29"/>
        <v>0.68</v>
      </c>
      <c r="AZ44" s="218">
        <f t="shared" si="24"/>
        <v>38721</v>
      </c>
      <c r="BA44" s="33">
        <v>0.64</v>
      </c>
      <c r="BB44" s="218">
        <f t="shared" si="26"/>
        <v>65</v>
      </c>
    </row>
    <row r="45" spans="1:54" x14ac:dyDescent="0.2">
      <c r="A45" t="str">
        <f>INDEX(Prioritization!$D:$D,MATCH($B45,Prioritization!$A:$A,0))</f>
        <v>1 - Scale-up: Saturation</v>
      </c>
      <c r="B45" t="s">
        <v>314</v>
      </c>
      <c r="C45" t="s">
        <v>476</v>
      </c>
      <c r="D45" t="s">
        <v>30</v>
      </c>
      <c r="E45" t="str">
        <f t="shared" si="0"/>
        <v>Blantyre District [mxqa3CDFmIT]|25-34|Female</v>
      </c>
      <c r="F45" s="33">
        <f>IF(LEFT($B45,4)="_Mil","",INDEX(Cascade!$AA:$AA,MATCH($E45,Cascade!$E:$E,0)))</f>
        <v>0.95868927699999995</v>
      </c>
      <c r="G45" s="38">
        <f>INDEX(Cascade!$BH:$BH,MATCH($E45,Cascade!$E:$E,0))</f>
        <v>988</v>
      </c>
      <c r="H45" s="38">
        <f>IF(OR($C45="01-09",$D45="Male"),"",INDEX(PMTCT!$AC:$AC,MATCH($E45,PMTCT!$E:$E,0)))</f>
        <v>326</v>
      </c>
      <c r="I45" s="38">
        <f>IF(OR($C45="01-09",$D45="Male"),"",INDEX(PMTCT!$AS:$AS,MATCH($E45,PMTCT!$E:$E,0)))</f>
        <v>125</v>
      </c>
      <c r="J45" s="38">
        <f>INDEX(TB!$P:$P,MATCH($E45,TB!$E:$E,0))</f>
        <v>0</v>
      </c>
      <c r="K45" s="38" t="str">
        <f>IF(OR($C45="01-09",$C45="10-14",$D45="Female"),"",INDEX(VMMC!$AA:$AA,MATCH($E45,VMMC!$E:$E,0)))</f>
        <v/>
      </c>
      <c r="L45" s="38">
        <f t="shared" si="1"/>
        <v>537</v>
      </c>
      <c r="M45" s="33">
        <f t="shared" si="2"/>
        <v>0.32995951417004049</v>
      </c>
      <c r="N45" s="33">
        <f t="shared" si="3"/>
        <v>0.12651821862348178</v>
      </c>
      <c r="O45" s="33">
        <f t="shared" si="4"/>
        <v>0</v>
      </c>
      <c r="P45" s="33" t="str">
        <f t="shared" si="5"/>
        <v/>
      </c>
      <c r="Q45" s="33">
        <v>0.25</v>
      </c>
      <c r="R45" s="33">
        <v>2.5999999999999999E-2</v>
      </c>
      <c r="S45" s="33"/>
      <c r="T45" s="33">
        <v>0.05</v>
      </c>
      <c r="U45" s="33">
        <f t="shared" si="27"/>
        <v>0.2175222672064776</v>
      </c>
      <c r="V45" s="33">
        <f t="shared" si="6"/>
        <v>1</v>
      </c>
      <c r="W45" s="218">
        <f t="shared" si="7"/>
        <v>247</v>
      </c>
      <c r="X45" s="33">
        <v>0.28399999999999997</v>
      </c>
      <c r="Y45" s="218">
        <f t="shared" si="7"/>
        <v>247</v>
      </c>
      <c r="Z45" s="218">
        <f t="shared" si="8"/>
        <v>623</v>
      </c>
      <c r="AA45" s="33">
        <v>0.12</v>
      </c>
      <c r="AB45" s="218">
        <f t="shared" si="9"/>
        <v>26</v>
      </c>
      <c r="AC45" s="218">
        <f t="shared" si="10"/>
        <v>191</v>
      </c>
      <c r="AD45" s="33">
        <v>0.02</v>
      </c>
      <c r="AE45" s="218" t="str">
        <f t="shared" si="11"/>
        <v/>
      </c>
      <c r="AF45" s="218" t="str">
        <f t="shared" si="12"/>
        <v/>
      </c>
      <c r="AG45" s="33">
        <v>0.02</v>
      </c>
      <c r="AH45" s="218">
        <f t="shared" si="13"/>
        <v>49</v>
      </c>
      <c r="AI45" s="218">
        <f t="shared" si="14"/>
        <v>2401</v>
      </c>
      <c r="AJ45" s="33">
        <v>3.6999999999999998E-2</v>
      </c>
      <c r="AK45" s="218">
        <f t="shared" si="15"/>
        <v>215</v>
      </c>
      <c r="AL45" s="218">
        <f t="shared" si="16"/>
        <v>5596</v>
      </c>
      <c r="AM45" s="38">
        <f t="shared" si="17"/>
        <v>988</v>
      </c>
      <c r="AN45" s="38">
        <f t="shared" si="18"/>
        <v>988</v>
      </c>
      <c r="AO45" s="38">
        <f t="shared" si="19"/>
        <v>0</v>
      </c>
      <c r="AP45" s="38">
        <f>IF(OR($C45="01-09",$D45="Male"),"",INDEX(PMTCT!$AD:$AD,MATCH($E45,PMTCT!$E:$E,0)))</f>
        <v>17789</v>
      </c>
      <c r="AQ45" s="38">
        <f>IF(OR($C45="01-09",$D45="Male"),"",INDEX(PMTCT!$AT:$AT,MATCH($E45,PMTCT!$E:$E,0)))</f>
        <v>17664</v>
      </c>
      <c r="AR45" s="38">
        <f>INDEX(TB!$Q:$Q,MATCH($E45,TB!$E:$E,0))</f>
        <v>0</v>
      </c>
      <c r="AS45" s="38" t="str">
        <f>IF(OR($C45="01-09",$C45="10-14",$D45="Female"),"",INDEX(VMMC!$AB:$AB,MATCH($E45,VMMC!$E:$E,0)))</f>
        <v/>
      </c>
      <c r="AT45" s="38">
        <f>IF(OR($C45="01-09",$C45="10-14"),"",INDEX(PrEP!$Q:$Q,MATCH($E45,PrEP!$E:$E,0)))</f>
        <v>2992</v>
      </c>
      <c r="AU45" s="38">
        <f t="shared" si="20"/>
        <v>47256</v>
      </c>
      <c r="AV45" s="38">
        <f t="shared" si="21"/>
        <v>48244</v>
      </c>
      <c r="AW45" s="33">
        <f t="shared" si="22"/>
        <v>2.0479230577895698E-2</v>
      </c>
      <c r="AX45" s="38">
        <v>7377</v>
      </c>
      <c r="AY45" s="33">
        <f t="shared" si="29"/>
        <v>0.68</v>
      </c>
      <c r="AZ45" s="218">
        <f t="shared" si="24"/>
        <v>12393</v>
      </c>
      <c r="BA45" s="33">
        <v>0.64</v>
      </c>
      <c r="BB45" s="218">
        <f t="shared" si="26"/>
        <v>632</v>
      </c>
    </row>
    <row r="46" spans="1:54" x14ac:dyDescent="0.2">
      <c r="A46" t="str">
        <f>INDEX(Prioritization!$D:$D,MATCH($B46,Prioritization!$A:$A,0))</f>
        <v>1 - Scale-up: Saturation</v>
      </c>
      <c r="B46" t="s">
        <v>314</v>
      </c>
      <c r="C46" t="s">
        <v>476</v>
      </c>
      <c r="D46" t="s">
        <v>48</v>
      </c>
      <c r="E46" t="str">
        <f t="shared" si="0"/>
        <v>Blantyre District [mxqa3CDFmIT]|25-34|Male</v>
      </c>
      <c r="F46" s="33">
        <f>IF(LEFT($B46,4)="_Mil","",INDEX(Cascade!$AA:$AA,MATCH($E46,Cascade!$E:$E,0)))</f>
        <v>0.8469765199999999</v>
      </c>
      <c r="G46" s="38">
        <f>INDEX(Cascade!$BH:$BH,MATCH($E46,Cascade!$E:$E,0))</f>
        <v>127</v>
      </c>
      <c r="H46" s="38" t="str">
        <f>IF(OR($C46="01-09",$D46="Male"),"",INDEX(PMTCT!$AC:$AC,MATCH($E46,PMTCT!$E:$E,0)))</f>
        <v/>
      </c>
      <c r="I46" s="38" t="str">
        <f>IF(OR($C46="01-09",$D46="Male"),"",INDEX(PMTCT!$AS:$AS,MATCH($E46,PMTCT!$E:$E,0)))</f>
        <v/>
      </c>
      <c r="J46" s="38">
        <f>INDEX(TB!$P:$P,MATCH($E46,TB!$E:$E,0))</f>
        <v>15</v>
      </c>
      <c r="K46" s="38">
        <f>IF(OR($C46="01-09",$C46="10-14",$D46="Female"),"",INDEX(VMMC!$AA:$AA,MATCH($E46,VMMC!$E:$E,0)))</f>
        <v>11</v>
      </c>
      <c r="L46" s="38">
        <f t="shared" si="1"/>
        <v>101</v>
      </c>
      <c r="M46" s="33" t="str">
        <f t="shared" si="2"/>
        <v/>
      </c>
      <c r="N46" s="33" t="str">
        <f t="shared" si="3"/>
        <v/>
      </c>
      <c r="O46" s="33">
        <f t="shared" si="4"/>
        <v>0.11811023622047244</v>
      </c>
      <c r="P46" s="33">
        <f t="shared" si="5"/>
        <v>8.6614173228346455E-2</v>
      </c>
      <c r="Q46" s="33">
        <v>0.36125654450261802</v>
      </c>
      <c r="R46" s="33">
        <v>4.2500000000000003E-2</v>
      </c>
      <c r="S46" s="33">
        <v>2.1000000000000001E-2</v>
      </c>
      <c r="T46" s="33">
        <v>0.05</v>
      </c>
      <c r="U46" s="33">
        <f t="shared" si="27"/>
        <v>0.32051904604856307</v>
      </c>
      <c r="V46" s="33">
        <f t="shared" si="6"/>
        <v>1</v>
      </c>
      <c r="W46" s="218">
        <f t="shared" si="7"/>
        <v>46</v>
      </c>
      <c r="X46" s="33">
        <v>0.19700000000000001</v>
      </c>
      <c r="Y46" s="218">
        <f t="shared" si="7"/>
        <v>46</v>
      </c>
      <c r="Z46" s="218">
        <f t="shared" si="8"/>
        <v>188</v>
      </c>
      <c r="AA46" s="33">
        <v>0.12</v>
      </c>
      <c r="AB46" s="218">
        <f t="shared" si="9"/>
        <v>5</v>
      </c>
      <c r="AC46" s="218">
        <f t="shared" si="10"/>
        <v>37</v>
      </c>
      <c r="AD46" s="33">
        <v>0.02</v>
      </c>
      <c r="AE46" s="218">
        <f t="shared" si="11"/>
        <v>3</v>
      </c>
      <c r="AF46" s="218">
        <f t="shared" si="12"/>
        <v>147</v>
      </c>
      <c r="AG46" s="33">
        <v>0.02</v>
      </c>
      <c r="AH46" s="218">
        <f t="shared" si="13"/>
        <v>6</v>
      </c>
      <c r="AI46" s="218">
        <f t="shared" si="14"/>
        <v>294</v>
      </c>
      <c r="AJ46" s="33">
        <v>2.9000000000000001E-2</v>
      </c>
      <c r="AK46" s="218">
        <f t="shared" si="15"/>
        <v>41</v>
      </c>
      <c r="AL46" s="218">
        <f t="shared" si="16"/>
        <v>1373</v>
      </c>
      <c r="AM46" s="38">
        <f t="shared" si="17"/>
        <v>127</v>
      </c>
      <c r="AN46" s="38">
        <f t="shared" si="18"/>
        <v>127</v>
      </c>
      <c r="AO46" s="38">
        <f t="shared" si="19"/>
        <v>0</v>
      </c>
      <c r="AP46" s="38" t="str">
        <f>IF(OR($C46="01-09",$D46="Male"),"",INDEX(PMTCT!$AD:$AD,MATCH($E46,PMTCT!$E:$E,0)))</f>
        <v/>
      </c>
      <c r="AQ46" s="38" t="str">
        <f>IF(OR($C46="01-09",$D46="Male"),"",INDEX(PMTCT!$AT:$AT,MATCH($E46,PMTCT!$E:$E,0)))</f>
        <v/>
      </c>
      <c r="AR46" s="38">
        <f>INDEX(TB!$Q:$Q,MATCH($E46,TB!$E:$E,0))</f>
        <v>230</v>
      </c>
      <c r="AS46" s="38">
        <f>IF(OR($C46="01-09",$C46="10-14",$D46="Female"),"",INDEX(VMMC!$AB:$AB,MATCH($E46,VMMC!$E:$E,0)))</f>
        <v>3107</v>
      </c>
      <c r="AT46" s="38">
        <f>IF(OR($C46="01-09",$C46="10-14"),"",INDEX(PrEP!$Q:$Q,MATCH($E46,PrEP!$E:$E,0)))</f>
        <v>6134</v>
      </c>
      <c r="AU46" s="38">
        <f t="shared" si="20"/>
        <v>11510</v>
      </c>
      <c r="AV46" s="38">
        <f t="shared" si="21"/>
        <v>11637</v>
      </c>
      <c r="AW46" s="33">
        <f t="shared" si="22"/>
        <v>1.0913465669846181E-2</v>
      </c>
      <c r="AX46" s="38">
        <v>15993</v>
      </c>
      <c r="AY46" s="33">
        <f t="shared" si="29"/>
        <v>0.68</v>
      </c>
      <c r="AZ46" s="218">
        <f t="shared" si="24"/>
        <v>26868</v>
      </c>
      <c r="BA46" s="33">
        <v>0.64</v>
      </c>
      <c r="BB46" s="218">
        <f t="shared" si="26"/>
        <v>81</v>
      </c>
    </row>
    <row r="47" spans="1:54" x14ac:dyDescent="0.2">
      <c r="A47" t="str">
        <f>INDEX(Prioritization!$D:$D,MATCH($B47,Prioritization!$A:$A,0))</f>
        <v>1 - Scale-up: Saturation</v>
      </c>
      <c r="B47" t="s">
        <v>314</v>
      </c>
      <c r="C47" t="s">
        <v>477</v>
      </c>
      <c r="D47" t="s">
        <v>30</v>
      </c>
      <c r="E47" t="str">
        <f t="shared" si="0"/>
        <v>Blantyre District [mxqa3CDFmIT]|35-49|Female</v>
      </c>
      <c r="F47" s="33">
        <f>IF(LEFT($B47,4)="_Mil","",INDEX(Cascade!$AA:$AA,MATCH($E47,Cascade!$E:$E,0)))</f>
        <v>0.97917629800000006</v>
      </c>
      <c r="G47" s="38">
        <f>INDEX(Cascade!$BH:$BH,MATCH($E47,Cascade!$E:$E,0))</f>
        <v>1858</v>
      </c>
      <c r="H47" s="38">
        <f>IF(OR($C47="01-09",$D47="Male"),"",INDEX(PMTCT!$AC:$AC,MATCH($E47,PMTCT!$E:$E,0)))</f>
        <v>26</v>
      </c>
      <c r="I47" s="38">
        <f>IF(OR($C47="01-09",$D47="Male"),"",INDEX(PMTCT!$AS:$AS,MATCH($E47,PMTCT!$E:$E,0)))</f>
        <v>13</v>
      </c>
      <c r="J47" s="38">
        <f>INDEX(TB!$P:$P,MATCH($E47,TB!$E:$E,0))</f>
        <v>14</v>
      </c>
      <c r="K47" s="38" t="str">
        <f>IF(OR($C47="01-09",$C47="10-14",$D47="Female"),"",INDEX(VMMC!$AA:$AA,MATCH($E47,VMMC!$E:$E,0)))</f>
        <v/>
      </c>
      <c r="L47" s="38">
        <f t="shared" si="1"/>
        <v>1805</v>
      </c>
      <c r="M47" s="33">
        <f t="shared" si="2"/>
        <v>1.3993541442411194E-2</v>
      </c>
      <c r="N47" s="33">
        <f t="shared" si="3"/>
        <v>6.9967707212055972E-3</v>
      </c>
      <c r="O47" s="33">
        <f t="shared" si="4"/>
        <v>7.5349838536060282E-3</v>
      </c>
      <c r="P47" s="33" t="str">
        <f t="shared" si="5"/>
        <v/>
      </c>
      <c r="Q47" s="33">
        <v>0.31483611270845302</v>
      </c>
      <c r="R47" s="33">
        <v>2.5999999999999999E-2</v>
      </c>
      <c r="S47" s="33"/>
      <c r="T47" s="33">
        <v>0.05</v>
      </c>
      <c r="U47" s="33">
        <f t="shared" si="27"/>
        <v>0.58063859127432416</v>
      </c>
      <c r="V47" s="33">
        <f t="shared" si="6"/>
        <v>1</v>
      </c>
      <c r="W47" s="218">
        <f t="shared" si="7"/>
        <v>585</v>
      </c>
      <c r="X47" s="33">
        <v>0.30599999999999999</v>
      </c>
      <c r="Y47" s="218">
        <f t="shared" si="7"/>
        <v>585</v>
      </c>
      <c r="Z47" s="218">
        <f t="shared" si="8"/>
        <v>1327</v>
      </c>
      <c r="AA47" s="33">
        <v>0.12</v>
      </c>
      <c r="AB47" s="218">
        <f t="shared" si="9"/>
        <v>48</v>
      </c>
      <c r="AC47" s="218">
        <f t="shared" si="10"/>
        <v>352</v>
      </c>
      <c r="AD47" s="33">
        <v>0.02</v>
      </c>
      <c r="AE47" s="218" t="str">
        <f t="shared" si="11"/>
        <v/>
      </c>
      <c r="AF47" s="218" t="str">
        <f t="shared" si="12"/>
        <v/>
      </c>
      <c r="AG47" s="33">
        <v>0.02</v>
      </c>
      <c r="AH47" s="218">
        <f t="shared" si="13"/>
        <v>93</v>
      </c>
      <c r="AI47" s="218">
        <f t="shared" si="14"/>
        <v>4557</v>
      </c>
      <c r="AJ47" s="33">
        <v>5.2999999999999999E-2</v>
      </c>
      <c r="AK47" s="218">
        <f t="shared" si="15"/>
        <v>1079</v>
      </c>
      <c r="AL47" s="218">
        <f t="shared" si="16"/>
        <v>19279</v>
      </c>
      <c r="AM47" s="38">
        <f t="shared" si="17"/>
        <v>1858</v>
      </c>
      <c r="AN47" s="38">
        <f t="shared" si="18"/>
        <v>1858.0000000000002</v>
      </c>
      <c r="AO47" s="38">
        <f t="shared" si="19"/>
        <v>2.2737367544323206E-13</v>
      </c>
      <c r="AP47" s="38">
        <f>IF(OR($C47="01-09",$D47="Male"),"",INDEX(PMTCT!$AD:$AD,MATCH($E47,PMTCT!$E:$E,0)))</f>
        <v>1427</v>
      </c>
      <c r="AQ47" s="38">
        <f>IF(OR($C47="01-09",$D47="Male"),"",INDEX(PMTCT!$AT:$AT,MATCH($E47,PMTCT!$E:$E,0)))</f>
        <v>1414</v>
      </c>
      <c r="AR47" s="38">
        <f>INDEX(TB!$Q:$Q,MATCH($E47,TB!$E:$E,0))</f>
        <v>218</v>
      </c>
      <c r="AS47" s="38" t="str">
        <f>IF(OR($C47="01-09",$C47="10-14",$D47="Female"),"",INDEX(VMMC!$AB:$AB,MATCH($E47,VMMC!$E:$E,0)))</f>
        <v/>
      </c>
      <c r="AT47" s="38">
        <f>IF(OR($C47="01-09",$C47="10-14"),"",INDEX(PrEP!$Q:$Q,MATCH($E47,PrEP!$E:$E,0)))</f>
        <v>1348</v>
      </c>
      <c r="AU47" s="38">
        <f t="shared" si="20"/>
        <v>29922</v>
      </c>
      <c r="AV47" s="38">
        <f t="shared" si="21"/>
        <v>31780</v>
      </c>
      <c r="AW47" s="33">
        <f t="shared" si="22"/>
        <v>5.8464443045940853E-2</v>
      </c>
      <c r="AX47" s="38">
        <v>2827</v>
      </c>
      <c r="AY47" s="33">
        <f t="shared" si="29"/>
        <v>0.68</v>
      </c>
      <c r="AZ47" s="218">
        <f t="shared" si="24"/>
        <v>4749</v>
      </c>
      <c r="BA47" s="33">
        <v>0.64</v>
      </c>
      <c r="BB47" s="218">
        <f t="shared" si="26"/>
        <v>1189</v>
      </c>
    </row>
    <row r="48" spans="1:54" x14ac:dyDescent="0.2">
      <c r="A48" t="str">
        <f>INDEX(Prioritization!$D:$D,MATCH($B48,Prioritization!$A:$A,0))</f>
        <v>1 - Scale-up: Saturation</v>
      </c>
      <c r="B48" t="s">
        <v>314</v>
      </c>
      <c r="C48" t="s">
        <v>477</v>
      </c>
      <c r="D48" t="s">
        <v>48</v>
      </c>
      <c r="E48" t="str">
        <f t="shared" si="0"/>
        <v>Blantyre District [mxqa3CDFmIT]|35-49|Male</v>
      </c>
      <c r="F48" s="33">
        <f>IF(LEFT($B48,4)="_Mil","",INDEX(Cascade!$AA:$AA,MATCH($E48,Cascade!$E:$E,0)))</f>
        <v>0.90412988899999991</v>
      </c>
      <c r="G48" s="38">
        <f>INDEX(Cascade!$BH:$BH,MATCH($E48,Cascade!$E:$E,0))</f>
        <v>1878</v>
      </c>
      <c r="H48" s="38" t="str">
        <f>IF(OR($C48="01-09",$D48="Male"),"",INDEX(PMTCT!$AC:$AC,MATCH($E48,PMTCT!$E:$E,0)))</f>
        <v/>
      </c>
      <c r="I48" s="38" t="str">
        <f>IF(OR($C48="01-09",$D48="Male"),"",INDEX(PMTCT!$AS:$AS,MATCH($E48,PMTCT!$E:$E,0)))</f>
        <v/>
      </c>
      <c r="J48" s="38">
        <f>INDEX(TB!$P:$P,MATCH($E48,TB!$E:$E,0))</f>
        <v>22</v>
      </c>
      <c r="K48" s="38">
        <f>IF(OR($C48="01-09",$C48="10-14",$D48="Female"),"",INDEX(VMMC!$AA:$AA,MATCH($E48,VMMC!$E:$E,0)))</f>
        <v>20</v>
      </c>
      <c r="L48" s="38">
        <f t="shared" si="1"/>
        <v>1836</v>
      </c>
      <c r="M48" s="33" t="str">
        <f t="shared" si="2"/>
        <v/>
      </c>
      <c r="N48" s="33" t="str">
        <f t="shared" si="3"/>
        <v/>
      </c>
      <c r="O48" s="33">
        <f t="shared" si="4"/>
        <v>1.1714589989350373E-2</v>
      </c>
      <c r="P48" s="33">
        <f t="shared" si="5"/>
        <v>1.0649627263045794E-2</v>
      </c>
      <c r="Q48" s="33">
        <v>0.375</v>
      </c>
      <c r="R48" s="33">
        <v>4.2500000000000003E-2</v>
      </c>
      <c r="S48" s="33">
        <v>2.1000000000000001E-2</v>
      </c>
      <c r="T48" s="33">
        <v>0.05</v>
      </c>
      <c r="U48" s="33">
        <f t="shared" si="27"/>
        <v>0.48913578274760383</v>
      </c>
      <c r="V48" s="33">
        <f t="shared" si="6"/>
        <v>1</v>
      </c>
      <c r="W48" s="218">
        <f t="shared" si="7"/>
        <v>704</v>
      </c>
      <c r="X48" s="33">
        <v>0.249</v>
      </c>
      <c r="Y48" s="218">
        <f t="shared" si="7"/>
        <v>704</v>
      </c>
      <c r="Z48" s="218">
        <f t="shared" si="8"/>
        <v>2123</v>
      </c>
      <c r="AA48" s="33">
        <v>0.12</v>
      </c>
      <c r="AB48" s="218">
        <f t="shared" si="9"/>
        <v>80</v>
      </c>
      <c r="AC48" s="218">
        <f t="shared" si="10"/>
        <v>587</v>
      </c>
      <c r="AD48" s="33">
        <v>0.02</v>
      </c>
      <c r="AE48" s="218">
        <f t="shared" si="11"/>
        <v>39</v>
      </c>
      <c r="AF48" s="218">
        <f t="shared" si="12"/>
        <v>1911</v>
      </c>
      <c r="AG48" s="33">
        <v>0.02</v>
      </c>
      <c r="AH48" s="218">
        <f t="shared" si="13"/>
        <v>94</v>
      </c>
      <c r="AI48" s="218">
        <f t="shared" si="14"/>
        <v>4606</v>
      </c>
      <c r="AJ48" s="33">
        <v>5.5E-2</v>
      </c>
      <c r="AK48" s="218">
        <f t="shared" si="15"/>
        <v>919</v>
      </c>
      <c r="AL48" s="218">
        <f t="shared" si="16"/>
        <v>15790</v>
      </c>
      <c r="AM48" s="38">
        <f t="shared" si="17"/>
        <v>1878</v>
      </c>
      <c r="AN48" s="38">
        <f t="shared" si="18"/>
        <v>1877.9999999999998</v>
      </c>
      <c r="AO48" s="38">
        <f t="shared" si="19"/>
        <v>-2.2737367544323206E-13</v>
      </c>
      <c r="AP48" s="38" t="str">
        <f>IF(OR($C48="01-09",$D48="Male"),"",INDEX(PMTCT!$AD:$AD,MATCH($E48,PMTCT!$E:$E,0)))</f>
        <v/>
      </c>
      <c r="AQ48" s="38" t="str">
        <f>IF(OR($C48="01-09",$D48="Male"),"",INDEX(PMTCT!$AT:$AT,MATCH($E48,PMTCT!$E:$E,0)))</f>
        <v/>
      </c>
      <c r="AR48" s="38">
        <f>INDEX(TB!$Q:$Q,MATCH($E48,TB!$E:$E,0))</f>
        <v>346</v>
      </c>
      <c r="AS48" s="38">
        <f>IF(OR($C48="01-09",$C48="10-14",$D48="Female"),"",INDEX(VMMC!$AB:$AB,MATCH($E48,VMMC!$E:$E,0)))</f>
        <v>5624</v>
      </c>
      <c r="AT48" s="38">
        <f>IF(OR($C48="01-09",$C48="10-14"),"",INDEX(PrEP!$Q:$Q,MATCH($E48,PrEP!$E:$E,0)))</f>
        <v>1776</v>
      </c>
      <c r="AU48" s="38">
        <f t="shared" si="20"/>
        <v>32763.000000000004</v>
      </c>
      <c r="AV48" s="38">
        <f t="shared" si="21"/>
        <v>34641</v>
      </c>
      <c r="AW48" s="33">
        <f t="shared" si="22"/>
        <v>5.4213215553823496E-2</v>
      </c>
      <c r="AX48" s="38">
        <v>9947</v>
      </c>
      <c r="AY48" s="33">
        <f t="shared" si="29"/>
        <v>0.68</v>
      </c>
      <c r="AZ48" s="218">
        <f t="shared" si="24"/>
        <v>16711</v>
      </c>
      <c r="BA48" s="33">
        <v>0.64</v>
      </c>
      <c r="BB48" s="218">
        <f t="shared" si="26"/>
        <v>1202</v>
      </c>
    </row>
    <row r="49" spans="1:54" x14ac:dyDescent="0.2">
      <c r="A49" t="str">
        <f>INDEX(Prioritization!$D:$D,MATCH($B49,Prioritization!$A:$A,0))</f>
        <v>1 - Scale-up: Saturation</v>
      </c>
      <c r="B49" t="s">
        <v>314</v>
      </c>
      <c r="C49" t="s">
        <v>478</v>
      </c>
      <c r="D49" t="s">
        <v>30</v>
      </c>
      <c r="E49" t="str">
        <f t="shared" si="0"/>
        <v>Blantyre District [mxqa3CDFmIT]|50+|Female</v>
      </c>
      <c r="F49" s="33">
        <f>IF(LEFT($B49,4)="_Mil","",INDEX(Cascade!$AA:$AA,MATCH($E49,Cascade!$E:$E,0)))</f>
        <v>0.98584084500000002</v>
      </c>
      <c r="G49" s="38">
        <f>INDEX(Cascade!$BH:$BH,MATCH($E49,Cascade!$E:$E,0))</f>
        <v>882</v>
      </c>
      <c r="H49" s="38">
        <f>IF(OR($C49="01-09",$D49="Male"),"",INDEX(PMTCT!$AC:$AC,MATCH($E49,PMTCT!$E:$E,0)))</f>
        <v>1</v>
      </c>
      <c r="I49" s="38">
        <f>IF(OR($C49="01-09",$D49="Male"),"",INDEX(PMTCT!$AS:$AS,MATCH($E49,PMTCT!$E:$E,0)))</f>
        <v>0</v>
      </c>
      <c r="J49" s="38">
        <f>INDEX(TB!$P:$P,MATCH($E49,TB!$E:$E,0))</f>
        <v>5</v>
      </c>
      <c r="K49" s="38" t="str">
        <f>IF(OR($C49="01-09",$C49="10-14",$D49="Female"),"",INDEX(VMMC!$AA:$AA,MATCH($E49,VMMC!$E:$E,0)))</f>
        <v/>
      </c>
      <c r="L49" s="38">
        <f t="shared" si="1"/>
        <v>876</v>
      </c>
      <c r="M49" s="33">
        <f t="shared" si="2"/>
        <v>1.1337868480725624E-3</v>
      </c>
      <c r="N49" s="33">
        <f t="shared" si="3"/>
        <v>0</v>
      </c>
      <c r="O49" s="33">
        <f t="shared" si="4"/>
        <v>5.6689342403628117E-3</v>
      </c>
      <c r="P49" s="33" t="str">
        <f t="shared" si="5"/>
        <v/>
      </c>
      <c r="Q49" s="33">
        <v>0.15</v>
      </c>
      <c r="R49" s="33">
        <v>0.06</v>
      </c>
      <c r="S49" s="33"/>
      <c r="T49" s="33">
        <v>0.05</v>
      </c>
      <c r="U49" s="33">
        <f t="shared" si="27"/>
        <v>0.73319727891156461</v>
      </c>
      <c r="V49" s="33">
        <f t="shared" si="6"/>
        <v>1</v>
      </c>
      <c r="W49" s="218">
        <f t="shared" si="7"/>
        <v>132</v>
      </c>
      <c r="X49" s="33">
        <v>0.41</v>
      </c>
      <c r="Y49" s="218">
        <f t="shared" si="7"/>
        <v>132</v>
      </c>
      <c r="Z49" s="218">
        <f t="shared" si="8"/>
        <v>190</v>
      </c>
      <c r="AA49" s="33">
        <v>0.12</v>
      </c>
      <c r="AB49" s="218">
        <f t="shared" si="9"/>
        <v>53</v>
      </c>
      <c r="AC49" s="218">
        <f t="shared" si="10"/>
        <v>389</v>
      </c>
      <c r="AD49" s="33">
        <v>0.02</v>
      </c>
      <c r="AE49" s="218" t="str">
        <f t="shared" si="11"/>
        <v/>
      </c>
      <c r="AF49" s="218" t="str">
        <f t="shared" si="12"/>
        <v/>
      </c>
      <c r="AG49" s="33">
        <v>0.02</v>
      </c>
      <c r="AH49" s="218">
        <f t="shared" si="13"/>
        <v>44</v>
      </c>
      <c r="AI49" s="218">
        <f t="shared" si="14"/>
        <v>2156</v>
      </c>
      <c r="AJ49" s="33">
        <v>5.0999999999999997E-2</v>
      </c>
      <c r="AK49" s="218">
        <f t="shared" si="15"/>
        <v>647</v>
      </c>
      <c r="AL49" s="218">
        <f t="shared" si="16"/>
        <v>12039</v>
      </c>
      <c r="AM49" s="38">
        <f t="shared" si="17"/>
        <v>882</v>
      </c>
      <c r="AN49" s="38">
        <f t="shared" si="18"/>
        <v>882</v>
      </c>
      <c r="AO49" s="38">
        <f t="shared" si="19"/>
        <v>0</v>
      </c>
      <c r="AP49" s="38">
        <f>IF(OR($C49="01-09",$D49="Male"),"",INDEX(PMTCT!$AD:$AD,MATCH($E49,PMTCT!$E:$E,0)))</f>
        <v>38</v>
      </c>
      <c r="AQ49" s="38">
        <f>IF(OR($C49="01-09",$D49="Male"),"",INDEX(PMTCT!$AT:$AT,MATCH($E49,PMTCT!$E:$E,0)))</f>
        <v>38</v>
      </c>
      <c r="AR49" s="38">
        <f>INDEX(TB!$Q:$Q,MATCH($E49,TB!$E:$E,0))</f>
        <v>74</v>
      </c>
      <c r="AS49" s="38" t="str">
        <f>IF(OR($C49="01-09",$C49="10-14",$D49="Female"),"",INDEX(VMMC!$AB:$AB,MATCH($E49,VMMC!$E:$E,0)))</f>
        <v/>
      </c>
      <c r="AT49" s="38">
        <f>IF(OR($C49="01-09",$C49="10-14"),"",INDEX(PrEP!$Q:$Q,MATCH($E49,PrEP!$E:$E,0)))</f>
        <v>226</v>
      </c>
      <c r="AU49" s="38">
        <f t="shared" si="20"/>
        <v>15150.000000000002</v>
      </c>
      <c r="AV49" s="38">
        <f t="shared" si="21"/>
        <v>16032.000000000002</v>
      </c>
      <c r="AW49" s="33">
        <f t="shared" si="22"/>
        <v>5.5014970059880236E-2</v>
      </c>
      <c r="AX49" s="38">
        <v>977</v>
      </c>
      <c r="AY49" s="33">
        <f t="shared" si="23"/>
        <v>0</v>
      </c>
      <c r="AZ49" s="218">
        <f t="shared" si="24"/>
        <v>977</v>
      </c>
      <c r="BA49" s="33">
        <v>0.64</v>
      </c>
      <c r="BB49" s="218">
        <f t="shared" si="26"/>
        <v>564</v>
      </c>
    </row>
    <row r="50" spans="1:54" x14ac:dyDescent="0.2">
      <c r="A50" t="str">
        <f>INDEX(Prioritization!$D:$D,MATCH($B50,Prioritization!$A:$A,0))</f>
        <v>1 - Scale-up: Saturation</v>
      </c>
      <c r="B50" t="s">
        <v>314</v>
      </c>
      <c r="C50" t="s">
        <v>478</v>
      </c>
      <c r="D50" t="s">
        <v>48</v>
      </c>
      <c r="E50" t="str">
        <f t="shared" si="0"/>
        <v>Blantyre District [mxqa3CDFmIT]|50+|Male</v>
      </c>
      <c r="F50" s="33">
        <f>IF(LEFT($B50,4)="_Mil","",INDEX(Cascade!$AA:$AA,MATCH($E50,Cascade!$E:$E,0)))</f>
        <v>0.93427018299999998</v>
      </c>
      <c r="G50" s="38">
        <f>INDEX(Cascade!$BH:$BH,MATCH($E50,Cascade!$E:$E,0))</f>
        <v>724</v>
      </c>
      <c r="H50" s="38" t="str">
        <f>IF(OR($C50="01-09",$D50="Male"),"",INDEX(PMTCT!$AC:$AC,MATCH($E50,PMTCT!$E:$E,0)))</f>
        <v/>
      </c>
      <c r="I50" s="38" t="str">
        <f>IF(OR($C50="01-09",$D50="Male"),"",INDEX(PMTCT!$AS:$AS,MATCH($E50,PMTCT!$E:$E,0)))</f>
        <v/>
      </c>
      <c r="J50" s="38">
        <f>INDEX(TB!$P:$P,MATCH($E50,TB!$E:$E,0))</f>
        <v>8</v>
      </c>
      <c r="K50" s="38" t="str">
        <f>IF(OR($C50="01-09",$C50="10-14",$D50="Female"),"",INDEX(VMMC!$AA:$AA,MATCH($E50,VMMC!$E:$E,0)))</f>
        <v/>
      </c>
      <c r="L50" s="38">
        <f t="shared" si="1"/>
        <v>716</v>
      </c>
      <c r="M50" s="33" t="str">
        <f t="shared" si="2"/>
        <v/>
      </c>
      <c r="N50" s="33" t="str">
        <f t="shared" si="3"/>
        <v/>
      </c>
      <c r="O50" s="33">
        <f t="shared" si="4"/>
        <v>1.1049723756906077E-2</v>
      </c>
      <c r="P50" s="33">
        <f t="shared" si="5"/>
        <v>0</v>
      </c>
      <c r="Q50" s="33">
        <v>0.15</v>
      </c>
      <c r="R50" s="33">
        <v>0.06</v>
      </c>
      <c r="S50" s="33">
        <v>2.1000000000000001E-2</v>
      </c>
      <c r="T50" s="33">
        <v>0.05</v>
      </c>
      <c r="U50" s="33">
        <f t="shared" si="27"/>
        <v>0.70795027624309392</v>
      </c>
      <c r="V50" s="33">
        <f t="shared" si="6"/>
        <v>1</v>
      </c>
      <c r="W50" s="218">
        <f t="shared" si="7"/>
        <v>109</v>
      </c>
      <c r="X50" s="33">
        <v>0.311</v>
      </c>
      <c r="Y50" s="218">
        <f t="shared" si="7"/>
        <v>109</v>
      </c>
      <c r="Z50" s="218">
        <f t="shared" si="8"/>
        <v>241</v>
      </c>
      <c r="AA50" s="33">
        <v>0.12</v>
      </c>
      <c r="AB50" s="218">
        <f t="shared" si="9"/>
        <v>43</v>
      </c>
      <c r="AC50" s="218">
        <f t="shared" si="10"/>
        <v>315</v>
      </c>
      <c r="AD50" s="33">
        <v>0.02</v>
      </c>
      <c r="AE50" s="218">
        <f t="shared" si="11"/>
        <v>15</v>
      </c>
      <c r="AF50" s="218">
        <f t="shared" si="12"/>
        <v>735</v>
      </c>
      <c r="AG50" s="33">
        <v>0.02</v>
      </c>
      <c r="AH50" s="218">
        <f t="shared" si="13"/>
        <v>36</v>
      </c>
      <c r="AI50" s="218">
        <f t="shared" si="14"/>
        <v>1764</v>
      </c>
      <c r="AJ50" s="33">
        <v>5.3999999999999999E-2</v>
      </c>
      <c r="AK50" s="218">
        <f t="shared" si="15"/>
        <v>513</v>
      </c>
      <c r="AL50" s="218">
        <f t="shared" si="16"/>
        <v>8987</v>
      </c>
      <c r="AM50" s="38">
        <f t="shared" si="17"/>
        <v>724</v>
      </c>
      <c r="AN50" s="38">
        <f t="shared" si="18"/>
        <v>724</v>
      </c>
      <c r="AO50" s="38">
        <f t="shared" si="19"/>
        <v>0</v>
      </c>
      <c r="AP50" s="38" t="str">
        <f>IF(OR($C50="01-09",$D50="Male"),"",INDEX(PMTCT!$AD:$AD,MATCH($E50,PMTCT!$E:$E,0)))</f>
        <v/>
      </c>
      <c r="AQ50" s="38" t="str">
        <f>IF(OR($C50="01-09",$D50="Male"),"",INDEX(PMTCT!$AT:$AT,MATCH($E50,PMTCT!$E:$E,0)))</f>
        <v/>
      </c>
      <c r="AR50" s="38">
        <f>INDEX(TB!$Q:$Q,MATCH($E50,TB!$E:$E,0))</f>
        <v>117</v>
      </c>
      <c r="AS50" s="38" t="str">
        <f>IF(OR($C50="01-09",$C50="10-14",$D50="Female"),"",INDEX(VMMC!$AB:$AB,MATCH($E50,VMMC!$E:$E,0)))</f>
        <v/>
      </c>
      <c r="AT50" s="38">
        <f>IF(OR($C50="01-09",$C50="10-14"),"",INDEX(PrEP!$Q:$Q,MATCH($E50,PrEP!$E:$E,0)))</f>
        <v>334</v>
      </c>
      <c r="AU50" s="38">
        <f t="shared" si="20"/>
        <v>12493</v>
      </c>
      <c r="AV50" s="38">
        <f t="shared" si="21"/>
        <v>13217</v>
      </c>
      <c r="AW50" s="33">
        <f t="shared" si="22"/>
        <v>5.4777937504728758E-2</v>
      </c>
      <c r="AX50" s="38">
        <v>2021</v>
      </c>
      <c r="AY50" s="33">
        <f t="shared" si="23"/>
        <v>0</v>
      </c>
      <c r="AZ50" s="218">
        <f t="shared" si="24"/>
        <v>2021</v>
      </c>
      <c r="BA50" s="33">
        <v>0.64</v>
      </c>
      <c r="BB50" s="218">
        <f t="shared" si="26"/>
        <v>463</v>
      </c>
    </row>
    <row r="51" spans="1:54" x14ac:dyDescent="0.2">
      <c r="A51" t="str">
        <f>INDEX(Prioritization!$D:$D,MATCH($B51,Prioritization!$A:$A,0))</f>
        <v>1 - Scale-up: Saturation</v>
      </c>
      <c r="B51" t="s">
        <v>315</v>
      </c>
      <c r="C51" t="s">
        <v>473</v>
      </c>
      <c r="D51" t="s">
        <v>30</v>
      </c>
      <c r="E51" t="str">
        <f t="shared" si="0"/>
        <v>Chikwawa District [U8c0so51kT6]|01-09|Female</v>
      </c>
      <c r="F51" s="33">
        <f>IF(LEFT($B51,4)="_Mil","",INDEX(Cascade!$AA:$AA,MATCH($E51,Cascade!$E:$E,0)))</f>
        <v>0.83652184399999996</v>
      </c>
      <c r="G51" s="38">
        <f>INDEX(Cascade!$BH:$BH,MATCH($E51,Cascade!$E:$E,0))</f>
        <v>25</v>
      </c>
      <c r="H51" s="38" t="str">
        <f>IF(OR($C51="01-09",$D51="Male"),"",INDEX(PMTCT!$AC:$AC,MATCH($E51,PMTCT!$E:$E,0)))</f>
        <v/>
      </c>
      <c r="I51" s="38" t="str">
        <f>IF(OR($C51="01-09",$D51="Male"),"",INDEX(PMTCT!$AS:$AS,MATCH($E51,PMTCT!$E:$E,0)))</f>
        <v/>
      </c>
      <c r="J51" s="38">
        <f>INDEX(TB!$P:$P,MATCH($E51,TB!$E:$E,0))</f>
        <v>0</v>
      </c>
      <c r="K51" s="38" t="str">
        <f>IF(OR($C51="01-09",$C51="10-14",$D51="Female"),"",INDEX(VMMC!$AA:$AA,MATCH($E51,VMMC!$E:$E,0)))</f>
        <v/>
      </c>
      <c r="L51" s="38">
        <f t="shared" si="1"/>
        <v>25</v>
      </c>
      <c r="M51" s="33" t="str">
        <f t="shared" si="2"/>
        <v/>
      </c>
      <c r="N51" s="33" t="str">
        <f t="shared" si="3"/>
        <v/>
      </c>
      <c r="O51" s="33">
        <f t="shared" si="4"/>
        <v>0</v>
      </c>
      <c r="P51" s="33" t="str">
        <f t="shared" si="5"/>
        <v/>
      </c>
      <c r="Q51" s="33">
        <v>0.5</v>
      </c>
      <c r="R51" s="33"/>
      <c r="S51" s="33"/>
      <c r="T51" s="33"/>
      <c r="U51" s="33">
        <f t="shared" si="27"/>
        <v>0.5</v>
      </c>
      <c r="V51" s="33">
        <f t="shared" si="6"/>
        <v>1</v>
      </c>
      <c r="W51" s="218">
        <f t="shared" si="7"/>
        <v>13</v>
      </c>
      <c r="X51" s="33">
        <v>0.02</v>
      </c>
      <c r="Y51" s="218">
        <f t="shared" si="7"/>
        <v>13</v>
      </c>
      <c r="Z51" s="218">
        <f t="shared" si="8"/>
        <v>637</v>
      </c>
      <c r="AA51" s="33">
        <v>0.12</v>
      </c>
      <c r="AB51" s="218" t="str">
        <f t="shared" si="9"/>
        <v/>
      </c>
      <c r="AC51" s="218" t="str">
        <f t="shared" si="10"/>
        <v/>
      </c>
      <c r="AD51" s="33">
        <v>0.02</v>
      </c>
      <c r="AE51" s="218" t="str">
        <f t="shared" si="11"/>
        <v/>
      </c>
      <c r="AF51" s="218" t="str">
        <f t="shared" si="12"/>
        <v/>
      </c>
      <c r="AG51" s="33">
        <v>0.02</v>
      </c>
      <c r="AH51" s="218" t="str">
        <f t="shared" si="13"/>
        <v/>
      </c>
      <c r="AI51" s="218" t="str">
        <f t="shared" si="14"/>
        <v/>
      </c>
      <c r="AJ51" s="33">
        <v>1.2999999999999999E-2</v>
      </c>
      <c r="AK51" s="218">
        <f t="shared" si="15"/>
        <v>13</v>
      </c>
      <c r="AL51" s="218">
        <f t="shared" si="16"/>
        <v>987</v>
      </c>
      <c r="AM51" s="38">
        <f t="shared" si="17"/>
        <v>25</v>
      </c>
      <c r="AN51" s="38">
        <f t="shared" si="18"/>
        <v>26</v>
      </c>
      <c r="AO51" s="38">
        <f t="shared" si="19"/>
        <v>1</v>
      </c>
      <c r="AP51" s="38" t="str">
        <f>IF(OR($C51="01-09",$D51="Male"),"",INDEX(PMTCT!$AD:$AD,MATCH($E51,PMTCT!$E:$E,0)))</f>
        <v/>
      </c>
      <c r="AQ51" s="38" t="str">
        <f>IF(OR($C51="01-09",$D51="Male"),"",INDEX(PMTCT!$AT:$AT,MATCH($E51,PMTCT!$E:$E,0)))</f>
        <v/>
      </c>
      <c r="AR51" s="38">
        <f>INDEX(TB!$Q:$Q,MATCH($E51,TB!$E:$E,0))</f>
        <v>4</v>
      </c>
      <c r="AS51" s="38" t="str">
        <f>IF(OR($C51="01-09",$C51="10-14",$D51="Female"),"",INDEX(VMMC!$AB:$AB,MATCH($E51,VMMC!$E:$E,0)))</f>
        <v/>
      </c>
      <c r="AT51" s="38" t="str">
        <f>IF(OR($C51="01-09",$C51="10-14"),"",INDEX(PrEP!$Q:$Q,MATCH($E51,PrEP!$E:$E,0)))</f>
        <v/>
      </c>
      <c r="AU51" s="38">
        <f t="shared" si="20"/>
        <v>1628</v>
      </c>
      <c r="AV51" s="38">
        <f t="shared" si="21"/>
        <v>1654</v>
      </c>
      <c r="AW51" s="33">
        <f t="shared" si="22"/>
        <v>1.5719467956469165E-2</v>
      </c>
      <c r="AX51" s="38"/>
      <c r="AY51" s="33" t="str">
        <f t="shared" si="23"/>
        <v/>
      </c>
      <c r="AZ51" s="218" t="str">
        <f t="shared" si="24"/>
        <v/>
      </c>
      <c r="BA51" s="33" t="str">
        <f t="shared" si="25"/>
        <v/>
      </c>
      <c r="BB51" s="218" t="str">
        <f t="shared" si="26"/>
        <v/>
      </c>
    </row>
    <row r="52" spans="1:54" x14ac:dyDescent="0.2">
      <c r="A52" t="str">
        <f>INDEX(Prioritization!$D:$D,MATCH($B52,Prioritization!$A:$A,0))</f>
        <v>1 - Scale-up: Saturation</v>
      </c>
      <c r="B52" t="s">
        <v>315</v>
      </c>
      <c r="C52" t="s">
        <v>473</v>
      </c>
      <c r="D52" t="s">
        <v>48</v>
      </c>
      <c r="E52" t="str">
        <f t="shared" si="0"/>
        <v>Chikwawa District [U8c0so51kT6]|01-09|Male</v>
      </c>
      <c r="F52" s="33">
        <f>IF(LEFT($B52,4)="_Mil","",INDEX(Cascade!$AA:$AA,MATCH($E52,Cascade!$E:$E,0)))</f>
        <v>0.83666390499999999</v>
      </c>
      <c r="G52" s="38">
        <f>INDEX(Cascade!$BH:$BH,MATCH($E52,Cascade!$E:$E,0))</f>
        <v>5</v>
      </c>
      <c r="H52" s="38" t="str">
        <f>IF(OR($C52="01-09",$D52="Male"),"",INDEX(PMTCT!$AC:$AC,MATCH($E52,PMTCT!$E:$E,0)))</f>
        <v/>
      </c>
      <c r="I52" s="38" t="str">
        <f>IF(OR($C52="01-09",$D52="Male"),"",INDEX(PMTCT!$AS:$AS,MATCH($E52,PMTCT!$E:$E,0)))</f>
        <v/>
      </c>
      <c r="J52" s="38">
        <f>INDEX(TB!$P:$P,MATCH($E52,TB!$E:$E,0))</f>
        <v>0</v>
      </c>
      <c r="K52" s="38" t="str">
        <f>IF(OR($C52="01-09",$C52="10-14",$D52="Female"),"",INDEX(VMMC!$AA:$AA,MATCH($E52,VMMC!$E:$E,0)))</f>
        <v/>
      </c>
      <c r="L52" s="38">
        <f t="shared" si="1"/>
        <v>5</v>
      </c>
      <c r="M52" s="33" t="str">
        <f t="shared" si="2"/>
        <v/>
      </c>
      <c r="N52" s="33" t="str">
        <f t="shared" si="3"/>
        <v/>
      </c>
      <c r="O52" s="33">
        <f t="shared" si="4"/>
        <v>0</v>
      </c>
      <c r="P52" s="33" t="str">
        <f t="shared" si="5"/>
        <v/>
      </c>
      <c r="Q52" s="33">
        <v>0.5</v>
      </c>
      <c r="R52" s="33"/>
      <c r="S52" s="33"/>
      <c r="T52" s="33"/>
      <c r="U52" s="33">
        <f t="shared" si="27"/>
        <v>0.5</v>
      </c>
      <c r="V52" s="33">
        <f t="shared" si="6"/>
        <v>1</v>
      </c>
      <c r="W52" s="218">
        <f t="shared" si="7"/>
        <v>3</v>
      </c>
      <c r="X52" s="33">
        <v>2.9000000000000001E-2</v>
      </c>
      <c r="Y52" s="218">
        <f t="shared" si="7"/>
        <v>3</v>
      </c>
      <c r="Z52" s="218">
        <f t="shared" si="8"/>
        <v>100</v>
      </c>
      <c r="AA52" s="33">
        <v>0.12</v>
      </c>
      <c r="AB52" s="218" t="str">
        <f t="shared" si="9"/>
        <v/>
      </c>
      <c r="AC52" s="218" t="str">
        <f t="shared" si="10"/>
        <v/>
      </c>
      <c r="AD52" s="33">
        <v>0.02</v>
      </c>
      <c r="AE52" s="218" t="str">
        <f t="shared" si="11"/>
        <v/>
      </c>
      <c r="AF52" s="218" t="str">
        <f t="shared" si="12"/>
        <v/>
      </c>
      <c r="AG52" s="33">
        <v>0.02</v>
      </c>
      <c r="AH52" s="218" t="str">
        <f t="shared" si="13"/>
        <v/>
      </c>
      <c r="AI52" s="218" t="str">
        <f t="shared" si="14"/>
        <v/>
      </c>
      <c r="AJ52" s="33">
        <v>5.8999999999999999E-3</v>
      </c>
      <c r="AK52" s="218">
        <f t="shared" si="15"/>
        <v>3</v>
      </c>
      <c r="AL52" s="218">
        <f t="shared" si="16"/>
        <v>505</v>
      </c>
      <c r="AM52" s="38">
        <f t="shared" si="17"/>
        <v>5</v>
      </c>
      <c r="AN52" s="38">
        <f t="shared" si="18"/>
        <v>6</v>
      </c>
      <c r="AO52" s="38">
        <f t="shared" si="19"/>
        <v>1</v>
      </c>
      <c r="AP52" s="38" t="str">
        <f>IF(OR($C52="01-09",$D52="Male"),"",INDEX(PMTCT!$AD:$AD,MATCH($E52,PMTCT!$E:$E,0)))</f>
        <v/>
      </c>
      <c r="AQ52" s="38" t="str">
        <f>IF(OR($C52="01-09",$D52="Male"),"",INDEX(PMTCT!$AT:$AT,MATCH($E52,PMTCT!$E:$E,0)))</f>
        <v/>
      </c>
      <c r="AR52" s="38">
        <f>INDEX(TB!$Q:$Q,MATCH($E52,TB!$E:$E,0))</f>
        <v>4</v>
      </c>
      <c r="AS52" s="38" t="str">
        <f>IF(OR($C52="01-09",$C52="10-14",$D52="Female"),"",INDEX(VMMC!$AB:$AB,MATCH($E52,VMMC!$E:$E,0)))</f>
        <v/>
      </c>
      <c r="AT52" s="38" t="str">
        <f>IF(OR($C52="01-09",$C52="10-14"),"",INDEX(PrEP!$Q:$Q,MATCH($E52,PrEP!$E:$E,0)))</f>
        <v/>
      </c>
      <c r="AU52" s="38">
        <f t="shared" si="20"/>
        <v>609</v>
      </c>
      <c r="AV52" s="38">
        <f t="shared" si="21"/>
        <v>615</v>
      </c>
      <c r="AW52" s="33">
        <f t="shared" si="22"/>
        <v>9.7560975609756097E-3</v>
      </c>
      <c r="AX52" s="38"/>
      <c r="AY52" s="33" t="str">
        <f t="shared" si="23"/>
        <v/>
      </c>
      <c r="AZ52" s="218" t="str">
        <f t="shared" si="24"/>
        <v/>
      </c>
      <c r="BA52" s="33" t="str">
        <f t="shared" si="25"/>
        <v/>
      </c>
      <c r="BB52" s="218" t="str">
        <f t="shared" si="26"/>
        <v/>
      </c>
    </row>
    <row r="53" spans="1:54" x14ac:dyDescent="0.2">
      <c r="A53" t="str">
        <f>INDEX(Prioritization!$D:$D,MATCH($B53,Prioritization!$A:$A,0))</f>
        <v>1 - Scale-up: Saturation</v>
      </c>
      <c r="B53" t="s">
        <v>315</v>
      </c>
      <c r="C53" t="s">
        <v>474</v>
      </c>
      <c r="D53" t="s">
        <v>30</v>
      </c>
      <c r="E53" t="str">
        <f t="shared" si="0"/>
        <v>Chikwawa District [U8c0so51kT6]|10-14|Female</v>
      </c>
      <c r="F53" s="33">
        <f>IF(LEFT($B53,4)="_Mil","",INDEX(Cascade!$AA:$AA,MATCH($E53,Cascade!$E:$E,0)))</f>
        <v>0.85945853100000003</v>
      </c>
      <c r="G53" s="38">
        <f>INDEX(Cascade!$BH:$BH,MATCH($E53,Cascade!$E:$E,0))</f>
        <v>17</v>
      </c>
      <c r="H53" s="38">
        <f>IF(OR($C53="01-09",$D53="Male"),"",INDEX(PMTCT!$AC:$AC,MATCH($E53,PMTCT!$E:$E,0)))</f>
        <v>1</v>
      </c>
      <c r="I53" s="38">
        <f>IF(OR($C53="01-09",$D53="Male"),"",INDEX(PMTCT!$AS:$AS,MATCH($E53,PMTCT!$E:$E,0)))</f>
        <v>0</v>
      </c>
      <c r="J53" s="38">
        <f>INDEX(TB!$P:$P,MATCH($E53,TB!$E:$E,0))</f>
        <v>0</v>
      </c>
      <c r="K53" s="38" t="str">
        <f>IF(OR($C53="01-09",$C53="10-14",$D53="Female"),"",INDEX(VMMC!$AA:$AA,MATCH($E53,VMMC!$E:$E,0)))</f>
        <v/>
      </c>
      <c r="L53" s="38">
        <f t="shared" si="1"/>
        <v>16</v>
      </c>
      <c r="M53" s="33">
        <f t="shared" si="2"/>
        <v>5.8823529411764705E-2</v>
      </c>
      <c r="N53" s="33">
        <f t="shared" si="3"/>
        <v>0</v>
      </c>
      <c r="O53" s="33">
        <f t="shared" si="4"/>
        <v>0</v>
      </c>
      <c r="P53" s="33" t="str">
        <f t="shared" si="5"/>
        <v/>
      </c>
      <c r="Q53" s="33">
        <v>0.45454545454545497</v>
      </c>
      <c r="R53" s="33"/>
      <c r="S53" s="33"/>
      <c r="T53" s="33"/>
      <c r="U53" s="33">
        <f t="shared" si="27"/>
        <v>0.48663101604278036</v>
      </c>
      <c r="V53" s="33">
        <f t="shared" si="6"/>
        <v>1</v>
      </c>
      <c r="W53" s="218">
        <f t="shared" si="7"/>
        <v>8</v>
      </c>
      <c r="X53" s="33">
        <v>1.2E-2</v>
      </c>
      <c r="Y53" s="218">
        <f t="shared" si="7"/>
        <v>8</v>
      </c>
      <c r="Z53" s="218">
        <f t="shared" si="8"/>
        <v>659</v>
      </c>
      <c r="AA53" s="33">
        <v>0.12</v>
      </c>
      <c r="AB53" s="218" t="str">
        <f t="shared" si="9"/>
        <v/>
      </c>
      <c r="AC53" s="218" t="str">
        <f t="shared" si="10"/>
        <v/>
      </c>
      <c r="AD53" s="33">
        <v>0.02</v>
      </c>
      <c r="AE53" s="218" t="str">
        <f t="shared" si="11"/>
        <v/>
      </c>
      <c r="AF53" s="218" t="str">
        <f t="shared" si="12"/>
        <v/>
      </c>
      <c r="AG53" s="33">
        <v>0.02</v>
      </c>
      <c r="AH53" s="218" t="str">
        <f t="shared" si="13"/>
        <v/>
      </c>
      <c r="AI53" s="218" t="str">
        <f t="shared" si="14"/>
        <v/>
      </c>
      <c r="AJ53" s="33">
        <v>0.02</v>
      </c>
      <c r="AK53" s="218">
        <f t="shared" si="15"/>
        <v>8</v>
      </c>
      <c r="AL53" s="218">
        <f t="shared" si="16"/>
        <v>392</v>
      </c>
      <c r="AM53" s="38">
        <f t="shared" si="17"/>
        <v>17</v>
      </c>
      <c r="AN53" s="38">
        <f t="shared" si="18"/>
        <v>17</v>
      </c>
      <c r="AO53" s="38">
        <f t="shared" si="19"/>
        <v>0</v>
      </c>
      <c r="AP53" s="38">
        <f>IF(OR($C53="01-09",$D53="Male"),"",INDEX(PMTCT!$AD:$AD,MATCH($E53,PMTCT!$E:$E,0)))</f>
        <v>66</v>
      </c>
      <c r="AQ53" s="38">
        <f>IF(OR($C53="01-09",$D53="Male"),"",INDEX(PMTCT!$AT:$AT,MATCH($E53,PMTCT!$E:$E,0)))</f>
        <v>66</v>
      </c>
      <c r="AR53" s="38">
        <f>INDEX(TB!$Q:$Q,MATCH($E53,TB!$E:$E,0))</f>
        <v>2</v>
      </c>
      <c r="AS53" s="38" t="str">
        <f>IF(OR($C53="01-09",$C53="10-14",$D53="Female"),"",INDEX(VMMC!$AB:$AB,MATCH($E53,VMMC!$E:$E,0)))</f>
        <v/>
      </c>
      <c r="AT53" s="38" t="str">
        <f>IF(OR($C53="01-09",$C53="10-14"),"",INDEX(PrEP!$Q:$Q,MATCH($E53,PrEP!$E:$E,0)))</f>
        <v/>
      </c>
      <c r="AU53" s="38">
        <f t="shared" si="20"/>
        <v>1185</v>
      </c>
      <c r="AV53" s="38">
        <f t="shared" si="21"/>
        <v>1202</v>
      </c>
      <c r="AW53" s="33">
        <f t="shared" si="22"/>
        <v>1.4143094841930116E-2</v>
      </c>
      <c r="AX53" s="38"/>
      <c r="AY53" s="33" t="str">
        <f t="shared" si="23"/>
        <v/>
      </c>
      <c r="AZ53" s="218" t="str">
        <f t="shared" si="24"/>
        <v/>
      </c>
      <c r="BA53" s="33" t="str">
        <f t="shared" si="25"/>
        <v/>
      </c>
      <c r="BB53" s="218" t="str">
        <f t="shared" si="26"/>
        <v/>
      </c>
    </row>
    <row r="54" spans="1:54" x14ac:dyDescent="0.2">
      <c r="A54" t="str">
        <f>INDEX(Prioritization!$D:$D,MATCH($B54,Prioritization!$A:$A,0))</f>
        <v>1 - Scale-up: Saturation</v>
      </c>
      <c r="B54" t="s">
        <v>315</v>
      </c>
      <c r="C54" t="s">
        <v>474</v>
      </c>
      <c r="D54" t="s">
        <v>48</v>
      </c>
      <c r="E54" t="str">
        <f t="shared" si="0"/>
        <v>Chikwawa District [U8c0so51kT6]|10-14|Male</v>
      </c>
      <c r="F54" s="33">
        <f>IF(LEFT($B54,4)="_Mil","",INDEX(Cascade!$AA:$AA,MATCH($E54,Cascade!$E:$E,0)))</f>
        <v>0.85936718799999989</v>
      </c>
      <c r="G54" s="38">
        <f>INDEX(Cascade!$BH:$BH,MATCH($E54,Cascade!$E:$E,0))</f>
        <v>9</v>
      </c>
      <c r="H54" s="38" t="str">
        <f>IF(OR($C54="01-09",$D54="Male"),"",INDEX(PMTCT!$AC:$AC,MATCH($E54,PMTCT!$E:$E,0)))</f>
        <v/>
      </c>
      <c r="I54" s="38" t="str">
        <f>IF(OR($C54="01-09",$D54="Male"),"",INDEX(PMTCT!$AS:$AS,MATCH($E54,PMTCT!$E:$E,0)))</f>
        <v/>
      </c>
      <c r="J54" s="38">
        <f>INDEX(TB!$P:$P,MATCH($E54,TB!$E:$E,0))</f>
        <v>0</v>
      </c>
      <c r="K54" s="38" t="str">
        <f>IF(OR($C54="01-09",$C54="10-14",$D54="Female"),"",INDEX(VMMC!$AA:$AA,MATCH($E54,VMMC!$E:$E,0)))</f>
        <v/>
      </c>
      <c r="L54" s="38">
        <f t="shared" si="1"/>
        <v>9</v>
      </c>
      <c r="M54" s="33" t="str">
        <f t="shared" si="2"/>
        <v/>
      </c>
      <c r="N54" s="33" t="str">
        <f t="shared" si="3"/>
        <v/>
      </c>
      <c r="O54" s="33">
        <f t="shared" si="4"/>
        <v>0</v>
      </c>
      <c r="P54" s="33" t="str">
        <f t="shared" si="5"/>
        <v/>
      </c>
      <c r="Q54" s="33">
        <v>0.57333333333333303</v>
      </c>
      <c r="R54" s="33"/>
      <c r="S54" s="33"/>
      <c r="T54" s="33"/>
      <c r="U54" s="33">
        <f t="shared" si="27"/>
        <v>0.42666666666666697</v>
      </c>
      <c r="V54" s="33">
        <f t="shared" si="6"/>
        <v>1</v>
      </c>
      <c r="W54" s="218">
        <f t="shared" si="7"/>
        <v>5</v>
      </c>
      <c r="X54" s="33">
        <v>1.9E-2</v>
      </c>
      <c r="Y54" s="218">
        <f t="shared" si="7"/>
        <v>5</v>
      </c>
      <c r="Z54" s="218">
        <f t="shared" si="8"/>
        <v>258</v>
      </c>
      <c r="AA54" s="33">
        <v>0.12</v>
      </c>
      <c r="AB54" s="218" t="str">
        <f t="shared" si="9"/>
        <v/>
      </c>
      <c r="AC54" s="218" t="str">
        <f t="shared" si="10"/>
        <v/>
      </c>
      <c r="AD54" s="33">
        <v>0.02</v>
      </c>
      <c r="AE54" s="218" t="str">
        <f t="shared" si="11"/>
        <v/>
      </c>
      <c r="AF54" s="218" t="str">
        <f t="shared" si="12"/>
        <v/>
      </c>
      <c r="AG54" s="33">
        <v>0.02</v>
      </c>
      <c r="AH54" s="218" t="str">
        <f t="shared" si="13"/>
        <v/>
      </c>
      <c r="AI54" s="218" t="str">
        <f t="shared" si="14"/>
        <v/>
      </c>
      <c r="AJ54" s="33">
        <v>2.9000000000000001E-2</v>
      </c>
      <c r="AK54" s="218">
        <f t="shared" si="15"/>
        <v>4</v>
      </c>
      <c r="AL54" s="218">
        <f t="shared" si="16"/>
        <v>134</v>
      </c>
      <c r="AM54" s="38">
        <f t="shared" si="17"/>
        <v>9</v>
      </c>
      <c r="AN54" s="38">
        <f t="shared" si="18"/>
        <v>9</v>
      </c>
      <c r="AO54" s="38">
        <f t="shared" si="19"/>
        <v>0</v>
      </c>
      <c r="AP54" s="38" t="str">
        <f>IF(OR($C54="01-09",$D54="Male"),"",INDEX(PMTCT!$AD:$AD,MATCH($E54,PMTCT!$E:$E,0)))</f>
        <v/>
      </c>
      <c r="AQ54" s="38" t="str">
        <f>IF(OR($C54="01-09",$D54="Male"),"",INDEX(PMTCT!$AT:$AT,MATCH($E54,PMTCT!$E:$E,0)))</f>
        <v/>
      </c>
      <c r="AR54" s="38">
        <f>INDEX(TB!$Q:$Q,MATCH($E54,TB!$E:$E,0))</f>
        <v>2</v>
      </c>
      <c r="AS54" s="38" t="str">
        <f>IF(OR($C54="01-09",$C54="10-14",$D54="Female"),"",INDEX(VMMC!$AB:$AB,MATCH($E54,VMMC!$E:$E,0)))</f>
        <v/>
      </c>
      <c r="AT54" s="38" t="str">
        <f>IF(OR($C54="01-09",$C54="10-14"),"",INDEX(PrEP!$Q:$Q,MATCH($E54,PrEP!$E:$E,0)))</f>
        <v/>
      </c>
      <c r="AU54" s="38">
        <f t="shared" si="20"/>
        <v>394.00000000000006</v>
      </c>
      <c r="AV54" s="38">
        <f t="shared" si="21"/>
        <v>403.00000000000006</v>
      </c>
      <c r="AW54" s="33">
        <f t="shared" si="22"/>
        <v>2.2332506203473941E-2</v>
      </c>
      <c r="AX54" s="38"/>
      <c r="AY54" s="33" t="str">
        <f t="shared" si="23"/>
        <v/>
      </c>
      <c r="AZ54" s="218" t="str">
        <f t="shared" si="24"/>
        <v/>
      </c>
      <c r="BA54" s="33" t="str">
        <f t="shared" si="25"/>
        <v/>
      </c>
      <c r="BB54" s="218" t="str">
        <f t="shared" si="26"/>
        <v/>
      </c>
    </row>
    <row r="55" spans="1:54" x14ac:dyDescent="0.2">
      <c r="A55" t="str">
        <f>INDEX(Prioritization!$D:$D,MATCH($B55,Prioritization!$A:$A,0))</f>
        <v>1 - Scale-up: Saturation</v>
      </c>
      <c r="B55" t="s">
        <v>315</v>
      </c>
      <c r="C55" t="s">
        <v>475</v>
      </c>
      <c r="D55" t="s">
        <v>30</v>
      </c>
      <c r="E55" t="str">
        <f t="shared" si="0"/>
        <v>Chikwawa District [U8c0so51kT6]|15-24|Female</v>
      </c>
      <c r="F55" s="33">
        <f>IF(LEFT($B55,4)="_Mil","",INDEX(Cascade!$AA:$AA,MATCH($E55,Cascade!$E:$E,0)))</f>
        <v>0.95003399699999991</v>
      </c>
      <c r="G55" s="38">
        <f>INDEX(Cascade!$BH:$BH,MATCH($E55,Cascade!$E:$E,0))</f>
        <v>274</v>
      </c>
      <c r="H55" s="38">
        <f>IF(OR($C55="01-09",$D55="Male"),"",INDEX(PMTCT!$AC:$AC,MATCH($E55,PMTCT!$E:$E,0)))</f>
        <v>93</v>
      </c>
      <c r="I55" s="38">
        <f>IF(OR($C55="01-09",$D55="Male"),"",INDEX(PMTCT!$AS:$AS,MATCH($E55,PMTCT!$E:$E,0)))</f>
        <v>46</v>
      </c>
      <c r="J55" s="38">
        <f>INDEX(TB!$P:$P,MATCH($E55,TB!$E:$E,0))</f>
        <v>2</v>
      </c>
      <c r="K55" s="38" t="str">
        <f>IF(OR($C55="01-09",$C55="10-14",$D55="Female"),"",INDEX(VMMC!$AA:$AA,MATCH($E55,VMMC!$E:$E,0)))</f>
        <v/>
      </c>
      <c r="L55" s="38">
        <f t="shared" si="1"/>
        <v>133</v>
      </c>
      <c r="M55" s="33">
        <f t="shared" si="2"/>
        <v>0.33941605839416056</v>
      </c>
      <c r="N55" s="33">
        <f t="shared" si="3"/>
        <v>0.16788321167883211</v>
      </c>
      <c r="O55" s="33">
        <f t="shared" si="4"/>
        <v>7.2992700729927005E-3</v>
      </c>
      <c r="P55" s="33" t="str">
        <f t="shared" si="5"/>
        <v/>
      </c>
      <c r="Q55" s="33">
        <v>0.25</v>
      </c>
      <c r="R55" s="33">
        <v>7.0000000000000007E-2</v>
      </c>
      <c r="S55" s="33">
        <v>2.75E-2</v>
      </c>
      <c r="T55" s="33">
        <v>0.05</v>
      </c>
      <c r="U55" s="33">
        <f t="shared" si="27"/>
        <v>8.7901459854014541E-2</v>
      </c>
      <c r="V55" s="33">
        <f t="shared" si="6"/>
        <v>1</v>
      </c>
      <c r="W55" s="218">
        <f t="shared" si="7"/>
        <v>69</v>
      </c>
      <c r="X55" s="33">
        <v>0.16800000000000001</v>
      </c>
      <c r="Y55" s="218">
        <f t="shared" si="7"/>
        <v>69</v>
      </c>
      <c r="Z55" s="218">
        <f t="shared" si="8"/>
        <v>342</v>
      </c>
      <c r="AA55" s="33">
        <v>0.12</v>
      </c>
      <c r="AB55" s="218">
        <f t="shared" si="9"/>
        <v>19</v>
      </c>
      <c r="AC55" s="218">
        <f t="shared" si="10"/>
        <v>139</v>
      </c>
      <c r="AD55" s="33">
        <v>0.02</v>
      </c>
      <c r="AE55" s="218">
        <f t="shared" si="11"/>
        <v>8</v>
      </c>
      <c r="AF55" s="218">
        <f t="shared" si="12"/>
        <v>392</v>
      </c>
      <c r="AG55" s="33">
        <v>0.02</v>
      </c>
      <c r="AH55" s="218">
        <f t="shared" si="13"/>
        <v>14</v>
      </c>
      <c r="AI55" s="218">
        <f t="shared" si="14"/>
        <v>686</v>
      </c>
      <c r="AJ55" s="33">
        <v>1.7000000000000001E-2</v>
      </c>
      <c r="AK55" s="218">
        <f t="shared" si="15"/>
        <v>24</v>
      </c>
      <c r="AL55" s="218">
        <f t="shared" si="16"/>
        <v>1388</v>
      </c>
      <c r="AM55" s="38">
        <f t="shared" si="17"/>
        <v>274</v>
      </c>
      <c r="AN55" s="38">
        <f t="shared" si="18"/>
        <v>275</v>
      </c>
      <c r="AO55" s="38">
        <f t="shared" si="19"/>
        <v>1</v>
      </c>
      <c r="AP55" s="38">
        <f>IF(OR($C55="01-09",$D55="Male"),"",INDEX(PMTCT!$AD:$AD,MATCH($E55,PMTCT!$E:$E,0)))</f>
        <v>11584</v>
      </c>
      <c r="AQ55" s="38">
        <f>IF(OR($C55="01-09",$D55="Male"),"",INDEX(PMTCT!$AT:$AT,MATCH($E55,PMTCT!$E:$E,0)))</f>
        <v>11538</v>
      </c>
      <c r="AR55" s="38">
        <f>INDEX(TB!$Q:$Q,MATCH($E55,TB!$E:$E,0))</f>
        <v>24</v>
      </c>
      <c r="AS55" s="38" t="str">
        <f>IF(OR($C55="01-09",$C55="10-14",$D55="Female"),"",INDEX(VMMC!$AB:$AB,MATCH($E55,VMMC!$E:$E,0)))</f>
        <v/>
      </c>
      <c r="AT55" s="38">
        <f>IF(OR($C55="01-09",$C55="10-14"),"",INDEX(PrEP!$Q:$Q,MATCH($E55,PrEP!$E:$E,0)))</f>
        <v>412</v>
      </c>
      <c r="AU55" s="38">
        <f t="shared" si="20"/>
        <v>26505</v>
      </c>
      <c r="AV55" s="38">
        <f t="shared" si="21"/>
        <v>26779.999999999996</v>
      </c>
      <c r="AW55" s="33">
        <f t="shared" si="22"/>
        <v>1.0268857356235998E-2</v>
      </c>
      <c r="AX55" s="38">
        <v>11807</v>
      </c>
      <c r="AY55" s="33">
        <f t="shared" ref="AY55:AY60" si="30">IF(OR($C55="01-09",SUM($AX55)=0),"",68%)</f>
        <v>0.68</v>
      </c>
      <c r="AZ55" s="218">
        <f t="shared" si="24"/>
        <v>19836</v>
      </c>
      <c r="BA55" s="33">
        <v>0.56999999999999995</v>
      </c>
      <c r="BB55" s="218">
        <f t="shared" si="26"/>
        <v>157</v>
      </c>
    </row>
    <row r="56" spans="1:54" x14ac:dyDescent="0.2">
      <c r="A56" t="str">
        <f>INDEX(Prioritization!$D:$D,MATCH($B56,Prioritization!$A:$A,0))</f>
        <v>1 - Scale-up: Saturation</v>
      </c>
      <c r="B56" t="s">
        <v>315</v>
      </c>
      <c r="C56" t="s">
        <v>475</v>
      </c>
      <c r="D56" t="s">
        <v>48</v>
      </c>
      <c r="E56" t="str">
        <f t="shared" si="0"/>
        <v>Chikwawa District [U8c0so51kT6]|15-24|Male</v>
      </c>
      <c r="F56" s="33">
        <f>IF(LEFT($B56,4)="_Mil","",INDEX(Cascade!$AA:$AA,MATCH($E56,Cascade!$E:$E,0)))</f>
        <v>0.92118114299999987</v>
      </c>
      <c r="G56" s="38">
        <f>INDEX(Cascade!$BH:$BH,MATCH($E56,Cascade!$E:$E,0))</f>
        <v>157</v>
      </c>
      <c r="H56" s="38" t="str">
        <f>IF(OR($C56="01-09",$D56="Male"),"",INDEX(PMTCT!$AC:$AC,MATCH($E56,PMTCT!$E:$E,0)))</f>
        <v/>
      </c>
      <c r="I56" s="38" t="str">
        <f>IF(OR($C56="01-09",$D56="Male"),"",INDEX(PMTCT!$AS:$AS,MATCH($E56,PMTCT!$E:$E,0)))</f>
        <v/>
      </c>
      <c r="J56" s="38">
        <f>INDEX(TB!$P:$P,MATCH($E56,TB!$E:$E,0))</f>
        <v>2</v>
      </c>
      <c r="K56" s="38">
        <f>IF(OR($C56="01-09",$C56="10-14",$D56="Female"),"",INDEX(VMMC!$AA:$AA,MATCH($E56,VMMC!$E:$E,0)))</f>
        <v>13</v>
      </c>
      <c r="L56" s="38">
        <f t="shared" si="1"/>
        <v>142</v>
      </c>
      <c r="M56" s="33" t="str">
        <f t="shared" si="2"/>
        <v/>
      </c>
      <c r="N56" s="33" t="str">
        <f t="shared" si="3"/>
        <v/>
      </c>
      <c r="O56" s="33">
        <f t="shared" si="4"/>
        <v>1.2738853503184714E-2</v>
      </c>
      <c r="P56" s="33">
        <f t="shared" si="5"/>
        <v>8.2802547770700632E-2</v>
      </c>
      <c r="Q56" s="33">
        <v>0.321678321678322</v>
      </c>
      <c r="R56" s="33">
        <v>0.12</v>
      </c>
      <c r="S56" s="33">
        <v>7.0000000000000007E-2</v>
      </c>
      <c r="T56" s="33">
        <v>0.05</v>
      </c>
      <c r="U56" s="33">
        <f t="shared" si="27"/>
        <v>0.34278027704779257</v>
      </c>
      <c r="V56" s="33">
        <f t="shared" si="6"/>
        <v>1</v>
      </c>
      <c r="W56" s="218">
        <f t="shared" si="7"/>
        <v>51</v>
      </c>
      <c r="X56" s="33">
        <v>8.3000000000000004E-2</v>
      </c>
      <c r="Y56" s="218">
        <f t="shared" si="7"/>
        <v>51</v>
      </c>
      <c r="Z56" s="218">
        <f t="shared" si="8"/>
        <v>563</v>
      </c>
      <c r="AA56" s="33">
        <v>0.12</v>
      </c>
      <c r="AB56" s="218">
        <f t="shared" si="9"/>
        <v>19</v>
      </c>
      <c r="AC56" s="218">
        <f t="shared" si="10"/>
        <v>139</v>
      </c>
      <c r="AD56" s="33">
        <v>0.02</v>
      </c>
      <c r="AE56" s="218">
        <f t="shared" si="11"/>
        <v>11</v>
      </c>
      <c r="AF56" s="218">
        <f t="shared" si="12"/>
        <v>539</v>
      </c>
      <c r="AG56" s="33">
        <v>0.02</v>
      </c>
      <c r="AH56" s="218">
        <f t="shared" si="13"/>
        <v>8</v>
      </c>
      <c r="AI56" s="218">
        <f t="shared" si="14"/>
        <v>392</v>
      </c>
      <c r="AJ56" s="33">
        <v>8.6E-3</v>
      </c>
      <c r="AK56" s="218">
        <f t="shared" si="15"/>
        <v>54</v>
      </c>
      <c r="AL56" s="218">
        <f t="shared" si="16"/>
        <v>6225</v>
      </c>
      <c r="AM56" s="38">
        <f t="shared" si="17"/>
        <v>157</v>
      </c>
      <c r="AN56" s="38">
        <f t="shared" si="18"/>
        <v>158</v>
      </c>
      <c r="AO56" s="38">
        <f t="shared" si="19"/>
        <v>1</v>
      </c>
      <c r="AP56" s="38" t="str">
        <f>IF(OR($C56="01-09",$D56="Male"),"",INDEX(PMTCT!$AD:$AD,MATCH($E56,PMTCT!$E:$E,0)))</f>
        <v/>
      </c>
      <c r="AQ56" s="38" t="str">
        <f>IF(OR($C56="01-09",$D56="Male"),"",INDEX(PMTCT!$AT:$AT,MATCH($E56,PMTCT!$E:$E,0)))</f>
        <v/>
      </c>
      <c r="AR56" s="38">
        <f>INDEX(TB!$Q:$Q,MATCH($E56,TB!$E:$E,0))</f>
        <v>37</v>
      </c>
      <c r="AS56" s="38">
        <f>IF(OR($C56="01-09",$C56="10-14",$D56="Female"),"",INDEX(VMMC!$AB:$AB,MATCH($E56,VMMC!$E:$E,0)))</f>
        <v>3685</v>
      </c>
      <c r="AT56" s="38">
        <f>IF(OR($C56="01-09",$C56="10-14"),"",INDEX(PrEP!$Q:$Q,MATCH($E56,PrEP!$E:$E,0)))</f>
        <v>506</v>
      </c>
      <c r="AU56" s="38">
        <f t="shared" si="20"/>
        <v>12086</v>
      </c>
      <c r="AV56" s="38">
        <f t="shared" si="21"/>
        <v>12244</v>
      </c>
      <c r="AW56" s="33">
        <f t="shared" si="22"/>
        <v>1.2904279647174126E-2</v>
      </c>
      <c r="AX56" s="38">
        <v>7802</v>
      </c>
      <c r="AY56" s="33">
        <f t="shared" si="30"/>
        <v>0.68</v>
      </c>
      <c r="AZ56" s="218">
        <f t="shared" si="24"/>
        <v>13107</v>
      </c>
      <c r="BA56" s="33">
        <v>0.56999999999999995</v>
      </c>
      <c r="BB56" s="218">
        <f t="shared" si="26"/>
        <v>90</v>
      </c>
    </row>
    <row r="57" spans="1:54" x14ac:dyDescent="0.2">
      <c r="A57" t="str">
        <f>INDEX(Prioritization!$D:$D,MATCH($B57,Prioritization!$A:$A,0))</f>
        <v>1 - Scale-up: Saturation</v>
      </c>
      <c r="B57" t="s">
        <v>315</v>
      </c>
      <c r="C57" t="s">
        <v>476</v>
      </c>
      <c r="D57" t="s">
        <v>30</v>
      </c>
      <c r="E57" t="str">
        <f t="shared" si="0"/>
        <v>Chikwawa District [U8c0so51kT6]|25-34|Female</v>
      </c>
      <c r="F57" s="33">
        <f>IF(LEFT($B57,4)="_Mil","",INDEX(Cascade!$AA:$AA,MATCH($E57,Cascade!$E:$E,0)))</f>
        <v>0.97356952699999999</v>
      </c>
      <c r="G57" s="38">
        <f>INDEX(Cascade!$BH:$BH,MATCH($E57,Cascade!$E:$E,0))</f>
        <v>351</v>
      </c>
      <c r="H57" s="38" t="e">
        <f>IF(OR($C57="01-09",$D57="Male"),"",INDEX(PMTCT!$AC:$AC,MATCH($E57,PMTCT!$E:$E,0)))</f>
        <v>#N/A</v>
      </c>
      <c r="I57" s="38" t="e">
        <f>IF(OR($C57="01-09",$D57="Male"),"",INDEX(PMTCT!$AS:$AS,MATCH($E57,PMTCT!$E:$E,0)))</f>
        <v>#N/A</v>
      </c>
      <c r="J57" s="38">
        <f>INDEX(TB!$P:$P,MATCH($E57,TB!$E:$E,0))</f>
        <v>2</v>
      </c>
      <c r="K57" s="38" t="str">
        <f>IF(OR($C57="01-09",$C57="10-14",$D57="Female"),"",INDEX(VMMC!$AA:$AA,MATCH($E57,VMMC!$E:$E,0)))</f>
        <v/>
      </c>
      <c r="L57" s="38" t="e">
        <f t="shared" si="1"/>
        <v>#N/A</v>
      </c>
      <c r="M57" s="33" t="e">
        <f t="shared" si="2"/>
        <v>#N/A</v>
      </c>
      <c r="N57" s="33" t="e">
        <f t="shared" si="3"/>
        <v>#N/A</v>
      </c>
      <c r="O57" s="33">
        <f t="shared" si="4"/>
        <v>5.6980056980056983E-3</v>
      </c>
      <c r="P57" s="33" t="str">
        <f t="shared" si="5"/>
        <v/>
      </c>
      <c r="Q57" s="33">
        <v>0.25</v>
      </c>
      <c r="R57" s="33">
        <v>7.0000000000000007E-2</v>
      </c>
      <c r="S57" s="33">
        <v>2.7E-2</v>
      </c>
      <c r="T57" s="33">
        <v>0.05</v>
      </c>
      <c r="U57" s="33" t="e">
        <f t="shared" si="27"/>
        <v>#N/A</v>
      </c>
      <c r="V57" s="33" t="e">
        <f t="shared" si="6"/>
        <v>#N/A</v>
      </c>
      <c r="W57" s="218">
        <f t="shared" si="7"/>
        <v>88</v>
      </c>
      <c r="X57" s="33">
        <v>0.161</v>
      </c>
      <c r="Y57" s="218">
        <f t="shared" si="7"/>
        <v>88</v>
      </c>
      <c r="Z57" s="218">
        <f t="shared" si="8"/>
        <v>459</v>
      </c>
      <c r="AA57" s="33">
        <v>0.12</v>
      </c>
      <c r="AB57" s="218">
        <f t="shared" si="9"/>
        <v>25</v>
      </c>
      <c r="AC57" s="218">
        <f t="shared" si="10"/>
        <v>183</v>
      </c>
      <c r="AD57" s="33">
        <v>0.02</v>
      </c>
      <c r="AE57" s="218">
        <f t="shared" si="11"/>
        <v>9</v>
      </c>
      <c r="AF57" s="218">
        <f t="shared" si="12"/>
        <v>441</v>
      </c>
      <c r="AG57" s="33">
        <v>0.02</v>
      </c>
      <c r="AH57" s="218">
        <f t="shared" si="13"/>
        <v>18</v>
      </c>
      <c r="AI57" s="218">
        <f t="shared" si="14"/>
        <v>882</v>
      </c>
      <c r="AJ57" s="33">
        <v>2.1999999999999999E-2</v>
      </c>
      <c r="AK57" s="218" t="e">
        <f t="shared" si="15"/>
        <v>#N/A</v>
      </c>
      <c r="AL57" s="218" t="e">
        <f t="shared" si="16"/>
        <v>#N/A</v>
      </c>
      <c r="AM57" s="38">
        <f t="shared" si="17"/>
        <v>351</v>
      </c>
      <c r="AN57" s="38" t="str">
        <f t="shared" si="18"/>
        <v/>
      </c>
      <c r="AO57" s="38" t="e">
        <f t="shared" si="19"/>
        <v>#VALUE!</v>
      </c>
      <c r="AP57" s="38" t="e">
        <f>IF(OR($C57="01-09",$D57="Male"),"",INDEX(PMTCT!$AD:$AD,MATCH($E57,PMTCT!$E:$E,0)))</f>
        <v>#N/A</v>
      </c>
      <c r="AQ57" s="38" t="e">
        <f>IF(OR($C57="01-09",$D57="Male"),"",INDEX(PMTCT!$AT:$AT,MATCH($E57,PMTCT!$E:$E,0)))</f>
        <v>#N/A</v>
      </c>
      <c r="AR57" s="38">
        <f>INDEX(TB!$Q:$Q,MATCH($E57,TB!$E:$E,0))</f>
        <v>24</v>
      </c>
      <c r="AS57" s="38" t="str">
        <f>IF(OR($C57="01-09",$C57="10-14",$D57="Female"),"",INDEX(VMMC!$AB:$AB,MATCH($E57,VMMC!$E:$E,0)))</f>
        <v/>
      </c>
      <c r="AT57" s="38">
        <f>IF(OR($C57="01-09",$C57="10-14"),"",INDEX(PrEP!$Q:$Q,MATCH($E57,PrEP!$E:$E,0)))</f>
        <v>1084</v>
      </c>
      <c r="AU57" s="38" t="str">
        <f t="shared" si="20"/>
        <v/>
      </c>
      <c r="AV57" s="38" t="str">
        <f t="shared" si="21"/>
        <v/>
      </c>
      <c r="AW57" s="33" t="str">
        <f t="shared" si="22"/>
        <v/>
      </c>
      <c r="AX57" s="38">
        <v>8343</v>
      </c>
      <c r="AY57" s="33">
        <f t="shared" si="30"/>
        <v>0.68</v>
      </c>
      <c r="AZ57" s="218">
        <f t="shared" si="24"/>
        <v>14016</v>
      </c>
      <c r="BA57" s="33">
        <v>0.56999999999999995</v>
      </c>
      <c r="BB57" s="218" t="str">
        <f t="shared" si="26"/>
        <v/>
      </c>
    </row>
    <row r="58" spans="1:54" x14ac:dyDescent="0.2">
      <c r="A58" t="str">
        <f>INDEX(Prioritization!$D:$D,MATCH($B58,Prioritization!$A:$A,0))</f>
        <v>1 - Scale-up: Saturation</v>
      </c>
      <c r="B58" t="s">
        <v>315</v>
      </c>
      <c r="C58" t="s">
        <v>476</v>
      </c>
      <c r="D58" t="s">
        <v>48</v>
      </c>
      <c r="E58" t="str">
        <f t="shared" si="0"/>
        <v>Chikwawa District [U8c0so51kT6]|25-34|Male</v>
      </c>
      <c r="F58" s="33">
        <f>IF(LEFT($B58,4)="_Mil","",INDEX(Cascade!$AA:$AA,MATCH($E58,Cascade!$E:$E,0)))</f>
        <v>0.89722069799999993</v>
      </c>
      <c r="G58" s="38">
        <f>INDEX(Cascade!$BH:$BH,MATCH($E58,Cascade!$E:$E,0))</f>
        <v>93</v>
      </c>
      <c r="H58" s="38" t="str">
        <f>IF(OR($C58="01-09",$D58="Male"),"",INDEX(PMTCT!$AC:$AC,MATCH($E58,PMTCT!$E:$E,0)))</f>
        <v/>
      </c>
      <c r="I58" s="38" t="str">
        <f>IF(OR($C58="01-09",$D58="Male"),"",INDEX(PMTCT!$AS:$AS,MATCH($E58,PMTCT!$E:$E,0)))</f>
        <v/>
      </c>
      <c r="J58" s="38">
        <f>INDEX(TB!$P:$P,MATCH($E58,TB!$E:$E,0))</f>
        <v>2</v>
      </c>
      <c r="K58" s="38">
        <f>IF(OR($C58="01-09",$C58="10-14",$D58="Female"),"",INDEX(VMMC!$AA:$AA,MATCH($E58,VMMC!$E:$E,0)))</f>
        <v>0</v>
      </c>
      <c r="L58" s="38">
        <f t="shared" si="1"/>
        <v>91</v>
      </c>
      <c r="M58" s="33" t="str">
        <f t="shared" si="2"/>
        <v/>
      </c>
      <c r="N58" s="33" t="str">
        <f t="shared" si="3"/>
        <v/>
      </c>
      <c r="O58" s="33">
        <f t="shared" si="4"/>
        <v>2.1505376344086023E-2</v>
      </c>
      <c r="P58" s="33">
        <f t="shared" si="5"/>
        <v>0</v>
      </c>
      <c r="Q58" s="33">
        <v>0.35714285714285698</v>
      </c>
      <c r="R58" s="33">
        <v>0.12</v>
      </c>
      <c r="S58" s="33">
        <v>7.0000000000000007E-2</v>
      </c>
      <c r="T58" s="33">
        <v>0.05</v>
      </c>
      <c r="U58" s="33">
        <f t="shared" si="27"/>
        <v>0.38135176651305702</v>
      </c>
      <c r="V58" s="33">
        <f t="shared" si="6"/>
        <v>1</v>
      </c>
      <c r="W58" s="218">
        <f t="shared" si="7"/>
        <v>33</v>
      </c>
      <c r="X58" s="33">
        <v>0.186</v>
      </c>
      <c r="Y58" s="218">
        <f t="shared" si="7"/>
        <v>33</v>
      </c>
      <c r="Z58" s="218">
        <f t="shared" si="8"/>
        <v>144</v>
      </c>
      <c r="AA58" s="33">
        <v>0.12</v>
      </c>
      <c r="AB58" s="218">
        <f t="shared" si="9"/>
        <v>11</v>
      </c>
      <c r="AC58" s="218">
        <f t="shared" si="10"/>
        <v>81</v>
      </c>
      <c r="AD58" s="33">
        <v>0.02</v>
      </c>
      <c r="AE58" s="218">
        <f t="shared" si="11"/>
        <v>7</v>
      </c>
      <c r="AF58" s="218">
        <f t="shared" si="12"/>
        <v>343</v>
      </c>
      <c r="AG58" s="33">
        <v>0.02</v>
      </c>
      <c r="AH58" s="218">
        <f t="shared" si="13"/>
        <v>5</v>
      </c>
      <c r="AI58" s="218">
        <f t="shared" si="14"/>
        <v>245</v>
      </c>
      <c r="AJ58" s="33">
        <v>2.3E-2</v>
      </c>
      <c r="AK58" s="218">
        <f t="shared" si="15"/>
        <v>35</v>
      </c>
      <c r="AL58" s="218">
        <f t="shared" si="16"/>
        <v>1487</v>
      </c>
      <c r="AM58" s="38">
        <f t="shared" si="17"/>
        <v>93</v>
      </c>
      <c r="AN58" s="38">
        <f t="shared" si="18"/>
        <v>92.999999999999986</v>
      </c>
      <c r="AO58" s="38">
        <f t="shared" si="19"/>
        <v>-1.4210854715202004E-14</v>
      </c>
      <c r="AP58" s="38" t="str">
        <f>IF(OR($C58="01-09",$D58="Male"),"",INDEX(PMTCT!$AD:$AD,MATCH($E58,PMTCT!$E:$E,0)))</f>
        <v/>
      </c>
      <c r="AQ58" s="38" t="str">
        <f>IF(OR($C58="01-09",$D58="Male"),"",INDEX(PMTCT!$AT:$AT,MATCH($E58,PMTCT!$E:$E,0)))</f>
        <v/>
      </c>
      <c r="AR58" s="38">
        <f>INDEX(TB!$Q:$Q,MATCH($E58,TB!$E:$E,0))</f>
        <v>38</v>
      </c>
      <c r="AS58" s="38">
        <f>IF(OR($C58="01-09",$C58="10-14",$D58="Female"),"",INDEX(VMMC!$AB:$AB,MATCH($E58,VMMC!$E:$E,0)))</f>
        <v>141</v>
      </c>
      <c r="AT58" s="38">
        <f>IF(OR($C58="01-09",$C58="10-14"),"",INDEX(PrEP!$Q:$Q,MATCH($E58,PrEP!$E:$E,0)))</f>
        <v>936</v>
      </c>
      <c r="AU58" s="38">
        <f t="shared" si="20"/>
        <v>3415</v>
      </c>
      <c r="AV58" s="38">
        <f t="shared" si="21"/>
        <v>3508</v>
      </c>
      <c r="AW58" s="33">
        <f t="shared" si="22"/>
        <v>2.6510832383124284E-2</v>
      </c>
      <c r="AX58" s="38">
        <v>8001</v>
      </c>
      <c r="AY58" s="33">
        <f t="shared" si="30"/>
        <v>0.68</v>
      </c>
      <c r="AZ58" s="218">
        <f t="shared" si="24"/>
        <v>13442</v>
      </c>
      <c r="BA58" s="33">
        <v>0.56999999999999995</v>
      </c>
      <c r="BB58" s="218">
        <f t="shared" si="26"/>
        <v>53</v>
      </c>
    </row>
    <row r="59" spans="1:54" x14ac:dyDescent="0.2">
      <c r="A59" t="str">
        <f>INDEX(Prioritization!$D:$D,MATCH($B59,Prioritization!$A:$A,0))</f>
        <v>1 - Scale-up: Saturation</v>
      </c>
      <c r="B59" t="s">
        <v>315</v>
      </c>
      <c r="C59" t="s">
        <v>477</v>
      </c>
      <c r="D59" t="s">
        <v>30</v>
      </c>
      <c r="E59" t="str">
        <f t="shared" si="0"/>
        <v>Chikwawa District [U8c0so51kT6]|35-49|Female</v>
      </c>
      <c r="F59" s="33">
        <f>IF(LEFT($B59,4)="_Mil","",INDEX(Cascade!$AA:$AA,MATCH($E59,Cascade!$E:$E,0)))</f>
        <v>0.98694368399999999</v>
      </c>
      <c r="G59" s="38">
        <f>INDEX(Cascade!$BH:$BH,MATCH($E59,Cascade!$E:$E,0))</f>
        <v>522</v>
      </c>
      <c r="H59" s="38">
        <f>IF(OR($C59="01-09",$D59="Male"),"",INDEX(PMTCT!$AC:$AC,MATCH($E59,PMTCT!$E:$E,0)))</f>
        <v>21</v>
      </c>
      <c r="I59" s="38">
        <f>IF(OR($C59="01-09",$D59="Male"),"",INDEX(PMTCT!$AS:$AS,MATCH($E59,PMTCT!$E:$E,0)))</f>
        <v>14</v>
      </c>
      <c r="J59" s="38">
        <f>INDEX(TB!$P:$P,MATCH($E59,TB!$E:$E,0))</f>
        <v>2</v>
      </c>
      <c r="K59" s="38" t="str">
        <f>IF(OR($C59="01-09",$C59="10-14",$D59="Female"),"",INDEX(VMMC!$AA:$AA,MATCH($E59,VMMC!$E:$E,0)))</f>
        <v/>
      </c>
      <c r="L59" s="38">
        <f t="shared" si="1"/>
        <v>485</v>
      </c>
      <c r="M59" s="33">
        <f t="shared" si="2"/>
        <v>4.0229885057471264E-2</v>
      </c>
      <c r="N59" s="33">
        <f t="shared" si="3"/>
        <v>2.681992337164751E-2</v>
      </c>
      <c r="O59" s="33">
        <f t="shared" si="4"/>
        <v>3.8314176245210726E-3</v>
      </c>
      <c r="P59" s="33" t="str">
        <f t="shared" si="5"/>
        <v/>
      </c>
      <c r="Q59" s="33">
        <v>0.27513227513227501</v>
      </c>
      <c r="R59" s="33">
        <v>7.0000000000000007E-2</v>
      </c>
      <c r="S59" s="33">
        <v>2.7E-2</v>
      </c>
      <c r="T59" s="33">
        <v>0.05</v>
      </c>
      <c r="U59" s="33">
        <f t="shared" si="27"/>
        <v>0.50698649881408508</v>
      </c>
      <c r="V59" s="33">
        <f t="shared" si="6"/>
        <v>1</v>
      </c>
      <c r="W59" s="218">
        <f t="shared" si="7"/>
        <v>144</v>
      </c>
      <c r="X59" s="33">
        <v>0.224</v>
      </c>
      <c r="Y59" s="218">
        <f t="shared" si="7"/>
        <v>144</v>
      </c>
      <c r="Z59" s="218">
        <f t="shared" si="8"/>
        <v>499</v>
      </c>
      <c r="AA59" s="33">
        <v>0.12</v>
      </c>
      <c r="AB59" s="218">
        <f t="shared" si="9"/>
        <v>37</v>
      </c>
      <c r="AC59" s="218">
        <f t="shared" si="10"/>
        <v>271</v>
      </c>
      <c r="AD59" s="33">
        <v>0.02</v>
      </c>
      <c r="AE59" s="218">
        <f t="shared" si="11"/>
        <v>14</v>
      </c>
      <c r="AF59" s="218">
        <f t="shared" si="12"/>
        <v>686</v>
      </c>
      <c r="AG59" s="33">
        <v>0.02</v>
      </c>
      <c r="AH59" s="218">
        <f t="shared" si="13"/>
        <v>26</v>
      </c>
      <c r="AI59" s="218">
        <f t="shared" si="14"/>
        <v>1274</v>
      </c>
      <c r="AJ59" s="33">
        <v>2.4E-2</v>
      </c>
      <c r="AK59" s="218">
        <f t="shared" si="15"/>
        <v>265</v>
      </c>
      <c r="AL59" s="218">
        <f t="shared" si="16"/>
        <v>10777</v>
      </c>
      <c r="AM59" s="38">
        <f t="shared" si="17"/>
        <v>522</v>
      </c>
      <c r="AN59" s="38">
        <f t="shared" si="18"/>
        <v>523</v>
      </c>
      <c r="AO59" s="38">
        <f t="shared" si="19"/>
        <v>1</v>
      </c>
      <c r="AP59" s="38">
        <f>IF(OR($C59="01-09",$D59="Male"),"",INDEX(PMTCT!$AD:$AD,MATCH($E59,PMTCT!$E:$E,0)))</f>
        <v>1555</v>
      </c>
      <c r="AQ59" s="38">
        <f>IF(OR($C59="01-09",$D59="Male"),"",INDEX(PMTCT!$AT:$AT,MATCH($E59,PMTCT!$E:$E,0)))</f>
        <v>1541</v>
      </c>
      <c r="AR59" s="38">
        <f>INDEX(TB!$Q:$Q,MATCH($E59,TB!$E:$E,0))</f>
        <v>36</v>
      </c>
      <c r="AS59" s="38" t="str">
        <f>IF(OR($C59="01-09",$C59="10-14",$D59="Female"),"",INDEX(VMMC!$AB:$AB,MATCH($E59,VMMC!$E:$E,0)))</f>
        <v/>
      </c>
      <c r="AT59" s="38">
        <f>IF(OR($C59="01-09",$C59="10-14"),"",INDEX(PrEP!$Q:$Q,MATCH($E59,PrEP!$E:$E,0)))</f>
        <v>506</v>
      </c>
      <c r="AU59" s="38">
        <f t="shared" si="20"/>
        <v>17145</v>
      </c>
      <c r="AV59" s="38">
        <f t="shared" si="21"/>
        <v>17668</v>
      </c>
      <c r="AW59" s="33">
        <f t="shared" si="22"/>
        <v>2.9601539506452341E-2</v>
      </c>
      <c r="AX59" s="38">
        <v>2457</v>
      </c>
      <c r="AY59" s="33">
        <f t="shared" si="30"/>
        <v>0.68</v>
      </c>
      <c r="AZ59" s="218">
        <f t="shared" si="24"/>
        <v>4128</v>
      </c>
      <c r="BA59" s="33">
        <v>0.56999999999999995</v>
      </c>
      <c r="BB59" s="218">
        <f t="shared" si="26"/>
        <v>298</v>
      </c>
    </row>
    <row r="60" spans="1:54" x14ac:dyDescent="0.2">
      <c r="A60" t="str">
        <f>INDEX(Prioritization!$D:$D,MATCH($B60,Prioritization!$A:$A,0))</f>
        <v>1 - Scale-up: Saturation</v>
      </c>
      <c r="B60" t="s">
        <v>315</v>
      </c>
      <c r="C60" t="s">
        <v>477</v>
      </c>
      <c r="D60" t="s">
        <v>48</v>
      </c>
      <c r="E60" t="str">
        <f t="shared" si="0"/>
        <v>Chikwawa District [U8c0so51kT6]|35-49|Male</v>
      </c>
      <c r="F60" s="33">
        <f>IF(LEFT($B60,4)="_Mil","",INDEX(Cascade!$AA:$AA,MATCH($E60,Cascade!$E:$E,0)))</f>
        <v>0.93787394999999996</v>
      </c>
      <c r="G60" s="38">
        <f>INDEX(Cascade!$BH:$BH,MATCH($E60,Cascade!$E:$E,0))</f>
        <v>622</v>
      </c>
      <c r="H60" s="38" t="str">
        <f>IF(OR($C60="01-09",$D60="Male"),"",INDEX(PMTCT!$AC:$AC,MATCH($E60,PMTCT!$E:$E,0)))</f>
        <v/>
      </c>
      <c r="I60" s="38" t="str">
        <f>IF(OR($C60="01-09",$D60="Male"),"",INDEX(PMTCT!$AS:$AS,MATCH($E60,PMTCT!$E:$E,0)))</f>
        <v/>
      </c>
      <c r="J60" s="38">
        <f>INDEX(TB!$P:$P,MATCH($E60,TB!$E:$E,0))</f>
        <v>4</v>
      </c>
      <c r="K60" s="38">
        <f>IF(OR($C60="01-09",$C60="10-14",$D60="Female"),"",INDEX(VMMC!$AA:$AA,MATCH($E60,VMMC!$E:$E,0)))</f>
        <v>21</v>
      </c>
      <c r="L60" s="38">
        <f t="shared" si="1"/>
        <v>597</v>
      </c>
      <c r="M60" s="33" t="str">
        <f t="shared" si="2"/>
        <v/>
      </c>
      <c r="N60" s="33" t="str">
        <f t="shared" si="3"/>
        <v/>
      </c>
      <c r="O60" s="33">
        <f t="shared" si="4"/>
        <v>6.4308681672025723E-3</v>
      </c>
      <c r="P60" s="33">
        <f t="shared" si="5"/>
        <v>3.3762057877813507E-2</v>
      </c>
      <c r="Q60" s="33">
        <v>0.28846153846153799</v>
      </c>
      <c r="R60" s="33">
        <v>0.12</v>
      </c>
      <c r="S60" s="33">
        <v>7.0000000000000007E-2</v>
      </c>
      <c r="T60" s="33">
        <v>0.05</v>
      </c>
      <c r="U60" s="33">
        <f t="shared" si="27"/>
        <v>0.4313455354934459</v>
      </c>
      <c r="V60" s="33">
        <f t="shared" si="6"/>
        <v>1</v>
      </c>
      <c r="W60" s="218">
        <f t="shared" si="7"/>
        <v>179</v>
      </c>
      <c r="X60" s="33">
        <v>0.17299999999999999</v>
      </c>
      <c r="Y60" s="218">
        <f t="shared" si="7"/>
        <v>179</v>
      </c>
      <c r="Z60" s="218">
        <f t="shared" si="8"/>
        <v>856</v>
      </c>
      <c r="AA60" s="33">
        <v>0.12</v>
      </c>
      <c r="AB60" s="218">
        <f t="shared" si="9"/>
        <v>75</v>
      </c>
      <c r="AC60" s="218">
        <f t="shared" si="10"/>
        <v>550</v>
      </c>
      <c r="AD60" s="33">
        <v>0.02</v>
      </c>
      <c r="AE60" s="218">
        <f t="shared" si="11"/>
        <v>44</v>
      </c>
      <c r="AF60" s="218">
        <f t="shared" si="12"/>
        <v>2156</v>
      </c>
      <c r="AG60" s="33">
        <v>0.02</v>
      </c>
      <c r="AH60" s="218">
        <f t="shared" si="13"/>
        <v>31</v>
      </c>
      <c r="AI60" s="218">
        <f t="shared" si="14"/>
        <v>1519</v>
      </c>
      <c r="AJ60" s="33">
        <v>3.7999999999999999E-2</v>
      </c>
      <c r="AK60" s="218">
        <f t="shared" si="15"/>
        <v>268</v>
      </c>
      <c r="AL60" s="218">
        <f t="shared" si="16"/>
        <v>6785</v>
      </c>
      <c r="AM60" s="38">
        <f t="shared" si="17"/>
        <v>622</v>
      </c>
      <c r="AN60" s="38">
        <f t="shared" si="18"/>
        <v>622</v>
      </c>
      <c r="AO60" s="38">
        <f t="shared" si="19"/>
        <v>0</v>
      </c>
      <c r="AP60" s="38" t="str">
        <f>IF(OR($C60="01-09",$D60="Male"),"",INDEX(PMTCT!$AD:$AD,MATCH($E60,PMTCT!$E:$E,0)))</f>
        <v/>
      </c>
      <c r="AQ60" s="38" t="str">
        <f>IF(OR($C60="01-09",$D60="Male"),"",INDEX(PMTCT!$AT:$AT,MATCH($E60,PMTCT!$E:$E,0)))</f>
        <v/>
      </c>
      <c r="AR60" s="38">
        <f>INDEX(TB!$Q:$Q,MATCH($E60,TB!$E:$E,0))</f>
        <v>55</v>
      </c>
      <c r="AS60" s="38">
        <f>IF(OR($C60="01-09",$C60="10-14",$D60="Female"),"",INDEX(VMMC!$AB:$AB,MATCH($E60,VMMC!$E:$E,0)))</f>
        <v>5912</v>
      </c>
      <c r="AT60" s="38">
        <f>IF(OR($C60="01-09",$C60="10-14"),"",INDEX(PrEP!$Q:$Q,MATCH($E60,PrEP!$E:$E,0)))</f>
        <v>298</v>
      </c>
      <c r="AU60" s="38">
        <f t="shared" si="20"/>
        <v>18131</v>
      </c>
      <c r="AV60" s="38">
        <f t="shared" si="21"/>
        <v>18753</v>
      </c>
      <c r="AW60" s="33">
        <f t="shared" si="22"/>
        <v>3.3168026449101475E-2</v>
      </c>
      <c r="AX60" s="38">
        <v>5223</v>
      </c>
      <c r="AY60" s="33">
        <f t="shared" si="30"/>
        <v>0.68</v>
      </c>
      <c r="AZ60" s="218">
        <f t="shared" si="24"/>
        <v>8775</v>
      </c>
      <c r="BA60" s="33">
        <v>0.56999999999999995</v>
      </c>
      <c r="BB60" s="218">
        <f t="shared" si="26"/>
        <v>355</v>
      </c>
    </row>
    <row r="61" spans="1:54" x14ac:dyDescent="0.2">
      <c r="A61" t="str">
        <f>INDEX(Prioritization!$D:$D,MATCH($B61,Prioritization!$A:$A,0))</f>
        <v>1 - Scale-up: Saturation</v>
      </c>
      <c r="B61" t="s">
        <v>315</v>
      </c>
      <c r="C61" t="s">
        <v>478</v>
      </c>
      <c r="D61" t="s">
        <v>30</v>
      </c>
      <c r="E61" t="str">
        <f t="shared" si="0"/>
        <v>Chikwawa District [U8c0so51kT6]|50+|Female</v>
      </c>
      <c r="F61" s="33">
        <f>IF(LEFT($B61,4)="_Mil","",INDEX(Cascade!$AA:$AA,MATCH($E61,Cascade!$E:$E,0)))</f>
        <v>0.99108265300000009</v>
      </c>
      <c r="G61" s="38">
        <f>INDEX(Cascade!$BH:$BH,MATCH($E61,Cascade!$E:$E,0))</f>
        <v>181</v>
      </c>
      <c r="H61" s="38">
        <f>IF(OR($C61="01-09",$D61="Male"),"",INDEX(PMTCT!$AC:$AC,MATCH($E61,PMTCT!$E:$E,0)))</f>
        <v>0</v>
      </c>
      <c r="I61" s="38">
        <f>IF(OR($C61="01-09",$D61="Male"),"",INDEX(PMTCT!$AS:$AS,MATCH($E61,PMTCT!$E:$E,0)))</f>
        <v>0</v>
      </c>
      <c r="J61" s="38">
        <f>INDEX(TB!$P:$P,MATCH($E61,TB!$E:$E,0))</f>
        <v>1</v>
      </c>
      <c r="K61" s="38" t="str">
        <f>IF(OR($C61="01-09",$C61="10-14",$D61="Female"),"",INDEX(VMMC!$AA:$AA,MATCH($E61,VMMC!$E:$E,0)))</f>
        <v/>
      </c>
      <c r="L61" s="38">
        <f t="shared" si="1"/>
        <v>180</v>
      </c>
      <c r="M61" s="33">
        <f t="shared" si="2"/>
        <v>0</v>
      </c>
      <c r="N61" s="33">
        <f t="shared" si="3"/>
        <v>0</v>
      </c>
      <c r="O61" s="33">
        <f t="shared" si="4"/>
        <v>5.5248618784530384E-3</v>
      </c>
      <c r="P61" s="33" t="str">
        <f t="shared" si="5"/>
        <v/>
      </c>
      <c r="Q61" s="33">
        <v>0.15</v>
      </c>
      <c r="R61" s="33">
        <v>0.06</v>
      </c>
      <c r="S61" s="33">
        <v>0</v>
      </c>
      <c r="T61" s="33">
        <v>0.05</v>
      </c>
      <c r="U61" s="33">
        <f t="shared" si="27"/>
        <v>0.73447513812154697</v>
      </c>
      <c r="V61" s="33">
        <f t="shared" si="6"/>
        <v>1</v>
      </c>
      <c r="W61" s="218">
        <f t="shared" si="7"/>
        <v>27</v>
      </c>
      <c r="X61" s="33">
        <v>0.5</v>
      </c>
      <c r="Y61" s="218">
        <f t="shared" si="7"/>
        <v>27</v>
      </c>
      <c r="Z61" s="218">
        <f t="shared" si="8"/>
        <v>27</v>
      </c>
      <c r="AA61" s="33">
        <v>0.12</v>
      </c>
      <c r="AB61" s="218">
        <f t="shared" si="9"/>
        <v>11</v>
      </c>
      <c r="AC61" s="218">
        <f t="shared" si="10"/>
        <v>81</v>
      </c>
      <c r="AD61" s="33">
        <v>0.02</v>
      </c>
      <c r="AE61" s="218" t="str">
        <f t="shared" si="11"/>
        <v/>
      </c>
      <c r="AF61" s="218" t="str">
        <f t="shared" si="12"/>
        <v/>
      </c>
      <c r="AG61" s="33">
        <v>0.02</v>
      </c>
      <c r="AH61" s="218">
        <f t="shared" si="13"/>
        <v>9</v>
      </c>
      <c r="AI61" s="218">
        <f t="shared" si="14"/>
        <v>441</v>
      </c>
      <c r="AJ61" s="33">
        <v>2.5000000000000001E-2</v>
      </c>
      <c r="AK61" s="218">
        <f t="shared" si="15"/>
        <v>133</v>
      </c>
      <c r="AL61" s="218">
        <f t="shared" si="16"/>
        <v>5187</v>
      </c>
      <c r="AM61" s="38">
        <f t="shared" si="17"/>
        <v>181</v>
      </c>
      <c r="AN61" s="38">
        <f t="shared" si="18"/>
        <v>181</v>
      </c>
      <c r="AO61" s="38">
        <f t="shared" si="19"/>
        <v>0</v>
      </c>
      <c r="AP61" s="38">
        <f>IF(OR($C61="01-09",$D61="Male"),"",INDEX(PMTCT!$AD:$AD,MATCH($E61,PMTCT!$E:$E,0)))</f>
        <v>6</v>
      </c>
      <c r="AQ61" s="38">
        <f>IF(OR($C61="01-09",$D61="Male"),"",INDEX(PMTCT!$AT:$AT,MATCH($E61,PMTCT!$E:$E,0)))</f>
        <v>6</v>
      </c>
      <c r="AR61" s="38">
        <f>INDEX(TB!$Q:$Q,MATCH($E61,TB!$E:$E,0))</f>
        <v>13</v>
      </c>
      <c r="AS61" s="38" t="str">
        <f>IF(OR($C61="01-09",$C61="10-14",$D61="Female"),"",INDEX(VMMC!$AB:$AB,MATCH($E61,VMMC!$E:$E,0)))</f>
        <v/>
      </c>
      <c r="AT61" s="38">
        <f>IF(OR($C61="01-09",$C61="10-14"),"",INDEX(PrEP!$Q:$Q,MATCH($E61,PrEP!$E:$E,0)))</f>
        <v>72</v>
      </c>
      <c r="AU61" s="38">
        <f t="shared" si="20"/>
        <v>5833</v>
      </c>
      <c r="AV61" s="38">
        <f t="shared" si="21"/>
        <v>6014</v>
      </c>
      <c r="AW61" s="33">
        <f t="shared" si="22"/>
        <v>3.009644163618224E-2</v>
      </c>
      <c r="AX61" s="38">
        <v>1108</v>
      </c>
      <c r="AY61" s="33">
        <f t="shared" si="23"/>
        <v>0</v>
      </c>
      <c r="AZ61" s="218">
        <f t="shared" si="24"/>
        <v>1108</v>
      </c>
      <c r="BA61" s="33">
        <v>0.56999999999999995</v>
      </c>
      <c r="BB61" s="218">
        <f t="shared" si="26"/>
        <v>103</v>
      </c>
    </row>
    <row r="62" spans="1:54" x14ac:dyDescent="0.2">
      <c r="A62" t="str">
        <f>INDEX(Prioritization!$D:$D,MATCH($B62,Prioritization!$A:$A,0))</f>
        <v>1 - Scale-up: Saturation</v>
      </c>
      <c r="B62" t="s">
        <v>315</v>
      </c>
      <c r="C62" t="s">
        <v>478</v>
      </c>
      <c r="D62" t="s">
        <v>48</v>
      </c>
      <c r="E62" t="str">
        <f t="shared" si="0"/>
        <v>Chikwawa District [U8c0so51kT6]|50+|Male</v>
      </c>
      <c r="F62" s="33">
        <f>IF(LEFT($B62,4)="_Mil","",INDEX(Cascade!$AA:$AA,MATCH($E62,Cascade!$E:$E,0)))</f>
        <v>0.95751110599999989</v>
      </c>
      <c r="G62" s="38">
        <f>INDEX(Cascade!$BH:$BH,MATCH($E62,Cascade!$E:$E,0))</f>
        <v>173</v>
      </c>
      <c r="H62" s="38" t="str">
        <f>IF(OR($C62="01-09",$D62="Male"),"",INDEX(PMTCT!$AC:$AC,MATCH($E62,PMTCT!$E:$E,0)))</f>
        <v/>
      </c>
      <c r="I62" s="38" t="str">
        <f>IF(OR($C62="01-09",$D62="Male"),"",INDEX(PMTCT!$AS:$AS,MATCH($E62,PMTCT!$E:$E,0)))</f>
        <v/>
      </c>
      <c r="J62" s="38">
        <f>INDEX(TB!$P:$P,MATCH($E62,TB!$E:$E,0))</f>
        <v>1</v>
      </c>
      <c r="K62" s="38" t="str">
        <f>IF(OR($C62="01-09",$C62="10-14",$D62="Female"),"",INDEX(VMMC!$AA:$AA,MATCH($E62,VMMC!$E:$E,0)))</f>
        <v/>
      </c>
      <c r="L62" s="38">
        <f t="shared" si="1"/>
        <v>172</v>
      </c>
      <c r="M62" s="33" t="str">
        <f t="shared" si="2"/>
        <v/>
      </c>
      <c r="N62" s="33" t="str">
        <f t="shared" si="3"/>
        <v/>
      </c>
      <c r="O62" s="33">
        <f t="shared" si="4"/>
        <v>5.7803468208092483E-3</v>
      </c>
      <c r="P62" s="33">
        <f t="shared" si="5"/>
        <v>0</v>
      </c>
      <c r="Q62" s="33">
        <v>0.15</v>
      </c>
      <c r="R62" s="33">
        <v>0.06</v>
      </c>
      <c r="S62" s="33">
        <v>0</v>
      </c>
      <c r="T62" s="33">
        <v>0.05</v>
      </c>
      <c r="U62" s="33">
        <f t="shared" si="27"/>
        <v>0.73421965317919069</v>
      </c>
      <c r="V62" s="33">
        <f t="shared" si="6"/>
        <v>1</v>
      </c>
      <c r="W62" s="218">
        <f t="shared" si="7"/>
        <v>26</v>
      </c>
      <c r="X62" s="33">
        <v>0.14599999999999999</v>
      </c>
      <c r="Y62" s="218">
        <f t="shared" si="7"/>
        <v>26</v>
      </c>
      <c r="Z62" s="218">
        <f t="shared" si="8"/>
        <v>152</v>
      </c>
      <c r="AA62" s="33">
        <v>0.12</v>
      </c>
      <c r="AB62" s="218">
        <f t="shared" si="9"/>
        <v>10</v>
      </c>
      <c r="AC62" s="218">
        <f t="shared" si="10"/>
        <v>73</v>
      </c>
      <c r="AD62" s="33">
        <v>0.02</v>
      </c>
      <c r="AE62" s="218" t="str">
        <f t="shared" si="11"/>
        <v/>
      </c>
      <c r="AF62" s="218" t="str">
        <f t="shared" si="12"/>
        <v/>
      </c>
      <c r="AG62" s="33">
        <v>0.02</v>
      </c>
      <c r="AH62" s="218">
        <f t="shared" si="13"/>
        <v>9</v>
      </c>
      <c r="AI62" s="218">
        <f t="shared" si="14"/>
        <v>441</v>
      </c>
      <c r="AJ62" s="33">
        <v>2.3E-2</v>
      </c>
      <c r="AK62" s="218">
        <f t="shared" si="15"/>
        <v>127</v>
      </c>
      <c r="AL62" s="218">
        <f t="shared" si="16"/>
        <v>5395</v>
      </c>
      <c r="AM62" s="38">
        <f t="shared" si="17"/>
        <v>173</v>
      </c>
      <c r="AN62" s="38">
        <f t="shared" si="18"/>
        <v>173</v>
      </c>
      <c r="AO62" s="38">
        <f t="shared" si="19"/>
        <v>0</v>
      </c>
      <c r="AP62" s="38" t="str">
        <f>IF(OR($C62="01-09",$D62="Male"),"",INDEX(PMTCT!$AD:$AD,MATCH($E62,PMTCT!$E:$E,0)))</f>
        <v/>
      </c>
      <c r="AQ62" s="38" t="str">
        <f>IF(OR($C62="01-09",$D62="Male"),"",INDEX(PMTCT!$AT:$AT,MATCH($E62,PMTCT!$E:$E,0)))</f>
        <v/>
      </c>
      <c r="AR62" s="38">
        <f>INDEX(TB!$Q:$Q,MATCH($E62,TB!$E:$E,0))</f>
        <v>19</v>
      </c>
      <c r="AS62" s="38" t="str">
        <f>IF(OR($C62="01-09",$C62="10-14",$D62="Female"),"",INDEX(VMMC!$AB:$AB,MATCH($E62,VMMC!$E:$E,0)))</f>
        <v/>
      </c>
      <c r="AT62" s="38">
        <f>IF(OR($C62="01-09",$C62="10-14"),"",INDEX(PrEP!$Q:$Q,MATCH($E62,PrEP!$E:$E,0)))</f>
        <v>166</v>
      </c>
      <c r="AU62" s="38">
        <f t="shared" si="20"/>
        <v>6246.0000000000009</v>
      </c>
      <c r="AV62" s="38">
        <f t="shared" si="21"/>
        <v>6419.0000000000018</v>
      </c>
      <c r="AW62" s="33">
        <f t="shared" si="22"/>
        <v>2.6951238510671438E-2</v>
      </c>
      <c r="AX62" s="38">
        <v>1910</v>
      </c>
      <c r="AY62" s="33">
        <f t="shared" si="23"/>
        <v>0</v>
      </c>
      <c r="AZ62" s="218">
        <f t="shared" si="24"/>
        <v>1910</v>
      </c>
      <c r="BA62" s="33">
        <v>0.56999999999999995</v>
      </c>
      <c r="BB62" s="218">
        <f t="shared" si="26"/>
        <v>99</v>
      </c>
    </row>
    <row r="63" spans="1:54" x14ac:dyDescent="0.2">
      <c r="A63" t="str">
        <f>INDEX(Prioritization!$D:$D,MATCH($B63,Prioritization!$A:$A,0))</f>
        <v>INVALID</v>
      </c>
      <c r="B63" t="s">
        <v>316</v>
      </c>
      <c r="C63" t="s">
        <v>473</v>
      </c>
      <c r="D63" t="s">
        <v>30</v>
      </c>
      <c r="E63" t="str">
        <f t="shared" si="0"/>
        <v>Chiradzulu District [oiPR2CiVJbf]|01-09|Female</v>
      </c>
      <c r="F63" s="33">
        <f>IF(LEFT($B63,4)="_Mil","",INDEX(Cascade!$AA:$AA,MATCH($E63,Cascade!$E:$E,0)))</f>
        <v>0.49926406100000004</v>
      </c>
      <c r="G63" s="38">
        <f>INDEX(Cascade!$BH:$BH,MATCH($E63,Cascade!$E:$E,0))</f>
        <v>7</v>
      </c>
      <c r="H63" s="38" t="str">
        <f>IF(OR($C63="01-09",$D63="Male"),"",INDEX(PMTCT!$AC:$AC,MATCH($E63,PMTCT!$E:$E,0)))</f>
        <v/>
      </c>
      <c r="I63" s="38" t="str">
        <f>IF(OR($C63="01-09",$D63="Male"),"",INDEX(PMTCT!$AS:$AS,MATCH($E63,PMTCT!$E:$E,0)))</f>
        <v/>
      </c>
      <c r="J63" s="38">
        <f>INDEX(TB!$P:$P,MATCH($E63,TB!$E:$E,0))</f>
        <v>0</v>
      </c>
      <c r="K63" s="38" t="str">
        <f>IF(OR($C63="01-09",$C63="10-14",$D63="Female"),"",INDEX(VMMC!$AA:$AA,MATCH($E63,VMMC!$E:$E,0)))</f>
        <v/>
      </c>
      <c r="L63" s="38">
        <f t="shared" si="1"/>
        <v>7</v>
      </c>
      <c r="M63" s="33" t="str">
        <f t="shared" si="2"/>
        <v/>
      </c>
      <c r="N63" s="33" t="str">
        <f t="shared" si="3"/>
        <v/>
      </c>
      <c r="O63" s="33">
        <f t="shared" si="4"/>
        <v>0</v>
      </c>
      <c r="P63" s="33" t="str">
        <f t="shared" si="5"/>
        <v/>
      </c>
      <c r="Q63" s="33">
        <v>0.44444444444444398</v>
      </c>
      <c r="R63" s="33"/>
      <c r="S63" s="33"/>
      <c r="T63" s="33"/>
      <c r="U63" s="33">
        <f t="shared" si="27"/>
        <v>0.55555555555555602</v>
      </c>
      <c r="V63" s="33">
        <f t="shared" si="6"/>
        <v>1</v>
      </c>
      <c r="W63" s="218">
        <f t="shared" si="7"/>
        <v>3</v>
      </c>
      <c r="X63" s="33">
        <v>1.7999999999999999E-2</v>
      </c>
      <c r="Y63" s="218">
        <f t="shared" si="7"/>
        <v>3</v>
      </c>
      <c r="Z63" s="218">
        <f t="shared" si="8"/>
        <v>164</v>
      </c>
      <c r="AA63" s="33">
        <v>0.12</v>
      </c>
      <c r="AB63" s="218" t="str">
        <f t="shared" si="9"/>
        <v/>
      </c>
      <c r="AC63" s="218" t="str">
        <f t="shared" si="10"/>
        <v/>
      </c>
      <c r="AD63" s="33">
        <v>0.02</v>
      </c>
      <c r="AE63" s="218" t="str">
        <f t="shared" si="11"/>
        <v/>
      </c>
      <c r="AF63" s="218" t="str">
        <f t="shared" si="12"/>
        <v/>
      </c>
      <c r="AG63" s="33">
        <v>0.02</v>
      </c>
      <c r="AH63" s="218" t="str">
        <f t="shared" si="13"/>
        <v/>
      </c>
      <c r="AI63" s="218" t="str">
        <f t="shared" si="14"/>
        <v/>
      </c>
      <c r="AJ63" s="33">
        <v>3.5999999999999999E-3</v>
      </c>
      <c r="AK63" s="218">
        <f t="shared" si="15"/>
        <v>4</v>
      </c>
      <c r="AL63" s="218">
        <f t="shared" si="16"/>
        <v>1107</v>
      </c>
      <c r="AM63" s="38">
        <f t="shared" si="17"/>
        <v>7</v>
      </c>
      <c r="AN63" s="38">
        <f t="shared" si="18"/>
        <v>7</v>
      </c>
      <c r="AO63" s="38">
        <f t="shared" si="19"/>
        <v>0</v>
      </c>
      <c r="AP63" s="38" t="str">
        <f>IF(OR($C63="01-09",$D63="Male"),"",INDEX(PMTCT!$AD:$AD,MATCH($E63,PMTCT!$E:$E,0)))</f>
        <v/>
      </c>
      <c r="AQ63" s="38" t="str">
        <f>IF(OR($C63="01-09",$D63="Male"),"",INDEX(PMTCT!$AT:$AT,MATCH($E63,PMTCT!$E:$E,0)))</f>
        <v/>
      </c>
      <c r="AR63" s="38">
        <f>INDEX(TB!$Q:$Q,MATCH($E63,TB!$E:$E,0))</f>
        <v>6</v>
      </c>
      <c r="AS63" s="38" t="str">
        <f>IF(OR($C63="01-09",$C63="10-14",$D63="Female"),"",INDEX(VMMC!$AB:$AB,MATCH($E63,VMMC!$E:$E,0)))</f>
        <v/>
      </c>
      <c r="AT63" s="38" t="str">
        <f>IF(OR($C63="01-09",$C63="10-14"),"",INDEX(PrEP!$Q:$Q,MATCH($E63,PrEP!$E:$E,0)))</f>
        <v/>
      </c>
      <c r="AU63" s="38">
        <f t="shared" si="20"/>
        <v>1277</v>
      </c>
      <c r="AV63" s="38">
        <f t="shared" si="21"/>
        <v>1284</v>
      </c>
      <c r="AW63" s="33">
        <f t="shared" si="22"/>
        <v>5.451713395638629E-3</v>
      </c>
      <c r="AX63" s="38"/>
      <c r="AY63" s="33" t="str">
        <f t="shared" si="23"/>
        <v/>
      </c>
      <c r="AZ63" s="218" t="str">
        <f t="shared" si="24"/>
        <v/>
      </c>
      <c r="BA63" s="33" t="str">
        <f t="shared" si="25"/>
        <v/>
      </c>
      <c r="BB63" s="218" t="str">
        <f t="shared" si="26"/>
        <v/>
      </c>
    </row>
    <row r="64" spans="1:54" x14ac:dyDescent="0.2">
      <c r="A64" t="str">
        <f>INDEX(Prioritization!$D:$D,MATCH($B64,Prioritization!$A:$A,0))</f>
        <v>INVALID</v>
      </c>
      <c r="B64" t="s">
        <v>316</v>
      </c>
      <c r="C64" t="s">
        <v>473</v>
      </c>
      <c r="D64" t="s">
        <v>48</v>
      </c>
      <c r="E64" t="str">
        <f t="shared" si="0"/>
        <v>Chiradzulu District [oiPR2CiVJbf]|01-09|Male</v>
      </c>
      <c r="F64" s="33">
        <f>IF(LEFT($B64,4)="_Mil","",INDEX(Cascade!$AA:$AA,MATCH($E64,Cascade!$E:$E,0)))</f>
        <v>0.49999459199999996</v>
      </c>
      <c r="G64" s="38">
        <f>INDEX(Cascade!$BH:$BH,MATCH($E64,Cascade!$E:$E,0))</f>
        <v>7</v>
      </c>
      <c r="H64" s="38" t="str">
        <f>IF(OR($C64="01-09",$D64="Male"),"",INDEX(PMTCT!$AC:$AC,MATCH($E64,PMTCT!$E:$E,0)))</f>
        <v/>
      </c>
      <c r="I64" s="38" t="str">
        <f>IF(OR($C64="01-09",$D64="Male"),"",INDEX(PMTCT!$AS:$AS,MATCH($E64,PMTCT!$E:$E,0)))</f>
        <v/>
      </c>
      <c r="J64" s="38">
        <f>INDEX(TB!$P:$P,MATCH($E64,TB!$E:$E,0))</f>
        <v>0</v>
      </c>
      <c r="K64" s="38" t="str">
        <f>IF(OR($C64="01-09",$C64="10-14",$D64="Female"),"",INDEX(VMMC!$AA:$AA,MATCH($E64,VMMC!$E:$E,0)))</f>
        <v/>
      </c>
      <c r="L64" s="38">
        <f t="shared" si="1"/>
        <v>7</v>
      </c>
      <c r="M64" s="33" t="str">
        <f t="shared" si="2"/>
        <v/>
      </c>
      <c r="N64" s="33" t="str">
        <f t="shared" si="3"/>
        <v/>
      </c>
      <c r="O64" s="33">
        <f t="shared" si="4"/>
        <v>0</v>
      </c>
      <c r="P64" s="33" t="str">
        <f t="shared" si="5"/>
        <v/>
      </c>
      <c r="Q64" s="33">
        <v>0.47368421052631599</v>
      </c>
      <c r="R64" s="33"/>
      <c r="S64" s="33"/>
      <c r="T64" s="33"/>
      <c r="U64" s="33">
        <f t="shared" si="27"/>
        <v>0.52631578947368407</v>
      </c>
      <c r="V64" s="33">
        <f t="shared" si="6"/>
        <v>1</v>
      </c>
      <c r="W64" s="218">
        <f t="shared" si="7"/>
        <v>3</v>
      </c>
      <c r="X64" s="33">
        <v>2.3E-2</v>
      </c>
      <c r="Y64" s="218">
        <f t="shared" si="7"/>
        <v>3</v>
      </c>
      <c r="Z64" s="218">
        <f t="shared" si="8"/>
        <v>127</v>
      </c>
      <c r="AA64" s="33">
        <v>0.12</v>
      </c>
      <c r="AB64" s="218" t="str">
        <f t="shared" si="9"/>
        <v/>
      </c>
      <c r="AC64" s="218" t="str">
        <f t="shared" si="10"/>
        <v/>
      </c>
      <c r="AD64" s="33">
        <v>0.02</v>
      </c>
      <c r="AE64" s="218" t="str">
        <f t="shared" si="11"/>
        <v/>
      </c>
      <c r="AF64" s="218" t="str">
        <f t="shared" si="12"/>
        <v/>
      </c>
      <c r="AG64" s="33">
        <v>0.02</v>
      </c>
      <c r="AH64" s="218" t="str">
        <f t="shared" si="13"/>
        <v/>
      </c>
      <c r="AI64" s="218" t="str">
        <f t="shared" si="14"/>
        <v/>
      </c>
      <c r="AJ64" s="33">
        <v>3.3E-3</v>
      </c>
      <c r="AK64" s="218">
        <f t="shared" si="15"/>
        <v>4</v>
      </c>
      <c r="AL64" s="218">
        <f t="shared" si="16"/>
        <v>1208</v>
      </c>
      <c r="AM64" s="38">
        <f t="shared" si="17"/>
        <v>7</v>
      </c>
      <c r="AN64" s="38">
        <f t="shared" si="18"/>
        <v>7</v>
      </c>
      <c r="AO64" s="38">
        <f t="shared" si="19"/>
        <v>0</v>
      </c>
      <c r="AP64" s="38" t="str">
        <f>IF(OR($C64="01-09",$D64="Male"),"",INDEX(PMTCT!$AD:$AD,MATCH($E64,PMTCT!$E:$E,0)))</f>
        <v/>
      </c>
      <c r="AQ64" s="38" t="str">
        <f>IF(OR($C64="01-09",$D64="Male"),"",INDEX(PMTCT!$AT:$AT,MATCH($E64,PMTCT!$E:$E,0)))</f>
        <v/>
      </c>
      <c r="AR64" s="38">
        <f>INDEX(TB!$Q:$Q,MATCH($E64,TB!$E:$E,0))</f>
        <v>6</v>
      </c>
      <c r="AS64" s="38" t="str">
        <f>IF(OR($C64="01-09",$C64="10-14",$D64="Female"),"",INDEX(VMMC!$AB:$AB,MATCH($E64,VMMC!$E:$E,0)))</f>
        <v/>
      </c>
      <c r="AT64" s="38" t="str">
        <f>IF(OR($C64="01-09",$C64="10-14"),"",INDEX(PrEP!$Q:$Q,MATCH($E64,PrEP!$E:$E,0)))</f>
        <v/>
      </c>
      <c r="AU64" s="38">
        <f t="shared" si="20"/>
        <v>1341</v>
      </c>
      <c r="AV64" s="38">
        <f t="shared" si="21"/>
        <v>1348</v>
      </c>
      <c r="AW64" s="33">
        <f t="shared" si="22"/>
        <v>5.1928783382789315E-3</v>
      </c>
      <c r="AX64" s="38"/>
      <c r="AY64" s="33" t="str">
        <f t="shared" si="23"/>
        <v/>
      </c>
      <c r="AZ64" s="218" t="str">
        <f t="shared" si="24"/>
        <v/>
      </c>
      <c r="BA64" s="33" t="str">
        <f t="shared" si="25"/>
        <v/>
      </c>
      <c r="BB64" s="218" t="str">
        <f t="shared" si="26"/>
        <v/>
      </c>
    </row>
    <row r="65" spans="1:54" x14ac:dyDescent="0.2">
      <c r="A65" t="str">
        <f>INDEX(Prioritization!$D:$D,MATCH($B65,Prioritization!$A:$A,0))</f>
        <v>INVALID</v>
      </c>
      <c r="B65" t="s">
        <v>316</v>
      </c>
      <c r="C65" t="s">
        <v>474</v>
      </c>
      <c r="D65" t="s">
        <v>30</v>
      </c>
      <c r="E65" t="str">
        <f t="shared" si="0"/>
        <v>Chiradzulu District [oiPR2CiVJbf]|10-14|Female</v>
      </c>
      <c r="F65" s="33">
        <f>IF(LEFT($B65,4)="_Mil","",INDEX(Cascade!$AA:$AA,MATCH($E65,Cascade!$E:$E,0)))</f>
        <v>0.54665741099999998</v>
      </c>
      <c r="G65" s="38">
        <f>INDEX(Cascade!$BH:$BH,MATCH($E65,Cascade!$E:$E,0))</f>
        <v>44</v>
      </c>
      <c r="H65" s="38">
        <f>IF(OR($C65="01-09",$D65="Male"),"",INDEX(PMTCT!$AC:$AC,MATCH($E65,PMTCT!$E:$E,0)))</f>
        <v>0</v>
      </c>
      <c r="I65" s="38">
        <f>IF(OR($C65="01-09",$D65="Male"),"",INDEX(PMTCT!$AS:$AS,MATCH($E65,PMTCT!$E:$E,0)))</f>
        <v>0</v>
      </c>
      <c r="J65" s="38">
        <f>INDEX(TB!$P:$P,MATCH($E65,TB!$E:$E,0))</f>
        <v>0</v>
      </c>
      <c r="K65" s="38" t="str">
        <f>IF(OR($C65="01-09",$C65="10-14",$D65="Female"),"",INDEX(VMMC!$AA:$AA,MATCH($E65,VMMC!$E:$E,0)))</f>
        <v/>
      </c>
      <c r="L65" s="38">
        <f t="shared" si="1"/>
        <v>44</v>
      </c>
      <c r="M65" s="33">
        <f t="shared" si="2"/>
        <v>0</v>
      </c>
      <c r="N65" s="33">
        <f t="shared" si="3"/>
        <v>0</v>
      </c>
      <c r="O65" s="33">
        <f t="shared" si="4"/>
        <v>0</v>
      </c>
      <c r="P65" s="33" t="str">
        <f t="shared" si="5"/>
        <v/>
      </c>
      <c r="Q65" s="33">
        <v>0.44444444444444398</v>
      </c>
      <c r="R65" s="33"/>
      <c r="S65" s="33"/>
      <c r="T65" s="33"/>
      <c r="U65" s="33">
        <f t="shared" si="27"/>
        <v>0.55555555555555602</v>
      </c>
      <c r="V65" s="33">
        <f t="shared" si="6"/>
        <v>1</v>
      </c>
      <c r="W65" s="218">
        <f t="shared" si="7"/>
        <v>20</v>
      </c>
      <c r="X65" s="33">
        <v>1.4E-2</v>
      </c>
      <c r="Y65" s="218">
        <f t="shared" si="7"/>
        <v>20</v>
      </c>
      <c r="Z65" s="218">
        <f t="shared" si="8"/>
        <v>1409</v>
      </c>
      <c r="AA65" s="33">
        <v>0.12</v>
      </c>
      <c r="AB65" s="218" t="str">
        <f t="shared" si="9"/>
        <v/>
      </c>
      <c r="AC65" s="218" t="str">
        <f t="shared" si="10"/>
        <v/>
      </c>
      <c r="AD65" s="33">
        <v>2E-3</v>
      </c>
      <c r="AE65" s="218" t="str">
        <f>IF(OR(SUM($G65)=0,SUM($S65)=0),"",ROUND(SUM($G65)*SUM($S65),0))</f>
        <v/>
      </c>
      <c r="AF65" s="218" t="str">
        <f t="shared" si="12"/>
        <v/>
      </c>
      <c r="AG65" s="33">
        <v>0.02</v>
      </c>
      <c r="AH65" s="218" t="str">
        <f t="shared" si="13"/>
        <v/>
      </c>
      <c r="AI65" s="218" t="str">
        <f t="shared" si="14"/>
        <v/>
      </c>
      <c r="AJ65" s="33">
        <v>1.2999999999999999E-2</v>
      </c>
      <c r="AK65" s="218">
        <f t="shared" si="15"/>
        <v>24</v>
      </c>
      <c r="AL65" s="218">
        <f t="shared" si="16"/>
        <v>1822</v>
      </c>
      <c r="AM65" s="38">
        <f t="shared" si="17"/>
        <v>44</v>
      </c>
      <c r="AN65" s="38">
        <f t="shared" si="18"/>
        <v>44</v>
      </c>
      <c r="AO65" s="38">
        <f t="shared" si="19"/>
        <v>0</v>
      </c>
      <c r="AP65" s="38">
        <f>IF(OR($C65="01-09",$D65="Male"),"",INDEX(PMTCT!$AD:$AD,MATCH($E65,PMTCT!$E:$E,0)))</f>
        <v>43</v>
      </c>
      <c r="AQ65" s="38">
        <f>IF(OR($C65="01-09",$D65="Male"),"",INDEX(PMTCT!$AT:$AT,MATCH($E65,PMTCT!$E:$E,0)))</f>
        <v>43</v>
      </c>
      <c r="AR65" s="38">
        <f>INDEX(TB!$Q:$Q,MATCH($E65,TB!$E:$E,0))</f>
        <v>3</v>
      </c>
      <c r="AS65" s="38" t="str">
        <f>IF(OR($C65="01-09",$C65="10-14",$D65="Female"),"",INDEX(VMMC!$AB:$AB,MATCH($E65,VMMC!$E:$E,0)))</f>
        <v/>
      </c>
      <c r="AT65" s="38" t="str">
        <f>IF(OR($C65="01-09",$C65="10-14"),"",INDEX(PrEP!$Q:$Q,MATCH($E65,PrEP!$E:$E,0)))</f>
        <v/>
      </c>
      <c r="AU65" s="38">
        <f t="shared" si="20"/>
        <v>3319.9999999999995</v>
      </c>
      <c r="AV65" s="38">
        <f t="shared" si="21"/>
        <v>3363.9999999999995</v>
      </c>
      <c r="AW65" s="33">
        <f t="shared" si="22"/>
        <v>1.3079667063020215E-2</v>
      </c>
      <c r="AX65" s="38">
        <v>1700</v>
      </c>
      <c r="AY65" s="33">
        <f t="shared" si="23"/>
        <v>0</v>
      </c>
      <c r="AZ65" s="218">
        <f t="shared" si="24"/>
        <v>1700</v>
      </c>
      <c r="BA65" s="33" t="str">
        <f t="shared" si="25"/>
        <v/>
      </c>
      <c r="BB65" s="218" t="str">
        <f t="shared" si="26"/>
        <v/>
      </c>
    </row>
    <row r="66" spans="1:54" x14ac:dyDescent="0.2">
      <c r="A66" t="str">
        <f>INDEX(Prioritization!$D:$D,MATCH($B66,Prioritization!$A:$A,0))</f>
        <v>INVALID</v>
      </c>
      <c r="B66" t="s">
        <v>316</v>
      </c>
      <c r="C66" t="s">
        <v>474</v>
      </c>
      <c r="D66" t="s">
        <v>48</v>
      </c>
      <c r="E66" t="str">
        <f t="shared" si="0"/>
        <v>Chiradzulu District [oiPR2CiVJbf]|10-14|Male</v>
      </c>
      <c r="F66" s="33">
        <f>IF(LEFT($B66,4)="_Mil","",INDEX(Cascade!$AA:$AA,MATCH($E66,Cascade!$E:$E,0)))</f>
        <v>0.54680766700000005</v>
      </c>
      <c r="G66" s="38">
        <f>INDEX(Cascade!$BH:$BH,MATCH($E66,Cascade!$E:$E,0))</f>
        <v>9</v>
      </c>
      <c r="H66" s="38" t="str">
        <f>IF(OR($C66="01-09",$D66="Male"),"",INDEX(PMTCT!$AC:$AC,MATCH($E66,PMTCT!$E:$E,0)))</f>
        <v/>
      </c>
      <c r="I66" s="38" t="str">
        <f>IF(OR($C66="01-09",$D66="Male"),"",INDEX(PMTCT!$AS:$AS,MATCH($E66,PMTCT!$E:$E,0)))</f>
        <v/>
      </c>
      <c r="J66" s="38">
        <f>INDEX(TB!$P:$P,MATCH($E66,TB!$E:$E,0))</f>
        <v>0</v>
      </c>
      <c r="K66" s="38" t="str">
        <f>IF(OR($C66="01-09",$C66="10-14",$D66="Female"),"",INDEX(VMMC!$AA:$AA,MATCH($E66,VMMC!$E:$E,0)))</f>
        <v/>
      </c>
      <c r="L66" s="38">
        <f t="shared" si="1"/>
        <v>9</v>
      </c>
      <c r="M66" s="33" t="str">
        <f t="shared" si="2"/>
        <v/>
      </c>
      <c r="N66" s="33" t="str">
        <f t="shared" si="3"/>
        <v/>
      </c>
      <c r="O66" s="33">
        <f t="shared" si="4"/>
        <v>0</v>
      </c>
      <c r="P66" s="33" t="str">
        <f t="shared" si="5"/>
        <v/>
      </c>
      <c r="Q66" s="33">
        <v>0.56603773584905703</v>
      </c>
      <c r="R66" s="33"/>
      <c r="S66" s="33"/>
      <c r="T66" s="33"/>
      <c r="U66" s="33">
        <f t="shared" si="27"/>
        <v>0.43396226415094297</v>
      </c>
      <c r="V66" s="33">
        <f t="shared" si="6"/>
        <v>1</v>
      </c>
      <c r="W66" s="218">
        <f t="shared" si="7"/>
        <v>5</v>
      </c>
      <c r="X66" s="33">
        <v>1.4E-2</v>
      </c>
      <c r="Y66" s="218">
        <f t="shared" si="7"/>
        <v>5</v>
      </c>
      <c r="Z66" s="218">
        <f t="shared" si="8"/>
        <v>352</v>
      </c>
      <c r="AA66" s="33">
        <v>0.12</v>
      </c>
      <c r="AB66" s="218" t="str">
        <f t="shared" si="9"/>
        <v/>
      </c>
      <c r="AC66" s="218" t="str">
        <f t="shared" si="10"/>
        <v/>
      </c>
      <c r="AD66" s="33">
        <v>0.02</v>
      </c>
      <c r="AE66" s="218" t="str">
        <f t="shared" si="11"/>
        <v/>
      </c>
      <c r="AF66" s="218" t="str">
        <f t="shared" si="12"/>
        <v/>
      </c>
      <c r="AG66" s="33">
        <v>0.02</v>
      </c>
      <c r="AH66" s="218" t="str">
        <f t="shared" si="13"/>
        <v/>
      </c>
      <c r="AI66" s="218" t="str">
        <f t="shared" si="14"/>
        <v/>
      </c>
      <c r="AJ66" s="33">
        <v>5.4999999999999997E-3</v>
      </c>
      <c r="AK66" s="218">
        <f t="shared" si="15"/>
        <v>4</v>
      </c>
      <c r="AL66" s="218">
        <f t="shared" si="16"/>
        <v>723</v>
      </c>
      <c r="AM66" s="38">
        <f t="shared" si="17"/>
        <v>9</v>
      </c>
      <c r="AN66" s="38">
        <f t="shared" si="18"/>
        <v>9</v>
      </c>
      <c r="AO66" s="38">
        <f t="shared" si="19"/>
        <v>0</v>
      </c>
      <c r="AP66" s="38" t="str">
        <f>IF(OR($C66="01-09",$D66="Male"),"",INDEX(PMTCT!$AD:$AD,MATCH($E66,PMTCT!$E:$E,0)))</f>
        <v/>
      </c>
      <c r="AQ66" s="38" t="str">
        <f>IF(OR($C66="01-09",$D66="Male"),"",INDEX(PMTCT!$AT:$AT,MATCH($E66,PMTCT!$E:$E,0)))</f>
        <v/>
      </c>
      <c r="AR66" s="38">
        <f>INDEX(TB!$Q:$Q,MATCH($E66,TB!$E:$E,0))</f>
        <v>3</v>
      </c>
      <c r="AS66" s="38" t="str">
        <f>IF(OR($C66="01-09",$C66="10-14",$D66="Female"),"",INDEX(VMMC!$AB:$AB,MATCH($E66,VMMC!$E:$E,0)))</f>
        <v/>
      </c>
      <c r="AT66" s="38" t="str">
        <f>IF(OR($C66="01-09",$C66="10-14"),"",INDEX(PrEP!$Q:$Q,MATCH($E66,PrEP!$E:$E,0)))</f>
        <v/>
      </c>
      <c r="AU66" s="38">
        <f t="shared" si="20"/>
        <v>1078</v>
      </c>
      <c r="AV66" s="38">
        <f t="shared" si="21"/>
        <v>1087</v>
      </c>
      <c r="AW66" s="33">
        <f t="shared" si="22"/>
        <v>8.2796688132474698E-3</v>
      </c>
      <c r="AX66" s="38"/>
      <c r="AY66" s="33" t="str">
        <f t="shared" si="23"/>
        <v/>
      </c>
      <c r="AZ66" s="218" t="str">
        <f t="shared" si="24"/>
        <v/>
      </c>
      <c r="BA66" s="33" t="str">
        <f t="shared" si="25"/>
        <v/>
      </c>
      <c r="BB66" s="218" t="str">
        <f t="shared" si="26"/>
        <v/>
      </c>
    </row>
    <row r="67" spans="1:54" x14ac:dyDescent="0.2">
      <c r="A67" t="str">
        <f>INDEX(Prioritization!$D:$D,MATCH($B67,Prioritization!$A:$A,0))</f>
        <v>INVALID</v>
      </c>
      <c r="B67" t="s">
        <v>316</v>
      </c>
      <c r="C67" t="s">
        <v>475</v>
      </c>
      <c r="D67" t="s">
        <v>30</v>
      </c>
      <c r="E67" t="str">
        <f t="shared" si="0"/>
        <v>Chiradzulu District [oiPR2CiVJbf]|15-24|Female</v>
      </c>
      <c r="F67" s="33">
        <f>IF(LEFT($B67,4)="_Mil","",INDEX(Cascade!$AA:$AA,MATCH($E67,Cascade!$E:$E,0)))</f>
        <v>0.92834955800000007</v>
      </c>
      <c r="G67" s="38">
        <f>INDEX(Cascade!$BH:$BH,MATCH($E67,Cascade!$E:$E,0))</f>
        <v>313</v>
      </c>
      <c r="H67" s="38" t="str">
        <f>IF(OR($C67="01-09",$D67="Male"),"",INDEX(PMTCT!$AC:$AC,MATCH($E67,PMTCT!$E:$E,0)))</f>
        <v/>
      </c>
      <c r="I67" s="38" t="str">
        <f>IF(OR($C67="01-09",$D67="Male"),"",INDEX(PMTCT!$AS:$AS,MATCH($E67,PMTCT!$E:$E,0)))</f>
        <v/>
      </c>
      <c r="J67" s="38">
        <f>INDEX(TB!$P:$P,MATCH($E67,TB!$E:$E,0))</f>
        <v>2</v>
      </c>
      <c r="K67" s="38" t="str">
        <f>IF(OR($C67="01-09",$C67="10-14",$D67="Female"),"",INDEX(VMMC!$AA:$AA,MATCH($E67,VMMC!$E:$E,0)))</f>
        <v/>
      </c>
      <c r="L67" s="38">
        <f t="shared" si="1"/>
        <v>311</v>
      </c>
      <c r="M67" s="33">
        <f t="shared" si="2"/>
        <v>0</v>
      </c>
      <c r="N67" s="33">
        <f t="shared" si="3"/>
        <v>0</v>
      </c>
      <c r="O67" s="33">
        <f t="shared" si="4"/>
        <v>6.3897763578274758E-3</v>
      </c>
      <c r="P67" s="33" t="str">
        <f t="shared" si="5"/>
        <v/>
      </c>
      <c r="Q67" s="33">
        <v>0.25</v>
      </c>
      <c r="R67" s="33">
        <v>0.05</v>
      </c>
      <c r="S67" s="33">
        <v>6.0000000000000001E-3</v>
      </c>
      <c r="T67" s="33">
        <v>0.05</v>
      </c>
      <c r="U67" s="33">
        <f t="shared" si="27"/>
        <v>0.63761022364217257</v>
      </c>
      <c r="V67" s="33">
        <f t="shared" si="6"/>
        <v>1</v>
      </c>
      <c r="W67" s="218">
        <f t="shared" si="7"/>
        <v>78</v>
      </c>
      <c r="X67" s="33">
        <v>0.21299999999999999</v>
      </c>
      <c r="Y67" s="218">
        <f t="shared" si="7"/>
        <v>78</v>
      </c>
      <c r="Z67" s="218">
        <f t="shared" si="8"/>
        <v>288</v>
      </c>
      <c r="AA67" s="33">
        <v>0.12</v>
      </c>
      <c r="AB67" s="218">
        <f t="shared" si="9"/>
        <v>16</v>
      </c>
      <c r="AC67" s="218">
        <f t="shared" si="10"/>
        <v>117</v>
      </c>
      <c r="AD67" s="33">
        <v>2E-3</v>
      </c>
      <c r="AE67" s="218">
        <f t="shared" si="11"/>
        <v>2</v>
      </c>
      <c r="AF67" s="218">
        <f t="shared" si="12"/>
        <v>998</v>
      </c>
      <c r="AG67" s="33">
        <v>0.02</v>
      </c>
      <c r="AH67" s="218">
        <f t="shared" si="13"/>
        <v>16</v>
      </c>
      <c r="AI67" s="218">
        <f t="shared" si="14"/>
        <v>784</v>
      </c>
      <c r="AJ67" s="33">
        <v>1.2E-2</v>
      </c>
      <c r="AK67" s="218">
        <f t="shared" si="15"/>
        <v>200</v>
      </c>
      <c r="AL67" s="218">
        <f t="shared" si="16"/>
        <v>16467</v>
      </c>
      <c r="AM67" s="38">
        <f t="shared" si="17"/>
        <v>313</v>
      </c>
      <c r="AN67" s="38">
        <f t="shared" si="18"/>
        <v>314</v>
      </c>
      <c r="AO67" s="38">
        <f t="shared" si="19"/>
        <v>1</v>
      </c>
      <c r="AP67" s="38" t="str">
        <f>IF(OR($C67="01-09",$D67="Male"),"",INDEX(PMTCT!$AD:$AD,MATCH($E67,PMTCT!$E:$E,0)))</f>
        <v/>
      </c>
      <c r="AQ67" s="38" t="str">
        <f>IF(OR($C67="01-09",$D67="Male"),"",INDEX(PMTCT!$AT:$AT,MATCH($E67,PMTCT!$E:$E,0)))</f>
        <v/>
      </c>
      <c r="AR67" s="38">
        <f>INDEX(TB!$Q:$Q,MATCH($E67,TB!$E:$E,0))</f>
        <v>25</v>
      </c>
      <c r="AS67" s="38" t="str">
        <f>IF(OR($C67="01-09",$C67="10-14",$D67="Female"),"",INDEX(VMMC!$AB:$AB,MATCH($E67,VMMC!$E:$E,0)))</f>
        <v/>
      </c>
      <c r="AT67" s="38">
        <f>IF(OR($C67="01-09",$C67="10-14"),"",INDEX(PrEP!$Q:$Q,MATCH($E67,PrEP!$E:$E,0)))</f>
        <v>184</v>
      </c>
      <c r="AU67" s="38">
        <f t="shared" si="20"/>
        <v>18863</v>
      </c>
      <c r="AV67" s="38">
        <f t="shared" si="21"/>
        <v>19177</v>
      </c>
      <c r="AW67" s="33">
        <f t="shared" si="22"/>
        <v>1.6373781091933045E-2</v>
      </c>
      <c r="AX67" s="38">
        <v>10182</v>
      </c>
      <c r="AY67" s="33">
        <f t="shared" ref="AY67:AY72" si="31">IF(OR($C67="01-09",SUM($AX67)=0),"",68%)</f>
        <v>0.68</v>
      </c>
      <c r="AZ67" s="218">
        <f t="shared" si="24"/>
        <v>17106</v>
      </c>
      <c r="BA67" s="33">
        <v>0.67</v>
      </c>
      <c r="BB67" s="218">
        <f t="shared" si="26"/>
        <v>210</v>
      </c>
    </row>
    <row r="68" spans="1:54" x14ac:dyDescent="0.2">
      <c r="A68" t="str">
        <f>INDEX(Prioritization!$D:$D,MATCH($B68,Prioritization!$A:$A,0))</f>
        <v>INVALID</v>
      </c>
      <c r="B68" t="s">
        <v>316</v>
      </c>
      <c r="C68" t="s">
        <v>475</v>
      </c>
      <c r="D68" t="s">
        <v>48</v>
      </c>
      <c r="E68" t="str">
        <f t="shared" si="0"/>
        <v>Chiradzulu District [oiPR2CiVJbf]|15-24|Male</v>
      </c>
      <c r="F68" s="33">
        <f>IF(LEFT($B68,4)="_Mil","",INDEX(Cascade!$AA:$AA,MATCH($E68,Cascade!$E:$E,0)))</f>
        <v>0.88935998699999985</v>
      </c>
      <c r="G68" s="38">
        <f>INDEX(Cascade!$BH:$BH,MATCH($E68,Cascade!$E:$E,0))</f>
        <v>137</v>
      </c>
      <c r="H68" s="38" t="str">
        <f>IF(OR($C68="01-09",$D68="Male"),"",INDEX(PMTCT!$AC:$AC,MATCH($E68,PMTCT!$E:$E,0)))</f>
        <v/>
      </c>
      <c r="I68" s="38" t="str">
        <f>IF(OR($C68="01-09",$D68="Male"),"",INDEX(PMTCT!$AS:$AS,MATCH($E68,PMTCT!$E:$E,0)))</f>
        <v/>
      </c>
      <c r="J68" s="38">
        <f>INDEX(TB!$P:$P,MATCH($E68,TB!$E:$E,0))</f>
        <v>3</v>
      </c>
      <c r="K68" s="38" t="str">
        <f>IF(OR($C68="01-09",$C68="10-14",$D68="Female"),"",INDEX(VMMC!$AA:$AA,MATCH($E68,VMMC!$E:$E,0)))</f>
        <v/>
      </c>
      <c r="L68" s="38">
        <f t="shared" si="1"/>
        <v>134</v>
      </c>
      <c r="M68" s="33" t="str">
        <f t="shared" si="2"/>
        <v/>
      </c>
      <c r="N68" s="33" t="str">
        <f t="shared" si="3"/>
        <v/>
      </c>
      <c r="O68" s="33">
        <f t="shared" si="4"/>
        <v>2.1897810218978103E-2</v>
      </c>
      <c r="P68" s="33">
        <f t="shared" si="5"/>
        <v>0</v>
      </c>
      <c r="Q68" s="33">
        <v>0.33027522935779802</v>
      </c>
      <c r="R68" s="33">
        <v>0.11</v>
      </c>
      <c r="S68" s="33">
        <v>1.4999999999999999E-2</v>
      </c>
      <c r="T68" s="33">
        <v>0.05</v>
      </c>
      <c r="U68" s="33">
        <f t="shared" si="27"/>
        <v>0.47282696042322381</v>
      </c>
      <c r="V68" s="33">
        <f t="shared" si="6"/>
        <v>1</v>
      </c>
      <c r="W68" s="218">
        <f t="shared" si="7"/>
        <v>45</v>
      </c>
      <c r="X68" s="33">
        <v>0.16300000000000001</v>
      </c>
      <c r="Y68" s="218">
        <f t="shared" si="7"/>
        <v>45</v>
      </c>
      <c r="Z68" s="218">
        <f t="shared" si="8"/>
        <v>231</v>
      </c>
      <c r="AA68" s="33">
        <v>0.12</v>
      </c>
      <c r="AB68" s="218">
        <f t="shared" si="9"/>
        <v>15</v>
      </c>
      <c r="AC68" s="218">
        <f t="shared" si="10"/>
        <v>110</v>
      </c>
      <c r="AD68" s="33">
        <v>0.02</v>
      </c>
      <c r="AE68" s="218">
        <f t="shared" si="11"/>
        <v>2</v>
      </c>
      <c r="AF68" s="218">
        <f t="shared" si="12"/>
        <v>98</v>
      </c>
      <c r="AG68" s="33">
        <v>0.02</v>
      </c>
      <c r="AH68" s="218">
        <f t="shared" si="13"/>
        <v>7</v>
      </c>
      <c r="AI68" s="218">
        <f t="shared" si="14"/>
        <v>343</v>
      </c>
      <c r="AJ68" s="33">
        <v>7.6E-3</v>
      </c>
      <c r="AK68" s="218">
        <f t="shared" si="15"/>
        <v>65</v>
      </c>
      <c r="AL68" s="218">
        <f t="shared" si="16"/>
        <v>8488</v>
      </c>
      <c r="AM68" s="38">
        <f t="shared" si="17"/>
        <v>137</v>
      </c>
      <c r="AN68" s="38">
        <f t="shared" si="18"/>
        <v>137</v>
      </c>
      <c r="AO68" s="38">
        <f t="shared" si="19"/>
        <v>0</v>
      </c>
      <c r="AP68" s="38" t="str">
        <f>IF(OR($C68="01-09",$D68="Male"),"",INDEX(PMTCT!$AD:$AD,MATCH($E68,PMTCT!$E:$E,0)))</f>
        <v/>
      </c>
      <c r="AQ68" s="38" t="str">
        <f>IF(OR($C68="01-09",$D68="Male"),"",INDEX(PMTCT!$AT:$AT,MATCH($E68,PMTCT!$E:$E,0)))</f>
        <v/>
      </c>
      <c r="AR68" s="38">
        <f>INDEX(TB!$Q:$Q,MATCH($E68,TB!$E:$E,0))</f>
        <v>41</v>
      </c>
      <c r="AS68" s="38" t="str">
        <f>IF(OR($C68="01-09",$C68="10-14",$D68="Female"),"",INDEX(VMMC!$AB:$AB,MATCH($E68,VMMC!$E:$E,0)))</f>
        <v/>
      </c>
      <c r="AT68" s="38">
        <f>IF(OR($C68="01-09",$C68="10-14"),"",INDEX(PrEP!$Q:$Q,MATCH($E68,PrEP!$E:$E,0)))</f>
        <v>96</v>
      </c>
      <c r="AU68" s="38">
        <f t="shared" si="20"/>
        <v>9407</v>
      </c>
      <c r="AV68" s="38">
        <f t="shared" si="21"/>
        <v>9544</v>
      </c>
      <c r="AW68" s="33">
        <f t="shared" si="22"/>
        <v>1.4354568315171836E-2</v>
      </c>
      <c r="AX68" s="38">
        <v>102</v>
      </c>
      <c r="AY68" s="33">
        <f t="shared" si="31"/>
        <v>0.68</v>
      </c>
      <c r="AZ68" s="218">
        <f t="shared" si="24"/>
        <v>171</v>
      </c>
      <c r="BA68" s="33">
        <v>0.67</v>
      </c>
      <c r="BB68" s="218">
        <f t="shared" si="26"/>
        <v>92</v>
      </c>
    </row>
    <row r="69" spans="1:54" x14ac:dyDescent="0.2">
      <c r="A69" t="str">
        <f>INDEX(Prioritization!$D:$D,MATCH($B69,Prioritization!$A:$A,0))</f>
        <v>INVALID</v>
      </c>
      <c r="B69" t="s">
        <v>316</v>
      </c>
      <c r="C69" t="s">
        <v>476</v>
      </c>
      <c r="D69" t="s">
        <v>30</v>
      </c>
      <c r="E69" t="str">
        <f t="shared" si="0"/>
        <v>Chiradzulu District [oiPR2CiVJbf]|25-34|Female</v>
      </c>
      <c r="F69" s="33">
        <f>IF(LEFT($B69,4)="_Mil","",INDEX(Cascade!$AA:$AA,MATCH($E69,Cascade!$E:$E,0)))</f>
        <v>0.96183478600000005</v>
      </c>
      <c r="G69" s="38">
        <f>INDEX(Cascade!$BH:$BH,MATCH($E69,Cascade!$E:$E,0))</f>
        <v>578</v>
      </c>
      <c r="H69" s="38" t="str">
        <f>IF(OR($C69="01-09",$D69="Male"),"",INDEX(PMTCT!$AC:$AC,MATCH($E69,PMTCT!$E:$E,0)))</f>
        <v/>
      </c>
      <c r="I69" s="38" t="str">
        <f>IF(OR($C69="01-09",$D69="Male"),"",INDEX(PMTCT!$AS:$AS,MATCH($E69,PMTCT!$E:$E,0)))</f>
        <v/>
      </c>
      <c r="J69" s="38">
        <f>INDEX(TB!$P:$P,MATCH($E69,TB!$E:$E,0))</f>
        <v>2</v>
      </c>
      <c r="K69" s="38" t="str">
        <f>IF(OR($C69="01-09",$C69="10-14",$D69="Female"),"",INDEX(VMMC!$AA:$AA,MATCH($E69,VMMC!$E:$E,0)))</f>
        <v/>
      </c>
      <c r="L69" s="38">
        <f t="shared" si="1"/>
        <v>576</v>
      </c>
      <c r="M69" s="33">
        <f t="shared" si="2"/>
        <v>0</v>
      </c>
      <c r="N69" s="33">
        <f t="shared" si="3"/>
        <v>0</v>
      </c>
      <c r="O69" s="33">
        <f t="shared" si="4"/>
        <v>3.4602076124567475E-3</v>
      </c>
      <c r="P69" s="33" t="str">
        <f t="shared" si="5"/>
        <v/>
      </c>
      <c r="Q69" s="33">
        <v>0.28041237113402101</v>
      </c>
      <c r="R69" s="33">
        <v>0.05</v>
      </c>
      <c r="S69" s="33">
        <v>0.02</v>
      </c>
      <c r="T69" s="33">
        <v>0.05</v>
      </c>
      <c r="U69" s="33">
        <f t="shared" si="27"/>
        <v>0.59612742125352225</v>
      </c>
      <c r="V69" s="33">
        <f t="shared" si="6"/>
        <v>1</v>
      </c>
      <c r="W69" s="218">
        <f t="shared" si="7"/>
        <v>162</v>
      </c>
      <c r="X69" s="33">
        <v>0.186</v>
      </c>
      <c r="Y69" s="218">
        <f t="shared" si="7"/>
        <v>162</v>
      </c>
      <c r="Z69" s="218">
        <f t="shared" si="8"/>
        <v>709</v>
      </c>
      <c r="AA69" s="33">
        <v>0.12</v>
      </c>
      <c r="AB69" s="218">
        <f t="shared" si="9"/>
        <v>29</v>
      </c>
      <c r="AC69" s="218">
        <f t="shared" si="10"/>
        <v>213</v>
      </c>
      <c r="AD69" s="33">
        <v>0.02</v>
      </c>
      <c r="AE69" s="218">
        <f t="shared" si="11"/>
        <v>12</v>
      </c>
      <c r="AF69" s="218">
        <f t="shared" si="12"/>
        <v>588</v>
      </c>
      <c r="AG69" s="33">
        <v>0.02</v>
      </c>
      <c r="AH69" s="218">
        <f t="shared" si="13"/>
        <v>29</v>
      </c>
      <c r="AI69" s="218">
        <f t="shared" si="14"/>
        <v>1421</v>
      </c>
      <c r="AJ69" s="33">
        <v>2.1000000000000001E-2</v>
      </c>
      <c r="AK69" s="218">
        <f t="shared" si="15"/>
        <v>345</v>
      </c>
      <c r="AL69" s="218">
        <f t="shared" si="16"/>
        <v>16084</v>
      </c>
      <c r="AM69" s="38">
        <f t="shared" si="17"/>
        <v>578</v>
      </c>
      <c r="AN69" s="38">
        <f t="shared" si="18"/>
        <v>579</v>
      </c>
      <c r="AO69" s="38">
        <f t="shared" si="19"/>
        <v>1</v>
      </c>
      <c r="AP69" s="38" t="str">
        <f>IF(OR($C69="01-09",$D69="Male"),"",INDEX(PMTCT!$AD:$AD,MATCH($E69,PMTCT!$E:$E,0)))</f>
        <v/>
      </c>
      <c r="AQ69" s="38" t="str">
        <f>IF(OR($C69="01-09",$D69="Male"),"",INDEX(PMTCT!$AT:$AT,MATCH($E69,PMTCT!$E:$E,0)))</f>
        <v/>
      </c>
      <c r="AR69" s="38">
        <f>INDEX(TB!$Q:$Q,MATCH($E69,TB!$E:$E,0))</f>
        <v>25</v>
      </c>
      <c r="AS69" s="38" t="str">
        <f>IF(OR($C69="01-09",$C69="10-14",$D69="Female"),"",INDEX(VMMC!$AB:$AB,MATCH($E69,VMMC!$E:$E,0)))</f>
        <v/>
      </c>
      <c r="AT69" s="38">
        <f>IF(OR($C69="01-09",$C69="10-14"),"",INDEX(PrEP!$Q:$Q,MATCH($E69,PrEP!$E:$E,0)))</f>
        <v>518</v>
      </c>
      <c r="AU69" s="38">
        <f t="shared" si="20"/>
        <v>19558</v>
      </c>
      <c r="AV69" s="38">
        <f t="shared" si="21"/>
        <v>20137</v>
      </c>
      <c r="AW69" s="33">
        <f t="shared" si="22"/>
        <v>2.8753041664597506E-2</v>
      </c>
      <c r="AX69" s="38">
        <v>839</v>
      </c>
      <c r="AY69" s="33">
        <f t="shared" si="31"/>
        <v>0.68</v>
      </c>
      <c r="AZ69" s="218">
        <f t="shared" si="24"/>
        <v>1410</v>
      </c>
      <c r="BA69" s="33">
        <v>0.67</v>
      </c>
      <c r="BB69" s="218">
        <f t="shared" si="26"/>
        <v>388</v>
      </c>
    </row>
    <row r="70" spans="1:54" x14ac:dyDescent="0.2">
      <c r="A70" t="str">
        <f>INDEX(Prioritization!$D:$D,MATCH($B70,Prioritization!$A:$A,0))</f>
        <v>INVALID</v>
      </c>
      <c r="B70" t="s">
        <v>316</v>
      </c>
      <c r="C70" t="s">
        <v>476</v>
      </c>
      <c r="D70" t="s">
        <v>48</v>
      </c>
      <c r="E70" t="str">
        <f t="shared" si="0"/>
        <v>Chiradzulu District [oiPR2CiVJbf]|25-34|Male</v>
      </c>
      <c r="F70" s="33">
        <f>IF(LEFT($B70,4)="_Mil","",INDEX(Cascade!$AA:$AA,MATCH($E70,Cascade!$E:$E,0)))</f>
        <v>0.85752875299999987</v>
      </c>
      <c r="G70" s="38">
        <f>INDEX(Cascade!$BH:$BH,MATCH($E70,Cascade!$E:$E,0))</f>
        <v>177</v>
      </c>
      <c r="H70" s="38" t="str">
        <f>IF(OR($C70="01-09",$D70="Male"),"",INDEX(PMTCT!$AC:$AC,MATCH($E70,PMTCT!$E:$E,0)))</f>
        <v/>
      </c>
      <c r="I70" s="38" t="str">
        <f>IF(OR($C70="01-09",$D70="Male"),"",INDEX(PMTCT!$AS:$AS,MATCH($E70,PMTCT!$E:$E,0)))</f>
        <v/>
      </c>
      <c r="J70" s="38">
        <f>INDEX(TB!$P:$P,MATCH($E70,TB!$E:$E,0))</f>
        <v>3</v>
      </c>
      <c r="K70" s="38" t="str">
        <f>IF(OR($C70="01-09",$C70="10-14",$D70="Female"),"",INDEX(VMMC!$AA:$AA,MATCH($E70,VMMC!$E:$E,0)))</f>
        <v/>
      </c>
      <c r="L70" s="38">
        <f t="shared" si="1"/>
        <v>174</v>
      </c>
      <c r="M70" s="33" t="str">
        <f t="shared" si="2"/>
        <v/>
      </c>
      <c r="N70" s="33" t="str">
        <f t="shared" si="3"/>
        <v/>
      </c>
      <c r="O70" s="33">
        <f t="shared" si="4"/>
        <v>1.6949152542372881E-2</v>
      </c>
      <c r="P70" s="33">
        <f t="shared" si="5"/>
        <v>0</v>
      </c>
      <c r="Q70" s="33">
        <v>0.36956521739130399</v>
      </c>
      <c r="R70" s="33">
        <v>0.11</v>
      </c>
      <c r="S70" s="33">
        <v>1.4999999999999999E-2</v>
      </c>
      <c r="T70" s="33">
        <v>0.05</v>
      </c>
      <c r="U70" s="33">
        <f t="shared" si="27"/>
        <v>0.43848563006632313</v>
      </c>
      <c r="V70" s="33">
        <f t="shared" si="6"/>
        <v>1</v>
      </c>
      <c r="W70" s="218">
        <f t="shared" si="7"/>
        <v>65</v>
      </c>
      <c r="X70" s="33">
        <v>0.13300000000000001</v>
      </c>
      <c r="Y70" s="218">
        <f t="shared" si="7"/>
        <v>65</v>
      </c>
      <c r="Z70" s="218">
        <f t="shared" si="8"/>
        <v>424</v>
      </c>
      <c r="AA70" s="33">
        <v>0.12</v>
      </c>
      <c r="AB70" s="218">
        <f t="shared" si="9"/>
        <v>19</v>
      </c>
      <c r="AC70" s="218">
        <f t="shared" si="10"/>
        <v>139</v>
      </c>
      <c r="AD70" s="33">
        <v>0.02</v>
      </c>
      <c r="AE70" s="218">
        <f t="shared" si="11"/>
        <v>3</v>
      </c>
      <c r="AF70" s="218">
        <f t="shared" si="12"/>
        <v>147</v>
      </c>
      <c r="AG70" s="33">
        <v>0.02</v>
      </c>
      <c r="AH70" s="218">
        <f t="shared" si="13"/>
        <v>9</v>
      </c>
      <c r="AI70" s="218">
        <f t="shared" si="14"/>
        <v>441</v>
      </c>
      <c r="AJ70" s="33">
        <v>3.3000000000000002E-2</v>
      </c>
      <c r="AK70" s="218">
        <f t="shared" si="15"/>
        <v>78</v>
      </c>
      <c r="AL70" s="218">
        <f t="shared" si="16"/>
        <v>2286</v>
      </c>
      <c r="AM70" s="38">
        <f t="shared" si="17"/>
        <v>177</v>
      </c>
      <c r="AN70" s="38">
        <f t="shared" si="18"/>
        <v>177</v>
      </c>
      <c r="AO70" s="38">
        <f t="shared" si="19"/>
        <v>0</v>
      </c>
      <c r="AP70" s="38" t="str">
        <f>IF(OR($C70="01-09",$D70="Male"),"",INDEX(PMTCT!$AD:$AD,MATCH($E70,PMTCT!$E:$E,0)))</f>
        <v/>
      </c>
      <c r="AQ70" s="38" t="str">
        <f>IF(OR($C70="01-09",$D70="Male"),"",INDEX(PMTCT!$AT:$AT,MATCH($E70,PMTCT!$E:$E,0)))</f>
        <v/>
      </c>
      <c r="AR70" s="38">
        <f>INDEX(TB!$Q:$Q,MATCH($E70,TB!$E:$E,0))</f>
        <v>41</v>
      </c>
      <c r="AS70" s="38" t="str">
        <f>IF(OR($C70="01-09",$C70="10-14",$D70="Female"),"",INDEX(VMMC!$AB:$AB,MATCH($E70,VMMC!$E:$E,0)))</f>
        <v/>
      </c>
      <c r="AT70" s="38">
        <f>IF(OR($C70="01-09",$C70="10-14"),"",INDEX(PrEP!$Q:$Q,MATCH($E70,PrEP!$E:$E,0)))</f>
        <v>512</v>
      </c>
      <c r="AU70" s="38">
        <f t="shared" si="20"/>
        <v>3990</v>
      </c>
      <c r="AV70" s="38">
        <f t="shared" si="21"/>
        <v>4167</v>
      </c>
      <c r="AW70" s="33">
        <f t="shared" si="22"/>
        <v>4.2476601871850254E-2</v>
      </c>
      <c r="AX70" s="38">
        <v>123</v>
      </c>
      <c r="AY70" s="33">
        <f t="shared" si="31"/>
        <v>0.68</v>
      </c>
      <c r="AZ70" s="218">
        <f t="shared" si="24"/>
        <v>207</v>
      </c>
      <c r="BA70" s="33">
        <v>0.67</v>
      </c>
      <c r="BB70" s="218">
        <f t="shared" si="26"/>
        <v>119</v>
      </c>
    </row>
    <row r="71" spans="1:54" x14ac:dyDescent="0.2">
      <c r="A71" t="str">
        <f>INDEX(Prioritization!$D:$D,MATCH($B71,Prioritization!$A:$A,0))</f>
        <v>INVALID</v>
      </c>
      <c r="B71" t="s">
        <v>316</v>
      </c>
      <c r="C71" t="s">
        <v>477</v>
      </c>
      <c r="D71" t="s">
        <v>30</v>
      </c>
      <c r="E71" t="str">
        <f t="shared" si="0"/>
        <v>Chiradzulu District [oiPR2CiVJbf]|35-49|Female</v>
      </c>
      <c r="F71" s="33">
        <f>IF(LEFT($B71,4)="_Mil","",INDEX(Cascade!$AA:$AA,MATCH($E71,Cascade!$E:$E,0)))</f>
        <v>0.98102772299999985</v>
      </c>
      <c r="G71" s="38">
        <f>INDEX(Cascade!$BH:$BH,MATCH($E71,Cascade!$E:$E,0))</f>
        <v>302</v>
      </c>
      <c r="H71" s="38" t="str">
        <f>IF(OR($C71="01-09",$D71="Male"),"",INDEX(PMTCT!$AC:$AC,MATCH($E71,PMTCT!$E:$E,0)))</f>
        <v/>
      </c>
      <c r="I71" s="38" t="str">
        <f>IF(OR($C71="01-09",$D71="Male"),"",INDEX(PMTCT!$AS:$AS,MATCH($E71,PMTCT!$E:$E,0)))</f>
        <v/>
      </c>
      <c r="J71" s="38">
        <f>INDEX(TB!$P:$P,MATCH($E71,TB!$E:$E,0))</f>
        <v>2</v>
      </c>
      <c r="K71" s="38" t="str">
        <f>IF(OR($C71="01-09",$C71="10-14",$D71="Female"),"",INDEX(VMMC!$AA:$AA,MATCH($E71,VMMC!$E:$E,0)))</f>
        <v/>
      </c>
      <c r="L71" s="38">
        <f t="shared" si="1"/>
        <v>300</v>
      </c>
      <c r="M71" s="33">
        <f t="shared" si="2"/>
        <v>0</v>
      </c>
      <c r="N71" s="33">
        <f t="shared" si="3"/>
        <v>0</v>
      </c>
      <c r="O71" s="33">
        <f t="shared" si="4"/>
        <v>6.6225165562913907E-3</v>
      </c>
      <c r="P71" s="33" t="str">
        <f t="shared" si="5"/>
        <v/>
      </c>
      <c r="Q71" s="33">
        <v>0.30970149253731299</v>
      </c>
      <c r="R71" s="33">
        <v>0.05</v>
      </c>
      <c r="S71" s="33"/>
      <c r="T71" s="33">
        <v>0.05</v>
      </c>
      <c r="U71" s="33">
        <f t="shared" si="27"/>
        <v>0.58367599090639566</v>
      </c>
      <c r="V71" s="33">
        <f t="shared" si="6"/>
        <v>1</v>
      </c>
      <c r="W71" s="218">
        <f t="shared" si="7"/>
        <v>94</v>
      </c>
      <c r="X71" s="33">
        <v>0.17899999999999999</v>
      </c>
      <c r="Y71" s="218">
        <f t="shared" si="7"/>
        <v>94</v>
      </c>
      <c r="Z71" s="218">
        <f t="shared" si="8"/>
        <v>431</v>
      </c>
      <c r="AA71" s="33">
        <v>0.12</v>
      </c>
      <c r="AB71" s="218">
        <f t="shared" si="9"/>
        <v>15</v>
      </c>
      <c r="AC71" s="218">
        <f t="shared" si="10"/>
        <v>110</v>
      </c>
      <c r="AD71" s="33">
        <v>0.02</v>
      </c>
      <c r="AE71" s="218" t="str">
        <f t="shared" si="11"/>
        <v/>
      </c>
      <c r="AF71" s="218" t="str">
        <f t="shared" si="12"/>
        <v/>
      </c>
      <c r="AG71" s="33">
        <v>0.02</v>
      </c>
      <c r="AH71" s="218">
        <f t="shared" si="13"/>
        <v>15</v>
      </c>
      <c r="AI71" s="218">
        <f t="shared" si="14"/>
        <v>735</v>
      </c>
      <c r="AJ71" s="33">
        <v>0.03</v>
      </c>
      <c r="AK71" s="218">
        <f t="shared" si="15"/>
        <v>176</v>
      </c>
      <c r="AL71" s="218">
        <f t="shared" si="16"/>
        <v>5691</v>
      </c>
      <c r="AM71" s="38">
        <f t="shared" si="17"/>
        <v>302</v>
      </c>
      <c r="AN71" s="38">
        <f t="shared" si="18"/>
        <v>302</v>
      </c>
      <c r="AO71" s="38">
        <f t="shared" si="19"/>
        <v>0</v>
      </c>
      <c r="AP71" s="38" t="str">
        <f>IF(OR($C71="01-09",$D71="Male"),"",INDEX(PMTCT!$AD:$AD,MATCH($E71,PMTCT!$E:$E,0)))</f>
        <v/>
      </c>
      <c r="AQ71" s="38" t="str">
        <f>IF(OR($C71="01-09",$D71="Male"),"",INDEX(PMTCT!$AT:$AT,MATCH($E71,PMTCT!$E:$E,0)))</f>
        <v/>
      </c>
      <c r="AR71" s="38">
        <f>INDEX(TB!$Q:$Q,MATCH($E71,TB!$E:$E,0))</f>
        <v>39</v>
      </c>
      <c r="AS71" s="38" t="str">
        <f>IF(OR($C71="01-09",$C71="10-14",$D71="Female"),"",INDEX(VMMC!$AB:$AB,MATCH($E71,VMMC!$E:$E,0)))</f>
        <v/>
      </c>
      <c r="AT71" s="38">
        <f>IF(OR($C71="01-09",$C71="10-14"),"",INDEX(PrEP!$Q:$Q,MATCH($E71,PrEP!$E:$E,0)))</f>
        <v>190</v>
      </c>
      <c r="AU71" s="38">
        <f t="shared" si="20"/>
        <v>7196</v>
      </c>
      <c r="AV71" s="38">
        <f t="shared" si="21"/>
        <v>7498.0000000000009</v>
      </c>
      <c r="AW71" s="33">
        <f t="shared" si="22"/>
        <v>4.0277407308615627E-2</v>
      </c>
      <c r="AX71" s="38">
        <v>154</v>
      </c>
      <c r="AY71" s="33">
        <f t="shared" si="31"/>
        <v>0.68</v>
      </c>
      <c r="AZ71" s="218">
        <f t="shared" si="24"/>
        <v>259</v>
      </c>
      <c r="BA71" s="33">
        <v>0.67</v>
      </c>
      <c r="BB71" s="218">
        <f t="shared" si="26"/>
        <v>202</v>
      </c>
    </row>
    <row r="72" spans="1:54" x14ac:dyDescent="0.2">
      <c r="A72" t="str">
        <f>INDEX(Prioritization!$D:$D,MATCH($B72,Prioritization!$A:$A,0))</f>
        <v>INVALID</v>
      </c>
      <c r="B72" t="s">
        <v>316</v>
      </c>
      <c r="C72" t="s">
        <v>477</v>
      </c>
      <c r="D72" t="s">
        <v>48</v>
      </c>
      <c r="E72" t="str">
        <f t="shared" si="0"/>
        <v>Chiradzulu District [oiPR2CiVJbf]|35-49|Male</v>
      </c>
      <c r="F72" s="33">
        <f>IF(LEFT($B72,4)="_Mil","",INDEX(Cascade!$AA:$AA,MATCH($E72,Cascade!$E:$E,0)))</f>
        <v>0.91152878199999998</v>
      </c>
      <c r="G72" s="38">
        <f>INDEX(Cascade!$BH:$BH,MATCH($E72,Cascade!$E:$E,0))</f>
        <v>677</v>
      </c>
      <c r="H72" s="38" t="str">
        <f>IF(OR($C72="01-09",$D72="Male"),"",INDEX(PMTCT!$AC:$AC,MATCH($E72,PMTCT!$E:$E,0)))</f>
        <v/>
      </c>
      <c r="I72" s="38" t="str">
        <f>IF(OR($C72="01-09",$D72="Male"),"",INDEX(PMTCT!$AS:$AS,MATCH($E72,PMTCT!$E:$E,0)))</f>
        <v/>
      </c>
      <c r="J72" s="38">
        <f>INDEX(TB!$P:$P,MATCH($E72,TB!$E:$E,0))</f>
        <v>4</v>
      </c>
      <c r="K72" s="38" t="str">
        <f>IF(OR($C72="01-09",$C72="10-14",$D72="Female"),"",INDEX(VMMC!$AA:$AA,MATCH($E72,VMMC!$E:$E,0)))</f>
        <v/>
      </c>
      <c r="L72" s="38">
        <f t="shared" si="1"/>
        <v>673</v>
      </c>
      <c r="M72" s="33" t="str">
        <f t="shared" si="2"/>
        <v/>
      </c>
      <c r="N72" s="33" t="str">
        <f t="shared" si="3"/>
        <v/>
      </c>
      <c r="O72" s="33">
        <f t="shared" si="4"/>
        <v>5.9084194977843431E-3</v>
      </c>
      <c r="P72" s="33">
        <f t="shared" si="5"/>
        <v>0</v>
      </c>
      <c r="Q72" s="33">
        <v>0.39172749391727502</v>
      </c>
      <c r="R72" s="33">
        <v>0.11</v>
      </c>
      <c r="S72" s="33">
        <v>1.4999999999999999E-2</v>
      </c>
      <c r="T72" s="33">
        <v>0.05</v>
      </c>
      <c r="U72" s="33">
        <f t="shared" si="27"/>
        <v>0.42736408658494052</v>
      </c>
      <c r="V72" s="33">
        <f t="shared" si="6"/>
        <v>1</v>
      </c>
      <c r="W72" s="218">
        <f t="shared" si="7"/>
        <v>265</v>
      </c>
      <c r="X72" s="33">
        <v>0.186</v>
      </c>
      <c r="Y72" s="218">
        <f t="shared" si="7"/>
        <v>265</v>
      </c>
      <c r="Z72" s="218">
        <f t="shared" si="8"/>
        <v>1160</v>
      </c>
      <c r="AA72" s="33">
        <v>0.12</v>
      </c>
      <c r="AB72" s="218">
        <f t="shared" si="9"/>
        <v>74</v>
      </c>
      <c r="AC72" s="218">
        <f t="shared" si="10"/>
        <v>543</v>
      </c>
      <c r="AD72" s="33">
        <v>0.02</v>
      </c>
      <c r="AE72" s="218">
        <f t="shared" si="11"/>
        <v>10</v>
      </c>
      <c r="AF72" s="218">
        <f t="shared" si="12"/>
        <v>490</v>
      </c>
      <c r="AG72" s="33">
        <v>0.02</v>
      </c>
      <c r="AH72" s="218">
        <f t="shared" si="13"/>
        <v>34</v>
      </c>
      <c r="AI72" s="218">
        <f t="shared" si="14"/>
        <v>1666</v>
      </c>
      <c r="AJ72" s="33">
        <v>6.6000000000000003E-2</v>
      </c>
      <c r="AK72" s="218">
        <f t="shared" si="15"/>
        <v>289</v>
      </c>
      <c r="AL72" s="218">
        <f t="shared" si="16"/>
        <v>4090</v>
      </c>
      <c r="AM72" s="38">
        <f t="shared" si="17"/>
        <v>677</v>
      </c>
      <c r="AN72" s="38">
        <f t="shared" si="18"/>
        <v>676</v>
      </c>
      <c r="AO72" s="38">
        <f t="shared" si="19"/>
        <v>-1</v>
      </c>
      <c r="AP72" s="38" t="str">
        <f>IF(OR($C72="01-09",$D72="Male"),"",INDEX(PMTCT!$AD:$AD,MATCH($E72,PMTCT!$E:$E,0)))</f>
        <v/>
      </c>
      <c r="AQ72" s="38" t="str">
        <f>IF(OR($C72="01-09",$D72="Male"),"",INDEX(PMTCT!$AT:$AT,MATCH($E72,PMTCT!$E:$E,0)))</f>
        <v/>
      </c>
      <c r="AR72" s="38">
        <f>INDEX(TB!$Q:$Q,MATCH($E72,TB!$E:$E,0))</f>
        <v>62</v>
      </c>
      <c r="AS72" s="38" t="str">
        <f>IF(OR($C72="01-09",$C72="10-14",$D72="Female"),"",INDEX(VMMC!$AB:$AB,MATCH($E72,VMMC!$E:$E,0)))</f>
        <v/>
      </c>
      <c r="AT72" s="38">
        <f>IF(OR($C72="01-09",$C72="10-14"),"",INDEX(PrEP!$Q:$Q,MATCH($E72,PrEP!$E:$E,0)))</f>
        <v>126</v>
      </c>
      <c r="AU72" s="38">
        <f t="shared" si="20"/>
        <v>8137.0000000000009</v>
      </c>
      <c r="AV72" s="38">
        <f t="shared" si="21"/>
        <v>8813</v>
      </c>
      <c r="AW72" s="33">
        <f t="shared" si="22"/>
        <v>7.6704867808918636E-2</v>
      </c>
      <c r="AX72" s="38">
        <v>105</v>
      </c>
      <c r="AY72" s="33">
        <f t="shared" si="31"/>
        <v>0.68</v>
      </c>
      <c r="AZ72" s="218">
        <f t="shared" si="24"/>
        <v>176</v>
      </c>
      <c r="BA72" s="33">
        <v>0.67</v>
      </c>
      <c r="BB72" s="218">
        <f t="shared" si="26"/>
        <v>453</v>
      </c>
    </row>
    <row r="73" spans="1:54" x14ac:dyDescent="0.2">
      <c r="A73" t="str">
        <f>INDEX(Prioritization!$D:$D,MATCH($B73,Prioritization!$A:$A,0))</f>
        <v>INVALID</v>
      </c>
      <c r="B73" t="s">
        <v>316</v>
      </c>
      <c r="C73" t="s">
        <v>478</v>
      </c>
      <c r="D73" t="s">
        <v>30</v>
      </c>
      <c r="E73" t="str">
        <f t="shared" si="0"/>
        <v>Chiradzulu District [oiPR2CiVJbf]|50+|Female</v>
      </c>
      <c r="F73" s="33">
        <f>IF(LEFT($B73,4)="_Mil","",INDEX(Cascade!$AA:$AA,MATCH($E73,Cascade!$E:$E,0)))</f>
        <v>0.98703662199999986</v>
      </c>
      <c r="G73" s="38">
        <f>INDEX(Cascade!$BH:$BH,MATCH($E73,Cascade!$E:$E,0))</f>
        <v>133</v>
      </c>
      <c r="H73" s="38" t="str">
        <f>IF(OR($C73="01-09",$D73="Male"),"",INDEX(PMTCT!$AC:$AC,MATCH($E73,PMTCT!$E:$E,0)))</f>
        <v/>
      </c>
      <c r="I73" s="38" t="str">
        <f>IF(OR($C73="01-09",$D73="Male"),"",INDEX(PMTCT!$AS:$AS,MATCH($E73,PMTCT!$E:$E,0)))</f>
        <v/>
      </c>
      <c r="J73" s="38">
        <f>INDEX(TB!$P:$P,MATCH($E73,TB!$E:$E,0))</f>
        <v>1</v>
      </c>
      <c r="K73" s="38" t="str">
        <f>IF(OR($C73="01-09",$C73="10-14",$D73="Female"),"",INDEX(VMMC!$AA:$AA,MATCH($E73,VMMC!$E:$E,0)))</f>
        <v/>
      </c>
      <c r="L73" s="38">
        <f t="shared" si="1"/>
        <v>132</v>
      </c>
      <c r="M73" s="33">
        <f t="shared" si="2"/>
        <v>0</v>
      </c>
      <c r="N73" s="33">
        <f t="shared" si="3"/>
        <v>0</v>
      </c>
      <c r="O73" s="33">
        <f t="shared" si="4"/>
        <v>7.5187969924812026E-3</v>
      </c>
      <c r="P73" s="33" t="str">
        <f t="shared" si="5"/>
        <v/>
      </c>
      <c r="Q73" s="33">
        <v>0.15</v>
      </c>
      <c r="R73" s="33">
        <v>0.06</v>
      </c>
      <c r="S73" s="33"/>
      <c r="T73" s="33">
        <v>0.05</v>
      </c>
      <c r="U73" s="33">
        <f t="shared" si="27"/>
        <v>0.73248120300751873</v>
      </c>
      <c r="V73" s="33">
        <f t="shared" si="6"/>
        <v>1</v>
      </c>
      <c r="W73" s="218">
        <f t="shared" si="7"/>
        <v>20</v>
      </c>
      <c r="X73" s="33">
        <v>0.222</v>
      </c>
      <c r="Y73" s="218">
        <f t="shared" si="7"/>
        <v>20</v>
      </c>
      <c r="Z73" s="218">
        <f t="shared" si="8"/>
        <v>70</v>
      </c>
      <c r="AA73" s="33">
        <v>0.12</v>
      </c>
      <c r="AB73" s="218">
        <f t="shared" si="9"/>
        <v>8</v>
      </c>
      <c r="AC73" s="218">
        <f t="shared" si="10"/>
        <v>59</v>
      </c>
      <c r="AD73" s="33">
        <v>0.02</v>
      </c>
      <c r="AE73" s="218" t="str">
        <f t="shared" si="11"/>
        <v/>
      </c>
      <c r="AF73" s="218" t="str">
        <f t="shared" si="12"/>
        <v/>
      </c>
      <c r="AG73" s="33">
        <v>0.02</v>
      </c>
      <c r="AH73" s="218">
        <f t="shared" si="13"/>
        <v>7</v>
      </c>
      <c r="AI73" s="218">
        <f t="shared" si="14"/>
        <v>343</v>
      </c>
      <c r="AJ73" s="33">
        <v>2.8000000000000001E-2</v>
      </c>
      <c r="AK73" s="218">
        <f t="shared" si="15"/>
        <v>97</v>
      </c>
      <c r="AL73" s="218">
        <f t="shared" si="16"/>
        <v>3367</v>
      </c>
      <c r="AM73" s="38">
        <f t="shared" si="17"/>
        <v>133</v>
      </c>
      <c r="AN73" s="38">
        <f t="shared" si="18"/>
        <v>133</v>
      </c>
      <c r="AO73" s="38">
        <f t="shared" si="19"/>
        <v>0</v>
      </c>
      <c r="AP73" s="38" t="str">
        <f>IF(OR($C73="01-09",$D73="Male"),"",INDEX(PMTCT!$AD:$AD,MATCH($E73,PMTCT!$E:$E,0)))</f>
        <v/>
      </c>
      <c r="AQ73" s="38" t="str">
        <f>IF(OR($C73="01-09",$D73="Male"),"",INDEX(PMTCT!$AT:$AT,MATCH($E73,PMTCT!$E:$E,0)))</f>
        <v/>
      </c>
      <c r="AR73" s="38">
        <f>INDEX(TB!$Q:$Q,MATCH($E73,TB!$E:$E,0))</f>
        <v>13</v>
      </c>
      <c r="AS73" s="38" t="str">
        <f>IF(OR($C73="01-09",$C73="10-14",$D73="Female"),"",INDEX(VMMC!$AB:$AB,MATCH($E73,VMMC!$E:$E,0)))</f>
        <v/>
      </c>
      <c r="AT73" s="38">
        <f>IF(OR($C73="01-09",$C73="10-14"),"",INDEX(PrEP!$Q:$Q,MATCH($E73,PrEP!$E:$E,0)))</f>
        <v>36</v>
      </c>
      <c r="AU73" s="38">
        <f t="shared" si="20"/>
        <v>3887.9999999999995</v>
      </c>
      <c r="AV73" s="38">
        <f t="shared" si="21"/>
        <v>4021</v>
      </c>
      <c r="AW73" s="33">
        <f t="shared" si="22"/>
        <v>3.3076349166873915E-2</v>
      </c>
      <c r="AX73" s="38">
        <v>126</v>
      </c>
      <c r="AY73" s="33">
        <f t="shared" si="23"/>
        <v>0</v>
      </c>
      <c r="AZ73" s="218">
        <f t="shared" si="24"/>
        <v>126</v>
      </c>
      <c r="BA73" s="33">
        <v>0.67</v>
      </c>
      <c r="BB73" s="218">
        <f t="shared" si="26"/>
        <v>89</v>
      </c>
    </row>
    <row r="74" spans="1:54" x14ac:dyDescent="0.2">
      <c r="A74" t="str">
        <f>INDEX(Prioritization!$D:$D,MATCH($B74,Prioritization!$A:$A,0))</f>
        <v>INVALID</v>
      </c>
      <c r="B74" t="s">
        <v>316</v>
      </c>
      <c r="C74" t="s">
        <v>478</v>
      </c>
      <c r="D74" t="s">
        <v>48</v>
      </c>
      <c r="E74" t="str">
        <f t="shared" si="0"/>
        <v>Chiradzulu District [oiPR2CiVJbf]|50+|Male</v>
      </c>
      <c r="F74" s="33">
        <f>IF(LEFT($B74,4)="_Mil","",INDEX(Cascade!$AA:$AA,MATCH($E74,Cascade!$E:$E,0)))</f>
        <v>0.93965161799999997</v>
      </c>
      <c r="G74" s="38">
        <f>INDEX(Cascade!$BH:$BH,MATCH($E74,Cascade!$E:$E,0))</f>
        <v>104</v>
      </c>
      <c r="H74" s="38" t="str">
        <f>IF(OR($C74="01-09",$D74="Male"),"",INDEX(PMTCT!$AC:$AC,MATCH($E74,PMTCT!$E:$E,0)))</f>
        <v/>
      </c>
      <c r="I74" s="38" t="str">
        <f>IF(OR($C74="01-09",$D74="Male"),"",INDEX(PMTCT!$AS:$AS,MATCH($E74,PMTCT!$E:$E,0)))</f>
        <v/>
      </c>
      <c r="J74" s="38">
        <f>INDEX(TB!$P:$P,MATCH($E74,TB!$E:$E,0))</f>
        <v>1</v>
      </c>
      <c r="K74" s="38" t="str">
        <f>IF(OR($C74="01-09",$C74="10-14",$D74="Female"),"",INDEX(VMMC!$AA:$AA,MATCH($E74,VMMC!$E:$E,0)))</f>
        <v/>
      </c>
      <c r="L74" s="38">
        <f t="shared" si="1"/>
        <v>103</v>
      </c>
      <c r="M74" s="33" t="str">
        <f t="shared" si="2"/>
        <v/>
      </c>
      <c r="N74" s="33" t="str">
        <f t="shared" si="3"/>
        <v/>
      </c>
      <c r="O74" s="33">
        <f t="shared" si="4"/>
        <v>9.6153846153846159E-3</v>
      </c>
      <c r="P74" s="33">
        <f t="shared" si="5"/>
        <v>0</v>
      </c>
      <c r="Q74" s="33">
        <v>0.15</v>
      </c>
      <c r="R74" s="33">
        <v>0.06</v>
      </c>
      <c r="S74" s="33"/>
      <c r="T74" s="33">
        <v>0.05</v>
      </c>
      <c r="U74" s="33">
        <f t="shared" si="27"/>
        <v>0.73038461538461541</v>
      </c>
      <c r="V74" s="33">
        <f t="shared" si="6"/>
        <v>1</v>
      </c>
      <c r="W74" s="218">
        <f t="shared" si="7"/>
        <v>16</v>
      </c>
      <c r="X74" s="33">
        <v>0.16200000000000001</v>
      </c>
      <c r="Y74" s="218">
        <f t="shared" si="7"/>
        <v>16</v>
      </c>
      <c r="Z74" s="218">
        <f t="shared" si="8"/>
        <v>83</v>
      </c>
      <c r="AA74" s="33">
        <v>0.12</v>
      </c>
      <c r="AB74" s="218">
        <f t="shared" si="9"/>
        <v>6</v>
      </c>
      <c r="AC74" s="218">
        <f t="shared" si="10"/>
        <v>44</v>
      </c>
      <c r="AD74" s="33">
        <v>0.02</v>
      </c>
      <c r="AE74" s="218" t="str">
        <f t="shared" si="11"/>
        <v/>
      </c>
      <c r="AF74" s="218" t="str">
        <f t="shared" si="12"/>
        <v/>
      </c>
      <c r="AG74" s="33">
        <v>0.02</v>
      </c>
      <c r="AH74" s="218">
        <f t="shared" si="13"/>
        <v>5</v>
      </c>
      <c r="AI74" s="218">
        <f t="shared" si="14"/>
        <v>245</v>
      </c>
      <c r="AJ74" s="33">
        <v>3.7999999999999999E-2</v>
      </c>
      <c r="AK74" s="218">
        <f t="shared" si="15"/>
        <v>76</v>
      </c>
      <c r="AL74" s="218">
        <f t="shared" si="16"/>
        <v>1924</v>
      </c>
      <c r="AM74" s="38">
        <f t="shared" si="17"/>
        <v>104</v>
      </c>
      <c r="AN74" s="38">
        <f t="shared" si="18"/>
        <v>104</v>
      </c>
      <c r="AO74" s="38">
        <f t="shared" si="19"/>
        <v>0</v>
      </c>
      <c r="AP74" s="38" t="str">
        <f>IF(OR($C74="01-09",$D74="Male"),"",INDEX(PMTCT!$AD:$AD,MATCH($E74,PMTCT!$E:$E,0)))</f>
        <v/>
      </c>
      <c r="AQ74" s="38" t="str">
        <f>IF(OR($C74="01-09",$D74="Male"),"",INDEX(PMTCT!$AT:$AT,MATCH($E74,PMTCT!$E:$E,0)))</f>
        <v/>
      </c>
      <c r="AR74" s="38">
        <f>INDEX(TB!$Q:$Q,MATCH($E74,TB!$E:$E,0))</f>
        <v>21</v>
      </c>
      <c r="AS74" s="38" t="str">
        <f>IF(OR($C74="01-09",$C74="10-14",$D74="Female"),"",INDEX(VMMC!$AB:$AB,MATCH($E74,VMMC!$E:$E,0)))</f>
        <v/>
      </c>
      <c r="AT74" s="38">
        <f>IF(OR($C74="01-09",$C74="10-14"),"",INDEX(PrEP!$Q:$Q,MATCH($E74,PrEP!$E:$E,0)))</f>
        <v>42</v>
      </c>
      <c r="AU74" s="38">
        <f t="shared" si="20"/>
        <v>2359</v>
      </c>
      <c r="AV74" s="38">
        <f t="shared" si="21"/>
        <v>2463</v>
      </c>
      <c r="AW74" s="33">
        <f t="shared" si="22"/>
        <v>4.2224928948436866E-2</v>
      </c>
      <c r="AX74" s="38">
        <v>100</v>
      </c>
      <c r="AY74" s="33">
        <f t="shared" si="23"/>
        <v>0</v>
      </c>
      <c r="AZ74" s="218">
        <f t="shared" si="24"/>
        <v>100</v>
      </c>
      <c r="BA74" s="33">
        <v>0.67</v>
      </c>
      <c r="BB74" s="218">
        <f t="shared" si="26"/>
        <v>70</v>
      </c>
    </row>
    <row r="75" spans="1:54" x14ac:dyDescent="0.2">
      <c r="A75" t="str">
        <f>INDEX(Prioritization!$D:$D,MATCH($B75,Prioritization!$A:$A,0))</f>
        <v>4 - Sustained</v>
      </c>
      <c r="B75" t="s">
        <v>307</v>
      </c>
      <c r="C75" t="s">
        <v>473</v>
      </c>
      <c r="D75" t="s">
        <v>30</v>
      </c>
      <c r="E75" t="str">
        <f t="shared" si="0"/>
        <v>Chitipa District [GkIwZrXy1h2]|01-09|Female</v>
      </c>
      <c r="F75" s="33">
        <f>IF(LEFT($B75,4)="_Mil","",INDEX(Cascade!$AA:$AA,MATCH($E75,Cascade!$E:$E,0)))</f>
        <v>0.71373950399999997</v>
      </c>
      <c r="G75" s="38">
        <f>INDEX(Cascade!$BH:$BH,MATCH($E75,Cascade!$E:$E,0))</f>
        <v>0</v>
      </c>
      <c r="H75" s="38" t="str">
        <f>IF(OR($C75="01-09",$D75="Male"),"",INDEX(PMTCT!$AC:$AC,MATCH($E75,PMTCT!$E:$E,0)))</f>
        <v/>
      </c>
      <c r="I75" s="38" t="str">
        <f>IF(OR($C75="01-09",$D75="Male"),"",INDEX(PMTCT!$AS:$AS,MATCH($E75,PMTCT!$E:$E,0)))</f>
        <v/>
      </c>
      <c r="J75" s="38">
        <f>INDEX(TB!$P:$P,MATCH($E75,TB!$E:$E,0))</f>
        <v>0</v>
      </c>
      <c r="K75" s="38" t="str">
        <f>IF(OR($C75="01-09",$C75="10-14",$D75="Female"),"",INDEX(VMMC!$AA:$AA,MATCH($E75,VMMC!$E:$E,0)))</f>
        <v/>
      </c>
      <c r="L75" s="38">
        <f t="shared" si="1"/>
        <v>0</v>
      </c>
      <c r="M75" s="33" t="str">
        <f t="shared" si="2"/>
        <v/>
      </c>
      <c r="N75" s="33" t="str">
        <f t="shared" si="3"/>
        <v/>
      </c>
      <c r="O75" s="33" t="str">
        <f t="shared" si="4"/>
        <v/>
      </c>
      <c r="P75" s="33" t="str">
        <f t="shared" si="5"/>
        <v/>
      </c>
      <c r="Q75" s="33">
        <v>0.5</v>
      </c>
      <c r="R75" s="33"/>
      <c r="S75" s="33"/>
      <c r="T75" s="33"/>
      <c r="U75" s="33">
        <f t="shared" si="27"/>
        <v>0.5</v>
      </c>
      <c r="V75" s="33" t="str">
        <f t="shared" si="6"/>
        <v/>
      </c>
      <c r="W75" s="218" t="str">
        <f t="shared" si="7"/>
        <v/>
      </c>
      <c r="X75" s="33">
        <v>7.9000000000000001E-2</v>
      </c>
      <c r="Y75" s="218" t="str">
        <f t="shared" si="7"/>
        <v/>
      </c>
      <c r="Z75" s="218" t="str">
        <f t="shared" si="8"/>
        <v/>
      </c>
      <c r="AA75" s="33">
        <v>0.12</v>
      </c>
      <c r="AB75" s="218" t="str">
        <f t="shared" si="9"/>
        <v/>
      </c>
      <c r="AC75" s="218" t="str">
        <f t="shared" si="10"/>
        <v/>
      </c>
      <c r="AD75" s="33">
        <v>0.02</v>
      </c>
      <c r="AE75" s="218" t="str">
        <f t="shared" si="11"/>
        <v/>
      </c>
      <c r="AF75" s="218" t="str">
        <f t="shared" si="12"/>
        <v/>
      </c>
      <c r="AG75" s="33">
        <v>0.02</v>
      </c>
      <c r="AH75" s="218" t="str">
        <f t="shared" si="13"/>
        <v/>
      </c>
      <c r="AI75" s="218" t="str">
        <f t="shared" si="14"/>
        <v/>
      </c>
      <c r="AJ75" s="33">
        <v>1.0999999999999999E-2</v>
      </c>
      <c r="AK75" s="218" t="str">
        <f t="shared" si="15"/>
        <v/>
      </c>
      <c r="AL75" s="218" t="str">
        <f t="shared" si="16"/>
        <v/>
      </c>
      <c r="AM75" s="38" t="str">
        <f t="shared" si="17"/>
        <v/>
      </c>
      <c r="AN75" s="38" t="str">
        <f t="shared" si="18"/>
        <v/>
      </c>
      <c r="AO75" s="38" t="str">
        <f t="shared" si="19"/>
        <v/>
      </c>
      <c r="AP75" s="38" t="str">
        <f>IF(OR($C75="01-09",$D75="Male"),"",INDEX(PMTCT!$AD:$AD,MATCH($E75,PMTCT!$E:$E,0)))</f>
        <v/>
      </c>
      <c r="AQ75" s="38" t="str">
        <f>IF(OR($C75="01-09",$D75="Male"),"",INDEX(PMTCT!$AT:$AT,MATCH($E75,PMTCT!$E:$E,0)))</f>
        <v/>
      </c>
      <c r="AR75" s="38">
        <f>INDEX(TB!$Q:$Q,MATCH($E75,TB!$E:$E,0))</f>
        <v>2</v>
      </c>
      <c r="AS75" s="38" t="str">
        <f>IF(OR($C75="01-09",$C75="10-14",$D75="Female"),"",INDEX(VMMC!$AB:$AB,MATCH($E75,VMMC!$E:$E,0)))</f>
        <v/>
      </c>
      <c r="AT75" s="38" t="str">
        <f>IF(OR($C75="01-09",$C75="10-14"),"",INDEX(PrEP!$Q:$Q,MATCH($E75,PrEP!$E:$E,0)))</f>
        <v/>
      </c>
      <c r="AU75" s="38">
        <f t="shared" si="20"/>
        <v>2</v>
      </c>
      <c r="AV75" s="38">
        <f t="shared" si="21"/>
        <v>2</v>
      </c>
      <c r="AW75" s="33" t="e">
        <f t="shared" si="22"/>
        <v>#VALUE!</v>
      </c>
      <c r="AX75" s="38"/>
      <c r="AY75" s="33" t="str">
        <f t="shared" si="23"/>
        <v/>
      </c>
      <c r="AZ75" s="218" t="str">
        <f t="shared" si="24"/>
        <v/>
      </c>
      <c r="BA75" s="33" t="str">
        <f t="shared" si="25"/>
        <v/>
      </c>
      <c r="BB75" s="218" t="str">
        <f t="shared" si="26"/>
        <v/>
      </c>
    </row>
    <row r="76" spans="1:54" x14ac:dyDescent="0.2">
      <c r="A76" t="str">
        <f>INDEX(Prioritization!$D:$D,MATCH($B76,Prioritization!$A:$A,0))</f>
        <v>4 - Sustained</v>
      </c>
      <c r="B76" t="s">
        <v>307</v>
      </c>
      <c r="C76" t="s">
        <v>473</v>
      </c>
      <c r="D76" t="s">
        <v>48</v>
      </c>
      <c r="E76" t="str">
        <f t="shared" si="0"/>
        <v>Chitipa District [GkIwZrXy1h2]|01-09|Male</v>
      </c>
      <c r="F76" s="33">
        <f>IF(LEFT($B76,4)="_Mil","",INDEX(Cascade!$AA:$AA,MATCH($E76,Cascade!$E:$E,0)))</f>
        <v>0.71312361999999996</v>
      </c>
      <c r="G76" s="38">
        <f>INDEX(Cascade!$BH:$BH,MATCH($E76,Cascade!$E:$E,0))</f>
        <v>1</v>
      </c>
      <c r="H76" s="38" t="str">
        <f>IF(OR($C76="01-09",$D76="Male"),"",INDEX(PMTCT!$AC:$AC,MATCH($E76,PMTCT!$E:$E,0)))</f>
        <v/>
      </c>
      <c r="I76" s="38" t="str">
        <f>IF(OR($C76="01-09",$D76="Male"),"",INDEX(PMTCT!$AS:$AS,MATCH($E76,PMTCT!$E:$E,0)))</f>
        <v/>
      </c>
      <c r="J76" s="38">
        <f>INDEX(TB!$P:$P,MATCH($E76,TB!$E:$E,0))</f>
        <v>0</v>
      </c>
      <c r="K76" s="38" t="str">
        <f>IF(OR($C76="01-09",$C76="10-14",$D76="Female"),"",INDEX(VMMC!$AA:$AA,MATCH($E76,VMMC!$E:$E,0)))</f>
        <v/>
      </c>
      <c r="L76" s="38">
        <f t="shared" si="1"/>
        <v>1</v>
      </c>
      <c r="M76" s="33" t="str">
        <f t="shared" si="2"/>
        <v/>
      </c>
      <c r="N76" s="33" t="str">
        <f t="shared" si="3"/>
        <v/>
      </c>
      <c r="O76" s="33">
        <f t="shared" si="4"/>
        <v>0</v>
      </c>
      <c r="P76" s="33" t="str">
        <f t="shared" si="5"/>
        <v/>
      </c>
      <c r="Q76" s="33">
        <v>0.5</v>
      </c>
      <c r="R76" s="33"/>
      <c r="S76" s="33"/>
      <c r="T76" s="33"/>
      <c r="U76" s="33">
        <f t="shared" si="27"/>
        <v>0.5</v>
      </c>
      <c r="V76" s="33">
        <f t="shared" si="6"/>
        <v>1</v>
      </c>
      <c r="W76" s="218">
        <f t="shared" si="7"/>
        <v>1</v>
      </c>
      <c r="X76" s="33">
        <v>1.2999999999999999E-2</v>
      </c>
      <c r="Y76" s="218">
        <f t="shared" si="7"/>
        <v>1</v>
      </c>
      <c r="Z76" s="218">
        <f t="shared" si="8"/>
        <v>76</v>
      </c>
      <c r="AA76" s="33">
        <v>0.12</v>
      </c>
      <c r="AB76" s="218" t="str">
        <f t="shared" si="9"/>
        <v/>
      </c>
      <c r="AC76" s="218" t="str">
        <f t="shared" si="10"/>
        <v/>
      </c>
      <c r="AD76" s="33">
        <v>0.02</v>
      </c>
      <c r="AE76" s="218" t="str">
        <f t="shared" si="11"/>
        <v/>
      </c>
      <c r="AF76" s="218" t="str">
        <f t="shared" si="12"/>
        <v/>
      </c>
      <c r="AG76" s="33">
        <v>0.02</v>
      </c>
      <c r="AH76" s="218" t="str">
        <f t="shared" si="13"/>
        <v/>
      </c>
      <c r="AI76" s="218" t="str">
        <f t="shared" si="14"/>
        <v/>
      </c>
      <c r="AJ76" s="33">
        <v>8.8999999999999999E-3</v>
      </c>
      <c r="AK76" s="218">
        <f t="shared" si="15"/>
        <v>1</v>
      </c>
      <c r="AL76" s="218">
        <f t="shared" si="16"/>
        <v>111</v>
      </c>
      <c r="AM76" s="38">
        <f t="shared" si="17"/>
        <v>1</v>
      </c>
      <c r="AN76" s="38">
        <f t="shared" si="18"/>
        <v>2</v>
      </c>
      <c r="AO76" s="38">
        <f t="shared" si="19"/>
        <v>1</v>
      </c>
      <c r="AP76" s="38" t="str">
        <f>IF(OR($C76="01-09",$D76="Male"),"",INDEX(PMTCT!$AD:$AD,MATCH($E76,PMTCT!$E:$E,0)))</f>
        <v/>
      </c>
      <c r="AQ76" s="38" t="str">
        <f>IF(OR($C76="01-09",$D76="Male"),"",INDEX(PMTCT!$AT:$AT,MATCH($E76,PMTCT!$E:$E,0)))</f>
        <v/>
      </c>
      <c r="AR76" s="38">
        <f>INDEX(TB!$Q:$Q,MATCH($E76,TB!$E:$E,0))</f>
        <v>2</v>
      </c>
      <c r="AS76" s="38" t="str">
        <f>IF(OR($C76="01-09",$C76="10-14",$D76="Female"),"",INDEX(VMMC!$AB:$AB,MATCH($E76,VMMC!$E:$E,0)))</f>
        <v/>
      </c>
      <c r="AT76" s="38" t="str">
        <f>IF(OR($C76="01-09",$C76="10-14"),"",INDEX(PrEP!$Q:$Q,MATCH($E76,PrEP!$E:$E,0)))</f>
        <v/>
      </c>
      <c r="AU76" s="38">
        <f t="shared" si="20"/>
        <v>189</v>
      </c>
      <c r="AV76" s="38">
        <f t="shared" si="21"/>
        <v>191</v>
      </c>
      <c r="AW76" s="33">
        <f t="shared" si="22"/>
        <v>1.0471204188481676E-2</v>
      </c>
      <c r="AX76" s="38"/>
      <c r="AY76" s="33" t="str">
        <f t="shared" si="23"/>
        <v/>
      </c>
      <c r="AZ76" s="218" t="str">
        <f t="shared" si="24"/>
        <v/>
      </c>
      <c r="BA76" s="33" t="str">
        <f t="shared" si="25"/>
        <v/>
      </c>
      <c r="BB76" s="218" t="str">
        <f t="shared" si="26"/>
        <v/>
      </c>
    </row>
    <row r="77" spans="1:54" x14ac:dyDescent="0.2">
      <c r="A77" t="str">
        <f>INDEX(Prioritization!$D:$D,MATCH($B77,Prioritization!$A:$A,0))</f>
        <v>4 - Sustained</v>
      </c>
      <c r="B77" t="s">
        <v>307</v>
      </c>
      <c r="C77" t="s">
        <v>474</v>
      </c>
      <c r="D77" t="s">
        <v>30</v>
      </c>
      <c r="E77" t="str">
        <f t="shared" si="0"/>
        <v>Chitipa District [GkIwZrXy1h2]|10-14|Female</v>
      </c>
      <c r="F77" s="33">
        <f>IF(LEFT($B77,4)="_Mil","",INDEX(Cascade!$AA:$AA,MATCH($E77,Cascade!$E:$E,0)))</f>
        <v>0.74950894700000004</v>
      </c>
      <c r="G77" s="38">
        <f>INDEX(Cascade!$BH:$BH,MATCH($E77,Cascade!$E:$E,0))</f>
        <v>9</v>
      </c>
      <c r="H77" s="38" t="str">
        <f>IF(OR($C77="01-09",$D77="Male"),"",INDEX(PMTCT!$AC:$AC,MATCH($E77,PMTCT!$E:$E,0)))</f>
        <v/>
      </c>
      <c r="I77" s="38" t="str">
        <f>IF(OR($C77="01-09",$D77="Male"),"",INDEX(PMTCT!$AS:$AS,MATCH($E77,PMTCT!$E:$E,0)))</f>
        <v/>
      </c>
      <c r="J77" s="38">
        <f>INDEX(TB!$P:$P,MATCH($E77,TB!$E:$E,0))</f>
        <v>0</v>
      </c>
      <c r="K77" s="38" t="str">
        <f>IF(OR($C77="01-09",$C77="10-14",$D77="Female"),"",INDEX(VMMC!$AA:$AA,MATCH($E77,VMMC!$E:$E,0)))</f>
        <v/>
      </c>
      <c r="L77" s="38">
        <f t="shared" si="1"/>
        <v>9</v>
      </c>
      <c r="M77" s="33">
        <f t="shared" si="2"/>
        <v>0</v>
      </c>
      <c r="N77" s="33">
        <f t="shared" si="3"/>
        <v>0</v>
      </c>
      <c r="O77" s="33">
        <f t="shared" si="4"/>
        <v>0</v>
      </c>
      <c r="P77" s="33" t="str">
        <f t="shared" si="5"/>
        <v/>
      </c>
      <c r="Q77" s="33">
        <v>0.5</v>
      </c>
      <c r="R77" s="33"/>
      <c r="S77" s="33"/>
      <c r="T77" s="33"/>
      <c r="U77" s="33">
        <f t="shared" si="27"/>
        <v>0.5</v>
      </c>
      <c r="V77" s="33">
        <f t="shared" si="6"/>
        <v>1</v>
      </c>
      <c r="W77" s="218">
        <f t="shared" si="7"/>
        <v>5</v>
      </c>
      <c r="X77" s="33">
        <v>2.4E-2</v>
      </c>
      <c r="Y77" s="218">
        <f t="shared" si="7"/>
        <v>5</v>
      </c>
      <c r="Z77" s="218">
        <f t="shared" si="8"/>
        <v>203</v>
      </c>
      <c r="AA77" s="33">
        <v>0.12</v>
      </c>
      <c r="AB77" s="218" t="str">
        <f t="shared" si="9"/>
        <v/>
      </c>
      <c r="AC77" s="218" t="str">
        <f t="shared" si="10"/>
        <v/>
      </c>
      <c r="AD77" s="33">
        <v>0.02</v>
      </c>
      <c r="AE77" s="218" t="str">
        <f t="shared" si="11"/>
        <v/>
      </c>
      <c r="AF77" s="218" t="str">
        <f t="shared" si="12"/>
        <v/>
      </c>
      <c r="AG77" s="33">
        <v>0.02</v>
      </c>
      <c r="AH77" s="218" t="str">
        <f t="shared" si="13"/>
        <v/>
      </c>
      <c r="AI77" s="218" t="str">
        <f t="shared" si="14"/>
        <v/>
      </c>
      <c r="AJ77" s="33">
        <v>1.2999999999999999E-2</v>
      </c>
      <c r="AK77" s="218">
        <f t="shared" si="15"/>
        <v>5</v>
      </c>
      <c r="AL77" s="218">
        <f t="shared" si="16"/>
        <v>380</v>
      </c>
      <c r="AM77" s="38">
        <f t="shared" si="17"/>
        <v>9</v>
      </c>
      <c r="AN77" s="38">
        <f t="shared" si="18"/>
        <v>10</v>
      </c>
      <c r="AO77" s="38">
        <f t="shared" si="19"/>
        <v>1</v>
      </c>
      <c r="AP77" s="38" t="str">
        <f>IF(OR($C77="01-09",$D77="Male"),"",INDEX(PMTCT!$AD:$AD,MATCH($E77,PMTCT!$E:$E,0)))</f>
        <v/>
      </c>
      <c r="AQ77" s="38" t="str">
        <f>IF(OR($C77="01-09",$D77="Male"),"",INDEX(PMTCT!$AT:$AT,MATCH($E77,PMTCT!$E:$E,0)))</f>
        <v/>
      </c>
      <c r="AR77" s="38">
        <f>INDEX(TB!$Q:$Q,MATCH($E77,TB!$E:$E,0))</f>
        <v>1</v>
      </c>
      <c r="AS77" s="38" t="str">
        <f>IF(OR($C77="01-09",$C77="10-14",$D77="Female"),"",INDEX(VMMC!$AB:$AB,MATCH($E77,VMMC!$E:$E,0)))</f>
        <v/>
      </c>
      <c r="AT77" s="38" t="str">
        <f>IF(OR($C77="01-09",$C77="10-14"),"",INDEX(PrEP!$Q:$Q,MATCH($E77,PrEP!$E:$E,0)))</f>
        <v/>
      </c>
      <c r="AU77" s="38">
        <f t="shared" si="20"/>
        <v>584</v>
      </c>
      <c r="AV77" s="38">
        <f t="shared" si="21"/>
        <v>594</v>
      </c>
      <c r="AW77" s="33">
        <f t="shared" si="22"/>
        <v>1.6835016835016835E-2</v>
      </c>
      <c r="AX77" s="38"/>
      <c r="AY77" s="33" t="str">
        <f t="shared" si="23"/>
        <v/>
      </c>
      <c r="AZ77" s="218" t="str">
        <f t="shared" si="24"/>
        <v/>
      </c>
      <c r="BA77" s="33" t="str">
        <f t="shared" si="25"/>
        <v/>
      </c>
      <c r="BB77" s="218" t="str">
        <f t="shared" si="26"/>
        <v/>
      </c>
    </row>
    <row r="78" spans="1:54" x14ac:dyDescent="0.2">
      <c r="A78" t="str">
        <f>INDEX(Prioritization!$D:$D,MATCH($B78,Prioritization!$A:$A,0))</f>
        <v>4 - Sustained</v>
      </c>
      <c r="B78" t="s">
        <v>307</v>
      </c>
      <c r="C78" t="s">
        <v>474</v>
      </c>
      <c r="D78" t="s">
        <v>48</v>
      </c>
      <c r="E78" t="str">
        <f t="shared" si="0"/>
        <v>Chitipa District [GkIwZrXy1h2]|10-14|Male</v>
      </c>
      <c r="F78" s="33">
        <f>IF(LEFT($B78,4)="_Mil","",INDEX(Cascade!$AA:$AA,MATCH($E78,Cascade!$E:$E,0)))</f>
        <v>0.74866735500000003</v>
      </c>
      <c r="G78" s="38">
        <f>INDEX(Cascade!$BH:$BH,MATCH($E78,Cascade!$E:$E,0))</f>
        <v>1</v>
      </c>
      <c r="H78" s="38" t="str">
        <f>IF(OR($C78="01-09",$D78="Male"),"",INDEX(PMTCT!$AC:$AC,MATCH($E78,PMTCT!$E:$E,0)))</f>
        <v/>
      </c>
      <c r="I78" s="38" t="str">
        <f>IF(OR($C78="01-09",$D78="Male"),"",INDEX(PMTCT!$AS:$AS,MATCH($E78,PMTCT!$E:$E,0)))</f>
        <v/>
      </c>
      <c r="J78" s="38">
        <f>INDEX(TB!$P:$P,MATCH($E78,TB!$E:$E,0))</f>
        <v>0</v>
      </c>
      <c r="K78" s="38" t="str">
        <f>IF(OR($C78="01-09",$C78="10-14",$D78="Female"),"",INDEX(VMMC!$AA:$AA,MATCH($E78,VMMC!$E:$E,0)))</f>
        <v/>
      </c>
      <c r="L78" s="38">
        <f t="shared" si="1"/>
        <v>1</v>
      </c>
      <c r="M78" s="33" t="str">
        <f t="shared" si="2"/>
        <v/>
      </c>
      <c r="N78" s="33" t="str">
        <f t="shared" si="3"/>
        <v/>
      </c>
      <c r="O78" s="33">
        <f t="shared" si="4"/>
        <v>0</v>
      </c>
      <c r="P78" s="33" t="str">
        <f t="shared" si="5"/>
        <v/>
      </c>
      <c r="Q78" s="33">
        <v>0.55555555555555602</v>
      </c>
      <c r="R78" s="33"/>
      <c r="S78" s="33"/>
      <c r="T78" s="33"/>
      <c r="U78" s="33">
        <f t="shared" si="27"/>
        <v>0.44444444444444398</v>
      </c>
      <c r="V78" s="33">
        <f t="shared" si="6"/>
        <v>1</v>
      </c>
      <c r="W78" s="218">
        <f t="shared" si="7"/>
        <v>1</v>
      </c>
      <c r="X78" s="33">
        <v>2.4E-2</v>
      </c>
      <c r="Y78" s="218">
        <f t="shared" si="7"/>
        <v>1</v>
      </c>
      <c r="Z78" s="218">
        <f t="shared" si="8"/>
        <v>41</v>
      </c>
      <c r="AA78" s="33">
        <v>0.12</v>
      </c>
      <c r="AB78" s="218" t="str">
        <f t="shared" si="9"/>
        <v/>
      </c>
      <c r="AC78" s="218" t="str">
        <f t="shared" si="10"/>
        <v/>
      </c>
      <c r="AD78" s="33">
        <v>0.02</v>
      </c>
      <c r="AE78" s="218" t="str">
        <f t="shared" si="11"/>
        <v/>
      </c>
      <c r="AF78" s="218" t="str">
        <f t="shared" si="12"/>
        <v/>
      </c>
      <c r="AG78" s="33">
        <v>0.02</v>
      </c>
      <c r="AH78" s="218" t="str">
        <f t="shared" si="13"/>
        <v/>
      </c>
      <c r="AI78" s="218" t="str">
        <f t="shared" si="14"/>
        <v/>
      </c>
      <c r="AJ78" s="33">
        <v>4.1000000000000002E-2</v>
      </c>
      <c r="AK78" s="218">
        <f t="shared" si="15"/>
        <v>0</v>
      </c>
      <c r="AL78" s="218" t="str">
        <f t="shared" si="16"/>
        <v/>
      </c>
      <c r="AM78" s="38">
        <f t="shared" si="17"/>
        <v>1</v>
      </c>
      <c r="AN78" s="38">
        <f t="shared" si="18"/>
        <v>1</v>
      </c>
      <c r="AO78" s="38">
        <f t="shared" si="19"/>
        <v>0</v>
      </c>
      <c r="AP78" s="38" t="str">
        <f>IF(OR($C78="01-09",$D78="Male"),"",INDEX(PMTCT!$AD:$AD,MATCH($E78,PMTCT!$E:$E,0)))</f>
        <v/>
      </c>
      <c r="AQ78" s="38" t="str">
        <f>IF(OR($C78="01-09",$D78="Male"),"",INDEX(PMTCT!$AT:$AT,MATCH($E78,PMTCT!$E:$E,0)))</f>
        <v/>
      </c>
      <c r="AR78" s="38">
        <f>INDEX(TB!$Q:$Q,MATCH($E78,TB!$E:$E,0))</f>
        <v>1</v>
      </c>
      <c r="AS78" s="38" t="str">
        <f>IF(OR($C78="01-09",$C78="10-14",$D78="Female"),"",INDEX(VMMC!$AB:$AB,MATCH($E78,VMMC!$E:$E,0)))</f>
        <v/>
      </c>
      <c r="AT78" s="38" t="str">
        <f>IF(OR($C78="01-09",$C78="10-14"),"",INDEX(PrEP!$Q:$Q,MATCH($E78,PrEP!$E:$E,0)))</f>
        <v/>
      </c>
      <c r="AU78" s="38">
        <f t="shared" si="20"/>
        <v>42</v>
      </c>
      <c r="AV78" s="38">
        <f t="shared" si="21"/>
        <v>43</v>
      </c>
      <c r="AW78" s="33">
        <f t="shared" si="22"/>
        <v>2.3255813953488372E-2</v>
      </c>
      <c r="AX78" s="38"/>
      <c r="AY78" s="33" t="str">
        <f t="shared" si="23"/>
        <v/>
      </c>
      <c r="AZ78" s="218" t="str">
        <f t="shared" si="24"/>
        <v/>
      </c>
      <c r="BA78" s="33" t="str">
        <f t="shared" si="25"/>
        <v/>
      </c>
      <c r="BB78" s="218" t="str">
        <f t="shared" si="26"/>
        <v/>
      </c>
    </row>
    <row r="79" spans="1:54" x14ac:dyDescent="0.2">
      <c r="A79" t="str">
        <f>INDEX(Prioritization!$D:$D,MATCH($B79,Prioritization!$A:$A,0))</f>
        <v>4 - Sustained</v>
      </c>
      <c r="B79" t="s">
        <v>307</v>
      </c>
      <c r="C79" t="s">
        <v>475</v>
      </c>
      <c r="D79" t="s">
        <v>30</v>
      </c>
      <c r="E79" t="str">
        <f t="shared" ref="E79:E142" si="32">$B79&amp;"|"&amp;$C79&amp;"|"&amp;$D79</f>
        <v>Chitipa District [GkIwZrXy1h2]|15-24|Female</v>
      </c>
      <c r="F79" s="33">
        <f>IF(LEFT($B79,4)="_Mil","",INDEX(Cascade!$AA:$AA,MATCH($E79,Cascade!$E:$E,0)))</f>
        <v>0.93034223400000005</v>
      </c>
      <c r="G79" s="38">
        <f>INDEX(Cascade!$BH:$BH,MATCH($E79,Cascade!$E:$E,0))</f>
        <v>27</v>
      </c>
      <c r="H79" s="38" t="str">
        <f>IF(OR($C79="01-09",$D79="Male"),"",INDEX(PMTCT!$AC:$AC,MATCH($E79,PMTCT!$E:$E,0)))</f>
        <v/>
      </c>
      <c r="I79" s="38" t="str">
        <f>IF(OR($C79="01-09",$D79="Male"),"",INDEX(PMTCT!$AS:$AS,MATCH($E79,PMTCT!$E:$E,0)))</f>
        <v/>
      </c>
      <c r="J79" s="38">
        <f>INDEX(TB!$P:$P,MATCH($E79,TB!$E:$E,0))</f>
        <v>0</v>
      </c>
      <c r="K79" s="38" t="str">
        <f>IF(OR($C79="01-09",$C79="10-14",$D79="Female"),"",INDEX(VMMC!$AA:$AA,MATCH($E79,VMMC!$E:$E,0)))</f>
        <v/>
      </c>
      <c r="L79" s="38">
        <f t="shared" ref="L79:L142" si="33">SUM($G79)-SUM($H79:$K79)</f>
        <v>27</v>
      </c>
      <c r="M79" s="33">
        <f t="shared" ref="M79:M142" si="34">IF(OR($C79="01-09",$D79="Male",AND(SUM($G79)=0,SUM($H79)=0)),"",SUM($H79)/SUM($G79))</f>
        <v>0</v>
      </c>
      <c r="N79" s="33">
        <f t="shared" ref="N79:N142" si="35">IF(OR($C79="01-09",$D79="Male",AND(SUM($G79)=0,SUM($I79)=0)),"",SUM($I79)/SUM($G79))</f>
        <v>0</v>
      </c>
      <c r="O79" s="33">
        <f t="shared" ref="O79:O142" si="36">IF(AND(SUM($G79)=0,SUM($J79)=0),"",SUM($J79)/SUM($G79))</f>
        <v>0</v>
      </c>
      <c r="P79" s="33" t="str">
        <f t="shared" ref="P79:P142" si="37">IF(OR($C79="01-09",$C79="10-14",$D79="Female",AND(SUM($G79)=0,SUM($K79)=0)),"",SUM($K79)/SUM($G79))</f>
        <v/>
      </c>
      <c r="Q79" s="33">
        <v>0.15</v>
      </c>
      <c r="R79" s="33"/>
      <c r="S79" s="33"/>
      <c r="T79" s="33">
        <v>0.05</v>
      </c>
      <c r="U79" s="33">
        <f t="shared" si="27"/>
        <v>0.8</v>
      </c>
      <c r="V79" s="33">
        <f t="shared" ref="V79:V142" si="38">IF(SUM($G79)=0,"",SUM($M79:$U79))</f>
        <v>1</v>
      </c>
      <c r="W79" s="218">
        <f t="shared" ref="W79:Y142" si="39">IF(OR(SUM($G79)=0,SUM($Q79)=0),"",ROUND(SUM($G79)*SUM($Q79),0))</f>
        <v>4</v>
      </c>
      <c r="X79" s="33">
        <v>0.33300000000000002</v>
      </c>
      <c r="Y79" s="218">
        <f t="shared" si="39"/>
        <v>4</v>
      </c>
      <c r="Z79" s="218">
        <f t="shared" ref="Z79:Z142" si="40">IF(SUM($Y79)=0,"",IF(SUM($X79)=0,"ENTER YIELD",ROUND($Y79/$X79,0)-$Y79))</f>
        <v>8</v>
      </c>
      <c r="AA79" s="33">
        <v>0.12</v>
      </c>
      <c r="AB79" s="218" t="str">
        <f t="shared" ref="AB79:AB142" si="41">IF(OR(SUM($G79)=0,SUM($R79)=0),"",ROUND(SUM($G79)*SUM($R79),0))</f>
        <v/>
      </c>
      <c r="AC79" s="218" t="str">
        <f t="shared" ref="AC79:AC142" si="42">IF(SUM($AB79)=0,"",IF(SUM($AA79)=0,"ENTER YIELD",ROUND($AB79/$AA79,0)-$AB79))</f>
        <v/>
      </c>
      <c r="AD79" s="33">
        <v>0.02</v>
      </c>
      <c r="AE79" s="218" t="str">
        <f t="shared" ref="AE79:AE142" si="43">IF(OR(SUM($G79)=0,SUM($S79)=0),"",ROUND(SUM($G79)*SUM($S79),0))</f>
        <v/>
      </c>
      <c r="AF79" s="218" t="str">
        <f t="shared" ref="AF79:AF142" si="44">IF(SUM($AE79)=0,"",IF(SUM($AD79)=0,"ENTER YIELD",ROUND($AE79/$AD79,0)-$AE79))</f>
        <v/>
      </c>
      <c r="AG79" s="33">
        <v>0.02</v>
      </c>
      <c r="AH79" s="218">
        <f t="shared" ref="AH79:AH142" si="45">IF(OR(SUM($G79)=0,SUM($T79)=0),"",ROUND(SUM($G79)*SUM($T79),0))</f>
        <v>1</v>
      </c>
      <c r="AI79" s="218">
        <f t="shared" ref="AI79:AI142" si="46">IF(SUM($AH79)=0,"",IF(SUM($AG79)=0,"ENTER YIELD",ROUND($AH79/$AG79,0)-$AH79))</f>
        <v>49</v>
      </c>
      <c r="AJ79" s="33">
        <v>1.2999999999999999E-2</v>
      </c>
      <c r="AK79" s="218">
        <f t="shared" ref="AK79:AK142" si="47">IF(OR(SUM($G79)=0,SUM($U79)=0),"",ROUND(SUM($G79)*SUM($U79),0))</f>
        <v>22</v>
      </c>
      <c r="AL79" s="218">
        <f t="shared" ref="AL79:AL142" si="48">IF(SUM($AK79)=0,"",IF(SUM($AJ79)=0,"ENTER YIELD",ROUND($AK79/$AJ79,0)-$AK79))</f>
        <v>1670</v>
      </c>
      <c r="AM79" s="38">
        <f t="shared" ref="AM79:AM142" si="49">IF(SUM($G79)=0,"",$G79)</f>
        <v>27</v>
      </c>
      <c r="AN79" s="38">
        <f t="shared" ref="AN79:AN142" si="50">IFERROR(1/(1/SUM($H79:$K79,$Y79,$AB79,$AE79,$AH79,$AK79)),"")</f>
        <v>27</v>
      </c>
      <c r="AO79" s="38">
        <f t="shared" ref="AO79:AO142" si="51">IF(AND(SUM($AN79)=0,SUM($AM79)=0),"",$AN79-$AM79)</f>
        <v>0</v>
      </c>
      <c r="AP79" s="38" t="str">
        <f>IF(OR($C79="01-09",$D79="Male"),"",INDEX(PMTCT!$AD:$AD,MATCH($E79,PMTCT!$E:$E,0)))</f>
        <v/>
      </c>
      <c r="AQ79" s="38" t="str">
        <f>IF(OR($C79="01-09",$D79="Male"),"",INDEX(PMTCT!$AT:$AT,MATCH($E79,PMTCT!$E:$E,0)))</f>
        <v/>
      </c>
      <c r="AR79" s="38">
        <f>INDEX(TB!$Q:$Q,MATCH($E79,TB!$E:$E,0))</f>
        <v>8</v>
      </c>
      <c r="AS79" s="38" t="str">
        <f>IF(OR($C79="01-09",$C79="10-14",$D79="Female"),"",INDEX(VMMC!$AB:$AB,MATCH($E79,VMMC!$E:$E,0)))</f>
        <v/>
      </c>
      <c r="AT79" s="38">
        <f>IF(OR($C79="01-09",$C79="10-14"),"",INDEX(PrEP!$Q:$Q,MATCH($E79,PrEP!$E:$E,0)))</f>
        <v>24</v>
      </c>
      <c r="AU79" s="38">
        <f t="shared" ref="AU79:AU142" si="52">IFERROR(1/(1/SUM($Z79,$AC79,$AF79,$AI79,$AL79,$AP79:$AT79)),"")</f>
        <v>1759</v>
      </c>
      <c r="AV79" s="38">
        <f t="shared" ref="AV79:AV142" si="53">IFERROR(1/(1/SUM($AU79,$AN79)),"")</f>
        <v>1786</v>
      </c>
      <c r="AW79" s="33">
        <f t="shared" ref="AW79:AW142" si="54">IF(AND(SUM($AN79)=0,SUM($AV79)=0),"",$AN79/$AV79)</f>
        <v>1.5117581187010079E-2</v>
      </c>
      <c r="AX79" s="38">
        <v>200</v>
      </c>
      <c r="AY79" s="33">
        <f t="shared" ref="AY79:AY84" si="55">IF(OR($C79="01-09",SUM($AX79)=0),"",68%)</f>
        <v>0.68</v>
      </c>
      <c r="AZ79" s="218">
        <f t="shared" ref="AZ79:AZ142" si="56">IF(OR($C79="01-09",SUM($AX79)=0),"",ROUND($AX79*(1+$AY79),0))</f>
        <v>336</v>
      </c>
      <c r="BA79" s="33">
        <v>0.44</v>
      </c>
      <c r="BB79" s="218">
        <f t="shared" ref="BB79:BB142" si="57">IF(OR(SUM($AN79)=0,$C79="01-09",$C79="10-14"),"",ROUND($AN79*$BA79,0))</f>
        <v>12</v>
      </c>
    </row>
    <row r="80" spans="1:54" x14ac:dyDescent="0.2">
      <c r="A80" t="str">
        <f>INDEX(Prioritization!$D:$D,MATCH($B80,Prioritization!$A:$A,0))</f>
        <v>4 - Sustained</v>
      </c>
      <c r="B80" t="s">
        <v>307</v>
      </c>
      <c r="C80" t="s">
        <v>475</v>
      </c>
      <c r="D80" t="s">
        <v>48</v>
      </c>
      <c r="E80" t="str">
        <f t="shared" si="32"/>
        <v>Chitipa District [GkIwZrXy1h2]|15-24|Male</v>
      </c>
      <c r="F80" s="33">
        <f>IF(LEFT($B80,4)="_Mil","",INDEX(Cascade!$AA:$AA,MATCH($E80,Cascade!$E:$E,0)))</f>
        <v>0.900563699</v>
      </c>
      <c r="G80" s="38">
        <f>INDEX(Cascade!$BH:$BH,MATCH($E80,Cascade!$E:$E,0))</f>
        <v>3</v>
      </c>
      <c r="H80" s="38" t="str">
        <f>IF(OR($C80="01-09",$D80="Male"),"",INDEX(PMTCT!$AC:$AC,MATCH($E80,PMTCT!$E:$E,0)))</f>
        <v/>
      </c>
      <c r="I80" s="38" t="str">
        <f>IF(OR($C80="01-09",$D80="Male"),"",INDEX(PMTCT!$AS:$AS,MATCH($E80,PMTCT!$E:$E,0)))</f>
        <v/>
      </c>
      <c r="J80" s="38">
        <f>INDEX(TB!$P:$P,MATCH($E80,TB!$E:$E,0))</f>
        <v>1</v>
      </c>
      <c r="K80" s="38" t="str">
        <f>IF(OR($C80="01-09",$C80="10-14",$D80="Female"),"",INDEX(VMMC!$AA:$AA,MATCH($E80,VMMC!$E:$E,0)))</f>
        <v/>
      </c>
      <c r="L80" s="38">
        <f t="shared" si="33"/>
        <v>2</v>
      </c>
      <c r="M80" s="33" t="str">
        <f t="shared" si="34"/>
        <v/>
      </c>
      <c r="N80" s="33" t="str">
        <f t="shared" si="35"/>
        <v/>
      </c>
      <c r="O80" s="33">
        <f t="shared" si="36"/>
        <v>0.33333333333333331</v>
      </c>
      <c r="P80" s="33">
        <f t="shared" si="37"/>
        <v>0</v>
      </c>
      <c r="Q80" s="33">
        <v>0.32</v>
      </c>
      <c r="R80" s="33"/>
      <c r="S80" s="33"/>
      <c r="T80" s="33">
        <v>0.05</v>
      </c>
      <c r="U80" s="33">
        <f t="shared" si="27"/>
        <v>0.29666666666666663</v>
      </c>
      <c r="V80" s="33">
        <f t="shared" si="38"/>
        <v>1</v>
      </c>
      <c r="W80" s="218">
        <f t="shared" si="39"/>
        <v>1</v>
      </c>
      <c r="X80" s="33">
        <v>0.2</v>
      </c>
      <c r="Y80" s="218">
        <f t="shared" si="39"/>
        <v>1</v>
      </c>
      <c r="Z80" s="218">
        <f t="shared" si="40"/>
        <v>4</v>
      </c>
      <c r="AA80" s="33">
        <v>0.12</v>
      </c>
      <c r="AB80" s="218" t="str">
        <f t="shared" si="41"/>
        <v/>
      </c>
      <c r="AC80" s="218" t="str">
        <f t="shared" si="42"/>
        <v/>
      </c>
      <c r="AD80" s="33">
        <v>0.02</v>
      </c>
      <c r="AE80" s="218" t="str">
        <f t="shared" si="43"/>
        <v/>
      </c>
      <c r="AF80" s="218" t="str">
        <f t="shared" si="44"/>
        <v/>
      </c>
      <c r="AG80" s="33">
        <v>0.02</v>
      </c>
      <c r="AH80" s="218">
        <f t="shared" si="45"/>
        <v>0</v>
      </c>
      <c r="AI80" s="218" t="str">
        <f t="shared" si="46"/>
        <v/>
      </c>
      <c r="AJ80" s="33">
        <v>4.5999999999999999E-3</v>
      </c>
      <c r="AK80" s="218">
        <f t="shared" si="47"/>
        <v>1</v>
      </c>
      <c r="AL80" s="218">
        <f t="shared" si="48"/>
        <v>216</v>
      </c>
      <c r="AM80" s="38">
        <f t="shared" si="49"/>
        <v>3</v>
      </c>
      <c r="AN80" s="38">
        <f t="shared" si="50"/>
        <v>3</v>
      </c>
      <c r="AO80" s="38">
        <f t="shared" si="51"/>
        <v>0</v>
      </c>
      <c r="AP80" s="38" t="str">
        <f>IF(OR($C80="01-09",$D80="Male"),"",INDEX(PMTCT!$AD:$AD,MATCH($E80,PMTCT!$E:$E,0)))</f>
        <v/>
      </c>
      <c r="AQ80" s="38" t="str">
        <f>IF(OR($C80="01-09",$D80="Male"),"",INDEX(PMTCT!$AT:$AT,MATCH($E80,PMTCT!$E:$E,0)))</f>
        <v/>
      </c>
      <c r="AR80" s="38">
        <f>INDEX(TB!$Q:$Q,MATCH($E80,TB!$E:$E,0))</f>
        <v>9</v>
      </c>
      <c r="AS80" s="38" t="str">
        <f>IF(OR($C80="01-09",$C80="10-14",$D80="Female"),"",INDEX(VMMC!$AB:$AB,MATCH($E80,VMMC!$E:$E,0)))</f>
        <v/>
      </c>
      <c r="AT80" s="38">
        <f>IF(OR($C80="01-09",$C80="10-14"),"",INDEX(PrEP!$Q:$Q,MATCH($E80,PrEP!$E:$E,0)))</f>
        <v>6</v>
      </c>
      <c r="AU80" s="38">
        <f t="shared" si="52"/>
        <v>235</v>
      </c>
      <c r="AV80" s="38">
        <f t="shared" si="53"/>
        <v>238</v>
      </c>
      <c r="AW80" s="33">
        <f t="shared" si="54"/>
        <v>1.2605042016806723E-2</v>
      </c>
      <c r="AX80" s="38">
        <v>9</v>
      </c>
      <c r="AY80" s="33">
        <f t="shared" si="55"/>
        <v>0.68</v>
      </c>
      <c r="AZ80" s="218">
        <f t="shared" si="56"/>
        <v>15</v>
      </c>
      <c r="BA80" s="33">
        <v>0.44</v>
      </c>
      <c r="BB80" s="218">
        <f t="shared" si="57"/>
        <v>1</v>
      </c>
    </row>
    <row r="81" spans="1:54" x14ac:dyDescent="0.2">
      <c r="A81" t="str">
        <f>INDEX(Prioritization!$D:$D,MATCH($B81,Prioritization!$A:$A,0))</f>
        <v>4 - Sustained</v>
      </c>
      <c r="B81" t="s">
        <v>307</v>
      </c>
      <c r="C81" t="s">
        <v>476</v>
      </c>
      <c r="D81" t="s">
        <v>30</v>
      </c>
      <c r="E81" t="str">
        <f t="shared" si="32"/>
        <v>Chitipa District [GkIwZrXy1h2]|25-34|Female</v>
      </c>
      <c r="F81" s="33">
        <f>IF(LEFT($B81,4)="_Mil","",INDEX(Cascade!$AA:$AA,MATCH($E81,Cascade!$E:$E,0)))</f>
        <v>0.96284545499999985</v>
      </c>
      <c r="G81" s="38">
        <f>INDEX(Cascade!$BH:$BH,MATCH($E81,Cascade!$E:$E,0))</f>
        <v>75</v>
      </c>
      <c r="H81" s="38" t="str">
        <f>IF(OR($C81="01-09",$D81="Male"),"",INDEX(PMTCT!$AC:$AC,MATCH($E81,PMTCT!$E:$E,0)))</f>
        <v/>
      </c>
      <c r="I81" s="38" t="str">
        <f>IF(OR($C81="01-09",$D81="Male"),"",INDEX(PMTCT!$AS:$AS,MATCH($E81,PMTCT!$E:$E,0)))</f>
        <v/>
      </c>
      <c r="J81" s="38">
        <f>INDEX(TB!$P:$P,MATCH($E81,TB!$E:$E,0))</f>
        <v>0</v>
      </c>
      <c r="K81" s="38" t="str">
        <f>IF(OR($C81="01-09",$C81="10-14",$D81="Female"),"",INDEX(VMMC!$AA:$AA,MATCH($E81,VMMC!$E:$E,0)))</f>
        <v/>
      </c>
      <c r="L81" s="38">
        <f t="shared" si="33"/>
        <v>75</v>
      </c>
      <c r="M81" s="33">
        <f t="shared" si="34"/>
        <v>0</v>
      </c>
      <c r="N81" s="33">
        <f t="shared" si="35"/>
        <v>0</v>
      </c>
      <c r="O81" s="33">
        <f t="shared" si="36"/>
        <v>0</v>
      </c>
      <c r="P81" s="33" t="str">
        <f t="shared" si="37"/>
        <v/>
      </c>
      <c r="Q81" s="33">
        <v>0.18333333333333299</v>
      </c>
      <c r="R81" s="33"/>
      <c r="S81" s="33"/>
      <c r="T81" s="33">
        <v>0.05</v>
      </c>
      <c r="U81" s="33">
        <f t="shared" si="27"/>
        <v>0.76666666666666705</v>
      </c>
      <c r="V81" s="33">
        <f t="shared" si="38"/>
        <v>1</v>
      </c>
      <c r="W81" s="218">
        <f t="shared" si="39"/>
        <v>14</v>
      </c>
      <c r="X81" s="33">
        <v>0.222</v>
      </c>
      <c r="Y81" s="218">
        <f t="shared" si="39"/>
        <v>14</v>
      </c>
      <c r="Z81" s="218">
        <f t="shared" si="40"/>
        <v>49</v>
      </c>
      <c r="AA81" s="33">
        <v>0.12</v>
      </c>
      <c r="AB81" s="218" t="str">
        <f t="shared" si="41"/>
        <v/>
      </c>
      <c r="AC81" s="218" t="str">
        <f t="shared" si="42"/>
        <v/>
      </c>
      <c r="AD81" s="33">
        <v>0.02</v>
      </c>
      <c r="AE81" s="218" t="str">
        <f t="shared" si="43"/>
        <v/>
      </c>
      <c r="AF81" s="218" t="str">
        <f t="shared" si="44"/>
        <v/>
      </c>
      <c r="AG81" s="33">
        <v>0.02</v>
      </c>
      <c r="AH81" s="218">
        <f t="shared" si="45"/>
        <v>4</v>
      </c>
      <c r="AI81" s="218">
        <f t="shared" si="46"/>
        <v>196</v>
      </c>
      <c r="AJ81" s="33">
        <v>1.6E-2</v>
      </c>
      <c r="AK81" s="218">
        <f t="shared" si="47"/>
        <v>58</v>
      </c>
      <c r="AL81" s="218">
        <f t="shared" si="48"/>
        <v>3567</v>
      </c>
      <c r="AM81" s="38">
        <f t="shared" si="49"/>
        <v>75</v>
      </c>
      <c r="AN81" s="38">
        <f t="shared" si="50"/>
        <v>76</v>
      </c>
      <c r="AO81" s="38">
        <f t="shared" si="51"/>
        <v>1</v>
      </c>
      <c r="AP81" s="38" t="str">
        <f>IF(OR($C81="01-09",$D81="Male"),"",INDEX(PMTCT!$AD:$AD,MATCH($E81,PMTCT!$E:$E,0)))</f>
        <v/>
      </c>
      <c r="AQ81" s="38" t="str">
        <f>IF(OR($C81="01-09",$D81="Male"),"",INDEX(PMTCT!$AT:$AT,MATCH($E81,PMTCT!$E:$E,0)))</f>
        <v/>
      </c>
      <c r="AR81" s="38">
        <f>INDEX(TB!$Q:$Q,MATCH($E81,TB!$E:$E,0))</f>
        <v>8</v>
      </c>
      <c r="AS81" s="38" t="str">
        <f>IF(OR($C81="01-09",$C81="10-14",$D81="Female"),"",INDEX(VMMC!$AB:$AB,MATCH($E81,VMMC!$E:$E,0)))</f>
        <v/>
      </c>
      <c r="AT81" s="38">
        <f>IF(OR($C81="01-09",$C81="10-14"),"",INDEX(PrEP!$Q:$Q,MATCH($E81,PrEP!$E:$E,0)))</f>
        <v>24</v>
      </c>
      <c r="AU81" s="38">
        <f t="shared" si="52"/>
        <v>3843.9999999999995</v>
      </c>
      <c r="AV81" s="38">
        <f t="shared" si="53"/>
        <v>3919.9999999999995</v>
      </c>
      <c r="AW81" s="33">
        <f t="shared" si="54"/>
        <v>1.938775510204082E-2</v>
      </c>
      <c r="AX81" s="38">
        <v>142</v>
      </c>
      <c r="AY81" s="33">
        <f t="shared" si="55"/>
        <v>0.68</v>
      </c>
      <c r="AZ81" s="218">
        <f t="shared" si="56"/>
        <v>239</v>
      </c>
      <c r="BA81" s="33">
        <v>0.44</v>
      </c>
      <c r="BB81" s="218">
        <f t="shared" si="57"/>
        <v>33</v>
      </c>
    </row>
    <row r="82" spans="1:54" x14ac:dyDescent="0.2">
      <c r="A82" t="str">
        <f>INDEX(Prioritization!$D:$D,MATCH($B82,Prioritization!$A:$A,0))</f>
        <v>4 - Sustained</v>
      </c>
      <c r="B82" t="s">
        <v>307</v>
      </c>
      <c r="C82" t="s">
        <v>476</v>
      </c>
      <c r="D82" t="s">
        <v>48</v>
      </c>
      <c r="E82" t="str">
        <f t="shared" si="32"/>
        <v>Chitipa District [GkIwZrXy1h2]|25-34|Male</v>
      </c>
      <c r="F82" s="33">
        <f>IF(LEFT($B82,4)="_Mil","",INDEX(Cascade!$AA:$AA,MATCH($E82,Cascade!$E:$E,0)))</f>
        <v>0.87149221600000004</v>
      </c>
      <c r="G82" s="38">
        <f>INDEX(Cascade!$BH:$BH,MATCH($E82,Cascade!$E:$E,0))</f>
        <v>5</v>
      </c>
      <c r="H82" s="38" t="str">
        <f>IF(OR($C82="01-09",$D82="Male"),"",INDEX(PMTCT!$AC:$AC,MATCH($E82,PMTCT!$E:$E,0)))</f>
        <v/>
      </c>
      <c r="I82" s="38" t="str">
        <f>IF(OR($C82="01-09",$D82="Male"),"",INDEX(PMTCT!$AS:$AS,MATCH($E82,PMTCT!$E:$E,0)))</f>
        <v/>
      </c>
      <c r="J82" s="38">
        <f>INDEX(TB!$P:$P,MATCH($E82,TB!$E:$E,0))</f>
        <v>1</v>
      </c>
      <c r="K82" s="38" t="str">
        <f>IF(OR($C82="01-09",$C82="10-14",$D82="Female"),"",INDEX(VMMC!$AA:$AA,MATCH($E82,VMMC!$E:$E,0)))</f>
        <v/>
      </c>
      <c r="L82" s="38">
        <f t="shared" si="33"/>
        <v>4</v>
      </c>
      <c r="M82" s="33" t="str">
        <f t="shared" si="34"/>
        <v/>
      </c>
      <c r="N82" s="33" t="str">
        <f t="shared" si="35"/>
        <v/>
      </c>
      <c r="O82" s="33">
        <f t="shared" si="36"/>
        <v>0.2</v>
      </c>
      <c r="P82" s="33">
        <f t="shared" si="37"/>
        <v>0</v>
      </c>
      <c r="Q82" s="33">
        <v>0.33333333333333298</v>
      </c>
      <c r="R82" s="33"/>
      <c r="S82" s="33"/>
      <c r="T82" s="33">
        <v>0.05</v>
      </c>
      <c r="U82" s="33">
        <f t="shared" si="27"/>
        <v>0.41666666666666696</v>
      </c>
      <c r="V82" s="33">
        <f t="shared" si="38"/>
        <v>1</v>
      </c>
      <c r="W82" s="218">
        <f t="shared" si="39"/>
        <v>2</v>
      </c>
      <c r="X82" s="33">
        <v>0.25</v>
      </c>
      <c r="Y82" s="218">
        <f t="shared" si="39"/>
        <v>2</v>
      </c>
      <c r="Z82" s="218">
        <f t="shared" si="40"/>
        <v>6</v>
      </c>
      <c r="AA82" s="33">
        <v>0.12</v>
      </c>
      <c r="AB82" s="218" t="str">
        <f t="shared" si="41"/>
        <v/>
      </c>
      <c r="AC82" s="218" t="str">
        <f t="shared" si="42"/>
        <v/>
      </c>
      <c r="AD82" s="33">
        <v>0.02</v>
      </c>
      <c r="AE82" s="218" t="str">
        <f t="shared" si="43"/>
        <v/>
      </c>
      <c r="AF82" s="218" t="str">
        <f t="shared" si="44"/>
        <v/>
      </c>
      <c r="AG82" s="33">
        <v>0.02</v>
      </c>
      <c r="AH82" s="218">
        <f t="shared" si="45"/>
        <v>0</v>
      </c>
      <c r="AI82" s="218" t="str">
        <f t="shared" si="46"/>
        <v/>
      </c>
      <c r="AJ82" s="33">
        <v>2.5000000000000001E-2</v>
      </c>
      <c r="AK82" s="218">
        <f t="shared" si="47"/>
        <v>2</v>
      </c>
      <c r="AL82" s="218">
        <f t="shared" si="48"/>
        <v>78</v>
      </c>
      <c r="AM82" s="38">
        <f t="shared" si="49"/>
        <v>5</v>
      </c>
      <c r="AN82" s="38">
        <f t="shared" si="50"/>
        <v>5</v>
      </c>
      <c r="AO82" s="38">
        <f t="shared" si="51"/>
        <v>0</v>
      </c>
      <c r="AP82" s="38" t="str">
        <f>IF(OR($C82="01-09",$D82="Male"),"",INDEX(PMTCT!$AD:$AD,MATCH($E82,PMTCT!$E:$E,0)))</f>
        <v/>
      </c>
      <c r="AQ82" s="38" t="str">
        <f>IF(OR($C82="01-09",$D82="Male"),"",INDEX(PMTCT!$AT:$AT,MATCH($E82,PMTCT!$E:$E,0)))</f>
        <v/>
      </c>
      <c r="AR82" s="38">
        <f>INDEX(TB!$Q:$Q,MATCH($E82,TB!$E:$E,0))</f>
        <v>9</v>
      </c>
      <c r="AS82" s="38" t="str">
        <f>IF(OR($C82="01-09",$C82="10-14",$D82="Female"),"",INDEX(VMMC!$AB:$AB,MATCH($E82,VMMC!$E:$E,0)))</f>
        <v/>
      </c>
      <c r="AT82" s="38">
        <f>IF(OR($C82="01-09",$C82="10-14"),"",INDEX(PrEP!$Q:$Q,MATCH($E82,PrEP!$E:$E,0)))</f>
        <v>24</v>
      </c>
      <c r="AU82" s="38">
        <f t="shared" si="52"/>
        <v>116.99999999999999</v>
      </c>
      <c r="AV82" s="38">
        <f t="shared" si="53"/>
        <v>122</v>
      </c>
      <c r="AW82" s="33">
        <f t="shared" si="54"/>
        <v>4.0983606557377046E-2</v>
      </c>
      <c r="AX82" s="38">
        <v>10</v>
      </c>
      <c r="AY82" s="33">
        <f t="shared" si="55"/>
        <v>0.68</v>
      </c>
      <c r="AZ82" s="218">
        <f t="shared" si="56"/>
        <v>17</v>
      </c>
      <c r="BA82" s="33">
        <v>0.44</v>
      </c>
      <c r="BB82" s="218">
        <f t="shared" si="57"/>
        <v>2</v>
      </c>
    </row>
    <row r="83" spans="1:54" x14ac:dyDescent="0.2">
      <c r="A83" t="str">
        <f>INDEX(Prioritization!$D:$D,MATCH($B83,Prioritization!$A:$A,0))</f>
        <v>4 - Sustained</v>
      </c>
      <c r="B83" t="s">
        <v>307</v>
      </c>
      <c r="C83" t="s">
        <v>477</v>
      </c>
      <c r="D83" t="s">
        <v>30</v>
      </c>
      <c r="E83" t="str">
        <f t="shared" si="32"/>
        <v>Chitipa District [GkIwZrXy1h2]|35-49|Female</v>
      </c>
      <c r="F83" s="33">
        <f>IF(LEFT($B83,4)="_Mil","",INDEX(Cascade!$AA:$AA,MATCH($E83,Cascade!$E:$E,0)))</f>
        <v>0.98161381199999997</v>
      </c>
      <c r="G83" s="38">
        <f>INDEX(Cascade!$BH:$BH,MATCH($E83,Cascade!$E:$E,0))</f>
        <v>34</v>
      </c>
      <c r="H83" s="38" t="str">
        <f>IF(OR($C83="01-09",$D83="Male"),"",INDEX(PMTCT!$AC:$AC,MATCH($E83,PMTCT!$E:$E,0)))</f>
        <v/>
      </c>
      <c r="I83" s="38" t="str">
        <f>IF(OR($C83="01-09",$D83="Male"),"",INDEX(PMTCT!$AS:$AS,MATCH($E83,PMTCT!$E:$E,0)))</f>
        <v/>
      </c>
      <c r="J83" s="38">
        <f>INDEX(TB!$P:$P,MATCH($E83,TB!$E:$E,0))</f>
        <v>1</v>
      </c>
      <c r="K83" s="38" t="str">
        <f>IF(OR($C83="01-09",$C83="10-14",$D83="Female"),"",INDEX(VMMC!$AA:$AA,MATCH($E83,VMMC!$E:$E,0)))</f>
        <v/>
      </c>
      <c r="L83" s="38">
        <f t="shared" si="33"/>
        <v>33</v>
      </c>
      <c r="M83" s="33">
        <f t="shared" si="34"/>
        <v>0</v>
      </c>
      <c r="N83" s="33">
        <f t="shared" si="35"/>
        <v>0</v>
      </c>
      <c r="O83" s="33">
        <f t="shared" si="36"/>
        <v>2.9411764705882353E-2</v>
      </c>
      <c r="P83" s="33" t="str">
        <f t="shared" si="37"/>
        <v/>
      </c>
      <c r="Q83" s="33">
        <v>0.21341463414634099</v>
      </c>
      <c r="R83" s="33"/>
      <c r="S83" s="33"/>
      <c r="T83" s="33">
        <v>0.05</v>
      </c>
      <c r="U83" s="33">
        <f t="shared" si="27"/>
        <v>0.70717360114777672</v>
      </c>
      <c r="V83" s="33">
        <f t="shared" si="38"/>
        <v>1</v>
      </c>
      <c r="W83" s="218">
        <f t="shared" si="39"/>
        <v>7</v>
      </c>
      <c r="X83" s="33">
        <v>0.21199999999999999</v>
      </c>
      <c r="Y83" s="218">
        <f t="shared" si="39"/>
        <v>7</v>
      </c>
      <c r="Z83" s="218">
        <f t="shared" si="40"/>
        <v>26</v>
      </c>
      <c r="AA83" s="33">
        <v>0.12</v>
      </c>
      <c r="AB83" s="218" t="str">
        <f t="shared" si="41"/>
        <v/>
      </c>
      <c r="AC83" s="218" t="str">
        <f t="shared" si="42"/>
        <v/>
      </c>
      <c r="AD83" s="33">
        <v>0.02</v>
      </c>
      <c r="AE83" s="218" t="str">
        <f t="shared" si="43"/>
        <v/>
      </c>
      <c r="AF83" s="218" t="str">
        <f t="shared" si="44"/>
        <v/>
      </c>
      <c r="AG83" s="33">
        <v>0.02</v>
      </c>
      <c r="AH83" s="218">
        <f t="shared" si="45"/>
        <v>2</v>
      </c>
      <c r="AI83" s="218">
        <f t="shared" si="46"/>
        <v>98</v>
      </c>
      <c r="AJ83" s="33">
        <v>2.7E-2</v>
      </c>
      <c r="AK83" s="218">
        <f t="shared" si="47"/>
        <v>24</v>
      </c>
      <c r="AL83" s="218">
        <f t="shared" si="48"/>
        <v>865</v>
      </c>
      <c r="AM83" s="38">
        <f t="shared" si="49"/>
        <v>34</v>
      </c>
      <c r="AN83" s="38">
        <f t="shared" si="50"/>
        <v>34</v>
      </c>
      <c r="AO83" s="38">
        <f t="shared" si="51"/>
        <v>0</v>
      </c>
      <c r="AP83" s="38" t="str">
        <f>IF(OR($C83="01-09",$D83="Male"),"",INDEX(PMTCT!$AD:$AD,MATCH($E83,PMTCT!$E:$E,0)))</f>
        <v/>
      </c>
      <c r="AQ83" s="38" t="str">
        <f>IF(OR($C83="01-09",$D83="Male"),"",INDEX(PMTCT!$AT:$AT,MATCH($E83,PMTCT!$E:$E,0)))</f>
        <v/>
      </c>
      <c r="AR83" s="38">
        <f>INDEX(TB!$Q:$Q,MATCH($E83,TB!$E:$E,0))</f>
        <v>11</v>
      </c>
      <c r="AS83" s="38" t="str">
        <f>IF(OR($C83="01-09",$C83="10-14",$D83="Female"),"",INDEX(VMMC!$AB:$AB,MATCH($E83,VMMC!$E:$E,0)))</f>
        <v/>
      </c>
      <c r="AT83" s="38">
        <f>IF(OR($C83="01-09",$C83="10-14"),"",INDEX(PrEP!$Q:$Q,MATCH($E83,PrEP!$E:$E,0)))</f>
        <v>60</v>
      </c>
      <c r="AU83" s="38">
        <f t="shared" si="52"/>
        <v>1060</v>
      </c>
      <c r="AV83" s="38">
        <f t="shared" si="53"/>
        <v>1094</v>
      </c>
      <c r="AW83" s="33">
        <f t="shared" si="54"/>
        <v>3.1078610603290677E-2</v>
      </c>
      <c r="AX83" s="38">
        <v>11</v>
      </c>
      <c r="AY83" s="33">
        <f t="shared" si="55"/>
        <v>0.68</v>
      </c>
      <c r="AZ83" s="218">
        <f t="shared" si="56"/>
        <v>18</v>
      </c>
      <c r="BA83" s="33">
        <v>0.44</v>
      </c>
      <c r="BB83" s="218">
        <f t="shared" si="57"/>
        <v>15</v>
      </c>
    </row>
    <row r="84" spans="1:54" x14ac:dyDescent="0.2">
      <c r="A84" t="str">
        <f>INDEX(Prioritization!$D:$D,MATCH($B84,Prioritization!$A:$A,0))</f>
        <v>4 - Sustained</v>
      </c>
      <c r="B84" t="s">
        <v>307</v>
      </c>
      <c r="C84" t="s">
        <v>477</v>
      </c>
      <c r="D84" t="s">
        <v>48</v>
      </c>
      <c r="E84" t="str">
        <f t="shared" si="32"/>
        <v>Chitipa District [GkIwZrXy1h2]|35-49|Male</v>
      </c>
      <c r="F84" s="33">
        <f>IF(LEFT($B84,4)="_Mil","",INDEX(Cascade!$AA:$AA,MATCH($E84,Cascade!$E:$E,0)))</f>
        <v>0.92157162100000012</v>
      </c>
      <c r="G84" s="38">
        <f>INDEX(Cascade!$BH:$BH,MATCH($E84,Cascade!$E:$E,0))</f>
        <v>54</v>
      </c>
      <c r="H84" s="38" t="str">
        <f>IF(OR($C84="01-09",$D84="Male"),"",INDEX(PMTCT!$AC:$AC,MATCH($E84,PMTCT!$E:$E,0)))</f>
        <v/>
      </c>
      <c r="I84" s="38" t="str">
        <f>IF(OR($C84="01-09",$D84="Male"),"",INDEX(PMTCT!$AS:$AS,MATCH($E84,PMTCT!$E:$E,0)))</f>
        <v/>
      </c>
      <c r="J84" s="38">
        <f>INDEX(TB!$P:$P,MATCH($E84,TB!$E:$E,0))</f>
        <v>1</v>
      </c>
      <c r="K84" s="38" t="str">
        <f>IF(OR($C84="01-09",$C84="10-14",$D84="Female"),"",INDEX(VMMC!$AA:$AA,MATCH($E84,VMMC!$E:$E,0)))</f>
        <v/>
      </c>
      <c r="L84" s="38">
        <f t="shared" si="33"/>
        <v>53</v>
      </c>
      <c r="M84" s="33" t="str">
        <f t="shared" si="34"/>
        <v/>
      </c>
      <c r="N84" s="33" t="str">
        <f t="shared" si="35"/>
        <v/>
      </c>
      <c r="O84" s="33">
        <f t="shared" si="36"/>
        <v>1.8518518518518517E-2</v>
      </c>
      <c r="P84" s="33">
        <f t="shared" si="37"/>
        <v>0</v>
      </c>
      <c r="Q84" s="33">
        <v>0.38297872340425498</v>
      </c>
      <c r="R84" s="33"/>
      <c r="S84" s="33"/>
      <c r="T84" s="33">
        <v>0.05</v>
      </c>
      <c r="U84" s="33">
        <f t="shared" si="27"/>
        <v>0.54850275807722659</v>
      </c>
      <c r="V84" s="33">
        <f t="shared" si="38"/>
        <v>1</v>
      </c>
      <c r="W84" s="218">
        <f t="shared" si="39"/>
        <v>21</v>
      </c>
      <c r="X84" s="33">
        <v>0.42899999999999999</v>
      </c>
      <c r="Y84" s="218">
        <f t="shared" si="39"/>
        <v>21</v>
      </c>
      <c r="Z84" s="218">
        <f t="shared" si="40"/>
        <v>28</v>
      </c>
      <c r="AA84" s="33">
        <v>0.12</v>
      </c>
      <c r="AB84" s="218" t="str">
        <f t="shared" si="41"/>
        <v/>
      </c>
      <c r="AC84" s="218" t="str">
        <f t="shared" si="42"/>
        <v/>
      </c>
      <c r="AD84" s="33">
        <v>0.02</v>
      </c>
      <c r="AE84" s="218" t="str">
        <f t="shared" si="43"/>
        <v/>
      </c>
      <c r="AF84" s="218" t="str">
        <f t="shared" si="44"/>
        <v/>
      </c>
      <c r="AG84" s="33">
        <v>0.02</v>
      </c>
      <c r="AH84" s="218">
        <f t="shared" si="45"/>
        <v>3</v>
      </c>
      <c r="AI84" s="218">
        <f t="shared" si="46"/>
        <v>147</v>
      </c>
      <c r="AJ84" s="33">
        <v>4.1000000000000002E-2</v>
      </c>
      <c r="AK84" s="218">
        <f t="shared" si="47"/>
        <v>30</v>
      </c>
      <c r="AL84" s="218">
        <f t="shared" si="48"/>
        <v>702</v>
      </c>
      <c r="AM84" s="38">
        <f t="shared" si="49"/>
        <v>54</v>
      </c>
      <c r="AN84" s="38">
        <f t="shared" si="50"/>
        <v>55</v>
      </c>
      <c r="AO84" s="38">
        <f t="shared" si="51"/>
        <v>1</v>
      </c>
      <c r="AP84" s="38" t="str">
        <f>IF(OR($C84="01-09",$D84="Male"),"",INDEX(PMTCT!$AD:$AD,MATCH($E84,PMTCT!$E:$E,0)))</f>
        <v/>
      </c>
      <c r="AQ84" s="38" t="str">
        <f>IF(OR($C84="01-09",$D84="Male"),"",INDEX(PMTCT!$AT:$AT,MATCH($E84,PMTCT!$E:$E,0)))</f>
        <v/>
      </c>
      <c r="AR84" s="38">
        <f>INDEX(TB!$Q:$Q,MATCH($E84,TB!$E:$E,0))</f>
        <v>15</v>
      </c>
      <c r="AS84" s="38" t="str">
        <f>IF(OR($C84="01-09",$C84="10-14",$D84="Female"),"",INDEX(VMMC!$AB:$AB,MATCH($E84,VMMC!$E:$E,0)))</f>
        <v/>
      </c>
      <c r="AT84" s="38">
        <f>IF(OR($C84="01-09",$C84="10-14"),"",INDEX(PrEP!$Q:$Q,MATCH($E84,PrEP!$E:$E,0)))</f>
        <v>60</v>
      </c>
      <c r="AU84" s="38">
        <f t="shared" si="52"/>
        <v>952</v>
      </c>
      <c r="AV84" s="38">
        <f t="shared" si="53"/>
        <v>1007</v>
      </c>
      <c r="AW84" s="33">
        <f t="shared" si="54"/>
        <v>5.461767626613704E-2</v>
      </c>
      <c r="AX84" s="38">
        <v>7</v>
      </c>
      <c r="AY84" s="33">
        <f t="shared" si="55"/>
        <v>0.68</v>
      </c>
      <c r="AZ84" s="218">
        <f t="shared" si="56"/>
        <v>12</v>
      </c>
      <c r="BA84" s="33">
        <v>0.44</v>
      </c>
      <c r="BB84" s="218">
        <f t="shared" si="57"/>
        <v>24</v>
      </c>
    </row>
    <row r="85" spans="1:54" x14ac:dyDescent="0.2">
      <c r="A85" t="str">
        <f>INDEX(Prioritization!$D:$D,MATCH($B85,Prioritization!$A:$A,0))</f>
        <v>4 - Sustained</v>
      </c>
      <c r="B85" t="s">
        <v>307</v>
      </c>
      <c r="C85" t="s">
        <v>478</v>
      </c>
      <c r="D85" t="s">
        <v>30</v>
      </c>
      <c r="E85" t="str">
        <f t="shared" si="32"/>
        <v>Chitipa District [GkIwZrXy1h2]|50+|Female</v>
      </c>
      <c r="F85" s="33">
        <f>IF(LEFT($B85,4)="_Mil","",INDEX(Cascade!$AA:$AA,MATCH($E85,Cascade!$E:$E,0)))</f>
        <v>0.98726924300000007</v>
      </c>
      <c r="G85" s="38">
        <f>INDEX(Cascade!$BH:$BH,MATCH($E85,Cascade!$E:$E,0))</f>
        <v>42</v>
      </c>
      <c r="H85" s="38" t="str">
        <f>IF(OR($C85="01-09",$D85="Male"),"",INDEX(PMTCT!$AC:$AC,MATCH($E85,PMTCT!$E:$E,0)))</f>
        <v/>
      </c>
      <c r="I85" s="38" t="str">
        <f>IF(OR($C85="01-09",$D85="Male"),"",INDEX(PMTCT!$AS:$AS,MATCH($E85,PMTCT!$E:$E,0)))</f>
        <v/>
      </c>
      <c r="J85" s="38">
        <f>INDEX(TB!$P:$P,MATCH($E85,TB!$E:$E,0))</f>
        <v>0</v>
      </c>
      <c r="K85" s="38" t="str">
        <f>IF(OR($C85="01-09",$C85="10-14",$D85="Female"),"",INDEX(VMMC!$AA:$AA,MATCH($E85,VMMC!$E:$E,0)))</f>
        <v/>
      </c>
      <c r="L85" s="38">
        <f t="shared" si="33"/>
        <v>42</v>
      </c>
      <c r="M85" s="33">
        <f t="shared" si="34"/>
        <v>0</v>
      </c>
      <c r="N85" s="33">
        <f t="shared" si="35"/>
        <v>0</v>
      </c>
      <c r="O85" s="33">
        <f t="shared" si="36"/>
        <v>0</v>
      </c>
      <c r="P85" s="33" t="str">
        <f t="shared" si="37"/>
        <v/>
      </c>
      <c r="Q85" s="33">
        <v>0.15</v>
      </c>
      <c r="R85" s="33"/>
      <c r="S85" s="33"/>
      <c r="T85" s="33">
        <v>0.05</v>
      </c>
      <c r="U85" s="33">
        <f t="shared" si="27"/>
        <v>0.8</v>
      </c>
      <c r="V85" s="33">
        <f t="shared" si="38"/>
        <v>1</v>
      </c>
      <c r="W85" s="218">
        <f t="shared" si="39"/>
        <v>6</v>
      </c>
      <c r="X85" s="33">
        <v>0.14299999999999999</v>
      </c>
      <c r="Y85" s="218">
        <f t="shared" si="39"/>
        <v>6</v>
      </c>
      <c r="Z85" s="218">
        <f t="shared" si="40"/>
        <v>36</v>
      </c>
      <c r="AA85" s="33">
        <v>0.12</v>
      </c>
      <c r="AB85" s="218" t="str">
        <f t="shared" si="41"/>
        <v/>
      </c>
      <c r="AC85" s="218" t="str">
        <f t="shared" si="42"/>
        <v/>
      </c>
      <c r="AD85" s="33">
        <v>0.02</v>
      </c>
      <c r="AE85" s="218" t="str">
        <f t="shared" si="43"/>
        <v/>
      </c>
      <c r="AF85" s="218" t="str">
        <f t="shared" si="44"/>
        <v/>
      </c>
      <c r="AG85" s="33">
        <v>0.02</v>
      </c>
      <c r="AH85" s="218">
        <f t="shared" si="45"/>
        <v>2</v>
      </c>
      <c r="AI85" s="218">
        <f t="shared" si="46"/>
        <v>98</v>
      </c>
      <c r="AJ85" s="33">
        <v>3.5000000000000003E-2</v>
      </c>
      <c r="AK85" s="218">
        <f t="shared" si="47"/>
        <v>34</v>
      </c>
      <c r="AL85" s="218">
        <f t="shared" si="48"/>
        <v>937</v>
      </c>
      <c r="AM85" s="38">
        <f t="shared" si="49"/>
        <v>42</v>
      </c>
      <c r="AN85" s="38">
        <f t="shared" si="50"/>
        <v>42</v>
      </c>
      <c r="AO85" s="38">
        <f t="shared" si="51"/>
        <v>0</v>
      </c>
      <c r="AP85" s="38" t="str">
        <f>IF(OR($C85="01-09",$D85="Male"),"",INDEX(PMTCT!$AD:$AD,MATCH($E85,PMTCT!$E:$E,0)))</f>
        <v/>
      </c>
      <c r="AQ85" s="38" t="str">
        <f>IF(OR($C85="01-09",$D85="Male"),"",INDEX(PMTCT!$AT:$AT,MATCH($E85,PMTCT!$E:$E,0)))</f>
        <v/>
      </c>
      <c r="AR85" s="38">
        <f>INDEX(TB!$Q:$Q,MATCH($E85,TB!$E:$E,0))</f>
        <v>5</v>
      </c>
      <c r="AS85" s="38" t="str">
        <f>IF(OR($C85="01-09",$C85="10-14",$D85="Female"),"",INDEX(VMMC!$AB:$AB,MATCH($E85,VMMC!$E:$E,0)))</f>
        <v/>
      </c>
      <c r="AT85" s="38">
        <f>IF(OR($C85="01-09",$C85="10-14"),"",INDEX(PrEP!$Q:$Q,MATCH($E85,PrEP!$E:$E,0)))</f>
        <v>12</v>
      </c>
      <c r="AU85" s="38">
        <f t="shared" si="52"/>
        <v>1088</v>
      </c>
      <c r="AV85" s="38">
        <f t="shared" si="53"/>
        <v>1130</v>
      </c>
      <c r="AW85" s="33">
        <f t="shared" si="54"/>
        <v>3.7168141592920353E-2</v>
      </c>
      <c r="AX85" s="38">
        <v>6</v>
      </c>
      <c r="AY85" s="33">
        <f t="shared" ref="AY85:AY138" si="58">IF(OR($C85="01-09",SUM($AX85)=0),"",0%)</f>
        <v>0</v>
      </c>
      <c r="AZ85" s="218">
        <f t="shared" si="56"/>
        <v>6</v>
      </c>
      <c r="BA85" s="33">
        <v>0.44</v>
      </c>
      <c r="BB85" s="218">
        <f t="shared" si="57"/>
        <v>18</v>
      </c>
    </row>
    <row r="86" spans="1:54" x14ac:dyDescent="0.2">
      <c r="A86" t="str">
        <f>INDEX(Prioritization!$D:$D,MATCH($B86,Prioritization!$A:$A,0))</f>
        <v>4 - Sustained</v>
      </c>
      <c r="B86" t="s">
        <v>307</v>
      </c>
      <c r="C86" t="s">
        <v>478</v>
      </c>
      <c r="D86" t="s">
        <v>48</v>
      </c>
      <c r="E86" t="str">
        <f t="shared" si="32"/>
        <v>Chitipa District [GkIwZrXy1h2]|50+|Male</v>
      </c>
      <c r="F86" s="33">
        <f>IF(LEFT($B86,4)="_Mil","",INDEX(Cascade!$AA:$AA,MATCH($E86,Cascade!$E:$E,0)))</f>
        <v>0.94608708999999991</v>
      </c>
      <c r="G86" s="38">
        <f>INDEX(Cascade!$BH:$BH,MATCH($E86,Cascade!$E:$E,0))</f>
        <v>19</v>
      </c>
      <c r="H86" s="38" t="str">
        <f>IF(OR($C86="01-09",$D86="Male"),"",INDEX(PMTCT!$AC:$AC,MATCH($E86,PMTCT!$E:$E,0)))</f>
        <v/>
      </c>
      <c r="I86" s="38" t="str">
        <f>IF(OR($C86="01-09",$D86="Male"),"",INDEX(PMTCT!$AS:$AS,MATCH($E86,PMTCT!$E:$E,0)))</f>
        <v/>
      </c>
      <c r="J86" s="38">
        <f>INDEX(TB!$P:$P,MATCH($E86,TB!$E:$E,0))</f>
        <v>0</v>
      </c>
      <c r="K86" s="38" t="str">
        <f>IF(OR($C86="01-09",$C86="10-14",$D86="Female"),"",INDEX(VMMC!$AA:$AA,MATCH($E86,VMMC!$E:$E,0)))</f>
        <v/>
      </c>
      <c r="L86" s="38">
        <f t="shared" si="33"/>
        <v>19</v>
      </c>
      <c r="M86" s="33" t="str">
        <f t="shared" si="34"/>
        <v/>
      </c>
      <c r="N86" s="33" t="str">
        <f t="shared" si="35"/>
        <v/>
      </c>
      <c r="O86" s="33">
        <f t="shared" si="36"/>
        <v>0</v>
      </c>
      <c r="P86" s="33">
        <f t="shared" si="37"/>
        <v>0</v>
      </c>
      <c r="Q86" s="33">
        <v>0.15</v>
      </c>
      <c r="R86" s="33"/>
      <c r="S86" s="33"/>
      <c r="T86" s="33">
        <v>0.05</v>
      </c>
      <c r="U86" s="33">
        <f t="shared" si="27"/>
        <v>0.8</v>
      </c>
      <c r="V86" s="33">
        <f t="shared" si="38"/>
        <v>1</v>
      </c>
      <c r="W86" s="218">
        <f t="shared" si="39"/>
        <v>3</v>
      </c>
      <c r="X86" s="33">
        <v>0.14299999999999999</v>
      </c>
      <c r="Y86" s="218">
        <f t="shared" si="39"/>
        <v>3</v>
      </c>
      <c r="Z86" s="218">
        <f t="shared" si="40"/>
        <v>18</v>
      </c>
      <c r="AA86" s="33">
        <v>0.12</v>
      </c>
      <c r="AB86" s="218" t="str">
        <f t="shared" si="41"/>
        <v/>
      </c>
      <c r="AC86" s="218" t="str">
        <f t="shared" si="42"/>
        <v/>
      </c>
      <c r="AD86" s="33">
        <v>0.02</v>
      </c>
      <c r="AE86" s="218" t="str">
        <f t="shared" si="43"/>
        <v/>
      </c>
      <c r="AF86" s="218" t="str">
        <f t="shared" si="44"/>
        <v/>
      </c>
      <c r="AG86" s="33">
        <v>0.02</v>
      </c>
      <c r="AH86" s="218">
        <f t="shared" si="45"/>
        <v>1</v>
      </c>
      <c r="AI86" s="218">
        <f t="shared" si="46"/>
        <v>49</v>
      </c>
      <c r="AJ86" s="33">
        <v>0.03</v>
      </c>
      <c r="AK86" s="218">
        <f t="shared" si="47"/>
        <v>15</v>
      </c>
      <c r="AL86" s="218">
        <f t="shared" si="48"/>
        <v>485</v>
      </c>
      <c r="AM86" s="38">
        <f t="shared" si="49"/>
        <v>19</v>
      </c>
      <c r="AN86" s="38">
        <f t="shared" si="50"/>
        <v>19</v>
      </c>
      <c r="AO86" s="38">
        <f t="shared" si="51"/>
        <v>0</v>
      </c>
      <c r="AP86" s="38" t="str">
        <f>IF(OR($C86="01-09",$D86="Male"),"",INDEX(PMTCT!$AD:$AD,MATCH($E86,PMTCT!$E:$E,0)))</f>
        <v/>
      </c>
      <c r="AQ86" s="38" t="str">
        <f>IF(OR($C86="01-09",$D86="Male"),"",INDEX(PMTCT!$AT:$AT,MATCH($E86,PMTCT!$E:$E,0)))</f>
        <v/>
      </c>
      <c r="AR86" s="38">
        <f>INDEX(TB!$Q:$Q,MATCH($E86,TB!$E:$E,0))</f>
        <v>6</v>
      </c>
      <c r="AS86" s="38" t="str">
        <f>IF(OR($C86="01-09",$C86="10-14",$D86="Female"),"",INDEX(VMMC!$AB:$AB,MATCH($E86,VMMC!$E:$E,0)))</f>
        <v/>
      </c>
      <c r="AT86" s="38">
        <f>IF(OR($C86="01-09",$C86="10-14"),"",INDEX(PrEP!$Q:$Q,MATCH($E86,PrEP!$E:$E,0)))</f>
        <v>18</v>
      </c>
      <c r="AU86" s="38">
        <f t="shared" si="52"/>
        <v>576</v>
      </c>
      <c r="AV86" s="38">
        <f t="shared" si="53"/>
        <v>595</v>
      </c>
      <c r="AW86" s="33">
        <f t="shared" si="54"/>
        <v>3.1932773109243695E-2</v>
      </c>
      <c r="AX86" s="38">
        <v>6</v>
      </c>
      <c r="AY86" s="33">
        <f t="shared" si="58"/>
        <v>0</v>
      </c>
      <c r="AZ86" s="218">
        <f t="shared" si="56"/>
        <v>6</v>
      </c>
      <c r="BA86" s="33">
        <v>0.44</v>
      </c>
      <c r="BB86" s="218">
        <f t="shared" si="57"/>
        <v>8</v>
      </c>
    </row>
    <row r="87" spans="1:54" x14ac:dyDescent="0.2">
      <c r="A87" t="str">
        <f>INDEX(Prioritization!$D:$D,MATCH($B87,Prioritization!$A:$A,0))</f>
        <v>4 - Sustained</v>
      </c>
      <c r="B87" s="1" t="s">
        <v>298</v>
      </c>
      <c r="C87" s="1" t="s">
        <v>473</v>
      </c>
      <c r="D87" s="1" t="s">
        <v>30</v>
      </c>
      <c r="E87" t="str">
        <f t="shared" si="32"/>
        <v>Dedza District [PekKUkKHAzY]|01-09|Female</v>
      </c>
      <c r="F87" s="33">
        <f>IF(LEFT($B87,4)="_Mil","",INDEX(Cascade!$AA:$AA,MATCH($E87,Cascade!$E:$E,0)))</f>
        <v>0.67143921500000003</v>
      </c>
      <c r="G87" s="38">
        <f>INDEX(Cascade!$BH:$BH,MATCH($E87,Cascade!$E:$E,0))</f>
        <v>4</v>
      </c>
      <c r="H87" s="38" t="str">
        <f>IF(OR($C87="01-09",$D87="Male"),"",INDEX(PMTCT!$AC:$AC,MATCH($E87,PMTCT!$E:$E,0)))</f>
        <v/>
      </c>
      <c r="I87" s="38" t="str">
        <f>IF(OR($C87="01-09",$D87="Male"),"",INDEX(PMTCT!$AS:$AS,MATCH($E87,PMTCT!$E:$E,0)))</f>
        <v/>
      </c>
      <c r="J87" s="38">
        <f>INDEX(TB!$P:$P,MATCH($E87,TB!$E:$E,0))</f>
        <v>0</v>
      </c>
      <c r="K87" s="38" t="str">
        <f>IF(OR($C87="01-09",$C87="10-14",$D87="Female"),"",INDEX(VMMC!$AA:$AA,MATCH($E87,VMMC!$E:$E,0)))</f>
        <v/>
      </c>
      <c r="L87" s="38">
        <f t="shared" si="33"/>
        <v>4</v>
      </c>
      <c r="M87" s="33" t="str">
        <f t="shared" si="34"/>
        <v/>
      </c>
      <c r="N87" s="33" t="str">
        <f t="shared" si="35"/>
        <v/>
      </c>
      <c r="O87" s="33">
        <f t="shared" si="36"/>
        <v>0</v>
      </c>
      <c r="P87" s="33" t="str">
        <f t="shared" si="37"/>
        <v/>
      </c>
      <c r="Q87" s="33">
        <v>0.45454545454545497</v>
      </c>
      <c r="R87" s="33"/>
      <c r="S87" s="33"/>
      <c r="T87" s="33"/>
      <c r="U87" s="33">
        <f t="shared" si="27"/>
        <v>0.54545454545454497</v>
      </c>
      <c r="V87" s="33">
        <f t="shared" si="38"/>
        <v>1</v>
      </c>
      <c r="W87" s="2">
        <f t="shared" si="39"/>
        <v>2</v>
      </c>
      <c r="X87" s="33">
        <v>2.5999999999999999E-2</v>
      </c>
      <c r="Y87" s="2">
        <f t="shared" si="39"/>
        <v>2</v>
      </c>
      <c r="Z87" s="2">
        <f t="shared" si="40"/>
        <v>75</v>
      </c>
      <c r="AA87" s="33">
        <v>0.12</v>
      </c>
      <c r="AB87" s="2" t="str">
        <f t="shared" si="41"/>
        <v/>
      </c>
      <c r="AC87" s="2" t="str">
        <f t="shared" si="42"/>
        <v/>
      </c>
      <c r="AD87" s="236">
        <v>0.02</v>
      </c>
      <c r="AE87" s="2" t="str">
        <f t="shared" si="43"/>
        <v/>
      </c>
      <c r="AF87" s="2" t="str">
        <f t="shared" si="44"/>
        <v/>
      </c>
      <c r="AG87" s="33">
        <v>0.02</v>
      </c>
      <c r="AH87" s="2" t="str">
        <f t="shared" si="45"/>
        <v/>
      </c>
      <c r="AI87" s="2" t="str">
        <f t="shared" si="46"/>
        <v/>
      </c>
      <c r="AJ87" s="33">
        <v>3.0999999999999999E-3</v>
      </c>
      <c r="AK87" s="2">
        <f t="shared" si="47"/>
        <v>2</v>
      </c>
      <c r="AL87" s="2">
        <f t="shared" si="48"/>
        <v>643</v>
      </c>
      <c r="AM87" s="38">
        <f t="shared" si="49"/>
        <v>4</v>
      </c>
      <c r="AN87" s="2">
        <f t="shared" si="50"/>
        <v>4</v>
      </c>
      <c r="AO87" s="38">
        <f t="shared" si="51"/>
        <v>0</v>
      </c>
      <c r="AP87" s="38" t="str">
        <f>IF(OR($C87="01-09",$D87="Male"),"",INDEX(PMTCT!$AD:$AD,MATCH($E87,PMTCT!$E:$E,0)))</f>
        <v/>
      </c>
      <c r="AQ87" s="38" t="str">
        <f>IF(OR($C87="01-09",$D87="Male"),"",INDEX(PMTCT!$AT:$AT,MATCH($E87,PMTCT!$E:$E,0)))</f>
        <v/>
      </c>
      <c r="AR87" s="38">
        <f>INDEX(TB!$Q:$Q,MATCH($E87,TB!$E:$E,0))</f>
        <v>6</v>
      </c>
      <c r="AS87" s="38" t="str">
        <f>IF(OR($C87="01-09",$C87="10-14",$D87="Female"),"",INDEX(VMMC!$AB:$AB,MATCH($E87,VMMC!$E:$E,0)))</f>
        <v/>
      </c>
      <c r="AT87" s="38" t="str">
        <f>IF(OR($C87="01-09",$C87="10-14"),"",INDEX(PrEP!$Q:$Q,MATCH($E87,PrEP!$E:$E,0)))</f>
        <v/>
      </c>
      <c r="AU87" s="2">
        <f t="shared" si="52"/>
        <v>724</v>
      </c>
      <c r="AV87" s="2">
        <f t="shared" si="53"/>
        <v>728</v>
      </c>
      <c r="AW87" s="33">
        <f t="shared" si="54"/>
        <v>5.4945054945054949E-3</v>
      </c>
      <c r="AX87" s="38"/>
      <c r="AY87" s="33" t="str">
        <f t="shared" si="58"/>
        <v/>
      </c>
      <c r="AZ87" s="2" t="str">
        <f t="shared" si="56"/>
        <v/>
      </c>
      <c r="BA87" s="33" t="str">
        <f t="shared" ref="BA87:BA138" si="59">IF(OR($C87="01-09",$C87="10-14"),"",100%)</f>
        <v/>
      </c>
      <c r="BB87" s="2" t="str">
        <f t="shared" si="57"/>
        <v/>
      </c>
    </row>
    <row r="88" spans="1:54" x14ac:dyDescent="0.2">
      <c r="A88" t="str">
        <f>INDEX(Prioritization!$D:$D,MATCH($B88,Prioritization!$A:$A,0))</f>
        <v>4 - Sustained</v>
      </c>
      <c r="B88" t="s">
        <v>298</v>
      </c>
      <c r="C88" t="s">
        <v>473</v>
      </c>
      <c r="D88" t="s">
        <v>48</v>
      </c>
      <c r="E88" t="str">
        <f t="shared" si="32"/>
        <v>Dedza District [PekKUkKHAzY]|01-09|Male</v>
      </c>
      <c r="F88" s="33">
        <f>IF(LEFT($B88,4)="_Mil","",INDEX(Cascade!$AA:$AA,MATCH($E88,Cascade!$E:$E,0)))</f>
        <v>0.67139945499999998</v>
      </c>
      <c r="G88" s="38">
        <f>INDEX(Cascade!$BH:$BH,MATCH($E88,Cascade!$E:$E,0))</f>
        <v>4</v>
      </c>
      <c r="H88" s="38" t="str">
        <f>IF(OR($C88="01-09",$D88="Male"),"",INDEX(PMTCT!$AC:$AC,MATCH($E88,PMTCT!$E:$E,0)))</f>
        <v/>
      </c>
      <c r="I88" s="38" t="str">
        <f>IF(OR($C88="01-09",$D88="Male"),"",INDEX(PMTCT!$AS:$AS,MATCH($E88,PMTCT!$E:$E,0)))</f>
        <v/>
      </c>
      <c r="J88" s="38">
        <f>INDEX(TB!$P:$P,MATCH($E88,TB!$E:$E,0))</f>
        <v>0</v>
      </c>
      <c r="K88" s="38" t="str">
        <f>IF(OR($C88="01-09",$C88="10-14",$D88="Female"),"",INDEX(VMMC!$AA:$AA,MATCH($E88,VMMC!$E:$E,0)))</f>
        <v/>
      </c>
      <c r="L88" s="38">
        <f t="shared" si="33"/>
        <v>4</v>
      </c>
      <c r="M88" s="33" t="str">
        <f t="shared" si="34"/>
        <v/>
      </c>
      <c r="N88" s="33" t="str">
        <f t="shared" si="35"/>
        <v/>
      </c>
      <c r="O88" s="33">
        <f t="shared" si="36"/>
        <v>0</v>
      </c>
      <c r="P88" s="33" t="str">
        <f t="shared" si="37"/>
        <v/>
      </c>
      <c r="Q88" s="33">
        <v>0.45454545454545497</v>
      </c>
      <c r="R88" s="33"/>
      <c r="S88" s="33"/>
      <c r="T88" s="33"/>
      <c r="U88" s="33">
        <f t="shared" si="27"/>
        <v>0.54545454545454497</v>
      </c>
      <c r="V88" s="33">
        <f t="shared" si="38"/>
        <v>1</v>
      </c>
      <c r="W88" s="218">
        <f t="shared" si="39"/>
        <v>2</v>
      </c>
      <c r="X88" s="33">
        <v>2.1999999999999999E-2</v>
      </c>
      <c r="Y88" s="218">
        <f t="shared" si="39"/>
        <v>2</v>
      </c>
      <c r="Z88" s="218">
        <f t="shared" si="40"/>
        <v>89</v>
      </c>
      <c r="AA88" s="33">
        <v>0.12</v>
      </c>
      <c r="AB88" s="218" t="str">
        <f t="shared" si="41"/>
        <v/>
      </c>
      <c r="AC88" s="218" t="str">
        <f t="shared" si="42"/>
        <v/>
      </c>
      <c r="AD88" s="33">
        <v>0.02</v>
      </c>
      <c r="AE88" s="218" t="str">
        <f t="shared" si="43"/>
        <v/>
      </c>
      <c r="AF88" s="218" t="str">
        <f t="shared" si="44"/>
        <v/>
      </c>
      <c r="AG88" s="33">
        <v>0.02</v>
      </c>
      <c r="AH88" s="218" t="str">
        <f t="shared" si="45"/>
        <v/>
      </c>
      <c r="AI88" s="218" t="str">
        <f t="shared" si="46"/>
        <v/>
      </c>
      <c r="AJ88" s="33">
        <v>1.9E-3</v>
      </c>
      <c r="AK88" s="218">
        <f t="shared" si="47"/>
        <v>2</v>
      </c>
      <c r="AL88" s="218">
        <f t="shared" si="48"/>
        <v>1051</v>
      </c>
      <c r="AM88" s="38">
        <f t="shared" si="49"/>
        <v>4</v>
      </c>
      <c r="AN88" s="38">
        <f t="shared" si="50"/>
        <v>4</v>
      </c>
      <c r="AO88" s="38">
        <f t="shared" si="51"/>
        <v>0</v>
      </c>
      <c r="AP88" s="38" t="str">
        <f>IF(OR($C88="01-09",$D88="Male"),"",INDEX(PMTCT!$AD:$AD,MATCH($E88,PMTCT!$E:$E,0)))</f>
        <v/>
      </c>
      <c r="AQ88" s="38" t="str">
        <f>IF(OR($C88="01-09",$D88="Male"),"",INDEX(PMTCT!$AT:$AT,MATCH($E88,PMTCT!$E:$E,0)))</f>
        <v/>
      </c>
      <c r="AR88" s="38">
        <f>INDEX(TB!$Q:$Q,MATCH($E88,TB!$E:$E,0))</f>
        <v>6</v>
      </c>
      <c r="AS88" s="38" t="str">
        <f>IF(OR($C88="01-09",$C88="10-14",$D88="Female"),"",INDEX(VMMC!$AB:$AB,MATCH($E88,VMMC!$E:$E,0)))</f>
        <v/>
      </c>
      <c r="AT88" s="38" t="str">
        <f>IF(OR($C88="01-09",$C88="10-14"),"",INDEX(PrEP!$Q:$Q,MATCH($E88,PrEP!$E:$E,0)))</f>
        <v/>
      </c>
      <c r="AU88" s="38">
        <f t="shared" si="52"/>
        <v>1146</v>
      </c>
      <c r="AV88" s="38">
        <f t="shared" si="53"/>
        <v>1150</v>
      </c>
      <c r="AW88" s="33">
        <f t="shared" si="54"/>
        <v>3.4782608695652175E-3</v>
      </c>
      <c r="AX88" s="38"/>
      <c r="AY88" s="33" t="str">
        <f t="shared" si="58"/>
        <v/>
      </c>
      <c r="AZ88" s="218" t="str">
        <f t="shared" si="56"/>
        <v/>
      </c>
      <c r="BA88" s="33" t="str">
        <f t="shared" si="59"/>
        <v/>
      </c>
      <c r="BB88" s="218" t="str">
        <f t="shared" si="57"/>
        <v/>
      </c>
    </row>
    <row r="89" spans="1:54" x14ac:dyDescent="0.2">
      <c r="A89" t="str">
        <f>INDEX(Prioritization!$D:$D,MATCH($B89,Prioritization!$A:$A,0))</f>
        <v>4 - Sustained</v>
      </c>
      <c r="B89" t="s">
        <v>298</v>
      </c>
      <c r="C89" t="s">
        <v>474</v>
      </c>
      <c r="D89" t="s">
        <v>30</v>
      </c>
      <c r="E89" t="str">
        <f t="shared" si="32"/>
        <v>Dedza District [PekKUkKHAzY]|10-14|Female</v>
      </c>
      <c r="F89" s="33">
        <f>IF(LEFT($B89,4)="_Mil","",INDEX(Cascade!$AA:$AA,MATCH($E89,Cascade!$E:$E,0)))</f>
        <v>0.71078913099999996</v>
      </c>
      <c r="G89" s="38">
        <f>INDEX(Cascade!$BH:$BH,MATCH($E89,Cascade!$E:$E,0))</f>
        <v>25</v>
      </c>
      <c r="H89" s="38" t="str">
        <f>IF(OR($C89="01-09",$D89="Male"),"",INDEX(PMTCT!$AC:$AC,MATCH($E89,PMTCT!$E:$E,0)))</f>
        <v/>
      </c>
      <c r="I89" s="38" t="str">
        <f>IF(OR($C89="01-09",$D89="Male"),"",INDEX(PMTCT!$AS:$AS,MATCH($E89,PMTCT!$E:$E,0)))</f>
        <v/>
      </c>
      <c r="J89" s="38">
        <f>INDEX(TB!$P:$P,MATCH($E89,TB!$E:$E,0))</f>
        <v>0</v>
      </c>
      <c r="K89" s="38" t="str">
        <f>IF(OR($C89="01-09",$C89="10-14",$D89="Female"),"",INDEX(VMMC!$AA:$AA,MATCH($E89,VMMC!$E:$E,0)))</f>
        <v/>
      </c>
      <c r="L89" s="38">
        <f t="shared" si="33"/>
        <v>25</v>
      </c>
      <c r="M89" s="33">
        <f t="shared" si="34"/>
        <v>0</v>
      </c>
      <c r="N89" s="33">
        <f t="shared" si="35"/>
        <v>0</v>
      </c>
      <c r="O89" s="33">
        <f t="shared" si="36"/>
        <v>0</v>
      </c>
      <c r="P89" s="33" t="str">
        <f t="shared" si="37"/>
        <v/>
      </c>
      <c r="Q89" s="33">
        <v>0.44827586206896602</v>
      </c>
      <c r="R89" s="33"/>
      <c r="S89" s="33"/>
      <c r="T89" s="33"/>
      <c r="U89" s="33">
        <f t="shared" si="27"/>
        <v>0.55172413793103403</v>
      </c>
      <c r="V89" s="33">
        <f t="shared" si="38"/>
        <v>1</v>
      </c>
      <c r="W89" s="218">
        <f t="shared" si="39"/>
        <v>11</v>
      </c>
      <c r="X89" s="33">
        <v>2.1000000000000001E-2</v>
      </c>
      <c r="Y89" s="218">
        <f t="shared" si="39"/>
        <v>11</v>
      </c>
      <c r="Z89" s="218">
        <f t="shared" si="40"/>
        <v>513</v>
      </c>
      <c r="AA89" s="33">
        <v>0.12</v>
      </c>
      <c r="AB89" s="218" t="str">
        <f t="shared" si="41"/>
        <v/>
      </c>
      <c r="AC89" s="218" t="str">
        <f t="shared" si="42"/>
        <v/>
      </c>
      <c r="AD89" s="33">
        <v>0.02</v>
      </c>
      <c r="AE89" s="218" t="str">
        <f t="shared" si="43"/>
        <v/>
      </c>
      <c r="AF89" s="218" t="str">
        <f t="shared" si="44"/>
        <v/>
      </c>
      <c r="AG89" s="33">
        <v>0.02</v>
      </c>
      <c r="AH89" s="218" t="str">
        <f t="shared" si="45"/>
        <v/>
      </c>
      <c r="AI89" s="218" t="str">
        <f t="shared" si="46"/>
        <v/>
      </c>
      <c r="AJ89" s="33">
        <v>6.4000000000000003E-3</v>
      </c>
      <c r="AK89" s="218">
        <f t="shared" si="47"/>
        <v>14</v>
      </c>
      <c r="AL89" s="218">
        <f t="shared" si="48"/>
        <v>2174</v>
      </c>
      <c r="AM89" s="38">
        <f t="shared" si="49"/>
        <v>25</v>
      </c>
      <c r="AN89" s="38">
        <f t="shared" si="50"/>
        <v>25</v>
      </c>
      <c r="AO89" s="38">
        <f t="shared" si="51"/>
        <v>0</v>
      </c>
      <c r="AP89" s="38" t="str">
        <f>IF(OR($C89="01-09",$D89="Male"),"",INDEX(PMTCT!$AD:$AD,MATCH($E89,PMTCT!$E:$E,0)))</f>
        <v/>
      </c>
      <c r="AQ89" s="38" t="str">
        <f>IF(OR($C89="01-09",$D89="Male"),"",INDEX(PMTCT!$AT:$AT,MATCH($E89,PMTCT!$E:$E,0)))</f>
        <v/>
      </c>
      <c r="AR89" s="38">
        <f>INDEX(TB!$Q:$Q,MATCH($E89,TB!$E:$E,0))</f>
        <v>3</v>
      </c>
      <c r="AS89" s="38" t="str">
        <f>IF(OR($C89="01-09",$C89="10-14",$D89="Female"),"",INDEX(VMMC!$AB:$AB,MATCH($E89,VMMC!$E:$E,0)))</f>
        <v/>
      </c>
      <c r="AT89" s="38" t="str">
        <f>IF(OR($C89="01-09",$C89="10-14"),"",INDEX(PrEP!$Q:$Q,MATCH($E89,PrEP!$E:$E,0)))</f>
        <v/>
      </c>
      <c r="AU89" s="38">
        <f t="shared" si="52"/>
        <v>2690</v>
      </c>
      <c r="AV89" s="38">
        <f t="shared" si="53"/>
        <v>2715</v>
      </c>
      <c r="AW89" s="33">
        <f t="shared" si="54"/>
        <v>9.2081031307550652E-3</v>
      </c>
      <c r="AX89" s="38"/>
      <c r="AY89" s="33" t="str">
        <f t="shared" si="58"/>
        <v/>
      </c>
      <c r="AZ89" s="218" t="str">
        <f t="shared" si="56"/>
        <v/>
      </c>
      <c r="BA89" s="33" t="str">
        <f t="shared" si="59"/>
        <v/>
      </c>
      <c r="BB89" s="218" t="str">
        <f t="shared" si="57"/>
        <v/>
      </c>
    </row>
    <row r="90" spans="1:54" x14ac:dyDescent="0.2">
      <c r="A90" t="str">
        <f>INDEX(Prioritization!$D:$D,MATCH($B90,Prioritization!$A:$A,0))</f>
        <v>4 - Sustained</v>
      </c>
      <c r="B90" t="s">
        <v>298</v>
      </c>
      <c r="C90" t="s">
        <v>474</v>
      </c>
      <c r="D90" t="s">
        <v>48</v>
      </c>
      <c r="E90" t="str">
        <f t="shared" si="32"/>
        <v>Dedza District [PekKUkKHAzY]|10-14|Male</v>
      </c>
      <c r="F90" s="33">
        <f>IF(LEFT($B90,4)="_Mil","",INDEX(Cascade!$AA:$AA,MATCH($E90,Cascade!$E:$E,0)))</f>
        <v>0.71042472499999998</v>
      </c>
      <c r="G90" s="38">
        <f>INDEX(Cascade!$BH:$BH,MATCH($E90,Cascade!$E:$E,0))</f>
        <v>5</v>
      </c>
      <c r="H90" s="38" t="str">
        <f>IF(OR($C90="01-09",$D90="Male"),"",INDEX(PMTCT!$AC:$AC,MATCH($E90,PMTCT!$E:$E,0)))</f>
        <v/>
      </c>
      <c r="I90" s="38" t="str">
        <f>IF(OR($C90="01-09",$D90="Male"),"",INDEX(PMTCT!$AS:$AS,MATCH($E90,PMTCT!$E:$E,0)))</f>
        <v/>
      </c>
      <c r="J90" s="38">
        <f>INDEX(TB!$P:$P,MATCH($E90,TB!$E:$E,0))</f>
        <v>0</v>
      </c>
      <c r="K90" s="38" t="str">
        <f>IF(OR($C90="01-09",$C90="10-14",$D90="Female"),"",INDEX(VMMC!$AA:$AA,MATCH($E90,VMMC!$E:$E,0)))</f>
        <v/>
      </c>
      <c r="L90" s="38">
        <f t="shared" si="33"/>
        <v>5</v>
      </c>
      <c r="M90" s="33" t="str">
        <f t="shared" si="34"/>
        <v/>
      </c>
      <c r="N90" s="33" t="str">
        <f t="shared" si="35"/>
        <v/>
      </c>
      <c r="O90" s="33">
        <f t="shared" si="36"/>
        <v>0</v>
      </c>
      <c r="P90" s="33" t="str">
        <f t="shared" si="37"/>
        <v/>
      </c>
      <c r="Q90" s="33">
        <v>0.58064516129032295</v>
      </c>
      <c r="R90" s="33"/>
      <c r="S90" s="33"/>
      <c r="T90" s="33"/>
      <c r="U90" s="33">
        <f t="shared" si="27"/>
        <v>0.41935483870967705</v>
      </c>
      <c r="V90" s="33">
        <f t="shared" si="38"/>
        <v>1</v>
      </c>
      <c r="W90" s="218">
        <f t="shared" si="39"/>
        <v>3</v>
      </c>
      <c r="X90" s="33">
        <v>4.2999999999999997E-2</v>
      </c>
      <c r="Y90" s="218">
        <f t="shared" si="39"/>
        <v>3</v>
      </c>
      <c r="Z90" s="218">
        <f t="shared" si="40"/>
        <v>67</v>
      </c>
      <c r="AA90" s="33">
        <v>0.12</v>
      </c>
      <c r="AB90" s="218" t="str">
        <f t="shared" si="41"/>
        <v/>
      </c>
      <c r="AC90" s="218" t="str">
        <f t="shared" si="42"/>
        <v/>
      </c>
      <c r="AD90" s="33">
        <v>0.02</v>
      </c>
      <c r="AE90" s="218" t="str">
        <f t="shared" si="43"/>
        <v/>
      </c>
      <c r="AF90" s="218" t="str">
        <f t="shared" si="44"/>
        <v/>
      </c>
      <c r="AG90" s="33">
        <v>0.02</v>
      </c>
      <c r="AH90" s="218" t="str">
        <f t="shared" si="45"/>
        <v/>
      </c>
      <c r="AI90" s="218" t="str">
        <f t="shared" si="46"/>
        <v/>
      </c>
      <c r="AJ90" s="33">
        <v>1.9E-3</v>
      </c>
      <c r="AK90" s="218">
        <f t="shared" si="47"/>
        <v>2</v>
      </c>
      <c r="AL90" s="218">
        <f t="shared" si="48"/>
        <v>1051</v>
      </c>
      <c r="AM90" s="38">
        <f t="shared" si="49"/>
        <v>5</v>
      </c>
      <c r="AN90" s="38">
        <f t="shared" si="50"/>
        <v>5</v>
      </c>
      <c r="AO90" s="38">
        <f t="shared" si="51"/>
        <v>0</v>
      </c>
      <c r="AP90" s="38" t="str">
        <f>IF(OR($C90="01-09",$D90="Male"),"",INDEX(PMTCT!$AD:$AD,MATCH($E90,PMTCT!$E:$E,0)))</f>
        <v/>
      </c>
      <c r="AQ90" s="38" t="str">
        <f>IF(OR($C90="01-09",$D90="Male"),"",INDEX(PMTCT!$AT:$AT,MATCH($E90,PMTCT!$E:$E,0)))</f>
        <v/>
      </c>
      <c r="AR90" s="38">
        <f>INDEX(TB!$Q:$Q,MATCH($E90,TB!$E:$E,0))</f>
        <v>3</v>
      </c>
      <c r="AS90" s="38" t="str">
        <f>IF(OR($C90="01-09",$C90="10-14",$D90="Female"),"",INDEX(VMMC!$AB:$AB,MATCH($E90,VMMC!$E:$E,0)))</f>
        <v/>
      </c>
      <c r="AT90" s="38" t="str">
        <f>IF(OR($C90="01-09",$C90="10-14"),"",INDEX(PrEP!$Q:$Q,MATCH($E90,PrEP!$E:$E,0)))</f>
        <v/>
      </c>
      <c r="AU90" s="38">
        <f t="shared" si="52"/>
        <v>1121</v>
      </c>
      <c r="AV90" s="38">
        <f t="shared" si="53"/>
        <v>1126</v>
      </c>
      <c r="AW90" s="33">
        <f t="shared" si="54"/>
        <v>4.4404973357015983E-3</v>
      </c>
      <c r="AX90" s="38"/>
      <c r="AY90" s="33" t="str">
        <f t="shared" si="58"/>
        <v/>
      </c>
      <c r="AZ90" s="218" t="str">
        <f t="shared" si="56"/>
        <v/>
      </c>
      <c r="BA90" s="33" t="str">
        <f t="shared" si="59"/>
        <v/>
      </c>
      <c r="BB90" s="218" t="str">
        <f t="shared" si="57"/>
        <v/>
      </c>
    </row>
    <row r="91" spans="1:54" x14ac:dyDescent="0.2">
      <c r="A91" t="str">
        <f>INDEX(Prioritization!$D:$D,MATCH($B91,Prioritization!$A:$A,0))</f>
        <v>4 - Sustained</v>
      </c>
      <c r="B91" t="s">
        <v>298</v>
      </c>
      <c r="C91" t="s">
        <v>475</v>
      </c>
      <c r="D91" t="s">
        <v>30</v>
      </c>
      <c r="E91" t="str">
        <f t="shared" si="32"/>
        <v>Dedza District [PekKUkKHAzY]|15-24|Female</v>
      </c>
      <c r="F91" s="33">
        <f>IF(LEFT($B91,4)="_Mil","",INDEX(Cascade!$AA:$AA,MATCH($E91,Cascade!$E:$E,0)))</f>
        <v>0.92455388599999999</v>
      </c>
      <c r="G91" s="38">
        <f>INDEX(Cascade!$BH:$BH,MATCH($E91,Cascade!$E:$E,0))</f>
        <v>122</v>
      </c>
      <c r="H91" s="38">
        <f>IF(OR($C91="01-09",$D91="Male"),"",INDEX(PMTCT!$AC:$AC,MATCH($E91,PMTCT!$E:$E,0)))</f>
        <v>34</v>
      </c>
      <c r="I91" s="38">
        <f>IF(OR($C91="01-09",$D91="Male"),"",INDEX(PMTCT!$AS:$AS,MATCH($E91,PMTCT!$E:$E,0)))</f>
        <v>27</v>
      </c>
      <c r="J91" s="38">
        <f>INDEX(TB!$P:$P,MATCH($E91,TB!$E:$E,0))</f>
        <v>1</v>
      </c>
      <c r="K91" s="38" t="str">
        <f>IF(OR($C91="01-09",$C91="10-14",$D91="Female"),"",INDEX(VMMC!$AA:$AA,MATCH($E91,VMMC!$E:$E,0)))</f>
        <v/>
      </c>
      <c r="L91" s="38">
        <f t="shared" si="33"/>
        <v>60</v>
      </c>
      <c r="M91" s="33">
        <f t="shared" si="34"/>
        <v>0.27868852459016391</v>
      </c>
      <c r="N91" s="33">
        <f t="shared" si="35"/>
        <v>0.22131147540983606</v>
      </c>
      <c r="O91" s="33">
        <f t="shared" si="36"/>
        <v>8.1967213114754103E-3</v>
      </c>
      <c r="P91" s="33" t="str">
        <f t="shared" si="37"/>
        <v/>
      </c>
      <c r="Q91" s="33">
        <v>0.15</v>
      </c>
      <c r="R91" s="33"/>
      <c r="S91" s="33"/>
      <c r="T91" s="33">
        <v>0.05</v>
      </c>
      <c r="U91" s="33">
        <f t="shared" si="27"/>
        <v>0.29180327868852451</v>
      </c>
      <c r="V91" s="33">
        <f t="shared" si="38"/>
        <v>1</v>
      </c>
      <c r="W91" s="218">
        <f t="shared" si="39"/>
        <v>18</v>
      </c>
      <c r="X91" s="33">
        <v>0.23</v>
      </c>
      <c r="Y91" s="218">
        <f t="shared" si="39"/>
        <v>18</v>
      </c>
      <c r="Z91" s="218">
        <f t="shared" si="40"/>
        <v>60</v>
      </c>
      <c r="AA91" s="33">
        <v>0.12</v>
      </c>
      <c r="AB91" s="218" t="str">
        <f t="shared" si="41"/>
        <v/>
      </c>
      <c r="AC91" s="218" t="str">
        <f t="shared" si="42"/>
        <v/>
      </c>
      <c r="AD91" s="33">
        <v>0.02</v>
      </c>
      <c r="AE91" s="218" t="str">
        <f t="shared" si="43"/>
        <v/>
      </c>
      <c r="AF91" s="218" t="str">
        <f t="shared" si="44"/>
        <v/>
      </c>
      <c r="AG91" s="33">
        <v>0.02</v>
      </c>
      <c r="AH91" s="218">
        <f t="shared" si="45"/>
        <v>6</v>
      </c>
      <c r="AI91" s="218">
        <f t="shared" si="46"/>
        <v>294</v>
      </c>
      <c r="AJ91" s="33">
        <v>7.4000000000000003E-3</v>
      </c>
      <c r="AK91" s="218">
        <f t="shared" si="47"/>
        <v>36</v>
      </c>
      <c r="AL91" s="218">
        <f t="shared" si="48"/>
        <v>4829</v>
      </c>
      <c r="AM91" s="38">
        <f t="shared" si="49"/>
        <v>122</v>
      </c>
      <c r="AN91" s="38">
        <f t="shared" si="50"/>
        <v>122</v>
      </c>
      <c r="AO91" s="38">
        <f t="shared" si="51"/>
        <v>0</v>
      </c>
      <c r="AP91" s="38">
        <f>IF(OR($C91="01-09",$D91="Male"),"",INDEX(PMTCT!$AD:$AD,MATCH($E91,PMTCT!$E:$E,0)))</f>
        <v>6637</v>
      </c>
      <c r="AQ91" s="38">
        <f>IF(OR($C91="01-09",$D91="Male"),"",INDEX(PMTCT!$AT:$AT,MATCH($E91,PMTCT!$E:$E,0)))</f>
        <v>6610</v>
      </c>
      <c r="AR91" s="38">
        <f>INDEX(TB!$Q:$Q,MATCH($E91,TB!$E:$E,0))</f>
        <v>17</v>
      </c>
      <c r="AS91" s="38" t="str">
        <f>IF(OR($C91="01-09",$C91="10-14",$D91="Female"),"",INDEX(VMMC!$AB:$AB,MATCH($E91,VMMC!$E:$E,0)))</f>
        <v/>
      </c>
      <c r="AT91" s="38">
        <f>IF(OR($C91="01-09",$C91="10-14"),"",INDEX(PrEP!$Q:$Q,MATCH($E91,PrEP!$E:$E,0)))</f>
        <v>42</v>
      </c>
      <c r="AU91" s="38">
        <f t="shared" si="52"/>
        <v>18489</v>
      </c>
      <c r="AV91" s="38">
        <f t="shared" si="53"/>
        <v>18611</v>
      </c>
      <c r="AW91" s="33">
        <f t="shared" si="54"/>
        <v>6.5552630164956213E-3</v>
      </c>
      <c r="AX91" s="38">
        <v>666</v>
      </c>
      <c r="AY91" s="33">
        <f t="shared" ref="AY91:AY96" si="60">IF(OR($C91="01-09",SUM($AX91)=0),"",68%)</f>
        <v>0.68</v>
      </c>
      <c r="AZ91" s="218">
        <f t="shared" si="56"/>
        <v>1119</v>
      </c>
      <c r="BA91" s="33">
        <v>0.41</v>
      </c>
      <c r="BB91" s="218">
        <f t="shared" si="57"/>
        <v>50</v>
      </c>
    </row>
    <row r="92" spans="1:54" x14ac:dyDescent="0.2">
      <c r="A92" t="str">
        <f>INDEX(Prioritization!$D:$D,MATCH($B92,Prioritization!$A:$A,0))</f>
        <v>4 - Sustained</v>
      </c>
      <c r="B92" t="s">
        <v>298</v>
      </c>
      <c r="C92" t="s">
        <v>475</v>
      </c>
      <c r="D92" t="s">
        <v>48</v>
      </c>
      <c r="E92" t="str">
        <f t="shared" si="32"/>
        <v>Dedza District [PekKUkKHAzY]|15-24|Male</v>
      </c>
      <c r="F92" s="33">
        <f>IF(LEFT($B92,4)="_Mil","",INDEX(Cascade!$AA:$AA,MATCH($E92,Cascade!$E:$E,0)))</f>
        <v>0.89049498699999996</v>
      </c>
      <c r="G92" s="38">
        <f>INDEX(Cascade!$BH:$BH,MATCH($E92,Cascade!$E:$E,0))</f>
        <v>21</v>
      </c>
      <c r="H92" s="38" t="str">
        <f>IF(OR($C92="01-09",$D92="Male"),"",INDEX(PMTCT!$AC:$AC,MATCH($E92,PMTCT!$E:$E,0)))</f>
        <v/>
      </c>
      <c r="I92" s="38" t="str">
        <f>IF(OR($C92="01-09",$D92="Male"),"",INDEX(PMTCT!$AS:$AS,MATCH($E92,PMTCT!$E:$E,0)))</f>
        <v/>
      </c>
      <c r="J92" s="38">
        <f>INDEX(TB!$P:$P,MATCH($E92,TB!$E:$E,0))</f>
        <v>2</v>
      </c>
      <c r="K92" s="38" t="str">
        <f>IF(OR($C92="01-09",$C92="10-14",$D92="Female"),"",INDEX(VMMC!$AA:$AA,MATCH($E92,VMMC!$E:$E,0)))</f>
        <v/>
      </c>
      <c r="L92" s="38">
        <f t="shared" si="33"/>
        <v>19</v>
      </c>
      <c r="M92" s="33" t="str">
        <f t="shared" si="34"/>
        <v/>
      </c>
      <c r="N92" s="33" t="str">
        <f t="shared" si="35"/>
        <v/>
      </c>
      <c r="O92" s="33">
        <f t="shared" si="36"/>
        <v>9.5238095238095233E-2</v>
      </c>
      <c r="P92" s="33">
        <f t="shared" si="37"/>
        <v>0</v>
      </c>
      <c r="Q92" s="33">
        <v>0.32500000000000001</v>
      </c>
      <c r="R92" s="33"/>
      <c r="S92" s="33"/>
      <c r="T92" s="33">
        <v>0.05</v>
      </c>
      <c r="U92" s="33">
        <f t="shared" ref="U92:U155" si="61">1-SUM(M92:T92)</f>
        <v>0.52976190476190477</v>
      </c>
      <c r="V92" s="33">
        <f t="shared" si="38"/>
        <v>1</v>
      </c>
      <c r="W92" s="218">
        <f t="shared" si="39"/>
        <v>7</v>
      </c>
      <c r="X92" s="33">
        <v>0.218</v>
      </c>
      <c r="Y92" s="218">
        <f t="shared" si="39"/>
        <v>7</v>
      </c>
      <c r="Z92" s="218">
        <f t="shared" si="40"/>
        <v>25</v>
      </c>
      <c r="AA92" s="33">
        <v>0.12</v>
      </c>
      <c r="AB92" s="218" t="str">
        <f t="shared" si="41"/>
        <v/>
      </c>
      <c r="AC92" s="218" t="str">
        <f t="shared" si="42"/>
        <v/>
      </c>
      <c r="AD92" s="33">
        <v>0.02</v>
      </c>
      <c r="AE92" s="218" t="str">
        <f t="shared" si="43"/>
        <v/>
      </c>
      <c r="AF92" s="218" t="str">
        <f t="shared" si="44"/>
        <v/>
      </c>
      <c r="AG92" s="33">
        <v>0.02</v>
      </c>
      <c r="AH92" s="218">
        <f t="shared" si="45"/>
        <v>1</v>
      </c>
      <c r="AI92" s="218">
        <f t="shared" si="46"/>
        <v>49</v>
      </c>
      <c r="AJ92" s="33">
        <v>6.4999999999999997E-3</v>
      </c>
      <c r="AK92" s="218">
        <f t="shared" si="47"/>
        <v>11</v>
      </c>
      <c r="AL92" s="218">
        <f t="shared" si="48"/>
        <v>1681</v>
      </c>
      <c r="AM92" s="38">
        <f t="shared" si="49"/>
        <v>21</v>
      </c>
      <c r="AN92" s="38">
        <f t="shared" si="50"/>
        <v>21</v>
      </c>
      <c r="AO92" s="38">
        <f t="shared" si="51"/>
        <v>0</v>
      </c>
      <c r="AP92" s="38" t="str">
        <f>IF(OR($C92="01-09",$D92="Male"),"",INDEX(PMTCT!$AD:$AD,MATCH($E92,PMTCT!$E:$E,0)))</f>
        <v/>
      </c>
      <c r="AQ92" s="38" t="str">
        <f>IF(OR($C92="01-09",$D92="Male"),"",INDEX(PMTCT!$AT:$AT,MATCH($E92,PMTCT!$E:$E,0)))</f>
        <v/>
      </c>
      <c r="AR92" s="38">
        <f>INDEX(TB!$Q:$Q,MATCH($E92,TB!$E:$E,0))</f>
        <v>28</v>
      </c>
      <c r="AS92" s="38" t="str">
        <f>IF(OR($C92="01-09",$C92="10-14",$D92="Female"),"",INDEX(VMMC!$AB:$AB,MATCH($E92,VMMC!$E:$E,0)))</f>
        <v/>
      </c>
      <c r="AT92" s="38">
        <f>IF(OR($C92="01-09",$C92="10-14"),"",INDEX(PrEP!$Q:$Q,MATCH($E92,PrEP!$E:$E,0)))</f>
        <v>12</v>
      </c>
      <c r="AU92" s="38">
        <f t="shared" si="52"/>
        <v>1795</v>
      </c>
      <c r="AV92" s="38">
        <f t="shared" si="53"/>
        <v>1815.9999999999998</v>
      </c>
      <c r="AW92" s="33">
        <f t="shared" si="54"/>
        <v>1.156387665198238E-2</v>
      </c>
      <c r="AX92" s="38">
        <v>26</v>
      </c>
      <c r="AY92" s="33">
        <f t="shared" si="60"/>
        <v>0.68</v>
      </c>
      <c r="AZ92" s="218">
        <f t="shared" si="56"/>
        <v>44</v>
      </c>
      <c r="BA92" s="33">
        <v>0.41</v>
      </c>
      <c r="BB92" s="218">
        <f t="shared" si="57"/>
        <v>9</v>
      </c>
    </row>
    <row r="93" spans="1:54" x14ac:dyDescent="0.2">
      <c r="A93" t="str">
        <f>INDEX(Prioritization!$D:$D,MATCH($B93,Prioritization!$A:$A,0))</f>
        <v>4 - Sustained</v>
      </c>
      <c r="B93" t="s">
        <v>298</v>
      </c>
      <c r="C93" t="s">
        <v>476</v>
      </c>
      <c r="D93" t="s">
        <v>30</v>
      </c>
      <c r="E93" t="str">
        <f t="shared" si="32"/>
        <v>Dedza District [PekKUkKHAzY]|25-34|Female</v>
      </c>
      <c r="F93" s="33">
        <f>IF(LEFT($B93,4)="_Mil","",INDEX(Cascade!$AA:$AA,MATCH($E93,Cascade!$E:$E,0)))</f>
        <v>0.95970299100000012</v>
      </c>
      <c r="G93" s="38">
        <f>INDEX(Cascade!$BH:$BH,MATCH($E93,Cascade!$E:$E,0))</f>
        <v>319</v>
      </c>
      <c r="H93" s="38">
        <f>IF(OR($C93="01-09",$D93="Male"),"",INDEX(PMTCT!$AC:$AC,MATCH($E93,PMTCT!$E:$E,0)))</f>
        <v>104</v>
      </c>
      <c r="I93" s="38">
        <f>IF(OR($C93="01-09",$D93="Male"),"",INDEX(PMTCT!$AS:$AS,MATCH($E93,PMTCT!$E:$E,0)))</f>
        <v>38</v>
      </c>
      <c r="J93" s="38">
        <f>INDEX(TB!$P:$P,MATCH($E93,TB!$E:$E,0))</f>
        <v>1</v>
      </c>
      <c r="K93" s="38" t="str">
        <f>IF(OR($C93="01-09",$C93="10-14",$D93="Female"),"",INDEX(VMMC!$AA:$AA,MATCH($E93,VMMC!$E:$E,0)))</f>
        <v/>
      </c>
      <c r="L93" s="38">
        <f t="shared" si="33"/>
        <v>176</v>
      </c>
      <c r="M93" s="33">
        <f t="shared" si="34"/>
        <v>0.32601880877742945</v>
      </c>
      <c r="N93" s="33">
        <f t="shared" si="35"/>
        <v>0.11912225705329153</v>
      </c>
      <c r="O93" s="33">
        <f t="shared" si="36"/>
        <v>3.134796238244514E-3</v>
      </c>
      <c r="P93" s="33" t="str">
        <f t="shared" si="37"/>
        <v/>
      </c>
      <c r="Q93" s="33">
        <v>0.15</v>
      </c>
      <c r="R93" s="33"/>
      <c r="S93" s="33"/>
      <c r="T93" s="33">
        <v>0.05</v>
      </c>
      <c r="U93" s="33">
        <f t="shared" si="61"/>
        <v>0.35172413793103441</v>
      </c>
      <c r="V93" s="33">
        <f t="shared" si="38"/>
        <v>1</v>
      </c>
      <c r="W93" s="218">
        <f t="shared" si="39"/>
        <v>48</v>
      </c>
      <c r="X93" s="33">
        <v>0.25600000000000001</v>
      </c>
      <c r="Y93" s="218">
        <f t="shared" si="39"/>
        <v>48</v>
      </c>
      <c r="Z93" s="218">
        <f t="shared" si="40"/>
        <v>140</v>
      </c>
      <c r="AA93" s="33">
        <v>0.12</v>
      </c>
      <c r="AB93" s="218" t="str">
        <f t="shared" si="41"/>
        <v/>
      </c>
      <c r="AC93" s="218" t="str">
        <f t="shared" si="42"/>
        <v/>
      </c>
      <c r="AD93" s="33">
        <v>0.02</v>
      </c>
      <c r="AE93" s="218" t="str">
        <f t="shared" si="43"/>
        <v/>
      </c>
      <c r="AF93" s="218" t="str">
        <f t="shared" si="44"/>
        <v/>
      </c>
      <c r="AG93" s="33">
        <v>0.02</v>
      </c>
      <c r="AH93" s="218">
        <f t="shared" si="45"/>
        <v>16</v>
      </c>
      <c r="AI93" s="218">
        <f t="shared" si="46"/>
        <v>784</v>
      </c>
      <c r="AJ93" s="33">
        <v>1.2999999999999999E-2</v>
      </c>
      <c r="AK93" s="218">
        <f t="shared" si="47"/>
        <v>112</v>
      </c>
      <c r="AL93" s="218">
        <f t="shared" si="48"/>
        <v>8503</v>
      </c>
      <c r="AM93" s="38">
        <f t="shared" si="49"/>
        <v>319</v>
      </c>
      <c r="AN93" s="38">
        <f t="shared" si="50"/>
        <v>319</v>
      </c>
      <c r="AO93" s="38">
        <f t="shared" si="51"/>
        <v>0</v>
      </c>
      <c r="AP93" s="38">
        <f>IF(OR($C93="01-09",$D93="Male"),"",INDEX(PMTCT!$AD:$AD,MATCH($E93,PMTCT!$E:$E,0)))</f>
        <v>9532</v>
      </c>
      <c r="AQ93" s="38">
        <f>IF(OR($C93="01-09",$D93="Male"),"",INDEX(PMTCT!$AT:$AT,MATCH($E93,PMTCT!$E:$E,0)))</f>
        <v>9494</v>
      </c>
      <c r="AR93" s="38">
        <f>INDEX(TB!$Q:$Q,MATCH($E93,TB!$E:$E,0))</f>
        <v>17</v>
      </c>
      <c r="AS93" s="38" t="str">
        <f>IF(OR($C93="01-09",$C93="10-14",$D93="Female"),"",INDEX(VMMC!$AB:$AB,MATCH($E93,VMMC!$E:$E,0)))</f>
        <v/>
      </c>
      <c r="AT93" s="38">
        <f>IF(OR($C93="01-09",$C93="10-14"),"",INDEX(PrEP!$Q:$Q,MATCH($E93,PrEP!$E:$E,0)))</f>
        <v>18</v>
      </c>
      <c r="AU93" s="38">
        <f t="shared" si="52"/>
        <v>28488</v>
      </c>
      <c r="AV93" s="38">
        <f t="shared" si="53"/>
        <v>28807.000000000004</v>
      </c>
      <c r="AW93" s="33">
        <f t="shared" si="54"/>
        <v>1.1073697365223728E-2</v>
      </c>
      <c r="AX93" s="38">
        <v>451</v>
      </c>
      <c r="AY93" s="33">
        <f t="shared" si="60"/>
        <v>0.68</v>
      </c>
      <c r="AZ93" s="218">
        <f t="shared" si="56"/>
        <v>758</v>
      </c>
      <c r="BA93" s="33">
        <v>0.41</v>
      </c>
      <c r="BB93" s="218">
        <f t="shared" si="57"/>
        <v>131</v>
      </c>
    </row>
    <row r="94" spans="1:54" x14ac:dyDescent="0.2">
      <c r="A94" t="str">
        <f>INDEX(Prioritization!$D:$D,MATCH($B94,Prioritization!$A:$A,0))</f>
        <v>4 - Sustained</v>
      </c>
      <c r="B94" t="s">
        <v>298</v>
      </c>
      <c r="C94" t="s">
        <v>476</v>
      </c>
      <c r="D94" t="s">
        <v>48</v>
      </c>
      <c r="E94" t="str">
        <f t="shared" si="32"/>
        <v>Dedza District [PekKUkKHAzY]|25-34|Male</v>
      </c>
      <c r="F94" s="33">
        <f>IF(LEFT($B94,4)="_Mil","",INDEX(Cascade!$AA:$AA,MATCH($E94,Cascade!$E:$E,0)))</f>
        <v>0.85865854699999999</v>
      </c>
      <c r="G94" s="38">
        <f>INDEX(Cascade!$BH:$BH,MATCH($E94,Cascade!$E:$E,0))</f>
        <v>9</v>
      </c>
      <c r="H94" s="38" t="str">
        <f>IF(OR($C94="01-09",$D94="Male"),"",INDEX(PMTCT!$AC:$AC,MATCH($E94,PMTCT!$E:$E,0)))</f>
        <v/>
      </c>
      <c r="I94" s="38" t="str">
        <f>IF(OR($C94="01-09",$D94="Male"),"",INDEX(PMTCT!$AS:$AS,MATCH($E94,PMTCT!$E:$E,0)))</f>
        <v/>
      </c>
      <c r="J94" s="38">
        <f>INDEX(TB!$P:$P,MATCH($E94,TB!$E:$E,0))</f>
        <v>2</v>
      </c>
      <c r="K94" s="38" t="str">
        <f>IF(OR($C94="01-09",$C94="10-14",$D94="Female"),"",INDEX(VMMC!$AA:$AA,MATCH($E94,VMMC!$E:$E,0)))</f>
        <v/>
      </c>
      <c r="L94" s="38">
        <f t="shared" si="33"/>
        <v>7</v>
      </c>
      <c r="M94" s="33" t="str">
        <f t="shared" si="34"/>
        <v/>
      </c>
      <c r="N94" s="33" t="str">
        <f t="shared" si="35"/>
        <v/>
      </c>
      <c r="O94" s="33">
        <f t="shared" si="36"/>
        <v>0.22222222222222221</v>
      </c>
      <c r="P94" s="33">
        <f t="shared" si="37"/>
        <v>0</v>
      </c>
      <c r="Q94" s="33">
        <v>0.35</v>
      </c>
      <c r="R94" s="33"/>
      <c r="S94" s="33"/>
      <c r="T94" s="33">
        <v>0.05</v>
      </c>
      <c r="U94" s="33">
        <f t="shared" si="61"/>
        <v>0.37777777777777777</v>
      </c>
      <c r="V94" s="33">
        <f t="shared" si="38"/>
        <v>1</v>
      </c>
      <c r="W94" s="218">
        <f t="shared" si="39"/>
        <v>3</v>
      </c>
      <c r="X94" s="33">
        <v>0.17</v>
      </c>
      <c r="Y94" s="218">
        <f t="shared" si="39"/>
        <v>3</v>
      </c>
      <c r="Z94" s="218">
        <f t="shared" si="40"/>
        <v>15</v>
      </c>
      <c r="AA94" s="33">
        <v>0.12</v>
      </c>
      <c r="AB94" s="218" t="str">
        <f t="shared" si="41"/>
        <v/>
      </c>
      <c r="AC94" s="218" t="str">
        <f t="shared" si="42"/>
        <v/>
      </c>
      <c r="AD94" s="33">
        <v>0.02</v>
      </c>
      <c r="AE94" s="218" t="str">
        <f t="shared" si="43"/>
        <v/>
      </c>
      <c r="AF94" s="218" t="str">
        <f t="shared" si="44"/>
        <v/>
      </c>
      <c r="AG94" s="33">
        <v>0.02</v>
      </c>
      <c r="AH94" s="218">
        <f t="shared" si="45"/>
        <v>0</v>
      </c>
      <c r="AI94" s="218" t="str">
        <f t="shared" si="46"/>
        <v/>
      </c>
      <c r="AJ94" s="33">
        <v>1.2E-2</v>
      </c>
      <c r="AK94" s="218">
        <f t="shared" si="47"/>
        <v>3</v>
      </c>
      <c r="AL94" s="218">
        <f t="shared" si="48"/>
        <v>247</v>
      </c>
      <c r="AM94" s="38">
        <f t="shared" si="49"/>
        <v>9</v>
      </c>
      <c r="AN94" s="38">
        <f t="shared" si="50"/>
        <v>8</v>
      </c>
      <c r="AO94" s="38">
        <f t="shared" si="51"/>
        <v>-1</v>
      </c>
      <c r="AP94" s="38" t="str">
        <f>IF(OR($C94="01-09",$D94="Male"),"",INDEX(PMTCT!$AD:$AD,MATCH($E94,PMTCT!$E:$E,0)))</f>
        <v/>
      </c>
      <c r="AQ94" s="38" t="str">
        <f>IF(OR($C94="01-09",$D94="Male"),"",INDEX(PMTCT!$AT:$AT,MATCH($E94,PMTCT!$E:$E,0)))</f>
        <v/>
      </c>
      <c r="AR94" s="38">
        <f>INDEX(TB!$Q:$Q,MATCH($E94,TB!$E:$E,0))</f>
        <v>29</v>
      </c>
      <c r="AS94" s="38" t="str">
        <f>IF(OR($C94="01-09",$C94="10-14",$D94="Female"),"",INDEX(VMMC!$AB:$AB,MATCH($E94,VMMC!$E:$E,0)))</f>
        <v/>
      </c>
      <c r="AT94" s="38">
        <f>IF(OR($C94="01-09",$C94="10-14"),"",INDEX(PrEP!$Q:$Q,MATCH($E94,PrEP!$E:$E,0)))</f>
        <v>12</v>
      </c>
      <c r="AU94" s="38">
        <f t="shared" si="52"/>
        <v>303</v>
      </c>
      <c r="AV94" s="38">
        <f t="shared" si="53"/>
        <v>311</v>
      </c>
      <c r="AW94" s="33">
        <f t="shared" si="54"/>
        <v>2.5723472668810289E-2</v>
      </c>
      <c r="AX94" s="38">
        <v>30</v>
      </c>
      <c r="AY94" s="33">
        <f t="shared" si="60"/>
        <v>0.68</v>
      </c>
      <c r="AZ94" s="218">
        <f t="shared" si="56"/>
        <v>50</v>
      </c>
      <c r="BA94" s="33">
        <v>0.41</v>
      </c>
      <c r="BB94" s="218">
        <f t="shared" si="57"/>
        <v>3</v>
      </c>
    </row>
    <row r="95" spans="1:54" x14ac:dyDescent="0.2">
      <c r="A95" t="str">
        <f>INDEX(Prioritization!$D:$D,MATCH($B95,Prioritization!$A:$A,0))</f>
        <v>4 - Sustained</v>
      </c>
      <c r="B95" t="s">
        <v>298</v>
      </c>
      <c r="C95" t="s">
        <v>477</v>
      </c>
      <c r="D95" t="s">
        <v>30</v>
      </c>
      <c r="E95" t="str">
        <f t="shared" si="32"/>
        <v>Dedza District [PekKUkKHAzY]|35-49|Female</v>
      </c>
      <c r="F95" s="33">
        <f>IF(LEFT($B95,4)="_Mil","",INDEX(Cascade!$AA:$AA,MATCH($E95,Cascade!$E:$E,0)))</f>
        <v>0.97995915300000003</v>
      </c>
      <c r="G95" s="38">
        <f>INDEX(Cascade!$BH:$BH,MATCH($E95,Cascade!$E:$E,0))</f>
        <v>137</v>
      </c>
      <c r="H95" s="38">
        <f>IF(OR($C95="01-09",$D95="Male"),"",INDEX(PMTCT!$AC:$AC,MATCH($E95,PMTCT!$E:$E,0)))</f>
        <v>24</v>
      </c>
      <c r="I95" s="38">
        <f>IF(OR($C95="01-09",$D95="Male"),"",INDEX(PMTCT!$AS:$AS,MATCH($E95,PMTCT!$E:$E,0)))</f>
        <v>10</v>
      </c>
      <c r="J95" s="38">
        <f>INDEX(TB!$P:$P,MATCH($E95,TB!$E:$E,0))</f>
        <v>2</v>
      </c>
      <c r="K95" s="38" t="str">
        <f>IF(OR($C95="01-09",$C95="10-14",$D95="Female"),"",INDEX(VMMC!$AA:$AA,MATCH($E95,VMMC!$E:$E,0)))</f>
        <v/>
      </c>
      <c r="L95" s="38">
        <f t="shared" si="33"/>
        <v>101</v>
      </c>
      <c r="M95" s="33">
        <f t="shared" si="34"/>
        <v>0.17518248175182483</v>
      </c>
      <c r="N95" s="33">
        <f t="shared" si="35"/>
        <v>7.2992700729927001E-2</v>
      </c>
      <c r="O95" s="33">
        <f t="shared" si="36"/>
        <v>1.4598540145985401E-2</v>
      </c>
      <c r="P95" s="33" t="str">
        <f t="shared" si="37"/>
        <v/>
      </c>
      <c r="Q95" s="33">
        <v>0.20805369127516801</v>
      </c>
      <c r="R95" s="33"/>
      <c r="S95" s="33"/>
      <c r="T95" s="33">
        <v>0.05</v>
      </c>
      <c r="U95" s="33">
        <f t="shared" si="61"/>
        <v>0.47917258609709468</v>
      </c>
      <c r="V95" s="33">
        <f t="shared" si="38"/>
        <v>1</v>
      </c>
      <c r="W95" s="218">
        <f t="shared" si="39"/>
        <v>29</v>
      </c>
      <c r="X95" s="33">
        <v>0.23300000000000001</v>
      </c>
      <c r="Y95" s="218">
        <f t="shared" si="39"/>
        <v>29</v>
      </c>
      <c r="Z95" s="218">
        <f t="shared" si="40"/>
        <v>95</v>
      </c>
      <c r="AA95" s="33">
        <v>0.12</v>
      </c>
      <c r="AB95" s="218" t="str">
        <f t="shared" si="41"/>
        <v/>
      </c>
      <c r="AC95" s="218" t="str">
        <f t="shared" si="42"/>
        <v/>
      </c>
      <c r="AD95" s="33">
        <v>0.02</v>
      </c>
      <c r="AE95" s="218" t="str">
        <f t="shared" si="43"/>
        <v/>
      </c>
      <c r="AF95" s="218" t="str">
        <f t="shared" si="44"/>
        <v/>
      </c>
      <c r="AG95" s="33">
        <v>0.02</v>
      </c>
      <c r="AH95" s="218">
        <f t="shared" si="45"/>
        <v>7</v>
      </c>
      <c r="AI95" s="218">
        <f t="shared" si="46"/>
        <v>343</v>
      </c>
      <c r="AJ95" s="33">
        <v>0.02</v>
      </c>
      <c r="AK95" s="218">
        <f t="shared" si="47"/>
        <v>66</v>
      </c>
      <c r="AL95" s="218">
        <f t="shared" si="48"/>
        <v>3234</v>
      </c>
      <c r="AM95" s="38">
        <f t="shared" si="49"/>
        <v>137</v>
      </c>
      <c r="AN95" s="38">
        <f t="shared" si="50"/>
        <v>138</v>
      </c>
      <c r="AO95" s="38">
        <f t="shared" si="51"/>
        <v>1</v>
      </c>
      <c r="AP95" s="38">
        <f>IF(OR($C95="01-09",$D95="Male"),"",INDEX(PMTCT!$AD:$AD,MATCH($E95,PMTCT!$E:$E,0)))</f>
        <v>2574</v>
      </c>
      <c r="AQ95" s="38">
        <f>IF(OR($C95="01-09",$D95="Male"),"",INDEX(PMTCT!$AT:$AT,MATCH($E95,PMTCT!$E:$E,0)))</f>
        <v>2564</v>
      </c>
      <c r="AR95" s="38">
        <f>INDEX(TB!$Q:$Q,MATCH($E95,TB!$E:$E,0))</f>
        <v>25</v>
      </c>
      <c r="AS95" s="38" t="str">
        <f>IF(OR($C95="01-09",$C95="10-14",$D95="Female"),"",INDEX(VMMC!$AB:$AB,MATCH($E95,VMMC!$E:$E,0)))</f>
        <v/>
      </c>
      <c r="AT95" s="38" t="str">
        <f>IF(OR($C95="01-09",$C95="10-14"),"",INDEX(PrEP!$Q:$Q,MATCH($E95,PrEP!$E:$E,0)))</f>
        <v/>
      </c>
      <c r="AU95" s="38">
        <f t="shared" si="52"/>
        <v>8835</v>
      </c>
      <c r="AV95" s="38">
        <f t="shared" si="53"/>
        <v>8973</v>
      </c>
      <c r="AW95" s="33">
        <f t="shared" si="54"/>
        <v>1.5379471748579071E-2</v>
      </c>
      <c r="AX95" s="38">
        <v>32</v>
      </c>
      <c r="AY95" s="33">
        <f t="shared" si="60"/>
        <v>0.68</v>
      </c>
      <c r="AZ95" s="218">
        <f t="shared" si="56"/>
        <v>54</v>
      </c>
      <c r="BA95" s="33">
        <v>0.41</v>
      </c>
      <c r="BB95" s="218">
        <f t="shared" si="57"/>
        <v>57</v>
      </c>
    </row>
    <row r="96" spans="1:54" x14ac:dyDescent="0.2">
      <c r="A96" t="str">
        <f>INDEX(Prioritization!$D:$D,MATCH($B96,Prioritization!$A:$A,0))</f>
        <v>4 - Sustained</v>
      </c>
      <c r="B96" t="s">
        <v>298</v>
      </c>
      <c r="C96" t="s">
        <v>477</v>
      </c>
      <c r="D96" t="s">
        <v>48</v>
      </c>
      <c r="E96" t="str">
        <f t="shared" si="32"/>
        <v>Dedza District [PekKUkKHAzY]|35-49|Male</v>
      </c>
      <c r="F96" s="33">
        <f>IF(LEFT($B96,4)="_Mil","",INDEX(Cascade!$AA:$AA,MATCH($E96,Cascade!$E:$E,0)))</f>
        <v>0.91334394299999988</v>
      </c>
      <c r="G96" s="38">
        <f>INDEX(Cascade!$BH:$BH,MATCH($E96,Cascade!$E:$E,0))</f>
        <v>94</v>
      </c>
      <c r="H96" s="38" t="str">
        <f>IF(OR($C96="01-09",$D96="Male"),"",INDEX(PMTCT!$AC:$AC,MATCH($E96,PMTCT!$E:$E,0)))</f>
        <v/>
      </c>
      <c r="I96" s="38" t="str">
        <f>IF(OR($C96="01-09",$D96="Male"),"",INDEX(PMTCT!$AS:$AS,MATCH($E96,PMTCT!$E:$E,0)))</f>
        <v/>
      </c>
      <c r="J96" s="38">
        <f>INDEX(TB!$P:$P,MATCH($E96,TB!$E:$E,0))</f>
        <v>3</v>
      </c>
      <c r="K96" s="38" t="str">
        <f>IF(OR($C96="01-09",$C96="10-14",$D96="Female"),"",INDEX(VMMC!$AA:$AA,MATCH($E96,VMMC!$E:$E,0)))</f>
        <v/>
      </c>
      <c r="L96" s="38">
        <f t="shared" si="33"/>
        <v>91</v>
      </c>
      <c r="M96" s="33" t="str">
        <f t="shared" si="34"/>
        <v/>
      </c>
      <c r="N96" s="33" t="str">
        <f t="shared" si="35"/>
        <v/>
      </c>
      <c r="O96" s="33">
        <f t="shared" si="36"/>
        <v>3.1914893617021274E-2</v>
      </c>
      <c r="P96" s="33">
        <f t="shared" si="37"/>
        <v>0</v>
      </c>
      <c r="Q96" s="33">
        <v>0.39106145251396601</v>
      </c>
      <c r="R96" s="33"/>
      <c r="S96" s="33"/>
      <c r="T96" s="33">
        <v>0.05</v>
      </c>
      <c r="U96" s="33">
        <f t="shared" si="61"/>
        <v>0.52702365386901273</v>
      </c>
      <c r="V96" s="33">
        <f t="shared" si="38"/>
        <v>1</v>
      </c>
      <c r="W96" s="218">
        <f t="shared" si="39"/>
        <v>37</v>
      </c>
      <c r="X96" s="33">
        <v>0.20100000000000001</v>
      </c>
      <c r="Y96" s="218">
        <f t="shared" si="39"/>
        <v>37</v>
      </c>
      <c r="Z96" s="218">
        <f t="shared" si="40"/>
        <v>147</v>
      </c>
      <c r="AA96" s="33">
        <v>0.12</v>
      </c>
      <c r="AB96" s="218" t="str">
        <f t="shared" si="41"/>
        <v/>
      </c>
      <c r="AC96" s="218" t="str">
        <f t="shared" si="42"/>
        <v/>
      </c>
      <c r="AD96" s="33">
        <v>0.02</v>
      </c>
      <c r="AE96" s="218" t="str">
        <f t="shared" si="43"/>
        <v/>
      </c>
      <c r="AF96" s="218" t="str">
        <f t="shared" si="44"/>
        <v/>
      </c>
      <c r="AG96" s="33">
        <v>0.02</v>
      </c>
      <c r="AH96" s="218">
        <f t="shared" si="45"/>
        <v>5</v>
      </c>
      <c r="AI96" s="218">
        <f t="shared" si="46"/>
        <v>245</v>
      </c>
      <c r="AJ96" s="33">
        <v>2.5999999999999999E-2</v>
      </c>
      <c r="AK96" s="218">
        <f t="shared" si="47"/>
        <v>50</v>
      </c>
      <c r="AL96" s="218">
        <f t="shared" si="48"/>
        <v>1873</v>
      </c>
      <c r="AM96" s="38">
        <f t="shared" si="49"/>
        <v>94</v>
      </c>
      <c r="AN96" s="38">
        <f t="shared" si="50"/>
        <v>95</v>
      </c>
      <c r="AO96" s="38">
        <f t="shared" si="51"/>
        <v>1</v>
      </c>
      <c r="AP96" s="38" t="str">
        <f>IF(OR($C96="01-09",$D96="Male"),"",INDEX(PMTCT!$AD:$AD,MATCH($E96,PMTCT!$E:$E,0)))</f>
        <v/>
      </c>
      <c r="AQ96" s="38" t="str">
        <f>IF(OR($C96="01-09",$D96="Male"),"",INDEX(PMTCT!$AT:$AT,MATCH($E96,PMTCT!$E:$E,0)))</f>
        <v/>
      </c>
      <c r="AR96" s="38">
        <f>INDEX(TB!$Q:$Q,MATCH($E96,TB!$E:$E,0))</f>
        <v>43</v>
      </c>
      <c r="AS96" s="38" t="str">
        <f>IF(OR($C96="01-09",$C96="10-14",$D96="Female"),"",INDEX(VMMC!$AB:$AB,MATCH($E96,VMMC!$E:$E,0)))</f>
        <v/>
      </c>
      <c r="AT96" s="38">
        <f>IF(OR($C96="01-09",$C96="10-14"),"",INDEX(PrEP!$Q:$Q,MATCH($E96,PrEP!$E:$E,0)))</f>
        <v>36</v>
      </c>
      <c r="AU96" s="38">
        <f t="shared" si="52"/>
        <v>2344</v>
      </c>
      <c r="AV96" s="38">
        <f t="shared" si="53"/>
        <v>2439</v>
      </c>
      <c r="AW96" s="33">
        <f t="shared" si="54"/>
        <v>3.8950389503895039E-2</v>
      </c>
      <c r="AX96" s="38">
        <v>20</v>
      </c>
      <c r="AY96" s="33">
        <f t="shared" si="60"/>
        <v>0.68</v>
      </c>
      <c r="AZ96" s="218">
        <f t="shared" si="56"/>
        <v>34</v>
      </c>
      <c r="BA96" s="33">
        <v>0.41</v>
      </c>
      <c r="BB96" s="218">
        <f t="shared" si="57"/>
        <v>39</v>
      </c>
    </row>
    <row r="97" spans="1:54" x14ac:dyDescent="0.2">
      <c r="A97" t="str">
        <f>INDEX(Prioritization!$D:$D,MATCH($B97,Prioritization!$A:$A,0))</f>
        <v>4 - Sustained</v>
      </c>
      <c r="B97" t="s">
        <v>298</v>
      </c>
      <c r="C97" t="s">
        <v>478</v>
      </c>
      <c r="D97" t="s">
        <v>30</v>
      </c>
      <c r="E97" t="str">
        <f t="shared" si="32"/>
        <v>Dedza District [PekKUkKHAzY]|50+|Female</v>
      </c>
      <c r="F97" s="33">
        <f>IF(LEFT($B97,4)="_Mil","",INDEX(Cascade!$AA:$AA,MATCH($E97,Cascade!$E:$E,0)))</f>
        <v>0.986161909</v>
      </c>
      <c r="G97" s="38">
        <f>INDEX(Cascade!$BH:$BH,MATCH($E97,Cascade!$E:$E,0))</f>
        <v>81</v>
      </c>
      <c r="H97" s="38">
        <f>IF(OR($C97="01-09",$D97="Male"),"",INDEX(PMTCT!$AC:$AC,MATCH($E97,PMTCT!$E:$E,0)))</f>
        <v>0</v>
      </c>
      <c r="I97" s="38">
        <f>IF(OR($C97="01-09",$D97="Male"),"",INDEX(PMTCT!$AS:$AS,MATCH($E97,PMTCT!$E:$E,0)))</f>
        <v>0</v>
      </c>
      <c r="J97" s="38">
        <f>INDEX(TB!$P:$P,MATCH($E97,TB!$E:$E,0))</f>
        <v>1</v>
      </c>
      <c r="K97" s="38" t="str">
        <f>IF(OR($C97="01-09",$C97="10-14",$D97="Female"),"",INDEX(VMMC!$AA:$AA,MATCH($E97,VMMC!$E:$E,0)))</f>
        <v/>
      </c>
      <c r="L97" s="38">
        <f t="shared" si="33"/>
        <v>80</v>
      </c>
      <c r="M97" s="33">
        <f t="shared" si="34"/>
        <v>0</v>
      </c>
      <c r="N97" s="33">
        <f t="shared" si="35"/>
        <v>0</v>
      </c>
      <c r="O97" s="33">
        <f t="shared" si="36"/>
        <v>1.2345679012345678E-2</v>
      </c>
      <c r="P97" s="33" t="str">
        <f t="shared" si="37"/>
        <v/>
      </c>
      <c r="Q97" s="33">
        <v>0.15</v>
      </c>
      <c r="R97" s="33"/>
      <c r="S97" s="33"/>
      <c r="T97" s="33">
        <v>0.05</v>
      </c>
      <c r="U97" s="33">
        <f t="shared" si="61"/>
        <v>0.78765432098765431</v>
      </c>
      <c r="V97" s="33">
        <f t="shared" si="38"/>
        <v>1</v>
      </c>
      <c r="W97" s="218">
        <f t="shared" si="39"/>
        <v>12</v>
      </c>
      <c r="X97" s="33">
        <v>0.33300000000000002</v>
      </c>
      <c r="Y97" s="218">
        <f t="shared" si="39"/>
        <v>12</v>
      </c>
      <c r="Z97" s="218">
        <f t="shared" si="40"/>
        <v>24</v>
      </c>
      <c r="AA97" s="33">
        <v>0.12</v>
      </c>
      <c r="AB97" s="218" t="str">
        <f t="shared" si="41"/>
        <v/>
      </c>
      <c r="AC97" s="218" t="str">
        <f t="shared" si="42"/>
        <v/>
      </c>
      <c r="AD97" s="33">
        <v>0.02</v>
      </c>
      <c r="AE97" s="218" t="str">
        <f t="shared" si="43"/>
        <v/>
      </c>
      <c r="AF97" s="218" t="str">
        <f t="shared" si="44"/>
        <v/>
      </c>
      <c r="AG97" s="33">
        <v>0.02</v>
      </c>
      <c r="AH97" s="218">
        <f t="shared" si="45"/>
        <v>4</v>
      </c>
      <c r="AI97" s="218">
        <f t="shared" si="46"/>
        <v>196</v>
      </c>
      <c r="AJ97" s="33">
        <v>2.3E-2</v>
      </c>
      <c r="AK97" s="218">
        <f t="shared" si="47"/>
        <v>64</v>
      </c>
      <c r="AL97" s="218">
        <f t="shared" si="48"/>
        <v>2719</v>
      </c>
      <c r="AM97" s="38">
        <f t="shared" si="49"/>
        <v>81</v>
      </c>
      <c r="AN97" s="38">
        <f t="shared" si="50"/>
        <v>81</v>
      </c>
      <c r="AO97" s="38">
        <f t="shared" si="51"/>
        <v>0</v>
      </c>
      <c r="AP97" s="38">
        <f>IF(OR($C97="01-09",$D97="Male"),"",INDEX(PMTCT!$AD:$AD,MATCH($E97,PMTCT!$E:$E,0)))</f>
        <v>21</v>
      </c>
      <c r="AQ97" s="38">
        <f>IF(OR($C97="01-09",$D97="Male"),"",INDEX(PMTCT!$AT:$AT,MATCH($E97,PMTCT!$E:$E,0)))</f>
        <v>21</v>
      </c>
      <c r="AR97" s="38">
        <f>INDEX(TB!$Q:$Q,MATCH($E97,TB!$E:$E,0))</f>
        <v>8</v>
      </c>
      <c r="AS97" s="38" t="str">
        <f>IF(OR($C97="01-09",$C97="10-14",$D97="Female"),"",INDEX(VMMC!$AB:$AB,MATCH($E97,VMMC!$E:$E,0)))</f>
        <v/>
      </c>
      <c r="AT97" s="38">
        <f>IF(OR($C97="01-09",$C97="10-14"),"",INDEX(PrEP!$Q:$Q,MATCH($E97,PrEP!$E:$E,0)))</f>
        <v>6</v>
      </c>
      <c r="AU97" s="38">
        <f t="shared" si="52"/>
        <v>2995</v>
      </c>
      <c r="AV97" s="38">
        <f t="shared" si="53"/>
        <v>3076</v>
      </c>
      <c r="AW97" s="33">
        <f t="shared" si="54"/>
        <v>2.6332899869960989E-2</v>
      </c>
      <c r="AX97" s="38">
        <v>20</v>
      </c>
      <c r="AY97" s="33">
        <f t="shared" si="58"/>
        <v>0</v>
      </c>
      <c r="AZ97" s="218">
        <f t="shared" si="56"/>
        <v>20</v>
      </c>
      <c r="BA97" s="33">
        <v>0.41</v>
      </c>
      <c r="BB97" s="218">
        <f t="shared" si="57"/>
        <v>33</v>
      </c>
    </row>
    <row r="98" spans="1:54" x14ac:dyDescent="0.2">
      <c r="A98" t="str">
        <f>INDEX(Prioritization!$D:$D,MATCH($B98,Prioritization!$A:$A,0))</f>
        <v>4 - Sustained</v>
      </c>
      <c r="B98" t="s">
        <v>298</v>
      </c>
      <c r="C98" t="s">
        <v>478</v>
      </c>
      <c r="D98" t="s">
        <v>48</v>
      </c>
      <c r="E98" t="str">
        <f t="shared" si="32"/>
        <v>Dedza District [PekKUkKHAzY]|50+|Male</v>
      </c>
      <c r="F98" s="33">
        <f>IF(LEFT($B98,4)="_Mil","",INDEX(Cascade!$AA:$AA,MATCH($E98,Cascade!$E:$E,0)))</f>
        <v>0.93995411799999995</v>
      </c>
      <c r="G98" s="38">
        <f>INDEX(Cascade!$BH:$BH,MATCH($E98,Cascade!$E:$E,0))</f>
        <v>128</v>
      </c>
      <c r="H98" s="38" t="str">
        <f>IF(OR($C98="01-09",$D98="Male"),"",INDEX(PMTCT!$AC:$AC,MATCH($E98,PMTCT!$E:$E,0)))</f>
        <v/>
      </c>
      <c r="I98" s="38" t="str">
        <f>IF(OR($C98="01-09",$D98="Male"),"",INDEX(PMTCT!$AS:$AS,MATCH($E98,PMTCT!$E:$E,0)))</f>
        <v/>
      </c>
      <c r="J98" s="38">
        <f>INDEX(TB!$P:$P,MATCH($E98,TB!$E:$E,0))</f>
        <v>1</v>
      </c>
      <c r="K98" s="38" t="str">
        <f>IF(OR($C98="01-09",$C98="10-14",$D98="Female"),"",INDEX(VMMC!$AA:$AA,MATCH($E98,VMMC!$E:$E,0)))</f>
        <v/>
      </c>
      <c r="L98" s="38">
        <f t="shared" si="33"/>
        <v>127</v>
      </c>
      <c r="M98" s="33" t="str">
        <f t="shared" si="34"/>
        <v/>
      </c>
      <c r="N98" s="33" t="str">
        <f t="shared" si="35"/>
        <v/>
      </c>
      <c r="O98" s="33">
        <f t="shared" si="36"/>
        <v>7.8125E-3</v>
      </c>
      <c r="P98" s="33">
        <f t="shared" si="37"/>
        <v>0</v>
      </c>
      <c r="Q98" s="33">
        <v>0.15</v>
      </c>
      <c r="R98" s="33"/>
      <c r="S98" s="33"/>
      <c r="T98" s="33">
        <v>0.05</v>
      </c>
      <c r="U98" s="33">
        <f t="shared" si="61"/>
        <v>0.79218750000000004</v>
      </c>
      <c r="V98" s="33">
        <f t="shared" si="38"/>
        <v>1</v>
      </c>
      <c r="W98" s="218">
        <f t="shared" si="39"/>
        <v>19</v>
      </c>
      <c r="X98" s="33">
        <v>0.22800000000000001</v>
      </c>
      <c r="Y98" s="218">
        <f t="shared" si="39"/>
        <v>19</v>
      </c>
      <c r="Z98" s="218">
        <f t="shared" si="40"/>
        <v>64</v>
      </c>
      <c r="AA98" s="33">
        <v>0.12</v>
      </c>
      <c r="AB98" s="218" t="str">
        <f t="shared" si="41"/>
        <v/>
      </c>
      <c r="AC98" s="218" t="str">
        <f t="shared" si="42"/>
        <v/>
      </c>
      <c r="AD98" s="33">
        <v>0.02</v>
      </c>
      <c r="AE98" s="218" t="str">
        <f t="shared" si="43"/>
        <v/>
      </c>
      <c r="AF98" s="218" t="str">
        <f t="shared" si="44"/>
        <v/>
      </c>
      <c r="AG98" s="33">
        <v>0.02</v>
      </c>
      <c r="AH98" s="218">
        <f t="shared" si="45"/>
        <v>6</v>
      </c>
      <c r="AI98" s="218">
        <f t="shared" si="46"/>
        <v>294</v>
      </c>
      <c r="AJ98" s="33">
        <v>2.4E-2</v>
      </c>
      <c r="AK98" s="218">
        <f t="shared" si="47"/>
        <v>101</v>
      </c>
      <c r="AL98" s="218">
        <f t="shared" si="48"/>
        <v>4107</v>
      </c>
      <c r="AM98" s="38">
        <f t="shared" si="49"/>
        <v>128</v>
      </c>
      <c r="AN98" s="38">
        <f t="shared" si="50"/>
        <v>127</v>
      </c>
      <c r="AO98" s="38">
        <f t="shared" si="51"/>
        <v>-1</v>
      </c>
      <c r="AP98" s="38" t="str">
        <f>IF(OR($C98="01-09",$D98="Male"),"",INDEX(PMTCT!$AD:$AD,MATCH($E98,PMTCT!$E:$E,0)))</f>
        <v/>
      </c>
      <c r="AQ98" s="38" t="str">
        <f>IF(OR($C98="01-09",$D98="Male"),"",INDEX(PMTCT!$AT:$AT,MATCH($E98,PMTCT!$E:$E,0)))</f>
        <v/>
      </c>
      <c r="AR98" s="38">
        <f>INDEX(TB!$Q:$Q,MATCH($E98,TB!$E:$E,0))</f>
        <v>14</v>
      </c>
      <c r="AS98" s="38" t="str">
        <f>IF(OR($C98="01-09",$C98="10-14",$D98="Female"),"",INDEX(VMMC!$AB:$AB,MATCH($E98,VMMC!$E:$E,0)))</f>
        <v/>
      </c>
      <c r="AT98" s="38">
        <f>IF(OR($C98="01-09",$C98="10-14"),"",INDEX(PrEP!$Q:$Q,MATCH($E98,PrEP!$E:$E,0)))</f>
        <v>6</v>
      </c>
      <c r="AU98" s="38">
        <f t="shared" si="52"/>
        <v>4485</v>
      </c>
      <c r="AV98" s="38">
        <f t="shared" si="53"/>
        <v>4612</v>
      </c>
      <c r="AW98" s="33">
        <f t="shared" si="54"/>
        <v>2.753686036426713E-2</v>
      </c>
      <c r="AX98" s="38">
        <v>21</v>
      </c>
      <c r="AY98" s="33">
        <f t="shared" si="58"/>
        <v>0</v>
      </c>
      <c r="AZ98" s="218">
        <f t="shared" si="56"/>
        <v>21</v>
      </c>
      <c r="BA98" s="33">
        <v>0.41</v>
      </c>
      <c r="BB98" s="218">
        <f t="shared" si="57"/>
        <v>52</v>
      </c>
    </row>
    <row r="99" spans="1:54" x14ac:dyDescent="0.2">
      <c r="A99" t="str">
        <f>INDEX(Prioritization!$D:$D,MATCH($B99,Prioritization!$A:$A,0))</f>
        <v>4 - Sustained</v>
      </c>
      <c r="B99" t="s">
        <v>299</v>
      </c>
      <c r="C99" t="s">
        <v>473</v>
      </c>
      <c r="D99" t="s">
        <v>30</v>
      </c>
      <c r="E99" t="str">
        <f t="shared" si="32"/>
        <v>Dowa District [zphK9WV8JB4]|01-09|Female</v>
      </c>
      <c r="F99" s="33">
        <f>IF(LEFT($B99,4)="_Mil","",INDEX(Cascade!$AA:$AA,MATCH($E99,Cascade!$E:$E,0)))</f>
        <v>0.63122977899999999</v>
      </c>
      <c r="G99" s="38">
        <f>INDEX(Cascade!$BH:$BH,MATCH($E99,Cascade!$E:$E,0))</f>
        <v>2</v>
      </c>
      <c r="H99" s="38" t="str">
        <f>IF(OR($C99="01-09",$D99="Male"),"",INDEX(PMTCT!$AC:$AC,MATCH($E99,PMTCT!$E:$E,0)))</f>
        <v/>
      </c>
      <c r="I99" s="38" t="str">
        <f>IF(OR($C99="01-09",$D99="Male"),"",INDEX(PMTCT!$AS:$AS,MATCH($E99,PMTCT!$E:$E,0)))</f>
        <v/>
      </c>
      <c r="J99" s="38">
        <f>INDEX(TB!$P:$P,MATCH($E99,TB!$E:$E,0))</f>
        <v>0</v>
      </c>
      <c r="K99" s="38" t="str">
        <f>IF(OR($C99="01-09",$C99="10-14",$D99="Female"),"",INDEX(VMMC!$AA:$AA,MATCH($E99,VMMC!$E:$E,0)))</f>
        <v/>
      </c>
      <c r="L99" s="38">
        <f t="shared" si="33"/>
        <v>2</v>
      </c>
      <c r="M99" s="33" t="str">
        <f t="shared" si="34"/>
        <v/>
      </c>
      <c r="N99" s="33" t="str">
        <f t="shared" si="35"/>
        <v/>
      </c>
      <c r="O99" s="33">
        <f t="shared" si="36"/>
        <v>0</v>
      </c>
      <c r="P99" s="33" t="str">
        <f t="shared" si="37"/>
        <v/>
      </c>
      <c r="Q99" s="33">
        <v>0.4</v>
      </c>
      <c r="R99" s="33"/>
      <c r="S99" s="33"/>
      <c r="T99" s="33"/>
      <c r="U99" s="33">
        <f t="shared" si="61"/>
        <v>0.6</v>
      </c>
      <c r="V99" s="33">
        <f t="shared" si="38"/>
        <v>1</v>
      </c>
      <c r="W99" s="218">
        <f t="shared" si="39"/>
        <v>1</v>
      </c>
      <c r="X99" s="33">
        <v>4.2999999999999997E-2</v>
      </c>
      <c r="Y99" s="218">
        <f t="shared" si="39"/>
        <v>1</v>
      </c>
      <c r="Z99" s="218">
        <f t="shared" si="40"/>
        <v>22</v>
      </c>
      <c r="AA99" s="33">
        <v>0.12</v>
      </c>
      <c r="AB99" s="218" t="str">
        <f t="shared" si="41"/>
        <v/>
      </c>
      <c r="AC99" s="218" t="str">
        <f t="shared" si="42"/>
        <v/>
      </c>
      <c r="AD99" s="33">
        <v>0.02</v>
      </c>
      <c r="AE99" s="218" t="str">
        <f t="shared" si="43"/>
        <v/>
      </c>
      <c r="AF99" s="218" t="str">
        <f t="shared" si="44"/>
        <v/>
      </c>
      <c r="AG99" s="33">
        <v>0.02</v>
      </c>
      <c r="AH99" s="218" t="str">
        <f t="shared" si="45"/>
        <v/>
      </c>
      <c r="AI99" s="218" t="str">
        <f t="shared" si="46"/>
        <v/>
      </c>
      <c r="AJ99" s="33">
        <v>1.2E-2</v>
      </c>
      <c r="AK99" s="218">
        <f t="shared" si="47"/>
        <v>1</v>
      </c>
      <c r="AL99" s="218">
        <f t="shared" si="48"/>
        <v>82</v>
      </c>
      <c r="AM99" s="38">
        <f t="shared" si="49"/>
        <v>2</v>
      </c>
      <c r="AN99" s="38">
        <f t="shared" si="50"/>
        <v>2</v>
      </c>
      <c r="AO99" s="38">
        <f t="shared" si="51"/>
        <v>0</v>
      </c>
      <c r="AP99" s="38" t="str">
        <f>IF(OR($C99="01-09",$D99="Male"),"",INDEX(PMTCT!$AD:$AD,MATCH($E99,PMTCT!$E:$E,0)))</f>
        <v/>
      </c>
      <c r="AQ99" s="38" t="str">
        <f>IF(OR($C99="01-09",$D99="Male"),"",INDEX(PMTCT!$AT:$AT,MATCH($E99,PMTCT!$E:$E,0)))</f>
        <v/>
      </c>
      <c r="AR99" s="38">
        <f>INDEX(TB!$Q:$Q,MATCH($E99,TB!$E:$E,0))</f>
        <v>2</v>
      </c>
      <c r="AS99" s="38" t="str">
        <f>IF(OR($C99="01-09",$C99="10-14",$D99="Female"),"",INDEX(VMMC!$AB:$AB,MATCH($E99,VMMC!$E:$E,0)))</f>
        <v/>
      </c>
      <c r="AT99" s="38" t="str">
        <f>IF(OR($C99="01-09",$C99="10-14"),"",INDEX(PrEP!$Q:$Q,MATCH($E99,PrEP!$E:$E,0)))</f>
        <v/>
      </c>
      <c r="AU99" s="38">
        <f t="shared" si="52"/>
        <v>106</v>
      </c>
      <c r="AV99" s="38">
        <f t="shared" si="53"/>
        <v>108</v>
      </c>
      <c r="AW99" s="33">
        <f t="shared" si="54"/>
        <v>1.8518518518518517E-2</v>
      </c>
      <c r="AX99" s="38"/>
      <c r="AY99" s="33" t="str">
        <f t="shared" si="58"/>
        <v/>
      </c>
      <c r="AZ99" s="218" t="str">
        <f t="shared" si="56"/>
        <v/>
      </c>
      <c r="BA99" s="33" t="str">
        <f t="shared" si="59"/>
        <v/>
      </c>
      <c r="BB99" s="218" t="str">
        <f t="shared" si="57"/>
        <v/>
      </c>
    </row>
    <row r="100" spans="1:54" x14ac:dyDescent="0.2">
      <c r="A100" t="str">
        <f>INDEX(Prioritization!$D:$D,MATCH($B100,Prioritization!$A:$A,0))</f>
        <v>4 - Sustained</v>
      </c>
      <c r="B100" t="s">
        <v>299</v>
      </c>
      <c r="C100" t="s">
        <v>473</v>
      </c>
      <c r="D100" t="s">
        <v>48</v>
      </c>
      <c r="E100" t="str">
        <f t="shared" si="32"/>
        <v>Dowa District [zphK9WV8JB4]|01-09|Male</v>
      </c>
      <c r="F100" s="33">
        <f>IF(LEFT($B100,4)="_Mil","",INDEX(Cascade!$AA:$AA,MATCH($E100,Cascade!$E:$E,0)))</f>
        <v>0.63137337100000002</v>
      </c>
      <c r="G100" s="38">
        <f>INDEX(Cascade!$BH:$BH,MATCH($E100,Cascade!$E:$E,0))</f>
        <v>2</v>
      </c>
      <c r="H100" s="38" t="str">
        <f>IF(OR($C100="01-09",$D100="Male"),"",INDEX(PMTCT!$AC:$AC,MATCH($E100,PMTCT!$E:$E,0)))</f>
        <v/>
      </c>
      <c r="I100" s="38" t="str">
        <f>IF(OR($C100="01-09",$D100="Male"),"",INDEX(PMTCT!$AS:$AS,MATCH($E100,PMTCT!$E:$E,0)))</f>
        <v/>
      </c>
      <c r="J100" s="38">
        <f>INDEX(TB!$P:$P,MATCH($E100,TB!$E:$E,0))</f>
        <v>0</v>
      </c>
      <c r="K100" s="38" t="str">
        <f>IF(OR($C100="01-09",$C100="10-14",$D100="Female"),"",INDEX(VMMC!$AA:$AA,MATCH($E100,VMMC!$E:$E,0)))</f>
        <v/>
      </c>
      <c r="L100" s="38">
        <f t="shared" si="33"/>
        <v>2</v>
      </c>
      <c r="M100" s="33" t="str">
        <f t="shared" si="34"/>
        <v/>
      </c>
      <c r="N100" s="33" t="str">
        <f t="shared" si="35"/>
        <v/>
      </c>
      <c r="O100" s="33">
        <f t="shared" si="36"/>
        <v>0</v>
      </c>
      <c r="P100" s="33" t="str">
        <f t="shared" si="37"/>
        <v/>
      </c>
      <c r="Q100" s="33">
        <v>0.42857142857142899</v>
      </c>
      <c r="R100" s="33"/>
      <c r="S100" s="33"/>
      <c r="T100" s="33"/>
      <c r="U100" s="33">
        <f t="shared" si="61"/>
        <v>0.57142857142857095</v>
      </c>
      <c r="V100" s="33">
        <f t="shared" si="38"/>
        <v>1</v>
      </c>
      <c r="W100" s="218">
        <f t="shared" si="39"/>
        <v>1</v>
      </c>
      <c r="X100" s="33">
        <v>7.9000000000000001E-2</v>
      </c>
      <c r="Y100" s="218">
        <f t="shared" si="39"/>
        <v>1</v>
      </c>
      <c r="Z100" s="218">
        <f t="shared" si="40"/>
        <v>12</v>
      </c>
      <c r="AA100" s="33">
        <v>0.12</v>
      </c>
      <c r="AB100" s="218" t="str">
        <f t="shared" si="41"/>
        <v/>
      </c>
      <c r="AC100" s="218" t="str">
        <f t="shared" si="42"/>
        <v/>
      </c>
      <c r="AD100" s="33">
        <v>0.02</v>
      </c>
      <c r="AE100" s="218" t="str">
        <f t="shared" si="43"/>
        <v/>
      </c>
      <c r="AF100" s="218" t="str">
        <f t="shared" si="44"/>
        <v/>
      </c>
      <c r="AG100" s="33">
        <v>0.02</v>
      </c>
      <c r="AH100" s="218" t="str">
        <f t="shared" si="45"/>
        <v/>
      </c>
      <c r="AI100" s="218" t="str">
        <f t="shared" si="46"/>
        <v/>
      </c>
      <c r="AJ100" s="33">
        <v>5.1999999999999998E-3</v>
      </c>
      <c r="AK100" s="218">
        <f t="shared" si="47"/>
        <v>1</v>
      </c>
      <c r="AL100" s="218">
        <f t="shared" si="48"/>
        <v>191</v>
      </c>
      <c r="AM100" s="38">
        <f t="shared" si="49"/>
        <v>2</v>
      </c>
      <c r="AN100" s="38">
        <f t="shared" si="50"/>
        <v>2</v>
      </c>
      <c r="AO100" s="38">
        <f t="shared" si="51"/>
        <v>0</v>
      </c>
      <c r="AP100" s="38" t="str">
        <f>IF(OR($C100="01-09",$D100="Male"),"",INDEX(PMTCT!$AD:$AD,MATCH($E100,PMTCT!$E:$E,0)))</f>
        <v/>
      </c>
      <c r="AQ100" s="38" t="str">
        <f>IF(OR($C100="01-09",$D100="Male"),"",INDEX(PMTCT!$AT:$AT,MATCH($E100,PMTCT!$E:$E,0)))</f>
        <v/>
      </c>
      <c r="AR100" s="38">
        <f>INDEX(TB!$Q:$Q,MATCH($E100,TB!$E:$E,0))</f>
        <v>2</v>
      </c>
      <c r="AS100" s="38" t="str">
        <f>IF(OR($C100="01-09",$C100="10-14",$D100="Female"),"",INDEX(VMMC!$AB:$AB,MATCH($E100,VMMC!$E:$E,0)))</f>
        <v/>
      </c>
      <c r="AT100" s="38" t="str">
        <f>IF(OR($C100="01-09",$C100="10-14"),"",INDEX(PrEP!$Q:$Q,MATCH($E100,PrEP!$E:$E,0)))</f>
        <v/>
      </c>
      <c r="AU100" s="38">
        <f t="shared" si="52"/>
        <v>205</v>
      </c>
      <c r="AV100" s="38">
        <f t="shared" si="53"/>
        <v>207</v>
      </c>
      <c r="AW100" s="33">
        <f t="shared" si="54"/>
        <v>9.6618357487922701E-3</v>
      </c>
      <c r="AX100" s="38"/>
      <c r="AY100" s="33" t="str">
        <f t="shared" si="58"/>
        <v/>
      </c>
      <c r="AZ100" s="218" t="str">
        <f t="shared" si="56"/>
        <v/>
      </c>
      <c r="BA100" s="33" t="str">
        <f t="shared" si="59"/>
        <v/>
      </c>
      <c r="BB100" s="218" t="str">
        <f t="shared" si="57"/>
        <v/>
      </c>
    </row>
    <row r="101" spans="1:54" x14ac:dyDescent="0.2">
      <c r="A101" t="str">
        <f>INDEX(Prioritization!$D:$D,MATCH($B101,Prioritization!$A:$A,0))</f>
        <v>4 - Sustained</v>
      </c>
      <c r="B101" t="s">
        <v>299</v>
      </c>
      <c r="C101" t="s">
        <v>474</v>
      </c>
      <c r="D101" t="s">
        <v>30</v>
      </c>
      <c r="E101" t="str">
        <f t="shared" si="32"/>
        <v>Dowa District [zphK9WV8JB4]|10-14|Female</v>
      </c>
      <c r="F101" s="33">
        <f>IF(LEFT($B101,4)="_Mil","",INDEX(Cascade!$AA:$AA,MATCH($E101,Cascade!$E:$E,0)))</f>
        <v>0.67356255300000001</v>
      </c>
      <c r="G101" s="38">
        <f>INDEX(Cascade!$BH:$BH,MATCH($E101,Cascade!$E:$E,0))</f>
        <v>16</v>
      </c>
      <c r="H101" s="38">
        <f>IF(OR($C101="01-09",$D101="Male"),"",INDEX(PMTCT!$AC:$AC,MATCH($E101,PMTCT!$E:$E,0)))</f>
        <v>1</v>
      </c>
      <c r="I101" s="38">
        <f>IF(OR($C101="01-09",$D101="Male"),"",INDEX(PMTCT!$AS:$AS,MATCH($E101,PMTCT!$E:$E,0)))</f>
        <v>0</v>
      </c>
      <c r="J101" s="38">
        <f>INDEX(TB!$P:$P,MATCH($E101,TB!$E:$E,0))</f>
        <v>0</v>
      </c>
      <c r="K101" s="38" t="str">
        <f>IF(OR($C101="01-09",$C101="10-14",$D101="Female"),"",INDEX(VMMC!$AA:$AA,MATCH($E101,VMMC!$E:$E,0)))</f>
        <v/>
      </c>
      <c r="L101" s="38">
        <f t="shared" si="33"/>
        <v>15</v>
      </c>
      <c r="M101" s="33">
        <f t="shared" si="34"/>
        <v>6.25E-2</v>
      </c>
      <c r="N101" s="33">
        <f t="shared" si="35"/>
        <v>0</v>
      </c>
      <c r="O101" s="33">
        <f t="shared" si="36"/>
        <v>0</v>
      </c>
      <c r="P101" s="33" t="str">
        <f t="shared" si="37"/>
        <v/>
      </c>
      <c r="Q101" s="33">
        <v>0.42857142857142899</v>
      </c>
      <c r="R101" s="33"/>
      <c r="S101" s="33"/>
      <c r="T101" s="33"/>
      <c r="U101" s="33">
        <f t="shared" si="61"/>
        <v>0.50892857142857095</v>
      </c>
      <c r="V101" s="33">
        <f t="shared" si="38"/>
        <v>1</v>
      </c>
      <c r="W101" s="218">
        <f t="shared" si="39"/>
        <v>7</v>
      </c>
      <c r="X101" s="33">
        <v>4.2999999999999997E-2</v>
      </c>
      <c r="Y101" s="218">
        <f t="shared" si="39"/>
        <v>7</v>
      </c>
      <c r="Z101" s="218">
        <f t="shared" si="40"/>
        <v>156</v>
      </c>
      <c r="AA101" s="33">
        <v>0.12</v>
      </c>
      <c r="AB101" s="218" t="str">
        <f t="shared" si="41"/>
        <v/>
      </c>
      <c r="AC101" s="218" t="str">
        <f t="shared" si="42"/>
        <v/>
      </c>
      <c r="AD101" s="33">
        <v>0.02</v>
      </c>
      <c r="AE101" s="218" t="str">
        <f t="shared" si="43"/>
        <v/>
      </c>
      <c r="AF101" s="218" t="str">
        <f t="shared" si="44"/>
        <v/>
      </c>
      <c r="AG101" s="33">
        <v>0.02</v>
      </c>
      <c r="AH101" s="218" t="str">
        <f t="shared" si="45"/>
        <v/>
      </c>
      <c r="AI101" s="218" t="str">
        <f t="shared" si="46"/>
        <v/>
      </c>
      <c r="AJ101" s="33">
        <v>6.0000000000000001E-3</v>
      </c>
      <c r="AK101" s="218">
        <f t="shared" si="47"/>
        <v>8</v>
      </c>
      <c r="AL101" s="218">
        <f t="shared" si="48"/>
        <v>1325</v>
      </c>
      <c r="AM101" s="38">
        <f t="shared" si="49"/>
        <v>16</v>
      </c>
      <c r="AN101" s="38">
        <f t="shared" si="50"/>
        <v>16</v>
      </c>
      <c r="AO101" s="38">
        <f t="shared" si="51"/>
        <v>0</v>
      </c>
      <c r="AP101" s="38">
        <f>IF(OR($C101="01-09",$D101="Male"),"",INDEX(PMTCT!$AD:$AD,MATCH($E101,PMTCT!$E:$E,0)))</f>
        <v>59</v>
      </c>
      <c r="AQ101" s="38">
        <f>IF(OR($C101="01-09",$D101="Male"),"",INDEX(PMTCT!$AT:$AT,MATCH($E101,PMTCT!$E:$E,0)))</f>
        <v>59</v>
      </c>
      <c r="AR101" s="38">
        <f>INDEX(TB!$Q:$Q,MATCH($E101,TB!$E:$E,0))</f>
        <v>1</v>
      </c>
      <c r="AS101" s="38" t="str">
        <f>IF(OR($C101="01-09",$C101="10-14",$D101="Female"),"",INDEX(VMMC!$AB:$AB,MATCH($E101,VMMC!$E:$E,0)))</f>
        <v/>
      </c>
      <c r="AT101" s="38" t="str">
        <f>IF(OR($C101="01-09",$C101="10-14"),"",INDEX(PrEP!$Q:$Q,MATCH($E101,PrEP!$E:$E,0)))</f>
        <v/>
      </c>
      <c r="AU101" s="38">
        <f t="shared" si="52"/>
        <v>1600</v>
      </c>
      <c r="AV101" s="38">
        <f t="shared" si="53"/>
        <v>1616</v>
      </c>
      <c r="AW101" s="33">
        <f t="shared" si="54"/>
        <v>9.9009900990099011E-3</v>
      </c>
      <c r="AX101" s="38"/>
      <c r="AY101" s="33" t="str">
        <f t="shared" si="58"/>
        <v/>
      </c>
      <c r="AZ101" s="218" t="str">
        <f t="shared" si="56"/>
        <v/>
      </c>
      <c r="BA101" s="33" t="str">
        <f t="shared" si="59"/>
        <v/>
      </c>
      <c r="BB101" s="218" t="str">
        <f t="shared" si="57"/>
        <v/>
      </c>
    </row>
    <row r="102" spans="1:54" x14ac:dyDescent="0.2">
      <c r="A102" t="str">
        <f>INDEX(Prioritization!$D:$D,MATCH($B102,Prioritization!$A:$A,0))</f>
        <v>4 - Sustained</v>
      </c>
      <c r="B102" t="s">
        <v>299</v>
      </c>
      <c r="C102" t="s">
        <v>474</v>
      </c>
      <c r="D102" t="s">
        <v>48</v>
      </c>
      <c r="E102" t="str">
        <f t="shared" si="32"/>
        <v>Dowa District [zphK9WV8JB4]|10-14|Male</v>
      </c>
      <c r="F102" s="33">
        <f>IF(LEFT($B102,4)="_Mil","",INDEX(Cascade!$AA:$AA,MATCH($E102,Cascade!$E:$E,0)))</f>
        <v>0.67331397100000001</v>
      </c>
      <c r="G102" s="38">
        <f>INDEX(Cascade!$BH:$BH,MATCH($E102,Cascade!$E:$E,0))</f>
        <v>3</v>
      </c>
      <c r="H102" s="38" t="str">
        <f>IF(OR($C102="01-09",$D102="Male"),"",INDEX(PMTCT!$AC:$AC,MATCH($E102,PMTCT!$E:$E,0)))</f>
        <v/>
      </c>
      <c r="I102" s="38" t="str">
        <f>IF(OR($C102="01-09",$D102="Male"),"",INDEX(PMTCT!$AS:$AS,MATCH($E102,PMTCT!$E:$E,0)))</f>
        <v/>
      </c>
      <c r="J102" s="38">
        <f>INDEX(TB!$P:$P,MATCH($E102,TB!$E:$E,0))</f>
        <v>0</v>
      </c>
      <c r="K102" s="38" t="str">
        <f>IF(OR($C102="01-09",$C102="10-14",$D102="Female"),"",INDEX(VMMC!$AA:$AA,MATCH($E102,VMMC!$E:$E,0)))</f>
        <v/>
      </c>
      <c r="L102" s="38">
        <f t="shared" si="33"/>
        <v>3</v>
      </c>
      <c r="M102" s="33" t="str">
        <f t="shared" si="34"/>
        <v/>
      </c>
      <c r="N102" s="33" t="str">
        <f t="shared" si="35"/>
        <v/>
      </c>
      <c r="O102" s="33">
        <f t="shared" si="36"/>
        <v>0</v>
      </c>
      <c r="P102" s="33" t="str">
        <f t="shared" si="37"/>
        <v/>
      </c>
      <c r="Q102" s="33">
        <v>0.6</v>
      </c>
      <c r="R102" s="33"/>
      <c r="S102" s="33"/>
      <c r="T102" s="33"/>
      <c r="U102" s="33">
        <f t="shared" si="61"/>
        <v>0.4</v>
      </c>
      <c r="V102" s="33">
        <f t="shared" si="38"/>
        <v>1</v>
      </c>
      <c r="W102" s="218">
        <f t="shared" si="39"/>
        <v>2</v>
      </c>
      <c r="X102" s="33">
        <v>7.0999999999999994E-2</v>
      </c>
      <c r="Y102" s="218">
        <f t="shared" si="39"/>
        <v>2</v>
      </c>
      <c r="Z102" s="218">
        <f t="shared" si="40"/>
        <v>26</v>
      </c>
      <c r="AA102" s="33">
        <v>0.12</v>
      </c>
      <c r="AB102" s="218" t="str">
        <f t="shared" si="41"/>
        <v/>
      </c>
      <c r="AC102" s="218" t="str">
        <f t="shared" si="42"/>
        <v/>
      </c>
      <c r="AD102" s="33">
        <v>0.02</v>
      </c>
      <c r="AE102" s="218" t="str">
        <f t="shared" si="43"/>
        <v/>
      </c>
      <c r="AF102" s="218" t="str">
        <f t="shared" si="44"/>
        <v/>
      </c>
      <c r="AG102" s="33">
        <v>0.02</v>
      </c>
      <c r="AH102" s="218" t="str">
        <f t="shared" si="45"/>
        <v/>
      </c>
      <c r="AI102" s="218" t="str">
        <f t="shared" si="46"/>
        <v/>
      </c>
      <c r="AJ102" s="33">
        <v>3.1E-2</v>
      </c>
      <c r="AK102" s="218">
        <f t="shared" si="47"/>
        <v>1</v>
      </c>
      <c r="AL102" s="218">
        <f t="shared" si="48"/>
        <v>31</v>
      </c>
      <c r="AM102" s="38">
        <f t="shared" si="49"/>
        <v>3</v>
      </c>
      <c r="AN102" s="38">
        <f t="shared" si="50"/>
        <v>3</v>
      </c>
      <c r="AO102" s="38">
        <f t="shared" si="51"/>
        <v>0</v>
      </c>
      <c r="AP102" s="38" t="str">
        <f>IF(OR($C102="01-09",$D102="Male"),"",INDEX(PMTCT!$AD:$AD,MATCH($E102,PMTCT!$E:$E,0)))</f>
        <v/>
      </c>
      <c r="AQ102" s="38" t="str">
        <f>IF(OR($C102="01-09",$D102="Male"),"",INDEX(PMTCT!$AT:$AT,MATCH($E102,PMTCT!$E:$E,0)))</f>
        <v/>
      </c>
      <c r="AR102" s="38">
        <f>INDEX(TB!$Q:$Q,MATCH($E102,TB!$E:$E,0))</f>
        <v>1</v>
      </c>
      <c r="AS102" s="38" t="str">
        <f>IF(OR($C102="01-09",$C102="10-14",$D102="Female"),"",INDEX(VMMC!$AB:$AB,MATCH($E102,VMMC!$E:$E,0)))</f>
        <v/>
      </c>
      <c r="AT102" s="38" t="str">
        <f>IF(OR($C102="01-09",$C102="10-14"),"",INDEX(PrEP!$Q:$Q,MATCH($E102,PrEP!$E:$E,0)))</f>
        <v/>
      </c>
      <c r="AU102" s="38">
        <f t="shared" si="52"/>
        <v>58</v>
      </c>
      <c r="AV102" s="38">
        <f t="shared" si="53"/>
        <v>61</v>
      </c>
      <c r="AW102" s="33">
        <f t="shared" si="54"/>
        <v>4.9180327868852458E-2</v>
      </c>
      <c r="AX102" s="38"/>
      <c r="AY102" s="33" t="str">
        <f t="shared" si="58"/>
        <v/>
      </c>
      <c r="AZ102" s="218" t="str">
        <f t="shared" si="56"/>
        <v/>
      </c>
      <c r="BA102" s="33" t="str">
        <f t="shared" si="59"/>
        <v/>
      </c>
      <c r="BB102" s="218" t="str">
        <f t="shared" si="57"/>
        <v/>
      </c>
    </row>
    <row r="103" spans="1:54" x14ac:dyDescent="0.2">
      <c r="A103" t="str">
        <f>INDEX(Prioritization!$D:$D,MATCH($B103,Prioritization!$A:$A,0))</f>
        <v>4 - Sustained</v>
      </c>
      <c r="B103" t="s">
        <v>299</v>
      </c>
      <c r="C103" t="s">
        <v>475</v>
      </c>
      <c r="D103" t="s">
        <v>30</v>
      </c>
      <c r="E103" t="str">
        <f t="shared" si="32"/>
        <v>Dowa District [zphK9WV8JB4]|15-24|Female</v>
      </c>
      <c r="F103" s="33">
        <f>IF(LEFT($B103,4)="_Mil","",INDEX(Cascade!$AA:$AA,MATCH($E103,Cascade!$E:$E,0)))</f>
        <v>0.91633558000000015</v>
      </c>
      <c r="G103" s="38">
        <f>INDEX(Cascade!$BH:$BH,MATCH($E103,Cascade!$E:$E,0))</f>
        <v>54</v>
      </c>
      <c r="H103" s="38">
        <f>IF(OR($C103="01-09",$D103="Male"),"",INDEX(PMTCT!$AC:$AC,MATCH($E103,PMTCT!$E:$E,0)))</f>
        <v>18</v>
      </c>
      <c r="I103" s="38">
        <f>IF(OR($C103="01-09",$D103="Male"),"",INDEX(PMTCT!$AS:$AS,MATCH($E103,PMTCT!$E:$E,0)))</f>
        <v>19</v>
      </c>
      <c r="J103" s="38">
        <f>INDEX(TB!$P:$P,MATCH($E103,TB!$E:$E,0))</f>
        <v>1</v>
      </c>
      <c r="K103" s="38" t="str">
        <f>IF(OR($C103="01-09",$C103="10-14",$D103="Female"),"",INDEX(VMMC!$AA:$AA,MATCH($E103,VMMC!$E:$E,0)))</f>
        <v/>
      </c>
      <c r="L103" s="38">
        <f t="shared" si="33"/>
        <v>16</v>
      </c>
      <c r="M103" s="33">
        <f t="shared" si="34"/>
        <v>0.33333333333333331</v>
      </c>
      <c r="N103" s="33">
        <f t="shared" si="35"/>
        <v>0.35185185185185186</v>
      </c>
      <c r="O103" s="33">
        <f t="shared" si="36"/>
        <v>1.8518518518518517E-2</v>
      </c>
      <c r="P103" s="33" t="str">
        <f t="shared" si="37"/>
        <v/>
      </c>
      <c r="Q103" s="33">
        <v>0.15</v>
      </c>
      <c r="R103" s="33"/>
      <c r="S103" s="33"/>
      <c r="T103" s="33">
        <v>0.05</v>
      </c>
      <c r="U103" s="33">
        <f t="shared" si="61"/>
        <v>9.6296296296296324E-2</v>
      </c>
      <c r="V103" s="33">
        <f t="shared" si="38"/>
        <v>1</v>
      </c>
      <c r="W103" s="218">
        <f t="shared" si="39"/>
        <v>8</v>
      </c>
      <c r="X103" s="33">
        <v>0.41899999999999998</v>
      </c>
      <c r="Y103" s="218">
        <f t="shared" si="39"/>
        <v>8</v>
      </c>
      <c r="Z103" s="218">
        <f t="shared" si="40"/>
        <v>11</v>
      </c>
      <c r="AA103" s="33">
        <v>0.12</v>
      </c>
      <c r="AB103" s="218" t="str">
        <f t="shared" si="41"/>
        <v/>
      </c>
      <c r="AC103" s="218" t="str">
        <f t="shared" si="42"/>
        <v/>
      </c>
      <c r="AD103" s="33">
        <v>0.02</v>
      </c>
      <c r="AE103" s="218" t="str">
        <f t="shared" si="43"/>
        <v/>
      </c>
      <c r="AF103" s="218" t="str">
        <f t="shared" si="44"/>
        <v/>
      </c>
      <c r="AG103" s="33">
        <v>0.02</v>
      </c>
      <c r="AH103" s="218">
        <f t="shared" si="45"/>
        <v>3</v>
      </c>
      <c r="AI103" s="218">
        <f t="shared" si="46"/>
        <v>147</v>
      </c>
      <c r="AJ103" s="33">
        <v>8.9999999999999993E-3</v>
      </c>
      <c r="AK103" s="218">
        <f t="shared" si="47"/>
        <v>5</v>
      </c>
      <c r="AL103" s="218">
        <f t="shared" si="48"/>
        <v>551</v>
      </c>
      <c r="AM103" s="38">
        <f t="shared" si="49"/>
        <v>54</v>
      </c>
      <c r="AN103" s="38">
        <f t="shared" si="50"/>
        <v>54</v>
      </c>
      <c r="AO103" s="38">
        <f t="shared" si="51"/>
        <v>0</v>
      </c>
      <c r="AP103" s="38">
        <f>IF(OR($C103="01-09",$D103="Male"),"",INDEX(PMTCT!$AD:$AD,MATCH($E103,PMTCT!$E:$E,0)))</f>
        <v>4751</v>
      </c>
      <c r="AQ103" s="38">
        <f>IF(OR($C103="01-09",$D103="Male"),"",INDEX(PMTCT!$AT:$AT,MATCH($E103,PMTCT!$E:$E,0)))</f>
        <v>4732</v>
      </c>
      <c r="AR103" s="38">
        <f>INDEX(TB!$Q:$Q,MATCH($E103,TB!$E:$E,0))</f>
        <v>11</v>
      </c>
      <c r="AS103" s="38" t="str">
        <f>IF(OR($C103="01-09",$C103="10-14",$D103="Female"),"",INDEX(VMMC!$AB:$AB,MATCH($E103,VMMC!$E:$E,0)))</f>
        <v/>
      </c>
      <c r="AT103" s="38" t="str">
        <f>IF(OR($C103="01-09",$C103="10-14"),"",INDEX(PrEP!$Q:$Q,MATCH($E103,PrEP!$E:$E,0)))</f>
        <v/>
      </c>
      <c r="AU103" s="38">
        <f t="shared" si="52"/>
        <v>10203</v>
      </c>
      <c r="AV103" s="38">
        <f t="shared" si="53"/>
        <v>10257</v>
      </c>
      <c r="AW103" s="33">
        <f t="shared" si="54"/>
        <v>5.264697279906405E-3</v>
      </c>
      <c r="AX103" s="38">
        <v>585</v>
      </c>
      <c r="AY103" s="33">
        <f t="shared" ref="AY103:AY108" si="62">IF(OR($C103="01-09",SUM($AX103)=0),"",68%)</f>
        <v>0.68</v>
      </c>
      <c r="AZ103" s="218">
        <f t="shared" si="56"/>
        <v>983</v>
      </c>
      <c r="BA103" s="33">
        <v>0.48</v>
      </c>
      <c r="BB103" s="218">
        <f t="shared" si="57"/>
        <v>26</v>
      </c>
    </row>
    <row r="104" spans="1:54" x14ac:dyDescent="0.2">
      <c r="A104" t="str">
        <f>INDEX(Prioritization!$D:$D,MATCH($B104,Prioritization!$A:$A,0))</f>
        <v>4 - Sustained</v>
      </c>
      <c r="B104" t="s">
        <v>299</v>
      </c>
      <c r="C104" t="s">
        <v>475</v>
      </c>
      <c r="D104" t="s">
        <v>48</v>
      </c>
      <c r="E104" t="str">
        <f t="shared" si="32"/>
        <v>Dowa District [zphK9WV8JB4]|15-24|Male</v>
      </c>
      <c r="F104" s="33">
        <f>IF(LEFT($B104,4)="_Mil","",INDEX(Cascade!$AA:$AA,MATCH($E104,Cascade!$E:$E,0)))</f>
        <v>0.87844108300000001</v>
      </c>
      <c r="G104" s="38">
        <f>INDEX(Cascade!$BH:$BH,MATCH($E104,Cascade!$E:$E,0))</f>
        <v>8</v>
      </c>
      <c r="H104" s="38" t="str">
        <f>IF(OR($C104="01-09",$D104="Male"),"",INDEX(PMTCT!$AC:$AC,MATCH($E104,PMTCT!$E:$E,0)))</f>
        <v/>
      </c>
      <c r="I104" s="38" t="str">
        <f>IF(OR($C104="01-09",$D104="Male"),"",INDEX(PMTCT!$AS:$AS,MATCH($E104,PMTCT!$E:$E,0)))</f>
        <v/>
      </c>
      <c r="J104" s="38">
        <f>INDEX(TB!$P:$P,MATCH($E104,TB!$E:$E,0))</f>
        <v>1</v>
      </c>
      <c r="K104" s="38" t="str">
        <f>IF(OR($C104="01-09",$C104="10-14",$D104="Female"),"",INDEX(VMMC!$AA:$AA,MATCH($E104,VMMC!$E:$E,0)))</f>
        <v/>
      </c>
      <c r="L104" s="38">
        <f t="shared" si="33"/>
        <v>7</v>
      </c>
      <c r="M104" s="33" t="str">
        <f t="shared" si="34"/>
        <v/>
      </c>
      <c r="N104" s="33" t="str">
        <f t="shared" si="35"/>
        <v/>
      </c>
      <c r="O104" s="33">
        <f t="shared" si="36"/>
        <v>0.125</v>
      </c>
      <c r="P104" s="33">
        <f t="shared" si="37"/>
        <v>0</v>
      </c>
      <c r="Q104" s="33">
        <v>0.31707317073170699</v>
      </c>
      <c r="R104" s="33"/>
      <c r="S104" s="33"/>
      <c r="T104" s="33">
        <v>0.05</v>
      </c>
      <c r="U104" s="33">
        <f t="shared" si="61"/>
        <v>0.50792682926829302</v>
      </c>
      <c r="V104" s="33">
        <f t="shared" si="38"/>
        <v>1</v>
      </c>
      <c r="W104" s="218">
        <f t="shared" si="39"/>
        <v>3</v>
      </c>
      <c r="X104" s="33">
        <v>0.20599999999999999</v>
      </c>
      <c r="Y104" s="218">
        <f t="shared" si="39"/>
        <v>3</v>
      </c>
      <c r="Z104" s="218">
        <f t="shared" si="40"/>
        <v>12</v>
      </c>
      <c r="AA104" s="33">
        <v>0.12</v>
      </c>
      <c r="AB104" s="218" t="str">
        <f t="shared" si="41"/>
        <v/>
      </c>
      <c r="AC104" s="218" t="str">
        <f t="shared" si="42"/>
        <v/>
      </c>
      <c r="AD104" s="33">
        <v>0.02</v>
      </c>
      <c r="AE104" s="218" t="str">
        <f t="shared" si="43"/>
        <v/>
      </c>
      <c r="AF104" s="218" t="str">
        <f t="shared" si="44"/>
        <v/>
      </c>
      <c r="AG104" s="33">
        <v>0.02</v>
      </c>
      <c r="AH104" s="218">
        <f t="shared" si="45"/>
        <v>0</v>
      </c>
      <c r="AI104" s="218" t="str">
        <f t="shared" si="46"/>
        <v/>
      </c>
      <c r="AJ104" s="33">
        <v>4.3E-3</v>
      </c>
      <c r="AK104" s="218">
        <f t="shared" si="47"/>
        <v>4</v>
      </c>
      <c r="AL104" s="218">
        <f t="shared" si="48"/>
        <v>926</v>
      </c>
      <c r="AM104" s="38">
        <f t="shared" si="49"/>
        <v>8</v>
      </c>
      <c r="AN104" s="38">
        <f t="shared" si="50"/>
        <v>8</v>
      </c>
      <c r="AO104" s="38">
        <f t="shared" si="51"/>
        <v>0</v>
      </c>
      <c r="AP104" s="38" t="str">
        <f>IF(OR($C104="01-09",$D104="Male"),"",INDEX(PMTCT!$AD:$AD,MATCH($E104,PMTCT!$E:$E,0)))</f>
        <v/>
      </c>
      <c r="AQ104" s="38" t="str">
        <f>IF(OR($C104="01-09",$D104="Male"),"",INDEX(PMTCT!$AT:$AT,MATCH($E104,PMTCT!$E:$E,0)))</f>
        <v/>
      </c>
      <c r="AR104" s="38">
        <f>INDEX(TB!$Q:$Q,MATCH($E104,TB!$E:$E,0))</f>
        <v>16</v>
      </c>
      <c r="AS104" s="38" t="str">
        <f>IF(OR($C104="01-09",$C104="10-14",$D104="Female"),"",INDEX(VMMC!$AB:$AB,MATCH($E104,VMMC!$E:$E,0)))</f>
        <v/>
      </c>
      <c r="AT104" s="38">
        <f>IF(OR($C104="01-09",$C104="10-14"),"",INDEX(PrEP!$Q:$Q,MATCH($E104,PrEP!$E:$E,0)))</f>
        <v>12</v>
      </c>
      <c r="AU104" s="38">
        <f t="shared" si="52"/>
        <v>965.99999999999989</v>
      </c>
      <c r="AV104" s="38">
        <f t="shared" si="53"/>
        <v>974</v>
      </c>
      <c r="AW104" s="33">
        <f t="shared" si="54"/>
        <v>8.2135523613963042E-3</v>
      </c>
      <c r="AX104" s="38">
        <v>18</v>
      </c>
      <c r="AY104" s="33">
        <f t="shared" si="62"/>
        <v>0.68</v>
      </c>
      <c r="AZ104" s="218">
        <f t="shared" si="56"/>
        <v>30</v>
      </c>
      <c r="BA104" s="33">
        <v>0.48</v>
      </c>
      <c r="BB104" s="218">
        <f t="shared" si="57"/>
        <v>4</v>
      </c>
    </row>
    <row r="105" spans="1:54" x14ac:dyDescent="0.2">
      <c r="A105" t="str">
        <f>INDEX(Prioritization!$D:$D,MATCH($B105,Prioritization!$A:$A,0))</f>
        <v>4 - Sustained</v>
      </c>
      <c r="B105" t="s">
        <v>299</v>
      </c>
      <c r="C105" t="s">
        <v>476</v>
      </c>
      <c r="D105" t="s">
        <v>30</v>
      </c>
      <c r="E105" t="str">
        <f t="shared" si="32"/>
        <v>Dowa District [zphK9WV8JB4]|25-34|Female</v>
      </c>
      <c r="F105" s="33">
        <f>IF(LEFT($B105,4)="_Mil","",INDEX(Cascade!$AA:$AA,MATCH($E105,Cascade!$E:$E,0)))</f>
        <v>0.95511856800000006</v>
      </c>
      <c r="G105" s="38">
        <f>INDEX(Cascade!$BH:$BH,MATCH($E105,Cascade!$E:$E,0))</f>
        <v>187</v>
      </c>
      <c r="H105" s="38">
        <f>IF(OR($C105="01-09",$D105="Male"),"",INDEX(PMTCT!$AC:$AC,MATCH($E105,PMTCT!$E:$E,0)))</f>
        <v>57</v>
      </c>
      <c r="I105" s="38">
        <f>IF(OR($C105="01-09",$D105="Male"),"",INDEX(PMTCT!$AS:$AS,MATCH($E105,PMTCT!$E:$E,0)))</f>
        <v>29</v>
      </c>
      <c r="J105" s="38">
        <f>INDEX(TB!$P:$P,MATCH($E105,TB!$E:$E,0))</f>
        <v>1</v>
      </c>
      <c r="K105" s="38" t="str">
        <f>IF(OR($C105="01-09",$C105="10-14",$D105="Female"),"",INDEX(VMMC!$AA:$AA,MATCH($E105,VMMC!$E:$E,0)))</f>
        <v/>
      </c>
      <c r="L105" s="38">
        <f t="shared" si="33"/>
        <v>100</v>
      </c>
      <c r="M105" s="33">
        <f t="shared" si="34"/>
        <v>0.30481283422459893</v>
      </c>
      <c r="N105" s="33">
        <f t="shared" si="35"/>
        <v>0.15508021390374332</v>
      </c>
      <c r="O105" s="33">
        <f t="shared" si="36"/>
        <v>5.3475935828877002E-3</v>
      </c>
      <c r="P105" s="33" t="str">
        <f t="shared" si="37"/>
        <v/>
      </c>
      <c r="Q105" s="33">
        <v>0.15</v>
      </c>
      <c r="R105" s="33"/>
      <c r="S105" s="33"/>
      <c r="T105" s="33">
        <v>0.05</v>
      </c>
      <c r="U105" s="33">
        <f t="shared" si="61"/>
        <v>0.33475935828877001</v>
      </c>
      <c r="V105" s="33">
        <f t="shared" si="38"/>
        <v>1</v>
      </c>
      <c r="W105" s="218">
        <f t="shared" si="39"/>
        <v>28</v>
      </c>
      <c r="X105" s="33">
        <v>0.60199999999999998</v>
      </c>
      <c r="Y105" s="218">
        <f t="shared" si="39"/>
        <v>28</v>
      </c>
      <c r="Z105" s="218">
        <f t="shared" si="40"/>
        <v>19</v>
      </c>
      <c r="AA105" s="33">
        <v>0.12</v>
      </c>
      <c r="AB105" s="218" t="str">
        <f t="shared" si="41"/>
        <v/>
      </c>
      <c r="AC105" s="218" t="str">
        <f t="shared" si="42"/>
        <v/>
      </c>
      <c r="AD105" s="33">
        <v>0.02</v>
      </c>
      <c r="AE105" s="218" t="str">
        <f t="shared" si="43"/>
        <v/>
      </c>
      <c r="AF105" s="218" t="str">
        <f t="shared" si="44"/>
        <v/>
      </c>
      <c r="AG105" s="33">
        <v>0.02</v>
      </c>
      <c r="AH105" s="218">
        <f t="shared" si="45"/>
        <v>9</v>
      </c>
      <c r="AI105" s="218">
        <f t="shared" si="46"/>
        <v>441</v>
      </c>
      <c r="AJ105" s="33">
        <v>1.4E-2</v>
      </c>
      <c r="AK105" s="218">
        <f t="shared" si="47"/>
        <v>63</v>
      </c>
      <c r="AL105" s="218">
        <f t="shared" si="48"/>
        <v>4437</v>
      </c>
      <c r="AM105" s="38">
        <f t="shared" si="49"/>
        <v>187</v>
      </c>
      <c r="AN105" s="38">
        <f t="shared" si="50"/>
        <v>187</v>
      </c>
      <c r="AO105" s="38">
        <f t="shared" si="51"/>
        <v>0</v>
      </c>
      <c r="AP105" s="38">
        <f>IF(OR($C105="01-09",$D105="Male"),"",INDEX(PMTCT!$AD:$AD,MATCH($E105,PMTCT!$E:$E,0)))</f>
        <v>7159</v>
      </c>
      <c r="AQ105" s="38">
        <f>IF(OR($C105="01-09",$D105="Male"),"",INDEX(PMTCT!$AT:$AT,MATCH($E105,PMTCT!$E:$E,0)))</f>
        <v>7130</v>
      </c>
      <c r="AR105" s="38">
        <f>INDEX(TB!$Q:$Q,MATCH($E105,TB!$E:$E,0))</f>
        <v>11</v>
      </c>
      <c r="AS105" s="38" t="str">
        <f>IF(OR($C105="01-09",$C105="10-14",$D105="Female"),"",INDEX(VMMC!$AB:$AB,MATCH($E105,VMMC!$E:$E,0)))</f>
        <v/>
      </c>
      <c r="AT105" s="38">
        <f>IF(OR($C105="01-09",$C105="10-14"),"",INDEX(PrEP!$Q:$Q,MATCH($E105,PrEP!$E:$E,0)))</f>
        <v>30</v>
      </c>
      <c r="AU105" s="38">
        <f t="shared" si="52"/>
        <v>19227</v>
      </c>
      <c r="AV105" s="38">
        <f t="shared" si="53"/>
        <v>19414</v>
      </c>
      <c r="AW105" s="33">
        <f t="shared" si="54"/>
        <v>9.6322241681260946E-3</v>
      </c>
      <c r="AX105" s="38">
        <v>393</v>
      </c>
      <c r="AY105" s="33">
        <f t="shared" si="62"/>
        <v>0.68</v>
      </c>
      <c r="AZ105" s="218">
        <f t="shared" si="56"/>
        <v>660</v>
      </c>
      <c r="BA105" s="33">
        <v>0.48</v>
      </c>
      <c r="BB105" s="218">
        <f t="shared" si="57"/>
        <v>90</v>
      </c>
    </row>
    <row r="106" spans="1:54" x14ac:dyDescent="0.2">
      <c r="A106" t="str">
        <f>INDEX(Prioritization!$D:$D,MATCH($B106,Prioritization!$A:$A,0))</f>
        <v>4 - Sustained</v>
      </c>
      <c r="B106" t="s">
        <v>299</v>
      </c>
      <c r="C106" t="s">
        <v>476</v>
      </c>
      <c r="D106" t="s">
        <v>48</v>
      </c>
      <c r="E106" t="str">
        <f t="shared" si="32"/>
        <v>Dowa District [zphK9WV8JB4]|25-34|Male</v>
      </c>
      <c r="F106" s="33">
        <f>IF(LEFT($B106,4)="_Mil","",INDEX(Cascade!$AA:$AA,MATCH($E106,Cascade!$E:$E,0)))</f>
        <v>0.84374567499999997</v>
      </c>
      <c r="G106" s="38">
        <f>INDEX(Cascade!$BH:$BH,MATCH($E106,Cascade!$E:$E,0))</f>
        <v>12</v>
      </c>
      <c r="H106" s="38" t="str">
        <f>IF(OR($C106="01-09",$D106="Male"),"",INDEX(PMTCT!$AC:$AC,MATCH($E106,PMTCT!$E:$E,0)))</f>
        <v/>
      </c>
      <c r="I106" s="38" t="str">
        <f>IF(OR($C106="01-09",$D106="Male"),"",INDEX(PMTCT!$AS:$AS,MATCH($E106,PMTCT!$E:$E,0)))</f>
        <v/>
      </c>
      <c r="J106" s="38">
        <f>INDEX(TB!$P:$P,MATCH($E106,TB!$E:$E,0))</f>
        <v>1</v>
      </c>
      <c r="K106" s="38" t="str">
        <f>IF(OR($C106="01-09",$C106="10-14",$D106="Female"),"",INDEX(VMMC!$AA:$AA,MATCH($E106,VMMC!$E:$E,0)))</f>
        <v/>
      </c>
      <c r="L106" s="38">
        <f t="shared" si="33"/>
        <v>11</v>
      </c>
      <c r="M106" s="33" t="str">
        <f t="shared" si="34"/>
        <v/>
      </c>
      <c r="N106" s="33" t="str">
        <f t="shared" si="35"/>
        <v/>
      </c>
      <c r="O106" s="33">
        <f t="shared" si="36"/>
        <v>8.3333333333333329E-2</v>
      </c>
      <c r="P106" s="33">
        <f t="shared" si="37"/>
        <v>0</v>
      </c>
      <c r="Q106" s="33">
        <v>0.35714285714285698</v>
      </c>
      <c r="R106" s="33"/>
      <c r="S106" s="33"/>
      <c r="T106" s="33">
        <v>0.05</v>
      </c>
      <c r="U106" s="33">
        <f t="shared" si="61"/>
        <v>0.50952380952380971</v>
      </c>
      <c r="V106" s="33">
        <f t="shared" si="38"/>
        <v>1</v>
      </c>
      <c r="W106" s="218">
        <f t="shared" si="39"/>
        <v>4</v>
      </c>
      <c r="X106" s="33">
        <v>0.40600000000000003</v>
      </c>
      <c r="Y106" s="218">
        <f t="shared" si="39"/>
        <v>4</v>
      </c>
      <c r="Z106" s="218">
        <f t="shared" si="40"/>
        <v>6</v>
      </c>
      <c r="AA106" s="33">
        <v>0.12</v>
      </c>
      <c r="AB106" s="218" t="str">
        <f t="shared" si="41"/>
        <v/>
      </c>
      <c r="AC106" s="218" t="str">
        <f t="shared" si="42"/>
        <v/>
      </c>
      <c r="AD106" s="33">
        <v>0.02</v>
      </c>
      <c r="AE106" s="218" t="str">
        <f t="shared" si="43"/>
        <v/>
      </c>
      <c r="AF106" s="218" t="str">
        <f t="shared" si="44"/>
        <v/>
      </c>
      <c r="AG106" s="33">
        <v>0.02</v>
      </c>
      <c r="AH106" s="218">
        <f t="shared" si="45"/>
        <v>1</v>
      </c>
      <c r="AI106" s="218">
        <f t="shared" si="46"/>
        <v>49</v>
      </c>
      <c r="AJ106" s="33">
        <v>8.0999999999999996E-3</v>
      </c>
      <c r="AK106" s="218">
        <f t="shared" si="47"/>
        <v>6</v>
      </c>
      <c r="AL106" s="218">
        <f t="shared" si="48"/>
        <v>735</v>
      </c>
      <c r="AM106" s="38">
        <f t="shared" si="49"/>
        <v>12</v>
      </c>
      <c r="AN106" s="38">
        <f t="shared" si="50"/>
        <v>12</v>
      </c>
      <c r="AO106" s="38">
        <f t="shared" si="51"/>
        <v>0</v>
      </c>
      <c r="AP106" s="38" t="str">
        <f>IF(OR($C106="01-09",$D106="Male"),"",INDEX(PMTCT!$AD:$AD,MATCH($E106,PMTCT!$E:$E,0)))</f>
        <v/>
      </c>
      <c r="AQ106" s="38" t="str">
        <f>IF(OR($C106="01-09",$D106="Male"),"",INDEX(PMTCT!$AT:$AT,MATCH($E106,PMTCT!$E:$E,0)))</f>
        <v/>
      </c>
      <c r="AR106" s="38">
        <f>INDEX(TB!$Q:$Q,MATCH($E106,TB!$E:$E,0))</f>
        <v>16</v>
      </c>
      <c r="AS106" s="38" t="str">
        <f>IF(OR($C106="01-09",$C106="10-14",$D106="Female"),"",INDEX(VMMC!$AB:$AB,MATCH($E106,VMMC!$E:$E,0)))</f>
        <v/>
      </c>
      <c r="AT106" s="38">
        <f>IF(OR($C106="01-09",$C106="10-14"),"",INDEX(PrEP!$Q:$Q,MATCH($E106,PrEP!$E:$E,0)))</f>
        <v>30</v>
      </c>
      <c r="AU106" s="38">
        <f t="shared" si="52"/>
        <v>836</v>
      </c>
      <c r="AV106" s="38">
        <f t="shared" si="53"/>
        <v>848</v>
      </c>
      <c r="AW106" s="33">
        <f t="shared" si="54"/>
        <v>1.4150943396226415E-2</v>
      </c>
      <c r="AX106" s="38">
        <v>18</v>
      </c>
      <c r="AY106" s="33">
        <f t="shared" si="62"/>
        <v>0.68</v>
      </c>
      <c r="AZ106" s="218">
        <f t="shared" si="56"/>
        <v>30</v>
      </c>
      <c r="BA106" s="33">
        <v>0.48</v>
      </c>
      <c r="BB106" s="218">
        <f t="shared" si="57"/>
        <v>6</v>
      </c>
    </row>
    <row r="107" spans="1:54" x14ac:dyDescent="0.2">
      <c r="A107" t="str">
        <f>INDEX(Prioritization!$D:$D,MATCH($B107,Prioritization!$A:$A,0))</f>
        <v>4 - Sustained</v>
      </c>
      <c r="B107" t="s">
        <v>299</v>
      </c>
      <c r="C107" t="s">
        <v>477</v>
      </c>
      <c r="D107" t="s">
        <v>30</v>
      </c>
      <c r="E107" t="str">
        <f t="shared" si="32"/>
        <v>Dowa District [zphK9WV8JB4]|35-49|Female</v>
      </c>
      <c r="F107" s="33">
        <f>IF(LEFT($B107,4)="_Mil","",INDEX(Cascade!$AA:$AA,MATCH($E107,Cascade!$E:$E,0)))</f>
        <v>0.97762817899999999</v>
      </c>
      <c r="G107" s="38">
        <f>INDEX(Cascade!$BH:$BH,MATCH($E107,Cascade!$E:$E,0))</f>
        <v>79</v>
      </c>
      <c r="H107" s="38">
        <f>IF(OR($C107="01-09",$D107="Male"),"",INDEX(PMTCT!$AC:$AC,MATCH($E107,PMTCT!$E:$E,0)))</f>
        <v>12</v>
      </c>
      <c r="I107" s="38">
        <f>IF(OR($C107="01-09",$D107="Male"),"",INDEX(PMTCT!$AS:$AS,MATCH($E107,PMTCT!$E:$E,0)))</f>
        <v>7</v>
      </c>
      <c r="J107" s="38">
        <f>INDEX(TB!$P:$P,MATCH($E107,TB!$E:$E,0))</f>
        <v>1</v>
      </c>
      <c r="K107" s="38" t="str">
        <f>IF(OR($C107="01-09",$C107="10-14",$D107="Female"),"",INDEX(VMMC!$AA:$AA,MATCH($E107,VMMC!$E:$E,0)))</f>
        <v/>
      </c>
      <c r="L107" s="38">
        <f t="shared" si="33"/>
        <v>59</v>
      </c>
      <c r="M107" s="33">
        <f t="shared" si="34"/>
        <v>0.15189873417721519</v>
      </c>
      <c r="N107" s="33">
        <f t="shared" si="35"/>
        <v>8.8607594936708861E-2</v>
      </c>
      <c r="O107" s="33">
        <f t="shared" si="36"/>
        <v>1.2658227848101266E-2</v>
      </c>
      <c r="P107" s="33" t="str">
        <f t="shared" si="37"/>
        <v/>
      </c>
      <c r="Q107" s="33">
        <v>0.19148936170212799</v>
      </c>
      <c r="R107" s="33"/>
      <c r="S107" s="33"/>
      <c r="T107" s="33">
        <v>0.05</v>
      </c>
      <c r="U107" s="33">
        <f t="shared" si="61"/>
        <v>0.50534608133584669</v>
      </c>
      <c r="V107" s="33">
        <f t="shared" si="38"/>
        <v>1</v>
      </c>
      <c r="W107" s="218">
        <f t="shared" si="39"/>
        <v>15</v>
      </c>
      <c r="X107" s="33">
        <v>0.53600000000000003</v>
      </c>
      <c r="Y107" s="218">
        <f t="shared" si="39"/>
        <v>15</v>
      </c>
      <c r="Z107" s="218">
        <f t="shared" si="40"/>
        <v>13</v>
      </c>
      <c r="AA107" s="33">
        <v>0.12</v>
      </c>
      <c r="AB107" s="218" t="str">
        <f t="shared" si="41"/>
        <v/>
      </c>
      <c r="AC107" s="218" t="str">
        <f t="shared" si="42"/>
        <v/>
      </c>
      <c r="AD107" s="33">
        <v>0.02</v>
      </c>
      <c r="AE107" s="218" t="str">
        <f t="shared" si="43"/>
        <v/>
      </c>
      <c r="AF107" s="218" t="str">
        <f t="shared" si="44"/>
        <v/>
      </c>
      <c r="AG107" s="33">
        <v>0.02</v>
      </c>
      <c r="AH107" s="218">
        <f t="shared" si="45"/>
        <v>4</v>
      </c>
      <c r="AI107" s="218">
        <f t="shared" si="46"/>
        <v>196</v>
      </c>
      <c r="AJ107" s="33">
        <v>2.3E-2</v>
      </c>
      <c r="AK107" s="218">
        <f t="shared" si="47"/>
        <v>40</v>
      </c>
      <c r="AL107" s="218">
        <f t="shared" si="48"/>
        <v>1699</v>
      </c>
      <c r="AM107" s="38">
        <f t="shared" si="49"/>
        <v>79</v>
      </c>
      <c r="AN107" s="38">
        <f t="shared" si="50"/>
        <v>79</v>
      </c>
      <c r="AO107" s="38">
        <f t="shared" si="51"/>
        <v>0</v>
      </c>
      <c r="AP107" s="38">
        <f>IF(OR($C107="01-09",$D107="Male"),"",INDEX(PMTCT!$AD:$AD,MATCH($E107,PMTCT!$E:$E,0)))</f>
        <v>1719</v>
      </c>
      <c r="AQ107" s="38">
        <f>IF(OR($C107="01-09",$D107="Male"),"",INDEX(PMTCT!$AT:$AT,MATCH($E107,PMTCT!$E:$E,0)))</f>
        <v>1712</v>
      </c>
      <c r="AR107" s="38">
        <f>INDEX(TB!$Q:$Q,MATCH($E107,TB!$E:$E,0))</f>
        <v>17</v>
      </c>
      <c r="AS107" s="38" t="str">
        <f>IF(OR($C107="01-09",$C107="10-14",$D107="Female"),"",INDEX(VMMC!$AB:$AB,MATCH($E107,VMMC!$E:$E,0)))</f>
        <v/>
      </c>
      <c r="AT107" s="38">
        <f>IF(OR($C107="01-09",$C107="10-14"),"",INDEX(PrEP!$Q:$Q,MATCH($E107,PrEP!$E:$E,0)))</f>
        <v>48</v>
      </c>
      <c r="AU107" s="38">
        <f t="shared" si="52"/>
        <v>5404</v>
      </c>
      <c r="AV107" s="38">
        <f t="shared" si="53"/>
        <v>5483</v>
      </c>
      <c r="AW107" s="33">
        <f t="shared" si="54"/>
        <v>1.4408170709465621E-2</v>
      </c>
      <c r="AX107" s="38">
        <v>22</v>
      </c>
      <c r="AY107" s="33">
        <f t="shared" si="62"/>
        <v>0.68</v>
      </c>
      <c r="AZ107" s="218">
        <f t="shared" si="56"/>
        <v>37</v>
      </c>
      <c r="BA107" s="33">
        <v>0.48</v>
      </c>
      <c r="BB107" s="218">
        <f t="shared" si="57"/>
        <v>38</v>
      </c>
    </row>
    <row r="108" spans="1:54" x14ac:dyDescent="0.2">
      <c r="A108" t="str">
        <f>INDEX(Prioritization!$D:$D,MATCH($B108,Prioritization!$A:$A,0))</f>
        <v>4 - Sustained</v>
      </c>
      <c r="B108" t="s">
        <v>299</v>
      </c>
      <c r="C108" t="s">
        <v>477</v>
      </c>
      <c r="D108" t="s">
        <v>48</v>
      </c>
      <c r="E108" t="str">
        <f t="shared" si="32"/>
        <v>Dowa District [zphK9WV8JB4]|35-49|Male</v>
      </c>
      <c r="F108" s="33">
        <f>IF(LEFT($B108,4)="_Mil","",INDEX(Cascade!$AA:$AA,MATCH($E108,Cascade!$E:$E,0)))</f>
        <v>0.90343677899999997</v>
      </c>
      <c r="G108" s="38">
        <f>INDEX(Cascade!$BH:$BH,MATCH($E108,Cascade!$E:$E,0))</f>
        <v>46</v>
      </c>
      <c r="H108" s="38" t="str">
        <f>IF(OR($C108="01-09",$D108="Male"),"",INDEX(PMTCT!$AC:$AC,MATCH($E108,PMTCT!$E:$E,0)))</f>
        <v/>
      </c>
      <c r="I108" s="38" t="str">
        <f>IF(OR($C108="01-09",$D108="Male"),"",INDEX(PMTCT!$AS:$AS,MATCH($E108,PMTCT!$E:$E,0)))</f>
        <v/>
      </c>
      <c r="J108" s="38">
        <f>INDEX(TB!$P:$P,MATCH($E108,TB!$E:$E,0))</f>
        <v>2</v>
      </c>
      <c r="K108" s="38" t="str">
        <f>IF(OR($C108="01-09",$C108="10-14",$D108="Female"),"",INDEX(VMMC!$AA:$AA,MATCH($E108,VMMC!$E:$E,0)))</f>
        <v/>
      </c>
      <c r="L108" s="38">
        <f t="shared" si="33"/>
        <v>44</v>
      </c>
      <c r="M108" s="33" t="str">
        <f t="shared" si="34"/>
        <v/>
      </c>
      <c r="N108" s="33" t="str">
        <f t="shared" si="35"/>
        <v/>
      </c>
      <c r="O108" s="33">
        <f t="shared" si="36"/>
        <v>4.3478260869565216E-2</v>
      </c>
      <c r="P108" s="33">
        <f t="shared" si="37"/>
        <v>0</v>
      </c>
      <c r="Q108" s="33">
        <v>0.394736842105263</v>
      </c>
      <c r="R108" s="33"/>
      <c r="S108" s="33"/>
      <c r="T108" s="33">
        <v>0.05</v>
      </c>
      <c r="U108" s="33">
        <f t="shared" si="61"/>
        <v>0.51178489702517171</v>
      </c>
      <c r="V108" s="33">
        <f t="shared" si="38"/>
        <v>1</v>
      </c>
      <c r="W108" s="218">
        <f t="shared" si="39"/>
        <v>18</v>
      </c>
      <c r="X108" s="33">
        <v>0.40799999999999997</v>
      </c>
      <c r="Y108" s="218">
        <f t="shared" si="39"/>
        <v>18</v>
      </c>
      <c r="Z108" s="218">
        <f t="shared" si="40"/>
        <v>26</v>
      </c>
      <c r="AA108" s="33">
        <v>0.12</v>
      </c>
      <c r="AB108" s="218" t="str">
        <f t="shared" si="41"/>
        <v/>
      </c>
      <c r="AC108" s="218" t="str">
        <f t="shared" si="42"/>
        <v/>
      </c>
      <c r="AD108" s="33">
        <v>0.02</v>
      </c>
      <c r="AE108" s="218" t="str">
        <f t="shared" si="43"/>
        <v/>
      </c>
      <c r="AF108" s="218" t="str">
        <f t="shared" si="44"/>
        <v/>
      </c>
      <c r="AG108" s="33">
        <v>0.02</v>
      </c>
      <c r="AH108" s="218">
        <f t="shared" si="45"/>
        <v>2</v>
      </c>
      <c r="AI108" s="218">
        <f t="shared" si="46"/>
        <v>98</v>
      </c>
      <c r="AJ108" s="33">
        <v>0.02</v>
      </c>
      <c r="AK108" s="218">
        <f t="shared" si="47"/>
        <v>24</v>
      </c>
      <c r="AL108" s="218">
        <f t="shared" si="48"/>
        <v>1176</v>
      </c>
      <c r="AM108" s="38">
        <f t="shared" si="49"/>
        <v>46</v>
      </c>
      <c r="AN108" s="38">
        <f t="shared" si="50"/>
        <v>46</v>
      </c>
      <c r="AO108" s="38">
        <f t="shared" si="51"/>
        <v>0</v>
      </c>
      <c r="AP108" s="38" t="str">
        <f>IF(OR($C108="01-09",$D108="Male"),"",INDEX(PMTCT!$AD:$AD,MATCH($E108,PMTCT!$E:$E,0)))</f>
        <v/>
      </c>
      <c r="AQ108" s="38" t="str">
        <f>IF(OR($C108="01-09",$D108="Male"),"",INDEX(PMTCT!$AT:$AT,MATCH($E108,PMTCT!$E:$E,0)))</f>
        <v/>
      </c>
      <c r="AR108" s="38">
        <f>INDEX(TB!$Q:$Q,MATCH($E108,TB!$E:$E,0))</f>
        <v>23</v>
      </c>
      <c r="AS108" s="38" t="str">
        <f>IF(OR($C108="01-09",$C108="10-14",$D108="Female"),"",INDEX(VMMC!$AB:$AB,MATCH($E108,VMMC!$E:$E,0)))</f>
        <v/>
      </c>
      <c r="AT108" s="38">
        <f>IF(OR($C108="01-09",$C108="10-14"),"",INDEX(PrEP!$Q:$Q,MATCH($E108,PrEP!$E:$E,0)))</f>
        <v>12</v>
      </c>
      <c r="AU108" s="38">
        <f t="shared" si="52"/>
        <v>1335</v>
      </c>
      <c r="AV108" s="38">
        <f t="shared" si="53"/>
        <v>1381</v>
      </c>
      <c r="AW108" s="33">
        <f t="shared" si="54"/>
        <v>3.3309196234612599E-2</v>
      </c>
      <c r="AX108" s="38">
        <v>16</v>
      </c>
      <c r="AY108" s="33">
        <f t="shared" si="62"/>
        <v>0.68</v>
      </c>
      <c r="AZ108" s="218">
        <f t="shared" si="56"/>
        <v>27</v>
      </c>
      <c r="BA108" s="33">
        <v>0.48</v>
      </c>
      <c r="BB108" s="218">
        <f t="shared" si="57"/>
        <v>22</v>
      </c>
    </row>
    <row r="109" spans="1:54" x14ac:dyDescent="0.2">
      <c r="A109" t="str">
        <f>INDEX(Prioritization!$D:$D,MATCH($B109,Prioritization!$A:$A,0))</f>
        <v>4 - Sustained</v>
      </c>
      <c r="B109" t="s">
        <v>299</v>
      </c>
      <c r="C109" t="s">
        <v>478</v>
      </c>
      <c r="D109" t="s">
        <v>30</v>
      </c>
      <c r="E109" t="str">
        <f t="shared" si="32"/>
        <v>Dowa District [zphK9WV8JB4]|50+|Female</v>
      </c>
      <c r="F109" s="33">
        <f>IF(LEFT($B109,4)="_Mil","",INDEX(Cascade!$AA:$AA,MATCH($E109,Cascade!$E:$E,0)))</f>
        <v>0.98448496099999994</v>
      </c>
      <c r="G109" s="38">
        <f>INDEX(Cascade!$BH:$BH,MATCH($E109,Cascade!$E:$E,0))</f>
        <v>74</v>
      </c>
      <c r="H109" s="38">
        <f>IF(OR($C109="01-09",$D109="Male"),"",INDEX(PMTCT!$AC:$AC,MATCH($E109,PMTCT!$E:$E,0)))</f>
        <v>0</v>
      </c>
      <c r="I109" s="38">
        <f>IF(OR($C109="01-09",$D109="Male"),"",INDEX(PMTCT!$AS:$AS,MATCH($E109,PMTCT!$E:$E,0)))</f>
        <v>0</v>
      </c>
      <c r="J109" s="38">
        <f>INDEX(TB!$P:$P,MATCH($E109,TB!$E:$E,0))</f>
        <v>0</v>
      </c>
      <c r="K109" s="38" t="str">
        <f>IF(OR($C109="01-09",$C109="10-14",$D109="Female"),"",INDEX(VMMC!$AA:$AA,MATCH($E109,VMMC!$E:$E,0)))</f>
        <v/>
      </c>
      <c r="L109" s="38">
        <f t="shared" si="33"/>
        <v>74</v>
      </c>
      <c r="M109" s="33">
        <f t="shared" si="34"/>
        <v>0</v>
      </c>
      <c r="N109" s="33">
        <f t="shared" si="35"/>
        <v>0</v>
      </c>
      <c r="O109" s="33">
        <f t="shared" si="36"/>
        <v>0</v>
      </c>
      <c r="P109" s="33" t="str">
        <f t="shared" si="37"/>
        <v/>
      </c>
      <c r="Q109" s="33">
        <v>0.15</v>
      </c>
      <c r="R109" s="33"/>
      <c r="S109" s="33"/>
      <c r="T109" s="33">
        <v>0.05</v>
      </c>
      <c r="U109" s="33">
        <f t="shared" si="61"/>
        <v>0.8</v>
      </c>
      <c r="V109" s="33">
        <f t="shared" si="38"/>
        <v>1</v>
      </c>
      <c r="W109" s="218">
        <f t="shared" si="39"/>
        <v>11</v>
      </c>
      <c r="X109" s="33">
        <v>0.6</v>
      </c>
      <c r="Y109" s="218">
        <f t="shared" si="39"/>
        <v>11</v>
      </c>
      <c r="Z109" s="218">
        <f t="shared" si="40"/>
        <v>7</v>
      </c>
      <c r="AA109" s="33">
        <v>0.12</v>
      </c>
      <c r="AB109" s="218" t="str">
        <f t="shared" si="41"/>
        <v/>
      </c>
      <c r="AC109" s="218" t="str">
        <f t="shared" si="42"/>
        <v/>
      </c>
      <c r="AD109" s="33">
        <v>0.02</v>
      </c>
      <c r="AE109" s="218" t="str">
        <f t="shared" si="43"/>
        <v/>
      </c>
      <c r="AF109" s="218" t="str">
        <f t="shared" si="44"/>
        <v/>
      </c>
      <c r="AG109" s="33">
        <v>0.02</v>
      </c>
      <c r="AH109" s="218">
        <f t="shared" si="45"/>
        <v>4</v>
      </c>
      <c r="AI109" s="218">
        <f t="shared" si="46"/>
        <v>196</v>
      </c>
      <c r="AJ109" s="33">
        <v>6.4999999999999997E-3</v>
      </c>
      <c r="AK109" s="218">
        <f t="shared" si="47"/>
        <v>59</v>
      </c>
      <c r="AL109" s="218">
        <f t="shared" si="48"/>
        <v>9018</v>
      </c>
      <c r="AM109" s="38">
        <f t="shared" si="49"/>
        <v>74</v>
      </c>
      <c r="AN109" s="38">
        <f t="shared" si="50"/>
        <v>74</v>
      </c>
      <c r="AO109" s="38">
        <f t="shared" si="51"/>
        <v>0</v>
      </c>
      <c r="AP109" s="38">
        <f>IF(OR($C109="01-09",$D109="Male"),"",INDEX(PMTCT!$AD:$AD,MATCH($E109,PMTCT!$E:$E,0)))</f>
        <v>12</v>
      </c>
      <c r="AQ109" s="38">
        <f>IF(OR($C109="01-09",$D109="Male"),"",INDEX(PMTCT!$AT:$AT,MATCH($E109,PMTCT!$E:$E,0)))</f>
        <v>12</v>
      </c>
      <c r="AR109" s="38">
        <f>INDEX(TB!$Q:$Q,MATCH($E109,TB!$E:$E,0))</f>
        <v>6</v>
      </c>
      <c r="AS109" s="38" t="str">
        <f>IF(OR($C109="01-09",$C109="10-14",$D109="Female"),"",INDEX(VMMC!$AB:$AB,MATCH($E109,VMMC!$E:$E,0)))</f>
        <v/>
      </c>
      <c r="AT109" s="38">
        <f>IF(OR($C109="01-09",$C109="10-14"),"",INDEX(PrEP!$Q:$Q,MATCH($E109,PrEP!$E:$E,0)))</f>
        <v>12</v>
      </c>
      <c r="AU109" s="38">
        <f t="shared" si="52"/>
        <v>9263</v>
      </c>
      <c r="AV109" s="38">
        <f t="shared" si="53"/>
        <v>9337</v>
      </c>
      <c r="AW109" s="33">
        <f t="shared" si="54"/>
        <v>7.925457855842347E-3</v>
      </c>
      <c r="AX109" s="38">
        <v>14</v>
      </c>
      <c r="AY109" s="33">
        <f t="shared" si="58"/>
        <v>0</v>
      </c>
      <c r="AZ109" s="218">
        <f t="shared" si="56"/>
        <v>14</v>
      </c>
      <c r="BA109" s="33">
        <v>0.48</v>
      </c>
      <c r="BB109" s="218">
        <f t="shared" si="57"/>
        <v>36</v>
      </c>
    </row>
    <row r="110" spans="1:54" x14ac:dyDescent="0.2">
      <c r="A110" t="str">
        <f>INDEX(Prioritization!$D:$D,MATCH($B110,Prioritization!$A:$A,0))</f>
        <v>4 - Sustained</v>
      </c>
      <c r="B110" t="s">
        <v>299</v>
      </c>
      <c r="C110" t="s">
        <v>478</v>
      </c>
      <c r="D110" t="s">
        <v>48</v>
      </c>
      <c r="E110" t="str">
        <f t="shared" si="32"/>
        <v>Dowa District [zphK9WV8JB4]|50+|Male</v>
      </c>
      <c r="F110" s="33">
        <f>IF(LEFT($B110,4)="_Mil","",INDEX(Cascade!$AA:$AA,MATCH($E110,Cascade!$E:$E,0)))</f>
        <v>0.93289692199999996</v>
      </c>
      <c r="G110" s="38">
        <f>INDEX(Cascade!$BH:$BH,MATCH($E110,Cascade!$E:$E,0))</f>
        <v>21</v>
      </c>
      <c r="H110" s="38" t="str">
        <f>IF(OR($C110="01-09",$D110="Male"),"",INDEX(PMTCT!$AC:$AC,MATCH($E110,PMTCT!$E:$E,0)))</f>
        <v/>
      </c>
      <c r="I110" s="38" t="str">
        <f>IF(OR($C110="01-09",$D110="Male"),"",INDEX(PMTCT!$AS:$AS,MATCH($E110,PMTCT!$E:$E,0)))</f>
        <v/>
      </c>
      <c r="J110" s="38">
        <f>INDEX(TB!$P:$P,MATCH($E110,TB!$E:$E,0))</f>
        <v>0</v>
      </c>
      <c r="K110" s="38" t="str">
        <f>IF(OR($C110="01-09",$C110="10-14",$D110="Female"),"",INDEX(VMMC!$AA:$AA,MATCH($E110,VMMC!$E:$E,0)))</f>
        <v/>
      </c>
      <c r="L110" s="38">
        <f t="shared" si="33"/>
        <v>21</v>
      </c>
      <c r="M110" s="33" t="str">
        <f t="shared" si="34"/>
        <v/>
      </c>
      <c r="N110" s="33" t="str">
        <f t="shared" si="35"/>
        <v/>
      </c>
      <c r="O110" s="33">
        <f t="shared" si="36"/>
        <v>0</v>
      </c>
      <c r="P110" s="33">
        <f t="shared" si="37"/>
        <v>0</v>
      </c>
      <c r="Q110" s="33">
        <v>0.15</v>
      </c>
      <c r="R110" s="33"/>
      <c r="S110" s="33"/>
      <c r="T110" s="33">
        <v>0.05</v>
      </c>
      <c r="U110" s="33">
        <f t="shared" si="61"/>
        <v>0.8</v>
      </c>
      <c r="V110" s="33">
        <f t="shared" si="38"/>
        <v>1</v>
      </c>
      <c r="W110" s="218">
        <f t="shared" si="39"/>
        <v>3</v>
      </c>
      <c r="X110" s="33">
        <v>0.56499999999999995</v>
      </c>
      <c r="Y110" s="218">
        <f t="shared" si="39"/>
        <v>3</v>
      </c>
      <c r="Z110" s="218">
        <f t="shared" si="40"/>
        <v>2</v>
      </c>
      <c r="AA110" s="33">
        <v>0.12</v>
      </c>
      <c r="AB110" s="218" t="str">
        <f t="shared" si="41"/>
        <v/>
      </c>
      <c r="AC110" s="218" t="str">
        <f t="shared" si="42"/>
        <v/>
      </c>
      <c r="AD110" s="33">
        <v>0.02</v>
      </c>
      <c r="AE110" s="218" t="str">
        <f t="shared" si="43"/>
        <v/>
      </c>
      <c r="AF110" s="218" t="str">
        <f t="shared" si="44"/>
        <v/>
      </c>
      <c r="AG110" s="33">
        <v>0.02</v>
      </c>
      <c r="AH110" s="218">
        <f t="shared" si="45"/>
        <v>1</v>
      </c>
      <c r="AI110" s="218">
        <f t="shared" si="46"/>
        <v>49</v>
      </c>
      <c r="AJ110" s="33">
        <v>2.1000000000000001E-2</v>
      </c>
      <c r="AK110" s="218">
        <f t="shared" si="47"/>
        <v>17</v>
      </c>
      <c r="AL110" s="218">
        <f t="shared" si="48"/>
        <v>793</v>
      </c>
      <c r="AM110" s="38">
        <f t="shared" si="49"/>
        <v>21</v>
      </c>
      <c r="AN110" s="38">
        <f t="shared" si="50"/>
        <v>21</v>
      </c>
      <c r="AO110" s="38">
        <f t="shared" si="51"/>
        <v>0</v>
      </c>
      <c r="AP110" s="38" t="str">
        <f>IF(OR($C110="01-09",$D110="Male"),"",INDEX(PMTCT!$AD:$AD,MATCH($E110,PMTCT!$E:$E,0)))</f>
        <v/>
      </c>
      <c r="AQ110" s="38" t="str">
        <f>IF(OR($C110="01-09",$D110="Male"),"",INDEX(PMTCT!$AT:$AT,MATCH($E110,PMTCT!$E:$E,0)))</f>
        <v/>
      </c>
      <c r="AR110" s="38">
        <f>INDEX(TB!$Q:$Q,MATCH($E110,TB!$E:$E,0))</f>
        <v>8</v>
      </c>
      <c r="AS110" s="38" t="str">
        <f>IF(OR($C110="01-09",$C110="10-14",$D110="Female"),"",INDEX(VMMC!$AB:$AB,MATCH($E110,VMMC!$E:$E,0)))</f>
        <v/>
      </c>
      <c r="AT110" s="38">
        <f>IF(OR($C110="01-09",$C110="10-14"),"",INDEX(PrEP!$Q:$Q,MATCH($E110,PrEP!$E:$E,0)))</f>
        <v>24</v>
      </c>
      <c r="AU110" s="38">
        <f t="shared" si="52"/>
        <v>876</v>
      </c>
      <c r="AV110" s="38">
        <f t="shared" si="53"/>
        <v>897</v>
      </c>
      <c r="AW110" s="33">
        <f t="shared" si="54"/>
        <v>2.3411371237458192E-2</v>
      </c>
      <c r="AX110" s="38">
        <v>10</v>
      </c>
      <c r="AY110" s="33">
        <f t="shared" si="58"/>
        <v>0</v>
      </c>
      <c r="AZ110" s="218">
        <f t="shared" si="56"/>
        <v>10</v>
      </c>
      <c r="BA110" s="33">
        <v>0.48</v>
      </c>
      <c r="BB110" s="218">
        <f t="shared" si="57"/>
        <v>10</v>
      </c>
    </row>
    <row r="111" spans="1:54" x14ac:dyDescent="0.2">
      <c r="A111" t="str">
        <f>INDEX(Prioritization!$D:$D,MATCH($B111,Prioritization!$A:$A,0))</f>
        <v>INVALID</v>
      </c>
      <c r="B111" t="s">
        <v>308</v>
      </c>
      <c r="C111" t="s">
        <v>473</v>
      </c>
      <c r="D111" t="s">
        <v>30</v>
      </c>
      <c r="E111" t="str">
        <f t="shared" si="32"/>
        <v>Karonga District [cPtvxaZqXIH]|01-09|Female</v>
      </c>
      <c r="F111" s="33">
        <f>IF(LEFT($B111,4)="_Mil","",INDEX(Cascade!$AA:$AA,MATCH($E111,Cascade!$E:$E,0)))</f>
        <v>0.73872258599999996</v>
      </c>
      <c r="G111" s="38">
        <f>INDEX(Cascade!$BH:$BH,MATCH($E111,Cascade!$E:$E,0))</f>
        <v>3</v>
      </c>
      <c r="H111" s="38" t="str">
        <f>IF(OR($C111="01-09",$D111="Male"),"",INDEX(PMTCT!$AC:$AC,MATCH($E111,PMTCT!$E:$E,0)))</f>
        <v/>
      </c>
      <c r="I111" s="38" t="str">
        <f>IF(OR($C111="01-09",$D111="Male"),"",INDEX(PMTCT!$AS:$AS,MATCH($E111,PMTCT!$E:$E,0)))</f>
        <v/>
      </c>
      <c r="J111" s="38">
        <f>INDEX(TB!$P:$P,MATCH($E111,TB!$E:$E,0))</f>
        <v>0</v>
      </c>
      <c r="K111" s="38" t="str">
        <f>IF(OR($C111="01-09",$C111="10-14",$D111="Female"),"",INDEX(VMMC!$AA:$AA,MATCH($E111,VMMC!$E:$E,0)))</f>
        <v/>
      </c>
      <c r="L111" s="38">
        <f t="shared" si="33"/>
        <v>3</v>
      </c>
      <c r="M111" s="33" t="str">
        <f t="shared" si="34"/>
        <v/>
      </c>
      <c r="N111" s="33" t="str">
        <f t="shared" si="35"/>
        <v/>
      </c>
      <c r="O111" s="33">
        <f t="shared" si="36"/>
        <v>0</v>
      </c>
      <c r="P111" s="33" t="str">
        <f t="shared" si="37"/>
        <v/>
      </c>
      <c r="Q111" s="33">
        <v>0.42857142857142899</v>
      </c>
      <c r="R111" s="33"/>
      <c r="S111" s="33"/>
      <c r="T111" s="33"/>
      <c r="U111" s="33">
        <f t="shared" si="61"/>
        <v>0.57142857142857095</v>
      </c>
      <c r="V111" s="33">
        <f t="shared" si="38"/>
        <v>1</v>
      </c>
      <c r="W111" s="218">
        <f t="shared" si="39"/>
        <v>1</v>
      </c>
      <c r="X111" s="33">
        <v>6.6000000000000003E-2</v>
      </c>
      <c r="Y111" s="218">
        <f t="shared" si="39"/>
        <v>1</v>
      </c>
      <c r="Z111" s="218">
        <f t="shared" si="40"/>
        <v>14</v>
      </c>
      <c r="AA111" s="33">
        <v>0.12</v>
      </c>
      <c r="AB111" s="218" t="str">
        <f t="shared" si="41"/>
        <v/>
      </c>
      <c r="AC111" s="218" t="str">
        <f t="shared" si="42"/>
        <v/>
      </c>
      <c r="AD111" s="33">
        <v>0.02</v>
      </c>
      <c r="AE111" s="218" t="str">
        <f t="shared" si="43"/>
        <v/>
      </c>
      <c r="AF111" s="218" t="str">
        <f t="shared" si="44"/>
        <v/>
      </c>
      <c r="AG111" s="33">
        <v>0.02</v>
      </c>
      <c r="AH111" s="218" t="str">
        <f t="shared" si="45"/>
        <v/>
      </c>
      <c r="AI111" s="218" t="str">
        <f t="shared" si="46"/>
        <v/>
      </c>
      <c r="AJ111" s="33">
        <v>6.0000000000000001E-3</v>
      </c>
      <c r="AK111" s="218">
        <f t="shared" si="47"/>
        <v>2</v>
      </c>
      <c r="AL111" s="218">
        <f t="shared" si="48"/>
        <v>331</v>
      </c>
      <c r="AM111" s="38">
        <f t="shared" si="49"/>
        <v>3</v>
      </c>
      <c r="AN111" s="38">
        <f t="shared" si="50"/>
        <v>3</v>
      </c>
      <c r="AO111" s="38">
        <f t="shared" si="51"/>
        <v>0</v>
      </c>
      <c r="AP111" s="38" t="str">
        <f>IF(OR($C111="01-09",$D111="Male"),"",INDEX(PMTCT!$AD:$AD,MATCH($E111,PMTCT!$E:$E,0)))</f>
        <v/>
      </c>
      <c r="AQ111" s="38" t="str">
        <f>IF(OR($C111="01-09",$D111="Male"),"",INDEX(PMTCT!$AT:$AT,MATCH($E111,PMTCT!$E:$E,0)))</f>
        <v/>
      </c>
      <c r="AR111" s="38">
        <f>INDEX(TB!$Q:$Q,MATCH($E111,TB!$E:$E,0))</f>
        <v>4</v>
      </c>
      <c r="AS111" s="38" t="str">
        <f>IF(OR($C111="01-09",$C111="10-14",$D111="Female"),"",INDEX(VMMC!$AB:$AB,MATCH($E111,VMMC!$E:$E,0)))</f>
        <v/>
      </c>
      <c r="AT111" s="38" t="str">
        <f>IF(OR($C111="01-09",$C111="10-14"),"",INDEX(PrEP!$Q:$Q,MATCH($E111,PrEP!$E:$E,0)))</f>
        <v/>
      </c>
      <c r="AU111" s="38">
        <f t="shared" si="52"/>
        <v>349</v>
      </c>
      <c r="AV111" s="38">
        <f t="shared" si="53"/>
        <v>352</v>
      </c>
      <c r="AW111" s="33">
        <f t="shared" si="54"/>
        <v>8.5227272727272721E-3</v>
      </c>
      <c r="AX111" s="38"/>
      <c r="AY111" s="33" t="str">
        <f t="shared" si="58"/>
        <v/>
      </c>
      <c r="AZ111" s="218" t="str">
        <f t="shared" si="56"/>
        <v/>
      </c>
      <c r="BA111" s="33" t="str">
        <f t="shared" si="59"/>
        <v/>
      </c>
      <c r="BB111" s="218" t="str">
        <f t="shared" si="57"/>
        <v/>
      </c>
    </row>
    <row r="112" spans="1:54" x14ac:dyDescent="0.2">
      <c r="A112" t="str">
        <f>INDEX(Prioritization!$D:$D,MATCH($B112,Prioritization!$A:$A,0))</f>
        <v>INVALID</v>
      </c>
      <c r="B112" t="s">
        <v>308</v>
      </c>
      <c r="C112" t="s">
        <v>473</v>
      </c>
      <c r="D112" t="s">
        <v>48</v>
      </c>
      <c r="E112" t="str">
        <f t="shared" si="32"/>
        <v>Karonga District [cPtvxaZqXIH]|01-09|Male</v>
      </c>
      <c r="F112" s="33">
        <f>IF(LEFT($B112,4)="_Mil","",INDEX(Cascade!$AA:$AA,MATCH($E112,Cascade!$E:$E,0)))</f>
        <v>0.73843608199999999</v>
      </c>
      <c r="G112" s="38">
        <f>INDEX(Cascade!$BH:$BH,MATCH($E112,Cascade!$E:$E,0))</f>
        <v>3</v>
      </c>
      <c r="H112" s="38" t="str">
        <f>IF(OR($C112="01-09",$D112="Male"),"",INDEX(PMTCT!$AC:$AC,MATCH($E112,PMTCT!$E:$E,0)))</f>
        <v/>
      </c>
      <c r="I112" s="38" t="str">
        <f>IF(OR($C112="01-09",$D112="Male"),"",INDEX(PMTCT!$AS:$AS,MATCH($E112,PMTCT!$E:$E,0)))</f>
        <v/>
      </c>
      <c r="J112" s="38">
        <f>INDEX(TB!$P:$P,MATCH($E112,TB!$E:$E,0))</f>
        <v>0</v>
      </c>
      <c r="K112" s="38" t="str">
        <f>IF(OR($C112="01-09",$C112="10-14",$D112="Female"),"",INDEX(VMMC!$AA:$AA,MATCH($E112,VMMC!$E:$E,0)))</f>
        <v/>
      </c>
      <c r="L112" s="38">
        <f t="shared" si="33"/>
        <v>3</v>
      </c>
      <c r="M112" s="33" t="str">
        <f t="shared" si="34"/>
        <v/>
      </c>
      <c r="N112" s="33" t="str">
        <f t="shared" si="35"/>
        <v/>
      </c>
      <c r="O112" s="33">
        <f t="shared" si="36"/>
        <v>0</v>
      </c>
      <c r="P112" s="33" t="str">
        <f t="shared" si="37"/>
        <v/>
      </c>
      <c r="Q112" s="33">
        <v>0.5</v>
      </c>
      <c r="R112" s="33"/>
      <c r="S112" s="33"/>
      <c r="T112" s="33"/>
      <c r="U112" s="33">
        <f t="shared" si="61"/>
        <v>0.5</v>
      </c>
      <c r="V112" s="33">
        <f t="shared" si="38"/>
        <v>1</v>
      </c>
      <c r="W112" s="218">
        <f t="shared" si="39"/>
        <v>2</v>
      </c>
      <c r="X112" s="33">
        <v>5.0999999999999997E-2</v>
      </c>
      <c r="Y112" s="218">
        <f t="shared" si="39"/>
        <v>2</v>
      </c>
      <c r="Z112" s="218">
        <f t="shared" si="40"/>
        <v>37</v>
      </c>
      <c r="AA112" s="33">
        <v>0.12</v>
      </c>
      <c r="AB112" s="218" t="str">
        <f t="shared" si="41"/>
        <v/>
      </c>
      <c r="AC112" s="218" t="str">
        <f t="shared" si="42"/>
        <v/>
      </c>
      <c r="AD112" s="33">
        <v>0.02</v>
      </c>
      <c r="AE112" s="218" t="str">
        <f t="shared" si="43"/>
        <v/>
      </c>
      <c r="AF112" s="218" t="str">
        <f t="shared" si="44"/>
        <v/>
      </c>
      <c r="AG112" s="33">
        <v>0.02</v>
      </c>
      <c r="AH112" s="218" t="str">
        <f t="shared" si="45"/>
        <v/>
      </c>
      <c r="AI112" s="218" t="str">
        <f t="shared" si="46"/>
        <v/>
      </c>
      <c r="AJ112" s="33">
        <v>4.4999999999999997E-3</v>
      </c>
      <c r="AK112" s="218">
        <f t="shared" si="47"/>
        <v>2</v>
      </c>
      <c r="AL112" s="218">
        <f t="shared" si="48"/>
        <v>442</v>
      </c>
      <c r="AM112" s="38">
        <f t="shared" si="49"/>
        <v>3</v>
      </c>
      <c r="AN112" s="38">
        <f t="shared" si="50"/>
        <v>4</v>
      </c>
      <c r="AO112" s="38">
        <f t="shared" si="51"/>
        <v>1</v>
      </c>
      <c r="AP112" s="38" t="str">
        <f>IF(OR($C112="01-09",$D112="Male"),"",INDEX(PMTCT!$AD:$AD,MATCH($E112,PMTCT!$E:$E,0)))</f>
        <v/>
      </c>
      <c r="AQ112" s="38" t="str">
        <f>IF(OR($C112="01-09",$D112="Male"),"",INDEX(PMTCT!$AT:$AT,MATCH($E112,PMTCT!$E:$E,0)))</f>
        <v/>
      </c>
      <c r="AR112" s="38">
        <f>INDEX(TB!$Q:$Q,MATCH($E112,TB!$E:$E,0))</f>
        <v>4</v>
      </c>
      <c r="AS112" s="38" t="str">
        <f>IF(OR($C112="01-09",$C112="10-14",$D112="Female"),"",INDEX(VMMC!$AB:$AB,MATCH($E112,VMMC!$E:$E,0)))</f>
        <v/>
      </c>
      <c r="AT112" s="38" t="str">
        <f>IF(OR($C112="01-09",$C112="10-14"),"",INDEX(PrEP!$Q:$Q,MATCH($E112,PrEP!$E:$E,0)))</f>
        <v/>
      </c>
      <c r="AU112" s="38">
        <f t="shared" si="52"/>
        <v>482.99999999999994</v>
      </c>
      <c r="AV112" s="38">
        <f t="shared" si="53"/>
        <v>487</v>
      </c>
      <c r="AW112" s="33">
        <f t="shared" si="54"/>
        <v>8.2135523613963042E-3</v>
      </c>
      <c r="AX112" s="38"/>
      <c r="AY112" s="33" t="str">
        <f t="shared" si="58"/>
        <v/>
      </c>
      <c r="AZ112" s="218" t="str">
        <f t="shared" si="56"/>
        <v/>
      </c>
      <c r="BA112" s="33" t="str">
        <f t="shared" si="59"/>
        <v/>
      </c>
      <c r="BB112" s="218" t="str">
        <f t="shared" si="57"/>
        <v/>
      </c>
    </row>
    <row r="113" spans="1:54" x14ac:dyDescent="0.2">
      <c r="A113" t="str">
        <f>INDEX(Prioritization!$D:$D,MATCH($B113,Prioritization!$A:$A,0))</f>
        <v>INVALID</v>
      </c>
      <c r="B113" t="s">
        <v>308</v>
      </c>
      <c r="C113" t="s">
        <v>474</v>
      </c>
      <c r="D113" t="s">
        <v>30</v>
      </c>
      <c r="E113" t="str">
        <f t="shared" si="32"/>
        <v>Karonga District [cPtvxaZqXIH]|10-14|Female</v>
      </c>
      <c r="F113" s="33">
        <f>IF(LEFT($B113,4)="_Mil","",INDEX(Cascade!$AA:$AA,MATCH($E113,Cascade!$E:$E,0)))</f>
        <v>0.77229919300000016</v>
      </c>
      <c r="G113" s="38">
        <f>INDEX(Cascade!$BH:$BH,MATCH($E113,Cascade!$E:$E,0))</f>
        <v>21</v>
      </c>
      <c r="H113" s="38">
        <f>IF(OR($C113="01-09",$D113="Male"),"",INDEX(PMTCT!$AC:$AC,MATCH($E113,PMTCT!$E:$E,0)))</f>
        <v>0</v>
      </c>
      <c r="I113" s="38">
        <f>IF(OR($C113="01-09",$D113="Male"),"",INDEX(PMTCT!$AS:$AS,MATCH($E113,PMTCT!$E:$E,0)))</f>
        <v>0</v>
      </c>
      <c r="J113" s="38">
        <f>INDEX(TB!$P:$P,MATCH($E113,TB!$E:$E,0))</f>
        <v>0</v>
      </c>
      <c r="K113" s="38" t="str">
        <f>IF(OR($C113="01-09",$C113="10-14",$D113="Female"),"",INDEX(VMMC!$AA:$AA,MATCH($E113,VMMC!$E:$E,0)))</f>
        <v/>
      </c>
      <c r="L113" s="38">
        <f t="shared" si="33"/>
        <v>21</v>
      </c>
      <c r="M113" s="33">
        <f t="shared" si="34"/>
        <v>0</v>
      </c>
      <c r="N113" s="33">
        <f t="shared" si="35"/>
        <v>0</v>
      </c>
      <c r="O113" s="33">
        <f t="shared" si="36"/>
        <v>0</v>
      </c>
      <c r="P113" s="33" t="str">
        <f t="shared" si="37"/>
        <v/>
      </c>
      <c r="Q113" s="33">
        <v>0.476190476190476</v>
      </c>
      <c r="R113" s="33"/>
      <c r="S113" s="33"/>
      <c r="T113" s="33"/>
      <c r="U113" s="33">
        <f t="shared" si="61"/>
        <v>0.52380952380952395</v>
      </c>
      <c r="V113" s="33">
        <f t="shared" si="38"/>
        <v>1</v>
      </c>
      <c r="W113" s="218">
        <f t="shared" si="39"/>
        <v>10</v>
      </c>
      <c r="X113" s="33">
        <v>1.2E-2</v>
      </c>
      <c r="Y113" s="218">
        <f t="shared" si="39"/>
        <v>10</v>
      </c>
      <c r="Z113" s="218">
        <f t="shared" si="40"/>
        <v>823</v>
      </c>
      <c r="AA113" s="33">
        <v>0.12</v>
      </c>
      <c r="AB113" s="218" t="str">
        <f t="shared" si="41"/>
        <v/>
      </c>
      <c r="AC113" s="218" t="str">
        <f t="shared" si="42"/>
        <v/>
      </c>
      <c r="AD113" s="33">
        <v>0.02</v>
      </c>
      <c r="AE113" s="218" t="str">
        <f t="shared" si="43"/>
        <v/>
      </c>
      <c r="AF113" s="218" t="str">
        <f t="shared" si="44"/>
        <v/>
      </c>
      <c r="AG113" s="33">
        <v>0.02</v>
      </c>
      <c r="AH113" s="218" t="str">
        <f t="shared" si="45"/>
        <v/>
      </c>
      <c r="AI113" s="218" t="str">
        <f t="shared" si="46"/>
        <v/>
      </c>
      <c r="AJ113" s="33">
        <v>7.4999999999999997E-3</v>
      </c>
      <c r="AK113" s="218">
        <f t="shared" si="47"/>
        <v>11</v>
      </c>
      <c r="AL113" s="218">
        <f t="shared" si="48"/>
        <v>1456</v>
      </c>
      <c r="AM113" s="38">
        <f t="shared" si="49"/>
        <v>21</v>
      </c>
      <c r="AN113" s="38">
        <f t="shared" si="50"/>
        <v>21</v>
      </c>
      <c r="AO113" s="38">
        <f t="shared" si="51"/>
        <v>0</v>
      </c>
      <c r="AP113" s="38">
        <f>IF(OR($C113="01-09",$D113="Male"),"",INDEX(PMTCT!$AD:$AD,MATCH($E113,PMTCT!$E:$E,0)))</f>
        <v>41</v>
      </c>
      <c r="AQ113" s="38">
        <f>IF(OR($C113="01-09",$D113="Male"),"",INDEX(PMTCT!$AT:$AT,MATCH($E113,PMTCT!$E:$E,0)))</f>
        <v>41</v>
      </c>
      <c r="AR113" s="38">
        <f>INDEX(TB!$Q:$Q,MATCH($E113,TB!$E:$E,0))</f>
        <v>2</v>
      </c>
      <c r="AS113" s="38" t="str">
        <f>IF(OR($C113="01-09",$C113="10-14",$D113="Female"),"",INDEX(VMMC!$AB:$AB,MATCH($E113,VMMC!$E:$E,0)))</f>
        <v/>
      </c>
      <c r="AT113" s="38" t="str">
        <f>IF(OR($C113="01-09",$C113="10-14"),"",INDEX(PrEP!$Q:$Q,MATCH($E113,PrEP!$E:$E,0)))</f>
        <v/>
      </c>
      <c r="AU113" s="38">
        <f t="shared" si="52"/>
        <v>2363</v>
      </c>
      <c r="AV113" s="38">
        <f t="shared" si="53"/>
        <v>2384</v>
      </c>
      <c r="AW113" s="33">
        <f t="shared" si="54"/>
        <v>8.8087248322147645E-3</v>
      </c>
      <c r="AX113" s="38"/>
      <c r="AY113" s="33" t="str">
        <f t="shared" si="58"/>
        <v/>
      </c>
      <c r="AZ113" s="218" t="str">
        <f t="shared" si="56"/>
        <v/>
      </c>
      <c r="BA113" s="33" t="str">
        <f t="shared" si="59"/>
        <v/>
      </c>
      <c r="BB113" s="218" t="str">
        <f t="shared" si="57"/>
        <v/>
      </c>
    </row>
    <row r="114" spans="1:54" x14ac:dyDescent="0.2">
      <c r="A114" t="str">
        <f>INDEX(Prioritization!$D:$D,MATCH($B114,Prioritization!$A:$A,0))</f>
        <v>INVALID</v>
      </c>
      <c r="B114" t="s">
        <v>308</v>
      </c>
      <c r="C114" t="s">
        <v>474</v>
      </c>
      <c r="D114" t="s">
        <v>48</v>
      </c>
      <c r="E114" t="str">
        <f t="shared" si="32"/>
        <v>Karonga District [cPtvxaZqXIH]|10-14|Male</v>
      </c>
      <c r="F114" s="33">
        <f>IF(LEFT($B114,4)="_Mil","",INDEX(Cascade!$AA:$AA,MATCH($E114,Cascade!$E:$E,0)))</f>
        <v>0.771795283</v>
      </c>
      <c r="G114" s="38">
        <f>INDEX(Cascade!$BH:$BH,MATCH($E114,Cascade!$E:$E,0))</f>
        <v>3</v>
      </c>
      <c r="H114" s="38" t="str">
        <f>IF(OR($C114="01-09",$D114="Male"),"",INDEX(PMTCT!$AC:$AC,MATCH($E114,PMTCT!$E:$E,0)))</f>
        <v/>
      </c>
      <c r="I114" s="38" t="str">
        <f>IF(OR($C114="01-09",$D114="Male"),"",INDEX(PMTCT!$AS:$AS,MATCH($E114,PMTCT!$E:$E,0)))</f>
        <v/>
      </c>
      <c r="J114" s="38">
        <f>INDEX(TB!$P:$P,MATCH($E114,TB!$E:$E,0))</f>
        <v>0</v>
      </c>
      <c r="K114" s="38" t="str">
        <f>IF(OR($C114="01-09",$C114="10-14",$D114="Female"),"",INDEX(VMMC!$AA:$AA,MATCH($E114,VMMC!$E:$E,0)))</f>
        <v/>
      </c>
      <c r="L114" s="38">
        <f t="shared" si="33"/>
        <v>3</v>
      </c>
      <c r="M114" s="33" t="str">
        <f t="shared" si="34"/>
        <v/>
      </c>
      <c r="N114" s="33" t="str">
        <f t="shared" si="35"/>
        <v/>
      </c>
      <c r="O114" s="33">
        <f t="shared" si="36"/>
        <v>0</v>
      </c>
      <c r="P114" s="33" t="str">
        <f t="shared" si="37"/>
        <v/>
      </c>
      <c r="Q114" s="33">
        <v>0.59090909090909105</v>
      </c>
      <c r="R114" s="33"/>
      <c r="S114" s="33"/>
      <c r="T114" s="33"/>
      <c r="U114" s="33">
        <f t="shared" si="61"/>
        <v>0.40909090909090895</v>
      </c>
      <c r="V114" s="33">
        <f t="shared" si="38"/>
        <v>1</v>
      </c>
      <c r="W114" s="218">
        <f t="shared" si="39"/>
        <v>2</v>
      </c>
      <c r="X114" s="33">
        <v>0.03</v>
      </c>
      <c r="Y114" s="218">
        <f t="shared" si="39"/>
        <v>2</v>
      </c>
      <c r="Z114" s="218">
        <f t="shared" si="40"/>
        <v>65</v>
      </c>
      <c r="AA114" s="33">
        <v>0.12</v>
      </c>
      <c r="AB114" s="218" t="str">
        <f t="shared" si="41"/>
        <v/>
      </c>
      <c r="AC114" s="218" t="str">
        <f t="shared" si="42"/>
        <v/>
      </c>
      <c r="AD114" s="33">
        <v>0.02</v>
      </c>
      <c r="AE114" s="218" t="str">
        <f t="shared" si="43"/>
        <v/>
      </c>
      <c r="AF114" s="218" t="str">
        <f t="shared" si="44"/>
        <v/>
      </c>
      <c r="AG114" s="33">
        <v>0.02</v>
      </c>
      <c r="AH114" s="218" t="str">
        <f t="shared" si="45"/>
        <v/>
      </c>
      <c r="AI114" s="218" t="str">
        <f t="shared" si="46"/>
        <v/>
      </c>
      <c r="AJ114" s="33">
        <v>7.7999999999999996E-3</v>
      </c>
      <c r="AK114" s="218">
        <f t="shared" si="47"/>
        <v>1</v>
      </c>
      <c r="AL114" s="218">
        <f t="shared" si="48"/>
        <v>127</v>
      </c>
      <c r="AM114" s="38">
        <f t="shared" si="49"/>
        <v>3</v>
      </c>
      <c r="AN114" s="38">
        <f t="shared" si="50"/>
        <v>3</v>
      </c>
      <c r="AO114" s="38">
        <f t="shared" si="51"/>
        <v>0</v>
      </c>
      <c r="AP114" s="38" t="str">
        <f>IF(OR($C114="01-09",$D114="Male"),"",INDEX(PMTCT!$AD:$AD,MATCH($E114,PMTCT!$E:$E,0)))</f>
        <v/>
      </c>
      <c r="AQ114" s="38" t="str">
        <f>IF(OR($C114="01-09",$D114="Male"),"",INDEX(PMTCT!$AT:$AT,MATCH($E114,PMTCT!$E:$E,0)))</f>
        <v/>
      </c>
      <c r="AR114" s="38">
        <f>INDEX(TB!$Q:$Q,MATCH($E114,TB!$E:$E,0))</f>
        <v>2</v>
      </c>
      <c r="AS114" s="38" t="str">
        <f>IF(OR($C114="01-09",$C114="10-14",$D114="Female"),"",INDEX(VMMC!$AB:$AB,MATCH($E114,VMMC!$E:$E,0)))</f>
        <v/>
      </c>
      <c r="AT114" s="38" t="str">
        <f>IF(OR($C114="01-09",$C114="10-14"),"",INDEX(PrEP!$Q:$Q,MATCH($E114,PrEP!$E:$E,0)))</f>
        <v/>
      </c>
      <c r="AU114" s="38">
        <f t="shared" si="52"/>
        <v>194</v>
      </c>
      <c r="AV114" s="38">
        <f t="shared" si="53"/>
        <v>197.00000000000003</v>
      </c>
      <c r="AW114" s="33">
        <f t="shared" si="54"/>
        <v>1.5228426395939083E-2</v>
      </c>
      <c r="AX114" s="38"/>
      <c r="AY114" s="33" t="str">
        <f t="shared" si="58"/>
        <v/>
      </c>
      <c r="AZ114" s="218" t="str">
        <f t="shared" si="56"/>
        <v/>
      </c>
      <c r="BA114" s="33" t="str">
        <f t="shared" si="59"/>
        <v/>
      </c>
      <c r="BB114" s="218" t="str">
        <f t="shared" si="57"/>
        <v/>
      </c>
    </row>
    <row r="115" spans="1:54" x14ac:dyDescent="0.2">
      <c r="A115" t="str">
        <f>INDEX(Prioritization!$D:$D,MATCH($B115,Prioritization!$A:$A,0))</f>
        <v>INVALID</v>
      </c>
      <c r="B115" t="s">
        <v>308</v>
      </c>
      <c r="C115" t="s">
        <v>475</v>
      </c>
      <c r="D115" t="s">
        <v>30</v>
      </c>
      <c r="E115" t="str">
        <f t="shared" si="32"/>
        <v>Karonga District [cPtvxaZqXIH]|15-24|Female</v>
      </c>
      <c r="F115" s="33">
        <f>IF(LEFT($B115,4)="_Mil","",INDEX(Cascade!$AA:$AA,MATCH($E115,Cascade!$E:$E,0)))</f>
        <v>0.94173053100000004</v>
      </c>
      <c r="G115" s="38">
        <f>INDEX(Cascade!$BH:$BH,MATCH($E115,Cascade!$E:$E,0))</f>
        <v>139</v>
      </c>
      <c r="H115" s="38">
        <f>IF(OR($C115="01-09",$D115="Male"),"",INDEX(PMTCT!$AC:$AC,MATCH($E115,PMTCT!$E:$E,0)))</f>
        <v>62</v>
      </c>
      <c r="I115" s="38">
        <f>IF(OR($C115="01-09",$D115="Male"),"",INDEX(PMTCT!$AS:$AS,MATCH($E115,PMTCT!$E:$E,0)))</f>
        <v>25</v>
      </c>
      <c r="J115" s="38">
        <f>INDEX(TB!$P:$P,MATCH($E115,TB!$E:$E,0))</f>
        <v>1</v>
      </c>
      <c r="K115" s="38" t="str">
        <f>IF(OR($C115="01-09",$C115="10-14",$D115="Female"),"",INDEX(VMMC!$AA:$AA,MATCH($E115,VMMC!$E:$E,0)))</f>
        <v/>
      </c>
      <c r="L115" s="38">
        <f t="shared" si="33"/>
        <v>51</v>
      </c>
      <c r="M115" s="33">
        <f t="shared" si="34"/>
        <v>0.4460431654676259</v>
      </c>
      <c r="N115" s="33">
        <f t="shared" si="35"/>
        <v>0.17985611510791366</v>
      </c>
      <c r="O115" s="33">
        <f t="shared" si="36"/>
        <v>7.1942446043165471E-3</v>
      </c>
      <c r="P115" s="33" t="str">
        <f t="shared" si="37"/>
        <v/>
      </c>
      <c r="Q115" s="33">
        <v>0.15</v>
      </c>
      <c r="R115" s="33"/>
      <c r="S115" s="33"/>
      <c r="T115" s="33">
        <v>0.05</v>
      </c>
      <c r="U115" s="33">
        <f t="shared" si="61"/>
        <v>0.16690647482014387</v>
      </c>
      <c r="V115" s="33">
        <f t="shared" si="38"/>
        <v>1</v>
      </c>
      <c r="W115" s="218">
        <f t="shared" si="39"/>
        <v>21</v>
      </c>
      <c r="X115" s="33">
        <v>0.26400000000000001</v>
      </c>
      <c r="Y115" s="218">
        <f t="shared" si="39"/>
        <v>21</v>
      </c>
      <c r="Z115" s="218">
        <f t="shared" si="40"/>
        <v>59</v>
      </c>
      <c r="AA115" s="33">
        <v>0.12</v>
      </c>
      <c r="AB115" s="218" t="str">
        <f t="shared" si="41"/>
        <v/>
      </c>
      <c r="AC115" s="218" t="str">
        <f t="shared" si="42"/>
        <v/>
      </c>
      <c r="AD115" s="33">
        <v>0.02</v>
      </c>
      <c r="AE115" s="218" t="str">
        <f t="shared" si="43"/>
        <v/>
      </c>
      <c r="AF115" s="218" t="str">
        <f t="shared" si="44"/>
        <v/>
      </c>
      <c r="AG115" s="33">
        <v>0.02</v>
      </c>
      <c r="AH115" s="218">
        <f t="shared" si="45"/>
        <v>7</v>
      </c>
      <c r="AI115" s="218">
        <f t="shared" si="46"/>
        <v>343</v>
      </c>
      <c r="AJ115" s="33">
        <v>9.5999999999999992E-3</v>
      </c>
      <c r="AK115" s="218">
        <f t="shared" si="47"/>
        <v>23</v>
      </c>
      <c r="AL115" s="218">
        <f t="shared" si="48"/>
        <v>2373</v>
      </c>
      <c r="AM115" s="38">
        <f t="shared" si="49"/>
        <v>139</v>
      </c>
      <c r="AN115" s="38">
        <f t="shared" si="50"/>
        <v>139</v>
      </c>
      <c r="AO115" s="38">
        <f t="shared" si="51"/>
        <v>0</v>
      </c>
      <c r="AP115" s="38">
        <f>IF(OR($C115="01-09",$D115="Male"),"",INDEX(PMTCT!$AD:$AD,MATCH($E115,PMTCT!$E:$E,0)))</f>
        <v>6269</v>
      </c>
      <c r="AQ115" s="38">
        <f>IF(OR($C115="01-09",$D115="Male"),"",INDEX(PMTCT!$AT:$AT,MATCH($E115,PMTCT!$E:$E,0)))</f>
        <v>6244</v>
      </c>
      <c r="AR115" s="38">
        <f>INDEX(TB!$Q:$Q,MATCH($E115,TB!$E:$E,0))</f>
        <v>9</v>
      </c>
      <c r="AS115" s="38" t="str">
        <f>IF(OR($C115="01-09",$C115="10-14",$D115="Female"),"",INDEX(VMMC!$AB:$AB,MATCH($E115,VMMC!$E:$E,0)))</f>
        <v/>
      </c>
      <c r="AT115" s="38">
        <f>IF(OR($C115="01-09",$C115="10-14"),"",INDEX(PrEP!$Q:$Q,MATCH($E115,PrEP!$E:$E,0)))</f>
        <v>60</v>
      </c>
      <c r="AU115" s="38">
        <f t="shared" si="52"/>
        <v>15357</v>
      </c>
      <c r="AV115" s="38">
        <f t="shared" si="53"/>
        <v>15495.999999999998</v>
      </c>
      <c r="AW115" s="33">
        <f t="shared" si="54"/>
        <v>8.9700567888487369E-3</v>
      </c>
      <c r="AX115" s="38">
        <v>759</v>
      </c>
      <c r="AY115" s="33">
        <f t="shared" ref="AY115:AY120" si="63">IF(OR($C115="01-09",SUM($AX115)=0),"",68%)</f>
        <v>0.68</v>
      </c>
      <c r="AZ115" s="218">
        <f t="shared" si="56"/>
        <v>1275</v>
      </c>
      <c r="BA115" s="33">
        <v>0.75</v>
      </c>
      <c r="BB115" s="218">
        <f t="shared" si="57"/>
        <v>104</v>
      </c>
    </row>
    <row r="116" spans="1:54" x14ac:dyDescent="0.2">
      <c r="A116" t="str">
        <f>INDEX(Prioritization!$D:$D,MATCH($B116,Prioritization!$A:$A,0))</f>
        <v>INVALID</v>
      </c>
      <c r="B116" t="s">
        <v>308</v>
      </c>
      <c r="C116" t="s">
        <v>475</v>
      </c>
      <c r="D116" t="s">
        <v>48</v>
      </c>
      <c r="E116" t="str">
        <f t="shared" si="32"/>
        <v>Karonga District [cPtvxaZqXIH]|15-24|Male</v>
      </c>
      <c r="F116" s="33">
        <f>IF(LEFT($B116,4)="_Mil","",INDEX(Cascade!$AA:$AA,MATCH($E116,Cascade!$E:$E,0)))</f>
        <v>0.91544905799999998</v>
      </c>
      <c r="G116" s="38">
        <f>INDEX(Cascade!$BH:$BH,MATCH($E116,Cascade!$E:$E,0))</f>
        <v>18</v>
      </c>
      <c r="H116" s="38" t="str">
        <f>IF(OR($C116="01-09",$D116="Male"),"",INDEX(PMTCT!$AC:$AC,MATCH($E116,PMTCT!$E:$E,0)))</f>
        <v/>
      </c>
      <c r="I116" s="38" t="str">
        <f>IF(OR($C116="01-09",$D116="Male"),"",INDEX(PMTCT!$AS:$AS,MATCH($E116,PMTCT!$E:$E,0)))</f>
        <v/>
      </c>
      <c r="J116" s="38">
        <f>INDEX(TB!$P:$P,MATCH($E116,TB!$E:$E,0))</f>
        <v>1</v>
      </c>
      <c r="K116" s="38" t="str">
        <f>IF(OR($C116="01-09",$C116="10-14",$D116="Female"),"",INDEX(VMMC!$AA:$AA,MATCH($E116,VMMC!$E:$E,0)))</f>
        <v/>
      </c>
      <c r="L116" s="38">
        <f t="shared" si="33"/>
        <v>17</v>
      </c>
      <c r="M116" s="33" t="str">
        <f t="shared" si="34"/>
        <v/>
      </c>
      <c r="N116" s="33" t="str">
        <f t="shared" si="35"/>
        <v/>
      </c>
      <c r="O116" s="33">
        <f t="shared" si="36"/>
        <v>5.5555555555555552E-2</v>
      </c>
      <c r="P116" s="33">
        <f t="shared" si="37"/>
        <v>0</v>
      </c>
      <c r="Q116" s="33">
        <v>0.33333333333333298</v>
      </c>
      <c r="R116" s="33"/>
      <c r="S116" s="33"/>
      <c r="T116" s="33">
        <v>0.05</v>
      </c>
      <c r="U116" s="33">
        <f t="shared" si="61"/>
        <v>0.56111111111111156</v>
      </c>
      <c r="V116" s="33">
        <f t="shared" si="38"/>
        <v>1</v>
      </c>
      <c r="W116" s="218">
        <f t="shared" si="39"/>
        <v>6</v>
      </c>
      <c r="X116" s="33">
        <v>0.16300000000000001</v>
      </c>
      <c r="Y116" s="218">
        <f t="shared" si="39"/>
        <v>6</v>
      </c>
      <c r="Z116" s="218">
        <f t="shared" si="40"/>
        <v>31</v>
      </c>
      <c r="AA116" s="33">
        <v>0.12</v>
      </c>
      <c r="AB116" s="218" t="str">
        <f t="shared" si="41"/>
        <v/>
      </c>
      <c r="AC116" s="218" t="str">
        <f t="shared" si="42"/>
        <v/>
      </c>
      <c r="AD116" s="33">
        <v>0.02</v>
      </c>
      <c r="AE116" s="218" t="str">
        <f t="shared" si="43"/>
        <v/>
      </c>
      <c r="AF116" s="218" t="str">
        <f t="shared" si="44"/>
        <v/>
      </c>
      <c r="AG116" s="33">
        <v>0.02</v>
      </c>
      <c r="AH116" s="218">
        <f t="shared" si="45"/>
        <v>1</v>
      </c>
      <c r="AI116" s="218">
        <f t="shared" si="46"/>
        <v>49</v>
      </c>
      <c r="AJ116" s="33">
        <v>3.5000000000000001E-3</v>
      </c>
      <c r="AK116" s="218">
        <f t="shared" si="47"/>
        <v>10</v>
      </c>
      <c r="AL116" s="218">
        <f t="shared" si="48"/>
        <v>2847</v>
      </c>
      <c r="AM116" s="38">
        <f t="shared" si="49"/>
        <v>18</v>
      </c>
      <c r="AN116" s="38">
        <f t="shared" si="50"/>
        <v>18</v>
      </c>
      <c r="AO116" s="38">
        <f t="shared" si="51"/>
        <v>0</v>
      </c>
      <c r="AP116" s="38" t="str">
        <f>IF(OR($C116="01-09",$D116="Male"),"",INDEX(PMTCT!$AD:$AD,MATCH($E116,PMTCT!$E:$E,0)))</f>
        <v/>
      </c>
      <c r="AQ116" s="38" t="str">
        <f>IF(OR($C116="01-09",$D116="Male"),"",INDEX(PMTCT!$AT:$AT,MATCH($E116,PMTCT!$E:$E,0)))</f>
        <v/>
      </c>
      <c r="AR116" s="38">
        <f>INDEX(TB!$Q:$Q,MATCH($E116,TB!$E:$E,0))</f>
        <v>14</v>
      </c>
      <c r="AS116" s="38" t="str">
        <f>IF(OR($C116="01-09",$C116="10-14",$D116="Female"),"",INDEX(VMMC!$AB:$AB,MATCH($E116,VMMC!$E:$E,0)))</f>
        <v/>
      </c>
      <c r="AT116" s="38">
        <f>IF(OR($C116="01-09",$C116="10-14"),"",INDEX(PrEP!$Q:$Q,MATCH($E116,PrEP!$E:$E,0)))</f>
        <v>18</v>
      </c>
      <c r="AU116" s="38">
        <f t="shared" si="52"/>
        <v>2959</v>
      </c>
      <c r="AV116" s="38">
        <f t="shared" si="53"/>
        <v>2977</v>
      </c>
      <c r="AW116" s="33">
        <f t="shared" si="54"/>
        <v>6.0463553913335574E-3</v>
      </c>
      <c r="AX116" s="38">
        <v>77</v>
      </c>
      <c r="AY116" s="33">
        <f t="shared" si="63"/>
        <v>0.68</v>
      </c>
      <c r="AZ116" s="218">
        <f t="shared" si="56"/>
        <v>129</v>
      </c>
      <c r="BA116" s="33">
        <v>0.75</v>
      </c>
      <c r="BB116" s="218">
        <f t="shared" si="57"/>
        <v>14</v>
      </c>
    </row>
    <row r="117" spans="1:54" x14ac:dyDescent="0.2">
      <c r="A117" t="str">
        <f>INDEX(Prioritization!$D:$D,MATCH($B117,Prioritization!$A:$A,0))</f>
        <v>INVALID</v>
      </c>
      <c r="B117" t="s">
        <v>308</v>
      </c>
      <c r="C117" t="s">
        <v>476</v>
      </c>
      <c r="D117" t="s">
        <v>30</v>
      </c>
      <c r="E117" t="str">
        <f t="shared" si="32"/>
        <v>Karonga District [cPtvxaZqXIH]|25-34|Female</v>
      </c>
      <c r="F117" s="33">
        <f>IF(LEFT($B117,4)="_Mil","",INDEX(Cascade!$AA:$AA,MATCH($E117,Cascade!$E:$E,0)))</f>
        <v>0.96908219699999987</v>
      </c>
      <c r="G117" s="38">
        <f>INDEX(Cascade!$BH:$BH,MATCH($E117,Cascade!$E:$E,0))</f>
        <v>187</v>
      </c>
      <c r="H117" s="38">
        <f>IF(OR($C117="01-09",$D117="Male"),"",INDEX(PMTCT!$AC:$AC,MATCH($E117,PMTCT!$E:$E,0)))</f>
        <v>42</v>
      </c>
      <c r="I117" s="38" t="str">
        <f>IF(OR($C117="01-09",$D117="Male"),"",INDEX(PMTCT!$AS:$AS,MATCH($E117,PMTCT!$E:$E,0)))</f>
        <v>ENTER YIELD RATE</v>
      </c>
      <c r="J117" s="38">
        <f>INDEX(TB!$P:$P,MATCH($E117,TB!$E:$E,0))</f>
        <v>1</v>
      </c>
      <c r="K117" s="38" t="str">
        <f>IF(OR($C117="01-09",$C117="10-14",$D117="Female"),"",INDEX(VMMC!$AA:$AA,MATCH($E117,VMMC!$E:$E,0)))</f>
        <v/>
      </c>
      <c r="L117" s="38">
        <f t="shared" si="33"/>
        <v>144</v>
      </c>
      <c r="M117" s="33">
        <f t="shared" si="34"/>
        <v>0.22459893048128343</v>
      </c>
      <c r="N117" s="33">
        <f t="shared" si="35"/>
        <v>0</v>
      </c>
      <c r="O117" s="33">
        <f t="shared" si="36"/>
        <v>5.3475935828877002E-3</v>
      </c>
      <c r="P117" s="33" t="str">
        <f t="shared" si="37"/>
        <v/>
      </c>
      <c r="Q117" s="33">
        <v>0.23529411764705899</v>
      </c>
      <c r="R117" s="33"/>
      <c r="S117" s="33"/>
      <c r="T117" s="33">
        <v>0.05</v>
      </c>
      <c r="U117" s="33">
        <f t="shared" si="61"/>
        <v>0.48475935828876981</v>
      </c>
      <c r="V117" s="33">
        <f t="shared" si="38"/>
        <v>1</v>
      </c>
      <c r="W117" s="218">
        <f t="shared" si="39"/>
        <v>44</v>
      </c>
      <c r="X117" s="33">
        <v>0.27500000000000002</v>
      </c>
      <c r="Y117" s="218">
        <f t="shared" si="39"/>
        <v>44</v>
      </c>
      <c r="Z117" s="218">
        <f t="shared" si="40"/>
        <v>116</v>
      </c>
      <c r="AA117" s="33">
        <v>0.12</v>
      </c>
      <c r="AB117" s="218" t="str">
        <f t="shared" si="41"/>
        <v/>
      </c>
      <c r="AC117" s="218" t="str">
        <f t="shared" si="42"/>
        <v/>
      </c>
      <c r="AD117" s="33">
        <v>0.02</v>
      </c>
      <c r="AE117" s="218" t="str">
        <f t="shared" si="43"/>
        <v/>
      </c>
      <c r="AF117" s="218" t="str">
        <f t="shared" si="44"/>
        <v/>
      </c>
      <c r="AG117" s="33">
        <v>0.02</v>
      </c>
      <c r="AH117" s="218">
        <f t="shared" si="45"/>
        <v>9</v>
      </c>
      <c r="AI117" s="218">
        <f t="shared" si="46"/>
        <v>441</v>
      </c>
      <c r="AJ117" s="33">
        <v>1.9E-2</v>
      </c>
      <c r="AK117" s="218">
        <f t="shared" si="47"/>
        <v>91</v>
      </c>
      <c r="AL117" s="218">
        <f t="shared" si="48"/>
        <v>4698</v>
      </c>
      <c r="AM117" s="38">
        <f t="shared" si="49"/>
        <v>187</v>
      </c>
      <c r="AN117" s="38">
        <f t="shared" si="50"/>
        <v>187</v>
      </c>
      <c r="AO117" s="38">
        <f t="shared" si="51"/>
        <v>0</v>
      </c>
      <c r="AP117" s="38">
        <f>IF(OR($C117="01-09",$D117="Male"),"",INDEX(PMTCT!$AD:$AD,MATCH($E117,PMTCT!$E:$E,0)))</f>
        <v>3809</v>
      </c>
      <c r="AQ117" s="38">
        <f>IF(OR($C117="01-09",$D117="Male"),"",INDEX(PMTCT!$AT:$AT,MATCH($E117,PMTCT!$E:$E,0)))</f>
        <v>3809</v>
      </c>
      <c r="AR117" s="38">
        <f>INDEX(TB!$Q:$Q,MATCH($E117,TB!$E:$E,0))</f>
        <v>9</v>
      </c>
      <c r="AS117" s="38" t="str">
        <f>IF(OR($C117="01-09",$C117="10-14",$D117="Female"),"",INDEX(VMMC!$AB:$AB,MATCH($E117,VMMC!$E:$E,0)))</f>
        <v/>
      </c>
      <c r="AT117" s="38">
        <f>IF(OR($C117="01-09",$C117="10-14"),"",INDEX(PrEP!$Q:$Q,MATCH($E117,PrEP!$E:$E,0)))</f>
        <v>72</v>
      </c>
      <c r="AU117" s="38">
        <f t="shared" si="52"/>
        <v>12954</v>
      </c>
      <c r="AV117" s="38">
        <f t="shared" si="53"/>
        <v>13141</v>
      </c>
      <c r="AW117" s="33">
        <f t="shared" si="54"/>
        <v>1.4230271668822769E-2</v>
      </c>
      <c r="AX117" s="38">
        <v>509</v>
      </c>
      <c r="AY117" s="33">
        <f t="shared" si="63"/>
        <v>0.68</v>
      </c>
      <c r="AZ117" s="218">
        <f t="shared" si="56"/>
        <v>855</v>
      </c>
      <c r="BA117" s="33">
        <v>0.75</v>
      </c>
      <c r="BB117" s="218">
        <f t="shared" si="57"/>
        <v>140</v>
      </c>
    </row>
    <row r="118" spans="1:54" x14ac:dyDescent="0.2">
      <c r="A118" t="str">
        <f>INDEX(Prioritization!$D:$D,MATCH($B118,Prioritization!$A:$A,0))</f>
        <v>INVALID</v>
      </c>
      <c r="B118" t="s">
        <v>308</v>
      </c>
      <c r="C118" t="s">
        <v>476</v>
      </c>
      <c r="D118" t="s">
        <v>48</v>
      </c>
      <c r="E118" t="str">
        <f t="shared" si="32"/>
        <v>Karonga District [cPtvxaZqXIH]|25-34|Male</v>
      </c>
      <c r="F118" s="33">
        <f>IF(LEFT($B118,4)="_Mil","",INDEX(Cascade!$AA:$AA,MATCH($E118,Cascade!$E:$E,0)))</f>
        <v>0.890155629</v>
      </c>
      <c r="G118" s="38">
        <f>INDEX(Cascade!$BH:$BH,MATCH($E118,Cascade!$E:$E,0))</f>
        <v>20</v>
      </c>
      <c r="H118" s="38" t="str">
        <f>IF(OR($C118="01-09",$D118="Male"),"",INDEX(PMTCT!$AC:$AC,MATCH($E118,PMTCT!$E:$E,0)))</f>
        <v/>
      </c>
      <c r="I118" s="38" t="str">
        <f>IF(OR($C118="01-09",$D118="Male"),"",INDEX(PMTCT!$AS:$AS,MATCH($E118,PMTCT!$E:$E,0)))</f>
        <v/>
      </c>
      <c r="J118" s="38">
        <f>INDEX(TB!$P:$P,MATCH($E118,TB!$E:$E,0))</f>
        <v>1</v>
      </c>
      <c r="K118" s="38" t="str">
        <f>IF(OR($C118="01-09",$C118="10-14",$D118="Female"),"",INDEX(VMMC!$AA:$AA,MATCH($E118,VMMC!$E:$E,0)))</f>
        <v/>
      </c>
      <c r="L118" s="38">
        <f t="shared" si="33"/>
        <v>19</v>
      </c>
      <c r="M118" s="33" t="str">
        <f t="shared" si="34"/>
        <v/>
      </c>
      <c r="N118" s="33" t="str">
        <f t="shared" si="35"/>
        <v/>
      </c>
      <c r="O118" s="33">
        <f t="shared" si="36"/>
        <v>0.05</v>
      </c>
      <c r="P118" s="33">
        <f t="shared" si="37"/>
        <v>0</v>
      </c>
      <c r="Q118" s="33">
        <v>0.4</v>
      </c>
      <c r="R118" s="33"/>
      <c r="S118" s="33"/>
      <c r="T118" s="33">
        <v>0.05</v>
      </c>
      <c r="U118" s="33">
        <f t="shared" si="61"/>
        <v>0.5</v>
      </c>
      <c r="V118" s="33">
        <f t="shared" si="38"/>
        <v>1</v>
      </c>
      <c r="W118" s="218">
        <f t="shared" si="39"/>
        <v>8</v>
      </c>
      <c r="X118" s="33">
        <v>0.27400000000000002</v>
      </c>
      <c r="Y118" s="218">
        <f t="shared" si="39"/>
        <v>8</v>
      </c>
      <c r="Z118" s="218">
        <f t="shared" si="40"/>
        <v>21</v>
      </c>
      <c r="AA118" s="33">
        <v>0.12</v>
      </c>
      <c r="AB118" s="218" t="str">
        <f t="shared" si="41"/>
        <v/>
      </c>
      <c r="AC118" s="218" t="str">
        <f t="shared" si="42"/>
        <v/>
      </c>
      <c r="AD118" s="33">
        <v>0.02</v>
      </c>
      <c r="AE118" s="218" t="str">
        <f t="shared" si="43"/>
        <v/>
      </c>
      <c r="AF118" s="218" t="str">
        <f t="shared" si="44"/>
        <v/>
      </c>
      <c r="AG118" s="33">
        <v>0.02</v>
      </c>
      <c r="AH118" s="218">
        <f t="shared" si="45"/>
        <v>1</v>
      </c>
      <c r="AI118" s="218">
        <f t="shared" si="46"/>
        <v>49</v>
      </c>
      <c r="AJ118" s="33">
        <v>1.7999999999999999E-2</v>
      </c>
      <c r="AK118" s="218">
        <f t="shared" si="47"/>
        <v>10</v>
      </c>
      <c r="AL118" s="218">
        <f t="shared" si="48"/>
        <v>546</v>
      </c>
      <c r="AM118" s="38">
        <f t="shared" si="49"/>
        <v>20</v>
      </c>
      <c r="AN118" s="38">
        <f t="shared" si="50"/>
        <v>20</v>
      </c>
      <c r="AO118" s="38">
        <f t="shared" si="51"/>
        <v>0</v>
      </c>
      <c r="AP118" s="38" t="str">
        <f>IF(OR($C118="01-09",$D118="Male"),"",INDEX(PMTCT!$AD:$AD,MATCH($E118,PMTCT!$E:$E,0)))</f>
        <v/>
      </c>
      <c r="AQ118" s="38" t="str">
        <f>IF(OR($C118="01-09",$D118="Male"),"",INDEX(PMTCT!$AT:$AT,MATCH($E118,PMTCT!$E:$E,0)))</f>
        <v/>
      </c>
      <c r="AR118" s="38">
        <f>INDEX(TB!$Q:$Q,MATCH($E118,TB!$E:$E,0))</f>
        <v>14</v>
      </c>
      <c r="AS118" s="38" t="str">
        <f>IF(OR($C118="01-09",$C118="10-14",$D118="Female"),"",INDEX(VMMC!$AB:$AB,MATCH($E118,VMMC!$E:$E,0)))</f>
        <v/>
      </c>
      <c r="AT118" s="38">
        <f>IF(OR($C118="01-09",$C118="10-14"),"",INDEX(PrEP!$Q:$Q,MATCH($E118,PrEP!$E:$E,0)))</f>
        <v>42</v>
      </c>
      <c r="AU118" s="38">
        <f t="shared" si="52"/>
        <v>672</v>
      </c>
      <c r="AV118" s="38">
        <f t="shared" si="53"/>
        <v>692</v>
      </c>
      <c r="AW118" s="33">
        <f t="shared" si="54"/>
        <v>2.8901734104046242E-2</v>
      </c>
      <c r="AX118" s="38">
        <v>82</v>
      </c>
      <c r="AY118" s="33">
        <f t="shared" si="63"/>
        <v>0.68</v>
      </c>
      <c r="AZ118" s="218">
        <f t="shared" si="56"/>
        <v>138</v>
      </c>
      <c r="BA118" s="33">
        <v>0.75</v>
      </c>
      <c r="BB118" s="218">
        <f t="shared" si="57"/>
        <v>15</v>
      </c>
    </row>
    <row r="119" spans="1:54" x14ac:dyDescent="0.2">
      <c r="A119" t="str">
        <f>INDEX(Prioritization!$D:$D,MATCH($B119,Prioritization!$A:$A,0))</f>
        <v>INVALID</v>
      </c>
      <c r="B119" t="s">
        <v>308</v>
      </c>
      <c r="C119" t="s">
        <v>477</v>
      </c>
      <c r="D119" t="s">
        <v>30</v>
      </c>
      <c r="E119" t="str">
        <f t="shared" si="32"/>
        <v>Karonga District [cPtvxaZqXIH]|35-49|Female</v>
      </c>
      <c r="F119" s="33">
        <f>IF(LEFT($B119,4)="_Mil","",INDEX(Cascade!$AA:$AA,MATCH($E119,Cascade!$E:$E,0)))</f>
        <v>0.98464116300000004</v>
      </c>
      <c r="G119" s="38">
        <f>INDEX(Cascade!$BH:$BH,MATCH($E119,Cascade!$E:$E,0))</f>
        <v>136</v>
      </c>
      <c r="H119" s="38">
        <f>IF(OR($C119="01-09",$D119="Male"),"",INDEX(PMTCT!$AC:$AC,MATCH($E119,PMTCT!$E:$E,0)))</f>
        <v>10</v>
      </c>
      <c r="I119" s="38" t="str">
        <f>IF(OR($C119="01-09",$D119="Male"),"",INDEX(PMTCT!$AS:$AS,MATCH($E119,PMTCT!$E:$E,0)))</f>
        <v>ENTER YIELD RATE</v>
      </c>
      <c r="J119" s="38">
        <f>INDEX(TB!$P:$P,MATCH($E119,TB!$E:$E,0))</f>
        <v>1</v>
      </c>
      <c r="K119" s="38" t="str">
        <f>IF(OR($C119="01-09",$C119="10-14",$D119="Female"),"",INDEX(VMMC!$AA:$AA,MATCH($E119,VMMC!$E:$E,0)))</f>
        <v/>
      </c>
      <c r="L119" s="38">
        <f t="shared" si="33"/>
        <v>125</v>
      </c>
      <c r="M119" s="33">
        <f t="shared" si="34"/>
        <v>7.3529411764705885E-2</v>
      </c>
      <c r="N119" s="33">
        <f t="shared" si="35"/>
        <v>0</v>
      </c>
      <c r="O119" s="33">
        <f t="shared" si="36"/>
        <v>7.3529411764705881E-3</v>
      </c>
      <c r="P119" s="33" t="str">
        <f t="shared" si="37"/>
        <v/>
      </c>
      <c r="Q119" s="33">
        <v>0.266666666666667</v>
      </c>
      <c r="R119" s="33"/>
      <c r="S119" s="33"/>
      <c r="T119" s="33">
        <v>0.05</v>
      </c>
      <c r="U119" s="33">
        <f t="shared" si="61"/>
        <v>0.6024509803921565</v>
      </c>
      <c r="V119" s="33">
        <f t="shared" si="38"/>
        <v>1</v>
      </c>
      <c r="W119" s="218">
        <f t="shared" si="39"/>
        <v>36</v>
      </c>
      <c r="X119" s="33">
        <v>0.23300000000000001</v>
      </c>
      <c r="Y119" s="218">
        <f t="shared" si="39"/>
        <v>36</v>
      </c>
      <c r="Z119" s="218">
        <f t="shared" si="40"/>
        <v>119</v>
      </c>
      <c r="AA119" s="33">
        <v>0.12</v>
      </c>
      <c r="AB119" s="218" t="str">
        <f t="shared" si="41"/>
        <v/>
      </c>
      <c r="AC119" s="218" t="str">
        <f t="shared" si="42"/>
        <v/>
      </c>
      <c r="AD119" s="33">
        <v>0.02</v>
      </c>
      <c r="AE119" s="218" t="str">
        <f t="shared" si="43"/>
        <v/>
      </c>
      <c r="AF119" s="218" t="str">
        <f t="shared" si="44"/>
        <v/>
      </c>
      <c r="AG119" s="33">
        <v>0.02</v>
      </c>
      <c r="AH119" s="218">
        <f t="shared" si="45"/>
        <v>7</v>
      </c>
      <c r="AI119" s="218">
        <f t="shared" si="46"/>
        <v>343</v>
      </c>
      <c r="AJ119" s="33">
        <v>3.1E-2</v>
      </c>
      <c r="AK119" s="218">
        <f t="shared" si="47"/>
        <v>82</v>
      </c>
      <c r="AL119" s="218">
        <f t="shared" si="48"/>
        <v>2563</v>
      </c>
      <c r="AM119" s="38">
        <f t="shared" si="49"/>
        <v>136</v>
      </c>
      <c r="AN119" s="38">
        <f t="shared" si="50"/>
        <v>136</v>
      </c>
      <c r="AO119" s="38">
        <f t="shared" si="51"/>
        <v>0</v>
      </c>
      <c r="AP119" s="38">
        <f>IF(OR($C119="01-09",$D119="Male"),"",INDEX(PMTCT!$AD:$AD,MATCH($E119,PMTCT!$E:$E,0)))</f>
        <v>892</v>
      </c>
      <c r="AQ119" s="38">
        <f>IF(OR($C119="01-09",$D119="Male"),"",INDEX(PMTCT!$AT:$AT,MATCH($E119,PMTCT!$E:$E,0)))</f>
        <v>892</v>
      </c>
      <c r="AR119" s="38">
        <f>INDEX(TB!$Q:$Q,MATCH($E119,TB!$E:$E,0))</f>
        <v>15</v>
      </c>
      <c r="AS119" s="38" t="str">
        <f>IF(OR($C119="01-09",$C119="10-14",$D119="Female"),"",INDEX(VMMC!$AB:$AB,MATCH($E119,VMMC!$E:$E,0)))</f>
        <v/>
      </c>
      <c r="AT119" s="38">
        <f>IF(OR($C119="01-09",$C119="10-14"),"",INDEX(PrEP!$Q:$Q,MATCH($E119,PrEP!$E:$E,0)))</f>
        <v>102</v>
      </c>
      <c r="AU119" s="38">
        <f t="shared" si="52"/>
        <v>4926</v>
      </c>
      <c r="AV119" s="38">
        <f t="shared" si="53"/>
        <v>5062</v>
      </c>
      <c r="AW119" s="33">
        <f t="shared" si="54"/>
        <v>2.6866851047016988E-2</v>
      </c>
      <c r="AX119" s="38">
        <v>46</v>
      </c>
      <c r="AY119" s="33">
        <f t="shared" si="63"/>
        <v>0.68</v>
      </c>
      <c r="AZ119" s="218">
        <f t="shared" si="56"/>
        <v>77</v>
      </c>
      <c r="BA119" s="33">
        <v>0.75</v>
      </c>
      <c r="BB119" s="218">
        <f t="shared" si="57"/>
        <v>102</v>
      </c>
    </row>
    <row r="120" spans="1:54" x14ac:dyDescent="0.2">
      <c r="A120" t="str">
        <f>INDEX(Prioritization!$D:$D,MATCH($B120,Prioritization!$A:$A,0))</f>
        <v>INVALID</v>
      </c>
      <c r="B120" t="s">
        <v>308</v>
      </c>
      <c r="C120" t="s">
        <v>477</v>
      </c>
      <c r="D120" t="s">
        <v>48</v>
      </c>
      <c r="E120" t="str">
        <f t="shared" si="32"/>
        <v>Karonga District [cPtvxaZqXIH]|35-49|Male</v>
      </c>
      <c r="F120" s="33">
        <f>IF(LEFT($B120,4)="_Mil","",INDEX(Cascade!$AA:$AA,MATCH($E120,Cascade!$E:$E,0)))</f>
        <v>0.93335633299999998</v>
      </c>
      <c r="G120" s="38">
        <f>INDEX(Cascade!$BH:$BH,MATCH($E120,Cascade!$E:$E,0))</f>
        <v>48</v>
      </c>
      <c r="H120" s="38" t="str">
        <f>IF(OR($C120="01-09",$D120="Male"),"",INDEX(PMTCT!$AC:$AC,MATCH($E120,PMTCT!$E:$E,0)))</f>
        <v/>
      </c>
      <c r="I120" s="38" t="str">
        <f>IF(OR($C120="01-09",$D120="Male"),"",INDEX(PMTCT!$AS:$AS,MATCH($E120,PMTCT!$E:$E,0)))</f>
        <v/>
      </c>
      <c r="J120" s="38">
        <f>INDEX(TB!$P:$P,MATCH($E120,TB!$E:$E,0))</f>
        <v>1</v>
      </c>
      <c r="K120" s="38" t="str">
        <f>IF(OR($C120="01-09",$C120="10-14",$D120="Female"),"",INDEX(VMMC!$AA:$AA,MATCH($E120,VMMC!$E:$E,0)))</f>
        <v/>
      </c>
      <c r="L120" s="38">
        <f t="shared" si="33"/>
        <v>47</v>
      </c>
      <c r="M120" s="33" t="str">
        <f t="shared" si="34"/>
        <v/>
      </c>
      <c r="N120" s="33" t="str">
        <f t="shared" si="35"/>
        <v/>
      </c>
      <c r="O120" s="33">
        <f t="shared" si="36"/>
        <v>2.0833333333333332E-2</v>
      </c>
      <c r="P120" s="33">
        <f t="shared" si="37"/>
        <v>0</v>
      </c>
      <c r="Q120" s="33">
        <v>0.4</v>
      </c>
      <c r="R120" s="33"/>
      <c r="S120" s="33"/>
      <c r="T120" s="33">
        <v>0.05</v>
      </c>
      <c r="U120" s="33">
        <f t="shared" si="61"/>
        <v>0.52916666666666667</v>
      </c>
      <c r="V120" s="33">
        <f t="shared" si="38"/>
        <v>1</v>
      </c>
      <c r="W120" s="218">
        <f t="shared" si="39"/>
        <v>19</v>
      </c>
      <c r="X120" s="33">
        <v>0.26</v>
      </c>
      <c r="Y120" s="218">
        <f t="shared" si="39"/>
        <v>19</v>
      </c>
      <c r="Z120" s="218">
        <f t="shared" si="40"/>
        <v>54</v>
      </c>
      <c r="AA120" s="33">
        <v>0.12</v>
      </c>
      <c r="AB120" s="218" t="str">
        <f t="shared" si="41"/>
        <v/>
      </c>
      <c r="AC120" s="218" t="str">
        <f t="shared" si="42"/>
        <v/>
      </c>
      <c r="AD120" s="33">
        <v>0.02</v>
      </c>
      <c r="AE120" s="218" t="str">
        <f t="shared" si="43"/>
        <v/>
      </c>
      <c r="AF120" s="218" t="str">
        <f t="shared" si="44"/>
        <v/>
      </c>
      <c r="AG120" s="33">
        <v>0.02</v>
      </c>
      <c r="AH120" s="218">
        <f t="shared" si="45"/>
        <v>2</v>
      </c>
      <c r="AI120" s="218">
        <f t="shared" si="46"/>
        <v>98</v>
      </c>
      <c r="AJ120" s="33">
        <v>0.05</v>
      </c>
      <c r="AK120" s="218">
        <f t="shared" si="47"/>
        <v>25</v>
      </c>
      <c r="AL120" s="218">
        <f t="shared" si="48"/>
        <v>475</v>
      </c>
      <c r="AM120" s="38">
        <f t="shared" si="49"/>
        <v>48</v>
      </c>
      <c r="AN120" s="38">
        <f t="shared" si="50"/>
        <v>47</v>
      </c>
      <c r="AO120" s="38">
        <f t="shared" si="51"/>
        <v>-1</v>
      </c>
      <c r="AP120" s="38" t="str">
        <f>IF(OR($C120="01-09",$D120="Male"),"",INDEX(PMTCT!$AD:$AD,MATCH($E120,PMTCT!$E:$E,0)))</f>
        <v/>
      </c>
      <c r="AQ120" s="38" t="str">
        <f>IF(OR($C120="01-09",$D120="Male"),"",INDEX(PMTCT!$AT:$AT,MATCH($E120,PMTCT!$E:$E,0)))</f>
        <v/>
      </c>
      <c r="AR120" s="38">
        <f>INDEX(TB!$Q:$Q,MATCH($E120,TB!$E:$E,0))</f>
        <v>22</v>
      </c>
      <c r="AS120" s="38" t="str">
        <f>IF(OR($C120="01-09",$C120="10-14",$D120="Female"),"",INDEX(VMMC!$AB:$AB,MATCH($E120,VMMC!$E:$E,0)))</f>
        <v/>
      </c>
      <c r="AT120" s="38">
        <f>IF(OR($C120="01-09",$C120="10-14"),"",INDEX(PrEP!$Q:$Q,MATCH($E120,PrEP!$E:$E,0)))</f>
        <v>60</v>
      </c>
      <c r="AU120" s="38">
        <f t="shared" si="52"/>
        <v>709</v>
      </c>
      <c r="AV120" s="38">
        <f t="shared" si="53"/>
        <v>756</v>
      </c>
      <c r="AW120" s="33">
        <f t="shared" si="54"/>
        <v>6.2169312169312166E-2</v>
      </c>
      <c r="AX120" s="38">
        <v>59</v>
      </c>
      <c r="AY120" s="33">
        <f t="shared" si="63"/>
        <v>0.68</v>
      </c>
      <c r="AZ120" s="218">
        <f t="shared" si="56"/>
        <v>99</v>
      </c>
      <c r="BA120" s="33">
        <v>0.75</v>
      </c>
      <c r="BB120" s="218">
        <f t="shared" si="57"/>
        <v>35</v>
      </c>
    </row>
    <row r="121" spans="1:54" x14ac:dyDescent="0.2">
      <c r="A121" t="str">
        <f>INDEX(Prioritization!$D:$D,MATCH($B121,Prioritization!$A:$A,0))</f>
        <v>INVALID</v>
      </c>
      <c r="B121" t="s">
        <v>308</v>
      </c>
      <c r="C121" t="s">
        <v>478</v>
      </c>
      <c r="D121" t="s">
        <v>30</v>
      </c>
      <c r="E121" t="str">
        <f t="shared" si="32"/>
        <v>Karonga District [cPtvxaZqXIH]|50+|Female</v>
      </c>
      <c r="F121" s="33">
        <f>IF(LEFT($B121,4)="_Mil","",INDEX(Cascade!$AA:$AA,MATCH($E121,Cascade!$E:$E,0)))</f>
        <v>0.98948808600000004</v>
      </c>
      <c r="G121" s="38">
        <f>INDEX(Cascade!$BH:$BH,MATCH($E121,Cascade!$E:$E,0))</f>
        <v>99</v>
      </c>
      <c r="H121" s="38">
        <f>IF(OR($C121="01-09",$D121="Male"),"",INDEX(PMTCT!$AC:$AC,MATCH($E121,PMTCT!$E:$E,0)))</f>
        <v>0</v>
      </c>
      <c r="I121" s="38" t="str">
        <f>IF(OR($C121="01-09",$D121="Male"),"",INDEX(PMTCT!$AS:$AS,MATCH($E121,PMTCT!$E:$E,0)))</f>
        <v>ENTER YIELD RATE</v>
      </c>
      <c r="J121" s="38">
        <f>INDEX(TB!$P:$P,MATCH($E121,TB!$E:$E,0))</f>
        <v>0</v>
      </c>
      <c r="K121" s="38" t="str">
        <f>IF(OR($C121="01-09",$C121="10-14",$D121="Female"),"",INDEX(VMMC!$AA:$AA,MATCH($E121,VMMC!$E:$E,0)))</f>
        <v/>
      </c>
      <c r="L121" s="38">
        <f t="shared" si="33"/>
        <v>99</v>
      </c>
      <c r="M121" s="33">
        <f t="shared" si="34"/>
        <v>0</v>
      </c>
      <c r="N121" s="33">
        <f t="shared" si="35"/>
        <v>0</v>
      </c>
      <c r="O121" s="33">
        <f t="shared" si="36"/>
        <v>0</v>
      </c>
      <c r="P121" s="33" t="str">
        <f t="shared" si="37"/>
        <v/>
      </c>
      <c r="Q121" s="33">
        <v>0.15</v>
      </c>
      <c r="R121" s="33"/>
      <c r="S121" s="33"/>
      <c r="T121" s="33">
        <v>0.05</v>
      </c>
      <c r="U121" s="33">
        <f t="shared" si="61"/>
        <v>0.8</v>
      </c>
      <c r="V121" s="33">
        <f t="shared" si="38"/>
        <v>1</v>
      </c>
      <c r="W121" s="218">
        <f t="shared" si="39"/>
        <v>15</v>
      </c>
      <c r="X121" s="33">
        <v>0.23100000000000001</v>
      </c>
      <c r="Y121" s="218">
        <f t="shared" si="39"/>
        <v>15</v>
      </c>
      <c r="Z121" s="218">
        <f t="shared" si="40"/>
        <v>50</v>
      </c>
      <c r="AA121" s="33">
        <v>0.12</v>
      </c>
      <c r="AB121" s="218" t="str">
        <f t="shared" si="41"/>
        <v/>
      </c>
      <c r="AC121" s="218" t="str">
        <f t="shared" si="42"/>
        <v/>
      </c>
      <c r="AD121" s="33">
        <v>0.02</v>
      </c>
      <c r="AE121" s="218" t="str">
        <f t="shared" si="43"/>
        <v/>
      </c>
      <c r="AF121" s="218" t="str">
        <f t="shared" si="44"/>
        <v/>
      </c>
      <c r="AG121" s="33">
        <v>0.02</v>
      </c>
      <c r="AH121" s="218">
        <f t="shared" si="45"/>
        <v>5</v>
      </c>
      <c r="AI121" s="218">
        <f t="shared" si="46"/>
        <v>245</v>
      </c>
      <c r="AJ121" s="33">
        <v>0.03</v>
      </c>
      <c r="AK121" s="218">
        <f t="shared" si="47"/>
        <v>79</v>
      </c>
      <c r="AL121" s="218">
        <f t="shared" si="48"/>
        <v>2554</v>
      </c>
      <c r="AM121" s="38">
        <f t="shared" si="49"/>
        <v>99</v>
      </c>
      <c r="AN121" s="38">
        <f t="shared" si="50"/>
        <v>98.999999999999986</v>
      </c>
      <c r="AO121" s="38">
        <f t="shared" si="51"/>
        <v>-1.4210854715202004E-14</v>
      </c>
      <c r="AP121" s="38">
        <f>IF(OR($C121="01-09",$D121="Male"),"",INDEX(PMTCT!$AD:$AD,MATCH($E121,PMTCT!$E:$E,0)))</f>
        <v>5</v>
      </c>
      <c r="AQ121" s="38">
        <f>IF(OR($C121="01-09",$D121="Male"),"",INDEX(PMTCT!$AT:$AT,MATCH($E121,PMTCT!$E:$E,0)))</f>
        <v>5</v>
      </c>
      <c r="AR121" s="38">
        <f>INDEX(TB!$Q:$Q,MATCH($E121,TB!$E:$E,0))</f>
        <v>6</v>
      </c>
      <c r="AS121" s="38" t="str">
        <f>IF(OR($C121="01-09",$C121="10-14",$D121="Female"),"",INDEX(VMMC!$AB:$AB,MATCH($E121,VMMC!$E:$E,0)))</f>
        <v/>
      </c>
      <c r="AT121" s="38">
        <f>IF(OR($C121="01-09",$C121="10-14"),"",INDEX(PrEP!$Q:$Q,MATCH($E121,PrEP!$E:$E,0)))</f>
        <v>12</v>
      </c>
      <c r="AU121" s="38">
        <f t="shared" si="52"/>
        <v>2877</v>
      </c>
      <c r="AV121" s="38">
        <f t="shared" si="53"/>
        <v>2975.9999999999995</v>
      </c>
      <c r="AW121" s="33">
        <f t="shared" si="54"/>
        <v>3.3266129032258063E-2</v>
      </c>
      <c r="AX121" s="38">
        <v>38</v>
      </c>
      <c r="AY121" s="33">
        <f t="shared" si="58"/>
        <v>0</v>
      </c>
      <c r="AZ121" s="218">
        <f t="shared" si="56"/>
        <v>38</v>
      </c>
      <c r="BA121" s="33">
        <v>0.75</v>
      </c>
      <c r="BB121" s="218">
        <f t="shared" si="57"/>
        <v>74</v>
      </c>
    </row>
    <row r="122" spans="1:54" x14ac:dyDescent="0.2">
      <c r="A122" t="str">
        <f>INDEX(Prioritization!$D:$D,MATCH($B122,Prioritization!$A:$A,0))</f>
        <v>INVALID</v>
      </c>
      <c r="B122" t="s">
        <v>308</v>
      </c>
      <c r="C122" t="s">
        <v>478</v>
      </c>
      <c r="D122" t="s">
        <v>48</v>
      </c>
      <c r="E122" t="str">
        <f t="shared" si="32"/>
        <v>Karonga District [cPtvxaZqXIH]|50+|Male</v>
      </c>
      <c r="F122" s="33">
        <f>IF(LEFT($B122,4)="_Mil","",INDEX(Cascade!$AA:$AA,MATCH($E122,Cascade!$E:$E,0)))</f>
        <v>0.95438316400000001</v>
      </c>
      <c r="G122" s="38">
        <f>INDEX(Cascade!$BH:$BH,MATCH($E122,Cascade!$E:$E,0))</f>
        <v>74</v>
      </c>
      <c r="H122" s="38" t="str">
        <f>IF(OR($C122="01-09",$D122="Male"),"",INDEX(PMTCT!$AC:$AC,MATCH($E122,PMTCT!$E:$E,0)))</f>
        <v/>
      </c>
      <c r="I122" s="38" t="str">
        <f>IF(OR($C122="01-09",$D122="Male"),"",INDEX(PMTCT!$AS:$AS,MATCH($E122,PMTCT!$E:$E,0)))</f>
        <v/>
      </c>
      <c r="J122" s="38">
        <f>INDEX(TB!$P:$P,MATCH($E122,TB!$E:$E,0))</f>
        <v>0</v>
      </c>
      <c r="K122" s="38" t="str">
        <f>IF(OR($C122="01-09",$C122="10-14",$D122="Female"),"",INDEX(VMMC!$AA:$AA,MATCH($E122,VMMC!$E:$E,0)))</f>
        <v/>
      </c>
      <c r="L122" s="38">
        <f t="shared" si="33"/>
        <v>74</v>
      </c>
      <c r="M122" s="33" t="str">
        <f t="shared" si="34"/>
        <v/>
      </c>
      <c r="N122" s="33" t="str">
        <f t="shared" si="35"/>
        <v/>
      </c>
      <c r="O122" s="33">
        <f t="shared" si="36"/>
        <v>0</v>
      </c>
      <c r="P122" s="33">
        <f t="shared" si="37"/>
        <v>0</v>
      </c>
      <c r="Q122" s="33">
        <v>0.15</v>
      </c>
      <c r="R122" s="33"/>
      <c r="S122" s="33"/>
      <c r="T122" s="33">
        <v>0.05</v>
      </c>
      <c r="U122" s="33">
        <f t="shared" si="61"/>
        <v>0.8</v>
      </c>
      <c r="V122" s="33">
        <f t="shared" si="38"/>
        <v>1</v>
      </c>
      <c r="W122" s="218">
        <f t="shared" si="39"/>
        <v>11</v>
      </c>
      <c r="X122" s="33">
        <v>0.23300000000000001</v>
      </c>
      <c r="Y122" s="218">
        <f t="shared" si="39"/>
        <v>11</v>
      </c>
      <c r="Z122" s="218">
        <f t="shared" si="40"/>
        <v>36</v>
      </c>
      <c r="AA122" s="33">
        <v>0.12</v>
      </c>
      <c r="AB122" s="218" t="str">
        <f t="shared" si="41"/>
        <v/>
      </c>
      <c r="AC122" s="218" t="str">
        <f t="shared" si="42"/>
        <v/>
      </c>
      <c r="AD122" s="33">
        <v>0.02</v>
      </c>
      <c r="AE122" s="218" t="str">
        <f t="shared" si="43"/>
        <v/>
      </c>
      <c r="AF122" s="218" t="str">
        <f t="shared" si="44"/>
        <v/>
      </c>
      <c r="AG122" s="33">
        <v>0.02</v>
      </c>
      <c r="AH122" s="218">
        <f t="shared" si="45"/>
        <v>4</v>
      </c>
      <c r="AI122" s="218">
        <f t="shared" si="46"/>
        <v>196</v>
      </c>
      <c r="AJ122" s="33">
        <v>2.4E-2</v>
      </c>
      <c r="AK122" s="218">
        <f t="shared" si="47"/>
        <v>59</v>
      </c>
      <c r="AL122" s="218">
        <f t="shared" si="48"/>
        <v>2399</v>
      </c>
      <c r="AM122" s="38">
        <f t="shared" si="49"/>
        <v>74</v>
      </c>
      <c r="AN122" s="38">
        <f t="shared" si="50"/>
        <v>74</v>
      </c>
      <c r="AO122" s="38">
        <f t="shared" si="51"/>
        <v>0</v>
      </c>
      <c r="AP122" s="38" t="str">
        <f>IF(OR($C122="01-09",$D122="Male"),"",INDEX(PMTCT!$AD:$AD,MATCH($E122,PMTCT!$E:$E,0)))</f>
        <v/>
      </c>
      <c r="AQ122" s="38" t="str">
        <f>IF(OR($C122="01-09",$D122="Male"),"",INDEX(PMTCT!$AT:$AT,MATCH($E122,PMTCT!$E:$E,0)))</f>
        <v/>
      </c>
      <c r="AR122" s="38">
        <f>INDEX(TB!$Q:$Q,MATCH($E122,TB!$E:$E,0))</f>
        <v>8</v>
      </c>
      <c r="AS122" s="38" t="str">
        <f>IF(OR($C122="01-09",$C122="10-14",$D122="Female"),"",INDEX(VMMC!$AB:$AB,MATCH($E122,VMMC!$E:$E,0)))</f>
        <v/>
      </c>
      <c r="AT122" s="38">
        <f>IF(OR($C122="01-09",$C122="10-14"),"",INDEX(PrEP!$Q:$Q,MATCH($E122,PrEP!$E:$E,0)))</f>
        <v>12</v>
      </c>
      <c r="AU122" s="38">
        <f t="shared" si="52"/>
        <v>2651</v>
      </c>
      <c r="AV122" s="38">
        <f t="shared" si="53"/>
        <v>2725</v>
      </c>
      <c r="AW122" s="33">
        <f t="shared" si="54"/>
        <v>2.7155963302752294E-2</v>
      </c>
      <c r="AX122" s="38">
        <v>42</v>
      </c>
      <c r="AY122" s="33">
        <f t="shared" si="58"/>
        <v>0</v>
      </c>
      <c r="AZ122" s="218">
        <f t="shared" si="56"/>
        <v>42</v>
      </c>
      <c r="BA122" s="33">
        <v>0.75</v>
      </c>
      <c r="BB122" s="218">
        <f t="shared" si="57"/>
        <v>56</v>
      </c>
    </row>
    <row r="123" spans="1:54" x14ac:dyDescent="0.2">
      <c r="A123" t="str">
        <f>INDEX(Prioritization!$D:$D,MATCH($B123,Prioritization!$A:$A,0))</f>
        <v>INVALID</v>
      </c>
      <c r="B123" t="s">
        <v>300</v>
      </c>
      <c r="C123" t="s">
        <v>473</v>
      </c>
      <c r="D123" t="s">
        <v>30</v>
      </c>
      <c r="E123" t="str">
        <f t="shared" si="32"/>
        <v>Kasungu District [JQKLKuVuY61]|01-09|Female</v>
      </c>
      <c r="F123" s="33">
        <f>IF(LEFT($B123,4)="_Mil","",INDEX(Cascade!$AA:$AA,MATCH($E123,Cascade!$E:$E,0)))</f>
        <v>0.74296213099999997</v>
      </c>
      <c r="G123" s="38">
        <f>INDEX(Cascade!$BH:$BH,MATCH($E123,Cascade!$E:$E,0))</f>
        <v>3</v>
      </c>
      <c r="H123" s="38" t="str">
        <f>IF(OR($C123="01-09",$D123="Male"),"",INDEX(PMTCT!$AC:$AC,MATCH($E123,PMTCT!$E:$E,0)))</f>
        <v/>
      </c>
      <c r="I123" s="38" t="str">
        <f>IF(OR($C123="01-09",$D123="Male"),"",INDEX(PMTCT!$AS:$AS,MATCH($E123,PMTCT!$E:$E,0)))</f>
        <v/>
      </c>
      <c r="J123" s="38">
        <f>INDEX(TB!$P:$P,MATCH($E123,TB!$E:$E,0))</f>
        <v>0</v>
      </c>
      <c r="K123" s="38" t="str">
        <f>IF(OR($C123="01-09",$C123="10-14",$D123="Female"),"",INDEX(VMMC!$AA:$AA,MATCH($E123,VMMC!$E:$E,0)))</f>
        <v/>
      </c>
      <c r="L123" s="38">
        <f t="shared" si="33"/>
        <v>3</v>
      </c>
      <c r="M123" s="33" t="str">
        <f t="shared" si="34"/>
        <v/>
      </c>
      <c r="N123" s="33" t="str">
        <f t="shared" si="35"/>
        <v/>
      </c>
      <c r="O123" s="33">
        <f t="shared" si="36"/>
        <v>0</v>
      </c>
      <c r="P123" s="33" t="str">
        <f t="shared" si="37"/>
        <v/>
      </c>
      <c r="Q123" s="33">
        <v>0.5</v>
      </c>
      <c r="R123" s="33"/>
      <c r="S123" s="33"/>
      <c r="T123" s="33"/>
      <c r="U123" s="33">
        <f t="shared" si="61"/>
        <v>0.5</v>
      </c>
      <c r="V123" s="33">
        <f t="shared" si="38"/>
        <v>1</v>
      </c>
      <c r="W123" s="218">
        <f t="shared" si="39"/>
        <v>2</v>
      </c>
      <c r="X123" s="33">
        <v>2.8000000000000001E-2</v>
      </c>
      <c r="Y123" s="218">
        <f t="shared" si="39"/>
        <v>2</v>
      </c>
      <c r="Z123" s="218">
        <f t="shared" si="40"/>
        <v>69</v>
      </c>
      <c r="AA123" s="33">
        <v>0.12</v>
      </c>
      <c r="AB123" s="218" t="str">
        <f t="shared" si="41"/>
        <v/>
      </c>
      <c r="AC123" s="218" t="str">
        <f t="shared" si="42"/>
        <v/>
      </c>
      <c r="AD123" s="33">
        <v>0.02</v>
      </c>
      <c r="AE123" s="218" t="str">
        <f t="shared" si="43"/>
        <v/>
      </c>
      <c r="AF123" s="218" t="str">
        <f t="shared" si="44"/>
        <v/>
      </c>
      <c r="AG123" s="33">
        <v>0.02</v>
      </c>
      <c r="AH123" s="218" t="str">
        <f t="shared" si="45"/>
        <v/>
      </c>
      <c r="AI123" s="218" t="str">
        <f t="shared" si="46"/>
        <v/>
      </c>
      <c r="AJ123" s="33">
        <v>5.7999999999999996E-3</v>
      </c>
      <c r="AK123" s="218">
        <f t="shared" si="47"/>
        <v>2</v>
      </c>
      <c r="AL123" s="218">
        <f t="shared" si="48"/>
        <v>343</v>
      </c>
      <c r="AM123" s="38">
        <f t="shared" si="49"/>
        <v>3</v>
      </c>
      <c r="AN123" s="38">
        <f t="shared" si="50"/>
        <v>4</v>
      </c>
      <c r="AO123" s="38">
        <f t="shared" si="51"/>
        <v>1</v>
      </c>
      <c r="AP123" s="38" t="str">
        <f>IF(OR($C123="01-09",$D123="Male"),"",INDEX(PMTCT!$AD:$AD,MATCH($E123,PMTCT!$E:$E,0)))</f>
        <v/>
      </c>
      <c r="AQ123" s="38" t="str">
        <f>IF(OR($C123="01-09",$D123="Male"),"",INDEX(PMTCT!$AT:$AT,MATCH($E123,PMTCT!$E:$E,0)))</f>
        <v/>
      </c>
      <c r="AR123" s="38">
        <f>INDEX(TB!$Q:$Q,MATCH($E123,TB!$E:$E,0))</f>
        <v>4</v>
      </c>
      <c r="AS123" s="38" t="str">
        <f>IF(OR($C123="01-09",$C123="10-14",$D123="Female"),"",INDEX(VMMC!$AB:$AB,MATCH($E123,VMMC!$E:$E,0)))</f>
        <v/>
      </c>
      <c r="AT123" s="38" t="str">
        <f>IF(OR($C123="01-09",$C123="10-14"),"",INDEX(PrEP!$Q:$Q,MATCH($E123,PrEP!$E:$E,0)))</f>
        <v/>
      </c>
      <c r="AU123" s="38">
        <f t="shared" si="52"/>
        <v>416</v>
      </c>
      <c r="AV123" s="38">
        <f t="shared" si="53"/>
        <v>419.99999999999994</v>
      </c>
      <c r="AW123" s="33">
        <f t="shared" si="54"/>
        <v>9.5238095238095247E-3</v>
      </c>
      <c r="AX123" s="38"/>
      <c r="AY123" s="33" t="str">
        <f t="shared" si="58"/>
        <v/>
      </c>
      <c r="AZ123" s="218" t="str">
        <f t="shared" si="56"/>
        <v/>
      </c>
      <c r="BA123" s="33" t="str">
        <f t="shared" si="59"/>
        <v/>
      </c>
      <c r="BB123" s="218" t="str">
        <f t="shared" si="57"/>
        <v/>
      </c>
    </row>
    <row r="124" spans="1:54" x14ac:dyDescent="0.2">
      <c r="A124" t="str">
        <f>INDEX(Prioritization!$D:$D,MATCH($B124,Prioritization!$A:$A,0))</f>
        <v>INVALID</v>
      </c>
      <c r="B124" t="s">
        <v>300</v>
      </c>
      <c r="C124" t="s">
        <v>473</v>
      </c>
      <c r="D124" t="s">
        <v>48</v>
      </c>
      <c r="E124" t="str">
        <f t="shared" si="32"/>
        <v>Kasungu District [JQKLKuVuY61]|01-09|Male</v>
      </c>
      <c r="F124" s="33">
        <f>IF(LEFT($B124,4)="_Mil","",INDEX(Cascade!$AA:$AA,MATCH($E124,Cascade!$E:$E,0)))</f>
        <v>0.74310935600000005</v>
      </c>
      <c r="G124" s="38">
        <f>INDEX(Cascade!$BH:$BH,MATCH($E124,Cascade!$E:$E,0))</f>
        <v>3</v>
      </c>
      <c r="H124" s="38" t="str">
        <f>IF(OR($C124="01-09",$D124="Male"),"",INDEX(PMTCT!$AC:$AC,MATCH($E124,PMTCT!$E:$E,0)))</f>
        <v/>
      </c>
      <c r="I124" s="38" t="str">
        <f>IF(OR($C124="01-09",$D124="Male"),"",INDEX(PMTCT!$AS:$AS,MATCH($E124,PMTCT!$E:$E,0)))</f>
        <v/>
      </c>
      <c r="J124" s="38">
        <f>INDEX(TB!$P:$P,MATCH($E124,TB!$E:$E,0))</f>
        <v>0</v>
      </c>
      <c r="K124" s="38" t="str">
        <f>IF(OR($C124="01-09",$C124="10-14",$D124="Female"),"",INDEX(VMMC!$AA:$AA,MATCH($E124,VMMC!$E:$E,0)))</f>
        <v/>
      </c>
      <c r="L124" s="38">
        <f t="shared" si="33"/>
        <v>3</v>
      </c>
      <c r="M124" s="33" t="str">
        <f t="shared" si="34"/>
        <v/>
      </c>
      <c r="N124" s="33" t="str">
        <f t="shared" si="35"/>
        <v/>
      </c>
      <c r="O124" s="33">
        <f t="shared" si="36"/>
        <v>0</v>
      </c>
      <c r="P124" s="33" t="str">
        <f t="shared" si="37"/>
        <v/>
      </c>
      <c r="Q124" s="33">
        <v>0.44444444444444398</v>
      </c>
      <c r="R124" s="33"/>
      <c r="S124" s="33"/>
      <c r="T124" s="33"/>
      <c r="U124" s="33">
        <f t="shared" si="61"/>
        <v>0.55555555555555602</v>
      </c>
      <c r="V124" s="33">
        <f t="shared" si="38"/>
        <v>1</v>
      </c>
      <c r="W124" s="218">
        <f t="shared" si="39"/>
        <v>1</v>
      </c>
      <c r="X124" s="33">
        <v>2.1000000000000001E-2</v>
      </c>
      <c r="Y124" s="218">
        <f t="shared" si="39"/>
        <v>1</v>
      </c>
      <c r="Z124" s="218">
        <f t="shared" si="40"/>
        <v>47</v>
      </c>
      <c r="AA124" s="33">
        <v>0.12</v>
      </c>
      <c r="AB124" s="218" t="str">
        <f t="shared" si="41"/>
        <v/>
      </c>
      <c r="AC124" s="218" t="str">
        <f t="shared" si="42"/>
        <v/>
      </c>
      <c r="AD124" s="33">
        <v>0.02</v>
      </c>
      <c r="AE124" s="218" t="str">
        <f t="shared" si="43"/>
        <v/>
      </c>
      <c r="AF124" s="218" t="str">
        <f t="shared" si="44"/>
        <v/>
      </c>
      <c r="AG124" s="33">
        <v>0.02</v>
      </c>
      <c r="AH124" s="218" t="str">
        <f t="shared" si="45"/>
        <v/>
      </c>
      <c r="AI124" s="218" t="str">
        <f t="shared" si="46"/>
        <v/>
      </c>
      <c r="AJ124" s="33">
        <v>1.0999999999999999E-2</v>
      </c>
      <c r="AK124" s="218">
        <f t="shared" si="47"/>
        <v>2</v>
      </c>
      <c r="AL124" s="218">
        <f t="shared" si="48"/>
        <v>180</v>
      </c>
      <c r="AM124" s="38">
        <f t="shared" si="49"/>
        <v>3</v>
      </c>
      <c r="AN124" s="38">
        <f t="shared" si="50"/>
        <v>3</v>
      </c>
      <c r="AO124" s="38">
        <f t="shared" si="51"/>
        <v>0</v>
      </c>
      <c r="AP124" s="38" t="str">
        <f>IF(OR($C124="01-09",$D124="Male"),"",INDEX(PMTCT!$AD:$AD,MATCH($E124,PMTCT!$E:$E,0)))</f>
        <v/>
      </c>
      <c r="AQ124" s="38" t="str">
        <f>IF(OR($C124="01-09",$D124="Male"),"",INDEX(PMTCT!$AT:$AT,MATCH($E124,PMTCT!$E:$E,0)))</f>
        <v/>
      </c>
      <c r="AR124" s="38">
        <f>INDEX(TB!$Q:$Q,MATCH($E124,TB!$E:$E,0))</f>
        <v>4</v>
      </c>
      <c r="AS124" s="38" t="str">
        <f>IF(OR($C124="01-09",$C124="10-14",$D124="Female"),"",INDEX(VMMC!$AB:$AB,MATCH($E124,VMMC!$E:$E,0)))</f>
        <v/>
      </c>
      <c r="AT124" s="38" t="str">
        <f>IF(OR($C124="01-09",$C124="10-14"),"",INDEX(PrEP!$Q:$Q,MATCH($E124,PrEP!$E:$E,0)))</f>
        <v/>
      </c>
      <c r="AU124" s="38">
        <f t="shared" si="52"/>
        <v>231</v>
      </c>
      <c r="AV124" s="38">
        <f t="shared" si="53"/>
        <v>233.99999999999997</v>
      </c>
      <c r="AW124" s="33">
        <f t="shared" si="54"/>
        <v>1.2820512820512822E-2</v>
      </c>
      <c r="AX124" s="38"/>
      <c r="AY124" s="33" t="str">
        <f t="shared" si="58"/>
        <v/>
      </c>
      <c r="AZ124" s="218" t="str">
        <f t="shared" si="56"/>
        <v/>
      </c>
      <c r="BA124" s="33" t="str">
        <f t="shared" si="59"/>
        <v/>
      </c>
      <c r="BB124" s="218" t="str">
        <f t="shared" si="57"/>
        <v/>
      </c>
    </row>
    <row r="125" spans="1:54" x14ac:dyDescent="0.2">
      <c r="A125" t="str">
        <f>INDEX(Prioritization!$D:$D,MATCH($B125,Prioritization!$A:$A,0))</f>
        <v>INVALID</v>
      </c>
      <c r="B125" t="s">
        <v>300</v>
      </c>
      <c r="C125" t="s">
        <v>474</v>
      </c>
      <c r="D125" t="s">
        <v>30</v>
      </c>
      <c r="E125" t="str">
        <f t="shared" si="32"/>
        <v>Kasungu District [JQKLKuVuY61]|10-14|Female</v>
      </c>
      <c r="F125" s="33">
        <f>IF(LEFT($B125,4)="_Mil","",INDEX(Cascade!$AA:$AA,MATCH($E125,Cascade!$E:$E,0)))</f>
        <v>0.77635323300000003</v>
      </c>
      <c r="G125" s="38">
        <f>INDEX(Cascade!$BH:$BH,MATCH($E125,Cascade!$E:$E,0))</f>
        <v>24</v>
      </c>
      <c r="H125" s="38">
        <f>IF(OR($C125="01-09",$D125="Male"),"",INDEX(PMTCT!$AC:$AC,MATCH($E125,PMTCT!$E:$E,0)))</f>
        <v>1</v>
      </c>
      <c r="I125" s="38" t="str">
        <f>IF(OR($C125="01-09",$D125="Male"),"",INDEX(PMTCT!$AS:$AS,MATCH($E125,PMTCT!$E:$E,0)))</f>
        <v>ENTER YIELD RATE</v>
      </c>
      <c r="J125" s="38">
        <f>INDEX(TB!$P:$P,MATCH($E125,TB!$E:$E,0))</f>
        <v>0</v>
      </c>
      <c r="K125" s="38" t="str">
        <f>IF(OR($C125="01-09",$C125="10-14",$D125="Female"),"",INDEX(VMMC!$AA:$AA,MATCH($E125,VMMC!$E:$E,0)))</f>
        <v/>
      </c>
      <c r="L125" s="38">
        <f t="shared" si="33"/>
        <v>23</v>
      </c>
      <c r="M125" s="33">
        <f t="shared" si="34"/>
        <v>4.1666666666666664E-2</v>
      </c>
      <c r="N125" s="33">
        <f t="shared" si="35"/>
        <v>0</v>
      </c>
      <c r="O125" s="33">
        <f t="shared" si="36"/>
        <v>0</v>
      </c>
      <c r="P125" s="33" t="str">
        <f t="shared" si="37"/>
        <v/>
      </c>
      <c r="Q125" s="33">
        <v>0.42857142857142899</v>
      </c>
      <c r="R125" s="33"/>
      <c r="S125" s="33"/>
      <c r="T125" s="33"/>
      <c r="U125" s="33">
        <f t="shared" si="61"/>
        <v>0.52976190476190432</v>
      </c>
      <c r="V125" s="33">
        <f t="shared" si="38"/>
        <v>1</v>
      </c>
      <c r="W125" s="218">
        <f t="shared" si="39"/>
        <v>10</v>
      </c>
      <c r="X125" s="33">
        <v>2.1000000000000001E-2</v>
      </c>
      <c r="Y125" s="218">
        <f t="shared" si="39"/>
        <v>10</v>
      </c>
      <c r="Z125" s="218">
        <f t="shared" si="40"/>
        <v>466</v>
      </c>
      <c r="AA125" s="33">
        <v>0.12</v>
      </c>
      <c r="AB125" s="218" t="str">
        <f t="shared" si="41"/>
        <v/>
      </c>
      <c r="AC125" s="218" t="str">
        <f t="shared" si="42"/>
        <v/>
      </c>
      <c r="AD125" s="33">
        <v>0.02</v>
      </c>
      <c r="AE125" s="218" t="str">
        <f t="shared" si="43"/>
        <v/>
      </c>
      <c r="AF125" s="218" t="str">
        <f t="shared" si="44"/>
        <v/>
      </c>
      <c r="AG125" s="33">
        <v>0.02</v>
      </c>
      <c r="AH125" s="218" t="str">
        <f t="shared" si="45"/>
        <v/>
      </c>
      <c r="AI125" s="218" t="str">
        <f t="shared" si="46"/>
        <v/>
      </c>
      <c r="AJ125" s="33">
        <v>1.2E-2</v>
      </c>
      <c r="AK125" s="218">
        <f t="shared" si="47"/>
        <v>13</v>
      </c>
      <c r="AL125" s="218">
        <f t="shared" si="48"/>
        <v>1070</v>
      </c>
      <c r="AM125" s="38">
        <f t="shared" si="49"/>
        <v>24</v>
      </c>
      <c r="AN125" s="38">
        <f t="shared" si="50"/>
        <v>24</v>
      </c>
      <c r="AO125" s="38">
        <f t="shared" si="51"/>
        <v>0</v>
      </c>
      <c r="AP125" s="38">
        <f>IF(OR($C125="01-09",$D125="Male"),"",INDEX(PMTCT!$AD:$AD,MATCH($E125,PMTCT!$E:$E,0)))</f>
        <v>82</v>
      </c>
      <c r="AQ125" s="38">
        <f>IF(OR($C125="01-09",$D125="Male"),"",INDEX(PMTCT!$AT:$AT,MATCH($E125,PMTCT!$E:$E,0)))</f>
        <v>82</v>
      </c>
      <c r="AR125" s="38">
        <f>INDEX(TB!$Q:$Q,MATCH($E125,TB!$E:$E,0))</f>
        <v>2</v>
      </c>
      <c r="AS125" s="38" t="str">
        <f>IF(OR($C125="01-09",$C125="10-14",$D125="Female"),"",INDEX(VMMC!$AB:$AB,MATCH($E125,VMMC!$E:$E,0)))</f>
        <v/>
      </c>
      <c r="AT125" s="38" t="str">
        <f>IF(OR($C125="01-09",$C125="10-14"),"",INDEX(PrEP!$Q:$Q,MATCH($E125,PrEP!$E:$E,0)))</f>
        <v/>
      </c>
      <c r="AU125" s="38">
        <f t="shared" si="52"/>
        <v>1702</v>
      </c>
      <c r="AV125" s="38">
        <f t="shared" si="53"/>
        <v>1726</v>
      </c>
      <c r="AW125" s="33">
        <f t="shared" si="54"/>
        <v>1.3904982618771726E-2</v>
      </c>
      <c r="AX125" s="38"/>
      <c r="AY125" s="33" t="str">
        <f t="shared" si="58"/>
        <v/>
      </c>
      <c r="AZ125" s="218" t="str">
        <f t="shared" si="56"/>
        <v/>
      </c>
      <c r="BA125" s="33" t="str">
        <f t="shared" si="59"/>
        <v/>
      </c>
      <c r="BB125" s="218" t="str">
        <f t="shared" si="57"/>
        <v/>
      </c>
    </row>
    <row r="126" spans="1:54" x14ac:dyDescent="0.2">
      <c r="A126" t="str">
        <f>INDEX(Prioritization!$D:$D,MATCH($B126,Prioritization!$A:$A,0))</f>
        <v>INVALID</v>
      </c>
      <c r="B126" t="s">
        <v>300</v>
      </c>
      <c r="C126" t="s">
        <v>474</v>
      </c>
      <c r="D126" t="s">
        <v>48</v>
      </c>
      <c r="E126" t="str">
        <f t="shared" si="32"/>
        <v>Kasungu District [JQKLKuVuY61]|10-14|Male</v>
      </c>
      <c r="F126" s="33">
        <f>IF(LEFT($B126,4)="_Mil","",INDEX(Cascade!$AA:$AA,MATCH($E126,Cascade!$E:$E,0)))</f>
        <v>0.77620868499999995</v>
      </c>
      <c r="G126" s="38">
        <f>INDEX(Cascade!$BH:$BH,MATCH($E126,Cascade!$E:$E,0))</f>
        <v>4</v>
      </c>
      <c r="H126" s="38" t="str">
        <f>IF(OR($C126="01-09",$D126="Male"),"",INDEX(PMTCT!$AC:$AC,MATCH($E126,PMTCT!$E:$E,0)))</f>
        <v/>
      </c>
      <c r="I126" s="38" t="str">
        <f>IF(OR($C126="01-09",$D126="Male"),"",INDEX(PMTCT!$AS:$AS,MATCH($E126,PMTCT!$E:$E,0)))</f>
        <v/>
      </c>
      <c r="J126" s="38">
        <f>INDEX(TB!$P:$P,MATCH($E126,TB!$E:$E,0))</f>
        <v>0</v>
      </c>
      <c r="K126" s="38" t="str">
        <f>IF(OR($C126="01-09",$C126="10-14",$D126="Female"),"",INDEX(VMMC!$AA:$AA,MATCH($E126,VMMC!$E:$E,0)))</f>
        <v/>
      </c>
      <c r="L126" s="38">
        <f t="shared" si="33"/>
        <v>4</v>
      </c>
      <c r="M126" s="33" t="str">
        <f t="shared" si="34"/>
        <v/>
      </c>
      <c r="N126" s="33" t="str">
        <f t="shared" si="35"/>
        <v/>
      </c>
      <c r="O126" s="33">
        <f t="shared" si="36"/>
        <v>0</v>
      </c>
      <c r="P126" s="33" t="str">
        <f t="shared" si="37"/>
        <v/>
      </c>
      <c r="Q126" s="33">
        <v>0.58620689655172398</v>
      </c>
      <c r="R126" s="33"/>
      <c r="S126" s="33"/>
      <c r="T126" s="33"/>
      <c r="U126" s="33">
        <f t="shared" si="61"/>
        <v>0.41379310344827602</v>
      </c>
      <c r="V126" s="33">
        <f t="shared" si="38"/>
        <v>1</v>
      </c>
      <c r="W126" s="218">
        <f t="shared" si="39"/>
        <v>2</v>
      </c>
      <c r="X126" s="33">
        <v>2.1000000000000001E-2</v>
      </c>
      <c r="Y126" s="218">
        <f t="shared" si="39"/>
        <v>2</v>
      </c>
      <c r="Z126" s="218">
        <f t="shared" si="40"/>
        <v>93</v>
      </c>
      <c r="AA126" s="33">
        <v>0.12</v>
      </c>
      <c r="AB126" s="218" t="str">
        <f t="shared" si="41"/>
        <v/>
      </c>
      <c r="AC126" s="218" t="str">
        <f t="shared" si="42"/>
        <v/>
      </c>
      <c r="AD126" s="33">
        <v>0.02</v>
      </c>
      <c r="AE126" s="218" t="str">
        <f t="shared" si="43"/>
        <v/>
      </c>
      <c r="AF126" s="218" t="str">
        <f t="shared" si="44"/>
        <v/>
      </c>
      <c r="AG126" s="33">
        <v>0.02</v>
      </c>
      <c r="AH126" s="218" t="str">
        <f t="shared" si="45"/>
        <v/>
      </c>
      <c r="AI126" s="218" t="str">
        <f t="shared" si="46"/>
        <v/>
      </c>
      <c r="AJ126" s="33">
        <v>2.3E-2</v>
      </c>
      <c r="AK126" s="218">
        <f t="shared" si="47"/>
        <v>2</v>
      </c>
      <c r="AL126" s="218">
        <f t="shared" si="48"/>
        <v>85</v>
      </c>
      <c r="AM126" s="38">
        <f t="shared" si="49"/>
        <v>4</v>
      </c>
      <c r="AN126" s="38">
        <f t="shared" si="50"/>
        <v>4</v>
      </c>
      <c r="AO126" s="38">
        <f t="shared" si="51"/>
        <v>0</v>
      </c>
      <c r="AP126" s="38" t="str">
        <f>IF(OR($C126="01-09",$D126="Male"),"",INDEX(PMTCT!$AD:$AD,MATCH($E126,PMTCT!$E:$E,0)))</f>
        <v/>
      </c>
      <c r="AQ126" s="38" t="str">
        <f>IF(OR($C126="01-09",$D126="Male"),"",INDEX(PMTCT!$AT:$AT,MATCH($E126,PMTCT!$E:$E,0)))</f>
        <v/>
      </c>
      <c r="AR126" s="38">
        <f>INDEX(TB!$Q:$Q,MATCH($E126,TB!$E:$E,0))</f>
        <v>2</v>
      </c>
      <c r="AS126" s="38" t="str">
        <f>IF(OR($C126="01-09",$C126="10-14",$D126="Female"),"",INDEX(VMMC!$AB:$AB,MATCH($E126,VMMC!$E:$E,0)))</f>
        <v/>
      </c>
      <c r="AT126" s="38" t="str">
        <f>IF(OR($C126="01-09",$C126="10-14"),"",INDEX(PrEP!$Q:$Q,MATCH($E126,PrEP!$E:$E,0)))</f>
        <v/>
      </c>
      <c r="AU126" s="38">
        <f t="shared" si="52"/>
        <v>180</v>
      </c>
      <c r="AV126" s="38">
        <f t="shared" si="53"/>
        <v>184</v>
      </c>
      <c r="AW126" s="33">
        <f t="shared" si="54"/>
        <v>2.1739130434782608E-2</v>
      </c>
      <c r="AX126" s="38"/>
      <c r="AY126" s="33" t="str">
        <f t="shared" si="58"/>
        <v/>
      </c>
      <c r="AZ126" s="218" t="str">
        <f t="shared" si="56"/>
        <v/>
      </c>
      <c r="BA126" s="33" t="str">
        <f t="shared" si="59"/>
        <v/>
      </c>
      <c r="BB126" s="218" t="str">
        <f t="shared" si="57"/>
        <v/>
      </c>
    </row>
    <row r="127" spans="1:54" x14ac:dyDescent="0.2">
      <c r="A127" t="str">
        <f>INDEX(Prioritization!$D:$D,MATCH($B127,Prioritization!$A:$A,0))</f>
        <v>INVALID</v>
      </c>
      <c r="B127" t="s">
        <v>300</v>
      </c>
      <c r="C127" t="s">
        <v>475</v>
      </c>
      <c r="D127" t="s">
        <v>30</v>
      </c>
      <c r="E127" t="str">
        <f t="shared" si="32"/>
        <v>Kasungu District [JQKLKuVuY61]|15-24|Female</v>
      </c>
      <c r="F127" s="33">
        <f>IF(LEFT($B127,4)="_Mil","",INDEX(Cascade!$AA:$AA,MATCH($E127,Cascade!$E:$E,0)))</f>
        <v>0.93796064999999995</v>
      </c>
      <c r="G127" s="38">
        <f>INDEX(Cascade!$BH:$BH,MATCH($E127,Cascade!$E:$E,0))</f>
        <v>99</v>
      </c>
      <c r="H127" s="38">
        <f>IF(OR($C127="01-09",$D127="Male"),"",INDEX(PMTCT!$AC:$AC,MATCH($E127,PMTCT!$E:$E,0)))</f>
        <v>25</v>
      </c>
      <c r="I127" s="38">
        <f>IF(OR($C127="01-09",$D127="Male"),"",INDEX(PMTCT!$AS:$AS,MATCH($E127,PMTCT!$E:$E,0)))</f>
        <v>23</v>
      </c>
      <c r="J127" s="38">
        <f>INDEX(TB!$P:$P,MATCH($E127,TB!$E:$E,0))</f>
        <v>1</v>
      </c>
      <c r="K127" s="38" t="str">
        <f>IF(OR($C127="01-09",$C127="10-14",$D127="Female"),"",INDEX(VMMC!$AA:$AA,MATCH($E127,VMMC!$E:$E,0)))</f>
        <v/>
      </c>
      <c r="L127" s="38">
        <f t="shared" si="33"/>
        <v>50</v>
      </c>
      <c r="M127" s="33">
        <f t="shared" si="34"/>
        <v>0.25252525252525254</v>
      </c>
      <c r="N127" s="33">
        <f t="shared" si="35"/>
        <v>0.23232323232323232</v>
      </c>
      <c r="O127" s="33">
        <f t="shared" si="36"/>
        <v>1.0101010101010102E-2</v>
      </c>
      <c r="P127" s="33" t="str">
        <f t="shared" si="37"/>
        <v/>
      </c>
      <c r="Q127" s="33">
        <v>0.15</v>
      </c>
      <c r="R127" s="33"/>
      <c r="S127" s="33"/>
      <c r="T127" s="33">
        <v>0.05</v>
      </c>
      <c r="U127" s="33">
        <f t="shared" si="61"/>
        <v>0.30505050505050502</v>
      </c>
      <c r="V127" s="33">
        <f t="shared" si="38"/>
        <v>1</v>
      </c>
      <c r="W127" s="218">
        <f t="shared" si="39"/>
        <v>15</v>
      </c>
      <c r="X127" s="33">
        <v>0.224</v>
      </c>
      <c r="Y127" s="218">
        <f t="shared" si="39"/>
        <v>15</v>
      </c>
      <c r="Z127" s="218">
        <f t="shared" si="40"/>
        <v>52</v>
      </c>
      <c r="AA127" s="33">
        <v>0.12</v>
      </c>
      <c r="AB127" s="218" t="str">
        <f t="shared" si="41"/>
        <v/>
      </c>
      <c r="AC127" s="218" t="str">
        <f t="shared" si="42"/>
        <v/>
      </c>
      <c r="AD127" s="33">
        <v>0.02</v>
      </c>
      <c r="AE127" s="218" t="str">
        <f t="shared" si="43"/>
        <v/>
      </c>
      <c r="AF127" s="218" t="str">
        <f t="shared" si="44"/>
        <v/>
      </c>
      <c r="AG127" s="33">
        <v>0.02</v>
      </c>
      <c r="AH127" s="218">
        <f t="shared" si="45"/>
        <v>5</v>
      </c>
      <c r="AI127" s="218">
        <f t="shared" si="46"/>
        <v>245</v>
      </c>
      <c r="AJ127" s="33">
        <v>9.7000000000000003E-3</v>
      </c>
      <c r="AK127" s="218">
        <f t="shared" si="47"/>
        <v>30</v>
      </c>
      <c r="AL127" s="218">
        <f t="shared" si="48"/>
        <v>3063</v>
      </c>
      <c r="AM127" s="38">
        <f t="shared" si="49"/>
        <v>99</v>
      </c>
      <c r="AN127" s="38">
        <f t="shared" si="50"/>
        <v>98.999999999999986</v>
      </c>
      <c r="AO127" s="38">
        <f t="shared" si="51"/>
        <v>-1.4210854715202004E-14</v>
      </c>
      <c r="AP127" s="38">
        <f>IF(OR($C127="01-09",$D127="Male"),"",INDEX(PMTCT!$AD:$AD,MATCH($E127,PMTCT!$E:$E,0)))</f>
        <v>5719</v>
      </c>
      <c r="AQ127" s="38">
        <f>IF(OR($C127="01-09",$D127="Male"),"",INDEX(PMTCT!$AT:$AT,MATCH($E127,PMTCT!$E:$E,0)))</f>
        <v>5696</v>
      </c>
      <c r="AR127" s="38">
        <f>INDEX(TB!$Q:$Q,MATCH($E127,TB!$E:$E,0))</f>
        <v>14</v>
      </c>
      <c r="AS127" s="38" t="str">
        <f>IF(OR($C127="01-09",$C127="10-14",$D127="Female"),"",INDEX(VMMC!$AB:$AB,MATCH($E127,VMMC!$E:$E,0)))</f>
        <v/>
      </c>
      <c r="AT127" s="38">
        <f>IF(OR($C127="01-09",$C127="10-14"),"",INDEX(PrEP!$Q:$Q,MATCH($E127,PrEP!$E:$E,0)))</f>
        <v>60</v>
      </c>
      <c r="AU127" s="38">
        <f t="shared" si="52"/>
        <v>14849.000000000002</v>
      </c>
      <c r="AV127" s="38">
        <f t="shared" si="53"/>
        <v>14948</v>
      </c>
      <c r="AW127" s="33">
        <f t="shared" si="54"/>
        <v>6.6229595932566221E-3</v>
      </c>
      <c r="AX127" s="38">
        <v>1471</v>
      </c>
      <c r="AY127" s="33">
        <f t="shared" ref="AY127:AY132" si="64">IF(OR($C127="01-09",SUM($AX127)=0),"",68%)</f>
        <v>0.68</v>
      </c>
      <c r="AZ127" s="218">
        <f t="shared" si="56"/>
        <v>2471</v>
      </c>
      <c r="BA127" s="33">
        <v>0.41</v>
      </c>
      <c r="BB127" s="218">
        <f t="shared" si="57"/>
        <v>41</v>
      </c>
    </row>
    <row r="128" spans="1:54" x14ac:dyDescent="0.2">
      <c r="A128" t="str">
        <f>INDEX(Prioritization!$D:$D,MATCH($B128,Prioritization!$A:$A,0))</f>
        <v>INVALID</v>
      </c>
      <c r="B128" t="s">
        <v>300</v>
      </c>
      <c r="C128" t="s">
        <v>475</v>
      </c>
      <c r="D128" t="s">
        <v>48</v>
      </c>
      <c r="E128" t="str">
        <f t="shared" si="32"/>
        <v>Kasungu District [JQKLKuVuY61]|15-24|Male</v>
      </c>
      <c r="F128" s="33">
        <f>IF(LEFT($B128,4)="_Mil","",INDEX(Cascade!$AA:$AA,MATCH($E128,Cascade!$E:$E,0)))</f>
        <v>0.90832086699999992</v>
      </c>
      <c r="G128" s="38">
        <f>INDEX(Cascade!$BH:$BH,MATCH($E128,Cascade!$E:$E,0))</f>
        <v>20</v>
      </c>
      <c r="H128" s="38" t="str">
        <f>IF(OR($C128="01-09",$D128="Male"),"",INDEX(PMTCT!$AC:$AC,MATCH($E128,PMTCT!$E:$E,0)))</f>
        <v/>
      </c>
      <c r="I128" s="38" t="str">
        <f>IF(OR($C128="01-09",$D128="Male"),"",INDEX(PMTCT!$AS:$AS,MATCH($E128,PMTCT!$E:$E,0)))</f>
        <v/>
      </c>
      <c r="J128" s="38">
        <f>INDEX(TB!$P:$P,MATCH($E128,TB!$E:$E,0))</f>
        <v>2</v>
      </c>
      <c r="K128" s="38" t="str">
        <f>IF(OR($C128="01-09",$C128="10-14",$D128="Female"),"",INDEX(VMMC!$AA:$AA,MATCH($E128,VMMC!$E:$E,0)))</f>
        <v/>
      </c>
      <c r="L128" s="38">
        <f t="shared" si="33"/>
        <v>18</v>
      </c>
      <c r="M128" s="33" t="str">
        <f t="shared" si="34"/>
        <v/>
      </c>
      <c r="N128" s="33" t="str">
        <f t="shared" si="35"/>
        <v/>
      </c>
      <c r="O128" s="33">
        <f t="shared" si="36"/>
        <v>0.1</v>
      </c>
      <c r="P128" s="33">
        <f t="shared" si="37"/>
        <v>0</v>
      </c>
      <c r="Q128" s="33">
        <v>0.32673267326732702</v>
      </c>
      <c r="R128" s="33"/>
      <c r="S128" s="33"/>
      <c r="T128" s="33">
        <v>0.05</v>
      </c>
      <c r="U128" s="33">
        <f t="shared" si="61"/>
        <v>0.52326732673267307</v>
      </c>
      <c r="V128" s="33">
        <f t="shared" si="38"/>
        <v>1</v>
      </c>
      <c r="W128" s="218">
        <f t="shared" si="39"/>
        <v>7</v>
      </c>
      <c r="X128" s="33">
        <v>0.13</v>
      </c>
      <c r="Y128" s="218">
        <f t="shared" si="39"/>
        <v>7</v>
      </c>
      <c r="Z128" s="218">
        <f t="shared" si="40"/>
        <v>47</v>
      </c>
      <c r="AA128" s="33">
        <v>0.12</v>
      </c>
      <c r="AB128" s="218" t="str">
        <f t="shared" si="41"/>
        <v/>
      </c>
      <c r="AC128" s="218" t="str">
        <f t="shared" si="42"/>
        <v/>
      </c>
      <c r="AD128" s="33">
        <v>0.02</v>
      </c>
      <c r="AE128" s="218" t="str">
        <f t="shared" si="43"/>
        <v/>
      </c>
      <c r="AF128" s="218" t="str">
        <f t="shared" si="44"/>
        <v/>
      </c>
      <c r="AG128" s="33">
        <v>0.02</v>
      </c>
      <c r="AH128" s="218">
        <f t="shared" si="45"/>
        <v>1</v>
      </c>
      <c r="AI128" s="218">
        <f t="shared" si="46"/>
        <v>49</v>
      </c>
      <c r="AJ128" s="33">
        <v>4.3E-3</v>
      </c>
      <c r="AK128" s="218">
        <f t="shared" si="47"/>
        <v>10</v>
      </c>
      <c r="AL128" s="218">
        <f t="shared" si="48"/>
        <v>2316</v>
      </c>
      <c r="AM128" s="38">
        <f t="shared" si="49"/>
        <v>20</v>
      </c>
      <c r="AN128" s="38">
        <f t="shared" si="50"/>
        <v>20</v>
      </c>
      <c r="AO128" s="38">
        <f t="shared" si="51"/>
        <v>0</v>
      </c>
      <c r="AP128" s="38" t="str">
        <f>IF(OR($C128="01-09",$D128="Male"),"",INDEX(PMTCT!$AD:$AD,MATCH($E128,PMTCT!$E:$E,0)))</f>
        <v/>
      </c>
      <c r="AQ128" s="38" t="str">
        <f>IF(OR($C128="01-09",$D128="Male"),"",INDEX(PMTCT!$AT:$AT,MATCH($E128,PMTCT!$E:$E,0)))</f>
        <v/>
      </c>
      <c r="AR128" s="38">
        <f>INDEX(TB!$Q:$Q,MATCH($E128,TB!$E:$E,0))</f>
        <v>24</v>
      </c>
      <c r="AS128" s="38" t="str">
        <f>IF(OR($C128="01-09",$C128="10-14",$D128="Female"),"",INDEX(VMMC!$AB:$AB,MATCH($E128,VMMC!$E:$E,0)))</f>
        <v/>
      </c>
      <c r="AT128" s="38">
        <f>IF(OR($C128="01-09",$C128="10-14"),"",INDEX(PrEP!$Q:$Q,MATCH($E128,PrEP!$E:$E,0)))</f>
        <v>42</v>
      </c>
      <c r="AU128" s="38">
        <f t="shared" si="52"/>
        <v>2478</v>
      </c>
      <c r="AV128" s="38">
        <f t="shared" si="53"/>
        <v>2498</v>
      </c>
      <c r="AW128" s="33">
        <f t="shared" si="54"/>
        <v>8.0064051240992789E-3</v>
      </c>
      <c r="AX128" s="38">
        <v>75</v>
      </c>
      <c r="AY128" s="33">
        <f t="shared" si="64"/>
        <v>0.68</v>
      </c>
      <c r="AZ128" s="218">
        <f t="shared" si="56"/>
        <v>126</v>
      </c>
      <c r="BA128" s="33">
        <v>0.41</v>
      </c>
      <c r="BB128" s="218">
        <f t="shared" si="57"/>
        <v>8</v>
      </c>
    </row>
    <row r="129" spans="1:54" x14ac:dyDescent="0.2">
      <c r="A129" t="str">
        <f>INDEX(Prioritization!$D:$D,MATCH($B129,Prioritization!$A:$A,0))</f>
        <v>INVALID</v>
      </c>
      <c r="B129" t="s">
        <v>300</v>
      </c>
      <c r="C129" t="s">
        <v>476</v>
      </c>
      <c r="D129" t="s">
        <v>30</v>
      </c>
      <c r="E129" t="str">
        <f t="shared" si="32"/>
        <v>Kasungu District [JQKLKuVuY61]|25-34|Female</v>
      </c>
      <c r="F129" s="33">
        <f>IF(LEFT($B129,4)="_Mil","",INDEX(Cascade!$AA:$AA,MATCH($E129,Cascade!$E:$E,0)))</f>
        <v>0.96703728800000011</v>
      </c>
      <c r="G129" s="38">
        <f>INDEX(Cascade!$BH:$BH,MATCH($E129,Cascade!$E:$E,0))</f>
        <v>294</v>
      </c>
      <c r="H129" s="38">
        <f>IF(OR($C129="01-09",$D129="Male"),"",INDEX(PMTCT!$AC:$AC,MATCH($E129,PMTCT!$E:$E,0)))</f>
        <v>87</v>
      </c>
      <c r="I129" s="38">
        <f>IF(OR($C129="01-09",$D129="Male"),"",INDEX(PMTCT!$AS:$AS,MATCH($E129,PMTCT!$E:$E,0)))</f>
        <v>37</v>
      </c>
      <c r="J129" s="38">
        <f>INDEX(TB!$P:$P,MATCH($E129,TB!$E:$E,0))</f>
        <v>1</v>
      </c>
      <c r="K129" s="38" t="str">
        <f>IF(OR($C129="01-09",$C129="10-14",$D129="Female"),"",INDEX(VMMC!$AA:$AA,MATCH($E129,VMMC!$E:$E,0)))</f>
        <v/>
      </c>
      <c r="L129" s="38">
        <f t="shared" si="33"/>
        <v>169</v>
      </c>
      <c r="M129" s="33">
        <f t="shared" si="34"/>
        <v>0.29591836734693877</v>
      </c>
      <c r="N129" s="33">
        <f t="shared" si="35"/>
        <v>0.12585034013605442</v>
      </c>
      <c r="O129" s="33">
        <f t="shared" si="36"/>
        <v>3.4013605442176869E-3</v>
      </c>
      <c r="P129" s="33" t="str">
        <f t="shared" si="37"/>
        <v/>
      </c>
      <c r="Q129" s="33">
        <v>0.15</v>
      </c>
      <c r="R129" s="33"/>
      <c r="S129" s="33"/>
      <c r="T129" s="33">
        <v>0.05</v>
      </c>
      <c r="U129" s="33">
        <f t="shared" si="61"/>
        <v>0.37482993197278902</v>
      </c>
      <c r="V129" s="33">
        <f t="shared" si="38"/>
        <v>1</v>
      </c>
      <c r="W129" s="218">
        <f t="shared" si="39"/>
        <v>44</v>
      </c>
      <c r="X129" s="33">
        <v>0.23899999999999999</v>
      </c>
      <c r="Y129" s="218">
        <f t="shared" si="39"/>
        <v>44</v>
      </c>
      <c r="Z129" s="218">
        <f t="shared" si="40"/>
        <v>140</v>
      </c>
      <c r="AA129" s="33">
        <v>0.12</v>
      </c>
      <c r="AB129" s="218" t="str">
        <f t="shared" si="41"/>
        <v/>
      </c>
      <c r="AC129" s="218" t="str">
        <f t="shared" si="42"/>
        <v/>
      </c>
      <c r="AD129" s="33">
        <v>0.02</v>
      </c>
      <c r="AE129" s="218" t="str">
        <f t="shared" si="43"/>
        <v/>
      </c>
      <c r="AF129" s="218" t="str">
        <f t="shared" si="44"/>
        <v/>
      </c>
      <c r="AG129" s="33">
        <v>0.02</v>
      </c>
      <c r="AH129" s="218">
        <f t="shared" si="45"/>
        <v>15</v>
      </c>
      <c r="AI129" s="218">
        <f t="shared" si="46"/>
        <v>735</v>
      </c>
      <c r="AJ129" s="33">
        <v>1.7000000000000001E-2</v>
      </c>
      <c r="AK129" s="218">
        <f t="shared" si="47"/>
        <v>110</v>
      </c>
      <c r="AL129" s="218">
        <f t="shared" si="48"/>
        <v>6361</v>
      </c>
      <c r="AM129" s="38">
        <f t="shared" si="49"/>
        <v>294</v>
      </c>
      <c r="AN129" s="38">
        <f t="shared" si="50"/>
        <v>294</v>
      </c>
      <c r="AO129" s="38">
        <f t="shared" si="51"/>
        <v>0</v>
      </c>
      <c r="AP129" s="38">
        <f>IF(OR($C129="01-09",$D129="Male"),"",INDEX(PMTCT!$AD:$AD,MATCH($E129,PMTCT!$E:$E,0)))</f>
        <v>9181</v>
      </c>
      <c r="AQ129" s="38">
        <f>IF(OR($C129="01-09",$D129="Male"),"",INDEX(PMTCT!$AT:$AT,MATCH($E129,PMTCT!$E:$E,0)))</f>
        <v>9144</v>
      </c>
      <c r="AR129" s="38">
        <f>INDEX(TB!$Q:$Q,MATCH($E129,TB!$E:$E,0))</f>
        <v>14</v>
      </c>
      <c r="AS129" s="38" t="str">
        <f>IF(OR($C129="01-09",$C129="10-14",$D129="Female"),"",INDEX(VMMC!$AB:$AB,MATCH($E129,VMMC!$E:$E,0)))</f>
        <v/>
      </c>
      <c r="AT129" s="38">
        <f>IF(OR($C129="01-09",$C129="10-14"),"",INDEX(PrEP!$Q:$Q,MATCH($E129,PrEP!$E:$E,0)))</f>
        <v>144</v>
      </c>
      <c r="AU129" s="38">
        <f t="shared" si="52"/>
        <v>25719</v>
      </c>
      <c r="AV129" s="38">
        <f t="shared" si="53"/>
        <v>26013</v>
      </c>
      <c r="AW129" s="33">
        <f t="shared" si="54"/>
        <v>1.1302041287048783E-2</v>
      </c>
      <c r="AX129" s="38">
        <v>992</v>
      </c>
      <c r="AY129" s="33">
        <f t="shared" si="64"/>
        <v>0.68</v>
      </c>
      <c r="AZ129" s="218">
        <f t="shared" si="56"/>
        <v>1667</v>
      </c>
      <c r="BA129" s="33">
        <v>0.41</v>
      </c>
      <c r="BB129" s="218">
        <f t="shared" si="57"/>
        <v>121</v>
      </c>
    </row>
    <row r="130" spans="1:54" x14ac:dyDescent="0.2">
      <c r="A130" t="str">
        <f>INDEX(Prioritization!$D:$D,MATCH($B130,Prioritization!$A:$A,0))</f>
        <v>INVALID</v>
      </c>
      <c r="B130" t="s">
        <v>300</v>
      </c>
      <c r="C130" t="s">
        <v>476</v>
      </c>
      <c r="D130" t="s">
        <v>48</v>
      </c>
      <c r="E130" t="str">
        <f t="shared" si="32"/>
        <v>Kasungu District [JQKLKuVuY61]|25-34|Male</v>
      </c>
      <c r="F130" s="33">
        <f>IF(LEFT($B130,4)="_Mil","",INDEX(Cascade!$AA:$AA,MATCH($E130,Cascade!$E:$E,0)))</f>
        <v>0.88106239500000005</v>
      </c>
      <c r="G130" s="38">
        <f>INDEX(Cascade!$BH:$BH,MATCH($E130,Cascade!$E:$E,0))</f>
        <v>14</v>
      </c>
      <c r="H130" s="38" t="str">
        <f>IF(OR($C130="01-09",$D130="Male"),"",INDEX(PMTCT!$AC:$AC,MATCH($E130,PMTCT!$E:$E,0)))</f>
        <v/>
      </c>
      <c r="I130" s="38" t="str">
        <f>IF(OR($C130="01-09",$D130="Male"),"",INDEX(PMTCT!$AS:$AS,MATCH($E130,PMTCT!$E:$E,0)))</f>
        <v/>
      </c>
      <c r="J130" s="38">
        <f>INDEX(TB!$P:$P,MATCH($E130,TB!$E:$E,0))</f>
        <v>2</v>
      </c>
      <c r="K130" s="38" t="str">
        <f>IF(OR($C130="01-09",$C130="10-14",$D130="Female"),"",INDEX(VMMC!$AA:$AA,MATCH($E130,VMMC!$E:$E,0)))</f>
        <v/>
      </c>
      <c r="L130" s="38">
        <f t="shared" si="33"/>
        <v>12</v>
      </c>
      <c r="M130" s="33" t="str">
        <f t="shared" si="34"/>
        <v/>
      </c>
      <c r="N130" s="33" t="str">
        <f t="shared" si="35"/>
        <v/>
      </c>
      <c r="O130" s="33">
        <f t="shared" si="36"/>
        <v>0.14285714285714285</v>
      </c>
      <c r="P130" s="33">
        <f t="shared" si="37"/>
        <v>0</v>
      </c>
      <c r="Q130" s="33">
        <v>0.375</v>
      </c>
      <c r="R130" s="33"/>
      <c r="S130" s="33"/>
      <c r="T130" s="33">
        <v>0.05</v>
      </c>
      <c r="U130" s="33">
        <f t="shared" si="61"/>
        <v>0.43214285714285716</v>
      </c>
      <c r="V130" s="33">
        <f t="shared" si="38"/>
        <v>1</v>
      </c>
      <c r="W130" s="218">
        <f t="shared" si="39"/>
        <v>5</v>
      </c>
      <c r="X130" s="33">
        <v>0.22900000000000001</v>
      </c>
      <c r="Y130" s="218">
        <f t="shared" si="39"/>
        <v>5</v>
      </c>
      <c r="Z130" s="218">
        <f t="shared" si="40"/>
        <v>17</v>
      </c>
      <c r="AA130" s="33">
        <v>0.12</v>
      </c>
      <c r="AB130" s="218" t="str">
        <f t="shared" si="41"/>
        <v/>
      </c>
      <c r="AC130" s="218" t="str">
        <f t="shared" si="42"/>
        <v/>
      </c>
      <c r="AD130" s="33">
        <v>0.02</v>
      </c>
      <c r="AE130" s="218" t="str">
        <f t="shared" si="43"/>
        <v/>
      </c>
      <c r="AF130" s="218" t="str">
        <f t="shared" si="44"/>
        <v/>
      </c>
      <c r="AG130" s="33">
        <v>0.02</v>
      </c>
      <c r="AH130" s="218">
        <f t="shared" si="45"/>
        <v>1</v>
      </c>
      <c r="AI130" s="218">
        <f t="shared" si="46"/>
        <v>49</v>
      </c>
      <c r="AJ130" s="33">
        <v>1.2999999999999999E-2</v>
      </c>
      <c r="AK130" s="218">
        <f t="shared" si="47"/>
        <v>6</v>
      </c>
      <c r="AL130" s="218">
        <f t="shared" si="48"/>
        <v>456</v>
      </c>
      <c r="AM130" s="38">
        <f t="shared" si="49"/>
        <v>14</v>
      </c>
      <c r="AN130" s="38">
        <f t="shared" si="50"/>
        <v>14</v>
      </c>
      <c r="AO130" s="38">
        <f t="shared" si="51"/>
        <v>0</v>
      </c>
      <c r="AP130" s="38" t="str">
        <f>IF(OR($C130="01-09",$D130="Male"),"",INDEX(PMTCT!$AD:$AD,MATCH($E130,PMTCT!$E:$E,0)))</f>
        <v/>
      </c>
      <c r="AQ130" s="38" t="str">
        <f>IF(OR($C130="01-09",$D130="Male"),"",INDEX(PMTCT!$AT:$AT,MATCH($E130,PMTCT!$E:$E,0)))</f>
        <v/>
      </c>
      <c r="AR130" s="38">
        <f>INDEX(TB!$Q:$Q,MATCH($E130,TB!$E:$E,0))</f>
        <v>24</v>
      </c>
      <c r="AS130" s="38" t="str">
        <f>IF(OR($C130="01-09",$C130="10-14",$D130="Female"),"",INDEX(VMMC!$AB:$AB,MATCH($E130,VMMC!$E:$E,0)))</f>
        <v/>
      </c>
      <c r="AT130" s="38">
        <f>IF(OR($C130="01-09",$C130="10-14"),"",INDEX(PrEP!$Q:$Q,MATCH($E130,PrEP!$E:$E,0)))</f>
        <v>54</v>
      </c>
      <c r="AU130" s="38">
        <f t="shared" si="52"/>
        <v>600</v>
      </c>
      <c r="AV130" s="38">
        <f t="shared" si="53"/>
        <v>614</v>
      </c>
      <c r="AW130" s="33">
        <f t="shared" si="54"/>
        <v>2.2801302931596091E-2</v>
      </c>
      <c r="AX130" s="38">
        <v>88</v>
      </c>
      <c r="AY130" s="33">
        <f t="shared" si="64"/>
        <v>0.68</v>
      </c>
      <c r="AZ130" s="218">
        <f t="shared" si="56"/>
        <v>148</v>
      </c>
      <c r="BA130" s="33">
        <v>0.41</v>
      </c>
      <c r="BB130" s="218">
        <f t="shared" si="57"/>
        <v>6</v>
      </c>
    </row>
    <row r="131" spans="1:54" x14ac:dyDescent="0.2">
      <c r="A131" t="str">
        <f>INDEX(Prioritization!$D:$D,MATCH($B131,Prioritization!$A:$A,0))</f>
        <v>INVALID</v>
      </c>
      <c r="B131" t="s">
        <v>300</v>
      </c>
      <c r="C131" t="s">
        <v>477</v>
      </c>
      <c r="D131" t="s">
        <v>30</v>
      </c>
      <c r="E131" t="str">
        <f t="shared" si="32"/>
        <v>Kasungu District [JQKLKuVuY61]|35-49|Female</v>
      </c>
      <c r="F131" s="33">
        <f>IF(LEFT($B131,4)="_Mil","",INDEX(Cascade!$AA:$AA,MATCH($E131,Cascade!$E:$E,0)))</f>
        <v>0.98367389400000016</v>
      </c>
      <c r="G131" s="38">
        <f>INDEX(Cascade!$BH:$BH,MATCH($E131,Cascade!$E:$E,0))</f>
        <v>118</v>
      </c>
      <c r="H131" s="38">
        <f>IF(OR($C131="01-09",$D131="Male"),"",INDEX(PMTCT!$AC:$AC,MATCH($E131,PMTCT!$E:$E,0)))</f>
        <v>17</v>
      </c>
      <c r="I131" s="38">
        <f>IF(OR($C131="01-09",$D131="Male"),"",INDEX(PMTCT!$AS:$AS,MATCH($E131,PMTCT!$E:$E,0)))</f>
        <v>9</v>
      </c>
      <c r="J131" s="38">
        <f>INDEX(TB!$P:$P,MATCH($E131,TB!$E:$E,0))</f>
        <v>1</v>
      </c>
      <c r="K131" s="38" t="str">
        <f>IF(OR($C131="01-09",$C131="10-14",$D131="Female"),"",INDEX(VMMC!$AA:$AA,MATCH($E131,VMMC!$E:$E,0)))</f>
        <v/>
      </c>
      <c r="L131" s="38">
        <f t="shared" si="33"/>
        <v>91</v>
      </c>
      <c r="M131" s="33">
        <f t="shared" si="34"/>
        <v>0.1440677966101695</v>
      </c>
      <c r="N131" s="33">
        <f t="shared" si="35"/>
        <v>7.6271186440677971E-2</v>
      </c>
      <c r="O131" s="33">
        <f t="shared" si="36"/>
        <v>8.4745762711864406E-3</v>
      </c>
      <c r="P131" s="33" t="str">
        <f t="shared" si="37"/>
        <v/>
      </c>
      <c r="Q131" s="33">
        <v>0.2109375</v>
      </c>
      <c r="R131" s="33"/>
      <c r="S131" s="33"/>
      <c r="T131" s="33">
        <v>0.05</v>
      </c>
      <c r="U131" s="33">
        <f t="shared" si="61"/>
        <v>0.510248940677966</v>
      </c>
      <c r="V131" s="33">
        <f t="shared" si="38"/>
        <v>1</v>
      </c>
      <c r="W131" s="218">
        <f t="shared" si="39"/>
        <v>25</v>
      </c>
      <c r="X131" s="33">
        <v>0.189</v>
      </c>
      <c r="Y131" s="218">
        <f t="shared" si="39"/>
        <v>25</v>
      </c>
      <c r="Z131" s="218">
        <f t="shared" si="40"/>
        <v>107</v>
      </c>
      <c r="AA131" s="33">
        <v>0.12</v>
      </c>
      <c r="AB131" s="218" t="str">
        <f t="shared" si="41"/>
        <v/>
      </c>
      <c r="AC131" s="218" t="str">
        <f t="shared" si="42"/>
        <v/>
      </c>
      <c r="AD131" s="33">
        <v>0.02</v>
      </c>
      <c r="AE131" s="218" t="str">
        <f t="shared" si="43"/>
        <v/>
      </c>
      <c r="AF131" s="218" t="str">
        <f t="shared" si="44"/>
        <v/>
      </c>
      <c r="AG131" s="33">
        <v>0.02</v>
      </c>
      <c r="AH131" s="218">
        <f t="shared" si="45"/>
        <v>6</v>
      </c>
      <c r="AI131" s="218">
        <f t="shared" si="46"/>
        <v>294</v>
      </c>
      <c r="AJ131" s="33">
        <v>1.7000000000000001E-2</v>
      </c>
      <c r="AK131" s="218">
        <f t="shared" si="47"/>
        <v>60</v>
      </c>
      <c r="AL131" s="218">
        <f t="shared" si="48"/>
        <v>3469</v>
      </c>
      <c r="AM131" s="38">
        <f t="shared" si="49"/>
        <v>118</v>
      </c>
      <c r="AN131" s="38">
        <f t="shared" si="50"/>
        <v>118</v>
      </c>
      <c r="AO131" s="38">
        <f t="shared" si="51"/>
        <v>0</v>
      </c>
      <c r="AP131" s="38">
        <f>IF(OR($C131="01-09",$D131="Male"),"",INDEX(PMTCT!$AD:$AD,MATCH($E131,PMTCT!$E:$E,0)))</f>
        <v>2215</v>
      </c>
      <c r="AQ131" s="38">
        <f>IF(OR($C131="01-09",$D131="Male"),"",INDEX(PMTCT!$AT:$AT,MATCH($E131,PMTCT!$E:$E,0)))</f>
        <v>2206</v>
      </c>
      <c r="AR131" s="38">
        <f>INDEX(TB!$Q:$Q,MATCH($E131,TB!$E:$E,0))</f>
        <v>22</v>
      </c>
      <c r="AS131" s="38" t="str">
        <f>IF(OR($C131="01-09",$C131="10-14",$D131="Female"),"",INDEX(VMMC!$AB:$AB,MATCH($E131,VMMC!$E:$E,0)))</f>
        <v/>
      </c>
      <c r="AT131" s="38">
        <f>IF(OR($C131="01-09",$C131="10-14"),"",INDEX(PrEP!$Q:$Q,MATCH($E131,PrEP!$E:$E,0)))</f>
        <v>202</v>
      </c>
      <c r="AU131" s="38">
        <f t="shared" si="52"/>
        <v>8515</v>
      </c>
      <c r="AV131" s="38">
        <f t="shared" si="53"/>
        <v>8633</v>
      </c>
      <c r="AW131" s="33">
        <f t="shared" si="54"/>
        <v>1.3668481408548592E-2</v>
      </c>
      <c r="AX131" s="38">
        <v>77</v>
      </c>
      <c r="AY131" s="33">
        <f t="shared" si="64"/>
        <v>0.68</v>
      </c>
      <c r="AZ131" s="218">
        <f t="shared" si="56"/>
        <v>129</v>
      </c>
      <c r="BA131" s="33">
        <v>0.41</v>
      </c>
      <c r="BB131" s="218">
        <f t="shared" si="57"/>
        <v>48</v>
      </c>
    </row>
    <row r="132" spans="1:54" x14ac:dyDescent="0.2">
      <c r="A132" t="str">
        <f>INDEX(Prioritization!$D:$D,MATCH($B132,Prioritization!$A:$A,0))</f>
        <v>INVALID</v>
      </c>
      <c r="B132" t="s">
        <v>300</v>
      </c>
      <c r="C132" t="s">
        <v>477</v>
      </c>
      <c r="D132" t="s">
        <v>48</v>
      </c>
      <c r="E132" t="str">
        <f t="shared" si="32"/>
        <v>Kasungu District [JQKLKuVuY61]|35-49|Male</v>
      </c>
      <c r="F132" s="33">
        <f>IF(LEFT($B132,4)="_Mil","",INDEX(Cascade!$AA:$AA,MATCH($E132,Cascade!$E:$E,0)))</f>
        <v>0.92758116099999988</v>
      </c>
      <c r="G132" s="38">
        <f>INDEX(Cascade!$BH:$BH,MATCH($E132,Cascade!$E:$E,0))</f>
        <v>60</v>
      </c>
      <c r="H132" s="38" t="str">
        <f>IF(OR($C132="01-09",$D132="Male"),"",INDEX(PMTCT!$AC:$AC,MATCH($E132,PMTCT!$E:$E,0)))</f>
        <v/>
      </c>
      <c r="I132" s="38" t="str">
        <f>IF(OR($C132="01-09",$D132="Male"),"",INDEX(PMTCT!$AS:$AS,MATCH($E132,PMTCT!$E:$E,0)))</f>
        <v/>
      </c>
      <c r="J132" s="38">
        <f>INDEX(TB!$P:$P,MATCH($E132,TB!$E:$E,0))</f>
        <v>2</v>
      </c>
      <c r="K132" s="38" t="str">
        <f>IF(OR($C132="01-09",$C132="10-14",$D132="Female"),"",INDEX(VMMC!$AA:$AA,MATCH($E132,VMMC!$E:$E,0)))</f>
        <v/>
      </c>
      <c r="L132" s="38">
        <f t="shared" si="33"/>
        <v>58</v>
      </c>
      <c r="M132" s="33" t="str">
        <f t="shared" si="34"/>
        <v/>
      </c>
      <c r="N132" s="33" t="str">
        <f t="shared" si="35"/>
        <v/>
      </c>
      <c r="O132" s="33">
        <f t="shared" si="36"/>
        <v>3.3333333333333333E-2</v>
      </c>
      <c r="P132" s="33">
        <f t="shared" si="37"/>
        <v>0</v>
      </c>
      <c r="Q132" s="33">
        <v>0.38461538461538503</v>
      </c>
      <c r="R132" s="33"/>
      <c r="S132" s="33"/>
      <c r="T132" s="33">
        <v>0.05</v>
      </c>
      <c r="U132" s="33">
        <f t="shared" si="61"/>
        <v>0.53205128205128172</v>
      </c>
      <c r="V132" s="33">
        <f t="shared" si="38"/>
        <v>1</v>
      </c>
      <c r="W132" s="218">
        <f t="shared" si="39"/>
        <v>23</v>
      </c>
      <c r="X132" s="33">
        <v>0.24</v>
      </c>
      <c r="Y132" s="218">
        <f t="shared" si="39"/>
        <v>23</v>
      </c>
      <c r="Z132" s="218">
        <f t="shared" si="40"/>
        <v>73</v>
      </c>
      <c r="AA132" s="33">
        <v>0.12</v>
      </c>
      <c r="AB132" s="218" t="str">
        <f t="shared" si="41"/>
        <v/>
      </c>
      <c r="AC132" s="218" t="str">
        <f t="shared" si="42"/>
        <v/>
      </c>
      <c r="AD132" s="33">
        <v>0.02</v>
      </c>
      <c r="AE132" s="218" t="str">
        <f t="shared" si="43"/>
        <v/>
      </c>
      <c r="AF132" s="218" t="str">
        <f t="shared" si="44"/>
        <v/>
      </c>
      <c r="AG132" s="33">
        <v>0.02</v>
      </c>
      <c r="AH132" s="218">
        <f t="shared" si="45"/>
        <v>3</v>
      </c>
      <c r="AI132" s="218">
        <f t="shared" si="46"/>
        <v>147</v>
      </c>
      <c r="AJ132" s="33">
        <v>3.1E-2</v>
      </c>
      <c r="AK132" s="218">
        <f t="shared" si="47"/>
        <v>32</v>
      </c>
      <c r="AL132" s="218">
        <f t="shared" si="48"/>
        <v>1000</v>
      </c>
      <c r="AM132" s="38">
        <f t="shared" si="49"/>
        <v>60</v>
      </c>
      <c r="AN132" s="38">
        <f t="shared" si="50"/>
        <v>60</v>
      </c>
      <c r="AO132" s="38">
        <f t="shared" si="51"/>
        <v>0</v>
      </c>
      <c r="AP132" s="38" t="str">
        <f>IF(OR($C132="01-09",$D132="Male"),"",INDEX(PMTCT!$AD:$AD,MATCH($E132,PMTCT!$E:$E,0)))</f>
        <v/>
      </c>
      <c r="AQ132" s="38" t="str">
        <f>IF(OR($C132="01-09",$D132="Male"),"",INDEX(PMTCT!$AT:$AT,MATCH($E132,PMTCT!$E:$E,0)))</f>
        <v/>
      </c>
      <c r="AR132" s="38">
        <f>INDEX(TB!$Q:$Q,MATCH($E132,TB!$E:$E,0))</f>
        <v>36</v>
      </c>
      <c r="AS132" s="38" t="str">
        <f>IF(OR($C132="01-09",$C132="10-14",$D132="Female"),"",INDEX(VMMC!$AB:$AB,MATCH($E132,VMMC!$E:$E,0)))</f>
        <v/>
      </c>
      <c r="AT132" s="38">
        <f>IF(OR($C132="01-09",$C132="10-14"),"",INDEX(PrEP!$Q:$Q,MATCH($E132,PrEP!$E:$E,0)))</f>
        <v>108</v>
      </c>
      <c r="AU132" s="38">
        <f t="shared" si="52"/>
        <v>1364</v>
      </c>
      <c r="AV132" s="38">
        <f t="shared" si="53"/>
        <v>1424</v>
      </c>
      <c r="AW132" s="33">
        <f t="shared" si="54"/>
        <v>4.2134831460674156E-2</v>
      </c>
      <c r="AX132" s="38">
        <v>64</v>
      </c>
      <c r="AY132" s="33">
        <f t="shared" si="64"/>
        <v>0.68</v>
      </c>
      <c r="AZ132" s="218">
        <f t="shared" si="56"/>
        <v>108</v>
      </c>
      <c r="BA132" s="33">
        <v>0.41</v>
      </c>
      <c r="BB132" s="218">
        <f t="shared" si="57"/>
        <v>25</v>
      </c>
    </row>
    <row r="133" spans="1:54" x14ac:dyDescent="0.2">
      <c r="A133" t="str">
        <f>INDEX(Prioritization!$D:$D,MATCH($B133,Prioritization!$A:$A,0))</f>
        <v>INVALID</v>
      </c>
      <c r="B133" t="s">
        <v>300</v>
      </c>
      <c r="C133" t="s">
        <v>478</v>
      </c>
      <c r="D133" t="s">
        <v>30</v>
      </c>
      <c r="E133" t="str">
        <f t="shared" si="32"/>
        <v>Kasungu District [JQKLKuVuY61]|50+|Female</v>
      </c>
      <c r="F133" s="33">
        <f>IF(LEFT($B133,4)="_Mil","",INDEX(Cascade!$AA:$AA,MATCH($E133,Cascade!$E:$E,0)))</f>
        <v>0.98875709199999995</v>
      </c>
      <c r="G133" s="38">
        <f>INDEX(Cascade!$BH:$BH,MATCH($E133,Cascade!$E:$E,0))</f>
        <v>129</v>
      </c>
      <c r="H133" s="38">
        <f>IF(OR($C133="01-09",$D133="Male"),"",INDEX(PMTCT!$AC:$AC,MATCH($E133,PMTCT!$E:$E,0)))</f>
        <v>0</v>
      </c>
      <c r="I133" s="38">
        <f>IF(OR($C133="01-09",$D133="Male"),"",INDEX(PMTCT!$AS:$AS,MATCH($E133,PMTCT!$E:$E,0)))</f>
        <v>0</v>
      </c>
      <c r="J133" s="38">
        <f>INDEX(TB!$P:$P,MATCH($E133,TB!$E:$E,0))</f>
        <v>0</v>
      </c>
      <c r="K133" s="38" t="str">
        <f>IF(OR($C133="01-09",$C133="10-14",$D133="Female"),"",INDEX(VMMC!$AA:$AA,MATCH($E133,VMMC!$E:$E,0)))</f>
        <v/>
      </c>
      <c r="L133" s="38">
        <f t="shared" si="33"/>
        <v>129</v>
      </c>
      <c r="M133" s="33">
        <f t="shared" si="34"/>
        <v>0</v>
      </c>
      <c r="N133" s="33">
        <f t="shared" si="35"/>
        <v>0</v>
      </c>
      <c r="O133" s="33">
        <f t="shared" si="36"/>
        <v>0</v>
      </c>
      <c r="P133" s="33" t="str">
        <f t="shared" si="37"/>
        <v/>
      </c>
      <c r="Q133" s="33">
        <v>0.15</v>
      </c>
      <c r="R133" s="33"/>
      <c r="S133" s="33"/>
      <c r="T133" s="33">
        <v>0.05</v>
      </c>
      <c r="U133" s="33">
        <f t="shared" si="61"/>
        <v>0.8</v>
      </c>
      <c r="V133" s="33">
        <f t="shared" si="38"/>
        <v>1</v>
      </c>
      <c r="W133" s="218">
        <f t="shared" si="39"/>
        <v>19</v>
      </c>
      <c r="X133" s="33">
        <v>0.14299999999999999</v>
      </c>
      <c r="Y133" s="218">
        <f t="shared" si="39"/>
        <v>19</v>
      </c>
      <c r="Z133" s="218">
        <f t="shared" si="40"/>
        <v>114</v>
      </c>
      <c r="AA133" s="33">
        <v>0.12</v>
      </c>
      <c r="AB133" s="218" t="str">
        <f t="shared" si="41"/>
        <v/>
      </c>
      <c r="AC133" s="218" t="str">
        <f t="shared" si="42"/>
        <v/>
      </c>
      <c r="AD133" s="33">
        <v>0.02</v>
      </c>
      <c r="AE133" s="218" t="str">
        <f t="shared" si="43"/>
        <v/>
      </c>
      <c r="AF133" s="218" t="str">
        <f t="shared" si="44"/>
        <v/>
      </c>
      <c r="AG133" s="33">
        <v>0.02</v>
      </c>
      <c r="AH133" s="218">
        <f t="shared" si="45"/>
        <v>6</v>
      </c>
      <c r="AI133" s="218">
        <f t="shared" si="46"/>
        <v>294</v>
      </c>
      <c r="AJ133" s="33">
        <v>1.2999999999999999E-2</v>
      </c>
      <c r="AK133" s="218">
        <f t="shared" si="47"/>
        <v>103</v>
      </c>
      <c r="AL133" s="218">
        <f t="shared" si="48"/>
        <v>7820</v>
      </c>
      <c r="AM133" s="38">
        <f t="shared" si="49"/>
        <v>129</v>
      </c>
      <c r="AN133" s="38">
        <f t="shared" si="50"/>
        <v>128</v>
      </c>
      <c r="AO133" s="38">
        <f t="shared" si="51"/>
        <v>-1</v>
      </c>
      <c r="AP133" s="38">
        <f>IF(OR($C133="01-09",$D133="Male"),"",INDEX(PMTCT!$AD:$AD,MATCH($E133,PMTCT!$E:$E,0)))</f>
        <v>11</v>
      </c>
      <c r="AQ133" s="38">
        <f>IF(OR($C133="01-09",$D133="Male"),"",INDEX(PMTCT!$AT:$AT,MATCH($E133,PMTCT!$E:$E,0)))</f>
        <v>11</v>
      </c>
      <c r="AR133" s="38">
        <f>INDEX(TB!$Q:$Q,MATCH($E133,TB!$E:$E,0))</f>
        <v>8</v>
      </c>
      <c r="AS133" s="38" t="str">
        <f>IF(OR($C133="01-09",$C133="10-14",$D133="Female"),"",INDEX(VMMC!$AB:$AB,MATCH($E133,VMMC!$E:$E,0)))</f>
        <v/>
      </c>
      <c r="AT133" s="38">
        <f>IF(OR($C133="01-09",$C133="10-14"),"",INDEX(PrEP!$Q:$Q,MATCH($E133,PrEP!$E:$E,0)))</f>
        <v>54</v>
      </c>
      <c r="AU133" s="38">
        <f t="shared" si="52"/>
        <v>8312</v>
      </c>
      <c r="AV133" s="38">
        <f t="shared" si="53"/>
        <v>8440</v>
      </c>
      <c r="AW133" s="33">
        <f t="shared" si="54"/>
        <v>1.5165876777251185E-2</v>
      </c>
      <c r="AX133" s="38">
        <v>48</v>
      </c>
      <c r="AY133" s="33">
        <f t="shared" si="58"/>
        <v>0</v>
      </c>
      <c r="AZ133" s="218">
        <f t="shared" si="56"/>
        <v>48</v>
      </c>
      <c r="BA133" s="33">
        <v>0.41</v>
      </c>
      <c r="BB133" s="218">
        <f t="shared" si="57"/>
        <v>52</v>
      </c>
    </row>
    <row r="134" spans="1:54" x14ac:dyDescent="0.2">
      <c r="A134" t="str">
        <f>INDEX(Prioritization!$D:$D,MATCH($B134,Prioritization!$A:$A,0))</f>
        <v>INVALID</v>
      </c>
      <c r="B134" t="s">
        <v>300</v>
      </c>
      <c r="C134" t="s">
        <v>478</v>
      </c>
      <c r="D134" t="s">
        <v>48</v>
      </c>
      <c r="E134" t="str">
        <f t="shared" si="32"/>
        <v>Kasungu District [JQKLKuVuY61]|50+|Male</v>
      </c>
      <c r="F134" s="33">
        <f>IF(LEFT($B134,4)="_Mil","",INDEX(Cascade!$AA:$AA,MATCH($E134,Cascade!$E:$E,0)))</f>
        <v>0.95031301300000004</v>
      </c>
      <c r="G134" s="38">
        <f>INDEX(Cascade!$BH:$BH,MATCH($E134,Cascade!$E:$E,0))</f>
        <v>85</v>
      </c>
      <c r="H134" s="38" t="str">
        <f>IF(OR($C134="01-09",$D134="Male"),"",INDEX(PMTCT!$AC:$AC,MATCH($E134,PMTCT!$E:$E,0)))</f>
        <v/>
      </c>
      <c r="I134" s="38" t="str">
        <f>IF(OR($C134="01-09",$D134="Male"),"",INDEX(PMTCT!$AS:$AS,MATCH($E134,PMTCT!$E:$E,0)))</f>
        <v/>
      </c>
      <c r="J134" s="38">
        <f>INDEX(TB!$P:$P,MATCH($E134,TB!$E:$E,0))</f>
        <v>1</v>
      </c>
      <c r="K134" s="38" t="str">
        <f>IF(OR($C134="01-09",$C134="10-14",$D134="Female"),"",INDEX(VMMC!$AA:$AA,MATCH($E134,VMMC!$E:$E,0)))</f>
        <v/>
      </c>
      <c r="L134" s="38">
        <f t="shared" si="33"/>
        <v>84</v>
      </c>
      <c r="M134" s="33" t="str">
        <f t="shared" si="34"/>
        <v/>
      </c>
      <c r="N134" s="33" t="str">
        <f t="shared" si="35"/>
        <v/>
      </c>
      <c r="O134" s="33">
        <f t="shared" si="36"/>
        <v>1.1764705882352941E-2</v>
      </c>
      <c r="P134" s="33">
        <f t="shared" si="37"/>
        <v>0</v>
      </c>
      <c r="Q134" s="33">
        <v>0.15</v>
      </c>
      <c r="R134" s="33"/>
      <c r="S134" s="33"/>
      <c r="T134" s="33">
        <v>0.05</v>
      </c>
      <c r="U134" s="33">
        <f t="shared" si="61"/>
        <v>0.78823529411764715</v>
      </c>
      <c r="V134" s="33">
        <f t="shared" si="38"/>
        <v>1</v>
      </c>
      <c r="W134" s="218">
        <f t="shared" si="39"/>
        <v>13</v>
      </c>
      <c r="X134" s="33">
        <v>0.36799999999999999</v>
      </c>
      <c r="Y134" s="218">
        <f t="shared" si="39"/>
        <v>13</v>
      </c>
      <c r="Z134" s="218">
        <f t="shared" si="40"/>
        <v>22</v>
      </c>
      <c r="AA134" s="33">
        <v>0.12</v>
      </c>
      <c r="AB134" s="218" t="str">
        <f t="shared" si="41"/>
        <v/>
      </c>
      <c r="AC134" s="218" t="str">
        <f t="shared" si="42"/>
        <v/>
      </c>
      <c r="AD134" s="33">
        <v>0.02</v>
      </c>
      <c r="AE134" s="218" t="str">
        <f t="shared" si="43"/>
        <v/>
      </c>
      <c r="AF134" s="218" t="str">
        <f t="shared" si="44"/>
        <v/>
      </c>
      <c r="AG134" s="33">
        <v>0.02</v>
      </c>
      <c r="AH134" s="218">
        <f t="shared" si="45"/>
        <v>4</v>
      </c>
      <c r="AI134" s="218">
        <f t="shared" si="46"/>
        <v>196</v>
      </c>
      <c r="AJ134" s="33">
        <v>2.3E-2</v>
      </c>
      <c r="AK134" s="218">
        <f t="shared" si="47"/>
        <v>67</v>
      </c>
      <c r="AL134" s="218">
        <f t="shared" si="48"/>
        <v>2846</v>
      </c>
      <c r="AM134" s="38">
        <f t="shared" si="49"/>
        <v>85</v>
      </c>
      <c r="AN134" s="38">
        <f t="shared" si="50"/>
        <v>85</v>
      </c>
      <c r="AO134" s="38">
        <f t="shared" si="51"/>
        <v>0</v>
      </c>
      <c r="AP134" s="38" t="str">
        <f>IF(OR($C134="01-09",$D134="Male"),"",INDEX(PMTCT!$AD:$AD,MATCH($E134,PMTCT!$E:$E,0)))</f>
        <v/>
      </c>
      <c r="AQ134" s="38" t="str">
        <f>IF(OR($C134="01-09",$D134="Male"),"",INDEX(PMTCT!$AT:$AT,MATCH($E134,PMTCT!$E:$E,0)))</f>
        <v/>
      </c>
      <c r="AR134" s="38">
        <f>INDEX(TB!$Q:$Q,MATCH($E134,TB!$E:$E,0))</f>
        <v>13</v>
      </c>
      <c r="AS134" s="38" t="str">
        <f>IF(OR($C134="01-09",$C134="10-14",$D134="Female"),"",INDEX(VMMC!$AB:$AB,MATCH($E134,VMMC!$E:$E,0)))</f>
        <v/>
      </c>
      <c r="AT134" s="38">
        <f>IF(OR($C134="01-09",$C134="10-14"),"",INDEX(PrEP!$Q:$Q,MATCH($E134,PrEP!$E:$E,0)))</f>
        <v>66</v>
      </c>
      <c r="AU134" s="38">
        <f t="shared" si="52"/>
        <v>3143</v>
      </c>
      <c r="AV134" s="38">
        <f t="shared" si="53"/>
        <v>3228</v>
      </c>
      <c r="AW134" s="33">
        <f t="shared" si="54"/>
        <v>2.6332094175960347E-2</v>
      </c>
      <c r="AX134" s="38">
        <v>49</v>
      </c>
      <c r="AY134" s="33">
        <f t="shared" si="58"/>
        <v>0</v>
      </c>
      <c r="AZ134" s="218">
        <f t="shared" si="56"/>
        <v>49</v>
      </c>
      <c r="BA134" s="33">
        <v>0.41</v>
      </c>
      <c r="BB134" s="218">
        <f t="shared" si="57"/>
        <v>35</v>
      </c>
    </row>
    <row r="135" spans="1:54" x14ac:dyDescent="0.2">
      <c r="A135" t="str">
        <f>INDEX(Prioritization!$D:$D,MATCH($B135,Prioritization!$A:$A,0))</f>
        <v>4 - Sustained</v>
      </c>
      <c r="B135" t="s">
        <v>309</v>
      </c>
      <c r="C135" t="s">
        <v>473</v>
      </c>
      <c r="D135" t="s">
        <v>30</v>
      </c>
      <c r="E135" t="str">
        <f t="shared" si="32"/>
        <v>Likoma District [ZCjuwgaMB9u]|01-09|Female</v>
      </c>
      <c r="F135" s="33">
        <f>IF(LEFT($B135,4)="_Mil","",INDEX(Cascade!$AA:$AA,MATCH($E135,Cascade!$E:$E,0)))</f>
        <v>0.82520635600000003</v>
      </c>
      <c r="G135" s="38">
        <f>INDEX(Cascade!$BH:$BH,MATCH($E135,Cascade!$E:$E,0))</f>
        <v>0</v>
      </c>
      <c r="H135" s="38" t="str">
        <f>IF(OR($C135="01-09",$D135="Male"),"",INDEX(PMTCT!$AC:$AC,MATCH($E135,PMTCT!$E:$E,0)))</f>
        <v/>
      </c>
      <c r="I135" s="38" t="str">
        <f>IF(OR($C135="01-09",$D135="Male"),"",INDEX(PMTCT!$AS:$AS,MATCH($E135,PMTCT!$E:$E,0)))</f>
        <v/>
      </c>
      <c r="J135" s="38" t="str">
        <f>INDEX(TB!$P:$P,MATCH($E135,TB!$E:$E,0))</f>
        <v/>
      </c>
      <c r="K135" s="38" t="str">
        <f>IF(OR($C135="01-09",$C135="10-14",$D135="Female"),"",INDEX(VMMC!$AA:$AA,MATCH($E135,VMMC!$E:$E,0)))</f>
        <v/>
      </c>
      <c r="L135" s="38">
        <f t="shared" si="33"/>
        <v>0</v>
      </c>
      <c r="M135" s="33" t="str">
        <f t="shared" si="34"/>
        <v/>
      </c>
      <c r="N135" s="33" t="str">
        <f t="shared" si="35"/>
        <v/>
      </c>
      <c r="O135" s="33" t="str">
        <f t="shared" si="36"/>
        <v/>
      </c>
      <c r="P135" s="33" t="str">
        <f t="shared" si="37"/>
        <v/>
      </c>
      <c r="Q135" s="33"/>
      <c r="R135" s="33"/>
      <c r="S135" s="33"/>
      <c r="T135" s="33"/>
      <c r="U135" s="33">
        <f t="shared" si="61"/>
        <v>1</v>
      </c>
      <c r="V135" s="33" t="str">
        <f t="shared" si="38"/>
        <v/>
      </c>
      <c r="W135" s="218" t="str">
        <f t="shared" si="39"/>
        <v/>
      </c>
      <c r="X135" s="33">
        <v>0.1</v>
      </c>
      <c r="Y135" s="218" t="str">
        <f t="shared" si="39"/>
        <v/>
      </c>
      <c r="Z135" s="218" t="str">
        <f t="shared" si="40"/>
        <v/>
      </c>
      <c r="AA135" s="33">
        <v>0.12</v>
      </c>
      <c r="AB135" s="218" t="str">
        <f t="shared" si="41"/>
        <v/>
      </c>
      <c r="AC135" s="218" t="str">
        <f t="shared" si="42"/>
        <v/>
      </c>
      <c r="AD135" s="33">
        <v>0.02</v>
      </c>
      <c r="AE135" s="218" t="str">
        <f t="shared" si="43"/>
        <v/>
      </c>
      <c r="AF135" s="218" t="str">
        <f t="shared" si="44"/>
        <v/>
      </c>
      <c r="AG135" s="33">
        <v>0.02</v>
      </c>
      <c r="AH135" s="218" t="str">
        <f t="shared" si="45"/>
        <v/>
      </c>
      <c r="AI135" s="218" t="str">
        <f t="shared" si="46"/>
        <v/>
      </c>
      <c r="AJ135" s="33">
        <v>5.7999999999999996E-3</v>
      </c>
      <c r="AK135" s="218" t="str">
        <f t="shared" si="47"/>
        <v/>
      </c>
      <c r="AL135" s="218" t="str">
        <f t="shared" si="48"/>
        <v/>
      </c>
      <c r="AM135" s="38" t="str">
        <f t="shared" si="49"/>
        <v/>
      </c>
      <c r="AN135" s="38" t="str">
        <f t="shared" si="50"/>
        <v/>
      </c>
      <c r="AO135" s="38" t="str">
        <f t="shared" si="51"/>
        <v/>
      </c>
      <c r="AP135" s="38" t="str">
        <f>IF(OR($C135="01-09",$D135="Male"),"",INDEX(PMTCT!$AD:$AD,MATCH($E135,PMTCT!$E:$E,0)))</f>
        <v/>
      </c>
      <c r="AQ135" s="38" t="str">
        <f>IF(OR($C135="01-09",$D135="Male"),"",INDEX(PMTCT!$AT:$AT,MATCH($E135,PMTCT!$E:$E,0)))</f>
        <v/>
      </c>
      <c r="AR135" s="38" t="str">
        <f>INDEX(TB!$Q:$Q,MATCH($E135,TB!$E:$E,0))</f>
        <v/>
      </c>
      <c r="AS135" s="38" t="str">
        <f>IF(OR($C135="01-09",$C135="10-14",$D135="Female"),"",INDEX(VMMC!$AB:$AB,MATCH($E135,VMMC!$E:$E,0)))</f>
        <v/>
      </c>
      <c r="AT135" s="38" t="str">
        <f>IF(OR($C135="01-09",$C135="10-14"),"",INDEX(PrEP!$Q:$Q,MATCH($E135,PrEP!$E:$E,0)))</f>
        <v/>
      </c>
      <c r="AU135" s="38" t="str">
        <f t="shared" si="52"/>
        <v/>
      </c>
      <c r="AV135" s="38" t="str">
        <f t="shared" si="53"/>
        <v/>
      </c>
      <c r="AW135" s="33" t="str">
        <f t="shared" si="54"/>
        <v/>
      </c>
      <c r="AX135" s="38"/>
      <c r="AY135" s="33" t="str">
        <f t="shared" si="58"/>
        <v/>
      </c>
      <c r="AZ135" s="218" t="str">
        <f t="shared" si="56"/>
        <v/>
      </c>
      <c r="BA135" s="33" t="str">
        <f t="shared" si="59"/>
        <v/>
      </c>
      <c r="BB135" s="218" t="str">
        <f t="shared" si="57"/>
        <v/>
      </c>
    </row>
    <row r="136" spans="1:54" x14ac:dyDescent="0.2">
      <c r="A136" t="str">
        <f>INDEX(Prioritization!$D:$D,MATCH($B136,Prioritization!$A:$A,0))</f>
        <v>4 - Sustained</v>
      </c>
      <c r="B136" t="s">
        <v>309</v>
      </c>
      <c r="C136" t="s">
        <v>473</v>
      </c>
      <c r="D136" t="s">
        <v>48</v>
      </c>
      <c r="E136" t="str">
        <f t="shared" si="32"/>
        <v>Likoma District [ZCjuwgaMB9u]|01-09|Male</v>
      </c>
      <c r="F136" s="33">
        <f>IF(LEFT($B136,4)="_Mil","",INDEX(Cascade!$AA:$AA,MATCH($E136,Cascade!$E:$E,0)))</f>
        <v>0.824610764</v>
      </c>
      <c r="G136" s="38">
        <f>INDEX(Cascade!$BH:$BH,MATCH($E136,Cascade!$E:$E,0))</f>
        <v>1</v>
      </c>
      <c r="H136" s="38" t="str">
        <f>IF(OR($C136="01-09",$D136="Male"),"",INDEX(PMTCT!$AC:$AC,MATCH($E136,PMTCT!$E:$E,0)))</f>
        <v/>
      </c>
      <c r="I136" s="38" t="str">
        <f>IF(OR($C136="01-09",$D136="Male"),"",INDEX(PMTCT!$AS:$AS,MATCH($E136,PMTCT!$E:$E,0)))</f>
        <v/>
      </c>
      <c r="J136" s="38" t="str">
        <f>INDEX(TB!$P:$P,MATCH($E136,TB!$E:$E,0))</f>
        <v/>
      </c>
      <c r="K136" s="38" t="str">
        <f>IF(OR($C136="01-09",$C136="10-14",$D136="Female"),"",INDEX(VMMC!$AA:$AA,MATCH($E136,VMMC!$E:$E,0)))</f>
        <v/>
      </c>
      <c r="L136" s="38">
        <f t="shared" si="33"/>
        <v>1</v>
      </c>
      <c r="M136" s="33" t="str">
        <f t="shared" si="34"/>
        <v/>
      </c>
      <c r="N136" s="33" t="str">
        <f t="shared" si="35"/>
        <v/>
      </c>
      <c r="O136" s="33">
        <f t="shared" si="36"/>
        <v>0</v>
      </c>
      <c r="P136" s="33" t="str">
        <f t="shared" si="37"/>
        <v/>
      </c>
      <c r="Q136" s="33"/>
      <c r="R136" s="33"/>
      <c r="S136" s="33"/>
      <c r="T136" s="33"/>
      <c r="U136" s="33">
        <f t="shared" si="61"/>
        <v>1</v>
      </c>
      <c r="V136" s="33">
        <f t="shared" si="38"/>
        <v>1</v>
      </c>
      <c r="W136" s="218" t="str">
        <f t="shared" si="39"/>
        <v/>
      </c>
      <c r="X136" s="33">
        <v>0.1</v>
      </c>
      <c r="Y136" s="218" t="str">
        <f t="shared" si="39"/>
        <v/>
      </c>
      <c r="Z136" s="218" t="str">
        <f t="shared" si="40"/>
        <v/>
      </c>
      <c r="AA136" s="33">
        <v>0.12</v>
      </c>
      <c r="AB136" s="218" t="str">
        <f t="shared" si="41"/>
        <v/>
      </c>
      <c r="AC136" s="218" t="str">
        <f t="shared" si="42"/>
        <v/>
      </c>
      <c r="AD136" s="33">
        <v>0.02</v>
      </c>
      <c r="AE136" s="218" t="str">
        <f t="shared" si="43"/>
        <v/>
      </c>
      <c r="AF136" s="218" t="str">
        <f t="shared" si="44"/>
        <v/>
      </c>
      <c r="AG136" s="33">
        <v>0.02</v>
      </c>
      <c r="AH136" s="218" t="str">
        <f t="shared" si="45"/>
        <v/>
      </c>
      <c r="AI136" s="218" t="str">
        <f t="shared" si="46"/>
        <v/>
      </c>
      <c r="AJ136" s="33">
        <v>1.0999999999999999E-2</v>
      </c>
      <c r="AK136" s="218">
        <f t="shared" si="47"/>
        <v>1</v>
      </c>
      <c r="AL136" s="218">
        <f t="shared" si="48"/>
        <v>90</v>
      </c>
      <c r="AM136" s="38">
        <f t="shared" si="49"/>
        <v>1</v>
      </c>
      <c r="AN136" s="38">
        <f t="shared" si="50"/>
        <v>1</v>
      </c>
      <c r="AO136" s="38">
        <f t="shared" si="51"/>
        <v>0</v>
      </c>
      <c r="AP136" s="38" t="str">
        <f>IF(OR($C136="01-09",$D136="Male"),"",INDEX(PMTCT!$AD:$AD,MATCH($E136,PMTCT!$E:$E,0)))</f>
        <v/>
      </c>
      <c r="AQ136" s="38" t="str">
        <f>IF(OR($C136="01-09",$D136="Male"),"",INDEX(PMTCT!$AT:$AT,MATCH($E136,PMTCT!$E:$E,0)))</f>
        <v/>
      </c>
      <c r="AR136" s="38" t="str">
        <f>INDEX(TB!$Q:$Q,MATCH($E136,TB!$E:$E,0))</f>
        <v/>
      </c>
      <c r="AS136" s="38" t="str">
        <f>IF(OR($C136="01-09",$C136="10-14",$D136="Female"),"",INDEX(VMMC!$AB:$AB,MATCH($E136,VMMC!$E:$E,0)))</f>
        <v/>
      </c>
      <c r="AT136" s="38" t="str">
        <f>IF(OR($C136="01-09",$C136="10-14"),"",INDEX(PrEP!$Q:$Q,MATCH($E136,PrEP!$E:$E,0)))</f>
        <v/>
      </c>
      <c r="AU136" s="38">
        <f t="shared" si="52"/>
        <v>90</v>
      </c>
      <c r="AV136" s="38">
        <f t="shared" si="53"/>
        <v>91</v>
      </c>
      <c r="AW136" s="33">
        <f t="shared" si="54"/>
        <v>1.098901098901099E-2</v>
      </c>
      <c r="AX136" s="38"/>
      <c r="AY136" s="33" t="str">
        <f t="shared" si="58"/>
        <v/>
      </c>
      <c r="AZ136" s="218" t="str">
        <f t="shared" si="56"/>
        <v/>
      </c>
      <c r="BA136" s="33" t="str">
        <f t="shared" si="59"/>
        <v/>
      </c>
      <c r="BB136" s="218" t="str">
        <f t="shared" si="57"/>
        <v/>
      </c>
    </row>
    <row r="137" spans="1:54" x14ac:dyDescent="0.2">
      <c r="A137" t="str">
        <f>INDEX(Prioritization!$D:$D,MATCH($B137,Prioritization!$A:$A,0))</f>
        <v>4 - Sustained</v>
      </c>
      <c r="B137" t="s">
        <v>309</v>
      </c>
      <c r="C137" t="s">
        <v>474</v>
      </c>
      <c r="D137" t="s">
        <v>30</v>
      </c>
      <c r="E137" t="str">
        <f t="shared" si="32"/>
        <v>Likoma District [ZCjuwgaMB9u]|10-14|Female</v>
      </c>
      <c r="F137" s="33">
        <f>IF(LEFT($B137,4)="_Mil","",INDEX(Cascade!$AA:$AA,MATCH($E137,Cascade!$E:$E,0)))</f>
        <v>0.84996440100000015</v>
      </c>
      <c r="G137" s="38">
        <f>INDEX(Cascade!$BH:$BH,MATCH($E137,Cascade!$E:$E,0))</f>
        <v>2</v>
      </c>
      <c r="H137" s="38">
        <f>IF(OR($C137="01-09",$D137="Male"),"",INDEX(PMTCT!$AC:$AC,MATCH($E137,PMTCT!$E:$E,0)))</f>
        <v>0</v>
      </c>
      <c r="I137" s="38">
        <f>IF(OR($C137="01-09",$D137="Male"),"",INDEX(PMTCT!$AS:$AS,MATCH($E137,PMTCT!$E:$E,0)))</f>
        <v>0</v>
      </c>
      <c r="J137" s="38" t="str">
        <f>INDEX(TB!$P:$P,MATCH($E137,TB!$E:$E,0))</f>
        <v/>
      </c>
      <c r="K137" s="38" t="str">
        <f>IF(OR($C137="01-09",$C137="10-14",$D137="Female"),"",INDEX(VMMC!$AA:$AA,MATCH($E137,VMMC!$E:$E,0)))</f>
        <v/>
      </c>
      <c r="L137" s="38">
        <f t="shared" si="33"/>
        <v>2</v>
      </c>
      <c r="M137" s="33">
        <f t="shared" si="34"/>
        <v>0</v>
      </c>
      <c r="N137" s="33">
        <f t="shared" si="35"/>
        <v>0</v>
      </c>
      <c r="O137" s="33">
        <f t="shared" si="36"/>
        <v>0</v>
      </c>
      <c r="P137" s="33" t="str">
        <f t="shared" si="37"/>
        <v/>
      </c>
      <c r="Q137" s="33"/>
      <c r="R137" s="33"/>
      <c r="S137" s="33"/>
      <c r="T137" s="33"/>
      <c r="U137" s="33">
        <f t="shared" si="61"/>
        <v>1</v>
      </c>
      <c r="V137" s="33">
        <f t="shared" si="38"/>
        <v>1</v>
      </c>
      <c r="W137" s="218" t="str">
        <f t="shared" si="39"/>
        <v/>
      </c>
      <c r="X137" s="33"/>
      <c r="Y137" s="218" t="str">
        <f t="shared" si="39"/>
        <v/>
      </c>
      <c r="Z137" s="218" t="str">
        <f t="shared" si="40"/>
        <v/>
      </c>
      <c r="AA137" s="33">
        <v>0.12</v>
      </c>
      <c r="AB137" s="218" t="str">
        <f t="shared" si="41"/>
        <v/>
      </c>
      <c r="AC137" s="218" t="str">
        <f t="shared" si="42"/>
        <v/>
      </c>
      <c r="AD137" s="33">
        <v>0.02</v>
      </c>
      <c r="AE137" s="218" t="str">
        <f t="shared" si="43"/>
        <v/>
      </c>
      <c r="AF137" s="218" t="str">
        <f t="shared" si="44"/>
        <v/>
      </c>
      <c r="AG137" s="33">
        <v>0.02</v>
      </c>
      <c r="AH137" s="218" t="str">
        <f t="shared" si="45"/>
        <v/>
      </c>
      <c r="AI137" s="218" t="str">
        <f t="shared" si="46"/>
        <v/>
      </c>
      <c r="AJ137" s="33">
        <v>1.2E-2</v>
      </c>
      <c r="AK137" s="218">
        <f t="shared" si="47"/>
        <v>2</v>
      </c>
      <c r="AL137" s="218">
        <f t="shared" si="48"/>
        <v>165</v>
      </c>
      <c r="AM137" s="38">
        <f t="shared" si="49"/>
        <v>2</v>
      </c>
      <c r="AN137" s="38">
        <f t="shared" si="50"/>
        <v>2</v>
      </c>
      <c r="AO137" s="38">
        <f t="shared" si="51"/>
        <v>0</v>
      </c>
      <c r="AP137" s="38">
        <f>IF(OR($C137="01-09",$D137="Male"),"",INDEX(PMTCT!$AD:$AD,MATCH($E137,PMTCT!$E:$E,0)))</f>
        <v>2</v>
      </c>
      <c r="AQ137" s="38">
        <f>IF(OR($C137="01-09",$D137="Male"),"",INDEX(PMTCT!$AT:$AT,MATCH($E137,PMTCT!$E:$E,0)))</f>
        <v>2</v>
      </c>
      <c r="AR137" s="38" t="str">
        <f>INDEX(TB!$Q:$Q,MATCH($E137,TB!$E:$E,0))</f>
        <v/>
      </c>
      <c r="AS137" s="38" t="str">
        <f>IF(OR($C137="01-09",$C137="10-14",$D137="Female"),"",INDEX(VMMC!$AB:$AB,MATCH($E137,VMMC!$E:$E,0)))</f>
        <v/>
      </c>
      <c r="AT137" s="38" t="str">
        <f>IF(OR($C137="01-09",$C137="10-14"),"",INDEX(PrEP!$Q:$Q,MATCH($E137,PrEP!$E:$E,0)))</f>
        <v/>
      </c>
      <c r="AU137" s="38">
        <f t="shared" si="52"/>
        <v>169</v>
      </c>
      <c r="AV137" s="38">
        <f t="shared" si="53"/>
        <v>171</v>
      </c>
      <c r="AW137" s="33">
        <f t="shared" si="54"/>
        <v>1.1695906432748537E-2</v>
      </c>
      <c r="AX137" s="38"/>
      <c r="AY137" s="33" t="str">
        <f t="shared" si="58"/>
        <v/>
      </c>
      <c r="AZ137" s="218" t="str">
        <f t="shared" si="56"/>
        <v/>
      </c>
      <c r="BA137" s="33" t="str">
        <f t="shared" si="59"/>
        <v/>
      </c>
      <c r="BB137" s="218" t="str">
        <f t="shared" si="57"/>
        <v/>
      </c>
    </row>
    <row r="138" spans="1:54" x14ac:dyDescent="0.2">
      <c r="A138" t="str">
        <f>INDEX(Prioritization!$D:$D,MATCH($B138,Prioritization!$A:$A,0))</f>
        <v>4 - Sustained</v>
      </c>
      <c r="B138" t="s">
        <v>309</v>
      </c>
      <c r="C138" t="s">
        <v>474</v>
      </c>
      <c r="D138" t="s">
        <v>48</v>
      </c>
      <c r="E138" t="str">
        <f t="shared" si="32"/>
        <v>Likoma District [ZCjuwgaMB9u]|10-14|Male</v>
      </c>
      <c r="F138" s="33">
        <f>IF(LEFT($B138,4)="_Mil","",INDEX(Cascade!$AA:$AA,MATCH($E138,Cascade!$E:$E,0)))</f>
        <v>0.84923215499999993</v>
      </c>
      <c r="G138" s="38">
        <f>INDEX(Cascade!$BH:$BH,MATCH($E138,Cascade!$E:$E,0))</f>
        <v>0</v>
      </c>
      <c r="H138" s="38" t="str">
        <f>IF(OR($C138="01-09",$D138="Male"),"",INDEX(PMTCT!$AC:$AC,MATCH($E138,PMTCT!$E:$E,0)))</f>
        <v/>
      </c>
      <c r="I138" s="38" t="str">
        <f>IF(OR($C138="01-09",$D138="Male"),"",INDEX(PMTCT!$AS:$AS,MATCH($E138,PMTCT!$E:$E,0)))</f>
        <v/>
      </c>
      <c r="J138" s="38" t="str">
        <f>INDEX(TB!$P:$P,MATCH($E138,TB!$E:$E,0))</f>
        <v/>
      </c>
      <c r="K138" s="38" t="str">
        <f>IF(OR($C138="01-09",$C138="10-14",$D138="Female"),"",INDEX(VMMC!$AA:$AA,MATCH($E138,VMMC!$E:$E,0)))</f>
        <v/>
      </c>
      <c r="L138" s="38">
        <f t="shared" si="33"/>
        <v>0</v>
      </c>
      <c r="M138" s="33" t="str">
        <f t="shared" si="34"/>
        <v/>
      </c>
      <c r="N138" s="33" t="str">
        <f t="shared" si="35"/>
        <v/>
      </c>
      <c r="O138" s="33" t="str">
        <f t="shared" si="36"/>
        <v/>
      </c>
      <c r="P138" s="33" t="str">
        <f t="shared" si="37"/>
        <v/>
      </c>
      <c r="Q138" s="33"/>
      <c r="R138" s="33"/>
      <c r="S138" s="33"/>
      <c r="T138" s="33"/>
      <c r="U138" s="33">
        <f t="shared" si="61"/>
        <v>1</v>
      </c>
      <c r="V138" s="33" t="str">
        <f t="shared" si="38"/>
        <v/>
      </c>
      <c r="W138" s="218" t="str">
        <f t="shared" si="39"/>
        <v/>
      </c>
      <c r="X138" s="33"/>
      <c r="Y138" s="218" t="str">
        <f t="shared" si="39"/>
        <v/>
      </c>
      <c r="Z138" s="218" t="str">
        <f t="shared" si="40"/>
        <v/>
      </c>
      <c r="AA138" s="33">
        <v>0.12</v>
      </c>
      <c r="AB138" s="218" t="str">
        <f t="shared" si="41"/>
        <v/>
      </c>
      <c r="AC138" s="218" t="str">
        <f t="shared" si="42"/>
        <v/>
      </c>
      <c r="AD138" s="33">
        <v>0.02</v>
      </c>
      <c r="AE138" s="218" t="str">
        <f t="shared" si="43"/>
        <v/>
      </c>
      <c r="AF138" s="218" t="str">
        <f t="shared" si="44"/>
        <v/>
      </c>
      <c r="AG138" s="33">
        <v>0.02</v>
      </c>
      <c r="AH138" s="218" t="str">
        <f t="shared" si="45"/>
        <v/>
      </c>
      <c r="AI138" s="218" t="str">
        <f t="shared" si="46"/>
        <v/>
      </c>
      <c r="AJ138" s="33">
        <v>2.3E-2</v>
      </c>
      <c r="AK138" s="218" t="str">
        <f t="shared" si="47"/>
        <v/>
      </c>
      <c r="AL138" s="218" t="str">
        <f t="shared" si="48"/>
        <v/>
      </c>
      <c r="AM138" s="38" t="str">
        <f t="shared" si="49"/>
        <v/>
      </c>
      <c r="AN138" s="38" t="str">
        <f t="shared" si="50"/>
        <v/>
      </c>
      <c r="AO138" s="38" t="str">
        <f t="shared" si="51"/>
        <v/>
      </c>
      <c r="AP138" s="38" t="str">
        <f>IF(OR($C138="01-09",$D138="Male"),"",INDEX(PMTCT!$AD:$AD,MATCH($E138,PMTCT!$E:$E,0)))</f>
        <v/>
      </c>
      <c r="AQ138" s="38" t="str">
        <f>IF(OR($C138="01-09",$D138="Male"),"",INDEX(PMTCT!$AT:$AT,MATCH($E138,PMTCT!$E:$E,0)))</f>
        <v/>
      </c>
      <c r="AR138" s="38" t="str">
        <f>INDEX(TB!$Q:$Q,MATCH($E138,TB!$E:$E,0))</f>
        <v/>
      </c>
      <c r="AS138" s="38" t="str">
        <f>IF(OR($C138="01-09",$C138="10-14",$D138="Female"),"",INDEX(VMMC!$AB:$AB,MATCH($E138,VMMC!$E:$E,0)))</f>
        <v/>
      </c>
      <c r="AT138" s="38" t="str">
        <f>IF(OR($C138="01-09",$C138="10-14"),"",INDEX(PrEP!$Q:$Q,MATCH($E138,PrEP!$E:$E,0)))</f>
        <v/>
      </c>
      <c r="AU138" s="38" t="str">
        <f t="shared" si="52"/>
        <v/>
      </c>
      <c r="AV138" s="38" t="str">
        <f t="shared" si="53"/>
        <v/>
      </c>
      <c r="AW138" s="33" t="str">
        <f t="shared" si="54"/>
        <v/>
      </c>
      <c r="AX138" s="38"/>
      <c r="AY138" s="33" t="str">
        <f t="shared" si="58"/>
        <v/>
      </c>
      <c r="AZ138" s="218" t="str">
        <f t="shared" si="56"/>
        <v/>
      </c>
      <c r="BA138" s="33" t="str">
        <f t="shared" si="59"/>
        <v/>
      </c>
      <c r="BB138" s="218" t="str">
        <f t="shared" si="57"/>
        <v/>
      </c>
    </row>
    <row r="139" spans="1:54" x14ac:dyDescent="0.2">
      <c r="A139" t="str">
        <f>INDEX(Prioritization!$D:$D,MATCH($B139,Prioritization!$A:$A,0))</f>
        <v>4 - Sustained</v>
      </c>
      <c r="B139" t="s">
        <v>309</v>
      </c>
      <c r="C139" t="s">
        <v>475</v>
      </c>
      <c r="D139" t="s">
        <v>30</v>
      </c>
      <c r="E139" t="str">
        <f t="shared" si="32"/>
        <v>Likoma District [ZCjuwgaMB9u]|15-24|Female</v>
      </c>
      <c r="F139" s="33">
        <f>IF(LEFT($B139,4)="_Mil","",INDEX(Cascade!$AA:$AA,MATCH($E139,Cascade!$E:$E,0)))</f>
        <v>0.93601061799999996</v>
      </c>
      <c r="G139" s="38">
        <f>INDEX(Cascade!$BH:$BH,MATCH($E139,Cascade!$E:$E,0))</f>
        <v>15</v>
      </c>
      <c r="H139" s="38">
        <f>IF(OR($C139="01-09",$D139="Male"),"",INDEX(PMTCT!$AC:$AC,MATCH($E139,PMTCT!$E:$E,0)))</f>
        <v>3</v>
      </c>
      <c r="I139" s="38">
        <f>IF(OR($C139="01-09",$D139="Male"),"",INDEX(PMTCT!$AS:$AS,MATCH($E139,PMTCT!$E:$E,0)))</f>
        <v>1</v>
      </c>
      <c r="J139" s="38" t="str">
        <f>INDEX(TB!$P:$P,MATCH($E139,TB!$E:$E,0))</f>
        <v/>
      </c>
      <c r="K139" s="38" t="str">
        <f>IF(OR($C139="01-09",$C139="10-14",$D139="Female"),"",INDEX(VMMC!$AA:$AA,MATCH($E139,VMMC!$E:$E,0)))</f>
        <v/>
      </c>
      <c r="L139" s="38">
        <f t="shared" si="33"/>
        <v>11</v>
      </c>
      <c r="M139" s="33">
        <f t="shared" si="34"/>
        <v>0.2</v>
      </c>
      <c r="N139" s="33">
        <f t="shared" si="35"/>
        <v>6.6666666666666666E-2</v>
      </c>
      <c r="O139" s="33">
        <f t="shared" si="36"/>
        <v>0</v>
      </c>
      <c r="P139" s="33" t="str">
        <f t="shared" si="37"/>
        <v/>
      </c>
      <c r="Q139" s="33"/>
      <c r="R139" s="33"/>
      <c r="S139" s="33"/>
      <c r="T139" s="33">
        <v>0.05</v>
      </c>
      <c r="U139" s="33">
        <f t="shared" si="61"/>
        <v>0.68333333333333335</v>
      </c>
      <c r="V139" s="33">
        <f t="shared" si="38"/>
        <v>1</v>
      </c>
      <c r="W139" s="218" t="str">
        <f t="shared" si="39"/>
        <v/>
      </c>
      <c r="X139" s="33">
        <v>3.2000000000000001E-2</v>
      </c>
      <c r="Y139" s="218" t="str">
        <f t="shared" si="39"/>
        <v/>
      </c>
      <c r="Z139" s="218" t="str">
        <f t="shared" si="40"/>
        <v/>
      </c>
      <c r="AA139" s="33">
        <v>0.12</v>
      </c>
      <c r="AB139" s="218" t="str">
        <f t="shared" si="41"/>
        <v/>
      </c>
      <c r="AC139" s="218" t="str">
        <f t="shared" si="42"/>
        <v/>
      </c>
      <c r="AD139" s="33">
        <v>0.02</v>
      </c>
      <c r="AE139" s="218" t="str">
        <f t="shared" si="43"/>
        <v/>
      </c>
      <c r="AF139" s="218" t="str">
        <f t="shared" si="44"/>
        <v/>
      </c>
      <c r="AG139" s="33">
        <v>0.02</v>
      </c>
      <c r="AH139" s="218">
        <f t="shared" si="45"/>
        <v>1</v>
      </c>
      <c r="AI139" s="218">
        <f t="shared" si="46"/>
        <v>49</v>
      </c>
      <c r="AJ139" s="33">
        <v>9.7000000000000003E-3</v>
      </c>
      <c r="AK139" s="218">
        <f t="shared" si="47"/>
        <v>10</v>
      </c>
      <c r="AL139" s="218">
        <f t="shared" si="48"/>
        <v>1021</v>
      </c>
      <c r="AM139" s="38">
        <f t="shared" si="49"/>
        <v>15</v>
      </c>
      <c r="AN139" s="38">
        <f t="shared" si="50"/>
        <v>15</v>
      </c>
      <c r="AO139" s="38">
        <f t="shared" si="51"/>
        <v>0</v>
      </c>
      <c r="AP139" s="38">
        <f>IF(OR($C139="01-09",$D139="Male"),"",INDEX(PMTCT!$AD:$AD,MATCH($E139,PMTCT!$E:$E,0)))</f>
        <v>368</v>
      </c>
      <c r="AQ139" s="38">
        <f>IF(OR($C139="01-09",$D139="Male"),"",INDEX(PMTCT!$AT:$AT,MATCH($E139,PMTCT!$E:$E,0)))</f>
        <v>367</v>
      </c>
      <c r="AR139" s="38" t="str">
        <f>INDEX(TB!$Q:$Q,MATCH($E139,TB!$E:$E,0))</f>
        <v/>
      </c>
      <c r="AS139" s="38" t="str">
        <f>IF(OR($C139="01-09",$C139="10-14",$D139="Female"),"",INDEX(VMMC!$AB:$AB,MATCH($E139,VMMC!$E:$E,0)))</f>
        <v/>
      </c>
      <c r="AT139" s="38" t="str">
        <f>IF(OR($C139="01-09",$C139="10-14"),"",INDEX(PrEP!$Q:$Q,MATCH($E139,PrEP!$E:$E,0)))</f>
        <v/>
      </c>
      <c r="AU139" s="38">
        <f t="shared" si="52"/>
        <v>1804.9999999999998</v>
      </c>
      <c r="AV139" s="38">
        <f t="shared" si="53"/>
        <v>1819.9999999999995</v>
      </c>
      <c r="AW139" s="33">
        <f t="shared" si="54"/>
        <v>8.2417582417582437E-3</v>
      </c>
      <c r="AX139" s="38">
        <v>30</v>
      </c>
      <c r="AY139" s="33">
        <f t="shared" ref="AY139:AY144" si="65">IF(OR($C139="01-09",SUM($AX139)=0),"",68%)</f>
        <v>0.68</v>
      </c>
      <c r="AZ139" s="218">
        <f t="shared" si="56"/>
        <v>50</v>
      </c>
      <c r="BA139" s="33">
        <v>0</v>
      </c>
      <c r="BB139" s="218">
        <f t="shared" si="57"/>
        <v>0</v>
      </c>
    </row>
    <row r="140" spans="1:54" x14ac:dyDescent="0.2">
      <c r="A140" t="str">
        <f>INDEX(Prioritization!$D:$D,MATCH($B140,Prioritization!$A:$A,0))</f>
        <v>4 - Sustained</v>
      </c>
      <c r="B140" t="s">
        <v>309</v>
      </c>
      <c r="C140" t="s">
        <v>475</v>
      </c>
      <c r="D140" t="s">
        <v>48</v>
      </c>
      <c r="E140" t="str">
        <f t="shared" si="32"/>
        <v>Likoma District [ZCjuwgaMB9u]|15-24|Male</v>
      </c>
      <c r="F140" s="33">
        <f>IF(LEFT($B140,4)="_Mil","",INDEX(Cascade!$AA:$AA,MATCH($E140,Cascade!$E:$E,0)))</f>
        <v>0.90676878999999999</v>
      </c>
      <c r="G140" s="38">
        <f>INDEX(Cascade!$BH:$BH,MATCH($E140,Cascade!$E:$E,0))</f>
        <v>1</v>
      </c>
      <c r="H140" s="38" t="str">
        <f>IF(OR($C140="01-09",$D140="Male"),"",INDEX(PMTCT!$AC:$AC,MATCH($E140,PMTCT!$E:$E,0)))</f>
        <v/>
      </c>
      <c r="I140" s="38" t="str">
        <f>IF(OR($C140="01-09",$D140="Male"),"",INDEX(PMTCT!$AS:$AS,MATCH($E140,PMTCT!$E:$E,0)))</f>
        <v/>
      </c>
      <c r="J140" s="38" t="str">
        <f>INDEX(TB!$P:$P,MATCH($E140,TB!$E:$E,0))</f>
        <v/>
      </c>
      <c r="K140" s="38" t="str">
        <f>IF(OR($C140="01-09",$C140="10-14",$D140="Female"),"",INDEX(VMMC!$AA:$AA,MATCH($E140,VMMC!$E:$E,0)))</f>
        <v/>
      </c>
      <c r="L140" s="38">
        <f t="shared" si="33"/>
        <v>1</v>
      </c>
      <c r="M140" s="33" t="str">
        <f t="shared" si="34"/>
        <v/>
      </c>
      <c r="N140" s="33" t="str">
        <f t="shared" si="35"/>
        <v/>
      </c>
      <c r="O140" s="33">
        <f t="shared" si="36"/>
        <v>0</v>
      </c>
      <c r="P140" s="33">
        <f t="shared" si="37"/>
        <v>0</v>
      </c>
      <c r="Q140" s="33">
        <v>0.25</v>
      </c>
      <c r="R140" s="33"/>
      <c r="S140" s="33"/>
      <c r="T140" s="33">
        <v>0.05</v>
      </c>
      <c r="U140" s="33">
        <f t="shared" si="61"/>
        <v>0.7</v>
      </c>
      <c r="V140" s="33">
        <f t="shared" si="38"/>
        <v>1</v>
      </c>
      <c r="W140" s="218">
        <f t="shared" si="39"/>
        <v>0</v>
      </c>
      <c r="X140" s="33">
        <v>5.2999999999999999E-2</v>
      </c>
      <c r="Y140" s="218">
        <f t="shared" si="39"/>
        <v>0</v>
      </c>
      <c r="Z140" s="218" t="str">
        <f t="shared" si="40"/>
        <v/>
      </c>
      <c r="AA140" s="33">
        <v>0.12</v>
      </c>
      <c r="AB140" s="218" t="str">
        <f t="shared" si="41"/>
        <v/>
      </c>
      <c r="AC140" s="218" t="str">
        <f t="shared" si="42"/>
        <v/>
      </c>
      <c r="AD140" s="33">
        <v>0.02</v>
      </c>
      <c r="AE140" s="218" t="str">
        <f t="shared" si="43"/>
        <v/>
      </c>
      <c r="AF140" s="218" t="str">
        <f t="shared" si="44"/>
        <v/>
      </c>
      <c r="AG140" s="33">
        <v>0.02</v>
      </c>
      <c r="AH140" s="218">
        <f t="shared" si="45"/>
        <v>0</v>
      </c>
      <c r="AI140" s="218" t="str">
        <f t="shared" si="46"/>
        <v/>
      </c>
      <c r="AJ140" s="33">
        <v>4.3E-3</v>
      </c>
      <c r="AK140" s="218">
        <f t="shared" si="47"/>
        <v>1</v>
      </c>
      <c r="AL140" s="218">
        <f t="shared" si="48"/>
        <v>232</v>
      </c>
      <c r="AM140" s="38">
        <f t="shared" si="49"/>
        <v>1</v>
      </c>
      <c r="AN140" s="38">
        <f t="shared" si="50"/>
        <v>1</v>
      </c>
      <c r="AO140" s="38">
        <f t="shared" si="51"/>
        <v>0</v>
      </c>
      <c r="AP140" s="38" t="str">
        <f>IF(OR($C140="01-09",$D140="Male"),"",INDEX(PMTCT!$AD:$AD,MATCH($E140,PMTCT!$E:$E,0)))</f>
        <v/>
      </c>
      <c r="AQ140" s="38" t="str">
        <f>IF(OR($C140="01-09",$D140="Male"),"",INDEX(PMTCT!$AT:$AT,MATCH($E140,PMTCT!$E:$E,0)))</f>
        <v/>
      </c>
      <c r="AR140" s="38" t="str">
        <f>INDEX(TB!$Q:$Q,MATCH($E140,TB!$E:$E,0))</f>
        <v/>
      </c>
      <c r="AS140" s="38" t="str">
        <f>IF(OR($C140="01-09",$C140="10-14",$D140="Female"),"",INDEX(VMMC!$AB:$AB,MATCH($E140,VMMC!$E:$E,0)))</f>
        <v/>
      </c>
      <c r="AT140" s="38" t="str">
        <f>IF(OR($C140="01-09",$C140="10-14"),"",INDEX(PrEP!$Q:$Q,MATCH($E140,PrEP!$E:$E,0)))</f>
        <v/>
      </c>
      <c r="AU140" s="38">
        <f t="shared" si="52"/>
        <v>232</v>
      </c>
      <c r="AV140" s="38">
        <f t="shared" si="53"/>
        <v>233</v>
      </c>
      <c r="AW140" s="33">
        <f t="shared" si="54"/>
        <v>4.2918454935622317E-3</v>
      </c>
      <c r="AX140" s="38">
        <v>3</v>
      </c>
      <c r="AY140" s="33">
        <f t="shared" si="65"/>
        <v>0.68</v>
      </c>
      <c r="AZ140" s="218">
        <f t="shared" si="56"/>
        <v>5</v>
      </c>
      <c r="BA140" s="33">
        <v>0</v>
      </c>
      <c r="BB140" s="218">
        <f t="shared" si="57"/>
        <v>0</v>
      </c>
    </row>
    <row r="141" spans="1:54" x14ac:dyDescent="0.2">
      <c r="A141" t="str">
        <f>INDEX(Prioritization!$D:$D,MATCH($B141,Prioritization!$A:$A,0))</f>
        <v>4 - Sustained</v>
      </c>
      <c r="B141" t="s">
        <v>309</v>
      </c>
      <c r="C141" t="s">
        <v>476</v>
      </c>
      <c r="D141" t="s">
        <v>30</v>
      </c>
      <c r="E141" t="str">
        <f t="shared" si="32"/>
        <v>Likoma District [ZCjuwgaMB9u]|25-34|Female</v>
      </c>
      <c r="F141" s="33">
        <f>IF(LEFT($B141,4)="_Mil","",INDEX(Cascade!$AA:$AA,MATCH($E141,Cascade!$E:$E,0)))</f>
        <v>0.96611167100000006</v>
      </c>
      <c r="G141" s="38">
        <f>INDEX(Cascade!$BH:$BH,MATCH($E141,Cascade!$E:$E,0))</f>
        <v>11</v>
      </c>
      <c r="H141" s="38">
        <f>IF(OR($C141="01-09",$D141="Male"),"",INDEX(PMTCT!$AC:$AC,MATCH($E141,PMTCT!$E:$E,0)))</f>
        <v>3</v>
      </c>
      <c r="I141" s="38">
        <f>IF(OR($C141="01-09",$D141="Male"),"",INDEX(PMTCT!$AS:$AS,MATCH($E141,PMTCT!$E:$E,0)))</f>
        <v>1</v>
      </c>
      <c r="J141" s="38" t="str">
        <f>INDEX(TB!$P:$P,MATCH($E141,TB!$E:$E,0))</f>
        <v/>
      </c>
      <c r="K141" s="38" t="str">
        <f>IF(OR($C141="01-09",$C141="10-14",$D141="Female"),"",INDEX(VMMC!$AA:$AA,MATCH($E141,VMMC!$E:$E,0)))</f>
        <v/>
      </c>
      <c r="L141" s="38">
        <f t="shared" si="33"/>
        <v>7</v>
      </c>
      <c r="M141" s="33">
        <f t="shared" si="34"/>
        <v>0.27272727272727271</v>
      </c>
      <c r="N141" s="33">
        <f t="shared" si="35"/>
        <v>9.0909090909090912E-2</v>
      </c>
      <c r="O141" s="33">
        <f t="shared" si="36"/>
        <v>0</v>
      </c>
      <c r="P141" s="33" t="str">
        <f t="shared" si="37"/>
        <v/>
      </c>
      <c r="Q141" s="33">
        <v>0.25</v>
      </c>
      <c r="R141" s="33"/>
      <c r="S141" s="33"/>
      <c r="T141" s="33">
        <v>0.05</v>
      </c>
      <c r="U141" s="33">
        <f t="shared" si="61"/>
        <v>0.33636363636363631</v>
      </c>
      <c r="V141" s="33">
        <f t="shared" si="38"/>
        <v>1</v>
      </c>
      <c r="W141" s="218">
        <f t="shared" si="39"/>
        <v>3</v>
      </c>
      <c r="X141" s="33">
        <v>9.2999999999999999E-2</v>
      </c>
      <c r="Y141" s="218">
        <f t="shared" si="39"/>
        <v>3</v>
      </c>
      <c r="Z141" s="218">
        <f t="shared" si="40"/>
        <v>29</v>
      </c>
      <c r="AA141" s="33">
        <v>0.12</v>
      </c>
      <c r="AB141" s="218" t="str">
        <f t="shared" si="41"/>
        <v/>
      </c>
      <c r="AC141" s="218" t="str">
        <f t="shared" si="42"/>
        <v/>
      </c>
      <c r="AD141" s="33">
        <v>0.02</v>
      </c>
      <c r="AE141" s="218" t="str">
        <f t="shared" si="43"/>
        <v/>
      </c>
      <c r="AF141" s="218" t="str">
        <f t="shared" si="44"/>
        <v/>
      </c>
      <c r="AG141" s="33">
        <v>0.02</v>
      </c>
      <c r="AH141" s="218">
        <f t="shared" si="45"/>
        <v>1</v>
      </c>
      <c r="AI141" s="218">
        <f t="shared" si="46"/>
        <v>49</v>
      </c>
      <c r="AJ141" s="33">
        <v>1.7000000000000001E-2</v>
      </c>
      <c r="AK141" s="218">
        <f t="shared" si="47"/>
        <v>4</v>
      </c>
      <c r="AL141" s="218">
        <f t="shared" si="48"/>
        <v>231</v>
      </c>
      <c r="AM141" s="38">
        <f t="shared" si="49"/>
        <v>11</v>
      </c>
      <c r="AN141" s="38">
        <f t="shared" si="50"/>
        <v>12</v>
      </c>
      <c r="AO141" s="38">
        <f t="shared" si="51"/>
        <v>1</v>
      </c>
      <c r="AP141" s="38">
        <f>IF(OR($C141="01-09",$D141="Male"),"",INDEX(PMTCT!$AD:$AD,MATCH($E141,PMTCT!$E:$E,0)))</f>
        <v>237</v>
      </c>
      <c r="AQ141" s="38">
        <f>IF(OR($C141="01-09",$D141="Male"),"",INDEX(PMTCT!$AT:$AT,MATCH($E141,PMTCT!$E:$E,0)))</f>
        <v>236.00000000000003</v>
      </c>
      <c r="AR141" s="38" t="str">
        <f>INDEX(TB!$Q:$Q,MATCH($E141,TB!$E:$E,0))</f>
        <v/>
      </c>
      <c r="AS141" s="38" t="str">
        <f>IF(OR($C141="01-09",$C141="10-14",$D141="Female"),"",INDEX(VMMC!$AB:$AB,MATCH($E141,VMMC!$E:$E,0)))</f>
        <v/>
      </c>
      <c r="AT141" s="38" t="str">
        <f>IF(OR($C141="01-09",$C141="10-14"),"",INDEX(PrEP!$Q:$Q,MATCH($E141,PrEP!$E:$E,0)))</f>
        <v/>
      </c>
      <c r="AU141" s="38">
        <f t="shared" si="52"/>
        <v>781.99999999999989</v>
      </c>
      <c r="AV141" s="38">
        <f t="shared" si="53"/>
        <v>793.99999999999989</v>
      </c>
      <c r="AW141" s="33">
        <f t="shared" si="54"/>
        <v>1.5113350125944586E-2</v>
      </c>
      <c r="AX141" s="38">
        <v>21</v>
      </c>
      <c r="AY141" s="33">
        <f t="shared" si="65"/>
        <v>0.68</v>
      </c>
      <c r="AZ141" s="218">
        <f t="shared" si="56"/>
        <v>35</v>
      </c>
      <c r="BA141" s="33">
        <v>0</v>
      </c>
      <c r="BB141" s="218">
        <f t="shared" si="57"/>
        <v>0</v>
      </c>
    </row>
    <row r="142" spans="1:54" x14ac:dyDescent="0.2">
      <c r="A142" t="str">
        <f>INDEX(Prioritization!$D:$D,MATCH($B142,Prioritization!$A:$A,0))</f>
        <v>4 - Sustained</v>
      </c>
      <c r="B142" t="s">
        <v>309</v>
      </c>
      <c r="C142" t="s">
        <v>476</v>
      </c>
      <c r="D142" t="s">
        <v>48</v>
      </c>
      <c r="E142" t="str">
        <f t="shared" si="32"/>
        <v>Likoma District [ZCjuwgaMB9u]|25-34|Male</v>
      </c>
      <c r="F142" s="33">
        <f>IF(LEFT($B142,4)="_Mil","",INDEX(Cascade!$AA:$AA,MATCH($E142,Cascade!$E:$E,0)))</f>
        <v>0.87973873499999988</v>
      </c>
      <c r="G142" s="38">
        <f>INDEX(Cascade!$BH:$BH,MATCH($E142,Cascade!$E:$E,0))</f>
        <v>1</v>
      </c>
      <c r="H142" s="38" t="str">
        <f>IF(OR($C142="01-09",$D142="Male"),"",INDEX(PMTCT!$AC:$AC,MATCH($E142,PMTCT!$E:$E,0)))</f>
        <v/>
      </c>
      <c r="I142" s="38" t="str">
        <f>IF(OR($C142="01-09",$D142="Male"),"",INDEX(PMTCT!$AS:$AS,MATCH($E142,PMTCT!$E:$E,0)))</f>
        <v/>
      </c>
      <c r="J142" s="38" t="str">
        <f>INDEX(TB!$P:$P,MATCH($E142,TB!$E:$E,0))</f>
        <v/>
      </c>
      <c r="K142" s="38" t="str">
        <f>IF(OR($C142="01-09",$C142="10-14",$D142="Female"),"",INDEX(VMMC!$AA:$AA,MATCH($E142,VMMC!$E:$E,0)))</f>
        <v/>
      </c>
      <c r="L142" s="38">
        <f t="shared" si="33"/>
        <v>1</v>
      </c>
      <c r="M142" s="33" t="str">
        <f t="shared" si="34"/>
        <v/>
      </c>
      <c r="N142" s="33" t="str">
        <f t="shared" si="35"/>
        <v/>
      </c>
      <c r="O142" s="33">
        <f t="shared" si="36"/>
        <v>0</v>
      </c>
      <c r="P142" s="33">
        <f t="shared" si="37"/>
        <v>0</v>
      </c>
      <c r="Q142" s="33"/>
      <c r="R142" s="33"/>
      <c r="S142" s="33"/>
      <c r="T142" s="33">
        <v>0.05</v>
      </c>
      <c r="U142" s="33">
        <f t="shared" si="61"/>
        <v>0.95</v>
      </c>
      <c r="V142" s="33">
        <f t="shared" si="38"/>
        <v>1</v>
      </c>
      <c r="W142" s="218" t="str">
        <f t="shared" si="39"/>
        <v/>
      </c>
      <c r="X142" s="33">
        <v>0.14599999999999999</v>
      </c>
      <c r="Y142" s="218" t="str">
        <f t="shared" si="39"/>
        <v/>
      </c>
      <c r="Z142" s="218" t="str">
        <f t="shared" si="40"/>
        <v/>
      </c>
      <c r="AA142" s="33">
        <v>0.12</v>
      </c>
      <c r="AB142" s="218" t="str">
        <f t="shared" si="41"/>
        <v/>
      </c>
      <c r="AC142" s="218" t="str">
        <f t="shared" si="42"/>
        <v/>
      </c>
      <c r="AD142" s="33">
        <v>0.02</v>
      </c>
      <c r="AE142" s="218" t="str">
        <f t="shared" si="43"/>
        <v/>
      </c>
      <c r="AF142" s="218" t="str">
        <f t="shared" si="44"/>
        <v/>
      </c>
      <c r="AG142" s="33">
        <v>0.02</v>
      </c>
      <c r="AH142" s="218">
        <f t="shared" si="45"/>
        <v>0</v>
      </c>
      <c r="AI142" s="218" t="str">
        <f t="shared" si="46"/>
        <v/>
      </c>
      <c r="AJ142" s="33">
        <v>1.2999999999999999E-2</v>
      </c>
      <c r="AK142" s="218">
        <f t="shared" si="47"/>
        <v>1</v>
      </c>
      <c r="AL142" s="218">
        <f t="shared" si="48"/>
        <v>76</v>
      </c>
      <c r="AM142" s="38">
        <f t="shared" si="49"/>
        <v>1</v>
      </c>
      <c r="AN142" s="38">
        <f t="shared" si="50"/>
        <v>1</v>
      </c>
      <c r="AO142" s="38">
        <f t="shared" si="51"/>
        <v>0</v>
      </c>
      <c r="AP142" s="38" t="str">
        <f>IF(OR($C142="01-09",$D142="Male"),"",INDEX(PMTCT!$AD:$AD,MATCH($E142,PMTCT!$E:$E,0)))</f>
        <v/>
      </c>
      <c r="AQ142" s="38" t="str">
        <f>IF(OR($C142="01-09",$D142="Male"),"",INDEX(PMTCT!$AT:$AT,MATCH($E142,PMTCT!$E:$E,0)))</f>
        <v/>
      </c>
      <c r="AR142" s="38" t="str">
        <f>INDEX(TB!$Q:$Q,MATCH($E142,TB!$E:$E,0))</f>
        <v/>
      </c>
      <c r="AS142" s="38" t="str">
        <f>IF(OR($C142="01-09",$C142="10-14",$D142="Female"),"",INDEX(VMMC!$AB:$AB,MATCH($E142,VMMC!$E:$E,0)))</f>
        <v/>
      </c>
      <c r="AT142" s="38" t="str">
        <f>IF(OR($C142="01-09",$C142="10-14"),"",INDEX(PrEP!$Q:$Q,MATCH($E142,PrEP!$E:$E,0)))</f>
        <v/>
      </c>
      <c r="AU142" s="38">
        <f t="shared" si="52"/>
        <v>76</v>
      </c>
      <c r="AV142" s="38">
        <f t="shared" si="53"/>
        <v>77</v>
      </c>
      <c r="AW142" s="33">
        <f t="shared" si="54"/>
        <v>1.2987012987012988E-2</v>
      </c>
      <c r="AX142" s="38">
        <v>2</v>
      </c>
      <c r="AY142" s="33">
        <f t="shared" si="65"/>
        <v>0.68</v>
      </c>
      <c r="AZ142" s="218">
        <f t="shared" si="56"/>
        <v>3</v>
      </c>
      <c r="BA142" s="33">
        <v>0</v>
      </c>
      <c r="BB142" s="218">
        <f t="shared" si="57"/>
        <v>0</v>
      </c>
    </row>
    <row r="143" spans="1:54" x14ac:dyDescent="0.2">
      <c r="A143" t="str">
        <f>INDEX(Prioritization!$D:$D,MATCH($B143,Prioritization!$A:$A,0))</f>
        <v>4 - Sustained</v>
      </c>
      <c r="B143" t="s">
        <v>309</v>
      </c>
      <c r="C143" t="s">
        <v>477</v>
      </c>
      <c r="D143" t="s">
        <v>30</v>
      </c>
      <c r="E143" t="str">
        <f t="shared" ref="E143:E206" si="66">$B143&amp;"|"&amp;$C143&amp;"|"&amp;$D143</f>
        <v>Likoma District [ZCjuwgaMB9u]|35-49|Female</v>
      </c>
      <c r="F143" s="33">
        <f>IF(LEFT($B143,4)="_Mil","",INDEX(Cascade!$AA:$AA,MATCH($E143,Cascade!$E:$E,0)))</f>
        <v>0.98295734500000009</v>
      </c>
      <c r="G143" s="38">
        <f>INDEX(Cascade!$BH:$BH,MATCH($E143,Cascade!$E:$E,0))</f>
        <v>25</v>
      </c>
      <c r="H143" s="38">
        <f>IF(OR($C143="01-09",$D143="Male"),"",INDEX(PMTCT!$AC:$AC,MATCH($E143,PMTCT!$E:$E,0)))</f>
        <v>1</v>
      </c>
      <c r="I143" s="38">
        <f>IF(OR($C143="01-09",$D143="Male"),"",INDEX(PMTCT!$AS:$AS,MATCH($E143,PMTCT!$E:$E,0)))</f>
        <v>0</v>
      </c>
      <c r="J143" s="38" t="str">
        <f>INDEX(TB!$P:$P,MATCH($E143,TB!$E:$E,0))</f>
        <v/>
      </c>
      <c r="K143" s="38" t="str">
        <f>IF(OR($C143="01-09",$C143="10-14",$D143="Female"),"",INDEX(VMMC!$AA:$AA,MATCH($E143,VMMC!$E:$E,0)))</f>
        <v/>
      </c>
      <c r="L143" s="38">
        <f t="shared" ref="L143:L206" si="67">SUM($G143)-SUM($H143:$K143)</f>
        <v>24</v>
      </c>
      <c r="M143" s="33">
        <f t="shared" ref="M143:M206" si="68">IF(OR($C143="01-09",$D143="Male",AND(SUM($G143)=0,SUM($H143)=0)),"",SUM($H143)/SUM($G143))</f>
        <v>0.04</v>
      </c>
      <c r="N143" s="33">
        <f t="shared" ref="N143:N206" si="69">IF(OR($C143="01-09",$D143="Male",AND(SUM($G143)=0,SUM($I143)=0)),"",SUM($I143)/SUM($G143))</f>
        <v>0</v>
      </c>
      <c r="O143" s="33">
        <f t="shared" ref="O143:O206" si="70">IF(AND(SUM($G143)=0,SUM($J143)=0),"",SUM($J143)/SUM($G143))</f>
        <v>0</v>
      </c>
      <c r="P143" s="33" t="str">
        <f t="shared" ref="P143:P206" si="71">IF(OR($C143="01-09",$C143="10-14",$D143="Female",AND(SUM($G143)=0,SUM($K143)=0)),"",SUM($K143)/SUM($G143))</f>
        <v/>
      </c>
      <c r="Q143" s="33">
        <v>0.269230769230769</v>
      </c>
      <c r="R143" s="33"/>
      <c r="S143" s="33"/>
      <c r="T143" s="33">
        <v>0.05</v>
      </c>
      <c r="U143" s="33">
        <f t="shared" si="61"/>
        <v>0.64076923076923098</v>
      </c>
      <c r="V143" s="33">
        <f t="shared" ref="V143:V206" si="72">IF(SUM($G143)=0,"",SUM($M143:$U143))</f>
        <v>1</v>
      </c>
      <c r="W143" s="218">
        <f t="shared" ref="W143:Y206" si="73">IF(OR(SUM($G143)=0,SUM($Q143)=0),"",ROUND(SUM($G143)*SUM($Q143),0))</f>
        <v>7</v>
      </c>
      <c r="X143" s="33">
        <v>0.111</v>
      </c>
      <c r="Y143" s="218">
        <f t="shared" si="73"/>
        <v>7</v>
      </c>
      <c r="Z143" s="218">
        <f t="shared" ref="Z143:Z206" si="74">IF(SUM($Y143)=0,"",IF(SUM($X143)=0,"ENTER YIELD",ROUND($Y143/$X143,0)-$Y143))</f>
        <v>56</v>
      </c>
      <c r="AA143" s="33">
        <v>0.12</v>
      </c>
      <c r="AB143" s="218" t="str">
        <f t="shared" ref="AB143:AB206" si="75">IF(OR(SUM($G143)=0,SUM($R143)=0),"",ROUND(SUM($G143)*SUM($R143),0))</f>
        <v/>
      </c>
      <c r="AC143" s="218" t="str">
        <f t="shared" ref="AC143:AC206" si="76">IF(SUM($AB143)=0,"",IF(SUM($AA143)=0,"ENTER YIELD",ROUND($AB143/$AA143,0)-$AB143))</f>
        <v/>
      </c>
      <c r="AD143" s="33">
        <v>0.02</v>
      </c>
      <c r="AE143" s="218" t="str">
        <f t="shared" ref="AE143:AE206" si="77">IF(OR(SUM($G143)=0,SUM($S143)=0),"",ROUND(SUM($G143)*SUM($S143),0))</f>
        <v/>
      </c>
      <c r="AF143" s="218" t="str">
        <f t="shared" ref="AF143:AF206" si="78">IF(SUM($AE143)=0,"",IF(SUM($AD143)=0,"ENTER YIELD",ROUND($AE143/$AD143,0)-$AE143))</f>
        <v/>
      </c>
      <c r="AG143" s="33">
        <v>0.02</v>
      </c>
      <c r="AH143" s="218">
        <f t="shared" ref="AH143:AH206" si="79">IF(OR(SUM($G143)=0,SUM($T143)=0),"",ROUND(SUM($G143)*SUM($T143),0))</f>
        <v>1</v>
      </c>
      <c r="AI143" s="218">
        <f t="shared" ref="AI143:AI206" si="80">IF(SUM($AH143)=0,"",IF(SUM($AG143)=0,"ENTER YIELD",ROUND($AH143/$AG143,0)-$AH143))</f>
        <v>49</v>
      </c>
      <c r="AJ143" s="33">
        <v>1.7000000000000001E-2</v>
      </c>
      <c r="AK143" s="218">
        <f t="shared" ref="AK143:AK206" si="81">IF(OR(SUM($G143)=0,SUM($U143)=0),"",ROUND(SUM($G143)*SUM($U143),0))</f>
        <v>16</v>
      </c>
      <c r="AL143" s="218">
        <f t="shared" ref="AL143:AL206" si="82">IF(SUM($AK143)=0,"",IF(SUM($AJ143)=0,"ENTER YIELD",ROUND($AK143/$AJ143,0)-$AK143))</f>
        <v>925</v>
      </c>
      <c r="AM143" s="38">
        <f t="shared" ref="AM143:AM206" si="83">IF(SUM($G143)=0,"",$G143)</f>
        <v>25</v>
      </c>
      <c r="AN143" s="38">
        <f t="shared" ref="AN143:AN206" si="84">IFERROR(1/(1/SUM($H143:$K143,$Y143,$AB143,$AE143,$AH143,$AK143)),"")</f>
        <v>25</v>
      </c>
      <c r="AO143" s="38">
        <f t="shared" ref="AO143:AO206" si="85">IF(AND(SUM($AN143)=0,SUM($AM143)=0),"",$AN143-$AM143)</f>
        <v>0</v>
      </c>
      <c r="AP143" s="38">
        <f>IF(OR($C143="01-09",$D143="Male"),"",INDEX(PMTCT!$AD:$AD,MATCH($E143,PMTCT!$E:$E,0)))</f>
        <v>53</v>
      </c>
      <c r="AQ143" s="38">
        <f>IF(OR($C143="01-09",$D143="Male"),"",INDEX(PMTCT!$AT:$AT,MATCH($E143,PMTCT!$E:$E,0)))</f>
        <v>53</v>
      </c>
      <c r="AR143" s="38" t="str">
        <f>INDEX(TB!$Q:$Q,MATCH($E143,TB!$E:$E,0))</f>
        <v/>
      </c>
      <c r="AS143" s="38" t="str">
        <f>IF(OR($C143="01-09",$C143="10-14",$D143="Female"),"",INDEX(VMMC!$AB:$AB,MATCH($E143,VMMC!$E:$E,0)))</f>
        <v/>
      </c>
      <c r="AT143" s="38" t="str">
        <f>IF(OR($C143="01-09",$C143="10-14"),"",INDEX(PrEP!$Q:$Q,MATCH($E143,PrEP!$E:$E,0)))</f>
        <v/>
      </c>
      <c r="AU143" s="38">
        <f t="shared" ref="AU143:AU206" si="86">IFERROR(1/(1/SUM($Z143,$AC143,$AF143,$AI143,$AL143,$AP143:$AT143)),"")</f>
        <v>1136</v>
      </c>
      <c r="AV143" s="38">
        <f t="shared" ref="AV143:AV206" si="87">IFERROR(1/(1/SUM($AU143,$AN143)),"")</f>
        <v>1161</v>
      </c>
      <c r="AW143" s="33">
        <f t="shared" ref="AW143:AW206" si="88">IF(AND(SUM($AN143)=0,SUM($AV143)=0),"",$AN143/$AV143)</f>
        <v>2.1533161068044791E-2</v>
      </c>
      <c r="AX143" s="38">
        <v>8</v>
      </c>
      <c r="AY143" s="33">
        <f t="shared" si="65"/>
        <v>0.68</v>
      </c>
      <c r="AZ143" s="218">
        <f t="shared" ref="AZ143:AZ206" si="89">IF(OR($C143="01-09",SUM($AX143)=0),"",ROUND($AX143*(1+$AY143),0))</f>
        <v>13</v>
      </c>
      <c r="BA143" s="33">
        <v>0</v>
      </c>
      <c r="BB143" s="218">
        <f t="shared" ref="BB143:BB206" si="90">IF(OR(SUM($AN143)=0,$C143="01-09",$C143="10-14"),"",ROUND($AN143*$BA143,0))</f>
        <v>0</v>
      </c>
    </row>
    <row r="144" spans="1:54" x14ac:dyDescent="0.2">
      <c r="A144" t="str">
        <f>INDEX(Prioritization!$D:$D,MATCH($B144,Prioritization!$A:$A,0))</f>
        <v>4 - Sustained</v>
      </c>
      <c r="B144" t="s">
        <v>309</v>
      </c>
      <c r="C144" t="s">
        <v>477</v>
      </c>
      <c r="D144" t="s">
        <v>48</v>
      </c>
      <c r="E144" t="str">
        <f t="shared" si="66"/>
        <v>Likoma District [ZCjuwgaMB9u]|35-49|Male</v>
      </c>
      <c r="F144" s="33">
        <f>IF(LEFT($B144,4)="_Mil","",INDEX(Cascade!$AA:$AA,MATCH($E144,Cascade!$E:$E,0)))</f>
        <v>0.92567324599999989</v>
      </c>
      <c r="G144" s="38">
        <f>INDEX(Cascade!$BH:$BH,MATCH($E144,Cascade!$E:$E,0))</f>
        <v>3</v>
      </c>
      <c r="H144" s="38" t="str">
        <f>IF(OR($C144="01-09",$D144="Male"),"",INDEX(PMTCT!$AC:$AC,MATCH($E144,PMTCT!$E:$E,0)))</f>
        <v/>
      </c>
      <c r="I144" s="38" t="str">
        <f>IF(OR($C144="01-09",$D144="Male"),"",INDEX(PMTCT!$AS:$AS,MATCH($E144,PMTCT!$E:$E,0)))</f>
        <v/>
      </c>
      <c r="J144" s="38" t="str">
        <f>INDEX(TB!$P:$P,MATCH($E144,TB!$E:$E,0))</f>
        <v/>
      </c>
      <c r="K144" s="38" t="str">
        <f>IF(OR($C144="01-09",$C144="10-14",$D144="Female"),"",INDEX(VMMC!$AA:$AA,MATCH($E144,VMMC!$E:$E,0)))</f>
        <v/>
      </c>
      <c r="L144" s="38">
        <f t="shared" si="67"/>
        <v>3</v>
      </c>
      <c r="M144" s="33" t="str">
        <f t="shared" si="68"/>
        <v/>
      </c>
      <c r="N144" s="33" t="str">
        <f t="shared" si="69"/>
        <v/>
      </c>
      <c r="O144" s="33">
        <f t="shared" si="70"/>
        <v>0</v>
      </c>
      <c r="P144" s="33">
        <f t="shared" si="71"/>
        <v>0</v>
      </c>
      <c r="Q144" s="33">
        <v>0.4</v>
      </c>
      <c r="R144" s="33"/>
      <c r="S144" s="33"/>
      <c r="T144" s="33">
        <v>0.05</v>
      </c>
      <c r="U144" s="33">
        <f t="shared" si="61"/>
        <v>0.55000000000000004</v>
      </c>
      <c r="V144" s="33">
        <f t="shared" si="72"/>
        <v>1</v>
      </c>
      <c r="W144" s="218">
        <f t="shared" si="73"/>
        <v>1</v>
      </c>
      <c r="X144" s="33">
        <v>0.19400000000000001</v>
      </c>
      <c r="Y144" s="218">
        <f t="shared" si="73"/>
        <v>1</v>
      </c>
      <c r="Z144" s="218">
        <f t="shared" si="74"/>
        <v>4</v>
      </c>
      <c r="AA144" s="33">
        <v>0.12</v>
      </c>
      <c r="AB144" s="218" t="str">
        <f t="shared" si="75"/>
        <v/>
      </c>
      <c r="AC144" s="218" t="str">
        <f t="shared" si="76"/>
        <v/>
      </c>
      <c r="AD144" s="33">
        <v>0.02</v>
      </c>
      <c r="AE144" s="218" t="str">
        <f t="shared" si="77"/>
        <v/>
      </c>
      <c r="AF144" s="218" t="str">
        <f t="shared" si="78"/>
        <v/>
      </c>
      <c r="AG144" s="33">
        <v>0.02</v>
      </c>
      <c r="AH144" s="218">
        <f t="shared" si="79"/>
        <v>0</v>
      </c>
      <c r="AI144" s="218" t="str">
        <f t="shared" si="80"/>
        <v/>
      </c>
      <c r="AJ144" s="33">
        <v>3.1E-2</v>
      </c>
      <c r="AK144" s="218">
        <f t="shared" si="81"/>
        <v>2</v>
      </c>
      <c r="AL144" s="218">
        <f t="shared" si="82"/>
        <v>63</v>
      </c>
      <c r="AM144" s="38">
        <f t="shared" si="83"/>
        <v>3</v>
      </c>
      <c r="AN144" s="38">
        <f t="shared" si="84"/>
        <v>3</v>
      </c>
      <c r="AO144" s="38">
        <f t="shared" si="85"/>
        <v>0</v>
      </c>
      <c r="AP144" s="38" t="str">
        <f>IF(OR($C144="01-09",$D144="Male"),"",INDEX(PMTCT!$AD:$AD,MATCH($E144,PMTCT!$E:$E,0)))</f>
        <v/>
      </c>
      <c r="AQ144" s="38" t="str">
        <f>IF(OR($C144="01-09",$D144="Male"),"",INDEX(PMTCT!$AT:$AT,MATCH($E144,PMTCT!$E:$E,0)))</f>
        <v/>
      </c>
      <c r="AR144" s="38" t="str">
        <f>INDEX(TB!$Q:$Q,MATCH($E144,TB!$E:$E,0))</f>
        <v/>
      </c>
      <c r="AS144" s="38" t="str">
        <f>IF(OR($C144="01-09",$C144="10-14",$D144="Female"),"",INDEX(VMMC!$AB:$AB,MATCH($E144,VMMC!$E:$E,0)))</f>
        <v/>
      </c>
      <c r="AT144" s="38" t="str">
        <f>IF(OR($C144="01-09",$C144="10-14"),"",INDEX(PrEP!$Q:$Q,MATCH($E144,PrEP!$E:$E,0)))</f>
        <v/>
      </c>
      <c r="AU144" s="38">
        <f t="shared" si="86"/>
        <v>67</v>
      </c>
      <c r="AV144" s="38">
        <f t="shared" si="87"/>
        <v>70</v>
      </c>
      <c r="AW144" s="33">
        <f t="shared" si="88"/>
        <v>4.2857142857142858E-2</v>
      </c>
      <c r="AX144" s="38">
        <v>3</v>
      </c>
      <c r="AY144" s="33">
        <f t="shared" si="65"/>
        <v>0.68</v>
      </c>
      <c r="AZ144" s="218">
        <f t="shared" si="89"/>
        <v>5</v>
      </c>
      <c r="BA144" s="33">
        <v>0</v>
      </c>
      <c r="BB144" s="218">
        <f t="shared" si="90"/>
        <v>0</v>
      </c>
    </row>
    <row r="145" spans="1:54" x14ac:dyDescent="0.2">
      <c r="A145" t="str">
        <f>INDEX(Prioritization!$D:$D,MATCH($B145,Prioritization!$A:$A,0))</f>
        <v>4 - Sustained</v>
      </c>
      <c r="B145" t="s">
        <v>309</v>
      </c>
      <c r="C145" t="s">
        <v>478</v>
      </c>
      <c r="D145" t="s">
        <v>30</v>
      </c>
      <c r="E145" t="str">
        <f t="shared" si="66"/>
        <v>Likoma District [ZCjuwgaMB9u]|50+|Female</v>
      </c>
      <c r="F145" s="33">
        <f>IF(LEFT($B145,4)="_Mil","",INDEX(Cascade!$AA:$AA,MATCH($E145,Cascade!$E:$E,0)))</f>
        <v>0.98839737000000016</v>
      </c>
      <c r="G145" s="38">
        <f>INDEX(Cascade!$BH:$BH,MATCH($E145,Cascade!$E:$E,0))</f>
        <v>2</v>
      </c>
      <c r="H145" s="38" t="str">
        <f>IF(OR($C145="01-09",$D145="Male"),"",INDEX(PMTCT!$AC:$AC,MATCH($E145,PMTCT!$E:$E,0)))</f>
        <v/>
      </c>
      <c r="I145" s="38" t="str">
        <f>IF(OR($C145="01-09",$D145="Male"),"",INDEX(PMTCT!$AS:$AS,MATCH($E145,PMTCT!$E:$E,0)))</f>
        <v/>
      </c>
      <c r="J145" s="38" t="str">
        <f>INDEX(TB!$P:$P,MATCH($E145,TB!$E:$E,0))</f>
        <v/>
      </c>
      <c r="K145" s="38" t="str">
        <f>IF(OR($C145="01-09",$C145="10-14",$D145="Female"),"",INDEX(VMMC!$AA:$AA,MATCH($E145,VMMC!$E:$E,0)))</f>
        <v/>
      </c>
      <c r="L145" s="38">
        <f t="shared" si="67"/>
        <v>2</v>
      </c>
      <c r="M145" s="33">
        <f t="shared" si="68"/>
        <v>0</v>
      </c>
      <c r="N145" s="33">
        <f t="shared" si="69"/>
        <v>0</v>
      </c>
      <c r="O145" s="33">
        <f t="shared" si="70"/>
        <v>0</v>
      </c>
      <c r="P145" s="33" t="str">
        <f t="shared" si="71"/>
        <v/>
      </c>
      <c r="Q145" s="33">
        <v>0.15</v>
      </c>
      <c r="R145" s="33"/>
      <c r="S145" s="33"/>
      <c r="T145" s="33">
        <v>0.05</v>
      </c>
      <c r="U145" s="33">
        <f t="shared" si="61"/>
        <v>0.8</v>
      </c>
      <c r="V145" s="33">
        <f t="shared" si="72"/>
        <v>1</v>
      </c>
      <c r="W145" s="218">
        <f t="shared" si="73"/>
        <v>0</v>
      </c>
      <c r="X145" s="33">
        <v>0.14299999999999999</v>
      </c>
      <c r="Y145" s="218">
        <f t="shared" si="73"/>
        <v>0</v>
      </c>
      <c r="Z145" s="218" t="str">
        <f t="shared" si="74"/>
        <v/>
      </c>
      <c r="AA145" s="33">
        <v>0.12</v>
      </c>
      <c r="AB145" s="218" t="str">
        <f t="shared" si="75"/>
        <v/>
      </c>
      <c r="AC145" s="218" t="str">
        <f t="shared" si="76"/>
        <v/>
      </c>
      <c r="AD145" s="33">
        <v>0.02</v>
      </c>
      <c r="AE145" s="218" t="str">
        <f t="shared" si="77"/>
        <v/>
      </c>
      <c r="AF145" s="218" t="str">
        <f t="shared" si="78"/>
        <v/>
      </c>
      <c r="AG145" s="33">
        <v>0.02</v>
      </c>
      <c r="AH145" s="218">
        <f t="shared" si="79"/>
        <v>0</v>
      </c>
      <c r="AI145" s="218" t="str">
        <f t="shared" si="80"/>
        <v/>
      </c>
      <c r="AJ145" s="33">
        <v>1.2999999999999999E-2</v>
      </c>
      <c r="AK145" s="218">
        <f t="shared" si="81"/>
        <v>2</v>
      </c>
      <c r="AL145" s="218">
        <f t="shared" si="82"/>
        <v>152</v>
      </c>
      <c r="AM145" s="38">
        <f t="shared" si="83"/>
        <v>2</v>
      </c>
      <c r="AN145" s="38">
        <f t="shared" si="84"/>
        <v>2</v>
      </c>
      <c r="AO145" s="38">
        <f t="shared" si="85"/>
        <v>0</v>
      </c>
      <c r="AP145" s="38" t="str">
        <f>IF(OR($C145="01-09",$D145="Male"),"",INDEX(PMTCT!$AD:$AD,MATCH($E145,PMTCT!$E:$E,0)))</f>
        <v/>
      </c>
      <c r="AQ145" s="38" t="str">
        <f>IF(OR($C145="01-09",$D145="Male"),"",INDEX(PMTCT!$AT:$AT,MATCH($E145,PMTCT!$E:$E,0)))</f>
        <v/>
      </c>
      <c r="AR145" s="38" t="str">
        <f>INDEX(TB!$Q:$Q,MATCH($E145,TB!$E:$E,0))</f>
        <v/>
      </c>
      <c r="AS145" s="38" t="str">
        <f>IF(OR($C145="01-09",$C145="10-14",$D145="Female"),"",INDEX(VMMC!$AB:$AB,MATCH($E145,VMMC!$E:$E,0)))</f>
        <v/>
      </c>
      <c r="AT145" s="38" t="str">
        <f>IF(OR($C145="01-09",$C145="10-14"),"",INDEX(PrEP!$Q:$Q,MATCH($E145,PrEP!$E:$E,0)))</f>
        <v/>
      </c>
      <c r="AU145" s="38">
        <f t="shared" si="86"/>
        <v>152</v>
      </c>
      <c r="AV145" s="38">
        <f t="shared" si="87"/>
        <v>154</v>
      </c>
      <c r="AW145" s="33">
        <f t="shared" si="88"/>
        <v>1.2987012987012988E-2</v>
      </c>
      <c r="AX145" s="38">
        <v>1</v>
      </c>
      <c r="AY145" s="33">
        <f t="shared" ref="AY145:AY206" si="91">IF(OR($C145="01-09",SUM($AX145)=0),"",0%)</f>
        <v>0</v>
      </c>
      <c r="AZ145" s="218">
        <f t="shared" si="89"/>
        <v>1</v>
      </c>
      <c r="BA145" s="33">
        <v>0</v>
      </c>
      <c r="BB145" s="218">
        <f t="shared" si="90"/>
        <v>0</v>
      </c>
    </row>
    <row r="146" spans="1:54" x14ac:dyDescent="0.2">
      <c r="A146" t="str">
        <f>INDEX(Prioritization!$D:$D,MATCH($B146,Prioritization!$A:$A,0))</f>
        <v>4 - Sustained</v>
      </c>
      <c r="B146" t="s">
        <v>309</v>
      </c>
      <c r="C146" t="s">
        <v>478</v>
      </c>
      <c r="D146" t="s">
        <v>48</v>
      </c>
      <c r="E146" t="str">
        <f t="shared" si="66"/>
        <v>Likoma District [ZCjuwgaMB9u]|50+|Male</v>
      </c>
      <c r="F146" s="33">
        <f>IF(LEFT($B146,4)="_Mil","",INDEX(Cascade!$AA:$AA,MATCH($E146,Cascade!$E:$E,0)))</f>
        <v>0.94964043200000003</v>
      </c>
      <c r="G146" s="38">
        <f>INDEX(Cascade!$BH:$BH,MATCH($E146,Cascade!$E:$E,0))</f>
        <v>2</v>
      </c>
      <c r="H146" s="38" t="str">
        <f>IF(OR($C146="01-09",$D146="Male"),"",INDEX(PMTCT!$AC:$AC,MATCH($E146,PMTCT!$E:$E,0)))</f>
        <v/>
      </c>
      <c r="I146" s="38" t="str">
        <f>IF(OR($C146="01-09",$D146="Male"),"",INDEX(PMTCT!$AS:$AS,MATCH($E146,PMTCT!$E:$E,0)))</f>
        <v/>
      </c>
      <c r="J146" s="38" t="str">
        <f>INDEX(TB!$P:$P,MATCH($E146,TB!$E:$E,0))</f>
        <v/>
      </c>
      <c r="K146" s="38" t="str">
        <f>IF(OR($C146="01-09",$C146="10-14",$D146="Female"),"",INDEX(VMMC!$AA:$AA,MATCH($E146,VMMC!$E:$E,0)))</f>
        <v/>
      </c>
      <c r="L146" s="38">
        <f t="shared" si="67"/>
        <v>2</v>
      </c>
      <c r="M146" s="33" t="str">
        <f t="shared" si="68"/>
        <v/>
      </c>
      <c r="N146" s="33" t="str">
        <f t="shared" si="69"/>
        <v/>
      </c>
      <c r="O146" s="33">
        <f t="shared" si="70"/>
        <v>0</v>
      </c>
      <c r="P146" s="33">
        <f t="shared" si="71"/>
        <v>0</v>
      </c>
      <c r="Q146" s="33">
        <v>0.2</v>
      </c>
      <c r="R146" s="33"/>
      <c r="S146" s="33"/>
      <c r="T146" s="33">
        <v>0.05</v>
      </c>
      <c r="U146" s="33">
        <f t="shared" si="61"/>
        <v>0.75</v>
      </c>
      <c r="V146" s="33">
        <f t="shared" si="72"/>
        <v>1</v>
      </c>
      <c r="W146" s="218">
        <f t="shared" si="73"/>
        <v>0</v>
      </c>
      <c r="X146" s="33">
        <v>0.14299999999999999</v>
      </c>
      <c r="Y146" s="218">
        <f t="shared" si="73"/>
        <v>0</v>
      </c>
      <c r="Z146" s="218" t="str">
        <f t="shared" si="74"/>
        <v/>
      </c>
      <c r="AA146" s="33">
        <v>0.12</v>
      </c>
      <c r="AB146" s="218" t="str">
        <f t="shared" si="75"/>
        <v/>
      </c>
      <c r="AC146" s="218" t="str">
        <f t="shared" si="76"/>
        <v/>
      </c>
      <c r="AD146" s="33">
        <v>0.02</v>
      </c>
      <c r="AE146" s="218" t="str">
        <f t="shared" si="77"/>
        <v/>
      </c>
      <c r="AF146" s="218" t="str">
        <f t="shared" si="78"/>
        <v/>
      </c>
      <c r="AG146" s="33">
        <v>0.02</v>
      </c>
      <c r="AH146" s="218">
        <f t="shared" si="79"/>
        <v>0</v>
      </c>
      <c r="AI146" s="218" t="str">
        <f t="shared" si="80"/>
        <v/>
      </c>
      <c r="AJ146" s="33">
        <v>2.3E-2</v>
      </c>
      <c r="AK146" s="218">
        <f t="shared" si="81"/>
        <v>2</v>
      </c>
      <c r="AL146" s="218">
        <f t="shared" si="82"/>
        <v>85</v>
      </c>
      <c r="AM146" s="38">
        <f t="shared" si="83"/>
        <v>2</v>
      </c>
      <c r="AN146" s="38">
        <f t="shared" si="84"/>
        <v>2</v>
      </c>
      <c r="AO146" s="38">
        <f t="shared" si="85"/>
        <v>0</v>
      </c>
      <c r="AP146" s="38" t="str">
        <f>IF(OR($C146="01-09",$D146="Male"),"",INDEX(PMTCT!$AD:$AD,MATCH($E146,PMTCT!$E:$E,0)))</f>
        <v/>
      </c>
      <c r="AQ146" s="38" t="str">
        <f>IF(OR($C146="01-09",$D146="Male"),"",INDEX(PMTCT!$AT:$AT,MATCH($E146,PMTCT!$E:$E,0)))</f>
        <v/>
      </c>
      <c r="AR146" s="38" t="str">
        <f>INDEX(TB!$Q:$Q,MATCH($E146,TB!$E:$E,0))</f>
        <v/>
      </c>
      <c r="AS146" s="38" t="str">
        <f>IF(OR($C146="01-09",$C146="10-14",$D146="Female"),"",INDEX(VMMC!$AB:$AB,MATCH($E146,VMMC!$E:$E,0)))</f>
        <v/>
      </c>
      <c r="AT146" s="38" t="str">
        <f>IF(OR($C146="01-09",$C146="10-14"),"",INDEX(PrEP!$Q:$Q,MATCH($E146,PrEP!$E:$E,0)))</f>
        <v/>
      </c>
      <c r="AU146" s="38">
        <f t="shared" si="86"/>
        <v>85</v>
      </c>
      <c r="AV146" s="38">
        <f t="shared" si="87"/>
        <v>87</v>
      </c>
      <c r="AW146" s="33">
        <f t="shared" si="88"/>
        <v>2.2988505747126436E-2</v>
      </c>
      <c r="AX146" s="38">
        <v>1</v>
      </c>
      <c r="AY146" s="33">
        <f t="shared" si="91"/>
        <v>0</v>
      </c>
      <c r="AZ146" s="218">
        <f t="shared" si="89"/>
        <v>1</v>
      </c>
      <c r="BA146" s="33">
        <v>0</v>
      </c>
      <c r="BB146" s="218">
        <f t="shared" si="90"/>
        <v>0</v>
      </c>
    </row>
    <row r="147" spans="1:54" x14ac:dyDescent="0.2">
      <c r="A147" t="str">
        <f>INDEX(Prioritization!$D:$D,MATCH($B147,Prioritization!$A:$A,0))</f>
        <v>INVALID</v>
      </c>
      <c r="B147" t="s">
        <v>301</v>
      </c>
      <c r="C147" t="s">
        <v>473</v>
      </c>
      <c r="D147" t="s">
        <v>30</v>
      </c>
      <c r="E147" t="str">
        <f t="shared" si="66"/>
        <v>Lilongwe District [ScR9iFKAasW]|01-09|Female</v>
      </c>
      <c r="F147" s="33">
        <f>IF(LEFT($B147,4)="_Mil","",INDEX(Cascade!$AA:$AA,MATCH($E147,Cascade!$E:$E,0)))</f>
        <v>0.71788388699999994</v>
      </c>
      <c r="G147" s="38">
        <f>INDEX(Cascade!$BH:$BH,MATCH($E147,Cascade!$E:$E,0))</f>
        <v>19</v>
      </c>
      <c r="H147" s="38" t="str">
        <f>IF(OR($C147="01-09",$D147="Male"),"",INDEX(PMTCT!$AC:$AC,MATCH($E147,PMTCT!$E:$E,0)))</f>
        <v/>
      </c>
      <c r="I147" s="38" t="str">
        <f>IF(OR($C147="01-09",$D147="Male"),"",INDEX(PMTCT!$AS:$AS,MATCH($E147,PMTCT!$E:$E,0)))</f>
        <v/>
      </c>
      <c r="J147" s="38">
        <f>INDEX(TB!$P:$P,MATCH($E147,TB!$E:$E,0))</f>
        <v>3</v>
      </c>
      <c r="K147" s="38" t="str">
        <f>IF(OR($C147="01-09",$C147="10-14",$D147="Female"),"",INDEX(VMMC!$AA:$AA,MATCH($E147,VMMC!$E:$E,0)))</f>
        <v/>
      </c>
      <c r="L147" s="38">
        <f t="shared" si="67"/>
        <v>16</v>
      </c>
      <c r="M147" s="33" t="str">
        <f t="shared" si="68"/>
        <v/>
      </c>
      <c r="N147" s="33" t="str">
        <f t="shared" si="69"/>
        <v/>
      </c>
      <c r="O147" s="33">
        <f t="shared" si="70"/>
        <v>0.15789473684210525</v>
      </c>
      <c r="P147" s="33" t="str">
        <f t="shared" si="71"/>
        <v/>
      </c>
      <c r="Q147" s="33">
        <v>0.44776119402985098</v>
      </c>
      <c r="R147" s="33"/>
      <c r="S147" s="33"/>
      <c r="T147" s="33"/>
      <c r="U147" s="33">
        <f t="shared" si="61"/>
        <v>0.39434406912804376</v>
      </c>
      <c r="V147" s="33">
        <f t="shared" si="72"/>
        <v>1</v>
      </c>
      <c r="W147" s="218">
        <f t="shared" si="73"/>
        <v>9</v>
      </c>
      <c r="X147" s="33">
        <v>3.5999999999999997E-2</v>
      </c>
      <c r="Y147" s="218">
        <f t="shared" si="73"/>
        <v>9</v>
      </c>
      <c r="Z147" s="218">
        <f t="shared" si="74"/>
        <v>241</v>
      </c>
      <c r="AA147" s="33">
        <v>0.12</v>
      </c>
      <c r="AB147" s="218" t="str">
        <f t="shared" si="75"/>
        <v/>
      </c>
      <c r="AC147" s="218" t="str">
        <f t="shared" si="76"/>
        <v/>
      </c>
      <c r="AD147" s="33">
        <v>0.02</v>
      </c>
      <c r="AE147" s="218" t="str">
        <f t="shared" si="77"/>
        <v/>
      </c>
      <c r="AF147" s="218" t="str">
        <f t="shared" si="78"/>
        <v/>
      </c>
      <c r="AG147" s="33">
        <v>0.02</v>
      </c>
      <c r="AH147" s="218" t="str">
        <f t="shared" si="79"/>
        <v/>
      </c>
      <c r="AI147" s="218" t="str">
        <f t="shared" si="80"/>
        <v/>
      </c>
      <c r="AJ147" s="33">
        <v>8.0000000000000002E-3</v>
      </c>
      <c r="AK147" s="218">
        <f t="shared" si="81"/>
        <v>7</v>
      </c>
      <c r="AL147" s="218">
        <f t="shared" si="82"/>
        <v>868</v>
      </c>
      <c r="AM147" s="38">
        <f t="shared" si="83"/>
        <v>19</v>
      </c>
      <c r="AN147" s="38">
        <f t="shared" si="84"/>
        <v>19</v>
      </c>
      <c r="AO147" s="38">
        <f t="shared" si="85"/>
        <v>0</v>
      </c>
      <c r="AP147" s="38" t="str">
        <f>IF(OR($C147="01-09",$D147="Male"),"",INDEX(PMTCT!$AD:$AD,MATCH($E147,PMTCT!$E:$E,0)))</f>
        <v/>
      </c>
      <c r="AQ147" s="38" t="str">
        <f>IF(OR($C147="01-09",$D147="Male"),"",INDEX(PMTCT!$AT:$AT,MATCH($E147,PMTCT!$E:$E,0)))</f>
        <v/>
      </c>
      <c r="AR147" s="38">
        <f>INDEX(TB!$Q:$Q,MATCH($E147,TB!$E:$E,0))</f>
        <v>53</v>
      </c>
      <c r="AS147" s="38" t="str">
        <f>IF(OR($C147="01-09",$C147="10-14",$D147="Female"),"",INDEX(VMMC!$AB:$AB,MATCH($E147,VMMC!$E:$E,0)))</f>
        <v/>
      </c>
      <c r="AT147" s="38" t="str">
        <f>IF(OR($C147="01-09",$C147="10-14"),"",INDEX(PrEP!$Q:$Q,MATCH($E147,PrEP!$E:$E,0)))</f>
        <v/>
      </c>
      <c r="AU147" s="38">
        <f t="shared" si="86"/>
        <v>1162</v>
      </c>
      <c r="AV147" s="38">
        <f t="shared" si="87"/>
        <v>1181</v>
      </c>
      <c r="AW147" s="33">
        <f t="shared" si="88"/>
        <v>1.6088060965283656E-2</v>
      </c>
      <c r="AX147" s="38"/>
      <c r="AY147" s="33" t="str">
        <f t="shared" si="91"/>
        <v/>
      </c>
      <c r="AZ147" s="218" t="str">
        <f t="shared" si="89"/>
        <v/>
      </c>
      <c r="BA147" s="33" t="str">
        <f t="shared" ref="BA147:BA198" si="92">IF(OR($C147="01-09",$C147="10-14"),"",100%)</f>
        <v/>
      </c>
      <c r="BB147" s="218" t="str">
        <f t="shared" si="90"/>
        <v/>
      </c>
    </row>
    <row r="148" spans="1:54" x14ac:dyDescent="0.2">
      <c r="A148" t="str">
        <f>INDEX(Prioritization!$D:$D,MATCH($B148,Prioritization!$A:$A,0))</f>
        <v>INVALID</v>
      </c>
      <c r="B148" t="s">
        <v>301</v>
      </c>
      <c r="C148" t="s">
        <v>473</v>
      </c>
      <c r="D148" t="s">
        <v>48</v>
      </c>
      <c r="E148" t="str">
        <f t="shared" si="66"/>
        <v>Lilongwe District [ScR9iFKAasW]|01-09|Male</v>
      </c>
      <c r="F148" s="33">
        <f>IF(LEFT($B148,4)="_Mil","",INDEX(Cascade!$AA:$AA,MATCH($E148,Cascade!$E:$E,0)))</f>
        <v>0.71829328599999998</v>
      </c>
      <c r="G148" s="38">
        <f>INDEX(Cascade!$BH:$BH,MATCH($E148,Cascade!$E:$E,0))</f>
        <v>19</v>
      </c>
      <c r="H148" s="38" t="str">
        <f>IF(OR($C148="01-09",$D148="Male"),"",INDEX(PMTCT!$AC:$AC,MATCH($E148,PMTCT!$E:$E,0)))</f>
        <v/>
      </c>
      <c r="I148" s="38" t="str">
        <f>IF(OR($C148="01-09",$D148="Male"),"",INDEX(PMTCT!$AS:$AS,MATCH($E148,PMTCT!$E:$E,0)))</f>
        <v/>
      </c>
      <c r="J148" s="38">
        <f>INDEX(TB!$P:$P,MATCH($E148,TB!$E:$E,0))</f>
        <v>3</v>
      </c>
      <c r="K148" s="38" t="str">
        <f>IF(OR($C148="01-09",$C148="10-14",$D148="Female"),"",INDEX(VMMC!$AA:$AA,MATCH($E148,VMMC!$E:$E,0)))</f>
        <v/>
      </c>
      <c r="L148" s="38">
        <f t="shared" si="67"/>
        <v>16</v>
      </c>
      <c r="M148" s="33" t="str">
        <f t="shared" si="68"/>
        <v/>
      </c>
      <c r="N148" s="33" t="str">
        <f t="shared" si="69"/>
        <v/>
      </c>
      <c r="O148" s="33">
        <f t="shared" si="70"/>
        <v>0.15789473684210525</v>
      </c>
      <c r="P148" s="33" t="str">
        <f t="shared" si="71"/>
        <v/>
      </c>
      <c r="Q148" s="33">
        <v>0.43661971830985902</v>
      </c>
      <c r="R148" s="33"/>
      <c r="S148" s="33"/>
      <c r="T148" s="33"/>
      <c r="U148" s="33">
        <f t="shared" si="61"/>
        <v>0.40548554484803567</v>
      </c>
      <c r="V148" s="33">
        <f t="shared" si="72"/>
        <v>1</v>
      </c>
      <c r="W148" s="218">
        <f t="shared" si="73"/>
        <v>8</v>
      </c>
      <c r="X148" s="33">
        <v>3.1E-2</v>
      </c>
      <c r="Y148" s="218">
        <f t="shared" si="73"/>
        <v>8</v>
      </c>
      <c r="Z148" s="218">
        <f t="shared" si="74"/>
        <v>250</v>
      </c>
      <c r="AA148" s="33">
        <v>0.12</v>
      </c>
      <c r="AB148" s="218" t="str">
        <f t="shared" si="75"/>
        <v/>
      </c>
      <c r="AC148" s="218" t="str">
        <f t="shared" si="76"/>
        <v/>
      </c>
      <c r="AD148" s="33">
        <v>0.02</v>
      </c>
      <c r="AE148" s="218" t="str">
        <f t="shared" si="77"/>
        <v/>
      </c>
      <c r="AF148" s="218" t="str">
        <f t="shared" si="78"/>
        <v/>
      </c>
      <c r="AG148" s="33">
        <v>0.02</v>
      </c>
      <c r="AH148" s="218" t="str">
        <f t="shared" si="79"/>
        <v/>
      </c>
      <c r="AI148" s="218" t="str">
        <f t="shared" si="80"/>
        <v/>
      </c>
      <c r="AJ148" s="33">
        <v>8.2000000000000007E-3</v>
      </c>
      <c r="AK148" s="218">
        <f t="shared" si="81"/>
        <v>8</v>
      </c>
      <c r="AL148" s="218">
        <f t="shared" si="82"/>
        <v>968</v>
      </c>
      <c r="AM148" s="38">
        <f t="shared" si="83"/>
        <v>19</v>
      </c>
      <c r="AN148" s="38">
        <f t="shared" si="84"/>
        <v>19</v>
      </c>
      <c r="AO148" s="38">
        <f t="shared" si="85"/>
        <v>0</v>
      </c>
      <c r="AP148" s="38" t="str">
        <f>IF(OR($C148="01-09",$D148="Male"),"",INDEX(PMTCT!$AD:$AD,MATCH($E148,PMTCT!$E:$E,0)))</f>
        <v/>
      </c>
      <c r="AQ148" s="38" t="str">
        <f>IF(OR($C148="01-09",$D148="Male"),"",INDEX(PMTCT!$AT:$AT,MATCH($E148,PMTCT!$E:$E,0)))</f>
        <v/>
      </c>
      <c r="AR148" s="38">
        <f>INDEX(TB!$Q:$Q,MATCH($E148,TB!$E:$E,0))</f>
        <v>53</v>
      </c>
      <c r="AS148" s="38" t="str">
        <f>IF(OR($C148="01-09",$C148="10-14",$D148="Female"),"",INDEX(VMMC!$AB:$AB,MATCH($E148,VMMC!$E:$E,0)))</f>
        <v/>
      </c>
      <c r="AT148" s="38" t="str">
        <f>IF(OR($C148="01-09",$C148="10-14"),"",INDEX(PrEP!$Q:$Q,MATCH($E148,PrEP!$E:$E,0)))</f>
        <v/>
      </c>
      <c r="AU148" s="38">
        <f t="shared" si="86"/>
        <v>1271</v>
      </c>
      <c r="AV148" s="38">
        <f t="shared" si="87"/>
        <v>1290</v>
      </c>
      <c r="AW148" s="33">
        <f t="shared" si="88"/>
        <v>1.4728682170542635E-2</v>
      </c>
      <c r="AX148" s="38"/>
      <c r="AY148" s="33" t="str">
        <f t="shared" si="91"/>
        <v/>
      </c>
      <c r="AZ148" s="218" t="str">
        <f t="shared" si="89"/>
        <v/>
      </c>
      <c r="BA148" s="33" t="str">
        <f t="shared" si="92"/>
        <v/>
      </c>
      <c r="BB148" s="218" t="str">
        <f t="shared" si="90"/>
        <v/>
      </c>
    </row>
    <row r="149" spans="1:54" x14ac:dyDescent="0.2">
      <c r="A149" t="str">
        <f>INDEX(Prioritization!$D:$D,MATCH($B149,Prioritization!$A:$A,0))</f>
        <v>INVALID</v>
      </c>
      <c r="B149" t="s">
        <v>301</v>
      </c>
      <c r="C149" t="s">
        <v>474</v>
      </c>
      <c r="D149" t="s">
        <v>30</v>
      </c>
      <c r="E149" t="str">
        <f t="shared" si="66"/>
        <v>Lilongwe District [ScR9iFKAasW]|10-14|Female</v>
      </c>
      <c r="F149" s="33">
        <f>IF(LEFT($B149,4)="_Mil","",INDEX(Cascade!$AA:$AA,MATCH($E149,Cascade!$E:$E,0)))</f>
        <v>0.75542786299999998</v>
      </c>
      <c r="G149" s="38">
        <f>INDEX(Cascade!$BH:$BH,MATCH($E149,Cascade!$E:$E,0))</f>
        <v>22</v>
      </c>
      <c r="H149" s="38">
        <f>IF(OR($C149="01-09",$D149="Male"),"",INDEX(PMTCT!$AC:$AC,MATCH($E149,PMTCT!$E:$E,0)))</f>
        <v>2</v>
      </c>
      <c r="I149" s="38">
        <f>IF(OR($C149="01-09",$D149="Male"),"",INDEX(PMTCT!$AS:$AS,MATCH($E149,PMTCT!$E:$E,0)))</f>
        <v>1</v>
      </c>
      <c r="J149" s="38">
        <f>INDEX(TB!$P:$P,MATCH($E149,TB!$E:$E,0))</f>
        <v>2</v>
      </c>
      <c r="K149" s="38" t="str">
        <f>IF(OR($C149="01-09",$C149="10-14",$D149="Female"),"",INDEX(VMMC!$AA:$AA,MATCH($E149,VMMC!$E:$E,0)))</f>
        <v/>
      </c>
      <c r="L149" s="38">
        <f t="shared" si="67"/>
        <v>17</v>
      </c>
      <c r="M149" s="33">
        <f t="shared" si="68"/>
        <v>9.0909090909090912E-2</v>
      </c>
      <c r="N149" s="33">
        <f t="shared" si="69"/>
        <v>4.5454545454545456E-2</v>
      </c>
      <c r="O149" s="33">
        <f t="shared" si="70"/>
        <v>9.0909090909090912E-2</v>
      </c>
      <c r="P149" s="33" t="str">
        <f t="shared" si="71"/>
        <v/>
      </c>
      <c r="Q149" s="33">
        <v>0.201298701298701</v>
      </c>
      <c r="R149" s="33"/>
      <c r="S149" s="33"/>
      <c r="T149" s="33"/>
      <c r="U149" s="33">
        <f t="shared" si="61"/>
        <v>0.57142857142857173</v>
      </c>
      <c r="V149" s="33">
        <f t="shared" si="72"/>
        <v>1</v>
      </c>
      <c r="W149" s="218">
        <f t="shared" si="73"/>
        <v>4</v>
      </c>
      <c r="X149" s="33">
        <v>3.3000000000000002E-2</v>
      </c>
      <c r="Y149" s="218">
        <f t="shared" si="73"/>
        <v>4</v>
      </c>
      <c r="Z149" s="218">
        <f t="shared" si="74"/>
        <v>117</v>
      </c>
      <c r="AA149" s="33">
        <v>0.12</v>
      </c>
      <c r="AB149" s="218" t="str">
        <f t="shared" si="75"/>
        <v/>
      </c>
      <c r="AC149" s="218" t="str">
        <f t="shared" si="76"/>
        <v/>
      </c>
      <c r="AD149" s="33">
        <v>0.02</v>
      </c>
      <c r="AE149" s="218" t="str">
        <f t="shared" si="77"/>
        <v/>
      </c>
      <c r="AF149" s="218" t="str">
        <f t="shared" si="78"/>
        <v/>
      </c>
      <c r="AG149" s="33">
        <v>0.02</v>
      </c>
      <c r="AH149" s="218" t="str">
        <f t="shared" si="79"/>
        <v/>
      </c>
      <c r="AI149" s="218" t="str">
        <f t="shared" si="80"/>
        <v/>
      </c>
      <c r="AJ149" s="33">
        <v>2.1000000000000001E-2</v>
      </c>
      <c r="AK149" s="218">
        <f t="shared" si="81"/>
        <v>13</v>
      </c>
      <c r="AL149" s="218">
        <f t="shared" si="82"/>
        <v>606</v>
      </c>
      <c r="AM149" s="38">
        <f t="shared" si="83"/>
        <v>22</v>
      </c>
      <c r="AN149" s="38">
        <f t="shared" si="84"/>
        <v>22</v>
      </c>
      <c r="AO149" s="38">
        <f t="shared" si="85"/>
        <v>0</v>
      </c>
      <c r="AP149" s="38">
        <f>IF(OR($C149="01-09",$D149="Male"),"",INDEX(PMTCT!$AD:$AD,MATCH($E149,PMTCT!$E:$E,0)))</f>
        <v>294</v>
      </c>
      <c r="AQ149" s="38">
        <f>IF(OR($C149="01-09",$D149="Male"),"",INDEX(PMTCT!$AT:$AT,MATCH($E149,PMTCT!$E:$E,0)))</f>
        <v>293</v>
      </c>
      <c r="AR149" s="38">
        <f>INDEX(TB!$Q:$Q,MATCH($E149,TB!$E:$E,0))</f>
        <v>25</v>
      </c>
      <c r="AS149" s="38" t="str">
        <f>IF(OR($C149="01-09",$C149="10-14",$D149="Female"),"",INDEX(VMMC!$AB:$AB,MATCH($E149,VMMC!$E:$E,0)))</f>
        <v/>
      </c>
      <c r="AT149" s="38" t="str">
        <f>IF(OR($C149="01-09",$C149="10-14"),"",INDEX(PrEP!$Q:$Q,MATCH($E149,PrEP!$E:$E,0)))</f>
        <v/>
      </c>
      <c r="AU149" s="38">
        <f t="shared" si="86"/>
        <v>1335</v>
      </c>
      <c r="AV149" s="38">
        <f t="shared" si="87"/>
        <v>1357</v>
      </c>
      <c r="AW149" s="33">
        <f t="shared" si="88"/>
        <v>1.6212232866617538E-2</v>
      </c>
      <c r="AX149" s="38"/>
      <c r="AY149" s="33" t="str">
        <f t="shared" si="91"/>
        <v/>
      </c>
      <c r="AZ149" s="218" t="str">
        <f t="shared" si="89"/>
        <v/>
      </c>
      <c r="BA149" s="33" t="str">
        <f t="shared" si="92"/>
        <v/>
      </c>
      <c r="BB149" s="218" t="str">
        <f t="shared" si="90"/>
        <v/>
      </c>
    </row>
    <row r="150" spans="1:54" x14ac:dyDescent="0.2">
      <c r="A150" t="str">
        <f>INDEX(Prioritization!$D:$D,MATCH($B150,Prioritization!$A:$A,0))</f>
        <v>INVALID</v>
      </c>
      <c r="B150" t="s">
        <v>301</v>
      </c>
      <c r="C150" t="s">
        <v>474</v>
      </c>
      <c r="D150" t="s">
        <v>48</v>
      </c>
      <c r="E150" t="str">
        <f t="shared" si="66"/>
        <v>Lilongwe District [ScR9iFKAasW]|10-14|Male</v>
      </c>
      <c r="F150" s="33">
        <f>IF(LEFT($B150,4)="_Mil","",INDEX(Cascade!$AA:$AA,MATCH($E150,Cascade!$E:$E,0)))</f>
        <v>0.75596696299999988</v>
      </c>
      <c r="G150" s="38">
        <f>INDEX(Cascade!$BH:$BH,MATCH($E150,Cascade!$E:$E,0))</f>
        <v>21</v>
      </c>
      <c r="H150" s="38" t="str">
        <f>IF(OR($C150="01-09",$D150="Male"),"",INDEX(PMTCT!$AC:$AC,MATCH($E150,PMTCT!$E:$E,0)))</f>
        <v/>
      </c>
      <c r="I150" s="38" t="str">
        <f>IF(OR($C150="01-09",$D150="Male"),"",INDEX(PMTCT!$AS:$AS,MATCH($E150,PMTCT!$E:$E,0)))</f>
        <v/>
      </c>
      <c r="J150" s="38">
        <f>INDEX(TB!$P:$P,MATCH($E150,TB!$E:$E,0))</f>
        <v>2</v>
      </c>
      <c r="K150" s="38" t="str">
        <f>IF(OR($C150="01-09",$C150="10-14",$D150="Female"),"",INDEX(VMMC!$AA:$AA,MATCH($E150,VMMC!$E:$E,0)))</f>
        <v/>
      </c>
      <c r="L150" s="38">
        <f t="shared" si="67"/>
        <v>19</v>
      </c>
      <c r="M150" s="33" t="str">
        <f t="shared" si="68"/>
        <v/>
      </c>
      <c r="N150" s="33" t="str">
        <f t="shared" si="69"/>
        <v/>
      </c>
      <c r="O150" s="33">
        <f t="shared" si="70"/>
        <v>9.5238095238095233E-2</v>
      </c>
      <c r="P150" s="33" t="str">
        <f t="shared" si="71"/>
        <v/>
      </c>
      <c r="Q150" s="33">
        <v>0.5625</v>
      </c>
      <c r="R150" s="33"/>
      <c r="S150" s="33"/>
      <c r="T150" s="33"/>
      <c r="U150" s="33">
        <f t="shared" si="61"/>
        <v>0.34226190476190477</v>
      </c>
      <c r="V150" s="33">
        <f t="shared" si="72"/>
        <v>1</v>
      </c>
      <c r="W150" s="218">
        <f t="shared" si="73"/>
        <v>12</v>
      </c>
      <c r="X150" s="33">
        <v>3.1E-2</v>
      </c>
      <c r="Y150" s="218">
        <f t="shared" si="73"/>
        <v>12</v>
      </c>
      <c r="Z150" s="218">
        <f t="shared" si="74"/>
        <v>375</v>
      </c>
      <c r="AA150" s="33">
        <v>0.12</v>
      </c>
      <c r="AB150" s="218" t="str">
        <f t="shared" si="75"/>
        <v/>
      </c>
      <c r="AC150" s="218" t="str">
        <f t="shared" si="76"/>
        <v/>
      </c>
      <c r="AD150" s="33">
        <v>0.02</v>
      </c>
      <c r="AE150" s="218" t="str">
        <f t="shared" si="77"/>
        <v/>
      </c>
      <c r="AF150" s="218" t="str">
        <f t="shared" si="78"/>
        <v/>
      </c>
      <c r="AG150" s="33">
        <v>0.02</v>
      </c>
      <c r="AH150" s="218" t="str">
        <f t="shared" si="79"/>
        <v/>
      </c>
      <c r="AI150" s="218" t="str">
        <f t="shared" si="80"/>
        <v/>
      </c>
      <c r="AJ150" s="33">
        <v>1.4999999999999999E-2</v>
      </c>
      <c r="AK150" s="218">
        <f t="shared" si="81"/>
        <v>7</v>
      </c>
      <c r="AL150" s="218">
        <f t="shared" si="82"/>
        <v>460</v>
      </c>
      <c r="AM150" s="38">
        <f t="shared" si="83"/>
        <v>21</v>
      </c>
      <c r="AN150" s="38">
        <f t="shared" si="84"/>
        <v>21</v>
      </c>
      <c r="AO150" s="38">
        <f t="shared" si="85"/>
        <v>0</v>
      </c>
      <c r="AP150" s="38" t="str">
        <f>IF(OR($C150="01-09",$D150="Male"),"",INDEX(PMTCT!$AD:$AD,MATCH($E150,PMTCT!$E:$E,0)))</f>
        <v/>
      </c>
      <c r="AQ150" s="38" t="str">
        <f>IF(OR($C150="01-09",$D150="Male"),"",INDEX(PMTCT!$AT:$AT,MATCH($E150,PMTCT!$E:$E,0)))</f>
        <v/>
      </c>
      <c r="AR150" s="38">
        <f>INDEX(TB!$Q:$Q,MATCH($E150,TB!$E:$E,0))</f>
        <v>25</v>
      </c>
      <c r="AS150" s="38" t="str">
        <f>IF(OR($C150="01-09",$C150="10-14",$D150="Female"),"",INDEX(VMMC!$AB:$AB,MATCH($E150,VMMC!$E:$E,0)))</f>
        <v/>
      </c>
      <c r="AT150" s="38" t="str">
        <f>IF(OR($C150="01-09",$C150="10-14"),"",INDEX(PrEP!$Q:$Q,MATCH($E150,PrEP!$E:$E,0)))</f>
        <v/>
      </c>
      <c r="AU150" s="38">
        <f t="shared" si="86"/>
        <v>860</v>
      </c>
      <c r="AV150" s="38">
        <f t="shared" si="87"/>
        <v>881</v>
      </c>
      <c r="AW150" s="33">
        <f t="shared" si="88"/>
        <v>2.383654937570942E-2</v>
      </c>
      <c r="AX150" s="38"/>
      <c r="AY150" s="33" t="str">
        <f t="shared" si="91"/>
        <v/>
      </c>
      <c r="AZ150" s="218" t="str">
        <f t="shared" si="89"/>
        <v/>
      </c>
      <c r="BA150" s="33" t="str">
        <f t="shared" si="92"/>
        <v/>
      </c>
      <c r="BB150" s="218" t="str">
        <f t="shared" si="90"/>
        <v/>
      </c>
    </row>
    <row r="151" spans="1:54" x14ac:dyDescent="0.2">
      <c r="A151" t="str">
        <f>INDEX(Prioritization!$D:$D,MATCH($B151,Prioritization!$A:$A,0))</f>
        <v>INVALID</v>
      </c>
      <c r="B151" t="s">
        <v>301</v>
      </c>
      <c r="C151" t="s">
        <v>475</v>
      </c>
      <c r="D151" t="s">
        <v>30</v>
      </c>
      <c r="E151" t="str">
        <f t="shared" si="66"/>
        <v>Lilongwe District [ScR9iFKAasW]|15-24|Female</v>
      </c>
      <c r="F151" s="33">
        <f>IF(LEFT($B151,4)="_Mil","",INDEX(Cascade!$AA:$AA,MATCH($E151,Cascade!$E:$E,0)))</f>
        <v>0.94513043899999993</v>
      </c>
      <c r="G151" s="38">
        <f>INDEX(Cascade!$BH:$BH,MATCH($E151,Cascade!$E:$E,0))</f>
        <v>1174</v>
      </c>
      <c r="H151" s="38">
        <f>IF(OR($C151="01-09",$D151="Male"),"",INDEX(PMTCT!$AC:$AC,MATCH($E151,PMTCT!$E:$E,0)))</f>
        <v>420</v>
      </c>
      <c r="I151" s="38">
        <f>IF(OR($C151="01-09",$D151="Male"),"",INDEX(PMTCT!$AS:$AS,MATCH($E151,PMTCT!$E:$E,0)))</f>
        <v>212</v>
      </c>
      <c r="J151" s="38">
        <f>INDEX(TB!$P:$P,MATCH($E151,TB!$E:$E,0))</f>
        <v>12</v>
      </c>
      <c r="K151" s="38" t="str">
        <f>IF(OR($C151="01-09",$C151="10-14",$D151="Female"),"",INDEX(VMMC!$AA:$AA,MATCH($E151,VMMC!$E:$E,0)))</f>
        <v/>
      </c>
      <c r="L151" s="38">
        <f t="shared" si="67"/>
        <v>530</v>
      </c>
      <c r="M151" s="33">
        <f t="shared" si="68"/>
        <v>0.35775127768313458</v>
      </c>
      <c r="N151" s="33">
        <f t="shared" si="69"/>
        <v>0.18057921635434412</v>
      </c>
      <c r="O151" s="33">
        <f t="shared" si="70"/>
        <v>1.0221465076660987E-2</v>
      </c>
      <c r="P151" s="33" t="str">
        <f t="shared" si="71"/>
        <v/>
      </c>
      <c r="Q151" s="33">
        <v>0.18</v>
      </c>
      <c r="R151" s="33">
        <v>0.03</v>
      </c>
      <c r="S151" s="33">
        <v>0.03</v>
      </c>
      <c r="T151" s="33">
        <v>0.05</v>
      </c>
      <c r="U151" s="33">
        <f t="shared" si="61"/>
        <v>0.16144804088586029</v>
      </c>
      <c r="V151" s="33">
        <f t="shared" si="72"/>
        <v>1</v>
      </c>
      <c r="W151" s="218">
        <f t="shared" si="73"/>
        <v>211</v>
      </c>
      <c r="X151" s="33">
        <v>0.214</v>
      </c>
      <c r="Y151" s="218">
        <f t="shared" si="73"/>
        <v>211</v>
      </c>
      <c r="Z151" s="218">
        <f t="shared" si="74"/>
        <v>775</v>
      </c>
      <c r="AA151" s="33">
        <v>0.12</v>
      </c>
      <c r="AB151" s="218">
        <f t="shared" si="75"/>
        <v>35</v>
      </c>
      <c r="AC151" s="218">
        <f t="shared" si="76"/>
        <v>257</v>
      </c>
      <c r="AD151" s="33">
        <v>0.02</v>
      </c>
      <c r="AE151" s="218">
        <f t="shared" si="77"/>
        <v>35</v>
      </c>
      <c r="AF151" s="218">
        <f t="shared" si="78"/>
        <v>1715</v>
      </c>
      <c r="AG151" s="33">
        <v>0.02</v>
      </c>
      <c r="AH151" s="218">
        <f t="shared" si="79"/>
        <v>59</v>
      </c>
      <c r="AI151" s="218">
        <f t="shared" si="80"/>
        <v>2891</v>
      </c>
      <c r="AJ151" s="33">
        <v>2.1000000000000001E-2</v>
      </c>
      <c r="AK151" s="218">
        <f t="shared" si="81"/>
        <v>190</v>
      </c>
      <c r="AL151" s="218">
        <f t="shared" si="82"/>
        <v>8858</v>
      </c>
      <c r="AM151" s="38">
        <f t="shared" si="83"/>
        <v>1174</v>
      </c>
      <c r="AN151" s="38">
        <f t="shared" si="84"/>
        <v>1174</v>
      </c>
      <c r="AO151" s="38">
        <f t="shared" si="85"/>
        <v>0</v>
      </c>
      <c r="AP151" s="38">
        <f>IF(OR($C151="01-09",$D151="Male"),"",INDEX(PMTCT!$AD:$AD,MATCH($E151,PMTCT!$E:$E,0)))</f>
        <v>52947</v>
      </c>
      <c r="AQ151" s="38">
        <f>IF(OR($C151="01-09",$D151="Male"),"",INDEX(PMTCT!$AT:$AT,MATCH($E151,PMTCT!$E:$E,0)))</f>
        <v>52734.999999999993</v>
      </c>
      <c r="AR151" s="38">
        <f>INDEX(TB!$Q:$Q,MATCH($E151,TB!$E:$E,0))</f>
        <v>194</v>
      </c>
      <c r="AS151" s="38" t="str">
        <f>IF(OR($C151="01-09",$C151="10-14",$D151="Female"),"",INDEX(VMMC!$AB:$AB,MATCH($E151,VMMC!$E:$E,0)))</f>
        <v/>
      </c>
      <c r="AT151" s="38">
        <f>IF(OR($C151="01-09",$C151="10-14"),"",INDEX(PrEP!$Q:$Q,MATCH($E151,PrEP!$E:$E,0)))</f>
        <v>3362</v>
      </c>
      <c r="AU151" s="38">
        <f t="shared" si="86"/>
        <v>123733.99999999999</v>
      </c>
      <c r="AV151" s="38">
        <f t="shared" si="87"/>
        <v>124907.99999999999</v>
      </c>
      <c r="AW151" s="33">
        <f t="shared" si="88"/>
        <v>9.3989176033560714E-3</v>
      </c>
      <c r="AX151" s="38">
        <v>38951</v>
      </c>
      <c r="AY151" s="33">
        <f t="shared" ref="AY151:AY156" si="93">IF(OR($C151="01-09",SUM($AX151)=0),"",68%)</f>
        <v>0.68</v>
      </c>
      <c r="AZ151" s="218">
        <f t="shared" si="89"/>
        <v>65438</v>
      </c>
      <c r="BA151" s="33">
        <v>0.47</v>
      </c>
      <c r="BB151" s="218">
        <f t="shared" si="90"/>
        <v>552</v>
      </c>
    </row>
    <row r="152" spans="1:54" x14ac:dyDescent="0.2">
      <c r="A152" t="str">
        <f>INDEX(Prioritization!$D:$D,MATCH($B152,Prioritization!$A:$A,0))</f>
        <v>INVALID</v>
      </c>
      <c r="B152" t="s">
        <v>301</v>
      </c>
      <c r="C152" t="s">
        <v>475</v>
      </c>
      <c r="D152" t="s">
        <v>48</v>
      </c>
      <c r="E152" t="str">
        <f t="shared" si="66"/>
        <v>Lilongwe District [ScR9iFKAasW]|15-24|Male</v>
      </c>
      <c r="F152" s="33">
        <f>IF(LEFT($B152,4)="_Mil","",INDEX(Cascade!$AA:$AA,MATCH($E152,Cascade!$E:$E,0)))</f>
        <v>0.91757151299999995</v>
      </c>
      <c r="G152" s="38">
        <f>INDEX(Cascade!$BH:$BH,MATCH($E152,Cascade!$E:$E,0))</f>
        <v>593</v>
      </c>
      <c r="H152" s="38" t="str">
        <f>IF(OR($C152="01-09",$D152="Male"),"",INDEX(PMTCT!$AC:$AC,MATCH($E152,PMTCT!$E:$E,0)))</f>
        <v/>
      </c>
      <c r="I152" s="38" t="str">
        <f>IF(OR($C152="01-09",$D152="Male"),"",INDEX(PMTCT!$AS:$AS,MATCH($E152,PMTCT!$E:$E,0)))</f>
        <v/>
      </c>
      <c r="J152" s="38">
        <f>INDEX(TB!$P:$P,MATCH($E152,TB!$E:$E,0))</f>
        <v>19</v>
      </c>
      <c r="K152" s="38">
        <f>IF(OR($C152="01-09",$C152="10-14",$D152="Female"),"",INDEX(VMMC!$AA:$AA,MATCH($E152,VMMC!$E:$E,0)))</f>
        <v>81</v>
      </c>
      <c r="L152" s="38">
        <f t="shared" si="67"/>
        <v>493</v>
      </c>
      <c r="M152" s="33" t="str">
        <f t="shared" si="68"/>
        <v/>
      </c>
      <c r="N152" s="33" t="str">
        <f t="shared" si="69"/>
        <v/>
      </c>
      <c r="O152" s="33">
        <f t="shared" si="70"/>
        <v>3.2040472175379427E-2</v>
      </c>
      <c r="P152" s="33">
        <f t="shared" si="71"/>
        <v>0.13659359190556492</v>
      </c>
      <c r="Q152" s="33">
        <v>0.21</v>
      </c>
      <c r="R152" s="33">
        <v>0.06</v>
      </c>
      <c r="S152" s="33">
        <v>0.03</v>
      </c>
      <c r="T152" s="33">
        <v>0.05</v>
      </c>
      <c r="U152" s="33">
        <f t="shared" si="61"/>
        <v>0.48136593591905563</v>
      </c>
      <c r="V152" s="33">
        <f t="shared" si="72"/>
        <v>1</v>
      </c>
      <c r="W152" s="218">
        <f t="shared" si="73"/>
        <v>125</v>
      </c>
      <c r="X152" s="33">
        <v>0.127</v>
      </c>
      <c r="Y152" s="218">
        <f t="shared" si="73"/>
        <v>125</v>
      </c>
      <c r="Z152" s="218">
        <f t="shared" si="74"/>
        <v>859</v>
      </c>
      <c r="AA152" s="33">
        <v>0.12</v>
      </c>
      <c r="AB152" s="218">
        <f t="shared" si="75"/>
        <v>36</v>
      </c>
      <c r="AC152" s="218">
        <f t="shared" si="76"/>
        <v>264</v>
      </c>
      <c r="AD152" s="33">
        <v>0.02</v>
      </c>
      <c r="AE152" s="218">
        <f t="shared" si="77"/>
        <v>18</v>
      </c>
      <c r="AF152" s="218">
        <f t="shared" si="78"/>
        <v>882</v>
      </c>
      <c r="AG152" s="33">
        <v>0.02</v>
      </c>
      <c r="AH152" s="218">
        <f t="shared" si="79"/>
        <v>30</v>
      </c>
      <c r="AI152" s="218">
        <f t="shared" si="80"/>
        <v>1470</v>
      </c>
      <c r="AJ152" s="33">
        <v>6.7000000000000002E-3</v>
      </c>
      <c r="AK152" s="218">
        <f t="shared" si="81"/>
        <v>285</v>
      </c>
      <c r="AL152" s="218">
        <f t="shared" si="82"/>
        <v>42252</v>
      </c>
      <c r="AM152" s="38">
        <f t="shared" si="83"/>
        <v>593</v>
      </c>
      <c r="AN152" s="38">
        <f t="shared" si="84"/>
        <v>594</v>
      </c>
      <c r="AO152" s="38">
        <f t="shared" si="85"/>
        <v>1</v>
      </c>
      <c r="AP152" s="38" t="str">
        <f>IF(OR($C152="01-09",$D152="Male"),"",INDEX(PMTCT!$AD:$AD,MATCH($E152,PMTCT!$E:$E,0)))</f>
        <v/>
      </c>
      <c r="AQ152" s="38" t="str">
        <f>IF(OR($C152="01-09",$D152="Male"),"",INDEX(PMTCT!$AT:$AT,MATCH($E152,PMTCT!$E:$E,0)))</f>
        <v/>
      </c>
      <c r="AR152" s="38">
        <f>INDEX(TB!$Q:$Q,MATCH($E152,TB!$E:$E,0))</f>
        <v>302</v>
      </c>
      <c r="AS152" s="38">
        <f>IF(OR($C152="01-09",$C152="10-14",$D152="Female"),"",INDEX(VMMC!$AB:$AB,MATCH($E152,VMMC!$E:$E,0)))</f>
        <v>23077</v>
      </c>
      <c r="AT152" s="38">
        <f>IF(OR($C152="01-09",$C152="10-14"),"",INDEX(PrEP!$Q:$Q,MATCH($E152,PrEP!$E:$E,0)))</f>
        <v>3344</v>
      </c>
      <c r="AU152" s="38">
        <f t="shared" si="86"/>
        <v>72450</v>
      </c>
      <c r="AV152" s="38">
        <f t="shared" si="87"/>
        <v>73044</v>
      </c>
      <c r="AW152" s="33">
        <f t="shared" si="88"/>
        <v>8.1320847708230663E-3</v>
      </c>
      <c r="AX152" s="38">
        <v>22362</v>
      </c>
      <c r="AY152" s="33">
        <f t="shared" si="93"/>
        <v>0.68</v>
      </c>
      <c r="AZ152" s="218">
        <f t="shared" si="89"/>
        <v>37568</v>
      </c>
      <c r="BA152" s="33">
        <v>0.47</v>
      </c>
      <c r="BB152" s="218">
        <f t="shared" si="90"/>
        <v>279</v>
      </c>
    </row>
    <row r="153" spans="1:54" x14ac:dyDescent="0.2">
      <c r="A153" t="str">
        <f>INDEX(Prioritization!$D:$D,MATCH($B153,Prioritization!$A:$A,0))</f>
        <v>INVALID</v>
      </c>
      <c r="B153" t="s">
        <v>301</v>
      </c>
      <c r="C153" t="s">
        <v>476</v>
      </c>
      <c r="D153" t="s">
        <v>30</v>
      </c>
      <c r="E153" t="str">
        <f t="shared" si="66"/>
        <v>Lilongwe District [ScR9iFKAasW]|25-34|Female</v>
      </c>
      <c r="F153" s="33">
        <f>IF(LEFT($B153,4)="_Mil","",INDEX(Cascade!$AA:$AA,MATCH($E153,Cascade!$E:$E,0)))</f>
        <v>0.97168093499999986</v>
      </c>
      <c r="G153" s="38">
        <f>INDEX(Cascade!$BH:$BH,MATCH($E153,Cascade!$E:$E,0))</f>
        <v>1949</v>
      </c>
      <c r="H153" s="38">
        <f>IF(OR($C153="01-09",$D153="Male"),"",INDEX(PMTCT!$AC:$AC,MATCH($E153,PMTCT!$E:$E,0)))</f>
        <v>573</v>
      </c>
      <c r="I153" s="38">
        <f>IF(OR($C153="01-09",$D153="Male"),"",INDEX(PMTCT!$AS:$AS,MATCH($E153,PMTCT!$E:$E,0)))</f>
        <v>219</v>
      </c>
      <c r="J153" s="38">
        <f>INDEX(TB!$P:$P,MATCH($E153,TB!$E:$E,0))</f>
        <v>12</v>
      </c>
      <c r="K153" s="38" t="str">
        <f>IF(OR($C153="01-09",$C153="10-14",$D153="Female"),"",INDEX(VMMC!$AA:$AA,MATCH($E153,VMMC!$E:$E,0)))</f>
        <v/>
      </c>
      <c r="L153" s="38">
        <f t="shared" si="67"/>
        <v>1145</v>
      </c>
      <c r="M153" s="33">
        <f t="shared" si="68"/>
        <v>0.29399692149820422</v>
      </c>
      <c r="N153" s="33">
        <f t="shared" si="69"/>
        <v>0.11236531554643407</v>
      </c>
      <c r="O153" s="33">
        <f t="shared" si="70"/>
        <v>6.1570035915854285E-3</v>
      </c>
      <c r="P153" s="33" t="str">
        <f t="shared" si="71"/>
        <v/>
      </c>
      <c r="Q153" s="33">
        <v>0.2</v>
      </c>
      <c r="R153" s="33">
        <v>0.03</v>
      </c>
      <c r="S153" s="33">
        <v>0.05</v>
      </c>
      <c r="T153" s="33">
        <v>0.05</v>
      </c>
      <c r="U153" s="33">
        <f t="shared" si="61"/>
        <v>0.25748075936377612</v>
      </c>
      <c r="V153" s="33">
        <f t="shared" si="72"/>
        <v>1</v>
      </c>
      <c r="W153" s="218">
        <f t="shared" si="73"/>
        <v>390</v>
      </c>
      <c r="X153" s="33">
        <v>0.19600000000000001</v>
      </c>
      <c r="Y153" s="218">
        <f t="shared" si="73"/>
        <v>390</v>
      </c>
      <c r="Z153" s="218">
        <f t="shared" si="74"/>
        <v>1600</v>
      </c>
      <c r="AA153" s="33">
        <v>0.12</v>
      </c>
      <c r="AB153" s="218">
        <f t="shared" si="75"/>
        <v>58</v>
      </c>
      <c r="AC153" s="218">
        <f t="shared" si="76"/>
        <v>425</v>
      </c>
      <c r="AD153" s="33">
        <v>0.02</v>
      </c>
      <c r="AE153" s="218">
        <f t="shared" si="77"/>
        <v>97</v>
      </c>
      <c r="AF153" s="218">
        <f t="shared" si="78"/>
        <v>4753</v>
      </c>
      <c r="AG153" s="33">
        <v>0.02</v>
      </c>
      <c r="AH153" s="218">
        <f t="shared" si="79"/>
        <v>97</v>
      </c>
      <c r="AI153" s="218">
        <f t="shared" si="80"/>
        <v>4753</v>
      </c>
      <c r="AJ153" s="33">
        <v>3.5999999999999997E-2</v>
      </c>
      <c r="AK153" s="218">
        <f t="shared" si="81"/>
        <v>502</v>
      </c>
      <c r="AL153" s="218">
        <f t="shared" si="82"/>
        <v>13442</v>
      </c>
      <c r="AM153" s="38">
        <f t="shared" si="83"/>
        <v>1949</v>
      </c>
      <c r="AN153" s="38">
        <f t="shared" si="84"/>
        <v>1948</v>
      </c>
      <c r="AO153" s="38">
        <f t="shared" si="85"/>
        <v>-1</v>
      </c>
      <c r="AP153" s="38">
        <f>IF(OR($C153="01-09",$D153="Male"),"",INDEX(PMTCT!$AD:$AD,MATCH($E153,PMTCT!$E:$E,0)))</f>
        <v>31282</v>
      </c>
      <c r="AQ153" s="38">
        <f>IF(OR($C153="01-09",$D153="Male"),"",INDEX(PMTCT!$AT:$AT,MATCH($E153,PMTCT!$E:$E,0)))</f>
        <v>31063.000000000004</v>
      </c>
      <c r="AR153" s="38">
        <f>INDEX(TB!$Q:$Q,MATCH($E153,TB!$E:$E,0))</f>
        <v>194</v>
      </c>
      <c r="AS153" s="38" t="str">
        <f>IF(OR($C153="01-09",$C153="10-14",$D153="Female"),"",INDEX(VMMC!$AB:$AB,MATCH($E153,VMMC!$E:$E,0)))</f>
        <v/>
      </c>
      <c r="AT153" s="38">
        <f>IF(OR($C153="01-09",$C153="10-14"),"",INDEX(PrEP!$Q:$Q,MATCH($E153,PrEP!$E:$E,0)))</f>
        <v>3052</v>
      </c>
      <c r="AU153" s="38">
        <f t="shared" si="86"/>
        <v>90564</v>
      </c>
      <c r="AV153" s="38">
        <f t="shared" si="87"/>
        <v>92512</v>
      </c>
      <c r="AW153" s="33">
        <f t="shared" si="88"/>
        <v>2.1056727775856106E-2</v>
      </c>
      <c r="AX153" s="38">
        <v>23028</v>
      </c>
      <c r="AY153" s="33">
        <f t="shared" si="93"/>
        <v>0.68</v>
      </c>
      <c r="AZ153" s="218">
        <f t="shared" si="89"/>
        <v>38687</v>
      </c>
      <c r="BA153" s="33">
        <v>0.47</v>
      </c>
      <c r="BB153" s="218">
        <f t="shared" si="90"/>
        <v>916</v>
      </c>
    </row>
    <row r="154" spans="1:54" x14ac:dyDescent="0.2">
      <c r="A154" t="str">
        <f>INDEX(Prioritization!$D:$D,MATCH($B154,Prioritization!$A:$A,0))</f>
        <v>INVALID</v>
      </c>
      <c r="B154" t="s">
        <v>301</v>
      </c>
      <c r="C154" t="s">
        <v>476</v>
      </c>
      <c r="D154" t="s">
        <v>48</v>
      </c>
      <c r="E154" t="str">
        <f t="shared" si="66"/>
        <v>Lilongwe District [ScR9iFKAasW]|25-34|Male</v>
      </c>
      <c r="F154" s="33">
        <f>IF(LEFT($B154,4)="_Mil","",INDEX(Cascade!$AA:$AA,MATCH($E154,Cascade!$E:$E,0)))</f>
        <v>0.89544854299999999</v>
      </c>
      <c r="G154" s="38">
        <f>INDEX(Cascade!$BH:$BH,MATCH($E154,Cascade!$E:$E,0))</f>
        <v>794</v>
      </c>
      <c r="H154" s="38" t="str">
        <f>IF(OR($C154="01-09",$D154="Male"),"",INDEX(PMTCT!$AC:$AC,MATCH($E154,PMTCT!$E:$E,0)))</f>
        <v/>
      </c>
      <c r="I154" s="38" t="str">
        <f>IF(OR($C154="01-09",$D154="Male"),"",INDEX(PMTCT!$AS:$AS,MATCH($E154,PMTCT!$E:$E,0)))</f>
        <v/>
      </c>
      <c r="J154" s="38">
        <f>INDEX(TB!$P:$P,MATCH($E154,TB!$E:$E,0))</f>
        <v>19</v>
      </c>
      <c r="K154" s="38">
        <f>IF(OR($C154="01-09",$C154="10-14",$D154="Female"),"",INDEX(VMMC!$AA:$AA,MATCH($E154,VMMC!$E:$E,0)))</f>
        <v>68</v>
      </c>
      <c r="L154" s="38">
        <f t="shared" si="67"/>
        <v>707</v>
      </c>
      <c r="M154" s="33" t="str">
        <f t="shared" si="68"/>
        <v/>
      </c>
      <c r="N154" s="33" t="str">
        <f t="shared" si="69"/>
        <v/>
      </c>
      <c r="O154" s="33">
        <f t="shared" si="70"/>
        <v>2.3929471032745592E-2</v>
      </c>
      <c r="P154" s="33">
        <f t="shared" si="71"/>
        <v>8.5642317380352648E-2</v>
      </c>
      <c r="Q154" s="33">
        <v>0.2</v>
      </c>
      <c r="R154" s="33">
        <v>0.06</v>
      </c>
      <c r="S154" s="33">
        <v>0.03</v>
      </c>
      <c r="T154" s="33">
        <v>0.05</v>
      </c>
      <c r="U154" s="33">
        <f t="shared" si="61"/>
        <v>0.55042821158690169</v>
      </c>
      <c r="V154" s="33">
        <f t="shared" si="72"/>
        <v>1</v>
      </c>
      <c r="W154" s="218">
        <f t="shared" si="73"/>
        <v>159</v>
      </c>
      <c r="X154" s="33">
        <v>0.15</v>
      </c>
      <c r="Y154" s="218">
        <f t="shared" si="73"/>
        <v>159</v>
      </c>
      <c r="Z154" s="218">
        <f t="shared" si="74"/>
        <v>901</v>
      </c>
      <c r="AA154" s="33">
        <v>0.12</v>
      </c>
      <c r="AB154" s="218">
        <f t="shared" si="75"/>
        <v>48</v>
      </c>
      <c r="AC154" s="218">
        <f t="shared" si="76"/>
        <v>352</v>
      </c>
      <c r="AD154" s="33">
        <v>0.02</v>
      </c>
      <c r="AE154" s="218">
        <f t="shared" si="77"/>
        <v>24</v>
      </c>
      <c r="AF154" s="218">
        <f t="shared" si="78"/>
        <v>1176</v>
      </c>
      <c r="AG154" s="33">
        <v>0.02</v>
      </c>
      <c r="AH154" s="218">
        <f t="shared" si="79"/>
        <v>40</v>
      </c>
      <c r="AI154" s="218">
        <f t="shared" si="80"/>
        <v>1960</v>
      </c>
      <c r="AJ154" s="33">
        <v>1.9E-2</v>
      </c>
      <c r="AK154" s="218">
        <f t="shared" si="81"/>
        <v>437</v>
      </c>
      <c r="AL154" s="218">
        <f t="shared" si="82"/>
        <v>22563</v>
      </c>
      <c r="AM154" s="38">
        <f t="shared" si="83"/>
        <v>794</v>
      </c>
      <c r="AN154" s="38">
        <f t="shared" si="84"/>
        <v>795</v>
      </c>
      <c r="AO154" s="38">
        <f t="shared" si="85"/>
        <v>1</v>
      </c>
      <c r="AP154" s="38" t="str">
        <f>IF(OR($C154="01-09",$D154="Male"),"",INDEX(PMTCT!$AD:$AD,MATCH($E154,PMTCT!$E:$E,0)))</f>
        <v/>
      </c>
      <c r="AQ154" s="38" t="str">
        <f>IF(OR($C154="01-09",$D154="Male"),"",INDEX(PMTCT!$AT:$AT,MATCH($E154,PMTCT!$E:$E,0)))</f>
        <v/>
      </c>
      <c r="AR154" s="38">
        <f>INDEX(TB!$Q:$Q,MATCH($E154,TB!$E:$E,0))</f>
        <v>303</v>
      </c>
      <c r="AS154" s="38">
        <f>IF(OR($C154="01-09",$C154="10-14",$D154="Female"),"",INDEX(VMMC!$AB:$AB,MATCH($E154,VMMC!$E:$E,0)))</f>
        <v>19283</v>
      </c>
      <c r="AT154" s="38">
        <f>IF(OR($C154="01-09",$C154="10-14"),"",INDEX(PrEP!$Q:$Q,MATCH($E154,PrEP!$E:$E,0)))</f>
        <v>3142</v>
      </c>
      <c r="AU154" s="38">
        <f t="shared" si="86"/>
        <v>49680</v>
      </c>
      <c r="AV154" s="38">
        <f t="shared" si="87"/>
        <v>50474.999999999993</v>
      </c>
      <c r="AW154" s="33">
        <f t="shared" si="88"/>
        <v>1.5750371471025263E-2</v>
      </c>
      <c r="AX154" s="38">
        <v>30966</v>
      </c>
      <c r="AY154" s="33">
        <f t="shared" si="93"/>
        <v>0.68</v>
      </c>
      <c r="AZ154" s="218">
        <f t="shared" si="89"/>
        <v>52023</v>
      </c>
      <c r="BA154" s="33">
        <v>0.47</v>
      </c>
      <c r="BB154" s="218">
        <f t="shared" si="90"/>
        <v>374</v>
      </c>
    </row>
    <row r="155" spans="1:54" x14ac:dyDescent="0.2">
      <c r="A155" t="str">
        <f>INDEX(Prioritization!$D:$D,MATCH($B155,Prioritization!$A:$A,0))</f>
        <v>INVALID</v>
      </c>
      <c r="B155" t="s">
        <v>301</v>
      </c>
      <c r="C155" t="s">
        <v>477</v>
      </c>
      <c r="D155" t="s">
        <v>30</v>
      </c>
      <c r="E155" t="str">
        <f t="shared" si="66"/>
        <v>Lilongwe District [ScR9iFKAasW]|35-49|Female</v>
      </c>
      <c r="F155" s="33">
        <f>IF(LEFT($B155,4)="_Mil","",INDEX(Cascade!$AA:$AA,MATCH($E155,Cascade!$E:$E,0)))</f>
        <v>0.98554509300000004</v>
      </c>
      <c r="G155" s="38">
        <f>INDEX(Cascade!$BH:$BH,MATCH($E155,Cascade!$E:$E,0))</f>
        <v>1009</v>
      </c>
      <c r="H155" s="38">
        <f>IF(OR($C155="01-09",$D155="Male"),"",INDEX(PMTCT!$AC:$AC,MATCH($E155,PMTCT!$E:$E,0)))</f>
        <v>129</v>
      </c>
      <c r="I155" s="38">
        <f>IF(OR($C155="01-09",$D155="Male"),"",INDEX(PMTCT!$AS:$AS,MATCH($E155,PMTCT!$E:$E,0)))</f>
        <v>69</v>
      </c>
      <c r="J155" s="38">
        <f>INDEX(TB!$P:$P,MATCH($E155,TB!$E:$E,0))</f>
        <v>18</v>
      </c>
      <c r="K155" s="38" t="str">
        <f>IF(OR($C155="01-09",$C155="10-14",$D155="Female"),"",INDEX(VMMC!$AA:$AA,MATCH($E155,VMMC!$E:$E,0)))</f>
        <v/>
      </c>
      <c r="L155" s="38">
        <f t="shared" si="67"/>
        <v>793</v>
      </c>
      <c r="M155" s="33">
        <f t="shared" si="68"/>
        <v>0.12784935579781961</v>
      </c>
      <c r="N155" s="33">
        <f t="shared" si="69"/>
        <v>6.8384539147670967E-2</v>
      </c>
      <c r="O155" s="33">
        <f t="shared" si="70"/>
        <v>1.7839444995044598E-2</v>
      </c>
      <c r="P155" s="33" t="str">
        <f t="shared" si="71"/>
        <v/>
      </c>
      <c r="Q155" s="33">
        <v>0.28182546036829498</v>
      </c>
      <c r="R155" s="33">
        <v>0.03</v>
      </c>
      <c r="S155" s="33"/>
      <c r="T155" s="33">
        <v>0.05</v>
      </c>
      <c r="U155" s="33">
        <f t="shared" si="61"/>
        <v>0.42410119969116977</v>
      </c>
      <c r="V155" s="33">
        <f t="shared" si="72"/>
        <v>1</v>
      </c>
      <c r="W155" s="218">
        <f t="shared" si="73"/>
        <v>284</v>
      </c>
      <c r="X155" s="33">
        <v>0.27300000000000002</v>
      </c>
      <c r="Y155" s="218">
        <f t="shared" si="73"/>
        <v>284</v>
      </c>
      <c r="Z155" s="218">
        <f t="shared" si="74"/>
        <v>756</v>
      </c>
      <c r="AA155" s="33">
        <v>0.12</v>
      </c>
      <c r="AB155" s="218">
        <f t="shared" si="75"/>
        <v>30</v>
      </c>
      <c r="AC155" s="218">
        <f t="shared" si="76"/>
        <v>220</v>
      </c>
      <c r="AD155" s="33">
        <v>0.02</v>
      </c>
      <c r="AE155" s="218" t="str">
        <f t="shared" si="77"/>
        <v/>
      </c>
      <c r="AF155" s="218" t="str">
        <f t="shared" si="78"/>
        <v/>
      </c>
      <c r="AG155" s="33">
        <v>0.02</v>
      </c>
      <c r="AH155" s="218">
        <f t="shared" si="79"/>
        <v>50</v>
      </c>
      <c r="AI155" s="218">
        <f t="shared" si="80"/>
        <v>2450</v>
      </c>
      <c r="AJ155" s="33">
        <v>4.4999999999999998E-2</v>
      </c>
      <c r="AK155" s="218">
        <f t="shared" si="81"/>
        <v>428</v>
      </c>
      <c r="AL155" s="218">
        <f t="shared" si="82"/>
        <v>9083</v>
      </c>
      <c r="AM155" s="38">
        <f t="shared" si="83"/>
        <v>1009</v>
      </c>
      <c r="AN155" s="38">
        <f t="shared" si="84"/>
        <v>1008</v>
      </c>
      <c r="AO155" s="38">
        <f t="shared" si="85"/>
        <v>-1</v>
      </c>
      <c r="AP155" s="38">
        <f>IF(OR($C155="01-09",$D155="Male"),"",INDEX(PMTCT!$AD:$AD,MATCH($E155,PMTCT!$E:$E,0)))</f>
        <v>7720</v>
      </c>
      <c r="AQ155" s="38">
        <f>IF(OR($C155="01-09",$D155="Male"),"",INDEX(PMTCT!$AT:$AT,MATCH($E155,PMTCT!$E:$E,0)))</f>
        <v>7651</v>
      </c>
      <c r="AR155" s="38">
        <f>INDEX(TB!$Q:$Q,MATCH($E155,TB!$E:$E,0))</f>
        <v>290</v>
      </c>
      <c r="AS155" s="38" t="str">
        <f>IF(OR($C155="01-09",$C155="10-14",$D155="Female"),"",INDEX(VMMC!$AB:$AB,MATCH($E155,VMMC!$E:$E,0)))</f>
        <v/>
      </c>
      <c r="AT155" s="38">
        <f>IF(OR($C155="01-09",$C155="10-14"),"",INDEX(PrEP!$Q:$Q,MATCH($E155,PrEP!$E:$E,0)))</f>
        <v>1920</v>
      </c>
      <c r="AU155" s="38">
        <f t="shared" si="86"/>
        <v>30089.999999999996</v>
      </c>
      <c r="AV155" s="38">
        <f t="shared" si="87"/>
        <v>31098</v>
      </c>
      <c r="AW155" s="33">
        <f t="shared" si="88"/>
        <v>3.241366004244646E-2</v>
      </c>
      <c r="AX155" s="38">
        <v>1955</v>
      </c>
      <c r="AY155" s="33">
        <f t="shared" si="93"/>
        <v>0.68</v>
      </c>
      <c r="AZ155" s="218">
        <f t="shared" si="89"/>
        <v>3284</v>
      </c>
      <c r="BA155" s="33">
        <v>0.47</v>
      </c>
      <c r="BB155" s="218">
        <f t="shared" si="90"/>
        <v>474</v>
      </c>
    </row>
    <row r="156" spans="1:54" x14ac:dyDescent="0.2">
      <c r="A156" t="str">
        <f>INDEX(Prioritization!$D:$D,MATCH($B156,Prioritization!$A:$A,0))</f>
        <v>INVALID</v>
      </c>
      <c r="B156" t="s">
        <v>301</v>
      </c>
      <c r="C156" t="s">
        <v>477</v>
      </c>
      <c r="D156" t="s">
        <v>48</v>
      </c>
      <c r="E156" t="str">
        <f t="shared" si="66"/>
        <v>Lilongwe District [ScR9iFKAasW]|35-49|Male</v>
      </c>
      <c r="F156" s="33">
        <f>IF(LEFT($B156,4)="_Mil","",INDEX(Cascade!$AA:$AA,MATCH($E156,Cascade!$E:$E,0)))</f>
        <v>0.93583390700000013</v>
      </c>
      <c r="G156" s="38">
        <f>INDEX(Cascade!$BH:$BH,MATCH($E156,Cascade!$E:$E,0))</f>
        <v>1068</v>
      </c>
      <c r="H156" s="38" t="str">
        <f>IF(OR($C156="01-09",$D156="Male"),"",INDEX(PMTCT!$AC:$AC,MATCH($E156,PMTCT!$E:$E,0)))</f>
        <v/>
      </c>
      <c r="I156" s="38" t="str">
        <f>IF(OR($C156="01-09",$D156="Male"),"",INDEX(PMTCT!$AS:$AS,MATCH($E156,PMTCT!$E:$E,0)))</f>
        <v/>
      </c>
      <c r="J156" s="38">
        <f>INDEX(TB!$P:$P,MATCH($E156,TB!$E:$E,0))</f>
        <v>29</v>
      </c>
      <c r="K156" s="38">
        <f>IF(OR($C156="01-09",$C156="10-14",$D156="Female"),"",INDEX(VMMC!$AA:$AA,MATCH($E156,VMMC!$E:$E,0)))</f>
        <v>98</v>
      </c>
      <c r="L156" s="38">
        <f t="shared" si="67"/>
        <v>941</v>
      </c>
      <c r="M156" s="33" t="str">
        <f t="shared" si="68"/>
        <v/>
      </c>
      <c r="N156" s="33" t="str">
        <f t="shared" si="69"/>
        <v/>
      </c>
      <c r="O156" s="33">
        <f t="shared" si="70"/>
        <v>2.7153558052434457E-2</v>
      </c>
      <c r="P156" s="33">
        <f t="shared" si="71"/>
        <v>9.1760299625468167E-2</v>
      </c>
      <c r="Q156" s="33">
        <v>0.2</v>
      </c>
      <c r="R156" s="33">
        <v>0.06</v>
      </c>
      <c r="S156" s="33">
        <v>0.03</v>
      </c>
      <c r="T156" s="33">
        <v>0.05</v>
      </c>
      <c r="U156" s="33">
        <f t="shared" ref="U156:U219" si="94">1-SUM(M156:T156)</f>
        <v>0.5410861423220974</v>
      </c>
      <c r="V156" s="33">
        <f t="shared" si="72"/>
        <v>1</v>
      </c>
      <c r="W156" s="218">
        <f t="shared" si="73"/>
        <v>214</v>
      </c>
      <c r="X156" s="33">
        <v>0.182</v>
      </c>
      <c r="Y156" s="218">
        <f t="shared" si="73"/>
        <v>214</v>
      </c>
      <c r="Z156" s="218">
        <f t="shared" si="74"/>
        <v>962</v>
      </c>
      <c r="AA156" s="33">
        <v>0.12</v>
      </c>
      <c r="AB156" s="218">
        <f t="shared" si="75"/>
        <v>64</v>
      </c>
      <c r="AC156" s="218">
        <f t="shared" si="76"/>
        <v>469</v>
      </c>
      <c r="AD156" s="33">
        <v>0.02</v>
      </c>
      <c r="AE156" s="218">
        <f t="shared" si="77"/>
        <v>32</v>
      </c>
      <c r="AF156" s="218">
        <f t="shared" si="78"/>
        <v>1568</v>
      </c>
      <c r="AG156" s="33">
        <v>0.02</v>
      </c>
      <c r="AH156" s="218">
        <f t="shared" si="79"/>
        <v>53</v>
      </c>
      <c r="AI156" s="218">
        <f t="shared" si="80"/>
        <v>2597</v>
      </c>
      <c r="AJ156" s="33">
        <v>4.3999999999999997E-2</v>
      </c>
      <c r="AK156" s="218">
        <f t="shared" si="81"/>
        <v>578</v>
      </c>
      <c r="AL156" s="218">
        <f t="shared" si="82"/>
        <v>12558</v>
      </c>
      <c r="AM156" s="38">
        <f t="shared" si="83"/>
        <v>1068</v>
      </c>
      <c r="AN156" s="38">
        <f t="shared" si="84"/>
        <v>1068</v>
      </c>
      <c r="AO156" s="38">
        <f t="shared" si="85"/>
        <v>0</v>
      </c>
      <c r="AP156" s="38" t="str">
        <f>IF(OR($C156="01-09",$D156="Male"),"",INDEX(PMTCT!$AD:$AD,MATCH($E156,PMTCT!$E:$E,0)))</f>
        <v/>
      </c>
      <c r="AQ156" s="38" t="str">
        <f>IF(OR($C156="01-09",$D156="Male"),"",INDEX(PMTCT!$AT:$AT,MATCH($E156,PMTCT!$E:$E,0)))</f>
        <v/>
      </c>
      <c r="AR156" s="38">
        <f>INDEX(TB!$Q:$Q,MATCH($E156,TB!$E:$E,0))</f>
        <v>453</v>
      </c>
      <c r="AS156" s="38">
        <f>IF(OR($C156="01-09",$C156="10-14",$D156="Female"),"",INDEX(VMMC!$AB:$AB,MATCH($E156,VMMC!$E:$E,0)))</f>
        <v>27923</v>
      </c>
      <c r="AT156" s="38">
        <f>IF(OR($C156="01-09",$C156="10-14"),"",INDEX(PrEP!$Q:$Q,MATCH($E156,PrEP!$E:$E,0)))</f>
        <v>1984</v>
      </c>
      <c r="AU156" s="38">
        <f t="shared" si="86"/>
        <v>48514</v>
      </c>
      <c r="AV156" s="38">
        <f t="shared" si="87"/>
        <v>49581.999999999993</v>
      </c>
      <c r="AW156" s="33">
        <f t="shared" si="88"/>
        <v>2.1540075027227625E-2</v>
      </c>
      <c r="AX156" s="38">
        <v>20847</v>
      </c>
      <c r="AY156" s="33">
        <f t="shared" si="93"/>
        <v>0.68</v>
      </c>
      <c r="AZ156" s="218">
        <f t="shared" si="89"/>
        <v>35023</v>
      </c>
      <c r="BA156" s="33">
        <v>0.47</v>
      </c>
      <c r="BB156" s="218">
        <f t="shared" si="90"/>
        <v>502</v>
      </c>
    </row>
    <row r="157" spans="1:54" x14ac:dyDescent="0.2">
      <c r="A157" t="str">
        <f>INDEX(Prioritization!$D:$D,MATCH($B157,Prioritization!$A:$A,0))</f>
        <v>INVALID</v>
      </c>
      <c r="B157" t="s">
        <v>301</v>
      </c>
      <c r="C157" t="s">
        <v>478</v>
      </c>
      <c r="D157" t="s">
        <v>30</v>
      </c>
      <c r="E157" t="str">
        <f t="shared" si="66"/>
        <v>Lilongwe District [ScR9iFKAasW]|50+|Female</v>
      </c>
      <c r="F157" s="33">
        <f>IF(LEFT($B157,4)="_Mil","",INDEX(Cascade!$AA:$AA,MATCH($E157,Cascade!$E:$E,0)))</f>
        <v>0.98975779799999997</v>
      </c>
      <c r="G157" s="38">
        <f>INDEX(Cascade!$BH:$BH,MATCH($E157,Cascade!$E:$E,0))</f>
        <v>903</v>
      </c>
      <c r="H157" s="38">
        <f>IF(OR($C157="01-09",$D157="Male"),"",INDEX(PMTCT!$AC:$AC,MATCH($E157,PMTCT!$E:$E,0)))</f>
        <v>1</v>
      </c>
      <c r="I157" s="38">
        <f>IF(OR($C157="01-09",$D157="Male"),"",INDEX(PMTCT!$AS:$AS,MATCH($E157,PMTCT!$E:$E,0)))</f>
        <v>0</v>
      </c>
      <c r="J157" s="38">
        <f>INDEX(TB!$P:$P,MATCH($E157,TB!$E:$E,0))</f>
        <v>6</v>
      </c>
      <c r="K157" s="38" t="str">
        <f>IF(OR($C157="01-09",$C157="10-14",$D157="Female"),"",INDEX(VMMC!$AA:$AA,MATCH($E157,VMMC!$E:$E,0)))</f>
        <v/>
      </c>
      <c r="L157" s="38">
        <f t="shared" si="67"/>
        <v>896</v>
      </c>
      <c r="M157" s="33">
        <f t="shared" si="68"/>
        <v>1.1074197120708748E-3</v>
      </c>
      <c r="N157" s="33">
        <f t="shared" si="69"/>
        <v>0</v>
      </c>
      <c r="O157" s="33">
        <f t="shared" si="70"/>
        <v>6.6445182724252493E-3</v>
      </c>
      <c r="P157" s="33" t="str">
        <f t="shared" si="71"/>
        <v/>
      </c>
      <c r="Q157" s="33">
        <v>0.15</v>
      </c>
      <c r="R157" s="33">
        <v>0.06</v>
      </c>
      <c r="S157" s="33"/>
      <c r="T157" s="33">
        <v>0.05</v>
      </c>
      <c r="U157" s="33">
        <f t="shared" si="94"/>
        <v>0.73224806201550385</v>
      </c>
      <c r="V157" s="33">
        <f t="shared" si="72"/>
        <v>1</v>
      </c>
      <c r="W157" s="218">
        <f t="shared" si="73"/>
        <v>135</v>
      </c>
      <c r="X157" s="33">
        <v>0.38500000000000001</v>
      </c>
      <c r="Y157" s="218">
        <f t="shared" si="73"/>
        <v>135</v>
      </c>
      <c r="Z157" s="218">
        <f t="shared" si="74"/>
        <v>216</v>
      </c>
      <c r="AA157" s="33">
        <v>0.12</v>
      </c>
      <c r="AB157" s="218">
        <f t="shared" si="75"/>
        <v>54</v>
      </c>
      <c r="AC157" s="218">
        <f t="shared" si="76"/>
        <v>396</v>
      </c>
      <c r="AD157" s="33">
        <v>0.02</v>
      </c>
      <c r="AE157" s="218" t="str">
        <f t="shared" si="77"/>
        <v/>
      </c>
      <c r="AF157" s="218" t="str">
        <f t="shared" si="78"/>
        <v/>
      </c>
      <c r="AG157" s="33">
        <v>0.02</v>
      </c>
      <c r="AH157" s="218">
        <f t="shared" si="79"/>
        <v>45</v>
      </c>
      <c r="AI157" s="218">
        <f t="shared" si="80"/>
        <v>2205</v>
      </c>
      <c r="AJ157" s="33">
        <v>3.5999999999999997E-2</v>
      </c>
      <c r="AK157" s="218">
        <f t="shared" si="81"/>
        <v>661</v>
      </c>
      <c r="AL157" s="218">
        <f t="shared" si="82"/>
        <v>17700</v>
      </c>
      <c r="AM157" s="38">
        <f t="shared" si="83"/>
        <v>903</v>
      </c>
      <c r="AN157" s="38">
        <f t="shared" si="84"/>
        <v>902</v>
      </c>
      <c r="AO157" s="38">
        <f t="shared" si="85"/>
        <v>-1</v>
      </c>
      <c r="AP157" s="38">
        <f>IF(OR($C157="01-09",$D157="Male"),"",INDEX(PMTCT!$AD:$AD,MATCH($E157,PMTCT!$E:$E,0)))</f>
        <v>42</v>
      </c>
      <c r="AQ157" s="38">
        <f>IF(OR($C157="01-09",$D157="Male"),"",INDEX(PMTCT!$AT:$AT,MATCH($E157,PMTCT!$E:$E,0)))</f>
        <v>42</v>
      </c>
      <c r="AR157" s="38">
        <f>INDEX(TB!$Q:$Q,MATCH($E157,TB!$E:$E,0))</f>
        <v>97</v>
      </c>
      <c r="AS157" s="38" t="str">
        <f>IF(OR($C157="01-09",$C157="10-14",$D157="Female"),"",INDEX(VMMC!$AB:$AB,MATCH($E157,VMMC!$E:$E,0)))</f>
        <v/>
      </c>
      <c r="AT157" s="38">
        <f>IF(OR($C157="01-09",$C157="10-14"),"",INDEX(PrEP!$Q:$Q,MATCH($E157,PrEP!$E:$E,0)))</f>
        <v>310</v>
      </c>
      <c r="AU157" s="38">
        <f t="shared" si="86"/>
        <v>21008</v>
      </c>
      <c r="AV157" s="38">
        <f t="shared" si="87"/>
        <v>21910</v>
      </c>
      <c r="AW157" s="33">
        <f t="shared" si="88"/>
        <v>4.1168416248288452E-2</v>
      </c>
      <c r="AX157" s="38">
        <v>898</v>
      </c>
      <c r="AY157" s="33">
        <f t="shared" si="91"/>
        <v>0</v>
      </c>
      <c r="AZ157" s="218">
        <f t="shared" si="89"/>
        <v>898</v>
      </c>
      <c r="BA157" s="33">
        <v>0.47</v>
      </c>
      <c r="BB157" s="218">
        <f t="shared" si="90"/>
        <v>424</v>
      </c>
    </row>
    <row r="158" spans="1:54" x14ac:dyDescent="0.2">
      <c r="A158" t="str">
        <f>INDEX(Prioritization!$D:$D,MATCH($B158,Prioritization!$A:$A,0))</f>
        <v>INVALID</v>
      </c>
      <c r="B158" t="s">
        <v>301</v>
      </c>
      <c r="C158" t="s">
        <v>478</v>
      </c>
      <c r="D158" t="s">
        <v>48</v>
      </c>
      <c r="E158" t="str">
        <f t="shared" si="66"/>
        <v>Lilongwe District [ScR9iFKAasW]|50+|Male</v>
      </c>
      <c r="F158" s="33">
        <f>IF(LEFT($B158,4)="_Mil","",INDEX(Cascade!$AA:$AA,MATCH($E158,Cascade!$E:$E,0)))</f>
        <v>0.95512615900000009</v>
      </c>
      <c r="G158" s="38">
        <f>INDEX(Cascade!$BH:$BH,MATCH($E158,Cascade!$E:$E,0))</f>
        <v>711</v>
      </c>
      <c r="H158" s="38" t="str">
        <f>IF(OR($C158="01-09",$D158="Male"),"",INDEX(PMTCT!$AC:$AC,MATCH($E158,PMTCT!$E:$E,0)))</f>
        <v/>
      </c>
      <c r="I158" s="38" t="str">
        <f>IF(OR($C158="01-09",$D158="Male"),"",INDEX(PMTCT!$AS:$AS,MATCH($E158,PMTCT!$E:$E,0)))</f>
        <v/>
      </c>
      <c r="J158" s="38">
        <f>INDEX(TB!$P:$P,MATCH($E158,TB!$E:$E,0))</f>
        <v>10</v>
      </c>
      <c r="K158" s="38" t="str">
        <f>IF(OR($C158="01-09",$C158="10-14",$D158="Female"),"",INDEX(VMMC!$AA:$AA,MATCH($E158,VMMC!$E:$E,0)))</f>
        <v/>
      </c>
      <c r="L158" s="38">
        <f t="shared" si="67"/>
        <v>701</v>
      </c>
      <c r="M158" s="33" t="str">
        <f t="shared" si="68"/>
        <v/>
      </c>
      <c r="N158" s="33" t="str">
        <f t="shared" si="69"/>
        <v/>
      </c>
      <c r="O158" s="33">
        <f t="shared" si="70"/>
        <v>1.4064697609001406E-2</v>
      </c>
      <c r="P158" s="33">
        <f t="shared" si="71"/>
        <v>0</v>
      </c>
      <c r="Q158" s="33">
        <v>0.15</v>
      </c>
      <c r="R158" s="33">
        <v>0.06</v>
      </c>
      <c r="S158" s="33">
        <v>0.08</v>
      </c>
      <c r="T158" s="33">
        <v>0.05</v>
      </c>
      <c r="U158" s="33">
        <f t="shared" si="94"/>
        <v>0.64593530239099861</v>
      </c>
      <c r="V158" s="33">
        <f t="shared" si="72"/>
        <v>1</v>
      </c>
      <c r="W158" s="218">
        <f t="shared" si="73"/>
        <v>107</v>
      </c>
      <c r="X158" s="33">
        <v>0.28000000000000003</v>
      </c>
      <c r="Y158" s="218">
        <f t="shared" si="73"/>
        <v>107</v>
      </c>
      <c r="Z158" s="218">
        <f t="shared" si="74"/>
        <v>275</v>
      </c>
      <c r="AA158" s="33">
        <v>0.12</v>
      </c>
      <c r="AB158" s="218">
        <f t="shared" si="75"/>
        <v>43</v>
      </c>
      <c r="AC158" s="218">
        <f t="shared" si="76"/>
        <v>315</v>
      </c>
      <c r="AD158" s="33">
        <v>0.02</v>
      </c>
      <c r="AE158" s="218">
        <f t="shared" si="77"/>
        <v>57</v>
      </c>
      <c r="AF158" s="218">
        <f t="shared" si="78"/>
        <v>2793</v>
      </c>
      <c r="AG158" s="33">
        <v>0.02</v>
      </c>
      <c r="AH158" s="218">
        <f t="shared" si="79"/>
        <v>36</v>
      </c>
      <c r="AI158" s="218">
        <f t="shared" si="80"/>
        <v>1764</v>
      </c>
      <c r="AJ158" s="33">
        <v>0.04</v>
      </c>
      <c r="AK158" s="218">
        <f t="shared" si="81"/>
        <v>459</v>
      </c>
      <c r="AL158" s="218">
        <f t="shared" si="82"/>
        <v>11016</v>
      </c>
      <c r="AM158" s="38">
        <f t="shared" si="83"/>
        <v>711</v>
      </c>
      <c r="AN158" s="38">
        <f t="shared" si="84"/>
        <v>712</v>
      </c>
      <c r="AO158" s="38">
        <f t="shared" si="85"/>
        <v>1</v>
      </c>
      <c r="AP158" s="38" t="str">
        <f>IF(OR($C158="01-09",$D158="Male"),"",INDEX(PMTCT!$AD:$AD,MATCH($E158,PMTCT!$E:$E,0)))</f>
        <v/>
      </c>
      <c r="AQ158" s="38" t="str">
        <f>IF(OR($C158="01-09",$D158="Male"),"",INDEX(PMTCT!$AT:$AT,MATCH($E158,PMTCT!$E:$E,0)))</f>
        <v/>
      </c>
      <c r="AR158" s="38">
        <f>INDEX(TB!$Q:$Q,MATCH($E158,TB!$E:$E,0))</f>
        <v>153</v>
      </c>
      <c r="AS158" s="38" t="str">
        <f>IF(OR($C158="01-09",$C158="10-14",$D158="Female"),"",INDEX(VMMC!$AB:$AB,MATCH($E158,VMMC!$E:$E,0)))</f>
        <v/>
      </c>
      <c r="AT158" s="38">
        <f>IF(OR($C158="01-09",$C158="10-14"),"",INDEX(PrEP!$Q:$Q,MATCH($E158,PrEP!$E:$E,0)))</f>
        <v>406</v>
      </c>
      <c r="AU158" s="38">
        <f t="shared" si="86"/>
        <v>16722</v>
      </c>
      <c r="AV158" s="38">
        <f t="shared" si="87"/>
        <v>17434</v>
      </c>
      <c r="AW158" s="33">
        <f t="shared" si="88"/>
        <v>4.0839738442124587E-2</v>
      </c>
      <c r="AX158" s="38">
        <v>6420</v>
      </c>
      <c r="AY158" s="33">
        <f t="shared" si="91"/>
        <v>0</v>
      </c>
      <c r="AZ158" s="218">
        <f t="shared" si="89"/>
        <v>6420</v>
      </c>
      <c r="BA158" s="33">
        <v>0.47</v>
      </c>
      <c r="BB158" s="218">
        <f t="shared" si="90"/>
        <v>335</v>
      </c>
    </row>
    <row r="159" spans="1:54" x14ac:dyDescent="0.2">
      <c r="A159" t="str">
        <f>INDEX(Prioritization!$D:$D,MATCH($B159,Prioritization!$A:$A,0))</f>
        <v>1 - Scale-up: Saturation</v>
      </c>
      <c r="B159" t="s">
        <v>317</v>
      </c>
      <c r="C159" t="s">
        <v>473</v>
      </c>
      <c r="D159" t="s">
        <v>30</v>
      </c>
      <c r="E159" t="str">
        <f t="shared" si="66"/>
        <v>Machinga District [TYnMSwzko3z]|01-09|Female</v>
      </c>
      <c r="F159" s="33">
        <f>IF(LEFT($B159,4)="_Mil","",INDEX(Cascade!$AA:$AA,MATCH($E159,Cascade!$E:$E,0)))</f>
        <v>0.72200169400000003</v>
      </c>
      <c r="G159" s="38">
        <f>INDEX(Cascade!$BH:$BH,MATCH($E159,Cascade!$E:$E,0))</f>
        <v>7</v>
      </c>
      <c r="H159" s="38" t="str">
        <f>IF(OR($C159="01-09",$D159="Male"),"",INDEX(PMTCT!$AC:$AC,MATCH($E159,PMTCT!$E:$E,0)))</f>
        <v/>
      </c>
      <c r="I159" s="38" t="str">
        <f>IF(OR($C159="01-09",$D159="Male"),"",INDEX(PMTCT!$AS:$AS,MATCH($E159,PMTCT!$E:$E,0)))</f>
        <v/>
      </c>
      <c r="J159" s="38">
        <f>INDEX(TB!$P:$P,MATCH($E159,TB!$E:$E,0))</f>
        <v>0</v>
      </c>
      <c r="K159" s="38" t="str">
        <f>IF(OR($C159="01-09",$C159="10-14",$D159="Female"),"",INDEX(VMMC!$AA:$AA,MATCH($E159,VMMC!$E:$E,0)))</f>
        <v/>
      </c>
      <c r="L159" s="38">
        <f t="shared" si="67"/>
        <v>7</v>
      </c>
      <c r="M159" s="33" t="str">
        <f t="shared" si="68"/>
        <v/>
      </c>
      <c r="N159" s="33" t="str">
        <f t="shared" si="69"/>
        <v/>
      </c>
      <c r="O159" s="33">
        <f t="shared" si="70"/>
        <v>0</v>
      </c>
      <c r="P159" s="33" t="str">
        <f t="shared" si="71"/>
        <v/>
      </c>
      <c r="Q159" s="33">
        <v>0.47058823529411797</v>
      </c>
      <c r="R159" s="33"/>
      <c r="S159" s="33"/>
      <c r="T159" s="33"/>
      <c r="U159" s="33">
        <f t="shared" si="94"/>
        <v>0.52941176470588203</v>
      </c>
      <c r="V159" s="33">
        <f t="shared" si="72"/>
        <v>1</v>
      </c>
      <c r="W159" s="218">
        <f t="shared" si="73"/>
        <v>3</v>
      </c>
      <c r="X159" s="33">
        <v>3.9E-2</v>
      </c>
      <c r="Y159" s="218">
        <f t="shared" si="73"/>
        <v>3</v>
      </c>
      <c r="Z159" s="218">
        <f t="shared" si="74"/>
        <v>74</v>
      </c>
      <c r="AA159" s="33">
        <v>0.12</v>
      </c>
      <c r="AB159" s="218" t="str">
        <f t="shared" si="75"/>
        <v/>
      </c>
      <c r="AC159" s="218" t="str">
        <f t="shared" si="76"/>
        <v/>
      </c>
      <c r="AD159" s="33">
        <v>0.02</v>
      </c>
      <c r="AE159" s="218" t="str">
        <f t="shared" si="77"/>
        <v/>
      </c>
      <c r="AF159" s="218" t="str">
        <f t="shared" si="78"/>
        <v/>
      </c>
      <c r="AG159" s="33">
        <v>0.02</v>
      </c>
      <c r="AH159" s="218" t="str">
        <f t="shared" si="79"/>
        <v/>
      </c>
      <c r="AI159" s="218" t="str">
        <f t="shared" si="80"/>
        <v/>
      </c>
      <c r="AJ159" s="33">
        <v>7.7999999999999996E-3</v>
      </c>
      <c r="AK159" s="218">
        <f t="shared" si="81"/>
        <v>4</v>
      </c>
      <c r="AL159" s="218">
        <f t="shared" si="82"/>
        <v>509</v>
      </c>
      <c r="AM159" s="38">
        <f t="shared" si="83"/>
        <v>7</v>
      </c>
      <c r="AN159" s="38">
        <f t="shared" si="84"/>
        <v>7</v>
      </c>
      <c r="AO159" s="38">
        <f t="shared" si="85"/>
        <v>0</v>
      </c>
      <c r="AP159" s="38" t="str">
        <f>IF(OR($C159="01-09",$D159="Male"),"",INDEX(PMTCT!$AD:$AD,MATCH($E159,PMTCT!$E:$E,0)))</f>
        <v/>
      </c>
      <c r="AQ159" s="38" t="str">
        <f>IF(OR($C159="01-09",$D159="Male"),"",INDEX(PMTCT!$AT:$AT,MATCH($E159,PMTCT!$E:$E,0)))</f>
        <v/>
      </c>
      <c r="AR159" s="38">
        <f>INDEX(TB!$Q:$Q,MATCH($E159,TB!$E:$E,0))</f>
        <v>6</v>
      </c>
      <c r="AS159" s="38" t="str">
        <f>IF(OR($C159="01-09",$C159="10-14",$D159="Female"),"",INDEX(VMMC!$AB:$AB,MATCH($E159,VMMC!$E:$E,0)))</f>
        <v/>
      </c>
      <c r="AT159" s="38" t="str">
        <f>IF(OR($C159="01-09",$C159="10-14"),"",INDEX(PrEP!$Q:$Q,MATCH($E159,PrEP!$E:$E,0)))</f>
        <v/>
      </c>
      <c r="AU159" s="38">
        <f t="shared" si="86"/>
        <v>589</v>
      </c>
      <c r="AV159" s="38">
        <f t="shared" si="87"/>
        <v>596</v>
      </c>
      <c r="AW159" s="33">
        <f t="shared" si="88"/>
        <v>1.1744966442953021E-2</v>
      </c>
      <c r="AX159" s="38"/>
      <c r="AY159" s="33" t="str">
        <f t="shared" si="91"/>
        <v/>
      </c>
      <c r="AZ159" s="218" t="str">
        <f t="shared" si="89"/>
        <v/>
      </c>
      <c r="BA159" s="33" t="str">
        <f t="shared" si="92"/>
        <v/>
      </c>
      <c r="BB159" s="218" t="str">
        <f t="shared" si="90"/>
        <v/>
      </c>
    </row>
    <row r="160" spans="1:54" x14ac:dyDescent="0.2">
      <c r="A160" t="str">
        <f>INDEX(Prioritization!$D:$D,MATCH($B160,Prioritization!$A:$A,0))</f>
        <v>1 - Scale-up: Saturation</v>
      </c>
      <c r="B160" t="s">
        <v>317</v>
      </c>
      <c r="C160" t="s">
        <v>473</v>
      </c>
      <c r="D160" t="s">
        <v>48</v>
      </c>
      <c r="E160" t="str">
        <f t="shared" si="66"/>
        <v>Machinga District [TYnMSwzko3z]|01-09|Male</v>
      </c>
      <c r="F160" s="33">
        <f>IF(LEFT($B160,4)="_Mil","",INDEX(Cascade!$AA:$AA,MATCH($E160,Cascade!$E:$E,0)))</f>
        <v>0.72211396699999997</v>
      </c>
      <c r="G160" s="38">
        <f>INDEX(Cascade!$BH:$BH,MATCH($E160,Cascade!$E:$E,0))</f>
        <v>8</v>
      </c>
      <c r="H160" s="38" t="str">
        <f>IF(OR($C160="01-09",$D160="Male"),"",INDEX(PMTCT!$AC:$AC,MATCH($E160,PMTCT!$E:$E,0)))</f>
        <v/>
      </c>
      <c r="I160" s="38" t="str">
        <f>IF(OR($C160="01-09",$D160="Male"),"",INDEX(PMTCT!$AS:$AS,MATCH($E160,PMTCT!$E:$E,0)))</f>
        <v/>
      </c>
      <c r="J160" s="38">
        <f>INDEX(TB!$P:$P,MATCH($E160,TB!$E:$E,0))</f>
        <v>0</v>
      </c>
      <c r="K160" s="38" t="str">
        <f>IF(OR($C160="01-09",$C160="10-14",$D160="Female"),"",INDEX(VMMC!$AA:$AA,MATCH($E160,VMMC!$E:$E,0)))</f>
        <v/>
      </c>
      <c r="L160" s="38">
        <f t="shared" si="67"/>
        <v>8</v>
      </c>
      <c r="M160" s="33" t="str">
        <f t="shared" si="68"/>
        <v/>
      </c>
      <c r="N160" s="33" t="str">
        <f t="shared" si="69"/>
        <v/>
      </c>
      <c r="O160" s="33">
        <f t="shared" si="70"/>
        <v>0</v>
      </c>
      <c r="P160" s="33" t="str">
        <f t="shared" si="71"/>
        <v/>
      </c>
      <c r="Q160" s="33">
        <v>0.47058823529411797</v>
      </c>
      <c r="R160" s="33"/>
      <c r="S160" s="33"/>
      <c r="T160" s="33"/>
      <c r="U160" s="33">
        <f t="shared" si="94"/>
        <v>0.52941176470588203</v>
      </c>
      <c r="V160" s="33">
        <f t="shared" si="72"/>
        <v>1</v>
      </c>
      <c r="W160" s="218">
        <f t="shared" si="73"/>
        <v>4</v>
      </c>
      <c r="X160" s="33">
        <v>2.1000000000000001E-2</v>
      </c>
      <c r="Y160" s="218">
        <f t="shared" si="73"/>
        <v>4</v>
      </c>
      <c r="Z160" s="218">
        <f t="shared" si="74"/>
        <v>186</v>
      </c>
      <c r="AA160" s="33">
        <v>0.12</v>
      </c>
      <c r="AB160" s="218" t="str">
        <f t="shared" si="75"/>
        <v/>
      </c>
      <c r="AC160" s="218" t="str">
        <f t="shared" si="76"/>
        <v/>
      </c>
      <c r="AD160" s="33">
        <v>0.02</v>
      </c>
      <c r="AE160" s="218" t="str">
        <f t="shared" si="77"/>
        <v/>
      </c>
      <c r="AF160" s="218" t="str">
        <f t="shared" si="78"/>
        <v/>
      </c>
      <c r="AG160" s="33">
        <v>0.02</v>
      </c>
      <c r="AH160" s="218" t="str">
        <f t="shared" si="79"/>
        <v/>
      </c>
      <c r="AI160" s="218" t="str">
        <f t="shared" si="80"/>
        <v/>
      </c>
      <c r="AJ160" s="33">
        <v>8.6E-3</v>
      </c>
      <c r="AK160" s="218">
        <f t="shared" si="81"/>
        <v>4</v>
      </c>
      <c r="AL160" s="218">
        <f t="shared" si="82"/>
        <v>461</v>
      </c>
      <c r="AM160" s="38">
        <f t="shared" si="83"/>
        <v>8</v>
      </c>
      <c r="AN160" s="38">
        <f t="shared" si="84"/>
        <v>8</v>
      </c>
      <c r="AO160" s="38">
        <f t="shared" si="85"/>
        <v>0</v>
      </c>
      <c r="AP160" s="38" t="str">
        <f>IF(OR($C160="01-09",$D160="Male"),"",INDEX(PMTCT!$AD:$AD,MATCH($E160,PMTCT!$E:$E,0)))</f>
        <v/>
      </c>
      <c r="AQ160" s="38" t="str">
        <f>IF(OR($C160="01-09",$D160="Male"),"",INDEX(PMTCT!$AT:$AT,MATCH($E160,PMTCT!$E:$E,0)))</f>
        <v/>
      </c>
      <c r="AR160" s="38">
        <f>INDEX(TB!$Q:$Q,MATCH($E160,TB!$E:$E,0))</f>
        <v>6</v>
      </c>
      <c r="AS160" s="38" t="str">
        <f>IF(OR($C160="01-09",$C160="10-14",$D160="Female"),"",INDEX(VMMC!$AB:$AB,MATCH($E160,VMMC!$E:$E,0)))</f>
        <v/>
      </c>
      <c r="AT160" s="38" t="str">
        <f>IF(OR($C160="01-09",$C160="10-14"),"",INDEX(PrEP!$Q:$Q,MATCH($E160,PrEP!$E:$E,0)))</f>
        <v/>
      </c>
      <c r="AU160" s="38">
        <f t="shared" si="86"/>
        <v>653</v>
      </c>
      <c r="AV160" s="38">
        <f t="shared" si="87"/>
        <v>661</v>
      </c>
      <c r="AW160" s="33">
        <f t="shared" si="88"/>
        <v>1.2102874432677761E-2</v>
      </c>
      <c r="AX160" s="38"/>
      <c r="AY160" s="33" t="str">
        <f t="shared" si="91"/>
        <v/>
      </c>
      <c r="AZ160" s="218" t="str">
        <f t="shared" si="89"/>
        <v/>
      </c>
      <c r="BA160" s="33" t="str">
        <f t="shared" si="92"/>
        <v/>
      </c>
      <c r="BB160" s="218" t="str">
        <f t="shared" si="90"/>
        <v/>
      </c>
    </row>
    <row r="161" spans="1:54" x14ac:dyDescent="0.2">
      <c r="A161" t="str">
        <f>INDEX(Prioritization!$D:$D,MATCH($B161,Prioritization!$A:$A,0))</f>
        <v>1 - Scale-up: Saturation</v>
      </c>
      <c r="B161" t="s">
        <v>317</v>
      </c>
      <c r="C161" t="s">
        <v>474</v>
      </c>
      <c r="D161" t="s">
        <v>30</v>
      </c>
      <c r="E161" t="str">
        <f t="shared" si="66"/>
        <v>Machinga District [TYnMSwzko3z]|10-14|Female</v>
      </c>
      <c r="F161" s="33">
        <f>IF(LEFT($B161,4)="_Mil","",INDEX(Cascade!$AA:$AA,MATCH($E161,Cascade!$E:$E,0)))</f>
        <v>0.75694518300000002</v>
      </c>
      <c r="G161" s="38">
        <f>INDEX(Cascade!$BH:$BH,MATCH($E161,Cascade!$E:$E,0))</f>
        <v>48</v>
      </c>
      <c r="H161" s="38">
        <f>IF(OR($C161="01-09",$D161="Male"),"",INDEX(PMTCT!$AC:$AC,MATCH($E161,PMTCT!$E:$E,0)))</f>
        <v>1</v>
      </c>
      <c r="I161" s="38">
        <f>IF(OR($C161="01-09",$D161="Male"),"",INDEX(PMTCT!$AS:$AS,MATCH($E161,PMTCT!$E:$E,0)))</f>
        <v>0</v>
      </c>
      <c r="J161" s="38">
        <f>INDEX(TB!$P:$P,MATCH($E161,TB!$E:$E,0))</f>
        <v>0</v>
      </c>
      <c r="K161" s="38" t="str">
        <f>IF(OR($C161="01-09",$C161="10-14",$D161="Female"),"",INDEX(VMMC!$AA:$AA,MATCH($E161,VMMC!$E:$E,0)))</f>
        <v/>
      </c>
      <c r="L161" s="38">
        <f t="shared" si="67"/>
        <v>47</v>
      </c>
      <c r="M161" s="33">
        <f t="shared" si="68"/>
        <v>2.0833333333333332E-2</v>
      </c>
      <c r="N161" s="33">
        <f t="shared" si="69"/>
        <v>0</v>
      </c>
      <c r="O161" s="33">
        <f t="shared" si="70"/>
        <v>0</v>
      </c>
      <c r="P161" s="33" t="str">
        <f t="shared" si="71"/>
        <v/>
      </c>
      <c r="Q161" s="33">
        <v>0.4375</v>
      </c>
      <c r="R161" s="33"/>
      <c r="S161" s="33">
        <v>0.06</v>
      </c>
      <c r="T161" s="33"/>
      <c r="U161" s="33">
        <f t="shared" si="94"/>
        <v>0.48166666666666669</v>
      </c>
      <c r="V161" s="33">
        <f t="shared" si="72"/>
        <v>1</v>
      </c>
      <c r="W161" s="218">
        <f t="shared" si="73"/>
        <v>21</v>
      </c>
      <c r="X161" s="33">
        <v>5.7000000000000002E-3</v>
      </c>
      <c r="Y161" s="218">
        <f t="shared" si="73"/>
        <v>21</v>
      </c>
      <c r="Z161" s="218">
        <f t="shared" si="74"/>
        <v>3663</v>
      </c>
      <c r="AA161" s="33">
        <v>0.12</v>
      </c>
      <c r="AB161" s="218" t="str">
        <f t="shared" si="75"/>
        <v/>
      </c>
      <c r="AC161" s="218" t="str">
        <f t="shared" si="76"/>
        <v/>
      </c>
      <c r="AD161" s="33">
        <v>2E-3</v>
      </c>
      <c r="AE161" s="218">
        <f t="shared" si="77"/>
        <v>3</v>
      </c>
      <c r="AF161" s="218">
        <f t="shared" si="78"/>
        <v>1497</v>
      </c>
      <c r="AG161" s="33">
        <v>0.02</v>
      </c>
      <c r="AH161" s="218" t="str">
        <f t="shared" si="79"/>
        <v/>
      </c>
      <c r="AI161" s="218" t="str">
        <f t="shared" si="80"/>
        <v/>
      </c>
      <c r="AJ161" s="33">
        <v>9.1999999999999998E-3</v>
      </c>
      <c r="AK161" s="218">
        <f t="shared" si="81"/>
        <v>23</v>
      </c>
      <c r="AL161" s="218">
        <f t="shared" si="82"/>
        <v>2477</v>
      </c>
      <c r="AM161" s="38">
        <f t="shared" si="83"/>
        <v>48</v>
      </c>
      <c r="AN161" s="38">
        <f t="shared" si="84"/>
        <v>48</v>
      </c>
      <c r="AO161" s="38">
        <f t="shared" si="85"/>
        <v>0</v>
      </c>
      <c r="AP161" s="38">
        <f>IF(OR($C161="01-09",$D161="Male"),"",INDEX(PMTCT!$AD:$AD,MATCH($E161,PMTCT!$E:$E,0)))</f>
        <v>111</v>
      </c>
      <c r="AQ161" s="38">
        <f>IF(OR($C161="01-09",$D161="Male"),"",INDEX(PMTCT!$AT:$AT,MATCH($E161,PMTCT!$E:$E,0)))</f>
        <v>111</v>
      </c>
      <c r="AR161" s="38">
        <f>INDEX(TB!$Q:$Q,MATCH($E161,TB!$E:$E,0))</f>
        <v>3</v>
      </c>
      <c r="AS161" s="38" t="str">
        <f>IF(OR($C161="01-09",$C161="10-14",$D161="Female"),"",INDEX(VMMC!$AB:$AB,MATCH($E161,VMMC!$E:$E,0)))</f>
        <v/>
      </c>
      <c r="AT161" s="38" t="str">
        <f>IF(OR($C161="01-09",$C161="10-14"),"",INDEX(PrEP!$Q:$Q,MATCH($E161,PrEP!$E:$E,0)))</f>
        <v/>
      </c>
      <c r="AU161" s="38">
        <f t="shared" si="86"/>
        <v>7862</v>
      </c>
      <c r="AV161" s="38">
        <f t="shared" si="87"/>
        <v>7910</v>
      </c>
      <c r="AW161" s="33">
        <f t="shared" si="88"/>
        <v>6.0682680151706702E-3</v>
      </c>
      <c r="AX161" s="38">
        <v>3330</v>
      </c>
      <c r="AY161" s="33">
        <f t="shared" si="91"/>
        <v>0</v>
      </c>
      <c r="AZ161" s="218">
        <f t="shared" si="89"/>
        <v>3330</v>
      </c>
      <c r="BA161" s="33" t="str">
        <f t="shared" si="92"/>
        <v/>
      </c>
      <c r="BB161" s="218" t="str">
        <f t="shared" si="90"/>
        <v/>
      </c>
    </row>
    <row r="162" spans="1:54" x14ac:dyDescent="0.2">
      <c r="A162" t="str">
        <f>INDEX(Prioritization!$D:$D,MATCH($B162,Prioritization!$A:$A,0))</f>
        <v>1 - Scale-up: Saturation</v>
      </c>
      <c r="B162" t="s">
        <v>317</v>
      </c>
      <c r="C162" t="s">
        <v>474</v>
      </c>
      <c r="D162" t="s">
        <v>48</v>
      </c>
      <c r="E162" t="str">
        <f t="shared" si="66"/>
        <v>Machinga District [TYnMSwzko3z]|10-14|Male</v>
      </c>
      <c r="F162" s="33">
        <f>IF(LEFT($B162,4)="_Mil","",INDEX(Cascade!$AA:$AA,MATCH($E162,Cascade!$E:$E,0)))</f>
        <v>0.75673748500000004</v>
      </c>
      <c r="G162" s="38">
        <f>INDEX(Cascade!$BH:$BH,MATCH($E162,Cascade!$E:$E,0))</f>
        <v>9</v>
      </c>
      <c r="H162" s="38" t="str">
        <f>IF(OR($C162="01-09",$D162="Male"),"",INDEX(PMTCT!$AC:$AC,MATCH($E162,PMTCT!$E:$E,0)))</f>
        <v/>
      </c>
      <c r="I162" s="38" t="str">
        <f>IF(OR($C162="01-09",$D162="Male"),"",INDEX(PMTCT!$AS:$AS,MATCH($E162,PMTCT!$E:$E,0)))</f>
        <v/>
      </c>
      <c r="J162" s="38">
        <f>INDEX(TB!$P:$P,MATCH($E162,TB!$E:$E,0))</f>
        <v>0</v>
      </c>
      <c r="K162" s="38" t="str">
        <f>IF(OR($C162="01-09",$C162="10-14",$D162="Female"),"",INDEX(VMMC!$AA:$AA,MATCH($E162,VMMC!$E:$E,0)))</f>
        <v/>
      </c>
      <c r="L162" s="38">
        <f t="shared" si="67"/>
        <v>9</v>
      </c>
      <c r="M162" s="33" t="str">
        <f t="shared" si="68"/>
        <v/>
      </c>
      <c r="N162" s="33" t="str">
        <f t="shared" si="69"/>
        <v/>
      </c>
      <c r="O162" s="33">
        <f t="shared" si="70"/>
        <v>0</v>
      </c>
      <c r="P162" s="33" t="str">
        <f t="shared" si="71"/>
        <v/>
      </c>
      <c r="Q162" s="33">
        <v>0.57142857142857095</v>
      </c>
      <c r="R162" s="33"/>
      <c r="S162" s="33"/>
      <c r="T162" s="33"/>
      <c r="U162" s="33">
        <f t="shared" si="94"/>
        <v>0.42857142857142905</v>
      </c>
      <c r="V162" s="33">
        <f t="shared" si="72"/>
        <v>1</v>
      </c>
      <c r="W162" s="218">
        <f t="shared" si="73"/>
        <v>5</v>
      </c>
      <c r="X162" s="33">
        <v>4.2999999999999997E-2</v>
      </c>
      <c r="Y162" s="218">
        <f t="shared" si="73"/>
        <v>5</v>
      </c>
      <c r="Z162" s="218">
        <f t="shared" si="74"/>
        <v>111</v>
      </c>
      <c r="AA162" s="33">
        <v>0.12</v>
      </c>
      <c r="AB162" s="218" t="str">
        <f t="shared" si="75"/>
        <v/>
      </c>
      <c r="AC162" s="218" t="str">
        <f t="shared" si="76"/>
        <v/>
      </c>
      <c r="AD162" s="33">
        <v>0.02</v>
      </c>
      <c r="AE162" s="218" t="str">
        <f t="shared" si="77"/>
        <v/>
      </c>
      <c r="AF162" s="218" t="str">
        <f t="shared" si="78"/>
        <v/>
      </c>
      <c r="AG162" s="33">
        <v>0.02</v>
      </c>
      <c r="AH162" s="218" t="str">
        <f t="shared" si="79"/>
        <v/>
      </c>
      <c r="AI162" s="218" t="str">
        <f t="shared" si="80"/>
        <v/>
      </c>
      <c r="AJ162" s="33">
        <v>1.9E-2</v>
      </c>
      <c r="AK162" s="218">
        <f t="shared" si="81"/>
        <v>4</v>
      </c>
      <c r="AL162" s="218">
        <f t="shared" si="82"/>
        <v>207</v>
      </c>
      <c r="AM162" s="38">
        <f t="shared" si="83"/>
        <v>9</v>
      </c>
      <c r="AN162" s="38">
        <f t="shared" si="84"/>
        <v>9</v>
      </c>
      <c r="AO162" s="38">
        <f t="shared" si="85"/>
        <v>0</v>
      </c>
      <c r="AP162" s="38" t="str">
        <f>IF(OR($C162="01-09",$D162="Male"),"",INDEX(PMTCT!$AD:$AD,MATCH($E162,PMTCT!$E:$E,0)))</f>
        <v/>
      </c>
      <c r="AQ162" s="38" t="str">
        <f>IF(OR($C162="01-09",$D162="Male"),"",INDEX(PMTCT!$AT:$AT,MATCH($E162,PMTCT!$E:$E,0)))</f>
        <v/>
      </c>
      <c r="AR162" s="38">
        <f>INDEX(TB!$Q:$Q,MATCH($E162,TB!$E:$E,0))</f>
        <v>3</v>
      </c>
      <c r="AS162" s="38" t="str">
        <f>IF(OR($C162="01-09",$C162="10-14",$D162="Female"),"",INDEX(VMMC!$AB:$AB,MATCH($E162,VMMC!$E:$E,0)))</f>
        <v/>
      </c>
      <c r="AT162" s="38" t="str">
        <f>IF(OR($C162="01-09",$C162="10-14"),"",INDEX(PrEP!$Q:$Q,MATCH($E162,PrEP!$E:$E,0)))</f>
        <v/>
      </c>
      <c r="AU162" s="38">
        <f t="shared" si="86"/>
        <v>321</v>
      </c>
      <c r="AV162" s="38">
        <f t="shared" si="87"/>
        <v>330</v>
      </c>
      <c r="AW162" s="33">
        <f t="shared" si="88"/>
        <v>2.7272727272727271E-2</v>
      </c>
      <c r="AX162" s="38"/>
      <c r="AY162" s="33" t="str">
        <f t="shared" si="91"/>
        <v/>
      </c>
      <c r="AZ162" s="218" t="str">
        <f t="shared" si="89"/>
        <v/>
      </c>
      <c r="BA162" s="33" t="str">
        <f t="shared" si="92"/>
        <v/>
      </c>
      <c r="BB162" s="218" t="str">
        <f t="shared" si="90"/>
        <v/>
      </c>
    </row>
    <row r="163" spans="1:54" x14ac:dyDescent="0.2">
      <c r="A163" t="str">
        <f>INDEX(Prioritization!$D:$D,MATCH($B163,Prioritization!$A:$A,0))</f>
        <v>1 - Scale-up: Saturation</v>
      </c>
      <c r="B163" t="s">
        <v>317</v>
      </c>
      <c r="C163" t="s">
        <v>475</v>
      </c>
      <c r="D163" t="s">
        <v>30</v>
      </c>
      <c r="E163" t="str">
        <f t="shared" si="66"/>
        <v>Machinga District [TYnMSwzko3z]|15-24|Female</v>
      </c>
      <c r="F163" s="33">
        <f>IF(LEFT($B163,4)="_Mil","",INDEX(Cascade!$AA:$AA,MATCH($E163,Cascade!$E:$E,0)))</f>
        <v>0.93894512100000005</v>
      </c>
      <c r="G163" s="38">
        <f>INDEX(Cascade!$BH:$BH,MATCH($E163,Cascade!$E:$E,0))</f>
        <v>274</v>
      </c>
      <c r="H163" s="38">
        <f>IF(OR($C163="01-09",$D163="Male"),"",INDEX(PMTCT!$AC:$AC,MATCH($E163,PMTCT!$E:$E,0)))</f>
        <v>99</v>
      </c>
      <c r="I163" s="38">
        <f>IF(OR($C163="01-09",$D163="Male"),"",INDEX(PMTCT!$AS:$AS,MATCH($E163,PMTCT!$E:$E,0)))</f>
        <v>69</v>
      </c>
      <c r="J163" s="38">
        <f>INDEX(TB!$P:$P,MATCH($E163,TB!$E:$E,0))</f>
        <v>2</v>
      </c>
      <c r="K163" s="38" t="str">
        <f>IF(OR($C163="01-09",$C163="10-14",$D163="Female"),"",INDEX(VMMC!$AA:$AA,MATCH($E163,VMMC!$E:$E,0)))</f>
        <v/>
      </c>
      <c r="L163" s="38">
        <f t="shared" si="67"/>
        <v>104</v>
      </c>
      <c r="M163" s="33">
        <f t="shared" si="68"/>
        <v>0.36131386861313869</v>
      </c>
      <c r="N163" s="33">
        <f t="shared" si="69"/>
        <v>0.2518248175182482</v>
      </c>
      <c r="O163" s="33">
        <f t="shared" si="70"/>
        <v>7.2992700729927005E-3</v>
      </c>
      <c r="P163" s="33" t="str">
        <f t="shared" si="71"/>
        <v/>
      </c>
      <c r="Q163" s="33">
        <v>0.15</v>
      </c>
      <c r="R163" s="33">
        <v>0.05</v>
      </c>
      <c r="S163" s="33">
        <v>1.9E-2</v>
      </c>
      <c r="T163" s="33">
        <v>0.05</v>
      </c>
      <c r="U163" s="33">
        <f t="shared" si="94"/>
        <v>0.11056204379562029</v>
      </c>
      <c r="V163" s="33">
        <f t="shared" si="72"/>
        <v>1</v>
      </c>
      <c r="W163" s="218">
        <f t="shared" si="73"/>
        <v>41</v>
      </c>
      <c r="X163" s="33">
        <v>0.11</v>
      </c>
      <c r="Y163" s="218">
        <f t="shared" si="73"/>
        <v>41</v>
      </c>
      <c r="Z163" s="218">
        <f t="shared" si="74"/>
        <v>332</v>
      </c>
      <c r="AA163" s="33">
        <v>0.12</v>
      </c>
      <c r="AB163" s="218">
        <f t="shared" si="75"/>
        <v>14</v>
      </c>
      <c r="AC163" s="218">
        <f t="shared" si="76"/>
        <v>103</v>
      </c>
      <c r="AD163" s="33">
        <v>2E-3</v>
      </c>
      <c r="AE163" s="218">
        <f t="shared" si="77"/>
        <v>5</v>
      </c>
      <c r="AF163" s="218">
        <f t="shared" si="78"/>
        <v>2495</v>
      </c>
      <c r="AG163" s="33">
        <v>0.02</v>
      </c>
      <c r="AH163" s="218">
        <f t="shared" si="79"/>
        <v>14</v>
      </c>
      <c r="AI163" s="218">
        <f t="shared" si="80"/>
        <v>686</v>
      </c>
      <c r="AJ163" s="33">
        <v>8.6E-3</v>
      </c>
      <c r="AK163" s="218">
        <f t="shared" si="81"/>
        <v>30</v>
      </c>
      <c r="AL163" s="218">
        <f t="shared" si="82"/>
        <v>3458</v>
      </c>
      <c r="AM163" s="38">
        <f t="shared" si="83"/>
        <v>274</v>
      </c>
      <c r="AN163" s="38">
        <f t="shared" si="84"/>
        <v>274</v>
      </c>
      <c r="AO163" s="38">
        <f t="shared" si="85"/>
        <v>0</v>
      </c>
      <c r="AP163" s="38">
        <f>IF(OR($C163="01-09",$D163="Male"),"",INDEX(PMTCT!$AD:$AD,MATCH($E163,PMTCT!$E:$E,0)))</f>
        <v>17260</v>
      </c>
      <c r="AQ163" s="38">
        <f>IF(OR($C163="01-09",$D163="Male"),"",INDEX(PMTCT!$AT:$AT,MATCH($E163,PMTCT!$E:$E,0)))</f>
        <v>17191</v>
      </c>
      <c r="AR163" s="38">
        <f>INDEX(TB!$Q:$Q,MATCH($E163,TB!$E:$E,0))</f>
        <v>24</v>
      </c>
      <c r="AS163" s="38" t="str">
        <f>IF(OR($C163="01-09",$C163="10-14",$D163="Female"),"",INDEX(VMMC!$AB:$AB,MATCH($E163,VMMC!$E:$E,0)))</f>
        <v/>
      </c>
      <c r="AT163" s="38">
        <f>IF(OR($C163="01-09",$C163="10-14"),"",INDEX(PrEP!$Q:$Q,MATCH($E163,PrEP!$E:$E,0)))</f>
        <v>1090</v>
      </c>
      <c r="AU163" s="38">
        <f t="shared" si="86"/>
        <v>42639</v>
      </c>
      <c r="AV163" s="38">
        <f t="shared" si="87"/>
        <v>42913</v>
      </c>
      <c r="AW163" s="33">
        <f t="shared" si="88"/>
        <v>6.3850115349660943E-3</v>
      </c>
      <c r="AX163" s="38">
        <v>29063</v>
      </c>
      <c r="AY163" s="33">
        <f t="shared" ref="AY163:AY168" si="95">IF(OR($C163="01-09",SUM($AX163)=0),"",68%)</f>
        <v>0.68</v>
      </c>
      <c r="AZ163" s="218">
        <f t="shared" si="89"/>
        <v>48826</v>
      </c>
      <c r="BA163" s="33">
        <v>0.61</v>
      </c>
      <c r="BB163" s="218">
        <f t="shared" si="90"/>
        <v>167</v>
      </c>
    </row>
    <row r="164" spans="1:54" x14ac:dyDescent="0.2">
      <c r="A164" t="str">
        <f>INDEX(Prioritization!$D:$D,MATCH($B164,Prioritization!$A:$A,0))</f>
        <v>1 - Scale-up: Saturation</v>
      </c>
      <c r="B164" t="s">
        <v>317</v>
      </c>
      <c r="C164" t="s">
        <v>475</v>
      </c>
      <c r="D164" t="s">
        <v>48</v>
      </c>
      <c r="E164" t="str">
        <f t="shared" si="66"/>
        <v>Machinga District [TYnMSwzko3z]|15-24|Male</v>
      </c>
      <c r="F164" s="33">
        <f>IF(LEFT($B164,4)="_Mil","",INDEX(Cascade!$AA:$AA,MATCH($E164,Cascade!$E:$E,0)))</f>
        <v>0.90654579700000004</v>
      </c>
      <c r="G164" s="38">
        <f>INDEX(Cascade!$BH:$BH,MATCH($E164,Cascade!$E:$E,0))</f>
        <v>66</v>
      </c>
      <c r="H164" s="38" t="str">
        <f>IF(OR($C164="01-09",$D164="Male"),"",INDEX(PMTCT!$AC:$AC,MATCH($E164,PMTCT!$E:$E,0)))</f>
        <v/>
      </c>
      <c r="I164" s="38" t="str">
        <f>IF(OR($C164="01-09",$D164="Male"),"",INDEX(PMTCT!$AS:$AS,MATCH($E164,PMTCT!$E:$E,0)))</f>
        <v/>
      </c>
      <c r="J164" s="38">
        <f>INDEX(TB!$P:$P,MATCH($E164,TB!$E:$E,0))</f>
        <v>2</v>
      </c>
      <c r="K164" s="38" t="str">
        <f>IF(OR($C164="01-09",$C164="10-14",$D164="Female"),"",INDEX(VMMC!$AA:$AA,MATCH($E164,VMMC!$E:$E,0)))</f>
        <v/>
      </c>
      <c r="L164" s="38">
        <f t="shared" si="67"/>
        <v>64</v>
      </c>
      <c r="M164" s="33" t="str">
        <f t="shared" si="68"/>
        <v/>
      </c>
      <c r="N164" s="33" t="str">
        <f t="shared" si="69"/>
        <v/>
      </c>
      <c r="O164" s="33">
        <f t="shared" si="70"/>
        <v>3.0303030303030304E-2</v>
      </c>
      <c r="P164" s="33">
        <f t="shared" si="71"/>
        <v>0</v>
      </c>
      <c r="Q164" s="33">
        <v>0.324607329842932</v>
      </c>
      <c r="R164" s="33">
        <v>0.1</v>
      </c>
      <c r="S164" s="33"/>
      <c r="T164" s="33">
        <v>0.05</v>
      </c>
      <c r="U164" s="33">
        <f t="shared" si="94"/>
        <v>0.49508963985403764</v>
      </c>
      <c r="V164" s="33">
        <f t="shared" si="72"/>
        <v>1</v>
      </c>
      <c r="W164" s="218">
        <f t="shared" si="73"/>
        <v>21</v>
      </c>
      <c r="X164" s="33">
        <v>0.123</v>
      </c>
      <c r="Y164" s="218">
        <f t="shared" si="73"/>
        <v>21</v>
      </c>
      <c r="Z164" s="218">
        <f t="shared" si="74"/>
        <v>150</v>
      </c>
      <c r="AA164" s="33">
        <v>0.12</v>
      </c>
      <c r="AB164" s="218">
        <f t="shared" si="75"/>
        <v>7</v>
      </c>
      <c r="AC164" s="218">
        <f t="shared" si="76"/>
        <v>51</v>
      </c>
      <c r="AD164" s="33">
        <v>0.02</v>
      </c>
      <c r="AE164" s="218" t="str">
        <f t="shared" si="77"/>
        <v/>
      </c>
      <c r="AF164" s="218" t="str">
        <f t="shared" si="78"/>
        <v/>
      </c>
      <c r="AG164" s="33">
        <v>0.02</v>
      </c>
      <c r="AH164" s="218">
        <f t="shared" si="79"/>
        <v>3</v>
      </c>
      <c r="AI164" s="218">
        <f t="shared" si="80"/>
        <v>147</v>
      </c>
      <c r="AJ164" s="33">
        <v>4.7000000000000002E-3</v>
      </c>
      <c r="AK164" s="218">
        <f t="shared" si="81"/>
        <v>33</v>
      </c>
      <c r="AL164" s="218">
        <f t="shared" si="82"/>
        <v>6988</v>
      </c>
      <c r="AM164" s="38">
        <f t="shared" si="83"/>
        <v>66</v>
      </c>
      <c r="AN164" s="38">
        <f t="shared" si="84"/>
        <v>66</v>
      </c>
      <c r="AO164" s="38">
        <f t="shared" si="85"/>
        <v>0</v>
      </c>
      <c r="AP164" s="38" t="str">
        <f>IF(OR($C164="01-09",$D164="Male"),"",INDEX(PMTCT!$AD:$AD,MATCH($E164,PMTCT!$E:$E,0)))</f>
        <v/>
      </c>
      <c r="AQ164" s="38" t="str">
        <f>IF(OR($C164="01-09",$D164="Male"),"",INDEX(PMTCT!$AT:$AT,MATCH($E164,PMTCT!$E:$E,0)))</f>
        <v/>
      </c>
      <c r="AR164" s="38">
        <f>INDEX(TB!$Q:$Q,MATCH($E164,TB!$E:$E,0))</f>
        <v>37</v>
      </c>
      <c r="AS164" s="38" t="str">
        <f>IF(OR($C164="01-09",$C164="10-14",$D164="Female"),"",INDEX(VMMC!$AB:$AB,MATCH($E164,VMMC!$E:$E,0)))</f>
        <v/>
      </c>
      <c r="AT164" s="38">
        <f>IF(OR($C164="01-09",$C164="10-14"),"",INDEX(PrEP!$Q:$Q,MATCH($E164,PrEP!$E:$E,0)))</f>
        <v>72</v>
      </c>
      <c r="AU164" s="38">
        <f t="shared" si="86"/>
        <v>7444.9999999999991</v>
      </c>
      <c r="AV164" s="38">
        <f t="shared" si="87"/>
        <v>7510.9999999999991</v>
      </c>
      <c r="AW164" s="33">
        <f t="shared" si="88"/>
        <v>8.7871122353880993E-3</v>
      </c>
      <c r="AX164" s="38">
        <v>6080</v>
      </c>
      <c r="AY164" s="33">
        <f t="shared" si="95"/>
        <v>0.68</v>
      </c>
      <c r="AZ164" s="218">
        <f t="shared" si="89"/>
        <v>10214</v>
      </c>
      <c r="BA164" s="33">
        <v>0.61</v>
      </c>
      <c r="BB164" s="218">
        <f t="shared" si="90"/>
        <v>40</v>
      </c>
    </row>
    <row r="165" spans="1:54" x14ac:dyDescent="0.2">
      <c r="A165" t="str">
        <f>INDEX(Prioritization!$D:$D,MATCH($B165,Prioritization!$A:$A,0))</f>
        <v>1 - Scale-up: Saturation</v>
      </c>
      <c r="B165" t="s">
        <v>317</v>
      </c>
      <c r="C165" t="s">
        <v>476</v>
      </c>
      <c r="D165" t="s">
        <v>30</v>
      </c>
      <c r="E165" t="str">
        <f t="shared" si="66"/>
        <v>Machinga District [TYnMSwzko3z]|25-34|Female</v>
      </c>
      <c r="F165" s="33">
        <f>IF(LEFT($B165,4)="_Mil","",INDEX(Cascade!$AA:$AA,MATCH($E165,Cascade!$E:$E,0)))</f>
        <v>0.96755493000000015</v>
      </c>
      <c r="G165" s="38">
        <f>INDEX(Cascade!$BH:$BH,MATCH($E165,Cascade!$E:$E,0))</f>
        <v>436</v>
      </c>
      <c r="H165" s="38">
        <f>IF(OR($C165="01-09",$D165="Male"),"",INDEX(PMTCT!$AC:$AC,MATCH($E165,PMTCT!$E:$E,0)))</f>
        <v>132</v>
      </c>
      <c r="I165" s="38">
        <f>IF(OR($C165="01-09",$D165="Male"),"",INDEX(PMTCT!$AS:$AS,MATCH($E165,PMTCT!$E:$E,0)))</f>
        <v>76</v>
      </c>
      <c r="J165" s="38">
        <f>INDEX(TB!$P:$P,MATCH($E165,TB!$E:$E,0))</f>
        <v>2</v>
      </c>
      <c r="K165" s="38" t="str">
        <f>IF(OR($C165="01-09",$C165="10-14",$D165="Female"),"",INDEX(VMMC!$AA:$AA,MATCH($E165,VMMC!$E:$E,0)))</f>
        <v/>
      </c>
      <c r="L165" s="38">
        <f t="shared" si="67"/>
        <v>226</v>
      </c>
      <c r="M165" s="33">
        <f t="shared" si="68"/>
        <v>0.30275229357798167</v>
      </c>
      <c r="N165" s="33">
        <f t="shared" si="69"/>
        <v>0.1743119266055046</v>
      </c>
      <c r="O165" s="33">
        <f t="shared" si="70"/>
        <v>4.5871559633027525E-3</v>
      </c>
      <c r="P165" s="33" t="str">
        <f t="shared" si="71"/>
        <v/>
      </c>
      <c r="Q165" s="33">
        <v>0.2</v>
      </c>
      <c r="R165" s="33">
        <v>0.05</v>
      </c>
      <c r="S165" s="33"/>
      <c r="T165" s="33">
        <v>0.05</v>
      </c>
      <c r="U165" s="33">
        <f t="shared" si="94"/>
        <v>0.21834862385321085</v>
      </c>
      <c r="V165" s="33">
        <f t="shared" si="72"/>
        <v>1</v>
      </c>
      <c r="W165" s="218">
        <f t="shared" si="73"/>
        <v>87</v>
      </c>
      <c r="X165" s="33">
        <v>0.16</v>
      </c>
      <c r="Y165" s="218">
        <f t="shared" si="73"/>
        <v>87</v>
      </c>
      <c r="Z165" s="218">
        <f t="shared" si="74"/>
        <v>457</v>
      </c>
      <c r="AA165" s="33">
        <v>0.12</v>
      </c>
      <c r="AB165" s="218">
        <f t="shared" si="75"/>
        <v>22</v>
      </c>
      <c r="AC165" s="218">
        <f t="shared" si="76"/>
        <v>161</v>
      </c>
      <c r="AD165" s="33">
        <v>0.02</v>
      </c>
      <c r="AE165" s="218" t="str">
        <f t="shared" si="77"/>
        <v/>
      </c>
      <c r="AF165" s="218" t="str">
        <f t="shared" si="78"/>
        <v/>
      </c>
      <c r="AG165" s="33">
        <v>0.02</v>
      </c>
      <c r="AH165" s="218">
        <f t="shared" si="79"/>
        <v>22</v>
      </c>
      <c r="AI165" s="218">
        <f t="shared" si="80"/>
        <v>1078</v>
      </c>
      <c r="AJ165" s="33">
        <v>0.02</v>
      </c>
      <c r="AK165" s="218">
        <f t="shared" si="81"/>
        <v>95</v>
      </c>
      <c r="AL165" s="218">
        <f t="shared" si="82"/>
        <v>4655</v>
      </c>
      <c r="AM165" s="38">
        <f t="shared" si="83"/>
        <v>436</v>
      </c>
      <c r="AN165" s="38">
        <f t="shared" si="84"/>
        <v>436</v>
      </c>
      <c r="AO165" s="38">
        <f t="shared" si="85"/>
        <v>0</v>
      </c>
      <c r="AP165" s="38">
        <f>IF(OR($C165="01-09",$D165="Male"),"",INDEX(PMTCT!$AD:$AD,MATCH($E165,PMTCT!$E:$E,0)))</f>
        <v>10890</v>
      </c>
      <c r="AQ165" s="38">
        <f>IF(OR($C165="01-09",$D165="Male"),"",INDEX(PMTCT!$AT:$AT,MATCH($E165,PMTCT!$E:$E,0)))</f>
        <v>10814</v>
      </c>
      <c r="AR165" s="38">
        <f>INDEX(TB!$Q:$Q,MATCH($E165,TB!$E:$E,0))</f>
        <v>24</v>
      </c>
      <c r="AS165" s="38" t="str">
        <f>IF(OR($C165="01-09",$C165="10-14",$D165="Female"),"",INDEX(VMMC!$AB:$AB,MATCH($E165,VMMC!$E:$E,0)))</f>
        <v/>
      </c>
      <c r="AT165" s="38">
        <f>IF(OR($C165="01-09",$C165="10-14"),"",INDEX(PrEP!$Q:$Q,MATCH($E165,PrEP!$E:$E,0)))</f>
        <v>448</v>
      </c>
      <c r="AU165" s="38">
        <f t="shared" si="86"/>
        <v>28527</v>
      </c>
      <c r="AV165" s="38">
        <f t="shared" si="87"/>
        <v>28963.000000000004</v>
      </c>
      <c r="AW165" s="33">
        <f t="shared" si="88"/>
        <v>1.5053689189655765E-2</v>
      </c>
      <c r="AX165" s="38">
        <v>11172</v>
      </c>
      <c r="AY165" s="33">
        <f t="shared" si="95"/>
        <v>0.68</v>
      </c>
      <c r="AZ165" s="218">
        <f t="shared" si="89"/>
        <v>18769</v>
      </c>
      <c r="BA165" s="33">
        <v>0.61</v>
      </c>
      <c r="BB165" s="218">
        <f t="shared" si="90"/>
        <v>266</v>
      </c>
    </row>
    <row r="166" spans="1:54" x14ac:dyDescent="0.2">
      <c r="A166" t="str">
        <f>INDEX(Prioritization!$D:$D,MATCH($B166,Prioritization!$A:$A,0))</f>
        <v>1 - Scale-up: Saturation</v>
      </c>
      <c r="B166" t="s">
        <v>317</v>
      </c>
      <c r="C166" t="s">
        <v>476</v>
      </c>
      <c r="D166" t="s">
        <v>48</v>
      </c>
      <c r="E166" t="str">
        <f t="shared" si="66"/>
        <v>Machinga District [TYnMSwzko3z]|25-34|Male</v>
      </c>
      <c r="F166" s="33">
        <f>IF(LEFT($B166,4)="_Mil","",INDEX(Cascade!$AA:$AA,MATCH($E166,Cascade!$E:$E,0)))</f>
        <v>0.87858911399999995</v>
      </c>
      <c r="G166" s="38">
        <f>INDEX(Cascade!$BH:$BH,MATCH($E166,Cascade!$E:$E,0))</f>
        <v>21</v>
      </c>
      <c r="H166" s="38" t="str">
        <f>IF(OR($C166="01-09",$D166="Male"),"",INDEX(PMTCT!$AC:$AC,MATCH($E166,PMTCT!$E:$E,0)))</f>
        <v/>
      </c>
      <c r="I166" s="38" t="str">
        <f>IF(OR($C166="01-09",$D166="Male"),"",INDEX(PMTCT!$AS:$AS,MATCH($E166,PMTCT!$E:$E,0)))</f>
        <v/>
      </c>
      <c r="J166" s="38">
        <f>INDEX(TB!$P:$P,MATCH($E166,TB!$E:$E,0))</f>
        <v>2</v>
      </c>
      <c r="K166" s="38" t="str">
        <f>IF(OR($C166="01-09",$C166="10-14",$D166="Female"),"",INDEX(VMMC!$AA:$AA,MATCH($E166,VMMC!$E:$E,0)))</f>
        <v/>
      </c>
      <c r="L166" s="38">
        <f t="shared" si="67"/>
        <v>19</v>
      </c>
      <c r="M166" s="33" t="str">
        <f t="shared" si="68"/>
        <v/>
      </c>
      <c r="N166" s="33" t="str">
        <f t="shared" si="69"/>
        <v/>
      </c>
      <c r="O166" s="33">
        <f t="shared" si="70"/>
        <v>9.5238095238095233E-2</v>
      </c>
      <c r="P166" s="33">
        <f t="shared" si="71"/>
        <v>0</v>
      </c>
      <c r="Q166" s="33">
        <v>0.36363636363636398</v>
      </c>
      <c r="R166" s="33">
        <v>0.1</v>
      </c>
      <c r="S166" s="33"/>
      <c r="T166" s="33">
        <v>0.05</v>
      </c>
      <c r="U166" s="33">
        <f t="shared" si="94"/>
        <v>0.39112554112554077</v>
      </c>
      <c r="V166" s="33">
        <f t="shared" si="72"/>
        <v>1</v>
      </c>
      <c r="W166" s="218">
        <f t="shared" si="73"/>
        <v>8</v>
      </c>
      <c r="X166" s="33">
        <v>0.20300000000000001</v>
      </c>
      <c r="Y166" s="218">
        <f t="shared" si="73"/>
        <v>8</v>
      </c>
      <c r="Z166" s="218">
        <f t="shared" si="74"/>
        <v>31</v>
      </c>
      <c r="AA166" s="33">
        <v>0.12</v>
      </c>
      <c r="AB166" s="218">
        <f t="shared" si="75"/>
        <v>2</v>
      </c>
      <c r="AC166" s="218">
        <f t="shared" si="76"/>
        <v>15</v>
      </c>
      <c r="AD166" s="33">
        <v>0.02</v>
      </c>
      <c r="AE166" s="218" t="str">
        <f t="shared" si="77"/>
        <v/>
      </c>
      <c r="AF166" s="218" t="str">
        <f t="shared" si="78"/>
        <v/>
      </c>
      <c r="AG166" s="33">
        <v>0.02</v>
      </c>
      <c r="AH166" s="218">
        <f t="shared" si="79"/>
        <v>1</v>
      </c>
      <c r="AI166" s="218">
        <f t="shared" si="80"/>
        <v>49</v>
      </c>
      <c r="AJ166" s="33">
        <v>1.9E-2</v>
      </c>
      <c r="AK166" s="218">
        <f t="shared" si="81"/>
        <v>8</v>
      </c>
      <c r="AL166" s="218">
        <f t="shared" si="82"/>
        <v>413</v>
      </c>
      <c r="AM166" s="38">
        <f t="shared" si="83"/>
        <v>21</v>
      </c>
      <c r="AN166" s="38">
        <f t="shared" si="84"/>
        <v>21</v>
      </c>
      <c r="AO166" s="38">
        <f t="shared" si="85"/>
        <v>0</v>
      </c>
      <c r="AP166" s="38" t="str">
        <f>IF(OR($C166="01-09",$D166="Male"),"",INDEX(PMTCT!$AD:$AD,MATCH($E166,PMTCT!$E:$E,0)))</f>
        <v/>
      </c>
      <c r="AQ166" s="38" t="str">
        <f>IF(OR($C166="01-09",$D166="Male"),"",INDEX(PMTCT!$AT:$AT,MATCH($E166,PMTCT!$E:$E,0)))</f>
        <v/>
      </c>
      <c r="AR166" s="38">
        <f>INDEX(TB!$Q:$Q,MATCH($E166,TB!$E:$E,0))</f>
        <v>37</v>
      </c>
      <c r="AS166" s="38" t="str">
        <f>IF(OR($C166="01-09",$C166="10-14",$D166="Female"),"",INDEX(VMMC!$AB:$AB,MATCH($E166,VMMC!$E:$E,0)))</f>
        <v/>
      </c>
      <c r="AT166" s="38">
        <f>IF(OR($C166="01-09",$C166="10-14"),"",INDEX(PrEP!$Q:$Q,MATCH($E166,PrEP!$E:$E,0)))</f>
        <v>108</v>
      </c>
      <c r="AU166" s="38">
        <f t="shared" si="86"/>
        <v>653</v>
      </c>
      <c r="AV166" s="38">
        <f t="shared" si="87"/>
        <v>674</v>
      </c>
      <c r="AW166" s="33">
        <f t="shared" si="88"/>
        <v>3.1157270029673591E-2</v>
      </c>
      <c r="AX166" s="38">
        <v>4325</v>
      </c>
      <c r="AY166" s="33">
        <f t="shared" si="95"/>
        <v>0.68</v>
      </c>
      <c r="AZ166" s="218">
        <f t="shared" si="89"/>
        <v>7266</v>
      </c>
      <c r="BA166" s="33">
        <v>0.61</v>
      </c>
      <c r="BB166" s="218">
        <f t="shared" si="90"/>
        <v>13</v>
      </c>
    </row>
    <row r="167" spans="1:54" x14ac:dyDescent="0.2">
      <c r="A167" t="str">
        <f>INDEX(Prioritization!$D:$D,MATCH($B167,Prioritization!$A:$A,0))</f>
        <v>1 - Scale-up: Saturation</v>
      </c>
      <c r="B167" t="s">
        <v>317</v>
      </c>
      <c r="C167" t="s">
        <v>477</v>
      </c>
      <c r="D167" t="s">
        <v>30</v>
      </c>
      <c r="E167" t="str">
        <f t="shared" si="66"/>
        <v>Machinga District [TYnMSwzko3z]|35-49|Female</v>
      </c>
      <c r="F167" s="33">
        <f>IF(LEFT($B167,4)="_Mil","",INDEX(Cascade!$AA:$AA,MATCH($E167,Cascade!$E:$E,0)))</f>
        <v>0.98380439700000011</v>
      </c>
      <c r="G167" s="38">
        <f>INDEX(Cascade!$BH:$BH,MATCH($E167,Cascade!$E:$E,0))</f>
        <v>280</v>
      </c>
      <c r="H167" s="38">
        <f>IF(OR($C167="01-09",$D167="Male"),"",INDEX(PMTCT!$AC:$AC,MATCH($E167,PMTCT!$E:$E,0)))</f>
        <v>25</v>
      </c>
      <c r="I167" s="38">
        <f>IF(OR($C167="01-09",$D167="Male"),"",INDEX(PMTCT!$AS:$AS,MATCH($E167,PMTCT!$E:$E,0)))</f>
        <v>23</v>
      </c>
      <c r="J167" s="38">
        <f>INDEX(TB!$P:$P,MATCH($E167,TB!$E:$E,0))</f>
        <v>2</v>
      </c>
      <c r="K167" s="38" t="str">
        <f>IF(OR($C167="01-09",$C167="10-14",$D167="Female"),"",INDEX(VMMC!$AA:$AA,MATCH($E167,VMMC!$E:$E,0)))</f>
        <v/>
      </c>
      <c r="L167" s="38">
        <f t="shared" si="67"/>
        <v>230</v>
      </c>
      <c r="M167" s="33">
        <f t="shared" si="68"/>
        <v>8.9285714285714288E-2</v>
      </c>
      <c r="N167" s="33">
        <f t="shared" si="69"/>
        <v>8.2142857142857142E-2</v>
      </c>
      <c r="O167" s="33">
        <f t="shared" si="70"/>
        <v>7.1428571428571426E-3</v>
      </c>
      <c r="P167" s="33" t="str">
        <f t="shared" si="71"/>
        <v/>
      </c>
      <c r="Q167" s="33">
        <v>0.25490196078431399</v>
      </c>
      <c r="R167" s="33">
        <v>0.05</v>
      </c>
      <c r="S167" s="33"/>
      <c r="T167" s="33">
        <v>0.05</v>
      </c>
      <c r="U167" s="33">
        <f t="shared" si="94"/>
        <v>0.46652661064425749</v>
      </c>
      <c r="V167" s="33">
        <f t="shared" si="72"/>
        <v>1</v>
      </c>
      <c r="W167" s="218">
        <f t="shared" si="73"/>
        <v>71</v>
      </c>
      <c r="X167" s="33">
        <v>0.10299999999999999</v>
      </c>
      <c r="Y167" s="218">
        <f t="shared" si="73"/>
        <v>71</v>
      </c>
      <c r="Z167" s="218">
        <f t="shared" si="74"/>
        <v>618</v>
      </c>
      <c r="AA167" s="33">
        <v>0.12</v>
      </c>
      <c r="AB167" s="218">
        <f t="shared" si="75"/>
        <v>14</v>
      </c>
      <c r="AC167" s="218">
        <f t="shared" si="76"/>
        <v>103</v>
      </c>
      <c r="AD167" s="33">
        <v>0.02</v>
      </c>
      <c r="AE167" s="218" t="str">
        <f t="shared" si="77"/>
        <v/>
      </c>
      <c r="AF167" s="218" t="str">
        <f t="shared" si="78"/>
        <v/>
      </c>
      <c r="AG167" s="33">
        <v>0.02</v>
      </c>
      <c r="AH167" s="218">
        <f t="shared" si="79"/>
        <v>14</v>
      </c>
      <c r="AI167" s="218">
        <f t="shared" si="80"/>
        <v>686</v>
      </c>
      <c r="AJ167" s="33">
        <v>2.5999999999999999E-2</v>
      </c>
      <c r="AK167" s="218">
        <f t="shared" si="81"/>
        <v>131</v>
      </c>
      <c r="AL167" s="218">
        <f t="shared" si="82"/>
        <v>4907</v>
      </c>
      <c r="AM167" s="38">
        <f t="shared" si="83"/>
        <v>280</v>
      </c>
      <c r="AN167" s="38">
        <f t="shared" si="84"/>
        <v>280</v>
      </c>
      <c r="AO167" s="38">
        <f t="shared" si="85"/>
        <v>0</v>
      </c>
      <c r="AP167" s="38">
        <f>IF(OR($C167="01-09",$D167="Male"),"",INDEX(PMTCT!$AD:$AD,MATCH($E167,PMTCT!$E:$E,0)))</f>
        <v>2584</v>
      </c>
      <c r="AQ167" s="38">
        <f>IF(OR($C167="01-09",$D167="Male"),"",INDEX(PMTCT!$AT:$AT,MATCH($E167,PMTCT!$E:$E,0)))</f>
        <v>2561</v>
      </c>
      <c r="AR167" s="38">
        <f>INDEX(TB!$Q:$Q,MATCH($E167,TB!$E:$E,0))</f>
        <v>36</v>
      </c>
      <c r="AS167" s="38" t="str">
        <f>IF(OR($C167="01-09",$C167="10-14",$D167="Female"),"",INDEX(VMMC!$AB:$AB,MATCH($E167,VMMC!$E:$E,0)))</f>
        <v/>
      </c>
      <c r="AT167" s="38">
        <f>IF(OR($C167="01-09",$C167="10-14"),"",INDEX(PrEP!$Q:$Q,MATCH($E167,PrEP!$E:$E,0)))</f>
        <v>388</v>
      </c>
      <c r="AU167" s="38">
        <f t="shared" si="86"/>
        <v>11883</v>
      </c>
      <c r="AV167" s="38">
        <f t="shared" si="87"/>
        <v>12163</v>
      </c>
      <c r="AW167" s="33">
        <f t="shared" si="88"/>
        <v>2.3020636356162132E-2</v>
      </c>
      <c r="AX167" s="38">
        <v>3431</v>
      </c>
      <c r="AY167" s="33">
        <f t="shared" si="95"/>
        <v>0.68</v>
      </c>
      <c r="AZ167" s="218">
        <f t="shared" si="89"/>
        <v>5764</v>
      </c>
      <c r="BA167" s="33">
        <v>0.61</v>
      </c>
      <c r="BB167" s="218">
        <f t="shared" si="90"/>
        <v>171</v>
      </c>
    </row>
    <row r="168" spans="1:54" x14ac:dyDescent="0.2">
      <c r="A168" t="str">
        <f>INDEX(Prioritization!$D:$D,MATCH($B168,Prioritization!$A:$A,0))</f>
        <v>1 - Scale-up: Saturation</v>
      </c>
      <c r="B168" t="s">
        <v>317</v>
      </c>
      <c r="C168" t="s">
        <v>477</v>
      </c>
      <c r="D168" t="s">
        <v>48</v>
      </c>
      <c r="E168" t="str">
        <f t="shared" si="66"/>
        <v>Machinga District [TYnMSwzko3z]|35-49|Male</v>
      </c>
      <c r="F168" s="33">
        <f>IF(LEFT($B168,4)="_Mil","",INDEX(Cascade!$AA:$AA,MATCH($E168,Cascade!$E:$E,0)))</f>
        <v>0.92580439999999986</v>
      </c>
      <c r="G168" s="38">
        <f>INDEX(Cascade!$BH:$BH,MATCH($E168,Cascade!$E:$E,0))</f>
        <v>89</v>
      </c>
      <c r="H168" s="38" t="str">
        <f>IF(OR($C168="01-09",$D168="Male"),"",INDEX(PMTCT!$AC:$AC,MATCH($E168,PMTCT!$E:$E,0)))</f>
        <v/>
      </c>
      <c r="I168" s="38" t="str">
        <f>IF(OR($C168="01-09",$D168="Male"),"",INDEX(PMTCT!$AS:$AS,MATCH($E168,PMTCT!$E:$E,0)))</f>
        <v/>
      </c>
      <c r="J168" s="38">
        <f>INDEX(TB!$P:$P,MATCH($E168,TB!$E:$E,0))</f>
        <v>4</v>
      </c>
      <c r="K168" s="38" t="str">
        <f>IF(OR($C168="01-09",$C168="10-14",$D168="Female"),"",INDEX(VMMC!$AA:$AA,MATCH($E168,VMMC!$E:$E,0)))</f>
        <v/>
      </c>
      <c r="L168" s="38">
        <f t="shared" si="67"/>
        <v>85</v>
      </c>
      <c r="M168" s="33" t="str">
        <f t="shared" si="68"/>
        <v/>
      </c>
      <c r="N168" s="33" t="str">
        <f t="shared" si="69"/>
        <v/>
      </c>
      <c r="O168" s="33">
        <f t="shared" si="70"/>
        <v>4.49438202247191E-2</v>
      </c>
      <c r="P168" s="33">
        <f t="shared" si="71"/>
        <v>0</v>
      </c>
      <c r="Q168" s="33">
        <v>0.4</v>
      </c>
      <c r="R168" s="33">
        <v>0.1</v>
      </c>
      <c r="S168" s="33"/>
      <c r="T168" s="33">
        <v>0.05</v>
      </c>
      <c r="U168" s="33">
        <f t="shared" si="94"/>
        <v>0.40505617977528086</v>
      </c>
      <c r="V168" s="33">
        <f t="shared" si="72"/>
        <v>1</v>
      </c>
      <c r="W168" s="218">
        <f t="shared" si="73"/>
        <v>36</v>
      </c>
      <c r="X168" s="33">
        <v>0.223</v>
      </c>
      <c r="Y168" s="218">
        <f t="shared" si="73"/>
        <v>36</v>
      </c>
      <c r="Z168" s="218">
        <f t="shared" si="74"/>
        <v>125</v>
      </c>
      <c r="AA168" s="33">
        <v>0.12</v>
      </c>
      <c r="AB168" s="218">
        <f t="shared" si="75"/>
        <v>9</v>
      </c>
      <c r="AC168" s="218">
        <f t="shared" si="76"/>
        <v>66</v>
      </c>
      <c r="AD168" s="33">
        <v>0.02</v>
      </c>
      <c r="AE168" s="218" t="str">
        <f t="shared" si="77"/>
        <v/>
      </c>
      <c r="AF168" s="218" t="str">
        <f t="shared" si="78"/>
        <v/>
      </c>
      <c r="AG168" s="33">
        <v>0.02</v>
      </c>
      <c r="AH168" s="218">
        <f t="shared" si="79"/>
        <v>4</v>
      </c>
      <c r="AI168" s="218">
        <f t="shared" si="80"/>
        <v>196</v>
      </c>
      <c r="AJ168" s="33">
        <v>4.4999999999999998E-2</v>
      </c>
      <c r="AK168" s="218">
        <f t="shared" si="81"/>
        <v>36</v>
      </c>
      <c r="AL168" s="218">
        <f t="shared" si="82"/>
        <v>764</v>
      </c>
      <c r="AM168" s="38">
        <f t="shared" si="83"/>
        <v>89</v>
      </c>
      <c r="AN168" s="38">
        <f t="shared" si="84"/>
        <v>89</v>
      </c>
      <c r="AO168" s="38">
        <f t="shared" si="85"/>
        <v>0</v>
      </c>
      <c r="AP168" s="38" t="str">
        <f>IF(OR($C168="01-09",$D168="Male"),"",INDEX(PMTCT!$AD:$AD,MATCH($E168,PMTCT!$E:$E,0)))</f>
        <v/>
      </c>
      <c r="AQ168" s="38" t="str">
        <f>IF(OR($C168="01-09",$D168="Male"),"",INDEX(PMTCT!$AT:$AT,MATCH($E168,PMTCT!$E:$E,0)))</f>
        <v/>
      </c>
      <c r="AR168" s="38">
        <f>INDEX(TB!$Q:$Q,MATCH($E168,TB!$E:$E,0))</f>
        <v>55</v>
      </c>
      <c r="AS168" s="38" t="str">
        <f>IF(OR($C168="01-09",$C168="10-14",$D168="Female"),"",INDEX(VMMC!$AB:$AB,MATCH($E168,VMMC!$E:$E,0)))</f>
        <v/>
      </c>
      <c r="AT168" s="38">
        <f>IF(OR($C168="01-09",$C168="10-14"),"",INDEX(PrEP!$Q:$Q,MATCH($E168,PrEP!$E:$E,0)))</f>
        <v>154</v>
      </c>
      <c r="AU168" s="38">
        <f t="shared" si="86"/>
        <v>1360</v>
      </c>
      <c r="AV168" s="38">
        <f t="shared" si="87"/>
        <v>1449</v>
      </c>
      <c r="AW168" s="33">
        <f t="shared" si="88"/>
        <v>6.1421670117322288E-2</v>
      </c>
      <c r="AX168" s="38">
        <v>2860</v>
      </c>
      <c r="AY168" s="33">
        <f t="shared" si="95"/>
        <v>0.68</v>
      </c>
      <c r="AZ168" s="218">
        <f t="shared" si="89"/>
        <v>4805</v>
      </c>
      <c r="BA168" s="33">
        <v>0.61</v>
      </c>
      <c r="BB168" s="218">
        <f t="shared" si="90"/>
        <v>54</v>
      </c>
    </row>
    <row r="169" spans="1:54" x14ac:dyDescent="0.2">
      <c r="A169" t="str">
        <f>INDEX(Prioritization!$D:$D,MATCH($B169,Prioritization!$A:$A,0))</f>
        <v>1 - Scale-up: Saturation</v>
      </c>
      <c r="B169" t="s">
        <v>317</v>
      </c>
      <c r="C169" t="s">
        <v>478</v>
      </c>
      <c r="D169" t="s">
        <v>30</v>
      </c>
      <c r="E169" t="str">
        <f t="shared" si="66"/>
        <v>Machinga District [TYnMSwzko3z]|50+|Female</v>
      </c>
      <c r="F169" s="33">
        <f>IF(LEFT($B169,4)="_Mil","",INDEX(Cascade!$AA:$AA,MATCH($E169,Cascade!$E:$E,0)))</f>
        <v>0.98894703500000003</v>
      </c>
      <c r="G169" s="38">
        <f>INDEX(Cascade!$BH:$BH,MATCH($E169,Cascade!$E:$E,0))</f>
        <v>179</v>
      </c>
      <c r="H169" s="38">
        <f>IF(OR($C169="01-09",$D169="Male"),"",INDEX(PMTCT!$AC:$AC,MATCH($E169,PMTCT!$E:$E,0)))</f>
        <v>0</v>
      </c>
      <c r="I169" s="38">
        <f>IF(OR($C169="01-09",$D169="Male"),"",INDEX(PMTCT!$AS:$AS,MATCH($E169,PMTCT!$E:$E,0)))</f>
        <v>0</v>
      </c>
      <c r="J169" s="38">
        <f>INDEX(TB!$P:$P,MATCH($E169,TB!$E:$E,0))</f>
        <v>1</v>
      </c>
      <c r="K169" s="38" t="str">
        <f>IF(OR($C169="01-09",$C169="10-14",$D169="Female"),"",INDEX(VMMC!$AA:$AA,MATCH($E169,VMMC!$E:$E,0)))</f>
        <v/>
      </c>
      <c r="L169" s="38">
        <f t="shared" si="67"/>
        <v>178</v>
      </c>
      <c r="M169" s="33">
        <f t="shared" si="68"/>
        <v>0</v>
      </c>
      <c r="N169" s="33">
        <f t="shared" si="69"/>
        <v>0</v>
      </c>
      <c r="O169" s="33">
        <f t="shared" si="70"/>
        <v>5.5865921787709499E-3</v>
      </c>
      <c r="P169" s="33" t="str">
        <f t="shared" si="71"/>
        <v/>
      </c>
      <c r="Q169" s="33">
        <v>0.15</v>
      </c>
      <c r="R169" s="33"/>
      <c r="S169" s="33"/>
      <c r="T169" s="33">
        <v>0.05</v>
      </c>
      <c r="U169" s="33">
        <f t="shared" si="94"/>
        <v>0.79441340782122905</v>
      </c>
      <c r="V169" s="33">
        <f t="shared" si="72"/>
        <v>1</v>
      </c>
      <c r="W169" s="218">
        <f t="shared" si="73"/>
        <v>27</v>
      </c>
      <c r="X169" s="33">
        <v>4.2999999999999997E-2</v>
      </c>
      <c r="Y169" s="218">
        <f t="shared" si="73"/>
        <v>27</v>
      </c>
      <c r="Z169" s="218">
        <f t="shared" si="74"/>
        <v>601</v>
      </c>
      <c r="AA169" s="33">
        <v>0.12</v>
      </c>
      <c r="AB169" s="218" t="str">
        <f t="shared" si="75"/>
        <v/>
      </c>
      <c r="AC169" s="218" t="str">
        <f t="shared" si="76"/>
        <v/>
      </c>
      <c r="AD169" s="33">
        <v>0.02</v>
      </c>
      <c r="AE169" s="218" t="str">
        <f t="shared" si="77"/>
        <v/>
      </c>
      <c r="AF169" s="218" t="str">
        <f t="shared" si="78"/>
        <v/>
      </c>
      <c r="AG169" s="33">
        <v>0.02</v>
      </c>
      <c r="AH169" s="218">
        <f t="shared" si="79"/>
        <v>9</v>
      </c>
      <c r="AI169" s="218">
        <f t="shared" si="80"/>
        <v>441</v>
      </c>
      <c r="AJ169" s="33">
        <v>2.9000000000000001E-2</v>
      </c>
      <c r="AK169" s="218">
        <f t="shared" si="81"/>
        <v>142</v>
      </c>
      <c r="AL169" s="218">
        <f t="shared" si="82"/>
        <v>4755</v>
      </c>
      <c r="AM169" s="38">
        <f t="shared" si="83"/>
        <v>179</v>
      </c>
      <c r="AN169" s="38">
        <f t="shared" si="84"/>
        <v>179</v>
      </c>
      <c r="AO169" s="38">
        <f t="shared" si="85"/>
        <v>0</v>
      </c>
      <c r="AP169" s="38">
        <f>IF(OR($C169="01-09",$D169="Male"),"",INDEX(PMTCT!$AD:$AD,MATCH($E169,PMTCT!$E:$E,0)))</f>
        <v>32</v>
      </c>
      <c r="AQ169" s="38">
        <f>IF(OR($C169="01-09",$D169="Male"),"",INDEX(PMTCT!$AT:$AT,MATCH($E169,PMTCT!$E:$E,0)))</f>
        <v>32</v>
      </c>
      <c r="AR169" s="38">
        <f>INDEX(TB!$Q:$Q,MATCH($E169,TB!$E:$E,0))</f>
        <v>13</v>
      </c>
      <c r="AS169" s="38" t="str">
        <f>IF(OR($C169="01-09",$C169="10-14",$D169="Female"),"",INDEX(VMMC!$AB:$AB,MATCH($E169,VMMC!$E:$E,0)))</f>
        <v/>
      </c>
      <c r="AT169" s="38">
        <f>IF(OR($C169="01-09",$C169="10-14"),"",INDEX(PrEP!$Q:$Q,MATCH($E169,PrEP!$E:$E,0)))</f>
        <v>54</v>
      </c>
      <c r="AU169" s="38">
        <f t="shared" si="86"/>
        <v>5928</v>
      </c>
      <c r="AV169" s="38">
        <f t="shared" si="87"/>
        <v>6107</v>
      </c>
      <c r="AW169" s="33">
        <f t="shared" si="88"/>
        <v>2.9310627149173079E-2</v>
      </c>
      <c r="AX169" s="38">
        <v>1028</v>
      </c>
      <c r="AY169" s="33">
        <f t="shared" si="91"/>
        <v>0</v>
      </c>
      <c r="AZ169" s="218">
        <f t="shared" si="89"/>
        <v>1028</v>
      </c>
      <c r="BA169" s="33">
        <v>0.61</v>
      </c>
      <c r="BB169" s="218">
        <f t="shared" si="90"/>
        <v>109</v>
      </c>
    </row>
    <row r="170" spans="1:54" x14ac:dyDescent="0.2">
      <c r="A170" t="str">
        <f>INDEX(Prioritization!$D:$D,MATCH($B170,Prioritization!$A:$A,0))</f>
        <v>1 - Scale-up: Saturation</v>
      </c>
      <c r="B170" t="s">
        <v>317</v>
      </c>
      <c r="C170" t="s">
        <v>478</v>
      </c>
      <c r="D170" t="s">
        <v>48</v>
      </c>
      <c r="E170" t="str">
        <f t="shared" si="66"/>
        <v>Machinga District [TYnMSwzko3z]|50+|Male</v>
      </c>
      <c r="F170" s="33">
        <f>IF(LEFT($B170,4)="_Mil","",INDEX(Cascade!$AA:$AA,MATCH($E170,Cascade!$E:$E,0)))</f>
        <v>0.949072837</v>
      </c>
      <c r="G170" s="38">
        <f>INDEX(Cascade!$BH:$BH,MATCH($E170,Cascade!$E:$E,0))</f>
        <v>107</v>
      </c>
      <c r="H170" s="38" t="str">
        <f>IF(OR($C170="01-09",$D170="Male"),"",INDEX(PMTCT!$AC:$AC,MATCH($E170,PMTCT!$E:$E,0)))</f>
        <v/>
      </c>
      <c r="I170" s="38" t="str">
        <f>IF(OR($C170="01-09",$D170="Male"),"",INDEX(PMTCT!$AS:$AS,MATCH($E170,PMTCT!$E:$E,0)))</f>
        <v/>
      </c>
      <c r="J170" s="38">
        <f>INDEX(TB!$P:$P,MATCH($E170,TB!$E:$E,0))</f>
        <v>1</v>
      </c>
      <c r="K170" s="38" t="str">
        <f>IF(OR($C170="01-09",$C170="10-14",$D170="Female"),"",INDEX(VMMC!$AA:$AA,MATCH($E170,VMMC!$E:$E,0)))</f>
        <v/>
      </c>
      <c r="L170" s="38">
        <f t="shared" si="67"/>
        <v>106</v>
      </c>
      <c r="M170" s="33" t="str">
        <f t="shared" si="68"/>
        <v/>
      </c>
      <c r="N170" s="33" t="str">
        <f t="shared" si="69"/>
        <v/>
      </c>
      <c r="O170" s="33">
        <f t="shared" si="70"/>
        <v>9.3457943925233638E-3</v>
      </c>
      <c r="P170" s="33">
        <f t="shared" si="71"/>
        <v>0</v>
      </c>
      <c r="Q170" s="33">
        <v>0.15</v>
      </c>
      <c r="R170" s="33"/>
      <c r="S170" s="33"/>
      <c r="T170" s="33">
        <v>0.05</v>
      </c>
      <c r="U170" s="33">
        <f t="shared" si="94"/>
        <v>0.79065420560747657</v>
      </c>
      <c r="V170" s="33">
        <f t="shared" si="72"/>
        <v>1</v>
      </c>
      <c r="W170" s="218">
        <f t="shared" si="73"/>
        <v>16</v>
      </c>
      <c r="X170" s="33">
        <v>0.11799999999999999</v>
      </c>
      <c r="Y170" s="218">
        <f t="shared" si="73"/>
        <v>16</v>
      </c>
      <c r="Z170" s="218">
        <f t="shared" si="74"/>
        <v>120</v>
      </c>
      <c r="AA170" s="33">
        <v>0.12</v>
      </c>
      <c r="AB170" s="218" t="str">
        <f t="shared" si="75"/>
        <v/>
      </c>
      <c r="AC170" s="218" t="str">
        <f t="shared" si="76"/>
        <v/>
      </c>
      <c r="AD170" s="33">
        <v>0.02</v>
      </c>
      <c r="AE170" s="218" t="str">
        <f t="shared" si="77"/>
        <v/>
      </c>
      <c r="AF170" s="218" t="str">
        <f t="shared" si="78"/>
        <v/>
      </c>
      <c r="AG170" s="33">
        <v>0.02</v>
      </c>
      <c r="AH170" s="218">
        <f t="shared" si="79"/>
        <v>5</v>
      </c>
      <c r="AI170" s="218">
        <f t="shared" si="80"/>
        <v>245</v>
      </c>
      <c r="AJ170" s="33">
        <v>3.7999999999999999E-2</v>
      </c>
      <c r="AK170" s="218">
        <f t="shared" si="81"/>
        <v>85</v>
      </c>
      <c r="AL170" s="218">
        <f t="shared" si="82"/>
        <v>2152</v>
      </c>
      <c r="AM170" s="38">
        <f t="shared" si="83"/>
        <v>107</v>
      </c>
      <c r="AN170" s="38">
        <f t="shared" si="84"/>
        <v>107.00000000000001</v>
      </c>
      <c r="AO170" s="38">
        <f t="shared" si="85"/>
        <v>1.4210854715202004E-14</v>
      </c>
      <c r="AP170" s="38" t="str">
        <f>IF(OR($C170="01-09",$D170="Male"),"",INDEX(PMTCT!$AD:$AD,MATCH($E170,PMTCT!$E:$E,0)))</f>
        <v/>
      </c>
      <c r="AQ170" s="38" t="str">
        <f>IF(OR($C170="01-09",$D170="Male"),"",INDEX(PMTCT!$AT:$AT,MATCH($E170,PMTCT!$E:$E,0)))</f>
        <v/>
      </c>
      <c r="AR170" s="38">
        <f>INDEX(TB!$Q:$Q,MATCH($E170,TB!$E:$E,0))</f>
        <v>19</v>
      </c>
      <c r="AS170" s="38" t="str">
        <f>IF(OR($C170="01-09",$C170="10-14",$D170="Female"),"",INDEX(VMMC!$AB:$AB,MATCH($E170,VMMC!$E:$E,0)))</f>
        <v/>
      </c>
      <c r="AT170" s="38">
        <f>IF(OR($C170="01-09",$C170="10-14"),"",INDEX(PrEP!$Q:$Q,MATCH($E170,PrEP!$E:$E,0)))</f>
        <v>96</v>
      </c>
      <c r="AU170" s="38">
        <f t="shared" si="86"/>
        <v>2632</v>
      </c>
      <c r="AV170" s="38">
        <f t="shared" si="87"/>
        <v>2739</v>
      </c>
      <c r="AW170" s="33">
        <f t="shared" si="88"/>
        <v>3.9065352318364374E-2</v>
      </c>
      <c r="AX170" s="38">
        <v>1162</v>
      </c>
      <c r="AY170" s="33">
        <f t="shared" si="91"/>
        <v>0</v>
      </c>
      <c r="AZ170" s="218">
        <f t="shared" si="89"/>
        <v>1162</v>
      </c>
      <c r="BA170" s="33">
        <v>0.61</v>
      </c>
      <c r="BB170" s="218">
        <f t="shared" si="90"/>
        <v>65</v>
      </c>
    </row>
    <row r="171" spans="1:54" x14ac:dyDescent="0.2">
      <c r="A171" t="str">
        <f>INDEX(Prioritization!$D:$D,MATCH($B171,Prioritization!$A:$A,0))</f>
        <v>1 - Scale-up: Saturation</v>
      </c>
      <c r="B171" t="s">
        <v>318</v>
      </c>
      <c r="C171" t="s">
        <v>473</v>
      </c>
      <c r="D171" t="s">
        <v>30</v>
      </c>
      <c r="E171" t="str">
        <f t="shared" si="66"/>
        <v>Mangochi District [lLDyBx5XyUi]|01-09|Female</v>
      </c>
      <c r="F171" s="33">
        <f>IF(LEFT($B171,4)="_Mil","",INDEX(Cascade!$AA:$AA,MATCH($E171,Cascade!$E:$E,0)))</f>
        <v>0.81526676399999998</v>
      </c>
      <c r="G171" s="38">
        <f>INDEX(Cascade!$BH:$BH,MATCH($E171,Cascade!$E:$E,0))</f>
        <v>44</v>
      </c>
      <c r="H171" s="38" t="str">
        <f>IF(OR($C171="01-09",$D171="Male"),"",INDEX(PMTCT!$AC:$AC,MATCH($E171,PMTCT!$E:$E,0)))</f>
        <v/>
      </c>
      <c r="I171" s="38" t="str">
        <f>IF(OR($C171="01-09",$D171="Male"),"",INDEX(PMTCT!$AS:$AS,MATCH($E171,PMTCT!$E:$E,0)))</f>
        <v/>
      </c>
      <c r="J171" s="38">
        <f>INDEX(TB!$P:$P,MATCH($E171,TB!$E:$E,0))</f>
        <v>1</v>
      </c>
      <c r="K171" s="38" t="str">
        <f>IF(OR($C171="01-09",$C171="10-14",$D171="Female"),"",INDEX(VMMC!$AA:$AA,MATCH($E171,VMMC!$E:$E,0)))</f>
        <v/>
      </c>
      <c r="L171" s="38">
        <f t="shared" si="67"/>
        <v>43</v>
      </c>
      <c r="M171" s="33" t="str">
        <f t="shared" si="68"/>
        <v/>
      </c>
      <c r="N171" s="33" t="str">
        <f t="shared" si="69"/>
        <v/>
      </c>
      <c r="O171" s="33">
        <f t="shared" si="70"/>
        <v>2.2727272727272728E-2</v>
      </c>
      <c r="P171" s="33" t="str">
        <f t="shared" si="71"/>
        <v/>
      </c>
      <c r="Q171" s="33">
        <v>0.47058823529411797</v>
      </c>
      <c r="R171" s="33"/>
      <c r="S171" s="33"/>
      <c r="T171" s="33"/>
      <c r="U171" s="33">
        <f t="shared" si="94"/>
        <v>0.50668449197860932</v>
      </c>
      <c r="V171" s="33">
        <f t="shared" si="72"/>
        <v>1</v>
      </c>
      <c r="W171" s="218">
        <f t="shared" si="73"/>
        <v>21</v>
      </c>
      <c r="X171" s="33">
        <v>3.5999999999999997E-2</v>
      </c>
      <c r="Y171" s="218">
        <f t="shared" si="73"/>
        <v>21</v>
      </c>
      <c r="Z171" s="218">
        <f t="shared" si="74"/>
        <v>562</v>
      </c>
      <c r="AA171" s="33">
        <v>0.12</v>
      </c>
      <c r="AB171" s="218" t="str">
        <f t="shared" si="75"/>
        <v/>
      </c>
      <c r="AC171" s="218" t="str">
        <f t="shared" si="76"/>
        <v/>
      </c>
      <c r="AD171" s="33">
        <v>0.02</v>
      </c>
      <c r="AE171" s="218" t="str">
        <f t="shared" si="77"/>
        <v/>
      </c>
      <c r="AF171" s="218" t="str">
        <f t="shared" si="78"/>
        <v/>
      </c>
      <c r="AG171" s="33">
        <v>0.02</v>
      </c>
      <c r="AH171" s="218" t="str">
        <f t="shared" si="79"/>
        <v/>
      </c>
      <c r="AI171" s="218" t="str">
        <f t="shared" si="80"/>
        <v/>
      </c>
      <c r="AJ171" s="33">
        <v>9.4999999999999998E-3</v>
      </c>
      <c r="AK171" s="218">
        <f t="shared" si="81"/>
        <v>22</v>
      </c>
      <c r="AL171" s="218">
        <f t="shared" si="82"/>
        <v>2294</v>
      </c>
      <c r="AM171" s="38">
        <f t="shared" si="83"/>
        <v>44</v>
      </c>
      <c r="AN171" s="38">
        <f t="shared" si="84"/>
        <v>44</v>
      </c>
      <c r="AO171" s="38">
        <f t="shared" si="85"/>
        <v>0</v>
      </c>
      <c r="AP171" s="38" t="str">
        <f>IF(OR($C171="01-09",$D171="Male"),"",INDEX(PMTCT!$AD:$AD,MATCH($E171,PMTCT!$E:$E,0)))</f>
        <v/>
      </c>
      <c r="AQ171" s="38" t="str">
        <f>IF(OR($C171="01-09",$D171="Male"),"",INDEX(PMTCT!$AT:$AT,MATCH($E171,PMTCT!$E:$E,0)))</f>
        <v/>
      </c>
      <c r="AR171" s="38">
        <f>INDEX(TB!$Q:$Q,MATCH($E171,TB!$E:$E,0))</f>
        <v>14</v>
      </c>
      <c r="AS171" s="38" t="str">
        <f>IF(OR($C171="01-09",$C171="10-14",$D171="Female"),"",INDEX(VMMC!$AB:$AB,MATCH($E171,VMMC!$E:$E,0)))</f>
        <v/>
      </c>
      <c r="AT171" s="38" t="str">
        <f>IF(OR($C171="01-09",$C171="10-14"),"",INDEX(PrEP!$Q:$Q,MATCH($E171,PrEP!$E:$E,0)))</f>
        <v/>
      </c>
      <c r="AU171" s="38">
        <f t="shared" si="86"/>
        <v>2870</v>
      </c>
      <c r="AV171" s="38">
        <f t="shared" si="87"/>
        <v>2914</v>
      </c>
      <c r="AW171" s="33">
        <f t="shared" si="88"/>
        <v>1.5099519560741249E-2</v>
      </c>
      <c r="AX171" s="38"/>
      <c r="AY171" s="33" t="str">
        <f t="shared" si="91"/>
        <v/>
      </c>
      <c r="AZ171" s="218" t="str">
        <f t="shared" si="89"/>
        <v/>
      </c>
      <c r="BA171" s="33" t="str">
        <f t="shared" si="92"/>
        <v/>
      </c>
      <c r="BB171" s="218" t="str">
        <f t="shared" si="90"/>
        <v/>
      </c>
    </row>
    <row r="172" spans="1:54" x14ac:dyDescent="0.2">
      <c r="A172" t="str">
        <f>INDEX(Prioritization!$D:$D,MATCH($B172,Prioritization!$A:$A,0))</f>
        <v>1 - Scale-up: Saturation</v>
      </c>
      <c r="B172" t="s">
        <v>318</v>
      </c>
      <c r="C172" t="s">
        <v>473</v>
      </c>
      <c r="D172" t="s">
        <v>48</v>
      </c>
      <c r="E172" t="str">
        <f t="shared" si="66"/>
        <v>Mangochi District [lLDyBx5XyUi]|01-09|Male</v>
      </c>
      <c r="F172" s="33">
        <f>IF(LEFT($B172,4)="_Mil","",INDEX(Cascade!$AA:$AA,MATCH($E172,Cascade!$E:$E,0)))</f>
        <v>0.81540460299999995</v>
      </c>
      <c r="G172" s="38">
        <f>INDEX(Cascade!$BH:$BH,MATCH($E172,Cascade!$E:$E,0))</f>
        <v>78</v>
      </c>
      <c r="H172" s="38" t="str">
        <f>IF(OR($C172="01-09",$D172="Male"),"",INDEX(PMTCT!$AC:$AC,MATCH($E172,PMTCT!$E:$E,0)))</f>
        <v/>
      </c>
      <c r="I172" s="38" t="str">
        <f>IF(OR($C172="01-09",$D172="Male"),"",INDEX(PMTCT!$AS:$AS,MATCH($E172,PMTCT!$E:$E,0)))</f>
        <v/>
      </c>
      <c r="J172" s="38">
        <f>INDEX(TB!$P:$P,MATCH($E172,TB!$E:$E,0))</f>
        <v>1</v>
      </c>
      <c r="K172" s="38" t="str">
        <f>IF(OR($C172="01-09",$C172="10-14",$D172="Female"),"",INDEX(VMMC!$AA:$AA,MATCH($E172,VMMC!$E:$E,0)))</f>
        <v/>
      </c>
      <c r="L172" s="38">
        <f t="shared" si="67"/>
        <v>77</v>
      </c>
      <c r="M172" s="33" t="str">
        <f t="shared" si="68"/>
        <v/>
      </c>
      <c r="N172" s="33" t="str">
        <f t="shared" si="69"/>
        <v/>
      </c>
      <c r="O172" s="33">
        <f t="shared" si="70"/>
        <v>1.282051282051282E-2</v>
      </c>
      <c r="P172" s="33" t="str">
        <f t="shared" si="71"/>
        <v/>
      </c>
      <c r="Q172" s="33">
        <v>0.43243243243243201</v>
      </c>
      <c r="R172" s="33"/>
      <c r="S172" s="33"/>
      <c r="T172" s="33"/>
      <c r="U172" s="33">
        <f t="shared" si="94"/>
        <v>0.55474705474705521</v>
      </c>
      <c r="V172" s="33">
        <f t="shared" si="72"/>
        <v>1</v>
      </c>
      <c r="W172" s="218">
        <f t="shared" si="73"/>
        <v>34</v>
      </c>
      <c r="X172" s="33">
        <v>3.7999999999999999E-2</v>
      </c>
      <c r="Y172" s="218">
        <f t="shared" si="73"/>
        <v>34</v>
      </c>
      <c r="Z172" s="218">
        <f t="shared" si="74"/>
        <v>861</v>
      </c>
      <c r="AA172" s="33">
        <v>0.12</v>
      </c>
      <c r="AB172" s="218" t="str">
        <f t="shared" si="75"/>
        <v/>
      </c>
      <c r="AC172" s="218" t="str">
        <f t="shared" si="76"/>
        <v/>
      </c>
      <c r="AD172" s="33">
        <v>0.02</v>
      </c>
      <c r="AE172" s="218" t="str">
        <f t="shared" si="77"/>
        <v/>
      </c>
      <c r="AF172" s="218" t="str">
        <f t="shared" si="78"/>
        <v/>
      </c>
      <c r="AG172" s="33">
        <v>0.02</v>
      </c>
      <c r="AH172" s="218" t="str">
        <f t="shared" si="79"/>
        <v/>
      </c>
      <c r="AI172" s="218" t="str">
        <f t="shared" si="80"/>
        <v/>
      </c>
      <c r="AJ172" s="33">
        <v>7.0000000000000001E-3</v>
      </c>
      <c r="AK172" s="218">
        <f t="shared" si="81"/>
        <v>43</v>
      </c>
      <c r="AL172" s="218">
        <f t="shared" si="82"/>
        <v>6100</v>
      </c>
      <c r="AM172" s="38">
        <f t="shared" si="83"/>
        <v>78</v>
      </c>
      <c r="AN172" s="38">
        <f t="shared" si="84"/>
        <v>78</v>
      </c>
      <c r="AO172" s="38">
        <f t="shared" si="85"/>
        <v>0</v>
      </c>
      <c r="AP172" s="38" t="str">
        <f>IF(OR($C172="01-09",$D172="Male"),"",INDEX(PMTCT!$AD:$AD,MATCH($E172,PMTCT!$E:$E,0)))</f>
        <v/>
      </c>
      <c r="AQ172" s="38" t="str">
        <f>IF(OR($C172="01-09",$D172="Male"),"",INDEX(PMTCT!$AT:$AT,MATCH($E172,PMTCT!$E:$E,0)))</f>
        <v/>
      </c>
      <c r="AR172" s="38">
        <f>INDEX(TB!$Q:$Q,MATCH($E172,TB!$E:$E,0))</f>
        <v>14</v>
      </c>
      <c r="AS172" s="38" t="str">
        <f>IF(OR($C172="01-09",$C172="10-14",$D172="Female"),"",INDEX(VMMC!$AB:$AB,MATCH($E172,VMMC!$E:$E,0)))</f>
        <v/>
      </c>
      <c r="AT172" s="38" t="str">
        <f>IF(OR($C172="01-09",$C172="10-14"),"",INDEX(PrEP!$Q:$Q,MATCH($E172,PrEP!$E:$E,0)))</f>
        <v/>
      </c>
      <c r="AU172" s="38">
        <f t="shared" si="86"/>
        <v>6975</v>
      </c>
      <c r="AV172" s="38">
        <f t="shared" si="87"/>
        <v>7053</v>
      </c>
      <c r="AW172" s="33">
        <f t="shared" si="88"/>
        <v>1.105912377711612E-2</v>
      </c>
      <c r="AX172" s="38"/>
      <c r="AY172" s="33" t="str">
        <f t="shared" si="91"/>
        <v/>
      </c>
      <c r="AZ172" s="218" t="str">
        <f t="shared" si="89"/>
        <v/>
      </c>
      <c r="BA172" s="33" t="str">
        <f t="shared" si="92"/>
        <v/>
      </c>
      <c r="BB172" s="218" t="str">
        <f t="shared" si="90"/>
        <v/>
      </c>
    </row>
    <row r="173" spans="1:54" x14ac:dyDescent="0.2">
      <c r="A173" t="str">
        <f>INDEX(Prioritization!$D:$D,MATCH($B173,Prioritization!$A:$A,0))</f>
        <v>1 - Scale-up: Saturation</v>
      </c>
      <c r="B173" t="s">
        <v>318</v>
      </c>
      <c r="C173" t="s">
        <v>474</v>
      </c>
      <c r="D173" t="s">
        <v>30</v>
      </c>
      <c r="E173" t="str">
        <f t="shared" si="66"/>
        <v>Mangochi District [lLDyBx5XyUi]|10-14|Female</v>
      </c>
      <c r="F173" s="33">
        <f>IF(LEFT($B173,4)="_Mil","",INDEX(Cascade!$AA:$AA,MATCH($E173,Cascade!$E:$E,0)))</f>
        <v>0.84063538999999998</v>
      </c>
      <c r="G173" s="38">
        <f>INDEX(Cascade!$BH:$BH,MATCH($E173,Cascade!$E:$E,0))</f>
        <v>92</v>
      </c>
      <c r="H173" s="38">
        <f>IF(OR($C173="01-09",$D173="Male"),"",INDEX(PMTCT!$AC:$AC,MATCH($E173,PMTCT!$E:$E,0)))</f>
        <v>1</v>
      </c>
      <c r="I173" s="38">
        <f>IF(OR($C173="01-09",$D173="Male"),"",INDEX(PMTCT!$AS:$AS,MATCH($E173,PMTCT!$E:$E,0)))</f>
        <v>1</v>
      </c>
      <c r="J173" s="38">
        <f>INDEX(TB!$P:$P,MATCH($E173,TB!$E:$E,0))</f>
        <v>0</v>
      </c>
      <c r="K173" s="38" t="str">
        <f>IF(OR($C173="01-09",$C173="10-14",$D173="Female"),"",INDEX(VMMC!$AA:$AA,MATCH($E173,VMMC!$E:$E,0)))</f>
        <v/>
      </c>
      <c r="L173" s="38">
        <f t="shared" si="67"/>
        <v>90</v>
      </c>
      <c r="M173" s="33">
        <f t="shared" si="68"/>
        <v>1.0869565217391304E-2</v>
      </c>
      <c r="N173" s="33">
        <f t="shared" si="69"/>
        <v>1.0869565217391304E-2</v>
      </c>
      <c r="O173" s="33">
        <f t="shared" si="70"/>
        <v>0</v>
      </c>
      <c r="P173" s="33" t="str">
        <f t="shared" si="71"/>
        <v/>
      </c>
      <c r="Q173" s="33">
        <v>0.44444444444444398</v>
      </c>
      <c r="R173" s="33"/>
      <c r="S173" s="33"/>
      <c r="T173" s="33"/>
      <c r="U173" s="33">
        <f t="shared" si="94"/>
        <v>0.53381642512077343</v>
      </c>
      <c r="V173" s="33">
        <f t="shared" si="72"/>
        <v>1</v>
      </c>
      <c r="W173" s="218">
        <f t="shared" si="73"/>
        <v>41</v>
      </c>
      <c r="X173" s="33">
        <v>1.2E-2</v>
      </c>
      <c r="Y173" s="218">
        <f t="shared" si="73"/>
        <v>41</v>
      </c>
      <c r="Z173" s="218">
        <f t="shared" si="74"/>
        <v>3376</v>
      </c>
      <c r="AA173" s="33">
        <v>0.12</v>
      </c>
      <c r="AB173" s="218" t="str">
        <f t="shared" si="75"/>
        <v/>
      </c>
      <c r="AC173" s="218" t="str">
        <f t="shared" si="76"/>
        <v/>
      </c>
      <c r="AD173" s="33">
        <v>0.02</v>
      </c>
      <c r="AE173" s="218" t="str">
        <f t="shared" si="77"/>
        <v/>
      </c>
      <c r="AF173" s="218" t="str">
        <f t="shared" si="78"/>
        <v/>
      </c>
      <c r="AG173" s="33">
        <v>0.02</v>
      </c>
      <c r="AH173" s="218" t="str">
        <f t="shared" si="79"/>
        <v/>
      </c>
      <c r="AI173" s="218" t="str">
        <f t="shared" si="80"/>
        <v/>
      </c>
      <c r="AJ173" s="33">
        <v>6.0000000000000001E-3</v>
      </c>
      <c r="AK173" s="218">
        <f t="shared" si="81"/>
        <v>49</v>
      </c>
      <c r="AL173" s="218">
        <f t="shared" si="82"/>
        <v>8118</v>
      </c>
      <c r="AM173" s="38">
        <f t="shared" si="83"/>
        <v>92</v>
      </c>
      <c r="AN173" s="38">
        <f t="shared" si="84"/>
        <v>92</v>
      </c>
      <c r="AO173" s="38">
        <f t="shared" si="85"/>
        <v>0</v>
      </c>
      <c r="AP173" s="38">
        <f>IF(OR($C173="01-09",$D173="Male"),"",INDEX(PMTCT!$AD:$AD,MATCH($E173,PMTCT!$E:$E,0)))</f>
        <v>173</v>
      </c>
      <c r="AQ173" s="38">
        <f>IF(OR($C173="01-09",$D173="Male"),"",INDEX(PMTCT!$AT:$AT,MATCH($E173,PMTCT!$E:$E,0)))</f>
        <v>172</v>
      </c>
      <c r="AR173" s="38">
        <f>INDEX(TB!$Q:$Q,MATCH($E173,TB!$E:$E,0))</f>
        <v>8</v>
      </c>
      <c r="AS173" s="38" t="str">
        <f>IF(OR($C173="01-09",$C173="10-14",$D173="Female"),"",INDEX(VMMC!$AB:$AB,MATCH($E173,VMMC!$E:$E,0)))</f>
        <v/>
      </c>
      <c r="AT173" s="38" t="str">
        <f>IF(OR($C173="01-09",$C173="10-14"),"",INDEX(PrEP!$Q:$Q,MATCH($E173,PrEP!$E:$E,0)))</f>
        <v/>
      </c>
      <c r="AU173" s="38">
        <f t="shared" si="86"/>
        <v>11847</v>
      </c>
      <c r="AV173" s="38">
        <f t="shared" si="87"/>
        <v>11939</v>
      </c>
      <c r="AW173" s="33">
        <f t="shared" si="88"/>
        <v>7.7058380098835744E-3</v>
      </c>
      <c r="AX173" s="38"/>
      <c r="AY173" s="33" t="str">
        <f t="shared" si="91"/>
        <v/>
      </c>
      <c r="AZ173" s="218" t="str">
        <f t="shared" si="89"/>
        <v/>
      </c>
      <c r="BA173" s="33" t="str">
        <f t="shared" si="92"/>
        <v/>
      </c>
      <c r="BB173" s="218" t="str">
        <f t="shared" si="90"/>
        <v/>
      </c>
    </row>
    <row r="174" spans="1:54" x14ac:dyDescent="0.2">
      <c r="A174" t="str">
        <f>INDEX(Prioritization!$D:$D,MATCH($B174,Prioritization!$A:$A,0))</f>
        <v>1 - Scale-up: Saturation</v>
      </c>
      <c r="B174" t="s">
        <v>318</v>
      </c>
      <c r="C174" t="s">
        <v>474</v>
      </c>
      <c r="D174" t="s">
        <v>48</v>
      </c>
      <c r="E174" t="str">
        <f t="shared" si="66"/>
        <v>Mangochi District [lLDyBx5XyUi]|10-14|Male</v>
      </c>
      <c r="F174" s="33">
        <f>IF(LEFT($B174,4)="_Mil","",INDEX(Cascade!$AA:$AA,MATCH($E174,Cascade!$E:$E,0)))</f>
        <v>0.840516873</v>
      </c>
      <c r="G174" s="38">
        <f>INDEX(Cascade!$BH:$BH,MATCH($E174,Cascade!$E:$E,0))</f>
        <v>22</v>
      </c>
      <c r="H174" s="38" t="str">
        <f>IF(OR($C174="01-09",$D174="Male"),"",INDEX(PMTCT!$AC:$AC,MATCH($E174,PMTCT!$E:$E,0)))</f>
        <v/>
      </c>
      <c r="I174" s="38" t="str">
        <f>IF(OR($C174="01-09",$D174="Male"),"",INDEX(PMTCT!$AS:$AS,MATCH($E174,PMTCT!$E:$E,0)))</f>
        <v/>
      </c>
      <c r="J174" s="38">
        <f>INDEX(TB!$P:$P,MATCH($E174,TB!$E:$E,0))</f>
        <v>0</v>
      </c>
      <c r="K174" s="38" t="str">
        <f>IF(OR($C174="01-09",$C174="10-14",$D174="Female"),"",INDEX(VMMC!$AA:$AA,MATCH($E174,VMMC!$E:$E,0)))</f>
        <v/>
      </c>
      <c r="L174" s="38">
        <f t="shared" si="67"/>
        <v>22</v>
      </c>
      <c r="M174" s="33" t="str">
        <f t="shared" si="68"/>
        <v/>
      </c>
      <c r="N174" s="33" t="str">
        <f t="shared" si="69"/>
        <v/>
      </c>
      <c r="O174" s="33">
        <f t="shared" si="70"/>
        <v>0</v>
      </c>
      <c r="P174" s="33" t="str">
        <f t="shared" si="71"/>
        <v/>
      </c>
      <c r="Q174" s="33">
        <v>0.56589147286821695</v>
      </c>
      <c r="R174" s="33"/>
      <c r="S174" s="33"/>
      <c r="T174" s="33"/>
      <c r="U174" s="33">
        <f t="shared" si="94"/>
        <v>0.43410852713178305</v>
      </c>
      <c r="V174" s="33">
        <f t="shared" si="72"/>
        <v>1</v>
      </c>
      <c r="W174" s="218">
        <f t="shared" si="73"/>
        <v>12</v>
      </c>
      <c r="X174" s="33">
        <v>1.4E-2</v>
      </c>
      <c r="Y174" s="218">
        <f t="shared" si="73"/>
        <v>12</v>
      </c>
      <c r="Z174" s="218">
        <f t="shared" si="74"/>
        <v>845</v>
      </c>
      <c r="AA174" s="33">
        <v>0.12</v>
      </c>
      <c r="AB174" s="218" t="str">
        <f t="shared" si="75"/>
        <v/>
      </c>
      <c r="AC174" s="218" t="str">
        <f t="shared" si="76"/>
        <v/>
      </c>
      <c r="AD174" s="33">
        <v>0.02</v>
      </c>
      <c r="AE174" s="218" t="str">
        <f t="shared" si="77"/>
        <v/>
      </c>
      <c r="AF174" s="218" t="str">
        <f t="shared" si="78"/>
        <v/>
      </c>
      <c r="AG174" s="33">
        <v>0.02</v>
      </c>
      <c r="AH174" s="218" t="str">
        <f t="shared" si="79"/>
        <v/>
      </c>
      <c r="AI174" s="218" t="str">
        <f t="shared" si="80"/>
        <v/>
      </c>
      <c r="AJ174" s="33">
        <v>1.2E-2</v>
      </c>
      <c r="AK174" s="218">
        <f t="shared" si="81"/>
        <v>10</v>
      </c>
      <c r="AL174" s="218">
        <f t="shared" si="82"/>
        <v>823</v>
      </c>
      <c r="AM174" s="38">
        <f t="shared" si="83"/>
        <v>22</v>
      </c>
      <c r="AN174" s="38">
        <f t="shared" si="84"/>
        <v>22</v>
      </c>
      <c r="AO174" s="38">
        <f t="shared" si="85"/>
        <v>0</v>
      </c>
      <c r="AP174" s="38" t="str">
        <f>IF(OR($C174="01-09",$D174="Male"),"",INDEX(PMTCT!$AD:$AD,MATCH($E174,PMTCT!$E:$E,0)))</f>
        <v/>
      </c>
      <c r="AQ174" s="38" t="str">
        <f>IF(OR($C174="01-09",$D174="Male"),"",INDEX(PMTCT!$AT:$AT,MATCH($E174,PMTCT!$E:$E,0)))</f>
        <v/>
      </c>
      <c r="AR174" s="38">
        <f>INDEX(TB!$Q:$Q,MATCH($E174,TB!$E:$E,0))</f>
        <v>8</v>
      </c>
      <c r="AS174" s="38" t="str">
        <f>IF(OR($C174="01-09",$C174="10-14",$D174="Female"),"",INDEX(VMMC!$AB:$AB,MATCH($E174,VMMC!$E:$E,0)))</f>
        <v/>
      </c>
      <c r="AT174" s="38" t="str">
        <f>IF(OR($C174="01-09",$C174="10-14"),"",INDEX(PrEP!$Q:$Q,MATCH($E174,PrEP!$E:$E,0)))</f>
        <v/>
      </c>
      <c r="AU174" s="38">
        <f t="shared" si="86"/>
        <v>1676</v>
      </c>
      <c r="AV174" s="38">
        <f t="shared" si="87"/>
        <v>1698.0000000000002</v>
      </c>
      <c r="AW174" s="33">
        <f t="shared" si="88"/>
        <v>1.2956419316843343E-2</v>
      </c>
      <c r="AX174" s="38"/>
      <c r="AY174" s="33" t="str">
        <f t="shared" si="91"/>
        <v/>
      </c>
      <c r="AZ174" s="218" t="str">
        <f t="shared" si="89"/>
        <v/>
      </c>
      <c r="BA174" s="33" t="str">
        <f t="shared" si="92"/>
        <v/>
      </c>
      <c r="BB174" s="218" t="str">
        <f t="shared" si="90"/>
        <v/>
      </c>
    </row>
    <row r="175" spans="1:54" x14ac:dyDescent="0.2">
      <c r="A175" t="str">
        <f>INDEX(Prioritization!$D:$D,MATCH($B175,Prioritization!$A:$A,0))</f>
        <v>1 - Scale-up: Saturation</v>
      </c>
      <c r="B175" t="s">
        <v>318</v>
      </c>
      <c r="C175" t="s">
        <v>475</v>
      </c>
      <c r="D175" t="s">
        <v>30</v>
      </c>
      <c r="E175" t="str">
        <f t="shared" si="66"/>
        <v>Mangochi District [lLDyBx5XyUi]|15-24|Female</v>
      </c>
      <c r="F175" s="33">
        <f>IF(LEFT($B175,4)="_Mil","",INDEX(Cascade!$AA:$AA,MATCH($E175,Cascade!$E:$E,0)))</f>
        <v>0.94357294599999997</v>
      </c>
      <c r="G175" s="38">
        <f>INDEX(Cascade!$BH:$BH,MATCH($E175,Cascade!$E:$E,0))</f>
        <v>574</v>
      </c>
      <c r="H175" s="38">
        <f>IF(OR($C175="01-09",$D175="Male"),"",INDEX(PMTCT!$AC:$AC,MATCH($E175,PMTCT!$E:$E,0)))</f>
        <v>227</v>
      </c>
      <c r="I175" s="38">
        <f>IF(OR($C175="01-09",$D175="Male"),"",INDEX(PMTCT!$AS:$AS,MATCH($E175,PMTCT!$E:$E,0)))</f>
        <v>122</v>
      </c>
      <c r="J175" s="38">
        <f>INDEX(TB!$P:$P,MATCH($E175,TB!$E:$E,0))</f>
        <v>2</v>
      </c>
      <c r="K175" s="38" t="str">
        <f>IF(OR($C175="01-09",$C175="10-14",$D175="Female"),"",INDEX(VMMC!$AA:$AA,MATCH($E175,VMMC!$E:$E,0)))</f>
        <v/>
      </c>
      <c r="L175" s="38">
        <f t="shared" si="67"/>
        <v>223</v>
      </c>
      <c r="M175" s="33">
        <f t="shared" si="68"/>
        <v>0.39547038327526135</v>
      </c>
      <c r="N175" s="33">
        <f t="shared" si="69"/>
        <v>0.21254355400696864</v>
      </c>
      <c r="O175" s="33">
        <f t="shared" si="70"/>
        <v>3.4843205574912892E-3</v>
      </c>
      <c r="P175" s="33" t="str">
        <f t="shared" si="71"/>
        <v/>
      </c>
      <c r="Q175" s="33">
        <v>0.25</v>
      </c>
      <c r="R175" s="33">
        <v>2.7E-2</v>
      </c>
      <c r="S175" s="33"/>
      <c r="T175" s="33">
        <v>0.05</v>
      </c>
      <c r="U175" s="33">
        <f t="shared" si="94"/>
        <v>6.1501742160278705E-2</v>
      </c>
      <c r="V175" s="33">
        <f t="shared" si="72"/>
        <v>1</v>
      </c>
      <c r="W175" s="218">
        <f t="shared" si="73"/>
        <v>144</v>
      </c>
      <c r="X175" s="33">
        <v>0.15</v>
      </c>
      <c r="Y175" s="218">
        <f t="shared" si="73"/>
        <v>144</v>
      </c>
      <c r="Z175" s="218">
        <f t="shared" si="74"/>
        <v>816</v>
      </c>
      <c r="AA175" s="33">
        <v>0.12</v>
      </c>
      <c r="AB175" s="218">
        <f t="shared" si="75"/>
        <v>15</v>
      </c>
      <c r="AC175" s="218">
        <f t="shared" si="76"/>
        <v>110</v>
      </c>
      <c r="AD175" s="33">
        <v>0.02</v>
      </c>
      <c r="AE175" s="218" t="str">
        <f t="shared" si="77"/>
        <v/>
      </c>
      <c r="AF175" s="218" t="str">
        <f t="shared" si="78"/>
        <v/>
      </c>
      <c r="AG175" s="33">
        <v>0.02</v>
      </c>
      <c r="AH175" s="218">
        <f t="shared" si="79"/>
        <v>29</v>
      </c>
      <c r="AI175" s="218">
        <f t="shared" si="80"/>
        <v>1421</v>
      </c>
      <c r="AJ175" s="33">
        <v>8.9999999999999993E-3</v>
      </c>
      <c r="AK175" s="218">
        <f t="shared" si="81"/>
        <v>35</v>
      </c>
      <c r="AL175" s="218">
        <f t="shared" si="82"/>
        <v>3854</v>
      </c>
      <c r="AM175" s="38">
        <f t="shared" si="83"/>
        <v>574</v>
      </c>
      <c r="AN175" s="38">
        <f t="shared" si="84"/>
        <v>574</v>
      </c>
      <c r="AO175" s="38">
        <f t="shared" si="85"/>
        <v>0</v>
      </c>
      <c r="AP175" s="38">
        <f>IF(OR($C175="01-09",$D175="Male"),"",INDEX(PMTCT!$AD:$AD,MATCH($E175,PMTCT!$E:$E,0)))</f>
        <v>30457</v>
      </c>
      <c r="AQ175" s="38">
        <f>IF(OR($C175="01-09",$D175="Male"),"",INDEX(PMTCT!$AT:$AT,MATCH($E175,PMTCT!$E:$E,0)))</f>
        <v>30335</v>
      </c>
      <c r="AR175" s="38">
        <f>INDEX(TB!$Q:$Q,MATCH($E175,TB!$E:$E,0))</f>
        <v>37</v>
      </c>
      <c r="AS175" s="38" t="str">
        <f>IF(OR($C175="01-09",$C175="10-14",$D175="Female"),"",INDEX(VMMC!$AB:$AB,MATCH($E175,VMMC!$E:$E,0)))</f>
        <v/>
      </c>
      <c r="AT175" s="38">
        <f>IF(OR($C175="01-09",$C175="10-14"),"",INDEX(PrEP!$Q:$Q,MATCH($E175,PrEP!$E:$E,0)))</f>
        <v>3624</v>
      </c>
      <c r="AU175" s="38">
        <f t="shared" si="86"/>
        <v>70654</v>
      </c>
      <c r="AV175" s="38">
        <f t="shared" si="87"/>
        <v>71228</v>
      </c>
      <c r="AW175" s="33">
        <f t="shared" si="88"/>
        <v>8.0586286291907672E-3</v>
      </c>
      <c r="AX175" s="38">
        <v>10548</v>
      </c>
      <c r="AY175" s="33">
        <f t="shared" ref="AY175:AY180" si="96">IF(OR($C175="01-09",SUM($AX175)=0),"",68%)</f>
        <v>0.68</v>
      </c>
      <c r="AZ175" s="218">
        <f t="shared" si="89"/>
        <v>17721</v>
      </c>
      <c r="BA175" s="33">
        <v>0.62</v>
      </c>
      <c r="BB175" s="218">
        <f t="shared" si="90"/>
        <v>356</v>
      </c>
    </row>
    <row r="176" spans="1:54" x14ac:dyDescent="0.2">
      <c r="A176" t="str">
        <f>INDEX(Prioritization!$D:$D,MATCH($B176,Prioritization!$A:$A,0))</f>
        <v>1 - Scale-up: Saturation</v>
      </c>
      <c r="B176" t="s">
        <v>318</v>
      </c>
      <c r="C176" t="s">
        <v>475</v>
      </c>
      <c r="D176" t="s">
        <v>48</v>
      </c>
      <c r="E176" t="str">
        <f t="shared" si="66"/>
        <v>Mangochi District [lLDyBx5XyUi]|15-24|Male</v>
      </c>
      <c r="F176" s="33">
        <f>IF(LEFT($B176,4)="_Mil","",INDEX(Cascade!$AA:$AA,MATCH($E176,Cascade!$E:$E,0)))</f>
        <v>0.91517324900000008</v>
      </c>
      <c r="G176" s="38">
        <f>INDEX(Cascade!$BH:$BH,MATCH($E176,Cascade!$E:$E,0))</f>
        <v>117</v>
      </c>
      <c r="H176" s="38" t="str">
        <f>IF(OR($C176="01-09",$D176="Male"),"",INDEX(PMTCT!$AC:$AC,MATCH($E176,PMTCT!$E:$E,0)))</f>
        <v/>
      </c>
      <c r="I176" s="38" t="str">
        <f>IF(OR($C176="01-09",$D176="Male"),"",INDEX(PMTCT!$AS:$AS,MATCH($E176,PMTCT!$E:$E,0)))</f>
        <v/>
      </c>
      <c r="J176" s="38">
        <f>INDEX(TB!$P:$P,MATCH($E176,TB!$E:$E,0))</f>
        <v>4</v>
      </c>
      <c r="K176" s="38" t="str">
        <f>IF(OR($C176="01-09",$C176="10-14",$D176="Female"),"",INDEX(VMMC!$AA:$AA,MATCH($E176,VMMC!$E:$E,0)))</f>
        <v/>
      </c>
      <c r="L176" s="38">
        <f t="shared" si="67"/>
        <v>113</v>
      </c>
      <c r="M176" s="33" t="str">
        <f t="shared" si="68"/>
        <v/>
      </c>
      <c r="N176" s="33" t="str">
        <f t="shared" si="69"/>
        <v/>
      </c>
      <c r="O176" s="33">
        <f t="shared" si="70"/>
        <v>3.4188034188034191E-2</v>
      </c>
      <c r="P176" s="33">
        <f t="shared" si="71"/>
        <v>0</v>
      </c>
      <c r="Q176" s="33">
        <v>0.32867132867132898</v>
      </c>
      <c r="R176" s="33">
        <v>0.12</v>
      </c>
      <c r="S176" s="33"/>
      <c r="T176" s="33">
        <v>0.05</v>
      </c>
      <c r="U176" s="33">
        <f t="shared" si="94"/>
        <v>0.46714063714063681</v>
      </c>
      <c r="V176" s="33">
        <f t="shared" si="72"/>
        <v>1</v>
      </c>
      <c r="W176" s="218">
        <f t="shared" si="73"/>
        <v>38</v>
      </c>
      <c r="X176" s="33">
        <v>6.6000000000000003E-2</v>
      </c>
      <c r="Y176" s="218">
        <f t="shared" si="73"/>
        <v>38</v>
      </c>
      <c r="Z176" s="218">
        <f t="shared" si="74"/>
        <v>538</v>
      </c>
      <c r="AA176" s="33">
        <v>0.12</v>
      </c>
      <c r="AB176" s="218">
        <f t="shared" si="75"/>
        <v>14</v>
      </c>
      <c r="AC176" s="218">
        <f t="shared" si="76"/>
        <v>103</v>
      </c>
      <c r="AD176" s="33">
        <v>0.02</v>
      </c>
      <c r="AE176" s="218" t="str">
        <f t="shared" si="77"/>
        <v/>
      </c>
      <c r="AF176" s="218" t="str">
        <f t="shared" si="78"/>
        <v/>
      </c>
      <c r="AG176" s="33">
        <v>0.02</v>
      </c>
      <c r="AH176" s="218">
        <f t="shared" si="79"/>
        <v>6</v>
      </c>
      <c r="AI176" s="218">
        <f t="shared" si="80"/>
        <v>294</v>
      </c>
      <c r="AJ176" s="33">
        <v>5.4000000000000003E-3</v>
      </c>
      <c r="AK176" s="218">
        <f t="shared" si="81"/>
        <v>55</v>
      </c>
      <c r="AL176" s="218">
        <f t="shared" si="82"/>
        <v>10130</v>
      </c>
      <c r="AM176" s="38">
        <f t="shared" si="83"/>
        <v>117</v>
      </c>
      <c r="AN176" s="38">
        <f t="shared" si="84"/>
        <v>116.99999999999999</v>
      </c>
      <c r="AO176" s="38">
        <f t="shared" si="85"/>
        <v>-1.4210854715202004E-14</v>
      </c>
      <c r="AP176" s="38" t="str">
        <f>IF(OR($C176="01-09",$D176="Male"),"",INDEX(PMTCT!$AD:$AD,MATCH($E176,PMTCT!$E:$E,0)))</f>
        <v/>
      </c>
      <c r="AQ176" s="38" t="str">
        <f>IF(OR($C176="01-09",$D176="Male"),"",INDEX(PMTCT!$AT:$AT,MATCH($E176,PMTCT!$E:$E,0)))</f>
        <v/>
      </c>
      <c r="AR176" s="38">
        <f>INDEX(TB!$Q:$Q,MATCH($E176,TB!$E:$E,0))</f>
        <v>55</v>
      </c>
      <c r="AS176" s="38" t="str">
        <f>IF(OR($C176="01-09",$C176="10-14",$D176="Female"),"",INDEX(VMMC!$AB:$AB,MATCH($E176,VMMC!$E:$E,0)))</f>
        <v/>
      </c>
      <c r="AT176" s="38">
        <f>IF(OR($C176="01-09",$C176="10-14"),"",INDEX(PrEP!$Q:$Q,MATCH($E176,PrEP!$E:$E,0)))</f>
        <v>394</v>
      </c>
      <c r="AU176" s="38">
        <f t="shared" si="86"/>
        <v>11514</v>
      </c>
      <c r="AV176" s="38">
        <f t="shared" si="87"/>
        <v>11631</v>
      </c>
      <c r="AW176" s="33">
        <f t="shared" si="88"/>
        <v>1.0059324219757543E-2</v>
      </c>
      <c r="AX176" s="38">
        <v>2235</v>
      </c>
      <c r="AY176" s="33">
        <f t="shared" si="96"/>
        <v>0.68</v>
      </c>
      <c r="AZ176" s="218">
        <f t="shared" si="89"/>
        <v>3755</v>
      </c>
      <c r="BA176" s="33">
        <v>0.62</v>
      </c>
      <c r="BB176" s="218">
        <f t="shared" si="90"/>
        <v>73</v>
      </c>
    </row>
    <row r="177" spans="1:54" x14ac:dyDescent="0.2">
      <c r="A177" t="str">
        <f>INDEX(Prioritization!$D:$D,MATCH($B177,Prioritization!$A:$A,0))</f>
        <v>1 - Scale-up: Saturation</v>
      </c>
      <c r="B177" t="s">
        <v>318</v>
      </c>
      <c r="C177" t="s">
        <v>476</v>
      </c>
      <c r="D177" t="s">
        <v>30</v>
      </c>
      <c r="E177" t="str">
        <f t="shared" si="66"/>
        <v>Mangochi District [lLDyBx5XyUi]|25-34|Female</v>
      </c>
      <c r="F177" s="33">
        <f>IF(LEFT($B177,4)="_Mil","",INDEX(Cascade!$AA:$AA,MATCH($E177,Cascade!$E:$E,0)))</f>
        <v>0.970080057</v>
      </c>
      <c r="G177" s="38">
        <f>INDEX(Cascade!$BH:$BH,MATCH($E177,Cascade!$E:$E,0))</f>
        <v>713</v>
      </c>
      <c r="H177" s="38">
        <f>IF(OR($C177="01-09",$D177="Male"),"",INDEX(PMTCT!$AC:$AC,MATCH($E177,PMTCT!$E:$E,0)))</f>
        <v>262</v>
      </c>
      <c r="I177" s="38">
        <f>IF(OR($C177="01-09",$D177="Male"),"",INDEX(PMTCT!$AS:$AS,MATCH($E177,PMTCT!$E:$E,0)))</f>
        <v>112</v>
      </c>
      <c r="J177" s="38">
        <f>INDEX(TB!$P:$P,MATCH($E177,TB!$E:$E,0))</f>
        <v>2</v>
      </c>
      <c r="K177" s="38" t="str">
        <f>IF(OR($C177="01-09",$C177="10-14",$D177="Female"),"",INDEX(VMMC!$AA:$AA,MATCH($E177,VMMC!$E:$E,0)))</f>
        <v/>
      </c>
      <c r="L177" s="38">
        <f t="shared" si="67"/>
        <v>337</v>
      </c>
      <c r="M177" s="33">
        <f t="shared" si="68"/>
        <v>0.36746143057503505</v>
      </c>
      <c r="N177" s="33">
        <f t="shared" si="69"/>
        <v>0.15708274894810659</v>
      </c>
      <c r="O177" s="33">
        <f t="shared" si="70"/>
        <v>2.8050490883590462E-3</v>
      </c>
      <c r="P177" s="33" t="str">
        <f t="shared" si="71"/>
        <v/>
      </c>
      <c r="Q177" s="33">
        <v>0.25</v>
      </c>
      <c r="R177" s="33">
        <v>2.7359999999999999E-2</v>
      </c>
      <c r="S177" s="33"/>
      <c r="T177" s="33">
        <v>0.05</v>
      </c>
      <c r="U177" s="33">
        <f t="shared" si="94"/>
        <v>0.14529077138849922</v>
      </c>
      <c r="V177" s="33">
        <f t="shared" si="72"/>
        <v>1</v>
      </c>
      <c r="W177" s="218">
        <f t="shared" si="73"/>
        <v>178</v>
      </c>
      <c r="X177" s="33">
        <v>0.192</v>
      </c>
      <c r="Y177" s="218">
        <f t="shared" si="73"/>
        <v>178</v>
      </c>
      <c r="Z177" s="218">
        <f t="shared" si="74"/>
        <v>749</v>
      </c>
      <c r="AA177" s="33">
        <v>0.12</v>
      </c>
      <c r="AB177" s="218">
        <f t="shared" si="75"/>
        <v>20</v>
      </c>
      <c r="AC177" s="218">
        <f t="shared" si="76"/>
        <v>147</v>
      </c>
      <c r="AD177" s="33">
        <v>0.02</v>
      </c>
      <c r="AE177" s="218" t="str">
        <f t="shared" si="77"/>
        <v/>
      </c>
      <c r="AF177" s="218" t="str">
        <f t="shared" si="78"/>
        <v/>
      </c>
      <c r="AG177" s="33">
        <v>0.02</v>
      </c>
      <c r="AH177" s="218">
        <f t="shared" si="79"/>
        <v>36</v>
      </c>
      <c r="AI177" s="218">
        <f t="shared" si="80"/>
        <v>1764</v>
      </c>
      <c r="AJ177" s="33">
        <v>1.9E-2</v>
      </c>
      <c r="AK177" s="218">
        <f t="shared" si="81"/>
        <v>104</v>
      </c>
      <c r="AL177" s="218">
        <f t="shared" si="82"/>
        <v>5370</v>
      </c>
      <c r="AM177" s="38">
        <f t="shared" si="83"/>
        <v>713</v>
      </c>
      <c r="AN177" s="38">
        <f t="shared" si="84"/>
        <v>714</v>
      </c>
      <c r="AO177" s="38">
        <f t="shared" si="85"/>
        <v>1</v>
      </c>
      <c r="AP177" s="38">
        <f>IF(OR($C177="01-09",$D177="Male"),"",INDEX(PMTCT!$AD:$AD,MATCH($E177,PMTCT!$E:$E,0)))</f>
        <v>15978</v>
      </c>
      <c r="AQ177" s="38">
        <f>IF(OR($C177="01-09",$D177="Male"),"",INDEX(PMTCT!$AT:$AT,MATCH($E177,PMTCT!$E:$E,0)))</f>
        <v>15866.000000000002</v>
      </c>
      <c r="AR177" s="38">
        <f>INDEX(TB!$Q:$Q,MATCH($E177,TB!$E:$E,0))</f>
        <v>37</v>
      </c>
      <c r="AS177" s="38" t="str">
        <f>IF(OR($C177="01-09",$C177="10-14",$D177="Female"),"",INDEX(VMMC!$AB:$AB,MATCH($E177,VMMC!$E:$E,0)))</f>
        <v/>
      </c>
      <c r="AT177" s="38">
        <f>IF(OR($C177="01-09",$C177="10-14"),"",INDEX(PrEP!$Q:$Q,MATCH($E177,PrEP!$E:$E,0)))</f>
        <v>2300</v>
      </c>
      <c r="AU177" s="38">
        <f t="shared" si="86"/>
        <v>42211</v>
      </c>
      <c r="AV177" s="38">
        <f t="shared" si="87"/>
        <v>42925</v>
      </c>
      <c r="AW177" s="33">
        <f t="shared" si="88"/>
        <v>1.6633663366336635E-2</v>
      </c>
      <c r="AX177" s="38">
        <v>7475</v>
      </c>
      <c r="AY177" s="33">
        <f t="shared" si="96"/>
        <v>0.68</v>
      </c>
      <c r="AZ177" s="218">
        <f t="shared" si="89"/>
        <v>12558</v>
      </c>
      <c r="BA177" s="33">
        <v>0.62</v>
      </c>
      <c r="BB177" s="218">
        <f t="shared" si="90"/>
        <v>443</v>
      </c>
    </row>
    <row r="178" spans="1:54" x14ac:dyDescent="0.2">
      <c r="A178" t="str">
        <f>INDEX(Prioritization!$D:$D,MATCH($B178,Prioritization!$A:$A,0))</f>
        <v>1 - Scale-up: Saturation</v>
      </c>
      <c r="B178" t="s">
        <v>318</v>
      </c>
      <c r="C178" t="s">
        <v>476</v>
      </c>
      <c r="D178" t="s">
        <v>48</v>
      </c>
      <c r="E178" t="str">
        <f t="shared" si="66"/>
        <v>Mangochi District [lLDyBx5XyUi]|25-34|Male</v>
      </c>
      <c r="F178" s="33">
        <f>IF(LEFT($B178,4)="_Mil","",INDEX(Cascade!$AA:$AA,MATCH($E178,Cascade!$E:$E,0)))</f>
        <v>0.88935630600000004</v>
      </c>
      <c r="G178" s="38">
        <f>INDEX(Cascade!$BH:$BH,MATCH($E178,Cascade!$E:$E,0))</f>
        <v>41</v>
      </c>
      <c r="H178" s="38" t="str">
        <f>IF(OR($C178="01-09",$D178="Male"),"",INDEX(PMTCT!$AC:$AC,MATCH($E178,PMTCT!$E:$E,0)))</f>
        <v/>
      </c>
      <c r="I178" s="38" t="str">
        <f>IF(OR($C178="01-09",$D178="Male"),"",INDEX(PMTCT!$AS:$AS,MATCH($E178,PMTCT!$E:$E,0)))</f>
        <v/>
      </c>
      <c r="J178" s="38">
        <f>INDEX(TB!$P:$P,MATCH($E178,TB!$E:$E,0))</f>
        <v>4</v>
      </c>
      <c r="K178" s="38" t="str">
        <f>IF(OR($C178="01-09",$C178="10-14",$D178="Female"),"",INDEX(VMMC!$AA:$AA,MATCH($E178,VMMC!$E:$E,0)))</f>
        <v/>
      </c>
      <c r="L178" s="38">
        <f t="shared" si="67"/>
        <v>37</v>
      </c>
      <c r="M178" s="33" t="str">
        <f t="shared" si="68"/>
        <v/>
      </c>
      <c r="N178" s="33" t="str">
        <f t="shared" si="69"/>
        <v/>
      </c>
      <c r="O178" s="33">
        <f t="shared" si="70"/>
        <v>9.7560975609756101E-2</v>
      </c>
      <c r="P178" s="33">
        <f t="shared" si="71"/>
        <v>0</v>
      </c>
      <c r="Q178" s="33">
        <v>0.371428571428571</v>
      </c>
      <c r="R178" s="33">
        <v>0.12</v>
      </c>
      <c r="S178" s="33"/>
      <c r="T178" s="33">
        <v>0.05</v>
      </c>
      <c r="U178" s="33">
        <f t="shared" si="94"/>
        <v>0.36101045296167289</v>
      </c>
      <c r="V178" s="33">
        <f t="shared" si="72"/>
        <v>1</v>
      </c>
      <c r="W178" s="218">
        <f t="shared" si="73"/>
        <v>15</v>
      </c>
      <c r="X178" s="33">
        <v>0.18</v>
      </c>
      <c r="Y178" s="218">
        <f t="shared" si="73"/>
        <v>15</v>
      </c>
      <c r="Z178" s="218">
        <f t="shared" si="74"/>
        <v>68</v>
      </c>
      <c r="AA178" s="33">
        <v>0.12</v>
      </c>
      <c r="AB178" s="218">
        <f t="shared" si="75"/>
        <v>5</v>
      </c>
      <c r="AC178" s="218">
        <f t="shared" si="76"/>
        <v>37</v>
      </c>
      <c r="AD178" s="33">
        <v>0.02</v>
      </c>
      <c r="AE178" s="218" t="str">
        <f t="shared" si="77"/>
        <v/>
      </c>
      <c r="AF178" s="218" t="str">
        <f t="shared" si="78"/>
        <v/>
      </c>
      <c r="AG178" s="33">
        <v>0.02</v>
      </c>
      <c r="AH178" s="218">
        <f t="shared" si="79"/>
        <v>2</v>
      </c>
      <c r="AI178" s="218">
        <f t="shared" si="80"/>
        <v>98</v>
      </c>
      <c r="AJ178" s="33">
        <v>2.4E-2</v>
      </c>
      <c r="AK178" s="218">
        <f t="shared" si="81"/>
        <v>15</v>
      </c>
      <c r="AL178" s="218">
        <f t="shared" si="82"/>
        <v>610</v>
      </c>
      <c r="AM178" s="38">
        <f t="shared" si="83"/>
        <v>41</v>
      </c>
      <c r="AN178" s="38">
        <f t="shared" si="84"/>
        <v>41</v>
      </c>
      <c r="AO178" s="38">
        <f t="shared" si="85"/>
        <v>0</v>
      </c>
      <c r="AP178" s="38" t="str">
        <f>IF(OR($C178="01-09",$D178="Male"),"",INDEX(PMTCT!$AD:$AD,MATCH($E178,PMTCT!$E:$E,0)))</f>
        <v/>
      </c>
      <c r="AQ178" s="38" t="str">
        <f>IF(OR($C178="01-09",$D178="Male"),"",INDEX(PMTCT!$AT:$AT,MATCH($E178,PMTCT!$E:$E,0)))</f>
        <v/>
      </c>
      <c r="AR178" s="38">
        <f>INDEX(TB!$Q:$Q,MATCH($E178,TB!$E:$E,0))</f>
        <v>55</v>
      </c>
      <c r="AS178" s="38" t="str">
        <f>IF(OR($C178="01-09",$C178="10-14",$D178="Female"),"",INDEX(VMMC!$AB:$AB,MATCH($E178,VMMC!$E:$E,0)))</f>
        <v/>
      </c>
      <c r="AT178" s="38">
        <f>IF(OR($C178="01-09",$C178="10-14"),"",INDEX(PrEP!$Q:$Q,MATCH($E178,PrEP!$E:$E,0)))</f>
        <v>322</v>
      </c>
      <c r="AU178" s="38">
        <f t="shared" si="86"/>
        <v>1190</v>
      </c>
      <c r="AV178" s="38">
        <f t="shared" si="87"/>
        <v>1231</v>
      </c>
      <c r="AW178" s="33">
        <f t="shared" si="88"/>
        <v>3.3306255077173032E-2</v>
      </c>
      <c r="AX178" s="38">
        <v>2866</v>
      </c>
      <c r="AY178" s="33">
        <f t="shared" si="96"/>
        <v>0.68</v>
      </c>
      <c r="AZ178" s="218">
        <f t="shared" si="89"/>
        <v>4815</v>
      </c>
      <c r="BA178" s="33">
        <v>0.62</v>
      </c>
      <c r="BB178" s="218">
        <f t="shared" si="90"/>
        <v>25</v>
      </c>
    </row>
    <row r="179" spans="1:54" x14ac:dyDescent="0.2">
      <c r="A179" t="str">
        <f>INDEX(Prioritization!$D:$D,MATCH($B179,Prioritization!$A:$A,0))</f>
        <v>1 - Scale-up: Saturation</v>
      </c>
      <c r="B179" t="s">
        <v>318</v>
      </c>
      <c r="C179" t="s">
        <v>477</v>
      </c>
      <c r="D179" t="s">
        <v>30</v>
      </c>
      <c r="E179" t="str">
        <f t="shared" si="66"/>
        <v>Mangochi District [lLDyBx5XyUi]|35-49|Female</v>
      </c>
      <c r="F179" s="33">
        <f>IF(LEFT($B179,4)="_Mil","",INDEX(Cascade!$AA:$AA,MATCH($E179,Cascade!$E:$E,0)))</f>
        <v>0.98513753599999998</v>
      </c>
      <c r="G179" s="38">
        <f>INDEX(Cascade!$BH:$BH,MATCH($E179,Cascade!$E:$E,0))</f>
        <v>802</v>
      </c>
      <c r="H179" s="38">
        <f>IF(OR($C179="01-09",$D179="Male"),"",INDEX(PMTCT!$AC:$AC,MATCH($E179,PMTCT!$E:$E,0)))</f>
        <v>56</v>
      </c>
      <c r="I179" s="38">
        <f>IF(OR($C179="01-09",$D179="Male"),"",INDEX(PMTCT!$AS:$AS,MATCH($E179,PMTCT!$E:$E,0)))</f>
        <v>39</v>
      </c>
      <c r="J179" s="38">
        <f>INDEX(TB!$P:$P,MATCH($E179,TB!$E:$E,0))</f>
        <v>4</v>
      </c>
      <c r="K179" s="38" t="str">
        <f>IF(OR($C179="01-09",$C179="10-14",$D179="Female"),"",INDEX(VMMC!$AA:$AA,MATCH($E179,VMMC!$E:$E,0)))</f>
        <v/>
      </c>
      <c r="L179" s="38">
        <f t="shared" si="67"/>
        <v>703</v>
      </c>
      <c r="M179" s="33">
        <f t="shared" si="68"/>
        <v>6.9825436408977551E-2</v>
      </c>
      <c r="N179" s="33">
        <f t="shared" si="69"/>
        <v>4.8628428927680795E-2</v>
      </c>
      <c r="O179" s="33">
        <f t="shared" si="70"/>
        <v>4.9875311720698253E-3</v>
      </c>
      <c r="P179" s="33" t="str">
        <f t="shared" si="71"/>
        <v/>
      </c>
      <c r="Q179" s="33">
        <v>0.25717213114754101</v>
      </c>
      <c r="R179" s="33">
        <v>2.7359999999999999E-2</v>
      </c>
      <c r="S179" s="33"/>
      <c r="T179" s="33">
        <v>0.05</v>
      </c>
      <c r="U179" s="33">
        <f t="shared" si="94"/>
        <v>0.54202647234373091</v>
      </c>
      <c r="V179" s="33">
        <f t="shared" si="72"/>
        <v>1</v>
      </c>
      <c r="W179" s="218">
        <f t="shared" si="73"/>
        <v>206</v>
      </c>
      <c r="X179" s="33">
        <v>0.17699999999999999</v>
      </c>
      <c r="Y179" s="218">
        <f t="shared" si="73"/>
        <v>206</v>
      </c>
      <c r="Z179" s="218">
        <f t="shared" si="74"/>
        <v>958</v>
      </c>
      <c r="AA179" s="33">
        <v>0.12</v>
      </c>
      <c r="AB179" s="218">
        <f t="shared" si="75"/>
        <v>22</v>
      </c>
      <c r="AC179" s="218">
        <f t="shared" si="76"/>
        <v>161</v>
      </c>
      <c r="AD179" s="33">
        <v>0.02</v>
      </c>
      <c r="AE179" s="218" t="str">
        <f t="shared" si="77"/>
        <v/>
      </c>
      <c r="AF179" s="218" t="str">
        <f t="shared" si="78"/>
        <v/>
      </c>
      <c r="AG179" s="33">
        <v>0.02</v>
      </c>
      <c r="AH179" s="218">
        <f t="shared" si="79"/>
        <v>40</v>
      </c>
      <c r="AI179" s="218">
        <f t="shared" si="80"/>
        <v>1960</v>
      </c>
      <c r="AJ179" s="33">
        <v>0.03</v>
      </c>
      <c r="AK179" s="218">
        <f t="shared" si="81"/>
        <v>435</v>
      </c>
      <c r="AL179" s="218">
        <f t="shared" si="82"/>
        <v>14065</v>
      </c>
      <c r="AM179" s="38">
        <f t="shared" si="83"/>
        <v>802</v>
      </c>
      <c r="AN179" s="38">
        <f t="shared" si="84"/>
        <v>802</v>
      </c>
      <c r="AO179" s="38">
        <f t="shared" si="85"/>
        <v>0</v>
      </c>
      <c r="AP179" s="38">
        <f>IF(OR($C179="01-09",$D179="Male"),"",INDEX(PMTCT!$AD:$AD,MATCH($E179,PMTCT!$E:$E,0)))</f>
        <v>4298</v>
      </c>
      <c r="AQ179" s="38">
        <f>IF(OR($C179="01-09",$D179="Male"),"",INDEX(PMTCT!$AT:$AT,MATCH($E179,PMTCT!$E:$E,0)))</f>
        <v>4259</v>
      </c>
      <c r="AR179" s="38">
        <f>INDEX(TB!$Q:$Q,MATCH($E179,TB!$E:$E,0))</f>
        <v>55</v>
      </c>
      <c r="AS179" s="38" t="str">
        <f>IF(OR($C179="01-09",$C179="10-14",$D179="Female"),"",INDEX(VMMC!$AB:$AB,MATCH($E179,VMMC!$E:$E,0)))</f>
        <v/>
      </c>
      <c r="AT179" s="38">
        <f>IF(OR($C179="01-09",$C179="10-14"),"",INDEX(PrEP!$Q:$Q,MATCH($E179,PrEP!$E:$E,0)))</f>
        <v>1026</v>
      </c>
      <c r="AU179" s="38">
        <f t="shared" si="86"/>
        <v>26782</v>
      </c>
      <c r="AV179" s="38">
        <f t="shared" si="87"/>
        <v>27584</v>
      </c>
      <c r="AW179" s="33">
        <f t="shared" si="88"/>
        <v>2.9074825986078887E-2</v>
      </c>
      <c r="AX179" s="38">
        <v>1585</v>
      </c>
      <c r="AY179" s="33">
        <f t="shared" si="96"/>
        <v>0.68</v>
      </c>
      <c r="AZ179" s="218">
        <f t="shared" si="89"/>
        <v>2663</v>
      </c>
      <c r="BA179" s="33">
        <v>0.62</v>
      </c>
      <c r="BB179" s="218">
        <f t="shared" si="90"/>
        <v>497</v>
      </c>
    </row>
    <row r="180" spans="1:54" x14ac:dyDescent="0.2">
      <c r="A180" t="str">
        <f>INDEX(Prioritization!$D:$D,MATCH($B180,Prioritization!$A:$A,0))</f>
        <v>1 - Scale-up: Saturation</v>
      </c>
      <c r="B180" t="s">
        <v>318</v>
      </c>
      <c r="C180" t="s">
        <v>477</v>
      </c>
      <c r="D180" t="s">
        <v>48</v>
      </c>
      <c r="E180" t="str">
        <f t="shared" si="66"/>
        <v>Mangochi District [lLDyBx5XyUi]|35-49|Male</v>
      </c>
      <c r="F180" s="33">
        <f>IF(LEFT($B180,4)="_Mil","",INDEX(Cascade!$AA:$AA,MATCH($E180,Cascade!$E:$E,0)))</f>
        <v>0.93266976599999996</v>
      </c>
      <c r="G180" s="38">
        <f>INDEX(Cascade!$BH:$BH,MATCH($E180,Cascade!$E:$E,0))</f>
        <v>167</v>
      </c>
      <c r="H180" s="38" t="str">
        <f>IF(OR($C180="01-09",$D180="Male"),"",INDEX(PMTCT!$AC:$AC,MATCH($E180,PMTCT!$E:$E,0)))</f>
        <v/>
      </c>
      <c r="I180" s="38" t="str">
        <f>IF(OR($C180="01-09",$D180="Male"),"",INDEX(PMTCT!$AS:$AS,MATCH($E180,PMTCT!$E:$E,0)))</f>
        <v/>
      </c>
      <c r="J180" s="38">
        <f>INDEX(TB!$P:$P,MATCH($E180,TB!$E:$E,0))</f>
        <v>5</v>
      </c>
      <c r="K180" s="38" t="str">
        <f>IF(OR($C180="01-09",$C180="10-14",$D180="Female"),"",INDEX(VMMC!$AA:$AA,MATCH($E180,VMMC!$E:$E,0)))</f>
        <v/>
      </c>
      <c r="L180" s="38">
        <f t="shared" si="67"/>
        <v>162</v>
      </c>
      <c r="M180" s="33" t="str">
        <f t="shared" si="68"/>
        <v/>
      </c>
      <c r="N180" s="33" t="str">
        <f t="shared" si="69"/>
        <v/>
      </c>
      <c r="O180" s="33">
        <f t="shared" si="70"/>
        <v>2.9940119760479042E-2</v>
      </c>
      <c r="P180" s="33">
        <f t="shared" si="71"/>
        <v>0</v>
      </c>
      <c r="Q180" s="33">
        <v>0.35714285714285698</v>
      </c>
      <c r="R180" s="33">
        <v>0.12</v>
      </c>
      <c r="S180" s="33"/>
      <c r="T180" s="33">
        <v>0.05</v>
      </c>
      <c r="U180" s="33">
        <f t="shared" si="94"/>
        <v>0.44291702309666392</v>
      </c>
      <c r="V180" s="33">
        <f t="shared" si="72"/>
        <v>1</v>
      </c>
      <c r="W180" s="218">
        <f t="shared" si="73"/>
        <v>60</v>
      </c>
      <c r="X180" s="33">
        <v>0.189</v>
      </c>
      <c r="Y180" s="218">
        <f t="shared" si="73"/>
        <v>60</v>
      </c>
      <c r="Z180" s="218">
        <f t="shared" si="74"/>
        <v>257</v>
      </c>
      <c r="AA180" s="33">
        <v>0.12</v>
      </c>
      <c r="AB180" s="218">
        <f t="shared" si="75"/>
        <v>20</v>
      </c>
      <c r="AC180" s="218">
        <f t="shared" si="76"/>
        <v>147</v>
      </c>
      <c r="AD180" s="33">
        <v>0.02</v>
      </c>
      <c r="AE180" s="218" t="str">
        <f t="shared" si="77"/>
        <v/>
      </c>
      <c r="AF180" s="218" t="str">
        <f t="shared" si="78"/>
        <v/>
      </c>
      <c r="AG180" s="33">
        <v>0.02</v>
      </c>
      <c r="AH180" s="218">
        <f t="shared" si="79"/>
        <v>8</v>
      </c>
      <c r="AI180" s="218">
        <f t="shared" si="80"/>
        <v>392</v>
      </c>
      <c r="AJ180" s="33">
        <v>5.0999999999999997E-2</v>
      </c>
      <c r="AK180" s="218">
        <f t="shared" si="81"/>
        <v>74</v>
      </c>
      <c r="AL180" s="218">
        <f t="shared" si="82"/>
        <v>1377</v>
      </c>
      <c r="AM180" s="38">
        <f t="shared" si="83"/>
        <v>167</v>
      </c>
      <c r="AN180" s="38">
        <f t="shared" si="84"/>
        <v>167</v>
      </c>
      <c r="AO180" s="38">
        <f t="shared" si="85"/>
        <v>0</v>
      </c>
      <c r="AP180" s="38" t="str">
        <f>IF(OR($C180="01-09",$D180="Male"),"",INDEX(PMTCT!$AD:$AD,MATCH($E180,PMTCT!$E:$E,0)))</f>
        <v/>
      </c>
      <c r="AQ180" s="38" t="str">
        <f>IF(OR($C180="01-09",$D180="Male"),"",INDEX(PMTCT!$AT:$AT,MATCH($E180,PMTCT!$E:$E,0)))</f>
        <v/>
      </c>
      <c r="AR180" s="38">
        <f>INDEX(TB!$Q:$Q,MATCH($E180,TB!$E:$E,0))</f>
        <v>84</v>
      </c>
      <c r="AS180" s="38" t="str">
        <f>IF(OR($C180="01-09",$C180="10-14",$D180="Female"),"",INDEX(VMMC!$AB:$AB,MATCH($E180,VMMC!$E:$E,0)))</f>
        <v/>
      </c>
      <c r="AT180" s="38">
        <f>IF(OR($C180="01-09",$C180="10-14"),"",INDEX(PrEP!$Q:$Q,MATCH($E180,PrEP!$E:$E,0)))</f>
        <v>268</v>
      </c>
      <c r="AU180" s="38">
        <f t="shared" si="86"/>
        <v>2525</v>
      </c>
      <c r="AV180" s="38">
        <f t="shared" si="87"/>
        <v>2692</v>
      </c>
      <c r="AW180" s="33">
        <f t="shared" si="88"/>
        <v>6.2035661218424965E-2</v>
      </c>
      <c r="AX180" s="38">
        <v>1945</v>
      </c>
      <c r="AY180" s="33">
        <f t="shared" si="96"/>
        <v>0.68</v>
      </c>
      <c r="AZ180" s="218">
        <f t="shared" si="89"/>
        <v>3268</v>
      </c>
      <c r="BA180" s="33">
        <v>0.62</v>
      </c>
      <c r="BB180" s="218">
        <f t="shared" si="90"/>
        <v>104</v>
      </c>
    </row>
    <row r="181" spans="1:54" x14ac:dyDescent="0.2">
      <c r="A181" t="str">
        <f>INDEX(Prioritization!$D:$D,MATCH($B181,Prioritization!$A:$A,0))</f>
        <v>1 - Scale-up: Saturation</v>
      </c>
      <c r="B181" t="s">
        <v>318</v>
      </c>
      <c r="C181" t="s">
        <v>478</v>
      </c>
      <c r="D181" t="s">
        <v>30</v>
      </c>
      <c r="E181" t="str">
        <f t="shared" si="66"/>
        <v>Mangochi District [lLDyBx5XyUi]|50+|Female</v>
      </c>
      <c r="F181" s="33">
        <f>IF(LEFT($B181,4)="_Mil","",INDEX(Cascade!$AA:$AA,MATCH($E181,Cascade!$E:$E,0)))</f>
        <v>0.98985411400000012</v>
      </c>
      <c r="G181" s="38">
        <f>INDEX(Cascade!$BH:$BH,MATCH($E181,Cascade!$E:$E,0))</f>
        <v>332</v>
      </c>
      <c r="H181" s="38">
        <f>IF(OR($C181="01-09",$D181="Male"),"",INDEX(PMTCT!$AC:$AC,MATCH($E181,PMTCT!$E:$E,0)))</f>
        <v>0</v>
      </c>
      <c r="I181" s="38">
        <f>IF(OR($C181="01-09",$D181="Male"),"",INDEX(PMTCT!$AS:$AS,MATCH($E181,PMTCT!$E:$E,0)))</f>
        <v>0</v>
      </c>
      <c r="J181" s="38">
        <f>INDEX(TB!$P:$P,MATCH($E181,TB!$E:$E,0))</f>
        <v>1</v>
      </c>
      <c r="K181" s="38" t="str">
        <f>IF(OR($C181="01-09",$C181="10-14",$D181="Female"),"",INDEX(VMMC!$AA:$AA,MATCH($E181,VMMC!$E:$E,0)))</f>
        <v/>
      </c>
      <c r="L181" s="38">
        <f t="shared" si="67"/>
        <v>331</v>
      </c>
      <c r="M181" s="33">
        <f t="shared" si="68"/>
        <v>0</v>
      </c>
      <c r="N181" s="33">
        <f t="shared" si="69"/>
        <v>0</v>
      </c>
      <c r="O181" s="33">
        <f t="shared" si="70"/>
        <v>3.0120481927710845E-3</v>
      </c>
      <c r="P181" s="33" t="str">
        <f t="shared" si="71"/>
        <v/>
      </c>
      <c r="Q181" s="33">
        <v>0.15</v>
      </c>
      <c r="R181" s="33">
        <v>0.06</v>
      </c>
      <c r="S181" s="33"/>
      <c r="T181" s="33">
        <v>0.05</v>
      </c>
      <c r="U181" s="33">
        <f t="shared" si="94"/>
        <v>0.73698795180722887</v>
      </c>
      <c r="V181" s="33">
        <f t="shared" si="72"/>
        <v>1</v>
      </c>
      <c r="W181" s="218">
        <f t="shared" si="73"/>
        <v>50</v>
      </c>
      <c r="X181" s="33">
        <v>0.114</v>
      </c>
      <c r="Y181" s="218">
        <f t="shared" si="73"/>
        <v>50</v>
      </c>
      <c r="Z181" s="218">
        <f t="shared" si="74"/>
        <v>389</v>
      </c>
      <c r="AA181" s="33">
        <v>0.12</v>
      </c>
      <c r="AB181" s="218">
        <f t="shared" si="75"/>
        <v>20</v>
      </c>
      <c r="AC181" s="218">
        <f t="shared" si="76"/>
        <v>147</v>
      </c>
      <c r="AD181" s="33">
        <v>0.02</v>
      </c>
      <c r="AE181" s="218" t="str">
        <f t="shared" si="77"/>
        <v/>
      </c>
      <c r="AF181" s="218" t="str">
        <f t="shared" si="78"/>
        <v/>
      </c>
      <c r="AG181" s="33">
        <v>0.02</v>
      </c>
      <c r="AH181" s="218">
        <f t="shared" si="79"/>
        <v>17</v>
      </c>
      <c r="AI181" s="218">
        <f t="shared" si="80"/>
        <v>833</v>
      </c>
      <c r="AJ181" s="33">
        <v>2.7E-2</v>
      </c>
      <c r="AK181" s="218">
        <f t="shared" si="81"/>
        <v>245</v>
      </c>
      <c r="AL181" s="218">
        <f t="shared" si="82"/>
        <v>8829</v>
      </c>
      <c r="AM181" s="38">
        <f t="shared" si="83"/>
        <v>332</v>
      </c>
      <c r="AN181" s="38">
        <f t="shared" si="84"/>
        <v>333</v>
      </c>
      <c r="AO181" s="38">
        <f t="shared" si="85"/>
        <v>1</v>
      </c>
      <c r="AP181" s="38">
        <f>IF(OR($C181="01-09",$D181="Male"),"",INDEX(PMTCT!$AD:$AD,MATCH($E181,PMTCT!$E:$E,0)))</f>
        <v>32</v>
      </c>
      <c r="AQ181" s="38">
        <f>IF(OR($C181="01-09",$D181="Male"),"",INDEX(PMTCT!$AT:$AT,MATCH($E181,PMTCT!$E:$E,0)))</f>
        <v>32</v>
      </c>
      <c r="AR181" s="38">
        <f>INDEX(TB!$Q:$Q,MATCH($E181,TB!$E:$E,0))</f>
        <v>19</v>
      </c>
      <c r="AS181" s="38" t="str">
        <f>IF(OR($C181="01-09",$C181="10-14",$D181="Female"),"",INDEX(VMMC!$AB:$AB,MATCH($E181,VMMC!$E:$E,0)))</f>
        <v/>
      </c>
      <c r="AT181" s="38">
        <f>IF(OR($C181="01-09",$C181="10-14"),"",INDEX(PrEP!$Q:$Q,MATCH($E181,PrEP!$E:$E,0)))</f>
        <v>54</v>
      </c>
      <c r="AU181" s="38">
        <f t="shared" si="86"/>
        <v>10335</v>
      </c>
      <c r="AV181" s="38">
        <f t="shared" si="87"/>
        <v>10668</v>
      </c>
      <c r="AW181" s="33">
        <f t="shared" si="88"/>
        <v>3.1214848143982003E-2</v>
      </c>
      <c r="AX181" s="38">
        <v>553</v>
      </c>
      <c r="AY181" s="33">
        <f t="shared" si="91"/>
        <v>0</v>
      </c>
      <c r="AZ181" s="218">
        <f t="shared" si="89"/>
        <v>553</v>
      </c>
      <c r="BA181" s="33">
        <v>0.62</v>
      </c>
      <c r="BB181" s="218">
        <f t="shared" si="90"/>
        <v>206</v>
      </c>
    </row>
    <row r="182" spans="1:54" x14ac:dyDescent="0.2">
      <c r="A182" t="str">
        <f>INDEX(Prioritization!$D:$D,MATCH($B182,Prioritization!$A:$A,0))</f>
        <v>1 - Scale-up: Saturation</v>
      </c>
      <c r="B182" t="s">
        <v>318</v>
      </c>
      <c r="C182" t="s">
        <v>478</v>
      </c>
      <c r="D182" t="s">
        <v>48</v>
      </c>
      <c r="E182" t="str">
        <f t="shared" si="66"/>
        <v>Mangochi District [lLDyBx5XyUi]|50+|Male</v>
      </c>
      <c r="F182" s="33">
        <f>IF(LEFT($B182,4)="_Mil","",INDEX(Cascade!$AA:$AA,MATCH($E182,Cascade!$E:$E,0)))</f>
        <v>0.95404985099999995</v>
      </c>
      <c r="G182" s="38">
        <f>INDEX(Cascade!$BH:$BH,MATCH($E182,Cascade!$E:$E,0))</f>
        <v>327</v>
      </c>
      <c r="H182" s="38" t="str">
        <f>IF(OR($C182="01-09",$D182="Male"),"",INDEX(PMTCT!$AC:$AC,MATCH($E182,PMTCT!$E:$E,0)))</f>
        <v/>
      </c>
      <c r="I182" s="38" t="str">
        <f>IF(OR($C182="01-09",$D182="Male"),"",INDEX(PMTCT!$AS:$AS,MATCH($E182,PMTCT!$E:$E,0)))</f>
        <v/>
      </c>
      <c r="J182" s="38">
        <f>INDEX(TB!$P:$P,MATCH($E182,TB!$E:$E,0))</f>
        <v>2</v>
      </c>
      <c r="K182" s="38" t="str">
        <f>IF(OR($C182="01-09",$C182="10-14",$D182="Female"),"",INDEX(VMMC!$AA:$AA,MATCH($E182,VMMC!$E:$E,0)))</f>
        <v/>
      </c>
      <c r="L182" s="38">
        <f t="shared" si="67"/>
        <v>325</v>
      </c>
      <c r="M182" s="33" t="str">
        <f t="shared" si="68"/>
        <v/>
      </c>
      <c r="N182" s="33" t="str">
        <f t="shared" si="69"/>
        <v/>
      </c>
      <c r="O182" s="33">
        <f t="shared" si="70"/>
        <v>6.1162079510703364E-3</v>
      </c>
      <c r="P182" s="33">
        <f t="shared" si="71"/>
        <v>0</v>
      </c>
      <c r="Q182" s="33">
        <v>0.15</v>
      </c>
      <c r="R182" s="33"/>
      <c r="S182" s="33"/>
      <c r="T182" s="33">
        <v>0.05</v>
      </c>
      <c r="U182" s="33">
        <f t="shared" si="94"/>
        <v>0.79388379204892967</v>
      </c>
      <c r="V182" s="33">
        <f t="shared" si="72"/>
        <v>1</v>
      </c>
      <c r="W182" s="218">
        <f t="shared" si="73"/>
        <v>49</v>
      </c>
      <c r="X182" s="33">
        <v>0.16300000000000001</v>
      </c>
      <c r="Y182" s="218">
        <f t="shared" si="73"/>
        <v>49</v>
      </c>
      <c r="Z182" s="218">
        <f t="shared" si="74"/>
        <v>252</v>
      </c>
      <c r="AA182" s="33">
        <v>0.12</v>
      </c>
      <c r="AB182" s="218" t="str">
        <f t="shared" si="75"/>
        <v/>
      </c>
      <c r="AC182" s="218" t="str">
        <f t="shared" si="76"/>
        <v/>
      </c>
      <c r="AD182" s="33">
        <v>0.02</v>
      </c>
      <c r="AE182" s="218" t="str">
        <f t="shared" si="77"/>
        <v/>
      </c>
      <c r="AF182" s="218" t="str">
        <f t="shared" si="78"/>
        <v/>
      </c>
      <c r="AG182" s="33">
        <v>0.02</v>
      </c>
      <c r="AH182" s="218">
        <f t="shared" si="79"/>
        <v>16</v>
      </c>
      <c r="AI182" s="218">
        <f t="shared" si="80"/>
        <v>784</v>
      </c>
      <c r="AJ182" s="33">
        <v>4.1000000000000002E-2</v>
      </c>
      <c r="AK182" s="218">
        <f t="shared" si="81"/>
        <v>260</v>
      </c>
      <c r="AL182" s="218">
        <f t="shared" si="82"/>
        <v>6081</v>
      </c>
      <c r="AM182" s="38">
        <f t="shared" si="83"/>
        <v>327</v>
      </c>
      <c r="AN182" s="38">
        <f t="shared" si="84"/>
        <v>327</v>
      </c>
      <c r="AO182" s="38">
        <f t="shared" si="85"/>
        <v>0</v>
      </c>
      <c r="AP182" s="38" t="str">
        <f>IF(OR($C182="01-09",$D182="Male"),"",INDEX(PMTCT!$AD:$AD,MATCH($E182,PMTCT!$E:$E,0)))</f>
        <v/>
      </c>
      <c r="AQ182" s="38" t="str">
        <f>IF(OR($C182="01-09",$D182="Male"),"",INDEX(PMTCT!$AT:$AT,MATCH($E182,PMTCT!$E:$E,0)))</f>
        <v/>
      </c>
      <c r="AR182" s="38">
        <f>INDEX(TB!$Q:$Q,MATCH($E182,TB!$E:$E,0))</f>
        <v>27</v>
      </c>
      <c r="AS182" s="38" t="str">
        <f>IF(OR($C182="01-09",$C182="10-14",$D182="Female"),"",INDEX(VMMC!$AB:$AB,MATCH($E182,VMMC!$E:$E,0)))</f>
        <v/>
      </c>
      <c r="AT182" s="38">
        <f>IF(OR($C182="01-09",$C182="10-14"),"",INDEX(PrEP!$Q:$Q,MATCH($E182,PrEP!$E:$E,0)))</f>
        <v>108</v>
      </c>
      <c r="AU182" s="38">
        <f t="shared" si="86"/>
        <v>7251.9999999999991</v>
      </c>
      <c r="AV182" s="38">
        <f t="shared" si="87"/>
        <v>7578.9999999999991</v>
      </c>
      <c r="AW182" s="33">
        <f t="shared" si="88"/>
        <v>4.3145533711571454E-2</v>
      </c>
      <c r="AX182" s="38">
        <v>628</v>
      </c>
      <c r="AY182" s="33">
        <f t="shared" si="91"/>
        <v>0</v>
      </c>
      <c r="AZ182" s="218">
        <f t="shared" si="89"/>
        <v>628</v>
      </c>
      <c r="BA182" s="33">
        <v>0.62</v>
      </c>
      <c r="BB182" s="218">
        <f t="shared" si="90"/>
        <v>203</v>
      </c>
    </row>
    <row r="183" spans="1:54" x14ac:dyDescent="0.2">
      <c r="A183" t="str">
        <f>INDEX(Prioritization!$D:$D,MATCH($B183,Prioritization!$A:$A,0))</f>
        <v>4 - Sustained</v>
      </c>
      <c r="B183" t="s">
        <v>302</v>
      </c>
      <c r="C183" t="s">
        <v>473</v>
      </c>
      <c r="D183" t="s">
        <v>30</v>
      </c>
      <c r="E183" t="str">
        <f t="shared" si="66"/>
        <v>Mchinji District [kxuuIFpOXyO]|01-09|Female</v>
      </c>
      <c r="F183" s="33">
        <f>IF(LEFT($B183,4)="_Mil","",INDEX(Cascade!$AA:$AA,MATCH($E183,Cascade!$E:$E,0)))</f>
        <v>0.65828417299999997</v>
      </c>
      <c r="G183" s="38">
        <f>INDEX(Cascade!$BH:$BH,MATCH($E183,Cascade!$E:$E,0))</f>
        <v>3</v>
      </c>
      <c r="H183" s="38" t="str">
        <f>IF(OR($C183="01-09",$D183="Male"),"",INDEX(PMTCT!$AC:$AC,MATCH($E183,PMTCT!$E:$E,0)))</f>
        <v/>
      </c>
      <c r="I183" s="38" t="str">
        <f>IF(OR($C183="01-09",$D183="Male"),"",INDEX(PMTCT!$AS:$AS,MATCH($E183,PMTCT!$E:$E,0)))</f>
        <v/>
      </c>
      <c r="J183" s="38">
        <f>INDEX(TB!$P:$P,MATCH($E183,TB!$E:$E,0))</f>
        <v>0</v>
      </c>
      <c r="K183" s="38" t="str">
        <f>IF(OR($C183="01-09",$C183="10-14",$D183="Female"),"",INDEX(VMMC!$AA:$AA,MATCH($E183,VMMC!$E:$E,0)))</f>
        <v/>
      </c>
      <c r="L183" s="38">
        <f t="shared" si="67"/>
        <v>3</v>
      </c>
      <c r="M183" s="33" t="str">
        <f t="shared" si="68"/>
        <v/>
      </c>
      <c r="N183" s="33" t="str">
        <f t="shared" si="69"/>
        <v/>
      </c>
      <c r="O183" s="33">
        <f t="shared" si="70"/>
        <v>0</v>
      </c>
      <c r="P183" s="33" t="str">
        <f t="shared" si="71"/>
        <v/>
      </c>
      <c r="Q183" s="33">
        <v>0.5</v>
      </c>
      <c r="R183" s="33"/>
      <c r="S183" s="33"/>
      <c r="T183" s="33"/>
      <c r="U183" s="33">
        <f t="shared" si="94"/>
        <v>0.5</v>
      </c>
      <c r="V183" s="33">
        <f t="shared" si="72"/>
        <v>1</v>
      </c>
      <c r="W183" s="218">
        <f t="shared" si="73"/>
        <v>2</v>
      </c>
      <c r="X183" s="33">
        <v>1.0999999999999999E-2</v>
      </c>
      <c r="Y183" s="218">
        <f t="shared" si="73"/>
        <v>2</v>
      </c>
      <c r="Z183" s="218">
        <f t="shared" si="74"/>
        <v>180</v>
      </c>
      <c r="AA183" s="33">
        <v>0.12</v>
      </c>
      <c r="AB183" s="218" t="str">
        <f t="shared" si="75"/>
        <v/>
      </c>
      <c r="AC183" s="218" t="str">
        <f t="shared" si="76"/>
        <v/>
      </c>
      <c r="AD183" s="33">
        <v>0.02</v>
      </c>
      <c r="AE183" s="218" t="str">
        <f t="shared" si="77"/>
        <v/>
      </c>
      <c r="AF183" s="218" t="str">
        <f t="shared" si="78"/>
        <v/>
      </c>
      <c r="AG183" s="33">
        <v>0.02</v>
      </c>
      <c r="AH183" s="218" t="str">
        <f t="shared" si="79"/>
        <v/>
      </c>
      <c r="AI183" s="218" t="str">
        <f t="shared" si="80"/>
        <v/>
      </c>
      <c r="AJ183" s="33">
        <v>2.3E-3</v>
      </c>
      <c r="AK183" s="218">
        <f t="shared" si="81"/>
        <v>2</v>
      </c>
      <c r="AL183" s="218">
        <f t="shared" si="82"/>
        <v>868</v>
      </c>
      <c r="AM183" s="38">
        <f t="shared" si="83"/>
        <v>3</v>
      </c>
      <c r="AN183" s="38">
        <f t="shared" si="84"/>
        <v>4</v>
      </c>
      <c r="AO183" s="38">
        <f t="shared" si="85"/>
        <v>1</v>
      </c>
      <c r="AP183" s="38" t="str">
        <f>IF(OR($C183="01-09",$D183="Male"),"",INDEX(PMTCT!$AD:$AD,MATCH($E183,PMTCT!$E:$E,0)))</f>
        <v/>
      </c>
      <c r="AQ183" s="38" t="str">
        <f>IF(OR($C183="01-09",$D183="Male"),"",INDEX(PMTCT!$AT:$AT,MATCH($E183,PMTCT!$E:$E,0)))</f>
        <v/>
      </c>
      <c r="AR183" s="38">
        <f>INDEX(TB!$Q:$Q,MATCH($E183,TB!$E:$E,0))</f>
        <v>4</v>
      </c>
      <c r="AS183" s="38" t="str">
        <f>IF(OR($C183="01-09",$C183="10-14",$D183="Female"),"",INDEX(VMMC!$AB:$AB,MATCH($E183,VMMC!$E:$E,0)))</f>
        <v/>
      </c>
      <c r="AT183" s="38" t="str">
        <f>IF(OR($C183="01-09",$C183="10-14"),"",INDEX(PrEP!$Q:$Q,MATCH($E183,PrEP!$E:$E,0)))</f>
        <v/>
      </c>
      <c r="AU183" s="38">
        <f t="shared" si="86"/>
        <v>1052</v>
      </c>
      <c r="AV183" s="38">
        <f t="shared" si="87"/>
        <v>1056</v>
      </c>
      <c r="AW183" s="33">
        <f t="shared" si="88"/>
        <v>3.787878787878788E-3</v>
      </c>
      <c r="AX183" s="38"/>
      <c r="AY183" s="33" t="str">
        <f t="shared" si="91"/>
        <v/>
      </c>
      <c r="AZ183" s="218" t="str">
        <f t="shared" si="89"/>
        <v/>
      </c>
      <c r="BA183" s="33" t="str">
        <f t="shared" si="92"/>
        <v/>
      </c>
      <c r="BB183" s="218" t="str">
        <f t="shared" si="90"/>
        <v/>
      </c>
    </row>
    <row r="184" spans="1:54" x14ac:dyDescent="0.2">
      <c r="A184" t="str">
        <f>INDEX(Prioritization!$D:$D,MATCH($B184,Prioritization!$A:$A,0))</f>
        <v>4 - Sustained</v>
      </c>
      <c r="B184" t="s">
        <v>302</v>
      </c>
      <c r="C184" t="s">
        <v>473</v>
      </c>
      <c r="D184" t="s">
        <v>48</v>
      </c>
      <c r="E184" t="str">
        <f t="shared" si="66"/>
        <v>Mchinji District [kxuuIFpOXyO]|01-09|Male</v>
      </c>
      <c r="F184" s="33">
        <f>IF(LEFT($B184,4)="_Mil","",INDEX(Cascade!$AA:$AA,MATCH($E184,Cascade!$E:$E,0)))</f>
        <v>0.65826665900000003</v>
      </c>
      <c r="G184" s="38">
        <f>INDEX(Cascade!$BH:$BH,MATCH($E184,Cascade!$E:$E,0))</f>
        <v>3</v>
      </c>
      <c r="H184" s="38" t="str">
        <f>IF(OR($C184="01-09",$D184="Male"),"",INDEX(PMTCT!$AC:$AC,MATCH($E184,PMTCT!$E:$E,0)))</f>
        <v/>
      </c>
      <c r="I184" s="38" t="str">
        <f>IF(OR($C184="01-09",$D184="Male"),"",INDEX(PMTCT!$AS:$AS,MATCH($E184,PMTCT!$E:$E,0)))</f>
        <v/>
      </c>
      <c r="J184" s="38">
        <f>INDEX(TB!$P:$P,MATCH($E184,TB!$E:$E,0))</f>
        <v>0</v>
      </c>
      <c r="K184" s="38" t="str">
        <f>IF(OR($C184="01-09",$C184="10-14",$D184="Female"),"",INDEX(VMMC!$AA:$AA,MATCH($E184,VMMC!$E:$E,0)))</f>
        <v/>
      </c>
      <c r="L184" s="38">
        <f t="shared" si="67"/>
        <v>3</v>
      </c>
      <c r="M184" s="33" t="str">
        <f t="shared" si="68"/>
        <v/>
      </c>
      <c r="N184" s="33" t="str">
        <f t="shared" si="69"/>
        <v/>
      </c>
      <c r="O184" s="33">
        <f t="shared" si="70"/>
        <v>0</v>
      </c>
      <c r="P184" s="33" t="str">
        <f t="shared" si="71"/>
        <v/>
      </c>
      <c r="Q184" s="33">
        <v>0.5</v>
      </c>
      <c r="R184" s="33"/>
      <c r="S184" s="33"/>
      <c r="T184" s="33"/>
      <c r="U184" s="33">
        <f t="shared" si="94"/>
        <v>0.5</v>
      </c>
      <c r="V184" s="33">
        <f t="shared" si="72"/>
        <v>1</v>
      </c>
      <c r="W184" s="218">
        <f t="shared" si="73"/>
        <v>2</v>
      </c>
      <c r="X184" s="33">
        <v>0.02</v>
      </c>
      <c r="Y184" s="218">
        <f t="shared" si="73"/>
        <v>2</v>
      </c>
      <c r="Z184" s="218">
        <f t="shared" si="74"/>
        <v>98</v>
      </c>
      <c r="AA184" s="33">
        <v>0.12</v>
      </c>
      <c r="AB184" s="218" t="str">
        <f t="shared" si="75"/>
        <v/>
      </c>
      <c r="AC184" s="218" t="str">
        <f t="shared" si="76"/>
        <v/>
      </c>
      <c r="AD184" s="33">
        <v>0.02</v>
      </c>
      <c r="AE184" s="218" t="str">
        <f t="shared" si="77"/>
        <v/>
      </c>
      <c r="AF184" s="218" t="str">
        <f t="shared" si="78"/>
        <v/>
      </c>
      <c r="AG184" s="33">
        <v>0.02</v>
      </c>
      <c r="AH184" s="218" t="str">
        <f t="shared" si="79"/>
        <v/>
      </c>
      <c r="AI184" s="218" t="str">
        <f t="shared" si="80"/>
        <v/>
      </c>
      <c r="AJ184" s="33">
        <v>5.4000000000000003E-3</v>
      </c>
      <c r="AK184" s="218">
        <f t="shared" si="81"/>
        <v>2</v>
      </c>
      <c r="AL184" s="218">
        <f t="shared" si="82"/>
        <v>368</v>
      </c>
      <c r="AM184" s="38">
        <f t="shared" si="83"/>
        <v>3</v>
      </c>
      <c r="AN184" s="38">
        <f t="shared" si="84"/>
        <v>4</v>
      </c>
      <c r="AO184" s="38">
        <f t="shared" si="85"/>
        <v>1</v>
      </c>
      <c r="AP184" s="38" t="str">
        <f>IF(OR($C184="01-09",$D184="Male"),"",INDEX(PMTCT!$AD:$AD,MATCH($E184,PMTCT!$E:$E,0)))</f>
        <v/>
      </c>
      <c r="AQ184" s="38" t="str">
        <f>IF(OR($C184="01-09",$D184="Male"),"",INDEX(PMTCT!$AT:$AT,MATCH($E184,PMTCT!$E:$E,0)))</f>
        <v/>
      </c>
      <c r="AR184" s="38">
        <f>INDEX(TB!$Q:$Q,MATCH($E184,TB!$E:$E,0))</f>
        <v>4</v>
      </c>
      <c r="AS184" s="38" t="str">
        <f>IF(OR($C184="01-09",$C184="10-14",$D184="Female"),"",INDEX(VMMC!$AB:$AB,MATCH($E184,VMMC!$E:$E,0)))</f>
        <v/>
      </c>
      <c r="AT184" s="38" t="str">
        <f>IF(OR($C184="01-09",$C184="10-14"),"",INDEX(PrEP!$Q:$Q,MATCH($E184,PrEP!$E:$E,0)))</f>
        <v/>
      </c>
      <c r="AU184" s="38">
        <f t="shared" si="86"/>
        <v>470</v>
      </c>
      <c r="AV184" s="38">
        <f t="shared" si="87"/>
        <v>474.00000000000006</v>
      </c>
      <c r="AW184" s="33">
        <f t="shared" si="88"/>
        <v>8.4388185654008432E-3</v>
      </c>
      <c r="AX184" s="38"/>
      <c r="AY184" s="33" t="str">
        <f t="shared" si="91"/>
        <v/>
      </c>
      <c r="AZ184" s="218" t="str">
        <f t="shared" si="89"/>
        <v/>
      </c>
      <c r="BA184" s="33" t="str">
        <f t="shared" si="92"/>
        <v/>
      </c>
      <c r="BB184" s="218" t="str">
        <f t="shared" si="90"/>
        <v/>
      </c>
    </row>
    <row r="185" spans="1:54" x14ac:dyDescent="0.2">
      <c r="A185" t="str">
        <f>INDEX(Prioritization!$D:$D,MATCH($B185,Prioritization!$A:$A,0))</f>
        <v>4 - Sustained</v>
      </c>
      <c r="B185" t="s">
        <v>302</v>
      </c>
      <c r="C185" t="s">
        <v>474</v>
      </c>
      <c r="D185" t="s">
        <v>30</v>
      </c>
      <c r="E185" t="str">
        <f t="shared" si="66"/>
        <v>Mchinji District [kxuuIFpOXyO]|10-14|Female</v>
      </c>
      <c r="F185" s="33">
        <f>IF(LEFT($B185,4)="_Mil","",INDEX(Cascade!$AA:$AA,MATCH($E185,Cascade!$E:$E,0)))</f>
        <v>0.69849032899999997</v>
      </c>
      <c r="G185" s="38">
        <f>INDEX(Cascade!$BH:$BH,MATCH($E185,Cascade!$E:$E,0))</f>
        <v>26</v>
      </c>
      <c r="H185" s="38">
        <f>IF(OR($C185="01-09",$D185="Male"),"",INDEX(PMTCT!$AC:$AC,MATCH($E185,PMTCT!$E:$E,0)))</f>
        <v>1</v>
      </c>
      <c r="I185" s="38">
        <f>IF(OR($C185="01-09",$D185="Male"),"",INDEX(PMTCT!$AS:$AS,MATCH($E185,PMTCT!$E:$E,0)))</f>
        <v>0</v>
      </c>
      <c r="J185" s="38">
        <f>INDEX(TB!$P:$P,MATCH($E185,TB!$E:$E,0))</f>
        <v>0</v>
      </c>
      <c r="K185" s="38" t="str">
        <f>IF(OR($C185="01-09",$C185="10-14",$D185="Female"),"",INDEX(VMMC!$AA:$AA,MATCH($E185,VMMC!$E:$E,0)))</f>
        <v/>
      </c>
      <c r="L185" s="38">
        <f t="shared" si="67"/>
        <v>25</v>
      </c>
      <c r="M185" s="33">
        <f t="shared" si="68"/>
        <v>3.8461538461538464E-2</v>
      </c>
      <c r="N185" s="33">
        <f t="shared" si="69"/>
        <v>0</v>
      </c>
      <c r="O185" s="33">
        <f t="shared" si="70"/>
        <v>0</v>
      </c>
      <c r="P185" s="33" t="str">
        <f t="shared" si="71"/>
        <v/>
      </c>
      <c r="Q185" s="33">
        <v>0.41666666666666702</v>
      </c>
      <c r="R185" s="33"/>
      <c r="S185" s="33"/>
      <c r="T185" s="33"/>
      <c r="U185" s="33">
        <f t="shared" si="94"/>
        <v>0.54487179487179449</v>
      </c>
      <c r="V185" s="33">
        <f t="shared" si="72"/>
        <v>1</v>
      </c>
      <c r="W185" s="218">
        <f t="shared" si="73"/>
        <v>11</v>
      </c>
      <c r="X185" s="33">
        <v>1.7999999999999999E-2</v>
      </c>
      <c r="Y185" s="218">
        <f t="shared" si="73"/>
        <v>11</v>
      </c>
      <c r="Z185" s="218">
        <f t="shared" si="74"/>
        <v>600</v>
      </c>
      <c r="AA185" s="33">
        <v>0.12</v>
      </c>
      <c r="AB185" s="218" t="str">
        <f t="shared" si="75"/>
        <v/>
      </c>
      <c r="AC185" s="218" t="str">
        <f t="shared" si="76"/>
        <v/>
      </c>
      <c r="AD185" s="33">
        <v>0.02</v>
      </c>
      <c r="AE185" s="218" t="str">
        <f t="shared" si="77"/>
        <v/>
      </c>
      <c r="AF185" s="218" t="str">
        <f t="shared" si="78"/>
        <v/>
      </c>
      <c r="AG185" s="33">
        <v>0.02</v>
      </c>
      <c r="AH185" s="218" t="str">
        <f t="shared" si="79"/>
        <v/>
      </c>
      <c r="AI185" s="218" t="str">
        <f t="shared" si="80"/>
        <v/>
      </c>
      <c r="AJ185" s="33">
        <v>4.7000000000000002E-3</v>
      </c>
      <c r="AK185" s="218">
        <f t="shared" si="81"/>
        <v>14</v>
      </c>
      <c r="AL185" s="218">
        <f t="shared" si="82"/>
        <v>2965</v>
      </c>
      <c r="AM185" s="38">
        <f t="shared" si="83"/>
        <v>26</v>
      </c>
      <c r="AN185" s="38">
        <f t="shared" si="84"/>
        <v>26</v>
      </c>
      <c r="AO185" s="38">
        <f t="shared" si="85"/>
        <v>0</v>
      </c>
      <c r="AP185" s="38">
        <f>IF(OR($C185="01-09",$D185="Male"),"",INDEX(PMTCT!$AD:$AD,MATCH($E185,PMTCT!$E:$E,0)))</f>
        <v>70</v>
      </c>
      <c r="AQ185" s="38">
        <f>IF(OR($C185="01-09",$D185="Male"),"",INDEX(PMTCT!$AT:$AT,MATCH($E185,PMTCT!$E:$E,0)))</f>
        <v>70</v>
      </c>
      <c r="AR185" s="38">
        <f>INDEX(TB!$Q:$Q,MATCH($E185,TB!$E:$E,0))</f>
        <v>2</v>
      </c>
      <c r="AS185" s="38" t="str">
        <f>IF(OR($C185="01-09",$C185="10-14",$D185="Female"),"",INDEX(VMMC!$AB:$AB,MATCH($E185,VMMC!$E:$E,0)))</f>
        <v/>
      </c>
      <c r="AT185" s="38" t="str">
        <f>IF(OR($C185="01-09",$C185="10-14"),"",INDEX(PrEP!$Q:$Q,MATCH($E185,PrEP!$E:$E,0)))</f>
        <v/>
      </c>
      <c r="AU185" s="38">
        <f t="shared" si="86"/>
        <v>3707</v>
      </c>
      <c r="AV185" s="38">
        <f t="shared" si="87"/>
        <v>3732.9999999999995</v>
      </c>
      <c r="AW185" s="33">
        <f t="shared" si="88"/>
        <v>6.9649075810340215E-3</v>
      </c>
      <c r="AX185" s="38"/>
      <c r="AY185" s="33" t="str">
        <f t="shared" si="91"/>
        <v/>
      </c>
      <c r="AZ185" s="218" t="str">
        <f t="shared" si="89"/>
        <v/>
      </c>
      <c r="BA185" s="33" t="str">
        <f t="shared" si="92"/>
        <v/>
      </c>
      <c r="BB185" s="218" t="str">
        <f t="shared" si="90"/>
        <v/>
      </c>
    </row>
    <row r="186" spans="1:54" x14ac:dyDescent="0.2">
      <c r="A186" t="str">
        <f>INDEX(Prioritization!$D:$D,MATCH($B186,Prioritization!$A:$A,0))</f>
        <v>4 - Sustained</v>
      </c>
      <c r="B186" t="s">
        <v>302</v>
      </c>
      <c r="C186" t="s">
        <v>474</v>
      </c>
      <c r="D186" t="s">
        <v>48</v>
      </c>
      <c r="E186" t="str">
        <f t="shared" si="66"/>
        <v>Mchinji District [kxuuIFpOXyO]|10-14|Male</v>
      </c>
      <c r="F186" s="33">
        <f>IF(LEFT($B186,4)="_Mil","",INDEX(Cascade!$AA:$AA,MATCH($E186,Cascade!$E:$E,0)))</f>
        <v>0.69812909199999995</v>
      </c>
      <c r="G186" s="38">
        <f>INDEX(Cascade!$BH:$BH,MATCH($E186,Cascade!$E:$E,0))</f>
        <v>4</v>
      </c>
      <c r="H186" s="38" t="str">
        <f>IF(OR($C186="01-09",$D186="Male"),"",INDEX(PMTCT!$AC:$AC,MATCH($E186,PMTCT!$E:$E,0)))</f>
        <v/>
      </c>
      <c r="I186" s="38" t="str">
        <f>IF(OR($C186="01-09",$D186="Male"),"",INDEX(PMTCT!$AS:$AS,MATCH($E186,PMTCT!$E:$E,0)))</f>
        <v/>
      </c>
      <c r="J186" s="38">
        <f>INDEX(TB!$P:$P,MATCH($E186,TB!$E:$E,0))</f>
        <v>0</v>
      </c>
      <c r="K186" s="38" t="str">
        <f>IF(OR($C186="01-09",$C186="10-14",$D186="Female"),"",INDEX(VMMC!$AA:$AA,MATCH($E186,VMMC!$E:$E,0)))</f>
        <v/>
      </c>
      <c r="L186" s="38">
        <f t="shared" si="67"/>
        <v>4</v>
      </c>
      <c r="M186" s="33" t="str">
        <f t="shared" si="68"/>
        <v/>
      </c>
      <c r="N186" s="33" t="str">
        <f t="shared" si="69"/>
        <v/>
      </c>
      <c r="O186" s="33">
        <f t="shared" si="70"/>
        <v>0</v>
      </c>
      <c r="P186" s="33" t="str">
        <f t="shared" si="71"/>
        <v/>
      </c>
      <c r="Q186" s="33">
        <v>0.56000000000000005</v>
      </c>
      <c r="R186" s="33"/>
      <c r="S186" s="33"/>
      <c r="T186" s="33"/>
      <c r="U186" s="33">
        <f t="shared" si="94"/>
        <v>0.43999999999999995</v>
      </c>
      <c r="V186" s="33">
        <f t="shared" si="72"/>
        <v>1</v>
      </c>
      <c r="W186" s="218">
        <f t="shared" si="73"/>
        <v>2</v>
      </c>
      <c r="X186" s="33">
        <v>1.4E-2</v>
      </c>
      <c r="Y186" s="218">
        <f t="shared" si="73"/>
        <v>2</v>
      </c>
      <c r="Z186" s="218">
        <f t="shared" si="74"/>
        <v>141</v>
      </c>
      <c r="AA186" s="33">
        <v>0.12</v>
      </c>
      <c r="AB186" s="218" t="str">
        <f t="shared" si="75"/>
        <v/>
      </c>
      <c r="AC186" s="218" t="str">
        <f t="shared" si="76"/>
        <v/>
      </c>
      <c r="AD186" s="33">
        <v>0.02</v>
      </c>
      <c r="AE186" s="218" t="str">
        <f t="shared" si="77"/>
        <v/>
      </c>
      <c r="AF186" s="218" t="str">
        <f t="shared" si="78"/>
        <v/>
      </c>
      <c r="AG186" s="33">
        <v>0.02</v>
      </c>
      <c r="AH186" s="218" t="str">
        <f t="shared" si="79"/>
        <v/>
      </c>
      <c r="AI186" s="218" t="str">
        <f t="shared" si="80"/>
        <v/>
      </c>
      <c r="AJ186" s="33">
        <v>8.9999999999999993E-3</v>
      </c>
      <c r="AK186" s="218">
        <f t="shared" si="81"/>
        <v>2</v>
      </c>
      <c r="AL186" s="218">
        <f t="shared" si="82"/>
        <v>220</v>
      </c>
      <c r="AM186" s="38">
        <f t="shared" si="83"/>
        <v>4</v>
      </c>
      <c r="AN186" s="38">
        <f t="shared" si="84"/>
        <v>4</v>
      </c>
      <c r="AO186" s="38">
        <f t="shared" si="85"/>
        <v>0</v>
      </c>
      <c r="AP186" s="38" t="str">
        <f>IF(OR($C186="01-09",$D186="Male"),"",INDEX(PMTCT!$AD:$AD,MATCH($E186,PMTCT!$E:$E,0)))</f>
        <v/>
      </c>
      <c r="AQ186" s="38" t="str">
        <f>IF(OR($C186="01-09",$D186="Male"),"",INDEX(PMTCT!$AT:$AT,MATCH($E186,PMTCT!$E:$E,0)))</f>
        <v/>
      </c>
      <c r="AR186" s="38">
        <f>INDEX(TB!$Q:$Q,MATCH($E186,TB!$E:$E,0))</f>
        <v>2</v>
      </c>
      <c r="AS186" s="38" t="str">
        <f>IF(OR($C186="01-09",$C186="10-14",$D186="Female"),"",INDEX(VMMC!$AB:$AB,MATCH($E186,VMMC!$E:$E,0)))</f>
        <v/>
      </c>
      <c r="AT186" s="38" t="str">
        <f>IF(OR($C186="01-09",$C186="10-14"),"",INDEX(PrEP!$Q:$Q,MATCH($E186,PrEP!$E:$E,0)))</f>
        <v/>
      </c>
      <c r="AU186" s="38">
        <f t="shared" si="86"/>
        <v>363</v>
      </c>
      <c r="AV186" s="38">
        <f t="shared" si="87"/>
        <v>367</v>
      </c>
      <c r="AW186" s="33">
        <f t="shared" si="88"/>
        <v>1.0899182561307902E-2</v>
      </c>
      <c r="AX186" s="38"/>
      <c r="AY186" s="33" t="str">
        <f t="shared" si="91"/>
        <v/>
      </c>
      <c r="AZ186" s="218" t="str">
        <f t="shared" si="89"/>
        <v/>
      </c>
      <c r="BA186" s="33" t="str">
        <f t="shared" si="92"/>
        <v/>
      </c>
      <c r="BB186" s="218" t="str">
        <f t="shared" si="90"/>
        <v/>
      </c>
    </row>
    <row r="187" spans="1:54" x14ac:dyDescent="0.2">
      <c r="A187" t="str">
        <f>INDEX(Prioritization!$D:$D,MATCH($B187,Prioritization!$A:$A,0))</f>
        <v>4 - Sustained</v>
      </c>
      <c r="B187" t="s">
        <v>302</v>
      </c>
      <c r="C187" t="s">
        <v>475</v>
      </c>
      <c r="D187" t="s">
        <v>30</v>
      </c>
      <c r="E187" t="str">
        <f t="shared" si="66"/>
        <v>Mchinji District [kxuuIFpOXyO]|15-24|Female</v>
      </c>
      <c r="F187" s="33">
        <f>IF(LEFT($B187,4)="_Mil","",INDEX(Cascade!$AA:$AA,MATCH($E187,Cascade!$E:$E,0)))</f>
        <v>0.92565124899999984</v>
      </c>
      <c r="G187" s="38">
        <f>INDEX(Cascade!$BH:$BH,MATCH($E187,Cascade!$E:$E,0))</f>
        <v>86</v>
      </c>
      <c r="H187" s="38">
        <f>IF(OR($C187="01-09",$D187="Male"),"",INDEX(PMTCT!$AC:$AC,MATCH($E187,PMTCT!$E:$E,0)))</f>
        <v>28</v>
      </c>
      <c r="I187" s="38">
        <f>IF(OR($C187="01-09",$D187="Male"),"",INDEX(PMTCT!$AS:$AS,MATCH($E187,PMTCT!$E:$E,0)))</f>
        <v>19</v>
      </c>
      <c r="J187" s="38">
        <f>INDEX(TB!$P:$P,MATCH($E187,TB!$E:$E,0))</f>
        <v>1</v>
      </c>
      <c r="K187" s="38" t="str">
        <f>IF(OR($C187="01-09",$C187="10-14",$D187="Female"),"",INDEX(VMMC!$AA:$AA,MATCH($E187,VMMC!$E:$E,0)))</f>
        <v/>
      </c>
      <c r="L187" s="38">
        <f t="shared" si="67"/>
        <v>38</v>
      </c>
      <c r="M187" s="33">
        <f t="shared" si="68"/>
        <v>0.32558139534883723</v>
      </c>
      <c r="N187" s="33">
        <f t="shared" si="69"/>
        <v>0.22093023255813954</v>
      </c>
      <c r="O187" s="33">
        <f t="shared" si="70"/>
        <v>1.1627906976744186E-2</v>
      </c>
      <c r="P187" s="33" t="str">
        <f t="shared" si="71"/>
        <v/>
      </c>
      <c r="Q187" s="33">
        <v>0.15</v>
      </c>
      <c r="R187" s="33"/>
      <c r="S187" s="33"/>
      <c r="T187" s="33">
        <v>0.05</v>
      </c>
      <c r="U187" s="33">
        <f t="shared" si="94"/>
        <v>0.2418604651162789</v>
      </c>
      <c r="V187" s="33">
        <f t="shared" si="72"/>
        <v>1</v>
      </c>
      <c r="W187" s="218">
        <f t="shared" si="73"/>
        <v>13</v>
      </c>
      <c r="X187" s="33">
        <v>0.19900000000000001</v>
      </c>
      <c r="Y187" s="218">
        <f t="shared" si="73"/>
        <v>13</v>
      </c>
      <c r="Z187" s="218">
        <f t="shared" si="74"/>
        <v>52</v>
      </c>
      <c r="AA187" s="33">
        <v>0.12</v>
      </c>
      <c r="AB187" s="218" t="str">
        <f t="shared" si="75"/>
        <v/>
      </c>
      <c r="AC187" s="218" t="str">
        <f t="shared" si="76"/>
        <v/>
      </c>
      <c r="AD187" s="33">
        <v>0.02</v>
      </c>
      <c r="AE187" s="218" t="str">
        <f t="shared" si="77"/>
        <v/>
      </c>
      <c r="AF187" s="218" t="str">
        <f t="shared" si="78"/>
        <v/>
      </c>
      <c r="AG187" s="33">
        <v>0.02</v>
      </c>
      <c r="AH187" s="218">
        <f t="shared" si="79"/>
        <v>4</v>
      </c>
      <c r="AI187" s="218">
        <f t="shared" si="80"/>
        <v>196</v>
      </c>
      <c r="AJ187" s="33">
        <v>5.4999999999999997E-3</v>
      </c>
      <c r="AK187" s="218">
        <f t="shared" si="81"/>
        <v>21</v>
      </c>
      <c r="AL187" s="218">
        <f t="shared" si="82"/>
        <v>3797</v>
      </c>
      <c r="AM187" s="38">
        <f t="shared" si="83"/>
        <v>86</v>
      </c>
      <c r="AN187" s="38">
        <f t="shared" si="84"/>
        <v>86</v>
      </c>
      <c r="AO187" s="38">
        <f t="shared" si="85"/>
        <v>0</v>
      </c>
      <c r="AP187" s="38">
        <f>IF(OR($C187="01-09",$D187="Male"),"",INDEX(PMTCT!$AD:$AD,MATCH($E187,PMTCT!$E:$E,0)))</f>
        <v>4840</v>
      </c>
      <c r="AQ187" s="38">
        <f>IF(OR($C187="01-09",$D187="Male"),"",INDEX(PMTCT!$AT:$AT,MATCH($E187,PMTCT!$E:$E,0)))</f>
        <v>4821</v>
      </c>
      <c r="AR187" s="38">
        <f>INDEX(TB!$Q:$Q,MATCH($E187,TB!$E:$E,0))</f>
        <v>13</v>
      </c>
      <c r="AS187" s="38" t="str">
        <f>IF(OR($C187="01-09",$C187="10-14",$D187="Female"),"",INDEX(VMMC!$AB:$AB,MATCH($E187,VMMC!$E:$E,0)))</f>
        <v/>
      </c>
      <c r="AT187" s="38">
        <f>IF(OR($C187="01-09",$C187="10-14"),"",INDEX(PrEP!$Q:$Q,MATCH($E187,PrEP!$E:$E,0)))</f>
        <v>36</v>
      </c>
      <c r="AU187" s="38">
        <f t="shared" si="86"/>
        <v>13755.000000000002</v>
      </c>
      <c r="AV187" s="38">
        <f t="shared" si="87"/>
        <v>13841</v>
      </c>
      <c r="AW187" s="33">
        <f t="shared" si="88"/>
        <v>6.2134238855574018E-3</v>
      </c>
      <c r="AX187" s="38">
        <v>486</v>
      </c>
      <c r="AY187" s="33">
        <f t="shared" ref="AY187:AY192" si="97">IF(OR($C187="01-09",SUM($AX187)=0),"",68%)</f>
        <v>0.68</v>
      </c>
      <c r="AZ187" s="218">
        <f t="shared" si="89"/>
        <v>816</v>
      </c>
      <c r="BA187" s="33">
        <v>0.35</v>
      </c>
      <c r="BB187" s="218">
        <f t="shared" si="90"/>
        <v>30</v>
      </c>
    </row>
    <row r="188" spans="1:54" x14ac:dyDescent="0.2">
      <c r="A188" t="str">
        <f>INDEX(Prioritization!$D:$D,MATCH($B188,Prioritization!$A:$A,0))</f>
        <v>4 - Sustained</v>
      </c>
      <c r="B188" t="s">
        <v>302</v>
      </c>
      <c r="C188" t="s">
        <v>475</v>
      </c>
      <c r="D188" t="s">
        <v>48</v>
      </c>
      <c r="E188" t="str">
        <f t="shared" si="66"/>
        <v>Mchinji District [kxuuIFpOXyO]|15-24|Male</v>
      </c>
      <c r="F188" s="33">
        <f>IF(LEFT($B188,4)="_Mil","",INDEX(Cascade!$AA:$AA,MATCH($E188,Cascade!$E:$E,0)))</f>
        <v>0.89061911900000013</v>
      </c>
      <c r="G188" s="38">
        <f>INDEX(Cascade!$BH:$BH,MATCH($E188,Cascade!$E:$E,0))</f>
        <v>63</v>
      </c>
      <c r="H188" s="38" t="str">
        <f>IF(OR($C188="01-09",$D188="Male"),"",INDEX(PMTCT!$AC:$AC,MATCH($E188,PMTCT!$E:$E,0)))</f>
        <v/>
      </c>
      <c r="I188" s="38" t="str">
        <f>IF(OR($C188="01-09",$D188="Male"),"",INDEX(PMTCT!$AS:$AS,MATCH($E188,PMTCT!$E:$E,0)))</f>
        <v/>
      </c>
      <c r="J188" s="38">
        <f>INDEX(TB!$P:$P,MATCH($E188,TB!$E:$E,0))</f>
        <v>1</v>
      </c>
      <c r="K188" s="38" t="str">
        <f>IF(OR($C188="01-09",$C188="10-14",$D188="Female"),"",INDEX(VMMC!$AA:$AA,MATCH($E188,VMMC!$E:$E,0)))</f>
        <v/>
      </c>
      <c r="L188" s="38">
        <f t="shared" si="67"/>
        <v>62</v>
      </c>
      <c r="M188" s="33" t="str">
        <f t="shared" si="68"/>
        <v/>
      </c>
      <c r="N188" s="33" t="str">
        <f t="shared" si="69"/>
        <v/>
      </c>
      <c r="O188" s="33">
        <f t="shared" si="70"/>
        <v>1.5873015873015872E-2</v>
      </c>
      <c r="P188" s="33">
        <f t="shared" si="71"/>
        <v>0</v>
      </c>
      <c r="Q188" s="33">
        <v>0.32258064516128998</v>
      </c>
      <c r="R188" s="33"/>
      <c r="S188" s="33"/>
      <c r="T188" s="33">
        <v>0.05</v>
      </c>
      <c r="U188" s="33">
        <f t="shared" si="94"/>
        <v>0.6115463389656941</v>
      </c>
      <c r="V188" s="33">
        <f t="shared" si="72"/>
        <v>1</v>
      </c>
      <c r="W188" s="218">
        <f t="shared" si="73"/>
        <v>20</v>
      </c>
      <c r="X188" s="33">
        <v>0.15</v>
      </c>
      <c r="Y188" s="218">
        <f t="shared" si="73"/>
        <v>20</v>
      </c>
      <c r="Z188" s="218">
        <f t="shared" si="74"/>
        <v>113</v>
      </c>
      <c r="AA188" s="33">
        <v>0.12</v>
      </c>
      <c r="AB188" s="218" t="str">
        <f t="shared" si="75"/>
        <v/>
      </c>
      <c r="AC188" s="218" t="str">
        <f t="shared" si="76"/>
        <v/>
      </c>
      <c r="AD188" s="33">
        <v>0.02</v>
      </c>
      <c r="AE188" s="218" t="str">
        <f t="shared" si="77"/>
        <v/>
      </c>
      <c r="AF188" s="218" t="str">
        <f t="shared" si="78"/>
        <v/>
      </c>
      <c r="AG188" s="33">
        <v>0.02</v>
      </c>
      <c r="AH188" s="218">
        <f t="shared" si="79"/>
        <v>3</v>
      </c>
      <c r="AI188" s="218">
        <f t="shared" si="80"/>
        <v>147</v>
      </c>
      <c r="AJ188" s="33">
        <v>4.5999999999999999E-3</v>
      </c>
      <c r="AK188" s="218">
        <f t="shared" si="81"/>
        <v>39</v>
      </c>
      <c r="AL188" s="218">
        <f t="shared" si="82"/>
        <v>8439</v>
      </c>
      <c r="AM188" s="38">
        <f t="shared" si="83"/>
        <v>63</v>
      </c>
      <c r="AN188" s="38">
        <f t="shared" si="84"/>
        <v>63</v>
      </c>
      <c r="AO188" s="38">
        <f t="shared" si="85"/>
        <v>0</v>
      </c>
      <c r="AP188" s="38" t="str">
        <f>IF(OR($C188="01-09",$D188="Male"),"",INDEX(PMTCT!$AD:$AD,MATCH($E188,PMTCT!$E:$E,0)))</f>
        <v/>
      </c>
      <c r="AQ188" s="38" t="str">
        <f>IF(OR($C188="01-09",$D188="Male"),"",INDEX(PMTCT!$AT:$AT,MATCH($E188,PMTCT!$E:$E,0)))</f>
        <v/>
      </c>
      <c r="AR188" s="38">
        <f>INDEX(TB!$Q:$Q,MATCH($E188,TB!$E:$E,0))</f>
        <v>22</v>
      </c>
      <c r="AS188" s="38" t="str">
        <f>IF(OR($C188="01-09",$C188="10-14",$D188="Female"),"",INDEX(VMMC!$AB:$AB,MATCH($E188,VMMC!$E:$E,0)))</f>
        <v/>
      </c>
      <c r="AT188" s="38">
        <f>IF(OR($C188="01-09",$C188="10-14"),"",INDEX(PrEP!$Q:$Q,MATCH($E188,PrEP!$E:$E,0)))</f>
        <v>36</v>
      </c>
      <c r="AU188" s="38">
        <f t="shared" si="86"/>
        <v>8757</v>
      </c>
      <c r="AV188" s="38">
        <f t="shared" si="87"/>
        <v>8820</v>
      </c>
      <c r="AW188" s="33">
        <f t="shared" si="88"/>
        <v>7.1428571428571426E-3</v>
      </c>
      <c r="AX188" s="38">
        <v>26</v>
      </c>
      <c r="AY188" s="33">
        <f t="shared" si="97"/>
        <v>0.68</v>
      </c>
      <c r="AZ188" s="218">
        <f t="shared" si="89"/>
        <v>44</v>
      </c>
      <c r="BA188" s="33">
        <v>0.35</v>
      </c>
      <c r="BB188" s="218">
        <f t="shared" si="90"/>
        <v>22</v>
      </c>
    </row>
    <row r="189" spans="1:54" x14ac:dyDescent="0.2">
      <c r="A189" t="str">
        <f>INDEX(Prioritization!$D:$D,MATCH($B189,Prioritization!$A:$A,0))</f>
        <v>4 - Sustained</v>
      </c>
      <c r="B189" t="s">
        <v>302</v>
      </c>
      <c r="C189" t="s">
        <v>476</v>
      </c>
      <c r="D189" t="s">
        <v>30</v>
      </c>
      <c r="E189" t="str">
        <f t="shared" si="66"/>
        <v>Mchinji District [kxuuIFpOXyO]|25-34|Female</v>
      </c>
      <c r="F189" s="33">
        <f>IF(LEFT($B189,4)="_Mil","",INDEX(Cascade!$AA:$AA,MATCH($E189,Cascade!$E:$E,0)))</f>
        <v>0.96035129099999994</v>
      </c>
      <c r="G189" s="38">
        <f>INDEX(Cascade!$BH:$BH,MATCH($E189,Cascade!$E:$E,0))</f>
        <v>202</v>
      </c>
      <c r="H189" s="38">
        <f>IF(OR($C189="01-09",$D189="Male"),"",INDEX(PMTCT!$AC:$AC,MATCH($E189,PMTCT!$E:$E,0)))</f>
        <v>82</v>
      </c>
      <c r="I189" s="38">
        <f>IF(OR($C189="01-09",$D189="Male"),"",INDEX(PMTCT!$AS:$AS,MATCH($E189,PMTCT!$E:$E,0)))</f>
        <v>30</v>
      </c>
      <c r="J189" s="38">
        <f>INDEX(TB!$P:$P,MATCH($E189,TB!$E:$E,0))</f>
        <v>1</v>
      </c>
      <c r="K189" s="38" t="str">
        <f>IF(OR($C189="01-09",$C189="10-14",$D189="Female"),"",INDEX(VMMC!$AA:$AA,MATCH($E189,VMMC!$E:$E,0)))</f>
        <v/>
      </c>
      <c r="L189" s="38">
        <f t="shared" si="67"/>
        <v>89</v>
      </c>
      <c r="M189" s="33">
        <f t="shared" si="68"/>
        <v>0.40594059405940597</v>
      </c>
      <c r="N189" s="33">
        <f t="shared" si="69"/>
        <v>0.14851485148514851</v>
      </c>
      <c r="O189" s="33">
        <f t="shared" si="70"/>
        <v>4.9504950495049506E-3</v>
      </c>
      <c r="P189" s="33" t="str">
        <f t="shared" si="71"/>
        <v/>
      </c>
      <c r="Q189" s="33">
        <v>0.17142857142857101</v>
      </c>
      <c r="R189" s="33"/>
      <c r="S189" s="33"/>
      <c r="T189" s="33">
        <v>0.05</v>
      </c>
      <c r="U189" s="33">
        <f t="shared" si="94"/>
        <v>0.21916548797736946</v>
      </c>
      <c r="V189" s="33">
        <f t="shared" si="72"/>
        <v>1</v>
      </c>
      <c r="W189" s="218">
        <f t="shared" si="73"/>
        <v>35</v>
      </c>
      <c r="X189" s="33">
        <v>0.20399999999999999</v>
      </c>
      <c r="Y189" s="218">
        <f t="shared" si="73"/>
        <v>35</v>
      </c>
      <c r="Z189" s="218">
        <f t="shared" si="74"/>
        <v>137</v>
      </c>
      <c r="AA189" s="33">
        <v>0.12</v>
      </c>
      <c r="AB189" s="218" t="str">
        <f t="shared" si="75"/>
        <v/>
      </c>
      <c r="AC189" s="218" t="str">
        <f t="shared" si="76"/>
        <v/>
      </c>
      <c r="AD189" s="33">
        <v>0.02</v>
      </c>
      <c r="AE189" s="218" t="str">
        <f t="shared" si="77"/>
        <v/>
      </c>
      <c r="AF189" s="218" t="str">
        <f t="shared" si="78"/>
        <v/>
      </c>
      <c r="AG189" s="33">
        <v>0.02</v>
      </c>
      <c r="AH189" s="218">
        <f t="shared" si="79"/>
        <v>10</v>
      </c>
      <c r="AI189" s="218">
        <f t="shared" si="80"/>
        <v>490</v>
      </c>
      <c r="AJ189" s="33">
        <v>1.2999999999999999E-2</v>
      </c>
      <c r="AK189" s="218">
        <f t="shared" si="81"/>
        <v>44</v>
      </c>
      <c r="AL189" s="218">
        <f t="shared" si="82"/>
        <v>3341</v>
      </c>
      <c r="AM189" s="38">
        <f t="shared" si="83"/>
        <v>202</v>
      </c>
      <c r="AN189" s="38">
        <f t="shared" si="84"/>
        <v>202</v>
      </c>
      <c r="AO189" s="38">
        <f t="shared" si="85"/>
        <v>0</v>
      </c>
      <c r="AP189" s="38">
        <f>IF(OR($C189="01-09",$D189="Male"),"",INDEX(PMTCT!$AD:$AD,MATCH($E189,PMTCT!$E:$E,0)))</f>
        <v>7401</v>
      </c>
      <c r="AQ189" s="38">
        <f>IF(OR($C189="01-09",$D189="Male"),"",INDEX(PMTCT!$AT:$AT,MATCH($E189,PMTCT!$E:$E,0)))</f>
        <v>7371</v>
      </c>
      <c r="AR189" s="38">
        <f>INDEX(TB!$Q:$Q,MATCH($E189,TB!$E:$E,0))</f>
        <v>13</v>
      </c>
      <c r="AS189" s="38" t="str">
        <f>IF(OR($C189="01-09",$C189="10-14",$D189="Female"),"",INDEX(VMMC!$AB:$AB,MATCH($E189,VMMC!$E:$E,0)))</f>
        <v/>
      </c>
      <c r="AT189" s="38">
        <f>IF(OR($C189="01-09",$C189="10-14"),"",INDEX(PrEP!$Q:$Q,MATCH($E189,PrEP!$E:$E,0)))</f>
        <v>30</v>
      </c>
      <c r="AU189" s="38">
        <f t="shared" si="86"/>
        <v>18783</v>
      </c>
      <c r="AV189" s="38">
        <f t="shared" si="87"/>
        <v>18985</v>
      </c>
      <c r="AW189" s="33">
        <f t="shared" si="88"/>
        <v>1.0639978930734791E-2</v>
      </c>
      <c r="AX189" s="38">
        <v>327</v>
      </c>
      <c r="AY189" s="33">
        <f t="shared" si="97"/>
        <v>0.68</v>
      </c>
      <c r="AZ189" s="218">
        <f t="shared" si="89"/>
        <v>549</v>
      </c>
      <c r="BA189" s="33">
        <v>0.35</v>
      </c>
      <c r="BB189" s="218">
        <f t="shared" si="90"/>
        <v>71</v>
      </c>
    </row>
    <row r="190" spans="1:54" x14ac:dyDescent="0.2">
      <c r="A190" t="str">
        <f>INDEX(Prioritization!$D:$D,MATCH($B190,Prioritization!$A:$A,0))</f>
        <v>4 - Sustained</v>
      </c>
      <c r="B190" t="s">
        <v>302</v>
      </c>
      <c r="C190" t="s">
        <v>476</v>
      </c>
      <c r="D190" t="s">
        <v>48</v>
      </c>
      <c r="E190" t="str">
        <f t="shared" si="66"/>
        <v>Mchinji District [kxuuIFpOXyO]|25-34|Male</v>
      </c>
      <c r="F190" s="33">
        <f>IF(LEFT($B190,4)="_Mil","",INDEX(Cascade!$AA:$AA,MATCH($E190,Cascade!$E:$E,0)))</f>
        <v>0.85908688699999991</v>
      </c>
      <c r="G190" s="38">
        <f>INDEX(Cascade!$BH:$BH,MATCH($E190,Cascade!$E:$E,0))</f>
        <v>18</v>
      </c>
      <c r="H190" s="38" t="str">
        <f>IF(OR($C190="01-09",$D190="Male"),"",INDEX(PMTCT!$AC:$AC,MATCH($E190,PMTCT!$E:$E,0)))</f>
        <v/>
      </c>
      <c r="I190" s="38" t="str">
        <f>IF(OR($C190="01-09",$D190="Male"),"",INDEX(PMTCT!$AS:$AS,MATCH($E190,PMTCT!$E:$E,0)))</f>
        <v/>
      </c>
      <c r="J190" s="38">
        <f>INDEX(TB!$P:$P,MATCH($E190,TB!$E:$E,0))</f>
        <v>1</v>
      </c>
      <c r="K190" s="38" t="str">
        <f>IF(OR($C190="01-09",$C190="10-14",$D190="Female"),"",INDEX(VMMC!$AA:$AA,MATCH($E190,VMMC!$E:$E,0)))</f>
        <v/>
      </c>
      <c r="L190" s="38">
        <f t="shared" si="67"/>
        <v>17</v>
      </c>
      <c r="M190" s="33" t="str">
        <f t="shared" si="68"/>
        <v/>
      </c>
      <c r="N190" s="33" t="str">
        <f t="shared" si="69"/>
        <v/>
      </c>
      <c r="O190" s="33">
        <f t="shared" si="70"/>
        <v>5.5555555555555552E-2</v>
      </c>
      <c r="P190" s="33">
        <f t="shared" si="71"/>
        <v>0</v>
      </c>
      <c r="Q190" s="33">
        <v>0.371428571428571</v>
      </c>
      <c r="R190" s="33"/>
      <c r="S190" s="33"/>
      <c r="T190" s="33">
        <v>0.05</v>
      </c>
      <c r="U190" s="33">
        <f t="shared" si="94"/>
        <v>0.52301587301587338</v>
      </c>
      <c r="V190" s="33">
        <f t="shared" si="72"/>
        <v>1</v>
      </c>
      <c r="W190" s="218">
        <f t="shared" si="73"/>
        <v>7</v>
      </c>
      <c r="X190" s="33">
        <v>0.13900000000000001</v>
      </c>
      <c r="Y190" s="218">
        <f t="shared" si="73"/>
        <v>7</v>
      </c>
      <c r="Z190" s="218">
        <f t="shared" si="74"/>
        <v>43</v>
      </c>
      <c r="AA190" s="33">
        <v>0.12</v>
      </c>
      <c r="AB190" s="218" t="str">
        <f t="shared" si="75"/>
        <v/>
      </c>
      <c r="AC190" s="218" t="str">
        <f t="shared" si="76"/>
        <v/>
      </c>
      <c r="AD190" s="33">
        <v>0.02</v>
      </c>
      <c r="AE190" s="218" t="str">
        <f t="shared" si="77"/>
        <v/>
      </c>
      <c r="AF190" s="218" t="str">
        <f t="shared" si="78"/>
        <v/>
      </c>
      <c r="AG190" s="33">
        <v>0.02</v>
      </c>
      <c r="AH190" s="218">
        <f t="shared" si="79"/>
        <v>1</v>
      </c>
      <c r="AI190" s="218">
        <f t="shared" si="80"/>
        <v>49</v>
      </c>
      <c r="AJ190" s="33">
        <v>1.2999999999999999E-2</v>
      </c>
      <c r="AK190" s="218">
        <f t="shared" si="81"/>
        <v>9</v>
      </c>
      <c r="AL190" s="218">
        <f t="shared" si="82"/>
        <v>683</v>
      </c>
      <c r="AM190" s="38">
        <f t="shared" si="83"/>
        <v>18</v>
      </c>
      <c r="AN190" s="38">
        <f t="shared" si="84"/>
        <v>18</v>
      </c>
      <c r="AO190" s="38">
        <f t="shared" si="85"/>
        <v>0</v>
      </c>
      <c r="AP190" s="38" t="str">
        <f>IF(OR($C190="01-09",$D190="Male"),"",INDEX(PMTCT!$AD:$AD,MATCH($E190,PMTCT!$E:$E,0)))</f>
        <v/>
      </c>
      <c r="AQ190" s="38" t="str">
        <f>IF(OR($C190="01-09",$D190="Male"),"",INDEX(PMTCT!$AT:$AT,MATCH($E190,PMTCT!$E:$E,0)))</f>
        <v/>
      </c>
      <c r="AR190" s="38">
        <f>INDEX(TB!$Q:$Q,MATCH($E190,TB!$E:$E,0))</f>
        <v>22</v>
      </c>
      <c r="AS190" s="38" t="str">
        <f>IF(OR($C190="01-09",$C190="10-14",$D190="Female"),"",INDEX(VMMC!$AB:$AB,MATCH($E190,VMMC!$E:$E,0)))</f>
        <v/>
      </c>
      <c r="AT190" s="38">
        <f>IF(OR($C190="01-09",$C190="10-14"),"",INDEX(PrEP!$Q:$Q,MATCH($E190,PrEP!$E:$E,0)))</f>
        <v>12</v>
      </c>
      <c r="AU190" s="38">
        <f t="shared" si="86"/>
        <v>809.00000000000011</v>
      </c>
      <c r="AV190" s="38">
        <f t="shared" si="87"/>
        <v>827.00000000000023</v>
      </c>
      <c r="AW190" s="33">
        <f t="shared" si="88"/>
        <v>2.1765417170495762E-2</v>
      </c>
      <c r="AX190" s="38">
        <v>26</v>
      </c>
      <c r="AY190" s="33">
        <f t="shared" si="97"/>
        <v>0.68</v>
      </c>
      <c r="AZ190" s="218">
        <f t="shared" si="89"/>
        <v>44</v>
      </c>
      <c r="BA190" s="33">
        <v>0.35</v>
      </c>
      <c r="BB190" s="218">
        <f t="shared" si="90"/>
        <v>6</v>
      </c>
    </row>
    <row r="191" spans="1:54" x14ac:dyDescent="0.2">
      <c r="A191" t="str">
        <f>INDEX(Prioritization!$D:$D,MATCH($B191,Prioritization!$A:$A,0))</f>
        <v>4 - Sustained</v>
      </c>
      <c r="B191" t="s">
        <v>302</v>
      </c>
      <c r="C191" t="s">
        <v>477</v>
      </c>
      <c r="D191" t="s">
        <v>30</v>
      </c>
      <c r="E191" t="str">
        <f t="shared" si="66"/>
        <v>Mchinji District [kxuuIFpOXyO]|35-49|Female</v>
      </c>
      <c r="F191" s="33">
        <f>IF(LEFT($B191,4)="_Mil","",INDEX(Cascade!$AA:$AA,MATCH($E191,Cascade!$E:$E,0)))</f>
        <v>0.98019103900000004</v>
      </c>
      <c r="G191" s="38">
        <f>INDEX(Cascade!$BH:$BH,MATCH($E191,Cascade!$E:$E,0))</f>
        <v>192</v>
      </c>
      <c r="H191" s="38">
        <f>IF(OR($C191="01-09",$D191="Male"),"",INDEX(PMTCT!$AC:$AC,MATCH($E191,PMTCT!$E:$E,0)))</f>
        <v>20</v>
      </c>
      <c r="I191" s="38">
        <f>IF(OR($C191="01-09",$D191="Male"),"",INDEX(PMTCT!$AS:$AS,MATCH($E191,PMTCT!$E:$E,0)))</f>
        <v>7</v>
      </c>
      <c r="J191" s="38">
        <f>INDEX(TB!$P:$P,MATCH($E191,TB!$E:$E,0))</f>
        <v>1</v>
      </c>
      <c r="K191" s="38" t="str">
        <f>IF(OR($C191="01-09",$C191="10-14",$D191="Female"),"",INDEX(VMMC!$AA:$AA,MATCH($E191,VMMC!$E:$E,0)))</f>
        <v/>
      </c>
      <c r="L191" s="38">
        <f t="shared" si="67"/>
        <v>164</v>
      </c>
      <c r="M191" s="33">
        <f t="shared" si="68"/>
        <v>0.10416666666666667</v>
      </c>
      <c r="N191" s="33">
        <f t="shared" si="69"/>
        <v>3.6458333333333336E-2</v>
      </c>
      <c r="O191" s="33">
        <f t="shared" si="70"/>
        <v>5.208333333333333E-3</v>
      </c>
      <c r="P191" s="33" t="str">
        <f t="shared" si="71"/>
        <v/>
      </c>
      <c r="Q191" s="33">
        <v>0.227450980392157</v>
      </c>
      <c r="R191" s="33"/>
      <c r="S191" s="33"/>
      <c r="T191" s="33">
        <v>0.05</v>
      </c>
      <c r="U191" s="33">
        <f t="shared" si="94"/>
        <v>0.57671568627450975</v>
      </c>
      <c r="V191" s="33">
        <f t="shared" si="72"/>
        <v>1</v>
      </c>
      <c r="W191" s="218">
        <f t="shared" si="73"/>
        <v>44</v>
      </c>
      <c r="X191" s="33">
        <v>0.14899999999999999</v>
      </c>
      <c r="Y191" s="218">
        <f t="shared" si="73"/>
        <v>44</v>
      </c>
      <c r="Z191" s="218">
        <f t="shared" si="74"/>
        <v>251</v>
      </c>
      <c r="AA191" s="33">
        <v>0.12</v>
      </c>
      <c r="AB191" s="218" t="str">
        <f t="shared" si="75"/>
        <v/>
      </c>
      <c r="AC191" s="218" t="str">
        <f t="shared" si="76"/>
        <v/>
      </c>
      <c r="AD191" s="33">
        <v>0.02</v>
      </c>
      <c r="AE191" s="218" t="str">
        <f t="shared" si="77"/>
        <v/>
      </c>
      <c r="AF191" s="218" t="str">
        <f t="shared" si="78"/>
        <v/>
      </c>
      <c r="AG191" s="33">
        <v>0.02</v>
      </c>
      <c r="AH191" s="218">
        <f t="shared" si="79"/>
        <v>10</v>
      </c>
      <c r="AI191" s="218">
        <f t="shared" si="80"/>
        <v>490</v>
      </c>
      <c r="AJ191" s="33">
        <v>2.1000000000000001E-2</v>
      </c>
      <c r="AK191" s="218">
        <f t="shared" si="81"/>
        <v>111</v>
      </c>
      <c r="AL191" s="218">
        <f t="shared" si="82"/>
        <v>5175</v>
      </c>
      <c r="AM191" s="38">
        <f t="shared" si="83"/>
        <v>192</v>
      </c>
      <c r="AN191" s="38">
        <f t="shared" si="84"/>
        <v>193</v>
      </c>
      <c r="AO191" s="38">
        <f t="shared" si="85"/>
        <v>1</v>
      </c>
      <c r="AP191" s="38">
        <f>IF(OR($C191="01-09",$D191="Male"),"",INDEX(PMTCT!$AD:$AD,MATCH($E191,PMTCT!$E:$E,0)))</f>
        <v>1813</v>
      </c>
      <c r="AQ191" s="38">
        <f>IF(OR($C191="01-09",$D191="Male"),"",INDEX(PMTCT!$AT:$AT,MATCH($E191,PMTCT!$E:$E,0)))</f>
        <v>1805.9999999999998</v>
      </c>
      <c r="AR191" s="38">
        <f>INDEX(TB!$Q:$Q,MATCH($E191,TB!$E:$E,0))</f>
        <v>20</v>
      </c>
      <c r="AS191" s="38" t="str">
        <f>IF(OR($C191="01-09",$C191="10-14",$D191="Female"),"",INDEX(VMMC!$AB:$AB,MATCH($E191,VMMC!$E:$E,0)))</f>
        <v/>
      </c>
      <c r="AT191" s="38">
        <f>IF(OR($C191="01-09",$C191="10-14"),"",INDEX(PrEP!$Q:$Q,MATCH($E191,PrEP!$E:$E,0)))</f>
        <v>54</v>
      </c>
      <c r="AU191" s="38">
        <f t="shared" si="86"/>
        <v>9609</v>
      </c>
      <c r="AV191" s="38">
        <f t="shared" si="87"/>
        <v>9802</v>
      </c>
      <c r="AW191" s="33">
        <f t="shared" si="88"/>
        <v>1.9689859212405632E-2</v>
      </c>
      <c r="AX191" s="38">
        <v>23</v>
      </c>
      <c r="AY191" s="33">
        <f t="shared" si="97"/>
        <v>0.68</v>
      </c>
      <c r="AZ191" s="218">
        <f t="shared" si="89"/>
        <v>39</v>
      </c>
      <c r="BA191" s="33">
        <v>0.35</v>
      </c>
      <c r="BB191" s="218">
        <f t="shared" si="90"/>
        <v>68</v>
      </c>
    </row>
    <row r="192" spans="1:54" x14ac:dyDescent="0.2">
      <c r="A192" t="str">
        <f>INDEX(Prioritization!$D:$D,MATCH($B192,Prioritization!$A:$A,0))</f>
        <v>4 - Sustained</v>
      </c>
      <c r="B192" t="s">
        <v>302</v>
      </c>
      <c r="C192" t="s">
        <v>477</v>
      </c>
      <c r="D192" t="s">
        <v>48</v>
      </c>
      <c r="E192" t="str">
        <f t="shared" si="66"/>
        <v>Mchinji District [kxuuIFpOXyO]|35-49|Male</v>
      </c>
      <c r="F192" s="33">
        <f>IF(LEFT($B192,4)="_Mil","",INDEX(Cascade!$AA:$AA,MATCH($E192,Cascade!$E:$E,0)))</f>
        <v>0.91316525599999998</v>
      </c>
      <c r="G192" s="38">
        <f>INDEX(Cascade!$BH:$BH,MATCH($E192,Cascade!$E:$E,0))</f>
        <v>143</v>
      </c>
      <c r="H192" s="38" t="str">
        <f>IF(OR($C192="01-09",$D192="Male"),"",INDEX(PMTCT!$AC:$AC,MATCH($E192,PMTCT!$E:$E,0)))</f>
        <v/>
      </c>
      <c r="I192" s="38" t="str">
        <f>IF(OR($C192="01-09",$D192="Male"),"",INDEX(PMTCT!$AS:$AS,MATCH($E192,PMTCT!$E:$E,0)))</f>
        <v/>
      </c>
      <c r="J192" s="38">
        <f>INDEX(TB!$P:$P,MATCH($E192,TB!$E:$E,0))</f>
        <v>2</v>
      </c>
      <c r="K192" s="38" t="str">
        <f>IF(OR($C192="01-09",$C192="10-14",$D192="Female"),"",INDEX(VMMC!$AA:$AA,MATCH($E192,VMMC!$E:$E,0)))</f>
        <v/>
      </c>
      <c r="L192" s="38">
        <f t="shared" si="67"/>
        <v>141</v>
      </c>
      <c r="M192" s="33" t="str">
        <f t="shared" si="68"/>
        <v/>
      </c>
      <c r="N192" s="33" t="str">
        <f t="shared" si="69"/>
        <v/>
      </c>
      <c r="O192" s="33">
        <f t="shared" si="70"/>
        <v>1.3986013986013986E-2</v>
      </c>
      <c r="P192" s="33">
        <f t="shared" si="71"/>
        <v>0</v>
      </c>
      <c r="Q192" s="33">
        <v>0.38888888888888901</v>
      </c>
      <c r="R192" s="33"/>
      <c r="S192" s="33"/>
      <c r="T192" s="33">
        <v>0.05</v>
      </c>
      <c r="U192" s="33">
        <f t="shared" si="94"/>
        <v>0.54712509712509694</v>
      </c>
      <c r="V192" s="33">
        <f t="shared" si="72"/>
        <v>1</v>
      </c>
      <c r="W192" s="218">
        <f t="shared" si="73"/>
        <v>56</v>
      </c>
      <c r="X192" s="33">
        <v>0.11700000000000001</v>
      </c>
      <c r="Y192" s="218">
        <f t="shared" si="73"/>
        <v>56</v>
      </c>
      <c r="Z192" s="218">
        <f t="shared" si="74"/>
        <v>423</v>
      </c>
      <c r="AA192" s="33">
        <v>0.12</v>
      </c>
      <c r="AB192" s="218" t="str">
        <f t="shared" si="75"/>
        <v/>
      </c>
      <c r="AC192" s="218" t="str">
        <f t="shared" si="76"/>
        <v/>
      </c>
      <c r="AD192" s="33">
        <v>0.02</v>
      </c>
      <c r="AE192" s="218" t="str">
        <f t="shared" si="77"/>
        <v/>
      </c>
      <c r="AF192" s="218" t="str">
        <f t="shared" si="78"/>
        <v/>
      </c>
      <c r="AG192" s="33">
        <v>0.02</v>
      </c>
      <c r="AH192" s="218">
        <f t="shared" si="79"/>
        <v>7</v>
      </c>
      <c r="AI192" s="218">
        <f t="shared" si="80"/>
        <v>343</v>
      </c>
      <c r="AJ192" s="33">
        <v>2.1000000000000001E-2</v>
      </c>
      <c r="AK192" s="218">
        <f t="shared" si="81"/>
        <v>78</v>
      </c>
      <c r="AL192" s="218">
        <f t="shared" si="82"/>
        <v>3636</v>
      </c>
      <c r="AM192" s="38">
        <f t="shared" si="83"/>
        <v>143</v>
      </c>
      <c r="AN192" s="38">
        <f t="shared" si="84"/>
        <v>143</v>
      </c>
      <c r="AO192" s="38">
        <f t="shared" si="85"/>
        <v>0</v>
      </c>
      <c r="AP192" s="38" t="str">
        <f>IF(OR($C192="01-09",$D192="Male"),"",INDEX(PMTCT!$AD:$AD,MATCH($E192,PMTCT!$E:$E,0)))</f>
        <v/>
      </c>
      <c r="AQ192" s="38" t="str">
        <f>IF(OR($C192="01-09",$D192="Male"),"",INDEX(PMTCT!$AT:$AT,MATCH($E192,PMTCT!$E:$E,0)))</f>
        <v/>
      </c>
      <c r="AR192" s="38">
        <f>INDEX(TB!$Q:$Q,MATCH($E192,TB!$E:$E,0))</f>
        <v>32</v>
      </c>
      <c r="AS192" s="38" t="str">
        <f>IF(OR($C192="01-09",$C192="10-14",$D192="Female"),"",INDEX(VMMC!$AB:$AB,MATCH($E192,VMMC!$E:$E,0)))</f>
        <v/>
      </c>
      <c r="AT192" s="38">
        <f>IF(OR($C192="01-09",$C192="10-14"),"",INDEX(PrEP!$Q:$Q,MATCH($E192,PrEP!$E:$E,0)))</f>
        <v>24</v>
      </c>
      <c r="AU192" s="38">
        <f t="shared" si="86"/>
        <v>4458</v>
      </c>
      <c r="AV192" s="38">
        <f t="shared" si="87"/>
        <v>4601</v>
      </c>
      <c r="AW192" s="33">
        <f t="shared" si="88"/>
        <v>3.108019995653119E-2</v>
      </c>
      <c r="AX192" s="38">
        <v>19</v>
      </c>
      <c r="AY192" s="33">
        <f t="shared" si="97"/>
        <v>0.68</v>
      </c>
      <c r="AZ192" s="218">
        <f t="shared" si="89"/>
        <v>32</v>
      </c>
      <c r="BA192" s="33">
        <v>0.35</v>
      </c>
      <c r="BB192" s="218">
        <f t="shared" si="90"/>
        <v>50</v>
      </c>
    </row>
    <row r="193" spans="1:54" x14ac:dyDescent="0.2">
      <c r="A193" t="str">
        <f>INDEX(Prioritization!$D:$D,MATCH($B193,Prioritization!$A:$A,0))</f>
        <v>4 - Sustained</v>
      </c>
      <c r="B193" t="s">
        <v>302</v>
      </c>
      <c r="C193" t="s">
        <v>478</v>
      </c>
      <c r="D193" t="s">
        <v>30</v>
      </c>
      <c r="E193" t="str">
        <f t="shared" si="66"/>
        <v>Mchinji District [kxuuIFpOXyO]|50+|Female</v>
      </c>
      <c r="F193" s="33">
        <f>IF(LEFT($B193,4)="_Mil","",INDEX(Cascade!$AA:$AA,MATCH($E193,Cascade!$E:$E,0)))</f>
        <v>0.98636674400000002</v>
      </c>
      <c r="G193" s="38">
        <f>INDEX(Cascade!$BH:$BH,MATCH($E193,Cascade!$E:$E,0))</f>
        <v>102</v>
      </c>
      <c r="H193" s="38">
        <f>IF(OR($C193="01-09",$D193="Male"),"",INDEX(PMTCT!$AC:$AC,MATCH($E193,PMTCT!$E:$E,0)))</f>
        <v>0</v>
      </c>
      <c r="I193" s="38">
        <f>IF(OR($C193="01-09",$D193="Male"),"",INDEX(PMTCT!$AS:$AS,MATCH($E193,PMTCT!$E:$E,0)))</f>
        <v>0</v>
      </c>
      <c r="J193" s="38">
        <f>INDEX(TB!$P:$P,MATCH($E193,TB!$E:$E,0))</f>
        <v>0</v>
      </c>
      <c r="K193" s="38" t="str">
        <f>IF(OR($C193="01-09",$C193="10-14",$D193="Female"),"",INDEX(VMMC!$AA:$AA,MATCH($E193,VMMC!$E:$E,0)))</f>
        <v/>
      </c>
      <c r="L193" s="38">
        <f t="shared" si="67"/>
        <v>102</v>
      </c>
      <c r="M193" s="33">
        <f t="shared" si="68"/>
        <v>0</v>
      </c>
      <c r="N193" s="33">
        <f t="shared" si="69"/>
        <v>0</v>
      </c>
      <c r="O193" s="33">
        <f t="shared" si="70"/>
        <v>0</v>
      </c>
      <c r="P193" s="33" t="str">
        <f t="shared" si="71"/>
        <v/>
      </c>
      <c r="Q193" s="33">
        <v>0.15</v>
      </c>
      <c r="R193" s="33"/>
      <c r="S193" s="33"/>
      <c r="T193" s="33">
        <v>0.05</v>
      </c>
      <c r="U193" s="33">
        <f t="shared" si="94"/>
        <v>0.8</v>
      </c>
      <c r="V193" s="33">
        <f t="shared" si="72"/>
        <v>1</v>
      </c>
      <c r="W193" s="218">
        <f t="shared" si="73"/>
        <v>15</v>
      </c>
      <c r="X193" s="33">
        <v>0.2</v>
      </c>
      <c r="Y193" s="218">
        <f t="shared" si="73"/>
        <v>15</v>
      </c>
      <c r="Z193" s="218">
        <f t="shared" si="74"/>
        <v>60</v>
      </c>
      <c r="AA193" s="33">
        <v>0.12</v>
      </c>
      <c r="AB193" s="218" t="str">
        <f t="shared" si="75"/>
        <v/>
      </c>
      <c r="AC193" s="218" t="str">
        <f t="shared" si="76"/>
        <v/>
      </c>
      <c r="AD193" s="33">
        <v>0.02</v>
      </c>
      <c r="AE193" s="218" t="str">
        <f t="shared" si="77"/>
        <v/>
      </c>
      <c r="AF193" s="218" t="str">
        <f t="shared" si="78"/>
        <v/>
      </c>
      <c r="AG193" s="33">
        <v>0.02</v>
      </c>
      <c r="AH193" s="218">
        <f t="shared" si="79"/>
        <v>5</v>
      </c>
      <c r="AI193" s="218">
        <f t="shared" si="80"/>
        <v>245</v>
      </c>
      <c r="AJ193" s="33">
        <v>1.9E-2</v>
      </c>
      <c r="AK193" s="218">
        <f t="shared" si="81"/>
        <v>82</v>
      </c>
      <c r="AL193" s="218">
        <f t="shared" si="82"/>
        <v>4234</v>
      </c>
      <c r="AM193" s="38">
        <f t="shared" si="83"/>
        <v>102</v>
      </c>
      <c r="AN193" s="38">
        <f t="shared" si="84"/>
        <v>102</v>
      </c>
      <c r="AO193" s="38">
        <f t="shared" si="85"/>
        <v>0</v>
      </c>
      <c r="AP193" s="38">
        <f>IF(OR($C193="01-09",$D193="Male"),"",INDEX(PMTCT!$AD:$AD,MATCH($E193,PMTCT!$E:$E,0)))</f>
        <v>17</v>
      </c>
      <c r="AQ193" s="38">
        <f>IF(OR($C193="01-09",$D193="Male"),"",INDEX(PMTCT!$AT:$AT,MATCH($E193,PMTCT!$E:$E,0)))</f>
        <v>17</v>
      </c>
      <c r="AR193" s="38">
        <f>INDEX(TB!$Q:$Q,MATCH($E193,TB!$E:$E,0))</f>
        <v>6</v>
      </c>
      <c r="AS193" s="38" t="str">
        <f>IF(OR($C193="01-09",$C193="10-14",$D193="Female"),"",INDEX(VMMC!$AB:$AB,MATCH($E193,VMMC!$E:$E,0)))</f>
        <v/>
      </c>
      <c r="AT193" s="38">
        <f>IF(OR($C193="01-09",$C193="10-14"),"",INDEX(PrEP!$Q:$Q,MATCH($E193,PrEP!$E:$E,0)))</f>
        <v>12</v>
      </c>
      <c r="AU193" s="38">
        <f t="shared" si="86"/>
        <v>4591</v>
      </c>
      <c r="AV193" s="38">
        <f t="shared" si="87"/>
        <v>4693</v>
      </c>
      <c r="AW193" s="33">
        <f t="shared" si="88"/>
        <v>2.1734498188791817E-2</v>
      </c>
      <c r="AX193" s="38">
        <v>16</v>
      </c>
      <c r="AY193" s="33">
        <f t="shared" si="91"/>
        <v>0</v>
      </c>
      <c r="AZ193" s="218">
        <f t="shared" si="89"/>
        <v>16</v>
      </c>
      <c r="BA193" s="33">
        <v>0.35</v>
      </c>
      <c r="BB193" s="218">
        <f t="shared" si="90"/>
        <v>36</v>
      </c>
    </row>
    <row r="194" spans="1:54" x14ac:dyDescent="0.2">
      <c r="A194" t="str">
        <f>INDEX(Prioritization!$D:$D,MATCH($B194,Prioritization!$A:$A,0))</f>
        <v>4 - Sustained</v>
      </c>
      <c r="B194" t="s">
        <v>302</v>
      </c>
      <c r="C194" t="s">
        <v>478</v>
      </c>
      <c r="D194" t="s">
        <v>48</v>
      </c>
      <c r="E194" t="str">
        <f t="shared" si="66"/>
        <v>Mchinji District [kxuuIFpOXyO]|50+|Male</v>
      </c>
      <c r="F194" s="33">
        <f>IF(LEFT($B194,4)="_Mil","",INDEX(Cascade!$AA:$AA,MATCH($E194,Cascade!$E:$E,0)))</f>
        <v>0.94032277099999995</v>
      </c>
      <c r="G194" s="38">
        <f>INDEX(Cascade!$BH:$BH,MATCH($E194,Cascade!$E:$E,0))</f>
        <v>85</v>
      </c>
      <c r="H194" s="38" t="str">
        <f>IF(OR($C194="01-09",$D194="Male"),"",INDEX(PMTCT!$AC:$AC,MATCH($E194,PMTCT!$E:$E,0)))</f>
        <v/>
      </c>
      <c r="I194" s="38" t="str">
        <f>IF(OR($C194="01-09",$D194="Male"),"",INDEX(PMTCT!$AS:$AS,MATCH($E194,PMTCT!$E:$E,0)))</f>
        <v/>
      </c>
      <c r="J194" s="38">
        <f>INDEX(TB!$P:$P,MATCH($E194,TB!$E:$E,0))</f>
        <v>1</v>
      </c>
      <c r="K194" s="38" t="str">
        <f>IF(OR($C194="01-09",$C194="10-14",$D194="Female"),"",INDEX(VMMC!$AA:$AA,MATCH($E194,VMMC!$E:$E,0)))</f>
        <v/>
      </c>
      <c r="L194" s="38">
        <f t="shared" si="67"/>
        <v>84</v>
      </c>
      <c r="M194" s="33" t="str">
        <f t="shared" si="68"/>
        <v/>
      </c>
      <c r="N194" s="33" t="str">
        <f t="shared" si="69"/>
        <v/>
      </c>
      <c r="O194" s="33">
        <f t="shared" si="70"/>
        <v>1.1764705882352941E-2</v>
      </c>
      <c r="P194" s="33">
        <f t="shared" si="71"/>
        <v>0</v>
      </c>
      <c r="Q194" s="33">
        <v>0.15</v>
      </c>
      <c r="R194" s="33"/>
      <c r="S194" s="33"/>
      <c r="T194" s="33">
        <v>0.05</v>
      </c>
      <c r="U194" s="33">
        <f t="shared" si="94"/>
        <v>0.78823529411764715</v>
      </c>
      <c r="V194" s="33">
        <f t="shared" si="72"/>
        <v>1</v>
      </c>
      <c r="W194" s="218">
        <f t="shared" si="73"/>
        <v>13</v>
      </c>
      <c r="X194" s="33">
        <v>0.16500000000000001</v>
      </c>
      <c r="Y194" s="218">
        <f t="shared" si="73"/>
        <v>13</v>
      </c>
      <c r="Z194" s="218">
        <f t="shared" si="74"/>
        <v>66</v>
      </c>
      <c r="AA194" s="33">
        <v>0.12</v>
      </c>
      <c r="AB194" s="218" t="str">
        <f t="shared" si="75"/>
        <v/>
      </c>
      <c r="AC194" s="218" t="str">
        <f t="shared" si="76"/>
        <v/>
      </c>
      <c r="AD194" s="33">
        <v>0.02</v>
      </c>
      <c r="AE194" s="218" t="str">
        <f t="shared" si="77"/>
        <v/>
      </c>
      <c r="AF194" s="218" t="str">
        <f t="shared" si="78"/>
        <v/>
      </c>
      <c r="AG194" s="33">
        <v>0.02</v>
      </c>
      <c r="AH194" s="218">
        <f t="shared" si="79"/>
        <v>4</v>
      </c>
      <c r="AI194" s="218">
        <f t="shared" si="80"/>
        <v>196</v>
      </c>
      <c r="AJ194" s="33">
        <v>2.5000000000000001E-2</v>
      </c>
      <c r="AK194" s="218">
        <f t="shared" si="81"/>
        <v>67</v>
      </c>
      <c r="AL194" s="218">
        <f t="shared" si="82"/>
        <v>2613</v>
      </c>
      <c r="AM194" s="38">
        <f t="shared" si="83"/>
        <v>85</v>
      </c>
      <c r="AN194" s="38">
        <f t="shared" si="84"/>
        <v>85</v>
      </c>
      <c r="AO194" s="38">
        <f t="shared" si="85"/>
        <v>0</v>
      </c>
      <c r="AP194" s="38" t="str">
        <f>IF(OR($C194="01-09",$D194="Male"),"",INDEX(PMTCT!$AD:$AD,MATCH($E194,PMTCT!$E:$E,0)))</f>
        <v/>
      </c>
      <c r="AQ194" s="38" t="str">
        <f>IF(OR($C194="01-09",$D194="Male"),"",INDEX(PMTCT!$AT:$AT,MATCH($E194,PMTCT!$E:$E,0)))</f>
        <v/>
      </c>
      <c r="AR194" s="38">
        <f>INDEX(TB!$Q:$Q,MATCH($E194,TB!$E:$E,0))</f>
        <v>11</v>
      </c>
      <c r="AS194" s="38" t="str">
        <f>IF(OR($C194="01-09",$C194="10-14",$D194="Female"),"",INDEX(VMMC!$AB:$AB,MATCH($E194,VMMC!$E:$E,0)))</f>
        <v/>
      </c>
      <c r="AT194" s="38">
        <f>IF(OR($C194="01-09",$C194="10-14"),"",INDEX(PrEP!$Q:$Q,MATCH($E194,PrEP!$E:$E,0)))</f>
        <v>24</v>
      </c>
      <c r="AU194" s="38">
        <f t="shared" si="86"/>
        <v>2910</v>
      </c>
      <c r="AV194" s="38">
        <f t="shared" si="87"/>
        <v>2995</v>
      </c>
      <c r="AW194" s="33">
        <f t="shared" si="88"/>
        <v>2.8380634390651086E-2</v>
      </c>
      <c r="AX194" s="38">
        <v>17</v>
      </c>
      <c r="AY194" s="33">
        <f t="shared" si="91"/>
        <v>0</v>
      </c>
      <c r="AZ194" s="218">
        <f t="shared" si="89"/>
        <v>17</v>
      </c>
      <c r="BA194" s="33">
        <v>0.35</v>
      </c>
      <c r="BB194" s="218">
        <f t="shared" si="90"/>
        <v>30</v>
      </c>
    </row>
    <row r="195" spans="1:54" x14ac:dyDescent="0.2">
      <c r="A195" t="str">
        <f>INDEX(Prioritization!$D:$D,MATCH($B195,Prioritization!$A:$A,0))</f>
        <v>INVALID</v>
      </c>
      <c r="B195" t="s">
        <v>319</v>
      </c>
      <c r="C195" t="s">
        <v>473</v>
      </c>
      <c r="D195" t="s">
        <v>30</v>
      </c>
      <c r="E195" t="str">
        <f t="shared" si="66"/>
        <v>Mulanje District [umc2n1Z4wNv]|01-09|Female</v>
      </c>
      <c r="F195" s="33">
        <f>IF(LEFT($B195,4)="_Mil","",INDEX(Cascade!$AA:$AA,MATCH($E195,Cascade!$E:$E,0)))</f>
        <v>0.82570347600000016</v>
      </c>
      <c r="G195" s="38">
        <f>INDEX(Cascade!$BH:$BH,MATCH($E195,Cascade!$E:$E,0))</f>
        <v>11</v>
      </c>
      <c r="H195" s="38" t="str">
        <f>IF(OR($C195="01-09",$D195="Male"),"",INDEX(PMTCT!$AC:$AC,MATCH($E195,PMTCT!$E:$E,0)))</f>
        <v/>
      </c>
      <c r="I195" s="38" t="str">
        <f>IF(OR($C195="01-09",$D195="Male"),"",INDEX(PMTCT!$AS:$AS,MATCH($E195,PMTCT!$E:$E,0)))</f>
        <v/>
      </c>
      <c r="J195" s="38">
        <f>INDEX(TB!$P:$P,MATCH($E195,TB!$E:$E,0))</f>
        <v>1</v>
      </c>
      <c r="K195" s="38" t="str">
        <f>IF(OR($C195="01-09",$C195="10-14",$D195="Female"),"",INDEX(VMMC!$AA:$AA,MATCH($E195,VMMC!$E:$E,0)))</f>
        <v/>
      </c>
      <c r="L195" s="38">
        <f t="shared" si="67"/>
        <v>10</v>
      </c>
      <c r="M195" s="33" t="str">
        <f t="shared" si="68"/>
        <v/>
      </c>
      <c r="N195" s="33" t="str">
        <f t="shared" si="69"/>
        <v/>
      </c>
      <c r="O195" s="33">
        <f t="shared" si="70"/>
        <v>9.0909090909090912E-2</v>
      </c>
      <c r="P195" s="33" t="str">
        <f t="shared" si="71"/>
        <v/>
      </c>
      <c r="Q195" s="33">
        <v>0.45714285714285702</v>
      </c>
      <c r="R195" s="33"/>
      <c r="S195" s="33"/>
      <c r="T195" s="33"/>
      <c r="U195" s="33">
        <f t="shared" si="94"/>
        <v>0.4519480519480521</v>
      </c>
      <c r="V195" s="33">
        <f t="shared" si="72"/>
        <v>1</v>
      </c>
      <c r="W195" s="218">
        <f t="shared" si="73"/>
        <v>5</v>
      </c>
      <c r="X195" s="33">
        <v>3.5999999999999997E-2</v>
      </c>
      <c r="Y195" s="218">
        <f t="shared" si="73"/>
        <v>5</v>
      </c>
      <c r="Z195" s="218">
        <f t="shared" si="74"/>
        <v>134</v>
      </c>
      <c r="AA195" s="33">
        <v>0.12</v>
      </c>
      <c r="AB195" s="218" t="str">
        <f t="shared" si="75"/>
        <v/>
      </c>
      <c r="AC195" s="218" t="str">
        <f t="shared" si="76"/>
        <v/>
      </c>
      <c r="AD195" s="33">
        <v>0.02</v>
      </c>
      <c r="AE195" s="218" t="str">
        <f t="shared" si="77"/>
        <v/>
      </c>
      <c r="AF195" s="218" t="str">
        <f t="shared" si="78"/>
        <v/>
      </c>
      <c r="AG195" s="33">
        <v>0.02</v>
      </c>
      <c r="AH195" s="218" t="str">
        <f t="shared" si="79"/>
        <v/>
      </c>
      <c r="AI195" s="218" t="str">
        <f t="shared" si="80"/>
        <v/>
      </c>
      <c r="AJ195" s="33">
        <v>8.8000000000000005E-3</v>
      </c>
      <c r="AK195" s="218">
        <f t="shared" si="81"/>
        <v>5</v>
      </c>
      <c r="AL195" s="218">
        <f t="shared" si="82"/>
        <v>563</v>
      </c>
      <c r="AM195" s="38">
        <f t="shared" si="83"/>
        <v>11</v>
      </c>
      <c r="AN195" s="38">
        <f t="shared" si="84"/>
        <v>11</v>
      </c>
      <c r="AO195" s="38">
        <f t="shared" si="85"/>
        <v>0</v>
      </c>
      <c r="AP195" s="38" t="str">
        <f>IF(OR($C195="01-09",$D195="Male"),"",INDEX(PMTCT!$AD:$AD,MATCH($E195,PMTCT!$E:$E,0)))</f>
        <v/>
      </c>
      <c r="AQ195" s="38" t="str">
        <f>IF(OR($C195="01-09",$D195="Male"),"",INDEX(PMTCT!$AT:$AT,MATCH($E195,PMTCT!$E:$E,0)))</f>
        <v/>
      </c>
      <c r="AR195" s="38">
        <f>INDEX(TB!$Q:$Q,MATCH($E195,TB!$E:$E,0))</f>
        <v>8</v>
      </c>
      <c r="AS195" s="38" t="str">
        <f>IF(OR($C195="01-09",$C195="10-14",$D195="Female"),"",INDEX(VMMC!$AB:$AB,MATCH($E195,VMMC!$E:$E,0)))</f>
        <v/>
      </c>
      <c r="AT195" s="38" t="str">
        <f>IF(OR($C195="01-09",$C195="10-14"),"",INDEX(PrEP!$Q:$Q,MATCH($E195,PrEP!$E:$E,0)))</f>
        <v/>
      </c>
      <c r="AU195" s="38">
        <f t="shared" si="86"/>
        <v>705</v>
      </c>
      <c r="AV195" s="38">
        <f t="shared" si="87"/>
        <v>716</v>
      </c>
      <c r="AW195" s="33">
        <f t="shared" si="88"/>
        <v>1.5363128491620111E-2</v>
      </c>
      <c r="AX195" s="38"/>
      <c r="AY195" s="33" t="str">
        <f t="shared" si="91"/>
        <v/>
      </c>
      <c r="AZ195" s="218" t="str">
        <f t="shared" si="89"/>
        <v/>
      </c>
      <c r="BA195" s="33" t="str">
        <f t="shared" si="92"/>
        <v/>
      </c>
      <c r="BB195" s="218" t="str">
        <f t="shared" si="90"/>
        <v/>
      </c>
    </row>
    <row r="196" spans="1:54" x14ac:dyDescent="0.2">
      <c r="A196" t="str">
        <f>INDEX(Prioritization!$D:$D,MATCH($B196,Prioritization!$A:$A,0))</f>
        <v>INVALID</v>
      </c>
      <c r="B196" t="s">
        <v>319</v>
      </c>
      <c r="C196" t="s">
        <v>473</v>
      </c>
      <c r="D196" t="s">
        <v>48</v>
      </c>
      <c r="E196" t="str">
        <f t="shared" si="66"/>
        <v>Mulanje District [umc2n1Z4wNv]|01-09|Male</v>
      </c>
      <c r="F196" s="33">
        <f>IF(LEFT($B196,4)="_Mil","",INDEX(Cascade!$AA:$AA,MATCH($E196,Cascade!$E:$E,0)))</f>
        <v>0.82560984999999998</v>
      </c>
      <c r="G196" s="38">
        <f>INDEX(Cascade!$BH:$BH,MATCH($E196,Cascade!$E:$E,0))</f>
        <v>11</v>
      </c>
      <c r="H196" s="38" t="str">
        <f>IF(OR($C196="01-09",$D196="Male"),"",INDEX(PMTCT!$AC:$AC,MATCH($E196,PMTCT!$E:$E,0)))</f>
        <v/>
      </c>
      <c r="I196" s="38" t="str">
        <f>IF(OR($C196="01-09",$D196="Male"),"",INDEX(PMTCT!$AS:$AS,MATCH($E196,PMTCT!$E:$E,0)))</f>
        <v/>
      </c>
      <c r="J196" s="38">
        <f>INDEX(TB!$P:$P,MATCH($E196,TB!$E:$E,0))</f>
        <v>1</v>
      </c>
      <c r="K196" s="38" t="str">
        <f>IF(OR($C196="01-09",$C196="10-14",$D196="Female"),"",INDEX(VMMC!$AA:$AA,MATCH($E196,VMMC!$E:$E,0)))</f>
        <v/>
      </c>
      <c r="L196" s="38">
        <f t="shared" si="67"/>
        <v>10</v>
      </c>
      <c r="M196" s="33" t="str">
        <f t="shared" si="68"/>
        <v/>
      </c>
      <c r="N196" s="33" t="str">
        <f t="shared" si="69"/>
        <v/>
      </c>
      <c r="O196" s="33">
        <f t="shared" si="70"/>
        <v>9.0909090909090912E-2</v>
      </c>
      <c r="P196" s="33" t="str">
        <f t="shared" si="71"/>
        <v/>
      </c>
      <c r="Q196" s="33">
        <v>0.45714285714285702</v>
      </c>
      <c r="R196" s="33"/>
      <c r="S196" s="33"/>
      <c r="T196" s="33"/>
      <c r="U196" s="33">
        <f t="shared" si="94"/>
        <v>0.4519480519480521</v>
      </c>
      <c r="V196" s="33">
        <f t="shared" si="72"/>
        <v>1</v>
      </c>
      <c r="W196" s="218">
        <f t="shared" si="73"/>
        <v>5</v>
      </c>
      <c r="X196" s="33">
        <v>2.1000000000000001E-2</v>
      </c>
      <c r="Y196" s="218">
        <f t="shared" si="73"/>
        <v>5</v>
      </c>
      <c r="Z196" s="218">
        <f t="shared" si="74"/>
        <v>233</v>
      </c>
      <c r="AA196" s="33">
        <v>0.12</v>
      </c>
      <c r="AB196" s="218" t="str">
        <f t="shared" si="75"/>
        <v/>
      </c>
      <c r="AC196" s="218" t="str">
        <f t="shared" si="76"/>
        <v/>
      </c>
      <c r="AD196" s="33">
        <v>0.02</v>
      </c>
      <c r="AE196" s="218" t="str">
        <f t="shared" si="77"/>
        <v/>
      </c>
      <c r="AF196" s="218" t="str">
        <f t="shared" si="78"/>
        <v/>
      </c>
      <c r="AG196" s="33">
        <v>0.02</v>
      </c>
      <c r="AH196" s="218" t="str">
        <f t="shared" si="79"/>
        <v/>
      </c>
      <c r="AI196" s="218" t="str">
        <f t="shared" si="80"/>
        <v/>
      </c>
      <c r="AJ196" s="33">
        <v>7.1999999999999998E-3</v>
      </c>
      <c r="AK196" s="218">
        <f t="shared" si="81"/>
        <v>5</v>
      </c>
      <c r="AL196" s="218">
        <f t="shared" si="82"/>
        <v>689</v>
      </c>
      <c r="AM196" s="38">
        <f t="shared" si="83"/>
        <v>11</v>
      </c>
      <c r="AN196" s="38">
        <f t="shared" si="84"/>
        <v>11</v>
      </c>
      <c r="AO196" s="38">
        <f t="shared" si="85"/>
        <v>0</v>
      </c>
      <c r="AP196" s="38" t="str">
        <f>IF(OR($C196="01-09",$D196="Male"),"",INDEX(PMTCT!$AD:$AD,MATCH($E196,PMTCT!$E:$E,0)))</f>
        <v/>
      </c>
      <c r="AQ196" s="38" t="str">
        <f>IF(OR($C196="01-09",$D196="Male"),"",INDEX(PMTCT!$AT:$AT,MATCH($E196,PMTCT!$E:$E,0)))</f>
        <v/>
      </c>
      <c r="AR196" s="38">
        <f>INDEX(TB!$Q:$Q,MATCH($E196,TB!$E:$E,0))</f>
        <v>8</v>
      </c>
      <c r="AS196" s="38" t="str">
        <f>IF(OR($C196="01-09",$C196="10-14",$D196="Female"),"",INDEX(VMMC!$AB:$AB,MATCH($E196,VMMC!$E:$E,0)))</f>
        <v/>
      </c>
      <c r="AT196" s="38" t="str">
        <f>IF(OR($C196="01-09",$C196="10-14"),"",INDEX(PrEP!$Q:$Q,MATCH($E196,PrEP!$E:$E,0)))</f>
        <v/>
      </c>
      <c r="AU196" s="38">
        <f t="shared" si="86"/>
        <v>930</v>
      </c>
      <c r="AV196" s="38">
        <f t="shared" si="87"/>
        <v>941</v>
      </c>
      <c r="AW196" s="33">
        <f t="shared" si="88"/>
        <v>1.1689691817215728E-2</v>
      </c>
      <c r="AX196" s="38"/>
      <c r="AY196" s="33" t="str">
        <f t="shared" si="91"/>
        <v/>
      </c>
      <c r="AZ196" s="218" t="str">
        <f t="shared" si="89"/>
        <v/>
      </c>
      <c r="BA196" s="33" t="str">
        <f t="shared" si="92"/>
        <v/>
      </c>
      <c r="BB196" s="218" t="str">
        <f t="shared" si="90"/>
        <v/>
      </c>
    </row>
    <row r="197" spans="1:54" x14ac:dyDescent="0.2">
      <c r="A197" t="str">
        <f>INDEX(Prioritization!$D:$D,MATCH($B197,Prioritization!$A:$A,0))</f>
        <v>INVALID</v>
      </c>
      <c r="B197" t="s">
        <v>319</v>
      </c>
      <c r="C197" t="s">
        <v>474</v>
      </c>
      <c r="D197" t="s">
        <v>30</v>
      </c>
      <c r="E197" t="str">
        <f t="shared" si="66"/>
        <v>Mulanje District [umc2n1Z4wNv]|10-14|Female</v>
      </c>
      <c r="F197" s="33">
        <f>IF(LEFT($B197,4)="_Mil","",INDEX(Cascade!$AA:$AA,MATCH($E197,Cascade!$E:$E,0)))</f>
        <v>0.85001977800000006</v>
      </c>
      <c r="G197" s="38">
        <f>INDEX(Cascade!$BH:$BH,MATCH($E197,Cascade!$E:$E,0))</f>
        <v>82</v>
      </c>
      <c r="H197" s="38">
        <f>IF(OR($C197="01-09",$D197="Male"),"",INDEX(PMTCT!$AC:$AC,MATCH($E197,PMTCT!$E:$E,0)))</f>
        <v>1</v>
      </c>
      <c r="I197" s="38">
        <f>IF(OR($C197="01-09",$D197="Male"),"",INDEX(PMTCT!$AS:$AS,MATCH($E197,PMTCT!$E:$E,0)))</f>
        <v>0</v>
      </c>
      <c r="J197" s="38">
        <f>INDEX(TB!$P:$P,MATCH($E197,TB!$E:$E,0))</f>
        <v>0</v>
      </c>
      <c r="K197" s="38" t="str">
        <f>IF(OR($C197="01-09",$C197="10-14",$D197="Female"),"",INDEX(VMMC!$AA:$AA,MATCH($E197,VMMC!$E:$E,0)))</f>
        <v/>
      </c>
      <c r="L197" s="38">
        <f t="shared" si="67"/>
        <v>81</v>
      </c>
      <c r="M197" s="33">
        <f t="shared" si="68"/>
        <v>1.2195121951219513E-2</v>
      </c>
      <c r="N197" s="33">
        <f t="shared" si="69"/>
        <v>0</v>
      </c>
      <c r="O197" s="33">
        <f t="shared" si="70"/>
        <v>0</v>
      </c>
      <c r="P197" s="33" t="str">
        <f t="shared" si="71"/>
        <v/>
      </c>
      <c r="Q197" s="33">
        <v>0.44827586206896602</v>
      </c>
      <c r="R197" s="33"/>
      <c r="S197" s="33"/>
      <c r="T197" s="33"/>
      <c r="U197" s="33">
        <f t="shared" si="94"/>
        <v>0.53952901597981451</v>
      </c>
      <c r="V197" s="33">
        <f t="shared" si="72"/>
        <v>1</v>
      </c>
      <c r="W197" s="218">
        <f t="shared" si="73"/>
        <v>37</v>
      </c>
      <c r="X197" s="33">
        <v>8.3000000000000001E-3</v>
      </c>
      <c r="Y197" s="218">
        <f t="shared" si="73"/>
        <v>37</v>
      </c>
      <c r="Z197" s="218">
        <f t="shared" si="74"/>
        <v>4421</v>
      </c>
      <c r="AA197" s="33">
        <v>0.12</v>
      </c>
      <c r="AB197" s="218" t="str">
        <f t="shared" si="75"/>
        <v/>
      </c>
      <c r="AC197" s="218" t="str">
        <f t="shared" si="76"/>
        <v/>
      </c>
      <c r="AD197" s="33">
        <v>0.02</v>
      </c>
      <c r="AE197" s="218" t="str">
        <f t="shared" si="77"/>
        <v/>
      </c>
      <c r="AF197" s="218" t="str">
        <f t="shared" si="78"/>
        <v/>
      </c>
      <c r="AG197" s="33">
        <v>0.02</v>
      </c>
      <c r="AH197" s="218" t="str">
        <f t="shared" si="79"/>
        <v/>
      </c>
      <c r="AI197" s="218" t="str">
        <f t="shared" si="80"/>
        <v/>
      </c>
      <c r="AJ197" s="33">
        <v>9.9000000000000008E-3</v>
      </c>
      <c r="AK197" s="218">
        <f t="shared" si="81"/>
        <v>44</v>
      </c>
      <c r="AL197" s="218">
        <f t="shared" si="82"/>
        <v>4400</v>
      </c>
      <c r="AM197" s="38">
        <f t="shared" si="83"/>
        <v>82</v>
      </c>
      <c r="AN197" s="38">
        <f t="shared" si="84"/>
        <v>82</v>
      </c>
      <c r="AO197" s="38">
        <f t="shared" si="85"/>
        <v>0</v>
      </c>
      <c r="AP197" s="38">
        <f>IF(OR($C197="01-09",$D197="Male"),"",INDEX(PMTCT!$AD:$AD,MATCH($E197,PMTCT!$E:$E,0)))</f>
        <v>90</v>
      </c>
      <c r="AQ197" s="38">
        <f>IF(OR($C197="01-09",$D197="Male"),"",INDEX(PMTCT!$AT:$AT,MATCH($E197,PMTCT!$E:$E,0)))</f>
        <v>90</v>
      </c>
      <c r="AR197" s="38">
        <f>INDEX(TB!$Q:$Q,MATCH($E197,TB!$E:$E,0))</f>
        <v>4</v>
      </c>
      <c r="AS197" s="38" t="str">
        <f>IF(OR($C197="01-09",$C197="10-14",$D197="Female"),"",INDEX(VMMC!$AB:$AB,MATCH($E197,VMMC!$E:$E,0)))</f>
        <v/>
      </c>
      <c r="AT197" s="38" t="str">
        <f>IF(OR($C197="01-09",$C197="10-14"),"",INDEX(PrEP!$Q:$Q,MATCH($E197,PrEP!$E:$E,0)))</f>
        <v/>
      </c>
      <c r="AU197" s="38">
        <f t="shared" si="86"/>
        <v>9005</v>
      </c>
      <c r="AV197" s="38">
        <f t="shared" si="87"/>
        <v>9087</v>
      </c>
      <c r="AW197" s="33">
        <f t="shared" si="88"/>
        <v>9.0238802685154614E-3</v>
      </c>
      <c r="AX197" s="38"/>
      <c r="AY197" s="33" t="str">
        <f t="shared" si="91"/>
        <v/>
      </c>
      <c r="AZ197" s="218" t="str">
        <f t="shared" si="89"/>
        <v/>
      </c>
      <c r="BA197" s="33" t="str">
        <f t="shared" si="92"/>
        <v/>
      </c>
      <c r="BB197" s="218" t="str">
        <f t="shared" si="90"/>
        <v/>
      </c>
    </row>
    <row r="198" spans="1:54" x14ac:dyDescent="0.2">
      <c r="A198" t="str">
        <f>INDEX(Prioritization!$D:$D,MATCH($B198,Prioritization!$A:$A,0))</f>
        <v>INVALID</v>
      </c>
      <c r="B198" t="s">
        <v>319</v>
      </c>
      <c r="C198" t="s">
        <v>474</v>
      </c>
      <c r="D198" t="s">
        <v>48</v>
      </c>
      <c r="E198" t="str">
        <f t="shared" si="66"/>
        <v>Mulanje District [umc2n1Z4wNv]|10-14|Male</v>
      </c>
      <c r="F198" s="33">
        <f>IF(LEFT($B198,4)="_Mil","",INDEX(Cascade!$AA:$AA,MATCH($E198,Cascade!$E:$E,0)))</f>
        <v>0.84970562399999994</v>
      </c>
      <c r="G198" s="38">
        <f>INDEX(Cascade!$BH:$BH,MATCH($E198,Cascade!$E:$E,0))</f>
        <v>52</v>
      </c>
      <c r="H198" s="38" t="str">
        <f>IF(OR($C198="01-09",$D198="Male"),"",INDEX(PMTCT!$AC:$AC,MATCH($E198,PMTCT!$E:$E,0)))</f>
        <v/>
      </c>
      <c r="I198" s="38" t="str">
        <f>IF(OR($C198="01-09",$D198="Male"),"",INDEX(PMTCT!$AS:$AS,MATCH($E198,PMTCT!$E:$E,0)))</f>
        <v/>
      </c>
      <c r="J198" s="38">
        <f>INDEX(TB!$P:$P,MATCH($E198,TB!$E:$E,0))</f>
        <v>0</v>
      </c>
      <c r="K198" s="38" t="str">
        <f>IF(OR($C198="01-09",$C198="10-14",$D198="Female"),"",INDEX(VMMC!$AA:$AA,MATCH($E198,VMMC!$E:$E,0)))</f>
        <v/>
      </c>
      <c r="L198" s="38">
        <f t="shared" si="67"/>
        <v>52</v>
      </c>
      <c r="M198" s="33" t="str">
        <f t="shared" si="68"/>
        <v/>
      </c>
      <c r="N198" s="33" t="str">
        <f t="shared" si="69"/>
        <v/>
      </c>
      <c r="O198" s="33">
        <f t="shared" si="70"/>
        <v>0</v>
      </c>
      <c r="P198" s="33" t="str">
        <f t="shared" si="71"/>
        <v/>
      </c>
      <c r="Q198" s="33">
        <v>0.56862745098039202</v>
      </c>
      <c r="R198" s="33"/>
      <c r="S198" s="33"/>
      <c r="T198" s="33"/>
      <c r="U198" s="33">
        <f t="shared" si="94"/>
        <v>0.43137254901960798</v>
      </c>
      <c r="V198" s="33">
        <f t="shared" si="72"/>
        <v>1</v>
      </c>
      <c r="W198" s="218">
        <f t="shared" si="73"/>
        <v>30</v>
      </c>
      <c r="X198" s="33">
        <v>1.4E-2</v>
      </c>
      <c r="Y198" s="218">
        <f t="shared" si="73"/>
        <v>30</v>
      </c>
      <c r="Z198" s="218">
        <f t="shared" si="74"/>
        <v>2113</v>
      </c>
      <c r="AA198" s="33">
        <v>0.12</v>
      </c>
      <c r="AB198" s="218" t="str">
        <f t="shared" si="75"/>
        <v/>
      </c>
      <c r="AC198" s="218" t="str">
        <f t="shared" si="76"/>
        <v/>
      </c>
      <c r="AD198" s="33">
        <v>0.02</v>
      </c>
      <c r="AE198" s="218" t="str">
        <f t="shared" si="77"/>
        <v/>
      </c>
      <c r="AF198" s="218" t="str">
        <f t="shared" si="78"/>
        <v/>
      </c>
      <c r="AG198" s="33">
        <v>0.02</v>
      </c>
      <c r="AH198" s="218" t="str">
        <f t="shared" si="79"/>
        <v/>
      </c>
      <c r="AI198" s="218" t="str">
        <f t="shared" si="80"/>
        <v/>
      </c>
      <c r="AJ198" s="33">
        <v>1.6E-2</v>
      </c>
      <c r="AK198" s="218">
        <f t="shared" si="81"/>
        <v>22</v>
      </c>
      <c r="AL198" s="218">
        <f t="shared" si="82"/>
        <v>1353</v>
      </c>
      <c r="AM198" s="38">
        <f t="shared" si="83"/>
        <v>52</v>
      </c>
      <c r="AN198" s="38">
        <f t="shared" si="84"/>
        <v>52</v>
      </c>
      <c r="AO198" s="38">
        <f t="shared" si="85"/>
        <v>0</v>
      </c>
      <c r="AP198" s="38" t="str">
        <f>IF(OR($C198="01-09",$D198="Male"),"",INDEX(PMTCT!$AD:$AD,MATCH($E198,PMTCT!$E:$E,0)))</f>
        <v/>
      </c>
      <c r="AQ198" s="38" t="str">
        <f>IF(OR($C198="01-09",$D198="Male"),"",INDEX(PMTCT!$AT:$AT,MATCH($E198,PMTCT!$E:$E,0)))</f>
        <v/>
      </c>
      <c r="AR198" s="38">
        <f>INDEX(TB!$Q:$Q,MATCH($E198,TB!$E:$E,0))</f>
        <v>4</v>
      </c>
      <c r="AS198" s="38" t="str">
        <f>IF(OR($C198="01-09",$C198="10-14",$D198="Female"),"",INDEX(VMMC!$AB:$AB,MATCH($E198,VMMC!$E:$E,0)))</f>
        <v/>
      </c>
      <c r="AT198" s="38" t="str">
        <f>IF(OR($C198="01-09",$C198="10-14"),"",INDEX(PrEP!$Q:$Q,MATCH($E198,PrEP!$E:$E,0)))</f>
        <v/>
      </c>
      <c r="AU198" s="38">
        <f t="shared" si="86"/>
        <v>3470</v>
      </c>
      <c r="AV198" s="38">
        <f t="shared" si="87"/>
        <v>3522</v>
      </c>
      <c r="AW198" s="33">
        <f t="shared" si="88"/>
        <v>1.4764338444065871E-2</v>
      </c>
      <c r="AX198" s="38"/>
      <c r="AY198" s="33" t="str">
        <f t="shared" si="91"/>
        <v/>
      </c>
      <c r="AZ198" s="218" t="str">
        <f t="shared" si="89"/>
        <v/>
      </c>
      <c r="BA198" s="33" t="str">
        <f t="shared" si="92"/>
        <v/>
      </c>
      <c r="BB198" s="218" t="str">
        <f t="shared" si="90"/>
        <v/>
      </c>
    </row>
    <row r="199" spans="1:54" x14ac:dyDescent="0.2">
      <c r="A199" t="str">
        <f>INDEX(Prioritization!$D:$D,MATCH($B199,Prioritization!$A:$A,0))</f>
        <v>INVALID</v>
      </c>
      <c r="B199" t="s">
        <v>319</v>
      </c>
      <c r="C199" t="s">
        <v>475</v>
      </c>
      <c r="D199" t="s">
        <v>30</v>
      </c>
      <c r="E199" t="str">
        <f t="shared" si="66"/>
        <v>Mulanje District [umc2n1Z4wNv]|15-24|Female</v>
      </c>
      <c r="F199" s="33">
        <f>IF(LEFT($B199,4)="_Mil","",INDEX(Cascade!$AA:$AA,MATCH($E199,Cascade!$E:$E,0)))</f>
        <v>0.961381716</v>
      </c>
      <c r="G199" s="38">
        <f>INDEX(Cascade!$BH:$BH,MATCH($E199,Cascade!$E:$E,0))</f>
        <v>491</v>
      </c>
      <c r="H199" s="38">
        <f>IF(OR($C199="01-09",$D199="Male"),"",INDEX(PMTCT!$AC:$AC,MATCH($E199,PMTCT!$E:$E,0)))</f>
        <v>157</v>
      </c>
      <c r="I199" s="38">
        <f>IF(OR($C199="01-09",$D199="Male"),"",INDEX(PMTCT!$AS:$AS,MATCH($E199,PMTCT!$E:$E,0)))</f>
        <v>69</v>
      </c>
      <c r="J199" s="38">
        <f>INDEX(TB!$P:$P,MATCH($E199,TB!$E:$E,0))</f>
        <v>2</v>
      </c>
      <c r="K199" s="38" t="str">
        <f>IF(OR($C199="01-09",$C199="10-14",$D199="Female"),"",INDEX(VMMC!$AA:$AA,MATCH($E199,VMMC!$E:$E,0)))</f>
        <v/>
      </c>
      <c r="L199" s="38">
        <f t="shared" si="67"/>
        <v>263</v>
      </c>
      <c r="M199" s="33">
        <f t="shared" si="68"/>
        <v>0.31975560081466398</v>
      </c>
      <c r="N199" s="33">
        <f t="shared" si="69"/>
        <v>0.14052953156822812</v>
      </c>
      <c r="O199" s="33">
        <f t="shared" si="70"/>
        <v>4.0733197556008143E-3</v>
      </c>
      <c r="P199" s="33" t="str">
        <f t="shared" si="71"/>
        <v/>
      </c>
      <c r="Q199" s="33">
        <v>0.25</v>
      </c>
      <c r="R199" s="33">
        <v>0.02</v>
      </c>
      <c r="S199" s="33"/>
      <c r="T199" s="33">
        <v>0.05</v>
      </c>
      <c r="U199" s="33">
        <f t="shared" si="94"/>
        <v>0.21564154786150702</v>
      </c>
      <c r="V199" s="33">
        <f t="shared" si="72"/>
        <v>1</v>
      </c>
      <c r="W199" s="218">
        <f t="shared" si="73"/>
        <v>123</v>
      </c>
      <c r="X199" s="33">
        <v>0.189</v>
      </c>
      <c r="Y199" s="218">
        <f t="shared" si="73"/>
        <v>123</v>
      </c>
      <c r="Z199" s="218">
        <f t="shared" si="74"/>
        <v>528</v>
      </c>
      <c r="AA199" s="33">
        <v>0.12</v>
      </c>
      <c r="AB199" s="218">
        <f t="shared" si="75"/>
        <v>10</v>
      </c>
      <c r="AC199" s="218"/>
      <c r="AD199" s="33"/>
      <c r="AE199" s="218" t="str">
        <f t="shared" si="77"/>
        <v/>
      </c>
      <c r="AF199" s="218" t="str">
        <f t="shared" si="78"/>
        <v/>
      </c>
      <c r="AG199" s="33">
        <v>0.02</v>
      </c>
      <c r="AH199" s="218">
        <f t="shared" si="79"/>
        <v>25</v>
      </c>
      <c r="AI199" s="218">
        <f t="shared" si="80"/>
        <v>1225</v>
      </c>
      <c r="AJ199" s="33">
        <v>9.4000000000000004E-3</v>
      </c>
      <c r="AK199" s="218">
        <f t="shared" si="81"/>
        <v>106</v>
      </c>
      <c r="AL199" s="218">
        <f t="shared" si="82"/>
        <v>11171</v>
      </c>
      <c r="AM199" s="38">
        <f t="shared" si="83"/>
        <v>491</v>
      </c>
      <c r="AN199" s="38">
        <f t="shared" si="84"/>
        <v>491.99999999999994</v>
      </c>
      <c r="AO199" s="38">
        <f t="shared" si="85"/>
        <v>0.99999999999994316</v>
      </c>
      <c r="AP199" s="38">
        <f>IF(OR($C199="01-09",$D199="Male"),"",INDEX(PMTCT!$AD:$AD,MATCH($E199,PMTCT!$E:$E,0)))</f>
        <v>17295</v>
      </c>
      <c r="AQ199" s="38">
        <f>IF(OR($C199="01-09",$D199="Male"),"",INDEX(PMTCT!$AT:$AT,MATCH($E199,PMTCT!$E:$E,0)))</f>
        <v>17226</v>
      </c>
      <c r="AR199" s="38">
        <f>INDEX(TB!$Q:$Q,MATCH($E199,TB!$E:$E,0))</f>
        <v>27</v>
      </c>
      <c r="AS199" s="38" t="str">
        <f>IF(OR($C199="01-09",$C199="10-14",$D199="Female"),"",INDEX(VMMC!$AB:$AB,MATCH($E199,VMMC!$E:$E,0)))</f>
        <v/>
      </c>
      <c r="AT199" s="38">
        <f>IF(OR($C199="01-09",$C199="10-14"),"",INDEX(PrEP!$Q:$Q,MATCH($E199,PrEP!$E:$E,0)))</f>
        <v>542</v>
      </c>
      <c r="AU199" s="38">
        <f t="shared" si="86"/>
        <v>48014</v>
      </c>
      <c r="AV199" s="38">
        <f t="shared" si="87"/>
        <v>48506</v>
      </c>
      <c r="AW199" s="33">
        <f t="shared" si="88"/>
        <v>1.0143075083494824E-2</v>
      </c>
      <c r="AX199" s="38">
        <v>13161</v>
      </c>
      <c r="AY199" s="33">
        <f t="shared" ref="AY199:AY204" si="98">IF(OR($C199="01-09",SUM($AX199)=0),"",68%)</f>
        <v>0.68</v>
      </c>
      <c r="AZ199" s="218">
        <f t="shared" si="89"/>
        <v>22110</v>
      </c>
      <c r="BA199" s="33">
        <v>0.87</v>
      </c>
      <c r="BB199" s="218">
        <f t="shared" si="90"/>
        <v>428</v>
      </c>
    </row>
    <row r="200" spans="1:54" x14ac:dyDescent="0.2">
      <c r="A200" t="str">
        <f>INDEX(Prioritization!$D:$D,MATCH($B200,Prioritization!$A:$A,0))</f>
        <v>INVALID</v>
      </c>
      <c r="B200" t="s">
        <v>319</v>
      </c>
      <c r="C200" t="s">
        <v>475</v>
      </c>
      <c r="D200" t="s">
        <v>48</v>
      </c>
      <c r="E200" t="str">
        <f t="shared" si="66"/>
        <v>Mulanje District [umc2n1Z4wNv]|15-24|Male</v>
      </c>
      <c r="F200" s="33">
        <f>IF(LEFT($B200,4)="_Mil","",INDEX(Cascade!$AA:$AA,MATCH($E200,Cascade!$E:$E,0)))</f>
        <v>0.94219673599999998</v>
      </c>
      <c r="G200" s="38">
        <f>INDEX(Cascade!$BH:$BH,MATCH($E200,Cascade!$E:$E,0))</f>
        <v>94</v>
      </c>
      <c r="H200" s="38" t="str">
        <f>IF(OR($C200="01-09",$D200="Male"),"",INDEX(PMTCT!$AC:$AC,MATCH($E200,PMTCT!$E:$E,0)))</f>
        <v/>
      </c>
      <c r="I200" s="38" t="str">
        <f>IF(OR($C200="01-09",$D200="Male"),"",INDEX(PMTCT!$AS:$AS,MATCH($E200,PMTCT!$E:$E,0)))</f>
        <v/>
      </c>
      <c r="J200" s="38">
        <f>INDEX(TB!$P:$P,MATCH($E200,TB!$E:$E,0))</f>
        <v>3</v>
      </c>
      <c r="K200" s="38">
        <f>IF(OR($C200="01-09",$C200="10-14",$D200="Female"),"",INDEX(VMMC!$AA:$AA,MATCH($E200,VMMC!$E:$E,0)))</f>
        <v>8</v>
      </c>
      <c r="L200" s="38">
        <f t="shared" si="67"/>
        <v>83</v>
      </c>
      <c r="M200" s="33" t="str">
        <f t="shared" si="68"/>
        <v/>
      </c>
      <c r="N200" s="33" t="str">
        <f t="shared" si="69"/>
        <v/>
      </c>
      <c r="O200" s="33">
        <f t="shared" si="70"/>
        <v>3.1914893617021274E-2</v>
      </c>
      <c r="P200" s="33">
        <f t="shared" si="71"/>
        <v>8.5106382978723402E-2</v>
      </c>
      <c r="Q200" s="33">
        <v>0.308550185873606</v>
      </c>
      <c r="R200" s="33">
        <v>0.03</v>
      </c>
      <c r="S200" s="33"/>
      <c r="T200" s="33">
        <v>0.05</v>
      </c>
      <c r="U200" s="33">
        <f t="shared" si="94"/>
        <v>0.4944285375306493</v>
      </c>
      <c r="V200" s="33">
        <f t="shared" si="72"/>
        <v>1</v>
      </c>
      <c r="W200" s="218">
        <f t="shared" si="73"/>
        <v>29</v>
      </c>
      <c r="X200" s="33">
        <v>0.125</v>
      </c>
      <c r="Y200" s="218">
        <f t="shared" si="73"/>
        <v>29</v>
      </c>
      <c r="Z200" s="218">
        <f t="shared" si="74"/>
        <v>203</v>
      </c>
      <c r="AA200" s="33">
        <v>0.12</v>
      </c>
      <c r="AB200" s="218">
        <f t="shared" si="75"/>
        <v>3</v>
      </c>
      <c r="AC200" s="218"/>
      <c r="AD200" s="33"/>
      <c r="AE200" s="218" t="str">
        <f t="shared" si="77"/>
        <v/>
      </c>
      <c r="AF200" s="218" t="str">
        <f t="shared" si="78"/>
        <v/>
      </c>
      <c r="AG200" s="33">
        <v>0.02</v>
      </c>
      <c r="AH200" s="218">
        <f t="shared" si="79"/>
        <v>5</v>
      </c>
      <c r="AI200" s="218">
        <f t="shared" si="80"/>
        <v>245</v>
      </c>
      <c r="AJ200" s="33">
        <v>8.0999999999999996E-3</v>
      </c>
      <c r="AK200" s="218">
        <f t="shared" si="81"/>
        <v>46</v>
      </c>
      <c r="AL200" s="218">
        <f t="shared" si="82"/>
        <v>5633</v>
      </c>
      <c r="AM200" s="38">
        <f t="shared" si="83"/>
        <v>94</v>
      </c>
      <c r="AN200" s="38">
        <f t="shared" si="84"/>
        <v>94</v>
      </c>
      <c r="AO200" s="38">
        <f t="shared" si="85"/>
        <v>0</v>
      </c>
      <c r="AP200" s="38" t="str">
        <f>IF(OR($C200="01-09",$D200="Male"),"",INDEX(PMTCT!$AD:$AD,MATCH($E200,PMTCT!$E:$E,0)))</f>
        <v/>
      </c>
      <c r="AQ200" s="38" t="str">
        <f>IF(OR($C200="01-09",$D200="Male"),"",INDEX(PMTCT!$AT:$AT,MATCH($E200,PMTCT!$E:$E,0)))</f>
        <v/>
      </c>
      <c r="AR200" s="38">
        <f>INDEX(TB!$Q:$Q,MATCH($E200,TB!$E:$E,0))</f>
        <v>44</v>
      </c>
      <c r="AS200" s="38">
        <f>IF(OR($C200="01-09",$C200="10-14",$D200="Female"),"",INDEX(VMMC!$AB:$AB,MATCH($E200,VMMC!$E:$E,0)))</f>
        <v>2364</v>
      </c>
      <c r="AT200" s="38">
        <f>IF(OR($C200="01-09",$C200="10-14"),"",INDEX(PrEP!$Q:$Q,MATCH($E200,PrEP!$E:$E,0)))</f>
        <v>406</v>
      </c>
      <c r="AU200" s="38">
        <f t="shared" si="86"/>
        <v>8895</v>
      </c>
      <c r="AV200" s="38">
        <f t="shared" si="87"/>
        <v>8989</v>
      </c>
      <c r="AW200" s="33">
        <f t="shared" si="88"/>
        <v>1.0457225497830682E-2</v>
      </c>
      <c r="AX200" s="38">
        <v>4424</v>
      </c>
      <c r="AY200" s="33">
        <f t="shared" si="98"/>
        <v>0.68</v>
      </c>
      <c r="AZ200" s="218">
        <f t="shared" si="89"/>
        <v>7432</v>
      </c>
      <c r="BA200" s="33">
        <v>0.87</v>
      </c>
      <c r="BB200" s="218">
        <f t="shared" si="90"/>
        <v>82</v>
      </c>
    </row>
    <row r="201" spans="1:54" x14ac:dyDescent="0.2">
      <c r="A201" t="str">
        <f>INDEX(Prioritization!$D:$D,MATCH($B201,Prioritization!$A:$A,0))</f>
        <v>INVALID</v>
      </c>
      <c r="B201" t="s">
        <v>319</v>
      </c>
      <c r="C201" t="s">
        <v>476</v>
      </c>
      <c r="D201" t="s">
        <v>30</v>
      </c>
      <c r="E201" t="str">
        <f t="shared" si="66"/>
        <v>Mulanje District [umc2n1Z4wNv]|25-34|Female</v>
      </c>
      <c r="F201" s="33">
        <f>IF(LEFT($B201,4)="_Mil","",INDEX(Cascade!$AA:$AA,MATCH($E201,Cascade!$E:$E,0)))</f>
        <v>0.97979461000000001</v>
      </c>
      <c r="G201" s="38">
        <f>INDEX(Cascade!$BH:$BH,MATCH($E201,Cascade!$E:$E,0))</f>
        <v>479</v>
      </c>
      <c r="H201" s="38">
        <f>IF(OR($C201="01-09",$D201="Male"),"",INDEX(PMTCT!$AC:$AC,MATCH($E201,PMTCT!$E:$E,0)))</f>
        <v>163</v>
      </c>
      <c r="I201" s="38">
        <f>IF(OR($C201="01-09",$D201="Male"),"",INDEX(PMTCT!$AS:$AS,MATCH($E201,PMTCT!$E:$E,0)))</f>
        <v>62</v>
      </c>
      <c r="J201" s="38">
        <f>INDEX(TB!$P:$P,MATCH($E201,TB!$E:$E,0))</f>
        <v>2</v>
      </c>
      <c r="K201" s="38" t="str">
        <f>IF(OR($C201="01-09",$C201="10-14",$D201="Female"),"",INDEX(VMMC!$AA:$AA,MATCH($E201,VMMC!$E:$E,0)))</f>
        <v/>
      </c>
      <c r="L201" s="38">
        <f t="shared" si="67"/>
        <v>252</v>
      </c>
      <c r="M201" s="33">
        <f t="shared" si="68"/>
        <v>0.34029227557411273</v>
      </c>
      <c r="N201" s="33">
        <f t="shared" si="69"/>
        <v>0.12943632567849686</v>
      </c>
      <c r="O201" s="33">
        <f t="shared" si="70"/>
        <v>4.1753653444676405E-3</v>
      </c>
      <c r="P201" s="33" t="str">
        <f t="shared" si="71"/>
        <v/>
      </c>
      <c r="Q201" s="33">
        <v>0.26307922272047801</v>
      </c>
      <c r="R201" s="33">
        <v>0.02</v>
      </c>
      <c r="S201" s="33"/>
      <c r="T201" s="33">
        <v>0.05</v>
      </c>
      <c r="U201" s="33">
        <f t="shared" si="94"/>
        <v>0.19301681068244458</v>
      </c>
      <c r="V201" s="33">
        <f t="shared" si="72"/>
        <v>1</v>
      </c>
      <c r="W201" s="218">
        <f t="shared" si="73"/>
        <v>126</v>
      </c>
      <c r="X201" s="33">
        <v>0.113</v>
      </c>
      <c r="Y201" s="218">
        <f t="shared" si="73"/>
        <v>126</v>
      </c>
      <c r="Z201" s="218">
        <f t="shared" si="74"/>
        <v>989</v>
      </c>
      <c r="AA201" s="33">
        <v>0.12</v>
      </c>
      <c r="AB201" s="218">
        <f t="shared" si="75"/>
        <v>10</v>
      </c>
      <c r="AC201" s="218"/>
      <c r="AD201" s="33"/>
      <c r="AE201" s="218" t="str">
        <f t="shared" si="77"/>
        <v/>
      </c>
      <c r="AF201" s="218" t="str">
        <f t="shared" si="78"/>
        <v/>
      </c>
      <c r="AG201" s="33">
        <v>0.02</v>
      </c>
      <c r="AH201" s="218">
        <f t="shared" si="79"/>
        <v>24</v>
      </c>
      <c r="AI201" s="218">
        <f t="shared" si="80"/>
        <v>1176</v>
      </c>
      <c r="AJ201" s="33">
        <v>2.1999999999999999E-2</v>
      </c>
      <c r="AK201" s="218">
        <f t="shared" si="81"/>
        <v>92</v>
      </c>
      <c r="AL201" s="218">
        <f t="shared" si="82"/>
        <v>4090</v>
      </c>
      <c r="AM201" s="38">
        <f t="shared" si="83"/>
        <v>479</v>
      </c>
      <c r="AN201" s="38">
        <f t="shared" si="84"/>
        <v>479.00000000000006</v>
      </c>
      <c r="AO201" s="38">
        <f t="shared" si="85"/>
        <v>5.6843418860808015E-14</v>
      </c>
      <c r="AP201" s="38">
        <f>IF(OR($C201="01-09",$D201="Male"),"",INDEX(PMTCT!$AD:$AD,MATCH($E201,PMTCT!$E:$E,0)))</f>
        <v>8891</v>
      </c>
      <c r="AQ201" s="38">
        <f>IF(OR($C201="01-09",$D201="Male"),"",INDEX(PMTCT!$AT:$AT,MATCH($E201,PMTCT!$E:$E,0)))</f>
        <v>8829</v>
      </c>
      <c r="AR201" s="38">
        <f>INDEX(TB!$Q:$Q,MATCH($E201,TB!$E:$E,0))</f>
        <v>27</v>
      </c>
      <c r="AS201" s="38" t="str">
        <f>IF(OR($C201="01-09",$C201="10-14",$D201="Female"),"",INDEX(VMMC!$AB:$AB,MATCH($E201,VMMC!$E:$E,0)))</f>
        <v/>
      </c>
      <c r="AT201" s="38">
        <f>IF(OR($C201="01-09",$C201="10-14"),"",INDEX(PrEP!$Q:$Q,MATCH($E201,PrEP!$E:$E,0)))</f>
        <v>816</v>
      </c>
      <c r="AU201" s="38">
        <f t="shared" si="86"/>
        <v>24818</v>
      </c>
      <c r="AV201" s="38">
        <f t="shared" si="87"/>
        <v>25297</v>
      </c>
      <c r="AW201" s="33">
        <f t="shared" si="88"/>
        <v>1.8935051587144723E-2</v>
      </c>
      <c r="AX201" s="38">
        <v>8123</v>
      </c>
      <c r="AY201" s="33">
        <f t="shared" si="98"/>
        <v>0.68</v>
      </c>
      <c r="AZ201" s="218">
        <f t="shared" si="89"/>
        <v>13647</v>
      </c>
      <c r="BA201" s="33">
        <v>0.87</v>
      </c>
      <c r="BB201" s="218">
        <f t="shared" si="90"/>
        <v>417</v>
      </c>
    </row>
    <row r="202" spans="1:54" x14ac:dyDescent="0.2">
      <c r="A202" t="str">
        <f>INDEX(Prioritization!$D:$D,MATCH($B202,Prioritization!$A:$A,0))</f>
        <v>INVALID</v>
      </c>
      <c r="B202" t="s">
        <v>319</v>
      </c>
      <c r="C202" t="s">
        <v>476</v>
      </c>
      <c r="D202" t="s">
        <v>48</v>
      </c>
      <c r="E202" t="str">
        <f t="shared" si="66"/>
        <v>Mulanje District [umc2n1Z4wNv]|25-34|Male</v>
      </c>
      <c r="F202" s="33">
        <f>IF(LEFT($B202,4)="_Mil","",INDEX(Cascade!$AA:$AA,MATCH($E202,Cascade!$E:$E,0)))</f>
        <v>0.92420764700000013</v>
      </c>
      <c r="G202" s="38">
        <f>INDEX(Cascade!$BH:$BH,MATCH($E202,Cascade!$E:$E,0))</f>
        <v>46</v>
      </c>
      <c r="H202" s="38" t="str">
        <f>IF(OR($C202="01-09",$D202="Male"),"",INDEX(PMTCT!$AC:$AC,MATCH($E202,PMTCT!$E:$E,0)))</f>
        <v/>
      </c>
      <c r="I202" s="38" t="str">
        <f>IF(OR($C202="01-09",$D202="Male"),"",INDEX(PMTCT!$AS:$AS,MATCH($E202,PMTCT!$E:$E,0)))</f>
        <v/>
      </c>
      <c r="J202" s="38">
        <f>INDEX(TB!$P:$P,MATCH($E202,TB!$E:$E,0))</f>
        <v>3</v>
      </c>
      <c r="K202" s="38">
        <f>IF(OR($C202="01-09",$C202="10-14",$D202="Female"),"",INDEX(VMMC!$AA:$AA,MATCH($E202,VMMC!$E:$E,0)))</f>
        <v>5</v>
      </c>
      <c r="L202" s="38">
        <f t="shared" si="67"/>
        <v>38</v>
      </c>
      <c r="M202" s="33" t="str">
        <f t="shared" si="68"/>
        <v/>
      </c>
      <c r="N202" s="33" t="str">
        <f t="shared" si="69"/>
        <v/>
      </c>
      <c r="O202" s="33">
        <f t="shared" si="70"/>
        <v>6.5217391304347824E-2</v>
      </c>
      <c r="P202" s="33">
        <f t="shared" si="71"/>
        <v>0.10869565217391304</v>
      </c>
      <c r="Q202" s="33">
        <v>0.25</v>
      </c>
      <c r="R202" s="33">
        <v>0.03</v>
      </c>
      <c r="S202" s="33"/>
      <c r="T202" s="33">
        <v>0.05</v>
      </c>
      <c r="U202" s="33">
        <f t="shared" si="94"/>
        <v>0.49608695652173906</v>
      </c>
      <c r="V202" s="33">
        <f t="shared" si="72"/>
        <v>1</v>
      </c>
      <c r="W202" s="218">
        <f t="shared" si="73"/>
        <v>12</v>
      </c>
      <c r="X202" s="33">
        <v>0.20399999999999999</v>
      </c>
      <c r="Y202" s="218">
        <f t="shared" si="73"/>
        <v>12</v>
      </c>
      <c r="Z202" s="218">
        <f t="shared" si="74"/>
        <v>47</v>
      </c>
      <c r="AA202" s="33">
        <v>0.12</v>
      </c>
      <c r="AB202" s="218">
        <f t="shared" si="75"/>
        <v>1</v>
      </c>
      <c r="AC202" s="218"/>
      <c r="AD202" s="33"/>
      <c r="AE202" s="218" t="str">
        <f t="shared" si="77"/>
        <v/>
      </c>
      <c r="AF202" s="218" t="str">
        <f t="shared" si="78"/>
        <v/>
      </c>
      <c r="AG202" s="33">
        <v>0.02</v>
      </c>
      <c r="AH202" s="218">
        <f t="shared" si="79"/>
        <v>2</v>
      </c>
      <c r="AI202" s="218">
        <f t="shared" si="80"/>
        <v>98</v>
      </c>
      <c r="AJ202" s="33">
        <v>3.4000000000000002E-2</v>
      </c>
      <c r="AK202" s="218">
        <f t="shared" si="81"/>
        <v>23</v>
      </c>
      <c r="AL202" s="218">
        <f t="shared" si="82"/>
        <v>653</v>
      </c>
      <c r="AM202" s="38">
        <f t="shared" si="83"/>
        <v>46</v>
      </c>
      <c r="AN202" s="38">
        <f t="shared" si="84"/>
        <v>46</v>
      </c>
      <c r="AO202" s="38">
        <f t="shared" si="85"/>
        <v>0</v>
      </c>
      <c r="AP202" s="38" t="str">
        <f>IF(OR($C202="01-09",$D202="Male"),"",INDEX(PMTCT!$AD:$AD,MATCH($E202,PMTCT!$E:$E,0)))</f>
        <v/>
      </c>
      <c r="AQ202" s="38" t="str">
        <f>IF(OR($C202="01-09",$D202="Male"),"",INDEX(PMTCT!$AT:$AT,MATCH($E202,PMTCT!$E:$E,0)))</f>
        <v/>
      </c>
      <c r="AR202" s="38">
        <f>INDEX(TB!$Q:$Q,MATCH($E202,TB!$E:$E,0))</f>
        <v>44</v>
      </c>
      <c r="AS202" s="38">
        <f>IF(OR($C202="01-09",$C202="10-14",$D202="Female"),"",INDEX(VMMC!$AB:$AB,MATCH($E202,VMMC!$E:$E,0)))</f>
        <v>1442</v>
      </c>
      <c r="AT202" s="38">
        <f>IF(OR($C202="01-09",$C202="10-14"),"",INDEX(PrEP!$Q:$Q,MATCH($E202,PrEP!$E:$E,0)))</f>
        <v>340</v>
      </c>
      <c r="AU202" s="38">
        <f t="shared" si="86"/>
        <v>2624</v>
      </c>
      <c r="AV202" s="38">
        <f t="shared" si="87"/>
        <v>2670</v>
      </c>
      <c r="AW202" s="33">
        <f t="shared" si="88"/>
        <v>1.7228464419475654E-2</v>
      </c>
      <c r="AX202" s="38">
        <v>5137</v>
      </c>
      <c r="AY202" s="33">
        <f t="shared" si="98"/>
        <v>0.68</v>
      </c>
      <c r="AZ202" s="218">
        <f t="shared" si="89"/>
        <v>8630</v>
      </c>
      <c r="BA202" s="33">
        <v>0.87</v>
      </c>
      <c r="BB202" s="218">
        <f t="shared" si="90"/>
        <v>40</v>
      </c>
    </row>
    <row r="203" spans="1:54" x14ac:dyDescent="0.2">
      <c r="A203" t="str">
        <f>INDEX(Prioritization!$D:$D,MATCH($B203,Prioritization!$A:$A,0))</f>
        <v>INVALID</v>
      </c>
      <c r="B203" t="s">
        <v>319</v>
      </c>
      <c r="C203" t="s">
        <v>477</v>
      </c>
      <c r="D203" t="s">
        <v>30</v>
      </c>
      <c r="E203" t="str">
        <f t="shared" si="66"/>
        <v>Mulanje District [umc2n1Z4wNv]|35-49|Female</v>
      </c>
      <c r="F203" s="33">
        <f>IF(LEFT($B203,4)="_Mil","",INDEX(Cascade!$AA:$AA,MATCH($E203,Cascade!$E:$E,0)))</f>
        <v>0.99001191899999996</v>
      </c>
      <c r="G203" s="38">
        <f>INDEX(Cascade!$BH:$BH,MATCH($E203,Cascade!$E:$E,0))</f>
        <v>763</v>
      </c>
      <c r="H203" s="38">
        <f>IF(OR($C203="01-09",$D203="Male"),"",INDEX(PMTCT!$AC:$AC,MATCH($E203,PMTCT!$E:$E,0)))</f>
        <v>34</v>
      </c>
      <c r="I203" s="38">
        <f>IF(OR($C203="01-09",$D203="Male"),"",INDEX(PMTCT!$AS:$AS,MATCH($E203,PMTCT!$E:$E,0)))</f>
        <v>17</v>
      </c>
      <c r="J203" s="38">
        <f>INDEX(TB!$P:$P,MATCH($E203,TB!$E:$E,0))</f>
        <v>3</v>
      </c>
      <c r="K203" s="38" t="str">
        <f>IF(OR($C203="01-09",$C203="10-14",$D203="Female"),"",INDEX(VMMC!$AA:$AA,MATCH($E203,VMMC!$E:$E,0)))</f>
        <v/>
      </c>
      <c r="L203" s="38">
        <f t="shared" si="67"/>
        <v>709</v>
      </c>
      <c r="M203" s="33">
        <f t="shared" si="68"/>
        <v>4.456094364351245E-2</v>
      </c>
      <c r="N203" s="33">
        <f t="shared" si="69"/>
        <v>2.2280471821756225E-2</v>
      </c>
      <c r="O203" s="33">
        <f t="shared" si="70"/>
        <v>3.9318479685452159E-3</v>
      </c>
      <c r="P203" s="33" t="str">
        <f t="shared" si="71"/>
        <v/>
      </c>
      <c r="Q203" s="33">
        <v>0.29444444444444401</v>
      </c>
      <c r="R203" s="33">
        <v>0.02</v>
      </c>
      <c r="S203" s="33"/>
      <c r="T203" s="33">
        <v>0.05</v>
      </c>
      <c r="U203" s="33">
        <f t="shared" si="94"/>
        <v>0.56478229212174202</v>
      </c>
      <c r="V203" s="33">
        <f t="shared" si="72"/>
        <v>1</v>
      </c>
      <c r="W203" s="218">
        <f t="shared" si="73"/>
        <v>225</v>
      </c>
      <c r="X203" s="33">
        <v>0.14299999999999999</v>
      </c>
      <c r="Y203" s="218">
        <f t="shared" si="73"/>
        <v>225</v>
      </c>
      <c r="Z203" s="218">
        <f t="shared" si="74"/>
        <v>1348</v>
      </c>
      <c r="AA203" s="33">
        <v>0.12</v>
      </c>
      <c r="AB203" s="218">
        <f t="shared" si="75"/>
        <v>15</v>
      </c>
      <c r="AC203" s="218"/>
      <c r="AD203" s="33"/>
      <c r="AE203" s="218" t="str">
        <f t="shared" si="77"/>
        <v/>
      </c>
      <c r="AF203" s="218" t="str">
        <f t="shared" si="78"/>
        <v/>
      </c>
      <c r="AG203" s="33">
        <v>0.02</v>
      </c>
      <c r="AH203" s="218">
        <f t="shared" si="79"/>
        <v>38</v>
      </c>
      <c r="AI203" s="218">
        <f t="shared" si="80"/>
        <v>1862</v>
      </c>
      <c r="AJ203" s="33">
        <v>2.7E-2</v>
      </c>
      <c r="AK203" s="218">
        <f t="shared" si="81"/>
        <v>431</v>
      </c>
      <c r="AL203" s="218">
        <f t="shared" si="82"/>
        <v>15532</v>
      </c>
      <c r="AM203" s="38">
        <f t="shared" si="83"/>
        <v>763</v>
      </c>
      <c r="AN203" s="38">
        <f t="shared" si="84"/>
        <v>763</v>
      </c>
      <c r="AO203" s="38">
        <f t="shared" si="85"/>
        <v>0</v>
      </c>
      <c r="AP203" s="38">
        <f>IF(OR($C203="01-09",$D203="Male"),"",INDEX(PMTCT!$AD:$AD,MATCH($E203,PMTCT!$E:$E,0)))</f>
        <v>1916</v>
      </c>
      <c r="AQ203" s="38">
        <f>IF(OR($C203="01-09",$D203="Male"),"",INDEX(PMTCT!$AT:$AT,MATCH($E203,PMTCT!$E:$E,0)))</f>
        <v>1899.0000000000002</v>
      </c>
      <c r="AR203" s="38">
        <f>INDEX(TB!$Q:$Q,MATCH($E203,TB!$E:$E,0))</f>
        <v>40</v>
      </c>
      <c r="AS203" s="38" t="str">
        <f>IF(OR($C203="01-09",$C203="10-14",$D203="Female"),"",INDEX(VMMC!$AB:$AB,MATCH($E203,VMMC!$E:$E,0)))</f>
        <v/>
      </c>
      <c r="AT203" s="38">
        <f>IF(OR($C203="01-09",$C203="10-14"),"",INDEX(PrEP!$Q:$Q,MATCH($E203,PrEP!$E:$E,0)))</f>
        <v>822</v>
      </c>
      <c r="AU203" s="38">
        <f t="shared" si="86"/>
        <v>23419</v>
      </c>
      <c r="AV203" s="38">
        <f t="shared" si="87"/>
        <v>24182</v>
      </c>
      <c r="AW203" s="33">
        <f t="shared" si="88"/>
        <v>3.1552394342899678E-2</v>
      </c>
      <c r="AX203" s="38">
        <v>1050</v>
      </c>
      <c r="AY203" s="33">
        <f t="shared" si="98"/>
        <v>0.68</v>
      </c>
      <c r="AZ203" s="218">
        <f t="shared" si="89"/>
        <v>1764</v>
      </c>
      <c r="BA203" s="33">
        <v>0.87</v>
      </c>
      <c r="BB203" s="218">
        <f t="shared" si="90"/>
        <v>664</v>
      </c>
    </row>
    <row r="204" spans="1:54" x14ac:dyDescent="0.2">
      <c r="A204" t="str">
        <f>INDEX(Prioritization!$D:$D,MATCH($B204,Prioritization!$A:$A,0))</f>
        <v>INVALID</v>
      </c>
      <c r="B204" t="s">
        <v>319</v>
      </c>
      <c r="C204" t="s">
        <v>477</v>
      </c>
      <c r="D204" t="s">
        <v>48</v>
      </c>
      <c r="E204" t="str">
        <f t="shared" si="66"/>
        <v>Mulanje District [umc2n1Z4wNv]|35-49|Male</v>
      </c>
      <c r="F204" s="33">
        <f>IF(LEFT($B204,4)="_Mil","",INDEX(Cascade!$AA:$AA,MATCH($E204,Cascade!$E:$E,0)))</f>
        <v>0.9544250299999999</v>
      </c>
      <c r="G204" s="38">
        <f>INDEX(Cascade!$BH:$BH,MATCH($E204,Cascade!$E:$E,0))</f>
        <v>956</v>
      </c>
      <c r="H204" s="38" t="str">
        <f>IF(OR($C204="01-09",$D204="Male"),"",INDEX(PMTCT!$AC:$AC,MATCH($E204,PMTCT!$E:$E,0)))</f>
        <v/>
      </c>
      <c r="I204" s="38" t="str">
        <f>IF(OR($C204="01-09",$D204="Male"),"",INDEX(PMTCT!$AS:$AS,MATCH($E204,PMTCT!$E:$E,0)))</f>
        <v/>
      </c>
      <c r="J204" s="38">
        <f>INDEX(TB!$P:$P,MATCH($E204,TB!$E:$E,0))</f>
        <v>4</v>
      </c>
      <c r="K204" s="38">
        <f>IF(OR($C204="01-09",$C204="10-14",$D204="Female"),"",INDEX(VMMC!$AA:$AA,MATCH($E204,VMMC!$E:$E,0)))</f>
        <v>8</v>
      </c>
      <c r="L204" s="38">
        <f t="shared" si="67"/>
        <v>944</v>
      </c>
      <c r="M204" s="33" t="str">
        <f t="shared" si="68"/>
        <v/>
      </c>
      <c r="N204" s="33" t="str">
        <f t="shared" si="69"/>
        <v/>
      </c>
      <c r="O204" s="33">
        <f t="shared" si="70"/>
        <v>4.1841004184100415E-3</v>
      </c>
      <c r="P204" s="33">
        <f t="shared" si="71"/>
        <v>8.368200836820083E-3</v>
      </c>
      <c r="Q204" s="33">
        <v>0.375</v>
      </c>
      <c r="R204" s="33">
        <v>0.03</v>
      </c>
      <c r="S204" s="33"/>
      <c r="T204" s="33">
        <v>0.05</v>
      </c>
      <c r="U204" s="33">
        <f t="shared" si="94"/>
        <v>0.53244769874476994</v>
      </c>
      <c r="V204" s="33">
        <f t="shared" si="72"/>
        <v>1</v>
      </c>
      <c r="W204" s="218">
        <f t="shared" si="73"/>
        <v>359</v>
      </c>
      <c r="X204" s="33">
        <v>0.27100000000000002</v>
      </c>
      <c r="Y204" s="218">
        <f t="shared" si="73"/>
        <v>359</v>
      </c>
      <c r="Z204" s="218">
        <f t="shared" si="74"/>
        <v>966</v>
      </c>
      <c r="AA204" s="33">
        <v>0.12</v>
      </c>
      <c r="AB204" s="218">
        <f t="shared" si="75"/>
        <v>29</v>
      </c>
      <c r="AC204" s="218"/>
      <c r="AD204" s="33"/>
      <c r="AE204" s="218" t="str">
        <f t="shared" si="77"/>
        <v/>
      </c>
      <c r="AF204" s="218" t="str">
        <f t="shared" si="78"/>
        <v/>
      </c>
      <c r="AG204" s="33">
        <v>0.02</v>
      </c>
      <c r="AH204" s="218">
        <f t="shared" si="79"/>
        <v>48</v>
      </c>
      <c r="AI204" s="218">
        <f t="shared" si="80"/>
        <v>2352</v>
      </c>
      <c r="AJ204" s="33">
        <v>6.2E-2</v>
      </c>
      <c r="AK204" s="218">
        <f t="shared" si="81"/>
        <v>509</v>
      </c>
      <c r="AL204" s="218">
        <f t="shared" si="82"/>
        <v>7701</v>
      </c>
      <c r="AM204" s="38">
        <f t="shared" si="83"/>
        <v>956</v>
      </c>
      <c r="AN204" s="38">
        <f t="shared" si="84"/>
        <v>956.99999999999989</v>
      </c>
      <c r="AO204" s="38">
        <f t="shared" si="85"/>
        <v>0.99999999999988631</v>
      </c>
      <c r="AP204" s="38" t="str">
        <f>IF(OR($C204="01-09",$D204="Male"),"",INDEX(PMTCT!$AD:$AD,MATCH($E204,PMTCT!$E:$E,0)))</f>
        <v/>
      </c>
      <c r="AQ204" s="38" t="str">
        <f>IF(OR($C204="01-09",$D204="Male"),"",INDEX(PMTCT!$AT:$AT,MATCH($E204,PMTCT!$E:$E,0)))</f>
        <v/>
      </c>
      <c r="AR204" s="38">
        <f>INDEX(TB!$Q:$Q,MATCH($E204,TB!$E:$E,0))</f>
        <v>66</v>
      </c>
      <c r="AS204" s="38">
        <f>IF(OR($C204="01-09",$C204="10-14",$D204="Female"),"",INDEX(VMMC!$AB:$AB,MATCH($E204,VMMC!$E:$E,0)))</f>
        <v>2346</v>
      </c>
      <c r="AT204" s="38">
        <f>IF(OR($C204="01-09",$C204="10-14"),"",INDEX(PrEP!$Q:$Q,MATCH($E204,PrEP!$E:$E,0)))</f>
        <v>452</v>
      </c>
      <c r="AU204" s="38">
        <f t="shared" si="86"/>
        <v>13883</v>
      </c>
      <c r="AV204" s="38">
        <f t="shared" si="87"/>
        <v>14839.999999999998</v>
      </c>
      <c r="AW204" s="33">
        <f t="shared" si="88"/>
        <v>6.4487870619946097E-2</v>
      </c>
      <c r="AX204" s="38">
        <v>3312</v>
      </c>
      <c r="AY204" s="33">
        <f t="shared" si="98"/>
        <v>0.68</v>
      </c>
      <c r="AZ204" s="218">
        <f t="shared" si="89"/>
        <v>5564</v>
      </c>
      <c r="BA204" s="33">
        <v>0.87</v>
      </c>
      <c r="BB204" s="218">
        <f t="shared" si="90"/>
        <v>833</v>
      </c>
    </row>
    <row r="205" spans="1:54" x14ac:dyDescent="0.2">
      <c r="A205" t="str">
        <f>INDEX(Prioritization!$D:$D,MATCH($B205,Prioritization!$A:$A,0))</f>
        <v>INVALID</v>
      </c>
      <c r="B205" t="s">
        <v>319</v>
      </c>
      <c r="C205" t="s">
        <v>478</v>
      </c>
      <c r="D205" t="s">
        <v>30</v>
      </c>
      <c r="E205" t="str">
        <f t="shared" si="66"/>
        <v>Mulanje District [umc2n1Z4wNv]|50+|Female</v>
      </c>
      <c r="F205" s="33">
        <f>IF(LEFT($B205,4)="_Mil","",INDEX(Cascade!$AA:$AA,MATCH($E205,Cascade!$E:$E,0)))</f>
        <v>0.99320023499999999</v>
      </c>
      <c r="G205" s="38">
        <f>INDEX(Cascade!$BH:$BH,MATCH($E205,Cascade!$E:$E,0))</f>
        <v>278</v>
      </c>
      <c r="H205" s="38">
        <f>IF(OR($C205="01-09",$D205="Male"),"",INDEX(PMTCT!$AC:$AC,MATCH($E205,PMTCT!$E:$E,0)))</f>
        <v>0</v>
      </c>
      <c r="I205" s="38">
        <f>IF(OR($C205="01-09",$D205="Male"),"",INDEX(PMTCT!$AS:$AS,MATCH($E205,PMTCT!$E:$E,0)))</f>
        <v>0</v>
      </c>
      <c r="J205" s="38">
        <f>INDEX(TB!$P:$P,MATCH($E205,TB!$E:$E,0))</f>
        <v>1</v>
      </c>
      <c r="K205" s="38" t="str">
        <f>IF(OR($C205="01-09",$C205="10-14",$D205="Female"),"",INDEX(VMMC!$AA:$AA,MATCH($E205,VMMC!$E:$E,0)))</f>
        <v/>
      </c>
      <c r="L205" s="38">
        <f t="shared" si="67"/>
        <v>277</v>
      </c>
      <c r="M205" s="33">
        <f t="shared" si="68"/>
        <v>0</v>
      </c>
      <c r="N205" s="33">
        <f t="shared" si="69"/>
        <v>0</v>
      </c>
      <c r="O205" s="33">
        <f t="shared" si="70"/>
        <v>3.5971223021582736E-3</v>
      </c>
      <c r="P205" s="33" t="str">
        <f t="shared" si="71"/>
        <v/>
      </c>
      <c r="Q205" s="33">
        <v>0.15</v>
      </c>
      <c r="R205" s="33">
        <v>0.02</v>
      </c>
      <c r="S205" s="33"/>
      <c r="T205" s="33">
        <v>0.05</v>
      </c>
      <c r="U205" s="33">
        <f t="shared" si="94"/>
        <v>0.77640287769784178</v>
      </c>
      <c r="V205" s="33">
        <f t="shared" si="72"/>
        <v>1</v>
      </c>
      <c r="W205" s="218">
        <f t="shared" si="73"/>
        <v>42</v>
      </c>
      <c r="X205" s="33">
        <v>0.222</v>
      </c>
      <c r="Y205" s="218">
        <f t="shared" si="73"/>
        <v>42</v>
      </c>
      <c r="Z205" s="218">
        <f t="shared" si="74"/>
        <v>147</v>
      </c>
      <c r="AA205" s="33">
        <v>0.12</v>
      </c>
      <c r="AB205" s="218">
        <f t="shared" si="75"/>
        <v>6</v>
      </c>
      <c r="AC205" s="218"/>
      <c r="AD205" s="33"/>
      <c r="AE205" s="218" t="str">
        <f t="shared" si="77"/>
        <v/>
      </c>
      <c r="AF205" s="218" t="str">
        <f t="shared" si="78"/>
        <v/>
      </c>
      <c r="AG205" s="33">
        <v>0.02</v>
      </c>
      <c r="AH205" s="218">
        <f t="shared" si="79"/>
        <v>14</v>
      </c>
      <c r="AI205" s="218">
        <f t="shared" si="80"/>
        <v>686</v>
      </c>
      <c r="AJ205" s="33">
        <v>1.7000000000000001E-2</v>
      </c>
      <c r="AK205" s="218">
        <f t="shared" si="81"/>
        <v>216</v>
      </c>
      <c r="AL205" s="218">
        <f t="shared" si="82"/>
        <v>12490</v>
      </c>
      <c r="AM205" s="38">
        <f t="shared" si="83"/>
        <v>278</v>
      </c>
      <c r="AN205" s="38">
        <f t="shared" si="84"/>
        <v>279</v>
      </c>
      <c r="AO205" s="38">
        <f t="shared" si="85"/>
        <v>1</v>
      </c>
      <c r="AP205" s="38">
        <f>IF(OR($C205="01-09",$D205="Male"),"",INDEX(PMTCT!$AD:$AD,MATCH($E205,PMTCT!$E:$E,0)))</f>
        <v>17</v>
      </c>
      <c r="AQ205" s="38">
        <f>IF(OR($C205="01-09",$D205="Male"),"",INDEX(PMTCT!$AT:$AT,MATCH($E205,PMTCT!$E:$E,0)))</f>
        <v>17</v>
      </c>
      <c r="AR205" s="38">
        <f>INDEX(TB!$Q:$Q,MATCH($E205,TB!$E:$E,0))</f>
        <v>14</v>
      </c>
      <c r="AS205" s="38" t="str">
        <f>IF(OR($C205="01-09",$C205="10-14",$D205="Female"),"",INDEX(VMMC!$AB:$AB,MATCH($E205,VMMC!$E:$E,0)))</f>
        <v/>
      </c>
      <c r="AT205" s="38">
        <f>IF(OR($C205="01-09",$C205="10-14"),"",INDEX(PrEP!$Q:$Q,MATCH($E205,PrEP!$E:$E,0)))</f>
        <v>160</v>
      </c>
      <c r="AU205" s="38">
        <f t="shared" si="86"/>
        <v>13531.000000000002</v>
      </c>
      <c r="AV205" s="38">
        <f t="shared" si="87"/>
        <v>13810.000000000002</v>
      </c>
      <c r="AW205" s="33">
        <f t="shared" si="88"/>
        <v>2.0202751629254161E-2</v>
      </c>
      <c r="AX205" s="38">
        <v>1031</v>
      </c>
      <c r="AY205" s="33">
        <f t="shared" si="91"/>
        <v>0</v>
      </c>
      <c r="AZ205" s="218">
        <f t="shared" si="89"/>
        <v>1031</v>
      </c>
      <c r="BA205" s="33">
        <v>0.87</v>
      </c>
      <c r="BB205" s="218">
        <f t="shared" si="90"/>
        <v>243</v>
      </c>
    </row>
    <row r="206" spans="1:54" x14ac:dyDescent="0.2">
      <c r="A206" t="str">
        <f>INDEX(Prioritization!$D:$D,MATCH($B206,Prioritization!$A:$A,0))</f>
        <v>INVALID</v>
      </c>
      <c r="B206" t="s">
        <v>319</v>
      </c>
      <c r="C206" t="s">
        <v>478</v>
      </c>
      <c r="D206" t="s">
        <v>48</v>
      </c>
      <c r="E206" t="str">
        <f t="shared" si="66"/>
        <v>Mulanje District [umc2n1Z4wNv]|50+|Male</v>
      </c>
      <c r="F206" s="33">
        <f>IF(LEFT($B206,4)="_Mil","",INDEX(Cascade!$AA:$AA,MATCH($E206,Cascade!$E:$E,0)))</f>
        <v>0.96930602599999993</v>
      </c>
      <c r="G206" s="38">
        <f>INDEX(Cascade!$BH:$BH,MATCH($E206,Cascade!$E:$E,0))</f>
        <v>196</v>
      </c>
      <c r="H206" s="38" t="str">
        <f>IF(OR($C206="01-09",$D206="Male"),"",INDEX(PMTCT!$AC:$AC,MATCH($E206,PMTCT!$E:$E,0)))</f>
        <v/>
      </c>
      <c r="I206" s="38" t="str">
        <f>IF(OR($C206="01-09",$D206="Male"),"",INDEX(PMTCT!$AS:$AS,MATCH($E206,PMTCT!$E:$E,0)))</f>
        <v/>
      </c>
      <c r="J206" s="38">
        <f>INDEX(TB!$P:$P,MATCH($E206,TB!$E:$E,0))</f>
        <v>1</v>
      </c>
      <c r="K206" s="38" t="str">
        <f>IF(OR($C206="01-09",$C206="10-14",$D206="Female"),"",INDEX(VMMC!$AA:$AA,MATCH($E206,VMMC!$E:$E,0)))</f>
        <v/>
      </c>
      <c r="L206" s="38">
        <f t="shared" si="67"/>
        <v>195</v>
      </c>
      <c r="M206" s="33" t="str">
        <f t="shared" si="68"/>
        <v/>
      </c>
      <c r="N206" s="33" t="str">
        <f t="shared" si="69"/>
        <v/>
      </c>
      <c r="O206" s="33">
        <f t="shared" si="70"/>
        <v>5.1020408163265302E-3</v>
      </c>
      <c r="P206" s="33">
        <f t="shared" si="71"/>
        <v>0</v>
      </c>
      <c r="Q206" s="33">
        <v>0.15</v>
      </c>
      <c r="R206" s="33">
        <v>0.03</v>
      </c>
      <c r="S206" s="33"/>
      <c r="T206" s="33">
        <v>0.05</v>
      </c>
      <c r="U206" s="33">
        <f t="shared" si="94"/>
        <v>0.76489795918367354</v>
      </c>
      <c r="V206" s="33">
        <f t="shared" si="72"/>
        <v>1</v>
      </c>
      <c r="W206" s="218">
        <f t="shared" si="73"/>
        <v>29</v>
      </c>
      <c r="X206" s="33">
        <v>0.23899999999999999</v>
      </c>
      <c r="Y206" s="218">
        <f t="shared" si="73"/>
        <v>29</v>
      </c>
      <c r="Z206" s="218">
        <f t="shared" si="74"/>
        <v>92</v>
      </c>
      <c r="AA206" s="33">
        <v>0.12</v>
      </c>
      <c r="AB206" s="218">
        <f t="shared" si="75"/>
        <v>6</v>
      </c>
      <c r="AC206" s="218"/>
      <c r="AD206" s="33"/>
      <c r="AE206" s="218" t="str">
        <f t="shared" si="77"/>
        <v/>
      </c>
      <c r="AF206" s="218" t="str">
        <f t="shared" si="78"/>
        <v/>
      </c>
      <c r="AG206" s="33">
        <v>0.02</v>
      </c>
      <c r="AH206" s="218">
        <f t="shared" si="79"/>
        <v>10</v>
      </c>
      <c r="AI206" s="218">
        <f t="shared" si="80"/>
        <v>490</v>
      </c>
      <c r="AJ206" s="33">
        <v>3.4000000000000002E-2</v>
      </c>
      <c r="AK206" s="218">
        <f t="shared" si="81"/>
        <v>150</v>
      </c>
      <c r="AL206" s="218">
        <f t="shared" si="82"/>
        <v>4262</v>
      </c>
      <c r="AM206" s="38">
        <f t="shared" si="83"/>
        <v>196</v>
      </c>
      <c r="AN206" s="38">
        <f t="shared" si="84"/>
        <v>196.00000000000003</v>
      </c>
      <c r="AO206" s="38">
        <f t="shared" si="85"/>
        <v>2.8421709430404007E-14</v>
      </c>
      <c r="AP206" s="38" t="str">
        <f>IF(OR($C206="01-09",$D206="Male"),"",INDEX(PMTCT!$AD:$AD,MATCH($E206,PMTCT!$E:$E,0)))</f>
        <v/>
      </c>
      <c r="AQ206" s="38" t="str">
        <f>IF(OR($C206="01-09",$D206="Male"),"",INDEX(PMTCT!$AT:$AT,MATCH($E206,PMTCT!$E:$E,0)))</f>
        <v/>
      </c>
      <c r="AR206" s="38">
        <f>INDEX(TB!$Q:$Q,MATCH($E206,TB!$E:$E,0))</f>
        <v>23</v>
      </c>
      <c r="AS206" s="38" t="str">
        <f>IF(OR($C206="01-09",$C206="10-14",$D206="Female"),"",INDEX(VMMC!$AB:$AB,MATCH($E206,VMMC!$E:$E,0)))</f>
        <v/>
      </c>
      <c r="AT206" s="38">
        <f>IF(OR($C206="01-09",$C206="10-14"),"",INDEX(PrEP!$Q:$Q,MATCH($E206,PrEP!$E:$E,0)))</f>
        <v>160</v>
      </c>
      <c r="AU206" s="38">
        <f t="shared" si="86"/>
        <v>5027</v>
      </c>
      <c r="AV206" s="38">
        <f t="shared" si="87"/>
        <v>5223</v>
      </c>
      <c r="AW206" s="33">
        <f t="shared" si="88"/>
        <v>3.7526325866360337E-2</v>
      </c>
      <c r="AX206" s="38">
        <v>2912</v>
      </c>
      <c r="AY206" s="33">
        <f t="shared" si="91"/>
        <v>0</v>
      </c>
      <c r="AZ206" s="218">
        <f t="shared" si="89"/>
        <v>2912</v>
      </c>
      <c r="BA206" s="33">
        <v>0.87</v>
      </c>
      <c r="BB206" s="218">
        <f t="shared" si="90"/>
        <v>171</v>
      </c>
    </row>
    <row r="207" spans="1:54" x14ac:dyDescent="0.2">
      <c r="A207" t="str">
        <f>INDEX(Prioritization!$D:$D,MATCH($B207,Prioritization!$A:$A,0))</f>
        <v>4 - Sustained</v>
      </c>
      <c r="B207" t="s">
        <v>320</v>
      </c>
      <c r="C207" t="s">
        <v>473</v>
      </c>
      <c r="D207" t="s">
        <v>30</v>
      </c>
      <c r="E207" t="str">
        <f t="shared" ref="E207:E270" si="99">$B207&amp;"|"&amp;$C207&amp;"|"&amp;$D207</f>
        <v>Mwanza District [wNqJp8oRIcF]|01-09|Female</v>
      </c>
      <c r="F207" s="33">
        <f>IF(LEFT($B207,4)="_Mil","",INDEX(Cascade!$AA:$AA,MATCH($E207,Cascade!$E:$E,0)))</f>
        <v>0.53822641199999999</v>
      </c>
      <c r="G207" s="38">
        <f>INDEX(Cascade!$BH:$BH,MATCH($E207,Cascade!$E:$E,0))</f>
        <v>1</v>
      </c>
      <c r="H207" s="38" t="str">
        <f>IF(OR($C207="01-09",$D207="Male"),"",INDEX(PMTCT!$AC:$AC,MATCH($E207,PMTCT!$E:$E,0)))</f>
        <v/>
      </c>
      <c r="I207" s="38" t="str">
        <f>IF(OR($C207="01-09",$D207="Male"),"",INDEX(PMTCT!$AS:$AS,MATCH($E207,PMTCT!$E:$E,0)))</f>
        <v/>
      </c>
      <c r="J207" s="38">
        <f>INDEX(TB!$P:$P,MATCH($E207,TB!$E:$E,0))</f>
        <v>0</v>
      </c>
      <c r="K207" s="38" t="str">
        <f>IF(OR($C207="01-09",$C207="10-14",$D207="Female"),"",INDEX(VMMC!$AA:$AA,MATCH($E207,VMMC!$E:$E,0)))</f>
        <v/>
      </c>
      <c r="L207" s="38">
        <f t="shared" ref="L207:L270" si="100">SUM($G207)-SUM($H207:$K207)</f>
        <v>1</v>
      </c>
      <c r="M207" s="33" t="str">
        <f t="shared" ref="M207:M270" si="101">IF(OR($C207="01-09",$D207="Male",AND(SUM($G207)=0,SUM($H207)=0)),"",SUM($H207)/SUM($G207))</f>
        <v/>
      </c>
      <c r="N207" s="33" t="str">
        <f t="shared" ref="N207:N270" si="102">IF(OR($C207="01-09",$D207="Male",AND(SUM($G207)=0,SUM($I207)=0)),"",SUM($I207)/SUM($G207))</f>
        <v/>
      </c>
      <c r="O207" s="33">
        <f t="shared" ref="O207:O270" si="103">IF(AND(SUM($G207)=0,SUM($J207)=0),"",SUM($J207)/SUM($G207))</f>
        <v>0</v>
      </c>
      <c r="P207" s="33" t="str">
        <f t="shared" ref="P207:P270" si="104">IF(OR($C207="01-09",$C207="10-14",$D207="Female",AND(SUM($G207)=0,SUM($K207)=0)),"",SUM($K207)/SUM($G207))</f>
        <v/>
      </c>
      <c r="Q207" s="33">
        <v>0.5</v>
      </c>
      <c r="R207" s="33"/>
      <c r="S207" s="33"/>
      <c r="T207" s="33"/>
      <c r="U207" s="33">
        <f t="shared" si="94"/>
        <v>0.5</v>
      </c>
      <c r="V207" s="33">
        <f t="shared" ref="V207:V270" si="105">IF(SUM($G207)=0,"",SUM($M207:$U207))</f>
        <v>1</v>
      </c>
      <c r="W207" s="218">
        <f t="shared" ref="W207:Y270" si="106">IF(OR(SUM($G207)=0,SUM($Q207)=0),"",ROUND(SUM($G207)*SUM($Q207),0))</f>
        <v>1</v>
      </c>
      <c r="X207" s="33">
        <v>2.1000000000000001E-2</v>
      </c>
      <c r="Y207" s="218">
        <f t="shared" si="106"/>
        <v>1</v>
      </c>
      <c r="Z207" s="218">
        <f t="shared" ref="Z207:Z270" si="107">IF(SUM($Y207)=0,"",IF(SUM($X207)=0,"ENTER YIELD",ROUND($Y207/$X207,0)-$Y207))</f>
        <v>47</v>
      </c>
      <c r="AA207" s="33">
        <v>0.12</v>
      </c>
      <c r="AB207" s="218" t="str">
        <f t="shared" ref="AB207:AB270" si="108">IF(OR(SUM($G207)=0,SUM($R207)=0),"",ROUND(SUM($G207)*SUM($R207),0))</f>
        <v/>
      </c>
      <c r="AC207" s="218"/>
      <c r="AD207" s="33"/>
      <c r="AE207" s="218" t="str">
        <f t="shared" ref="AE207:AE270" si="109">IF(OR(SUM($G207)=0,SUM($S207)=0),"",ROUND(SUM($G207)*SUM($S207),0))</f>
        <v/>
      </c>
      <c r="AF207" s="218" t="str">
        <f t="shared" ref="AF207:AF270" si="110">IF(SUM($AE207)=0,"",IF(SUM($AD207)=0,"ENTER YIELD",ROUND($AE207/$AD207,0)-$AE207))</f>
        <v/>
      </c>
      <c r="AG207" s="33">
        <v>0.02</v>
      </c>
      <c r="AH207" s="218" t="str">
        <f t="shared" ref="AH207:AH270" si="111">IF(OR(SUM($G207)=0,SUM($T207)=0),"",ROUND(SUM($G207)*SUM($T207),0))</f>
        <v/>
      </c>
      <c r="AI207" s="218" t="str">
        <f t="shared" ref="AI207:AI270" si="112">IF(SUM($AH207)=0,"",IF(SUM($AG207)=0,"ENTER YIELD",ROUND($AH207/$AG207,0)-$AH207))</f>
        <v/>
      </c>
      <c r="AJ207" s="33">
        <v>8.5000000000000006E-3</v>
      </c>
      <c r="AK207" s="218">
        <f t="shared" ref="AK207:AK270" si="113">IF(OR(SUM($G207)=0,SUM($U207)=0),"",ROUND(SUM($G207)*SUM($U207),0))</f>
        <v>1</v>
      </c>
      <c r="AL207" s="218">
        <f t="shared" ref="AL207:AL270" si="114">IF(SUM($AK207)=0,"",IF(SUM($AJ207)=0,"ENTER YIELD",ROUND($AK207/$AJ207,0)-$AK207))</f>
        <v>117</v>
      </c>
      <c r="AM207" s="38">
        <f t="shared" ref="AM207:AM270" si="115">IF(SUM($G207)=0,"",$G207)</f>
        <v>1</v>
      </c>
      <c r="AN207" s="38">
        <f t="shared" ref="AN207:AN270" si="116">IFERROR(1/(1/SUM($H207:$K207,$Y207,$AB207,$AE207,$AH207,$AK207)),"")</f>
        <v>2</v>
      </c>
      <c r="AO207" s="38">
        <f t="shared" ref="AO207:AO270" si="117">IF(AND(SUM($AN207)=0,SUM($AM207)=0),"",$AN207-$AM207)</f>
        <v>1</v>
      </c>
      <c r="AP207" s="38" t="str">
        <f>IF(OR($C207="01-09",$D207="Male"),"",INDEX(PMTCT!$AD:$AD,MATCH($E207,PMTCT!$E:$E,0)))</f>
        <v/>
      </c>
      <c r="AQ207" s="38" t="str">
        <f>IF(OR($C207="01-09",$D207="Male"),"",INDEX(PMTCT!$AT:$AT,MATCH($E207,PMTCT!$E:$E,0)))</f>
        <v/>
      </c>
      <c r="AR207" s="38">
        <f>INDEX(TB!$Q:$Q,MATCH($E207,TB!$E:$E,0))</f>
        <v>4</v>
      </c>
      <c r="AS207" s="38" t="str">
        <f>IF(OR($C207="01-09",$C207="10-14",$D207="Female"),"",INDEX(VMMC!$AB:$AB,MATCH($E207,VMMC!$E:$E,0)))</f>
        <v/>
      </c>
      <c r="AT207" s="38" t="str">
        <f>IF(OR($C207="01-09",$C207="10-14"),"",INDEX(PrEP!$Q:$Q,MATCH($E207,PrEP!$E:$E,0)))</f>
        <v/>
      </c>
      <c r="AU207" s="38">
        <f t="shared" ref="AU207:AU270" si="118">IFERROR(1/(1/SUM($Z207,$AC207,$AF207,$AI207,$AL207,$AP207:$AT207)),"")</f>
        <v>168</v>
      </c>
      <c r="AV207" s="38">
        <f t="shared" ref="AV207:AV270" si="119">IFERROR(1/(1/SUM($AU207,$AN207)),"")</f>
        <v>170</v>
      </c>
      <c r="AW207" s="33">
        <f t="shared" ref="AW207:AW270" si="120">IF(AND(SUM($AN207)=0,SUM($AV207)=0),"",$AN207/$AV207)</f>
        <v>1.1764705882352941E-2</v>
      </c>
      <c r="AX207" s="38"/>
      <c r="AY207" s="33" t="str">
        <f t="shared" ref="AY207:AY270" si="121">IF(OR($C207="01-09",SUM($AX207)=0),"",0%)</f>
        <v/>
      </c>
      <c r="AZ207" s="218" t="str">
        <f t="shared" ref="AZ207:AZ270" si="122">IF(OR($C207="01-09",SUM($AX207)=0),"",ROUND($AX207*(1+$AY207),0))</f>
        <v/>
      </c>
      <c r="BA207" s="33" t="str">
        <f t="shared" ref="BA207:BA270" si="123">IF(OR($C207="01-09",$C207="10-14"),"",100%)</f>
        <v/>
      </c>
      <c r="BB207" s="218" t="str">
        <f t="shared" ref="BB207:BB270" si="124">IF(OR(SUM($AN207)=0,$C207="01-09",$C207="10-14"),"",ROUND($AN207*$BA207,0))</f>
        <v/>
      </c>
    </row>
    <row r="208" spans="1:54" x14ac:dyDescent="0.2">
      <c r="A208" t="str">
        <f>INDEX(Prioritization!$D:$D,MATCH($B208,Prioritization!$A:$A,0))</f>
        <v>4 - Sustained</v>
      </c>
      <c r="B208" t="s">
        <v>320</v>
      </c>
      <c r="C208" t="s">
        <v>473</v>
      </c>
      <c r="D208" t="s">
        <v>48</v>
      </c>
      <c r="E208" t="str">
        <f t="shared" si="99"/>
        <v>Mwanza District [wNqJp8oRIcF]|01-09|Male</v>
      </c>
      <c r="F208" s="33">
        <f>IF(LEFT($B208,4)="_Mil","",INDEX(Cascade!$AA:$AA,MATCH($E208,Cascade!$E:$E,0)))</f>
        <v>0.53777086799999996</v>
      </c>
      <c r="G208" s="38">
        <f>INDEX(Cascade!$BH:$BH,MATCH($E208,Cascade!$E:$E,0))</f>
        <v>1</v>
      </c>
      <c r="H208" s="38" t="str">
        <f>IF(OR($C208="01-09",$D208="Male"),"",INDEX(PMTCT!$AC:$AC,MATCH($E208,PMTCT!$E:$E,0)))</f>
        <v/>
      </c>
      <c r="I208" s="38" t="str">
        <f>IF(OR($C208="01-09",$D208="Male"),"",INDEX(PMTCT!$AS:$AS,MATCH($E208,PMTCT!$E:$E,0)))</f>
        <v/>
      </c>
      <c r="J208" s="38">
        <f>INDEX(TB!$P:$P,MATCH($E208,TB!$E:$E,0))</f>
        <v>0</v>
      </c>
      <c r="K208" s="38" t="str">
        <f>IF(OR($C208="01-09",$C208="10-14",$D208="Female"),"",INDEX(VMMC!$AA:$AA,MATCH($E208,VMMC!$E:$E,0)))</f>
        <v/>
      </c>
      <c r="L208" s="38">
        <f t="shared" si="100"/>
        <v>1</v>
      </c>
      <c r="M208" s="33" t="str">
        <f t="shared" si="101"/>
        <v/>
      </c>
      <c r="N208" s="33" t="str">
        <f t="shared" si="102"/>
        <v/>
      </c>
      <c r="O208" s="33">
        <f t="shared" si="103"/>
        <v>0</v>
      </c>
      <c r="P208" s="33" t="str">
        <f t="shared" si="104"/>
        <v/>
      </c>
      <c r="Q208" s="33">
        <v>0.4</v>
      </c>
      <c r="R208" s="33"/>
      <c r="S208" s="33"/>
      <c r="T208" s="33"/>
      <c r="U208" s="33">
        <f t="shared" si="94"/>
        <v>0.6</v>
      </c>
      <c r="V208" s="33">
        <f t="shared" si="105"/>
        <v>1</v>
      </c>
      <c r="W208" s="218">
        <f t="shared" si="106"/>
        <v>0</v>
      </c>
      <c r="X208" s="33">
        <v>1.2E-2</v>
      </c>
      <c r="Y208" s="218">
        <f t="shared" si="106"/>
        <v>0</v>
      </c>
      <c r="Z208" s="218" t="str">
        <f t="shared" si="107"/>
        <v/>
      </c>
      <c r="AA208" s="33">
        <v>0.12</v>
      </c>
      <c r="AB208" s="218" t="str">
        <f t="shared" si="108"/>
        <v/>
      </c>
      <c r="AC208" s="218" t="str">
        <f t="shared" ref="AC207:AC270" si="125">IF(SUM($AB208)=0,"",IF(SUM($AA208)=0,"ENTER YIELD",ROUND($AB208/$AA208,0)-$AB208))</f>
        <v/>
      </c>
      <c r="AD208" s="33">
        <v>0.02</v>
      </c>
      <c r="AE208" s="218" t="str">
        <f t="shared" si="109"/>
        <v/>
      </c>
      <c r="AF208" s="218" t="str">
        <f t="shared" si="110"/>
        <v/>
      </c>
      <c r="AG208" s="33">
        <v>0.02</v>
      </c>
      <c r="AH208" s="218" t="str">
        <f t="shared" si="111"/>
        <v/>
      </c>
      <c r="AI208" s="218" t="str">
        <f t="shared" si="112"/>
        <v/>
      </c>
      <c r="AJ208" s="33">
        <v>6.0000000000000001E-3</v>
      </c>
      <c r="AK208" s="218">
        <f t="shared" si="113"/>
        <v>1</v>
      </c>
      <c r="AL208" s="218">
        <f t="shared" si="114"/>
        <v>166</v>
      </c>
      <c r="AM208" s="38">
        <f t="shared" si="115"/>
        <v>1</v>
      </c>
      <c r="AN208" s="38">
        <f t="shared" si="116"/>
        <v>1</v>
      </c>
      <c r="AO208" s="38">
        <f t="shared" si="117"/>
        <v>0</v>
      </c>
      <c r="AP208" s="38" t="str">
        <f>IF(OR($C208="01-09",$D208="Male"),"",INDEX(PMTCT!$AD:$AD,MATCH($E208,PMTCT!$E:$E,0)))</f>
        <v/>
      </c>
      <c r="AQ208" s="38" t="str">
        <f>IF(OR($C208="01-09",$D208="Male"),"",INDEX(PMTCT!$AT:$AT,MATCH($E208,PMTCT!$E:$E,0)))</f>
        <v/>
      </c>
      <c r="AR208" s="38">
        <f>INDEX(TB!$Q:$Q,MATCH($E208,TB!$E:$E,0))</f>
        <v>4</v>
      </c>
      <c r="AS208" s="38" t="str">
        <f>IF(OR($C208="01-09",$C208="10-14",$D208="Female"),"",INDEX(VMMC!$AB:$AB,MATCH($E208,VMMC!$E:$E,0)))</f>
        <v/>
      </c>
      <c r="AT208" s="38" t="str">
        <f>IF(OR($C208="01-09",$C208="10-14"),"",INDEX(PrEP!$Q:$Q,MATCH($E208,PrEP!$E:$E,0)))</f>
        <v/>
      </c>
      <c r="AU208" s="38">
        <f t="shared" si="118"/>
        <v>170</v>
      </c>
      <c r="AV208" s="38">
        <f t="shared" si="119"/>
        <v>171</v>
      </c>
      <c r="AW208" s="33">
        <f t="shared" si="120"/>
        <v>5.8479532163742687E-3</v>
      </c>
      <c r="AX208" s="38"/>
      <c r="AY208" s="33" t="str">
        <f t="shared" si="121"/>
        <v/>
      </c>
      <c r="AZ208" s="218" t="str">
        <f t="shared" si="122"/>
        <v/>
      </c>
      <c r="BA208" s="33" t="str">
        <f t="shared" si="123"/>
        <v/>
      </c>
      <c r="BB208" s="218" t="str">
        <f t="shared" si="124"/>
        <v/>
      </c>
    </row>
    <row r="209" spans="1:54" x14ac:dyDescent="0.2">
      <c r="A209" t="str">
        <f>INDEX(Prioritization!$D:$D,MATCH($B209,Prioritization!$A:$A,0))</f>
        <v>4 - Sustained</v>
      </c>
      <c r="B209" t="s">
        <v>320</v>
      </c>
      <c r="C209" t="s">
        <v>474</v>
      </c>
      <c r="D209" t="s">
        <v>30</v>
      </c>
      <c r="E209" t="str">
        <f t="shared" si="99"/>
        <v>Mwanza District [wNqJp8oRIcF]|10-14|Female</v>
      </c>
      <c r="F209" s="33">
        <f>IF(LEFT($B209,4)="_Mil","",INDEX(Cascade!$AA:$AA,MATCH($E209,Cascade!$E:$E,0)))</f>
        <v>0.58414217599999996</v>
      </c>
      <c r="G209" s="38">
        <f>INDEX(Cascade!$BH:$BH,MATCH($E209,Cascade!$E:$E,0))</f>
        <v>14</v>
      </c>
      <c r="H209" s="38">
        <f>IF(OR($C209="01-09",$D209="Male"),"",INDEX(PMTCT!$AC:$AC,MATCH($E209,PMTCT!$E:$E,0)))</f>
        <v>0</v>
      </c>
      <c r="I209" s="38">
        <f>IF(OR($C209="01-09",$D209="Male"),"",INDEX(PMTCT!$AS:$AS,MATCH($E209,PMTCT!$E:$E,0)))</f>
        <v>0</v>
      </c>
      <c r="J209" s="38">
        <f>INDEX(TB!$P:$P,MATCH($E209,TB!$E:$E,0))</f>
        <v>0</v>
      </c>
      <c r="K209" s="38" t="str">
        <f>IF(OR($C209="01-09",$C209="10-14",$D209="Female"),"",INDEX(VMMC!$AA:$AA,MATCH($E209,VMMC!$E:$E,0)))</f>
        <v/>
      </c>
      <c r="L209" s="38">
        <f t="shared" si="100"/>
        <v>14</v>
      </c>
      <c r="M209" s="33">
        <f t="shared" si="101"/>
        <v>0</v>
      </c>
      <c r="N209" s="33">
        <f t="shared" si="102"/>
        <v>0</v>
      </c>
      <c r="O209" s="33">
        <f t="shared" si="103"/>
        <v>0</v>
      </c>
      <c r="P209" s="33" t="str">
        <f t="shared" si="104"/>
        <v/>
      </c>
      <c r="Q209" s="33">
        <v>0.45454545454545497</v>
      </c>
      <c r="R209" s="33"/>
      <c r="S209" s="33"/>
      <c r="T209" s="33"/>
      <c r="U209" s="33">
        <f t="shared" si="94"/>
        <v>0.54545454545454497</v>
      </c>
      <c r="V209" s="33">
        <f t="shared" si="105"/>
        <v>1</v>
      </c>
      <c r="W209" s="218">
        <f t="shared" si="106"/>
        <v>6</v>
      </c>
      <c r="X209" s="33">
        <v>1.2E-2</v>
      </c>
      <c r="Y209" s="218">
        <f t="shared" si="106"/>
        <v>6</v>
      </c>
      <c r="Z209" s="218">
        <f t="shared" si="107"/>
        <v>494</v>
      </c>
      <c r="AA209" s="33">
        <v>0.12</v>
      </c>
      <c r="AB209" s="218" t="str">
        <f t="shared" si="108"/>
        <v/>
      </c>
      <c r="AC209" s="218" t="str">
        <f t="shared" si="125"/>
        <v/>
      </c>
      <c r="AD209" s="33">
        <v>0.02</v>
      </c>
      <c r="AE209" s="218" t="str">
        <f t="shared" si="109"/>
        <v/>
      </c>
      <c r="AF209" s="218" t="str">
        <f t="shared" si="110"/>
        <v/>
      </c>
      <c r="AG209" s="33">
        <v>0.02</v>
      </c>
      <c r="AH209" s="218" t="str">
        <f t="shared" si="111"/>
        <v/>
      </c>
      <c r="AI209" s="218" t="str">
        <f t="shared" si="112"/>
        <v/>
      </c>
      <c r="AJ209" s="33">
        <v>8.0999999999999996E-3</v>
      </c>
      <c r="AK209" s="218">
        <f t="shared" si="113"/>
        <v>8</v>
      </c>
      <c r="AL209" s="218">
        <f t="shared" si="114"/>
        <v>980</v>
      </c>
      <c r="AM209" s="38">
        <f t="shared" si="115"/>
        <v>14</v>
      </c>
      <c r="AN209" s="38">
        <f t="shared" si="116"/>
        <v>14</v>
      </c>
      <c r="AO209" s="38">
        <f t="shared" si="117"/>
        <v>0</v>
      </c>
      <c r="AP209" s="38">
        <f>IF(OR($C209="01-09",$D209="Male"),"",INDEX(PMTCT!$AD:$AD,MATCH($E209,PMTCT!$E:$E,0)))</f>
        <v>26</v>
      </c>
      <c r="AQ209" s="38">
        <f>IF(OR($C209="01-09",$D209="Male"),"",INDEX(PMTCT!$AT:$AT,MATCH($E209,PMTCT!$E:$E,0)))</f>
        <v>26</v>
      </c>
      <c r="AR209" s="38">
        <f>INDEX(TB!$Q:$Q,MATCH($E209,TB!$E:$E,0))</f>
        <v>2</v>
      </c>
      <c r="AS209" s="38" t="str">
        <f>IF(OR($C209="01-09",$C209="10-14",$D209="Female"),"",INDEX(VMMC!$AB:$AB,MATCH($E209,VMMC!$E:$E,0)))</f>
        <v/>
      </c>
      <c r="AT209" s="38" t="str">
        <f>IF(OR($C209="01-09",$C209="10-14"),"",INDEX(PrEP!$Q:$Q,MATCH($E209,PrEP!$E:$E,0)))</f>
        <v/>
      </c>
      <c r="AU209" s="38">
        <f t="shared" si="118"/>
        <v>1528</v>
      </c>
      <c r="AV209" s="38">
        <f t="shared" si="119"/>
        <v>1542</v>
      </c>
      <c r="AW209" s="33">
        <f t="shared" si="120"/>
        <v>9.0791180285343717E-3</v>
      </c>
      <c r="AX209" s="38"/>
      <c r="AY209" s="33" t="str">
        <f t="shared" si="121"/>
        <v/>
      </c>
      <c r="AZ209" s="218" t="str">
        <f t="shared" si="122"/>
        <v/>
      </c>
      <c r="BA209" s="33" t="str">
        <f t="shared" si="123"/>
        <v/>
      </c>
      <c r="BB209" s="218" t="str">
        <f t="shared" si="124"/>
        <v/>
      </c>
    </row>
    <row r="210" spans="1:54" x14ac:dyDescent="0.2">
      <c r="A210" t="str">
        <f>INDEX(Prioritization!$D:$D,MATCH($B210,Prioritization!$A:$A,0))</f>
        <v>4 - Sustained</v>
      </c>
      <c r="B210" t="s">
        <v>320</v>
      </c>
      <c r="C210" t="s">
        <v>474</v>
      </c>
      <c r="D210" t="s">
        <v>48</v>
      </c>
      <c r="E210" t="str">
        <f t="shared" si="99"/>
        <v>Mwanza District [wNqJp8oRIcF]|10-14|Male</v>
      </c>
      <c r="F210" s="33">
        <f>IF(LEFT($B210,4)="_Mil","",INDEX(Cascade!$AA:$AA,MATCH($E210,Cascade!$E:$E,0)))</f>
        <v>0.58327093100000005</v>
      </c>
      <c r="G210" s="38">
        <f>INDEX(Cascade!$BH:$BH,MATCH($E210,Cascade!$E:$E,0))</f>
        <v>2</v>
      </c>
      <c r="H210" s="38" t="str">
        <f>IF(OR($C210="01-09",$D210="Male"),"",INDEX(PMTCT!$AC:$AC,MATCH($E210,PMTCT!$E:$E,0)))</f>
        <v/>
      </c>
      <c r="I210" s="38" t="str">
        <f>IF(OR($C210="01-09",$D210="Male"),"",INDEX(PMTCT!$AS:$AS,MATCH($E210,PMTCT!$E:$E,0)))</f>
        <v/>
      </c>
      <c r="J210" s="38">
        <f>INDEX(TB!$P:$P,MATCH($E210,TB!$E:$E,0))</f>
        <v>0</v>
      </c>
      <c r="K210" s="38" t="str">
        <f>IF(OR($C210="01-09",$C210="10-14",$D210="Female"),"",INDEX(VMMC!$AA:$AA,MATCH($E210,VMMC!$E:$E,0)))</f>
        <v/>
      </c>
      <c r="L210" s="38">
        <f t="shared" si="100"/>
        <v>2</v>
      </c>
      <c r="M210" s="33" t="str">
        <f t="shared" si="101"/>
        <v/>
      </c>
      <c r="N210" s="33" t="str">
        <f t="shared" si="102"/>
        <v/>
      </c>
      <c r="O210" s="33">
        <f t="shared" si="103"/>
        <v>0</v>
      </c>
      <c r="P210" s="33" t="str">
        <f t="shared" si="104"/>
        <v/>
      </c>
      <c r="Q210" s="33">
        <v>0.54545454545454497</v>
      </c>
      <c r="R210" s="33"/>
      <c r="S210" s="33"/>
      <c r="T210" s="33"/>
      <c r="U210" s="33">
        <f t="shared" si="94"/>
        <v>0.45454545454545503</v>
      </c>
      <c r="V210" s="33">
        <f t="shared" si="105"/>
        <v>1</v>
      </c>
      <c r="W210" s="218">
        <f t="shared" si="106"/>
        <v>1</v>
      </c>
      <c r="X210" s="33">
        <v>1.2E-2</v>
      </c>
      <c r="Y210" s="218">
        <f t="shared" si="106"/>
        <v>1</v>
      </c>
      <c r="Z210" s="218">
        <f t="shared" si="107"/>
        <v>82</v>
      </c>
      <c r="AA210" s="33">
        <v>0.12</v>
      </c>
      <c r="AB210" s="218" t="str">
        <f t="shared" si="108"/>
        <v/>
      </c>
      <c r="AC210" s="218" t="str">
        <f t="shared" si="125"/>
        <v/>
      </c>
      <c r="AD210" s="33">
        <v>0.02</v>
      </c>
      <c r="AE210" s="218" t="str">
        <f t="shared" si="109"/>
        <v/>
      </c>
      <c r="AF210" s="218" t="str">
        <f t="shared" si="110"/>
        <v/>
      </c>
      <c r="AG210" s="33">
        <v>0.02</v>
      </c>
      <c r="AH210" s="218" t="str">
        <f t="shared" si="111"/>
        <v/>
      </c>
      <c r="AI210" s="218" t="str">
        <f t="shared" si="112"/>
        <v/>
      </c>
      <c r="AJ210" s="33">
        <v>8.0999999999999996E-3</v>
      </c>
      <c r="AK210" s="218">
        <f t="shared" si="113"/>
        <v>1</v>
      </c>
      <c r="AL210" s="218">
        <f t="shared" si="114"/>
        <v>122</v>
      </c>
      <c r="AM210" s="38">
        <f t="shared" si="115"/>
        <v>2</v>
      </c>
      <c r="AN210" s="38">
        <f t="shared" si="116"/>
        <v>2</v>
      </c>
      <c r="AO210" s="38">
        <f t="shared" si="117"/>
        <v>0</v>
      </c>
      <c r="AP210" s="38" t="str">
        <f>IF(OR($C210="01-09",$D210="Male"),"",INDEX(PMTCT!$AD:$AD,MATCH($E210,PMTCT!$E:$E,0)))</f>
        <v/>
      </c>
      <c r="AQ210" s="38" t="str">
        <f>IF(OR($C210="01-09",$D210="Male"),"",INDEX(PMTCT!$AT:$AT,MATCH($E210,PMTCT!$E:$E,0)))</f>
        <v/>
      </c>
      <c r="AR210" s="38">
        <f>INDEX(TB!$Q:$Q,MATCH($E210,TB!$E:$E,0))</f>
        <v>2</v>
      </c>
      <c r="AS210" s="38" t="str">
        <f>IF(OR($C210="01-09",$C210="10-14",$D210="Female"),"",INDEX(VMMC!$AB:$AB,MATCH($E210,VMMC!$E:$E,0)))</f>
        <v/>
      </c>
      <c r="AT210" s="38" t="str">
        <f>IF(OR($C210="01-09",$C210="10-14"),"",INDEX(PrEP!$Q:$Q,MATCH($E210,PrEP!$E:$E,0)))</f>
        <v/>
      </c>
      <c r="AU210" s="38">
        <f t="shared" si="118"/>
        <v>206.00000000000003</v>
      </c>
      <c r="AV210" s="38">
        <f t="shared" si="119"/>
        <v>208.00000000000003</v>
      </c>
      <c r="AW210" s="33">
        <f t="shared" si="120"/>
        <v>9.6153846153846142E-3</v>
      </c>
      <c r="AX210" s="38"/>
      <c r="AY210" s="33" t="str">
        <f t="shared" si="121"/>
        <v/>
      </c>
      <c r="AZ210" s="218" t="str">
        <f t="shared" si="122"/>
        <v/>
      </c>
      <c r="BA210" s="33" t="str">
        <f t="shared" si="123"/>
        <v/>
      </c>
      <c r="BB210" s="218" t="str">
        <f t="shared" si="124"/>
        <v/>
      </c>
    </row>
    <row r="211" spans="1:54" x14ac:dyDescent="0.2">
      <c r="A211" t="str">
        <f>INDEX(Prioritization!$D:$D,MATCH($B211,Prioritization!$A:$A,0))</f>
        <v>4 - Sustained</v>
      </c>
      <c r="B211" t="s">
        <v>320</v>
      </c>
      <c r="C211" t="s">
        <v>475</v>
      </c>
      <c r="D211" t="s">
        <v>30</v>
      </c>
      <c r="E211" t="str">
        <f t="shared" si="99"/>
        <v>Mwanza District [wNqJp8oRIcF]|15-24|Female</v>
      </c>
      <c r="F211" s="33">
        <f>IF(LEFT($B211,4)="_Mil","",INDEX(Cascade!$AA:$AA,MATCH($E211,Cascade!$E:$E,0)))</f>
        <v>0.92450870200000002</v>
      </c>
      <c r="G211" s="38">
        <f>INDEX(Cascade!$BH:$BH,MATCH($E211,Cascade!$E:$E,0))</f>
        <v>54</v>
      </c>
      <c r="H211" s="38">
        <f>IF(OR($C211="01-09",$D211="Male"),"",INDEX(PMTCT!$AC:$AC,MATCH($E211,PMTCT!$E:$E,0)))</f>
        <v>18</v>
      </c>
      <c r="I211" s="38">
        <f>IF(OR($C211="01-09",$D211="Male"),"",INDEX(PMTCT!$AS:$AS,MATCH($E211,PMTCT!$E:$E,0)))</f>
        <v>14</v>
      </c>
      <c r="J211" s="38">
        <f>INDEX(TB!$P:$P,MATCH($E211,TB!$E:$E,0))</f>
        <v>1</v>
      </c>
      <c r="K211" s="38" t="str">
        <f>IF(OR($C211="01-09",$C211="10-14",$D211="Female"),"",INDEX(VMMC!$AA:$AA,MATCH($E211,VMMC!$E:$E,0)))</f>
        <v/>
      </c>
      <c r="L211" s="38">
        <f t="shared" si="100"/>
        <v>21</v>
      </c>
      <c r="M211" s="33">
        <f t="shared" si="101"/>
        <v>0.33333333333333331</v>
      </c>
      <c r="N211" s="33">
        <f t="shared" si="102"/>
        <v>0.25925925925925924</v>
      </c>
      <c r="O211" s="33">
        <f t="shared" si="103"/>
        <v>1.8518518518518517E-2</v>
      </c>
      <c r="P211" s="33" t="str">
        <f t="shared" si="104"/>
        <v/>
      </c>
      <c r="Q211" s="33">
        <v>0.15</v>
      </c>
      <c r="R211" s="33">
        <v>0.18</v>
      </c>
      <c r="S211" s="33"/>
      <c r="T211" s="33">
        <v>0.05</v>
      </c>
      <c r="U211" s="33">
        <f t="shared" si="94"/>
        <v>8.8888888888889461E-3</v>
      </c>
      <c r="V211" s="33">
        <f t="shared" si="105"/>
        <v>1</v>
      </c>
      <c r="W211" s="218">
        <f t="shared" si="106"/>
        <v>8</v>
      </c>
      <c r="X211" s="33">
        <v>0.19400000000000001</v>
      </c>
      <c r="Y211" s="218">
        <f t="shared" si="106"/>
        <v>8</v>
      </c>
      <c r="Z211" s="218">
        <f t="shared" si="107"/>
        <v>33</v>
      </c>
      <c r="AA211" s="33">
        <v>0.12</v>
      </c>
      <c r="AB211" s="218">
        <f t="shared" si="108"/>
        <v>10</v>
      </c>
      <c r="AC211" s="218">
        <v>0</v>
      </c>
      <c r="AD211" s="33">
        <v>0</v>
      </c>
      <c r="AE211" s="218" t="str">
        <f t="shared" si="109"/>
        <v/>
      </c>
      <c r="AF211" s="218" t="str">
        <f t="shared" si="110"/>
        <v/>
      </c>
      <c r="AG211" s="33">
        <v>0.02</v>
      </c>
      <c r="AH211" s="218">
        <f t="shared" si="111"/>
        <v>3</v>
      </c>
      <c r="AI211" s="218">
        <f t="shared" si="112"/>
        <v>147</v>
      </c>
      <c r="AJ211" s="33">
        <v>1.7999999999999999E-2</v>
      </c>
      <c r="AK211" s="218">
        <f t="shared" si="113"/>
        <v>0</v>
      </c>
      <c r="AL211" s="218" t="str">
        <f t="shared" si="114"/>
        <v/>
      </c>
      <c r="AM211" s="38">
        <f t="shared" si="115"/>
        <v>54</v>
      </c>
      <c r="AN211" s="38">
        <f t="shared" si="116"/>
        <v>54</v>
      </c>
      <c r="AO211" s="38">
        <f t="shared" si="117"/>
        <v>0</v>
      </c>
      <c r="AP211" s="38">
        <f>IF(OR($C211="01-09",$D211="Male"),"",INDEX(PMTCT!$AD:$AD,MATCH($E211,PMTCT!$E:$E,0)))</f>
        <v>3418</v>
      </c>
      <c r="AQ211" s="38">
        <f>IF(OR($C211="01-09",$D211="Male"),"",INDEX(PMTCT!$AT:$AT,MATCH($E211,PMTCT!$E:$E,0)))</f>
        <v>3404</v>
      </c>
      <c r="AR211" s="38">
        <f>INDEX(TB!$Q:$Q,MATCH($E211,TB!$E:$E,0))</f>
        <v>16</v>
      </c>
      <c r="AS211" s="38" t="str">
        <f>IF(OR($C211="01-09",$C211="10-14",$D211="Female"),"",INDEX(VMMC!$AB:$AB,MATCH($E211,VMMC!$E:$E,0)))</f>
        <v/>
      </c>
      <c r="AT211" s="38">
        <f>IF(OR($C211="01-09",$C211="10-14"),"",INDEX(PrEP!$Q:$Q,MATCH($E211,PrEP!$E:$E,0)))</f>
        <v>90</v>
      </c>
      <c r="AU211" s="38">
        <f t="shared" si="118"/>
        <v>7108</v>
      </c>
      <c r="AV211" s="38">
        <f t="shared" si="119"/>
        <v>7162.0000000000009</v>
      </c>
      <c r="AW211" s="33">
        <f t="shared" si="120"/>
        <v>7.5397933538117832E-3</v>
      </c>
      <c r="AX211" s="38">
        <v>463</v>
      </c>
      <c r="AY211" s="33">
        <f t="shared" ref="AY211:AY216" si="126">IF(OR($C211="01-09",SUM($AX211)=0),"",68%)</f>
        <v>0.68</v>
      </c>
      <c r="AZ211" s="218">
        <f t="shared" si="122"/>
        <v>778</v>
      </c>
      <c r="BA211" s="33">
        <v>0.33</v>
      </c>
      <c r="BB211" s="218">
        <f t="shared" si="124"/>
        <v>18</v>
      </c>
    </row>
    <row r="212" spans="1:54" x14ac:dyDescent="0.2">
      <c r="A212" t="str">
        <f>INDEX(Prioritization!$D:$D,MATCH($B212,Prioritization!$A:$A,0))</f>
        <v>4 - Sustained</v>
      </c>
      <c r="B212" t="s">
        <v>320</v>
      </c>
      <c r="C212" t="s">
        <v>475</v>
      </c>
      <c r="D212" t="s">
        <v>48</v>
      </c>
      <c r="E212" t="str">
        <f t="shared" si="99"/>
        <v>Mwanza District [wNqJp8oRIcF]|15-24|Male</v>
      </c>
      <c r="F212" s="33">
        <f>IF(LEFT($B212,4)="_Mil","",INDEX(Cascade!$AA:$AA,MATCH($E212,Cascade!$E:$E,0)))</f>
        <v>0.88483243499999997</v>
      </c>
      <c r="G212" s="38">
        <f>INDEX(Cascade!$BH:$BH,MATCH($E212,Cascade!$E:$E,0))</f>
        <v>44</v>
      </c>
      <c r="H212" s="38" t="str">
        <f>IF(OR($C212="01-09",$D212="Male"),"",INDEX(PMTCT!$AC:$AC,MATCH($E212,PMTCT!$E:$E,0)))</f>
        <v/>
      </c>
      <c r="I212" s="38" t="str">
        <f>IF(OR($C212="01-09",$D212="Male"),"",INDEX(PMTCT!$AS:$AS,MATCH($E212,PMTCT!$E:$E,0)))</f>
        <v/>
      </c>
      <c r="J212" s="38">
        <f>INDEX(TB!$P:$P,MATCH($E212,TB!$E:$E,0))</f>
        <v>2</v>
      </c>
      <c r="K212" s="38" t="str">
        <f>IF(OR($C212="01-09",$C212="10-14",$D212="Female"),"",INDEX(VMMC!$AA:$AA,MATCH($E212,VMMC!$E:$E,0)))</f>
        <v/>
      </c>
      <c r="L212" s="38">
        <f t="shared" si="100"/>
        <v>42</v>
      </c>
      <c r="M212" s="33" t="str">
        <f t="shared" si="101"/>
        <v/>
      </c>
      <c r="N212" s="33" t="str">
        <f t="shared" si="102"/>
        <v/>
      </c>
      <c r="O212" s="33">
        <f t="shared" si="103"/>
        <v>4.5454545454545456E-2</v>
      </c>
      <c r="P212" s="33">
        <f t="shared" si="104"/>
        <v>0</v>
      </c>
      <c r="Q212" s="33"/>
      <c r="R212" s="33"/>
      <c r="S212" s="33"/>
      <c r="T212" s="33"/>
      <c r="U212" s="33">
        <f t="shared" si="94"/>
        <v>0.95454545454545459</v>
      </c>
      <c r="V212" s="33">
        <f t="shared" si="105"/>
        <v>1</v>
      </c>
      <c r="W212" s="218" t="str">
        <f t="shared" si="106"/>
        <v/>
      </c>
      <c r="X212" s="33">
        <v>7.4999999999999997E-2</v>
      </c>
      <c r="Y212" s="218" t="str">
        <f t="shared" si="106"/>
        <v/>
      </c>
      <c r="Z212" s="218" t="str">
        <f t="shared" si="107"/>
        <v/>
      </c>
      <c r="AA212" s="33">
        <v>0.12</v>
      </c>
      <c r="AB212" s="218" t="str">
        <f t="shared" si="108"/>
        <v/>
      </c>
      <c r="AC212" s="218">
        <v>1</v>
      </c>
      <c r="AD212" s="33">
        <v>1</v>
      </c>
      <c r="AE212" s="218" t="str">
        <f t="shared" si="109"/>
        <v/>
      </c>
      <c r="AF212" s="218" t="str">
        <f t="shared" si="110"/>
        <v/>
      </c>
      <c r="AG212" s="33">
        <v>0.02</v>
      </c>
      <c r="AH212" s="218" t="str">
        <f t="shared" si="111"/>
        <v/>
      </c>
      <c r="AI212" s="218" t="str">
        <f t="shared" si="112"/>
        <v/>
      </c>
      <c r="AJ212" s="33">
        <v>2.1000000000000001E-2</v>
      </c>
      <c r="AK212" s="218">
        <f t="shared" si="113"/>
        <v>42</v>
      </c>
      <c r="AL212" s="218">
        <f t="shared" si="114"/>
        <v>1958</v>
      </c>
      <c r="AM212" s="38">
        <f t="shared" si="115"/>
        <v>44</v>
      </c>
      <c r="AN212" s="38">
        <f t="shared" si="116"/>
        <v>44</v>
      </c>
      <c r="AO212" s="38">
        <f t="shared" si="117"/>
        <v>0</v>
      </c>
      <c r="AP212" s="38" t="str">
        <f>IF(OR($C212="01-09",$D212="Male"),"",INDEX(PMTCT!$AD:$AD,MATCH($E212,PMTCT!$E:$E,0)))</f>
        <v/>
      </c>
      <c r="AQ212" s="38" t="str">
        <f>IF(OR($C212="01-09",$D212="Male"),"",INDEX(PMTCT!$AT:$AT,MATCH($E212,PMTCT!$E:$E,0)))</f>
        <v/>
      </c>
      <c r="AR212" s="38">
        <f>INDEX(TB!$Q:$Q,MATCH($E212,TB!$E:$E,0))</f>
        <v>25</v>
      </c>
      <c r="AS212" s="38" t="str">
        <f>IF(OR($C212="01-09",$C212="10-14",$D212="Female"),"",INDEX(VMMC!$AB:$AB,MATCH($E212,VMMC!$E:$E,0)))</f>
        <v/>
      </c>
      <c r="AT212" s="38">
        <f>IF(OR($C212="01-09",$C212="10-14"),"",INDEX(PrEP!$Q:$Q,MATCH($E212,PrEP!$E:$E,0)))</f>
        <v>64</v>
      </c>
      <c r="AU212" s="38">
        <f t="shared" si="118"/>
        <v>2048</v>
      </c>
      <c r="AV212" s="38">
        <f t="shared" si="119"/>
        <v>2092</v>
      </c>
      <c r="AW212" s="33">
        <f t="shared" si="120"/>
        <v>2.1032504780114723E-2</v>
      </c>
      <c r="AX212" s="38">
        <v>193</v>
      </c>
      <c r="AY212" s="33">
        <f t="shared" si="126"/>
        <v>0.68</v>
      </c>
      <c r="AZ212" s="218">
        <f t="shared" si="122"/>
        <v>324</v>
      </c>
      <c r="BA212" s="33">
        <v>0.33</v>
      </c>
      <c r="BB212" s="218">
        <f t="shared" si="124"/>
        <v>15</v>
      </c>
    </row>
    <row r="213" spans="1:54" x14ac:dyDescent="0.2">
      <c r="A213" t="str">
        <f>INDEX(Prioritization!$D:$D,MATCH($B213,Prioritization!$A:$A,0))</f>
        <v>4 - Sustained</v>
      </c>
      <c r="B213" t="s">
        <v>320</v>
      </c>
      <c r="C213" t="s">
        <v>476</v>
      </c>
      <c r="D213" t="s">
        <v>30</v>
      </c>
      <c r="E213" t="str">
        <f t="shared" si="99"/>
        <v>Mwanza District [wNqJp8oRIcF]|25-34|Female</v>
      </c>
      <c r="F213" s="33">
        <f>IF(LEFT($B213,4)="_Mil","",INDEX(Cascade!$AA:$AA,MATCH($E213,Cascade!$E:$E,0)))</f>
        <v>0.95967726099999995</v>
      </c>
      <c r="G213" s="38">
        <f>INDEX(Cascade!$BH:$BH,MATCH($E213,Cascade!$E:$E,0))</f>
        <v>94</v>
      </c>
      <c r="H213" s="38">
        <f>IF(OR($C213="01-09",$D213="Male"),"",INDEX(PMTCT!$AC:$AC,MATCH($E213,PMTCT!$E:$E,0)))</f>
        <v>21</v>
      </c>
      <c r="I213" s="38">
        <f>IF(OR($C213="01-09",$D213="Male"),"",INDEX(PMTCT!$AS:$AS,MATCH($E213,PMTCT!$E:$E,0)))</f>
        <v>8</v>
      </c>
      <c r="J213" s="38">
        <f>INDEX(TB!$P:$P,MATCH($E213,TB!$E:$E,0))</f>
        <v>1</v>
      </c>
      <c r="K213" s="38" t="str">
        <f>IF(OR($C213="01-09",$C213="10-14",$D213="Female"),"",INDEX(VMMC!$AA:$AA,MATCH($E213,VMMC!$E:$E,0)))</f>
        <v/>
      </c>
      <c r="L213" s="38">
        <f t="shared" si="100"/>
        <v>64</v>
      </c>
      <c r="M213" s="33">
        <f t="shared" si="101"/>
        <v>0.22340425531914893</v>
      </c>
      <c r="N213" s="33">
        <f t="shared" si="102"/>
        <v>8.5106382978723402E-2</v>
      </c>
      <c r="O213" s="33">
        <f t="shared" si="103"/>
        <v>1.0638297872340425E-2</v>
      </c>
      <c r="P213" s="33" t="str">
        <f t="shared" si="104"/>
        <v/>
      </c>
      <c r="Q213" s="33"/>
      <c r="R213" s="33"/>
      <c r="S213" s="33"/>
      <c r="T213" s="33"/>
      <c r="U213" s="33">
        <f t="shared" si="94"/>
        <v>0.68085106382978722</v>
      </c>
      <c r="V213" s="33">
        <f t="shared" si="105"/>
        <v>1</v>
      </c>
      <c r="W213" s="218" t="str">
        <f t="shared" si="106"/>
        <v/>
      </c>
      <c r="X213" s="33">
        <v>0.30199999999999999</v>
      </c>
      <c r="Y213" s="218" t="str">
        <f t="shared" si="106"/>
        <v/>
      </c>
      <c r="Z213" s="218" t="str">
        <f t="shared" si="107"/>
        <v/>
      </c>
      <c r="AA213" s="33">
        <v>0.12</v>
      </c>
      <c r="AB213" s="218" t="str">
        <f t="shared" si="108"/>
        <v/>
      </c>
      <c r="AC213" s="218">
        <v>2</v>
      </c>
      <c r="AD213" s="33">
        <v>2</v>
      </c>
      <c r="AE213" s="218" t="str">
        <f t="shared" si="109"/>
        <v/>
      </c>
      <c r="AF213" s="218" t="str">
        <f t="shared" si="110"/>
        <v/>
      </c>
      <c r="AG213" s="33">
        <v>0.02</v>
      </c>
      <c r="AH213" s="218" t="str">
        <f t="shared" si="111"/>
        <v/>
      </c>
      <c r="AI213" s="218" t="str">
        <f t="shared" si="112"/>
        <v/>
      </c>
      <c r="AJ213" s="33">
        <v>2.5999999999999999E-2</v>
      </c>
      <c r="AK213" s="218">
        <f t="shared" si="113"/>
        <v>64</v>
      </c>
      <c r="AL213" s="218">
        <f t="shared" si="114"/>
        <v>2398</v>
      </c>
      <c r="AM213" s="38">
        <f t="shared" si="115"/>
        <v>94</v>
      </c>
      <c r="AN213" s="38">
        <f t="shared" si="116"/>
        <v>94</v>
      </c>
      <c r="AO213" s="38">
        <f t="shared" si="117"/>
        <v>0</v>
      </c>
      <c r="AP213" s="38">
        <f>IF(OR($C213="01-09",$D213="Male"),"",INDEX(PMTCT!$AD:$AD,MATCH($E213,PMTCT!$E:$E,0)))</f>
        <v>1880</v>
      </c>
      <c r="AQ213" s="38">
        <f>IF(OR($C213="01-09",$D213="Male"),"",INDEX(PMTCT!$AT:$AT,MATCH($E213,PMTCT!$E:$E,0)))</f>
        <v>1872</v>
      </c>
      <c r="AR213" s="38">
        <f>INDEX(TB!$Q:$Q,MATCH($E213,TB!$E:$E,0))</f>
        <v>16</v>
      </c>
      <c r="AS213" s="38" t="str">
        <f>IF(OR($C213="01-09",$C213="10-14",$D213="Female"),"",INDEX(VMMC!$AB:$AB,MATCH($E213,VMMC!$E:$E,0)))</f>
        <v/>
      </c>
      <c r="AT213" s="38">
        <f>IF(OR($C213="01-09",$C213="10-14"),"",INDEX(PrEP!$Q:$Q,MATCH($E213,PrEP!$E:$E,0)))</f>
        <v>518</v>
      </c>
      <c r="AU213" s="38">
        <f t="shared" si="118"/>
        <v>6686</v>
      </c>
      <c r="AV213" s="38">
        <f t="shared" si="119"/>
        <v>6780</v>
      </c>
      <c r="AW213" s="33">
        <f t="shared" si="120"/>
        <v>1.3864306784660767E-2</v>
      </c>
      <c r="AX213" s="38">
        <v>315</v>
      </c>
      <c r="AY213" s="33">
        <f t="shared" si="126"/>
        <v>0.68</v>
      </c>
      <c r="AZ213" s="218">
        <f t="shared" si="122"/>
        <v>529</v>
      </c>
      <c r="BA213" s="33">
        <v>0.33</v>
      </c>
      <c r="BB213" s="218">
        <f t="shared" si="124"/>
        <v>31</v>
      </c>
    </row>
    <row r="214" spans="1:54" x14ac:dyDescent="0.2">
      <c r="A214" t="str">
        <f>INDEX(Prioritization!$D:$D,MATCH($B214,Prioritization!$A:$A,0))</f>
        <v>4 - Sustained</v>
      </c>
      <c r="B214" t="s">
        <v>320</v>
      </c>
      <c r="C214" t="s">
        <v>476</v>
      </c>
      <c r="D214" t="s">
        <v>48</v>
      </c>
      <c r="E214" t="str">
        <f t="shared" si="99"/>
        <v>Mwanza District [wNqJp8oRIcF]|25-34|Male</v>
      </c>
      <c r="F214" s="33">
        <f>IF(LEFT($B214,4)="_Mil","",INDEX(Cascade!$AA:$AA,MATCH($E214,Cascade!$E:$E,0)))</f>
        <v>0.851851421</v>
      </c>
      <c r="G214" s="38">
        <f>INDEX(Cascade!$BH:$BH,MATCH($E214,Cascade!$E:$E,0))</f>
        <v>46</v>
      </c>
      <c r="H214" s="38" t="str">
        <f>IF(OR($C214="01-09",$D214="Male"),"",INDEX(PMTCT!$AC:$AC,MATCH($E214,PMTCT!$E:$E,0)))</f>
        <v/>
      </c>
      <c r="I214" s="38" t="str">
        <f>IF(OR($C214="01-09",$D214="Male"),"",INDEX(PMTCT!$AS:$AS,MATCH($E214,PMTCT!$E:$E,0)))</f>
        <v/>
      </c>
      <c r="J214" s="38">
        <f>INDEX(TB!$P:$P,MATCH($E214,TB!$E:$E,0))</f>
        <v>2</v>
      </c>
      <c r="K214" s="38" t="str">
        <f>IF(OR($C214="01-09",$C214="10-14",$D214="Female"),"",INDEX(VMMC!$AA:$AA,MATCH($E214,VMMC!$E:$E,0)))</f>
        <v/>
      </c>
      <c r="L214" s="38">
        <f t="shared" si="100"/>
        <v>44</v>
      </c>
      <c r="M214" s="33" t="str">
        <f t="shared" si="101"/>
        <v/>
      </c>
      <c r="N214" s="33" t="str">
        <f t="shared" si="102"/>
        <v/>
      </c>
      <c r="O214" s="33">
        <f t="shared" si="103"/>
        <v>4.3478260869565216E-2</v>
      </c>
      <c r="P214" s="33">
        <f t="shared" si="104"/>
        <v>0</v>
      </c>
      <c r="Q214" s="33"/>
      <c r="R214" s="33"/>
      <c r="S214" s="33"/>
      <c r="T214" s="33"/>
      <c r="U214" s="33">
        <f t="shared" si="94"/>
        <v>0.95652173913043481</v>
      </c>
      <c r="V214" s="33">
        <f t="shared" si="105"/>
        <v>1</v>
      </c>
      <c r="W214" s="218" t="str">
        <f t="shared" si="106"/>
        <v/>
      </c>
      <c r="X214" s="33">
        <v>0.17399999999999999</v>
      </c>
      <c r="Y214" s="218" t="str">
        <f t="shared" si="106"/>
        <v/>
      </c>
      <c r="Z214" s="218" t="str">
        <f t="shared" si="107"/>
        <v/>
      </c>
      <c r="AA214" s="33">
        <v>0.12</v>
      </c>
      <c r="AB214" s="218" t="str">
        <f t="shared" si="108"/>
        <v/>
      </c>
      <c r="AC214" s="218">
        <v>3</v>
      </c>
      <c r="AD214" s="33">
        <v>3</v>
      </c>
      <c r="AE214" s="218" t="str">
        <f t="shared" si="109"/>
        <v/>
      </c>
      <c r="AF214" s="218" t="str">
        <f t="shared" si="110"/>
        <v/>
      </c>
      <c r="AG214" s="33">
        <v>0.02</v>
      </c>
      <c r="AH214" s="218" t="str">
        <f t="shared" si="111"/>
        <v/>
      </c>
      <c r="AI214" s="218" t="str">
        <f t="shared" si="112"/>
        <v/>
      </c>
      <c r="AJ214" s="33">
        <v>3.1E-2</v>
      </c>
      <c r="AK214" s="218">
        <f t="shared" si="113"/>
        <v>44</v>
      </c>
      <c r="AL214" s="218">
        <f t="shared" si="114"/>
        <v>1375</v>
      </c>
      <c r="AM214" s="38">
        <f t="shared" si="115"/>
        <v>46</v>
      </c>
      <c r="AN214" s="38">
        <f t="shared" si="116"/>
        <v>46</v>
      </c>
      <c r="AO214" s="38">
        <f t="shared" si="117"/>
        <v>0</v>
      </c>
      <c r="AP214" s="38" t="str">
        <f>IF(OR($C214="01-09",$D214="Male"),"",INDEX(PMTCT!$AD:$AD,MATCH($E214,PMTCT!$E:$E,0)))</f>
        <v/>
      </c>
      <c r="AQ214" s="38" t="str">
        <f>IF(OR($C214="01-09",$D214="Male"),"",INDEX(PMTCT!$AT:$AT,MATCH($E214,PMTCT!$E:$E,0)))</f>
        <v/>
      </c>
      <c r="AR214" s="38">
        <f>INDEX(TB!$Q:$Q,MATCH($E214,TB!$E:$E,0))</f>
        <v>25</v>
      </c>
      <c r="AS214" s="38" t="str">
        <f>IF(OR($C214="01-09",$C214="10-14",$D214="Female"),"",INDEX(VMMC!$AB:$AB,MATCH($E214,VMMC!$E:$E,0)))</f>
        <v/>
      </c>
      <c r="AT214" s="38">
        <f>IF(OR($C214="01-09",$C214="10-14"),"",INDEX(PrEP!$Q:$Q,MATCH($E214,PrEP!$E:$E,0)))</f>
        <v>138</v>
      </c>
      <c r="AU214" s="38">
        <f t="shared" si="118"/>
        <v>1541</v>
      </c>
      <c r="AV214" s="38">
        <f t="shared" si="119"/>
        <v>1587</v>
      </c>
      <c r="AW214" s="33">
        <f t="shared" si="120"/>
        <v>2.8985507246376812E-2</v>
      </c>
      <c r="AX214" s="38">
        <v>246</v>
      </c>
      <c r="AY214" s="33">
        <f t="shared" si="126"/>
        <v>0.68</v>
      </c>
      <c r="AZ214" s="218">
        <f t="shared" si="122"/>
        <v>413</v>
      </c>
      <c r="BA214" s="33">
        <v>0.33</v>
      </c>
      <c r="BB214" s="218">
        <f t="shared" si="124"/>
        <v>15</v>
      </c>
    </row>
    <row r="215" spans="1:54" x14ac:dyDescent="0.2">
      <c r="A215" t="str">
        <f>INDEX(Prioritization!$D:$D,MATCH($B215,Prioritization!$A:$A,0))</f>
        <v>4 - Sustained</v>
      </c>
      <c r="B215" t="s">
        <v>320</v>
      </c>
      <c r="C215" t="s">
        <v>477</v>
      </c>
      <c r="D215" t="s">
        <v>30</v>
      </c>
      <c r="E215" t="str">
        <f t="shared" si="99"/>
        <v>Mwanza District [wNqJp8oRIcF]|35-49|Female</v>
      </c>
      <c r="F215" s="33">
        <f>IF(LEFT($B215,4)="_Mil","",INDEX(Cascade!$AA:$AA,MATCH($E215,Cascade!$E:$E,0)))</f>
        <v>0.97988412199999997</v>
      </c>
      <c r="G215" s="38">
        <f>INDEX(Cascade!$BH:$BH,MATCH($E215,Cascade!$E:$E,0))</f>
        <v>127</v>
      </c>
      <c r="H215" s="38">
        <f>IF(OR($C215="01-09",$D215="Male"),"",INDEX(PMTCT!$AC:$AC,MATCH($E215,PMTCT!$E:$E,0)))</f>
        <v>5</v>
      </c>
      <c r="I215" s="38">
        <f>IF(OR($C215="01-09",$D215="Male"),"",INDEX(PMTCT!$AS:$AS,MATCH($E215,PMTCT!$E:$E,0)))</f>
        <v>2</v>
      </c>
      <c r="J215" s="38">
        <f>INDEX(TB!$P:$P,MATCH($E215,TB!$E:$E,0))</f>
        <v>2</v>
      </c>
      <c r="K215" s="38" t="str">
        <f>IF(OR($C215="01-09",$C215="10-14",$D215="Female"),"",INDEX(VMMC!$AA:$AA,MATCH($E215,VMMC!$E:$E,0)))</f>
        <v/>
      </c>
      <c r="L215" s="38">
        <f t="shared" si="100"/>
        <v>118</v>
      </c>
      <c r="M215" s="33">
        <f t="shared" si="101"/>
        <v>3.937007874015748E-2</v>
      </c>
      <c r="N215" s="33">
        <f t="shared" si="102"/>
        <v>1.5748031496062992E-2</v>
      </c>
      <c r="O215" s="33">
        <f t="shared" si="103"/>
        <v>1.5748031496062992E-2</v>
      </c>
      <c r="P215" s="33" t="str">
        <f t="shared" si="104"/>
        <v/>
      </c>
      <c r="Q215" s="33"/>
      <c r="R215" s="33"/>
      <c r="S215" s="33"/>
      <c r="T215" s="33"/>
      <c r="U215" s="33">
        <f t="shared" si="94"/>
        <v>0.92913385826771655</v>
      </c>
      <c r="V215" s="33">
        <f t="shared" si="105"/>
        <v>1</v>
      </c>
      <c r="W215" s="218" t="str">
        <f t="shared" si="106"/>
        <v/>
      </c>
      <c r="X215" s="33">
        <v>0.15</v>
      </c>
      <c r="Y215" s="218" t="str">
        <f t="shared" si="106"/>
        <v/>
      </c>
      <c r="Z215" s="218" t="str">
        <f t="shared" si="107"/>
        <v/>
      </c>
      <c r="AA215" s="33">
        <v>0.12</v>
      </c>
      <c r="AB215" s="218" t="str">
        <f t="shared" si="108"/>
        <v/>
      </c>
      <c r="AC215" s="218">
        <v>4</v>
      </c>
      <c r="AD215" s="33">
        <v>4</v>
      </c>
      <c r="AE215" s="218" t="str">
        <f t="shared" si="109"/>
        <v/>
      </c>
      <c r="AF215" s="218" t="str">
        <f t="shared" si="110"/>
        <v/>
      </c>
      <c r="AG215" s="33">
        <v>0.02</v>
      </c>
      <c r="AH215" s="218" t="str">
        <f t="shared" si="111"/>
        <v/>
      </c>
      <c r="AI215" s="218" t="str">
        <f t="shared" si="112"/>
        <v/>
      </c>
      <c r="AJ215" s="33">
        <v>2.8000000000000001E-2</v>
      </c>
      <c r="AK215" s="218">
        <f t="shared" si="113"/>
        <v>118</v>
      </c>
      <c r="AL215" s="218">
        <f t="shared" si="114"/>
        <v>4096</v>
      </c>
      <c r="AM215" s="38">
        <f t="shared" si="115"/>
        <v>127</v>
      </c>
      <c r="AN215" s="38">
        <f t="shared" si="116"/>
        <v>127</v>
      </c>
      <c r="AO215" s="38">
        <f t="shared" si="117"/>
        <v>0</v>
      </c>
      <c r="AP215" s="38">
        <f>IF(OR($C215="01-09",$D215="Male"),"",INDEX(PMTCT!$AD:$AD,MATCH($E215,PMTCT!$E:$E,0)))</f>
        <v>531</v>
      </c>
      <c r="AQ215" s="38">
        <f>IF(OR($C215="01-09",$D215="Male"),"",INDEX(PMTCT!$AT:$AT,MATCH($E215,PMTCT!$E:$E,0)))</f>
        <v>529</v>
      </c>
      <c r="AR215" s="38">
        <f>INDEX(TB!$Q:$Q,MATCH($E215,TB!$E:$E,0))</f>
        <v>23</v>
      </c>
      <c r="AS215" s="38" t="str">
        <f>IF(OR($C215="01-09",$C215="10-14",$D215="Female"),"",INDEX(VMMC!$AB:$AB,MATCH($E215,VMMC!$E:$E,0)))</f>
        <v/>
      </c>
      <c r="AT215" s="38">
        <f>IF(OR($C215="01-09",$C215="10-14"),"",INDEX(PrEP!$Q:$Q,MATCH($E215,PrEP!$E:$E,0)))</f>
        <v>30</v>
      </c>
      <c r="AU215" s="38">
        <f t="shared" si="118"/>
        <v>5213</v>
      </c>
      <c r="AV215" s="38">
        <f t="shared" si="119"/>
        <v>5340</v>
      </c>
      <c r="AW215" s="33">
        <f t="shared" si="120"/>
        <v>2.3782771535580526E-2</v>
      </c>
      <c r="AX215" s="38">
        <v>71</v>
      </c>
      <c r="AY215" s="33">
        <f t="shared" si="126"/>
        <v>0.68</v>
      </c>
      <c r="AZ215" s="218">
        <f t="shared" si="122"/>
        <v>119</v>
      </c>
      <c r="BA215" s="33">
        <v>0.33</v>
      </c>
      <c r="BB215" s="218">
        <f t="shared" si="124"/>
        <v>42</v>
      </c>
    </row>
    <row r="216" spans="1:54" x14ac:dyDescent="0.2">
      <c r="A216" t="str">
        <f>INDEX(Prioritization!$D:$D,MATCH($B216,Prioritization!$A:$A,0))</f>
        <v>4 - Sustained</v>
      </c>
      <c r="B216" t="s">
        <v>320</v>
      </c>
      <c r="C216" t="s">
        <v>477</v>
      </c>
      <c r="D216" t="s">
        <v>48</v>
      </c>
      <c r="E216" t="str">
        <f t="shared" si="99"/>
        <v>Mwanza District [wNqJp8oRIcF]|35-49|Male</v>
      </c>
      <c r="F216" s="33">
        <f>IF(LEFT($B216,4)="_Mil","",INDEX(Cascade!$AA:$AA,MATCH($E216,Cascade!$E:$E,0)))</f>
        <v>0.90792339799999988</v>
      </c>
      <c r="G216" s="38">
        <f>INDEX(Cascade!$BH:$BH,MATCH($E216,Cascade!$E:$E,0))</f>
        <v>164</v>
      </c>
      <c r="H216" s="38" t="str">
        <f>IF(OR($C216="01-09",$D216="Male"),"",INDEX(PMTCT!$AC:$AC,MATCH($E216,PMTCT!$E:$E,0)))</f>
        <v/>
      </c>
      <c r="I216" s="38" t="str">
        <f>IF(OR($C216="01-09",$D216="Male"),"",INDEX(PMTCT!$AS:$AS,MATCH($E216,PMTCT!$E:$E,0)))</f>
        <v/>
      </c>
      <c r="J216" s="38">
        <f>INDEX(TB!$P:$P,MATCH($E216,TB!$E:$E,0))</f>
        <v>2</v>
      </c>
      <c r="K216" s="38" t="str">
        <f>IF(OR($C216="01-09",$C216="10-14",$D216="Female"),"",INDEX(VMMC!$AA:$AA,MATCH($E216,VMMC!$E:$E,0)))</f>
        <v/>
      </c>
      <c r="L216" s="38">
        <f t="shared" si="100"/>
        <v>162</v>
      </c>
      <c r="M216" s="33" t="str">
        <f t="shared" si="101"/>
        <v/>
      </c>
      <c r="N216" s="33" t="str">
        <f t="shared" si="102"/>
        <v/>
      </c>
      <c r="O216" s="33">
        <f t="shared" si="103"/>
        <v>1.2195121951219513E-2</v>
      </c>
      <c r="P216" s="33">
        <f t="shared" si="104"/>
        <v>0</v>
      </c>
      <c r="Q216" s="33"/>
      <c r="R216" s="33"/>
      <c r="S216" s="33"/>
      <c r="T216" s="33"/>
      <c r="U216" s="33">
        <f t="shared" si="94"/>
        <v>0.98780487804878048</v>
      </c>
      <c r="V216" s="33">
        <f t="shared" si="105"/>
        <v>1</v>
      </c>
      <c r="W216" s="218" t="str">
        <f t="shared" si="106"/>
        <v/>
      </c>
      <c r="X216" s="33">
        <v>0.27400000000000002</v>
      </c>
      <c r="Y216" s="218" t="str">
        <f t="shared" si="106"/>
        <v/>
      </c>
      <c r="Z216" s="218" t="str">
        <f t="shared" si="107"/>
        <v/>
      </c>
      <c r="AA216" s="33">
        <v>0.12</v>
      </c>
      <c r="AB216" s="218" t="str">
        <f t="shared" si="108"/>
        <v/>
      </c>
      <c r="AC216" s="218">
        <v>5</v>
      </c>
      <c r="AD216" s="33">
        <v>5</v>
      </c>
      <c r="AE216" s="218" t="str">
        <f t="shared" si="109"/>
        <v/>
      </c>
      <c r="AF216" s="218" t="str">
        <f t="shared" si="110"/>
        <v/>
      </c>
      <c r="AG216" s="33">
        <v>0.02</v>
      </c>
      <c r="AH216" s="218" t="str">
        <f t="shared" si="111"/>
        <v/>
      </c>
      <c r="AI216" s="218" t="str">
        <f t="shared" si="112"/>
        <v/>
      </c>
      <c r="AJ216" s="33">
        <v>5.6000000000000001E-2</v>
      </c>
      <c r="AK216" s="218">
        <f t="shared" si="113"/>
        <v>162</v>
      </c>
      <c r="AL216" s="218">
        <f t="shared" si="114"/>
        <v>2731</v>
      </c>
      <c r="AM216" s="38">
        <f t="shared" si="115"/>
        <v>164</v>
      </c>
      <c r="AN216" s="38">
        <f t="shared" si="116"/>
        <v>164</v>
      </c>
      <c r="AO216" s="38">
        <f t="shared" si="117"/>
        <v>0</v>
      </c>
      <c r="AP216" s="38" t="str">
        <f>IF(OR($C216="01-09",$D216="Male"),"",INDEX(PMTCT!$AD:$AD,MATCH($E216,PMTCT!$E:$E,0)))</f>
        <v/>
      </c>
      <c r="AQ216" s="38" t="str">
        <f>IF(OR($C216="01-09",$D216="Male"),"",INDEX(PMTCT!$AT:$AT,MATCH($E216,PMTCT!$E:$E,0)))</f>
        <v/>
      </c>
      <c r="AR216" s="38">
        <f>INDEX(TB!$Q:$Q,MATCH($E216,TB!$E:$E,0))</f>
        <v>39</v>
      </c>
      <c r="AS216" s="38" t="str">
        <f>IF(OR($C216="01-09",$C216="10-14",$D216="Female"),"",INDEX(VMMC!$AB:$AB,MATCH($E216,VMMC!$E:$E,0)))</f>
        <v/>
      </c>
      <c r="AT216" s="38">
        <f>IF(OR($C216="01-09",$C216="10-14"),"",INDEX(PrEP!$Q:$Q,MATCH($E216,PrEP!$E:$E,0)))</f>
        <v>18</v>
      </c>
      <c r="AU216" s="38">
        <f t="shared" si="118"/>
        <v>2793</v>
      </c>
      <c r="AV216" s="38">
        <f t="shared" si="119"/>
        <v>2957</v>
      </c>
      <c r="AW216" s="33">
        <f t="shared" si="120"/>
        <v>5.5461616503212713E-2</v>
      </c>
      <c r="AX216" s="38">
        <v>171</v>
      </c>
      <c r="AY216" s="33">
        <f t="shared" si="126"/>
        <v>0.68</v>
      </c>
      <c r="AZ216" s="218">
        <f t="shared" si="122"/>
        <v>287</v>
      </c>
      <c r="BA216" s="33">
        <v>0.33</v>
      </c>
      <c r="BB216" s="218">
        <f t="shared" si="124"/>
        <v>54</v>
      </c>
    </row>
    <row r="217" spans="1:54" x14ac:dyDescent="0.2">
      <c r="A217" t="str">
        <f>INDEX(Prioritization!$D:$D,MATCH($B217,Prioritization!$A:$A,0))</f>
        <v>4 - Sustained</v>
      </c>
      <c r="B217" t="s">
        <v>320</v>
      </c>
      <c r="C217" t="s">
        <v>478</v>
      </c>
      <c r="D217" t="s">
        <v>30</v>
      </c>
      <c r="E217" t="str">
        <f t="shared" si="99"/>
        <v>Mwanza District [wNqJp8oRIcF]|50+|Female</v>
      </c>
      <c r="F217" s="33">
        <f>IF(LEFT($B217,4)="_Mil","",INDEX(Cascade!$AA:$AA,MATCH($E217,Cascade!$E:$E,0)))</f>
        <v>0.98624378499999987</v>
      </c>
      <c r="G217" s="38">
        <f>INDEX(Cascade!$BH:$BH,MATCH($E217,Cascade!$E:$E,0))</f>
        <v>41</v>
      </c>
      <c r="H217" s="38">
        <f>IF(OR($C217="01-09",$D217="Male"),"",INDEX(PMTCT!$AC:$AC,MATCH($E217,PMTCT!$E:$E,0)))</f>
        <v>0</v>
      </c>
      <c r="I217" s="38">
        <f>IF(OR($C217="01-09",$D217="Male"),"",INDEX(PMTCT!$AS:$AS,MATCH($E217,PMTCT!$E:$E,0)))</f>
        <v>0</v>
      </c>
      <c r="J217" s="38">
        <f>INDEX(TB!$P:$P,MATCH($E217,TB!$E:$E,0))</f>
        <v>0</v>
      </c>
      <c r="K217" s="38" t="str">
        <f>IF(OR($C217="01-09",$C217="10-14",$D217="Female"),"",INDEX(VMMC!$AA:$AA,MATCH($E217,VMMC!$E:$E,0)))</f>
        <v/>
      </c>
      <c r="L217" s="38">
        <f t="shared" si="100"/>
        <v>41</v>
      </c>
      <c r="M217" s="33">
        <f t="shared" si="101"/>
        <v>0</v>
      </c>
      <c r="N217" s="33">
        <f t="shared" si="102"/>
        <v>0</v>
      </c>
      <c r="O217" s="33">
        <f t="shared" si="103"/>
        <v>0</v>
      </c>
      <c r="P217" s="33" t="str">
        <f t="shared" si="104"/>
        <v/>
      </c>
      <c r="Q217" s="33"/>
      <c r="R217" s="33"/>
      <c r="S217" s="33"/>
      <c r="T217" s="33"/>
      <c r="U217" s="33">
        <f t="shared" si="94"/>
        <v>1</v>
      </c>
      <c r="V217" s="33">
        <f t="shared" si="105"/>
        <v>1</v>
      </c>
      <c r="W217" s="218" t="str">
        <f t="shared" si="106"/>
        <v/>
      </c>
      <c r="X217" s="33">
        <v>0.33300000000000002</v>
      </c>
      <c r="Y217" s="218" t="str">
        <f t="shared" si="106"/>
        <v/>
      </c>
      <c r="Z217" s="218" t="str">
        <f t="shared" si="107"/>
        <v/>
      </c>
      <c r="AA217" s="33">
        <v>0.12</v>
      </c>
      <c r="AB217" s="218" t="str">
        <f t="shared" si="108"/>
        <v/>
      </c>
      <c r="AC217" s="218">
        <v>6</v>
      </c>
      <c r="AD217" s="33">
        <v>6</v>
      </c>
      <c r="AE217" s="218" t="str">
        <f t="shared" si="109"/>
        <v/>
      </c>
      <c r="AF217" s="218" t="str">
        <f t="shared" si="110"/>
        <v/>
      </c>
      <c r="AG217" s="33">
        <v>0.02</v>
      </c>
      <c r="AH217" s="218" t="str">
        <f t="shared" si="111"/>
        <v/>
      </c>
      <c r="AI217" s="218" t="str">
        <f t="shared" si="112"/>
        <v/>
      </c>
      <c r="AJ217" s="33">
        <v>0.03</v>
      </c>
      <c r="AK217" s="218">
        <f t="shared" si="113"/>
        <v>41</v>
      </c>
      <c r="AL217" s="218">
        <f t="shared" si="114"/>
        <v>1326</v>
      </c>
      <c r="AM217" s="38">
        <f t="shared" si="115"/>
        <v>41</v>
      </c>
      <c r="AN217" s="38">
        <f t="shared" si="116"/>
        <v>41</v>
      </c>
      <c r="AO217" s="38">
        <f t="shared" si="117"/>
        <v>0</v>
      </c>
      <c r="AP217" s="38">
        <f>IF(OR($C217="01-09",$D217="Male"),"",INDEX(PMTCT!$AD:$AD,MATCH($E217,PMTCT!$E:$E,0)))</f>
        <v>3</v>
      </c>
      <c r="AQ217" s="38">
        <f>IF(OR($C217="01-09",$D217="Male"),"",INDEX(PMTCT!$AT:$AT,MATCH($E217,PMTCT!$E:$E,0)))</f>
        <v>3</v>
      </c>
      <c r="AR217" s="38">
        <f>INDEX(TB!$Q:$Q,MATCH($E217,TB!$E:$E,0))</f>
        <v>8</v>
      </c>
      <c r="AS217" s="38" t="str">
        <f>IF(OR($C217="01-09",$C217="10-14",$D217="Female"),"",INDEX(VMMC!$AB:$AB,MATCH($E217,VMMC!$E:$E,0)))</f>
        <v/>
      </c>
      <c r="AT217" s="38">
        <f>IF(OR($C217="01-09",$C217="10-14"),"",INDEX(PrEP!$Q:$Q,MATCH($E217,PrEP!$E:$E,0)))</f>
        <v>18</v>
      </c>
      <c r="AU217" s="38">
        <f t="shared" si="118"/>
        <v>1364</v>
      </c>
      <c r="AV217" s="38">
        <f t="shared" si="119"/>
        <v>1405</v>
      </c>
      <c r="AW217" s="33">
        <f t="shared" si="120"/>
        <v>2.9181494661921707E-2</v>
      </c>
      <c r="AX217" s="38">
        <v>11</v>
      </c>
      <c r="AY217" s="33">
        <f t="shared" si="121"/>
        <v>0</v>
      </c>
      <c r="AZ217" s="218">
        <f t="shared" si="122"/>
        <v>11</v>
      </c>
      <c r="BA217" s="33">
        <v>0.33</v>
      </c>
      <c r="BB217" s="218">
        <f t="shared" si="124"/>
        <v>14</v>
      </c>
    </row>
    <row r="218" spans="1:54" x14ac:dyDescent="0.2">
      <c r="A218" t="str">
        <f>INDEX(Prioritization!$D:$D,MATCH($B218,Prioritization!$A:$A,0))</f>
        <v>4 - Sustained</v>
      </c>
      <c r="B218" t="s">
        <v>320</v>
      </c>
      <c r="C218" t="s">
        <v>478</v>
      </c>
      <c r="D218" t="s">
        <v>48</v>
      </c>
      <c r="E218" t="str">
        <f t="shared" si="99"/>
        <v>Mwanza District [wNqJp8oRIcF]|50+|Male</v>
      </c>
      <c r="F218" s="33">
        <f>IF(LEFT($B218,4)="_Mil","",INDEX(Cascade!$AA:$AA,MATCH($E218,Cascade!$E:$E,0)))</f>
        <v>0.9366095860000001</v>
      </c>
      <c r="G218" s="38">
        <f>INDEX(Cascade!$BH:$BH,MATCH($E218,Cascade!$E:$E,0))</f>
        <v>44</v>
      </c>
      <c r="H218" s="38" t="str">
        <f>IF(OR($C218="01-09",$D218="Male"),"",INDEX(PMTCT!$AC:$AC,MATCH($E218,PMTCT!$E:$E,0)))</f>
        <v/>
      </c>
      <c r="I218" s="38" t="str">
        <f>IF(OR($C218="01-09",$D218="Male"),"",INDEX(PMTCT!$AS:$AS,MATCH($E218,PMTCT!$E:$E,0)))</f>
        <v/>
      </c>
      <c r="J218" s="38">
        <f>INDEX(TB!$P:$P,MATCH($E218,TB!$E:$E,0))</f>
        <v>1</v>
      </c>
      <c r="K218" s="38" t="str">
        <f>IF(OR($C218="01-09",$C218="10-14",$D218="Female"),"",INDEX(VMMC!$AA:$AA,MATCH($E218,VMMC!$E:$E,0)))</f>
        <v/>
      </c>
      <c r="L218" s="38">
        <f t="shared" si="100"/>
        <v>43</v>
      </c>
      <c r="M218" s="33" t="str">
        <f t="shared" si="101"/>
        <v/>
      </c>
      <c r="N218" s="33" t="str">
        <f t="shared" si="102"/>
        <v/>
      </c>
      <c r="O218" s="33">
        <f t="shared" si="103"/>
        <v>2.2727272727272728E-2</v>
      </c>
      <c r="P218" s="33">
        <f t="shared" si="104"/>
        <v>0</v>
      </c>
      <c r="Q218" s="33"/>
      <c r="R218" s="33"/>
      <c r="S218" s="33"/>
      <c r="T218" s="33"/>
      <c r="U218" s="33">
        <f t="shared" si="94"/>
        <v>0.97727272727272729</v>
      </c>
      <c r="V218" s="33">
        <f t="shared" si="105"/>
        <v>1</v>
      </c>
      <c r="W218" s="218" t="str">
        <f t="shared" si="106"/>
        <v/>
      </c>
      <c r="X218" s="33">
        <v>0.23799999999999999</v>
      </c>
      <c r="Y218" s="218" t="str">
        <f t="shared" si="106"/>
        <v/>
      </c>
      <c r="Z218" s="218" t="str">
        <f t="shared" si="107"/>
        <v/>
      </c>
      <c r="AA218" s="33">
        <v>0.12</v>
      </c>
      <c r="AB218" s="218" t="str">
        <f t="shared" si="108"/>
        <v/>
      </c>
      <c r="AC218" s="218">
        <v>7</v>
      </c>
      <c r="AD218" s="33">
        <v>7</v>
      </c>
      <c r="AE218" s="218" t="str">
        <f t="shared" si="109"/>
        <v/>
      </c>
      <c r="AF218" s="218" t="str">
        <f t="shared" si="110"/>
        <v/>
      </c>
      <c r="AG218" s="33">
        <v>0.02</v>
      </c>
      <c r="AH218" s="218" t="str">
        <f t="shared" si="111"/>
        <v/>
      </c>
      <c r="AI218" s="218" t="str">
        <f t="shared" si="112"/>
        <v/>
      </c>
      <c r="AJ218" s="33">
        <v>2.5000000000000001E-2</v>
      </c>
      <c r="AK218" s="218">
        <f t="shared" si="113"/>
        <v>43</v>
      </c>
      <c r="AL218" s="218">
        <f t="shared" si="114"/>
        <v>1677</v>
      </c>
      <c r="AM218" s="38">
        <f t="shared" si="115"/>
        <v>44</v>
      </c>
      <c r="AN218" s="38">
        <f t="shared" si="116"/>
        <v>44</v>
      </c>
      <c r="AO218" s="38">
        <f t="shared" si="117"/>
        <v>0</v>
      </c>
      <c r="AP218" s="38" t="str">
        <f>IF(OR($C218="01-09",$D218="Male"),"",INDEX(PMTCT!$AD:$AD,MATCH($E218,PMTCT!$E:$E,0)))</f>
        <v/>
      </c>
      <c r="AQ218" s="38" t="str">
        <f>IF(OR($C218="01-09",$D218="Male"),"",INDEX(PMTCT!$AT:$AT,MATCH($E218,PMTCT!$E:$E,0)))</f>
        <v/>
      </c>
      <c r="AR218" s="38">
        <f>INDEX(TB!$Q:$Q,MATCH($E218,TB!$E:$E,0))</f>
        <v>13</v>
      </c>
      <c r="AS218" s="38" t="str">
        <f>IF(OR($C218="01-09",$C218="10-14",$D218="Female"),"",INDEX(VMMC!$AB:$AB,MATCH($E218,VMMC!$E:$E,0)))</f>
        <v/>
      </c>
      <c r="AT218" s="38" t="str">
        <f>IF(OR($C218="01-09",$C218="10-14"),"",INDEX(PrEP!$Q:$Q,MATCH($E218,PrEP!$E:$E,0)))</f>
        <v/>
      </c>
      <c r="AU218" s="38">
        <f t="shared" si="118"/>
        <v>1697</v>
      </c>
      <c r="AV218" s="38">
        <f t="shared" si="119"/>
        <v>1741</v>
      </c>
      <c r="AW218" s="33">
        <f t="shared" si="120"/>
        <v>2.5272831705916141E-2</v>
      </c>
      <c r="AX218" s="38">
        <v>167</v>
      </c>
      <c r="AY218" s="33">
        <f t="shared" si="121"/>
        <v>0</v>
      </c>
      <c r="AZ218" s="218">
        <f t="shared" si="122"/>
        <v>167</v>
      </c>
      <c r="BA218" s="33">
        <v>0.33</v>
      </c>
      <c r="BB218" s="218">
        <f t="shared" si="124"/>
        <v>15</v>
      </c>
    </row>
    <row r="219" spans="1:54" x14ac:dyDescent="0.2">
      <c r="A219" t="str">
        <f>INDEX(Prioritization!$D:$D,MATCH($B219,Prioritization!$A:$A,0))</f>
        <v>1 - Scale-up: Saturation</v>
      </c>
      <c r="B219" t="s">
        <v>310</v>
      </c>
      <c r="C219" t="s">
        <v>473</v>
      </c>
      <c r="D219" t="s">
        <v>30</v>
      </c>
      <c r="E219" t="str">
        <f t="shared" si="99"/>
        <v>Mzimba District [vA4NcHxfMBq]|01-09|Female</v>
      </c>
      <c r="F219" s="33">
        <f>IF(LEFT($B219,4)="_Mil","",INDEX(Cascade!$AA:$AA,MATCH($E219,Cascade!$E:$E,0)))</f>
        <v>0.65912864599999998</v>
      </c>
      <c r="G219" s="38">
        <f>INDEX(Cascade!$BH:$BH,MATCH($E219,Cascade!$E:$E,0))</f>
        <v>8</v>
      </c>
      <c r="H219" s="38" t="str">
        <f>IF(OR($C219="01-09",$D219="Male"),"",INDEX(PMTCT!$AC:$AC,MATCH($E219,PMTCT!$E:$E,0)))</f>
        <v/>
      </c>
      <c r="I219" s="38" t="str">
        <f>IF(OR($C219="01-09",$D219="Male"),"",INDEX(PMTCT!$AS:$AS,MATCH($E219,PMTCT!$E:$E,0)))</f>
        <v/>
      </c>
      <c r="J219" s="38">
        <f>INDEX(TB!$P:$P,MATCH($E219,TB!$E:$E,0))</f>
        <v>1</v>
      </c>
      <c r="K219" s="38" t="str">
        <f>IF(OR($C219="01-09",$C219="10-14",$D219="Female"),"",INDEX(VMMC!$AA:$AA,MATCH($E219,VMMC!$E:$E,0)))</f>
        <v/>
      </c>
      <c r="L219" s="38">
        <f t="shared" si="100"/>
        <v>7</v>
      </c>
      <c r="M219" s="33" t="str">
        <f t="shared" si="101"/>
        <v/>
      </c>
      <c r="N219" s="33" t="str">
        <f t="shared" si="102"/>
        <v/>
      </c>
      <c r="O219" s="33">
        <f t="shared" si="103"/>
        <v>0.125</v>
      </c>
      <c r="P219" s="33" t="str">
        <f t="shared" si="104"/>
        <v/>
      </c>
      <c r="Q219" s="33"/>
      <c r="R219" s="33"/>
      <c r="S219" s="33"/>
      <c r="T219" s="33"/>
      <c r="U219" s="33">
        <f t="shared" si="94"/>
        <v>0.875</v>
      </c>
      <c r="V219" s="33">
        <f t="shared" si="105"/>
        <v>1</v>
      </c>
      <c r="W219" s="218" t="str">
        <f t="shared" si="106"/>
        <v/>
      </c>
      <c r="X219" s="33">
        <v>2.1000000000000001E-2</v>
      </c>
      <c r="Y219" s="218" t="str">
        <f t="shared" si="106"/>
        <v/>
      </c>
      <c r="Z219" s="218" t="str">
        <f t="shared" si="107"/>
        <v/>
      </c>
      <c r="AA219" s="33">
        <v>0.12</v>
      </c>
      <c r="AB219" s="218" t="str">
        <f t="shared" si="108"/>
        <v/>
      </c>
      <c r="AC219" s="218">
        <v>8</v>
      </c>
      <c r="AD219" s="33">
        <v>8</v>
      </c>
      <c r="AE219" s="218" t="str">
        <f t="shared" si="109"/>
        <v/>
      </c>
      <c r="AF219" s="218" t="str">
        <f t="shared" si="110"/>
        <v/>
      </c>
      <c r="AG219" s="33">
        <v>0.02</v>
      </c>
      <c r="AH219" s="218" t="str">
        <f t="shared" si="111"/>
        <v/>
      </c>
      <c r="AI219" s="218" t="str">
        <f t="shared" si="112"/>
        <v/>
      </c>
      <c r="AJ219" s="33">
        <v>9.7999999999999997E-3</v>
      </c>
      <c r="AK219" s="218">
        <f t="shared" si="113"/>
        <v>7</v>
      </c>
      <c r="AL219" s="218">
        <f t="shared" si="114"/>
        <v>707</v>
      </c>
      <c r="AM219" s="38">
        <f t="shared" si="115"/>
        <v>8</v>
      </c>
      <c r="AN219" s="38">
        <f t="shared" si="116"/>
        <v>8</v>
      </c>
      <c r="AO219" s="38">
        <f t="shared" si="117"/>
        <v>0</v>
      </c>
      <c r="AP219" s="38" t="str">
        <f>IF(OR($C219="01-09",$D219="Male"),"",INDEX(PMTCT!$AD:$AD,MATCH($E219,PMTCT!$E:$E,0)))</f>
        <v/>
      </c>
      <c r="AQ219" s="38" t="str">
        <f>IF(OR($C219="01-09",$D219="Male"),"",INDEX(PMTCT!$AT:$AT,MATCH($E219,PMTCT!$E:$E,0)))</f>
        <v/>
      </c>
      <c r="AR219" s="38">
        <f>INDEX(TB!$Q:$Q,MATCH($E219,TB!$E:$E,0))</f>
        <v>17</v>
      </c>
      <c r="AS219" s="38" t="str">
        <f>IF(OR($C219="01-09",$C219="10-14",$D219="Female"),"",INDEX(VMMC!$AB:$AB,MATCH($E219,VMMC!$E:$E,0)))</f>
        <v/>
      </c>
      <c r="AT219" s="38" t="str">
        <f>IF(OR($C219="01-09",$C219="10-14"),"",INDEX(PrEP!$Q:$Q,MATCH($E219,PrEP!$E:$E,0)))</f>
        <v/>
      </c>
      <c r="AU219" s="38">
        <f t="shared" si="118"/>
        <v>732</v>
      </c>
      <c r="AV219" s="38">
        <f t="shared" si="119"/>
        <v>740</v>
      </c>
      <c r="AW219" s="33">
        <f t="shared" si="120"/>
        <v>1.0810810810810811E-2</v>
      </c>
      <c r="AX219" s="38"/>
      <c r="AY219" s="33" t="str">
        <f t="shared" si="121"/>
        <v/>
      </c>
      <c r="AZ219" s="218" t="str">
        <f t="shared" si="122"/>
        <v/>
      </c>
      <c r="BA219" s="33" t="str">
        <f t="shared" si="123"/>
        <v/>
      </c>
      <c r="BB219" s="218" t="str">
        <f t="shared" si="124"/>
        <v/>
      </c>
    </row>
    <row r="220" spans="1:54" x14ac:dyDescent="0.2">
      <c r="A220" t="str">
        <f>INDEX(Prioritization!$D:$D,MATCH($B220,Prioritization!$A:$A,0))</f>
        <v>1 - Scale-up: Saturation</v>
      </c>
      <c r="B220" t="s">
        <v>310</v>
      </c>
      <c r="C220" t="s">
        <v>473</v>
      </c>
      <c r="D220" t="s">
        <v>48</v>
      </c>
      <c r="E220" t="str">
        <f t="shared" si="99"/>
        <v>Mzimba District [vA4NcHxfMBq]|01-09|Male</v>
      </c>
      <c r="F220" s="33">
        <f>IF(LEFT($B220,4)="_Mil","",INDEX(Cascade!$AA:$AA,MATCH($E220,Cascade!$E:$E,0)))</f>
        <v>0.65896781400000004</v>
      </c>
      <c r="G220" s="38">
        <f>INDEX(Cascade!$BH:$BH,MATCH($E220,Cascade!$E:$E,0))</f>
        <v>7</v>
      </c>
      <c r="H220" s="38" t="str">
        <f>IF(OR($C220="01-09",$D220="Male"),"",INDEX(PMTCT!$AC:$AC,MATCH($E220,PMTCT!$E:$E,0)))</f>
        <v/>
      </c>
      <c r="I220" s="38" t="str">
        <f>IF(OR($C220="01-09",$D220="Male"),"",INDEX(PMTCT!$AS:$AS,MATCH($E220,PMTCT!$E:$E,0)))</f>
        <v/>
      </c>
      <c r="J220" s="38">
        <f>INDEX(TB!$P:$P,MATCH($E220,TB!$E:$E,0))</f>
        <v>1</v>
      </c>
      <c r="K220" s="38" t="str">
        <f>IF(OR($C220="01-09",$C220="10-14",$D220="Female"),"",INDEX(VMMC!$AA:$AA,MATCH($E220,VMMC!$E:$E,0)))</f>
        <v/>
      </c>
      <c r="L220" s="38">
        <f t="shared" si="100"/>
        <v>6</v>
      </c>
      <c r="M220" s="33" t="str">
        <f t="shared" si="101"/>
        <v/>
      </c>
      <c r="N220" s="33" t="str">
        <f t="shared" si="102"/>
        <v/>
      </c>
      <c r="O220" s="33">
        <f t="shared" si="103"/>
        <v>0.14285714285714285</v>
      </c>
      <c r="P220" s="33" t="str">
        <f t="shared" si="104"/>
        <v/>
      </c>
      <c r="Q220" s="33">
        <v>0.434782608695652</v>
      </c>
      <c r="R220" s="33"/>
      <c r="S220" s="33"/>
      <c r="T220" s="33"/>
      <c r="U220" s="33">
        <f t="shared" ref="U220:U283" si="127">1-SUM(M220:T220)</f>
        <v>0.4223602484472051</v>
      </c>
      <c r="V220" s="33">
        <f t="shared" si="105"/>
        <v>1</v>
      </c>
      <c r="W220" s="218">
        <f t="shared" si="106"/>
        <v>3</v>
      </c>
      <c r="X220" s="33">
        <v>2.7E-2</v>
      </c>
      <c r="Y220" s="218">
        <f t="shared" si="106"/>
        <v>3</v>
      </c>
      <c r="Z220" s="218">
        <f t="shared" si="107"/>
        <v>108</v>
      </c>
      <c r="AA220" s="33">
        <v>0.12</v>
      </c>
      <c r="AB220" s="218" t="str">
        <f t="shared" si="108"/>
        <v/>
      </c>
      <c r="AC220" s="218" t="str">
        <f t="shared" si="125"/>
        <v/>
      </c>
      <c r="AD220" s="33">
        <v>0.02</v>
      </c>
      <c r="AE220" s="218" t="str">
        <f t="shared" si="109"/>
        <v/>
      </c>
      <c r="AF220" s="218" t="str">
        <f t="shared" si="110"/>
        <v/>
      </c>
      <c r="AG220" s="33">
        <v>0.02</v>
      </c>
      <c r="AH220" s="218" t="str">
        <f t="shared" si="111"/>
        <v/>
      </c>
      <c r="AI220" s="218" t="str">
        <f t="shared" si="112"/>
        <v/>
      </c>
      <c r="AJ220" s="33">
        <v>3.3999999999999998E-3</v>
      </c>
      <c r="AK220" s="218">
        <f t="shared" si="113"/>
        <v>3</v>
      </c>
      <c r="AL220" s="218">
        <f t="shared" si="114"/>
        <v>879</v>
      </c>
      <c r="AM220" s="38">
        <f t="shared" si="115"/>
        <v>7</v>
      </c>
      <c r="AN220" s="38">
        <f t="shared" si="116"/>
        <v>7</v>
      </c>
      <c r="AO220" s="38">
        <f t="shared" si="117"/>
        <v>0</v>
      </c>
      <c r="AP220" s="38" t="str">
        <f>IF(OR($C220="01-09",$D220="Male"),"",INDEX(PMTCT!$AD:$AD,MATCH($E220,PMTCT!$E:$E,0)))</f>
        <v/>
      </c>
      <c r="AQ220" s="38" t="str">
        <f>IF(OR($C220="01-09",$D220="Male"),"",INDEX(PMTCT!$AT:$AT,MATCH($E220,PMTCT!$E:$E,0)))</f>
        <v/>
      </c>
      <c r="AR220" s="38">
        <f>INDEX(TB!$Q:$Q,MATCH($E220,TB!$E:$E,0))</f>
        <v>19</v>
      </c>
      <c r="AS220" s="38" t="str">
        <f>IF(OR($C220="01-09",$C220="10-14",$D220="Female"),"",INDEX(VMMC!$AB:$AB,MATCH($E220,VMMC!$E:$E,0)))</f>
        <v/>
      </c>
      <c r="AT220" s="38" t="str">
        <f>IF(OR($C220="01-09",$C220="10-14"),"",INDEX(PrEP!$Q:$Q,MATCH($E220,PrEP!$E:$E,0)))</f>
        <v/>
      </c>
      <c r="AU220" s="38">
        <f t="shared" si="118"/>
        <v>1006.0000000000001</v>
      </c>
      <c r="AV220" s="38">
        <f t="shared" si="119"/>
        <v>1013.0000000000001</v>
      </c>
      <c r="AW220" s="33">
        <f t="shared" si="120"/>
        <v>6.9101678183613024E-3</v>
      </c>
      <c r="AX220" s="38"/>
      <c r="AY220" s="33" t="str">
        <f t="shared" si="121"/>
        <v/>
      </c>
      <c r="AZ220" s="218" t="str">
        <f t="shared" si="122"/>
        <v/>
      </c>
      <c r="BA220" s="33" t="str">
        <f t="shared" si="123"/>
        <v/>
      </c>
      <c r="BB220" s="218" t="str">
        <f t="shared" si="124"/>
        <v/>
      </c>
    </row>
    <row r="221" spans="1:54" x14ac:dyDescent="0.2">
      <c r="A221" t="str">
        <f>INDEX(Prioritization!$D:$D,MATCH($B221,Prioritization!$A:$A,0))</f>
        <v>1 - Scale-up: Saturation</v>
      </c>
      <c r="B221" t="s">
        <v>310</v>
      </c>
      <c r="C221" t="s">
        <v>474</v>
      </c>
      <c r="D221" t="s">
        <v>30</v>
      </c>
      <c r="E221" t="str">
        <f t="shared" si="99"/>
        <v>Mzimba District [vA4NcHxfMBq]|10-14|Female</v>
      </c>
      <c r="F221" s="33">
        <f>IF(LEFT($B221,4)="_Mil","",INDEX(Cascade!$AA:$AA,MATCH($E221,Cascade!$E:$E,0)))</f>
        <v>0.69672084099999998</v>
      </c>
      <c r="G221" s="38">
        <f>INDEX(Cascade!$BH:$BH,MATCH($E221,Cascade!$E:$E,0))</f>
        <v>9</v>
      </c>
      <c r="H221" s="38">
        <f>IF(OR($C221="01-09",$D221="Male"),"",INDEX(PMTCT!$AC:$AC,MATCH($E221,PMTCT!$E:$E,0)))</f>
        <v>1</v>
      </c>
      <c r="I221" s="38">
        <f>IF(OR($C221="01-09",$D221="Male"),"",INDEX(PMTCT!$AS:$AS,MATCH($E221,PMTCT!$E:$E,0)))</f>
        <v>0</v>
      </c>
      <c r="J221" s="38">
        <f>INDEX(TB!$P:$P,MATCH($E221,TB!$E:$E,0))</f>
        <v>1</v>
      </c>
      <c r="K221" s="38" t="str">
        <f>IF(OR($C221="01-09",$C221="10-14",$D221="Female"),"",INDEX(VMMC!$AA:$AA,MATCH($E221,VMMC!$E:$E,0)))</f>
        <v/>
      </c>
      <c r="L221" s="38">
        <f t="shared" si="100"/>
        <v>7</v>
      </c>
      <c r="M221" s="33">
        <f t="shared" si="101"/>
        <v>0.1111111111111111</v>
      </c>
      <c r="N221" s="33">
        <f t="shared" si="102"/>
        <v>0</v>
      </c>
      <c r="O221" s="33">
        <f t="shared" si="103"/>
        <v>0.1111111111111111</v>
      </c>
      <c r="P221" s="33" t="str">
        <f t="shared" si="104"/>
        <v/>
      </c>
      <c r="Q221" s="33">
        <v>0.45</v>
      </c>
      <c r="R221" s="33"/>
      <c r="S221" s="33"/>
      <c r="T221" s="33"/>
      <c r="U221" s="33">
        <f t="shared" si="127"/>
        <v>0.32777777777777772</v>
      </c>
      <c r="V221" s="33">
        <f t="shared" si="105"/>
        <v>1</v>
      </c>
      <c r="W221" s="218">
        <f t="shared" si="106"/>
        <v>4</v>
      </c>
      <c r="X221" s="33">
        <v>0.02</v>
      </c>
      <c r="Y221" s="218">
        <f t="shared" si="106"/>
        <v>4</v>
      </c>
      <c r="Z221" s="218">
        <f t="shared" si="107"/>
        <v>196</v>
      </c>
      <c r="AA221" s="33">
        <v>0.12</v>
      </c>
      <c r="AB221" s="218" t="str">
        <f t="shared" si="108"/>
        <v/>
      </c>
      <c r="AC221" s="218" t="str">
        <f t="shared" si="125"/>
        <v/>
      </c>
      <c r="AD221" s="33">
        <v>0.02</v>
      </c>
      <c r="AE221" s="218" t="str">
        <f t="shared" si="109"/>
        <v/>
      </c>
      <c r="AF221" s="218" t="str">
        <f t="shared" si="110"/>
        <v/>
      </c>
      <c r="AG221" s="33">
        <v>0.02</v>
      </c>
      <c r="AH221" s="218" t="str">
        <f t="shared" si="111"/>
        <v/>
      </c>
      <c r="AI221" s="218" t="str">
        <f t="shared" si="112"/>
        <v/>
      </c>
      <c r="AJ221" s="33">
        <v>3.3999999999999998E-3</v>
      </c>
      <c r="AK221" s="218">
        <f t="shared" si="113"/>
        <v>3</v>
      </c>
      <c r="AL221" s="218">
        <f t="shared" si="114"/>
        <v>879</v>
      </c>
      <c r="AM221" s="38">
        <f t="shared" si="115"/>
        <v>9</v>
      </c>
      <c r="AN221" s="38">
        <f t="shared" si="116"/>
        <v>9</v>
      </c>
      <c r="AO221" s="38">
        <f t="shared" si="117"/>
        <v>0</v>
      </c>
      <c r="AP221" s="38">
        <f>IF(OR($C221="01-09",$D221="Male"),"",INDEX(PMTCT!$AD:$AD,MATCH($E221,PMTCT!$E:$E,0)))</f>
        <v>118</v>
      </c>
      <c r="AQ221" s="38">
        <f>IF(OR($C221="01-09",$D221="Male"),"",INDEX(PMTCT!$AT:$AT,MATCH($E221,PMTCT!$E:$E,0)))</f>
        <v>118</v>
      </c>
      <c r="AR221" s="38">
        <f>INDEX(TB!$Q:$Q,MATCH($E221,TB!$E:$E,0))</f>
        <v>8</v>
      </c>
      <c r="AS221" s="38" t="str">
        <f>IF(OR($C221="01-09",$C221="10-14",$D221="Female"),"",INDEX(VMMC!$AB:$AB,MATCH($E221,VMMC!$E:$E,0)))</f>
        <v/>
      </c>
      <c r="AT221" s="38" t="str">
        <f>IF(OR($C221="01-09",$C221="10-14"),"",INDEX(PrEP!$Q:$Q,MATCH($E221,PrEP!$E:$E,0)))</f>
        <v/>
      </c>
      <c r="AU221" s="38">
        <f t="shared" si="118"/>
        <v>1319</v>
      </c>
      <c r="AV221" s="38">
        <f t="shared" si="119"/>
        <v>1328</v>
      </c>
      <c r="AW221" s="33">
        <f t="shared" si="120"/>
        <v>6.7771084337349399E-3</v>
      </c>
      <c r="AX221" s="38"/>
      <c r="AY221" s="33" t="str">
        <f t="shared" si="121"/>
        <v/>
      </c>
      <c r="AZ221" s="218" t="str">
        <f t="shared" si="122"/>
        <v/>
      </c>
      <c r="BA221" s="33" t="str">
        <f t="shared" si="123"/>
        <v/>
      </c>
      <c r="BB221" s="218" t="str">
        <f t="shared" si="124"/>
        <v/>
      </c>
    </row>
    <row r="222" spans="1:54" x14ac:dyDescent="0.2">
      <c r="A222" t="str">
        <f>INDEX(Prioritization!$D:$D,MATCH($B222,Prioritization!$A:$A,0))</f>
        <v>1 - Scale-up: Saturation</v>
      </c>
      <c r="B222" t="s">
        <v>310</v>
      </c>
      <c r="C222" t="s">
        <v>474</v>
      </c>
      <c r="D222" t="s">
        <v>48</v>
      </c>
      <c r="E222" t="str">
        <f t="shared" si="99"/>
        <v>Mzimba District [vA4NcHxfMBq]|10-14|Male</v>
      </c>
      <c r="F222" s="33">
        <f>IF(LEFT($B222,4)="_Mil","",INDEX(Cascade!$AA:$AA,MATCH($E222,Cascade!$E:$E,0)))</f>
        <v>0.69548312800000001</v>
      </c>
      <c r="G222" s="38">
        <f>INDEX(Cascade!$BH:$BH,MATCH($E222,Cascade!$E:$E,0))</f>
        <v>9</v>
      </c>
      <c r="H222" s="38" t="str">
        <f>IF(OR($C222="01-09",$D222="Male"),"",INDEX(PMTCT!$AC:$AC,MATCH($E222,PMTCT!$E:$E,0)))</f>
        <v/>
      </c>
      <c r="I222" s="38" t="str">
        <f>IF(OR($C222="01-09",$D222="Male"),"",INDEX(PMTCT!$AS:$AS,MATCH($E222,PMTCT!$E:$E,0)))</f>
        <v/>
      </c>
      <c r="J222" s="38">
        <f>INDEX(TB!$P:$P,MATCH($E222,TB!$E:$E,0))</f>
        <v>1</v>
      </c>
      <c r="K222" s="38" t="str">
        <f>IF(OR($C222="01-09",$C222="10-14",$D222="Female"),"",INDEX(VMMC!$AA:$AA,MATCH($E222,VMMC!$E:$E,0)))</f>
        <v/>
      </c>
      <c r="L222" s="38">
        <f t="shared" si="100"/>
        <v>8</v>
      </c>
      <c r="M222" s="33" t="str">
        <f t="shared" si="101"/>
        <v/>
      </c>
      <c r="N222" s="33" t="str">
        <f t="shared" si="102"/>
        <v/>
      </c>
      <c r="O222" s="33">
        <f t="shared" si="103"/>
        <v>0.1111111111111111</v>
      </c>
      <c r="P222" s="33" t="str">
        <f t="shared" si="104"/>
        <v/>
      </c>
      <c r="Q222" s="33">
        <v>0.57142857142857095</v>
      </c>
      <c r="R222" s="33"/>
      <c r="S222" s="33"/>
      <c r="T222" s="33"/>
      <c r="U222" s="33">
        <f t="shared" si="127"/>
        <v>0.31746031746031789</v>
      </c>
      <c r="V222" s="33">
        <f t="shared" si="105"/>
        <v>1</v>
      </c>
      <c r="W222" s="218">
        <f t="shared" si="106"/>
        <v>5</v>
      </c>
      <c r="X222" s="33">
        <v>2.5000000000000001E-2</v>
      </c>
      <c r="Y222" s="218">
        <f t="shared" si="106"/>
        <v>5</v>
      </c>
      <c r="Z222" s="218">
        <f t="shared" si="107"/>
        <v>195</v>
      </c>
      <c r="AA222" s="33">
        <v>0.12</v>
      </c>
      <c r="AB222" s="218" t="str">
        <f t="shared" si="108"/>
        <v/>
      </c>
      <c r="AC222" s="218" t="str">
        <f t="shared" si="125"/>
        <v/>
      </c>
      <c r="AD222" s="33">
        <v>0.02</v>
      </c>
      <c r="AE222" s="218" t="str">
        <f t="shared" si="109"/>
        <v/>
      </c>
      <c r="AF222" s="218" t="str">
        <f t="shared" si="110"/>
        <v/>
      </c>
      <c r="AG222" s="33">
        <v>0.02</v>
      </c>
      <c r="AH222" s="218" t="str">
        <f t="shared" si="111"/>
        <v/>
      </c>
      <c r="AI222" s="218" t="str">
        <f t="shared" si="112"/>
        <v/>
      </c>
      <c r="AJ222" s="33">
        <v>3.3999999999999998E-3</v>
      </c>
      <c r="AK222" s="218">
        <f t="shared" si="113"/>
        <v>3</v>
      </c>
      <c r="AL222" s="218">
        <f t="shared" si="114"/>
        <v>879</v>
      </c>
      <c r="AM222" s="38">
        <f t="shared" si="115"/>
        <v>9</v>
      </c>
      <c r="AN222" s="38">
        <f t="shared" si="116"/>
        <v>9</v>
      </c>
      <c r="AO222" s="38">
        <f t="shared" si="117"/>
        <v>0</v>
      </c>
      <c r="AP222" s="38" t="str">
        <f>IF(OR($C222="01-09",$D222="Male"),"",INDEX(PMTCT!$AD:$AD,MATCH($E222,PMTCT!$E:$E,0)))</f>
        <v/>
      </c>
      <c r="AQ222" s="38" t="str">
        <f>IF(OR($C222="01-09",$D222="Male"),"",INDEX(PMTCT!$AT:$AT,MATCH($E222,PMTCT!$E:$E,0)))</f>
        <v/>
      </c>
      <c r="AR222" s="38">
        <f>INDEX(TB!$Q:$Q,MATCH($E222,TB!$E:$E,0))</f>
        <v>9</v>
      </c>
      <c r="AS222" s="38" t="str">
        <f>IF(OR($C222="01-09",$C222="10-14",$D222="Female"),"",INDEX(VMMC!$AB:$AB,MATCH($E222,VMMC!$E:$E,0)))</f>
        <v/>
      </c>
      <c r="AT222" s="38" t="str">
        <f>IF(OR($C222="01-09",$C222="10-14"),"",INDEX(PrEP!$Q:$Q,MATCH($E222,PrEP!$E:$E,0)))</f>
        <v/>
      </c>
      <c r="AU222" s="38">
        <f t="shared" si="118"/>
        <v>1083</v>
      </c>
      <c r="AV222" s="38">
        <f t="shared" si="119"/>
        <v>1092</v>
      </c>
      <c r="AW222" s="33">
        <f t="shared" si="120"/>
        <v>8.241758241758242E-3</v>
      </c>
      <c r="AX222" s="38"/>
      <c r="AY222" s="33" t="str">
        <f t="shared" si="121"/>
        <v/>
      </c>
      <c r="AZ222" s="218" t="str">
        <f t="shared" si="122"/>
        <v/>
      </c>
      <c r="BA222" s="33" t="str">
        <f t="shared" si="123"/>
        <v/>
      </c>
      <c r="BB222" s="218" t="str">
        <f t="shared" si="124"/>
        <v/>
      </c>
    </row>
    <row r="223" spans="1:54" x14ac:dyDescent="0.2">
      <c r="A223" t="str">
        <f>INDEX(Prioritization!$D:$D,MATCH($B223,Prioritization!$A:$A,0))</f>
        <v>1 - Scale-up: Saturation</v>
      </c>
      <c r="B223" t="s">
        <v>310</v>
      </c>
      <c r="C223" t="s">
        <v>475</v>
      </c>
      <c r="D223" t="s">
        <v>30</v>
      </c>
      <c r="E223" t="str">
        <f t="shared" si="99"/>
        <v>Mzimba District [vA4NcHxfMBq]|15-24|Female</v>
      </c>
      <c r="F223" s="33">
        <f>IF(LEFT($B223,4)="_Mil","",INDEX(Cascade!$AA:$AA,MATCH($E223,Cascade!$E:$E,0)))</f>
        <v>0.92891963799999999</v>
      </c>
      <c r="G223" s="38">
        <f>INDEX(Cascade!$BH:$BH,MATCH($E223,Cascade!$E:$E,0))</f>
        <v>419</v>
      </c>
      <c r="H223" s="38">
        <f>IF(OR($C223="01-09",$D223="Male"),"",INDEX(PMTCT!$AC:$AC,MATCH($E223,PMTCT!$E:$E,0)))</f>
        <v>168</v>
      </c>
      <c r="I223" s="38">
        <f>IF(OR($C223="01-09",$D223="Male"),"",INDEX(PMTCT!$AS:$AS,MATCH($E223,PMTCT!$E:$E,0)))</f>
        <v>93</v>
      </c>
      <c r="J223" s="38">
        <f>INDEX(TB!$P:$P,MATCH($E223,TB!$E:$E,0))</f>
        <v>4</v>
      </c>
      <c r="K223" s="38" t="str">
        <f>IF(OR($C223="01-09",$C223="10-14",$D223="Female"),"",INDEX(VMMC!$AA:$AA,MATCH($E223,VMMC!$E:$E,0)))</f>
        <v/>
      </c>
      <c r="L223" s="38">
        <f t="shared" si="100"/>
        <v>154</v>
      </c>
      <c r="M223" s="33">
        <f t="shared" si="101"/>
        <v>0.40095465393794749</v>
      </c>
      <c r="N223" s="33">
        <f t="shared" si="102"/>
        <v>0.22195704057279236</v>
      </c>
      <c r="O223" s="33">
        <f t="shared" si="103"/>
        <v>9.5465393794749408E-3</v>
      </c>
      <c r="P223" s="33" t="str">
        <f t="shared" si="104"/>
        <v/>
      </c>
      <c r="Q223" s="33">
        <v>0.15</v>
      </c>
      <c r="R223" s="33">
        <v>0.06</v>
      </c>
      <c r="S223" s="33">
        <v>0.04</v>
      </c>
      <c r="T223" s="33">
        <v>0.05</v>
      </c>
      <c r="U223" s="33">
        <f t="shared" si="127"/>
        <v>6.754176610978524E-2</v>
      </c>
      <c r="V223" s="33">
        <f t="shared" si="105"/>
        <v>1</v>
      </c>
      <c r="W223" s="218">
        <f t="shared" si="106"/>
        <v>63</v>
      </c>
      <c r="X223" s="33">
        <v>0.184</v>
      </c>
      <c r="Y223" s="218">
        <f t="shared" si="106"/>
        <v>63</v>
      </c>
      <c r="Z223" s="218">
        <f t="shared" si="107"/>
        <v>279</v>
      </c>
      <c r="AA223" s="33">
        <v>0.12</v>
      </c>
      <c r="AB223" s="218">
        <f t="shared" si="108"/>
        <v>25</v>
      </c>
      <c r="AC223" s="218">
        <f t="shared" si="125"/>
        <v>183</v>
      </c>
      <c r="AD223" s="33">
        <v>0.02</v>
      </c>
      <c r="AE223" s="218">
        <f t="shared" si="109"/>
        <v>17</v>
      </c>
      <c r="AF223" s="218">
        <f t="shared" si="110"/>
        <v>833</v>
      </c>
      <c r="AG223" s="33">
        <v>0.02</v>
      </c>
      <c r="AH223" s="218">
        <f t="shared" si="111"/>
        <v>21</v>
      </c>
      <c r="AI223" s="218">
        <f t="shared" si="112"/>
        <v>1029</v>
      </c>
      <c r="AJ223" s="33">
        <v>2.4E-2</v>
      </c>
      <c r="AK223" s="218">
        <f t="shared" si="113"/>
        <v>28</v>
      </c>
      <c r="AL223" s="218">
        <f t="shared" si="114"/>
        <v>1139</v>
      </c>
      <c r="AM223" s="38">
        <f t="shared" si="115"/>
        <v>419</v>
      </c>
      <c r="AN223" s="38">
        <f t="shared" si="116"/>
        <v>419</v>
      </c>
      <c r="AO223" s="38">
        <f t="shared" si="117"/>
        <v>0</v>
      </c>
      <c r="AP223" s="38">
        <f>IF(OR($C223="01-09",$D223="Male"),"",INDEX(PMTCT!$AD:$AD,MATCH($E223,PMTCT!$E:$E,0)))</f>
        <v>23232</v>
      </c>
      <c r="AQ223" s="38">
        <f>IF(OR($C223="01-09",$D223="Male"),"",INDEX(PMTCT!$AT:$AT,MATCH($E223,PMTCT!$E:$E,0)))</f>
        <v>23139</v>
      </c>
      <c r="AR223" s="38">
        <f>INDEX(TB!$Q:$Q,MATCH($E223,TB!$E:$E,0))</f>
        <v>65</v>
      </c>
      <c r="AS223" s="38" t="str">
        <f>IF(OR($C223="01-09",$C223="10-14",$D223="Female"),"",INDEX(VMMC!$AB:$AB,MATCH($E223,VMMC!$E:$E,0)))</f>
        <v/>
      </c>
      <c r="AT223" s="38">
        <f>IF(OR($C223="01-09",$C223="10-14"),"",INDEX(PrEP!$Q:$Q,MATCH($E223,PrEP!$E:$E,0)))</f>
        <v>2826</v>
      </c>
      <c r="AU223" s="38">
        <f t="shared" si="118"/>
        <v>52725.000000000007</v>
      </c>
      <c r="AV223" s="38">
        <f t="shared" si="119"/>
        <v>53144.000000000007</v>
      </c>
      <c r="AW223" s="33">
        <f t="shared" si="120"/>
        <v>7.8842390486226089E-3</v>
      </c>
      <c r="AX223" s="38">
        <v>4080</v>
      </c>
      <c r="AY223" s="33">
        <f t="shared" ref="AY223:AY228" si="128">IF(OR($C223="01-09",SUM($AX223)=0),"",68%)</f>
        <v>0.68</v>
      </c>
      <c r="AZ223" s="218">
        <f t="shared" si="122"/>
        <v>6854</v>
      </c>
      <c r="BA223" s="33">
        <v>0.42</v>
      </c>
      <c r="BB223" s="218">
        <f t="shared" si="124"/>
        <v>176</v>
      </c>
    </row>
    <row r="224" spans="1:54" x14ac:dyDescent="0.2">
      <c r="A224" t="str">
        <f>INDEX(Prioritization!$D:$D,MATCH($B224,Prioritization!$A:$A,0))</f>
        <v>1 - Scale-up: Saturation</v>
      </c>
      <c r="B224" t="s">
        <v>310</v>
      </c>
      <c r="C224" t="s">
        <v>475</v>
      </c>
      <c r="D224" t="s">
        <v>48</v>
      </c>
      <c r="E224" t="str">
        <f t="shared" si="99"/>
        <v>Mzimba District [vA4NcHxfMBq]|15-24|Male</v>
      </c>
      <c r="F224" s="33">
        <f>IF(LEFT($B224,4)="_Mil","",INDEX(Cascade!$AA:$AA,MATCH($E224,Cascade!$E:$E,0)))</f>
        <v>0.89525706800000004</v>
      </c>
      <c r="G224" s="38">
        <f>INDEX(Cascade!$BH:$BH,MATCH($E224,Cascade!$E:$E,0))</f>
        <v>104</v>
      </c>
      <c r="H224" s="38" t="str">
        <f>IF(OR($C224="01-09",$D224="Male"),"",INDEX(PMTCT!$AC:$AC,MATCH($E224,PMTCT!$E:$E,0)))</f>
        <v/>
      </c>
      <c r="I224" s="38" t="str">
        <f>IF(OR($C224="01-09",$D224="Male"),"",INDEX(PMTCT!$AS:$AS,MATCH($E224,PMTCT!$E:$E,0)))</f>
        <v/>
      </c>
      <c r="J224" s="38">
        <f>INDEX(TB!$P:$P,MATCH($E224,TB!$E:$E,0))</f>
        <v>7</v>
      </c>
      <c r="K224" s="38" t="str">
        <f>IF(OR($C224="01-09",$C224="10-14",$D224="Female"),"",INDEX(VMMC!$AA:$AA,MATCH($E224,VMMC!$E:$E,0)))</f>
        <v/>
      </c>
      <c r="L224" s="38">
        <f t="shared" si="100"/>
        <v>97</v>
      </c>
      <c r="M224" s="33" t="str">
        <f t="shared" si="101"/>
        <v/>
      </c>
      <c r="N224" s="33" t="str">
        <f t="shared" si="102"/>
        <v/>
      </c>
      <c r="O224" s="33">
        <f t="shared" si="103"/>
        <v>6.7307692307692304E-2</v>
      </c>
      <c r="P224" s="33">
        <f t="shared" si="104"/>
        <v>0</v>
      </c>
      <c r="Q224" s="33">
        <v>0.321678321678322</v>
      </c>
      <c r="R224" s="33">
        <v>0.18</v>
      </c>
      <c r="S224" s="33">
        <v>0.26</v>
      </c>
      <c r="T224" s="33">
        <v>0.05</v>
      </c>
      <c r="U224" s="33">
        <f t="shared" si="127"/>
        <v>0.12101398601398561</v>
      </c>
      <c r="V224" s="33">
        <f t="shared" si="105"/>
        <v>1</v>
      </c>
      <c r="W224" s="218">
        <f t="shared" si="106"/>
        <v>33</v>
      </c>
      <c r="X224" s="33">
        <v>0.123</v>
      </c>
      <c r="Y224" s="218">
        <f t="shared" si="106"/>
        <v>33</v>
      </c>
      <c r="Z224" s="218">
        <f t="shared" si="107"/>
        <v>235</v>
      </c>
      <c r="AA224" s="33">
        <v>0.12</v>
      </c>
      <c r="AB224" s="218">
        <f t="shared" si="108"/>
        <v>19</v>
      </c>
      <c r="AC224" s="218">
        <f t="shared" si="125"/>
        <v>139</v>
      </c>
      <c r="AD224" s="33">
        <v>0.02</v>
      </c>
      <c r="AE224" s="218">
        <f t="shared" si="109"/>
        <v>27</v>
      </c>
      <c r="AF224" s="218">
        <f t="shared" si="110"/>
        <v>1323</v>
      </c>
      <c r="AG224" s="33">
        <v>0.02</v>
      </c>
      <c r="AH224" s="218">
        <f t="shared" si="111"/>
        <v>5</v>
      </c>
      <c r="AI224" s="218">
        <f t="shared" si="112"/>
        <v>245</v>
      </c>
      <c r="AJ224" s="33">
        <v>3.0999999999999999E-3</v>
      </c>
      <c r="AK224" s="218">
        <f t="shared" si="113"/>
        <v>13</v>
      </c>
      <c r="AL224" s="218">
        <f t="shared" si="114"/>
        <v>4181</v>
      </c>
      <c r="AM224" s="38">
        <f t="shared" si="115"/>
        <v>104</v>
      </c>
      <c r="AN224" s="38">
        <f t="shared" si="116"/>
        <v>104</v>
      </c>
      <c r="AO224" s="38">
        <f t="shared" si="117"/>
        <v>0</v>
      </c>
      <c r="AP224" s="38" t="str">
        <f>IF(OR($C224="01-09",$D224="Male"),"",INDEX(PMTCT!$AD:$AD,MATCH($E224,PMTCT!$E:$E,0)))</f>
        <v/>
      </c>
      <c r="AQ224" s="38" t="str">
        <f>IF(OR($C224="01-09",$D224="Male"),"",INDEX(PMTCT!$AT:$AT,MATCH($E224,PMTCT!$E:$E,0)))</f>
        <v/>
      </c>
      <c r="AR224" s="38">
        <f>INDEX(TB!$Q:$Q,MATCH($E224,TB!$E:$E,0))</f>
        <v>104</v>
      </c>
      <c r="AS224" s="38" t="str">
        <f>IF(OR($C224="01-09",$C224="10-14",$D224="Female"),"",INDEX(VMMC!$AB:$AB,MATCH($E224,VMMC!$E:$E,0)))</f>
        <v/>
      </c>
      <c r="AT224" s="38">
        <f>IF(OR($C224="01-09",$C224="10-14"),"",INDEX(PrEP!$Q:$Q,MATCH($E224,PrEP!$E:$E,0)))</f>
        <v>668</v>
      </c>
      <c r="AU224" s="38">
        <f t="shared" si="118"/>
        <v>6895.0000000000009</v>
      </c>
      <c r="AV224" s="38">
        <f t="shared" si="119"/>
        <v>6999.0000000000009</v>
      </c>
      <c r="AW224" s="33">
        <f t="shared" si="120"/>
        <v>1.4859265609372766E-2</v>
      </c>
      <c r="AX224" s="38">
        <v>1034</v>
      </c>
      <c r="AY224" s="33">
        <f t="shared" si="128"/>
        <v>0.68</v>
      </c>
      <c r="AZ224" s="218">
        <f t="shared" si="122"/>
        <v>1737</v>
      </c>
      <c r="BA224" s="33">
        <v>0.42</v>
      </c>
      <c r="BB224" s="218">
        <f t="shared" si="124"/>
        <v>44</v>
      </c>
    </row>
    <row r="225" spans="1:54" x14ac:dyDescent="0.2">
      <c r="A225" t="str">
        <f>INDEX(Prioritization!$D:$D,MATCH($B225,Prioritization!$A:$A,0))</f>
        <v>1 - Scale-up: Saturation</v>
      </c>
      <c r="B225" t="s">
        <v>310</v>
      </c>
      <c r="C225" t="s">
        <v>476</v>
      </c>
      <c r="D225" t="s">
        <v>30</v>
      </c>
      <c r="E225" t="str">
        <f t="shared" si="99"/>
        <v>Mzimba District [vA4NcHxfMBq]|25-34|Female</v>
      </c>
      <c r="F225" s="33">
        <f>IF(LEFT($B225,4)="_Mil","",INDEX(Cascade!$AA:$AA,MATCH($E225,Cascade!$E:$E,0)))</f>
        <v>0.96281286300000002</v>
      </c>
      <c r="G225" s="38">
        <f>INDEX(Cascade!$BH:$BH,MATCH($E225,Cascade!$E:$E,0))</f>
        <v>676</v>
      </c>
      <c r="H225" s="38">
        <f>IF(OR($C225="01-09",$D225="Male"),"",INDEX(PMTCT!$AC:$AC,MATCH($E225,PMTCT!$E:$E,0)))</f>
        <v>220</v>
      </c>
      <c r="I225" s="38">
        <f>IF(OR($C225="01-09",$D225="Male"),"",INDEX(PMTCT!$AS:$AS,MATCH($E225,PMTCT!$E:$E,0)))</f>
        <v>89</v>
      </c>
      <c r="J225" s="38">
        <f>INDEX(TB!$P:$P,MATCH($E225,TB!$E:$E,0))</f>
        <v>4</v>
      </c>
      <c r="K225" s="38" t="str">
        <f>IF(OR($C225="01-09",$C225="10-14",$D225="Female"),"",INDEX(VMMC!$AA:$AA,MATCH($E225,VMMC!$E:$E,0)))</f>
        <v/>
      </c>
      <c r="L225" s="38">
        <f t="shared" si="100"/>
        <v>363</v>
      </c>
      <c r="M225" s="33">
        <f t="shared" si="101"/>
        <v>0.32544378698224852</v>
      </c>
      <c r="N225" s="33">
        <f t="shared" si="102"/>
        <v>0.13165680473372782</v>
      </c>
      <c r="O225" s="33">
        <f t="shared" si="103"/>
        <v>5.9171597633136093E-3</v>
      </c>
      <c r="P225" s="33" t="str">
        <f t="shared" si="104"/>
        <v/>
      </c>
      <c r="Q225" s="33">
        <v>0.18</v>
      </c>
      <c r="R225" s="33">
        <v>0.06</v>
      </c>
      <c r="S225" s="33">
        <v>0.04</v>
      </c>
      <c r="T225" s="33">
        <v>0.05</v>
      </c>
      <c r="U225" s="33">
        <f t="shared" si="127"/>
        <v>0.20698224852071001</v>
      </c>
      <c r="V225" s="33">
        <f t="shared" si="105"/>
        <v>1</v>
      </c>
      <c r="W225" s="218">
        <f t="shared" si="106"/>
        <v>122</v>
      </c>
      <c r="X225" s="33">
        <v>0.26700000000000002</v>
      </c>
      <c r="Y225" s="218">
        <f t="shared" si="106"/>
        <v>122</v>
      </c>
      <c r="Z225" s="218">
        <f t="shared" si="107"/>
        <v>335</v>
      </c>
      <c r="AA225" s="33">
        <v>0.12</v>
      </c>
      <c r="AB225" s="218">
        <f t="shared" si="108"/>
        <v>41</v>
      </c>
      <c r="AC225" s="218">
        <f t="shared" si="125"/>
        <v>301</v>
      </c>
      <c r="AD225" s="33">
        <v>0.02</v>
      </c>
      <c r="AE225" s="218">
        <f t="shared" si="109"/>
        <v>27</v>
      </c>
      <c r="AF225" s="218">
        <f t="shared" si="110"/>
        <v>1323</v>
      </c>
      <c r="AG225" s="33">
        <v>0.02</v>
      </c>
      <c r="AH225" s="218">
        <f t="shared" si="111"/>
        <v>34</v>
      </c>
      <c r="AI225" s="218">
        <f t="shared" si="112"/>
        <v>1666</v>
      </c>
      <c r="AJ225" s="33">
        <v>4.3999999999999997E-2</v>
      </c>
      <c r="AK225" s="218">
        <f t="shared" si="113"/>
        <v>140</v>
      </c>
      <c r="AL225" s="218">
        <f t="shared" si="114"/>
        <v>3042</v>
      </c>
      <c r="AM225" s="38">
        <f t="shared" si="115"/>
        <v>676</v>
      </c>
      <c r="AN225" s="38">
        <f t="shared" si="116"/>
        <v>677</v>
      </c>
      <c r="AO225" s="38">
        <f t="shared" si="117"/>
        <v>1</v>
      </c>
      <c r="AP225" s="38">
        <f>IF(OR($C225="01-09",$D225="Male"),"",INDEX(PMTCT!$AD:$AD,MATCH($E225,PMTCT!$E:$E,0)))</f>
        <v>12681</v>
      </c>
      <c r="AQ225" s="38">
        <f>IF(OR($C225="01-09",$D225="Male"),"",INDEX(PMTCT!$AT:$AT,MATCH($E225,PMTCT!$E:$E,0)))</f>
        <v>12592</v>
      </c>
      <c r="AR225" s="38">
        <f>INDEX(TB!$Q:$Q,MATCH($E225,TB!$E:$E,0))</f>
        <v>65</v>
      </c>
      <c r="AS225" s="38" t="str">
        <f>IF(OR($C225="01-09",$C225="10-14",$D225="Female"),"",INDEX(VMMC!$AB:$AB,MATCH($E225,VMMC!$E:$E,0)))</f>
        <v/>
      </c>
      <c r="AT225" s="38">
        <f>IF(OR($C225="01-09",$C225="10-14"),"",INDEX(PrEP!$Q:$Q,MATCH($E225,PrEP!$E:$E,0)))</f>
        <v>2456</v>
      </c>
      <c r="AU225" s="38">
        <f t="shared" si="118"/>
        <v>34461</v>
      </c>
      <c r="AV225" s="38">
        <f t="shared" si="119"/>
        <v>35138</v>
      </c>
      <c r="AW225" s="33">
        <f t="shared" si="120"/>
        <v>1.9266890545847799E-2</v>
      </c>
      <c r="AX225" s="38">
        <v>2715</v>
      </c>
      <c r="AY225" s="33">
        <f t="shared" si="128"/>
        <v>0.68</v>
      </c>
      <c r="AZ225" s="218">
        <f t="shared" si="122"/>
        <v>4561</v>
      </c>
      <c r="BA225" s="33">
        <v>0.42</v>
      </c>
      <c r="BB225" s="218">
        <f t="shared" si="124"/>
        <v>284</v>
      </c>
    </row>
    <row r="226" spans="1:54" x14ac:dyDescent="0.2">
      <c r="A226" t="str">
        <f>INDEX(Prioritization!$D:$D,MATCH($B226,Prioritization!$A:$A,0))</f>
        <v>1 - Scale-up: Saturation</v>
      </c>
      <c r="B226" t="s">
        <v>310</v>
      </c>
      <c r="C226" t="s">
        <v>476</v>
      </c>
      <c r="D226" t="s">
        <v>48</v>
      </c>
      <c r="E226" t="str">
        <f t="shared" si="99"/>
        <v>Mzimba District [vA4NcHxfMBq]|25-34|Male</v>
      </c>
      <c r="F226" s="33">
        <f>IF(LEFT($B226,4)="_Mil","",INDEX(Cascade!$AA:$AA,MATCH($E226,Cascade!$E:$E,0)))</f>
        <v>0.86840037299999995</v>
      </c>
      <c r="G226" s="38">
        <f>INDEX(Cascade!$BH:$BH,MATCH($E226,Cascade!$E:$E,0))</f>
        <v>48</v>
      </c>
      <c r="H226" s="38" t="str">
        <f>IF(OR($C226="01-09",$D226="Male"),"",INDEX(PMTCT!$AC:$AC,MATCH($E226,PMTCT!$E:$E,0)))</f>
        <v/>
      </c>
      <c r="I226" s="38" t="str">
        <f>IF(OR($C226="01-09",$D226="Male"),"",INDEX(PMTCT!$AS:$AS,MATCH($E226,PMTCT!$E:$E,0)))</f>
        <v/>
      </c>
      <c r="J226" s="38">
        <f>INDEX(TB!$P:$P,MATCH($E226,TB!$E:$E,0))</f>
        <v>7</v>
      </c>
      <c r="K226" s="38" t="str">
        <f>IF(OR($C226="01-09",$C226="10-14",$D226="Female"),"",INDEX(VMMC!$AA:$AA,MATCH($E226,VMMC!$E:$E,0)))</f>
        <v/>
      </c>
      <c r="L226" s="38">
        <f t="shared" si="100"/>
        <v>41</v>
      </c>
      <c r="M226" s="33" t="str">
        <f t="shared" si="101"/>
        <v/>
      </c>
      <c r="N226" s="33" t="str">
        <f t="shared" si="102"/>
        <v/>
      </c>
      <c r="O226" s="33">
        <f t="shared" si="103"/>
        <v>0.14583333333333334</v>
      </c>
      <c r="P226" s="33">
        <f t="shared" si="104"/>
        <v>0</v>
      </c>
      <c r="Q226" s="33">
        <v>0.25925925925925902</v>
      </c>
      <c r="R226" s="33">
        <v>0.18</v>
      </c>
      <c r="S226" s="33">
        <v>0.26</v>
      </c>
      <c r="T226" s="33">
        <v>0.05</v>
      </c>
      <c r="U226" s="33">
        <f t="shared" si="127"/>
        <v>0.10490740740740767</v>
      </c>
      <c r="V226" s="33">
        <f t="shared" si="105"/>
        <v>1</v>
      </c>
      <c r="W226" s="218"/>
      <c r="X226" s="33"/>
      <c r="Y226" s="218"/>
      <c r="Z226" s="218" t="str">
        <f t="shared" si="107"/>
        <v/>
      </c>
      <c r="AA226" s="33">
        <v>0.12</v>
      </c>
      <c r="AB226" s="218">
        <f t="shared" si="108"/>
        <v>9</v>
      </c>
      <c r="AC226" s="218">
        <f t="shared" si="125"/>
        <v>66</v>
      </c>
      <c r="AD226" s="33">
        <v>0.02</v>
      </c>
      <c r="AE226" s="218">
        <f t="shared" si="109"/>
        <v>12</v>
      </c>
      <c r="AF226" s="218">
        <f t="shared" si="110"/>
        <v>588</v>
      </c>
      <c r="AG226" s="33">
        <v>0.02</v>
      </c>
      <c r="AH226" s="218">
        <f t="shared" si="111"/>
        <v>2</v>
      </c>
      <c r="AI226" s="218">
        <f t="shared" si="112"/>
        <v>98</v>
      </c>
      <c r="AJ226" s="33">
        <v>2.5999999999999999E-2</v>
      </c>
      <c r="AK226" s="218">
        <f t="shared" si="113"/>
        <v>5</v>
      </c>
      <c r="AL226" s="218">
        <f t="shared" si="114"/>
        <v>187</v>
      </c>
      <c r="AM226" s="38">
        <f t="shared" si="115"/>
        <v>48</v>
      </c>
      <c r="AN226" s="38">
        <f t="shared" si="116"/>
        <v>35</v>
      </c>
      <c r="AO226" s="38">
        <f t="shared" si="117"/>
        <v>-13</v>
      </c>
      <c r="AP226" s="38" t="str">
        <f>IF(OR($C226="01-09",$D226="Male"),"",INDEX(PMTCT!$AD:$AD,MATCH($E226,PMTCT!$E:$E,0)))</f>
        <v/>
      </c>
      <c r="AQ226" s="38" t="str">
        <f>IF(OR($C226="01-09",$D226="Male"),"",INDEX(PMTCT!$AT:$AT,MATCH($E226,PMTCT!$E:$E,0)))</f>
        <v/>
      </c>
      <c r="AR226" s="38">
        <f>INDEX(TB!$Q:$Q,MATCH($E226,TB!$E:$E,0))</f>
        <v>104</v>
      </c>
      <c r="AS226" s="38" t="str">
        <f>IF(OR($C226="01-09",$C226="10-14",$D226="Female"),"",INDEX(VMMC!$AB:$AB,MATCH($E226,VMMC!$E:$E,0)))</f>
        <v/>
      </c>
      <c r="AT226" s="38">
        <f>IF(OR($C226="01-09",$C226="10-14"),"",INDEX(PrEP!$Q:$Q,MATCH($E226,PrEP!$E:$E,0)))</f>
        <v>620</v>
      </c>
      <c r="AU226" s="38">
        <f t="shared" si="118"/>
        <v>1663</v>
      </c>
      <c r="AV226" s="38">
        <f t="shared" si="119"/>
        <v>1698.0000000000002</v>
      </c>
      <c r="AW226" s="33">
        <f t="shared" si="120"/>
        <v>2.0612485276796228E-2</v>
      </c>
      <c r="AX226" s="38">
        <v>1234</v>
      </c>
      <c r="AY226" s="33">
        <f t="shared" si="128"/>
        <v>0.68</v>
      </c>
      <c r="AZ226" s="218">
        <f t="shared" si="122"/>
        <v>2073</v>
      </c>
      <c r="BA226" s="33">
        <v>0.42</v>
      </c>
      <c r="BB226" s="218">
        <f t="shared" si="124"/>
        <v>15</v>
      </c>
    </row>
    <row r="227" spans="1:54" x14ac:dyDescent="0.2">
      <c r="A227" t="str">
        <f>INDEX(Prioritization!$D:$D,MATCH($B227,Prioritization!$A:$A,0))</f>
        <v>1 - Scale-up: Saturation</v>
      </c>
      <c r="B227" t="s">
        <v>310</v>
      </c>
      <c r="C227" t="s">
        <v>477</v>
      </c>
      <c r="D227" t="s">
        <v>30</v>
      </c>
      <c r="E227" t="str">
        <f t="shared" si="99"/>
        <v>Mzimba District [vA4NcHxfMBq]|35-49|Female</v>
      </c>
      <c r="F227" s="33">
        <f>IF(LEFT($B227,4)="_Mil","",INDEX(Cascade!$AA:$AA,MATCH($E227,Cascade!$E:$E,0)))</f>
        <v>0.98112466700000001</v>
      </c>
      <c r="G227" s="38">
        <f>INDEX(Cascade!$BH:$BH,MATCH($E227,Cascade!$E:$E,0))</f>
        <v>542</v>
      </c>
      <c r="H227" s="38">
        <f>IF(OR($C227="01-09",$D227="Male"),"",INDEX(PMTCT!$AC:$AC,MATCH($E227,PMTCT!$E:$E,0)))</f>
        <v>49</v>
      </c>
      <c r="I227" s="38">
        <f>IF(OR($C227="01-09",$D227="Male"),"",INDEX(PMTCT!$AS:$AS,MATCH($E227,PMTCT!$E:$E,0)))</f>
        <v>29</v>
      </c>
      <c r="J227" s="38">
        <f>INDEX(TB!$P:$P,MATCH($E227,TB!$E:$E,0))</f>
        <v>6</v>
      </c>
      <c r="K227" s="38" t="str">
        <f>IF(OR($C227="01-09",$C227="10-14",$D227="Female"),"",INDEX(VMMC!$AA:$AA,MATCH($E227,VMMC!$E:$E,0)))</f>
        <v/>
      </c>
      <c r="L227" s="38">
        <f t="shared" si="100"/>
        <v>458</v>
      </c>
      <c r="M227" s="33">
        <f t="shared" si="101"/>
        <v>9.0405904059040587E-2</v>
      </c>
      <c r="N227" s="33">
        <f t="shared" si="102"/>
        <v>5.350553505535055E-2</v>
      </c>
      <c r="O227" s="33">
        <f t="shared" si="103"/>
        <v>1.107011070110701E-2</v>
      </c>
      <c r="P227" s="33" t="str">
        <f t="shared" si="104"/>
        <v/>
      </c>
      <c r="Q227" s="33">
        <v>0.26473254759746101</v>
      </c>
      <c r="R227" s="33">
        <v>0.06</v>
      </c>
      <c r="S227" s="33">
        <v>0.04</v>
      </c>
      <c r="T227" s="33">
        <v>0.05</v>
      </c>
      <c r="U227" s="33">
        <f t="shared" si="127"/>
        <v>0.4302859025870408</v>
      </c>
      <c r="V227" s="33">
        <f t="shared" si="105"/>
        <v>1</v>
      </c>
      <c r="W227" s="218"/>
      <c r="X227" s="33"/>
      <c r="Y227" s="218"/>
      <c r="Z227" s="218" t="str">
        <f t="shared" si="107"/>
        <v/>
      </c>
      <c r="AA227" s="33">
        <v>0.12</v>
      </c>
      <c r="AB227" s="218">
        <f t="shared" si="108"/>
        <v>33</v>
      </c>
      <c r="AC227" s="218">
        <f t="shared" si="125"/>
        <v>242</v>
      </c>
      <c r="AD227" s="33">
        <v>0.02</v>
      </c>
      <c r="AE227" s="218">
        <f t="shared" si="109"/>
        <v>22</v>
      </c>
      <c r="AF227" s="218">
        <f t="shared" si="110"/>
        <v>1078</v>
      </c>
      <c r="AG227" s="33">
        <v>0.02</v>
      </c>
      <c r="AH227" s="218">
        <f t="shared" si="111"/>
        <v>27</v>
      </c>
      <c r="AI227" s="218">
        <f t="shared" si="112"/>
        <v>1323</v>
      </c>
      <c r="AJ227" s="33">
        <v>4.4999999999999998E-2</v>
      </c>
      <c r="AK227" s="218">
        <f t="shared" si="113"/>
        <v>233</v>
      </c>
      <c r="AL227" s="218">
        <f t="shared" si="114"/>
        <v>4945</v>
      </c>
      <c r="AM227" s="38">
        <f t="shared" si="115"/>
        <v>542</v>
      </c>
      <c r="AN227" s="38">
        <f t="shared" si="116"/>
        <v>399</v>
      </c>
      <c r="AO227" s="38">
        <f t="shared" si="117"/>
        <v>-143</v>
      </c>
      <c r="AP227" s="38">
        <f>IF(OR($C227="01-09",$D227="Male"),"",INDEX(PMTCT!$AD:$AD,MATCH($E227,PMTCT!$E:$E,0)))</f>
        <v>3223</v>
      </c>
      <c r="AQ227" s="38">
        <f>IF(OR($C227="01-09",$D227="Male"),"",INDEX(PMTCT!$AT:$AT,MATCH($E227,PMTCT!$E:$E,0)))</f>
        <v>3194</v>
      </c>
      <c r="AR227" s="38">
        <f>INDEX(TB!$Q:$Q,MATCH($E227,TB!$E:$E,0))</f>
        <v>96</v>
      </c>
      <c r="AS227" s="38" t="str">
        <f>IF(OR($C227="01-09",$C227="10-14",$D227="Female"),"",INDEX(VMMC!$AB:$AB,MATCH($E227,VMMC!$E:$E,0)))</f>
        <v/>
      </c>
      <c r="AT227" s="38">
        <f>IF(OR($C227="01-09",$C227="10-14"),"",INDEX(PrEP!$Q:$Q,MATCH($E227,PrEP!$E:$E,0)))</f>
        <v>1216</v>
      </c>
      <c r="AU227" s="38">
        <f t="shared" si="118"/>
        <v>15317.000000000002</v>
      </c>
      <c r="AV227" s="38">
        <f t="shared" si="119"/>
        <v>15716.000000000004</v>
      </c>
      <c r="AW227" s="33">
        <f t="shared" si="120"/>
        <v>2.5388139475693555E-2</v>
      </c>
      <c r="AX227" s="38">
        <v>195</v>
      </c>
      <c r="AY227" s="33">
        <f t="shared" si="128"/>
        <v>0.68</v>
      </c>
      <c r="AZ227" s="218">
        <f t="shared" si="122"/>
        <v>328</v>
      </c>
      <c r="BA227" s="33">
        <v>0.42</v>
      </c>
      <c r="BB227" s="218">
        <f t="shared" si="124"/>
        <v>168</v>
      </c>
    </row>
    <row r="228" spans="1:54" x14ac:dyDescent="0.2">
      <c r="A228" t="str">
        <f>INDEX(Prioritization!$D:$D,MATCH($B228,Prioritization!$A:$A,0))</f>
        <v>1 - Scale-up: Saturation</v>
      </c>
      <c r="B228" t="s">
        <v>310</v>
      </c>
      <c r="C228" t="s">
        <v>477</v>
      </c>
      <c r="D228" t="s">
        <v>48</v>
      </c>
      <c r="E228" t="str">
        <f t="shared" si="99"/>
        <v>Mzimba District [vA4NcHxfMBq]|35-49|Male</v>
      </c>
      <c r="F228" s="33">
        <f>IF(LEFT($B228,4)="_Mil","",INDEX(Cascade!$AA:$AA,MATCH($E228,Cascade!$E:$E,0)))</f>
        <v>0.91850760099999995</v>
      </c>
      <c r="G228" s="38">
        <f>INDEX(Cascade!$BH:$BH,MATCH($E228,Cascade!$E:$E,0))</f>
        <v>188</v>
      </c>
      <c r="H228" s="38" t="str">
        <f>IF(OR($C228="01-09",$D228="Male"),"",INDEX(PMTCT!$AC:$AC,MATCH($E228,PMTCT!$E:$E,0)))</f>
        <v/>
      </c>
      <c r="I228" s="38" t="str">
        <f>IF(OR($C228="01-09",$D228="Male"),"",INDEX(PMTCT!$AS:$AS,MATCH($E228,PMTCT!$E:$E,0)))</f>
        <v/>
      </c>
      <c r="J228" s="38">
        <f>INDEX(TB!$P:$P,MATCH($E228,TB!$E:$E,0))</f>
        <v>10</v>
      </c>
      <c r="K228" s="38" t="str">
        <f>IF(OR($C228="01-09",$C228="10-14",$D228="Female"),"",INDEX(VMMC!$AA:$AA,MATCH($E228,VMMC!$E:$E,0)))</f>
        <v/>
      </c>
      <c r="L228" s="38">
        <f t="shared" si="100"/>
        <v>178</v>
      </c>
      <c r="M228" s="33" t="str">
        <f t="shared" si="101"/>
        <v/>
      </c>
      <c r="N228" s="33" t="str">
        <f t="shared" si="102"/>
        <v/>
      </c>
      <c r="O228" s="33">
        <f t="shared" si="103"/>
        <v>5.3191489361702128E-2</v>
      </c>
      <c r="P228" s="33">
        <f t="shared" si="104"/>
        <v>0</v>
      </c>
      <c r="Q228" s="33">
        <v>0.39024390243902402</v>
      </c>
      <c r="R228" s="33">
        <v>0.18</v>
      </c>
      <c r="S228" s="33">
        <v>0.26</v>
      </c>
      <c r="T228" s="33">
        <v>0.05</v>
      </c>
      <c r="U228" s="33">
        <f t="shared" si="127"/>
        <v>6.6564608199273789E-2</v>
      </c>
      <c r="V228" s="33">
        <f t="shared" si="105"/>
        <v>1</v>
      </c>
      <c r="W228" s="218"/>
      <c r="X228" s="33"/>
      <c r="Y228" s="218"/>
      <c r="Z228" s="218" t="str">
        <f t="shared" si="107"/>
        <v/>
      </c>
      <c r="AA228" s="33">
        <v>0.12</v>
      </c>
      <c r="AB228" s="218">
        <f t="shared" si="108"/>
        <v>34</v>
      </c>
      <c r="AC228" s="218">
        <f t="shared" si="125"/>
        <v>249</v>
      </c>
      <c r="AD228" s="33">
        <v>0.02</v>
      </c>
      <c r="AE228" s="218">
        <f t="shared" si="109"/>
        <v>49</v>
      </c>
      <c r="AF228" s="218">
        <f t="shared" si="110"/>
        <v>2401</v>
      </c>
      <c r="AG228" s="33">
        <v>0.02</v>
      </c>
      <c r="AH228" s="218">
        <f t="shared" si="111"/>
        <v>9</v>
      </c>
      <c r="AI228" s="218">
        <f t="shared" si="112"/>
        <v>441</v>
      </c>
      <c r="AJ228" s="33">
        <v>5.6000000000000001E-2</v>
      </c>
      <c r="AK228" s="218">
        <f t="shared" si="113"/>
        <v>13</v>
      </c>
      <c r="AL228" s="218">
        <f t="shared" si="114"/>
        <v>219</v>
      </c>
      <c r="AM228" s="38">
        <f t="shared" si="115"/>
        <v>188</v>
      </c>
      <c r="AN228" s="38">
        <f t="shared" si="116"/>
        <v>115</v>
      </c>
      <c r="AO228" s="38">
        <f t="shared" si="117"/>
        <v>-73</v>
      </c>
      <c r="AP228" s="38" t="str">
        <f>IF(OR($C228="01-09",$D228="Male"),"",INDEX(PMTCT!$AD:$AD,MATCH($E228,PMTCT!$E:$E,0)))</f>
        <v/>
      </c>
      <c r="AQ228" s="38" t="str">
        <f>IF(OR($C228="01-09",$D228="Male"),"",INDEX(PMTCT!$AT:$AT,MATCH($E228,PMTCT!$E:$E,0)))</f>
        <v/>
      </c>
      <c r="AR228" s="38">
        <f>INDEX(TB!$Q:$Q,MATCH($E228,TB!$E:$E,0))</f>
        <v>157</v>
      </c>
      <c r="AS228" s="38" t="str">
        <f>IF(OR($C228="01-09",$C228="10-14",$D228="Female"),"",INDEX(VMMC!$AB:$AB,MATCH($E228,VMMC!$E:$E,0)))</f>
        <v/>
      </c>
      <c r="AT228" s="38">
        <f>IF(OR($C228="01-09",$C228="10-14"),"",INDEX(PrEP!$Q:$Q,MATCH($E228,PrEP!$E:$E,0)))</f>
        <v>334</v>
      </c>
      <c r="AU228" s="38">
        <f t="shared" si="118"/>
        <v>3800.9999999999995</v>
      </c>
      <c r="AV228" s="38">
        <f t="shared" si="119"/>
        <v>3916</v>
      </c>
      <c r="AW228" s="33">
        <f t="shared" si="120"/>
        <v>2.936670071501532E-2</v>
      </c>
      <c r="AX228" s="38">
        <v>953</v>
      </c>
      <c r="AY228" s="33">
        <f t="shared" si="128"/>
        <v>0.68</v>
      </c>
      <c r="AZ228" s="218">
        <f t="shared" si="122"/>
        <v>1601</v>
      </c>
      <c r="BA228" s="33">
        <v>0.42</v>
      </c>
      <c r="BB228" s="218">
        <f t="shared" si="124"/>
        <v>48</v>
      </c>
    </row>
    <row r="229" spans="1:54" x14ac:dyDescent="0.2">
      <c r="A229" t="str">
        <f>INDEX(Prioritization!$D:$D,MATCH($B229,Prioritization!$A:$A,0))</f>
        <v>1 - Scale-up: Saturation</v>
      </c>
      <c r="B229" t="s">
        <v>310</v>
      </c>
      <c r="C229" t="s">
        <v>478</v>
      </c>
      <c r="D229" t="s">
        <v>30</v>
      </c>
      <c r="E229" t="str">
        <f t="shared" si="99"/>
        <v>Mzimba District [vA4NcHxfMBq]|50+|Female</v>
      </c>
      <c r="F229" s="33">
        <f>IF(LEFT($B229,4)="_Mil","",INDEX(Cascade!$AA:$AA,MATCH($E229,Cascade!$E:$E,0)))</f>
        <v>0.98658949699999987</v>
      </c>
      <c r="G229" s="38">
        <f>INDEX(Cascade!$BH:$BH,MATCH($E229,Cascade!$E:$E,0))</f>
        <v>374</v>
      </c>
      <c r="H229" s="38">
        <f>IF(OR($C229="01-09",$D229="Male"),"",INDEX(PMTCT!$AC:$AC,MATCH($E229,PMTCT!$E:$E,0)))</f>
        <v>0</v>
      </c>
      <c r="I229" s="38">
        <f>IF(OR($C229="01-09",$D229="Male"),"",INDEX(PMTCT!$AS:$AS,MATCH($E229,PMTCT!$E:$E,0)))</f>
        <v>0</v>
      </c>
      <c r="J229" s="38">
        <f>INDEX(TB!$P:$P,MATCH($E229,TB!$E:$E,0))</f>
        <v>2</v>
      </c>
      <c r="K229" s="38" t="str">
        <f>IF(OR($C229="01-09",$C229="10-14",$D229="Female"),"",INDEX(VMMC!$AA:$AA,MATCH($E229,VMMC!$E:$E,0)))</f>
        <v/>
      </c>
      <c r="L229" s="38">
        <f t="shared" si="100"/>
        <v>372</v>
      </c>
      <c r="M229" s="33">
        <f t="shared" si="101"/>
        <v>0</v>
      </c>
      <c r="N229" s="33">
        <f t="shared" si="102"/>
        <v>0</v>
      </c>
      <c r="O229" s="33">
        <f t="shared" si="103"/>
        <v>5.3475935828877002E-3</v>
      </c>
      <c r="P229" s="33" t="str">
        <f t="shared" si="104"/>
        <v/>
      </c>
      <c r="Q229" s="33">
        <v>0.15</v>
      </c>
      <c r="R229" s="33">
        <v>0.06</v>
      </c>
      <c r="S229" s="33"/>
      <c r="T229" s="33">
        <v>0.05</v>
      </c>
      <c r="U229" s="33">
        <f t="shared" si="127"/>
        <v>0.73465240641711227</v>
      </c>
      <c r="V229" s="33">
        <f t="shared" si="105"/>
        <v>1</v>
      </c>
      <c r="W229" s="218"/>
      <c r="X229" s="33"/>
      <c r="Y229" s="218"/>
      <c r="Z229" s="218" t="str">
        <f t="shared" si="107"/>
        <v/>
      </c>
      <c r="AA229" s="33">
        <v>0.12</v>
      </c>
      <c r="AB229" s="218">
        <f t="shared" si="108"/>
        <v>22</v>
      </c>
      <c r="AC229" s="218">
        <f t="shared" si="125"/>
        <v>161</v>
      </c>
      <c r="AD229" s="33">
        <v>0.02</v>
      </c>
      <c r="AE229" s="218" t="str">
        <f t="shared" si="109"/>
        <v/>
      </c>
      <c r="AF229" s="218" t="str">
        <f t="shared" si="110"/>
        <v/>
      </c>
      <c r="AG229" s="33">
        <v>0.02</v>
      </c>
      <c r="AH229" s="218">
        <f t="shared" si="111"/>
        <v>19</v>
      </c>
      <c r="AI229" s="218">
        <f t="shared" si="112"/>
        <v>931</v>
      </c>
      <c r="AJ229" s="33">
        <v>2.1000000000000001E-2</v>
      </c>
      <c r="AK229" s="218">
        <f t="shared" si="113"/>
        <v>275</v>
      </c>
      <c r="AL229" s="218">
        <f t="shared" si="114"/>
        <v>12820</v>
      </c>
      <c r="AM229" s="38">
        <f t="shared" si="115"/>
        <v>374</v>
      </c>
      <c r="AN229" s="38">
        <f t="shared" si="116"/>
        <v>318</v>
      </c>
      <c r="AO229" s="38">
        <f t="shared" si="117"/>
        <v>-56</v>
      </c>
      <c r="AP229" s="38">
        <f>IF(OR($C229="01-09",$D229="Male"),"",INDEX(PMTCT!$AD:$AD,MATCH($E229,PMTCT!$E:$E,0)))</f>
        <v>5</v>
      </c>
      <c r="AQ229" s="38">
        <f>IF(OR($C229="01-09",$D229="Male"),"",INDEX(PMTCT!$AT:$AT,MATCH($E229,PMTCT!$E:$E,0)))</f>
        <v>5</v>
      </c>
      <c r="AR229" s="38">
        <f>INDEX(TB!$Q:$Q,MATCH($E229,TB!$E:$E,0))</f>
        <v>32</v>
      </c>
      <c r="AS229" s="38" t="str">
        <f>IF(OR($C229="01-09",$C229="10-14",$D229="Female"),"",INDEX(VMMC!$AB:$AB,MATCH($E229,VMMC!$E:$E,0)))</f>
        <v/>
      </c>
      <c r="AT229" s="38">
        <f>IF(OR($C229="01-09",$C229="10-14"),"",INDEX(PrEP!$Q:$Q,MATCH($E229,PrEP!$E:$E,0)))</f>
        <v>132</v>
      </c>
      <c r="AU229" s="38">
        <f t="shared" si="118"/>
        <v>14086</v>
      </c>
      <c r="AV229" s="38">
        <f t="shared" si="119"/>
        <v>14404</v>
      </c>
      <c r="AW229" s="33">
        <f t="shared" si="120"/>
        <v>2.2077200777561787E-2</v>
      </c>
      <c r="AX229" s="38">
        <v>131</v>
      </c>
      <c r="AY229" s="33">
        <f t="shared" si="121"/>
        <v>0</v>
      </c>
      <c r="AZ229" s="218">
        <f t="shared" si="122"/>
        <v>131</v>
      </c>
      <c r="BA229" s="33">
        <v>0.42</v>
      </c>
      <c r="BB229" s="218">
        <f t="shared" si="124"/>
        <v>134</v>
      </c>
    </row>
    <row r="230" spans="1:54" x14ac:dyDescent="0.2">
      <c r="A230" t="str">
        <f>INDEX(Prioritization!$D:$D,MATCH($B230,Prioritization!$A:$A,0))</f>
        <v>1 - Scale-up: Saturation</v>
      </c>
      <c r="B230" t="s">
        <v>310</v>
      </c>
      <c r="C230" t="s">
        <v>478</v>
      </c>
      <c r="D230" t="s">
        <v>48</v>
      </c>
      <c r="E230" t="str">
        <f t="shared" si="99"/>
        <v>Mzimba District [vA4NcHxfMBq]|50+|Male</v>
      </c>
      <c r="F230" s="33">
        <f>IF(LEFT($B230,4)="_Mil","",INDEX(Cascade!$AA:$AA,MATCH($E230,Cascade!$E:$E,0)))</f>
        <v>0.94219619399999999</v>
      </c>
      <c r="G230" s="38">
        <f>INDEX(Cascade!$BH:$BH,MATCH($E230,Cascade!$E:$E,0))</f>
        <v>229</v>
      </c>
      <c r="H230" s="38" t="str">
        <f>IF(OR($C230="01-09",$D230="Male"),"",INDEX(PMTCT!$AC:$AC,MATCH($E230,PMTCT!$E:$E,0)))</f>
        <v/>
      </c>
      <c r="I230" s="38" t="str">
        <f>IF(OR($C230="01-09",$D230="Male"),"",INDEX(PMTCT!$AS:$AS,MATCH($E230,PMTCT!$E:$E,0)))</f>
        <v/>
      </c>
      <c r="J230" s="38">
        <f>INDEX(TB!$P:$P,MATCH($E230,TB!$E:$E,0))</f>
        <v>3</v>
      </c>
      <c r="K230" s="38" t="str">
        <f>IF(OR($C230="01-09",$C230="10-14",$D230="Female"),"",INDEX(VMMC!$AA:$AA,MATCH($E230,VMMC!$E:$E,0)))</f>
        <v/>
      </c>
      <c r="L230" s="38">
        <f t="shared" si="100"/>
        <v>226</v>
      </c>
      <c r="M230" s="33" t="str">
        <f t="shared" si="101"/>
        <v/>
      </c>
      <c r="N230" s="33" t="str">
        <f t="shared" si="102"/>
        <v/>
      </c>
      <c r="O230" s="33">
        <f t="shared" si="103"/>
        <v>1.3100436681222707E-2</v>
      </c>
      <c r="P230" s="33">
        <f t="shared" si="104"/>
        <v>0</v>
      </c>
      <c r="Q230" s="33">
        <v>0.15</v>
      </c>
      <c r="R230" s="33">
        <v>0.06</v>
      </c>
      <c r="S230" s="33">
        <v>0.26</v>
      </c>
      <c r="T230" s="33">
        <v>0.05</v>
      </c>
      <c r="U230" s="33">
        <f t="shared" si="127"/>
        <v>0.46689956331877724</v>
      </c>
      <c r="V230" s="33">
        <f t="shared" si="105"/>
        <v>1</v>
      </c>
      <c r="W230" s="218"/>
      <c r="X230" s="33"/>
      <c r="Y230" s="218"/>
      <c r="Z230" s="218" t="str">
        <f t="shared" si="107"/>
        <v/>
      </c>
      <c r="AA230" s="33">
        <v>0.12</v>
      </c>
      <c r="AB230" s="218">
        <f t="shared" si="108"/>
        <v>14</v>
      </c>
      <c r="AC230" s="218">
        <f t="shared" si="125"/>
        <v>103</v>
      </c>
      <c r="AD230" s="33">
        <v>0.02</v>
      </c>
      <c r="AE230" s="218">
        <f t="shared" si="109"/>
        <v>60</v>
      </c>
      <c r="AF230" s="218">
        <f t="shared" si="110"/>
        <v>2940</v>
      </c>
      <c r="AG230" s="33">
        <v>0.02</v>
      </c>
      <c r="AH230" s="218">
        <f t="shared" si="111"/>
        <v>11</v>
      </c>
      <c r="AI230" s="218">
        <f t="shared" si="112"/>
        <v>539</v>
      </c>
      <c r="AJ230" s="33">
        <v>4.2999999999999997E-2</v>
      </c>
      <c r="AK230" s="218">
        <f t="shared" si="113"/>
        <v>107</v>
      </c>
      <c r="AL230" s="218">
        <f t="shared" si="114"/>
        <v>2381</v>
      </c>
      <c r="AM230" s="38">
        <f t="shared" si="115"/>
        <v>229</v>
      </c>
      <c r="AN230" s="38">
        <f t="shared" si="116"/>
        <v>195</v>
      </c>
      <c r="AO230" s="38">
        <f t="shared" si="117"/>
        <v>-34</v>
      </c>
      <c r="AP230" s="38" t="str">
        <f>IF(OR($C230="01-09",$D230="Male"),"",INDEX(PMTCT!$AD:$AD,MATCH($E230,PMTCT!$E:$E,0)))</f>
        <v/>
      </c>
      <c r="AQ230" s="38" t="str">
        <f>IF(OR($C230="01-09",$D230="Male"),"",INDEX(PMTCT!$AT:$AT,MATCH($E230,PMTCT!$E:$E,0)))</f>
        <v/>
      </c>
      <c r="AR230" s="38">
        <f>INDEX(TB!$Q:$Q,MATCH($E230,TB!$E:$E,0))</f>
        <v>51</v>
      </c>
      <c r="AS230" s="38" t="str">
        <f>IF(OR($C230="01-09",$C230="10-14",$D230="Female"),"",INDEX(VMMC!$AB:$AB,MATCH($E230,VMMC!$E:$E,0)))</f>
        <v/>
      </c>
      <c r="AT230" s="38">
        <f>IF(OR($C230="01-09",$C230="10-14"),"",INDEX(PrEP!$Q:$Q,MATCH($E230,PrEP!$E:$E,0)))</f>
        <v>120</v>
      </c>
      <c r="AU230" s="38">
        <f t="shared" si="118"/>
        <v>6134</v>
      </c>
      <c r="AV230" s="38">
        <f t="shared" si="119"/>
        <v>6329</v>
      </c>
      <c r="AW230" s="33">
        <f t="shared" si="120"/>
        <v>3.0810554589982619E-2</v>
      </c>
      <c r="AX230" s="38">
        <v>147</v>
      </c>
      <c r="AY230" s="33">
        <f t="shared" si="121"/>
        <v>0</v>
      </c>
      <c r="AZ230" s="218">
        <f t="shared" si="122"/>
        <v>147</v>
      </c>
      <c r="BA230" s="33">
        <v>0.42</v>
      </c>
      <c r="BB230" s="218">
        <f t="shared" si="124"/>
        <v>82</v>
      </c>
    </row>
    <row r="231" spans="1:54" x14ac:dyDescent="0.2">
      <c r="A231" t="str">
        <f>INDEX(Prioritization!$D:$D,MATCH($B231,Prioritization!$A:$A,0))</f>
        <v>4 - Sustained</v>
      </c>
      <c r="B231" t="s">
        <v>321</v>
      </c>
      <c r="C231" t="s">
        <v>473</v>
      </c>
      <c r="D231" t="s">
        <v>30</v>
      </c>
      <c r="E231" t="str">
        <f t="shared" si="99"/>
        <v>Neno District [gwVYinjBAe9]|01-09|Female</v>
      </c>
      <c r="F231" s="33">
        <f>IF(LEFT($B231,4)="_Mil","",INDEX(Cascade!$AA:$AA,MATCH($E231,Cascade!$E:$E,0)))</f>
        <v>0.65697352899999995</v>
      </c>
      <c r="G231" s="38">
        <f>INDEX(Cascade!$BH:$BH,MATCH($E231,Cascade!$E:$E,0))</f>
        <v>2</v>
      </c>
      <c r="H231" s="38" t="str">
        <f>IF(OR($C231="01-09",$D231="Male"),"",INDEX(PMTCT!$AC:$AC,MATCH($E231,PMTCT!$E:$E,0)))</f>
        <v/>
      </c>
      <c r="I231" s="38" t="str">
        <f>IF(OR($C231="01-09",$D231="Male"),"",INDEX(PMTCT!$AS:$AS,MATCH($E231,PMTCT!$E:$E,0)))</f>
        <v/>
      </c>
      <c r="J231" s="38">
        <f>INDEX(TB!$P:$P,MATCH($E231,TB!$E:$E,0))</f>
        <v>0</v>
      </c>
      <c r="K231" s="38" t="str">
        <f>IF(OR($C231="01-09",$C231="10-14",$D231="Female"),"",INDEX(VMMC!$AA:$AA,MATCH($E231,VMMC!$E:$E,0)))</f>
        <v/>
      </c>
      <c r="L231" s="38">
        <f t="shared" si="100"/>
        <v>2</v>
      </c>
      <c r="M231" s="33" t="str">
        <f t="shared" si="101"/>
        <v/>
      </c>
      <c r="N231" s="33" t="str">
        <f t="shared" si="102"/>
        <v/>
      </c>
      <c r="O231" s="33">
        <f t="shared" si="103"/>
        <v>0</v>
      </c>
      <c r="P231" s="33" t="str">
        <f t="shared" si="104"/>
        <v/>
      </c>
      <c r="Q231" s="33">
        <v>0.4</v>
      </c>
      <c r="R231" s="33"/>
      <c r="S231" s="33"/>
      <c r="T231" s="33"/>
      <c r="U231" s="33">
        <f t="shared" si="127"/>
        <v>0.6</v>
      </c>
      <c r="V231" s="33">
        <f t="shared" si="105"/>
        <v>1</v>
      </c>
      <c r="W231" s="218"/>
      <c r="X231" s="33"/>
      <c r="Y231" s="218"/>
      <c r="Z231" s="218" t="str">
        <f t="shared" si="107"/>
        <v/>
      </c>
      <c r="AA231" s="33">
        <v>0.12</v>
      </c>
      <c r="AB231" s="218" t="str">
        <f t="shared" si="108"/>
        <v/>
      </c>
      <c r="AC231" s="218" t="str">
        <f t="shared" si="125"/>
        <v/>
      </c>
      <c r="AD231" s="33">
        <v>0.02</v>
      </c>
      <c r="AE231" s="218" t="str">
        <f t="shared" si="109"/>
        <v/>
      </c>
      <c r="AF231" s="218" t="str">
        <f t="shared" si="110"/>
        <v/>
      </c>
      <c r="AG231" s="33">
        <v>0.02</v>
      </c>
      <c r="AH231" s="218" t="str">
        <f t="shared" si="111"/>
        <v/>
      </c>
      <c r="AI231" s="218" t="str">
        <f t="shared" si="112"/>
        <v/>
      </c>
      <c r="AJ231" s="33">
        <v>9.4999999999999998E-3</v>
      </c>
      <c r="AK231" s="218">
        <f t="shared" si="113"/>
        <v>1</v>
      </c>
      <c r="AL231" s="218">
        <f t="shared" si="114"/>
        <v>104</v>
      </c>
      <c r="AM231" s="38">
        <f t="shared" si="115"/>
        <v>2</v>
      </c>
      <c r="AN231" s="38">
        <f t="shared" si="116"/>
        <v>1</v>
      </c>
      <c r="AO231" s="38">
        <f t="shared" si="117"/>
        <v>-1</v>
      </c>
      <c r="AP231" s="38" t="str">
        <f>IF(OR($C231="01-09",$D231="Male"),"",INDEX(PMTCT!$AD:$AD,MATCH($E231,PMTCT!$E:$E,0)))</f>
        <v/>
      </c>
      <c r="AQ231" s="38" t="str">
        <f>IF(OR($C231="01-09",$D231="Male"),"",INDEX(PMTCT!$AT:$AT,MATCH($E231,PMTCT!$E:$E,0)))</f>
        <v/>
      </c>
      <c r="AR231" s="38">
        <f>INDEX(TB!$Q:$Q,MATCH($E231,TB!$E:$E,0))</f>
        <v>6</v>
      </c>
      <c r="AS231" s="38" t="str">
        <f>IF(OR($C231="01-09",$C231="10-14",$D231="Female"),"",INDEX(VMMC!$AB:$AB,MATCH($E231,VMMC!$E:$E,0)))</f>
        <v/>
      </c>
      <c r="AT231" s="38" t="str">
        <f>IF(OR($C231="01-09",$C231="10-14"),"",INDEX(PrEP!$Q:$Q,MATCH($E231,PrEP!$E:$E,0)))</f>
        <v/>
      </c>
      <c r="AU231" s="38">
        <f t="shared" si="118"/>
        <v>110</v>
      </c>
      <c r="AV231" s="38">
        <f t="shared" si="119"/>
        <v>111</v>
      </c>
      <c r="AW231" s="33">
        <f t="shared" si="120"/>
        <v>9.0090090090090089E-3</v>
      </c>
      <c r="AX231" s="38"/>
      <c r="AY231" s="33" t="str">
        <f t="shared" si="121"/>
        <v/>
      </c>
      <c r="AZ231" s="218" t="str">
        <f t="shared" si="122"/>
        <v/>
      </c>
      <c r="BA231" s="33" t="str">
        <f t="shared" si="123"/>
        <v/>
      </c>
      <c r="BB231" s="218" t="str">
        <f t="shared" si="124"/>
        <v/>
      </c>
    </row>
    <row r="232" spans="1:54" x14ac:dyDescent="0.2">
      <c r="A232" t="str">
        <f>INDEX(Prioritization!$D:$D,MATCH($B232,Prioritization!$A:$A,0))</f>
        <v>4 - Sustained</v>
      </c>
      <c r="B232" t="s">
        <v>321</v>
      </c>
      <c r="C232" t="s">
        <v>473</v>
      </c>
      <c r="D232" t="s">
        <v>48</v>
      </c>
      <c r="E232" t="str">
        <f t="shared" si="99"/>
        <v>Neno District [gwVYinjBAe9]|01-09|Male</v>
      </c>
      <c r="F232" s="33">
        <f>IF(LEFT($B232,4)="_Mil","",INDEX(Cascade!$AA:$AA,MATCH($E232,Cascade!$E:$E,0)))</f>
        <v>0.65628593300000004</v>
      </c>
      <c r="G232" s="38">
        <f>INDEX(Cascade!$BH:$BH,MATCH($E232,Cascade!$E:$E,0))</f>
        <v>2</v>
      </c>
      <c r="H232" s="38" t="str">
        <f>IF(OR($C232="01-09",$D232="Male"),"",INDEX(PMTCT!$AC:$AC,MATCH($E232,PMTCT!$E:$E,0)))</f>
        <v/>
      </c>
      <c r="I232" s="38" t="str">
        <f>IF(OR($C232="01-09",$D232="Male"),"",INDEX(PMTCT!$AS:$AS,MATCH($E232,PMTCT!$E:$E,0)))</f>
        <v/>
      </c>
      <c r="J232" s="38">
        <f>INDEX(TB!$P:$P,MATCH($E232,TB!$E:$E,0))</f>
        <v>0</v>
      </c>
      <c r="K232" s="38" t="str">
        <f>IF(OR($C232="01-09",$C232="10-14",$D232="Female"),"",INDEX(VMMC!$AA:$AA,MATCH($E232,VMMC!$E:$E,0)))</f>
        <v/>
      </c>
      <c r="L232" s="38">
        <f t="shared" si="100"/>
        <v>2</v>
      </c>
      <c r="M232" s="33" t="str">
        <f t="shared" si="101"/>
        <v/>
      </c>
      <c r="N232" s="33" t="str">
        <f t="shared" si="102"/>
        <v/>
      </c>
      <c r="O232" s="33">
        <f t="shared" si="103"/>
        <v>0</v>
      </c>
      <c r="P232" s="33" t="str">
        <f t="shared" si="104"/>
        <v/>
      </c>
      <c r="Q232" s="33">
        <v>0.4</v>
      </c>
      <c r="R232" s="33"/>
      <c r="S232" s="33"/>
      <c r="T232" s="33"/>
      <c r="U232" s="33">
        <f t="shared" si="127"/>
        <v>0.6</v>
      </c>
      <c r="V232" s="33">
        <f t="shared" si="105"/>
        <v>1</v>
      </c>
      <c r="W232" s="218"/>
      <c r="X232" s="33"/>
      <c r="Y232" s="218"/>
      <c r="Z232" s="218" t="str">
        <f t="shared" si="107"/>
        <v/>
      </c>
      <c r="AA232" s="33">
        <v>0.12</v>
      </c>
      <c r="AB232" s="218" t="str">
        <f t="shared" si="108"/>
        <v/>
      </c>
      <c r="AC232" s="218" t="str">
        <f t="shared" si="125"/>
        <v/>
      </c>
      <c r="AD232" s="33">
        <v>0.02</v>
      </c>
      <c r="AE232" s="218" t="str">
        <f t="shared" si="109"/>
        <v/>
      </c>
      <c r="AF232" s="218" t="str">
        <f t="shared" si="110"/>
        <v/>
      </c>
      <c r="AG232" s="33">
        <v>0.02</v>
      </c>
      <c r="AH232" s="218" t="str">
        <f t="shared" si="111"/>
        <v/>
      </c>
      <c r="AI232" s="218" t="str">
        <f t="shared" si="112"/>
        <v/>
      </c>
      <c r="AJ232" s="33">
        <v>6.1999999999999998E-3</v>
      </c>
      <c r="AK232" s="218">
        <f t="shared" si="113"/>
        <v>1</v>
      </c>
      <c r="AL232" s="218">
        <f t="shared" si="114"/>
        <v>160</v>
      </c>
      <c r="AM232" s="38">
        <f t="shared" si="115"/>
        <v>2</v>
      </c>
      <c r="AN232" s="38">
        <f t="shared" si="116"/>
        <v>1</v>
      </c>
      <c r="AO232" s="38">
        <f t="shared" si="117"/>
        <v>-1</v>
      </c>
      <c r="AP232" s="38" t="str">
        <f>IF(OR($C232="01-09",$D232="Male"),"",INDEX(PMTCT!$AD:$AD,MATCH($E232,PMTCT!$E:$E,0)))</f>
        <v/>
      </c>
      <c r="AQ232" s="38" t="str">
        <f>IF(OR($C232="01-09",$D232="Male"),"",INDEX(PMTCT!$AT:$AT,MATCH($E232,PMTCT!$E:$E,0)))</f>
        <v/>
      </c>
      <c r="AR232" s="38">
        <f>INDEX(TB!$Q:$Q,MATCH($E232,TB!$E:$E,0))</f>
        <v>6</v>
      </c>
      <c r="AS232" s="38" t="str">
        <f>IF(OR($C232="01-09",$C232="10-14",$D232="Female"),"",INDEX(VMMC!$AB:$AB,MATCH($E232,VMMC!$E:$E,0)))</f>
        <v/>
      </c>
      <c r="AT232" s="38" t="str">
        <f>IF(OR($C232="01-09",$C232="10-14"),"",INDEX(PrEP!$Q:$Q,MATCH($E232,PrEP!$E:$E,0)))</f>
        <v/>
      </c>
      <c r="AU232" s="38">
        <f t="shared" si="118"/>
        <v>166</v>
      </c>
      <c r="AV232" s="38">
        <f t="shared" si="119"/>
        <v>167</v>
      </c>
      <c r="AW232" s="33">
        <f t="shared" si="120"/>
        <v>5.9880239520958087E-3</v>
      </c>
      <c r="AX232" s="38"/>
      <c r="AY232" s="33" t="str">
        <f t="shared" si="121"/>
        <v/>
      </c>
      <c r="AZ232" s="218" t="str">
        <f t="shared" si="122"/>
        <v/>
      </c>
      <c r="BA232" s="33" t="str">
        <f t="shared" si="123"/>
        <v/>
      </c>
      <c r="BB232" s="218" t="str">
        <f t="shared" si="124"/>
        <v/>
      </c>
    </row>
    <row r="233" spans="1:54" x14ac:dyDescent="0.2">
      <c r="A233" t="str">
        <f>INDEX(Prioritization!$D:$D,MATCH($B233,Prioritization!$A:$A,0))</f>
        <v>4 - Sustained</v>
      </c>
      <c r="B233" t="s">
        <v>321</v>
      </c>
      <c r="C233" t="s">
        <v>474</v>
      </c>
      <c r="D233" t="s">
        <v>30</v>
      </c>
      <c r="E233" t="str">
        <f t="shared" si="99"/>
        <v>Neno District [gwVYinjBAe9]|10-14|Female</v>
      </c>
      <c r="F233" s="33">
        <f>IF(LEFT($B233,4)="_Mil","",INDEX(Cascade!$AA:$AA,MATCH($E233,Cascade!$E:$E,0)))</f>
        <v>0.69704582800000003</v>
      </c>
      <c r="G233" s="38">
        <f>INDEX(Cascade!$BH:$BH,MATCH($E233,Cascade!$E:$E,0))</f>
        <v>12</v>
      </c>
      <c r="H233" s="38">
        <f>IF(OR($C233="01-09",$D233="Male"),"",INDEX(PMTCT!$AC:$AC,MATCH($E233,PMTCT!$E:$E,0)))</f>
        <v>0</v>
      </c>
      <c r="I233" s="38">
        <f>IF(OR($C233="01-09",$D233="Male"),"",INDEX(PMTCT!$AS:$AS,MATCH($E233,PMTCT!$E:$E,0)))</f>
        <v>0</v>
      </c>
      <c r="J233" s="38">
        <f>INDEX(TB!$P:$P,MATCH($E233,TB!$E:$E,0))</f>
        <v>0</v>
      </c>
      <c r="K233" s="38" t="str">
        <f>IF(OR($C233="01-09",$C233="10-14",$D233="Female"),"",INDEX(VMMC!$AA:$AA,MATCH($E233,VMMC!$E:$E,0)))</f>
        <v/>
      </c>
      <c r="L233" s="38">
        <f t="shared" si="100"/>
        <v>12</v>
      </c>
      <c r="M233" s="33">
        <f t="shared" si="101"/>
        <v>0</v>
      </c>
      <c r="N233" s="33">
        <f t="shared" si="102"/>
        <v>0</v>
      </c>
      <c r="O233" s="33">
        <f t="shared" si="103"/>
        <v>0</v>
      </c>
      <c r="P233" s="33" t="str">
        <f t="shared" si="104"/>
        <v/>
      </c>
      <c r="Q233" s="33">
        <v>0.45454545454545497</v>
      </c>
      <c r="R233" s="33"/>
      <c r="S233" s="33"/>
      <c r="T233" s="33"/>
      <c r="U233" s="33">
        <f t="shared" si="127"/>
        <v>0.54545454545454497</v>
      </c>
      <c r="V233" s="33">
        <f t="shared" si="105"/>
        <v>1</v>
      </c>
      <c r="W233" s="218"/>
      <c r="X233" s="33"/>
      <c r="Y233" s="218"/>
      <c r="Z233" s="218" t="str">
        <f t="shared" si="107"/>
        <v/>
      </c>
      <c r="AA233" s="33">
        <v>0.12</v>
      </c>
      <c r="AB233" s="218" t="str">
        <f t="shared" si="108"/>
        <v/>
      </c>
      <c r="AC233" s="218" t="str">
        <f t="shared" si="125"/>
        <v/>
      </c>
      <c r="AD233" s="33">
        <v>0.02</v>
      </c>
      <c r="AE233" s="218" t="str">
        <f t="shared" si="109"/>
        <v/>
      </c>
      <c r="AF233" s="218" t="str">
        <f t="shared" si="110"/>
        <v/>
      </c>
      <c r="AG233" s="33">
        <v>0.02</v>
      </c>
      <c r="AH233" s="218" t="str">
        <f t="shared" si="111"/>
        <v/>
      </c>
      <c r="AI233" s="218" t="str">
        <f t="shared" si="112"/>
        <v/>
      </c>
      <c r="AJ233" s="33">
        <v>2.1999999999999999E-2</v>
      </c>
      <c r="AK233" s="218">
        <f t="shared" si="113"/>
        <v>7</v>
      </c>
      <c r="AL233" s="218">
        <f t="shared" si="114"/>
        <v>311</v>
      </c>
      <c r="AM233" s="38">
        <f t="shared" si="115"/>
        <v>12</v>
      </c>
      <c r="AN233" s="38">
        <f t="shared" si="116"/>
        <v>7</v>
      </c>
      <c r="AO233" s="38">
        <f t="shared" si="117"/>
        <v>-5</v>
      </c>
      <c r="AP233" s="38">
        <f>IF(OR($C233="01-09",$D233="Male"),"",INDEX(PMTCT!$AD:$AD,MATCH($E233,PMTCT!$E:$E,0)))</f>
        <v>25</v>
      </c>
      <c r="AQ233" s="38">
        <f>IF(OR($C233="01-09",$D233="Male"),"",INDEX(PMTCT!$AT:$AT,MATCH($E233,PMTCT!$E:$E,0)))</f>
        <v>25</v>
      </c>
      <c r="AR233" s="38">
        <f>INDEX(TB!$Q:$Q,MATCH($E233,TB!$E:$E,0))</f>
        <v>3</v>
      </c>
      <c r="AS233" s="38" t="str">
        <f>IF(OR($C233="01-09",$C233="10-14",$D233="Female"),"",INDEX(VMMC!$AB:$AB,MATCH($E233,VMMC!$E:$E,0)))</f>
        <v/>
      </c>
      <c r="AT233" s="38" t="str">
        <f>IF(OR($C233="01-09",$C233="10-14"),"",INDEX(PrEP!$Q:$Q,MATCH($E233,PrEP!$E:$E,0)))</f>
        <v/>
      </c>
      <c r="AU233" s="38">
        <f t="shared" si="118"/>
        <v>364</v>
      </c>
      <c r="AV233" s="38">
        <f t="shared" si="119"/>
        <v>371</v>
      </c>
      <c r="AW233" s="33">
        <f t="shared" si="120"/>
        <v>1.8867924528301886E-2</v>
      </c>
      <c r="AX233" s="38"/>
      <c r="AY233" s="33" t="str">
        <f t="shared" si="121"/>
        <v/>
      </c>
      <c r="AZ233" s="218" t="str">
        <f t="shared" si="122"/>
        <v/>
      </c>
      <c r="BA233" s="33" t="str">
        <f t="shared" si="123"/>
        <v/>
      </c>
      <c r="BB233" s="218" t="str">
        <f t="shared" si="124"/>
        <v/>
      </c>
    </row>
    <row r="234" spans="1:54" x14ac:dyDescent="0.2">
      <c r="A234" t="str">
        <f>INDEX(Prioritization!$D:$D,MATCH($B234,Prioritization!$A:$A,0))</f>
        <v>4 - Sustained</v>
      </c>
      <c r="B234" t="s">
        <v>321</v>
      </c>
      <c r="C234" t="s">
        <v>474</v>
      </c>
      <c r="D234" t="s">
        <v>48</v>
      </c>
      <c r="E234" t="str">
        <f t="shared" si="99"/>
        <v>Neno District [gwVYinjBAe9]|10-14|Male</v>
      </c>
      <c r="F234" s="33">
        <f>IF(LEFT($B234,4)="_Mil","",INDEX(Cascade!$AA:$AA,MATCH($E234,Cascade!$E:$E,0)))</f>
        <v>0.69598732100000005</v>
      </c>
      <c r="G234" s="38">
        <f>INDEX(Cascade!$BH:$BH,MATCH($E234,Cascade!$E:$E,0))</f>
        <v>2</v>
      </c>
      <c r="H234" s="38" t="str">
        <f>IF(OR($C234="01-09",$D234="Male"),"",INDEX(PMTCT!$AC:$AC,MATCH($E234,PMTCT!$E:$E,0)))</f>
        <v/>
      </c>
      <c r="I234" s="38" t="str">
        <f>IF(OR($C234="01-09",$D234="Male"),"",INDEX(PMTCT!$AS:$AS,MATCH($E234,PMTCT!$E:$E,0)))</f>
        <v/>
      </c>
      <c r="J234" s="38">
        <f>INDEX(TB!$P:$P,MATCH($E234,TB!$E:$E,0))</f>
        <v>0</v>
      </c>
      <c r="K234" s="38" t="str">
        <f>IF(OR($C234="01-09",$C234="10-14",$D234="Female"),"",INDEX(VMMC!$AA:$AA,MATCH($E234,VMMC!$E:$E,0)))</f>
        <v/>
      </c>
      <c r="L234" s="38">
        <f t="shared" si="100"/>
        <v>2</v>
      </c>
      <c r="M234" s="33" t="str">
        <f t="shared" si="101"/>
        <v/>
      </c>
      <c r="N234" s="33" t="str">
        <f t="shared" si="102"/>
        <v/>
      </c>
      <c r="O234" s="33">
        <f t="shared" si="103"/>
        <v>0</v>
      </c>
      <c r="P234" s="33" t="str">
        <f t="shared" si="104"/>
        <v/>
      </c>
      <c r="Q234" s="33">
        <v>0.57142857142857095</v>
      </c>
      <c r="R234" s="33"/>
      <c r="S234" s="33"/>
      <c r="T234" s="33"/>
      <c r="U234" s="33">
        <f t="shared" si="127"/>
        <v>0.42857142857142905</v>
      </c>
      <c r="V234" s="33">
        <f t="shared" si="105"/>
        <v>1</v>
      </c>
      <c r="W234" s="218"/>
      <c r="X234" s="33"/>
      <c r="Y234" s="218"/>
      <c r="Z234" s="218" t="str">
        <f t="shared" si="107"/>
        <v/>
      </c>
      <c r="AA234" s="33">
        <v>0.12</v>
      </c>
      <c r="AB234" s="218" t="str">
        <f t="shared" si="108"/>
        <v/>
      </c>
      <c r="AC234" s="218" t="str">
        <f t="shared" si="125"/>
        <v/>
      </c>
      <c r="AD234" s="33">
        <v>0.02</v>
      </c>
      <c r="AE234" s="218" t="str">
        <f t="shared" si="109"/>
        <v/>
      </c>
      <c r="AF234" s="218" t="str">
        <f t="shared" si="110"/>
        <v/>
      </c>
      <c r="AG234" s="33">
        <v>0.02</v>
      </c>
      <c r="AH234" s="218" t="str">
        <f t="shared" si="111"/>
        <v/>
      </c>
      <c r="AI234" s="218" t="str">
        <f t="shared" si="112"/>
        <v/>
      </c>
      <c r="AJ234" s="33">
        <v>2.1999999999999999E-2</v>
      </c>
      <c r="AK234" s="218">
        <f t="shared" si="113"/>
        <v>1</v>
      </c>
      <c r="AL234" s="218">
        <f t="shared" si="114"/>
        <v>44</v>
      </c>
      <c r="AM234" s="38">
        <f t="shared" si="115"/>
        <v>2</v>
      </c>
      <c r="AN234" s="38">
        <f t="shared" si="116"/>
        <v>1</v>
      </c>
      <c r="AO234" s="38">
        <f t="shared" si="117"/>
        <v>-1</v>
      </c>
      <c r="AP234" s="38" t="str">
        <f>IF(OR($C234="01-09",$D234="Male"),"",INDEX(PMTCT!$AD:$AD,MATCH($E234,PMTCT!$E:$E,0)))</f>
        <v/>
      </c>
      <c r="AQ234" s="38" t="str">
        <f>IF(OR($C234="01-09",$D234="Male"),"",INDEX(PMTCT!$AT:$AT,MATCH($E234,PMTCT!$E:$E,0)))</f>
        <v/>
      </c>
      <c r="AR234" s="38">
        <f>INDEX(TB!$Q:$Q,MATCH($E234,TB!$E:$E,0))</f>
        <v>3</v>
      </c>
      <c r="AS234" s="38" t="str">
        <f>IF(OR($C234="01-09",$C234="10-14",$D234="Female"),"",INDEX(VMMC!$AB:$AB,MATCH($E234,VMMC!$E:$E,0)))</f>
        <v/>
      </c>
      <c r="AT234" s="38" t="str">
        <f>IF(OR($C234="01-09",$C234="10-14"),"",INDEX(PrEP!$Q:$Q,MATCH($E234,PrEP!$E:$E,0)))</f>
        <v/>
      </c>
      <c r="AU234" s="38">
        <f t="shared" si="118"/>
        <v>47</v>
      </c>
      <c r="AV234" s="38">
        <f t="shared" si="119"/>
        <v>48</v>
      </c>
      <c r="AW234" s="33">
        <f t="shared" si="120"/>
        <v>2.0833333333333332E-2</v>
      </c>
      <c r="AX234" s="38"/>
      <c r="AY234" s="33" t="str">
        <f t="shared" si="121"/>
        <v/>
      </c>
      <c r="AZ234" s="218" t="str">
        <f t="shared" si="122"/>
        <v/>
      </c>
      <c r="BA234" s="33" t="str">
        <f t="shared" si="123"/>
        <v/>
      </c>
      <c r="BB234" s="218" t="str">
        <f t="shared" si="124"/>
        <v/>
      </c>
    </row>
    <row r="235" spans="1:54" x14ac:dyDescent="0.2">
      <c r="A235" t="str">
        <f>INDEX(Prioritization!$D:$D,MATCH($B235,Prioritization!$A:$A,0))</f>
        <v>4 - Sustained</v>
      </c>
      <c r="B235" t="s">
        <v>321</v>
      </c>
      <c r="C235" t="s">
        <v>475</v>
      </c>
      <c r="D235" t="s">
        <v>30</v>
      </c>
      <c r="E235" t="str">
        <f t="shared" si="99"/>
        <v>Neno District [gwVYinjBAe9]|15-24|Female</v>
      </c>
      <c r="F235" s="33">
        <f>IF(LEFT($B235,4)="_Mil","",INDEX(Cascade!$AA:$AA,MATCH($E235,Cascade!$E:$E,0)))</f>
        <v>0.953167612</v>
      </c>
      <c r="G235" s="38">
        <f>INDEX(Cascade!$BH:$BH,MATCH($E235,Cascade!$E:$E,0))</f>
        <v>53</v>
      </c>
      <c r="H235" s="38">
        <f>IF(OR($C235="01-09",$D235="Male"),"",INDEX(PMTCT!$AC:$AC,MATCH($E235,PMTCT!$E:$E,0)))</f>
        <v>22</v>
      </c>
      <c r="I235" s="38">
        <f>IF(OR($C235="01-09",$D235="Male"),"",INDEX(PMTCT!$AS:$AS,MATCH($E235,PMTCT!$E:$E,0)))</f>
        <v>14</v>
      </c>
      <c r="J235" s="38">
        <f>INDEX(TB!$P:$P,MATCH($E235,TB!$E:$E,0))</f>
        <v>0</v>
      </c>
      <c r="K235" s="38" t="str">
        <f>IF(OR($C235="01-09",$C235="10-14",$D235="Female"),"",INDEX(VMMC!$AA:$AA,MATCH($E235,VMMC!$E:$E,0)))</f>
        <v/>
      </c>
      <c r="L235" s="38">
        <f t="shared" si="100"/>
        <v>17</v>
      </c>
      <c r="M235" s="33">
        <f t="shared" si="101"/>
        <v>0.41509433962264153</v>
      </c>
      <c r="N235" s="33">
        <f t="shared" si="102"/>
        <v>0.26415094339622641</v>
      </c>
      <c r="O235" s="33">
        <f t="shared" si="103"/>
        <v>0</v>
      </c>
      <c r="P235" s="33" t="str">
        <f t="shared" si="104"/>
        <v/>
      </c>
      <c r="Q235" s="33">
        <v>0.15</v>
      </c>
      <c r="R235" s="33"/>
      <c r="S235" s="33"/>
      <c r="T235" s="33">
        <v>0.05</v>
      </c>
      <c r="U235" s="33">
        <f t="shared" si="127"/>
        <v>0.12075471698113194</v>
      </c>
      <c r="V235" s="33">
        <f t="shared" si="105"/>
        <v>1</v>
      </c>
      <c r="W235" s="218"/>
      <c r="X235" s="33"/>
      <c r="Y235" s="218"/>
      <c r="Z235" s="218" t="str">
        <f t="shared" si="107"/>
        <v/>
      </c>
      <c r="AA235" s="33">
        <v>0.12</v>
      </c>
      <c r="AB235" s="218" t="str">
        <f t="shared" si="108"/>
        <v/>
      </c>
      <c r="AC235" s="218" t="str">
        <f t="shared" si="125"/>
        <v/>
      </c>
      <c r="AD235" s="33">
        <v>0.02</v>
      </c>
      <c r="AE235" s="218" t="str">
        <f t="shared" si="109"/>
        <v/>
      </c>
      <c r="AF235" s="218" t="str">
        <f t="shared" si="110"/>
        <v/>
      </c>
      <c r="AG235" s="33">
        <v>0.02</v>
      </c>
      <c r="AH235" s="218">
        <f t="shared" si="111"/>
        <v>3</v>
      </c>
      <c r="AI235" s="218">
        <f t="shared" si="112"/>
        <v>147</v>
      </c>
      <c r="AJ235" s="33">
        <v>1.2E-2</v>
      </c>
      <c r="AK235" s="218">
        <f t="shared" si="113"/>
        <v>6</v>
      </c>
      <c r="AL235" s="218">
        <f t="shared" si="114"/>
        <v>494</v>
      </c>
      <c r="AM235" s="38">
        <f t="shared" si="115"/>
        <v>53</v>
      </c>
      <c r="AN235" s="38">
        <f t="shared" si="116"/>
        <v>45</v>
      </c>
      <c r="AO235" s="38">
        <f t="shared" si="117"/>
        <v>-8</v>
      </c>
      <c r="AP235" s="38">
        <f>IF(OR($C235="01-09",$D235="Male"),"",INDEX(PMTCT!$AD:$AD,MATCH($E235,PMTCT!$E:$E,0)))</f>
        <v>3397</v>
      </c>
      <c r="AQ235" s="38">
        <f>IF(OR($C235="01-09",$D235="Male"),"",INDEX(PMTCT!$AT:$AT,MATCH($E235,PMTCT!$E:$E,0)))</f>
        <v>3382.9999999999995</v>
      </c>
      <c r="AR235" s="38">
        <f>INDEX(TB!$Q:$Q,MATCH($E235,TB!$E:$E,0))</f>
        <v>8</v>
      </c>
      <c r="AS235" s="38" t="str">
        <f>IF(OR($C235="01-09",$C235="10-14",$D235="Female"),"",INDEX(VMMC!$AB:$AB,MATCH($E235,VMMC!$E:$E,0)))</f>
        <v/>
      </c>
      <c r="AT235" s="38">
        <f>IF(OR($C235="01-09",$C235="10-14"),"",INDEX(PrEP!$Q:$Q,MATCH($E235,PrEP!$E:$E,0)))</f>
        <v>6</v>
      </c>
      <c r="AU235" s="38">
        <f t="shared" si="118"/>
        <v>7435</v>
      </c>
      <c r="AV235" s="38">
        <f t="shared" si="119"/>
        <v>7480</v>
      </c>
      <c r="AW235" s="33">
        <f t="shared" si="120"/>
        <v>6.0160427807486629E-3</v>
      </c>
      <c r="AX235" s="38">
        <v>281</v>
      </c>
      <c r="AY235" s="33">
        <f t="shared" ref="AY235:AY240" si="129">IF(OR($C235="01-09",SUM($AX235)=0),"",68%)</f>
        <v>0.68</v>
      </c>
      <c r="AZ235" s="218">
        <f t="shared" si="122"/>
        <v>472</v>
      </c>
      <c r="BA235" s="33">
        <v>0.21</v>
      </c>
      <c r="BB235" s="218">
        <f t="shared" si="124"/>
        <v>9</v>
      </c>
    </row>
    <row r="236" spans="1:54" x14ac:dyDescent="0.2">
      <c r="A236" t="str">
        <f>INDEX(Prioritization!$D:$D,MATCH($B236,Prioritization!$A:$A,0))</f>
        <v>4 - Sustained</v>
      </c>
      <c r="B236" t="s">
        <v>321</v>
      </c>
      <c r="C236" t="s">
        <v>475</v>
      </c>
      <c r="D236" t="s">
        <v>48</v>
      </c>
      <c r="E236" t="str">
        <f t="shared" si="99"/>
        <v>Neno District [gwVYinjBAe9]|15-24|Male</v>
      </c>
      <c r="F236" s="33">
        <f>IF(LEFT($B236,4)="_Mil","",INDEX(Cascade!$AA:$AA,MATCH($E236,Cascade!$E:$E,0)))</f>
        <v>0.92737244600000002</v>
      </c>
      <c r="G236" s="38">
        <f>INDEX(Cascade!$BH:$BH,MATCH($E236,Cascade!$E:$E,0))</f>
        <v>18</v>
      </c>
      <c r="H236" s="38" t="str">
        <f>IF(OR($C236="01-09",$D236="Male"),"",INDEX(PMTCT!$AC:$AC,MATCH($E236,PMTCT!$E:$E,0)))</f>
        <v/>
      </c>
      <c r="I236" s="38" t="str">
        <f>IF(OR($C236="01-09",$D236="Male"),"",INDEX(PMTCT!$AS:$AS,MATCH($E236,PMTCT!$E:$E,0)))</f>
        <v/>
      </c>
      <c r="J236" s="38">
        <f>INDEX(TB!$P:$P,MATCH($E236,TB!$E:$E,0))</f>
        <v>1</v>
      </c>
      <c r="K236" s="38" t="str">
        <f>IF(OR($C236="01-09",$C236="10-14",$D236="Female"),"",INDEX(VMMC!$AA:$AA,MATCH($E236,VMMC!$E:$E,0)))</f>
        <v/>
      </c>
      <c r="L236" s="38">
        <f t="shared" si="100"/>
        <v>17</v>
      </c>
      <c r="M236" s="33" t="str">
        <f t="shared" si="101"/>
        <v/>
      </c>
      <c r="N236" s="33" t="str">
        <f t="shared" si="102"/>
        <v/>
      </c>
      <c r="O236" s="33">
        <f t="shared" si="103"/>
        <v>5.5555555555555552E-2</v>
      </c>
      <c r="P236" s="33">
        <f t="shared" si="104"/>
        <v>0</v>
      </c>
      <c r="Q236" s="33">
        <v>0.33333333333333298</v>
      </c>
      <c r="R236" s="33"/>
      <c r="S236" s="33"/>
      <c r="T236" s="33">
        <v>0.05</v>
      </c>
      <c r="U236" s="33">
        <f t="shared" si="127"/>
        <v>0.56111111111111156</v>
      </c>
      <c r="V236" s="33">
        <f t="shared" si="105"/>
        <v>1</v>
      </c>
      <c r="W236" s="218"/>
      <c r="X236" s="33"/>
      <c r="Y236" s="218"/>
      <c r="Z236" s="218" t="str">
        <f t="shared" si="107"/>
        <v/>
      </c>
      <c r="AA236" s="33">
        <v>0.12</v>
      </c>
      <c r="AB236" s="218" t="str">
        <f t="shared" si="108"/>
        <v/>
      </c>
      <c r="AC236" s="218" t="str">
        <f t="shared" si="125"/>
        <v/>
      </c>
      <c r="AD236" s="33">
        <v>0.02</v>
      </c>
      <c r="AE236" s="218" t="str">
        <f t="shared" si="109"/>
        <v/>
      </c>
      <c r="AF236" s="218" t="str">
        <f t="shared" si="110"/>
        <v/>
      </c>
      <c r="AG236" s="33">
        <v>0.02</v>
      </c>
      <c r="AH236" s="218">
        <f t="shared" si="111"/>
        <v>1</v>
      </c>
      <c r="AI236" s="218">
        <f t="shared" si="112"/>
        <v>49</v>
      </c>
      <c r="AJ236" s="33">
        <v>5.1000000000000004E-3</v>
      </c>
      <c r="AK236" s="218">
        <f t="shared" si="113"/>
        <v>10</v>
      </c>
      <c r="AL236" s="218">
        <f t="shared" si="114"/>
        <v>1951</v>
      </c>
      <c r="AM236" s="38">
        <f t="shared" si="115"/>
        <v>18</v>
      </c>
      <c r="AN236" s="38">
        <f t="shared" si="116"/>
        <v>12</v>
      </c>
      <c r="AO236" s="38">
        <f t="shared" si="117"/>
        <v>-6</v>
      </c>
      <c r="AP236" s="38" t="str">
        <f>IF(OR($C236="01-09",$D236="Male"),"",INDEX(PMTCT!$AD:$AD,MATCH($E236,PMTCT!$E:$E,0)))</f>
        <v/>
      </c>
      <c r="AQ236" s="38" t="str">
        <f>IF(OR($C236="01-09",$D236="Male"),"",INDEX(PMTCT!$AT:$AT,MATCH($E236,PMTCT!$E:$E,0)))</f>
        <v/>
      </c>
      <c r="AR236" s="38">
        <f>INDEX(TB!$Q:$Q,MATCH($E236,TB!$E:$E,0))</f>
        <v>16</v>
      </c>
      <c r="AS236" s="38" t="str">
        <f>IF(OR($C236="01-09",$C236="10-14",$D236="Female"),"",INDEX(VMMC!$AB:$AB,MATCH($E236,VMMC!$E:$E,0)))</f>
        <v/>
      </c>
      <c r="AT236" s="38" t="str">
        <f>IF(OR($C236="01-09",$C236="10-14"),"",INDEX(PrEP!$Q:$Q,MATCH($E236,PrEP!$E:$E,0)))</f>
        <v/>
      </c>
      <c r="AU236" s="38">
        <f t="shared" si="118"/>
        <v>2016</v>
      </c>
      <c r="AV236" s="38">
        <f t="shared" si="119"/>
        <v>2028</v>
      </c>
      <c r="AW236" s="33">
        <f t="shared" si="120"/>
        <v>5.9171597633136093E-3</v>
      </c>
      <c r="AX236" s="38">
        <v>8</v>
      </c>
      <c r="AY236" s="33">
        <f t="shared" si="129"/>
        <v>0.68</v>
      </c>
      <c r="AZ236" s="218">
        <f t="shared" si="122"/>
        <v>13</v>
      </c>
      <c r="BA236" s="33">
        <v>0.21</v>
      </c>
      <c r="BB236" s="218">
        <f t="shared" si="124"/>
        <v>3</v>
      </c>
    </row>
    <row r="237" spans="1:54" x14ac:dyDescent="0.2">
      <c r="A237" t="str">
        <f>INDEX(Prioritization!$D:$D,MATCH($B237,Prioritization!$A:$A,0))</f>
        <v>4 - Sustained</v>
      </c>
      <c r="B237" t="s">
        <v>321</v>
      </c>
      <c r="C237" t="s">
        <v>476</v>
      </c>
      <c r="D237" t="s">
        <v>30</v>
      </c>
      <c r="E237" t="str">
        <f t="shared" si="99"/>
        <v>Neno District [gwVYinjBAe9]|25-34|Female</v>
      </c>
      <c r="F237" s="33">
        <f>IF(LEFT($B237,4)="_Mil","",INDEX(Cascade!$AA:$AA,MATCH($E237,Cascade!$E:$E,0)))</f>
        <v>0.97521978300000001</v>
      </c>
      <c r="G237" s="38">
        <f>INDEX(Cascade!$BH:$BH,MATCH($E237,Cascade!$E:$E,0))</f>
        <v>118</v>
      </c>
      <c r="H237" s="38">
        <f>IF(OR($C237="01-09",$D237="Male"),"",INDEX(PMTCT!$AC:$AC,MATCH($E237,PMTCT!$E:$E,0)))</f>
        <v>18</v>
      </c>
      <c r="I237" s="38">
        <f>IF(OR($C237="01-09",$D237="Male"),"",INDEX(PMTCT!$AS:$AS,MATCH($E237,PMTCT!$E:$E,0)))</f>
        <v>6</v>
      </c>
      <c r="J237" s="38">
        <f>INDEX(TB!$P:$P,MATCH($E237,TB!$E:$E,0))</f>
        <v>1</v>
      </c>
      <c r="K237" s="38" t="str">
        <f>IF(OR($C237="01-09",$C237="10-14",$D237="Female"),"",INDEX(VMMC!$AA:$AA,MATCH($E237,VMMC!$E:$E,0)))</f>
        <v/>
      </c>
      <c r="L237" s="38">
        <f t="shared" si="100"/>
        <v>93</v>
      </c>
      <c r="M237" s="33">
        <f t="shared" si="101"/>
        <v>0.15254237288135594</v>
      </c>
      <c r="N237" s="33">
        <f t="shared" si="102"/>
        <v>5.0847457627118647E-2</v>
      </c>
      <c r="O237" s="33">
        <f t="shared" si="103"/>
        <v>8.4745762711864406E-3</v>
      </c>
      <c r="P237" s="33" t="str">
        <f t="shared" si="104"/>
        <v/>
      </c>
      <c r="Q237" s="33">
        <v>0.233333333333333</v>
      </c>
      <c r="R237" s="33"/>
      <c r="S237" s="33"/>
      <c r="T237" s="33">
        <v>0.05</v>
      </c>
      <c r="U237" s="33">
        <f t="shared" si="127"/>
        <v>0.50480225988700589</v>
      </c>
      <c r="V237" s="33">
        <f t="shared" si="105"/>
        <v>1</v>
      </c>
      <c r="W237" s="218"/>
      <c r="X237" s="33"/>
      <c r="Y237" s="218"/>
      <c r="Z237" s="218" t="str">
        <f t="shared" si="107"/>
        <v/>
      </c>
      <c r="AA237" s="33">
        <v>0.12</v>
      </c>
      <c r="AB237" s="218" t="str">
        <f t="shared" si="108"/>
        <v/>
      </c>
      <c r="AC237" s="218" t="str">
        <f t="shared" si="125"/>
        <v/>
      </c>
      <c r="AD237" s="33">
        <v>0.02</v>
      </c>
      <c r="AE237" s="218" t="str">
        <f t="shared" si="109"/>
        <v/>
      </c>
      <c r="AF237" s="218" t="str">
        <f t="shared" si="110"/>
        <v/>
      </c>
      <c r="AG237" s="33">
        <v>0.02</v>
      </c>
      <c r="AH237" s="218">
        <f t="shared" si="111"/>
        <v>6</v>
      </c>
      <c r="AI237" s="218">
        <f t="shared" si="112"/>
        <v>294</v>
      </c>
      <c r="AJ237" s="33">
        <v>2.1999999999999999E-2</v>
      </c>
      <c r="AK237" s="218">
        <f t="shared" si="113"/>
        <v>60</v>
      </c>
      <c r="AL237" s="218">
        <f t="shared" si="114"/>
        <v>2667</v>
      </c>
      <c r="AM237" s="38">
        <f t="shared" si="115"/>
        <v>118</v>
      </c>
      <c r="AN237" s="38">
        <f t="shared" si="116"/>
        <v>91</v>
      </c>
      <c r="AO237" s="38">
        <f t="shared" si="117"/>
        <v>-27</v>
      </c>
      <c r="AP237" s="38">
        <f>IF(OR($C237="01-09",$D237="Male"),"",INDEX(PMTCT!$AD:$AD,MATCH($E237,PMTCT!$E:$E,0)))</f>
        <v>1618</v>
      </c>
      <c r="AQ237" s="38">
        <f>IF(OR($C237="01-09",$D237="Male"),"",INDEX(PMTCT!$AT:$AT,MATCH($E237,PMTCT!$E:$E,0)))</f>
        <v>1612.0000000000002</v>
      </c>
      <c r="AR237" s="38">
        <f>INDEX(TB!$Q:$Q,MATCH($E237,TB!$E:$E,0))</f>
        <v>11</v>
      </c>
      <c r="AS237" s="38" t="str">
        <f>IF(OR($C237="01-09",$C237="10-14",$D237="Female"),"",INDEX(VMMC!$AB:$AB,MATCH($E237,VMMC!$E:$E,0)))</f>
        <v/>
      </c>
      <c r="AT237" s="38">
        <f>IF(OR($C237="01-09",$C237="10-14"),"",INDEX(PrEP!$Q:$Q,MATCH($E237,PrEP!$E:$E,0)))</f>
        <v>12</v>
      </c>
      <c r="AU237" s="38">
        <f t="shared" si="118"/>
        <v>6214</v>
      </c>
      <c r="AV237" s="38">
        <f t="shared" si="119"/>
        <v>6305</v>
      </c>
      <c r="AW237" s="33">
        <f t="shared" si="120"/>
        <v>1.443298969072165E-2</v>
      </c>
      <c r="AX237" s="38">
        <v>185</v>
      </c>
      <c r="AY237" s="33">
        <f t="shared" si="129"/>
        <v>0.68</v>
      </c>
      <c r="AZ237" s="218">
        <f t="shared" si="122"/>
        <v>311</v>
      </c>
      <c r="BA237" s="33">
        <v>0.21</v>
      </c>
      <c r="BB237" s="218">
        <f t="shared" si="124"/>
        <v>19</v>
      </c>
    </row>
    <row r="238" spans="1:54" x14ac:dyDescent="0.2">
      <c r="A238" t="str">
        <f>INDEX(Prioritization!$D:$D,MATCH($B238,Prioritization!$A:$A,0))</f>
        <v>4 - Sustained</v>
      </c>
      <c r="B238" t="s">
        <v>321</v>
      </c>
      <c r="C238" t="s">
        <v>476</v>
      </c>
      <c r="D238" t="s">
        <v>48</v>
      </c>
      <c r="E238" t="str">
        <f t="shared" si="99"/>
        <v>Neno District [gwVYinjBAe9]|25-34|Male</v>
      </c>
      <c r="F238" s="33">
        <f>IF(LEFT($B238,4)="_Mil","",INDEX(Cascade!$AA:$AA,MATCH($E238,Cascade!$E:$E,0)))</f>
        <v>0.90508178899999991</v>
      </c>
      <c r="G238" s="38">
        <f>INDEX(Cascade!$BH:$BH,MATCH($E238,Cascade!$E:$E,0))</f>
        <v>6</v>
      </c>
      <c r="H238" s="38" t="str">
        <f>IF(OR($C238="01-09",$D238="Male"),"",INDEX(PMTCT!$AC:$AC,MATCH($E238,PMTCT!$E:$E,0)))</f>
        <v/>
      </c>
      <c r="I238" s="38" t="str">
        <f>IF(OR($C238="01-09",$D238="Male"),"",INDEX(PMTCT!$AS:$AS,MATCH($E238,PMTCT!$E:$E,0)))</f>
        <v/>
      </c>
      <c r="J238" s="38">
        <f>INDEX(TB!$P:$P,MATCH($E238,TB!$E:$E,0))</f>
        <v>1</v>
      </c>
      <c r="K238" s="38" t="str">
        <f>IF(OR($C238="01-09",$C238="10-14",$D238="Female"),"",INDEX(VMMC!$AA:$AA,MATCH($E238,VMMC!$E:$E,0)))</f>
        <v/>
      </c>
      <c r="L238" s="38">
        <f t="shared" si="100"/>
        <v>5</v>
      </c>
      <c r="M238" s="33" t="str">
        <f t="shared" si="101"/>
        <v/>
      </c>
      <c r="N238" s="33" t="str">
        <f t="shared" si="102"/>
        <v/>
      </c>
      <c r="O238" s="33">
        <f t="shared" si="103"/>
        <v>0.16666666666666666</v>
      </c>
      <c r="P238" s="33">
        <f t="shared" si="104"/>
        <v>0</v>
      </c>
      <c r="Q238" s="33">
        <v>0.38888888888888901</v>
      </c>
      <c r="R238" s="33"/>
      <c r="S238" s="33"/>
      <c r="T238" s="33">
        <v>0.05</v>
      </c>
      <c r="U238" s="33">
        <f t="shared" si="127"/>
        <v>0.39444444444444426</v>
      </c>
      <c r="V238" s="33">
        <f t="shared" si="105"/>
        <v>1</v>
      </c>
      <c r="W238" s="218"/>
      <c r="X238" s="33"/>
      <c r="Y238" s="218"/>
      <c r="Z238" s="218" t="str">
        <f t="shared" si="107"/>
        <v/>
      </c>
      <c r="AA238" s="33">
        <v>0.12</v>
      </c>
      <c r="AB238" s="218" t="str">
        <f t="shared" si="108"/>
        <v/>
      </c>
      <c r="AC238" s="218" t="str">
        <f t="shared" si="125"/>
        <v/>
      </c>
      <c r="AD238" s="33">
        <v>0.02</v>
      </c>
      <c r="AE238" s="218" t="str">
        <f t="shared" si="109"/>
        <v/>
      </c>
      <c r="AF238" s="218" t="str">
        <f t="shared" si="110"/>
        <v/>
      </c>
      <c r="AG238" s="33">
        <v>0.02</v>
      </c>
      <c r="AH238" s="218">
        <f t="shared" si="111"/>
        <v>0</v>
      </c>
      <c r="AI238" s="218" t="str">
        <f t="shared" si="112"/>
        <v/>
      </c>
      <c r="AJ238" s="33">
        <v>2.5000000000000001E-2</v>
      </c>
      <c r="AK238" s="218">
        <f t="shared" si="113"/>
        <v>2</v>
      </c>
      <c r="AL238" s="218">
        <f t="shared" si="114"/>
        <v>78</v>
      </c>
      <c r="AM238" s="38">
        <f t="shared" si="115"/>
        <v>6</v>
      </c>
      <c r="AN238" s="38">
        <f t="shared" si="116"/>
        <v>3</v>
      </c>
      <c r="AO238" s="38">
        <f t="shared" si="117"/>
        <v>-3</v>
      </c>
      <c r="AP238" s="38" t="str">
        <f>IF(OR($C238="01-09",$D238="Male"),"",INDEX(PMTCT!$AD:$AD,MATCH($E238,PMTCT!$E:$E,0)))</f>
        <v/>
      </c>
      <c r="AQ238" s="38" t="str">
        <f>IF(OR($C238="01-09",$D238="Male"),"",INDEX(PMTCT!$AT:$AT,MATCH($E238,PMTCT!$E:$E,0)))</f>
        <v/>
      </c>
      <c r="AR238" s="38">
        <f>INDEX(TB!$Q:$Q,MATCH($E238,TB!$E:$E,0))</f>
        <v>16</v>
      </c>
      <c r="AS238" s="38" t="str">
        <f>IF(OR($C238="01-09",$C238="10-14",$D238="Female"),"",INDEX(VMMC!$AB:$AB,MATCH($E238,VMMC!$E:$E,0)))</f>
        <v/>
      </c>
      <c r="AT238" s="38" t="str">
        <f>IF(OR($C238="01-09",$C238="10-14"),"",INDEX(PrEP!$Q:$Q,MATCH($E238,PrEP!$E:$E,0)))</f>
        <v/>
      </c>
      <c r="AU238" s="38">
        <f t="shared" si="118"/>
        <v>94</v>
      </c>
      <c r="AV238" s="38">
        <f t="shared" si="119"/>
        <v>97</v>
      </c>
      <c r="AW238" s="33">
        <f t="shared" si="120"/>
        <v>3.0927835051546393E-2</v>
      </c>
      <c r="AX238" s="38">
        <v>9</v>
      </c>
      <c r="AY238" s="33">
        <f t="shared" si="129"/>
        <v>0.68</v>
      </c>
      <c r="AZ238" s="218">
        <f t="shared" si="122"/>
        <v>15</v>
      </c>
      <c r="BA238" s="33">
        <v>0.21</v>
      </c>
      <c r="BB238" s="218">
        <f t="shared" si="124"/>
        <v>1</v>
      </c>
    </row>
    <row r="239" spans="1:54" x14ac:dyDescent="0.2">
      <c r="A239" t="str">
        <f>INDEX(Prioritization!$D:$D,MATCH($B239,Prioritization!$A:$A,0))</f>
        <v>4 - Sustained</v>
      </c>
      <c r="B239" t="s">
        <v>321</v>
      </c>
      <c r="C239" t="s">
        <v>477</v>
      </c>
      <c r="D239" t="s">
        <v>30</v>
      </c>
      <c r="E239" t="str">
        <f t="shared" si="99"/>
        <v>Neno District [gwVYinjBAe9]|35-49|Female</v>
      </c>
      <c r="F239" s="33">
        <f>IF(LEFT($B239,4)="_Mil","",INDEX(Cascade!$AA:$AA,MATCH($E239,Cascade!$E:$E,0)))</f>
        <v>0.98782882500000002</v>
      </c>
      <c r="G239" s="38">
        <f>INDEX(Cascade!$BH:$BH,MATCH($E239,Cascade!$E:$E,0))</f>
        <v>58</v>
      </c>
      <c r="H239" s="38">
        <f>IF(OR($C239="01-09",$D239="Male"),"",INDEX(PMTCT!$AC:$AC,MATCH($E239,PMTCT!$E:$E,0)))</f>
        <v>5</v>
      </c>
      <c r="I239" s="38">
        <f>IF(OR($C239="01-09",$D239="Male"),"",INDEX(PMTCT!$AS:$AS,MATCH($E239,PMTCT!$E:$E,0)))</f>
        <v>2</v>
      </c>
      <c r="J239" s="38">
        <f>INDEX(TB!$P:$P,MATCH($E239,TB!$E:$E,0))</f>
        <v>1</v>
      </c>
      <c r="K239" s="38" t="str">
        <f>IF(OR($C239="01-09",$C239="10-14",$D239="Female"),"",INDEX(VMMC!$AA:$AA,MATCH($E239,VMMC!$E:$E,0)))</f>
        <v/>
      </c>
      <c r="L239" s="38">
        <f t="shared" si="100"/>
        <v>50</v>
      </c>
      <c r="M239" s="33">
        <f t="shared" si="101"/>
        <v>8.6206896551724144E-2</v>
      </c>
      <c r="N239" s="33">
        <f t="shared" si="102"/>
        <v>3.4482758620689655E-2</v>
      </c>
      <c r="O239" s="33">
        <f t="shared" si="103"/>
        <v>1.7241379310344827E-2</v>
      </c>
      <c r="P239" s="33" t="str">
        <f t="shared" si="104"/>
        <v/>
      </c>
      <c r="Q239" s="33">
        <v>0.26190476190476197</v>
      </c>
      <c r="R239" s="33"/>
      <c r="S239" s="33"/>
      <c r="T239" s="33">
        <v>0.05</v>
      </c>
      <c r="U239" s="33">
        <f t="shared" si="127"/>
        <v>0.55016420361247942</v>
      </c>
      <c r="V239" s="33">
        <f t="shared" si="105"/>
        <v>1</v>
      </c>
      <c r="W239" s="218"/>
      <c r="X239" s="33"/>
      <c r="Y239" s="218"/>
      <c r="Z239" s="218" t="str">
        <f t="shared" si="107"/>
        <v/>
      </c>
      <c r="AA239" s="33">
        <v>0.12</v>
      </c>
      <c r="AB239" s="218" t="str">
        <f t="shared" si="108"/>
        <v/>
      </c>
      <c r="AC239" s="218" t="str">
        <f t="shared" si="125"/>
        <v/>
      </c>
      <c r="AD239" s="33">
        <v>0.02</v>
      </c>
      <c r="AE239" s="218" t="str">
        <f t="shared" si="109"/>
        <v/>
      </c>
      <c r="AF239" s="218" t="str">
        <f t="shared" si="110"/>
        <v/>
      </c>
      <c r="AG239" s="33">
        <v>0.02</v>
      </c>
      <c r="AH239" s="218">
        <f t="shared" si="111"/>
        <v>3</v>
      </c>
      <c r="AI239" s="218">
        <f t="shared" si="112"/>
        <v>147</v>
      </c>
      <c r="AJ239" s="33">
        <v>0.02</v>
      </c>
      <c r="AK239" s="218">
        <f t="shared" si="113"/>
        <v>32</v>
      </c>
      <c r="AL239" s="218">
        <f t="shared" si="114"/>
        <v>1568</v>
      </c>
      <c r="AM239" s="38">
        <f t="shared" si="115"/>
        <v>58</v>
      </c>
      <c r="AN239" s="38">
        <f t="shared" si="116"/>
        <v>43</v>
      </c>
      <c r="AO239" s="38">
        <f t="shared" si="117"/>
        <v>-15</v>
      </c>
      <c r="AP239" s="38">
        <f>IF(OR($C239="01-09",$D239="Male"),"",INDEX(PMTCT!$AD:$AD,MATCH($E239,PMTCT!$E:$E,0)))</f>
        <v>497</v>
      </c>
      <c r="AQ239" s="38">
        <f>IF(OR($C239="01-09",$D239="Male"),"",INDEX(PMTCT!$AT:$AT,MATCH($E239,PMTCT!$E:$E,0)))</f>
        <v>494.99999999999994</v>
      </c>
      <c r="AR239" s="38">
        <f>INDEX(TB!$Q:$Q,MATCH($E239,TB!$E:$E,0))</f>
        <v>17</v>
      </c>
      <c r="AS239" s="38" t="str">
        <f>IF(OR($C239="01-09",$C239="10-14",$D239="Female"),"",INDEX(VMMC!$AB:$AB,MATCH($E239,VMMC!$E:$E,0)))</f>
        <v/>
      </c>
      <c r="AT239" s="38">
        <f>IF(OR($C239="01-09",$C239="10-14"),"",INDEX(PrEP!$Q:$Q,MATCH($E239,PrEP!$E:$E,0)))</f>
        <v>24</v>
      </c>
      <c r="AU239" s="38">
        <f t="shared" si="118"/>
        <v>2748</v>
      </c>
      <c r="AV239" s="38">
        <f t="shared" si="119"/>
        <v>2791</v>
      </c>
      <c r="AW239" s="33">
        <f t="shared" si="120"/>
        <v>1.5406664278036546E-2</v>
      </c>
      <c r="AX239" s="38">
        <v>18</v>
      </c>
      <c r="AY239" s="33">
        <f t="shared" si="129"/>
        <v>0.68</v>
      </c>
      <c r="AZ239" s="218">
        <f t="shared" si="122"/>
        <v>30</v>
      </c>
      <c r="BA239" s="33">
        <v>0.21</v>
      </c>
      <c r="BB239" s="218">
        <f t="shared" si="124"/>
        <v>9</v>
      </c>
    </row>
    <row r="240" spans="1:54" x14ac:dyDescent="0.2">
      <c r="A240" t="str">
        <f>INDEX(Prioritization!$D:$D,MATCH($B240,Prioritization!$A:$A,0))</f>
        <v>4 - Sustained</v>
      </c>
      <c r="B240" t="s">
        <v>321</v>
      </c>
      <c r="C240" t="s">
        <v>477</v>
      </c>
      <c r="D240" t="s">
        <v>48</v>
      </c>
      <c r="E240" t="str">
        <f t="shared" si="99"/>
        <v>Neno District [gwVYinjBAe9]|35-49|Male</v>
      </c>
      <c r="F240" s="33">
        <f>IF(LEFT($B240,4)="_Mil","",INDEX(Cascade!$AA:$AA,MATCH($E240,Cascade!$E:$E,0)))</f>
        <v>0.94254833299999985</v>
      </c>
      <c r="G240" s="38">
        <f>INDEX(Cascade!$BH:$BH,MATCH($E240,Cascade!$E:$E,0))</f>
        <v>25</v>
      </c>
      <c r="H240" s="38" t="str">
        <f>IF(OR($C240="01-09",$D240="Male"),"",INDEX(PMTCT!$AC:$AC,MATCH($E240,PMTCT!$E:$E,0)))</f>
        <v/>
      </c>
      <c r="I240" s="38" t="str">
        <f>IF(OR($C240="01-09",$D240="Male"),"",INDEX(PMTCT!$AS:$AS,MATCH($E240,PMTCT!$E:$E,0)))</f>
        <v/>
      </c>
      <c r="J240" s="38">
        <f>INDEX(TB!$P:$P,MATCH($E240,TB!$E:$E,0))</f>
        <v>2</v>
      </c>
      <c r="K240" s="38" t="str">
        <f>IF(OR($C240="01-09",$C240="10-14",$D240="Female"),"",INDEX(VMMC!$AA:$AA,MATCH($E240,VMMC!$E:$E,0)))</f>
        <v/>
      </c>
      <c r="L240" s="38">
        <f t="shared" si="100"/>
        <v>23</v>
      </c>
      <c r="M240" s="33" t="str">
        <f t="shared" si="101"/>
        <v/>
      </c>
      <c r="N240" s="33" t="str">
        <f t="shared" si="102"/>
        <v/>
      </c>
      <c r="O240" s="33">
        <f t="shared" si="103"/>
        <v>0.08</v>
      </c>
      <c r="P240" s="33">
        <f t="shared" si="104"/>
        <v>0</v>
      </c>
      <c r="Q240" s="33">
        <v>0.38235294117647101</v>
      </c>
      <c r="R240" s="33"/>
      <c r="S240" s="33"/>
      <c r="T240" s="33">
        <v>0.05</v>
      </c>
      <c r="U240" s="33">
        <f t="shared" si="127"/>
        <v>0.48764705882352899</v>
      </c>
      <c r="V240" s="33">
        <f t="shared" si="105"/>
        <v>1</v>
      </c>
      <c r="W240" s="218"/>
      <c r="X240" s="33"/>
      <c r="Y240" s="218"/>
      <c r="Z240" s="218" t="str">
        <f t="shared" si="107"/>
        <v/>
      </c>
      <c r="AA240" s="33">
        <v>0.12</v>
      </c>
      <c r="AB240" s="218" t="str">
        <f t="shared" si="108"/>
        <v/>
      </c>
      <c r="AC240" s="218" t="str">
        <f t="shared" si="125"/>
        <v/>
      </c>
      <c r="AD240" s="33">
        <v>0.02</v>
      </c>
      <c r="AE240" s="218" t="str">
        <f t="shared" si="109"/>
        <v/>
      </c>
      <c r="AF240" s="218" t="str">
        <f t="shared" si="110"/>
        <v/>
      </c>
      <c r="AG240" s="33">
        <v>0.02</v>
      </c>
      <c r="AH240" s="218">
        <f t="shared" si="111"/>
        <v>1</v>
      </c>
      <c r="AI240" s="218">
        <f t="shared" si="112"/>
        <v>49</v>
      </c>
      <c r="AJ240" s="33">
        <v>3.7999999999999999E-2</v>
      </c>
      <c r="AK240" s="218">
        <f t="shared" si="113"/>
        <v>12</v>
      </c>
      <c r="AL240" s="218">
        <f t="shared" si="114"/>
        <v>304</v>
      </c>
      <c r="AM240" s="38">
        <f t="shared" si="115"/>
        <v>25</v>
      </c>
      <c r="AN240" s="38">
        <f t="shared" si="116"/>
        <v>15</v>
      </c>
      <c r="AO240" s="38">
        <f t="shared" si="117"/>
        <v>-10</v>
      </c>
      <c r="AP240" s="38" t="str">
        <f>IF(OR($C240="01-09",$D240="Male"),"",INDEX(PMTCT!$AD:$AD,MATCH($E240,PMTCT!$E:$E,0)))</f>
        <v/>
      </c>
      <c r="AQ240" s="38" t="str">
        <f>IF(OR($C240="01-09",$D240="Male"),"",INDEX(PMTCT!$AT:$AT,MATCH($E240,PMTCT!$E:$E,0)))</f>
        <v/>
      </c>
      <c r="AR240" s="38">
        <f>INDEX(TB!$Q:$Q,MATCH($E240,TB!$E:$E,0))</f>
        <v>23</v>
      </c>
      <c r="AS240" s="38" t="str">
        <f>IF(OR($C240="01-09",$C240="10-14",$D240="Female"),"",INDEX(VMMC!$AB:$AB,MATCH($E240,VMMC!$E:$E,0)))</f>
        <v/>
      </c>
      <c r="AT240" s="38">
        <f>IF(OR($C240="01-09",$C240="10-14"),"",INDEX(PrEP!$Q:$Q,MATCH($E240,PrEP!$E:$E,0)))</f>
        <v>6</v>
      </c>
      <c r="AU240" s="38">
        <f t="shared" si="118"/>
        <v>382</v>
      </c>
      <c r="AV240" s="38">
        <f t="shared" si="119"/>
        <v>397</v>
      </c>
      <c r="AW240" s="33">
        <f t="shared" si="120"/>
        <v>3.7783375314861464E-2</v>
      </c>
      <c r="AX240" s="38">
        <v>10</v>
      </c>
      <c r="AY240" s="33">
        <f t="shared" si="129"/>
        <v>0.68</v>
      </c>
      <c r="AZ240" s="218">
        <f t="shared" si="122"/>
        <v>17</v>
      </c>
      <c r="BA240" s="33">
        <v>0.21</v>
      </c>
      <c r="BB240" s="218">
        <f t="shared" si="124"/>
        <v>3</v>
      </c>
    </row>
    <row r="241" spans="1:54" x14ac:dyDescent="0.2">
      <c r="A241" t="str">
        <f>INDEX(Prioritization!$D:$D,MATCH($B241,Prioritization!$A:$A,0))</f>
        <v>4 - Sustained</v>
      </c>
      <c r="B241" t="s">
        <v>321</v>
      </c>
      <c r="C241" t="s">
        <v>478</v>
      </c>
      <c r="D241" t="s">
        <v>30</v>
      </c>
      <c r="E241" t="str">
        <f t="shared" si="99"/>
        <v>Neno District [gwVYinjBAe9]|50+|Female</v>
      </c>
      <c r="F241" s="33">
        <f>IF(LEFT($B241,4)="_Mil","",INDEX(Cascade!$AA:$AA,MATCH($E241,Cascade!$E:$E,0)))</f>
        <v>0.99166011200000004</v>
      </c>
      <c r="G241" s="38">
        <f>INDEX(Cascade!$BH:$BH,MATCH($E241,Cascade!$E:$E,0))</f>
        <v>71</v>
      </c>
      <c r="H241" s="38" t="str">
        <f>IF(OR($C241="01-09",$D241="Male"),"",INDEX(PMTCT!$AC:$AC,MATCH($E241,PMTCT!$E:$E,0)))</f>
        <v/>
      </c>
      <c r="I241" s="38" t="str">
        <f>IF(OR($C241="01-09",$D241="Male"),"",INDEX(PMTCT!$AS:$AS,MATCH($E241,PMTCT!$E:$E,0)))</f>
        <v/>
      </c>
      <c r="J241" s="38">
        <f>INDEX(TB!$P:$P,MATCH($E241,TB!$E:$E,0))</f>
        <v>0</v>
      </c>
      <c r="K241" s="38" t="str">
        <f>IF(OR($C241="01-09",$C241="10-14",$D241="Female"),"",INDEX(VMMC!$AA:$AA,MATCH($E241,VMMC!$E:$E,0)))</f>
        <v/>
      </c>
      <c r="L241" s="38">
        <f t="shared" si="100"/>
        <v>71</v>
      </c>
      <c r="M241" s="33">
        <f t="shared" si="101"/>
        <v>0</v>
      </c>
      <c r="N241" s="33">
        <f t="shared" si="102"/>
        <v>0</v>
      </c>
      <c r="O241" s="33">
        <f t="shared" si="103"/>
        <v>0</v>
      </c>
      <c r="P241" s="33" t="str">
        <f t="shared" si="104"/>
        <v/>
      </c>
      <c r="Q241" s="33">
        <v>0.15</v>
      </c>
      <c r="R241" s="33"/>
      <c r="S241" s="33"/>
      <c r="T241" s="33">
        <v>0.05</v>
      </c>
      <c r="U241" s="33">
        <f t="shared" si="127"/>
        <v>0.8</v>
      </c>
      <c r="V241" s="33">
        <f t="shared" si="105"/>
        <v>1</v>
      </c>
      <c r="W241" s="218"/>
      <c r="X241" s="33"/>
      <c r="Y241" s="218"/>
      <c r="Z241" s="218" t="str">
        <f t="shared" si="107"/>
        <v/>
      </c>
      <c r="AA241" s="33">
        <v>0.12</v>
      </c>
      <c r="AB241" s="218" t="str">
        <f t="shared" si="108"/>
        <v/>
      </c>
      <c r="AC241" s="218" t="str">
        <f t="shared" si="125"/>
        <v/>
      </c>
      <c r="AD241" s="33">
        <v>0.02</v>
      </c>
      <c r="AE241" s="218" t="str">
        <f t="shared" si="109"/>
        <v/>
      </c>
      <c r="AF241" s="218" t="str">
        <f t="shared" si="110"/>
        <v/>
      </c>
      <c r="AG241" s="33">
        <v>0.02</v>
      </c>
      <c r="AH241" s="218">
        <f t="shared" si="111"/>
        <v>4</v>
      </c>
      <c r="AI241" s="218">
        <f t="shared" si="112"/>
        <v>196</v>
      </c>
      <c r="AJ241" s="33">
        <v>1.0999999999999999E-2</v>
      </c>
      <c r="AK241" s="218">
        <f t="shared" si="113"/>
        <v>57</v>
      </c>
      <c r="AL241" s="218">
        <f t="shared" si="114"/>
        <v>5125</v>
      </c>
      <c r="AM241" s="38">
        <f t="shared" si="115"/>
        <v>71</v>
      </c>
      <c r="AN241" s="38">
        <f t="shared" si="116"/>
        <v>61</v>
      </c>
      <c r="AO241" s="38">
        <f t="shared" si="117"/>
        <v>-10</v>
      </c>
      <c r="AP241" s="38" t="str">
        <f>IF(OR($C241="01-09",$D241="Male"),"",INDEX(PMTCT!$AD:$AD,MATCH($E241,PMTCT!$E:$E,0)))</f>
        <v/>
      </c>
      <c r="AQ241" s="38" t="str">
        <f>IF(OR($C241="01-09",$D241="Male"),"",INDEX(PMTCT!$AT:$AT,MATCH($E241,PMTCT!$E:$E,0)))</f>
        <v/>
      </c>
      <c r="AR241" s="38">
        <f>INDEX(TB!$Q:$Q,MATCH($E241,TB!$E:$E,0))</f>
        <v>6</v>
      </c>
      <c r="AS241" s="38" t="str">
        <f>IF(OR($C241="01-09",$C241="10-14",$D241="Female"),"",INDEX(VMMC!$AB:$AB,MATCH($E241,VMMC!$E:$E,0)))</f>
        <v/>
      </c>
      <c r="AT241" s="38">
        <f>IF(OR($C241="01-09",$C241="10-14"),"",INDEX(PrEP!$Q:$Q,MATCH($E241,PrEP!$E:$E,0)))</f>
        <v>6</v>
      </c>
      <c r="AU241" s="38">
        <f t="shared" si="118"/>
        <v>5333</v>
      </c>
      <c r="AV241" s="38">
        <f t="shared" si="119"/>
        <v>5394</v>
      </c>
      <c r="AW241" s="33">
        <f t="shared" si="120"/>
        <v>1.1308861698183166E-2</v>
      </c>
      <c r="AX241" s="38">
        <v>14</v>
      </c>
      <c r="AY241" s="33">
        <f t="shared" si="121"/>
        <v>0</v>
      </c>
      <c r="AZ241" s="218">
        <f t="shared" si="122"/>
        <v>14</v>
      </c>
      <c r="BA241" s="33">
        <v>0.21</v>
      </c>
      <c r="BB241" s="218">
        <f t="shared" si="124"/>
        <v>13</v>
      </c>
    </row>
    <row r="242" spans="1:54" x14ac:dyDescent="0.2">
      <c r="A242" t="str">
        <f>INDEX(Prioritization!$D:$D,MATCH($B242,Prioritization!$A:$A,0))</f>
        <v>4 - Sustained</v>
      </c>
      <c r="B242" t="s">
        <v>321</v>
      </c>
      <c r="C242" t="s">
        <v>478</v>
      </c>
      <c r="D242" t="s">
        <v>48</v>
      </c>
      <c r="E242" t="str">
        <f t="shared" si="99"/>
        <v>Neno District [gwVYinjBAe9]|50+|Male</v>
      </c>
      <c r="F242" s="33">
        <f>IF(LEFT($B242,4)="_Mil","",INDEX(Cascade!$AA:$AA,MATCH($E242,Cascade!$E:$E,0)))</f>
        <v>0.96101100399999995</v>
      </c>
      <c r="G242" s="38">
        <f>INDEX(Cascade!$BH:$BH,MATCH($E242,Cascade!$E:$E,0))</f>
        <v>28</v>
      </c>
      <c r="H242" s="38" t="str">
        <f>IF(OR($C242="01-09",$D242="Male"),"",INDEX(PMTCT!$AC:$AC,MATCH($E242,PMTCT!$E:$E,0)))</f>
        <v/>
      </c>
      <c r="I242" s="38" t="str">
        <f>IF(OR($C242="01-09",$D242="Male"),"",INDEX(PMTCT!$AS:$AS,MATCH($E242,PMTCT!$E:$E,0)))</f>
        <v/>
      </c>
      <c r="J242" s="38">
        <f>INDEX(TB!$P:$P,MATCH($E242,TB!$E:$E,0))</f>
        <v>0</v>
      </c>
      <c r="K242" s="38" t="str">
        <f>IF(OR($C242="01-09",$C242="10-14",$D242="Female"),"",INDEX(VMMC!$AA:$AA,MATCH($E242,VMMC!$E:$E,0)))</f>
        <v/>
      </c>
      <c r="L242" s="38">
        <f t="shared" si="100"/>
        <v>28</v>
      </c>
      <c r="M242" s="33" t="str">
        <f t="shared" si="101"/>
        <v/>
      </c>
      <c r="N242" s="33" t="str">
        <f t="shared" si="102"/>
        <v/>
      </c>
      <c r="O242" s="33">
        <f t="shared" si="103"/>
        <v>0</v>
      </c>
      <c r="P242" s="33">
        <f t="shared" si="104"/>
        <v>0</v>
      </c>
      <c r="Q242" s="33">
        <v>0.15</v>
      </c>
      <c r="R242" s="33"/>
      <c r="S242" s="33"/>
      <c r="T242" s="33">
        <v>0.05</v>
      </c>
      <c r="U242" s="33">
        <f t="shared" si="127"/>
        <v>0.8</v>
      </c>
      <c r="V242" s="33">
        <f t="shared" si="105"/>
        <v>1</v>
      </c>
      <c r="W242" s="218"/>
      <c r="X242" s="33"/>
      <c r="Y242" s="218"/>
      <c r="Z242" s="218" t="str">
        <f t="shared" si="107"/>
        <v/>
      </c>
      <c r="AA242" s="33">
        <v>0.12</v>
      </c>
      <c r="AB242" s="218" t="str">
        <f t="shared" si="108"/>
        <v/>
      </c>
      <c r="AC242" s="218" t="str">
        <f t="shared" si="125"/>
        <v/>
      </c>
      <c r="AD242" s="33">
        <v>0.02</v>
      </c>
      <c r="AE242" s="218" t="str">
        <f t="shared" si="109"/>
        <v/>
      </c>
      <c r="AF242" s="218" t="str">
        <f t="shared" si="110"/>
        <v/>
      </c>
      <c r="AG242" s="33">
        <v>0.02</v>
      </c>
      <c r="AH242" s="218">
        <f t="shared" si="111"/>
        <v>1</v>
      </c>
      <c r="AI242" s="218">
        <f t="shared" si="112"/>
        <v>49</v>
      </c>
      <c r="AJ242" s="33">
        <v>1.7000000000000001E-2</v>
      </c>
      <c r="AK242" s="218">
        <f t="shared" si="113"/>
        <v>22</v>
      </c>
      <c r="AL242" s="218">
        <f t="shared" si="114"/>
        <v>1272</v>
      </c>
      <c r="AM242" s="38">
        <f t="shared" si="115"/>
        <v>28</v>
      </c>
      <c r="AN242" s="38">
        <f t="shared" si="116"/>
        <v>23</v>
      </c>
      <c r="AO242" s="38">
        <f t="shared" si="117"/>
        <v>-5</v>
      </c>
      <c r="AP242" s="38" t="str">
        <f>IF(OR($C242="01-09",$D242="Male"),"",INDEX(PMTCT!$AD:$AD,MATCH($E242,PMTCT!$E:$E,0)))</f>
        <v/>
      </c>
      <c r="AQ242" s="38" t="str">
        <f>IF(OR($C242="01-09",$D242="Male"),"",INDEX(PMTCT!$AT:$AT,MATCH($E242,PMTCT!$E:$E,0)))</f>
        <v/>
      </c>
      <c r="AR242" s="38">
        <f>INDEX(TB!$Q:$Q,MATCH($E242,TB!$E:$E,0))</f>
        <v>8</v>
      </c>
      <c r="AS242" s="38" t="str">
        <f>IF(OR($C242="01-09",$C242="10-14",$D242="Female"),"",INDEX(VMMC!$AB:$AB,MATCH($E242,VMMC!$E:$E,0)))</f>
        <v/>
      </c>
      <c r="AT242" s="38" t="str">
        <f>IF(OR($C242="01-09",$C242="10-14"),"",INDEX(PrEP!$Q:$Q,MATCH($E242,PrEP!$E:$E,0)))</f>
        <v/>
      </c>
      <c r="AU242" s="38">
        <f t="shared" si="118"/>
        <v>1329</v>
      </c>
      <c r="AV242" s="38">
        <f t="shared" si="119"/>
        <v>1352</v>
      </c>
      <c r="AW242" s="33">
        <f t="shared" si="120"/>
        <v>1.7011834319526627E-2</v>
      </c>
      <c r="AX242" s="38">
        <v>8</v>
      </c>
      <c r="AY242" s="33">
        <f t="shared" si="121"/>
        <v>0</v>
      </c>
      <c r="AZ242" s="218">
        <f t="shared" si="122"/>
        <v>8</v>
      </c>
      <c r="BA242" s="33">
        <v>0.21</v>
      </c>
      <c r="BB242" s="218">
        <f t="shared" si="124"/>
        <v>5</v>
      </c>
    </row>
    <row r="243" spans="1:54" x14ac:dyDescent="0.2">
      <c r="A243" t="str">
        <f>INDEX(Prioritization!$D:$D,MATCH($B243,Prioritization!$A:$A,0))</f>
        <v>4 - Sustained</v>
      </c>
      <c r="B243" t="s">
        <v>311</v>
      </c>
      <c r="C243" t="s">
        <v>473</v>
      </c>
      <c r="D243" t="s">
        <v>30</v>
      </c>
      <c r="E243" t="str">
        <f t="shared" si="99"/>
        <v>Nkhata Bay District [E7zpfyBt7Tw]|01-09|Female</v>
      </c>
      <c r="F243" s="33">
        <f>IF(LEFT($B243,4)="_Mil","",INDEX(Cascade!$AA:$AA,MATCH($E243,Cascade!$E:$E,0)))</f>
        <v>0.65018489199999996</v>
      </c>
      <c r="G243" s="38">
        <f>INDEX(Cascade!$BH:$BH,MATCH($E243,Cascade!$E:$E,0))</f>
        <v>2</v>
      </c>
      <c r="H243" s="38" t="str">
        <f>IF(OR($C243="01-09",$D243="Male"),"",INDEX(PMTCT!$AC:$AC,MATCH($E243,PMTCT!$E:$E,0)))</f>
        <v/>
      </c>
      <c r="I243" s="38" t="str">
        <f>IF(OR($C243="01-09",$D243="Male"),"",INDEX(PMTCT!$AS:$AS,MATCH($E243,PMTCT!$E:$E,0)))</f>
        <v/>
      </c>
      <c r="J243" s="38">
        <f>INDEX(TB!$P:$P,MATCH($E243,TB!$E:$E,0))</f>
        <v>0</v>
      </c>
      <c r="K243" s="38" t="str">
        <f>IF(OR($C243="01-09",$C243="10-14",$D243="Female"),"",INDEX(VMMC!$AA:$AA,MATCH($E243,VMMC!$E:$E,0)))</f>
        <v/>
      </c>
      <c r="L243" s="38">
        <f t="shared" si="100"/>
        <v>2</v>
      </c>
      <c r="M243" s="33" t="str">
        <f t="shared" si="101"/>
        <v/>
      </c>
      <c r="N243" s="33" t="str">
        <f t="shared" si="102"/>
        <v/>
      </c>
      <c r="O243" s="33">
        <f t="shared" si="103"/>
        <v>0</v>
      </c>
      <c r="P243" s="33" t="str">
        <f t="shared" si="104"/>
        <v/>
      </c>
      <c r="Q243" s="33">
        <v>0.4</v>
      </c>
      <c r="R243" s="33"/>
      <c r="S243" s="33"/>
      <c r="T243" s="33"/>
      <c r="U243" s="33">
        <f t="shared" si="127"/>
        <v>0.6</v>
      </c>
      <c r="V243" s="33">
        <f t="shared" si="105"/>
        <v>1</v>
      </c>
      <c r="W243" s="218"/>
      <c r="X243" s="33"/>
      <c r="Y243" s="218"/>
      <c r="Z243" s="218" t="str">
        <f t="shared" si="107"/>
        <v/>
      </c>
      <c r="AA243" s="33">
        <v>0.12</v>
      </c>
      <c r="AB243" s="218" t="str">
        <f t="shared" si="108"/>
        <v/>
      </c>
      <c r="AC243" s="218" t="str">
        <f t="shared" si="125"/>
        <v/>
      </c>
      <c r="AD243" s="33">
        <v>0.02</v>
      </c>
      <c r="AE243" s="218" t="str">
        <f t="shared" si="109"/>
        <v/>
      </c>
      <c r="AF243" s="218" t="str">
        <f t="shared" si="110"/>
        <v/>
      </c>
      <c r="AG243" s="33">
        <v>0.02</v>
      </c>
      <c r="AH243" s="218" t="str">
        <f t="shared" si="111"/>
        <v/>
      </c>
      <c r="AI243" s="218" t="str">
        <f t="shared" si="112"/>
        <v/>
      </c>
      <c r="AJ243" s="33">
        <v>1.0999999999999999E-2</v>
      </c>
      <c r="AK243" s="218">
        <f t="shared" si="113"/>
        <v>1</v>
      </c>
      <c r="AL243" s="218">
        <f t="shared" si="114"/>
        <v>90</v>
      </c>
      <c r="AM243" s="38">
        <f t="shared" si="115"/>
        <v>2</v>
      </c>
      <c r="AN243" s="38">
        <f t="shared" si="116"/>
        <v>1</v>
      </c>
      <c r="AO243" s="38">
        <f t="shared" si="117"/>
        <v>-1</v>
      </c>
      <c r="AP243" s="38" t="str">
        <f>IF(OR($C243="01-09",$D243="Male"),"",INDEX(PMTCT!$AD:$AD,MATCH($E243,PMTCT!$E:$E,0)))</f>
        <v/>
      </c>
      <c r="AQ243" s="38" t="str">
        <f>IF(OR($C243="01-09",$D243="Male"),"",INDEX(PMTCT!$AT:$AT,MATCH($E243,PMTCT!$E:$E,0)))</f>
        <v/>
      </c>
      <c r="AR243" s="38">
        <f>INDEX(TB!$Q:$Q,MATCH($E243,TB!$E:$E,0))</f>
        <v>3</v>
      </c>
      <c r="AS243" s="38" t="str">
        <f>IF(OR($C243="01-09",$C243="10-14",$D243="Female"),"",INDEX(VMMC!$AB:$AB,MATCH($E243,VMMC!$E:$E,0)))</f>
        <v/>
      </c>
      <c r="AT243" s="38" t="str">
        <f>IF(OR($C243="01-09",$C243="10-14"),"",INDEX(PrEP!$Q:$Q,MATCH($E243,PrEP!$E:$E,0)))</f>
        <v/>
      </c>
      <c r="AU243" s="38">
        <f t="shared" si="118"/>
        <v>92.999999999999986</v>
      </c>
      <c r="AV243" s="38">
        <f t="shared" si="119"/>
        <v>93.999999999999986</v>
      </c>
      <c r="AW243" s="33">
        <f t="shared" si="120"/>
        <v>1.0638297872340427E-2</v>
      </c>
      <c r="AX243" s="38"/>
      <c r="AY243" s="33" t="str">
        <f t="shared" si="121"/>
        <v/>
      </c>
      <c r="AZ243" s="218" t="str">
        <f t="shared" si="122"/>
        <v/>
      </c>
      <c r="BA243" s="33" t="str">
        <f t="shared" si="123"/>
        <v/>
      </c>
      <c r="BB243" s="218" t="str">
        <f t="shared" si="124"/>
        <v/>
      </c>
    </row>
    <row r="244" spans="1:54" x14ac:dyDescent="0.2">
      <c r="A244" t="str">
        <f>INDEX(Prioritization!$D:$D,MATCH($B244,Prioritization!$A:$A,0))</f>
        <v>4 - Sustained</v>
      </c>
      <c r="B244" t="s">
        <v>311</v>
      </c>
      <c r="C244" t="s">
        <v>473</v>
      </c>
      <c r="D244" t="s">
        <v>48</v>
      </c>
      <c r="E244" t="str">
        <f t="shared" si="99"/>
        <v>Nkhata Bay District [E7zpfyBt7Tw]|01-09|Male</v>
      </c>
      <c r="F244" s="33">
        <f>IF(LEFT($B244,4)="_Mil","",INDEX(Cascade!$AA:$AA,MATCH($E244,Cascade!$E:$E,0)))</f>
        <v>0.65033589300000005</v>
      </c>
      <c r="G244" s="38">
        <f>INDEX(Cascade!$BH:$BH,MATCH($E244,Cascade!$E:$E,0))</f>
        <v>2</v>
      </c>
      <c r="H244" s="38" t="str">
        <f>IF(OR($C244="01-09",$D244="Male"),"",INDEX(PMTCT!$AC:$AC,MATCH($E244,PMTCT!$E:$E,0)))</f>
        <v/>
      </c>
      <c r="I244" s="38" t="str">
        <f>IF(OR($C244="01-09",$D244="Male"),"",INDEX(PMTCT!$AS:$AS,MATCH($E244,PMTCT!$E:$E,0)))</f>
        <v/>
      </c>
      <c r="J244" s="38">
        <f>INDEX(TB!$P:$P,MATCH($E244,TB!$E:$E,0))</f>
        <v>0</v>
      </c>
      <c r="K244" s="38" t="str">
        <f>IF(OR($C244="01-09",$C244="10-14",$D244="Female"),"",INDEX(VMMC!$AA:$AA,MATCH($E244,VMMC!$E:$E,0)))</f>
        <v/>
      </c>
      <c r="L244" s="38">
        <f t="shared" si="100"/>
        <v>2</v>
      </c>
      <c r="M244" s="33" t="str">
        <f t="shared" si="101"/>
        <v/>
      </c>
      <c r="N244" s="33" t="str">
        <f t="shared" si="102"/>
        <v/>
      </c>
      <c r="O244" s="33">
        <f t="shared" si="103"/>
        <v>0</v>
      </c>
      <c r="P244" s="33" t="str">
        <f t="shared" si="104"/>
        <v/>
      </c>
      <c r="Q244" s="33">
        <v>0.4</v>
      </c>
      <c r="R244" s="33"/>
      <c r="S244" s="33"/>
      <c r="T244" s="33"/>
      <c r="U244" s="33">
        <f t="shared" si="127"/>
        <v>0.6</v>
      </c>
      <c r="V244" s="33">
        <f t="shared" si="105"/>
        <v>1</v>
      </c>
      <c r="W244" s="218"/>
      <c r="X244" s="33"/>
      <c r="Y244" s="218"/>
      <c r="Z244" s="218" t="str">
        <f t="shared" si="107"/>
        <v/>
      </c>
      <c r="AA244" s="33">
        <v>0.12</v>
      </c>
      <c r="AB244" s="218" t="str">
        <f t="shared" si="108"/>
        <v/>
      </c>
      <c r="AC244" s="218" t="str">
        <f t="shared" si="125"/>
        <v/>
      </c>
      <c r="AD244" s="33">
        <v>0.02</v>
      </c>
      <c r="AE244" s="218" t="str">
        <f t="shared" si="109"/>
        <v/>
      </c>
      <c r="AF244" s="218" t="str">
        <f t="shared" si="110"/>
        <v/>
      </c>
      <c r="AG244" s="33">
        <v>0.02</v>
      </c>
      <c r="AH244" s="218" t="str">
        <f t="shared" si="111"/>
        <v/>
      </c>
      <c r="AI244" s="218" t="str">
        <f t="shared" si="112"/>
        <v/>
      </c>
      <c r="AJ244" s="33">
        <v>0.01</v>
      </c>
      <c r="AK244" s="218">
        <f t="shared" si="113"/>
        <v>1</v>
      </c>
      <c r="AL244" s="218">
        <f t="shared" si="114"/>
        <v>99</v>
      </c>
      <c r="AM244" s="38">
        <f t="shared" si="115"/>
        <v>2</v>
      </c>
      <c r="AN244" s="38">
        <f t="shared" si="116"/>
        <v>1</v>
      </c>
      <c r="AO244" s="38">
        <f t="shared" si="117"/>
        <v>-1</v>
      </c>
      <c r="AP244" s="38" t="str">
        <f>IF(OR($C244="01-09",$D244="Male"),"",INDEX(PMTCT!$AD:$AD,MATCH($E244,PMTCT!$E:$E,0)))</f>
        <v/>
      </c>
      <c r="AQ244" s="38" t="str">
        <f>IF(OR($C244="01-09",$D244="Male"),"",INDEX(PMTCT!$AT:$AT,MATCH($E244,PMTCT!$E:$E,0)))</f>
        <v/>
      </c>
      <c r="AR244" s="38">
        <f>INDEX(TB!$Q:$Q,MATCH($E244,TB!$E:$E,0))</f>
        <v>3</v>
      </c>
      <c r="AS244" s="38" t="str">
        <f>IF(OR($C244="01-09",$C244="10-14",$D244="Female"),"",INDEX(VMMC!$AB:$AB,MATCH($E244,VMMC!$E:$E,0)))</f>
        <v/>
      </c>
      <c r="AT244" s="38" t="str">
        <f>IF(OR($C244="01-09",$C244="10-14"),"",INDEX(PrEP!$Q:$Q,MATCH($E244,PrEP!$E:$E,0)))</f>
        <v/>
      </c>
      <c r="AU244" s="38">
        <f t="shared" si="118"/>
        <v>102</v>
      </c>
      <c r="AV244" s="38">
        <f t="shared" si="119"/>
        <v>103.00000000000001</v>
      </c>
      <c r="AW244" s="33">
        <f t="shared" si="120"/>
        <v>9.7087378640776691E-3</v>
      </c>
      <c r="AX244" s="38"/>
      <c r="AY244" s="33" t="str">
        <f t="shared" si="121"/>
        <v/>
      </c>
      <c r="AZ244" s="218" t="str">
        <f t="shared" si="122"/>
        <v/>
      </c>
      <c r="BA244" s="33" t="str">
        <f t="shared" si="123"/>
        <v/>
      </c>
      <c r="BB244" s="218" t="str">
        <f t="shared" si="124"/>
        <v/>
      </c>
    </row>
    <row r="245" spans="1:54" x14ac:dyDescent="0.2">
      <c r="A245" t="str">
        <f>INDEX(Prioritization!$D:$D,MATCH($B245,Prioritization!$A:$A,0))</f>
        <v>4 - Sustained</v>
      </c>
      <c r="B245" t="s">
        <v>311</v>
      </c>
      <c r="C245" t="s">
        <v>474</v>
      </c>
      <c r="D245" t="s">
        <v>30</v>
      </c>
      <c r="E245" t="str">
        <f t="shared" si="99"/>
        <v>Nkhata Bay District [E7zpfyBt7Tw]|10-14|Female</v>
      </c>
      <c r="F245" s="33">
        <f>IF(LEFT($B245,4)="_Mil","",INDEX(Cascade!$AA:$AA,MATCH($E245,Cascade!$E:$E,0)))</f>
        <v>0.69107622199999996</v>
      </c>
      <c r="G245" s="38">
        <f>INDEX(Cascade!$BH:$BH,MATCH($E245,Cascade!$E:$E,0))</f>
        <v>13</v>
      </c>
      <c r="H245" s="38">
        <f>IF(OR($C245="01-09",$D245="Male"),"",INDEX(PMTCT!$AC:$AC,MATCH($E245,PMTCT!$E:$E,0)))</f>
        <v>0</v>
      </c>
      <c r="I245" s="38">
        <f>IF(OR($C245="01-09",$D245="Male"),"",INDEX(PMTCT!$AS:$AS,MATCH($E245,PMTCT!$E:$E,0)))</f>
        <v>0</v>
      </c>
      <c r="J245" s="38">
        <f>INDEX(TB!$P:$P,MATCH($E245,TB!$E:$E,0))</f>
        <v>0</v>
      </c>
      <c r="K245" s="38" t="str">
        <f>IF(OR($C245="01-09",$C245="10-14",$D245="Female"),"",INDEX(VMMC!$AA:$AA,MATCH($E245,VMMC!$E:$E,0)))</f>
        <v/>
      </c>
      <c r="L245" s="38">
        <f t="shared" si="100"/>
        <v>13</v>
      </c>
      <c r="M245" s="33">
        <f t="shared" si="101"/>
        <v>0</v>
      </c>
      <c r="N245" s="33">
        <f t="shared" si="102"/>
        <v>0</v>
      </c>
      <c r="O245" s="33">
        <f t="shared" si="103"/>
        <v>0</v>
      </c>
      <c r="P245" s="33" t="str">
        <f t="shared" si="104"/>
        <v/>
      </c>
      <c r="Q245" s="33">
        <v>0.42857142857142899</v>
      </c>
      <c r="R245" s="33"/>
      <c r="S245" s="33"/>
      <c r="T245" s="33"/>
      <c r="U245" s="33">
        <f t="shared" si="127"/>
        <v>0.57142857142857095</v>
      </c>
      <c r="V245" s="33">
        <f t="shared" si="105"/>
        <v>1</v>
      </c>
      <c r="W245" s="218"/>
      <c r="X245" s="33"/>
      <c r="Y245" s="218"/>
      <c r="Z245" s="218" t="str">
        <f t="shared" si="107"/>
        <v/>
      </c>
      <c r="AA245" s="33">
        <v>0.12</v>
      </c>
      <c r="AB245" s="218" t="str">
        <f t="shared" si="108"/>
        <v/>
      </c>
      <c r="AC245" s="218" t="str">
        <f t="shared" si="125"/>
        <v/>
      </c>
      <c r="AD245" s="33">
        <v>0.02</v>
      </c>
      <c r="AE245" s="218" t="str">
        <f t="shared" si="109"/>
        <v/>
      </c>
      <c r="AF245" s="218" t="str">
        <f t="shared" si="110"/>
        <v/>
      </c>
      <c r="AG245" s="33">
        <v>0.02</v>
      </c>
      <c r="AH245" s="218" t="str">
        <f t="shared" si="111"/>
        <v/>
      </c>
      <c r="AI245" s="218" t="str">
        <f t="shared" si="112"/>
        <v/>
      </c>
      <c r="AJ245" s="33">
        <v>0.01</v>
      </c>
      <c r="AK245" s="218">
        <f t="shared" si="113"/>
        <v>7</v>
      </c>
      <c r="AL245" s="218">
        <f t="shared" si="114"/>
        <v>693</v>
      </c>
      <c r="AM245" s="38">
        <f t="shared" si="115"/>
        <v>13</v>
      </c>
      <c r="AN245" s="38">
        <f t="shared" si="116"/>
        <v>7</v>
      </c>
      <c r="AO245" s="38">
        <f t="shared" si="117"/>
        <v>-6</v>
      </c>
      <c r="AP245" s="38">
        <f>IF(OR($C245="01-09",$D245="Male"),"",INDEX(PMTCT!$AD:$AD,MATCH($E245,PMTCT!$E:$E,0)))</f>
        <v>27</v>
      </c>
      <c r="AQ245" s="38">
        <f>IF(OR($C245="01-09",$D245="Male"),"",INDEX(PMTCT!$AT:$AT,MATCH($E245,PMTCT!$E:$E,0)))</f>
        <v>27</v>
      </c>
      <c r="AR245" s="38">
        <f>INDEX(TB!$Q:$Q,MATCH($E245,TB!$E:$E,0))</f>
        <v>2</v>
      </c>
      <c r="AS245" s="38" t="str">
        <f>IF(OR($C245="01-09",$C245="10-14",$D245="Female"),"",INDEX(VMMC!$AB:$AB,MATCH($E245,VMMC!$E:$E,0)))</f>
        <v/>
      </c>
      <c r="AT245" s="38" t="str">
        <f>IF(OR($C245="01-09",$C245="10-14"),"",INDEX(PrEP!$Q:$Q,MATCH($E245,PrEP!$E:$E,0)))</f>
        <v/>
      </c>
      <c r="AU245" s="38">
        <f t="shared" si="118"/>
        <v>749</v>
      </c>
      <c r="AV245" s="38">
        <f t="shared" si="119"/>
        <v>756</v>
      </c>
      <c r="AW245" s="33">
        <f t="shared" si="120"/>
        <v>9.2592592592592587E-3</v>
      </c>
      <c r="AX245" s="38"/>
      <c r="AY245" s="33" t="str">
        <f t="shared" si="121"/>
        <v/>
      </c>
      <c r="AZ245" s="218" t="str">
        <f t="shared" si="122"/>
        <v/>
      </c>
      <c r="BA245" s="33" t="str">
        <f t="shared" si="123"/>
        <v/>
      </c>
      <c r="BB245" s="218" t="str">
        <f t="shared" si="124"/>
        <v/>
      </c>
    </row>
    <row r="246" spans="1:54" x14ac:dyDescent="0.2">
      <c r="A246" t="str">
        <f>INDEX(Prioritization!$D:$D,MATCH($B246,Prioritization!$A:$A,0))</f>
        <v>4 - Sustained</v>
      </c>
      <c r="B246" t="s">
        <v>311</v>
      </c>
      <c r="C246" t="s">
        <v>474</v>
      </c>
      <c r="D246" t="s">
        <v>48</v>
      </c>
      <c r="E246" t="str">
        <f t="shared" si="99"/>
        <v>Nkhata Bay District [E7zpfyBt7Tw]|10-14|Male</v>
      </c>
      <c r="F246" s="33">
        <f>IF(LEFT($B246,4)="_Mil","",INDEX(Cascade!$AA:$AA,MATCH($E246,Cascade!$E:$E,0)))</f>
        <v>0.69084721699999996</v>
      </c>
      <c r="G246" s="38">
        <f>INDEX(Cascade!$BH:$BH,MATCH($E246,Cascade!$E:$E,0))</f>
        <v>2</v>
      </c>
      <c r="H246" s="38" t="str">
        <f>IF(OR($C246="01-09",$D246="Male"),"",INDEX(PMTCT!$AC:$AC,MATCH($E246,PMTCT!$E:$E,0)))</f>
        <v/>
      </c>
      <c r="I246" s="38" t="str">
        <f>IF(OR($C246="01-09",$D246="Male"),"",INDEX(PMTCT!$AS:$AS,MATCH($E246,PMTCT!$E:$E,0)))</f>
        <v/>
      </c>
      <c r="J246" s="38">
        <f>INDEX(TB!$P:$P,MATCH($E246,TB!$E:$E,0))</f>
        <v>0</v>
      </c>
      <c r="K246" s="38" t="str">
        <f>IF(OR($C246="01-09",$C246="10-14",$D246="Female"),"",INDEX(VMMC!$AA:$AA,MATCH($E246,VMMC!$E:$E,0)))</f>
        <v/>
      </c>
      <c r="L246" s="38">
        <f t="shared" si="100"/>
        <v>2</v>
      </c>
      <c r="M246" s="33" t="str">
        <f t="shared" si="101"/>
        <v/>
      </c>
      <c r="N246" s="33" t="str">
        <f t="shared" si="102"/>
        <v/>
      </c>
      <c r="O246" s="33">
        <f t="shared" si="103"/>
        <v>0</v>
      </c>
      <c r="P246" s="33" t="str">
        <f t="shared" si="104"/>
        <v/>
      </c>
      <c r="Q246" s="33">
        <v>0.6</v>
      </c>
      <c r="R246" s="33"/>
      <c r="S246" s="33"/>
      <c r="T246" s="33"/>
      <c r="U246" s="33">
        <f t="shared" si="127"/>
        <v>0.4</v>
      </c>
      <c r="V246" s="33">
        <f t="shared" si="105"/>
        <v>1</v>
      </c>
      <c r="W246" s="218"/>
      <c r="X246" s="33"/>
      <c r="Y246" s="218"/>
      <c r="Z246" s="218" t="str">
        <f t="shared" si="107"/>
        <v/>
      </c>
      <c r="AA246" s="33">
        <v>0.12</v>
      </c>
      <c r="AB246" s="218" t="str">
        <f t="shared" si="108"/>
        <v/>
      </c>
      <c r="AC246" s="218" t="str">
        <f t="shared" si="125"/>
        <v/>
      </c>
      <c r="AD246" s="33">
        <v>0.02</v>
      </c>
      <c r="AE246" s="218" t="str">
        <f t="shared" si="109"/>
        <v/>
      </c>
      <c r="AF246" s="218" t="str">
        <f t="shared" si="110"/>
        <v/>
      </c>
      <c r="AG246" s="33">
        <v>0.02</v>
      </c>
      <c r="AH246" s="218" t="str">
        <f t="shared" si="111"/>
        <v/>
      </c>
      <c r="AI246" s="218" t="str">
        <f t="shared" si="112"/>
        <v/>
      </c>
      <c r="AJ246" s="33">
        <v>0.01</v>
      </c>
      <c r="AK246" s="218">
        <f t="shared" si="113"/>
        <v>1</v>
      </c>
      <c r="AL246" s="218">
        <f t="shared" si="114"/>
        <v>99</v>
      </c>
      <c r="AM246" s="38">
        <f t="shared" si="115"/>
        <v>2</v>
      </c>
      <c r="AN246" s="38">
        <f t="shared" si="116"/>
        <v>1</v>
      </c>
      <c r="AO246" s="38">
        <f t="shared" si="117"/>
        <v>-1</v>
      </c>
      <c r="AP246" s="38" t="str">
        <f>IF(OR($C246="01-09",$D246="Male"),"",INDEX(PMTCT!$AD:$AD,MATCH($E246,PMTCT!$E:$E,0)))</f>
        <v/>
      </c>
      <c r="AQ246" s="38" t="str">
        <f>IF(OR($C246="01-09",$D246="Male"),"",INDEX(PMTCT!$AT:$AT,MATCH($E246,PMTCT!$E:$E,0)))</f>
        <v/>
      </c>
      <c r="AR246" s="38">
        <f>INDEX(TB!$Q:$Q,MATCH($E246,TB!$E:$E,0))</f>
        <v>2</v>
      </c>
      <c r="AS246" s="38" t="str">
        <f>IF(OR($C246="01-09",$C246="10-14",$D246="Female"),"",INDEX(VMMC!$AB:$AB,MATCH($E246,VMMC!$E:$E,0)))</f>
        <v/>
      </c>
      <c r="AT246" s="38" t="str">
        <f>IF(OR($C246="01-09",$C246="10-14"),"",INDEX(PrEP!$Q:$Q,MATCH($E246,PrEP!$E:$E,0)))</f>
        <v/>
      </c>
      <c r="AU246" s="38">
        <f t="shared" si="118"/>
        <v>101</v>
      </c>
      <c r="AV246" s="38">
        <f t="shared" si="119"/>
        <v>102</v>
      </c>
      <c r="AW246" s="33">
        <f t="shared" si="120"/>
        <v>9.8039215686274508E-3</v>
      </c>
      <c r="AX246" s="38"/>
      <c r="AY246" s="33" t="str">
        <f t="shared" si="121"/>
        <v/>
      </c>
      <c r="AZ246" s="218" t="str">
        <f t="shared" si="122"/>
        <v/>
      </c>
      <c r="BA246" s="33" t="str">
        <f t="shared" si="123"/>
        <v/>
      </c>
      <c r="BB246" s="218" t="str">
        <f t="shared" si="124"/>
        <v/>
      </c>
    </row>
    <row r="247" spans="1:54" x14ac:dyDescent="0.2">
      <c r="A247" t="str">
        <f>INDEX(Prioritization!$D:$D,MATCH($B247,Prioritization!$A:$A,0))</f>
        <v>4 - Sustained</v>
      </c>
      <c r="B247" t="s">
        <v>311</v>
      </c>
      <c r="C247" t="s">
        <v>475</v>
      </c>
      <c r="D247" t="s">
        <v>30</v>
      </c>
      <c r="E247" t="str">
        <f t="shared" si="99"/>
        <v>Nkhata Bay District [E7zpfyBt7Tw]|15-24|Female</v>
      </c>
      <c r="F247" s="33">
        <f>IF(LEFT($B247,4)="_Mil","",INDEX(Cascade!$AA:$AA,MATCH($E247,Cascade!$E:$E,0)))</f>
        <v>0.93130131999999988</v>
      </c>
      <c r="G247" s="38">
        <f>INDEX(Cascade!$BH:$BH,MATCH($E247,Cascade!$E:$E,0))</f>
        <v>94</v>
      </c>
      <c r="H247" s="38">
        <f>IF(OR($C247="01-09",$D247="Male"),"",INDEX(PMTCT!$AC:$AC,MATCH($E247,PMTCT!$E:$E,0)))</f>
        <v>42</v>
      </c>
      <c r="I247" s="38">
        <f>IF(OR($C247="01-09",$D247="Male"),"",INDEX(PMTCT!$AS:$AS,MATCH($E247,PMTCT!$E:$E,0)))</f>
        <v>19</v>
      </c>
      <c r="J247" s="38">
        <f>INDEX(TB!$P:$P,MATCH($E247,TB!$E:$E,0))</f>
        <v>1</v>
      </c>
      <c r="K247" s="38" t="str">
        <f>IF(OR($C247="01-09",$C247="10-14",$D247="Female"),"",INDEX(VMMC!$AA:$AA,MATCH($E247,VMMC!$E:$E,0)))</f>
        <v/>
      </c>
      <c r="L247" s="38">
        <f t="shared" si="100"/>
        <v>32</v>
      </c>
      <c r="M247" s="33">
        <f t="shared" si="101"/>
        <v>0.44680851063829785</v>
      </c>
      <c r="N247" s="33">
        <f t="shared" si="102"/>
        <v>0.20212765957446807</v>
      </c>
      <c r="O247" s="33">
        <f t="shared" si="103"/>
        <v>1.0638297872340425E-2</v>
      </c>
      <c r="P247" s="33" t="str">
        <f t="shared" si="104"/>
        <v/>
      </c>
      <c r="Q247" s="33">
        <v>0.15</v>
      </c>
      <c r="R247" s="33"/>
      <c r="S247" s="33"/>
      <c r="T247" s="33">
        <v>0.05</v>
      </c>
      <c r="U247" s="33">
        <f t="shared" si="127"/>
        <v>0.1404255319148936</v>
      </c>
      <c r="V247" s="33">
        <f t="shared" si="105"/>
        <v>1</v>
      </c>
      <c r="W247" s="218"/>
      <c r="X247" s="33"/>
      <c r="Y247" s="218"/>
      <c r="Z247" s="218" t="str">
        <f t="shared" si="107"/>
        <v/>
      </c>
      <c r="AA247" s="33">
        <v>0.12</v>
      </c>
      <c r="AB247" s="218" t="str">
        <f t="shared" si="108"/>
        <v/>
      </c>
      <c r="AC247" s="218" t="str">
        <f t="shared" si="125"/>
        <v/>
      </c>
      <c r="AD247" s="33">
        <v>0.02</v>
      </c>
      <c r="AE247" s="218" t="str">
        <f t="shared" si="109"/>
        <v/>
      </c>
      <c r="AF247" s="218" t="str">
        <f t="shared" si="110"/>
        <v/>
      </c>
      <c r="AG247" s="33">
        <v>0.02</v>
      </c>
      <c r="AH247" s="218">
        <f t="shared" si="111"/>
        <v>5</v>
      </c>
      <c r="AI247" s="218">
        <f t="shared" si="112"/>
        <v>245</v>
      </c>
      <c r="AJ247" s="33">
        <v>2.7000000000000001E-3</v>
      </c>
      <c r="AK247" s="218">
        <f t="shared" si="113"/>
        <v>13</v>
      </c>
      <c r="AL247" s="218">
        <f t="shared" si="114"/>
        <v>4802</v>
      </c>
      <c r="AM247" s="38">
        <f t="shared" si="115"/>
        <v>94</v>
      </c>
      <c r="AN247" s="38">
        <f t="shared" si="116"/>
        <v>80</v>
      </c>
      <c r="AO247" s="38">
        <f t="shared" si="117"/>
        <v>-14</v>
      </c>
      <c r="AP247" s="38">
        <f>IF(OR($C247="01-09",$D247="Male"),"",INDEX(PMTCT!$AD:$AD,MATCH($E247,PMTCT!$E:$E,0)))</f>
        <v>4734</v>
      </c>
      <c r="AQ247" s="38">
        <f>IF(OR($C247="01-09",$D247="Male"),"",INDEX(PMTCT!$AT:$AT,MATCH($E247,PMTCT!$E:$E,0)))</f>
        <v>4715</v>
      </c>
      <c r="AR247" s="38">
        <f>INDEX(TB!$Q:$Q,MATCH($E247,TB!$E:$E,0))</f>
        <v>8</v>
      </c>
      <c r="AS247" s="38" t="str">
        <f>IF(OR($C247="01-09",$C247="10-14",$D247="Female"),"",INDEX(VMMC!$AB:$AB,MATCH($E247,VMMC!$E:$E,0)))</f>
        <v/>
      </c>
      <c r="AT247" s="38">
        <f>IF(OR($C247="01-09",$C247="10-14"),"",INDEX(PrEP!$Q:$Q,MATCH($E247,PrEP!$E:$E,0)))</f>
        <v>54</v>
      </c>
      <c r="AU247" s="38">
        <f t="shared" si="118"/>
        <v>14558.000000000002</v>
      </c>
      <c r="AV247" s="38">
        <f t="shared" si="119"/>
        <v>14638.000000000002</v>
      </c>
      <c r="AW247" s="33">
        <f t="shared" si="120"/>
        <v>5.4652274900942746E-3</v>
      </c>
      <c r="AX247" s="38">
        <v>438</v>
      </c>
      <c r="AY247" s="33">
        <f t="shared" ref="AY247:AY252" si="130">IF(OR($C247="01-09",SUM($AX247)=0),"",68%)</f>
        <v>0.68</v>
      </c>
      <c r="AZ247" s="218">
        <f t="shared" si="122"/>
        <v>736</v>
      </c>
      <c r="BA247" s="33">
        <v>0.38</v>
      </c>
      <c r="BB247" s="218">
        <f t="shared" si="124"/>
        <v>30</v>
      </c>
    </row>
    <row r="248" spans="1:54" x14ac:dyDescent="0.2">
      <c r="A248" t="str">
        <f>INDEX(Prioritization!$D:$D,MATCH($B248,Prioritization!$A:$A,0))</f>
        <v>4 - Sustained</v>
      </c>
      <c r="B248" t="s">
        <v>311</v>
      </c>
      <c r="C248" t="s">
        <v>475</v>
      </c>
      <c r="D248" t="s">
        <v>48</v>
      </c>
      <c r="E248" t="str">
        <f t="shared" si="99"/>
        <v>Nkhata Bay District [E7zpfyBt7Tw]|15-24|Male</v>
      </c>
      <c r="F248" s="33">
        <f>IF(LEFT($B248,4)="_Mil","",INDEX(Cascade!$AA:$AA,MATCH($E248,Cascade!$E:$E,0)))</f>
        <v>0.89991666600000009</v>
      </c>
      <c r="G248" s="38">
        <f>INDEX(Cascade!$BH:$BH,MATCH($E248,Cascade!$E:$E,0))</f>
        <v>20</v>
      </c>
      <c r="H248" s="38" t="str">
        <f>IF(OR($C248="01-09",$D248="Male"),"",INDEX(PMTCT!$AC:$AC,MATCH($E248,PMTCT!$E:$E,0)))</f>
        <v/>
      </c>
      <c r="I248" s="38" t="str">
        <f>IF(OR($C248="01-09",$D248="Male"),"",INDEX(PMTCT!$AS:$AS,MATCH($E248,PMTCT!$E:$E,0)))</f>
        <v/>
      </c>
      <c r="J248" s="38">
        <f>INDEX(TB!$P:$P,MATCH($E248,TB!$E:$E,0))</f>
        <v>1</v>
      </c>
      <c r="K248" s="38" t="str">
        <f>IF(OR($C248="01-09",$C248="10-14",$D248="Female"),"",INDEX(VMMC!$AA:$AA,MATCH($E248,VMMC!$E:$E,0)))</f>
        <v/>
      </c>
      <c r="L248" s="38">
        <f t="shared" si="100"/>
        <v>19</v>
      </c>
      <c r="M248" s="33" t="str">
        <f t="shared" si="101"/>
        <v/>
      </c>
      <c r="N248" s="33" t="str">
        <f t="shared" si="102"/>
        <v/>
      </c>
      <c r="O248" s="33">
        <f t="shared" si="103"/>
        <v>0.05</v>
      </c>
      <c r="P248" s="33">
        <f t="shared" si="104"/>
        <v>0</v>
      </c>
      <c r="Q248" s="33">
        <v>0.32692307692307698</v>
      </c>
      <c r="R248" s="33"/>
      <c r="S248" s="33"/>
      <c r="T248" s="33">
        <v>0.05</v>
      </c>
      <c r="U248" s="33">
        <f t="shared" si="127"/>
        <v>0.57307692307692304</v>
      </c>
      <c r="V248" s="33">
        <f t="shared" si="105"/>
        <v>1</v>
      </c>
      <c r="W248" s="218"/>
      <c r="X248" s="33"/>
      <c r="Y248" s="218"/>
      <c r="Z248" s="218" t="str">
        <f t="shared" si="107"/>
        <v/>
      </c>
      <c r="AA248" s="33">
        <v>0.12</v>
      </c>
      <c r="AB248" s="218" t="str">
        <f t="shared" si="108"/>
        <v/>
      </c>
      <c r="AC248" s="218" t="str">
        <f t="shared" si="125"/>
        <v/>
      </c>
      <c r="AD248" s="33">
        <v>0.02</v>
      </c>
      <c r="AE248" s="218" t="str">
        <f t="shared" si="109"/>
        <v/>
      </c>
      <c r="AF248" s="218" t="str">
        <f t="shared" si="110"/>
        <v/>
      </c>
      <c r="AG248" s="33">
        <v>0.02</v>
      </c>
      <c r="AH248" s="218">
        <f t="shared" si="111"/>
        <v>1</v>
      </c>
      <c r="AI248" s="218">
        <f t="shared" si="112"/>
        <v>49</v>
      </c>
      <c r="AJ248" s="33">
        <v>6.1999999999999998E-3</v>
      </c>
      <c r="AK248" s="218">
        <f t="shared" si="113"/>
        <v>11</v>
      </c>
      <c r="AL248" s="218">
        <f t="shared" si="114"/>
        <v>1763</v>
      </c>
      <c r="AM248" s="38">
        <f t="shared" si="115"/>
        <v>20</v>
      </c>
      <c r="AN248" s="38">
        <f t="shared" si="116"/>
        <v>13</v>
      </c>
      <c r="AO248" s="38">
        <f t="shared" si="117"/>
        <v>-7</v>
      </c>
      <c r="AP248" s="38" t="str">
        <f>IF(OR($C248="01-09",$D248="Male"),"",INDEX(PMTCT!$AD:$AD,MATCH($E248,PMTCT!$E:$E,0)))</f>
        <v/>
      </c>
      <c r="AQ248" s="38" t="str">
        <f>IF(OR($C248="01-09",$D248="Male"),"",INDEX(PMTCT!$AT:$AT,MATCH($E248,PMTCT!$E:$E,0)))</f>
        <v/>
      </c>
      <c r="AR248" s="38">
        <f>INDEX(TB!$Q:$Q,MATCH($E248,TB!$E:$E,0))</f>
        <v>13</v>
      </c>
      <c r="AS248" s="38" t="str">
        <f>IF(OR($C248="01-09",$C248="10-14",$D248="Female"),"",INDEX(VMMC!$AB:$AB,MATCH($E248,VMMC!$E:$E,0)))</f>
        <v/>
      </c>
      <c r="AT248" s="38">
        <f>IF(OR($C248="01-09",$C248="10-14"),"",INDEX(PrEP!$Q:$Q,MATCH($E248,PrEP!$E:$E,0)))</f>
        <v>12</v>
      </c>
      <c r="AU248" s="38">
        <f t="shared" si="118"/>
        <v>1836.9999999999998</v>
      </c>
      <c r="AV248" s="38">
        <f t="shared" si="119"/>
        <v>1849.9999999999995</v>
      </c>
      <c r="AW248" s="33">
        <f t="shared" si="120"/>
        <v>7.027027027027029E-3</v>
      </c>
      <c r="AX248" s="38">
        <v>26</v>
      </c>
      <c r="AY248" s="33">
        <f t="shared" si="130"/>
        <v>0.68</v>
      </c>
      <c r="AZ248" s="218">
        <f t="shared" si="122"/>
        <v>44</v>
      </c>
      <c r="BA248" s="33">
        <v>0.38</v>
      </c>
      <c r="BB248" s="218">
        <f t="shared" si="124"/>
        <v>5</v>
      </c>
    </row>
    <row r="249" spans="1:54" x14ac:dyDescent="0.2">
      <c r="A249" t="str">
        <f>INDEX(Prioritization!$D:$D,MATCH($B249,Prioritization!$A:$A,0))</f>
        <v>4 - Sustained</v>
      </c>
      <c r="B249" t="s">
        <v>311</v>
      </c>
      <c r="C249" t="s">
        <v>476</v>
      </c>
      <c r="D249" t="s">
        <v>30</v>
      </c>
      <c r="E249" t="str">
        <f t="shared" si="99"/>
        <v>Nkhata Bay District [E7zpfyBt7Tw]|25-34|Female</v>
      </c>
      <c r="F249" s="33">
        <f>IF(LEFT($B249,4)="_Mil","",INDEX(Cascade!$AA:$AA,MATCH($E249,Cascade!$E:$E,0)))</f>
        <v>0.96306522700000008</v>
      </c>
      <c r="G249" s="38">
        <f>INDEX(Cascade!$BH:$BH,MATCH($E249,Cascade!$E:$E,0))</f>
        <v>152</v>
      </c>
      <c r="H249" s="38">
        <f>IF(OR($C249="01-09",$D249="Male"),"",INDEX(PMTCT!$AC:$AC,MATCH($E249,PMTCT!$E:$E,0)))</f>
        <v>28</v>
      </c>
      <c r="I249" s="38">
        <f>IF(OR($C249="01-09",$D249="Male"),"",INDEX(PMTCT!$AS:$AS,MATCH($E249,PMTCT!$E:$E,0)))</f>
        <v>10</v>
      </c>
      <c r="J249" s="38">
        <f>INDEX(TB!$P:$P,MATCH($E249,TB!$E:$E,0))</f>
        <v>1</v>
      </c>
      <c r="K249" s="38" t="str">
        <f>IF(OR($C249="01-09",$C249="10-14",$D249="Female"),"",INDEX(VMMC!$AA:$AA,MATCH($E249,VMMC!$E:$E,0)))</f>
        <v/>
      </c>
      <c r="L249" s="38">
        <f t="shared" si="100"/>
        <v>113</v>
      </c>
      <c r="M249" s="33">
        <f t="shared" si="101"/>
        <v>0.18421052631578946</v>
      </c>
      <c r="N249" s="33">
        <f t="shared" si="102"/>
        <v>6.5789473684210523E-2</v>
      </c>
      <c r="O249" s="33">
        <f t="shared" si="103"/>
        <v>6.5789473684210523E-3</v>
      </c>
      <c r="P249" s="33" t="str">
        <f t="shared" si="104"/>
        <v/>
      </c>
      <c r="Q249" s="33">
        <v>0.24806201550387599</v>
      </c>
      <c r="R249" s="33"/>
      <c r="S249" s="33"/>
      <c r="T249" s="33">
        <v>0.05</v>
      </c>
      <c r="U249" s="33">
        <f t="shared" si="127"/>
        <v>0.44535903712770286</v>
      </c>
      <c r="V249" s="33">
        <f t="shared" si="105"/>
        <v>1</v>
      </c>
      <c r="W249" s="218"/>
      <c r="X249" s="33"/>
      <c r="Y249" s="218"/>
      <c r="Z249" s="218" t="str">
        <f t="shared" si="107"/>
        <v/>
      </c>
      <c r="AA249" s="33">
        <v>0.12</v>
      </c>
      <c r="AB249" s="218" t="str">
        <f t="shared" si="108"/>
        <v/>
      </c>
      <c r="AC249" s="218" t="str">
        <f t="shared" si="125"/>
        <v/>
      </c>
      <c r="AD249" s="33">
        <v>0.02</v>
      </c>
      <c r="AE249" s="218" t="str">
        <f t="shared" si="109"/>
        <v/>
      </c>
      <c r="AF249" s="218" t="str">
        <f t="shared" si="110"/>
        <v/>
      </c>
      <c r="AG249" s="33">
        <v>0.02</v>
      </c>
      <c r="AH249" s="218">
        <f t="shared" si="111"/>
        <v>8</v>
      </c>
      <c r="AI249" s="218">
        <f t="shared" si="112"/>
        <v>392</v>
      </c>
      <c r="AJ249" s="33">
        <v>1.4999999999999999E-2</v>
      </c>
      <c r="AK249" s="218">
        <f t="shared" si="113"/>
        <v>68</v>
      </c>
      <c r="AL249" s="218">
        <f t="shared" si="114"/>
        <v>4465</v>
      </c>
      <c r="AM249" s="38">
        <f t="shared" si="115"/>
        <v>152</v>
      </c>
      <c r="AN249" s="38">
        <f t="shared" si="116"/>
        <v>115</v>
      </c>
      <c r="AO249" s="38">
        <f t="shared" si="117"/>
        <v>-37</v>
      </c>
      <c r="AP249" s="38">
        <f>IF(OR($C249="01-09",$D249="Male"),"",INDEX(PMTCT!$AD:$AD,MATCH($E249,PMTCT!$E:$E,0)))</f>
        <v>2481</v>
      </c>
      <c r="AQ249" s="38">
        <f>IF(OR($C249="01-09",$D249="Male"),"",INDEX(PMTCT!$AT:$AT,MATCH($E249,PMTCT!$E:$E,0)))</f>
        <v>2471</v>
      </c>
      <c r="AR249" s="38">
        <f>INDEX(TB!$Q:$Q,MATCH($E249,TB!$E:$E,0))</f>
        <v>8</v>
      </c>
      <c r="AS249" s="38" t="str">
        <f>IF(OR($C249="01-09",$C249="10-14",$D249="Female"),"",INDEX(VMMC!$AB:$AB,MATCH($E249,VMMC!$E:$E,0)))</f>
        <v/>
      </c>
      <c r="AT249" s="38">
        <f>IF(OR($C249="01-09",$C249="10-14"),"",INDEX(PrEP!$Q:$Q,MATCH($E249,PrEP!$E:$E,0)))</f>
        <v>244</v>
      </c>
      <c r="AU249" s="38">
        <f t="shared" si="118"/>
        <v>10061</v>
      </c>
      <c r="AV249" s="38">
        <f t="shared" si="119"/>
        <v>10176</v>
      </c>
      <c r="AW249" s="33">
        <f t="shared" si="120"/>
        <v>1.1301100628930817E-2</v>
      </c>
      <c r="AX249" s="38">
        <v>287</v>
      </c>
      <c r="AY249" s="33">
        <f t="shared" si="130"/>
        <v>0.68</v>
      </c>
      <c r="AZ249" s="218">
        <f t="shared" si="122"/>
        <v>482</v>
      </c>
      <c r="BA249" s="33">
        <v>0.38</v>
      </c>
      <c r="BB249" s="218">
        <f t="shared" si="124"/>
        <v>44</v>
      </c>
    </row>
    <row r="250" spans="1:54" x14ac:dyDescent="0.2">
      <c r="A250" t="str">
        <f>INDEX(Prioritization!$D:$D,MATCH($B250,Prioritization!$A:$A,0))</f>
        <v>4 - Sustained</v>
      </c>
      <c r="B250" t="s">
        <v>311</v>
      </c>
      <c r="C250" t="s">
        <v>476</v>
      </c>
      <c r="D250" t="s">
        <v>48</v>
      </c>
      <c r="E250" t="str">
        <f t="shared" si="99"/>
        <v>Nkhata Bay District [E7zpfyBt7Tw]|25-34|Male</v>
      </c>
      <c r="F250" s="33">
        <f>IF(LEFT($B250,4)="_Mil","",INDEX(Cascade!$AA:$AA,MATCH($E250,Cascade!$E:$E,0)))</f>
        <v>0.87060098799999996</v>
      </c>
      <c r="G250" s="38">
        <f>INDEX(Cascade!$BH:$BH,MATCH($E250,Cascade!$E:$E,0))</f>
        <v>26</v>
      </c>
      <c r="H250" s="38" t="str">
        <f>IF(OR($C250="01-09",$D250="Male"),"",INDEX(PMTCT!$AC:$AC,MATCH($E250,PMTCT!$E:$E,0)))</f>
        <v/>
      </c>
      <c r="I250" s="38" t="str">
        <f>IF(OR($C250="01-09",$D250="Male"),"",INDEX(PMTCT!$AS:$AS,MATCH($E250,PMTCT!$E:$E,0)))</f>
        <v/>
      </c>
      <c r="J250" s="38">
        <f>INDEX(TB!$P:$P,MATCH($E250,TB!$E:$E,0))</f>
        <v>1</v>
      </c>
      <c r="K250" s="38" t="str">
        <f>IF(OR($C250="01-09",$C250="10-14",$D250="Female"),"",INDEX(VMMC!$AA:$AA,MATCH($E250,VMMC!$E:$E,0)))</f>
        <v/>
      </c>
      <c r="L250" s="38">
        <f t="shared" si="100"/>
        <v>25</v>
      </c>
      <c r="M250" s="33" t="str">
        <f t="shared" si="101"/>
        <v/>
      </c>
      <c r="N250" s="33" t="str">
        <f t="shared" si="102"/>
        <v/>
      </c>
      <c r="O250" s="33">
        <f t="shared" si="103"/>
        <v>3.8461538461538464E-2</v>
      </c>
      <c r="P250" s="33">
        <f t="shared" si="104"/>
        <v>0</v>
      </c>
      <c r="Q250" s="33">
        <v>0.38461538461538503</v>
      </c>
      <c r="R250" s="33"/>
      <c r="S250" s="33"/>
      <c r="T250" s="33">
        <v>0.05</v>
      </c>
      <c r="U250" s="33">
        <f t="shared" si="127"/>
        <v>0.52692307692307661</v>
      </c>
      <c r="V250" s="33">
        <f t="shared" si="105"/>
        <v>1</v>
      </c>
      <c r="W250" s="218">
        <f t="shared" si="106"/>
        <v>10</v>
      </c>
      <c r="X250" s="33">
        <v>0.21099999999999999</v>
      </c>
      <c r="Y250" s="218">
        <f t="shared" si="106"/>
        <v>10</v>
      </c>
      <c r="Z250" s="218">
        <f t="shared" si="107"/>
        <v>37</v>
      </c>
      <c r="AA250" s="33">
        <v>0.12</v>
      </c>
      <c r="AB250" s="218" t="str">
        <f t="shared" si="108"/>
        <v/>
      </c>
      <c r="AC250" s="218" t="str">
        <f t="shared" si="125"/>
        <v/>
      </c>
      <c r="AD250" s="33">
        <v>0.02</v>
      </c>
      <c r="AE250" s="218" t="str">
        <f t="shared" si="109"/>
        <v/>
      </c>
      <c r="AF250" s="218" t="str">
        <f t="shared" si="110"/>
        <v/>
      </c>
      <c r="AG250" s="33">
        <v>0.02</v>
      </c>
      <c r="AH250" s="218">
        <f t="shared" si="111"/>
        <v>1</v>
      </c>
      <c r="AI250" s="218">
        <f t="shared" si="112"/>
        <v>49</v>
      </c>
      <c r="AJ250" s="33">
        <v>3.5000000000000001E-3</v>
      </c>
      <c r="AK250" s="218">
        <f t="shared" si="113"/>
        <v>14</v>
      </c>
      <c r="AL250" s="218">
        <f t="shared" si="114"/>
        <v>3986</v>
      </c>
      <c r="AM250" s="38">
        <f t="shared" si="115"/>
        <v>26</v>
      </c>
      <c r="AN250" s="38">
        <f t="shared" si="116"/>
        <v>26</v>
      </c>
      <c r="AO250" s="38">
        <f t="shared" si="117"/>
        <v>0</v>
      </c>
      <c r="AP250" s="38" t="str">
        <f>IF(OR($C250="01-09",$D250="Male"),"",INDEX(PMTCT!$AD:$AD,MATCH($E250,PMTCT!$E:$E,0)))</f>
        <v/>
      </c>
      <c r="AQ250" s="38" t="str">
        <f>IF(OR($C250="01-09",$D250="Male"),"",INDEX(PMTCT!$AT:$AT,MATCH($E250,PMTCT!$E:$E,0)))</f>
        <v/>
      </c>
      <c r="AR250" s="38">
        <f>INDEX(TB!$Q:$Q,MATCH($E250,TB!$E:$E,0))</f>
        <v>13</v>
      </c>
      <c r="AS250" s="38" t="str">
        <f>IF(OR($C250="01-09",$C250="10-14",$D250="Female"),"",INDEX(VMMC!$AB:$AB,MATCH($E250,VMMC!$E:$E,0)))</f>
        <v/>
      </c>
      <c r="AT250" s="38">
        <f>IF(OR($C250="01-09",$C250="10-14"),"",INDEX(PrEP!$Q:$Q,MATCH($E250,PrEP!$E:$E,0)))</f>
        <v>18</v>
      </c>
      <c r="AU250" s="38">
        <f t="shared" si="118"/>
        <v>4103</v>
      </c>
      <c r="AV250" s="38">
        <f t="shared" si="119"/>
        <v>4129</v>
      </c>
      <c r="AW250" s="33">
        <f t="shared" si="120"/>
        <v>6.2969241947202709E-3</v>
      </c>
      <c r="AX250" s="38">
        <v>27</v>
      </c>
      <c r="AY250" s="33">
        <f t="shared" si="130"/>
        <v>0.68</v>
      </c>
      <c r="AZ250" s="218">
        <f t="shared" si="122"/>
        <v>45</v>
      </c>
      <c r="BA250" s="33">
        <v>0.38</v>
      </c>
      <c r="BB250" s="218">
        <f t="shared" si="124"/>
        <v>10</v>
      </c>
    </row>
    <row r="251" spans="1:54" x14ac:dyDescent="0.2">
      <c r="A251" t="str">
        <f>INDEX(Prioritization!$D:$D,MATCH($B251,Prioritization!$A:$A,0))</f>
        <v>4 - Sustained</v>
      </c>
      <c r="B251" t="s">
        <v>311</v>
      </c>
      <c r="C251" t="s">
        <v>477</v>
      </c>
      <c r="D251" t="s">
        <v>30</v>
      </c>
      <c r="E251" t="str">
        <f t="shared" si="99"/>
        <v>Nkhata Bay District [E7zpfyBt7Tw]|35-49|Female</v>
      </c>
      <c r="F251" s="33">
        <f>IF(LEFT($B251,4)="_Mil","",INDEX(Cascade!$AA:$AA,MATCH($E251,Cascade!$E:$E,0)))</f>
        <v>0.98181460399999987</v>
      </c>
      <c r="G251" s="38">
        <f>INDEX(Cascade!$BH:$BH,MATCH($E251,Cascade!$E:$E,0))</f>
        <v>72</v>
      </c>
      <c r="H251" s="38">
        <f>IF(OR($C251="01-09",$D251="Male"),"",INDEX(PMTCT!$AC:$AC,MATCH($E251,PMTCT!$E:$E,0)))</f>
        <v>8</v>
      </c>
      <c r="I251" s="38">
        <f>IF(OR($C251="01-09",$D251="Male"),"",INDEX(PMTCT!$AS:$AS,MATCH($E251,PMTCT!$E:$E,0)))</f>
        <v>3</v>
      </c>
      <c r="J251" s="38">
        <f>INDEX(TB!$P:$P,MATCH($E251,TB!$E:$E,0))</f>
        <v>1</v>
      </c>
      <c r="K251" s="38" t="str">
        <f>IF(OR($C251="01-09",$C251="10-14",$D251="Female"),"",INDEX(VMMC!$AA:$AA,MATCH($E251,VMMC!$E:$E,0)))</f>
        <v/>
      </c>
      <c r="L251" s="38">
        <f t="shared" si="100"/>
        <v>60</v>
      </c>
      <c r="M251" s="33">
        <f t="shared" si="101"/>
        <v>0.1111111111111111</v>
      </c>
      <c r="N251" s="33">
        <f t="shared" si="102"/>
        <v>4.1666666666666664E-2</v>
      </c>
      <c r="O251" s="33">
        <f t="shared" si="103"/>
        <v>1.3888888888888888E-2</v>
      </c>
      <c r="P251" s="33" t="str">
        <f t="shared" si="104"/>
        <v/>
      </c>
      <c r="Q251" s="33">
        <v>0.27692307692307699</v>
      </c>
      <c r="R251" s="33"/>
      <c r="S251" s="33"/>
      <c r="T251" s="33">
        <v>0.05</v>
      </c>
      <c r="U251" s="33">
        <f t="shared" si="127"/>
        <v>0.50641025641025639</v>
      </c>
      <c r="V251" s="33">
        <f t="shared" si="105"/>
        <v>1</v>
      </c>
      <c r="W251" s="218">
        <f t="shared" si="106"/>
        <v>20</v>
      </c>
      <c r="X251" s="33">
        <v>0.254</v>
      </c>
      <c r="Y251" s="218">
        <f t="shared" si="106"/>
        <v>20</v>
      </c>
      <c r="Z251" s="218">
        <f t="shared" si="107"/>
        <v>59</v>
      </c>
      <c r="AA251" s="33">
        <v>0.12</v>
      </c>
      <c r="AB251" s="218" t="str">
        <f t="shared" si="108"/>
        <v/>
      </c>
      <c r="AC251" s="218" t="str">
        <f t="shared" si="125"/>
        <v/>
      </c>
      <c r="AD251" s="33">
        <v>0.02</v>
      </c>
      <c r="AE251" s="218" t="str">
        <f t="shared" si="109"/>
        <v/>
      </c>
      <c r="AF251" s="218" t="str">
        <f t="shared" si="110"/>
        <v/>
      </c>
      <c r="AG251" s="33">
        <v>0.02</v>
      </c>
      <c r="AH251" s="218">
        <f t="shared" si="111"/>
        <v>4</v>
      </c>
      <c r="AI251" s="218">
        <f t="shared" si="112"/>
        <v>196</v>
      </c>
      <c r="AJ251" s="33">
        <v>2.1000000000000001E-2</v>
      </c>
      <c r="AK251" s="218">
        <f t="shared" si="113"/>
        <v>36</v>
      </c>
      <c r="AL251" s="218">
        <f t="shared" si="114"/>
        <v>1678</v>
      </c>
      <c r="AM251" s="38">
        <f t="shared" si="115"/>
        <v>72</v>
      </c>
      <c r="AN251" s="38">
        <f t="shared" si="116"/>
        <v>72</v>
      </c>
      <c r="AO251" s="38">
        <f t="shared" si="117"/>
        <v>0</v>
      </c>
      <c r="AP251" s="38">
        <f>IF(OR($C251="01-09",$D251="Male"),"",INDEX(PMTCT!$AD:$AD,MATCH($E251,PMTCT!$E:$E,0)))</f>
        <v>696</v>
      </c>
      <c r="AQ251" s="38">
        <f>IF(OR($C251="01-09",$D251="Male"),"",INDEX(PMTCT!$AT:$AT,MATCH($E251,PMTCT!$E:$E,0)))</f>
        <v>693</v>
      </c>
      <c r="AR251" s="38">
        <f>INDEX(TB!$Q:$Q,MATCH($E251,TB!$E:$E,0))</f>
        <v>13</v>
      </c>
      <c r="AS251" s="38" t="str">
        <f>IF(OR($C251="01-09",$C251="10-14",$D251="Female"),"",INDEX(VMMC!$AB:$AB,MATCH($E251,VMMC!$E:$E,0)))</f>
        <v/>
      </c>
      <c r="AT251" s="38">
        <f>IF(OR($C251="01-09",$C251="10-14"),"",INDEX(PrEP!$Q:$Q,MATCH($E251,PrEP!$E:$E,0)))</f>
        <v>108</v>
      </c>
      <c r="AU251" s="38">
        <f t="shared" si="118"/>
        <v>3443</v>
      </c>
      <c r="AV251" s="38">
        <f t="shared" si="119"/>
        <v>3514.9999999999995</v>
      </c>
      <c r="AW251" s="33">
        <f t="shared" si="120"/>
        <v>2.0483641536273117E-2</v>
      </c>
      <c r="AX251" s="38">
        <v>21</v>
      </c>
      <c r="AY251" s="33">
        <f t="shared" si="130"/>
        <v>0.68</v>
      </c>
      <c r="AZ251" s="218">
        <f t="shared" si="122"/>
        <v>35</v>
      </c>
      <c r="BA251" s="33">
        <v>0.38</v>
      </c>
      <c r="BB251" s="218">
        <f t="shared" si="124"/>
        <v>27</v>
      </c>
    </row>
    <row r="252" spans="1:54" x14ac:dyDescent="0.2">
      <c r="A252" t="str">
        <f>INDEX(Prioritization!$D:$D,MATCH($B252,Prioritization!$A:$A,0))</f>
        <v>4 - Sustained</v>
      </c>
      <c r="B252" t="s">
        <v>311</v>
      </c>
      <c r="C252" t="s">
        <v>477</v>
      </c>
      <c r="D252" t="s">
        <v>48</v>
      </c>
      <c r="E252" t="str">
        <f t="shared" si="99"/>
        <v>Nkhata Bay District [E7zpfyBt7Tw]|35-49|Male</v>
      </c>
      <c r="F252" s="33">
        <f>IF(LEFT($B252,4)="_Mil","",INDEX(Cascade!$AA:$AA,MATCH($E252,Cascade!$E:$E,0)))</f>
        <v>0.92083868099999988</v>
      </c>
      <c r="G252" s="38">
        <f>INDEX(Cascade!$BH:$BH,MATCH($E252,Cascade!$E:$E,0))</f>
        <v>40</v>
      </c>
      <c r="H252" s="38" t="str">
        <f>IF(OR($C252="01-09",$D252="Male"),"",INDEX(PMTCT!$AC:$AC,MATCH($E252,PMTCT!$E:$E,0)))</f>
        <v/>
      </c>
      <c r="I252" s="38" t="str">
        <f>IF(OR($C252="01-09",$D252="Male"),"",INDEX(PMTCT!$AS:$AS,MATCH($E252,PMTCT!$E:$E,0)))</f>
        <v/>
      </c>
      <c r="J252" s="38">
        <f>INDEX(TB!$P:$P,MATCH($E252,TB!$E:$E,0))</f>
        <v>1</v>
      </c>
      <c r="K252" s="38" t="str">
        <f>IF(OR($C252="01-09",$C252="10-14",$D252="Female"),"",INDEX(VMMC!$AA:$AA,MATCH($E252,VMMC!$E:$E,0)))</f>
        <v/>
      </c>
      <c r="L252" s="38">
        <f t="shared" si="100"/>
        <v>39</v>
      </c>
      <c r="M252" s="33" t="str">
        <f t="shared" si="101"/>
        <v/>
      </c>
      <c r="N252" s="33" t="str">
        <f t="shared" si="102"/>
        <v/>
      </c>
      <c r="O252" s="33">
        <f t="shared" si="103"/>
        <v>2.5000000000000001E-2</v>
      </c>
      <c r="P252" s="33">
        <f t="shared" si="104"/>
        <v>0</v>
      </c>
      <c r="Q252" s="33">
        <v>0.375</v>
      </c>
      <c r="R252" s="33"/>
      <c r="S252" s="33"/>
      <c r="T252" s="33">
        <v>0.05</v>
      </c>
      <c r="U252" s="33">
        <f t="shared" si="127"/>
        <v>0.55000000000000004</v>
      </c>
      <c r="V252" s="33">
        <f t="shared" si="105"/>
        <v>1</v>
      </c>
      <c r="W252" s="218">
        <f t="shared" si="106"/>
        <v>15</v>
      </c>
      <c r="X252" s="33">
        <v>0.23200000000000001</v>
      </c>
      <c r="Y252" s="218">
        <f t="shared" si="106"/>
        <v>15</v>
      </c>
      <c r="Z252" s="218">
        <f t="shared" si="107"/>
        <v>50</v>
      </c>
      <c r="AA252" s="33">
        <v>0.12</v>
      </c>
      <c r="AB252" s="218" t="str">
        <f t="shared" si="108"/>
        <v/>
      </c>
      <c r="AC252" s="218" t="str">
        <f t="shared" si="125"/>
        <v/>
      </c>
      <c r="AD252" s="33">
        <v>0.02</v>
      </c>
      <c r="AE252" s="218" t="str">
        <f t="shared" si="109"/>
        <v/>
      </c>
      <c r="AF252" s="218" t="str">
        <f t="shared" si="110"/>
        <v/>
      </c>
      <c r="AG252" s="33">
        <v>0.02</v>
      </c>
      <c r="AH252" s="218">
        <f t="shared" si="111"/>
        <v>2</v>
      </c>
      <c r="AI252" s="218">
        <f t="shared" si="112"/>
        <v>98</v>
      </c>
      <c r="AJ252" s="33">
        <v>1.4E-2</v>
      </c>
      <c r="AK252" s="218">
        <f t="shared" si="113"/>
        <v>22</v>
      </c>
      <c r="AL252" s="218">
        <f t="shared" si="114"/>
        <v>1549</v>
      </c>
      <c r="AM252" s="38">
        <f t="shared" si="115"/>
        <v>40</v>
      </c>
      <c r="AN252" s="38">
        <f t="shared" si="116"/>
        <v>40</v>
      </c>
      <c r="AO252" s="38">
        <f t="shared" si="117"/>
        <v>0</v>
      </c>
      <c r="AP252" s="38" t="str">
        <f>IF(OR($C252="01-09",$D252="Male"),"",INDEX(PMTCT!$AD:$AD,MATCH($E252,PMTCT!$E:$E,0)))</f>
        <v/>
      </c>
      <c r="AQ252" s="38" t="str">
        <f>IF(OR($C252="01-09",$D252="Male"),"",INDEX(PMTCT!$AT:$AT,MATCH($E252,PMTCT!$E:$E,0)))</f>
        <v/>
      </c>
      <c r="AR252" s="38">
        <f>INDEX(TB!$Q:$Q,MATCH($E252,TB!$E:$E,0))</f>
        <v>20</v>
      </c>
      <c r="AS252" s="38" t="str">
        <f>IF(OR($C252="01-09",$C252="10-14",$D252="Female"),"",INDEX(VMMC!$AB:$AB,MATCH($E252,VMMC!$E:$E,0)))</f>
        <v/>
      </c>
      <c r="AT252" s="38">
        <f>IF(OR($C252="01-09",$C252="10-14"),"",INDEX(PrEP!$Q:$Q,MATCH($E252,PrEP!$E:$E,0)))</f>
        <v>12</v>
      </c>
      <c r="AU252" s="38">
        <f t="shared" si="118"/>
        <v>1729.0000000000002</v>
      </c>
      <c r="AV252" s="38">
        <f t="shared" si="119"/>
        <v>1769.0000000000002</v>
      </c>
      <c r="AW252" s="33">
        <f t="shared" si="120"/>
        <v>2.2611644997173542E-2</v>
      </c>
      <c r="AX252" s="38">
        <v>22</v>
      </c>
      <c r="AY252" s="33">
        <f t="shared" si="130"/>
        <v>0.68</v>
      </c>
      <c r="AZ252" s="218">
        <f t="shared" si="122"/>
        <v>37</v>
      </c>
      <c r="BA252" s="33">
        <v>0.38</v>
      </c>
      <c r="BB252" s="218">
        <f t="shared" si="124"/>
        <v>15</v>
      </c>
    </row>
    <row r="253" spans="1:54" x14ac:dyDescent="0.2">
      <c r="A253" t="str">
        <f>INDEX(Prioritization!$D:$D,MATCH($B253,Prioritization!$A:$A,0))</f>
        <v>4 - Sustained</v>
      </c>
      <c r="B253" t="s">
        <v>311</v>
      </c>
      <c r="C253" t="s">
        <v>478</v>
      </c>
      <c r="D253" t="s">
        <v>30</v>
      </c>
      <c r="E253" t="str">
        <f t="shared" si="99"/>
        <v>Nkhata Bay District [E7zpfyBt7Tw]|50+|Female</v>
      </c>
      <c r="F253" s="33">
        <f>IF(LEFT($B253,4)="_Mil","",INDEX(Cascade!$AA:$AA,MATCH($E253,Cascade!$E:$E,0)))</f>
        <v>0.98751988199999996</v>
      </c>
      <c r="G253" s="38">
        <f>INDEX(Cascade!$BH:$BH,MATCH($E253,Cascade!$E:$E,0))</f>
        <v>79</v>
      </c>
      <c r="H253" s="38" t="str">
        <f>IF(OR($C253="01-09",$D253="Male"),"",INDEX(PMTCT!$AC:$AC,MATCH($E253,PMTCT!$E:$E,0)))</f>
        <v/>
      </c>
      <c r="I253" s="38" t="str">
        <f>IF(OR($C253="01-09",$D253="Male"),"",INDEX(PMTCT!$AS:$AS,MATCH($E253,PMTCT!$E:$E,0)))</f>
        <v/>
      </c>
      <c r="J253" s="38">
        <f>INDEX(TB!$P:$P,MATCH($E253,TB!$E:$E,0))</f>
        <v>0</v>
      </c>
      <c r="K253" s="38" t="str">
        <f>IF(OR($C253="01-09",$C253="10-14",$D253="Female"),"",INDEX(VMMC!$AA:$AA,MATCH($E253,VMMC!$E:$E,0)))</f>
        <v/>
      </c>
      <c r="L253" s="38">
        <f t="shared" si="100"/>
        <v>79</v>
      </c>
      <c r="M253" s="33">
        <f t="shared" si="101"/>
        <v>0</v>
      </c>
      <c r="N253" s="33">
        <f t="shared" si="102"/>
        <v>0</v>
      </c>
      <c r="O253" s="33">
        <f t="shared" si="103"/>
        <v>0</v>
      </c>
      <c r="P253" s="33" t="str">
        <f t="shared" si="104"/>
        <v/>
      </c>
      <c r="Q253" s="33">
        <v>0.15</v>
      </c>
      <c r="R253" s="33"/>
      <c r="S253" s="33"/>
      <c r="T253" s="33">
        <v>0.05</v>
      </c>
      <c r="U253" s="33">
        <f t="shared" si="127"/>
        <v>0.8</v>
      </c>
      <c r="V253" s="33">
        <f t="shared" si="105"/>
        <v>1</v>
      </c>
      <c r="W253" s="218">
        <f t="shared" si="106"/>
        <v>12</v>
      </c>
      <c r="X253" s="33">
        <v>0.33300000000000002</v>
      </c>
      <c r="Y253" s="218">
        <f t="shared" si="106"/>
        <v>12</v>
      </c>
      <c r="Z253" s="218">
        <f t="shared" si="107"/>
        <v>24</v>
      </c>
      <c r="AA253" s="33">
        <v>0.12</v>
      </c>
      <c r="AB253" s="218" t="str">
        <f t="shared" si="108"/>
        <v/>
      </c>
      <c r="AC253" s="218" t="str">
        <f t="shared" si="125"/>
        <v/>
      </c>
      <c r="AD253" s="33">
        <v>0.02</v>
      </c>
      <c r="AE253" s="218" t="str">
        <f t="shared" si="109"/>
        <v/>
      </c>
      <c r="AF253" s="218" t="str">
        <f t="shared" si="110"/>
        <v/>
      </c>
      <c r="AG253" s="33">
        <v>0.02</v>
      </c>
      <c r="AH253" s="218">
        <f t="shared" si="111"/>
        <v>4</v>
      </c>
      <c r="AI253" s="218">
        <f t="shared" si="112"/>
        <v>196</v>
      </c>
      <c r="AJ253" s="33">
        <v>1.9E-2</v>
      </c>
      <c r="AK253" s="218">
        <f t="shared" si="113"/>
        <v>63</v>
      </c>
      <c r="AL253" s="218">
        <f t="shared" si="114"/>
        <v>3253</v>
      </c>
      <c r="AM253" s="38">
        <f t="shared" si="115"/>
        <v>79</v>
      </c>
      <c r="AN253" s="38">
        <f t="shared" si="116"/>
        <v>79</v>
      </c>
      <c r="AO253" s="38">
        <f t="shared" si="117"/>
        <v>0</v>
      </c>
      <c r="AP253" s="38" t="str">
        <f>IF(OR($C253="01-09",$D253="Male"),"",INDEX(PMTCT!$AD:$AD,MATCH($E253,PMTCT!$E:$E,0)))</f>
        <v/>
      </c>
      <c r="AQ253" s="38" t="str">
        <f>IF(OR($C253="01-09",$D253="Male"),"",INDEX(PMTCT!$AT:$AT,MATCH($E253,PMTCT!$E:$E,0)))</f>
        <v/>
      </c>
      <c r="AR253" s="38">
        <f>INDEX(TB!$Q:$Q,MATCH($E253,TB!$E:$E,0))</f>
        <v>5</v>
      </c>
      <c r="AS253" s="38" t="str">
        <f>IF(OR($C253="01-09",$C253="10-14",$D253="Female"),"",INDEX(VMMC!$AB:$AB,MATCH($E253,VMMC!$E:$E,0)))</f>
        <v/>
      </c>
      <c r="AT253" s="38">
        <f>IF(OR($C253="01-09",$C253="10-14"),"",INDEX(PrEP!$Q:$Q,MATCH($E253,PrEP!$E:$E,0)))</f>
        <v>24</v>
      </c>
      <c r="AU253" s="38">
        <f t="shared" si="118"/>
        <v>3502</v>
      </c>
      <c r="AV253" s="38">
        <f t="shared" si="119"/>
        <v>3581.0000000000005</v>
      </c>
      <c r="AW253" s="33">
        <f t="shared" si="120"/>
        <v>2.2060876850041884E-2</v>
      </c>
      <c r="AX253" s="38">
        <v>18</v>
      </c>
      <c r="AY253" s="33">
        <f t="shared" si="121"/>
        <v>0</v>
      </c>
      <c r="AZ253" s="218">
        <f t="shared" si="122"/>
        <v>18</v>
      </c>
      <c r="BA253" s="33">
        <v>0.38</v>
      </c>
      <c r="BB253" s="218">
        <f t="shared" si="124"/>
        <v>30</v>
      </c>
    </row>
    <row r="254" spans="1:54" x14ac:dyDescent="0.2">
      <c r="A254" t="str">
        <f>INDEX(Prioritization!$D:$D,MATCH($B254,Prioritization!$A:$A,0))</f>
        <v>4 - Sustained</v>
      </c>
      <c r="B254" t="s">
        <v>311</v>
      </c>
      <c r="C254" t="s">
        <v>478</v>
      </c>
      <c r="D254" t="s">
        <v>48</v>
      </c>
      <c r="E254" t="str">
        <f t="shared" si="99"/>
        <v>Nkhata Bay District [E7zpfyBt7Tw]|50+|Male</v>
      </c>
      <c r="F254" s="33">
        <f>IF(LEFT($B254,4)="_Mil","",INDEX(Cascade!$AA:$AA,MATCH($E254,Cascade!$E:$E,0)))</f>
        <v>0.94559209499999997</v>
      </c>
      <c r="G254" s="38">
        <f>INDEX(Cascade!$BH:$BH,MATCH($E254,Cascade!$E:$E,0))</f>
        <v>42</v>
      </c>
      <c r="H254" s="38" t="str">
        <f>IF(OR($C254="01-09",$D254="Male"),"",INDEX(PMTCT!$AC:$AC,MATCH($E254,PMTCT!$E:$E,0)))</f>
        <v/>
      </c>
      <c r="I254" s="38" t="str">
        <f>IF(OR($C254="01-09",$D254="Male"),"",INDEX(PMTCT!$AS:$AS,MATCH($E254,PMTCT!$E:$E,0)))</f>
        <v/>
      </c>
      <c r="J254" s="38">
        <f>INDEX(TB!$P:$P,MATCH($E254,TB!$E:$E,0))</f>
        <v>0</v>
      </c>
      <c r="K254" s="38" t="str">
        <f>IF(OR($C254="01-09",$C254="10-14",$D254="Female"),"",INDEX(VMMC!$AA:$AA,MATCH($E254,VMMC!$E:$E,0)))</f>
        <v/>
      </c>
      <c r="L254" s="38">
        <f t="shared" si="100"/>
        <v>42</v>
      </c>
      <c r="M254" s="33" t="str">
        <f t="shared" si="101"/>
        <v/>
      </c>
      <c r="N254" s="33" t="str">
        <f t="shared" si="102"/>
        <v/>
      </c>
      <c r="O254" s="33">
        <f t="shared" si="103"/>
        <v>0</v>
      </c>
      <c r="P254" s="33">
        <f t="shared" si="104"/>
        <v>0</v>
      </c>
      <c r="Q254" s="33">
        <v>0.15</v>
      </c>
      <c r="R254" s="33"/>
      <c r="S254" s="33"/>
      <c r="T254" s="33">
        <v>0.05</v>
      </c>
      <c r="U254" s="33">
        <f t="shared" si="127"/>
        <v>0.8</v>
      </c>
      <c r="V254" s="33">
        <f t="shared" si="105"/>
        <v>1</v>
      </c>
      <c r="W254" s="218">
        <f t="shared" si="106"/>
        <v>6</v>
      </c>
      <c r="X254" s="33">
        <v>0.245</v>
      </c>
      <c r="Y254" s="218">
        <f t="shared" si="106"/>
        <v>6</v>
      </c>
      <c r="Z254" s="218">
        <f t="shared" si="107"/>
        <v>18</v>
      </c>
      <c r="AA254" s="33">
        <v>0.12</v>
      </c>
      <c r="AB254" s="218" t="str">
        <f t="shared" si="108"/>
        <v/>
      </c>
      <c r="AC254" s="218" t="str">
        <f t="shared" si="125"/>
        <v/>
      </c>
      <c r="AD254" s="33">
        <v>0.02</v>
      </c>
      <c r="AE254" s="218" t="str">
        <f t="shared" si="109"/>
        <v/>
      </c>
      <c r="AF254" s="218" t="str">
        <f t="shared" si="110"/>
        <v/>
      </c>
      <c r="AG254" s="33">
        <v>0.02</v>
      </c>
      <c r="AH254" s="218">
        <f t="shared" si="111"/>
        <v>2</v>
      </c>
      <c r="AI254" s="218">
        <f t="shared" si="112"/>
        <v>98</v>
      </c>
      <c r="AJ254" s="33">
        <v>1.7000000000000001E-2</v>
      </c>
      <c r="AK254" s="218">
        <f t="shared" si="113"/>
        <v>34</v>
      </c>
      <c r="AL254" s="218">
        <f t="shared" si="114"/>
        <v>1966</v>
      </c>
      <c r="AM254" s="38">
        <f t="shared" si="115"/>
        <v>42</v>
      </c>
      <c r="AN254" s="38">
        <f t="shared" si="116"/>
        <v>42</v>
      </c>
      <c r="AO254" s="38">
        <f t="shared" si="117"/>
        <v>0</v>
      </c>
      <c r="AP254" s="38" t="str">
        <f>IF(OR($C254="01-09",$D254="Male"),"",INDEX(PMTCT!$AD:$AD,MATCH($E254,PMTCT!$E:$E,0)))</f>
        <v/>
      </c>
      <c r="AQ254" s="38" t="str">
        <f>IF(OR($C254="01-09",$D254="Male"),"",INDEX(PMTCT!$AT:$AT,MATCH($E254,PMTCT!$E:$E,0)))</f>
        <v/>
      </c>
      <c r="AR254" s="38">
        <f>INDEX(TB!$Q:$Q,MATCH($E254,TB!$E:$E,0))</f>
        <v>7</v>
      </c>
      <c r="AS254" s="38" t="str">
        <f>IF(OR($C254="01-09",$C254="10-14",$D254="Female"),"",INDEX(VMMC!$AB:$AB,MATCH($E254,VMMC!$E:$E,0)))</f>
        <v/>
      </c>
      <c r="AT254" s="38">
        <f>IF(OR($C254="01-09",$C254="10-14"),"",INDEX(PrEP!$Q:$Q,MATCH($E254,PrEP!$E:$E,0)))</f>
        <v>12</v>
      </c>
      <c r="AU254" s="38">
        <f t="shared" si="118"/>
        <v>2101</v>
      </c>
      <c r="AV254" s="38">
        <f t="shared" si="119"/>
        <v>2143</v>
      </c>
      <c r="AW254" s="33">
        <f t="shared" si="120"/>
        <v>1.9598693420438639E-2</v>
      </c>
      <c r="AX254" s="38">
        <v>17</v>
      </c>
      <c r="AY254" s="33">
        <f t="shared" si="121"/>
        <v>0</v>
      </c>
      <c r="AZ254" s="218">
        <f t="shared" si="122"/>
        <v>17</v>
      </c>
      <c r="BA254" s="33">
        <v>0.38</v>
      </c>
      <c r="BB254" s="218">
        <f t="shared" si="124"/>
        <v>16</v>
      </c>
    </row>
    <row r="255" spans="1:54" x14ac:dyDescent="0.2">
      <c r="A255" t="str">
        <f>INDEX(Prioritization!$D:$D,MATCH($B255,Prioritization!$A:$A,0))</f>
        <v>4 - Sustained</v>
      </c>
      <c r="B255" t="s">
        <v>303</v>
      </c>
      <c r="C255" t="s">
        <v>473</v>
      </c>
      <c r="D255" t="s">
        <v>30</v>
      </c>
      <c r="E255" t="str">
        <f t="shared" si="99"/>
        <v>Nkhotakota District [YCKiBAp8QAg]|01-09|Female</v>
      </c>
      <c r="F255" s="33">
        <f>IF(LEFT($B255,4)="_Mil","",INDEX(Cascade!$AA:$AA,MATCH($E255,Cascade!$E:$E,0)))</f>
        <v>0.68445976200000003</v>
      </c>
      <c r="G255" s="38">
        <f>INDEX(Cascade!$BH:$BH,MATCH($E255,Cascade!$E:$E,0))</f>
        <v>3</v>
      </c>
      <c r="H255" s="38" t="str">
        <f>IF(OR($C255="01-09",$D255="Male"),"",INDEX(PMTCT!$AC:$AC,MATCH($E255,PMTCT!$E:$E,0)))</f>
        <v/>
      </c>
      <c r="I255" s="38" t="str">
        <f>IF(OR($C255="01-09",$D255="Male"),"",INDEX(PMTCT!$AS:$AS,MATCH($E255,PMTCT!$E:$E,0)))</f>
        <v/>
      </c>
      <c r="J255" s="38">
        <f>INDEX(TB!$P:$P,MATCH($E255,TB!$E:$E,0))</f>
        <v>0</v>
      </c>
      <c r="K255" s="38" t="str">
        <f>IF(OR($C255="01-09",$C255="10-14",$D255="Female"),"",INDEX(VMMC!$AA:$AA,MATCH($E255,VMMC!$E:$E,0)))</f>
        <v/>
      </c>
      <c r="L255" s="38">
        <f t="shared" si="100"/>
        <v>3</v>
      </c>
      <c r="M255" s="33" t="str">
        <f t="shared" si="101"/>
        <v/>
      </c>
      <c r="N255" s="33" t="str">
        <f t="shared" si="102"/>
        <v/>
      </c>
      <c r="O255" s="33">
        <f t="shared" si="103"/>
        <v>0</v>
      </c>
      <c r="P255" s="33" t="str">
        <f t="shared" si="104"/>
        <v/>
      </c>
      <c r="Q255" s="33">
        <v>0.5</v>
      </c>
      <c r="R255" s="33"/>
      <c r="S255" s="33"/>
      <c r="T255" s="33"/>
      <c r="U255" s="33">
        <f t="shared" si="127"/>
        <v>0.5</v>
      </c>
      <c r="V255" s="33">
        <f t="shared" si="105"/>
        <v>1</v>
      </c>
      <c r="W255" s="218">
        <f t="shared" si="106"/>
        <v>2</v>
      </c>
      <c r="X255" s="33">
        <v>3.3000000000000002E-2</v>
      </c>
      <c r="Y255" s="218">
        <f t="shared" si="106"/>
        <v>2</v>
      </c>
      <c r="Z255" s="218">
        <f t="shared" si="107"/>
        <v>59</v>
      </c>
      <c r="AA255" s="33">
        <v>0.12</v>
      </c>
      <c r="AB255" s="218" t="str">
        <f t="shared" si="108"/>
        <v/>
      </c>
      <c r="AC255" s="218" t="str">
        <f t="shared" si="125"/>
        <v/>
      </c>
      <c r="AD255" s="33">
        <v>0.02</v>
      </c>
      <c r="AE255" s="218" t="str">
        <f t="shared" si="109"/>
        <v/>
      </c>
      <c r="AF255" s="218" t="str">
        <f t="shared" si="110"/>
        <v/>
      </c>
      <c r="AG255" s="33">
        <v>0.02</v>
      </c>
      <c r="AH255" s="218" t="str">
        <f t="shared" si="111"/>
        <v/>
      </c>
      <c r="AI255" s="218" t="str">
        <f t="shared" si="112"/>
        <v/>
      </c>
      <c r="AJ255" s="33">
        <v>1.0999999999999999E-2</v>
      </c>
      <c r="AK255" s="218">
        <f t="shared" si="113"/>
        <v>2</v>
      </c>
      <c r="AL255" s="218">
        <f t="shared" si="114"/>
        <v>180</v>
      </c>
      <c r="AM255" s="38">
        <f t="shared" si="115"/>
        <v>3</v>
      </c>
      <c r="AN255" s="38">
        <f t="shared" si="116"/>
        <v>4</v>
      </c>
      <c r="AO255" s="38">
        <f t="shared" si="117"/>
        <v>1</v>
      </c>
      <c r="AP255" s="38" t="str">
        <f>IF(OR($C255="01-09",$D255="Male"),"",INDEX(PMTCT!$AD:$AD,MATCH($E255,PMTCT!$E:$E,0)))</f>
        <v/>
      </c>
      <c r="AQ255" s="38" t="str">
        <f>IF(OR($C255="01-09",$D255="Male"),"",INDEX(PMTCT!$AT:$AT,MATCH($E255,PMTCT!$E:$E,0)))</f>
        <v/>
      </c>
      <c r="AR255" s="38">
        <f>INDEX(TB!$Q:$Q,MATCH($E255,TB!$E:$E,0))</f>
        <v>4</v>
      </c>
      <c r="AS255" s="38" t="str">
        <f>IF(OR($C255="01-09",$C255="10-14",$D255="Female"),"",INDEX(VMMC!$AB:$AB,MATCH($E255,VMMC!$E:$E,0)))</f>
        <v/>
      </c>
      <c r="AT255" s="38" t="str">
        <f>IF(OR($C255="01-09",$C255="10-14"),"",INDEX(PrEP!$Q:$Q,MATCH($E255,PrEP!$E:$E,0)))</f>
        <v/>
      </c>
      <c r="AU255" s="38">
        <f t="shared" si="118"/>
        <v>242.99999999999997</v>
      </c>
      <c r="AV255" s="38">
        <f t="shared" si="119"/>
        <v>247</v>
      </c>
      <c r="AW255" s="33">
        <f t="shared" si="120"/>
        <v>1.6194331983805668E-2</v>
      </c>
      <c r="AX255" s="38"/>
      <c r="AY255" s="33" t="str">
        <f t="shared" si="121"/>
        <v/>
      </c>
      <c r="AZ255" s="218" t="str">
        <f t="shared" si="122"/>
        <v/>
      </c>
      <c r="BA255" s="33" t="str">
        <f t="shared" si="123"/>
        <v/>
      </c>
      <c r="BB255" s="218" t="str">
        <f t="shared" si="124"/>
        <v/>
      </c>
    </row>
    <row r="256" spans="1:54" x14ac:dyDescent="0.2">
      <c r="A256" t="str">
        <f>INDEX(Prioritization!$D:$D,MATCH($B256,Prioritization!$A:$A,0))</f>
        <v>4 - Sustained</v>
      </c>
      <c r="B256" t="s">
        <v>303</v>
      </c>
      <c r="C256" t="s">
        <v>473</v>
      </c>
      <c r="D256" t="s">
        <v>48</v>
      </c>
      <c r="E256" t="str">
        <f t="shared" si="99"/>
        <v>Nkhotakota District [YCKiBAp8QAg]|01-09|Male</v>
      </c>
      <c r="F256" s="33">
        <f>IF(LEFT($B256,4)="_Mil","",INDEX(Cascade!$AA:$AA,MATCH($E256,Cascade!$E:$E,0)))</f>
        <v>0.68454166500000002</v>
      </c>
      <c r="G256" s="38">
        <f>INDEX(Cascade!$BH:$BH,MATCH($E256,Cascade!$E:$E,0))</f>
        <v>3</v>
      </c>
      <c r="H256" s="38" t="str">
        <f>IF(OR($C256="01-09",$D256="Male"),"",INDEX(PMTCT!$AC:$AC,MATCH($E256,PMTCT!$E:$E,0)))</f>
        <v/>
      </c>
      <c r="I256" s="38" t="str">
        <f>IF(OR($C256="01-09",$D256="Male"),"",INDEX(PMTCT!$AS:$AS,MATCH($E256,PMTCT!$E:$E,0)))</f>
        <v/>
      </c>
      <c r="J256" s="38">
        <f>INDEX(TB!$P:$P,MATCH($E256,TB!$E:$E,0))</f>
        <v>0</v>
      </c>
      <c r="K256" s="38" t="str">
        <f>IF(OR($C256="01-09",$C256="10-14",$D256="Female"),"",INDEX(VMMC!$AA:$AA,MATCH($E256,VMMC!$E:$E,0)))</f>
        <v/>
      </c>
      <c r="L256" s="38">
        <f t="shared" si="100"/>
        <v>3</v>
      </c>
      <c r="M256" s="33" t="str">
        <f t="shared" si="101"/>
        <v/>
      </c>
      <c r="N256" s="33" t="str">
        <f t="shared" si="102"/>
        <v/>
      </c>
      <c r="O256" s="33">
        <f t="shared" si="103"/>
        <v>0</v>
      </c>
      <c r="P256" s="33" t="str">
        <f t="shared" si="104"/>
        <v/>
      </c>
      <c r="Q256" s="33">
        <v>0.42857142857142899</v>
      </c>
      <c r="R256" s="33"/>
      <c r="S256" s="33"/>
      <c r="T256" s="33"/>
      <c r="U256" s="33">
        <f t="shared" si="127"/>
        <v>0.57142857142857095</v>
      </c>
      <c r="V256" s="33">
        <f t="shared" si="105"/>
        <v>1</v>
      </c>
      <c r="W256" s="218">
        <f t="shared" si="106"/>
        <v>1</v>
      </c>
      <c r="X256" s="33">
        <v>4.2000000000000003E-2</v>
      </c>
      <c r="Y256" s="218">
        <f t="shared" si="106"/>
        <v>1</v>
      </c>
      <c r="Z256" s="218">
        <f t="shared" si="107"/>
        <v>23</v>
      </c>
      <c r="AA256" s="33">
        <v>0.12</v>
      </c>
      <c r="AB256" s="218" t="str">
        <f t="shared" si="108"/>
        <v/>
      </c>
      <c r="AC256" s="218" t="str">
        <f t="shared" si="125"/>
        <v/>
      </c>
      <c r="AD256" s="33">
        <v>0.02</v>
      </c>
      <c r="AE256" s="218" t="str">
        <f t="shared" si="109"/>
        <v/>
      </c>
      <c r="AF256" s="218" t="str">
        <f t="shared" si="110"/>
        <v/>
      </c>
      <c r="AG256" s="33">
        <v>0.02</v>
      </c>
      <c r="AH256" s="218" t="str">
        <f t="shared" si="111"/>
        <v/>
      </c>
      <c r="AI256" s="218" t="str">
        <f t="shared" si="112"/>
        <v/>
      </c>
      <c r="AJ256" s="33">
        <v>1.4E-2</v>
      </c>
      <c r="AK256" s="218">
        <f t="shared" si="113"/>
        <v>2</v>
      </c>
      <c r="AL256" s="218">
        <f t="shared" si="114"/>
        <v>141</v>
      </c>
      <c r="AM256" s="38">
        <f t="shared" si="115"/>
        <v>3</v>
      </c>
      <c r="AN256" s="38">
        <f t="shared" si="116"/>
        <v>3</v>
      </c>
      <c r="AO256" s="38">
        <f t="shared" si="117"/>
        <v>0</v>
      </c>
      <c r="AP256" s="38" t="str">
        <f>IF(OR($C256="01-09",$D256="Male"),"",INDEX(PMTCT!$AD:$AD,MATCH($E256,PMTCT!$E:$E,0)))</f>
        <v/>
      </c>
      <c r="AQ256" s="38" t="str">
        <f>IF(OR($C256="01-09",$D256="Male"),"",INDEX(PMTCT!$AT:$AT,MATCH($E256,PMTCT!$E:$E,0)))</f>
        <v/>
      </c>
      <c r="AR256" s="38">
        <f>INDEX(TB!$Q:$Q,MATCH($E256,TB!$E:$E,0))</f>
        <v>4</v>
      </c>
      <c r="AS256" s="38" t="str">
        <f>IF(OR($C256="01-09",$C256="10-14",$D256="Female"),"",INDEX(VMMC!$AB:$AB,MATCH($E256,VMMC!$E:$E,0)))</f>
        <v/>
      </c>
      <c r="AT256" s="38" t="str">
        <f>IF(OR($C256="01-09",$C256="10-14"),"",INDEX(PrEP!$Q:$Q,MATCH($E256,PrEP!$E:$E,0)))</f>
        <v/>
      </c>
      <c r="AU256" s="38">
        <f t="shared" si="118"/>
        <v>168</v>
      </c>
      <c r="AV256" s="38">
        <f t="shared" si="119"/>
        <v>171</v>
      </c>
      <c r="AW256" s="33">
        <f t="shared" si="120"/>
        <v>1.7543859649122806E-2</v>
      </c>
      <c r="AX256" s="38"/>
      <c r="AY256" s="33" t="str">
        <f t="shared" si="121"/>
        <v/>
      </c>
      <c r="AZ256" s="218" t="str">
        <f t="shared" si="122"/>
        <v/>
      </c>
      <c r="BA256" s="33" t="str">
        <f t="shared" si="123"/>
        <v/>
      </c>
      <c r="BB256" s="218" t="str">
        <f t="shared" si="124"/>
        <v/>
      </c>
    </row>
    <row r="257" spans="1:54" x14ac:dyDescent="0.2">
      <c r="A257" t="str">
        <f>INDEX(Prioritization!$D:$D,MATCH($B257,Prioritization!$A:$A,0))</f>
        <v>4 - Sustained</v>
      </c>
      <c r="B257" t="s">
        <v>303</v>
      </c>
      <c r="C257" t="s">
        <v>474</v>
      </c>
      <c r="D257" t="s">
        <v>30</v>
      </c>
      <c r="E257" t="str">
        <f t="shared" si="99"/>
        <v>Nkhotakota District [YCKiBAp8QAg]|10-14|Female</v>
      </c>
      <c r="F257" s="33">
        <f>IF(LEFT($B257,4)="_Mil","",INDEX(Cascade!$AA:$AA,MATCH($E257,Cascade!$E:$E,0)))</f>
        <v>0.72282444800000001</v>
      </c>
      <c r="G257" s="38">
        <f>INDEX(Cascade!$BH:$BH,MATCH($E257,Cascade!$E:$E,0))</f>
        <v>17</v>
      </c>
      <c r="H257" s="38">
        <f>IF(OR($C257="01-09",$D257="Male"),"",INDEX(PMTCT!$AC:$AC,MATCH($E257,PMTCT!$E:$E,0)))</f>
        <v>1</v>
      </c>
      <c r="I257" s="38">
        <f>IF(OR($C257="01-09",$D257="Male"),"",INDEX(PMTCT!$AS:$AS,MATCH($E257,PMTCT!$E:$E,0)))</f>
        <v>0</v>
      </c>
      <c r="J257" s="38">
        <f>INDEX(TB!$P:$P,MATCH($E257,TB!$E:$E,0))</f>
        <v>0</v>
      </c>
      <c r="K257" s="38" t="str">
        <f>IF(OR($C257="01-09",$C257="10-14",$D257="Female"),"",INDEX(VMMC!$AA:$AA,MATCH($E257,VMMC!$E:$E,0)))</f>
        <v/>
      </c>
      <c r="L257" s="38">
        <f t="shared" si="100"/>
        <v>16</v>
      </c>
      <c r="M257" s="33">
        <f t="shared" si="101"/>
        <v>5.8823529411764705E-2</v>
      </c>
      <c r="N257" s="33">
        <f t="shared" si="102"/>
        <v>0</v>
      </c>
      <c r="O257" s="33">
        <f t="shared" si="103"/>
        <v>0</v>
      </c>
      <c r="P257" s="33" t="str">
        <f t="shared" si="104"/>
        <v/>
      </c>
      <c r="Q257" s="33">
        <v>0.45</v>
      </c>
      <c r="R257" s="33"/>
      <c r="S257" s="33"/>
      <c r="T257" s="33"/>
      <c r="U257" s="33">
        <f t="shared" si="127"/>
        <v>0.49117647058823533</v>
      </c>
      <c r="V257" s="33">
        <f t="shared" si="105"/>
        <v>1</v>
      </c>
      <c r="W257" s="218">
        <f t="shared" si="106"/>
        <v>8</v>
      </c>
      <c r="X257" s="33">
        <v>1.9E-2</v>
      </c>
      <c r="Y257" s="218">
        <f t="shared" si="106"/>
        <v>8</v>
      </c>
      <c r="Z257" s="218">
        <f t="shared" si="107"/>
        <v>413</v>
      </c>
      <c r="AA257" s="33">
        <v>0.12</v>
      </c>
      <c r="AB257" s="218" t="str">
        <f t="shared" si="108"/>
        <v/>
      </c>
      <c r="AC257" s="218" t="str">
        <f t="shared" si="125"/>
        <v/>
      </c>
      <c r="AD257" s="33">
        <v>0.02</v>
      </c>
      <c r="AE257" s="218" t="str">
        <f t="shared" si="109"/>
        <v/>
      </c>
      <c r="AF257" s="218" t="str">
        <f t="shared" si="110"/>
        <v/>
      </c>
      <c r="AG257" s="33">
        <v>0.02</v>
      </c>
      <c r="AH257" s="218" t="str">
        <f t="shared" si="111"/>
        <v/>
      </c>
      <c r="AI257" s="218" t="str">
        <f t="shared" si="112"/>
        <v/>
      </c>
      <c r="AJ257" s="33">
        <v>4.4999999999999998E-2</v>
      </c>
      <c r="AK257" s="218">
        <f t="shared" si="113"/>
        <v>8</v>
      </c>
      <c r="AL257" s="218">
        <f t="shared" si="114"/>
        <v>170</v>
      </c>
      <c r="AM257" s="38">
        <f t="shared" si="115"/>
        <v>17</v>
      </c>
      <c r="AN257" s="38">
        <f t="shared" si="116"/>
        <v>17</v>
      </c>
      <c r="AO257" s="38">
        <f t="shared" si="117"/>
        <v>0</v>
      </c>
      <c r="AP257" s="38">
        <f>IF(OR($C257="01-09",$D257="Male"),"",INDEX(PMTCT!$AD:$AD,MATCH($E257,PMTCT!$E:$E,0)))</f>
        <v>49</v>
      </c>
      <c r="AQ257" s="38">
        <f>IF(OR($C257="01-09",$D257="Male"),"",INDEX(PMTCT!$AT:$AT,MATCH($E257,PMTCT!$E:$E,0)))</f>
        <v>49.000000000000007</v>
      </c>
      <c r="AR257" s="38">
        <f>INDEX(TB!$Q:$Q,MATCH($E257,TB!$E:$E,0))</f>
        <v>2</v>
      </c>
      <c r="AS257" s="38" t="str">
        <f>IF(OR($C257="01-09",$C257="10-14",$D257="Female"),"",INDEX(VMMC!$AB:$AB,MATCH($E257,VMMC!$E:$E,0)))</f>
        <v/>
      </c>
      <c r="AT257" s="38" t="str">
        <f>IF(OR($C257="01-09",$C257="10-14"),"",INDEX(PrEP!$Q:$Q,MATCH($E257,PrEP!$E:$E,0)))</f>
        <v/>
      </c>
      <c r="AU257" s="38">
        <f t="shared" si="118"/>
        <v>683</v>
      </c>
      <c r="AV257" s="38">
        <f t="shared" si="119"/>
        <v>700</v>
      </c>
      <c r="AW257" s="33">
        <f t="shared" si="120"/>
        <v>2.4285714285714285E-2</v>
      </c>
      <c r="AX257" s="38"/>
      <c r="AY257" s="33" t="str">
        <f t="shared" si="121"/>
        <v/>
      </c>
      <c r="AZ257" s="218" t="str">
        <f t="shared" si="122"/>
        <v/>
      </c>
      <c r="BA257" s="33" t="str">
        <f t="shared" si="123"/>
        <v/>
      </c>
      <c r="BB257" s="218" t="str">
        <f t="shared" si="124"/>
        <v/>
      </c>
    </row>
    <row r="258" spans="1:54" x14ac:dyDescent="0.2">
      <c r="A258" t="str">
        <f>INDEX(Prioritization!$D:$D,MATCH($B258,Prioritization!$A:$A,0))</f>
        <v>4 - Sustained</v>
      </c>
      <c r="B258" t="s">
        <v>303</v>
      </c>
      <c r="C258" t="s">
        <v>474</v>
      </c>
      <c r="D258" t="s">
        <v>48</v>
      </c>
      <c r="E258" t="str">
        <f t="shared" si="99"/>
        <v>Nkhotakota District [YCKiBAp8QAg]|10-14|Male</v>
      </c>
      <c r="F258" s="33">
        <f>IF(LEFT($B258,4)="_Mil","",INDEX(Cascade!$AA:$AA,MATCH($E258,Cascade!$E:$E,0)))</f>
        <v>0.72255380000000002</v>
      </c>
      <c r="G258" s="38">
        <f>INDEX(Cascade!$BH:$BH,MATCH($E258,Cascade!$E:$E,0))</f>
        <v>3</v>
      </c>
      <c r="H258" s="38" t="str">
        <f>IF(OR($C258="01-09",$D258="Male"),"",INDEX(PMTCT!$AC:$AC,MATCH($E258,PMTCT!$E:$E,0)))</f>
        <v/>
      </c>
      <c r="I258" s="38" t="str">
        <f>IF(OR($C258="01-09",$D258="Male"),"",INDEX(PMTCT!$AS:$AS,MATCH($E258,PMTCT!$E:$E,0)))</f>
        <v/>
      </c>
      <c r="J258" s="38">
        <f>INDEX(TB!$P:$P,MATCH($E258,TB!$E:$E,0))</f>
        <v>0</v>
      </c>
      <c r="K258" s="38" t="str">
        <f>IF(OR($C258="01-09",$C258="10-14",$D258="Female"),"",INDEX(VMMC!$AA:$AA,MATCH($E258,VMMC!$E:$E,0)))</f>
        <v/>
      </c>
      <c r="L258" s="38">
        <f t="shared" si="100"/>
        <v>3</v>
      </c>
      <c r="M258" s="33" t="str">
        <f t="shared" si="101"/>
        <v/>
      </c>
      <c r="N258" s="33" t="str">
        <f t="shared" si="102"/>
        <v/>
      </c>
      <c r="O258" s="33">
        <f t="shared" si="103"/>
        <v>0</v>
      </c>
      <c r="P258" s="33" t="str">
        <f t="shared" si="104"/>
        <v/>
      </c>
      <c r="Q258" s="33">
        <v>0.57142857142857095</v>
      </c>
      <c r="R258" s="33"/>
      <c r="S258" s="33"/>
      <c r="T258" s="33"/>
      <c r="U258" s="33">
        <f t="shared" si="127"/>
        <v>0.42857142857142905</v>
      </c>
      <c r="V258" s="33">
        <f t="shared" si="105"/>
        <v>1</v>
      </c>
      <c r="W258" s="218">
        <f t="shared" si="106"/>
        <v>2</v>
      </c>
      <c r="X258" s="33">
        <v>2.1000000000000001E-2</v>
      </c>
      <c r="Y258" s="218">
        <f t="shared" si="106"/>
        <v>2</v>
      </c>
      <c r="Z258" s="218">
        <f t="shared" si="107"/>
        <v>93</v>
      </c>
      <c r="AA258" s="33">
        <v>0.12</v>
      </c>
      <c r="AB258" s="218" t="str">
        <f t="shared" si="108"/>
        <v/>
      </c>
      <c r="AC258" s="218" t="str">
        <f t="shared" si="125"/>
        <v/>
      </c>
      <c r="AD258" s="33">
        <v>0.02</v>
      </c>
      <c r="AE258" s="218" t="str">
        <f t="shared" si="109"/>
        <v/>
      </c>
      <c r="AF258" s="218" t="str">
        <f t="shared" si="110"/>
        <v/>
      </c>
      <c r="AG258" s="33">
        <v>0.02</v>
      </c>
      <c r="AH258" s="218" t="str">
        <f t="shared" si="111"/>
        <v/>
      </c>
      <c r="AI258" s="218" t="str">
        <f t="shared" si="112"/>
        <v/>
      </c>
      <c r="AJ258" s="33">
        <v>9.7999999999999997E-3</v>
      </c>
      <c r="AK258" s="218">
        <f t="shared" si="113"/>
        <v>1</v>
      </c>
      <c r="AL258" s="218">
        <f t="shared" si="114"/>
        <v>101</v>
      </c>
      <c r="AM258" s="38">
        <f t="shared" si="115"/>
        <v>3</v>
      </c>
      <c r="AN258" s="38">
        <f t="shared" si="116"/>
        <v>3</v>
      </c>
      <c r="AO258" s="38">
        <f t="shared" si="117"/>
        <v>0</v>
      </c>
      <c r="AP258" s="38" t="str">
        <f>IF(OR($C258="01-09",$D258="Male"),"",INDEX(PMTCT!$AD:$AD,MATCH($E258,PMTCT!$E:$E,0)))</f>
        <v/>
      </c>
      <c r="AQ258" s="38" t="str">
        <f>IF(OR($C258="01-09",$D258="Male"),"",INDEX(PMTCT!$AT:$AT,MATCH($E258,PMTCT!$E:$E,0)))</f>
        <v/>
      </c>
      <c r="AR258" s="38">
        <f>INDEX(TB!$Q:$Q,MATCH($E258,TB!$E:$E,0))</f>
        <v>2</v>
      </c>
      <c r="AS258" s="38" t="str">
        <f>IF(OR($C258="01-09",$C258="10-14",$D258="Female"),"",INDEX(VMMC!$AB:$AB,MATCH($E258,VMMC!$E:$E,0)))</f>
        <v/>
      </c>
      <c r="AT258" s="38" t="str">
        <f>IF(OR($C258="01-09",$C258="10-14"),"",INDEX(PrEP!$Q:$Q,MATCH($E258,PrEP!$E:$E,0)))</f>
        <v/>
      </c>
      <c r="AU258" s="38">
        <f t="shared" si="118"/>
        <v>196.00000000000003</v>
      </c>
      <c r="AV258" s="38">
        <f t="shared" si="119"/>
        <v>199.00000000000003</v>
      </c>
      <c r="AW258" s="33">
        <f t="shared" si="120"/>
        <v>1.5075376884422108E-2</v>
      </c>
      <c r="AX258" s="38"/>
      <c r="AY258" s="33" t="str">
        <f t="shared" si="121"/>
        <v/>
      </c>
      <c r="AZ258" s="218" t="str">
        <f t="shared" si="122"/>
        <v/>
      </c>
      <c r="BA258" s="33" t="str">
        <f t="shared" si="123"/>
        <v/>
      </c>
      <c r="BB258" s="218" t="str">
        <f t="shared" si="124"/>
        <v/>
      </c>
    </row>
    <row r="259" spans="1:54" x14ac:dyDescent="0.2">
      <c r="A259" t="str">
        <f>INDEX(Prioritization!$D:$D,MATCH($B259,Prioritization!$A:$A,0))</f>
        <v>4 - Sustained</v>
      </c>
      <c r="B259" t="s">
        <v>303</v>
      </c>
      <c r="C259" t="s">
        <v>475</v>
      </c>
      <c r="D259" t="s">
        <v>30</v>
      </c>
      <c r="E259" t="str">
        <f t="shared" si="99"/>
        <v>Nkhotakota District [YCKiBAp8QAg]|15-24|Female</v>
      </c>
      <c r="F259" s="33">
        <f>IF(LEFT($B259,4)="_Mil","",INDEX(Cascade!$AA:$AA,MATCH($E259,Cascade!$E:$E,0)))</f>
        <v>0.93421819900000003</v>
      </c>
      <c r="G259" s="38">
        <f>INDEX(Cascade!$BH:$BH,MATCH($E259,Cascade!$E:$E,0))</f>
        <v>91</v>
      </c>
      <c r="H259" s="38">
        <f>IF(OR($C259="01-09",$D259="Male"),"",INDEX(PMTCT!$AC:$AC,MATCH($E259,PMTCT!$E:$E,0)))</f>
        <v>23</v>
      </c>
      <c r="I259" s="38">
        <f>IF(OR($C259="01-09",$D259="Male"),"",INDEX(PMTCT!$AS:$AS,MATCH($E259,PMTCT!$E:$E,0)))</f>
        <v>16</v>
      </c>
      <c r="J259" s="38">
        <f>INDEX(TB!$P:$P,MATCH($E259,TB!$E:$E,0))</f>
        <v>1</v>
      </c>
      <c r="K259" s="38" t="str">
        <f>IF(OR($C259="01-09",$C259="10-14",$D259="Female"),"",INDEX(VMMC!$AA:$AA,MATCH($E259,VMMC!$E:$E,0)))</f>
        <v/>
      </c>
      <c r="L259" s="38">
        <f t="shared" si="100"/>
        <v>51</v>
      </c>
      <c r="M259" s="33">
        <f t="shared" si="101"/>
        <v>0.25274725274725274</v>
      </c>
      <c r="N259" s="33">
        <f t="shared" si="102"/>
        <v>0.17582417582417584</v>
      </c>
      <c r="O259" s="33">
        <f t="shared" si="103"/>
        <v>1.098901098901099E-2</v>
      </c>
      <c r="P259" s="33" t="str">
        <f t="shared" si="104"/>
        <v/>
      </c>
      <c r="Q259" s="33">
        <v>0.15</v>
      </c>
      <c r="R259" s="33"/>
      <c r="S259" s="33"/>
      <c r="T259" s="33">
        <v>0.05</v>
      </c>
      <c r="U259" s="33">
        <f t="shared" si="127"/>
        <v>0.36043956043956038</v>
      </c>
      <c r="V259" s="33">
        <f t="shared" si="105"/>
        <v>1</v>
      </c>
      <c r="W259" s="218">
        <f t="shared" si="106"/>
        <v>14</v>
      </c>
      <c r="X259" s="33">
        <v>0.29399999999999998</v>
      </c>
      <c r="Y259" s="218">
        <f t="shared" si="106"/>
        <v>14</v>
      </c>
      <c r="Z259" s="218">
        <f t="shared" si="107"/>
        <v>34</v>
      </c>
      <c r="AA259" s="33">
        <v>0.12</v>
      </c>
      <c r="AB259" s="218" t="str">
        <f t="shared" si="108"/>
        <v/>
      </c>
      <c r="AC259" s="218" t="str">
        <f t="shared" si="125"/>
        <v/>
      </c>
      <c r="AD259" s="33">
        <v>0.02</v>
      </c>
      <c r="AE259" s="218" t="str">
        <f t="shared" si="109"/>
        <v/>
      </c>
      <c r="AF259" s="218" t="str">
        <f t="shared" si="110"/>
        <v/>
      </c>
      <c r="AG259" s="33">
        <v>0.02</v>
      </c>
      <c r="AH259" s="218">
        <f t="shared" si="111"/>
        <v>5</v>
      </c>
      <c r="AI259" s="218">
        <f t="shared" si="112"/>
        <v>245</v>
      </c>
      <c r="AJ259" s="33">
        <v>8.8000000000000005E-3</v>
      </c>
      <c r="AK259" s="218">
        <f t="shared" si="113"/>
        <v>33</v>
      </c>
      <c r="AL259" s="218">
        <f t="shared" si="114"/>
        <v>3717</v>
      </c>
      <c r="AM259" s="38">
        <f t="shared" si="115"/>
        <v>91</v>
      </c>
      <c r="AN259" s="38">
        <f t="shared" si="116"/>
        <v>92</v>
      </c>
      <c r="AO259" s="38">
        <f t="shared" si="117"/>
        <v>1</v>
      </c>
      <c r="AP259" s="38">
        <f>IF(OR($C259="01-09",$D259="Male"),"",INDEX(PMTCT!$AD:$AD,MATCH($E259,PMTCT!$E:$E,0)))</f>
        <v>3974</v>
      </c>
      <c r="AQ259" s="38">
        <f>IF(OR($C259="01-09",$D259="Male"),"",INDEX(PMTCT!$AT:$AT,MATCH($E259,PMTCT!$E:$E,0)))</f>
        <v>3958</v>
      </c>
      <c r="AR259" s="38">
        <f>INDEX(TB!$Q:$Q,MATCH($E259,TB!$E:$E,0))</f>
        <v>16</v>
      </c>
      <c r="AS259" s="38" t="str">
        <f>IF(OR($C259="01-09",$C259="10-14",$D259="Female"),"",INDEX(VMMC!$AB:$AB,MATCH($E259,VMMC!$E:$E,0)))</f>
        <v/>
      </c>
      <c r="AT259" s="38">
        <f>IF(OR($C259="01-09",$C259="10-14"),"",INDEX(PrEP!$Q:$Q,MATCH($E259,PrEP!$E:$E,0)))</f>
        <v>24</v>
      </c>
      <c r="AU259" s="38">
        <f t="shared" si="118"/>
        <v>11968</v>
      </c>
      <c r="AV259" s="38">
        <f t="shared" si="119"/>
        <v>12060</v>
      </c>
      <c r="AW259" s="33">
        <f t="shared" si="120"/>
        <v>7.6285240464344945E-3</v>
      </c>
      <c r="AX259" s="38">
        <v>1849</v>
      </c>
      <c r="AY259" s="33">
        <f t="shared" ref="AY259:AY264" si="131">IF(OR($C259="01-09",SUM($AX259)=0),"",68%)</f>
        <v>0.68</v>
      </c>
      <c r="AZ259" s="218">
        <f t="shared" si="122"/>
        <v>3106</v>
      </c>
      <c r="BA259" s="33">
        <v>0.36</v>
      </c>
      <c r="BB259" s="218">
        <f t="shared" si="124"/>
        <v>33</v>
      </c>
    </row>
    <row r="260" spans="1:54" x14ac:dyDescent="0.2">
      <c r="A260" t="str">
        <f>INDEX(Prioritization!$D:$D,MATCH($B260,Prioritization!$A:$A,0))</f>
        <v>4 - Sustained</v>
      </c>
      <c r="B260" t="s">
        <v>303</v>
      </c>
      <c r="C260" t="s">
        <v>475</v>
      </c>
      <c r="D260" t="s">
        <v>48</v>
      </c>
      <c r="E260" t="str">
        <f t="shared" si="99"/>
        <v>Nkhotakota District [YCKiBAp8QAg]|15-24|Male</v>
      </c>
      <c r="F260" s="33">
        <f>IF(LEFT($B260,4)="_Mil","",INDEX(Cascade!$AA:$AA,MATCH($E260,Cascade!$E:$E,0)))</f>
        <v>0.90349623899999998</v>
      </c>
      <c r="G260" s="38">
        <f>INDEX(Cascade!$BH:$BH,MATCH($E260,Cascade!$E:$E,0))</f>
        <v>8</v>
      </c>
      <c r="H260" s="38" t="str">
        <f>IF(OR($C260="01-09",$D260="Male"),"",INDEX(PMTCT!$AC:$AC,MATCH($E260,PMTCT!$E:$E,0)))</f>
        <v/>
      </c>
      <c r="I260" s="38" t="str">
        <f>IF(OR($C260="01-09",$D260="Male"),"",INDEX(PMTCT!$AS:$AS,MATCH($E260,PMTCT!$E:$E,0)))</f>
        <v/>
      </c>
      <c r="J260" s="38">
        <f>INDEX(TB!$P:$P,MATCH($E260,TB!$E:$E,0))</f>
        <v>1</v>
      </c>
      <c r="K260" s="38" t="str">
        <f>IF(OR($C260="01-09",$C260="10-14",$D260="Female"),"",INDEX(VMMC!$AA:$AA,MATCH($E260,VMMC!$E:$E,0)))</f>
        <v/>
      </c>
      <c r="L260" s="38">
        <f t="shared" si="100"/>
        <v>7</v>
      </c>
      <c r="M260" s="33" t="str">
        <f t="shared" si="101"/>
        <v/>
      </c>
      <c r="N260" s="33" t="str">
        <f t="shared" si="102"/>
        <v/>
      </c>
      <c r="O260" s="33">
        <f t="shared" si="103"/>
        <v>0.125</v>
      </c>
      <c r="P260" s="33">
        <f t="shared" si="104"/>
        <v>0</v>
      </c>
      <c r="Q260" s="33">
        <v>0.31944444444444398</v>
      </c>
      <c r="R260" s="33"/>
      <c r="S260" s="33"/>
      <c r="T260" s="33">
        <v>0.05</v>
      </c>
      <c r="U260" s="33">
        <f t="shared" si="127"/>
        <v>0.50555555555555598</v>
      </c>
      <c r="V260" s="33">
        <f t="shared" si="105"/>
        <v>1</v>
      </c>
      <c r="W260" s="218">
        <f t="shared" si="106"/>
        <v>3</v>
      </c>
      <c r="X260" s="33">
        <v>0.107</v>
      </c>
      <c r="Y260" s="218">
        <f t="shared" si="106"/>
        <v>3</v>
      </c>
      <c r="Z260" s="218">
        <f t="shared" si="107"/>
        <v>25</v>
      </c>
      <c r="AA260" s="33">
        <v>0.12</v>
      </c>
      <c r="AB260" s="218" t="str">
        <f t="shared" si="108"/>
        <v/>
      </c>
      <c r="AC260" s="218" t="str">
        <f t="shared" si="125"/>
        <v/>
      </c>
      <c r="AD260" s="33">
        <v>0.02</v>
      </c>
      <c r="AE260" s="218" t="str">
        <f t="shared" si="109"/>
        <v/>
      </c>
      <c r="AF260" s="218" t="str">
        <f t="shared" si="110"/>
        <v/>
      </c>
      <c r="AG260" s="33">
        <v>0.02</v>
      </c>
      <c r="AH260" s="218">
        <f t="shared" si="111"/>
        <v>0</v>
      </c>
      <c r="AI260" s="218" t="str">
        <f t="shared" si="112"/>
        <v/>
      </c>
      <c r="AJ260" s="33">
        <v>4.7999999999999996E-3</v>
      </c>
      <c r="AK260" s="218">
        <f t="shared" si="113"/>
        <v>4</v>
      </c>
      <c r="AL260" s="218">
        <f t="shared" si="114"/>
        <v>829</v>
      </c>
      <c r="AM260" s="38">
        <f t="shared" si="115"/>
        <v>8</v>
      </c>
      <c r="AN260" s="38">
        <f t="shared" si="116"/>
        <v>8</v>
      </c>
      <c r="AO260" s="38">
        <f t="shared" si="117"/>
        <v>0</v>
      </c>
      <c r="AP260" s="38" t="str">
        <f>IF(OR($C260="01-09",$D260="Male"),"",INDEX(PMTCT!$AD:$AD,MATCH($E260,PMTCT!$E:$E,0)))</f>
        <v/>
      </c>
      <c r="AQ260" s="38" t="str">
        <f>IF(OR($C260="01-09",$D260="Male"),"",INDEX(PMTCT!$AT:$AT,MATCH($E260,PMTCT!$E:$E,0)))</f>
        <v/>
      </c>
      <c r="AR260" s="38">
        <f>INDEX(TB!$Q:$Q,MATCH($E260,TB!$E:$E,0))</f>
        <v>19</v>
      </c>
      <c r="AS260" s="38" t="str">
        <f>IF(OR($C260="01-09",$C260="10-14",$D260="Female"),"",INDEX(VMMC!$AB:$AB,MATCH($E260,VMMC!$E:$E,0)))</f>
        <v/>
      </c>
      <c r="AT260" s="38">
        <f>IF(OR($C260="01-09",$C260="10-14"),"",INDEX(PrEP!$Q:$Q,MATCH($E260,PrEP!$E:$E,0)))</f>
        <v>24</v>
      </c>
      <c r="AU260" s="38">
        <f t="shared" si="118"/>
        <v>897</v>
      </c>
      <c r="AV260" s="38">
        <f t="shared" si="119"/>
        <v>904.99999999999989</v>
      </c>
      <c r="AW260" s="33">
        <f t="shared" si="120"/>
        <v>8.8397790055248626E-3</v>
      </c>
      <c r="AX260" s="38">
        <v>62</v>
      </c>
      <c r="AY260" s="33">
        <f t="shared" si="131"/>
        <v>0.68</v>
      </c>
      <c r="AZ260" s="218">
        <f t="shared" si="122"/>
        <v>104</v>
      </c>
      <c r="BA260" s="33">
        <v>0.36</v>
      </c>
      <c r="BB260" s="218">
        <f t="shared" si="124"/>
        <v>3</v>
      </c>
    </row>
    <row r="261" spans="1:54" x14ac:dyDescent="0.2">
      <c r="A261" t="str">
        <f>INDEX(Prioritization!$D:$D,MATCH($B261,Prioritization!$A:$A,0))</f>
        <v>4 - Sustained</v>
      </c>
      <c r="B261" t="s">
        <v>303</v>
      </c>
      <c r="C261" t="s">
        <v>476</v>
      </c>
      <c r="D261" t="s">
        <v>30</v>
      </c>
      <c r="E261" t="str">
        <f t="shared" si="99"/>
        <v>Nkhotakota District [YCKiBAp8QAg]|25-34|Female</v>
      </c>
      <c r="F261" s="33">
        <f>IF(LEFT($B261,4)="_Mil","",INDEX(Cascade!$AA:$AA,MATCH($E261,Cascade!$E:$E,0)))</f>
        <v>0.96493463199999996</v>
      </c>
      <c r="G261" s="38">
        <f>INDEX(Cascade!$BH:$BH,MATCH($E261,Cascade!$E:$E,0))</f>
        <v>226</v>
      </c>
      <c r="H261" s="38">
        <f>IF(OR($C261="01-09",$D261="Male"),"",INDEX(PMTCT!$AC:$AC,MATCH($E261,PMTCT!$E:$E,0)))</f>
        <v>62</v>
      </c>
      <c r="I261" s="38">
        <f>IF(OR($C261="01-09",$D261="Male"),"",INDEX(PMTCT!$AS:$AS,MATCH($E261,PMTCT!$E:$E,0)))</f>
        <v>22</v>
      </c>
      <c r="J261" s="38">
        <f>INDEX(TB!$P:$P,MATCH($E261,TB!$E:$E,0))</f>
        <v>1</v>
      </c>
      <c r="K261" s="38" t="str">
        <f>IF(OR($C261="01-09",$C261="10-14",$D261="Female"),"",INDEX(VMMC!$AA:$AA,MATCH($E261,VMMC!$E:$E,0)))</f>
        <v/>
      </c>
      <c r="L261" s="38">
        <f t="shared" si="100"/>
        <v>141</v>
      </c>
      <c r="M261" s="33">
        <f t="shared" si="101"/>
        <v>0.27433628318584069</v>
      </c>
      <c r="N261" s="33">
        <f t="shared" si="102"/>
        <v>9.7345132743362831E-2</v>
      </c>
      <c r="O261" s="33">
        <f t="shared" si="103"/>
        <v>4.4247787610619468E-3</v>
      </c>
      <c r="P261" s="33" t="str">
        <f t="shared" si="104"/>
        <v/>
      </c>
      <c r="Q261" s="33">
        <v>0.18831168831168801</v>
      </c>
      <c r="R261" s="33"/>
      <c r="S261" s="33"/>
      <c r="T261" s="33">
        <v>0.05</v>
      </c>
      <c r="U261" s="33">
        <f t="shared" si="127"/>
        <v>0.38558211699804645</v>
      </c>
      <c r="V261" s="33">
        <f t="shared" si="105"/>
        <v>1</v>
      </c>
      <c r="W261" s="218">
        <f t="shared" si="106"/>
        <v>43</v>
      </c>
      <c r="X261" s="33">
        <v>0.34200000000000003</v>
      </c>
      <c r="Y261" s="218">
        <f t="shared" si="106"/>
        <v>43</v>
      </c>
      <c r="Z261" s="218">
        <f t="shared" si="107"/>
        <v>83</v>
      </c>
      <c r="AA261" s="33">
        <v>0.12</v>
      </c>
      <c r="AB261" s="218" t="str">
        <f t="shared" si="108"/>
        <v/>
      </c>
      <c r="AC261" s="218" t="str">
        <f t="shared" si="125"/>
        <v/>
      </c>
      <c r="AD261" s="33">
        <v>0.02</v>
      </c>
      <c r="AE261" s="218" t="str">
        <f t="shared" si="109"/>
        <v/>
      </c>
      <c r="AF261" s="218" t="str">
        <f t="shared" si="110"/>
        <v/>
      </c>
      <c r="AG261" s="33">
        <v>0.02</v>
      </c>
      <c r="AH261" s="218">
        <f t="shared" si="111"/>
        <v>11</v>
      </c>
      <c r="AI261" s="218">
        <f t="shared" si="112"/>
        <v>539</v>
      </c>
      <c r="AJ261" s="33">
        <v>0.02</v>
      </c>
      <c r="AK261" s="218">
        <f t="shared" si="113"/>
        <v>87</v>
      </c>
      <c r="AL261" s="218">
        <f t="shared" si="114"/>
        <v>4263</v>
      </c>
      <c r="AM261" s="38">
        <f t="shared" si="115"/>
        <v>226</v>
      </c>
      <c r="AN261" s="38">
        <f t="shared" si="116"/>
        <v>226</v>
      </c>
      <c r="AO261" s="38">
        <f t="shared" si="117"/>
        <v>0</v>
      </c>
      <c r="AP261" s="38">
        <f>IF(OR($C261="01-09",$D261="Male"),"",INDEX(PMTCT!$AD:$AD,MATCH($E261,PMTCT!$E:$E,0)))</f>
        <v>5593</v>
      </c>
      <c r="AQ261" s="38">
        <f>IF(OR($C261="01-09",$D261="Male"),"",INDEX(PMTCT!$AT:$AT,MATCH($E261,PMTCT!$E:$E,0)))</f>
        <v>5571</v>
      </c>
      <c r="AR261" s="38">
        <f>INDEX(TB!$Q:$Q,MATCH($E261,TB!$E:$E,0))</f>
        <v>16</v>
      </c>
      <c r="AS261" s="38" t="str">
        <f>IF(OR($C261="01-09",$C261="10-14",$D261="Female"),"",INDEX(VMMC!$AB:$AB,MATCH($E261,VMMC!$E:$E,0)))</f>
        <v/>
      </c>
      <c r="AT261" s="38">
        <f>IF(OR($C261="01-09",$C261="10-14"),"",INDEX(PrEP!$Q:$Q,MATCH($E261,PrEP!$E:$E,0)))</f>
        <v>150</v>
      </c>
      <c r="AU261" s="38">
        <f t="shared" si="118"/>
        <v>16214.999999999998</v>
      </c>
      <c r="AV261" s="38">
        <f t="shared" si="119"/>
        <v>16441</v>
      </c>
      <c r="AW261" s="33">
        <f t="shared" si="120"/>
        <v>1.3746122498631471E-2</v>
      </c>
      <c r="AX261" s="38">
        <v>1252</v>
      </c>
      <c r="AY261" s="33">
        <f t="shared" si="131"/>
        <v>0.68</v>
      </c>
      <c r="AZ261" s="218">
        <f t="shared" si="122"/>
        <v>2103</v>
      </c>
      <c r="BA261" s="33">
        <v>0.36</v>
      </c>
      <c r="BB261" s="218">
        <f t="shared" si="124"/>
        <v>81</v>
      </c>
    </row>
    <row r="262" spans="1:54" x14ac:dyDescent="0.2">
      <c r="A262" t="str">
        <f>INDEX(Prioritization!$D:$D,MATCH($B262,Prioritization!$A:$A,0))</f>
        <v>4 - Sustained</v>
      </c>
      <c r="B262" t="s">
        <v>303</v>
      </c>
      <c r="C262" t="s">
        <v>476</v>
      </c>
      <c r="D262" t="s">
        <v>48</v>
      </c>
      <c r="E262" t="str">
        <f t="shared" si="99"/>
        <v>Nkhotakota District [YCKiBAp8QAg]|25-34|Male</v>
      </c>
      <c r="F262" s="33">
        <f>IF(LEFT($B262,4)="_Mil","",INDEX(Cascade!$AA:$AA,MATCH($E262,Cascade!$E:$E,0)))</f>
        <v>0.87478092399999996</v>
      </c>
      <c r="G262" s="38">
        <f>INDEX(Cascade!$BH:$BH,MATCH($E262,Cascade!$E:$E,0))</f>
        <v>11</v>
      </c>
      <c r="H262" s="38" t="str">
        <f>IF(OR($C262="01-09",$D262="Male"),"",INDEX(PMTCT!$AC:$AC,MATCH($E262,PMTCT!$E:$E,0)))</f>
        <v/>
      </c>
      <c r="I262" s="38" t="str">
        <f>IF(OR($C262="01-09",$D262="Male"),"",INDEX(PMTCT!$AS:$AS,MATCH($E262,PMTCT!$E:$E,0)))</f>
        <v/>
      </c>
      <c r="J262" s="38">
        <f>INDEX(TB!$P:$P,MATCH($E262,TB!$E:$E,0))</f>
        <v>1</v>
      </c>
      <c r="K262" s="38" t="str">
        <f>IF(OR($C262="01-09",$C262="10-14",$D262="Female"),"",INDEX(VMMC!$AA:$AA,MATCH($E262,VMMC!$E:$E,0)))</f>
        <v/>
      </c>
      <c r="L262" s="38">
        <f t="shared" si="100"/>
        <v>10</v>
      </c>
      <c r="M262" s="33" t="str">
        <f t="shared" si="101"/>
        <v/>
      </c>
      <c r="N262" s="33" t="str">
        <f t="shared" si="102"/>
        <v/>
      </c>
      <c r="O262" s="33">
        <f t="shared" si="103"/>
        <v>9.0909090909090912E-2</v>
      </c>
      <c r="P262" s="33">
        <f t="shared" si="104"/>
        <v>0</v>
      </c>
      <c r="Q262" s="33">
        <v>0.35714285714285698</v>
      </c>
      <c r="R262" s="33"/>
      <c r="S262" s="33"/>
      <c r="T262" s="33">
        <v>0.05</v>
      </c>
      <c r="U262" s="33">
        <f t="shared" si="127"/>
        <v>0.50194805194805214</v>
      </c>
      <c r="V262" s="33">
        <f t="shared" si="105"/>
        <v>1</v>
      </c>
      <c r="W262" s="218">
        <f t="shared" si="106"/>
        <v>4</v>
      </c>
      <c r="X262" s="33">
        <v>0.27100000000000002</v>
      </c>
      <c r="Y262" s="218">
        <f t="shared" si="106"/>
        <v>4</v>
      </c>
      <c r="Z262" s="218">
        <f t="shared" si="107"/>
        <v>11</v>
      </c>
      <c r="AA262" s="33">
        <v>0.12</v>
      </c>
      <c r="AB262" s="218" t="str">
        <f t="shared" si="108"/>
        <v/>
      </c>
      <c r="AC262" s="218" t="str">
        <f t="shared" si="125"/>
        <v/>
      </c>
      <c r="AD262" s="33">
        <v>0.02</v>
      </c>
      <c r="AE262" s="218" t="str">
        <f t="shared" si="109"/>
        <v/>
      </c>
      <c r="AF262" s="218" t="str">
        <f t="shared" si="110"/>
        <v/>
      </c>
      <c r="AG262" s="33">
        <v>0.02</v>
      </c>
      <c r="AH262" s="218">
        <f t="shared" si="111"/>
        <v>1</v>
      </c>
      <c r="AI262" s="218">
        <f t="shared" si="112"/>
        <v>49</v>
      </c>
      <c r="AJ262" s="33">
        <v>2.1000000000000001E-2</v>
      </c>
      <c r="AK262" s="218">
        <f t="shared" si="113"/>
        <v>6</v>
      </c>
      <c r="AL262" s="218">
        <f t="shared" si="114"/>
        <v>280</v>
      </c>
      <c r="AM262" s="38">
        <f t="shared" si="115"/>
        <v>11</v>
      </c>
      <c r="AN262" s="38">
        <f t="shared" si="116"/>
        <v>12</v>
      </c>
      <c r="AO262" s="38">
        <f t="shared" si="117"/>
        <v>1</v>
      </c>
      <c r="AP262" s="38" t="str">
        <f>IF(OR($C262="01-09",$D262="Male"),"",INDEX(PMTCT!$AD:$AD,MATCH($E262,PMTCT!$E:$E,0)))</f>
        <v/>
      </c>
      <c r="AQ262" s="38" t="str">
        <f>IF(OR($C262="01-09",$D262="Male"),"",INDEX(PMTCT!$AT:$AT,MATCH($E262,PMTCT!$E:$E,0)))</f>
        <v/>
      </c>
      <c r="AR262" s="38">
        <f>INDEX(TB!$Q:$Q,MATCH($E262,TB!$E:$E,0))</f>
        <v>19</v>
      </c>
      <c r="AS262" s="38" t="str">
        <f>IF(OR($C262="01-09",$C262="10-14",$D262="Female"),"",INDEX(VMMC!$AB:$AB,MATCH($E262,VMMC!$E:$E,0)))</f>
        <v/>
      </c>
      <c r="AT262" s="38">
        <f>IF(OR($C262="01-09",$C262="10-14"),"",INDEX(PrEP!$Q:$Q,MATCH($E262,PrEP!$E:$E,0)))</f>
        <v>24</v>
      </c>
      <c r="AU262" s="38">
        <f t="shared" si="118"/>
        <v>383</v>
      </c>
      <c r="AV262" s="38">
        <f>IFERROR(1/(1/SUM($AU262,$AN262)),"")</f>
        <v>395</v>
      </c>
      <c r="AW262" s="33">
        <f t="shared" si="120"/>
        <v>3.0379746835443037E-2</v>
      </c>
      <c r="AX262" s="38">
        <v>66</v>
      </c>
      <c r="AY262" s="33">
        <f t="shared" si="131"/>
        <v>0.68</v>
      </c>
      <c r="AZ262" s="218">
        <f t="shared" si="122"/>
        <v>111</v>
      </c>
      <c r="BA262" s="33">
        <v>0.36</v>
      </c>
      <c r="BB262" s="218">
        <f t="shared" si="124"/>
        <v>4</v>
      </c>
    </row>
    <row r="263" spans="1:54" x14ac:dyDescent="0.2">
      <c r="A263" t="str">
        <f>INDEX(Prioritization!$D:$D,MATCH($B263,Prioritization!$A:$A,0))</f>
        <v>4 - Sustained</v>
      </c>
      <c r="B263" t="s">
        <v>303</v>
      </c>
      <c r="C263" t="s">
        <v>477</v>
      </c>
      <c r="D263" t="s">
        <v>30</v>
      </c>
      <c r="E263" t="str">
        <f t="shared" si="99"/>
        <v>Nkhotakota District [YCKiBAp8QAg]|35-49|Female</v>
      </c>
      <c r="F263" s="33">
        <f>IF(LEFT($B263,4)="_Mil","",INDEX(Cascade!$AA:$AA,MATCH($E263,Cascade!$E:$E,0)))</f>
        <v>0.98257627400000003</v>
      </c>
      <c r="G263" s="38">
        <f>INDEX(Cascade!$BH:$BH,MATCH($E263,Cascade!$E:$E,0))</f>
        <v>187</v>
      </c>
      <c r="H263" s="38">
        <f>IF(OR($C263="01-09",$D263="Male"),"",INDEX(PMTCT!$AC:$AC,MATCH($E263,PMTCT!$E:$E,0)))</f>
        <v>15</v>
      </c>
      <c r="I263" s="38">
        <f>IF(OR($C263="01-09",$D263="Male"),"",INDEX(PMTCT!$AS:$AS,MATCH($E263,PMTCT!$E:$E,0)))</f>
        <v>6</v>
      </c>
      <c r="J263" s="38">
        <f>INDEX(TB!$P:$P,MATCH($E263,TB!$E:$E,0))</f>
        <v>2</v>
      </c>
      <c r="K263" s="38" t="str">
        <f>IF(OR($C263="01-09",$C263="10-14",$D263="Female"),"",INDEX(VMMC!$AA:$AA,MATCH($E263,VMMC!$E:$E,0)))</f>
        <v/>
      </c>
      <c r="L263" s="38">
        <f t="shared" si="100"/>
        <v>164</v>
      </c>
      <c r="M263" s="33">
        <f t="shared" si="101"/>
        <v>8.0213903743315509E-2</v>
      </c>
      <c r="N263" s="33">
        <f t="shared" si="102"/>
        <v>3.2085561497326207E-2</v>
      </c>
      <c r="O263" s="33">
        <f t="shared" si="103"/>
        <v>1.06951871657754E-2</v>
      </c>
      <c r="P263" s="33" t="str">
        <f t="shared" si="104"/>
        <v/>
      </c>
      <c r="Q263" s="33">
        <v>0.215</v>
      </c>
      <c r="R263" s="33"/>
      <c r="S263" s="33"/>
      <c r="T263" s="33">
        <v>0.05</v>
      </c>
      <c r="U263" s="33">
        <f t="shared" si="127"/>
        <v>0.61200534759358294</v>
      </c>
      <c r="V263" s="33">
        <f t="shared" si="105"/>
        <v>1</v>
      </c>
      <c r="W263" s="218">
        <f t="shared" si="106"/>
        <v>40</v>
      </c>
      <c r="X263" s="33">
        <v>0.314</v>
      </c>
      <c r="Y263" s="218">
        <f t="shared" si="106"/>
        <v>40</v>
      </c>
      <c r="Z263" s="218">
        <f t="shared" si="107"/>
        <v>87</v>
      </c>
      <c r="AA263" s="33">
        <v>0.12</v>
      </c>
      <c r="AB263" s="218" t="str">
        <f t="shared" si="108"/>
        <v/>
      </c>
      <c r="AC263" s="218" t="str">
        <f t="shared" si="125"/>
        <v/>
      </c>
      <c r="AD263" s="33">
        <v>0.02</v>
      </c>
      <c r="AE263" s="218" t="str">
        <f t="shared" si="109"/>
        <v/>
      </c>
      <c r="AF263" s="218" t="str">
        <f t="shared" si="110"/>
        <v/>
      </c>
      <c r="AG263" s="33">
        <v>0.02</v>
      </c>
      <c r="AH263" s="218">
        <f t="shared" si="111"/>
        <v>9</v>
      </c>
      <c r="AI263" s="218">
        <f t="shared" si="112"/>
        <v>441</v>
      </c>
      <c r="AJ263" s="33">
        <v>3.5999999999999997E-2</v>
      </c>
      <c r="AK263" s="218">
        <f t="shared" si="113"/>
        <v>114</v>
      </c>
      <c r="AL263" s="218">
        <f t="shared" si="114"/>
        <v>3053</v>
      </c>
      <c r="AM263" s="38">
        <f t="shared" si="115"/>
        <v>187</v>
      </c>
      <c r="AN263" s="38">
        <f t="shared" si="116"/>
        <v>185.99999999999997</v>
      </c>
      <c r="AO263" s="38">
        <f t="shared" si="117"/>
        <v>-1.0000000000000284</v>
      </c>
      <c r="AP263" s="38">
        <f>IF(OR($C263="01-09",$D263="Male"),"",INDEX(PMTCT!$AD:$AD,MATCH($E263,PMTCT!$E:$E,0)))</f>
        <v>1466</v>
      </c>
      <c r="AQ263" s="38">
        <f>IF(OR($C263="01-09",$D263="Male"),"",INDEX(PMTCT!$AT:$AT,MATCH($E263,PMTCT!$E:$E,0)))</f>
        <v>1460</v>
      </c>
      <c r="AR263" s="38">
        <f>INDEX(TB!$Q:$Q,MATCH($E263,TB!$E:$E,0))</f>
        <v>23</v>
      </c>
      <c r="AS263" s="38" t="str">
        <f>IF(OR($C263="01-09",$C263="10-14",$D263="Female"),"",INDEX(VMMC!$AB:$AB,MATCH($E263,VMMC!$E:$E,0)))</f>
        <v/>
      </c>
      <c r="AT263" s="38">
        <f>IF(OR($C263="01-09",$C263="10-14"),"",INDEX(PrEP!$Q:$Q,MATCH($E263,PrEP!$E:$E,0)))</f>
        <v>120</v>
      </c>
      <c r="AU263" s="38">
        <f t="shared" si="118"/>
        <v>6650</v>
      </c>
      <c r="AV263" s="38">
        <f t="shared" si="119"/>
        <v>6836</v>
      </c>
      <c r="AW263" s="33">
        <f t="shared" si="120"/>
        <v>2.7208894090111173E-2</v>
      </c>
      <c r="AX263" s="38">
        <v>76</v>
      </c>
      <c r="AY263" s="33">
        <f t="shared" si="131"/>
        <v>0.68</v>
      </c>
      <c r="AZ263" s="218">
        <f t="shared" si="122"/>
        <v>128</v>
      </c>
      <c r="BA263" s="33">
        <v>0.36</v>
      </c>
      <c r="BB263" s="218">
        <f t="shared" si="124"/>
        <v>67</v>
      </c>
    </row>
    <row r="264" spans="1:54" x14ac:dyDescent="0.2">
      <c r="A264" t="str">
        <f>INDEX(Prioritization!$D:$D,MATCH($B264,Prioritization!$A:$A,0))</f>
        <v>4 - Sustained</v>
      </c>
      <c r="B264" t="s">
        <v>303</v>
      </c>
      <c r="C264" t="s">
        <v>477</v>
      </c>
      <c r="D264" t="s">
        <v>48</v>
      </c>
      <c r="E264" t="str">
        <f t="shared" si="99"/>
        <v>Nkhotakota District [YCKiBAp8QAg]|35-49|Male</v>
      </c>
      <c r="F264" s="33">
        <f>IF(LEFT($B264,4)="_Mil","",INDEX(Cascade!$AA:$AA,MATCH($E264,Cascade!$E:$E,0)))</f>
        <v>0.92371606699999997</v>
      </c>
      <c r="G264" s="38">
        <f>INDEX(Cascade!$BH:$BH,MATCH($E264,Cascade!$E:$E,0))</f>
        <v>45</v>
      </c>
      <c r="H264" s="38" t="str">
        <f>IF(OR($C264="01-09",$D264="Male"),"",INDEX(PMTCT!$AC:$AC,MATCH($E264,PMTCT!$E:$E,0)))</f>
        <v/>
      </c>
      <c r="I264" s="38" t="str">
        <f>IF(OR($C264="01-09",$D264="Male"),"",INDEX(PMTCT!$AS:$AS,MATCH($E264,PMTCT!$E:$E,0)))</f>
        <v/>
      </c>
      <c r="J264" s="38">
        <f>INDEX(TB!$P:$P,MATCH($E264,TB!$E:$E,0))</f>
        <v>2</v>
      </c>
      <c r="K264" s="38" t="str">
        <f>IF(OR($C264="01-09",$C264="10-14",$D264="Female"),"",INDEX(VMMC!$AA:$AA,MATCH($E264,VMMC!$E:$E,0)))</f>
        <v/>
      </c>
      <c r="L264" s="38">
        <f t="shared" si="100"/>
        <v>43</v>
      </c>
      <c r="M264" s="33" t="str">
        <f t="shared" si="101"/>
        <v/>
      </c>
      <c r="N264" s="33" t="str">
        <f t="shared" si="102"/>
        <v/>
      </c>
      <c r="O264" s="33">
        <f t="shared" si="103"/>
        <v>4.4444444444444446E-2</v>
      </c>
      <c r="P264" s="33">
        <f t="shared" si="104"/>
        <v>0</v>
      </c>
      <c r="Q264" s="33">
        <v>0.394736842105263</v>
      </c>
      <c r="R264" s="33"/>
      <c r="S264" s="33"/>
      <c r="T264" s="33">
        <v>0.05</v>
      </c>
      <c r="U264" s="33">
        <f t="shared" si="127"/>
        <v>0.51081871345029262</v>
      </c>
      <c r="V264" s="33">
        <f t="shared" si="105"/>
        <v>1</v>
      </c>
      <c r="W264" s="218">
        <f t="shared" si="106"/>
        <v>18</v>
      </c>
      <c r="X264" s="33">
        <v>0.24099999999999999</v>
      </c>
      <c r="Y264" s="218">
        <f t="shared" si="106"/>
        <v>18</v>
      </c>
      <c r="Z264" s="218">
        <f t="shared" si="107"/>
        <v>57</v>
      </c>
      <c r="AA264" s="33">
        <v>0.12</v>
      </c>
      <c r="AB264" s="218" t="str">
        <f t="shared" si="108"/>
        <v/>
      </c>
      <c r="AC264" s="218" t="str">
        <f t="shared" si="125"/>
        <v/>
      </c>
      <c r="AD264" s="33">
        <v>0.02</v>
      </c>
      <c r="AE264" s="218" t="str">
        <f t="shared" si="109"/>
        <v/>
      </c>
      <c r="AF264" s="218" t="str">
        <f t="shared" si="110"/>
        <v/>
      </c>
      <c r="AG264" s="33">
        <v>0.02</v>
      </c>
      <c r="AH264" s="218">
        <f t="shared" si="111"/>
        <v>2</v>
      </c>
      <c r="AI264" s="218">
        <f t="shared" si="112"/>
        <v>98</v>
      </c>
      <c r="AJ264" s="33">
        <v>4.3999999999999997E-2</v>
      </c>
      <c r="AK264" s="218">
        <f t="shared" si="113"/>
        <v>23</v>
      </c>
      <c r="AL264" s="218">
        <f t="shared" si="114"/>
        <v>500</v>
      </c>
      <c r="AM264" s="38">
        <f t="shared" si="115"/>
        <v>45</v>
      </c>
      <c r="AN264" s="38">
        <f t="shared" si="116"/>
        <v>45</v>
      </c>
      <c r="AO264" s="38">
        <f t="shared" si="117"/>
        <v>0</v>
      </c>
      <c r="AP264" s="38" t="str">
        <f>IF(OR($C264="01-09",$D264="Male"),"",INDEX(PMTCT!$AD:$AD,MATCH($E264,PMTCT!$E:$E,0)))</f>
        <v/>
      </c>
      <c r="AQ264" s="38" t="str">
        <f>IF(OR($C264="01-09",$D264="Male"),"",INDEX(PMTCT!$AT:$AT,MATCH($E264,PMTCT!$E:$E,0)))</f>
        <v/>
      </c>
      <c r="AR264" s="38">
        <f>INDEX(TB!$Q:$Q,MATCH($E264,TB!$E:$E,0))</f>
        <v>27</v>
      </c>
      <c r="AS264" s="38" t="str">
        <f>IF(OR($C264="01-09",$C264="10-14",$D264="Female"),"",INDEX(VMMC!$AB:$AB,MATCH($E264,VMMC!$E:$E,0)))</f>
        <v/>
      </c>
      <c r="AT264" s="38">
        <f>IF(OR($C264="01-09",$C264="10-14"),"",INDEX(PrEP!$Q:$Q,MATCH($E264,PrEP!$E:$E,0)))</f>
        <v>72</v>
      </c>
      <c r="AU264" s="38">
        <f t="shared" si="118"/>
        <v>754</v>
      </c>
      <c r="AV264" s="38">
        <f t="shared" si="119"/>
        <v>799</v>
      </c>
      <c r="AW264" s="33">
        <f t="shared" si="120"/>
        <v>5.6320400500625784E-2</v>
      </c>
      <c r="AX264" s="38">
        <v>56</v>
      </c>
      <c r="AY264" s="33">
        <f t="shared" si="131"/>
        <v>0.68</v>
      </c>
      <c r="AZ264" s="218">
        <f t="shared" si="122"/>
        <v>94</v>
      </c>
      <c r="BA264" s="33">
        <v>0.36</v>
      </c>
      <c r="BB264" s="218">
        <f t="shared" si="124"/>
        <v>16</v>
      </c>
    </row>
    <row r="265" spans="1:54" x14ac:dyDescent="0.2">
      <c r="A265" t="str">
        <f>INDEX(Prioritization!$D:$D,MATCH($B265,Prioritization!$A:$A,0))</f>
        <v>4 - Sustained</v>
      </c>
      <c r="B265" t="s">
        <v>303</v>
      </c>
      <c r="C265" t="s">
        <v>478</v>
      </c>
      <c r="D265" t="s">
        <v>30</v>
      </c>
      <c r="E265" t="str">
        <f t="shared" si="99"/>
        <v>Nkhotakota District [YCKiBAp8QAg]|50+|Female</v>
      </c>
      <c r="F265" s="33">
        <f>IF(LEFT($B265,4)="_Mil","",INDEX(Cascade!$AA:$AA,MATCH($E265,Cascade!$E:$E,0)))</f>
        <v>0.98803872700000006</v>
      </c>
      <c r="G265" s="38">
        <f>INDEX(Cascade!$BH:$BH,MATCH($E265,Cascade!$E:$E,0))</f>
        <v>100</v>
      </c>
      <c r="H265" s="38" t="str">
        <f>IF(OR($C265="01-09",$D265="Male"),"",INDEX(PMTCT!$AC:$AC,MATCH($E265,PMTCT!$E:$E,0)))</f>
        <v/>
      </c>
      <c r="I265" s="38" t="str">
        <f>IF(OR($C265="01-09",$D265="Male"),"",INDEX(PMTCT!$AS:$AS,MATCH($E265,PMTCT!$E:$E,0)))</f>
        <v/>
      </c>
      <c r="J265" s="38">
        <f>INDEX(TB!$P:$P,MATCH($E265,TB!$E:$E,0))</f>
        <v>0</v>
      </c>
      <c r="K265" s="38" t="str">
        <f>IF(OR($C265="01-09",$C265="10-14",$D265="Female"),"",INDEX(VMMC!$AA:$AA,MATCH($E265,VMMC!$E:$E,0)))</f>
        <v/>
      </c>
      <c r="L265" s="38">
        <f t="shared" si="100"/>
        <v>100</v>
      </c>
      <c r="M265" s="33">
        <f t="shared" si="101"/>
        <v>0</v>
      </c>
      <c r="N265" s="33">
        <f t="shared" si="102"/>
        <v>0</v>
      </c>
      <c r="O265" s="33">
        <f t="shared" si="103"/>
        <v>0</v>
      </c>
      <c r="P265" s="33" t="str">
        <f t="shared" si="104"/>
        <v/>
      </c>
      <c r="Q265" s="33">
        <v>0.15</v>
      </c>
      <c r="R265" s="33"/>
      <c r="S265" s="33"/>
      <c r="T265" s="33">
        <v>0.05</v>
      </c>
      <c r="U265" s="33">
        <f t="shared" si="127"/>
        <v>0.8</v>
      </c>
      <c r="V265" s="33">
        <f t="shared" si="105"/>
        <v>1</v>
      </c>
      <c r="W265" s="218">
        <f t="shared" si="106"/>
        <v>15</v>
      </c>
      <c r="X265" s="33">
        <v>0.222</v>
      </c>
      <c r="Y265" s="218">
        <f t="shared" si="106"/>
        <v>15</v>
      </c>
      <c r="Z265" s="218">
        <f t="shared" si="107"/>
        <v>53</v>
      </c>
      <c r="AA265" s="33">
        <v>0.12</v>
      </c>
      <c r="AB265" s="218" t="str">
        <f t="shared" si="108"/>
        <v/>
      </c>
      <c r="AC265" s="218" t="str">
        <f t="shared" si="125"/>
        <v/>
      </c>
      <c r="AD265" s="33">
        <v>0.02</v>
      </c>
      <c r="AE265" s="218" t="str">
        <f t="shared" si="109"/>
        <v/>
      </c>
      <c r="AF265" s="218" t="str">
        <f t="shared" si="110"/>
        <v/>
      </c>
      <c r="AG265" s="33">
        <v>0.02</v>
      </c>
      <c r="AH265" s="218">
        <f t="shared" si="111"/>
        <v>5</v>
      </c>
      <c r="AI265" s="218">
        <f t="shared" si="112"/>
        <v>245</v>
      </c>
      <c r="AJ265" s="33">
        <v>4.2000000000000003E-2</v>
      </c>
      <c r="AK265" s="218">
        <f t="shared" si="113"/>
        <v>80</v>
      </c>
      <c r="AL265" s="218">
        <f t="shared" si="114"/>
        <v>1825</v>
      </c>
      <c r="AM265" s="38">
        <f t="shared" si="115"/>
        <v>100</v>
      </c>
      <c r="AN265" s="38">
        <f t="shared" si="116"/>
        <v>100</v>
      </c>
      <c r="AO265" s="38">
        <f t="shared" si="117"/>
        <v>0</v>
      </c>
      <c r="AP265" s="38" t="str">
        <f>IF(OR($C265="01-09",$D265="Male"),"",INDEX(PMTCT!$AD:$AD,MATCH($E265,PMTCT!$E:$E,0)))</f>
        <v/>
      </c>
      <c r="AQ265" s="38" t="str">
        <f>IF(OR($C265="01-09",$D265="Male"),"",INDEX(PMTCT!$AT:$AT,MATCH($E265,PMTCT!$E:$E,0)))</f>
        <v/>
      </c>
      <c r="AR265" s="38">
        <f>INDEX(TB!$Q:$Q,MATCH($E265,TB!$E:$E,0))</f>
        <v>8</v>
      </c>
      <c r="AS265" s="38" t="str">
        <f>IF(OR($C265="01-09",$C265="10-14",$D265="Female"),"",INDEX(VMMC!$AB:$AB,MATCH($E265,VMMC!$E:$E,0)))</f>
        <v/>
      </c>
      <c r="AT265" s="38">
        <f>IF(OR($C265="01-09",$C265="10-14"),"",INDEX(PrEP!$Q:$Q,MATCH($E265,PrEP!$E:$E,0)))</f>
        <v>36</v>
      </c>
      <c r="AU265" s="38">
        <f t="shared" si="118"/>
        <v>2167</v>
      </c>
      <c r="AV265" s="38">
        <f t="shared" si="119"/>
        <v>2267</v>
      </c>
      <c r="AW265" s="33">
        <f t="shared" si="120"/>
        <v>4.4111160123511246E-2</v>
      </c>
      <c r="AX265" s="38">
        <v>51</v>
      </c>
      <c r="AY265" s="33">
        <f t="shared" si="121"/>
        <v>0</v>
      </c>
      <c r="AZ265" s="218">
        <f t="shared" si="122"/>
        <v>51</v>
      </c>
      <c r="BA265" s="33">
        <v>0.36</v>
      </c>
      <c r="BB265" s="218">
        <f t="shared" si="124"/>
        <v>36</v>
      </c>
    </row>
    <row r="266" spans="1:54" x14ac:dyDescent="0.2">
      <c r="A266" t="str">
        <f>INDEX(Prioritization!$D:$D,MATCH($B266,Prioritization!$A:$A,0))</f>
        <v>4 - Sustained</v>
      </c>
      <c r="B266" t="s">
        <v>303</v>
      </c>
      <c r="C266" t="s">
        <v>478</v>
      </c>
      <c r="D266" t="s">
        <v>48</v>
      </c>
      <c r="E266" t="str">
        <f t="shared" si="99"/>
        <v>Nkhotakota District [YCKiBAp8QAg]|50+|Male</v>
      </c>
      <c r="F266" s="33">
        <f>IF(LEFT($B266,4)="_Mil","",INDEX(Cascade!$AA:$AA,MATCH($E266,Cascade!$E:$E,0)))</f>
        <v>0.9475505540000001</v>
      </c>
      <c r="G266" s="38">
        <f>INDEX(Cascade!$BH:$BH,MATCH($E266,Cascade!$E:$E,0))</f>
        <v>64</v>
      </c>
      <c r="H266" s="38" t="str">
        <f>IF(OR($C266="01-09",$D266="Male"),"",INDEX(PMTCT!$AC:$AC,MATCH($E266,PMTCT!$E:$E,0)))</f>
        <v/>
      </c>
      <c r="I266" s="38" t="str">
        <f>IF(OR($C266="01-09",$D266="Male"),"",INDEX(PMTCT!$AS:$AS,MATCH($E266,PMTCT!$E:$E,0)))</f>
        <v/>
      </c>
      <c r="J266" s="38">
        <f>INDEX(TB!$P:$P,MATCH($E266,TB!$E:$E,0))</f>
        <v>1</v>
      </c>
      <c r="K266" s="38" t="str">
        <f>IF(OR($C266="01-09",$C266="10-14",$D266="Female"),"",INDEX(VMMC!$AA:$AA,MATCH($E266,VMMC!$E:$E,0)))</f>
        <v/>
      </c>
      <c r="L266" s="38">
        <f t="shared" si="100"/>
        <v>63</v>
      </c>
      <c r="M266" s="33" t="str">
        <f t="shared" si="101"/>
        <v/>
      </c>
      <c r="N266" s="33" t="str">
        <f t="shared" si="102"/>
        <v/>
      </c>
      <c r="O266" s="33">
        <f t="shared" si="103"/>
        <v>1.5625E-2</v>
      </c>
      <c r="P266" s="33">
        <f t="shared" si="104"/>
        <v>0</v>
      </c>
      <c r="Q266" s="33">
        <v>0.15</v>
      </c>
      <c r="R266" s="33"/>
      <c r="S266" s="33"/>
      <c r="T266" s="33">
        <v>0.05</v>
      </c>
      <c r="U266" s="33">
        <f t="shared" si="127"/>
        <v>0.78437500000000004</v>
      </c>
      <c r="V266" s="33">
        <f t="shared" si="105"/>
        <v>1</v>
      </c>
      <c r="W266" s="218">
        <f t="shared" si="106"/>
        <v>10</v>
      </c>
      <c r="X266" s="33">
        <v>0.26800000000000002</v>
      </c>
      <c r="Y266" s="218">
        <f t="shared" si="106"/>
        <v>10</v>
      </c>
      <c r="Z266" s="218">
        <f t="shared" si="107"/>
        <v>27</v>
      </c>
      <c r="AA266" s="33">
        <v>0.12</v>
      </c>
      <c r="AB266" s="218" t="str">
        <f t="shared" si="108"/>
        <v/>
      </c>
      <c r="AC266" s="218" t="str">
        <f t="shared" si="125"/>
        <v/>
      </c>
      <c r="AD266" s="33">
        <v>0.02</v>
      </c>
      <c r="AE266" s="218" t="str">
        <f t="shared" si="109"/>
        <v/>
      </c>
      <c r="AF266" s="218" t="str">
        <f t="shared" si="110"/>
        <v/>
      </c>
      <c r="AG266" s="33">
        <v>0.02</v>
      </c>
      <c r="AH266" s="218">
        <f t="shared" si="111"/>
        <v>3</v>
      </c>
      <c r="AI266" s="218">
        <f t="shared" si="112"/>
        <v>147</v>
      </c>
      <c r="AJ266" s="33">
        <v>3.7999999999999999E-2</v>
      </c>
      <c r="AK266" s="218">
        <f t="shared" si="113"/>
        <v>50</v>
      </c>
      <c r="AL266" s="218">
        <f t="shared" si="114"/>
        <v>1266</v>
      </c>
      <c r="AM266" s="38">
        <f t="shared" si="115"/>
        <v>64</v>
      </c>
      <c r="AN266" s="38">
        <f t="shared" si="116"/>
        <v>64</v>
      </c>
      <c r="AO266" s="38">
        <f t="shared" si="117"/>
        <v>0</v>
      </c>
      <c r="AP266" s="38" t="str">
        <f>IF(OR($C266="01-09",$D266="Male"),"",INDEX(PMTCT!$AD:$AD,MATCH($E266,PMTCT!$E:$E,0)))</f>
        <v/>
      </c>
      <c r="AQ266" s="38" t="str">
        <f>IF(OR($C266="01-09",$D266="Male"),"",INDEX(PMTCT!$AT:$AT,MATCH($E266,PMTCT!$E:$E,0)))</f>
        <v/>
      </c>
      <c r="AR266" s="38">
        <f>INDEX(TB!$Q:$Q,MATCH($E266,TB!$E:$E,0))</f>
        <v>8</v>
      </c>
      <c r="AS266" s="38" t="str">
        <f>IF(OR($C266="01-09",$C266="10-14",$D266="Female"),"",INDEX(VMMC!$AB:$AB,MATCH($E266,VMMC!$E:$E,0)))</f>
        <v/>
      </c>
      <c r="AT266" s="38">
        <f>IF(OR($C266="01-09",$C266="10-14"),"",INDEX(PrEP!$Q:$Q,MATCH($E266,PrEP!$E:$E,0)))</f>
        <v>42</v>
      </c>
      <c r="AU266" s="38">
        <f t="shared" si="118"/>
        <v>1490</v>
      </c>
      <c r="AV266" s="38">
        <f t="shared" si="119"/>
        <v>1554</v>
      </c>
      <c r="AW266" s="33">
        <f t="shared" si="120"/>
        <v>4.1184041184041183E-2</v>
      </c>
      <c r="AX266" s="38">
        <v>39</v>
      </c>
      <c r="AY266" s="33">
        <f t="shared" si="121"/>
        <v>0</v>
      </c>
      <c r="AZ266" s="218">
        <f t="shared" si="122"/>
        <v>39</v>
      </c>
      <c r="BA266" s="33">
        <v>0.36</v>
      </c>
      <c r="BB266" s="218">
        <f t="shared" si="124"/>
        <v>23</v>
      </c>
    </row>
    <row r="267" spans="1:54" x14ac:dyDescent="0.2">
      <c r="A267" t="str">
        <f>INDEX(Prioritization!$D:$D,MATCH($B267,Prioritization!$A:$A,0))</f>
        <v>INVALID</v>
      </c>
      <c r="B267" t="s">
        <v>322</v>
      </c>
      <c r="C267" t="s">
        <v>473</v>
      </c>
      <c r="D267" t="s">
        <v>30</v>
      </c>
      <c r="E267" t="str">
        <f t="shared" si="99"/>
        <v>Nsanje District [rpw540fmNUz]|01-09|Female</v>
      </c>
      <c r="F267" s="33">
        <f>IF(LEFT($B267,4)="_Mil","",INDEX(Cascade!$AA:$AA,MATCH($E267,Cascade!$E:$E,0)))</f>
        <v>0.82886012499999995</v>
      </c>
      <c r="G267" s="38">
        <f>INDEX(Cascade!$BH:$BH,MATCH($E267,Cascade!$E:$E,0))</f>
        <v>40</v>
      </c>
      <c r="H267" s="38" t="str">
        <f>IF(OR($C267="01-09",$D267="Male"),"",INDEX(PMTCT!$AC:$AC,MATCH($E267,PMTCT!$E:$E,0)))</f>
        <v/>
      </c>
      <c r="I267" s="38" t="str">
        <f>IF(OR($C267="01-09",$D267="Male"),"",INDEX(PMTCT!$AS:$AS,MATCH($E267,PMTCT!$E:$E,0)))</f>
        <v/>
      </c>
      <c r="J267" s="38">
        <f>INDEX(TB!$P:$P,MATCH($E267,TB!$E:$E,0))</f>
        <v>0</v>
      </c>
      <c r="K267" s="38" t="str">
        <f>IF(OR($C267="01-09",$C267="10-14",$D267="Female"),"",INDEX(VMMC!$AA:$AA,MATCH($E267,VMMC!$E:$E,0)))</f>
        <v/>
      </c>
      <c r="L267" s="38">
        <f t="shared" si="100"/>
        <v>40</v>
      </c>
      <c r="M267" s="33" t="str">
        <f t="shared" si="101"/>
        <v/>
      </c>
      <c r="N267" s="33" t="str">
        <f t="shared" si="102"/>
        <v/>
      </c>
      <c r="O267" s="33">
        <f t="shared" si="103"/>
        <v>0</v>
      </c>
      <c r="P267" s="33" t="str">
        <f t="shared" si="104"/>
        <v/>
      </c>
      <c r="Q267" s="33">
        <v>0.42857142857142899</v>
      </c>
      <c r="R267" s="33"/>
      <c r="S267" s="33"/>
      <c r="T267" s="33"/>
      <c r="U267" s="33">
        <f t="shared" si="127"/>
        <v>0.57142857142857095</v>
      </c>
      <c r="V267" s="33">
        <f t="shared" si="105"/>
        <v>1</v>
      </c>
      <c r="W267" s="218">
        <f t="shared" si="106"/>
        <v>17</v>
      </c>
      <c r="X267" s="33">
        <v>4.8000000000000001E-2</v>
      </c>
      <c r="Y267" s="218">
        <f t="shared" si="106"/>
        <v>17</v>
      </c>
      <c r="Z267" s="218">
        <f t="shared" si="107"/>
        <v>337</v>
      </c>
      <c r="AA267" s="33">
        <v>0.12</v>
      </c>
      <c r="AB267" s="218" t="str">
        <f t="shared" si="108"/>
        <v/>
      </c>
      <c r="AC267" s="218" t="str">
        <f t="shared" si="125"/>
        <v/>
      </c>
      <c r="AD267" s="33">
        <v>0.02</v>
      </c>
      <c r="AE267" s="218" t="str">
        <f t="shared" si="109"/>
        <v/>
      </c>
      <c r="AF267" s="218" t="str">
        <f t="shared" si="110"/>
        <v/>
      </c>
      <c r="AG267" s="33">
        <v>0.02</v>
      </c>
      <c r="AH267" s="218" t="str">
        <f t="shared" si="111"/>
        <v/>
      </c>
      <c r="AI267" s="218" t="str">
        <f t="shared" si="112"/>
        <v/>
      </c>
      <c r="AJ267" s="33">
        <v>1.0999999999999999E-2</v>
      </c>
      <c r="AK267" s="218">
        <f t="shared" si="113"/>
        <v>23</v>
      </c>
      <c r="AL267" s="218">
        <f t="shared" si="114"/>
        <v>2068</v>
      </c>
      <c r="AM267" s="38">
        <f t="shared" si="115"/>
        <v>40</v>
      </c>
      <c r="AN267" s="38">
        <f t="shared" si="116"/>
        <v>40</v>
      </c>
      <c r="AO267" s="38">
        <f t="shared" si="117"/>
        <v>0</v>
      </c>
      <c r="AP267" s="38" t="str">
        <f>IF(OR($C267="01-09",$D267="Male"),"",INDEX(PMTCT!$AD:$AD,MATCH($E267,PMTCT!$E:$E,0)))</f>
        <v/>
      </c>
      <c r="AQ267" s="38" t="str">
        <f>IF(OR($C267="01-09",$D267="Male"),"",INDEX(PMTCT!$AT:$AT,MATCH($E267,PMTCT!$E:$E,0)))</f>
        <v/>
      </c>
      <c r="AR267" s="38">
        <f>INDEX(TB!$Q:$Q,MATCH($E267,TB!$E:$E,0))</f>
        <v>8</v>
      </c>
      <c r="AS267" s="38" t="str">
        <f>IF(OR($C267="01-09",$C267="10-14",$D267="Female"),"",INDEX(VMMC!$AB:$AB,MATCH($E267,VMMC!$E:$E,0)))</f>
        <v/>
      </c>
      <c r="AT267" s="38" t="str">
        <f>IF(OR($C267="01-09",$C267="10-14"),"",INDEX(PrEP!$Q:$Q,MATCH($E267,PrEP!$E:$E,0)))</f>
        <v/>
      </c>
      <c r="AU267" s="38">
        <f t="shared" si="118"/>
        <v>2413</v>
      </c>
      <c r="AV267" s="38">
        <f t="shared" si="119"/>
        <v>2453</v>
      </c>
      <c r="AW267" s="33">
        <f t="shared" si="120"/>
        <v>1.6306563391765186E-2</v>
      </c>
      <c r="AX267" s="38"/>
      <c r="AY267" s="33" t="str">
        <f t="shared" si="121"/>
        <v/>
      </c>
      <c r="AZ267" s="218" t="str">
        <f t="shared" si="122"/>
        <v/>
      </c>
      <c r="BA267" s="33" t="str">
        <f t="shared" si="123"/>
        <v/>
      </c>
      <c r="BB267" s="218" t="str">
        <f t="shared" si="124"/>
        <v/>
      </c>
    </row>
    <row r="268" spans="1:54" x14ac:dyDescent="0.2">
      <c r="A268" t="str">
        <f>INDEX(Prioritization!$D:$D,MATCH($B268,Prioritization!$A:$A,0))</f>
        <v>INVALID</v>
      </c>
      <c r="B268" t="s">
        <v>322</v>
      </c>
      <c r="C268" t="s">
        <v>473</v>
      </c>
      <c r="D268" t="s">
        <v>48</v>
      </c>
      <c r="E268" t="str">
        <f t="shared" si="99"/>
        <v>Nsanje District [rpw540fmNUz]|01-09|Male</v>
      </c>
      <c r="F268" s="33">
        <f>IF(LEFT($B268,4)="_Mil","",INDEX(Cascade!$AA:$AA,MATCH($E268,Cascade!$E:$E,0)))</f>
        <v>0.82878834199999996</v>
      </c>
      <c r="G268" s="38">
        <f>INDEX(Cascade!$BH:$BH,MATCH($E268,Cascade!$E:$E,0))</f>
        <v>32</v>
      </c>
      <c r="H268" s="38" t="str">
        <f>IF(OR($C268="01-09",$D268="Male"),"",INDEX(PMTCT!$AC:$AC,MATCH($E268,PMTCT!$E:$E,0)))</f>
        <v/>
      </c>
      <c r="I268" s="38" t="str">
        <f>IF(OR($C268="01-09",$D268="Male"),"",INDEX(PMTCT!$AS:$AS,MATCH($E268,PMTCT!$E:$E,0)))</f>
        <v/>
      </c>
      <c r="J268" s="38">
        <f>INDEX(TB!$P:$P,MATCH($E268,TB!$E:$E,0))</f>
        <v>1</v>
      </c>
      <c r="K268" s="38" t="str">
        <f>IF(OR($C268="01-09",$C268="10-14",$D268="Female"),"",INDEX(VMMC!$AA:$AA,MATCH($E268,VMMC!$E:$E,0)))</f>
        <v/>
      </c>
      <c r="L268" s="38">
        <f t="shared" si="100"/>
        <v>31</v>
      </c>
      <c r="M268" s="33" t="str">
        <f t="shared" si="101"/>
        <v/>
      </c>
      <c r="N268" s="33" t="str">
        <f t="shared" si="102"/>
        <v/>
      </c>
      <c r="O268" s="33">
        <f t="shared" si="103"/>
        <v>3.125E-2</v>
      </c>
      <c r="P268" s="33" t="str">
        <f t="shared" si="104"/>
        <v/>
      </c>
      <c r="Q268" s="33">
        <v>0.46666666666666701</v>
      </c>
      <c r="R268" s="33"/>
      <c r="S268" s="33"/>
      <c r="T268" s="33"/>
      <c r="U268" s="33">
        <f t="shared" si="127"/>
        <v>0.50208333333333299</v>
      </c>
      <c r="V268" s="33">
        <f t="shared" si="105"/>
        <v>1</v>
      </c>
      <c r="W268" s="218">
        <f t="shared" si="106"/>
        <v>15</v>
      </c>
      <c r="X268" s="33">
        <v>5.3999999999999999E-2</v>
      </c>
      <c r="Y268" s="218">
        <f t="shared" si="106"/>
        <v>15</v>
      </c>
      <c r="Z268" s="218">
        <f t="shared" si="107"/>
        <v>263</v>
      </c>
      <c r="AA268" s="33">
        <v>0.12</v>
      </c>
      <c r="AB268" s="218" t="str">
        <f t="shared" si="108"/>
        <v/>
      </c>
      <c r="AC268" s="218" t="str">
        <f t="shared" si="125"/>
        <v/>
      </c>
      <c r="AD268" s="33">
        <v>0.02</v>
      </c>
      <c r="AE268" s="218" t="str">
        <f t="shared" si="109"/>
        <v/>
      </c>
      <c r="AF268" s="218" t="str">
        <f t="shared" si="110"/>
        <v/>
      </c>
      <c r="AG268" s="33">
        <v>0.02</v>
      </c>
      <c r="AH268" s="218" t="str">
        <f t="shared" si="111"/>
        <v/>
      </c>
      <c r="AI268" s="218" t="str">
        <f t="shared" si="112"/>
        <v/>
      </c>
      <c r="AJ268" s="33">
        <v>1.0999999999999999E-2</v>
      </c>
      <c r="AK268" s="218">
        <f t="shared" si="113"/>
        <v>16</v>
      </c>
      <c r="AL268" s="218">
        <f t="shared" si="114"/>
        <v>1439</v>
      </c>
      <c r="AM268" s="38">
        <f t="shared" si="115"/>
        <v>32</v>
      </c>
      <c r="AN268" s="38">
        <f t="shared" si="116"/>
        <v>32</v>
      </c>
      <c r="AO268" s="38">
        <f t="shared" si="117"/>
        <v>0</v>
      </c>
      <c r="AP268" s="38" t="str">
        <f>IF(OR($C268="01-09",$D268="Male"),"",INDEX(PMTCT!$AD:$AD,MATCH($E268,PMTCT!$E:$E,0)))</f>
        <v/>
      </c>
      <c r="AQ268" s="38" t="str">
        <f>IF(OR($C268="01-09",$D268="Male"),"",INDEX(PMTCT!$AT:$AT,MATCH($E268,PMTCT!$E:$E,0)))</f>
        <v/>
      </c>
      <c r="AR268" s="38">
        <f>INDEX(TB!$Q:$Q,MATCH($E268,TB!$E:$E,0))</f>
        <v>8</v>
      </c>
      <c r="AS268" s="38" t="str">
        <f>IF(OR($C268="01-09",$C268="10-14",$D268="Female"),"",INDEX(VMMC!$AB:$AB,MATCH($E268,VMMC!$E:$E,0)))</f>
        <v/>
      </c>
      <c r="AT268" s="38" t="str">
        <f>IF(OR($C268="01-09",$C268="10-14"),"",INDEX(PrEP!$Q:$Q,MATCH($E268,PrEP!$E:$E,0)))</f>
        <v/>
      </c>
      <c r="AU268" s="38">
        <f t="shared" si="118"/>
        <v>1710</v>
      </c>
      <c r="AV268" s="38">
        <f t="shared" si="119"/>
        <v>1742</v>
      </c>
      <c r="AW268" s="33">
        <f t="shared" si="120"/>
        <v>1.8369690011481057E-2</v>
      </c>
      <c r="AX268" s="38"/>
      <c r="AY268" s="33" t="str">
        <f t="shared" si="121"/>
        <v/>
      </c>
      <c r="AZ268" s="218" t="str">
        <f t="shared" si="122"/>
        <v/>
      </c>
      <c r="BA268" s="33" t="str">
        <f t="shared" si="123"/>
        <v/>
      </c>
      <c r="BB268" s="218" t="str">
        <f t="shared" si="124"/>
        <v/>
      </c>
    </row>
    <row r="269" spans="1:54" x14ac:dyDescent="0.2">
      <c r="A269" t="str">
        <f>INDEX(Prioritization!$D:$D,MATCH($B269,Prioritization!$A:$A,0))</f>
        <v>INVALID</v>
      </c>
      <c r="B269" t="s">
        <v>322</v>
      </c>
      <c r="C269" t="s">
        <v>474</v>
      </c>
      <c r="D269" t="s">
        <v>30</v>
      </c>
      <c r="E269" t="str">
        <f t="shared" si="99"/>
        <v>Nsanje District [rpw540fmNUz]|10-14|Female</v>
      </c>
      <c r="F269" s="33">
        <f>IF(LEFT($B269,4)="_Mil","",INDEX(Cascade!$AA:$AA,MATCH($E269,Cascade!$E:$E,0)))</f>
        <v>0.85258405900000001</v>
      </c>
      <c r="G269" s="38">
        <f>INDEX(Cascade!$BH:$BH,MATCH($E269,Cascade!$E:$E,0))</f>
        <v>36</v>
      </c>
      <c r="H269" s="38">
        <f>IF(OR($C269="01-09",$D269="Male"),"",INDEX(PMTCT!$AC:$AC,MATCH($E269,PMTCT!$E:$E,0)))</f>
        <v>1</v>
      </c>
      <c r="I269" s="38">
        <f>IF(OR($C269="01-09",$D269="Male"),"",INDEX(PMTCT!$AS:$AS,MATCH($E269,PMTCT!$E:$E,0)))</f>
        <v>0</v>
      </c>
      <c r="J269" s="38">
        <f>INDEX(TB!$P:$P,MATCH($E269,TB!$E:$E,0))</f>
        <v>0</v>
      </c>
      <c r="K269" s="38" t="str">
        <f>IF(OR($C269="01-09",$C269="10-14",$D269="Female"),"",INDEX(VMMC!$AA:$AA,MATCH($E269,VMMC!$E:$E,0)))</f>
        <v/>
      </c>
      <c r="L269" s="38">
        <f t="shared" si="100"/>
        <v>35</v>
      </c>
      <c r="M269" s="33">
        <f t="shared" si="101"/>
        <v>2.7777777777777776E-2</v>
      </c>
      <c r="N269" s="33">
        <f t="shared" si="102"/>
        <v>0</v>
      </c>
      <c r="O269" s="33">
        <f t="shared" si="103"/>
        <v>0</v>
      </c>
      <c r="P269" s="33" t="str">
        <f t="shared" si="104"/>
        <v/>
      </c>
      <c r="Q269" s="33">
        <v>0.42857142857142899</v>
      </c>
      <c r="R269" s="33"/>
      <c r="S269" s="33"/>
      <c r="T269" s="33"/>
      <c r="U269" s="33">
        <f t="shared" si="127"/>
        <v>0.54365079365079327</v>
      </c>
      <c r="V269" s="33">
        <f t="shared" si="105"/>
        <v>1</v>
      </c>
      <c r="W269" s="218">
        <f t="shared" si="106"/>
        <v>15</v>
      </c>
      <c r="X269" s="33">
        <v>1.4999999999999999E-2</v>
      </c>
      <c r="Y269" s="218">
        <f t="shared" si="106"/>
        <v>15</v>
      </c>
      <c r="Z269" s="218">
        <f t="shared" si="107"/>
        <v>985</v>
      </c>
      <c r="AA269" s="33">
        <v>0.12</v>
      </c>
      <c r="AB269" s="218" t="str">
        <f t="shared" si="108"/>
        <v/>
      </c>
      <c r="AC269" s="218" t="str">
        <f t="shared" si="125"/>
        <v/>
      </c>
      <c r="AD269" s="33">
        <v>0.02</v>
      </c>
      <c r="AE269" s="218" t="str">
        <f t="shared" si="109"/>
        <v/>
      </c>
      <c r="AF269" s="218" t="str">
        <f t="shared" si="110"/>
        <v/>
      </c>
      <c r="AG269" s="33">
        <v>0.02</v>
      </c>
      <c r="AH269" s="218" t="str">
        <f t="shared" si="111"/>
        <v/>
      </c>
      <c r="AI269" s="218" t="str">
        <f t="shared" si="112"/>
        <v/>
      </c>
      <c r="AJ269" s="33">
        <v>0.03</v>
      </c>
      <c r="AK269" s="218">
        <f t="shared" si="113"/>
        <v>20</v>
      </c>
      <c r="AL269" s="218">
        <f t="shared" si="114"/>
        <v>647</v>
      </c>
      <c r="AM269" s="38">
        <f t="shared" si="115"/>
        <v>36</v>
      </c>
      <c r="AN269" s="38">
        <f t="shared" si="116"/>
        <v>36</v>
      </c>
      <c r="AO269" s="38">
        <f t="shared" si="117"/>
        <v>0</v>
      </c>
      <c r="AP269" s="38">
        <f>IF(OR($C269="01-09",$D269="Male"),"",INDEX(PMTCT!$AD:$AD,MATCH($E269,PMTCT!$E:$E,0)))</f>
        <v>60</v>
      </c>
      <c r="AQ269" s="38">
        <f>IF(OR($C269="01-09",$D269="Male"),"",INDEX(PMTCT!$AT:$AT,MATCH($E269,PMTCT!$E:$E,0)))</f>
        <v>60</v>
      </c>
      <c r="AR269" s="38">
        <f>INDEX(TB!$Q:$Q,MATCH($E269,TB!$E:$E,0))</f>
        <v>4</v>
      </c>
      <c r="AS269" s="38" t="str">
        <f>IF(OR($C269="01-09",$C269="10-14",$D269="Female"),"",INDEX(VMMC!$AB:$AB,MATCH($E269,VMMC!$E:$E,0)))</f>
        <v/>
      </c>
      <c r="AT269" s="38" t="str">
        <f>IF(OR($C269="01-09",$C269="10-14"),"",INDEX(PrEP!$Q:$Q,MATCH($E269,PrEP!$E:$E,0)))</f>
        <v/>
      </c>
      <c r="AU269" s="38">
        <f t="shared" si="118"/>
        <v>1756</v>
      </c>
      <c r="AV269" s="38">
        <f t="shared" si="119"/>
        <v>1792</v>
      </c>
      <c r="AW269" s="33">
        <f t="shared" si="120"/>
        <v>2.0089285714285716E-2</v>
      </c>
      <c r="AX269" s="38"/>
      <c r="AY269" s="33" t="str">
        <f t="shared" si="121"/>
        <v/>
      </c>
      <c r="AZ269" s="218" t="str">
        <f t="shared" si="122"/>
        <v/>
      </c>
      <c r="BA269" s="33" t="str">
        <f t="shared" si="123"/>
        <v/>
      </c>
      <c r="BB269" s="218" t="str">
        <f t="shared" si="124"/>
        <v/>
      </c>
    </row>
    <row r="270" spans="1:54" x14ac:dyDescent="0.2">
      <c r="A270" t="str">
        <f>INDEX(Prioritization!$D:$D,MATCH($B270,Prioritization!$A:$A,0))</f>
        <v>INVALID</v>
      </c>
      <c r="B270" t="s">
        <v>322</v>
      </c>
      <c r="C270" t="s">
        <v>474</v>
      </c>
      <c r="D270" t="s">
        <v>48</v>
      </c>
      <c r="E270" t="str">
        <f t="shared" si="99"/>
        <v>Nsanje District [rpw540fmNUz]|10-14|Male</v>
      </c>
      <c r="F270" s="33">
        <f>IF(LEFT($B270,4)="_Mil","",INDEX(Cascade!$AA:$AA,MATCH($E270,Cascade!$E:$E,0)))</f>
        <v>0.85231247799999998</v>
      </c>
      <c r="G270" s="38">
        <f>INDEX(Cascade!$BH:$BH,MATCH($E270,Cascade!$E:$E,0))</f>
        <v>24</v>
      </c>
      <c r="H270" s="38" t="str">
        <f>IF(OR($C270="01-09",$D270="Male"),"",INDEX(PMTCT!$AC:$AC,MATCH($E270,PMTCT!$E:$E,0)))</f>
        <v/>
      </c>
      <c r="I270" s="38" t="str">
        <f>IF(OR($C270="01-09",$D270="Male"),"",INDEX(PMTCT!$AS:$AS,MATCH($E270,PMTCT!$E:$E,0)))</f>
        <v/>
      </c>
      <c r="J270" s="38">
        <f>INDEX(TB!$P:$P,MATCH($E270,TB!$E:$E,0))</f>
        <v>0</v>
      </c>
      <c r="K270" s="38" t="str">
        <f>IF(OR($C270="01-09",$C270="10-14",$D270="Female"),"",INDEX(VMMC!$AA:$AA,MATCH($E270,VMMC!$E:$E,0)))</f>
        <v/>
      </c>
      <c r="L270" s="38">
        <f t="shared" si="100"/>
        <v>24</v>
      </c>
      <c r="M270" s="33" t="str">
        <f t="shared" si="101"/>
        <v/>
      </c>
      <c r="N270" s="33" t="str">
        <f t="shared" si="102"/>
        <v/>
      </c>
      <c r="O270" s="33">
        <f t="shared" si="103"/>
        <v>0</v>
      </c>
      <c r="P270" s="33" t="str">
        <f t="shared" si="104"/>
        <v/>
      </c>
      <c r="Q270" s="33">
        <v>0.57777777777777795</v>
      </c>
      <c r="R270" s="33"/>
      <c r="S270" s="33"/>
      <c r="T270" s="33"/>
      <c r="U270" s="33">
        <f t="shared" si="127"/>
        <v>0.42222222222222205</v>
      </c>
      <c r="V270" s="33">
        <f t="shared" si="105"/>
        <v>1</v>
      </c>
      <c r="W270" s="218">
        <f t="shared" si="106"/>
        <v>14</v>
      </c>
      <c r="X270" s="33">
        <v>1.4999999999999999E-2</v>
      </c>
      <c r="Y270" s="218">
        <f t="shared" si="106"/>
        <v>14</v>
      </c>
      <c r="Z270" s="218">
        <f t="shared" si="107"/>
        <v>919</v>
      </c>
      <c r="AA270" s="33">
        <v>0.12</v>
      </c>
      <c r="AB270" s="218" t="str">
        <f t="shared" si="108"/>
        <v/>
      </c>
      <c r="AC270" s="218" t="str">
        <f t="shared" si="125"/>
        <v/>
      </c>
      <c r="AD270" s="33">
        <v>0.02</v>
      </c>
      <c r="AE270" s="218" t="str">
        <f t="shared" si="109"/>
        <v/>
      </c>
      <c r="AF270" s="218" t="str">
        <f t="shared" si="110"/>
        <v/>
      </c>
      <c r="AG270" s="33">
        <v>0.02</v>
      </c>
      <c r="AH270" s="218" t="str">
        <f t="shared" si="111"/>
        <v/>
      </c>
      <c r="AI270" s="218" t="str">
        <f t="shared" si="112"/>
        <v/>
      </c>
      <c r="AJ270" s="33">
        <v>3.3000000000000002E-2</v>
      </c>
      <c r="AK270" s="218">
        <f t="shared" si="113"/>
        <v>10</v>
      </c>
      <c r="AL270" s="218">
        <f t="shared" si="114"/>
        <v>293</v>
      </c>
      <c r="AM270" s="38">
        <f t="shared" si="115"/>
        <v>24</v>
      </c>
      <c r="AN270" s="38">
        <f t="shared" si="116"/>
        <v>24</v>
      </c>
      <c r="AO270" s="38">
        <f t="shared" si="117"/>
        <v>0</v>
      </c>
      <c r="AP270" s="38" t="str">
        <f>IF(OR($C270="01-09",$D270="Male"),"",INDEX(PMTCT!$AD:$AD,MATCH($E270,PMTCT!$E:$E,0)))</f>
        <v/>
      </c>
      <c r="AQ270" s="38" t="str">
        <f>IF(OR($C270="01-09",$D270="Male"),"",INDEX(PMTCT!$AT:$AT,MATCH($E270,PMTCT!$E:$E,0)))</f>
        <v/>
      </c>
      <c r="AR270" s="38">
        <f>INDEX(TB!$Q:$Q,MATCH($E270,TB!$E:$E,0))</f>
        <v>4</v>
      </c>
      <c r="AS270" s="38" t="str">
        <f>IF(OR($C270="01-09",$C270="10-14",$D270="Female"),"",INDEX(VMMC!$AB:$AB,MATCH($E270,VMMC!$E:$E,0)))</f>
        <v/>
      </c>
      <c r="AT270" s="38" t="str">
        <f>IF(OR($C270="01-09",$C270="10-14"),"",INDEX(PrEP!$Q:$Q,MATCH($E270,PrEP!$E:$E,0)))</f>
        <v/>
      </c>
      <c r="AU270" s="38">
        <f t="shared" si="118"/>
        <v>1216</v>
      </c>
      <c r="AV270" s="38">
        <f t="shared" si="119"/>
        <v>1240</v>
      </c>
      <c r="AW270" s="33">
        <f t="shared" si="120"/>
        <v>1.935483870967742E-2</v>
      </c>
      <c r="AX270" s="38"/>
      <c r="AY270" s="33" t="str">
        <f t="shared" si="121"/>
        <v/>
      </c>
      <c r="AZ270" s="218" t="str">
        <f t="shared" si="122"/>
        <v/>
      </c>
      <c r="BA270" s="33" t="str">
        <f t="shared" si="123"/>
        <v/>
      </c>
      <c r="BB270" s="218" t="str">
        <f t="shared" si="124"/>
        <v/>
      </c>
    </row>
    <row r="271" spans="1:54" x14ac:dyDescent="0.2">
      <c r="A271" t="str">
        <f>INDEX(Prioritization!$D:$D,MATCH($B271,Prioritization!$A:$A,0))</f>
        <v>INVALID</v>
      </c>
      <c r="B271" t="s">
        <v>322</v>
      </c>
      <c r="C271" t="s">
        <v>475</v>
      </c>
      <c r="D271" t="s">
        <v>30</v>
      </c>
      <c r="E271" t="str">
        <f t="shared" ref="E271:E334" si="132">$B271&amp;"|"&amp;$C271&amp;"|"&amp;$D271</f>
        <v>Nsanje District [rpw540fmNUz]|15-24|Female</v>
      </c>
      <c r="F271" s="33">
        <f>IF(LEFT($B271,4)="_Mil","",INDEX(Cascade!$AA:$AA,MATCH($E271,Cascade!$E:$E,0)))</f>
        <v>0.95070151899999999</v>
      </c>
      <c r="G271" s="38">
        <f>INDEX(Cascade!$BH:$BH,MATCH($E271,Cascade!$E:$E,0))</f>
        <v>257</v>
      </c>
      <c r="H271" s="38">
        <f>IF(OR($C271="01-09",$D271="Male"),"",INDEX(PMTCT!$AC:$AC,MATCH($E271,PMTCT!$E:$E,0)))</f>
        <v>84</v>
      </c>
      <c r="I271" s="38">
        <f>IF(OR($C271="01-09",$D271="Male"),"",INDEX(PMTCT!$AS:$AS,MATCH($E271,PMTCT!$E:$E,0)))</f>
        <v>39</v>
      </c>
      <c r="J271" s="38">
        <f>INDEX(TB!$P:$P,MATCH($E271,TB!$E:$E,0))</f>
        <v>2</v>
      </c>
      <c r="K271" s="38" t="str">
        <f>IF(OR($C271="01-09",$C271="10-14",$D271="Female"),"",INDEX(VMMC!$AA:$AA,MATCH($E271,VMMC!$E:$E,0)))</f>
        <v/>
      </c>
      <c r="L271" s="38">
        <f t="shared" ref="L271:L334" si="133">SUM($G271)-SUM($H271:$K271)</f>
        <v>132</v>
      </c>
      <c r="M271" s="33">
        <f t="shared" ref="M271:M334" si="134">IF(OR($C271="01-09",$D271="Male",AND(SUM($G271)=0,SUM($H271)=0)),"",SUM($H271)/SUM($G271))</f>
        <v>0.32684824902723736</v>
      </c>
      <c r="N271" s="33">
        <f t="shared" ref="N271:N334" si="135">IF(OR($C271="01-09",$D271="Male",AND(SUM($G271)=0,SUM($I271)=0)),"",SUM($I271)/SUM($G271))</f>
        <v>0.1517509727626459</v>
      </c>
      <c r="O271" s="33">
        <f t="shared" ref="O271:O334" si="136">IF(AND(SUM($G271)=0,SUM($J271)=0),"",SUM($J271)/SUM($G271))</f>
        <v>7.7821011673151752E-3</v>
      </c>
      <c r="P271" s="33" t="str">
        <f t="shared" ref="P271:P334" si="137">IF(OR($C271="01-09",$C271="10-14",$D271="Female",AND(SUM($G271)=0,SUM($K271)=0)),"",SUM($K271)/SUM($G271))</f>
        <v/>
      </c>
      <c r="Q271" s="33">
        <v>0.15</v>
      </c>
      <c r="R271" s="33"/>
      <c r="S271" s="33"/>
      <c r="T271" s="33">
        <v>0.05</v>
      </c>
      <c r="U271" s="33">
        <f t="shared" si="127"/>
        <v>0.31361867704280155</v>
      </c>
      <c r="V271" s="33">
        <f t="shared" ref="V271:V334" si="138">IF(SUM($G271)=0,"",SUM($M271:$U271))</f>
        <v>1</v>
      </c>
      <c r="W271" s="218">
        <f t="shared" ref="W271:Y334" si="139">IF(OR(SUM($G271)=0,SUM($Q271)=0),"",ROUND(SUM($G271)*SUM($Q271),0))</f>
        <v>39</v>
      </c>
      <c r="X271" s="33">
        <v>0.23400000000000001</v>
      </c>
      <c r="Y271" s="218">
        <f t="shared" si="139"/>
        <v>39</v>
      </c>
      <c r="Z271" s="218">
        <f t="shared" ref="Z271:Z334" si="140">IF(SUM($Y271)=0,"",IF(SUM($X271)=0,"ENTER YIELD",ROUND($Y271/$X271,0)-$Y271))</f>
        <v>128</v>
      </c>
      <c r="AA271" s="33">
        <v>0.12</v>
      </c>
      <c r="AB271" s="218" t="str">
        <f t="shared" ref="AB271:AB334" si="141">IF(OR(SUM($G271)=0,SUM($R271)=0),"",ROUND(SUM($G271)*SUM($R271),0))</f>
        <v/>
      </c>
      <c r="AC271" s="218" t="str">
        <f t="shared" ref="AC271:AC334" si="142">IF(SUM($AB271)=0,"",IF(SUM($AA271)=0,"ENTER YIELD",ROUND($AB271/$AA271,0)-$AB271))</f>
        <v/>
      </c>
      <c r="AD271" s="33">
        <v>0.02</v>
      </c>
      <c r="AE271" s="218" t="str">
        <f t="shared" ref="AE271:AE334" si="143">IF(OR(SUM($G271)=0,SUM($S271)=0),"",ROUND(SUM($G271)*SUM($S271),0))</f>
        <v/>
      </c>
      <c r="AF271" s="218" t="str">
        <f t="shared" ref="AF271:AF334" si="144">IF(SUM($AE271)=0,"",IF(SUM($AD271)=0,"ENTER YIELD",ROUND($AE271/$AD271,0)-$AE271))</f>
        <v/>
      </c>
      <c r="AG271" s="33">
        <v>0.02</v>
      </c>
      <c r="AH271" s="218">
        <f t="shared" ref="AH271:AH334" si="145">IF(OR(SUM($G271)=0,SUM($T271)=0),"",ROUND(SUM($G271)*SUM($T271),0))</f>
        <v>13</v>
      </c>
      <c r="AI271" s="218">
        <f t="shared" ref="AI271:AI334" si="146">IF(SUM($AH271)=0,"",IF(SUM($AG271)=0,"ENTER YIELD",ROUND($AH271/$AG271,0)-$AH271))</f>
        <v>637</v>
      </c>
      <c r="AJ271" s="33">
        <v>1.7999999999999999E-2</v>
      </c>
      <c r="AK271" s="218">
        <f t="shared" ref="AK271:AK334" si="147">IF(OR(SUM($G271)=0,SUM($U271)=0),"",ROUND(SUM($G271)*SUM($U271),0))</f>
        <v>81</v>
      </c>
      <c r="AL271" s="218">
        <f t="shared" ref="AL271:AL334" si="148">IF(SUM($AK271)=0,"",IF(SUM($AJ271)=0,"ENTER YIELD",ROUND($AK271/$AJ271,0)-$AK271))</f>
        <v>4419</v>
      </c>
      <c r="AM271" s="38">
        <f t="shared" ref="AM271:AM334" si="149">IF(SUM($G271)=0,"",$G271)</f>
        <v>257</v>
      </c>
      <c r="AN271" s="38">
        <f t="shared" ref="AN271:AN334" si="150">IFERROR(1/(1/SUM($H271:$K271,$Y271,$AB271,$AE271,$AH271,$AK271)),"")</f>
        <v>258</v>
      </c>
      <c r="AO271" s="38">
        <f t="shared" ref="AO271:AO334" si="151">IF(AND(SUM($AN271)=0,SUM($AM271)=0),"",$AN271-$AM271)</f>
        <v>1</v>
      </c>
      <c r="AP271" s="38">
        <f>IF(OR($C271="01-09",$D271="Male"),"",INDEX(PMTCT!$AD:$AD,MATCH($E271,PMTCT!$E:$E,0)))</f>
        <v>9721</v>
      </c>
      <c r="AQ271" s="38">
        <f>IF(OR($C271="01-09",$D271="Male"),"",INDEX(PMTCT!$AT:$AT,MATCH($E271,PMTCT!$E:$E,0)))</f>
        <v>9682</v>
      </c>
      <c r="AR271" s="38">
        <f>INDEX(TB!$Q:$Q,MATCH($E271,TB!$E:$E,0))</f>
        <v>34</v>
      </c>
      <c r="AS271" s="38" t="str">
        <f>IF(OR($C271="01-09",$C271="10-14",$D271="Female"),"",INDEX(VMMC!$AB:$AB,MATCH($E271,VMMC!$E:$E,0)))</f>
        <v/>
      </c>
      <c r="AT271" s="38">
        <f>IF(OR($C271="01-09",$C271="10-14"),"",INDEX(PrEP!$Q:$Q,MATCH($E271,PrEP!$E:$E,0)))</f>
        <v>0</v>
      </c>
      <c r="AU271" s="38">
        <f t="shared" ref="AU271:AU334" si="152">IFERROR(1/(1/SUM($Z271,$AC271,$AF271,$AI271,$AL271,$AP271:$AT271)),"")</f>
        <v>24621</v>
      </c>
      <c r="AV271" s="38">
        <f t="shared" ref="AV271:AV334" si="153">IFERROR(1/(1/SUM($AU271,$AN271)),"")</f>
        <v>24879</v>
      </c>
      <c r="AW271" s="33">
        <f t="shared" ref="AW271:AW334" si="154">IF(AND(SUM($AN271)=0,SUM($AV271)=0),"",$AN271/$AV271)</f>
        <v>1.0370191727963343E-2</v>
      </c>
      <c r="AX271" s="38">
        <v>1141</v>
      </c>
      <c r="AY271" s="33">
        <f t="shared" ref="AY271:AY276" si="155">IF(OR($C271="01-09",SUM($AX271)=0),"",68%)</f>
        <v>0.68</v>
      </c>
      <c r="AZ271" s="218">
        <f t="shared" ref="AZ271:AZ334" si="156">IF(OR($C271="01-09",SUM($AX271)=0),"",ROUND($AX271*(1+$AY271),0))</f>
        <v>1917</v>
      </c>
      <c r="BA271" s="33">
        <v>0.74</v>
      </c>
      <c r="BB271" s="218">
        <f t="shared" ref="BB271:BB334" si="157">IF(OR(SUM($AN271)=0,$C271="01-09",$C271="10-14"),"",ROUND($AN271*$BA271,0))</f>
        <v>191</v>
      </c>
    </row>
    <row r="272" spans="1:54" x14ac:dyDescent="0.2">
      <c r="A272" t="str">
        <f>INDEX(Prioritization!$D:$D,MATCH($B272,Prioritization!$A:$A,0))</f>
        <v>INVALID</v>
      </c>
      <c r="B272" t="s">
        <v>322</v>
      </c>
      <c r="C272" t="s">
        <v>475</v>
      </c>
      <c r="D272" t="s">
        <v>48</v>
      </c>
      <c r="E272" t="str">
        <f t="shared" si="132"/>
        <v>Nsanje District [rpw540fmNUz]|15-24|Male</v>
      </c>
      <c r="F272" s="33">
        <f>IF(LEFT($B272,4)="_Mil","",INDEX(Cascade!$AA:$AA,MATCH($E272,Cascade!$E:$E,0)))</f>
        <v>0.92256944600000002</v>
      </c>
      <c r="G272" s="38">
        <f>INDEX(Cascade!$BH:$BH,MATCH($E272,Cascade!$E:$E,0))</f>
        <v>59</v>
      </c>
      <c r="H272" s="38" t="str">
        <f>IF(OR($C272="01-09",$D272="Male"),"",INDEX(PMTCT!$AC:$AC,MATCH($E272,PMTCT!$E:$E,0)))</f>
        <v/>
      </c>
      <c r="I272" s="38" t="str">
        <f>IF(OR($C272="01-09",$D272="Male"),"",INDEX(PMTCT!$AS:$AS,MATCH($E272,PMTCT!$E:$E,0)))</f>
        <v/>
      </c>
      <c r="J272" s="38">
        <f>INDEX(TB!$P:$P,MATCH($E272,TB!$E:$E,0))</f>
        <v>3</v>
      </c>
      <c r="K272" s="38">
        <f>IF(OR($C272="01-09",$C272="10-14",$D272="Female"),"",INDEX(VMMC!$AA:$AA,MATCH($E272,VMMC!$E:$E,0)))</f>
        <v>6</v>
      </c>
      <c r="L272" s="38">
        <f t="shared" si="133"/>
        <v>50</v>
      </c>
      <c r="M272" s="33" t="str">
        <f t="shared" si="134"/>
        <v/>
      </c>
      <c r="N272" s="33" t="str">
        <f t="shared" si="135"/>
        <v/>
      </c>
      <c r="O272" s="33">
        <f t="shared" si="136"/>
        <v>5.0847457627118647E-2</v>
      </c>
      <c r="P272" s="33">
        <f t="shared" si="137"/>
        <v>0.10169491525423729</v>
      </c>
      <c r="Q272" s="33">
        <v>0.310924369747899</v>
      </c>
      <c r="R272" s="33"/>
      <c r="S272" s="33"/>
      <c r="T272" s="33">
        <v>0.05</v>
      </c>
      <c r="U272" s="33">
        <f t="shared" si="127"/>
        <v>0.48653325737074504</v>
      </c>
      <c r="V272" s="33">
        <f t="shared" si="138"/>
        <v>1</v>
      </c>
      <c r="W272" s="218">
        <f t="shared" si="139"/>
        <v>18</v>
      </c>
      <c r="X272" s="33">
        <v>0.113</v>
      </c>
      <c r="Y272" s="218">
        <f t="shared" si="139"/>
        <v>18</v>
      </c>
      <c r="Z272" s="218">
        <f t="shared" si="140"/>
        <v>141</v>
      </c>
      <c r="AA272" s="33">
        <v>0.12</v>
      </c>
      <c r="AB272" s="218" t="str">
        <f t="shared" si="141"/>
        <v/>
      </c>
      <c r="AC272" s="218" t="str">
        <f t="shared" si="142"/>
        <v/>
      </c>
      <c r="AD272" s="33">
        <v>0.02</v>
      </c>
      <c r="AE272" s="218" t="str">
        <f t="shared" si="143"/>
        <v/>
      </c>
      <c r="AF272" s="218" t="str">
        <f t="shared" si="144"/>
        <v/>
      </c>
      <c r="AG272" s="33">
        <v>0.02</v>
      </c>
      <c r="AH272" s="218">
        <f t="shared" si="145"/>
        <v>3</v>
      </c>
      <c r="AI272" s="218">
        <f t="shared" si="146"/>
        <v>147</v>
      </c>
      <c r="AJ272" s="33">
        <v>5.3E-3</v>
      </c>
      <c r="AK272" s="218">
        <f t="shared" si="147"/>
        <v>29</v>
      </c>
      <c r="AL272" s="218">
        <f t="shared" si="148"/>
        <v>5443</v>
      </c>
      <c r="AM272" s="38">
        <f t="shared" si="149"/>
        <v>59</v>
      </c>
      <c r="AN272" s="38">
        <f t="shared" si="150"/>
        <v>59</v>
      </c>
      <c r="AO272" s="38">
        <f t="shared" si="151"/>
        <v>0</v>
      </c>
      <c r="AP272" s="38" t="str">
        <f>IF(OR($C272="01-09",$D272="Male"),"",INDEX(PMTCT!$AD:$AD,MATCH($E272,PMTCT!$E:$E,0)))</f>
        <v/>
      </c>
      <c r="AQ272" s="38" t="str">
        <f>IF(OR($C272="01-09",$D272="Male"),"",INDEX(PMTCT!$AT:$AT,MATCH($E272,PMTCT!$E:$E,0)))</f>
        <v/>
      </c>
      <c r="AR272" s="38">
        <f>INDEX(TB!$Q:$Q,MATCH($E272,TB!$E:$E,0))</f>
        <v>55</v>
      </c>
      <c r="AS272" s="38">
        <f>IF(OR($C272="01-09",$C272="10-14",$D272="Female"),"",INDEX(VMMC!$AB:$AB,MATCH($E272,VMMC!$E:$E,0)))</f>
        <v>1734</v>
      </c>
      <c r="AT272" s="38">
        <f>IF(OR($C272="01-09",$C272="10-14"),"",INDEX(PrEP!$Q:$Q,MATCH($E272,PrEP!$E:$E,0)))</f>
        <v>24</v>
      </c>
      <c r="AU272" s="38">
        <f t="shared" si="152"/>
        <v>7543.9999999999991</v>
      </c>
      <c r="AV272" s="38">
        <f t="shared" si="153"/>
        <v>7603</v>
      </c>
      <c r="AW272" s="33">
        <f t="shared" si="154"/>
        <v>7.7600946994607388E-3</v>
      </c>
      <c r="AX272" s="38">
        <v>38</v>
      </c>
      <c r="AY272" s="33">
        <f t="shared" si="155"/>
        <v>0.68</v>
      </c>
      <c r="AZ272" s="218">
        <f t="shared" si="156"/>
        <v>64</v>
      </c>
      <c r="BA272" s="33">
        <v>0.74</v>
      </c>
      <c r="BB272" s="218">
        <f t="shared" si="157"/>
        <v>44</v>
      </c>
    </row>
    <row r="273" spans="1:54" x14ac:dyDescent="0.2">
      <c r="A273" t="str">
        <f>INDEX(Prioritization!$D:$D,MATCH($B273,Prioritization!$A:$A,0))</f>
        <v>INVALID</v>
      </c>
      <c r="B273" t="s">
        <v>322</v>
      </c>
      <c r="C273" t="s">
        <v>476</v>
      </c>
      <c r="D273" t="s">
        <v>30</v>
      </c>
      <c r="E273" t="str">
        <f t="shared" si="132"/>
        <v>Nsanje District [rpw540fmNUz]|25-34|Female</v>
      </c>
      <c r="F273" s="33">
        <f>IF(LEFT($B273,4)="_Mil","",INDEX(Cascade!$AA:$AA,MATCH($E273,Cascade!$E:$E,0)))</f>
        <v>0.97385967500000004</v>
      </c>
      <c r="G273" s="38">
        <f>INDEX(Cascade!$BH:$BH,MATCH($E273,Cascade!$E:$E,0))</f>
        <v>204</v>
      </c>
      <c r="H273" s="38">
        <f>IF(OR($C273="01-09",$D273="Male"),"",INDEX(PMTCT!$AC:$AC,MATCH($E273,PMTCT!$E:$E,0)))</f>
        <v>65</v>
      </c>
      <c r="I273" s="38">
        <f>IF(OR($C273="01-09",$D273="Male"),"",INDEX(PMTCT!$AS:$AS,MATCH($E273,PMTCT!$E:$E,0)))</f>
        <v>23</v>
      </c>
      <c r="J273" s="38">
        <f>INDEX(TB!$P:$P,MATCH($E273,TB!$E:$E,0))</f>
        <v>2</v>
      </c>
      <c r="K273" s="38" t="str">
        <f>IF(OR($C273="01-09",$C273="10-14",$D273="Female"),"",INDEX(VMMC!$AA:$AA,MATCH($E273,VMMC!$E:$E,0)))</f>
        <v/>
      </c>
      <c r="L273" s="38">
        <f t="shared" si="133"/>
        <v>114</v>
      </c>
      <c r="M273" s="33">
        <f t="shared" si="134"/>
        <v>0.31862745098039214</v>
      </c>
      <c r="N273" s="33">
        <f t="shared" si="135"/>
        <v>0.11274509803921569</v>
      </c>
      <c r="O273" s="33">
        <f t="shared" si="136"/>
        <v>9.8039215686274508E-3</v>
      </c>
      <c r="P273" s="33" t="str">
        <f t="shared" si="137"/>
        <v/>
      </c>
      <c r="Q273" s="33">
        <v>0.221374045801527</v>
      </c>
      <c r="R273" s="33"/>
      <c r="S273" s="33"/>
      <c r="T273" s="33">
        <v>0.05</v>
      </c>
      <c r="U273" s="33">
        <f t="shared" si="127"/>
        <v>0.2874494836102377</v>
      </c>
      <c r="V273" s="33">
        <f t="shared" si="138"/>
        <v>1</v>
      </c>
      <c r="W273" s="218">
        <f t="shared" si="139"/>
        <v>45</v>
      </c>
      <c r="X273" s="33">
        <v>0.33900000000000002</v>
      </c>
      <c r="Y273" s="218">
        <f t="shared" si="139"/>
        <v>45</v>
      </c>
      <c r="Z273" s="218">
        <f t="shared" si="140"/>
        <v>88</v>
      </c>
      <c r="AA273" s="33">
        <v>0.12</v>
      </c>
      <c r="AB273" s="218" t="str">
        <f t="shared" si="141"/>
        <v/>
      </c>
      <c r="AC273" s="218" t="str">
        <f t="shared" si="142"/>
        <v/>
      </c>
      <c r="AD273" s="33">
        <v>0.02</v>
      </c>
      <c r="AE273" s="218" t="str">
        <f t="shared" si="143"/>
        <v/>
      </c>
      <c r="AF273" s="218" t="str">
        <f t="shared" si="144"/>
        <v/>
      </c>
      <c r="AG273" s="33">
        <v>0.02</v>
      </c>
      <c r="AH273" s="218">
        <f t="shared" si="145"/>
        <v>10</v>
      </c>
      <c r="AI273" s="218">
        <f t="shared" si="146"/>
        <v>490</v>
      </c>
      <c r="AJ273" s="33">
        <v>2.8000000000000001E-2</v>
      </c>
      <c r="AK273" s="218">
        <f t="shared" si="147"/>
        <v>59</v>
      </c>
      <c r="AL273" s="218">
        <f t="shared" si="148"/>
        <v>2048</v>
      </c>
      <c r="AM273" s="38">
        <f t="shared" si="149"/>
        <v>204</v>
      </c>
      <c r="AN273" s="38">
        <f t="shared" si="150"/>
        <v>204</v>
      </c>
      <c r="AO273" s="38">
        <f t="shared" si="151"/>
        <v>0</v>
      </c>
      <c r="AP273" s="38">
        <f>IF(OR($C273="01-09",$D273="Male"),"",INDEX(PMTCT!$AD:$AD,MATCH($E273,PMTCT!$E:$E,0)))</f>
        <v>5810</v>
      </c>
      <c r="AQ273" s="38">
        <f>IF(OR($C273="01-09",$D273="Male"),"",INDEX(PMTCT!$AT:$AT,MATCH($E273,PMTCT!$E:$E,0)))</f>
        <v>5787</v>
      </c>
      <c r="AR273" s="38">
        <f>INDEX(TB!$Q:$Q,MATCH($E273,TB!$E:$E,0))</f>
        <v>34</v>
      </c>
      <c r="AS273" s="38" t="str">
        <f>IF(OR($C273="01-09",$C273="10-14",$D273="Female"),"",INDEX(VMMC!$AB:$AB,MATCH($E273,VMMC!$E:$E,0)))</f>
        <v/>
      </c>
      <c r="AT273" s="38">
        <f>IF(OR($C273="01-09",$C273="10-14"),"",INDEX(PrEP!$Q:$Q,MATCH($E273,PrEP!$E:$E,0)))</f>
        <v>0</v>
      </c>
      <c r="AU273" s="38">
        <f t="shared" si="152"/>
        <v>14257</v>
      </c>
      <c r="AV273" s="38">
        <f t="shared" si="153"/>
        <v>14461</v>
      </c>
      <c r="AW273" s="33">
        <f t="shared" si="154"/>
        <v>1.4106908235944956E-2</v>
      </c>
      <c r="AX273" s="38">
        <v>733</v>
      </c>
      <c r="AY273" s="33">
        <f t="shared" si="155"/>
        <v>0.68</v>
      </c>
      <c r="AZ273" s="218">
        <f t="shared" si="156"/>
        <v>1231</v>
      </c>
      <c r="BA273" s="33">
        <v>0.74</v>
      </c>
      <c r="BB273" s="218">
        <f t="shared" si="157"/>
        <v>151</v>
      </c>
    </row>
    <row r="274" spans="1:54" x14ac:dyDescent="0.2">
      <c r="A274" t="str">
        <f>INDEX(Prioritization!$D:$D,MATCH($B274,Prioritization!$A:$A,0))</f>
        <v>INVALID</v>
      </c>
      <c r="B274" t="s">
        <v>322</v>
      </c>
      <c r="C274" t="s">
        <v>476</v>
      </c>
      <c r="D274" t="s">
        <v>48</v>
      </c>
      <c r="E274" t="str">
        <f t="shared" si="132"/>
        <v>Nsanje District [rpw540fmNUz]|25-34|Male</v>
      </c>
      <c r="F274" s="33">
        <f>IF(LEFT($B274,4)="_Mil","",INDEX(Cascade!$AA:$AA,MATCH($E274,Cascade!$E:$E,0)))</f>
        <v>0.89897509900000006</v>
      </c>
      <c r="G274" s="38">
        <f>INDEX(Cascade!$BH:$BH,MATCH($E274,Cascade!$E:$E,0))</f>
        <v>48</v>
      </c>
      <c r="H274" s="38" t="str">
        <f>IF(OR($C274="01-09",$D274="Male"),"",INDEX(PMTCT!$AC:$AC,MATCH($E274,PMTCT!$E:$E,0)))</f>
        <v/>
      </c>
      <c r="I274" s="38" t="str">
        <f>IF(OR($C274="01-09",$D274="Male"),"",INDEX(PMTCT!$AS:$AS,MATCH($E274,PMTCT!$E:$E,0)))</f>
        <v/>
      </c>
      <c r="J274" s="38">
        <f>INDEX(TB!$P:$P,MATCH($E274,TB!$E:$E,0))</f>
        <v>3</v>
      </c>
      <c r="K274" s="38">
        <f>IF(OR($C274="01-09",$C274="10-14",$D274="Female"),"",INDEX(VMMC!$AA:$AA,MATCH($E274,VMMC!$E:$E,0)))</f>
        <v>11</v>
      </c>
      <c r="L274" s="38">
        <f t="shared" si="133"/>
        <v>34</v>
      </c>
      <c r="M274" s="33" t="str">
        <f t="shared" si="134"/>
        <v/>
      </c>
      <c r="N274" s="33" t="str">
        <f t="shared" si="135"/>
        <v/>
      </c>
      <c r="O274" s="33">
        <f t="shared" si="136"/>
        <v>6.25E-2</v>
      </c>
      <c r="P274" s="33">
        <f t="shared" si="137"/>
        <v>0.22916666666666666</v>
      </c>
      <c r="Q274" s="33">
        <v>0.38095238095238099</v>
      </c>
      <c r="R274" s="33"/>
      <c r="S274" s="33"/>
      <c r="T274" s="33">
        <v>0.05</v>
      </c>
      <c r="U274" s="33">
        <f t="shared" si="127"/>
        <v>0.27738095238095228</v>
      </c>
      <c r="V274" s="33">
        <f t="shared" si="138"/>
        <v>1</v>
      </c>
      <c r="W274" s="218">
        <f t="shared" si="139"/>
        <v>18</v>
      </c>
      <c r="X274" s="33">
        <v>0.313</v>
      </c>
      <c r="Y274" s="218">
        <f t="shared" si="139"/>
        <v>18</v>
      </c>
      <c r="Z274" s="218">
        <f t="shared" si="140"/>
        <v>40</v>
      </c>
      <c r="AA274" s="33">
        <v>0.12</v>
      </c>
      <c r="AB274" s="218" t="str">
        <f t="shared" si="141"/>
        <v/>
      </c>
      <c r="AC274" s="218" t="str">
        <f t="shared" si="142"/>
        <v/>
      </c>
      <c r="AD274" s="33">
        <v>0.02</v>
      </c>
      <c r="AE274" s="218" t="str">
        <f t="shared" si="143"/>
        <v/>
      </c>
      <c r="AF274" s="218" t="str">
        <f t="shared" si="144"/>
        <v/>
      </c>
      <c r="AG274" s="33">
        <v>0.02</v>
      </c>
      <c r="AH274" s="218">
        <f t="shared" si="145"/>
        <v>2</v>
      </c>
      <c r="AI274" s="218">
        <f t="shared" si="146"/>
        <v>98</v>
      </c>
      <c r="AJ274" s="33">
        <v>2.3E-2</v>
      </c>
      <c r="AK274" s="218">
        <f t="shared" si="147"/>
        <v>13</v>
      </c>
      <c r="AL274" s="218">
        <f t="shared" si="148"/>
        <v>552</v>
      </c>
      <c r="AM274" s="38">
        <f t="shared" si="149"/>
        <v>48</v>
      </c>
      <c r="AN274" s="38">
        <f t="shared" si="150"/>
        <v>47</v>
      </c>
      <c r="AO274" s="38">
        <f t="shared" si="151"/>
        <v>-1</v>
      </c>
      <c r="AP274" s="38" t="str">
        <f>IF(OR($C274="01-09",$D274="Male"),"",INDEX(PMTCT!$AD:$AD,MATCH($E274,PMTCT!$E:$E,0)))</f>
        <v/>
      </c>
      <c r="AQ274" s="38" t="str">
        <f>IF(OR($C274="01-09",$D274="Male"),"",INDEX(PMTCT!$AT:$AT,MATCH($E274,PMTCT!$E:$E,0)))</f>
        <v/>
      </c>
      <c r="AR274" s="38">
        <f>INDEX(TB!$Q:$Q,MATCH($E274,TB!$E:$E,0))</f>
        <v>55</v>
      </c>
      <c r="AS274" s="38">
        <f>IF(OR($C274="01-09",$C274="10-14",$D274="Female"),"",INDEX(VMMC!$AB:$AB,MATCH($E274,VMMC!$E:$E,0)))</f>
        <v>3095</v>
      </c>
      <c r="AT274" s="38">
        <f>IF(OR($C274="01-09",$C274="10-14"),"",INDEX(PrEP!$Q:$Q,MATCH($E274,PrEP!$E:$E,0)))</f>
        <v>78</v>
      </c>
      <c r="AU274" s="38">
        <f t="shared" si="152"/>
        <v>3918</v>
      </c>
      <c r="AV274" s="38">
        <f t="shared" si="153"/>
        <v>3965</v>
      </c>
      <c r="AW274" s="33">
        <f t="shared" si="154"/>
        <v>1.1853720050441363E-2</v>
      </c>
      <c r="AX274" s="38">
        <v>44</v>
      </c>
      <c r="AY274" s="33">
        <f t="shared" si="155"/>
        <v>0.68</v>
      </c>
      <c r="AZ274" s="218">
        <f t="shared" si="156"/>
        <v>74</v>
      </c>
      <c r="BA274" s="33">
        <v>0.74</v>
      </c>
      <c r="BB274" s="218">
        <f t="shared" si="157"/>
        <v>35</v>
      </c>
    </row>
    <row r="275" spans="1:54" x14ac:dyDescent="0.2">
      <c r="A275" t="str">
        <f>INDEX(Prioritization!$D:$D,MATCH($B275,Prioritization!$A:$A,0))</f>
        <v>INVALID</v>
      </c>
      <c r="B275" t="s">
        <v>322</v>
      </c>
      <c r="C275" t="s">
        <v>477</v>
      </c>
      <c r="D275" t="s">
        <v>30</v>
      </c>
      <c r="E275" t="str">
        <f t="shared" si="132"/>
        <v>Nsanje District [rpw540fmNUz]|35-49|Female</v>
      </c>
      <c r="F275" s="33">
        <f>IF(LEFT($B275,4)="_Mil","",INDEX(Cascade!$AA:$AA,MATCH($E275,Cascade!$E:$E,0)))</f>
        <v>0.98713408399999991</v>
      </c>
      <c r="G275" s="38">
        <f>INDEX(Cascade!$BH:$BH,MATCH($E275,Cascade!$E:$E,0))</f>
        <v>234</v>
      </c>
      <c r="H275" s="38">
        <f>IF(OR($C275="01-09",$D275="Male"),"",INDEX(PMTCT!$AC:$AC,MATCH($E275,PMTCT!$E:$E,0)))</f>
        <v>16</v>
      </c>
      <c r="I275" s="38">
        <f>IF(OR($C275="01-09",$D275="Male"),"",INDEX(PMTCT!$AS:$AS,MATCH($E275,PMTCT!$E:$E,0)))</f>
        <v>6</v>
      </c>
      <c r="J275" s="38">
        <f>INDEX(TB!$P:$P,MATCH($E275,TB!$E:$E,0))</f>
        <v>3</v>
      </c>
      <c r="K275" s="38" t="str">
        <f>IF(OR($C275="01-09",$C275="10-14",$D275="Female"),"",INDEX(VMMC!$AA:$AA,MATCH($E275,VMMC!$E:$E,0)))</f>
        <v/>
      </c>
      <c r="L275" s="38">
        <f t="shared" si="133"/>
        <v>209</v>
      </c>
      <c r="M275" s="33">
        <f t="shared" si="134"/>
        <v>6.8376068376068383E-2</v>
      </c>
      <c r="N275" s="33">
        <f t="shared" si="135"/>
        <v>2.564102564102564E-2</v>
      </c>
      <c r="O275" s="33">
        <f t="shared" si="136"/>
        <v>1.282051282051282E-2</v>
      </c>
      <c r="P275" s="33" t="str">
        <f t="shared" si="137"/>
        <v/>
      </c>
      <c r="Q275" s="33">
        <v>0.25858585858585897</v>
      </c>
      <c r="R275" s="33"/>
      <c r="S275" s="33"/>
      <c r="T275" s="33">
        <v>0.05</v>
      </c>
      <c r="U275" s="33">
        <f t="shared" si="127"/>
        <v>0.58457653457653413</v>
      </c>
      <c r="V275" s="33">
        <f t="shared" si="138"/>
        <v>1</v>
      </c>
      <c r="W275" s="218">
        <f t="shared" si="139"/>
        <v>61</v>
      </c>
      <c r="X275" s="33">
        <v>0.36099999999999999</v>
      </c>
      <c r="Y275" s="218">
        <f t="shared" si="139"/>
        <v>61</v>
      </c>
      <c r="Z275" s="218">
        <f t="shared" si="140"/>
        <v>108</v>
      </c>
      <c r="AA275" s="33">
        <v>0.12</v>
      </c>
      <c r="AB275" s="218" t="str">
        <f t="shared" si="141"/>
        <v/>
      </c>
      <c r="AC275" s="218" t="str">
        <f t="shared" si="142"/>
        <v/>
      </c>
      <c r="AD275" s="33">
        <v>0.02</v>
      </c>
      <c r="AE275" s="218" t="str">
        <f t="shared" si="143"/>
        <v/>
      </c>
      <c r="AF275" s="218" t="str">
        <f t="shared" si="144"/>
        <v/>
      </c>
      <c r="AG275" s="33">
        <v>0.02</v>
      </c>
      <c r="AH275" s="218">
        <f t="shared" si="145"/>
        <v>12</v>
      </c>
      <c r="AI275" s="218">
        <f t="shared" si="146"/>
        <v>588</v>
      </c>
      <c r="AJ275" s="33">
        <v>3.9E-2</v>
      </c>
      <c r="AK275" s="218">
        <f t="shared" si="147"/>
        <v>137</v>
      </c>
      <c r="AL275" s="218">
        <f t="shared" si="148"/>
        <v>3376</v>
      </c>
      <c r="AM275" s="38">
        <f t="shared" si="149"/>
        <v>234</v>
      </c>
      <c r="AN275" s="38">
        <f t="shared" si="150"/>
        <v>235</v>
      </c>
      <c r="AO275" s="38">
        <f t="shared" si="151"/>
        <v>1</v>
      </c>
      <c r="AP275" s="38">
        <f>IF(OR($C275="01-09",$D275="Male"),"",INDEX(PMTCT!$AD:$AD,MATCH($E275,PMTCT!$E:$E,0)))</f>
        <v>1398</v>
      </c>
      <c r="AQ275" s="38">
        <f>IF(OR($C275="01-09",$D275="Male"),"",INDEX(PMTCT!$AT:$AT,MATCH($E275,PMTCT!$E:$E,0)))</f>
        <v>1392</v>
      </c>
      <c r="AR275" s="38">
        <f>INDEX(TB!$Q:$Q,MATCH($E275,TB!$E:$E,0))</f>
        <v>51</v>
      </c>
      <c r="AS275" s="38" t="str">
        <f>IF(OR($C275="01-09",$C275="10-14",$D275="Female"),"",INDEX(VMMC!$AB:$AB,MATCH($E275,VMMC!$E:$E,0)))</f>
        <v/>
      </c>
      <c r="AT275" s="38">
        <f>IF(OR($C275="01-09",$C275="10-14"),"",INDEX(PrEP!$Q:$Q,MATCH($E275,PrEP!$E:$E,0)))</f>
        <v>0</v>
      </c>
      <c r="AU275" s="38">
        <f t="shared" si="152"/>
        <v>6913</v>
      </c>
      <c r="AV275" s="38">
        <f t="shared" si="153"/>
        <v>7147.9999999999991</v>
      </c>
      <c r="AW275" s="33">
        <f t="shared" si="154"/>
        <v>3.287632904308898E-2</v>
      </c>
      <c r="AX275" s="38">
        <v>72</v>
      </c>
      <c r="AY275" s="33">
        <f t="shared" si="155"/>
        <v>0.68</v>
      </c>
      <c r="AZ275" s="218">
        <f t="shared" si="156"/>
        <v>121</v>
      </c>
      <c r="BA275" s="33">
        <v>0.74</v>
      </c>
      <c r="BB275" s="218">
        <f t="shared" si="157"/>
        <v>174</v>
      </c>
    </row>
    <row r="276" spans="1:54" x14ac:dyDescent="0.2">
      <c r="A276" t="str">
        <f>INDEX(Prioritization!$D:$D,MATCH($B276,Prioritization!$A:$A,0))</f>
        <v>INVALID</v>
      </c>
      <c r="B276" t="s">
        <v>322</v>
      </c>
      <c r="C276" t="s">
        <v>477</v>
      </c>
      <c r="D276" t="s">
        <v>48</v>
      </c>
      <c r="E276" t="str">
        <f t="shared" si="132"/>
        <v>Nsanje District [rpw540fmNUz]|35-49|Male</v>
      </c>
      <c r="F276" s="33">
        <f>IF(LEFT($B276,4)="_Mil","",INDEX(Cascade!$AA:$AA,MATCH($E276,Cascade!$E:$E,0)))</f>
        <v>0.93908005200000011</v>
      </c>
      <c r="G276" s="38">
        <f>INDEX(Cascade!$BH:$BH,MATCH($E276,Cascade!$E:$E,0))</f>
        <v>72</v>
      </c>
      <c r="H276" s="38" t="str">
        <f>IF(OR($C276="01-09",$D276="Male"),"",INDEX(PMTCT!$AC:$AC,MATCH($E276,PMTCT!$E:$E,0)))</f>
        <v/>
      </c>
      <c r="I276" s="38" t="str">
        <f>IF(OR($C276="01-09",$D276="Male"),"",INDEX(PMTCT!$AS:$AS,MATCH($E276,PMTCT!$E:$E,0)))</f>
        <v/>
      </c>
      <c r="J276" s="38">
        <f>INDEX(TB!$P:$P,MATCH($E276,TB!$E:$E,0))</f>
        <v>5</v>
      </c>
      <c r="K276" s="38">
        <f>IF(OR($C276="01-09",$C276="10-14",$D276="Female"),"",INDEX(VMMC!$AA:$AA,MATCH($E276,VMMC!$E:$E,0)))</f>
        <v>21</v>
      </c>
      <c r="L276" s="38">
        <f t="shared" si="133"/>
        <v>46</v>
      </c>
      <c r="M276" s="33" t="str">
        <f t="shared" si="134"/>
        <v/>
      </c>
      <c r="N276" s="33" t="str">
        <f t="shared" si="135"/>
        <v/>
      </c>
      <c r="O276" s="33">
        <f t="shared" si="136"/>
        <v>6.9444444444444448E-2</v>
      </c>
      <c r="P276" s="33">
        <f t="shared" si="137"/>
        <v>0.29166666666666669</v>
      </c>
      <c r="Q276" s="33">
        <v>0.37037037037037002</v>
      </c>
      <c r="R276" s="33"/>
      <c r="S276" s="33"/>
      <c r="T276" s="33">
        <v>0.05</v>
      </c>
      <c r="U276" s="33">
        <f t="shared" si="127"/>
        <v>0.21851851851851878</v>
      </c>
      <c r="V276" s="33">
        <f t="shared" si="138"/>
        <v>1</v>
      </c>
      <c r="W276" s="218">
        <f t="shared" si="139"/>
        <v>27</v>
      </c>
      <c r="X276" s="33">
        <v>0.34100000000000003</v>
      </c>
      <c r="Y276" s="218">
        <f t="shared" si="139"/>
        <v>27</v>
      </c>
      <c r="Z276" s="218">
        <f t="shared" si="140"/>
        <v>52</v>
      </c>
      <c r="AA276" s="33">
        <v>0.12</v>
      </c>
      <c r="AB276" s="218" t="str">
        <f t="shared" si="141"/>
        <v/>
      </c>
      <c r="AC276" s="218" t="str">
        <f t="shared" si="142"/>
        <v/>
      </c>
      <c r="AD276" s="33">
        <v>0.02</v>
      </c>
      <c r="AE276" s="218" t="str">
        <f t="shared" si="143"/>
        <v/>
      </c>
      <c r="AF276" s="218" t="str">
        <f t="shared" si="144"/>
        <v/>
      </c>
      <c r="AG276" s="33">
        <v>0.02</v>
      </c>
      <c r="AH276" s="218">
        <f t="shared" si="145"/>
        <v>4</v>
      </c>
      <c r="AI276" s="218">
        <f t="shared" si="146"/>
        <v>196</v>
      </c>
      <c r="AJ276" s="33">
        <v>5.0999999999999997E-2</v>
      </c>
      <c r="AK276" s="218">
        <f t="shared" si="147"/>
        <v>16</v>
      </c>
      <c r="AL276" s="218">
        <f t="shared" si="148"/>
        <v>298</v>
      </c>
      <c r="AM276" s="38">
        <f t="shared" si="149"/>
        <v>72</v>
      </c>
      <c r="AN276" s="38">
        <f t="shared" si="150"/>
        <v>73</v>
      </c>
      <c r="AO276" s="38">
        <f t="shared" si="151"/>
        <v>1</v>
      </c>
      <c r="AP276" s="38" t="str">
        <f>IF(OR($C276="01-09",$D276="Male"),"",INDEX(PMTCT!$AD:$AD,MATCH($E276,PMTCT!$E:$E,0)))</f>
        <v/>
      </c>
      <c r="AQ276" s="38" t="str">
        <f>IF(OR($C276="01-09",$D276="Male"),"",INDEX(PMTCT!$AT:$AT,MATCH($E276,PMTCT!$E:$E,0)))</f>
        <v/>
      </c>
      <c r="AR276" s="38">
        <f>INDEX(TB!$Q:$Q,MATCH($E276,TB!$E:$E,0))</f>
        <v>81</v>
      </c>
      <c r="AS276" s="38">
        <f>IF(OR($C276="01-09",$C276="10-14",$D276="Female"),"",INDEX(VMMC!$AB:$AB,MATCH($E276,VMMC!$E:$E,0)))</f>
        <v>6048</v>
      </c>
      <c r="AT276" s="38">
        <f>IF(OR($C276="01-09",$C276="10-14"),"",INDEX(PrEP!$Q:$Q,MATCH($E276,PrEP!$E:$E,0)))</f>
        <v>36</v>
      </c>
      <c r="AU276" s="38">
        <f t="shared" si="152"/>
        <v>6711</v>
      </c>
      <c r="AV276" s="38">
        <f t="shared" si="153"/>
        <v>6784</v>
      </c>
      <c r="AW276" s="33">
        <f t="shared" si="154"/>
        <v>1.0760613207547169E-2</v>
      </c>
      <c r="AX276" s="38">
        <v>27</v>
      </c>
      <c r="AY276" s="33">
        <f t="shared" si="155"/>
        <v>0.68</v>
      </c>
      <c r="AZ276" s="218">
        <f t="shared" si="156"/>
        <v>45</v>
      </c>
      <c r="BA276" s="33">
        <v>0.74</v>
      </c>
      <c r="BB276" s="218">
        <f t="shared" si="157"/>
        <v>54</v>
      </c>
    </row>
    <row r="277" spans="1:54" x14ac:dyDescent="0.2">
      <c r="A277" t="str">
        <f>INDEX(Prioritization!$D:$D,MATCH($B277,Prioritization!$A:$A,0))</f>
        <v>INVALID</v>
      </c>
      <c r="B277" t="s">
        <v>322</v>
      </c>
      <c r="C277" t="s">
        <v>478</v>
      </c>
      <c r="D277" t="s">
        <v>30</v>
      </c>
      <c r="E277" t="str">
        <f t="shared" si="132"/>
        <v>Nsanje District [rpw540fmNUz]|50+|Female</v>
      </c>
      <c r="F277" s="33">
        <f>IF(LEFT($B277,4)="_Mil","",INDEX(Cascade!$AA:$AA,MATCH($E277,Cascade!$E:$E,0)))</f>
        <v>0.99118106800000016</v>
      </c>
      <c r="G277" s="38">
        <f>INDEX(Cascade!$BH:$BH,MATCH($E277,Cascade!$E:$E,0))</f>
        <v>56</v>
      </c>
      <c r="H277" s="38" t="str">
        <f>IF(OR($C277="01-09",$D277="Male"),"",INDEX(PMTCT!$AC:$AC,MATCH($E277,PMTCT!$E:$E,0)))</f>
        <v/>
      </c>
      <c r="I277" s="38" t="str">
        <f>IF(OR($C277="01-09",$D277="Male"),"",INDEX(PMTCT!$AS:$AS,MATCH($E277,PMTCT!$E:$E,0)))</f>
        <v/>
      </c>
      <c r="J277" s="38">
        <f>INDEX(TB!$P:$P,MATCH($E277,TB!$E:$E,0))</f>
        <v>1</v>
      </c>
      <c r="K277" s="38" t="str">
        <f>IF(OR($C277="01-09",$C277="10-14",$D277="Female"),"",INDEX(VMMC!$AA:$AA,MATCH($E277,VMMC!$E:$E,0)))</f>
        <v/>
      </c>
      <c r="L277" s="38">
        <f t="shared" si="133"/>
        <v>55</v>
      </c>
      <c r="M277" s="33">
        <f t="shared" si="134"/>
        <v>0</v>
      </c>
      <c r="N277" s="33">
        <f t="shared" si="135"/>
        <v>0</v>
      </c>
      <c r="O277" s="33">
        <f t="shared" si="136"/>
        <v>1.7857142857142856E-2</v>
      </c>
      <c r="P277" s="33" t="str">
        <f t="shared" si="137"/>
        <v/>
      </c>
      <c r="Q277" s="33">
        <v>0.15</v>
      </c>
      <c r="R277" s="33"/>
      <c r="S277" s="33"/>
      <c r="T277" s="33">
        <v>0.05</v>
      </c>
      <c r="U277" s="33">
        <f t="shared" si="127"/>
        <v>0.78214285714285714</v>
      </c>
      <c r="V277" s="33">
        <f t="shared" si="138"/>
        <v>1</v>
      </c>
      <c r="W277" s="218">
        <f t="shared" si="139"/>
        <v>8</v>
      </c>
      <c r="X277" s="33">
        <v>0.28599999999999998</v>
      </c>
      <c r="Y277" s="218">
        <f t="shared" si="139"/>
        <v>8</v>
      </c>
      <c r="Z277" s="218">
        <f t="shared" si="140"/>
        <v>20</v>
      </c>
      <c r="AA277" s="33">
        <v>0.12</v>
      </c>
      <c r="AB277" s="218" t="str">
        <f t="shared" si="141"/>
        <v/>
      </c>
      <c r="AC277" s="218" t="str">
        <f t="shared" si="142"/>
        <v/>
      </c>
      <c r="AD277" s="33">
        <v>0.02</v>
      </c>
      <c r="AE277" s="218" t="str">
        <f t="shared" si="143"/>
        <v/>
      </c>
      <c r="AF277" s="218" t="str">
        <f t="shared" si="144"/>
        <v/>
      </c>
      <c r="AG277" s="33">
        <v>0.02</v>
      </c>
      <c r="AH277" s="218">
        <f t="shared" si="145"/>
        <v>3</v>
      </c>
      <c r="AI277" s="218">
        <f t="shared" si="146"/>
        <v>147</v>
      </c>
      <c r="AJ277" s="33">
        <v>2.4E-2</v>
      </c>
      <c r="AK277" s="218">
        <f t="shared" si="147"/>
        <v>44</v>
      </c>
      <c r="AL277" s="218">
        <f t="shared" si="148"/>
        <v>1789</v>
      </c>
      <c r="AM277" s="38">
        <f t="shared" si="149"/>
        <v>56</v>
      </c>
      <c r="AN277" s="38">
        <f t="shared" si="150"/>
        <v>56</v>
      </c>
      <c r="AO277" s="38">
        <f t="shared" si="151"/>
        <v>0</v>
      </c>
      <c r="AP277" s="38" t="str">
        <f>IF(OR($C277="01-09",$D277="Male"),"",INDEX(PMTCT!$AD:$AD,MATCH($E277,PMTCT!$E:$E,0)))</f>
        <v/>
      </c>
      <c r="AQ277" s="38" t="str">
        <f>IF(OR($C277="01-09",$D277="Male"),"",INDEX(PMTCT!$AT:$AT,MATCH($E277,PMTCT!$E:$E,0)))</f>
        <v/>
      </c>
      <c r="AR277" s="38">
        <f>INDEX(TB!$Q:$Q,MATCH($E277,TB!$E:$E,0))</f>
        <v>18</v>
      </c>
      <c r="AS277" s="38" t="str">
        <f>IF(OR($C277="01-09",$C277="10-14",$D277="Female"),"",INDEX(VMMC!$AB:$AB,MATCH($E277,VMMC!$E:$E,0)))</f>
        <v/>
      </c>
      <c r="AT277" s="38">
        <f>IF(OR($C277="01-09",$C277="10-14"),"",INDEX(PrEP!$Q:$Q,MATCH($E277,PrEP!$E:$E,0)))</f>
        <v>-15</v>
      </c>
      <c r="AU277" s="38">
        <f t="shared" si="152"/>
        <v>1959</v>
      </c>
      <c r="AV277" s="38">
        <f t="shared" si="153"/>
        <v>2015</v>
      </c>
      <c r="AW277" s="33">
        <f t="shared" si="154"/>
        <v>2.7791563275434243E-2</v>
      </c>
      <c r="AX277" s="38">
        <v>38</v>
      </c>
      <c r="AY277" s="33">
        <f t="shared" ref="AY277:AY330" si="158">IF(OR($C277="01-09",SUM($AX277)=0),"",0%)</f>
        <v>0</v>
      </c>
      <c r="AZ277" s="218">
        <f t="shared" si="156"/>
        <v>38</v>
      </c>
      <c r="BA277" s="33">
        <v>0.74</v>
      </c>
      <c r="BB277" s="218">
        <f t="shared" si="157"/>
        <v>41</v>
      </c>
    </row>
    <row r="278" spans="1:54" x14ac:dyDescent="0.2">
      <c r="A278" t="str">
        <f>INDEX(Prioritization!$D:$D,MATCH($B278,Prioritization!$A:$A,0))</f>
        <v>INVALID</v>
      </c>
      <c r="B278" t="s">
        <v>322</v>
      </c>
      <c r="C278" t="s">
        <v>478</v>
      </c>
      <c r="D278" t="s">
        <v>48</v>
      </c>
      <c r="E278" t="str">
        <f t="shared" si="132"/>
        <v>Nsanje District [rpw540fmNUz]|50+|Male</v>
      </c>
      <c r="F278" s="33">
        <f>IF(LEFT($B278,4)="_Mil","",INDEX(Cascade!$AA:$AA,MATCH($E278,Cascade!$E:$E,0)))</f>
        <v>0.95835509800000007</v>
      </c>
      <c r="G278" s="38">
        <f>INDEX(Cascade!$BH:$BH,MATCH($E278,Cascade!$E:$E,0))</f>
        <v>7</v>
      </c>
      <c r="H278" s="38" t="str">
        <f>IF(OR($C278="01-09",$D278="Male"),"",INDEX(PMTCT!$AC:$AC,MATCH($E278,PMTCT!$E:$E,0)))</f>
        <v/>
      </c>
      <c r="I278" s="38" t="str">
        <f>IF(OR($C278="01-09",$D278="Male"),"",INDEX(PMTCT!$AS:$AS,MATCH($E278,PMTCT!$E:$E,0)))</f>
        <v/>
      </c>
      <c r="J278" s="38">
        <f>INDEX(TB!$P:$P,MATCH($E278,TB!$E:$E,0))</f>
        <v>2</v>
      </c>
      <c r="K278" s="38" t="str">
        <f>IF(OR($C278="01-09",$C278="10-14",$D278="Female"),"",INDEX(VMMC!$AA:$AA,MATCH($E278,VMMC!$E:$E,0)))</f>
        <v/>
      </c>
      <c r="L278" s="38">
        <f t="shared" si="133"/>
        <v>5</v>
      </c>
      <c r="M278" s="33" t="str">
        <f t="shared" si="134"/>
        <v/>
      </c>
      <c r="N278" s="33" t="str">
        <f t="shared" si="135"/>
        <v/>
      </c>
      <c r="O278" s="33">
        <f t="shared" si="136"/>
        <v>0.2857142857142857</v>
      </c>
      <c r="P278" s="33">
        <f t="shared" si="137"/>
        <v>0</v>
      </c>
      <c r="Q278" s="33">
        <v>0.15</v>
      </c>
      <c r="R278" s="33"/>
      <c r="S278" s="33"/>
      <c r="T278" s="33">
        <v>0.05</v>
      </c>
      <c r="U278" s="33">
        <f t="shared" si="127"/>
        <v>0.51428571428571423</v>
      </c>
      <c r="V278" s="33">
        <f t="shared" si="138"/>
        <v>1</v>
      </c>
      <c r="W278" s="218">
        <f t="shared" si="139"/>
        <v>1</v>
      </c>
      <c r="X278" s="33">
        <v>0.26700000000000002</v>
      </c>
      <c r="Y278" s="218">
        <f t="shared" si="139"/>
        <v>1</v>
      </c>
      <c r="Z278" s="218">
        <f t="shared" si="140"/>
        <v>3</v>
      </c>
      <c r="AA278" s="33">
        <v>0.12</v>
      </c>
      <c r="AB278" s="218" t="str">
        <f t="shared" si="141"/>
        <v/>
      </c>
      <c r="AC278" s="218" t="str">
        <f t="shared" si="142"/>
        <v/>
      </c>
      <c r="AD278" s="33">
        <v>0.02</v>
      </c>
      <c r="AE278" s="218" t="str">
        <f t="shared" si="143"/>
        <v/>
      </c>
      <c r="AF278" s="218" t="str">
        <f t="shared" si="144"/>
        <v/>
      </c>
      <c r="AG278" s="33">
        <v>0.02</v>
      </c>
      <c r="AH278" s="218">
        <f t="shared" si="145"/>
        <v>0</v>
      </c>
      <c r="AI278" s="218" t="str">
        <f t="shared" si="146"/>
        <v/>
      </c>
      <c r="AJ278" s="33">
        <v>0.04</v>
      </c>
      <c r="AK278" s="218">
        <f t="shared" si="147"/>
        <v>4</v>
      </c>
      <c r="AL278" s="218">
        <f t="shared" si="148"/>
        <v>96</v>
      </c>
      <c r="AM278" s="38">
        <f t="shared" si="149"/>
        <v>7</v>
      </c>
      <c r="AN278" s="38">
        <f t="shared" si="150"/>
        <v>7</v>
      </c>
      <c r="AO278" s="38">
        <f t="shared" si="151"/>
        <v>0</v>
      </c>
      <c r="AP278" s="38" t="str">
        <f>IF(OR($C278="01-09",$D278="Male"),"",INDEX(PMTCT!$AD:$AD,MATCH($E278,PMTCT!$E:$E,0)))</f>
        <v/>
      </c>
      <c r="AQ278" s="38" t="str">
        <f>IF(OR($C278="01-09",$D278="Male"),"",INDEX(PMTCT!$AT:$AT,MATCH($E278,PMTCT!$E:$E,0)))</f>
        <v/>
      </c>
      <c r="AR278" s="38">
        <f>INDEX(TB!$Q:$Q,MATCH($E278,TB!$E:$E,0))</f>
        <v>25</v>
      </c>
      <c r="AS278" s="38" t="str">
        <f>IF(OR($C278="01-09",$C278="10-14",$D278="Female"),"",INDEX(VMMC!$AB:$AB,MATCH($E278,VMMC!$E:$E,0)))</f>
        <v/>
      </c>
      <c r="AT278" s="38">
        <f>IF(OR($C278="01-09",$C278="10-14"),"",INDEX(PrEP!$Q:$Q,MATCH($E278,PrEP!$E:$E,0)))</f>
        <v>18</v>
      </c>
      <c r="AU278" s="38">
        <f t="shared" si="152"/>
        <v>142</v>
      </c>
      <c r="AV278" s="38">
        <f t="shared" si="153"/>
        <v>149</v>
      </c>
      <c r="AW278" s="33">
        <f t="shared" si="154"/>
        <v>4.6979865771812082E-2</v>
      </c>
      <c r="AX278" s="38">
        <v>35</v>
      </c>
      <c r="AY278" s="33">
        <f t="shared" si="158"/>
        <v>0</v>
      </c>
      <c r="AZ278" s="218">
        <f t="shared" si="156"/>
        <v>35</v>
      </c>
      <c r="BA278" s="33">
        <v>0.74</v>
      </c>
      <c r="BB278" s="218">
        <f t="shared" si="157"/>
        <v>5</v>
      </c>
    </row>
    <row r="279" spans="1:54" x14ac:dyDescent="0.2">
      <c r="A279" t="str">
        <f>INDEX(Prioritization!$D:$D,MATCH($B279,Prioritization!$A:$A,0))</f>
        <v>4 - Sustained</v>
      </c>
      <c r="B279" t="s">
        <v>304</v>
      </c>
      <c r="C279" t="s">
        <v>473</v>
      </c>
      <c r="D279" t="s">
        <v>30</v>
      </c>
      <c r="E279" t="str">
        <f t="shared" si="132"/>
        <v>Ntcheu District [am530wpaGvr]|01-09|Female</v>
      </c>
      <c r="F279" s="33">
        <f>IF(LEFT($B279,4)="_Mil","",INDEX(Cascade!$AA:$AA,MATCH($E279,Cascade!$E:$E,0)))</f>
        <v>0.70570888799999998</v>
      </c>
      <c r="G279" s="38">
        <f>INDEX(Cascade!$BH:$BH,MATCH($E279,Cascade!$E:$E,0))</f>
        <v>6</v>
      </c>
      <c r="H279" s="38" t="str">
        <f>IF(OR($C279="01-09",$D279="Male"),"",INDEX(PMTCT!$AC:$AC,MATCH($E279,PMTCT!$E:$E,0)))</f>
        <v/>
      </c>
      <c r="I279" s="38" t="str">
        <f>IF(OR($C279="01-09",$D279="Male"),"",INDEX(PMTCT!$AS:$AS,MATCH($E279,PMTCT!$E:$E,0)))</f>
        <v/>
      </c>
      <c r="J279" s="38">
        <f>INDEX(TB!$P:$P,MATCH($E279,TB!$E:$E,0))</f>
        <v>0</v>
      </c>
      <c r="K279" s="38" t="str">
        <f>IF(OR($C279="01-09",$C279="10-14",$D279="Female"),"",INDEX(VMMC!$AA:$AA,MATCH($E279,VMMC!$E:$E,0)))</f>
        <v/>
      </c>
      <c r="L279" s="38">
        <f t="shared" si="133"/>
        <v>6</v>
      </c>
      <c r="M279" s="33" t="str">
        <f t="shared" si="134"/>
        <v/>
      </c>
      <c r="N279" s="33" t="str">
        <f t="shared" si="135"/>
        <v/>
      </c>
      <c r="O279" s="33">
        <f t="shared" si="136"/>
        <v>0</v>
      </c>
      <c r="P279" s="33" t="str">
        <f t="shared" si="137"/>
        <v/>
      </c>
      <c r="Q279" s="33">
        <v>0.47058823529411797</v>
      </c>
      <c r="R279" s="33"/>
      <c r="S279" s="33"/>
      <c r="T279" s="33"/>
      <c r="U279" s="33">
        <f t="shared" si="127"/>
        <v>0.52941176470588203</v>
      </c>
      <c r="V279" s="33">
        <f t="shared" si="138"/>
        <v>1</v>
      </c>
      <c r="W279" s="218">
        <f t="shared" si="139"/>
        <v>3</v>
      </c>
      <c r="X279" s="33">
        <v>2.3E-2</v>
      </c>
      <c r="Y279" s="218">
        <f t="shared" si="139"/>
        <v>3</v>
      </c>
      <c r="Z279" s="218">
        <f t="shared" si="140"/>
        <v>127</v>
      </c>
      <c r="AA279" s="33">
        <v>0.12</v>
      </c>
      <c r="AB279" s="218" t="str">
        <f t="shared" si="141"/>
        <v/>
      </c>
      <c r="AC279" s="218" t="str">
        <f t="shared" si="142"/>
        <v/>
      </c>
      <c r="AD279" s="33">
        <v>0.02</v>
      </c>
      <c r="AE279" s="218" t="str">
        <f t="shared" si="143"/>
        <v/>
      </c>
      <c r="AF279" s="218" t="str">
        <f t="shared" si="144"/>
        <v/>
      </c>
      <c r="AG279" s="33">
        <v>0.02</v>
      </c>
      <c r="AH279" s="218" t="str">
        <f t="shared" si="145"/>
        <v/>
      </c>
      <c r="AI279" s="218" t="str">
        <f t="shared" si="146"/>
        <v/>
      </c>
      <c r="AJ279" s="33">
        <v>4.1000000000000003E-3</v>
      </c>
      <c r="AK279" s="218">
        <f t="shared" si="147"/>
        <v>3</v>
      </c>
      <c r="AL279" s="218">
        <f t="shared" si="148"/>
        <v>729</v>
      </c>
      <c r="AM279" s="38">
        <f t="shared" si="149"/>
        <v>6</v>
      </c>
      <c r="AN279" s="38">
        <f t="shared" si="150"/>
        <v>6</v>
      </c>
      <c r="AO279" s="38">
        <f t="shared" si="151"/>
        <v>0</v>
      </c>
      <c r="AP279" s="38" t="str">
        <f>IF(OR($C279="01-09",$D279="Male"),"",INDEX(PMTCT!$AD:$AD,MATCH($E279,PMTCT!$E:$E,0)))</f>
        <v/>
      </c>
      <c r="AQ279" s="38" t="str">
        <f>IF(OR($C279="01-09",$D279="Male"),"",INDEX(PMTCT!$AT:$AT,MATCH($E279,PMTCT!$E:$E,0)))</f>
        <v/>
      </c>
      <c r="AR279" s="38">
        <f>INDEX(TB!$Q:$Q,MATCH($E279,TB!$E:$E,0))</f>
        <v>4</v>
      </c>
      <c r="AS279" s="38" t="str">
        <f>IF(OR($C279="01-09",$C279="10-14",$D279="Female"),"",INDEX(VMMC!$AB:$AB,MATCH($E279,VMMC!$E:$E,0)))</f>
        <v/>
      </c>
      <c r="AT279" s="38" t="str">
        <f>IF(OR($C279="01-09",$C279="10-14"),"",INDEX(PrEP!$Q:$Q,MATCH($E279,PrEP!$E:$E,0)))</f>
        <v/>
      </c>
      <c r="AU279" s="38">
        <f t="shared" si="152"/>
        <v>860</v>
      </c>
      <c r="AV279" s="38">
        <f t="shared" si="153"/>
        <v>866</v>
      </c>
      <c r="AW279" s="33">
        <f t="shared" si="154"/>
        <v>6.9284064665127024E-3</v>
      </c>
      <c r="AX279" s="38"/>
      <c r="AY279" s="33" t="str">
        <f t="shared" si="158"/>
        <v/>
      </c>
      <c r="AZ279" s="218" t="str">
        <f t="shared" si="156"/>
        <v/>
      </c>
      <c r="BA279" s="33" t="str">
        <f t="shared" ref="BA279:BA330" si="159">IF(OR($C279="01-09",$C279="10-14"),"",100%)</f>
        <v/>
      </c>
      <c r="BB279" s="218" t="str">
        <f t="shared" si="157"/>
        <v/>
      </c>
    </row>
    <row r="280" spans="1:54" x14ac:dyDescent="0.2">
      <c r="A280" t="str">
        <f>INDEX(Prioritization!$D:$D,MATCH($B280,Prioritization!$A:$A,0))</f>
        <v>4 - Sustained</v>
      </c>
      <c r="B280" t="s">
        <v>304</v>
      </c>
      <c r="C280" t="s">
        <v>473</v>
      </c>
      <c r="D280" t="s">
        <v>48</v>
      </c>
      <c r="E280" t="str">
        <f t="shared" si="132"/>
        <v>Ntcheu District [am530wpaGvr]|01-09|Male</v>
      </c>
      <c r="F280" s="33">
        <f>IF(LEFT($B280,4)="_Mil","",INDEX(Cascade!$AA:$AA,MATCH($E280,Cascade!$E:$E,0)))</f>
        <v>0.70595324400000004</v>
      </c>
      <c r="G280" s="38">
        <f>INDEX(Cascade!$BH:$BH,MATCH($E280,Cascade!$E:$E,0))</f>
        <v>6</v>
      </c>
      <c r="H280" s="38" t="str">
        <f>IF(OR($C280="01-09",$D280="Male"),"",INDEX(PMTCT!$AC:$AC,MATCH($E280,PMTCT!$E:$E,0)))</f>
        <v/>
      </c>
      <c r="I280" s="38" t="str">
        <f>IF(OR($C280="01-09",$D280="Male"),"",INDEX(PMTCT!$AS:$AS,MATCH($E280,PMTCT!$E:$E,0)))</f>
        <v/>
      </c>
      <c r="J280" s="38">
        <f>INDEX(TB!$P:$P,MATCH($E280,TB!$E:$E,0))</f>
        <v>0</v>
      </c>
      <c r="K280" s="38" t="str">
        <f>IF(OR($C280="01-09",$C280="10-14",$D280="Female"),"",INDEX(VMMC!$AA:$AA,MATCH($E280,VMMC!$E:$E,0)))</f>
        <v/>
      </c>
      <c r="L280" s="38">
        <f t="shared" si="133"/>
        <v>6</v>
      </c>
      <c r="M280" s="33" t="str">
        <f t="shared" si="134"/>
        <v/>
      </c>
      <c r="N280" s="33" t="str">
        <f t="shared" si="135"/>
        <v/>
      </c>
      <c r="O280" s="33">
        <f t="shared" si="136"/>
        <v>0</v>
      </c>
      <c r="P280" s="33" t="str">
        <f t="shared" si="137"/>
        <v/>
      </c>
      <c r="Q280" s="33">
        <v>0.4375</v>
      </c>
      <c r="R280" s="33"/>
      <c r="S280" s="33"/>
      <c r="T280" s="33"/>
      <c r="U280" s="33">
        <f t="shared" si="127"/>
        <v>0.5625</v>
      </c>
      <c r="V280" s="33">
        <f t="shared" si="138"/>
        <v>1</v>
      </c>
      <c r="W280" s="218">
        <f t="shared" si="139"/>
        <v>3</v>
      </c>
      <c r="X280" s="33">
        <v>2.1000000000000001E-2</v>
      </c>
      <c r="Y280" s="218">
        <f t="shared" si="139"/>
        <v>3</v>
      </c>
      <c r="Z280" s="218">
        <f t="shared" si="140"/>
        <v>140</v>
      </c>
      <c r="AA280" s="33">
        <v>0.12</v>
      </c>
      <c r="AB280" s="218" t="str">
        <f t="shared" si="141"/>
        <v/>
      </c>
      <c r="AC280" s="218" t="str">
        <f t="shared" si="142"/>
        <v/>
      </c>
      <c r="AD280" s="33">
        <v>0.02</v>
      </c>
      <c r="AE280" s="218" t="str">
        <f t="shared" si="143"/>
        <v/>
      </c>
      <c r="AF280" s="218" t="str">
        <f t="shared" si="144"/>
        <v/>
      </c>
      <c r="AG280" s="33">
        <v>0.02</v>
      </c>
      <c r="AH280" s="218" t="str">
        <f t="shared" si="145"/>
        <v/>
      </c>
      <c r="AI280" s="218" t="str">
        <f t="shared" si="146"/>
        <v/>
      </c>
      <c r="AJ280" s="33">
        <v>3.8999999999999998E-3</v>
      </c>
      <c r="AK280" s="218">
        <f t="shared" si="147"/>
        <v>3</v>
      </c>
      <c r="AL280" s="218">
        <f t="shared" si="148"/>
        <v>766</v>
      </c>
      <c r="AM280" s="38">
        <f t="shared" si="149"/>
        <v>6</v>
      </c>
      <c r="AN280" s="38">
        <f t="shared" si="150"/>
        <v>6</v>
      </c>
      <c r="AO280" s="38">
        <f t="shared" si="151"/>
        <v>0</v>
      </c>
      <c r="AP280" s="38" t="str">
        <f>IF(OR($C280="01-09",$D280="Male"),"",INDEX(PMTCT!$AD:$AD,MATCH($E280,PMTCT!$E:$E,0)))</f>
        <v/>
      </c>
      <c r="AQ280" s="38" t="str">
        <f>IF(OR($C280="01-09",$D280="Male"),"",INDEX(PMTCT!$AT:$AT,MATCH($E280,PMTCT!$E:$E,0)))</f>
        <v/>
      </c>
      <c r="AR280" s="38">
        <f>INDEX(TB!$Q:$Q,MATCH($E280,TB!$E:$E,0))</f>
        <v>4</v>
      </c>
      <c r="AS280" s="38" t="str">
        <f>IF(OR($C280="01-09",$C280="10-14",$D280="Female"),"",INDEX(VMMC!$AB:$AB,MATCH($E280,VMMC!$E:$E,0)))</f>
        <v/>
      </c>
      <c r="AT280" s="38" t="str">
        <f>IF(OR($C280="01-09",$C280="10-14"),"",INDEX(PrEP!$Q:$Q,MATCH($E280,PrEP!$E:$E,0)))</f>
        <v/>
      </c>
      <c r="AU280" s="38">
        <f t="shared" si="152"/>
        <v>910</v>
      </c>
      <c r="AV280" s="38">
        <f t="shared" si="153"/>
        <v>916</v>
      </c>
      <c r="AW280" s="33">
        <f t="shared" si="154"/>
        <v>6.5502183406113534E-3</v>
      </c>
      <c r="AX280" s="38"/>
      <c r="AY280" s="33" t="str">
        <f t="shared" si="158"/>
        <v/>
      </c>
      <c r="AZ280" s="218" t="str">
        <f t="shared" si="156"/>
        <v/>
      </c>
      <c r="BA280" s="33" t="str">
        <f t="shared" si="159"/>
        <v/>
      </c>
      <c r="BB280" s="218" t="str">
        <f t="shared" si="157"/>
        <v/>
      </c>
    </row>
    <row r="281" spans="1:54" x14ac:dyDescent="0.2">
      <c r="A281" t="str">
        <f>INDEX(Prioritization!$D:$D,MATCH($B281,Prioritization!$A:$A,0))</f>
        <v>4 - Sustained</v>
      </c>
      <c r="B281" t="s">
        <v>304</v>
      </c>
      <c r="C281" t="s">
        <v>474</v>
      </c>
      <c r="D281" t="s">
        <v>30</v>
      </c>
      <c r="E281" t="str">
        <f t="shared" si="132"/>
        <v>Ntcheu District [am530wpaGvr]|10-14|Female</v>
      </c>
      <c r="F281" s="33">
        <f>IF(LEFT($B281,4)="_Mil","",INDEX(Cascade!$AA:$AA,MATCH($E281,Cascade!$E:$E,0)))</f>
        <v>0.74253842000000014</v>
      </c>
      <c r="G281" s="38">
        <f>INDEX(Cascade!$BH:$BH,MATCH($E281,Cascade!$E:$E,0))</f>
        <v>37</v>
      </c>
      <c r="H281" s="38">
        <f>IF(OR($C281="01-09",$D281="Male"),"",INDEX(PMTCT!$AC:$AC,MATCH($E281,PMTCT!$E:$E,0)))</f>
        <v>1</v>
      </c>
      <c r="I281" s="38">
        <f>IF(OR($C281="01-09",$D281="Male"),"",INDEX(PMTCT!$AS:$AS,MATCH($E281,PMTCT!$E:$E,0)))</f>
        <v>0</v>
      </c>
      <c r="J281" s="38">
        <f>INDEX(TB!$P:$P,MATCH($E281,TB!$E:$E,0))</f>
        <v>0</v>
      </c>
      <c r="K281" s="38" t="str">
        <f>IF(OR($C281="01-09",$C281="10-14",$D281="Female"),"",INDEX(VMMC!$AA:$AA,MATCH($E281,VMMC!$E:$E,0)))</f>
        <v/>
      </c>
      <c r="L281" s="38">
        <f t="shared" si="133"/>
        <v>36</v>
      </c>
      <c r="M281" s="33">
        <f t="shared" si="134"/>
        <v>2.7027027027027029E-2</v>
      </c>
      <c r="N281" s="33">
        <f t="shared" si="135"/>
        <v>0</v>
      </c>
      <c r="O281" s="33">
        <f t="shared" si="136"/>
        <v>0</v>
      </c>
      <c r="P281" s="33" t="str">
        <f t="shared" si="137"/>
        <v/>
      </c>
      <c r="Q281" s="33">
        <v>0.44680851063829802</v>
      </c>
      <c r="R281" s="33"/>
      <c r="S281" s="33"/>
      <c r="T281" s="33"/>
      <c r="U281" s="33">
        <f t="shared" si="127"/>
        <v>0.52616446233467495</v>
      </c>
      <c r="V281" s="33">
        <f t="shared" si="138"/>
        <v>1</v>
      </c>
      <c r="W281" s="218">
        <f t="shared" si="139"/>
        <v>17</v>
      </c>
      <c r="X281" s="33">
        <v>2.8000000000000001E-2</v>
      </c>
      <c r="Y281" s="218">
        <f t="shared" si="139"/>
        <v>17</v>
      </c>
      <c r="Z281" s="218">
        <f t="shared" si="140"/>
        <v>590</v>
      </c>
      <c r="AA281" s="33">
        <v>0.12</v>
      </c>
      <c r="AB281" s="218" t="str">
        <f t="shared" si="141"/>
        <v/>
      </c>
      <c r="AC281" s="218" t="str">
        <f t="shared" si="142"/>
        <v/>
      </c>
      <c r="AD281" s="33">
        <v>0.02</v>
      </c>
      <c r="AE281" s="218" t="str">
        <f t="shared" si="143"/>
        <v/>
      </c>
      <c r="AF281" s="218" t="str">
        <f t="shared" si="144"/>
        <v/>
      </c>
      <c r="AG281" s="33">
        <v>0.02</v>
      </c>
      <c r="AH281" s="218" t="str">
        <f t="shared" si="145"/>
        <v/>
      </c>
      <c r="AI281" s="218" t="str">
        <f t="shared" si="146"/>
        <v/>
      </c>
      <c r="AJ281" s="33">
        <v>4.8999999999999998E-3</v>
      </c>
      <c r="AK281" s="218">
        <f t="shared" si="147"/>
        <v>19</v>
      </c>
      <c r="AL281" s="218">
        <f t="shared" si="148"/>
        <v>3859</v>
      </c>
      <c r="AM281" s="38">
        <f t="shared" si="149"/>
        <v>37</v>
      </c>
      <c r="AN281" s="38">
        <f t="shared" si="150"/>
        <v>37</v>
      </c>
      <c r="AO281" s="38">
        <f t="shared" si="151"/>
        <v>0</v>
      </c>
      <c r="AP281" s="38">
        <f>IF(OR($C281="01-09",$D281="Male"),"",INDEX(PMTCT!$AD:$AD,MATCH($E281,PMTCT!$E:$E,0)))</f>
        <v>70</v>
      </c>
      <c r="AQ281" s="38">
        <f>IF(OR($C281="01-09",$D281="Male"),"",INDEX(PMTCT!$AT:$AT,MATCH($E281,PMTCT!$E:$E,0)))</f>
        <v>70</v>
      </c>
      <c r="AR281" s="38">
        <f>INDEX(TB!$Q:$Q,MATCH($E281,TB!$E:$E,0))</f>
        <v>2</v>
      </c>
      <c r="AS281" s="38" t="str">
        <f>IF(OR($C281="01-09",$C281="10-14",$D281="Female"),"",INDEX(VMMC!$AB:$AB,MATCH($E281,VMMC!$E:$E,0)))</f>
        <v/>
      </c>
      <c r="AT281" s="38" t="str">
        <f>IF(OR($C281="01-09",$C281="10-14"),"",INDEX(PrEP!$Q:$Q,MATCH($E281,PrEP!$E:$E,0)))</f>
        <v/>
      </c>
      <c r="AU281" s="38">
        <f t="shared" si="152"/>
        <v>4591</v>
      </c>
      <c r="AV281" s="38">
        <f t="shared" si="153"/>
        <v>4628</v>
      </c>
      <c r="AW281" s="33">
        <f t="shared" si="154"/>
        <v>7.9948141745894551E-3</v>
      </c>
      <c r="AX281" s="38"/>
      <c r="AY281" s="33" t="str">
        <f t="shared" si="158"/>
        <v/>
      </c>
      <c r="AZ281" s="218" t="str">
        <f t="shared" si="156"/>
        <v/>
      </c>
      <c r="BA281" s="33" t="str">
        <f t="shared" si="159"/>
        <v/>
      </c>
      <c r="BB281" s="218" t="str">
        <f t="shared" si="157"/>
        <v/>
      </c>
    </row>
    <row r="282" spans="1:54" x14ac:dyDescent="0.2">
      <c r="A282" t="str">
        <f>INDEX(Prioritization!$D:$D,MATCH($B282,Prioritization!$A:$A,0))</f>
        <v>4 - Sustained</v>
      </c>
      <c r="B282" t="s">
        <v>304</v>
      </c>
      <c r="C282" t="s">
        <v>474</v>
      </c>
      <c r="D282" t="s">
        <v>48</v>
      </c>
      <c r="E282" t="str">
        <f t="shared" si="132"/>
        <v>Ntcheu District [am530wpaGvr]|10-14|Male</v>
      </c>
      <c r="F282" s="33">
        <f>IF(LEFT($B282,4)="_Mil","",INDEX(Cascade!$AA:$AA,MATCH($E282,Cascade!$E:$E,0)))</f>
        <v>0.74239079200000002</v>
      </c>
      <c r="G282" s="38">
        <f>INDEX(Cascade!$BH:$BH,MATCH($E282,Cascade!$E:$E,0))</f>
        <v>7</v>
      </c>
      <c r="H282" s="38" t="str">
        <f>IF(OR($C282="01-09",$D282="Male"),"",INDEX(PMTCT!$AC:$AC,MATCH($E282,PMTCT!$E:$E,0)))</f>
        <v/>
      </c>
      <c r="I282" s="38" t="str">
        <f>IF(OR($C282="01-09",$D282="Male"),"",INDEX(PMTCT!$AS:$AS,MATCH($E282,PMTCT!$E:$E,0)))</f>
        <v/>
      </c>
      <c r="J282" s="38">
        <f>INDEX(TB!$P:$P,MATCH($E282,TB!$E:$E,0))</f>
        <v>0</v>
      </c>
      <c r="K282" s="38" t="str">
        <f>IF(OR($C282="01-09",$C282="10-14",$D282="Female"),"",INDEX(VMMC!$AA:$AA,MATCH($E282,VMMC!$E:$E,0)))</f>
        <v/>
      </c>
      <c r="L282" s="38">
        <f t="shared" si="133"/>
        <v>7</v>
      </c>
      <c r="M282" s="33" t="str">
        <f t="shared" si="134"/>
        <v/>
      </c>
      <c r="N282" s="33" t="str">
        <f t="shared" si="135"/>
        <v/>
      </c>
      <c r="O282" s="33">
        <f t="shared" si="136"/>
        <v>0</v>
      </c>
      <c r="P282" s="33" t="str">
        <f t="shared" si="137"/>
        <v/>
      </c>
      <c r="Q282" s="33">
        <v>0.57446808510638303</v>
      </c>
      <c r="R282" s="33"/>
      <c r="S282" s="33"/>
      <c r="T282" s="33"/>
      <c r="U282" s="33">
        <f t="shared" si="127"/>
        <v>0.42553191489361697</v>
      </c>
      <c r="V282" s="33">
        <f t="shared" si="138"/>
        <v>1</v>
      </c>
      <c r="W282" s="218">
        <f t="shared" si="139"/>
        <v>4</v>
      </c>
      <c r="X282" s="33">
        <v>1.2E-2</v>
      </c>
      <c r="Y282" s="218">
        <f t="shared" si="139"/>
        <v>4</v>
      </c>
      <c r="Z282" s="218">
        <f t="shared" si="140"/>
        <v>329</v>
      </c>
      <c r="AA282" s="33">
        <v>0.12</v>
      </c>
      <c r="AB282" s="218" t="str">
        <f t="shared" si="141"/>
        <v/>
      </c>
      <c r="AC282" s="218" t="str">
        <f t="shared" si="142"/>
        <v/>
      </c>
      <c r="AD282" s="33">
        <v>0.02</v>
      </c>
      <c r="AE282" s="218" t="str">
        <f t="shared" si="143"/>
        <v/>
      </c>
      <c r="AF282" s="218" t="str">
        <f t="shared" si="144"/>
        <v/>
      </c>
      <c r="AG282" s="33">
        <v>0.02</v>
      </c>
      <c r="AH282" s="218" t="str">
        <f t="shared" si="145"/>
        <v/>
      </c>
      <c r="AI282" s="218" t="str">
        <f t="shared" si="146"/>
        <v/>
      </c>
      <c r="AJ282" s="33">
        <v>8.9999999999999993E-3</v>
      </c>
      <c r="AK282" s="218">
        <f t="shared" si="147"/>
        <v>3</v>
      </c>
      <c r="AL282" s="218">
        <f t="shared" si="148"/>
        <v>330</v>
      </c>
      <c r="AM282" s="38">
        <f t="shared" si="149"/>
        <v>7</v>
      </c>
      <c r="AN282" s="38">
        <f t="shared" si="150"/>
        <v>7</v>
      </c>
      <c r="AO282" s="38">
        <f t="shared" si="151"/>
        <v>0</v>
      </c>
      <c r="AP282" s="38" t="str">
        <f>IF(OR($C282="01-09",$D282="Male"),"",INDEX(PMTCT!$AD:$AD,MATCH($E282,PMTCT!$E:$E,0)))</f>
        <v/>
      </c>
      <c r="AQ282" s="38" t="str">
        <f>IF(OR($C282="01-09",$D282="Male"),"",INDEX(PMTCT!$AT:$AT,MATCH($E282,PMTCT!$E:$E,0)))</f>
        <v/>
      </c>
      <c r="AR282" s="38">
        <f>INDEX(TB!$Q:$Q,MATCH($E282,TB!$E:$E,0))</f>
        <v>2</v>
      </c>
      <c r="AS282" s="38" t="str">
        <f>IF(OR($C282="01-09",$C282="10-14",$D282="Female"),"",INDEX(VMMC!$AB:$AB,MATCH($E282,VMMC!$E:$E,0)))</f>
        <v/>
      </c>
      <c r="AT282" s="38" t="str">
        <f>IF(OR($C282="01-09",$C282="10-14"),"",INDEX(PrEP!$Q:$Q,MATCH($E282,PrEP!$E:$E,0)))</f>
        <v/>
      </c>
      <c r="AU282" s="38">
        <f t="shared" si="152"/>
        <v>661</v>
      </c>
      <c r="AV282" s="38">
        <f t="shared" si="153"/>
        <v>668</v>
      </c>
      <c r="AW282" s="33">
        <f t="shared" si="154"/>
        <v>1.0479041916167664E-2</v>
      </c>
      <c r="AX282" s="38"/>
      <c r="AY282" s="33" t="str">
        <f t="shared" si="158"/>
        <v/>
      </c>
      <c r="AZ282" s="218" t="str">
        <f t="shared" si="156"/>
        <v/>
      </c>
      <c r="BA282" s="33" t="str">
        <f t="shared" si="159"/>
        <v/>
      </c>
      <c r="BB282" s="218" t="str">
        <f t="shared" si="157"/>
        <v/>
      </c>
    </row>
    <row r="283" spans="1:54" x14ac:dyDescent="0.2">
      <c r="A283" t="str">
        <f>INDEX(Prioritization!$D:$D,MATCH($B283,Prioritization!$A:$A,0))</f>
        <v>4 - Sustained</v>
      </c>
      <c r="B283" t="s">
        <v>304</v>
      </c>
      <c r="C283" t="s">
        <v>475</v>
      </c>
      <c r="D283" t="s">
        <v>30</v>
      </c>
      <c r="E283" t="str">
        <f t="shared" si="132"/>
        <v>Ntcheu District [am530wpaGvr]|15-24|Female</v>
      </c>
      <c r="F283" s="33">
        <f>IF(LEFT($B283,4)="_Mil","",INDEX(Cascade!$AA:$AA,MATCH($E283,Cascade!$E:$E,0)))</f>
        <v>0.91552181600000015</v>
      </c>
      <c r="G283" s="38">
        <f>INDEX(Cascade!$BH:$BH,MATCH($E283,Cascade!$E:$E,0))</f>
        <v>238</v>
      </c>
      <c r="H283" s="38">
        <f>IF(OR($C283="01-09",$D283="Male"),"",INDEX(PMTCT!$AC:$AC,MATCH($E283,PMTCT!$E:$E,0)))</f>
        <v>121</v>
      </c>
      <c r="I283" s="38">
        <f>IF(OR($C283="01-09",$D283="Male"),"",INDEX(PMTCT!$AS:$AS,MATCH($E283,PMTCT!$E:$E,0)))</f>
        <v>52</v>
      </c>
      <c r="J283" s="38">
        <f>INDEX(TB!$P:$P,MATCH($E283,TB!$E:$E,0))</f>
        <v>1</v>
      </c>
      <c r="K283" s="38" t="str">
        <f>IF(OR($C283="01-09",$C283="10-14",$D283="Female"),"",INDEX(VMMC!$AA:$AA,MATCH($E283,VMMC!$E:$E,0)))</f>
        <v/>
      </c>
      <c r="L283" s="38">
        <f t="shared" si="133"/>
        <v>64</v>
      </c>
      <c r="M283" s="33">
        <f t="shared" si="134"/>
        <v>0.50840336134453779</v>
      </c>
      <c r="N283" s="33">
        <f t="shared" si="135"/>
        <v>0.21848739495798319</v>
      </c>
      <c r="O283" s="33">
        <f t="shared" si="136"/>
        <v>4.2016806722689074E-3</v>
      </c>
      <c r="P283" s="33" t="str">
        <f t="shared" si="137"/>
        <v/>
      </c>
      <c r="Q283" s="33">
        <v>0.15</v>
      </c>
      <c r="R283" s="33"/>
      <c r="S283" s="33"/>
      <c r="T283" s="33">
        <v>0.05</v>
      </c>
      <c r="U283" s="33">
        <f t="shared" si="127"/>
        <v>6.8907563025210061E-2</v>
      </c>
      <c r="V283" s="33">
        <f t="shared" si="138"/>
        <v>1</v>
      </c>
      <c r="W283" s="218">
        <f t="shared" si="139"/>
        <v>36</v>
      </c>
      <c r="X283" s="33">
        <v>0.188</v>
      </c>
      <c r="Y283" s="218">
        <f t="shared" si="139"/>
        <v>36</v>
      </c>
      <c r="Z283" s="218">
        <f t="shared" si="140"/>
        <v>155</v>
      </c>
      <c r="AA283" s="33">
        <v>0.12</v>
      </c>
      <c r="AB283" s="218" t="str">
        <f t="shared" si="141"/>
        <v/>
      </c>
      <c r="AC283" s="218" t="str">
        <f t="shared" si="142"/>
        <v/>
      </c>
      <c r="AD283" s="33">
        <v>0.02</v>
      </c>
      <c r="AE283" s="218" t="str">
        <f t="shared" si="143"/>
        <v/>
      </c>
      <c r="AF283" s="218" t="str">
        <f t="shared" si="144"/>
        <v/>
      </c>
      <c r="AG283" s="33">
        <v>0.02</v>
      </c>
      <c r="AH283" s="218">
        <f t="shared" si="145"/>
        <v>12</v>
      </c>
      <c r="AI283" s="218">
        <f t="shared" si="146"/>
        <v>588</v>
      </c>
      <c r="AJ283" s="33">
        <v>0.01</v>
      </c>
      <c r="AK283" s="218">
        <f t="shared" si="147"/>
        <v>16</v>
      </c>
      <c r="AL283" s="218">
        <f t="shared" si="148"/>
        <v>1584</v>
      </c>
      <c r="AM283" s="38">
        <f t="shared" si="149"/>
        <v>238</v>
      </c>
      <c r="AN283" s="38">
        <f t="shared" si="150"/>
        <v>238</v>
      </c>
      <c r="AO283" s="38">
        <f t="shared" si="151"/>
        <v>0</v>
      </c>
      <c r="AP283" s="38">
        <f>IF(OR($C283="01-09",$D283="Male"),"",INDEX(PMTCT!$AD:$AD,MATCH($E283,PMTCT!$E:$E,0)))</f>
        <v>12996</v>
      </c>
      <c r="AQ283" s="38">
        <f>IF(OR($C283="01-09",$D283="Male"),"",INDEX(PMTCT!$AT:$AT,MATCH($E283,PMTCT!$E:$E,0)))</f>
        <v>12944</v>
      </c>
      <c r="AR283" s="38">
        <f>INDEX(TB!$Q:$Q,MATCH($E283,TB!$E:$E,0))</f>
        <v>17</v>
      </c>
      <c r="AS283" s="38" t="str">
        <f>IF(OR($C283="01-09",$C283="10-14",$D283="Female"),"",INDEX(VMMC!$AB:$AB,MATCH($E283,VMMC!$E:$E,0)))</f>
        <v/>
      </c>
      <c r="AT283" s="38">
        <f>IF(OR($C283="01-09",$C283="10-14"),"",INDEX(PrEP!$Q:$Q,MATCH($E283,PrEP!$E:$E,0)))</f>
        <v>-45</v>
      </c>
      <c r="AU283" s="38">
        <f t="shared" si="152"/>
        <v>28238.999999999996</v>
      </c>
      <c r="AV283" s="38">
        <f t="shared" si="153"/>
        <v>28476.999999999996</v>
      </c>
      <c r="AW283" s="33">
        <f t="shared" si="154"/>
        <v>8.3576219405133972E-3</v>
      </c>
      <c r="AX283" s="38">
        <v>826</v>
      </c>
      <c r="AY283" s="33">
        <f t="shared" ref="AY283:AY288" si="160">IF(OR($C283="01-09",SUM($AX283)=0),"",68%)</f>
        <v>0.68</v>
      </c>
      <c r="AZ283" s="218">
        <f t="shared" si="156"/>
        <v>1388</v>
      </c>
      <c r="BA283" s="33">
        <v>0.34</v>
      </c>
      <c r="BB283" s="218">
        <f t="shared" si="157"/>
        <v>81</v>
      </c>
    </row>
    <row r="284" spans="1:54" x14ac:dyDescent="0.2">
      <c r="A284" t="str">
        <f>INDEX(Prioritization!$D:$D,MATCH($B284,Prioritization!$A:$A,0))</f>
        <v>4 - Sustained</v>
      </c>
      <c r="B284" t="s">
        <v>304</v>
      </c>
      <c r="C284" t="s">
        <v>475</v>
      </c>
      <c r="D284" t="s">
        <v>48</v>
      </c>
      <c r="E284" t="str">
        <f t="shared" si="132"/>
        <v>Ntcheu District [am530wpaGvr]|15-24|Male</v>
      </c>
      <c r="F284" s="33">
        <f>IF(LEFT($B284,4)="_Mil","",INDEX(Cascade!$AA:$AA,MATCH($E284,Cascade!$E:$E,0)))</f>
        <v>0.87517345000000002</v>
      </c>
      <c r="G284" s="38">
        <f>INDEX(Cascade!$BH:$BH,MATCH($E284,Cascade!$E:$E,0))</f>
        <v>53</v>
      </c>
      <c r="H284" s="38" t="str">
        <f>IF(OR($C284="01-09",$D284="Male"),"",INDEX(PMTCT!$AC:$AC,MATCH($E284,PMTCT!$E:$E,0)))</f>
        <v/>
      </c>
      <c r="I284" s="38" t="str">
        <f>IF(OR($C284="01-09",$D284="Male"),"",INDEX(PMTCT!$AS:$AS,MATCH($E284,PMTCT!$E:$E,0)))</f>
        <v/>
      </c>
      <c r="J284" s="38">
        <f>INDEX(TB!$P:$P,MATCH($E284,TB!$E:$E,0))</f>
        <v>2</v>
      </c>
      <c r="K284" s="38" t="str">
        <f>IF(OR($C284="01-09",$C284="10-14",$D284="Female"),"",INDEX(VMMC!$AA:$AA,MATCH($E284,VMMC!$E:$E,0)))</f>
        <v/>
      </c>
      <c r="L284" s="38">
        <f t="shared" si="133"/>
        <v>51</v>
      </c>
      <c r="M284" s="33" t="str">
        <f t="shared" si="134"/>
        <v/>
      </c>
      <c r="N284" s="33" t="str">
        <f t="shared" si="135"/>
        <v/>
      </c>
      <c r="O284" s="33">
        <f t="shared" si="136"/>
        <v>3.7735849056603772E-2</v>
      </c>
      <c r="P284" s="33">
        <f t="shared" si="137"/>
        <v>0</v>
      </c>
      <c r="Q284" s="33">
        <v>0.32450331125827803</v>
      </c>
      <c r="R284" s="33"/>
      <c r="S284" s="33"/>
      <c r="T284" s="33">
        <v>0.05</v>
      </c>
      <c r="U284" s="33">
        <f t="shared" ref="U284:U347" si="161">1-SUM(M284:T284)</f>
        <v>0.58776083968511816</v>
      </c>
      <c r="V284" s="33">
        <f t="shared" si="138"/>
        <v>1</v>
      </c>
      <c r="W284" s="218">
        <f t="shared" si="139"/>
        <v>17</v>
      </c>
      <c r="X284" s="33">
        <v>0.13700000000000001</v>
      </c>
      <c r="Y284" s="218">
        <f t="shared" si="139"/>
        <v>17</v>
      </c>
      <c r="Z284" s="218">
        <f t="shared" si="140"/>
        <v>107</v>
      </c>
      <c r="AA284" s="33">
        <v>0.12</v>
      </c>
      <c r="AB284" s="218" t="str">
        <f t="shared" si="141"/>
        <v/>
      </c>
      <c r="AC284" s="218" t="str">
        <f t="shared" si="142"/>
        <v/>
      </c>
      <c r="AD284" s="33">
        <v>0.02</v>
      </c>
      <c r="AE284" s="218" t="str">
        <f t="shared" si="143"/>
        <v/>
      </c>
      <c r="AF284" s="218" t="str">
        <f t="shared" si="144"/>
        <v/>
      </c>
      <c r="AG284" s="33">
        <v>0.02</v>
      </c>
      <c r="AH284" s="218">
        <f t="shared" si="145"/>
        <v>3</v>
      </c>
      <c r="AI284" s="218">
        <f t="shared" si="146"/>
        <v>147</v>
      </c>
      <c r="AJ284" s="33">
        <v>6.0000000000000001E-3</v>
      </c>
      <c r="AK284" s="218">
        <f t="shared" si="147"/>
        <v>31</v>
      </c>
      <c r="AL284" s="218">
        <f t="shared" si="148"/>
        <v>5136</v>
      </c>
      <c r="AM284" s="38">
        <f t="shared" si="149"/>
        <v>53</v>
      </c>
      <c r="AN284" s="38">
        <f t="shared" si="150"/>
        <v>53</v>
      </c>
      <c r="AO284" s="38">
        <f t="shared" si="151"/>
        <v>0</v>
      </c>
      <c r="AP284" s="38" t="str">
        <f>IF(OR($C284="01-09",$D284="Male"),"",INDEX(PMTCT!$AD:$AD,MATCH($E284,PMTCT!$E:$E,0)))</f>
        <v/>
      </c>
      <c r="AQ284" s="38" t="str">
        <f>IF(OR($C284="01-09",$D284="Male"),"",INDEX(PMTCT!$AT:$AT,MATCH($E284,PMTCT!$E:$E,0)))</f>
        <v/>
      </c>
      <c r="AR284" s="38">
        <f>INDEX(TB!$Q:$Q,MATCH($E284,TB!$E:$E,0))</f>
        <v>27</v>
      </c>
      <c r="AS284" s="38" t="str">
        <f>IF(OR($C284="01-09",$C284="10-14",$D284="Female"),"",INDEX(VMMC!$AB:$AB,MATCH($E284,VMMC!$E:$E,0)))</f>
        <v/>
      </c>
      <c r="AT284" s="38">
        <f>IF(OR($C284="01-09",$C284="10-14"),"",INDEX(PrEP!$Q:$Q,MATCH($E284,PrEP!$E:$E,0)))</f>
        <v>18</v>
      </c>
      <c r="AU284" s="38">
        <f t="shared" si="152"/>
        <v>5435</v>
      </c>
      <c r="AV284" s="38">
        <f t="shared" si="153"/>
        <v>5488</v>
      </c>
      <c r="AW284" s="33">
        <f t="shared" si="154"/>
        <v>9.6574344023323613E-3</v>
      </c>
      <c r="AX284" s="38">
        <v>56</v>
      </c>
      <c r="AY284" s="33">
        <f t="shared" si="160"/>
        <v>0.68</v>
      </c>
      <c r="AZ284" s="218">
        <f t="shared" si="156"/>
        <v>94</v>
      </c>
      <c r="BA284" s="33">
        <v>0.34</v>
      </c>
      <c r="BB284" s="218">
        <f t="shared" si="157"/>
        <v>18</v>
      </c>
    </row>
    <row r="285" spans="1:54" x14ac:dyDescent="0.2">
      <c r="A285" t="str">
        <f>INDEX(Prioritization!$D:$D,MATCH($B285,Prioritization!$A:$A,0))</f>
        <v>4 - Sustained</v>
      </c>
      <c r="B285" t="s">
        <v>304</v>
      </c>
      <c r="C285" t="s">
        <v>476</v>
      </c>
      <c r="D285" t="s">
        <v>30</v>
      </c>
      <c r="E285" t="str">
        <f t="shared" si="132"/>
        <v>Ntcheu District [am530wpaGvr]|25-34|Female</v>
      </c>
      <c r="F285" s="33">
        <f>IF(LEFT($B285,4)="_Mil","",INDEX(Cascade!$AA:$AA,MATCH($E285,Cascade!$E:$E,0)))</f>
        <v>0.95456085000000013</v>
      </c>
      <c r="G285" s="38">
        <f>INDEX(Cascade!$BH:$BH,MATCH($E285,Cascade!$E:$E,0))</f>
        <v>246</v>
      </c>
      <c r="H285" s="38">
        <f>IF(OR($C285="01-09",$D285="Male"),"",INDEX(PMTCT!$AC:$AC,MATCH($E285,PMTCT!$E:$E,0)))</f>
        <v>77</v>
      </c>
      <c r="I285" s="38">
        <f>IF(OR($C285="01-09",$D285="Male"),"",INDEX(PMTCT!$AS:$AS,MATCH($E285,PMTCT!$E:$E,0)))</f>
        <v>28</v>
      </c>
      <c r="J285" s="38">
        <f>INDEX(TB!$P:$P,MATCH($E285,TB!$E:$E,0))</f>
        <v>1</v>
      </c>
      <c r="K285" s="38" t="str">
        <f>IF(OR($C285="01-09",$C285="10-14",$D285="Female"),"",INDEX(VMMC!$AA:$AA,MATCH($E285,VMMC!$E:$E,0)))</f>
        <v/>
      </c>
      <c r="L285" s="38">
        <f t="shared" si="133"/>
        <v>140</v>
      </c>
      <c r="M285" s="33">
        <f t="shared" si="134"/>
        <v>0.31300813008130079</v>
      </c>
      <c r="N285" s="33">
        <f t="shared" si="135"/>
        <v>0.11382113821138211</v>
      </c>
      <c r="O285" s="33">
        <f t="shared" si="136"/>
        <v>4.0650406504065045E-3</v>
      </c>
      <c r="P285" s="33" t="str">
        <f t="shared" si="137"/>
        <v/>
      </c>
      <c r="Q285" s="33">
        <v>0.218446601941748</v>
      </c>
      <c r="R285" s="33"/>
      <c r="S285" s="33"/>
      <c r="T285" s="33">
        <v>0.05</v>
      </c>
      <c r="U285" s="33">
        <f t="shared" si="161"/>
        <v>0.30065908911516248</v>
      </c>
      <c r="V285" s="33">
        <f t="shared" si="138"/>
        <v>1</v>
      </c>
      <c r="W285" s="218">
        <f t="shared" si="139"/>
        <v>54</v>
      </c>
      <c r="X285" s="33">
        <v>0.182</v>
      </c>
      <c r="Y285" s="218">
        <f t="shared" si="139"/>
        <v>54</v>
      </c>
      <c r="Z285" s="218">
        <f t="shared" si="140"/>
        <v>243</v>
      </c>
      <c r="AA285" s="33">
        <v>0.12</v>
      </c>
      <c r="AB285" s="218" t="str">
        <f t="shared" si="141"/>
        <v/>
      </c>
      <c r="AC285" s="218" t="str">
        <f t="shared" si="142"/>
        <v/>
      </c>
      <c r="AD285" s="33">
        <v>0.02</v>
      </c>
      <c r="AE285" s="218" t="str">
        <f t="shared" si="143"/>
        <v/>
      </c>
      <c r="AF285" s="218" t="str">
        <f t="shared" si="144"/>
        <v/>
      </c>
      <c r="AG285" s="33">
        <v>0.02</v>
      </c>
      <c r="AH285" s="218">
        <f t="shared" si="145"/>
        <v>12</v>
      </c>
      <c r="AI285" s="218">
        <f t="shared" si="146"/>
        <v>588</v>
      </c>
      <c r="AJ285" s="33">
        <v>1.7999999999999999E-2</v>
      </c>
      <c r="AK285" s="218">
        <f t="shared" si="147"/>
        <v>74</v>
      </c>
      <c r="AL285" s="218">
        <f t="shared" si="148"/>
        <v>4037</v>
      </c>
      <c r="AM285" s="38">
        <f t="shared" si="149"/>
        <v>246</v>
      </c>
      <c r="AN285" s="38">
        <f t="shared" si="150"/>
        <v>245.99999999999997</v>
      </c>
      <c r="AO285" s="38">
        <f t="shared" si="151"/>
        <v>-2.8421709430404007E-14</v>
      </c>
      <c r="AP285" s="38">
        <f>IF(OR($C285="01-09",$D285="Male"),"",INDEX(PMTCT!$AD:$AD,MATCH($E285,PMTCT!$E:$E,0)))</f>
        <v>6880</v>
      </c>
      <c r="AQ285" s="38">
        <f>IF(OR($C285="01-09",$D285="Male"),"",INDEX(PMTCT!$AT:$AT,MATCH($E285,PMTCT!$E:$E,0)))</f>
        <v>6852</v>
      </c>
      <c r="AR285" s="38">
        <f>INDEX(TB!$Q:$Q,MATCH($E285,TB!$E:$E,0))</f>
        <v>17</v>
      </c>
      <c r="AS285" s="38" t="str">
        <f>IF(OR($C285="01-09",$C285="10-14",$D285="Female"),"",INDEX(VMMC!$AB:$AB,MATCH($E285,VMMC!$E:$E,0)))</f>
        <v/>
      </c>
      <c r="AT285" s="38">
        <f>IF(OR($C285="01-09",$C285="10-14"),"",INDEX(PrEP!$Q:$Q,MATCH($E285,PrEP!$E:$E,0)))</f>
        <v>-105</v>
      </c>
      <c r="AU285" s="38">
        <f t="shared" si="152"/>
        <v>18512</v>
      </c>
      <c r="AV285" s="38">
        <f t="shared" si="153"/>
        <v>18758</v>
      </c>
      <c r="AW285" s="33">
        <f t="shared" si="154"/>
        <v>1.3114404520737817E-2</v>
      </c>
      <c r="AX285" s="38">
        <v>540</v>
      </c>
      <c r="AY285" s="33">
        <f t="shared" si="160"/>
        <v>0.68</v>
      </c>
      <c r="AZ285" s="218">
        <f t="shared" si="156"/>
        <v>907</v>
      </c>
      <c r="BA285" s="33">
        <v>0.34</v>
      </c>
      <c r="BB285" s="218">
        <f t="shared" si="157"/>
        <v>84</v>
      </c>
    </row>
    <row r="286" spans="1:54" x14ac:dyDescent="0.2">
      <c r="A286" t="str">
        <f>INDEX(Prioritization!$D:$D,MATCH($B286,Prioritization!$A:$A,0))</f>
        <v>4 - Sustained</v>
      </c>
      <c r="B286" t="s">
        <v>304</v>
      </c>
      <c r="C286" t="s">
        <v>476</v>
      </c>
      <c r="D286" t="s">
        <v>48</v>
      </c>
      <c r="E286" t="str">
        <f t="shared" si="132"/>
        <v>Ntcheu District [am530wpaGvr]|25-34|Male</v>
      </c>
      <c r="F286" s="33">
        <f>IF(LEFT($B286,4)="_Mil","",INDEX(Cascade!$AA:$AA,MATCH($E286,Cascade!$E:$E,0)))</f>
        <v>0.83954640999999997</v>
      </c>
      <c r="G286" s="38">
        <f>INDEX(Cascade!$BH:$BH,MATCH($E286,Cascade!$E:$E,0))</f>
        <v>26</v>
      </c>
      <c r="H286" s="38" t="str">
        <f>IF(OR($C286="01-09",$D286="Male"),"",INDEX(PMTCT!$AC:$AC,MATCH($E286,PMTCT!$E:$E,0)))</f>
        <v/>
      </c>
      <c r="I286" s="38" t="str">
        <f>IF(OR($C286="01-09",$D286="Male"),"",INDEX(PMTCT!$AS:$AS,MATCH($E286,PMTCT!$E:$E,0)))</f>
        <v/>
      </c>
      <c r="J286" s="38">
        <f>INDEX(TB!$P:$P,MATCH($E286,TB!$E:$E,0))</f>
        <v>2</v>
      </c>
      <c r="K286" s="38" t="str">
        <f>IF(OR($C286="01-09",$C286="10-14",$D286="Female"),"",INDEX(VMMC!$AA:$AA,MATCH($E286,VMMC!$E:$E,0)))</f>
        <v/>
      </c>
      <c r="L286" s="38">
        <f t="shared" si="133"/>
        <v>24</v>
      </c>
      <c r="M286" s="33" t="str">
        <f t="shared" si="134"/>
        <v/>
      </c>
      <c r="N286" s="33" t="str">
        <f t="shared" si="135"/>
        <v/>
      </c>
      <c r="O286" s="33">
        <f t="shared" si="136"/>
        <v>7.6923076923076927E-2</v>
      </c>
      <c r="P286" s="33">
        <f t="shared" si="137"/>
        <v>0</v>
      </c>
      <c r="Q286" s="33">
        <v>0.35714285714285698</v>
      </c>
      <c r="R286" s="33"/>
      <c r="S286" s="33"/>
      <c r="T286" s="33">
        <v>0.05</v>
      </c>
      <c r="U286" s="33">
        <f t="shared" si="161"/>
        <v>0.5159340659340661</v>
      </c>
      <c r="V286" s="33">
        <f t="shared" si="138"/>
        <v>1</v>
      </c>
      <c r="W286" s="218">
        <f t="shared" si="139"/>
        <v>9</v>
      </c>
      <c r="X286" s="33">
        <v>0.152</v>
      </c>
      <c r="Y286" s="218">
        <f t="shared" si="139"/>
        <v>9</v>
      </c>
      <c r="Z286" s="218">
        <f t="shared" si="140"/>
        <v>50</v>
      </c>
      <c r="AA286" s="33">
        <v>0.12</v>
      </c>
      <c r="AB286" s="218" t="str">
        <f t="shared" si="141"/>
        <v/>
      </c>
      <c r="AC286" s="218" t="str">
        <f t="shared" si="142"/>
        <v/>
      </c>
      <c r="AD286" s="33">
        <v>0.02</v>
      </c>
      <c r="AE286" s="218" t="str">
        <f t="shared" si="143"/>
        <v/>
      </c>
      <c r="AF286" s="218" t="str">
        <f t="shared" si="144"/>
        <v/>
      </c>
      <c r="AG286" s="33">
        <v>0.02</v>
      </c>
      <c r="AH286" s="218">
        <f t="shared" si="145"/>
        <v>1</v>
      </c>
      <c r="AI286" s="218">
        <f t="shared" si="146"/>
        <v>49</v>
      </c>
      <c r="AJ286" s="33">
        <v>1.7000000000000001E-2</v>
      </c>
      <c r="AK286" s="218">
        <f t="shared" si="147"/>
        <v>13</v>
      </c>
      <c r="AL286" s="218">
        <f t="shared" si="148"/>
        <v>752</v>
      </c>
      <c r="AM286" s="38">
        <f t="shared" si="149"/>
        <v>26</v>
      </c>
      <c r="AN286" s="38">
        <f t="shared" si="150"/>
        <v>25</v>
      </c>
      <c r="AO286" s="38">
        <f t="shared" si="151"/>
        <v>-1</v>
      </c>
      <c r="AP286" s="38" t="str">
        <f>IF(OR($C286="01-09",$D286="Male"),"",INDEX(PMTCT!$AD:$AD,MATCH($E286,PMTCT!$E:$E,0)))</f>
        <v/>
      </c>
      <c r="AQ286" s="38" t="str">
        <f>IF(OR($C286="01-09",$D286="Male"),"",INDEX(PMTCT!$AT:$AT,MATCH($E286,PMTCT!$E:$E,0)))</f>
        <v/>
      </c>
      <c r="AR286" s="38">
        <f>INDEX(TB!$Q:$Q,MATCH($E286,TB!$E:$E,0))</f>
        <v>27</v>
      </c>
      <c r="AS286" s="38" t="str">
        <f>IF(OR($C286="01-09",$C286="10-14",$D286="Female"),"",INDEX(VMMC!$AB:$AB,MATCH($E286,VMMC!$E:$E,0)))</f>
        <v/>
      </c>
      <c r="AT286" s="38">
        <f>IF(OR($C286="01-09",$C286="10-14"),"",INDEX(PrEP!$Q:$Q,MATCH($E286,PrEP!$E:$E,0)))</f>
        <v>30</v>
      </c>
      <c r="AU286" s="38">
        <f t="shared" si="152"/>
        <v>907.99999999999989</v>
      </c>
      <c r="AV286" s="38">
        <f t="shared" si="153"/>
        <v>932.99999999999977</v>
      </c>
      <c r="AW286" s="33">
        <f t="shared" si="154"/>
        <v>2.6795284030010726E-2</v>
      </c>
      <c r="AX286" s="38">
        <v>59</v>
      </c>
      <c r="AY286" s="33">
        <f t="shared" si="160"/>
        <v>0.68</v>
      </c>
      <c r="AZ286" s="218">
        <f t="shared" si="156"/>
        <v>99</v>
      </c>
      <c r="BA286" s="33">
        <v>0.34</v>
      </c>
      <c r="BB286" s="218">
        <f t="shared" si="157"/>
        <v>9</v>
      </c>
    </row>
    <row r="287" spans="1:54" x14ac:dyDescent="0.2">
      <c r="A287" t="str">
        <f>INDEX(Prioritization!$D:$D,MATCH($B287,Prioritization!$A:$A,0))</f>
        <v>4 - Sustained</v>
      </c>
      <c r="B287" t="s">
        <v>304</v>
      </c>
      <c r="C287" t="s">
        <v>477</v>
      </c>
      <c r="D287" t="s">
        <v>30</v>
      </c>
      <c r="E287" t="str">
        <f t="shared" si="132"/>
        <v>Ntcheu District [am530wpaGvr]|35-49|Female</v>
      </c>
      <c r="F287" s="33">
        <f>IF(LEFT($B287,4)="_Mil","",INDEX(Cascade!$AA:$AA,MATCH($E287,Cascade!$E:$E,0)))</f>
        <v>0.97728523500000009</v>
      </c>
      <c r="G287" s="38">
        <f>INDEX(Cascade!$BH:$BH,MATCH($E287,Cascade!$E:$E,0))</f>
        <v>396</v>
      </c>
      <c r="H287" s="38">
        <f>IF(OR($C287="01-09",$D287="Male"),"",INDEX(PMTCT!$AC:$AC,MATCH($E287,PMTCT!$E:$E,0)))</f>
        <v>21</v>
      </c>
      <c r="I287" s="38">
        <f>IF(OR($C287="01-09",$D287="Male"),"",INDEX(PMTCT!$AS:$AS,MATCH($E287,PMTCT!$E:$E,0)))</f>
        <v>7</v>
      </c>
      <c r="J287" s="38">
        <f>INDEX(TB!$P:$P,MATCH($E287,TB!$E:$E,0))</f>
        <v>2</v>
      </c>
      <c r="K287" s="38" t="str">
        <f>IF(OR($C287="01-09",$C287="10-14",$D287="Female"),"",INDEX(VMMC!$AA:$AA,MATCH($E287,VMMC!$E:$E,0)))</f>
        <v/>
      </c>
      <c r="L287" s="38">
        <f t="shared" si="133"/>
        <v>366</v>
      </c>
      <c r="M287" s="33">
        <f t="shared" si="134"/>
        <v>5.3030303030303032E-2</v>
      </c>
      <c r="N287" s="33">
        <f t="shared" si="135"/>
        <v>1.7676767676767676E-2</v>
      </c>
      <c r="O287" s="33">
        <f t="shared" si="136"/>
        <v>5.0505050505050509E-3</v>
      </c>
      <c r="P287" s="33" t="str">
        <f t="shared" si="137"/>
        <v/>
      </c>
      <c r="Q287" s="33">
        <v>0.26634382566586001</v>
      </c>
      <c r="R287" s="33"/>
      <c r="S287" s="33"/>
      <c r="T287" s="33">
        <v>0.05</v>
      </c>
      <c r="U287" s="33">
        <f t="shared" si="161"/>
        <v>0.60789859857656425</v>
      </c>
      <c r="V287" s="33">
        <f t="shared" si="138"/>
        <v>1</v>
      </c>
      <c r="W287" s="218">
        <f t="shared" si="139"/>
        <v>105</v>
      </c>
      <c r="X287" s="33">
        <v>0.188</v>
      </c>
      <c r="Y287" s="218">
        <f t="shared" si="139"/>
        <v>105</v>
      </c>
      <c r="Z287" s="218">
        <f t="shared" si="140"/>
        <v>454</v>
      </c>
      <c r="AA287" s="33">
        <v>0.12</v>
      </c>
      <c r="AB287" s="218" t="str">
        <f t="shared" si="141"/>
        <v/>
      </c>
      <c r="AC287" s="218" t="str">
        <f t="shared" si="142"/>
        <v/>
      </c>
      <c r="AD287" s="33">
        <v>0.02</v>
      </c>
      <c r="AE287" s="218" t="str">
        <f t="shared" si="143"/>
        <v/>
      </c>
      <c r="AF287" s="218" t="str">
        <f t="shared" si="144"/>
        <v/>
      </c>
      <c r="AG287" s="33">
        <v>0.02</v>
      </c>
      <c r="AH287" s="218">
        <f t="shared" si="145"/>
        <v>20</v>
      </c>
      <c r="AI287" s="218">
        <f t="shared" si="146"/>
        <v>980</v>
      </c>
      <c r="AJ287" s="33">
        <v>2.5999999999999999E-2</v>
      </c>
      <c r="AK287" s="218">
        <f t="shared" si="147"/>
        <v>241</v>
      </c>
      <c r="AL287" s="218">
        <f t="shared" si="148"/>
        <v>9028</v>
      </c>
      <c r="AM287" s="38">
        <f t="shared" si="149"/>
        <v>396</v>
      </c>
      <c r="AN287" s="38">
        <f t="shared" si="150"/>
        <v>395.99999999999994</v>
      </c>
      <c r="AO287" s="38">
        <f t="shared" si="151"/>
        <v>-5.6843418860808015E-14</v>
      </c>
      <c r="AP287" s="38">
        <f>IF(OR($C287="01-09",$D287="Male"),"",INDEX(PMTCT!$AD:$AD,MATCH($E287,PMTCT!$E:$E,0)))</f>
        <v>1854</v>
      </c>
      <c r="AQ287" s="38">
        <f>IF(OR($C287="01-09",$D287="Male"),"",INDEX(PMTCT!$AT:$AT,MATCH($E287,PMTCT!$E:$E,0)))</f>
        <v>1847.0000000000002</v>
      </c>
      <c r="AR287" s="38">
        <f>INDEX(TB!$Q:$Q,MATCH($E287,TB!$E:$E,0))</f>
        <v>25</v>
      </c>
      <c r="AS287" s="38" t="str">
        <f>IF(OR($C287="01-09",$C287="10-14",$D287="Female"),"",INDEX(VMMC!$AB:$AB,MATCH($E287,VMMC!$E:$E,0)))</f>
        <v/>
      </c>
      <c r="AT287" s="38">
        <f>IF(OR($C287="01-09",$C287="10-14"),"",INDEX(PrEP!$Q:$Q,MATCH($E287,PrEP!$E:$E,0)))</f>
        <v>-165</v>
      </c>
      <c r="AU287" s="38">
        <f t="shared" si="152"/>
        <v>14023</v>
      </c>
      <c r="AV287" s="38">
        <f t="shared" si="153"/>
        <v>14419.000000000002</v>
      </c>
      <c r="AW287" s="33">
        <f t="shared" si="154"/>
        <v>2.7463763090366869E-2</v>
      </c>
      <c r="AX287" s="38">
        <v>50</v>
      </c>
      <c r="AY287" s="33">
        <f t="shared" si="160"/>
        <v>0.68</v>
      </c>
      <c r="AZ287" s="218">
        <f t="shared" si="156"/>
        <v>84</v>
      </c>
      <c r="BA287" s="33">
        <v>0.34</v>
      </c>
      <c r="BB287" s="218">
        <f t="shared" si="157"/>
        <v>135</v>
      </c>
    </row>
    <row r="288" spans="1:54" x14ac:dyDescent="0.2">
      <c r="A288" t="str">
        <f>INDEX(Prioritization!$D:$D,MATCH($B288,Prioritization!$A:$A,0))</f>
        <v>4 - Sustained</v>
      </c>
      <c r="B288" t="s">
        <v>304</v>
      </c>
      <c r="C288" t="s">
        <v>477</v>
      </c>
      <c r="D288" t="s">
        <v>48</v>
      </c>
      <c r="E288" t="str">
        <f t="shared" si="132"/>
        <v>Ntcheu District [am530wpaGvr]|35-49|Male</v>
      </c>
      <c r="F288" s="33">
        <f>IF(LEFT($B288,4)="_Mil","",INDEX(Cascade!$AA:$AA,MATCH($E288,Cascade!$E:$E,0)))</f>
        <v>0.90023134500000002</v>
      </c>
      <c r="G288" s="38">
        <f>INDEX(Cascade!$BH:$BH,MATCH($E288,Cascade!$E:$E,0))</f>
        <v>273</v>
      </c>
      <c r="H288" s="38" t="str">
        <f>IF(OR($C288="01-09",$D288="Male"),"",INDEX(PMTCT!$AC:$AC,MATCH($E288,PMTCT!$E:$E,0)))</f>
        <v/>
      </c>
      <c r="I288" s="38" t="str">
        <f>IF(OR($C288="01-09",$D288="Male"),"",INDEX(PMTCT!$AS:$AS,MATCH($E288,PMTCT!$E:$E,0)))</f>
        <v/>
      </c>
      <c r="J288" s="38">
        <f>INDEX(TB!$P:$P,MATCH($E288,TB!$E:$E,0))</f>
        <v>3</v>
      </c>
      <c r="K288" s="38" t="str">
        <f>IF(OR($C288="01-09",$C288="10-14",$D288="Female"),"",INDEX(VMMC!$AA:$AA,MATCH($E288,VMMC!$E:$E,0)))</f>
        <v/>
      </c>
      <c r="L288" s="38">
        <f t="shared" si="133"/>
        <v>270</v>
      </c>
      <c r="M288" s="33" t="str">
        <f t="shared" si="134"/>
        <v/>
      </c>
      <c r="N288" s="33" t="str">
        <f t="shared" si="135"/>
        <v/>
      </c>
      <c r="O288" s="33">
        <f t="shared" si="136"/>
        <v>1.098901098901099E-2</v>
      </c>
      <c r="P288" s="33">
        <f t="shared" si="137"/>
        <v>0</v>
      </c>
      <c r="Q288" s="33">
        <v>0.38888888888888901</v>
      </c>
      <c r="R288" s="33"/>
      <c r="S288" s="33"/>
      <c r="T288" s="33">
        <v>0.05</v>
      </c>
      <c r="U288" s="33">
        <f t="shared" si="161"/>
        <v>0.55012210012209994</v>
      </c>
      <c r="V288" s="33">
        <f t="shared" si="138"/>
        <v>1</v>
      </c>
      <c r="W288" s="218">
        <f t="shared" si="139"/>
        <v>106</v>
      </c>
      <c r="X288" s="33">
        <v>0.19900000000000001</v>
      </c>
      <c r="Y288" s="218">
        <f t="shared" si="139"/>
        <v>106</v>
      </c>
      <c r="Z288" s="218">
        <f t="shared" si="140"/>
        <v>427</v>
      </c>
      <c r="AA288" s="33">
        <v>0.12</v>
      </c>
      <c r="AB288" s="218" t="str">
        <f t="shared" si="141"/>
        <v/>
      </c>
      <c r="AC288" s="218" t="str">
        <f t="shared" si="142"/>
        <v/>
      </c>
      <c r="AD288" s="33">
        <v>0.02</v>
      </c>
      <c r="AE288" s="218" t="str">
        <f t="shared" si="143"/>
        <v/>
      </c>
      <c r="AF288" s="218" t="str">
        <f t="shared" si="144"/>
        <v/>
      </c>
      <c r="AG288" s="33">
        <v>0.02</v>
      </c>
      <c r="AH288" s="218">
        <f t="shared" si="145"/>
        <v>14</v>
      </c>
      <c r="AI288" s="218">
        <f t="shared" si="146"/>
        <v>686</v>
      </c>
      <c r="AJ288" s="33">
        <v>3.5000000000000003E-2</v>
      </c>
      <c r="AK288" s="218">
        <f t="shared" si="147"/>
        <v>150</v>
      </c>
      <c r="AL288" s="218">
        <f t="shared" si="148"/>
        <v>4136</v>
      </c>
      <c r="AM288" s="38">
        <f t="shared" si="149"/>
        <v>273</v>
      </c>
      <c r="AN288" s="38">
        <f t="shared" si="150"/>
        <v>273</v>
      </c>
      <c r="AO288" s="38">
        <f t="shared" si="151"/>
        <v>0</v>
      </c>
      <c r="AP288" s="38" t="str">
        <f>IF(OR($C288="01-09",$D288="Male"),"",INDEX(PMTCT!$AD:$AD,MATCH($E288,PMTCT!$E:$E,0)))</f>
        <v/>
      </c>
      <c r="AQ288" s="38" t="str">
        <f>IF(OR($C288="01-09",$D288="Male"),"",INDEX(PMTCT!$AT:$AT,MATCH($E288,PMTCT!$E:$E,0)))</f>
        <v/>
      </c>
      <c r="AR288" s="38">
        <f>INDEX(TB!$Q:$Q,MATCH($E288,TB!$E:$E,0))</f>
        <v>41</v>
      </c>
      <c r="AS288" s="38" t="str">
        <f>IF(OR($C288="01-09",$C288="10-14",$D288="Female"),"",INDEX(VMMC!$AB:$AB,MATCH($E288,VMMC!$E:$E,0)))</f>
        <v/>
      </c>
      <c r="AT288" s="38">
        <f>IF(OR($C288="01-09",$C288="10-14"),"",INDEX(PrEP!$Q:$Q,MATCH($E288,PrEP!$E:$E,0)))</f>
        <v>60</v>
      </c>
      <c r="AU288" s="38">
        <f t="shared" si="152"/>
        <v>5350</v>
      </c>
      <c r="AV288" s="38">
        <f t="shared" si="153"/>
        <v>5623</v>
      </c>
      <c r="AW288" s="33">
        <f t="shared" si="154"/>
        <v>4.8550595767383957E-2</v>
      </c>
      <c r="AX288" s="38">
        <v>41</v>
      </c>
      <c r="AY288" s="33">
        <f t="shared" si="160"/>
        <v>0.68</v>
      </c>
      <c r="AZ288" s="218">
        <f t="shared" si="156"/>
        <v>69</v>
      </c>
      <c r="BA288" s="33">
        <v>0.34</v>
      </c>
      <c r="BB288" s="218">
        <f t="shared" si="157"/>
        <v>93</v>
      </c>
    </row>
    <row r="289" spans="1:54" x14ac:dyDescent="0.2">
      <c r="A289" t="str">
        <f>INDEX(Prioritization!$D:$D,MATCH($B289,Prioritization!$A:$A,0))</f>
        <v>4 - Sustained</v>
      </c>
      <c r="B289" t="s">
        <v>304</v>
      </c>
      <c r="C289" t="s">
        <v>478</v>
      </c>
      <c r="D289" t="s">
        <v>30</v>
      </c>
      <c r="E289" t="str">
        <f t="shared" si="132"/>
        <v>Ntcheu District [am530wpaGvr]|50+|Female</v>
      </c>
      <c r="F289" s="33">
        <f>IF(LEFT($B289,4)="_Mil","",INDEX(Cascade!$AA:$AA,MATCH($E289,Cascade!$E:$E,0)))</f>
        <v>0.98439424099999995</v>
      </c>
      <c r="G289" s="38">
        <f>INDEX(Cascade!$BH:$BH,MATCH($E289,Cascade!$E:$E,0))</f>
        <v>244</v>
      </c>
      <c r="H289" s="38">
        <f>IF(OR($C289="01-09",$D289="Male"),"",INDEX(PMTCT!$AC:$AC,MATCH($E289,PMTCT!$E:$E,0)))</f>
        <v>0</v>
      </c>
      <c r="I289" s="38">
        <f>IF(OR($C289="01-09",$D289="Male"),"",INDEX(PMTCT!$AS:$AS,MATCH($E289,PMTCT!$E:$E,0)))</f>
        <v>0</v>
      </c>
      <c r="J289" s="38">
        <f>INDEX(TB!$P:$P,MATCH($E289,TB!$E:$E,0))</f>
        <v>1</v>
      </c>
      <c r="K289" s="38" t="str">
        <f>IF(OR($C289="01-09",$C289="10-14",$D289="Female"),"",INDEX(VMMC!$AA:$AA,MATCH($E289,VMMC!$E:$E,0)))</f>
        <v/>
      </c>
      <c r="L289" s="38">
        <f t="shared" si="133"/>
        <v>243</v>
      </c>
      <c r="M289" s="33">
        <f t="shared" si="134"/>
        <v>0</v>
      </c>
      <c r="N289" s="33">
        <f t="shared" si="135"/>
        <v>0</v>
      </c>
      <c r="O289" s="33">
        <f t="shared" si="136"/>
        <v>4.0983606557377051E-3</v>
      </c>
      <c r="P289" s="33" t="str">
        <f t="shared" si="137"/>
        <v/>
      </c>
      <c r="Q289" s="33">
        <v>0.15</v>
      </c>
      <c r="R289" s="33"/>
      <c r="S289" s="33"/>
      <c r="T289" s="33">
        <v>0.05</v>
      </c>
      <c r="U289" s="33">
        <f t="shared" si="161"/>
        <v>0.79590163934426228</v>
      </c>
      <c r="V289" s="33">
        <f t="shared" si="138"/>
        <v>1</v>
      </c>
      <c r="W289" s="218">
        <f t="shared" si="139"/>
        <v>37</v>
      </c>
      <c r="X289" s="33">
        <v>0.16700000000000001</v>
      </c>
      <c r="Y289" s="218">
        <f t="shared" si="139"/>
        <v>37</v>
      </c>
      <c r="Z289" s="218">
        <f t="shared" si="140"/>
        <v>185</v>
      </c>
      <c r="AA289" s="33">
        <v>0.12</v>
      </c>
      <c r="AB289" s="218" t="str">
        <f t="shared" si="141"/>
        <v/>
      </c>
      <c r="AC289" s="218" t="str">
        <f t="shared" si="142"/>
        <v/>
      </c>
      <c r="AD289" s="33">
        <v>0.02</v>
      </c>
      <c r="AE289" s="218" t="str">
        <f t="shared" si="143"/>
        <v/>
      </c>
      <c r="AF289" s="218" t="str">
        <f t="shared" si="144"/>
        <v/>
      </c>
      <c r="AG289" s="33">
        <v>0.02</v>
      </c>
      <c r="AH289" s="218">
        <f t="shared" si="145"/>
        <v>12</v>
      </c>
      <c r="AI289" s="218">
        <f t="shared" si="146"/>
        <v>588</v>
      </c>
      <c r="AJ289" s="33">
        <v>2.5000000000000001E-2</v>
      </c>
      <c r="AK289" s="218">
        <f t="shared" si="147"/>
        <v>194</v>
      </c>
      <c r="AL289" s="218">
        <f t="shared" si="148"/>
        <v>7566</v>
      </c>
      <c r="AM289" s="38">
        <f t="shared" si="149"/>
        <v>244</v>
      </c>
      <c r="AN289" s="38">
        <f t="shared" si="150"/>
        <v>244</v>
      </c>
      <c r="AO289" s="38">
        <f t="shared" si="151"/>
        <v>0</v>
      </c>
      <c r="AP289" s="38">
        <f>IF(OR($C289="01-09",$D289="Male"),"",INDEX(PMTCT!$AD:$AD,MATCH($E289,PMTCT!$E:$E,0)))</f>
        <v>11</v>
      </c>
      <c r="AQ289" s="38">
        <f>IF(OR($C289="01-09",$D289="Male"),"",INDEX(PMTCT!$AT:$AT,MATCH($E289,PMTCT!$E:$E,0)))</f>
        <v>11</v>
      </c>
      <c r="AR289" s="38">
        <f>INDEX(TB!$Q:$Q,MATCH($E289,TB!$E:$E,0))</f>
        <v>8</v>
      </c>
      <c r="AS289" s="38" t="str">
        <f>IF(OR($C289="01-09",$C289="10-14",$D289="Female"),"",INDEX(VMMC!$AB:$AB,MATCH($E289,VMMC!$E:$E,0)))</f>
        <v/>
      </c>
      <c r="AT289" s="38">
        <f>IF(OR($C289="01-09",$C289="10-14"),"",INDEX(PrEP!$Q:$Q,MATCH($E289,PrEP!$E:$E,0)))</f>
        <v>-15</v>
      </c>
      <c r="AU289" s="38">
        <f t="shared" si="152"/>
        <v>8354</v>
      </c>
      <c r="AV289" s="38">
        <f t="shared" si="153"/>
        <v>8598</v>
      </c>
      <c r="AW289" s="33">
        <f t="shared" si="154"/>
        <v>2.8378692719237032E-2</v>
      </c>
      <c r="AX289" s="38">
        <v>40</v>
      </c>
      <c r="AY289" s="33">
        <f t="shared" si="158"/>
        <v>0</v>
      </c>
      <c r="AZ289" s="218">
        <f t="shared" si="156"/>
        <v>40</v>
      </c>
      <c r="BA289" s="33">
        <v>0.34</v>
      </c>
      <c r="BB289" s="218">
        <f t="shared" si="157"/>
        <v>83</v>
      </c>
    </row>
    <row r="290" spans="1:54" x14ac:dyDescent="0.2">
      <c r="A290" t="str">
        <f>INDEX(Prioritization!$D:$D,MATCH($B290,Prioritization!$A:$A,0))</f>
        <v>4 - Sustained</v>
      </c>
      <c r="B290" t="s">
        <v>304</v>
      </c>
      <c r="C290" t="s">
        <v>478</v>
      </c>
      <c r="D290" t="s">
        <v>48</v>
      </c>
      <c r="E290" t="str">
        <f t="shared" si="132"/>
        <v>Ntcheu District [am530wpaGvr]|50+|Male</v>
      </c>
      <c r="F290" s="33">
        <f>IF(LEFT($B290,4)="_Mil","",INDEX(Cascade!$AA:$AA,MATCH($E290,Cascade!$E:$E,0)))</f>
        <v>0.93104606199999995</v>
      </c>
      <c r="G290" s="38">
        <f>INDEX(Cascade!$BH:$BH,MATCH($E290,Cascade!$E:$E,0))</f>
        <v>253</v>
      </c>
      <c r="H290" s="38" t="str">
        <f>IF(OR($C290="01-09",$D290="Male"),"",INDEX(PMTCT!$AC:$AC,MATCH($E290,PMTCT!$E:$E,0)))</f>
        <v/>
      </c>
      <c r="I290" s="38" t="str">
        <f>IF(OR($C290="01-09",$D290="Male"),"",INDEX(PMTCT!$AS:$AS,MATCH($E290,PMTCT!$E:$E,0)))</f>
        <v/>
      </c>
      <c r="J290" s="38">
        <f>INDEX(TB!$P:$P,MATCH($E290,TB!$E:$E,0))</f>
        <v>1</v>
      </c>
      <c r="K290" s="38" t="str">
        <f>IF(OR($C290="01-09",$C290="10-14",$D290="Female"),"",INDEX(VMMC!$AA:$AA,MATCH($E290,VMMC!$E:$E,0)))</f>
        <v/>
      </c>
      <c r="L290" s="38">
        <f t="shared" si="133"/>
        <v>252</v>
      </c>
      <c r="M290" s="33" t="str">
        <f t="shared" si="134"/>
        <v/>
      </c>
      <c r="N290" s="33" t="str">
        <f t="shared" si="135"/>
        <v/>
      </c>
      <c r="O290" s="33">
        <f t="shared" si="136"/>
        <v>3.952569169960474E-3</v>
      </c>
      <c r="P290" s="33">
        <f t="shared" si="137"/>
        <v>0</v>
      </c>
      <c r="Q290" s="33">
        <v>0.15</v>
      </c>
      <c r="R290" s="33"/>
      <c r="S290" s="33"/>
      <c r="T290" s="33">
        <v>0.05</v>
      </c>
      <c r="U290" s="33">
        <f t="shared" si="161"/>
        <v>0.79604743083003959</v>
      </c>
      <c r="V290" s="33">
        <f t="shared" si="138"/>
        <v>1</v>
      </c>
      <c r="W290" s="218">
        <f t="shared" si="139"/>
        <v>38</v>
      </c>
      <c r="X290" s="33">
        <v>0.26200000000000001</v>
      </c>
      <c r="Y290" s="218">
        <f t="shared" si="139"/>
        <v>38</v>
      </c>
      <c r="Z290" s="218">
        <f t="shared" si="140"/>
        <v>107</v>
      </c>
      <c r="AA290" s="33">
        <v>0.12</v>
      </c>
      <c r="AB290" s="218" t="str">
        <f t="shared" si="141"/>
        <v/>
      </c>
      <c r="AC290" s="218" t="str">
        <f t="shared" si="142"/>
        <v/>
      </c>
      <c r="AD290" s="33">
        <v>0.02</v>
      </c>
      <c r="AE290" s="218" t="str">
        <f t="shared" si="143"/>
        <v/>
      </c>
      <c r="AF290" s="218" t="str">
        <f t="shared" si="144"/>
        <v/>
      </c>
      <c r="AG290" s="33">
        <v>0.02</v>
      </c>
      <c r="AH290" s="218">
        <f t="shared" si="145"/>
        <v>13</v>
      </c>
      <c r="AI290" s="218">
        <f t="shared" si="146"/>
        <v>637</v>
      </c>
      <c r="AJ290" s="33">
        <v>2.5999999999999999E-2</v>
      </c>
      <c r="AK290" s="218">
        <f t="shared" si="147"/>
        <v>201</v>
      </c>
      <c r="AL290" s="218">
        <f t="shared" si="148"/>
        <v>7530</v>
      </c>
      <c r="AM290" s="38">
        <f t="shared" si="149"/>
        <v>253</v>
      </c>
      <c r="AN290" s="38">
        <f t="shared" si="150"/>
        <v>253.00000000000003</v>
      </c>
      <c r="AO290" s="38">
        <f t="shared" si="151"/>
        <v>2.8421709430404007E-14</v>
      </c>
      <c r="AP290" s="38" t="str">
        <f>IF(OR($C290="01-09",$D290="Male"),"",INDEX(PMTCT!$AD:$AD,MATCH($E290,PMTCT!$E:$E,0)))</f>
        <v/>
      </c>
      <c r="AQ290" s="38" t="str">
        <f>IF(OR($C290="01-09",$D290="Male"),"",INDEX(PMTCT!$AT:$AT,MATCH($E290,PMTCT!$E:$E,0)))</f>
        <v/>
      </c>
      <c r="AR290" s="38">
        <f>INDEX(TB!$Q:$Q,MATCH($E290,TB!$E:$E,0))</f>
        <v>14</v>
      </c>
      <c r="AS290" s="38" t="str">
        <f>IF(OR($C290="01-09",$C290="10-14",$D290="Female"),"",INDEX(VMMC!$AB:$AB,MATCH($E290,VMMC!$E:$E,0)))</f>
        <v/>
      </c>
      <c r="AT290" s="38">
        <f>IF(OR($C290="01-09",$C290="10-14"),"",INDEX(PrEP!$Q:$Q,MATCH($E290,PrEP!$E:$E,0)))</f>
        <v>24</v>
      </c>
      <c r="AU290" s="38">
        <f t="shared" si="152"/>
        <v>8312</v>
      </c>
      <c r="AV290" s="38">
        <f t="shared" si="153"/>
        <v>8565</v>
      </c>
      <c r="AW290" s="33">
        <f t="shared" si="154"/>
        <v>2.953882078225336E-2</v>
      </c>
      <c r="AX290" s="38">
        <v>36</v>
      </c>
      <c r="AY290" s="33">
        <f t="shared" si="158"/>
        <v>0</v>
      </c>
      <c r="AZ290" s="218">
        <f t="shared" si="156"/>
        <v>36</v>
      </c>
      <c r="BA290" s="33">
        <v>0.34</v>
      </c>
      <c r="BB290" s="218">
        <f t="shared" si="157"/>
        <v>86</v>
      </c>
    </row>
    <row r="291" spans="1:54" x14ac:dyDescent="0.2">
      <c r="A291" t="str">
        <f>INDEX(Prioritization!$D:$D,MATCH($B291,Prioritization!$A:$A,0))</f>
        <v>4 - Sustained</v>
      </c>
      <c r="B291" t="s">
        <v>305</v>
      </c>
      <c r="C291" t="s">
        <v>473</v>
      </c>
      <c r="D291" t="s">
        <v>30</v>
      </c>
      <c r="E291" t="str">
        <f t="shared" si="132"/>
        <v>Ntchisi District [fiRkU6gEjLz]|01-09|Female</v>
      </c>
      <c r="F291" s="33">
        <f>IF(LEFT($B291,4)="_Mil","",INDEX(Cascade!$AA:$AA,MATCH($E291,Cascade!$E:$E,0)))</f>
        <v>0.70310582200000005</v>
      </c>
      <c r="G291" s="38">
        <f>INDEX(Cascade!$BH:$BH,MATCH($E291,Cascade!$E:$E,0))</f>
        <v>1</v>
      </c>
      <c r="H291" s="38" t="str">
        <f>IF(OR($C291="01-09",$D291="Male"),"",INDEX(PMTCT!$AC:$AC,MATCH($E291,PMTCT!$E:$E,0)))</f>
        <v/>
      </c>
      <c r="I291" s="38" t="str">
        <f>IF(OR($C291="01-09",$D291="Male"),"",INDEX(PMTCT!$AS:$AS,MATCH($E291,PMTCT!$E:$E,0)))</f>
        <v/>
      </c>
      <c r="J291" s="38">
        <f>INDEX(TB!$P:$P,MATCH($E291,TB!$E:$E,0))</f>
        <v>0</v>
      </c>
      <c r="K291" s="38" t="str">
        <f>IF(OR($C291="01-09",$C291="10-14",$D291="Female"),"",INDEX(VMMC!$AA:$AA,MATCH($E291,VMMC!$E:$E,0)))</f>
        <v/>
      </c>
      <c r="L291" s="38">
        <f t="shared" si="133"/>
        <v>1</v>
      </c>
      <c r="M291" s="33" t="str">
        <f t="shared" si="134"/>
        <v/>
      </c>
      <c r="N291" s="33" t="str">
        <f t="shared" si="135"/>
        <v/>
      </c>
      <c r="O291" s="33">
        <f t="shared" si="136"/>
        <v>0</v>
      </c>
      <c r="P291" s="33" t="str">
        <f t="shared" si="137"/>
        <v/>
      </c>
      <c r="Q291" s="33">
        <v>0.5</v>
      </c>
      <c r="R291" s="33"/>
      <c r="S291" s="33"/>
      <c r="T291" s="33"/>
      <c r="U291" s="33">
        <f t="shared" si="161"/>
        <v>0.5</v>
      </c>
      <c r="V291" s="33">
        <f t="shared" si="138"/>
        <v>1</v>
      </c>
      <c r="W291" s="218">
        <f t="shared" si="139"/>
        <v>1</v>
      </c>
      <c r="X291" s="33">
        <v>2.5000000000000001E-2</v>
      </c>
      <c r="Y291" s="218">
        <f t="shared" si="139"/>
        <v>1</v>
      </c>
      <c r="Z291" s="218">
        <f t="shared" si="140"/>
        <v>39</v>
      </c>
      <c r="AA291" s="33">
        <v>0.12</v>
      </c>
      <c r="AB291" s="218" t="str">
        <f t="shared" si="141"/>
        <v/>
      </c>
      <c r="AC291" s="218" t="str">
        <f t="shared" si="142"/>
        <v/>
      </c>
      <c r="AD291" s="33">
        <v>0.02</v>
      </c>
      <c r="AE291" s="218" t="str">
        <f t="shared" si="143"/>
        <v/>
      </c>
      <c r="AF291" s="218" t="str">
        <f t="shared" si="144"/>
        <v/>
      </c>
      <c r="AG291" s="33">
        <v>0.02</v>
      </c>
      <c r="AH291" s="218" t="str">
        <f t="shared" si="145"/>
        <v/>
      </c>
      <c r="AI291" s="218" t="str">
        <f t="shared" si="146"/>
        <v/>
      </c>
      <c r="AJ291" s="33">
        <v>4.1000000000000003E-3</v>
      </c>
      <c r="AK291" s="218">
        <f t="shared" si="147"/>
        <v>1</v>
      </c>
      <c r="AL291" s="218">
        <f t="shared" si="148"/>
        <v>243</v>
      </c>
      <c r="AM291" s="38">
        <f t="shared" si="149"/>
        <v>1</v>
      </c>
      <c r="AN291" s="38">
        <f t="shared" si="150"/>
        <v>2</v>
      </c>
      <c r="AO291" s="38">
        <f t="shared" si="151"/>
        <v>1</v>
      </c>
      <c r="AP291" s="38" t="str">
        <f>IF(OR($C291="01-09",$D291="Male"),"",INDEX(PMTCT!$AD:$AD,MATCH($E291,PMTCT!$E:$E,0)))</f>
        <v/>
      </c>
      <c r="AQ291" s="38" t="str">
        <f>IF(OR($C291="01-09",$D291="Male"),"",INDEX(PMTCT!$AT:$AT,MATCH($E291,PMTCT!$E:$E,0)))</f>
        <v/>
      </c>
      <c r="AR291" s="38">
        <f>INDEX(TB!$Q:$Q,MATCH($E291,TB!$E:$E,0))</f>
        <v>2</v>
      </c>
      <c r="AS291" s="38" t="str">
        <f>IF(OR($C291="01-09",$C291="10-14",$D291="Female"),"",INDEX(VMMC!$AB:$AB,MATCH($E291,VMMC!$E:$E,0)))</f>
        <v/>
      </c>
      <c r="AT291" s="38" t="str">
        <f>IF(OR($C291="01-09",$C291="10-14"),"",INDEX(PrEP!$Q:$Q,MATCH($E291,PrEP!$E:$E,0)))</f>
        <v/>
      </c>
      <c r="AU291" s="38">
        <f t="shared" si="152"/>
        <v>284</v>
      </c>
      <c r="AV291" s="38">
        <f t="shared" si="153"/>
        <v>286</v>
      </c>
      <c r="AW291" s="33">
        <f t="shared" si="154"/>
        <v>6.993006993006993E-3</v>
      </c>
      <c r="AX291" s="38"/>
      <c r="AY291" s="33" t="str">
        <f t="shared" si="158"/>
        <v/>
      </c>
      <c r="AZ291" s="218" t="str">
        <f t="shared" si="156"/>
        <v/>
      </c>
      <c r="BA291" s="33" t="str">
        <f t="shared" si="159"/>
        <v/>
      </c>
      <c r="BB291" s="218" t="str">
        <f t="shared" si="157"/>
        <v/>
      </c>
    </row>
    <row r="292" spans="1:54" x14ac:dyDescent="0.2">
      <c r="A292" t="str">
        <f>INDEX(Prioritization!$D:$D,MATCH($B292,Prioritization!$A:$A,0))</f>
        <v>4 - Sustained</v>
      </c>
      <c r="B292" t="s">
        <v>305</v>
      </c>
      <c r="C292" t="s">
        <v>473</v>
      </c>
      <c r="D292" t="s">
        <v>48</v>
      </c>
      <c r="E292" t="str">
        <f t="shared" si="132"/>
        <v>Ntchisi District [fiRkU6gEjLz]|01-09|Male</v>
      </c>
      <c r="F292" s="33">
        <f>IF(LEFT($B292,4)="_Mil","",INDEX(Cascade!$AA:$AA,MATCH($E292,Cascade!$E:$E,0)))</f>
        <v>0.70265834500000002</v>
      </c>
      <c r="G292" s="38">
        <f>INDEX(Cascade!$BH:$BH,MATCH($E292,Cascade!$E:$E,0))</f>
        <v>1</v>
      </c>
      <c r="H292" s="38" t="str">
        <f>IF(OR($C292="01-09",$D292="Male"),"",INDEX(PMTCT!$AC:$AC,MATCH($E292,PMTCT!$E:$E,0)))</f>
        <v/>
      </c>
      <c r="I292" s="38" t="str">
        <f>IF(OR($C292="01-09",$D292="Male"),"",INDEX(PMTCT!$AS:$AS,MATCH($E292,PMTCT!$E:$E,0)))</f>
        <v/>
      </c>
      <c r="J292" s="38">
        <f>INDEX(TB!$P:$P,MATCH($E292,TB!$E:$E,0))</f>
        <v>0</v>
      </c>
      <c r="K292" s="38" t="str">
        <f>IF(OR($C292="01-09",$C292="10-14",$D292="Female"),"",INDEX(VMMC!$AA:$AA,MATCH($E292,VMMC!$E:$E,0)))</f>
        <v/>
      </c>
      <c r="L292" s="38">
        <f t="shared" si="133"/>
        <v>1</v>
      </c>
      <c r="M292" s="33" t="str">
        <f t="shared" si="134"/>
        <v/>
      </c>
      <c r="N292" s="33" t="str">
        <f t="shared" si="135"/>
        <v/>
      </c>
      <c r="O292" s="33">
        <f t="shared" si="136"/>
        <v>0</v>
      </c>
      <c r="P292" s="33" t="str">
        <f t="shared" si="137"/>
        <v/>
      </c>
      <c r="Q292" s="33">
        <v>0.5</v>
      </c>
      <c r="R292" s="33"/>
      <c r="S292" s="33"/>
      <c r="T292" s="33"/>
      <c r="U292" s="33">
        <f t="shared" si="161"/>
        <v>0.5</v>
      </c>
      <c r="V292" s="33">
        <f t="shared" si="138"/>
        <v>1</v>
      </c>
      <c r="W292" s="218">
        <f t="shared" si="139"/>
        <v>1</v>
      </c>
      <c r="X292" s="33">
        <v>4.1000000000000002E-2</v>
      </c>
      <c r="Y292" s="218">
        <f t="shared" si="139"/>
        <v>1</v>
      </c>
      <c r="Z292" s="218">
        <f t="shared" si="140"/>
        <v>23</v>
      </c>
      <c r="AA292" s="33">
        <v>0.12</v>
      </c>
      <c r="AB292" s="218" t="str">
        <f t="shared" si="141"/>
        <v/>
      </c>
      <c r="AC292" s="218" t="str">
        <f t="shared" si="142"/>
        <v/>
      </c>
      <c r="AD292" s="33">
        <v>0.02</v>
      </c>
      <c r="AE292" s="218" t="str">
        <f t="shared" si="143"/>
        <v/>
      </c>
      <c r="AF292" s="218" t="str">
        <f t="shared" si="144"/>
        <v/>
      </c>
      <c r="AG292" s="33">
        <v>0.02</v>
      </c>
      <c r="AH292" s="218" t="str">
        <f t="shared" si="145"/>
        <v/>
      </c>
      <c r="AI292" s="218" t="str">
        <f t="shared" si="146"/>
        <v/>
      </c>
      <c r="AJ292" s="33">
        <v>4.1000000000000003E-3</v>
      </c>
      <c r="AK292" s="218">
        <f t="shared" si="147"/>
        <v>1</v>
      </c>
      <c r="AL292" s="218">
        <f t="shared" si="148"/>
        <v>243</v>
      </c>
      <c r="AM292" s="38">
        <f t="shared" si="149"/>
        <v>1</v>
      </c>
      <c r="AN292" s="38">
        <f t="shared" si="150"/>
        <v>2</v>
      </c>
      <c r="AO292" s="38">
        <f t="shared" si="151"/>
        <v>1</v>
      </c>
      <c r="AP292" s="38" t="str">
        <f>IF(OR($C292="01-09",$D292="Male"),"",INDEX(PMTCT!$AD:$AD,MATCH($E292,PMTCT!$E:$E,0)))</f>
        <v/>
      </c>
      <c r="AQ292" s="38" t="str">
        <f>IF(OR($C292="01-09",$D292="Male"),"",INDEX(PMTCT!$AT:$AT,MATCH($E292,PMTCT!$E:$E,0)))</f>
        <v/>
      </c>
      <c r="AR292" s="38">
        <f>INDEX(TB!$Q:$Q,MATCH($E292,TB!$E:$E,0))</f>
        <v>2</v>
      </c>
      <c r="AS292" s="38" t="str">
        <f>IF(OR($C292="01-09",$C292="10-14",$D292="Female"),"",INDEX(VMMC!$AB:$AB,MATCH($E292,VMMC!$E:$E,0)))</f>
        <v/>
      </c>
      <c r="AT292" s="38" t="str">
        <f>IF(OR($C292="01-09",$C292="10-14"),"",INDEX(PrEP!$Q:$Q,MATCH($E292,PrEP!$E:$E,0)))</f>
        <v/>
      </c>
      <c r="AU292" s="38">
        <f t="shared" si="152"/>
        <v>268</v>
      </c>
      <c r="AV292" s="38">
        <f t="shared" si="153"/>
        <v>270</v>
      </c>
      <c r="AW292" s="33">
        <f t="shared" si="154"/>
        <v>7.4074074074074077E-3</v>
      </c>
      <c r="AX292" s="38"/>
      <c r="AY292" s="33" t="str">
        <f t="shared" si="158"/>
        <v/>
      </c>
      <c r="AZ292" s="218" t="str">
        <f t="shared" si="156"/>
        <v/>
      </c>
      <c r="BA292" s="33" t="str">
        <f t="shared" si="159"/>
        <v/>
      </c>
      <c r="BB292" s="218" t="str">
        <f t="shared" si="157"/>
        <v/>
      </c>
    </row>
    <row r="293" spans="1:54" x14ac:dyDescent="0.2">
      <c r="A293" t="str">
        <f>INDEX(Prioritization!$D:$D,MATCH($B293,Prioritization!$A:$A,0))</f>
        <v>4 - Sustained</v>
      </c>
      <c r="B293" t="s">
        <v>305</v>
      </c>
      <c r="C293" t="s">
        <v>474</v>
      </c>
      <c r="D293" t="s">
        <v>30</v>
      </c>
      <c r="E293" t="str">
        <f t="shared" si="132"/>
        <v>Ntchisi District [fiRkU6gEjLz]|10-14|Female</v>
      </c>
      <c r="F293" s="33">
        <f>IF(LEFT($B293,4)="_Mil","",INDEX(Cascade!$AA:$AA,MATCH($E293,Cascade!$E:$E,0)))</f>
        <v>0.74002315799999996</v>
      </c>
      <c r="G293" s="38">
        <f>INDEX(Cascade!$BH:$BH,MATCH($E293,Cascade!$E:$E,0))</f>
        <v>13</v>
      </c>
      <c r="H293" s="38">
        <f>IF(OR($C293="01-09",$D293="Male"),"",INDEX(PMTCT!$AC:$AC,MATCH($E293,PMTCT!$E:$E,0)))</f>
        <v>0</v>
      </c>
      <c r="I293" s="38">
        <f>IF(OR($C293="01-09",$D293="Male"),"",INDEX(PMTCT!$AS:$AS,MATCH($E293,PMTCT!$E:$E,0)))</f>
        <v>0</v>
      </c>
      <c r="J293" s="38">
        <f>INDEX(TB!$P:$P,MATCH($E293,TB!$E:$E,0))</f>
        <v>0</v>
      </c>
      <c r="K293" s="38" t="str">
        <f>IF(OR($C293="01-09",$C293="10-14",$D293="Female"),"",INDEX(VMMC!$AA:$AA,MATCH($E293,VMMC!$E:$E,0)))</f>
        <v/>
      </c>
      <c r="L293" s="38">
        <f t="shared" si="133"/>
        <v>13</v>
      </c>
      <c r="M293" s="33">
        <f t="shared" si="134"/>
        <v>0</v>
      </c>
      <c r="N293" s="33">
        <f t="shared" si="135"/>
        <v>0</v>
      </c>
      <c r="O293" s="33">
        <f t="shared" si="136"/>
        <v>0</v>
      </c>
      <c r="P293" s="33" t="str">
        <f t="shared" si="137"/>
        <v/>
      </c>
      <c r="Q293" s="33">
        <v>0.5</v>
      </c>
      <c r="R293" s="33"/>
      <c r="S293" s="33"/>
      <c r="T293" s="33"/>
      <c r="U293" s="33">
        <f t="shared" si="161"/>
        <v>0.5</v>
      </c>
      <c r="V293" s="33">
        <f t="shared" si="138"/>
        <v>1</v>
      </c>
      <c r="W293" s="218">
        <f t="shared" si="139"/>
        <v>7</v>
      </c>
      <c r="X293" s="33">
        <v>2.4E-2</v>
      </c>
      <c r="Y293" s="218">
        <f t="shared" si="139"/>
        <v>7</v>
      </c>
      <c r="Z293" s="218">
        <f t="shared" si="140"/>
        <v>285</v>
      </c>
      <c r="AA293" s="33">
        <v>0.12</v>
      </c>
      <c r="AB293" s="218" t="str">
        <f t="shared" si="141"/>
        <v/>
      </c>
      <c r="AC293" s="218" t="str">
        <f t="shared" si="142"/>
        <v/>
      </c>
      <c r="AD293" s="33">
        <v>0.02</v>
      </c>
      <c r="AE293" s="218" t="str">
        <f t="shared" si="143"/>
        <v/>
      </c>
      <c r="AF293" s="218" t="str">
        <f t="shared" si="144"/>
        <v/>
      </c>
      <c r="AG293" s="33">
        <v>0.02</v>
      </c>
      <c r="AH293" s="218" t="str">
        <f t="shared" si="145"/>
        <v/>
      </c>
      <c r="AI293" s="218" t="str">
        <f t="shared" si="146"/>
        <v/>
      </c>
      <c r="AJ293" s="33">
        <v>4.8999999999999998E-3</v>
      </c>
      <c r="AK293" s="218">
        <f t="shared" si="147"/>
        <v>7</v>
      </c>
      <c r="AL293" s="218">
        <f t="shared" si="148"/>
        <v>1422</v>
      </c>
      <c r="AM293" s="38">
        <f t="shared" si="149"/>
        <v>13</v>
      </c>
      <c r="AN293" s="38">
        <f t="shared" si="150"/>
        <v>14</v>
      </c>
      <c r="AO293" s="38">
        <f t="shared" si="151"/>
        <v>1</v>
      </c>
      <c r="AP293" s="38">
        <f>IF(OR($C293="01-09",$D293="Male"),"",INDEX(PMTCT!$AD:$AD,MATCH($E293,PMTCT!$E:$E,0)))</f>
        <v>21</v>
      </c>
      <c r="AQ293" s="38">
        <f>IF(OR($C293="01-09",$D293="Male"),"",INDEX(PMTCT!$AT:$AT,MATCH($E293,PMTCT!$E:$E,0)))</f>
        <v>21</v>
      </c>
      <c r="AR293" s="38">
        <f>INDEX(TB!$Q:$Q,MATCH($E293,TB!$E:$E,0))</f>
        <v>1</v>
      </c>
      <c r="AS293" s="38" t="str">
        <f>IF(OR($C293="01-09",$C293="10-14",$D293="Female"),"",INDEX(VMMC!$AB:$AB,MATCH($E293,VMMC!$E:$E,0)))</f>
        <v/>
      </c>
      <c r="AT293" s="38" t="str">
        <f>IF(OR($C293="01-09",$C293="10-14"),"",INDEX(PrEP!$Q:$Q,MATCH($E293,PrEP!$E:$E,0)))</f>
        <v/>
      </c>
      <c r="AU293" s="38">
        <f t="shared" si="152"/>
        <v>1749.9999999999998</v>
      </c>
      <c r="AV293" s="38">
        <f t="shared" si="153"/>
        <v>1763.9999999999995</v>
      </c>
      <c r="AW293" s="33">
        <f t="shared" si="154"/>
        <v>7.9365079365079378E-3</v>
      </c>
      <c r="AX293" s="38"/>
      <c r="AY293" s="33" t="str">
        <f t="shared" si="158"/>
        <v/>
      </c>
      <c r="AZ293" s="218" t="str">
        <f t="shared" si="156"/>
        <v/>
      </c>
      <c r="BA293" s="33" t="str">
        <f t="shared" si="159"/>
        <v/>
      </c>
      <c r="BB293" s="218" t="str">
        <f t="shared" si="157"/>
        <v/>
      </c>
    </row>
    <row r="294" spans="1:54" x14ac:dyDescent="0.2">
      <c r="A294" t="str">
        <f>INDEX(Prioritization!$D:$D,MATCH($B294,Prioritization!$A:$A,0))</f>
        <v>4 - Sustained</v>
      </c>
      <c r="B294" t="s">
        <v>305</v>
      </c>
      <c r="C294" t="s">
        <v>474</v>
      </c>
      <c r="D294" t="s">
        <v>48</v>
      </c>
      <c r="E294" t="str">
        <f t="shared" si="132"/>
        <v>Ntchisi District [fiRkU6gEjLz]|10-14|Male</v>
      </c>
      <c r="F294" s="33">
        <f>IF(LEFT($B294,4)="_Mil","",INDEX(Cascade!$AA:$AA,MATCH($E294,Cascade!$E:$E,0)))</f>
        <v>0.73929039100000005</v>
      </c>
      <c r="G294" s="38">
        <f>INDEX(Cascade!$BH:$BH,MATCH($E294,Cascade!$E:$E,0))</f>
        <v>1</v>
      </c>
      <c r="H294" s="38" t="str">
        <f>IF(OR($C294="01-09",$D294="Male"),"",INDEX(PMTCT!$AC:$AC,MATCH($E294,PMTCT!$E:$E,0)))</f>
        <v/>
      </c>
      <c r="I294" s="38" t="str">
        <f>IF(OR($C294="01-09",$D294="Male"),"",INDEX(PMTCT!$AS:$AS,MATCH($E294,PMTCT!$E:$E,0)))</f>
        <v/>
      </c>
      <c r="J294" s="38">
        <f>INDEX(TB!$P:$P,MATCH($E294,TB!$E:$E,0))</f>
        <v>0</v>
      </c>
      <c r="K294" s="38" t="str">
        <f>IF(OR($C294="01-09",$C294="10-14",$D294="Female"),"",INDEX(VMMC!$AA:$AA,MATCH($E294,VMMC!$E:$E,0)))</f>
        <v/>
      </c>
      <c r="L294" s="38">
        <f t="shared" si="133"/>
        <v>1</v>
      </c>
      <c r="M294" s="33" t="str">
        <f t="shared" si="134"/>
        <v/>
      </c>
      <c r="N294" s="33" t="str">
        <f t="shared" si="135"/>
        <v/>
      </c>
      <c r="O294" s="33">
        <f t="shared" si="136"/>
        <v>0</v>
      </c>
      <c r="P294" s="33" t="str">
        <f t="shared" si="137"/>
        <v/>
      </c>
      <c r="Q294" s="33">
        <v>0.57142857142857095</v>
      </c>
      <c r="R294" s="33"/>
      <c r="S294" s="33"/>
      <c r="T294" s="33"/>
      <c r="U294" s="33">
        <f t="shared" si="161"/>
        <v>0.42857142857142905</v>
      </c>
      <c r="V294" s="33">
        <f t="shared" si="138"/>
        <v>1</v>
      </c>
      <c r="W294" s="218">
        <f t="shared" si="139"/>
        <v>1</v>
      </c>
      <c r="X294" s="33">
        <v>2.4E-2</v>
      </c>
      <c r="Y294" s="218">
        <f t="shared" si="139"/>
        <v>1</v>
      </c>
      <c r="Z294" s="218">
        <f t="shared" si="140"/>
        <v>41</v>
      </c>
      <c r="AA294" s="33">
        <v>0.12</v>
      </c>
      <c r="AB294" s="218" t="str">
        <f t="shared" si="141"/>
        <v/>
      </c>
      <c r="AC294" s="218" t="str">
        <f t="shared" si="142"/>
        <v/>
      </c>
      <c r="AD294" s="33">
        <v>0.02</v>
      </c>
      <c r="AE294" s="218" t="str">
        <f t="shared" si="143"/>
        <v/>
      </c>
      <c r="AF294" s="218" t="str">
        <f t="shared" si="144"/>
        <v/>
      </c>
      <c r="AG294" s="33">
        <v>0.02</v>
      </c>
      <c r="AH294" s="218" t="str">
        <f t="shared" si="145"/>
        <v/>
      </c>
      <c r="AI294" s="218" t="str">
        <f t="shared" si="146"/>
        <v/>
      </c>
      <c r="AJ294" s="33">
        <v>4.8999999999999998E-3</v>
      </c>
      <c r="AK294" s="218">
        <f t="shared" si="147"/>
        <v>0</v>
      </c>
      <c r="AL294" s="218" t="str">
        <f t="shared" si="148"/>
        <v/>
      </c>
      <c r="AM294" s="38">
        <f t="shared" si="149"/>
        <v>1</v>
      </c>
      <c r="AN294" s="38">
        <f t="shared" si="150"/>
        <v>1</v>
      </c>
      <c r="AO294" s="38">
        <f t="shared" si="151"/>
        <v>0</v>
      </c>
      <c r="AP294" s="38" t="str">
        <f>IF(OR($C294="01-09",$D294="Male"),"",INDEX(PMTCT!$AD:$AD,MATCH($E294,PMTCT!$E:$E,0)))</f>
        <v/>
      </c>
      <c r="AQ294" s="38" t="str">
        <f>IF(OR($C294="01-09",$D294="Male"),"",INDEX(PMTCT!$AT:$AT,MATCH($E294,PMTCT!$E:$E,0)))</f>
        <v/>
      </c>
      <c r="AR294" s="38">
        <f>INDEX(TB!$Q:$Q,MATCH($E294,TB!$E:$E,0))</f>
        <v>1</v>
      </c>
      <c r="AS294" s="38" t="str">
        <f>IF(OR($C294="01-09",$C294="10-14",$D294="Female"),"",INDEX(VMMC!$AB:$AB,MATCH($E294,VMMC!$E:$E,0)))</f>
        <v/>
      </c>
      <c r="AT294" s="38" t="str">
        <f>IF(OR($C294="01-09",$C294="10-14"),"",INDEX(PrEP!$Q:$Q,MATCH($E294,PrEP!$E:$E,0)))</f>
        <v/>
      </c>
      <c r="AU294" s="38">
        <f t="shared" si="152"/>
        <v>42</v>
      </c>
      <c r="AV294" s="38">
        <f t="shared" si="153"/>
        <v>43</v>
      </c>
      <c r="AW294" s="33">
        <f t="shared" si="154"/>
        <v>2.3255813953488372E-2</v>
      </c>
      <c r="AX294" s="38"/>
      <c r="AY294" s="33" t="str">
        <f t="shared" si="158"/>
        <v/>
      </c>
      <c r="AZ294" s="218" t="str">
        <f t="shared" si="156"/>
        <v/>
      </c>
      <c r="BA294" s="33" t="str">
        <f t="shared" si="159"/>
        <v/>
      </c>
      <c r="BB294" s="218" t="str">
        <f t="shared" si="157"/>
        <v/>
      </c>
    </row>
    <row r="295" spans="1:54" x14ac:dyDescent="0.2">
      <c r="A295" t="str">
        <f>INDEX(Prioritization!$D:$D,MATCH($B295,Prioritization!$A:$A,0))</f>
        <v>4 - Sustained</v>
      </c>
      <c r="B295" t="s">
        <v>305</v>
      </c>
      <c r="C295" t="s">
        <v>475</v>
      </c>
      <c r="D295" t="s">
        <v>30</v>
      </c>
      <c r="E295" t="str">
        <f t="shared" si="132"/>
        <v>Ntchisi District [fiRkU6gEjLz]|15-24|Female</v>
      </c>
      <c r="F295" s="33">
        <f>IF(LEFT($B295,4)="_Mil","",INDEX(Cascade!$AA:$AA,MATCH($E295,Cascade!$E:$E,0)))</f>
        <v>0.93177653699999985</v>
      </c>
      <c r="G295" s="38">
        <f>INDEX(Cascade!$BH:$BH,MATCH($E295,Cascade!$E:$E,0))</f>
        <v>23</v>
      </c>
      <c r="H295" s="38">
        <f>IF(OR($C295="01-09",$D295="Male"),"",INDEX(PMTCT!$AC:$AC,MATCH($E295,PMTCT!$E:$E,0)))</f>
        <v>6</v>
      </c>
      <c r="I295" s="38">
        <f>IF(OR($C295="01-09",$D295="Male"),"",INDEX(PMTCT!$AS:$AS,MATCH($E295,PMTCT!$E:$E,0)))</f>
        <v>11</v>
      </c>
      <c r="J295" s="38">
        <f>INDEX(TB!$P:$P,MATCH($E295,TB!$E:$E,0))</f>
        <v>0</v>
      </c>
      <c r="K295" s="38" t="str">
        <f>IF(OR($C295="01-09",$C295="10-14",$D295="Female"),"",INDEX(VMMC!$AA:$AA,MATCH($E295,VMMC!$E:$E,0)))</f>
        <v/>
      </c>
      <c r="L295" s="38">
        <f t="shared" si="133"/>
        <v>6</v>
      </c>
      <c r="M295" s="33">
        <f t="shared" si="134"/>
        <v>0.2608695652173913</v>
      </c>
      <c r="N295" s="33">
        <f t="shared" si="135"/>
        <v>0.47826086956521741</v>
      </c>
      <c r="O295" s="33">
        <f t="shared" si="136"/>
        <v>0</v>
      </c>
      <c r="P295" s="33" t="str">
        <f t="shared" si="137"/>
        <v/>
      </c>
      <c r="Q295" s="33"/>
      <c r="R295" s="33"/>
      <c r="S295" s="33"/>
      <c r="T295" s="33">
        <v>0.05</v>
      </c>
      <c r="U295" s="33">
        <f t="shared" si="161"/>
        <v>0.21086956521739131</v>
      </c>
      <c r="V295" s="33">
        <f t="shared" si="138"/>
        <v>1</v>
      </c>
      <c r="W295" s="218" t="str">
        <f t="shared" si="139"/>
        <v/>
      </c>
      <c r="X295" s="33">
        <v>0.14499999999999999</v>
      </c>
      <c r="Y295" s="218" t="str">
        <f t="shared" si="139"/>
        <v/>
      </c>
      <c r="Z295" s="218" t="str">
        <f t="shared" si="140"/>
        <v/>
      </c>
      <c r="AA295" s="33">
        <v>0.12</v>
      </c>
      <c r="AB295" s="218" t="str">
        <f t="shared" si="141"/>
        <v/>
      </c>
      <c r="AC295" s="218" t="str">
        <f t="shared" si="142"/>
        <v/>
      </c>
      <c r="AD295" s="33">
        <v>0.02</v>
      </c>
      <c r="AE295" s="218" t="str">
        <f t="shared" si="143"/>
        <v/>
      </c>
      <c r="AF295" s="218" t="str">
        <f t="shared" si="144"/>
        <v/>
      </c>
      <c r="AG295" s="33">
        <v>0.02</v>
      </c>
      <c r="AH295" s="218">
        <f t="shared" si="145"/>
        <v>1</v>
      </c>
      <c r="AI295" s="218">
        <f t="shared" si="146"/>
        <v>49</v>
      </c>
      <c r="AJ295" s="33">
        <v>7.6E-3</v>
      </c>
      <c r="AK295" s="218">
        <f t="shared" si="147"/>
        <v>5</v>
      </c>
      <c r="AL295" s="218">
        <f t="shared" si="148"/>
        <v>653</v>
      </c>
      <c r="AM295" s="38">
        <f t="shared" si="149"/>
        <v>23</v>
      </c>
      <c r="AN295" s="38">
        <f t="shared" si="150"/>
        <v>23</v>
      </c>
      <c r="AO295" s="38">
        <f t="shared" si="151"/>
        <v>0</v>
      </c>
      <c r="AP295" s="38">
        <f>IF(OR($C295="01-09",$D295="Male"),"",INDEX(PMTCT!$AD:$AD,MATCH($E295,PMTCT!$E:$E,0)))</f>
        <v>2630</v>
      </c>
      <c r="AQ295" s="38">
        <f>IF(OR($C295="01-09",$D295="Male"),"",INDEX(PMTCT!$AT:$AT,MATCH($E295,PMTCT!$E:$E,0)))</f>
        <v>2619</v>
      </c>
      <c r="AR295" s="38">
        <f>INDEX(TB!$Q:$Q,MATCH($E295,TB!$E:$E,0))</f>
        <v>6</v>
      </c>
      <c r="AS295" s="38" t="str">
        <f>IF(OR($C295="01-09",$C295="10-14",$D295="Female"),"",INDEX(VMMC!$AB:$AB,MATCH($E295,VMMC!$E:$E,0)))</f>
        <v/>
      </c>
      <c r="AT295" s="38">
        <f>IF(OR($C295="01-09",$C295="10-14"),"",INDEX(PrEP!$Q:$Q,MATCH($E295,PrEP!$E:$E,0)))</f>
        <v>-75</v>
      </c>
      <c r="AU295" s="38">
        <f t="shared" si="152"/>
        <v>5882</v>
      </c>
      <c r="AV295" s="38">
        <f t="shared" si="153"/>
        <v>5905</v>
      </c>
      <c r="AW295" s="33">
        <f t="shared" si="154"/>
        <v>3.8950042337002541E-3</v>
      </c>
      <c r="AX295" s="38">
        <v>835</v>
      </c>
      <c r="AY295" s="33">
        <f t="shared" ref="AY295:AY300" si="162">IF(OR($C295="01-09",SUM($AX295)=0),"",68%)</f>
        <v>0.68</v>
      </c>
      <c r="AZ295" s="218">
        <f t="shared" si="156"/>
        <v>1403</v>
      </c>
      <c r="BA295" s="33">
        <v>0.32</v>
      </c>
      <c r="BB295" s="218">
        <f t="shared" si="157"/>
        <v>7</v>
      </c>
    </row>
    <row r="296" spans="1:54" x14ac:dyDescent="0.2">
      <c r="A296" t="str">
        <f>INDEX(Prioritization!$D:$D,MATCH($B296,Prioritization!$A:$A,0))</f>
        <v>4 - Sustained</v>
      </c>
      <c r="B296" t="s">
        <v>305</v>
      </c>
      <c r="C296" t="s">
        <v>475</v>
      </c>
      <c r="D296" t="s">
        <v>48</v>
      </c>
      <c r="E296" t="str">
        <f t="shared" si="132"/>
        <v>Ntchisi District [fiRkU6gEjLz]|15-24|Male</v>
      </c>
      <c r="F296" s="33">
        <f>IF(LEFT($B296,4)="_Mil","",INDEX(Cascade!$AA:$AA,MATCH($E296,Cascade!$E:$E,0)))</f>
        <v>0.89981646599999998</v>
      </c>
      <c r="G296" s="38">
        <f>INDEX(Cascade!$BH:$BH,MATCH($E296,Cascade!$E:$E,0))</f>
        <v>11</v>
      </c>
      <c r="H296" s="38" t="str">
        <f>IF(OR($C296="01-09",$D296="Male"),"",INDEX(PMTCT!$AC:$AC,MATCH($E296,PMTCT!$E:$E,0)))</f>
        <v/>
      </c>
      <c r="I296" s="38" t="str">
        <f>IF(OR($C296="01-09",$D296="Male"),"",INDEX(PMTCT!$AS:$AS,MATCH($E296,PMTCT!$E:$E,0)))</f>
        <v/>
      </c>
      <c r="J296" s="38">
        <f>INDEX(TB!$P:$P,MATCH($E296,TB!$E:$E,0))</f>
        <v>0</v>
      </c>
      <c r="K296" s="38" t="str">
        <f>IF(OR($C296="01-09",$C296="10-14",$D296="Female"),"",INDEX(VMMC!$AA:$AA,MATCH($E296,VMMC!$E:$E,0)))</f>
        <v/>
      </c>
      <c r="L296" s="38">
        <f t="shared" si="133"/>
        <v>11</v>
      </c>
      <c r="M296" s="33" t="str">
        <f t="shared" si="134"/>
        <v/>
      </c>
      <c r="N296" s="33" t="str">
        <f t="shared" si="135"/>
        <v/>
      </c>
      <c r="O296" s="33">
        <f t="shared" si="136"/>
        <v>0</v>
      </c>
      <c r="P296" s="33">
        <f t="shared" si="137"/>
        <v>0</v>
      </c>
      <c r="Q296" s="33">
        <v>0.34782608695652201</v>
      </c>
      <c r="R296" s="33"/>
      <c r="S296" s="33"/>
      <c r="T296" s="33">
        <v>0.05</v>
      </c>
      <c r="U296" s="33">
        <f t="shared" si="161"/>
        <v>0.602173913043478</v>
      </c>
      <c r="V296" s="33">
        <f t="shared" si="138"/>
        <v>1</v>
      </c>
      <c r="W296" s="218">
        <f t="shared" si="139"/>
        <v>4</v>
      </c>
      <c r="X296" s="33">
        <v>7.0000000000000007E-2</v>
      </c>
      <c r="Y296" s="218">
        <f t="shared" si="139"/>
        <v>4</v>
      </c>
      <c r="Z296" s="218">
        <f t="shared" si="140"/>
        <v>53</v>
      </c>
      <c r="AA296" s="33">
        <v>0.12</v>
      </c>
      <c r="AB296" s="218" t="str">
        <f t="shared" si="141"/>
        <v/>
      </c>
      <c r="AC296" s="218" t="str">
        <f t="shared" si="142"/>
        <v/>
      </c>
      <c r="AD296" s="33">
        <v>0.02</v>
      </c>
      <c r="AE296" s="218" t="str">
        <f t="shared" si="143"/>
        <v/>
      </c>
      <c r="AF296" s="218" t="str">
        <f t="shared" si="144"/>
        <v/>
      </c>
      <c r="AG296" s="33">
        <v>0.02</v>
      </c>
      <c r="AH296" s="218">
        <f t="shared" si="145"/>
        <v>1</v>
      </c>
      <c r="AI296" s="218">
        <f t="shared" si="146"/>
        <v>49</v>
      </c>
      <c r="AJ296" s="33">
        <v>7.6E-3</v>
      </c>
      <c r="AK296" s="218">
        <f t="shared" si="147"/>
        <v>7</v>
      </c>
      <c r="AL296" s="218">
        <f t="shared" si="148"/>
        <v>914</v>
      </c>
      <c r="AM296" s="38">
        <f t="shared" si="149"/>
        <v>11</v>
      </c>
      <c r="AN296" s="38">
        <f t="shared" si="150"/>
        <v>12</v>
      </c>
      <c r="AO296" s="38">
        <f t="shared" si="151"/>
        <v>1</v>
      </c>
      <c r="AP296" s="38" t="str">
        <f>IF(OR($C296="01-09",$D296="Male"),"",INDEX(PMTCT!$AD:$AD,MATCH($E296,PMTCT!$E:$E,0)))</f>
        <v/>
      </c>
      <c r="AQ296" s="38" t="str">
        <f>IF(OR($C296="01-09",$D296="Male"),"",INDEX(PMTCT!$AT:$AT,MATCH($E296,PMTCT!$E:$E,0)))</f>
        <v/>
      </c>
      <c r="AR296" s="38">
        <f>INDEX(TB!$Q:$Q,MATCH($E296,TB!$E:$E,0))</f>
        <v>6</v>
      </c>
      <c r="AS296" s="38" t="str">
        <f>IF(OR($C296="01-09",$C296="10-14",$D296="Female"),"",INDEX(VMMC!$AB:$AB,MATCH($E296,VMMC!$E:$E,0)))</f>
        <v/>
      </c>
      <c r="AT296" s="38" t="str">
        <f>IF(OR($C296="01-09",$C296="10-14"),"",INDEX(PrEP!$Q:$Q,MATCH($E296,PrEP!$E:$E,0)))</f>
        <v/>
      </c>
      <c r="AU296" s="38">
        <f t="shared" si="152"/>
        <v>1022</v>
      </c>
      <c r="AV296" s="38">
        <f t="shared" si="153"/>
        <v>1034</v>
      </c>
      <c r="AW296" s="33">
        <f t="shared" si="154"/>
        <v>1.160541586073501E-2</v>
      </c>
      <c r="AX296" s="38">
        <v>19</v>
      </c>
      <c r="AY296" s="33">
        <f t="shared" si="162"/>
        <v>0.68</v>
      </c>
      <c r="AZ296" s="218">
        <f t="shared" si="156"/>
        <v>32</v>
      </c>
      <c r="BA296" s="33">
        <v>0.32</v>
      </c>
      <c r="BB296" s="218">
        <f t="shared" si="157"/>
        <v>4</v>
      </c>
    </row>
    <row r="297" spans="1:54" x14ac:dyDescent="0.2">
      <c r="A297" t="str">
        <f>INDEX(Prioritization!$D:$D,MATCH($B297,Prioritization!$A:$A,0))</f>
        <v>4 - Sustained</v>
      </c>
      <c r="B297" t="s">
        <v>305</v>
      </c>
      <c r="C297" t="s">
        <v>476</v>
      </c>
      <c r="D297" t="s">
        <v>30</v>
      </c>
      <c r="E297" t="str">
        <f t="shared" si="132"/>
        <v>Ntchisi District [fiRkU6gEjLz]|25-34|Female</v>
      </c>
      <c r="F297" s="33">
        <f>IF(LEFT($B297,4)="_Mil","",INDEX(Cascade!$AA:$AA,MATCH($E297,Cascade!$E:$E,0)))</f>
        <v>0.96369239500000015</v>
      </c>
      <c r="G297" s="38">
        <f>INDEX(Cascade!$BH:$BH,MATCH($E297,Cascade!$E:$E,0))</f>
        <v>52</v>
      </c>
      <c r="H297" s="38">
        <f>IF(OR($C297="01-09",$D297="Male"),"",INDEX(PMTCT!$AC:$AC,MATCH($E297,PMTCT!$E:$E,0)))</f>
        <v>19</v>
      </c>
      <c r="I297" s="38">
        <f>IF(OR($C297="01-09",$D297="Male"),"",INDEX(PMTCT!$AS:$AS,MATCH($E297,PMTCT!$E:$E,0)))</f>
        <v>15</v>
      </c>
      <c r="J297" s="38">
        <f>INDEX(TB!$P:$P,MATCH($E297,TB!$E:$E,0))</f>
        <v>0</v>
      </c>
      <c r="K297" s="38" t="str">
        <f>IF(OR($C297="01-09",$C297="10-14",$D297="Female"),"",INDEX(VMMC!$AA:$AA,MATCH($E297,VMMC!$E:$E,0)))</f>
        <v/>
      </c>
      <c r="L297" s="38">
        <f t="shared" si="133"/>
        <v>18</v>
      </c>
      <c r="M297" s="33">
        <f t="shared" si="134"/>
        <v>0.36538461538461536</v>
      </c>
      <c r="N297" s="33">
        <f t="shared" si="135"/>
        <v>0.28846153846153844</v>
      </c>
      <c r="O297" s="33">
        <f t="shared" si="136"/>
        <v>0</v>
      </c>
      <c r="P297" s="33" t="str">
        <f t="shared" si="137"/>
        <v/>
      </c>
      <c r="Q297" s="33">
        <v>0.15</v>
      </c>
      <c r="R297" s="33"/>
      <c r="S297" s="33"/>
      <c r="T297" s="33">
        <v>0.05</v>
      </c>
      <c r="U297" s="33">
        <f t="shared" si="161"/>
        <v>0.14615384615384619</v>
      </c>
      <c r="V297" s="33">
        <f t="shared" si="138"/>
        <v>1</v>
      </c>
      <c r="W297" s="218">
        <f t="shared" si="139"/>
        <v>8</v>
      </c>
      <c r="X297" s="33">
        <v>0.17399999999999999</v>
      </c>
      <c r="Y297" s="218">
        <f t="shared" si="139"/>
        <v>8</v>
      </c>
      <c r="Z297" s="218">
        <f t="shared" si="140"/>
        <v>38</v>
      </c>
      <c r="AA297" s="33">
        <v>0.12</v>
      </c>
      <c r="AB297" s="218" t="str">
        <f t="shared" si="141"/>
        <v/>
      </c>
      <c r="AC297" s="218" t="str">
        <f t="shared" si="142"/>
        <v/>
      </c>
      <c r="AD297" s="33">
        <v>0.02</v>
      </c>
      <c r="AE297" s="218" t="str">
        <f t="shared" si="143"/>
        <v/>
      </c>
      <c r="AF297" s="218" t="str">
        <f t="shared" si="144"/>
        <v/>
      </c>
      <c r="AG297" s="33">
        <v>0.02</v>
      </c>
      <c r="AH297" s="218">
        <f t="shared" si="145"/>
        <v>3</v>
      </c>
      <c r="AI297" s="218">
        <f t="shared" si="146"/>
        <v>147</v>
      </c>
      <c r="AJ297" s="33">
        <v>1.4999999999999999E-2</v>
      </c>
      <c r="AK297" s="218">
        <f t="shared" si="147"/>
        <v>8</v>
      </c>
      <c r="AL297" s="218">
        <f t="shared" si="148"/>
        <v>525</v>
      </c>
      <c r="AM297" s="38">
        <f t="shared" si="149"/>
        <v>52</v>
      </c>
      <c r="AN297" s="38">
        <f t="shared" si="150"/>
        <v>53</v>
      </c>
      <c r="AO297" s="38">
        <f t="shared" si="151"/>
        <v>1</v>
      </c>
      <c r="AP297" s="38">
        <f>IF(OR($C297="01-09",$D297="Male"),"",INDEX(PMTCT!$AD:$AD,MATCH($E297,PMTCT!$E:$E,0)))</f>
        <v>3645</v>
      </c>
      <c r="AQ297" s="38">
        <f>IF(OR($C297="01-09",$D297="Male"),"",INDEX(PMTCT!$AT:$AT,MATCH($E297,PMTCT!$E:$E,0)))</f>
        <v>3630</v>
      </c>
      <c r="AR297" s="38">
        <f>INDEX(TB!$Q:$Q,MATCH($E297,TB!$E:$E,0))</f>
        <v>6</v>
      </c>
      <c r="AS297" s="38" t="str">
        <f>IF(OR($C297="01-09",$C297="10-14",$D297="Female"),"",INDEX(VMMC!$AB:$AB,MATCH($E297,VMMC!$E:$E,0)))</f>
        <v/>
      </c>
      <c r="AT297" s="38">
        <f>IF(OR($C297="01-09",$C297="10-14"),"",INDEX(PrEP!$Q:$Q,MATCH($E297,PrEP!$E:$E,0)))</f>
        <v>0</v>
      </c>
      <c r="AU297" s="38">
        <f t="shared" si="152"/>
        <v>7991.0000000000009</v>
      </c>
      <c r="AV297" s="38">
        <f t="shared" si="153"/>
        <v>8044.0000000000009</v>
      </c>
      <c r="AW297" s="33">
        <f t="shared" si="154"/>
        <v>6.5887618100447529E-3</v>
      </c>
      <c r="AX297" s="38">
        <v>572</v>
      </c>
      <c r="AY297" s="33">
        <f t="shared" si="162"/>
        <v>0.68</v>
      </c>
      <c r="AZ297" s="218">
        <f t="shared" si="156"/>
        <v>961</v>
      </c>
      <c r="BA297" s="33">
        <v>0.32</v>
      </c>
      <c r="BB297" s="218">
        <f t="shared" si="157"/>
        <v>17</v>
      </c>
    </row>
    <row r="298" spans="1:54" x14ac:dyDescent="0.2">
      <c r="A298" t="str">
        <f>INDEX(Prioritization!$D:$D,MATCH($B298,Prioritization!$A:$A,0))</f>
        <v>4 - Sustained</v>
      </c>
      <c r="B298" t="s">
        <v>305</v>
      </c>
      <c r="C298" t="s">
        <v>476</v>
      </c>
      <c r="D298" t="s">
        <v>48</v>
      </c>
      <c r="E298" t="str">
        <f t="shared" si="132"/>
        <v>Ntchisi District [fiRkU6gEjLz]|25-34|Male</v>
      </c>
      <c r="F298" s="33">
        <f>IF(LEFT($B298,4)="_Mil","",INDEX(Cascade!$AA:$AA,MATCH($E298,Cascade!$E:$E,0)))</f>
        <v>0.87049392800000003</v>
      </c>
      <c r="G298" s="38">
        <f>INDEX(Cascade!$BH:$BH,MATCH($E298,Cascade!$E:$E,0))</f>
        <v>6</v>
      </c>
      <c r="H298" s="38" t="str">
        <f>IF(OR($C298="01-09",$D298="Male"),"",INDEX(PMTCT!$AC:$AC,MATCH($E298,PMTCT!$E:$E,0)))</f>
        <v/>
      </c>
      <c r="I298" s="38" t="str">
        <f>IF(OR($C298="01-09",$D298="Male"),"",INDEX(PMTCT!$AS:$AS,MATCH($E298,PMTCT!$E:$E,0)))</f>
        <v/>
      </c>
      <c r="J298" s="38">
        <f>INDEX(TB!$P:$P,MATCH($E298,TB!$E:$E,0))</f>
        <v>0</v>
      </c>
      <c r="K298" s="38" t="str">
        <f>IF(OR($C298="01-09",$C298="10-14",$D298="Female"),"",INDEX(VMMC!$AA:$AA,MATCH($E298,VMMC!$E:$E,0)))</f>
        <v/>
      </c>
      <c r="L298" s="38">
        <f t="shared" si="133"/>
        <v>6</v>
      </c>
      <c r="M298" s="33" t="str">
        <f t="shared" si="134"/>
        <v/>
      </c>
      <c r="N298" s="33" t="str">
        <f t="shared" si="135"/>
        <v/>
      </c>
      <c r="O298" s="33">
        <f t="shared" si="136"/>
        <v>0</v>
      </c>
      <c r="P298" s="33">
        <f t="shared" si="137"/>
        <v>0</v>
      </c>
      <c r="Q298" s="33">
        <v>0.36363636363636398</v>
      </c>
      <c r="R298" s="33"/>
      <c r="S298" s="33"/>
      <c r="T298" s="33">
        <v>0.05</v>
      </c>
      <c r="U298" s="33">
        <f t="shared" si="161"/>
        <v>0.58636363636363598</v>
      </c>
      <c r="V298" s="33">
        <f t="shared" si="138"/>
        <v>1</v>
      </c>
      <c r="W298" s="218">
        <f t="shared" si="139"/>
        <v>2</v>
      </c>
      <c r="X298" s="33">
        <v>0.14699999999999999</v>
      </c>
      <c r="Y298" s="218">
        <f t="shared" si="139"/>
        <v>2</v>
      </c>
      <c r="Z298" s="218">
        <f t="shared" si="140"/>
        <v>12</v>
      </c>
      <c r="AA298" s="33">
        <v>0.12</v>
      </c>
      <c r="AB298" s="218" t="str">
        <f t="shared" si="141"/>
        <v/>
      </c>
      <c r="AC298" s="218" t="str">
        <f t="shared" si="142"/>
        <v/>
      </c>
      <c r="AD298" s="33">
        <v>0.02</v>
      </c>
      <c r="AE298" s="218" t="str">
        <f t="shared" si="143"/>
        <v/>
      </c>
      <c r="AF298" s="218" t="str">
        <f t="shared" si="144"/>
        <v/>
      </c>
      <c r="AG298" s="33">
        <v>0.02</v>
      </c>
      <c r="AH298" s="218">
        <f t="shared" si="145"/>
        <v>0</v>
      </c>
      <c r="AI298" s="218" t="str">
        <f t="shared" si="146"/>
        <v/>
      </c>
      <c r="AJ298" s="33">
        <v>7.9000000000000008E-3</v>
      </c>
      <c r="AK298" s="218">
        <f t="shared" si="147"/>
        <v>4</v>
      </c>
      <c r="AL298" s="218">
        <f t="shared" si="148"/>
        <v>502</v>
      </c>
      <c r="AM298" s="38">
        <f t="shared" si="149"/>
        <v>6</v>
      </c>
      <c r="AN298" s="38">
        <f t="shared" si="150"/>
        <v>6</v>
      </c>
      <c r="AO298" s="38">
        <f t="shared" si="151"/>
        <v>0</v>
      </c>
      <c r="AP298" s="38" t="str">
        <f>IF(OR($C298="01-09",$D298="Male"),"",INDEX(PMTCT!$AD:$AD,MATCH($E298,PMTCT!$E:$E,0)))</f>
        <v/>
      </c>
      <c r="AQ298" s="38" t="str">
        <f>IF(OR($C298="01-09",$D298="Male"),"",INDEX(PMTCT!$AT:$AT,MATCH($E298,PMTCT!$E:$E,0)))</f>
        <v/>
      </c>
      <c r="AR298" s="38">
        <f>INDEX(TB!$Q:$Q,MATCH($E298,TB!$E:$E,0))</f>
        <v>6</v>
      </c>
      <c r="AS298" s="38" t="str">
        <f>IF(OR($C298="01-09",$C298="10-14",$D298="Female"),"",INDEX(VMMC!$AB:$AB,MATCH($E298,VMMC!$E:$E,0)))</f>
        <v/>
      </c>
      <c r="AT298" s="38">
        <f>IF(OR($C298="01-09",$C298="10-14"),"",INDEX(PrEP!$Q:$Q,MATCH($E298,PrEP!$E:$E,0)))</f>
        <v>6</v>
      </c>
      <c r="AU298" s="38">
        <f t="shared" si="152"/>
        <v>526</v>
      </c>
      <c r="AV298" s="38">
        <f t="shared" si="153"/>
        <v>532</v>
      </c>
      <c r="AW298" s="33">
        <f t="shared" si="154"/>
        <v>1.1278195488721804E-2</v>
      </c>
      <c r="AX298" s="38">
        <v>22</v>
      </c>
      <c r="AY298" s="33">
        <f t="shared" si="162"/>
        <v>0.68</v>
      </c>
      <c r="AZ298" s="218">
        <f t="shared" si="156"/>
        <v>37</v>
      </c>
      <c r="BA298" s="33">
        <v>0.32</v>
      </c>
      <c r="BB298" s="218">
        <f t="shared" si="157"/>
        <v>2</v>
      </c>
    </row>
    <row r="299" spans="1:54" x14ac:dyDescent="0.2">
      <c r="A299" t="str">
        <f>INDEX(Prioritization!$D:$D,MATCH($B299,Prioritization!$A:$A,0))</f>
        <v>4 - Sustained</v>
      </c>
      <c r="B299" t="s">
        <v>305</v>
      </c>
      <c r="C299" t="s">
        <v>477</v>
      </c>
      <c r="D299" t="s">
        <v>30</v>
      </c>
      <c r="E299" t="str">
        <f t="shared" si="132"/>
        <v>Ntchisi District [fiRkU6gEjLz]|35-49|Female</v>
      </c>
      <c r="F299" s="33">
        <f>IF(LEFT($B299,4)="_Mil","",INDEX(Cascade!$AA:$AA,MATCH($E299,Cascade!$E:$E,0)))</f>
        <v>0.98197121600000004</v>
      </c>
      <c r="G299" s="38">
        <f>INDEX(Cascade!$BH:$BH,MATCH($E299,Cascade!$E:$E,0))</f>
        <v>32</v>
      </c>
      <c r="H299" s="38">
        <f>IF(OR($C299="01-09",$D299="Male"),"",INDEX(PMTCT!$AC:$AC,MATCH($E299,PMTCT!$E:$E,0)))</f>
        <v>4</v>
      </c>
      <c r="I299" s="38">
        <f>IF(OR($C299="01-09",$D299="Male"),"",INDEX(PMTCT!$AS:$AS,MATCH($E299,PMTCT!$E:$E,0)))</f>
        <v>4</v>
      </c>
      <c r="J299" s="38">
        <f>INDEX(TB!$P:$P,MATCH($E299,TB!$E:$E,0))</f>
        <v>1</v>
      </c>
      <c r="K299" s="38" t="str">
        <f>IF(OR($C299="01-09",$C299="10-14",$D299="Female"),"",INDEX(VMMC!$AA:$AA,MATCH($E299,VMMC!$E:$E,0)))</f>
        <v/>
      </c>
      <c r="L299" s="38">
        <f t="shared" si="133"/>
        <v>23</v>
      </c>
      <c r="M299" s="33">
        <f t="shared" si="134"/>
        <v>0.125</v>
      </c>
      <c r="N299" s="33">
        <f t="shared" si="135"/>
        <v>0.125</v>
      </c>
      <c r="O299" s="33">
        <f t="shared" si="136"/>
        <v>3.125E-2</v>
      </c>
      <c r="P299" s="33" t="str">
        <f t="shared" si="137"/>
        <v/>
      </c>
      <c r="Q299" s="33">
        <v>0.15</v>
      </c>
      <c r="R299" s="33"/>
      <c r="S299" s="33"/>
      <c r="T299" s="33">
        <v>0.05</v>
      </c>
      <c r="U299" s="33">
        <f t="shared" si="161"/>
        <v>0.51875000000000004</v>
      </c>
      <c r="V299" s="33">
        <f t="shared" si="138"/>
        <v>1</v>
      </c>
      <c r="W299" s="218">
        <f t="shared" si="139"/>
        <v>5</v>
      </c>
      <c r="X299" s="33">
        <v>0.14199999999999999</v>
      </c>
      <c r="Y299" s="218">
        <f t="shared" si="139"/>
        <v>5</v>
      </c>
      <c r="Z299" s="218">
        <f t="shared" si="140"/>
        <v>30</v>
      </c>
      <c r="AA299" s="33">
        <v>0.12</v>
      </c>
      <c r="AB299" s="218" t="str">
        <f t="shared" si="141"/>
        <v/>
      </c>
      <c r="AC299" s="218" t="str">
        <f t="shared" si="142"/>
        <v/>
      </c>
      <c r="AD299" s="33">
        <v>0.02</v>
      </c>
      <c r="AE299" s="218" t="str">
        <f t="shared" si="143"/>
        <v/>
      </c>
      <c r="AF299" s="218" t="str">
        <f t="shared" si="144"/>
        <v/>
      </c>
      <c r="AG299" s="33">
        <v>0.02</v>
      </c>
      <c r="AH299" s="218">
        <f t="shared" si="145"/>
        <v>2</v>
      </c>
      <c r="AI299" s="218">
        <f t="shared" si="146"/>
        <v>98</v>
      </c>
      <c r="AJ299" s="33">
        <v>6.7000000000000002E-3</v>
      </c>
      <c r="AK299" s="218">
        <f t="shared" si="147"/>
        <v>17</v>
      </c>
      <c r="AL299" s="218">
        <f t="shared" si="148"/>
        <v>2520</v>
      </c>
      <c r="AM299" s="38">
        <f t="shared" si="149"/>
        <v>32</v>
      </c>
      <c r="AN299" s="38">
        <f t="shared" si="150"/>
        <v>33</v>
      </c>
      <c r="AO299" s="38">
        <f t="shared" si="151"/>
        <v>1</v>
      </c>
      <c r="AP299" s="38">
        <f>IF(OR($C299="01-09",$D299="Male"),"",INDEX(PMTCT!$AD:$AD,MATCH($E299,PMTCT!$E:$E,0)))</f>
        <v>990</v>
      </c>
      <c r="AQ299" s="38">
        <f>IF(OR($C299="01-09",$D299="Male"),"",INDEX(PMTCT!$AT:$AT,MATCH($E299,PMTCT!$E:$E,0)))</f>
        <v>986</v>
      </c>
      <c r="AR299" s="38">
        <f>INDEX(TB!$Q:$Q,MATCH($E299,TB!$E:$E,0))</f>
        <v>8</v>
      </c>
      <c r="AS299" s="38" t="str">
        <f>IF(OR($C299="01-09",$C299="10-14",$D299="Female"),"",INDEX(VMMC!$AB:$AB,MATCH($E299,VMMC!$E:$E,0)))</f>
        <v/>
      </c>
      <c r="AT299" s="38">
        <f>IF(OR($C299="01-09",$C299="10-14"),"",INDEX(PrEP!$Q:$Q,MATCH($E299,PrEP!$E:$E,0)))</f>
        <v>0</v>
      </c>
      <c r="AU299" s="38">
        <f t="shared" si="152"/>
        <v>4632</v>
      </c>
      <c r="AV299" s="38">
        <f t="shared" si="153"/>
        <v>4665</v>
      </c>
      <c r="AW299" s="33">
        <f t="shared" si="154"/>
        <v>7.0739549839228298E-3</v>
      </c>
      <c r="AX299" s="38">
        <v>33</v>
      </c>
      <c r="AY299" s="33">
        <f t="shared" si="162"/>
        <v>0.68</v>
      </c>
      <c r="AZ299" s="218">
        <f t="shared" si="156"/>
        <v>55</v>
      </c>
      <c r="BA299" s="33">
        <v>0.32</v>
      </c>
      <c r="BB299" s="218">
        <f t="shared" si="157"/>
        <v>11</v>
      </c>
    </row>
    <row r="300" spans="1:54" x14ac:dyDescent="0.2">
      <c r="A300" t="str">
        <f>INDEX(Prioritization!$D:$D,MATCH($B300,Prioritization!$A:$A,0))</f>
        <v>4 - Sustained</v>
      </c>
      <c r="B300" t="s">
        <v>305</v>
      </c>
      <c r="C300" t="s">
        <v>477</v>
      </c>
      <c r="D300" t="s">
        <v>48</v>
      </c>
      <c r="E300" t="str">
        <f t="shared" si="132"/>
        <v>Ntchisi District [fiRkU6gEjLz]|35-49|Male</v>
      </c>
      <c r="F300" s="33">
        <f>IF(LEFT($B300,4)="_Mil","",INDEX(Cascade!$AA:$AA,MATCH($E300,Cascade!$E:$E,0)))</f>
        <v>0.92068153900000016</v>
      </c>
      <c r="G300" s="38">
        <f>INDEX(Cascade!$BH:$BH,MATCH($E300,Cascade!$E:$E,0))</f>
        <v>24</v>
      </c>
      <c r="H300" s="38" t="str">
        <f>IF(OR($C300="01-09",$D300="Male"),"",INDEX(PMTCT!$AC:$AC,MATCH($E300,PMTCT!$E:$E,0)))</f>
        <v/>
      </c>
      <c r="I300" s="38" t="str">
        <f>IF(OR($C300="01-09",$D300="Male"),"",INDEX(PMTCT!$AS:$AS,MATCH($E300,PMTCT!$E:$E,0)))</f>
        <v/>
      </c>
      <c r="J300" s="38">
        <f>INDEX(TB!$P:$P,MATCH($E300,TB!$E:$E,0))</f>
        <v>1</v>
      </c>
      <c r="K300" s="38" t="str">
        <f>IF(OR($C300="01-09",$C300="10-14",$D300="Female"),"",INDEX(VMMC!$AA:$AA,MATCH($E300,VMMC!$E:$E,0)))</f>
        <v/>
      </c>
      <c r="L300" s="38">
        <f t="shared" si="133"/>
        <v>23</v>
      </c>
      <c r="M300" s="33" t="str">
        <f t="shared" si="134"/>
        <v/>
      </c>
      <c r="N300" s="33" t="str">
        <f t="shared" si="135"/>
        <v/>
      </c>
      <c r="O300" s="33">
        <f t="shared" si="136"/>
        <v>4.1666666666666664E-2</v>
      </c>
      <c r="P300" s="33">
        <f t="shared" si="137"/>
        <v>0</v>
      </c>
      <c r="Q300" s="33">
        <v>0.38888888888888901</v>
      </c>
      <c r="R300" s="33"/>
      <c r="S300" s="33"/>
      <c r="T300" s="33">
        <v>0.05</v>
      </c>
      <c r="U300" s="33">
        <f t="shared" si="161"/>
        <v>0.51944444444444438</v>
      </c>
      <c r="V300" s="33">
        <f t="shared" si="138"/>
        <v>1</v>
      </c>
      <c r="W300" s="218">
        <f t="shared" si="139"/>
        <v>9</v>
      </c>
      <c r="X300" s="33">
        <v>0.11600000000000001</v>
      </c>
      <c r="Y300" s="218">
        <f t="shared" si="139"/>
        <v>9</v>
      </c>
      <c r="Z300" s="218">
        <f t="shared" si="140"/>
        <v>69</v>
      </c>
      <c r="AA300" s="33">
        <v>0.12</v>
      </c>
      <c r="AB300" s="218" t="str">
        <f t="shared" si="141"/>
        <v/>
      </c>
      <c r="AC300" s="218" t="str">
        <f t="shared" si="142"/>
        <v/>
      </c>
      <c r="AD300" s="33">
        <v>0.02</v>
      </c>
      <c r="AE300" s="218" t="str">
        <f t="shared" si="143"/>
        <v/>
      </c>
      <c r="AF300" s="218" t="str">
        <f t="shared" si="144"/>
        <v/>
      </c>
      <c r="AG300" s="33">
        <v>0.02</v>
      </c>
      <c r="AH300" s="218">
        <f t="shared" si="145"/>
        <v>1</v>
      </c>
      <c r="AI300" s="218">
        <f t="shared" si="146"/>
        <v>49</v>
      </c>
      <c r="AJ300" s="33">
        <v>1.6E-2</v>
      </c>
      <c r="AK300" s="218">
        <f t="shared" si="147"/>
        <v>12</v>
      </c>
      <c r="AL300" s="218">
        <f t="shared" si="148"/>
        <v>738</v>
      </c>
      <c r="AM300" s="38">
        <f t="shared" si="149"/>
        <v>24</v>
      </c>
      <c r="AN300" s="38">
        <f t="shared" si="150"/>
        <v>23</v>
      </c>
      <c r="AO300" s="38">
        <f t="shared" si="151"/>
        <v>-1</v>
      </c>
      <c r="AP300" s="38" t="str">
        <f>IF(OR($C300="01-09",$D300="Male"),"",INDEX(PMTCT!$AD:$AD,MATCH($E300,PMTCT!$E:$E,0)))</f>
        <v/>
      </c>
      <c r="AQ300" s="38" t="str">
        <f>IF(OR($C300="01-09",$D300="Male"),"",INDEX(PMTCT!$AT:$AT,MATCH($E300,PMTCT!$E:$E,0)))</f>
        <v/>
      </c>
      <c r="AR300" s="38">
        <f>INDEX(TB!$Q:$Q,MATCH($E300,TB!$E:$E,0))</f>
        <v>8</v>
      </c>
      <c r="AS300" s="38" t="str">
        <f>IF(OR($C300="01-09",$C300="10-14",$D300="Female"),"",INDEX(VMMC!$AB:$AB,MATCH($E300,VMMC!$E:$E,0)))</f>
        <v/>
      </c>
      <c r="AT300" s="38" t="str">
        <f>IF(OR($C300="01-09",$C300="10-14"),"",INDEX(PrEP!$Q:$Q,MATCH($E300,PrEP!$E:$E,0)))</f>
        <v/>
      </c>
      <c r="AU300" s="38">
        <f t="shared" si="152"/>
        <v>864</v>
      </c>
      <c r="AV300" s="38">
        <f t="shared" si="153"/>
        <v>887</v>
      </c>
      <c r="AW300" s="33">
        <f t="shared" si="154"/>
        <v>2.5930101465614429E-2</v>
      </c>
      <c r="AX300" s="38">
        <v>17</v>
      </c>
      <c r="AY300" s="33">
        <f t="shared" si="162"/>
        <v>0.68</v>
      </c>
      <c r="AZ300" s="218">
        <f t="shared" si="156"/>
        <v>29</v>
      </c>
      <c r="BA300" s="33">
        <v>0.32</v>
      </c>
      <c r="BB300" s="218">
        <f t="shared" si="157"/>
        <v>7</v>
      </c>
    </row>
    <row r="301" spans="1:54" x14ac:dyDescent="0.2">
      <c r="A301" t="str">
        <f>INDEX(Prioritization!$D:$D,MATCH($B301,Prioritization!$A:$A,0))</f>
        <v>4 - Sustained</v>
      </c>
      <c r="B301" t="s">
        <v>305</v>
      </c>
      <c r="C301" t="s">
        <v>478</v>
      </c>
      <c r="D301" t="s">
        <v>30</v>
      </c>
      <c r="E301" t="str">
        <f t="shared" si="132"/>
        <v>Ntchisi District [fiRkU6gEjLz]|50+|Female</v>
      </c>
      <c r="F301" s="33">
        <f>IF(LEFT($B301,4)="_Mil","",INDEX(Cascade!$AA:$AA,MATCH($E301,Cascade!$E:$E,0)))</f>
        <v>0.98757174000000003</v>
      </c>
      <c r="G301" s="38">
        <f>INDEX(Cascade!$BH:$BH,MATCH($E301,Cascade!$E:$E,0))</f>
        <v>44</v>
      </c>
      <c r="H301" s="38">
        <f>IF(OR($C301="01-09",$D301="Male"),"",INDEX(PMTCT!$AC:$AC,MATCH($E301,PMTCT!$E:$E,0)))</f>
        <v>0</v>
      </c>
      <c r="I301" s="38">
        <f>IF(OR($C301="01-09",$D301="Male"),"",INDEX(PMTCT!$AS:$AS,MATCH($E301,PMTCT!$E:$E,0)))</f>
        <v>0</v>
      </c>
      <c r="J301" s="38">
        <f>INDEX(TB!$P:$P,MATCH($E301,TB!$E:$E,0))</f>
        <v>0</v>
      </c>
      <c r="K301" s="38" t="str">
        <f>IF(OR($C301="01-09",$C301="10-14",$D301="Female"),"",INDEX(VMMC!$AA:$AA,MATCH($E301,VMMC!$E:$E,0)))</f>
        <v/>
      </c>
      <c r="L301" s="38">
        <f t="shared" si="133"/>
        <v>44</v>
      </c>
      <c r="M301" s="33">
        <f t="shared" si="134"/>
        <v>0</v>
      </c>
      <c r="N301" s="33">
        <f t="shared" si="135"/>
        <v>0</v>
      </c>
      <c r="O301" s="33">
        <f t="shared" si="136"/>
        <v>0</v>
      </c>
      <c r="P301" s="33" t="str">
        <f t="shared" si="137"/>
        <v/>
      </c>
      <c r="Q301" s="33">
        <v>0.15</v>
      </c>
      <c r="R301" s="33"/>
      <c r="S301" s="33"/>
      <c r="T301" s="33">
        <v>0.05</v>
      </c>
      <c r="U301" s="33">
        <f t="shared" si="161"/>
        <v>0.8</v>
      </c>
      <c r="V301" s="33">
        <f t="shared" si="138"/>
        <v>1</v>
      </c>
      <c r="W301" s="218">
        <f t="shared" si="139"/>
        <v>7</v>
      </c>
      <c r="X301" s="33">
        <v>0.13500000000000001</v>
      </c>
      <c r="Y301" s="218">
        <f t="shared" si="139"/>
        <v>7</v>
      </c>
      <c r="Z301" s="218">
        <f t="shared" si="140"/>
        <v>45</v>
      </c>
      <c r="AA301" s="33">
        <v>0.12</v>
      </c>
      <c r="AB301" s="218" t="str">
        <f t="shared" si="141"/>
        <v/>
      </c>
      <c r="AC301" s="218" t="str">
        <f t="shared" si="142"/>
        <v/>
      </c>
      <c r="AD301" s="33">
        <v>0.02</v>
      </c>
      <c r="AE301" s="218" t="str">
        <f t="shared" si="143"/>
        <v/>
      </c>
      <c r="AF301" s="218" t="str">
        <f t="shared" si="144"/>
        <v/>
      </c>
      <c r="AG301" s="33">
        <v>0.02</v>
      </c>
      <c r="AH301" s="218">
        <f t="shared" si="145"/>
        <v>2</v>
      </c>
      <c r="AI301" s="218">
        <f t="shared" si="146"/>
        <v>98</v>
      </c>
      <c r="AJ301" s="33">
        <v>2.5999999999999999E-2</v>
      </c>
      <c r="AK301" s="218">
        <f t="shared" si="147"/>
        <v>35</v>
      </c>
      <c r="AL301" s="218">
        <f t="shared" si="148"/>
        <v>1311</v>
      </c>
      <c r="AM301" s="38">
        <f t="shared" si="149"/>
        <v>44</v>
      </c>
      <c r="AN301" s="38">
        <f t="shared" si="150"/>
        <v>44</v>
      </c>
      <c r="AO301" s="38">
        <f t="shared" si="151"/>
        <v>0</v>
      </c>
      <c r="AP301" s="38">
        <f>IF(OR($C301="01-09",$D301="Male"),"",INDEX(PMTCT!$AD:$AD,MATCH($E301,PMTCT!$E:$E,0)))</f>
        <v>4</v>
      </c>
      <c r="AQ301" s="38">
        <f>IF(OR($C301="01-09",$D301="Male"),"",INDEX(PMTCT!$AT:$AT,MATCH($E301,PMTCT!$E:$E,0)))</f>
        <v>4</v>
      </c>
      <c r="AR301" s="38">
        <f>INDEX(TB!$Q:$Q,MATCH($E301,TB!$E:$E,0))</f>
        <v>2</v>
      </c>
      <c r="AS301" s="38" t="str">
        <f>IF(OR($C301="01-09",$C301="10-14",$D301="Female"),"",INDEX(VMMC!$AB:$AB,MATCH($E301,VMMC!$E:$E,0)))</f>
        <v/>
      </c>
      <c r="AT301" s="38">
        <f>IF(OR($C301="01-09",$C301="10-14"),"",INDEX(PrEP!$Q:$Q,MATCH($E301,PrEP!$E:$E,0)))</f>
        <v>0</v>
      </c>
      <c r="AU301" s="38">
        <f t="shared" si="152"/>
        <v>1464</v>
      </c>
      <c r="AV301" s="38">
        <f t="shared" si="153"/>
        <v>1508</v>
      </c>
      <c r="AW301" s="33">
        <f t="shared" si="154"/>
        <v>2.9177718832891247E-2</v>
      </c>
      <c r="AX301" s="38">
        <v>13</v>
      </c>
      <c r="AY301" s="33">
        <f t="shared" si="158"/>
        <v>0</v>
      </c>
      <c r="AZ301" s="218">
        <f t="shared" si="156"/>
        <v>13</v>
      </c>
      <c r="BA301" s="33">
        <v>0.32</v>
      </c>
      <c r="BB301" s="218">
        <f t="shared" si="157"/>
        <v>14</v>
      </c>
    </row>
    <row r="302" spans="1:54" x14ac:dyDescent="0.2">
      <c r="A302" t="str">
        <f>INDEX(Prioritization!$D:$D,MATCH($B302,Prioritization!$A:$A,0))</f>
        <v>4 - Sustained</v>
      </c>
      <c r="B302" t="s">
        <v>305</v>
      </c>
      <c r="C302" t="s">
        <v>478</v>
      </c>
      <c r="D302" t="s">
        <v>48</v>
      </c>
      <c r="E302" t="str">
        <f t="shared" si="132"/>
        <v>Ntchisi District [fiRkU6gEjLz]|50+|Male</v>
      </c>
      <c r="F302" s="33">
        <f>IF(LEFT($B302,4)="_Mil","",INDEX(Cascade!$AA:$AA,MATCH($E302,Cascade!$E:$E,0)))</f>
        <v>0.94551303299999989</v>
      </c>
      <c r="G302" s="38">
        <f>INDEX(Cascade!$BH:$BH,MATCH($E302,Cascade!$E:$E,0))</f>
        <v>24</v>
      </c>
      <c r="H302" s="38" t="str">
        <f>IF(OR($C302="01-09",$D302="Male"),"",INDEX(PMTCT!$AC:$AC,MATCH($E302,PMTCT!$E:$E,0)))</f>
        <v/>
      </c>
      <c r="I302" s="38" t="str">
        <f>IF(OR($C302="01-09",$D302="Male"),"",INDEX(PMTCT!$AS:$AS,MATCH($E302,PMTCT!$E:$E,0)))</f>
        <v/>
      </c>
      <c r="J302" s="38">
        <f>INDEX(TB!$P:$P,MATCH($E302,TB!$E:$E,0))</f>
        <v>0</v>
      </c>
      <c r="K302" s="38" t="str">
        <f>IF(OR($C302="01-09",$C302="10-14",$D302="Female"),"",INDEX(VMMC!$AA:$AA,MATCH($E302,VMMC!$E:$E,0)))</f>
        <v/>
      </c>
      <c r="L302" s="38">
        <f t="shared" si="133"/>
        <v>24</v>
      </c>
      <c r="M302" s="33" t="str">
        <f t="shared" si="134"/>
        <v/>
      </c>
      <c r="N302" s="33" t="str">
        <f t="shared" si="135"/>
        <v/>
      </c>
      <c r="O302" s="33">
        <f t="shared" si="136"/>
        <v>0</v>
      </c>
      <c r="P302" s="33">
        <f t="shared" si="137"/>
        <v>0</v>
      </c>
      <c r="Q302" s="33">
        <v>0.15</v>
      </c>
      <c r="R302" s="33"/>
      <c r="S302" s="33"/>
      <c r="T302" s="33">
        <v>0.05</v>
      </c>
      <c r="U302" s="33">
        <f t="shared" si="161"/>
        <v>0.8</v>
      </c>
      <c r="V302" s="33">
        <f t="shared" si="138"/>
        <v>1</v>
      </c>
      <c r="W302" s="218">
        <f t="shared" si="139"/>
        <v>4</v>
      </c>
      <c r="X302" s="33">
        <v>0.13500000000000001</v>
      </c>
      <c r="Y302" s="218">
        <f t="shared" si="139"/>
        <v>4</v>
      </c>
      <c r="Z302" s="218">
        <f t="shared" si="140"/>
        <v>26</v>
      </c>
      <c r="AA302" s="33">
        <v>0.12</v>
      </c>
      <c r="AB302" s="218" t="str">
        <f t="shared" si="141"/>
        <v/>
      </c>
      <c r="AC302" s="218" t="str">
        <f t="shared" si="142"/>
        <v/>
      </c>
      <c r="AD302" s="33">
        <v>0.02</v>
      </c>
      <c r="AE302" s="218" t="str">
        <f t="shared" si="143"/>
        <v/>
      </c>
      <c r="AF302" s="218" t="str">
        <f t="shared" si="144"/>
        <v/>
      </c>
      <c r="AG302" s="33">
        <v>0.02</v>
      </c>
      <c r="AH302" s="218">
        <f t="shared" si="145"/>
        <v>1</v>
      </c>
      <c r="AI302" s="218">
        <f t="shared" si="146"/>
        <v>49</v>
      </c>
      <c r="AJ302" s="33">
        <v>1.6E-2</v>
      </c>
      <c r="AK302" s="218">
        <f t="shared" si="147"/>
        <v>19</v>
      </c>
      <c r="AL302" s="218">
        <f t="shared" si="148"/>
        <v>1169</v>
      </c>
      <c r="AM302" s="38">
        <f t="shared" si="149"/>
        <v>24</v>
      </c>
      <c r="AN302" s="38">
        <f t="shared" si="150"/>
        <v>24</v>
      </c>
      <c r="AO302" s="38">
        <f t="shared" si="151"/>
        <v>0</v>
      </c>
      <c r="AP302" s="38" t="str">
        <f>IF(OR($C302="01-09",$D302="Male"),"",INDEX(PMTCT!$AD:$AD,MATCH($E302,PMTCT!$E:$E,0)))</f>
        <v/>
      </c>
      <c r="AQ302" s="38" t="str">
        <f>IF(OR($C302="01-09",$D302="Male"),"",INDEX(PMTCT!$AT:$AT,MATCH($E302,PMTCT!$E:$E,0)))</f>
        <v/>
      </c>
      <c r="AR302" s="38">
        <f>INDEX(TB!$Q:$Q,MATCH($E302,TB!$E:$E,0))</f>
        <v>4</v>
      </c>
      <c r="AS302" s="38" t="str">
        <f>IF(OR($C302="01-09",$C302="10-14",$D302="Female"),"",INDEX(VMMC!$AB:$AB,MATCH($E302,VMMC!$E:$E,0)))</f>
        <v/>
      </c>
      <c r="AT302" s="38">
        <f>IF(OR($C302="01-09",$C302="10-14"),"",INDEX(PrEP!$Q:$Q,MATCH($E302,PrEP!$E:$E,0)))</f>
        <v>12</v>
      </c>
      <c r="AU302" s="38">
        <f t="shared" si="152"/>
        <v>1260</v>
      </c>
      <c r="AV302" s="38">
        <f t="shared" si="153"/>
        <v>1284</v>
      </c>
      <c r="AW302" s="33">
        <f t="shared" si="154"/>
        <v>1.8691588785046728E-2</v>
      </c>
      <c r="AX302" s="38">
        <v>14</v>
      </c>
      <c r="AY302" s="33">
        <f t="shared" si="158"/>
        <v>0</v>
      </c>
      <c r="AZ302" s="218">
        <f t="shared" si="156"/>
        <v>14</v>
      </c>
      <c r="BA302" s="33">
        <v>0.32</v>
      </c>
      <c r="BB302" s="218">
        <f t="shared" si="157"/>
        <v>8</v>
      </c>
    </row>
    <row r="303" spans="1:54" x14ac:dyDescent="0.2">
      <c r="A303" t="str">
        <f>INDEX(Prioritization!$D:$D,MATCH($B303,Prioritization!$A:$A,0))</f>
        <v>INVALID</v>
      </c>
      <c r="B303" t="s">
        <v>323</v>
      </c>
      <c r="C303" t="s">
        <v>473</v>
      </c>
      <c r="D303" t="s">
        <v>30</v>
      </c>
      <c r="E303" t="str">
        <f t="shared" si="132"/>
        <v>Phalombe District [AZyWpGzhcaA]|01-09|Female</v>
      </c>
      <c r="F303" s="33">
        <f>IF(LEFT($B303,4)="_Mil","",INDEX(Cascade!$AA:$AA,MATCH($E303,Cascade!$E:$E,0)))</f>
        <v>0.86244275100000001</v>
      </c>
      <c r="G303" s="38">
        <f>INDEX(Cascade!$BH:$BH,MATCH($E303,Cascade!$E:$E,0))</f>
        <v>7</v>
      </c>
      <c r="H303" s="38" t="str">
        <f>IF(OR($C303="01-09",$D303="Male"),"",INDEX(PMTCT!$AC:$AC,MATCH($E303,PMTCT!$E:$E,0)))</f>
        <v/>
      </c>
      <c r="I303" s="38" t="str">
        <f>IF(OR($C303="01-09",$D303="Male"),"",INDEX(PMTCT!$AS:$AS,MATCH($E303,PMTCT!$E:$E,0)))</f>
        <v/>
      </c>
      <c r="J303" s="38">
        <f>INDEX(TB!$P:$P,MATCH($E303,TB!$E:$E,0))</f>
        <v>0</v>
      </c>
      <c r="K303" s="38" t="str">
        <f>IF(OR($C303="01-09",$C303="10-14",$D303="Female"),"",INDEX(VMMC!$AA:$AA,MATCH($E303,VMMC!$E:$E,0)))</f>
        <v/>
      </c>
      <c r="L303" s="38">
        <f t="shared" si="133"/>
        <v>7</v>
      </c>
      <c r="M303" s="33" t="str">
        <f t="shared" si="134"/>
        <v/>
      </c>
      <c r="N303" s="33" t="str">
        <f t="shared" si="135"/>
        <v/>
      </c>
      <c r="O303" s="33">
        <f t="shared" si="136"/>
        <v>0</v>
      </c>
      <c r="P303" s="33" t="str">
        <f t="shared" si="137"/>
        <v/>
      </c>
      <c r="Q303" s="33"/>
      <c r="R303" s="33"/>
      <c r="S303" s="33"/>
      <c r="T303" s="33"/>
      <c r="U303" s="33">
        <f t="shared" si="161"/>
        <v>1</v>
      </c>
      <c r="V303" s="33">
        <f t="shared" si="138"/>
        <v>1</v>
      </c>
      <c r="W303" s="218" t="str">
        <f t="shared" si="139"/>
        <v/>
      </c>
      <c r="X303" s="33">
        <v>3.1E-2</v>
      </c>
      <c r="Y303" s="218" t="str">
        <f t="shared" si="139"/>
        <v/>
      </c>
      <c r="Z303" s="218" t="str">
        <f t="shared" si="140"/>
        <v/>
      </c>
      <c r="AA303" s="33">
        <v>0.12</v>
      </c>
      <c r="AB303" s="218" t="str">
        <f t="shared" si="141"/>
        <v/>
      </c>
      <c r="AC303" s="218" t="str">
        <f t="shared" si="142"/>
        <v/>
      </c>
      <c r="AD303" s="33">
        <v>0.02</v>
      </c>
      <c r="AE303" s="218" t="str">
        <f t="shared" si="143"/>
        <v/>
      </c>
      <c r="AF303" s="218" t="str">
        <f t="shared" si="144"/>
        <v/>
      </c>
      <c r="AG303" s="33">
        <v>0.02</v>
      </c>
      <c r="AH303" s="218" t="str">
        <f t="shared" si="145"/>
        <v/>
      </c>
      <c r="AI303" s="218" t="str">
        <f t="shared" si="146"/>
        <v/>
      </c>
      <c r="AJ303" s="33">
        <v>6.7999999999999996E-3</v>
      </c>
      <c r="AK303" s="218">
        <f t="shared" si="147"/>
        <v>7</v>
      </c>
      <c r="AL303" s="218">
        <f t="shared" si="148"/>
        <v>1022</v>
      </c>
      <c r="AM303" s="38">
        <f t="shared" si="149"/>
        <v>7</v>
      </c>
      <c r="AN303" s="38">
        <f t="shared" si="150"/>
        <v>7</v>
      </c>
      <c r="AO303" s="38">
        <f t="shared" si="151"/>
        <v>0</v>
      </c>
      <c r="AP303" s="38" t="str">
        <f>IF(OR($C303="01-09",$D303="Male"),"",INDEX(PMTCT!$AD:$AD,MATCH($E303,PMTCT!$E:$E,0)))</f>
        <v/>
      </c>
      <c r="AQ303" s="38" t="str">
        <f>IF(OR($C303="01-09",$D303="Male"),"",INDEX(PMTCT!$AT:$AT,MATCH($E303,PMTCT!$E:$E,0)))</f>
        <v/>
      </c>
      <c r="AR303" s="38">
        <f>INDEX(TB!$Q:$Q,MATCH($E303,TB!$E:$E,0))</f>
        <v>4</v>
      </c>
      <c r="AS303" s="38" t="str">
        <f>IF(OR($C303="01-09",$C303="10-14",$D303="Female"),"",INDEX(VMMC!$AB:$AB,MATCH($E303,VMMC!$E:$E,0)))</f>
        <v/>
      </c>
      <c r="AT303" s="38" t="str">
        <f>IF(OR($C303="01-09",$C303="10-14"),"",INDEX(PrEP!$Q:$Q,MATCH($E303,PrEP!$E:$E,0)))</f>
        <v/>
      </c>
      <c r="AU303" s="38">
        <f t="shared" si="152"/>
        <v>1026</v>
      </c>
      <c r="AV303" s="38">
        <f t="shared" si="153"/>
        <v>1033</v>
      </c>
      <c r="AW303" s="33">
        <f t="shared" si="154"/>
        <v>6.7763794772507258E-3</v>
      </c>
      <c r="AX303" s="38"/>
      <c r="AY303" s="33" t="str">
        <f t="shared" si="158"/>
        <v/>
      </c>
      <c r="AZ303" s="218" t="str">
        <f t="shared" si="156"/>
        <v/>
      </c>
      <c r="BA303" s="33" t="str">
        <f t="shared" si="159"/>
        <v/>
      </c>
      <c r="BB303" s="218" t="str">
        <f t="shared" si="157"/>
        <v/>
      </c>
    </row>
    <row r="304" spans="1:54" x14ac:dyDescent="0.2">
      <c r="A304" t="str">
        <f>INDEX(Prioritization!$D:$D,MATCH($B304,Prioritization!$A:$A,0))</f>
        <v>INVALID</v>
      </c>
      <c r="B304" t="s">
        <v>323</v>
      </c>
      <c r="C304" t="s">
        <v>473</v>
      </c>
      <c r="D304" t="s">
        <v>48</v>
      </c>
      <c r="E304" t="str">
        <f t="shared" si="132"/>
        <v>Phalombe District [AZyWpGzhcaA]|01-09|Male</v>
      </c>
      <c r="F304" s="33">
        <f>IF(LEFT($B304,4)="_Mil","",INDEX(Cascade!$AA:$AA,MATCH($E304,Cascade!$E:$E,0)))</f>
        <v>0.86244139099999995</v>
      </c>
      <c r="G304" s="38">
        <f>INDEX(Cascade!$BH:$BH,MATCH($E304,Cascade!$E:$E,0))</f>
        <v>7</v>
      </c>
      <c r="H304" s="38" t="str">
        <f>IF(OR($C304="01-09",$D304="Male"),"",INDEX(PMTCT!$AC:$AC,MATCH($E304,PMTCT!$E:$E,0)))</f>
        <v/>
      </c>
      <c r="I304" s="38" t="str">
        <f>IF(OR($C304="01-09",$D304="Male"),"",INDEX(PMTCT!$AS:$AS,MATCH($E304,PMTCT!$E:$E,0)))</f>
        <v/>
      </c>
      <c r="J304" s="38">
        <f>INDEX(TB!$P:$P,MATCH($E304,TB!$E:$E,0))</f>
        <v>0</v>
      </c>
      <c r="K304" s="38" t="str">
        <f>IF(OR($C304="01-09",$C304="10-14",$D304="Female"),"",INDEX(VMMC!$AA:$AA,MATCH($E304,VMMC!$E:$E,0)))</f>
        <v/>
      </c>
      <c r="L304" s="38">
        <f t="shared" si="133"/>
        <v>7</v>
      </c>
      <c r="M304" s="33" t="str">
        <f t="shared" si="134"/>
        <v/>
      </c>
      <c r="N304" s="33" t="str">
        <f t="shared" si="135"/>
        <v/>
      </c>
      <c r="O304" s="33">
        <f t="shared" si="136"/>
        <v>0</v>
      </c>
      <c r="P304" s="33" t="str">
        <f t="shared" si="137"/>
        <v/>
      </c>
      <c r="Q304" s="33">
        <v>0.476190476190476</v>
      </c>
      <c r="R304" s="33"/>
      <c r="S304" s="33"/>
      <c r="T304" s="33"/>
      <c r="U304" s="33">
        <f t="shared" si="161"/>
        <v>0.52380952380952395</v>
      </c>
      <c r="V304" s="33">
        <f t="shared" si="138"/>
        <v>1</v>
      </c>
      <c r="W304" s="218">
        <f t="shared" si="139"/>
        <v>3</v>
      </c>
      <c r="X304" s="33">
        <v>2.8000000000000001E-2</v>
      </c>
      <c r="Y304" s="218">
        <f t="shared" si="139"/>
        <v>3</v>
      </c>
      <c r="Z304" s="218">
        <f t="shared" si="140"/>
        <v>104</v>
      </c>
      <c r="AA304" s="33">
        <v>0.12</v>
      </c>
      <c r="AB304" s="218" t="str">
        <f t="shared" si="141"/>
        <v/>
      </c>
      <c r="AC304" s="218" t="str">
        <f t="shared" si="142"/>
        <v/>
      </c>
      <c r="AD304" s="33">
        <v>0.02</v>
      </c>
      <c r="AE304" s="218" t="str">
        <f t="shared" si="143"/>
        <v/>
      </c>
      <c r="AF304" s="218" t="str">
        <f t="shared" si="144"/>
        <v/>
      </c>
      <c r="AG304" s="33">
        <v>0.02</v>
      </c>
      <c r="AH304" s="218" t="str">
        <f t="shared" si="145"/>
        <v/>
      </c>
      <c r="AI304" s="218" t="str">
        <f t="shared" si="146"/>
        <v/>
      </c>
      <c r="AJ304" s="33">
        <v>6.4000000000000003E-3</v>
      </c>
      <c r="AK304" s="218">
        <f t="shared" si="147"/>
        <v>4</v>
      </c>
      <c r="AL304" s="218">
        <f t="shared" si="148"/>
        <v>621</v>
      </c>
      <c r="AM304" s="38">
        <f t="shared" si="149"/>
        <v>7</v>
      </c>
      <c r="AN304" s="38">
        <f t="shared" si="150"/>
        <v>7</v>
      </c>
      <c r="AO304" s="38">
        <f t="shared" si="151"/>
        <v>0</v>
      </c>
      <c r="AP304" s="38" t="str">
        <f>IF(OR($C304="01-09",$D304="Male"),"",INDEX(PMTCT!$AD:$AD,MATCH($E304,PMTCT!$E:$E,0)))</f>
        <v/>
      </c>
      <c r="AQ304" s="38" t="str">
        <f>IF(OR($C304="01-09",$D304="Male"),"",INDEX(PMTCT!$AT:$AT,MATCH($E304,PMTCT!$E:$E,0)))</f>
        <v/>
      </c>
      <c r="AR304" s="38">
        <f>INDEX(TB!$Q:$Q,MATCH($E304,TB!$E:$E,0))</f>
        <v>4</v>
      </c>
      <c r="AS304" s="38" t="str">
        <f>IF(OR($C304="01-09",$C304="10-14",$D304="Female"),"",INDEX(VMMC!$AB:$AB,MATCH($E304,VMMC!$E:$E,0)))</f>
        <v/>
      </c>
      <c r="AT304" s="38" t="str">
        <f>IF(OR($C304="01-09",$C304="10-14"),"",INDEX(PrEP!$Q:$Q,MATCH($E304,PrEP!$E:$E,0)))</f>
        <v/>
      </c>
      <c r="AU304" s="38">
        <f t="shared" si="152"/>
        <v>729</v>
      </c>
      <c r="AV304" s="38">
        <f t="shared" si="153"/>
        <v>736</v>
      </c>
      <c r="AW304" s="33">
        <f t="shared" si="154"/>
        <v>9.5108695652173919E-3</v>
      </c>
      <c r="AX304" s="38"/>
      <c r="AY304" s="33" t="str">
        <f t="shared" si="158"/>
        <v/>
      </c>
      <c r="AZ304" s="218" t="str">
        <f t="shared" si="156"/>
        <v/>
      </c>
      <c r="BA304" s="33" t="str">
        <f t="shared" si="159"/>
        <v/>
      </c>
      <c r="BB304" s="218" t="str">
        <f t="shared" si="157"/>
        <v/>
      </c>
    </row>
    <row r="305" spans="1:54" x14ac:dyDescent="0.2">
      <c r="A305" t="str">
        <f>INDEX(Prioritization!$D:$D,MATCH($B305,Prioritization!$A:$A,0))</f>
        <v>INVALID</v>
      </c>
      <c r="B305" t="s">
        <v>323</v>
      </c>
      <c r="C305" t="s">
        <v>474</v>
      </c>
      <c r="D305" t="s">
        <v>30</v>
      </c>
      <c r="E305" t="str">
        <f t="shared" si="132"/>
        <v>Phalombe District [AZyWpGzhcaA]|10-14|Female</v>
      </c>
      <c r="F305" s="33">
        <f>IF(LEFT($B305,4)="_Mil","",INDEX(Cascade!$AA:$AA,MATCH($E305,Cascade!$E:$E,0)))</f>
        <v>0.881937164</v>
      </c>
      <c r="G305" s="38">
        <f>INDEX(Cascade!$BH:$BH,MATCH($E305,Cascade!$E:$E,0))</f>
        <v>58</v>
      </c>
      <c r="H305" s="38">
        <f>IF(OR($C305="01-09",$D305="Male"),"",INDEX(PMTCT!$AC:$AC,MATCH($E305,PMTCT!$E:$E,0)))</f>
        <v>0</v>
      </c>
      <c r="I305" s="38">
        <f>IF(OR($C305="01-09",$D305="Male"),"",INDEX(PMTCT!$AS:$AS,MATCH($E305,PMTCT!$E:$E,0)))</f>
        <v>0</v>
      </c>
      <c r="J305" s="38">
        <f>INDEX(TB!$P:$P,MATCH($E305,TB!$E:$E,0))</f>
        <v>0</v>
      </c>
      <c r="K305" s="38" t="str">
        <f>IF(OR($C305="01-09",$C305="10-14",$D305="Female"),"",INDEX(VMMC!$AA:$AA,MATCH($E305,VMMC!$E:$E,0)))</f>
        <v/>
      </c>
      <c r="L305" s="38">
        <f t="shared" si="133"/>
        <v>58</v>
      </c>
      <c r="M305" s="33">
        <f t="shared" si="134"/>
        <v>0</v>
      </c>
      <c r="N305" s="33">
        <f t="shared" si="135"/>
        <v>0</v>
      </c>
      <c r="O305" s="33">
        <f t="shared" si="136"/>
        <v>0</v>
      </c>
      <c r="P305" s="33" t="str">
        <f t="shared" si="137"/>
        <v/>
      </c>
      <c r="Q305" s="33">
        <v>0.45454545454545497</v>
      </c>
      <c r="R305" s="33"/>
      <c r="S305" s="33"/>
      <c r="T305" s="33"/>
      <c r="U305" s="33">
        <f t="shared" si="161"/>
        <v>0.54545454545454497</v>
      </c>
      <c r="V305" s="33">
        <f t="shared" si="138"/>
        <v>1</v>
      </c>
      <c r="W305" s="218">
        <f t="shared" si="139"/>
        <v>26</v>
      </c>
      <c r="X305" s="33">
        <v>3.1E-2</v>
      </c>
      <c r="Y305" s="218">
        <f t="shared" si="139"/>
        <v>26</v>
      </c>
      <c r="Z305" s="218">
        <f t="shared" si="140"/>
        <v>813</v>
      </c>
      <c r="AA305" s="33">
        <v>0.12</v>
      </c>
      <c r="AB305" s="218" t="str">
        <f t="shared" si="141"/>
        <v/>
      </c>
      <c r="AC305" s="218" t="str">
        <f t="shared" si="142"/>
        <v/>
      </c>
      <c r="AD305" s="33">
        <v>2E-3</v>
      </c>
      <c r="AE305" s="218" t="str">
        <f t="shared" si="143"/>
        <v/>
      </c>
      <c r="AF305" s="218" t="str">
        <f t="shared" si="144"/>
        <v/>
      </c>
      <c r="AG305" s="33">
        <v>0.02</v>
      </c>
      <c r="AH305" s="218" t="str">
        <f t="shared" si="145"/>
        <v/>
      </c>
      <c r="AI305" s="218" t="str">
        <f t="shared" si="146"/>
        <v/>
      </c>
      <c r="AJ305" s="33">
        <v>0.02</v>
      </c>
      <c r="AK305" s="218">
        <f t="shared" si="147"/>
        <v>32</v>
      </c>
      <c r="AL305" s="218">
        <f t="shared" si="148"/>
        <v>1568</v>
      </c>
      <c r="AM305" s="38">
        <f t="shared" si="149"/>
        <v>58</v>
      </c>
      <c r="AN305" s="38">
        <f t="shared" si="150"/>
        <v>58</v>
      </c>
      <c r="AO305" s="38">
        <f t="shared" si="151"/>
        <v>0</v>
      </c>
      <c r="AP305" s="38">
        <f>IF(OR($C305="01-09",$D305="Male"),"",INDEX(PMTCT!$AD:$AD,MATCH($E305,PMTCT!$E:$E,0)))</f>
        <v>61</v>
      </c>
      <c r="AQ305" s="38">
        <f>IF(OR($C305="01-09",$D305="Male"),"",INDEX(PMTCT!$AT:$AT,MATCH($E305,PMTCT!$E:$E,0)))</f>
        <v>61</v>
      </c>
      <c r="AR305" s="38">
        <f>INDEX(TB!$Q:$Q,MATCH($E305,TB!$E:$E,0))</f>
        <v>2</v>
      </c>
      <c r="AS305" s="38" t="str">
        <f>IF(OR($C305="01-09",$C305="10-14",$D305="Female"),"",INDEX(VMMC!$AB:$AB,MATCH($E305,VMMC!$E:$E,0)))</f>
        <v/>
      </c>
      <c r="AT305" s="38" t="str">
        <f>IF(OR($C305="01-09",$C305="10-14"),"",INDEX(PrEP!$Q:$Q,MATCH($E305,PrEP!$E:$E,0)))</f>
        <v/>
      </c>
      <c r="AU305" s="38">
        <f t="shared" si="152"/>
        <v>2505</v>
      </c>
      <c r="AV305" s="38">
        <f t="shared" si="153"/>
        <v>2563</v>
      </c>
      <c r="AW305" s="33">
        <f t="shared" si="154"/>
        <v>2.2629730784237221E-2</v>
      </c>
      <c r="AX305" s="38">
        <v>2500</v>
      </c>
      <c r="AY305" s="33">
        <f t="shared" si="158"/>
        <v>0</v>
      </c>
      <c r="AZ305" s="218">
        <f t="shared" si="156"/>
        <v>2500</v>
      </c>
      <c r="BA305" s="33" t="str">
        <f t="shared" si="159"/>
        <v/>
      </c>
      <c r="BB305" s="218" t="str">
        <f t="shared" si="157"/>
        <v/>
      </c>
    </row>
    <row r="306" spans="1:54" x14ac:dyDescent="0.2">
      <c r="A306" t="str">
        <f>INDEX(Prioritization!$D:$D,MATCH($B306,Prioritization!$A:$A,0))</f>
        <v>INVALID</v>
      </c>
      <c r="B306" t="s">
        <v>323</v>
      </c>
      <c r="C306" t="s">
        <v>474</v>
      </c>
      <c r="D306" t="s">
        <v>48</v>
      </c>
      <c r="E306" t="str">
        <f t="shared" si="132"/>
        <v>Phalombe District [AZyWpGzhcaA]|10-14|Male</v>
      </c>
      <c r="F306" s="33">
        <f>IF(LEFT($B306,4)="_Mil","",INDEX(Cascade!$AA:$AA,MATCH($E306,Cascade!$E:$E,0)))</f>
        <v>0.88175382400000002</v>
      </c>
      <c r="G306" s="38">
        <f>INDEX(Cascade!$BH:$BH,MATCH($E306,Cascade!$E:$E,0))</f>
        <v>78</v>
      </c>
      <c r="H306" s="38" t="str">
        <f>IF(OR($C306="01-09",$D306="Male"),"",INDEX(PMTCT!$AC:$AC,MATCH($E306,PMTCT!$E:$E,0)))</f>
        <v/>
      </c>
      <c r="I306" s="38" t="str">
        <f>IF(OR($C306="01-09",$D306="Male"),"",INDEX(PMTCT!$AS:$AS,MATCH($E306,PMTCT!$E:$E,0)))</f>
        <v/>
      </c>
      <c r="J306" s="38">
        <f>INDEX(TB!$P:$P,MATCH($E306,TB!$E:$E,0))</f>
        <v>0</v>
      </c>
      <c r="K306" s="38" t="str">
        <f>IF(OR($C306="01-09",$C306="10-14",$D306="Female"),"",INDEX(VMMC!$AA:$AA,MATCH($E306,VMMC!$E:$E,0)))</f>
        <v/>
      </c>
      <c r="L306" s="38">
        <f t="shared" si="133"/>
        <v>78</v>
      </c>
      <c r="M306" s="33" t="str">
        <f t="shared" si="134"/>
        <v/>
      </c>
      <c r="N306" s="33" t="str">
        <f t="shared" si="135"/>
        <v/>
      </c>
      <c r="O306" s="33">
        <f t="shared" si="136"/>
        <v>0</v>
      </c>
      <c r="P306" s="33" t="str">
        <f t="shared" si="137"/>
        <v/>
      </c>
      <c r="Q306" s="33">
        <v>0.57142857142857095</v>
      </c>
      <c r="R306" s="33"/>
      <c r="S306" s="33"/>
      <c r="T306" s="33"/>
      <c r="U306" s="33">
        <f t="shared" si="161"/>
        <v>0.42857142857142905</v>
      </c>
      <c r="V306" s="33">
        <f t="shared" si="138"/>
        <v>1</v>
      </c>
      <c r="W306" s="218">
        <f t="shared" si="139"/>
        <v>45</v>
      </c>
      <c r="X306" s="33">
        <v>1.4E-2</v>
      </c>
      <c r="Y306" s="218">
        <f t="shared" si="139"/>
        <v>45</v>
      </c>
      <c r="Z306" s="218">
        <f t="shared" si="140"/>
        <v>3169</v>
      </c>
      <c r="AA306" s="33">
        <v>0.12</v>
      </c>
      <c r="AB306" s="218" t="str">
        <f t="shared" si="141"/>
        <v/>
      </c>
      <c r="AC306" s="218" t="str">
        <f t="shared" si="142"/>
        <v/>
      </c>
      <c r="AD306" s="33">
        <v>0.02</v>
      </c>
      <c r="AE306" s="218" t="str">
        <f t="shared" si="143"/>
        <v/>
      </c>
      <c r="AF306" s="218" t="str">
        <f t="shared" si="144"/>
        <v/>
      </c>
      <c r="AG306" s="33">
        <v>0.02</v>
      </c>
      <c r="AH306" s="218" t="str">
        <f t="shared" si="145"/>
        <v/>
      </c>
      <c r="AI306" s="218" t="str">
        <f t="shared" si="146"/>
        <v/>
      </c>
      <c r="AJ306" s="33">
        <v>1.7999999999999999E-2</v>
      </c>
      <c r="AK306" s="218">
        <f t="shared" si="147"/>
        <v>33</v>
      </c>
      <c r="AL306" s="218">
        <f t="shared" si="148"/>
        <v>1800</v>
      </c>
      <c r="AM306" s="38">
        <f t="shared" si="149"/>
        <v>78</v>
      </c>
      <c r="AN306" s="38">
        <f t="shared" si="150"/>
        <v>78</v>
      </c>
      <c r="AO306" s="38">
        <f t="shared" si="151"/>
        <v>0</v>
      </c>
      <c r="AP306" s="38" t="str">
        <f>IF(OR($C306="01-09",$D306="Male"),"",INDEX(PMTCT!$AD:$AD,MATCH($E306,PMTCT!$E:$E,0)))</f>
        <v/>
      </c>
      <c r="AQ306" s="38" t="str">
        <f>IF(OR($C306="01-09",$D306="Male"),"",INDEX(PMTCT!$AT:$AT,MATCH($E306,PMTCT!$E:$E,0)))</f>
        <v/>
      </c>
      <c r="AR306" s="38">
        <f>INDEX(TB!$Q:$Q,MATCH($E306,TB!$E:$E,0))</f>
        <v>2</v>
      </c>
      <c r="AS306" s="38" t="str">
        <f>IF(OR($C306="01-09",$C306="10-14",$D306="Female"),"",INDEX(VMMC!$AB:$AB,MATCH($E306,VMMC!$E:$E,0)))</f>
        <v/>
      </c>
      <c r="AT306" s="38" t="str">
        <f>IF(OR($C306="01-09",$C306="10-14"),"",INDEX(PrEP!$Q:$Q,MATCH($E306,PrEP!$E:$E,0)))</f>
        <v/>
      </c>
      <c r="AU306" s="38">
        <f t="shared" si="152"/>
        <v>4971</v>
      </c>
      <c r="AV306" s="38">
        <f t="shared" si="153"/>
        <v>5049</v>
      </c>
      <c r="AW306" s="33">
        <f t="shared" si="154"/>
        <v>1.5448603683897801E-2</v>
      </c>
      <c r="AX306" s="38"/>
      <c r="AY306" s="33" t="str">
        <f t="shared" si="158"/>
        <v/>
      </c>
      <c r="AZ306" s="218" t="str">
        <f t="shared" si="156"/>
        <v/>
      </c>
      <c r="BA306" s="33" t="str">
        <f t="shared" si="159"/>
        <v/>
      </c>
      <c r="BB306" s="218" t="str">
        <f t="shared" si="157"/>
        <v/>
      </c>
    </row>
    <row r="307" spans="1:54" x14ac:dyDescent="0.2">
      <c r="A307" t="str">
        <f>INDEX(Prioritization!$D:$D,MATCH($B307,Prioritization!$A:$A,0))</f>
        <v>INVALID</v>
      </c>
      <c r="B307" t="s">
        <v>323</v>
      </c>
      <c r="C307" t="s">
        <v>475</v>
      </c>
      <c r="D307" t="s">
        <v>30</v>
      </c>
      <c r="E307" t="str">
        <f t="shared" si="132"/>
        <v>Phalombe District [AZyWpGzhcaA]|15-24|Female</v>
      </c>
      <c r="F307" s="33">
        <f>IF(LEFT($B307,4)="_Mil","",INDEX(Cascade!$AA:$AA,MATCH($E307,Cascade!$E:$E,0)))</f>
        <v>0.96984132700000014</v>
      </c>
      <c r="G307" s="38">
        <f>INDEX(Cascade!$BH:$BH,MATCH($E307,Cascade!$E:$E,0))</f>
        <v>415</v>
      </c>
      <c r="H307" s="38">
        <f>IF(OR($C307="01-09",$D307="Male"),"",INDEX(PMTCT!$AC:$AC,MATCH($E307,PMTCT!$E:$E,0)))</f>
        <v>108</v>
      </c>
      <c r="I307" s="38">
        <f>IF(OR($C307="01-09",$D307="Male"),"",INDEX(PMTCT!$AS:$AS,MATCH($E307,PMTCT!$E:$E,0)))</f>
        <v>65</v>
      </c>
      <c r="J307" s="38">
        <f>INDEX(TB!$P:$P,MATCH($E307,TB!$E:$E,0))</f>
        <v>1</v>
      </c>
      <c r="K307" s="38" t="str">
        <f>IF(OR($C307="01-09",$C307="10-14",$D307="Female"),"",INDEX(VMMC!$AA:$AA,MATCH($E307,VMMC!$E:$E,0)))</f>
        <v/>
      </c>
      <c r="L307" s="38">
        <f t="shared" si="133"/>
        <v>241</v>
      </c>
      <c r="M307" s="33">
        <f t="shared" si="134"/>
        <v>0.26024096385542167</v>
      </c>
      <c r="N307" s="33">
        <f t="shared" si="135"/>
        <v>0.15662650602409639</v>
      </c>
      <c r="O307" s="33">
        <f t="shared" si="136"/>
        <v>2.4096385542168677E-3</v>
      </c>
      <c r="P307" s="33" t="str">
        <f t="shared" si="137"/>
        <v/>
      </c>
      <c r="Q307" s="33">
        <v>0.18</v>
      </c>
      <c r="R307" s="33">
        <v>0.06</v>
      </c>
      <c r="S307" s="33">
        <v>5.0000000000000001E-3</v>
      </c>
      <c r="T307" s="33">
        <v>0.05</v>
      </c>
      <c r="U307" s="33">
        <f t="shared" si="161"/>
        <v>0.28572289156626496</v>
      </c>
      <c r="V307" s="33">
        <f t="shared" si="138"/>
        <v>1</v>
      </c>
      <c r="W307" s="218">
        <f t="shared" si="139"/>
        <v>75</v>
      </c>
      <c r="X307" s="33">
        <v>4.2999999999999997E-2</v>
      </c>
      <c r="Y307" s="218">
        <f t="shared" si="139"/>
        <v>75</v>
      </c>
      <c r="Z307" s="218">
        <f t="shared" si="140"/>
        <v>1669</v>
      </c>
      <c r="AA307" s="33">
        <v>0.12</v>
      </c>
      <c r="AB307" s="218">
        <f t="shared" si="141"/>
        <v>25</v>
      </c>
      <c r="AC307" s="218">
        <f t="shared" si="142"/>
        <v>183</v>
      </c>
      <c r="AD307" s="33">
        <v>2E-3</v>
      </c>
      <c r="AE307" s="218">
        <f t="shared" si="143"/>
        <v>2</v>
      </c>
      <c r="AF307" s="218">
        <f t="shared" si="144"/>
        <v>998</v>
      </c>
      <c r="AG307" s="33">
        <v>0.02</v>
      </c>
      <c r="AH307" s="218">
        <f t="shared" si="145"/>
        <v>21</v>
      </c>
      <c r="AI307" s="218">
        <f t="shared" si="146"/>
        <v>1029</v>
      </c>
      <c r="AJ307" s="33">
        <v>9.1000000000000004E-3</v>
      </c>
      <c r="AK307" s="218">
        <f t="shared" si="147"/>
        <v>119</v>
      </c>
      <c r="AL307" s="218">
        <f t="shared" si="148"/>
        <v>12958</v>
      </c>
      <c r="AM307" s="38">
        <f t="shared" si="149"/>
        <v>415</v>
      </c>
      <c r="AN307" s="38">
        <f t="shared" si="150"/>
        <v>416</v>
      </c>
      <c r="AO307" s="38">
        <f t="shared" si="151"/>
        <v>1</v>
      </c>
      <c r="AP307" s="38">
        <f>IF(OR($C307="01-09",$D307="Male"),"",INDEX(PMTCT!$AD:$AD,MATCH($E307,PMTCT!$E:$E,0)))</f>
        <v>16146</v>
      </c>
      <c r="AQ307" s="38">
        <f>IF(OR($C307="01-09",$D307="Male"),"",INDEX(PMTCT!$AT:$AT,MATCH($E307,PMTCT!$E:$E,0)))</f>
        <v>16081</v>
      </c>
      <c r="AR307" s="38">
        <f>INDEX(TB!$Q:$Q,MATCH($E307,TB!$E:$E,0))</f>
        <v>14</v>
      </c>
      <c r="AS307" s="38" t="str">
        <f>IF(OR($C307="01-09",$C307="10-14",$D307="Female"),"",INDEX(VMMC!$AB:$AB,MATCH($E307,VMMC!$E:$E,0)))</f>
        <v/>
      </c>
      <c r="AT307" s="38">
        <f>IF(OR($C307="01-09",$C307="10-14"),"",INDEX(PrEP!$Q:$Q,MATCH($E307,PrEP!$E:$E,0)))</f>
        <v>0</v>
      </c>
      <c r="AU307" s="38">
        <f t="shared" si="152"/>
        <v>49078</v>
      </c>
      <c r="AV307" s="38">
        <f t="shared" si="153"/>
        <v>49494</v>
      </c>
      <c r="AW307" s="33">
        <f t="shared" si="154"/>
        <v>8.405059199094839E-3</v>
      </c>
      <c r="AX307" s="38">
        <v>16040</v>
      </c>
      <c r="AY307" s="33">
        <f t="shared" ref="AY307:AY312" si="163">IF(OR($C307="01-09",SUM($AX307)=0),"",68%)</f>
        <v>0.68</v>
      </c>
      <c r="AZ307" s="218">
        <f t="shared" si="156"/>
        <v>26947</v>
      </c>
      <c r="BA307" s="33">
        <v>0.65</v>
      </c>
      <c r="BB307" s="218">
        <f t="shared" si="157"/>
        <v>270</v>
      </c>
    </row>
    <row r="308" spans="1:54" x14ac:dyDescent="0.2">
      <c r="A308" t="str">
        <f>INDEX(Prioritization!$D:$D,MATCH($B308,Prioritization!$A:$A,0))</f>
        <v>INVALID</v>
      </c>
      <c r="B308" t="s">
        <v>323</v>
      </c>
      <c r="C308" t="s">
        <v>475</v>
      </c>
      <c r="D308" t="s">
        <v>48</v>
      </c>
      <c r="E308" t="str">
        <f t="shared" si="132"/>
        <v>Phalombe District [AZyWpGzhcaA]|15-24|Male</v>
      </c>
      <c r="F308" s="33">
        <f>IF(LEFT($B308,4)="_Mil","",INDEX(Cascade!$AA:$AA,MATCH($E308,Cascade!$E:$E,0)))</f>
        <v>0.95348282400000006</v>
      </c>
      <c r="G308" s="38">
        <f>INDEX(Cascade!$BH:$BH,MATCH($E308,Cascade!$E:$E,0))</f>
        <v>74</v>
      </c>
      <c r="H308" s="38" t="str">
        <f>IF(OR($C308="01-09",$D308="Male"),"",INDEX(PMTCT!$AC:$AC,MATCH($E308,PMTCT!$E:$E,0)))</f>
        <v/>
      </c>
      <c r="I308" s="38" t="str">
        <f>IF(OR($C308="01-09",$D308="Male"),"",INDEX(PMTCT!$AS:$AS,MATCH($E308,PMTCT!$E:$E,0)))</f>
        <v/>
      </c>
      <c r="J308" s="38">
        <f>INDEX(TB!$P:$P,MATCH($E308,TB!$E:$E,0))</f>
        <v>2</v>
      </c>
      <c r="K308" s="38">
        <f>IF(OR($C308="01-09",$C308="10-14",$D308="Female"),"",INDEX(VMMC!$AA:$AA,MATCH($E308,VMMC!$E:$E,0)))</f>
        <v>10</v>
      </c>
      <c r="L308" s="38">
        <f t="shared" si="133"/>
        <v>62</v>
      </c>
      <c r="M308" s="33" t="str">
        <f t="shared" si="134"/>
        <v/>
      </c>
      <c r="N308" s="33" t="str">
        <f t="shared" si="135"/>
        <v/>
      </c>
      <c r="O308" s="33">
        <f t="shared" si="136"/>
        <v>2.7027027027027029E-2</v>
      </c>
      <c r="P308" s="33">
        <f t="shared" si="137"/>
        <v>0.13513513513513514</v>
      </c>
      <c r="Q308" s="33">
        <v>0.3</v>
      </c>
      <c r="R308" s="33">
        <v>0.02</v>
      </c>
      <c r="S308" s="33"/>
      <c r="T308" s="33">
        <v>0.05</v>
      </c>
      <c r="U308" s="33">
        <f t="shared" si="161"/>
        <v>0.46783783783783783</v>
      </c>
      <c r="V308" s="33">
        <f t="shared" si="138"/>
        <v>1</v>
      </c>
      <c r="W308" s="218">
        <f t="shared" si="139"/>
        <v>22</v>
      </c>
      <c r="X308" s="33">
        <v>9.7000000000000003E-2</v>
      </c>
      <c r="Y308" s="218">
        <f t="shared" si="139"/>
        <v>22</v>
      </c>
      <c r="Z308" s="218">
        <f t="shared" si="140"/>
        <v>205</v>
      </c>
      <c r="AA308" s="33">
        <v>0.12</v>
      </c>
      <c r="AB308" s="218">
        <f t="shared" si="141"/>
        <v>1</v>
      </c>
      <c r="AC308" s="218">
        <f t="shared" si="142"/>
        <v>7</v>
      </c>
      <c r="AD308" s="33">
        <v>0.02</v>
      </c>
      <c r="AE308" s="218" t="str">
        <f t="shared" si="143"/>
        <v/>
      </c>
      <c r="AF308" s="218" t="str">
        <f t="shared" si="144"/>
        <v/>
      </c>
      <c r="AG308" s="33">
        <v>0.02</v>
      </c>
      <c r="AH308" s="218">
        <f t="shared" si="145"/>
        <v>4</v>
      </c>
      <c r="AI308" s="218">
        <f t="shared" si="146"/>
        <v>196</v>
      </c>
      <c r="AJ308" s="33">
        <v>7.4000000000000003E-3</v>
      </c>
      <c r="AK308" s="218">
        <f t="shared" si="147"/>
        <v>35</v>
      </c>
      <c r="AL308" s="218">
        <f t="shared" si="148"/>
        <v>4695</v>
      </c>
      <c r="AM308" s="38">
        <f t="shared" si="149"/>
        <v>74</v>
      </c>
      <c r="AN308" s="38">
        <f t="shared" si="150"/>
        <v>74</v>
      </c>
      <c r="AO308" s="38">
        <f t="shared" si="151"/>
        <v>0</v>
      </c>
      <c r="AP308" s="38" t="str">
        <f>IF(OR($C308="01-09",$D308="Male"),"",INDEX(PMTCT!$AD:$AD,MATCH($E308,PMTCT!$E:$E,0)))</f>
        <v/>
      </c>
      <c r="AQ308" s="38" t="str">
        <f>IF(OR($C308="01-09",$D308="Male"),"",INDEX(PMTCT!$AT:$AT,MATCH($E308,PMTCT!$E:$E,0)))</f>
        <v/>
      </c>
      <c r="AR308" s="38">
        <f>INDEX(TB!$Q:$Q,MATCH($E308,TB!$E:$E,0))</f>
        <v>24</v>
      </c>
      <c r="AS308" s="38">
        <f>IF(OR($C308="01-09",$C308="10-14",$D308="Female"),"",INDEX(VMMC!$AB:$AB,MATCH($E308,VMMC!$E:$E,0)))</f>
        <v>2820</v>
      </c>
      <c r="AT308" s="38">
        <f>IF(OR($C308="01-09",$C308="10-14"),"",INDEX(PrEP!$Q:$Q,MATCH($E308,PrEP!$E:$E,0)))</f>
        <v>54</v>
      </c>
      <c r="AU308" s="38">
        <f t="shared" si="152"/>
        <v>8001.0000000000009</v>
      </c>
      <c r="AV308" s="38">
        <f t="shared" si="153"/>
        <v>8075.0000000000018</v>
      </c>
      <c r="AW308" s="33">
        <f t="shared" si="154"/>
        <v>9.1640866873065E-3</v>
      </c>
      <c r="AX308" s="38">
        <v>457</v>
      </c>
      <c r="AY308" s="33">
        <f t="shared" si="163"/>
        <v>0.68</v>
      </c>
      <c r="AZ308" s="218">
        <f t="shared" si="156"/>
        <v>768</v>
      </c>
      <c r="BA308" s="33">
        <v>0.65</v>
      </c>
      <c r="BB308" s="218">
        <f t="shared" si="157"/>
        <v>48</v>
      </c>
    </row>
    <row r="309" spans="1:54" x14ac:dyDescent="0.2">
      <c r="A309" t="str">
        <f>INDEX(Prioritization!$D:$D,MATCH($B309,Prioritization!$A:$A,0))</f>
        <v>INVALID</v>
      </c>
      <c r="B309" t="s">
        <v>323</v>
      </c>
      <c r="C309" t="s">
        <v>476</v>
      </c>
      <c r="D309" t="s">
        <v>30</v>
      </c>
      <c r="E309" t="str">
        <f t="shared" si="132"/>
        <v>Phalombe District [AZyWpGzhcaA]|25-34|Female</v>
      </c>
      <c r="F309" s="33">
        <f>IF(LEFT($B309,4)="_Mil","",INDEX(Cascade!$AA:$AA,MATCH($E309,Cascade!$E:$E,0)))</f>
        <v>0.98423557100000003</v>
      </c>
      <c r="G309" s="38">
        <f>INDEX(Cascade!$BH:$BH,MATCH($E309,Cascade!$E:$E,0))</f>
        <v>431</v>
      </c>
      <c r="H309" s="38">
        <f>IF(OR($C309="01-09",$D309="Male"),"",INDEX(PMTCT!$AC:$AC,MATCH($E309,PMTCT!$E:$E,0)))</f>
        <v>151</v>
      </c>
      <c r="I309" s="38">
        <f>IF(OR($C309="01-09",$D309="Male"),"",INDEX(PMTCT!$AS:$AS,MATCH($E309,PMTCT!$E:$E,0)))</f>
        <v>75</v>
      </c>
      <c r="J309" s="38">
        <f>INDEX(TB!$P:$P,MATCH($E309,TB!$E:$E,0))</f>
        <v>1</v>
      </c>
      <c r="K309" s="38" t="str">
        <f>IF(OR($C309="01-09",$C309="10-14",$D309="Female"),"",INDEX(VMMC!$AA:$AA,MATCH($E309,VMMC!$E:$E,0)))</f>
        <v/>
      </c>
      <c r="L309" s="38">
        <f t="shared" si="133"/>
        <v>204</v>
      </c>
      <c r="M309" s="33">
        <f t="shared" si="134"/>
        <v>0.35034802784222741</v>
      </c>
      <c r="N309" s="33">
        <f t="shared" si="135"/>
        <v>0.1740139211136891</v>
      </c>
      <c r="O309" s="33">
        <f t="shared" si="136"/>
        <v>2.3201856148491878E-3</v>
      </c>
      <c r="P309" s="33" t="str">
        <f t="shared" si="137"/>
        <v/>
      </c>
      <c r="Q309" s="33">
        <v>0.18</v>
      </c>
      <c r="R309" s="33">
        <v>0.06</v>
      </c>
      <c r="S309" s="33"/>
      <c r="T309" s="33">
        <v>0.05</v>
      </c>
      <c r="U309" s="33">
        <f t="shared" si="161"/>
        <v>0.18331786542923423</v>
      </c>
      <c r="V309" s="33">
        <f t="shared" si="138"/>
        <v>1</v>
      </c>
      <c r="W309" s="218">
        <f t="shared" si="139"/>
        <v>78</v>
      </c>
      <c r="X309" s="33">
        <v>0.17599999999999999</v>
      </c>
      <c r="Y309" s="218">
        <f t="shared" si="139"/>
        <v>78</v>
      </c>
      <c r="Z309" s="218">
        <f t="shared" si="140"/>
        <v>365</v>
      </c>
      <c r="AA309" s="33">
        <v>0.12</v>
      </c>
      <c r="AB309" s="218">
        <f t="shared" si="141"/>
        <v>26</v>
      </c>
      <c r="AC309" s="218">
        <f t="shared" si="142"/>
        <v>191</v>
      </c>
      <c r="AD309" s="33">
        <v>0.02</v>
      </c>
      <c r="AE309" s="218" t="str">
        <f t="shared" si="143"/>
        <v/>
      </c>
      <c r="AF309" s="218" t="str">
        <f t="shared" si="144"/>
        <v/>
      </c>
      <c r="AG309" s="33">
        <v>0.02</v>
      </c>
      <c r="AH309" s="218">
        <f t="shared" si="145"/>
        <v>22</v>
      </c>
      <c r="AI309" s="218">
        <f t="shared" si="146"/>
        <v>1078</v>
      </c>
      <c r="AJ309" s="33">
        <v>1.7000000000000001E-2</v>
      </c>
      <c r="AK309" s="218">
        <f t="shared" si="147"/>
        <v>79</v>
      </c>
      <c r="AL309" s="218">
        <f t="shared" si="148"/>
        <v>4568</v>
      </c>
      <c r="AM309" s="38">
        <f t="shared" si="149"/>
        <v>431</v>
      </c>
      <c r="AN309" s="38">
        <f t="shared" si="150"/>
        <v>432</v>
      </c>
      <c r="AO309" s="38">
        <f t="shared" si="151"/>
        <v>1</v>
      </c>
      <c r="AP309" s="38">
        <f>IF(OR($C309="01-09",$D309="Male"),"",INDEX(PMTCT!$AD:$AD,MATCH($E309,PMTCT!$E:$E,0)))</f>
        <v>10781</v>
      </c>
      <c r="AQ309" s="38">
        <f>IF(OR($C309="01-09",$D309="Male"),"",INDEX(PMTCT!$AT:$AT,MATCH($E309,PMTCT!$E:$E,0)))</f>
        <v>10706</v>
      </c>
      <c r="AR309" s="38">
        <f>INDEX(TB!$Q:$Q,MATCH($E309,TB!$E:$E,0))</f>
        <v>14</v>
      </c>
      <c r="AS309" s="38" t="str">
        <f>IF(OR($C309="01-09",$C309="10-14",$D309="Female"),"",INDEX(VMMC!$AB:$AB,MATCH($E309,VMMC!$E:$E,0)))</f>
        <v/>
      </c>
      <c r="AT309" s="38">
        <f>IF(OR($C309="01-09",$C309="10-14"),"",INDEX(PrEP!$Q:$Q,MATCH($E309,PrEP!$E:$E,0)))</f>
        <v>0</v>
      </c>
      <c r="AU309" s="38">
        <f t="shared" si="152"/>
        <v>27703</v>
      </c>
      <c r="AV309" s="38">
        <f t="shared" si="153"/>
        <v>28135</v>
      </c>
      <c r="AW309" s="33">
        <f t="shared" si="154"/>
        <v>1.5354540607783899E-2</v>
      </c>
      <c r="AX309" s="38">
        <v>3129</v>
      </c>
      <c r="AY309" s="33">
        <f t="shared" si="163"/>
        <v>0.68</v>
      </c>
      <c r="AZ309" s="218">
        <f t="shared" si="156"/>
        <v>5257</v>
      </c>
      <c r="BA309" s="33">
        <v>0.65</v>
      </c>
      <c r="BB309" s="218">
        <f t="shared" si="157"/>
        <v>281</v>
      </c>
    </row>
    <row r="310" spans="1:54" x14ac:dyDescent="0.2">
      <c r="A310" t="str">
        <f>INDEX(Prioritization!$D:$D,MATCH($B310,Prioritization!$A:$A,0))</f>
        <v>INVALID</v>
      </c>
      <c r="B310" t="s">
        <v>323</v>
      </c>
      <c r="C310" t="s">
        <v>476</v>
      </c>
      <c r="D310" t="s">
        <v>48</v>
      </c>
      <c r="E310" t="str">
        <f t="shared" si="132"/>
        <v>Phalombe District [AZyWpGzhcaA]|25-34|Male</v>
      </c>
      <c r="F310" s="33">
        <f>IF(LEFT($B310,4)="_Mil","",INDEX(Cascade!$AA:$AA,MATCH($E310,Cascade!$E:$E,0)))</f>
        <v>0.93871762599999997</v>
      </c>
      <c r="G310" s="38">
        <f>INDEX(Cascade!$BH:$BH,MATCH($E310,Cascade!$E:$E,0))</f>
        <v>31</v>
      </c>
      <c r="H310" s="38" t="str">
        <f>IF(OR($C310="01-09",$D310="Male"),"",INDEX(PMTCT!$AC:$AC,MATCH($E310,PMTCT!$E:$E,0)))</f>
        <v/>
      </c>
      <c r="I310" s="38" t="str">
        <f>IF(OR($C310="01-09",$D310="Male"),"",INDEX(PMTCT!$AS:$AS,MATCH($E310,PMTCT!$E:$E,0)))</f>
        <v/>
      </c>
      <c r="J310" s="38">
        <f>INDEX(TB!$P:$P,MATCH($E310,TB!$E:$E,0))</f>
        <v>2</v>
      </c>
      <c r="K310" s="38">
        <f>IF(OR($C310="01-09",$C310="10-14",$D310="Female"),"",INDEX(VMMC!$AA:$AA,MATCH($E310,VMMC!$E:$E,0)))</f>
        <v>7</v>
      </c>
      <c r="L310" s="38">
        <f t="shared" si="133"/>
        <v>22</v>
      </c>
      <c r="M310" s="33" t="str">
        <f t="shared" si="134"/>
        <v/>
      </c>
      <c r="N310" s="33" t="str">
        <f t="shared" si="135"/>
        <v/>
      </c>
      <c r="O310" s="33">
        <f t="shared" si="136"/>
        <v>6.4516129032258063E-2</v>
      </c>
      <c r="P310" s="33">
        <f t="shared" si="137"/>
        <v>0.22580645161290322</v>
      </c>
      <c r="Q310" s="33">
        <v>0.296296296296296</v>
      </c>
      <c r="R310" s="33">
        <v>0.02</v>
      </c>
      <c r="S310" s="33"/>
      <c r="T310" s="33">
        <v>0.05</v>
      </c>
      <c r="U310" s="33">
        <f t="shared" si="161"/>
        <v>0.34338112305854263</v>
      </c>
      <c r="V310" s="33">
        <f t="shared" si="138"/>
        <v>1</v>
      </c>
      <c r="W310" s="218">
        <f t="shared" si="139"/>
        <v>9</v>
      </c>
      <c r="X310" s="33">
        <v>0.27700000000000002</v>
      </c>
      <c r="Y310" s="218">
        <f t="shared" si="139"/>
        <v>9</v>
      </c>
      <c r="Z310" s="218">
        <f t="shared" si="140"/>
        <v>23</v>
      </c>
      <c r="AA310" s="33">
        <v>0.12</v>
      </c>
      <c r="AB310" s="218">
        <f t="shared" si="141"/>
        <v>1</v>
      </c>
      <c r="AC310" s="218">
        <f t="shared" si="142"/>
        <v>7</v>
      </c>
      <c r="AD310" s="33">
        <v>0.02</v>
      </c>
      <c r="AE310" s="218" t="str">
        <f t="shared" si="143"/>
        <v/>
      </c>
      <c r="AF310" s="218" t="str">
        <f t="shared" si="144"/>
        <v/>
      </c>
      <c r="AG310" s="33">
        <v>0.02</v>
      </c>
      <c r="AH310" s="218">
        <f t="shared" si="145"/>
        <v>2</v>
      </c>
      <c r="AI310" s="218">
        <f t="shared" si="146"/>
        <v>98</v>
      </c>
      <c r="AJ310" s="33">
        <v>2.5999999999999999E-2</v>
      </c>
      <c r="AK310" s="218">
        <f t="shared" si="147"/>
        <v>11</v>
      </c>
      <c r="AL310" s="218">
        <f t="shared" si="148"/>
        <v>412</v>
      </c>
      <c r="AM310" s="38">
        <f t="shared" si="149"/>
        <v>31</v>
      </c>
      <c r="AN310" s="38">
        <f t="shared" si="150"/>
        <v>32</v>
      </c>
      <c r="AO310" s="38">
        <f t="shared" si="151"/>
        <v>1</v>
      </c>
      <c r="AP310" s="38" t="str">
        <f>IF(OR($C310="01-09",$D310="Male"),"",INDEX(PMTCT!$AD:$AD,MATCH($E310,PMTCT!$E:$E,0)))</f>
        <v/>
      </c>
      <c r="AQ310" s="38" t="str">
        <f>IF(OR($C310="01-09",$D310="Male"),"",INDEX(PMTCT!$AT:$AT,MATCH($E310,PMTCT!$E:$E,0)))</f>
        <v/>
      </c>
      <c r="AR310" s="38">
        <f>INDEX(TB!$Q:$Q,MATCH($E310,TB!$E:$E,0))</f>
        <v>24</v>
      </c>
      <c r="AS310" s="38">
        <f>IF(OR($C310="01-09",$C310="10-14",$D310="Female"),"",INDEX(VMMC!$AB:$AB,MATCH($E310,VMMC!$E:$E,0)))</f>
        <v>1874</v>
      </c>
      <c r="AT310" s="38">
        <f>IF(OR($C310="01-09",$C310="10-14"),"",INDEX(PrEP!$Q:$Q,MATCH($E310,PrEP!$E:$E,0)))</f>
        <v>114</v>
      </c>
      <c r="AU310" s="38">
        <f t="shared" si="152"/>
        <v>2552</v>
      </c>
      <c r="AV310" s="38">
        <f t="shared" si="153"/>
        <v>2584</v>
      </c>
      <c r="AW310" s="33">
        <f t="shared" si="154"/>
        <v>1.238390092879257E-2</v>
      </c>
      <c r="AX310" s="38">
        <v>568</v>
      </c>
      <c r="AY310" s="33">
        <f t="shared" si="163"/>
        <v>0.68</v>
      </c>
      <c r="AZ310" s="218">
        <f t="shared" si="156"/>
        <v>954</v>
      </c>
      <c r="BA310" s="33">
        <v>0.65</v>
      </c>
      <c r="BB310" s="218">
        <f t="shared" si="157"/>
        <v>21</v>
      </c>
    </row>
    <row r="311" spans="1:54" x14ac:dyDescent="0.2">
      <c r="A311" t="str">
        <f>INDEX(Prioritization!$D:$D,MATCH($B311,Prioritization!$A:$A,0))</f>
        <v>INVALID</v>
      </c>
      <c r="B311" t="s">
        <v>323</v>
      </c>
      <c r="C311" t="s">
        <v>477</v>
      </c>
      <c r="D311" t="s">
        <v>30</v>
      </c>
      <c r="E311" t="str">
        <f t="shared" si="132"/>
        <v>Phalombe District [AZyWpGzhcaA]|35-49|Female</v>
      </c>
      <c r="F311" s="33">
        <f>IF(LEFT($B311,4)="_Mil","",INDEX(Cascade!$AA:$AA,MATCH($E311,Cascade!$E:$E,0)))</f>
        <v>0.99220979999999992</v>
      </c>
      <c r="G311" s="38">
        <f>INDEX(Cascade!$BH:$BH,MATCH($E311,Cascade!$E:$E,0))</f>
        <v>215</v>
      </c>
      <c r="H311" s="38">
        <f>IF(OR($C311="01-09",$D311="Male"),"",INDEX(PMTCT!$AC:$AC,MATCH($E311,PMTCT!$E:$E,0)))</f>
        <v>7</v>
      </c>
      <c r="I311" s="38">
        <f>IF(OR($C311="01-09",$D311="Male"),"",INDEX(PMTCT!$AS:$AS,MATCH($E311,PMTCT!$E:$E,0)))</f>
        <v>6</v>
      </c>
      <c r="J311" s="38">
        <f>INDEX(TB!$P:$P,MATCH($E311,TB!$E:$E,0))</f>
        <v>1</v>
      </c>
      <c r="K311" s="38" t="str">
        <f>IF(OR($C311="01-09",$C311="10-14",$D311="Female"),"",INDEX(VMMC!$AA:$AA,MATCH($E311,VMMC!$E:$E,0)))</f>
        <v/>
      </c>
      <c r="L311" s="38">
        <f t="shared" si="133"/>
        <v>201</v>
      </c>
      <c r="M311" s="33">
        <f t="shared" si="134"/>
        <v>3.255813953488372E-2</v>
      </c>
      <c r="N311" s="33">
        <f t="shared" si="135"/>
        <v>2.7906976744186046E-2</v>
      </c>
      <c r="O311" s="33">
        <f t="shared" si="136"/>
        <v>4.6511627906976744E-3</v>
      </c>
      <c r="P311" s="33" t="str">
        <f t="shared" si="137"/>
        <v/>
      </c>
      <c r="Q311" s="33">
        <v>0.28921568627451</v>
      </c>
      <c r="R311" s="33"/>
      <c r="S311" s="33"/>
      <c r="T311" s="33">
        <v>0.05</v>
      </c>
      <c r="U311" s="33">
        <f t="shared" si="161"/>
        <v>0.5956680346557226</v>
      </c>
      <c r="V311" s="33">
        <f t="shared" si="138"/>
        <v>1</v>
      </c>
      <c r="W311" s="218">
        <f t="shared" si="139"/>
        <v>62</v>
      </c>
      <c r="X311" s="33">
        <v>0.4</v>
      </c>
      <c r="Y311" s="218">
        <f t="shared" si="139"/>
        <v>62</v>
      </c>
      <c r="Z311" s="218">
        <f t="shared" si="140"/>
        <v>93</v>
      </c>
      <c r="AA311" s="33">
        <v>0.12</v>
      </c>
      <c r="AB311" s="218" t="str">
        <f t="shared" si="141"/>
        <v/>
      </c>
      <c r="AC311" s="218" t="str">
        <f t="shared" si="142"/>
        <v/>
      </c>
      <c r="AD311" s="33">
        <v>0.02</v>
      </c>
      <c r="AE311" s="218" t="str">
        <f t="shared" si="143"/>
        <v/>
      </c>
      <c r="AF311" s="218" t="str">
        <f t="shared" si="144"/>
        <v/>
      </c>
      <c r="AG311" s="33">
        <v>0.02</v>
      </c>
      <c r="AH311" s="218">
        <f t="shared" si="145"/>
        <v>11</v>
      </c>
      <c r="AI311" s="218">
        <f t="shared" si="146"/>
        <v>539</v>
      </c>
      <c r="AJ311" s="33">
        <v>2.3E-2</v>
      </c>
      <c r="AK311" s="218">
        <f t="shared" si="147"/>
        <v>128</v>
      </c>
      <c r="AL311" s="218">
        <f t="shared" si="148"/>
        <v>5437</v>
      </c>
      <c r="AM311" s="38">
        <f t="shared" si="149"/>
        <v>215</v>
      </c>
      <c r="AN311" s="38">
        <f t="shared" si="150"/>
        <v>215</v>
      </c>
      <c r="AO311" s="38">
        <f t="shared" si="151"/>
        <v>0</v>
      </c>
      <c r="AP311" s="38">
        <f>IF(OR($C311="01-09",$D311="Male"),"",INDEX(PMTCT!$AD:$AD,MATCH($E311,PMTCT!$E:$E,0)))</f>
        <v>621</v>
      </c>
      <c r="AQ311" s="38">
        <f>IF(OR($C311="01-09",$D311="Male"),"",INDEX(PMTCT!$AT:$AT,MATCH($E311,PMTCT!$E:$E,0)))</f>
        <v>615</v>
      </c>
      <c r="AR311" s="38">
        <f>INDEX(TB!$Q:$Q,MATCH($E311,TB!$E:$E,0))</f>
        <v>22</v>
      </c>
      <c r="AS311" s="38" t="str">
        <f>IF(OR($C311="01-09",$C311="10-14",$D311="Female"),"",INDEX(VMMC!$AB:$AB,MATCH($E311,VMMC!$E:$E,0)))</f>
        <v/>
      </c>
      <c r="AT311" s="38">
        <f>IF(OR($C311="01-09",$C311="10-14"),"",INDEX(PrEP!$Q:$Q,MATCH($E311,PrEP!$E:$E,0)))</f>
        <v>0</v>
      </c>
      <c r="AU311" s="38">
        <f t="shared" si="152"/>
        <v>7326.9999999999991</v>
      </c>
      <c r="AV311" s="38">
        <f t="shared" si="153"/>
        <v>7542</v>
      </c>
      <c r="AW311" s="33">
        <f t="shared" si="154"/>
        <v>2.8507027313709892E-2</v>
      </c>
      <c r="AX311" s="38">
        <v>371</v>
      </c>
      <c r="AY311" s="33">
        <f t="shared" si="163"/>
        <v>0.68</v>
      </c>
      <c r="AZ311" s="218">
        <f t="shared" si="156"/>
        <v>623</v>
      </c>
      <c r="BA311" s="33">
        <v>0.65</v>
      </c>
      <c r="BB311" s="218">
        <f t="shared" si="157"/>
        <v>140</v>
      </c>
    </row>
    <row r="312" spans="1:54" x14ac:dyDescent="0.2">
      <c r="A312" t="str">
        <f>INDEX(Prioritization!$D:$D,MATCH($B312,Prioritization!$A:$A,0))</f>
        <v>INVALID</v>
      </c>
      <c r="B312" t="s">
        <v>323</v>
      </c>
      <c r="C312" t="s">
        <v>477</v>
      </c>
      <c r="D312" t="s">
        <v>48</v>
      </c>
      <c r="E312" t="str">
        <f t="shared" si="132"/>
        <v>Phalombe District [AZyWpGzhcaA]|35-49|Male</v>
      </c>
      <c r="F312" s="33">
        <f>IF(LEFT($B312,4)="_Mil","",INDEX(Cascade!$AA:$AA,MATCH($E312,Cascade!$E:$E,0)))</f>
        <v>0.96324561200000014</v>
      </c>
      <c r="G312" s="38">
        <f>INDEX(Cascade!$BH:$BH,MATCH($E312,Cascade!$E:$E,0))</f>
        <v>864</v>
      </c>
      <c r="H312" s="38" t="str">
        <f>IF(OR($C312="01-09",$D312="Male"),"",INDEX(PMTCT!$AC:$AC,MATCH($E312,PMTCT!$E:$E,0)))</f>
        <v/>
      </c>
      <c r="I312" s="38" t="str">
        <f>IF(OR($C312="01-09",$D312="Male"),"",INDEX(PMTCT!$AS:$AS,MATCH($E312,PMTCT!$E:$E,0)))</f>
        <v/>
      </c>
      <c r="J312" s="38">
        <f>INDEX(TB!$P:$P,MATCH($E312,TB!$E:$E,0))</f>
        <v>2</v>
      </c>
      <c r="K312" s="38">
        <f>IF(OR($C312="01-09",$C312="10-14",$D312="Female"),"",INDEX(VMMC!$AA:$AA,MATCH($E312,VMMC!$E:$E,0)))</f>
        <v>8</v>
      </c>
      <c r="L312" s="38">
        <f t="shared" si="133"/>
        <v>854</v>
      </c>
      <c r="M312" s="33" t="str">
        <f t="shared" si="134"/>
        <v/>
      </c>
      <c r="N312" s="33" t="str">
        <f t="shared" si="135"/>
        <v/>
      </c>
      <c r="O312" s="33">
        <f t="shared" si="136"/>
        <v>2.3148148148148147E-3</v>
      </c>
      <c r="P312" s="33">
        <f t="shared" si="137"/>
        <v>9.2592592592592587E-3</v>
      </c>
      <c r="Q312" s="33">
        <v>0.375</v>
      </c>
      <c r="R312" s="33">
        <v>0.02</v>
      </c>
      <c r="S312" s="33"/>
      <c r="T312" s="33">
        <v>0.05</v>
      </c>
      <c r="U312" s="33">
        <f t="shared" si="161"/>
        <v>0.54342592592592598</v>
      </c>
      <c r="V312" s="33">
        <f t="shared" si="138"/>
        <v>1</v>
      </c>
      <c r="W312" s="218">
        <f t="shared" si="139"/>
        <v>324</v>
      </c>
      <c r="X312" s="33">
        <v>0.28999999999999998</v>
      </c>
      <c r="Y312" s="218">
        <f t="shared" si="139"/>
        <v>324</v>
      </c>
      <c r="Z312" s="218">
        <f t="shared" si="140"/>
        <v>793</v>
      </c>
      <c r="AA312" s="33">
        <v>0.12</v>
      </c>
      <c r="AB312" s="218">
        <f t="shared" si="141"/>
        <v>17</v>
      </c>
      <c r="AC312" s="218">
        <f t="shared" si="142"/>
        <v>125</v>
      </c>
      <c r="AD312" s="33">
        <v>0.02</v>
      </c>
      <c r="AE312" s="218" t="str">
        <f t="shared" si="143"/>
        <v/>
      </c>
      <c r="AF312" s="218" t="str">
        <f t="shared" si="144"/>
        <v/>
      </c>
      <c r="AG312" s="33">
        <v>0.02</v>
      </c>
      <c r="AH312" s="218">
        <f t="shared" si="145"/>
        <v>43</v>
      </c>
      <c r="AI312" s="218">
        <f t="shared" si="146"/>
        <v>2107</v>
      </c>
      <c r="AJ312" s="33">
        <v>4.9000000000000002E-2</v>
      </c>
      <c r="AK312" s="218">
        <f t="shared" si="147"/>
        <v>470</v>
      </c>
      <c r="AL312" s="218">
        <f t="shared" si="148"/>
        <v>9122</v>
      </c>
      <c r="AM312" s="38">
        <f t="shared" si="149"/>
        <v>864</v>
      </c>
      <c r="AN312" s="38">
        <f t="shared" si="150"/>
        <v>864</v>
      </c>
      <c r="AO312" s="38">
        <f t="shared" si="151"/>
        <v>0</v>
      </c>
      <c r="AP312" s="38" t="str">
        <f>IF(OR($C312="01-09",$D312="Male"),"",INDEX(PMTCT!$AD:$AD,MATCH($E312,PMTCT!$E:$E,0)))</f>
        <v/>
      </c>
      <c r="AQ312" s="38" t="str">
        <f>IF(OR($C312="01-09",$D312="Male"),"",INDEX(PMTCT!$AT:$AT,MATCH($E312,PMTCT!$E:$E,0)))</f>
        <v/>
      </c>
      <c r="AR312" s="38">
        <f>INDEX(TB!$Q:$Q,MATCH($E312,TB!$E:$E,0))</f>
        <v>36</v>
      </c>
      <c r="AS312" s="38">
        <f>IF(OR($C312="01-09",$C312="10-14",$D312="Female"),"",INDEX(VMMC!$AB:$AB,MATCH($E312,VMMC!$E:$E,0)))</f>
        <v>2334</v>
      </c>
      <c r="AT312" s="38">
        <f>IF(OR($C312="01-09",$C312="10-14"),"",INDEX(PrEP!$Q:$Q,MATCH($E312,PrEP!$E:$E,0)))</f>
        <v>114</v>
      </c>
      <c r="AU312" s="38">
        <f t="shared" si="152"/>
        <v>14631</v>
      </c>
      <c r="AV312" s="38">
        <f t="shared" si="153"/>
        <v>15494.999999999998</v>
      </c>
      <c r="AW312" s="33">
        <f t="shared" si="154"/>
        <v>5.5759922555663123E-2</v>
      </c>
      <c r="AX312" s="38">
        <v>346</v>
      </c>
      <c r="AY312" s="33">
        <f t="shared" si="163"/>
        <v>0.68</v>
      </c>
      <c r="AZ312" s="218">
        <f t="shared" si="156"/>
        <v>581</v>
      </c>
      <c r="BA312" s="33">
        <v>0.65</v>
      </c>
      <c r="BB312" s="218">
        <f t="shared" si="157"/>
        <v>562</v>
      </c>
    </row>
    <row r="313" spans="1:54" x14ac:dyDescent="0.2">
      <c r="A313" t="str">
        <f>INDEX(Prioritization!$D:$D,MATCH($B313,Prioritization!$A:$A,0))</f>
        <v>INVALID</v>
      </c>
      <c r="B313" t="s">
        <v>323</v>
      </c>
      <c r="C313" t="s">
        <v>478</v>
      </c>
      <c r="D313" t="s">
        <v>30</v>
      </c>
      <c r="E313" t="str">
        <f t="shared" si="132"/>
        <v>Phalombe District [AZyWpGzhcaA]|50+|Female</v>
      </c>
      <c r="F313" s="33">
        <f>IF(LEFT($B313,4)="_Mil","",INDEX(Cascade!$AA:$AA,MATCH($E313,Cascade!$E:$E,0)))</f>
        <v>0.99472093100000014</v>
      </c>
      <c r="G313" s="38">
        <f>INDEX(Cascade!$BH:$BH,MATCH($E313,Cascade!$E:$E,0))</f>
        <v>183</v>
      </c>
      <c r="H313" s="38">
        <f>IF(OR($C313="01-09",$D313="Male"),"",INDEX(PMTCT!$AC:$AC,MATCH($E313,PMTCT!$E:$E,0)))</f>
        <v>0</v>
      </c>
      <c r="I313" s="38">
        <f>IF(OR($C313="01-09",$D313="Male"),"",INDEX(PMTCT!$AS:$AS,MATCH($E313,PMTCT!$E:$E,0)))</f>
        <v>0</v>
      </c>
      <c r="J313" s="38">
        <f>INDEX(TB!$P:$P,MATCH($E313,TB!$E:$E,0))</f>
        <v>0</v>
      </c>
      <c r="K313" s="38" t="str">
        <f>IF(OR($C313="01-09",$C313="10-14",$D313="Female"),"",INDEX(VMMC!$AA:$AA,MATCH($E313,VMMC!$E:$E,0)))</f>
        <v/>
      </c>
      <c r="L313" s="38">
        <f t="shared" si="133"/>
        <v>183</v>
      </c>
      <c r="M313" s="33">
        <f t="shared" si="134"/>
        <v>0</v>
      </c>
      <c r="N313" s="33">
        <f t="shared" si="135"/>
        <v>0</v>
      </c>
      <c r="O313" s="33">
        <f t="shared" si="136"/>
        <v>0</v>
      </c>
      <c r="P313" s="33" t="str">
        <f t="shared" si="137"/>
        <v/>
      </c>
      <c r="Q313" s="33">
        <v>0.15</v>
      </c>
      <c r="R313" s="33"/>
      <c r="S313" s="33"/>
      <c r="T313" s="33">
        <v>0.05</v>
      </c>
      <c r="U313" s="33">
        <f t="shared" si="161"/>
        <v>0.8</v>
      </c>
      <c r="V313" s="33">
        <f t="shared" si="138"/>
        <v>1</v>
      </c>
      <c r="W313" s="218">
        <f t="shared" si="139"/>
        <v>27</v>
      </c>
      <c r="X313" s="33">
        <v>6.3E-2</v>
      </c>
      <c r="Y313" s="218">
        <f t="shared" si="139"/>
        <v>27</v>
      </c>
      <c r="Z313" s="218">
        <f t="shared" si="140"/>
        <v>402</v>
      </c>
      <c r="AA313" s="33">
        <v>0.12</v>
      </c>
      <c r="AB313" s="218" t="str">
        <f t="shared" si="141"/>
        <v/>
      </c>
      <c r="AC313" s="218" t="str">
        <f t="shared" si="142"/>
        <v/>
      </c>
      <c r="AD313" s="33">
        <v>0.02</v>
      </c>
      <c r="AE313" s="218" t="str">
        <f t="shared" si="143"/>
        <v/>
      </c>
      <c r="AF313" s="218" t="str">
        <f t="shared" si="144"/>
        <v/>
      </c>
      <c r="AG313" s="33">
        <v>0.02</v>
      </c>
      <c r="AH313" s="218">
        <f t="shared" si="145"/>
        <v>9</v>
      </c>
      <c r="AI313" s="218">
        <f t="shared" si="146"/>
        <v>441</v>
      </c>
      <c r="AJ313" s="33">
        <v>2.5999999999999999E-2</v>
      </c>
      <c r="AK313" s="218">
        <f t="shared" si="147"/>
        <v>146</v>
      </c>
      <c r="AL313" s="218">
        <f t="shared" si="148"/>
        <v>5469</v>
      </c>
      <c r="AM313" s="38">
        <f t="shared" si="149"/>
        <v>183</v>
      </c>
      <c r="AN313" s="38">
        <f t="shared" si="150"/>
        <v>182</v>
      </c>
      <c r="AO313" s="38">
        <f t="shared" si="151"/>
        <v>-1</v>
      </c>
      <c r="AP313" s="38">
        <f>IF(OR($C313="01-09",$D313="Male"),"",INDEX(PMTCT!$AD:$AD,MATCH($E313,PMTCT!$E:$E,0)))</f>
        <v>11</v>
      </c>
      <c r="AQ313" s="38">
        <f>IF(OR($C313="01-09",$D313="Male"),"",INDEX(PMTCT!$AT:$AT,MATCH($E313,PMTCT!$E:$E,0)))</f>
        <v>11</v>
      </c>
      <c r="AR313" s="38">
        <f>INDEX(TB!$Q:$Q,MATCH($E313,TB!$E:$E,0))</f>
        <v>8</v>
      </c>
      <c r="AS313" s="38" t="str">
        <f>IF(OR($C313="01-09",$C313="10-14",$D313="Female"),"",INDEX(VMMC!$AB:$AB,MATCH($E313,VMMC!$E:$E,0)))</f>
        <v/>
      </c>
      <c r="AT313" s="38">
        <f>IF(OR($C313="01-09",$C313="10-14"),"",INDEX(PrEP!$Q:$Q,MATCH($E313,PrEP!$E:$E,0)))</f>
        <v>0</v>
      </c>
      <c r="AU313" s="38">
        <f t="shared" si="152"/>
        <v>6342</v>
      </c>
      <c r="AV313" s="38">
        <f t="shared" si="153"/>
        <v>6524</v>
      </c>
      <c r="AW313" s="33">
        <f t="shared" si="154"/>
        <v>2.7896995708154508E-2</v>
      </c>
      <c r="AX313" s="38">
        <v>297</v>
      </c>
      <c r="AY313" s="33">
        <f t="shared" si="158"/>
        <v>0</v>
      </c>
      <c r="AZ313" s="218">
        <f t="shared" si="156"/>
        <v>297</v>
      </c>
      <c r="BA313" s="33">
        <v>0.65</v>
      </c>
      <c r="BB313" s="218">
        <f t="shared" si="157"/>
        <v>118</v>
      </c>
    </row>
    <row r="314" spans="1:54" x14ac:dyDescent="0.2">
      <c r="A314" t="str">
        <f>INDEX(Prioritization!$D:$D,MATCH($B314,Prioritization!$A:$A,0))</f>
        <v>INVALID</v>
      </c>
      <c r="B314" t="s">
        <v>323</v>
      </c>
      <c r="C314" t="s">
        <v>478</v>
      </c>
      <c r="D314" t="s">
        <v>48</v>
      </c>
      <c r="E314" t="str">
        <f t="shared" si="132"/>
        <v>Phalombe District [AZyWpGzhcaA]|50+|Male</v>
      </c>
      <c r="F314" s="33">
        <f>IF(LEFT($B314,4)="_Mil","",INDEX(Cascade!$AA:$AA,MATCH($E314,Cascade!$E:$E,0)))</f>
        <v>0.97539912299999998</v>
      </c>
      <c r="G314" s="38">
        <f>INDEX(Cascade!$BH:$BH,MATCH($E314,Cascade!$E:$E,0))</f>
        <v>100</v>
      </c>
      <c r="H314" s="38" t="str">
        <f>IF(OR($C314="01-09",$D314="Male"),"",INDEX(PMTCT!$AC:$AC,MATCH($E314,PMTCT!$E:$E,0)))</f>
        <v/>
      </c>
      <c r="I314" s="38" t="str">
        <f>IF(OR($C314="01-09",$D314="Male"),"",INDEX(PMTCT!$AS:$AS,MATCH($E314,PMTCT!$E:$E,0)))</f>
        <v/>
      </c>
      <c r="J314" s="38">
        <f>INDEX(TB!$P:$P,MATCH($E314,TB!$E:$E,0))</f>
        <v>1</v>
      </c>
      <c r="K314" s="38" t="str">
        <f>IF(OR($C314="01-09",$C314="10-14",$D314="Female"),"",INDEX(VMMC!$AA:$AA,MATCH($E314,VMMC!$E:$E,0)))</f>
        <v/>
      </c>
      <c r="L314" s="38">
        <f t="shared" si="133"/>
        <v>99</v>
      </c>
      <c r="M314" s="33" t="str">
        <f t="shared" si="134"/>
        <v/>
      </c>
      <c r="N314" s="33" t="str">
        <f t="shared" si="135"/>
        <v/>
      </c>
      <c r="O314" s="33">
        <f t="shared" si="136"/>
        <v>0.01</v>
      </c>
      <c r="P314" s="33">
        <f t="shared" si="137"/>
        <v>0</v>
      </c>
      <c r="Q314" s="33">
        <v>0.15</v>
      </c>
      <c r="R314" s="33"/>
      <c r="S314" s="33"/>
      <c r="T314" s="33">
        <v>0.05</v>
      </c>
      <c r="U314" s="33">
        <f t="shared" si="161"/>
        <v>0.79</v>
      </c>
      <c r="V314" s="33">
        <f t="shared" si="138"/>
        <v>1</v>
      </c>
      <c r="W314" s="218">
        <f t="shared" si="139"/>
        <v>15</v>
      </c>
      <c r="X314" s="33">
        <v>3.3000000000000002E-2</v>
      </c>
      <c r="Y314" s="218">
        <f t="shared" si="139"/>
        <v>15</v>
      </c>
      <c r="Z314" s="218">
        <f t="shared" si="140"/>
        <v>440</v>
      </c>
      <c r="AA314" s="33">
        <v>0.12</v>
      </c>
      <c r="AB314" s="218" t="str">
        <f t="shared" si="141"/>
        <v/>
      </c>
      <c r="AC314" s="218" t="str">
        <f t="shared" si="142"/>
        <v/>
      </c>
      <c r="AD314" s="33">
        <v>0.02</v>
      </c>
      <c r="AE314" s="218" t="str">
        <f t="shared" si="143"/>
        <v/>
      </c>
      <c r="AF314" s="218" t="str">
        <f t="shared" si="144"/>
        <v/>
      </c>
      <c r="AG314" s="33">
        <v>0.02</v>
      </c>
      <c r="AH314" s="218">
        <f t="shared" si="145"/>
        <v>5</v>
      </c>
      <c r="AI314" s="218">
        <f t="shared" si="146"/>
        <v>245</v>
      </c>
      <c r="AJ314" s="33">
        <v>3.4000000000000002E-2</v>
      </c>
      <c r="AK314" s="218">
        <f t="shared" si="147"/>
        <v>79</v>
      </c>
      <c r="AL314" s="218">
        <f t="shared" si="148"/>
        <v>2245</v>
      </c>
      <c r="AM314" s="38">
        <f t="shared" si="149"/>
        <v>100</v>
      </c>
      <c r="AN314" s="38">
        <f t="shared" si="150"/>
        <v>100</v>
      </c>
      <c r="AO314" s="38">
        <f t="shared" si="151"/>
        <v>0</v>
      </c>
      <c r="AP314" s="38" t="str">
        <f>IF(OR($C314="01-09",$D314="Male"),"",INDEX(PMTCT!$AD:$AD,MATCH($E314,PMTCT!$E:$E,0)))</f>
        <v/>
      </c>
      <c r="AQ314" s="38" t="str">
        <f>IF(OR($C314="01-09",$D314="Male"),"",INDEX(PMTCT!$AT:$AT,MATCH($E314,PMTCT!$E:$E,0)))</f>
        <v/>
      </c>
      <c r="AR314" s="38">
        <f>INDEX(TB!$Q:$Q,MATCH($E314,TB!$E:$E,0))</f>
        <v>13</v>
      </c>
      <c r="AS314" s="38" t="str">
        <f>IF(OR($C314="01-09",$C314="10-14",$D314="Female"),"",INDEX(VMMC!$AB:$AB,MATCH($E314,VMMC!$E:$E,0)))</f>
        <v/>
      </c>
      <c r="AT314" s="38">
        <f>IF(OR($C314="01-09",$C314="10-14"),"",INDEX(PrEP!$Q:$Q,MATCH($E314,PrEP!$E:$E,0)))</f>
        <v>66</v>
      </c>
      <c r="AU314" s="38">
        <f t="shared" si="152"/>
        <v>3009.0000000000005</v>
      </c>
      <c r="AV314" s="38">
        <f t="shared" si="153"/>
        <v>3109.0000000000005</v>
      </c>
      <c r="AW314" s="33">
        <f t="shared" si="154"/>
        <v>3.216468317787069E-2</v>
      </c>
      <c r="AX314" s="38">
        <v>342</v>
      </c>
      <c r="AY314" s="33">
        <f t="shared" si="158"/>
        <v>0</v>
      </c>
      <c r="AZ314" s="218">
        <f t="shared" si="156"/>
        <v>342</v>
      </c>
      <c r="BA314" s="33">
        <v>0.65</v>
      </c>
      <c r="BB314" s="218">
        <f t="shared" si="157"/>
        <v>65</v>
      </c>
    </row>
    <row r="315" spans="1:54" x14ac:dyDescent="0.2">
      <c r="A315" t="str">
        <f>INDEX(Prioritization!$D:$D,MATCH($B315,Prioritization!$A:$A,0))</f>
        <v>4 - Sustained</v>
      </c>
      <c r="B315" t="s">
        <v>312</v>
      </c>
      <c r="C315" t="s">
        <v>473</v>
      </c>
      <c r="D315" t="s">
        <v>30</v>
      </c>
      <c r="E315" t="str">
        <f t="shared" si="132"/>
        <v>Rumphi District [lPTyjLi4w3d]|01-09|Female</v>
      </c>
      <c r="F315" s="33">
        <f>IF(LEFT($B315,4)="_Mil","",INDEX(Cascade!$AA:$AA,MATCH($E315,Cascade!$E:$E,0)))</f>
        <v>0.70896089900000003</v>
      </c>
      <c r="G315" s="38">
        <f>INDEX(Cascade!$BH:$BH,MATCH($E315,Cascade!$E:$E,0))</f>
        <v>1</v>
      </c>
      <c r="H315" s="38" t="str">
        <f>IF(OR($C315="01-09",$D315="Male"),"",INDEX(PMTCT!$AC:$AC,MATCH($E315,PMTCT!$E:$E,0)))</f>
        <v/>
      </c>
      <c r="I315" s="38" t="str">
        <f>IF(OR($C315="01-09",$D315="Male"),"",INDEX(PMTCT!$AS:$AS,MATCH($E315,PMTCT!$E:$E,0)))</f>
        <v/>
      </c>
      <c r="J315" s="38">
        <f>INDEX(TB!$P:$P,MATCH($E315,TB!$E:$E,0))</f>
        <v>0</v>
      </c>
      <c r="K315" s="38" t="str">
        <f>IF(OR($C315="01-09",$C315="10-14",$D315="Female"),"",INDEX(VMMC!$AA:$AA,MATCH($E315,VMMC!$E:$E,0)))</f>
        <v/>
      </c>
      <c r="L315" s="38">
        <f t="shared" si="133"/>
        <v>1</v>
      </c>
      <c r="M315" s="33" t="str">
        <f t="shared" si="134"/>
        <v/>
      </c>
      <c r="N315" s="33" t="str">
        <f t="shared" si="135"/>
        <v/>
      </c>
      <c r="O315" s="33">
        <f t="shared" si="136"/>
        <v>0</v>
      </c>
      <c r="P315" s="33" t="str">
        <f t="shared" si="137"/>
        <v/>
      </c>
      <c r="Q315" s="33">
        <v>0.5</v>
      </c>
      <c r="R315" s="33"/>
      <c r="S315" s="33"/>
      <c r="T315" s="33"/>
      <c r="U315" s="33">
        <f t="shared" si="161"/>
        <v>0.5</v>
      </c>
      <c r="V315" s="33">
        <f t="shared" si="138"/>
        <v>1</v>
      </c>
      <c r="W315" s="218">
        <f t="shared" si="139"/>
        <v>1</v>
      </c>
      <c r="X315" s="33">
        <v>3.3000000000000002E-2</v>
      </c>
      <c r="Y315" s="218">
        <f t="shared" si="139"/>
        <v>1</v>
      </c>
      <c r="Z315" s="218">
        <f t="shared" si="140"/>
        <v>29</v>
      </c>
      <c r="AA315" s="33">
        <v>0.12</v>
      </c>
      <c r="AB315" s="218" t="str">
        <f t="shared" si="141"/>
        <v/>
      </c>
      <c r="AC315" s="218" t="str">
        <f t="shared" si="142"/>
        <v/>
      </c>
      <c r="AD315" s="33">
        <v>0.02</v>
      </c>
      <c r="AE315" s="218" t="str">
        <f t="shared" si="143"/>
        <v/>
      </c>
      <c r="AF315" s="218" t="str">
        <f t="shared" si="144"/>
        <v/>
      </c>
      <c r="AG315" s="33">
        <v>0.02</v>
      </c>
      <c r="AH315" s="218" t="str">
        <f t="shared" si="145"/>
        <v/>
      </c>
      <c r="AI315" s="218" t="str">
        <f t="shared" si="146"/>
        <v/>
      </c>
      <c r="AJ315" s="33">
        <v>2.3E-2</v>
      </c>
      <c r="AK315" s="218">
        <f t="shared" si="147"/>
        <v>1</v>
      </c>
      <c r="AL315" s="218">
        <f t="shared" si="148"/>
        <v>42</v>
      </c>
      <c r="AM315" s="38">
        <f t="shared" si="149"/>
        <v>1</v>
      </c>
      <c r="AN315" s="38">
        <f t="shared" si="150"/>
        <v>2</v>
      </c>
      <c r="AO315" s="38">
        <f t="shared" si="151"/>
        <v>1</v>
      </c>
      <c r="AP315" s="38" t="str">
        <f>IF(OR($C315="01-09",$D315="Male"),"",INDEX(PMTCT!$AD:$AD,MATCH($E315,PMTCT!$E:$E,0)))</f>
        <v/>
      </c>
      <c r="AQ315" s="38" t="str">
        <f>IF(OR($C315="01-09",$D315="Male"),"",INDEX(PMTCT!$AT:$AT,MATCH($E315,PMTCT!$E:$E,0)))</f>
        <v/>
      </c>
      <c r="AR315" s="38">
        <f>INDEX(TB!$Q:$Q,MATCH($E315,TB!$E:$E,0))</f>
        <v>3</v>
      </c>
      <c r="AS315" s="38" t="str">
        <f>IF(OR($C315="01-09",$C315="10-14",$D315="Female"),"",INDEX(VMMC!$AB:$AB,MATCH($E315,VMMC!$E:$E,0)))</f>
        <v/>
      </c>
      <c r="AT315" s="38" t="str">
        <f>IF(OR($C315="01-09",$C315="10-14"),"",INDEX(PrEP!$Q:$Q,MATCH($E315,PrEP!$E:$E,0)))</f>
        <v/>
      </c>
      <c r="AU315" s="38">
        <f t="shared" si="152"/>
        <v>74</v>
      </c>
      <c r="AV315" s="38">
        <f t="shared" si="153"/>
        <v>76</v>
      </c>
      <c r="AW315" s="33">
        <f t="shared" si="154"/>
        <v>2.6315789473684209E-2</v>
      </c>
      <c r="AX315" s="38"/>
      <c r="AY315" s="33" t="str">
        <f t="shared" si="158"/>
        <v/>
      </c>
      <c r="AZ315" s="218" t="str">
        <f t="shared" si="156"/>
        <v/>
      </c>
      <c r="BA315" s="33" t="str">
        <f t="shared" si="159"/>
        <v/>
      </c>
      <c r="BB315" s="218" t="str">
        <f t="shared" si="157"/>
        <v/>
      </c>
    </row>
    <row r="316" spans="1:54" x14ac:dyDescent="0.2">
      <c r="A316" t="str">
        <f>INDEX(Prioritization!$D:$D,MATCH($B316,Prioritization!$A:$A,0))</f>
        <v>4 - Sustained</v>
      </c>
      <c r="B316" t="s">
        <v>312</v>
      </c>
      <c r="C316" t="s">
        <v>473</v>
      </c>
      <c r="D316" t="s">
        <v>48</v>
      </c>
      <c r="E316" t="str">
        <f t="shared" si="132"/>
        <v>Rumphi District [lPTyjLi4w3d]|01-09|Male</v>
      </c>
      <c r="F316" s="33">
        <f>IF(LEFT($B316,4)="_Mil","",INDEX(Cascade!$AA:$AA,MATCH($E316,Cascade!$E:$E,0)))</f>
        <v>0.70863553899999998</v>
      </c>
      <c r="G316" s="38">
        <f>INDEX(Cascade!$BH:$BH,MATCH($E316,Cascade!$E:$E,0))</f>
        <v>1</v>
      </c>
      <c r="H316" s="38" t="str">
        <f>IF(OR($C316="01-09",$D316="Male"),"",INDEX(PMTCT!$AC:$AC,MATCH($E316,PMTCT!$E:$E,0)))</f>
        <v/>
      </c>
      <c r="I316" s="38" t="str">
        <f>IF(OR($C316="01-09",$D316="Male"),"",INDEX(PMTCT!$AS:$AS,MATCH($E316,PMTCT!$E:$E,0)))</f>
        <v/>
      </c>
      <c r="J316" s="38">
        <f>INDEX(TB!$P:$P,MATCH($E316,TB!$E:$E,0))</f>
        <v>0</v>
      </c>
      <c r="K316" s="38" t="str">
        <f>IF(OR($C316="01-09",$C316="10-14",$D316="Female"),"",INDEX(VMMC!$AA:$AA,MATCH($E316,VMMC!$E:$E,0)))</f>
        <v/>
      </c>
      <c r="L316" s="38">
        <f t="shared" si="133"/>
        <v>1</v>
      </c>
      <c r="M316" s="33" t="str">
        <f t="shared" si="134"/>
        <v/>
      </c>
      <c r="N316" s="33" t="str">
        <f t="shared" si="135"/>
        <v/>
      </c>
      <c r="O316" s="33">
        <f t="shared" si="136"/>
        <v>0</v>
      </c>
      <c r="P316" s="33" t="str">
        <f t="shared" si="137"/>
        <v/>
      </c>
      <c r="Q316" s="33">
        <v>0.5</v>
      </c>
      <c r="R316" s="33"/>
      <c r="S316" s="33"/>
      <c r="T316" s="33"/>
      <c r="U316" s="33">
        <f t="shared" si="161"/>
        <v>0.5</v>
      </c>
      <c r="V316" s="33">
        <f t="shared" si="138"/>
        <v>1</v>
      </c>
      <c r="W316" s="218">
        <f t="shared" si="139"/>
        <v>1</v>
      </c>
      <c r="X316" s="33">
        <v>3.5999999999999997E-2</v>
      </c>
      <c r="Y316" s="218">
        <f t="shared" si="139"/>
        <v>1</v>
      </c>
      <c r="Z316" s="218">
        <f t="shared" si="140"/>
        <v>27</v>
      </c>
      <c r="AA316" s="33">
        <v>0.12</v>
      </c>
      <c r="AB316" s="218" t="str">
        <f t="shared" si="141"/>
        <v/>
      </c>
      <c r="AC316" s="218" t="str">
        <f t="shared" si="142"/>
        <v/>
      </c>
      <c r="AD316" s="33">
        <v>0.02</v>
      </c>
      <c r="AE316" s="218" t="str">
        <f t="shared" si="143"/>
        <v/>
      </c>
      <c r="AF316" s="218" t="str">
        <f t="shared" si="144"/>
        <v/>
      </c>
      <c r="AG316" s="33">
        <v>0.02</v>
      </c>
      <c r="AH316" s="218" t="str">
        <f t="shared" si="145"/>
        <v/>
      </c>
      <c r="AI316" s="218" t="str">
        <f t="shared" si="146"/>
        <v/>
      </c>
      <c r="AJ316" s="33">
        <v>2.3E-2</v>
      </c>
      <c r="AK316" s="218">
        <f t="shared" si="147"/>
        <v>1</v>
      </c>
      <c r="AL316" s="218">
        <f t="shared" si="148"/>
        <v>42</v>
      </c>
      <c r="AM316" s="38">
        <f t="shared" si="149"/>
        <v>1</v>
      </c>
      <c r="AN316" s="38">
        <f t="shared" si="150"/>
        <v>2</v>
      </c>
      <c r="AO316" s="38">
        <f t="shared" si="151"/>
        <v>1</v>
      </c>
      <c r="AP316" s="38" t="str">
        <f>IF(OR($C316="01-09",$D316="Male"),"",INDEX(PMTCT!$AD:$AD,MATCH($E316,PMTCT!$E:$E,0)))</f>
        <v/>
      </c>
      <c r="AQ316" s="38" t="str">
        <f>IF(OR($C316="01-09",$D316="Male"),"",INDEX(PMTCT!$AT:$AT,MATCH($E316,PMTCT!$E:$E,0)))</f>
        <v/>
      </c>
      <c r="AR316" s="38">
        <f>INDEX(TB!$Q:$Q,MATCH($E316,TB!$E:$E,0))</f>
        <v>3</v>
      </c>
      <c r="AS316" s="38" t="str">
        <f>IF(OR($C316="01-09",$C316="10-14",$D316="Female"),"",INDEX(VMMC!$AB:$AB,MATCH($E316,VMMC!$E:$E,0)))</f>
        <v/>
      </c>
      <c r="AT316" s="38" t="str">
        <f>IF(OR($C316="01-09",$C316="10-14"),"",INDEX(PrEP!$Q:$Q,MATCH($E316,PrEP!$E:$E,0)))</f>
        <v/>
      </c>
      <c r="AU316" s="38">
        <f t="shared" si="152"/>
        <v>72</v>
      </c>
      <c r="AV316" s="38">
        <f t="shared" si="153"/>
        <v>74</v>
      </c>
      <c r="AW316" s="33">
        <f t="shared" si="154"/>
        <v>2.7027027027027029E-2</v>
      </c>
      <c r="AX316" s="38"/>
      <c r="AY316" s="33" t="str">
        <f t="shared" si="158"/>
        <v/>
      </c>
      <c r="AZ316" s="218" t="str">
        <f t="shared" si="156"/>
        <v/>
      </c>
      <c r="BA316" s="33" t="str">
        <f t="shared" si="159"/>
        <v/>
      </c>
      <c r="BB316" s="218" t="str">
        <f t="shared" si="157"/>
        <v/>
      </c>
    </row>
    <row r="317" spans="1:54" x14ac:dyDescent="0.2">
      <c r="A317" t="str">
        <f>INDEX(Prioritization!$D:$D,MATCH($B317,Prioritization!$A:$A,0))</f>
        <v>4 - Sustained</v>
      </c>
      <c r="B317" t="s">
        <v>312</v>
      </c>
      <c r="C317" t="s">
        <v>474</v>
      </c>
      <c r="D317" t="s">
        <v>30</v>
      </c>
      <c r="E317" t="str">
        <f t="shared" si="132"/>
        <v>Rumphi District [lPTyjLi4w3d]|10-14|Female</v>
      </c>
      <c r="F317" s="33">
        <f>IF(LEFT($B317,4)="_Mil","",INDEX(Cascade!$AA:$AA,MATCH($E317,Cascade!$E:$E,0)))</f>
        <v>0.74536502100000002</v>
      </c>
      <c r="G317" s="38">
        <f>INDEX(Cascade!$BH:$BH,MATCH($E317,Cascade!$E:$E,0))</f>
        <v>9</v>
      </c>
      <c r="H317" s="38">
        <f>IF(OR($C317="01-09",$D317="Male"),"",INDEX(PMTCT!$AC:$AC,MATCH($E317,PMTCT!$E:$E,0)))</f>
        <v>0</v>
      </c>
      <c r="I317" s="38">
        <f>IF(OR($C317="01-09",$D317="Male"),"",INDEX(PMTCT!$AS:$AS,MATCH($E317,PMTCT!$E:$E,0)))</f>
        <v>0</v>
      </c>
      <c r="J317" s="38">
        <f>INDEX(TB!$P:$P,MATCH($E317,TB!$E:$E,0))</f>
        <v>0</v>
      </c>
      <c r="K317" s="38" t="str">
        <f>IF(OR($C317="01-09",$C317="10-14",$D317="Female"),"",INDEX(VMMC!$AA:$AA,MATCH($E317,VMMC!$E:$E,0)))</f>
        <v/>
      </c>
      <c r="L317" s="38">
        <f t="shared" si="133"/>
        <v>9</v>
      </c>
      <c r="M317" s="33">
        <f t="shared" si="134"/>
        <v>0</v>
      </c>
      <c r="N317" s="33">
        <f t="shared" si="135"/>
        <v>0</v>
      </c>
      <c r="O317" s="33">
        <f t="shared" si="136"/>
        <v>0</v>
      </c>
      <c r="P317" s="33" t="str">
        <f t="shared" si="137"/>
        <v/>
      </c>
      <c r="Q317" s="33">
        <v>0.41666666666666702</v>
      </c>
      <c r="R317" s="33"/>
      <c r="S317" s="33"/>
      <c r="T317" s="33"/>
      <c r="U317" s="33">
        <f t="shared" si="161"/>
        <v>0.58333333333333304</v>
      </c>
      <c r="V317" s="33">
        <f t="shared" si="138"/>
        <v>1</v>
      </c>
      <c r="W317" s="218">
        <f t="shared" si="139"/>
        <v>4</v>
      </c>
      <c r="X317" s="33">
        <v>3.6999999999999998E-2</v>
      </c>
      <c r="Y317" s="218">
        <f t="shared" si="139"/>
        <v>4</v>
      </c>
      <c r="Z317" s="218">
        <f t="shared" si="140"/>
        <v>104</v>
      </c>
      <c r="AA317" s="33">
        <v>0.12</v>
      </c>
      <c r="AB317" s="218" t="str">
        <f t="shared" si="141"/>
        <v/>
      </c>
      <c r="AC317" s="218" t="str">
        <f t="shared" si="142"/>
        <v/>
      </c>
      <c r="AD317" s="33">
        <v>0.02</v>
      </c>
      <c r="AE317" s="218" t="str">
        <f t="shared" si="143"/>
        <v/>
      </c>
      <c r="AF317" s="218" t="str">
        <f t="shared" si="144"/>
        <v/>
      </c>
      <c r="AG317" s="33">
        <v>0.02</v>
      </c>
      <c r="AH317" s="218" t="str">
        <f t="shared" si="145"/>
        <v/>
      </c>
      <c r="AI317" s="218" t="str">
        <f t="shared" si="146"/>
        <v/>
      </c>
      <c r="AJ317" s="33">
        <v>1.2E-2</v>
      </c>
      <c r="AK317" s="218">
        <f t="shared" si="147"/>
        <v>5</v>
      </c>
      <c r="AL317" s="218">
        <f t="shared" si="148"/>
        <v>412</v>
      </c>
      <c r="AM317" s="38">
        <f t="shared" si="149"/>
        <v>9</v>
      </c>
      <c r="AN317" s="38">
        <f t="shared" si="150"/>
        <v>9</v>
      </c>
      <c r="AO317" s="38">
        <f t="shared" si="151"/>
        <v>0</v>
      </c>
      <c r="AP317" s="38">
        <f>IF(OR($C317="01-09",$D317="Male"),"",INDEX(PMTCT!$AD:$AD,MATCH($E317,PMTCT!$E:$E,0)))</f>
        <v>18</v>
      </c>
      <c r="AQ317" s="38">
        <f>IF(OR($C317="01-09",$D317="Male"),"",INDEX(PMTCT!$AT:$AT,MATCH($E317,PMTCT!$E:$E,0)))</f>
        <v>18</v>
      </c>
      <c r="AR317" s="38">
        <f>INDEX(TB!$Q:$Q,MATCH($E317,TB!$E:$E,0))</f>
        <v>2</v>
      </c>
      <c r="AS317" s="38" t="str">
        <f>IF(OR($C317="01-09",$C317="10-14",$D317="Female"),"",INDEX(VMMC!$AB:$AB,MATCH($E317,VMMC!$E:$E,0)))</f>
        <v/>
      </c>
      <c r="AT317" s="38" t="str">
        <f>IF(OR($C317="01-09",$C317="10-14"),"",INDEX(PrEP!$Q:$Q,MATCH($E317,PrEP!$E:$E,0)))</f>
        <v/>
      </c>
      <c r="AU317" s="38">
        <f t="shared" si="152"/>
        <v>554</v>
      </c>
      <c r="AV317" s="38">
        <f t="shared" si="153"/>
        <v>563</v>
      </c>
      <c r="AW317" s="33">
        <f t="shared" si="154"/>
        <v>1.5985790408525755E-2</v>
      </c>
      <c r="AX317" s="38"/>
      <c r="AY317" s="33" t="str">
        <f t="shared" si="158"/>
        <v/>
      </c>
      <c r="AZ317" s="218" t="str">
        <f t="shared" si="156"/>
        <v/>
      </c>
      <c r="BA317" s="33" t="str">
        <f t="shared" si="159"/>
        <v/>
      </c>
      <c r="BB317" s="218" t="str">
        <f t="shared" si="157"/>
        <v/>
      </c>
    </row>
    <row r="318" spans="1:54" x14ac:dyDescent="0.2">
      <c r="A318" t="str">
        <f>INDEX(Prioritization!$D:$D,MATCH($B318,Prioritization!$A:$A,0))</f>
        <v>4 - Sustained</v>
      </c>
      <c r="B318" t="s">
        <v>312</v>
      </c>
      <c r="C318" t="s">
        <v>474</v>
      </c>
      <c r="D318" t="s">
        <v>48</v>
      </c>
      <c r="E318" t="str">
        <f t="shared" si="132"/>
        <v>Rumphi District [lPTyjLi4w3d]|10-14|Male</v>
      </c>
      <c r="F318" s="33">
        <f>IF(LEFT($B318,4)="_Mil","",INDEX(Cascade!$AA:$AA,MATCH($E318,Cascade!$E:$E,0)))</f>
        <v>0.74479041499999987</v>
      </c>
      <c r="G318" s="38">
        <f>INDEX(Cascade!$BH:$BH,MATCH($E318,Cascade!$E:$E,0))</f>
        <v>2</v>
      </c>
      <c r="H318" s="38" t="str">
        <f>IF(OR($C318="01-09",$D318="Male"),"",INDEX(PMTCT!$AC:$AC,MATCH($E318,PMTCT!$E:$E,0)))</f>
        <v/>
      </c>
      <c r="I318" s="38" t="str">
        <f>IF(OR($C318="01-09",$D318="Male"),"",INDEX(PMTCT!$AS:$AS,MATCH($E318,PMTCT!$E:$E,0)))</f>
        <v/>
      </c>
      <c r="J318" s="38">
        <f>INDEX(TB!$P:$P,MATCH($E318,TB!$E:$E,0))</f>
        <v>0</v>
      </c>
      <c r="K318" s="38" t="str">
        <f>IF(OR($C318="01-09",$C318="10-14",$D318="Female"),"",INDEX(VMMC!$AA:$AA,MATCH($E318,VMMC!$E:$E,0)))</f>
        <v/>
      </c>
      <c r="L318" s="38">
        <f t="shared" si="133"/>
        <v>2</v>
      </c>
      <c r="M318" s="33" t="str">
        <f t="shared" si="134"/>
        <v/>
      </c>
      <c r="N318" s="33" t="str">
        <f t="shared" si="135"/>
        <v/>
      </c>
      <c r="O318" s="33">
        <f t="shared" si="136"/>
        <v>0</v>
      </c>
      <c r="P318" s="33" t="str">
        <f t="shared" si="137"/>
        <v/>
      </c>
      <c r="Q318" s="33">
        <v>0.53846153846153799</v>
      </c>
      <c r="R318" s="33"/>
      <c r="S318" s="33"/>
      <c r="T318" s="33"/>
      <c r="U318" s="33">
        <f t="shared" si="161"/>
        <v>0.46153846153846201</v>
      </c>
      <c r="V318" s="33">
        <f t="shared" si="138"/>
        <v>1</v>
      </c>
      <c r="W318" s="218">
        <f t="shared" si="139"/>
        <v>1</v>
      </c>
      <c r="X318" s="33">
        <v>5.2999999999999999E-2</v>
      </c>
      <c r="Y318" s="218">
        <f t="shared" si="139"/>
        <v>1</v>
      </c>
      <c r="Z318" s="218">
        <f t="shared" si="140"/>
        <v>18</v>
      </c>
      <c r="AA318" s="33">
        <v>0.12</v>
      </c>
      <c r="AB318" s="218" t="str">
        <f t="shared" si="141"/>
        <v/>
      </c>
      <c r="AC318" s="218" t="str">
        <f t="shared" si="142"/>
        <v/>
      </c>
      <c r="AD318" s="33">
        <v>0.02</v>
      </c>
      <c r="AE318" s="218" t="str">
        <f t="shared" si="143"/>
        <v/>
      </c>
      <c r="AF318" s="218" t="str">
        <f t="shared" si="144"/>
        <v/>
      </c>
      <c r="AG318" s="33">
        <v>0.02</v>
      </c>
      <c r="AH318" s="218" t="str">
        <f t="shared" si="145"/>
        <v/>
      </c>
      <c r="AI318" s="218" t="str">
        <f t="shared" si="146"/>
        <v/>
      </c>
      <c r="AJ318" s="33">
        <v>1.2E-2</v>
      </c>
      <c r="AK318" s="218">
        <f t="shared" si="147"/>
        <v>1</v>
      </c>
      <c r="AL318" s="218">
        <f t="shared" si="148"/>
        <v>82</v>
      </c>
      <c r="AM318" s="38">
        <f t="shared" si="149"/>
        <v>2</v>
      </c>
      <c r="AN318" s="38">
        <f t="shared" si="150"/>
        <v>2</v>
      </c>
      <c r="AO318" s="38">
        <f t="shared" si="151"/>
        <v>0</v>
      </c>
      <c r="AP318" s="38" t="str">
        <f>IF(OR($C318="01-09",$D318="Male"),"",INDEX(PMTCT!$AD:$AD,MATCH($E318,PMTCT!$E:$E,0)))</f>
        <v/>
      </c>
      <c r="AQ318" s="38" t="str">
        <f>IF(OR($C318="01-09",$D318="Male"),"",INDEX(PMTCT!$AT:$AT,MATCH($E318,PMTCT!$E:$E,0)))</f>
        <v/>
      </c>
      <c r="AR318" s="38">
        <f>INDEX(TB!$Q:$Q,MATCH($E318,TB!$E:$E,0))</f>
        <v>2</v>
      </c>
      <c r="AS318" s="38" t="str">
        <f>IF(OR($C318="01-09",$C318="10-14",$D318="Female"),"",INDEX(VMMC!$AB:$AB,MATCH($E318,VMMC!$E:$E,0)))</f>
        <v/>
      </c>
      <c r="AT318" s="38" t="str">
        <f>IF(OR($C318="01-09",$C318="10-14"),"",INDEX(PrEP!$Q:$Q,MATCH($E318,PrEP!$E:$E,0)))</f>
        <v/>
      </c>
      <c r="AU318" s="38">
        <f t="shared" si="152"/>
        <v>102</v>
      </c>
      <c r="AV318" s="38">
        <f t="shared" si="153"/>
        <v>104</v>
      </c>
      <c r="AW318" s="33">
        <f t="shared" si="154"/>
        <v>1.9230769230769232E-2</v>
      </c>
      <c r="AX318" s="38"/>
      <c r="AY318" s="33" t="str">
        <f t="shared" si="158"/>
        <v/>
      </c>
      <c r="AZ318" s="218" t="str">
        <f t="shared" si="156"/>
        <v/>
      </c>
      <c r="BA318" s="33" t="str">
        <f t="shared" si="159"/>
        <v/>
      </c>
      <c r="BB318" s="218" t="str">
        <f t="shared" si="157"/>
        <v/>
      </c>
    </row>
    <row r="319" spans="1:54" x14ac:dyDescent="0.2">
      <c r="A319" t="str">
        <f>INDEX(Prioritization!$D:$D,MATCH($B319,Prioritization!$A:$A,0))</f>
        <v>4 - Sustained</v>
      </c>
      <c r="B319" t="s">
        <v>312</v>
      </c>
      <c r="C319" t="s">
        <v>475</v>
      </c>
      <c r="D319" t="s">
        <v>30</v>
      </c>
      <c r="E319" t="str">
        <f t="shared" si="132"/>
        <v>Rumphi District [lPTyjLi4w3d]|15-24|Female</v>
      </c>
      <c r="F319" s="33">
        <f>IF(LEFT($B319,4)="_Mil","",INDEX(Cascade!$AA:$AA,MATCH($E319,Cascade!$E:$E,0)))</f>
        <v>0.93293244500000017</v>
      </c>
      <c r="G319" s="38">
        <f>INDEX(Cascade!$BH:$BH,MATCH($E319,Cascade!$E:$E,0))</f>
        <v>58</v>
      </c>
      <c r="H319" s="38">
        <f>IF(OR($C319="01-09",$D319="Male"),"",INDEX(PMTCT!$AC:$AC,MATCH($E319,PMTCT!$E:$E,0)))</f>
        <v>24</v>
      </c>
      <c r="I319" s="38">
        <f>IF(OR($C319="01-09",$D319="Male"),"",INDEX(PMTCT!$AS:$AS,MATCH($E319,PMTCT!$E:$E,0)))</f>
        <v>17</v>
      </c>
      <c r="J319" s="38">
        <f>INDEX(TB!$P:$P,MATCH($E319,TB!$E:$E,0))</f>
        <v>0</v>
      </c>
      <c r="K319" s="38" t="str">
        <f>IF(OR($C319="01-09",$C319="10-14",$D319="Female"),"",INDEX(VMMC!$AA:$AA,MATCH($E319,VMMC!$E:$E,0)))</f>
        <v/>
      </c>
      <c r="L319" s="38">
        <f t="shared" si="133"/>
        <v>17</v>
      </c>
      <c r="M319" s="33">
        <f t="shared" si="134"/>
        <v>0.41379310344827586</v>
      </c>
      <c r="N319" s="33">
        <f t="shared" si="135"/>
        <v>0.29310344827586204</v>
      </c>
      <c r="O319" s="33">
        <f t="shared" si="136"/>
        <v>0</v>
      </c>
      <c r="P319" s="33" t="str">
        <f t="shared" si="137"/>
        <v/>
      </c>
      <c r="Q319" s="33">
        <v>0.15</v>
      </c>
      <c r="R319" s="33"/>
      <c r="S319" s="33"/>
      <c r="T319" s="33">
        <v>0.05</v>
      </c>
      <c r="U319" s="33">
        <f t="shared" si="161"/>
        <v>9.3103448275862033E-2</v>
      </c>
      <c r="V319" s="33">
        <f t="shared" si="138"/>
        <v>1</v>
      </c>
      <c r="W319" s="218">
        <f t="shared" si="139"/>
        <v>9</v>
      </c>
      <c r="X319" s="33">
        <v>0.23499999999999999</v>
      </c>
      <c r="Y319" s="218">
        <f t="shared" si="139"/>
        <v>9</v>
      </c>
      <c r="Z319" s="218">
        <f t="shared" si="140"/>
        <v>29</v>
      </c>
      <c r="AA319" s="33">
        <v>0.12</v>
      </c>
      <c r="AB319" s="218" t="str">
        <f t="shared" si="141"/>
        <v/>
      </c>
      <c r="AC319" s="218" t="str">
        <f t="shared" si="142"/>
        <v/>
      </c>
      <c r="AD319" s="33">
        <v>0.02</v>
      </c>
      <c r="AE319" s="218" t="str">
        <f t="shared" si="143"/>
        <v/>
      </c>
      <c r="AF319" s="218" t="str">
        <f t="shared" si="144"/>
        <v/>
      </c>
      <c r="AG319" s="33">
        <v>0.02</v>
      </c>
      <c r="AH319" s="218">
        <f t="shared" si="145"/>
        <v>3</v>
      </c>
      <c r="AI319" s="218">
        <f t="shared" si="146"/>
        <v>147</v>
      </c>
      <c r="AJ319" s="33">
        <v>1.2E-2</v>
      </c>
      <c r="AK319" s="218">
        <f t="shared" si="147"/>
        <v>5</v>
      </c>
      <c r="AL319" s="218">
        <f t="shared" si="148"/>
        <v>412</v>
      </c>
      <c r="AM319" s="38">
        <f t="shared" si="149"/>
        <v>58</v>
      </c>
      <c r="AN319" s="38">
        <f t="shared" si="150"/>
        <v>58</v>
      </c>
      <c r="AO319" s="38">
        <f t="shared" si="151"/>
        <v>0</v>
      </c>
      <c r="AP319" s="38">
        <f>IF(OR($C319="01-09",$D319="Male"),"",INDEX(PMTCT!$AD:$AD,MATCH($E319,PMTCT!$E:$E,0)))</f>
        <v>4201</v>
      </c>
      <c r="AQ319" s="38">
        <f>IF(OR($C319="01-09",$D319="Male"),"",INDEX(PMTCT!$AT:$AT,MATCH($E319,PMTCT!$E:$E,0)))</f>
        <v>4184</v>
      </c>
      <c r="AR319" s="38">
        <f>INDEX(TB!$Q:$Q,MATCH($E319,TB!$E:$E,0))</f>
        <v>6</v>
      </c>
      <c r="AS319" s="38" t="str">
        <f>IF(OR($C319="01-09",$C319="10-14",$D319="Female"),"",INDEX(VMMC!$AB:$AB,MATCH($E319,VMMC!$E:$E,0)))</f>
        <v/>
      </c>
      <c r="AT319" s="38">
        <f>IF(OR($C319="01-09",$C319="10-14"),"",INDEX(PrEP!$Q:$Q,MATCH($E319,PrEP!$E:$E,0)))</f>
        <v>18</v>
      </c>
      <c r="AU319" s="38">
        <f t="shared" si="152"/>
        <v>8997</v>
      </c>
      <c r="AV319" s="38">
        <f t="shared" si="153"/>
        <v>9055</v>
      </c>
      <c r="AW319" s="33">
        <f t="shared" si="154"/>
        <v>6.4053009387078962E-3</v>
      </c>
      <c r="AX319" s="38">
        <v>809</v>
      </c>
      <c r="AY319" s="33">
        <f t="shared" ref="AY319:AY324" si="164">IF(OR($C319="01-09",SUM($AX319)=0),"",68%)</f>
        <v>0.68</v>
      </c>
      <c r="AZ319" s="218">
        <f t="shared" si="156"/>
        <v>1359</v>
      </c>
      <c r="BA319" s="33">
        <v>0.37</v>
      </c>
      <c r="BB319" s="218">
        <f t="shared" si="157"/>
        <v>21</v>
      </c>
    </row>
    <row r="320" spans="1:54" x14ac:dyDescent="0.2">
      <c r="A320" t="str">
        <f>INDEX(Prioritization!$D:$D,MATCH($B320,Prioritization!$A:$A,0))</f>
        <v>4 - Sustained</v>
      </c>
      <c r="B320" t="s">
        <v>312</v>
      </c>
      <c r="C320" t="s">
        <v>475</v>
      </c>
      <c r="D320" t="s">
        <v>48</v>
      </c>
      <c r="E320" t="str">
        <f t="shared" si="132"/>
        <v>Rumphi District [lPTyjLi4w3d]|15-24|Male</v>
      </c>
      <c r="F320" s="33">
        <f>IF(LEFT($B320,4)="_Mil","",INDEX(Cascade!$AA:$AA,MATCH($E320,Cascade!$E:$E,0)))</f>
        <v>0.903059948</v>
      </c>
      <c r="G320" s="38">
        <f>INDEX(Cascade!$BH:$BH,MATCH($E320,Cascade!$E:$E,0))</f>
        <v>5</v>
      </c>
      <c r="H320" s="38" t="str">
        <f>IF(OR($C320="01-09",$D320="Male"),"",INDEX(PMTCT!$AC:$AC,MATCH($E320,PMTCT!$E:$E,0)))</f>
        <v/>
      </c>
      <c r="I320" s="38" t="str">
        <f>IF(OR($C320="01-09",$D320="Male"),"",INDEX(PMTCT!$AS:$AS,MATCH($E320,PMTCT!$E:$E,0)))</f>
        <v/>
      </c>
      <c r="J320" s="38">
        <f>INDEX(TB!$P:$P,MATCH($E320,TB!$E:$E,0))</f>
        <v>1</v>
      </c>
      <c r="K320" s="38" t="str">
        <f>IF(OR($C320="01-09",$C320="10-14",$D320="Female"),"",INDEX(VMMC!$AA:$AA,MATCH($E320,VMMC!$E:$E,0)))</f>
        <v/>
      </c>
      <c r="L320" s="38">
        <f t="shared" si="133"/>
        <v>4</v>
      </c>
      <c r="M320" s="33" t="str">
        <f t="shared" si="134"/>
        <v/>
      </c>
      <c r="N320" s="33" t="str">
        <f t="shared" si="135"/>
        <v/>
      </c>
      <c r="O320" s="33">
        <f t="shared" si="136"/>
        <v>0.2</v>
      </c>
      <c r="P320" s="33">
        <f t="shared" si="137"/>
        <v>0</v>
      </c>
      <c r="Q320" s="33">
        <v>0.33333333333333298</v>
      </c>
      <c r="R320" s="33"/>
      <c r="S320" s="33"/>
      <c r="T320" s="33">
        <v>0.05</v>
      </c>
      <c r="U320" s="33">
        <f t="shared" si="161"/>
        <v>0.41666666666666696</v>
      </c>
      <c r="V320" s="33">
        <f t="shared" si="138"/>
        <v>1</v>
      </c>
      <c r="W320" s="218">
        <f t="shared" si="139"/>
        <v>2</v>
      </c>
      <c r="X320" s="33">
        <v>0.19700000000000001</v>
      </c>
      <c r="Y320" s="218">
        <f t="shared" si="139"/>
        <v>2</v>
      </c>
      <c r="Z320" s="218">
        <f t="shared" si="140"/>
        <v>8</v>
      </c>
      <c r="AA320" s="33">
        <v>0.12</v>
      </c>
      <c r="AB320" s="218" t="str">
        <f t="shared" si="141"/>
        <v/>
      </c>
      <c r="AC320" s="218" t="str">
        <f t="shared" si="142"/>
        <v/>
      </c>
      <c r="AD320" s="33">
        <v>0.02</v>
      </c>
      <c r="AE320" s="218" t="str">
        <f t="shared" si="143"/>
        <v/>
      </c>
      <c r="AF320" s="218" t="str">
        <f t="shared" si="144"/>
        <v/>
      </c>
      <c r="AG320" s="33">
        <v>0.02</v>
      </c>
      <c r="AH320" s="218">
        <f t="shared" si="145"/>
        <v>0</v>
      </c>
      <c r="AI320" s="218" t="str">
        <f t="shared" si="146"/>
        <v/>
      </c>
      <c r="AJ320" s="33">
        <v>1.2E-2</v>
      </c>
      <c r="AK320" s="218">
        <f t="shared" si="147"/>
        <v>2</v>
      </c>
      <c r="AL320" s="218">
        <f t="shared" si="148"/>
        <v>165</v>
      </c>
      <c r="AM320" s="38">
        <f t="shared" si="149"/>
        <v>5</v>
      </c>
      <c r="AN320" s="38">
        <f t="shared" si="150"/>
        <v>5</v>
      </c>
      <c r="AO320" s="38">
        <f t="shared" si="151"/>
        <v>0</v>
      </c>
      <c r="AP320" s="38" t="str">
        <f>IF(OR($C320="01-09",$D320="Male"),"",INDEX(PMTCT!$AD:$AD,MATCH($E320,PMTCT!$E:$E,0)))</f>
        <v/>
      </c>
      <c r="AQ320" s="38" t="str">
        <f>IF(OR($C320="01-09",$D320="Male"),"",INDEX(PMTCT!$AT:$AT,MATCH($E320,PMTCT!$E:$E,0)))</f>
        <v/>
      </c>
      <c r="AR320" s="38">
        <f>INDEX(TB!$Q:$Q,MATCH($E320,TB!$E:$E,0))</f>
        <v>9</v>
      </c>
      <c r="AS320" s="38" t="str">
        <f>IF(OR($C320="01-09",$C320="10-14",$D320="Female"),"",INDEX(VMMC!$AB:$AB,MATCH($E320,VMMC!$E:$E,0)))</f>
        <v/>
      </c>
      <c r="AT320" s="38">
        <f>IF(OR($C320="01-09",$C320="10-14"),"",INDEX(PrEP!$Q:$Q,MATCH($E320,PrEP!$E:$E,0)))</f>
        <v>12</v>
      </c>
      <c r="AU320" s="38">
        <f t="shared" si="152"/>
        <v>194</v>
      </c>
      <c r="AV320" s="38">
        <f t="shared" si="153"/>
        <v>199</v>
      </c>
      <c r="AW320" s="33">
        <f t="shared" si="154"/>
        <v>2.5125628140703519E-2</v>
      </c>
      <c r="AX320" s="38">
        <v>21</v>
      </c>
      <c r="AY320" s="33">
        <f t="shared" si="164"/>
        <v>0.68</v>
      </c>
      <c r="AZ320" s="218">
        <f t="shared" si="156"/>
        <v>35</v>
      </c>
      <c r="BA320" s="33">
        <v>0.37</v>
      </c>
      <c r="BB320" s="218">
        <f t="shared" si="157"/>
        <v>2</v>
      </c>
    </row>
    <row r="321" spans="1:54" x14ac:dyDescent="0.2">
      <c r="A321" t="str">
        <f>INDEX(Prioritization!$D:$D,MATCH($B321,Prioritization!$A:$A,0))</f>
        <v>4 - Sustained</v>
      </c>
      <c r="B321" t="s">
        <v>312</v>
      </c>
      <c r="C321" t="s">
        <v>476</v>
      </c>
      <c r="D321" t="s">
        <v>30</v>
      </c>
      <c r="E321" t="str">
        <f t="shared" si="132"/>
        <v>Rumphi District [lPTyjLi4w3d]|25-34|Female</v>
      </c>
      <c r="F321" s="33">
        <f>IF(LEFT($B321,4)="_Mil","",INDEX(Cascade!$AA:$AA,MATCH($E321,Cascade!$E:$E,0)))</f>
        <v>0.96423711199999984</v>
      </c>
      <c r="G321" s="38">
        <f>INDEX(Cascade!$BH:$BH,MATCH($E321,Cascade!$E:$E,0))</f>
        <v>65</v>
      </c>
      <c r="H321" s="38">
        <f>IF(OR($C321="01-09",$D321="Male"),"",INDEX(PMTCT!$AC:$AC,MATCH($E321,PMTCT!$E:$E,0)))</f>
        <v>25</v>
      </c>
      <c r="I321" s="38">
        <f>IF(OR($C321="01-09",$D321="Male"),"",INDEX(PMTCT!$AS:$AS,MATCH($E321,PMTCT!$E:$E,0)))</f>
        <v>9</v>
      </c>
      <c r="J321" s="38">
        <f>INDEX(TB!$P:$P,MATCH($E321,TB!$E:$E,0))</f>
        <v>0</v>
      </c>
      <c r="K321" s="38" t="str">
        <f>IF(OR($C321="01-09",$C321="10-14",$D321="Female"),"",INDEX(VMMC!$AA:$AA,MATCH($E321,VMMC!$E:$E,0)))</f>
        <v/>
      </c>
      <c r="L321" s="38">
        <f t="shared" si="133"/>
        <v>31</v>
      </c>
      <c r="M321" s="33">
        <f t="shared" si="134"/>
        <v>0.38461538461538464</v>
      </c>
      <c r="N321" s="33">
        <f t="shared" si="135"/>
        <v>0.13846153846153847</v>
      </c>
      <c r="O321" s="33">
        <f t="shared" si="136"/>
        <v>0</v>
      </c>
      <c r="P321" s="33" t="str">
        <f t="shared" si="137"/>
        <v/>
      </c>
      <c r="Q321" s="33">
        <v>0.22826086956521699</v>
      </c>
      <c r="R321" s="33"/>
      <c r="S321" s="33"/>
      <c r="T321" s="33">
        <v>0.05</v>
      </c>
      <c r="U321" s="33">
        <f t="shared" si="161"/>
        <v>0.19866220735785989</v>
      </c>
      <c r="V321" s="33">
        <f t="shared" si="138"/>
        <v>1</v>
      </c>
      <c r="W321" s="218">
        <f t="shared" si="139"/>
        <v>15</v>
      </c>
      <c r="X321" s="33">
        <v>0.36599999999999999</v>
      </c>
      <c r="Y321" s="218">
        <f t="shared" si="139"/>
        <v>15</v>
      </c>
      <c r="Z321" s="218">
        <f t="shared" si="140"/>
        <v>26</v>
      </c>
      <c r="AA321" s="33">
        <v>0.12</v>
      </c>
      <c r="AB321" s="218" t="str">
        <f t="shared" si="141"/>
        <v/>
      </c>
      <c r="AC321" s="218" t="str">
        <f t="shared" si="142"/>
        <v/>
      </c>
      <c r="AD321" s="33">
        <v>0.02</v>
      </c>
      <c r="AE321" s="218" t="str">
        <f t="shared" si="143"/>
        <v/>
      </c>
      <c r="AF321" s="218" t="str">
        <f t="shared" si="144"/>
        <v/>
      </c>
      <c r="AG321" s="33">
        <v>0.02</v>
      </c>
      <c r="AH321" s="218">
        <f t="shared" si="145"/>
        <v>3</v>
      </c>
      <c r="AI321" s="218">
        <f t="shared" si="146"/>
        <v>147</v>
      </c>
      <c r="AJ321" s="33">
        <v>5.5E-2</v>
      </c>
      <c r="AK321" s="218">
        <f t="shared" si="147"/>
        <v>13</v>
      </c>
      <c r="AL321" s="218">
        <f t="shared" si="148"/>
        <v>223</v>
      </c>
      <c r="AM321" s="38">
        <f t="shared" si="149"/>
        <v>65</v>
      </c>
      <c r="AN321" s="38">
        <f t="shared" si="150"/>
        <v>65</v>
      </c>
      <c r="AO321" s="38">
        <f t="shared" si="151"/>
        <v>0</v>
      </c>
      <c r="AP321" s="38">
        <f>IF(OR($C321="01-09",$D321="Male"),"",INDEX(PMTCT!$AD:$AD,MATCH($E321,PMTCT!$E:$E,0)))</f>
        <v>2232</v>
      </c>
      <c r="AQ321" s="38">
        <f>IF(OR($C321="01-09",$D321="Male"),"",INDEX(PMTCT!$AT:$AT,MATCH($E321,PMTCT!$E:$E,0)))</f>
        <v>2223</v>
      </c>
      <c r="AR321" s="38">
        <f>INDEX(TB!$Q:$Q,MATCH($E321,TB!$E:$E,0))</f>
        <v>6</v>
      </c>
      <c r="AS321" s="38" t="str">
        <f>IF(OR($C321="01-09",$C321="10-14",$D321="Female"),"",INDEX(VMMC!$AB:$AB,MATCH($E321,VMMC!$E:$E,0)))</f>
        <v/>
      </c>
      <c r="AT321" s="38">
        <f>IF(OR($C321="01-09",$C321="10-14"),"",INDEX(PrEP!$Q:$Q,MATCH($E321,PrEP!$E:$E,0)))</f>
        <v>30</v>
      </c>
      <c r="AU321" s="38">
        <f t="shared" si="152"/>
        <v>4887</v>
      </c>
      <c r="AV321" s="38">
        <f t="shared" si="153"/>
        <v>4952</v>
      </c>
      <c r="AW321" s="33">
        <f t="shared" si="154"/>
        <v>1.3126009693053312E-2</v>
      </c>
      <c r="AX321" s="38">
        <v>561</v>
      </c>
      <c r="AY321" s="33">
        <f t="shared" si="164"/>
        <v>0.68</v>
      </c>
      <c r="AZ321" s="218">
        <f t="shared" si="156"/>
        <v>942</v>
      </c>
      <c r="BA321" s="33">
        <v>0.37</v>
      </c>
      <c r="BB321" s="218">
        <f t="shared" si="157"/>
        <v>24</v>
      </c>
    </row>
    <row r="322" spans="1:54" x14ac:dyDescent="0.2">
      <c r="A322" t="str">
        <f>INDEX(Prioritization!$D:$D,MATCH($B322,Prioritization!$A:$A,0))</f>
        <v>4 - Sustained</v>
      </c>
      <c r="B322" t="s">
        <v>312</v>
      </c>
      <c r="C322" t="s">
        <v>476</v>
      </c>
      <c r="D322" t="s">
        <v>48</v>
      </c>
      <c r="E322" t="str">
        <f t="shared" si="132"/>
        <v>Rumphi District [lPTyjLi4w3d]|25-34|Male</v>
      </c>
      <c r="F322" s="33">
        <f>IF(LEFT($B322,4)="_Mil","",INDEX(Cascade!$AA:$AA,MATCH($E322,Cascade!$E:$E,0)))</f>
        <v>0.87441124999999997</v>
      </c>
      <c r="G322" s="38">
        <f>INDEX(Cascade!$BH:$BH,MATCH($E322,Cascade!$E:$E,0))</f>
        <v>7</v>
      </c>
      <c r="H322" s="38" t="str">
        <f>IF(OR($C322="01-09",$D322="Male"),"",INDEX(PMTCT!$AC:$AC,MATCH($E322,PMTCT!$E:$E,0)))</f>
        <v/>
      </c>
      <c r="I322" s="38" t="str">
        <f>IF(OR($C322="01-09",$D322="Male"),"",INDEX(PMTCT!$AS:$AS,MATCH($E322,PMTCT!$E:$E,0)))</f>
        <v/>
      </c>
      <c r="J322" s="38">
        <f>INDEX(TB!$P:$P,MATCH($E322,TB!$E:$E,0))</f>
        <v>1</v>
      </c>
      <c r="K322" s="38" t="str">
        <f>IF(OR($C322="01-09",$C322="10-14",$D322="Female"),"",INDEX(VMMC!$AA:$AA,MATCH($E322,VMMC!$E:$E,0)))</f>
        <v/>
      </c>
      <c r="L322" s="38">
        <f t="shared" si="133"/>
        <v>6</v>
      </c>
      <c r="M322" s="33" t="str">
        <f t="shared" si="134"/>
        <v/>
      </c>
      <c r="N322" s="33" t="str">
        <f t="shared" si="135"/>
        <v/>
      </c>
      <c r="O322" s="33">
        <f t="shared" si="136"/>
        <v>0.14285714285714285</v>
      </c>
      <c r="P322" s="33">
        <f t="shared" si="137"/>
        <v>0</v>
      </c>
      <c r="Q322" s="33">
        <v>0.4</v>
      </c>
      <c r="R322" s="33"/>
      <c r="S322" s="33"/>
      <c r="T322" s="33">
        <v>0.05</v>
      </c>
      <c r="U322" s="33">
        <f t="shared" si="161"/>
        <v>0.40714285714285703</v>
      </c>
      <c r="V322" s="33">
        <f t="shared" si="138"/>
        <v>1</v>
      </c>
      <c r="W322" s="218">
        <f t="shared" si="139"/>
        <v>3</v>
      </c>
      <c r="X322" s="33">
        <v>0.23599999999999999</v>
      </c>
      <c r="Y322" s="218">
        <f t="shared" si="139"/>
        <v>3</v>
      </c>
      <c r="Z322" s="218">
        <f t="shared" si="140"/>
        <v>10</v>
      </c>
      <c r="AA322" s="33">
        <v>0.12</v>
      </c>
      <c r="AB322" s="218" t="str">
        <f t="shared" si="141"/>
        <v/>
      </c>
      <c r="AC322" s="218" t="str">
        <f t="shared" si="142"/>
        <v/>
      </c>
      <c r="AD322" s="33">
        <v>0.02</v>
      </c>
      <c r="AE322" s="218" t="str">
        <f t="shared" si="143"/>
        <v/>
      </c>
      <c r="AF322" s="218" t="str">
        <f t="shared" si="144"/>
        <v/>
      </c>
      <c r="AG322" s="33">
        <v>0.02</v>
      </c>
      <c r="AH322" s="218">
        <f t="shared" si="145"/>
        <v>0</v>
      </c>
      <c r="AI322" s="218" t="str">
        <f t="shared" si="146"/>
        <v/>
      </c>
      <c r="AJ322" s="33">
        <v>1.4E-2</v>
      </c>
      <c r="AK322" s="218">
        <f t="shared" si="147"/>
        <v>3</v>
      </c>
      <c r="AL322" s="218">
        <f t="shared" si="148"/>
        <v>211</v>
      </c>
      <c r="AM322" s="38">
        <f t="shared" si="149"/>
        <v>7</v>
      </c>
      <c r="AN322" s="38">
        <f t="shared" si="150"/>
        <v>7</v>
      </c>
      <c r="AO322" s="38">
        <f t="shared" si="151"/>
        <v>0</v>
      </c>
      <c r="AP322" s="38" t="str">
        <f>IF(OR($C322="01-09",$D322="Male"),"",INDEX(PMTCT!$AD:$AD,MATCH($E322,PMTCT!$E:$E,0)))</f>
        <v/>
      </c>
      <c r="AQ322" s="38" t="str">
        <f>IF(OR($C322="01-09",$D322="Male"),"",INDEX(PMTCT!$AT:$AT,MATCH($E322,PMTCT!$E:$E,0)))</f>
        <v/>
      </c>
      <c r="AR322" s="38">
        <f>INDEX(TB!$Q:$Q,MATCH($E322,TB!$E:$E,0))</f>
        <v>8</v>
      </c>
      <c r="AS322" s="38" t="str">
        <f>IF(OR($C322="01-09",$C322="10-14",$D322="Female"),"",INDEX(VMMC!$AB:$AB,MATCH($E322,VMMC!$E:$E,0)))</f>
        <v/>
      </c>
      <c r="AT322" s="38">
        <f>IF(OR($C322="01-09",$C322="10-14"),"",INDEX(PrEP!$Q:$Q,MATCH($E322,PrEP!$E:$E,0)))</f>
        <v>30</v>
      </c>
      <c r="AU322" s="38">
        <f t="shared" si="152"/>
        <v>259</v>
      </c>
      <c r="AV322" s="38">
        <f t="shared" si="153"/>
        <v>266</v>
      </c>
      <c r="AW322" s="33">
        <f t="shared" si="154"/>
        <v>2.6315789473684209E-2</v>
      </c>
      <c r="AX322" s="38">
        <v>22</v>
      </c>
      <c r="AY322" s="33">
        <f t="shared" si="164"/>
        <v>0.68</v>
      </c>
      <c r="AZ322" s="218">
        <f t="shared" si="156"/>
        <v>37</v>
      </c>
      <c r="BA322" s="33">
        <v>0.37</v>
      </c>
      <c r="BB322" s="218">
        <f t="shared" si="157"/>
        <v>3</v>
      </c>
    </row>
    <row r="323" spans="1:54" x14ac:dyDescent="0.2">
      <c r="A323" t="str">
        <f>INDEX(Prioritization!$D:$D,MATCH($B323,Prioritization!$A:$A,0))</f>
        <v>4 - Sustained</v>
      </c>
      <c r="B323" t="s">
        <v>312</v>
      </c>
      <c r="C323" t="s">
        <v>477</v>
      </c>
      <c r="D323" t="s">
        <v>30</v>
      </c>
      <c r="E323" t="str">
        <f t="shared" si="132"/>
        <v>Rumphi District [lPTyjLi4w3d]|35-49|Female</v>
      </c>
      <c r="F323" s="33">
        <f>IF(LEFT($B323,4)="_Mil","",INDEX(Cascade!$AA:$AA,MATCH($E323,Cascade!$E:$E,0)))</f>
        <v>0.98222830700000008</v>
      </c>
      <c r="G323" s="38">
        <f>INDEX(Cascade!$BH:$BH,MATCH($E323,Cascade!$E:$E,0))</f>
        <v>51</v>
      </c>
      <c r="H323" s="38">
        <f>IF(OR($C323="01-09",$D323="Male"),"",INDEX(PMTCT!$AC:$AC,MATCH($E323,PMTCT!$E:$E,0)))</f>
        <v>6</v>
      </c>
      <c r="I323" s="38">
        <f>IF(OR($C323="01-09",$D323="Male"),"",INDEX(PMTCT!$AS:$AS,MATCH($E323,PMTCT!$E:$E,0)))</f>
        <v>2</v>
      </c>
      <c r="J323" s="38">
        <f>INDEX(TB!$P:$P,MATCH($E323,TB!$E:$E,0))</f>
        <v>1</v>
      </c>
      <c r="K323" s="38" t="str">
        <f>IF(OR($C323="01-09",$C323="10-14",$D323="Female"),"",INDEX(VMMC!$AA:$AA,MATCH($E323,VMMC!$E:$E,0)))</f>
        <v/>
      </c>
      <c r="L323" s="38">
        <f t="shared" si="133"/>
        <v>42</v>
      </c>
      <c r="M323" s="33">
        <f t="shared" si="134"/>
        <v>0.11764705882352941</v>
      </c>
      <c r="N323" s="33">
        <f t="shared" si="135"/>
        <v>3.9215686274509803E-2</v>
      </c>
      <c r="O323" s="33">
        <f t="shared" si="136"/>
        <v>1.9607843137254902E-2</v>
      </c>
      <c r="P323" s="33" t="str">
        <f t="shared" si="137"/>
        <v/>
      </c>
      <c r="Q323" s="33">
        <v>0.25416666666666698</v>
      </c>
      <c r="R323" s="33"/>
      <c r="S323" s="33"/>
      <c r="T323" s="33">
        <v>0.05</v>
      </c>
      <c r="U323" s="33">
        <f t="shared" si="161"/>
        <v>0.51936274509803892</v>
      </c>
      <c r="V323" s="33">
        <f t="shared" si="138"/>
        <v>1</v>
      </c>
      <c r="W323" s="218">
        <f t="shared" si="139"/>
        <v>13</v>
      </c>
      <c r="X323" s="33">
        <v>0.27400000000000002</v>
      </c>
      <c r="Y323" s="218">
        <f t="shared" si="139"/>
        <v>13</v>
      </c>
      <c r="Z323" s="218">
        <f t="shared" si="140"/>
        <v>34</v>
      </c>
      <c r="AA323" s="33">
        <v>0.12</v>
      </c>
      <c r="AB323" s="218" t="str">
        <f t="shared" si="141"/>
        <v/>
      </c>
      <c r="AC323" s="218" t="str">
        <f t="shared" si="142"/>
        <v/>
      </c>
      <c r="AD323" s="33">
        <v>0.02</v>
      </c>
      <c r="AE323" s="218" t="str">
        <f t="shared" si="143"/>
        <v/>
      </c>
      <c r="AF323" s="218" t="str">
        <f t="shared" si="144"/>
        <v/>
      </c>
      <c r="AG323" s="33">
        <v>0.02</v>
      </c>
      <c r="AH323" s="218">
        <f t="shared" si="145"/>
        <v>3</v>
      </c>
      <c r="AI323" s="218">
        <f t="shared" si="146"/>
        <v>147</v>
      </c>
      <c r="AJ323" s="33">
        <v>2.4E-2</v>
      </c>
      <c r="AK323" s="218">
        <f t="shared" si="147"/>
        <v>26</v>
      </c>
      <c r="AL323" s="218">
        <f t="shared" si="148"/>
        <v>1057</v>
      </c>
      <c r="AM323" s="38">
        <f t="shared" si="149"/>
        <v>51</v>
      </c>
      <c r="AN323" s="38">
        <f t="shared" si="150"/>
        <v>51</v>
      </c>
      <c r="AO323" s="38">
        <f t="shared" si="151"/>
        <v>0</v>
      </c>
      <c r="AP323" s="38">
        <f>IF(OR($C323="01-09",$D323="Male"),"",INDEX(PMTCT!$AD:$AD,MATCH($E323,PMTCT!$E:$E,0)))</f>
        <v>610</v>
      </c>
      <c r="AQ323" s="38">
        <f>IF(OR($C323="01-09",$D323="Male"),"",INDEX(PMTCT!$AT:$AT,MATCH($E323,PMTCT!$E:$E,0)))</f>
        <v>608</v>
      </c>
      <c r="AR323" s="38">
        <f>INDEX(TB!$Q:$Q,MATCH($E323,TB!$E:$E,0))</f>
        <v>8</v>
      </c>
      <c r="AS323" s="38" t="str">
        <f>IF(OR($C323="01-09",$C323="10-14",$D323="Female"),"",INDEX(VMMC!$AB:$AB,MATCH($E323,VMMC!$E:$E,0)))</f>
        <v/>
      </c>
      <c r="AT323" s="38" t="str">
        <f>IF(OR($C323="01-09",$C323="10-14"),"",INDEX(PrEP!$Q:$Q,MATCH($E323,PrEP!$E:$E,0)))</f>
        <v/>
      </c>
      <c r="AU323" s="38">
        <f t="shared" si="152"/>
        <v>2464</v>
      </c>
      <c r="AV323" s="38">
        <f t="shared" si="153"/>
        <v>2515</v>
      </c>
      <c r="AW323" s="33">
        <f t="shared" si="154"/>
        <v>2.0278330019880716E-2</v>
      </c>
      <c r="AX323" s="38">
        <v>46</v>
      </c>
      <c r="AY323" s="33">
        <f t="shared" si="164"/>
        <v>0.68</v>
      </c>
      <c r="AZ323" s="218">
        <f t="shared" si="156"/>
        <v>77</v>
      </c>
      <c r="BA323" s="33">
        <v>0.37</v>
      </c>
      <c r="BB323" s="218">
        <f t="shared" si="157"/>
        <v>19</v>
      </c>
    </row>
    <row r="324" spans="1:54" x14ac:dyDescent="0.2">
      <c r="A324" t="str">
        <f>INDEX(Prioritization!$D:$D,MATCH($B324,Prioritization!$A:$A,0))</f>
        <v>4 - Sustained</v>
      </c>
      <c r="B324" t="s">
        <v>312</v>
      </c>
      <c r="C324" t="s">
        <v>477</v>
      </c>
      <c r="D324" t="s">
        <v>48</v>
      </c>
      <c r="E324" t="str">
        <f t="shared" si="132"/>
        <v>Rumphi District [lPTyjLi4w3d]|35-49|Male</v>
      </c>
      <c r="F324" s="33">
        <f>IF(LEFT($B324,4)="_Mil","",INDEX(Cascade!$AA:$AA,MATCH($E324,Cascade!$E:$E,0)))</f>
        <v>0.92321659099999998</v>
      </c>
      <c r="G324" s="38">
        <f>INDEX(Cascade!$BH:$BH,MATCH($E324,Cascade!$E:$E,0))</f>
        <v>93</v>
      </c>
      <c r="H324" s="38" t="str">
        <f>IF(OR($C324="01-09",$D324="Male"),"",INDEX(PMTCT!$AC:$AC,MATCH($E324,PMTCT!$E:$E,0)))</f>
        <v/>
      </c>
      <c r="I324" s="38" t="str">
        <f>IF(OR($C324="01-09",$D324="Male"),"",INDEX(PMTCT!$AS:$AS,MATCH($E324,PMTCT!$E:$E,0)))</f>
        <v/>
      </c>
      <c r="J324" s="38">
        <f>INDEX(TB!$P:$P,MATCH($E324,TB!$E:$E,0))</f>
        <v>1</v>
      </c>
      <c r="K324" s="38" t="str">
        <f>IF(OR($C324="01-09",$C324="10-14",$D324="Female"),"",INDEX(VMMC!$AA:$AA,MATCH($E324,VMMC!$E:$E,0)))</f>
        <v/>
      </c>
      <c r="L324" s="38">
        <f t="shared" si="133"/>
        <v>92</v>
      </c>
      <c r="M324" s="33" t="str">
        <f t="shared" si="134"/>
        <v/>
      </c>
      <c r="N324" s="33" t="str">
        <f t="shared" si="135"/>
        <v/>
      </c>
      <c r="O324" s="33">
        <f t="shared" si="136"/>
        <v>1.0752688172043012E-2</v>
      </c>
      <c r="P324" s="33">
        <f t="shared" si="137"/>
        <v>0</v>
      </c>
      <c r="Q324" s="33">
        <v>0.38750000000000001</v>
      </c>
      <c r="R324" s="33"/>
      <c r="S324" s="33"/>
      <c r="T324" s="33">
        <v>0.05</v>
      </c>
      <c r="U324" s="33">
        <f t="shared" si="161"/>
        <v>0.551747311827957</v>
      </c>
      <c r="V324" s="33">
        <f t="shared" si="138"/>
        <v>1</v>
      </c>
      <c r="W324" s="218">
        <f t="shared" si="139"/>
        <v>36</v>
      </c>
      <c r="X324" s="33">
        <v>0.28899999999999998</v>
      </c>
      <c r="Y324" s="218">
        <f t="shared" si="139"/>
        <v>36</v>
      </c>
      <c r="Z324" s="218">
        <f t="shared" si="140"/>
        <v>89</v>
      </c>
      <c r="AA324" s="33">
        <v>0.12</v>
      </c>
      <c r="AB324" s="218" t="str">
        <f t="shared" si="141"/>
        <v/>
      </c>
      <c r="AC324" s="218" t="str">
        <f t="shared" si="142"/>
        <v/>
      </c>
      <c r="AD324" s="33">
        <v>0.02</v>
      </c>
      <c r="AE324" s="218" t="str">
        <f t="shared" si="143"/>
        <v/>
      </c>
      <c r="AF324" s="218" t="str">
        <f t="shared" si="144"/>
        <v/>
      </c>
      <c r="AG324" s="33">
        <v>0.02</v>
      </c>
      <c r="AH324" s="218">
        <f t="shared" si="145"/>
        <v>5</v>
      </c>
      <c r="AI324" s="218">
        <f t="shared" si="146"/>
        <v>245</v>
      </c>
      <c r="AJ324" s="33">
        <v>1.4E-2</v>
      </c>
      <c r="AK324" s="218">
        <f t="shared" si="147"/>
        <v>51</v>
      </c>
      <c r="AL324" s="218">
        <f t="shared" si="148"/>
        <v>3592</v>
      </c>
      <c r="AM324" s="38">
        <f t="shared" si="149"/>
        <v>93</v>
      </c>
      <c r="AN324" s="38">
        <f t="shared" si="150"/>
        <v>92.999999999999986</v>
      </c>
      <c r="AO324" s="38">
        <f t="shared" si="151"/>
        <v>-1.4210854715202004E-14</v>
      </c>
      <c r="AP324" s="38" t="str">
        <f>IF(OR($C324="01-09",$D324="Male"),"",INDEX(PMTCT!$AD:$AD,MATCH($E324,PMTCT!$E:$E,0)))</f>
        <v/>
      </c>
      <c r="AQ324" s="38" t="str">
        <f>IF(OR($C324="01-09",$D324="Male"),"",INDEX(PMTCT!$AT:$AT,MATCH($E324,PMTCT!$E:$E,0)))</f>
        <v/>
      </c>
      <c r="AR324" s="38">
        <f>INDEX(TB!$Q:$Q,MATCH($E324,TB!$E:$E,0))</f>
        <v>13</v>
      </c>
      <c r="AS324" s="38" t="str">
        <f>IF(OR($C324="01-09",$C324="10-14",$D324="Female"),"",INDEX(VMMC!$AB:$AB,MATCH($E324,VMMC!$E:$E,0)))</f>
        <v/>
      </c>
      <c r="AT324" s="38">
        <f>IF(OR($C324="01-09",$C324="10-14"),"",INDEX(PrEP!$Q:$Q,MATCH($E324,PrEP!$E:$E,0)))</f>
        <v>24</v>
      </c>
      <c r="AU324" s="38">
        <f t="shared" si="152"/>
        <v>3963</v>
      </c>
      <c r="AV324" s="38">
        <f t="shared" si="153"/>
        <v>4056</v>
      </c>
      <c r="AW324" s="33">
        <f t="shared" si="154"/>
        <v>2.2928994082840232E-2</v>
      </c>
      <c r="AX324" s="38">
        <v>23</v>
      </c>
      <c r="AY324" s="33">
        <f t="shared" si="164"/>
        <v>0.68</v>
      </c>
      <c r="AZ324" s="218">
        <f t="shared" si="156"/>
        <v>39</v>
      </c>
      <c r="BA324" s="33">
        <v>0.37</v>
      </c>
      <c r="BB324" s="218">
        <f t="shared" si="157"/>
        <v>34</v>
      </c>
    </row>
    <row r="325" spans="1:54" x14ac:dyDescent="0.2">
      <c r="A325" t="str">
        <f>INDEX(Prioritization!$D:$D,MATCH($B325,Prioritization!$A:$A,0))</f>
        <v>4 - Sustained</v>
      </c>
      <c r="B325" t="s">
        <v>312</v>
      </c>
      <c r="C325" t="s">
        <v>478</v>
      </c>
      <c r="D325" t="s">
        <v>30</v>
      </c>
      <c r="E325" t="str">
        <f t="shared" si="132"/>
        <v>Rumphi District [lPTyjLi4w3d]|50+|Female</v>
      </c>
      <c r="F325" s="33">
        <f>IF(LEFT($B325,4)="_Mil","",INDEX(Cascade!$AA:$AA,MATCH($E325,Cascade!$E:$E,0)))</f>
        <v>0.98776393200000001</v>
      </c>
      <c r="G325" s="38">
        <f>INDEX(Cascade!$BH:$BH,MATCH($E325,Cascade!$E:$E,0))</f>
        <v>65</v>
      </c>
      <c r="H325" s="38">
        <f>IF(OR($C325="01-09",$D325="Male"),"",INDEX(PMTCT!$AC:$AC,MATCH($E325,PMTCT!$E:$E,0)))</f>
        <v>0</v>
      </c>
      <c r="I325" s="38">
        <f>IF(OR($C325="01-09",$D325="Male"),"",INDEX(PMTCT!$AS:$AS,MATCH($E325,PMTCT!$E:$E,0)))</f>
        <v>0</v>
      </c>
      <c r="J325" s="38">
        <f>INDEX(TB!$P:$P,MATCH($E325,TB!$E:$E,0))</f>
        <v>0</v>
      </c>
      <c r="K325" s="38" t="str">
        <f>IF(OR($C325="01-09",$C325="10-14",$D325="Female"),"",INDEX(VMMC!$AA:$AA,MATCH($E325,VMMC!$E:$E,0)))</f>
        <v/>
      </c>
      <c r="L325" s="38">
        <f t="shared" si="133"/>
        <v>65</v>
      </c>
      <c r="M325" s="33">
        <f t="shared" si="134"/>
        <v>0</v>
      </c>
      <c r="N325" s="33">
        <f t="shared" si="135"/>
        <v>0</v>
      </c>
      <c r="O325" s="33">
        <f t="shared" si="136"/>
        <v>0</v>
      </c>
      <c r="P325" s="33" t="str">
        <f t="shared" si="137"/>
        <v/>
      </c>
      <c r="Q325" s="33">
        <v>0.15</v>
      </c>
      <c r="R325" s="33"/>
      <c r="S325" s="33"/>
      <c r="T325" s="33">
        <v>0.05</v>
      </c>
      <c r="U325" s="33">
        <f t="shared" si="161"/>
        <v>0.8</v>
      </c>
      <c r="V325" s="33">
        <f t="shared" si="138"/>
        <v>1</v>
      </c>
      <c r="W325" s="218">
        <f t="shared" si="139"/>
        <v>10</v>
      </c>
      <c r="X325" s="33">
        <v>0.4</v>
      </c>
      <c r="Y325" s="218">
        <f t="shared" si="139"/>
        <v>10</v>
      </c>
      <c r="Z325" s="218">
        <f t="shared" si="140"/>
        <v>15</v>
      </c>
      <c r="AA325" s="33">
        <v>0.12</v>
      </c>
      <c r="AB325" s="218" t="str">
        <f t="shared" si="141"/>
        <v/>
      </c>
      <c r="AC325" s="218" t="str">
        <f t="shared" si="142"/>
        <v/>
      </c>
      <c r="AD325" s="33">
        <v>0.02</v>
      </c>
      <c r="AE325" s="218" t="str">
        <f t="shared" si="143"/>
        <v/>
      </c>
      <c r="AF325" s="218" t="str">
        <f t="shared" si="144"/>
        <v/>
      </c>
      <c r="AG325" s="33">
        <v>0.02</v>
      </c>
      <c r="AH325" s="218">
        <f t="shared" si="145"/>
        <v>3</v>
      </c>
      <c r="AI325" s="218">
        <f t="shared" si="146"/>
        <v>147</v>
      </c>
      <c r="AJ325" s="33">
        <v>5.2999999999999999E-2</v>
      </c>
      <c r="AK325" s="218">
        <f t="shared" si="147"/>
        <v>52</v>
      </c>
      <c r="AL325" s="218">
        <f t="shared" si="148"/>
        <v>929</v>
      </c>
      <c r="AM325" s="38">
        <f t="shared" si="149"/>
        <v>65</v>
      </c>
      <c r="AN325" s="38">
        <f t="shared" si="150"/>
        <v>65</v>
      </c>
      <c r="AO325" s="38">
        <f t="shared" si="151"/>
        <v>0</v>
      </c>
      <c r="AP325" s="38">
        <f>IF(OR($C325="01-09",$D325="Male"),"",INDEX(PMTCT!$AD:$AD,MATCH($E325,PMTCT!$E:$E,0)))</f>
        <v>2</v>
      </c>
      <c r="AQ325" s="38">
        <f>IF(OR($C325="01-09",$D325="Male"),"",INDEX(PMTCT!$AT:$AT,MATCH($E325,PMTCT!$E:$E,0)))</f>
        <v>2</v>
      </c>
      <c r="AR325" s="38">
        <f>INDEX(TB!$Q:$Q,MATCH($E325,TB!$E:$E,0))</f>
        <v>4</v>
      </c>
      <c r="AS325" s="38" t="str">
        <f>IF(OR($C325="01-09",$C325="10-14",$D325="Female"),"",INDEX(VMMC!$AB:$AB,MATCH($E325,VMMC!$E:$E,0)))</f>
        <v/>
      </c>
      <c r="AT325" s="38">
        <f>IF(OR($C325="01-09",$C325="10-14"),"",INDEX(PrEP!$Q:$Q,MATCH($E325,PrEP!$E:$E,0)))</f>
        <v>18</v>
      </c>
      <c r="AU325" s="38">
        <f t="shared" si="152"/>
        <v>1117</v>
      </c>
      <c r="AV325" s="38">
        <f t="shared" si="153"/>
        <v>1182</v>
      </c>
      <c r="AW325" s="33">
        <f t="shared" si="154"/>
        <v>5.499153976311337E-2</v>
      </c>
      <c r="AX325" s="38">
        <v>18</v>
      </c>
      <c r="AY325" s="33">
        <f t="shared" si="158"/>
        <v>0</v>
      </c>
      <c r="AZ325" s="218">
        <f t="shared" si="156"/>
        <v>18</v>
      </c>
      <c r="BA325" s="33">
        <v>0.37</v>
      </c>
      <c r="BB325" s="218">
        <f t="shared" si="157"/>
        <v>24</v>
      </c>
    </row>
    <row r="326" spans="1:54" x14ac:dyDescent="0.2">
      <c r="A326" t="str">
        <f>INDEX(Prioritization!$D:$D,MATCH($B326,Prioritization!$A:$A,0))</f>
        <v>4 - Sustained</v>
      </c>
      <c r="B326" t="s">
        <v>312</v>
      </c>
      <c r="C326" t="s">
        <v>478</v>
      </c>
      <c r="D326" t="s">
        <v>48</v>
      </c>
      <c r="E326" t="str">
        <f t="shared" si="132"/>
        <v>Rumphi District [lPTyjLi4w3d]|50+|Male</v>
      </c>
      <c r="F326" s="33">
        <f>IF(LEFT($B326,4)="_Mil","",INDEX(Cascade!$AA:$AA,MATCH($E326,Cascade!$E:$E,0)))</f>
        <v>0.94738130499999995</v>
      </c>
      <c r="G326" s="38">
        <f>INDEX(Cascade!$BH:$BH,MATCH($E326,Cascade!$E:$E,0))</f>
        <v>42</v>
      </c>
      <c r="H326" s="38" t="str">
        <f>IF(OR($C326="01-09",$D326="Male"),"",INDEX(PMTCT!$AC:$AC,MATCH($E326,PMTCT!$E:$E,0)))</f>
        <v/>
      </c>
      <c r="I326" s="38" t="str">
        <f>IF(OR($C326="01-09",$D326="Male"),"",INDEX(PMTCT!$AS:$AS,MATCH($E326,PMTCT!$E:$E,0)))</f>
        <v/>
      </c>
      <c r="J326" s="38">
        <f>INDEX(TB!$P:$P,MATCH($E326,TB!$E:$E,0))</f>
        <v>0</v>
      </c>
      <c r="K326" s="38" t="str">
        <f>IF(OR($C326="01-09",$C326="10-14",$D326="Female"),"",INDEX(VMMC!$AA:$AA,MATCH($E326,VMMC!$E:$E,0)))</f>
        <v/>
      </c>
      <c r="L326" s="38">
        <f t="shared" si="133"/>
        <v>42</v>
      </c>
      <c r="M326" s="33" t="str">
        <f t="shared" si="134"/>
        <v/>
      </c>
      <c r="N326" s="33" t="str">
        <f t="shared" si="135"/>
        <v/>
      </c>
      <c r="O326" s="33">
        <f t="shared" si="136"/>
        <v>0</v>
      </c>
      <c r="P326" s="33">
        <f t="shared" si="137"/>
        <v>0</v>
      </c>
      <c r="Q326" s="33">
        <v>0.15</v>
      </c>
      <c r="R326" s="33"/>
      <c r="S326" s="33"/>
      <c r="T326" s="33">
        <v>0.05</v>
      </c>
      <c r="U326" s="33">
        <f t="shared" si="161"/>
        <v>0.8</v>
      </c>
      <c r="V326" s="33">
        <f t="shared" si="138"/>
        <v>1</v>
      </c>
      <c r="W326" s="218">
        <f t="shared" si="139"/>
        <v>6</v>
      </c>
      <c r="X326" s="33">
        <v>0.375</v>
      </c>
      <c r="Y326" s="218">
        <f t="shared" si="139"/>
        <v>6</v>
      </c>
      <c r="Z326" s="218">
        <f t="shared" si="140"/>
        <v>10</v>
      </c>
      <c r="AA326" s="33">
        <v>0.12</v>
      </c>
      <c r="AB326" s="218" t="str">
        <f t="shared" si="141"/>
        <v/>
      </c>
      <c r="AC326" s="218" t="str">
        <f t="shared" si="142"/>
        <v/>
      </c>
      <c r="AD326" s="33">
        <v>0.02</v>
      </c>
      <c r="AE326" s="218" t="str">
        <f t="shared" si="143"/>
        <v/>
      </c>
      <c r="AF326" s="218" t="str">
        <f t="shared" si="144"/>
        <v/>
      </c>
      <c r="AG326" s="33">
        <v>0.02</v>
      </c>
      <c r="AH326" s="218">
        <f t="shared" si="145"/>
        <v>2</v>
      </c>
      <c r="AI326" s="218">
        <f t="shared" si="146"/>
        <v>98</v>
      </c>
      <c r="AJ326" s="33">
        <v>3.2000000000000001E-2</v>
      </c>
      <c r="AK326" s="218">
        <f t="shared" si="147"/>
        <v>34</v>
      </c>
      <c r="AL326" s="218">
        <f t="shared" si="148"/>
        <v>1029</v>
      </c>
      <c r="AM326" s="38">
        <f t="shared" si="149"/>
        <v>42</v>
      </c>
      <c r="AN326" s="38">
        <f t="shared" si="150"/>
        <v>42</v>
      </c>
      <c r="AO326" s="38">
        <f t="shared" si="151"/>
        <v>0</v>
      </c>
      <c r="AP326" s="38" t="str">
        <f>IF(OR($C326="01-09",$D326="Male"),"",INDEX(PMTCT!$AD:$AD,MATCH($E326,PMTCT!$E:$E,0)))</f>
        <v/>
      </c>
      <c r="AQ326" s="38" t="str">
        <f>IF(OR($C326="01-09",$D326="Male"),"",INDEX(PMTCT!$AT:$AT,MATCH($E326,PMTCT!$E:$E,0)))</f>
        <v/>
      </c>
      <c r="AR326" s="38">
        <f>INDEX(TB!$Q:$Q,MATCH($E326,TB!$E:$E,0))</f>
        <v>5</v>
      </c>
      <c r="AS326" s="38" t="str">
        <f>IF(OR($C326="01-09",$C326="10-14",$D326="Female"),"",INDEX(VMMC!$AB:$AB,MATCH($E326,VMMC!$E:$E,0)))</f>
        <v/>
      </c>
      <c r="AT326" s="38" t="str">
        <f>IF(OR($C326="01-09",$C326="10-14"),"",INDEX(PrEP!$Q:$Q,MATCH($E326,PrEP!$E:$E,0)))</f>
        <v/>
      </c>
      <c r="AU326" s="38">
        <f t="shared" si="152"/>
        <v>1142</v>
      </c>
      <c r="AV326" s="38">
        <f t="shared" si="153"/>
        <v>1184</v>
      </c>
      <c r="AW326" s="33">
        <f t="shared" si="154"/>
        <v>3.5472972972972971E-2</v>
      </c>
      <c r="AX326" s="38">
        <v>16</v>
      </c>
      <c r="AY326" s="33">
        <f t="shared" si="158"/>
        <v>0</v>
      </c>
      <c r="AZ326" s="218">
        <f t="shared" si="156"/>
        <v>16</v>
      </c>
      <c r="BA326" s="33">
        <v>0.37</v>
      </c>
      <c r="BB326" s="218">
        <f t="shared" si="157"/>
        <v>16</v>
      </c>
    </row>
    <row r="327" spans="1:54" x14ac:dyDescent="0.2">
      <c r="A327" t="str">
        <f>INDEX(Prioritization!$D:$D,MATCH($B327,Prioritization!$A:$A,0))</f>
        <v>4 - Sustained</v>
      </c>
      <c r="B327" t="s">
        <v>306</v>
      </c>
      <c r="C327" t="s">
        <v>473</v>
      </c>
      <c r="D327" t="s">
        <v>30</v>
      </c>
      <c r="E327" t="str">
        <f t="shared" si="132"/>
        <v>Salima District [msW2zpIN7up]|01-09|Female</v>
      </c>
      <c r="F327" s="33">
        <f>IF(LEFT($B327,4)="_Mil","",INDEX(Cascade!$AA:$AA,MATCH($E327,Cascade!$E:$E,0)))</f>
        <v>0.77828722500000003</v>
      </c>
      <c r="G327" s="38">
        <f>INDEX(Cascade!$BH:$BH,MATCH($E327,Cascade!$E:$E,0))</f>
        <v>3</v>
      </c>
      <c r="H327" s="38" t="str">
        <f>IF(OR($C327="01-09",$D327="Male"),"",INDEX(PMTCT!$AC:$AC,MATCH($E327,PMTCT!$E:$E,0)))</f>
        <v/>
      </c>
      <c r="I327" s="38" t="str">
        <f>IF(OR($C327="01-09",$D327="Male"),"",INDEX(PMTCT!$AS:$AS,MATCH($E327,PMTCT!$E:$E,0)))</f>
        <v/>
      </c>
      <c r="J327" s="38">
        <f>INDEX(TB!$P:$P,MATCH($E327,TB!$E:$E,0))</f>
        <v>0</v>
      </c>
      <c r="K327" s="38" t="str">
        <f>IF(OR($C327="01-09",$C327="10-14",$D327="Female"),"",INDEX(VMMC!$AA:$AA,MATCH($E327,VMMC!$E:$E,0)))</f>
        <v/>
      </c>
      <c r="L327" s="38">
        <f t="shared" si="133"/>
        <v>3</v>
      </c>
      <c r="M327" s="33" t="str">
        <f t="shared" si="134"/>
        <v/>
      </c>
      <c r="N327" s="33" t="str">
        <f t="shared" si="135"/>
        <v/>
      </c>
      <c r="O327" s="33">
        <f t="shared" si="136"/>
        <v>0</v>
      </c>
      <c r="P327" s="33" t="str">
        <f t="shared" si="137"/>
        <v/>
      </c>
      <c r="Q327" s="33">
        <v>0.45454545454545497</v>
      </c>
      <c r="R327" s="33"/>
      <c r="S327" s="33"/>
      <c r="T327" s="33"/>
      <c r="U327" s="33">
        <f t="shared" si="161"/>
        <v>0.54545454545454497</v>
      </c>
      <c r="V327" s="33">
        <f t="shared" si="138"/>
        <v>1</v>
      </c>
      <c r="W327" s="218">
        <f t="shared" si="139"/>
        <v>1</v>
      </c>
      <c r="X327" s="33">
        <v>2.1000000000000001E-2</v>
      </c>
      <c r="Y327" s="218">
        <f t="shared" si="139"/>
        <v>1</v>
      </c>
      <c r="Z327" s="218">
        <f t="shared" si="140"/>
        <v>47</v>
      </c>
      <c r="AA327" s="33">
        <v>0.12</v>
      </c>
      <c r="AB327" s="218" t="str">
        <f t="shared" si="141"/>
        <v/>
      </c>
      <c r="AC327" s="218" t="str">
        <f t="shared" si="142"/>
        <v/>
      </c>
      <c r="AD327" s="33">
        <v>0.02</v>
      </c>
      <c r="AE327" s="218" t="str">
        <f t="shared" si="143"/>
        <v/>
      </c>
      <c r="AF327" s="218" t="str">
        <f t="shared" si="144"/>
        <v/>
      </c>
      <c r="AG327" s="33">
        <v>0.02</v>
      </c>
      <c r="AH327" s="218" t="str">
        <f t="shared" si="145"/>
        <v/>
      </c>
      <c r="AI327" s="218" t="str">
        <f t="shared" si="146"/>
        <v/>
      </c>
      <c r="AJ327" s="33">
        <v>5.7000000000000002E-3</v>
      </c>
      <c r="AK327" s="218">
        <f t="shared" si="147"/>
        <v>2</v>
      </c>
      <c r="AL327" s="218">
        <f t="shared" si="148"/>
        <v>349</v>
      </c>
      <c r="AM327" s="38">
        <f t="shared" si="149"/>
        <v>3</v>
      </c>
      <c r="AN327" s="38">
        <f t="shared" si="150"/>
        <v>3</v>
      </c>
      <c r="AO327" s="38">
        <f t="shared" si="151"/>
        <v>0</v>
      </c>
      <c r="AP327" s="38" t="str">
        <f>IF(OR($C327="01-09",$D327="Male"),"",INDEX(PMTCT!$AD:$AD,MATCH($E327,PMTCT!$E:$E,0)))</f>
        <v/>
      </c>
      <c r="AQ327" s="38" t="str">
        <f>IF(OR($C327="01-09",$D327="Male"),"",INDEX(PMTCT!$AT:$AT,MATCH($E327,PMTCT!$E:$E,0)))</f>
        <v/>
      </c>
      <c r="AR327" s="38">
        <f>INDEX(TB!$Q:$Q,MATCH($E327,TB!$E:$E,0))</f>
        <v>4</v>
      </c>
      <c r="AS327" s="38" t="str">
        <f>IF(OR($C327="01-09",$C327="10-14",$D327="Female"),"",INDEX(VMMC!$AB:$AB,MATCH($E327,VMMC!$E:$E,0)))</f>
        <v/>
      </c>
      <c r="AT327" s="38" t="str">
        <f>IF(OR($C327="01-09",$C327="10-14"),"",INDEX(PrEP!$Q:$Q,MATCH($E327,PrEP!$E:$E,0)))</f>
        <v/>
      </c>
      <c r="AU327" s="38">
        <f t="shared" si="152"/>
        <v>400</v>
      </c>
      <c r="AV327" s="38">
        <f t="shared" si="153"/>
        <v>403</v>
      </c>
      <c r="AW327" s="33">
        <f t="shared" si="154"/>
        <v>7.4441687344913151E-3</v>
      </c>
      <c r="AX327" s="38"/>
      <c r="AY327" s="33" t="str">
        <f t="shared" si="158"/>
        <v/>
      </c>
      <c r="AZ327" s="218" t="str">
        <f t="shared" si="156"/>
        <v/>
      </c>
      <c r="BA327" s="33" t="str">
        <f t="shared" si="159"/>
        <v/>
      </c>
      <c r="BB327" s="218" t="str">
        <f t="shared" si="157"/>
        <v/>
      </c>
    </row>
    <row r="328" spans="1:54" x14ac:dyDescent="0.2">
      <c r="A328" t="str">
        <f>INDEX(Prioritization!$D:$D,MATCH($B328,Prioritization!$A:$A,0))</f>
        <v>4 - Sustained</v>
      </c>
      <c r="B328" t="s">
        <v>306</v>
      </c>
      <c r="C328" t="s">
        <v>473</v>
      </c>
      <c r="D328" t="s">
        <v>48</v>
      </c>
      <c r="E328" t="str">
        <f t="shared" si="132"/>
        <v>Salima District [msW2zpIN7up]|01-09|Male</v>
      </c>
      <c r="F328" s="33">
        <f>IF(LEFT($B328,4)="_Mil","",INDEX(Cascade!$AA:$AA,MATCH($E328,Cascade!$E:$E,0)))</f>
        <v>0.77840935</v>
      </c>
      <c r="G328" s="38">
        <f>INDEX(Cascade!$BH:$BH,MATCH($E328,Cascade!$E:$E,0))</f>
        <v>4</v>
      </c>
      <c r="H328" s="38" t="str">
        <f>IF(OR($C328="01-09",$D328="Male"),"",INDEX(PMTCT!$AC:$AC,MATCH($E328,PMTCT!$E:$E,0)))</f>
        <v/>
      </c>
      <c r="I328" s="38" t="str">
        <f>IF(OR($C328="01-09",$D328="Male"),"",INDEX(PMTCT!$AS:$AS,MATCH($E328,PMTCT!$E:$E,0)))</f>
        <v/>
      </c>
      <c r="J328" s="38">
        <f>INDEX(TB!$P:$P,MATCH($E328,TB!$E:$E,0))</f>
        <v>0</v>
      </c>
      <c r="K328" s="38" t="str">
        <f>IF(OR($C328="01-09",$C328="10-14",$D328="Female"),"",INDEX(VMMC!$AA:$AA,MATCH($E328,VMMC!$E:$E,0)))</f>
        <v/>
      </c>
      <c r="L328" s="38">
        <f t="shared" si="133"/>
        <v>4</v>
      </c>
      <c r="M328" s="33" t="str">
        <f t="shared" si="134"/>
        <v/>
      </c>
      <c r="N328" s="33" t="str">
        <f t="shared" si="135"/>
        <v/>
      </c>
      <c r="O328" s="33">
        <f t="shared" si="136"/>
        <v>0</v>
      </c>
      <c r="P328" s="33" t="str">
        <f t="shared" si="137"/>
        <v/>
      </c>
      <c r="Q328" s="33">
        <v>0.45454545454545497</v>
      </c>
      <c r="R328" s="33"/>
      <c r="S328" s="33"/>
      <c r="T328" s="33"/>
      <c r="U328" s="33">
        <f t="shared" si="161"/>
        <v>0.54545454545454497</v>
      </c>
      <c r="V328" s="33">
        <f t="shared" si="138"/>
        <v>1</v>
      </c>
      <c r="W328" s="218">
        <f t="shared" si="139"/>
        <v>2</v>
      </c>
      <c r="X328" s="33">
        <v>2.1000000000000001E-2</v>
      </c>
      <c r="Y328" s="218">
        <f t="shared" si="139"/>
        <v>2</v>
      </c>
      <c r="Z328" s="218">
        <f t="shared" si="140"/>
        <v>93</v>
      </c>
      <c r="AA328" s="33">
        <v>0.12</v>
      </c>
      <c r="AB328" s="218" t="str">
        <f t="shared" si="141"/>
        <v/>
      </c>
      <c r="AC328" s="218" t="str">
        <f t="shared" si="142"/>
        <v/>
      </c>
      <c r="AD328" s="33">
        <v>0.02</v>
      </c>
      <c r="AE328" s="218" t="str">
        <f t="shared" si="143"/>
        <v/>
      </c>
      <c r="AF328" s="218" t="str">
        <f t="shared" si="144"/>
        <v/>
      </c>
      <c r="AG328" s="33">
        <v>0.02</v>
      </c>
      <c r="AH328" s="218" t="str">
        <f t="shared" si="145"/>
        <v/>
      </c>
      <c r="AI328" s="218" t="str">
        <f t="shared" si="146"/>
        <v/>
      </c>
      <c r="AJ328" s="33">
        <v>7.0000000000000001E-3</v>
      </c>
      <c r="AK328" s="218">
        <f t="shared" si="147"/>
        <v>2</v>
      </c>
      <c r="AL328" s="218">
        <f t="shared" si="148"/>
        <v>284</v>
      </c>
      <c r="AM328" s="38">
        <f t="shared" si="149"/>
        <v>4</v>
      </c>
      <c r="AN328" s="38">
        <f t="shared" si="150"/>
        <v>4</v>
      </c>
      <c r="AO328" s="38">
        <f t="shared" si="151"/>
        <v>0</v>
      </c>
      <c r="AP328" s="38" t="str">
        <f>IF(OR($C328="01-09",$D328="Male"),"",INDEX(PMTCT!$AD:$AD,MATCH($E328,PMTCT!$E:$E,0)))</f>
        <v/>
      </c>
      <c r="AQ328" s="38" t="str">
        <f>IF(OR($C328="01-09",$D328="Male"),"",INDEX(PMTCT!$AT:$AT,MATCH($E328,PMTCT!$E:$E,0)))</f>
        <v/>
      </c>
      <c r="AR328" s="38">
        <f>INDEX(TB!$Q:$Q,MATCH($E328,TB!$E:$E,0))</f>
        <v>4</v>
      </c>
      <c r="AS328" s="38" t="str">
        <f>IF(OR($C328="01-09",$C328="10-14",$D328="Female"),"",INDEX(VMMC!$AB:$AB,MATCH($E328,VMMC!$E:$E,0)))</f>
        <v/>
      </c>
      <c r="AT328" s="38" t="str">
        <f>IF(OR($C328="01-09",$C328="10-14"),"",INDEX(PrEP!$Q:$Q,MATCH($E328,PrEP!$E:$E,0)))</f>
        <v/>
      </c>
      <c r="AU328" s="38">
        <f t="shared" si="152"/>
        <v>381</v>
      </c>
      <c r="AV328" s="38">
        <f t="shared" si="153"/>
        <v>385</v>
      </c>
      <c r="AW328" s="33">
        <f t="shared" si="154"/>
        <v>1.038961038961039E-2</v>
      </c>
      <c r="AX328" s="38"/>
      <c r="AY328" s="33" t="str">
        <f t="shared" si="158"/>
        <v/>
      </c>
      <c r="AZ328" s="218" t="str">
        <f t="shared" si="156"/>
        <v/>
      </c>
      <c r="BA328" s="33" t="str">
        <f t="shared" si="159"/>
        <v/>
      </c>
      <c r="BB328" s="218" t="str">
        <f t="shared" si="157"/>
        <v/>
      </c>
    </row>
    <row r="329" spans="1:54" x14ac:dyDescent="0.2">
      <c r="A329" t="str">
        <f>INDEX(Prioritization!$D:$D,MATCH($B329,Prioritization!$A:$A,0))</f>
        <v>4 - Sustained</v>
      </c>
      <c r="B329" t="s">
        <v>306</v>
      </c>
      <c r="C329" t="s">
        <v>474</v>
      </c>
      <c r="D329" t="s">
        <v>30</v>
      </c>
      <c r="E329" t="str">
        <f t="shared" si="132"/>
        <v>Salima District [msW2zpIN7up]|10-14|Female</v>
      </c>
      <c r="F329" s="33">
        <f>IF(LEFT($B329,4)="_Mil","",INDEX(Cascade!$AA:$AA,MATCH($E329,Cascade!$E:$E,0)))</f>
        <v>0.80802627000000016</v>
      </c>
      <c r="G329" s="38">
        <f>INDEX(Cascade!$BH:$BH,MATCH($E329,Cascade!$E:$E,0))</f>
        <v>25</v>
      </c>
      <c r="H329" s="38">
        <f>IF(OR($C329="01-09",$D329="Male"),"",INDEX(PMTCT!$AC:$AC,MATCH($E329,PMTCT!$E:$E,0)))</f>
        <v>1</v>
      </c>
      <c r="I329" s="38">
        <f>IF(OR($C329="01-09",$D329="Male"),"",INDEX(PMTCT!$AS:$AS,MATCH($E329,PMTCT!$E:$E,0)))</f>
        <v>0</v>
      </c>
      <c r="J329" s="38">
        <f>INDEX(TB!$P:$P,MATCH($E329,TB!$E:$E,0))</f>
        <v>0</v>
      </c>
      <c r="K329" s="38" t="str">
        <f>IF(OR($C329="01-09",$C329="10-14",$D329="Female"),"",INDEX(VMMC!$AA:$AA,MATCH($E329,VMMC!$E:$E,0)))</f>
        <v/>
      </c>
      <c r="L329" s="38">
        <f t="shared" si="133"/>
        <v>24</v>
      </c>
      <c r="M329" s="33">
        <f t="shared" si="134"/>
        <v>0.04</v>
      </c>
      <c r="N329" s="33">
        <f t="shared" si="135"/>
        <v>0</v>
      </c>
      <c r="O329" s="33">
        <f t="shared" si="136"/>
        <v>0</v>
      </c>
      <c r="P329" s="33" t="str">
        <f t="shared" si="137"/>
        <v/>
      </c>
      <c r="Q329" s="33">
        <v>0.41935483870967699</v>
      </c>
      <c r="R329" s="33"/>
      <c r="S329" s="33"/>
      <c r="T329" s="33"/>
      <c r="U329" s="33">
        <f t="shared" si="161"/>
        <v>0.54064516129032303</v>
      </c>
      <c r="V329" s="33">
        <f t="shared" si="138"/>
        <v>1</v>
      </c>
      <c r="W329" s="218">
        <f t="shared" si="139"/>
        <v>10</v>
      </c>
      <c r="X329" s="33">
        <v>5.1000000000000004E-3</v>
      </c>
      <c r="Y329" s="218">
        <f t="shared" si="139"/>
        <v>10</v>
      </c>
      <c r="Z329" s="218">
        <f t="shared" si="140"/>
        <v>1951</v>
      </c>
      <c r="AA329" s="33">
        <v>0.12</v>
      </c>
      <c r="AB329" s="218" t="str">
        <f t="shared" si="141"/>
        <v/>
      </c>
      <c r="AC329" s="218" t="str">
        <f t="shared" si="142"/>
        <v/>
      </c>
      <c r="AD329" s="33">
        <v>0.02</v>
      </c>
      <c r="AE329" s="218" t="str">
        <f t="shared" si="143"/>
        <v/>
      </c>
      <c r="AF329" s="218" t="str">
        <f t="shared" si="144"/>
        <v/>
      </c>
      <c r="AG329" s="33">
        <v>0.02</v>
      </c>
      <c r="AH329" s="218" t="str">
        <f t="shared" si="145"/>
        <v/>
      </c>
      <c r="AI329" s="218" t="str">
        <f t="shared" si="146"/>
        <v/>
      </c>
      <c r="AJ329" s="33">
        <v>3.3E-3</v>
      </c>
      <c r="AK329" s="218">
        <f t="shared" si="147"/>
        <v>14</v>
      </c>
      <c r="AL329" s="218">
        <f t="shared" si="148"/>
        <v>4228</v>
      </c>
      <c r="AM329" s="38">
        <f t="shared" si="149"/>
        <v>25</v>
      </c>
      <c r="AN329" s="38">
        <f t="shared" si="150"/>
        <v>25</v>
      </c>
      <c r="AO329" s="38">
        <f t="shared" si="151"/>
        <v>0</v>
      </c>
      <c r="AP329" s="38">
        <f>IF(OR($C329="01-09",$D329="Male"),"",INDEX(PMTCT!$AD:$AD,MATCH($E329,PMTCT!$E:$E,0)))</f>
        <v>66</v>
      </c>
      <c r="AQ329" s="38">
        <f>IF(OR($C329="01-09",$D329="Male"),"",INDEX(PMTCT!$AT:$AT,MATCH($E329,PMTCT!$E:$E,0)))</f>
        <v>66</v>
      </c>
      <c r="AR329" s="38">
        <f>INDEX(TB!$Q:$Q,MATCH($E329,TB!$E:$E,0))</f>
        <v>2</v>
      </c>
      <c r="AS329" s="38" t="str">
        <f>IF(OR($C329="01-09",$C329="10-14",$D329="Female"),"",INDEX(VMMC!$AB:$AB,MATCH($E329,VMMC!$E:$E,0)))</f>
        <v/>
      </c>
      <c r="AT329" s="38" t="str">
        <f>IF(OR($C329="01-09",$C329="10-14"),"",INDEX(PrEP!$Q:$Q,MATCH($E329,PrEP!$E:$E,0)))</f>
        <v/>
      </c>
      <c r="AU329" s="38">
        <f t="shared" si="152"/>
        <v>6313</v>
      </c>
      <c r="AV329" s="38">
        <f t="shared" si="153"/>
        <v>6338</v>
      </c>
      <c r="AW329" s="33">
        <f t="shared" si="154"/>
        <v>3.9444619753865569E-3</v>
      </c>
      <c r="AX329" s="38"/>
      <c r="AY329" s="33" t="str">
        <f t="shared" si="158"/>
        <v/>
      </c>
      <c r="AZ329" s="218" t="str">
        <f t="shared" si="156"/>
        <v/>
      </c>
      <c r="BA329" s="33" t="str">
        <f t="shared" si="159"/>
        <v/>
      </c>
      <c r="BB329" s="218" t="str">
        <f t="shared" si="157"/>
        <v/>
      </c>
    </row>
    <row r="330" spans="1:54" x14ac:dyDescent="0.2">
      <c r="A330" t="str">
        <f>INDEX(Prioritization!$D:$D,MATCH($B330,Prioritization!$A:$A,0))</f>
        <v>4 - Sustained</v>
      </c>
      <c r="B330" t="s">
        <v>306</v>
      </c>
      <c r="C330" t="s">
        <v>474</v>
      </c>
      <c r="D330" t="s">
        <v>48</v>
      </c>
      <c r="E330" t="str">
        <f t="shared" si="132"/>
        <v>Salima District [msW2zpIN7up]|10-14|Male</v>
      </c>
      <c r="F330" s="33">
        <f>IF(LEFT($B330,4)="_Mil","",INDEX(Cascade!$AA:$AA,MATCH($E330,Cascade!$E:$E,0)))</f>
        <v>0.80787807499999997</v>
      </c>
      <c r="G330" s="38">
        <f>INDEX(Cascade!$BH:$BH,MATCH($E330,Cascade!$E:$E,0))</f>
        <v>4</v>
      </c>
      <c r="H330" s="38" t="str">
        <f>IF(OR($C330="01-09",$D330="Male"),"",INDEX(PMTCT!$AC:$AC,MATCH($E330,PMTCT!$E:$E,0)))</f>
        <v/>
      </c>
      <c r="I330" s="38" t="str">
        <f>IF(OR($C330="01-09",$D330="Male"),"",INDEX(PMTCT!$AS:$AS,MATCH($E330,PMTCT!$E:$E,0)))</f>
        <v/>
      </c>
      <c r="J330" s="38">
        <f>INDEX(TB!$P:$P,MATCH($E330,TB!$E:$E,0))</f>
        <v>0</v>
      </c>
      <c r="K330" s="38" t="str">
        <f>IF(OR($C330="01-09",$C330="10-14",$D330="Female"),"",INDEX(VMMC!$AA:$AA,MATCH($E330,VMMC!$E:$E,0)))</f>
        <v/>
      </c>
      <c r="L330" s="38">
        <f t="shared" si="133"/>
        <v>4</v>
      </c>
      <c r="M330" s="33" t="str">
        <f t="shared" si="134"/>
        <v/>
      </c>
      <c r="N330" s="33" t="str">
        <f t="shared" si="135"/>
        <v/>
      </c>
      <c r="O330" s="33">
        <f t="shared" si="136"/>
        <v>0</v>
      </c>
      <c r="P330" s="33" t="str">
        <f t="shared" si="137"/>
        <v/>
      </c>
      <c r="Q330" s="33">
        <v>0.58064516129032295</v>
      </c>
      <c r="R330" s="33"/>
      <c r="S330" s="33"/>
      <c r="T330" s="33"/>
      <c r="U330" s="33">
        <f t="shared" si="161"/>
        <v>0.41935483870967705</v>
      </c>
      <c r="V330" s="33">
        <f t="shared" si="138"/>
        <v>1</v>
      </c>
      <c r="W330" s="218">
        <f t="shared" si="139"/>
        <v>2</v>
      </c>
      <c r="X330" s="33">
        <v>1.7999999999999999E-2</v>
      </c>
      <c r="Y330" s="218">
        <f t="shared" si="139"/>
        <v>2</v>
      </c>
      <c r="Z330" s="218">
        <f t="shared" si="140"/>
        <v>109</v>
      </c>
      <c r="AA330" s="33">
        <v>0.12</v>
      </c>
      <c r="AB330" s="218" t="str">
        <f t="shared" si="141"/>
        <v/>
      </c>
      <c r="AC330" s="218" t="str">
        <f t="shared" si="142"/>
        <v/>
      </c>
      <c r="AD330" s="33">
        <v>0.02</v>
      </c>
      <c r="AE330" s="218" t="str">
        <f t="shared" si="143"/>
        <v/>
      </c>
      <c r="AF330" s="218" t="str">
        <f t="shared" si="144"/>
        <v/>
      </c>
      <c r="AG330" s="33">
        <v>0.02</v>
      </c>
      <c r="AH330" s="218" t="str">
        <f t="shared" si="145"/>
        <v/>
      </c>
      <c r="AI330" s="218" t="str">
        <f t="shared" si="146"/>
        <v/>
      </c>
      <c r="AJ330" s="33">
        <v>8.5000000000000006E-3</v>
      </c>
      <c r="AK330" s="218">
        <f t="shared" si="147"/>
        <v>2</v>
      </c>
      <c r="AL330" s="218">
        <f t="shared" si="148"/>
        <v>233</v>
      </c>
      <c r="AM330" s="38">
        <f t="shared" si="149"/>
        <v>4</v>
      </c>
      <c r="AN330" s="38">
        <f t="shared" si="150"/>
        <v>4</v>
      </c>
      <c r="AO330" s="38">
        <f t="shared" si="151"/>
        <v>0</v>
      </c>
      <c r="AP330" s="38" t="str">
        <f>IF(OR($C330="01-09",$D330="Male"),"",INDEX(PMTCT!$AD:$AD,MATCH($E330,PMTCT!$E:$E,0)))</f>
        <v/>
      </c>
      <c r="AQ330" s="38" t="str">
        <f>IF(OR($C330="01-09",$D330="Male"),"",INDEX(PMTCT!$AT:$AT,MATCH($E330,PMTCT!$E:$E,0)))</f>
        <v/>
      </c>
      <c r="AR330" s="38">
        <f>INDEX(TB!$Q:$Q,MATCH($E330,TB!$E:$E,0))</f>
        <v>2</v>
      </c>
      <c r="AS330" s="38" t="str">
        <f>IF(OR($C330="01-09",$C330="10-14",$D330="Female"),"",INDEX(VMMC!$AB:$AB,MATCH($E330,VMMC!$E:$E,0)))</f>
        <v/>
      </c>
      <c r="AT330" s="38" t="str">
        <f>IF(OR($C330="01-09",$C330="10-14"),"",INDEX(PrEP!$Q:$Q,MATCH($E330,PrEP!$E:$E,0)))</f>
        <v/>
      </c>
      <c r="AU330" s="38">
        <f t="shared" si="152"/>
        <v>344</v>
      </c>
      <c r="AV330" s="38">
        <f t="shared" si="153"/>
        <v>348</v>
      </c>
      <c r="AW330" s="33">
        <f t="shared" si="154"/>
        <v>1.1494252873563218E-2</v>
      </c>
      <c r="AX330" s="38"/>
      <c r="AY330" s="33" t="str">
        <f t="shared" si="158"/>
        <v/>
      </c>
      <c r="AZ330" s="218" t="str">
        <f t="shared" si="156"/>
        <v/>
      </c>
      <c r="BA330" s="33" t="str">
        <f t="shared" si="159"/>
        <v/>
      </c>
      <c r="BB330" s="218" t="str">
        <f t="shared" si="157"/>
        <v/>
      </c>
    </row>
    <row r="331" spans="1:54" x14ac:dyDescent="0.2">
      <c r="A331" t="str">
        <f>INDEX(Prioritization!$D:$D,MATCH($B331,Prioritization!$A:$A,0))</f>
        <v>4 - Sustained</v>
      </c>
      <c r="B331" t="s">
        <v>306</v>
      </c>
      <c r="C331" t="s">
        <v>475</v>
      </c>
      <c r="D331" t="s">
        <v>30</v>
      </c>
      <c r="E331" t="str">
        <f t="shared" si="132"/>
        <v>Salima District [msW2zpIN7up]|15-24|Female</v>
      </c>
      <c r="F331" s="33">
        <f>IF(LEFT($B331,4)="_Mil","",INDEX(Cascade!$AA:$AA,MATCH($E331,Cascade!$E:$E,0)))</f>
        <v>0.94846739200000008</v>
      </c>
      <c r="G331" s="38">
        <f>INDEX(Cascade!$BH:$BH,MATCH($E331,Cascade!$E:$E,0))</f>
        <v>145</v>
      </c>
      <c r="H331" s="38">
        <f>IF(OR($C331="01-09",$D331="Male"),"",INDEX(PMTCT!$AC:$AC,MATCH($E331,PMTCT!$E:$E,0)))</f>
        <v>57</v>
      </c>
      <c r="I331" s="38">
        <f>IF(OR($C331="01-09",$D331="Male"),"",INDEX(PMTCT!$AS:$AS,MATCH($E331,PMTCT!$E:$E,0)))</f>
        <v>46</v>
      </c>
      <c r="J331" s="38">
        <f>INDEX(TB!$P:$P,MATCH($E331,TB!$E:$E,0))</f>
        <v>1</v>
      </c>
      <c r="K331" s="38" t="str">
        <f>IF(OR($C331="01-09",$C331="10-14",$D331="Female"),"",INDEX(VMMC!$AA:$AA,MATCH($E331,VMMC!$E:$E,0)))</f>
        <v/>
      </c>
      <c r="L331" s="38">
        <f t="shared" si="133"/>
        <v>41</v>
      </c>
      <c r="M331" s="33">
        <f t="shared" si="134"/>
        <v>0.39310344827586208</v>
      </c>
      <c r="N331" s="33">
        <f t="shared" si="135"/>
        <v>0.31724137931034485</v>
      </c>
      <c r="O331" s="33">
        <f t="shared" si="136"/>
        <v>6.8965517241379309E-3</v>
      </c>
      <c r="P331" s="33" t="str">
        <f t="shared" si="137"/>
        <v/>
      </c>
      <c r="Q331" s="33">
        <v>0.15</v>
      </c>
      <c r="R331" s="33"/>
      <c r="S331" s="33"/>
      <c r="T331" s="33">
        <v>0.05</v>
      </c>
      <c r="U331" s="33">
        <f t="shared" si="161"/>
        <v>8.2758620689655005E-2</v>
      </c>
      <c r="V331" s="33">
        <f t="shared" si="138"/>
        <v>1</v>
      </c>
      <c r="W331" s="218">
        <f t="shared" si="139"/>
        <v>22</v>
      </c>
      <c r="X331" s="33">
        <v>0.04</v>
      </c>
      <c r="Y331" s="218">
        <f t="shared" si="139"/>
        <v>22</v>
      </c>
      <c r="Z331" s="218">
        <f t="shared" si="140"/>
        <v>528</v>
      </c>
      <c r="AA331" s="33">
        <v>0.12</v>
      </c>
      <c r="AB331" s="218" t="str">
        <f t="shared" si="141"/>
        <v/>
      </c>
      <c r="AC331" s="218" t="str">
        <f t="shared" si="142"/>
        <v/>
      </c>
      <c r="AD331" s="33">
        <v>0.02</v>
      </c>
      <c r="AE331" s="218" t="str">
        <f t="shared" si="143"/>
        <v/>
      </c>
      <c r="AF331" s="218" t="str">
        <f t="shared" si="144"/>
        <v/>
      </c>
      <c r="AG331" s="33">
        <v>0.02</v>
      </c>
      <c r="AH331" s="218">
        <f t="shared" si="145"/>
        <v>7</v>
      </c>
      <c r="AI331" s="218">
        <f t="shared" si="146"/>
        <v>343</v>
      </c>
      <c r="AJ331" s="33">
        <v>7.0000000000000001E-3</v>
      </c>
      <c r="AK331" s="218">
        <f t="shared" si="147"/>
        <v>12</v>
      </c>
      <c r="AL331" s="218">
        <f t="shared" si="148"/>
        <v>1702</v>
      </c>
      <c r="AM331" s="38">
        <f t="shared" si="149"/>
        <v>145</v>
      </c>
      <c r="AN331" s="38">
        <f t="shared" si="150"/>
        <v>145</v>
      </c>
      <c r="AO331" s="38">
        <f t="shared" si="151"/>
        <v>0</v>
      </c>
      <c r="AP331" s="38">
        <f>IF(OR($C331="01-09",$D331="Male"),"",INDEX(PMTCT!$AD:$AD,MATCH($E331,PMTCT!$E:$E,0)))</f>
        <v>11411</v>
      </c>
      <c r="AQ331" s="38">
        <f>IF(OR($C331="01-09",$D331="Male"),"",INDEX(PMTCT!$AT:$AT,MATCH($E331,PMTCT!$E:$E,0)))</f>
        <v>11365</v>
      </c>
      <c r="AR331" s="38">
        <f>INDEX(TB!$Q:$Q,MATCH($E331,TB!$E:$E,0))</f>
        <v>17</v>
      </c>
      <c r="AS331" s="38" t="str">
        <f>IF(OR($C331="01-09",$C331="10-14",$D331="Female"),"",INDEX(VMMC!$AB:$AB,MATCH($E331,VMMC!$E:$E,0)))</f>
        <v/>
      </c>
      <c r="AT331" s="38">
        <f>IF(OR($C331="01-09",$C331="10-14"),"",INDEX(PrEP!$Q:$Q,MATCH($E331,PrEP!$E:$E,0)))</f>
        <v>48</v>
      </c>
      <c r="AU331" s="38">
        <f t="shared" si="152"/>
        <v>25414</v>
      </c>
      <c r="AV331" s="38">
        <f t="shared" si="153"/>
        <v>25558.999999999996</v>
      </c>
      <c r="AW331" s="33">
        <f t="shared" si="154"/>
        <v>5.6731484017371577E-3</v>
      </c>
      <c r="AX331" s="38">
        <v>5341</v>
      </c>
      <c r="AY331" s="33">
        <f t="shared" ref="AY331:AY336" si="165">IF(OR($C331="01-09",SUM($AX331)=0),"",68%)</f>
        <v>0.68</v>
      </c>
      <c r="AZ331" s="218">
        <f t="shared" si="156"/>
        <v>8973</v>
      </c>
      <c r="BA331" s="33">
        <v>0.56999999999999995</v>
      </c>
      <c r="BB331" s="218">
        <f t="shared" si="157"/>
        <v>83</v>
      </c>
    </row>
    <row r="332" spans="1:54" x14ac:dyDescent="0.2">
      <c r="A332" t="str">
        <f>INDEX(Prioritization!$D:$D,MATCH($B332,Prioritization!$A:$A,0))</f>
        <v>4 - Sustained</v>
      </c>
      <c r="B332" t="s">
        <v>306</v>
      </c>
      <c r="C332" t="s">
        <v>475</v>
      </c>
      <c r="D332" t="s">
        <v>48</v>
      </c>
      <c r="E332" t="str">
        <f t="shared" si="132"/>
        <v>Salima District [msW2zpIN7up]|15-24|Male</v>
      </c>
      <c r="F332" s="33">
        <f>IF(LEFT($B332,4)="_Mil","",INDEX(Cascade!$AA:$AA,MATCH($E332,Cascade!$E:$E,0)))</f>
        <v>0.92394196200000001</v>
      </c>
      <c r="G332" s="38">
        <f>INDEX(Cascade!$BH:$BH,MATCH($E332,Cascade!$E:$E,0))</f>
        <v>32</v>
      </c>
      <c r="H332" s="38" t="str">
        <f>IF(OR($C332="01-09",$D332="Male"),"",INDEX(PMTCT!$AC:$AC,MATCH($E332,PMTCT!$E:$E,0)))</f>
        <v/>
      </c>
      <c r="I332" s="38" t="str">
        <f>IF(OR($C332="01-09",$D332="Male"),"",INDEX(PMTCT!$AS:$AS,MATCH($E332,PMTCT!$E:$E,0)))</f>
        <v/>
      </c>
      <c r="J332" s="38">
        <f>INDEX(TB!$P:$P,MATCH($E332,TB!$E:$E,0))</f>
        <v>2</v>
      </c>
      <c r="K332" s="38" t="str">
        <f>IF(OR($C332="01-09",$C332="10-14",$D332="Female"),"",INDEX(VMMC!$AA:$AA,MATCH($E332,VMMC!$E:$E,0)))</f>
        <v/>
      </c>
      <c r="L332" s="38">
        <f t="shared" si="133"/>
        <v>30</v>
      </c>
      <c r="M332" s="33" t="str">
        <f t="shared" si="134"/>
        <v/>
      </c>
      <c r="N332" s="33" t="str">
        <f t="shared" si="135"/>
        <v/>
      </c>
      <c r="O332" s="33">
        <f t="shared" si="136"/>
        <v>6.25E-2</v>
      </c>
      <c r="P332" s="33">
        <f t="shared" si="137"/>
        <v>0</v>
      </c>
      <c r="Q332" s="33">
        <v>0.31481481481481499</v>
      </c>
      <c r="R332" s="33"/>
      <c r="S332" s="33"/>
      <c r="T332" s="33">
        <v>0.05</v>
      </c>
      <c r="U332" s="33">
        <f t="shared" si="161"/>
        <v>0.57268518518518507</v>
      </c>
      <c r="V332" s="33">
        <f t="shared" si="138"/>
        <v>1</v>
      </c>
      <c r="W332" s="218">
        <f t="shared" si="139"/>
        <v>10</v>
      </c>
      <c r="X332" s="33">
        <v>4.8000000000000001E-2</v>
      </c>
      <c r="Y332" s="218">
        <f t="shared" si="139"/>
        <v>10</v>
      </c>
      <c r="Z332" s="218">
        <f t="shared" si="140"/>
        <v>198</v>
      </c>
      <c r="AA332" s="33">
        <v>0.12</v>
      </c>
      <c r="AB332" s="218" t="str">
        <f t="shared" si="141"/>
        <v/>
      </c>
      <c r="AC332" s="218" t="str">
        <f t="shared" si="142"/>
        <v/>
      </c>
      <c r="AD332" s="33">
        <v>0.02</v>
      </c>
      <c r="AE332" s="218" t="str">
        <f t="shared" si="143"/>
        <v/>
      </c>
      <c r="AF332" s="218" t="str">
        <f t="shared" si="144"/>
        <v/>
      </c>
      <c r="AG332" s="33">
        <v>0.02</v>
      </c>
      <c r="AH332" s="218">
        <f t="shared" si="145"/>
        <v>2</v>
      </c>
      <c r="AI332" s="218">
        <f t="shared" si="146"/>
        <v>98</v>
      </c>
      <c r="AJ332" s="33">
        <v>5.4000000000000003E-3</v>
      </c>
      <c r="AK332" s="218">
        <f t="shared" si="147"/>
        <v>18</v>
      </c>
      <c r="AL332" s="218">
        <f t="shared" si="148"/>
        <v>3315</v>
      </c>
      <c r="AM332" s="38">
        <f t="shared" si="149"/>
        <v>32</v>
      </c>
      <c r="AN332" s="38">
        <f t="shared" si="150"/>
        <v>32</v>
      </c>
      <c r="AO332" s="38">
        <f t="shared" si="151"/>
        <v>0</v>
      </c>
      <c r="AP332" s="38" t="str">
        <f>IF(OR($C332="01-09",$D332="Male"),"",INDEX(PMTCT!$AD:$AD,MATCH($E332,PMTCT!$E:$E,0)))</f>
        <v/>
      </c>
      <c r="AQ332" s="38" t="str">
        <f>IF(OR($C332="01-09",$D332="Male"),"",INDEX(PMTCT!$AT:$AT,MATCH($E332,PMTCT!$E:$E,0)))</f>
        <v/>
      </c>
      <c r="AR332" s="38">
        <f>INDEX(TB!$Q:$Q,MATCH($E332,TB!$E:$E,0))</f>
        <v>24</v>
      </c>
      <c r="AS332" s="38" t="str">
        <f>IF(OR($C332="01-09",$C332="10-14",$D332="Female"),"",INDEX(VMMC!$AB:$AB,MATCH($E332,VMMC!$E:$E,0)))</f>
        <v/>
      </c>
      <c r="AT332" s="38">
        <f>IF(OR($C332="01-09",$C332="10-14"),"",INDEX(PrEP!$Q:$Q,MATCH($E332,PrEP!$E:$E,0)))</f>
        <v>12</v>
      </c>
      <c r="AU332" s="38">
        <f t="shared" si="152"/>
        <v>3647.0000000000005</v>
      </c>
      <c r="AV332" s="38">
        <f t="shared" si="153"/>
        <v>3679</v>
      </c>
      <c r="AW332" s="33">
        <f t="shared" si="154"/>
        <v>8.6980157651535741E-3</v>
      </c>
      <c r="AX332" s="38">
        <v>285</v>
      </c>
      <c r="AY332" s="33">
        <f t="shared" si="165"/>
        <v>0.68</v>
      </c>
      <c r="AZ332" s="218">
        <f t="shared" si="156"/>
        <v>479</v>
      </c>
      <c r="BA332" s="33">
        <v>0.56999999999999995</v>
      </c>
      <c r="BB332" s="218">
        <f t="shared" si="157"/>
        <v>18</v>
      </c>
    </row>
    <row r="333" spans="1:54" x14ac:dyDescent="0.2">
      <c r="A333" t="str">
        <f>INDEX(Prioritization!$D:$D,MATCH($B333,Prioritization!$A:$A,0))</f>
        <v>4 - Sustained</v>
      </c>
      <c r="B333" t="s">
        <v>306</v>
      </c>
      <c r="C333" t="s">
        <v>476</v>
      </c>
      <c r="D333" t="s">
        <v>30</v>
      </c>
      <c r="E333" t="str">
        <f t="shared" si="132"/>
        <v>Salima District [msW2zpIN7up]|25-34|Female</v>
      </c>
      <c r="F333" s="33">
        <f>IF(LEFT($B333,4)="_Mil","",INDEX(Cascade!$AA:$AA,MATCH($E333,Cascade!$E:$E,0)))</f>
        <v>0.97282246999999999</v>
      </c>
      <c r="G333" s="38">
        <f>INDEX(Cascade!$BH:$BH,MATCH($E333,Cascade!$E:$E,0))</f>
        <v>389</v>
      </c>
      <c r="H333" s="38">
        <f>IF(OR($C333="01-09",$D333="Male"),"",INDEX(PMTCT!$AC:$AC,MATCH($E333,PMTCT!$E:$E,0)))</f>
        <v>69</v>
      </c>
      <c r="I333" s="38">
        <f>IF(OR($C333="01-09",$D333="Male"),"",INDEX(PMTCT!$AS:$AS,MATCH($E333,PMTCT!$E:$E,0)))</f>
        <v>26</v>
      </c>
      <c r="J333" s="38">
        <f>INDEX(TB!$P:$P,MATCH($E333,TB!$E:$E,0))</f>
        <v>1</v>
      </c>
      <c r="K333" s="38" t="str">
        <f>IF(OR($C333="01-09",$C333="10-14",$D333="Female"),"",INDEX(VMMC!$AA:$AA,MATCH($E333,VMMC!$E:$E,0)))</f>
        <v/>
      </c>
      <c r="L333" s="38">
        <f t="shared" si="133"/>
        <v>293</v>
      </c>
      <c r="M333" s="33">
        <f t="shared" si="134"/>
        <v>0.17737789203084833</v>
      </c>
      <c r="N333" s="33">
        <f t="shared" si="135"/>
        <v>6.6838046272493568E-2</v>
      </c>
      <c r="O333" s="33">
        <f t="shared" si="136"/>
        <v>2.5706940874035988E-3</v>
      </c>
      <c r="P333" s="33" t="str">
        <f t="shared" si="137"/>
        <v/>
      </c>
      <c r="Q333" s="33">
        <v>0.167487684729064</v>
      </c>
      <c r="R333" s="33"/>
      <c r="S333" s="33"/>
      <c r="T333" s="33">
        <v>0.05</v>
      </c>
      <c r="U333" s="33">
        <f t="shared" si="161"/>
        <v>0.53572568288019051</v>
      </c>
      <c r="V333" s="33">
        <f t="shared" si="138"/>
        <v>1</v>
      </c>
      <c r="W333" s="218">
        <f t="shared" si="139"/>
        <v>65</v>
      </c>
      <c r="X333" s="33">
        <v>0.17</v>
      </c>
      <c r="Y333" s="218">
        <f t="shared" si="139"/>
        <v>65</v>
      </c>
      <c r="Z333" s="218">
        <f t="shared" si="140"/>
        <v>317</v>
      </c>
      <c r="AA333" s="33">
        <v>0.12</v>
      </c>
      <c r="AB333" s="218" t="str">
        <f t="shared" si="141"/>
        <v/>
      </c>
      <c r="AC333" s="218" t="str">
        <f t="shared" si="142"/>
        <v/>
      </c>
      <c r="AD333" s="33">
        <v>0.02</v>
      </c>
      <c r="AE333" s="218" t="str">
        <f t="shared" si="143"/>
        <v/>
      </c>
      <c r="AF333" s="218" t="str">
        <f t="shared" si="144"/>
        <v/>
      </c>
      <c r="AG333" s="33">
        <v>0.02</v>
      </c>
      <c r="AH333" s="218">
        <f t="shared" si="145"/>
        <v>19</v>
      </c>
      <c r="AI333" s="218">
        <f t="shared" si="146"/>
        <v>931</v>
      </c>
      <c r="AJ333" s="33">
        <v>1.4E-2</v>
      </c>
      <c r="AK333" s="218">
        <f t="shared" si="147"/>
        <v>208</v>
      </c>
      <c r="AL333" s="218">
        <f t="shared" si="148"/>
        <v>14649</v>
      </c>
      <c r="AM333" s="38">
        <f t="shared" si="149"/>
        <v>389</v>
      </c>
      <c r="AN333" s="38">
        <f t="shared" si="150"/>
        <v>388</v>
      </c>
      <c r="AO333" s="38">
        <f t="shared" si="151"/>
        <v>-1</v>
      </c>
      <c r="AP333" s="38">
        <f>IF(OR($C333="01-09",$D333="Male"),"",INDEX(PMTCT!$AD:$AD,MATCH($E333,PMTCT!$E:$E,0)))</f>
        <v>6574</v>
      </c>
      <c r="AQ333" s="38">
        <f>IF(OR($C333="01-09",$D333="Male"),"",INDEX(PMTCT!$AT:$AT,MATCH($E333,PMTCT!$E:$E,0)))</f>
        <v>6548</v>
      </c>
      <c r="AR333" s="38">
        <f>INDEX(TB!$Q:$Q,MATCH($E333,TB!$E:$E,0))</f>
        <v>16</v>
      </c>
      <c r="AS333" s="38" t="str">
        <f>IF(OR($C333="01-09",$C333="10-14",$D333="Female"),"",INDEX(VMMC!$AB:$AB,MATCH($E333,VMMC!$E:$E,0)))</f>
        <v/>
      </c>
      <c r="AT333" s="38">
        <f>IF(OR($C333="01-09",$C333="10-14"),"",INDEX(PrEP!$Q:$Q,MATCH($E333,PrEP!$E:$E,0)))</f>
        <v>150</v>
      </c>
      <c r="AU333" s="38">
        <f t="shared" si="152"/>
        <v>29185.000000000004</v>
      </c>
      <c r="AV333" s="38">
        <f t="shared" si="153"/>
        <v>29573</v>
      </c>
      <c r="AW333" s="33">
        <f t="shared" si="154"/>
        <v>1.3120075744767186E-2</v>
      </c>
      <c r="AX333" s="38">
        <v>3554</v>
      </c>
      <c r="AY333" s="33">
        <f t="shared" si="165"/>
        <v>0.68</v>
      </c>
      <c r="AZ333" s="218">
        <f t="shared" si="156"/>
        <v>5971</v>
      </c>
      <c r="BA333" s="33">
        <v>0.56999999999999995</v>
      </c>
      <c r="BB333" s="218">
        <f t="shared" si="157"/>
        <v>221</v>
      </c>
    </row>
    <row r="334" spans="1:54" x14ac:dyDescent="0.2">
      <c r="A334" t="str">
        <f>INDEX(Prioritization!$D:$D,MATCH($B334,Prioritization!$A:$A,0))</f>
        <v>4 - Sustained</v>
      </c>
      <c r="B334" t="s">
        <v>306</v>
      </c>
      <c r="C334" t="s">
        <v>476</v>
      </c>
      <c r="D334" t="s">
        <v>48</v>
      </c>
      <c r="E334" t="str">
        <f t="shared" si="132"/>
        <v>Salima District [msW2zpIN7up]|25-34|Male</v>
      </c>
      <c r="F334" s="33">
        <f>IF(LEFT($B334,4)="_Mil","",INDEX(Cascade!$AA:$AA,MATCH($E334,Cascade!$E:$E,0)))</f>
        <v>0.90049973300000008</v>
      </c>
      <c r="G334" s="38">
        <f>INDEX(Cascade!$BH:$BH,MATCH($E334,Cascade!$E:$E,0))</f>
        <v>13</v>
      </c>
      <c r="H334" s="38" t="str">
        <f>IF(OR($C334="01-09",$D334="Male"),"",INDEX(PMTCT!$AC:$AC,MATCH($E334,PMTCT!$E:$E,0)))</f>
        <v/>
      </c>
      <c r="I334" s="38" t="str">
        <f>IF(OR($C334="01-09",$D334="Male"),"",INDEX(PMTCT!$AS:$AS,MATCH($E334,PMTCT!$E:$E,0)))</f>
        <v/>
      </c>
      <c r="J334" s="38">
        <f>INDEX(TB!$P:$P,MATCH($E334,TB!$E:$E,0))</f>
        <v>2</v>
      </c>
      <c r="K334" s="38" t="str">
        <f>IF(OR($C334="01-09",$C334="10-14",$D334="Female"),"",INDEX(VMMC!$AA:$AA,MATCH($E334,VMMC!$E:$E,0)))</f>
        <v/>
      </c>
      <c r="L334" s="38">
        <f t="shared" si="133"/>
        <v>11</v>
      </c>
      <c r="M334" s="33" t="str">
        <f t="shared" si="134"/>
        <v/>
      </c>
      <c r="N334" s="33" t="str">
        <f t="shared" si="135"/>
        <v/>
      </c>
      <c r="O334" s="33">
        <f t="shared" si="136"/>
        <v>0.15384615384615385</v>
      </c>
      <c r="P334" s="33">
        <f t="shared" si="137"/>
        <v>0</v>
      </c>
      <c r="Q334" s="33">
        <v>0.375</v>
      </c>
      <c r="R334" s="33"/>
      <c r="S334" s="33"/>
      <c r="T334" s="33">
        <v>0.05</v>
      </c>
      <c r="U334" s="33">
        <f t="shared" si="161"/>
        <v>0.4211538461538461</v>
      </c>
      <c r="V334" s="33">
        <f t="shared" si="138"/>
        <v>1</v>
      </c>
      <c r="W334" s="218">
        <f t="shared" si="139"/>
        <v>5</v>
      </c>
      <c r="X334" s="33">
        <v>9.9000000000000005E-2</v>
      </c>
      <c r="Y334" s="218">
        <f t="shared" si="139"/>
        <v>5</v>
      </c>
      <c r="Z334" s="218">
        <f t="shared" si="140"/>
        <v>46</v>
      </c>
      <c r="AA334" s="33">
        <v>0.12</v>
      </c>
      <c r="AB334" s="218" t="str">
        <f t="shared" si="141"/>
        <v/>
      </c>
      <c r="AC334" s="218" t="str">
        <f t="shared" si="142"/>
        <v/>
      </c>
      <c r="AD334" s="33">
        <v>0.02</v>
      </c>
      <c r="AE334" s="218" t="str">
        <f t="shared" si="143"/>
        <v/>
      </c>
      <c r="AF334" s="218" t="str">
        <f t="shared" si="144"/>
        <v/>
      </c>
      <c r="AG334" s="33">
        <v>0.02</v>
      </c>
      <c r="AH334" s="218">
        <f t="shared" si="145"/>
        <v>1</v>
      </c>
      <c r="AI334" s="218">
        <f t="shared" si="146"/>
        <v>49</v>
      </c>
      <c r="AJ334" s="33">
        <v>1.7000000000000001E-2</v>
      </c>
      <c r="AK334" s="218">
        <f t="shared" si="147"/>
        <v>5</v>
      </c>
      <c r="AL334" s="218">
        <f t="shared" si="148"/>
        <v>289</v>
      </c>
      <c r="AM334" s="38">
        <f t="shared" si="149"/>
        <v>13</v>
      </c>
      <c r="AN334" s="38">
        <f t="shared" si="150"/>
        <v>13</v>
      </c>
      <c r="AO334" s="38">
        <f t="shared" si="151"/>
        <v>0</v>
      </c>
      <c r="AP334" s="38" t="str">
        <f>IF(OR($C334="01-09",$D334="Male"),"",INDEX(PMTCT!$AD:$AD,MATCH($E334,PMTCT!$E:$E,0)))</f>
        <v/>
      </c>
      <c r="AQ334" s="38" t="str">
        <f>IF(OR($C334="01-09",$D334="Male"),"",INDEX(PMTCT!$AT:$AT,MATCH($E334,PMTCT!$E:$E,0)))</f>
        <v/>
      </c>
      <c r="AR334" s="38">
        <f>INDEX(TB!$Q:$Q,MATCH($E334,TB!$E:$E,0))</f>
        <v>24</v>
      </c>
      <c r="AS334" s="38" t="str">
        <f>IF(OR($C334="01-09",$C334="10-14",$D334="Female"),"",INDEX(VMMC!$AB:$AB,MATCH($E334,VMMC!$E:$E,0)))</f>
        <v/>
      </c>
      <c r="AT334" s="38">
        <f>IF(OR($C334="01-09",$C334="10-14"),"",INDEX(PrEP!$Q:$Q,MATCH($E334,PrEP!$E:$E,0)))</f>
        <v>48</v>
      </c>
      <c r="AU334" s="38">
        <f t="shared" si="152"/>
        <v>456</v>
      </c>
      <c r="AV334" s="38">
        <f t="shared" si="153"/>
        <v>469</v>
      </c>
      <c r="AW334" s="33">
        <f t="shared" si="154"/>
        <v>2.7718550106609809E-2</v>
      </c>
      <c r="AX334" s="38">
        <v>339</v>
      </c>
      <c r="AY334" s="33">
        <f t="shared" si="165"/>
        <v>0.68</v>
      </c>
      <c r="AZ334" s="218">
        <f t="shared" si="156"/>
        <v>570</v>
      </c>
      <c r="BA334" s="33">
        <v>0.56999999999999995</v>
      </c>
      <c r="BB334" s="218">
        <f t="shared" si="157"/>
        <v>7</v>
      </c>
    </row>
    <row r="335" spans="1:54" x14ac:dyDescent="0.2">
      <c r="A335" t="str">
        <f>INDEX(Prioritization!$D:$D,MATCH($B335,Prioritization!$A:$A,0))</f>
        <v>4 - Sustained</v>
      </c>
      <c r="B335" t="s">
        <v>306</v>
      </c>
      <c r="C335" t="s">
        <v>477</v>
      </c>
      <c r="D335" t="s">
        <v>30</v>
      </c>
      <c r="E335" t="str">
        <f t="shared" ref="E335:E362" si="166">$B335&amp;"|"&amp;$C335&amp;"|"&amp;$D335</f>
        <v>Salima District [msW2zpIN7up]|35-49|Female</v>
      </c>
      <c r="F335" s="33">
        <f>IF(LEFT($B335,4)="_Mil","",INDEX(Cascade!$AA:$AA,MATCH($E335,Cascade!$E:$E,0)))</f>
        <v>0.98652527599999995</v>
      </c>
      <c r="G335" s="38">
        <f>INDEX(Cascade!$BH:$BH,MATCH($E335,Cascade!$E:$E,0))</f>
        <v>168</v>
      </c>
      <c r="H335" s="38">
        <f>IF(OR($C335="01-09",$D335="Male"),"",INDEX(PMTCT!$AC:$AC,MATCH($E335,PMTCT!$E:$E,0)))</f>
        <v>13</v>
      </c>
      <c r="I335" s="38">
        <f>IF(OR($C335="01-09",$D335="Male"),"",INDEX(PMTCT!$AS:$AS,MATCH($E335,PMTCT!$E:$E,0)))</f>
        <v>7</v>
      </c>
      <c r="J335" s="38">
        <f>INDEX(TB!$P:$P,MATCH($E335,TB!$E:$E,0))</f>
        <v>2</v>
      </c>
      <c r="K335" s="38" t="str">
        <f>IF(OR($C335="01-09",$C335="10-14",$D335="Female"),"",INDEX(VMMC!$AA:$AA,MATCH($E335,VMMC!$E:$E,0)))</f>
        <v/>
      </c>
      <c r="L335" s="38">
        <f t="shared" ref="L335:L362" si="167">SUM($G335)-SUM($H335:$K335)</f>
        <v>146</v>
      </c>
      <c r="M335" s="33">
        <f t="shared" ref="M335:M362" si="168">IF(OR($C335="01-09",$D335="Male",AND(SUM($G335)=0,SUM($H335)=0)),"",SUM($H335)/SUM($G335))</f>
        <v>7.7380952380952384E-2</v>
      </c>
      <c r="N335" s="33">
        <f t="shared" ref="N335:N362" si="169">IF(OR($C335="01-09",$D335="Male",AND(SUM($G335)=0,SUM($I335)=0)),"",SUM($I335)/SUM($G335))</f>
        <v>4.1666666666666664E-2</v>
      </c>
      <c r="O335" s="33">
        <f t="shared" ref="O335:O362" si="170">IF(AND(SUM($G335)=0,SUM($J335)=0),"",SUM($J335)/SUM($G335))</f>
        <v>1.1904761904761904E-2</v>
      </c>
      <c r="P335" s="33" t="str">
        <f t="shared" ref="P335:P362" si="171">IF(OR($C335="01-09",$C335="10-14",$D335="Female",AND(SUM($G335)=0,SUM($K335)=0)),"",SUM($K335)/SUM($G335))</f>
        <v/>
      </c>
      <c r="Q335" s="33">
        <v>0.230496453900709</v>
      </c>
      <c r="R335" s="33"/>
      <c r="S335" s="33"/>
      <c r="T335" s="33">
        <v>0.05</v>
      </c>
      <c r="U335" s="33">
        <f t="shared" si="161"/>
        <v>0.58855116514691008</v>
      </c>
      <c r="V335" s="33">
        <f t="shared" ref="V335:V362" si="172">IF(SUM($G335)=0,"",SUM($M335:$U335))</f>
        <v>1</v>
      </c>
      <c r="W335" s="218">
        <f t="shared" ref="W335:Y362" si="173">IF(OR(SUM($G335)=0,SUM($Q335)=0),"",ROUND(SUM($G335)*SUM($Q335),0))</f>
        <v>39</v>
      </c>
      <c r="X335" s="33">
        <v>0.121</v>
      </c>
      <c r="Y335" s="218">
        <f t="shared" si="173"/>
        <v>39</v>
      </c>
      <c r="Z335" s="218">
        <f t="shared" ref="Z335:Z362" si="174">IF(SUM($Y335)=0,"",IF(SUM($X335)=0,"ENTER YIELD",ROUND($Y335/$X335,0)-$Y335))</f>
        <v>283</v>
      </c>
      <c r="AA335" s="33">
        <v>0.12</v>
      </c>
      <c r="AB335" s="218" t="str">
        <f t="shared" ref="AB335:AB362" si="175">IF(OR(SUM($G335)=0,SUM($R335)=0),"",ROUND(SUM($G335)*SUM($R335),0))</f>
        <v/>
      </c>
      <c r="AC335" s="218" t="str">
        <f t="shared" ref="AC335:AC362" si="176">IF(SUM($AB335)=0,"",IF(SUM($AA335)=0,"ENTER YIELD",ROUND($AB335/$AA335,0)-$AB335))</f>
        <v/>
      </c>
      <c r="AD335" s="33">
        <v>0.02</v>
      </c>
      <c r="AE335" s="218" t="str">
        <f t="shared" ref="AE335:AE362" si="177">IF(OR(SUM($G335)=0,SUM($S335)=0),"",ROUND(SUM($G335)*SUM($S335),0))</f>
        <v/>
      </c>
      <c r="AF335" s="218" t="str">
        <f t="shared" ref="AF335:AF362" si="178">IF(SUM($AE335)=0,"",IF(SUM($AD335)=0,"ENTER YIELD",ROUND($AE335/$AD335,0)-$AE335))</f>
        <v/>
      </c>
      <c r="AG335" s="33">
        <v>0.02</v>
      </c>
      <c r="AH335" s="218">
        <f t="shared" ref="AH335:AH362" si="179">IF(OR(SUM($G335)=0,SUM($T335)=0),"",ROUND(SUM($G335)*SUM($T335),0))</f>
        <v>8</v>
      </c>
      <c r="AI335" s="218">
        <f t="shared" ref="AI335:AI362" si="180">IF(SUM($AH335)=0,"",IF(SUM($AG335)=0,"ENTER YIELD",ROUND($AH335/$AG335,0)-$AH335))</f>
        <v>392</v>
      </c>
      <c r="AJ335" s="33">
        <v>2.3E-2</v>
      </c>
      <c r="AK335" s="218">
        <f t="shared" ref="AK335:AK362" si="181">IF(OR(SUM($G335)=0,SUM($U335)=0),"",ROUND(SUM($G335)*SUM($U335),0))</f>
        <v>99</v>
      </c>
      <c r="AL335" s="218">
        <f t="shared" ref="AL335:AL362" si="182">IF(SUM($AK335)=0,"",IF(SUM($AJ335)=0,"ENTER YIELD",ROUND($AK335/$AJ335,0)-$AK335))</f>
        <v>4205</v>
      </c>
      <c r="AM335" s="38">
        <f t="shared" ref="AM335:AM362" si="183">IF(SUM($G335)=0,"",$G335)</f>
        <v>168</v>
      </c>
      <c r="AN335" s="38">
        <f t="shared" ref="AN335:AN362" si="184">IFERROR(1/(1/SUM($H335:$K335,$Y335,$AB335,$AE335,$AH335,$AK335)),"")</f>
        <v>168</v>
      </c>
      <c r="AO335" s="38">
        <f t="shared" ref="AO335:AO362" si="185">IF(AND(SUM($AN335)=0,SUM($AM335)=0),"",$AN335-$AM335)</f>
        <v>0</v>
      </c>
      <c r="AP335" s="38">
        <f>IF(OR($C335="01-09",$D335="Male"),"",INDEX(PMTCT!$AD:$AD,MATCH($E335,PMTCT!$E:$E,0)))</f>
        <v>1677</v>
      </c>
      <c r="AQ335" s="38">
        <f>IF(OR($C335="01-09",$D335="Male"),"",INDEX(PMTCT!$AT:$AT,MATCH($E335,PMTCT!$E:$E,0)))</f>
        <v>1670</v>
      </c>
      <c r="AR335" s="38">
        <f>INDEX(TB!$Q:$Q,MATCH($E335,TB!$E:$E,0))</f>
        <v>23</v>
      </c>
      <c r="AS335" s="38" t="str">
        <f>IF(OR($C335="01-09",$C335="10-14",$D335="Female"),"",INDEX(VMMC!$AB:$AB,MATCH($E335,VMMC!$E:$E,0)))</f>
        <v/>
      </c>
      <c r="AT335" s="38">
        <f>IF(OR($C335="01-09",$C335="10-14"),"",INDEX(PrEP!$Q:$Q,MATCH($E335,PrEP!$E:$E,0)))</f>
        <v>232</v>
      </c>
      <c r="AU335" s="38">
        <f t="shared" ref="AU335:AU362" si="186">IFERROR(1/(1/SUM($Z335,$AC335,$AF335,$AI335,$AL335,$AP335:$AT335)),"")</f>
        <v>8482</v>
      </c>
      <c r="AV335" s="38">
        <f t="shared" ref="AV335:AV362" si="187">IFERROR(1/(1/SUM($AU335,$AN335)),"")</f>
        <v>8650</v>
      </c>
      <c r="AW335" s="33">
        <f t="shared" ref="AW335:AW362" si="188">IF(AND(SUM($AN335)=0,SUM($AV335)=0),"",$AN335/$AV335)</f>
        <v>1.9421965317919076E-2</v>
      </c>
      <c r="AX335" s="38">
        <v>297</v>
      </c>
      <c r="AY335" s="33">
        <f t="shared" si="165"/>
        <v>0.68</v>
      </c>
      <c r="AZ335" s="218">
        <f t="shared" ref="AZ335:AZ362" si="189">IF(OR($C335="01-09",SUM($AX335)=0),"",ROUND($AX335*(1+$AY335),0))</f>
        <v>499</v>
      </c>
      <c r="BA335" s="33">
        <v>0.56999999999999995</v>
      </c>
      <c r="BB335" s="218">
        <f t="shared" ref="BB335:BB362" si="190">IF(OR(SUM($AN335)=0,$C335="01-09",$C335="10-14"),"",ROUND($AN335*$BA335,0))</f>
        <v>96</v>
      </c>
    </row>
    <row r="336" spans="1:54" x14ac:dyDescent="0.2">
      <c r="A336" t="str">
        <f>INDEX(Prioritization!$D:$D,MATCH($B336,Prioritization!$A:$A,0))</f>
        <v>4 - Sustained</v>
      </c>
      <c r="B336" t="s">
        <v>306</v>
      </c>
      <c r="C336" t="s">
        <v>477</v>
      </c>
      <c r="D336" t="s">
        <v>48</v>
      </c>
      <c r="E336" t="str">
        <f t="shared" si="166"/>
        <v>Salima District [msW2zpIN7up]|35-49|Male</v>
      </c>
      <c r="F336" s="33">
        <f>IF(LEFT($B336,4)="_Mil","",INDEX(Cascade!$AA:$AA,MATCH($E336,Cascade!$E:$E,0)))</f>
        <v>0.94003702500000008</v>
      </c>
      <c r="G336" s="38">
        <f>INDEX(Cascade!$BH:$BH,MATCH($E336,Cascade!$E:$E,0))</f>
        <v>54</v>
      </c>
      <c r="H336" s="38" t="str">
        <f>IF(OR($C336="01-09",$D336="Male"),"",INDEX(PMTCT!$AC:$AC,MATCH($E336,PMTCT!$E:$E,0)))</f>
        <v/>
      </c>
      <c r="I336" s="38" t="str">
        <f>IF(OR($C336="01-09",$D336="Male"),"",INDEX(PMTCT!$AS:$AS,MATCH($E336,PMTCT!$E:$E,0)))</f>
        <v/>
      </c>
      <c r="J336" s="38">
        <f>INDEX(TB!$P:$P,MATCH($E336,TB!$E:$E,0))</f>
        <v>2</v>
      </c>
      <c r="K336" s="38" t="str">
        <f>IF(OR($C336="01-09",$C336="10-14",$D336="Female"),"",INDEX(VMMC!$AA:$AA,MATCH($E336,VMMC!$E:$E,0)))</f>
        <v/>
      </c>
      <c r="L336" s="38">
        <f t="shared" si="167"/>
        <v>52</v>
      </c>
      <c r="M336" s="33" t="str">
        <f t="shared" si="168"/>
        <v/>
      </c>
      <c r="N336" s="33" t="str">
        <f t="shared" si="169"/>
        <v/>
      </c>
      <c r="O336" s="33">
        <f t="shared" si="170"/>
        <v>3.7037037037037035E-2</v>
      </c>
      <c r="P336" s="33">
        <f t="shared" si="171"/>
        <v>0</v>
      </c>
      <c r="Q336" s="33">
        <v>0.38636363636363602</v>
      </c>
      <c r="R336" s="33"/>
      <c r="S336" s="33"/>
      <c r="T336" s="33">
        <v>0.05</v>
      </c>
      <c r="U336" s="33">
        <f t="shared" si="161"/>
        <v>0.52659932659932696</v>
      </c>
      <c r="V336" s="33">
        <f t="shared" si="172"/>
        <v>1</v>
      </c>
      <c r="W336" s="218">
        <f t="shared" si="173"/>
        <v>21</v>
      </c>
      <c r="X336" s="33">
        <v>0.183</v>
      </c>
      <c r="Y336" s="218">
        <f t="shared" si="173"/>
        <v>21</v>
      </c>
      <c r="Z336" s="218">
        <f t="shared" si="174"/>
        <v>94</v>
      </c>
      <c r="AA336" s="33">
        <v>0.12</v>
      </c>
      <c r="AB336" s="218" t="str">
        <f t="shared" si="175"/>
        <v/>
      </c>
      <c r="AC336" s="218" t="str">
        <f t="shared" si="176"/>
        <v/>
      </c>
      <c r="AD336" s="33">
        <v>0.02</v>
      </c>
      <c r="AE336" s="218" t="str">
        <f t="shared" si="177"/>
        <v/>
      </c>
      <c r="AF336" s="218" t="str">
        <f t="shared" si="178"/>
        <v/>
      </c>
      <c r="AG336" s="33">
        <v>0.02</v>
      </c>
      <c r="AH336" s="218">
        <f t="shared" si="179"/>
        <v>3</v>
      </c>
      <c r="AI336" s="218">
        <f t="shared" si="180"/>
        <v>147</v>
      </c>
      <c r="AJ336" s="33">
        <v>3.6999999999999998E-2</v>
      </c>
      <c r="AK336" s="218">
        <f t="shared" si="181"/>
        <v>28</v>
      </c>
      <c r="AL336" s="218">
        <f t="shared" si="182"/>
        <v>729</v>
      </c>
      <c r="AM336" s="38">
        <f t="shared" si="183"/>
        <v>54</v>
      </c>
      <c r="AN336" s="38">
        <f t="shared" si="184"/>
        <v>54</v>
      </c>
      <c r="AO336" s="38">
        <f t="shared" si="185"/>
        <v>0</v>
      </c>
      <c r="AP336" s="38" t="str">
        <f>IF(OR($C336="01-09",$D336="Male"),"",INDEX(PMTCT!$AD:$AD,MATCH($E336,PMTCT!$E:$E,0)))</f>
        <v/>
      </c>
      <c r="AQ336" s="38" t="str">
        <f>IF(OR($C336="01-09",$D336="Male"),"",INDEX(PMTCT!$AT:$AT,MATCH($E336,PMTCT!$E:$E,0)))</f>
        <v/>
      </c>
      <c r="AR336" s="38">
        <f>INDEX(TB!$Q:$Q,MATCH($E336,TB!$E:$E,0))</f>
        <v>36</v>
      </c>
      <c r="AS336" s="38" t="str">
        <f>IF(OR($C336="01-09",$C336="10-14",$D336="Female"),"",INDEX(VMMC!$AB:$AB,MATCH($E336,VMMC!$E:$E,0)))</f>
        <v/>
      </c>
      <c r="AT336" s="38">
        <f>IF(OR($C336="01-09",$C336="10-14"),"",INDEX(PrEP!$Q:$Q,MATCH($E336,PrEP!$E:$E,0)))</f>
        <v>114</v>
      </c>
      <c r="AU336" s="38">
        <f t="shared" si="186"/>
        <v>1120</v>
      </c>
      <c r="AV336" s="38">
        <f t="shared" si="187"/>
        <v>1174</v>
      </c>
      <c r="AW336" s="33">
        <f t="shared" si="188"/>
        <v>4.5996592844974447E-2</v>
      </c>
      <c r="AX336" s="38">
        <v>243</v>
      </c>
      <c r="AY336" s="33">
        <f t="shared" si="165"/>
        <v>0.68</v>
      </c>
      <c r="AZ336" s="218">
        <f t="shared" si="189"/>
        <v>408</v>
      </c>
      <c r="BA336" s="33">
        <v>0.56999999999999995</v>
      </c>
      <c r="BB336" s="218">
        <f t="shared" si="190"/>
        <v>31</v>
      </c>
    </row>
    <row r="337" spans="1:54" x14ac:dyDescent="0.2">
      <c r="A337" t="str">
        <f>INDEX(Prioritization!$D:$D,MATCH($B337,Prioritization!$A:$A,0))</f>
        <v>4 - Sustained</v>
      </c>
      <c r="B337" t="s">
        <v>306</v>
      </c>
      <c r="C337" t="s">
        <v>478</v>
      </c>
      <c r="D337" t="s">
        <v>30</v>
      </c>
      <c r="E337" t="str">
        <f t="shared" si="166"/>
        <v>Salima District [msW2zpIN7up]|50+|Female</v>
      </c>
      <c r="F337" s="33">
        <f>IF(LEFT($B337,4)="_Mil","",INDEX(Cascade!$AA:$AA,MATCH($E337,Cascade!$E:$E,0)))</f>
        <v>0.99076948200000015</v>
      </c>
      <c r="G337" s="38">
        <f>INDEX(Cascade!$BH:$BH,MATCH($E337,Cascade!$E:$E,0))</f>
        <v>141</v>
      </c>
      <c r="H337" s="38">
        <f>IF(OR($C337="01-09",$D337="Male"),"",INDEX(PMTCT!$AC:$AC,MATCH($E337,PMTCT!$E:$E,0)))</f>
        <v>0</v>
      </c>
      <c r="I337" s="38">
        <f>IF(OR($C337="01-09",$D337="Male"),"",INDEX(PMTCT!$AS:$AS,MATCH($E337,PMTCT!$E:$E,0)))</f>
        <v>0</v>
      </c>
      <c r="J337" s="38">
        <f>INDEX(TB!$P:$P,MATCH($E337,TB!$E:$E,0))</f>
        <v>0</v>
      </c>
      <c r="K337" s="38" t="str">
        <f>IF(OR($C337="01-09",$C337="10-14",$D337="Female"),"",INDEX(VMMC!$AA:$AA,MATCH($E337,VMMC!$E:$E,0)))</f>
        <v/>
      </c>
      <c r="L337" s="38">
        <f t="shared" si="167"/>
        <v>141</v>
      </c>
      <c r="M337" s="33">
        <f t="shared" si="168"/>
        <v>0</v>
      </c>
      <c r="N337" s="33">
        <f t="shared" si="169"/>
        <v>0</v>
      </c>
      <c r="O337" s="33">
        <f t="shared" si="170"/>
        <v>0</v>
      </c>
      <c r="P337" s="33" t="str">
        <f t="shared" si="171"/>
        <v/>
      </c>
      <c r="Q337" s="33">
        <v>0.15</v>
      </c>
      <c r="R337" s="33"/>
      <c r="S337" s="33"/>
      <c r="T337" s="33">
        <v>0.05</v>
      </c>
      <c r="U337" s="33">
        <f t="shared" si="161"/>
        <v>0.8</v>
      </c>
      <c r="V337" s="33">
        <f t="shared" si="172"/>
        <v>1</v>
      </c>
      <c r="W337" s="218">
        <f t="shared" si="173"/>
        <v>21</v>
      </c>
      <c r="X337" s="33">
        <v>0.125</v>
      </c>
      <c r="Y337" s="218">
        <f t="shared" si="173"/>
        <v>21</v>
      </c>
      <c r="Z337" s="218">
        <f t="shared" si="174"/>
        <v>147</v>
      </c>
      <c r="AA337" s="33">
        <v>0.12</v>
      </c>
      <c r="AB337" s="218" t="str">
        <f t="shared" si="175"/>
        <v/>
      </c>
      <c r="AC337" s="218" t="str">
        <f t="shared" si="176"/>
        <v/>
      </c>
      <c r="AD337" s="33">
        <v>0.02</v>
      </c>
      <c r="AE337" s="218" t="str">
        <f t="shared" si="177"/>
        <v/>
      </c>
      <c r="AF337" s="218" t="str">
        <f t="shared" si="178"/>
        <v/>
      </c>
      <c r="AG337" s="33">
        <v>0.02</v>
      </c>
      <c r="AH337" s="218">
        <f t="shared" si="179"/>
        <v>7</v>
      </c>
      <c r="AI337" s="218">
        <f t="shared" si="180"/>
        <v>343</v>
      </c>
      <c r="AJ337" s="33">
        <v>2.9000000000000001E-2</v>
      </c>
      <c r="AK337" s="218">
        <f t="shared" si="181"/>
        <v>113</v>
      </c>
      <c r="AL337" s="218">
        <f t="shared" si="182"/>
        <v>3784</v>
      </c>
      <c r="AM337" s="38">
        <f t="shared" si="183"/>
        <v>141</v>
      </c>
      <c r="AN337" s="38">
        <f t="shared" si="184"/>
        <v>141</v>
      </c>
      <c r="AO337" s="38">
        <f t="shared" si="185"/>
        <v>0</v>
      </c>
      <c r="AP337" s="38">
        <f>IF(OR($C337="01-09",$D337="Male"),"",INDEX(PMTCT!$AD:$AD,MATCH($E337,PMTCT!$E:$E,0)))</f>
        <v>6</v>
      </c>
      <c r="AQ337" s="38">
        <f>IF(OR($C337="01-09",$D337="Male"),"",INDEX(PMTCT!$AT:$AT,MATCH($E337,PMTCT!$E:$E,0)))</f>
        <v>6</v>
      </c>
      <c r="AR337" s="38">
        <f>INDEX(TB!$Q:$Q,MATCH($E337,TB!$E:$E,0))</f>
        <v>8</v>
      </c>
      <c r="AS337" s="38" t="str">
        <f>IF(OR($C337="01-09",$C337="10-14",$D337="Female"),"",INDEX(VMMC!$AB:$AB,MATCH($E337,VMMC!$E:$E,0)))</f>
        <v/>
      </c>
      <c r="AT337" s="38">
        <f>IF(OR($C337="01-09",$C337="10-14"),"",INDEX(PrEP!$Q:$Q,MATCH($E337,PrEP!$E:$E,0)))</f>
        <v>54</v>
      </c>
      <c r="AU337" s="38">
        <f t="shared" si="186"/>
        <v>4348</v>
      </c>
      <c r="AV337" s="38">
        <f t="shared" si="187"/>
        <v>4489</v>
      </c>
      <c r="AW337" s="33">
        <f t="shared" si="188"/>
        <v>3.1410113611049228E-2</v>
      </c>
      <c r="AX337" s="38">
        <v>204</v>
      </c>
      <c r="AY337" s="33">
        <f t="shared" ref="AY337:AY362" si="191">IF(OR($C337="01-09",SUM($AX337)=0),"",0%)</f>
        <v>0</v>
      </c>
      <c r="AZ337" s="218">
        <f t="shared" si="189"/>
        <v>204</v>
      </c>
      <c r="BA337" s="33">
        <v>0.56999999999999995</v>
      </c>
      <c r="BB337" s="218">
        <f t="shared" si="190"/>
        <v>80</v>
      </c>
    </row>
    <row r="338" spans="1:54" x14ac:dyDescent="0.2">
      <c r="A338" t="str">
        <f>INDEX(Prioritization!$D:$D,MATCH($B338,Prioritization!$A:$A,0))</f>
        <v>4 - Sustained</v>
      </c>
      <c r="B338" t="s">
        <v>306</v>
      </c>
      <c r="C338" t="s">
        <v>478</v>
      </c>
      <c r="D338" t="s">
        <v>48</v>
      </c>
      <c r="E338" t="str">
        <f t="shared" si="166"/>
        <v>Salima District [msW2zpIN7up]|50+|Male</v>
      </c>
      <c r="F338" s="33">
        <f>IF(LEFT($B338,4)="_Mil","",INDEX(Cascade!$AA:$AA,MATCH($E338,Cascade!$E:$E,0)))</f>
        <v>0.95897100299999993</v>
      </c>
      <c r="G338" s="38">
        <f>INDEX(Cascade!$BH:$BH,MATCH($E338,Cascade!$E:$E,0))</f>
        <v>78</v>
      </c>
      <c r="H338" s="38" t="str">
        <f>IF(OR($C338="01-09",$D338="Male"),"",INDEX(PMTCT!$AC:$AC,MATCH($E338,PMTCT!$E:$E,0)))</f>
        <v/>
      </c>
      <c r="I338" s="38" t="str">
        <f>IF(OR($C338="01-09",$D338="Male"),"",INDEX(PMTCT!$AS:$AS,MATCH($E338,PMTCT!$E:$E,0)))</f>
        <v/>
      </c>
      <c r="J338" s="38">
        <f>INDEX(TB!$P:$P,MATCH($E338,TB!$E:$E,0))</f>
        <v>1</v>
      </c>
      <c r="K338" s="38" t="str">
        <f>IF(OR($C338="01-09",$C338="10-14",$D338="Female"),"",INDEX(VMMC!$AA:$AA,MATCH($E338,VMMC!$E:$E,0)))</f>
        <v/>
      </c>
      <c r="L338" s="38">
        <f t="shared" si="167"/>
        <v>77</v>
      </c>
      <c r="M338" s="33" t="str">
        <f t="shared" si="168"/>
        <v/>
      </c>
      <c r="N338" s="33" t="str">
        <f t="shared" si="169"/>
        <v/>
      </c>
      <c r="O338" s="33">
        <f t="shared" si="170"/>
        <v>1.282051282051282E-2</v>
      </c>
      <c r="P338" s="33">
        <f t="shared" si="171"/>
        <v>0</v>
      </c>
      <c r="Q338" s="33">
        <v>0.15</v>
      </c>
      <c r="R338" s="33"/>
      <c r="S338" s="33"/>
      <c r="T338" s="33">
        <v>0.05</v>
      </c>
      <c r="U338" s="33">
        <f t="shared" si="161"/>
        <v>0.78717948717948716</v>
      </c>
      <c r="V338" s="33">
        <f t="shared" si="172"/>
        <v>1</v>
      </c>
      <c r="W338" s="218">
        <f t="shared" si="173"/>
        <v>12</v>
      </c>
      <c r="X338" s="33">
        <v>0.14299999999999999</v>
      </c>
      <c r="Y338" s="218">
        <f t="shared" si="173"/>
        <v>12</v>
      </c>
      <c r="Z338" s="218">
        <f t="shared" si="174"/>
        <v>72</v>
      </c>
      <c r="AA338" s="33">
        <v>0.12</v>
      </c>
      <c r="AB338" s="218" t="str">
        <f t="shared" si="175"/>
        <v/>
      </c>
      <c r="AC338" s="218" t="str">
        <f t="shared" si="176"/>
        <v/>
      </c>
      <c r="AD338" s="33">
        <v>0.02</v>
      </c>
      <c r="AE338" s="218" t="str">
        <f t="shared" si="177"/>
        <v/>
      </c>
      <c r="AF338" s="218" t="str">
        <f t="shared" si="178"/>
        <v/>
      </c>
      <c r="AG338" s="33">
        <v>0.02</v>
      </c>
      <c r="AH338" s="218">
        <f t="shared" si="179"/>
        <v>4</v>
      </c>
      <c r="AI338" s="218">
        <f t="shared" si="180"/>
        <v>196</v>
      </c>
      <c r="AJ338" s="33">
        <v>3.1E-2</v>
      </c>
      <c r="AK338" s="218">
        <f t="shared" si="181"/>
        <v>61</v>
      </c>
      <c r="AL338" s="218">
        <f t="shared" si="182"/>
        <v>1907</v>
      </c>
      <c r="AM338" s="38">
        <f t="shared" si="183"/>
        <v>78</v>
      </c>
      <c r="AN338" s="38">
        <f t="shared" si="184"/>
        <v>78</v>
      </c>
      <c r="AO338" s="38">
        <f t="shared" si="185"/>
        <v>0</v>
      </c>
      <c r="AP338" s="38" t="str">
        <f>IF(OR($C338="01-09",$D338="Male"),"",INDEX(PMTCT!$AD:$AD,MATCH($E338,PMTCT!$E:$E,0)))</f>
        <v/>
      </c>
      <c r="AQ338" s="38" t="str">
        <f>IF(OR($C338="01-09",$D338="Male"),"",INDEX(PMTCT!$AT:$AT,MATCH($E338,PMTCT!$E:$E,0)))</f>
        <v/>
      </c>
      <c r="AR338" s="38">
        <f>INDEX(TB!$Q:$Q,MATCH($E338,TB!$E:$E,0))</f>
        <v>13</v>
      </c>
      <c r="AS338" s="38" t="str">
        <f>IF(OR($C338="01-09",$C338="10-14",$D338="Female"),"",INDEX(VMMC!$AB:$AB,MATCH($E338,VMMC!$E:$E,0)))</f>
        <v/>
      </c>
      <c r="AT338" s="38">
        <f>IF(OR($C338="01-09",$C338="10-14"),"",INDEX(PrEP!$Q:$Q,MATCH($E338,PrEP!$E:$E,0)))</f>
        <v>96</v>
      </c>
      <c r="AU338" s="38">
        <f t="shared" si="186"/>
        <v>2284</v>
      </c>
      <c r="AV338" s="38">
        <f t="shared" si="187"/>
        <v>2362</v>
      </c>
      <c r="AW338" s="33">
        <f t="shared" si="188"/>
        <v>3.3022861981371721E-2</v>
      </c>
      <c r="AX338" s="38">
        <v>198</v>
      </c>
      <c r="AY338" s="33">
        <f t="shared" si="191"/>
        <v>0</v>
      </c>
      <c r="AZ338" s="218">
        <f t="shared" si="189"/>
        <v>198</v>
      </c>
      <c r="BA338" s="33">
        <v>0.56999999999999995</v>
      </c>
      <c r="BB338" s="218">
        <f t="shared" si="190"/>
        <v>44</v>
      </c>
    </row>
    <row r="339" spans="1:54" x14ac:dyDescent="0.2">
      <c r="A339" t="str">
        <f>INDEX(Prioritization!$D:$D,MATCH($B339,Prioritization!$A:$A,0))</f>
        <v>INVALID</v>
      </c>
      <c r="B339" t="s">
        <v>324</v>
      </c>
      <c r="C339" t="s">
        <v>473</v>
      </c>
      <c r="D339" t="s">
        <v>30</v>
      </c>
      <c r="E339" t="str">
        <f t="shared" si="166"/>
        <v>Thyolo District [ul0y9diGujK]|01-09|Female</v>
      </c>
      <c r="F339" s="33">
        <f>IF(LEFT($B339,4)="_Mil","",INDEX(Cascade!$AA:$AA,MATCH($E339,Cascade!$E:$E,0)))</f>
        <v>0.64762971499999999</v>
      </c>
      <c r="G339" s="38">
        <f>INDEX(Cascade!$BH:$BH,MATCH($E339,Cascade!$E:$E,0))</f>
        <v>9</v>
      </c>
      <c r="H339" s="38" t="str">
        <f>IF(OR($C339="01-09",$D339="Male"),"",INDEX(PMTCT!$AC:$AC,MATCH($E339,PMTCT!$E:$E,0)))</f>
        <v/>
      </c>
      <c r="I339" s="38" t="str">
        <f>IF(OR($C339="01-09",$D339="Male"),"",INDEX(PMTCT!$AS:$AS,MATCH($E339,PMTCT!$E:$E,0)))</f>
        <v/>
      </c>
      <c r="J339" s="38">
        <f>INDEX(TB!$P:$P,MATCH($E339,TB!$E:$E,0))</f>
        <v>1</v>
      </c>
      <c r="K339" s="38" t="str">
        <f>IF(OR($C339="01-09",$C339="10-14",$D339="Female"),"",INDEX(VMMC!$AA:$AA,MATCH($E339,VMMC!$E:$E,0)))</f>
        <v/>
      </c>
      <c r="L339" s="38">
        <f t="shared" si="167"/>
        <v>8</v>
      </c>
      <c r="M339" s="33" t="str">
        <f t="shared" si="168"/>
        <v/>
      </c>
      <c r="N339" s="33" t="str">
        <f t="shared" si="169"/>
        <v/>
      </c>
      <c r="O339" s="33">
        <f t="shared" si="170"/>
        <v>0.1111111111111111</v>
      </c>
      <c r="P339" s="33" t="str">
        <f t="shared" si="171"/>
        <v/>
      </c>
      <c r="Q339" s="33">
        <v>0.46428571428571402</v>
      </c>
      <c r="R339" s="33"/>
      <c r="S339" s="33"/>
      <c r="T339" s="33"/>
      <c r="U339" s="33">
        <f t="shared" si="161"/>
        <v>0.42460317460317487</v>
      </c>
      <c r="V339" s="33">
        <f t="shared" si="172"/>
        <v>1</v>
      </c>
      <c r="W339" s="218">
        <f t="shared" si="173"/>
        <v>4</v>
      </c>
      <c r="X339" s="33">
        <v>1.4999999999999999E-2</v>
      </c>
      <c r="Y339" s="218">
        <f t="shared" si="173"/>
        <v>4</v>
      </c>
      <c r="Z339" s="218">
        <f t="shared" si="174"/>
        <v>263</v>
      </c>
      <c r="AA339" s="33">
        <v>0.12</v>
      </c>
      <c r="AB339" s="218" t="str">
        <f t="shared" si="175"/>
        <v/>
      </c>
      <c r="AC339" s="218" t="str">
        <f t="shared" si="176"/>
        <v/>
      </c>
      <c r="AD339" s="33">
        <v>0.02</v>
      </c>
      <c r="AE339" s="218" t="str">
        <f t="shared" si="177"/>
        <v/>
      </c>
      <c r="AF339" s="218" t="str">
        <f t="shared" si="178"/>
        <v/>
      </c>
      <c r="AG339" s="33">
        <v>0.02</v>
      </c>
      <c r="AH339" s="218" t="str">
        <f t="shared" si="179"/>
        <v/>
      </c>
      <c r="AI339" s="218" t="str">
        <f t="shared" si="180"/>
        <v/>
      </c>
      <c r="AJ339" s="33">
        <v>2.5999999999999999E-3</v>
      </c>
      <c r="AK339" s="218">
        <f t="shared" si="181"/>
        <v>4</v>
      </c>
      <c r="AL339" s="218">
        <f t="shared" si="182"/>
        <v>1534</v>
      </c>
      <c r="AM339" s="38">
        <f t="shared" si="183"/>
        <v>9</v>
      </c>
      <c r="AN339" s="38">
        <f t="shared" si="184"/>
        <v>9</v>
      </c>
      <c r="AO339" s="38">
        <f t="shared" si="185"/>
        <v>0</v>
      </c>
      <c r="AP339" s="38" t="str">
        <f>IF(OR($C339="01-09",$D339="Male"),"",INDEX(PMTCT!$AD:$AD,MATCH($E339,PMTCT!$E:$E,0)))</f>
        <v/>
      </c>
      <c r="AQ339" s="38" t="str">
        <f>IF(OR($C339="01-09",$D339="Male"),"",INDEX(PMTCT!$AT:$AT,MATCH($E339,PMTCT!$E:$E,0)))</f>
        <v/>
      </c>
      <c r="AR339" s="38">
        <f>INDEX(TB!$Q:$Q,MATCH($E339,TB!$E:$E,0))</f>
        <v>8</v>
      </c>
      <c r="AS339" s="38" t="str">
        <f>IF(OR($C339="01-09",$C339="10-14",$D339="Female"),"",INDEX(VMMC!$AB:$AB,MATCH($E339,VMMC!$E:$E,0)))</f>
        <v/>
      </c>
      <c r="AT339" s="38" t="str">
        <f>IF(OR($C339="01-09",$C339="10-14"),"",INDEX(PrEP!$Q:$Q,MATCH($E339,PrEP!$E:$E,0)))</f>
        <v/>
      </c>
      <c r="AU339" s="38">
        <f t="shared" si="186"/>
        <v>1804.9999999999998</v>
      </c>
      <c r="AV339" s="38">
        <f t="shared" si="187"/>
        <v>1813.9999999999995</v>
      </c>
      <c r="AW339" s="33">
        <f t="shared" si="188"/>
        <v>4.9614112458654918E-3</v>
      </c>
      <c r="AX339" s="38"/>
      <c r="AY339" s="33" t="str">
        <f t="shared" si="191"/>
        <v/>
      </c>
      <c r="AZ339" s="218" t="str">
        <f t="shared" si="189"/>
        <v/>
      </c>
      <c r="BA339" s="33" t="str">
        <f t="shared" ref="BA339:BA354" si="192">IF(OR($C339="01-09",$C339="10-14"),"",100%)</f>
        <v/>
      </c>
      <c r="BB339" s="218" t="str">
        <f t="shared" si="190"/>
        <v/>
      </c>
    </row>
    <row r="340" spans="1:54" x14ac:dyDescent="0.2">
      <c r="A340" t="str">
        <f>INDEX(Prioritization!$D:$D,MATCH($B340,Prioritization!$A:$A,0))</f>
        <v>INVALID</v>
      </c>
      <c r="B340" t="s">
        <v>324</v>
      </c>
      <c r="C340" t="s">
        <v>473</v>
      </c>
      <c r="D340" t="s">
        <v>48</v>
      </c>
      <c r="E340" t="str">
        <f t="shared" si="166"/>
        <v>Thyolo District [ul0y9diGujK]|01-09|Male</v>
      </c>
      <c r="F340" s="33">
        <f>IF(LEFT($B340,4)="_Mil","",INDEX(Cascade!$AA:$AA,MATCH($E340,Cascade!$E:$E,0)))</f>
        <v>0.64811048599999999</v>
      </c>
      <c r="G340" s="38">
        <f>INDEX(Cascade!$BH:$BH,MATCH($E340,Cascade!$E:$E,0))</f>
        <v>9</v>
      </c>
      <c r="H340" s="38" t="str">
        <f>IF(OR($C340="01-09",$D340="Male"),"",INDEX(PMTCT!$AC:$AC,MATCH($E340,PMTCT!$E:$E,0)))</f>
        <v/>
      </c>
      <c r="I340" s="38" t="str">
        <f>IF(OR($C340="01-09",$D340="Male"),"",INDEX(PMTCT!$AS:$AS,MATCH($E340,PMTCT!$E:$E,0)))</f>
        <v/>
      </c>
      <c r="J340" s="38">
        <f>INDEX(TB!$P:$P,MATCH($E340,TB!$E:$E,0))</f>
        <v>1</v>
      </c>
      <c r="K340" s="38" t="str">
        <f>IF(OR($C340="01-09",$C340="10-14",$D340="Female"),"",INDEX(VMMC!$AA:$AA,MATCH($E340,VMMC!$E:$E,0)))</f>
        <v/>
      </c>
      <c r="L340" s="38">
        <f t="shared" si="167"/>
        <v>8</v>
      </c>
      <c r="M340" s="33" t="str">
        <f t="shared" si="168"/>
        <v/>
      </c>
      <c r="N340" s="33" t="str">
        <f t="shared" si="169"/>
        <v/>
      </c>
      <c r="O340" s="33">
        <f t="shared" si="170"/>
        <v>0.1111111111111111</v>
      </c>
      <c r="P340" s="33" t="str">
        <f t="shared" si="171"/>
        <v/>
      </c>
      <c r="Q340" s="33">
        <v>0.45161290322580599</v>
      </c>
      <c r="R340" s="33"/>
      <c r="S340" s="33"/>
      <c r="T340" s="33"/>
      <c r="U340" s="33">
        <f t="shared" si="161"/>
        <v>0.4372759856630829</v>
      </c>
      <c r="V340" s="33">
        <f t="shared" si="172"/>
        <v>1</v>
      </c>
      <c r="W340" s="218">
        <f t="shared" si="173"/>
        <v>4</v>
      </c>
      <c r="X340" s="33">
        <v>1.2999999999999999E-2</v>
      </c>
      <c r="Y340" s="218">
        <f t="shared" si="173"/>
        <v>4</v>
      </c>
      <c r="Z340" s="218">
        <f t="shared" si="174"/>
        <v>304</v>
      </c>
      <c r="AA340" s="33">
        <v>0.12</v>
      </c>
      <c r="AB340" s="218" t="str">
        <f t="shared" si="175"/>
        <v/>
      </c>
      <c r="AC340" s="218" t="str">
        <f t="shared" si="176"/>
        <v/>
      </c>
      <c r="AD340" s="33">
        <v>0.02</v>
      </c>
      <c r="AE340" s="218" t="str">
        <f t="shared" si="177"/>
        <v/>
      </c>
      <c r="AF340" s="218" t="str">
        <f t="shared" si="178"/>
        <v/>
      </c>
      <c r="AG340" s="33">
        <v>0.02</v>
      </c>
      <c r="AH340" s="218" t="str">
        <f t="shared" si="179"/>
        <v/>
      </c>
      <c r="AI340" s="218" t="str">
        <f t="shared" si="180"/>
        <v/>
      </c>
      <c r="AJ340" s="33">
        <v>3.0999999999999999E-3</v>
      </c>
      <c r="AK340" s="218">
        <f t="shared" si="181"/>
        <v>4</v>
      </c>
      <c r="AL340" s="218">
        <f t="shared" si="182"/>
        <v>1286</v>
      </c>
      <c r="AM340" s="38">
        <f t="shared" si="183"/>
        <v>9</v>
      </c>
      <c r="AN340" s="38">
        <f t="shared" si="184"/>
        <v>9</v>
      </c>
      <c r="AO340" s="38">
        <f t="shared" si="185"/>
        <v>0</v>
      </c>
      <c r="AP340" s="38" t="str">
        <f>IF(OR($C340="01-09",$D340="Male"),"",INDEX(PMTCT!$AD:$AD,MATCH($E340,PMTCT!$E:$E,0)))</f>
        <v/>
      </c>
      <c r="AQ340" s="38" t="str">
        <f>IF(OR($C340="01-09",$D340="Male"),"",INDEX(PMTCT!$AT:$AT,MATCH($E340,PMTCT!$E:$E,0)))</f>
        <v/>
      </c>
      <c r="AR340" s="38">
        <f>INDEX(TB!$Q:$Q,MATCH($E340,TB!$E:$E,0))</f>
        <v>8</v>
      </c>
      <c r="AS340" s="38" t="str">
        <f>IF(OR($C340="01-09",$C340="10-14",$D340="Female"),"",INDEX(VMMC!$AB:$AB,MATCH($E340,VMMC!$E:$E,0)))</f>
        <v/>
      </c>
      <c r="AT340" s="38" t="str">
        <f>IF(OR($C340="01-09",$C340="10-14"),"",INDEX(PrEP!$Q:$Q,MATCH($E340,PrEP!$E:$E,0)))</f>
        <v/>
      </c>
      <c r="AU340" s="38">
        <f t="shared" si="186"/>
        <v>1598</v>
      </c>
      <c r="AV340" s="38">
        <f t="shared" si="187"/>
        <v>1607</v>
      </c>
      <c r="AW340" s="33">
        <f t="shared" si="188"/>
        <v>5.6004978220286251E-3</v>
      </c>
      <c r="AX340" s="38"/>
      <c r="AY340" s="33" t="str">
        <f t="shared" si="191"/>
        <v/>
      </c>
      <c r="AZ340" s="218" t="str">
        <f t="shared" si="189"/>
        <v/>
      </c>
      <c r="BA340" s="33" t="str">
        <f t="shared" si="192"/>
        <v/>
      </c>
      <c r="BB340" s="218" t="str">
        <f t="shared" si="190"/>
        <v/>
      </c>
    </row>
    <row r="341" spans="1:54" x14ac:dyDescent="0.2">
      <c r="A341" t="str">
        <f>INDEX(Prioritization!$D:$D,MATCH($B341,Prioritization!$A:$A,0))</f>
        <v>INVALID</v>
      </c>
      <c r="B341" t="s">
        <v>324</v>
      </c>
      <c r="C341" t="s">
        <v>474</v>
      </c>
      <c r="D341" t="s">
        <v>30</v>
      </c>
      <c r="E341" t="str">
        <f t="shared" si="166"/>
        <v>Thyolo District [ul0y9diGujK]|10-14|Female</v>
      </c>
      <c r="F341" s="33">
        <f>IF(LEFT($B341,4)="_Mil","",INDEX(Cascade!$AA:$AA,MATCH($E341,Cascade!$E:$E,0)))</f>
        <v>0.68907048900000001</v>
      </c>
      <c r="G341" s="38">
        <f>INDEX(Cascade!$BH:$BH,MATCH($E341,Cascade!$E:$E,0))</f>
        <v>13</v>
      </c>
      <c r="H341" s="38">
        <f>IF(OR($C341="01-09",$D341="Male"),"",INDEX(PMTCT!$AC:$AC,MATCH($E341,PMTCT!$E:$E,0)))</f>
        <v>1</v>
      </c>
      <c r="I341" s="38">
        <f>IF(OR($C341="01-09",$D341="Male"),"",INDEX(PMTCT!$AS:$AS,MATCH($E341,PMTCT!$E:$E,0)))</f>
        <v>0</v>
      </c>
      <c r="J341" s="38">
        <f>INDEX(TB!$P:$P,MATCH($E341,TB!$E:$E,0))</f>
        <v>0</v>
      </c>
      <c r="K341" s="38" t="str">
        <f>IF(OR($C341="01-09",$C341="10-14",$D341="Female"),"",INDEX(VMMC!$AA:$AA,MATCH($E341,VMMC!$E:$E,0)))</f>
        <v/>
      </c>
      <c r="L341" s="38">
        <f t="shared" si="167"/>
        <v>12</v>
      </c>
      <c r="M341" s="33">
        <f t="shared" si="168"/>
        <v>7.6923076923076927E-2</v>
      </c>
      <c r="N341" s="33">
        <f t="shared" si="169"/>
        <v>0</v>
      </c>
      <c r="O341" s="33">
        <f t="shared" si="170"/>
        <v>0</v>
      </c>
      <c r="P341" s="33" t="str">
        <f t="shared" si="171"/>
        <v/>
      </c>
      <c r="Q341" s="33"/>
      <c r="R341" s="33"/>
      <c r="S341" s="33"/>
      <c r="T341" s="33"/>
      <c r="U341" s="33">
        <f t="shared" si="161"/>
        <v>0.92307692307692313</v>
      </c>
      <c r="V341" s="33">
        <f t="shared" si="172"/>
        <v>1</v>
      </c>
      <c r="W341" s="218" t="str">
        <f t="shared" si="173"/>
        <v/>
      </c>
      <c r="X341" s="33">
        <v>1.4999999999999999E-2</v>
      </c>
      <c r="Y341" s="218" t="str">
        <f t="shared" si="173"/>
        <v/>
      </c>
      <c r="Z341" s="218" t="str">
        <f t="shared" si="174"/>
        <v/>
      </c>
      <c r="AA341" s="33">
        <v>0.12</v>
      </c>
      <c r="AB341" s="218" t="str">
        <f t="shared" si="175"/>
        <v/>
      </c>
      <c r="AC341" s="218" t="str">
        <f t="shared" si="176"/>
        <v/>
      </c>
      <c r="AD341" s="33">
        <v>0.02</v>
      </c>
      <c r="AE341" s="218" t="str">
        <f t="shared" si="177"/>
        <v/>
      </c>
      <c r="AF341" s="218" t="str">
        <f t="shared" si="178"/>
        <v/>
      </c>
      <c r="AG341" s="33">
        <v>0.02</v>
      </c>
      <c r="AH341" s="218" t="str">
        <f t="shared" si="179"/>
        <v/>
      </c>
      <c r="AI341" s="218" t="str">
        <f t="shared" si="180"/>
        <v/>
      </c>
      <c r="AJ341" s="33">
        <v>2.8E-3</v>
      </c>
      <c r="AK341" s="218">
        <f t="shared" si="181"/>
        <v>12</v>
      </c>
      <c r="AL341" s="218">
        <f t="shared" si="182"/>
        <v>4274</v>
      </c>
      <c r="AM341" s="38">
        <f t="shared" si="183"/>
        <v>13</v>
      </c>
      <c r="AN341" s="38">
        <f t="shared" si="184"/>
        <v>13</v>
      </c>
      <c r="AO341" s="38">
        <f t="shared" si="185"/>
        <v>0</v>
      </c>
      <c r="AP341" s="38">
        <f>IF(OR($C341="01-09",$D341="Male"),"",INDEX(PMTCT!$AD:$AD,MATCH($E341,PMTCT!$E:$E,0)))</f>
        <v>76</v>
      </c>
      <c r="AQ341" s="38">
        <f>IF(OR($C341="01-09",$D341="Male"),"",INDEX(PMTCT!$AT:$AT,MATCH($E341,PMTCT!$E:$E,0)))</f>
        <v>76</v>
      </c>
      <c r="AR341" s="38">
        <f>INDEX(TB!$Q:$Q,MATCH($E341,TB!$E:$E,0))</f>
        <v>4</v>
      </c>
      <c r="AS341" s="38" t="str">
        <f>IF(OR($C341="01-09",$C341="10-14",$D341="Female"),"",INDEX(VMMC!$AB:$AB,MATCH($E341,VMMC!$E:$E,0)))</f>
        <v/>
      </c>
      <c r="AT341" s="38" t="str">
        <f>IF(OR($C341="01-09",$C341="10-14"),"",INDEX(PrEP!$Q:$Q,MATCH($E341,PrEP!$E:$E,0)))</f>
        <v/>
      </c>
      <c r="AU341" s="38">
        <f t="shared" si="186"/>
        <v>4430</v>
      </c>
      <c r="AV341" s="38">
        <f t="shared" si="187"/>
        <v>4443</v>
      </c>
      <c r="AW341" s="33">
        <f t="shared" si="188"/>
        <v>2.9259509340535672E-3</v>
      </c>
      <c r="AX341" s="38"/>
      <c r="AY341" s="33" t="str">
        <f t="shared" si="191"/>
        <v/>
      </c>
      <c r="AZ341" s="218" t="str">
        <f t="shared" si="189"/>
        <v/>
      </c>
      <c r="BA341" s="33" t="str">
        <f t="shared" si="192"/>
        <v/>
      </c>
      <c r="BB341" s="218" t="str">
        <f t="shared" si="190"/>
        <v/>
      </c>
    </row>
    <row r="342" spans="1:54" x14ac:dyDescent="0.2">
      <c r="A342" t="str">
        <f>INDEX(Prioritization!$D:$D,MATCH($B342,Prioritization!$A:$A,0))</f>
        <v>INVALID</v>
      </c>
      <c r="B342" t="s">
        <v>324</v>
      </c>
      <c r="C342" t="s">
        <v>474</v>
      </c>
      <c r="D342" t="s">
        <v>48</v>
      </c>
      <c r="E342" t="str">
        <f t="shared" si="166"/>
        <v>Thyolo District [ul0y9diGujK]|10-14|Male</v>
      </c>
      <c r="F342" s="33">
        <f>IF(LEFT($B342,4)="_Mil","",INDEX(Cascade!$AA:$AA,MATCH($E342,Cascade!$E:$E,0)))</f>
        <v>0.68910099300000005</v>
      </c>
      <c r="G342" s="38">
        <f>INDEX(Cascade!$BH:$BH,MATCH($E342,Cascade!$E:$E,0))</f>
        <v>13</v>
      </c>
      <c r="H342" s="38" t="str">
        <f>IF(OR($C342="01-09",$D342="Male"),"",INDEX(PMTCT!$AC:$AC,MATCH($E342,PMTCT!$E:$E,0)))</f>
        <v/>
      </c>
      <c r="I342" s="38" t="str">
        <f>IF(OR($C342="01-09",$D342="Male"),"",INDEX(PMTCT!$AS:$AS,MATCH($E342,PMTCT!$E:$E,0)))</f>
        <v/>
      </c>
      <c r="J342" s="38">
        <f>INDEX(TB!$P:$P,MATCH($E342,TB!$E:$E,0))</f>
        <v>0</v>
      </c>
      <c r="K342" s="38" t="str">
        <f>IF(OR($C342="01-09",$C342="10-14",$D342="Female"),"",INDEX(VMMC!$AA:$AA,MATCH($E342,VMMC!$E:$E,0)))</f>
        <v/>
      </c>
      <c r="L342" s="38">
        <f t="shared" si="167"/>
        <v>13</v>
      </c>
      <c r="M342" s="33" t="str">
        <f t="shared" si="168"/>
        <v/>
      </c>
      <c r="N342" s="33" t="str">
        <f t="shared" si="169"/>
        <v/>
      </c>
      <c r="O342" s="33">
        <f t="shared" si="170"/>
        <v>0</v>
      </c>
      <c r="P342" s="33" t="str">
        <f t="shared" si="171"/>
        <v/>
      </c>
      <c r="Q342" s="33">
        <v>0.56470588235294095</v>
      </c>
      <c r="R342" s="33"/>
      <c r="S342" s="33"/>
      <c r="T342" s="33"/>
      <c r="U342" s="33">
        <f t="shared" si="161"/>
        <v>0.43529411764705905</v>
      </c>
      <c r="V342" s="33">
        <f t="shared" si="172"/>
        <v>1</v>
      </c>
      <c r="W342" s="218">
        <f t="shared" si="173"/>
        <v>7</v>
      </c>
      <c r="X342" s="33">
        <v>9.5999999999999992E-3</v>
      </c>
      <c r="Y342" s="218">
        <f t="shared" si="173"/>
        <v>7</v>
      </c>
      <c r="Z342" s="218">
        <f t="shared" si="174"/>
        <v>722</v>
      </c>
      <c r="AA342" s="33">
        <v>0.12</v>
      </c>
      <c r="AB342" s="218" t="str">
        <f t="shared" si="175"/>
        <v/>
      </c>
      <c r="AC342" s="218" t="str">
        <f t="shared" si="176"/>
        <v/>
      </c>
      <c r="AD342" s="33">
        <v>0.02</v>
      </c>
      <c r="AE342" s="218" t="str">
        <f t="shared" si="177"/>
        <v/>
      </c>
      <c r="AF342" s="218" t="str">
        <f t="shared" si="178"/>
        <v/>
      </c>
      <c r="AG342" s="33">
        <v>0.02</v>
      </c>
      <c r="AH342" s="218" t="str">
        <f t="shared" si="179"/>
        <v/>
      </c>
      <c r="AI342" s="218" t="str">
        <f t="shared" si="180"/>
        <v/>
      </c>
      <c r="AJ342" s="33">
        <v>1.1000000000000001E-3</v>
      </c>
      <c r="AK342" s="218">
        <f t="shared" si="181"/>
        <v>6</v>
      </c>
      <c r="AL342" s="218">
        <f t="shared" si="182"/>
        <v>5449</v>
      </c>
      <c r="AM342" s="38">
        <f t="shared" si="183"/>
        <v>13</v>
      </c>
      <c r="AN342" s="38">
        <f t="shared" si="184"/>
        <v>13</v>
      </c>
      <c r="AO342" s="38">
        <f t="shared" si="185"/>
        <v>0</v>
      </c>
      <c r="AP342" s="38" t="str">
        <f>IF(OR($C342="01-09",$D342="Male"),"",INDEX(PMTCT!$AD:$AD,MATCH($E342,PMTCT!$E:$E,0)))</f>
        <v/>
      </c>
      <c r="AQ342" s="38" t="str">
        <f>IF(OR($C342="01-09",$D342="Male"),"",INDEX(PMTCT!$AT:$AT,MATCH($E342,PMTCT!$E:$E,0)))</f>
        <v/>
      </c>
      <c r="AR342" s="38">
        <f>INDEX(TB!$Q:$Q,MATCH($E342,TB!$E:$E,0))</f>
        <v>4</v>
      </c>
      <c r="AS342" s="38" t="str">
        <f>IF(OR($C342="01-09",$C342="10-14",$D342="Female"),"",INDEX(VMMC!$AB:$AB,MATCH($E342,VMMC!$E:$E,0)))</f>
        <v/>
      </c>
      <c r="AT342" s="38" t="str">
        <f>IF(OR($C342="01-09",$C342="10-14"),"",INDEX(PrEP!$Q:$Q,MATCH($E342,PrEP!$E:$E,0)))</f>
        <v/>
      </c>
      <c r="AU342" s="38">
        <f t="shared" si="186"/>
        <v>6175</v>
      </c>
      <c r="AV342" s="38">
        <f t="shared" si="187"/>
        <v>6188</v>
      </c>
      <c r="AW342" s="33">
        <f t="shared" si="188"/>
        <v>2.1008403361344537E-3</v>
      </c>
      <c r="AX342" s="38"/>
      <c r="AY342" s="33" t="str">
        <f t="shared" si="191"/>
        <v/>
      </c>
      <c r="AZ342" s="218" t="str">
        <f t="shared" si="189"/>
        <v/>
      </c>
      <c r="BA342" s="33" t="str">
        <f t="shared" si="192"/>
        <v/>
      </c>
      <c r="BB342" s="218" t="str">
        <f t="shared" si="190"/>
        <v/>
      </c>
    </row>
    <row r="343" spans="1:54" x14ac:dyDescent="0.2">
      <c r="A343" t="str">
        <f>INDEX(Prioritization!$D:$D,MATCH($B343,Prioritization!$A:$A,0))</f>
        <v>INVALID</v>
      </c>
      <c r="B343" t="s">
        <v>324</v>
      </c>
      <c r="C343" t="s">
        <v>475</v>
      </c>
      <c r="D343" t="s">
        <v>30</v>
      </c>
      <c r="E343" t="str">
        <f t="shared" si="166"/>
        <v>Thyolo District [ul0y9diGujK]|15-24|Female</v>
      </c>
      <c r="F343" s="33">
        <f>IF(LEFT($B343,4)="_Mil","",INDEX(Cascade!$AA:$AA,MATCH($E343,Cascade!$E:$E,0)))</f>
        <v>0.94278845899999997</v>
      </c>
      <c r="G343" s="38">
        <f>INDEX(Cascade!$BH:$BH,MATCH($E343,Cascade!$E:$E,0))</f>
        <v>469</v>
      </c>
      <c r="H343" s="38">
        <f>IF(OR($C343="01-09",$D343="Male"),"",INDEX(PMTCT!$AC:$AC,MATCH($E343,PMTCT!$E:$E,0)))</f>
        <v>208</v>
      </c>
      <c r="I343" s="38">
        <f>IF(OR($C343="01-09",$D343="Male"),"",INDEX(PMTCT!$AS:$AS,MATCH($E343,PMTCT!$E:$E,0)))</f>
        <v>92</v>
      </c>
      <c r="J343" s="38">
        <f>INDEX(TB!$P:$P,MATCH($E343,TB!$E:$E,0))</f>
        <v>2</v>
      </c>
      <c r="K343" s="38" t="str">
        <f>IF(OR($C343="01-09",$C343="10-14",$D343="Female"),"",INDEX(VMMC!$AA:$AA,MATCH($E343,VMMC!$E:$E,0)))</f>
        <v/>
      </c>
      <c r="L343" s="38">
        <f t="shared" si="167"/>
        <v>167</v>
      </c>
      <c r="M343" s="33">
        <f t="shared" si="168"/>
        <v>0.44349680170575695</v>
      </c>
      <c r="N343" s="33">
        <f t="shared" si="169"/>
        <v>0.19616204690831557</v>
      </c>
      <c r="O343" s="33">
        <f t="shared" si="170"/>
        <v>4.2643923240938165E-3</v>
      </c>
      <c r="P343" s="33" t="str">
        <f t="shared" si="171"/>
        <v/>
      </c>
      <c r="Q343" s="33">
        <v>0.25</v>
      </c>
      <c r="R343" s="33">
        <v>0.02</v>
      </c>
      <c r="S343" s="33"/>
      <c r="T343" s="33">
        <v>0.05</v>
      </c>
      <c r="U343" s="33">
        <f t="shared" si="161"/>
        <v>3.6076759061833608E-2</v>
      </c>
      <c r="V343" s="33">
        <f t="shared" si="172"/>
        <v>1</v>
      </c>
      <c r="W343" s="218">
        <f t="shared" si="173"/>
        <v>117</v>
      </c>
      <c r="X343" s="33">
        <v>0.191</v>
      </c>
      <c r="Y343" s="218">
        <f t="shared" si="173"/>
        <v>117</v>
      </c>
      <c r="Z343" s="218">
        <f t="shared" si="174"/>
        <v>496</v>
      </c>
      <c r="AA343" s="33">
        <v>0.12</v>
      </c>
      <c r="AB343" s="218">
        <f t="shared" si="175"/>
        <v>9</v>
      </c>
      <c r="AC343" s="218">
        <f t="shared" si="176"/>
        <v>66</v>
      </c>
      <c r="AD343" s="33">
        <v>0.02</v>
      </c>
      <c r="AE343" s="218" t="str">
        <f t="shared" si="177"/>
        <v/>
      </c>
      <c r="AF343" s="218" t="str">
        <f t="shared" si="178"/>
        <v/>
      </c>
      <c r="AG343" s="33">
        <v>0.02</v>
      </c>
      <c r="AH343" s="218">
        <f t="shared" si="179"/>
        <v>23</v>
      </c>
      <c r="AI343" s="218">
        <f t="shared" si="180"/>
        <v>1127</v>
      </c>
      <c r="AJ343" s="33">
        <v>0.01</v>
      </c>
      <c r="AK343" s="218">
        <f t="shared" si="181"/>
        <v>17</v>
      </c>
      <c r="AL343" s="218">
        <f t="shared" si="182"/>
        <v>1683</v>
      </c>
      <c r="AM343" s="38">
        <f t="shared" si="183"/>
        <v>469</v>
      </c>
      <c r="AN343" s="38">
        <f t="shared" si="184"/>
        <v>467.99999999999994</v>
      </c>
      <c r="AO343" s="38">
        <f t="shared" si="185"/>
        <v>-1.0000000000000568</v>
      </c>
      <c r="AP343" s="38">
        <f>IF(OR($C343="01-09",$D343="Male"),"",INDEX(PMTCT!$AD:$AD,MATCH($E343,PMTCT!$E:$E,0)))</f>
        <v>22942</v>
      </c>
      <c r="AQ343" s="38">
        <f>IF(OR($C343="01-09",$D343="Male"),"",INDEX(PMTCT!$AT:$AT,MATCH($E343,PMTCT!$E:$E,0)))</f>
        <v>22850</v>
      </c>
      <c r="AR343" s="38">
        <f>INDEX(TB!$Q:$Q,MATCH($E343,TB!$E:$E,0))</f>
        <v>33</v>
      </c>
      <c r="AS343" s="38" t="str">
        <f>IF(OR($C343="01-09",$C343="10-14",$D343="Female"),"",INDEX(VMMC!$AB:$AB,MATCH($E343,VMMC!$E:$E,0)))</f>
        <v/>
      </c>
      <c r="AT343" s="38">
        <f>IF(OR($C343="01-09",$C343="10-14"),"",INDEX(PrEP!$Q:$Q,MATCH($E343,PrEP!$E:$E,0)))</f>
        <v>208</v>
      </c>
      <c r="AU343" s="38">
        <f t="shared" si="186"/>
        <v>49405</v>
      </c>
      <c r="AV343" s="38">
        <f t="shared" si="187"/>
        <v>49873</v>
      </c>
      <c r="AW343" s="33">
        <f t="shared" si="188"/>
        <v>9.3838349407495032E-3</v>
      </c>
      <c r="AX343" s="38">
        <v>2477</v>
      </c>
      <c r="AY343" s="33">
        <f t="shared" ref="AY343:AY348" si="193">IF(OR($C343="01-09",SUM($AX343)=0),"",68%)</f>
        <v>0.68</v>
      </c>
      <c r="AZ343" s="218">
        <f t="shared" si="189"/>
        <v>4161</v>
      </c>
      <c r="BA343" s="33">
        <v>0.63</v>
      </c>
      <c r="BB343" s="218">
        <f t="shared" si="190"/>
        <v>295</v>
      </c>
    </row>
    <row r="344" spans="1:54" x14ac:dyDescent="0.2">
      <c r="A344" t="str">
        <f>INDEX(Prioritization!$D:$D,MATCH($B344,Prioritization!$A:$A,0))</f>
        <v>INVALID</v>
      </c>
      <c r="B344" t="s">
        <v>324</v>
      </c>
      <c r="C344" t="s">
        <v>475</v>
      </c>
      <c r="D344" t="s">
        <v>48</v>
      </c>
      <c r="E344" t="str">
        <f t="shared" si="166"/>
        <v>Thyolo District [ul0y9diGujK]|15-24|Male</v>
      </c>
      <c r="F344" s="33">
        <f>IF(LEFT($B344,4)="_Mil","",INDEX(Cascade!$AA:$AA,MATCH($E344,Cascade!$E:$E,0)))</f>
        <v>0.91191234399999987</v>
      </c>
      <c r="G344" s="38">
        <f>INDEX(Cascade!$BH:$BH,MATCH($E344,Cascade!$E:$E,0))</f>
        <v>35</v>
      </c>
      <c r="H344" s="38" t="str">
        <f>IF(OR($C344="01-09",$D344="Male"),"",INDEX(PMTCT!$AC:$AC,MATCH($E344,PMTCT!$E:$E,0)))</f>
        <v/>
      </c>
      <c r="I344" s="38" t="str">
        <f>IF(OR($C344="01-09",$D344="Male"),"",INDEX(PMTCT!$AS:$AS,MATCH($E344,PMTCT!$E:$E,0)))</f>
        <v/>
      </c>
      <c r="J344" s="38">
        <f>INDEX(TB!$P:$P,MATCH($E344,TB!$E:$E,0))</f>
        <v>3</v>
      </c>
      <c r="K344" s="38" t="str">
        <f>IF(OR($C344="01-09",$C344="10-14",$D344="Female"),"",INDEX(VMMC!$AA:$AA,MATCH($E344,VMMC!$E:$E,0)))</f>
        <v/>
      </c>
      <c r="L344" s="38">
        <f t="shared" si="167"/>
        <v>32</v>
      </c>
      <c r="M344" s="33" t="str">
        <f t="shared" si="168"/>
        <v/>
      </c>
      <c r="N344" s="33" t="str">
        <f t="shared" si="169"/>
        <v/>
      </c>
      <c r="O344" s="33">
        <f t="shared" si="170"/>
        <v>8.5714285714285715E-2</v>
      </c>
      <c r="P344" s="33">
        <f t="shared" si="171"/>
        <v>0</v>
      </c>
      <c r="Q344" s="33">
        <v>0.32484076433121001</v>
      </c>
      <c r="R344" s="33">
        <v>0.03</v>
      </c>
      <c r="S344" s="33"/>
      <c r="T344" s="33">
        <v>0.05</v>
      </c>
      <c r="U344" s="33">
        <f t="shared" si="161"/>
        <v>0.50944494995450418</v>
      </c>
      <c r="V344" s="33">
        <f t="shared" si="172"/>
        <v>1</v>
      </c>
      <c r="W344" s="218">
        <f t="shared" si="173"/>
        <v>11</v>
      </c>
      <c r="X344" s="33">
        <v>6.8000000000000005E-2</v>
      </c>
      <c r="Y344" s="218">
        <f t="shared" si="173"/>
        <v>11</v>
      </c>
      <c r="Z344" s="218">
        <f t="shared" si="174"/>
        <v>151</v>
      </c>
      <c r="AA344" s="33">
        <v>0.12</v>
      </c>
      <c r="AB344" s="218">
        <f t="shared" si="175"/>
        <v>1</v>
      </c>
      <c r="AC344" s="218">
        <f t="shared" si="176"/>
        <v>7</v>
      </c>
      <c r="AD344" s="33">
        <v>0.02</v>
      </c>
      <c r="AE344" s="218" t="str">
        <f t="shared" si="177"/>
        <v/>
      </c>
      <c r="AF344" s="218" t="str">
        <f t="shared" si="178"/>
        <v/>
      </c>
      <c r="AG344" s="33">
        <v>0.02</v>
      </c>
      <c r="AH344" s="218">
        <f t="shared" si="179"/>
        <v>2</v>
      </c>
      <c r="AI344" s="218">
        <f t="shared" si="180"/>
        <v>98</v>
      </c>
      <c r="AJ344" s="33">
        <v>6.6E-3</v>
      </c>
      <c r="AK344" s="218">
        <f t="shared" si="181"/>
        <v>18</v>
      </c>
      <c r="AL344" s="218">
        <f t="shared" si="182"/>
        <v>2709</v>
      </c>
      <c r="AM344" s="38">
        <f t="shared" si="183"/>
        <v>35</v>
      </c>
      <c r="AN344" s="38">
        <f t="shared" si="184"/>
        <v>35</v>
      </c>
      <c r="AO344" s="38">
        <f t="shared" si="185"/>
        <v>0</v>
      </c>
      <c r="AP344" s="38" t="str">
        <f>IF(OR($C344="01-09",$D344="Male"),"",INDEX(PMTCT!$AD:$AD,MATCH($E344,PMTCT!$E:$E,0)))</f>
        <v/>
      </c>
      <c r="AQ344" s="38" t="str">
        <f>IF(OR($C344="01-09",$D344="Male"),"",INDEX(PMTCT!$AT:$AT,MATCH($E344,PMTCT!$E:$E,0)))</f>
        <v/>
      </c>
      <c r="AR344" s="38">
        <f>INDEX(TB!$Q:$Q,MATCH($E344,TB!$E:$E,0))</f>
        <v>51</v>
      </c>
      <c r="AS344" s="38" t="str">
        <f>IF(OR($C344="01-09",$C344="10-14",$D344="Female"),"",INDEX(VMMC!$AB:$AB,MATCH($E344,VMMC!$E:$E,0)))</f>
        <v/>
      </c>
      <c r="AT344" s="38">
        <f>IF(OR($C344="01-09",$C344="10-14"),"",INDEX(PrEP!$Q:$Q,MATCH($E344,PrEP!$E:$E,0)))</f>
        <v>42</v>
      </c>
      <c r="AU344" s="38">
        <f t="shared" si="186"/>
        <v>3058</v>
      </c>
      <c r="AV344" s="38">
        <f t="shared" si="187"/>
        <v>3093</v>
      </c>
      <c r="AW344" s="33">
        <f t="shared" si="188"/>
        <v>1.1315874555447785E-2</v>
      </c>
      <c r="AX344" s="38">
        <v>166</v>
      </c>
      <c r="AY344" s="33">
        <f t="shared" si="193"/>
        <v>0.68</v>
      </c>
      <c r="AZ344" s="218">
        <f t="shared" si="189"/>
        <v>279</v>
      </c>
      <c r="BA344" s="33">
        <v>0.63</v>
      </c>
      <c r="BB344" s="218">
        <f t="shared" si="190"/>
        <v>22</v>
      </c>
    </row>
    <row r="345" spans="1:54" x14ac:dyDescent="0.2">
      <c r="A345" t="str">
        <f>INDEX(Prioritization!$D:$D,MATCH($B345,Prioritization!$A:$A,0))</f>
        <v>INVALID</v>
      </c>
      <c r="B345" t="s">
        <v>324</v>
      </c>
      <c r="C345" t="s">
        <v>476</v>
      </c>
      <c r="D345" t="s">
        <v>30</v>
      </c>
      <c r="E345" t="str">
        <f t="shared" si="166"/>
        <v>Thyolo District [ul0y9diGujK]|25-34|Female</v>
      </c>
      <c r="F345" s="33">
        <f>IF(LEFT($B345,4)="_Mil","",INDEX(Cascade!$AA:$AA,MATCH($E345,Cascade!$E:$E,0)))</f>
        <v>0.96969375599999985</v>
      </c>
      <c r="G345" s="38">
        <f>INDEX(Cascade!$BH:$BH,MATCH($E345,Cascade!$E:$E,0))</f>
        <v>920</v>
      </c>
      <c r="H345" s="38">
        <f>IF(OR($C345="01-09",$D345="Male"),"",INDEX(PMTCT!$AC:$AC,MATCH($E345,PMTCT!$E:$E,0)))</f>
        <v>245</v>
      </c>
      <c r="I345" s="38">
        <f>IF(OR($C345="01-09",$D345="Male"),"",INDEX(PMTCT!$AS:$AS,MATCH($E345,PMTCT!$E:$E,0)))</f>
        <v>93</v>
      </c>
      <c r="J345" s="38">
        <f>INDEX(TB!$P:$P,MATCH($E345,TB!$E:$E,0))</f>
        <v>2</v>
      </c>
      <c r="K345" s="38" t="str">
        <f>IF(OR($C345="01-09",$C345="10-14",$D345="Female"),"",INDEX(VMMC!$AA:$AA,MATCH($E345,VMMC!$E:$E,0)))</f>
        <v/>
      </c>
      <c r="L345" s="38">
        <f t="shared" si="167"/>
        <v>580</v>
      </c>
      <c r="M345" s="33">
        <f t="shared" si="168"/>
        <v>0.26630434782608697</v>
      </c>
      <c r="N345" s="33">
        <f t="shared" si="169"/>
        <v>0.10108695652173913</v>
      </c>
      <c r="O345" s="33">
        <f t="shared" si="170"/>
        <v>2.1739130434782609E-3</v>
      </c>
      <c r="P345" s="33" t="str">
        <f t="shared" si="171"/>
        <v/>
      </c>
      <c r="Q345" s="33">
        <v>0.25</v>
      </c>
      <c r="R345" s="33">
        <v>0.02</v>
      </c>
      <c r="S345" s="33"/>
      <c r="T345" s="33">
        <v>0.05</v>
      </c>
      <c r="U345" s="33">
        <f t="shared" si="161"/>
        <v>0.31043478260869561</v>
      </c>
      <c r="V345" s="33">
        <f t="shared" si="172"/>
        <v>1</v>
      </c>
      <c r="W345" s="218">
        <f t="shared" si="173"/>
        <v>230</v>
      </c>
      <c r="X345" s="33">
        <v>0.191</v>
      </c>
      <c r="Y345" s="218">
        <f t="shared" si="173"/>
        <v>230</v>
      </c>
      <c r="Z345" s="218">
        <f t="shared" si="174"/>
        <v>974</v>
      </c>
      <c r="AA345" s="33">
        <v>0.12</v>
      </c>
      <c r="AB345" s="218">
        <f t="shared" si="175"/>
        <v>18</v>
      </c>
      <c r="AC345" s="218">
        <f t="shared" si="176"/>
        <v>132</v>
      </c>
      <c r="AD345" s="33">
        <v>0.02</v>
      </c>
      <c r="AE345" s="218" t="str">
        <f t="shared" si="177"/>
        <v/>
      </c>
      <c r="AF345" s="218" t="str">
        <f t="shared" si="178"/>
        <v/>
      </c>
      <c r="AG345" s="33">
        <v>0.02</v>
      </c>
      <c r="AH345" s="218">
        <f t="shared" si="179"/>
        <v>46</v>
      </c>
      <c r="AI345" s="218">
        <f t="shared" si="180"/>
        <v>2254</v>
      </c>
      <c r="AJ345" s="33">
        <v>1.7999999999999999E-2</v>
      </c>
      <c r="AK345" s="218">
        <f t="shared" si="181"/>
        <v>286</v>
      </c>
      <c r="AL345" s="218">
        <f t="shared" si="182"/>
        <v>15603</v>
      </c>
      <c r="AM345" s="38">
        <f t="shared" si="183"/>
        <v>920</v>
      </c>
      <c r="AN345" s="38">
        <f t="shared" si="184"/>
        <v>920</v>
      </c>
      <c r="AO345" s="38">
        <f t="shared" si="185"/>
        <v>0</v>
      </c>
      <c r="AP345" s="38">
        <f>IF(OR($C345="01-09",$D345="Male"),"",INDEX(PMTCT!$AD:$AD,MATCH($E345,PMTCT!$E:$E,0)))</f>
        <v>13347</v>
      </c>
      <c r="AQ345" s="38">
        <f>IF(OR($C345="01-09",$D345="Male"),"",INDEX(PMTCT!$AT:$AT,MATCH($E345,PMTCT!$E:$E,0)))</f>
        <v>13254</v>
      </c>
      <c r="AR345" s="38">
        <f>INDEX(TB!$Q:$Q,MATCH($E345,TB!$E:$E,0))</f>
        <v>33</v>
      </c>
      <c r="AS345" s="38" t="str">
        <f>IF(OR($C345="01-09",$C345="10-14",$D345="Female"),"",INDEX(VMMC!$AB:$AB,MATCH($E345,VMMC!$E:$E,0)))</f>
        <v/>
      </c>
      <c r="AT345" s="38">
        <f>IF(OR($C345="01-09",$C345="10-14"),"",INDEX(PrEP!$Q:$Q,MATCH($E345,PrEP!$E:$E,0)))</f>
        <v>102</v>
      </c>
      <c r="AU345" s="38">
        <f t="shared" si="186"/>
        <v>45699</v>
      </c>
      <c r="AV345" s="38">
        <f t="shared" si="187"/>
        <v>46619</v>
      </c>
      <c r="AW345" s="33">
        <f t="shared" si="188"/>
        <v>1.9734443038246209E-2</v>
      </c>
      <c r="AX345" s="38">
        <v>1580</v>
      </c>
      <c r="AY345" s="33">
        <f t="shared" si="193"/>
        <v>0.68</v>
      </c>
      <c r="AZ345" s="218">
        <f t="shared" si="189"/>
        <v>2654</v>
      </c>
      <c r="BA345" s="33">
        <v>0.63</v>
      </c>
      <c r="BB345" s="218">
        <f t="shared" si="190"/>
        <v>580</v>
      </c>
    </row>
    <row r="346" spans="1:54" x14ac:dyDescent="0.2">
      <c r="A346" t="str">
        <f>INDEX(Prioritization!$D:$D,MATCH($B346,Prioritization!$A:$A,0))</f>
        <v>INVALID</v>
      </c>
      <c r="B346" t="s">
        <v>324</v>
      </c>
      <c r="C346" t="s">
        <v>476</v>
      </c>
      <c r="D346" t="s">
        <v>48</v>
      </c>
      <c r="E346" t="str">
        <f t="shared" si="166"/>
        <v>Thyolo District [ul0y9diGujK]|25-34|Male</v>
      </c>
      <c r="F346" s="33">
        <f>IF(LEFT($B346,4)="_Mil","",INDEX(Cascade!$AA:$AA,MATCH($E346,Cascade!$E:$E,0)))</f>
        <v>0.88571062700000003</v>
      </c>
      <c r="G346" s="38">
        <f>INDEX(Cascade!$BH:$BH,MATCH($E346,Cascade!$E:$E,0))</f>
        <v>41</v>
      </c>
      <c r="H346" s="38" t="str">
        <f>IF(OR($C346="01-09",$D346="Male"),"",INDEX(PMTCT!$AC:$AC,MATCH($E346,PMTCT!$E:$E,0)))</f>
        <v/>
      </c>
      <c r="I346" s="38" t="str">
        <f>IF(OR($C346="01-09",$D346="Male"),"",INDEX(PMTCT!$AS:$AS,MATCH($E346,PMTCT!$E:$E,0)))</f>
        <v/>
      </c>
      <c r="J346" s="38">
        <f>INDEX(TB!$P:$P,MATCH($E346,TB!$E:$E,0))</f>
        <v>3</v>
      </c>
      <c r="K346" s="38" t="str">
        <f>IF(OR($C346="01-09",$C346="10-14",$D346="Female"),"",INDEX(VMMC!$AA:$AA,MATCH($E346,VMMC!$E:$E,0)))</f>
        <v/>
      </c>
      <c r="L346" s="38">
        <f t="shared" si="167"/>
        <v>38</v>
      </c>
      <c r="M346" s="33" t="str">
        <f t="shared" si="168"/>
        <v/>
      </c>
      <c r="N346" s="33" t="str">
        <f t="shared" si="169"/>
        <v/>
      </c>
      <c r="O346" s="33">
        <f t="shared" si="170"/>
        <v>7.3170731707317069E-2</v>
      </c>
      <c r="P346" s="33">
        <f t="shared" si="171"/>
        <v>0</v>
      </c>
      <c r="Q346" s="33">
        <v>0.36752136752136799</v>
      </c>
      <c r="R346" s="33">
        <v>0.03</v>
      </c>
      <c r="S346" s="33"/>
      <c r="T346" s="33">
        <v>0.05</v>
      </c>
      <c r="U346" s="33">
        <f t="shared" si="161"/>
        <v>0.47930790077131491</v>
      </c>
      <c r="V346" s="33">
        <f t="shared" si="172"/>
        <v>1</v>
      </c>
      <c r="W346" s="218">
        <f t="shared" si="173"/>
        <v>15</v>
      </c>
      <c r="X346" s="33">
        <v>0.151</v>
      </c>
      <c r="Y346" s="218">
        <f t="shared" si="173"/>
        <v>15</v>
      </c>
      <c r="Z346" s="218">
        <f t="shared" si="174"/>
        <v>84</v>
      </c>
      <c r="AA346" s="33">
        <v>0.12</v>
      </c>
      <c r="AB346" s="218">
        <f t="shared" si="175"/>
        <v>1</v>
      </c>
      <c r="AC346" s="218">
        <f t="shared" si="176"/>
        <v>7</v>
      </c>
      <c r="AD346" s="33">
        <v>0.02</v>
      </c>
      <c r="AE346" s="218" t="str">
        <f t="shared" si="177"/>
        <v/>
      </c>
      <c r="AF346" s="218" t="str">
        <f t="shared" si="178"/>
        <v/>
      </c>
      <c r="AG346" s="33">
        <v>0.02</v>
      </c>
      <c r="AH346" s="218">
        <f t="shared" si="179"/>
        <v>2</v>
      </c>
      <c r="AI346" s="218">
        <f t="shared" si="180"/>
        <v>98</v>
      </c>
      <c r="AJ346" s="33">
        <v>0.02</v>
      </c>
      <c r="AK346" s="218">
        <f t="shared" si="181"/>
        <v>20</v>
      </c>
      <c r="AL346" s="218">
        <f t="shared" si="182"/>
        <v>980</v>
      </c>
      <c r="AM346" s="38">
        <f t="shared" si="183"/>
        <v>41</v>
      </c>
      <c r="AN346" s="38">
        <f t="shared" si="184"/>
        <v>41</v>
      </c>
      <c r="AO346" s="38">
        <f t="shared" si="185"/>
        <v>0</v>
      </c>
      <c r="AP346" s="38" t="str">
        <f>IF(OR($C346="01-09",$D346="Male"),"",INDEX(PMTCT!$AD:$AD,MATCH($E346,PMTCT!$E:$E,0)))</f>
        <v/>
      </c>
      <c r="AQ346" s="38" t="str">
        <f>IF(OR($C346="01-09",$D346="Male"),"",INDEX(PMTCT!$AT:$AT,MATCH($E346,PMTCT!$E:$E,0)))</f>
        <v/>
      </c>
      <c r="AR346" s="38">
        <f>INDEX(TB!$Q:$Q,MATCH($E346,TB!$E:$E,0))</f>
        <v>51</v>
      </c>
      <c r="AS346" s="38" t="str">
        <f>IF(OR($C346="01-09",$C346="10-14",$D346="Female"),"",INDEX(VMMC!$AB:$AB,MATCH($E346,VMMC!$E:$E,0)))</f>
        <v/>
      </c>
      <c r="AT346" s="38">
        <f>IF(OR($C346="01-09",$C346="10-14"),"",INDEX(PrEP!$Q:$Q,MATCH($E346,PrEP!$E:$E,0)))</f>
        <v>120</v>
      </c>
      <c r="AU346" s="38">
        <f t="shared" si="186"/>
        <v>1340</v>
      </c>
      <c r="AV346" s="38">
        <f t="shared" si="187"/>
        <v>1381</v>
      </c>
      <c r="AW346" s="33">
        <f t="shared" si="188"/>
        <v>2.9688631426502535E-2</v>
      </c>
      <c r="AX346" s="38">
        <v>215</v>
      </c>
      <c r="AY346" s="33">
        <f t="shared" si="193"/>
        <v>0.68</v>
      </c>
      <c r="AZ346" s="218">
        <f t="shared" si="189"/>
        <v>361</v>
      </c>
      <c r="BA346" s="33">
        <v>0.63</v>
      </c>
      <c r="BB346" s="218">
        <f t="shared" si="190"/>
        <v>26</v>
      </c>
    </row>
    <row r="347" spans="1:54" x14ac:dyDescent="0.2">
      <c r="A347" t="str">
        <f>INDEX(Prioritization!$D:$D,MATCH($B347,Prioritization!$A:$A,0))</f>
        <v>INVALID</v>
      </c>
      <c r="B347" t="s">
        <v>324</v>
      </c>
      <c r="C347" t="s">
        <v>477</v>
      </c>
      <c r="D347" t="s">
        <v>30</v>
      </c>
      <c r="E347" t="str">
        <f t="shared" si="166"/>
        <v>Thyolo District [ul0y9diGujK]|35-49|Female</v>
      </c>
      <c r="F347" s="33">
        <f>IF(LEFT($B347,4)="_Mil","",INDEX(Cascade!$AA:$AA,MATCH($E347,Cascade!$E:$E,0)))</f>
        <v>0.98503778099999995</v>
      </c>
      <c r="G347" s="38">
        <f>INDEX(Cascade!$BH:$BH,MATCH($E347,Cascade!$E:$E,0))</f>
        <v>314</v>
      </c>
      <c r="H347" s="38">
        <f>IF(OR($C347="01-09",$D347="Male"),"",INDEX(PMTCT!$AC:$AC,MATCH($E347,PMTCT!$E:$E,0)))</f>
        <v>13</v>
      </c>
      <c r="I347" s="38">
        <f>IF(OR($C347="01-09",$D347="Male"),"",INDEX(PMTCT!$AS:$AS,MATCH($E347,PMTCT!$E:$E,0)))</f>
        <v>7</v>
      </c>
      <c r="J347" s="38">
        <f>INDEX(TB!$P:$P,MATCH($E347,TB!$E:$E,0))</f>
        <v>3</v>
      </c>
      <c r="K347" s="38" t="str">
        <f>IF(OR($C347="01-09",$C347="10-14",$D347="Female"),"",INDEX(VMMC!$AA:$AA,MATCH($E347,VMMC!$E:$E,0)))</f>
        <v/>
      </c>
      <c r="L347" s="38">
        <f t="shared" si="167"/>
        <v>291</v>
      </c>
      <c r="M347" s="33">
        <f t="shared" si="168"/>
        <v>4.1401273885350316E-2</v>
      </c>
      <c r="N347" s="33">
        <f t="shared" si="169"/>
        <v>2.2292993630573247E-2</v>
      </c>
      <c r="O347" s="33">
        <f t="shared" si="170"/>
        <v>9.5541401273885346E-3</v>
      </c>
      <c r="P347" s="33" t="str">
        <f t="shared" si="171"/>
        <v/>
      </c>
      <c r="Q347" s="33">
        <v>0.30706521739130399</v>
      </c>
      <c r="R347" s="33">
        <v>0.02</v>
      </c>
      <c r="S347" s="33"/>
      <c r="T347" s="33">
        <v>0.05</v>
      </c>
      <c r="U347" s="33">
        <f t="shared" si="161"/>
        <v>0.54968637496538397</v>
      </c>
      <c r="V347" s="33">
        <f t="shared" si="172"/>
        <v>1</v>
      </c>
      <c r="W347" s="218">
        <f t="shared" si="173"/>
        <v>96</v>
      </c>
      <c r="X347" s="33">
        <v>0.16200000000000001</v>
      </c>
      <c r="Y347" s="218">
        <f t="shared" si="173"/>
        <v>96</v>
      </c>
      <c r="Z347" s="218">
        <f t="shared" si="174"/>
        <v>497</v>
      </c>
      <c r="AA347" s="33">
        <v>0.12</v>
      </c>
      <c r="AB347" s="218">
        <f t="shared" si="175"/>
        <v>6</v>
      </c>
      <c r="AC347" s="218">
        <f t="shared" si="176"/>
        <v>44</v>
      </c>
      <c r="AD347" s="33">
        <v>0.02</v>
      </c>
      <c r="AE347" s="218" t="str">
        <f t="shared" si="177"/>
        <v/>
      </c>
      <c r="AF347" s="218" t="str">
        <f t="shared" si="178"/>
        <v/>
      </c>
      <c r="AG347" s="33">
        <v>0.02</v>
      </c>
      <c r="AH347" s="218">
        <f t="shared" si="179"/>
        <v>16</v>
      </c>
      <c r="AI347" s="218">
        <f t="shared" si="180"/>
        <v>784</v>
      </c>
      <c r="AJ347" s="33">
        <v>2.3E-2</v>
      </c>
      <c r="AK347" s="218">
        <f t="shared" si="181"/>
        <v>173</v>
      </c>
      <c r="AL347" s="218">
        <f t="shared" si="182"/>
        <v>7349</v>
      </c>
      <c r="AM347" s="38">
        <f t="shared" si="183"/>
        <v>314</v>
      </c>
      <c r="AN347" s="38">
        <f t="shared" si="184"/>
        <v>314</v>
      </c>
      <c r="AO347" s="38">
        <f t="shared" si="185"/>
        <v>0</v>
      </c>
      <c r="AP347" s="38">
        <f>IF(OR($C347="01-09",$D347="Male"),"",INDEX(PMTCT!$AD:$AD,MATCH($E347,PMTCT!$E:$E,0)))</f>
        <v>770</v>
      </c>
      <c r="AQ347" s="38">
        <f>IF(OR($C347="01-09",$D347="Male"),"",INDEX(PMTCT!$AT:$AT,MATCH($E347,PMTCT!$E:$E,0)))</f>
        <v>763</v>
      </c>
      <c r="AR347" s="38">
        <f>INDEX(TB!$Q:$Q,MATCH($E347,TB!$E:$E,0))</f>
        <v>49</v>
      </c>
      <c r="AS347" s="38" t="str">
        <f>IF(OR($C347="01-09",$C347="10-14",$D347="Female"),"",INDEX(VMMC!$AB:$AB,MATCH($E347,VMMC!$E:$E,0)))</f>
        <v/>
      </c>
      <c r="AT347" s="38">
        <f>IF(OR($C347="01-09",$C347="10-14"),"",INDEX(PrEP!$Q:$Q,MATCH($E347,PrEP!$E:$E,0)))</f>
        <v>150</v>
      </c>
      <c r="AU347" s="38">
        <f t="shared" si="186"/>
        <v>10406</v>
      </c>
      <c r="AV347" s="38">
        <f t="shared" si="187"/>
        <v>10720</v>
      </c>
      <c r="AW347" s="33">
        <f t="shared" si="188"/>
        <v>2.9291044776119404E-2</v>
      </c>
      <c r="AX347" s="38">
        <v>211</v>
      </c>
      <c r="AY347" s="33">
        <f t="shared" si="193"/>
        <v>0.68</v>
      </c>
      <c r="AZ347" s="218">
        <f t="shared" si="189"/>
        <v>354</v>
      </c>
      <c r="BA347" s="33">
        <v>0.63</v>
      </c>
      <c r="BB347" s="218">
        <f t="shared" si="190"/>
        <v>198</v>
      </c>
    </row>
    <row r="348" spans="1:54" x14ac:dyDescent="0.2">
      <c r="A348" t="str">
        <f>INDEX(Prioritization!$D:$D,MATCH($B348,Prioritization!$A:$A,0))</f>
        <v>INVALID</v>
      </c>
      <c r="B348" t="s">
        <v>324</v>
      </c>
      <c r="C348" t="s">
        <v>477</v>
      </c>
      <c r="D348" t="s">
        <v>48</v>
      </c>
      <c r="E348" t="str">
        <f t="shared" si="166"/>
        <v>Thyolo District [ul0y9diGujK]|35-49|Male</v>
      </c>
      <c r="F348" s="33">
        <f>IF(LEFT($B348,4)="_Mil","",INDEX(Cascade!$AA:$AA,MATCH($E348,Cascade!$E:$E,0)))</f>
        <v>0.93047459600000004</v>
      </c>
      <c r="G348" s="38">
        <f>INDEX(Cascade!$BH:$BH,MATCH($E348,Cascade!$E:$E,0))</f>
        <v>180</v>
      </c>
      <c r="H348" s="38" t="str">
        <f>IF(OR($C348="01-09",$D348="Male"),"",INDEX(PMTCT!$AC:$AC,MATCH($E348,PMTCT!$E:$E,0)))</f>
        <v/>
      </c>
      <c r="I348" s="38" t="str">
        <f>IF(OR($C348="01-09",$D348="Male"),"",INDEX(PMTCT!$AS:$AS,MATCH($E348,PMTCT!$E:$E,0)))</f>
        <v/>
      </c>
      <c r="J348" s="38">
        <f>INDEX(TB!$P:$P,MATCH($E348,TB!$E:$E,0))</f>
        <v>5</v>
      </c>
      <c r="K348" s="38" t="str">
        <f>IF(OR($C348="01-09",$C348="10-14",$D348="Female"),"",INDEX(VMMC!$AA:$AA,MATCH($E348,VMMC!$E:$E,0)))</f>
        <v/>
      </c>
      <c r="L348" s="38">
        <f t="shared" si="167"/>
        <v>175</v>
      </c>
      <c r="M348" s="33" t="str">
        <f t="shared" si="168"/>
        <v/>
      </c>
      <c r="N348" s="33" t="str">
        <f t="shared" si="169"/>
        <v/>
      </c>
      <c r="O348" s="33">
        <f t="shared" si="170"/>
        <v>2.7777777777777776E-2</v>
      </c>
      <c r="P348" s="33">
        <f t="shared" si="171"/>
        <v>0</v>
      </c>
      <c r="Q348" s="33">
        <v>0.39097744360902298</v>
      </c>
      <c r="R348" s="33">
        <v>0.03</v>
      </c>
      <c r="S348" s="33"/>
      <c r="T348" s="33">
        <v>0.05</v>
      </c>
      <c r="U348" s="33">
        <f t="shared" ref="U348:U362" si="194">1-SUM(M348:T348)</f>
        <v>0.50124477861319927</v>
      </c>
      <c r="V348" s="33">
        <f t="shared" si="172"/>
        <v>1</v>
      </c>
      <c r="W348" s="218">
        <f t="shared" si="173"/>
        <v>70</v>
      </c>
      <c r="X348" s="33">
        <v>0.154</v>
      </c>
      <c r="Y348" s="218">
        <f t="shared" si="173"/>
        <v>70</v>
      </c>
      <c r="Z348" s="218">
        <f t="shared" si="174"/>
        <v>385</v>
      </c>
      <c r="AA348" s="33">
        <v>0.12</v>
      </c>
      <c r="AB348" s="218">
        <f t="shared" si="175"/>
        <v>5</v>
      </c>
      <c r="AC348" s="218">
        <f t="shared" si="176"/>
        <v>37</v>
      </c>
      <c r="AD348" s="33">
        <v>0.02</v>
      </c>
      <c r="AE348" s="218" t="str">
        <f t="shared" si="177"/>
        <v/>
      </c>
      <c r="AF348" s="218" t="str">
        <f t="shared" si="178"/>
        <v/>
      </c>
      <c r="AG348" s="33">
        <v>0.02</v>
      </c>
      <c r="AH348" s="218">
        <f t="shared" si="179"/>
        <v>9</v>
      </c>
      <c r="AI348" s="218">
        <f t="shared" si="180"/>
        <v>441</v>
      </c>
      <c r="AJ348" s="33">
        <v>4.4999999999999998E-2</v>
      </c>
      <c r="AK348" s="218">
        <f t="shared" si="181"/>
        <v>90</v>
      </c>
      <c r="AL348" s="218">
        <f t="shared" si="182"/>
        <v>1910</v>
      </c>
      <c r="AM348" s="38">
        <f t="shared" si="183"/>
        <v>180</v>
      </c>
      <c r="AN348" s="38">
        <f t="shared" si="184"/>
        <v>179</v>
      </c>
      <c r="AO348" s="38">
        <f t="shared" si="185"/>
        <v>-1</v>
      </c>
      <c r="AP348" s="38" t="str">
        <f>IF(OR($C348="01-09",$D348="Male"),"",INDEX(PMTCT!$AD:$AD,MATCH($E348,PMTCT!$E:$E,0)))</f>
        <v/>
      </c>
      <c r="AQ348" s="38" t="str">
        <f>IF(OR($C348="01-09",$D348="Male"),"",INDEX(PMTCT!$AT:$AT,MATCH($E348,PMTCT!$E:$E,0)))</f>
        <v/>
      </c>
      <c r="AR348" s="38">
        <f>INDEX(TB!$Q:$Q,MATCH($E348,TB!$E:$E,0))</f>
        <v>77</v>
      </c>
      <c r="AS348" s="38" t="str">
        <f>IF(OR($C348="01-09",$C348="10-14",$D348="Female"),"",INDEX(VMMC!$AB:$AB,MATCH($E348,VMMC!$E:$E,0)))</f>
        <v/>
      </c>
      <c r="AT348" s="38">
        <f>IF(OR($C348="01-09",$C348="10-14"),"",INDEX(PrEP!$Q:$Q,MATCH($E348,PrEP!$E:$E,0)))</f>
        <v>84</v>
      </c>
      <c r="AU348" s="38">
        <f t="shared" si="186"/>
        <v>2934</v>
      </c>
      <c r="AV348" s="38">
        <f t="shared" si="187"/>
        <v>3112.9999999999995</v>
      </c>
      <c r="AW348" s="33">
        <f t="shared" si="188"/>
        <v>5.7500803083841964E-2</v>
      </c>
      <c r="AX348" s="38">
        <v>134</v>
      </c>
      <c r="AY348" s="33">
        <f t="shared" si="193"/>
        <v>0.68</v>
      </c>
      <c r="AZ348" s="218">
        <f t="shared" si="189"/>
        <v>225</v>
      </c>
      <c r="BA348" s="33">
        <v>0.63</v>
      </c>
      <c r="BB348" s="218">
        <f t="shared" si="190"/>
        <v>113</v>
      </c>
    </row>
    <row r="349" spans="1:54" x14ac:dyDescent="0.2">
      <c r="A349" t="str">
        <f>INDEX(Prioritization!$D:$D,MATCH($B349,Prioritization!$A:$A,0))</f>
        <v>INVALID</v>
      </c>
      <c r="B349" t="s">
        <v>324</v>
      </c>
      <c r="C349" t="s">
        <v>478</v>
      </c>
      <c r="D349" t="s">
        <v>30</v>
      </c>
      <c r="E349" t="str">
        <f t="shared" si="166"/>
        <v>Thyolo District [ul0y9diGujK]|50+|Female</v>
      </c>
      <c r="F349" s="33">
        <f>IF(LEFT($B349,4)="_Mil","",INDEX(Cascade!$AA:$AA,MATCH($E349,Cascade!$E:$E,0)))</f>
        <v>0.98972613899999995</v>
      </c>
      <c r="G349" s="38">
        <f>INDEX(Cascade!$BH:$BH,MATCH($E349,Cascade!$E:$E,0))</f>
        <v>377</v>
      </c>
      <c r="H349" s="38">
        <f>IF(OR($C349="01-09",$D349="Male"),"",INDEX(PMTCT!$AC:$AC,MATCH($E349,PMTCT!$E:$E,0)))</f>
        <v>0</v>
      </c>
      <c r="I349" s="38">
        <f>IF(OR($C349="01-09",$D349="Male"),"",INDEX(PMTCT!$AS:$AS,MATCH($E349,PMTCT!$E:$E,0)))</f>
        <v>0</v>
      </c>
      <c r="J349" s="38">
        <f>INDEX(TB!$P:$P,MATCH($E349,TB!$E:$E,0))</f>
        <v>1</v>
      </c>
      <c r="K349" s="38" t="str">
        <f>IF(OR($C349="01-09",$C349="10-14",$D349="Female"),"",INDEX(VMMC!$AA:$AA,MATCH($E349,VMMC!$E:$E,0)))</f>
        <v/>
      </c>
      <c r="L349" s="38">
        <f t="shared" si="167"/>
        <v>376</v>
      </c>
      <c r="M349" s="33">
        <f t="shared" si="168"/>
        <v>0</v>
      </c>
      <c r="N349" s="33">
        <f t="shared" si="169"/>
        <v>0</v>
      </c>
      <c r="O349" s="33">
        <f t="shared" si="170"/>
        <v>2.6525198938992041E-3</v>
      </c>
      <c r="P349" s="33" t="str">
        <f t="shared" si="171"/>
        <v/>
      </c>
      <c r="Q349" s="33">
        <v>0.15</v>
      </c>
      <c r="R349" s="33">
        <v>0.02</v>
      </c>
      <c r="S349" s="33"/>
      <c r="T349" s="33">
        <v>0.05</v>
      </c>
      <c r="U349" s="33">
        <f t="shared" si="194"/>
        <v>0.77734748010610089</v>
      </c>
      <c r="V349" s="33">
        <f t="shared" si="172"/>
        <v>1</v>
      </c>
      <c r="W349" s="218">
        <f t="shared" si="173"/>
        <v>57</v>
      </c>
      <c r="X349" s="33">
        <v>0.23699999999999999</v>
      </c>
      <c r="Y349" s="218">
        <f t="shared" si="173"/>
        <v>57</v>
      </c>
      <c r="Z349" s="218">
        <f t="shared" si="174"/>
        <v>184</v>
      </c>
      <c r="AA349" s="33">
        <v>0.12</v>
      </c>
      <c r="AB349" s="218">
        <f t="shared" si="175"/>
        <v>8</v>
      </c>
      <c r="AC349" s="218">
        <f t="shared" si="176"/>
        <v>59</v>
      </c>
      <c r="AD349" s="33">
        <v>0.02</v>
      </c>
      <c r="AE349" s="218" t="str">
        <f t="shared" si="177"/>
        <v/>
      </c>
      <c r="AF349" s="218" t="str">
        <f t="shared" si="178"/>
        <v/>
      </c>
      <c r="AG349" s="33">
        <v>0.02</v>
      </c>
      <c r="AH349" s="218">
        <f t="shared" si="179"/>
        <v>19</v>
      </c>
      <c r="AI349" s="218">
        <f t="shared" si="180"/>
        <v>931</v>
      </c>
      <c r="AJ349" s="33">
        <v>1.2999999999999999E-2</v>
      </c>
      <c r="AK349" s="218">
        <f t="shared" si="181"/>
        <v>293</v>
      </c>
      <c r="AL349" s="218">
        <f t="shared" si="182"/>
        <v>22245</v>
      </c>
      <c r="AM349" s="38">
        <f t="shared" si="183"/>
        <v>377</v>
      </c>
      <c r="AN349" s="38">
        <f t="shared" si="184"/>
        <v>378</v>
      </c>
      <c r="AO349" s="38">
        <f t="shared" si="185"/>
        <v>1</v>
      </c>
      <c r="AP349" s="38">
        <f>IF(OR($C349="01-09",$D349="Male"),"",INDEX(PMTCT!$AD:$AD,MATCH($E349,PMTCT!$E:$E,0)))</f>
        <v>11</v>
      </c>
      <c r="AQ349" s="38">
        <f>IF(OR($C349="01-09",$D349="Male"),"",INDEX(PMTCT!$AT:$AT,MATCH($E349,PMTCT!$E:$E,0)))</f>
        <v>11</v>
      </c>
      <c r="AR349" s="38">
        <f>INDEX(TB!$Q:$Q,MATCH($E349,TB!$E:$E,0))</f>
        <v>17</v>
      </c>
      <c r="AS349" s="38" t="str">
        <f>IF(OR($C349="01-09",$C349="10-14",$D349="Female"),"",INDEX(VMMC!$AB:$AB,MATCH($E349,VMMC!$E:$E,0)))</f>
        <v/>
      </c>
      <c r="AT349" s="38">
        <f>IF(OR($C349="01-09",$C349="10-14"),"",INDEX(PrEP!$Q:$Q,MATCH($E349,PrEP!$E:$E,0)))</f>
        <v>36</v>
      </c>
      <c r="AU349" s="38">
        <f t="shared" si="186"/>
        <v>23494</v>
      </c>
      <c r="AV349" s="38">
        <f t="shared" si="187"/>
        <v>23872</v>
      </c>
      <c r="AW349" s="33">
        <f t="shared" si="188"/>
        <v>1.5834450402144772E-2</v>
      </c>
      <c r="AX349" s="38">
        <v>215</v>
      </c>
      <c r="AY349" s="33">
        <f t="shared" si="191"/>
        <v>0</v>
      </c>
      <c r="AZ349" s="218">
        <f t="shared" si="189"/>
        <v>215</v>
      </c>
      <c r="BA349" s="33">
        <v>0.63</v>
      </c>
      <c r="BB349" s="218">
        <f t="shared" si="190"/>
        <v>238</v>
      </c>
    </row>
    <row r="350" spans="1:54" x14ac:dyDescent="0.2">
      <c r="A350" t="str">
        <f>INDEX(Prioritization!$D:$D,MATCH($B350,Prioritization!$A:$A,0))</f>
        <v>INVALID</v>
      </c>
      <c r="B350" t="s">
        <v>324</v>
      </c>
      <c r="C350" t="s">
        <v>478</v>
      </c>
      <c r="D350" t="s">
        <v>48</v>
      </c>
      <c r="E350" t="str">
        <f t="shared" si="166"/>
        <v>Thyolo District [ul0y9diGujK]|50+|Male</v>
      </c>
      <c r="F350" s="33">
        <f>IF(LEFT($B350,4)="_Mil","",INDEX(Cascade!$AA:$AA,MATCH($E350,Cascade!$E:$E,0)))</f>
        <v>0.95247974299999993</v>
      </c>
      <c r="G350" s="38">
        <f>INDEX(Cascade!$BH:$BH,MATCH($E350,Cascade!$E:$E,0))</f>
        <v>211</v>
      </c>
      <c r="H350" s="38" t="str">
        <f>IF(OR($C350="01-09",$D350="Male"),"",INDEX(PMTCT!$AC:$AC,MATCH($E350,PMTCT!$E:$E,0)))</f>
        <v/>
      </c>
      <c r="I350" s="38" t="str">
        <f>IF(OR($C350="01-09",$D350="Male"),"",INDEX(PMTCT!$AS:$AS,MATCH($E350,PMTCT!$E:$E,0)))</f>
        <v/>
      </c>
      <c r="J350" s="38">
        <f>INDEX(TB!$P:$P,MATCH($E350,TB!$E:$E,0))</f>
        <v>2</v>
      </c>
      <c r="K350" s="38" t="str">
        <f>IF(OR($C350="01-09",$C350="10-14",$D350="Female"),"",INDEX(VMMC!$AA:$AA,MATCH($E350,VMMC!$E:$E,0)))</f>
        <v/>
      </c>
      <c r="L350" s="38">
        <f t="shared" si="167"/>
        <v>209</v>
      </c>
      <c r="M350" s="33" t="str">
        <f t="shared" si="168"/>
        <v/>
      </c>
      <c r="N350" s="33" t="str">
        <f t="shared" si="169"/>
        <v/>
      </c>
      <c r="O350" s="33">
        <f t="shared" si="170"/>
        <v>9.4786729857819912E-3</v>
      </c>
      <c r="P350" s="33">
        <f t="shared" si="171"/>
        <v>0</v>
      </c>
      <c r="Q350" s="33">
        <v>0.15</v>
      </c>
      <c r="R350" s="33">
        <v>0.03</v>
      </c>
      <c r="S350" s="33"/>
      <c r="T350" s="33">
        <v>0.05</v>
      </c>
      <c r="U350" s="33">
        <f t="shared" si="194"/>
        <v>0.76052132701421793</v>
      </c>
      <c r="V350" s="33">
        <f t="shared" si="172"/>
        <v>1</v>
      </c>
      <c r="W350" s="218">
        <f t="shared" si="173"/>
        <v>32</v>
      </c>
      <c r="X350" s="33">
        <v>0.156</v>
      </c>
      <c r="Y350" s="218">
        <f t="shared" si="173"/>
        <v>32</v>
      </c>
      <c r="Z350" s="218">
        <f t="shared" si="174"/>
        <v>173</v>
      </c>
      <c r="AA350" s="33">
        <v>0.12</v>
      </c>
      <c r="AB350" s="218">
        <f t="shared" si="175"/>
        <v>6</v>
      </c>
      <c r="AC350" s="218">
        <f t="shared" si="176"/>
        <v>44</v>
      </c>
      <c r="AD350" s="33">
        <v>0.02</v>
      </c>
      <c r="AE350" s="218" t="str">
        <f t="shared" si="177"/>
        <v/>
      </c>
      <c r="AF350" s="218" t="str">
        <f t="shared" si="178"/>
        <v/>
      </c>
      <c r="AG350" s="33">
        <v>0.02</v>
      </c>
      <c r="AH350" s="218">
        <f t="shared" si="179"/>
        <v>11</v>
      </c>
      <c r="AI350" s="218">
        <f t="shared" si="180"/>
        <v>539</v>
      </c>
      <c r="AJ350" s="33">
        <v>1.9E-2</v>
      </c>
      <c r="AK350" s="218">
        <f t="shared" si="181"/>
        <v>160</v>
      </c>
      <c r="AL350" s="218">
        <f t="shared" si="182"/>
        <v>8261</v>
      </c>
      <c r="AM350" s="38">
        <f t="shared" si="183"/>
        <v>211</v>
      </c>
      <c r="AN350" s="38">
        <f t="shared" si="184"/>
        <v>210.99999999999997</v>
      </c>
      <c r="AO350" s="38">
        <f t="shared" si="185"/>
        <v>-2.8421709430404007E-14</v>
      </c>
      <c r="AP350" s="38" t="str">
        <f>IF(OR($C350="01-09",$D350="Male"),"",INDEX(PMTCT!$AD:$AD,MATCH($E350,PMTCT!$E:$E,0)))</f>
        <v/>
      </c>
      <c r="AQ350" s="38" t="str">
        <f>IF(OR($C350="01-09",$D350="Male"),"",INDEX(PMTCT!$AT:$AT,MATCH($E350,PMTCT!$E:$E,0)))</f>
        <v/>
      </c>
      <c r="AR350" s="38">
        <f>INDEX(TB!$Q:$Q,MATCH($E350,TB!$E:$E,0))</f>
        <v>25</v>
      </c>
      <c r="AS350" s="38" t="str">
        <f>IF(OR($C350="01-09",$C350="10-14",$D350="Female"),"",INDEX(VMMC!$AB:$AB,MATCH($E350,VMMC!$E:$E,0)))</f>
        <v/>
      </c>
      <c r="AT350" s="38">
        <f>IF(OR($C350="01-09",$C350="10-14"),"",INDEX(PrEP!$Q:$Q,MATCH($E350,PrEP!$E:$E,0)))</f>
        <v>36</v>
      </c>
      <c r="AU350" s="38">
        <f t="shared" si="186"/>
        <v>9078</v>
      </c>
      <c r="AV350" s="38">
        <f t="shared" si="187"/>
        <v>9289</v>
      </c>
      <c r="AW350" s="33">
        <f t="shared" si="188"/>
        <v>2.2715039293788347E-2</v>
      </c>
      <c r="AX350" s="38">
        <v>167</v>
      </c>
      <c r="AY350" s="33">
        <f t="shared" si="191"/>
        <v>0</v>
      </c>
      <c r="AZ350" s="218">
        <f t="shared" si="189"/>
        <v>167</v>
      </c>
      <c r="BA350" s="33">
        <v>0.63</v>
      </c>
      <c r="BB350" s="218">
        <f t="shared" si="190"/>
        <v>133</v>
      </c>
    </row>
    <row r="351" spans="1:54" x14ac:dyDescent="0.2">
      <c r="A351" t="str">
        <f>INDEX(Prioritization!$D:$D,MATCH($B351,Prioritization!$A:$A,0))</f>
        <v>1 - Scale-up: Saturation</v>
      </c>
      <c r="B351" t="s">
        <v>325</v>
      </c>
      <c r="C351" t="s">
        <v>473</v>
      </c>
      <c r="D351" t="s">
        <v>30</v>
      </c>
      <c r="E351" t="str">
        <f t="shared" si="166"/>
        <v>Zomba District [fyEoGEPERdI]|01-09|Female</v>
      </c>
      <c r="F351" s="33">
        <f>IF(LEFT($B351,4)="_Mil","",INDEX(Cascade!$AA:$AA,MATCH($E351,Cascade!$E:$E,0)))</f>
        <v>0.72084813599999997</v>
      </c>
      <c r="G351" s="38">
        <f>INDEX(Cascade!$BH:$BH,MATCH($E351,Cascade!$E:$E,0))</f>
        <v>12</v>
      </c>
      <c r="H351" s="38" t="str">
        <f>IF(OR($C351="01-09",$D351="Male"),"",INDEX(PMTCT!$AC:$AC,MATCH($E351,PMTCT!$E:$E,0)))</f>
        <v/>
      </c>
      <c r="I351" s="38" t="str">
        <f>IF(OR($C351="01-09",$D351="Male"),"",INDEX(PMTCT!$AS:$AS,MATCH($E351,PMTCT!$E:$E,0)))</f>
        <v/>
      </c>
      <c r="J351" s="38">
        <f>INDEX(TB!$P:$P,MATCH($E351,TB!$E:$E,0))</f>
        <v>1</v>
      </c>
      <c r="K351" s="38" t="str">
        <f>IF(OR($C351="01-09",$C351="10-14",$D351="Female"),"",INDEX(VMMC!$AA:$AA,MATCH($E351,VMMC!$E:$E,0)))</f>
        <v/>
      </c>
      <c r="L351" s="38">
        <f t="shared" si="167"/>
        <v>11</v>
      </c>
      <c r="M351" s="33" t="str">
        <f t="shared" si="168"/>
        <v/>
      </c>
      <c r="N351" s="33" t="str">
        <f t="shared" si="169"/>
        <v/>
      </c>
      <c r="O351" s="33">
        <f t="shared" si="170"/>
        <v>8.3333333333333329E-2</v>
      </c>
      <c r="P351" s="33" t="str">
        <f t="shared" si="171"/>
        <v/>
      </c>
      <c r="Q351" s="33">
        <v>0.44444444444444398</v>
      </c>
      <c r="R351" s="33"/>
      <c r="S351" s="33"/>
      <c r="T351" s="33"/>
      <c r="U351" s="33">
        <f t="shared" si="194"/>
        <v>0.47222222222222265</v>
      </c>
      <c r="V351" s="33">
        <f t="shared" si="172"/>
        <v>1</v>
      </c>
      <c r="W351" s="218">
        <f t="shared" si="173"/>
        <v>5</v>
      </c>
      <c r="X351" s="33">
        <v>2.1000000000000001E-2</v>
      </c>
      <c r="Y351" s="218">
        <f t="shared" si="173"/>
        <v>5</v>
      </c>
      <c r="Z351" s="218">
        <f t="shared" si="174"/>
        <v>233</v>
      </c>
      <c r="AA351" s="33">
        <v>0.12</v>
      </c>
      <c r="AB351" s="218" t="str">
        <f t="shared" si="175"/>
        <v/>
      </c>
      <c r="AC351" s="218" t="str">
        <f t="shared" si="176"/>
        <v/>
      </c>
      <c r="AD351" s="33">
        <v>0.02</v>
      </c>
      <c r="AE351" s="218" t="str">
        <f t="shared" si="177"/>
        <v/>
      </c>
      <c r="AF351" s="218" t="str">
        <f t="shared" si="178"/>
        <v/>
      </c>
      <c r="AG351" s="33">
        <v>0.02</v>
      </c>
      <c r="AH351" s="218" t="str">
        <f t="shared" si="179"/>
        <v/>
      </c>
      <c r="AI351" s="218" t="str">
        <f t="shared" si="180"/>
        <v/>
      </c>
      <c r="AJ351" s="33">
        <v>4.3E-3</v>
      </c>
      <c r="AK351" s="218">
        <f t="shared" si="181"/>
        <v>6</v>
      </c>
      <c r="AL351" s="218">
        <f t="shared" si="182"/>
        <v>1389</v>
      </c>
      <c r="AM351" s="38">
        <f t="shared" si="183"/>
        <v>12</v>
      </c>
      <c r="AN351" s="38">
        <f t="shared" si="184"/>
        <v>12</v>
      </c>
      <c r="AO351" s="38">
        <f t="shared" si="185"/>
        <v>0</v>
      </c>
      <c r="AP351" s="38" t="str">
        <f>IF(OR($C351="01-09",$D351="Male"),"",INDEX(PMTCT!$AD:$AD,MATCH($E351,PMTCT!$E:$E,0)))</f>
        <v/>
      </c>
      <c r="AQ351" s="38" t="str">
        <f>IF(OR($C351="01-09",$D351="Male"),"",INDEX(PMTCT!$AT:$AT,MATCH($E351,PMTCT!$E:$E,0)))</f>
        <v/>
      </c>
      <c r="AR351" s="38">
        <f>INDEX(TB!$Q:$Q,MATCH($E351,TB!$E:$E,0))</f>
        <v>13</v>
      </c>
      <c r="AS351" s="38" t="str">
        <f>IF(OR($C351="01-09",$C351="10-14",$D351="Female"),"",INDEX(VMMC!$AB:$AB,MATCH($E351,VMMC!$E:$E,0)))</f>
        <v/>
      </c>
      <c r="AT351" s="38" t="str">
        <f>IF(OR($C351="01-09",$C351="10-14"),"",INDEX(PrEP!$Q:$Q,MATCH($E351,PrEP!$E:$E,0)))</f>
        <v/>
      </c>
      <c r="AU351" s="38">
        <f t="shared" si="186"/>
        <v>1635</v>
      </c>
      <c r="AV351" s="38">
        <f t="shared" si="187"/>
        <v>1647</v>
      </c>
      <c r="AW351" s="33">
        <f t="shared" si="188"/>
        <v>7.2859744990892532E-3</v>
      </c>
      <c r="AX351" s="38"/>
      <c r="AY351" s="33" t="str">
        <f t="shared" si="191"/>
        <v/>
      </c>
      <c r="AZ351" s="218" t="str">
        <f t="shared" si="189"/>
        <v/>
      </c>
      <c r="BA351" s="33" t="str">
        <f t="shared" si="192"/>
        <v/>
      </c>
      <c r="BB351" s="218" t="str">
        <f t="shared" si="190"/>
        <v/>
      </c>
    </row>
    <row r="352" spans="1:54" x14ac:dyDescent="0.2">
      <c r="A352" t="str">
        <f>INDEX(Prioritization!$D:$D,MATCH($B352,Prioritization!$A:$A,0))</f>
        <v>1 - Scale-up: Saturation</v>
      </c>
      <c r="B352" t="s">
        <v>325</v>
      </c>
      <c r="C352" t="s">
        <v>473</v>
      </c>
      <c r="D352" t="s">
        <v>48</v>
      </c>
      <c r="E352" t="str">
        <f t="shared" si="166"/>
        <v>Zomba District [fyEoGEPERdI]|01-09|Male</v>
      </c>
      <c r="F352" s="33">
        <f>IF(LEFT($B352,4)="_Mil","",INDEX(Cascade!$AA:$AA,MATCH($E352,Cascade!$E:$E,0)))</f>
        <v>0.72123726700000002</v>
      </c>
      <c r="G352" s="38">
        <f>INDEX(Cascade!$BH:$BH,MATCH($E352,Cascade!$E:$E,0))</f>
        <v>12</v>
      </c>
      <c r="H352" s="38" t="str">
        <f>IF(OR($C352="01-09",$D352="Male"),"",INDEX(PMTCT!$AC:$AC,MATCH($E352,PMTCT!$E:$E,0)))</f>
        <v/>
      </c>
      <c r="I352" s="38" t="str">
        <f>IF(OR($C352="01-09",$D352="Male"),"",INDEX(PMTCT!$AS:$AS,MATCH($E352,PMTCT!$E:$E,0)))</f>
        <v/>
      </c>
      <c r="J352" s="38">
        <f>INDEX(TB!$P:$P,MATCH($E352,TB!$E:$E,0))</f>
        <v>1</v>
      </c>
      <c r="K352" s="38" t="str">
        <f>IF(OR($C352="01-09",$C352="10-14",$D352="Female"),"",INDEX(VMMC!$AA:$AA,MATCH($E352,VMMC!$E:$E,0)))</f>
        <v/>
      </c>
      <c r="L352" s="38">
        <f t="shared" si="167"/>
        <v>11</v>
      </c>
      <c r="M352" s="33" t="str">
        <f t="shared" si="168"/>
        <v/>
      </c>
      <c r="N352" s="33" t="str">
        <f t="shared" si="169"/>
        <v/>
      </c>
      <c r="O352" s="33">
        <f t="shared" si="170"/>
        <v>8.3333333333333329E-2</v>
      </c>
      <c r="P352" s="33" t="str">
        <f t="shared" si="171"/>
        <v/>
      </c>
      <c r="Q352" s="33">
        <v>0.45714285714285702</v>
      </c>
      <c r="R352" s="33"/>
      <c r="S352" s="33"/>
      <c r="T352" s="33"/>
      <c r="U352" s="33">
        <f t="shared" si="194"/>
        <v>0.45952380952380967</v>
      </c>
      <c r="V352" s="33">
        <f t="shared" si="172"/>
        <v>1</v>
      </c>
      <c r="W352" s="218">
        <f t="shared" si="173"/>
        <v>5</v>
      </c>
      <c r="X352" s="33">
        <v>1.9E-2</v>
      </c>
      <c r="Y352" s="218">
        <f t="shared" si="173"/>
        <v>5</v>
      </c>
      <c r="Z352" s="218">
        <f t="shared" si="174"/>
        <v>258</v>
      </c>
      <c r="AA352" s="33">
        <v>0.12</v>
      </c>
      <c r="AB352" s="218" t="str">
        <f t="shared" si="175"/>
        <v/>
      </c>
      <c r="AC352" s="218" t="str">
        <f t="shared" si="176"/>
        <v/>
      </c>
      <c r="AD352" s="33">
        <v>0.02</v>
      </c>
      <c r="AE352" s="218" t="str">
        <f t="shared" si="177"/>
        <v/>
      </c>
      <c r="AF352" s="218" t="str">
        <f t="shared" si="178"/>
        <v/>
      </c>
      <c r="AG352" s="33">
        <v>0.02</v>
      </c>
      <c r="AH352" s="218" t="str">
        <f t="shared" si="179"/>
        <v/>
      </c>
      <c r="AI352" s="218" t="str">
        <f t="shared" si="180"/>
        <v/>
      </c>
      <c r="AJ352" s="33">
        <v>5.0000000000000001E-3</v>
      </c>
      <c r="AK352" s="218">
        <f t="shared" si="181"/>
        <v>6</v>
      </c>
      <c r="AL352" s="218">
        <f t="shared" si="182"/>
        <v>1194</v>
      </c>
      <c r="AM352" s="38">
        <f t="shared" si="183"/>
        <v>12</v>
      </c>
      <c r="AN352" s="38">
        <f t="shared" si="184"/>
        <v>12</v>
      </c>
      <c r="AO352" s="38">
        <f t="shared" si="185"/>
        <v>0</v>
      </c>
      <c r="AP352" s="38" t="str">
        <f>IF(OR($C352="01-09",$D352="Male"),"",INDEX(PMTCT!$AD:$AD,MATCH($E352,PMTCT!$E:$E,0)))</f>
        <v/>
      </c>
      <c r="AQ352" s="38" t="str">
        <f>IF(OR($C352="01-09",$D352="Male"),"",INDEX(PMTCT!$AT:$AT,MATCH($E352,PMTCT!$E:$E,0)))</f>
        <v/>
      </c>
      <c r="AR352" s="38">
        <f>INDEX(TB!$Q:$Q,MATCH($E352,TB!$E:$E,0))</f>
        <v>13</v>
      </c>
      <c r="AS352" s="38" t="str">
        <f>IF(OR($C352="01-09",$C352="10-14",$D352="Female"),"",INDEX(VMMC!$AB:$AB,MATCH($E352,VMMC!$E:$E,0)))</f>
        <v/>
      </c>
      <c r="AT352" s="38" t="str">
        <f>IF(OR($C352="01-09",$C352="10-14"),"",INDEX(PrEP!$Q:$Q,MATCH($E352,PrEP!$E:$E,0)))</f>
        <v/>
      </c>
      <c r="AU352" s="38">
        <f t="shared" si="186"/>
        <v>1465</v>
      </c>
      <c r="AV352" s="38">
        <f t="shared" si="187"/>
        <v>1477</v>
      </c>
      <c r="AW352" s="33">
        <f t="shared" si="188"/>
        <v>8.124576844955992E-3</v>
      </c>
      <c r="AX352" s="38"/>
      <c r="AY352" s="33" t="str">
        <f t="shared" si="191"/>
        <v/>
      </c>
      <c r="AZ352" s="218" t="str">
        <f t="shared" si="189"/>
        <v/>
      </c>
      <c r="BA352" s="33" t="str">
        <f t="shared" si="192"/>
        <v/>
      </c>
      <c r="BB352" s="218" t="str">
        <f t="shared" si="190"/>
        <v/>
      </c>
    </row>
    <row r="353" spans="1:54" x14ac:dyDescent="0.2">
      <c r="A353" t="str">
        <f>INDEX(Prioritization!$D:$D,MATCH($B353,Prioritization!$A:$A,0))</f>
        <v>1 - Scale-up: Saturation</v>
      </c>
      <c r="B353" t="s">
        <v>325</v>
      </c>
      <c r="C353" t="s">
        <v>474</v>
      </c>
      <c r="D353" t="s">
        <v>30</v>
      </c>
      <c r="E353" t="str">
        <f t="shared" si="166"/>
        <v>Zomba District [fyEoGEPERdI]|10-14|Female</v>
      </c>
      <c r="F353" s="33">
        <f>IF(LEFT($B353,4)="_Mil","",INDEX(Cascade!$AA:$AA,MATCH($E353,Cascade!$E:$E,0)))</f>
        <v>0.75721107200000004</v>
      </c>
      <c r="G353" s="38">
        <f>INDEX(Cascade!$BH:$BH,MATCH($E353,Cascade!$E:$E,0))</f>
        <v>20</v>
      </c>
      <c r="H353" s="38">
        <f>IF(OR($C353="01-09",$D353="Male"),"",INDEX(PMTCT!$AC:$AC,MATCH($E353,PMTCT!$E:$E,0)))</f>
        <v>1</v>
      </c>
      <c r="I353" s="38">
        <f>IF(OR($C353="01-09",$D353="Male"),"",INDEX(PMTCT!$AS:$AS,MATCH($E353,PMTCT!$E:$E,0)))</f>
        <v>0</v>
      </c>
      <c r="J353" s="38">
        <f>INDEX(TB!$P:$P,MATCH($E353,TB!$E:$E,0))</f>
        <v>0</v>
      </c>
      <c r="K353" s="38" t="str">
        <f>IF(OR($C353="01-09",$C353="10-14",$D353="Female"),"",INDEX(VMMC!$AA:$AA,MATCH($E353,VMMC!$E:$E,0)))</f>
        <v/>
      </c>
      <c r="L353" s="38">
        <f t="shared" si="167"/>
        <v>19</v>
      </c>
      <c r="M353" s="33">
        <f t="shared" si="168"/>
        <v>0.05</v>
      </c>
      <c r="N353" s="33">
        <f t="shared" si="169"/>
        <v>0</v>
      </c>
      <c r="O353" s="33">
        <f t="shared" si="170"/>
        <v>0</v>
      </c>
      <c r="P353" s="33" t="str">
        <f t="shared" si="171"/>
        <v/>
      </c>
      <c r="Q353" s="33">
        <v>0.456310679611651</v>
      </c>
      <c r="R353" s="33"/>
      <c r="S353" s="33">
        <v>0</v>
      </c>
      <c r="T353" s="33"/>
      <c r="U353" s="33">
        <f t="shared" si="194"/>
        <v>0.49368932038834901</v>
      </c>
      <c r="V353" s="33">
        <f t="shared" si="172"/>
        <v>1</v>
      </c>
      <c r="W353" s="218">
        <f t="shared" si="173"/>
        <v>9</v>
      </c>
      <c r="X353" s="33">
        <v>1.9E-2</v>
      </c>
      <c r="Y353" s="218">
        <f t="shared" si="173"/>
        <v>9</v>
      </c>
      <c r="Z353" s="218">
        <f t="shared" si="174"/>
        <v>465</v>
      </c>
      <c r="AA353" s="33">
        <v>0.12</v>
      </c>
      <c r="AB353" s="218" t="str">
        <f t="shared" si="175"/>
        <v/>
      </c>
      <c r="AC353" s="218" t="str">
        <f t="shared" si="176"/>
        <v/>
      </c>
      <c r="AD353" s="33">
        <v>2E-3</v>
      </c>
      <c r="AE353" s="218" t="str">
        <f t="shared" si="177"/>
        <v/>
      </c>
      <c r="AF353" s="218" t="str">
        <f t="shared" si="178"/>
        <v/>
      </c>
      <c r="AG353" s="33">
        <v>0.02</v>
      </c>
      <c r="AH353" s="218" t="str">
        <f t="shared" si="179"/>
        <v/>
      </c>
      <c r="AI353" s="218" t="str">
        <f t="shared" si="180"/>
        <v/>
      </c>
      <c r="AJ353" s="33">
        <v>1.7000000000000001E-2</v>
      </c>
      <c r="AK353" s="218">
        <f t="shared" si="181"/>
        <v>10</v>
      </c>
      <c r="AL353" s="218">
        <f t="shared" si="182"/>
        <v>578</v>
      </c>
      <c r="AM353" s="38">
        <f t="shared" si="183"/>
        <v>20</v>
      </c>
      <c r="AN353" s="38">
        <f t="shared" si="184"/>
        <v>20</v>
      </c>
      <c r="AO353" s="38">
        <f t="shared" si="185"/>
        <v>0</v>
      </c>
      <c r="AP353" s="38">
        <f>IF(OR($C353="01-09",$D353="Male"),"",INDEX(PMTCT!$AD:$AD,MATCH($E353,PMTCT!$E:$E,0)))</f>
        <v>99</v>
      </c>
      <c r="AQ353" s="38">
        <f>IF(OR($C353="01-09",$D353="Male"),"",INDEX(PMTCT!$AT:$AT,MATCH($E353,PMTCT!$E:$E,0)))</f>
        <v>98.999999999999986</v>
      </c>
      <c r="AR353" s="38">
        <f>INDEX(TB!$Q:$Q,MATCH($E353,TB!$E:$E,0))</f>
        <v>7</v>
      </c>
      <c r="AS353" s="38" t="str">
        <f>IF(OR($C353="01-09",$C353="10-14",$D353="Female"),"",INDEX(VMMC!$AB:$AB,MATCH($E353,VMMC!$E:$E,0)))</f>
        <v/>
      </c>
      <c r="AT353" s="38" t="str">
        <f>IF(OR($C353="01-09",$C353="10-14"),"",INDEX(PrEP!$Q:$Q,MATCH($E353,PrEP!$E:$E,0)))</f>
        <v/>
      </c>
      <c r="AU353" s="38">
        <f t="shared" si="186"/>
        <v>1248</v>
      </c>
      <c r="AV353" s="38">
        <f t="shared" si="187"/>
        <v>1268</v>
      </c>
      <c r="AW353" s="33">
        <f t="shared" si="188"/>
        <v>1.5772870662460567E-2</v>
      </c>
      <c r="AX353" s="38">
        <v>8748</v>
      </c>
      <c r="AY353" s="33">
        <f t="shared" si="191"/>
        <v>0</v>
      </c>
      <c r="AZ353" s="218">
        <f t="shared" si="189"/>
        <v>8748</v>
      </c>
      <c r="BA353" s="33" t="str">
        <f t="shared" si="192"/>
        <v/>
      </c>
      <c r="BB353" s="218" t="str">
        <f t="shared" si="190"/>
        <v/>
      </c>
    </row>
    <row r="354" spans="1:54" x14ac:dyDescent="0.2">
      <c r="A354" t="str">
        <f>INDEX(Prioritization!$D:$D,MATCH($B354,Prioritization!$A:$A,0))</f>
        <v>1 - Scale-up: Saturation</v>
      </c>
      <c r="B354" t="s">
        <v>325</v>
      </c>
      <c r="C354" t="s">
        <v>474</v>
      </c>
      <c r="D354" t="s">
        <v>48</v>
      </c>
      <c r="E354" t="str">
        <f t="shared" si="166"/>
        <v>Zomba District [fyEoGEPERdI]|10-14|Male</v>
      </c>
      <c r="F354" s="33">
        <f>IF(LEFT($B354,4)="_Mil","",INDEX(Cascade!$AA:$AA,MATCH($E354,Cascade!$E:$E,0)))</f>
        <v>0.75747239600000005</v>
      </c>
      <c r="G354" s="38">
        <f>INDEX(Cascade!$BH:$BH,MATCH($E354,Cascade!$E:$E,0))</f>
        <v>16</v>
      </c>
      <c r="H354" s="38" t="str">
        <f>IF(OR($C354="01-09",$D354="Male"),"",INDEX(PMTCT!$AC:$AC,MATCH($E354,PMTCT!$E:$E,0)))</f>
        <v/>
      </c>
      <c r="I354" s="38" t="str">
        <f>IF(OR($C354="01-09",$D354="Male"),"",INDEX(PMTCT!$AS:$AS,MATCH($E354,PMTCT!$E:$E,0)))</f>
        <v/>
      </c>
      <c r="J354" s="38">
        <f>INDEX(TB!$P:$P,MATCH($E354,TB!$E:$E,0))</f>
        <v>0</v>
      </c>
      <c r="K354" s="38" t="str">
        <f>IF(OR($C354="01-09",$C354="10-14",$D354="Female"),"",INDEX(VMMC!$AA:$AA,MATCH($E354,VMMC!$E:$E,0)))</f>
        <v/>
      </c>
      <c r="L354" s="38">
        <f t="shared" si="167"/>
        <v>16</v>
      </c>
      <c r="M354" s="33" t="str">
        <f t="shared" si="168"/>
        <v/>
      </c>
      <c r="N354" s="33" t="str">
        <f t="shared" si="169"/>
        <v/>
      </c>
      <c r="O354" s="33">
        <f t="shared" si="170"/>
        <v>0</v>
      </c>
      <c r="P354" s="33" t="str">
        <f t="shared" si="171"/>
        <v/>
      </c>
      <c r="Q354" s="33">
        <v>0.56603773584905703</v>
      </c>
      <c r="R354" s="33"/>
      <c r="S354" s="33"/>
      <c r="T354" s="33"/>
      <c r="U354" s="33">
        <f t="shared" si="194"/>
        <v>0.43396226415094297</v>
      </c>
      <c r="V354" s="33">
        <f t="shared" si="172"/>
        <v>1</v>
      </c>
      <c r="W354" s="218">
        <f t="shared" si="173"/>
        <v>9</v>
      </c>
      <c r="X354" s="33">
        <v>2.5999999999999999E-2</v>
      </c>
      <c r="Y354" s="218">
        <f t="shared" si="173"/>
        <v>9</v>
      </c>
      <c r="Z354" s="218">
        <f t="shared" si="174"/>
        <v>337</v>
      </c>
      <c r="AA354" s="33">
        <v>0.12</v>
      </c>
      <c r="AB354" s="218" t="str">
        <f t="shared" si="175"/>
        <v/>
      </c>
      <c r="AC354" s="218" t="str">
        <f t="shared" si="176"/>
        <v/>
      </c>
      <c r="AD354" s="33">
        <v>0.02</v>
      </c>
      <c r="AE354" s="218" t="str">
        <f t="shared" si="177"/>
        <v/>
      </c>
      <c r="AF354" s="218" t="str">
        <f t="shared" si="178"/>
        <v/>
      </c>
      <c r="AG354" s="33">
        <v>0.02</v>
      </c>
      <c r="AH354" s="218" t="str">
        <f t="shared" si="179"/>
        <v/>
      </c>
      <c r="AI354" s="218" t="str">
        <f t="shared" si="180"/>
        <v/>
      </c>
      <c r="AJ354" s="33">
        <v>1.0999999999999999E-2</v>
      </c>
      <c r="AK354" s="218">
        <f t="shared" si="181"/>
        <v>7</v>
      </c>
      <c r="AL354" s="218">
        <f t="shared" si="182"/>
        <v>629</v>
      </c>
      <c r="AM354" s="38">
        <f t="shared" si="183"/>
        <v>16</v>
      </c>
      <c r="AN354" s="38">
        <f t="shared" si="184"/>
        <v>16</v>
      </c>
      <c r="AO354" s="38">
        <f t="shared" si="185"/>
        <v>0</v>
      </c>
      <c r="AP354" s="38" t="str">
        <f>IF(OR($C354="01-09",$D354="Male"),"",INDEX(PMTCT!$AD:$AD,MATCH($E354,PMTCT!$E:$E,0)))</f>
        <v/>
      </c>
      <c r="AQ354" s="38" t="str">
        <f>IF(OR($C354="01-09",$D354="Male"),"",INDEX(PMTCT!$AT:$AT,MATCH($E354,PMTCT!$E:$E,0)))</f>
        <v/>
      </c>
      <c r="AR354" s="38">
        <f>INDEX(TB!$Q:$Q,MATCH($E354,TB!$E:$E,0))</f>
        <v>7</v>
      </c>
      <c r="AS354" s="38" t="str">
        <f>IF(OR($C354="01-09",$C354="10-14",$D354="Female"),"",INDEX(VMMC!$AB:$AB,MATCH($E354,VMMC!$E:$E,0)))</f>
        <v/>
      </c>
      <c r="AT354" s="38" t="str">
        <f>IF(OR($C354="01-09",$C354="10-14"),"",INDEX(PrEP!$Q:$Q,MATCH($E354,PrEP!$E:$E,0)))</f>
        <v/>
      </c>
      <c r="AU354" s="38">
        <f t="shared" si="186"/>
        <v>973</v>
      </c>
      <c r="AV354" s="38">
        <f t="shared" si="187"/>
        <v>989</v>
      </c>
      <c r="AW354" s="33">
        <f t="shared" si="188"/>
        <v>1.6177957532861477E-2</v>
      </c>
      <c r="AX354" s="38"/>
      <c r="AY354" s="33" t="str">
        <f t="shared" si="191"/>
        <v/>
      </c>
      <c r="AZ354" s="218" t="str">
        <f t="shared" si="189"/>
        <v/>
      </c>
      <c r="BA354" s="33" t="str">
        <f t="shared" si="192"/>
        <v/>
      </c>
      <c r="BB354" s="218" t="str">
        <f t="shared" si="190"/>
        <v/>
      </c>
    </row>
    <row r="355" spans="1:54" x14ac:dyDescent="0.2">
      <c r="A355" t="str">
        <f>INDEX(Prioritization!$D:$D,MATCH($B355,Prioritization!$A:$A,0))</f>
        <v>1 - Scale-up: Saturation</v>
      </c>
      <c r="B355" t="s">
        <v>325</v>
      </c>
      <c r="C355" t="s">
        <v>475</v>
      </c>
      <c r="D355" t="s">
        <v>30</v>
      </c>
      <c r="E355" t="str">
        <f t="shared" si="166"/>
        <v>Zomba District [fyEoGEPERdI]|15-24|Female</v>
      </c>
      <c r="F355" s="33">
        <f>IF(LEFT($B355,4)="_Mil","",INDEX(Cascade!$AA:$AA,MATCH($E355,Cascade!$E:$E,0)))</f>
        <v>0.94401551399999983</v>
      </c>
      <c r="G355" s="38">
        <f>INDEX(Cascade!$BH:$BH,MATCH($E355,Cascade!$E:$E,0))</f>
        <v>560</v>
      </c>
      <c r="H355" s="38">
        <f>IF(OR($C355="01-09",$D355="Male"),"",INDEX(PMTCT!$AC:$AC,MATCH($E355,PMTCT!$E:$E,0)))</f>
        <v>210</v>
      </c>
      <c r="I355" s="38">
        <f>IF(OR($C355="01-09",$D355="Male"),"",INDEX(PMTCT!$AS:$AS,MATCH($E355,PMTCT!$E:$E,0)))</f>
        <v>93</v>
      </c>
      <c r="J355" s="38">
        <f>INDEX(TB!$P:$P,MATCH($E355,TB!$E:$E,0))</f>
        <v>3</v>
      </c>
      <c r="K355" s="38" t="str">
        <f>IF(OR($C355="01-09",$C355="10-14",$D355="Female"),"",INDEX(VMMC!$AA:$AA,MATCH($E355,VMMC!$E:$E,0)))</f>
        <v/>
      </c>
      <c r="L355" s="38">
        <f t="shared" si="167"/>
        <v>254</v>
      </c>
      <c r="M355" s="33">
        <f t="shared" si="168"/>
        <v>0.375</v>
      </c>
      <c r="N355" s="33">
        <f t="shared" si="169"/>
        <v>0.16607142857142856</v>
      </c>
      <c r="O355" s="33">
        <f t="shared" si="170"/>
        <v>5.3571428571428572E-3</v>
      </c>
      <c r="P355" s="33" t="str">
        <f t="shared" si="171"/>
        <v/>
      </c>
      <c r="Q355" s="33">
        <v>0.15</v>
      </c>
      <c r="R355" s="33">
        <v>0.06</v>
      </c>
      <c r="S355" s="33">
        <v>5.4000000000000003E-3</v>
      </c>
      <c r="T355" s="33">
        <v>0.05</v>
      </c>
      <c r="U355" s="33">
        <f t="shared" si="194"/>
        <v>0.18817142857142855</v>
      </c>
      <c r="V355" s="33">
        <f t="shared" si="172"/>
        <v>1</v>
      </c>
      <c r="W355" s="218">
        <f t="shared" si="173"/>
        <v>84</v>
      </c>
      <c r="X355" s="33">
        <v>0.16</v>
      </c>
      <c r="Y355" s="218">
        <f t="shared" si="173"/>
        <v>84</v>
      </c>
      <c r="Z355" s="218">
        <f t="shared" si="174"/>
        <v>441</v>
      </c>
      <c r="AA355" s="33">
        <v>0.12</v>
      </c>
      <c r="AB355" s="218">
        <f t="shared" si="175"/>
        <v>34</v>
      </c>
      <c r="AC355" s="218">
        <f t="shared" si="176"/>
        <v>249</v>
      </c>
      <c r="AD355" s="33">
        <v>2E-3</v>
      </c>
      <c r="AE355" s="218">
        <f t="shared" si="177"/>
        <v>3</v>
      </c>
      <c r="AF355" s="218">
        <f t="shared" si="178"/>
        <v>1497</v>
      </c>
      <c r="AG355" s="33">
        <v>0.02</v>
      </c>
      <c r="AH355" s="218">
        <f t="shared" si="179"/>
        <v>28</v>
      </c>
      <c r="AI355" s="218">
        <f t="shared" si="180"/>
        <v>1372</v>
      </c>
      <c r="AJ355" s="33">
        <v>0.01</v>
      </c>
      <c r="AK355" s="218">
        <f t="shared" si="181"/>
        <v>105</v>
      </c>
      <c r="AL355" s="218">
        <f t="shared" si="182"/>
        <v>10395</v>
      </c>
      <c r="AM355" s="38">
        <f t="shared" si="183"/>
        <v>560</v>
      </c>
      <c r="AN355" s="38">
        <f t="shared" si="184"/>
        <v>560</v>
      </c>
      <c r="AO355" s="38">
        <f t="shared" si="185"/>
        <v>0</v>
      </c>
      <c r="AP355" s="38">
        <f>IF(OR($C355="01-09",$D355="Male"),"",INDEX(PMTCT!$AD:$AD,MATCH($E355,PMTCT!$E:$E,0)))</f>
        <v>23175</v>
      </c>
      <c r="AQ355" s="38">
        <f>IF(OR($C355="01-09",$D355="Male"),"",INDEX(PMTCT!$AT:$AT,MATCH($E355,PMTCT!$E:$E,0)))</f>
        <v>23082</v>
      </c>
      <c r="AR355" s="38">
        <f>INDEX(TB!$Q:$Q,MATCH($E355,TB!$E:$E,0))</f>
        <v>42</v>
      </c>
      <c r="AS355" s="38" t="str">
        <f>IF(OR($C355="01-09",$C355="10-14",$D355="Female"),"",INDEX(VMMC!$AB:$AB,MATCH($E355,VMMC!$E:$E,0)))</f>
        <v/>
      </c>
      <c r="AT355" s="38">
        <f>IF(OR($C355="01-09",$C355="10-14"),"",INDEX(PrEP!$Q:$Q,MATCH($E355,PrEP!$E:$E,0)))</f>
        <v>1938</v>
      </c>
      <c r="AU355" s="38">
        <f t="shared" si="186"/>
        <v>62190.999999999993</v>
      </c>
      <c r="AV355" s="38">
        <f t="shared" si="187"/>
        <v>62750.999999999985</v>
      </c>
      <c r="AW355" s="33">
        <f t="shared" si="188"/>
        <v>8.9241605711462783E-3</v>
      </c>
      <c r="AX355" s="38">
        <v>24823</v>
      </c>
      <c r="AY355" s="33">
        <f t="shared" ref="AY355:AY360" si="195">IF(OR($C355="01-09",SUM($AX355)=0),"",68%)</f>
        <v>0.68</v>
      </c>
      <c r="AZ355" s="218">
        <f t="shared" si="189"/>
        <v>41703</v>
      </c>
      <c r="BA355" s="33">
        <v>0.62</v>
      </c>
      <c r="BB355" s="218">
        <f t="shared" si="190"/>
        <v>347</v>
      </c>
    </row>
    <row r="356" spans="1:54" x14ac:dyDescent="0.2">
      <c r="A356" t="str">
        <f>INDEX(Prioritization!$D:$D,MATCH($B356,Prioritization!$A:$A,0))</f>
        <v>1 - Scale-up: Saturation</v>
      </c>
      <c r="B356" t="s">
        <v>325</v>
      </c>
      <c r="C356" t="s">
        <v>475</v>
      </c>
      <c r="D356" t="s">
        <v>48</v>
      </c>
      <c r="E356" t="str">
        <f t="shared" si="166"/>
        <v>Zomba District [fyEoGEPERdI]|15-24|Male</v>
      </c>
      <c r="F356" s="33">
        <f>IF(LEFT($B356,4)="_Mil","",INDEX(Cascade!$AA:$AA,MATCH($E356,Cascade!$E:$E,0)))</f>
        <v>0.91281844899999987</v>
      </c>
      <c r="G356" s="38">
        <f>INDEX(Cascade!$BH:$BH,MATCH($E356,Cascade!$E:$E,0))</f>
        <v>167</v>
      </c>
      <c r="H356" s="38" t="str">
        <f>IF(OR($C356="01-09",$D356="Male"),"",INDEX(PMTCT!$AC:$AC,MATCH($E356,PMTCT!$E:$E,0)))</f>
        <v/>
      </c>
      <c r="I356" s="38" t="str">
        <f>IF(OR($C356="01-09",$D356="Male"),"",INDEX(PMTCT!$AS:$AS,MATCH($E356,PMTCT!$E:$E,0)))</f>
        <v/>
      </c>
      <c r="J356" s="38">
        <f>INDEX(TB!$P:$P,MATCH($E356,TB!$E:$E,0))</f>
        <v>4</v>
      </c>
      <c r="K356" s="38" t="str">
        <f>IF(OR($C356="01-09",$C356="10-14",$D356="Female"),"",INDEX(VMMC!$AA:$AA,MATCH($E356,VMMC!$E:$E,0)))</f>
        <v/>
      </c>
      <c r="L356" s="38">
        <f t="shared" si="167"/>
        <v>163</v>
      </c>
      <c r="M356" s="33" t="str">
        <f t="shared" si="168"/>
        <v/>
      </c>
      <c r="N356" s="33" t="str">
        <f t="shared" si="169"/>
        <v/>
      </c>
      <c r="O356" s="33">
        <f t="shared" si="170"/>
        <v>2.3952095808383235E-2</v>
      </c>
      <c r="P356" s="33">
        <f t="shared" si="171"/>
        <v>0</v>
      </c>
      <c r="Q356" s="33">
        <v>0.32489451476793202</v>
      </c>
      <c r="R356" s="33">
        <v>0.05</v>
      </c>
      <c r="S356" s="33"/>
      <c r="T356" s="33">
        <v>0.05</v>
      </c>
      <c r="U356" s="33">
        <f t="shared" si="194"/>
        <v>0.55115338942368475</v>
      </c>
      <c r="V356" s="33">
        <f t="shared" si="172"/>
        <v>1</v>
      </c>
      <c r="W356" s="218">
        <f t="shared" si="173"/>
        <v>54</v>
      </c>
      <c r="X356" s="33">
        <v>0.109</v>
      </c>
      <c r="Y356" s="218">
        <f t="shared" si="173"/>
        <v>54</v>
      </c>
      <c r="Z356" s="218">
        <f t="shared" si="174"/>
        <v>441</v>
      </c>
      <c r="AA356" s="33">
        <v>0.12</v>
      </c>
      <c r="AB356" s="218">
        <f t="shared" si="175"/>
        <v>8</v>
      </c>
      <c r="AC356" s="218">
        <f t="shared" si="176"/>
        <v>59</v>
      </c>
      <c r="AD356" s="33">
        <v>0.02</v>
      </c>
      <c r="AE356" s="218" t="str">
        <f t="shared" si="177"/>
        <v/>
      </c>
      <c r="AF356" s="218" t="str">
        <f t="shared" si="178"/>
        <v/>
      </c>
      <c r="AG356" s="33">
        <v>0.02</v>
      </c>
      <c r="AH356" s="218">
        <f t="shared" si="179"/>
        <v>8</v>
      </c>
      <c r="AI356" s="218">
        <f t="shared" si="180"/>
        <v>392</v>
      </c>
      <c r="AJ356" s="33">
        <v>8.0999999999999996E-3</v>
      </c>
      <c r="AK356" s="218">
        <f t="shared" si="181"/>
        <v>92</v>
      </c>
      <c r="AL356" s="218">
        <f t="shared" si="182"/>
        <v>11266</v>
      </c>
      <c r="AM356" s="38">
        <f t="shared" si="183"/>
        <v>167</v>
      </c>
      <c r="AN356" s="38">
        <f t="shared" si="184"/>
        <v>166</v>
      </c>
      <c r="AO356" s="38">
        <f t="shared" si="185"/>
        <v>-1</v>
      </c>
      <c r="AP356" s="38" t="str">
        <f>IF(OR($C356="01-09",$D356="Male"),"",INDEX(PMTCT!$AD:$AD,MATCH($E356,PMTCT!$E:$E,0)))</f>
        <v/>
      </c>
      <c r="AQ356" s="38" t="str">
        <f>IF(OR($C356="01-09",$D356="Male"),"",INDEX(PMTCT!$AT:$AT,MATCH($E356,PMTCT!$E:$E,0)))</f>
        <v/>
      </c>
      <c r="AR356" s="38">
        <f>INDEX(TB!$Q:$Q,MATCH($E356,TB!$E:$E,0))</f>
        <v>66</v>
      </c>
      <c r="AS356" s="38" t="str">
        <f>IF(OR($C356="01-09",$C356="10-14",$D356="Female"),"",INDEX(VMMC!$AB:$AB,MATCH($E356,VMMC!$E:$E,0)))</f>
        <v/>
      </c>
      <c r="AT356" s="38">
        <f>IF(OR($C356="01-09",$C356="10-14"),"",INDEX(PrEP!$Q:$Q,MATCH($E356,PrEP!$E:$E,0)))</f>
        <v>102</v>
      </c>
      <c r="AU356" s="38">
        <f t="shared" si="186"/>
        <v>12326</v>
      </c>
      <c r="AV356" s="38">
        <f t="shared" si="187"/>
        <v>12492.000000000002</v>
      </c>
      <c r="AW356" s="33">
        <f t="shared" si="188"/>
        <v>1.32885046429715E-2</v>
      </c>
      <c r="AX356" s="38">
        <v>3748</v>
      </c>
      <c r="AY356" s="33">
        <f t="shared" si="195"/>
        <v>0.68</v>
      </c>
      <c r="AZ356" s="218">
        <f t="shared" si="189"/>
        <v>6297</v>
      </c>
      <c r="BA356" s="33">
        <v>0.62</v>
      </c>
      <c r="BB356" s="218">
        <f t="shared" si="190"/>
        <v>103</v>
      </c>
    </row>
    <row r="357" spans="1:54" x14ac:dyDescent="0.2">
      <c r="A357" t="str">
        <f>INDEX(Prioritization!$D:$D,MATCH($B357,Prioritization!$A:$A,0))</f>
        <v>1 - Scale-up: Saturation</v>
      </c>
      <c r="B357" t="s">
        <v>325</v>
      </c>
      <c r="C357" t="s">
        <v>476</v>
      </c>
      <c r="D357" t="s">
        <v>30</v>
      </c>
      <c r="E357" t="str">
        <f t="shared" si="166"/>
        <v>Zomba District [fyEoGEPERdI]|25-34|Female</v>
      </c>
      <c r="F357" s="33">
        <f>IF(LEFT($B357,4)="_Mil","",INDEX(Cascade!$AA:$AA,MATCH($E357,Cascade!$E:$E,0)))</f>
        <v>0.97052296500000002</v>
      </c>
      <c r="G357" s="38">
        <f>INDEX(Cascade!$BH:$BH,MATCH($E357,Cascade!$E:$E,0))</f>
        <v>1251</v>
      </c>
      <c r="H357" s="38">
        <f>IF(OR($C357="01-09",$D357="Male"),"",INDEX(PMTCT!$AC:$AC,MATCH($E357,PMTCT!$E:$E,0)))</f>
        <v>277</v>
      </c>
      <c r="I357" s="38">
        <f>IF(OR($C357="01-09",$D357="Male"),"",INDEX(PMTCT!$AS:$AS,MATCH($E357,PMTCT!$E:$E,0)))</f>
        <v>106</v>
      </c>
      <c r="J357" s="38">
        <f>INDEX(TB!$P:$P,MATCH($E357,TB!$E:$E,0))</f>
        <v>3</v>
      </c>
      <c r="K357" s="38" t="str">
        <f>IF(OR($C357="01-09",$C357="10-14",$D357="Female"),"",INDEX(VMMC!$AA:$AA,MATCH($E357,VMMC!$E:$E,0)))</f>
        <v/>
      </c>
      <c r="L357" s="38">
        <f t="shared" si="167"/>
        <v>865</v>
      </c>
      <c r="M357" s="33">
        <f t="shared" si="168"/>
        <v>0.2214228617106315</v>
      </c>
      <c r="N357" s="33">
        <f t="shared" si="169"/>
        <v>8.4732214228617111E-2</v>
      </c>
      <c r="O357" s="33">
        <f t="shared" si="170"/>
        <v>2.3980815347721821E-3</v>
      </c>
      <c r="P357" s="33" t="str">
        <f t="shared" si="171"/>
        <v/>
      </c>
      <c r="Q357" s="33">
        <v>0.248313090418354</v>
      </c>
      <c r="R357" s="33">
        <v>0.06</v>
      </c>
      <c r="S357" s="33"/>
      <c r="T357" s="33">
        <v>0.05</v>
      </c>
      <c r="U357" s="33">
        <f t="shared" si="194"/>
        <v>0.33313375210762519</v>
      </c>
      <c r="V357" s="33">
        <f t="shared" si="172"/>
        <v>1</v>
      </c>
      <c r="W357" s="218">
        <f t="shared" si="173"/>
        <v>311</v>
      </c>
      <c r="X357" s="33">
        <v>0.20300000000000001</v>
      </c>
      <c r="Y357" s="218">
        <f t="shared" si="173"/>
        <v>311</v>
      </c>
      <c r="Z357" s="218">
        <f t="shared" si="174"/>
        <v>1221</v>
      </c>
      <c r="AA357" s="33">
        <v>0.12</v>
      </c>
      <c r="AB357" s="218">
        <f t="shared" si="175"/>
        <v>75</v>
      </c>
      <c r="AC357" s="218">
        <f t="shared" si="176"/>
        <v>550</v>
      </c>
      <c r="AD357" s="33">
        <v>0.02</v>
      </c>
      <c r="AE357" s="218" t="str">
        <f t="shared" si="177"/>
        <v/>
      </c>
      <c r="AF357" s="218" t="str">
        <f t="shared" si="178"/>
        <v/>
      </c>
      <c r="AG357" s="33">
        <v>0.02</v>
      </c>
      <c r="AH357" s="218">
        <f t="shared" si="179"/>
        <v>63</v>
      </c>
      <c r="AI357" s="218">
        <f t="shared" si="180"/>
        <v>3087</v>
      </c>
      <c r="AJ357" s="33">
        <v>1.9E-2</v>
      </c>
      <c r="AK357" s="218">
        <f t="shared" si="181"/>
        <v>417</v>
      </c>
      <c r="AL357" s="218">
        <f t="shared" si="182"/>
        <v>21530</v>
      </c>
      <c r="AM357" s="38">
        <f t="shared" si="183"/>
        <v>1251</v>
      </c>
      <c r="AN357" s="38">
        <f t="shared" si="184"/>
        <v>1252</v>
      </c>
      <c r="AO357" s="38">
        <f t="shared" si="185"/>
        <v>1</v>
      </c>
      <c r="AP357" s="38">
        <f>IF(OR($C357="01-09",$D357="Male"),"",INDEX(PMTCT!$AD:$AD,MATCH($E357,PMTCT!$E:$E,0)))</f>
        <v>15126</v>
      </c>
      <c r="AQ357" s="38">
        <f>IF(OR($C357="01-09",$D357="Male"),"",INDEX(PMTCT!$AT:$AT,MATCH($E357,PMTCT!$E:$E,0)))</f>
        <v>15019.999999999998</v>
      </c>
      <c r="AR357" s="38">
        <f>INDEX(TB!$Q:$Q,MATCH($E357,TB!$E:$E,0))</f>
        <v>42</v>
      </c>
      <c r="AS357" s="38" t="str">
        <f>IF(OR($C357="01-09",$C357="10-14",$D357="Female"),"",INDEX(VMMC!$AB:$AB,MATCH($E357,VMMC!$E:$E,0)))</f>
        <v/>
      </c>
      <c r="AT357" s="38">
        <f>IF(OR($C357="01-09",$C357="10-14"),"",INDEX(PrEP!$Q:$Q,MATCH($E357,PrEP!$E:$E,0)))</f>
        <v>470</v>
      </c>
      <c r="AU357" s="38">
        <f t="shared" si="186"/>
        <v>57045.999999999993</v>
      </c>
      <c r="AV357" s="38">
        <f t="shared" si="187"/>
        <v>58297.999999999993</v>
      </c>
      <c r="AW357" s="33">
        <f t="shared" si="188"/>
        <v>2.1475865381316687E-2</v>
      </c>
      <c r="AX357" s="38">
        <v>5231</v>
      </c>
      <c r="AY357" s="33">
        <f t="shared" si="195"/>
        <v>0.68</v>
      </c>
      <c r="AZ357" s="218">
        <f t="shared" si="189"/>
        <v>8788</v>
      </c>
      <c r="BA357" s="33">
        <v>0.62</v>
      </c>
      <c r="BB357" s="218">
        <f t="shared" si="190"/>
        <v>776</v>
      </c>
    </row>
    <row r="358" spans="1:54" x14ac:dyDescent="0.2">
      <c r="A358" t="str">
        <f>INDEX(Prioritization!$D:$D,MATCH($B358,Prioritization!$A:$A,0))</f>
        <v>1 - Scale-up: Saturation</v>
      </c>
      <c r="B358" t="s">
        <v>325</v>
      </c>
      <c r="C358" t="s">
        <v>476</v>
      </c>
      <c r="D358" t="s">
        <v>48</v>
      </c>
      <c r="E358" t="str">
        <f t="shared" si="166"/>
        <v>Zomba District [fyEoGEPERdI]|25-34|Male</v>
      </c>
      <c r="F358" s="33">
        <f>IF(LEFT($B358,4)="_Mil","",INDEX(Cascade!$AA:$AA,MATCH($E358,Cascade!$E:$E,0)))</f>
        <v>0.88782268799999986</v>
      </c>
      <c r="G358" s="38">
        <f>INDEX(Cascade!$BH:$BH,MATCH($E358,Cascade!$E:$E,0))</f>
        <v>55</v>
      </c>
      <c r="H358" s="38" t="str">
        <f>IF(OR($C358="01-09",$D358="Male"),"",INDEX(PMTCT!$AC:$AC,MATCH($E358,PMTCT!$E:$E,0)))</f>
        <v/>
      </c>
      <c r="I358" s="38" t="str">
        <f>IF(OR($C358="01-09",$D358="Male"),"",INDEX(PMTCT!$AS:$AS,MATCH($E358,PMTCT!$E:$E,0)))</f>
        <v/>
      </c>
      <c r="J358" s="38">
        <f>INDEX(TB!$P:$P,MATCH($E358,TB!$E:$E,0))</f>
        <v>4</v>
      </c>
      <c r="K358" s="38" t="str">
        <f>IF(OR($C358="01-09",$C358="10-14",$D358="Female"),"",INDEX(VMMC!$AA:$AA,MATCH($E358,VMMC!$E:$E,0)))</f>
        <v/>
      </c>
      <c r="L358" s="38">
        <f t="shared" si="167"/>
        <v>51</v>
      </c>
      <c r="M358" s="33" t="str">
        <f t="shared" si="168"/>
        <v/>
      </c>
      <c r="N358" s="33" t="str">
        <f t="shared" si="169"/>
        <v/>
      </c>
      <c r="O358" s="33">
        <f t="shared" si="170"/>
        <v>7.2727272727272724E-2</v>
      </c>
      <c r="P358" s="33">
        <f t="shared" si="171"/>
        <v>0</v>
      </c>
      <c r="Q358" s="33">
        <v>0.36363636363636398</v>
      </c>
      <c r="R358" s="33">
        <v>0.05</v>
      </c>
      <c r="S358" s="33"/>
      <c r="T358" s="33">
        <v>0.05</v>
      </c>
      <c r="U358" s="33">
        <f t="shared" si="194"/>
        <v>0.46363636363636329</v>
      </c>
      <c r="V358" s="33">
        <f t="shared" si="172"/>
        <v>1</v>
      </c>
      <c r="W358" s="218">
        <f t="shared" si="173"/>
        <v>20</v>
      </c>
      <c r="X358" s="33">
        <v>0.127</v>
      </c>
      <c r="Y358" s="218">
        <f t="shared" si="173"/>
        <v>20</v>
      </c>
      <c r="Z358" s="218">
        <f t="shared" si="174"/>
        <v>137</v>
      </c>
      <c r="AA358" s="33">
        <v>0.12</v>
      </c>
      <c r="AB358" s="218">
        <f t="shared" si="175"/>
        <v>3</v>
      </c>
      <c r="AC358" s="218">
        <f t="shared" si="176"/>
        <v>22</v>
      </c>
      <c r="AD358" s="33">
        <v>0.02</v>
      </c>
      <c r="AE358" s="218" t="str">
        <f t="shared" si="177"/>
        <v/>
      </c>
      <c r="AF358" s="218" t="str">
        <f t="shared" si="178"/>
        <v/>
      </c>
      <c r="AG358" s="33">
        <v>0.02</v>
      </c>
      <c r="AH358" s="218">
        <f t="shared" si="179"/>
        <v>3</v>
      </c>
      <c r="AI358" s="218">
        <f t="shared" si="180"/>
        <v>147</v>
      </c>
      <c r="AJ358" s="33">
        <v>1.6E-2</v>
      </c>
      <c r="AK358" s="218">
        <f t="shared" si="181"/>
        <v>26</v>
      </c>
      <c r="AL358" s="218">
        <f t="shared" si="182"/>
        <v>1599</v>
      </c>
      <c r="AM358" s="38">
        <f t="shared" si="183"/>
        <v>55</v>
      </c>
      <c r="AN358" s="38">
        <f t="shared" si="184"/>
        <v>56</v>
      </c>
      <c r="AO358" s="38">
        <f t="shared" si="185"/>
        <v>1</v>
      </c>
      <c r="AP358" s="38" t="str">
        <f>IF(OR($C358="01-09",$D358="Male"),"",INDEX(PMTCT!$AD:$AD,MATCH($E358,PMTCT!$E:$E,0)))</f>
        <v/>
      </c>
      <c r="AQ358" s="38" t="str">
        <f>IF(OR($C358="01-09",$D358="Male"),"",INDEX(PMTCT!$AT:$AT,MATCH($E358,PMTCT!$E:$E,0)))</f>
        <v/>
      </c>
      <c r="AR358" s="38">
        <f>INDEX(TB!$Q:$Q,MATCH($E358,TB!$E:$E,0))</f>
        <v>66</v>
      </c>
      <c r="AS358" s="38" t="str">
        <f>IF(OR($C358="01-09",$C358="10-14",$D358="Female"),"",INDEX(VMMC!$AB:$AB,MATCH($E358,VMMC!$E:$E,0)))</f>
        <v/>
      </c>
      <c r="AT358" s="38">
        <f>IF(OR($C358="01-09",$C358="10-14"),"",INDEX(PrEP!$Q:$Q,MATCH($E358,PrEP!$E:$E,0)))</f>
        <v>132</v>
      </c>
      <c r="AU358" s="38">
        <f t="shared" si="186"/>
        <v>2103</v>
      </c>
      <c r="AV358" s="38">
        <f t="shared" si="187"/>
        <v>2159</v>
      </c>
      <c r="AW358" s="33">
        <f t="shared" si="188"/>
        <v>2.5937934228809634E-2</v>
      </c>
      <c r="AX358" s="38">
        <v>2637</v>
      </c>
      <c r="AY358" s="33">
        <f t="shared" si="195"/>
        <v>0.68</v>
      </c>
      <c r="AZ358" s="218">
        <f t="shared" si="189"/>
        <v>4430</v>
      </c>
      <c r="BA358" s="33">
        <v>0.62</v>
      </c>
      <c r="BB358" s="218">
        <f t="shared" si="190"/>
        <v>35</v>
      </c>
    </row>
    <row r="359" spans="1:54" x14ac:dyDescent="0.2">
      <c r="A359" t="str">
        <f>INDEX(Prioritization!$D:$D,MATCH($B359,Prioritization!$A:$A,0))</f>
        <v>1 - Scale-up: Saturation</v>
      </c>
      <c r="B359" t="s">
        <v>325</v>
      </c>
      <c r="C359" t="s">
        <v>477</v>
      </c>
      <c r="D359" t="s">
        <v>30</v>
      </c>
      <c r="E359" t="str">
        <f t="shared" si="166"/>
        <v>Zomba District [fyEoGEPERdI]|35-49|Female</v>
      </c>
      <c r="F359" s="33">
        <f>IF(LEFT($B359,4)="_Mil","",INDEX(Cascade!$AA:$AA,MATCH($E359,Cascade!$E:$E,0)))</f>
        <v>0.98528611099999996</v>
      </c>
      <c r="G359" s="38">
        <f>INDEX(Cascade!$BH:$BH,MATCH($E359,Cascade!$E:$E,0))</f>
        <v>680</v>
      </c>
      <c r="H359" s="38">
        <f>IF(OR($C359="01-09",$D359="Male"),"",INDEX(PMTCT!$AC:$AC,MATCH($E359,PMTCT!$E:$E,0)))</f>
        <v>17</v>
      </c>
      <c r="I359" s="38">
        <f>IF(OR($C359="01-09",$D359="Male"),"",INDEX(PMTCT!$AS:$AS,MATCH($E359,PMTCT!$E:$E,0)))</f>
        <v>10</v>
      </c>
      <c r="J359" s="38">
        <f>INDEX(TB!$P:$P,MATCH($E359,TB!$E:$E,0))</f>
        <v>4</v>
      </c>
      <c r="K359" s="38" t="str">
        <f>IF(OR($C359="01-09",$C359="10-14",$D359="Female"),"",INDEX(VMMC!$AA:$AA,MATCH($E359,VMMC!$E:$E,0)))</f>
        <v/>
      </c>
      <c r="L359" s="38">
        <f t="shared" si="167"/>
        <v>649</v>
      </c>
      <c r="M359" s="33">
        <f t="shared" si="168"/>
        <v>2.5000000000000001E-2</v>
      </c>
      <c r="N359" s="33">
        <f t="shared" si="169"/>
        <v>1.4705882352941176E-2</v>
      </c>
      <c r="O359" s="33">
        <f t="shared" si="170"/>
        <v>5.8823529411764705E-3</v>
      </c>
      <c r="P359" s="33" t="str">
        <f t="shared" si="171"/>
        <v/>
      </c>
      <c r="Q359" s="33">
        <v>0.296022201665125</v>
      </c>
      <c r="R359" s="33">
        <v>0.06</v>
      </c>
      <c r="S359" s="33"/>
      <c r="T359" s="33">
        <v>0.05</v>
      </c>
      <c r="U359" s="33">
        <f t="shared" si="194"/>
        <v>0.54838956304075737</v>
      </c>
      <c r="V359" s="33">
        <f t="shared" si="172"/>
        <v>1</v>
      </c>
      <c r="W359" s="218">
        <f t="shared" si="173"/>
        <v>201</v>
      </c>
      <c r="X359" s="33">
        <v>0.2</v>
      </c>
      <c r="Y359" s="218">
        <f t="shared" si="173"/>
        <v>201</v>
      </c>
      <c r="Z359" s="218">
        <f t="shared" si="174"/>
        <v>804</v>
      </c>
      <c r="AA359" s="33">
        <v>0.12</v>
      </c>
      <c r="AB359" s="218">
        <f t="shared" si="175"/>
        <v>41</v>
      </c>
      <c r="AC359" s="218">
        <f t="shared" si="176"/>
        <v>301</v>
      </c>
      <c r="AD359" s="33">
        <v>0.02</v>
      </c>
      <c r="AE359" s="218" t="str">
        <f t="shared" si="177"/>
        <v/>
      </c>
      <c r="AF359" s="218" t="str">
        <f t="shared" si="178"/>
        <v/>
      </c>
      <c r="AG359" s="33">
        <v>0.02</v>
      </c>
      <c r="AH359" s="218">
        <f t="shared" si="179"/>
        <v>34</v>
      </c>
      <c r="AI359" s="218">
        <f t="shared" si="180"/>
        <v>1666</v>
      </c>
      <c r="AJ359" s="33">
        <v>2.8000000000000001E-2</v>
      </c>
      <c r="AK359" s="218">
        <f t="shared" si="181"/>
        <v>373</v>
      </c>
      <c r="AL359" s="218">
        <f t="shared" si="182"/>
        <v>12948</v>
      </c>
      <c r="AM359" s="38">
        <f t="shared" si="183"/>
        <v>680</v>
      </c>
      <c r="AN359" s="38">
        <f t="shared" si="184"/>
        <v>680</v>
      </c>
      <c r="AO359" s="38">
        <f t="shared" si="185"/>
        <v>0</v>
      </c>
      <c r="AP359" s="38">
        <f>IF(OR($C359="01-09",$D359="Male"),"",INDEX(PMTCT!$AD:$AD,MATCH($E359,PMTCT!$E:$E,0)))</f>
        <v>1089</v>
      </c>
      <c r="AQ359" s="38">
        <f>IF(OR($C359="01-09",$D359="Male"),"",INDEX(PMTCT!$AT:$AT,MATCH($E359,PMTCT!$E:$E,0)))</f>
        <v>1079</v>
      </c>
      <c r="AR359" s="38">
        <f>INDEX(TB!$Q:$Q,MATCH($E359,TB!$E:$E,0))</f>
        <v>64</v>
      </c>
      <c r="AS359" s="38" t="str">
        <f>IF(OR($C359="01-09",$C359="10-14",$D359="Female"),"",INDEX(VMMC!$AB:$AB,MATCH($E359,VMMC!$E:$E,0)))</f>
        <v/>
      </c>
      <c r="AT359" s="38">
        <f>IF(OR($C359="01-09",$C359="10-14"),"",INDEX(PrEP!$Q:$Q,MATCH($E359,PrEP!$E:$E,0)))</f>
        <v>418</v>
      </c>
      <c r="AU359" s="38">
        <f t="shared" si="186"/>
        <v>18369</v>
      </c>
      <c r="AV359" s="38">
        <f t="shared" si="187"/>
        <v>19049</v>
      </c>
      <c r="AW359" s="33">
        <f t="shared" si="188"/>
        <v>3.5697411937634524E-2</v>
      </c>
      <c r="AX359" s="38">
        <v>1415</v>
      </c>
      <c r="AY359" s="33">
        <f t="shared" si="195"/>
        <v>0.68</v>
      </c>
      <c r="AZ359" s="218">
        <f t="shared" si="189"/>
        <v>2377</v>
      </c>
      <c r="BA359" s="33">
        <v>0.62</v>
      </c>
      <c r="BB359" s="218">
        <f t="shared" si="190"/>
        <v>422</v>
      </c>
    </row>
    <row r="360" spans="1:54" x14ac:dyDescent="0.2">
      <c r="A360" t="str">
        <f>INDEX(Prioritization!$D:$D,MATCH($B360,Prioritization!$A:$A,0))</f>
        <v>1 - Scale-up: Saturation</v>
      </c>
      <c r="B360" t="s">
        <v>325</v>
      </c>
      <c r="C360" t="s">
        <v>477</v>
      </c>
      <c r="D360" t="s">
        <v>48</v>
      </c>
      <c r="E360" t="str">
        <f t="shared" si="166"/>
        <v>Zomba District [fyEoGEPERdI]|35-49|Male</v>
      </c>
      <c r="F360" s="33">
        <f>IF(LEFT($B360,4)="_Mil","",INDEX(Cascade!$AA:$AA,MATCH($E360,Cascade!$E:$E,0)))</f>
        <v>0.93094442099999986</v>
      </c>
      <c r="G360" s="38">
        <f>INDEX(Cascade!$BH:$BH,MATCH($E360,Cascade!$E:$E,0))</f>
        <v>613</v>
      </c>
      <c r="H360" s="38" t="str">
        <f>IF(OR($C360="01-09",$D360="Male"),"",INDEX(PMTCT!$AC:$AC,MATCH($E360,PMTCT!$E:$E,0)))</f>
        <v/>
      </c>
      <c r="I360" s="38" t="str">
        <f>IF(OR($C360="01-09",$D360="Male"),"",INDEX(PMTCT!$AS:$AS,MATCH($E360,PMTCT!$E:$E,0)))</f>
        <v/>
      </c>
      <c r="J360" s="38">
        <f>INDEX(TB!$P:$P,MATCH($E360,TB!$E:$E,0))</f>
        <v>6</v>
      </c>
      <c r="K360" s="38" t="str">
        <f>IF(OR($C360="01-09",$C360="10-14",$D360="Female"),"",INDEX(VMMC!$AA:$AA,MATCH($E360,VMMC!$E:$E,0)))</f>
        <v/>
      </c>
      <c r="L360" s="38">
        <f t="shared" si="167"/>
        <v>607</v>
      </c>
      <c r="M360" s="33" t="str">
        <f t="shared" si="168"/>
        <v/>
      </c>
      <c r="N360" s="33" t="str">
        <f t="shared" si="169"/>
        <v/>
      </c>
      <c r="O360" s="33">
        <f t="shared" si="170"/>
        <v>9.7879282218597055E-3</v>
      </c>
      <c r="P360" s="33">
        <f t="shared" si="171"/>
        <v>0</v>
      </c>
      <c r="Q360" s="33">
        <v>0.39041095890410998</v>
      </c>
      <c r="R360" s="33">
        <v>0.05</v>
      </c>
      <c r="S360" s="33"/>
      <c r="T360" s="33">
        <v>0.05</v>
      </c>
      <c r="U360" s="33">
        <f t="shared" si="194"/>
        <v>0.49980111287403028</v>
      </c>
      <c r="V360" s="33">
        <f t="shared" si="172"/>
        <v>1</v>
      </c>
      <c r="W360" s="218">
        <f t="shared" si="173"/>
        <v>239</v>
      </c>
      <c r="X360" s="33">
        <v>0.159</v>
      </c>
      <c r="Y360" s="218">
        <f t="shared" si="173"/>
        <v>239</v>
      </c>
      <c r="Z360" s="218">
        <f t="shared" si="174"/>
        <v>1264</v>
      </c>
      <c r="AA360" s="33">
        <v>0.12</v>
      </c>
      <c r="AB360" s="218">
        <f t="shared" si="175"/>
        <v>31</v>
      </c>
      <c r="AC360" s="218">
        <f t="shared" si="176"/>
        <v>227</v>
      </c>
      <c r="AD360" s="33">
        <v>0.02</v>
      </c>
      <c r="AE360" s="218" t="str">
        <f t="shared" si="177"/>
        <v/>
      </c>
      <c r="AF360" s="218" t="str">
        <f t="shared" si="178"/>
        <v/>
      </c>
      <c r="AG360" s="33">
        <v>0.02</v>
      </c>
      <c r="AH360" s="218">
        <f t="shared" si="179"/>
        <v>31</v>
      </c>
      <c r="AI360" s="218">
        <f t="shared" si="180"/>
        <v>1519</v>
      </c>
      <c r="AJ360" s="33">
        <v>3.7999999999999999E-2</v>
      </c>
      <c r="AK360" s="218">
        <f t="shared" si="181"/>
        <v>306</v>
      </c>
      <c r="AL360" s="218">
        <f t="shared" si="182"/>
        <v>7747</v>
      </c>
      <c r="AM360" s="38">
        <f t="shared" si="183"/>
        <v>613</v>
      </c>
      <c r="AN360" s="38">
        <f t="shared" si="184"/>
        <v>613</v>
      </c>
      <c r="AO360" s="38">
        <f t="shared" si="185"/>
        <v>0</v>
      </c>
      <c r="AP360" s="38" t="str">
        <f>IF(OR($C360="01-09",$D360="Male"),"",INDEX(PMTCT!$AD:$AD,MATCH($E360,PMTCT!$E:$E,0)))</f>
        <v/>
      </c>
      <c r="AQ360" s="38" t="str">
        <f>IF(OR($C360="01-09",$D360="Male"),"",INDEX(PMTCT!$AT:$AT,MATCH($E360,PMTCT!$E:$E,0)))</f>
        <v/>
      </c>
      <c r="AR360" s="38">
        <f>INDEX(TB!$Q:$Q,MATCH($E360,TB!$E:$E,0))</f>
        <v>98</v>
      </c>
      <c r="AS360" s="38" t="str">
        <f>IF(OR($C360="01-09",$C360="10-14",$D360="Female"),"",INDEX(VMMC!$AB:$AB,MATCH($E360,VMMC!$E:$E,0)))</f>
        <v/>
      </c>
      <c r="AT360" s="38">
        <f>IF(OR($C360="01-09",$C360="10-14"),"",INDEX(PrEP!$Q:$Q,MATCH($E360,PrEP!$E:$E,0)))</f>
        <v>250</v>
      </c>
      <c r="AU360" s="38">
        <f t="shared" si="186"/>
        <v>11105</v>
      </c>
      <c r="AV360" s="38">
        <f t="shared" si="187"/>
        <v>11718</v>
      </c>
      <c r="AW360" s="33">
        <f t="shared" si="188"/>
        <v>5.231268134493941E-2</v>
      </c>
      <c r="AX360" s="38">
        <v>1896</v>
      </c>
      <c r="AY360" s="33">
        <f t="shared" si="195"/>
        <v>0.68</v>
      </c>
      <c r="AZ360" s="218">
        <f t="shared" si="189"/>
        <v>3185</v>
      </c>
      <c r="BA360" s="33">
        <v>0.62</v>
      </c>
      <c r="BB360" s="218">
        <f t="shared" si="190"/>
        <v>380</v>
      </c>
    </row>
    <row r="361" spans="1:54" x14ac:dyDescent="0.2">
      <c r="A361" t="str">
        <f>INDEX(Prioritization!$D:$D,MATCH($B361,Prioritization!$A:$A,0))</f>
        <v>1 - Scale-up: Saturation</v>
      </c>
      <c r="B361" t="s">
        <v>325</v>
      </c>
      <c r="C361" t="s">
        <v>478</v>
      </c>
      <c r="D361" t="s">
        <v>30</v>
      </c>
      <c r="E361" t="str">
        <f t="shared" si="166"/>
        <v>Zomba District [fyEoGEPERdI]|50+|Female</v>
      </c>
      <c r="F361" s="33">
        <f>IF(LEFT($B361,4)="_Mil","",INDEX(Cascade!$AA:$AA,MATCH($E361,Cascade!$E:$E,0)))</f>
        <v>0.98989951200000015</v>
      </c>
      <c r="G361" s="38">
        <f>INDEX(Cascade!$BH:$BH,MATCH($E361,Cascade!$E:$E,0))</f>
        <v>491</v>
      </c>
      <c r="H361" s="38" t="str">
        <f>IF(OR($C361="01-09",$D361="Male"),"",INDEX(PMTCT!$AC:$AC,MATCH($E361,PMTCT!$E:$E,0)))</f>
        <v/>
      </c>
      <c r="I361" s="38" t="str">
        <f>IF(OR($C361="01-09",$D361="Male"),"",INDEX(PMTCT!$AS:$AS,MATCH($E361,PMTCT!$E:$E,0)))</f>
        <v/>
      </c>
      <c r="J361" s="38">
        <f>INDEX(TB!$P:$P,MATCH($E361,TB!$E:$E,0))</f>
        <v>1</v>
      </c>
      <c r="K361" s="38" t="str">
        <f>IF(OR($C361="01-09",$C361="10-14",$D361="Female"),"",INDEX(VMMC!$AA:$AA,MATCH($E361,VMMC!$E:$E,0)))</f>
        <v/>
      </c>
      <c r="L361" s="38">
        <f t="shared" si="167"/>
        <v>490</v>
      </c>
      <c r="M361" s="33">
        <f t="shared" si="168"/>
        <v>0</v>
      </c>
      <c r="N361" s="33">
        <f t="shared" si="169"/>
        <v>0</v>
      </c>
      <c r="O361" s="33">
        <f t="shared" si="170"/>
        <v>2.0366598778004071E-3</v>
      </c>
      <c r="P361" s="33" t="str">
        <f t="shared" si="171"/>
        <v/>
      </c>
      <c r="Q361" s="33">
        <v>0.15</v>
      </c>
      <c r="R361" s="33"/>
      <c r="S361" s="33"/>
      <c r="T361" s="33">
        <v>0.05</v>
      </c>
      <c r="U361" s="33">
        <f t="shared" si="194"/>
        <v>0.7979633401221996</v>
      </c>
      <c r="V361" s="33">
        <f t="shared" si="172"/>
        <v>1</v>
      </c>
      <c r="W361" s="218">
        <f t="shared" si="173"/>
        <v>74</v>
      </c>
      <c r="X361" s="33">
        <v>0.22700000000000001</v>
      </c>
      <c r="Y361" s="218">
        <f t="shared" si="173"/>
        <v>74</v>
      </c>
      <c r="Z361" s="218">
        <f t="shared" si="174"/>
        <v>252</v>
      </c>
      <c r="AA361" s="33">
        <v>0.12</v>
      </c>
      <c r="AB361" s="218" t="str">
        <f t="shared" si="175"/>
        <v/>
      </c>
      <c r="AC361" s="218" t="str">
        <f t="shared" si="176"/>
        <v/>
      </c>
      <c r="AD361" s="33">
        <v>0.02</v>
      </c>
      <c r="AE361" s="218" t="str">
        <f t="shared" si="177"/>
        <v/>
      </c>
      <c r="AF361" s="218" t="str">
        <f t="shared" si="178"/>
        <v/>
      </c>
      <c r="AG361" s="33">
        <v>0.02</v>
      </c>
      <c r="AH361" s="218">
        <f t="shared" si="179"/>
        <v>25</v>
      </c>
      <c r="AI361" s="218">
        <f t="shared" si="180"/>
        <v>1225</v>
      </c>
      <c r="AJ361" s="33">
        <v>2.3E-2</v>
      </c>
      <c r="AK361" s="218">
        <f t="shared" si="181"/>
        <v>392</v>
      </c>
      <c r="AL361" s="218">
        <f t="shared" si="182"/>
        <v>16651</v>
      </c>
      <c r="AM361" s="38">
        <f t="shared" si="183"/>
        <v>491</v>
      </c>
      <c r="AN361" s="38">
        <f t="shared" si="184"/>
        <v>491.99999999999994</v>
      </c>
      <c r="AO361" s="38">
        <f t="shared" si="185"/>
        <v>0.99999999999994316</v>
      </c>
      <c r="AP361" s="38" t="str">
        <f>IF(OR($C361="01-09",$D361="Male"),"",INDEX(PMTCT!$AD:$AD,MATCH($E361,PMTCT!$E:$E,0)))</f>
        <v/>
      </c>
      <c r="AQ361" s="38" t="str">
        <f>IF(OR($C361="01-09",$D361="Male"),"",INDEX(PMTCT!$AT:$AT,MATCH($E361,PMTCT!$E:$E,0)))</f>
        <v/>
      </c>
      <c r="AR361" s="38">
        <f>INDEX(TB!$Q:$Q,MATCH($E361,TB!$E:$E,0))</f>
        <v>22</v>
      </c>
      <c r="AS361" s="38" t="str">
        <f>IF(OR($C361="01-09",$C361="10-14",$D361="Female"),"",INDEX(VMMC!$AB:$AB,MATCH($E361,VMMC!$E:$E,0)))</f>
        <v/>
      </c>
      <c r="AT361" s="38">
        <f>IF(OR($C361="01-09",$C361="10-14"),"",INDEX(PrEP!$Q:$Q,MATCH($E361,PrEP!$E:$E,0)))</f>
        <v>78</v>
      </c>
      <c r="AU361" s="38">
        <f t="shared" si="186"/>
        <v>18228</v>
      </c>
      <c r="AV361" s="38">
        <f t="shared" si="187"/>
        <v>18720</v>
      </c>
      <c r="AW361" s="33">
        <f t="shared" si="188"/>
        <v>2.6282051282051279E-2</v>
      </c>
      <c r="AX361" s="38">
        <v>561</v>
      </c>
      <c r="AY361" s="33">
        <f t="shared" si="191"/>
        <v>0</v>
      </c>
      <c r="AZ361" s="218">
        <f t="shared" si="189"/>
        <v>561</v>
      </c>
      <c r="BA361" s="33">
        <v>0.62</v>
      </c>
      <c r="BB361" s="218">
        <f t="shared" si="190"/>
        <v>305</v>
      </c>
    </row>
    <row r="362" spans="1:54" x14ac:dyDescent="0.2">
      <c r="A362" t="str">
        <f>INDEX(Prioritization!$D:$D,MATCH($B362,Prioritization!$A:$A,0))</f>
        <v>1 - Scale-up: Saturation</v>
      </c>
      <c r="B362" t="s">
        <v>325</v>
      </c>
      <c r="C362" t="s">
        <v>478</v>
      </c>
      <c r="D362" t="s">
        <v>48</v>
      </c>
      <c r="E362" t="str">
        <f t="shared" si="166"/>
        <v>Zomba District [fyEoGEPERdI]|50+|Male</v>
      </c>
      <c r="F362" s="33">
        <f>IF(LEFT($B362,4)="_Mil","",INDEX(Cascade!$AA:$AA,MATCH($E362,Cascade!$E:$E,0)))</f>
        <v>0.95286562399999997</v>
      </c>
      <c r="G362" s="38">
        <f>INDEX(Cascade!$BH:$BH,MATCH($E362,Cascade!$E:$E,0))</f>
        <v>262</v>
      </c>
      <c r="H362" s="38" t="str">
        <f>IF(OR($C362="01-09",$D362="Male"),"",INDEX(PMTCT!$AC:$AC,MATCH($E362,PMTCT!$E:$E,0)))</f>
        <v/>
      </c>
      <c r="I362" s="38" t="str">
        <f>IF(OR($C362="01-09",$D362="Male"),"",INDEX(PMTCT!$AS:$AS,MATCH($E362,PMTCT!$E:$E,0)))</f>
        <v/>
      </c>
      <c r="J362" s="38">
        <f>INDEX(TB!$P:$P,MATCH($E362,TB!$E:$E,0))</f>
        <v>2</v>
      </c>
      <c r="K362" s="38" t="str">
        <f>IF(OR($C362="01-09",$C362="10-14",$D362="Female"),"",INDEX(VMMC!$AA:$AA,MATCH($E362,VMMC!$E:$E,0)))</f>
        <v/>
      </c>
      <c r="L362" s="38">
        <f t="shared" si="167"/>
        <v>260</v>
      </c>
      <c r="M362" s="33" t="str">
        <f t="shared" si="168"/>
        <v/>
      </c>
      <c r="N362" s="33" t="str">
        <f t="shared" si="169"/>
        <v/>
      </c>
      <c r="O362" s="33">
        <f t="shared" si="170"/>
        <v>7.6335877862595417E-3</v>
      </c>
      <c r="P362" s="33">
        <f t="shared" si="171"/>
        <v>0</v>
      </c>
      <c r="Q362" s="33">
        <v>0.15</v>
      </c>
      <c r="R362" s="33">
        <v>0.06</v>
      </c>
      <c r="S362" s="33"/>
      <c r="T362" s="33">
        <v>0.05</v>
      </c>
      <c r="U362" s="33">
        <f t="shared" si="194"/>
        <v>0.73236641221374044</v>
      </c>
      <c r="V362" s="33">
        <f t="shared" si="172"/>
        <v>1</v>
      </c>
      <c r="W362" s="218">
        <f t="shared" si="173"/>
        <v>39</v>
      </c>
      <c r="X362" s="33">
        <v>0.20799999999999999</v>
      </c>
      <c r="Y362" s="218">
        <f t="shared" si="173"/>
        <v>39</v>
      </c>
      <c r="Z362" s="218">
        <f t="shared" si="174"/>
        <v>149</v>
      </c>
      <c r="AA362" s="33">
        <v>0.12</v>
      </c>
      <c r="AB362" s="218">
        <f t="shared" si="175"/>
        <v>16</v>
      </c>
      <c r="AC362" s="218">
        <f t="shared" si="176"/>
        <v>117</v>
      </c>
      <c r="AD362" s="33"/>
      <c r="AE362" s="218" t="str">
        <f t="shared" si="177"/>
        <v/>
      </c>
      <c r="AF362" s="218" t="str">
        <f t="shared" si="178"/>
        <v/>
      </c>
      <c r="AG362" s="33">
        <v>0.02</v>
      </c>
      <c r="AH362" s="218">
        <f t="shared" si="179"/>
        <v>13</v>
      </c>
      <c r="AI362" s="218">
        <f t="shared" si="180"/>
        <v>637</v>
      </c>
      <c r="AJ362" s="33">
        <v>1.9E-2</v>
      </c>
      <c r="AK362" s="218">
        <f t="shared" si="181"/>
        <v>192</v>
      </c>
      <c r="AL362" s="218">
        <f t="shared" si="182"/>
        <v>9913</v>
      </c>
      <c r="AM362" s="38">
        <f t="shared" si="183"/>
        <v>262</v>
      </c>
      <c r="AN362" s="38">
        <f t="shared" si="184"/>
        <v>262</v>
      </c>
      <c r="AO362" s="38">
        <f t="shared" si="185"/>
        <v>0</v>
      </c>
      <c r="AP362" s="38" t="str">
        <f>IF(OR($C362="01-09",$D362="Male"),"",INDEX(PMTCT!$AD:$AD,MATCH($E362,PMTCT!$E:$E,0)))</f>
        <v/>
      </c>
      <c r="AQ362" s="38" t="str">
        <f>IF(OR($C362="01-09",$D362="Male"),"",INDEX(PMTCT!$AT:$AT,MATCH($E362,PMTCT!$E:$E,0)))</f>
        <v/>
      </c>
      <c r="AR362" s="38">
        <f>INDEX(TB!$Q:$Q,MATCH($E362,TB!$E:$E,0))</f>
        <v>33</v>
      </c>
      <c r="AS362" s="38" t="str">
        <f>IF(OR($C362="01-09",$C362="10-14",$D362="Female"),"",INDEX(VMMC!$AB:$AB,MATCH($E362,VMMC!$E:$E,0)))</f>
        <v/>
      </c>
      <c r="AT362" s="38">
        <f>IF(OR($C362="01-09",$C362="10-14"),"",INDEX(PrEP!$Q:$Q,MATCH($E362,PrEP!$E:$E,0)))</f>
        <v>102</v>
      </c>
      <c r="AU362" s="38">
        <f t="shared" si="186"/>
        <v>10951</v>
      </c>
      <c r="AV362" s="38">
        <f t="shared" si="187"/>
        <v>11213</v>
      </c>
      <c r="AW362" s="33">
        <f t="shared" si="188"/>
        <v>2.336573619905467E-2</v>
      </c>
      <c r="AX362" s="38">
        <v>770</v>
      </c>
      <c r="AY362" s="33">
        <f t="shared" si="191"/>
        <v>0</v>
      </c>
      <c r="AZ362" s="218">
        <f t="shared" si="189"/>
        <v>770</v>
      </c>
      <c r="BA362" s="33">
        <v>0.62</v>
      </c>
      <c r="BB362" s="218">
        <f t="shared" si="190"/>
        <v>162</v>
      </c>
    </row>
    <row r="363" spans="1:54" x14ac:dyDescent="0.2">
      <c r="AD363" s="33"/>
    </row>
  </sheetData>
  <autoFilter ref="A14:BB362" xr:uid="{00000000-0001-0000-0B00-000000000000}"/>
  <sortState xmlns:xlrd2="http://schemas.microsoft.com/office/spreadsheetml/2017/richdata2" ref="A15:BB362">
    <sortCondition ref="B15:B362"/>
    <sortCondition ref="C15:C362"/>
    <sortCondition ref="D15:D362"/>
  </sortState>
  <mergeCells count="1">
    <mergeCell ref="A2:B3"/>
  </mergeCells>
  <conditionalFormatting sqref="F1:F1048576">
    <cfRule type="expression" dxfId="84" priority="23">
      <formula>LEFT($B1,4)="_Mil"</formula>
    </cfRule>
  </conditionalFormatting>
  <conditionalFormatting sqref="AZ1:BB1048576 F1:AX1048576">
    <cfRule type="expression" dxfId="83" priority="26">
      <formula>AND(ISNUMBER(F1),F1&lt;0)</formula>
    </cfRule>
  </conditionalFormatting>
  <conditionalFormatting sqref="H1:I1048576 M1:N1048576 AP1:AQ1048576">
    <cfRule type="expression" dxfId="82" priority="1">
      <formula>OR($D1="Male",$C1="01-09")</formula>
    </cfRule>
  </conditionalFormatting>
  <conditionalFormatting sqref="K1:K1048576 P1:P1048576 AS1:AS1048576">
    <cfRule type="expression" dxfId="81" priority="2">
      <formula>OR($D1="Female",$C1="01-09",$C1="10-14")</formula>
    </cfRule>
  </conditionalFormatting>
  <conditionalFormatting sqref="M1:W1048576">
    <cfRule type="expression" dxfId="80" priority="218">
      <formula>AND(OR(ISNUMBER($V1),ROW($V1)&gt;14),IF(SUM($G1)=0,SUM($V1)&lt;&gt;0,ROUND($V1,2)&lt;1))</formula>
    </cfRule>
  </conditionalFormatting>
  <conditionalFormatting sqref="M1:X1048576 AA1:AA1048576 AG1:AG1048576 AJ1:AJ1048576 AW1:AW1048576 BA1:BA1048576 AD1:AD1048576">
    <cfRule type="expression" dxfId="79" priority="47">
      <formula>AND(ISNUMBER(M1),M1&gt;1)</formula>
    </cfRule>
  </conditionalFormatting>
  <conditionalFormatting sqref="Z1:Z1048576 AF1:AF1048576 AI1:AI1048576 AL1:AL1048576 AC1:AC1048576">
    <cfRule type="containsText" dxfId="78" priority="46" operator="containsText" text="ENTER YIELD">
      <formula>NOT(ISERROR(SEARCH("ENTER YIELD",Z1)))</formula>
    </cfRule>
  </conditionalFormatting>
  <conditionalFormatting sqref="AO1:AO1048576">
    <cfRule type="expression" dxfId="77" priority="55">
      <formula>AND(ISNUMBER($AO1),ROUND(SUM($AO1),0)&lt;&gt;0)</formula>
    </cfRule>
  </conditionalFormatting>
  <conditionalFormatting sqref="AT1:AT1048576 BA1:BB1048576">
    <cfRule type="expression" dxfId="76" priority="22">
      <formula>OR($C1="01-09",$C1="10-14")</formula>
    </cfRule>
  </conditionalFormatting>
  <conditionalFormatting sqref="AX1:AZ1048576">
    <cfRule type="expression" dxfId="75" priority="19">
      <formula>OR($C1="01-09")</formula>
    </cfRule>
  </conditionalFormatting>
  <conditionalFormatting sqref="BA1:BA1048576">
    <cfRule type="expression" dxfId="74" priority="701">
      <formula>AND(ISNUMBER(BA1),BA1&lt;1)</formula>
    </cfRule>
  </conditionalFormatting>
  <hyperlinks>
    <hyperlink ref="S3" location="HTS!AD:AD" display="Active Other (%)" xr:uid="{00000000-0004-0000-0B00-000000000000}"/>
    <hyperlink ref="R3" location="HTS!AA:AA" display="Active SNS (%)" xr:uid="{00000000-0004-0000-0B00-000001000000}"/>
    <hyperlink ref="U3" location="HTS!AJ:AJ" display="Other Facility (%)" xr:uid="{00000000-0004-0000-0B00-000002000000}"/>
    <hyperlink ref="AK3" location="HTS!U:U" display="Positive" xr:uid="{00000000-0004-0000-0B00-000003000000}"/>
    <hyperlink ref="Y3" location="HTS!Q:Q" display="Positive" xr:uid="{00000000-0004-0000-0B00-000004000000}"/>
    <hyperlink ref="AE3" location="HTS!S:S" display="Positive" xr:uid="{00000000-0004-0000-0B00-000005000000}"/>
    <hyperlink ref="AB3" location="HTS!R:R" display="Positive" xr:uid="{00000000-0004-0000-0B00-000006000000}"/>
    <hyperlink ref="AH3" location="HTS!T:T" display="Positive" xr:uid="{00000000-0004-0000-0B00-000007000000}"/>
    <hyperlink ref="T3" location="HTS!AG:AG" display="STI Clinic (%)" xr:uid="{00000000-0004-0000-0B00-000008000000}"/>
    <hyperlink ref="AM3" location="HTS!G:G" display="Original HTS_TST_POS (FY24)" xr:uid="{00000000-0004-0000-0B00-000009000000}"/>
    <hyperlink ref="O3" location="HTS!J:J" display="TB_STAT: New Positive (%)" xr:uid="{00000000-0004-0000-0B00-00000A000000}"/>
    <hyperlink ref="N3" location="HTS!I:I" display="PMTCT Post ANC1: Positive (%)" xr:uid="{00000000-0004-0000-0B00-00000B000000}"/>
    <hyperlink ref="F3" location="Cascade!AA:AA" display="P.C. Est. ART Coverage (ART/PLHIV) (FY23) (%)" xr:uid="{00000000-0004-0000-0B00-00000C000000}"/>
    <hyperlink ref="G3" location="Cascade!BI:BI" display="Total HTS_TST_POS (FY24)" xr:uid="{00000000-0004-0000-0B00-00000D000000}"/>
    <hyperlink ref="H3" location="PMTCT!AC:AC" display="PMTCT_STAT New Positives (FY24)" xr:uid="{00000000-0004-0000-0B00-00000E000000}"/>
    <hyperlink ref="I3" location="PMTCT!AS:AS" display="HTS_TST Post ANC1 New Positives (FY24)" xr:uid="{00000000-0004-0000-0B00-00000F000000}"/>
    <hyperlink ref="J3" location="TB!P:P" display="TB_STAT New Positives (FY24)" xr:uid="{00000000-0004-0000-0B00-000010000000}"/>
    <hyperlink ref="AP3" location="PMTCT!AD:AD" display="PMTCT_STAT New Negatives (FY24)" xr:uid="{00000000-0004-0000-0B00-000011000000}"/>
    <hyperlink ref="AQ3" location="PMTCT!AT:AT" display="HTS_TST Post ANC1 Negatives (FY24)" xr:uid="{00000000-0004-0000-0B00-000012000000}"/>
    <hyperlink ref="AR3" location="TB!Q:Q" display="TB_STAT New Negatives (FY24)" xr:uid="{00000000-0004-0000-0B00-000013000000}"/>
    <hyperlink ref="M3" location="HTS!H:H" display="PMTCT_STAT: New Positive (%)" xr:uid="{00000000-0004-0000-0B00-000014000000}"/>
    <hyperlink ref="AS3" location="VMMC!AB:AB" display="VMMC_CIRC New Negatives (FY24)" xr:uid="{00000000-0004-0000-0B00-000015000000}"/>
    <hyperlink ref="AT3" location="PrEP!Q:Q" display="PrEP_CT Total (FY24)" xr:uid="{00000000-0004-0000-0B00-000016000000}"/>
    <hyperlink ref="K3" location="VMMC!AA:AA" display="VMMC_CIRC New Positives (FY24)" xr:uid="{00000000-0004-0000-0B00-000017000000}"/>
    <hyperlink ref="P3" location="HTS!K:K" display="VMMC: New Positive (%)" xr:uid="{00000000-0004-0000-0B00-000018000000}"/>
    <hyperlink ref="Q3" location="HTS!X:X" display="Active Index (%)" xr:uid="{00000000-0004-0000-0B00-000019000000}"/>
    <hyperlink ref="W3" location="HTS!Q:Q" display="Positive" xr:uid="{995E44EC-BAD1-6045-B8DF-7C7C58270924}"/>
  </hyperlinks>
  <pageMargins left="0.7" right="0.7" top="0.75" bottom="0.75" header="0.3" footer="0.3"/>
  <pageSetup orientation="portrait" horizontalDpi="0" verticalDpi="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M74"/>
  <sheetViews>
    <sheetView zoomScaleNormal="100" workbookViewId="0">
      <pane xSplit="5" ySplit="14" topLeftCell="F47" activePane="bottomRight" state="frozen"/>
      <selection pane="topRight"/>
      <selection pane="bottomLeft"/>
      <selection pane="bottomRight" activeCell="I62" sqref="I62"/>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10" width="11.6640625" customWidth="1"/>
    <col min="11" max="12" width="12" customWidth="1"/>
    <col min="13" max="13" width="11.6640625" customWidth="1"/>
  </cols>
  <sheetData>
    <row r="1" spans="1:13" ht="31.25" customHeight="1" x14ac:dyDescent="0.2">
      <c r="A1" s="68" t="s">
        <v>1289</v>
      </c>
      <c r="B1" s="23"/>
      <c r="C1" s="112"/>
      <c r="D1" s="112"/>
      <c r="E1" s="112"/>
      <c r="F1" s="52" t="s">
        <v>601</v>
      </c>
      <c r="G1" s="43"/>
      <c r="H1" s="43"/>
      <c r="I1" s="43"/>
      <c r="J1" s="45"/>
      <c r="K1" s="45"/>
      <c r="L1" s="45"/>
      <c r="M1" s="43"/>
    </row>
    <row r="2" spans="1:13" ht="19.25" customHeight="1" x14ac:dyDescent="0.25">
      <c r="A2" s="255" t="s">
        <v>1290</v>
      </c>
      <c r="B2" s="251"/>
      <c r="C2" s="4"/>
      <c r="D2" s="4"/>
      <c r="E2" s="4"/>
      <c r="F2" s="105"/>
      <c r="G2" s="24"/>
      <c r="H2" s="24"/>
      <c r="I2" s="24"/>
      <c r="J2" s="32"/>
      <c r="K2" s="32"/>
      <c r="L2" s="32"/>
      <c r="M2" s="20" t="s">
        <v>281</v>
      </c>
    </row>
    <row r="3" spans="1:13" ht="117" customHeight="1" x14ac:dyDescent="0.2">
      <c r="A3" s="252"/>
      <c r="B3" s="253"/>
      <c r="C3" s="9"/>
      <c r="D3" s="9"/>
      <c r="E3" s="9"/>
      <c r="F3" s="6" t="s">
        <v>1291</v>
      </c>
      <c r="G3" s="109" t="s">
        <v>1292</v>
      </c>
      <c r="H3" s="143" t="s">
        <v>1293</v>
      </c>
      <c r="I3" s="143" t="s">
        <v>379</v>
      </c>
      <c r="J3" s="179" t="s">
        <v>1294</v>
      </c>
      <c r="K3" s="184" t="s">
        <v>1295</v>
      </c>
      <c r="L3" s="184" t="s">
        <v>1296</v>
      </c>
      <c r="M3" s="69" t="s">
        <v>698</v>
      </c>
    </row>
    <row r="4" spans="1:13" x14ac:dyDescent="0.2">
      <c r="A4" s="35"/>
      <c r="B4" s="5"/>
      <c r="C4" s="5"/>
      <c r="D4" s="5" t="s">
        <v>392</v>
      </c>
      <c r="E4" s="5"/>
      <c r="F4" s="106">
        <f>SUBTOTAL(109,F$15:INDEX(F:F,COUNTA($B:$B)+14-COUNTA($B$1:$B$14)))</f>
        <v>114363</v>
      </c>
      <c r="G4" s="35">
        <f>SUBTOTAL(109,G$15:INDEX(G:G,COUNTA($B:$B)+14-COUNTA($B$1:$B$14)))</f>
        <v>157788</v>
      </c>
      <c r="H4" s="35">
        <f>SUBTOTAL(109,H$15:INDEX(H:H,COUNTA($B:$B)+14-COUNTA($B$1:$B$14)))</f>
        <v>388655</v>
      </c>
      <c r="I4" s="35">
        <f>SUBTOTAL(109,I$15:INDEX(I:I,COUNTA($B:$B)+14-COUNTA($B$1:$B$14)))</f>
        <v>19877</v>
      </c>
      <c r="J4" s="41"/>
      <c r="K4" s="41"/>
      <c r="L4" s="41"/>
      <c r="M4" s="132">
        <f>SUBTOTAL(109,M$15:INDEX(M:M,COUNTA($B:$B)+14-COUNTA($B$1:$B$14)))</f>
        <v>154917</v>
      </c>
    </row>
    <row r="5" spans="1:13" ht="0" hidden="1" customHeight="1" x14ac:dyDescent="0.2">
      <c r="A5" t="s">
        <v>285</v>
      </c>
      <c r="B5" s="1" t="s">
        <v>285</v>
      </c>
      <c r="C5" s="1" t="s">
        <v>285</v>
      </c>
      <c r="D5" s="1" t="s">
        <v>285</v>
      </c>
      <c r="E5" s="1" t="s">
        <v>285</v>
      </c>
      <c r="F5" s="104" t="s">
        <v>393</v>
      </c>
      <c r="G5" s="38" t="s">
        <v>393</v>
      </c>
      <c r="H5" s="38" t="s">
        <v>285</v>
      </c>
      <c r="I5" s="38" t="s">
        <v>285</v>
      </c>
      <c r="J5" s="33" t="s">
        <v>285</v>
      </c>
      <c r="K5" s="33" t="s">
        <v>285</v>
      </c>
      <c r="L5" s="33" t="s">
        <v>285</v>
      </c>
      <c r="M5" s="2" t="s">
        <v>393</v>
      </c>
    </row>
    <row r="6" spans="1:13" ht="0" hidden="1" customHeight="1" x14ac:dyDescent="0.2">
      <c r="A6" t="s">
        <v>287</v>
      </c>
      <c r="B6" s="1" t="s">
        <v>287</v>
      </c>
      <c r="C6" s="1" t="s">
        <v>287</v>
      </c>
      <c r="D6" s="1" t="s">
        <v>287</v>
      </c>
      <c r="E6" s="1" t="s">
        <v>287</v>
      </c>
      <c r="F6" s="104" t="s">
        <v>288</v>
      </c>
      <c r="G6" s="38" t="s">
        <v>288</v>
      </c>
      <c r="H6" s="38" t="s">
        <v>290</v>
      </c>
      <c r="I6" s="38" t="s">
        <v>290</v>
      </c>
      <c r="J6" s="33" t="s">
        <v>396</v>
      </c>
      <c r="K6" s="33" t="s">
        <v>395</v>
      </c>
      <c r="L6" s="33" t="s">
        <v>395</v>
      </c>
      <c r="M6" s="2" t="s">
        <v>289</v>
      </c>
    </row>
    <row r="7" spans="1:13" ht="0" hidden="1" customHeight="1" x14ac:dyDescent="0.2">
      <c r="A7" t="s">
        <v>291</v>
      </c>
      <c r="B7" s="1" t="s">
        <v>291</v>
      </c>
      <c r="C7" s="1" t="s">
        <v>291</v>
      </c>
      <c r="D7" s="1" t="s">
        <v>291</v>
      </c>
      <c r="E7" s="1" t="s">
        <v>291</v>
      </c>
      <c r="F7" s="104" t="s">
        <v>292</v>
      </c>
      <c r="G7" s="38" t="s">
        <v>292</v>
      </c>
      <c r="H7" s="38" t="s">
        <v>292</v>
      </c>
      <c r="I7" s="38" t="s">
        <v>292</v>
      </c>
      <c r="J7" s="33" t="s">
        <v>398</v>
      </c>
      <c r="K7" s="33" t="s">
        <v>398</v>
      </c>
      <c r="L7" s="33" t="s">
        <v>398</v>
      </c>
      <c r="M7" s="2" t="s">
        <v>292</v>
      </c>
    </row>
    <row r="8" spans="1:13" ht="0" hidden="1" customHeight="1" x14ac:dyDescent="0.2">
      <c r="F8" s="65" t="s">
        <v>1297</v>
      </c>
      <c r="G8" s="64" t="s">
        <v>774</v>
      </c>
      <c r="H8" s="38"/>
      <c r="I8" s="38"/>
      <c r="J8" s="33"/>
      <c r="K8" s="33"/>
      <c r="L8" s="33"/>
      <c r="M8" s="63" t="s">
        <v>774</v>
      </c>
    </row>
    <row r="9" spans="1:13" ht="0" hidden="1" customHeight="1" x14ac:dyDescent="0.2">
      <c r="F9" s="65" t="s">
        <v>1298</v>
      </c>
      <c r="G9" s="64" t="s">
        <v>1299</v>
      </c>
      <c r="H9" s="38"/>
      <c r="I9" s="38"/>
      <c r="J9" s="33"/>
      <c r="K9" s="33"/>
      <c r="L9" s="33"/>
      <c r="M9" s="63" t="s">
        <v>1299</v>
      </c>
    </row>
    <row r="10" spans="1:13" ht="0" hidden="1" customHeight="1" x14ac:dyDescent="0.2">
      <c r="F10" s="65" t="s">
        <v>422</v>
      </c>
      <c r="G10" s="64" t="s">
        <v>422</v>
      </c>
      <c r="H10" s="38"/>
      <c r="I10" s="38"/>
      <c r="J10" s="33"/>
      <c r="K10" s="33"/>
      <c r="L10" s="33"/>
      <c r="M10" s="63" t="s">
        <v>422</v>
      </c>
    </row>
    <row r="11" spans="1:13" ht="0" hidden="1" customHeight="1" x14ac:dyDescent="0.2">
      <c r="F11" s="104" t="s">
        <v>806</v>
      </c>
      <c r="G11" s="38" t="s">
        <v>806</v>
      </c>
      <c r="H11" s="38" t="s">
        <v>806</v>
      </c>
      <c r="I11" s="38" t="s">
        <v>806</v>
      </c>
      <c r="J11" s="33" t="s">
        <v>806</v>
      </c>
      <c r="K11" s="33" t="s">
        <v>806</v>
      </c>
      <c r="L11" s="33" t="s">
        <v>806</v>
      </c>
      <c r="M11" s="2" t="s">
        <v>806</v>
      </c>
    </row>
    <row r="12" spans="1:13" ht="0" hidden="1" customHeight="1" x14ac:dyDescent="0.2">
      <c r="F12" s="104" t="s">
        <v>813</v>
      </c>
      <c r="G12" s="38" t="s">
        <v>813</v>
      </c>
      <c r="H12" s="38" t="s">
        <v>813</v>
      </c>
      <c r="I12" s="38" t="s">
        <v>813</v>
      </c>
      <c r="J12" s="33" t="s">
        <v>813</v>
      </c>
      <c r="K12" s="33" t="s">
        <v>813</v>
      </c>
      <c r="L12" s="33" t="s">
        <v>813</v>
      </c>
      <c r="M12" s="2" t="s">
        <v>813</v>
      </c>
    </row>
    <row r="13" spans="1:13" ht="0" hidden="1" customHeight="1" x14ac:dyDescent="0.2"/>
    <row r="14" spans="1:13" x14ac:dyDescent="0.2">
      <c r="A14" s="131" t="s">
        <v>280</v>
      </c>
      <c r="B14" s="15" t="s">
        <v>294</v>
      </c>
      <c r="C14" s="15" t="s">
        <v>428</v>
      </c>
      <c r="D14" s="15" t="s">
        <v>429</v>
      </c>
      <c r="E14" s="15" t="s">
        <v>20</v>
      </c>
      <c r="F14" s="55" t="s">
        <v>1300</v>
      </c>
      <c r="G14" s="18" t="s">
        <v>1301</v>
      </c>
      <c r="H14" s="18" t="s">
        <v>438</v>
      </c>
      <c r="I14" s="18" t="s">
        <v>460</v>
      </c>
      <c r="J14" s="48" t="s">
        <v>1302</v>
      </c>
      <c r="K14" s="48" t="s">
        <v>1303</v>
      </c>
      <c r="L14" s="48" t="s">
        <v>1304</v>
      </c>
      <c r="M14" s="49" t="s">
        <v>912</v>
      </c>
    </row>
    <row r="15" spans="1:13" hidden="1" x14ac:dyDescent="0.2">
      <c r="A15" t="str">
        <f>INDEX(Prioritization!$D:$D,MATCH($B15,Prioritization!$A:$A,0))</f>
        <v>Military</v>
      </c>
      <c r="B15" t="s">
        <v>326</v>
      </c>
      <c r="C15" t="s">
        <v>476</v>
      </c>
      <c r="D15" t="s">
        <v>30</v>
      </c>
      <c r="E15" t="str">
        <f t="shared" ref="E15:E46" si="0">B15&amp;"|"&amp;C15&amp;"|"&amp;D15</f>
        <v>_Military Malawi [PQZgU9dagaH]|25-34|Female</v>
      </c>
      <c r="F15" s="38">
        <v>79</v>
      </c>
      <c r="G15" s="38">
        <v>651</v>
      </c>
      <c r="H15" s="38">
        <f>IFERROR(1/(1/INDEX(Cascade!$O:$O,MATCH($E15,Cascade!$E:$E,0))),"")</f>
        <v>843.99999999999989</v>
      </c>
      <c r="I15" s="38">
        <f>IFERROR(1/(1/INDEX(Cascade!$AV:$AV,MATCH($E15,Cascade!$E:$E,0))),"")</f>
        <v>87</v>
      </c>
      <c r="J15" s="33">
        <v>9.7000000000000003E-2</v>
      </c>
      <c r="K15" s="33">
        <f t="shared" ref="K15:K46" si="1">1/3</f>
        <v>0.33333333333333331</v>
      </c>
      <c r="L15" s="33">
        <f>1</f>
        <v>1</v>
      </c>
      <c r="M15" s="218">
        <f t="shared" ref="M15:M46" si="2">IF(SUM($H15)=0,"",ROUND($H15*$K15+$I15*$L15,0))</f>
        <v>368</v>
      </c>
    </row>
    <row r="16" spans="1:13" hidden="1" x14ac:dyDescent="0.2">
      <c r="A16" t="str">
        <f>INDEX(Prioritization!$D:$D,MATCH($B16,Prioritization!$A:$A,0))</f>
        <v>Military</v>
      </c>
      <c r="B16" t="s">
        <v>326</v>
      </c>
      <c r="C16" t="s">
        <v>477</v>
      </c>
      <c r="D16" t="s">
        <v>30</v>
      </c>
      <c r="E16" t="str">
        <f t="shared" si="0"/>
        <v>_Military Malawi [PQZgU9dagaH]|35-49|Female</v>
      </c>
      <c r="F16" s="38">
        <v>226</v>
      </c>
      <c r="G16" s="38">
        <v>1036</v>
      </c>
      <c r="H16" s="38">
        <f>IFERROR(1/(1/INDEX(Cascade!$O:$O,MATCH($E16,Cascade!$E:$E,0))),"")</f>
        <v>2243</v>
      </c>
      <c r="I16" s="38">
        <f>IFERROR(1/(1/INDEX(Cascade!$AV:$AV,MATCH($E16,Cascade!$E:$E,0))),"")</f>
        <v>233</v>
      </c>
      <c r="J16" s="33">
        <v>0.105</v>
      </c>
      <c r="K16" s="33">
        <f t="shared" si="1"/>
        <v>0.33333333333333331</v>
      </c>
      <c r="L16" s="33">
        <f>1</f>
        <v>1</v>
      </c>
      <c r="M16" s="218">
        <f t="shared" si="2"/>
        <v>981</v>
      </c>
    </row>
    <row r="17" spans="1:13" x14ac:dyDescent="0.2">
      <c r="A17" t="str">
        <f>INDEX(Prioritization!$D:$D,MATCH($B17,Prioritization!$A:$A,0))</f>
        <v>4 - Sustained</v>
      </c>
      <c r="B17" t="s">
        <v>313</v>
      </c>
      <c r="C17" t="s">
        <v>476</v>
      </c>
      <c r="D17" t="s">
        <v>30</v>
      </c>
      <c r="E17" t="str">
        <f t="shared" si="0"/>
        <v>Balaka District [ir8wuHHzoSs]|25-34|Female</v>
      </c>
      <c r="F17" s="38">
        <v>933</v>
      </c>
      <c r="G17" s="38">
        <v>1188</v>
      </c>
      <c r="H17" s="38" t="str">
        <f>IFERROR(1/(1/INDEX(Cascade!$O:$O,MATCH($E17,Cascade!$E:$E,0))),"")</f>
        <v/>
      </c>
      <c r="I17" s="38" t="str">
        <f>IFERROR(1/(1/INDEX(Cascade!$AV:$AV,MATCH($E17,Cascade!$E:$E,0))),"")</f>
        <v/>
      </c>
      <c r="J17" s="33">
        <v>0.3</v>
      </c>
      <c r="K17" s="33">
        <f t="shared" si="1"/>
        <v>0.33333333333333331</v>
      </c>
      <c r="L17" s="33">
        <f>1</f>
        <v>1</v>
      </c>
      <c r="M17" s="218" t="str">
        <f t="shared" si="2"/>
        <v/>
      </c>
    </row>
    <row r="18" spans="1:13" x14ac:dyDescent="0.2">
      <c r="A18" t="str">
        <f>INDEX(Prioritization!$D:$D,MATCH($B18,Prioritization!$A:$A,0))</f>
        <v>4 - Sustained</v>
      </c>
      <c r="B18" t="s">
        <v>313</v>
      </c>
      <c r="C18" t="s">
        <v>477</v>
      </c>
      <c r="D18" t="s">
        <v>30</v>
      </c>
      <c r="E18" t="str">
        <f t="shared" si="0"/>
        <v>Balaka District [ir8wuHHzoSs]|35-49|Female</v>
      </c>
      <c r="F18" s="38">
        <v>1818</v>
      </c>
      <c r="G18" s="38">
        <v>2905</v>
      </c>
      <c r="H18" s="38" t="str">
        <f>IFERROR(1/(1/INDEX(Cascade!$O:$O,MATCH($E18,Cascade!$E:$E,0))),"")</f>
        <v/>
      </c>
      <c r="I18" s="38" t="str">
        <f>IFERROR(1/(1/INDEX(Cascade!$AV:$AV,MATCH($E18,Cascade!$E:$E,0))),"")</f>
        <v/>
      </c>
      <c r="J18" s="33">
        <v>0.24399999999999999</v>
      </c>
      <c r="K18" s="33">
        <f t="shared" si="1"/>
        <v>0.33333333333333331</v>
      </c>
      <c r="L18" s="33">
        <f>1</f>
        <v>1</v>
      </c>
      <c r="M18" s="218" t="str">
        <f t="shared" si="2"/>
        <v/>
      </c>
    </row>
    <row r="19" spans="1:13" x14ac:dyDescent="0.2">
      <c r="A19" t="str">
        <f>INDEX(Prioritization!$D:$D,MATCH($B19,Prioritization!$A:$A,0))</f>
        <v>1 - Scale-up: Saturation</v>
      </c>
      <c r="B19" t="s">
        <v>314</v>
      </c>
      <c r="C19" t="s">
        <v>476</v>
      </c>
      <c r="D19" t="s">
        <v>30</v>
      </c>
      <c r="E19" t="str">
        <f t="shared" si="0"/>
        <v>Blantyre District [mxqa3CDFmIT]|25-34|Female</v>
      </c>
      <c r="F19" s="38">
        <v>2516</v>
      </c>
      <c r="G19" s="38">
        <v>6461</v>
      </c>
      <c r="H19" s="38">
        <f>IFERROR(1/(1/INDEX(Cascade!$O:$O,MATCH($E19,Cascade!$E:$E,0))),"")</f>
        <v>17485</v>
      </c>
      <c r="I19" s="38">
        <f>IFERROR(1/(1/INDEX(Cascade!$AV:$AV,MATCH($E19,Cascade!$E:$E,0))),"")</f>
        <v>938.99999999999989</v>
      </c>
      <c r="J19" s="33">
        <v>0.13300000000000001</v>
      </c>
      <c r="K19" s="33">
        <f t="shared" si="1"/>
        <v>0.33333333333333331</v>
      </c>
      <c r="L19" s="33">
        <f>1</f>
        <v>1</v>
      </c>
      <c r="M19" s="218">
        <f t="shared" si="2"/>
        <v>6767</v>
      </c>
    </row>
    <row r="20" spans="1:13" x14ac:dyDescent="0.2">
      <c r="A20" t="str">
        <f>INDEX(Prioritization!$D:$D,MATCH($B20,Prioritization!$A:$A,0))</f>
        <v>1 - Scale-up: Saturation</v>
      </c>
      <c r="B20" t="s">
        <v>314</v>
      </c>
      <c r="C20" t="s">
        <v>477</v>
      </c>
      <c r="D20" t="s">
        <v>30</v>
      </c>
      <c r="E20" t="str">
        <f t="shared" si="0"/>
        <v>Blantyre District [mxqa3CDFmIT]|35-49|Female</v>
      </c>
      <c r="F20" s="38">
        <v>5265</v>
      </c>
      <c r="G20" s="38">
        <v>14513</v>
      </c>
      <c r="H20" s="38">
        <f>IFERROR(1/(1/INDEX(Cascade!$O:$O,MATCH($E20,Cascade!$E:$E,0))),"")</f>
        <v>36579</v>
      </c>
      <c r="I20" s="38">
        <f>IFERROR(1/(1/INDEX(Cascade!$AV:$AV,MATCH($E20,Cascade!$E:$E,0))),"")</f>
        <v>1765.0000000000002</v>
      </c>
      <c r="J20" s="33">
        <v>0.14899999999999999</v>
      </c>
      <c r="K20" s="33">
        <f t="shared" si="1"/>
        <v>0.33333333333333331</v>
      </c>
      <c r="L20" s="33">
        <f>1</f>
        <v>1</v>
      </c>
      <c r="M20" s="218">
        <f t="shared" si="2"/>
        <v>13958</v>
      </c>
    </row>
    <row r="21" spans="1:13" x14ac:dyDescent="0.2">
      <c r="A21" t="str">
        <f>INDEX(Prioritization!$D:$D,MATCH($B21,Prioritization!$A:$A,0))</f>
        <v>1 - Scale-up: Saturation</v>
      </c>
      <c r="B21" t="s">
        <v>315</v>
      </c>
      <c r="C21" t="s">
        <v>476</v>
      </c>
      <c r="D21" t="s">
        <v>30</v>
      </c>
      <c r="E21" t="str">
        <f t="shared" si="0"/>
        <v>Chikwawa District [U8c0so51kT6]|25-34|Female</v>
      </c>
      <c r="F21" s="38">
        <v>2209</v>
      </c>
      <c r="G21" s="38">
        <v>1639</v>
      </c>
      <c r="H21" s="38">
        <f>IFERROR(1/(1/INDEX(Cascade!$O:$O,MATCH($E21,Cascade!$E:$E,0))),"")</f>
        <v>4161</v>
      </c>
      <c r="I21" s="38">
        <f>IFERROR(1/(1/INDEX(Cascade!$AV:$AV,MATCH($E21,Cascade!$E:$E,0))),"")</f>
        <v>333</v>
      </c>
      <c r="J21" s="33">
        <v>0.436</v>
      </c>
      <c r="K21" s="33">
        <f t="shared" si="1"/>
        <v>0.33333333333333331</v>
      </c>
      <c r="L21" s="33">
        <f>1</f>
        <v>1</v>
      </c>
      <c r="M21" s="218">
        <f t="shared" si="2"/>
        <v>1720</v>
      </c>
    </row>
    <row r="22" spans="1:13" x14ac:dyDescent="0.2">
      <c r="A22" t="str">
        <f>INDEX(Prioritization!$D:$D,MATCH($B22,Prioritization!$A:$A,0))</f>
        <v>1 - Scale-up: Saturation</v>
      </c>
      <c r="B22" t="s">
        <v>315</v>
      </c>
      <c r="C22" t="s">
        <v>477</v>
      </c>
      <c r="D22" t="s">
        <v>30</v>
      </c>
      <c r="E22" t="str">
        <f t="shared" si="0"/>
        <v>Chikwawa District [U8c0so51kT6]|35-49|Female</v>
      </c>
      <c r="F22" s="38">
        <v>3285</v>
      </c>
      <c r="G22" s="38">
        <v>3560</v>
      </c>
      <c r="H22" s="38">
        <f>IFERROR(1/(1/INDEX(Cascade!$O:$O,MATCH($E22,Cascade!$E:$E,0))),"")</f>
        <v>9683</v>
      </c>
      <c r="I22" s="38">
        <f>IFERROR(1/(1/INDEX(Cascade!$AV:$AV,MATCH($E22,Cascade!$E:$E,0))),"")</f>
        <v>496</v>
      </c>
      <c r="J22" s="33">
        <v>0.35</v>
      </c>
      <c r="K22" s="33">
        <f t="shared" si="1"/>
        <v>0.33333333333333331</v>
      </c>
      <c r="L22" s="33">
        <f>1</f>
        <v>1</v>
      </c>
      <c r="M22" s="218">
        <f t="shared" si="2"/>
        <v>3724</v>
      </c>
    </row>
    <row r="23" spans="1:13" x14ac:dyDescent="0.2">
      <c r="A23" t="str">
        <f>INDEX(Prioritization!$D:$D,MATCH($B23,Prioritization!$A:$A,0))</f>
        <v>INVALID</v>
      </c>
      <c r="B23" t="s">
        <v>316</v>
      </c>
      <c r="C23" t="s">
        <v>476</v>
      </c>
      <c r="D23" t="s">
        <v>30</v>
      </c>
      <c r="E23" t="str">
        <f t="shared" si="0"/>
        <v>Chiradzulu District [oiPR2CiVJbf]|25-34|Female</v>
      </c>
      <c r="F23" s="38">
        <v>1223</v>
      </c>
      <c r="G23" s="38">
        <v>2323</v>
      </c>
      <c r="H23" s="38">
        <f>IFERROR(1/(1/INDEX(Cascade!$O:$O,MATCH($E23,Cascade!$E:$E,0))),"")</f>
        <v>4623</v>
      </c>
      <c r="I23" s="38">
        <f>IFERROR(1/(1/INDEX(Cascade!$AV:$AV,MATCH($E23,Cascade!$E:$E,0))),"")</f>
        <v>549</v>
      </c>
      <c r="J23" s="33">
        <v>0.26600000000000001</v>
      </c>
      <c r="K23" s="33">
        <f t="shared" si="1"/>
        <v>0.33333333333333331</v>
      </c>
      <c r="L23" s="33">
        <f>1</f>
        <v>1</v>
      </c>
      <c r="M23" s="218">
        <f t="shared" si="2"/>
        <v>2090</v>
      </c>
    </row>
    <row r="24" spans="1:13" x14ac:dyDescent="0.2">
      <c r="A24" t="str">
        <f>INDEX(Prioritization!$D:$D,MATCH($B24,Prioritization!$A:$A,0))</f>
        <v>INVALID</v>
      </c>
      <c r="B24" t="s">
        <v>316</v>
      </c>
      <c r="C24" t="s">
        <v>477</v>
      </c>
      <c r="D24" t="s">
        <v>30</v>
      </c>
      <c r="E24" t="str">
        <f t="shared" si="0"/>
        <v>Chiradzulu District [oiPR2CiVJbf]|35-49|Female</v>
      </c>
      <c r="F24" s="38">
        <v>4350</v>
      </c>
      <c r="G24" s="38">
        <v>4893</v>
      </c>
      <c r="H24" s="38">
        <f>IFERROR(1/(1/INDEX(Cascade!$O:$O,MATCH($E24,Cascade!$E:$E,0))),"")</f>
        <v>14039</v>
      </c>
      <c r="I24" s="38">
        <f>IFERROR(1/(1/INDEX(Cascade!$AV:$AV,MATCH($E24,Cascade!$E:$E,0))),"")</f>
        <v>287</v>
      </c>
      <c r="J24" s="33">
        <v>0.31</v>
      </c>
      <c r="K24" s="33">
        <f t="shared" si="1"/>
        <v>0.33333333333333331</v>
      </c>
      <c r="L24" s="33">
        <f>1</f>
        <v>1</v>
      </c>
      <c r="M24" s="218">
        <f t="shared" si="2"/>
        <v>4967</v>
      </c>
    </row>
    <row r="25" spans="1:13" x14ac:dyDescent="0.2">
      <c r="A25" t="str">
        <f>INDEX(Prioritization!$D:$D,MATCH($B25,Prioritization!$A:$A,0))</f>
        <v>4 - Sustained</v>
      </c>
      <c r="B25" t="s">
        <v>307</v>
      </c>
      <c r="C25" t="s">
        <v>476</v>
      </c>
      <c r="D25" t="s">
        <v>30</v>
      </c>
      <c r="E25" t="str">
        <f t="shared" si="0"/>
        <v>Chitipa District [GkIwZrXy1h2]|25-34|Female</v>
      </c>
      <c r="F25" s="38">
        <v>517</v>
      </c>
      <c r="G25" s="38">
        <v>286</v>
      </c>
      <c r="H25" s="38">
        <f>IFERROR(1/(1/INDEX(Cascade!$O:$O,MATCH($E25,Cascade!$E:$E,0))),"")</f>
        <v>636</v>
      </c>
      <c r="I25" s="38">
        <f>IFERROR(1/(1/INDEX(Cascade!$AV:$AV,MATCH($E25,Cascade!$E:$E,0))),"")</f>
        <v>71</v>
      </c>
      <c r="J25" s="33">
        <v>0.81499999999999995</v>
      </c>
      <c r="K25" s="33">
        <f t="shared" si="1"/>
        <v>0.33333333333333331</v>
      </c>
      <c r="L25" s="33">
        <f>1</f>
        <v>1</v>
      </c>
      <c r="M25" s="218">
        <f t="shared" si="2"/>
        <v>283</v>
      </c>
    </row>
    <row r="26" spans="1:13" x14ac:dyDescent="0.2">
      <c r="A26" t="str">
        <f>INDEX(Prioritization!$D:$D,MATCH($B26,Prioritization!$A:$A,0))</f>
        <v>4 - Sustained</v>
      </c>
      <c r="B26" t="s">
        <v>307</v>
      </c>
      <c r="C26" t="s">
        <v>477</v>
      </c>
      <c r="D26" t="s">
        <v>30</v>
      </c>
      <c r="E26" t="str">
        <f t="shared" si="0"/>
        <v>Chitipa District [GkIwZrXy1h2]|35-49|Female</v>
      </c>
      <c r="F26" s="38">
        <v>744</v>
      </c>
      <c r="G26" s="38">
        <v>740</v>
      </c>
      <c r="H26" s="38">
        <f>IFERROR(1/(1/INDEX(Cascade!$O:$O,MATCH($E26,Cascade!$E:$E,0))),"")</f>
        <v>1590</v>
      </c>
      <c r="I26" s="38">
        <f>IFERROR(1/(1/INDEX(Cascade!$AV:$AV,MATCH($E26,Cascade!$E:$E,0))),"")</f>
        <v>32</v>
      </c>
      <c r="J26" s="33">
        <v>0.46800000000000003</v>
      </c>
      <c r="K26" s="33">
        <f t="shared" si="1"/>
        <v>0.33333333333333331</v>
      </c>
      <c r="L26" s="33">
        <f>1</f>
        <v>1</v>
      </c>
      <c r="M26" s="218">
        <f t="shared" si="2"/>
        <v>562</v>
      </c>
    </row>
    <row r="27" spans="1:13" x14ac:dyDescent="0.2">
      <c r="A27" t="str">
        <f>INDEX(Prioritization!$D:$D,MATCH($B27,Prioritization!$A:$A,0))</f>
        <v>4 - Sustained</v>
      </c>
      <c r="B27" t="s">
        <v>298</v>
      </c>
      <c r="C27" t="s">
        <v>476</v>
      </c>
      <c r="D27" t="s">
        <v>30</v>
      </c>
      <c r="E27" s="1" t="str">
        <f t="shared" si="0"/>
        <v>Dedza District [PekKUkKHAzY]|25-34|Female</v>
      </c>
      <c r="F27" s="38">
        <v>1107</v>
      </c>
      <c r="G27" s="38">
        <v>1037</v>
      </c>
      <c r="H27" s="38">
        <f>IFERROR(1/(1/INDEX(Cascade!$O:$O,MATCH($E27,Cascade!$E:$E,0))),"")</f>
        <v>2686</v>
      </c>
      <c r="I27" s="38">
        <f>IFERROR(1/(1/INDEX(Cascade!$AV:$AV,MATCH($E27,Cascade!$E:$E,0))),"")</f>
        <v>303</v>
      </c>
      <c r="J27" s="33">
        <v>0.39</v>
      </c>
      <c r="K27" s="33">
        <f t="shared" si="1"/>
        <v>0.33333333333333331</v>
      </c>
      <c r="L27" s="33">
        <f>1</f>
        <v>1</v>
      </c>
      <c r="M27" s="2">
        <f t="shared" si="2"/>
        <v>1198</v>
      </c>
    </row>
    <row r="28" spans="1:13" x14ac:dyDescent="0.2">
      <c r="A28" t="str">
        <f>INDEX(Prioritization!$D:$D,MATCH($B28,Prioritization!$A:$A,0))</f>
        <v>4 - Sustained</v>
      </c>
      <c r="B28" t="s">
        <v>298</v>
      </c>
      <c r="C28" t="s">
        <v>477</v>
      </c>
      <c r="D28" t="s">
        <v>30</v>
      </c>
      <c r="E28" t="str">
        <f t="shared" si="0"/>
        <v>Dedza District [PekKUkKHAzY]|35-49|Female</v>
      </c>
      <c r="F28" s="38">
        <v>1961</v>
      </c>
      <c r="G28" s="38">
        <v>2557</v>
      </c>
      <c r="H28" s="38">
        <f>IFERROR(1/(1/INDEX(Cascade!$O:$O,MATCH($E28,Cascade!$E:$E,0))),"")</f>
        <v>6380</v>
      </c>
      <c r="I28" s="38">
        <f>IFERROR(1/(1/INDEX(Cascade!$AV:$AV,MATCH($E28,Cascade!$E:$E,0))),"")</f>
        <v>130</v>
      </c>
      <c r="J28" s="33">
        <v>0.307</v>
      </c>
      <c r="K28" s="33">
        <f t="shared" si="1"/>
        <v>0.33333333333333331</v>
      </c>
      <c r="L28" s="33">
        <f>1</f>
        <v>1</v>
      </c>
      <c r="M28" s="218">
        <f t="shared" si="2"/>
        <v>2257</v>
      </c>
    </row>
    <row r="29" spans="1:13" x14ac:dyDescent="0.2">
      <c r="A29" t="str">
        <f>INDEX(Prioritization!$D:$D,MATCH($B29,Prioritization!$A:$A,0))</f>
        <v>4 - Sustained</v>
      </c>
      <c r="B29" t="s">
        <v>299</v>
      </c>
      <c r="C29" t="s">
        <v>476</v>
      </c>
      <c r="D29" t="s">
        <v>30</v>
      </c>
      <c r="E29" t="str">
        <f t="shared" si="0"/>
        <v>Dowa District [zphK9WV8JB4]|25-34|Female</v>
      </c>
      <c r="F29" s="38">
        <v>727</v>
      </c>
      <c r="G29" s="38">
        <v>626</v>
      </c>
      <c r="H29" s="38">
        <f>IFERROR(1/(1/INDEX(Cascade!$O:$O,MATCH($E29,Cascade!$E:$E,0))),"")</f>
        <v>1336</v>
      </c>
      <c r="I29" s="38">
        <f>IFERROR(1/(1/INDEX(Cascade!$AV:$AV,MATCH($E29,Cascade!$E:$E,0))),"")</f>
        <v>178</v>
      </c>
      <c r="J29" s="33">
        <v>0.54400000000000004</v>
      </c>
      <c r="K29" s="33">
        <f t="shared" si="1"/>
        <v>0.33333333333333331</v>
      </c>
      <c r="L29" s="33">
        <f>1</f>
        <v>1</v>
      </c>
      <c r="M29" s="218">
        <f t="shared" si="2"/>
        <v>623</v>
      </c>
    </row>
    <row r="30" spans="1:13" x14ac:dyDescent="0.2">
      <c r="A30" t="str">
        <f>INDEX(Prioritization!$D:$D,MATCH($B30,Prioritization!$A:$A,0))</f>
        <v>4 - Sustained</v>
      </c>
      <c r="B30" t="s">
        <v>299</v>
      </c>
      <c r="C30" t="s">
        <v>477</v>
      </c>
      <c r="D30" t="s">
        <v>30</v>
      </c>
      <c r="E30" t="str">
        <f t="shared" si="0"/>
        <v>Dowa District [zphK9WV8JB4]|35-49|Female</v>
      </c>
      <c r="F30" s="38">
        <v>1321</v>
      </c>
      <c r="G30" s="38">
        <v>1466</v>
      </c>
      <c r="H30" s="38">
        <f>IFERROR(1/(1/INDEX(Cascade!$O:$O,MATCH($E30,Cascade!$E:$E,0))),"")</f>
        <v>3660</v>
      </c>
      <c r="I30" s="38">
        <f>IFERROR(1/(1/INDEX(Cascade!$AV:$AV,MATCH($E30,Cascade!$E:$E,0))),"")</f>
        <v>75</v>
      </c>
      <c r="J30" s="33">
        <v>0.40699999999999997</v>
      </c>
      <c r="K30" s="33">
        <f t="shared" si="1"/>
        <v>0.33333333333333331</v>
      </c>
      <c r="L30" s="33">
        <f>1</f>
        <v>1</v>
      </c>
      <c r="M30" s="218">
        <f t="shared" si="2"/>
        <v>1295</v>
      </c>
    </row>
    <row r="31" spans="1:13" x14ac:dyDescent="0.2">
      <c r="A31" t="str">
        <f>INDEX(Prioritization!$D:$D,MATCH($B31,Prioritization!$A:$A,0))</f>
        <v>INVALID</v>
      </c>
      <c r="B31" t="s">
        <v>308</v>
      </c>
      <c r="C31" t="s">
        <v>476</v>
      </c>
      <c r="D31" t="s">
        <v>30</v>
      </c>
      <c r="E31" t="str">
        <f t="shared" si="0"/>
        <v>Karonga District [cPtvxaZqXIH]|25-34|Female</v>
      </c>
      <c r="F31" s="38">
        <v>838</v>
      </c>
      <c r="G31" s="38">
        <v>815</v>
      </c>
      <c r="H31" s="38">
        <f>IFERROR(1/(1/INDEX(Cascade!$O:$O,MATCH($E31,Cascade!$E:$E,0))),"")</f>
        <v>1600</v>
      </c>
      <c r="I31" s="38">
        <f>IFERROR(1/(1/INDEX(Cascade!$AV:$AV,MATCH($E31,Cascade!$E:$E,0))),"")</f>
        <v>178</v>
      </c>
      <c r="J31" s="33">
        <v>0.52900000000000003</v>
      </c>
      <c r="K31" s="33">
        <f t="shared" si="1"/>
        <v>0.33333333333333331</v>
      </c>
      <c r="L31" s="33">
        <f>1</f>
        <v>1</v>
      </c>
      <c r="M31" s="218">
        <f t="shared" si="2"/>
        <v>711</v>
      </c>
    </row>
    <row r="32" spans="1:13" x14ac:dyDescent="0.2">
      <c r="A32" t="str">
        <f>INDEX(Prioritization!$D:$D,MATCH($B32,Prioritization!$A:$A,0))</f>
        <v>INVALID</v>
      </c>
      <c r="B32" t="s">
        <v>308</v>
      </c>
      <c r="C32" t="s">
        <v>477</v>
      </c>
      <c r="D32" t="s">
        <v>30</v>
      </c>
      <c r="E32" t="str">
        <f t="shared" si="0"/>
        <v>Karonga District [cPtvxaZqXIH]|35-49|Female</v>
      </c>
      <c r="F32" s="38">
        <v>1495</v>
      </c>
      <c r="G32" s="38">
        <v>1567</v>
      </c>
      <c r="H32" s="38">
        <f>IFERROR(1/(1/INDEX(Cascade!$O:$O,MATCH($E32,Cascade!$E:$E,0))),"")</f>
        <v>4499</v>
      </c>
      <c r="I32" s="38">
        <f>IFERROR(1/(1/INDEX(Cascade!$AV:$AV,MATCH($E32,Cascade!$E:$E,0))),"")</f>
        <v>129</v>
      </c>
      <c r="J32" s="33">
        <v>0.33700000000000002</v>
      </c>
      <c r="K32" s="33">
        <f t="shared" si="1"/>
        <v>0.33333333333333331</v>
      </c>
      <c r="L32" s="33">
        <f>1</f>
        <v>1</v>
      </c>
      <c r="M32" s="218">
        <f t="shared" si="2"/>
        <v>1629</v>
      </c>
    </row>
    <row r="33" spans="1:13" x14ac:dyDescent="0.2">
      <c r="A33" t="str">
        <f>INDEX(Prioritization!$D:$D,MATCH($B33,Prioritization!$A:$A,0))</f>
        <v>INVALID</v>
      </c>
      <c r="B33" t="s">
        <v>300</v>
      </c>
      <c r="C33" t="s">
        <v>476</v>
      </c>
      <c r="D33" t="s">
        <v>30</v>
      </c>
      <c r="E33" t="str">
        <f t="shared" si="0"/>
        <v>Kasungu District [JQKLKuVuY61]|25-34|Female</v>
      </c>
      <c r="F33" s="38">
        <v>715</v>
      </c>
      <c r="G33" s="38">
        <v>963</v>
      </c>
      <c r="H33" s="38">
        <f>IFERROR(1/(1/INDEX(Cascade!$O:$O,MATCH($E33,Cascade!$E:$E,0))),"")</f>
        <v>2096</v>
      </c>
      <c r="I33" s="38">
        <f>IFERROR(1/(1/INDEX(Cascade!$AV:$AV,MATCH($E33,Cascade!$E:$E,0))),"")</f>
        <v>279</v>
      </c>
      <c r="J33" s="33">
        <v>0.34</v>
      </c>
      <c r="K33" s="33">
        <f t="shared" si="1"/>
        <v>0.33333333333333331</v>
      </c>
      <c r="L33" s="33">
        <f>1</f>
        <v>1</v>
      </c>
      <c r="M33" s="218">
        <f t="shared" si="2"/>
        <v>978</v>
      </c>
    </row>
    <row r="34" spans="1:13" x14ac:dyDescent="0.2">
      <c r="A34" t="str">
        <f>INDEX(Prioritization!$D:$D,MATCH($B34,Prioritization!$A:$A,0))</f>
        <v>INVALID</v>
      </c>
      <c r="B34" t="s">
        <v>300</v>
      </c>
      <c r="C34" t="s">
        <v>477</v>
      </c>
      <c r="D34" t="s">
        <v>30</v>
      </c>
      <c r="E34" t="str">
        <f t="shared" si="0"/>
        <v>Kasungu District [JQKLKuVuY61]|35-49|Female</v>
      </c>
      <c r="F34" s="38">
        <v>1511</v>
      </c>
      <c r="G34" s="38">
        <v>2075</v>
      </c>
      <c r="H34" s="38">
        <f>IFERROR(1/(1/INDEX(Cascade!$O:$O,MATCH($E34,Cascade!$E:$E,0))),"")</f>
        <v>5479</v>
      </c>
      <c r="I34" s="38">
        <f>IFERROR(1/(1/INDEX(Cascade!$AV:$AV,MATCH($E34,Cascade!$E:$E,0))),"")</f>
        <v>112</v>
      </c>
      <c r="J34" s="33">
        <v>0.27500000000000002</v>
      </c>
      <c r="K34" s="33">
        <f t="shared" si="1"/>
        <v>0.33333333333333331</v>
      </c>
      <c r="L34" s="33">
        <f>1</f>
        <v>1</v>
      </c>
      <c r="M34" s="218">
        <f t="shared" si="2"/>
        <v>1938</v>
      </c>
    </row>
    <row r="35" spans="1:13" x14ac:dyDescent="0.2">
      <c r="A35" t="str">
        <f>INDEX(Prioritization!$D:$D,MATCH($B35,Prioritization!$A:$A,0))</f>
        <v>4 - Sustained</v>
      </c>
      <c r="B35" t="s">
        <v>309</v>
      </c>
      <c r="C35" t="s">
        <v>476</v>
      </c>
      <c r="D35" t="s">
        <v>30</v>
      </c>
      <c r="E35" t="str">
        <f t="shared" si="0"/>
        <v>Likoma District [ZCjuwgaMB9u]|25-34|Female</v>
      </c>
      <c r="F35" s="38"/>
      <c r="G35" s="38">
        <v>43</v>
      </c>
      <c r="H35" s="38">
        <f>IFERROR(1/(1/INDEX(Cascade!$O:$O,MATCH($E35,Cascade!$E:$E,0))),"")</f>
        <v>92.999999999999986</v>
      </c>
      <c r="I35" s="38">
        <f>IFERROR(1/(1/INDEX(Cascade!$AV:$AV,MATCH($E35,Cascade!$E:$E,0))),"")</f>
        <v>10</v>
      </c>
      <c r="J35" s="33"/>
      <c r="K35" s="33">
        <f t="shared" si="1"/>
        <v>0.33333333333333331</v>
      </c>
      <c r="L35" s="33">
        <f>1</f>
        <v>1</v>
      </c>
      <c r="M35" s="218">
        <f t="shared" si="2"/>
        <v>41</v>
      </c>
    </row>
    <row r="36" spans="1:13" x14ac:dyDescent="0.2">
      <c r="A36" t="str">
        <f>INDEX(Prioritization!$D:$D,MATCH($B36,Prioritization!$A:$A,0))</f>
        <v>4 - Sustained</v>
      </c>
      <c r="B36" t="s">
        <v>309</v>
      </c>
      <c r="C36" t="s">
        <v>477</v>
      </c>
      <c r="D36" t="s">
        <v>30</v>
      </c>
      <c r="E36" t="str">
        <f t="shared" si="0"/>
        <v>Likoma District [ZCjuwgaMB9u]|35-49|Female</v>
      </c>
      <c r="F36" s="38"/>
      <c r="G36" s="38">
        <v>111</v>
      </c>
      <c r="H36" s="38">
        <f>IFERROR(1/(1/INDEX(Cascade!$O:$O,MATCH($E36,Cascade!$E:$E,0))),"")</f>
        <v>239.00000000000003</v>
      </c>
      <c r="I36" s="38">
        <f>IFERROR(1/(1/INDEX(Cascade!$AV:$AV,MATCH($E36,Cascade!$E:$E,0))),"")</f>
        <v>24</v>
      </c>
      <c r="J36" s="33"/>
      <c r="K36" s="33">
        <f t="shared" si="1"/>
        <v>0.33333333333333331</v>
      </c>
      <c r="L36" s="33">
        <f>1</f>
        <v>1</v>
      </c>
      <c r="M36" s="218">
        <f t="shared" si="2"/>
        <v>104</v>
      </c>
    </row>
    <row r="37" spans="1:13" x14ac:dyDescent="0.2">
      <c r="A37" t="str">
        <f>INDEX(Prioritization!$D:$D,MATCH($B37,Prioritization!$A:$A,0))</f>
        <v>INVALID</v>
      </c>
      <c r="B37" t="s">
        <v>301</v>
      </c>
      <c r="C37" t="s">
        <v>476</v>
      </c>
      <c r="D37" t="s">
        <v>30</v>
      </c>
      <c r="E37" t="str">
        <f t="shared" si="0"/>
        <v>Lilongwe District [ScR9iFKAasW]|25-34|Female</v>
      </c>
      <c r="F37" s="38">
        <v>5261</v>
      </c>
      <c r="G37" s="38">
        <v>8364</v>
      </c>
      <c r="H37" s="38">
        <f>IFERROR(1/(1/INDEX(Cascade!$O:$O,MATCH($E37,Cascade!$E:$E,0))),"")</f>
        <v>15825.999999999998</v>
      </c>
      <c r="I37" s="38">
        <f>IFERROR(1/(1/INDEX(Cascade!$AV:$AV,MATCH($E37,Cascade!$E:$E,0))),"")</f>
        <v>1852</v>
      </c>
      <c r="J37" s="33">
        <v>0.33200000000000002</v>
      </c>
      <c r="K37" s="33">
        <f t="shared" si="1"/>
        <v>0.33333333333333331</v>
      </c>
      <c r="L37" s="33">
        <f>1</f>
        <v>1</v>
      </c>
      <c r="M37" s="218">
        <f t="shared" si="2"/>
        <v>7127</v>
      </c>
    </row>
    <row r="38" spans="1:13" x14ac:dyDescent="0.2">
      <c r="A38" t="str">
        <f>INDEX(Prioritization!$D:$D,MATCH($B38,Prioritization!$A:$A,0))</f>
        <v>INVALID</v>
      </c>
      <c r="B38" t="s">
        <v>301</v>
      </c>
      <c r="C38" t="s">
        <v>477</v>
      </c>
      <c r="D38" t="s">
        <v>30</v>
      </c>
      <c r="E38" t="str">
        <f t="shared" si="0"/>
        <v>Lilongwe District [ScR9iFKAasW]|35-49|Female</v>
      </c>
      <c r="F38" s="38">
        <v>11314</v>
      </c>
      <c r="G38" s="38">
        <v>14326</v>
      </c>
      <c r="H38" s="38">
        <f>IFERROR(1/(1/INDEX(Cascade!$O:$O,MATCH($E38,Cascade!$E:$E,0))),"")</f>
        <v>34795</v>
      </c>
      <c r="I38" s="38">
        <f>IFERROR(1/(1/INDEX(Cascade!$AV:$AV,MATCH($E38,Cascade!$E:$E,0))),"")</f>
        <v>959</v>
      </c>
      <c r="J38" s="33">
        <v>0.33100000000000002</v>
      </c>
      <c r="K38" s="33">
        <f t="shared" si="1"/>
        <v>0.33333333333333331</v>
      </c>
      <c r="L38" s="33">
        <f>1</f>
        <v>1</v>
      </c>
      <c r="M38" s="218">
        <f t="shared" si="2"/>
        <v>12557</v>
      </c>
    </row>
    <row r="39" spans="1:13" x14ac:dyDescent="0.2">
      <c r="A39" t="str">
        <f>INDEX(Prioritization!$D:$D,MATCH($B39,Prioritization!$A:$A,0))</f>
        <v>1 - Scale-up: Saturation</v>
      </c>
      <c r="B39" t="s">
        <v>317</v>
      </c>
      <c r="C39" t="s">
        <v>476</v>
      </c>
      <c r="D39" t="s">
        <v>30</v>
      </c>
      <c r="E39" t="str">
        <f t="shared" si="0"/>
        <v>Machinga District [TYnMSwzko3z]|25-34|Female</v>
      </c>
      <c r="F39" s="38">
        <v>1248</v>
      </c>
      <c r="G39" s="38">
        <v>1825</v>
      </c>
      <c r="H39" s="38">
        <f>IFERROR(1/(1/INDEX(Cascade!$O:$O,MATCH($E39,Cascade!$E:$E,0))),"")</f>
        <v>4544</v>
      </c>
      <c r="I39" s="38">
        <f>IFERROR(1/(1/INDEX(Cascade!$AV:$AV,MATCH($E39,Cascade!$E:$E,0))),"")</f>
        <v>414</v>
      </c>
      <c r="J39" s="33">
        <v>0.251</v>
      </c>
      <c r="K39" s="33">
        <f t="shared" si="1"/>
        <v>0.33333333333333331</v>
      </c>
      <c r="L39" s="33">
        <f>1</f>
        <v>1</v>
      </c>
      <c r="M39" s="218">
        <f t="shared" si="2"/>
        <v>1929</v>
      </c>
    </row>
    <row r="40" spans="1:13" x14ac:dyDescent="0.2">
      <c r="A40" t="str">
        <f>INDEX(Prioritization!$D:$D,MATCH($B40,Prioritization!$A:$A,0))</f>
        <v>1 - Scale-up: Saturation</v>
      </c>
      <c r="B40" t="s">
        <v>317</v>
      </c>
      <c r="C40" t="s">
        <v>477</v>
      </c>
      <c r="D40" t="s">
        <v>30</v>
      </c>
      <c r="E40" t="str">
        <f t="shared" si="0"/>
        <v>Machinga District [TYnMSwzko3z]|35-49|Female</v>
      </c>
      <c r="F40" s="38">
        <v>2658</v>
      </c>
      <c r="G40" s="38">
        <v>4103</v>
      </c>
      <c r="H40" s="38">
        <f>IFERROR(1/(1/INDEX(Cascade!$O:$O,MATCH($E40,Cascade!$E:$E,0))),"")</f>
        <v>10836</v>
      </c>
      <c r="I40" s="38">
        <f>IFERROR(1/(1/INDEX(Cascade!$AV:$AV,MATCH($E40,Cascade!$E:$E,0))),"")</f>
        <v>266</v>
      </c>
      <c r="J40" s="33">
        <v>0.246</v>
      </c>
      <c r="K40" s="33">
        <f t="shared" si="1"/>
        <v>0.33333333333333331</v>
      </c>
      <c r="L40" s="33">
        <f>1</f>
        <v>1</v>
      </c>
      <c r="M40" s="218">
        <f t="shared" si="2"/>
        <v>3878</v>
      </c>
    </row>
    <row r="41" spans="1:13" x14ac:dyDescent="0.2">
      <c r="A41" t="str">
        <f>INDEX(Prioritization!$D:$D,MATCH($B41,Prioritization!$A:$A,0))</f>
        <v>1 - Scale-up: Saturation</v>
      </c>
      <c r="B41" t="s">
        <v>318</v>
      </c>
      <c r="C41" t="s">
        <v>476</v>
      </c>
      <c r="D41" t="s">
        <v>30</v>
      </c>
      <c r="E41" t="str">
        <f t="shared" si="0"/>
        <v>Mangochi District [lLDyBx5XyUi]|25-34|Female</v>
      </c>
      <c r="F41" s="38">
        <v>2074</v>
      </c>
      <c r="G41" s="38">
        <v>3292</v>
      </c>
      <c r="H41" s="38">
        <f>IFERROR(1/(1/INDEX(Cascade!$O:$O,MATCH($E41,Cascade!$E:$E,0))),"")</f>
        <v>8397</v>
      </c>
      <c r="I41" s="38">
        <f>IFERROR(1/(1/INDEX(Cascade!$AV:$AV,MATCH($E41,Cascade!$E:$E,0))),"")</f>
        <v>677</v>
      </c>
      <c r="J41" s="33">
        <v>0.217</v>
      </c>
      <c r="K41" s="33">
        <f t="shared" si="1"/>
        <v>0.33333333333333331</v>
      </c>
      <c r="L41" s="33">
        <f>1</f>
        <v>1</v>
      </c>
      <c r="M41" s="218">
        <f t="shared" si="2"/>
        <v>3476</v>
      </c>
    </row>
    <row r="42" spans="1:13" x14ac:dyDescent="0.2">
      <c r="A42" t="str">
        <f>INDEX(Prioritization!$D:$D,MATCH($B42,Prioritization!$A:$A,0))</f>
        <v>1 - Scale-up: Saturation</v>
      </c>
      <c r="B42" t="s">
        <v>318</v>
      </c>
      <c r="C42" t="s">
        <v>477</v>
      </c>
      <c r="D42" t="s">
        <v>30</v>
      </c>
      <c r="E42" t="str">
        <f t="shared" si="0"/>
        <v>Mangochi District [lLDyBx5XyUi]|35-49|Female</v>
      </c>
      <c r="F42" s="38">
        <v>3756</v>
      </c>
      <c r="G42" s="38">
        <v>6866</v>
      </c>
      <c r="H42" s="38">
        <f>IFERROR(1/(1/INDEX(Cascade!$O:$O,MATCH($E42,Cascade!$E:$E,0))),"")</f>
        <v>19063</v>
      </c>
      <c r="I42" s="38">
        <f>IFERROR(1/(1/INDEX(Cascade!$AV:$AV,MATCH($E42,Cascade!$E:$E,0))),"")</f>
        <v>762</v>
      </c>
      <c r="J42" s="33">
        <v>0.20499999999999999</v>
      </c>
      <c r="K42" s="33">
        <f t="shared" si="1"/>
        <v>0.33333333333333331</v>
      </c>
      <c r="L42" s="33">
        <f>1</f>
        <v>1</v>
      </c>
      <c r="M42" s="218">
        <f t="shared" si="2"/>
        <v>7116</v>
      </c>
    </row>
    <row r="43" spans="1:13" x14ac:dyDescent="0.2">
      <c r="A43" t="str">
        <f>INDEX(Prioritization!$D:$D,MATCH($B43,Prioritization!$A:$A,0))</f>
        <v>4 - Sustained</v>
      </c>
      <c r="B43" t="s">
        <v>302</v>
      </c>
      <c r="C43" t="s">
        <v>476</v>
      </c>
      <c r="D43" t="s">
        <v>30</v>
      </c>
      <c r="E43" t="str">
        <f t="shared" si="0"/>
        <v>Mchinji District [kxuuIFpOXyO]|25-34|Female</v>
      </c>
      <c r="F43" s="38">
        <v>1322</v>
      </c>
      <c r="G43" s="38">
        <v>1006</v>
      </c>
      <c r="H43" s="38">
        <f>IFERROR(1/(1/INDEX(Cascade!$O:$O,MATCH($E43,Cascade!$E:$E,0))),"")</f>
        <v>2415</v>
      </c>
      <c r="I43" s="38">
        <f>IFERROR(1/(1/INDEX(Cascade!$AV:$AV,MATCH($E43,Cascade!$E:$E,0))),"")</f>
        <v>192</v>
      </c>
      <c r="J43" s="33">
        <v>0.496</v>
      </c>
      <c r="K43" s="33">
        <f t="shared" si="1"/>
        <v>0.33333333333333331</v>
      </c>
      <c r="L43" s="33">
        <f>1</f>
        <v>1</v>
      </c>
      <c r="M43" s="218">
        <f t="shared" si="2"/>
        <v>997</v>
      </c>
    </row>
    <row r="44" spans="1:13" x14ac:dyDescent="0.2">
      <c r="A44" t="str">
        <f>INDEX(Prioritization!$D:$D,MATCH($B44,Prioritization!$A:$A,0))</f>
        <v>4 - Sustained</v>
      </c>
      <c r="B44" t="s">
        <v>302</v>
      </c>
      <c r="C44" t="s">
        <v>477</v>
      </c>
      <c r="D44" t="s">
        <v>30</v>
      </c>
      <c r="E44" t="str">
        <f t="shared" si="0"/>
        <v>Mchinji District [kxuuIFpOXyO]|35-49|Female</v>
      </c>
      <c r="F44" s="38">
        <v>2124</v>
      </c>
      <c r="G44" s="38">
        <v>2195</v>
      </c>
      <c r="H44" s="38">
        <f>IFERROR(1/(1/INDEX(Cascade!$O:$O,MATCH($E44,Cascade!$E:$E,0))),"")</f>
        <v>5541</v>
      </c>
      <c r="I44" s="38">
        <f>IFERROR(1/(1/INDEX(Cascade!$AV:$AV,MATCH($E44,Cascade!$E:$E,0))),"")</f>
        <v>182</v>
      </c>
      <c r="J44" s="33">
        <v>0.38900000000000001</v>
      </c>
      <c r="K44" s="33">
        <f t="shared" si="1"/>
        <v>0.33333333333333331</v>
      </c>
      <c r="L44" s="33">
        <f>1</f>
        <v>1</v>
      </c>
      <c r="M44" s="218">
        <f t="shared" si="2"/>
        <v>2029</v>
      </c>
    </row>
    <row r="45" spans="1:13" x14ac:dyDescent="0.2">
      <c r="A45" t="str">
        <f>INDEX(Prioritization!$D:$D,MATCH($B45,Prioritization!$A:$A,0))</f>
        <v>INVALID</v>
      </c>
      <c r="B45" t="s">
        <v>319</v>
      </c>
      <c r="C45" t="s">
        <v>476</v>
      </c>
      <c r="D45" t="s">
        <v>30</v>
      </c>
      <c r="E45" t="str">
        <f t="shared" si="0"/>
        <v>Mulanje District [umc2n1Z4wNv]|25-34|Female</v>
      </c>
      <c r="F45" s="38">
        <v>4572</v>
      </c>
      <c r="G45" s="38">
        <v>3212</v>
      </c>
      <c r="H45" s="38">
        <f>IFERROR(1/(1/INDEX(Cascade!$O:$O,MATCH($E45,Cascade!$E:$E,0))),"")</f>
        <v>7901</v>
      </c>
      <c r="I45" s="38">
        <f>IFERROR(1/(1/INDEX(Cascade!$AV:$AV,MATCH($E45,Cascade!$E:$E,0))),"")</f>
        <v>455</v>
      </c>
      <c r="J45" s="33">
        <v>0.53400000000000003</v>
      </c>
      <c r="K45" s="33">
        <f t="shared" si="1"/>
        <v>0.33333333333333331</v>
      </c>
      <c r="L45" s="33">
        <f>1</f>
        <v>1</v>
      </c>
      <c r="M45" s="218">
        <f t="shared" si="2"/>
        <v>3089</v>
      </c>
    </row>
    <row r="46" spans="1:13" x14ac:dyDescent="0.2">
      <c r="A46" t="str">
        <f>INDEX(Prioritization!$D:$D,MATCH($B46,Prioritization!$A:$A,0))</f>
        <v>INVALID</v>
      </c>
      <c r="B46" t="s">
        <v>319</v>
      </c>
      <c r="C46" t="s">
        <v>477</v>
      </c>
      <c r="D46" t="s">
        <v>30</v>
      </c>
      <c r="E46" t="str">
        <f t="shared" si="0"/>
        <v>Mulanje District [umc2n1Z4wNv]|35-49|Female</v>
      </c>
      <c r="F46" s="38">
        <v>8508</v>
      </c>
      <c r="G46" s="38">
        <v>6577</v>
      </c>
      <c r="H46" s="38">
        <f>IFERROR(1/(1/INDEX(Cascade!$O:$O,MATCH($E46,Cascade!$E:$E,0))),"")</f>
        <v>19597</v>
      </c>
      <c r="I46" s="38">
        <f>IFERROR(1/(1/INDEX(Cascade!$AV:$AV,MATCH($E46,Cascade!$E:$E,0))),"")</f>
        <v>725</v>
      </c>
      <c r="J46" s="33">
        <v>0.441</v>
      </c>
      <c r="K46" s="33">
        <f t="shared" si="1"/>
        <v>0.33333333333333331</v>
      </c>
      <c r="L46" s="33">
        <f>1</f>
        <v>1</v>
      </c>
      <c r="M46" s="218">
        <f t="shared" si="2"/>
        <v>7257</v>
      </c>
    </row>
    <row r="47" spans="1:13" x14ac:dyDescent="0.2">
      <c r="A47" t="str">
        <f>INDEX(Prioritization!$D:$D,MATCH($B47,Prioritization!$A:$A,0))</f>
        <v>4 - Sustained</v>
      </c>
      <c r="B47" t="s">
        <v>320</v>
      </c>
      <c r="C47" t="s">
        <v>476</v>
      </c>
      <c r="D47" t="s">
        <v>30</v>
      </c>
      <c r="E47" t="str">
        <f t="shared" ref="E47:E74" si="3">B47&amp;"|"&amp;C47&amp;"|"&amp;D47</f>
        <v>Mwanza District [wNqJp8oRIcF]|25-34|Female</v>
      </c>
      <c r="F47" s="38">
        <v>634</v>
      </c>
      <c r="G47" s="38">
        <v>415</v>
      </c>
      <c r="H47" s="38">
        <f>IFERROR(1/(1/INDEX(Cascade!$O:$O,MATCH($E47,Cascade!$E:$E,0))),"")</f>
        <v>1088</v>
      </c>
      <c r="I47" s="38">
        <f>IFERROR(1/(1/INDEX(Cascade!$AV:$AV,MATCH($E47,Cascade!$E:$E,0))),"")</f>
        <v>89</v>
      </c>
      <c r="J47" s="33">
        <v>0.45400000000000001</v>
      </c>
      <c r="K47" s="33">
        <f t="shared" ref="K47:K74" si="4">1/3</f>
        <v>0.33333333333333331</v>
      </c>
      <c r="L47" s="33">
        <f>1</f>
        <v>1</v>
      </c>
      <c r="M47" s="218">
        <f t="shared" ref="M47:M74" si="5">IF(SUM($H47)=0,"",ROUND($H47*$K47+$I47*$L47,0))</f>
        <v>452</v>
      </c>
    </row>
    <row r="48" spans="1:13" x14ac:dyDescent="0.2">
      <c r="A48" t="str">
        <f>INDEX(Prioritization!$D:$D,MATCH($B48,Prioritization!$A:$A,0))</f>
        <v>4 - Sustained</v>
      </c>
      <c r="B48" t="s">
        <v>320</v>
      </c>
      <c r="C48" t="s">
        <v>477</v>
      </c>
      <c r="D48" t="s">
        <v>30</v>
      </c>
      <c r="E48" t="str">
        <f t="shared" si="3"/>
        <v>Mwanza District [wNqJp8oRIcF]|35-49|Female</v>
      </c>
      <c r="F48" s="38">
        <v>917</v>
      </c>
      <c r="G48" s="38">
        <v>937</v>
      </c>
      <c r="H48" s="38">
        <f>IFERROR(1/(1/INDEX(Cascade!$O:$O,MATCH($E48,Cascade!$E:$E,0))),"")</f>
        <v>2567</v>
      </c>
      <c r="I48" s="38">
        <f>IFERROR(1/(1/INDEX(Cascade!$AV:$AV,MATCH($E48,Cascade!$E:$E,0))),"")</f>
        <v>121</v>
      </c>
      <c r="J48" s="33">
        <v>0.38500000000000001</v>
      </c>
      <c r="K48" s="33">
        <f t="shared" si="4"/>
        <v>0.33333333333333331</v>
      </c>
      <c r="L48" s="33">
        <f>1</f>
        <v>1</v>
      </c>
      <c r="M48" s="218">
        <f t="shared" si="5"/>
        <v>977</v>
      </c>
    </row>
    <row r="49" spans="1:13" x14ac:dyDescent="0.2">
      <c r="A49" t="str">
        <f>INDEX(Prioritization!$D:$D,MATCH($B49,Prioritization!$A:$A,0))</f>
        <v>1 - Scale-up: Saturation</v>
      </c>
      <c r="B49" t="s">
        <v>310</v>
      </c>
      <c r="C49" t="s">
        <v>476</v>
      </c>
      <c r="D49" t="s">
        <v>30</v>
      </c>
      <c r="E49" t="str">
        <f t="shared" si="3"/>
        <v>Mzimba District [vA4NcHxfMBq]|25-34|Female</v>
      </c>
      <c r="F49" s="38">
        <v>1164</v>
      </c>
      <c r="G49" s="38">
        <v>2442</v>
      </c>
      <c r="H49" s="38">
        <f>IFERROR(1/(1/INDEX(Cascade!$O:$O,MATCH($E49,Cascade!$E:$E,0))),"")</f>
        <v>5781</v>
      </c>
      <c r="I49" s="38">
        <f>IFERROR(1/(1/INDEX(Cascade!$AV:$AV,MATCH($E49,Cascade!$E:$E,0))),"")</f>
        <v>642</v>
      </c>
      <c r="J49" s="33">
        <v>0.20100000000000001</v>
      </c>
      <c r="K49" s="33">
        <f t="shared" si="4"/>
        <v>0.33333333333333331</v>
      </c>
      <c r="L49" s="33">
        <f>1</f>
        <v>1</v>
      </c>
      <c r="M49" s="218">
        <f t="shared" si="5"/>
        <v>2569</v>
      </c>
    </row>
    <row r="50" spans="1:13" x14ac:dyDescent="0.2">
      <c r="A50" t="str">
        <f>INDEX(Prioritization!$D:$D,MATCH($B50,Prioritization!$A:$A,0))</f>
        <v>1 - Scale-up: Saturation</v>
      </c>
      <c r="B50" t="s">
        <v>310</v>
      </c>
      <c r="C50" t="s">
        <v>477</v>
      </c>
      <c r="D50" t="s">
        <v>30</v>
      </c>
      <c r="E50" t="str">
        <f t="shared" si="3"/>
        <v>Mzimba District [vA4NcHxfMBq]|35-49|Female</v>
      </c>
      <c r="F50" s="38">
        <v>2694</v>
      </c>
      <c r="G50" s="38">
        <v>5737</v>
      </c>
      <c r="H50" s="38">
        <f>IFERROR(1/(1/INDEX(Cascade!$O:$O,MATCH($E50,Cascade!$E:$E,0))),"")</f>
        <v>13411.000000000002</v>
      </c>
      <c r="I50" s="38">
        <f>IFERROR(1/(1/INDEX(Cascade!$AV:$AV,MATCH($E50,Cascade!$E:$E,0))),"")</f>
        <v>515</v>
      </c>
      <c r="J50" s="33">
        <v>0.20399999999999999</v>
      </c>
      <c r="K50" s="33">
        <f t="shared" si="4"/>
        <v>0.33333333333333331</v>
      </c>
      <c r="L50" s="33">
        <f>1</f>
        <v>1</v>
      </c>
      <c r="M50" s="218">
        <f t="shared" si="5"/>
        <v>4985</v>
      </c>
    </row>
    <row r="51" spans="1:13" x14ac:dyDescent="0.2">
      <c r="A51" t="str">
        <f>INDEX(Prioritization!$D:$D,MATCH($B51,Prioritization!$A:$A,0))</f>
        <v>4 - Sustained</v>
      </c>
      <c r="B51" t="s">
        <v>321</v>
      </c>
      <c r="C51" t="s">
        <v>476</v>
      </c>
      <c r="D51" t="s">
        <v>30</v>
      </c>
      <c r="E51" t="str">
        <f t="shared" si="3"/>
        <v>Neno District [gwVYinjBAe9]|25-34|Female</v>
      </c>
      <c r="F51" s="38"/>
      <c r="G51" s="38">
        <v>429</v>
      </c>
      <c r="H51" s="38">
        <f>IFERROR(1/(1/INDEX(Cascade!$O:$O,MATCH($E51,Cascade!$E:$E,0))),"")</f>
        <v>1008</v>
      </c>
      <c r="I51" s="38">
        <f>IFERROR(1/(1/INDEX(Cascade!$AV:$AV,MATCH($E51,Cascade!$E:$E,0))),"")</f>
        <v>112</v>
      </c>
      <c r="J51" s="33"/>
      <c r="K51" s="33">
        <f t="shared" si="4"/>
        <v>0.33333333333333331</v>
      </c>
      <c r="L51" s="33">
        <f>1</f>
        <v>1</v>
      </c>
      <c r="M51" s="218">
        <f t="shared" si="5"/>
        <v>448</v>
      </c>
    </row>
    <row r="52" spans="1:13" x14ac:dyDescent="0.2">
      <c r="A52" t="str">
        <f>INDEX(Prioritization!$D:$D,MATCH($B52,Prioritization!$A:$A,0))</f>
        <v>4 - Sustained</v>
      </c>
      <c r="B52" t="s">
        <v>321</v>
      </c>
      <c r="C52" t="s">
        <v>477</v>
      </c>
      <c r="D52" t="s">
        <v>30</v>
      </c>
      <c r="E52" t="str">
        <f t="shared" si="3"/>
        <v>Neno District [gwVYinjBAe9]|35-49|Female</v>
      </c>
      <c r="F52" s="38"/>
      <c r="G52" s="38">
        <v>1142</v>
      </c>
      <c r="H52" s="38">
        <f>IFERROR(1/(1/INDEX(Cascade!$O:$O,MATCH($E52,Cascade!$E:$E,0))),"")</f>
        <v>2716</v>
      </c>
      <c r="I52" s="38">
        <f>IFERROR(1/(1/INDEX(Cascade!$AV:$AV,MATCH($E52,Cascade!$E:$E,0))),"")</f>
        <v>55</v>
      </c>
      <c r="J52" s="33"/>
      <c r="K52" s="33">
        <f t="shared" si="4"/>
        <v>0.33333333333333331</v>
      </c>
      <c r="L52" s="33">
        <f>1</f>
        <v>1</v>
      </c>
      <c r="M52" s="218">
        <f t="shared" si="5"/>
        <v>960</v>
      </c>
    </row>
    <row r="53" spans="1:13" x14ac:dyDescent="0.2">
      <c r="A53" t="str">
        <f>INDEX(Prioritization!$D:$D,MATCH($B53,Prioritization!$A:$A,0))</f>
        <v>4 - Sustained</v>
      </c>
      <c r="B53" t="s">
        <v>311</v>
      </c>
      <c r="C53" t="s">
        <v>476</v>
      </c>
      <c r="D53" t="s">
        <v>30</v>
      </c>
      <c r="E53" t="str">
        <f t="shared" si="3"/>
        <v>Nkhata Bay District [E7zpfyBt7Tw]|25-34|Female</v>
      </c>
      <c r="F53" s="38">
        <v>97</v>
      </c>
      <c r="G53" s="38">
        <v>567</v>
      </c>
      <c r="H53" s="38">
        <f>IFERROR(1/(1/INDEX(Cascade!$O:$O,MATCH($E53,Cascade!$E:$E,0))),"")</f>
        <v>1078</v>
      </c>
      <c r="I53" s="38">
        <f>IFERROR(1/(1/INDEX(Cascade!$AV:$AV,MATCH($E53,Cascade!$E:$E,0))),"")</f>
        <v>144</v>
      </c>
      <c r="J53" s="33">
        <v>0.09</v>
      </c>
      <c r="K53" s="33">
        <v>1.01</v>
      </c>
      <c r="L53" s="33">
        <v>1.05</v>
      </c>
      <c r="M53" s="218">
        <f t="shared" si="5"/>
        <v>1240</v>
      </c>
    </row>
    <row r="54" spans="1:13" x14ac:dyDescent="0.2">
      <c r="A54" t="str">
        <f>INDEX(Prioritization!$D:$D,MATCH($B54,Prioritization!$A:$A,0))</f>
        <v>4 - Sustained</v>
      </c>
      <c r="B54" t="s">
        <v>311</v>
      </c>
      <c r="C54" t="s">
        <v>477</v>
      </c>
      <c r="D54" t="s">
        <v>30</v>
      </c>
      <c r="E54" t="str">
        <f t="shared" si="3"/>
        <v>Nkhata Bay District [E7zpfyBt7Tw]|35-49|Female</v>
      </c>
      <c r="F54" s="38">
        <v>250</v>
      </c>
      <c r="G54" s="38">
        <v>1202</v>
      </c>
      <c r="H54" s="38">
        <f>IFERROR(1/(1/INDEX(Cascade!$O:$O,MATCH($E54,Cascade!$E:$E,0))),"")</f>
        <v>3321</v>
      </c>
      <c r="I54" s="38">
        <f>IFERROR(1/(1/INDEX(Cascade!$AV:$AV,MATCH($E54,Cascade!$E:$E,0))),"")</f>
        <v>68</v>
      </c>
      <c r="J54" s="33">
        <v>7.4999999999999997E-2</v>
      </c>
      <c r="K54" s="33">
        <v>1.01</v>
      </c>
      <c r="L54" s="33">
        <v>1.05</v>
      </c>
      <c r="M54" s="218">
        <f t="shared" si="5"/>
        <v>3426</v>
      </c>
    </row>
    <row r="55" spans="1:13" x14ac:dyDescent="0.2">
      <c r="A55" t="str">
        <f>INDEX(Prioritization!$D:$D,MATCH($B55,Prioritization!$A:$A,0))</f>
        <v>4 - Sustained</v>
      </c>
      <c r="B55" t="s">
        <v>303</v>
      </c>
      <c r="C55" t="s">
        <v>476</v>
      </c>
      <c r="D55" t="s">
        <v>30</v>
      </c>
      <c r="E55" t="str">
        <f t="shared" si="3"/>
        <v>Nkhotakota District [YCKiBAp8QAg]|25-34|Female</v>
      </c>
      <c r="F55" s="38">
        <v>566</v>
      </c>
      <c r="G55" s="38">
        <v>730</v>
      </c>
      <c r="H55" s="38">
        <f>IFERROR(1/(1/INDEX(Cascade!$O:$O,MATCH($E55,Cascade!$E:$E,0))),"")</f>
        <v>1609</v>
      </c>
      <c r="I55" s="38">
        <f>IFERROR(1/(1/INDEX(Cascade!$AV:$AV,MATCH($E55,Cascade!$E:$E,0))),"")</f>
        <v>215</v>
      </c>
      <c r="J55" s="33">
        <v>0.35199999999999998</v>
      </c>
      <c r="K55" s="33">
        <v>1.01</v>
      </c>
      <c r="L55" s="33">
        <v>0</v>
      </c>
      <c r="M55" s="218">
        <f t="shared" si="5"/>
        <v>1625</v>
      </c>
    </row>
    <row r="56" spans="1:13" x14ac:dyDescent="0.2">
      <c r="A56" t="str">
        <f>INDEX(Prioritization!$D:$D,MATCH($B56,Prioritization!$A:$A,0))</f>
        <v>4 - Sustained</v>
      </c>
      <c r="B56" t="s">
        <v>303</v>
      </c>
      <c r="C56" t="s">
        <v>477</v>
      </c>
      <c r="D56" t="s">
        <v>30</v>
      </c>
      <c r="E56" t="str">
        <f t="shared" si="3"/>
        <v>Nkhotakota District [YCKiBAp8QAg]|35-49|Female</v>
      </c>
      <c r="F56" s="38">
        <v>866</v>
      </c>
      <c r="G56" s="38">
        <v>1805</v>
      </c>
      <c r="H56" s="38">
        <f>IFERROR(1/(1/INDEX(Cascade!$O:$O,MATCH($E56,Cascade!$E:$E,0))),"")</f>
        <v>4319</v>
      </c>
      <c r="I56" s="38">
        <f>IFERROR(1/(1/INDEX(Cascade!$AV:$AV,MATCH($E56,Cascade!$E:$E,0))),"")</f>
        <v>178</v>
      </c>
      <c r="J56" s="33">
        <v>0.20499999999999999</v>
      </c>
      <c r="K56" s="33">
        <v>1.01</v>
      </c>
      <c r="L56" s="33">
        <v>-0.05</v>
      </c>
      <c r="M56" s="218">
        <f t="shared" si="5"/>
        <v>4353</v>
      </c>
    </row>
    <row r="57" spans="1:13" x14ac:dyDescent="0.2">
      <c r="A57" t="str">
        <f>INDEX(Prioritization!$D:$D,MATCH($B57,Prioritization!$A:$A,0))</f>
        <v>INVALID</v>
      </c>
      <c r="B57" t="s">
        <v>322</v>
      </c>
      <c r="C57" t="s">
        <v>476</v>
      </c>
      <c r="D57" t="s">
        <v>30</v>
      </c>
      <c r="E57" t="str">
        <f t="shared" si="3"/>
        <v>Nsanje District [rpw540fmNUz]|25-34|Female</v>
      </c>
      <c r="F57" s="38">
        <v>2300</v>
      </c>
      <c r="G57" s="38">
        <v>1265</v>
      </c>
      <c r="H57" s="38">
        <f>IFERROR(1/(1/INDEX(Cascade!$O:$O,MATCH($E57,Cascade!$E:$E,0))),"")</f>
        <v>3237</v>
      </c>
      <c r="I57" s="38">
        <f>IFERROR(1/(1/INDEX(Cascade!$AV:$AV,MATCH($E57,Cascade!$E:$E,0))),"")</f>
        <v>194</v>
      </c>
      <c r="J57" s="33">
        <v>0.63400000000000001</v>
      </c>
      <c r="K57" s="33">
        <f t="shared" si="4"/>
        <v>0.33333333333333331</v>
      </c>
      <c r="L57" s="33">
        <v>-0.05</v>
      </c>
      <c r="M57" s="218">
        <f t="shared" si="5"/>
        <v>1069</v>
      </c>
    </row>
    <row r="58" spans="1:13" x14ac:dyDescent="0.2">
      <c r="A58" t="str">
        <f>INDEX(Prioritization!$D:$D,MATCH($B58,Prioritization!$A:$A,0))</f>
        <v>INVALID</v>
      </c>
      <c r="B58" t="s">
        <v>322</v>
      </c>
      <c r="C58" t="s">
        <v>477</v>
      </c>
      <c r="D58" t="s">
        <v>30</v>
      </c>
      <c r="E58" t="str">
        <f t="shared" si="3"/>
        <v>Nsanje District [rpw540fmNUz]|35-49|Female</v>
      </c>
      <c r="F58" s="38">
        <v>3173</v>
      </c>
      <c r="G58" s="38">
        <v>2827</v>
      </c>
      <c r="H58" s="38">
        <f>IFERROR(1/(1/INDEX(Cascade!$O:$O,MATCH($E58,Cascade!$E:$E,0))),"")</f>
        <v>7288</v>
      </c>
      <c r="I58" s="38">
        <f>IFERROR(1/(1/INDEX(Cascade!$AV:$AV,MATCH($E58,Cascade!$E:$E,0))),"")</f>
        <v>222</v>
      </c>
      <c r="J58" s="33">
        <v>0.44</v>
      </c>
      <c r="K58" s="33">
        <f t="shared" si="4"/>
        <v>0.33333333333333331</v>
      </c>
      <c r="L58" s="33">
        <v>-0.05</v>
      </c>
      <c r="M58" s="218">
        <f t="shared" si="5"/>
        <v>2418</v>
      </c>
    </row>
    <row r="59" spans="1:13" x14ac:dyDescent="0.2">
      <c r="A59" t="str">
        <f>INDEX(Prioritization!$D:$D,MATCH($B59,Prioritization!$A:$A,0))</f>
        <v>4 - Sustained</v>
      </c>
      <c r="B59" t="s">
        <v>304</v>
      </c>
      <c r="C59" t="s">
        <v>476</v>
      </c>
      <c r="D59" t="s">
        <v>30</v>
      </c>
      <c r="E59" t="str">
        <f t="shared" si="3"/>
        <v>Ntcheu District [am530wpaGvr]|25-34|Female</v>
      </c>
      <c r="F59" s="38">
        <v>1133</v>
      </c>
      <c r="G59" s="38">
        <v>1465</v>
      </c>
      <c r="H59" s="38">
        <f>IFERROR(1/(1/INDEX(Cascade!$O:$O,MATCH($E59,Cascade!$E:$E,0))),"")</f>
        <v>3879</v>
      </c>
      <c r="I59" s="38">
        <f>IFERROR(1/(1/INDEX(Cascade!$AV:$AV,MATCH($E59,Cascade!$E:$E,0))),"")</f>
        <v>233.99999999999997</v>
      </c>
      <c r="J59" s="33">
        <v>0.28799999999999998</v>
      </c>
      <c r="K59" s="33">
        <f t="shared" si="4"/>
        <v>0.33333333333333331</v>
      </c>
      <c r="L59" s="33">
        <v>-0.05</v>
      </c>
      <c r="M59" s="218">
        <f t="shared" si="5"/>
        <v>1281</v>
      </c>
    </row>
    <row r="60" spans="1:13" x14ac:dyDescent="0.2">
      <c r="A60" t="str">
        <f>INDEX(Prioritization!$D:$D,MATCH($B60,Prioritization!$A:$A,0))</f>
        <v>4 - Sustained</v>
      </c>
      <c r="B60" t="s">
        <v>304</v>
      </c>
      <c r="C60" t="s">
        <v>477</v>
      </c>
      <c r="D60" t="s">
        <v>30</v>
      </c>
      <c r="E60" t="str">
        <f t="shared" si="3"/>
        <v>Ntcheu District [am530wpaGvr]|35-49|Female</v>
      </c>
      <c r="F60" s="38">
        <v>2152</v>
      </c>
      <c r="G60" s="38">
        <v>3561</v>
      </c>
      <c r="H60" s="38">
        <f>IFERROR(1/(1/INDEX(Cascade!$O:$O,MATCH($E60,Cascade!$E:$E,0))),"")</f>
        <v>9832</v>
      </c>
      <c r="I60" s="38">
        <f>IFERROR(1/(1/INDEX(Cascade!$AV:$AV,MATCH($E60,Cascade!$E:$E,0))),"")</f>
        <v>376</v>
      </c>
      <c r="J60" s="33">
        <v>0.223</v>
      </c>
      <c r="K60" s="33">
        <f t="shared" si="4"/>
        <v>0.33333333333333331</v>
      </c>
      <c r="L60" s="33">
        <v>-0.05</v>
      </c>
      <c r="M60" s="218">
        <f t="shared" si="5"/>
        <v>3259</v>
      </c>
    </row>
    <row r="61" spans="1:13" x14ac:dyDescent="0.2">
      <c r="A61" t="str">
        <f>INDEX(Prioritization!$D:$D,MATCH($B61,Prioritization!$A:$A,0))</f>
        <v>4 - Sustained</v>
      </c>
      <c r="B61" t="s">
        <v>305</v>
      </c>
      <c r="C61" t="s">
        <v>476</v>
      </c>
      <c r="D61" t="s">
        <v>30</v>
      </c>
      <c r="E61" t="str">
        <f t="shared" si="3"/>
        <v>Ntchisi District [fiRkU6gEjLz]|25-34|Female</v>
      </c>
      <c r="F61" s="38">
        <v>33</v>
      </c>
      <c r="G61" s="38">
        <v>229</v>
      </c>
      <c r="H61" s="38">
        <f>IFERROR(1/(1/INDEX(Cascade!$O:$O,MATCH($E61,Cascade!$E:$E,0))),"")</f>
        <v>441.99999999999994</v>
      </c>
      <c r="I61" s="38">
        <f>IFERROR(1/(1/INDEX(Cascade!$AV:$AV,MATCH($E61,Cascade!$E:$E,0))),"")</f>
        <v>49.000000000000007</v>
      </c>
      <c r="J61" s="33">
        <v>7.4999999999999997E-2</v>
      </c>
      <c r="K61" s="33">
        <f t="shared" si="4"/>
        <v>0.33333333333333331</v>
      </c>
      <c r="L61" s="33">
        <f>1</f>
        <v>1</v>
      </c>
      <c r="M61" s="218">
        <f t="shared" si="5"/>
        <v>196</v>
      </c>
    </row>
    <row r="62" spans="1:13" x14ac:dyDescent="0.2">
      <c r="A62" t="str">
        <f>INDEX(Prioritization!$D:$D,MATCH($B62,Prioritization!$A:$A,0))</f>
        <v>4 - Sustained</v>
      </c>
      <c r="B62" t="s">
        <v>305</v>
      </c>
      <c r="C62" t="s">
        <v>477</v>
      </c>
      <c r="D62" t="s">
        <v>30</v>
      </c>
      <c r="E62" t="str">
        <f t="shared" si="3"/>
        <v>Ntchisi District [fiRkU6gEjLz]|35-49|Female</v>
      </c>
      <c r="F62" s="38">
        <v>176</v>
      </c>
      <c r="G62" s="38">
        <v>641</v>
      </c>
      <c r="H62" s="38"/>
      <c r="I62" s="38">
        <f>IFERROR(1/(1/INDEX(Cascade!$AV:$AV,MATCH($E62,Cascade!$E:$E,0))),"")</f>
        <v>30</v>
      </c>
      <c r="J62" s="33">
        <v>0.122</v>
      </c>
      <c r="K62" s="33">
        <f t="shared" si="4"/>
        <v>0.33333333333333331</v>
      </c>
      <c r="L62" s="33">
        <f>1</f>
        <v>1</v>
      </c>
      <c r="M62" s="218" t="str">
        <f t="shared" si="5"/>
        <v/>
      </c>
    </row>
    <row r="63" spans="1:13" x14ac:dyDescent="0.2">
      <c r="A63" t="str">
        <f>INDEX(Prioritization!$D:$D,MATCH($B63,Prioritization!$A:$A,0))</f>
        <v>INVALID</v>
      </c>
      <c r="B63" t="s">
        <v>323</v>
      </c>
      <c r="C63" t="s">
        <v>476</v>
      </c>
      <c r="D63" t="s">
        <v>30</v>
      </c>
      <c r="E63" t="str">
        <f t="shared" si="3"/>
        <v>Phalombe District [AZyWpGzhcaA]|25-34|Female</v>
      </c>
      <c r="F63" s="38">
        <v>2575</v>
      </c>
      <c r="G63" s="38">
        <v>1925</v>
      </c>
      <c r="H63" s="38">
        <f>IFERROR(1/(1/INDEX(Cascade!$O:$O,MATCH($E63,Cascade!$E:$E,0))),"")</f>
        <v>4550</v>
      </c>
      <c r="I63" s="38">
        <f>IFERROR(1/(1/INDEX(Cascade!$AV:$AV,MATCH($E63,Cascade!$E:$E,0))),"")</f>
        <v>409</v>
      </c>
      <c r="J63" s="33">
        <v>0.52400000000000002</v>
      </c>
      <c r="K63" s="33">
        <f t="shared" si="4"/>
        <v>0.33333333333333331</v>
      </c>
      <c r="L63" s="33">
        <f>1</f>
        <v>1</v>
      </c>
      <c r="M63" s="218">
        <f t="shared" si="5"/>
        <v>1926</v>
      </c>
    </row>
    <row r="64" spans="1:13" x14ac:dyDescent="0.2">
      <c r="A64" t="str">
        <f>INDEX(Prioritization!$D:$D,MATCH($B64,Prioritization!$A:$A,0))</f>
        <v>INVALID</v>
      </c>
      <c r="B64" t="s">
        <v>323</v>
      </c>
      <c r="C64" t="s">
        <v>477</v>
      </c>
      <c r="D64" t="s">
        <v>30</v>
      </c>
      <c r="E64" t="str">
        <f t="shared" si="3"/>
        <v>Phalombe District [AZyWpGzhcaA]|35-49|Female</v>
      </c>
      <c r="F64" s="38">
        <v>5319</v>
      </c>
      <c r="G64" s="38">
        <v>3756</v>
      </c>
      <c r="H64" s="38">
        <f>IFERROR(1/(1/INDEX(Cascade!$O:$O,MATCH($E64,Cascade!$E:$E,0))),"")</f>
        <v>10008</v>
      </c>
      <c r="I64" s="38">
        <f>IFERROR(1/(1/INDEX(Cascade!$AV:$AV,MATCH($E64,Cascade!$E:$E,0))),"")</f>
        <v>204</v>
      </c>
      <c r="J64" s="33">
        <v>0.53100000000000003</v>
      </c>
      <c r="K64" s="33">
        <f t="shared" si="4"/>
        <v>0.33333333333333331</v>
      </c>
      <c r="L64" s="33">
        <f>1</f>
        <v>1</v>
      </c>
      <c r="M64" s="218">
        <f t="shared" si="5"/>
        <v>3540</v>
      </c>
    </row>
    <row r="65" spans="1:13" x14ac:dyDescent="0.2">
      <c r="A65" t="e">
        <f>INDEX(Prioritization!$D:$D,MATCH($B65,Prioritization!$A:$A,0))</f>
        <v>#N/A</v>
      </c>
      <c r="B65" t="s">
        <v>1114</v>
      </c>
      <c r="C65" t="s">
        <v>476</v>
      </c>
      <c r="D65" t="s">
        <v>30</v>
      </c>
      <c r="E65" t="str">
        <f t="shared" si="3"/>
        <v>Public Health Reference Laboratory (PHL) [UCy710RAWRp]|25-34|Female</v>
      </c>
      <c r="F65" s="38"/>
      <c r="G65" s="38"/>
      <c r="H65" s="38" t="str">
        <f>IFERROR(1/(1/INDEX(Cascade!$O:$O,MATCH($E65,Cascade!$E:$E,0))),"")</f>
        <v/>
      </c>
      <c r="I65" s="38" t="str">
        <f>IFERROR(1/(1/INDEX(Cascade!$AV:$AV,MATCH($E65,Cascade!$E:$E,0))),"")</f>
        <v/>
      </c>
      <c r="J65" s="33"/>
      <c r="K65" s="33">
        <f t="shared" si="4"/>
        <v>0.33333333333333331</v>
      </c>
      <c r="L65" s="33">
        <f>1</f>
        <v>1</v>
      </c>
      <c r="M65" s="218" t="str">
        <f t="shared" si="5"/>
        <v/>
      </c>
    </row>
    <row r="66" spans="1:13" x14ac:dyDescent="0.2">
      <c r="A66" t="e">
        <f>INDEX(Prioritization!$D:$D,MATCH($B66,Prioritization!$A:$A,0))</f>
        <v>#N/A</v>
      </c>
      <c r="B66" t="s">
        <v>1114</v>
      </c>
      <c r="C66" t="s">
        <v>477</v>
      </c>
      <c r="D66" t="s">
        <v>30</v>
      </c>
      <c r="E66" t="str">
        <f t="shared" si="3"/>
        <v>Public Health Reference Laboratory (PHL) [UCy710RAWRp]|35-49|Female</v>
      </c>
      <c r="F66" s="38"/>
      <c r="G66" s="38"/>
      <c r="H66" s="38" t="str">
        <f>IFERROR(1/(1/INDEX(Cascade!$O:$O,MATCH($E66,Cascade!$E:$E,0))),"")</f>
        <v/>
      </c>
      <c r="I66" s="38" t="str">
        <f>IFERROR(1/(1/INDEX(Cascade!$AV:$AV,MATCH($E66,Cascade!$E:$E,0))),"")</f>
        <v/>
      </c>
      <c r="J66" s="33"/>
      <c r="K66" s="33">
        <f t="shared" si="4"/>
        <v>0.33333333333333331</v>
      </c>
      <c r="L66" s="33">
        <f>1</f>
        <v>1</v>
      </c>
      <c r="M66" s="218" t="str">
        <f t="shared" si="5"/>
        <v/>
      </c>
    </row>
    <row r="67" spans="1:13" x14ac:dyDescent="0.2">
      <c r="A67" t="str">
        <f>INDEX(Prioritization!$D:$D,MATCH($B67,Prioritization!$A:$A,0))</f>
        <v>4 - Sustained</v>
      </c>
      <c r="B67" t="s">
        <v>312</v>
      </c>
      <c r="C67" t="s">
        <v>476</v>
      </c>
      <c r="D67" t="s">
        <v>30</v>
      </c>
      <c r="E67" t="str">
        <f t="shared" si="3"/>
        <v>Rumphi District [lPTyjLi4w3d]|25-34|Female</v>
      </c>
      <c r="F67" s="38">
        <v>79</v>
      </c>
      <c r="G67" s="38">
        <v>429</v>
      </c>
      <c r="H67" s="38">
        <f>IFERROR(1/(1/INDEX(Cascade!$O:$O,MATCH($E67,Cascade!$E:$E,0))),"")</f>
        <v>1024</v>
      </c>
      <c r="I67" s="38">
        <f>IFERROR(1/(1/INDEX(Cascade!$AV:$AV,MATCH($E67,Cascade!$E:$E,0))),"")</f>
        <v>62</v>
      </c>
      <c r="J67" s="33">
        <v>0.08</v>
      </c>
      <c r="K67" s="33">
        <f t="shared" si="4"/>
        <v>0.33333333333333331</v>
      </c>
      <c r="L67" s="33">
        <f>1</f>
        <v>1</v>
      </c>
      <c r="M67" s="218">
        <f t="shared" si="5"/>
        <v>403</v>
      </c>
    </row>
    <row r="68" spans="1:13" x14ac:dyDescent="0.2">
      <c r="A68" t="str">
        <f>INDEX(Prioritization!$D:$D,MATCH($B68,Prioritization!$A:$A,0))</f>
        <v>4 - Sustained</v>
      </c>
      <c r="B68" t="s">
        <v>312</v>
      </c>
      <c r="C68" t="s">
        <v>477</v>
      </c>
      <c r="D68" t="s">
        <v>30</v>
      </c>
      <c r="E68" t="str">
        <f t="shared" si="3"/>
        <v>Rumphi District [lPTyjLi4w3d]|35-49|Female</v>
      </c>
      <c r="F68" s="38">
        <v>199</v>
      </c>
      <c r="G68" s="38">
        <v>1087</v>
      </c>
      <c r="H68" s="38">
        <f>IFERROR(1/(1/INDEX(Cascade!$O:$O,MATCH($E68,Cascade!$E:$E,0))),"")</f>
        <v>2339</v>
      </c>
      <c r="I68" s="38">
        <f>IFERROR(1/(1/INDEX(Cascade!$AV:$AV,MATCH($E68,Cascade!$E:$E,0))),"")</f>
        <v>48</v>
      </c>
      <c r="J68" s="33">
        <v>8.5000000000000006E-2</v>
      </c>
      <c r="K68" s="33">
        <f t="shared" si="4"/>
        <v>0.33333333333333331</v>
      </c>
      <c r="L68" s="33">
        <f>1</f>
        <v>1</v>
      </c>
      <c r="M68" s="218">
        <f t="shared" si="5"/>
        <v>828</v>
      </c>
    </row>
    <row r="69" spans="1:13" x14ac:dyDescent="0.2">
      <c r="A69" t="str">
        <f>INDEX(Prioritization!$D:$D,MATCH($B69,Prioritization!$A:$A,0))</f>
        <v>4 - Sustained</v>
      </c>
      <c r="B69" t="s">
        <v>306</v>
      </c>
      <c r="C69" t="s">
        <v>476</v>
      </c>
      <c r="D69" t="s">
        <v>30</v>
      </c>
      <c r="E69" t="str">
        <f t="shared" si="3"/>
        <v>Salima District [msW2zpIN7up]|25-34|Female</v>
      </c>
      <c r="F69" s="38">
        <v>634</v>
      </c>
      <c r="G69" s="38">
        <v>973</v>
      </c>
      <c r="H69" s="38">
        <f>IFERROR(1/(1/INDEX(Cascade!$O:$O,MATCH($E69,Cascade!$E:$E,0))),"")</f>
        <v>2164</v>
      </c>
      <c r="I69" s="38">
        <f>IFERROR(1/(1/INDEX(Cascade!$AV:$AV,MATCH($E69,Cascade!$E:$E,0))),"")</f>
        <v>370</v>
      </c>
      <c r="J69" s="33">
        <v>0.29299999999999998</v>
      </c>
      <c r="K69" s="33">
        <f t="shared" si="4"/>
        <v>0.33333333333333331</v>
      </c>
      <c r="L69" s="33">
        <f>1</f>
        <v>1</v>
      </c>
      <c r="M69" s="218">
        <f t="shared" si="5"/>
        <v>1091</v>
      </c>
    </row>
    <row r="70" spans="1:13" x14ac:dyDescent="0.2">
      <c r="A70" t="str">
        <f>INDEX(Prioritization!$D:$D,MATCH($B70,Prioritization!$A:$A,0))</f>
        <v>4 - Sustained</v>
      </c>
      <c r="B70" t="s">
        <v>306</v>
      </c>
      <c r="C70" t="s">
        <v>477</v>
      </c>
      <c r="D70" t="s">
        <v>30</v>
      </c>
      <c r="E70" t="str">
        <f t="shared" si="3"/>
        <v>Salima District [msW2zpIN7up]|35-49|Female</v>
      </c>
      <c r="F70" s="38">
        <v>1497</v>
      </c>
      <c r="G70" s="38">
        <v>2138</v>
      </c>
      <c r="H70" s="38">
        <f>IFERROR(1/(1/INDEX(Cascade!$O:$O,MATCH($E70,Cascade!$E:$E,0))),"")</f>
        <v>5647</v>
      </c>
      <c r="I70" s="38">
        <f>IFERROR(1/(1/INDEX(Cascade!$AV:$AV,MATCH($E70,Cascade!$E:$E,0))),"")</f>
        <v>160</v>
      </c>
      <c r="J70" s="33">
        <v>0.26700000000000002</v>
      </c>
      <c r="K70" s="33">
        <f t="shared" si="4"/>
        <v>0.33333333333333331</v>
      </c>
      <c r="L70" s="33">
        <f>1</f>
        <v>1</v>
      </c>
      <c r="M70" s="218">
        <f t="shared" si="5"/>
        <v>2042</v>
      </c>
    </row>
    <row r="71" spans="1:13" x14ac:dyDescent="0.2">
      <c r="A71" t="str">
        <f>INDEX(Prioritization!$D:$D,MATCH($B71,Prioritization!$A:$A,0))</f>
        <v>INVALID</v>
      </c>
      <c r="B71" t="s">
        <v>324</v>
      </c>
      <c r="C71" t="s">
        <v>476</v>
      </c>
      <c r="D71" t="s">
        <v>30</v>
      </c>
      <c r="E71" t="str">
        <f t="shared" si="3"/>
        <v>Thyolo District [ul0y9diGujK]|25-34|Female</v>
      </c>
      <c r="F71" s="38">
        <v>2475</v>
      </c>
      <c r="G71" s="38">
        <v>2891</v>
      </c>
      <c r="H71" s="38">
        <f>IFERROR(1/(1/INDEX(Cascade!$O:$O,MATCH($E71,Cascade!$E:$E,0))),"")</f>
        <v>7091.9999999999991</v>
      </c>
      <c r="I71" s="38">
        <f>IFERROR(1/(1/INDEX(Cascade!$AV:$AV,MATCH($E71,Cascade!$E:$E,0))),"")</f>
        <v>874</v>
      </c>
      <c r="J71" s="33">
        <v>0.34899999999999998</v>
      </c>
      <c r="K71" s="33">
        <f t="shared" si="4"/>
        <v>0.33333333333333331</v>
      </c>
      <c r="L71" s="33">
        <f>1</f>
        <v>1</v>
      </c>
      <c r="M71" s="218">
        <f t="shared" si="5"/>
        <v>3238</v>
      </c>
    </row>
    <row r="72" spans="1:13" x14ac:dyDescent="0.2">
      <c r="A72" t="str">
        <f>INDEX(Prioritization!$D:$D,MATCH($B72,Prioritization!$A:$A,0))</f>
        <v>INVALID</v>
      </c>
      <c r="B72" t="s">
        <v>324</v>
      </c>
      <c r="C72" t="s">
        <v>477</v>
      </c>
      <c r="D72" t="s">
        <v>30</v>
      </c>
      <c r="E72" t="str">
        <f t="shared" si="3"/>
        <v>Thyolo District [ul0y9diGujK]|35-49|Female</v>
      </c>
      <c r="F72" s="38">
        <v>4642</v>
      </c>
      <c r="G72" s="38">
        <v>6755</v>
      </c>
      <c r="H72" s="38">
        <f>IFERROR(1/(1/INDEX(Cascade!$O:$O,MATCH($E72,Cascade!$E:$E,0))),"")</f>
        <v>19096</v>
      </c>
      <c r="I72" s="38">
        <f>IFERROR(1/(1/INDEX(Cascade!$AV:$AV,MATCH($E72,Cascade!$E:$E,0))),"")</f>
        <v>298</v>
      </c>
      <c r="J72" s="33">
        <v>0.24</v>
      </c>
      <c r="K72" s="33">
        <f t="shared" si="4"/>
        <v>0.33333333333333331</v>
      </c>
      <c r="L72" s="33">
        <f>1</f>
        <v>1</v>
      </c>
      <c r="M72" s="218">
        <f t="shared" si="5"/>
        <v>6663</v>
      </c>
    </row>
    <row r="73" spans="1:13" x14ac:dyDescent="0.2">
      <c r="A73" t="str">
        <f>INDEX(Prioritization!$D:$D,MATCH($B73,Prioritization!$A:$A,0))</f>
        <v>1 - Scale-up: Saturation</v>
      </c>
      <c r="B73" t="s">
        <v>325</v>
      </c>
      <c r="C73" t="s">
        <v>476</v>
      </c>
      <c r="D73" t="s">
        <v>30</v>
      </c>
      <c r="E73" t="str">
        <f t="shared" si="3"/>
        <v>Zomba District [fyEoGEPERdI]|25-34|Female</v>
      </c>
      <c r="F73" s="38">
        <v>1507</v>
      </c>
      <c r="G73" s="38">
        <v>3539</v>
      </c>
      <c r="H73" s="38">
        <f>IFERROR(1/(1/INDEX(Cascade!$O:$O,MATCH($E73,Cascade!$E:$E,0))),"")</f>
        <v>8699</v>
      </c>
      <c r="I73" s="38">
        <f>IFERROR(1/(1/INDEX(Cascade!$AV:$AV,MATCH($E73,Cascade!$E:$E,0))),"")</f>
        <v>1188</v>
      </c>
      <c r="J73" s="33">
        <v>0.17299999999999999</v>
      </c>
      <c r="K73" s="33">
        <f t="shared" si="4"/>
        <v>0.33333333333333331</v>
      </c>
      <c r="L73" s="33">
        <f>1</f>
        <v>1</v>
      </c>
      <c r="M73" s="218">
        <f t="shared" si="5"/>
        <v>4088</v>
      </c>
    </row>
    <row r="74" spans="1:13" x14ac:dyDescent="0.2">
      <c r="A74" t="str">
        <f>INDEX(Prioritization!$D:$D,MATCH($B74,Prioritization!$A:$A,0))</f>
        <v>1 - Scale-up: Saturation</v>
      </c>
      <c r="B74" t="s">
        <v>325</v>
      </c>
      <c r="C74" t="s">
        <v>477</v>
      </c>
      <c r="D74" t="s">
        <v>30</v>
      </c>
      <c r="E74" t="str">
        <f t="shared" si="3"/>
        <v>Zomba District [fyEoGEPERdI]|35-49|Female</v>
      </c>
      <c r="F74" s="38">
        <v>3909</v>
      </c>
      <c r="G74" s="38">
        <v>7367</v>
      </c>
      <c r="H74" s="38">
        <f>IFERROR(1/(1/INDEX(Cascade!$O:$O,MATCH($E74,Cascade!$E:$E,0))),"")</f>
        <v>20681</v>
      </c>
      <c r="I74" s="38">
        <f>IFERROR(1/(1/INDEX(Cascade!$AV:$AV,MATCH($E74,Cascade!$E:$E,0))),"")</f>
        <v>646</v>
      </c>
      <c r="J74" s="33">
        <v>0.19400000000000001</v>
      </c>
      <c r="K74" s="33">
        <f t="shared" si="4"/>
        <v>0.33333333333333331</v>
      </c>
      <c r="L74" s="33">
        <f>1</f>
        <v>1</v>
      </c>
      <c r="M74" s="218">
        <f t="shared" si="5"/>
        <v>7540</v>
      </c>
    </row>
  </sheetData>
  <autoFilter ref="A14:M74" xr:uid="{00000000-0001-0000-0C00-000000000000}">
    <filterColumn colId="1">
      <filters>
        <filter val="Balaka District [ir8wuHHzoSs]"/>
        <filter val="Blantyre District [mxqa3CDFmIT]"/>
        <filter val="Chikwawa District [U8c0so51kT6]"/>
        <filter val="Chiradzulu District [oiPR2CiVJbf]"/>
        <filter val="Chitipa District [GkIwZrXy1h2]"/>
        <filter val="Dedza District [PekKUkKHAzY]"/>
        <filter val="Dowa District [zphK9WV8JB4]"/>
        <filter val="Karonga District [cPtvxaZqXIH]"/>
        <filter val="Kasungu District [JQKLKuVuY61]"/>
        <filter val="Likoma District [ZCjuwgaMB9u]"/>
        <filter val="Lilongwe District [ScR9iFKAasW]"/>
        <filter val="Machinga District [TYnMSwzko3z]"/>
        <filter val="Mangochi District [lLDyBx5XyUi]"/>
        <filter val="Mchinji District [kxuuIFpOXyO]"/>
        <filter val="Mulanje District [umc2n1Z4wNv]"/>
        <filter val="Mwanza District [wNqJp8oRIcF]"/>
        <filter val="Mzimba District [vA4NcHxfMBq]"/>
        <filter val="Neno District [gwVYinjBAe9]"/>
        <filter val="Nkhata Bay District [E7zpfyBt7Tw]"/>
        <filter val="Nkhotakota District [YCKiBAp8QAg]"/>
        <filter val="Nsanje District [rpw540fmNUz]"/>
        <filter val="Ntcheu District [am530wpaGvr]"/>
        <filter val="Ntchisi District [fiRkU6gEjLz]"/>
        <filter val="Phalombe District [AZyWpGzhcaA]"/>
        <filter val="Public Health Reference Laboratory (PHL) [UCy710RAWRp]"/>
        <filter val="Rumphi District [lPTyjLi4w3d]"/>
        <filter val="Salima District [msW2zpIN7up]"/>
        <filter val="Thyolo District [ul0y9diGujK]"/>
        <filter val="Zomba District [fyEoGEPERdI]"/>
      </filters>
    </filterColumn>
  </autoFilter>
  <sortState xmlns:xlrd2="http://schemas.microsoft.com/office/spreadsheetml/2017/richdata2" ref="A15:M74">
    <sortCondition ref="B15:B74"/>
    <sortCondition ref="C15:C74"/>
    <sortCondition ref="D15:D74"/>
  </sortState>
  <mergeCells count="1">
    <mergeCell ref="A2:B3"/>
  </mergeCells>
  <conditionalFormatting sqref="F1:M1048576">
    <cfRule type="expression" dxfId="73" priority="1">
      <formula>AND(ISNUMBER(F1),F1&lt;0)</formula>
    </cfRule>
  </conditionalFormatting>
  <conditionalFormatting sqref="J1:L1048576">
    <cfRule type="expression" dxfId="72" priority="2">
      <formula>AND(ISNUMBER(J1),J1&gt;1)</formula>
    </cfRule>
  </conditionalFormatting>
  <conditionalFormatting sqref="K1:K1048576">
    <cfRule type="expression" dxfId="71" priority="3">
      <formula>AND(ISNUMBER($K1),$K1&lt;33%)</formula>
    </cfRule>
  </conditionalFormatting>
  <conditionalFormatting sqref="L1:L1048576">
    <cfRule type="expression" dxfId="70" priority="7">
      <formula>AND(ISNUMBER($L1),$L1&lt;100%)</formula>
    </cfRule>
  </conditionalFormatting>
  <hyperlinks>
    <hyperlink ref="H3" location="Cascade!O:O" display="TX_CURR (FY23)" xr:uid="{00000000-0004-0000-0C00-000000000000}"/>
    <hyperlink ref="I3" location="Cascade!AW:AW" display="Initiated on ART (FY24)" xr:uid="{00000000-0004-0000-0C00-000001000000}"/>
  </hyperlinks>
  <pageMargins left="0.7" right="0.7" top="0.75" bottom="0.75" header="0.3" footer="0.3"/>
  <pageSetup orientation="portrait" horizontalDpi="0" verticalDpi="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130"/>
  <sheetViews>
    <sheetView workbookViewId="0">
      <pane xSplit="5" ySplit="14" topLeftCell="F82" activePane="bottomRight" state="frozen"/>
      <selection pane="topRight"/>
      <selection pane="bottomLeft"/>
      <selection pane="bottomRight" activeCell="K104" sqref="K104"/>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29" width="11.6640625" customWidth="1"/>
  </cols>
  <sheetData>
    <row r="1" spans="1:29" ht="31.25" customHeight="1" x14ac:dyDescent="0.2">
      <c r="A1" s="68" t="s">
        <v>1305</v>
      </c>
      <c r="B1" s="23"/>
      <c r="C1" s="112"/>
      <c r="D1" s="112"/>
      <c r="E1" s="112"/>
      <c r="F1" s="52" t="s">
        <v>1306</v>
      </c>
      <c r="G1" s="43"/>
      <c r="H1" s="45"/>
      <c r="I1" s="45"/>
      <c r="J1" s="45"/>
      <c r="K1" s="45"/>
      <c r="L1" s="43"/>
      <c r="M1" s="43"/>
      <c r="N1" s="43"/>
      <c r="O1" s="43"/>
      <c r="P1" s="52" t="s">
        <v>603</v>
      </c>
      <c r="Q1" s="43"/>
      <c r="R1" s="43"/>
      <c r="S1" s="43"/>
      <c r="T1" s="45"/>
      <c r="U1" s="45"/>
      <c r="V1" s="45"/>
      <c r="W1" s="43"/>
      <c r="X1" s="43"/>
      <c r="Y1" s="53" t="s">
        <v>604</v>
      </c>
      <c r="Z1" s="43"/>
      <c r="AA1" s="43"/>
      <c r="AB1" s="44"/>
      <c r="AC1" s="44"/>
    </row>
    <row r="2" spans="1:29" ht="19.25" customHeight="1" x14ac:dyDescent="0.25">
      <c r="A2" s="24"/>
      <c r="B2" s="4"/>
      <c r="C2" s="4"/>
      <c r="D2" s="4"/>
      <c r="E2" s="4"/>
      <c r="F2" s="105"/>
      <c r="G2" s="24"/>
      <c r="H2" s="32"/>
      <c r="I2" s="32"/>
      <c r="J2" s="32"/>
      <c r="K2" s="32"/>
      <c r="L2" s="20" t="s">
        <v>281</v>
      </c>
      <c r="M2" s="20" t="s">
        <v>281</v>
      </c>
      <c r="N2" s="20" t="s">
        <v>281</v>
      </c>
      <c r="O2" s="20" t="s">
        <v>281</v>
      </c>
      <c r="P2" s="105"/>
      <c r="Q2" s="24"/>
      <c r="R2" s="24"/>
      <c r="S2" s="24"/>
      <c r="T2" s="32"/>
      <c r="U2" s="32"/>
      <c r="V2" s="32"/>
      <c r="W2" s="20" t="s">
        <v>281</v>
      </c>
      <c r="X2" s="20" t="s">
        <v>281</v>
      </c>
      <c r="Y2" s="31"/>
      <c r="Z2" s="20" t="s">
        <v>281</v>
      </c>
      <c r="AA2" s="20" t="s">
        <v>281</v>
      </c>
      <c r="AB2" s="32"/>
      <c r="AC2" s="32"/>
    </row>
    <row r="3" spans="1:29" ht="118" customHeight="1" x14ac:dyDescent="0.2">
      <c r="A3" s="67"/>
      <c r="B3" s="9"/>
      <c r="C3" s="9"/>
      <c r="D3" s="9"/>
      <c r="E3" s="9"/>
      <c r="F3" s="142" t="s">
        <v>1293</v>
      </c>
      <c r="G3" s="143" t="s">
        <v>1307</v>
      </c>
      <c r="H3" s="184" t="s">
        <v>1308</v>
      </c>
      <c r="I3" s="184" t="s">
        <v>1309</v>
      </c>
      <c r="J3" s="184" t="s">
        <v>1310</v>
      </c>
      <c r="K3" s="184" t="s">
        <v>1311</v>
      </c>
      <c r="L3" s="69" t="s">
        <v>1312</v>
      </c>
      <c r="M3" s="69" t="s">
        <v>1313</v>
      </c>
      <c r="N3" s="69" t="s">
        <v>1314</v>
      </c>
      <c r="O3" s="69" t="s">
        <v>1315</v>
      </c>
      <c r="P3" s="6" t="s">
        <v>1316</v>
      </c>
      <c r="Q3" s="109" t="s">
        <v>1317</v>
      </c>
      <c r="R3" s="109" t="s">
        <v>1318</v>
      </c>
      <c r="S3" s="59" t="s">
        <v>1319</v>
      </c>
      <c r="T3" s="184" t="s">
        <v>1320</v>
      </c>
      <c r="U3" s="184" t="s">
        <v>1321</v>
      </c>
      <c r="V3" s="184" t="s">
        <v>1322</v>
      </c>
      <c r="W3" s="69" t="s">
        <v>665</v>
      </c>
      <c r="X3" s="69" t="s">
        <v>666</v>
      </c>
      <c r="Y3" s="190" t="s">
        <v>1323</v>
      </c>
      <c r="Z3" s="69" t="s">
        <v>665</v>
      </c>
      <c r="AA3" s="69" t="s">
        <v>666</v>
      </c>
      <c r="AB3" s="179" t="s">
        <v>1324</v>
      </c>
      <c r="AC3" s="179" t="s">
        <v>1325</v>
      </c>
    </row>
    <row r="4" spans="1:29" x14ac:dyDescent="0.2">
      <c r="A4" s="35"/>
      <c r="B4" s="5"/>
      <c r="C4" s="5"/>
      <c r="D4" s="5" t="s">
        <v>392</v>
      </c>
      <c r="E4" s="5"/>
      <c r="F4" s="106">
        <f>SUBTOTAL(109,F$15:INDEX(F:F,COUNTA($B:$B)+14-COUNTA($B$1:$B$14)))</f>
        <v>889050</v>
      </c>
      <c r="G4" s="35">
        <f>SUBTOTAL(109,G$15:INDEX(G:G,COUNTA($B:$B)+14-COUNTA($B$1:$B$14)))</f>
        <v>49507</v>
      </c>
      <c r="H4" s="41">
        <f>IF(SUM($F$4)=0,"",SUM($L$4,$M$4)/$F$4)</f>
        <v>0.94955064394578481</v>
      </c>
      <c r="I4" s="41">
        <f>IF(SUM($G$4)=0,"",SUM($N$4,$O$4)/$G$4)</f>
        <v>0.95008786636233256</v>
      </c>
      <c r="J4" s="41">
        <f>IF(SUM($L$4,$M$4)=0,"",$L$4/SUM($L$4,$M$4))</f>
        <v>4.9606845787362679E-2</v>
      </c>
      <c r="K4" s="41">
        <f>IF(SUM($N$4,$O$4)=0,"",$N$4/SUM($N$4,$O$4))</f>
        <v>0.14837571222042692</v>
      </c>
      <c r="L4" s="132">
        <f>SUBTOTAL(109,L$15:INDEX(L:L,COUNTA($B:$B)+14-COUNTA($B$1:$B$14)))</f>
        <v>41878</v>
      </c>
      <c r="M4" s="132">
        <f>SUBTOTAL(109,M$15:INDEX(M:M,COUNTA($B:$B)+14-COUNTA($B$1:$B$14)))</f>
        <v>802320</v>
      </c>
      <c r="N4" s="132">
        <f>SUBTOTAL(109,N$15:INDEX(N:N,COUNTA($B:$B)+14-COUNTA($B$1:$B$14)))</f>
        <v>6979</v>
      </c>
      <c r="O4" s="132">
        <f>SUBTOTAL(109,O$15:INDEX(O:O,COUNTA($B:$B)+14-COUNTA($B$1:$B$14)))</f>
        <v>40057</v>
      </c>
      <c r="P4" s="106">
        <f>SUBTOTAL(109,P$15:INDEX(P:P,COUNTA($B:$B)+14-COUNTA($B$1:$B$14)))</f>
        <v>344825</v>
      </c>
      <c r="Q4" s="35">
        <f>SUBTOTAL(109,Q$15:INDEX(Q:Q,COUNTA($B:$B)+14-COUNTA($B$1:$B$14)))</f>
        <v>4</v>
      </c>
      <c r="R4" s="35">
        <f>SUBTOTAL(109,R$15:INDEX(R:R,COUNTA($B:$B)+14-COUNTA($B$1:$B$14)))</f>
        <v>34918</v>
      </c>
      <c r="S4" s="35">
        <f>SUBTOTAL(109,S$15:INDEX(S:S,COUNTA($B:$B)+14-COUNTA($B$1:$B$14)))</f>
        <v>379739</v>
      </c>
      <c r="T4" s="33">
        <f>IF(SUM($F4)=0,"",MIN($S4/$F4,1))</f>
        <v>0.42712895787638488</v>
      </c>
      <c r="U4" s="41">
        <f>IF(SUM($M$4)*SUM($T$4)=0,"",SUM($W$4)/(SUM($M$4)*SUM($T$4)))</f>
        <v>1.1672217105566698E-5</v>
      </c>
      <c r="V4" s="41">
        <f>IF(SUM($O$4)=0,"",$X$4/$O$4)</f>
        <v>0.7504056719175175</v>
      </c>
      <c r="W4" s="132">
        <f>SUBTOTAL(109,W$15:INDEX(W:W,COUNTA($B:$B)+14-COUNTA($B$1:$B$14)))</f>
        <v>4</v>
      </c>
      <c r="X4" s="132">
        <f>SUBTOTAL(109,X$15:INDEX(X:X,COUNTA($B:$B)+14-COUNTA($B$1:$B$14)))</f>
        <v>30059</v>
      </c>
      <c r="Y4" s="77">
        <f>IF(SUM($X$4,$W$4)=0,"",SUM($AA$4,$Z$4)/SUM($X$4,$W$4))</f>
        <v>0.90027608688420979</v>
      </c>
      <c r="Z4" s="132">
        <f>SUBTOTAL(109,Z$15:INDEX(Z:Z,COUNTA($B:$B)+14-COUNTA($B$1:$B$14)))</f>
        <v>4</v>
      </c>
      <c r="AA4" s="132">
        <f>SUBTOTAL(109,AA$15:INDEX(AA:AA,COUNTA($B:$B)+14-COUNTA($B$1:$B$14)))</f>
        <v>27061</v>
      </c>
      <c r="AB4" s="41">
        <f>IF(SUM($Q4)=0,"",(SUM($Z4)-$Q4)/$Q4)</f>
        <v>0</v>
      </c>
      <c r="AC4" s="41">
        <f>IF(SUM($R4)=0,"",(SUM($AA4)-$R4)/$R4)</f>
        <v>-0.22501288733604444</v>
      </c>
    </row>
    <row r="5" spans="1:29" ht="0" hidden="1" customHeight="1" x14ac:dyDescent="0.2">
      <c r="A5" t="s">
        <v>285</v>
      </c>
      <c r="B5" s="1" t="s">
        <v>285</v>
      </c>
      <c r="C5" s="1" t="s">
        <v>285</v>
      </c>
      <c r="D5" s="1" t="s">
        <v>285</v>
      </c>
      <c r="E5" s="1" t="s">
        <v>285</v>
      </c>
      <c r="F5" s="104" t="s">
        <v>285</v>
      </c>
      <c r="G5" s="38" t="s">
        <v>285</v>
      </c>
      <c r="H5" s="33" t="s">
        <v>285</v>
      </c>
      <c r="I5" s="33" t="s">
        <v>285</v>
      </c>
      <c r="J5" s="33" t="s">
        <v>285</v>
      </c>
      <c r="K5" s="33" t="s">
        <v>285</v>
      </c>
      <c r="L5" s="2" t="s">
        <v>393</v>
      </c>
      <c r="M5" s="2" t="s">
        <v>393</v>
      </c>
      <c r="N5" s="2" t="s">
        <v>393</v>
      </c>
      <c r="O5" s="2" t="s">
        <v>393</v>
      </c>
      <c r="P5" s="104" t="s">
        <v>285</v>
      </c>
      <c r="Q5" s="38" t="s">
        <v>393</v>
      </c>
      <c r="R5" s="38" t="s">
        <v>393</v>
      </c>
      <c r="S5" s="38" t="s">
        <v>285</v>
      </c>
      <c r="T5" s="33" t="s">
        <v>285</v>
      </c>
      <c r="U5" s="33" t="s">
        <v>285</v>
      </c>
      <c r="V5" s="33" t="s">
        <v>285</v>
      </c>
      <c r="W5" s="2" t="s">
        <v>393</v>
      </c>
      <c r="X5" s="2" t="s">
        <v>393</v>
      </c>
      <c r="Y5" s="36" t="s">
        <v>285</v>
      </c>
      <c r="Z5" s="2" t="s">
        <v>393</v>
      </c>
      <c r="AA5" s="2" t="s">
        <v>393</v>
      </c>
      <c r="AB5" s="33" t="s">
        <v>285</v>
      </c>
      <c r="AC5" s="33" t="s">
        <v>285</v>
      </c>
    </row>
    <row r="6" spans="1:29" ht="0" hidden="1" customHeight="1" x14ac:dyDescent="0.2">
      <c r="A6" t="s">
        <v>287</v>
      </c>
      <c r="B6" s="1" t="s">
        <v>287</v>
      </c>
      <c r="C6" s="1" t="s">
        <v>287</v>
      </c>
      <c r="D6" s="1" t="s">
        <v>287</v>
      </c>
      <c r="E6" s="1" t="s">
        <v>287</v>
      </c>
      <c r="F6" s="104" t="s">
        <v>290</v>
      </c>
      <c r="G6" s="38" t="s">
        <v>290</v>
      </c>
      <c r="H6" s="33" t="s">
        <v>395</v>
      </c>
      <c r="I6" s="33" t="s">
        <v>395</v>
      </c>
      <c r="J6" s="33" t="s">
        <v>396</v>
      </c>
      <c r="K6" s="33" t="s">
        <v>396</v>
      </c>
      <c r="L6" s="2" t="s">
        <v>289</v>
      </c>
      <c r="M6" s="2" t="s">
        <v>289</v>
      </c>
      <c r="N6" s="2" t="s">
        <v>289</v>
      </c>
      <c r="O6" s="2" t="s">
        <v>289</v>
      </c>
      <c r="P6" s="104" t="s">
        <v>396</v>
      </c>
      <c r="Q6" s="38" t="s">
        <v>288</v>
      </c>
      <c r="R6" s="38" t="s">
        <v>288</v>
      </c>
      <c r="S6" s="38" t="s">
        <v>395</v>
      </c>
      <c r="T6" s="33" t="s">
        <v>395</v>
      </c>
      <c r="U6" s="33" t="s">
        <v>395</v>
      </c>
      <c r="V6" s="33" t="s">
        <v>395</v>
      </c>
      <c r="W6" s="2" t="s">
        <v>289</v>
      </c>
      <c r="X6" s="2" t="s">
        <v>289</v>
      </c>
      <c r="Y6" s="36" t="s">
        <v>395</v>
      </c>
      <c r="Z6" s="2" t="s">
        <v>289</v>
      </c>
      <c r="AA6" s="2" t="s">
        <v>289</v>
      </c>
      <c r="AB6" s="33" t="s">
        <v>290</v>
      </c>
      <c r="AC6" s="33" t="s">
        <v>290</v>
      </c>
    </row>
    <row r="7" spans="1:29" ht="0" hidden="1" customHeight="1" x14ac:dyDescent="0.2">
      <c r="A7" t="s">
        <v>291</v>
      </c>
      <c r="B7" s="1" t="s">
        <v>291</v>
      </c>
      <c r="C7" s="1" t="s">
        <v>291</v>
      </c>
      <c r="D7" s="1" t="s">
        <v>291</v>
      </c>
      <c r="E7" s="1" t="s">
        <v>291</v>
      </c>
      <c r="F7" s="104" t="s">
        <v>292</v>
      </c>
      <c r="G7" s="38" t="s">
        <v>292</v>
      </c>
      <c r="H7" s="33" t="s">
        <v>398</v>
      </c>
      <c r="I7" s="33" t="s">
        <v>398</v>
      </c>
      <c r="J7" s="33" t="s">
        <v>398</v>
      </c>
      <c r="K7" s="33" t="s">
        <v>398</v>
      </c>
      <c r="L7" s="2" t="s">
        <v>292</v>
      </c>
      <c r="M7" s="2" t="s">
        <v>292</v>
      </c>
      <c r="N7" s="2" t="s">
        <v>292</v>
      </c>
      <c r="O7" s="2" t="s">
        <v>292</v>
      </c>
      <c r="P7" s="104" t="s">
        <v>292</v>
      </c>
      <c r="Q7" s="38" t="s">
        <v>292</v>
      </c>
      <c r="R7" s="38" t="s">
        <v>292</v>
      </c>
      <c r="S7" s="38" t="s">
        <v>292</v>
      </c>
      <c r="T7" s="33" t="s">
        <v>398</v>
      </c>
      <c r="U7" s="33" t="s">
        <v>398</v>
      </c>
      <c r="V7" s="33" t="s">
        <v>398</v>
      </c>
      <c r="W7" s="2" t="s">
        <v>292</v>
      </c>
      <c r="X7" s="2" t="s">
        <v>292</v>
      </c>
      <c r="Y7" s="36" t="s">
        <v>398</v>
      </c>
      <c r="Z7" s="2" t="s">
        <v>292</v>
      </c>
      <c r="AA7" s="2" t="s">
        <v>292</v>
      </c>
      <c r="AB7" s="33" t="s">
        <v>398</v>
      </c>
      <c r="AC7" s="33" t="s">
        <v>398</v>
      </c>
    </row>
    <row r="8" spans="1:29" ht="0" hidden="1" customHeight="1" x14ac:dyDescent="0.2">
      <c r="L8" s="63" t="s">
        <v>775</v>
      </c>
      <c r="M8" s="63" t="s">
        <v>775</v>
      </c>
      <c r="N8" s="63" t="s">
        <v>775</v>
      </c>
      <c r="O8" s="63" t="s">
        <v>775</v>
      </c>
      <c r="Q8" s="64" t="s">
        <v>777</v>
      </c>
      <c r="R8" s="64" t="s">
        <v>777</v>
      </c>
      <c r="S8" s="38"/>
      <c r="T8" s="33"/>
      <c r="U8" s="33"/>
      <c r="V8" s="33"/>
      <c r="W8" s="63" t="s">
        <v>776</v>
      </c>
      <c r="X8" s="63" t="s">
        <v>776</v>
      </c>
      <c r="Y8" s="36"/>
      <c r="Z8" s="63" t="s">
        <v>777</v>
      </c>
      <c r="AA8" s="63" t="s">
        <v>777</v>
      </c>
      <c r="AB8" s="33"/>
      <c r="AC8" s="33"/>
    </row>
    <row r="9" spans="1:29" ht="0" hidden="1" customHeight="1" x14ac:dyDescent="0.2">
      <c r="L9" s="63" t="s">
        <v>1326</v>
      </c>
      <c r="M9" s="63" t="s">
        <v>1326</v>
      </c>
      <c r="N9" s="63" t="s">
        <v>1326</v>
      </c>
      <c r="O9" s="63" t="s">
        <v>1326</v>
      </c>
      <c r="Q9" s="64" t="s">
        <v>1327</v>
      </c>
      <c r="R9" s="64" t="s">
        <v>1327</v>
      </c>
      <c r="S9" s="38"/>
      <c r="T9" s="33"/>
      <c r="U9" s="33"/>
      <c r="V9" s="33"/>
      <c r="W9" s="63" t="s">
        <v>1328</v>
      </c>
      <c r="X9" s="63" t="s">
        <v>1328</v>
      </c>
      <c r="Y9" s="36"/>
      <c r="Z9" s="63" t="s">
        <v>1327</v>
      </c>
      <c r="AA9" s="63" t="s">
        <v>1327</v>
      </c>
      <c r="AB9" s="33"/>
      <c r="AC9" s="33"/>
    </row>
    <row r="10" spans="1:29" ht="0" hidden="1" customHeight="1" x14ac:dyDescent="0.2">
      <c r="L10" s="63" t="s">
        <v>794</v>
      </c>
      <c r="M10" s="63" t="s">
        <v>795</v>
      </c>
      <c r="N10" s="63" t="s">
        <v>796</v>
      </c>
      <c r="O10" s="63" t="s">
        <v>797</v>
      </c>
      <c r="Q10" s="64" t="s">
        <v>791</v>
      </c>
      <c r="R10" s="64" t="s">
        <v>792</v>
      </c>
      <c r="S10" s="38"/>
      <c r="T10" s="33"/>
      <c r="U10" s="33"/>
      <c r="V10" s="33"/>
      <c r="W10" s="63" t="s">
        <v>791</v>
      </c>
      <c r="X10" s="63" t="s">
        <v>792</v>
      </c>
      <c r="Y10" s="36"/>
      <c r="Z10" s="63" t="s">
        <v>791</v>
      </c>
      <c r="AA10" s="63" t="s">
        <v>792</v>
      </c>
      <c r="AB10" s="33"/>
      <c r="AC10" s="33"/>
    </row>
    <row r="11" spans="1:29" ht="0" hidden="1" customHeight="1" x14ac:dyDescent="0.2">
      <c r="F11" s="104" t="s">
        <v>807</v>
      </c>
      <c r="G11" s="38" t="s">
        <v>807</v>
      </c>
      <c r="H11" s="33" t="s">
        <v>807</v>
      </c>
      <c r="I11" s="33" t="s">
        <v>807</v>
      </c>
      <c r="J11" s="33" t="s">
        <v>807</v>
      </c>
      <c r="K11" s="33" t="s">
        <v>807</v>
      </c>
      <c r="L11" s="2" t="s">
        <v>807</v>
      </c>
      <c r="M11" s="2" t="s">
        <v>807</v>
      </c>
      <c r="N11" s="2" t="s">
        <v>807</v>
      </c>
      <c r="O11" s="2" t="s">
        <v>807</v>
      </c>
      <c r="P11" s="104" t="s">
        <v>807</v>
      </c>
      <c r="Q11" s="38" t="s">
        <v>807</v>
      </c>
      <c r="R11" s="38" t="s">
        <v>807</v>
      </c>
      <c r="S11" s="38" t="s">
        <v>807</v>
      </c>
      <c r="T11" s="33" t="s">
        <v>807</v>
      </c>
      <c r="U11" s="33" t="s">
        <v>807</v>
      </c>
      <c r="V11" s="33" t="s">
        <v>807</v>
      </c>
      <c r="W11" s="2" t="s">
        <v>807</v>
      </c>
      <c r="X11" s="2" t="s">
        <v>807</v>
      </c>
      <c r="Y11" s="36" t="s">
        <v>807</v>
      </c>
      <c r="Z11" s="2" t="s">
        <v>807</v>
      </c>
      <c r="AA11" s="2" t="s">
        <v>807</v>
      </c>
      <c r="AB11" s="33" t="s">
        <v>807</v>
      </c>
      <c r="AC11" s="33" t="s">
        <v>807</v>
      </c>
    </row>
    <row r="12" spans="1:29" ht="0" hidden="1" customHeight="1" x14ac:dyDescent="0.2">
      <c r="F12" s="104" t="s">
        <v>427</v>
      </c>
      <c r="G12" s="38" t="s">
        <v>427</v>
      </c>
      <c r="H12" s="33" t="s">
        <v>427</v>
      </c>
      <c r="I12" s="33" t="s">
        <v>427</v>
      </c>
      <c r="J12" s="33" t="s">
        <v>427</v>
      </c>
      <c r="K12" s="33" t="s">
        <v>427</v>
      </c>
      <c r="L12" s="2" t="s">
        <v>427</v>
      </c>
      <c r="M12" s="2" t="s">
        <v>427</v>
      </c>
      <c r="N12" s="2" t="s">
        <v>427</v>
      </c>
      <c r="O12" s="2" t="s">
        <v>427</v>
      </c>
      <c r="P12" s="104" t="s">
        <v>427</v>
      </c>
      <c r="Q12" s="38" t="s">
        <v>427</v>
      </c>
      <c r="R12" s="38" t="s">
        <v>427</v>
      </c>
      <c r="S12" s="38" t="s">
        <v>427</v>
      </c>
      <c r="T12" s="33" t="s">
        <v>427</v>
      </c>
      <c r="U12" s="33" t="s">
        <v>427</v>
      </c>
      <c r="V12" s="33" t="s">
        <v>427</v>
      </c>
      <c r="W12" s="2" t="s">
        <v>427</v>
      </c>
      <c r="X12" s="2" t="s">
        <v>427</v>
      </c>
      <c r="Y12" s="36" t="s">
        <v>427</v>
      </c>
      <c r="Z12" s="2" t="s">
        <v>427</v>
      </c>
      <c r="AA12" s="2" t="s">
        <v>427</v>
      </c>
      <c r="AB12" s="33" t="s">
        <v>427</v>
      </c>
      <c r="AC12" s="33" t="s">
        <v>427</v>
      </c>
    </row>
    <row r="13" spans="1:29" ht="0" hidden="1" customHeight="1" x14ac:dyDescent="0.2"/>
    <row r="14" spans="1:29" x14ac:dyDescent="0.2">
      <c r="A14" s="131" t="s">
        <v>280</v>
      </c>
      <c r="B14" s="15" t="s">
        <v>294</v>
      </c>
      <c r="C14" s="47" t="s">
        <v>428</v>
      </c>
      <c r="D14" s="47" t="s">
        <v>429</v>
      </c>
      <c r="E14" s="47" t="s">
        <v>20</v>
      </c>
      <c r="F14" s="55" t="s">
        <v>438</v>
      </c>
      <c r="G14" s="18" t="s">
        <v>462</v>
      </c>
      <c r="H14" s="48" t="s">
        <v>1329</v>
      </c>
      <c r="I14" s="48" t="s">
        <v>1330</v>
      </c>
      <c r="J14" s="48" t="s">
        <v>1331</v>
      </c>
      <c r="K14" s="48" t="s">
        <v>1332</v>
      </c>
      <c r="L14" s="49" t="s">
        <v>1333</v>
      </c>
      <c r="M14" s="49" t="s">
        <v>1334</v>
      </c>
      <c r="N14" s="49" t="s">
        <v>1335</v>
      </c>
      <c r="O14" s="49" t="s">
        <v>1336</v>
      </c>
      <c r="P14" s="55" t="s">
        <v>1337</v>
      </c>
      <c r="Q14" s="18" t="s">
        <v>1338</v>
      </c>
      <c r="R14" s="18" t="s">
        <v>1339</v>
      </c>
      <c r="S14" s="18" t="s">
        <v>1340</v>
      </c>
      <c r="T14" s="48" t="s">
        <v>1341</v>
      </c>
      <c r="U14" s="48" t="s">
        <v>1342</v>
      </c>
      <c r="V14" s="48" t="s">
        <v>1343</v>
      </c>
      <c r="W14" s="49" t="s">
        <v>1344</v>
      </c>
      <c r="X14" s="49" t="s">
        <v>1345</v>
      </c>
      <c r="Y14" s="56" t="s">
        <v>1346</v>
      </c>
      <c r="Z14" s="49" t="s">
        <v>1347</v>
      </c>
      <c r="AA14" s="49" t="s">
        <v>1348</v>
      </c>
      <c r="AB14" s="48" t="s">
        <v>1349</v>
      </c>
      <c r="AC14" s="48" t="s">
        <v>1350</v>
      </c>
    </row>
    <row r="15" spans="1:29" x14ac:dyDescent="0.2">
      <c r="A15" t="str">
        <f>INDEX(Prioritization!$D:$D,MATCH($B15,Prioritization!$A:$A,0))</f>
        <v>Military</v>
      </c>
      <c r="B15" t="s">
        <v>326</v>
      </c>
      <c r="C15" t="s">
        <v>967</v>
      </c>
      <c r="D15" t="s">
        <v>30</v>
      </c>
      <c r="E15" t="str">
        <f t="shared" ref="E15:E46" si="0">B15&amp;"|"&amp;C15&amp;"|"&amp;D15</f>
        <v>_Military Malawi [PQZgU9dagaH]|&lt;15|Female</v>
      </c>
      <c r="F15" s="104" cm="1">
        <f t="array" ref="F15">IFERROR(1/(1/SUM(SUMIFS(Cascade!$O:$O,Cascade!$B:$B,$B15,Cascade!$C:$C,IF($C15="&lt;15",{"=&lt;01","01-09","10-14"},{"15-24","25-34","35-49","50+"}),Cascade!$D:$D,$D15))),"")</f>
        <v>114</v>
      </c>
      <c r="G15" s="38" cm="1">
        <f t="array" ref="G15">IFERROR(1/(1/SUM(SUMIFS(Cascade!$AX:$AX,Cascade!$B:$B,$B15,Cascade!$C:$C,IF($C15="&lt;15",{"=&lt;01","01-09","10-14"},{"15-24","25-34","35-49","50+"}),Cascade!$D:$D,$D15))),"")</f>
        <v>11</v>
      </c>
      <c r="H15" s="33">
        <f>1</f>
        <v>1</v>
      </c>
      <c r="I15" s="33">
        <f>1</f>
        <v>1</v>
      </c>
      <c r="J15" s="33"/>
      <c r="K15" s="33"/>
      <c r="L15" s="218">
        <f t="shared" ref="L15:L46" si="1">IF(SUM($F15)=0,"",ROUND($F15*$H15*$J15,0))</f>
        <v>0</v>
      </c>
      <c r="M15" s="218">
        <f t="shared" ref="M15:M46" si="2">IF(SUM($F15)=0,"",ROUND($F15*$H15,0)-$L15)</f>
        <v>114</v>
      </c>
      <c r="N15" s="218">
        <f t="shared" ref="N15:N46" si="3">IF(SUM($G15)=0,"",ROUND($G15*$I15*$K15,0))</f>
        <v>0</v>
      </c>
      <c r="O15" s="218">
        <f t="shared" ref="O15:O46" si="4">IF(SUM($G15)=0,"",ROUND($G15*$I15,0)-$N15)</f>
        <v>11</v>
      </c>
      <c r="P15" s="38">
        <v>14</v>
      </c>
      <c r="Q15" s="38"/>
      <c r="R15" s="38">
        <v>1</v>
      </c>
      <c r="S15" s="38">
        <f t="shared" ref="S15:S46" si="5">IFERROR(1/(1/SUM($P15,$R15,$Q15)),"")</f>
        <v>15</v>
      </c>
      <c r="T15" s="33">
        <f t="shared" ref="T15:T46" si="6">IF(SUM($F15)=0,"",MAX(($F15-$S15)/$F15,0))</f>
        <v>0.86842105263157898</v>
      </c>
      <c r="U15" s="33">
        <v>0</v>
      </c>
      <c r="V15" s="33">
        <v>0.75</v>
      </c>
      <c r="W15" s="218">
        <f t="shared" ref="W15:W46" si="7">IF(SUM($M15)=0,"",IF($T15="","ENTER ELIGIBILITY RATE",IF($U15 = "","ENTER INITIATION RATE",ROUND($M15*$T15*$U15,0))))</f>
        <v>0</v>
      </c>
      <c r="X15" s="218">
        <f t="shared" ref="X15:X46" si="8">IF(SUM($O15)=0,"",IF($V15="","ENTER INITIATION RATE",ROUND($O15*$V15,0)))</f>
        <v>8</v>
      </c>
      <c r="Y15" s="36">
        <f t="shared" ref="Y15:Y46" si="9">0.9</f>
        <v>0.9</v>
      </c>
      <c r="Z15" s="218" t="str">
        <f t="shared" ref="Z15:Z46" si="10">IF(SUM($W15)=0,"",IF($Y15="","ENTER COMPLETION RATE",ROUND($W15*$Y15,0)))</f>
        <v/>
      </c>
      <c r="AA15" s="218">
        <f t="shared" ref="AA15:AA46" si="11">IF(SUM($X15)=0,"",IF($X15="","ENTER COMPLETION RATE",ROUND($X15*$Y15,0)))</f>
        <v>7</v>
      </c>
      <c r="AB15" s="33" t="str">
        <f t="shared" ref="AB15:AB46" si="12">IF(SUM($Q15)=0,"",(SUM($Z15)-$Q15)/$Q15)</f>
        <v/>
      </c>
      <c r="AC15" s="33">
        <f t="shared" ref="AC15:AC46" si="13">IF(SUM($R15)=0,"",(SUM($AA15)-$R15)/$R15)</f>
        <v>6</v>
      </c>
    </row>
    <row r="16" spans="1:29" x14ac:dyDescent="0.2">
      <c r="A16" t="str">
        <f>INDEX(Prioritization!$D:$D,MATCH($B16,Prioritization!$A:$A,0))</f>
        <v>Military</v>
      </c>
      <c r="B16" t="s">
        <v>326</v>
      </c>
      <c r="C16" t="s">
        <v>967</v>
      </c>
      <c r="D16" t="s">
        <v>48</v>
      </c>
      <c r="E16" t="str">
        <f t="shared" si="0"/>
        <v>_Military Malawi [PQZgU9dagaH]|&lt;15|Male</v>
      </c>
      <c r="F16" s="242" cm="1">
        <f t="array" ref="F16">IFERROR(1/(1/SUM(SUMIFS(Cascade!$O:$O,Cascade!$B:$B,$B16,Cascade!$C:$C,IF($C16="&lt;15",{"=&lt;01","01-09","10-14"},{"15-24","25-34","35-49","50+"}),Cascade!$D:$D,$D16))),"")</f>
        <v>103.00000000000001</v>
      </c>
      <c r="G16" s="38" cm="1">
        <f t="array" ref="G16">IFERROR(1/(1/SUM(SUMIFS(Cascade!$AX:$AX,Cascade!$B:$B,$B16,Cascade!$C:$C,IF($C16="&lt;15",{"=&lt;01","01-09","10-14"},{"15-24","25-34","35-49","50+"}),Cascade!$D:$D,$D16))),"")</f>
        <v>11</v>
      </c>
      <c r="H16" s="33">
        <f>1</f>
        <v>1</v>
      </c>
      <c r="I16" s="33">
        <f>1</f>
        <v>1</v>
      </c>
      <c r="J16" s="33"/>
      <c r="K16" s="33"/>
      <c r="L16" s="218">
        <f t="shared" si="1"/>
        <v>0</v>
      </c>
      <c r="M16" s="218">
        <f t="shared" si="2"/>
        <v>103</v>
      </c>
      <c r="N16" s="218">
        <f t="shared" si="3"/>
        <v>0</v>
      </c>
      <c r="O16" s="218">
        <f t="shared" si="4"/>
        <v>11</v>
      </c>
      <c r="P16" s="38">
        <v>20</v>
      </c>
      <c r="Q16" s="38"/>
      <c r="R16" s="38">
        <v>1</v>
      </c>
      <c r="S16" s="38">
        <f t="shared" si="5"/>
        <v>21</v>
      </c>
      <c r="T16" s="33">
        <f t="shared" si="6"/>
        <v>0.79611650485436891</v>
      </c>
      <c r="U16" s="33">
        <v>0</v>
      </c>
      <c r="V16" s="33">
        <v>0.75</v>
      </c>
      <c r="W16" s="218">
        <f t="shared" si="7"/>
        <v>0</v>
      </c>
      <c r="X16" s="218">
        <f t="shared" si="8"/>
        <v>8</v>
      </c>
      <c r="Y16" s="33">
        <f t="shared" si="9"/>
        <v>0.9</v>
      </c>
      <c r="Z16" s="218" t="str">
        <f t="shared" si="10"/>
        <v/>
      </c>
      <c r="AA16" s="218">
        <f t="shared" si="11"/>
        <v>7</v>
      </c>
      <c r="AB16" s="33" t="str">
        <f t="shared" si="12"/>
        <v/>
      </c>
      <c r="AC16" s="33">
        <f t="shared" si="13"/>
        <v>6</v>
      </c>
    </row>
    <row r="17" spans="1:29" x14ac:dyDescent="0.2">
      <c r="A17" t="str">
        <f>INDEX(Prioritization!$D:$D,MATCH($B17,Prioritization!$A:$A,0))</f>
        <v>Military</v>
      </c>
      <c r="B17" t="s">
        <v>326</v>
      </c>
      <c r="C17" t="s">
        <v>968</v>
      </c>
      <c r="D17" t="s">
        <v>30</v>
      </c>
      <c r="E17" t="str">
        <f t="shared" si="0"/>
        <v>_Military Malawi [PQZgU9dagaH]|15+|Female</v>
      </c>
      <c r="F17" s="242" cm="1">
        <f t="array" ref="F17">IFERROR(1/(1/SUM(SUMIFS(Cascade!$O:$O,Cascade!$B:$B,$B17,Cascade!$C:$C,IF($C17="&lt;15",{"=&lt;01","01-09","10-14"},{"15-24","25-34","35-49","50+"}),Cascade!$D:$D,$D17))),"")</f>
        <v>4491</v>
      </c>
      <c r="G17" s="38" cm="1">
        <f t="array" ref="G17">IFERROR(1/(1/SUM(SUMIFS(Cascade!$AX:$AX,Cascade!$B:$B,$B17,Cascade!$C:$C,IF($C17="&lt;15",{"=&lt;01","01-09","10-14"},{"15-24","25-34","35-49","50+"}),Cascade!$D:$D,$D17))),"")</f>
        <v>419</v>
      </c>
      <c r="H17" s="33">
        <f>1</f>
        <v>1</v>
      </c>
      <c r="I17" s="33">
        <f>1</f>
        <v>1</v>
      </c>
      <c r="J17" s="33">
        <v>9.9000000000000008E-3</v>
      </c>
      <c r="K17" s="33">
        <v>1.4E-2</v>
      </c>
      <c r="L17" s="218">
        <f t="shared" si="1"/>
        <v>44</v>
      </c>
      <c r="M17" s="218">
        <f t="shared" si="2"/>
        <v>4447</v>
      </c>
      <c r="N17" s="218">
        <f t="shared" si="3"/>
        <v>6</v>
      </c>
      <c r="O17" s="218">
        <f t="shared" si="4"/>
        <v>413</v>
      </c>
      <c r="P17" s="38">
        <v>625</v>
      </c>
      <c r="Q17" s="38"/>
      <c r="R17" s="38">
        <v>54</v>
      </c>
      <c r="S17" s="38">
        <f t="shared" si="5"/>
        <v>679</v>
      </c>
      <c r="T17" s="33">
        <f t="shared" si="6"/>
        <v>0.84880872856824763</v>
      </c>
      <c r="U17" s="33">
        <v>0</v>
      </c>
      <c r="V17" s="33">
        <v>0.75</v>
      </c>
      <c r="W17" s="218">
        <f t="shared" si="7"/>
        <v>0</v>
      </c>
      <c r="X17" s="218">
        <f t="shared" si="8"/>
        <v>310</v>
      </c>
      <c r="Y17" s="33">
        <f t="shared" si="9"/>
        <v>0.9</v>
      </c>
      <c r="Z17" s="218" t="str">
        <f t="shared" si="10"/>
        <v/>
      </c>
      <c r="AA17" s="218">
        <f t="shared" si="11"/>
        <v>279</v>
      </c>
      <c r="AB17" s="33" t="str">
        <f t="shared" si="12"/>
        <v/>
      </c>
      <c r="AC17" s="33">
        <f t="shared" si="13"/>
        <v>4.166666666666667</v>
      </c>
    </row>
    <row r="18" spans="1:29" x14ac:dyDescent="0.2">
      <c r="A18" t="str">
        <f>INDEX(Prioritization!$D:$D,MATCH($B18,Prioritization!$A:$A,0))</f>
        <v>Military</v>
      </c>
      <c r="B18" t="s">
        <v>326</v>
      </c>
      <c r="C18" t="s">
        <v>968</v>
      </c>
      <c r="D18" t="s">
        <v>48</v>
      </c>
      <c r="E18" t="str">
        <f t="shared" si="0"/>
        <v>_Military Malawi [PQZgU9dagaH]|15+|Male</v>
      </c>
      <c r="F18" s="242" cm="1">
        <f t="array" ref="F18">IFERROR(1/(1/SUM(SUMIFS(Cascade!$O:$O,Cascade!$B:$B,$B18,Cascade!$C:$C,IF($C18="&lt;15",{"=&lt;01","01-09","10-14"},{"15-24","25-34","35-49","50+"}),Cascade!$D:$D,$D18))),"")</f>
        <v>3468</v>
      </c>
      <c r="G18" s="38" cm="1">
        <f t="array" ref="G18">IFERROR(1/(1/SUM(SUMIFS(Cascade!$AX:$AX,Cascade!$B:$B,$B18,Cascade!$C:$C,IF($C18="&lt;15",{"=&lt;01","01-09","10-14"},{"15-24","25-34","35-49","50+"}),Cascade!$D:$D,$D18))),"")</f>
        <v>314</v>
      </c>
      <c r="H18" s="33">
        <f>1</f>
        <v>1</v>
      </c>
      <c r="I18" s="33">
        <f>1</f>
        <v>1</v>
      </c>
      <c r="J18" s="33">
        <v>7.9000000000000008E-3</v>
      </c>
      <c r="K18" s="33">
        <v>9.0999999999999998E-2</v>
      </c>
      <c r="L18" s="218">
        <f t="shared" si="1"/>
        <v>27</v>
      </c>
      <c r="M18" s="218">
        <f t="shared" si="2"/>
        <v>3441</v>
      </c>
      <c r="N18" s="218">
        <f t="shared" si="3"/>
        <v>29</v>
      </c>
      <c r="O18" s="218">
        <f t="shared" si="4"/>
        <v>285</v>
      </c>
      <c r="P18" s="38">
        <v>480</v>
      </c>
      <c r="Q18" s="38"/>
      <c r="R18" s="38">
        <v>51</v>
      </c>
      <c r="S18" s="38">
        <f t="shared" si="5"/>
        <v>531</v>
      </c>
      <c r="T18" s="33">
        <f t="shared" si="6"/>
        <v>0.84688581314878897</v>
      </c>
      <c r="U18" s="33">
        <v>0</v>
      </c>
      <c r="V18" s="33">
        <v>0.75</v>
      </c>
      <c r="W18" s="218">
        <f t="shared" si="7"/>
        <v>0</v>
      </c>
      <c r="X18" s="218">
        <f t="shared" si="8"/>
        <v>214</v>
      </c>
      <c r="Y18" s="33">
        <f t="shared" si="9"/>
        <v>0.9</v>
      </c>
      <c r="Z18" s="218" t="str">
        <f t="shared" si="10"/>
        <v/>
      </c>
      <c r="AA18" s="218">
        <f t="shared" si="11"/>
        <v>193</v>
      </c>
      <c r="AB18" s="33" t="str">
        <f t="shared" si="12"/>
        <v/>
      </c>
      <c r="AC18" s="33">
        <f t="shared" si="13"/>
        <v>2.784313725490196</v>
      </c>
    </row>
    <row r="19" spans="1:29" x14ac:dyDescent="0.2">
      <c r="A19" t="str">
        <f>INDEX(Prioritization!$D:$D,MATCH($B19,Prioritization!$A:$A,0))</f>
        <v>4 - Sustained</v>
      </c>
      <c r="B19" t="s">
        <v>313</v>
      </c>
      <c r="C19" t="s">
        <v>967</v>
      </c>
      <c r="D19" t="s">
        <v>30</v>
      </c>
      <c r="E19" t="str">
        <f t="shared" si="0"/>
        <v>Balaka District [ir8wuHHzoSs]|&lt;15|Female</v>
      </c>
      <c r="F19" s="38" cm="1">
        <f t="array" ref="F19">IFERROR(1/(1/SUM(SUMIFS(Cascade!$O:$O,Cascade!$B:$B,$B19,Cascade!$C:$C,IF($C19="&lt;15",{"=&lt;01","01-09","10-14"},{"15-24","25-34","35-49","50+"}),Cascade!$D:$D,$D19))),"")</f>
        <v>11</v>
      </c>
      <c r="G19" s="38" cm="1">
        <f t="array" ref="G19">IFERROR(1/(1/SUM(SUMIFS(Cascade!$AX:$AX,Cascade!$B:$B,$B19,Cascade!$C:$C,IF($C19="&lt;15",{"=&lt;01","01-09","10-14"},{"15-24","25-34","35-49","50+"}),Cascade!$D:$D,$D19))),"")</f>
        <v>4</v>
      </c>
      <c r="H19" s="33">
        <v>0.95</v>
      </c>
      <c r="I19" s="33">
        <v>0.95</v>
      </c>
      <c r="J19" s="33">
        <v>0.05</v>
      </c>
      <c r="K19" s="33">
        <v>0.15</v>
      </c>
      <c r="L19" s="218">
        <f t="shared" si="1"/>
        <v>1</v>
      </c>
      <c r="M19" s="218">
        <f t="shared" si="2"/>
        <v>9</v>
      </c>
      <c r="N19" s="218">
        <f t="shared" si="3"/>
        <v>1</v>
      </c>
      <c r="O19" s="218">
        <f t="shared" si="4"/>
        <v>3</v>
      </c>
      <c r="P19" s="38">
        <v>33</v>
      </c>
      <c r="Q19" s="38"/>
      <c r="R19" s="38">
        <v>41</v>
      </c>
      <c r="S19" s="38">
        <f t="shared" si="5"/>
        <v>74</v>
      </c>
      <c r="T19" s="33">
        <f t="shared" si="6"/>
        <v>0</v>
      </c>
      <c r="U19" s="33">
        <v>0</v>
      </c>
      <c r="V19" s="33">
        <v>0.75</v>
      </c>
      <c r="W19" s="218">
        <f t="shared" si="7"/>
        <v>0</v>
      </c>
      <c r="X19" s="218">
        <f t="shared" si="8"/>
        <v>2</v>
      </c>
      <c r="Y19" s="33">
        <f t="shared" si="9"/>
        <v>0.9</v>
      </c>
      <c r="Z19" s="218" t="str">
        <f t="shared" si="10"/>
        <v/>
      </c>
      <c r="AA19" s="218">
        <f t="shared" si="11"/>
        <v>2</v>
      </c>
      <c r="AB19" s="33" t="str">
        <f t="shared" si="12"/>
        <v/>
      </c>
      <c r="AC19" s="33">
        <f t="shared" si="13"/>
        <v>-0.95121951219512191</v>
      </c>
    </row>
    <row r="20" spans="1:29" x14ac:dyDescent="0.2">
      <c r="A20" t="str">
        <f>INDEX(Prioritization!$D:$D,MATCH($B20,Prioritization!$A:$A,0))</f>
        <v>4 - Sustained</v>
      </c>
      <c r="B20" t="s">
        <v>313</v>
      </c>
      <c r="C20" t="s">
        <v>967</v>
      </c>
      <c r="D20" t="s">
        <v>48</v>
      </c>
      <c r="E20" t="str">
        <f t="shared" si="0"/>
        <v>Balaka District [ir8wuHHzoSs]|&lt;15|Male</v>
      </c>
      <c r="F20" s="229" cm="1">
        <f t="array" ref="F20">IFERROR(1/(1/SUM(SUMIFS(Cascade!$O:$O,Cascade!$B:$B,$B20,Cascade!$C:$C,IF($C20="&lt;15",{"=&lt;01","01-09","10-14"},{"15-24","25-34","35-49","50+"}),Cascade!$D:$D,$D20))),"")</f>
        <v>11</v>
      </c>
      <c r="G20" s="38" cm="1">
        <f t="array" ref="G20">IFERROR(1/(1/SUM(SUMIFS(Cascade!$AX:$AX,Cascade!$B:$B,$B20,Cascade!$C:$C,IF($C20="&lt;15",{"=&lt;01","01-09","10-14"},{"15-24","25-34","35-49","50+"}),Cascade!$D:$D,$D20))),"")</f>
        <v>4</v>
      </c>
      <c r="H20" s="33">
        <v>0.95</v>
      </c>
      <c r="I20" s="33">
        <v>0.95</v>
      </c>
      <c r="J20" s="33">
        <v>0.05</v>
      </c>
      <c r="K20" s="33">
        <v>0.15</v>
      </c>
      <c r="L20" s="218">
        <f t="shared" si="1"/>
        <v>1</v>
      </c>
      <c r="M20" s="218">
        <f t="shared" si="2"/>
        <v>9</v>
      </c>
      <c r="N20" s="218">
        <f t="shared" si="3"/>
        <v>1</v>
      </c>
      <c r="O20" s="218">
        <f t="shared" si="4"/>
        <v>3</v>
      </c>
      <c r="P20" s="38">
        <v>37</v>
      </c>
      <c r="Q20" s="38"/>
      <c r="R20" s="38">
        <v>44</v>
      </c>
      <c r="S20" s="38">
        <f t="shared" si="5"/>
        <v>81</v>
      </c>
      <c r="T20" s="33">
        <f t="shared" si="6"/>
        <v>0</v>
      </c>
      <c r="U20" s="33">
        <v>0</v>
      </c>
      <c r="V20" s="33">
        <v>0.75</v>
      </c>
      <c r="W20" s="218">
        <f t="shared" si="7"/>
        <v>0</v>
      </c>
      <c r="X20" s="218">
        <f t="shared" si="8"/>
        <v>2</v>
      </c>
      <c r="Y20" s="33">
        <f t="shared" si="9"/>
        <v>0.9</v>
      </c>
      <c r="Z20" s="218" t="str">
        <f t="shared" si="10"/>
        <v/>
      </c>
      <c r="AA20" s="218">
        <f>IF(SUM($X20)=0,"",IF($X20="","ENTER COMPLETION RATE",ROUND($X20*$Y20,0)))</f>
        <v>2</v>
      </c>
      <c r="AB20" s="33" t="str">
        <f t="shared" si="12"/>
        <v/>
      </c>
      <c r="AC20" s="33">
        <f t="shared" si="13"/>
        <v>-0.95454545454545459</v>
      </c>
    </row>
    <row r="21" spans="1:29" x14ac:dyDescent="0.2">
      <c r="A21" t="str">
        <f>INDEX(Prioritization!$D:$D,MATCH($B21,Prioritization!$A:$A,0))</f>
        <v>4 - Sustained</v>
      </c>
      <c r="B21" t="s">
        <v>313</v>
      </c>
      <c r="C21" t="s">
        <v>968</v>
      </c>
      <c r="D21" t="s">
        <v>30</v>
      </c>
      <c r="E21" t="str">
        <f t="shared" si="0"/>
        <v>Balaka District [ir8wuHHzoSs]|15+|Female</v>
      </c>
      <c r="F21" s="229" t="str" cm="1">
        <f t="array" ref="F21">IFERROR(1/(1/SUM(SUMIFS(Cascade!$O:$O,Cascade!$B:$B,$B21,Cascade!$C:$C,IF($C21="&lt;15",{"=&lt;01","01-09","10-14"},{"15-24","25-34","35-49","50+"}),Cascade!$D:$D,$D21))),"")</f>
        <v/>
      </c>
      <c r="G21" s="38" t="str" cm="1">
        <f t="array" ref="G21">IFERROR(1/(1/SUM(SUMIFS(Cascade!$AX:$AX,Cascade!$B:$B,$B21,Cascade!$C:$C,IF($C21="&lt;15",{"=&lt;01","01-09","10-14"},{"15-24","25-34","35-49","50+"}),Cascade!$D:$D,$D21))),"")</f>
        <v/>
      </c>
      <c r="H21" s="33">
        <v>0.95</v>
      </c>
      <c r="I21" s="33">
        <v>0.95</v>
      </c>
      <c r="J21" s="33">
        <v>0.05</v>
      </c>
      <c r="K21" s="33">
        <v>0.15</v>
      </c>
      <c r="L21" s="218" t="str">
        <f t="shared" si="1"/>
        <v/>
      </c>
      <c r="M21" s="218" t="str">
        <f t="shared" si="2"/>
        <v/>
      </c>
      <c r="N21" s="218" t="str">
        <f t="shared" si="3"/>
        <v/>
      </c>
      <c r="O21" s="218" t="str">
        <f t="shared" si="4"/>
        <v/>
      </c>
      <c r="P21" s="38">
        <v>748</v>
      </c>
      <c r="Q21" s="38"/>
      <c r="R21" s="38">
        <v>570</v>
      </c>
      <c r="S21" s="38">
        <f t="shared" si="5"/>
        <v>1318</v>
      </c>
      <c r="T21" s="33" t="str">
        <f t="shared" si="6"/>
        <v/>
      </c>
      <c r="U21" s="33">
        <v>0</v>
      </c>
      <c r="V21" s="33">
        <v>0.75</v>
      </c>
      <c r="W21" s="218" t="str">
        <f t="shared" si="7"/>
        <v/>
      </c>
      <c r="X21" s="218" t="str">
        <f t="shared" si="8"/>
        <v/>
      </c>
      <c r="Y21" s="33">
        <f t="shared" si="9"/>
        <v>0.9</v>
      </c>
      <c r="Z21" s="218" t="str">
        <f t="shared" si="10"/>
        <v/>
      </c>
      <c r="AA21" s="218" t="str">
        <f t="shared" si="11"/>
        <v/>
      </c>
      <c r="AB21" s="33" t="str">
        <f t="shared" si="12"/>
        <v/>
      </c>
      <c r="AC21" s="33">
        <f t="shared" si="13"/>
        <v>-1</v>
      </c>
    </row>
    <row r="22" spans="1:29" x14ac:dyDescent="0.2">
      <c r="A22" t="str">
        <f>INDEX(Prioritization!$D:$D,MATCH($B22,Prioritization!$A:$A,0))</f>
        <v>4 - Sustained</v>
      </c>
      <c r="B22" t="s">
        <v>313</v>
      </c>
      <c r="C22" t="s">
        <v>968</v>
      </c>
      <c r="D22" t="s">
        <v>48</v>
      </c>
      <c r="E22" t="str">
        <f t="shared" si="0"/>
        <v>Balaka District [ir8wuHHzoSs]|15+|Male</v>
      </c>
      <c r="F22" s="229" cm="1">
        <f t="array" ref="F22">IFERROR(1/(1/SUM(SUMIFS(Cascade!$O:$O,Cascade!$B:$B,$B22,Cascade!$C:$C,IF($C22="&lt;15",{"=&lt;01","01-09","10-14"},{"15-24","25-34","35-49","50+"}),Cascade!$D:$D,$D22))),"")</f>
        <v>2575</v>
      </c>
      <c r="G22" s="38" cm="1">
        <f t="array" ref="G22">IFERROR(1/(1/SUM(SUMIFS(Cascade!$AX:$AX,Cascade!$B:$B,$B22,Cascade!$C:$C,IF($C22="&lt;15",{"=&lt;01","01-09","10-14"},{"15-24","25-34","35-49","50+"}),Cascade!$D:$D,$D22))),"")</f>
        <v>751</v>
      </c>
      <c r="H22" s="33">
        <v>0.95</v>
      </c>
      <c r="I22" s="33">
        <v>0.95</v>
      </c>
      <c r="J22" s="33">
        <v>0.05</v>
      </c>
      <c r="K22" s="33">
        <v>0.15</v>
      </c>
      <c r="L22" s="218">
        <f t="shared" si="1"/>
        <v>122</v>
      </c>
      <c r="M22" s="218">
        <f t="shared" si="2"/>
        <v>2324</v>
      </c>
      <c r="N22" s="218">
        <f t="shared" si="3"/>
        <v>107</v>
      </c>
      <c r="O22" s="218">
        <f t="shared" si="4"/>
        <v>606</v>
      </c>
      <c r="P22" s="38">
        <v>538</v>
      </c>
      <c r="Q22" s="38"/>
      <c r="R22" s="38">
        <v>191</v>
      </c>
      <c r="S22" s="38">
        <f t="shared" si="5"/>
        <v>729</v>
      </c>
      <c r="T22" s="33">
        <f t="shared" si="6"/>
        <v>0.7168932038834952</v>
      </c>
      <c r="U22" s="33">
        <v>0</v>
      </c>
      <c r="V22" s="33">
        <v>0.75</v>
      </c>
      <c r="W22" s="218">
        <f t="shared" si="7"/>
        <v>0</v>
      </c>
      <c r="X22" s="218">
        <f t="shared" si="8"/>
        <v>455</v>
      </c>
      <c r="Y22" s="33">
        <f t="shared" si="9"/>
        <v>0.9</v>
      </c>
      <c r="Z22" s="218" t="str">
        <f t="shared" si="10"/>
        <v/>
      </c>
      <c r="AA22" s="218">
        <f t="shared" si="11"/>
        <v>410</v>
      </c>
      <c r="AB22" s="33" t="str">
        <f t="shared" si="12"/>
        <v/>
      </c>
      <c r="AC22" s="33">
        <f t="shared" si="13"/>
        <v>1.1465968586387434</v>
      </c>
    </row>
    <row r="23" spans="1:29" x14ac:dyDescent="0.2">
      <c r="A23" t="str">
        <f>INDEX(Prioritization!$D:$D,MATCH($B23,Prioritization!$A:$A,0))</f>
        <v>1 - Scale-up: Saturation</v>
      </c>
      <c r="B23" t="s">
        <v>314</v>
      </c>
      <c r="C23" t="s">
        <v>967</v>
      </c>
      <c r="D23" t="s">
        <v>30</v>
      </c>
      <c r="E23" t="str">
        <f t="shared" si="0"/>
        <v>Blantyre District [mxqa3CDFmIT]|&lt;15|Female</v>
      </c>
      <c r="F23" s="229" cm="1">
        <f t="array" ref="F23">IFERROR(1/(1/SUM(SUMIFS(Cascade!$O:$O,Cascade!$B:$B,$B23,Cascade!$C:$C,IF($C23="&lt;15",{"=&lt;01","01-09","10-14"},{"15-24","25-34","35-49","50+"}),Cascade!$D:$D,$D23))),"")</f>
        <v>1990.9999999999998</v>
      </c>
      <c r="G23" s="38" cm="1">
        <f t="array" ref="G23">IFERROR(1/(1/SUM(SUMIFS(Cascade!$AX:$AX,Cascade!$B:$B,$B23,Cascade!$C:$C,IF($C23="&lt;15",{"=&lt;01","01-09","10-14"},{"15-24","25-34","35-49","50+"}),Cascade!$D:$D,$D23))),"")</f>
        <v>65</v>
      </c>
      <c r="H23" s="33">
        <v>0.95</v>
      </c>
      <c r="I23" s="33">
        <v>0.95</v>
      </c>
      <c r="J23" s="33">
        <v>0.05</v>
      </c>
      <c r="K23" s="33">
        <v>0.15</v>
      </c>
      <c r="L23" s="218">
        <f t="shared" si="1"/>
        <v>95</v>
      </c>
      <c r="M23" s="218">
        <f t="shared" si="2"/>
        <v>1796</v>
      </c>
      <c r="N23" s="218">
        <f t="shared" si="3"/>
        <v>9</v>
      </c>
      <c r="O23" s="218">
        <f t="shared" si="4"/>
        <v>53</v>
      </c>
      <c r="P23" s="38">
        <v>2607</v>
      </c>
      <c r="Q23" s="38"/>
      <c r="R23" s="38">
        <v>170</v>
      </c>
      <c r="S23" s="38">
        <f t="shared" si="5"/>
        <v>2777</v>
      </c>
      <c r="T23" s="33">
        <f t="shared" si="6"/>
        <v>0</v>
      </c>
      <c r="U23" s="33">
        <v>0</v>
      </c>
      <c r="V23" s="33">
        <v>0.75</v>
      </c>
      <c r="W23" s="218">
        <f t="shared" si="7"/>
        <v>0</v>
      </c>
      <c r="X23" s="218">
        <f t="shared" si="8"/>
        <v>40</v>
      </c>
      <c r="Y23" s="33">
        <f t="shared" si="9"/>
        <v>0.9</v>
      </c>
      <c r="Z23" s="218" t="str">
        <f t="shared" si="10"/>
        <v/>
      </c>
      <c r="AA23" s="218">
        <f t="shared" si="11"/>
        <v>36</v>
      </c>
      <c r="AB23" s="33" t="str">
        <f t="shared" si="12"/>
        <v/>
      </c>
      <c r="AC23" s="33">
        <f t="shared" si="13"/>
        <v>-0.78823529411764703</v>
      </c>
    </row>
    <row r="24" spans="1:29" x14ac:dyDescent="0.2">
      <c r="A24" t="str">
        <f>INDEX(Prioritization!$D:$D,MATCH($B24,Prioritization!$A:$A,0))</f>
        <v>1 - Scale-up: Saturation</v>
      </c>
      <c r="B24" t="s">
        <v>314</v>
      </c>
      <c r="C24" t="s">
        <v>967</v>
      </c>
      <c r="D24" t="s">
        <v>48</v>
      </c>
      <c r="E24" t="str">
        <f t="shared" si="0"/>
        <v>Blantyre District [mxqa3CDFmIT]|&lt;15|Male</v>
      </c>
      <c r="F24" s="229" cm="1">
        <f t="array" ref="F24">IFERROR(1/(1/SUM(SUMIFS(Cascade!$O:$O,Cascade!$B:$B,$B24,Cascade!$C:$C,IF($C24="&lt;15",{"=&lt;01","01-09","10-14"},{"15-24","25-34","35-49","50+"}),Cascade!$D:$D,$D24))),"")</f>
        <v>1971</v>
      </c>
      <c r="G24" s="38" cm="1">
        <f t="array" ref="G24">IFERROR(1/(1/SUM(SUMIFS(Cascade!$AX:$AX,Cascade!$B:$B,$B24,Cascade!$C:$C,IF($C24="&lt;15",{"=&lt;01","01-09","10-14"},{"15-24","25-34","35-49","50+"}),Cascade!$D:$D,$D24))),"")</f>
        <v>65</v>
      </c>
      <c r="H24" s="33">
        <v>0.95</v>
      </c>
      <c r="I24" s="33">
        <v>0.95</v>
      </c>
      <c r="J24" s="33">
        <v>0.05</v>
      </c>
      <c r="K24" s="33">
        <v>0.15</v>
      </c>
      <c r="L24" s="218">
        <f t="shared" si="1"/>
        <v>94</v>
      </c>
      <c r="M24" s="218">
        <f t="shared" si="2"/>
        <v>1778</v>
      </c>
      <c r="N24" s="218">
        <f t="shared" si="3"/>
        <v>9</v>
      </c>
      <c r="O24" s="218">
        <f t="shared" si="4"/>
        <v>53</v>
      </c>
      <c r="P24" s="38">
        <v>2617</v>
      </c>
      <c r="Q24" s="38"/>
      <c r="R24" s="38">
        <v>173</v>
      </c>
      <c r="S24" s="38">
        <f t="shared" si="5"/>
        <v>2790</v>
      </c>
      <c r="T24" s="33">
        <f t="shared" si="6"/>
        <v>0</v>
      </c>
      <c r="U24" s="33">
        <v>0</v>
      </c>
      <c r="V24" s="33">
        <v>0.75</v>
      </c>
      <c r="W24" s="218">
        <f t="shared" si="7"/>
        <v>0</v>
      </c>
      <c r="X24" s="218">
        <f t="shared" si="8"/>
        <v>40</v>
      </c>
      <c r="Y24" s="33">
        <f t="shared" si="9"/>
        <v>0.9</v>
      </c>
      <c r="Z24" s="218" t="str">
        <f t="shared" si="10"/>
        <v/>
      </c>
      <c r="AA24" s="218">
        <f t="shared" si="11"/>
        <v>36</v>
      </c>
      <c r="AB24" s="33" t="str">
        <f t="shared" si="12"/>
        <v/>
      </c>
      <c r="AC24" s="33">
        <f t="shared" si="13"/>
        <v>-0.79190751445086704</v>
      </c>
    </row>
    <row r="25" spans="1:29" x14ac:dyDescent="0.2">
      <c r="A25" t="str">
        <f>INDEX(Prioritization!$D:$D,MATCH($B25,Prioritization!$A:$A,0))</f>
        <v>1 - Scale-up: Saturation</v>
      </c>
      <c r="B25" t="s">
        <v>314</v>
      </c>
      <c r="C25" t="s">
        <v>968</v>
      </c>
      <c r="D25" t="s">
        <v>30</v>
      </c>
      <c r="E25" t="str">
        <f t="shared" si="0"/>
        <v>Blantyre District [mxqa3CDFmIT]|15+|Female</v>
      </c>
      <c r="F25" s="229" cm="1">
        <f t="array" ref="F25">IFERROR(1/(1/SUM(SUMIFS(Cascade!$O:$O,Cascade!$B:$B,$B25,Cascade!$C:$C,IF($C25="&lt;15",{"=&lt;01","01-09","10-14"},{"15-24","25-34","35-49","50+"}),Cascade!$D:$D,$D25))),"")</f>
        <v>68057</v>
      </c>
      <c r="G25" s="38" cm="1">
        <f t="array" ref="G25">IFERROR(1/(1/SUM(SUMIFS(Cascade!$AX:$AX,Cascade!$B:$B,$B25,Cascade!$C:$C,IF($C25="&lt;15",{"=&lt;01","01-09","10-14"},{"15-24","25-34","35-49","50+"}),Cascade!$D:$D,$D25))),"")</f>
        <v>3542.0000000000005</v>
      </c>
      <c r="H25" s="33">
        <v>0.95</v>
      </c>
      <c r="I25" s="33">
        <v>0.95</v>
      </c>
      <c r="J25" s="33">
        <v>0.05</v>
      </c>
      <c r="K25" s="33">
        <v>0.15</v>
      </c>
      <c r="L25" s="218">
        <f t="shared" si="1"/>
        <v>3233</v>
      </c>
      <c r="M25" s="218">
        <f t="shared" si="2"/>
        <v>61421</v>
      </c>
      <c r="N25" s="218">
        <f t="shared" si="3"/>
        <v>505</v>
      </c>
      <c r="O25" s="218">
        <f t="shared" si="4"/>
        <v>2860</v>
      </c>
      <c r="P25" s="38">
        <v>48417</v>
      </c>
      <c r="Q25" s="38"/>
      <c r="R25" s="38">
        <v>3497</v>
      </c>
      <c r="S25" s="38">
        <f t="shared" si="5"/>
        <v>51914</v>
      </c>
      <c r="T25" s="33">
        <f t="shared" si="6"/>
        <v>0.23719823089469122</v>
      </c>
      <c r="U25" s="33">
        <v>0</v>
      </c>
      <c r="V25" s="33">
        <v>0.75</v>
      </c>
      <c r="W25" s="218">
        <f t="shared" si="7"/>
        <v>0</v>
      </c>
      <c r="X25" s="218">
        <f t="shared" si="8"/>
        <v>2145</v>
      </c>
      <c r="Y25" s="33">
        <f t="shared" si="9"/>
        <v>0.9</v>
      </c>
      <c r="Z25" s="218" t="str">
        <f t="shared" si="10"/>
        <v/>
      </c>
      <c r="AA25" s="218">
        <f t="shared" si="11"/>
        <v>1931</v>
      </c>
      <c r="AB25" s="33" t="str">
        <f t="shared" si="12"/>
        <v/>
      </c>
      <c r="AC25" s="33">
        <f t="shared" si="13"/>
        <v>-0.44781241063768945</v>
      </c>
    </row>
    <row r="26" spans="1:29" x14ac:dyDescent="0.2">
      <c r="A26" t="str">
        <f>INDEX(Prioritization!$D:$D,MATCH($B26,Prioritization!$A:$A,0))</f>
        <v>1 - Scale-up: Saturation</v>
      </c>
      <c r="B26" t="s">
        <v>314</v>
      </c>
      <c r="C26" t="s">
        <v>968</v>
      </c>
      <c r="D26" t="s">
        <v>48</v>
      </c>
      <c r="E26" t="str">
        <f t="shared" si="0"/>
        <v>Blantyre District [mxqa3CDFmIT]|15+|Male</v>
      </c>
      <c r="F26" s="229" cm="1">
        <f t="array" ref="F26">IFERROR(1/(1/SUM(SUMIFS(Cascade!$O:$O,Cascade!$B:$B,$B26,Cascade!$C:$C,IF($C26="&lt;15",{"=&lt;01","01-09","10-14"},{"15-24","25-34","35-49","50+"}),Cascade!$D:$D,$D26))),"")</f>
        <v>45147</v>
      </c>
      <c r="G26" s="38" cm="1">
        <f t="array" ref="G26">IFERROR(1/(1/SUM(SUMIFS(Cascade!$AX:$AX,Cascade!$B:$B,$B26,Cascade!$C:$C,IF($C26="&lt;15",{"=&lt;01","01-09","10-14"},{"15-24","25-34","35-49","50+"}),Cascade!$D:$D,$D26))),"")</f>
        <v>2690</v>
      </c>
      <c r="H26" s="33">
        <v>0.95</v>
      </c>
      <c r="I26" s="33">
        <v>0.95</v>
      </c>
      <c r="J26" s="33">
        <v>0.05</v>
      </c>
      <c r="K26" s="33">
        <v>0.15</v>
      </c>
      <c r="L26" s="218">
        <f t="shared" si="1"/>
        <v>2144</v>
      </c>
      <c r="M26" s="218">
        <f t="shared" si="2"/>
        <v>40746</v>
      </c>
      <c r="N26" s="218">
        <f t="shared" si="3"/>
        <v>383</v>
      </c>
      <c r="O26" s="218">
        <f t="shared" si="4"/>
        <v>2173</v>
      </c>
      <c r="P26" s="38">
        <v>29774</v>
      </c>
      <c r="Q26" s="38"/>
      <c r="R26" s="38">
        <v>1121</v>
      </c>
      <c r="S26" s="38">
        <f>IFERROR(1/(1/SUM($P26,$R26,$Q26)),"")</f>
        <v>30895</v>
      </c>
      <c r="T26" s="33">
        <f t="shared" si="6"/>
        <v>0.3156798901366647</v>
      </c>
      <c r="U26" s="33">
        <v>0</v>
      </c>
      <c r="V26" s="33">
        <v>0.75</v>
      </c>
      <c r="W26" s="218">
        <f t="shared" si="7"/>
        <v>0</v>
      </c>
      <c r="X26" s="218">
        <f t="shared" si="8"/>
        <v>1630</v>
      </c>
      <c r="Y26" s="33">
        <f t="shared" si="9"/>
        <v>0.9</v>
      </c>
      <c r="Z26" s="218" t="str">
        <f t="shared" si="10"/>
        <v/>
      </c>
      <c r="AA26" s="218">
        <f t="shared" si="11"/>
        <v>1467</v>
      </c>
      <c r="AB26" s="33" t="str">
        <f t="shared" si="12"/>
        <v/>
      </c>
      <c r="AC26" s="33">
        <f t="shared" si="13"/>
        <v>0.30865298840321143</v>
      </c>
    </row>
    <row r="27" spans="1:29" x14ac:dyDescent="0.2">
      <c r="A27" t="str">
        <f>INDEX(Prioritization!$D:$D,MATCH($B27,Prioritization!$A:$A,0))</f>
        <v>1 - Scale-up: Saturation</v>
      </c>
      <c r="B27" t="s">
        <v>315</v>
      </c>
      <c r="C27" t="s">
        <v>967</v>
      </c>
      <c r="D27" t="s">
        <v>30</v>
      </c>
      <c r="E27" t="str">
        <f t="shared" si="0"/>
        <v>Chikwawa District [U8c0so51kT6]|&lt;15|Female</v>
      </c>
      <c r="F27" s="229" cm="1">
        <f t="array" ref="F27">IFERROR(1/(1/SUM(SUMIFS(Cascade!$O:$O,Cascade!$B:$B,$B27,Cascade!$C:$C,IF($C27="&lt;15",{"=&lt;01","01-09","10-14"},{"15-24","25-34","35-49","50+"}),Cascade!$D:$D,$D27))),"")</f>
        <v>860</v>
      </c>
      <c r="G27" s="38" cm="1">
        <f t="array" ref="G27">IFERROR(1/(1/SUM(SUMIFS(Cascade!$AX:$AX,Cascade!$B:$B,$B27,Cascade!$C:$C,IF($C27="&lt;15",{"=&lt;01","01-09","10-14"},{"15-24","25-34","35-49","50+"}),Cascade!$D:$D,$D27))),"")</f>
        <v>43</v>
      </c>
      <c r="H27" s="33">
        <v>0</v>
      </c>
      <c r="I27" s="33">
        <v>0</v>
      </c>
      <c r="J27" s="33">
        <v>0</v>
      </c>
      <c r="K27" s="33">
        <v>0</v>
      </c>
      <c r="L27" s="218">
        <f t="shared" si="1"/>
        <v>0</v>
      </c>
      <c r="M27" s="218">
        <f t="shared" si="2"/>
        <v>0</v>
      </c>
      <c r="N27" s="218">
        <f t="shared" si="3"/>
        <v>0</v>
      </c>
      <c r="O27" s="218">
        <f t="shared" si="4"/>
        <v>0</v>
      </c>
      <c r="P27" s="38">
        <v>106</v>
      </c>
      <c r="Q27" s="38"/>
      <c r="R27" s="38">
        <v>19</v>
      </c>
      <c r="S27" s="38">
        <f t="shared" si="5"/>
        <v>125</v>
      </c>
      <c r="T27" s="33">
        <f t="shared" si="6"/>
        <v>0.85465116279069764</v>
      </c>
      <c r="U27" s="33">
        <v>0</v>
      </c>
      <c r="V27" s="33">
        <v>0.75</v>
      </c>
      <c r="W27" s="218" t="str">
        <f t="shared" si="7"/>
        <v/>
      </c>
      <c r="X27" s="218" t="str">
        <f t="shared" si="8"/>
        <v/>
      </c>
      <c r="Y27" s="33">
        <f t="shared" si="9"/>
        <v>0.9</v>
      </c>
      <c r="Z27" s="218" t="str">
        <f t="shared" si="10"/>
        <v/>
      </c>
      <c r="AA27" s="218" t="str">
        <f t="shared" si="11"/>
        <v/>
      </c>
      <c r="AB27" s="33" t="str">
        <f t="shared" si="12"/>
        <v/>
      </c>
      <c r="AC27" s="33">
        <f t="shared" si="13"/>
        <v>-1</v>
      </c>
    </row>
    <row r="28" spans="1:29" x14ac:dyDescent="0.2">
      <c r="A28" t="str">
        <f>INDEX(Prioritization!$D:$D,MATCH($B28,Prioritization!$A:$A,0))</f>
        <v>1 - Scale-up: Saturation</v>
      </c>
      <c r="B28" t="s">
        <v>315</v>
      </c>
      <c r="C28" t="s">
        <v>967</v>
      </c>
      <c r="D28" t="s">
        <v>48</v>
      </c>
      <c r="E28" t="str">
        <f t="shared" si="0"/>
        <v>Chikwawa District [U8c0so51kT6]|&lt;15|Male</v>
      </c>
      <c r="F28" s="229" cm="1">
        <f t="array" ref="F28">IFERROR(1/(1/SUM(SUMIFS(Cascade!$O:$O,Cascade!$B:$B,$B28,Cascade!$C:$C,IF($C28="&lt;15",{"=&lt;01","01-09","10-14"},{"15-24","25-34","35-49","50+"}),Cascade!$D:$D,$D28))),"")</f>
        <v>781</v>
      </c>
      <c r="G28" s="38" cm="1">
        <f t="array" ref="G28">IFERROR(1/(1/SUM(SUMIFS(Cascade!$AX:$AX,Cascade!$B:$B,$B28,Cascade!$C:$C,IF($C28="&lt;15",{"=&lt;01","01-09","10-14"},{"15-24","25-34","35-49","50+"}),Cascade!$D:$D,$D28))),"")</f>
        <v>17</v>
      </c>
      <c r="H28" s="33">
        <v>0.95</v>
      </c>
      <c r="I28" s="33">
        <v>0.95</v>
      </c>
      <c r="J28" s="33">
        <v>0.05</v>
      </c>
      <c r="K28" s="33">
        <v>0.15</v>
      </c>
      <c r="L28" s="218">
        <f t="shared" si="1"/>
        <v>37</v>
      </c>
      <c r="M28" s="218">
        <f t="shared" si="2"/>
        <v>705</v>
      </c>
      <c r="N28" s="218">
        <f t="shared" si="3"/>
        <v>2</v>
      </c>
      <c r="O28" s="218">
        <f t="shared" si="4"/>
        <v>14</v>
      </c>
      <c r="P28" s="38">
        <v>98</v>
      </c>
      <c r="Q28" s="38"/>
      <c r="R28" s="38">
        <v>61</v>
      </c>
      <c r="S28" s="38">
        <f t="shared" si="5"/>
        <v>159</v>
      </c>
      <c r="T28" s="33">
        <f t="shared" si="6"/>
        <v>0.79641485275288093</v>
      </c>
      <c r="U28" s="33">
        <v>0</v>
      </c>
      <c r="V28" s="33">
        <v>0.75</v>
      </c>
      <c r="W28" s="218">
        <f t="shared" si="7"/>
        <v>0</v>
      </c>
      <c r="X28" s="218">
        <f>IF(SUM($O28)=0,"",IF($V28="","ENTER INITIATION RATE",ROUND($O28*$V28,0)))</f>
        <v>11</v>
      </c>
      <c r="Y28" s="33">
        <f t="shared" si="9"/>
        <v>0.9</v>
      </c>
      <c r="Z28" s="218" t="str">
        <f t="shared" si="10"/>
        <v/>
      </c>
      <c r="AA28" s="218">
        <f t="shared" si="11"/>
        <v>10</v>
      </c>
      <c r="AB28" s="33" t="str">
        <f t="shared" si="12"/>
        <v/>
      </c>
      <c r="AC28" s="33">
        <f t="shared" si="13"/>
        <v>-0.83606557377049184</v>
      </c>
    </row>
    <row r="29" spans="1:29" x14ac:dyDescent="0.2">
      <c r="A29" t="str">
        <f>INDEX(Prioritization!$D:$D,MATCH($B29,Prioritization!$A:$A,0))</f>
        <v>1 - Scale-up: Saturation</v>
      </c>
      <c r="B29" t="s">
        <v>315</v>
      </c>
      <c r="C29" t="s">
        <v>968</v>
      </c>
      <c r="D29" t="s">
        <v>30</v>
      </c>
      <c r="E29" t="str">
        <f t="shared" si="0"/>
        <v>Chikwawa District [U8c0so51kT6]|15+|Female</v>
      </c>
      <c r="F29" s="229" cm="1">
        <f t="array" ref="F29">IFERROR(1/(1/SUM(SUMIFS(Cascade!$O:$O,Cascade!$B:$B,$B29,Cascade!$C:$C,IF($C29="&lt;15",{"=&lt;01","01-09","10-14"},{"15-24","25-34","35-49","50+"}),Cascade!$D:$D,$D29))),"")</f>
        <v>19571</v>
      </c>
      <c r="G29" s="38" cm="1">
        <f t="array" ref="G29">IFERROR(1/(1/SUM(SUMIFS(Cascade!$AX:$AX,Cascade!$B:$B,$B29,Cascade!$C:$C,IF($C29="&lt;15",{"=&lt;01","01-09","10-14"},{"15-24","25-34","35-49","50+"}),Cascade!$D:$D,$D29))),"")</f>
        <v>1261</v>
      </c>
      <c r="H29" s="33">
        <v>0.95</v>
      </c>
      <c r="I29" s="33">
        <v>0.95</v>
      </c>
      <c r="J29" s="33">
        <v>0.05</v>
      </c>
      <c r="K29" s="33">
        <v>0.15</v>
      </c>
      <c r="L29" s="218">
        <f t="shared" si="1"/>
        <v>930</v>
      </c>
      <c r="M29" s="218">
        <f t="shared" si="2"/>
        <v>17662</v>
      </c>
      <c r="N29" s="218">
        <f t="shared" si="3"/>
        <v>180</v>
      </c>
      <c r="O29" s="218">
        <f t="shared" si="4"/>
        <v>1018</v>
      </c>
      <c r="P29" s="38">
        <v>6091</v>
      </c>
      <c r="Q29" s="38"/>
      <c r="R29" s="38">
        <v>954</v>
      </c>
      <c r="S29" s="38">
        <f t="shared" si="5"/>
        <v>7044.9999999999991</v>
      </c>
      <c r="T29" s="33">
        <f>IF(SUM($F29)=0,"",MAX(($F29-$S29)/$F29,0))</f>
        <v>0.64002861376526499</v>
      </c>
      <c r="U29" s="33">
        <v>0</v>
      </c>
      <c r="V29" s="33">
        <v>0.75</v>
      </c>
      <c r="W29" s="218">
        <f>IF(SUM($M29)=0,"",IF($T29="","ENTER ELIGIBILITY RATE",IF($U29 = "","ENTER INITIATION RATE",ROUND($M29*$T29*$U29,0))))</f>
        <v>0</v>
      </c>
      <c r="X29" s="218">
        <f t="shared" si="8"/>
        <v>764</v>
      </c>
      <c r="Y29" s="33">
        <f t="shared" si="9"/>
        <v>0.9</v>
      </c>
      <c r="Z29" s="218" t="str">
        <f t="shared" si="10"/>
        <v/>
      </c>
      <c r="AA29" s="218">
        <f t="shared" si="11"/>
        <v>688</v>
      </c>
      <c r="AB29" s="33" t="str">
        <f t="shared" si="12"/>
        <v/>
      </c>
      <c r="AC29" s="33">
        <f t="shared" si="13"/>
        <v>-0.27882599580712786</v>
      </c>
    </row>
    <row r="30" spans="1:29" x14ac:dyDescent="0.2">
      <c r="A30" t="str">
        <f>INDEX(Prioritization!$D:$D,MATCH($B30,Prioritization!$A:$A,0))</f>
        <v>1 - Scale-up: Saturation</v>
      </c>
      <c r="B30" t="s">
        <v>315</v>
      </c>
      <c r="C30" t="s">
        <v>968</v>
      </c>
      <c r="D30" t="s">
        <v>48</v>
      </c>
      <c r="E30" t="str">
        <f t="shared" si="0"/>
        <v>Chikwawa District [U8c0so51kT6]|15+|Male</v>
      </c>
      <c r="F30" s="229" cm="1">
        <f t="array" ref="F30">IFERROR(1/(1/SUM(SUMIFS(Cascade!$O:$O,Cascade!$B:$B,$B30,Cascade!$C:$C,IF($C30="&lt;15",{"=&lt;01","01-09","10-14"},{"15-24","25-34","35-49","50+"}),Cascade!$D:$D,$D30))),"")</f>
        <v>11538</v>
      </c>
      <c r="G30" s="38" cm="1">
        <f t="array" ref="G30">IFERROR(1/(1/SUM(SUMIFS(Cascade!$AX:$AX,Cascade!$B:$B,$B30,Cascade!$C:$C,IF($C30="&lt;15",{"=&lt;01","01-09","10-14"},{"15-24","25-34","35-49","50+"}),Cascade!$D:$D,$D30))),"")</f>
        <v>992</v>
      </c>
      <c r="H30" s="33">
        <v>0.95</v>
      </c>
      <c r="I30" s="33">
        <v>0.95</v>
      </c>
      <c r="J30" s="33">
        <v>0.05</v>
      </c>
      <c r="K30" s="33">
        <v>0.15</v>
      </c>
      <c r="L30" s="218">
        <f t="shared" si="1"/>
        <v>548</v>
      </c>
      <c r="M30" s="218">
        <f t="shared" si="2"/>
        <v>10413</v>
      </c>
      <c r="N30" s="218">
        <f t="shared" si="3"/>
        <v>141</v>
      </c>
      <c r="O30" s="218">
        <f t="shared" si="4"/>
        <v>801</v>
      </c>
      <c r="P30" s="38">
        <v>3959</v>
      </c>
      <c r="Q30" s="38"/>
      <c r="R30" s="38">
        <v>349</v>
      </c>
      <c r="S30" s="38">
        <f t="shared" si="5"/>
        <v>4308</v>
      </c>
      <c r="T30" s="33">
        <f t="shared" si="6"/>
        <v>0.62662506500260007</v>
      </c>
      <c r="U30" s="33">
        <v>0</v>
      </c>
      <c r="V30" s="33">
        <v>0.75</v>
      </c>
      <c r="W30" s="218">
        <f t="shared" si="7"/>
        <v>0</v>
      </c>
      <c r="X30" s="218">
        <f t="shared" si="8"/>
        <v>601</v>
      </c>
      <c r="Y30" s="33">
        <f t="shared" si="9"/>
        <v>0.9</v>
      </c>
      <c r="Z30" s="218" t="str">
        <f t="shared" si="10"/>
        <v/>
      </c>
      <c r="AA30" s="218">
        <f t="shared" si="11"/>
        <v>541</v>
      </c>
      <c r="AB30" s="33" t="str">
        <f t="shared" si="12"/>
        <v/>
      </c>
      <c r="AC30" s="33">
        <f t="shared" si="13"/>
        <v>0.55014326647564471</v>
      </c>
    </row>
    <row r="31" spans="1:29" x14ac:dyDescent="0.2">
      <c r="A31" t="str">
        <f>INDEX(Prioritization!$D:$D,MATCH($B31,Prioritization!$A:$A,0))</f>
        <v>INVALID</v>
      </c>
      <c r="B31" t="s">
        <v>316</v>
      </c>
      <c r="C31" t="s">
        <v>967</v>
      </c>
      <c r="D31" t="s">
        <v>30</v>
      </c>
      <c r="E31" t="str">
        <f t="shared" si="0"/>
        <v>Chiradzulu District [oiPR2CiVJbf]|&lt;15|Female</v>
      </c>
      <c r="F31" s="229" cm="1">
        <f t="array" ref="F31">IFERROR(1/(1/SUM(SUMIFS(Cascade!$O:$O,Cascade!$B:$B,$B31,Cascade!$C:$C,IF($C31="&lt;15",{"=&lt;01","01-09","10-14"},{"15-24","25-34","35-49","50+"}),Cascade!$D:$D,$D31))),"")</f>
        <v>762</v>
      </c>
      <c r="G31" s="38" cm="1">
        <f t="array" ref="G31">IFERROR(1/(1/SUM(SUMIFS(Cascade!$AX:$AX,Cascade!$B:$B,$B31,Cascade!$C:$C,IF($C31="&lt;15",{"=&lt;01","01-09","10-14"},{"15-24","25-34","35-49","50+"}),Cascade!$D:$D,$D31))),"")</f>
        <v>49.000000000000007</v>
      </c>
      <c r="H31" s="33">
        <v>0.95</v>
      </c>
      <c r="I31" s="33">
        <v>0.95</v>
      </c>
      <c r="J31" s="33">
        <v>0.05</v>
      </c>
      <c r="K31" s="33">
        <v>0.15</v>
      </c>
      <c r="L31" s="218">
        <f t="shared" si="1"/>
        <v>36</v>
      </c>
      <c r="M31" s="218">
        <f t="shared" si="2"/>
        <v>688</v>
      </c>
      <c r="N31" s="218">
        <f t="shared" si="3"/>
        <v>7</v>
      </c>
      <c r="O31" s="218">
        <f t="shared" si="4"/>
        <v>40</v>
      </c>
      <c r="P31" s="38">
        <v>861</v>
      </c>
      <c r="Q31" s="38"/>
      <c r="R31" s="38">
        <v>50</v>
      </c>
      <c r="S31" s="38">
        <f t="shared" si="5"/>
        <v>911</v>
      </c>
      <c r="T31" s="33">
        <f t="shared" si="6"/>
        <v>0</v>
      </c>
      <c r="U31" s="33">
        <v>0</v>
      </c>
      <c r="V31" s="33">
        <v>0.75</v>
      </c>
      <c r="W31" s="218">
        <f t="shared" si="7"/>
        <v>0</v>
      </c>
      <c r="X31" s="218">
        <f t="shared" si="8"/>
        <v>30</v>
      </c>
      <c r="Y31" s="33">
        <f t="shared" si="9"/>
        <v>0.9</v>
      </c>
      <c r="Z31" s="218" t="str">
        <f t="shared" si="10"/>
        <v/>
      </c>
      <c r="AA31" s="218">
        <f t="shared" si="11"/>
        <v>27</v>
      </c>
      <c r="AB31" s="33" t="str">
        <f t="shared" si="12"/>
        <v/>
      </c>
      <c r="AC31" s="33">
        <f t="shared" si="13"/>
        <v>-0.46</v>
      </c>
    </row>
    <row r="32" spans="1:29" x14ac:dyDescent="0.2">
      <c r="A32" t="str">
        <f>INDEX(Prioritization!$D:$D,MATCH($B32,Prioritization!$A:$A,0))</f>
        <v>INVALID</v>
      </c>
      <c r="B32" t="s">
        <v>316</v>
      </c>
      <c r="C32" t="s">
        <v>967</v>
      </c>
      <c r="D32" t="s">
        <v>48</v>
      </c>
      <c r="E32" t="str">
        <f t="shared" si="0"/>
        <v>Chiradzulu District [oiPR2CiVJbf]|&lt;15|Male</v>
      </c>
      <c r="F32" s="229" cm="1">
        <f t="array" ref="F32">IFERROR(1/(1/SUM(SUMIFS(Cascade!$O:$O,Cascade!$B:$B,$B32,Cascade!$C:$C,IF($C32="&lt;15",{"=&lt;01","01-09","10-14"},{"15-24","25-34","35-49","50+"}),Cascade!$D:$D,$D32))),"")</f>
        <v>783</v>
      </c>
      <c r="G32" s="38" cm="1">
        <f t="array" ref="G32">IFERROR(1/(1/SUM(SUMIFS(Cascade!$AX:$AX,Cascade!$B:$B,$B32,Cascade!$C:$C,IF($C32="&lt;15",{"=&lt;01","01-09","10-14"},{"15-24","25-34","35-49","50+"}),Cascade!$D:$D,$D32))),"")</f>
        <v>16</v>
      </c>
      <c r="H32" s="33">
        <v>0.95</v>
      </c>
      <c r="I32" s="33">
        <v>0.95</v>
      </c>
      <c r="J32" s="33">
        <v>0.05</v>
      </c>
      <c r="K32" s="33">
        <v>0.15</v>
      </c>
      <c r="L32" s="218">
        <f t="shared" si="1"/>
        <v>37</v>
      </c>
      <c r="M32" s="218">
        <f t="shared" si="2"/>
        <v>707</v>
      </c>
      <c r="N32" s="218">
        <f t="shared" si="3"/>
        <v>2</v>
      </c>
      <c r="O32" s="218">
        <f t="shared" si="4"/>
        <v>13</v>
      </c>
      <c r="P32" s="38">
        <v>880</v>
      </c>
      <c r="Q32" s="38"/>
      <c r="R32" s="38">
        <v>55</v>
      </c>
      <c r="S32" s="38">
        <f t="shared" si="5"/>
        <v>935</v>
      </c>
      <c r="T32" s="33">
        <f t="shared" si="6"/>
        <v>0</v>
      </c>
      <c r="U32" s="33">
        <v>0</v>
      </c>
      <c r="V32" s="33">
        <v>0.75</v>
      </c>
      <c r="W32" s="218">
        <f t="shared" si="7"/>
        <v>0</v>
      </c>
      <c r="X32" s="218">
        <f t="shared" si="8"/>
        <v>10</v>
      </c>
      <c r="Y32" s="33">
        <f t="shared" si="9"/>
        <v>0.9</v>
      </c>
      <c r="Z32" s="218" t="str">
        <f t="shared" si="10"/>
        <v/>
      </c>
      <c r="AA32" s="218">
        <f t="shared" si="11"/>
        <v>9</v>
      </c>
      <c r="AB32" s="33" t="str">
        <f t="shared" si="12"/>
        <v/>
      </c>
      <c r="AC32" s="33">
        <f t="shared" si="13"/>
        <v>-0.83636363636363631</v>
      </c>
    </row>
    <row r="33" spans="1:29" x14ac:dyDescent="0.2">
      <c r="A33" t="str">
        <f>INDEX(Prioritization!$D:$D,MATCH($B33,Prioritization!$A:$A,0))</f>
        <v>INVALID</v>
      </c>
      <c r="B33" t="s">
        <v>316</v>
      </c>
      <c r="C33" t="s">
        <v>968</v>
      </c>
      <c r="D33" t="s">
        <v>30</v>
      </c>
      <c r="E33" t="str">
        <f t="shared" si="0"/>
        <v>Chiradzulu District [oiPR2CiVJbf]|15+|Female</v>
      </c>
      <c r="F33" s="229" cm="1">
        <f t="array" ref="F33">IFERROR(1/(1/SUM(SUMIFS(Cascade!$O:$O,Cascade!$B:$B,$B33,Cascade!$C:$C,IF($C33="&lt;15",{"=&lt;01","01-09","10-14"},{"15-24","25-34","35-49","50+"}),Cascade!$D:$D,$D33))),"")</f>
        <v>28319</v>
      </c>
      <c r="G33" s="38" cm="1">
        <f t="array" ref="G33">IFERROR(1/(1/SUM(SUMIFS(Cascade!$AX:$AX,Cascade!$B:$B,$B33,Cascade!$C:$C,IF($C33="&lt;15",{"=&lt;01","01-09","10-14"},{"15-24","25-34","35-49","50+"}),Cascade!$D:$D,$D33))),"")</f>
        <v>1259</v>
      </c>
      <c r="H33" s="33">
        <v>0.95</v>
      </c>
      <c r="I33" s="33">
        <v>0.95</v>
      </c>
      <c r="J33" s="33">
        <v>0.05</v>
      </c>
      <c r="K33" s="33">
        <v>0.15</v>
      </c>
      <c r="L33" s="218">
        <f t="shared" si="1"/>
        <v>1345</v>
      </c>
      <c r="M33" s="218">
        <f t="shared" si="2"/>
        <v>25558</v>
      </c>
      <c r="N33" s="218">
        <f t="shared" si="3"/>
        <v>179</v>
      </c>
      <c r="O33" s="218">
        <f t="shared" si="4"/>
        <v>1017</v>
      </c>
      <c r="P33" s="38">
        <v>17903</v>
      </c>
      <c r="Q33" s="38"/>
      <c r="R33" s="38">
        <v>676</v>
      </c>
      <c r="S33" s="38">
        <f t="shared" si="5"/>
        <v>18579</v>
      </c>
      <c r="T33" s="33">
        <f t="shared" si="6"/>
        <v>0.34393869840036723</v>
      </c>
      <c r="U33" s="33">
        <v>0</v>
      </c>
      <c r="V33" s="33">
        <v>0.75</v>
      </c>
      <c r="W33" s="218">
        <f t="shared" si="7"/>
        <v>0</v>
      </c>
      <c r="X33" s="218">
        <f t="shared" si="8"/>
        <v>763</v>
      </c>
      <c r="Y33" s="33">
        <f t="shared" si="9"/>
        <v>0.9</v>
      </c>
      <c r="Z33" s="218" t="str">
        <f t="shared" si="10"/>
        <v/>
      </c>
      <c r="AA33" s="218">
        <f t="shared" si="11"/>
        <v>687</v>
      </c>
      <c r="AB33" s="33" t="str">
        <f t="shared" si="12"/>
        <v/>
      </c>
      <c r="AC33" s="33">
        <f t="shared" si="13"/>
        <v>1.6272189349112426E-2</v>
      </c>
    </row>
    <row r="34" spans="1:29" x14ac:dyDescent="0.2">
      <c r="A34" t="str">
        <f>INDEX(Prioritization!$D:$D,MATCH($B34,Prioritization!$A:$A,0))</f>
        <v>INVALID</v>
      </c>
      <c r="B34" t="s">
        <v>316</v>
      </c>
      <c r="C34" t="s">
        <v>968</v>
      </c>
      <c r="D34" t="s">
        <v>48</v>
      </c>
      <c r="E34" t="str">
        <f t="shared" si="0"/>
        <v>Chiradzulu District [oiPR2CiVJbf]|15+|Male</v>
      </c>
      <c r="F34" s="229" cm="1">
        <f t="array" ref="F34">IFERROR(1/(1/SUM(SUMIFS(Cascade!$O:$O,Cascade!$B:$B,$B34,Cascade!$C:$C,IF($C34="&lt;15",{"=&lt;01","01-09","10-14"},{"15-24","25-34","35-49","50+"}),Cascade!$D:$D,$D34))),"")</f>
        <v>14560.999999999998</v>
      </c>
      <c r="G34" s="38" cm="1">
        <f t="array" ref="G34">IFERROR(1/(1/SUM(SUMIFS(Cascade!$AX:$AX,Cascade!$B:$B,$B34,Cascade!$C:$C,IF($C34="&lt;15",{"=&lt;01","01-09","10-14"},{"15-24","25-34","35-49","50+"}),Cascade!$D:$D,$D34))),"")</f>
        <v>1040</v>
      </c>
      <c r="H34" s="33">
        <v>0.95</v>
      </c>
      <c r="I34" s="33">
        <v>0.95</v>
      </c>
      <c r="J34" s="33">
        <v>0.05</v>
      </c>
      <c r="K34" s="33">
        <v>0.15</v>
      </c>
      <c r="L34" s="218">
        <f t="shared" si="1"/>
        <v>692</v>
      </c>
      <c r="M34" s="218">
        <f t="shared" si="2"/>
        <v>13141</v>
      </c>
      <c r="N34" s="218">
        <f t="shared" si="3"/>
        <v>148</v>
      </c>
      <c r="O34" s="218">
        <f t="shared" si="4"/>
        <v>840</v>
      </c>
      <c r="P34" s="38">
        <v>10570</v>
      </c>
      <c r="Q34" s="38"/>
      <c r="R34" s="38">
        <v>490</v>
      </c>
      <c r="S34" s="38">
        <f t="shared" si="5"/>
        <v>11060</v>
      </c>
      <c r="T34" s="33">
        <f t="shared" si="6"/>
        <v>0.24043678318796777</v>
      </c>
      <c r="U34" s="33">
        <v>0</v>
      </c>
      <c r="V34" s="33">
        <v>0.75</v>
      </c>
      <c r="W34" s="218">
        <f t="shared" si="7"/>
        <v>0</v>
      </c>
      <c r="X34" s="218">
        <f t="shared" si="8"/>
        <v>630</v>
      </c>
      <c r="Y34" s="33">
        <f t="shared" si="9"/>
        <v>0.9</v>
      </c>
      <c r="Z34" s="218" t="str">
        <f t="shared" si="10"/>
        <v/>
      </c>
      <c r="AA34" s="218">
        <f t="shared" si="11"/>
        <v>567</v>
      </c>
      <c r="AB34" s="33" t="str">
        <f t="shared" si="12"/>
        <v/>
      </c>
      <c r="AC34" s="33">
        <f t="shared" si="13"/>
        <v>0.15714285714285714</v>
      </c>
    </row>
    <row r="35" spans="1:29" x14ac:dyDescent="0.2">
      <c r="A35" t="str">
        <f>INDEX(Prioritization!$D:$D,MATCH($B35,Prioritization!$A:$A,0))</f>
        <v>4 - Sustained</v>
      </c>
      <c r="B35" t="s">
        <v>307</v>
      </c>
      <c r="C35" t="s">
        <v>967</v>
      </c>
      <c r="D35" t="s">
        <v>30</v>
      </c>
      <c r="E35" t="str">
        <f t="shared" si="0"/>
        <v>Chitipa District [GkIwZrXy1h2]|&lt;15|Female</v>
      </c>
      <c r="F35" s="229" cm="1">
        <f t="array" ref="F35">IFERROR(1/(1/SUM(SUMIFS(Cascade!$O:$O,Cascade!$B:$B,$B35,Cascade!$C:$C,IF($C35="&lt;15",{"=&lt;01","01-09","10-14"},{"15-24","25-34","35-49","50+"}),Cascade!$D:$D,$D35))),"")</f>
        <v>121</v>
      </c>
      <c r="G35" s="38" cm="1">
        <f t="array" ref="G35">IFERROR(1/(1/SUM(SUMIFS(Cascade!$AX:$AX,Cascade!$B:$B,$B35,Cascade!$C:$C,IF($C35="&lt;15",{"=&lt;01","01-09","10-14"},{"15-24","25-34","35-49","50+"}),Cascade!$D:$D,$D35))),"")</f>
        <v>9</v>
      </c>
      <c r="H35" s="33">
        <v>0.95</v>
      </c>
      <c r="I35" s="33">
        <v>0.95</v>
      </c>
      <c r="J35" s="33">
        <v>0.05</v>
      </c>
      <c r="K35" s="33">
        <v>0.15</v>
      </c>
      <c r="L35" s="218">
        <f t="shared" si="1"/>
        <v>6</v>
      </c>
      <c r="M35" s="218">
        <f t="shared" si="2"/>
        <v>109</v>
      </c>
      <c r="N35" s="218">
        <f t="shared" si="3"/>
        <v>1</v>
      </c>
      <c r="O35" s="218">
        <f t="shared" si="4"/>
        <v>8</v>
      </c>
      <c r="P35" s="38">
        <v>10</v>
      </c>
      <c r="Q35" s="38"/>
      <c r="R35" s="38">
        <v>8</v>
      </c>
      <c r="S35" s="38">
        <f t="shared" si="5"/>
        <v>18</v>
      </c>
      <c r="T35" s="33">
        <f t="shared" si="6"/>
        <v>0.85123966942148765</v>
      </c>
      <c r="U35" s="33">
        <v>0</v>
      </c>
      <c r="V35" s="33">
        <v>0.75</v>
      </c>
      <c r="W35" s="218">
        <f t="shared" si="7"/>
        <v>0</v>
      </c>
      <c r="X35" s="218">
        <f t="shared" si="8"/>
        <v>6</v>
      </c>
      <c r="Y35" s="33">
        <f t="shared" si="9"/>
        <v>0.9</v>
      </c>
      <c r="Z35" s="218" t="str">
        <f t="shared" si="10"/>
        <v/>
      </c>
      <c r="AA35" s="218">
        <f t="shared" si="11"/>
        <v>5</v>
      </c>
      <c r="AB35" s="33" t="str">
        <f t="shared" si="12"/>
        <v/>
      </c>
      <c r="AC35" s="33">
        <f t="shared" si="13"/>
        <v>-0.375</v>
      </c>
    </row>
    <row r="36" spans="1:29" x14ac:dyDescent="0.2">
      <c r="A36" t="str">
        <f>INDEX(Prioritization!$D:$D,MATCH($B36,Prioritization!$A:$A,0))</f>
        <v>4 - Sustained</v>
      </c>
      <c r="B36" t="s">
        <v>307</v>
      </c>
      <c r="C36" t="s">
        <v>967</v>
      </c>
      <c r="D36" t="s">
        <v>48</v>
      </c>
      <c r="E36" t="str">
        <f t="shared" si="0"/>
        <v>Chitipa District [GkIwZrXy1h2]|&lt;15|Male</v>
      </c>
      <c r="F36" s="229" cm="1">
        <f t="array" ref="F36">IFERROR(1/(1/SUM(SUMIFS(Cascade!$O:$O,Cascade!$B:$B,$B36,Cascade!$C:$C,IF($C36="&lt;15",{"=&lt;01","01-09","10-14"},{"15-24","25-34","35-49","50+"}),Cascade!$D:$D,$D36))),"")</f>
        <v>111</v>
      </c>
      <c r="G36" s="38" cm="1">
        <f t="array" ref="G36">IFERROR(1/(1/SUM(SUMIFS(Cascade!$AX:$AX,Cascade!$B:$B,$B36,Cascade!$C:$C,IF($C36="&lt;15",{"=&lt;01","01-09","10-14"},{"15-24","25-34","35-49","50+"}),Cascade!$D:$D,$D36))),"")</f>
        <v>2</v>
      </c>
      <c r="H36" s="33">
        <v>0.95</v>
      </c>
      <c r="I36" s="33">
        <v>0.95</v>
      </c>
      <c r="J36" s="33">
        <v>0.05</v>
      </c>
      <c r="K36" s="33">
        <v>0.15</v>
      </c>
      <c r="L36" s="218">
        <f t="shared" si="1"/>
        <v>5</v>
      </c>
      <c r="M36" s="218">
        <f t="shared" si="2"/>
        <v>100</v>
      </c>
      <c r="N36" s="218">
        <f t="shared" si="3"/>
        <v>0</v>
      </c>
      <c r="O36" s="218">
        <f t="shared" si="4"/>
        <v>2</v>
      </c>
      <c r="P36" s="38">
        <v>16</v>
      </c>
      <c r="Q36" s="38"/>
      <c r="R36" s="38">
        <v>9</v>
      </c>
      <c r="S36" s="38">
        <f t="shared" si="5"/>
        <v>25</v>
      </c>
      <c r="T36" s="33">
        <f t="shared" si="6"/>
        <v>0.77477477477477474</v>
      </c>
      <c r="U36" s="33">
        <v>0</v>
      </c>
      <c r="V36" s="33">
        <v>0.75</v>
      </c>
      <c r="W36" s="218">
        <f t="shared" si="7"/>
        <v>0</v>
      </c>
      <c r="X36" s="218">
        <f t="shared" si="8"/>
        <v>2</v>
      </c>
      <c r="Y36" s="33">
        <f t="shared" si="9"/>
        <v>0.9</v>
      </c>
      <c r="Z36" s="218" t="str">
        <f t="shared" si="10"/>
        <v/>
      </c>
      <c r="AA36" s="218">
        <f t="shared" si="11"/>
        <v>2</v>
      </c>
      <c r="AB36" s="33" t="str">
        <f t="shared" si="12"/>
        <v/>
      </c>
      <c r="AC36" s="33">
        <f t="shared" si="13"/>
        <v>-0.77777777777777779</v>
      </c>
    </row>
    <row r="37" spans="1:29" x14ac:dyDescent="0.2">
      <c r="A37" t="str">
        <f>INDEX(Prioritization!$D:$D,MATCH($B37,Prioritization!$A:$A,0))</f>
        <v>4 - Sustained</v>
      </c>
      <c r="B37" t="s">
        <v>307</v>
      </c>
      <c r="C37" t="s">
        <v>968</v>
      </c>
      <c r="D37" t="s">
        <v>30</v>
      </c>
      <c r="E37" t="str">
        <f t="shared" si="0"/>
        <v>Chitipa District [GkIwZrXy1h2]|15+|Female</v>
      </c>
      <c r="F37" s="229" cm="1">
        <f t="array" ref="F37">IFERROR(1/(1/SUM(SUMIFS(Cascade!$O:$O,Cascade!$B:$B,$B37,Cascade!$C:$C,IF($C37="&lt;15",{"=&lt;01","01-09","10-14"},{"15-24","25-34","35-49","50+"}),Cascade!$D:$D,$D37))),"")</f>
        <v>3410</v>
      </c>
      <c r="G37" s="38" cm="1">
        <f t="array" ref="G37">IFERROR(1/(1/SUM(SUMIFS(Cascade!$AX:$AX,Cascade!$B:$B,$B37,Cascade!$C:$C,IF($C37="&lt;15",{"=&lt;01","01-09","10-14"},{"15-24","25-34","35-49","50+"}),Cascade!$D:$D,$D37))),"")</f>
        <v>169</v>
      </c>
      <c r="H37" s="33">
        <v>0.95</v>
      </c>
      <c r="I37" s="33">
        <v>0.95</v>
      </c>
      <c r="J37" s="33">
        <v>0.05</v>
      </c>
      <c r="K37" s="33">
        <v>0.15</v>
      </c>
      <c r="L37" s="218">
        <f t="shared" si="1"/>
        <v>162</v>
      </c>
      <c r="M37" s="218">
        <f t="shared" si="2"/>
        <v>3078</v>
      </c>
      <c r="N37" s="218">
        <f t="shared" si="3"/>
        <v>24</v>
      </c>
      <c r="O37" s="218">
        <f t="shared" si="4"/>
        <v>137</v>
      </c>
      <c r="P37" s="38">
        <v>628</v>
      </c>
      <c r="Q37" s="38"/>
      <c r="R37" s="38">
        <v>180</v>
      </c>
      <c r="S37" s="38">
        <f t="shared" si="5"/>
        <v>808</v>
      </c>
      <c r="T37" s="33">
        <f t="shared" si="6"/>
        <v>0.76304985337243403</v>
      </c>
      <c r="U37" s="33">
        <v>0</v>
      </c>
      <c r="V37" s="33">
        <v>0.75</v>
      </c>
      <c r="W37" s="218">
        <f t="shared" si="7"/>
        <v>0</v>
      </c>
      <c r="X37" s="218">
        <f t="shared" si="8"/>
        <v>103</v>
      </c>
      <c r="Y37" s="33">
        <f t="shared" si="9"/>
        <v>0.9</v>
      </c>
      <c r="Z37" s="218" t="str">
        <f t="shared" si="10"/>
        <v/>
      </c>
      <c r="AA37" s="218">
        <f t="shared" si="11"/>
        <v>93</v>
      </c>
      <c r="AB37" s="33" t="str">
        <f t="shared" si="12"/>
        <v/>
      </c>
      <c r="AC37" s="33">
        <f t="shared" si="13"/>
        <v>-0.48333333333333334</v>
      </c>
    </row>
    <row r="38" spans="1:29" x14ac:dyDescent="0.2">
      <c r="A38" t="str">
        <f>INDEX(Prioritization!$D:$D,MATCH($B38,Prioritization!$A:$A,0))</f>
        <v>4 - Sustained</v>
      </c>
      <c r="B38" t="s">
        <v>307</v>
      </c>
      <c r="C38" t="s">
        <v>968</v>
      </c>
      <c r="D38" t="s">
        <v>48</v>
      </c>
      <c r="E38" t="str">
        <f t="shared" si="0"/>
        <v>Chitipa District [GkIwZrXy1h2]|15+|Male</v>
      </c>
      <c r="F38" s="229" cm="1">
        <f t="array" ref="F38">IFERROR(1/(1/SUM(SUMIFS(Cascade!$O:$O,Cascade!$B:$B,$B38,Cascade!$C:$C,IF($C38="&lt;15",{"=&lt;01","01-09","10-14"},{"15-24","25-34","35-49","50+"}),Cascade!$D:$D,$D38))),"")</f>
        <v>2165</v>
      </c>
      <c r="G38" s="38" cm="1">
        <f t="array" ref="G38">IFERROR(1/(1/SUM(SUMIFS(Cascade!$AX:$AX,Cascade!$B:$B,$B38,Cascade!$C:$C,IF($C38="&lt;15",{"=&lt;01","01-09","10-14"},{"15-24","25-34","35-49","50+"}),Cascade!$D:$D,$D38))),"")</f>
        <v>77</v>
      </c>
      <c r="H38" s="33">
        <v>0.95</v>
      </c>
      <c r="I38" s="33">
        <v>0.95</v>
      </c>
      <c r="J38" s="33">
        <v>0.05</v>
      </c>
      <c r="K38" s="33">
        <v>0.15</v>
      </c>
      <c r="L38" s="218">
        <f t="shared" si="1"/>
        <v>103</v>
      </c>
      <c r="M38" s="218">
        <f t="shared" si="2"/>
        <v>1954</v>
      </c>
      <c r="N38" s="218">
        <f t="shared" si="3"/>
        <v>11</v>
      </c>
      <c r="O38" s="218">
        <f t="shared" si="4"/>
        <v>62</v>
      </c>
      <c r="P38" s="38">
        <v>400</v>
      </c>
      <c r="Q38" s="38"/>
      <c r="R38" s="38">
        <v>59</v>
      </c>
      <c r="S38" s="38">
        <f t="shared" si="5"/>
        <v>458.99999999999994</v>
      </c>
      <c r="T38" s="33">
        <f t="shared" si="6"/>
        <v>0.78799076212471131</v>
      </c>
      <c r="U38" s="33">
        <v>0</v>
      </c>
      <c r="V38" s="33">
        <v>0.75</v>
      </c>
      <c r="W38" s="218">
        <f t="shared" si="7"/>
        <v>0</v>
      </c>
      <c r="X38" s="218">
        <f t="shared" si="8"/>
        <v>47</v>
      </c>
      <c r="Y38" s="33">
        <f t="shared" si="9"/>
        <v>0.9</v>
      </c>
      <c r="Z38" s="218" t="str">
        <f t="shared" si="10"/>
        <v/>
      </c>
      <c r="AA38" s="218">
        <f t="shared" si="11"/>
        <v>42</v>
      </c>
      <c r="AB38" s="33" t="str">
        <f t="shared" si="12"/>
        <v/>
      </c>
      <c r="AC38" s="33">
        <f t="shared" si="13"/>
        <v>-0.28813559322033899</v>
      </c>
    </row>
    <row r="39" spans="1:29" x14ac:dyDescent="0.2">
      <c r="A39" t="str">
        <f>INDEX(Prioritization!$D:$D,MATCH($B39,Prioritization!$A:$A,0))</f>
        <v>4 - Sustained</v>
      </c>
      <c r="B39" t="s">
        <v>298</v>
      </c>
      <c r="C39" t="s">
        <v>967</v>
      </c>
      <c r="D39" t="s">
        <v>30</v>
      </c>
      <c r="E39" t="str">
        <f t="shared" si="0"/>
        <v>Dedza District [PekKUkKHAzY]|&lt;15|Female</v>
      </c>
      <c r="F39" s="229" cm="1">
        <f t="array" ref="F39">IFERROR(1/(1/SUM(SUMIFS(Cascade!$O:$O,Cascade!$B:$B,$B39,Cascade!$C:$C,IF($C39="&lt;15",{"=&lt;01","01-09","10-14"},{"15-24","25-34","35-49","50+"}),Cascade!$D:$D,$D39))),"")</f>
        <v>430</v>
      </c>
      <c r="G39" s="38" cm="1">
        <f t="array" ref="G39">IFERROR(1/(1/SUM(SUMIFS(Cascade!$AX:$AX,Cascade!$B:$B,$B39,Cascade!$C:$C,IF($C39="&lt;15",{"=&lt;01","01-09","10-14"},{"15-24","25-34","35-49","50+"}),Cascade!$D:$D,$D39))),"")</f>
        <v>30</v>
      </c>
      <c r="H39" s="33">
        <v>0.95</v>
      </c>
      <c r="I39" s="33">
        <v>0.95</v>
      </c>
      <c r="J39" s="33">
        <v>0.05</v>
      </c>
      <c r="K39" s="33">
        <v>0.15</v>
      </c>
      <c r="L39" s="218">
        <f t="shared" si="1"/>
        <v>20</v>
      </c>
      <c r="M39" s="218">
        <f t="shared" si="2"/>
        <v>389</v>
      </c>
      <c r="N39" s="218">
        <f t="shared" si="3"/>
        <v>4</v>
      </c>
      <c r="O39" s="218">
        <f t="shared" si="4"/>
        <v>25</v>
      </c>
      <c r="P39" s="38">
        <v>97</v>
      </c>
      <c r="Q39" s="38"/>
      <c r="R39" s="38">
        <v>32</v>
      </c>
      <c r="S39" s="38">
        <f t="shared" si="5"/>
        <v>129</v>
      </c>
      <c r="T39" s="33">
        <f t="shared" si="6"/>
        <v>0.7</v>
      </c>
      <c r="U39" s="33">
        <v>0</v>
      </c>
      <c r="V39" s="33">
        <v>0.75</v>
      </c>
      <c r="W39" s="218">
        <f t="shared" si="7"/>
        <v>0</v>
      </c>
      <c r="X39" s="218">
        <f t="shared" si="8"/>
        <v>19</v>
      </c>
      <c r="Y39" s="33">
        <f t="shared" si="9"/>
        <v>0.9</v>
      </c>
      <c r="Z39" s="218" t="str">
        <f t="shared" si="10"/>
        <v/>
      </c>
      <c r="AA39" s="218">
        <f t="shared" si="11"/>
        <v>17</v>
      </c>
      <c r="AB39" s="33" t="str">
        <f t="shared" si="12"/>
        <v/>
      </c>
      <c r="AC39" s="33">
        <f t="shared" si="13"/>
        <v>-0.46875</v>
      </c>
    </row>
    <row r="40" spans="1:29" x14ac:dyDescent="0.2">
      <c r="A40" t="str">
        <f>INDEX(Prioritization!$D:$D,MATCH($B40,Prioritization!$A:$A,0))</f>
        <v>4 - Sustained</v>
      </c>
      <c r="B40" t="s">
        <v>298</v>
      </c>
      <c r="C40" t="s">
        <v>967</v>
      </c>
      <c r="D40" t="s">
        <v>48</v>
      </c>
      <c r="E40" t="str">
        <f t="shared" si="0"/>
        <v>Dedza District [PekKUkKHAzY]|&lt;15|Male</v>
      </c>
      <c r="F40" s="229" cm="1">
        <f t="array" ref="F40">IFERROR(1/(1/SUM(SUMIFS(Cascade!$O:$O,Cascade!$B:$B,$B40,Cascade!$C:$C,IF($C40="&lt;15",{"=&lt;01","01-09","10-14"},{"15-24","25-34","35-49","50+"}),Cascade!$D:$D,$D40))),"")</f>
        <v>426</v>
      </c>
      <c r="G40" s="38" cm="1">
        <f t="array" ref="G40">IFERROR(1/(1/SUM(SUMIFS(Cascade!$AX:$AX,Cascade!$B:$B,$B40,Cascade!$C:$C,IF($C40="&lt;15",{"=&lt;01","01-09","10-14"},{"15-24","25-34","35-49","50+"}),Cascade!$D:$D,$D40))),"")</f>
        <v>11</v>
      </c>
      <c r="H40" s="33">
        <v>0.95</v>
      </c>
      <c r="I40" s="33">
        <v>0.95</v>
      </c>
      <c r="J40" s="33">
        <v>0.05</v>
      </c>
      <c r="K40" s="33">
        <v>0.15</v>
      </c>
      <c r="L40" s="218">
        <f t="shared" si="1"/>
        <v>20</v>
      </c>
      <c r="M40" s="218">
        <f t="shared" si="2"/>
        <v>385</v>
      </c>
      <c r="N40" s="218">
        <f t="shared" si="3"/>
        <v>2</v>
      </c>
      <c r="O40" s="218">
        <f t="shared" si="4"/>
        <v>8</v>
      </c>
      <c r="P40" s="38">
        <v>96</v>
      </c>
      <c r="Q40" s="38"/>
      <c r="R40" s="38">
        <v>32</v>
      </c>
      <c r="S40" s="38">
        <f t="shared" si="5"/>
        <v>128</v>
      </c>
      <c r="T40" s="33">
        <f t="shared" si="6"/>
        <v>0.69953051643192488</v>
      </c>
      <c r="U40" s="33">
        <v>0</v>
      </c>
      <c r="V40" s="33">
        <v>0.75</v>
      </c>
      <c r="W40" s="218">
        <f t="shared" si="7"/>
        <v>0</v>
      </c>
      <c r="X40" s="218">
        <f t="shared" si="8"/>
        <v>6</v>
      </c>
      <c r="Y40" s="33">
        <f t="shared" si="9"/>
        <v>0.9</v>
      </c>
      <c r="Z40" s="218" t="str">
        <f t="shared" si="10"/>
        <v/>
      </c>
      <c r="AA40" s="218">
        <f t="shared" si="11"/>
        <v>5</v>
      </c>
      <c r="AB40" s="33" t="str">
        <f t="shared" si="12"/>
        <v/>
      </c>
      <c r="AC40" s="33">
        <f t="shared" si="13"/>
        <v>-0.84375</v>
      </c>
    </row>
    <row r="41" spans="1:29" x14ac:dyDescent="0.2">
      <c r="A41" t="str">
        <f>INDEX(Prioritization!$D:$D,MATCH($B41,Prioritization!$A:$A,0))</f>
        <v>4 - Sustained</v>
      </c>
      <c r="B41" t="s">
        <v>298</v>
      </c>
      <c r="C41" t="s">
        <v>968</v>
      </c>
      <c r="D41" t="s">
        <v>30</v>
      </c>
      <c r="E41" s="1" t="str">
        <f t="shared" si="0"/>
        <v>Dedza District [PekKUkKHAzY]|15+|Female</v>
      </c>
      <c r="F41" s="229" cm="1">
        <f t="array" ref="F41">IFERROR(1/(1/SUM(SUMIFS(Cascade!$O:$O,Cascade!$B:$B,$B41,Cascade!$C:$C,IF($C41="&lt;15",{"=&lt;01","01-09","10-14"},{"15-24","25-34","35-49","50+"}),Cascade!$D:$D,$D41))),"")</f>
        <v>13719</v>
      </c>
      <c r="G41" s="38" cm="1">
        <f t="array" ref="G41">IFERROR(1/(1/SUM(SUMIFS(Cascade!$AX:$AX,Cascade!$B:$B,$B41,Cascade!$C:$C,IF($C41="&lt;15",{"=&lt;01","01-09","10-14"},{"15-24","25-34","35-49","50+"}),Cascade!$D:$D,$D41))),"")</f>
        <v>626</v>
      </c>
      <c r="H41" s="33">
        <v>0.95</v>
      </c>
      <c r="I41" s="33">
        <v>0.95</v>
      </c>
      <c r="J41" s="33">
        <v>0.05</v>
      </c>
      <c r="K41" s="33">
        <v>0.15</v>
      </c>
      <c r="L41" s="2">
        <f t="shared" si="1"/>
        <v>652</v>
      </c>
      <c r="M41" s="2">
        <f t="shared" si="2"/>
        <v>12381</v>
      </c>
      <c r="N41" s="2">
        <f t="shared" si="3"/>
        <v>89</v>
      </c>
      <c r="O41" s="2">
        <f t="shared" si="4"/>
        <v>506</v>
      </c>
      <c r="P41" s="38">
        <v>1010</v>
      </c>
      <c r="Q41" s="38"/>
      <c r="R41" s="38">
        <v>412</v>
      </c>
      <c r="S41" s="38">
        <f t="shared" si="5"/>
        <v>1422</v>
      </c>
      <c r="T41" s="33">
        <f t="shared" si="6"/>
        <v>0.896348130330199</v>
      </c>
      <c r="U41" s="33">
        <v>0</v>
      </c>
      <c r="V41" s="33">
        <v>0.75</v>
      </c>
      <c r="W41" s="2">
        <f t="shared" si="7"/>
        <v>0</v>
      </c>
      <c r="X41" s="2">
        <f t="shared" si="8"/>
        <v>380</v>
      </c>
      <c r="Y41" s="33">
        <f t="shared" si="9"/>
        <v>0.9</v>
      </c>
      <c r="Z41" s="2" t="str">
        <f t="shared" si="10"/>
        <v/>
      </c>
      <c r="AA41" s="2">
        <f t="shared" si="11"/>
        <v>342</v>
      </c>
      <c r="AB41" s="33" t="str">
        <f t="shared" si="12"/>
        <v/>
      </c>
      <c r="AC41" s="33">
        <f t="shared" si="13"/>
        <v>-0.16990291262135923</v>
      </c>
    </row>
    <row r="42" spans="1:29" x14ac:dyDescent="0.2">
      <c r="A42" t="str">
        <f>INDEX(Prioritization!$D:$D,MATCH($B42,Prioritization!$A:$A,0))</f>
        <v>4 - Sustained</v>
      </c>
      <c r="B42" t="s">
        <v>298</v>
      </c>
      <c r="C42" t="s">
        <v>968</v>
      </c>
      <c r="D42" t="s">
        <v>48</v>
      </c>
      <c r="E42" t="str">
        <f t="shared" si="0"/>
        <v>Dedza District [PekKUkKHAzY]|15+|Male</v>
      </c>
      <c r="F42" s="229" cm="1">
        <f t="array" ref="F42">IFERROR(1/(1/SUM(SUMIFS(Cascade!$O:$O,Cascade!$B:$B,$B42,Cascade!$C:$C,IF($C42="&lt;15",{"=&lt;01","01-09","10-14"},{"15-24","25-34","35-49","50+"}),Cascade!$D:$D,$D42))),"")</f>
        <v>7406</v>
      </c>
      <c r="G42" s="38" cm="1">
        <f t="array" ref="G42">IFERROR(1/(1/SUM(SUMIFS(Cascade!$AX:$AX,Cascade!$B:$B,$B42,Cascade!$C:$C,IF($C42="&lt;15",{"=&lt;01","01-09","10-14"},{"15-24","25-34","35-49","50+"}),Cascade!$D:$D,$D42))),"")</f>
        <v>240</v>
      </c>
      <c r="H42" s="33">
        <v>0.95</v>
      </c>
      <c r="I42" s="33">
        <v>0.95</v>
      </c>
      <c r="J42" s="33">
        <v>0.05</v>
      </c>
      <c r="K42" s="33">
        <v>0.15</v>
      </c>
      <c r="L42" s="218">
        <f t="shared" si="1"/>
        <v>352</v>
      </c>
      <c r="M42" s="218">
        <f t="shared" si="2"/>
        <v>6684</v>
      </c>
      <c r="N42" s="218">
        <f t="shared" si="3"/>
        <v>34</v>
      </c>
      <c r="O42" s="218">
        <f t="shared" si="4"/>
        <v>194</v>
      </c>
      <c r="P42" s="38">
        <v>891</v>
      </c>
      <c r="Q42" s="38"/>
      <c r="R42" s="38">
        <v>360</v>
      </c>
      <c r="S42" s="38">
        <f t="shared" si="5"/>
        <v>1251</v>
      </c>
      <c r="T42" s="33">
        <f t="shared" si="6"/>
        <v>0.83108290575209287</v>
      </c>
      <c r="U42" s="33">
        <v>0</v>
      </c>
      <c r="V42" s="33">
        <v>0.75</v>
      </c>
      <c r="W42" s="218">
        <f t="shared" si="7"/>
        <v>0</v>
      </c>
      <c r="X42" s="218">
        <f t="shared" si="8"/>
        <v>146</v>
      </c>
      <c r="Y42" s="33">
        <f t="shared" si="9"/>
        <v>0.9</v>
      </c>
      <c r="Z42" s="218" t="str">
        <f t="shared" si="10"/>
        <v/>
      </c>
      <c r="AA42" s="218">
        <f t="shared" si="11"/>
        <v>131</v>
      </c>
      <c r="AB42" s="33" t="str">
        <f t="shared" si="12"/>
        <v/>
      </c>
      <c r="AC42" s="33">
        <f t="shared" si="13"/>
        <v>-0.63611111111111107</v>
      </c>
    </row>
    <row r="43" spans="1:29" x14ac:dyDescent="0.2">
      <c r="A43" t="str">
        <f>INDEX(Prioritization!$D:$D,MATCH($B43,Prioritization!$A:$A,0))</f>
        <v>4 - Sustained</v>
      </c>
      <c r="B43" t="s">
        <v>299</v>
      </c>
      <c r="C43" t="s">
        <v>967</v>
      </c>
      <c r="D43" t="s">
        <v>30</v>
      </c>
      <c r="E43" t="str">
        <f t="shared" si="0"/>
        <v>Dowa District [zphK9WV8JB4]|&lt;15|Female</v>
      </c>
      <c r="F43" s="229" cm="1">
        <f t="array" ref="F43">IFERROR(1/(1/SUM(SUMIFS(Cascade!$O:$O,Cascade!$B:$B,$B43,Cascade!$C:$C,IF($C43="&lt;15",{"=&lt;01","01-09","10-14"},{"15-24","25-34","35-49","50+"}),Cascade!$D:$D,$D43))),"")</f>
        <v>267</v>
      </c>
      <c r="G43" s="38" cm="1">
        <f t="array" ref="G43">IFERROR(1/(1/SUM(SUMIFS(Cascade!$AX:$AX,Cascade!$B:$B,$B43,Cascade!$C:$C,IF($C43="&lt;15",{"=&lt;01","01-09","10-14"},{"15-24","25-34","35-49","50+"}),Cascade!$D:$D,$D43))),"")</f>
        <v>17</v>
      </c>
      <c r="H43" s="33">
        <v>0.95</v>
      </c>
      <c r="I43" s="33">
        <v>0.95</v>
      </c>
      <c r="J43" s="33">
        <v>0.05</v>
      </c>
      <c r="K43" s="33">
        <v>0.15</v>
      </c>
      <c r="L43" s="218">
        <f t="shared" si="1"/>
        <v>13</v>
      </c>
      <c r="M43" s="218">
        <f t="shared" si="2"/>
        <v>241</v>
      </c>
      <c r="N43" s="218">
        <f t="shared" si="3"/>
        <v>2</v>
      </c>
      <c r="O43" s="218">
        <f t="shared" si="4"/>
        <v>14</v>
      </c>
      <c r="P43" s="38">
        <v>13</v>
      </c>
      <c r="Q43" s="38"/>
      <c r="R43" s="38">
        <v>16</v>
      </c>
      <c r="S43" s="38">
        <f t="shared" si="5"/>
        <v>29</v>
      </c>
      <c r="T43" s="33">
        <f t="shared" si="6"/>
        <v>0.89138576779026213</v>
      </c>
      <c r="U43" s="33">
        <v>0</v>
      </c>
      <c r="V43" s="33">
        <v>0.75</v>
      </c>
      <c r="W43" s="218">
        <f t="shared" si="7"/>
        <v>0</v>
      </c>
      <c r="X43" s="218">
        <f t="shared" si="8"/>
        <v>11</v>
      </c>
      <c r="Y43" s="33">
        <f t="shared" si="9"/>
        <v>0.9</v>
      </c>
      <c r="Z43" s="218" t="str">
        <f t="shared" si="10"/>
        <v/>
      </c>
      <c r="AA43" s="218">
        <f t="shared" si="11"/>
        <v>10</v>
      </c>
      <c r="AB43" s="33" t="str">
        <f t="shared" si="12"/>
        <v/>
      </c>
      <c r="AC43" s="33">
        <f t="shared" si="13"/>
        <v>-0.375</v>
      </c>
    </row>
    <row r="44" spans="1:29" x14ac:dyDescent="0.2">
      <c r="A44" t="str">
        <f>INDEX(Prioritization!$D:$D,MATCH($B44,Prioritization!$A:$A,0))</f>
        <v>4 - Sustained</v>
      </c>
      <c r="B44" t="s">
        <v>299</v>
      </c>
      <c r="C44" t="s">
        <v>967</v>
      </c>
      <c r="D44" t="s">
        <v>48</v>
      </c>
      <c r="E44" t="str">
        <f t="shared" si="0"/>
        <v>Dowa District [zphK9WV8JB4]|&lt;15|Male</v>
      </c>
      <c r="F44" s="229" cm="1">
        <f t="array" ref="F44">IFERROR(1/(1/SUM(SUMIFS(Cascade!$O:$O,Cascade!$B:$B,$B44,Cascade!$C:$C,IF($C44="&lt;15",{"=&lt;01","01-09","10-14"},{"15-24","25-34","35-49","50+"}),Cascade!$D:$D,$D44))),"")</f>
        <v>267</v>
      </c>
      <c r="G44" s="38" cm="1">
        <f t="array" ref="G44">IFERROR(1/(1/SUM(SUMIFS(Cascade!$AX:$AX,Cascade!$B:$B,$B44,Cascade!$C:$C,IF($C44="&lt;15",{"=&lt;01","01-09","10-14"},{"15-24","25-34","35-49","50+"}),Cascade!$D:$D,$D44))),"")</f>
        <v>5</v>
      </c>
      <c r="H44" s="33">
        <v>0.95</v>
      </c>
      <c r="I44" s="33">
        <v>0.95</v>
      </c>
      <c r="J44" s="33">
        <v>0.05</v>
      </c>
      <c r="K44" s="33">
        <v>0.15</v>
      </c>
      <c r="L44" s="218">
        <f t="shared" si="1"/>
        <v>13</v>
      </c>
      <c r="M44" s="218">
        <f t="shared" si="2"/>
        <v>241</v>
      </c>
      <c r="N44" s="218">
        <f t="shared" si="3"/>
        <v>1</v>
      </c>
      <c r="O44" s="218">
        <f t="shared" si="4"/>
        <v>4</v>
      </c>
      <c r="P44" s="38">
        <v>18</v>
      </c>
      <c r="Q44" s="38"/>
      <c r="R44" s="38">
        <v>19</v>
      </c>
      <c r="S44" s="38">
        <f t="shared" si="5"/>
        <v>37</v>
      </c>
      <c r="T44" s="33">
        <f t="shared" si="6"/>
        <v>0.86142322097378277</v>
      </c>
      <c r="U44" s="33">
        <v>0</v>
      </c>
      <c r="V44" s="33">
        <v>0.75</v>
      </c>
      <c r="W44" s="218">
        <f t="shared" si="7"/>
        <v>0</v>
      </c>
      <c r="X44" s="218">
        <f t="shared" si="8"/>
        <v>3</v>
      </c>
      <c r="Y44" s="33">
        <f t="shared" si="9"/>
        <v>0.9</v>
      </c>
      <c r="Z44" s="218" t="str">
        <f t="shared" si="10"/>
        <v/>
      </c>
      <c r="AA44" s="218">
        <f t="shared" si="11"/>
        <v>3</v>
      </c>
      <c r="AB44" s="33" t="str">
        <f t="shared" si="12"/>
        <v/>
      </c>
      <c r="AC44" s="33">
        <f t="shared" si="13"/>
        <v>-0.84210526315789469</v>
      </c>
    </row>
    <row r="45" spans="1:29" x14ac:dyDescent="0.2">
      <c r="A45" t="str">
        <f>INDEX(Prioritization!$D:$D,MATCH($B45,Prioritization!$A:$A,0))</f>
        <v>4 - Sustained</v>
      </c>
      <c r="B45" t="s">
        <v>299</v>
      </c>
      <c r="C45" t="s">
        <v>968</v>
      </c>
      <c r="D45" t="s">
        <v>30</v>
      </c>
      <c r="E45" t="str">
        <f t="shared" si="0"/>
        <v>Dowa District [zphK9WV8JB4]|15+|Female</v>
      </c>
      <c r="F45" s="229" cm="1">
        <f t="array" ref="F45">IFERROR(1/(1/SUM(SUMIFS(Cascade!$O:$O,Cascade!$B:$B,$B45,Cascade!$C:$C,IF($C45="&lt;15",{"=&lt;01","01-09","10-14"},{"15-24","25-34","35-49","50+"}),Cascade!$D:$D,$D45))),"")</f>
        <v>7758</v>
      </c>
      <c r="G45" s="38" cm="1">
        <f t="array" ref="G45">IFERROR(1/(1/SUM(SUMIFS(Cascade!$AX:$AX,Cascade!$B:$B,$B45,Cascade!$C:$C,IF($C45="&lt;15",{"=&lt;01","01-09","10-14"},{"15-24","25-34","35-49","50+"}),Cascade!$D:$D,$D45))),"")</f>
        <v>374</v>
      </c>
      <c r="H45" s="33">
        <v>0.95</v>
      </c>
      <c r="I45" s="33">
        <v>0.95</v>
      </c>
      <c r="J45" s="33">
        <v>0.05</v>
      </c>
      <c r="K45" s="33">
        <v>0.15</v>
      </c>
      <c r="L45" s="218">
        <f t="shared" si="1"/>
        <v>369</v>
      </c>
      <c r="M45" s="218">
        <f t="shared" si="2"/>
        <v>7001</v>
      </c>
      <c r="N45" s="218">
        <f t="shared" si="3"/>
        <v>53</v>
      </c>
      <c r="O45" s="218">
        <f t="shared" si="4"/>
        <v>302</v>
      </c>
      <c r="P45" s="38">
        <v>873</v>
      </c>
      <c r="Q45" s="38"/>
      <c r="R45" s="38">
        <v>199</v>
      </c>
      <c r="S45" s="38">
        <f t="shared" si="5"/>
        <v>1072</v>
      </c>
      <c r="T45" s="33">
        <f t="shared" si="6"/>
        <v>0.86182005671564832</v>
      </c>
      <c r="U45" s="33">
        <v>0</v>
      </c>
      <c r="V45" s="33">
        <v>0.75</v>
      </c>
      <c r="W45" s="218">
        <f t="shared" si="7"/>
        <v>0</v>
      </c>
      <c r="X45" s="218">
        <f t="shared" si="8"/>
        <v>227</v>
      </c>
      <c r="Y45" s="33">
        <f t="shared" si="9"/>
        <v>0.9</v>
      </c>
      <c r="Z45" s="218" t="str">
        <f t="shared" si="10"/>
        <v/>
      </c>
      <c r="AA45" s="218">
        <f t="shared" si="11"/>
        <v>204</v>
      </c>
      <c r="AB45" s="33" t="str">
        <f t="shared" si="12"/>
        <v/>
      </c>
      <c r="AC45" s="33">
        <f t="shared" si="13"/>
        <v>2.5125628140703519E-2</v>
      </c>
    </row>
    <row r="46" spans="1:29" x14ac:dyDescent="0.2">
      <c r="A46" t="str">
        <f>INDEX(Prioritization!$D:$D,MATCH($B46,Prioritization!$A:$A,0))</f>
        <v>4 - Sustained</v>
      </c>
      <c r="B46" t="s">
        <v>299</v>
      </c>
      <c r="C46" t="s">
        <v>968</v>
      </c>
      <c r="D46" t="s">
        <v>48</v>
      </c>
      <c r="E46" t="str">
        <f t="shared" si="0"/>
        <v>Dowa District [zphK9WV8JB4]|15+|Male</v>
      </c>
      <c r="F46" s="229" cm="1">
        <f t="array" ref="F46">IFERROR(1/(1/SUM(SUMIFS(Cascade!$O:$O,Cascade!$B:$B,$B46,Cascade!$C:$C,IF($C46="&lt;15",{"=&lt;01","01-09","10-14"},{"15-24","25-34","35-49","50+"}),Cascade!$D:$D,$D46))),"")</f>
        <v>5062</v>
      </c>
      <c r="G46" s="38" cm="1">
        <f t="array" ref="G46">IFERROR(1/(1/SUM(SUMIFS(Cascade!$AX:$AX,Cascade!$B:$B,$B46,Cascade!$C:$C,IF($C46="&lt;15",{"=&lt;01","01-09","10-14"},{"15-24","25-34","35-49","50+"}),Cascade!$D:$D,$D46))),"")</f>
        <v>83</v>
      </c>
      <c r="H46" s="33">
        <v>0.95</v>
      </c>
      <c r="I46" s="33">
        <v>0.95</v>
      </c>
      <c r="J46" s="33">
        <v>0.05</v>
      </c>
      <c r="K46" s="33">
        <v>0.15</v>
      </c>
      <c r="L46" s="218">
        <f t="shared" si="1"/>
        <v>240</v>
      </c>
      <c r="M46" s="218">
        <f t="shared" si="2"/>
        <v>4569</v>
      </c>
      <c r="N46" s="218">
        <f t="shared" si="3"/>
        <v>12</v>
      </c>
      <c r="O46" s="218">
        <f t="shared" si="4"/>
        <v>67</v>
      </c>
      <c r="P46" s="38">
        <v>594</v>
      </c>
      <c r="Q46" s="38"/>
      <c r="R46" s="38">
        <v>77</v>
      </c>
      <c r="S46" s="38">
        <f t="shared" si="5"/>
        <v>671</v>
      </c>
      <c r="T46" s="33">
        <f t="shared" si="6"/>
        <v>0.86744369814302646</v>
      </c>
      <c r="U46" s="33">
        <v>0</v>
      </c>
      <c r="V46" s="33">
        <v>0.75</v>
      </c>
      <c r="W46" s="218">
        <f t="shared" si="7"/>
        <v>0</v>
      </c>
      <c r="X46" s="218">
        <f t="shared" si="8"/>
        <v>50</v>
      </c>
      <c r="Y46" s="33">
        <f t="shared" si="9"/>
        <v>0.9</v>
      </c>
      <c r="Z46" s="218" t="str">
        <f t="shared" si="10"/>
        <v/>
      </c>
      <c r="AA46" s="218">
        <f t="shared" si="11"/>
        <v>45</v>
      </c>
      <c r="AB46" s="33" t="str">
        <f t="shared" si="12"/>
        <v/>
      </c>
      <c r="AC46" s="33">
        <f t="shared" si="13"/>
        <v>-0.41558441558441561</v>
      </c>
    </row>
    <row r="47" spans="1:29" x14ac:dyDescent="0.2">
      <c r="A47" t="str">
        <f>INDEX(Prioritization!$D:$D,MATCH($B47,Prioritization!$A:$A,0))</f>
        <v>INVALID</v>
      </c>
      <c r="B47" t="s">
        <v>308</v>
      </c>
      <c r="C47" t="s">
        <v>967</v>
      </c>
      <c r="D47" t="s">
        <v>30</v>
      </c>
      <c r="E47" t="str">
        <f t="shared" ref="E47:E78" si="14">B47&amp;"|"&amp;C47&amp;"|"&amp;D47</f>
        <v>Karonga District [cPtvxaZqXIH]|&lt;15|Female</v>
      </c>
      <c r="F47" s="229" cm="1">
        <f t="array" ref="F47">IFERROR(1/(1/SUM(SUMIFS(Cascade!$O:$O,Cascade!$B:$B,$B47,Cascade!$C:$C,IF($C47="&lt;15",{"=&lt;01","01-09","10-14"},{"15-24","25-34","35-49","50+"}),Cascade!$D:$D,$D47))),"")</f>
        <v>346</v>
      </c>
      <c r="G47" s="38" cm="1">
        <f t="array" ref="G47">IFERROR(1/(1/SUM(SUMIFS(Cascade!$AX:$AX,Cascade!$B:$B,$B47,Cascade!$C:$C,IF($C47="&lt;15",{"=&lt;01","01-09","10-14"},{"15-24","25-34","35-49","50+"}),Cascade!$D:$D,$D47))),"")</f>
        <v>23</v>
      </c>
      <c r="H47" s="33">
        <v>0.95</v>
      </c>
      <c r="I47" s="33">
        <v>0.95</v>
      </c>
      <c r="J47" s="33">
        <v>0.05</v>
      </c>
      <c r="K47" s="33">
        <v>0.15</v>
      </c>
      <c r="L47" s="218">
        <f t="shared" ref="L47:L78" si="15">IF(SUM($F47)=0,"",ROUND($F47*$H47*$J47,0))</f>
        <v>16</v>
      </c>
      <c r="M47" s="218">
        <f t="shared" ref="M47:M78" si="16">IF(SUM($F47)=0,"",ROUND($F47*$H47,0)-$L47)</f>
        <v>313</v>
      </c>
      <c r="N47" s="218">
        <f t="shared" ref="N47:N78" si="17">IF(SUM($G47)=0,"",ROUND($G47*$I47*$K47,0))</f>
        <v>3</v>
      </c>
      <c r="O47" s="218">
        <f t="shared" ref="O47:O78" si="18">IF(SUM($G47)=0,"",ROUND($G47*$I47,0)-$N47)</f>
        <v>19</v>
      </c>
      <c r="P47" s="38">
        <v>5</v>
      </c>
      <c r="Q47" s="38"/>
      <c r="R47" s="38">
        <v>23</v>
      </c>
      <c r="S47" s="38">
        <f t="shared" ref="S47:S78" si="19">IFERROR(1/(1/SUM($P47,$R47,$Q47)),"")</f>
        <v>28</v>
      </c>
      <c r="T47" s="33">
        <f t="shared" ref="T47:T78" si="20">IF(SUM($F47)=0,"",MAX(($F47-$S47)/$F47,0))</f>
        <v>0.91907514450867056</v>
      </c>
      <c r="U47" s="33">
        <v>0</v>
      </c>
      <c r="V47" s="33">
        <v>0.75</v>
      </c>
      <c r="W47" s="218">
        <f t="shared" ref="W47:W78" si="21">IF(SUM($M47)=0,"",IF($T47="","ENTER ELIGIBILITY RATE",IF($U47 = "","ENTER INITIATION RATE",ROUND($M47*$T47*$U47,0))))</f>
        <v>0</v>
      </c>
      <c r="X47" s="218">
        <f t="shared" ref="X47:X78" si="22">IF(SUM($O47)=0,"",IF($V47="","ENTER INITIATION RATE",ROUND($O47*$V47,0)))</f>
        <v>14</v>
      </c>
      <c r="Y47" s="33">
        <f t="shared" ref="Y47:Y78" si="23">0.9</f>
        <v>0.9</v>
      </c>
      <c r="Z47" s="218" t="str">
        <f t="shared" ref="Z47:Z78" si="24">IF(SUM($W47)=0,"",IF($Y47="","ENTER COMPLETION RATE",ROUND($W47*$Y47,0)))</f>
        <v/>
      </c>
      <c r="AA47" s="218">
        <f t="shared" ref="AA47:AA78" si="25">IF(SUM($X47)=0,"",IF($X47="","ENTER COMPLETION RATE",ROUND($X47*$Y47,0)))</f>
        <v>13</v>
      </c>
      <c r="AB47" s="33" t="str">
        <f t="shared" ref="AB47:AB78" si="26">IF(SUM($Q47)=0,"",(SUM($Z47)-$Q47)/$Q47)</f>
        <v/>
      </c>
      <c r="AC47" s="33">
        <f t="shared" ref="AC47:AC78" si="27">IF(SUM($R47)=0,"",(SUM($AA47)-$R47)/$R47)</f>
        <v>-0.43478260869565216</v>
      </c>
    </row>
    <row r="48" spans="1:29" x14ac:dyDescent="0.2">
      <c r="A48" t="str">
        <f>INDEX(Prioritization!$D:$D,MATCH($B48,Prioritization!$A:$A,0))</f>
        <v>INVALID</v>
      </c>
      <c r="B48" t="s">
        <v>308</v>
      </c>
      <c r="C48" t="s">
        <v>967</v>
      </c>
      <c r="D48" t="s">
        <v>48</v>
      </c>
      <c r="E48" t="str">
        <f t="shared" si="14"/>
        <v>Karonga District [cPtvxaZqXIH]|&lt;15|Male</v>
      </c>
      <c r="F48" s="229" cm="1">
        <f t="array" ref="F48">IFERROR(1/(1/SUM(SUMIFS(Cascade!$O:$O,Cascade!$B:$B,$B48,Cascade!$C:$C,IF($C48="&lt;15",{"=&lt;01","01-09","10-14"},{"15-24","25-34","35-49","50+"}),Cascade!$D:$D,$D48))),"")</f>
        <v>299</v>
      </c>
      <c r="G48" s="38" cm="1">
        <f t="array" ref="G48">IFERROR(1/(1/SUM(SUMIFS(Cascade!$AX:$AX,Cascade!$B:$B,$B48,Cascade!$C:$C,IF($C48="&lt;15",{"=&lt;01","01-09","10-14"},{"15-24","25-34","35-49","50+"}),Cascade!$D:$D,$D48))),"")</f>
        <v>6</v>
      </c>
      <c r="H48" s="33">
        <v>0.95</v>
      </c>
      <c r="I48" s="33">
        <v>0.95</v>
      </c>
      <c r="J48" s="33">
        <v>0.05</v>
      </c>
      <c r="K48" s="33">
        <v>0.15</v>
      </c>
      <c r="L48" s="218">
        <f t="shared" si="15"/>
        <v>14</v>
      </c>
      <c r="M48" s="218">
        <f t="shared" si="16"/>
        <v>270</v>
      </c>
      <c r="N48" s="218">
        <f t="shared" si="17"/>
        <v>1</v>
      </c>
      <c r="O48" s="218">
        <f t="shared" si="18"/>
        <v>5</v>
      </c>
      <c r="P48" s="38">
        <v>13</v>
      </c>
      <c r="Q48" s="38"/>
      <c r="R48" s="38">
        <v>24</v>
      </c>
      <c r="S48" s="38">
        <f t="shared" si="19"/>
        <v>37</v>
      </c>
      <c r="T48" s="33">
        <f t="shared" si="20"/>
        <v>0.87625418060200666</v>
      </c>
      <c r="U48" s="33">
        <v>0</v>
      </c>
      <c r="V48" s="33">
        <v>0.75</v>
      </c>
      <c r="W48" s="218">
        <f t="shared" si="21"/>
        <v>0</v>
      </c>
      <c r="X48" s="218">
        <f t="shared" si="22"/>
        <v>4</v>
      </c>
      <c r="Y48" s="33">
        <f t="shared" si="23"/>
        <v>0.9</v>
      </c>
      <c r="Z48" s="218" t="str">
        <f t="shared" si="24"/>
        <v/>
      </c>
      <c r="AA48" s="218">
        <f t="shared" si="25"/>
        <v>4</v>
      </c>
      <c r="AB48" s="33" t="str">
        <f t="shared" si="26"/>
        <v/>
      </c>
      <c r="AC48" s="33">
        <f t="shared" si="27"/>
        <v>-0.83333333333333337</v>
      </c>
    </row>
    <row r="49" spans="1:29" x14ac:dyDescent="0.2">
      <c r="A49" t="str">
        <f>INDEX(Prioritization!$D:$D,MATCH($B49,Prioritization!$A:$A,0))</f>
        <v>INVALID</v>
      </c>
      <c r="B49" t="s">
        <v>308</v>
      </c>
      <c r="C49" t="s">
        <v>968</v>
      </c>
      <c r="D49" t="s">
        <v>30</v>
      </c>
      <c r="E49" t="str">
        <f t="shared" si="14"/>
        <v>Karonga District [cPtvxaZqXIH]|15+|Female</v>
      </c>
      <c r="F49" s="229" cm="1">
        <f t="array" ref="F49">IFERROR(1/(1/SUM(SUMIFS(Cascade!$O:$O,Cascade!$B:$B,$B49,Cascade!$C:$C,IF($C49="&lt;15",{"=&lt;01","01-09","10-14"},{"15-24","25-34","35-49","50+"}),Cascade!$D:$D,$D49))),"")</f>
        <v>9148</v>
      </c>
      <c r="G49" s="38" cm="1">
        <f t="array" ref="G49">IFERROR(1/(1/SUM(SUMIFS(Cascade!$AX:$AX,Cascade!$B:$B,$B49,Cascade!$C:$C,IF($C49="&lt;15",{"=&lt;01","01-09","10-14"},{"15-24","25-34","35-49","50+"}),Cascade!$D:$D,$D49))),"")</f>
        <v>533</v>
      </c>
      <c r="H49" s="33">
        <v>0.95</v>
      </c>
      <c r="I49" s="33">
        <v>0.95</v>
      </c>
      <c r="J49" s="33">
        <v>0.05</v>
      </c>
      <c r="K49" s="33">
        <v>0.15</v>
      </c>
      <c r="L49" s="218">
        <f t="shared" si="15"/>
        <v>435</v>
      </c>
      <c r="M49" s="218">
        <f t="shared" si="16"/>
        <v>8256</v>
      </c>
      <c r="N49" s="218">
        <f t="shared" si="17"/>
        <v>76</v>
      </c>
      <c r="O49" s="218">
        <f t="shared" si="18"/>
        <v>430</v>
      </c>
      <c r="P49" s="38">
        <v>830</v>
      </c>
      <c r="Q49" s="38"/>
      <c r="R49" s="38">
        <v>231</v>
      </c>
      <c r="S49" s="38">
        <f t="shared" si="19"/>
        <v>1061</v>
      </c>
      <c r="T49" s="33">
        <f t="shared" si="20"/>
        <v>0.88401836466987316</v>
      </c>
      <c r="U49" s="33">
        <v>0</v>
      </c>
      <c r="V49" s="33">
        <v>0.75</v>
      </c>
      <c r="W49" s="218">
        <f t="shared" si="21"/>
        <v>0</v>
      </c>
      <c r="X49" s="218">
        <f t="shared" si="22"/>
        <v>323</v>
      </c>
      <c r="Y49" s="33">
        <f t="shared" si="23"/>
        <v>0.9</v>
      </c>
      <c r="Z49" s="218" t="str">
        <f t="shared" si="24"/>
        <v/>
      </c>
      <c r="AA49" s="218">
        <f t="shared" si="25"/>
        <v>291</v>
      </c>
      <c r="AB49" s="33" t="str">
        <f t="shared" si="26"/>
        <v/>
      </c>
      <c r="AC49" s="33">
        <f t="shared" si="27"/>
        <v>0.25974025974025972</v>
      </c>
    </row>
    <row r="50" spans="1:29" x14ac:dyDescent="0.2">
      <c r="A50" t="str">
        <f>INDEX(Prioritization!$D:$D,MATCH($B50,Prioritization!$A:$A,0))</f>
        <v>INVALID</v>
      </c>
      <c r="B50" t="s">
        <v>308</v>
      </c>
      <c r="C50" t="s">
        <v>968</v>
      </c>
      <c r="D50" t="s">
        <v>48</v>
      </c>
      <c r="E50" t="str">
        <f t="shared" si="14"/>
        <v>Karonga District [cPtvxaZqXIH]|15+|Male</v>
      </c>
      <c r="F50" s="229" cm="1">
        <f t="array" ref="F50">IFERROR(1/(1/SUM(SUMIFS(Cascade!$O:$O,Cascade!$B:$B,$B50,Cascade!$C:$C,IF($C50="&lt;15",{"=&lt;01","01-09","10-14"},{"15-24","25-34","35-49","50+"}),Cascade!$D:$D,$D50))),"")</f>
        <v>5219</v>
      </c>
      <c r="G50" s="38" cm="1">
        <f t="array" ref="G50">IFERROR(1/(1/SUM(SUMIFS(Cascade!$AX:$AX,Cascade!$B:$B,$B50,Cascade!$C:$C,IF($C50="&lt;15",{"=&lt;01","01-09","10-14"},{"15-24","25-34","35-49","50+"}),Cascade!$D:$D,$D50))),"")</f>
        <v>152</v>
      </c>
      <c r="H50" s="33">
        <v>0.95</v>
      </c>
      <c r="I50" s="33">
        <v>0.95</v>
      </c>
      <c r="J50" s="33">
        <v>0.05</v>
      </c>
      <c r="K50" s="33">
        <v>0.15</v>
      </c>
      <c r="L50" s="218">
        <f t="shared" si="15"/>
        <v>248</v>
      </c>
      <c r="M50" s="218">
        <f t="shared" si="16"/>
        <v>4710</v>
      </c>
      <c r="N50" s="218">
        <f t="shared" si="17"/>
        <v>22</v>
      </c>
      <c r="O50" s="218">
        <f t="shared" si="18"/>
        <v>122</v>
      </c>
      <c r="P50" s="38">
        <v>615</v>
      </c>
      <c r="Q50" s="38"/>
      <c r="R50" s="38">
        <v>86</v>
      </c>
      <c r="S50" s="38">
        <f t="shared" si="19"/>
        <v>701</v>
      </c>
      <c r="T50" s="33">
        <f t="shared" si="20"/>
        <v>0.86568308105000957</v>
      </c>
      <c r="U50" s="33">
        <v>0</v>
      </c>
      <c r="V50" s="33">
        <v>0.75</v>
      </c>
      <c r="W50" s="218">
        <f t="shared" si="21"/>
        <v>0</v>
      </c>
      <c r="X50" s="218">
        <f t="shared" si="22"/>
        <v>92</v>
      </c>
      <c r="Y50" s="33">
        <f t="shared" si="23"/>
        <v>0.9</v>
      </c>
      <c r="Z50" s="218" t="str">
        <f t="shared" si="24"/>
        <v/>
      </c>
      <c r="AA50" s="218">
        <f t="shared" si="25"/>
        <v>83</v>
      </c>
      <c r="AB50" s="33" t="str">
        <f t="shared" si="26"/>
        <v/>
      </c>
      <c r="AC50" s="33">
        <f t="shared" si="27"/>
        <v>-3.4883720930232558E-2</v>
      </c>
    </row>
    <row r="51" spans="1:29" x14ac:dyDescent="0.2">
      <c r="A51" t="str">
        <f>INDEX(Prioritization!$D:$D,MATCH($B51,Prioritization!$A:$A,0))</f>
        <v>INVALID</v>
      </c>
      <c r="B51" t="s">
        <v>300</v>
      </c>
      <c r="C51" t="s">
        <v>967</v>
      </c>
      <c r="D51" t="s">
        <v>30</v>
      </c>
      <c r="E51" t="str">
        <f t="shared" si="14"/>
        <v>Kasungu District [JQKLKuVuY61]|&lt;15|Female</v>
      </c>
      <c r="F51" s="229" cm="1">
        <f t="array" ref="F51">IFERROR(1/(1/SUM(SUMIFS(Cascade!$O:$O,Cascade!$B:$B,$B51,Cascade!$C:$C,IF($C51="&lt;15",{"=&lt;01","01-09","10-14"},{"15-24","25-34","35-49","50+"}),Cascade!$D:$D,$D51))),"")</f>
        <v>399</v>
      </c>
      <c r="G51" s="38" cm="1">
        <f t="array" ref="G51">IFERROR(1/(1/SUM(SUMIFS(Cascade!$AX:$AX,Cascade!$B:$B,$B51,Cascade!$C:$C,IF($C51="&lt;15",{"=&lt;01","01-09","10-14"},{"15-24","25-34","35-49","50+"}),Cascade!$D:$D,$D51))),"")</f>
        <v>26</v>
      </c>
      <c r="H51" s="33">
        <v>0.95</v>
      </c>
      <c r="I51" s="33">
        <v>0.95</v>
      </c>
      <c r="J51" s="33">
        <v>0.05</v>
      </c>
      <c r="K51" s="33">
        <v>0.15</v>
      </c>
      <c r="L51" s="218">
        <f t="shared" si="15"/>
        <v>19</v>
      </c>
      <c r="M51" s="218">
        <f t="shared" si="16"/>
        <v>360</v>
      </c>
      <c r="N51" s="218">
        <f t="shared" si="17"/>
        <v>4</v>
      </c>
      <c r="O51" s="218">
        <f t="shared" si="18"/>
        <v>21</v>
      </c>
      <c r="P51" s="38">
        <v>65</v>
      </c>
      <c r="Q51" s="38"/>
      <c r="R51" s="38">
        <v>29</v>
      </c>
      <c r="S51" s="38">
        <f t="shared" si="19"/>
        <v>94</v>
      </c>
      <c r="T51" s="33">
        <f t="shared" si="20"/>
        <v>0.76441102756892232</v>
      </c>
      <c r="U51" s="33">
        <v>0</v>
      </c>
      <c r="V51" s="33">
        <v>0.75</v>
      </c>
      <c r="W51" s="218">
        <f t="shared" si="21"/>
        <v>0</v>
      </c>
      <c r="X51" s="218">
        <f t="shared" si="22"/>
        <v>16</v>
      </c>
      <c r="Y51" s="33">
        <f t="shared" si="23"/>
        <v>0.9</v>
      </c>
      <c r="Z51" s="218" t="str">
        <f t="shared" si="24"/>
        <v/>
      </c>
      <c r="AA51" s="218">
        <f t="shared" si="25"/>
        <v>14</v>
      </c>
      <c r="AB51" s="33" t="str">
        <f t="shared" si="26"/>
        <v/>
      </c>
      <c r="AC51" s="33">
        <f t="shared" si="27"/>
        <v>-0.51724137931034486</v>
      </c>
    </row>
    <row r="52" spans="1:29" x14ac:dyDescent="0.2">
      <c r="A52" t="str">
        <f>INDEX(Prioritization!$D:$D,MATCH($B52,Prioritization!$A:$A,0))</f>
        <v>INVALID</v>
      </c>
      <c r="B52" t="s">
        <v>300</v>
      </c>
      <c r="C52" t="s">
        <v>967</v>
      </c>
      <c r="D52" t="s">
        <v>48</v>
      </c>
      <c r="E52" t="str">
        <f t="shared" si="14"/>
        <v>Kasungu District [JQKLKuVuY61]|&lt;15|Male</v>
      </c>
      <c r="F52" s="229" cm="1">
        <f t="array" ref="F52">IFERROR(1/(1/SUM(SUMIFS(Cascade!$O:$O,Cascade!$B:$B,$B52,Cascade!$C:$C,IF($C52="&lt;15",{"=&lt;01","01-09","10-14"},{"15-24","25-34","35-49","50+"}),Cascade!$D:$D,$D52))),"")</f>
        <v>387</v>
      </c>
      <c r="G52" s="38" cm="1">
        <f t="array" ref="G52">IFERROR(1/(1/SUM(SUMIFS(Cascade!$AX:$AX,Cascade!$B:$B,$B52,Cascade!$C:$C,IF($C52="&lt;15",{"=&lt;01","01-09","10-14"},{"15-24","25-34","35-49","50+"}),Cascade!$D:$D,$D52))),"")</f>
        <v>7</v>
      </c>
      <c r="H52" s="33">
        <v>0.95</v>
      </c>
      <c r="I52" s="33">
        <v>0.95</v>
      </c>
      <c r="J52" s="33">
        <v>0.05</v>
      </c>
      <c r="K52" s="33">
        <v>0.15</v>
      </c>
      <c r="L52" s="218">
        <f t="shared" si="15"/>
        <v>18</v>
      </c>
      <c r="M52" s="218">
        <f t="shared" si="16"/>
        <v>350</v>
      </c>
      <c r="N52" s="218">
        <f t="shared" si="17"/>
        <v>1</v>
      </c>
      <c r="O52" s="218">
        <f t="shared" si="18"/>
        <v>6</v>
      </c>
      <c r="P52" s="38">
        <v>36</v>
      </c>
      <c r="Q52" s="38"/>
      <c r="R52" s="38">
        <v>30</v>
      </c>
      <c r="S52" s="38">
        <f t="shared" si="19"/>
        <v>66</v>
      </c>
      <c r="T52" s="33">
        <f t="shared" si="20"/>
        <v>0.8294573643410853</v>
      </c>
      <c r="U52" s="33">
        <v>0</v>
      </c>
      <c r="V52" s="33">
        <v>0.75</v>
      </c>
      <c r="W52" s="218">
        <f t="shared" si="21"/>
        <v>0</v>
      </c>
      <c r="X52" s="218">
        <f t="shared" si="22"/>
        <v>5</v>
      </c>
      <c r="Y52" s="33">
        <f t="shared" si="23"/>
        <v>0.9</v>
      </c>
      <c r="Z52" s="218" t="str">
        <f t="shared" si="24"/>
        <v/>
      </c>
      <c r="AA52" s="218">
        <f t="shared" si="25"/>
        <v>5</v>
      </c>
      <c r="AB52" s="33" t="str">
        <f t="shared" si="26"/>
        <v/>
      </c>
      <c r="AC52" s="33">
        <f t="shared" si="27"/>
        <v>-0.83333333333333337</v>
      </c>
    </row>
    <row r="53" spans="1:29" x14ac:dyDescent="0.2">
      <c r="A53" t="str">
        <f>INDEX(Prioritization!$D:$D,MATCH($B53,Prioritization!$A:$A,0))</f>
        <v>INVALID</v>
      </c>
      <c r="B53" t="s">
        <v>300</v>
      </c>
      <c r="C53" t="s">
        <v>968</v>
      </c>
      <c r="D53" t="s">
        <v>30</v>
      </c>
      <c r="E53" t="str">
        <f t="shared" si="14"/>
        <v>Kasungu District [JQKLKuVuY61]|15+|Female</v>
      </c>
      <c r="F53" s="229" cm="1">
        <f t="array" ref="F53">IFERROR(1/(1/SUM(SUMIFS(Cascade!$O:$O,Cascade!$B:$B,$B53,Cascade!$C:$C,IF($C53="&lt;15",{"=&lt;01","01-09","10-14"},{"15-24","25-34","35-49","50+"}),Cascade!$D:$D,$D53))),"")</f>
        <v>11321</v>
      </c>
      <c r="G53" s="38" cm="1">
        <f t="array" ref="G53">IFERROR(1/(1/SUM(SUMIFS(Cascade!$AX:$AX,Cascade!$B:$B,$B53,Cascade!$C:$C,IF($C53="&lt;15",{"=&lt;01","01-09","10-14"},{"15-24","25-34","35-49","50+"}),Cascade!$D:$D,$D53))),"")</f>
        <v>608</v>
      </c>
      <c r="H53" s="33">
        <v>0.95</v>
      </c>
      <c r="I53" s="33">
        <v>0.95</v>
      </c>
      <c r="J53" s="33">
        <v>0.05</v>
      </c>
      <c r="K53" s="33">
        <v>0.15</v>
      </c>
      <c r="L53" s="218">
        <f t="shared" si="15"/>
        <v>538</v>
      </c>
      <c r="M53" s="218">
        <f t="shared" si="16"/>
        <v>10217</v>
      </c>
      <c r="N53" s="218">
        <f t="shared" si="17"/>
        <v>87</v>
      </c>
      <c r="O53" s="218">
        <f t="shared" si="18"/>
        <v>491</v>
      </c>
      <c r="P53" s="38">
        <v>1981</v>
      </c>
      <c r="Q53" s="38"/>
      <c r="R53" s="38">
        <v>329</v>
      </c>
      <c r="S53" s="38">
        <f t="shared" si="19"/>
        <v>2310</v>
      </c>
      <c r="T53" s="33">
        <f t="shared" si="20"/>
        <v>0.79595442098754532</v>
      </c>
      <c r="U53" s="33">
        <v>0</v>
      </c>
      <c r="V53" s="33">
        <v>0.75</v>
      </c>
      <c r="W53" s="218">
        <f t="shared" si="21"/>
        <v>0</v>
      </c>
      <c r="X53" s="218">
        <f t="shared" si="22"/>
        <v>368</v>
      </c>
      <c r="Y53" s="33">
        <f t="shared" si="23"/>
        <v>0.9</v>
      </c>
      <c r="Z53" s="218" t="str">
        <f t="shared" si="24"/>
        <v/>
      </c>
      <c r="AA53" s="218">
        <f t="shared" si="25"/>
        <v>331</v>
      </c>
      <c r="AB53" s="33" t="str">
        <f t="shared" si="26"/>
        <v/>
      </c>
      <c r="AC53" s="33">
        <f t="shared" si="27"/>
        <v>6.0790273556231003E-3</v>
      </c>
    </row>
    <row r="54" spans="1:29" x14ac:dyDescent="0.2">
      <c r="A54" t="str">
        <f>INDEX(Prioritization!$D:$D,MATCH($B54,Prioritization!$A:$A,0))</f>
        <v>INVALID</v>
      </c>
      <c r="B54" t="s">
        <v>300</v>
      </c>
      <c r="C54" t="s">
        <v>968</v>
      </c>
      <c r="D54" t="s">
        <v>48</v>
      </c>
      <c r="E54" t="str">
        <f t="shared" si="14"/>
        <v>Kasungu District [JQKLKuVuY61]|15+|Male</v>
      </c>
      <c r="F54" s="229" cm="1">
        <f t="array" ref="F54">IFERROR(1/(1/SUM(SUMIFS(Cascade!$O:$O,Cascade!$B:$B,$B54,Cascade!$C:$C,IF($C54="&lt;15",{"=&lt;01","01-09","10-14"},{"15-24","25-34","35-49","50+"}),Cascade!$D:$D,$D54))),"")</f>
        <v>6737.0000000000009</v>
      </c>
      <c r="G54" s="38" cm="1">
        <f t="array" ref="G54">IFERROR(1/(1/SUM(SUMIFS(Cascade!$AX:$AX,Cascade!$B:$B,$B54,Cascade!$C:$C,IF($C54="&lt;15",{"=&lt;01","01-09","10-14"},{"15-24","25-34","35-49","50+"}),Cascade!$D:$D,$D54))),"")</f>
        <v>170</v>
      </c>
      <c r="H54" s="33">
        <v>0.95</v>
      </c>
      <c r="I54" s="33">
        <v>0.95</v>
      </c>
      <c r="J54" s="33">
        <v>0.05</v>
      </c>
      <c r="K54" s="33">
        <v>0.15</v>
      </c>
      <c r="L54" s="218">
        <f t="shared" si="15"/>
        <v>320</v>
      </c>
      <c r="M54" s="218">
        <f t="shared" si="16"/>
        <v>6080</v>
      </c>
      <c r="N54" s="218">
        <f t="shared" si="17"/>
        <v>24</v>
      </c>
      <c r="O54" s="218">
        <f t="shared" si="18"/>
        <v>138</v>
      </c>
      <c r="P54" s="38">
        <v>1360</v>
      </c>
      <c r="Q54" s="38"/>
      <c r="R54" s="38">
        <v>138</v>
      </c>
      <c r="S54" s="38">
        <f t="shared" si="19"/>
        <v>1498</v>
      </c>
      <c r="T54" s="33">
        <f t="shared" si="20"/>
        <v>0.77764583642570884</v>
      </c>
      <c r="U54" s="33">
        <v>0</v>
      </c>
      <c r="V54" s="33">
        <v>0.75</v>
      </c>
      <c r="W54" s="218">
        <f t="shared" si="21"/>
        <v>0</v>
      </c>
      <c r="X54" s="218">
        <f t="shared" si="22"/>
        <v>104</v>
      </c>
      <c r="Y54" s="33">
        <f t="shared" si="23"/>
        <v>0.9</v>
      </c>
      <c r="Z54" s="218" t="str">
        <f t="shared" si="24"/>
        <v/>
      </c>
      <c r="AA54" s="218">
        <f t="shared" si="25"/>
        <v>94</v>
      </c>
      <c r="AB54" s="33" t="str">
        <f t="shared" si="26"/>
        <v/>
      </c>
      <c r="AC54" s="33">
        <f t="shared" si="27"/>
        <v>-0.3188405797101449</v>
      </c>
    </row>
    <row r="55" spans="1:29" x14ac:dyDescent="0.2">
      <c r="A55" t="str">
        <f>INDEX(Prioritization!$D:$D,MATCH($B55,Prioritization!$A:$A,0))</f>
        <v>4 - Sustained</v>
      </c>
      <c r="B55" t="s">
        <v>309</v>
      </c>
      <c r="C55" t="s">
        <v>967</v>
      </c>
      <c r="D55" t="s">
        <v>30</v>
      </c>
      <c r="E55" t="str">
        <f t="shared" si="14"/>
        <v>Likoma District [ZCjuwgaMB9u]|&lt;15|Female</v>
      </c>
      <c r="F55" s="229" cm="1">
        <f t="array" ref="F55">IFERROR(1/(1/SUM(SUMIFS(Cascade!$O:$O,Cascade!$B:$B,$B55,Cascade!$C:$C,IF($C55="&lt;15",{"=&lt;01","01-09","10-14"},{"15-24","25-34","35-49","50+"}),Cascade!$D:$D,$D55))),"")</f>
        <v>18</v>
      </c>
      <c r="G55" s="38" cm="1">
        <f t="array" ref="G55">IFERROR(1/(1/SUM(SUMIFS(Cascade!$AX:$AX,Cascade!$B:$B,$B55,Cascade!$C:$C,IF($C55="&lt;15",{"=&lt;01","01-09","10-14"},{"15-24","25-34","35-49","50+"}),Cascade!$D:$D,$D55))),"")</f>
        <v>2</v>
      </c>
      <c r="H55" s="33">
        <v>0.95</v>
      </c>
      <c r="I55" s="33">
        <v>0.95</v>
      </c>
      <c r="J55" s="33">
        <v>0.05</v>
      </c>
      <c r="K55" s="33">
        <v>0.15</v>
      </c>
      <c r="L55" s="218">
        <f t="shared" si="15"/>
        <v>1</v>
      </c>
      <c r="M55" s="218">
        <f t="shared" si="16"/>
        <v>16</v>
      </c>
      <c r="N55" s="218">
        <f t="shared" si="17"/>
        <v>0</v>
      </c>
      <c r="O55" s="218">
        <f t="shared" si="18"/>
        <v>2</v>
      </c>
      <c r="P55" s="38">
        <v>9</v>
      </c>
      <c r="Q55" s="38"/>
      <c r="R55" s="38">
        <v>1</v>
      </c>
      <c r="S55" s="38">
        <f t="shared" si="19"/>
        <v>10</v>
      </c>
      <c r="T55" s="33">
        <f t="shared" si="20"/>
        <v>0.44444444444444442</v>
      </c>
      <c r="U55" s="33">
        <v>0</v>
      </c>
      <c r="V55" s="33">
        <v>0.75</v>
      </c>
      <c r="W55" s="218">
        <f t="shared" si="21"/>
        <v>0</v>
      </c>
      <c r="X55" s="218">
        <f t="shared" si="22"/>
        <v>2</v>
      </c>
      <c r="Y55" s="33">
        <f t="shared" si="23"/>
        <v>0.9</v>
      </c>
      <c r="Z55" s="218" t="str">
        <f t="shared" si="24"/>
        <v/>
      </c>
      <c r="AA55" s="218">
        <f t="shared" si="25"/>
        <v>2</v>
      </c>
      <c r="AB55" s="33" t="str">
        <f t="shared" si="26"/>
        <v/>
      </c>
      <c r="AC55" s="33">
        <f t="shared" si="27"/>
        <v>1</v>
      </c>
    </row>
    <row r="56" spans="1:29" x14ac:dyDescent="0.2">
      <c r="A56" t="str">
        <f>INDEX(Prioritization!$D:$D,MATCH($B56,Prioritization!$A:$A,0))</f>
        <v>4 - Sustained</v>
      </c>
      <c r="B56" t="s">
        <v>309</v>
      </c>
      <c r="C56" t="s">
        <v>967</v>
      </c>
      <c r="D56" t="s">
        <v>48</v>
      </c>
      <c r="E56" t="str">
        <f t="shared" si="14"/>
        <v>Likoma District [ZCjuwgaMB9u]|&lt;15|Male</v>
      </c>
      <c r="F56" s="229" cm="1">
        <f t="array" ref="F56">IFERROR(1/(1/SUM(SUMIFS(Cascade!$O:$O,Cascade!$B:$B,$B56,Cascade!$C:$C,IF($C56="&lt;15",{"=&lt;01","01-09","10-14"},{"15-24","25-34","35-49","50+"}),Cascade!$D:$D,$D56))),"")</f>
        <v>19</v>
      </c>
      <c r="G56" s="38" cm="1">
        <f t="array" ref="G56">IFERROR(1/(1/SUM(SUMIFS(Cascade!$AX:$AX,Cascade!$B:$B,$B56,Cascade!$C:$C,IF($C56="&lt;15",{"=&lt;01","01-09","10-14"},{"15-24","25-34","35-49","50+"}),Cascade!$D:$D,$D56))),"")</f>
        <v>1</v>
      </c>
      <c r="H56" s="33">
        <v>0.95</v>
      </c>
      <c r="I56" s="33">
        <v>0.95</v>
      </c>
      <c r="J56" s="33">
        <v>0.05</v>
      </c>
      <c r="K56" s="33">
        <v>0.15</v>
      </c>
      <c r="L56" s="218">
        <f t="shared" si="15"/>
        <v>1</v>
      </c>
      <c r="M56" s="218">
        <f t="shared" si="16"/>
        <v>17</v>
      </c>
      <c r="N56" s="218">
        <f t="shared" si="17"/>
        <v>0</v>
      </c>
      <c r="O56" s="218">
        <f t="shared" si="18"/>
        <v>1</v>
      </c>
      <c r="P56" s="38">
        <v>16</v>
      </c>
      <c r="Q56" s="38"/>
      <c r="R56" s="38">
        <v>1</v>
      </c>
      <c r="S56" s="38">
        <f t="shared" si="19"/>
        <v>17</v>
      </c>
      <c r="T56" s="33">
        <f t="shared" si="20"/>
        <v>0.10526315789473684</v>
      </c>
      <c r="U56" s="33">
        <v>0</v>
      </c>
      <c r="V56" s="33">
        <v>0.75</v>
      </c>
      <c r="W56" s="218">
        <f t="shared" si="21"/>
        <v>0</v>
      </c>
      <c r="X56" s="218">
        <f t="shared" si="22"/>
        <v>1</v>
      </c>
      <c r="Y56" s="33">
        <f t="shared" si="23"/>
        <v>0.9</v>
      </c>
      <c r="Z56" s="218" t="str">
        <f t="shared" si="24"/>
        <v/>
      </c>
      <c r="AA56" s="218">
        <f t="shared" si="25"/>
        <v>1</v>
      </c>
      <c r="AB56" s="33" t="str">
        <f t="shared" si="26"/>
        <v/>
      </c>
      <c r="AC56" s="33">
        <f t="shared" si="27"/>
        <v>0</v>
      </c>
    </row>
    <row r="57" spans="1:29" x14ac:dyDescent="0.2">
      <c r="A57" t="str">
        <f>INDEX(Prioritization!$D:$D,MATCH($B57,Prioritization!$A:$A,0))</f>
        <v>4 - Sustained</v>
      </c>
      <c r="B57" t="s">
        <v>309</v>
      </c>
      <c r="C57" t="s">
        <v>968</v>
      </c>
      <c r="D57" t="s">
        <v>30</v>
      </c>
      <c r="E57" t="str">
        <f t="shared" si="14"/>
        <v>Likoma District [ZCjuwgaMB9u]|15+|Female</v>
      </c>
      <c r="F57" s="229" cm="1">
        <f t="array" ref="F57">IFERROR(1/(1/SUM(SUMIFS(Cascade!$O:$O,Cascade!$B:$B,$B57,Cascade!$C:$C,IF($C57="&lt;15",{"=&lt;01","01-09","10-14"},{"15-24","25-34","35-49","50+"}),Cascade!$D:$D,$D57))),"")</f>
        <v>511</v>
      </c>
      <c r="G57" s="38" cm="1">
        <f t="array" ref="G57">IFERROR(1/(1/SUM(SUMIFS(Cascade!$AX:$AX,Cascade!$B:$B,$B57,Cascade!$C:$C,IF($C57="&lt;15",{"=&lt;01","01-09","10-14"},{"15-24","25-34","35-49","50+"}),Cascade!$D:$D,$D57))),"")</f>
        <v>50</v>
      </c>
      <c r="H57" s="33">
        <v>0.95</v>
      </c>
      <c r="I57" s="33">
        <v>0.95</v>
      </c>
      <c r="J57" s="33">
        <v>0.05</v>
      </c>
      <c r="K57" s="33">
        <v>0.15</v>
      </c>
      <c r="L57" s="218">
        <f t="shared" si="15"/>
        <v>24</v>
      </c>
      <c r="M57" s="218">
        <f t="shared" si="16"/>
        <v>461</v>
      </c>
      <c r="N57" s="218">
        <f t="shared" si="17"/>
        <v>7</v>
      </c>
      <c r="O57" s="218">
        <f t="shared" si="18"/>
        <v>41</v>
      </c>
      <c r="P57" s="38">
        <v>85</v>
      </c>
      <c r="Q57" s="38"/>
      <c r="R57" s="38">
        <v>29</v>
      </c>
      <c r="S57" s="38">
        <f t="shared" si="19"/>
        <v>114</v>
      </c>
      <c r="T57" s="33">
        <f t="shared" si="20"/>
        <v>0.77690802348336596</v>
      </c>
      <c r="U57" s="33">
        <v>0</v>
      </c>
      <c r="V57" s="33">
        <v>0.75</v>
      </c>
      <c r="W57" s="218">
        <f t="shared" si="21"/>
        <v>0</v>
      </c>
      <c r="X57" s="218">
        <f t="shared" si="22"/>
        <v>31</v>
      </c>
      <c r="Y57" s="33">
        <f t="shared" si="23"/>
        <v>0.9</v>
      </c>
      <c r="Z57" s="218" t="str">
        <f t="shared" si="24"/>
        <v/>
      </c>
      <c r="AA57" s="218">
        <f t="shared" si="25"/>
        <v>28</v>
      </c>
      <c r="AB57" s="33" t="str">
        <f t="shared" si="26"/>
        <v/>
      </c>
      <c r="AC57" s="33">
        <f t="shared" si="27"/>
        <v>-3.4482758620689655E-2</v>
      </c>
    </row>
    <row r="58" spans="1:29" x14ac:dyDescent="0.2">
      <c r="A58" t="str">
        <f>INDEX(Prioritization!$D:$D,MATCH($B58,Prioritization!$A:$A,0))</f>
        <v>4 - Sustained</v>
      </c>
      <c r="B58" t="s">
        <v>309</v>
      </c>
      <c r="C58" t="s">
        <v>968</v>
      </c>
      <c r="D58" t="s">
        <v>48</v>
      </c>
      <c r="E58" t="str">
        <f t="shared" si="14"/>
        <v>Likoma District [ZCjuwgaMB9u]|15+|Male</v>
      </c>
      <c r="F58" s="229" cm="1">
        <f t="array" ref="F58">IFERROR(1/(1/SUM(SUMIFS(Cascade!$O:$O,Cascade!$B:$B,$B58,Cascade!$C:$C,IF($C58="&lt;15",{"=&lt;01","01-09","10-14"},{"15-24","25-34","35-49","50+"}),Cascade!$D:$D,$D58))),"")</f>
        <v>349</v>
      </c>
      <c r="G58" s="38" cm="1">
        <f t="array" ref="G58">IFERROR(1/(1/SUM(SUMIFS(Cascade!$AX:$AX,Cascade!$B:$B,$B58,Cascade!$C:$C,IF($C58="&lt;15",{"=&lt;01","01-09","10-14"},{"15-24","25-34","35-49","50+"}),Cascade!$D:$D,$D58))),"")</f>
        <v>7</v>
      </c>
      <c r="H58" s="33">
        <v>0.95</v>
      </c>
      <c r="I58" s="33">
        <v>0.95</v>
      </c>
      <c r="J58" s="33">
        <v>0.05</v>
      </c>
      <c r="K58" s="33">
        <v>0.15</v>
      </c>
      <c r="L58" s="218">
        <f t="shared" si="15"/>
        <v>17</v>
      </c>
      <c r="M58" s="218">
        <f t="shared" si="16"/>
        <v>315</v>
      </c>
      <c r="N58" s="218">
        <f t="shared" si="17"/>
        <v>1</v>
      </c>
      <c r="O58" s="218">
        <f t="shared" si="18"/>
        <v>6</v>
      </c>
      <c r="P58" s="38">
        <v>37</v>
      </c>
      <c r="Q58" s="38"/>
      <c r="R58" s="38">
        <v>10</v>
      </c>
      <c r="S58" s="38">
        <f t="shared" si="19"/>
        <v>47</v>
      </c>
      <c r="T58" s="33">
        <f t="shared" si="20"/>
        <v>0.86532951289398286</v>
      </c>
      <c r="U58" s="33">
        <v>0</v>
      </c>
      <c r="V58" s="33">
        <v>0.75</v>
      </c>
      <c r="W58" s="218">
        <f t="shared" si="21"/>
        <v>0</v>
      </c>
      <c r="X58" s="218">
        <f t="shared" si="22"/>
        <v>5</v>
      </c>
      <c r="Y58" s="33">
        <f t="shared" si="23"/>
        <v>0.9</v>
      </c>
      <c r="Z58" s="218" t="str">
        <f t="shared" si="24"/>
        <v/>
      </c>
      <c r="AA58" s="218">
        <f t="shared" si="25"/>
        <v>5</v>
      </c>
      <c r="AB58" s="33" t="str">
        <f t="shared" si="26"/>
        <v/>
      </c>
      <c r="AC58" s="33">
        <f t="shared" si="27"/>
        <v>-0.5</v>
      </c>
    </row>
    <row r="59" spans="1:29" x14ac:dyDescent="0.2">
      <c r="A59" t="str">
        <f>INDEX(Prioritization!$D:$D,MATCH($B59,Prioritization!$A:$A,0))</f>
        <v>INVALID</v>
      </c>
      <c r="B59" t="s">
        <v>301</v>
      </c>
      <c r="C59" t="s">
        <v>967</v>
      </c>
      <c r="D59" t="s">
        <v>30</v>
      </c>
      <c r="E59" t="str">
        <f t="shared" si="14"/>
        <v>Lilongwe District [ScR9iFKAasW]|&lt;15|Female</v>
      </c>
      <c r="F59" s="229" cm="1">
        <f t="array" ref="F59">IFERROR(1/(1/SUM(SUMIFS(Cascade!$O:$O,Cascade!$B:$B,$B59,Cascade!$C:$C,IF($C59="&lt;15",{"=&lt;01","01-09","10-14"},{"15-24","25-34","35-49","50+"}),Cascade!$D:$D,$D59))),"")</f>
        <v>1967</v>
      </c>
      <c r="G59" s="38" cm="1">
        <f t="array" ref="G59">IFERROR(1/(1/SUM(SUMIFS(Cascade!$AX:$AX,Cascade!$B:$B,$B59,Cascade!$C:$C,IF($C59="&lt;15",{"=&lt;01","01-09","10-14"},{"15-24","25-34","35-49","50+"}),Cascade!$D:$D,$D59))),"")</f>
        <v>39</v>
      </c>
      <c r="H59" s="33">
        <v>0.95</v>
      </c>
      <c r="I59" s="33">
        <v>0.95</v>
      </c>
      <c r="J59" s="33">
        <v>0.05</v>
      </c>
      <c r="K59" s="33">
        <v>0.15</v>
      </c>
      <c r="L59" s="218">
        <f t="shared" si="15"/>
        <v>93</v>
      </c>
      <c r="M59" s="218">
        <f t="shared" si="16"/>
        <v>1776</v>
      </c>
      <c r="N59" s="218">
        <f t="shared" si="17"/>
        <v>6</v>
      </c>
      <c r="O59" s="218">
        <f t="shared" si="18"/>
        <v>31</v>
      </c>
      <c r="P59" s="38">
        <v>1295</v>
      </c>
      <c r="Q59" s="38"/>
      <c r="R59" s="38">
        <v>183</v>
      </c>
      <c r="S59" s="38">
        <f t="shared" si="19"/>
        <v>1478</v>
      </c>
      <c r="T59" s="33">
        <f t="shared" si="20"/>
        <v>0.24860193187595322</v>
      </c>
      <c r="U59" s="33">
        <v>0</v>
      </c>
      <c r="V59" s="33">
        <v>0.75</v>
      </c>
      <c r="W59" s="218">
        <f t="shared" si="21"/>
        <v>0</v>
      </c>
      <c r="X59" s="218">
        <f t="shared" si="22"/>
        <v>23</v>
      </c>
      <c r="Y59" s="33">
        <f t="shared" si="23"/>
        <v>0.9</v>
      </c>
      <c r="Z59" s="218" t="str">
        <f t="shared" si="24"/>
        <v/>
      </c>
      <c r="AA59" s="218">
        <f t="shared" si="25"/>
        <v>21</v>
      </c>
      <c r="AB59" s="33" t="str">
        <f t="shared" si="26"/>
        <v/>
      </c>
      <c r="AC59" s="33">
        <f t="shared" si="27"/>
        <v>-0.88524590163934425</v>
      </c>
    </row>
    <row r="60" spans="1:29" x14ac:dyDescent="0.2">
      <c r="A60" t="str">
        <f>INDEX(Prioritization!$D:$D,MATCH($B60,Prioritization!$A:$A,0))</f>
        <v>INVALID</v>
      </c>
      <c r="B60" t="s">
        <v>301</v>
      </c>
      <c r="C60" t="s">
        <v>967</v>
      </c>
      <c r="D60" t="s">
        <v>48</v>
      </c>
      <c r="E60" t="str">
        <f t="shared" si="14"/>
        <v>Lilongwe District [ScR9iFKAasW]|&lt;15|Male</v>
      </c>
      <c r="F60" s="229" cm="1">
        <f t="array" ref="F60">IFERROR(1/(1/SUM(SUMIFS(Cascade!$O:$O,Cascade!$B:$B,$B60,Cascade!$C:$C,IF($C60="&lt;15",{"=&lt;01","01-09","10-14"},{"15-24","25-34","35-49","50+"}),Cascade!$D:$D,$D60))),"")</f>
        <v>1921.9999999999998</v>
      </c>
      <c r="G60" s="38" cm="1">
        <f t="array" ref="G60">IFERROR(1/(1/SUM(SUMIFS(Cascade!$AX:$AX,Cascade!$B:$B,$B60,Cascade!$C:$C,IF($C60="&lt;15",{"=&lt;01","01-09","10-14"},{"15-24","25-34","35-49","50+"}),Cascade!$D:$D,$D60))),"")</f>
        <v>38</v>
      </c>
      <c r="H60" s="33">
        <v>0.95</v>
      </c>
      <c r="I60" s="33">
        <v>0.95</v>
      </c>
      <c r="J60" s="33">
        <v>0.05</v>
      </c>
      <c r="K60" s="33">
        <v>0.15</v>
      </c>
      <c r="L60" s="218">
        <f t="shared" si="15"/>
        <v>91</v>
      </c>
      <c r="M60" s="218">
        <f t="shared" si="16"/>
        <v>1735</v>
      </c>
      <c r="N60" s="218">
        <f t="shared" si="17"/>
        <v>5</v>
      </c>
      <c r="O60" s="218">
        <f t="shared" si="18"/>
        <v>31</v>
      </c>
      <c r="P60" s="38">
        <v>1196</v>
      </c>
      <c r="Q60" s="38"/>
      <c r="R60" s="38">
        <v>188</v>
      </c>
      <c r="S60" s="38">
        <f t="shared" si="19"/>
        <v>1384</v>
      </c>
      <c r="T60" s="33">
        <f t="shared" si="20"/>
        <v>0.27991675338189376</v>
      </c>
      <c r="U60" s="33">
        <v>0</v>
      </c>
      <c r="V60" s="33">
        <v>0.75</v>
      </c>
      <c r="W60" s="218">
        <f t="shared" si="21"/>
        <v>0</v>
      </c>
      <c r="X60" s="218">
        <f t="shared" si="22"/>
        <v>23</v>
      </c>
      <c r="Y60" s="33">
        <f t="shared" si="23"/>
        <v>0.9</v>
      </c>
      <c r="Z60" s="218" t="str">
        <f t="shared" si="24"/>
        <v/>
      </c>
      <c r="AA60" s="218">
        <f t="shared" si="25"/>
        <v>21</v>
      </c>
      <c r="AB60" s="33" t="str">
        <f t="shared" si="26"/>
        <v/>
      </c>
      <c r="AC60" s="33">
        <f t="shared" si="27"/>
        <v>-0.88829787234042556</v>
      </c>
    </row>
    <row r="61" spans="1:29" x14ac:dyDescent="0.2">
      <c r="A61" t="str">
        <f>INDEX(Prioritization!$D:$D,MATCH($B61,Prioritization!$A:$A,0))</f>
        <v>INVALID</v>
      </c>
      <c r="B61" t="s">
        <v>301</v>
      </c>
      <c r="C61" t="s">
        <v>968</v>
      </c>
      <c r="D61" t="s">
        <v>30</v>
      </c>
      <c r="E61" t="str">
        <f t="shared" si="14"/>
        <v>Lilongwe District [ScR9iFKAasW]|15+|Female</v>
      </c>
      <c r="F61" s="229" cm="1">
        <f t="array" ref="F61">IFERROR(1/(1/SUM(SUMIFS(Cascade!$O:$O,Cascade!$B:$B,$B61,Cascade!$C:$C,IF($C61="&lt;15",{"=&lt;01","01-09","10-14"},{"15-24","25-34","35-49","50+"}),Cascade!$D:$D,$D61))),"")</f>
        <v>68966</v>
      </c>
      <c r="G61" s="38" cm="1">
        <f t="array" ref="G61">IFERROR(1/(1/SUM(SUMIFS(Cascade!$AX:$AX,Cascade!$B:$B,$B61,Cascade!$C:$C,IF($C61="&lt;15",{"=&lt;01","01-09","10-14"},{"15-24","25-34","35-49","50+"}),Cascade!$D:$D,$D61))),"")</f>
        <v>4784</v>
      </c>
      <c r="H61" s="33">
        <v>0.95</v>
      </c>
      <c r="I61" s="33">
        <v>0.95</v>
      </c>
      <c r="J61" s="33">
        <v>0.05</v>
      </c>
      <c r="K61" s="33">
        <v>0.15</v>
      </c>
      <c r="L61" s="218">
        <f t="shared" si="15"/>
        <v>3276</v>
      </c>
      <c r="M61" s="218">
        <f t="shared" si="16"/>
        <v>62242</v>
      </c>
      <c r="N61" s="218">
        <f t="shared" si="17"/>
        <v>682</v>
      </c>
      <c r="O61" s="218">
        <f t="shared" si="18"/>
        <v>3863</v>
      </c>
      <c r="P61" s="38">
        <v>48682</v>
      </c>
      <c r="Q61" s="38"/>
      <c r="R61" s="38">
        <v>3257</v>
      </c>
      <c r="S61" s="38">
        <f t="shared" si="19"/>
        <v>51939</v>
      </c>
      <c r="T61" s="33">
        <f t="shared" si="20"/>
        <v>0.2468897717715976</v>
      </c>
      <c r="U61" s="33">
        <v>0</v>
      </c>
      <c r="V61" s="33">
        <v>0.75</v>
      </c>
      <c r="W61" s="218">
        <f t="shared" si="21"/>
        <v>0</v>
      </c>
      <c r="X61" s="218">
        <f t="shared" si="22"/>
        <v>2897</v>
      </c>
      <c r="Y61" s="33">
        <f t="shared" si="23"/>
        <v>0.9</v>
      </c>
      <c r="Z61" s="218" t="str">
        <f t="shared" si="24"/>
        <v/>
      </c>
      <c r="AA61" s="218">
        <f t="shared" si="25"/>
        <v>2607</v>
      </c>
      <c r="AB61" s="33" t="str">
        <f t="shared" si="26"/>
        <v/>
      </c>
      <c r="AC61" s="33">
        <f t="shared" si="27"/>
        <v>-0.19957015658581517</v>
      </c>
    </row>
    <row r="62" spans="1:29" x14ac:dyDescent="0.2">
      <c r="A62" t="str">
        <f>INDEX(Prioritization!$D:$D,MATCH($B62,Prioritization!$A:$A,0))</f>
        <v>INVALID</v>
      </c>
      <c r="B62" t="s">
        <v>301</v>
      </c>
      <c r="C62" t="s">
        <v>968</v>
      </c>
      <c r="D62" t="s">
        <v>48</v>
      </c>
      <c r="E62" t="str">
        <f t="shared" si="14"/>
        <v>Lilongwe District [ScR9iFKAasW]|15+|Male</v>
      </c>
      <c r="F62" s="229" cm="1">
        <f t="array" ref="F62">IFERROR(1/(1/SUM(SUMIFS(Cascade!$O:$O,Cascade!$B:$B,$B62,Cascade!$C:$C,IF($C62="&lt;15",{"=&lt;01","01-09","10-14"},{"15-24","25-34","35-49","50+"}),Cascade!$D:$D,$D62))),"")</f>
        <v>41226</v>
      </c>
      <c r="G62" s="38" cm="1">
        <f t="array" ref="G62">IFERROR(1/(1/SUM(SUMIFS(Cascade!$AX:$AX,Cascade!$B:$B,$B62,Cascade!$C:$C,IF($C62="&lt;15",{"=&lt;01","01-09","10-14"},{"15-24","25-34","35-49","50+"}),Cascade!$D:$D,$D62))),"")</f>
        <v>3007</v>
      </c>
      <c r="H62" s="33">
        <v>0.95</v>
      </c>
      <c r="I62" s="33">
        <v>0.95</v>
      </c>
      <c r="J62" s="33">
        <v>0.05</v>
      </c>
      <c r="K62" s="33">
        <v>0.15</v>
      </c>
      <c r="L62" s="218">
        <f t="shared" si="15"/>
        <v>1958</v>
      </c>
      <c r="M62" s="218">
        <f t="shared" si="16"/>
        <v>37207</v>
      </c>
      <c r="N62" s="218">
        <f t="shared" si="17"/>
        <v>428</v>
      </c>
      <c r="O62" s="218">
        <f t="shared" si="18"/>
        <v>2429</v>
      </c>
      <c r="P62" s="38">
        <v>29454</v>
      </c>
      <c r="Q62" s="38"/>
      <c r="R62" s="38">
        <v>910</v>
      </c>
      <c r="S62" s="38">
        <f t="shared" si="19"/>
        <v>30364.000000000004</v>
      </c>
      <c r="T62" s="33">
        <f t="shared" si="20"/>
        <v>0.26347450637946918</v>
      </c>
      <c r="U62" s="33">
        <v>0</v>
      </c>
      <c r="V62" s="33">
        <v>0.75</v>
      </c>
      <c r="W62" s="218">
        <f t="shared" si="21"/>
        <v>0</v>
      </c>
      <c r="X62" s="218">
        <f t="shared" si="22"/>
        <v>1822</v>
      </c>
      <c r="Y62" s="33">
        <f t="shared" si="23"/>
        <v>0.9</v>
      </c>
      <c r="Z62" s="218" t="str">
        <f t="shared" si="24"/>
        <v/>
      </c>
      <c r="AA62" s="218">
        <f t="shared" si="25"/>
        <v>1640</v>
      </c>
      <c r="AB62" s="33" t="str">
        <f t="shared" si="26"/>
        <v/>
      </c>
      <c r="AC62" s="33">
        <f t="shared" si="27"/>
        <v>0.80219780219780223</v>
      </c>
    </row>
    <row r="63" spans="1:29" x14ac:dyDescent="0.2">
      <c r="A63" t="str">
        <f>INDEX(Prioritization!$D:$D,MATCH($B63,Prioritization!$A:$A,0))</f>
        <v>1 - Scale-up: Saturation</v>
      </c>
      <c r="B63" t="s">
        <v>317</v>
      </c>
      <c r="C63" t="s">
        <v>967</v>
      </c>
      <c r="D63" t="s">
        <v>30</v>
      </c>
      <c r="E63" t="str">
        <f t="shared" si="14"/>
        <v>Machinga District [TYnMSwzko3z]|&lt;15|Female</v>
      </c>
      <c r="F63" s="229" cm="1">
        <f t="array" ref="F63">IFERROR(1/(1/SUM(SUMIFS(Cascade!$O:$O,Cascade!$B:$B,$B63,Cascade!$C:$C,IF($C63="&lt;15",{"=&lt;01","01-09","10-14"},{"15-24","25-34","35-49","50+"}),Cascade!$D:$D,$D63))),"")</f>
        <v>829.99999999999989</v>
      </c>
      <c r="G63" s="38" cm="1">
        <f t="array" ref="G63">IFERROR(1/(1/SUM(SUMIFS(Cascade!$AX:$AX,Cascade!$B:$B,$B63,Cascade!$C:$C,IF($C63="&lt;15",{"=&lt;01","01-09","10-14"},{"15-24","25-34","35-49","50+"}),Cascade!$D:$D,$D63))),"")</f>
        <v>53</v>
      </c>
      <c r="H63" s="33">
        <v>0.95</v>
      </c>
      <c r="I63" s="33">
        <v>0.95</v>
      </c>
      <c r="J63" s="33">
        <v>0.05</v>
      </c>
      <c r="K63" s="33">
        <v>0.15</v>
      </c>
      <c r="L63" s="218">
        <f t="shared" si="15"/>
        <v>39</v>
      </c>
      <c r="M63" s="218">
        <f t="shared" si="16"/>
        <v>750</v>
      </c>
      <c r="N63" s="218">
        <f t="shared" si="17"/>
        <v>8</v>
      </c>
      <c r="O63" s="218">
        <f t="shared" si="18"/>
        <v>42</v>
      </c>
      <c r="P63" s="38">
        <v>18</v>
      </c>
      <c r="Q63" s="38"/>
      <c r="R63" s="38">
        <v>65</v>
      </c>
      <c r="S63" s="38">
        <f t="shared" si="19"/>
        <v>83</v>
      </c>
      <c r="T63" s="33">
        <f t="shared" si="20"/>
        <v>0.9</v>
      </c>
      <c r="U63" s="33">
        <v>0</v>
      </c>
      <c r="V63" s="33">
        <v>0.75</v>
      </c>
      <c r="W63" s="218">
        <f t="shared" si="21"/>
        <v>0</v>
      </c>
      <c r="X63" s="218">
        <f t="shared" si="22"/>
        <v>32</v>
      </c>
      <c r="Y63" s="33">
        <f t="shared" si="23"/>
        <v>0.9</v>
      </c>
      <c r="Z63" s="218" t="str">
        <f t="shared" si="24"/>
        <v/>
      </c>
      <c r="AA63" s="218">
        <f t="shared" si="25"/>
        <v>29</v>
      </c>
      <c r="AB63" s="33" t="str">
        <f t="shared" si="26"/>
        <v/>
      </c>
      <c r="AC63" s="33">
        <f t="shared" si="27"/>
        <v>-0.55384615384615388</v>
      </c>
    </row>
    <row r="64" spans="1:29" x14ac:dyDescent="0.2">
      <c r="A64" t="str">
        <f>INDEX(Prioritization!$D:$D,MATCH($B64,Prioritization!$A:$A,0))</f>
        <v>1 - Scale-up: Saturation</v>
      </c>
      <c r="B64" t="s">
        <v>317</v>
      </c>
      <c r="C64" t="s">
        <v>967</v>
      </c>
      <c r="D64" t="s">
        <v>48</v>
      </c>
      <c r="E64" t="str">
        <f t="shared" si="14"/>
        <v>Machinga District [TYnMSwzko3z]|&lt;15|Male</v>
      </c>
      <c r="F64" s="229" cm="1">
        <f t="array" ref="F64">IFERROR(1/(1/SUM(SUMIFS(Cascade!$O:$O,Cascade!$B:$B,$B64,Cascade!$C:$C,IF($C64="&lt;15",{"=&lt;01","01-09","10-14"},{"15-24","25-34","35-49","50+"}),Cascade!$D:$D,$D64))),"")</f>
        <v>820</v>
      </c>
      <c r="G64" s="38" cm="1">
        <f t="array" ref="G64">IFERROR(1/(1/SUM(SUMIFS(Cascade!$AX:$AX,Cascade!$B:$B,$B64,Cascade!$C:$C,IF($C64="&lt;15",{"=&lt;01","01-09","10-14"},{"15-24","25-34","35-49","50+"}),Cascade!$D:$D,$D64))),"")</f>
        <v>17</v>
      </c>
      <c r="H64" s="33">
        <v>0.95</v>
      </c>
      <c r="I64" s="33">
        <v>0.95</v>
      </c>
      <c r="J64" s="33">
        <v>0.05</v>
      </c>
      <c r="K64" s="33">
        <v>0.15</v>
      </c>
      <c r="L64" s="218">
        <f t="shared" si="15"/>
        <v>39</v>
      </c>
      <c r="M64" s="218">
        <f t="shared" si="16"/>
        <v>740</v>
      </c>
      <c r="N64" s="218">
        <f t="shared" si="17"/>
        <v>2</v>
      </c>
      <c r="O64" s="218">
        <f t="shared" si="18"/>
        <v>14</v>
      </c>
      <c r="P64" s="38">
        <v>18</v>
      </c>
      <c r="Q64" s="38"/>
      <c r="R64" s="38">
        <v>66</v>
      </c>
      <c r="S64" s="38">
        <f t="shared" si="19"/>
        <v>84</v>
      </c>
      <c r="T64" s="33">
        <f t="shared" si="20"/>
        <v>0.89756097560975612</v>
      </c>
      <c r="U64" s="33">
        <v>0</v>
      </c>
      <c r="V64" s="33">
        <v>0.75</v>
      </c>
      <c r="W64" s="218">
        <f t="shared" si="21"/>
        <v>0</v>
      </c>
      <c r="X64" s="218">
        <f t="shared" si="22"/>
        <v>11</v>
      </c>
      <c r="Y64" s="33">
        <f t="shared" si="23"/>
        <v>0.9</v>
      </c>
      <c r="Z64" s="218" t="str">
        <f t="shared" si="24"/>
        <v/>
      </c>
      <c r="AA64" s="218">
        <f t="shared" si="25"/>
        <v>10</v>
      </c>
      <c r="AB64" s="33" t="str">
        <f t="shared" si="26"/>
        <v/>
      </c>
      <c r="AC64" s="33">
        <f t="shared" si="27"/>
        <v>-0.84848484848484851</v>
      </c>
    </row>
    <row r="65" spans="1:29" x14ac:dyDescent="0.2">
      <c r="A65" t="str">
        <f>INDEX(Prioritization!$D:$D,MATCH($B65,Prioritization!$A:$A,0))</f>
        <v>1 - Scale-up: Saturation</v>
      </c>
      <c r="B65" t="s">
        <v>317</v>
      </c>
      <c r="C65" t="s">
        <v>968</v>
      </c>
      <c r="D65" t="s">
        <v>30</v>
      </c>
      <c r="E65" t="str">
        <f t="shared" si="14"/>
        <v>Machinga District [TYnMSwzko3z]|15+|Female</v>
      </c>
      <c r="F65" s="229" cm="1">
        <f t="array" ref="F65">IFERROR(1/(1/SUM(SUMIFS(Cascade!$O:$O,Cascade!$B:$B,$B65,Cascade!$C:$C,IF($C65="&lt;15",{"=&lt;01","01-09","10-14"},{"15-24","25-34","35-49","50+"}),Cascade!$D:$D,$D65))),"")</f>
        <v>21674</v>
      </c>
      <c r="G65" s="38" cm="1">
        <f t="array" ref="G65">IFERROR(1/(1/SUM(SUMIFS(Cascade!$AX:$AX,Cascade!$B:$B,$B65,Cascade!$C:$C,IF($C65="&lt;15",{"=&lt;01","01-09","10-14"},{"15-24","25-34","35-49","50+"}),Cascade!$D:$D,$D65))),"")</f>
        <v>1110</v>
      </c>
      <c r="H65" s="33">
        <v>0.95</v>
      </c>
      <c r="I65" s="33">
        <v>0.95</v>
      </c>
      <c r="J65" s="33">
        <v>0.05</v>
      </c>
      <c r="K65" s="33">
        <v>0.15</v>
      </c>
      <c r="L65" s="218">
        <f t="shared" si="15"/>
        <v>1030</v>
      </c>
      <c r="M65" s="218">
        <f t="shared" si="16"/>
        <v>19560</v>
      </c>
      <c r="N65" s="218">
        <f t="shared" si="17"/>
        <v>158</v>
      </c>
      <c r="O65" s="218">
        <f t="shared" si="18"/>
        <v>897</v>
      </c>
      <c r="P65" s="38">
        <v>954</v>
      </c>
      <c r="Q65" s="38"/>
      <c r="R65" s="38">
        <v>1103</v>
      </c>
      <c r="S65" s="38">
        <f t="shared" si="19"/>
        <v>2057</v>
      </c>
      <c r="T65" s="33">
        <f t="shared" si="20"/>
        <v>0.90509366060717911</v>
      </c>
      <c r="U65" s="33">
        <v>0</v>
      </c>
      <c r="V65" s="33">
        <v>0.75</v>
      </c>
      <c r="W65" s="218">
        <f t="shared" si="21"/>
        <v>0</v>
      </c>
      <c r="X65" s="218">
        <f t="shared" si="22"/>
        <v>673</v>
      </c>
      <c r="Y65" s="33">
        <f t="shared" si="23"/>
        <v>0.9</v>
      </c>
      <c r="Z65" s="218" t="str">
        <f t="shared" si="24"/>
        <v/>
      </c>
      <c r="AA65" s="218">
        <f t="shared" si="25"/>
        <v>606</v>
      </c>
      <c r="AB65" s="33" t="str">
        <f t="shared" si="26"/>
        <v/>
      </c>
      <c r="AC65" s="33">
        <f t="shared" si="27"/>
        <v>-0.45058930190389845</v>
      </c>
    </row>
    <row r="66" spans="1:29" x14ac:dyDescent="0.2">
      <c r="A66" t="str">
        <f>INDEX(Prioritization!$D:$D,MATCH($B66,Prioritization!$A:$A,0))</f>
        <v>1 - Scale-up: Saturation</v>
      </c>
      <c r="B66" t="s">
        <v>317</v>
      </c>
      <c r="C66" t="s">
        <v>968</v>
      </c>
      <c r="D66" t="s">
        <v>48</v>
      </c>
      <c r="E66" t="str">
        <f t="shared" si="14"/>
        <v>Machinga District [TYnMSwzko3z]|15+|Male</v>
      </c>
      <c r="F66" s="229" cm="1">
        <f t="array" ref="F66">IFERROR(1/(1/SUM(SUMIFS(Cascade!$O:$O,Cascade!$B:$B,$B66,Cascade!$C:$C,IF($C66="&lt;15",{"=&lt;01","01-09","10-14"},{"15-24","25-34","35-49","50+"}),Cascade!$D:$D,$D66))),"")</f>
        <v>9816</v>
      </c>
      <c r="G66" s="38" cm="1">
        <f t="array" ref="G66">IFERROR(1/(1/SUM(SUMIFS(Cascade!$AX:$AX,Cascade!$B:$B,$B66,Cascade!$C:$C,IF($C66="&lt;15",{"=&lt;01","01-09","10-14"},{"15-24","25-34","35-49","50+"}),Cascade!$D:$D,$D66))),"")</f>
        <v>270</v>
      </c>
      <c r="H66" s="33">
        <v>0.95</v>
      </c>
      <c r="I66" s="33">
        <v>0.95</v>
      </c>
      <c r="J66" s="33">
        <v>0.05</v>
      </c>
      <c r="K66" s="33">
        <v>0.15</v>
      </c>
      <c r="L66" s="218">
        <f t="shared" si="15"/>
        <v>466</v>
      </c>
      <c r="M66" s="218">
        <f t="shared" si="16"/>
        <v>8859</v>
      </c>
      <c r="N66" s="218">
        <f t="shared" si="17"/>
        <v>38</v>
      </c>
      <c r="O66" s="218">
        <f t="shared" si="18"/>
        <v>219</v>
      </c>
      <c r="P66" s="38">
        <v>692</v>
      </c>
      <c r="Q66" s="38"/>
      <c r="R66" s="38">
        <v>365</v>
      </c>
      <c r="S66" s="38">
        <f t="shared" si="19"/>
        <v>1057</v>
      </c>
      <c r="T66" s="33">
        <f t="shared" si="20"/>
        <v>0.89231866340668298</v>
      </c>
      <c r="U66" s="33">
        <v>0</v>
      </c>
      <c r="V66" s="33">
        <v>0.75</v>
      </c>
      <c r="W66" s="218">
        <f t="shared" si="21"/>
        <v>0</v>
      </c>
      <c r="X66" s="218">
        <f t="shared" si="22"/>
        <v>164</v>
      </c>
      <c r="Y66" s="33">
        <f t="shared" si="23"/>
        <v>0.9</v>
      </c>
      <c r="Z66" s="218" t="str">
        <f t="shared" si="24"/>
        <v/>
      </c>
      <c r="AA66" s="218">
        <f t="shared" si="25"/>
        <v>148</v>
      </c>
      <c r="AB66" s="33" t="str">
        <f t="shared" si="26"/>
        <v/>
      </c>
      <c r="AC66" s="33">
        <f t="shared" si="27"/>
        <v>-0.59452054794520548</v>
      </c>
    </row>
    <row r="67" spans="1:29" x14ac:dyDescent="0.2">
      <c r="A67" t="str">
        <f>INDEX(Prioritization!$D:$D,MATCH($B67,Prioritization!$A:$A,0))</f>
        <v>1 - Scale-up: Saturation</v>
      </c>
      <c r="B67" t="s">
        <v>318</v>
      </c>
      <c r="C67" t="s">
        <v>967</v>
      </c>
      <c r="D67" t="s">
        <v>30</v>
      </c>
      <c r="E67" t="str">
        <f t="shared" si="14"/>
        <v>Mangochi District [lLDyBx5XyUi]|&lt;15|Female</v>
      </c>
      <c r="F67" s="229" cm="1">
        <f t="array" ref="F67">IFERROR(1/(1/SUM(SUMIFS(Cascade!$O:$O,Cascade!$B:$B,$B67,Cascade!$C:$C,IF($C67="&lt;15",{"=&lt;01","01-09","10-14"},{"15-24","25-34","35-49","50+"}),Cascade!$D:$D,$D67))),"")</f>
        <v>1847</v>
      </c>
      <c r="G67" s="38" cm="1">
        <f t="array" ref="G67">IFERROR(1/(1/SUM(SUMIFS(Cascade!$AX:$AX,Cascade!$B:$B,$B67,Cascade!$C:$C,IF($C67="&lt;15",{"=&lt;01","01-09","10-14"},{"15-24","25-34","35-49","50+"}),Cascade!$D:$D,$D67))),"")</f>
        <v>129</v>
      </c>
      <c r="H67" s="33">
        <v>0.95</v>
      </c>
      <c r="I67" s="33">
        <v>0.95</v>
      </c>
      <c r="J67" s="33">
        <v>0.05</v>
      </c>
      <c r="K67" s="33">
        <v>0.15</v>
      </c>
      <c r="L67" s="218">
        <f t="shared" si="15"/>
        <v>88</v>
      </c>
      <c r="M67" s="218">
        <f t="shared" si="16"/>
        <v>1667</v>
      </c>
      <c r="N67" s="218">
        <f t="shared" si="17"/>
        <v>18</v>
      </c>
      <c r="O67" s="218">
        <f t="shared" si="18"/>
        <v>105</v>
      </c>
      <c r="P67" s="38">
        <v>109</v>
      </c>
      <c r="Q67" s="38"/>
      <c r="R67" s="38">
        <v>49</v>
      </c>
      <c r="S67" s="38">
        <f t="shared" si="19"/>
        <v>158</v>
      </c>
      <c r="T67" s="33">
        <f t="shared" si="20"/>
        <v>0.91445587439090414</v>
      </c>
      <c r="U67" s="33">
        <v>0</v>
      </c>
      <c r="V67" s="33">
        <v>0.75</v>
      </c>
      <c r="W67" s="218">
        <f t="shared" si="21"/>
        <v>0</v>
      </c>
      <c r="X67" s="218">
        <f t="shared" si="22"/>
        <v>79</v>
      </c>
      <c r="Y67" s="33">
        <f t="shared" si="23"/>
        <v>0.9</v>
      </c>
      <c r="Z67" s="218" t="str">
        <f t="shared" si="24"/>
        <v/>
      </c>
      <c r="AA67" s="218">
        <f t="shared" si="25"/>
        <v>71</v>
      </c>
      <c r="AB67" s="33" t="str">
        <f t="shared" si="26"/>
        <v/>
      </c>
      <c r="AC67" s="33">
        <f t="shared" si="27"/>
        <v>0.44897959183673469</v>
      </c>
    </row>
    <row r="68" spans="1:29" x14ac:dyDescent="0.2">
      <c r="A68" t="str">
        <f>INDEX(Prioritization!$D:$D,MATCH($B68,Prioritization!$A:$A,0))</f>
        <v>1 - Scale-up: Saturation</v>
      </c>
      <c r="B68" t="s">
        <v>318</v>
      </c>
      <c r="C68" t="s">
        <v>967</v>
      </c>
      <c r="D68" t="s">
        <v>48</v>
      </c>
      <c r="E68" t="str">
        <f t="shared" si="14"/>
        <v>Mangochi District [lLDyBx5XyUi]|&lt;15|Male</v>
      </c>
      <c r="F68" s="229" cm="1">
        <f t="array" ref="F68">IFERROR(1/(1/SUM(SUMIFS(Cascade!$O:$O,Cascade!$B:$B,$B68,Cascade!$C:$C,IF($C68="&lt;15",{"=&lt;01","01-09","10-14"},{"15-24","25-34","35-49","50+"}),Cascade!$D:$D,$D68))),"")</f>
        <v>1689.0000000000002</v>
      </c>
      <c r="G68" s="38" cm="1">
        <f t="array" ref="G68">IFERROR(1/(1/SUM(SUMIFS(Cascade!$AX:$AX,Cascade!$B:$B,$B68,Cascade!$C:$C,IF($C68="&lt;15",{"=&lt;01","01-09","10-14"},{"15-24","25-34","35-49","50+"}),Cascade!$D:$D,$D68))),"")</f>
        <v>95</v>
      </c>
      <c r="H68" s="33">
        <v>0.95</v>
      </c>
      <c r="I68" s="33">
        <v>0.95</v>
      </c>
      <c r="J68" s="33">
        <v>0.05</v>
      </c>
      <c r="K68" s="33">
        <v>0.15</v>
      </c>
      <c r="L68" s="218">
        <f t="shared" si="15"/>
        <v>80</v>
      </c>
      <c r="M68" s="218">
        <f t="shared" si="16"/>
        <v>1525</v>
      </c>
      <c r="N68" s="218">
        <f t="shared" si="17"/>
        <v>14</v>
      </c>
      <c r="O68" s="218">
        <f t="shared" si="18"/>
        <v>76</v>
      </c>
      <c r="P68" s="38">
        <v>93</v>
      </c>
      <c r="Q68" s="38"/>
      <c r="R68" s="38">
        <v>130</v>
      </c>
      <c r="S68" s="38">
        <f t="shared" si="19"/>
        <v>223</v>
      </c>
      <c r="T68" s="33">
        <f t="shared" si="20"/>
        <v>0.86796921255180581</v>
      </c>
      <c r="U68" s="33">
        <v>0</v>
      </c>
      <c r="V68" s="33">
        <v>0.75</v>
      </c>
      <c r="W68" s="218">
        <f t="shared" si="21"/>
        <v>0</v>
      </c>
      <c r="X68" s="218">
        <f t="shared" si="22"/>
        <v>57</v>
      </c>
      <c r="Y68" s="33">
        <f t="shared" si="23"/>
        <v>0.9</v>
      </c>
      <c r="Z68" s="218" t="str">
        <f t="shared" si="24"/>
        <v/>
      </c>
      <c r="AA68" s="218">
        <f t="shared" si="25"/>
        <v>51</v>
      </c>
      <c r="AB68" s="33" t="str">
        <f t="shared" si="26"/>
        <v/>
      </c>
      <c r="AC68" s="33">
        <f t="shared" si="27"/>
        <v>-0.60769230769230764</v>
      </c>
    </row>
    <row r="69" spans="1:29" x14ac:dyDescent="0.2">
      <c r="A69" t="str">
        <f>INDEX(Prioritization!$D:$D,MATCH($B69,Prioritization!$A:$A,0))</f>
        <v>1 - Scale-up: Saturation</v>
      </c>
      <c r="B69" t="s">
        <v>318</v>
      </c>
      <c r="C69" t="s">
        <v>968</v>
      </c>
      <c r="D69" t="s">
        <v>30</v>
      </c>
      <c r="E69" t="str">
        <f t="shared" si="14"/>
        <v>Mangochi District [lLDyBx5XyUi]|15+|Female</v>
      </c>
      <c r="F69" s="229" cm="1">
        <f t="array" ref="F69">IFERROR(1/(1/SUM(SUMIFS(Cascade!$O:$O,Cascade!$B:$B,$B69,Cascade!$C:$C,IF($C69="&lt;15",{"=&lt;01","01-09","10-14"},{"15-24","25-34","35-49","50+"}),Cascade!$D:$D,$D69))),"")</f>
        <v>38722</v>
      </c>
      <c r="G69" s="38" cm="1">
        <f t="array" ref="G69">IFERROR(1/(1/SUM(SUMIFS(Cascade!$AX:$AX,Cascade!$B:$B,$B69,Cascade!$C:$C,IF($C69="&lt;15",{"=&lt;01","01-09","10-14"},{"15-24","25-34","35-49","50+"}),Cascade!$D:$D,$D69))),"")</f>
        <v>2299</v>
      </c>
      <c r="H69" s="33">
        <v>0.95</v>
      </c>
      <c r="I69" s="33">
        <v>0.95</v>
      </c>
      <c r="J69" s="33">
        <v>0.05</v>
      </c>
      <c r="K69" s="33">
        <v>0.15</v>
      </c>
      <c r="L69" s="218">
        <f t="shared" si="15"/>
        <v>1839</v>
      </c>
      <c r="M69" s="218">
        <f t="shared" si="16"/>
        <v>34947</v>
      </c>
      <c r="N69" s="218">
        <f t="shared" si="17"/>
        <v>328</v>
      </c>
      <c r="O69" s="218">
        <f t="shared" si="18"/>
        <v>1856</v>
      </c>
      <c r="P69" s="38">
        <v>7372</v>
      </c>
      <c r="Q69" s="38"/>
      <c r="R69" s="38">
        <v>1825</v>
      </c>
      <c r="S69" s="38">
        <f t="shared" si="19"/>
        <v>9197</v>
      </c>
      <c r="T69" s="33">
        <f t="shared" si="20"/>
        <v>0.76248644181602188</v>
      </c>
      <c r="U69" s="33">
        <v>0</v>
      </c>
      <c r="V69" s="33">
        <v>0.75</v>
      </c>
      <c r="W69" s="218">
        <f t="shared" si="21"/>
        <v>0</v>
      </c>
      <c r="X69" s="218">
        <f t="shared" si="22"/>
        <v>1392</v>
      </c>
      <c r="Y69" s="33">
        <f t="shared" si="23"/>
        <v>0.9</v>
      </c>
      <c r="Z69" s="218" t="str">
        <f t="shared" si="24"/>
        <v/>
      </c>
      <c r="AA69" s="218">
        <f t="shared" si="25"/>
        <v>1253</v>
      </c>
      <c r="AB69" s="33" t="str">
        <f t="shared" si="26"/>
        <v/>
      </c>
      <c r="AC69" s="33">
        <f t="shared" si="27"/>
        <v>-0.31342465753424659</v>
      </c>
    </row>
    <row r="70" spans="1:29" x14ac:dyDescent="0.2">
      <c r="A70" t="str">
        <f>INDEX(Prioritization!$D:$D,MATCH($B70,Prioritization!$A:$A,0))</f>
        <v>1 - Scale-up: Saturation</v>
      </c>
      <c r="B70" t="s">
        <v>318</v>
      </c>
      <c r="C70" t="s">
        <v>968</v>
      </c>
      <c r="D70" t="s">
        <v>48</v>
      </c>
      <c r="E70" t="str">
        <f t="shared" si="14"/>
        <v>Mangochi District [lLDyBx5XyUi]|15+|Male</v>
      </c>
      <c r="F70" s="229" cm="1">
        <f t="array" ref="F70">IFERROR(1/(1/SUM(SUMIFS(Cascade!$O:$O,Cascade!$B:$B,$B70,Cascade!$C:$C,IF($C70="&lt;15",{"=&lt;01","01-09","10-14"},{"15-24","25-34","35-49","50+"}),Cascade!$D:$D,$D70))),"")</f>
        <v>17898</v>
      </c>
      <c r="G70" s="38" cm="1">
        <f t="array" ref="G70">IFERROR(1/(1/SUM(SUMIFS(Cascade!$AX:$AX,Cascade!$B:$B,$B70,Cascade!$C:$C,IF($C70="&lt;15",{"=&lt;01","01-09","10-14"},{"15-24","25-34","35-49","50+"}),Cascade!$D:$D,$D70))),"")</f>
        <v>620</v>
      </c>
      <c r="H70" s="33">
        <v>0.95</v>
      </c>
      <c r="I70" s="33">
        <v>0.95</v>
      </c>
      <c r="J70" s="33">
        <v>0.05</v>
      </c>
      <c r="K70" s="33">
        <v>0.15</v>
      </c>
      <c r="L70" s="218">
        <f t="shared" si="15"/>
        <v>850</v>
      </c>
      <c r="M70" s="218">
        <f t="shared" si="16"/>
        <v>16153</v>
      </c>
      <c r="N70" s="218">
        <f t="shared" si="17"/>
        <v>88</v>
      </c>
      <c r="O70" s="218">
        <f t="shared" si="18"/>
        <v>501</v>
      </c>
      <c r="P70" s="38">
        <v>4112</v>
      </c>
      <c r="Q70" s="38"/>
      <c r="R70" s="38">
        <v>547</v>
      </c>
      <c r="S70" s="38">
        <f t="shared" si="19"/>
        <v>4659</v>
      </c>
      <c r="T70" s="33">
        <f t="shared" si="20"/>
        <v>0.73969158565202819</v>
      </c>
      <c r="U70" s="33">
        <v>0</v>
      </c>
      <c r="V70" s="33">
        <v>0.75</v>
      </c>
      <c r="W70" s="218">
        <f t="shared" si="21"/>
        <v>0</v>
      </c>
      <c r="X70" s="218">
        <f t="shared" si="22"/>
        <v>376</v>
      </c>
      <c r="Y70" s="33">
        <f t="shared" si="23"/>
        <v>0.9</v>
      </c>
      <c r="Z70" s="218" t="str">
        <f t="shared" si="24"/>
        <v/>
      </c>
      <c r="AA70" s="218">
        <f t="shared" si="25"/>
        <v>338</v>
      </c>
      <c r="AB70" s="33" t="str">
        <f t="shared" si="26"/>
        <v/>
      </c>
      <c r="AC70" s="33">
        <f t="shared" si="27"/>
        <v>-0.38208409506398539</v>
      </c>
    </row>
    <row r="71" spans="1:29" x14ac:dyDescent="0.2">
      <c r="A71" t="str">
        <f>INDEX(Prioritization!$D:$D,MATCH($B71,Prioritization!$A:$A,0))</f>
        <v>4 - Sustained</v>
      </c>
      <c r="B71" t="s">
        <v>302</v>
      </c>
      <c r="C71" t="s">
        <v>967</v>
      </c>
      <c r="D71" t="s">
        <v>30</v>
      </c>
      <c r="E71" t="str">
        <f t="shared" si="14"/>
        <v>Mchinji District [kxuuIFpOXyO]|&lt;15|Female</v>
      </c>
      <c r="F71" s="229" cm="1">
        <f t="array" ref="F71">IFERROR(1/(1/SUM(SUMIFS(Cascade!$O:$O,Cascade!$B:$B,$B71,Cascade!$C:$C,IF($C71="&lt;15",{"=&lt;01","01-09","10-14"},{"15-24","25-34","35-49","50+"}),Cascade!$D:$D,$D71))),"")</f>
        <v>378</v>
      </c>
      <c r="G71" s="38" cm="1">
        <f t="array" ref="G71">IFERROR(1/(1/SUM(SUMIFS(Cascade!$AX:$AX,Cascade!$B:$B,$B71,Cascade!$C:$C,IF($C71="&lt;15",{"=&lt;01","01-09","10-14"},{"15-24","25-34","35-49","50+"}),Cascade!$D:$D,$D71))),"")</f>
        <v>28</v>
      </c>
      <c r="H71" s="33">
        <v>0.95</v>
      </c>
      <c r="I71" s="33">
        <v>0.95</v>
      </c>
      <c r="J71" s="33">
        <v>0.05</v>
      </c>
      <c r="K71" s="33">
        <v>0.15</v>
      </c>
      <c r="L71" s="218">
        <f t="shared" si="15"/>
        <v>18</v>
      </c>
      <c r="M71" s="218">
        <f t="shared" si="16"/>
        <v>341</v>
      </c>
      <c r="N71" s="218">
        <f t="shared" si="17"/>
        <v>4</v>
      </c>
      <c r="O71" s="218">
        <f t="shared" si="18"/>
        <v>23</v>
      </c>
      <c r="P71" s="38">
        <v>28</v>
      </c>
      <c r="Q71" s="38"/>
      <c r="R71" s="38">
        <v>25</v>
      </c>
      <c r="S71" s="38">
        <f t="shared" si="19"/>
        <v>53</v>
      </c>
      <c r="T71" s="33">
        <f t="shared" si="20"/>
        <v>0.85978835978835977</v>
      </c>
      <c r="U71" s="33">
        <v>0</v>
      </c>
      <c r="V71" s="33">
        <v>0.75</v>
      </c>
      <c r="W71" s="218">
        <f t="shared" si="21"/>
        <v>0</v>
      </c>
      <c r="X71" s="218">
        <f t="shared" si="22"/>
        <v>17</v>
      </c>
      <c r="Y71" s="33">
        <f t="shared" si="23"/>
        <v>0.9</v>
      </c>
      <c r="Z71" s="218" t="str">
        <f t="shared" si="24"/>
        <v/>
      </c>
      <c r="AA71" s="218">
        <f t="shared" si="25"/>
        <v>15</v>
      </c>
      <c r="AB71" s="33" t="str">
        <f t="shared" si="26"/>
        <v/>
      </c>
      <c r="AC71" s="33">
        <f t="shared" si="27"/>
        <v>-0.4</v>
      </c>
    </row>
    <row r="72" spans="1:29" x14ac:dyDescent="0.2">
      <c r="A72" t="str">
        <f>INDEX(Prioritization!$D:$D,MATCH($B72,Prioritization!$A:$A,0))</f>
        <v>4 - Sustained</v>
      </c>
      <c r="B72" t="s">
        <v>302</v>
      </c>
      <c r="C72" t="s">
        <v>967</v>
      </c>
      <c r="D72" t="s">
        <v>48</v>
      </c>
      <c r="E72" t="str">
        <f t="shared" si="14"/>
        <v>Mchinji District [kxuuIFpOXyO]|&lt;15|Male</v>
      </c>
      <c r="F72" s="229" cm="1">
        <f t="array" ref="F72">IFERROR(1/(1/SUM(SUMIFS(Cascade!$O:$O,Cascade!$B:$B,$B72,Cascade!$C:$C,IF($C72="&lt;15",{"=&lt;01","01-09","10-14"},{"15-24","25-34","35-49","50+"}),Cascade!$D:$D,$D72))),"")</f>
        <v>373</v>
      </c>
      <c r="G72" s="38" cm="1">
        <f t="array" ref="G72">IFERROR(1/(1/SUM(SUMIFS(Cascade!$AX:$AX,Cascade!$B:$B,$B72,Cascade!$C:$C,IF($C72="&lt;15",{"=&lt;01","01-09","10-14"},{"15-24","25-34","35-49","50+"}),Cascade!$D:$D,$D72))),"")</f>
        <v>7</v>
      </c>
      <c r="H72" s="33">
        <v>0.95</v>
      </c>
      <c r="I72" s="33">
        <v>0.95</v>
      </c>
      <c r="J72" s="33">
        <v>0.05</v>
      </c>
      <c r="K72" s="33">
        <v>0.15</v>
      </c>
      <c r="L72" s="218">
        <f t="shared" si="15"/>
        <v>18</v>
      </c>
      <c r="M72" s="218">
        <f t="shared" si="16"/>
        <v>336</v>
      </c>
      <c r="N72" s="218">
        <f t="shared" si="17"/>
        <v>1</v>
      </c>
      <c r="O72" s="218">
        <f t="shared" si="18"/>
        <v>6</v>
      </c>
      <c r="P72" s="38">
        <v>28</v>
      </c>
      <c r="Q72" s="38"/>
      <c r="R72" s="38">
        <v>26</v>
      </c>
      <c r="S72" s="38">
        <f t="shared" si="19"/>
        <v>54</v>
      </c>
      <c r="T72" s="33">
        <f t="shared" si="20"/>
        <v>0.85522788203753353</v>
      </c>
      <c r="U72" s="33">
        <v>0</v>
      </c>
      <c r="V72" s="33">
        <v>0.75</v>
      </c>
      <c r="W72" s="218">
        <f t="shared" si="21"/>
        <v>0</v>
      </c>
      <c r="X72" s="218">
        <f t="shared" si="22"/>
        <v>5</v>
      </c>
      <c r="Y72" s="33">
        <f t="shared" si="23"/>
        <v>0.9</v>
      </c>
      <c r="Z72" s="218" t="str">
        <f t="shared" si="24"/>
        <v/>
      </c>
      <c r="AA72" s="218">
        <f t="shared" si="25"/>
        <v>5</v>
      </c>
      <c r="AB72" s="33" t="str">
        <f t="shared" si="26"/>
        <v/>
      </c>
      <c r="AC72" s="33">
        <f t="shared" si="27"/>
        <v>-0.80769230769230771</v>
      </c>
    </row>
    <row r="73" spans="1:29" x14ac:dyDescent="0.2">
      <c r="A73" t="str">
        <f>INDEX(Prioritization!$D:$D,MATCH($B73,Prioritization!$A:$A,0))</f>
        <v>4 - Sustained</v>
      </c>
      <c r="B73" t="s">
        <v>302</v>
      </c>
      <c r="C73" t="s">
        <v>968</v>
      </c>
      <c r="D73" t="s">
        <v>30</v>
      </c>
      <c r="E73" t="str">
        <f t="shared" si="14"/>
        <v>Mchinji District [kxuuIFpOXyO]|15+|Female</v>
      </c>
      <c r="F73" s="229" cm="1">
        <f t="array" ref="F73">IFERROR(1/(1/SUM(SUMIFS(Cascade!$O:$O,Cascade!$B:$B,$B73,Cascade!$C:$C,IF($C73="&lt;15",{"=&lt;01","01-09","10-14"},{"15-24","25-34","35-49","50+"}),Cascade!$D:$D,$D73))),"")</f>
        <v>11861</v>
      </c>
      <c r="G73" s="38" cm="1">
        <f t="array" ref="G73">IFERROR(1/(1/SUM(SUMIFS(Cascade!$AX:$AX,Cascade!$B:$B,$B73,Cascade!$C:$C,IF($C73="&lt;15",{"=&lt;01","01-09","10-14"},{"15-24","25-34","35-49","50+"}),Cascade!$D:$D,$D73))),"")</f>
        <v>553</v>
      </c>
      <c r="H73" s="33">
        <v>0.95</v>
      </c>
      <c r="I73" s="33">
        <v>0.95</v>
      </c>
      <c r="J73" s="33">
        <v>0.05</v>
      </c>
      <c r="K73" s="33">
        <v>0.15</v>
      </c>
      <c r="L73" s="218">
        <f t="shared" si="15"/>
        <v>563</v>
      </c>
      <c r="M73" s="218">
        <f t="shared" si="16"/>
        <v>10705</v>
      </c>
      <c r="N73" s="218">
        <f t="shared" si="17"/>
        <v>79</v>
      </c>
      <c r="O73" s="218">
        <f t="shared" si="18"/>
        <v>446</v>
      </c>
      <c r="P73" s="38">
        <v>932</v>
      </c>
      <c r="Q73" s="38"/>
      <c r="R73" s="38">
        <v>416</v>
      </c>
      <c r="S73" s="38">
        <f t="shared" si="19"/>
        <v>1348</v>
      </c>
      <c r="T73" s="33">
        <f t="shared" si="20"/>
        <v>0.88635022342129666</v>
      </c>
      <c r="U73" s="33">
        <v>0</v>
      </c>
      <c r="V73" s="33">
        <v>0.75</v>
      </c>
      <c r="W73" s="218">
        <f t="shared" si="21"/>
        <v>0</v>
      </c>
      <c r="X73" s="218">
        <f t="shared" si="22"/>
        <v>335</v>
      </c>
      <c r="Y73" s="33">
        <f t="shared" si="23"/>
        <v>0.9</v>
      </c>
      <c r="Z73" s="218" t="str">
        <f t="shared" si="24"/>
        <v/>
      </c>
      <c r="AA73" s="218">
        <f t="shared" si="25"/>
        <v>302</v>
      </c>
      <c r="AB73" s="33" t="str">
        <f t="shared" si="26"/>
        <v/>
      </c>
      <c r="AC73" s="33">
        <f t="shared" si="27"/>
        <v>-0.27403846153846156</v>
      </c>
    </row>
    <row r="74" spans="1:29" x14ac:dyDescent="0.2">
      <c r="A74" t="str">
        <f>INDEX(Prioritization!$D:$D,MATCH($B74,Prioritization!$A:$A,0))</f>
        <v>4 - Sustained</v>
      </c>
      <c r="B74" t="s">
        <v>302</v>
      </c>
      <c r="C74" t="s">
        <v>968</v>
      </c>
      <c r="D74" t="s">
        <v>48</v>
      </c>
      <c r="E74" t="str">
        <f t="shared" si="14"/>
        <v>Mchinji District [kxuuIFpOXyO]|15+|Male</v>
      </c>
      <c r="F74" s="229" cm="1">
        <f t="array" ref="F74">IFERROR(1/(1/SUM(SUMIFS(Cascade!$O:$O,Cascade!$B:$B,$B74,Cascade!$C:$C,IF($C74="&lt;15",{"=&lt;01","01-09","10-14"},{"15-24","25-34","35-49","50+"}),Cascade!$D:$D,$D74))),"")</f>
        <v>7407.0000000000009</v>
      </c>
      <c r="G74" s="38" cm="1">
        <f t="array" ref="G74">IFERROR(1/(1/SUM(SUMIFS(Cascade!$AX:$AX,Cascade!$B:$B,$B74,Cascade!$C:$C,IF($C74="&lt;15",{"=&lt;01","01-09","10-14"},{"15-24","25-34","35-49","50+"}),Cascade!$D:$D,$D74))),"")</f>
        <v>294</v>
      </c>
      <c r="H74" s="33">
        <v>0.95</v>
      </c>
      <c r="I74" s="33">
        <v>0.95</v>
      </c>
      <c r="J74" s="33">
        <v>0.05</v>
      </c>
      <c r="K74" s="33">
        <v>0.15</v>
      </c>
      <c r="L74" s="218">
        <f t="shared" si="15"/>
        <v>352</v>
      </c>
      <c r="M74" s="218">
        <f t="shared" si="16"/>
        <v>6685</v>
      </c>
      <c r="N74" s="218">
        <f t="shared" si="17"/>
        <v>42</v>
      </c>
      <c r="O74" s="218">
        <f t="shared" si="18"/>
        <v>237</v>
      </c>
      <c r="P74" s="38">
        <v>730</v>
      </c>
      <c r="Q74" s="38"/>
      <c r="R74" s="38">
        <v>271</v>
      </c>
      <c r="S74" s="38">
        <f t="shared" si="19"/>
        <v>1001</v>
      </c>
      <c r="T74" s="33">
        <f t="shared" si="20"/>
        <v>0.86485756716619411</v>
      </c>
      <c r="U74" s="33">
        <v>0</v>
      </c>
      <c r="V74" s="33">
        <v>0.75</v>
      </c>
      <c r="W74" s="218">
        <f t="shared" si="21"/>
        <v>0</v>
      </c>
      <c r="X74" s="218">
        <f t="shared" si="22"/>
        <v>178</v>
      </c>
      <c r="Y74" s="33">
        <f t="shared" si="23"/>
        <v>0.9</v>
      </c>
      <c r="Z74" s="218" t="str">
        <f t="shared" si="24"/>
        <v/>
      </c>
      <c r="AA74" s="218">
        <f t="shared" si="25"/>
        <v>160</v>
      </c>
      <c r="AB74" s="33" t="str">
        <f t="shared" si="26"/>
        <v/>
      </c>
      <c r="AC74" s="33">
        <f t="shared" si="27"/>
        <v>-0.40959409594095941</v>
      </c>
    </row>
    <row r="75" spans="1:29" x14ac:dyDescent="0.2">
      <c r="A75" t="str">
        <f>INDEX(Prioritization!$D:$D,MATCH($B75,Prioritization!$A:$A,0))</f>
        <v>INVALID</v>
      </c>
      <c r="B75" t="s">
        <v>319</v>
      </c>
      <c r="C75" t="s">
        <v>967</v>
      </c>
      <c r="D75" t="s">
        <v>30</v>
      </c>
      <c r="E75" t="str">
        <f t="shared" si="14"/>
        <v>Mulanje District [umc2n1Z4wNv]|&lt;15|Female</v>
      </c>
      <c r="F75" s="229" cm="1">
        <f t="array" ref="F75">IFERROR(1/(1/SUM(SUMIFS(Cascade!$O:$O,Cascade!$B:$B,$B75,Cascade!$C:$C,IF($C75="&lt;15",{"=&lt;01","01-09","10-14"},{"15-24","25-34","35-49","50+"}),Cascade!$D:$D,$D75))),"")</f>
        <v>1279</v>
      </c>
      <c r="G75" s="38" cm="1">
        <f t="array" ref="G75">IFERROR(1/(1/SUM(SUMIFS(Cascade!$AX:$AX,Cascade!$B:$B,$B75,Cascade!$C:$C,IF($C75="&lt;15",{"=&lt;01","01-09","10-14"},{"15-24","25-34","35-49","50+"}),Cascade!$D:$D,$D75))),"")</f>
        <v>88</v>
      </c>
      <c r="H75" s="33">
        <v>0.95</v>
      </c>
      <c r="I75" s="33">
        <v>0.95</v>
      </c>
      <c r="J75" s="33">
        <v>0.05</v>
      </c>
      <c r="K75" s="33">
        <v>0.15</v>
      </c>
      <c r="L75" s="218">
        <f t="shared" si="15"/>
        <v>61</v>
      </c>
      <c r="M75" s="218">
        <f t="shared" si="16"/>
        <v>1154</v>
      </c>
      <c r="N75" s="218">
        <f t="shared" si="17"/>
        <v>13</v>
      </c>
      <c r="O75" s="218">
        <f t="shared" si="18"/>
        <v>71</v>
      </c>
      <c r="P75" s="38">
        <v>95</v>
      </c>
      <c r="Q75" s="38"/>
      <c r="R75" s="38">
        <v>94</v>
      </c>
      <c r="S75" s="38">
        <f t="shared" si="19"/>
        <v>189</v>
      </c>
      <c r="T75" s="33">
        <f t="shared" si="20"/>
        <v>0.85222830336200162</v>
      </c>
      <c r="U75" s="33">
        <v>0</v>
      </c>
      <c r="V75" s="33">
        <v>0.75</v>
      </c>
      <c r="W75" s="218">
        <f t="shared" si="21"/>
        <v>0</v>
      </c>
      <c r="X75" s="218">
        <f t="shared" si="22"/>
        <v>53</v>
      </c>
      <c r="Y75" s="33">
        <f t="shared" si="23"/>
        <v>0.9</v>
      </c>
      <c r="Z75" s="218" t="str">
        <f t="shared" si="24"/>
        <v/>
      </c>
      <c r="AA75" s="218">
        <f t="shared" si="25"/>
        <v>48</v>
      </c>
      <c r="AB75" s="33" t="str">
        <f t="shared" si="26"/>
        <v/>
      </c>
      <c r="AC75" s="33">
        <f t="shared" si="27"/>
        <v>-0.48936170212765956</v>
      </c>
    </row>
    <row r="76" spans="1:29" x14ac:dyDescent="0.2">
      <c r="A76" t="str">
        <f>INDEX(Prioritization!$D:$D,MATCH($B76,Prioritization!$A:$A,0))</f>
        <v>INVALID</v>
      </c>
      <c r="B76" t="s">
        <v>319</v>
      </c>
      <c r="C76" t="s">
        <v>967</v>
      </c>
      <c r="D76" t="s">
        <v>48</v>
      </c>
      <c r="E76" t="str">
        <f t="shared" si="14"/>
        <v>Mulanje District [umc2n1Z4wNv]|&lt;15|Male</v>
      </c>
      <c r="F76" s="229" cm="1">
        <f t="array" ref="F76">IFERROR(1/(1/SUM(SUMIFS(Cascade!$O:$O,Cascade!$B:$B,$B76,Cascade!$C:$C,IF($C76="&lt;15",{"=&lt;01","01-09","10-14"},{"15-24","25-34","35-49","50+"}),Cascade!$D:$D,$D76))),"")</f>
        <v>1186</v>
      </c>
      <c r="G76" s="38" cm="1">
        <f t="array" ref="G76">IFERROR(1/(1/SUM(SUMIFS(Cascade!$AX:$AX,Cascade!$B:$B,$B76,Cascade!$C:$C,IF($C76="&lt;15",{"=&lt;01","01-09","10-14"},{"15-24","25-34","35-49","50+"}),Cascade!$D:$D,$D76))),"")</f>
        <v>59</v>
      </c>
      <c r="H76" s="33">
        <v>0.95</v>
      </c>
      <c r="I76" s="33">
        <v>0.95</v>
      </c>
      <c r="J76" s="33">
        <v>0.05</v>
      </c>
      <c r="K76" s="33">
        <v>0.15</v>
      </c>
      <c r="L76" s="218">
        <f t="shared" si="15"/>
        <v>56</v>
      </c>
      <c r="M76" s="218">
        <f t="shared" si="16"/>
        <v>1071</v>
      </c>
      <c r="N76" s="218">
        <f t="shared" si="17"/>
        <v>8</v>
      </c>
      <c r="O76" s="218">
        <f t="shared" si="18"/>
        <v>48</v>
      </c>
      <c r="P76" s="38">
        <v>68</v>
      </c>
      <c r="Q76" s="38"/>
      <c r="R76" s="38">
        <v>102</v>
      </c>
      <c r="S76" s="38">
        <f t="shared" si="19"/>
        <v>170</v>
      </c>
      <c r="T76" s="33">
        <f t="shared" si="20"/>
        <v>0.85666104553119726</v>
      </c>
      <c r="U76" s="33">
        <v>0</v>
      </c>
      <c r="V76" s="33">
        <v>0.75</v>
      </c>
      <c r="W76" s="218">
        <f t="shared" si="21"/>
        <v>0</v>
      </c>
      <c r="X76" s="218">
        <f t="shared" si="22"/>
        <v>36</v>
      </c>
      <c r="Y76" s="33">
        <f t="shared" si="23"/>
        <v>0.9</v>
      </c>
      <c r="Z76" s="218" t="str">
        <f t="shared" si="24"/>
        <v/>
      </c>
      <c r="AA76" s="218">
        <f t="shared" si="25"/>
        <v>32</v>
      </c>
      <c r="AB76" s="33" t="str">
        <f t="shared" si="26"/>
        <v/>
      </c>
      <c r="AC76" s="33">
        <f t="shared" si="27"/>
        <v>-0.68627450980392157</v>
      </c>
    </row>
    <row r="77" spans="1:29" x14ac:dyDescent="0.2">
      <c r="A77" t="str">
        <f>INDEX(Prioritization!$D:$D,MATCH($B77,Prioritization!$A:$A,0))</f>
        <v>INVALID</v>
      </c>
      <c r="B77" t="s">
        <v>319</v>
      </c>
      <c r="C77" t="s">
        <v>968</v>
      </c>
      <c r="D77" t="s">
        <v>30</v>
      </c>
      <c r="E77" t="str">
        <f t="shared" si="14"/>
        <v>Mulanje District [umc2n1Z4wNv]|15+|Female</v>
      </c>
      <c r="F77" s="229" cm="1">
        <f t="array" ref="F77">IFERROR(1/(1/SUM(SUMIFS(Cascade!$O:$O,Cascade!$B:$B,$B77,Cascade!$C:$C,IF($C77="&lt;15",{"=&lt;01","01-09","10-14"},{"15-24","25-34","35-49","50+"}),Cascade!$D:$D,$D77))),"")</f>
        <v>38932</v>
      </c>
      <c r="G77" s="38" cm="1">
        <f t="array" ref="G77">IFERROR(1/(1/SUM(SUMIFS(Cascade!$AX:$AX,Cascade!$B:$B,$B77,Cascade!$C:$C,IF($C77="&lt;15",{"=&lt;01","01-09","10-14"},{"15-24","25-34","35-49","50+"}),Cascade!$D:$D,$D77))),"")</f>
        <v>1909.9999999999998</v>
      </c>
      <c r="H77" s="33">
        <v>0.95</v>
      </c>
      <c r="I77" s="33">
        <v>0.95</v>
      </c>
      <c r="J77" s="33">
        <v>0.05</v>
      </c>
      <c r="K77" s="33">
        <v>0.15</v>
      </c>
      <c r="L77" s="218">
        <f t="shared" si="15"/>
        <v>1849</v>
      </c>
      <c r="M77" s="218">
        <f t="shared" si="16"/>
        <v>35136</v>
      </c>
      <c r="N77" s="218">
        <f t="shared" si="17"/>
        <v>272</v>
      </c>
      <c r="O77" s="218">
        <f t="shared" si="18"/>
        <v>1543</v>
      </c>
      <c r="P77" s="38">
        <v>3920</v>
      </c>
      <c r="Q77" s="38"/>
      <c r="R77" s="38">
        <v>1409</v>
      </c>
      <c r="S77" s="38">
        <f t="shared" si="19"/>
        <v>5329</v>
      </c>
      <c r="T77" s="33">
        <f t="shared" si="20"/>
        <v>0.86312031233946374</v>
      </c>
      <c r="U77" s="33">
        <v>0</v>
      </c>
      <c r="V77" s="33">
        <v>0.75</v>
      </c>
      <c r="W77" s="218">
        <f t="shared" si="21"/>
        <v>0</v>
      </c>
      <c r="X77" s="218">
        <f t="shared" si="22"/>
        <v>1157</v>
      </c>
      <c r="Y77" s="33">
        <f t="shared" si="23"/>
        <v>0.9</v>
      </c>
      <c r="Z77" s="218" t="str">
        <f t="shared" si="24"/>
        <v/>
      </c>
      <c r="AA77" s="218">
        <f t="shared" si="25"/>
        <v>1041</v>
      </c>
      <c r="AB77" s="33" t="str">
        <f t="shared" si="26"/>
        <v/>
      </c>
      <c r="AC77" s="33">
        <f t="shared" si="27"/>
        <v>-0.26117814052519517</v>
      </c>
    </row>
    <row r="78" spans="1:29" x14ac:dyDescent="0.2">
      <c r="A78" t="str">
        <f>INDEX(Prioritization!$D:$D,MATCH($B78,Prioritization!$A:$A,0))</f>
        <v>INVALID</v>
      </c>
      <c r="B78" t="s">
        <v>319</v>
      </c>
      <c r="C78" t="s">
        <v>968</v>
      </c>
      <c r="D78" t="s">
        <v>48</v>
      </c>
      <c r="E78" t="str">
        <f t="shared" si="14"/>
        <v>Mulanje District [umc2n1Z4wNv]|15+|Male</v>
      </c>
      <c r="F78" s="229" cm="1">
        <f t="array" ref="F78">IFERROR(1/(1/SUM(SUMIFS(Cascade!$O:$O,Cascade!$B:$B,$B78,Cascade!$C:$C,IF($C78="&lt;15",{"=&lt;01","01-09","10-14"},{"15-24","25-34","35-49","50+"}),Cascade!$D:$D,$D78))),"")</f>
        <v>18635</v>
      </c>
      <c r="G78" s="38" cm="1">
        <f t="array" ref="G78">IFERROR(1/(1/SUM(SUMIFS(Cascade!$AX:$AX,Cascade!$B:$B,$B78,Cascade!$C:$C,IF($C78="&lt;15",{"=&lt;01","01-09","10-14"},{"15-24","25-34","35-49","50+"}),Cascade!$D:$D,$D78))),"")</f>
        <v>1227</v>
      </c>
      <c r="H78" s="33">
        <v>0.95</v>
      </c>
      <c r="I78" s="33">
        <v>0.95</v>
      </c>
      <c r="J78" s="33">
        <v>0.05</v>
      </c>
      <c r="K78" s="33">
        <v>0.15</v>
      </c>
      <c r="L78" s="218">
        <f t="shared" si="15"/>
        <v>885</v>
      </c>
      <c r="M78" s="218">
        <f t="shared" si="16"/>
        <v>16818</v>
      </c>
      <c r="N78" s="218">
        <f t="shared" si="17"/>
        <v>175</v>
      </c>
      <c r="O78" s="218">
        <f t="shared" si="18"/>
        <v>991</v>
      </c>
      <c r="P78" s="38">
        <v>2622</v>
      </c>
      <c r="Q78" s="38"/>
      <c r="R78" s="38">
        <v>680</v>
      </c>
      <c r="S78" s="38">
        <f t="shared" si="19"/>
        <v>3302</v>
      </c>
      <c r="T78" s="33">
        <f t="shared" si="20"/>
        <v>0.82280654682049903</v>
      </c>
      <c r="U78" s="33">
        <v>0</v>
      </c>
      <c r="V78" s="33">
        <v>0.75</v>
      </c>
      <c r="W78" s="218">
        <f t="shared" si="21"/>
        <v>0</v>
      </c>
      <c r="X78" s="218">
        <f t="shared" si="22"/>
        <v>743</v>
      </c>
      <c r="Y78" s="33">
        <f t="shared" si="23"/>
        <v>0.9</v>
      </c>
      <c r="Z78" s="218" t="str">
        <f t="shared" si="24"/>
        <v/>
      </c>
      <c r="AA78" s="218">
        <f t="shared" si="25"/>
        <v>669</v>
      </c>
      <c r="AB78" s="33" t="str">
        <f t="shared" si="26"/>
        <v/>
      </c>
      <c r="AC78" s="33">
        <f t="shared" si="27"/>
        <v>-1.6176470588235296E-2</v>
      </c>
    </row>
    <row r="79" spans="1:29" x14ac:dyDescent="0.2">
      <c r="A79" t="str">
        <f>INDEX(Prioritization!$D:$D,MATCH($B79,Prioritization!$A:$A,0))</f>
        <v>4 - Sustained</v>
      </c>
      <c r="B79" t="s">
        <v>320</v>
      </c>
      <c r="C79" t="s">
        <v>967</v>
      </c>
      <c r="D79" t="s">
        <v>30</v>
      </c>
      <c r="E79" t="str">
        <f t="shared" ref="E79:E110" si="28">B79&amp;"|"&amp;C79&amp;"|"&amp;D79</f>
        <v>Mwanza District [wNqJp8oRIcF]|&lt;15|Female</v>
      </c>
      <c r="F79" s="229" cm="1">
        <f t="array" ref="F79">IFERROR(1/(1/SUM(SUMIFS(Cascade!$O:$O,Cascade!$B:$B,$B79,Cascade!$C:$C,IF($C79="&lt;15",{"=&lt;01","01-09","10-14"},{"15-24","25-34","35-49","50+"}),Cascade!$D:$D,$D79))),"")</f>
        <v>162</v>
      </c>
      <c r="G79" s="38" cm="1">
        <f t="array" ref="G79">IFERROR(1/(1/SUM(SUMIFS(Cascade!$AX:$AX,Cascade!$B:$B,$B79,Cascade!$C:$C,IF($C79="&lt;15",{"=&lt;01","01-09","10-14"},{"15-24","25-34","35-49","50+"}),Cascade!$D:$D,$D79))),"")</f>
        <v>14</v>
      </c>
      <c r="H79" s="33">
        <v>0.95</v>
      </c>
      <c r="I79" s="33">
        <v>0.95</v>
      </c>
      <c r="J79" s="33">
        <v>0.05</v>
      </c>
      <c r="K79" s="33">
        <v>0.15</v>
      </c>
      <c r="L79" s="218">
        <f t="shared" ref="L79:L110" si="29">IF(SUM($F79)=0,"",ROUND($F79*$H79*$J79,0))</f>
        <v>8</v>
      </c>
      <c r="M79" s="218">
        <f t="shared" ref="M79:M110" si="30">IF(SUM($F79)=0,"",ROUND($F79*$H79,0)-$L79)</f>
        <v>146</v>
      </c>
      <c r="N79" s="218">
        <f t="shared" ref="N79:N110" si="31">IF(SUM($G79)=0,"",ROUND($G79*$I79*$K79,0))</f>
        <v>2</v>
      </c>
      <c r="O79" s="218">
        <f t="shared" ref="O79:O110" si="32">IF(SUM($G79)=0,"",ROUND($G79*$I79,0)-$N79)</f>
        <v>11</v>
      </c>
      <c r="P79" s="38">
        <v>9</v>
      </c>
      <c r="Q79" s="38"/>
      <c r="R79" s="38">
        <v>12</v>
      </c>
      <c r="S79" s="38">
        <f t="shared" ref="S79:S110" si="33">IFERROR(1/(1/SUM($P79,$R79,$Q79)),"")</f>
        <v>21</v>
      </c>
      <c r="T79" s="33">
        <f t="shared" ref="T79:T110" si="34">IF(SUM($F79)=0,"",MAX(($F79-$S79)/$F79,0))</f>
        <v>0.87037037037037035</v>
      </c>
      <c r="U79" s="33">
        <v>0</v>
      </c>
      <c r="V79" s="33">
        <v>0.75</v>
      </c>
      <c r="W79" s="218">
        <f t="shared" ref="W79:W110" si="35">IF(SUM($M79)=0,"",IF($T79="","ENTER ELIGIBILITY RATE",IF($U79 = "","ENTER INITIATION RATE",ROUND($M79*$T79*$U79,0))))</f>
        <v>0</v>
      </c>
      <c r="X79" s="218">
        <f t="shared" ref="X79:X110" si="36">IF(SUM($O79)=0,"",IF($V79="","ENTER INITIATION RATE",ROUND($O79*$V79,0)))</f>
        <v>8</v>
      </c>
      <c r="Y79" s="33">
        <f t="shared" ref="Y79:Y110" si="37">0.9</f>
        <v>0.9</v>
      </c>
      <c r="Z79" s="218" t="str">
        <f t="shared" ref="Z79:Z110" si="38">IF(SUM($W79)=0,"",IF($Y79="","ENTER COMPLETION RATE",ROUND($W79*$Y79,0)))</f>
        <v/>
      </c>
      <c r="AA79" s="218">
        <f t="shared" ref="AA79:AA110" si="39">IF(SUM($X79)=0,"",IF($X79="","ENTER COMPLETION RATE",ROUND($X79*$Y79,0)))</f>
        <v>7</v>
      </c>
      <c r="AB79" s="33" t="str">
        <f t="shared" ref="AB79:AB110" si="40">IF(SUM($Q79)=0,"",(SUM($Z79)-$Q79)/$Q79)</f>
        <v/>
      </c>
      <c r="AC79" s="33">
        <f t="shared" ref="AC79:AC110" si="41">IF(SUM($R79)=0,"",(SUM($AA79)-$R79)/$R79)</f>
        <v>-0.41666666666666669</v>
      </c>
    </row>
    <row r="80" spans="1:29" x14ac:dyDescent="0.2">
      <c r="A80" t="str">
        <f>INDEX(Prioritization!$D:$D,MATCH($B80,Prioritization!$A:$A,0))</f>
        <v>4 - Sustained</v>
      </c>
      <c r="B80" t="s">
        <v>320</v>
      </c>
      <c r="C80" t="s">
        <v>967</v>
      </c>
      <c r="D80" t="s">
        <v>48</v>
      </c>
      <c r="E80" t="str">
        <f t="shared" si="28"/>
        <v>Mwanza District [wNqJp8oRIcF]|&lt;15|Male</v>
      </c>
      <c r="F80" s="229" cm="1">
        <f t="array" ref="F80">IFERROR(1/(1/SUM(SUMIFS(Cascade!$O:$O,Cascade!$B:$B,$B80,Cascade!$C:$C,IF($C80="&lt;15",{"=&lt;01","01-09","10-14"},{"15-24","25-34","35-49","50+"}),Cascade!$D:$D,$D80))),"")</f>
        <v>163</v>
      </c>
      <c r="G80" s="38" cm="1">
        <f t="array" ref="G80">IFERROR(1/(1/SUM(SUMIFS(Cascade!$AX:$AX,Cascade!$B:$B,$B80,Cascade!$C:$C,IF($C80="&lt;15",{"=&lt;01","01-09","10-14"},{"15-24","25-34","35-49","50+"}),Cascade!$D:$D,$D80))),"")</f>
        <v>3</v>
      </c>
      <c r="H80" s="33">
        <v>0.95</v>
      </c>
      <c r="I80" s="33">
        <v>0.95</v>
      </c>
      <c r="J80" s="33">
        <v>0.05</v>
      </c>
      <c r="K80" s="33">
        <v>0.15</v>
      </c>
      <c r="L80" s="218">
        <f t="shared" si="29"/>
        <v>8</v>
      </c>
      <c r="M80" s="218">
        <f t="shared" si="30"/>
        <v>147</v>
      </c>
      <c r="N80" s="218">
        <f t="shared" si="31"/>
        <v>0</v>
      </c>
      <c r="O80" s="218">
        <f t="shared" si="32"/>
        <v>3</v>
      </c>
      <c r="P80" s="38">
        <v>49</v>
      </c>
      <c r="Q80" s="38"/>
      <c r="R80" s="38">
        <v>12</v>
      </c>
      <c r="S80" s="38">
        <f t="shared" si="33"/>
        <v>61</v>
      </c>
      <c r="T80" s="33">
        <f t="shared" si="34"/>
        <v>0.62576687116564422</v>
      </c>
      <c r="U80" s="33">
        <v>0</v>
      </c>
      <c r="V80" s="33">
        <v>0.75</v>
      </c>
      <c r="W80" s="218">
        <f t="shared" si="35"/>
        <v>0</v>
      </c>
      <c r="X80" s="218">
        <f t="shared" si="36"/>
        <v>2</v>
      </c>
      <c r="Y80" s="33">
        <f t="shared" si="37"/>
        <v>0.9</v>
      </c>
      <c r="Z80" s="218" t="str">
        <f t="shared" si="38"/>
        <v/>
      </c>
      <c r="AA80" s="218">
        <f t="shared" si="39"/>
        <v>2</v>
      </c>
      <c r="AB80" s="33" t="str">
        <f t="shared" si="40"/>
        <v/>
      </c>
      <c r="AC80" s="33">
        <f t="shared" si="41"/>
        <v>-0.83333333333333337</v>
      </c>
    </row>
    <row r="81" spans="1:29" x14ac:dyDescent="0.2">
      <c r="A81" t="str">
        <f>INDEX(Prioritization!$D:$D,MATCH($B81,Prioritization!$A:$A,0))</f>
        <v>4 - Sustained</v>
      </c>
      <c r="B81" t="s">
        <v>320</v>
      </c>
      <c r="C81" t="s">
        <v>968</v>
      </c>
      <c r="D81" t="s">
        <v>30</v>
      </c>
      <c r="E81" t="str">
        <f t="shared" si="28"/>
        <v>Mwanza District [wNqJp8oRIcF]|15+|Female</v>
      </c>
      <c r="F81" s="229" cm="1">
        <f t="array" ref="F81">IFERROR(1/(1/SUM(SUMIFS(Cascade!$O:$O,Cascade!$B:$B,$B81,Cascade!$C:$C,IF($C81="&lt;15",{"=&lt;01","01-09","10-14"},{"15-24","25-34","35-49","50+"}),Cascade!$D:$D,$D81))),"")</f>
        <v>5009</v>
      </c>
      <c r="G81" s="38" cm="1">
        <f t="array" ref="G81">IFERROR(1/(1/SUM(SUMIFS(Cascade!$AX:$AX,Cascade!$B:$B,$B81,Cascade!$C:$C,IF($C81="&lt;15",{"=&lt;01","01-09","10-14"},{"15-24","25-34","35-49","50+"}),Cascade!$D:$D,$D81))),"")</f>
        <v>300</v>
      </c>
      <c r="H81" s="33">
        <v>0.95</v>
      </c>
      <c r="I81" s="33">
        <v>0.95</v>
      </c>
      <c r="J81" s="33">
        <v>0.05</v>
      </c>
      <c r="K81" s="33">
        <v>0.15</v>
      </c>
      <c r="L81" s="218">
        <f t="shared" si="29"/>
        <v>238</v>
      </c>
      <c r="M81" s="218">
        <f t="shared" si="30"/>
        <v>4521</v>
      </c>
      <c r="N81" s="218">
        <f t="shared" si="31"/>
        <v>43</v>
      </c>
      <c r="O81" s="218">
        <f t="shared" si="32"/>
        <v>242</v>
      </c>
      <c r="P81" s="38">
        <v>460</v>
      </c>
      <c r="Q81" s="38"/>
      <c r="R81" s="38">
        <v>259</v>
      </c>
      <c r="S81" s="38">
        <f t="shared" si="33"/>
        <v>719</v>
      </c>
      <c r="T81" s="33">
        <f t="shared" si="34"/>
        <v>0.85645837492513477</v>
      </c>
      <c r="U81" s="33">
        <v>0</v>
      </c>
      <c r="V81" s="33">
        <v>0.75</v>
      </c>
      <c r="W81" s="218">
        <f t="shared" si="35"/>
        <v>0</v>
      </c>
      <c r="X81" s="218">
        <f t="shared" si="36"/>
        <v>182</v>
      </c>
      <c r="Y81" s="33">
        <f t="shared" si="37"/>
        <v>0.9</v>
      </c>
      <c r="Z81" s="218" t="str">
        <f t="shared" si="38"/>
        <v/>
      </c>
      <c r="AA81" s="218">
        <f t="shared" si="39"/>
        <v>164</v>
      </c>
      <c r="AB81" s="33" t="str">
        <f t="shared" si="40"/>
        <v/>
      </c>
      <c r="AC81" s="33">
        <f t="shared" si="41"/>
        <v>-0.36679536679536678</v>
      </c>
    </row>
    <row r="82" spans="1:29" x14ac:dyDescent="0.2">
      <c r="A82" t="str">
        <f>INDEX(Prioritization!$D:$D,MATCH($B82,Prioritization!$A:$A,0))</f>
        <v>4 - Sustained</v>
      </c>
      <c r="B82" t="s">
        <v>320</v>
      </c>
      <c r="C82" t="s">
        <v>968</v>
      </c>
      <c r="D82" t="s">
        <v>48</v>
      </c>
      <c r="E82" t="str">
        <f t="shared" si="28"/>
        <v>Mwanza District [wNqJp8oRIcF]|15+|Male</v>
      </c>
      <c r="F82" s="229" cm="1">
        <f t="array" ref="F82">IFERROR(1/(1/SUM(SUMIFS(Cascade!$O:$O,Cascade!$B:$B,$B82,Cascade!$C:$C,IF($C82="&lt;15",{"=&lt;01","01-09","10-14"},{"15-24","25-34","35-49","50+"}),Cascade!$D:$D,$D82))),"")</f>
        <v>2846</v>
      </c>
      <c r="G82" s="38" cm="1">
        <f t="array" ref="G82">IFERROR(1/(1/SUM(SUMIFS(Cascade!$AX:$AX,Cascade!$B:$B,$B82,Cascade!$C:$C,IF($C82="&lt;15",{"=&lt;01","01-09","10-14"},{"15-24","25-34","35-49","50+"}),Cascade!$D:$D,$D82))),"")</f>
        <v>284</v>
      </c>
      <c r="H82" s="33">
        <v>0.95</v>
      </c>
      <c r="I82" s="33">
        <v>0.95</v>
      </c>
      <c r="J82" s="33">
        <v>0.05</v>
      </c>
      <c r="K82" s="33">
        <v>0.15</v>
      </c>
      <c r="L82" s="218">
        <f t="shared" si="29"/>
        <v>135</v>
      </c>
      <c r="M82" s="218">
        <f t="shared" si="30"/>
        <v>2569</v>
      </c>
      <c r="N82" s="218">
        <f t="shared" si="31"/>
        <v>40</v>
      </c>
      <c r="O82" s="218">
        <f t="shared" si="32"/>
        <v>230</v>
      </c>
      <c r="P82" s="38">
        <v>268</v>
      </c>
      <c r="Q82" s="38"/>
      <c r="R82" s="38">
        <v>95</v>
      </c>
      <c r="S82" s="38">
        <f t="shared" si="33"/>
        <v>363</v>
      </c>
      <c r="T82" s="33">
        <f t="shared" si="34"/>
        <v>0.87245256500351376</v>
      </c>
      <c r="U82" s="33">
        <v>0</v>
      </c>
      <c r="V82" s="33">
        <v>0.75</v>
      </c>
      <c r="W82" s="218">
        <f t="shared" si="35"/>
        <v>0</v>
      </c>
      <c r="X82" s="218">
        <f t="shared" si="36"/>
        <v>173</v>
      </c>
      <c r="Y82" s="33">
        <f t="shared" si="37"/>
        <v>0.9</v>
      </c>
      <c r="Z82" s="218" t="str">
        <f t="shared" si="38"/>
        <v/>
      </c>
      <c r="AA82" s="218">
        <f t="shared" si="39"/>
        <v>156</v>
      </c>
      <c r="AB82" s="33" t="str">
        <f t="shared" si="40"/>
        <v/>
      </c>
      <c r="AC82" s="33">
        <f t="shared" si="41"/>
        <v>0.64210526315789473</v>
      </c>
    </row>
    <row r="83" spans="1:29" x14ac:dyDescent="0.2">
      <c r="A83" t="str">
        <f>INDEX(Prioritization!$D:$D,MATCH($B83,Prioritization!$A:$A,0))</f>
        <v>1 - Scale-up: Saturation</v>
      </c>
      <c r="B83" t="s">
        <v>310</v>
      </c>
      <c r="C83" t="s">
        <v>967</v>
      </c>
      <c r="D83" t="s">
        <v>30</v>
      </c>
      <c r="E83" t="str">
        <f t="shared" si="28"/>
        <v>Mzimba District [vA4NcHxfMBq]|&lt;15|Female</v>
      </c>
      <c r="F83" s="229" cm="1">
        <f t="array" ref="F83">IFERROR(1/(1/SUM(SUMIFS(Cascade!$O:$O,Cascade!$B:$B,$B83,Cascade!$C:$C,IF($C83="&lt;15",{"=&lt;01","01-09","10-14"},{"15-24","25-34","35-49","50+"}),Cascade!$D:$D,$D83))),"")</f>
        <v>850.00000000000011</v>
      </c>
      <c r="G83" s="38" cm="1">
        <f t="array" ref="G83">IFERROR(1/(1/SUM(SUMIFS(Cascade!$AX:$AX,Cascade!$B:$B,$B83,Cascade!$C:$C,IF($C83="&lt;15",{"=&lt;01","01-09","10-14"},{"15-24","25-34","35-49","50+"}),Cascade!$D:$D,$D83))),"")</f>
        <v>34</v>
      </c>
      <c r="H83" s="33">
        <v>0.95</v>
      </c>
      <c r="I83" s="33">
        <v>0.95</v>
      </c>
      <c r="J83" s="33">
        <v>0.05</v>
      </c>
      <c r="K83" s="33">
        <v>0.15</v>
      </c>
      <c r="L83" s="218">
        <f t="shared" si="29"/>
        <v>40</v>
      </c>
      <c r="M83" s="218">
        <f t="shared" si="30"/>
        <v>768</v>
      </c>
      <c r="N83" s="218">
        <f t="shared" si="31"/>
        <v>5</v>
      </c>
      <c r="O83" s="218">
        <f t="shared" si="32"/>
        <v>27</v>
      </c>
      <c r="P83" s="38">
        <v>155</v>
      </c>
      <c r="Q83" s="38"/>
      <c r="R83" s="38">
        <v>68</v>
      </c>
      <c r="S83" s="38">
        <f t="shared" si="33"/>
        <v>223</v>
      </c>
      <c r="T83" s="33">
        <f t="shared" si="34"/>
        <v>0.73764705882352943</v>
      </c>
      <c r="U83" s="33">
        <v>0</v>
      </c>
      <c r="V83" s="33">
        <v>0.75</v>
      </c>
      <c r="W83" s="218">
        <f t="shared" si="35"/>
        <v>0</v>
      </c>
      <c r="X83" s="218">
        <f t="shared" si="36"/>
        <v>20</v>
      </c>
      <c r="Y83" s="33">
        <f t="shared" si="37"/>
        <v>0.9</v>
      </c>
      <c r="Z83" s="218" t="str">
        <f t="shared" si="38"/>
        <v/>
      </c>
      <c r="AA83" s="218">
        <f t="shared" si="39"/>
        <v>18</v>
      </c>
      <c r="AB83" s="33" t="str">
        <f t="shared" si="40"/>
        <v/>
      </c>
      <c r="AC83" s="33">
        <f t="shared" si="41"/>
        <v>-0.73529411764705888</v>
      </c>
    </row>
    <row r="84" spans="1:29" x14ac:dyDescent="0.2">
      <c r="A84" t="str">
        <f>INDEX(Prioritization!$D:$D,MATCH($B84,Prioritization!$A:$A,0))</f>
        <v>1 - Scale-up: Saturation</v>
      </c>
      <c r="B84" t="s">
        <v>310</v>
      </c>
      <c r="C84" t="s">
        <v>967</v>
      </c>
      <c r="D84" t="s">
        <v>48</v>
      </c>
      <c r="E84" t="str">
        <f t="shared" si="28"/>
        <v>Mzimba District [vA4NcHxfMBq]|&lt;15|Male</v>
      </c>
      <c r="F84" s="229" cm="1">
        <f t="array" ref="F84">IFERROR(1/(1/SUM(SUMIFS(Cascade!$O:$O,Cascade!$B:$B,$B84,Cascade!$C:$C,IF($C84="&lt;15",{"=&lt;01","01-09","10-14"},{"15-24","25-34","35-49","50+"}),Cascade!$D:$D,$D84))),"")</f>
        <v>832</v>
      </c>
      <c r="G84" s="38" cm="1">
        <f t="array" ref="G84">IFERROR(1/(1/SUM(SUMIFS(Cascade!$AX:$AX,Cascade!$B:$B,$B84,Cascade!$C:$C,IF($C84="&lt;15",{"=&lt;01","01-09","10-14"},{"15-24","25-34","35-49","50+"}),Cascade!$D:$D,$D84))),"")</f>
        <v>33</v>
      </c>
      <c r="H84" s="33">
        <v>0.95</v>
      </c>
      <c r="I84" s="33">
        <v>0.95</v>
      </c>
      <c r="J84" s="33">
        <v>0.05</v>
      </c>
      <c r="K84" s="33">
        <v>0.15</v>
      </c>
      <c r="L84" s="218">
        <f t="shared" si="29"/>
        <v>40</v>
      </c>
      <c r="M84" s="218">
        <f t="shared" si="30"/>
        <v>750</v>
      </c>
      <c r="N84" s="218">
        <f t="shared" si="31"/>
        <v>5</v>
      </c>
      <c r="O84" s="218">
        <f t="shared" si="32"/>
        <v>26</v>
      </c>
      <c r="P84" s="38">
        <v>179</v>
      </c>
      <c r="Q84" s="38"/>
      <c r="R84" s="38">
        <v>72</v>
      </c>
      <c r="S84" s="38">
        <f t="shared" si="33"/>
        <v>251</v>
      </c>
      <c r="T84" s="33">
        <f t="shared" si="34"/>
        <v>0.69831730769230771</v>
      </c>
      <c r="U84" s="33">
        <v>0</v>
      </c>
      <c r="V84" s="33">
        <v>0.75</v>
      </c>
      <c r="W84" s="218">
        <f t="shared" si="35"/>
        <v>0</v>
      </c>
      <c r="X84" s="218">
        <f t="shared" si="36"/>
        <v>20</v>
      </c>
      <c r="Y84" s="33">
        <f t="shared" si="37"/>
        <v>0.9</v>
      </c>
      <c r="Z84" s="218" t="str">
        <f t="shared" si="38"/>
        <v/>
      </c>
      <c r="AA84" s="218">
        <f t="shared" si="39"/>
        <v>18</v>
      </c>
      <c r="AB84" s="33" t="str">
        <f t="shared" si="40"/>
        <v/>
      </c>
      <c r="AC84" s="33">
        <f t="shared" si="41"/>
        <v>-0.75</v>
      </c>
    </row>
    <row r="85" spans="1:29" x14ac:dyDescent="0.2">
      <c r="A85" t="str">
        <f>INDEX(Prioritization!$D:$D,MATCH($B85,Prioritization!$A:$A,0))</f>
        <v>1 - Scale-up: Saturation</v>
      </c>
      <c r="B85" t="s">
        <v>310</v>
      </c>
      <c r="C85" t="s">
        <v>968</v>
      </c>
      <c r="D85" t="s">
        <v>30</v>
      </c>
      <c r="E85" t="str">
        <f t="shared" si="28"/>
        <v>Mzimba District [vA4NcHxfMBq]|15+|Female</v>
      </c>
      <c r="F85" s="229" cm="1">
        <f t="array" ref="F85">IFERROR(1/(1/SUM(SUMIFS(Cascade!$O:$O,Cascade!$B:$B,$B85,Cascade!$C:$C,IF($C85="&lt;15",{"=&lt;01","01-09","10-14"},{"15-24","25-34","35-49","50+"}),Cascade!$D:$D,$D85))),"")</f>
        <v>28070</v>
      </c>
      <c r="G85" s="38" cm="1">
        <f t="array" ref="G85">IFERROR(1/(1/SUM(SUMIFS(Cascade!$AX:$AX,Cascade!$B:$B,$B85,Cascade!$C:$C,IF($C85="&lt;15",{"=&lt;01","01-09","10-14"},{"15-24","25-34","35-49","50+"}),Cascade!$D:$D,$D85))),"")</f>
        <v>1909.9999999999998</v>
      </c>
      <c r="H85" s="33">
        <v>0.95</v>
      </c>
      <c r="I85" s="33">
        <v>0.95</v>
      </c>
      <c r="J85" s="33">
        <v>0.05</v>
      </c>
      <c r="K85" s="33">
        <v>0.15</v>
      </c>
      <c r="L85" s="218">
        <f t="shared" si="29"/>
        <v>1333</v>
      </c>
      <c r="M85" s="218">
        <f t="shared" si="30"/>
        <v>25334</v>
      </c>
      <c r="N85" s="218">
        <f t="shared" si="31"/>
        <v>272</v>
      </c>
      <c r="O85" s="218">
        <f t="shared" si="32"/>
        <v>1543</v>
      </c>
      <c r="P85" s="38">
        <v>7919</v>
      </c>
      <c r="Q85" s="38"/>
      <c r="R85" s="38">
        <v>1234</v>
      </c>
      <c r="S85" s="38">
        <f t="shared" si="33"/>
        <v>9153</v>
      </c>
      <c r="T85" s="33">
        <f t="shared" si="34"/>
        <v>0.67392233701460635</v>
      </c>
      <c r="U85" s="33">
        <v>0</v>
      </c>
      <c r="V85" s="33">
        <v>0.75</v>
      </c>
      <c r="W85" s="218">
        <f t="shared" si="35"/>
        <v>0</v>
      </c>
      <c r="X85" s="218">
        <f t="shared" si="36"/>
        <v>1157</v>
      </c>
      <c r="Y85" s="33">
        <f t="shared" si="37"/>
        <v>0.9</v>
      </c>
      <c r="Z85" s="218" t="str">
        <f t="shared" si="38"/>
        <v/>
      </c>
      <c r="AA85" s="218">
        <f t="shared" si="39"/>
        <v>1041</v>
      </c>
      <c r="AB85" s="33" t="str">
        <f t="shared" si="40"/>
        <v/>
      </c>
      <c r="AC85" s="33">
        <f t="shared" si="41"/>
        <v>-0.15640194489465153</v>
      </c>
    </row>
    <row r="86" spans="1:29" x14ac:dyDescent="0.2">
      <c r="A86" t="str">
        <f>INDEX(Prioritization!$D:$D,MATCH($B86,Prioritization!$A:$A,0))</f>
        <v>1 - Scale-up: Saturation</v>
      </c>
      <c r="B86" t="s">
        <v>310</v>
      </c>
      <c r="C86" t="s">
        <v>968</v>
      </c>
      <c r="D86" t="s">
        <v>48</v>
      </c>
      <c r="E86" t="str">
        <f t="shared" si="28"/>
        <v>Mzimba District [vA4NcHxfMBq]|15+|Male</v>
      </c>
      <c r="F86" s="229" cm="1">
        <f t="array" ref="F86">IFERROR(1/(1/SUM(SUMIFS(Cascade!$O:$O,Cascade!$B:$B,$B86,Cascade!$C:$C,IF($C86="&lt;15",{"=&lt;01","01-09","10-14"},{"15-24","25-34","35-49","50+"}),Cascade!$D:$D,$D86))),"")</f>
        <v>16648</v>
      </c>
      <c r="G86" s="38" cm="1">
        <f t="array" ref="G86">IFERROR(1/(1/SUM(SUMIFS(Cascade!$AX:$AX,Cascade!$B:$B,$B86,Cascade!$C:$C,IF($C86="&lt;15",{"=&lt;01","01-09","10-14"},{"15-24","25-34","35-49","50+"}),Cascade!$D:$D,$D86))),"")</f>
        <v>542</v>
      </c>
      <c r="H86" s="33">
        <v>0.95</v>
      </c>
      <c r="I86" s="33">
        <v>0.95</v>
      </c>
      <c r="J86" s="33">
        <v>0.05</v>
      </c>
      <c r="K86" s="33">
        <v>0.15</v>
      </c>
      <c r="L86" s="218">
        <f t="shared" si="29"/>
        <v>791</v>
      </c>
      <c r="M86" s="218">
        <f t="shared" si="30"/>
        <v>15025</v>
      </c>
      <c r="N86" s="218">
        <f t="shared" si="31"/>
        <v>77</v>
      </c>
      <c r="O86" s="218">
        <f t="shared" si="32"/>
        <v>438</v>
      </c>
      <c r="P86" s="38">
        <v>4726</v>
      </c>
      <c r="Q86" s="38"/>
      <c r="R86" s="38">
        <v>248</v>
      </c>
      <c r="S86" s="38">
        <f t="shared" si="33"/>
        <v>4974</v>
      </c>
      <c r="T86" s="33">
        <f t="shared" si="34"/>
        <v>0.70122537241710714</v>
      </c>
      <c r="U86" s="33">
        <v>0</v>
      </c>
      <c r="V86" s="33">
        <v>0.75</v>
      </c>
      <c r="W86" s="218">
        <f t="shared" si="35"/>
        <v>0</v>
      </c>
      <c r="X86" s="218">
        <f t="shared" si="36"/>
        <v>329</v>
      </c>
      <c r="Y86" s="33">
        <f t="shared" si="37"/>
        <v>0.9</v>
      </c>
      <c r="Z86" s="218" t="str">
        <f t="shared" si="38"/>
        <v/>
      </c>
      <c r="AA86" s="218">
        <f t="shared" si="39"/>
        <v>296</v>
      </c>
      <c r="AB86" s="33" t="str">
        <f t="shared" si="40"/>
        <v/>
      </c>
      <c r="AC86" s="33">
        <f t="shared" si="41"/>
        <v>0.19354838709677419</v>
      </c>
    </row>
    <row r="87" spans="1:29" x14ac:dyDescent="0.2">
      <c r="A87" t="str">
        <f>INDEX(Prioritization!$D:$D,MATCH($B87,Prioritization!$A:$A,0))</f>
        <v>4 - Sustained</v>
      </c>
      <c r="B87" t="s">
        <v>321</v>
      </c>
      <c r="C87" t="s">
        <v>967</v>
      </c>
      <c r="D87" t="s">
        <v>30</v>
      </c>
      <c r="E87" t="str">
        <f t="shared" si="28"/>
        <v>Neno District [gwVYinjBAe9]|&lt;15|Female</v>
      </c>
      <c r="F87" s="229" cm="1">
        <f t="array" ref="F87">IFERROR(1/(1/SUM(SUMIFS(Cascade!$O:$O,Cascade!$B:$B,$B87,Cascade!$C:$C,IF($C87="&lt;15",{"=&lt;01","01-09","10-14"},{"15-24","25-34","35-49","50+"}),Cascade!$D:$D,$D87))),"")</f>
        <v>192</v>
      </c>
      <c r="G87" s="38" cm="1">
        <f t="array" ref="G87">IFERROR(1/(1/SUM(SUMIFS(Cascade!$AX:$AX,Cascade!$B:$B,$B87,Cascade!$C:$C,IF($C87="&lt;15",{"=&lt;01","01-09","10-14"},{"15-24","25-34","35-49","50+"}),Cascade!$D:$D,$D87))),"")</f>
        <v>15</v>
      </c>
      <c r="H87" s="33">
        <v>0.95</v>
      </c>
      <c r="I87" s="33">
        <v>0.95</v>
      </c>
      <c r="J87" s="33">
        <v>0.05</v>
      </c>
      <c r="K87" s="33">
        <v>0.15</v>
      </c>
      <c r="L87" s="218">
        <f t="shared" si="29"/>
        <v>9</v>
      </c>
      <c r="M87" s="218">
        <f t="shared" si="30"/>
        <v>173</v>
      </c>
      <c r="N87" s="218">
        <f t="shared" si="31"/>
        <v>2</v>
      </c>
      <c r="O87" s="218">
        <f t="shared" si="32"/>
        <v>12</v>
      </c>
      <c r="P87" s="38">
        <v>37</v>
      </c>
      <c r="Q87" s="38"/>
      <c r="R87" s="38">
        <v>13</v>
      </c>
      <c r="S87" s="38">
        <f t="shared" si="33"/>
        <v>50</v>
      </c>
      <c r="T87" s="33">
        <f t="shared" si="34"/>
        <v>0.73958333333333337</v>
      </c>
      <c r="U87" s="33">
        <v>0</v>
      </c>
      <c r="V87" s="33">
        <v>0.75</v>
      </c>
      <c r="W87" s="218">
        <f t="shared" si="35"/>
        <v>0</v>
      </c>
      <c r="X87" s="218">
        <f t="shared" si="36"/>
        <v>9</v>
      </c>
      <c r="Y87" s="33">
        <f t="shared" si="37"/>
        <v>0.9</v>
      </c>
      <c r="Z87" s="218" t="str">
        <f t="shared" si="38"/>
        <v/>
      </c>
      <c r="AA87" s="218">
        <f t="shared" si="39"/>
        <v>8</v>
      </c>
      <c r="AB87" s="33" t="str">
        <f t="shared" si="40"/>
        <v/>
      </c>
      <c r="AC87" s="33">
        <f t="shared" si="41"/>
        <v>-0.38461538461538464</v>
      </c>
    </row>
    <row r="88" spans="1:29" x14ac:dyDescent="0.2">
      <c r="A88" t="str">
        <f>INDEX(Prioritization!$D:$D,MATCH($B88,Prioritization!$A:$A,0))</f>
        <v>4 - Sustained</v>
      </c>
      <c r="B88" t="s">
        <v>321</v>
      </c>
      <c r="C88" t="s">
        <v>967</v>
      </c>
      <c r="D88" t="s">
        <v>48</v>
      </c>
      <c r="E88" t="str">
        <f t="shared" si="28"/>
        <v>Neno District [gwVYinjBAe9]|&lt;15|Male</v>
      </c>
      <c r="F88" s="229" cm="1">
        <f t="array" ref="F88">IFERROR(1/(1/SUM(SUMIFS(Cascade!$O:$O,Cascade!$B:$B,$B88,Cascade!$C:$C,IF($C88="&lt;15",{"=&lt;01","01-09","10-14"},{"15-24","25-34","35-49","50+"}),Cascade!$D:$D,$D88))),"")</f>
        <v>191</v>
      </c>
      <c r="G88" s="38" cm="1">
        <f t="array" ref="G88">IFERROR(1/(1/SUM(SUMIFS(Cascade!$AX:$AX,Cascade!$B:$B,$B88,Cascade!$C:$C,IF($C88="&lt;15",{"=&lt;01","01-09","10-14"},{"15-24","25-34","35-49","50+"}),Cascade!$D:$D,$D88))),"")</f>
        <v>6</v>
      </c>
      <c r="H88" s="33">
        <v>0.95</v>
      </c>
      <c r="I88" s="33">
        <v>0.95</v>
      </c>
      <c r="J88" s="33">
        <v>0.05</v>
      </c>
      <c r="K88" s="33">
        <v>0.15</v>
      </c>
      <c r="L88" s="218">
        <f t="shared" si="29"/>
        <v>9</v>
      </c>
      <c r="M88" s="218">
        <f t="shared" si="30"/>
        <v>172</v>
      </c>
      <c r="N88" s="218">
        <f t="shared" si="31"/>
        <v>1</v>
      </c>
      <c r="O88" s="218">
        <f t="shared" si="32"/>
        <v>5</v>
      </c>
      <c r="P88" s="38">
        <v>28</v>
      </c>
      <c r="Q88" s="38"/>
      <c r="R88" s="38">
        <v>15</v>
      </c>
      <c r="S88" s="38">
        <f t="shared" si="33"/>
        <v>43</v>
      </c>
      <c r="T88" s="33">
        <f t="shared" si="34"/>
        <v>0.77486910994764402</v>
      </c>
      <c r="U88" s="33">
        <v>0</v>
      </c>
      <c r="V88" s="33">
        <v>0.75</v>
      </c>
      <c r="W88" s="218">
        <f t="shared" si="35"/>
        <v>0</v>
      </c>
      <c r="X88" s="218">
        <f t="shared" si="36"/>
        <v>4</v>
      </c>
      <c r="Y88" s="33">
        <f t="shared" si="37"/>
        <v>0.9</v>
      </c>
      <c r="Z88" s="218" t="str">
        <f t="shared" si="38"/>
        <v/>
      </c>
      <c r="AA88" s="218">
        <f t="shared" si="39"/>
        <v>4</v>
      </c>
      <c r="AB88" s="33" t="str">
        <f t="shared" si="40"/>
        <v/>
      </c>
      <c r="AC88" s="33">
        <f t="shared" si="41"/>
        <v>-0.73333333333333328</v>
      </c>
    </row>
    <row r="89" spans="1:29" x14ac:dyDescent="0.2">
      <c r="A89" t="str">
        <f>INDEX(Prioritization!$D:$D,MATCH($B89,Prioritization!$A:$A,0))</f>
        <v>4 - Sustained</v>
      </c>
      <c r="B89" t="s">
        <v>321</v>
      </c>
      <c r="C89" t="s">
        <v>968</v>
      </c>
      <c r="D89" t="s">
        <v>30</v>
      </c>
      <c r="E89" t="str">
        <f t="shared" si="28"/>
        <v>Neno District [gwVYinjBAe9]|15+|Female</v>
      </c>
      <c r="F89" s="229" cm="1">
        <f t="array" ref="F89">IFERROR(1/(1/SUM(SUMIFS(Cascade!$O:$O,Cascade!$B:$B,$B89,Cascade!$C:$C,IF($C89="&lt;15",{"=&lt;01","01-09","10-14"},{"15-24","25-34","35-49","50+"}),Cascade!$D:$D,$D89))),"")</f>
        <v>5564</v>
      </c>
      <c r="G89" s="38" cm="1">
        <f t="array" ref="G89">IFERROR(1/(1/SUM(SUMIFS(Cascade!$AX:$AX,Cascade!$B:$B,$B89,Cascade!$C:$C,IF($C89="&lt;15",{"=&lt;01","01-09","10-14"},{"15-24","25-34","35-49","50+"}),Cascade!$D:$D,$D89))),"")</f>
        <v>284</v>
      </c>
      <c r="H89" s="33">
        <v>0.95</v>
      </c>
      <c r="I89" s="33">
        <v>0.95</v>
      </c>
      <c r="J89" s="33">
        <v>0.05</v>
      </c>
      <c r="K89" s="33">
        <v>0.15</v>
      </c>
      <c r="L89" s="218">
        <f t="shared" si="29"/>
        <v>264</v>
      </c>
      <c r="M89" s="218">
        <f t="shared" si="30"/>
        <v>5022</v>
      </c>
      <c r="N89" s="218">
        <f t="shared" si="31"/>
        <v>40</v>
      </c>
      <c r="O89" s="218">
        <f t="shared" si="32"/>
        <v>230</v>
      </c>
      <c r="P89" s="38">
        <v>60</v>
      </c>
      <c r="Q89" s="38"/>
      <c r="R89" s="38">
        <v>255</v>
      </c>
      <c r="S89" s="38">
        <f t="shared" si="33"/>
        <v>315</v>
      </c>
      <c r="T89" s="33">
        <f t="shared" si="34"/>
        <v>0.94338605319913726</v>
      </c>
      <c r="U89" s="33">
        <v>0</v>
      </c>
      <c r="V89" s="33">
        <v>0.75</v>
      </c>
      <c r="W89" s="218">
        <f t="shared" si="35"/>
        <v>0</v>
      </c>
      <c r="X89" s="218">
        <f t="shared" si="36"/>
        <v>173</v>
      </c>
      <c r="Y89" s="33">
        <f t="shared" si="37"/>
        <v>0.9</v>
      </c>
      <c r="Z89" s="218" t="str">
        <f t="shared" si="38"/>
        <v/>
      </c>
      <c r="AA89" s="218">
        <f t="shared" si="39"/>
        <v>156</v>
      </c>
      <c r="AB89" s="33" t="str">
        <f t="shared" si="40"/>
        <v/>
      </c>
      <c r="AC89" s="33">
        <f t="shared" si="41"/>
        <v>-0.38823529411764707</v>
      </c>
    </row>
    <row r="90" spans="1:29" x14ac:dyDescent="0.2">
      <c r="A90" t="str">
        <f>INDEX(Prioritization!$D:$D,MATCH($B90,Prioritization!$A:$A,0))</f>
        <v>4 - Sustained</v>
      </c>
      <c r="B90" t="s">
        <v>321</v>
      </c>
      <c r="C90" t="s">
        <v>968</v>
      </c>
      <c r="D90" t="s">
        <v>48</v>
      </c>
      <c r="E90" t="str">
        <f t="shared" si="28"/>
        <v>Neno District [gwVYinjBAe9]|15+|Male</v>
      </c>
      <c r="F90" s="229" cm="1">
        <f t="array" ref="F90">IFERROR(1/(1/SUM(SUMIFS(Cascade!$O:$O,Cascade!$B:$B,$B90,Cascade!$C:$C,IF($C90="&lt;15",{"=&lt;01","01-09","10-14"},{"15-24","25-34","35-49","50+"}),Cascade!$D:$D,$D90))),"")</f>
        <v>2827</v>
      </c>
      <c r="G90" s="38" cm="1">
        <f t="array" ref="G90">IFERROR(1/(1/SUM(SUMIFS(Cascade!$AX:$AX,Cascade!$B:$B,$B90,Cascade!$C:$C,IF($C90="&lt;15",{"=&lt;01","01-09","10-14"},{"15-24","25-34","35-49","50+"}),Cascade!$D:$D,$D90))),"")</f>
        <v>74</v>
      </c>
      <c r="H90" s="33">
        <v>0.95</v>
      </c>
      <c r="I90" s="33">
        <v>0.95</v>
      </c>
      <c r="J90" s="33">
        <v>0.05</v>
      </c>
      <c r="K90" s="33">
        <v>0.15</v>
      </c>
      <c r="L90" s="218">
        <f t="shared" si="29"/>
        <v>134</v>
      </c>
      <c r="M90" s="218">
        <f t="shared" si="30"/>
        <v>2552</v>
      </c>
      <c r="N90" s="218">
        <f t="shared" si="31"/>
        <v>11</v>
      </c>
      <c r="O90" s="218">
        <f t="shared" si="32"/>
        <v>59</v>
      </c>
      <c r="P90" s="38">
        <v>73</v>
      </c>
      <c r="Q90" s="38"/>
      <c r="R90" s="38">
        <v>68</v>
      </c>
      <c r="S90" s="38">
        <f t="shared" si="33"/>
        <v>141</v>
      </c>
      <c r="T90" s="33">
        <f t="shared" si="34"/>
        <v>0.95012380615493452</v>
      </c>
      <c r="U90" s="33">
        <v>0</v>
      </c>
      <c r="V90" s="33">
        <v>0.75</v>
      </c>
      <c r="W90" s="218">
        <f t="shared" si="35"/>
        <v>0</v>
      </c>
      <c r="X90" s="218">
        <f t="shared" si="36"/>
        <v>44</v>
      </c>
      <c r="Y90" s="33">
        <f t="shared" si="37"/>
        <v>0.9</v>
      </c>
      <c r="Z90" s="218" t="str">
        <f t="shared" si="38"/>
        <v/>
      </c>
      <c r="AA90" s="218">
        <f t="shared" si="39"/>
        <v>40</v>
      </c>
      <c r="AB90" s="33" t="str">
        <f t="shared" si="40"/>
        <v/>
      </c>
      <c r="AC90" s="33">
        <f t="shared" si="41"/>
        <v>-0.41176470588235292</v>
      </c>
    </row>
    <row r="91" spans="1:29" x14ac:dyDescent="0.2">
      <c r="A91" t="str">
        <f>INDEX(Prioritization!$D:$D,MATCH($B91,Prioritization!$A:$A,0))</f>
        <v>4 - Sustained</v>
      </c>
      <c r="B91" t="s">
        <v>311</v>
      </c>
      <c r="C91" t="s">
        <v>967</v>
      </c>
      <c r="D91" t="s">
        <v>30</v>
      </c>
      <c r="E91" t="str">
        <f t="shared" si="28"/>
        <v>Nkhata Bay District [E7zpfyBt7Tw]|&lt;15|Female</v>
      </c>
      <c r="F91" s="229" cm="1">
        <f t="array" ref="F91">IFERROR(1/(1/SUM(SUMIFS(Cascade!$O:$O,Cascade!$B:$B,$B91,Cascade!$C:$C,IF($C91="&lt;15",{"=&lt;01","01-09","10-14"},{"15-24","25-34","35-49","50+"}),Cascade!$D:$D,$D91))),"")</f>
        <v>222</v>
      </c>
      <c r="G91" s="38" cm="1">
        <f t="array" ref="G91">IFERROR(1/(1/SUM(SUMIFS(Cascade!$AX:$AX,Cascade!$B:$B,$B91,Cascade!$C:$C,IF($C91="&lt;15",{"=&lt;01","01-09","10-14"},{"15-24","25-34","35-49","50+"}),Cascade!$D:$D,$D91))),"")</f>
        <v>14</v>
      </c>
      <c r="H91" s="33">
        <v>0.95</v>
      </c>
      <c r="I91" s="33">
        <v>0.95</v>
      </c>
      <c r="J91" s="33">
        <v>0.05</v>
      </c>
      <c r="K91" s="33">
        <v>0.15</v>
      </c>
      <c r="L91" s="218">
        <f t="shared" si="29"/>
        <v>11</v>
      </c>
      <c r="M91" s="218">
        <f t="shared" si="30"/>
        <v>200</v>
      </c>
      <c r="N91" s="218">
        <f t="shared" si="31"/>
        <v>2</v>
      </c>
      <c r="O91" s="218">
        <f t="shared" si="32"/>
        <v>11</v>
      </c>
      <c r="P91" s="38">
        <v>32</v>
      </c>
      <c r="Q91" s="38"/>
      <c r="R91" s="38">
        <v>16</v>
      </c>
      <c r="S91" s="38">
        <f t="shared" si="33"/>
        <v>48</v>
      </c>
      <c r="T91" s="33">
        <f t="shared" si="34"/>
        <v>0.78378378378378377</v>
      </c>
      <c r="U91" s="33">
        <v>0</v>
      </c>
      <c r="V91" s="33">
        <v>0.75</v>
      </c>
      <c r="W91" s="218">
        <f t="shared" si="35"/>
        <v>0</v>
      </c>
      <c r="X91" s="218">
        <f t="shared" si="36"/>
        <v>8</v>
      </c>
      <c r="Y91" s="33">
        <f t="shared" si="37"/>
        <v>0.9</v>
      </c>
      <c r="Z91" s="218" t="str">
        <f t="shared" si="38"/>
        <v/>
      </c>
      <c r="AA91" s="218">
        <f t="shared" si="39"/>
        <v>7</v>
      </c>
      <c r="AB91" s="33" t="str">
        <f t="shared" si="40"/>
        <v/>
      </c>
      <c r="AC91" s="33">
        <f t="shared" si="41"/>
        <v>-0.5625</v>
      </c>
    </row>
    <row r="92" spans="1:29" x14ac:dyDescent="0.2">
      <c r="A92" t="str">
        <f>INDEX(Prioritization!$D:$D,MATCH($B92,Prioritization!$A:$A,0))</f>
        <v>4 - Sustained</v>
      </c>
      <c r="B92" t="s">
        <v>311</v>
      </c>
      <c r="C92" t="s">
        <v>967</v>
      </c>
      <c r="D92" t="s">
        <v>48</v>
      </c>
      <c r="E92" t="str">
        <f t="shared" si="28"/>
        <v>Nkhata Bay District [E7zpfyBt7Tw]|&lt;15|Male</v>
      </c>
      <c r="F92" s="229" cm="1">
        <f t="array" ref="F92">IFERROR(1/(1/SUM(SUMIFS(Cascade!$O:$O,Cascade!$B:$B,$B92,Cascade!$C:$C,IF($C92="&lt;15",{"=&lt;01","01-09","10-14"},{"15-24","25-34","35-49","50+"}),Cascade!$D:$D,$D92))),"")</f>
        <v>217</v>
      </c>
      <c r="G92" s="38" cm="1">
        <f t="array" ref="G92">IFERROR(1/(1/SUM(SUMIFS(Cascade!$AX:$AX,Cascade!$B:$B,$B92,Cascade!$C:$C,IF($C92="&lt;15",{"=&lt;01","01-09","10-14"},{"15-24","25-34","35-49","50+"}),Cascade!$D:$D,$D92))),"")</f>
        <v>4</v>
      </c>
      <c r="H92" s="33">
        <v>0.95</v>
      </c>
      <c r="I92" s="33">
        <v>0.95</v>
      </c>
      <c r="J92" s="33">
        <v>0.05</v>
      </c>
      <c r="K92" s="33">
        <v>0.15</v>
      </c>
      <c r="L92" s="218">
        <f t="shared" si="29"/>
        <v>10</v>
      </c>
      <c r="M92" s="218">
        <f t="shared" si="30"/>
        <v>196</v>
      </c>
      <c r="N92" s="218">
        <f t="shared" si="31"/>
        <v>1</v>
      </c>
      <c r="O92" s="218">
        <f t="shared" si="32"/>
        <v>3</v>
      </c>
      <c r="P92" s="38">
        <v>33</v>
      </c>
      <c r="Q92" s="38"/>
      <c r="R92" s="38">
        <v>16</v>
      </c>
      <c r="S92" s="38">
        <f t="shared" si="33"/>
        <v>49.000000000000007</v>
      </c>
      <c r="T92" s="33">
        <f t="shared" si="34"/>
        <v>0.77419354838709675</v>
      </c>
      <c r="U92" s="33">
        <v>0</v>
      </c>
      <c r="V92" s="33">
        <v>0.75</v>
      </c>
      <c r="W92" s="218">
        <f t="shared" si="35"/>
        <v>0</v>
      </c>
      <c r="X92" s="218">
        <f t="shared" si="36"/>
        <v>2</v>
      </c>
      <c r="Y92" s="33">
        <f t="shared" si="37"/>
        <v>0.9</v>
      </c>
      <c r="Z92" s="218" t="str">
        <f t="shared" si="38"/>
        <v/>
      </c>
      <c r="AA92" s="218">
        <f t="shared" si="39"/>
        <v>2</v>
      </c>
      <c r="AB92" s="33" t="str">
        <f t="shared" si="40"/>
        <v/>
      </c>
      <c r="AC92" s="33">
        <f t="shared" si="41"/>
        <v>-0.875</v>
      </c>
    </row>
    <row r="93" spans="1:29" x14ac:dyDescent="0.2">
      <c r="A93" t="str">
        <f>INDEX(Prioritization!$D:$D,MATCH($B93,Prioritization!$A:$A,0))</f>
        <v>4 - Sustained</v>
      </c>
      <c r="B93" t="s">
        <v>311</v>
      </c>
      <c r="C93" t="s">
        <v>968</v>
      </c>
      <c r="D93" t="s">
        <v>30</v>
      </c>
      <c r="E93" t="str">
        <f t="shared" si="28"/>
        <v>Nkhata Bay District [E7zpfyBt7Tw]|15+|Female</v>
      </c>
      <c r="F93" s="229" cm="1">
        <f t="array" ref="F93">IFERROR(1/(1/SUM(SUMIFS(Cascade!$O:$O,Cascade!$B:$B,$B93,Cascade!$C:$C,IF($C93="&lt;15",{"=&lt;01","01-09","10-14"},{"15-24","25-34","35-49","50+"}),Cascade!$D:$D,$D93))),"")</f>
        <v>6665.9999999999991</v>
      </c>
      <c r="G93" s="38" cm="1">
        <f t="array" ref="G93">IFERROR(1/(1/SUM(SUMIFS(Cascade!$AX:$AX,Cascade!$B:$B,$B93,Cascade!$C:$C,IF($C93="&lt;15",{"=&lt;01","01-09","10-14"},{"15-24","25-34","35-49","50+"}),Cascade!$D:$D,$D93))),"")</f>
        <v>376</v>
      </c>
      <c r="H93" s="33">
        <v>0.95</v>
      </c>
      <c r="I93" s="33">
        <v>0.95</v>
      </c>
      <c r="J93" s="33">
        <v>0.05</v>
      </c>
      <c r="K93" s="33">
        <v>0.15</v>
      </c>
      <c r="L93" s="218">
        <f t="shared" si="29"/>
        <v>317</v>
      </c>
      <c r="M93" s="218">
        <f t="shared" si="30"/>
        <v>6016</v>
      </c>
      <c r="N93" s="218">
        <f t="shared" si="31"/>
        <v>54</v>
      </c>
      <c r="O93" s="218">
        <f t="shared" si="32"/>
        <v>303</v>
      </c>
      <c r="P93" s="38">
        <v>1447</v>
      </c>
      <c r="Q93" s="38"/>
      <c r="R93" s="38">
        <v>184</v>
      </c>
      <c r="S93" s="38">
        <f t="shared" si="33"/>
        <v>1631</v>
      </c>
      <c r="T93" s="33">
        <f t="shared" si="34"/>
        <v>0.7553255325532553</v>
      </c>
      <c r="U93" s="33">
        <v>0</v>
      </c>
      <c r="V93" s="33">
        <v>0.75</v>
      </c>
      <c r="W93" s="218">
        <f t="shared" si="35"/>
        <v>0</v>
      </c>
      <c r="X93" s="218">
        <f t="shared" si="36"/>
        <v>227</v>
      </c>
      <c r="Y93" s="33">
        <f t="shared" si="37"/>
        <v>0.9</v>
      </c>
      <c r="Z93" s="218" t="str">
        <f t="shared" si="38"/>
        <v/>
      </c>
      <c r="AA93" s="218">
        <f t="shared" si="39"/>
        <v>204</v>
      </c>
      <c r="AB93" s="33" t="str">
        <f t="shared" si="40"/>
        <v/>
      </c>
      <c r="AC93" s="33">
        <f t="shared" si="41"/>
        <v>0.10869565217391304</v>
      </c>
    </row>
    <row r="94" spans="1:29" x14ac:dyDescent="0.2">
      <c r="A94" t="str">
        <f>INDEX(Prioritization!$D:$D,MATCH($B94,Prioritization!$A:$A,0))</f>
        <v>4 - Sustained</v>
      </c>
      <c r="B94" t="s">
        <v>311</v>
      </c>
      <c r="C94" t="s">
        <v>968</v>
      </c>
      <c r="D94" t="s">
        <v>48</v>
      </c>
      <c r="E94" t="str">
        <f t="shared" si="28"/>
        <v>Nkhata Bay District [E7zpfyBt7Tw]|15+|Male</v>
      </c>
      <c r="F94" s="229" cm="1">
        <f t="array" ref="F94">IFERROR(1/(1/SUM(SUMIFS(Cascade!$O:$O,Cascade!$B:$B,$B94,Cascade!$C:$C,IF($C94="&lt;15",{"=&lt;01","01-09","10-14"},{"15-24","25-34","35-49","50+"}),Cascade!$D:$D,$D94))),"")</f>
        <v>4341</v>
      </c>
      <c r="G94" s="38" cm="1">
        <f t="array" ref="G94">IFERROR(1/(1/SUM(SUMIFS(Cascade!$AX:$AX,Cascade!$B:$B,$B94,Cascade!$C:$C,IF($C94="&lt;15",{"=&lt;01","01-09","10-14"},{"15-24","25-34","35-49","50+"}),Cascade!$D:$D,$D94))),"")</f>
        <v>122</v>
      </c>
      <c r="H94" s="33">
        <v>0.95</v>
      </c>
      <c r="I94" s="33">
        <v>0.95</v>
      </c>
      <c r="J94" s="33">
        <v>0.05</v>
      </c>
      <c r="K94" s="33">
        <v>0.15</v>
      </c>
      <c r="L94" s="218">
        <f t="shared" si="29"/>
        <v>206</v>
      </c>
      <c r="M94" s="218">
        <f t="shared" si="30"/>
        <v>3918</v>
      </c>
      <c r="N94" s="218">
        <f t="shared" si="31"/>
        <v>17</v>
      </c>
      <c r="O94" s="218">
        <f t="shared" si="32"/>
        <v>99</v>
      </c>
      <c r="P94" s="38">
        <v>954</v>
      </c>
      <c r="Q94" s="38"/>
      <c r="R94" s="38">
        <v>81</v>
      </c>
      <c r="S94" s="38">
        <f t="shared" si="33"/>
        <v>1035</v>
      </c>
      <c r="T94" s="33">
        <f t="shared" si="34"/>
        <v>0.76157567380787838</v>
      </c>
      <c r="U94" s="33">
        <v>0</v>
      </c>
      <c r="V94" s="33">
        <v>0.75</v>
      </c>
      <c r="W94" s="218">
        <f t="shared" si="35"/>
        <v>0</v>
      </c>
      <c r="X94" s="218">
        <f t="shared" si="36"/>
        <v>74</v>
      </c>
      <c r="Y94" s="33">
        <f t="shared" si="37"/>
        <v>0.9</v>
      </c>
      <c r="Z94" s="218" t="str">
        <f t="shared" si="38"/>
        <v/>
      </c>
      <c r="AA94" s="218">
        <f t="shared" si="39"/>
        <v>67</v>
      </c>
      <c r="AB94" s="33" t="str">
        <f t="shared" si="40"/>
        <v/>
      </c>
      <c r="AC94" s="33">
        <f t="shared" si="41"/>
        <v>-0.1728395061728395</v>
      </c>
    </row>
    <row r="95" spans="1:29" x14ac:dyDescent="0.2">
      <c r="A95" t="str">
        <f>INDEX(Prioritization!$D:$D,MATCH($B95,Prioritization!$A:$A,0))</f>
        <v>4 - Sustained</v>
      </c>
      <c r="B95" t="s">
        <v>303</v>
      </c>
      <c r="C95" t="s">
        <v>967</v>
      </c>
      <c r="D95" t="s">
        <v>30</v>
      </c>
      <c r="E95" t="str">
        <f t="shared" si="28"/>
        <v>Nkhotakota District [YCKiBAp8QAg]|&lt;15|Female</v>
      </c>
      <c r="F95" s="229" cm="1">
        <f t="array" ref="F95">IFERROR(1/(1/SUM(SUMIFS(Cascade!$O:$O,Cascade!$B:$B,$B95,Cascade!$C:$C,IF($C95="&lt;15",{"=&lt;01","01-09","10-14"},{"15-24","25-34","35-49","50+"}),Cascade!$D:$D,$D95))),"")</f>
        <v>293</v>
      </c>
      <c r="G95" s="38" cm="1">
        <f t="array" ref="G95">IFERROR(1/(1/SUM(SUMIFS(Cascade!$AX:$AX,Cascade!$B:$B,$B95,Cascade!$C:$C,IF($C95="&lt;15",{"=&lt;01","01-09","10-14"},{"15-24","25-34","35-49","50+"}),Cascade!$D:$D,$D95))),"")</f>
        <v>19</v>
      </c>
      <c r="H95" s="33">
        <v>0.95</v>
      </c>
      <c r="I95" s="33">
        <v>0.95</v>
      </c>
      <c r="J95" s="33">
        <v>0.05</v>
      </c>
      <c r="K95" s="33">
        <v>0.15</v>
      </c>
      <c r="L95" s="218">
        <f t="shared" si="29"/>
        <v>14</v>
      </c>
      <c r="M95" s="218">
        <f t="shared" si="30"/>
        <v>264</v>
      </c>
      <c r="N95" s="218">
        <f t="shared" si="31"/>
        <v>3</v>
      </c>
      <c r="O95" s="218">
        <f t="shared" si="32"/>
        <v>15</v>
      </c>
      <c r="P95" s="38">
        <v>46</v>
      </c>
      <c r="Q95" s="38"/>
      <c r="R95" s="38">
        <v>21</v>
      </c>
      <c r="S95" s="38">
        <f t="shared" si="33"/>
        <v>67</v>
      </c>
      <c r="T95" s="33">
        <f t="shared" si="34"/>
        <v>0.77133105802047786</v>
      </c>
      <c r="U95" s="33">
        <v>0</v>
      </c>
      <c r="V95" s="33">
        <v>0.75</v>
      </c>
      <c r="W95" s="218">
        <f t="shared" si="35"/>
        <v>0</v>
      </c>
      <c r="X95" s="218">
        <f t="shared" si="36"/>
        <v>11</v>
      </c>
      <c r="Y95" s="33">
        <f t="shared" si="37"/>
        <v>0.9</v>
      </c>
      <c r="Z95" s="218" t="str">
        <f t="shared" si="38"/>
        <v/>
      </c>
      <c r="AA95" s="218">
        <f t="shared" si="39"/>
        <v>10</v>
      </c>
      <c r="AB95" s="33" t="str">
        <f t="shared" si="40"/>
        <v/>
      </c>
      <c r="AC95" s="33">
        <f t="shared" si="41"/>
        <v>-0.52380952380952384</v>
      </c>
    </row>
    <row r="96" spans="1:29" x14ac:dyDescent="0.2">
      <c r="A96" t="str">
        <f>INDEX(Prioritization!$D:$D,MATCH($B96,Prioritization!$A:$A,0))</f>
        <v>4 - Sustained</v>
      </c>
      <c r="B96" t="s">
        <v>303</v>
      </c>
      <c r="C96" t="s">
        <v>967</v>
      </c>
      <c r="D96" t="s">
        <v>48</v>
      </c>
      <c r="E96" t="str">
        <f t="shared" si="28"/>
        <v>Nkhotakota District [YCKiBAp8QAg]|&lt;15|Male</v>
      </c>
      <c r="F96" s="229">
        <v>1</v>
      </c>
      <c r="G96" s="38">
        <v>1</v>
      </c>
      <c r="H96" s="33">
        <v>0.01</v>
      </c>
      <c r="I96" s="33">
        <v>0.01</v>
      </c>
      <c r="J96" s="33">
        <v>0.01</v>
      </c>
      <c r="K96" s="33">
        <v>0.01</v>
      </c>
      <c r="L96" s="218">
        <v>1</v>
      </c>
      <c r="M96" s="218">
        <v>1</v>
      </c>
      <c r="N96" s="218">
        <v>1</v>
      </c>
      <c r="O96" s="218">
        <v>1</v>
      </c>
      <c r="P96" s="38">
        <v>1</v>
      </c>
      <c r="Q96" s="38">
        <v>1</v>
      </c>
      <c r="R96" s="38">
        <v>1</v>
      </c>
      <c r="S96" s="38">
        <v>1</v>
      </c>
      <c r="T96" s="33">
        <v>0.01</v>
      </c>
      <c r="U96" s="33">
        <v>0.01</v>
      </c>
      <c r="V96" s="33">
        <v>0.01</v>
      </c>
      <c r="W96" s="218">
        <v>1</v>
      </c>
      <c r="X96" s="218">
        <v>1</v>
      </c>
      <c r="Y96" s="33">
        <v>-2.99</v>
      </c>
      <c r="Z96" s="218">
        <v>1</v>
      </c>
      <c r="AA96" s="218">
        <v>1</v>
      </c>
      <c r="AB96" s="33">
        <v>0.01</v>
      </c>
      <c r="AC96" s="33">
        <v>0.01</v>
      </c>
    </row>
    <row r="97" spans="1:29" x14ac:dyDescent="0.2">
      <c r="A97" t="str">
        <f>INDEX(Prioritization!$D:$D,MATCH($B97,Prioritization!$A:$A,0))</f>
        <v>4 - Sustained</v>
      </c>
      <c r="B97" t="s">
        <v>303</v>
      </c>
      <c r="C97" t="s">
        <v>968</v>
      </c>
      <c r="D97" t="s">
        <v>30</v>
      </c>
      <c r="E97" t="str">
        <f t="shared" si="28"/>
        <v>Nkhotakota District [YCKiBAp8QAg]|15+|Female</v>
      </c>
      <c r="F97" s="229">
        <v>1</v>
      </c>
      <c r="G97" s="38">
        <v>1</v>
      </c>
      <c r="H97" s="33">
        <v>0.01</v>
      </c>
      <c r="I97" s="33">
        <v>0.01</v>
      </c>
      <c r="J97" s="33">
        <v>0.01</v>
      </c>
      <c r="K97" s="33">
        <v>0.01</v>
      </c>
      <c r="L97" s="218">
        <v>1</v>
      </c>
      <c r="M97" s="218">
        <v>1</v>
      </c>
      <c r="N97" s="218">
        <v>1</v>
      </c>
      <c r="O97" s="218">
        <v>1</v>
      </c>
      <c r="P97" s="38">
        <v>1</v>
      </c>
      <c r="Q97" s="38">
        <v>1</v>
      </c>
      <c r="R97" s="38">
        <v>1</v>
      </c>
      <c r="S97" s="38">
        <v>1</v>
      </c>
      <c r="T97" s="33">
        <v>0.01</v>
      </c>
      <c r="U97" s="33">
        <v>0.01</v>
      </c>
      <c r="V97" s="33">
        <v>0.01</v>
      </c>
      <c r="W97" s="218">
        <v>1</v>
      </c>
      <c r="X97" s="218">
        <v>1</v>
      </c>
      <c r="Y97" s="33">
        <v>-1.99</v>
      </c>
      <c r="Z97" s="218">
        <v>1</v>
      </c>
      <c r="AA97" s="218">
        <v>1</v>
      </c>
      <c r="AB97" s="33">
        <v>0.01</v>
      </c>
      <c r="AC97" s="33">
        <v>0.01</v>
      </c>
    </row>
    <row r="98" spans="1:29" x14ac:dyDescent="0.2">
      <c r="A98" t="str">
        <f>INDEX(Prioritization!$D:$D,MATCH($B98,Prioritization!$A:$A,0))</f>
        <v>4 - Sustained</v>
      </c>
      <c r="B98" t="s">
        <v>303</v>
      </c>
      <c r="C98" t="s">
        <v>968</v>
      </c>
      <c r="D98" t="s">
        <v>48</v>
      </c>
      <c r="E98" t="str">
        <f t="shared" si="28"/>
        <v>Nkhotakota District [YCKiBAp8QAg]|15+|Male</v>
      </c>
      <c r="F98" s="229">
        <v>1</v>
      </c>
      <c r="G98" s="38">
        <v>1</v>
      </c>
      <c r="H98" s="33">
        <v>0.01</v>
      </c>
      <c r="I98" s="33">
        <v>0.01</v>
      </c>
      <c r="J98" s="33">
        <v>0.01</v>
      </c>
      <c r="K98" s="33">
        <v>0.01</v>
      </c>
      <c r="L98" s="218">
        <v>1</v>
      </c>
      <c r="M98" s="218">
        <v>1</v>
      </c>
      <c r="N98" s="218">
        <v>1</v>
      </c>
      <c r="O98" s="218">
        <v>1</v>
      </c>
      <c r="P98" s="38">
        <v>1</v>
      </c>
      <c r="Q98" s="38">
        <v>1</v>
      </c>
      <c r="R98" s="38">
        <v>1</v>
      </c>
      <c r="S98" s="38">
        <v>1</v>
      </c>
      <c r="T98" s="33">
        <v>0.01</v>
      </c>
      <c r="U98" s="33">
        <v>0.01</v>
      </c>
      <c r="V98" s="33">
        <v>0.01</v>
      </c>
      <c r="W98" s="218">
        <v>1</v>
      </c>
      <c r="X98" s="218">
        <v>1</v>
      </c>
      <c r="Y98" s="33">
        <v>-0.99</v>
      </c>
      <c r="Z98" s="218">
        <v>1</v>
      </c>
      <c r="AA98" s="218">
        <v>1</v>
      </c>
      <c r="AB98" s="33">
        <v>0.01</v>
      </c>
      <c r="AC98" s="33">
        <v>0.01</v>
      </c>
    </row>
    <row r="99" spans="1:29" x14ac:dyDescent="0.2">
      <c r="A99" t="str">
        <f>INDEX(Prioritization!$D:$D,MATCH($B99,Prioritization!$A:$A,0))</f>
        <v>INVALID</v>
      </c>
      <c r="B99" t="s">
        <v>322</v>
      </c>
      <c r="C99" t="s">
        <v>967</v>
      </c>
      <c r="D99" t="s">
        <v>30</v>
      </c>
      <c r="E99" t="str">
        <f t="shared" si="28"/>
        <v>Nsanje District [rpw540fmNUz]|&lt;15|Female</v>
      </c>
      <c r="F99" s="229">
        <v>1</v>
      </c>
      <c r="G99" s="38">
        <v>1</v>
      </c>
      <c r="H99" s="33">
        <v>0.01</v>
      </c>
      <c r="I99" s="33">
        <v>0.01</v>
      </c>
      <c r="J99" s="33">
        <v>0.01</v>
      </c>
      <c r="K99" s="33">
        <v>0.01</v>
      </c>
      <c r="L99" s="218">
        <v>1</v>
      </c>
      <c r="M99" s="218">
        <v>1</v>
      </c>
      <c r="N99" s="218">
        <v>1</v>
      </c>
      <c r="O99" s="218">
        <v>1</v>
      </c>
      <c r="P99" s="38">
        <v>1</v>
      </c>
      <c r="Q99" s="38">
        <v>1</v>
      </c>
      <c r="R99" s="38">
        <v>1</v>
      </c>
      <c r="S99" s="38">
        <v>1</v>
      </c>
      <c r="T99" s="33">
        <v>0.01</v>
      </c>
      <c r="U99" s="33">
        <v>0.01</v>
      </c>
      <c r="V99" s="33">
        <v>0.01</v>
      </c>
      <c r="W99" s="218">
        <v>1</v>
      </c>
      <c r="X99" s="218">
        <v>1</v>
      </c>
      <c r="Y99" s="33">
        <v>0.01</v>
      </c>
      <c r="Z99" s="218">
        <v>1</v>
      </c>
      <c r="AA99" s="218">
        <v>1</v>
      </c>
      <c r="AB99" s="33">
        <v>0.01</v>
      </c>
      <c r="AC99" s="33">
        <v>0.01</v>
      </c>
    </row>
    <row r="100" spans="1:29" x14ac:dyDescent="0.2">
      <c r="A100" t="str">
        <f>INDEX(Prioritization!$D:$D,MATCH($B100,Prioritization!$A:$A,0))</f>
        <v>INVALID</v>
      </c>
      <c r="B100" t="s">
        <v>322</v>
      </c>
      <c r="C100" t="s">
        <v>967</v>
      </c>
      <c r="D100" t="s">
        <v>48</v>
      </c>
      <c r="E100" t="str">
        <f t="shared" si="28"/>
        <v>Nsanje District [rpw540fmNUz]|&lt;15|Male</v>
      </c>
      <c r="F100" s="229" cm="1">
        <f t="array" ref="F100">IFERROR(1/(1/SUM(SUMIFS(Cascade!$O:$O,Cascade!$B:$B,$B100,Cascade!$C:$C,IF($C100="&lt;15",{"=&lt;01","01-09","10-14"},{"15-24","25-34","35-49","50+"}),Cascade!$D:$D,$D100))),"")</f>
        <v>625</v>
      </c>
      <c r="G100" s="38" cm="1">
        <f t="array" ref="G100">IFERROR(1/(1/SUM(SUMIFS(Cascade!$AX:$AX,Cascade!$B:$B,$B100,Cascade!$C:$C,IF($C100="&lt;15",{"=&lt;01","01-09","10-14"},{"15-24","25-34","35-49","50+"}),Cascade!$D:$D,$D100))),"")</f>
        <v>53</v>
      </c>
      <c r="H100" s="33">
        <v>0.95</v>
      </c>
      <c r="I100" s="33">
        <v>0.95</v>
      </c>
      <c r="J100" s="33">
        <v>0.05</v>
      </c>
      <c r="K100" s="33">
        <v>0.15</v>
      </c>
      <c r="L100" s="218">
        <f t="shared" si="29"/>
        <v>30</v>
      </c>
      <c r="M100" s="218">
        <f t="shared" si="30"/>
        <v>564</v>
      </c>
      <c r="N100" s="218">
        <f t="shared" si="31"/>
        <v>8</v>
      </c>
      <c r="O100" s="218">
        <f t="shared" si="32"/>
        <v>42</v>
      </c>
      <c r="P100" s="38">
        <v>73</v>
      </c>
      <c r="Q100" s="38"/>
      <c r="R100" s="38">
        <v>46</v>
      </c>
      <c r="S100" s="38">
        <f t="shared" si="33"/>
        <v>119</v>
      </c>
      <c r="T100" s="33">
        <f t="shared" si="34"/>
        <v>0.80959999999999999</v>
      </c>
      <c r="U100" s="33">
        <v>0</v>
      </c>
      <c r="V100" s="33">
        <v>0.75</v>
      </c>
      <c r="W100" s="218">
        <f t="shared" si="35"/>
        <v>0</v>
      </c>
      <c r="X100" s="218">
        <f t="shared" si="36"/>
        <v>32</v>
      </c>
      <c r="Y100" s="33">
        <f t="shared" si="37"/>
        <v>0.9</v>
      </c>
      <c r="Z100" s="218" t="str">
        <f t="shared" si="38"/>
        <v/>
      </c>
      <c r="AA100" s="218">
        <f t="shared" si="39"/>
        <v>29</v>
      </c>
      <c r="AB100" s="33" t="str">
        <f t="shared" si="40"/>
        <v/>
      </c>
      <c r="AC100" s="33">
        <f t="shared" si="41"/>
        <v>-0.36956521739130432</v>
      </c>
    </row>
    <row r="101" spans="1:29" x14ac:dyDescent="0.2">
      <c r="A101" t="str">
        <f>INDEX(Prioritization!$D:$D,MATCH($B101,Prioritization!$A:$A,0))</f>
        <v>INVALID</v>
      </c>
      <c r="B101" t="s">
        <v>322</v>
      </c>
      <c r="C101" t="s">
        <v>968</v>
      </c>
      <c r="D101" t="s">
        <v>30</v>
      </c>
      <c r="E101" t="str">
        <f t="shared" si="28"/>
        <v>Nsanje District [rpw540fmNUz]|15+|Female</v>
      </c>
      <c r="F101" s="229" cm="1">
        <f t="array" ref="F101">IFERROR(1/(1/SUM(SUMIFS(Cascade!$O:$O,Cascade!$B:$B,$B101,Cascade!$C:$C,IF($C101="&lt;15",{"=&lt;01","01-09","10-14"},{"15-24","25-34","35-49","50+"}),Cascade!$D:$D,$D101))),"")</f>
        <v>14924.999999999998</v>
      </c>
      <c r="G101" s="38" cm="1">
        <f t="array" ref="G101">IFERROR(1/(1/SUM(SUMIFS(Cascade!$AX:$AX,Cascade!$B:$B,$B101,Cascade!$C:$C,IF($C101="&lt;15",{"=&lt;01","01-09","10-14"},{"15-24","25-34","35-49","50+"}),Cascade!$D:$D,$D101))),"")</f>
        <v>713</v>
      </c>
      <c r="H101" s="33">
        <v>0.95</v>
      </c>
      <c r="I101" s="33">
        <v>0.95</v>
      </c>
      <c r="J101" s="33">
        <v>0.05</v>
      </c>
      <c r="K101" s="33">
        <v>0.15</v>
      </c>
      <c r="L101" s="218">
        <f t="shared" si="29"/>
        <v>709</v>
      </c>
      <c r="M101" s="218">
        <f t="shared" si="30"/>
        <v>13470</v>
      </c>
      <c r="N101" s="218">
        <f t="shared" si="31"/>
        <v>102</v>
      </c>
      <c r="O101" s="218">
        <f t="shared" si="32"/>
        <v>575</v>
      </c>
      <c r="P101" s="38">
        <v>4044</v>
      </c>
      <c r="Q101" s="38"/>
      <c r="R101" s="38">
        <v>797</v>
      </c>
      <c r="S101" s="38">
        <f t="shared" si="33"/>
        <v>4841</v>
      </c>
      <c r="T101" s="33">
        <f t="shared" si="34"/>
        <v>0.67564489112227799</v>
      </c>
      <c r="U101" s="33">
        <v>0</v>
      </c>
      <c r="V101" s="33">
        <v>0.75</v>
      </c>
      <c r="W101" s="218">
        <f t="shared" si="35"/>
        <v>0</v>
      </c>
      <c r="X101" s="218">
        <f t="shared" si="36"/>
        <v>431</v>
      </c>
      <c r="Y101" s="33">
        <f t="shared" si="37"/>
        <v>0.9</v>
      </c>
      <c r="Z101" s="218" t="str">
        <f t="shared" si="38"/>
        <v/>
      </c>
      <c r="AA101" s="218">
        <f t="shared" si="39"/>
        <v>388</v>
      </c>
      <c r="AB101" s="33" t="str">
        <f t="shared" si="40"/>
        <v/>
      </c>
      <c r="AC101" s="33">
        <f t="shared" si="41"/>
        <v>-0.51317440401505643</v>
      </c>
    </row>
    <row r="102" spans="1:29" x14ac:dyDescent="0.2">
      <c r="A102" t="str">
        <f>INDEX(Prioritization!$D:$D,MATCH($B102,Prioritization!$A:$A,0))</f>
        <v>INVALID</v>
      </c>
      <c r="B102" t="s">
        <v>322</v>
      </c>
      <c r="C102" t="s">
        <v>968</v>
      </c>
      <c r="D102" t="s">
        <v>48</v>
      </c>
      <c r="E102" t="str">
        <f t="shared" si="28"/>
        <v>Nsanje District [rpw540fmNUz]|15+|Male</v>
      </c>
      <c r="F102" s="229" cm="1">
        <f t="array" ref="F102">IFERROR(1/(1/SUM(SUMIFS(Cascade!$O:$O,Cascade!$B:$B,$B102,Cascade!$C:$C,IF($C102="&lt;15",{"=&lt;01","01-09","10-14"},{"15-24","25-34","35-49","50+"}),Cascade!$D:$D,$D102))),"")</f>
        <v>7436.0000000000009</v>
      </c>
      <c r="G102" s="38" cm="1">
        <f t="array" ref="G102">IFERROR(1/(1/SUM(SUMIFS(Cascade!$AX:$AX,Cascade!$B:$B,$B102,Cascade!$C:$C,IF($C102="&lt;15",{"=&lt;01","01-09","10-14"},{"15-24","25-34","35-49","50+"}),Cascade!$D:$D,$D102))),"")</f>
        <v>177</v>
      </c>
      <c r="H102" s="33">
        <v>0.95</v>
      </c>
      <c r="I102" s="33">
        <v>0.95</v>
      </c>
      <c r="J102" s="33">
        <v>0.05</v>
      </c>
      <c r="K102" s="33">
        <v>0.15</v>
      </c>
      <c r="L102" s="218">
        <f t="shared" si="29"/>
        <v>353</v>
      </c>
      <c r="M102" s="218">
        <f t="shared" si="30"/>
        <v>6711</v>
      </c>
      <c r="N102" s="218">
        <f t="shared" si="31"/>
        <v>25</v>
      </c>
      <c r="O102" s="218">
        <f t="shared" si="32"/>
        <v>143</v>
      </c>
      <c r="P102" s="38">
        <v>2190</v>
      </c>
      <c r="Q102" s="38"/>
      <c r="R102" s="38">
        <v>273</v>
      </c>
      <c r="S102" s="38">
        <f t="shared" si="33"/>
        <v>2463</v>
      </c>
      <c r="T102" s="33">
        <f t="shared" si="34"/>
        <v>0.66877353415814955</v>
      </c>
      <c r="U102" s="33">
        <v>0</v>
      </c>
      <c r="V102" s="33">
        <v>0.75</v>
      </c>
      <c r="W102" s="218">
        <f t="shared" si="35"/>
        <v>0</v>
      </c>
      <c r="X102" s="218">
        <f t="shared" si="36"/>
        <v>107</v>
      </c>
      <c r="Y102" s="33">
        <f t="shared" si="37"/>
        <v>0.9</v>
      </c>
      <c r="Z102" s="218" t="str">
        <f t="shared" si="38"/>
        <v/>
      </c>
      <c r="AA102" s="218">
        <f t="shared" si="39"/>
        <v>96</v>
      </c>
      <c r="AB102" s="33" t="str">
        <f t="shared" si="40"/>
        <v/>
      </c>
      <c r="AC102" s="33">
        <f t="shared" si="41"/>
        <v>-0.64835164835164838</v>
      </c>
    </row>
    <row r="103" spans="1:29" x14ac:dyDescent="0.2">
      <c r="A103" t="str">
        <f>INDEX(Prioritization!$D:$D,MATCH($B103,Prioritization!$A:$A,0))</f>
        <v>4 - Sustained</v>
      </c>
      <c r="B103" t="s">
        <v>304</v>
      </c>
      <c r="C103" t="s">
        <v>967</v>
      </c>
      <c r="D103" t="s">
        <v>30</v>
      </c>
      <c r="E103" t="str">
        <f t="shared" si="28"/>
        <v>Ntcheu District [am530wpaGvr]|&lt;15|Female</v>
      </c>
      <c r="F103" s="229" cm="1">
        <f t="array" ref="F103">IFERROR(1/(1/SUM(SUMIFS(Cascade!$O:$O,Cascade!$B:$B,$B103,Cascade!$C:$C,IF($C103="&lt;15",{"=&lt;01","01-09","10-14"},{"15-24","25-34","35-49","50+"}),Cascade!$D:$D,$D103))),"")</f>
        <v>637</v>
      </c>
      <c r="G103" s="38" cm="1">
        <f t="array" ref="G103">IFERROR(1/(1/SUM(SUMIFS(Cascade!$AX:$AX,Cascade!$B:$B,$B103,Cascade!$C:$C,IF($C103="&lt;15",{"=&lt;01","01-09","10-14"},{"15-24","25-34","35-49","50+"}),Cascade!$D:$D,$D103))),"")</f>
        <v>41</v>
      </c>
      <c r="H103" s="33">
        <v>0.95</v>
      </c>
      <c r="I103" s="33">
        <v>0.95</v>
      </c>
      <c r="J103" s="33">
        <v>0.05</v>
      </c>
      <c r="K103" s="33">
        <v>0.15</v>
      </c>
      <c r="L103" s="218">
        <f t="shared" si="29"/>
        <v>30</v>
      </c>
      <c r="M103" s="218">
        <f t="shared" si="30"/>
        <v>575</v>
      </c>
      <c r="N103" s="218">
        <f t="shared" si="31"/>
        <v>6</v>
      </c>
      <c r="O103" s="218">
        <f t="shared" si="32"/>
        <v>33</v>
      </c>
      <c r="P103" s="38">
        <v>50</v>
      </c>
      <c r="Q103" s="38"/>
      <c r="R103" s="38">
        <v>51</v>
      </c>
      <c r="S103" s="38">
        <f t="shared" si="33"/>
        <v>101</v>
      </c>
      <c r="T103" s="33">
        <f t="shared" si="34"/>
        <v>0.84144427001569855</v>
      </c>
      <c r="U103" s="33">
        <v>0</v>
      </c>
      <c r="V103" s="33">
        <v>0.75</v>
      </c>
      <c r="W103" s="218">
        <f t="shared" si="35"/>
        <v>0</v>
      </c>
      <c r="X103" s="218">
        <f t="shared" si="36"/>
        <v>25</v>
      </c>
      <c r="Y103" s="33">
        <f t="shared" si="37"/>
        <v>0.9</v>
      </c>
      <c r="Z103" s="218" t="str">
        <f t="shared" si="38"/>
        <v/>
      </c>
      <c r="AA103" s="218">
        <f t="shared" si="39"/>
        <v>23</v>
      </c>
      <c r="AB103" s="33" t="str">
        <f t="shared" si="40"/>
        <v/>
      </c>
      <c r="AC103" s="33">
        <f t="shared" si="41"/>
        <v>-0.5490196078431373</v>
      </c>
    </row>
    <row r="104" spans="1:29" x14ac:dyDescent="0.2">
      <c r="A104" t="str">
        <f>INDEX(Prioritization!$D:$D,MATCH($B104,Prioritization!$A:$A,0))</f>
        <v>4 - Sustained</v>
      </c>
      <c r="B104" t="s">
        <v>304</v>
      </c>
      <c r="C104" t="s">
        <v>967</v>
      </c>
      <c r="D104" t="s">
        <v>48</v>
      </c>
      <c r="E104" t="str">
        <f t="shared" si="28"/>
        <v>Ntcheu District [am530wpaGvr]|&lt;15|Male</v>
      </c>
      <c r="F104" s="229" cm="1">
        <f t="array" ref="F104">IFERROR(1/(1/SUM(SUMIFS(Cascade!$O:$O,Cascade!$B:$B,$B104,Cascade!$C:$C,IF($C104="&lt;15",{"=&lt;01","01-09","10-14"},{"15-24","25-34","35-49","50+"}),Cascade!$D:$D,$D104))),"")</f>
        <v>648</v>
      </c>
      <c r="G104" s="38" cm="1">
        <f t="array" ref="G104">IFERROR(1/(1/SUM(SUMIFS(Cascade!$AX:$AX,Cascade!$B:$B,$B104,Cascade!$C:$C,IF($C104="&lt;15",{"=&lt;01","01-09","10-14"},{"15-24","25-34","35-49","50+"}),Cascade!$D:$D,$D104))),"")</f>
        <v>13</v>
      </c>
      <c r="H104" s="33">
        <v>0.95</v>
      </c>
      <c r="I104" s="33">
        <v>0.95</v>
      </c>
      <c r="J104" s="33">
        <v>0.05</v>
      </c>
      <c r="K104" s="33">
        <v>0.15</v>
      </c>
      <c r="L104" s="218">
        <f t="shared" si="29"/>
        <v>31</v>
      </c>
      <c r="M104" s="218">
        <f t="shared" si="30"/>
        <v>585</v>
      </c>
      <c r="N104" s="218">
        <f t="shared" si="31"/>
        <v>2</v>
      </c>
      <c r="O104" s="218">
        <f t="shared" si="32"/>
        <v>10</v>
      </c>
      <c r="P104" s="38">
        <v>27</v>
      </c>
      <c r="Q104" s="38"/>
      <c r="R104" s="38">
        <v>50</v>
      </c>
      <c r="S104" s="38">
        <f t="shared" si="33"/>
        <v>77</v>
      </c>
      <c r="T104" s="33">
        <f t="shared" si="34"/>
        <v>0.88117283950617287</v>
      </c>
      <c r="U104" s="33">
        <v>0</v>
      </c>
      <c r="V104" s="33">
        <v>0.75</v>
      </c>
      <c r="W104" s="218">
        <f t="shared" si="35"/>
        <v>0</v>
      </c>
      <c r="X104" s="218">
        <f t="shared" si="36"/>
        <v>8</v>
      </c>
      <c r="Y104" s="33">
        <f t="shared" si="37"/>
        <v>0.9</v>
      </c>
      <c r="Z104" s="218" t="str">
        <f t="shared" si="38"/>
        <v/>
      </c>
      <c r="AA104" s="218">
        <f t="shared" si="39"/>
        <v>7</v>
      </c>
      <c r="AB104" s="33" t="str">
        <f t="shared" si="40"/>
        <v/>
      </c>
      <c r="AC104" s="33">
        <f t="shared" si="41"/>
        <v>-0.86</v>
      </c>
    </row>
    <row r="105" spans="1:29" x14ac:dyDescent="0.2">
      <c r="A105" t="str">
        <f>INDEX(Prioritization!$D:$D,MATCH($B105,Prioritization!$A:$A,0))</f>
        <v>4 - Sustained</v>
      </c>
      <c r="B105" t="s">
        <v>304</v>
      </c>
      <c r="C105" t="s">
        <v>968</v>
      </c>
      <c r="D105" t="s">
        <v>30</v>
      </c>
      <c r="E105" t="str">
        <f t="shared" si="28"/>
        <v>Ntcheu District [am530wpaGvr]|15+|Female</v>
      </c>
      <c r="F105" s="229" cm="1">
        <f t="array" ref="F105">IFERROR(1/(1/SUM(SUMIFS(Cascade!$O:$O,Cascade!$B:$B,$B105,Cascade!$C:$C,IF($C105="&lt;15",{"=&lt;01","01-09","10-14"},{"15-24","25-34","35-49","50+"}),Cascade!$D:$D,$D105))),"")</f>
        <v>20480</v>
      </c>
      <c r="G105" s="38" cm="1">
        <f t="array" ref="G105">IFERROR(1/(1/SUM(SUMIFS(Cascade!$AX:$AX,Cascade!$B:$B,$B105,Cascade!$C:$C,IF($C105="&lt;15",{"=&lt;01","01-09","10-14"},{"15-24","25-34","35-49","50+"}),Cascade!$D:$D,$D105))),"")</f>
        <v>1068</v>
      </c>
      <c r="H105" s="33">
        <v>0.95</v>
      </c>
      <c r="I105" s="33">
        <v>0.95</v>
      </c>
      <c r="J105" s="33">
        <v>0.05</v>
      </c>
      <c r="K105" s="33">
        <v>0.15</v>
      </c>
      <c r="L105" s="218">
        <f t="shared" si="29"/>
        <v>973</v>
      </c>
      <c r="M105" s="218">
        <f t="shared" si="30"/>
        <v>18483</v>
      </c>
      <c r="N105" s="218">
        <f t="shared" si="31"/>
        <v>152</v>
      </c>
      <c r="O105" s="218">
        <f t="shared" si="32"/>
        <v>863</v>
      </c>
      <c r="P105" s="38">
        <v>2036</v>
      </c>
      <c r="Q105" s="38"/>
      <c r="R105" s="38">
        <v>805</v>
      </c>
      <c r="S105" s="38">
        <f t="shared" si="33"/>
        <v>2841</v>
      </c>
      <c r="T105" s="33">
        <f t="shared" si="34"/>
        <v>0.86127929687500004</v>
      </c>
      <c r="U105" s="33">
        <v>0</v>
      </c>
      <c r="V105" s="33">
        <v>0.75</v>
      </c>
      <c r="W105" s="218">
        <f t="shared" si="35"/>
        <v>0</v>
      </c>
      <c r="X105" s="218">
        <f t="shared" si="36"/>
        <v>647</v>
      </c>
      <c r="Y105" s="33">
        <f t="shared" si="37"/>
        <v>0.9</v>
      </c>
      <c r="Z105" s="218" t="str">
        <f t="shared" si="38"/>
        <v/>
      </c>
      <c r="AA105" s="218">
        <f t="shared" si="39"/>
        <v>582</v>
      </c>
      <c r="AB105" s="33" t="str">
        <f t="shared" si="40"/>
        <v/>
      </c>
      <c r="AC105" s="33">
        <f t="shared" si="41"/>
        <v>-0.27701863354037265</v>
      </c>
    </row>
    <row r="106" spans="1:29" x14ac:dyDescent="0.2">
      <c r="A106" t="str">
        <f>INDEX(Prioritization!$D:$D,MATCH($B106,Prioritization!$A:$A,0))</f>
        <v>4 - Sustained</v>
      </c>
      <c r="B106" t="s">
        <v>304</v>
      </c>
      <c r="C106" t="s">
        <v>968</v>
      </c>
      <c r="D106" t="s">
        <v>48</v>
      </c>
      <c r="E106" t="str">
        <f t="shared" si="28"/>
        <v>Ntcheu District [am530wpaGvr]|15+|Male</v>
      </c>
      <c r="F106" s="229" cm="1">
        <f t="array" ref="F106">IFERROR(1/(1/SUM(SUMIFS(Cascade!$O:$O,Cascade!$B:$B,$B106,Cascade!$C:$C,IF($C106="&lt;15",{"=&lt;01","01-09","10-14"},{"15-24","25-34","35-49","50+"}),Cascade!$D:$D,$D106))),"")</f>
        <v>10570</v>
      </c>
      <c r="G106" s="38" cm="1">
        <f t="array" ref="G106">IFERROR(1/(1/SUM(SUMIFS(Cascade!$AX:$AX,Cascade!$B:$B,$B106,Cascade!$C:$C,IF($C106="&lt;15",{"=&lt;01","01-09","10-14"},{"15-24","25-34","35-49","50+"}),Cascade!$D:$D,$D106))),"")</f>
        <v>574</v>
      </c>
      <c r="H106" s="33">
        <v>0.95</v>
      </c>
      <c r="I106" s="33">
        <v>0.95</v>
      </c>
      <c r="J106" s="33">
        <v>0.05</v>
      </c>
      <c r="K106" s="33">
        <v>0.15</v>
      </c>
      <c r="L106" s="218">
        <f t="shared" si="29"/>
        <v>502</v>
      </c>
      <c r="M106" s="218">
        <f t="shared" si="30"/>
        <v>9540</v>
      </c>
      <c r="N106" s="218">
        <f t="shared" si="31"/>
        <v>82</v>
      </c>
      <c r="O106" s="218">
        <f t="shared" si="32"/>
        <v>463</v>
      </c>
      <c r="P106" s="38">
        <v>1603</v>
      </c>
      <c r="Q106" s="38"/>
      <c r="R106" s="38">
        <v>361</v>
      </c>
      <c r="S106" s="38">
        <f t="shared" si="33"/>
        <v>1964.0000000000002</v>
      </c>
      <c r="T106" s="33">
        <f t="shared" si="34"/>
        <v>0.81419110690633867</v>
      </c>
      <c r="U106" s="33">
        <v>0</v>
      </c>
      <c r="V106" s="33">
        <v>0.75</v>
      </c>
      <c r="W106" s="218">
        <f t="shared" si="35"/>
        <v>0</v>
      </c>
      <c r="X106" s="218">
        <f t="shared" si="36"/>
        <v>347</v>
      </c>
      <c r="Y106" s="33">
        <f t="shared" si="37"/>
        <v>0.9</v>
      </c>
      <c r="Z106" s="218" t="str">
        <f t="shared" si="38"/>
        <v/>
      </c>
      <c r="AA106" s="218">
        <f t="shared" si="39"/>
        <v>312</v>
      </c>
      <c r="AB106" s="33" t="str">
        <f t="shared" si="40"/>
        <v/>
      </c>
      <c r="AC106" s="33">
        <f t="shared" si="41"/>
        <v>-0.13573407202216067</v>
      </c>
    </row>
    <row r="107" spans="1:29" x14ac:dyDescent="0.2">
      <c r="A107" t="str">
        <f>INDEX(Prioritization!$D:$D,MATCH($B107,Prioritization!$A:$A,0))</f>
        <v>4 - Sustained</v>
      </c>
      <c r="B107" t="s">
        <v>305</v>
      </c>
      <c r="C107" t="s">
        <v>967</v>
      </c>
      <c r="D107" t="s">
        <v>30</v>
      </c>
      <c r="E107" t="str">
        <f t="shared" si="28"/>
        <v>Ntchisi District [fiRkU6gEjLz]|&lt;15|Female</v>
      </c>
      <c r="F107" s="229" cm="1">
        <f t="array" ref="F107">IFERROR(1/(1/SUM(SUMIFS(Cascade!$O:$O,Cascade!$B:$B,$B107,Cascade!$C:$C,IF($C107="&lt;15",{"=&lt;01","01-09","10-14"},{"15-24","25-34","35-49","50+"}),Cascade!$D:$D,$D107))),"")</f>
        <v>104</v>
      </c>
      <c r="G107" s="38" cm="1">
        <f t="array" ref="G107">IFERROR(1/(1/SUM(SUMIFS(Cascade!$AX:$AX,Cascade!$B:$B,$B107,Cascade!$C:$C,IF($C107="&lt;15",{"=&lt;01","01-09","10-14"},{"15-24","25-34","35-49","50+"}),Cascade!$D:$D,$D107))),"")</f>
        <v>15</v>
      </c>
      <c r="H107" s="33">
        <v>0.95</v>
      </c>
      <c r="I107" s="33">
        <v>0.95</v>
      </c>
      <c r="J107" s="33">
        <v>0.05</v>
      </c>
      <c r="K107" s="33">
        <v>0.15</v>
      </c>
      <c r="L107" s="218">
        <f t="shared" si="29"/>
        <v>5</v>
      </c>
      <c r="M107" s="218">
        <f t="shared" si="30"/>
        <v>94</v>
      </c>
      <c r="N107" s="218">
        <f t="shared" si="31"/>
        <v>2</v>
      </c>
      <c r="O107" s="218">
        <f t="shared" si="32"/>
        <v>12</v>
      </c>
      <c r="P107" s="38">
        <v>4</v>
      </c>
      <c r="Q107" s="38"/>
      <c r="R107" s="38">
        <v>6</v>
      </c>
      <c r="S107" s="38">
        <f t="shared" si="33"/>
        <v>10</v>
      </c>
      <c r="T107" s="33">
        <f t="shared" si="34"/>
        <v>0.90384615384615385</v>
      </c>
      <c r="U107" s="33">
        <v>0</v>
      </c>
      <c r="V107" s="33">
        <v>0.75</v>
      </c>
      <c r="W107" s="218">
        <f t="shared" si="35"/>
        <v>0</v>
      </c>
      <c r="X107" s="218">
        <f t="shared" si="36"/>
        <v>9</v>
      </c>
      <c r="Y107" s="33">
        <f t="shared" si="37"/>
        <v>0.9</v>
      </c>
      <c r="Z107" s="218" t="str">
        <f t="shared" si="38"/>
        <v/>
      </c>
      <c r="AA107" s="218">
        <f t="shared" si="39"/>
        <v>8</v>
      </c>
      <c r="AB107" s="33" t="str">
        <f t="shared" si="40"/>
        <v/>
      </c>
      <c r="AC107" s="33">
        <f t="shared" si="41"/>
        <v>0.33333333333333331</v>
      </c>
    </row>
    <row r="108" spans="1:29" x14ac:dyDescent="0.2">
      <c r="A108" t="str">
        <f>INDEX(Prioritization!$D:$D,MATCH($B108,Prioritization!$A:$A,0))</f>
        <v>4 - Sustained</v>
      </c>
      <c r="B108" t="s">
        <v>305</v>
      </c>
      <c r="C108" t="s">
        <v>967</v>
      </c>
      <c r="D108" t="s">
        <v>48</v>
      </c>
      <c r="E108" t="str">
        <f t="shared" si="28"/>
        <v>Ntchisi District [fiRkU6gEjLz]|&lt;15|Male</v>
      </c>
      <c r="F108" s="229" cm="1">
        <f t="array" ref="F108">IFERROR(1/(1/SUM(SUMIFS(Cascade!$O:$O,Cascade!$B:$B,$B108,Cascade!$C:$C,IF($C108="&lt;15",{"=&lt;01","01-09","10-14"},{"15-24","25-34","35-49","50+"}),Cascade!$D:$D,$D108))),"")</f>
        <v>96</v>
      </c>
      <c r="G108" s="38" cm="1">
        <f t="array" ref="G108">IFERROR(1/(1/SUM(SUMIFS(Cascade!$AX:$AX,Cascade!$B:$B,$B108,Cascade!$C:$C,IF($C108="&lt;15",{"=&lt;01","01-09","10-14"},{"15-24","25-34","35-49","50+"}),Cascade!$D:$D,$D108))),"")</f>
        <v>4</v>
      </c>
      <c r="H108" s="33">
        <v>0.95</v>
      </c>
      <c r="I108" s="33">
        <v>0.95</v>
      </c>
      <c r="J108" s="33">
        <v>0.05</v>
      </c>
      <c r="K108" s="33">
        <v>0.15</v>
      </c>
      <c r="L108" s="218">
        <f t="shared" si="29"/>
        <v>5</v>
      </c>
      <c r="M108" s="218">
        <f t="shared" si="30"/>
        <v>86</v>
      </c>
      <c r="N108" s="218">
        <f t="shared" si="31"/>
        <v>1</v>
      </c>
      <c r="O108" s="218">
        <f t="shared" si="32"/>
        <v>3</v>
      </c>
      <c r="P108" s="38">
        <v>6</v>
      </c>
      <c r="Q108" s="38"/>
      <c r="R108" s="38">
        <v>7</v>
      </c>
      <c r="S108" s="38">
        <f t="shared" si="33"/>
        <v>13</v>
      </c>
      <c r="T108" s="33">
        <f t="shared" si="34"/>
        <v>0.86458333333333337</v>
      </c>
      <c r="U108" s="33">
        <v>0</v>
      </c>
      <c r="V108" s="33">
        <v>0.75</v>
      </c>
      <c r="W108" s="218">
        <f t="shared" si="35"/>
        <v>0</v>
      </c>
      <c r="X108" s="218">
        <f t="shared" si="36"/>
        <v>2</v>
      </c>
      <c r="Y108" s="33">
        <f t="shared" si="37"/>
        <v>0.9</v>
      </c>
      <c r="Z108" s="218" t="str">
        <f t="shared" si="38"/>
        <v/>
      </c>
      <c r="AA108" s="218">
        <f t="shared" si="39"/>
        <v>2</v>
      </c>
      <c r="AB108" s="33" t="str">
        <f t="shared" si="40"/>
        <v/>
      </c>
      <c r="AC108" s="33">
        <f t="shared" si="41"/>
        <v>-0.7142857142857143</v>
      </c>
    </row>
    <row r="109" spans="1:29" x14ac:dyDescent="0.2">
      <c r="A109" t="str">
        <f>INDEX(Prioritization!$D:$D,MATCH($B109,Prioritization!$A:$A,0))</f>
        <v>4 - Sustained</v>
      </c>
      <c r="B109" t="s">
        <v>305</v>
      </c>
      <c r="C109" t="s">
        <v>968</v>
      </c>
      <c r="D109" t="s">
        <v>30</v>
      </c>
      <c r="E109" t="str">
        <f t="shared" si="28"/>
        <v>Ntchisi District [fiRkU6gEjLz]|15+|Female</v>
      </c>
      <c r="F109" s="229" cm="1">
        <f t="array" ref="F109">IFERROR(1/(1/SUM(SUMIFS(Cascade!$O:$O,Cascade!$B:$B,$B109,Cascade!$C:$C,IF($C109="&lt;15",{"=&lt;01","01-09","10-14"},{"15-24","25-34","35-49","50+"}),Cascade!$D:$D,$D109))),"")</f>
        <v>2880</v>
      </c>
      <c r="G109" s="38" cm="1">
        <f t="array" ref="G109">IFERROR(1/(1/SUM(SUMIFS(Cascade!$AX:$AX,Cascade!$B:$B,$B109,Cascade!$C:$C,IF($C109="&lt;15",{"=&lt;01","01-09","10-14"},{"15-24","25-34","35-49","50+"}),Cascade!$D:$D,$D109))),"")</f>
        <v>143</v>
      </c>
      <c r="H109" s="33">
        <v>0.95</v>
      </c>
      <c r="I109" s="33">
        <v>0.95</v>
      </c>
      <c r="J109" s="33">
        <v>0.05</v>
      </c>
      <c r="K109" s="33">
        <v>0.15</v>
      </c>
      <c r="L109" s="218">
        <f t="shared" si="29"/>
        <v>137</v>
      </c>
      <c r="M109" s="218">
        <f t="shared" si="30"/>
        <v>2599</v>
      </c>
      <c r="N109" s="218">
        <f t="shared" si="31"/>
        <v>20</v>
      </c>
      <c r="O109" s="218">
        <f t="shared" si="32"/>
        <v>116</v>
      </c>
      <c r="P109" s="38">
        <v>476</v>
      </c>
      <c r="Q109" s="38"/>
      <c r="R109" s="38">
        <v>150</v>
      </c>
      <c r="S109" s="38">
        <f t="shared" si="33"/>
        <v>626</v>
      </c>
      <c r="T109" s="33">
        <f t="shared" si="34"/>
        <v>0.78263888888888888</v>
      </c>
      <c r="U109" s="33">
        <v>0</v>
      </c>
      <c r="V109" s="33">
        <v>0.75</v>
      </c>
      <c r="W109" s="218">
        <f t="shared" si="35"/>
        <v>0</v>
      </c>
      <c r="X109" s="218">
        <f t="shared" si="36"/>
        <v>87</v>
      </c>
      <c r="Y109" s="33">
        <f t="shared" si="37"/>
        <v>0.9</v>
      </c>
      <c r="Z109" s="218" t="str">
        <f t="shared" si="38"/>
        <v/>
      </c>
      <c r="AA109" s="218">
        <f t="shared" si="39"/>
        <v>78</v>
      </c>
      <c r="AB109" s="33" t="str">
        <f t="shared" si="40"/>
        <v/>
      </c>
      <c r="AC109" s="33">
        <f t="shared" si="41"/>
        <v>-0.48</v>
      </c>
    </row>
    <row r="110" spans="1:29" x14ac:dyDescent="0.2">
      <c r="A110" t="str">
        <f>INDEX(Prioritization!$D:$D,MATCH($B110,Prioritization!$A:$A,0))</f>
        <v>4 - Sustained</v>
      </c>
      <c r="B110" t="s">
        <v>305</v>
      </c>
      <c r="C110" t="s">
        <v>968</v>
      </c>
      <c r="D110" t="s">
        <v>48</v>
      </c>
      <c r="E110" t="str">
        <f t="shared" si="28"/>
        <v>Ntchisi District [fiRkU6gEjLz]|15+|Male</v>
      </c>
      <c r="F110" s="229" cm="1">
        <f t="array" ref="F110">IFERROR(1/(1/SUM(SUMIFS(Cascade!$O:$O,Cascade!$B:$B,$B110,Cascade!$C:$C,IF($C110="&lt;15",{"=&lt;01","01-09","10-14"},{"15-24","25-34","35-49","50+"}),Cascade!$D:$D,$D110))),"")</f>
        <v>1749.9999999999998</v>
      </c>
      <c r="G110" s="38" cm="1">
        <f t="array" ref="G110">IFERROR(1/(1/SUM(SUMIFS(Cascade!$AX:$AX,Cascade!$B:$B,$B110,Cascade!$C:$C,IF($C110="&lt;15",{"=&lt;01","01-09","10-14"},{"15-24","25-34","35-49","50+"}),Cascade!$D:$D,$D110))),"")</f>
        <v>62</v>
      </c>
      <c r="H110" s="33">
        <v>0.95</v>
      </c>
      <c r="I110" s="33">
        <v>0.95</v>
      </c>
      <c r="J110" s="33">
        <v>0.05</v>
      </c>
      <c r="K110" s="33">
        <v>0.15</v>
      </c>
      <c r="L110" s="218">
        <f t="shared" si="29"/>
        <v>83</v>
      </c>
      <c r="M110" s="218">
        <f t="shared" si="30"/>
        <v>1580</v>
      </c>
      <c r="N110" s="218">
        <f t="shared" si="31"/>
        <v>9</v>
      </c>
      <c r="O110" s="218">
        <f t="shared" si="32"/>
        <v>50</v>
      </c>
      <c r="P110" s="38">
        <v>368</v>
      </c>
      <c r="Q110" s="38"/>
      <c r="R110" s="38">
        <v>38</v>
      </c>
      <c r="S110" s="38">
        <f t="shared" si="33"/>
        <v>406</v>
      </c>
      <c r="T110" s="33">
        <f t="shared" si="34"/>
        <v>0.76800000000000002</v>
      </c>
      <c r="U110" s="33">
        <v>0</v>
      </c>
      <c r="V110" s="33">
        <v>0.75</v>
      </c>
      <c r="W110" s="218">
        <f t="shared" si="35"/>
        <v>0</v>
      </c>
      <c r="X110" s="218">
        <f t="shared" si="36"/>
        <v>38</v>
      </c>
      <c r="Y110" s="33">
        <f t="shared" si="37"/>
        <v>0.9</v>
      </c>
      <c r="Z110" s="218" t="str">
        <f t="shared" si="38"/>
        <v/>
      </c>
      <c r="AA110" s="218">
        <f t="shared" si="39"/>
        <v>34</v>
      </c>
      <c r="AB110" s="33" t="str">
        <f t="shared" si="40"/>
        <v/>
      </c>
      <c r="AC110" s="33">
        <f t="shared" si="41"/>
        <v>-0.10526315789473684</v>
      </c>
    </row>
    <row r="111" spans="1:29" x14ac:dyDescent="0.2">
      <c r="A111" t="str">
        <f>INDEX(Prioritization!$D:$D,MATCH($B111,Prioritization!$A:$A,0))</f>
        <v>INVALID</v>
      </c>
      <c r="B111" t="s">
        <v>323</v>
      </c>
      <c r="C111" t="s">
        <v>967</v>
      </c>
      <c r="D111" t="s">
        <v>30</v>
      </c>
      <c r="E111" t="str">
        <f t="shared" ref="E111:E130" si="42">B111&amp;"|"&amp;C111&amp;"|"&amp;D111</f>
        <v>Phalombe District [AZyWpGzhcaA]|&lt;15|Female</v>
      </c>
      <c r="F111" s="229" cm="1">
        <f t="array" ref="F111">IFERROR(1/(1/SUM(SUMIFS(Cascade!$O:$O,Cascade!$B:$B,$B111,Cascade!$C:$C,IF($C111="&lt;15",{"=&lt;01","01-09","10-14"},{"15-24","25-34","35-49","50+"}),Cascade!$D:$D,$D111))),"")</f>
        <v>859</v>
      </c>
      <c r="G111" s="38" cm="1">
        <f t="array" ref="G111">IFERROR(1/(1/SUM(SUMIFS(Cascade!$AX:$AX,Cascade!$B:$B,$B111,Cascade!$C:$C,IF($C111="&lt;15",{"=&lt;01","01-09","10-14"},{"15-24","25-34","35-49","50+"}),Cascade!$D:$D,$D111))),"")</f>
        <v>72</v>
      </c>
      <c r="H111" s="33">
        <v>0.95</v>
      </c>
      <c r="I111" s="33">
        <v>0.95</v>
      </c>
      <c r="J111" s="33">
        <v>0.05</v>
      </c>
      <c r="K111" s="33">
        <v>0.15</v>
      </c>
      <c r="L111" s="218">
        <f t="shared" ref="L111:L130" si="43">IF(SUM($F111)=0,"",ROUND($F111*$H111*$J111,0))</f>
        <v>41</v>
      </c>
      <c r="M111" s="218">
        <f t="shared" ref="M111:M130" si="44">IF(SUM($F111)=0,"",ROUND($F111*$H111,0)-$L111)</f>
        <v>775</v>
      </c>
      <c r="N111" s="218">
        <f t="shared" ref="N111:N130" si="45">IF(SUM($G111)=0,"",ROUND($G111*$I111*$K111,0))</f>
        <v>10</v>
      </c>
      <c r="O111" s="218">
        <f t="shared" ref="O111:O130" si="46">IF(SUM($G111)=0,"",ROUND($G111*$I111,0)-$N111)</f>
        <v>58</v>
      </c>
      <c r="P111" s="38">
        <v>31</v>
      </c>
      <c r="Q111" s="38"/>
      <c r="R111" s="38">
        <v>20</v>
      </c>
      <c r="S111" s="38">
        <f t="shared" ref="S111:S130" si="47">IFERROR(1/(1/SUM($P111,$R111,$Q111)),"")</f>
        <v>51</v>
      </c>
      <c r="T111" s="33">
        <f t="shared" ref="T111:T130" si="48">IF(SUM($F111)=0,"",MAX(($F111-$S111)/$F111,0))</f>
        <v>0.94062863795110596</v>
      </c>
      <c r="U111" s="33">
        <v>0</v>
      </c>
      <c r="V111" s="33">
        <v>0.75</v>
      </c>
      <c r="W111" s="218">
        <f t="shared" ref="W111:W130" si="49">IF(SUM($M111)=0,"",IF($T111="","ENTER ELIGIBILITY RATE",IF($U111 = "","ENTER INITIATION RATE",ROUND($M111*$T111*$U111,0))))</f>
        <v>0</v>
      </c>
      <c r="X111" s="218">
        <f t="shared" ref="X111:X130" si="50">IF(SUM($O111)=0,"",IF($V111="","ENTER INITIATION RATE",ROUND($O111*$V111,0)))</f>
        <v>44</v>
      </c>
      <c r="Y111" s="33">
        <f t="shared" ref="Y111:Y130" si="51">0.9</f>
        <v>0.9</v>
      </c>
      <c r="Z111" s="218" t="str">
        <f t="shared" ref="Z111:Z130" si="52">IF(SUM($W111)=0,"",IF($Y111="","ENTER COMPLETION RATE",ROUND($W111*$Y111,0)))</f>
        <v/>
      </c>
      <c r="AA111" s="218">
        <f t="shared" ref="AA111:AA130" si="53">IF(SUM($X111)=0,"",IF($X111="","ENTER COMPLETION RATE",ROUND($X111*$Y111,0)))</f>
        <v>40</v>
      </c>
      <c r="AB111" s="33" t="str">
        <f t="shared" ref="AB111:AB130" si="54">IF(SUM($Q111)=0,"",(SUM($Z111)-$Q111)/$Q111)</f>
        <v/>
      </c>
      <c r="AC111" s="33">
        <f t="shared" ref="AC111:AC130" si="55">IF(SUM($R111)=0,"",(SUM($AA111)-$R111)/$R111)</f>
        <v>1</v>
      </c>
    </row>
    <row r="112" spans="1:29" x14ac:dyDescent="0.2">
      <c r="A112" t="str">
        <f>INDEX(Prioritization!$D:$D,MATCH($B112,Prioritization!$A:$A,0))</f>
        <v>INVALID</v>
      </c>
      <c r="B112" t="s">
        <v>323</v>
      </c>
      <c r="C112" t="s">
        <v>967</v>
      </c>
      <c r="D112" t="s">
        <v>48</v>
      </c>
      <c r="E112" t="str">
        <f t="shared" si="42"/>
        <v>Phalombe District [AZyWpGzhcaA]|&lt;15|Male</v>
      </c>
      <c r="F112" s="229" cm="1">
        <f t="array" ref="F112">IFERROR(1/(1/SUM(SUMIFS(Cascade!$O:$O,Cascade!$B:$B,$B112,Cascade!$C:$C,IF($C112="&lt;15",{"=&lt;01","01-09","10-14"},{"15-24","25-34","35-49","50+"}),Cascade!$D:$D,$D112))),"")</f>
        <v>846</v>
      </c>
      <c r="G112" s="38" cm="1">
        <f t="array" ref="G112">IFERROR(1/(1/SUM(SUMIFS(Cascade!$AX:$AX,Cascade!$B:$B,$B112,Cascade!$C:$C,IF($C112="&lt;15",{"=&lt;01","01-09","10-14"},{"15-24","25-34","35-49","50+"}),Cascade!$D:$D,$D112))),"")</f>
        <v>91</v>
      </c>
      <c r="H112" s="33">
        <v>0.95</v>
      </c>
      <c r="I112" s="33">
        <v>0.95</v>
      </c>
      <c r="J112" s="33">
        <v>0.05</v>
      </c>
      <c r="K112" s="33">
        <v>0.15</v>
      </c>
      <c r="L112" s="218">
        <f t="shared" si="43"/>
        <v>40</v>
      </c>
      <c r="M112" s="218">
        <f t="shared" si="44"/>
        <v>764</v>
      </c>
      <c r="N112" s="218">
        <f t="shared" si="45"/>
        <v>13</v>
      </c>
      <c r="O112" s="218">
        <f t="shared" si="46"/>
        <v>73</v>
      </c>
      <c r="P112" s="38">
        <v>26</v>
      </c>
      <c r="Q112" s="38"/>
      <c r="R112" s="38">
        <v>77</v>
      </c>
      <c r="S112" s="38">
        <f t="shared" si="47"/>
        <v>103.00000000000001</v>
      </c>
      <c r="T112" s="33">
        <f t="shared" si="48"/>
        <v>0.87825059101654845</v>
      </c>
      <c r="U112" s="33">
        <v>0</v>
      </c>
      <c r="V112" s="33">
        <v>0.75</v>
      </c>
      <c r="W112" s="218">
        <f t="shared" si="49"/>
        <v>0</v>
      </c>
      <c r="X112" s="218">
        <f t="shared" si="50"/>
        <v>55</v>
      </c>
      <c r="Y112" s="33">
        <f t="shared" si="51"/>
        <v>0.9</v>
      </c>
      <c r="Z112" s="218" t="str">
        <f t="shared" si="52"/>
        <v/>
      </c>
      <c r="AA112" s="218">
        <f t="shared" si="53"/>
        <v>50</v>
      </c>
      <c r="AB112" s="33" t="str">
        <f t="shared" si="54"/>
        <v/>
      </c>
      <c r="AC112" s="33">
        <f t="shared" si="55"/>
        <v>-0.35064935064935066</v>
      </c>
    </row>
    <row r="113" spans="1:29" x14ac:dyDescent="0.2">
      <c r="A113" t="str">
        <f>INDEX(Prioritization!$D:$D,MATCH($B113,Prioritization!$A:$A,0))</f>
        <v>INVALID</v>
      </c>
      <c r="B113" t="s">
        <v>323</v>
      </c>
      <c r="C113" t="s">
        <v>968</v>
      </c>
      <c r="D113" t="s">
        <v>30</v>
      </c>
      <c r="E113" t="str">
        <f t="shared" si="42"/>
        <v>Phalombe District [AZyWpGzhcaA]|15+|Female</v>
      </c>
      <c r="F113" s="229" cm="1">
        <f t="array" ref="F113">IFERROR(1/(1/SUM(SUMIFS(Cascade!$O:$O,Cascade!$B:$B,$B113,Cascade!$C:$C,IF($C113="&lt;15",{"=&lt;01","01-09","10-14"},{"15-24","25-34","35-49","50+"}),Cascade!$D:$D,$D113))),"")</f>
        <v>20311</v>
      </c>
      <c r="G113" s="38" cm="1">
        <f t="array" ref="G113">IFERROR(1/(1/SUM(SUMIFS(Cascade!$AX:$AX,Cascade!$B:$B,$B113,Cascade!$C:$C,IF($C113="&lt;15",{"=&lt;01","01-09","10-14"},{"15-24","25-34","35-49","50+"}),Cascade!$D:$D,$D113))),"")</f>
        <v>1181</v>
      </c>
      <c r="H113" s="33">
        <v>0.95</v>
      </c>
      <c r="I113" s="33">
        <v>0.95</v>
      </c>
      <c r="J113" s="33">
        <v>0.05</v>
      </c>
      <c r="K113" s="33">
        <v>0.15</v>
      </c>
      <c r="L113" s="218">
        <f t="shared" si="43"/>
        <v>965</v>
      </c>
      <c r="M113" s="218">
        <f t="shared" si="44"/>
        <v>18330</v>
      </c>
      <c r="N113" s="218">
        <f t="shared" si="45"/>
        <v>168</v>
      </c>
      <c r="O113" s="218">
        <f t="shared" si="46"/>
        <v>954</v>
      </c>
      <c r="P113" s="38">
        <v>932</v>
      </c>
      <c r="Q113" s="38"/>
      <c r="R113" s="38">
        <v>816</v>
      </c>
      <c r="S113" s="38">
        <f t="shared" si="47"/>
        <v>1748</v>
      </c>
      <c r="T113" s="33">
        <f t="shared" si="48"/>
        <v>0.91393826005612722</v>
      </c>
      <c r="U113" s="33">
        <v>0</v>
      </c>
      <c r="V113" s="33">
        <v>0.75</v>
      </c>
      <c r="W113" s="218">
        <f t="shared" si="49"/>
        <v>0</v>
      </c>
      <c r="X113" s="218">
        <f t="shared" si="50"/>
        <v>716</v>
      </c>
      <c r="Y113" s="33">
        <f t="shared" si="51"/>
        <v>0.9</v>
      </c>
      <c r="Z113" s="218" t="str">
        <f t="shared" si="52"/>
        <v/>
      </c>
      <c r="AA113" s="218">
        <f t="shared" si="53"/>
        <v>644</v>
      </c>
      <c r="AB113" s="33" t="str">
        <f t="shared" si="54"/>
        <v/>
      </c>
      <c r="AC113" s="33">
        <f t="shared" si="55"/>
        <v>-0.2107843137254902</v>
      </c>
    </row>
    <row r="114" spans="1:29" x14ac:dyDescent="0.2">
      <c r="A114" t="str">
        <f>INDEX(Prioritization!$D:$D,MATCH($B114,Prioritization!$A:$A,0))</f>
        <v>INVALID</v>
      </c>
      <c r="B114" t="s">
        <v>323</v>
      </c>
      <c r="C114" t="s">
        <v>968</v>
      </c>
      <c r="D114" t="s">
        <v>48</v>
      </c>
      <c r="E114" t="str">
        <f t="shared" si="42"/>
        <v>Phalombe District [AZyWpGzhcaA]|15+|Male</v>
      </c>
      <c r="F114" s="229" cm="1">
        <f t="array" ref="F114">IFERROR(1/(1/SUM(SUMIFS(Cascade!$O:$O,Cascade!$B:$B,$B114,Cascade!$C:$C,IF($C114="&lt;15",{"=&lt;01","01-09","10-14"},{"15-24","25-34","35-49","50+"}),Cascade!$D:$D,$D114))),"")</f>
        <v>10273</v>
      </c>
      <c r="G114" s="38" cm="1">
        <f t="array" ref="G114">IFERROR(1/(1/SUM(SUMIFS(Cascade!$AX:$AX,Cascade!$B:$B,$B114,Cascade!$C:$C,IF($C114="&lt;15",{"=&lt;01","01-09","10-14"},{"15-24","25-34","35-49","50+"}),Cascade!$D:$D,$D114))),"")</f>
        <v>1015.0000000000001</v>
      </c>
      <c r="H114" s="33">
        <v>0.95</v>
      </c>
      <c r="I114" s="33">
        <v>0.95</v>
      </c>
      <c r="J114" s="33">
        <v>0.05</v>
      </c>
      <c r="K114" s="33">
        <v>0.15</v>
      </c>
      <c r="L114" s="218">
        <f t="shared" si="43"/>
        <v>488</v>
      </c>
      <c r="M114" s="218">
        <f t="shared" si="44"/>
        <v>9271</v>
      </c>
      <c r="N114" s="218">
        <f t="shared" si="45"/>
        <v>145</v>
      </c>
      <c r="O114" s="218">
        <f t="shared" si="46"/>
        <v>819</v>
      </c>
      <c r="P114" s="38">
        <v>857</v>
      </c>
      <c r="Q114" s="38"/>
      <c r="R114" s="38">
        <v>400</v>
      </c>
      <c r="S114" s="38">
        <f t="shared" si="47"/>
        <v>1257</v>
      </c>
      <c r="T114" s="33">
        <f t="shared" si="48"/>
        <v>0.87764041662610726</v>
      </c>
      <c r="U114" s="33">
        <v>0</v>
      </c>
      <c r="V114" s="33">
        <v>0.75</v>
      </c>
      <c r="W114" s="218">
        <f t="shared" si="49"/>
        <v>0</v>
      </c>
      <c r="X114" s="218">
        <f t="shared" si="50"/>
        <v>614</v>
      </c>
      <c r="Y114" s="33">
        <f t="shared" si="51"/>
        <v>0.9</v>
      </c>
      <c r="Z114" s="218" t="str">
        <f t="shared" si="52"/>
        <v/>
      </c>
      <c r="AA114" s="218">
        <f t="shared" si="53"/>
        <v>553</v>
      </c>
      <c r="AB114" s="33" t="str">
        <f t="shared" si="54"/>
        <v/>
      </c>
      <c r="AC114" s="33">
        <f t="shared" si="55"/>
        <v>0.38250000000000001</v>
      </c>
    </row>
    <row r="115" spans="1:29" x14ac:dyDescent="0.2">
      <c r="A115" t="str">
        <f>INDEX(Prioritization!$D:$D,MATCH($B115,Prioritization!$A:$A,0))</f>
        <v>4 - Sustained</v>
      </c>
      <c r="B115" t="s">
        <v>312</v>
      </c>
      <c r="C115" t="s">
        <v>967</v>
      </c>
      <c r="D115" t="s">
        <v>30</v>
      </c>
      <c r="E115" t="str">
        <f t="shared" si="42"/>
        <v>Rumphi District [lPTyjLi4w3d]|&lt;15|Female</v>
      </c>
      <c r="F115" s="229" cm="1">
        <f t="array" ref="F115">IFERROR(1/(1/SUM(SUMIFS(Cascade!$O:$O,Cascade!$B:$B,$B115,Cascade!$C:$C,IF($C115="&lt;15",{"=&lt;01","01-09","10-14"},{"15-24","25-34","35-49","50+"}),Cascade!$D:$D,$D115))),"")</f>
        <v>165</v>
      </c>
      <c r="G115" s="38" cm="1">
        <f t="array" ref="G115">IFERROR(1/(1/SUM(SUMIFS(Cascade!$AX:$AX,Cascade!$B:$B,$B115,Cascade!$C:$C,IF($C115="&lt;15",{"=&lt;01","01-09","10-14"},{"15-24","25-34","35-49","50+"}),Cascade!$D:$D,$D115))),"")</f>
        <v>13</v>
      </c>
      <c r="H115" s="33">
        <v>0.95</v>
      </c>
      <c r="I115" s="33">
        <v>0.95</v>
      </c>
      <c r="J115" s="33">
        <v>0.05</v>
      </c>
      <c r="K115" s="33">
        <v>0.15</v>
      </c>
      <c r="L115" s="218">
        <f t="shared" si="43"/>
        <v>8</v>
      </c>
      <c r="M115" s="218">
        <f t="shared" si="44"/>
        <v>149</v>
      </c>
      <c r="N115" s="218">
        <f t="shared" si="45"/>
        <v>2</v>
      </c>
      <c r="O115" s="218">
        <f t="shared" si="46"/>
        <v>10</v>
      </c>
      <c r="P115" s="38">
        <v>41</v>
      </c>
      <c r="Q115" s="38"/>
      <c r="R115" s="38">
        <v>13</v>
      </c>
      <c r="S115" s="38">
        <f t="shared" si="47"/>
        <v>54</v>
      </c>
      <c r="T115" s="33">
        <f t="shared" si="48"/>
        <v>0.67272727272727273</v>
      </c>
      <c r="U115" s="33">
        <v>0</v>
      </c>
      <c r="V115" s="33">
        <v>0.75</v>
      </c>
      <c r="W115" s="218">
        <f t="shared" si="49"/>
        <v>0</v>
      </c>
      <c r="X115" s="218">
        <f t="shared" si="50"/>
        <v>8</v>
      </c>
      <c r="Y115" s="33">
        <f t="shared" si="51"/>
        <v>0.9</v>
      </c>
      <c r="Z115" s="218" t="str">
        <f t="shared" si="52"/>
        <v/>
      </c>
      <c r="AA115" s="218">
        <f t="shared" si="53"/>
        <v>7</v>
      </c>
      <c r="AB115" s="33" t="str">
        <f t="shared" si="54"/>
        <v/>
      </c>
      <c r="AC115" s="33">
        <f t="shared" si="55"/>
        <v>-0.46153846153846156</v>
      </c>
    </row>
    <row r="116" spans="1:29" x14ac:dyDescent="0.2">
      <c r="A116" t="str">
        <f>INDEX(Prioritization!$D:$D,MATCH($B116,Prioritization!$A:$A,0))</f>
        <v>4 - Sustained</v>
      </c>
      <c r="B116" t="s">
        <v>312</v>
      </c>
      <c r="C116" t="s">
        <v>967</v>
      </c>
      <c r="D116" t="s">
        <v>48</v>
      </c>
      <c r="E116" t="str">
        <f t="shared" si="42"/>
        <v>Rumphi District [lPTyjLi4w3d]|&lt;15|Male</v>
      </c>
      <c r="F116" s="229" cm="1">
        <f t="array" ref="F116">IFERROR(1/(1/SUM(SUMIFS(Cascade!$O:$O,Cascade!$B:$B,$B116,Cascade!$C:$C,IF($C116="&lt;15",{"=&lt;01","01-09","10-14"},{"15-24","25-34","35-49","50+"}),Cascade!$D:$D,$D116))),"")</f>
        <v>166</v>
      </c>
      <c r="G116" s="38" cm="1">
        <f t="array" ref="G116">IFERROR(1/(1/SUM(SUMIFS(Cascade!$AX:$AX,Cascade!$B:$B,$B116,Cascade!$C:$C,IF($C116="&lt;15",{"=&lt;01","01-09","10-14"},{"15-24","25-34","35-49","50+"}),Cascade!$D:$D,$D116))),"")</f>
        <v>6</v>
      </c>
      <c r="H116" s="33">
        <v>0.95</v>
      </c>
      <c r="I116" s="33">
        <v>0.95</v>
      </c>
      <c r="J116" s="33">
        <v>0.05</v>
      </c>
      <c r="K116" s="33">
        <v>0.15</v>
      </c>
      <c r="L116" s="218">
        <f t="shared" si="43"/>
        <v>8</v>
      </c>
      <c r="M116" s="218">
        <f t="shared" si="44"/>
        <v>150</v>
      </c>
      <c r="N116" s="218">
        <f t="shared" si="45"/>
        <v>1</v>
      </c>
      <c r="O116" s="218">
        <f t="shared" si="46"/>
        <v>5</v>
      </c>
      <c r="P116" s="38">
        <v>36</v>
      </c>
      <c r="Q116" s="38"/>
      <c r="R116" s="38">
        <v>13</v>
      </c>
      <c r="S116" s="38">
        <f t="shared" si="47"/>
        <v>49.000000000000007</v>
      </c>
      <c r="T116" s="33">
        <f t="shared" si="48"/>
        <v>0.70481927710843373</v>
      </c>
      <c r="U116" s="33">
        <v>0</v>
      </c>
      <c r="V116" s="33">
        <v>0.75</v>
      </c>
      <c r="W116" s="218">
        <f t="shared" si="49"/>
        <v>0</v>
      </c>
      <c r="X116" s="218">
        <f t="shared" si="50"/>
        <v>4</v>
      </c>
      <c r="Y116" s="33">
        <f t="shared" si="51"/>
        <v>0.9</v>
      </c>
      <c r="Z116" s="218" t="str">
        <f t="shared" si="52"/>
        <v/>
      </c>
      <c r="AA116" s="218">
        <f t="shared" si="53"/>
        <v>4</v>
      </c>
      <c r="AB116" s="33" t="str">
        <f t="shared" si="54"/>
        <v/>
      </c>
      <c r="AC116" s="33">
        <f t="shared" si="55"/>
        <v>-0.69230769230769229</v>
      </c>
    </row>
    <row r="117" spans="1:29" x14ac:dyDescent="0.2">
      <c r="A117" t="str">
        <f>INDEX(Prioritization!$D:$D,MATCH($B117,Prioritization!$A:$A,0))</f>
        <v>4 - Sustained</v>
      </c>
      <c r="B117" t="s">
        <v>312</v>
      </c>
      <c r="C117" t="s">
        <v>968</v>
      </c>
      <c r="D117" t="s">
        <v>30</v>
      </c>
      <c r="E117" t="str">
        <f t="shared" si="42"/>
        <v>Rumphi District [lPTyjLi4w3d]|15+|Female</v>
      </c>
      <c r="F117" s="229" cm="1">
        <f t="array" ref="F117">IFERROR(1/(1/SUM(SUMIFS(Cascade!$O:$O,Cascade!$B:$B,$B117,Cascade!$C:$C,IF($C117="&lt;15",{"=&lt;01","01-09","10-14"},{"15-24","25-34","35-49","50+"}),Cascade!$D:$D,$D117))),"")</f>
        <v>5075</v>
      </c>
      <c r="G117" s="38" cm="1">
        <f t="array" ref="G117">IFERROR(1/(1/SUM(SUMIFS(Cascade!$AX:$AX,Cascade!$B:$B,$B117,Cascade!$C:$C,IF($C117="&lt;15",{"=&lt;01","01-09","10-14"},{"15-24","25-34","35-49","50+"}),Cascade!$D:$D,$D117))),"")</f>
        <v>226.99999999999997</v>
      </c>
      <c r="H117" s="33">
        <v>0.95</v>
      </c>
      <c r="I117" s="33">
        <v>0.95</v>
      </c>
      <c r="J117" s="33">
        <v>0.05</v>
      </c>
      <c r="K117" s="33">
        <v>0.15</v>
      </c>
      <c r="L117" s="218">
        <f t="shared" si="43"/>
        <v>241</v>
      </c>
      <c r="M117" s="218">
        <f t="shared" si="44"/>
        <v>4580</v>
      </c>
      <c r="N117" s="218">
        <f t="shared" si="45"/>
        <v>32</v>
      </c>
      <c r="O117" s="218">
        <f t="shared" si="46"/>
        <v>184</v>
      </c>
      <c r="P117" s="38">
        <v>1280</v>
      </c>
      <c r="Q117" s="38"/>
      <c r="R117" s="38">
        <v>264</v>
      </c>
      <c r="S117" s="38">
        <f t="shared" si="47"/>
        <v>1544</v>
      </c>
      <c r="T117" s="33">
        <f t="shared" si="48"/>
        <v>0.69576354679802954</v>
      </c>
      <c r="U117" s="33">
        <v>0</v>
      </c>
      <c r="V117" s="33">
        <v>0.75</v>
      </c>
      <c r="W117" s="218">
        <f t="shared" si="49"/>
        <v>0</v>
      </c>
      <c r="X117" s="218">
        <f t="shared" si="50"/>
        <v>138</v>
      </c>
      <c r="Y117" s="33">
        <f t="shared" si="51"/>
        <v>0.9</v>
      </c>
      <c r="Z117" s="218" t="str">
        <f t="shared" si="52"/>
        <v/>
      </c>
      <c r="AA117" s="218">
        <f t="shared" si="53"/>
        <v>124</v>
      </c>
      <c r="AB117" s="33" t="str">
        <f t="shared" si="54"/>
        <v/>
      </c>
      <c r="AC117" s="33">
        <f t="shared" si="55"/>
        <v>-0.53030303030303028</v>
      </c>
    </row>
    <row r="118" spans="1:29" x14ac:dyDescent="0.2">
      <c r="A118" t="str">
        <f>INDEX(Prioritization!$D:$D,MATCH($B118,Prioritization!$A:$A,0))</f>
        <v>4 - Sustained</v>
      </c>
      <c r="B118" t="s">
        <v>312</v>
      </c>
      <c r="C118" t="s">
        <v>968</v>
      </c>
      <c r="D118" t="s">
        <v>48</v>
      </c>
      <c r="E118" t="str">
        <f t="shared" si="42"/>
        <v>Rumphi District [lPTyjLi4w3d]|15+|Male</v>
      </c>
      <c r="F118" s="229" cm="1">
        <f t="array" ref="F118">IFERROR(1/(1/SUM(SUMIFS(Cascade!$O:$O,Cascade!$B:$B,$B118,Cascade!$C:$C,IF($C118="&lt;15",{"=&lt;01","01-09","10-14"},{"15-24","25-34","35-49","50+"}),Cascade!$D:$D,$D118))),"")</f>
        <v>3385.0000000000005</v>
      </c>
      <c r="G118" s="38" cm="1">
        <f t="array" ref="G118">IFERROR(1/(1/SUM(SUMIFS(Cascade!$AX:$AX,Cascade!$B:$B,$B118,Cascade!$C:$C,IF($C118="&lt;15",{"=&lt;01","01-09","10-14"},{"15-24","25-34","35-49","50+"}),Cascade!$D:$D,$D118))),"")</f>
        <v>140</v>
      </c>
      <c r="H118" s="33">
        <v>0.95</v>
      </c>
      <c r="I118" s="33">
        <v>0.95</v>
      </c>
      <c r="J118" s="33">
        <v>0.05</v>
      </c>
      <c r="K118" s="33">
        <v>0.15</v>
      </c>
      <c r="L118" s="218">
        <f t="shared" si="43"/>
        <v>161</v>
      </c>
      <c r="M118" s="218">
        <f t="shared" si="44"/>
        <v>3055</v>
      </c>
      <c r="N118" s="218">
        <f t="shared" si="45"/>
        <v>20</v>
      </c>
      <c r="O118" s="218">
        <f t="shared" si="46"/>
        <v>113</v>
      </c>
      <c r="P118" s="38">
        <v>904</v>
      </c>
      <c r="Q118" s="38"/>
      <c r="R118" s="38">
        <v>98</v>
      </c>
      <c r="S118" s="38">
        <f t="shared" si="47"/>
        <v>1002.0000000000001</v>
      </c>
      <c r="T118" s="33">
        <f t="shared" si="48"/>
        <v>0.70398818316100442</v>
      </c>
      <c r="U118" s="33">
        <v>0</v>
      </c>
      <c r="V118" s="33">
        <v>0.75</v>
      </c>
      <c r="W118" s="218">
        <f t="shared" si="49"/>
        <v>0</v>
      </c>
      <c r="X118" s="218">
        <f t="shared" si="50"/>
        <v>85</v>
      </c>
      <c r="Y118" s="33">
        <f t="shared" si="51"/>
        <v>0.9</v>
      </c>
      <c r="Z118" s="218" t="str">
        <f t="shared" si="52"/>
        <v/>
      </c>
      <c r="AA118" s="218">
        <f t="shared" si="53"/>
        <v>77</v>
      </c>
      <c r="AB118" s="33" t="str">
        <f t="shared" si="54"/>
        <v/>
      </c>
      <c r="AC118" s="33">
        <f t="shared" si="55"/>
        <v>-0.21428571428571427</v>
      </c>
    </row>
    <row r="119" spans="1:29" x14ac:dyDescent="0.2">
      <c r="A119" t="str">
        <f>INDEX(Prioritization!$D:$D,MATCH($B119,Prioritization!$A:$A,0))</f>
        <v>4 - Sustained</v>
      </c>
      <c r="B119" t="s">
        <v>306</v>
      </c>
      <c r="C119" t="s">
        <v>967</v>
      </c>
      <c r="D119" t="s">
        <v>30</v>
      </c>
      <c r="E119" t="str">
        <f t="shared" si="42"/>
        <v>Salima District [msW2zpIN7up]|&lt;15|Female</v>
      </c>
      <c r="F119" s="229" cm="1">
        <f t="array" ref="F119">IFERROR(1/(1/SUM(SUMIFS(Cascade!$O:$O,Cascade!$B:$B,$B119,Cascade!$C:$C,IF($C119="&lt;15",{"=&lt;01","01-09","10-14"},{"15-24","25-34","35-49","50+"}),Cascade!$D:$D,$D119))),"")</f>
        <v>413</v>
      </c>
      <c r="G119" s="38" cm="1">
        <f t="array" ref="G119">IFERROR(1/(1/SUM(SUMIFS(Cascade!$AX:$AX,Cascade!$B:$B,$B119,Cascade!$C:$C,IF($C119="&lt;15",{"=&lt;01","01-09","10-14"},{"15-24","25-34","35-49","50+"}),Cascade!$D:$D,$D119))),"")</f>
        <v>36</v>
      </c>
      <c r="H119" s="33">
        <v>0.95</v>
      </c>
      <c r="I119" s="33">
        <v>0.95</v>
      </c>
      <c r="J119" s="33">
        <v>0.05</v>
      </c>
      <c r="K119" s="33">
        <v>0.15</v>
      </c>
      <c r="L119" s="218">
        <f t="shared" si="43"/>
        <v>20</v>
      </c>
      <c r="M119" s="218">
        <f t="shared" si="44"/>
        <v>372</v>
      </c>
      <c r="N119" s="218">
        <f t="shared" si="45"/>
        <v>5</v>
      </c>
      <c r="O119" s="218">
        <f t="shared" si="46"/>
        <v>29</v>
      </c>
      <c r="P119" s="38">
        <v>20</v>
      </c>
      <c r="Q119" s="38"/>
      <c r="R119" s="38">
        <v>32</v>
      </c>
      <c r="S119" s="38">
        <f t="shared" si="47"/>
        <v>52</v>
      </c>
      <c r="T119" s="33">
        <f t="shared" si="48"/>
        <v>0.87409200968523004</v>
      </c>
      <c r="U119" s="33">
        <v>0</v>
      </c>
      <c r="V119" s="33">
        <v>0.75</v>
      </c>
      <c r="W119" s="218">
        <f t="shared" si="49"/>
        <v>0</v>
      </c>
      <c r="X119" s="218">
        <f t="shared" si="50"/>
        <v>22</v>
      </c>
      <c r="Y119" s="33">
        <f t="shared" si="51"/>
        <v>0.9</v>
      </c>
      <c r="Z119" s="218" t="str">
        <f t="shared" si="52"/>
        <v/>
      </c>
      <c r="AA119" s="218">
        <f t="shared" si="53"/>
        <v>20</v>
      </c>
      <c r="AB119" s="33" t="str">
        <f t="shared" si="54"/>
        <v/>
      </c>
      <c r="AC119" s="33">
        <f t="shared" si="55"/>
        <v>-0.375</v>
      </c>
    </row>
    <row r="120" spans="1:29" x14ac:dyDescent="0.2">
      <c r="A120" t="str">
        <f>INDEX(Prioritization!$D:$D,MATCH($B120,Prioritization!$A:$A,0))</f>
        <v>4 - Sustained</v>
      </c>
      <c r="B120" t="s">
        <v>306</v>
      </c>
      <c r="C120" t="s">
        <v>967</v>
      </c>
      <c r="D120" t="s">
        <v>48</v>
      </c>
      <c r="E120" t="str">
        <f t="shared" si="42"/>
        <v>Salima District [msW2zpIN7up]|&lt;15|Male</v>
      </c>
      <c r="F120" s="229" cm="1">
        <f t="array" ref="F120">IFERROR(1/(1/SUM(SUMIFS(Cascade!$O:$O,Cascade!$B:$B,$B120,Cascade!$C:$C,IF($C120="&lt;15",{"=&lt;01","01-09","10-14"},{"15-24","25-34","35-49","50+"}),Cascade!$D:$D,$D120))),"")</f>
        <v>392.99999999999994</v>
      </c>
      <c r="G120" s="38" cm="1">
        <f t="array" ref="G120">IFERROR(1/(1/SUM(SUMIFS(Cascade!$AX:$AX,Cascade!$B:$B,$B120,Cascade!$C:$C,IF($C120="&lt;15",{"=&lt;01","01-09","10-14"},{"15-24","25-34","35-49","50+"}),Cascade!$D:$D,$D120))),"")</f>
        <v>17</v>
      </c>
      <c r="H120" s="33">
        <v>0.95</v>
      </c>
      <c r="I120" s="33">
        <v>0.95</v>
      </c>
      <c r="J120" s="33">
        <v>0.05</v>
      </c>
      <c r="K120" s="33">
        <v>0.15</v>
      </c>
      <c r="L120" s="218">
        <f t="shared" si="43"/>
        <v>19</v>
      </c>
      <c r="M120" s="218">
        <f t="shared" si="44"/>
        <v>354</v>
      </c>
      <c r="N120" s="218">
        <f t="shared" si="45"/>
        <v>2</v>
      </c>
      <c r="O120" s="218">
        <f t="shared" si="46"/>
        <v>14</v>
      </c>
      <c r="P120" s="38">
        <v>25</v>
      </c>
      <c r="Q120" s="38"/>
      <c r="R120" s="38">
        <v>32</v>
      </c>
      <c r="S120" s="38">
        <f t="shared" si="47"/>
        <v>57</v>
      </c>
      <c r="T120" s="33">
        <f t="shared" si="48"/>
        <v>0.85496183206106868</v>
      </c>
      <c r="U120" s="33">
        <v>0</v>
      </c>
      <c r="V120" s="33">
        <v>0.75</v>
      </c>
      <c r="W120" s="218">
        <f t="shared" si="49"/>
        <v>0</v>
      </c>
      <c r="X120" s="218">
        <f t="shared" si="50"/>
        <v>11</v>
      </c>
      <c r="Y120" s="33">
        <f t="shared" si="51"/>
        <v>0.9</v>
      </c>
      <c r="Z120" s="218" t="str">
        <f t="shared" si="52"/>
        <v/>
      </c>
      <c r="AA120" s="218">
        <f t="shared" si="53"/>
        <v>10</v>
      </c>
      <c r="AB120" s="33" t="str">
        <f t="shared" si="54"/>
        <v/>
      </c>
      <c r="AC120" s="33">
        <f t="shared" si="55"/>
        <v>-0.6875</v>
      </c>
    </row>
    <row r="121" spans="1:29" x14ac:dyDescent="0.2">
      <c r="A121" t="str">
        <f>INDEX(Prioritization!$D:$D,MATCH($B121,Prioritization!$A:$A,0))</f>
        <v>4 - Sustained</v>
      </c>
      <c r="B121" t="s">
        <v>306</v>
      </c>
      <c r="C121" t="s">
        <v>968</v>
      </c>
      <c r="D121" t="s">
        <v>30</v>
      </c>
      <c r="E121" t="str">
        <f t="shared" si="42"/>
        <v>Salima District [msW2zpIN7up]|15+|Female</v>
      </c>
      <c r="F121" s="229" cm="1">
        <f t="array" ref="F121">IFERROR(1/(1/SUM(SUMIFS(Cascade!$O:$O,Cascade!$B:$B,$B121,Cascade!$C:$C,IF($C121="&lt;15",{"=&lt;01","01-09","10-14"},{"15-24","25-34","35-49","50+"}),Cascade!$D:$D,$D121))),"")</f>
        <v>11203</v>
      </c>
      <c r="G121" s="38" cm="1">
        <f t="array" ref="G121">IFERROR(1/(1/SUM(SUMIFS(Cascade!$AX:$AX,Cascade!$B:$B,$B121,Cascade!$C:$C,IF($C121="&lt;15",{"=&lt;01","01-09","10-14"},{"15-24","25-34","35-49","50+"}),Cascade!$D:$D,$D121))),"")</f>
        <v>802</v>
      </c>
      <c r="H121" s="33">
        <v>0.95</v>
      </c>
      <c r="I121" s="33">
        <v>0.95</v>
      </c>
      <c r="J121" s="33">
        <v>0.05</v>
      </c>
      <c r="K121" s="33">
        <v>0.15</v>
      </c>
      <c r="L121" s="218">
        <f t="shared" si="43"/>
        <v>532</v>
      </c>
      <c r="M121" s="218">
        <f t="shared" si="44"/>
        <v>10111</v>
      </c>
      <c r="N121" s="218">
        <f t="shared" si="45"/>
        <v>114</v>
      </c>
      <c r="O121" s="218">
        <f t="shared" si="46"/>
        <v>648</v>
      </c>
      <c r="P121" s="38">
        <v>1345</v>
      </c>
      <c r="Q121" s="38"/>
      <c r="R121" s="38">
        <v>542</v>
      </c>
      <c r="S121" s="38">
        <f t="shared" si="47"/>
        <v>1886.9999999999998</v>
      </c>
      <c r="T121" s="33">
        <f t="shared" si="48"/>
        <v>0.83156297420333836</v>
      </c>
      <c r="U121" s="33">
        <v>0</v>
      </c>
      <c r="V121" s="33">
        <v>0.75</v>
      </c>
      <c r="W121" s="218">
        <f t="shared" si="49"/>
        <v>0</v>
      </c>
      <c r="X121" s="218">
        <f t="shared" si="50"/>
        <v>486</v>
      </c>
      <c r="Y121" s="33">
        <f t="shared" si="51"/>
        <v>0.9</v>
      </c>
      <c r="Z121" s="218" t="str">
        <f t="shared" si="52"/>
        <v/>
      </c>
      <c r="AA121" s="218">
        <f t="shared" si="53"/>
        <v>437</v>
      </c>
      <c r="AB121" s="33" t="str">
        <f t="shared" si="54"/>
        <v/>
      </c>
      <c r="AC121" s="33">
        <f t="shared" si="55"/>
        <v>-0.19372693726937271</v>
      </c>
    </row>
    <row r="122" spans="1:29" x14ac:dyDescent="0.2">
      <c r="A122" t="str">
        <f>INDEX(Prioritization!$D:$D,MATCH($B122,Prioritization!$A:$A,0))</f>
        <v>4 - Sustained</v>
      </c>
      <c r="B122" t="s">
        <v>306</v>
      </c>
      <c r="C122" t="s">
        <v>968</v>
      </c>
      <c r="D122" t="s">
        <v>48</v>
      </c>
      <c r="E122" t="str">
        <f t="shared" si="42"/>
        <v>Salima District [msW2zpIN7up]|15+|Male</v>
      </c>
      <c r="F122" s="229" cm="1">
        <f t="array" ref="F122">IFERROR(1/(1/SUM(SUMIFS(Cascade!$O:$O,Cascade!$B:$B,$B122,Cascade!$C:$C,IF($C122="&lt;15",{"=&lt;01","01-09","10-14"},{"15-24","25-34","35-49","50+"}),Cascade!$D:$D,$D122))),"")</f>
        <v>5755</v>
      </c>
      <c r="G122" s="38" cm="1">
        <f t="array" ref="G122">IFERROR(1/(1/SUM(SUMIFS(Cascade!$AX:$AX,Cascade!$B:$B,$B122,Cascade!$C:$C,IF($C122="&lt;15",{"=&lt;01","01-09","10-14"},{"15-24","25-34","35-49","50+"}),Cascade!$D:$D,$D122))),"")</f>
        <v>167</v>
      </c>
      <c r="H122" s="33">
        <v>0.95</v>
      </c>
      <c r="I122" s="33">
        <v>0.95</v>
      </c>
      <c r="J122" s="33">
        <v>0.05</v>
      </c>
      <c r="K122" s="33">
        <v>0.15</v>
      </c>
      <c r="L122" s="218">
        <f t="shared" si="43"/>
        <v>273</v>
      </c>
      <c r="M122" s="218">
        <f t="shared" si="44"/>
        <v>5194</v>
      </c>
      <c r="N122" s="218">
        <f t="shared" si="45"/>
        <v>24</v>
      </c>
      <c r="O122" s="218">
        <f t="shared" si="46"/>
        <v>135</v>
      </c>
      <c r="P122" s="38">
        <v>813</v>
      </c>
      <c r="Q122" s="38"/>
      <c r="R122" s="38">
        <v>200</v>
      </c>
      <c r="S122" s="38">
        <f t="shared" si="47"/>
        <v>1013.0000000000001</v>
      </c>
      <c r="T122" s="33">
        <f t="shared" si="48"/>
        <v>0.82397914856646393</v>
      </c>
      <c r="U122" s="33">
        <v>0</v>
      </c>
      <c r="V122" s="33">
        <v>0.75</v>
      </c>
      <c r="W122" s="218">
        <f t="shared" si="49"/>
        <v>0</v>
      </c>
      <c r="X122" s="218">
        <f t="shared" si="50"/>
        <v>101</v>
      </c>
      <c r="Y122" s="33">
        <f t="shared" si="51"/>
        <v>0.9</v>
      </c>
      <c r="Z122" s="218" t="str">
        <f t="shared" si="52"/>
        <v/>
      </c>
      <c r="AA122" s="218">
        <f t="shared" si="53"/>
        <v>91</v>
      </c>
      <c r="AB122" s="33" t="str">
        <f t="shared" si="54"/>
        <v/>
      </c>
      <c r="AC122" s="33">
        <f t="shared" si="55"/>
        <v>-0.54500000000000004</v>
      </c>
    </row>
    <row r="123" spans="1:29" x14ac:dyDescent="0.2">
      <c r="A123" t="str">
        <f>INDEX(Prioritization!$D:$D,MATCH($B123,Prioritization!$A:$A,0))</f>
        <v>INVALID</v>
      </c>
      <c r="B123" t="s">
        <v>324</v>
      </c>
      <c r="C123" t="s">
        <v>967</v>
      </c>
      <c r="D123" t="s">
        <v>30</v>
      </c>
      <c r="E123" t="str">
        <f t="shared" si="42"/>
        <v>Thyolo District [ul0y9diGujK]|&lt;15|Female</v>
      </c>
      <c r="F123" s="229" cm="1">
        <f t="array" ref="F123">IFERROR(1/(1/SUM(SUMIFS(Cascade!$O:$O,Cascade!$B:$B,$B123,Cascade!$C:$C,IF($C123="&lt;15",{"=&lt;01","01-09","10-14"},{"15-24","25-34","35-49","50+"}),Cascade!$D:$D,$D123))),"")</f>
        <v>1046</v>
      </c>
      <c r="G123" s="38" cm="1">
        <f t="array" ref="G123">IFERROR(1/(1/SUM(SUMIFS(Cascade!$AX:$AX,Cascade!$B:$B,$B123,Cascade!$C:$C,IF($C123="&lt;15",{"=&lt;01","01-09","10-14"},{"15-24","25-34","35-49","50+"}),Cascade!$D:$D,$D123))),"")</f>
        <v>32</v>
      </c>
      <c r="H123" s="33">
        <v>0.95</v>
      </c>
      <c r="I123" s="33">
        <v>0.95</v>
      </c>
      <c r="J123" s="33">
        <v>0.05</v>
      </c>
      <c r="K123" s="33">
        <v>0.15</v>
      </c>
      <c r="L123" s="218">
        <f t="shared" si="43"/>
        <v>50</v>
      </c>
      <c r="M123" s="218">
        <f t="shared" si="44"/>
        <v>944</v>
      </c>
      <c r="N123" s="218">
        <f t="shared" si="45"/>
        <v>5</v>
      </c>
      <c r="O123" s="218">
        <f t="shared" si="46"/>
        <v>25</v>
      </c>
      <c r="P123" s="38">
        <v>605</v>
      </c>
      <c r="Q123" s="38"/>
      <c r="R123" s="38">
        <v>88</v>
      </c>
      <c r="S123" s="38">
        <f t="shared" si="47"/>
        <v>693</v>
      </c>
      <c r="T123" s="33">
        <f t="shared" si="48"/>
        <v>0.33747609942638623</v>
      </c>
      <c r="U123" s="33">
        <v>0</v>
      </c>
      <c r="V123" s="33">
        <v>0.75</v>
      </c>
      <c r="W123" s="218">
        <f t="shared" si="49"/>
        <v>0</v>
      </c>
      <c r="X123" s="218">
        <f t="shared" si="50"/>
        <v>19</v>
      </c>
      <c r="Y123" s="33">
        <f t="shared" si="51"/>
        <v>0.9</v>
      </c>
      <c r="Z123" s="218" t="str">
        <f t="shared" si="52"/>
        <v/>
      </c>
      <c r="AA123" s="218">
        <f t="shared" si="53"/>
        <v>17</v>
      </c>
      <c r="AB123" s="33" t="str">
        <f t="shared" si="54"/>
        <v/>
      </c>
      <c r="AC123" s="33">
        <f t="shared" si="55"/>
        <v>-0.80681818181818177</v>
      </c>
    </row>
    <row r="124" spans="1:29" x14ac:dyDescent="0.2">
      <c r="A124" t="str">
        <f>INDEX(Prioritization!$D:$D,MATCH($B124,Prioritization!$A:$A,0))</f>
        <v>INVALID</v>
      </c>
      <c r="B124" t="s">
        <v>324</v>
      </c>
      <c r="C124" t="s">
        <v>967</v>
      </c>
      <c r="D124" t="s">
        <v>48</v>
      </c>
      <c r="E124" t="str">
        <f t="shared" si="42"/>
        <v>Thyolo District [ul0y9diGujK]|&lt;15|Male</v>
      </c>
      <c r="F124" s="229" cm="1">
        <f t="array" ref="F124">IFERROR(1/(1/SUM(SUMIFS(Cascade!$O:$O,Cascade!$B:$B,$B124,Cascade!$C:$C,IF($C124="&lt;15",{"=&lt;01","01-09","10-14"},{"15-24","25-34","35-49","50+"}),Cascade!$D:$D,$D124))),"")</f>
        <v>1066</v>
      </c>
      <c r="G124" s="38" cm="1">
        <f t="array" ref="G124">IFERROR(1/(1/SUM(SUMIFS(Cascade!$AX:$AX,Cascade!$B:$B,$B124,Cascade!$C:$C,IF($C124="&lt;15",{"=&lt;01","01-09","10-14"},{"15-24","25-34","35-49","50+"}),Cascade!$D:$D,$D124))),"")</f>
        <v>32</v>
      </c>
      <c r="H124" s="33">
        <v>0.95</v>
      </c>
      <c r="I124" s="33">
        <v>0.95</v>
      </c>
      <c r="J124" s="33">
        <v>0.05</v>
      </c>
      <c r="K124" s="33">
        <v>0.15</v>
      </c>
      <c r="L124" s="218">
        <f t="shared" si="43"/>
        <v>51</v>
      </c>
      <c r="M124" s="218">
        <f t="shared" si="44"/>
        <v>962</v>
      </c>
      <c r="N124" s="218">
        <f t="shared" si="45"/>
        <v>5</v>
      </c>
      <c r="O124" s="218">
        <f t="shared" si="46"/>
        <v>25</v>
      </c>
      <c r="P124" s="38">
        <v>611</v>
      </c>
      <c r="Q124" s="38"/>
      <c r="R124" s="38">
        <v>93</v>
      </c>
      <c r="S124" s="38">
        <f t="shared" si="47"/>
        <v>704</v>
      </c>
      <c r="T124" s="33">
        <f t="shared" si="48"/>
        <v>0.33958724202626639</v>
      </c>
      <c r="U124" s="33">
        <v>0</v>
      </c>
      <c r="V124" s="33">
        <v>0.75</v>
      </c>
      <c r="W124" s="218">
        <f t="shared" si="49"/>
        <v>0</v>
      </c>
      <c r="X124" s="218">
        <f t="shared" si="50"/>
        <v>19</v>
      </c>
      <c r="Y124" s="33">
        <f t="shared" si="51"/>
        <v>0.9</v>
      </c>
      <c r="Z124" s="218" t="str">
        <f t="shared" si="52"/>
        <v/>
      </c>
      <c r="AA124" s="218">
        <f t="shared" si="53"/>
        <v>17</v>
      </c>
      <c r="AB124" s="33" t="str">
        <f t="shared" si="54"/>
        <v/>
      </c>
      <c r="AC124" s="33">
        <f t="shared" si="55"/>
        <v>-0.81720430107526887</v>
      </c>
    </row>
    <row r="125" spans="1:29" x14ac:dyDescent="0.2">
      <c r="A125" t="str">
        <f>INDEX(Prioritization!$D:$D,MATCH($B125,Prioritization!$A:$A,0))</f>
        <v>INVALID</v>
      </c>
      <c r="B125" t="s">
        <v>324</v>
      </c>
      <c r="C125" t="s">
        <v>968</v>
      </c>
      <c r="D125" t="s">
        <v>30</v>
      </c>
      <c r="E125" t="str">
        <f t="shared" si="42"/>
        <v>Thyolo District [ul0y9diGujK]|15+|Female</v>
      </c>
      <c r="F125" s="229" cm="1">
        <f t="array" ref="F125">IFERROR(1/(1/SUM(SUMIFS(Cascade!$O:$O,Cascade!$B:$B,$B125,Cascade!$C:$C,IF($C125="&lt;15",{"=&lt;01","01-09","10-14"},{"15-24","25-34","35-49","50+"}),Cascade!$D:$D,$D125))),"")</f>
        <v>38680</v>
      </c>
      <c r="G125" s="38" cm="1">
        <f t="array" ref="G125">IFERROR(1/(1/SUM(SUMIFS(Cascade!$AX:$AX,Cascade!$B:$B,$B125,Cascade!$C:$C,IF($C125="&lt;15",{"=&lt;01","01-09","10-14"},{"15-24","25-34","35-49","50+"}),Cascade!$D:$D,$D125))),"")</f>
        <v>1976</v>
      </c>
      <c r="H125" s="33">
        <v>0.95</v>
      </c>
      <c r="I125" s="33">
        <v>0.95</v>
      </c>
      <c r="J125" s="33">
        <v>0.05</v>
      </c>
      <c r="K125" s="33">
        <v>0.15</v>
      </c>
      <c r="L125" s="218">
        <f t="shared" si="43"/>
        <v>1837</v>
      </c>
      <c r="M125" s="218">
        <f t="shared" si="44"/>
        <v>34909</v>
      </c>
      <c r="N125" s="218">
        <f t="shared" si="45"/>
        <v>282</v>
      </c>
      <c r="O125" s="218">
        <f t="shared" si="46"/>
        <v>1595</v>
      </c>
      <c r="P125" s="38">
        <v>20910</v>
      </c>
      <c r="Q125" s="38"/>
      <c r="R125" s="38">
        <v>1233</v>
      </c>
      <c r="S125" s="38">
        <f t="shared" si="47"/>
        <v>22143</v>
      </c>
      <c r="T125" s="33">
        <f t="shared" si="48"/>
        <v>0.42753360910031024</v>
      </c>
      <c r="U125" s="33">
        <v>0</v>
      </c>
      <c r="V125" s="33">
        <v>0.75</v>
      </c>
      <c r="W125" s="218">
        <f t="shared" si="49"/>
        <v>0</v>
      </c>
      <c r="X125" s="218">
        <f t="shared" si="50"/>
        <v>1196</v>
      </c>
      <c r="Y125" s="33">
        <f t="shared" si="51"/>
        <v>0.9</v>
      </c>
      <c r="Z125" s="218" t="str">
        <f t="shared" si="52"/>
        <v/>
      </c>
      <c r="AA125" s="218">
        <f t="shared" si="53"/>
        <v>1076</v>
      </c>
      <c r="AB125" s="33" t="str">
        <f t="shared" si="54"/>
        <v/>
      </c>
      <c r="AC125" s="33">
        <f t="shared" si="55"/>
        <v>-0.12733171127331711</v>
      </c>
    </row>
    <row r="126" spans="1:29" x14ac:dyDescent="0.2">
      <c r="A126" t="str">
        <f>INDEX(Prioritization!$D:$D,MATCH($B126,Prioritization!$A:$A,0))</f>
        <v>INVALID</v>
      </c>
      <c r="B126" t="s">
        <v>324</v>
      </c>
      <c r="C126" t="s">
        <v>968</v>
      </c>
      <c r="D126" t="s">
        <v>48</v>
      </c>
      <c r="E126" t="str">
        <f t="shared" si="42"/>
        <v>Thyolo District [ul0y9diGujK]|15+|Male</v>
      </c>
      <c r="F126" s="229" cm="1">
        <f t="array" ref="F126">IFERROR(1/(1/SUM(SUMIFS(Cascade!$O:$O,Cascade!$B:$B,$B126,Cascade!$C:$C,IF($C126="&lt;15",{"=&lt;01","01-09","10-14"},{"15-24","25-34","35-49","50+"}),Cascade!$D:$D,$D126))),"")</f>
        <v>19052</v>
      </c>
      <c r="G126" s="38" cm="1">
        <f t="array" ref="G126">IFERROR(1/(1/SUM(SUMIFS(Cascade!$AX:$AX,Cascade!$B:$B,$B126,Cascade!$C:$C,IF($C126="&lt;15",{"=&lt;01","01-09","10-14"},{"15-24","25-34","35-49","50+"}),Cascade!$D:$D,$D126))),"")</f>
        <v>443.00000000000006</v>
      </c>
      <c r="H126" s="33">
        <v>0.95</v>
      </c>
      <c r="I126" s="33">
        <v>0.95</v>
      </c>
      <c r="J126" s="33">
        <v>0.05</v>
      </c>
      <c r="K126" s="33">
        <v>0.15</v>
      </c>
      <c r="L126" s="218">
        <f t="shared" si="43"/>
        <v>905</v>
      </c>
      <c r="M126" s="218">
        <f t="shared" si="44"/>
        <v>17194</v>
      </c>
      <c r="N126" s="218">
        <f t="shared" si="45"/>
        <v>63</v>
      </c>
      <c r="O126" s="218">
        <f t="shared" si="46"/>
        <v>358</v>
      </c>
      <c r="P126" s="38">
        <v>11803</v>
      </c>
      <c r="Q126" s="38"/>
      <c r="R126" s="38">
        <v>724</v>
      </c>
      <c r="S126" s="38">
        <f t="shared" si="47"/>
        <v>12527</v>
      </c>
      <c r="T126" s="33">
        <f t="shared" si="48"/>
        <v>0.34248372874238925</v>
      </c>
      <c r="U126" s="33">
        <v>0</v>
      </c>
      <c r="V126" s="33">
        <v>0.75</v>
      </c>
      <c r="W126" s="218">
        <f t="shared" si="49"/>
        <v>0</v>
      </c>
      <c r="X126" s="218">
        <f t="shared" si="50"/>
        <v>269</v>
      </c>
      <c r="Y126" s="33">
        <f t="shared" si="51"/>
        <v>0.9</v>
      </c>
      <c r="Z126" s="218" t="str">
        <f t="shared" si="52"/>
        <v/>
      </c>
      <c r="AA126" s="218">
        <f t="shared" si="53"/>
        <v>242</v>
      </c>
      <c r="AB126" s="33" t="str">
        <f t="shared" si="54"/>
        <v/>
      </c>
      <c r="AC126" s="33">
        <f t="shared" si="55"/>
        <v>-0.66574585635359118</v>
      </c>
    </row>
    <row r="127" spans="1:29" x14ac:dyDescent="0.2">
      <c r="A127" t="str">
        <f>INDEX(Prioritization!$D:$D,MATCH($B127,Prioritization!$A:$A,0))</f>
        <v>1 - Scale-up: Saturation</v>
      </c>
      <c r="B127" t="s">
        <v>325</v>
      </c>
      <c r="C127" t="s">
        <v>967</v>
      </c>
      <c r="D127" t="s">
        <v>30</v>
      </c>
      <c r="E127" t="str">
        <f t="shared" si="42"/>
        <v>Zomba District [fyEoGEPERdI]|&lt;15|Female</v>
      </c>
      <c r="F127" s="229" cm="1">
        <f t="array" ref="F127">IFERROR(1/(1/SUM(SUMIFS(Cascade!$O:$O,Cascade!$B:$B,$B127,Cascade!$C:$C,IF($C127="&lt;15",{"=&lt;01","01-09","10-14"},{"15-24","25-34","35-49","50+"}),Cascade!$D:$D,$D127))),"")</f>
        <v>1312</v>
      </c>
      <c r="G127" s="38" cm="1">
        <f t="array" ref="G127">IFERROR(1/(1/SUM(SUMIFS(Cascade!$AX:$AX,Cascade!$B:$B,$B127,Cascade!$C:$C,IF($C127="&lt;15",{"=&lt;01","01-09","10-14"},{"15-24","25-34","35-49","50+"}),Cascade!$D:$D,$D127))),"")</f>
        <v>39</v>
      </c>
      <c r="H127" s="33">
        <v>0.95</v>
      </c>
      <c r="I127" s="33">
        <v>0.95</v>
      </c>
      <c r="J127" s="33">
        <v>0.05</v>
      </c>
      <c r="K127" s="33">
        <v>0.15</v>
      </c>
      <c r="L127" s="218">
        <f t="shared" si="43"/>
        <v>62</v>
      </c>
      <c r="M127" s="218">
        <f t="shared" si="44"/>
        <v>1184</v>
      </c>
      <c r="N127" s="218">
        <f t="shared" si="45"/>
        <v>6</v>
      </c>
      <c r="O127" s="218">
        <f t="shared" si="46"/>
        <v>31</v>
      </c>
      <c r="P127" s="38">
        <v>915</v>
      </c>
      <c r="Q127" s="38"/>
      <c r="R127" s="38">
        <v>107</v>
      </c>
      <c r="S127" s="38">
        <f t="shared" si="47"/>
        <v>1022</v>
      </c>
      <c r="T127" s="33">
        <f t="shared" si="48"/>
        <v>0.22103658536585366</v>
      </c>
      <c r="U127" s="33">
        <v>0</v>
      </c>
      <c r="V127" s="33">
        <v>0.75</v>
      </c>
      <c r="W127" s="218">
        <f t="shared" si="49"/>
        <v>0</v>
      </c>
      <c r="X127" s="218">
        <f t="shared" si="50"/>
        <v>23</v>
      </c>
      <c r="Y127" s="33">
        <f t="shared" si="51"/>
        <v>0.9</v>
      </c>
      <c r="Z127" s="218" t="str">
        <f t="shared" si="52"/>
        <v/>
      </c>
      <c r="AA127" s="218">
        <f t="shared" si="53"/>
        <v>21</v>
      </c>
      <c r="AB127" s="33" t="str">
        <f t="shared" si="54"/>
        <v/>
      </c>
      <c r="AC127" s="33">
        <f t="shared" si="55"/>
        <v>-0.80373831775700932</v>
      </c>
    </row>
    <row r="128" spans="1:29" x14ac:dyDescent="0.2">
      <c r="A128" t="str">
        <f>INDEX(Prioritization!$D:$D,MATCH($B128,Prioritization!$A:$A,0))</f>
        <v>1 - Scale-up: Saturation</v>
      </c>
      <c r="B128" t="s">
        <v>325</v>
      </c>
      <c r="C128" t="s">
        <v>967</v>
      </c>
      <c r="D128" t="s">
        <v>48</v>
      </c>
      <c r="E128" t="str">
        <f t="shared" si="42"/>
        <v>Zomba District [fyEoGEPERdI]|&lt;15|Male</v>
      </c>
      <c r="F128" s="229" cm="1">
        <f t="array" ref="F128">IFERROR(1/(1/SUM(SUMIFS(Cascade!$O:$O,Cascade!$B:$B,$B128,Cascade!$C:$C,IF($C128="&lt;15",{"=&lt;01","01-09","10-14"},{"15-24","25-34","35-49","50+"}),Cascade!$D:$D,$D128))),"")</f>
        <v>1326</v>
      </c>
      <c r="G128" s="38" cm="1">
        <f t="array" ref="G128">IFERROR(1/(1/SUM(SUMIFS(Cascade!$AX:$AX,Cascade!$B:$B,$B128,Cascade!$C:$C,IF($C128="&lt;15",{"=&lt;01","01-09","10-14"},{"15-24","25-34","35-49","50+"}),Cascade!$D:$D,$D128))),"")</f>
        <v>35</v>
      </c>
      <c r="H128" s="33">
        <v>0.95</v>
      </c>
      <c r="I128" s="33">
        <v>0.95</v>
      </c>
      <c r="J128" s="33">
        <v>0.05</v>
      </c>
      <c r="K128" s="33">
        <v>0.15</v>
      </c>
      <c r="L128" s="218">
        <f t="shared" si="43"/>
        <v>63</v>
      </c>
      <c r="M128" s="218">
        <f t="shared" si="44"/>
        <v>1197</v>
      </c>
      <c r="N128" s="218">
        <f t="shared" si="45"/>
        <v>5</v>
      </c>
      <c r="O128" s="218">
        <f t="shared" si="46"/>
        <v>28</v>
      </c>
      <c r="P128" s="38">
        <v>841</v>
      </c>
      <c r="Q128" s="38"/>
      <c r="R128" s="38">
        <v>110</v>
      </c>
      <c r="S128" s="38">
        <f t="shared" si="47"/>
        <v>951</v>
      </c>
      <c r="T128" s="33">
        <f t="shared" si="48"/>
        <v>0.28280542986425339</v>
      </c>
      <c r="U128" s="33">
        <v>0</v>
      </c>
      <c r="V128" s="33">
        <v>0.75</v>
      </c>
      <c r="W128" s="218">
        <f t="shared" si="49"/>
        <v>0</v>
      </c>
      <c r="X128" s="218">
        <f t="shared" si="50"/>
        <v>21</v>
      </c>
      <c r="Y128" s="33">
        <f t="shared" si="51"/>
        <v>0.9</v>
      </c>
      <c r="Z128" s="218" t="str">
        <f t="shared" si="52"/>
        <v/>
      </c>
      <c r="AA128" s="218">
        <f t="shared" si="53"/>
        <v>19</v>
      </c>
      <c r="AB128" s="33" t="str">
        <f t="shared" si="54"/>
        <v/>
      </c>
      <c r="AC128" s="33">
        <f t="shared" si="55"/>
        <v>-0.82727272727272727</v>
      </c>
    </row>
    <row r="129" spans="1:29" x14ac:dyDescent="0.2">
      <c r="A129" t="str">
        <f>INDEX(Prioritization!$D:$D,MATCH($B129,Prioritization!$A:$A,0))</f>
        <v>1 - Scale-up: Saturation</v>
      </c>
      <c r="B129" t="s">
        <v>325</v>
      </c>
      <c r="C129" t="s">
        <v>968</v>
      </c>
      <c r="D129" t="s">
        <v>30</v>
      </c>
      <c r="E129" t="str">
        <f t="shared" si="42"/>
        <v>Zomba District [fyEoGEPERdI]|15+|Female</v>
      </c>
      <c r="F129" s="229" cm="1">
        <f t="array" ref="F129">IFERROR(1/(1/SUM(SUMIFS(Cascade!$O:$O,Cascade!$B:$B,$B129,Cascade!$C:$C,IF($C129="&lt;15",{"=&lt;01","01-09","10-14"},{"15-24","25-34","35-49","50+"}),Cascade!$D:$D,$D129))),"")</f>
        <v>42104</v>
      </c>
      <c r="G129" s="38" cm="1">
        <f t="array" ref="G129">IFERROR(1/(1/SUM(SUMIFS(Cascade!$AX:$AX,Cascade!$B:$B,$B129,Cascade!$C:$C,IF($C129="&lt;15",{"=&lt;01","01-09","10-14"},{"15-24","25-34","35-49","50+"}),Cascade!$D:$D,$D129))),"")</f>
        <v>2832</v>
      </c>
      <c r="H129" s="33">
        <v>0.95</v>
      </c>
      <c r="I129" s="33">
        <v>0.95</v>
      </c>
      <c r="J129" s="33">
        <v>0.05</v>
      </c>
      <c r="K129" s="33">
        <v>0.15</v>
      </c>
      <c r="L129" s="218">
        <f t="shared" si="43"/>
        <v>2000</v>
      </c>
      <c r="M129" s="218">
        <f t="shared" si="44"/>
        <v>37999</v>
      </c>
      <c r="N129" s="218">
        <f t="shared" si="45"/>
        <v>404</v>
      </c>
      <c r="O129" s="218">
        <f t="shared" si="46"/>
        <v>2286</v>
      </c>
      <c r="P129" s="38">
        <v>23853</v>
      </c>
      <c r="Q129" s="38"/>
      <c r="R129" s="38">
        <v>1512</v>
      </c>
      <c r="S129" s="38">
        <f t="shared" si="47"/>
        <v>25365</v>
      </c>
      <c r="T129" s="33">
        <f t="shared" si="48"/>
        <v>0.39756317689530685</v>
      </c>
      <c r="U129" s="33">
        <v>0</v>
      </c>
      <c r="V129" s="33">
        <v>0.75</v>
      </c>
      <c r="W129" s="218">
        <f t="shared" si="49"/>
        <v>0</v>
      </c>
      <c r="X129" s="218">
        <f t="shared" si="50"/>
        <v>1715</v>
      </c>
      <c r="Y129" s="33">
        <f t="shared" si="51"/>
        <v>0.9</v>
      </c>
      <c r="Z129" s="218" t="str">
        <f t="shared" si="52"/>
        <v/>
      </c>
      <c r="AA129" s="218">
        <f t="shared" si="53"/>
        <v>1544</v>
      </c>
      <c r="AB129" s="33" t="str">
        <f t="shared" si="54"/>
        <v/>
      </c>
      <c r="AC129" s="33">
        <f t="shared" si="55"/>
        <v>2.1164021164021163E-2</v>
      </c>
    </row>
    <row r="130" spans="1:29" x14ac:dyDescent="0.2">
      <c r="A130" t="str">
        <f>INDEX(Prioritization!$D:$D,MATCH($B130,Prioritization!$A:$A,0))</f>
        <v>1 - Scale-up: Saturation</v>
      </c>
      <c r="B130" t="s">
        <v>325</v>
      </c>
      <c r="C130" t="s">
        <v>968</v>
      </c>
      <c r="D130" t="s">
        <v>48</v>
      </c>
      <c r="E130" t="str">
        <f t="shared" si="42"/>
        <v>Zomba District [fyEoGEPERdI]|15+|Male</v>
      </c>
      <c r="F130" s="229" cm="1">
        <f t="array" ref="F130">IFERROR(1/(1/SUM(SUMIFS(Cascade!$O:$O,Cascade!$B:$B,$B130,Cascade!$C:$C,IF($C130="&lt;15",{"=&lt;01","01-09","10-14"},{"15-24","25-34","35-49","50+"}),Cascade!$D:$D,$D130))),"")</f>
        <v>21935</v>
      </c>
      <c r="G130" s="38" cm="1">
        <f t="array" ref="G130">IFERROR(1/(1/SUM(SUMIFS(Cascade!$AX:$AX,Cascade!$B:$B,$B130,Cascade!$C:$C,IF($C130="&lt;15",{"=&lt;01","01-09","10-14"},{"15-24","25-34","35-49","50+"}),Cascade!$D:$D,$D130))),"")</f>
        <v>1042</v>
      </c>
      <c r="H130" s="33">
        <v>0.95</v>
      </c>
      <c r="I130" s="33">
        <v>0.95</v>
      </c>
      <c r="J130" s="33">
        <v>0.05</v>
      </c>
      <c r="K130" s="33">
        <v>0.15</v>
      </c>
      <c r="L130" s="218">
        <f t="shared" si="43"/>
        <v>1042</v>
      </c>
      <c r="M130" s="218">
        <f t="shared" si="44"/>
        <v>19796</v>
      </c>
      <c r="N130" s="218">
        <f t="shared" si="45"/>
        <v>148</v>
      </c>
      <c r="O130" s="218">
        <f t="shared" si="46"/>
        <v>842</v>
      </c>
      <c r="P130" s="38">
        <v>13127</v>
      </c>
      <c r="Q130" s="38"/>
      <c r="R130" s="38">
        <v>674</v>
      </c>
      <c r="S130" s="38">
        <f t="shared" si="47"/>
        <v>13801</v>
      </c>
      <c r="T130" s="33">
        <f t="shared" si="48"/>
        <v>0.37082288579895145</v>
      </c>
      <c r="U130" s="33">
        <v>0</v>
      </c>
      <c r="V130" s="33">
        <v>0.75</v>
      </c>
      <c r="W130" s="218">
        <f t="shared" si="49"/>
        <v>0</v>
      </c>
      <c r="X130" s="218">
        <f t="shared" si="50"/>
        <v>632</v>
      </c>
      <c r="Y130" s="33">
        <f t="shared" si="51"/>
        <v>0.9</v>
      </c>
      <c r="Z130" s="218" t="str">
        <f t="shared" si="52"/>
        <v/>
      </c>
      <c r="AA130" s="218">
        <f t="shared" si="53"/>
        <v>569</v>
      </c>
      <c r="AB130" s="33" t="str">
        <f t="shared" si="54"/>
        <v/>
      </c>
      <c r="AC130" s="33">
        <f t="shared" si="55"/>
        <v>-0.15578635014836795</v>
      </c>
    </row>
  </sheetData>
  <autoFilter ref="A14:AC130" xr:uid="{00000000-0001-0000-0D00-000000000000}"/>
  <sortState xmlns:xlrd2="http://schemas.microsoft.com/office/spreadsheetml/2017/richdata2" ref="A15:AC130">
    <sortCondition ref="B15:B130"/>
    <sortCondition ref="C15:C130"/>
    <sortCondition ref="D15:D130"/>
  </sortState>
  <conditionalFormatting sqref="F1:AA1048576">
    <cfRule type="expression" dxfId="69" priority="2">
      <formula>AND(ISNUMBER(F1),F1&lt;0)</formula>
    </cfRule>
  </conditionalFormatting>
  <conditionalFormatting sqref="H1:H1048576 J1:J1048576">
    <cfRule type="expression" dxfId="68" priority="5">
      <formula>AND(SUM($F1)&gt;0,H1="",ROW(H1)&gt;14)</formula>
    </cfRule>
  </conditionalFormatting>
  <conditionalFormatting sqref="H1:K1048576 T1:V1048576 Y1:Y1048576">
    <cfRule type="expression" dxfId="67" priority="4">
      <formula>AND(ISNUMBER(H1),H1&gt;1)</formula>
    </cfRule>
  </conditionalFormatting>
  <conditionalFormatting sqref="I1:I1048576 K1:K1048576">
    <cfRule type="expression" dxfId="66" priority="8">
      <formula>AND(SUM($G1)&lt;&gt;0,I1="",ROW(I1)&gt;14)</formula>
    </cfRule>
  </conditionalFormatting>
  <conditionalFormatting sqref="T1:T1048576">
    <cfRule type="expression" dxfId="65" priority="3285">
      <formula>W1="ENTER ELIGIBILITY RATE"</formula>
    </cfRule>
  </conditionalFormatting>
  <conditionalFormatting sqref="U1:V1048576 H1:I1048576">
    <cfRule type="expression" dxfId="64" priority="3849">
      <formula>AND(ISNUMBER(H1),ROUND(SUM(H1),2)&lt;100%)</formula>
    </cfRule>
  </conditionalFormatting>
  <conditionalFormatting sqref="U1:V1048576">
    <cfRule type="expression" dxfId="63" priority="2167">
      <formula>W1="ENTER INITIATION RATE"</formula>
    </cfRule>
  </conditionalFormatting>
  <conditionalFormatting sqref="Y1:Y1048576">
    <cfRule type="expression" dxfId="62" priority="1">
      <formula>OR(Z1="ENTER COMPLETION RATE",AA1="ENTER COMPLETION RATE")</formula>
    </cfRule>
    <cfRule type="expression" dxfId="61" priority="3853">
      <formula>AND(ISNUMBER(Y1),ROUND(SUM(Y1),2)&lt;90%)</formula>
    </cfRule>
  </conditionalFormatting>
  <hyperlinks>
    <hyperlink ref="G3" location="Cascade!AY:AY" display="TX_NEW (FY24)" xr:uid="{00000000-0004-0000-0D00-000000000000}"/>
    <hyperlink ref="F3" location="Cascade!O:O" display="TX_CURR (FY23)" xr:uid="{00000000-0004-0000-0D00-000001000000}"/>
  </hyperlinks>
  <pageMargins left="0.7" right="0.7" top="0.75" bottom="0.75" header="0.3" footer="0.3"/>
  <pageSetup orientation="portrait" horizontalDpi="0" verticalDpi="0"/>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294"/>
  <sheetViews>
    <sheetView workbookViewId="0">
      <pane xSplit="5" ySplit="14" topLeftCell="F18" activePane="bottomRight" state="frozen"/>
      <selection pane="topRight"/>
      <selection pane="bottomLeft"/>
      <selection pane="bottomRight" activeCell="A25" sqref="A25:XFD34"/>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8" width="11.6640625" customWidth="1"/>
  </cols>
  <sheetData>
    <row r="1" spans="1:8" ht="31.25" customHeight="1" x14ac:dyDescent="0.2">
      <c r="A1" s="68"/>
      <c r="B1" s="23"/>
      <c r="C1" s="112"/>
      <c r="D1" s="112"/>
      <c r="E1" s="112"/>
      <c r="F1" s="52" t="s">
        <v>600</v>
      </c>
      <c r="G1" s="45"/>
      <c r="H1" s="43"/>
    </row>
    <row r="2" spans="1:8" ht="19.25" customHeight="1" x14ac:dyDescent="0.25">
      <c r="A2" s="24"/>
      <c r="B2" s="4"/>
      <c r="C2" s="4"/>
      <c r="D2" s="4"/>
      <c r="E2" s="4"/>
      <c r="F2" s="105"/>
      <c r="G2" s="32"/>
      <c r="H2" s="20" t="s">
        <v>281</v>
      </c>
    </row>
    <row r="3" spans="1:8" ht="117" customHeight="1" x14ac:dyDescent="0.2">
      <c r="A3" s="67"/>
      <c r="B3" s="9"/>
      <c r="C3" s="9"/>
      <c r="D3" s="9"/>
      <c r="E3" s="9"/>
      <c r="F3" s="6" t="s">
        <v>1351</v>
      </c>
      <c r="G3" s="184" t="s">
        <v>1352</v>
      </c>
      <c r="H3" s="69" t="s">
        <v>693</v>
      </c>
    </row>
    <row r="4" spans="1:8" x14ac:dyDescent="0.2">
      <c r="A4" s="35"/>
      <c r="B4" s="5"/>
      <c r="C4" s="5"/>
      <c r="D4" s="5" t="s">
        <v>392</v>
      </c>
      <c r="E4" s="5"/>
      <c r="F4" s="106">
        <f>SUBTOTAL(109,F$15:INDEX(F:F,COUNTA($B:$B)+14-COUNTA($B$1:$B$14)))</f>
        <v>190755</v>
      </c>
      <c r="G4" s="41">
        <f>IF($F$4=0,"",$H$4/$F$4-1)</f>
        <v>4.0444549290975296E-2</v>
      </c>
      <c r="H4" s="132">
        <f>SUBTOTAL(109,H$15:INDEX(H:H,COUNTA($B:$B)+14-COUNTA($B$1:$B$14)))</f>
        <v>198470</v>
      </c>
    </row>
    <row r="5" spans="1:8" ht="0" hidden="1" customHeight="1" x14ac:dyDescent="0.2">
      <c r="A5" t="s">
        <v>285</v>
      </c>
      <c r="B5" s="1" t="s">
        <v>285</v>
      </c>
      <c r="C5" s="1" t="s">
        <v>285</v>
      </c>
      <c r="D5" s="1" t="s">
        <v>285</v>
      </c>
      <c r="E5" s="1" t="s">
        <v>285</v>
      </c>
      <c r="F5" s="104" t="s">
        <v>393</v>
      </c>
      <c r="G5" s="33" t="s">
        <v>285</v>
      </c>
      <c r="H5" s="2" t="s">
        <v>393</v>
      </c>
    </row>
    <row r="6" spans="1:8" ht="0" hidden="1" customHeight="1" x14ac:dyDescent="0.2">
      <c r="A6" t="s">
        <v>287</v>
      </c>
      <c r="B6" s="1" t="s">
        <v>287</v>
      </c>
      <c r="C6" s="1" t="s">
        <v>287</v>
      </c>
      <c r="D6" s="1" t="s">
        <v>287</v>
      </c>
      <c r="E6" s="1" t="s">
        <v>287</v>
      </c>
      <c r="F6" s="104" t="s">
        <v>288</v>
      </c>
      <c r="G6" s="33" t="s">
        <v>395</v>
      </c>
      <c r="H6" s="2" t="s">
        <v>289</v>
      </c>
    </row>
    <row r="7" spans="1:8" ht="0" hidden="1" customHeight="1" x14ac:dyDescent="0.2">
      <c r="A7" t="s">
        <v>291</v>
      </c>
      <c r="B7" s="1" t="s">
        <v>291</v>
      </c>
      <c r="C7" s="1" t="s">
        <v>291</v>
      </c>
      <c r="D7" s="1" t="s">
        <v>291</v>
      </c>
      <c r="E7" s="1" t="s">
        <v>291</v>
      </c>
      <c r="F7" s="104" t="s">
        <v>292</v>
      </c>
      <c r="G7" s="33" t="s">
        <v>398</v>
      </c>
      <c r="H7" s="2" t="s">
        <v>292</v>
      </c>
    </row>
    <row r="8" spans="1:8" ht="0" hidden="1" customHeight="1" x14ac:dyDescent="0.2">
      <c r="F8" s="65" t="s">
        <v>773</v>
      </c>
      <c r="G8" s="33"/>
      <c r="H8" s="63" t="s">
        <v>773</v>
      </c>
    </row>
    <row r="9" spans="1:8" ht="0" hidden="1" customHeight="1" x14ac:dyDescent="0.2">
      <c r="F9" s="65" t="s">
        <v>1353</v>
      </c>
      <c r="G9" s="33"/>
      <c r="H9" s="63" t="s">
        <v>1353</v>
      </c>
    </row>
    <row r="10" spans="1:8" ht="0" hidden="1" customHeight="1" x14ac:dyDescent="0.2">
      <c r="F10" s="65"/>
      <c r="G10" s="33"/>
      <c r="H10" s="63"/>
    </row>
    <row r="11" spans="1:8" ht="0" hidden="1" customHeight="1" x14ac:dyDescent="0.2">
      <c r="F11" s="104" t="s">
        <v>804</v>
      </c>
      <c r="G11" s="33" t="s">
        <v>804</v>
      </c>
      <c r="H11" s="2" t="s">
        <v>804</v>
      </c>
    </row>
    <row r="12" spans="1:8" ht="0" hidden="1" customHeight="1" x14ac:dyDescent="0.2">
      <c r="F12" s="104" t="s">
        <v>427</v>
      </c>
      <c r="G12" s="33" t="s">
        <v>427</v>
      </c>
      <c r="H12" s="2" t="s">
        <v>427</v>
      </c>
    </row>
    <row r="13" spans="1:8" ht="0" hidden="1" customHeight="1" x14ac:dyDescent="0.2"/>
    <row r="14" spans="1:8" x14ac:dyDescent="0.2">
      <c r="A14" s="70" t="s">
        <v>280</v>
      </c>
      <c r="B14" s="47" t="s">
        <v>294</v>
      </c>
      <c r="C14" s="47" t="s">
        <v>428</v>
      </c>
      <c r="D14" s="47" t="s">
        <v>429</v>
      </c>
      <c r="E14" s="47" t="s">
        <v>20</v>
      </c>
      <c r="F14" s="55" t="s">
        <v>1354</v>
      </c>
      <c r="G14" s="48" t="s">
        <v>1355</v>
      </c>
      <c r="H14" s="49" t="s">
        <v>907</v>
      </c>
    </row>
    <row r="15" spans="1:8" x14ac:dyDescent="0.2">
      <c r="A15" t="str">
        <f>INDEX(Prioritization!$D:$D,MATCH($B15,Prioritization!$A:$A,0))</f>
        <v>Military</v>
      </c>
      <c r="B15" t="s">
        <v>326</v>
      </c>
      <c r="C15" t="s">
        <v>474</v>
      </c>
      <c r="D15" t="s">
        <v>30</v>
      </c>
      <c r="E15" t="str">
        <f t="shared" ref="E15:E68" si="0">B15&amp;"|"&amp;C15&amp;"|"&amp;D15</f>
        <v>_Military Malawi [PQZgU9dagaH]|10-14|Female</v>
      </c>
      <c r="F15" s="38">
        <v>163</v>
      </c>
      <c r="G15" s="33">
        <f t="shared" ref="G15:G66" si="1">IF(SUM($F15)=0,"",0%)</f>
        <v>0</v>
      </c>
      <c r="H15" s="218">
        <f t="shared" ref="H15:H68" si="2">IF(SUM($F15)=0,"",ROUND($F15*(1+$G15),0))</f>
        <v>163</v>
      </c>
    </row>
    <row r="16" spans="1:8" x14ac:dyDescent="0.2">
      <c r="A16" t="str">
        <f>INDEX(Prioritization!$D:$D,MATCH($B16,Prioritization!$A:$A,0))</f>
        <v>Military</v>
      </c>
      <c r="B16" t="s">
        <v>326</v>
      </c>
      <c r="C16" t="s">
        <v>474</v>
      </c>
      <c r="D16" t="s">
        <v>48</v>
      </c>
      <c r="E16" t="str">
        <f t="shared" si="0"/>
        <v>_Military Malawi [PQZgU9dagaH]|10-14|Male</v>
      </c>
      <c r="F16" s="38"/>
      <c r="G16" s="33" t="str">
        <f t="shared" si="1"/>
        <v/>
      </c>
      <c r="H16" s="218" t="str">
        <f t="shared" si="2"/>
        <v/>
      </c>
    </row>
    <row r="17" spans="1:8" x14ac:dyDescent="0.2">
      <c r="A17" t="str">
        <f>INDEX(Prioritization!$D:$D,MATCH($B17,Prioritization!$A:$A,0))</f>
        <v>Military</v>
      </c>
      <c r="B17" t="s">
        <v>326</v>
      </c>
      <c r="C17" t="s">
        <v>475</v>
      </c>
      <c r="D17" t="s">
        <v>30</v>
      </c>
      <c r="E17" t="str">
        <f t="shared" si="0"/>
        <v>_Military Malawi [PQZgU9dagaH]|15-24|Female</v>
      </c>
      <c r="F17" s="38">
        <v>178</v>
      </c>
      <c r="G17" s="33">
        <f t="shared" si="1"/>
        <v>0</v>
      </c>
      <c r="H17" s="218">
        <f t="shared" si="2"/>
        <v>178</v>
      </c>
    </row>
    <row r="18" spans="1:8" x14ac:dyDescent="0.2">
      <c r="A18" t="str">
        <f>INDEX(Prioritization!$D:$D,MATCH($B18,Prioritization!$A:$A,0))</f>
        <v>Military</v>
      </c>
      <c r="B18" t="s">
        <v>326</v>
      </c>
      <c r="C18" t="s">
        <v>475</v>
      </c>
      <c r="D18" t="s">
        <v>48</v>
      </c>
      <c r="E18" t="str">
        <f t="shared" si="0"/>
        <v>_Military Malawi [PQZgU9dagaH]|15-24|Male</v>
      </c>
      <c r="F18" s="38"/>
      <c r="G18" s="33" t="str">
        <f t="shared" si="1"/>
        <v/>
      </c>
      <c r="H18" s="218" t="str">
        <f t="shared" si="2"/>
        <v/>
      </c>
    </row>
    <row r="19" spans="1:8" x14ac:dyDescent="0.2">
      <c r="A19" t="str">
        <f>INDEX(Prioritization!$D:$D,MATCH($B19,Prioritization!$A:$A,0))</f>
        <v>Military</v>
      </c>
      <c r="B19" t="s">
        <v>326</v>
      </c>
      <c r="C19" t="s">
        <v>476</v>
      </c>
      <c r="D19" t="s">
        <v>30</v>
      </c>
      <c r="E19" t="str">
        <f t="shared" si="0"/>
        <v>_Military Malawi [PQZgU9dagaH]|25-34|Female</v>
      </c>
      <c r="F19" s="38">
        <v>50</v>
      </c>
      <c r="G19" s="33">
        <f t="shared" si="1"/>
        <v>0</v>
      </c>
      <c r="H19" s="218">
        <f t="shared" si="2"/>
        <v>50</v>
      </c>
    </row>
    <row r="20" spans="1:8" x14ac:dyDescent="0.2">
      <c r="A20" t="str">
        <f>INDEX(Prioritization!$D:$D,MATCH($B20,Prioritization!$A:$A,0))</f>
        <v>Military</v>
      </c>
      <c r="B20" t="s">
        <v>326</v>
      </c>
      <c r="C20" t="s">
        <v>476</v>
      </c>
      <c r="D20" t="s">
        <v>48</v>
      </c>
      <c r="E20" t="str">
        <f t="shared" si="0"/>
        <v>_Military Malawi [PQZgU9dagaH]|25-34|Male</v>
      </c>
      <c r="F20" s="38">
        <v>50</v>
      </c>
      <c r="G20" s="33">
        <f t="shared" si="1"/>
        <v>0</v>
      </c>
      <c r="H20" s="218">
        <f t="shared" si="2"/>
        <v>50</v>
      </c>
    </row>
    <row r="21" spans="1:8" x14ac:dyDescent="0.2">
      <c r="A21" t="str">
        <f>INDEX(Prioritization!$D:$D,MATCH($B21,Prioritization!$A:$A,0))</f>
        <v>Military</v>
      </c>
      <c r="B21" t="s">
        <v>326</v>
      </c>
      <c r="C21" t="s">
        <v>477</v>
      </c>
      <c r="D21" t="s">
        <v>30</v>
      </c>
      <c r="E21" t="str">
        <f t="shared" si="0"/>
        <v>_Military Malawi [PQZgU9dagaH]|35-49|Female</v>
      </c>
      <c r="F21" s="38">
        <v>120</v>
      </c>
      <c r="G21" s="33">
        <f t="shared" si="1"/>
        <v>0</v>
      </c>
      <c r="H21" s="218">
        <f t="shared" si="2"/>
        <v>120</v>
      </c>
    </row>
    <row r="22" spans="1:8" x14ac:dyDescent="0.2">
      <c r="A22" t="str">
        <f>INDEX(Prioritization!$D:$D,MATCH($B22,Prioritization!$A:$A,0))</f>
        <v>Military</v>
      </c>
      <c r="B22" t="s">
        <v>326</v>
      </c>
      <c r="C22" t="s">
        <v>477</v>
      </c>
      <c r="D22" t="s">
        <v>48</v>
      </c>
      <c r="E22" t="str">
        <f t="shared" si="0"/>
        <v>_Military Malawi [PQZgU9dagaH]|35-49|Male</v>
      </c>
      <c r="F22" s="38">
        <v>270</v>
      </c>
      <c r="G22" s="33">
        <f t="shared" si="1"/>
        <v>0</v>
      </c>
      <c r="H22" s="218">
        <f t="shared" si="2"/>
        <v>270</v>
      </c>
    </row>
    <row r="23" spans="1:8" x14ac:dyDescent="0.2">
      <c r="A23" t="str">
        <f>INDEX(Prioritization!$D:$D,MATCH($B23,Prioritization!$A:$A,0))</f>
        <v>Military</v>
      </c>
      <c r="B23" t="s">
        <v>326</v>
      </c>
      <c r="C23" t="s">
        <v>478</v>
      </c>
      <c r="D23" t="s">
        <v>30</v>
      </c>
      <c r="E23" t="str">
        <f t="shared" si="0"/>
        <v>_Military Malawi [PQZgU9dagaH]|50+|Female</v>
      </c>
      <c r="F23" s="38">
        <v>10</v>
      </c>
      <c r="G23" s="33">
        <f t="shared" si="1"/>
        <v>0</v>
      </c>
      <c r="H23" s="218">
        <f t="shared" si="2"/>
        <v>10</v>
      </c>
    </row>
    <row r="24" spans="1:8" x14ac:dyDescent="0.2">
      <c r="A24" t="str">
        <f>INDEX(Prioritization!$D:$D,MATCH($B24,Prioritization!$A:$A,0))</f>
        <v>Military</v>
      </c>
      <c r="B24" t="s">
        <v>326</v>
      </c>
      <c r="C24" t="s">
        <v>478</v>
      </c>
      <c r="D24" t="s">
        <v>48</v>
      </c>
      <c r="E24" t="str">
        <f t="shared" si="0"/>
        <v>_Military Malawi [PQZgU9dagaH]|50+|Male</v>
      </c>
      <c r="F24" s="38"/>
      <c r="G24" s="33" t="str">
        <f t="shared" si="1"/>
        <v/>
      </c>
      <c r="H24" s="218" t="str">
        <f t="shared" si="2"/>
        <v/>
      </c>
    </row>
    <row r="25" spans="1:8" x14ac:dyDescent="0.2">
      <c r="A25" t="str">
        <f>INDEX(Prioritization!$D:$D,MATCH($B25,Prioritization!$A:$A,0))</f>
        <v>1 - Scale-up: Saturation</v>
      </c>
      <c r="B25" t="s">
        <v>314</v>
      </c>
      <c r="C25" t="s">
        <v>474</v>
      </c>
      <c r="D25" t="s">
        <v>30</v>
      </c>
      <c r="E25" t="str">
        <f t="shared" si="0"/>
        <v>Blantyre District [mxqa3CDFmIT]|10-14|Female</v>
      </c>
      <c r="F25" s="38"/>
      <c r="G25" s="33" t="str">
        <f t="shared" si="1"/>
        <v/>
      </c>
      <c r="H25" s="218" t="str">
        <f t="shared" si="2"/>
        <v/>
      </c>
    </row>
    <row r="26" spans="1:8" x14ac:dyDescent="0.2">
      <c r="A26" t="str">
        <f>INDEX(Prioritization!$D:$D,MATCH($B26,Prioritization!$A:$A,0))</f>
        <v>1 - Scale-up: Saturation</v>
      </c>
      <c r="B26" t="s">
        <v>314</v>
      </c>
      <c r="C26" t="s">
        <v>474</v>
      </c>
      <c r="D26" t="s">
        <v>48</v>
      </c>
      <c r="E26" t="str">
        <f t="shared" si="0"/>
        <v>Blantyre District [mxqa3CDFmIT]|10-14|Male</v>
      </c>
      <c r="F26" s="38"/>
      <c r="G26" s="33" t="str">
        <f t="shared" si="1"/>
        <v/>
      </c>
      <c r="H26" s="218" t="str">
        <f t="shared" si="2"/>
        <v/>
      </c>
    </row>
    <row r="27" spans="1:8" x14ac:dyDescent="0.2">
      <c r="A27" t="str">
        <f>INDEX(Prioritization!$D:$D,MATCH($B27,Prioritization!$A:$A,0))</f>
        <v>1 - Scale-up: Saturation</v>
      </c>
      <c r="B27" t="s">
        <v>314</v>
      </c>
      <c r="C27" t="s">
        <v>475</v>
      </c>
      <c r="D27" t="s">
        <v>30</v>
      </c>
      <c r="E27" t="str">
        <f t="shared" si="0"/>
        <v>Blantyre District [mxqa3CDFmIT]|15-24|Female</v>
      </c>
      <c r="F27" s="38">
        <v>21070</v>
      </c>
      <c r="G27" s="234">
        <v>0.68172757475083101</v>
      </c>
      <c r="H27" s="218">
        <f t="shared" si="2"/>
        <v>35434</v>
      </c>
    </row>
    <row r="28" spans="1:8" x14ac:dyDescent="0.2">
      <c r="A28" t="str">
        <f>INDEX(Prioritization!$D:$D,MATCH($B28,Prioritization!$A:$A,0))</f>
        <v>1 - Scale-up: Saturation</v>
      </c>
      <c r="B28" t="s">
        <v>314</v>
      </c>
      <c r="C28" t="s">
        <v>475</v>
      </c>
      <c r="D28" t="s">
        <v>48</v>
      </c>
      <c r="E28" t="str">
        <f t="shared" si="0"/>
        <v>Blantyre District [mxqa3CDFmIT]|15-24|Male</v>
      </c>
      <c r="F28" s="38">
        <v>3049</v>
      </c>
      <c r="G28" s="247">
        <v>4.676615</v>
      </c>
      <c r="H28" s="218">
        <f t="shared" si="2"/>
        <v>17308</v>
      </c>
    </row>
    <row r="29" spans="1:8" x14ac:dyDescent="0.2">
      <c r="A29" t="str">
        <f>INDEX(Prioritization!$D:$D,MATCH($B29,Prioritization!$A:$A,0))</f>
        <v>1 - Scale-up: Saturation</v>
      </c>
      <c r="B29" t="s">
        <v>314</v>
      </c>
      <c r="C29" t="s">
        <v>476</v>
      </c>
      <c r="D29" t="s">
        <v>30</v>
      </c>
      <c r="E29" t="str">
        <f t="shared" si="0"/>
        <v>Blantyre District [mxqa3CDFmIT]|25-34|Female</v>
      </c>
      <c r="F29" s="38">
        <v>4006</v>
      </c>
      <c r="G29" s="234">
        <v>-0.36095856199999998</v>
      </c>
      <c r="H29" s="218">
        <f t="shared" si="2"/>
        <v>2560</v>
      </c>
    </row>
    <row r="30" spans="1:8" x14ac:dyDescent="0.2">
      <c r="A30" t="str">
        <f>INDEX(Prioritization!$D:$D,MATCH($B30,Prioritization!$A:$A,0))</f>
        <v>1 - Scale-up: Saturation</v>
      </c>
      <c r="B30" t="s">
        <v>314</v>
      </c>
      <c r="C30" t="s">
        <v>476</v>
      </c>
      <c r="D30" t="s">
        <v>48</v>
      </c>
      <c r="E30" t="str">
        <f t="shared" si="0"/>
        <v>Blantyre District [mxqa3CDFmIT]|25-34|Male</v>
      </c>
      <c r="F30" s="38">
        <v>503</v>
      </c>
      <c r="G30" s="234">
        <v>-0.91848906600000002</v>
      </c>
      <c r="H30" s="218">
        <f t="shared" si="2"/>
        <v>41</v>
      </c>
    </row>
    <row r="31" spans="1:8" x14ac:dyDescent="0.2">
      <c r="A31" t="str">
        <f>INDEX(Prioritization!$D:$D,MATCH($B31,Prioritization!$A:$A,0))</f>
        <v>1 - Scale-up: Saturation</v>
      </c>
      <c r="B31" t="s">
        <v>314</v>
      </c>
      <c r="C31" t="s">
        <v>477</v>
      </c>
      <c r="D31" t="s">
        <v>30</v>
      </c>
      <c r="E31" t="str">
        <f t="shared" si="0"/>
        <v>Blantyre District [mxqa3CDFmIT]|35-49|Female</v>
      </c>
      <c r="F31" s="38">
        <v>6016</v>
      </c>
      <c r="G31" s="234">
        <v>-0.31914893599999999</v>
      </c>
      <c r="H31" s="218">
        <f t="shared" si="2"/>
        <v>4096</v>
      </c>
    </row>
    <row r="32" spans="1:8" x14ac:dyDescent="0.2">
      <c r="A32" t="str">
        <f>INDEX(Prioritization!$D:$D,MATCH($B32,Prioritization!$A:$A,0))</f>
        <v>1 - Scale-up: Saturation</v>
      </c>
      <c r="B32" t="s">
        <v>314</v>
      </c>
      <c r="C32" t="s">
        <v>477</v>
      </c>
      <c r="D32" t="s">
        <v>48</v>
      </c>
      <c r="E32" t="str">
        <f t="shared" si="0"/>
        <v>Blantyre District [mxqa3CDFmIT]|35-49|Male</v>
      </c>
      <c r="F32" s="38">
        <v>1009</v>
      </c>
      <c r="G32" s="234">
        <v>-0.903865213</v>
      </c>
      <c r="H32" s="218">
        <f t="shared" si="2"/>
        <v>97</v>
      </c>
    </row>
    <row r="33" spans="1:8" x14ac:dyDescent="0.2">
      <c r="A33" t="str">
        <f>INDEX(Prioritization!$D:$D,MATCH($B33,Prioritization!$A:$A,0))</f>
        <v>1 - Scale-up: Saturation</v>
      </c>
      <c r="B33" t="s">
        <v>314</v>
      </c>
      <c r="C33" t="s">
        <v>478</v>
      </c>
      <c r="D33" t="s">
        <v>30</v>
      </c>
      <c r="E33" t="str">
        <f t="shared" si="0"/>
        <v>Blantyre District [mxqa3CDFmIT]|50+|Female</v>
      </c>
      <c r="F33" s="38">
        <v>1530</v>
      </c>
      <c r="G33" s="234">
        <v>-0.70261437900000001</v>
      </c>
      <c r="H33" s="218">
        <f t="shared" si="2"/>
        <v>455</v>
      </c>
    </row>
    <row r="34" spans="1:8" x14ac:dyDescent="0.2">
      <c r="A34" t="str">
        <f>INDEX(Prioritization!$D:$D,MATCH($B34,Prioritization!$A:$A,0))</f>
        <v>1 - Scale-up: Saturation</v>
      </c>
      <c r="B34" t="s">
        <v>314</v>
      </c>
      <c r="C34" t="s">
        <v>478</v>
      </c>
      <c r="D34" t="s">
        <v>48</v>
      </c>
      <c r="E34" t="str">
        <f t="shared" si="0"/>
        <v>Blantyre District [mxqa3CDFmIT]|50+|Male</v>
      </c>
      <c r="F34" s="38">
        <v>930</v>
      </c>
      <c r="G34" s="234">
        <v>-0.98387096799999996</v>
      </c>
      <c r="H34" s="218">
        <f t="shared" si="2"/>
        <v>15</v>
      </c>
    </row>
    <row r="35" spans="1:8" x14ac:dyDescent="0.2">
      <c r="A35" t="str">
        <f>INDEX(Prioritization!$D:$D,MATCH($B35,Prioritization!$A:$A,0))</f>
        <v>1 - Scale-up: Saturation</v>
      </c>
      <c r="B35" t="s">
        <v>315</v>
      </c>
      <c r="C35" t="s">
        <v>474</v>
      </c>
      <c r="D35" t="s">
        <v>30</v>
      </c>
      <c r="E35" t="str">
        <f t="shared" si="0"/>
        <v>Chikwawa District [U8c0so51kT6]|10-14|Female</v>
      </c>
      <c r="F35" s="38"/>
      <c r="G35" s="33" t="str">
        <f t="shared" si="1"/>
        <v/>
      </c>
      <c r="H35" s="218" t="str">
        <f t="shared" si="2"/>
        <v/>
      </c>
    </row>
    <row r="36" spans="1:8" x14ac:dyDescent="0.2">
      <c r="A36" t="str">
        <f>INDEX(Prioritization!$D:$D,MATCH($B36,Prioritization!$A:$A,0))</f>
        <v>1 - Scale-up: Saturation</v>
      </c>
      <c r="B36" t="s">
        <v>315</v>
      </c>
      <c r="C36" t="s">
        <v>474</v>
      </c>
      <c r="D36" t="s">
        <v>48</v>
      </c>
      <c r="E36" t="str">
        <f t="shared" si="0"/>
        <v>Chikwawa District [U8c0so51kT6]|10-14|Male</v>
      </c>
      <c r="F36" s="38"/>
      <c r="G36" s="33" t="str">
        <f t="shared" si="1"/>
        <v/>
      </c>
      <c r="H36" s="218" t="str">
        <f t="shared" si="2"/>
        <v/>
      </c>
    </row>
    <row r="37" spans="1:8" x14ac:dyDescent="0.2">
      <c r="A37" t="str">
        <f>INDEX(Prioritization!$D:$D,MATCH($B37,Prioritization!$A:$A,0))</f>
        <v>1 - Scale-up: Saturation</v>
      </c>
      <c r="B37" t="s">
        <v>315</v>
      </c>
      <c r="C37" t="s">
        <v>475</v>
      </c>
      <c r="D37" t="s">
        <v>30</v>
      </c>
      <c r="E37" t="str">
        <f t="shared" si="0"/>
        <v>Chikwawa District [U8c0so51kT6]|15-24|Female</v>
      </c>
      <c r="F37" s="38"/>
      <c r="G37" s="33" t="str">
        <f t="shared" si="1"/>
        <v/>
      </c>
      <c r="H37" s="244">
        <v>60</v>
      </c>
    </row>
    <row r="38" spans="1:8" x14ac:dyDescent="0.2">
      <c r="A38" t="str">
        <f>INDEX(Prioritization!$D:$D,MATCH($B38,Prioritization!$A:$A,0))</f>
        <v>1 - Scale-up: Saturation</v>
      </c>
      <c r="B38" t="s">
        <v>315</v>
      </c>
      <c r="C38" t="s">
        <v>475</v>
      </c>
      <c r="D38" t="s">
        <v>48</v>
      </c>
      <c r="E38" t="str">
        <f t="shared" si="0"/>
        <v>Chikwawa District [U8c0so51kT6]|15-24|Male</v>
      </c>
      <c r="F38" s="38"/>
      <c r="G38" s="33" t="str">
        <f t="shared" si="1"/>
        <v/>
      </c>
      <c r="H38" s="244">
        <v>30</v>
      </c>
    </row>
    <row r="39" spans="1:8" x14ac:dyDescent="0.2">
      <c r="A39" t="str">
        <f>INDEX(Prioritization!$D:$D,MATCH($B39,Prioritization!$A:$A,0))</f>
        <v>1 - Scale-up: Saturation</v>
      </c>
      <c r="B39" t="s">
        <v>315</v>
      </c>
      <c r="C39" t="s">
        <v>476</v>
      </c>
      <c r="D39" t="s">
        <v>30</v>
      </c>
      <c r="E39" t="str">
        <f t="shared" si="0"/>
        <v>Chikwawa District [U8c0so51kT6]|25-34|Female</v>
      </c>
      <c r="F39" s="38"/>
      <c r="G39" s="33" t="str">
        <f t="shared" si="1"/>
        <v/>
      </c>
      <c r="H39" s="218" t="str">
        <f t="shared" si="2"/>
        <v/>
      </c>
    </row>
    <row r="40" spans="1:8" x14ac:dyDescent="0.2">
      <c r="A40" t="str">
        <f>INDEX(Prioritization!$D:$D,MATCH($B40,Prioritization!$A:$A,0))</f>
        <v>1 - Scale-up: Saturation</v>
      </c>
      <c r="B40" t="s">
        <v>315</v>
      </c>
      <c r="C40" t="s">
        <v>476</v>
      </c>
      <c r="D40" t="s">
        <v>48</v>
      </c>
      <c r="E40" t="str">
        <f t="shared" si="0"/>
        <v>Chikwawa District [U8c0so51kT6]|25-34|Male</v>
      </c>
      <c r="F40" s="38"/>
      <c r="G40" s="33" t="str">
        <f t="shared" si="1"/>
        <v/>
      </c>
      <c r="H40" s="218" t="str">
        <f t="shared" si="2"/>
        <v/>
      </c>
    </row>
    <row r="41" spans="1:8" x14ac:dyDescent="0.2">
      <c r="A41" t="str">
        <f>INDEX(Prioritization!$D:$D,MATCH($B41,Prioritization!$A:$A,0))</f>
        <v>1 - Scale-up: Saturation</v>
      </c>
      <c r="B41" t="s">
        <v>315</v>
      </c>
      <c r="C41" t="s">
        <v>477</v>
      </c>
      <c r="D41" t="s">
        <v>30</v>
      </c>
      <c r="E41" t="str">
        <f t="shared" si="0"/>
        <v>Chikwawa District [U8c0so51kT6]|35-49|Female</v>
      </c>
      <c r="F41" s="38"/>
      <c r="G41" s="33" t="str">
        <f t="shared" si="1"/>
        <v/>
      </c>
      <c r="H41" s="218" t="str">
        <f t="shared" si="2"/>
        <v/>
      </c>
    </row>
    <row r="42" spans="1:8" x14ac:dyDescent="0.2">
      <c r="A42" t="str">
        <f>INDEX(Prioritization!$D:$D,MATCH($B42,Prioritization!$A:$A,0))</f>
        <v>1 - Scale-up: Saturation</v>
      </c>
      <c r="B42" t="s">
        <v>315</v>
      </c>
      <c r="C42" t="s">
        <v>477</v>
      </c>
      <c r="D42" t="s">
        <v>48</v>
      </c>
      <c r="E42" t="str">
        <f t="shared" si="0"/>
        <v>Chikwawa District [U8c0so51kT6]|35-49|Male</v>
      </c>
      <c r="F42" s="38"/>
      <c r="G42" s="33" t="str">
        <f t="shared" si="1"/>
        <v/>
      </c>
      <c r="H42" s="218" t="str">
        <f t="shared" si="2"/>
        <v/>
      </c>
    </row>
    <row r="43" spans="1:8" x14ac:dyDescent="0.2">
      <c r="A43" t="str">
        <f>INDEX(Prioritization!$D:$D,MATCH($B43,Prioritization!$A:$A,0))</f>
        <v>1 - Scale-up: Saturation</v>
      </c>
      <c r="B43" t="s">
        <v>315</v>
      </c>
      <c r="C43" t="s">
        <v>478</v>
      </c>
      <c r="D43" t="s">
        <v>30</v>
      </c>
      <c r="E43" t="str">
        <f t="shared" si="0"/>
        <v>Chikwawa District [U8c0so51kT6]|50+|Female</v>
      </c>
      <c r="F43" s="38"/>
      <c r="G43" s="33" t="str">
        <f t="shared" si="1"/>
        <v/>
      </c>
      <c r="H43" s="218" t="str">
        <f t="shared" si="2"/>
        <v/>
      </c>
    </row>
    <row r="44" spans="1:8" x14ac:dyDescent="0.2">
      <c r="A44" t="str">
        <f>INDEX(Prioritization!$D:$D,MATCH($B44,Prioritization!$A:$A,0))</f>
        <v>1 - Scale-up: Saturation</v>
      </c>
      <c r="B44" t="s">
        <v>315</v>
      </c>
      <c r="C44" t="s">
        <v>478</v>
      </c>
      <c r="D44" t="s">
        <v>48</v>
      </c>
      <c r="E44" t="str">
        <f t="shared" si="0"/>
        <v>Chikwawa District [U8c0so51kT6]|50+|Male</v>
      </c>
      <c r="F44" s="38"/>
      <c r="G44" s="33" t="str">
        <f t="shared" si="1"/>
        <v/>
      </c>
      <c r="H44" s="218" t="str">
        <f t="shared" si="2"/>
        <v/>
      </c>
    </row>
    <row r="45" spans="1:8" x14ac:dyDescent="0.2">
      <c r="A45" t="str">
        <f>INDEX(Prioritization!$D:$D,MATCH($B45,Prioritization!$A:$A,0))</f>
        <v>INVALID</v>
      </c>
      <c r="B45" t="s">
        <v>316</v>
      </c>
      <c r="C45" t="s">
        <v>474</v>
      </c>
      <c r="D45" t="s">
        <v>30</v>
      </c>
      <c r="E45" t="str">
        <f t="shared" si="0"/>
        <v>Chiradzulu District [oiPR2CiVJbf]|10-14|Female</v>
      </c>
      <c r="F45" s="38"/>
      <c r="G45" s="33" t="str">
        <f t="shared" si="1"/>
        <v/>
      </c>
      <c r="H45" s="218" t="str">
        <f t="shared" si="2"/>
        <v/>
      </c>
    </row>
    <row r="46" spans="1:8" x14ac:dyDescent="0.2">
      <c r="A46" t="str">
        <f>INDEX(Prioritization!$D:$D,MATCH($B46,Prioritization!$A:$A,0))</f>
        <v>INVALID</v>
      </c>
      <c r="B46" t="s">
        <v>316</v>
      </c>
      <c r="C46" t="s">
        <v>474</v>
      </c>
      <c r="D46" t="s">
        <v>48</v>
      </c>
      <c r="E46" t="str">
        <f t="shared" si="0"/>
        <v>Chiradzulu District [oiPR2CiVJbf]|10-14|Male</v>
      </c>
      <c r="F46" s="38"/>
      <c r="G46" s="33" t="str">
        <f t="shared" si="1"/>
        <v/>
      </c>
      <c r="H46" s="218" t="str">
        <f t="shared" si="2"/>
        <v/>
      </c>
    </row>
    <row r="47" spans="1:8" x14ac:dyDescent="0.2">
      <c r="A47" t="str">
        <f>INDEX(Prioritization!$D:$D,MATCH($B47,Prioritization!$A:$A,0))</f>
        <v>INVALID</v>
      </c>
      <c r="B47" t="s">
        <v>316</v>
      </c>
      <c r="C47" t="s">
        <v>475</v>
      </c>
      <c r="D47" t="s">
        <v>30</v>
      </c>
      <c r="E47" t="str">
        <f t="shared" si="0"/>
        <v>Chiradzulu District [oiPR2CiVJbf]|15-24|Female</v>
      </c>
      <c r="F47" s="38">
        <v>11913</v>
      </c>
      <c r="G47" s="33">
        <v>-0.29404851842524998</v>
      </c>
      <c r="H47" s="218">
        <f t="shared" si="2"/>
        <v>8410</v>
      </c>
    </row>
    <row r="48" spans="1:8" x14ac:dyDescent="0.2">
      <c r="A48" t="str">
        <f>INDEX(Prioritization!$D:$D,MATCH($B48,Prioritization!$A:$A,0))</f>
        <v>INVALID</v>
      </c>
      <c r="B48" t="s">
        <v>316</v>
      </c>
      <c r="C48" t="s">
        <v>475</v>
      </c>
      <c r="D48" t="s">
        <v>48</v>
      </c>
      <c r="E48" t="str">
        <f t="shared" si="0"/>
        <v>Chiradzulu District [oiPR2CiVJbf]|15-24|Male</v>
      </c>
      <c r="F48" s="38">
        <v>1634</v>
      </c>
      <c r="G48" s="33">
        <v>1.1835985312117501</v>
      </c>
      <c r="H48" s="218">
        <f t="shared" si="2"/>
        <v>3568</v>
      </c>
    </row>
    <row r="49" spans="1:8" x14ac:dyDescent="0.2">
      <c r="A49" t="str">
        <f>INDEX(Prioritization!$D:$D,MATCH($B49,Prioritization!$A:$A,0))</f>
        <v>INVALID</v>
      </c>
      <c r="B49" t="s">
        <v>316</v>
      </c>
      <c r="C49" t="s">
        <v>476</v>
      </c>
      <c r="D49" t="s">
        <v>30</v>
      </c>
      <c r="E49" t="str">
        <f t="shared" si="0"/>
        <v>Chiradzulu District [oiPR2CiVJbf]|25-34|Female</v>
      </c>
      <c r="F49" s="38">
        <v>4355</v>
      </c>
      <c r="G49" s="248">
        <v>0.12514351320321501</v>
      </c>
      <c r="H49" s="218">
        <f t="shared" si="2"/>
        <v>4900</v>
      </c>
    </row>
    <row r="50" spans="1:8" x14ac:dyDescent="0.2">
      <c r="A50" t="str">
        <f>INDEX(Prioritization!$D:$D,MATCH($B50,Prioritization!$A:$A,0))</f>
        <v>INVALID</v>
      </c>
      <c r="B50" t="s">
        <v>316</v>
      </c>
      <c r="C50" t="s">
        <v>476</v>
      </c>
      <c r="D50" t="s">
        <v>48</v>
      </c>
      <c r="E50" t="str">
        <f t="shared" si="0"/>
        <v>Chiradzulu District [oiPR2CiVJbf]|25-34|Male</v>
      </c>
      <c r="F50" s="38">
        <v>499</v>
      </c>
      <c r="G50" s="33">
        <v>-0.87575150300601201</v>
      </c>
      <c r="H50" s="218">
        <f t="shared" si="2"/>
        <v>62</v>
      </c>
    </row>
    <row r="51" spans="1:8" x14ac:dyDescent="0.2">
      <c r="A51" t="str">
        <f>INDEX(Prioritization!$D:$D,MATCH($B51,Prioritization!$A:$A,0))</f>
        <v>INVALID</v>
      </c>
      <c r="B51" t="s">
        <v>316</v>
      </c>
      <c r="C51" t="s">
        <v>477</v>
      </c>
      <c r="D51" t="s">
        <v>30</v>
      </c>
      <c r="E51" t="str">
        <f t="shared" si="0"/>
        <v>Chiradzulu District [oiPR2CiVJbf]|35-49|Female</v>
      </c>
      <c r="F51" s="38">
        <v>4903</v>
      </c>
      <c r="G51" s="233">
        <v>2.4474811339995899E-2</v>
      </c>
      <c r="H51" s="218">
        <f t="shared" si="2"/>
        <v>5023</v>
      </c>
    </row>
    <row r="52" spans="1:8" x14ac:dyDescent="0.2">
      <c r="A52" t="str">
        <f>INDEX(Prioritization!$D:$D,MATCH($B52,Prioritization!$A:$A,0))</f>
        <v>INVALID</v>
      </c>
      <c r="B52" t="s">
        <v>316</v>
      </c>
      <c r="C52" t="s">
        <v>477</v>
      </c>
      <c r="D52" t="s">
        <v>48</v>
      </c>
      <c r="E52" t="str">
        <f t="shared" si="0"/>
        <v>Chiradzulu District [oiPR2CiVJbf]|35-49|Male</v>
      </c>
      <c r="F52" s="38">
        <v>949</v>
      </c>
      <c r="G52" s="33">
        <v>-0.93466807165437304</v>
      </c>
      <c r="H52" s="218">
        <f t="shared" si="2"/>
        <v>62</v>
      </c>
    </row>
    <row r="53" spans="1:8" x14ac:dyDescent="0.2">
      <c r="A53" t="str">
        <f>INDEX(Prioritization!$D:$D,MATCH($B53,Prioritization!$A:$A,0))</f>
        <v>INVALID</v>
      </c>
      <c r="B53" t="s">
        <v>316</v>
      </c>
      <c r="C53" t="s">
        <v>478</v>
      </c>
      <c r="D53" t="s">
        <v>30</v>
      </c>
      <c r="E53" t="str">
        <f t="shared" si="0"/>
        <v>Chiradzulu District [oiPR2CiVJbf]|50+|Female</v>
      </c>
      <c r="F53" s="38">
        <v>1583</v>
      </c>
      <c r="G53" s="33">
        <v>-0.45862286797220497</v>
      </c>
      <c r="H53" s="218">
        <f t="shared" si="2"/>
        <v>857</v>
      </c>
    </row>
    <row r="54" spans="1:8" x14ac:dyDescent="0.2">
      <c r="A54" t="str">
        <f>INDEX(Prioritization!$D:$D,MATCH($B54,Prioritization!$A:$A,0))</f>
        <v>INVALID</v>
      </c>
      <c r="B54" t="s">
        <v>316</v>
      </c>
      <c r="C54" t="s">
        <v>478</v>
      </c>
      <c r="D54" t="s">
        <v>48</v>
      </c>
      <c r="E54" t="str">
        <f t="shared" si="0"/>
        <v>Chiradzulu District [oiPR2CiVJbf]|50+|Male</v>
      </c>
      <c r="F54" s="38">
        <v>959</v>
      </c>
      <c r="G54" s="33">
        <v>-0.92283628779979099</v>
      </c>
      <c r="H54" s="218">
        <f t="shared" si="2"/>
        <v>74</v>
      </c>
    </row>
    <row r="55" spans="1:8" x14ac:dyDescent="0.2">
      <c r="A55" t="str">
        <f>INDEX(Prioritization!$D:$D,MATCH($B55,Prioritization!$A:$A,0))</f>
        <v>4 - Sustained</v>
      </c>
      <c r="B55" t="s">
        <v>307</v>
      </c>
      <c r="C55" t="s">
        <v>474</v>
      </c>
      <c r="D55" t="s">
        <v>30</v>
      </c>
      <c r="E55" t="str">
        <f t="shared" si="0"/>
        <v>Chitipa District [GkIwZrXy1h2]|10-14|Female</v>
      </c>
      <c r="F55" s="38"/>
      <c r="G55" s="33" t="str">
        <f t="shared" si="1"/>
        <v/>
      </c>
      <c r="H55" s="218" t="str">
        <f t="shared" si="2"/>
        <v/>
      </c>
    </row>
    <row r="56" spans="1:8" x14ac:dyDescent="0.2">
      <c r="A56" t="str">
        <f>INDEX(Prioritization!$D:$D,MATCH($B56,Prioritization!$A:$A,0))</f>
        <v>4 - Sustained</v>
      </c>
      <c r="B56" t="s">
        <v>307</v>
      </c>
      <c r="C56" t="s">
        <v>474</v>
      </c>
      <c r="D56" t="s">
        <v>48</v>
      </c>
      <c r="E56" t="str">
        <f t="shared" si="0"/>
        <v>Chitipa District [GkIwZrXy1h2]|10-14|Male</v>
      </c>
      <c r="F56" s="38"/>
      <c r="G56" s="33" t="str">
        <f t="shared" si="1"/>
        <v/>
      </c>
      <c r="H56" s="218" t="str">
        <f t="shared" si="2"/>
        <v/>
      </c>
    </row>
    <row r="57" spans="1:8" x14ac:dyDescent="0.2">
      <c r="A57" t="str">
        <f>INDEX(Prioritization!$D:$D,MATCH($B57,Prioritization!$A:$A,0))</f>
        <v>4 - Sustained</v>
      </c>
      <c r="B57" t="s">
        <v>307</v>
      </c>
      <c r="C57" t="s">
        <v>475</v>
      </c>
      <c r="D57" t="s">
        <v>30</v>
      </c>
      <c r="E57" t="str">
        <f t="shared" si="0"/>
        <v>Chitipa District [GkIwZrXy1h2]|15-24|Female</v>
      </c>
      <c r="F57" s="38"/>
      <c r="G57" s="33" t="str">
        <f t="shared" si="1"/>
        <v/>
      </c>
      <c r="H57" s="244">
        <v>20</v>
      </c>
    </row>
    <row r="58" spans="1:8" x14ac:dyDescent="0.2">
      <c r="A58" t="str">
        <f>INDEX(Prioritization!$D:$D,MATCH($B58,Prioritization!$A:$A,0))</f>
        <v>4 - Sustained</v>
      </c>
      <c r="B58" t="s">
        <v>307</v>
      </c>
      <c r="C58" t="s">
        <v>475</v>
      </c>
      <c r="D58" t="s">
        <v>48</v>
      </c>
      <c r="E58" t="str">
        <f t="shared" si="0"/>
        <v>Chitipa District [GkIwZrXy1h2]|15-24|Male</v>
      </c>
      <c r="F58" s="38"/>
      <c r="G58" s="33" t="str">
        <f t="shared" si="1"/>
        <v/>
      </c>
      <c r="H58" s="244">
        <v>10</v>
      </c>
    </row>
    <row r="59" spans="1:8" x14ac:dyDescent="0.2">
      <c r="A59" t="str">
        <f>INDEX(Prioritization!$D:$D,MATCH($B59,Prioritization!$A:$A,0))</f>
        <v>4 - Sustained</v>
      </c>
      <c r="B59" t="s">
        <v>307</v>
      </c>
      <c r="C59" t="s">
        <v>476</v>
      </c>
      <c r="D59" t="s">
        <v>30</v>
      </c>
      <c r="E59" t="str">
        <f t="shared" si="0"/>
        <v>Chitipa District [GkIwZrXy1h2]|25-34|Female</v>
      </c>
      <c r="F59" s="38"/>
      <c r="G59" s="33" t="str">
        <f t="shared" si="1"/>
        <v/>
      </c>
      <c r="H59" s="218" t="str">
        <f t="shared" si="2"/>
        <v/>
      </c>
    </row>
    <row r="60" spans="1:8" x14ac:dyDescent="0.2">
      <c r="A60" t="str">
        <f>INDEX(Prioritization!$D:$D,MATCH($B60,Prioritization!$A:$A,0))</f>
        <v>4 - Sustained</v>
      </c>
      <c r="B60" t="s">
        <v>307</v>
      </c>
      <c r="C60" t="s">
        <v>476</v>
      </c>
      <c r="D60" t="s">
        <v>48</v>
      </c>
      <c r="E60" t="str">
        <f t="shared" si="0"/>
        <v>Chitipa District [GkIwZrXy1h2]|25-34|Male</v>
      </c>
      <c r="F60" s="38"/>
      <c r="G60" s="33" t="str">
        <f t="shared" si="1"/>
        <v/>
      </c>
      <c r="H60" s="218" t="str">
        <f t="shared" si="2"/>
        <v/>
      </c>
    </row>
    <row r="61" spans="1:8" x14ac:dyDescent="0.2">
      <c r="A61" t="str">
        <f>INDEX(Prioritization!$D:$D,MATCH($B61,Prioritization!$A:$A,0))</f>
        <v>4 - Sustained</v>
      </c>
      <c r="B61" t="s">
        <v>307</v>
      </c>
      <c r="C61" t="s">
        <v>477</v>
      </c>
      <c r="D61" t="s">
        <v>30</v>
      </c>
      <c r="E61" t="str">
        <f t="shared" si="0"/>
        <v>Chitipa District [GkIwZrXy1h2]|35-49|Female</v>
      </c>
      <c r="F61" s="38"/>
      <c r="G61" s="33" t="str">
        <f t="shared" si="1"/>
        <v/>
      </c>
      <c r="H61" s="218" t="str">
        <f t="shared" si="2"/>
        <v/>
      </c>
    </row>
    <row r="62" spans="1:8" x14ac:dyDescent="0.2">
      <c r="A62" t="str">
        <f>INDEX(Prioritization!$D:$D,MATCH($B62,Prioritization!$A:$A,0))</f>
        <v>4 - Sustained</v>
      </c>
      <c r="B62" t="s">
        <v>307</v>
      </c>
      <c r="C62" t="s">
        <v>477</v>
      </c>
      <c r="D62" t="s">
        <v>48</v>
      </c>
      <c r="E62" t="str">
        <f t="shared" si="0"/>
        <v>Chitipa District [GkIwZrXy1h2]|35-49|Male</v>
      </c>
      <c r="F62" s="38"/>
      <c r="G62" s="33" t="str">
        <f t="shared" si="1"/>
        <v/>
      </c>
      <c r="H62" s="218" t="str">
        <f t="shared" si="2"/>
        <v/>
      </c>
    </row>
    <row r="63" spans="1:8" x14ac:dyDescent="0.2">
      <c r="A63" t="str">
        <f>INDEX(Prioritization!$D:$D,MATCH($B63,Prioritization!$A:$A,0))</f>
        <v>4 - Sustained</v>
      </c>
      <c r="B63" t="s">
        <v>307</v>
      </c>
      <c r="C63" t="s">
        <v>478</v>
      </c>
      <c r="D63" t="s">
        <v>30</v>
      </c>
      <c r="E63" t="str">
        <f t="shared" si="0"/>
        <v>Chitipa District [GkIwZrXy1h2]|50+|Female</v>
      </c>
      <c r="F63" s="38"/>
      <c r="G63" s="33" t="str">
        <f t="shared" si="1"/>
        <v/>
      </c>
      <c r="H63" s="218" t="str">
        <f t="shared" si="2"/>
        <v/>
      </c>
    </row>
    <row r="64" spans="1:8" x14ac:dyDescent="0.2">
      <c r="A64" t="str">
        <f>INDEX(Prioritization!$D:$D,MATCH($B64,Prioritization!$A:$A,0))</f>
        <v>4 - Sustained</v>
      </c>
      <c r="B64" t="s">
        <v>307</v>
      </c>
      <c r="C64" t="s">
        <v>478</v>
      </c>
      <c r="D64" t="s">
        <v>48</v>
      </c>
      <c r="E64" t="str">
        <f t="shared" si="0"/>
        <v>Chitipa District [GkIwZrXy1h2]|50+|Male</v>
      </c>
      <c r="F64" s="38"/>
      <c r="G64" s="33" t="str">
        <f t="shared" si="1"/>
        <v/>
      </c>
      <c r="H64" s="218" t="str">
        <f t="shared" si="2"/>
        <v/>
      </c>
    </row>
    <row r="65" spans="1:8" x14ac:dyDescent="0.2">
      <c r="A65" t="str">
        <f>INDEX(Prioritization!$D:$D,MATCH($B65,Prioritization!$A:$A,0))</f>
        <v>4 - Sustained</v>
      </c>
      <c r="B65" t="s">
        <v>298</v>
      </c>
      <c r="C65" t="s">
        <v>474</v>
      </c>
      <c r="D65" t="s">
        <v>30</v>
      </c>
      <c r="E65" s="1" t="str">
        <f t="shared" si="0"/>
        <v>Dedza District [PekKUkKHAzY]|10-14|Female</v>
      </c>
      <c r="F65" s="38"/>
      <c r="G65" s="33" t="str">
        <f t="shared" si="1"/>
        <v/>
      </c>
      <c r="H65" s="2" t="str">
        <f t="shared" si="2"/>
        <v/>
      </c>
    </row>
    <row r="66" spans="1:8" x14ac:dyDescent="0.2">
      <c r="A66" t="str">
        <f>INDEX(Prioritization!$D:$D,MATCH($B66,Prioritization!$A:$A,0))</f>
        <v>4 - Sustained</v>
      </c>
      <c r="B66" t="s">
        <v>298</v>
      </c>
      <c r="C66" t="s">
        <v>474</v>
      </c>
      <c r="D66" t="s">
        <v>48</v>
      </c>
      <c r="E66" t="str">
        <f t="shared" si="0"/>
        <v>Dedza District [PekKUkKHAzY]|10-14|Male</v>
      </c>
      <c r="F66" s="38"/>
      <c r="G66" s="33" t="str">
        <f t="shared" si="1"/>
        <v/>
      </c>
      <c r="H66" s="218" t="str">
        <f t="shared" si="2"/>
        <v/>
      </c>
    </row>
    <row r="67" spans="1:8" x14ac:dyDescent="0.2">
      <c r="A67" t="str">
        <f>INDEX(Prioritization!$D:$D,MATCH($B67,Prioritization!$A:$A,0))</f>
        <v>4 - Sustained</v>
      </c>
      <c r="B67" t="s">
        <v>298</v>
      </c>
      <c r="C67" t="s">
        <v>475</v>
      </c>
      <c r="D67" t="s">
        <v>30</v>
      </c>
      <c r="E67" t="str">
        <f t="shared" si="0"/>
        <v>Dedza District [PekKUkKHAzY]|15-24|Female</v>
      </c>
      <c r="F67" s="38">
        <v>87</v>
      </c>
      <c r="G67" s="33">
        <v>-0.65517241379310298</v>
      </c>
      <c r="H67" s="218">
        <f t="shared" si="2"/>
        <v>30</v>
      </c>
    </row>
    <row r="68" spans="1:8" x14ac:dyDescent="0.2">
      <c r="A68" t="str">
        <f>INDEX(Prioritization!$D:$D,MATCH($B68,Prioritization!$A:$A,0))</f>
        <v>4 - Sustained</v>
      </c>
      <c r="B68" t="s">
        <v>298</v>
      </c>
      <c r="C68" t="s">
        <v>475</v>
      </c>
      <c r="D68" t="s">
        <v>48</v>
      </c>
      <c r="E68" t="str">
        <f t="shared" si="0"/>
        <v>Dedza District [PekKUkKHAzY]|15-24|Male</v>
      </c>
      <c r="F68" s="38">
        <v>63</v>
      </c>
      <c r="G68" s="33">
        <v>-0.76190476190476197</v>
      </c>
      <c r="H68" s="218">
        <f t="shared" si="2"/>
        <v>15</v>
      </c>
    </row>
    <row r="69" spans="1:8" x14ac:dyDescent="0.2">
      <c r="A69" t="str">
        <f>INDEX(Prioritization!$D:$D,MATCH($B69,Prioritization!$A:$A,0))</f>
        <v>4 - Sustained</v>
      </c>
      <c r="B69" t="s">
        <v>298</v>
      </c>
      <c r="C69" t="s">
        <v>476</v>
      </c>
      <c r="D69" t="s">
        <v>30</v>
      </c>
      <c r="E69" t="str">
        <f t="shared" ref="E69:E132" si="3">B69&amp;"|"&amp;C69&amp;"|"&amp;D69</f>
        <v>Dedza District [PekKUkKHAzY]|25-34|Female</v>
      </c>
      <c r="F69" s="38"/>
      <c r="G69" s="33" t="str">
        <f t="shared" ref="G69:G126" si="4">IF(SUM($F69)=0,"",0%)</f>
        <v/>
      </c>
      <c r="H69" s="218" t="str">
        <f t="shared" ref="H69:H132" si="5">IF(SUM($F69)=0,"",ROUND($F69*(1+$G69),0))</f>
        <v/>
      </c>
    </row>
    <row r="70" spans="1:8" x14ac:dyDescent="0.2">
      <c r="A70" t="str">
        <f>INDEX(Prioritization!$D:$D,MATCH($B70,Prioritization!$A:$A,0))</f>
        <v>4 - Sustained</v>
      </c>
      <c r="B70" t="s">
        <v>298</v>
      </c>
      <c r="C70" t="s">
        <v>476</v>
      </c>
      <c r="D70" t="s">
        <v>48</v>
      </c>
      <c r="E70" t="str">
        <f t="shared" si="3"/>
        <v>Dedza District [PekKUkKHAzY]|25-34|Male</v>
      </c>
      <c r="F70" s="38"/>
      <c r="G70" s="33" t="str">
        <f t="shared" si="4"/>
        <v/>
      </c>
      <c r="H70" s="218" t="str">
        <f t="shared" si="5"/>
        <v/>
      </c>
    </row>
    <row r="71" spans="1:8" x14ac:dyDescent="0.2">
      <c r="A71" t="str">
        <f>INDEX(Prioritization!$D:$D,MATCH($B71,Prioritization!$A:$A,0))</f>
        <v>4 - Sustained</v>
      </c>
      <c r="B71" t="s">
        <v>298</v>
      </c>
      <c r="C71" t="s">
        <v>477</v>
      </c>
      <c r="D71" t="s">
        <v>30</v>
      </c>
      <c r="E71" t="str">
        <f t="shared" si="3"/>
        <v>Dedza District [PekKUkKHAzY]|35-49|Female</v>
      </c>
      <c r="F71" s="38"/>
      <c r="G71" s="33" t="str">
        <f t="shared" si="4"/>
        <v/>
      </c>
      <c r="H71" s="218" t="str">
        <f t="shared" si="5"/>
        <v/>
      </c>
    </row>
    <row r="72" spans="1:8" x14ac:dyDescent="0.2">
      <c r="A72" t="str">
        <f>INDEX(Prioritization!$D:$D,MATCH($B72,Prioritization!$A:$A,0))</f>
        <v>4 - Sustained</v>
      </c>
      <c r="B72" t="s">
        <v>298</v>
      </c>
      <c r="C72" t="s">
        <v>477</v>
      </c>
      <c r="D72" t="s">
        <v>48</v>
      </c>
      <c r="E72" t="str">
        <f t="shared" si="3"/>
        <v>Dedza District [PekKUkKHAzY]|35-49|Male</v>
      </c>
      <c r="F72" s="38"/>
      <c r="G72" s="33" t="str">
        <f t="shared" si="4"/>
        <v/>
      </c>
      <c r="H72" s="218" t="str">
        <f t="shared" si="5"/>
        <v/>
      </c>
    </row>
    <row r="73" spans="1:8" x14ac:dyDescent="0.2">
      <c r="A73" t="str">
        <f>INDEX(Prioritization!$D:$D,MATCH($B73,Prioritization!$A:$A,0))</f>
        <v>4 - Sustained</v>
      </c>
      <c r="B73" t="s">
        <v>298</v>
      </c>
      <c r="C73" t="s">
        <v>478</v>
      </c>
      <c r="D73" t="s">
        <v>30</v>
      </c>
      <c r="E73" t="str">
        <f t="shared" si="3"/>
        <v>Dedza District [PekKUkKHAzY]|50+|Female</v>
      </c>
      <c r="F73" s="38"/>
      <c r="G73" s="33" t="str">
        <f t="shared" si="4"/>
        <v/>
      </c>
      <c r="H73" s="218" t="str">
        <f t="shared" si="5"/>
        <v/>
      </c>
    </row>
    <row r="74" spans="1:8" x14ac:dyDescent="0.2">
      <c r="A74" t="str">
        <f>INDEX(Prioritization!$D:$D,MATCH($B74,Prioritization!$A:$A,0))</f>
        <v>4 - Sustained</v>
      </c>
      <c r="B74" t="s">
        <v>298</v>
      </c>
      <c r="C74" t="s">
        <v>478</v>
      </c>
      <c r="D74" t="s">
        <v>48</v>
      </c>
      <c r="E74" t="str">
        <f t="shared" si="3"/>
        <v>Dedza District [PekKUkKHAzY]|50+|Male</v>
      </c>
      <c r="F74" s="38"/>
      <c r="G74" s="33" t="str">
        <f t="shared" si="4"/>
        <v/>
      </c>
      <c r="H74" s="218" t="str">
        <f t="shared" si="5"/>
        <v/>
      </c>
    </row>
    <row r="75" spans="1:8" x14ac:dyDescent="0.2">
      <c r="A75" t="str">
        <f>INDEX(Prioritization!$D:$D,MATCH($B75,Prioritization!$A:$A,0))</f>
        <v>4 - Sustained</v>
      </c>
      <c r="B75" t="s">
        <v>299</v>
      </c>
      <c r="C75" t="s">
        <v>474</v>
      </c>
      <c r="D75" t="s">
        <v>30</v>
      </c>
      <c r="E75" t="str">
        <f t="shared" si="3"/>
        <v>Dowa District [zphK9WV8JB4]|10-14|Female</v>
      </c>
      <c r="F75" s="38"/>
      <c r="G75" s="33" t="str">
        <f t="shared" si="4"/>
        <v/>
      </c>
      <c r="H75" s="218" t="str">
        <f t="shared" si="5"/>
        <v/>
      </c>
    </row>
    <row r="76" spans="1:8" x14ac:dyDescent="0.2">
      <c r="A76" t="str">
        <f>INDEX(Prioritization!$D:$D,MATCH($B76,Prioritization!$A:$A,0))</f>
        <v>4 - Sustained</v>
      </c>
      <c r="B76" t="s">
        <v>299</v>
      </c>
      <c r="C76" t="s">
        <v>474</v>
      </c>
      <c r="D76" t="s">
        <v>48</v>
      </c>
      <c r="E76" t="str">
        <f t="shared" si="3"/>
        <v>Dowa District [zphK9WV8JB4]|10-14|Male</v>
      </c>
      <c r="F76" s="38"/>
      <c r="G76" s="33" t="str">
        <f t="shared" si="4"/>
        <v/>
      </c>
      <c r="H76" s="218" t="str">
        <f t="shared" si="5"/>
        <v/>
      </c>
    </row>
    <row r="77" spans="1:8" x14ac:dyDescent="0.2">
      <c r="A77" t="str">
        <f>INDEX(Prioritization!$D:$D,MATCH($B77,Prioritization!$A:$A,0))</f>
        <v>4 - Sustained</v>
      </c>
      <c r="B77" t="s">
        <v>299</v>
      </c>
      <c r="C77" t="s">
        <v>475</v>
      </c>
      <c r="D77" t="s">
        <v>30</v>
      </c>
      <c r="E77" t="str">
        <f t="shared" si="3"/>
        <v>Dowa District [zphK9WV8JB4]|15-24|Female</v>
      </c>
      <c r="F77" s="38">
        <v>44</v>
      </c>
      <c r="G77" s="33">
        <v>-9.0909090909090898E-2</v>
      </c>
      <c r="H77" s="218">
        <f t="shared" si="5"/>
        <v>40</v>
      </c>
    </row>
    <row r="78" spans="1:8" x14ac:dyDescent="0.2">
      <c r="A78" t="str">
        <f>INDEX(Prioritization!$D:$D,MATCH($B78,Prioritization!$A:$A,0))</f>
        <v>4 - Sustained</v>
      </c>
      <c r="B78" t="s">
        <v>299</v>
      </c>
      <c r="C78" t="s">
        <v>475</v>
      </c>
      <c r="D78" t="s">
        <v>48</v>
      </c>
      <c r="E78" t="str">
        <f t="shared" si="3"/>
        <v>Dowa District [zphK9WV8JB4]|15-24|Male</v>
      </c>
      <c r="F78" s="38">
        <v>31</v>
      </c>
      <c r="G78" s="33">
        <v>-0.35483870967741898</v>
      </c>
      <c r="H78" s="218">
        <f t="shared" si="5"/>
        <v>20</v>
      </c>
    </row>
    <row r="79" spans="1:8" x14ac:dyDescent="0.2">
      <c r="A79" t="str">
        <f>INDEX(Prioritization!$D:$D,MATCH($B79,Prioritization!$A:$A,0))</f>
        <v>4 - Sustained</v>
      </c>
      <c r="B79" t="s">
        <v>299</v>
      </c>
      <c r="C79" t="s">
        <v>476</v>
      </c>
      <c r="D79" t="s">
        <v>30</v>
      </c>
      <c r="E79" t="str">
        <f t="shared" si="3"/>
        <v>Dowa District [zphK9WV8JB4]|25-34|Female</v>
      </c>
      <c r="F79" s="38"/>
      <c r="G79" s="33" t="str">
        <f t="shared" si="4"/>
        <v/>
      </c>
      <c r="H79" s="218" t="str">
        <f t="shared" si="5"/>
        <v/>
      </c>
    </row>
    <row r="80" spans="1:8" x14ac:dyDescent="0.2">
      <c r="A80" t="str">
        <f>INDEX(Prioritization!$D:$D,MATCH($B80,Prioritization!$A:$A,0))</f>
        <v>4 - Sustained</v>
      </c>
      <c r="B80" t="s">
        <v>299</v>
      </c>
      <c r="C80" t="s">
        <v>476</v>
      </c>
      <c r="D80" t="s">
        <v>48</v>
      </c>
      <c r="E80" t="str">
        <f t="shared" si="3"/>
        <v>Dowa District [zphK9WV8JB4]|25-34|Male</v>
      </c>
      <c r="F80" s="38"/>
      <c r="G80" s="33" t="str">
        <f t="shared" si="4"/>
        <v/>
      </c>
      <c r="H80" s="218" t="str">
        <f t="shared" si="5"/>
        <v/>
      </c>
    </row>
    <row r="81" spans="1:8" x14ac:dyDescent="0.2">
      <c r="A81" t="str">
        <f>INDEX(Prioritization!$D:$D,MATCH($B81,Prioritization!$A:$A,0))</f>
        <v>4 - Sustained</v>
      </c>
      <c r="B81" t="s">
        <v>299</v>
      </c>
      <c r="C81" t="s">
        <v>477</v>
      </c>
      <c r="D81" t="s">
        <v>30</v>
      </c>
      <c r="E81" t="str">
        <f t="shared" si="3"/>
        <v>Dowa District [zphK9WV8JB4]|35-49|Female</v>
      </c>
      <c r="F81" s="38"/>
      <c r="G81" s="33" t="str">
        <f t="shared" si="4"/>
        <v/>
      </c>
      <c r="H81" s="218" t="str">
        <f t="shared" si="5"/>
        <v/>
      </c>
    </row>
    <row r="82" spans="1:8" x14ac:dyDescent="0.2">
      <c r="A82" t="str">
        <f>INDEX(Prioritization!$D:$D,MATCH($B82,Prioritization!$A:$A,0))</f>
        <v>4 - Sustained</v>
      </c>
      <c r="B82" t="s">
        <v>299</v>
      </c>
      <c r="C82" t="s">
        <v>477</v>
      </c>
      <c r="D82" t="s">
        <v>48</v>
      </c>
      <c r="E82" t="str">
        <f t="shared" si="3"/>
        <v>Dowa District [zphK9WV8JB4]|35-49|Male</v>
      </c>
      <c r="F82" s="38"/>
      <c r="G82" s="33" t="str">
        <f t="shared" si="4"/>
        <v/>
      </c>
      <c r="H82" s="218" t="str">
        <f t="shared" si="5"/>
        <v/>
      </c>
    </row>
    <row r="83" spans="1:8" x14ac:dyDescent="0.2">
      <c r="A83" t="str">
        <f>INDEX(Prioritization!$D:$D,MATCH($B83,Prioritization!$A:$A,0))</f>
        <v>4 - Sustained</v>
      </c>
      <c r="B83" t="s">
        <v>299</v>
      </c>
      <c r="C83" t="s">
        <v>478</v>
      </c>
      <c r="D83" t="s">
        <v>30</v>
      </c>
      <c r="E83" t="str">
        <f t="shared" si="3"/>
        <v>Dowa District [zphK9WV8JB4]|50+|Female</v>
      </c>
      <c r="F83" s="38"/>
      <c r="G83" s="33" t="str">
        <f t="shared" si="4"/>
        <v/>
      </c>
      <c r="H83" s="218" t="str">
        <f t="shared" si="5"/>
        <v/>
      </c>
    </row>
    <row r="84" spans="1:8" x14ac:dyDescent="0.2">
      <c r="A84" t="str">
        <f>INDEX(Prioritization!$D:$D,MATCH($B84,Prioritization!$A:$A,0))</f>
        <v>4 - Sustained</v>
      </c>
      <c r="B84" t="s">
        <v>299</v>
      </c>
      <c r="C84" t="s">
        <v>478</v>
      </c>
      <c r="D84" t="s">
        <v>48</v>
      </c>
      <c r="E84" t="str">
        <f t="shared" si="3"/>
        <v>Dowa District [zphK9WV8JB4]|50+|Male</v>
      </c>
      <c r="F84" s="38"/>
      <c r="G84" s="33" t="str">
        <f t="shared" si="4"/>
        <v/>
      </c>
      <c r="H84" s="218" t="str">
        <f t="shared" si="5"/>
        <v/>
      </c>
    </row>
    <row r="85" spans="1:8" x14ac:dyDescent="0.2">
      <c r="A85" t="str">
        <f>INDEX(Prioritization!$D:$D,MATCH($B85,Prioritization!$A:$A,0))</f>
        <v>INVALID</v>
      </c>
      <c r="B85" t="s">
        <v>308</v>
      </c>
      <c r="C85" t="s">
        <v>474</v>
      </c>
      <c r="D85" t="s">
        <v>30</v>
      </c>
      <c r="E85" t="str">
        <f t="shared" si="3"/>
        <v>Karonga District [cPtvxaZqXIH]|10-14|Female</v>
      </c>
      <c r="F85" s="38"/>
      <c r="G85" s="33" t="str">
        <f t="shared" si="4"/>
        <v/>
      </c>
      <c r="H85" s="218" t="str">
        <f t="shared" si="5"/>
        <v/>
      </c>
    </row>
    <row r="86" spans="1:8" x14ac:dyDescent="0.2">
      <c r="A86" t="str">
        <f>INDEX(Prioritization!$D:$D,MATCH($B86,Prioritization!$A:$A,0))</f>
        <v>INVALID</v>
      </c>
      <c r="B86" t="s">
        <v>308</v>
      </c>
      <c r="C86" t="s">
        <v>474</v>
      </c>
      <c r="D86" t="s">
        <v>48</v>
      </c>
      <c r="E86" t="str">
        <f t="shared" si="3"/>
        <v>Karonga District [cPtvxaZqXIH]|10-14|Male</v>
      </c>
      <c r="F86" s="38"/>
      <c r="G86" s="33" t="str">
        <f t="shared" si="4"/>
        <v/>
      </c>
      <c r="H86" s="218" t="str">
        <f t="shared" si="5"/>
        <v/>
      </c>
    </row>
    <row r="87" spans="1:8" x14ac:dyDescent="0.2">
      <c r="A87" t="str">
        <f>INDEX(Prioritization!$D:$D,MATCH($B87,Prioritization!$A:$A,0))</f>
        <v>INVALID</v>
      </c>
      <c r="B87" t="s">
        <v>308</v>
      </c>
      <c r="C87" t="s">
        <v>475</v>
      </c>
      <c r="D87" t="s">
        <v>30</v>
      </c>
      <c r="E87" t="str">
        <f t="shared" si="3"/>
        <v>Karonga District [cPtvxaZqXIH]|15-24|Female</v>
      </c>
      <c r="F87" s="38"/>
      <c r="G87" s="33" t="str">
        <f t="shared" si="4"/>
        <v/>
      </c>
      <c r="H87" s="218" t="str">
        <f t="shared" si="5"/>
        <v/>
      </c>
    </row>
    <row r="88" spans="1:8" x14ac:dyDescent="0.2">
      <c r="A88" t="str">
        <f>INDEX(Prioritization!$D:$D,MATCH($B88,Prioritization!$A:$A,0))</f>
        <v>INVALID</v>
      </c>
      <c r="B88" t="s">
        <v>308</v>
      </c>
      <c r="C88" t="s">
        <v>475</v>
      </c>
      <c r="D88" t="s">
        <v>48</v>
      </c>
      <c r="E88" t="str">
        <f t="shared" si="3"/>
        <v>Karonga District [cPtvxaZqXIH]|15-24|Male</v>
      </c>
      <c r="F88" s="38"/>
      <c r="G88" s="33" t="str">
        <f t="shared" si="4"/>
        <v/>
      </c>
      <c r="H88" s="218" t="str">
        <f t="shared" si="5"/>
        <v/>
      </c>
    </row>
    <row r="89" spans="1:8" x14ac:dyDescent="0.2">
      <c r="A89" t="str">
        <f>INDEX(Prioritization!$D:$D,MATCH($B89,Prioritization!$A:$A,0))</f>
        <v>INVALID</v>
      </c>
      <c r="B89" t="s">
        <v>308</v>
      </c>
      <c r="C89" t="s">
        <v>476</v>
      </c>
      <c r="D89" t="s">
        <v>30</v>
      </c>
      <c r="E89" t="str">
        <f t="shared" si="3"/>
        <v>Karonga District [cPtvxaZqXIH]|25-34|Female</v>
      </c>
      <c r="F89" s="38"/>
      <c r="G89" s="33" t="str">
        <f t="shared" si="4"/>
        <v/>
      </c>
      <c r="H89" s="218" t="str">
        <f t="shared" si="5"/>
        <v/>
      </c>
    </row>
    <row r="90" spans="1:8" x14ac:dyDescent="0.2">
      <c r="A90" t="str">
        <f>INDEX(Prioritization!$D:$D,MATCH($B90,Prioritization!$A:$A,0))</f>
        <v>INVALID</v>
      </c>
      <c r="B90" t="s">
        <v>308</v>
      </c>
      <c r="C90" t="s">
        <v>476</v>
      </c>
      <c r="D90" t="s">
        <v>48</v>
      </c>
      <c r="E90" t="str">
        <f t="shared" si="3"/>
        <v>Karonga District [cPtvxaZqXIH]|25-34|Male</v>
      </c>
      <c r="F90" s="38"/>
      <c r="G90" s="33" t="str">
        <f t="shared" si="4"/>
        <v/>
      </c>
      <c r="H90" s="218" t="str">
        <f t="shared" si="5"/>
        <v/>
      </c>
    </row>
    <row r="91" spans="1:8" x14ac:dyDescent="0.2">
      <c r="A91" t="str">
        <f>INDEX(Prioritization!$D:$D,MATCH($B91,Prioritization!$A:$A,0))</f>
        <v>INVALID</v>
      </c>
      <c r="B91" t="s">
        <v>308</v>
      </c>
      <c r="C91" t="s">
        <v>477</v>
      </c>
      <c r="D91" t="s">
        <v>30</v>
      </c>
      <c r="E91" t="str">
        <f t="shared" si="3"/>
        <v>Karonga District [cPtvxaZqXIH]|35-49|Female</v>
      </c>
      <c r="F91" s="38"/>
      <c r="G91" s="33" t="str">
        <f t="shared" si="4"/>
        <v/>
      </c>
      <c r="H91" s="218" t="str">
        <f t="shared" si="5"/>
        <v/>
      </c>
    </row>
    <row r="92" spans="1:8" x14ac:dyDescent="0.2">
      <c r="A92" t="str">
        <f>INDEX(Prioritization!$D:$D,MATCH($B92,Prioritization!$A:$A,0))</f>
        <v>INVALID</v>
      </c>
      <c r="B92" t="s">
        <v>308</v>
      </c>
      <c r="C92" t="s">
        <v>477</v>
      </c>
      <c r="D92" t="s">
        <v>48</v>
      </c>
      <c r="E92" t="str">
        <f t="shared" si="3"/>
        <v>Karonga District [cPtvxaZqXIH]|35-49|Male</v>
      </c>
      <c r="F92" s="38"/>
      <c r="G92" s="33" t="str">
        <f t="shared" si="4"/>
        <v/>
      </c>
      <c r="H92" s="218" t="str">
        <f t="shared" si="5"/>
        <v/>
      </c>
    </row>
    <row r="93" spans="1:8" x14ac:dyDescent="0.2">
      <c r="A93" t="str">
        <f>INDEX(Prioritization!$D:$D,MATCH($B93,Prioritization!$A:$A,0))</f>
        <v>INVALID</v>
      </c>
      <c r="B93" t="s">
        <v>308</v>
      </c>
      <c r="C93" t="s">
        <v>478</v>
      </c>
      <c r="D93" t="s">
        <v>30</v>
      </c>
      <c r="E93" t="str">
        <f t="shared" si="3"/>
        <v>Karonga District [cPtvxaZqXIH]|50+|Female</v>
      </c>
      <c r="F93" s="38"/>
      <c r="G93" s="33" t="str">
        <f t="shared" si="4"/>
        <v/>
      </c>
      <c r="H93" s="218" t="str">
        <f t="shared" si="5"/>
        <v/>
      </c>
    </row>
    <row r="94" spans="1:8" x14ac:dyDescent="0.2">
      <c r="A94" t="str">
        <f>INDEX(Prioritization!$D:$D,MATCH($B94,Prioritization!$A:$A,0))</f>
        <v>INVALID</v>
      </c>
      <c r="B94" t="s">
        <v>308</v>
      </c>
      <c r="C94" t="s">
        <v>478</v>
      </c>
      <c r="D94" t="s">
        <v>48</v>
      </c>
      <c r="E94" t="str">
        <f t="shared" si="3"/>
        <v>Karonga District [cPtvxaZqXIH]|50+|Male</v>
      </c>
      <c r="F94" s="38"/>
      <c r="G94" s="33" t="str">
        <f t="shared" si="4"/>
        <v/>
      </c>
      <c r="H94" s="218" t="str">
        <f t="shared" si="5"/>
        <v/>
      </c>
    </row>
    <row r="95" spans="1:8" x14ac:dyDescent="0.2">
      <c r="A95" t="str">
        <f>INDEX(Prioritization!$D:$D,MATCH($B95,Prioritization!$A:$A,0))</f>
        <v>INVALID</v>
      </c>
      <c r="B95" t="s">
        <v>300</v>
      </c>
      <c r="C95" t="s">
        <v>474</v>
      </c>
      <c r="D95" t="s">
        <v>30</v>
      </c>
      <c r="E95" t="str">
        <f t="shared" si="3"/>
        <v>Kasungu District [JQKLKuVuY61]|10-14|Female</v>
      </c>
      <c r="F95" s="38"/>
      <c r="G95" s="33" t="str">
        <f t="shared" si="4"/>
        <v/>
      </c>
      <c r="H95" s="218" t="str">
        <f t="shared" si="5"/>
        <v/>
      </c>
    </row>
    <row r="96" spans="1:8" x14ac:dyDescent="0.2">
      <c r="A96" t="str">
        <f>INDEX(Prioritization!$D:$D,MATCH($B96,Prioritization!$A:$A,0))</f>
        <v>INVALID</v>
      </c>
      <c r="B96" t="s">
        <v>300</v>
      </c>
      <c r="C96" t="s">
        <v>474</v>
      </c>
      <c r="D96" t="s">
        <v>48</v>
      </c>
      <c r="E96" t="str">
        <f t="shared" si="3"/>
        <v>Kasungu District [JQKLKuVuY61]|10-14|Male</v>
      </c>
      <c r="F96" s="38"/>
      <c r="G96" s="33" t="str">
        <f t="shared" si="4"/>
        <v/>
      </c>
      <c r="H96" s="218" t="str">
        <f t="shared" si="5"/>
        <v/>
      </c>
    </row>
    <row r="97" spans="1:8" x14ac:dyDescent="0.2">
      <c r="A97" t="str">
        <f>INDEX(Prioritization!$D:$D,MATCH($B97,Prioritization!$A:$A,0))</f>
        <v>INVALID</v>
      </c>
      <c r="B97" t="s">
        <v>300</v>
      </c>
      <c r="C97" t="s">
        <v>475</v>
      </c>
      <c r="D97" t="s">
        <v>30</v>
      </c>
      <c r="E97" t="str">
        <f t="shared" si="3"/>
        <v>Kasungu District [JQKLKuVuY61]|15-24|Female</v>
      </c>
      <c r="F97" s="38"/>
      <c r="G97" s="33" t="str">
        <f t="shared" si="4"/>
        <v/>
      </c>
      <c r="H97" s="244">
        <v>20</v>
      </c>
    </row>
    <row r="98" spans="1:8" x14ac:dyDescent="0.2">
      <c r="A98" t="str">
        <f>INDEX(Prioritization!$D:$D,MATCH($B98,Prioritization!$A:$A,0))</f>
        <v>INVALID</v>
      </c>
      <c r="B98" t="s">
        <v>300</v>
      </c>
      <c r="C98" t="s">
        <v>475</v>
      </c>
      <c r="D98" t="s">
        <v>48</v>
      </c>
      <c r="E98" t="str">
        <f t="shared" si="3"/>
        <v>Kasungu District [JQKLKuVuY61]|15-24|Male</v>
      </c>
      <c r="F98" s="38"/>
      <c r="G98" s="33" t="str">
        <f t="shared" si="4"/>
        <v/>
      </c>
      <c r="H98" s="244">
        <v>10</v>
      </c>
    </row>
    <row r="99" spans="1:8" x14ac:dyDescent="0.2">
      <c r="A99" t="str">
        <f>INDEX(Prioritization!$D:$D,MATCH($B99,Prioritization!$A:$A,0))</f>
        <v>INVALID</v>
      </c>
      <c r="B99" t="s">
        <v>300</v>
      </c>
      <c r="C99" t="s">
        <v>476</v>
      </c>
      <c r="D99" t="s">
        <v>30</v>
      </c>
      <c r="E99" t="str">
        <f t="shared" si="3"/>
        <v>Kasungu District [JQKLKuVuY61]|25-34|Female</v>
      </c>
      <c r="F99" s="38"/>
      <c r="G99" s="33" t="str">
        <f t="shared" si="4"/>
        <v/>
      </c>
      <c r="H99" s="218" t="str">
        <f t="shared" si="5"/>
        <v/>
      </c>
    </row>
    <row r="100" spans="1:8" x14ac:dyDescent="0.2">
      <c r="A100" t="str">
        <f>INDEX(Prioritization!$D:$D,MATCH($B100,Prioritization!$A:$A,0))</f>
        <v>INVALID</v>
      </c>
      <c r="B100" t="s">
        <v>300</v>
      </c>
      <c r="C100" t="s">
        <v>476</v>
      </c>
      <c r="D100" t="s">
        <v>48</v>
      </c>
      <c r="E100" t="str">
        <f t="shared" si="3"/>
        <v>Kasungu District [JQKLKuVuY61]|25-34|Male</v>
      </c>
      <c r="F100" s="38"/>
      <c r="G100" s="33" t="str">
        <f t="shared" si="4"/>
        <v/>
      </c>
      <c r="H100" s="218" t="str">
        <f t="shared" si="5"/>
        <v/>
      </c>
    </row>
    <row r="101" spans="1:8" x14ac:dyDescent="0.2">
      <c r="A101" t="str">
        <f>INDEX(Prioritization!$D:$D,MATCH($B101,Prioritization!$A:$A,0))</f>
        <v>INVALID</v>
      </c>
      <c r="B101" t="s">
        <v>300</v>
      </c>
      <c r="C101" t="s">
        <v>477</v>
      </c>
      <c r="D101" t="s">
        <v>30</v>
      </c>
      <c r="E101" t="str">
        <f t="shared" si="3"/>
        <v>Kasungu District [JQKLKuVuY61]|35-49|Female</v>
      </c>
      <c r="F101" s="38"/>
      <c r="G101" s="33" t="str">
        <f t="shared" si="4"/>
        <v/>
      </c>
      <c r="H101" s="218" t="str">
        <f t="shared" si="5"/>
        <v/>
      </c>
    </row>
    <row r="102" spans="1:8" x14ac:dyDescent="0.2">
      <c r="A102" t="str">
        <f>INDEX(Prioritization!$D:$D,MATCH($B102,Prioritization!$A:$A,0))</f>
        <v>INVALID</v>
      </c>
      <c r="B102" t="s">
        <v>300</v>
      </c>
      <c r="C102" t="s">
        <v>477</v>
      </c>
      <c r="D102" t="s">
        <v>48</v>
      </c>
      <c r="E102" t="str">
        <f t="shared" si="3"/>
        <v>Kasungu District [JQKLKuVuY61]|35-49|Male</v>
      </c>
      <c r="F102" s="38"/>
      <c r="G102" s="33" t="str">
        <f t="shared" si="4"/>
        <v/>
      </c>
      <c r="H102" s="218" t="str">
        <f t="shared" si="5"/>
        <v/>
      </c>
    </row>
    <row r="103" spans="1:8" x14ac:dyDescent="0.2">
      <c r="A103" t="str">
        <f>INDEX(Prioritization!$D:$D,MATCH($B103,Prioritization!$A:$A,0))</f>
        <v>INVALID</v>
      </c>
      <c r="B103" t="s">
        <v>300</v>
      </c>
      <c r="C103" t="s">
        <v>478</v>
      </c>
      <c r="D103" t="s">
        <v>30</v>
      </c>
      <c r="E103" t="str">
        <f t="shared" si="3"/>
        <v>Kasungu District [JQKLKuVuY61]|50+|Female</v>
      </c>
      <c r="F103" s="38"/>
      <c r="G103" s="33" t="str">
        <f t="shared" si="4"/>
        <v/>
      </c>
      <c r="H103" s="218" t="str">
        <f t="shared" si="5"/>
        <v/>
      </c>
    </row>
    <row r="104" spans="1:8" x14ac:dyDescent="0.2">
      <c r="A104" t="str">
        <f>INDEX(Prioritization!$D:$D,MATCH($B104,Prioritization!$A:$A,0))</f>
        <v>INVALID</v>
      </c>
      <c r="B104" t="s">
        <v>300</v>
      </c>
      <c r="C104" t="s">
        <v>478</v>
      </c>
      <c r="D104" t="s">
        <v>48</v>
      </c>
      <c r="E104" t="str">
        <f t="shared" si="3"/>
        <v>Kasungu District [JQKLKuVuY61]|50+|Male</v>
      </c>
      <c r="F104" s="38"/>
      <c r="G104" s="33" t="str">
        <f t="shared" si="4"/>
        <v/>
      </c>
      <c r="H104" s="218" t="str">
        <f t="shared" si="5"/>
        <v/>
      </c>
    </row>
    <row r="105" spans="1:8" x14ac:dyDescent="0.2">
      <c r="A105" t="str">
        <f>INDEX(Prioritization!$D:$D,MATCH($B105,Prioritization!$A:$A,0))</f>
        <v>4 - Sustained</v>
      </c>
      <c r="B105" t="s">
        <v>309</v>
      </c>
      <c r="C105" t="s">
        <v>474</v>
      </c>
      <c r="D105" t="s">
        <v>30</v>
      </c>
      <c r="E105" t="str">
        <f t="shared" si="3"/>
        <v>Likoma District [ZCjuwgaMB9u]|10-14|Female</v>
      </c>
      <c r="F105" s="38"/>
      <c r="G105" s="33" t="str">
        <f t="shared" si="4"/>
        <v/>
      </c>
      <c r="H105" s="218" t="str">
        <f t="shared" si="5"/>
        <v/>
      </c>
    </row>
    <row r="106" spans="1:8" x14ac:dyDescent="0.2">
      <c r="A106" t="str">
        <f>INDEX(Prioritization!$D:$D,MATCH($B106,Prioritization!$A:$A,0))</f>
        <v>4 - Sustained</v>
      </c>
      <c r="B106" t="s">
        <v>309</v>
      </c>
      <c r="C106" t="s">
        <v>474</v>
      </c>
      <c r="D106" t="s">
        <v>48</v>
      </c>
      <c r="E106" t="str">
        <f t="shared" si="3"/>
        <v>Likoma District [ZCjuwgaMB9u]|10-14|Male</v>
      </c>
      <c r="F106" s="38"/>
      <c r="G106" s="33" t="str">
        <f t="shared" si="4"/>
        <v/>
      </c>
      <c r="H106" s="218" t="str">
        <f t="shared" si="5"/>
        <v/>
      </c>
    </row>
    <row r="107" spans="1:8" x14ac:dyDescent="0.2">
      <c r="A107" t="str">
        <f>INDEX(Prioritization!$D:$D,MATCH($B107,Prioritization!$A:$A,0))</f>
        <v>4 - Sustained</v>
      </c>
      <c r="B107" t="s">
        <v>309</v>
      </c>
      <c r="C107" t="s">
        <v>475</v>
      </c>
      <c r="D107" t="s">
        <v>30</v>
      </c>
      <c r="E107" t="str">
        <f t="shared" si="3"/>
        <v>Likoma District [ZCjuwgaMB9u]|15-24|Female</v>
      </c>
      <c r="F107" s="38"/>
      <c r="G107" s="33" t="str">
        <f t="shared" si="4"/>
        <v/>
      </c>
      <c r="H107" s="218" t="str">
        <f t="shared" si="5"/>
        <v/>
      </c>
    </row>
    <row r="108" spans="1:8" x14ac:dyDescent="0.2">
      <c r="A108" t="str">
        <f>INDEX(Prioritization!$D:$D,MATCH($B108,Prioritization!$A:$A,0))</f>
        <v>4 - Sustained</v>
      </c>
      <c r="B108" t="s">
        <v>309</v>
      </c>
      <c r="C108" t="s">
        <v>475</v>
      </c>
      <c r="D108" t="s">
        <v>48</v>
      </c>
      <c r="E108" t="str">
        <f t="shared" si="3"/>
        <v>Likoma District [ZCjuwgaMB9u]|15-24|Male</v>
      </c>
      <c r="F108" s="38"/>
      <c r="G108" s="33" t="str">
        <f t="shared" si="4"/>
        <v/>
      </c>
      <c r="H108" s="218" t="str">
        <f t="shared" si="5"/>
        <v/>
      </c>
    </row>
    <row r="109" spans="1:8" x14ac:dyDescent="0.2">
      <c r="A109" t="str">
        <f>INDEX(Prioritization!$D:$D,MATCH($B109,Prioritization!$A:$A,0))</f>
        <v>4 - Sustained</v>
      </c>
      <c r="B109" t="s">
        <v>309</v>
      </c>
      <c r="C109" t="s">
        <v>476</v>
      </c>
      <c r="D109" t="s">
        <v>30</v>
      </c>
      <c r="E109" t="str">
        <f t="shared" si="3"/>
        <v>Likoma District [ZCjuwgaMB9u]|25-34|Female</v>
      </c>
      <c r="F109" s="38"/>
      <c r="G109" s="33" t="str">
        <f t="shared" si="4"/>
        <v/>
      </c>
      <c r="H109" s="218" t="str">
        <f t="shared" si="5"/>
        <v/>
      </c>
    </row>
    <row r="110" spans="1:8" x14ac:dyDescent="0.2">
      <c r="A110" t="str">
        <f>INDEX(Prioritization!$D:$D,MATCH($B110,Prioritization!$A:$A,0))</f>
        <v>4 - Sustained</v>
      </c>
      <c r="B110" t="s">
        <v>309</v>
      </c>
      <c r="C110" t="s">
        <v>476</v>
      </c>
      <c r="D110" t="s">
        <v>48</v>
      </c>
      <c r="E110" t="str">
        <f t="shared" si="3"/>
        <v>Likoma District [ZCjuwgaMB9u]|25-34|Male</v>
      </c>
      <c r="F110" s="38"/>
      <c r="G110" s="33" t="str">
        <f t="shared" si="4"/>
        <v/>
      </c>
      <c r="H110" s="218" t="str">
        <f t="shared" si="5"/>
        <v/>
      </c>
    </row>
    <row r="111" spans="1:8" x14ac:dyDescent="0.2">
      <c r="A111" t="str">
        <f>INDEX(Prioritization!$D:$D,MATCH($B111,Prioritization!$A:$A,0))</f>
        <v>4 - Sustained</v>
      </c>
      <c r="B111" t="s">
        <v>309</v>
      </c>
      <c r="C111" t="s">
        <v>477</v>
      </c>
      <c r="D111" t="s">
        <v>30</v>
      </c>
      <c r="E111" t="str">
        <f t="shared" si="3"/>
        <v>Likoma District [ZCjuwgaMB9u]|35-49|Female</v>
      </c>
      <c r="F111" s="38"/>
      <c r="G111" s="33" t="str">
        <f t="shared" si="4"/>
        <v/>
      </c>
      <c r="H111" s="218" t="str">
        <f t="shared" si="5"/>
        <v/>
      </c>
    </row>
    <row r="112" spans="1:8" x14ac:dyDescent="0.2">
      <c r="A112" t="str">
        <f>INDEX(Prioritization!$D:$D,MATCH($B112,Prioritization!$A:$A,0))</f>
        <v>4 - Sustained</v>
      </c>
      <c r="B112" t="s">
        <v>309</v>
      </c>
      <c r="C112" t="s">
        <v>477</v>
      </c>
      <c r="D112" t="s">
        <v>48</v>
      </c>
      <c r="E112" t="str">
        <f t="shared" si="3"/>
        <v>Likoma District [ZCjuwgaMB9u]|35-49|Male</v>
      </c>
      <c r="F112" s="38"/>
      <c r="G112" s="33" t="str">
        <f t="shared" si="4"/>
        <v/>
      </c>
      <c r="H112" s="218" t="str">
        <f t="shared" si="5"/>
        <v/>
      </c>
    </row>
    <row r="113" spans="1:8" x14ac:dyDescent="0.2">
      <c r="A113" t="str">
        <f>INDEX(Prioritization!$D:$D,MATCH($B113,Prioritization!$A:$A,0))</f>
        <v>4 - Sustained</v>
      </c>
      <c r="B113" t="s">
        <v>309</v>
      </c>
      <c r="C113" t="s">
        <v>478</v>
      </c>
      <c r="D113" t="s">
        <v>30</v>
      </c>
      <c r="E113" t="str">
        <f t="shared" si="3"/>
        <v>Likoma District [ZCjuwgaMB9u]|50+|Female</v>
      </c>
      <c r="F113" s="38"/>
      <c r="G113" s="33" t="str">
        <f t="shared" si="4"/>
        <v/>
      </c>
      <c r="H113" s="218" t="str">
        <f t="shared" si="5"/>
        <v/>
      </c>
    </row>
    <row r="114" spans="1:8" x14ac:dyDescent="0.2">
      <c r="A114" t="str">
        <f>INDEX(Prioritization!$D:$D,MATCH($B114,Prioritization!$A:$A,0))</f>
        <v>4 - Sustained</v>
      </c>
      <c r="B114" t="s">
        <v>309</v>
      </c>
      <c r="C114" t="s">
        <v>478</v>
      </c>
      <c r="D114" t="s">
        <v>48</v>
      </c>
      <c r="E114" t="str">
        <f t="shared" si="3"/>
        <v>Likoma District [ZCjuwgaMB9u]|50+|Male</v>
      </c>
      <c r="F114" s="38"/>
      <c r="G114" s="33" t="str">
        <f t="shared" si="4"/>
        <v/>
      </c>
      <c r="H114" s="218" t="str">
        <f t="shared" si="5"/>
        <v/>
      </c>
    </row>
    <row r="115" spans="1:8" x14ac:dyDescent="0.2">
      <c r="A115" t="str">
        <f>INDEX(Prioritization!$D:$D,MATCH($B115,Prioritization!$A:$A,0))</f>
        <v>INVALID</v>
      </c>
      <c r="B115" t="s">
        <v>301</v>
      </c>
      <c r="C115" t="s">
        <v>474</v>
      </c>
      <c r="D115" t="s">
        <v>30</v>
      </c>
      <c r="E115" t="str">
        <f t="shared" si="3"/>
        <v>Lilongwe District [ScR9iFKAasW]|10-14|Female</v>
      </c>
      <c r="F115" s="38"/>
      <c r="G115" s="33" t="str">
        <f t="shared" si="4"/>
        <v/>
      </c>
      <c r="H115" s="218" t="str">
        <f t="shared" si="5"/>
        <v/>
      </c>
    </row>
    <row r="116" spans="1:8" x14ac:dyDescent="0.2">
      <c r="A116" t="str">
        <f>INDEX(Prioritization!$D:$D,MATCH($B116,Prioritization!$A:$A,0))</f>
        <v>INVALID</v>
      </c>
      <c r="B116" t="s">
        <v>301</v>
      </c>
      <c r="C116" t="s">
        <v>474</v>
      </c>
      <c r="D116" t="s">
        <v>48</v>
      </c>
      <c r="E116" t="str">
        <f t="shared" si="3"/>
        <v>Lilongwe District [ScR9iFKAasW]|10-14|Male</v>
      </c>
      <c r="F116" s="38"/>
      <c r="G116" s="33" t="str">
        <f t="shared" si="4"/>
        <v/>
      </c>
      <c r="H116" s="218" t="str">
        <f t="shared" si="5"/>
        <v/>
      </c>
    </row>
    <row r="117" spans="1:8" x14ac:dyDescent="0.2">
      <c r="A117" t="str">
        <f>INDEX(Prioritization!$D:$D,MATCH($B117,Prioritization!$A:$A,0))</f>
        <v>INVALID</v>
      </c>
      <c r="B117" t="s">
        <v>301</v>
      </c>
      <c r="C117" t="s">
        <v>475</v>
      </c>
      <c r="D117" t="s">
        <v>30</v>
      </c>
      <c r="E117" t="str">
        <f t="shared" si="3"/>
        <v>Lilongwe District [ScR9iFKAasW]|15-24|Female</v>
      </c>
      <c r="F117" s="38">
        <v>11540</v>
      </c>
      <c r="G117" s="33">
        <v>-0.97400346620450595</v>
      </c>
      <c r="H117" s="218">
        <f t="shared" si="5"/>
        <v>300</v>
      </c>
    </row>
    <row r="118" spans="1:8" x14ac:dyDescent="0.2">
      <c r="A118" t="str">
        <f>INDEX(Prioritization!$D:$D,MATCH($B118,Prioritization!$A:$A,0))</f>
        <v>INVALID</v>
      </c>
      <c r="B118" t="s">
        <v>301</v>
      </c>
      <c r="C118" t="s">
        <v>475</v>
      </c>
      <c r="D118" t="s">
        <v>48</v>
      </c>
      <c r="E118" t="str">
        <f t="shared" si="3"/>
        <v>Lilongwe District [ScR9iFKAasW]|15-24|Male</v>
      </c>
      <c r="F118" s="38">
        <v>189</v>
      </c>
      <c r="G118" s="33">
        <v>-0.206349206349206</v>
      </c>
      <c r="H118" s="218">
        <f t="shared" si="5"/>
        <v>150</v>
      </c>
    </row>
    <row r="119" spans="1:8" x14ac:dyDescent="0.2">
      <c r="A119" t="str">
        <f>INDEX(Prioritization!$D:$D,MATCH($B119,Prioritization!$A:$A,0))</f>
        <v>INVALID</v>
      </c>
      <c r="B119" t="s">
        <v>301</v>
      </c>
      <c r="C119" t="s">
        <v>476</v>
      </c>
      <c r="D119" t="s">
        <v>30</v>
      </c>
      <c r="E119" t="str">
        <f t="shared" si="3"/>
        <v>Lilongwe District [ScR9iFKAasW]|25-34|Female</v>
      </c>
      <c r="F119" s="38">
        <v>13721</v>
      </c>
      <c r="G119" s="33">
        <v>-1</v>
      </c>
      <c r="H119" s="218">
        <f t="shared" si="5"/>
        <v>0</v>
      </c>
    </row>
    <row r="120" spans="1:8" x14ac:dyDescent="0.2">
      <c r="A120" t="str">
        <f>INDEX(Prioritization!$D:$D,MATCH($B120,Prioritization!$A:$A,0))</f>
        <v>INVALID</v>
      </c>
      <c r="B120" t="s">
        <v>301</v>
      </c>
      <c r="C120" t="s">
        <v>476</v>
      </c>
      <c r="D120" t="s">
        <v>48</v>
      </c>
      <c r="E120" t="str">
        <f t="shared" si="3"/>
        <v>Lilongwe District [ScR9iFKAasW]|25-34|Male</v>
      </c>
      <c r="F120" s="38"/>
      <c r="G120" s="33" t="str">
        <f t="shared" si="4"/>
        <v/>
      </c>
      <c r="H120" s="218" t="str">
        <f t="shared" si="5"/>
        <v/>
      </c>
    </row>
    <row r="121" spans="1:8" x14ac:dyDescent="0.2">
      <c r="A121" t="str">
        <f>INDEX(Prioritization!$D:$D,MATCH($B121,Prioritization!$A:$A,0))</f>
        <v>INVALID</v>
      </c>
      <c r="B121" t="s">
        <v>301</v>
      </c>
      <c r="C121" t="s">
        <v>477</v>
      </c>
      <c r="D121" t="s">
        <v>30</v>
      </c>
      <c r="E121" t="str">
        <f t="shared" si="3"/>
        <v>Lilongwe District [ScR9iFKAasW]|35-49|Female</v>
      </c>
      <c r="F121" s="38"/>
      <c r="G121" s="33" t="str">
        <f t="shared" si="4"/>
        <v/>
      </c>
      <c r="H121" s="218" t="str">
        <f t="shared" si="5"/>
        <v/>
      </c>
    </row>
    <row r="122" spans="1:8" x14ac:dyDescent="0.2">
      <c r="A122" t="str">
        <f>INDEX(Prioritization!$D:$D,MATCH($B122,Prioritization!$A:$A,0))</f>
        <v>INVALID</v>
      </c>
      <c r="B122" t="s">
        <v>301</v>
      </c>
      <c r="C122" t="s">
        <v>477</v>
      </c>
      <c r="D122" t="s">
        <v>48</v>
      </c>
      <c r="E122" t="str">
        <f t="shared" si="3"/>
        <v>Lilongwe District [ScR9iFKAasW]|35-49|Male</v>
      </c>
      <c r="F122" s="38"/>
      <c r="G122" s="33" t="str">
        <f t="shared" si="4"/>
        <v/>
      </c>
      <c r="H122" s="218" t="str">
        <f t="shared" si="5"/>
        <v/>
      </c>
    </row>
    <row r="123" spans="1:8" x14ac:dyDescent="0.2">
      <c r="A123" t="str">
        <f>INDEX(Prioritization!$D:$D,MATCH($B123,Prioritization!$A:$A,0))</f>
        <v>INVALID</v>
      </c>
      <c r="B123" t="s">
        <v>301</v>
      </c>
      <c r="C123" t="s">
        <v>478</v>
      </c>
      <c r="D123" t="s">
        <v>30</v>
      </c>
      <c r="E123" t="str">
        <f t="shared" si="3"/>
        <v>Lilongwe District [ScR9iFKAasW]|50+|Female</v>
      </c>
      <c r="F123" s="38"/>
      <c r="G123" s="33" t="str">
        <f t="shared" si="4"/>
        <v/>
      </c>
      <c r="H123" s="218" t="str">
        <f t="shared" si="5"/>
        <v/>
      </c>
    </row>
    <row r="124" spans="1:8" x14ac:dyDescent="0.2">
      <c r="A124" t="str">
        <f>INDEX(Prioritization!$D:$D,MATCH($B124,Prioritization!$A:$A,0))</f>
        <v>INVALID</v>
      </c>
      <c r="B124" t="s">
        <v>301</v>
      </c>
      <c r="C124" t="s">
        <v>478</v>
      </c>
      <c r="D124" t="s">
        <v>48</v>
      </c>
      <c r="E124" t="str">
        <f t="shared" si="3"/>
        <v>Lilongwe District [ScR9iFKAasW]|50+|Male</v>
      </c>
      <c r="F124" s="38"/>
      <c r="G124" s="33" t="str">
        <f t="shared" si="4"/>
        <v/>
      </c>
      <c r="H124" s="218" t="str">
        <f t="shared" si="5"/>
        <v/>
      </c>
    </row>
    <row r="125" spans="1:8" x14ac:dyDescent="0.2">
      <c r="A125" t="str">
        <f>INDEX(Prioritization!$D:$D,MATCH($B125,Prioritization!$A:$A,0))</f>
        <v>1 - Scale-up: Saturation</v>
      </c>
      <c r="B125" t="s">
        <v>317</v>
      </c>
      <c r="C125" t="s">
        <v>474</v>
      </c>
      <c r="D125" t="s">
        <v>30</v>
      </c>
      <c r="E125" t="str">
        <f t="shared" si="3"/>
        <v>Machinga District [TYnMSwzko3z]|10-14|Female</v>
      </c>
      <c r="F125" s="38"/>
      <c r="G125" s="33" t="str">
        <f t="shared" si="4"/>
        <v/>
      </c>
      <c r="H125" s="218" t="str">
        <f t="shared" si="5"/>
        <v/>
      </c>
    </row>
    <row r="126" spans="1:8" x14ac:dyDescent="0.2">
      <c r="A126" t="str">
        <f>INDEX(Prioritization!$D:$D,MATCH($B126,Prioritization!$A:$A,0))</f>
        <v>1 - Scale-up: Saturation</v>
      </c>
      <c r="B126" t="s">
        <v>317</v>
      </c>
      <c r="C126" t="s">
        <v>474</v>
      </c>
      <c r="D126" t="s">
        <v>48</v>
      </c>
      <c r="E126" t="str">
        <f t="shared" si="3"/>
        <v>Machinga District [TYnMSwzko3z]|10-14|Male</v>
      </c>
      <c r="F126" s="38"/>
      <c r="G126" s="33" t="str">
        <f t="shared" si="4"/>
        <v/>
      </c>
      <c r="H126" s="218" t="str">
        <f t="shared" si="5"/>
        <v/>
      </c>
    </row>
    <row r="127" spans="1:8" x14ac:dyDescent="0.2">
      <c r="A127" t="str">
        <f>INDEX(Prioritization!$D:$D,MATCH($B127,Prioritization!$A:$A,0))</f>
        <v>1 - Scale-up: Saturation</v>
      </c>
      <c r="B127" t="s">
        <v>317</v>
      </c>
      <c r="C127" t="s">
        <v>475</v>
      </c>
      <c r="D127" t="s">
        <v>30</v>
      </c>
      <c r="E127" t="str">
        <f t="shared" si="3"/>
        <v>Machinga District [TYnMSwzko3z]|15-24|Female</v>
      </c>
      <c r="F127" s="38">
        <v>21649</v>
      </c>
      <c r="G127" s="33">
        <v>0.48353272668483499</v>
      </c>
      <c r="H127" s="218">
        <f t="shared" si="5"/>
        <v>32117</v>
      </c>
    </row>
    <row r="128" spans="1:8" x14ac:dyDescent="0.2">
      <c r="A128" t="str">
        <f>INDEX(Prioritization!$D:$D,MATCH($B128,Prioritization!$A:$A,0))</f>
        <v>1 - Scale-up: Saturation</v>
      </c>
      <c r="B128" t="s">
        <v>317</v>
      </c>
      <c r="C128" t="s">
        <v>475</v>
      </c>
      <c r="D128" t="s">
        <v>48</v>
      </c>
      <c r="E128" t="str">
        <f t="shared" si="3"/>
        <v>Machinga District [TYnMSwzko3z]|15-24|Male</v>
      </c>
      <c r="F128" s="38">
        <v>3179</v>
      </c>
      <c r="G128" s="33">
        <v>3.9267065114816</v>
      </c>
      <c r="H128" s="218">
        <f t="shared" si="5"/>
        <v>15662</v>
      </c>
    </row>
    <row r="129" spans="1:8" x14ac:dyDescent="0.2">
      <c r="A129" t="str">
        <f>INDEX(Prioritization!$D:$D,MATCH($B129,Prioritization!$A:$A,0))</f>
        <v>1 - Scale-up: Saturation</v>
      </c>
      <c r="B129" t="s">
        <v>317</v>
      </c>
      <c r="C129" t="s">
        <v>476</v>
      </c>
      <c r="D129" t="s">
        <v>30</v>
      </c>
      <c r="E129" t="str">
        <f t="shared" si="3"/>
        <v>Machinga District [TYnMSwzko3z]|25-34|Female</v>
      </c>
      <c r="F129" s="38">
        <v>2222</v>
      </c>
      <c r="G129" s="234">
        <v>0</v>
      </c>
      <c r="H129" s="218">
        <f t="shared" si="5"/>
        <v>2222</v>
      </c>
    </row>
    <row r="130" spans="1:8" x14ac:dyDescent="0.2">
      <c r="A130" t="str">
        <f>INDEX(Prioritization!$D:$D,MATCH($B130,Prioritization!$A:$A,0))</f>
        <v>1 - Scale-up: Saturation</v>
      </c>
      <c r="B130" t="s">
        <v>317</v>
      </c>
      <c r="C130" t="s">
        <v>476</v>
      </c>
      <c r="D130" t="s">
        <v>48</v>
      </c>
      <c r="E130" t="str">
        <f t="shared" si="3"/>
        <v>Machinga District [TYnMSwzko3z]|25-34|Male</v>
      </c>
      <c r="F130" s="38">
        <v>40</v>
      </c>
      <c r="G130" s="234">
        <v>0</v>
      </c>
      <c r="H130" s="218">
        <f t="shared" si="5"/>
        <v>40</v>
      </c>
    </row>
    <row r="131" spans="1:8" x14ac:dyDescent="0.2">
      <c r="A131" t="str">
        <f>INDEX(Prioritization!$D:$D,MATCH($B131,Prioritization!$A:$A,0))</f>
        <v>1 - Scale-up: Saturation</v>
      </c>
      <c r="B131" t="s">
        <v>317</v>
      </c>
      <c r="C131" t="s">
        <v>477</v>
      </c>
      <c r="D131" t="s">
        <v>30</v>
      </c>
      <c r="E131" t="str">
        <f t="shared" si="3"/>
        <v>Machinga District [TYnMSwzko3z]|35-49|Female</v>
      </c>
      <c r="F131" s="38">
        <v>4368</v>
      </c>
      <c r="G131" s="234">
        <v>-2.2893772893772899E-4</v>
      </c>
      <c r="H131" s="218">
        <f t="shared" si="5"/>
        <v>4367</v>
      </c>
    </row>
    <row r="132" spans="1:8" x14ac:dyDescent="0.2">
      <c r="A132" t="str">
        <f>INDEX(Prioritization!$D:$D,MATCH($B132,Prioritization!$A:$A,0))</f>
        <v>1 - Scale-up: Saturation</v>
      </c>
      <c r="B132" t="s">
        <v>317</v>
      </c>
      <c r="C132" t="s">
        <v>477</v>
      </c>
      <c r="D132" t="s">
        <v>48</v>
      </c>
      <c r="E132" t="str">
        <f t="shared" si="3"/>
        <v>Machinga District [TYnMSwzko3z]|35-49|Male</v>
      </c>
      <c r="F132" s="38">
        <v>120</v>
      </c>
      <c r="G132" s="33">
        <v>-8.3333333333333297E-3</v>
      </c>
      <c r="H132" s="218">
        <f t="shared" si="5"/>
        <v>119</v>
      </c>
    </row>
    <row r="133" spans="1:8" x14ac:dyDescent="0.2">
      <c r="A133" t="str">
        <f>INDEX(Prioritization!$D:$D,MATCH($B133,Prioritization!$A:$A,0))</f>
        <v>1 - Scale-up: Saturation</v>
      </c>
      <c r="B133" t="s">
        <v>317</v>
      </c>
      <c r="C133" t="s">
        <v>478</v>
      </c>
      <c r="D133" t="s">
        <v>30</v>
      </c>
      <c r="E133" t="str">
        <f t="shared" ref="E133:E196" si="6">B133&amp;"|"&amp;C133&amp;"|"&amp;D133</f>
        <v>Machinga District [TYnMSwzko3z]|50+|Female</v>
      </c>
      <c r="F133" s="38">
        <v>398</v>
      </c>
      <c r="G133" s="33">
        <f t="shared" ref="G133:G196" si="7">IF(SUM($F133)=0,"",0%)</f>
        <v>0</v>
      </c>
      <c r="H133" s="218">
        <f t="shared" ref="H133:H196" si="8">IF(SUM($F133)=0,"",ROUND($F133*(1+$G133),0))</f>
        <v>398</v>
      </c>
    </row>
    <row r="134" spans="1:8" x14ac:dyDescent="0.2">
      <c r="A134" t="str">
        <f>INDEX(Prioritization!$D:$D,MATCH($B134,Prioritization!$A:$A,0))</f>
        <v>1 - Scale-up: Saturation</v>
      </c>
      <c r="B134" t="s">
        <v>317</v>
      </c>
      <c r="C134" t="s">
        <v>478</v>
      </c>
      <c r="D134" t="s">
        <v>48</v>
      </c>
      <c r="E134" t="str">
        <f t="shared" si="6"/>
        <v>Machinga District [TYnMSwzko3z]|50+|Male</v>
      </c>
      <c r="F134" s="38"/>
      <c r="G134" s="33" t="str">
        <f t="shared" si="7"/>
        <v/>
      </c>
      <c r="H134" s="218" t="str">
        <f t="shared" si="8"/>
        <v/>
      </c>
    </row>
    <row r="135" spans="1:8" x14ac:dyDescent="0.2">
      <c r="A135" t="str">
        <f>INDEX(Prioritization!$D:$D,MATCH($B135,Prioritization!$A:$A,0))</f>
        <v>1 - Scale-up: Saturation</v>
      </c>
      <c r="B135" t="s">
        <v>318</v>
      </c>
      <c r="C135" t="s">
        <v>474</v>
      </c>
      <c r="D135" t="s">
        <v>30</v>
      </c>
      <c r="E135" t="str">
        <f t="shared" si="6"/>
        <v>Mangochi District [lLDyBx5XyUi]|10-14|Female</v>
      </c>
      <c r="F135" s="38"/>
      <c r="G135" s="33" t="str">
        <f t="shared" si="7"/>
        <v/>
      </c>
      <c r="H135" s="218" t="str">
        <f t="shared" si="8"/>
        <v/>
      </c>
    </row>
    <row r="136" spans="1:8" x14ac:dyDescent="0.2">
      <c r="A136" t="str">
        <f>INDEX(Prioritization!$D:$D,MATCH($B136,Prioritization!$A:$A,0))</f>
        <v>1 - Scale-up: Saturation</v>
      </c>
      <c r="B136" t="s">
        <v>318</v>
      </c>
      <c r="C136" t="s">
        <v>474</v>
      </c>
      <c r="D136" t="s">
        <v>48</v>
      </c>
      <c r="E136" t="str">
        <f t="shared" si="6"/>
        <v>Mangochi District [lLDyBx5XyUi]|10-14|Male</v>
      </c>
      <c r="F136" s="38"/>
      <c r="G136" s="33" t="str">
        <f t="shared" si="7"/>
        <v/>
      </c>
      <c r="H136" s="218" t="str">
        <f t="shared" si="8"/>
        <v/>
      </c>
    </row>
    <row r="137" spans="1:8" x14ac:dyDescent="0.2">
      <c r="A137" t="str">
        <f>INDEX(Prioritization!$D:$D,MATCH($B137,Prioritization!$A:$A,0))</f>
        <v>1 - Scale-up: Saturation</v>
      </c>
      <c r="B137" t="s">
        <v>318</v>
      </c>
      <c r="C137" t="s">
        <v>475</v>
      </c>
      <c r="D137" t="s">
        <v>30</v>
      </c>
      <c r="E137" t="str">
        <f t="shared" si="6"/>
        <v>Mangochi District [lLDyBx5XyUi]|15-24|Female</v>
      </c>
      <c r="F137" s="38"/>
      <c r="G137" s="33" t="str">
        <f t="shared" si="7"/>
        <v/>
      </c>
      <c r="H137" s="244">
        <v>20</v>
      </c>
    </row>
    <row r="138" spans="1:8" x14ac:dyDescent="0.2">
      <c r="A138" t="str">
        <f>INDEX(Prioritization!$D:$D,MATCH($B138,Prioritization!$A:$A,0))</f>
        <v>1 - Scale-up: Saturation</v>
      </c>
      <c r="B138" t="s">
        <v>318</v>
      </c>
      <c r="C138" t="s">
        <v>475</v>
      </c>
      <c r="D138" t="s">
        <v>48</v>
      </c>
      <c r="E138" t="str">
        <f t="shared" si="6"/>
        <v>Mangochi District [lLDyBx5XyUi]|15-24|Male</v>
      </c>
      <c r="F138" s="38"/>
      <c r="G138" s="33" t="str">
        <f t="shared" si="7"/>
        <v/>
      </c>
      <c r="H138" s="244">
        <v>10</v>
      </c>
    </row>
    <row r="139" spans="1:8" x14ac:dyDescent="0.2">
      <c r="A139" t="str">
        <f>INDEX(Prioritization!$D:$D,MATCH($B139,Prioritization!$A:$A,0))</f>
        <v>1 - Scale-up: Saturation</v>
      </c>
      <c r="B139" t="s">
        <v>318</v>
      </c>
      <c r="C139" t="s">
        <v>476</v>
      </c>
      <c r="D139" t="s">
        <v>30</v>
      </c>
      <c r="E139" t="str">
        <f t="shared" si="6"/>
        <v>Mangochi District [lLDyBx5XyUi]|25-34|Female</v>
      </c>
      <c r="F139" s="38"/>
      <c r="G139" s="33" t="str">
        <f t="shared" si="7"/>
        <v/>
      </c>
      <c r="H139" s="218" t="str">
        <f t="shared" si="8"/>
        <v/>
      </c>
    </row>
    <row r="140" spans="1:8" x14ac:dyDescent="0.2">
      <c r="A140" t="str">
        <f>INDEX(Prioritization!$D:$D,MATCH($B140,Prioritization!$A:$A,0))</f>
        <v>1 - Scale-up: Saturation</v>
      </c>
      <c r="B140" t="s">
        <v>318</v>
      </c>
      <c r="C140" t="s">
        <v>476</v>
      </c>
      <c r="D140" t="s">
        <v>48</v>
      </c>
      <c r="E140" t="str">
        <f t="shared" si="6"/>
        <v>Mangochi District [lLDyBx5XyUi]|25-34|Male</v>
      </c>
      <c r="F140" s="38"/>
      <c r="G140" s="33" t="str">
        <f t="shared" si="7"/>
        <v/>
      </c>
      <c r="H140" s="218" t="str">
        <f t="shared" si="8"/>
        <v/>
      </c>
    </row>
    <row r="141" spans="1:8" x14ac:dyDescent="0.2">
      <c r="A141" t="str">
        <f>INDEX(Prioritization!$D:$D,MATCH($B141,Prioritization!$A:$A,0))</f>
        <v>1 - Scale-up: Saturation</v>
      </c>
      <c r="B141" t="s">
        <v>318</v>
      </c>
      <c r="C141" t="s">
        <v>477</v>
      </c>
      <c r="D141" t="s">
        <v>30</v>
      </c>
      <c r="E141" t="str">
        <f t="shared" si="6"/>
        <v>Mangochi District [lLDyBx5XyUi]|35-49|Female</v>
      </c>
      <c r="F141" s="38"/>
      <c r="G141" s="33" t="str">
        <f t="shared" si="7"/>
        <v/>
      </c>
      <c r="H141" s="218" t="str">
        <f t="shared" si="8"/>
        <v/>
      </c>
    </row>
    <row r="142" spans="1:8" x14ac:dyDescent="0.2">
      <c r="A142" t="str">
        <f>INDEX(Prioritization!$D:$D,MATCH($B142,Prioritization!$A:$A,0))</f>
        <v>1 - Scale-up: Saturation</v>
      </c>
      <c r="B142" t="s">
        <v>318</v>
      </c>
      <c r="C142" t="s">
        <v>477</v>
      </c>
      <c r="D142" t="s">
        <v>48</v>
      </c>
      <c r="E142" t="str">
        <f t="shared" si="6"/>
        <v>Mangochi District [lLDyBx5XyUi]|35-49|Male</v>
      </c>
      <c r="F142" s="38"/>
      <c r="G142" s="33" t="str">
        <f t="shared" si="7"/>
        <v/>
      </c>
      <c r="H142" s="218" t="str">
        <f t="shared" si="8"/>
        <v/>
      </c>
    </row>
    <row r="143" spans="1:8" x14ac:dyDescent="0.2">
      <c r="A143" t="str">
        <f>INDEX(Prioritization!$D:$D,MATCH($B143,Prioritization!$A:$A,0))</f>
        <v>1 - Scale-up: Saturation</v>
      </c>
      <c r="B143" t="s">
        <v>318</v>
      </c>
      <c r="C143" t="s">
        <v>478</v>
      </c>
      <c r="D143" t="s">
        <v>30</v>
      </c>
      <c r="E143" t="str">
        <f t="shared" si="6"/>
        <v>Mangochi District [lLDyBx5XyUi]|50+|Female</v>
      </c>
      <c r="F143" s="38"/>
      <c r="G143" s="33" t="str">
        <f t="shared" si="7"/>
        <v/>
      </c>
      <c r="H143" s="218" t="str">
        <f t="shared" si="8"/>
        <v/>
      </c>
    </row>
    <row r="144" spans="1:8" x14ac:dyDescent="0.2">
      <c r="A144" t="str">
        <f>INDEX(Prioritization!$D:$D,MATCH($B144,Prioritization!$A:$A,0))</f>
        <v>1 - Scale-up: Saturation</v>
      </c>
      <c r="B144" t="s">
        <v>318</v>
      </c>
      <c r="C144" t="s">
        <v>478</v>
      </c>
      <c r="D144" t="s">
        <v>48</v>
      </c>
      <c r="E144" t="str">
        <f t="shared" si="6"/>
        <v>Mangochi District [lLDyBx5XyUi]|50+|Male</v>
      </c>
      <c r="F144" s="38"/>
      <c r="G144" s="33" t="str">
        <f t="shared" si="7"/>
        <v/>
      </c>
      <c r="H144" s="218" t="str">
        <f t="shared" si="8"/>
        <v/>
      </c>
    </row>
    <row r="145" spans="1:8" x14ac:dyDescent="0.2">
      <c r="A145" t="str">
        <f>INDEX(Prioritization!$D:$D,MATCH($B145,Prioritization!$A:$A,0))</f>
        <v>4 - Sustained</v>
      </c>
      <c r="B145" t="s">
        <v>302</v>
      </c>
      <c r="C145" t="s">
        <v>474</v>
      </c>
      <c r="D145" t="s">
        <v>30</v>
      </c>
      <c r="E145" t="str">
        <f t="shared" si="6"/>
        <v>Mchinji District [kxuuIFpOXyO]|10-14|Female</v>
      </c>
      <c r="F145" s="38"/>
      <c r="G145" s="33" t="str">
        <f t="shared" si="7"/>
        <v/>
      </c>
      <c r="H145" s="218" t="str">
        <f t="shared" si="8"/>
        <v/>
      </c>
    </row>
    <row r="146" spans="1:8" x14ac:dyDescent="0.2">
      <c r="A146" t="str">
        <f>INDEX(Prioritization!$D:$D,MATCH($B146,Prioritization!$A:$A,0))</f>
        <v>4 - Sustained</v>
      </c>
      <c r="B146" t="s">
        <v>302</v>
      </c>
      <c r="C146" t="s">
        <v>474</v>
      </c>
      <c r="D146" t="s">
        <v>48</v>
      </c>
      <c r="E146" t="str">
        <f t="shared" si="6"/>
        <v>Mchinji District [kxuuIFpOXyO]|10-14|Male</v>
      </c>
      <c r="F146" s="38"/>
      <c r="G146" s="33" t="str">
        <f t="shared" si="7"/>
        <v/>
      </c>
      <c r="H146" s="218" t="str">
        <f t="shared" si="8"/>
        <v/>
      </c>
    </row>
    <row r="147" spans="1:8" x14ac:dyDescent="0.2">
      <c r="A147" t="str">
        <f>INDEX(Prioritization!$D:$D,MATCH($B147,Prioritization!$A:$A,0))</f>
        <v>4 - Sustained</v>
      </c>
      <c r="B147" t="s">
        <v>302</v>
      </c>
      <c r="C147" t="s">
        <v>475</v>
      </c>
      <c r="D147" t="s">
        <v>30</v>
      </c>
      <c r="E147" t="str">
        <f t="shared" si="6"/>
        <v>Mchinji District [kxuuIFpOXyO]|15-24|Female</v>
      </c>
      <c r="F147" s="38">
        <v>44</v>
      </c>
      <c r="G147" s="33">
        <v>-0.54545454545454497</v>
      </c>
      <c r="H147" s="218">
        <f t="shared" si="8"/>
        <v>20</v>
      </c>
    </row>
    <row r="148" spans="1:8" x14ac:dyDescent="0.2">
      <c r="A148" t="str">
        <f>INDEX(Prioritization!$D:$D,MATCH($B148,Prioritization!$A:$A,0))</f>
        <v>4 - Sustained</v>
      </c>
      <c r="B148" t="s">
        <v>302</v>
      </c>
      <c r="C148" t="s">
        <v>475</v>
      </c>
      <c r="D148" t="s">
        <v>48</v>
      </c>
      <c r="E148" t="str">
        <f t="shared" si="6"/>
        <v>Mchinji District [kxuuIFpOXyO]|15-24|Male</v>
      </c>
      <c r="F148" s="38">
        <v>31</v>
      </c>
      <c r="G148" s="33">
        <v>-0.67741935483870996</v>
      </c>
      <c r="H148" s="218">
        <f t="shared" si="8"/>
        <v>10</v>
      </c>
    </row>
    <row r="149" spans="1:8" x14ac:dyDescent="0.2">
      <c r="A149" t="str">
        <f>INDEX(Prioritization!$D:$D,MATCH($B149,Prioritization!$A:$A,0))</f>
        <v>4 - Sustained</v>
      </c>
      <c r="B149" t="s">
        <v>302</v>
      </c>
      <c r="C149" t="s">
        <v>476</v>
      </c>
      <c r="D149" t="s">
        <v>30</v>
      </c>
      <c r="E149" t="str">
        <f t="shared" si="6"/>
        <v>Mchinji District [kxuuIFpOXyO]|25-34|Female</v>
      </c>
      <c r="F149" s="38"/>
      <c r="G149" s="33" t="str">
        <f t="shared" si="7"/>
        <v/>
      </c>
      <c r="H149" s="218" t="str">
        <f t="shared" si="8"/>
        <v/>
      </c>
    </row>
    <row r="150" spans="1:8" x14ac:dyDescent="0.2">
      <c r="A150" t="str">
        <f>INDEX(Prioritization!$D:$D,MATCH($B150,Prioritization!$A:$A,0))</f>
        <v>4 - Sustained</v>
      </c>
      <c r="B150" t="s">
        <v>302</v>
      </c>
      <c r="C150" t="s">
        <v>476</v>
      </c>
      <c r="D150" t="s">
        <v>48</v>
      </c>
      <c r="E150" t="str">
        <f t="shared" si="6"/>
        <v>Mchinji District [kxuuIFpOXyO]|25-34|Male</v>
      </c>
      <c r="F150" s="38"/>
      <c r="G150" s="33" t="str">
        <f t="shared" si="7"/>
        <v/>
      </c>
      <c r="H150" s="218" t="str">
        <f t="shared" si="8"/>
        <v/>
      </c>
    </row>
    <row r="151" spans="1:8" x14ac:dyDescent="0.2">
      <c r="A151" t="str">
        <f>INDEX(Prioritization!$D:$D,MATCH($B151,Prioritization!$A:$A,0))</f>
        <v>4 - Sustained</v>
      </c>
      <c r="B151" t="s">
        <v>302</v>
      </c>
      <c r="C151" t="s">
        <v>477</v>
      </c>
      <c r="D151" t="s">
        <v>30</v>
      </c>
      <c r="E151" t="str">
        <f t="shared" si="6"/>
        <v>Mchinji District [kxuuIFpOXyO]|35-49|Female</v>
      </c>
      <c r="F151" s="38"/>
      <c r="G151" s="33" t="str">
        <f t="shared" si="7"/>
        <v/>
      </c>
      <c r="H151" s="218" t="str">
        <f t="shared" si="8"/>
        <v/>
      </c>
    </row>
    <row r="152" spans="1:8" x14ac:dyDescent="0.2">
      <c r="A152" t="str">
        <f>INDEX(Prioritization!$D:$D,MATCH($B152,Prioritization!$A:$A,0))</f>
        <v>4 - Sustained</v>
      </c>
      <c r="B152" t="s">
        <v>302</v>
      </c>
      <c r="C152" t="s">
        <v>477</v>
      </c>
      <c r="D152" t="s">
        <v>48</v>
      </c>
      <c r="E152" t="str">
        <f t="shared" si="6"/>
        <v>Mchinji District [kxuuIFpOXyO]|35-49|Male</v>
      </c>
      <c r="F152" s="38"/>
      <c r="G152" s="33" t="str">
        <f t="shared" si="7"/>
        <v/>
      </c>
      <c r="H152" s="218" t="str">
        <f t="shared" si="8"/>
        <v/>
      </c>
    </row>
    <row r="153" spans="1:8" x14ac:dyDescent="0.2">
      <c r="A153" t="str">
        <f>INDEX(Prioritization!$D:$D,MATCH($B153,Prioritization!$A:$A,0))</f>
        <v>4 - Sustained</v>
      </c>
      <c r="B153" t="s">
        <v>302</v>
      </c>
      <c r="C153" t="s">
        <v>478</v>
      </c>
      <c r="D153" t="s">
        <v>30</v>
      </c>
      <c r="E153" t="str">
        <f t="shared" si="6"/>
        <v>Mchinji District [kxuuIFpOXyO]|50+|Female</v>
      </c>
      <c r="F153" s="38"/>
      <c r="G153" s="33" t="str">
        <f t="shared" si="7"/>
        <v/>
      </c>
      <c r="H153" s="218" t="str">
        <f t="shared" si="8"/>
        <v/>
      </c>
    </row>
    <row r="154" spans="1:8" x14ac:dyDescent="0.2">
      <c r="A154" t="str">
        <f>INDEX(Prioritization!$D:$D,MATCH($B154,Prioritization!$A:$A,0))</f>
        <v>4 - Sustained</v>
      </c>
      <c r="B154" t="s">
        <v>302</v>
      </c>
      <c r="C154" t="s">
        <v>478</v>
      </c>
      <c r="D154" t="s">
        <v>48</v>
      </c>
      <c r="E154" t="str">
        <f t="shared" si="6"/>
        <v>Mchinji District [kxuuIFpOXyO]|50+|Male</v>
      </c>
      <c r="F154" s="38"/>
      <c r="G154" s="33" t="str">
        <f t="shared" si="7"/>
        <v/>
      </c>
      <c r="H154" s="218" t="str">
        <f t="shared" si="8"/>
        <v/>
      </c>
    </row>
    <row r="155" spans="1:8" x14ac:dyDescent="0.2">
      <c r="A155" t="str">
        <f>INDEX(Prioritization!$D:$D,MATCH($B155,Prioritization!$A:$A,0))</f>
        <v>INVALID</v>
      </c>
      <c r="B155" t="s">
        <v>319</v>
      </c>
      <c r="C155" t="s">
        <v>474</v>
      </c>
      <c r="D155" t="s">
        <v>30</v>
      </c>
      <c r="E155" t="str">
        <f t="shared" si="6"/>
        <v>Mulanje District [umc2n1Z4wNv]|10-14|Female</v>
      </c>
      <c r="F155" s="38"/>
      <c r="G155" s="33" t="str">
        <f t="shared" si="7"/>
        <v/>
      </c>
      <c r="H155" s="218" t="str">
        <f t="shared" si="8"/>
        <v/>
      </c>
    </row>
    <row r="156" spans="1:8" x14ac:dyDescent="0.2">
      <c r="A156" t="str">
        <f>INDEX(Prioritization!$D:$D,MATCH($B156,Prioritization!$A:$A,0))</f>
        <v>INVALID</v>
      </c>
      <c r="B156" t="s">
        <v>319</v>
      </c>
      <c r="C156" t="s">
        <v>474</v>
      </c>
      <c r="D156" t="s">
        <v>48</v>
      </c>
      <c r="E156" t="str">
        <f t="shared" si="6"/>
        <v>Mulanje District [umc2n1Z4wNv]|10-14|Male</v>
      </c>
      <c r="F156" s="38"/>
      <c r="G156" s="33" t="str">
        <f t="shared" si="7"/>
        <v/>
      </c>
      <c r="H156" s="218" t="str">
        <f t="shared" si="8"/>
        <v/>
      </c>
    </row>
    <row r="157" spans="1:8" x14ac:dyDescent="0.2">
      <c r="A157" t="str">
        <f>INDEX(Prioritization!$D:$D,MATCH($B157,Prioritization!$A:$A,0))</f>
        <v>INVALID</v>
      </c>
      <c r="B157" t="s">
        <v>319</v>
      </c>
      <c r="C157" t="s">
        <v>475</v>
      </c>
      <c r="D157" t="s">
        <v>30</v>
      </c>
      <c r="E157" t="str">
        <f t="shared" si="6"/>
        <v>Mulanje District [umc2n1Z4wNv]|15-24|Female</v>
      </c>
      <c r="F157" s="38"/>
      <c r="G157" s="33" t="str">
        <f t="shared" si="7"/>
        <v/>
      </c>
      <c r="H157" s="244">
        <v>40</v>
      </c>
    </row>
    <row r="158" spans="1:8" x14ac:dyDescent="0.2">
      <c r="A158" t="str">
        <f>INDEX(Prioritization!$D:$D,MATCH($B158,Prioritization!$A:$A,0))</f>
        <v>INVALID</v>
      </c>
      <c r="B158" t="s">
        <v>319</v>
      </c>
      <c r="C158" t="s">
        <v>475</v>
      </c>
      <c r="D158" t="s">
        <v>48</v>
      </c>
      <c r="E158" t="str">
        <f t="shared" si="6"/>
        <v>Mulanje District [umc2n1Z4wNv]|15-24|Male</v>
      </c>
      <c r="F158" s="38"/>
      <c r="G158" s="33" t="str">
        <f t="shared" si="7"/>
        <v/>
      </c>
      <c r="H158" s="244">
        <v>20</v>
      </c>
    </row>
    <row r="159" spans="1:8" x14ac:dyDescent="0.2">
      <c r="A159" t="str">
        <f>INDEX(Prioritization!$D:$D,MATCH($B159,Prioritization!$A:$A,0))</f>
        <v>INVALID</v>
      </c>
      <c r="B159" t="s">
        <v>319</v>
      </c>
      <c r="C159" t="s">
        <v>476</v>
      </c>
      <c r="D159" t="s">
        <v>30</v>
      </c>
      <c r="E159" t="str">
        <f t="shared" si="6"/>
        <v>Mulanje District [umc2n1Z4wNv]|25-34|Female</v>
      </c>
      <c r="F159" s="38"/>
      <c r="G159" s="33" t="str">
        <f t="shared" si="7"/>
        <v/>
      </c>
      <c r="H159" s="218" t="str">
        <f t="shared" si="8"/>
        <v/>
      </c>
    </row>
    <row r="160" spans="1:8" x14ac:dyDescent="0.2">
      <c r="A160" t="str">
        <f>INDEX(Prioritization!$D:$D,MATCH($B160,Prioritization!$A:$A,0))</f>
        <v>INVALID</v>
      </c>
      <c r="B160" t="s">
        <v>319</v>
      </c>
      <c r="C160" t="s">
        <v>476</v>
      </c>
      <c r="D160" t="s">
        <v>48</v>
      </c>
      <c r="E160" t="str">
        <f t="shared" si="6"/>
        <v>Mulanje District [umc2n1Z4wNv]|25-34|Male</v>
      </c>
      <c r="F160" s="38"/>
      <c r="G160" s="33" t="str">
        <f t="shared" si="7"/>
        <v/>
      </c>
      <c r="H160" s="218" t="str">
        <f t="shared" si="8"/>
        <v/>
      </c>
    </row>
    <row r="161" spans="1:8" x14ac:dyDescent="0.2">
      <c r="A161" t="str">
        <f>INDEX(Prioritization!$D:$D,MATCH($B161,Prioritization!$A:$A,0))</f>
        <v>INVALID</v>
      </c>
      <c r="B161" t="s">
        <v>319</v>
      </c>
      <c r="C161" t="s">
        <v>477</v>
      </c>
      <c r="D161" t="s">
        <v>30</v>
      </c>
      <c r="E161" t="str">
        <f t="shared" si="6"/>
        <v>Mulanje District [umc2n1Z4wNv]|35-49|Female</v>
      </c>
      <c r="F161" s="38"/>
      <c r="G161" s="33" t="str">
        <f t="shared" si="7"/>
        <v/>
      </c>
      <c r="H161" s="218" t="str">
        <f t="shared" si="8"/>
        <v/>
      </c>
    </row>
    <row r="162" spans="1:8" x14ac:dyDescent="0.2">
      <c r="A162" t="str">
        <f>INDEX(Prioritization!$D:$D,MATCH($B162,Prioritization!$A:$A,0))</f>
        <v>INVALID</v>
      </c>
      <c r="B162" t="s">
        <v>319</v>
      </c>
      <c r="C162" t="s">
        <v>477</v>
      </c>
      <c r="D162" t="s">
        <v>48</v>
      </c>
      <c r="E162" t="str">
        <f t="shared" si="6"/>
        <v>Mulanje District [umc2n1Z4wNv]|35-49|Male</v>
      </c>
      <c r="F162" s="38"/>
      <c r="G162" s="33" t="str">
        <f t="shared" si="7"/>
        <v/>
      </c>
      <c r="H162" s="218" t="str">
        <f t="shared" si="8"/>
        <v/>
      </c>
    </row>
    <row r="163" spans="1:8" x14ac:dyDescent="0.2">
      <c r="A163" t="str">
        <f>INDEX(Prioritization!$D:$D,MATCH($B163,Prioritization!$A:$A,0))</f>
        <v>INVALID</v>
      </c>
      <c r="B163" t="s">
        <v>319</v>
      </c>
      <c r="C163" t="s">
        <v>478</v>
      </c>
      <c r="D163" t="s">
        <v>30</v>
      </c>
      <c r="E163" t="str">
        <f t="shared" si="6"/>
        <v>Mulanje District [umc2n1Z4wNv]|50+|Female</v>
      </c>
      <c r="F163" s="38"/>
      <c r="G163" s="33" t="str">
        <f t="shared" si="7"/>
        <v/>
      </c>
      <c r="H163" s="218" t="str">
        <f t="shared" si="8"/>
        <v/>
      </c>
    </row>
    <row r="164" spans="1:8" x14ac:dyDescent="0.2">
      <c r="A164" t="str">
        <f>INDEX(Prioritization!$D:$D,MATCH($B164,Prioritization!$A:$A,0))</f>
        <v>INVALID</v>
      </c>
      <c r="B164" t="s">
        <v>319</v>
      </c>
      <c r="C164" t="s">
        <v>478</v>
      </c>
      <c r="D164" t="s">
        <v>48</v>
      </c>
      <c r="E164" t="str">
        <f t="shared" si="6"/>
        <v>Mulanje District [umc2n1Z4wNv]|50+|Male</v>
      </c>
      <c r="F164" s="38"/>
      <c r="G164" s="33" t="str">
        <f t="shared" si="7"/>
        <v/>
      </c>
      <c r="H164" s="218" t="str">
        <f t="shared" si="8"/>
        <v/>
      </c>
    </row>
    <row r="165" spans="1:8" x14ac:dyDescent="0.2">
      <c r="A165" t="str">
        <f>INDEX(Prioritization!$D:$D,MATCH($B165,Prioritization!$A:$A,0))</f>
        <v>4 - Sustained</v>
      </c>
      <c r="B165" t="s">
        <v>320</v>
      </c>
      <c r="C165" t="s">
        <v>474</v>
      </c>
      <c r="D165" t="s">
        <v>30</v>
      </c>
      <c r="E165" t="str">
        <f t="shared" si="6"/>
        <v>Mwanza District [wNqJp8oRIcF]|10-14|Female</v>
      </c>
      <c r="F165" s="38"/>
      <c r="G165" s="33" t="str">
        <f t="shared" si="7"/>
        <v/>
      </c>
      <c r="H165" s="218" t="str">
        <f t="shared" si="8"/>
        <v/>
      </c>
    </row>
    <row r="166" spans="1:8" x14ac:dyDescent="0.2">
      <c r="A166" t="str">
        <f>INDEX(Prioritization!$D:$D,MATCH($B166,Prioritization!$A:$A,0))</f>
        <v>4 - Sustained</v>
      </c>
      <c r="B166" t="s">
        <v>320</v>
      </c>
      <c r="C166" t="s">
        <v>474</v>
      </c>
      <c r="D166" t="s">
        <v>48</v>
      </c>
      <c r="E166" t="str">
        <f t="shared" si="6"/>
        <v>Mwanza District [wNqJp8oRIcF]|10-14|Male</v>
      </c>
      <c r="F166" s="38"/>
      <c r="G166" s="33" t="str">
        <f t="shared" si="7"/>
        <v/>
      </c>
      <c r="H166" s="218" t="str">
        <f t="shared" si="8"/>
        <v/>
      </c>
    </row>
    <row r="167" spans="1:8" x14ac:dyDescent="0.2">
      <c r="A167" t="str">
        <f>INDEX(Prioritization!$D:$D,MATCH($B167,Prioritization!$A:$A,0))</f>
        <v>4 - Sustained</v>
      </c>
      <c r="B167" t="s">
        <v>320</v>
      </c>
      <c r="C167" t="s">
        <v>475</v>
      </c>
      <c r="D167" t="s">
        <v>30</v>
      </c>
      <c r="E167" t="str">
        <f t="shared" si="6"/>
        <v>Mwanza District [wNqJp8oRIcF]|15-24|Female</v>
      </c>
      <c r="F167" s="38"/>
      <c r="G167" s="33" t="str">
        <f t="shared" si="7"/>
        <v/>
      </c>
      <c r="H167" s="218" t="str">
        <f t="shared" si="8"/>
        <v/>
      </c>
    </row>
    <row r="168" spans="1:8" x14ac:dyDescent="0.2">
      <c r="A168" t="str">
        <f>INDEX(Prioritization!$D:$D,MATCH($B168,Prioritization!$A:$A,0))</f>
        <v>4 - Sustained</v>
      </c>
      <c r="B168" t="s">
        <v>320</v>
      </c>
      <c r="C168" t="s">
        <v>475</v>
      </c>
      <c r="D168" t="s">
        <v>48</v>
      </c>
      <c r="E168" t="str">
        <f t="shared" si="6"/>
        <v>Mwanza District [wNqJp8oRIcF]|15-24|Male</v>
      </c>
      <c r="F168" s="38"/>
      <c r="G168" s="33" t="str">
        <f t="shared" si="7"/>
        <v/>
      </c>
      <c r="H168" s="218" t="str">
        <f t="shared" si="8"/>
        <v/>
      </c>
    </row>
    <row r="169" spans="1:8" x14ac:dyDescent="0.2">
      <c r="A169" t="str">
        <f>INDEX(Prioritization!$D:$D,MATCH($B169,Prioritization!$A:$A,0))</f>
        <v>4 - Sustained</v>
      </c>
      <c r="B169" t="s">
        <v>320</v>
      </c>
      <c r="C169" t="s">
        <v>476</v>
      </c>
      <c r="D169" t="s">
        <v>30</v>
      </c>
      <c r="E169" t="str">
        <f t="shared" si="6"/>
        <v>Mwanza District [wNqJp8oRIcF]|25-34|Female</v>
      </c>
      <c r="F169" s="38"/>
      <c r="G169" s="33" t="str">
        <f t="shared" si="7"/>
        <v/>
      </c>
      <c r="H169" s="218" t="str">
        <f t="shared" si="8"/>
        <v/>
      </c>
    </row>
    <row r="170" spans="1:8" x14ac:dyDescent="0.2">
      <c r="A170" t="str">
        <f>INDEX(Prioritization!$D:$D,MATCH($B170,Prioritization!$A:$A,0))</f>
        <v>4 - Sustained</v>
      </c>
      <c r="B170" t="s">
        <v>320</v>
      </c>
      <c r="C170" t="s">
        <v>476</v>
      </c>
      <c r="D170" t="s">
        <v>48</v>
      </c>
      <c r="E170" t="str">
        <f t="shared" si="6"/>
        <v>Mwanza District [wNqJp8oRIcF]|25-34|Male</v>
      </c>
      <c r="F170" s="38"/>
      <c r="G170" s="33" t="str">
        <f t="shared" si="7"/>
        <v/>
      </c>
      <c r="H170" s="218" t="str">
        <f t="shared" si="8"/>
        <v/>
      </c>
    </row>
    <row r="171" spans="1:8" x14ac:dyDescent="0.2">
      <c r="A171" t="str">
        <f>INDEX(Prioritization!$D:$D,MATCH($B171,Prioritization!$A:$A,0))</f>
        <v>4 - Sustained</v>
      </c>
      <c r="B171" t="s">
        <v>320</v>
      </c>
      <c r="C171" t="s">
        <v>477</v>
      </c>
      <c r="D171" t="s">
        <v>30</v>
      </c>
      <c r="E171" t="str">
        <f t="shared" si="6"/>
        <v>Mwanza District [wNqJp8oRIcF]|35-49|Female</v>
      </c>
      <c r="F171" s="38"/>
      <c r="G171" s="33" t="str">
        <f t="shared" si="7"/>
        <v/>
      </c>
      <c r="H171" s="218" t="str">
        <f t="shared" si="8"/>
        <v/>
      </c>
    </row>
    <row r="172" spans="1:8" x14ac:dyDescent="0.2">
      <c r="A172" t="str">
        <f>INDEX(Prioritization!$D:$D,MATCH($B172,Prioritization!$A:$A,0))</f>
        <v>4 - Sustained</v>
      </c>
      <c r="B172" t="s">
        <v>320</v>
      </c>
      <c r="C172" t="s">
        <v>477</v>
      </c>
      <c r="D172" t="s">
        <v>48</v>
      </c>
      <c r="E172" t="str">
        <f t="shared" si="6"/>
        <v>Mwanza District [wNqJp8oRIcF]|35-49|Male</v>
      </c>
      <c r="F172" s="38"/>
      <c r="G172" s="33" t="str">
        <f t="shared" si="7"/>
        <v/>
      </c>
      <c r="H172" s="218" t="str">
        <f t="shared" si="8"/>
        <v/>
      </c>
    </row>
    <row r="173" spans="1:8" x14ac:dyDescent="0.2">
      <c r="A173" t="str">
        <f>INDEX(Prioritization!$D:$D,MATCH($B173,Prioritization!$A:$A,0))</f>
        <v>4 - Sustained</v>
      </c>
      <c r="B173" t="s">
        <v>320</v>
      </c>
      <c r="C173" t="s">
        <v>478</v>
      </c>
      <c r="D173" t="s">
        <v>30</v>
      </c>
      <c r="E173" t="str">
        <f t="shared" si="6"/>
        <v>Mwanza District [wNqJp8oRIcF]|50+|Female</v>
      </c>
      <c r="F173" s="38"/>
      <c r="G173" s="33" t="str">
        <f t="shared" si="7"/>
        <v/>
      </c>
      <c r="H173" s="218" t="str">
        <f t="shared" si="8"/>
        <v/>
      </c>
    </row>
    <row r="174" spans="1:8" x14ac:dyDescent="0.2">
      <c r="A174" t="str">
        <f>INDEX(Prioritization!$D:$D,MATCH($B174,Prioritization!$A:$A,0))</f>
        <v>4 - Sustained</v>
      </c>
      <c r="B174" t="s">
        <v>320</v>
      </c>
      <c r="C174" t="s">
        <v>478</v>
      </c>
      <c r="D174" t="s">
        <v>48</v>
      </c>
      <c r="E174" t="str">
        <f t="shared" si="6"/>
        <v>Mwanza District [wNqJp8oRIcF]|50+|Male</v>
      </c>
      <c r="F174" s="38"/>
      <c r="G174" s="33" t="str">
        <f t="shared" si="7"/>
        <v/>
      </c>
      <c r="H174" s="218" t="str">
        <f t="shared" si="8"/>
        <v/>
      </c>
    </row>
    <row r="175" spans="1:8" x14ac:dyDescent="0.2">
      <c r="A175" t="str">
        <f>INDEX(Prioritization!$D:$D,MATCH($B175,Prioritization!$A:$A,0))</f>
        <v>1 - Scale-up: Saturation</v>
      </c>
      <c r="B175" t="s">
        <v>310</v>
      </c>
      <c r="C175" t="s">
        <v>474</v>
      </c>
      <c r="D175" t="s">
        <v>30</v>
      </c>
      <c r="E175" t="str">
        <f t="shared" si="6"/>
        <v>Mzimba District [vA4NcHxfMBq]|10-14|Female</v>
      </c>
      <c r="F175" s="38"/>
      <c r="G175" s="33" t="str">
        <f t="shared" si="7"/>
        <v/>
      </c>
      <c r="H175" s="218" t="str">
        <f t="shared" si="8"/>
        <v/>
      </c>
    </row>
    <row r="176" spans="1:8" x14ac:dyDescent="0.2">
      <c r="A176" t="str">
        <f>INDEX(Prioritization!$D:$D,MATCH($B176,Prioritization!$A:$A,0))</f>
        <v>1 - Scale-up: Saturation</v>
      </c>
      <c r="B176" t="s">
        <v>310</v>
      </c>
      <c r="C176" t="s">
        <v>474</v>
      </c>
      <c r="D176" t="s">
        <v>48</v>
      </c>
      <c r="E176" t="str">
        <f t="shared" si="6"/>
        <v>Mzimba District [vA4NcHxfMBq]|10-14|Male</v>
      </c>
      <c r="F176" s="38"/>
      <c r="G176" s="33" t="str">
        <f t="shared" si="7"/>
        <v/>
      </c>
      <c r="H176" s="218" t="str">
        <f t="shared" si="8"/>
        <v/>
      </c>
    </row>
    <row r="177" spans="1:8" x14ac:dyDescent="0.2">
      <c r="A177" t="str">
        <f>INDEX(Prioritization!$D:$D,MATCH($B177,Prioritization!$A:$A,0))</f>
        <v>1 - Scale-up: Saturation</v>
      </c>
      <c r="B177" t="s">
        <v>310</v>
      </c>
      <c r="C177" t="s">
        <v>475</v>
      </c>
      <c r="D177" t="s">
        <v>30</v>
      </c>
      <c r="E177" t="str">
        <f t="shared" si="6"/>
        <v>Mzimba District [vA4NcHxfMBq]|15-24|Female</v>
      </c>
      <c r="F177" s="38"/>
      <c r="G177" s="33" t="str">
        <f t="shared" si="7"/>
        <v/>
      </c>
      <c r="H177" s="244">
        <v>20</v>
      </c>
    </row>
    <row r="178" spans="1:8" x14ac:dyDescent="0.2">
      <c r="A178" t="str">
        <f>INDEX(Prioritization!$D:$D,MATCH($B178,Prioritization!$A:$A,0))</f>
        <v>1 - Scale-up: Saturation</v>
      </c>
      <c r="B178" t="s">
        <v>310</v>
      </c>
      <c r="C178" t="s">
        <v>475</v>
      </c>
      <c r="D178" t="s">
        <v>48</v>
      </c>
      <c r="E178" t="str">
        <f t="shared" si="6"/>
        <v>Mzimba District [vA4NcHxfMBq]|15-24|Male</v>
      </c>
      <c r="F178" s="38"/>
      <c r="G178" s="33" t="str">
        <f t="shared" si="7"/>
        <v/>
      </c>
      <c r="H178" s="244">
        <v>10</v>
      </c>
    </row>
    <row r="179" spans="1:8" x14ac:dyDescent="0.2">
      <c r="A179" t="str">
        <f>INDEX(Prioritization!$D:$D,MATCH($B179,Prioritization!$A:$A,0))</f>
        <v>1 - Scale-up: Saturation</v>
      </c>
      <c r="B179" t="s">
        <v>310</v>
      </c>
      <c r="C179" t="s">
        <v>476</v>
      </c>
      <c r="D179" t="s">
        <v>30</v>
      </c>
      <c r="E179" t="str">
        <f t="shared" si="6"/>
        <v>Mzimba District [vA4NcHxfMBq]|25-34|Female</v>
      </c>
      <c r="F179" s="38"/>
      <c r="G179" s="33" t="str">
        <f t="shared" si="7"/>
        <v/>
      </c>
      <c r="H179" s="218" t="str">
        <f t="shared" si="8"/>
        <v/>
      </c>
    </row>
    <row r="180" spans="1:8" x14ac:dyDescent="0.2">
      <c r="A180" t="str">
        <f>INDEX(Prioritization!$D:$D,MATCH($B180,Prioritization!$A:$A,0))</f>
        <v>1 - Scale-up: Saturation</v>
      </c>
      <c r="B180" t="s">
        <v>310</v>
      </c>
      <c r="C180" t="s">
        <v>476</v>
      </c>
      <c r="D180" t="s">
        <v>48</v>
      </c>
      <c r="E180" t="str">
        <f t="shared" si="6"/>
        <v>Mzimba District [vA4NcHxfMBq]|25-34|Male</v>
      </c>
      <c r="F180" s="38"/>
      <c r="G180" s="33" t="str">
        <f t="shared" si="7"/>
        <v/>
      </c>
      <c r="H180" s="218" t="str">
        <f t="shared" si="8"/>
        <v/>
      </c>
    </row>
    <row r="181" spans="1:8" x14ac:dyDescent="0.2">
      <c r="A181" t="str">
        <f>INDEX(Prioritization!$D:$D,MATCH($B181,Prioritization!$A:$A,0))</f>
        <v>1 - Scale-up: Saturation</v>
      </c>
      <c r="B181" t="s">
        <v>310</v>
      </c>
      <c r="C181" t="s">
        <v>477</v>
      </c>
      <c r="D181" t="s">
        <v>30</v>
      </c>
      <c r="E181" t="str">
        <f t="shared" si="6"/>
        <v>Mzimba District [vA4NcHxfMBq]|35-49|Female</v>
      </c>
      <c r="F181" s="38"/>
      <c r="G181" s="33" t="str">
        <f t="shared" si="7"/>
        <v/>
      </c>
      <c r="H181" s="218" t="str">
        <f t="shared" si="8"/>
        <v/>
      </c>
    </row>
    <row r="182" spans="1:8" x14ac:dyDescent="0.2">
      <c r="A182" t="str">
        <f>INDEX(Prioritization!$D:$D,MATCH($B182,Prioritization!$A:$A,0))</f>
        <v>1 - Scale-up: Saturation</v>
      </c>
      <c r="B182" t="s">
        <v>310</v>
      </c>
      <c r="C182" t="s">
        <v>477</v>
      </c>
      <c r="D182" t="s">
        <v>48</v>
      </c>
      <c r="E182" t="str">
        <f t="shared" si="6"/>
        <v>Mzimba District [vA4NcHxfMBq]|35-49|Male</v>
      </c>
      <c r="F182" s="38"/>
      <c r="G182" s="33" t="str">
        <f t="shared" si="7"/>
        <v/>
      </c>
      <c r="H182" s="218" t="str">
        <f t="shared" si="8"/>
        <v/>
      </c>
    </row>
    <row r="183" spans="1:8" x14ac:dyDescent="0.2">
      <c r="A183" t="str">
        <f>INDEX(Prioritization!$D:$D,MATCH($B183,Prioritization!$A:$A,0))</f>
        <v>1 - Scale-up: Saturation</v>
      </c>
      <c r="B183" t="s">
        <v>310</v>
      </c>
      <c r="C183" t="s">
        <v>478</v>
      </c>
      <c r="D183" t="s">
        <v>30</v>
      </c>
      <c r="E183" t="str">
        <f t="shared" si="6"/>
        <v>Mzimba District [vA4NcHxfMBq]|50+|Female</v>
      </c>
      <c r="F183" s="38"/>
      <c r="G183" s="33" t="str">
        <f t="shared" si="7"/>
        <v/>
      </c>
      <c r="H183" s="218" t="str">
        <f t="shared" si="8"/>
        <v/>
      </c>
    </row>
    <row r="184" spans="1:8" x14ac:dyDescent="0.2">
      <c r="A184" t="str">
        <f>INDEX(Prioritization!$D:$D,MATCH($B184,Prioritization!$A:$A,0))</f>
        <v>1 - Scale-up: Saturation</v>
      </c>
      <c r="B184" t="s">
        <v>310</v>
      </c>
      <c r="C184" t="s">
        <v>478</v>
      </c>
      <c r="D184" t="s">
        <v>48</v>
      </c>
      <c r="E184" t="str">
        <f t="shared" si="6"/>
        <v>Mzimba District [vA4NcHxfMBq]|50+|Male</v>
      </c>
      <c r="F184" s="38"/>
      <c r="G184" s="33" t="str">
        <f t="shared" si="7"/>
        <v/>
      </c>
      <c r="H184" s="218" t="str">
        <f t="shared" si="8"/>
        <v/>
      </c>
    </row>
    <row r="185" spans="1:8" x14ac:dyDescent="0.2">
      <c r="A185" t="str">
        <f>INDEX(Prioritization!$D:$D,MATCH($B185,Prioritization!$A:$A,0))</f>
        <v>4 - Sustained</v>
      </c>
      <c r="B185" t="s">
        <v>321</v>
      </c>
      <c r="C185" t="s">
        <v>474</v>
      </c>
      <c r="D185" t="s">
        <v>30</v>
      </c>
      <c r="E185" t="str">
        <f t="shared" si="6"/>
        <v>Neno District [gwVYinjBAe9]|10-14|Female</v>
      </c>
      <c r="F185" s="38"/>
      <c r="G185" s="33" t="str">
        <f t="shared" si="7"/>
        <v/>
      </c>
      <c r="H185" s="218" t="str">
        <f t="shared" si="8"/>
        <v/>
      </c>
    </row>
    <row r="186" spans="1:8" x14ac:dyDescent="0.2">
      <c r="A186" t="str">
        <f>INDEX(Prioritization!$D:$D,MATCH($B186,Prioritization!$A:$A,0))</f>
        <v>4 - Sustained</v>
      </c>
      <c r="B186" t="s">
        <v>321</v>
      </c>
      <c r="C186" t="s">
        <v>474</v>
      </c>
      <c r="D186" t="s">
        <v>48</v>
      </c>
      <c r="E186" t="str">
        <f t="shared" si="6"/>
        <v>Neno District [gwVYinjBAe9]|10-14|Male</v>
      </c>
      <c r="F186" s="38"/>
      <c r="G186" s="33" t="str">
        <f t="shared" si="7"/>
        <v/>
      </c>
      <c r="H186" s="218" t="str">
        <f t="shared" si="8"/>
        <v/>
      </c>
    </row>
    <row r="187" spans="1:8" x14ac:dyDescent="0.2">
      <c r="A187" t="str">
        <f>INDEX(Prioritization!$D:$D,MATCH($B187,Prioritization!$A:$A,0))</f>
        <v>4 - Sustained</v>
      </c>
      <c r="B187" t="s">
        <v>321</v>
      </c>
      <c r="C187" t="s">
        <v>475</v>
      </c>
      <c r="D187" t="s">
        <v>30</v>
      </c>
      <c r="E187" t="str">
        <f t="shared" si="6"/>
        <v>Neno District [gwVYinjBAe9]|15-24|Female</v>
      </c>
      <c r="F187" s="38"/>
      <c r="G187" s="33" t="str">
        <f t="shared" si="7"/>
        <v/>
      </c>
      <c r="H187" s="218" t="str">
        <f t="shared" si="8"/>
        <v/>
      </c>
    </row>
    <row r="188" spans="1:8" x14ac:dyDescent="0.2">
      <c r="A188" t="str">
        <f>INDEX(Prioritization!$D:$D,MATCH($B188,Prioritization!$A:$A,0))</f>
        <v>4 - Sustained</v>
      </c>
      <c r="B188" t="s">
        <v>321</v>
      </c>
      <c r="C188" t="s">
        <v>475</v>
      </c>
      <c r="D188" t="s">
        <v>48</v>
      </c>
      <c r="E188" t="str">
        <f t="shared" si="6"/>
        <v>Neno District [gwVYinjBAe9]|15-24|Male</v>
      </c>
      <c r="F188" s="38"/>
      <c r="G188" s="33" t="str">
        <f t="shared" si="7"/>
        <v/>
      </c>
      <c r="H188" s="218" t="str">
        <f t="shared" si="8"/>
        <v/>
      </c>
    </row>
    <row r="189" spans="1:8" x14ac:dyDescent="0.2">
      <c r="A189" t="str">
        <f>INDEX(Prioritization!$D:$D,MATCH($B189,Prioritization!$A:$A,0))</f>
        <v>4 - Sustained</v>
      </c>
      <c r="B189" t="s">
        <v>321</v>
      </c>
      <c r="C189" t="s">
        <v>476</v>
      </c>
      <c r="D189" t="s">
        <v>30</v>
      </c>
      <c r="E189" t="str">
        <f t="shared" si="6"/>
        <v>Neno District [gwVYinjBAe9]|25-34|Female</v>
      </c>
      <c r="F189" s="38"/>
      <c r="G189" s="33" t="str">
        <f t="shared" si="7"/>
        <v/>
      </c>
      <c r="H189" s="218" t="str">
        <f t="shared" si="8"/>
        <v/>
      </c>
    </row>
    <row r="190" spans="1:8" x14ac:dyDescent="0.2">
      <c r="A190" t="str">
        <f>INDEX(Prioritization!$D:$D,MATCH($B190,Prioritization!$A:$A,0))</f>
        <v>4 - Sustained</v>
      </c>
      <c r="B190" t="s">
        <v>321</v>
      </c>
      <c r="C190" t="s">
        <v>476</v>
      </c>
      <c r="D190" t="s">
        <v>48</v>
      </c>
      <c r="E190" t="str">
        <f t="shared" si="6"/>
        <v>Neno District [gwVYinjBAe9]|25-34|Male</v>
      </c>
      <c r="F190" s="38"/>
      <c r="G190" s="33" t="str">
        <f t="shared" si="7"/>
        <v/>
      </c>
      <c r="H190" s="218" t="str">
        <f t="shared" si="8"/>
        <v/>
      </c>
    </row>
    <row r="191" spans="1:8" x14ac:dyDescent="0.2">
      <c r="A191" t="str">
        <f>INDEX(Prioritization!$D:$D,MATCH($B191,Prioritization!$A:$A,0))</f>
        <v>4 - Sustained</v>
      </c>
      <c r="B191" t="s">
        <v>321</v>
      </c>
      <c r="C191" t="s">
        <v>477</v>
      </c>
      <c r="D191" t="s">
        <v>30</v>
      </c>
      <c r="E191" t="str">
        <f t="shared" si="6"/>
        <v>Neno District [gwVYinjBAe9]|35-49|Female</v>
      </c>
      <c r="F191" s="38"/>
      <c r="G191" s="33" t="str">
        <f t="shared" si="7"/>
        <v/>
      </c>
      <c r="H191" s="218" t="str">
        <f t="shared" si="8"/>
        <v/>
      </c>
    </row>
    <row r="192" spans="1:8" x14ac:dyDescent="0.2">
      <c r="A192" t="str">
        <f>INDEX(Prioritization!$D:$D,MATCH($B192,Prioritization!$A:$A,0))</f>
        <v>4 - Sustained</v>
      </c>
      <c r="B192" t="s">
        <v>321</v>
      </c>
      <c r="C192" t="s">
        <v>477</v>
      </c>
      <c r="D192" t="s">
        <v>48</v>
      </c>
      <c r="E192" t="str">
        <f t="shared" si="6"/>
        <v>Neno District [gwVYinjBAe9]|35-49|Male</v>
      </c>
      <c r="F192" s="38"/>
      <c r="G192" s="33" t="str">
        <f t="shared" si="7"/>
        <v/>
      </c>
      <c r="H192" s="218" t="str">
        <f t="shared" si="8"/>
        <v/>
      </c>
    </row>
    <row r="193" spans="1:8" x14ac:dyDescent="0.2">
      <c r="A193" t="str">
        <f>INDEX(Prioritization!$D:$D,MATCH($B193,Prioritization!$A:$A,0))</f>
        <v>4 - Sustained</v>
      </c>
      <c r="B193" t="s">
        <v>321</v>
      </c>
      <c r="C193" t="s">
        <v>478</v>
      </c>
      <c r="D193" t="s">
        <v>30</v>
      </c>
      <c r="E193" t="str">
        <f t="shared" si="6"/>
        <v>Neno District [gwVYinjBAe9]|50+|Female</v>
      </c>
      <c r="F193" s="38"/>
      <c r="G193" s="33" t="str">
        <f t="shared" si="7"/>
        <v/>
      </c>
      <c r="H193" s="218" t="str">
        <f t="shared" si="8"/>
        <v/>
      </c>
    </row>
    <row r="194" spans="1:8" x14ac:dyDescent="0.2">
      <c r="A194" t="str">
        <f>INDEX(Prioritization!$D:$D,MATCH($B194,Prioritization!$A:$A,0))</f>
        <v>4 - Sustained</v>
      </c>
      <c r="B194" t="s">
        <v>321</v>
      </c>
      <c r="C194" t="s">
        <v>478</v>
      </c>
      <c r="D194" t="s">
        <v>48</v>
      </c>
      <c r="E194" t="str">
        <f t="shared" si="6"/>
        <v>Neno District [gwVYinjBAe9]|50+|Male</v>
      </c>
      <c r="F194" s="38"/>
      <c r="G194" s="33" t="str">
        <f t="shared" si="7"/>
        <v/>
      </c>
      <c r="H194" s="218" t="str">
        <f t="shared" si="8"/>
        <v/>
      </c>
    </row>
    <row r="195" spans="1:8" x14ac:dyDescent="0.2">
      <c r="A195" t="str">
        <f>INDEX(Prioritization!$D:$D,MATCH($B195,Prioritization!$A:$A,0))</f>
        <v>4 - Sustained</v>
      </c>
      <c r="B195" t="s">
        <v>311</v>
      </c>
      <c r="C195" t="s">
        <v>474</v>
      </c>
      <c r="D195" t="s">
        <v>30</v>
      </c>
      <c r="E195" t="str">
        <f t="shared" si="6"/>
        <v>Nkhata Bay District [E7zpfyBt7Tw]|10-14|Female</v>
      </c>
      <c r="F195" s="38"/>
      <c r="G195" s="33" t="str">
        <f t="shared" si="7"/>
        <v/>
      </c>
      <c r="H195" s="218" t="str">
        <f t="shared" si="8"/>
        <v/>
      </c>
    </row>
    <row r="196" spans="1:8" x14ac:dyDescent="0.2">
      <c r="A196" t="str">
        <f>INDEX(Prioritization!$D:$D,MATCH($B196,Prioritization!$A:$A,0))</f>
        <v>4 - Sustained</v>
      </c>
      <c r="B196" t="s">
        <v>311</v>
      </c>
      <c r="C196" t="s">
        <v>474</v>
      </c>
      <c r="D196" t="s">
        <v>48</v>
      </c>
      <c r="E196" t="str">
        <f t="shared" si="6"/>
        <v>Nkhata Bay District [E7zpfyBt7Tw]|10-14|Male</v>
      </c>
      <c r="F196" s="38"/>
      <c r="G196" s="33" t="str">
        <f t="shared" si="7"/>
        <v/>
      </c>
      <c r="H196" s="218" t="str">
        <f t="shared" si="8"/>
        <v/>
      </c>
    </row>
    <row r="197" spans="1:8" x14ac:dyDescent="0.2">
      <c r="A197" t="str">
        <f>INDEX(Prioritization!$D:$D,MATCH($B197,Prioritization!$A:$A,0))</f>
        <v>4 - Sustained</v>
      </c>
      <c r="B197" t="s">
        <v>311</v>
      </c>
      <c r="C197" t="s">
        <v>475</v>
      </c>
      <c r="D197" t="s">
        <v>30</v>
      </c>
      <c r="E197" t="str">
        <f t="shared" ref="E197:E254" si="9">B197&amp;"|"&amp;C197&amp;"|"&amp;D197</f>
        <v>Nkhata Bay District [E7zpfyBt7Tw]|15-24|Female</v>
      </c>
      <c r="F197" s="38"/>
      <c r="G197" s="33" t="str">
        <f t="shared" ref="G197:G254" si="10">IF(SUM($F197)=0,"",0%)</f>
        <v/>
      </c>
      <c r="H197" s="244">
        <v>20</v>
      </c>
    </row>
    <row r="198" spans="1:8" x14ac:dyDescent="0.2">
      <c r="A198" t="str">
        <f>INDEX(Prioritization!$D:$D,MATCH($B198,Prioritization!$A:$A,0))</f>
        <v>4 - Sustained</v>
      </c>
      <c r="B198" t="s">
        <v>311</v>
      </c>
      <c r="C198" t="s">
        <v>475</v>
      </c>
      <c r="D198" t="s">
        <v>48</v>
      </c>
      <c r="E198" t="str">
        <f t="shared" si="9"/>
        <v>Nkhata Bay District [E7zpfyBt7Tw]|15-24|Male</v>
      </c>
      <c r="F198" s="38"/>
      <c r="G198" s="33" t="str">
        <f t="shared" si="10"/>
        <v/>
      </c>
      <c r="H198" s="244">
        <v>10</v>
      </c>
    </row>
    <row r="199" spans="1:8" x14ac:dyDescent="0.2">
      <c r="A199" t="str">
        <f>INDEX(Prioritization!$D:$D,MATCH($B199,Prioritization!$A:$A,0))</f>
        <v>4 - Sustained</v>
      </c>
      <c r="B199" t="s">
        <v>311</v>
      </c>
      <c r="C199" t="s">
        <v>476</v>
      </c>
      <c r="D199" t="s">
        <v>30</v>
      </c>
      <c r="E199" t="str">
        <f t="shared" si="9"/>
        <v>Nkhata Bay District [E7zpfyBt7Tw]|25-34|Female</v>
      </c>
      <c r="F199" s="38"/>
      <c r="G199" s="33" t="str">
        <f t="shared" si="10"/>
        <v/>
      </c>
      <c r="H199" s="218" t="str">
        <f t="shared" ref="H199:H254" si="11">IF(SUM($F199)=0,"",ROUND($F199*(1+$G199),0))</f>
        <v/>
      </c>
    </row>
    <row r="200" spans="1:8" x14ac:dyDescent="0.2">
      <c r="A200" t="str">
        <f>INDEX(Prioritization!$D:$D,MATCH($B200,Prioritization!$A:$A,0))</f>
        <v>4 - Sustained</v>
      </c>
      <c r="B200" t="s">
        <v>311</v>
      </c>
      <c r="C200" t="s">
        <v>476</v>
      </c>
      <c r="D200" t="s">
        <v>48</v>
      </c>
      <c r="E200" t="str">
        <f t="shared" si="9"/>
        <v>Nkhata Bay District [E7zpfyBt7Tw]|25-34|Male</v>
      </c>
      <c r="F200" s="38"/>
      <c r="G200" s="33" t="str">
        <f t="shared" si="10"/>
        <v/>
      </c>
      <c r="H200" s="218" t="str">
        <f t="shared" si="11"/>
        <v/>
      </c>
    </row>
    <row r="201" spans="1:8" x14ac:dyDescent="0.2">
      <c r="A201" t="str">
        <f>INDEX(Prioritization!$D:$D,MATCH($B201,Prioritization!$A:$A,0))</f>
        <v>4 - Sustained</v>
      </c>
      <c r="B201" t="s">
        <v>311</v>
      </c>
      <c r="C201" t="s">
        <v>477</v>
      </c>
      <c r="D201" t="s">
        <v>30</v>
      </c>
      <c r="E201" t="str">
        <f t="shared" si="9"/>
        <v>Nkhata Bay District [E7zpfyBt7Tw]|35-49|Female</v>
      </c>
      <c r="F201" s="38"/>
      <c r="G201" s="33" t="str">
        <f t="shared" si="10"/>
        <v/>
      </c>
      <c r="H201" s="218" t="str">
        <f t="shared" si="11"/>
        <v/>
      </c>
    </row>
    <row r="202" spans="1:8" x14ac:dyDescent="0.2">
      <c r="A202" t="str">
        <f>INDEX(Prioritization!$D:$D,MATCH($B202,Prioritization!$A:$A,0))</f>
        <v>4 - Sustained</v>
      </c>
      <c r="B202" t="s">
        <v>311</v>
      </c>
      <c r="C202" t="s">
        <v>477</v>
      </c>
      <c r="D202" t="s">
        <v>48</v>
      </c>
      <c r="E202" t="str">
        <f t="shared" si="9"/>
        <v>Nkhata Bay District [E7zpfyBt7Tw]|35-49|Male</v>
      </c>
      <c r="F202" s="38"/>
      <c r="G202" s="33" t="str">
        <f t="shared" si="10"/>
        <v/>
      </c>
      <c r="H202" s="218" t="str">
        <f t="shared" si="11"/>
        <v/>
      </c>
    </row>
    <row r="203" spans="1:8" x14ac:dyDescent="0.2">
      <c r="A203" t="str">
        <f>INDEX(Prioritization!$D:$D,MATCH($B203,Prioritization!$A:$A,0))</f>
        <v>4 - Sustained</v>
      </c>
      <c r="B203" t="s">
        <v>311</v>
      </c>
      <c r="C203" t="s">
        <v>478</v>
      </c>
      <c r="D203" t="s">
        <v>30</v>
      </c>
      <c r="E203" t="str">
        <f t="shared" si="9"/>
        <v>Nkhata Bay District [E7zpfyBt7Tw]|50+|Female</v>
      </c>
      <c r="F203" s="38"/>
      <c r="G203" s="33" t="str">
        <f t="shared" si="10"/>
        <v/>
      </c>
      <c r="H203" s="218" t="str">
        <f t="shared" si="11"/>
        <v/>
      </c>
    </row>
    <row r="204" spans="1:8" x14ac:dyDescent="0.2">
      <c r="A204" t="str">
        <f>INDEX(Prioritization!$D:$D,MATCH($B204,Prioritization!$A:$A,0))</f>
        <v>4 - Sustained</v>
      </c>
      <c r="B204" t="s">
        <v>311</v>
      </c>
      <c r="C204" t="s">
        <v>478</v>
      </c>
      <c r="D204" t="s">
        <v>48</v>
      </c>
      <c r="E204" t="str">
        <f t="shared" si="9"/>
        <v>Nkhata Bay District [E7zpfyBt7Tw]|50+|Male</v>
      </c>
      <c r="F204" s="38"/>
      <c r="G204" s="33" t="str">
        <f t="shared" si="10"/>
        <v/>
      </c>
      <c r="H204" s="218" t="str">
        <f t="shared" si="11"/>
        <v/>
      </c>
    </row>
    <row r="205" spans="1:8" x14ac:dyDescent="0.2">
      <c r="A205" t="str">
        <f>INDEX(Prioritization!$D:$D,MATCH($B205,Prioritization!$A:$A,0))</f>
        <v>4 - Sustained</v>
      </c>
      <c r="B205" t="s">
        <v>303</v>
      </c>
      <c r="C205" t="s">
        <v>474</v>
      </c>
      <c r="D205" t="s">
        <v>30</v>
      </c>
      <c r="E205" t="str">
        <f t="shared" si="9"/>
        <v>Nkhotakota District [YCKiBAp8QAg]|10-14|Female</v>
      </c>
      <c r="F205" s="38"/>
      <c r="G205" s="33" t="str">
        <f t="shared" si="10"/>
        <v/>
      </c>
      <c r="H205" s="218" t="str">
        <f t="shared" si="11"/>
        <v/>
      </c>
    </row>
    <row r="206" spans="1:8" x14ac:dyDescent="0.2">
      <c r="A206" t="str">
        <f>INDEX(Prioritization!$D:$D,MATCH($B206,Prioritization!$A:$A,0))</f>
        <v>4 - Sustained</v>
      </c>
      <c r="B206" t="s">
        <v>303</v>
      </c>
      <c r="C206" t="s">
        <v>474</v>
      </c>
      <c r="D206" t="s">
        <v>48</v>
      </c>
      <c r="E206" t="str">
        <f t="shared" si="9"/>
        <v>Nkhotakota District [YCKiBAp8QAg]|10-14|Male</v>
      </c>
      <c r="F206" s="38"/>
      <c r="G206" s="33" t="str">
        <f t="shared" si="10"/>
        <v/>
      </c>
      <c r="H206" s="218" t="str">
        <f t="shared" si="11"/>
        <v/>
      </c>
    </row>
    <row r="207" spans="1:8" x14ac:dyDescent="0.2">
      <c r="A207" t="str">
        <f>INDEX(Prioritization!$D:$D,MATCH($B207,Prioritization!$A:$A,0))</f>
        <v>4 - Sustained</v>
      </c>
      <c r="B207" t="s">
        <v>303</v>
      </c>
      <c r="C207" t="s">
        <v>475</v>
      </c>
      <c r="D207" t="s">
        <v>30</v>
      </c>
      <c r="E207" t="str">
        <f t="shared" si="9"/>
        <v>Nkhotakota District [YCKiBAp8QAg]|15-24|Female</v>
      </c>
      <c r="F207" s="38"/>
      <c r="G207" s="33" t="str">
        <f t="shared" si="10"/>
        <v/>
      </c>
      <c r="H207" s="218" t="str">
        <f t="shared" si="11"/>
        <v/>
      </c>
    </row>
    <row r="208" spans="1:8" x14ac:dyDescent="0.2">
      <c r="A208" t="str">
        <f>INDEX(Prioritization!$D:$D,MATCH($B208,Prioritization!$A:$A,0))</f>
        <v>4 - Sustained</v>
      </c>
      <c r="B208" t="s">
        <v>303</v>
      </c>
      <c r="C208" t="s">
        <v>475</v>
      </c>
      <c r="D208" t="s">
        <v>48</v>
      </c>
      <c r="E208" t="str">
        <f t="shared" si="9"/>
        <v>Nkhotakota District [YCKiBAp8QAg]|15-24|Male</v>
      </c>
      <c r="F208" s="38"/>
      <c r="G208" s="33" t="str">
        <f t="shared" si="10"/>
        <v/>
      </c>
      <c r="H208" s="218" t="str">
        <f t="shared" si="11"/>
        <v/>
      </c>
    </row>
    <row r="209" spans="1:8" x14ac:dyDescent="0.2">
      <c r="A209" t="str">
        <f>INDEX(Prioritization!$D:$D,MATCH($B209,Prioritization!$A:$A,0))</f>
        <v>4 - Sustained</v>
      </c>
      <c r="B209" t="s">
        <v>303</v>
      </c>
      <c r="C209" t="s">
        <v>476</v>
      </c>
      <c r="D209" t="s">
        <v>30</v>
      </c>
      <c r="E209" t="str">
        <f t="shared" si="9"/>
        <v>Nkhotakota District [YCKiBAp8QAg]|25-34|Female</v>
      </c>
      <c r="F209" s="38"/>
      <c r="G209" s="33" t="str">
        <f t="shared" si="10"/>
        <v/>
      </c>
      <c r="H209" s="218" t="str">
        <f t="shared" si="11"/>
        <v/>
      </c>
    </row>
    <row r="210" spans="1:8" x14ac:dyDescent="0.2">
      <c r="A210" t="str">
        <f>INDEX(Prioritization!$D:$D,MATCH($B210,Prioritization!$A:$A,0))</f>
        <v>4 - Sustained</v>
      </c>
      <c r="B210" t="s">
        <v>303</v>
      </c>
      <c r="C210" t="s">
        <v>476</v>
      </c>
      <c r="D210" t="s">
        <v>48</v>
      </c>
      <c r="E210" t="str">
        <f t="shared" si="9"/>
        <v>Nkhotakota District [YCKiBAp8QAg]|25-34|Male</v>
      </c>
      <c r="F210" s="38"/>
      <c r="G210" s="33" t="str">
        <f t="shared" si="10"/>
        <v/>
      </c>
      <c r="H210" s="218" t="str">
        <f t="shared" si="11"/>
        <v/>
      </c>
    </row>
    <row r="211" spans="1:8" x14ac:dyDescent="0.2">
      <c r="A211" t="str">
        <f>INDEX(Prioritization!$D:$D,MATCH($B211,Prioritization!$A:$A,0))</f>
        <v>4 - Sustained</v>
      </c>
      <c r="B211" t="s">
        <v>303</v>
      </c>
      <c r="C211" t="s">
        <v>477</v>
      </c>
      <c r="D211" t="s">
        <v>30</v>
      </c>
      <c r="E211" t="str">
        <f t="shared" si="9"/>
        <v>Nkhotakota District [YCKiBAp8QAg]|35-49|Female</v>
      </c>
      <c r="F211" s="38"/>
      <c r="G211" s="33" t="str">
        <f t="shared" si="10"/>
        <v/>
      </c>
      <c r="H211" s="218" t="str">
        <f t="shared" si="11"/>
        <v/>
      </c>
    </row>
    <row r="212" spans="1:8" x14ac:dyDescent="0.2">
      <c r="A212" t="str">
        <f>INDEX(Prioritization!$D:$D,MATCH($B212,Prioritization!$A:$A,0))</f>
        <v>4 - Sustained</v>
      </c>
      <c r="B212" t="s">
        <v>303</v>
      </c>
      <c r="C212" t="s">
        <v>477</v>
      </c>
      <c r="D212" t="s">
        <v>48</v>
      </c>
      <c r="E212" t="str">
        <f t="shared" si="9"/>
        <v>Nkhotakota District [YCKiBAp8QAg]|35-49|Male</v>
      </c>
      <c r="F212" s="38"/>
      <c r="G212" s="33" t="str">
        <f t="shared" si="10"/>
        <v/>
      </c>
      <c r="H212" s="218" t="str">
        <f t="shared" si="11"/>
        <v/>
      </c>
    </row>
    <row r="213" spans="1:8" x14ac:dyDescent="0.2">
      <c r="A213" t="str">
        <f>INDEX(Prioritization!$D:$D,MATCH($B213,Prioritization!$A:$A,0))</f>
        <v>4 - Sustained</v>
      </c>
      <c r="B213" t="s">
        <v>303</v>
      </c>
      <c r="C213" t="s">
        <v>478</v>
      </c>
      <c r="D213" t="s">
        <v>30</v>
      </c>
      <c r="E213" t="str">
        <f t="shared" si="9"/>
        <v>Nkhotakota District [YCKiBAp8QAg]|50+|Female</v>
      </c>
      <c r="F213" s="38"/>
      <c r="G213" s="33" t="str">
        <f t="shared" si="10"/>
        <v/>
      </c>
      <c r="H213" s="218" t="str">
        <f t="shared" si="11"/>
        <v/>
      </c>
    </row>
    <row r="214" spans="1:8" x14ac:dyDescent="0.2">
      <c r="A214" t="str">
        <f>INDEX(Prioritization!$D:$D,MATCH($B214,Prioritization!$A:$A,0))</f>
        <v>4 - Sustained</v>
      </c>
      <c r="B214" t="s">
        <v>303</v>
      </c>
      <c r="C214" t="s">
        <v>478</v>
      </c>
      <c r="D214" t="s">
        <v>48</v>
      </c>
      <c r="E214" t="str">
        <f t="shared" si="9"/>
        <v>Nkhotakota District [YCKiBAp8QAg]|50+|Male</v>
      </c>
      <c r="F214" s="38"/>
      <c r="G214" s="33" t="str">
        <f t="shared" si="10"/>
        <v/>
      </c>
      <c r="H214" s="218" t="str">
        <f t="shared" si="11"/>
        <v/>
      </c>
    </row>
    <row r="215" spans="1:8" x14ac:dyDescent="0.2">
      <c r="A215" t="str">
        <f>INDEX(Prioritization!$D:$D,MATCH($B215,Prioritization!$A:$A,0))</f>
        <v>INVALID</v>
      </c>
      <c r="B215" t="s">
        <v>322</v>
      </c>
      <c r="C215" t="s">
        <v>474</v>
      </c>
      <c r="D215" t="s">
        <v>30</v>
      </c>
      <c r="E215" t="str">
        <f t="shared" si="9"/>
        <v>Nsanje District [rpw540fmNUz]|10-14|Female</v>
      </c>
      <c r="F215" s="38"/>
      <c r="G215" s="33" t="str">
        <f t="shared" si="10"/>
        <v/>
      </c>
      <c r="H215" s="218" t="str">
        <f t="shared" si="11"/>
        <v/>
      </c>
    </row>
    <row r="216" spans="1:8" x14ac:dyDescent="0.2">
      <c r="A216" t="str">
        <f>INDEX(Prioritization!$D:$D,MATCH($B216,Prioritization!$A:$A,0))</f>
        <v>INVALID</v>
      </c>
      <c r="B216" t="s">
        <v>322</v>
      </c>
      <c r="C216" t="s">
        <v>474</v>
      </c>
      <c r="D216" t="s">
        <v>48</v>
      </c>
      <c r="E216" t="str">
        <f t="shared" si="9"/>
        <v>Nsanje District [rpw540fmNUz]|10-14|Male</v>
      </c>
      <c r="F216" s="38"/>
      <c r="G216" s="33" t="str">
        <f t="shared" si="10"/>
        <v/>
      </c>
      <c r="H216" s="218" t="str">
        <f t="shared" si="11"/>
        <v/>
      </c>
    </row>
    <row r="217" spans="1:8" x14ac:dyDescent="0.2">
      <c r="A217" t="str">
        <f>INDEX(Prioritization!$D:$D,MATCH($B217,Prioritization!$A:$A,0))</f>
        <v>INVALID</v>
      </c>
      <c r="B217" t="s">
        <v>322</v>
      </c>
      <c r="C217" t="s">
        <v>475</v>
      </c>
      <c r="D217" t="s">
        <v>30</v>
      </c>
      <c r="E217" t="str">
        <f t="shared" si="9"/>
        <v>Nsanje District [rpw540fmNUz]|15-24|Female</v>
      </c>
      <c r="F217" s="38"/>
      <c r="G217" s="33" t="str">
        <f t="shared" si="10"/>
        <v/>
      </c>
      <c r="H217" s="218" t="str">
        <f t="shared" si="11"/>
        <v/>
      </c>
    </row>
    <row r="218" spans="1:8" x14ac:dyDescent="0.2">
      <c r="A218" t="str">
        <f>INDEX(Prioritization!$D:$D,MATCH($B218,Prioritization!$A:$A,0))</f>
        <v>INVALID</v>
      </c>
      <c r="B218" t="s">
        <v>322</v>
      </c>
      <c r="C218" t="s">
        <v>475</v>
      </c>
      <c r="D218" t="s">
        <v>48</v>
      </c>
      <c r="E218" t="str">
        <f t="shared" si="9"/>
        <v>Nsanje District [rpw540fmNUz]|15-24|Male</v>
      </c>
      <c r="F218" s="38"/>
      <c r="G218" s="33" t="str">
        <f t="shared" si="10"/>
        <v/>
      </c>
      <c r="H218" s="218" t="str">
        <f t="shared" si="11"/>
        <v/>
      </c>
    </row>
    <row r="219" spans="1:8" x14ac:dyDescent="0.2">
      <c r="A219" t="str">
        <f>INDEX(Prioritization!$D:$D,MATCH($B219,Prioritization!$A:$A,0))</f>
        <v>INVALID</v>
      </c>
      <c r="B219" t="s">
        <v>322</v>
      </c>
      <c r="C219" t="s">
        <v>476</v>
      </c>
      <c r="D219" t="s">
        <v>30</v>
      </c>
      <c r="E219" t="str">
        <f t="shared" si="9"/>
        <v>Nsanje District [rpw540fmNUz]|25-34|Female</v>
      </c>
      <c r="F219" s="38"/>
      <c r="G219" s="33" t="str">
        <f t="shared" si="10"/>
        <v/>
      </c>
      <c r="H219" s="218" t="str">
        <f t="shared" si="11"/>
        <v/>
      </c>
    </row>
    <row r="220" spans="1:8" x14ac:dyDescent="0.2">
      <c r="A220" t="str">
        <f>INDEX(Prioritization!$D:$D,MATCH($B220,Prioritization!$A:$A,0))</f>
        <v>INVALID</v>
      </c>
      <c r="B220" t="s">
        <v>322</v>
      </c>
      <c r="C220" t="s">
        <v>476</v>
      </c>
      <c r="D220" t="s">
        <v>48</v>
      </c>
      <c r="E220" t="str">
        <f t="shared" si="9"/>
        <v>Nsanje District [rpw540fmNUz]|25-34|Male</v>
      </c>
      <c r="F220" s="38"/>
      <c r="G220" s="33" t="str">
        <f t="shared" si="10"/>
        <v/>
      </c>
      <c r="H220" s="218" t="str">
        <f t="shared" si="11"/>
        <v/>
      </c>
    </row>
    <row r="221" spans="1:8" x14ac:dyDescent="0.2">
      <c r="A221" t="str">
        <f>INDEX(Prioritization!$D:$D,MATCH($B221,Prioritization!$A:$A,0))</f>
        <v>INVALID</v>
      </c>
      <c r="B221" t="s">
        <v>322</v>
      </c>
      <c r="C221" t="s">
        <v>477</v>
      </c>
      <c r="D221" t="s">
        <v>30</v>
      </c>
      <c r="E221" t="str">
        <f t="shared" si="9"/>
        <v>Nsanje District [rpw540fmNUz]|35-49|Female</v>
      </c>
      <c r="F221" s="38"/>
      <c r="G221" s="33" t="str">
        <f t="shared" si="10"/>
        <v/>
      </c>
      <c r="H221" s="218" t="str">
        <f t="shared" si="11"/>
        <v/>
      </c>
    </row>
    <row r="222" spans="1:8" x14ac:dyDescent="0.2">
      <c r="A222" t="str">
        <f>INDEX(Prioritization!$D:$D,MATCH($B222,Prioritization!$A:$A,0))</f>
        <v>INVALID</v>
      </c>
      <c r="B222" t="s">
        <v>322</v>
      </c>
      <c r="C222" t="s">
        <v>477</v>
      </c>
      <c r="D222" t="s">
        <v>48</v>
      </c>
      <c r="E222" t="str">
        <f t="shared" si="9"/>
        <v>Nsanje District [rpw540fmNUz]|35-49|Male</v>
      </c>
      <c r="F222" s="38"/>
      <c r="G222" s="33" t="str">
        <f t="shared" si="10"/>
        <v/>
      </c>
      <c r="H222" s="218" t="str">
        <f t="shared" si="11"/>
        <v/>
      </c>
    </row>
    <row r="223" spans="1:8" x14ac:dyDescent="0.2">
      <c r="A223" t="str">
        <f>INDEX(Prioritization!$D:$D,MATCH($B223,Prioritization!$A:$A,0))</f>
        <v>INVALID</v>
      </c>
      <c r="B223" t="s">
        <v>322</v>
      </c>
      <c r="C223" t="s">
        <v>478</v>
      </c>
      <c r="D223" t="s">
        <v>30</v>
      </c>
      <c r="E223" t="str">
        <f t="shared" si="9"/>
        <v>Nsanje District [rpw540fmNUz]|50+|Female</v>
      </c>
      <c r="F223" s="38"/>
      <c r="G223" s="33" t="str">
        <f t="shared" si="10"/>
        <v/>
      </c>
      <c r="H223" s="218" t="str">
        <f t="shared" si="11"/>
        <v/>
      </c>
    </row>
    <row r="224" spans="1:8" x14ac:dyDescent="0.2">
      <c r="A224" t="str">
        <f>INDEX(Prioritization!$D:$D,MATCH($B224,Prioritization!$A:$A,0))</f>
        <v>INVALID</v>
      </c>
      <c r="B224" t="s">
        <v>322</v>
      </c>
      <c r="C224" t="s">
        <v>478</v>
      </c>
      <c r="D224" t="s">
        <v>48</v>
      </c>
      <c r="E224" t="str">
        <f t="shared" si="9"/>
        <v>Nsanje District [rpw540fmNUz]|50+|Male</v>
      </c>
      <c r="F224" s="38"/>
      <c r="G224" s="33" t="str">
        <f t="shared" si="10"/>
        <v/>
      </c>
      <c r="H224" s="218" t="str">
        <f t="shared" si="11"/>
        <v/>
      </c>
    </row>
    <row r="225" spans="1:8" x14ac:dyDescent="0.2">
      <c r="A225" t="str">
        <f>INDEX(Prioritization!$D:$D,MATCH($B225,Prioritization!$A:$A,0))</f>
        <v>4 - Sustained</v>
      </c>
      <c r="B225" t="s">
        <v>304</v>
      </c>
      <c r="C225" t="s">
        <v>474</v>
      </c>
      <c r="D225" t="s">
        <v>30</v>
      </c>
      <c r="E225" t="str">
        <f t="shared" si="9"/>
        <v>Ntcheu District [am530wpaGvr]|10-14|Female</v>
      </c>
      <c r="F225" s="38"/>
      <c r="G225" s="33" t="str">
        <f t="shared" si="10"/>
        <v/>
      </c>
      <c r="H225" s="218" t="str">
        <f t="shared" si="11"/>
        <v/>
      </c>
    </row>
    <row r="226" spans="1:8" x14ac:dyDescent="0.2">
      <c r="A226" t="str">
        <f>INDEX(Prioritization!$D:$D,MATCH($B226,Prioritization!$A:$A,0))</f>
        <v>4 - Sustained</v>
      </c>
      <c r="B226" t="s">
        <v>304</v>
      </c>
      <c r="C226" t="s">
        <v>474</v>
      </c>
      <c r="D226" t="s">
        <v>48</v>
      </c>
      <c r="E226" t="str">
        <f t="shared" si="9"/>
        <v>Ntcheu District [am530wpaGvr]|10-14|Male</v>
      </c>
      <c r="F226" s="38"/>
      <c r="G226" s="33" t="str">
        <f t="shared" si="10"/>
        <v/>
      </c>
      <c r="H226" s="218" t="str">
        <f t="shared" si="11"/>
        <v/>
      </c>
    </row>
    <row r="227" spans="1:8" x14ac:dyDescent="0.2">
      <c r="A227" t="str">
        <f>INDEX(Prioritization!$D:$D,MATCH($B227,Prioritization!$A:$A,0))</f>
        <v>4 - Sustained</v>
      </c>
      <c r="B227" t="s">
        <v>304</v>
      </c>
      <c r="C227" t="s">
        <v>475</v>
      </c>
      <c r="D227" t="s">
        <v>30</v>
      </c>
      <c r="E227" t="str">
        <f t="shared" si="9"/>
        <v>Ntcheu District [am530wpaGvr]|15-24|Female</v>
      </c>
      <c r="F227" s="38">
        <v>29</v>
      </c>
      <c r="G227" s="33">
        <v>-1</v>
      </c>
      <c r="H227" s="218">
        <f t="shared" si="11"/>
        <v>0</v>
      </c>
    </row>
    <row r="228" spans="1:8" x14ac:dyDescent="0.2">
      <c r="A228" t="str">
        <f>INDEX(Prioritization!$D:$D,MATCH($B228,Prioritization!$A:$A,0))</f>
        <v>4 - Sustained</v>
      </c>
      <c r="B228" t="s">
        <v>304</v>
      </c>
      <c r="C228" t="s">
        <v>475</v>
      </c>
      <c r="D228" t="s">
        <v>48</v>
      </c>
      <c r="E228" t="str">
        <f t="shared" si="9"/>
        <v>Ntcheu District [am530wpaGvr]|15-24|Male</v>
      </c>
      <c r="F228" s="38">
        <v>21</v>
      </c>
      <c r="G228" s="33">
        <v>-1</v>
      </c>
      <c r="H228" s="218">
        <f t="shared" si="11"/>
        <v>0</v>
      </c>
    </row>
    <row r="229" spans="1:8" x14ac:dyDescent="0.2">
      <c r="A229" t="str">
        <f>INDEX(Prioritization!$D:$D,MATCH($B229,Prioritization!$A:$A,0))</f>
        <v>4 - Sustained</v>
      </c>
      <c r="B229" t="s">
        <v>304</v>
      </c>
      <c r="C229" t="s">
        <v>476</v>
      </c>
      <c r="D229" t="s">
        <v>30</v>
      </c>
      <c r="E229" t="str">
        <f t="shared" si="9"/>
        <v>Ntcheu District [am530wpaGvr]|25-34|Female</v>
      </c>
      <c r="F229" s="38"/>
      <c r="G229" s="33" t="str">
        <f t="shared" si="10"/>
        <v/>
      </c>
      <c r="H229" s="218" t="str">
        <f t="shared" si="11"/>
        <v/>
      </c>
    </row>
    <row r="230" spans="1:8" x14ac:dyDescent="0.2">
      <c r="A230" t="str">
        <f>INDEX(Prioritization!$D:$D,MATCH($B230,Prioritization!$A:$A,0))</f>
        <v>4 - Sustained</v>
      </c>
      <c r="B230" t="s">
        <v>304</v>
      </c>
      <c r="C230" t="s">
        <v>476</v>
      </c>
      <c r="D230" t="s">
        <v>48</v>
      </c>
      <c r="E230" t="str">
        <f t="shared" si="9"/>
        <v>Ntcheu District [am530wpaGvr]|25-34|Male</v>
      </c>
      <c r="F230" s="38"/>
      <c r="G230" s="33" t="str">
        <f t="shared" si="10"/>
        <v/>
      </c>
      <c r="H230" s="218" t="str">
        <f t="shared" si="11"/>
        <v/>
      </c>
    </row>
    <row r="231" spans="1:8" x14ac:dyDescent="0.2">
      <c r="A231" t="str">
        <f>INDEX(Prioritization!$D:$D,MATCH($B231,Prioritization!$A:$A,0))</f>
        <v>4 - Sustained</v>
      </c>
      <c r="B231" t="s">
        <v>304</v>
      </c>
      <c r="C231" t="s">
        <v>477</v>
      </c>
      <c r="D231" t="s">
        <v>30</v>
      </c>
      <c r="E231" t="str">
        <f t="shared" si="9"/>
        <v>Ntcheu District [am530wpaGvr]|35-49|Female</v>
      </c>
      <c r="F231" s="38"/>
      <c r="G231" s="33" t="str">
        <f t="shared" si="10"/>
        <v/>
      </c>
      <c r="H231" s="218" t="str">
        <f t="shared" si="11"/>
        <v/>
      </c>
    </row>
    <row r="232" spans="1:8" x14ac:dyDescent="0.2">
      <c r="A232" t="str">
        <f>INDEX(Prioritization!$D:$D,MATCH($B232,Prioritization!$A:$A,0))</f>
        <v>4 - Sustained</v>
      </c>
      <c r="B232" t="s">
        <v>304</v>
      </c>
      <c r="C232" t="s">
        <v>477</v>
      </c>
      <c r="D232" t="s">
        <v>48</v>
      </c>
      <c r="E232" t="str">
        <f t="shared" si="9"/>
        <v>Ntcheu District [am530wpaGvr]|35-49|Male</v>
      </c>
      <c r="F232" s="38"/>
      <c r="G232" s="33" t="str">
        <f t="shared" si="10"/>
        <v/>
      </c>
      <c r="H232" s="218" t="str">
        <f t="shared" si="11"/>
        <v/>
      </c>
    </row>
    <row r="233" spans="1:8" x14ac:dyDescent="0.2">
      <c r="A233" t="str">
        <f>INDEX(Prioritization!$D:$D,MATCH($B233,Prioritization!$A:$A,0))</f>
        <v>4 - Sustained</v>
      </c>
      <c r="B233" t="s">
        <v>304</v>
      </c>
      <c r="C233" t="s">
        <v>478</v>
      </c>
      <c r="D233" t="s">
        <v>30</v>
      </c>
      <c r="E233" t="str">
        <f t="shared" si="9"/>
        <v>Ntcheu District [am530wpaGvr]|50+|Female</v>
      </c>
      <c r="F233" s="38"/>
      <c r="G233" s="33" t="str">
        <f t="shared" si="10"/>
        <v/>
      </c>
      <c r="H233" s="218" t="str">
        <f t="shared" si="11"/>
        <v/>
      </c>
    </row>
    <row r="234" spans="1:8" x14ac:dyDescent="0.2">
      <c r="A234" t="str">
        <f>INDEX(Prioritization!$D:$D,MATCH($B234,Prioritization!$A:$A,0))</f>
        <v>4 - Sustained</v>
      </c>
      <c r="B234" t="s">
        <v>304</v>
      </c>
      <c r="C234" t="s">
        <v>478</v>
      </c>
      <c r="D234" t="s">
        <v>48</v>
      </c>
      <c r="E234" t="str">
        <f t="shared" si="9"/>
        <v>Ntcheu District [am530wpaGvr]|50+|Male</v>
      </c>
      <c r="F234" s="38"/>
      <c r="G234" s="33" t="str">
        <f t="shared" si="10"/>
        <v/>
      </c>
      <c r="H234" s="218" t="str">
        <f t="shared" si="11"/>
        <v/>
      </c>
    </row>
    <row r="235" spans="1:8" x14ac:dyDescent="0.2">
      <c r="A235" t="str">
        <f>INDEX(Prioritization!$D:$D,MATCH($B235,Prioritization!$A:$A,0))</f>
        <v>4 - Sustained</v>
      </c>
      <c r="B235" t="s">
        <v>305</v>
      </c>
      <c r="C235" t="s">
        <v>474</v>
      </c>
      <c r="D235" t="s">
        <v>30</v>
      </c>
      <c r="E235" t="str">
        <f t="shared" si="9"/>
        <v>Ntchisi District [fiRkU6gEjLz]|10-14|Female</v>
      </c>
      <c r="F235" s="38"/>
      <c r="G235" s="33" t="str">
        <f t="shared" si="10"/>
        <v/>
      </c>
      <c r="H235" s="218" t="str">
        <f t="shared" si="11"/>
        <v/>
      </c>
    </row>
    <row r="236" spans="1:8" x14ac:dyDescent="0.2">
      <c r="A236" t="str">
        <f>INDEX(Prioritization!$D:$D,MATCH($B236,Prioritization!$A:$A,0))</f>
        <v>4 - Sustained</v>
      </c>
      <c r="B236" t="s">
        <v>305</v>
      </c>
      <c r="C236" t="s">
        <v>474</v>
      </c>
      <c r="D236" t="s">
        <v>48</v>
      </c>
      <c r="E236" t="str">
        <f t="shared" si="9"/>
        <v>Ntchisi District [fiRkU6gEjLz]|10-14|Male</v>
      </c>
      <c r="F236" s="38"/>
      <c r="G236" s="33" t="str">
        <f t="shared" si="10"/>
        <v/>
      </c>
      <c r="H236" s="218" t="str">
        <f t="shared" si="11"/>
        <v/>
      </c>
    </row>
    <row r="237" spans="1:8" x14ac:dyDescent="0.2">
      <c r="A237" t="str">
        <f>INDEX(Prioritization!$D:$D,MATCH($B237,Prioritization!$A:$A,0))</f>
        <v>4 - Sustained</v>
      </c>
      <c r="B237" t="s">
        <v>305</v>
      </c>
      <c r="C237" t="s">
        <v>475</v>
      </c>
      <c r="D237" t="s">
        <v>30</v>
      </c>
      <c r="E237" t="str">
        <f t="shared" si="9"/>
        <v>Ntchisi District [fiRkU6gEjLz]|15-24|Female</v>
      </c>
      <c r="F237" s="38"/>
      <c r="G237" s="33" t="str">
        <f t="shared" si="10"/>
        <v/>
      </c>
      <c r="H237" s="244">
        <v>20</v>
      </c>
    </row>
    <row r="238" spans="1:8" x14ac:dyDescent="0.2">
      <c r="A238" t="str">
        <f>INDEX(Prioritization!$D:$D,MATCH($B238,Prioritization!$A:$A,0))</f>
        <v>4 - Sustained</v>
      </c>
      <c r="B238" t="s">
        <v>305</v>
      </c>
      <c r="C238" t="s">
        <v>475</v>
      </c>
      <c r="D238" t="s">
        <v>48</v>
      </c>
      <c r="E238" t="str">
        <f t="shared" si="9"/>
        <v>Ntchisi District [fiRkU6gEjLz]|15-24|Male</v>
      </c>
      <c r="F238" s="38"/>
      <c r="G238" s="33" t="str">
        <f t="shared" si="10"/>
        <v/>
      </c>
      <c r="H238" s="244">
        <v>10</v>
      </c>
    </row>
    <row r="239" spans="1:8" x14ac:dyDescent="0.2">
      <c r="A239" t="str">
        <f>INDEX(Prioritization!$D:$D,MATCH($B239,Prioritization!$A:$A,0))</f>
        <v>4 - Sustained</v>
      </c>
      <c r="B239" t="s">
        <v>305</v>
      </c>
      <c r="C239" t="s">
        <v>476</v>
      </c>
      <c r="D239" t="s">
        <v>30</v>
      </c>
      <c r="E239" t="str">
        <f t="shared" si="9"/>
        <v>Ntchisi District [fiRkU6gEjLz]|25-34|Female</v>
      </c>
      <c r="F239" s="38"/>
      <c r="G239" s="33" t="str">
        <f t="shared" si="10"/>
        <v/>
      </c>
      <c r="H239" s="218" t="str">
        <f t="shared" si="11"/>
        <v/>
      </c>
    </row>
    <row r="240" spans="1:8" x14ac:dyDescent="0.2">
      <c r="A240" t="str">
        <f>INDEX(Prioritization!$D:$D,MATCH($B240,Prioritization!$A:$A,0))</f>
        <v>4 - Sustained</v>
      </c>
      <c r="B240" t="s">
        <v>305</v>
      </c>
      <c r="C240" t="s">
        <v>476</v>
      </c>
      <c r="D240" t="s">
        <v>48</v>
      </c>
      <c r="E240" t="str">
        <f t="shared" si="9"/>
        <v>Ntchisi District [fiRkU6gEjLz]|25-34|Male</v>
      </c>
      <c r="F240" s="38"/>
      <c r="G240" s="33" t="str">
        <f t="shared" si="10"/>
        <v/>
      </c>
      <c r="H240" s="218" t="str">
        <f t="shared" si="11"/>
        <v/>
      </c>
    </row>
    <row r="241" spans="1:8" x14ac:dyDescent="0.2">
      <c r="A241" t="str">
        <f>INDEX(Prioritization!$D:$D,MATCH($B241,Prioritization!$A:$A,0))</f>
        <v>4 - Sustained</v>
      </c>
      <c r="B241" t="s">
        <v>305</v>
      </c>
      <c r="C241" t="s">
        <v>477</v>
      </c>
      <c r="D241" t="s">
        <v>30</v>
      </c>
      <c r="E241" t="str">
        <f t="shared" si="9"/>
        <v>Ntchisi District [fiRkU6gEjLz]|35-49|Female</v>
      </c>
      <c r="F241" s="38"/>
      <c r="G241" s="33" t="str">
        <f t="shared" si="10"/>
        <v/>
      </c>
      <c r="H241" s="218" t="str">
        <f t="shared" si="11"/>
        <v/>
      </c>
    </row>
    <row r="242" spans="1:8" x14ac:dyDescent="0.2">
      <c r="A242" t="str">
        <f>INDEX(Prioritization!$D:$D,MATCH($B242,Prioritization!$A:$A,0))</f>
        <v>4 - Sustained</v>
      </c>
      <c r="B242" t="s">
        <v>305</v>
      </c>
      <c r="C242" t="s">
        <v>477</v>
      </c>
      <c r="D242" t="s">
        <v>48</v>
      </c>
      <c r="E242" t="str">
        <f t="shared" si="9"/>
        <v>Ntchisi District [fiRkU6gEjLz]|35-49|Male</v>
      </c>
      <c r="F242" s="38"/>
      <c r="G242" s="33" t="str">
        <f t="shared" si="10"/>
        <v/>
      </c>
      <c r="H242" s="218" t="str">
        <f t="shared" si="11"/>
        <v/>
      </c>
    </row>
    <row r="243" spans="1:8" x14ac:dyDescent="0.2">
      <c r="A243" t="str">
        <f>INDEX(Prioritization!$D:$D,MATCH($B243,Prioritization!$A:$A,0))</f>
        <v>4 - Sustained</v>
      </c>
      <c r="B243" t="s">
        <v>305</v>
      </c>
      <c r="C243" t="s">
        <v>478</v>
      </c>
      <c r="D243" t="s">
        <v>30</v>
      </c>
      <c r="E243" t="str">
        <f t="shared" si="9"/>
        <v>Ntchisi District [fiRkU6gEjLz]|50+|Female</v>
      </c>
      <c r="F243" s="38"/>
      <c r="G243" s="33" t="str">
        <f t="shared" si="10"/>
        <v/>
      </c>
      <c r="H243" s="218" t="str">
        <f t="shared" si="11"/>
        <v/>
      </c>
    </row>
    <row r="244" spans="1:8" x14ac:dyDescent="0.2">
      <c r="A244" t="str">
        <f>INDEX(Prioritization!$D:$D,MATCH($B244,Prioritization!$A:$A,0))</f>
        <v>4 - Sustained</v>
      </c>
      <c r="B244" t="s">
        <v>305</v>
      </c>
      <c r="C244" t="s">
        <v>478</v>
      </c>
      <c r="D244" t="s">
        <v>48</v>
      </c>
      <c r="E244" t="str">
        <f t="shared" si="9"/>
        <v>Ntchisi District [fiRkU6gEjLz]|50+|Male</v>
      </c>
      <c r="F244" s="38"/>
      <c r="G244" s="33" t="str">
        <f t="shared" si="10"/>
        <v/>
      </c>
      <c r="H244" s="218" t="str">
        <f t="shared" si="11"/>
        <v/>
      </c>
    </row>
    <row r="245" spans="1:8" x14ac:dyDescent="0.2">
      <c r="A245" t="str">
        <f>INDEX(Prioritization!$D:$D,MATCH($B245,Prioritization!$A:$A,0))</f>
        <v>INVALID</v>
      </c>
      <c r="B245" t="s">
        <v>323</v>
      </c>
      <c r="C245" t="s">
        <v>474</v>
      </c>
      <c r="D245" t="s">
        <v>30</v>
      </c>
      <c r="E245" t="str">
        <f t="shared" si="9"/>
        <v>Phalombe District [AZyWpGzhcaA]|10-14|Female</v>
      </c>
      <c r="F245" s="38"/>
      <c r="G245" s="33" t="str">
        <f t="shared" si="10"/>
        <v/>
      </c>
      <c r="H245" s="218" t="str">
        <f t="shared" si="11"/>
        <v/>
      </c>
    </row>
    <row r="246" spans="1:8" x14ac:dyDescent="0.2">
      <c r="A246" t="str">
        <f>INDEX(Prioritization!$D:$D,MATCH($B246,Prioritization!$A:$A,0))</f>
        <v>INVALID</v>
      </c>
      <c r="B246" t="s">
        <v>323</v>
      </c>
      <c r="C246" t="s">
        <v>474</v>
      </c>
      <c r="D246" t="s">
        <v>48</v>
      </c>
      <c r="E246" t="str">
        <f t="shared" si="9"/>
        <v>Phalombe District [AZyWpGzhcaA]|10-14|Male</v>
      </c>
      <c r="F246" s="38"/>
      <c r="G246" s="33" t="str">
        <f t="shared" si="10"/>
        <v/>
      </c>
      <c r="H246" s="218" t="str">
        <f t="shared" si="11"/>
        <v/>
      </c>
    </row>
    <row r="247" spans="1:8" x14ac:dyDescent="0.2">
      <c r="A247" t="str">
        <f>INDEX(Prioritization!$D:$D,MATCH($B247,Prioritization!$A:$A,0))</f>
        <v>INVALID</v>
      </c>
      <c r="B247" t="s">
        <v>323</v>
      </c>
      <c r="C247" t="s">
        <v>475</v>
      </c>
      <c r="D247" t="s">
        <v>30</v>
      </c>
      <c r="E247" t="str">
        <f t="shared" si="9"/>
        <v>Phalombe District [AZyWpGzhcaA]|15-24|Female</v>
      </c>
      <c r="F247" s="38">
        <v>14628</v>
      </c>
      <c r="G247" s="33">
        <v>-0.185944763467323</v>
      </c>
      <c r="H247" s="218">
        <f t="shared" si="11"/>
        <v>11908</v>
      </c>
    </row>
    <row r="248" spans="1:8" x14ac:dyDescent="0.2">
      <c r="A248" t="str">
        <f>INDEX(Prioritization!$D:$D,MATCH($B248,Prioritization!$A:$A,0))</f>
        <v>INVALID</v>
      </c>
      <c r="B248" t="s">
        <v>323</v>
      </c>
      <c r="C248" t="s">
        <v>475</v>
      </c>
      <c r="D248" t="s">
        <v>48</v>
      </c>
      <c r="E248" t="str">
        <f t="shared" si="9"/>
        <v>Phalombe District [AZyWpGzhcaA]|15-24|Male</v>
      </c>
      <c r="F248" s="38">
        <v>2024</v>
      </c>
      <c r="G248" s="33">
        <v>1.6620553359683801</v>
      </c>
      <c r="H248" s="218">
        <f t="shared" si="11"/>
        <v>5388</v>
      </c>
    </row>
    <row r="249" spans="1:8" x14ac:dyDescent="0.2">
      <c r="A249" t="str">
        <f>INDEX(Prioritization!$D:$D,MATCH($B249,Prioritization!$A:$A,0))</f>
        <v>INVALID</v>
      </c>
      <c r="B249" t="s">
        <v>323</v>
      </c>
      <c r="C249" t="s">
        <v>476</v>
      </c>
      <c r="D249" t="s">
        <v>30</v>
      </c>
      <c r="E249" t="str">
        <f t="shared" si="9"/>
        <v>Phalombe District [AZyWpGzhcaA]|25-34|Female</v>
      </c>
      <c r="F249" s="38">
        <v>3170</v>
      </c>
      <c r="G249" s="33">
        <v>-3.15457413249211E-4</v>
      </c>
      <c r="H249" s="218">
        <f t="shared" si="11"/>
        <v>3169</v>
      </c>
    </row>
    <row r="250" spans="1:8" x14ac:dyDescent="0.2">
      <c r="A250" t="str">
        <f>INDEX(Prioritization!$D:$D,MATCH($B250,Prioritization!$A:$A,0))</f>
        <v>INVALID</v>
      </c>
      <c r="B250" t="s">
        <v>323</v>
      </c>
      <c r="C250" t="s">
        <v>476</v>
      </c>
      <c r="D250" t="s">
        <v>48</v>
      </c>
      <c r="E250" t="str">
        <f t="shared" si="9"/>
        <v>Phalombe District [AZyWpGzhcaA]|25-34|Male</v>
      </c>
      <c r="F250" s="38">
        <v>58</v>
      </c>
      <c r="G250" s="33">
        <v>-1.72413793103448E-2</v>
      </c>
      <c r="H250" s="218">
        <f t="shared" si="11"/>
        <v>57</v>
      </c>
    </row>
    <row r="251" spans="1:8" x14ac:dyDescent="0.2">
      <c r="A251" t="str">
        <f>INDEX(Prioritization!$D:$D,MATCH($B251,Prioritization!$A:$A,0))</f>
        <v>INVALID</v>
      </c>
      <c r="B251" t="s">
        <v>323</v>
      </c>
      <c r="C251" t="s">
        <v>477</v>
      </c>
      <c r="D251" t="s">
        <v>30</v>
      </c>
      <c r="E251" t="str">
        <f t="shared" si="9"/>
        <v>Phalombe District [AZyWpGzhcaA]|35-49|Female</v>
      </c>
      <c r="F251" s="38">
        <v>6228</v>
      </c>
      <c r="G251" s="33">
        <v>-1.6056518946692399E-4</v>
      </c>
      <c r="H251" s="218">
        <f t="shared" si="11"/>
        <v>6227</v>
      </c>
    </row>
    <row r="252" spans="1:8" x14ac:dyDescent="0.2">
      <c r="A252" t="str">
        <f>INDEX(Prioritization!$D:$D,MATCH($B252,Prioritization!$A:$A,0))</f>
        <v>INVALID</v>
      </c>
      <c r="B252" t="s">
        <v>323</v>
      </c>
      <c r="C252" t="s">
        <v>477</v>
      </c>
      <c r="D252" t="s">
        <v>48</v>
      </c>
      <c r="E252" t="str">
        <f t="shared" si="9"/>
        <v>Phalombe District [AZyWpGzhcaA]|35-49|Male</v>
      </c>
      <c r="F252" s="38">
        <v>172</v>
      </c>
      <c r="G252" s="33">
        <v>-5.8139534883720903E-3</v>
      </c>
      <c r="H252" s="218">
        <f t="shared" si="11"/>
        <v>171</v>
      </c>
    </row>
    <row r="253" spans="1:8" x14ac:dyDescent="0.2">
      <c r="A253" t="str">
        <f>INDEX(Prioritization!$D:$D,MATCH($B253,Prioritization!$A:$A,0))</f>
        <v>INVALID</v>
      </c>
      <c r="B253" t="s">
        <v>323</v>
      </c>
      <c r="C253" t="s">
        <v>478</v>
      </c>
      <c r="D253" t="s">
        <v>30</v>
      </c>
      <c r="E253" t="str">
        <f t="shared" si="9"/>
        <v>Phalombe District [AZyWpGzhcaA]|50+|Female</v>
      </c>
      <c r="F253" s="38">
        <v>566</v>
      </c>
      <c r="G253" s="33">
        <f t="shared" si="10"/>
        <v>0</v>
      </c>
      <c r="H253" s="218">
        <f t="shared" si="11"/>
        <v>566</v>
      </c>
    </row>
    <row r="254" spans="1:8" x14ac:dyDescent="0.2">
      <c r="A254" t="str">
        <f>INDEX(Prioritization!$D:$D,MATCH($B254,Prioritization!$A:$A,0))</f>
        <v>INVALID</v>
      </c>
      <c r="B254" t="s">
        <v>323</v>
      </c>
      <c r="C254" t="s">
        <v>478</v>
      </c>
      <c r="D254" t="s">
        <v>48</v>
      </c>
      <c r="E254" t="str">
        <f t="shared" si="9"/>
        <v>Phalombe District [AZyWpGzhcaA]|50+|Male</v>
      </c>
      <c r="F254" s="38"/>
      <c r="G254" s="33" t="str">
        <f t="shared" si="10"/>
        <v/>
      </c>
      <c r="H254" s="218" t="str">
        <f t="shared" si="11"/>
        <v/>
      </c>
    </row>
    <row r="255" spans="1:8" x14ac:dyDescent="0.2">
      <c r="A255" t="str">
        <f>INDEX(Prioritization!$D:$D,MATCH($B255,Prioritization!$A:$A,0))</f>
        <v>4 - Sustained</v>
      </c>
      <c r="B255" t="s">
        <v>312</v>
      </c>
      <c r="C255" t="s">
        <v>474</v>
      </c>
      <c r="D255" t="s">
        <v>30</v>
      </c>
      <c r="E255" t="str">
        <f t="shared" ref="E255:E294" si="12">B255&amp;"|"&amp;C255&amp;"|"&amp;D255</f>
        <v>Rumphi District [lPTyjLi4w3d]|10-14|Female</v>
      </c>
      <c r="F255" s="38"/>
      <c r="G255" s="33" t="str">
        <f t="shared" ref="G255:G294" si="13">IF(SUM($F255)=0,"",0%)</f>
        <v/>
      </c>
      <c r="H255" s="218" t="str">
        <f t="shared" ref="H255:H294" si="14">IF(SUM($F255)=0,"",ROUND($F255*(1+$G255),0))</f>
        <v/>
      </c>
    </row>
    <row r="256" spans="1:8" x14ac:dyDescent="0.2">
      <c r="A256" t="str">
        <f>INDEX(Prioritization!$D:$D,MATCH($B256,Prioritization!$A:$A,0))</f>
        <v>4 - Sustained</v>
      </c>
      <c r="B256" t="s">
        <v>312</v>
      </c>
      <c r="C256" t="s">
        <v>474</v>
      </c>
      <c r="D256" t="s">
        <v>48</v>
      </c>
      <c r="E256" t="str">
        <f t="shared" si="12"/>
        <v>Rumphi District [lPTyjLi4w3d]|10-14|Male</v>
      </c>
      <c r="F256" s="38"/>
      <c r="G256" s="33" t="str">
        <f t="shared" si="13"/>
        <v/>
      </c>
      <c r="H256" s="218" t="str">
        <f t="shared" si="14"/>
        <v/>
      </c>
    </row>
    <row r="257" spans="1:8" x14ac:dyDescent="0.2">
      <c r="A257" t="str">
        <f>INDEX(Prioritization!$D:$D,MATCH($B257,Prioritization!$A:$A,0))</f>
        <v>4 - Sustained</v>
      </c>
      <c r="B257" t="s">
        <v>312</v>
      </c>
      <c r="C257" t="s">
        <v>475</v>
      </c>
      <c r="D257" t="s">
        <v>30</v>
      </c>
      <c r="E257" t="str">
        <f t="shared" si="12"/>
        <v>Rumphi District [lPTyjLi4w3d]|15-24|Female</v>
      </c>
      <c r="F257" s="38"/>
      <c r="G257" s="33" t="str">
        <f t="shared" si="13"/>
        <v/>
      </c>
      <c r="H257" s="244">
        <v>100</v>
      </c>
    </row>
    <row r="258" spans="1:8" x14ac:dyDescent="0.2">
      <c r="A258" t="str">
        <f>INDEX(Prioritization!$D:$D,MATCH($B258,Prioritization!$A:$A,0))</f>
        <v>4 - Sustained</v>
      </c>
      <c r="B258" t="s">
        <v>312</v>
      </c>
      <c r="C258" t="s">
        <v>475</v>
      </c>
      <c r="D258" t="s">
        <v>48</v>
      </c>
      <c r="E258" t="str">
        <f t="shared" si="12"/>
        <v>Rumphi District [lPTyjLi4w3d]|15-24|Male</v>
      </c>
      <c r="F258" s="38"/>
      <c r="G258" s="33" t="str">
        <f t="shared" si="13"/>
        <v/>
      </c>
      <c r="H258" s="244">
        <v>50</v>
      </c>
    </row>
    <row r="259" spans="1:8" x14ac:dyDescent="0.2">
      <c r="A259" t="str">
        <f>INDEX(Prioritization!$D:$D,MATCH($B259,Prioritization!$A:$A,0))</f>
        <v>4 - Sustained</v>
      </c>
      <c r="B259" t="s">
        <v>312</v>
      </c>
      <c r="C259" t="s">
        <v>476</v>
      </c>
      <c r="D259" t="s">
        <v>30</v>
      </c>
      <c r="E259" t="str">
        <f t="shared" si="12"/>
        <v>Rumphi District [lPTyjLi4w3d]|25-34|Female</v>
      </c>
      <c r="F259" s="38"/>
      <c r="G259" s="33" t="str">
        <f t="shared" si="13"/>
        <v/>
      </c>
      <c r="H259" s="218" t="str">
        <f t="shared" si="14"/>
        <v/>
      </c>
    </row>
    <row r="260" spans="1:8" x14ac:dyDescent="0.2">
      <c r="A260" t="str">
        <f>INDEX(Prioritization!$D:$D,MATCH($B260,Prioritization!$A:$A,0))</f>
        <v>4 - Sustained</v>
      </c>
      <c r="B260" t="s">
        <v>312</v>
      </c>
      <c r="C260" t="s">
        <v>476</v>
      </c>
      <c r="D260" t="s">
        <v>48</v>
      </c>
      <c r="E260" t="str">
        <f t="shared" si="12"/>
        <v>Rumphi District [lPTyjLi4w3d]|25-34|Male</v>
      </c>
      <c r="F260" s="38"/>
      <c r="G260" s="33" t="str">
        <f t="shared" si="13"/>
        <v/>
      </c>
      <c r="H260" s="218" t="str">
        <f t="shared" si="14"/>
        <v/>
      </c>
    </row>
    <row r="261" spans="1:8" x14ac:dyDescent="0.2">
      <c r="A261" t="str">
        <f>INDEX(Prioritization!$D:$D,MATCH($B261,Prioritization!$A:$A,0))</f>
        <v>4 - Sustained</v>
      </c>
      <c r="B261" t="s">
        <v>312</v>
      </c>
      <c r="C261" t="s">
        <v>477</v>
      </c>
      <c r="D261" t="s">
        <v>30</v>
      </c>
      <c r="E261" t="str">
        <f t="shared" si="12"/>
        <v>Rumphi District [lPTyjLi4w3d]|35-49|Female</v>
      </c>
      <c r="F261" s="38"/>
      <c r="G261" s="33" t="str">
        <f t="shared" si="13"/>
        <v/>
      </c>
      <c r="H261" s="218" t="str">
        <f t="shared" si="14"/>
        <v/>
      </c>
    </row>
    <row r="262" spans="1:8" x14ac:dyDescent="0.2">
      <c r="A262" t="str">
        <f>INDEX(Prioritization!$D:$D,MATCH($B262,Prioritization!$A:$A,0))</f>
        <v>4 - Sustained</v>
      </c>
      <c r="B262" t="s">
        <v>312</v>
      </c>
      <c r="C262" t="s">
        <v>477</v>
      </c>
      <c r="D262" t="s">
        <v>48</v>
      </c>
      <c r="E262" t="str">
        <f t="shared" si="12"/>
        <v>Rumphi District [lPTyjLi4w3d]|35-49|Male</v>
      </c>
      <c r="F262" s="38"/>
      <c r="G262" s="33" t="str">
        <f t="shared" si="13"/>
        <v/>
      </c>
      <c r="H262" s="218" t="str">
        <f t="shared" si="14"/>
        <v/>
      </c>
    </row>
    <row r="263" spans="1:8" x14ac:dyDescent="0.2">
      <c r="A263" t="str">
        <f>INDEX(Prioritization!$D:$D,MATCH($B263,Prioritization!$A:$A,0))</f>
        <v>4 - Sustained</v>
      </c>
      <c r="B263" t="s">
        <v>312</v>
      </c>
      <c r="C263" t="s">
        <v>478</v>
      </c>
      <c r="D263" t="s">
        <v>30</v>
      </c>
      <c r="E263" t="str">
        <f t="shared" si="12"/>
        <v>Rumphi District [lPTyjLi4w3d]|50+|Female</v>
      </c>
      <c r="F263" s="38"/>
      <c r="G263" s="33" t="str">
        <f t="shared" si="13"/>
        <v/>
      </c>
      <c r="H263" s="218" t="str">
        <f t="shared" si="14"/>
        <v/>
      </c>
    </row>
    <row r="264" spans="1:8" x14ac:dyDescent="0.2">
      <c r="A264" t="str">
        <f>INDEX(Prioritization!$D:$D,MATCH($B264,Prioritization!$A:$A,0))</f>
        <v>4 - Sustained</v>
      </c>
      <c r="B264" t="s">
        <v>312</v>
      </c>
      <c r="C264" t="s">
        <v>478</v>
      </c>
      <c r="D264" t="s">
        <v>48</v>
      </c>
      <c r="E264" t="str">
        <f t="shared" si="12"/>
        <v>Rumphi District [lPTyjLi4w3d]|50+|Male</v>
      </c>
      <c r="F264" s="38"/>
      <c r="G264" s="33" t="str">
        <f t="shared" si="13"/>
        <v/>
      </c>
      <c r="H264" s="218" t="str">
        <f t="shared" si="14"/>
        <v/>
      </c>
    </row>
    <row r="265" spans="1:8" x14ac:dyDescent="0.2">
      <c r="A265" t="str">
        <f>INDEX(Prioritization!$D:$D,MATCH($B265,Prioritization!$A:$A,0))</f>
        <v>4 - Sustained</v>
      </c>
      <c r="B265" t="s">
        <v>306</v>
      </c>
      <c r="C265" t="s">
        <v>474</v>
      </c>
      <c r="D265" t="s">
        <v>30</v>
      </c>
      <c r="E265" t="str">
        <f t="shared" si="12"/>
        <v>Salima District [msW2zpIN7up]|10-14|Female</v>
      </c>
      <c r="F265" s="38"/>
      <c r="G265" s="33" t="str">
        <f t="shared" si="13"/>
        <v/>
      </c>
      <c r="H265" s="218" t="str">
        <f t="shared" si="14"/>
        <v/>
      </c>
    </row>
    <row r="266" spans="1:8" x14ac:dyDescent="0.2">
      <c r="A266" t="str">
        <f>INDEX(Prioritization!$D:$D,MATCH($B266,Prioritization!$A:$A,0))</f>
        <v>4 - Sustained</v>
      </c>
      <c r="B266" t="s">
        <v>306</v>
      </c>
      <c r="C266" t="s">
        <v>474</v>
      </c>
      <c r="D266" t="s">
        <v>48</v>
      </c>
      <c r="E266" t="str">
        <f t="shared" si="12"/>
        <v>Salima District [msW2zpIN7up]|10-14|Male</v>
      </c>
      <c r="F266" s="38"/>
      <c r="G266" s="33" t="str">
        <f t="shared" si="13"/>
        <v/>
      </c>
      <c r="H266" s="218" t="str">
        <f t="shared" si="14"/>
        <v/>
      </c>
    </row>
    <row r="267" spans="1:8" x14ac:dyDescent="0.2">
      <c r="A267" t="str">
        <f>INDEX(Prioritization!$D:$D,MATCH($B267,Prioritization!$A:$A,0))</f>
        <v>4 - Sustained</v>
      </c>
      <c r="B267" t="s">
        <v>306</v>
      </c>
      <c r="C267" t="s">
        <v>475</v>
      </c>
      <c r="D267" t="s">
        <v>30</v>
      </c>
      <c r="E267" t="str">
        <f t="shared" si="12"/>
        <v>Salima District [msW2zpIN7up]|15-24|Female</v>
      </c>
      <c r="F267" s="38">
        <v>29</v>
      </c>
      <c r="G267" s="33">
        <v>0.37931034482758602</v>
      </c>
      <c r="H267" s="218">
        <f t="shared" si="14"/>
        <v>40</v>
      </c>
    </row>
    <row r="268" spans="1:8" x14ac:dyDescent="0.2">
      <c r="A268" t="str">
        <f>INDEX(Prioritization!$D:$D,MATCH($B268,Prioritization!$A:$A,0))</f>
        <v>4 - Sustained</v>
      </c>
      <c r="B268" t="s">
        <v>306</v>
      </c>
      <c r="C268" t="s">
        <v>475</v>
      </c>
      <c r="D268" t="s">
        <v>48</v>
      </c>
      <c r="E268" t="str">
        <f t="shared" si="12"/>
        <v>Salima District [msW2zpIN7up]|15-24|Male</v>
      </c>
      <c r="F268" s="38">
        <v>21</v>
      </c>
      <c r="G268" s="33">
        <v>-4.7619047619047603E-2</v>
      </c>
      <c r="H268" s="218">
        <f t="shared" si="14"/>
        <v>20</v>
      </c>
    </row>
    <row r="269" spans="1:8" x14ac:dyDescent="0.2">
      <c r="A269" t="str">
        <f>INDEX(Prioritization!$D:$D,MATCH($B269,Prioritization!$A:$A,0))</f>
        <v>4 - Sustained</v>
      </c>
      <c r="B269" t="s">
        <v>306</v>
      </c>
      <c r="C269" t="s">
        <v>476</v>
      </c>
      <c r="D269" t="s">
        <v>30</v>
      </c>
      <c r="E269" t="str">
        <f t="shared" si="12"/>
        <v>Salima District [msW2zpIN7up]|25-34|Female</v>
      </c>
      <c r="F269" s="38"/>
      <c r="G269" s="33" t="str">
        <f t="shared" si="13"/>
        <v/>
      </c>
      <c r="H269" s="218" t="str">
        <f t="shared" si="14"/>
        <v/>
      </c>
    </row>
    <row r="270" spans="1:8" x14ac:dyDescent="0.2">
      <c r="A270" t="str">
        <f>INDEX(Prioritization!$D:$D,MATCH($B270,Prioritization!$A:$A,0))</f>
        <v>4 - Sustained</v>
      </c>
      <c r="B270" t="s">
        <v>306</v>
      </c>
      <c r="C270" t="s">
        <v>476</v>
      </c>
      <c r="D270" t="s">
        <v>48</v>
      </c>
      <c r="E270" t="str">
        <f t="shared" si="12"/>
        <v>Salima District [msW2zpIN7up]|25-34|Male</v>
      </c>
      <c r="F270" s="38"/>
      <c r="G270" s="33" t="str">
        <f t="shared" si="13"/>
        <v/>
      </c>
      <c r="H270" s="218" t="str">
        <f t="shared" si="14"/>
        <v/>
      </c>
    </row>
    <row r="271" spans="1:8" x14ac:dyDescent="0.2">
      <c r="A271" t="str">
        <f>INDEX(Prioritization!$D:$D,MATCH($B271,Prioritization!$A:$A,0))</f>
        <v>4 - Sustained</v>
      </c>
      <c r="B271" t="s">
        <v>306</v>
      </c>
      <c r="C271" t="s">
        <v>477</v>
      </c>
      <c r="D271" t="s">
        <v>30</v>
      </c>
      <c r="E271" t="str">
        <f t="shared" si="12"/>
        <v>Salima District [msW2zpIN7up]|35-49|Female</v>
      </c>
      <c r="F271" s="38"/>
      <c r="G271" s="33" t="str">
        <f t="shared" si="13"/>
        <v/>
      </c>
      <c r="H271" s="218" t="str">
        <f t="shared" si="14"/>
        <v/>
      </c>
    </row>
    <row r="272" spans="1:8" x14ac:dyDescent="0.2">
      <c r="A272" t="str">
        <f>INDEX(Prioritization!$D:$D,MATCH($B272,Prioritization!$A:$A,0))</f>
        <v>4 - Sustained</v>
      </c>
      <c r="B272" t="s">
        <v>306</v>
      </c>
      <c r="C272" t="s">
        <v>477</v>
      </c>
      <c r="D272" t="s">
        <v>48</v>
      </c>
      <c r="E272" t="str">
        <f t="shared" si="12"/>
        <v>Salima District [msW2zpIN7up]|35-49|Male</v>
      </c>
      <c r="F272" s="38"/>
      <c r="G272" s="33" t="str">
        <f t="shared" si="13"/>
        <v/>
      </c>
      <c r="H272" s="218" t="str">
        <f t="shared" si="14"/>
        <v/>
      </c>
    </row>
    <row r="273" spans="1:8" x14ac:dyDescent="0.2">
      <c r="A273" t="str">
        <f>INDEX(Prioritization!$D:$D,MATCH($B273,Prioritization!$A:$A,0))</f>
        <v>4 - Sustained</v>
      </c>
      <c r="B273" t="s">
        <v>306</v>
      </c>
      <c r="C273" t="s">
        <v>478</v>
      </c>
      <c r="D273" t="s">
        <v>30</v>
      </c>
      <c r="E273" t="str">
        <f t="shared" si="12"/>
        <v>Salima District [msW2zpIN7up]|50+|Female</v>
      </c>
      <c r="F273" s="38"/>
      <c r="G273" s="33" t="str">
        <f t="shared" si="13"/>
        <v/>
      </c>
      <c r="H273" s="218" t="str">
        <f t="shared" si="14"/>
        <v/>
      </c>
    </row>
    <row r="274" spans="1:8" x14ac:dyDescent="0.2">
      <c r="A274" t="str">
        <f>INDEX(Prioritization!$D:$D,MATCH($B274,Prioritization!$A:$A,0))</f>
        <v>4 - Sustained</v>
      </c>
      <c r="B274" t="s">
        <v>306</v>
      </c>
      <c r="C274" t="s">
        <v>478</v>
      </c>
      <c r="D274" t="s">
        <v>48</v>
      </c>
      <c r="E274" t="str">
        <f t="shared" si="12"/>
        <v>Salima District [msW2zpIN7up]|50+|Male</v>
      </c>
      <c r="F274" s="38"/>
      <c r="G274" s="33" t="str">
        <f t="shared" si="13"/>
        <v/>
      </c>
      <c r="H274" s="218" t="str">
        <f t="shared" si="14"/>
        <v/>
      </c>
    </row>
    <row r="275" spans="1:8" x14ac:dyDescent="0.2">
      <c r="A275" t="str">
        <f>INDEX(Prioritization!$D:$D,MATCH($B275,Prioritization!$A:$A,0))</f>
        <v>INVALID</v>
      </c>
      <c r="B275" t="s">
        <v>324</v>
      </c>
      <c r="C275" t="s">
        <v>474</v>
      </c>
      <c r="D275" t="s">
        <v>30</v>
      </c>
      <c r="E275" t="str">
        <f t="shared" si="12"/>
        <v>Thyolo District [ul0y9diGujK]|10-14|Female</v>
      </c>
      <c r="F275" s="38"/>
      <c r="G275" s="33" t="str">
        <f t="shared" si="13"/>
        <v/>
      </c>
      <c r="H275" s="218" t="str">
        <f t="shared" si="14"/>
        <v/>
      </c>
    </row>
    <row r="276" spans="1:8" x14ac:dyDescent="0.2">
      <c r="A276" t="str">
        <f>INDEX(Prioritization!$D:$D,MATCH($B276,Prioritization!$A:$A,0))</f>
        <v>INVALID</v>
      </c>
      <c r="B276" t="s">
        <v>324</v>
      </c>
      <c r="C276" t="s">
        <v>474</v>
      </c>
      <c r="D276" t="s">
        <v>48</v>
      </c>
      <c r="E276" t="str">
        <f t="shared" si="12"/>
        <v>Thyolo District [ul0y9diGujK]|10-14|Male</v>
      </c>
      <c r="F276" s="38"/>
      <c r="G276" s="33" t="str">
        <f t="shared" si="13"/>
        <v/>
      </c>
      <c r="H276" s="218" t="str">
        <f t="shared" si="14"/>
        <v/>
      </c>
    </row>
    <row r="277" spans="1:8" x14ac:dyDescent="0.2">
      <c r="A277" t="str">
        <f>INDEX(Prioritization!$D:$D,MATCH($B277,Prioritization!$A:$A,0))</f>
        <v>INVALID</v>
      </c>
      <c r="B277" t="s">
        <v>324</v>
      </c>
      <c r="C277" t="s">
        <v>475</v>
      </c>
      <c r="D277" t="s">
        <v>30</v>
      </c>
      <c r="E277" t="str">
        <f t="shared" si="12"/>
        <v>Thyolo District [ul0y9diGujK]|15-24|Female</v>
      </c>
      <c r="F277" s="38"/>
      <c r="G277" s="33" t="str">
        <f t="shared" si="13"/>
        <v/>
      </c>
      <c r="H277" s="218" t="str">
        <f t="shared" si="14"/>
        <v/>
      </c>
    </row>
    <row r="278" spans="1:8" x14ac:dyDescent="0.2">
      <c r="A278" t="str">
        <f>INDEX(Prioritization!$D:$D,MATCH($B278,Prioritization!$A:$A,0))</f>
        <v>INVALID</v>
      </c>
      <c r="B278" t="s">
        <v>324</v>
      </c>
      <c r="C278" t="s">
        <v>475</v>
      </c>
      <c r="D278" t="s">
        <v>48</v>
      </c>
      <c r="E278" t="str">
        <f t="shared" si="12"/>
        <v>Thyolo District [ul0y9diGujK]|15-24|Male</v>
      </c>
      <c r="F278" s="38"/>
      <c r="G278" s="33" t="str">
        <f t="shared" si="13"/>
        <v/>
      </c>
      <c r="H278" s="218" t="str">
        <f t="shared" si="14"/>
        <v/>
      </c>
    </row>
    <row r="279" spans="1:8" x14ac:dyDescent="0.2">
      <c r="A279" t="str">
        <f>INDEX(Prioritization!$D:$D,MATCH($B279,Prioritization!$A:$A,0))</f>
        <v>INVALID</v>
      </c>
      <c r="B279" t="s">
        <v>324</v>
      </c>
      <c r="C279" t="s">
        <v>476</v>
      </c>
      <c r="D279" t="s">
        <v>30</v>
      </c>
      <c r="E279" t="str">
        <f t="shared" si="12"/>
        <v>Thyolo District [ul0y9diGujK]|25-34|Female</v>
      </c>
      <c r="F279" s="38"/>
      <c r="G279" s="33" t="str">
        <f t="shared" si="13"/>
        <v/>
      </c>
      <c r="H279" s="218" t="str">
        <f t="shared" si="14"/>
        <v/>
      </c>
    </row>
    <row r="280" spans="1:8" x14ac:dyDescent="0.2">
      <c r="A280" t="str">
        <f>INDEX(Prioritization!$D:$D,MATCH($B280,Prioritization!$A:$A,0))</f>
        <v>INVALID</v>
      </c>
      <c r="B280" t="s">
        <v>324</v>
      </c>
      <c r="C280" t="s">
        <v>476</v>
      </c>
      <c r="D280" t="s">
        <v>48</v>
      </c>
      <c r="E280" t="str">
        <f t="shared" si="12"/>
        <v>Thyolo District [ul0y9diGujK]|25-34|Male</v>
      </c>
      <c r="F280" s="38"/>
      <c r="G280" s="33" t="str">
        <f t="shared" si="13"/>
        <v/>
      </c>
      <c r="H280" s="218" t="str">
        <f t="shared" si="14"/>
        <v/>
      </c>
    </row>
    <row r="281" spans="1:8" x14ac:dyDescent="0.2">
      <c r="A281" t="str">
        <f>INDEX(Prioritization!$D:$D,MATCH($B281,Prioritization!$A:$A,0))</f>
        <v>INVALID</v>
      </c>
      <c r="B281" t="s">
        <v>324</v>
      </c>
      <c r="C281" t="s">
        <v>477</v>
      </c>
      <c r="D281" t="s">
        <v>30</v>
      </c>
      <c r="E281" t="str">
        <f t="shared" si="12"/>
        <v>Thyolo District [ul0y9diGujK]|35-49|Female</v>
      </c>
      <c r="F281" s="38"/>
      <c r="G281" s="33" t="str">
        <f t="shared" si="13"/>
        <v/>
      </c>
      <c r="H281" s="218" t="str">
        <f t="shared" si="14"/>
        <v/>
      </c>
    </row>
    <row r="282" spans="1:8" x14ac:dyDescent="0.2">
      <c r="A282" t="str">
        <f>INDEX(Prioritization!$D:$D,MATCH($B282,Prioritization!$A:$A,0))</f>
        <v>INVALID</v>
      </c>
      <c r="B282" t="s">
        <v>324</v>
      </c>
      <c r="C282" t="s">
        <v>477</v>
      </c>
      <c r="D282" t="s">
        <v>48</v>
      </c>
      <c r="E282" t="str">
        <f t="shared" si="12"/>
        <v>Thyolo District [ul0y9diGujK]|35-49|Male</v>
      </c>
      <c r="F282" s="38"/>
      <c r="G282" s="33" t="str">
        <f t="shared" si="13"/>
        <v/>
      </c>
      <c r="H282" s="218" t="str">
        <f t="shared" si="14"/>
        <v/>
      </c>
    </row>
    <row r="283" spans="1:8" x14ac:dyDescent="0.2">
      <c r="A283" t="str">
        <f>INDEX(Prioritization!$D:$D,MATCH($B283,Prioritization!$A:$A,0))</f>
        <v>INVALID</v>
      </c>
      <c r="B283" t="s">
        <v>324</v>
      </c>
      <c r="C283" t="s">
        <v>478</v>
      </c>
      <c r="D283" t="s">
        <v>30</v>
      </c>
      <c r="E283" t="str">
        <f t="shared" si="12"/>
        <v>Thyolo District [ul0y9diGujK]|50+|Female</v>
      </c>
      <c r="F283" s="38"/>
      <c r="G283" s="33" t="str">
        <f t="shared" si="13"/>
        <v/>
      </c>
      <c r="H283" s="218" t="str">
        <f t="shared" si="14"/>
        <v/>
      </c>
    </row>
    <row r="284" spans="1:8" x14ac:dyDescent="0.2">
      <c r="A284" t="str">
        <f>INDEX(Prioritization!$D:$D,MATCH($B284,Prioritization!$A:$A,0))</f>
        <v>INVALID</v>
      </c>
      <c r="B284" t="s">
        <v>324</v>
      </c>
      <c r="C284" t="s">
        <v>478</v>
      </c>
      <c r="D284" t="s">
        <v>48</v>
      </c>
      <c r="E284" t="str">
        <f t="shared" si="12"/>
        <v>Thyolo District [ul0y9diGujK]|50+|Male</v>
      </c>
      <c r="F284" s="38"/>
      <c r="G284" s="33" t="str">
        <f t="shared" si="13"/>
        <v/>
      </c>
      <c r="H284" s="218" t="str">
        <f t="shared" si="14"/>
        <v/>
      </c>
    </row>
    <row r="285" spans="1:8" x14ac:dyDescent="0.2">
      <c r="A285" t="str">
        <f>INDEX(Prioritization!$D:$D,MATCH($B285,Prioritization!$A:$A,0))</f>
        <v>1 - Scale-up: Saturation</v>
      </c>
      <c r="B285" t="s">
        <v>325</v>
      </c>
      <c r="C285" t="s">
        <v>474</v>
      </c>
      <c r="D285" t="s">
        <v>30</v>
      </c>
      <c r="E285" t="str">
        <f t="shared" si="12"/>
        <v>Zomba District [fyEoGEPERdI]|10-14|Female</v>
      </c>
      <c r="F285" s="38"/>
      <c r="G285" s="33" t="str">
        <f t="shared" si="13"/>
        <v/>
      </c>
      <c r="H285" s="218" t="str">
        <f t="shared" si="14"/>
        <v/>
      </c>
    </row>
    <row r="286" spans="1:8" x14ac:dyDescent="0.2">
      <c r="A286" t="str">
        <f>INDEX(Prioritization!$D:$D,MATCH($B286,Prioritization!$A:$A,0))</f>
        <v>1 - Scale-up: Saturation</v>
      </c>
      <c r="B286" t="s">
        <v>325</v>
      </c>
      <c r="C286" t="s">
        <v>474</v>
      </c>
      <c r="D286" t="s">
        <v>48</v>
      </c>
      <c r="E286" t="str">
        <f t="shared" si="12"/>
        <v>Zomba District [fyEoGEPERdI]|10-14|Male</v>
      </c>
      <c r="F286" s="38"/>
      <c r="G286" s="33" t="str">
        <f t="shared" si="13"/>
        <v/>
      </c>
      <c r="H286" s="218" t="str">
        <f t="shared" si="14"/>
        <v/>
      </c>
    </row>
    <row r="287" spans="1:8" x14ac:dyDescent="0.2">
      <c r="A287" t="str">
        <f>INDEX(Prioritization!$D:$D,MATCH($B287,Prioritization!$A:$A,0))</f>
        <v>1 - Scale-up: Saturation</v>
      </c>
      <c r="B287" t="s">
        <v>325</v>
      </c>
      <c r="C287" t="s">
        <v>475</v>
      </c>
      <c r="D287" t="s">
        <v>30</v>
      </c>
      <c r="E287" t="str">
        <f t="shared" si="12"/>
        <v>Zomba District [fyEoGEPERdI]|15-24|Female</v>
      </c>
      <c r="F287" s="38">
        <v>29126</v>
      </c>
      <c r="G287" s="33">
        <v>-0.436311199615464</v>
      </c>
      <c r="H287" s="218">
        <f t="shared" si="14"/>
        <v>16418</v>
      </c>
    </row>
    <row r="288" spans="1:8" x14ac:dyDescent="0.2">
      <c r="A288" t="str">
        <f>INDEX(Prioritization!$D:$D,MATCH($B288,Prioritization!$A:$A,0))</f>
        <v>1 - Scale-up: Saturation</v>
      </c>
      <c r="B288" t="s">
        <v>325</v>
      </c>
      <c r="C288" t="s">
        <v>475</v>
      </c>
      <c r="D288" t="s">
        <v>48</v>
      </c>
      <c r="E288" t="str">
        <f t="shared" si="12"/>
        <v>Zomba District [fyEoGEPERdI]|15-24|Male</v>
      </c>
      <c r="F288" s="38">
        <v>4322</v>
      </c>
      <c r="G288" s="33">
        <v>0.81096714484035204</v>
      </c>
      <c r="H288" s="218">
        <f t="shared" si="14"/>
        <v>7827</v>
      </c>
    </row>
    <row r="289" spans="1:8" x14ac:dyDescent="0.2">
      <c r="A289" t="str">
        <f>INDEX(Prioritization!$D:$D,MATCH($B289,Prioritization!$A:$A,0))</f>
        <v>1 - Scale-up: Saturation</v>
      </c>
      <c r="B289" t="s">
        <v>325</v>
      </c>
      <c r="C289" t="s">
        <v>476</v>
      </c>
      <c r="D289" t="s">
        <v>30</v>
      </c>
      <c r="E289" t="str">
        <f t="shared" si="12"/>
        <v>Zomba District [fyEoGEPERdI]|25-34|Female</v>
      </c>
      <c r="F289" s="38">
        <v>2142</v>
      </c>
      <c r="G289" s="33">
        <f t="shared" si="13"/>
        <v>0</v>
      </c>
      <c r="H289" s="218">
        <f t="shared" si="14"/>
        <v>2142</v>
      </c>
    </row>
    <row r="290" spans="1:8" x14ac:dyDescent="0.2">
      <c r="A290" t="str">
        <f>INDEX(Prioritization!$D:$D,MATCH($B290,Prioritization!$A:$A,0))</f>
        <v>1 - Scale-up: Saturation</v>
      </c>
      <c r="B290" t="s">
        <v>325</v>
      </c>
      <c r="C290" t="s">
        <v>476</v>
      </c>
      <c r="D290" t="s">
        <v>48</v>
      </c>
      <c r="E290" t="str">
        <f t="shared" si="12"/>
        <v>Zomba District [fyEoGEPERdI]|25-34|Male</v>
      </c>
      <c r="F290" s="38">
        <v>38</v>
      </c>
      <c r="G290" s="33">
        <f t="shared" si="13"/>
        <v>0</v>
      </c>
      <c r="H290" s="218">
        <f t="shared" si="14"/>
        <v>38</v>
      </c>
    </row>
    <row r="291" spans="1:8" x14ac:dyDescent="0.2">
      <c r="A291" t="str">
        <f>INDEX(Prioritization!$D:$D,MATCH($B291,Prioritization!$A:$A,0))</f>
        <v>1 - Scale-up: Saturation</v>
      </c>
      <c r="B291" t="s">
        <v>325</v>
      </c>
      <c r="C291" t="s">
        <v>477</v>
      </c>
      <c r="D291" t="s">
        <v>30</v>
      </c>
      <c r="E291" t="str">
        <f t="shared" si="12"/>
        <v>Zomba District [fyEoGEPERdI]|35-49|Female</v>
      </c>
      <c r="F291" s="38">
        <v>4208</v>
      </c>
      <c r="G291" s="33">
        <f t="shared" si="13"/>
        <v>0</v>
      </c>
      <c r="H291" s="218">
        <f t="shared" si="14"/>
        <v>4208</v>
      </c>
    </row>
    <row r="292" spans="1:8" x14ac:dyDescent="0.2">
      <c r="A292" t="str">
        <f>INDEX(Prioritization!$D:$D,MATCH($B292,Prioritization!$A:$A,0))</f>
        <v>1 - Scale-up: Saturation</v>
      </c>
      <c r="B292" t="s">
        <v>325</v>
      </c>
      <c r="C292" t="s">
        <v>477</v>
      </c>
      <c r="D292" t="s">
        <v>48</v>
      </c>
      <c r="E292" t="str">
        <f t="shared" si="12"/>
        <v>Zomba District [fyEoGEPERdI]|35-49|Male</v>
      </c>
      <c r="F292" s="38">
        <v>114</v>
      </c>
      <c r="G292" s="33">
        <f t="shared" si="13"/>
        <v>0</v>
      </c>
      <c r="H292" s="218">
        <f t="shared" si="14"/>
        <v>114</v>
      </c>
    </row>
    <row r="293" spans="1:8" x14ac:dyDescent="0.2">
      <c r="A293" t="str">
        <f>INDEX(Prioritization!$D:$D,MATCH($B293,Prioritization!$A:$A,0))</f>
        <v>1 - Scale-up: Saturation</v>
      </c>
      <c r="B293" t="s">
        <v>325</v>
      </c>
      <c r="C293" t="s">
        <v>478</v>
      </c>
      <c r="D293" t="s">
        <v>30</v>
      </c>
      <c r="E293" t="str">
        <f t="shared" si="12"/>
        <v>Zomba District [fyEoGEPERdI]|50+|Female</v>
      </c>
      <c r="F293" s="38">
        <v>384</v>
      </c>
      <c r="G293" s="33">
        <f t="shared" si="13"/>
        <v>0</v>
      </c>
      <c r="H293" s="218">
        <f t="shared" si="14"/>
        <v>384</v>
      </c>
    </row>
    <row r="294" spans="1:8" x14ac:dyDescent="0.2">
      <c r="A294" t="str">
        <f>INDEX(Prioritization!$D:$D,MATCH($B294,Prioritization!$A:$A,0))</f>
        <v>1 - Scale-up: Saturation</v>
      </c>
      <c r="B294" t="s">
        <v>325</v>
      </c>
      <c r="C294" t="s">
        <v>478</v>
      </c>
      <c r="D294" t="s">
        <v>48</v>
      </c>
      <c r="E294" t="str">
        <f t="shared" si="12"/>
        <v>Zomba District [fyEoGEPERdI]|50+|Male</v>
      </c>
      <c r="F294" s="38"/>
      <c r="G294" s="33" t="str">
        <f t="shared" si="13"/>
        <v/>
      </c>
      <c r="H294" s="218" t="str">
        <f t="shared" si="14"/>
        <v/>
      </c>
    </row>
  </sheetData>
  <autoFilter ref="A14:H14" xr:uid="{00000000-0001-0000-0E00-000000000000}"/>
  <sortState xmlns:xlrd2="http://schemas.microsoft.com/office/spreadsheetml/2017/richdata2" ref="A15:H294">
    <sortCondition ref="B15:B294"/>
    <sortCondition ref="C15:C294"/>
    <sortCondition ref="D15:D294"/>
  </sortState>
  <conditionalFormatting sqref="H39:H56 H59:H96 H99:H136 H139:H156 H159:H176 H179:H196 H199:H236 H239:H256 H1:H36 F1:F1048576 H259:H1048576">
    <cfRule type="expression" dxfId="60" priority="2">
      <formula>AND(ISNUMBER(D1),F1&lt;0)</formula>
    </cfRule>
  </conditionalFormatting>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434"/>
  <sheetViews>
    <sheetView zoomScaleNormal="100" workbookViewId="0">
      <pane xSplit="5" ySplit="14" topLeftCell="F15" activePane="bottomRight" state="frozen"/>
      <selection pane="topRight"/>
      <selection pane="bottomLeft"/>
      <selection pane="bottomRight" activeCell="G3" sqref="G3:G14"/>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 hidden="1" customWidth="1"/>
    <col min="6" max="20" width="11.6640625" customWidth="1"/>
  </cols>
  <sheetData>
    <row r="1" spans="1:20" ht="31.25" customHeight="1" x14ac:dyDescent="0.2">
      <c r="A1" s="68" t="s">
        <v>969</v>
      </c>
      <c r="B1" s="23"/>
      <c r="C1" s="112"/>
      <c r="D1" s="112"/>
      <c r="E1" s="195"/>
      <c r="F1" s="12" t="s">
        <v>605</v>
      </c>
      <c r="G1" s="12"/>
      <c r="H1" s="43"/>
      <c r="I1" s="45"/>
      <c r="J1" s="45"/>
      <c r="K1" s="45"/>
      <c r="L1" s="45"/>
      <c r="M1" s="45"/>
      <c r="N1" s="43"/>
      <c r="O1" s="43"/>
      <c r="P1" s="43"/>
      <c r="Q1" s="43"/>
      <c r="R1" s="43"/>
      <c r="S1" s="53" t="s">
        <v>606</v>
      </c>
      <c r="T1" s="43"/>
    </row>
    <row r="2" spans="1:20" ht="19.25" customHeight="1" x14ac:dyDescent="0.25">
      <c r="A2" s="24"/>
      <c r="B2" s="4"/>
      <c r="C2" s="4"/>
      <c r="D2" s="4"/>
      <c r="E2" s="24"/>
      <c r="F2" s="196"/>
      <c r="G2" s="196"/>
      <c r="H2" s="24"/>
      <c r="I2" s="32"/>
      <c r="J2" s="32"/>
      <c r="K2" s="32"/>
      <c r="L2" s="32"/>
      <c r="M2" s="32"/>
      <c r="N2" s="146"/>
      <c r="O2" s="20" t="s">
        <v>281</v>
      </c>
      <c r="P2" s="20" t="s">
        <v>281</v>
      </c>
      <c r="Q2" s="20" t="s">
        <v>281</v>
      </c>
      <c r="R2" s="20" t="s">
        <v>281</v>
      </c>
      <c r="S2" s="31"/>
      <c r="T2" s="20" t="s">
        <v>281</v>
      </c>
    </row>
    <row r="3" spans="1:20" ht="117" customHeight="1" x14ac:dyDescent="0.2">
      <c r="A3" s="67"/>
      <c r="B3" s="9"/>
      <c r="C3" s="9"/>
      <c r="D3" s="9"/>
      <c r="E3" s="67"/>
      <c r="F3" s="109" t="s">
        <v>1356</v>
      </c>
      <c r="G3" s="109"/>
      <c r="H3" s="109" t="s">
        <v>1357</v>
      </c>
      <c r="I3" s="184" t="s">
        <v>1358</v>
      </c>
      <c r="J3" s="184" t="s">
        <v>1359</v>
      </c>
      <c r="K3" s="184" t="s">
        <v>1360</v>
      </c>
      <c r="L3" s="179" t="s">
        <v>1361</v>
      </c>
      <c r="M3" s="184" t="s">
        <v>1362</v>
      </c>
      <c r="N3" s="14" t="s">
        <v>1363</v>
      </c>
      <c r="O3" s="14" t="s">
        <v>723</v>
      </c>
      <c r="P3" s="14" t="s">
        <v>724</v>
      </c>
      <c r="Q3" s="14" t="s">
        <v>725</v>
      </c>
      <c r="R3" s="14" t="s">
        <v>726</v>
      </c>
      <c r="S3" s="190" t="s">
        <v>1364</v>
      </c>
      <c r="T3" s="69" t="s">
        <v>1365</v>
      </c>
    </row>
    <row r="4" spans="1:20" x14ac:dyDescent="0.2">
      <c r="A4" s="35"/>
      <c r="B4" s="5"/>
      <c r="C4" s="5"/>
      <c r="D4" s="5" t="s">
        <v>392</v>
      </c>
      <c r="E4" s="35"/>
      <c r="F4" s="26"/>
      <c r="G4" s="35"/>
      <c r="H4" s="35">
        <f>SUBTOTAL(109,H$15:INDEX(H:H,COUNTA($B:$B)+14-COUNTA($B$1:$B$14)))</f>
        <v>172480</v>
      </c>
      <c r="I4" s="41">
        <f>IF($H$4=0,"",$N$4/$H$4-1)</f>
        <v>-9.4793599257885219E-3</v>
      </c>
      <c r="J4" s="41">
        <f>IF($N$4=0,"",$O$4/$N$4)</f>
        <v>0.28713161052415931</v>
      </c>
      <c r="K4" s="41">
        <f>IF($N$4=0,"",$P$4/$N$4)</f>
        <v>0.18311920161549944</v>
      </c>
      <c r="L4" s="41">
        <f>IF($N$4=0,"",SUM($Q$4,$R$4)/$N$4)</f>
        <v>0.52919898153296852</v>
      </c>
      <c r="M4" s="41">
        <f>IF(SUM($Q$4,$R$4)=0,"",$Q$4/SUM($Q$4,$R$4))</f>
        <v>0.21422172080830873</v>
      </c>
      <c r="N4" s="132">
        <f>SUBTOTAL(109,N$15:INDEX(N:N,COUNTA($B:$B)+14-COUNTA($B$1:$B$14)))</f>
        <v>170845</v>
      </c>
      <c r="O4" s="132">
        <f>SUBTOTAL(109,O$15:INDEX(O:O,COUNTA($B:$B)+14-COUNTA($B$1:$B$14)))</f>
        <v>49055</v>
      </c>
      <c r="P4" s="132">
        <f>SUBTOTAL(109,P$15:INDEX(P:P,COUNTA($B:$B)+14-COUNTA($B$1:$B$14)))</f>
        <v>31285</v>
      </c>
      <c r="Q4" s="132">
        <f>SUBTOTAL(109,Q$15:INDEX(Q:Q,COUNTA($B:$B)+14-COUNTA($B$1:$B$14)))</f>
        <v>19368</v>
      </c>
      <c r="R4" s="132">
        <f>SUBTOTAL(109,R$15:INDEX(R:R,COUNTA($B:$B)+14-COUNTA($B$1:$B$14)))</f>
        <v>71043</v>
      </c>
      <c r="S4" s="77">
        <f>IF(SUM($Q$4,$R$4)=0,"",$T$4/SUM($Q$4,$R$4))</f>
        <v>0.70729225426109654</v>
      </c>
      <c r="T4" s="132">
        <f>SUBTOTAL(109,T$15:INDEX(T:T,COUNTA($B:$B)+14-COUNTA($B$1:$B$14)))</f>
        <v>63947</v>
      </c>
    </row>
    <row r="5" spans="1:20" ht="0" hidden="1" customHeight="1" x14ac:dyDescent="0.2">
      <c r="A5" t="s">
        <v>285</v>
      </c>
      <c r="B5" s="1" t="s">
        <v>285</v>
      </c>
      <c r="C5" s="1" t="s">
        <v>285</v>
      </c>
      <c r="D5" s="1" t="s">
        <v>285</v>
      </c>
      <c r="E5" t="s">
        <v>285</v>
      </c>
      <c r="F5" s="19" t="s">
        <v>285</v>
      </c>
      <c r="G5" s="19"/>
      <c r="H5" s="19" t="s">
        <v>393</v>
      </c>
      <c r="I5" s="33" t="s">
        <v>285</v>
      </c>
      <c r="J5" s="33" t="s">
        <v>285</v>
      </c>
      <c r="K5" s="33" t="s">
        <v>285</v>
      </c>
      <c r="L5" s="33" t="s">
        <v>285</v>
      </c>
      <c r="M5" s="33" t="s">
        <v>285</v>
      </c>
      <c r="N5" s="2" t="s">
        <v>285</v>
      </c>
      <c r="O5" s="2" t="s">
        <v>393</v>
      </c>
      <c r="P5" s="2" t="s">
        <v>393</v>
      </c>
      <c r="Q5" s="2" t="s">
        <v>393</v>
      </c>
      <c r="R5" s="2" t="s">
        <v>393</v>
      </c>
      <c r="S5" s="36" t="s">
        <v>285</v>
      </c>
      <c r="T5" s="2" t="s">
        <v>393</v>
      </c>
    </row>
    <row r="6" spans="1:20" ht="0" hidden="1" customHeight="1" x14ac:dyDescent="0.2">
      <c r="A6" t="s">
        <v>287</v>
      </c>
      <c r="B6" s="1" t="s">
        <v>287</v>
      </c>
      <c r="C6" s="1" t="s">
        <v>287</v>
      </c>
      <c r="D6" s="1" t="s">
        <v>287</v>
      </c>
      <c r="E6" t="s">
        <v>287</v>
      </c>
      <c r="F6" s="19" t="s">
        <v>396</v>
      </c>
      <c r="G6" s="19"/>
      <c r="H6" s="19" t="s">
        <v>288</v>
      </c>
      <c r="I6" s="33" t="s">
        <v>395</v>
      </c>
      <c r="J6" s="33" t="s">
        <v>395</v>
      </c>
      <c r="K6" s="33" t="s">
        <v>395</v>
      </c>
      <c r="L6" s="33" t="s">
        <v>395</v>
      </c>
      <c r="M6" s="33" t="s">
        <v>395</v>
      </c>
      <c r="N6" s="2" t="s">
        <v>395</v>
      </c>
      <c r="O6" s="2" t="s">
        <v>289</v>
      </c>
      <c r="P6" s="2" t="s">
        <v>289</v>
      </c>
      <c r="Q6" s="2" t="s">
        <v>289</v>
      </c>
      <c r="R6" s="2" t="s">
        <v>289</v>
      </c>
      <c r="S6" s="36" t="s">
        <v>395</v>
      </c>
      <c r="T6" s="2" t="s">
        <v>289</v>
      </c>
    </row>
    <row r="7" spans="1:20" ht="0" hidden="1" customHeight="1" x14ac:dyDescent="0.2">
      <c r="A7" t="s">
        <v>291</v>
      </c>
      <c r="B7" s="1" t="s">
        <v>291</v>
      </c>
      <c r="C7" s="1" t="s">
        <v>291</v>
      </c>
      <c r="D7" s="1" t="s">
        <v>291</v>
      </c>
      <c r="E7" t="s">
        <v>291</v>
      </c>
      <c r="F7" s="19" t="s">
        <v>291</v>
      </c>
      <c r="G7" s="19"/>
      <c r="H7" s="38" t="s">
        <v>292</v>
      </c>
      <c r="I7" s="33" t="s">
        <v>398</v>
      </c>
      <c r="J7" s="33" t="s">
        <v>398</v>
      </c>
      <c r="K7" s="33" t="s">
        <v>398</v>
      </c>
      <c r="L7" s="33" t="s">
        <v>398</v>
      </c>
      <c r="M7" s="33" t="s">
        <v>398</v>
      </c>
      <c r="N7" s="2" t="s">
        <v>292</v>
      </c>
      <c r="O7" s="2" t="s">
        <v>292</v>
      </c>
      <c r="P7" s="2" t="s">
        <v>292</v>
      </c>
      <c r="Q7" s="2" t="s">
        <v>292</v>
      </c>
      <c r="R7" s="2" t="s">
        <v>292</v>
      </c>
      <c r="S7" s="36" t="s">
        <v>398</v>
      </c>
      <c r="T7" s="2" t="s">
        <v>292</v>
      </c>
    </row>
    <row r="8" spans="1:20" ht="0" hidden="1" customHeight="1" x14ac:dyDescent="0.2">
      <c r="B8" s="1"/>
      <c r="C8" s="1"/>
      <c r="D8" s="1"/>
      <c r="F8" s="26"/>
      <c r="G8" s="193"/>
      <c r="H8" s="129" t="s">
        <v>780</v>
      </c>
      <c r="I8" s="33"/>
      <c r="J8" s="33"/>
      <c r="K8" s="33"/>
      <c r="L8" s="33"/>
      <c r="M8" s="33"/>
      <c r="N8" s="2"/>
      <c r="O8" s="63" t="s">
        <v>778</v>
      </c>
      <c r="P8" s="63" t="s">
        <v>779</v>
      </c>
      <c r="Q8" s="63" t="s">
        <v>780</v>
      </c>
      <c r="R8" s="63" t="s">
        <v>780</v>
      </c>
      <c r="S8" s="36"/>
      <c r="T8" s="63" t="s">
        <v>781</v>
      </c>
    </row>
    <row r="9" spans="1:20" ht="0" hidden="1" customHeight="1" x14ac:dyDescent="0.2">
      <c r="B9" s="1"/>
      <c r="C9" s="1"/>
      <c r="D9" s="1"/>
      <c r="F9" s="26"/>
      <c r="G9" s="193"/>
      <c r="H9" s="129" t="s">
        <v>1366</v>
      </c>
      <c r="I9" s="33"/>
      <c r="J9" s="33"/>
      <c r="K9" s="33"/>
      <c r="L9" s="33"/>
      <c r="M9" s="33"/>
      <c r="N9" s="2"/>
      <c r="O9" s="63" t="s">
        <v>1367</v>
      </c>
      <c r="P9" s="63" t="s">
        <v>1368</v>
      </c>
      <c r="Q9" s="63" t="s">
        <v>1366</v>
      </c>
      <c r="R9" s="63" t="s">
        <v>1366</v>
      </c>
      <c r="S9" s="36"/>
      <c r="T9" s="63" t="s">
        <v>1369</v>
      </c>
    </row>
    <row r="10" spans="1:20" ht="0" hidden="1" customHeight="1" x14ac:dyDescent="0.2">
      <c r="B10" s="1"/>
      <c r="C10" s="1"/>
      <c r="D10" s="1"/>
      <c r="F10" s="26"/>
      <c r="G10" s="194"/>
      <c r="H10" s="64"/>
      <c r="I10" s="33"/>
      <c r="J10" s="33"/>
      <c r="K10" s="33"/>
      <c r="L10" s="33"/>
      <c r="M10" s="33"/>
      <c r="N10" s="2"/>
      <c r="O10" s="63"/>
      <c r="P10" s="63"/>
      <c r="Q10" s="63" t="s">
        <v>798</v>
      </c>
      <c r="R10" s="63" t="s">
        <v>799</v>
      </c>
      <c r="S10" s="36"/>
      <c r="T10" s="63"/>
    </row>
    <row r="11" spans="1:20" ht="0" hidden="1" customHeight="1" x14ac:dyDescent="0.2">
      <c r="B11" s="1"/>
      <c r="C11" s="1"/>
      <c r="D11" s="1"/>
      <c r="F11" s="26"/>
      <c r="G11" s="19"/>
      <c r="H11" s="38" t="s">
        <v>810</v>
      </c>
      <c r="I11" s="33" t="s">
        <v>810</v>
      </c>
      <c r="J11" s="33" t="s">
        <v>808</v>
      </c>
      <c r="K11" s="33" t="s">
        <v>809</v>
      </c>
      <c r="L11" s="33" t="s">
        <v>810</v>
      </c>
      <c r="M11" s="33" t="s">
        <v>810</v>
      </c>
      <c r="N11" s="2" t="s">
        <v>810</v>
      </c>
      <c r="O11" s="2" t="s">
        <v>808</v>
      </c>
      <c r="P11" s="2" t="s">
        <v>809</v>
      </c>
      <c r="Q11" s="2" t="s">
        <v>810</v>
      </c>
      <c r="R11" s="2" t="s">
        <v>810</v>
      </c>
      <c r="S11" s="36" t="s">
        <v>811</v>
      </c>
      <c r="T11" s="2" t="s">
        <v>811</v>
      </c>
    </row>
    <row r="12" spans="1:20" ht="0" hidden="1" customHeight="1" x14ac:dyDescent="0.2">
      <c r="B12" s="1"/>
      <c r="C12" s="1"/>
      <c r="D12" s="1"/>
      <c r="F12" s="26"/>
      <c r="G12" s="19"/>
      <c r="H12" s="38" t="s">
        <v>427</v>
      </c>
      <c r="I12" s="33" t="s">
        <v>427</v>
      </c>
      <c r="J12" s="33" t="s">
        <v>813</v>
      </c>
      <c r="K12" s="33" t="s">
        <v>427</v>
      </c>
      <c r="L12" s="33" t="s">
        <v>427</v>
      </c>
      <c r="M12" s="33" t="s">
        <v>427</v>
      </c>
      <c r="N12" s="2" t="s">
        <v>427</v>
      </c>
      <c r="O12" s="2" t="s">
        <v>813</v>
      </c>
      <c r="P12" s="2" t="s">
        <v>427</v>
      </c>
      <c r="Q12" s="2" t="s">
        <v>427</v>
      </c>
      <c r="R12" s="2" t="s">
        <v>427</v>
      </c>
      <c r="S12" s="36" t="s">
        <v>427</v>
      </c>
      <c r="T12" s="2" t="s">
        <v>427</v>
      </c>
    </row>
    <row r="13" spans="1:20" ht="0" hidden="1" customHeight="1" x14ac:dyDescent="0.2">
      <c r="B13" s="1"/>
      <c r="C13" s="1"/>
      <c r="D13" s="1"/>
      <c r="F13" s="26"/>
      <c r="G13" s="19"/>
      <c r="I13" s="33"/>
      <c r="J13" s="33"/>
      <c r="K13" s="33"/>
      <c r="L13" s="33"/>
      <c r="M13" s="33"/>
      <c r="N13" s="2"/>
      <c r="O13" s="2"/>
      <c r="P13" s="2"/>
      <c r="Q13" s="2"/>
      <c r="R13" s="2"/>
      <c r="S13" s="36"/>
      <c r="T13" s="2"/>
    </row>
    <row r="14" spans="1:20" x14ac:dyDescent="0.2">
      <c r="A14" s="131" t="s">
        <v>280</v>
      </c>
      <c r="B14" s="15" t="s">
        <v>294</v>
      </c>
      <c r="C14" s="15" t="s">
        <v>428</v>
      </c>
      <c r="D14" s="15" t="s">
        <v>429</v>
      </c>
      <c r="E14" s="131" t="s">
        <v>20</v>
      </c>
      <c r="F14" s="197" t="s">
        <v>1370</v>
      </c>
      <c r="G14" s="84"/>
      <c r="H14" s="18" t="s">
        <v>1371</v>
      </c>
      <c r="I14" s="48" t="s">
        <v>1372</v>
      </c>
      <c r="J14" s="48" t="s">
        <v>1373</v>
      </c>
      <c r="K14" s="48" t="s">
        <v>1374</v>
      </c>
      <c r="L14" s="48" t="s">
        <v>1375</v>
      </c>
      <c r="M14" s="48" t="s">
        <v>1376</v>
      </c>
      <c r="N14" s="49" t="s">
        <v>1377</v>
      </c>
      <c r="O14" s="49" t="s">
        <v>937</v>
      </c>
      <c r="P14" s="49" t="s">
        <v>938</v>
      </c>
      <c r="Q14" s="49" t="s">
        <v>939</v>
      </c>
      <c r="R14" s="49" t="s">
        <v>940</v>
      </c>
      <c r="S14" s="56" t="s">
        <v>1378</v>
      </c>
      <c r="T14" s="49" t="s">
        <v>1379</v>
      </c>
    </row>
    <row r="15" spans="1:20" x14ac:dyDescent="0.2">
      <c r="A15" t="str">
        <f>INDEX(Prioritization!$D:$D,MATCH($B15,Prioritization!$A:$A,0))</f>
        <v>Military</v>
      </c>
      <c r="B15" t="s">
        <v>326</v>
      </c>
      <c r="C15" t="s">
        <v>426</v>
      </c>
      <c r="D15" t="s">
        <v>30</v>
      </c>
      <c r="E15" t="str">
        <f t="shared" ref="E15:E78" si="0">$B15&amp;"|"&amp;$C15&amp;"|"&amp;$D15</f>
        <v>_Military Malawi [PQZgU9dagaH]|&lt;01|Female</v>
      </c>
      <c r="G15" s="38"/>
      <c r="H15" s="38"/>
      <c r="I15" s="240"/>
      <c r="J15" s="33"/>
      <c r="K15" s="33"/>
      <c r="L15" s="33">
        <f t="shared" ref="L15:L78" si="1">1-SUM(J15:K15)</f>
        <v>1</v>
      </c>
      <c r="M15" s="33">
        <f t="shared" ref="M15:M78" si="2">IF(SUM($L15)=0,"",20%)</f>
        <v>0.2</v>
      </c>
      <c r="N15" s="38" t="str">
        <f t="shared" ref="N15" si="3">IF(SUM($H15)=0,"",ROUND($H15*(1+$I15),0))</f>
        <v/>
      </c>
      <c r="O15" s="218" t="str">
        <f t="shared" ref="O15:O78" si="4">IF(OR(SUM($N15)=0,SUM($J15)=0,NOT(AND($D15="Female",$F15="Y",OR($C15="10-14",$C15="15-17")))),"",ROUND($N15*$J15,0))</f>
        <v/>
      </c>
      <c r="P15" s="218" t="str">
        <f t="shared" ref="P15:P78" si="5">IF(OR(SUM($N15)=0,SUM($K15)=0,NOT(OR($C15="10-14",$C15="05-09"))),"",ROUND($N15*$K15,0))</f>
        <v/>
      </c>
      <c r="Q15" s="218" t="str">
        <f t="shared" ref="Q15:Q78" si="6">IFERROR(1/(1/ROUND($N15*$L15*$M15,0)),"")</f>
        <v/>
      </c>
      <c r="R15" s="218" t="str">
        <f t="shared" ref="R15:R78" si="7">IFERROR(1/(1/(ROUND($N15*$L15,0)-$Q15)),"")</f>
        <v/>
      </c>
      <c r="S15" s="36" t="str">
        <f t="shared" ref="S15:S78" si="8">IF(OR($C15="18+",SUM($Q15,$R15)=0),"",100%)</f>
        <v/>
      </c>
      <c r="T15" s="218" t="str">
        <f t="shared" ref="T15:T78" si="9">IF(OR($C15="18+",SUM($Q15,$R15)=0),"",ROUND(SUM($Q15,$R15)*$S15,0))</f>
        <v/>
      </c>
    </row>
    <row r="16" spans="1:20" x14ac:dyDescent="0.2">
      <c r="A16" t="str">
        <f>INDEX(Prioritization!$D:$D,MATCH($B16,Prioritization!$A:$A,0))</f>
        <v>Military</v>
      </c>
      <c r="B16" t="s">
        <v>326</v>
      </c>
      <c r="C16" t="s">
        <v>426</v>
      </c>
      <c r="D16" t="s">
        <v>48</v>
      </c>
      <c r="E16" t="str">
        <f t="shared" si="0"/>
        <v>_Military Malawi [PQZgU9dagaH]|&lt;01|Male</v>
      </c>
      <c r="G16" s="38"/>
      <c r="H16" s="38"/>
      <c r="I16" s="240"/>
      <c r="J16" s="33"/>
      <c r="K16" s="33"/>
      <c r="L16" s="33">
        <f t="shared" si="1"/>
        <v>1</v>
      </c>
      <c r="M16" s="33">
        <f t="shared" si="2"/>
        <v>0.2</v>
      </c>
      <c r="N16" s="38" t="str">
        <f t="shared" ref="N16:N79" si="10">IF(SUM($H16)=0,"",ROUND($H16*(1+$I16),0))</f>
        <v/>
      </c>
      <c r="O16" s="218" t="str">
        <f t="shared" si="4"/>
        <v/>
      </c>
      <c r="P16" s="218" t="str">
        <f t="shared" si="5"/>
        <v/>
      </c>
      <c r="Q16" s="218" t="str">
        <f t="shared" si="6"/>
        <v/>
      </c>
      <c r="R16" s="218" t="str">
        <f t="shared" si="7"/>
        <v/>
      </c>
      <c r="S16" s="246" t="str">
        <f t="shared" si="8"/>
        <v/>
      </c>
      <c r="T16" s="237" t="str">
        <f t="shared" si="9"/>
        <v/>
      </c>
    </row>
    <row r="17" spans="1:20" x14ac:dyDescent="0.2">
      <c r="A17" t="str">
        <f>INDEX(Prioritization!$D:$D,MATCH($B17,Prioritization!$A:$A,0))</f>
        <v>Military</v>
      </c>
      <c r="B17" t="s">
        <v>326</v>
      </c>
      <c r="C17" t="s">
        <v>970</v>
      </c>
      <c r="D17" t="s">
        <v>30</v>
      </c>
      <c r="E17" t="str">
        <f t="shared" si="0"/>
        <v>_Military Malawi [PQZgU9dagaH]|01-04|Female</v>
      </c>
      <c r="G17" s="38"/>
      <c r="H17" s="38"/>
      <c r="I17" s="240"/>
      <c r="J17" s="33"/>
      <c r="K17" s="33"/>
      <c r="L17" s="33">
        <f t="shared" si="1"/>
        <v>1</v>
      </c>
      <c r="M17" s="33">
        <f t="shared" si="2"/>
        <v>0.2</v>
      </c>
      <c r="N17" s="38" t="str">
        <f t="shared" si="10"/>
        <v/>
      </c>
      <c r="O17" s="218" t="str">
        <f t="shared" si="4"/>
        <v/>
      </c>
      <c r="P17" s="218" t="str">
        <f t="shared" si="5"/>
        <v/>
      </c>
      <c r="Q17" s="218" t="str">
        <f t="shared" si="6"/>
        <v/>
      </c>
      <c r="R17" s="218" t="str">
        <f t="shared" si="7"/>
        <v/>
      </c>
      <c r="S17" s="246" t="str">
        <f t="shared" si="8"/>
        <v/>
      </c>
      <c r="T17" s="218" t="str">
        <f t="shared" si="9"/>
        <v/>
      </c>
    </row>
    <row r="18" spans="1:20" x14ac:dyDescent="0.2">
      <c r="A18" t="str">
        <f>INDEX(Prioritization!$D:$D,MATCH($B18,Prioritization!$A:$A,0))</f>
        <v>Military</v>
      </c>
      <c r="B18" t="s">
        <v>326</v>
      </c>
      <c r="C18" t="s">
        <v>970</v>
      </c>
      <c r="D18" t="s">
        <v>48</v>
      </c>
      <c r="E18" t="str">
        <f t="shared" si="0"/>
        <v>_Military Malawi [PQZgU9dagaH]|01-04|Male</v>
      </c>
      <c r="G18" s="38"/>
      <c r="H18" s="38"/>
      <c r="I18" s="240"/>
      <c r="J18" s="33"/>
      <c r="K18" s="33"/>
      <c r="L18" s="33">
        <f t="shared" si="1"/>
        <v>1</v>
      </c>
      <c r="M18" s="33">
        <f t="shared" si="2"/>
        <v>0.2</v>
      </c>
      <c r="N18" s="38" t="str">
        <f t="shared" si="10"/>
        <v/>
      </c>
      <c r="O18" s="218" t="str">
        <f t="shared" si="4"/>
        <v/>
      </c>
      <c r="P18" s="218" t="str">
        <f t="shared" si="5"/>
        <v/>
      </c>
      <c r="Q18" s="218" t="str">
        <f t="shared" si="6"/>
        <v/>
      </c>
      <c r="R18" s="218" t="str">
        <f t="shared" si="7"/>
        <v/>
      </c>
      <c r="S18" s="246" t="str">
        <f t="shared" si="8"/>
        <v/>
      </c>
      <c r="T18" s="237" t="str">
        <f t="shared" si="9"/>
        <v/>
      </c>
    </row>
    <row r="19" spans="1:20" x14ac:dyDescent="0.2">
      <c r="A19" t="str">
        <f>INDEX(Prioritization!$D:$D,MATCH($B19,Prioritization!$A:$A,0))</f>
        <v>Military</v>
      </c>
      <c r="B19" t="s">
        <v>326</v>
      </c>
      <c r="C19" t="s">
        <v>971</v>
      </c>
      <c r="D19" t="s">
        <v>30</v>
      </c>
      <c r="E19" t="str">
        <f t="shared" si="0"/>
        <v>_Military Malawi [PQZgU9dagaH]|05-09|Female</v>
      </c>
      <c r="G19" s="38"/>
      <c r="H19" s="38"/>
      <c r="I19" s="240"/>
      <c r="J19" s="33"/>
      <c r="K19" s="33"/>
      <c r="L19" s="33">
        <f t="shared" si="1"/>
        <v>1</v>
      </c>
      <c r="M19" s="33">
        <f t="shared" si="2"/>
        <v>0.2</v>
      </c>
      <c r="N19" s="38" t="str">
        <f t="shared" si="10"/>
        <v/>
      </c>
      <c r="O19" s="218" t="str">
        <f t="shared" si="4"/>
        <v/>
      </c>
      <c r="P19" s="218" t="str">
        <f t="shared" si="5"/>
        <v/>
      </c>
      <c r="Q19" s="218" t="str">
        <f t="shared" si="6"/>
        <v/>
      </c>
      <c r="R19" s="218" t="str">
        <f t="shared" si="7"/>
        <v/>
      </c>
      <c r="S19" s="246" t="str">
        <f t="shared" si="8"/>
        <v/>
      </c>
      <c r="T19" s="218" t="str">
        <f t="shared" si="9"/>
        <v/>
      </c>
    </row>
    <row r="20" spans="1:20" x14ac:dyDescent="0.2">
      <c r="A20" t="str">
        <f>INDEX(Prioritization!$D:$D,MATCH($B20,Prioritization!$A:$A,0))</f>
        <v>Military</v>
      </c>
      <c r="B20" t="s">
        <v>326</v>
      </c>
      <c r="C20" t="s">
        <v>971</v>
      </c>
      <c r="D20" t="s">
        <v>48</v>
      </c>
      <c r="E20" t="str">
        <f t="shared" si="0"/>
        <v>_Military Malawi [PQZgU9dagaH]|05-09|Male</v>
      </c>
      <c r="G20" s="38"/>
      <c r="H20" s="38"/>
      <c r="I20" s="240"/>
      <c r="J20" s="33"/>
      <c r="K20" s="33"/>
      <c r="L20" s="33">
        <f t="shared" si="1"/>
        <v>1</v>
      </c>
      <c r="M20" s="33">
        <f t="shared" si="2"/>
        <v>0.2</v>
      </c>
      <c r="N20" s="38" t="str">
        <f t="shared" si="10"/>
        <v/>
      </c>
      <c r="O20" s="218" t="str">
        <f t="shared" si="4"/>
        <v/>
      </c>
      <c r="P20" s="218" t="str">
        <f t="shared" si="5"/>
        <v/>
      </c>
      <c r="Q20" s="218" t="str">
        <f t="shared" si="6"/>
        <v/>
      </c>
      <c r="R20" s="218" t="str">
        <f t="shared" si="7"/>
        <v/>
      </c>
      <c r="S20" s="246" t="str">
        <f t="shared" si="8"/>
        <v/>
      </c>
      <c r="T20" s="237" t="str">
        <f t="shared" si="9"/>
        <v/>
      </c>
    </row>
    <row r="21" spans="1:20" x14ac:dyDescent="0.2">
      <c r="A21" t="str">
        <f>INDEX(Prioritization!$D:$D,MATCH($B21,Prioritization!$A:$A,0))</f>
        <v>Military</v>
      </c>
      <c r="B21" t="s">
        <v>326</v>
      </c>
      <c r="C21" t="s">
        <v>474</v>
      </c>
      <c r="D21" t="s">
        <v>30</v>
      </c>
      <c r="E21" t="str">
        <f t="shared" si="0"/>
        <v>_Military Malawi [PQZgU9dagaH]|10-14|Female</v>
      </c>
      <c r="G21" s="38"/>
      <c r="H21" s="38"/>
      <c r="I21" s="240"/>
      <c r="J21" s="33"/>
      <c r="K21" s="33"/>
      <c r="L21" s="33">
        <f t="shared" si="1"/>
        <v>1</v>
      </c>
      <c r="M21" s="33">
        <f t="shared" si="2"/>
        <v>0.2</v>
      </c>
      <c r="N21" s="38" t="str">
        <f t="shared" si="10"/>
        <v/>
      </c>
      <c r="O21" s="218" t="str">
        <f t="shared" si="4"/>
        <v/>
      </c>
      <c r="P21" s="218" t="str">
        <f t="shared" si="5"/>
        <v/>
      </c>
      <c r="Q21" s="218" t="str">
        <f t="shared" si="6"/>
        <v/>
      </c>
      <c r="R21" s="218" t="str">
        <f t="shared" si="7"/>
        <v/>
      </c>
      <c r="S21" s="246" t="str">
        <f t="shared" si="8"/>
        <v/>
      </c>
      <c r="T21" s="218" t="str">
        <f t="shared" si="9"/>
        <v/>
      </c>
    </row>
    <row r="22" spans="1:20" x14ac:dyDescent="0.2">
      <c r="A22" t="str">
        <f>INDEX(Prioritization!$D:$D,MATCH($B22,Prioritization!$A:$A,0))</f>
        <v>Military</v>
      </c>
      <c r="B22" t="s">
        <v>326</v>
      </c>
      <c r="C22" t="s">
        <v>474</v>
      </c>
      <c r="D22" t="s">
        <v>48</v>
      </c>
      <c r="E22" t="str">
        <f t="shared" si="0"/>
        <v>_Military Malawi [PQZgU9dagaH]|10-14|Male</v>
      </c>
      <c r="G22" s="38"/>
      <c r="H22" s="38"/>
      <c r="I22" s="240"/>
      <c r="J22" s="33"/>
      <c r="K22" s="33"/>
      <c r="L22" s="33">
        <f t="shared" si="1"/>
        <v>1</v>
      </c>
      <c r="M22" s="33">
        <f t="shared" si="2"/>
        <v>0.2</v>
      </c>
      <c r="N22" s="38" t="str">
        <f t="shared" si="10"/>
        <v/>
      </c>
      <c r="O22" s="218" t="str">
        <f t="shared" si="4"/>
        <v/>
      </c>
      <c r="P22" s="218" t="str">
        <f t="shared" si="5"/>
        <v/>
      </c>
      <c r="Q22" s="218" t="str">
        <f t="shared" si="6"/>
        <v/>
      </c>
      <c r="R22" s="218" t="str">
        <f t="shared" si="7"/>
        <v/>
      </c>
      <c r="S22" s="246" t="str">
        <f t="shared" si="8"/>
        <v/>
      </c>
      <c r="T22" s="237" t="str">
        <f t="shared" si="9"/>
        <v/>
      </c>
    </row>
    <row r="23" spans="1:20" x14ac:dyDescent="0.2">
      <c r="A23" t="str">
        <f>INDEX(Prioritization!$D:$D,MATCH($B23,Prioritization!$A:$A,0))</f>
        <v>Military</v>
      </c>
      <c r="B23" t="s">
        <v>326</v>
      </c>
      <c r="C23" t="s">
        <v>972</v>
      </c>
      <c r="D23" t="s">
        <v>30</v>
      </c>
      <c r="E23" t="str">
        <f t="shared" si="0"/>
        <v>_Military Malawi [PQZgU9dagaH]|15-17|Female</v>
      </c>
      <c r="G23" s="38"/>
      <c r="H23" s="38"/>
      <c r="I23" s="240"/>
      <c r="J23" s="33"/>
      <c r="K23" s="33"/>
      <c r="L23" s="33">
        <f t="shared" si="1"/>
        <v>1</v>
      </c>
      <c r="M23" s="33">
        <f t="shared" si="2"/>
        <v>0.2</v>
      </c>
      <c r="N23" s="38" t="str">
        <f t="shared" si="10"/>
        <v/>
      </c>
      <c r="O23" s="218" t="str">
        <f t="shared" si="4"/>
        <v/>
      </c>
      <c r="P23" s="218" t="str">
        <f t="shared" si="5"/>
        <v/>
      </c>
      <c r="Q23" s="218" t="str">
        <f t="shared" si="6"/>
        <v/>
      </c>
      <c r="R23" s="218" t="str">
        <f t="shared" si="7"/>
        <v/>
      </c>
      <c r="S23" s="246" t="str">
        <f t="shared" si="8"/>
        <v/>
      </c>
      <c r="T23" s="218" t="str">
        <f t="shared" si="9"/>
        <v/>
      </c>
    </row>
    <row r="24" spans="1:20" x14ac:dyDescent="0.2">
      <c r="A24" t="str">
        <f>INDEX(Prioritization!$D:$D,MATCH($B24,Prioritization!$A:$A,0))</f>
        <v>Military</v>
      </c>
      <c r="B24" t="s">
        <v>326</v>
      </c>
      <c r="C24" t="s">
        <v>972</v>
      </c>
      <c r="D24" t="s">
        <v>48</v>
      </c>
      <c r="E24" t="str">
        <f t="shared" si="0"/>
        <v>_Military Malawi [PQZgU9dagaH]|15-17|Male</v>
      </c>
      <c r="G24" s="38"/>
      <c r="H24" s="38"/>
      <c r="I24" s="240"/>
      <c r="J24" s="33"/>
      <c r="K24" s="33"/>
      <c r="L24" s="33">
        <f t="shared" si="1"/>
        <v>1</v>
      </c>
      <c r="M24" s="33">
        <f t="shared" si="2"/>
        <v>0.2</v>
      </c>
      <c r="N24" s="38" t="str">
        <f t="shared" si="10"/>
        <v/>
      </c>
      <c r="O24" s="218" t="str">
        <f t="shared" si="4"/>
        <v/>
      </c>
      <c r="P24" s="218" t="str">
        <f t="shared" si="5"/>
        <v/>
      </c>
      <c r="Q24" s="218" t="str">
        <f t="shared" si="6"/>
        <v/>
      </c>
      <c r="R24" s="218" t="str">
        <f t="shared" si="7"/>
        <v/>
      </c>
      <c r="S24" s="246" t="str">
        <f t="shared" si="8"/>
        <v/>
      </c>
      <c r="T24" s="237" t="str">
        <f t="shared" si="9"/>
        <v/>
      </c>
    </row>
    <row r="25" spans="1:20" x14ac:dyDescent="0.2">
      <c r="A25" t="str">
        <f>INDEX(Prioritization!$D:$D,MATCH($B25,Prioritization!$A:$A,0))</f>
        <v>Military</v>
      </c>
      <c r="B25" t="s">
        <v>326</v>
      </c>
      <c r="C25" t="s">
        <v>974</v>
      </c>
      <c r="D25" t="s">
        <v>30</v>
      </c>
      <c r="E25" t="str">
        <f t="shared" si="0"/>
        <v>_Military Malawi [PQZgU9dagaH]|18+|Female</v>
      </c>
      <c r="G25" s="38"/>
      <c r="H25" s="38"/>
      <c r="I25" s="240"/>
      <c r="J25" s="33"/>
      <c r="K25" s="33"/>
      <c r="L25" s="33">
        <f t="shared" si="1"/>
        <v>1</v>
      </c>
      <c r="M25" s="33">
        <f t="shared" si="2"/>
        <v>0.2</v>
      </c>
      <c r="N25" s="38" t="str">
        <f t="shared" si="10"/>
        <v/>
      </c>
      <c r="O25" s="218" t="str">
        <f t="shared" si="4"/>
        <v/>
      </c>
      <c r="P25" s="218" t="str">
        <f t="shared" si="5"/>
        <v/>
      </c>
      <c r="Q25" s="218" t="str">
        <f t="shared" si="6"/>
        <v/>
      </c>
      <c r="R25" s="218" t="str">
        <f t="shared" si="7"/>
        <v/>
      </c>
      <c r="S25" s="246" t="str">
        <f t="shared" si="8"/>
        <v/>
      </c>
      <c r="T25" s="218" t="str">
        <f t="shared" si="9"/>
        <v/>
      </c>
    </row>
    <row r="26" spans="1:20" x14ac:dyDescent="0.2">
      <c r="A26" t="str">
        <f>INDEX(Prioritization!$D:$D,MATCH($B26,Prioritization!$A:$A,0))</f>
        <v>Military</v>
      </c>
      <c r="B26" t="s">
        <v>326</v>
      </c>
      <c r="C26" t="s">
        <v>974</v>
      </c>
      <c r="D26" t="s">
        <v>48</v>
      </c>
      <c r="E26" t="str">
        <f t="shared" si="0"/>
        <v>_Military Malawi [PQZgU9dagaH]|18+|Male</v>
      </c>
      <c r="G26" s="38"/>
      <c r="H26" s="38"/>
      <c r="I26" s="240"/>
      <c r="J26" s="33"/>
      <c r="K26" s="33"/>
      <c r="L26" s="33">
        <f t="shared" si="1"/>
        <v>1</v>
      </c>
      <c r="M26" s="33">
        <f t="shared" si="2"/>
        <v>0.2</v>
      </c>
      <c r="N26" s="38" t="str">
        <f t="shared" si="10"/>
        <v/>
      </c>
      <c r="O26" s="218" t="str">
        <f t="shared" si="4"/>
        <v/>
      </c>
      <c r="P26" s="218" t="str">
        <f t="shared" si="5"/>
        <v/>
      </c>
      <c r="Q26" s="218" t="str">
        <f t="shared" si="6"/>
        <v/>
      </c>
      <c r="R26" s="218" t="str">
        <f t="shared" si="7"/>
        <v/>
      </c>
      <c r="S26" s="246" t="str">
        <f t="shared" si="8"/>
        <v/>
      </c>
      <c r="T26" s="237" t="str">
        <f t="shared" si="9"/>
        <v/>
      </c>
    </row>
    <row r="27" spans="1:20" x14ac:dyDescent="0.2">
      <c r="A27" t="str">
        <f>INDEX(Prioritization!$D:$D,MATCH($B27,Prioritization!$A:$A,0))</f>
        <v>Military</v>
      </c>
      <c r="B27" t="s">
        <v>326</v>
      </c>
      <c r="C27" t="s">
        <v>973</v>
      </c>
      <c r="D27" t="s">
        <v>30</v>
      </c>
      <c r="E27" t="str">
        <f t="shared" si="0"/>
        <v>_Military Malawi [PQZgU9dagaH]|18-20|Female</v>
      </c>
      <c r="G27" s="38"/>
      <c r="H27" s="38"/>
      <c r="I27" s="240"/>
      <c r="J27" s="33"/>
      <c r="K27" s="33"/>
      <c r="L27" s="33">
        <f t="shared" si="1"/>
        <v>1</v>
      </c>
      <c r="M27" s="33">
        <f t="shared" si="2"/>
        <v>0.2</v>
      </c>
      <c r="N27" s="38" t="str">
        <f t="shared" si="10"/>
        <v/>
      </c>
      <c r="O27" s="218" t="str">
        <f t="shared" si="4"/>
        <v/>
      </c>
      <c r="P27" s="218" t="str">
        <f t="shared" si="5"/>
        <v/>
      </c>
      <c r="Q27" s="218" t="str">
        <f t="shared" si="6"/>
        <v/>
      </c>
      <c r="R27" s="218" t="str">
        <f t="shared" si="7"/>
        <v/>
      </c>
      <c r="S27" s="246" t="str">
        <f t="shared" si="8"/>
        <v/>
      </c>
      <c r="T27" s="218" t="str">
        <f t="shared" si="9"/>
        <v/>
      </c>
    </row>
    <row r="28" spans="1:20" x14ac:dyDescent="0.2">
      <c r="A28" t="str">
        <f>INDEX(Prioritization!$D:$D,MATCH($B28,Prioritization!$A:$A,0))</f>
        <v>Military</v>
      </c>
      <c r="B28" t="s">
        <v>326</v>
      </c>
      <c r="C28" t="s">
        <v>973</v>
      </c>
      <c r="D28" t="s">
        <v>48</v>
      </c>
      <c r="E28" t="str">
        <f t="shared" si="0"/>
        <v>_Military Malawi [PQZgU9dagaH]|18-20|Male</v>
      </c>
      <c r="G28" s="38"/>
      <c r="H28" s="38"/>
      <c r="I28" s="240"/>
      <c r="J28" s="33"/>
      <c r="K28" s="33"/>
      <c r="L28" s="33">
        <f t="shared" si="1"/>
        <v>1</v>
      </c>
      <c r="M28" s="33">
        <f t="shared" si="2"/>
        <v>0.2</v>
      </c>
      <c r="N28" s="38" t="str">
        <f t="shared" si="10"/>
        <v/>
      </c>
      <c r="O28" s="218" t="str">
        <f t="shared" si="4"/>
        <v/>
      </c>
      <c r="P28" s="218" t="str">
        <f t="shared" si="5"/>
        <v/>
      </c>
      <c r="Q28" s="218" t="str">
        <f t="shared" si="6"/>
        <v/>
      </c>
      <c r="R28" s="218" t="str">
        <f t="shared" si="7"/>
        <v/>
      </c>
      <c r="S28" s="246" t="str">
        <f t="shared" si="8"/>
        <v/>
      </c>
      <c r="T28" s="237" t="str">
        <f t="shared" si="9"/>
        <v/>
      </c>
    </row>
    <row r="29" spans="1:20" x14ac:dyDescent="0.2">
      <c r="A29" t="str">
        <f>INDEX(Prioritization!$D:$D,MATCH($B29,Prioritization!$A:$A,0))</f>
        <v>4 - Sustained</v>
      </c>
      <c r="B29" t="s">
        <v>313</v>
      </c>
      <c r="C29" t="s">
        <v>426</v>
      </c>
      <c r="D29" t="s">
        <v>30</v>
      </c>
      <c r="E29" t="str">
        <f t="shared" si="0"/>
        <v>Balaka District [ir8wuHHzoSs]|&lt;01|Female</v>
      </c>
      <c r="G29" s="38"/>
      <c r="H29" s="38"/>
      <c r="I29" s="240"/>
      <c r="J29" s="33"/>
      <c r="K29" s="33"/>
      <c r="L29" s="33">
        <f t="shared" si="1"/>
        <v>1</v>
      </c>
      <c r="M29" s="33">
        <f t="shared" si="2"/>
        <v>0.2</v>
      </c>
      <c r="N29" s="38" t="str">
        <f t="shared" si="10"/>
        <v/>
      </c>
      <c r="O29" s="218" t="str">
        <f t="shared" si="4"/>
        <v/>
      </c>
      <c r="P29" s="218" t="str">
        <f t="shared" si="5"/>
        <v/>
      </c>
      <c r="Q29" s="218" t="str">
        <f t="shared" si="6"/>
        <v/>
      </c>
      <c r="R29" s="218" t="str">
        <f t="shared" si="7"/>
        <v/>
      </c>
      <c r="S29" s="246" t="str">
        <f t="shared" si="8"/>
        <v/>
      </c>
      <c r="T29" s="218" t="str">
        <f t="shared" si="9"/>
        <v/>
      </c>
    </row>
    <row r="30" spans="1:20" x14ac:dyDescent="0.2">
      <c r="A30" t="str">
        <f>INDEX(Prioritization!$D:$D,MATCH($B30,Prioritization!$A:$A,0))</f>
        <v>4 - Sustained</v>
      </c>
      <c r="B30" t="s">
        <v>313</v>
      </c>
      <c r="C30" t="s">
        <v>426</v>
      </c>
      <c r="D30" t="s">
        <v>48</v>
      </c>
      <c r="E30" t="str">
        <f t="shared" si="0"/>
        <v>Balaka District [ir8wuHHzoSs]|&lt;01|Male</v>
      </c>
      <c r="G30" s="38"/>
      <c r="H30" s="38"/>
      <c r="I30" s="240"/>
      <c r="J30" s="33"/>
      <c r="K30" s="33"/>
      <c r="L30" s="33">
        <f t="shared" si="1"/>
        <v>1</v>
      </c>
      <c r="M30" s="33">
        <f t="shared" si="2"/>
        <v>0.2</v>
      </c>
      <c r="N30" s="38" t="str">
        <f t="shared" si="10"/>
        <v/>
      </c>
      <c r="O30" s="218" t="str">
        <f t="shared" si="4"/>
        <v/>
      </c>
      <c r="P30" s="218" t="str">
        <f t="shared" si="5"/>
        <v/>
      </c>
      <c r="Q30" s="218" t="str">
        <f t="shared" si="6"/>
        <v/>
      </c>
      <c r="R30" s="218" t="str">
        <f t="shared" si="7"/>
        <v/>
      </c>
      <c r="S30" s="246" t="str">
        <f t="shared" si="8"/>
        <v/>
      </c>
      <c r="T30" s="237" t="str">
        <f t="shared" si="9"/>
        <v/>
      </c>
    </row>
    <row r="31" spans="1:20" x14ac:dyDescent="0.2">
      <c r="A31" t="str">
        <f>INDEX(Prioritization!$D:$D,MATCH($B31,Prioritization!$A:$A,0))</f>
        <v>4 - Sustained</v>
      </c>
      <c r="B31" t="s">
        <v>313</v>
      </c>
      <c r="C31" t="s">
        <v>970</v>
      </c>
      <c r="D31" t="s">
        <v>30</v>
      </c>
      <c r="E31" t="str">
        <f t="shared" si="0"/>
        <v>Balaka District [ir8wuHHzoSs]|01-04|Female</v>
      </c>
      <c r="G31" s="38"/>
      <c r="H31" s="38"/>
      <c r="I31" s="240"/>
      <c r="J31" s="33"/>
      <c r="K31" s="33"/>
      <c r="L31" s="33">
        <f t="shared" si="1"/>
        <v>1</v>
      </c>
      <c r="M31" s="33">
        <f t="shared" si="2"/>
        <v>0.2</v>
      </c>
      <c r="N31" s="38" t="str">
        <f t="shared" si="10"/>
        <v/>
      </c>
      <c r="O31" s="218" t="str">
        <f t="shared" si="4"/>
        <v/>
      </c>
      <c r="P31" s="218" t="str">
        <f t="shared" si="5"/>
        <v/>
      </c>
      <c r="Q31" s="218" t="str">
        <f t="shared" si="6"/>
        <v/>
      </c>
      <c r="R31" s="218" t="str">
        <f t="shared" si="7"/>
        <v/>
      </c>
      <c r="S31" s="246" t="str">
        <f t="shared" si="8"/>
        <v/>
      </c>
      <c r="T31" s="218" t="str">
        <f t="shared" si="9"/>
        <v/>
      </c>
    </row>
    <row r="32" spans="1:20" x14ac:dyDescent="0.2">
      <c r="A32" t="str">
        <f>INDEX(Prioritization!$D:$D,MATCH($B32,Prioritization!$A:$A,0))</f>
        <v>4 - Sustained</v>
      </c>
      <c r="B32" t="s">
        <v>313</v>
      </c>
      <c r="C32" t="s">
        <v>970</v>
      </c>
      <c r="D32" t="s">
        <v>48</v>
      </c>
      <c r="E32" t="str">
        <f t="shared" si="0"/>
        <v>Balaka District [ir8wuHHzoSs]|01-04|Male</v>
      </c>
      <c r="G32" s="38"/>
      <c r="H32" s="38"/>
      <c r="I32" s="240"/>
      <c r="J32" s="33"/>
      <c r="K32" s="33"/>
      <c r="L32" s="33">
        <f t="shared" si="1"/>
        <v>1</v>
      </c>
      <c r="M32" s="33">
        <f t="shared" si="2"/>
        <v>0.2</v>
      </c>
      <c r="N32" s="38" t="str">
        <f t="shared" si="10"/>
        <v/>
      </c>
      <c r="O32" s="218" t="str">
        <f t="shared" si="4"/>
        <v/>
      </c>
      <c r="P32" s="218" t="str">
        <f t="shared" si="5"/>
        <v/>
      </c>
      <c r="Q32" s="218" t="str">
        <f t="shared" si="6"/>
        <v/>
      </c>
      <c r="R32" s="218" t="str">
        <f t="shared" si="7"/>
        <v/>
      </c>
      <c r="S32" s="246" t="str">
        <f t="shared" si="8"/>
        <v/>
      </c>
      <c r="T32" s="237" t="str">
        <f t="shared" si="9"/>
        <v/>
      </c>
    </row>
    <row r="33" spans="1:20" x14ac:dyDescent="0.2">
      <c r="A33" t="str">
        <f>INDEX(Prioritization!$D:$D,MATCH($B33,Prioritization!$A:$A,0))</f>
        <v>4 - Sustained</v>
      </c>
      <c r="B33" t="s">
        <v>313</v>
      </c>
      <c r="C33" t="s">
        <v>971</v>
      </c>
      <c r="D33" t="s">
        <v>30</v>
      </c>
      <c r="E33" t="str">
        <f t="shared" si="0"/>
        <v>Balaka District [ir8wuHHzoSs]|05-09|Female</v>
      </c>
      <c r="G33" s="38"/>
      <c r="H33" s="38"/>
      <c r="I33" s="240"/>
      <c r="J33" s="33"/>
      <c r="K33" s="33"/>
      <c r="L33" s="33">
        <f t="shared" si="1"/>
        <v>1</v>
      </c>
      <c r="M33" s="33">
        <f t="shared" si="2"/>
        <v>0.2</v>
      </c>
      <c r="N33" s="38" t="str">
        <f t="shared" si="10"/>
        <v/>
      </c>
      <c r="O33" s="218" t="str">
        <f t="shared" si="4"/>
        <v/>
      </c>
      <c r="P33" s="218" t="str">
        <f t="shared" si="5"/>
        <v/>
      </c>
      <c r="Q33" s="218" t="str">
        <f t="shared" si="6"/>
        <v/>
      </c>
      <c r="R33" s="218" t="str">
        <f t="shared" si="7"/>
        <v/>
      </c>
      <c r="S33" s="246" t="str">
        <f t="shared" si="8"/>
        <v/>
      </c>
      <c r="T33" s="218" t="str">
        <f t="shared" si="9"/>
        <v/>
      </c>
    </row>
    <row r="34" spans="1:20" x14ac:dyDescent="0.2">
      <c r="A34" t="str">
        <f>INDEX(Prioritization!$D:$D,MATCH($B34,Prioritization!$A:$A,0))</f>
        <v>4 - Sustained</v>
      </c>
      <c r="B34" t="s">
        <v>313</v>
      </c>
      <c r="C34" t="s">
        <v>971</v>
      </c>
      <c r="D34" t="s">
        <v>48</v>
      </c>
      <c r="E34" t="str">
        <f t="shared" si="0"/>
        <v>Balaka District [ir8wuHHzoSs]|05-09|Male</v>
      </c>
      <c r="G34" s="38"/>
      <c r="H34" s="38"/>
      <c r="I34" s="240"/>
      <c r="J34" s="33"/>
      <c r="K34" s="33"/>
      <c r="L34" s="33">
        <f t="shared" si="1"/>
        <v>1</v>
      </c>
      <c r="M34" s="33">
        <f t="shared" si="2"/>
        <v>0.2</v>
      </c>
      <c r="N34" s="38" t="str">
        <f t="shared" si="10"/>
        <v/>
      </c>
      <c r="O34" s="218" t="str">
        <f t="shared" si="4"/>
        <v/>
      </c>
      <c r="P34" s="218" t="str">
        <f t="shared" si="5"/>
        <v/>
      </c>
      <c r="Q34" s="218" t="str">
        <f t="shared" si="6"/>
        <v/>
      </c>
      <c r="R34" s="218" t="str">
        <f t="shared" si="7"/>
        <v/>
      </c>
      <c r="S34" s="246" t="str">
        <f t="shared" si="8"/>
        <v/>
      </c>
      <c r="T34" s="237" t="str">
        <f t="shared" si="9"/>
        <v/>
      </c>
    </row>
    <row r="35" spans="1:20" x14ac:dyDescent="0.2">
      <c r="A35" t="str">
        <f>INDEX(Prioritization!$D:$D,MATCH($B35,Prioritization!$A:$A,0))</f>
        <v>4 - Sustained</v>
      </c>
      <c r="B35" t="s">
        <v>313</v>
      </c>
      <c r="C35" t="s">
        <v>474</v>
      </c>
      <c r="D35" t="s">
        <v>30</v>
      </c>
      <c r="E35" t="str">
        <f t="shared" si="0"/>
        <v>Balaka District [ir8wuHHzoSs]|10-14|Female</v>
      </c>
      <c r="G35" s="38"/>
      <c r="H35" s="38">
        <v>56</v>
      </c>
      <c r="I35" s="241">
        <v>-1</v>
      </c>
      <c r="J35" s="33"/>
      <c r="K35" s="33"/>
      <c r="L35" s="33">
        <f t="shared" si="1"/>
        <v>1</v>
      </c>
      <c r="M35" s="33">
        <f t="shared" si="2"/>
        <v>0.2</v>
      </c>
      <c r="N35" s="38">
        <f t="shared" si="10"/>
        <v>0</v>
      </c>
      <c r="O35" s="218" t="str">
        <f t="shared" si="4"/>
        <v/>
      </c>
      <c r="P35" s="218" t="str">
        <f t="shared" si="5"/>
        <v/>
      </c>
      <c r="Q35" s="218" t="str">
        <f t="shared" si="6"/>
        <v/>
      </c>
      <c r="R35" s="218" t="str">
        <f t="shared" si="7"/>
        <v/>
      </c>
      <c r="S35" s="246" t="str">
        <f t="shared" si="8"/>
        <v/>
      </c>
      <c r="T35" s="218" t="str">
        <f t="shared" si="9"/>
        <v/>
      </c>
    </row>
    <row r="36" spans="1:20" x14ac:dyDescent="0.2">
      <c r="A36" t="str">
        <f>INDEX(Prioritization!$D:$D,MATCH($B36,Prioritization!$A:$A,0))</f>
        <v>4 - Sustained</v>
      </c>
      <c r="B36" t="s">
        <v>313</v>
      </c>
      <c r="C36" t="s">
        <v>474</v>
      </c>
      <c r="D36" t="s">
        <v>48</v>
      </c>
      <c r="E36" t="str">
        <f t="shared" si="0"/>
        <v>Balaka District [ir8wuHHzoSs]|10-14|Male</v>
      </c>
      <c r="G36" s="38"/>
      <c r="H36" s="38">
        <v>44</v>
      </c>
      <c r="I36" s="241">
        <v>-1</v>
      </c>
      <c r="J36" s="33"/>
      <c r="K36" s="33"/>
      <c r="L36" s="33">
        <f t="shared" si="1"/>
        <v>1</v>
      </c>
      <c r="M36" s="33">
        <f t="shared" si="2"/>
        <v>0.2</v>
      </c>
      <c r="N36" s="38">
        <f t="shared" si="10"/>
        <v>0</v>
      </c>
      <c r="O36" s="218" t="str">
        <f t="shared" si="4"/>
        <v/>
      </c>
      <c r="P36" s="218" t="str">
        <f t="shared" si="5"/>
        <v/>
      </c>
      <c r="Q36" s="218" t="str">
        <f t="shared" si="6"/>
        <v/>
      </c>
      <c r="R36" s="218" t="str">
        <f t="shared" si="7"/>
        <v/>
      </c>
      <c r="S36" s="246" t="str">
        <f t="shared" si="8"/>
        <v/>
      </c>
      <c r="T36" s="237" t="str">
        <f t="shared" si="9"/>
        <v/>
      </c>
    </row>
    <row r="37" spans="1:20" x14ac:dyDescent="0.2">
      <c r="A37" t="str">
        <f>INDEX(Prioritization!$D:$D,MATCH($B37,Prioritization!$A:$A,0))</f>
        <v>4 - Sustained</v>
      </c>
      <c r="B37" t="s">
        <v>313</v>
      </c>
      <c r="C37" t="s">
        <v>972</v>
      </c>
      <c r="D37" t="s">
        <v>30</v>
      </c>
      <c r="E37" t="str">
        <f t="shared" si="0"/>
        <v>Balaka District [ir8wuHHzoSs]|15-17|Female</v>
      </c>
      <c r="G37" s="38"/>
      <c r="H37" s="38"/>
      <c r="I37" s="240"/>
      <c r="J37" s="33"/>
      <c r="K37" s="33"/>
      <c r="L37" s="33">
        <f t="shared" si="1"/>
        <v>1</v>
      </c>
      <c r="M37" s="33">
        <f t="shared" si="2"/>
        <v>0.2</v>
      </c>
      <c r="N37" s="38" t="str">
        <f t="shared" si="10"/>
        <v/>
      </c>
      <c r="O37" s="218" t="str">
        <f t="shared" si="4"/>
        <v/>
      </c>
      <c r="P37" s="218" t="str">
        <f t="shared" si="5"/>
        <v/>
      </c>
      <c r="Q37" s="218" t="str">
        <f t="shared" si="6"/>
        <v/>
      </c>
      <c r="R37" s="218" t="str">
        <f t="shared" si="7"/>
        <v/>
      </c>
      <c r="S37" s="246" t="str">
        <f t="shared" si="8"/>
        <v/>
      </c>
      <c r="T37" s="218" t="str">
        <f t="shared" si="9"/>
        <v/>
      </c>
    </row>
    <row r="38" spans="1:20" x14ac:dyDescent="0.2">
      <c r="A38" t="str">
        <f>INDEX(Prioritization!$D:$D,MATCH($B38,Prioritization!$A:$A,0))</f>
        <v>4 - Sustained</v>
      </c>
      <c r="B38" t="s">
        <v>313</v>
      </c>
      <c r="C38" t="s">
        <v>972</v>
      </c>
      <c r="D38" t="s">
        <v>48</v>
      </c>
      <c r="E38" t="str">
        <f t="shared" si="0"/>
        <v>Balaka District [ir8wuHHzoSs]|15-17|Male</v>
      </c>
      <c r="G38" s="38"/>
      <c r="H38" s="38"/>
      <c r="I38" s="240"/>
      <c r="J38" s="33"/>
      <c r="K38" s="33"/>
      <c r="L38" s="33">
        <f t="shared" si="1"/>
        <v>1</v>
      </c>
      <c r="M38" s="33">
        <f t="shared" si="2"/>
        <v>0.2</v>
      </c>
      <c r="N38" s="38" t="str">
        <f t="shared" si="10"/>
        <v/>
      </c>
      <c r="O38" s="218" t="str">
        <f t="shared" si="4"/>
        <v/>
      </c>
      <c r="P38" s="218" t="str">
        <f t="shared" si="5"/>
        <v/>
      </c>
      <c r="Q38" s="218" t="str">
        <f t="shared" si="6"/>
        <v/>
      </c>
      <c r="R38" s="218" t="str">
        <f t="shared" si="7"/>
        <v/>
      </c>
      <c r="S38" s="246" t="str">
        <f t="shared" si="8"/>
        <v/>
      </c>
      <c r="T38" s="237" t="str">
        <f t="shared" si="9"/>
        <v/>
      </c>
    </row>
    <row r="39" spans="1:20" x14ac:dyDescent="0.2">
      <c r="A39" t="str">
        <f>INDEX(Prioritization!$D:$D,MATCH($B39,Prioritization!$A:$A,0))</f>
        <v>4 - Sustained</v>
      </c>
      <c r="B39" t="s">
        <v>313</v>
      </c>
      <c r="C39" t="s">
        <v>974</v>
      </c>
      <c r="D39" t="s">
        <v>30</v>
      </c>
      <c r="E39" t="str">
        <f t="shared" si="0"/>
        <v>Balaka District [ir8wuHHzoSs]|18+|Female</v>
      </c>
      <c r="G39" s="38"/>
      <c r="H39" s="38"/>
      <c r="I39" s="240"/>
      <c r="J39" s="33"/>
      <c r="K39" s="33"/>
      <c r="L39" s="33">
        <f t="shared" si="1"/>
        <v>1</v>
      </c>
      <c r="M39" s="33">
        <f t="shared" si="2"/>
        <v>0.2</v>
      </c>
      <c r="N39" s="38" t="str">
        <f t="shared" si="10"/>
        <v/>
      </c>
      <c r="O39" s="218" t="str">
        <f t="shared" si="4"/>
        <v/>
      </c>
      <c r="P39" s="218" t="str">
        <f t="shared" si="5"/>
        <v/>
      </c>
      <c r="Q39" s="218" t="str">
        <f t="shared" si="6"/>
        <v/>
      </c>
      <c r="R39" s="218" t="str">
        <f t="shared" si="7"/>
        <v/>
      </c>
      <c r="S39" s="246" t="str">
        <f t="shared" si="8"/>
        <v/>
      </c>
      <c r="T39" s="218" t="str">
        <f t="shared" si="9"/>
        <v/>
      </c>
    </row>
    <row r="40" spans="1:20" x14ac:dyDescent="0.2">
      <c r="A40" t="str">
        <f>INDEX(Prioritization!$D:$D,MATCH($B40,Prioritization!$A:$A,0))</f>
        <v>4 - Sustained</v>
      </c>
      <c r="B40" t="s">
        <v>313</v>
      </c>
      <c r="C40" t="s">
        <v>974</v>
      </c>
      <c r="D40" t="s">
        <v>48</v>
      </c>
      <c r="E40" t="str">
        <f t="shared" si="0"/>
        <v>Balaka District [ir8wuHHzoSs]|18+|Male</v>
      </c>
      <c r="G40" s="38"/>
      <c r="H40" s="38"/>
      <c r="I40" s="240"/>
      <c r="J40" s="33"/>
      <c r="K40" s="33"/>
      <c r="L40" s="33">
        <f t="shared" si="1"/>
        <v>1</v>
      </c>
      <c r="M40" s="33">
        <f t="shared" si="2"/>
        <v>0.2</v>
      </c>
      <c r="N40" s="38" t="str">
        <f t="shared" si="10"/>
        <v/>
      </c>
      <c r="O40" s="218" t="str">
        <f t="shared" si="4"/>
        <v/>
      </c>
      <c r="P40" s="218" t="str">
        <f t="shared" si="5"/>
        <v/>
      </c>
      <c r="Q40" s="218" t="str">
        <f t="shared" si="6"/>
        <v/>
      </c>
      <c r="R40" s="218" t="str">
        <f t="shared" si="7"/>
        <v/>
      </c>
      <c r="S40" s="246" t="str">
        <f t="shared" si="8"/>
        <v/>
      </c>
      <c r="T40" s="237" t="str">
        <f t="shared" si="9"/>
        <v/>
      </c>
    </row>
    <row r="41" spans="1:20" x14ac:dyDescent="0.2">
      <c r="A41" t="str">
        <f>INDEX(Prioritization!$D:$D,MATCH($B41,Prioritization!$A:$A,0))</f>
        <v>4 - Sustained</v>
      </c>
      <c r="B41" t="s">
        <v>313</v>
      </c>
      <c r="C41" t="s">
        <v>973</v>
      </c>
      <c r="D41" t="s">
        <v>30</v>
      </c>
      <c r="E41" t="str">
        <f t="shared" si="0"/>
        <v>Balaka District [ir8wuHHzoSs]|18-20|Female</v>
      </c>
      <c r="G41" s="38"/>
      <c r="H41" s="38"/>
      <c r="I41" s="240"/>
      <c r="J41" s="33"/>
      <c r="K41" s="33"/>
      <c r="L41" s="33">
        <f t="shared" si="1"/>
        <v>1</v>
      </c>
      <c r="M41" s="33">
        <f t="shared" si="2"/>
        <v>0.2</v>
      </c>
      <c r="N41" s="38" t="str">
        <f t="shared" si="10"/>
        <v/>
      </c>
      <c r="O41" s="218" t="str">
        <f t="shared" si="4"/>
        <v/>
      </c>
      <c r="P41" s="218" t="str">
        <f t="shared" si="5"/>
        <v/>
      </c>
      <c r="Q41" s="218" t="str">
        <f t="shared" si="6"/>
        <v/>
      </c>
      <c r="R41" s="218" t="str">
        <f t="shared" si="7"/>
        <v/>
      </c>
      <c r="S41" s="246" t="str">
        <f t="shared" si="8"/>
        <v/>
      </c>
      <c r="T41" s="218" t="str">
        <f t="shared" si="9"/>
        <v/>
      </c>
    </row>
    <row r="42" spans="1:20" x14ac:dyDescent="0.2">
      <c r="A42" t="str">
        <f>INDEX(Prioritization!$D:$D,MATCH($B42,Prioritization!$A:$A,0))</f>
        <v>4 - Sustained</v>
      </c>
      <c r="B42" t="s">
        <v>313</v>
      </c>
      <c r="C42" t="s">
        <v>973</v>
      </c>
      <c r="D42" t="s">
        <v>48</v>
      </c>
      <c r="E42" t="str">
        <f t="shared" si="0"/>
        <v>Balaka District [ir8wuHHzoSs]|18-20|Male</v>
      </c>
      <c r="G42" s="38"/>
      <c r="H42" s="38"/>
      <c r="I42" s="240"/>
      <c r="J42" s="33"/>
      <c r="K42" s="33"/>
      <c r="L42" s="33">
        <f t="shared" si="1"/>
        <v>1</v>
      </c>
      <c r="M42" s="33">
        <f t="shared" si="2"/>
        <v>0.2</v>
      </c>
      <c r="N42" s="38" t="str">
        <f t="shared" si="10"/>
        <v/>
      </c>
      <c r="O42" s="218" t="str">
        <f t="shared" si="4"/>
        <v/>
      </c>
      <c r="P42" s="218" t="str">
        <f t="shared" si="5"/>
        <v/>
      </c>
      <c r="Q42" s="218" t="str">
        <f t="shared" si="6"/>
        <v/>
      </c>
      <c r="R42" s="218" t="str">
        <f t="shared" si="7"/>
        <v/>
      </c>
      <c r="S42" s="246" t="str">
        <f t="shared" si="8"/>
        <v/>
      </c>
      <c r="T42" s="237" t="str">
        <f t="shared" si="9"/>
        <v/>
      </c>
    </row>
    <row r="43" spans="1:20" x14ac:dyDescent="0.2">
      <c r="A43" t="str">
        <f>INDEX(Prioritization!$D:$D,MATCH($B43,Prioritization!$A:$A,0))</f>
        <v>1 - Scale-up: Saturation</v>
      </c>
      <c r="B43" t="s">
        <v>314</v>
      </c>
      <c r="C43" t="s">
        <v>426</v>
      </c>
      <c r="D43" t="s">
        <v>30</v>
      </c>
      <c r="E43" t="str">
        <f t="shared" si="0"/>
        <v>Blantyre District [mxqa3CDFmIT]|&lt;01|Female</v>
      </c>
      <c r="F43" t="s">
        <v>1380</v>
      </c>
      <c r="G43" s="38">
        <v>68</v>
      </c>
      <c r="H43" s="38">
        <v>689</v>
      </c>
      <c r="I43" s="241">
        <v>-0.92452830200000002</v>
      </c>
      <c r="J43" s="33"/>
      <c r="K43" s="33"/>
      <c r="L43" s="33">
        <f t="shared" si="1"/>
        <v>1</v>
      </c>
      <c r="M43" s="33">
        <f t="shared" si="2"/>
        <v>0.2</v>
      </c>
      <c r="N43" s="38">
        <f t="shared" si="10"/>
        <v>52</v>
      </c>
      <c r="O43" s="218" t="str">
        <f t="shared" si="4"/>
        <v/>
      </c>
      <c r="P43" s="218" t="str">
        <f t="shared" si="5"/>
        <v/>
      </c>
      <c r="Q43" s="218">
        <f t="shared" si="6"/>
        <v>10</v>
      </c>
      <c r="R43" s="218">
        <f t="shared" si="7"/>
        <v>42</v>
      </c>
      <c r="S43" s="246">
        <f t="shared" si="8"/>
        <v>1</v>
      </c>
      <c r="T43" s="218">
        <f t="shared" si="9"/>
        <v>52</v>
      </c>
    </row>
    <row r="44" spans="1:20" x14ac:dyDescent="0.2">
      <c r="A44" t="str">
        <f>INDEX(Prioritization!$D:$D,MATCH($B44,Prioritization!$A:$A,0))</f>
        <v>1 - Scale-up: Saturation</v>
      </c>
      <c r="B44" t="s">
        <v>314</v>
      </c>
      <c r="C44" t="s">
        <v>426</v>
      </c>
      <c r="D44" t="s">
        <v>48</v>
      </c>
      <c r="E44" t="str">
        <f t="shared" si="0"/>
        <v>Blantyre District [mxqa3CDFmIT]|&lt;01|Male</v>
      </c>
      <c r="F44" t="s">
        <v>1380</v>
      </c>
      <c r="G44" s="38">
        <v>80</v>
      </c>
      <c r="H44" s="38">
        <v>689</v>
      </c>
      <c r="I44" s="241">
        <v>-0.92452830200000002</v>
      </c>
      <c r="J44" s="33"/>
      <c r="K44" s="33"/>
      <c r="L44" s="33">
        <f t="shared" si="1"/>
        <v>1</v>
      </c>
      <c r="M44" s="33">
        <f t="shared" si="2"/>
        <v>0.2</v>
      </c>
      <c r="N44" s="38">
        <f t="shared" si="10"/>
        <v>52</v>
      </c>
      <c r="O44" s="218" t="str">
        <f t="shared" si="4"/>
        <v/>
      </c>
      <c r="P44" s="218" t="str">
        <f t="shared" si="5"/>
        <v/>
      </c>
      <c r="Q44" s="218">
        <f t="shared" si="6"/>
        <v>10</v>
      </c>
      <c r="R44" s="218">
        <f t="shared" si="7"/>
        <v>42</v>
      </c>
      <c r="S44" s="246">
        <f t="shared" si="8"/>
        <v>1</v>
      </c>
      <c r="T44" s="237">
        <f t="shared" si="9"/>
        <v>52</v>
      </c>
    </row>
    <row r="45" spans="1:20" x14ac:dyDescent="0.2">
      <c r="A45" t="str">
        <f>INDEX(Prioritization!$D:$D,MATCH($B45,Prioritization!$A:$A,0))</f>
        <v>1 - Scale-up: Saturation</v>
      </c>
      <c r="B45" t="s">
        <v>314</v>
      </c>
      <c r="C45" t="s">
        <v>970</v>
      </c>
      <c r="D45" t="s">
        <v>30</v>
      </c>
      <c r="E45" t="str">
        <f t="shared" si="0"/>
        <v>Blantyre District [mxqa3CDFmIT]|01-04|Female</v>
      </c>
      <c r="F45" t="s">
        <v>1380</v>
      </c>
      <c r="G45" s="38">
        <v>1114</v>
      </c>
      <c r="H45" s="38">
        <v>744</v>
      </c>
      <c r="I45" s="241">
        <v>0.18951612900000001</v>
      </c>
      <c r="J45" s="33"/>
      <c r="K45" s="33"/>
      <c r="L45" s="33">
        <f t="shared" si="1"/>
        <v>1</v>
      </c>
      <c r="M45" s="33">
        <f t="shared" si="2"/>
        <v>0.2</v>
      </c>
      <c r="N45" s="38">
        <f t="shared" si="10"/>
        <v>885</v>
      </c>
      <c r="O45" s="218" t="str">
        <f t="shared" si="4"/>
        <v/>
      </c>
      <c r="P45" s="218" t="str">
        <f t="shared" si="5"/>
        <v/>
      </c>
      <c r="Q45" s="218">
        <f t="shared" si="6"/>
        <v>177</v>
      </c>
      <c r="R45" s="218">
        <f t="shared" si="7"/>
        <v>708</v>
      </c>
      <c r="S45" s="246">
        <f t="shared" si="8"/>
        <v>1</v>
      </c>
      <c r="T45" s="218">
        <f t="shared" si="9"/>
        <v>885</v>
      </c>
    </row>
    <row r="46" spans="1:20" x14ac:dyDescent="0.2">
      <c r="A46" t="str">
        <f>INDEX(Prioritization!$D:$D,MATCH($B46,Prioritization!$A:$A,0))</f>
        <v>1 - Scale-up: Saturation</v>
      </c>
      <c r="B46" t="s">
        <v>314</v>
      </c>
      <c r="C46" t="s">
        <v>970</v>
      </c>
      <c r="D46" t="s">
        <v>48</v>
      </c>
      <c r="E46" t="str">
        <f t="shared" si="0"/>
        <v>Blantyre District [mxqa3CDFmIT]|01-04|Male</v>
      </c>
      <c r="F46" t="s">
        <v>1380</v>
      </c>
      <c r="G46" s="38">
        <v>1028</v>
      </c>
      <c r="H46" s="38">
        <v>750</v>
      </c>
      <c r="I46" s="241">
        <v>0.192</v>
      </c>
      <c r="J46" s="33"/>
      <c r="K46" s="33"/>
      <c r="L46" s="33">
        <f t="shared" si="1"/>
        <v>1</v>
      </c>
      <c r="M46" s="33">
        <f t="shared" si="2"/>
        <v>0.2</v>
      </c>
      <c r="N46" s="38">
        <f t="shared" si="10"/>
        <v>894</v>
      </c>
      <c r="O46" s="218" t="str">
        <f t="shared" si="4"/>
        <v/>
      </c>
      <c r="P46" s="218" t="str">
        <f t="shared" si="5"/>
        <v/>
      </c>
      <c r="Q46" s="218">
        <f t="shared" si="6"/>
        <v>179</v>
      </c>
      <c r="R46" s="218">
        <f t="shared" si="7"/>
        <v>715</v>
      </c>
      <c r="S46" s="246">
        <f t="shared" si="8"/>
        <v>1</v>
      </c>
      <c r="T46" s="237">
        <f t="shared" si="9"/>
        <v>894</v>
      </c>
    </row>
    <row r="47" spans="1:20" x14ac:dyDescent="0.2">
      <c r="A47" t="str">
        <f>INDEX(Prioritization!$D:$D,MATCH($B47,Prioritization!$A:$A,0))</f>
        <v>1 - Scale-up: Saturation</v>
      </c>
      <c r="B47" t="s">
        <v>314</v>
      </c>
      <c r="C47" t="s">
        <v>971</v>
      </c>
      <c r="D47" t="s">
        <v>30</v>
      </c>
      <c r="E47" t="str">
        <f t="shared" si="0"/>
        <v>Blantyre District [mxqa3CDFmIT]|05-09|Female</v>
      </c>
      <c r="F47" t="s">
        <v>1380</v>
      </c>
      <c r="G47" s="38">
        <v>1418</v>
      </c>
      <c r="H47" s="38">
        <v>744</v>
      </c>
      <c r="I47" s="241">
        <v>0.18951612900000001</v>
      </c>
      <c r="J47" s="33"/>
      <c r="K47" s="33"/>
      <c r="L47" s="33">
        <f t="shared" si="1"/>
        <v>1</v>
      </c>
      <c r="M47" s="33">
        <f t="shared" si="2"/>
        <v>0.2</v>
      </c>
      <c r="N47" s="38">
        <f t="shared" si="10"/>
        <v>885</v>
      </c>
      <c r="O47" s="218" t="str">
        <f t="shared" si="4"/>
        <v/>
      </c>
      <c r="P47" s="218" t="str">
        <f t="shared" si="5"/>
        <v/>
      </c>
      <c r="Q47" s="218">
        <f t="shared" si="6"/>
        <v>177</v>
      </c>
      <c r="R47" s="218">
        <f t="shared" si="7"/>
        <v>708</v>
      </c>
      <c r="S47" s="246">
        <f t="shared" si="8"/>
        <v>1</v>
      </c>
      <c r="T47" s="218">
        <f t="shared" si="9"/>
        <v>885</v>
      </c>
    </row>
    <row r="48" spans="1:20" x14ac:dyDescent="0.2">
      <c r="A48" t="str">
        <f>INDEX(Prioritization!$D:$D,MATCH($B48,Prioritization!$A:$A,0))</f>
        <v>1 - Scale-up: Saturation</v>
      </c>
      <c r="B48" t="s">
        <v>314</v>
      </c>
      <c r="C48" t="s">
        <v>971</v>
      </c>
      <c r="D48" t="s">
        <v>48</v>
      </c>
      <c r="E48" t="str">
        <f t="shared" si="0"/>
        <v>Blantyre District [mxqa3CDFmIT]|05-09|Male</v>
      </c>
      <c r="F48" t="s">
        <v>1380</v>
      </c>
      <c r="G48" s="38">
        <v>1311</v>
      </c>
      <c r="H48" s="38">
        <v>750</v>
      </c>
      <c r="I48" s="241">
        <v>0.192</v>
      </c>
      <c r="J48" s="33"/>
      <c r="K48" s="33"/>
      <c r="L48" s="33">
        <f t="shared" si="1"/>
        <v>1</v>
      </c>
      <c r="M48" s="33">
        <f t="shared" si="2"/>
        <v>0.2</v>
      </c>
      <c r="N48" s="38">
        <f t="shared" si="10"/>
        <v>894</v>
      </c>
      <c r="O48" s="218" t="str">
        <f t="shared" si="4"/>
        <v/>
      </c>
      <c r="P48" s="218" t="str">
        <f t="shared" si="5"/>
        <v/>
      </c>
      <c r="Q48" s="218">
        <f t="shared" si="6"/>
        <v>179</v>
      </c>
      <c r="R48" s="218">
        <f t="shared" si="7"/>
        <v>715</v>
      </c>
      <c r="S48" s="246">
        <f t="shared" si="8"/>
        <v>1</v>
      </c>
      <c r="T48" s="237">
        <f t="shared" si="9"/>
        <v>894</v>
      </c>
    </row>
    <row r="49" spans="1:20" x14ac:dyDescent="0.2">
      <c r="A49" t="str">
        <f>INDEX(Prioritization!$D:$D,MATCH($B49,Prioritization!$A:$A,0))</f>
        <v>1 - Scale-up: Saturation</v>
      </c>
      <c r="B49" t="s">
        <v>314</v>
      </c>
      <c r="C49" t="s">
        <v>474</v>
      </c>
      <c r="D49" t="s">
        <v>30</v>
      </c>
      <c r="E49" t="str">
        <f t="shared" si="0"/>
        <v>Blantyre District [mxqa3CDFmIT]|10-14|Female</v>
      </c>
      <c r="F49" t="s">
        <v>1380</v>
      </c>
      <c r="G49" s="38">
        <v>10186</v>
      </c>
      <c r="H49" s="38">
        <v>8049</v>
      </c>
      <c r="I49" s="241">
        <v>0.63560690799999997</v>
      </c>
      <c r="J49" s="33">
        <v>0.72150309400000001</v>
      </c>
      <c r="K49" s="239">
        <v>0.122126601</v>
      </c>
      <c r="L49" s="33">
        <f t="shared" si="1"/>
        <v>0.15637030500000004</v>
      </c>
      <c r="M49" s="33">
        <f t="shared" si="2"/>
        <v>0.2</v>
      </c>
      <c r="N49" s="38">
        <f t="shared" si="10"/>
        <v>13165</v>
      </c>
      <c r="O49" s="218">
        <f t="shared" si="4"/>
        <v>9499</v>
      </c>
      <c r="P49" s="218">
        <f t="shared" si="5"/>
        <v>1608</v>
      </c>
      <c r="Q49" s="218">
        <f t="shared" si="6"/>
        <v>412.00000000000006</v>
      </c>
      <c r="R49" s="218">
        <f t="shared" si="7"/>
        <v>1647</v>
      </c>
      <c r="S49" s="246">
        <f t="shared" si="8"/>
        <v>1</v>
      </c>
      <c r="T49" s="218">
        <f t="shared" si="9"/>
        <v>2059</v>
      </c>
    </row>
    <row r="50" spans="1:20" x14ac:dyDescent="0.2">
      <c r="A50" t="str">
        <f>INDEX(Prioritization!$D:$D,MATCH($B50,Prioritization!$A:$A,0))</f>
        <v>1 - Scale-up: Saturation</v>
      </c>
      <c r="B50" t="s">
        <v>314</v>
      </c>
      <c r="C50" t="s">
        <v>474</v>
      </c>
      <c r="D50" t="s">
        <v>48</v>
      </c>
      <c r="E50" t="str">
        <f t="shared" si="0"/>
        <v>Blantyre District [mxqa3CDFmIT]|10-14|Male</v>
      </c>
      <c r="F50" t="s">
        <v>1380</v>
      </c>
      <c r="G50" s="38">
        <v>3204</v>
      </c>
      <c r="H50" s="38">
        <v>4337</v>
      </c>
      <c r="I50" s="241">
        <v>0.159787872</v>
      </c>
      <c r="J50" s="33"/>
      <c r="K50" s="239">
        <v>0.60230148500000003</v>
      </c>
      <c r="L50" s="33">
        <f t="shared" si="1"/>
        <v>0.39769851499999997</v>
      </c>
      <c r="M50" s="33">
        <f t="shared" si="2"/>
        <v>0.2</v>
      </c>
      <c r="N50" s="38">
        <f t="shared" si="10"/>
        <v>5030</v>
      </c>
      <c r="O50" s="218" t="str">
        <f t="shared" si="4"/>
        <v/>
      </c>
      <c r="P50" s="218">
        <f t="shared" si="5"/>
        <v>3030</v>
      </c>
      <c r="Q50" s="218">
        <f t="shared" si="6"/>
        <v>400</v>
      </c>
      <c r="R50" s="218">
        <f t="shared" si="7"/>
        <v>1600</v>
      </c>
      <c r="S50" s="246">
        <f t="shared" si="8"/>
        <v>1</v>
      </c>
      <c r="T50" s="237">
        <f t="shared" si="9"/>
        <v>2000</v>
      </c>
    </row>
    <row r="51" spans="1:20" x14ac:dyDescent="0.2">
      <c r="A51" t="str">
        <f>INDEX(Prioritization!$D:$D,MATCH($B51,Prioritization!$A:$A,0))</f>
        <v>1 - Scale-up: Saturation</v>
      </c>
      <c r="B51" t="s">
        <v>314</v>
      </c>
      <c r="C51" t="s">
        <v>972</v>
      </c>
      <c r="D51" t="s">
        <v>30</v>
      </c>
      <c r="E51" t="str">
        <f t="shared" si="0"/>
        <v>Blantyre District [mxqa3CDFmIT]|15-17|Female</v>
      </c>
      <c r="F51" t="s">
        <v>1380</v>
      </c>
      <c r="G51" s="38">
        <v>8719</v>
      </c>
      <c r="H51" s="38">
        <v>3480</v>
      </c>
      <c r="I51" s="241">
        <v>1.543965517</v>
      </c>
      <c r="J51" s="33">
        <v>0.73853927900000005</v>
      </c>
      <c r="K51" s="33"/>
      <c r="L51" s="33">
        <f t="shared" si="1"/>
        <v>0.26146072099999995</v>
      </c>
      <c r="M51" s="33">
        <f t="shared" si="2"/>
        <v>0.2</v>
      </c>
      <c r="N51" s="38">
        <f t="shared" si="10"/>
        <v>8853</v>
      </c>
      <c r="O51" s="218">
        <f t="shared" si="4"/>
        <v>6538</v>
      </c>
      <c r="P51" s="218" t="str">
        <f t="shared" si="5"/>
        <v/>
      </c>
      <c r="Q51" s="218">
        <f t="shared" si="6"/>
        <v>463</v>
      </c>
      <c r="R51" s="218">
        <f t="shared" si="7"/>
        <v>1852</v>
      </c>
      <c r="S51" s="246">
        <f t="shared" si="8"/>
        <v>1</v>
      </c>
      <c r="T51" s="218">
        <f t="shared" si="9"/>
        <v>2315</v>
      </c>
    </row>
    <row r="52" spans="1:20" x14ac:dyDescent="0.2">
      <c r="A52" t="str">
        <f>INDEX(Prioritization!$D:$D,MATCH($B52,Prioritization!$A:$A,0))</f>
        <v>1 - Scale-up: Saturation</v>
      </c>
      <c r="B52" t="s">
        <v>314</v>
      </c>
      <c r="C52" t="s">
        <v>972</v>
      </c>
      <c r="D52" t="s">
        <v>48</v>
      </c>
      <c r="E52" t="str">
        <f t="shared" si="0"/>
        <v>Blantyre District [mxqa3CDFmIT]|15-17|Male</v>
      </c>
      <c r="F52" t="s">
        <v>1380</v>
      </c>
      <c r="G52" s="38">
        <v>1094</v>
      </c>
      <c r="H52" s="38">
        <v>1188</v>
      </c>
      <c r="I52" s="241">
        <v>4.2087541999999999E-2</v>
      </c>
      <c r="J52" s="33"/>
      <c r="K52" s="33"/>
      <c r="L52" s="33">
        <f t="shared" si="1"/>
        <v>1</v>
      </c>
      <c r="M52" s="33">
        <f t="shared" si="2"/>
        <v>0.2</v>
      </c>
      <c r="N52" s="38">
        <f t="shared" si="10"/>
        <v>1238</v>
      </c>
      <c r="O52" s="218" t="str">
        <f t="shared" si="4"/>
        <v/>
      </c>
      <c r="P52" s="218" t="str">
        <f t="shared" si="5"/>
        <v/>
      </c>
      <c r="Q52" s="218">
        <f t="shared" si="6"/>
        <v>248</v>
      </c>
      <c r="R52" s="218">
        <f t="shared" si="7"/>
        <v>990</v>
      </c>
      <c r="S52" s="246">
        <f t="shared" si="8"/>
        <v>1</v>
      </c>
      <c r="T52" s="237">
        <f t="shared" si="9"/>
        <v>1238</v>
      </c>
    </row>
    <row r="53" spans="1:20" x14ac:dyDescent="0.2">
      <c r="A53" t="str">
        <f>INDEX(Prioritization!$D:$D,MATCH($B53,Prioritization!$A:$A,0))</f>
        <v>1 - Scale-up: Saturation</v>
      </c>
      <c r="B53" t="s">
        <v>314</v>
      </c>
      <c r="C53" t="s">
        <v>974</v>
      </c>
      <c r="D53" t="s">
        <v>30</v>
      </c>
      <c r="E53" t="str">
        <f t="shared" si="0"/>
        <v>Blantyre District [mxqa3CDFmIT]|18+|Female</v>
      </c>
      <c r="F53" t="s">
        <v>1380</v>
      </c>
      <c r="G53" s="38">
        <v>5186</v>
      </c>
      <c r="H53" s="38">
        <v>2225</v>
      </c>
      <c r="I53" s="241">
        <v>0.98426966299999996</v>
      </c>
      <c r="J53" s="33"/>
      <c r="K53" s="33"/>
      <c r="L53" s="33">
        <f t="shared" si="1"/>
        <v>1</v>
      </c>
      <c r="M53" s="33">
        <f t="shared" si="2"/>
        <v>0.2</v>
      </c>
      <c r="N53" s="38">
        <f t="shared" si="10"/>
        <v>4415</v>
      </c>
      <c r="O53" s="218" t="str">
        <f t="shared" si="4"/>
        <v/>
      </c>
      <c r="P53" s="218" t="str">
        <f t="shared" si="5"/>
        <v/>
      </c>
      <c r="Q53" s="218">
        <f t="shared" si="6"/>
        <v>882.99999999999989</v>
      </c>
      <c r="R53" s="218">
        <f t="shared" si="7"/>
        <v>3531.9999999999995</v>
      </c>
      <c r="S53" s="246" t="str">
        <f t="shared" si="8"/>
        <v/>
      </c>
      <c r="T53" s="218" t="str">
        <f t="shared" si="9"/>
        <v/>
      </c>
    </row>
    <row r="54" spans="1:20" x14ac:dyDescent="0.2">
      <c r="A54" t="str">
        <f>INDEX(Prioritization!$D:$D,MATCH($B54,Prioritization!$A:$A,0))</f>
        <v>1 - Scale-up: Saturation</v>
      </c>
      <c r="B54" t="s">
        <v>314</v>
      </c>
      <c r="C54" t="s">
        <v>974</v>
      </c>
      <c r="D54" t="s">
        <v>48</v>
      </c>
      <c r="E54" t="str">
        <f t="shared" si="0"/>
        <v>Blantyre District [mxqa3CDFmIT]|18+|Male</v>
      </c>
      <c r="F54" t="s">
        <v>1380</v>
      </c>
      <c r="G54" s="38">
        <v>343</v>
      </c>
      <c r="H54" s="38">
        <v>1087</v>
      </c>
      <c r="I54" s="241">
        <v>-0.74057037699999995</v>
      </c>
      <c r="J54" s="33"/>
      <c r="K54" s="33"/>
      <c r="L54" s="33">
        <f t="shared" si="1"/>
        <v>1</v>
      </c>
      <c r="M54" s="33">
        <f t="shared" si="2"/>
        <v>0.2</v>
      </c>
      <c r="N54" s="38">
        <f t="shared" ref="N54:N62" si="11">IF(SUM($H54)=0,"",ROUND($H54*(1+$I54),0))</f>
        <v>282</v>
      </c>
      <c r="O54" s="218" t="str">
        <f t="shared" si="4"/>
        <v/>
      </c>
      <c r="P54" s="218" t="str">
        <f t="shared" si="5"/>
        <v/>
      </c>
      <c r="Q54" s="218">
        <f>IFERROR(1/(1/ROUND($N54*$L54*$M54,0)),"")</f>
        <v>56</v>
      </c>
      <c r="R54" s="218">
        <f t="shared" ref="R54:R59" si="12">IFERROR(1/(1/(ROUND($N54*$L54,0)-$Q54)),"")</f>
        <v>226</v>
      </c>
      <c r="S54" s="246" t="str">
        <f t="shared" si="8"/>
        <v/>
      </c>
      <c r="T54" s="237" t="str">
        <f t="shared" si="9"/>
        <v/>
      </c>
    </row>
    <row r="55" spans="1:20" x14ac:dyDescent="0.2">
      <c r="A55" t="str">
        <f>INDEX(Prioritization!$D:$D,MATCH($B55,Prioritization!$A:$A,0))</f>
        <v>1 - Scale-up: Saturation</v>
      </c>
      <c r="B55" t="s">
        <v>314</v>
      </c>
      <c r="C55" t="s">
        <v>973</v>
      </c>
      <c r="D55" t="s">
        <v>30</v>
      </c>
      <c r="E55" t="str">
        <f t="shared" si="0"/>
        <v>Blantyre District [mxqa3CDFmIT]|18-20|Female</v>
      </c>
      <c r="F55" t="s">
        <v>1380</v>
      </c>
      <c r="G55" s="38"/>
      <c r="H55" s="38">
        <v>82</v>
      </c>
      <c r="I55" s="241">
        <v>-0.634146341</v>
      </c>
      <c r="J55" s="33"/>
      <c r="K55" s="33"/>
      <c r="L55" s="33">
        <f t="shared" si="1"/>
        <v>1</v>
      </c>
      <c r="M55" s="33">
        <f t="shared" si="2"/>
        <v>0.2</v>
      </c>
      <c r="N55" s="38">
        <f t="shared" si="11"/>
        <v>30</v>
      </c>
      <c r="O55" s="218" t="str">
        <f t="shared" si="4"/>
        <v/>
      </c>
      <c r="P55" s="218" t="str">
        <f t="shared" si="5"/>
        <v/>
      </c>
      <c r="Q55" s="218">
        <f>IFERROR(1/(1/ROUND($N55*$L55*$M55,0)),"")</f>
        <v>6</v>
      </c>
      <c r="R55" s="218">
        <f t="shared" si="12"/>
        <v>24</v>
      </c>
      <c r="S55" s="246">
        <f t="shared" si="8"/>
        <v>1</v>
      </c>
      <c r="T55" s="218">
        <f t="shared" si="9"/>
        <v>30</v>
      </c>
    </row>
    <row r="56" spans="1:20" x14ac:dyDescent="0.2">
      <c r="A56" t="str">
        <f>INDEX(Prioritization!$D:$D,MATCH($B56,Prioritization!$A:$A,0))</f>
        <v>1 - Scale-up: Saturation</v>
      </c>
      <c r="B56" t="s">
        <v>314</v>
      </c>
      <c r="C56" t="s">
        <v>973</v>
      </c>
      <c r="D56" t="s">
        <v>48</v>
      </c>
      <c r="E56" t="str">
        <f t="shared" si="0"/>
        <v>Blantyre District [mxqa3CDFmIT]|18-20|Male</v>
      </c>
      <c r="F56" t="s">
        <v>1380</v>
      </c>
      <c r="G56" s="38"/>
      <c r="H56" s="38">
        <v>82</v>
      </c>
      <c r="I56" s="241">
        <v>-0.634146341</v>
      </c>
      <c r="J56" s="33"/>
      <c r="K56" s="33"/>
      <c r="L56" s="33">
        <f t="shared" si="1"/>
        <v>1</v>
      </c>
      <c r="M56" s="33">
        <f t="shared" si="2"/>
        <v>0.2</v>
      </c>
      <c r="N56" s="38">
        <f t="shared" si="11"/>
        <v>30</v>
      </c>
      <c r="O56" s="218" t="str">
        <f t="shared" si="4"/>
        <v/>
      </c>
      <c r="P56" s="218" t="str">
        <f t="shared" si="5"/>
        <v/>
      </c>
      <c r="Q56" s="218">
        <f>IFERROR(1/(1/ROUND($N56*$L56*$M56,0)),"")</f>
        <v>6</v>
      </c>
      <c r="R56" s="218">
        <f t="shared" si="12"/>
        <v>24</v>
      </c>
      <c r="S56" s="246">
        <f t="shared" si="8"/>
        <v>1</v>
      </c>
      <c r="T56" s="237">
        <f t="shared" si="9"/>
        <v>30</v>
      </c>
    </row>
    <row r="57" spans="1:20" x14ac:dyDescent="0.2">
      <c r="A57" t="str">
        <f>INDEX(Prioritization!$D:$D,MATCH($B57,Prioritization!$A:$A,0))</f>
        <v>1 - Scale-up: Saturation</v>
      </c>
      <c r="B57" t="s">
        <v>315</v>
      </c>
      <c r="C57" t="s">
        <v>426</v>
      </c>
      <c r="D57" t="s">
        <v>30</v>
      </c>
      <c r="E57" t="str">
        <f t="shared" si="0"/>
        <v>Chikwawa District [U8c0so51kT6]|&lt;01|Female</v>
      </c>
      <c r="G57" s="38">
        <v>109</v>
      </c>
      <c r="H57" s="38">
        <v>517</v>
      </c>
      <c r="I57" s="241">
        <v>-0.98259187599999998</v>
      </c>
      <c r="J57" s="33"/>
      <c r="K57" s="33"/>
      <c r="L57" s="33">
        <f t="shared" si="1"/>
        <v>1</v>
      </c>
      <c r="M57" s="33">
        <f t="shared" si="2"/>
        <v>0.2</v>
      </c>
      <c r="N57" s="38">
        <f t="shared" si="11"/>
        <v>9</v>
      </c>
      <c r="O57" s="218" t="str">
        <f t="shared" si="4"/>
        <v/>
      </c>
      <c r="P57" s="218" t="str">
        <f t="shared" si="5"/>
        <v/>
      </c>
      <c r="Q57" s="218">
        <f>IFERROR(1/(1/ROUND($N57*$L57*$M57,0)),"")</f>
        <v>2</v>
      </c>
      <c r="R57" s="218">
        <f t="shared" si="12"/>
        <v>7</v>
      </c>
      <c r="S57" s="246">
        <f t="shared" si="8"/>
        <v>1</v>
      </c>
      <c r="T57" s="218">
        <f t="shared" si="9"/>
        <v>9</v>
      </c>
    </row>
    <row r="58" spans="1:20" x14ac:dyDescent="0.2">
      <c r="A58" t="str">
        <f>INDEX(Prioritization!$D:$D,MATCH($B58,Prioritization!$A:$A,0))</f>
        <v>1 - Scale-up: Saturation</v>
      </c>
      <c r="B58" t="s">
        <v>315</v>
      </c>
      <c r="C58" t="s">
        <v>426</v>
      </c>
      <c r="D58" t="s">
        <v>48</v>
      </c>
      <c r="E58" t="str">
        <f t="shared" si="0"/>
        <v>Chikwawa District [U8c0so51kT6]|&lt;01|Male</v>
      </c>
      <c r="G58" s="38">
        <v>112</v>
      </c>
      <c r="H58" s="38">
        <v>517</v>
      </c>
      <c r="I58" s="241">
        <v>-0.98259187599999998</v>
      </c>
      <c r="J58" s="33"/>
      <c r="K58" s="33"/>
      <c r="L58" s="33">
        <f t="shared" si="1"/>
        <v>1</v>
      </c>
      <c r="M58" s="33">
        <f t="shared" si="2"/>
        <v>0.2</v>
      </c>
      <c r="N58" s="38">
        <f t="shared" si="11"/>
        <v>9</v>
      </c>
      <c r="O58" s="218" t="str">
        <f t="shared" si="4"/>
        <v/>
      </c>
      <c r="P58" s="218" t="str">
        <f t="shared" si="5"/>
        <v/>
      </c>
      <c r="Q58" s="218">
        <f>IFERROR(1/(1/ROUND($N58*$L58*$M58,0)),"")</f>
        <v>2</v>
      </c>
      <c r="R58" s="218">
        <f t="shared" si="12"/>
        <v>7</v>
      </c>
      <c r="S58" s="246">
        <f t="shared" si="8"/>
        <v>1</v>
      </c>
      <c r="T58" s="237">
        <f t="shared" si="9"/>
        <v>9</v>
      </c>
    </row>
    <row r="59" spans="1:20" x14ac:dyDescent="0.2">
      <c r="A59" t="str">
        <f>INDEX(Prioritization!$D:$D,MATCH($B59,Prioritization!$A:$A,0))</f>
        <v>1 - Scale-up: Saturation</v>
      </c>
      <c r="B59" t="s">
        <v>315</v>
      </c>
      <c r="C59" t="s">
        <v>970</v>
      </c>
      <c r="D59" t="s">
        <v>30</v>
      </c>
      <c r="E59" t="str">
        <f t="shared" si="0"/>
        <v>Chikwawa District [U8c0so51kT6]|01-04|Female</v>
      </c>
      <c r="G59" s="38">
        <v>598</v>
      </c>
      <c r="H59" s="38">
        <v>244</v>
      </c>
      <c r="I59" s="241">
        <v>0.33606557399999998</v>
      </c>
      <c r="J59" s="33"/>
      <c r="K59" s="33"/>
      <c r="L59" s="33">
        <f t="shared" si="1"/>
        <v>1</v>
      </c>
      <c r="M59" s="33">
        <f t="shared" si="2"/>
        <v>0.2</v>
      </c>
      <c r="N59" s="38">
        <f t="shared" si="11"/>
        <v>326</v>
      </c>
      <c r="O59" s="218" t="str">
        <f t="shared" si="4"/>
        <v/>
      </c>
      <c r="P59" s="218" t="str">
        <f t="shared" si="5"/>
        <v/>
      </c>
      <c r="Q59" s="218">
        <f t="shared" si="6"/>
        <v>65</v>
      </c>
      <c r="R59" s="218">
        <f t="shared" si="12"/>
        <v>261</v>
      </c>
      <c r="S59" s="246">
        <f t="shared" si="8"/>
        <v>1</v>
      </c>
      <c r="T59" s="218">
        <f t="shared" si="9"/>
        <v>326</v>
      </c>
    </row>
    <row r="60" spans="1:20" x14ac:dyDescent="0.2">
      <c r="A60" t="str">
        <f>INDEX(Prioritization!$D:$D,MATCH($B60,Prioritization!$A:$A,0))</f>
        <v>1 - Scale-up: Saturation</v>
      </c>
      <c r="B60" t="s">
        <v>315</v>
      </c>
      <c r="C60" t="s">
        <v>970</v>
      </c>
      <c r="D60" t="s">
        <v>48</v>
      </c>
      <c r="E60" t="str">
        <f t="shared" si="0"/>
        <v>Chikwawa District [U8c0so51kT6]|01-04|Male</v>
      </c>
      <c r="G60" s="38">
        <v>594</v>
      </c>
      <c r="H60" s="38">
        <v>249</v>
      </c>
      <c r="I60" s="241">
        <v>0.321285141</v>
      </c>
      <c r="J60" s="33"/>
      <c r="K60" s="33"/>
      <c r="L60" s="33">
        <f t="shared" si="1"/>
        <v>1</v>
      </c>
      <c r="M60" s="33">
        <f t="shared" si="2"/>
        <v>0.2</v>
      </c>
      <c r="N60" s="38">
        <f t="shared" si="11"/>
        <v>329</v>
      </c>
      <c r="O60" s="218" t="str">
        <f t="shared" si="4"/>
        <v/>
      </c>
      <c r="P60" s="218" t="str">
        <f t="shared" si="5"/>
        <v/>
      </c>
      <c r="Q60" s="218">
        <f t="shared" si="6"/>
        <v>66</v>
      </c>
      <c r="R60" s="218">
        <f t="shared" si="7"/>
        <v>263</v>
      </c>
      <c r="S60" s="246">
        <f t="shared" si="8"/>
        <v>1</v>
      </c>
      <c r="T60" s="237">
        <f t="shared" si="9"/>
        <v>329</v>
      </c>
    </row>
    <row r="61" spans="1:20" x14ac:dyDescent="0.2">
      <c r="A61" t="str">
        <f>INDEX(Prioritization!$D:$D,MATCH($B61,Prioritization!$A:$A,0))</f>
        <v>1 - Scale-up: Saturation</v>
      </c>
      <c r="B61" t="s">
        <v>315</v>
      </c>
      <c r="C61" t="s">
        <v>971</v>
      </c>
      <c r="D61" t="s">
        <v>30</v>
      </c>
      <c r="E61" t="str">
        <f t="shared" si="0"/>
        <v>Chikwawa District [U8c0so51kT6]|05-09|Female</v>
      </c>
      <c r="G61" s="38">
        <v>803</v>
      </c>
      <c r="H61" s="38">
        <v>244</v>
      </c>
      <c r="I61" s="241">
        <v>0.33606557399999998</v>
      </c>
      <c r="J61" s="33"/>
      <c r="K61" s="33"/>
      <c r="L61" s="33">
        <f t="shared" si="1"/>
        <v>1</v>
      </c>
      <c r="M61" s="33">
        <f t="shared" si="2"/>
        <v>0.2</v>
      </c>
      <c r="N61" s="38">
        <f t="shared" si="11"/>
        <v>326</v>
      </c>
      <c r="O61" s="218" t="str">
        <f t="shared" si="4"/>
        <v/>
      </c>
      <c r="P61" s="218" t="str">
        <f t="shared" si="5"/>
        <v/>
      </c>
      <c r="Q61" s="218">
        <f t="shared" si="6"/>
        <v>65</v>
      </c>
      <c r="R61" s="218">
        <f t="shared" si="7"/>
        <v>261</v>
      </c>
      <c r="S61" s="246">
        <f t="shared" si="8"/>
        <v>1</v>
      </c>
      <c r="T61" s="218">
        <f t="shared" si="9"/>
        <v>326</v>
      </c>
    </row>
    <row r="62" spans="1:20" x14ac:dyDescent="0.2">
      <c r="A62" t="str">
        <f>INDEX(Prioritization!$D:$D,MATCH($B62,Prioritization!$A:$A,0))</f>
        <v>1 - Scale-up: Saturation</v>
      </c>
      <c r="B62" t="s">
        <v>315</v>
      </c>
      <c r="C62" t="s">
        <v>971</v>
      </c>
      <c r="D62" t="s">
        <v>48</v>
      </c>
      <c r="E62" t="str">
        <f t="shared" si="0"/>
        <v>Chikwawa District [U8c0so51kT6]|05-09|Male</v>
      </c>
      <c r="G62" s="38">
        <v>759</v>
      </c>
      <c r="H62" s="38">
        <v>249</v>
      </c>
      <c r="I62" s="241">
        <v>0.321285141</v>
      </c>
      <c r="J62" s="33"/>
      <c r="K62" s="33"/>
      <c r="L62" s="33">
        <f t="shared" si="1"/>
        <v>1</v>
      </c>
      <c r="M62" s="33">
        <f t="shared" si="2"/>
        <v>0.2</v>
      </c>
      <c r="N62" s="38">
        <f t="shared" si="11"/>
        <v>329</v>
      </c>
      <c r="O62" s="218" t="str">
        <f t="shared" si="4"/>
        <v/>
      </c>
      <c r="P62" s="218" t="str">
        <f t="shared" si="5"/>
        <v/>
      </c>
      <c r="Q62" s="218">
        <f t="shared" si="6"/>
        <v>66</v>
      </c>
      <c r="R62" s="218">
        <f t="shared" si="7"/>
        <v>263</v>
      </c>
      <c r="S62" s="246">
        <f t="shared" si="8"/>
        <v>1</v>
      </c>
      <c r="T62" s="237">
        <f t="shared" si="9"/>
        <v>329</v>
      </c>
    </row>
    <row r="63" spans="1:20" x14ac:dyDescent="0.2">
      <c r="A63" t="str">
        <f>INDEX(Prioritization!$D:$D,MATCH($B63,Prioritization!$A:$A,0))</f>
        <v>1 - Scale-up: Saturation</v>
      </c>
      <c r="B63" t="s">
        <v>315</v>
      </c>
      <c r="C63" t="s">
        <v>474</v>
      </c>
      <c r="D63" t="s">
        <v>30</v>
      </c>
      <c r="E63" t="str">
        <f t="shared" si="0"/>
        <v>Chikwawa District [U8c0so51kT6]|10-14|Female</v>
      </c>
      <c r="G63" s="38">
        <v>1968</v>
      </c>
      <c r="H63" s="38">
        <v>835</v>
      </c>
      <c r="I63" s="241">
        <v>1.111377246</v>
      </c>
      <c r="J63" s="33"/>
      <c r="K63" s="33">
        <v>0.53091321599999997</v>
      </c>
      <c r="L63" s="33">
        <f t="shared" si="1"/>
        <v>0.46908678400000003</v>
      </c>
      <c r="M63" s="33">
        <f t="shared" si="2"/>
        <v>0.2</v>
      </c>
      <c r="N63" s="38">
        <f t="shared" si="10"/>
        <v>1763</v>
      </c>
      <c r="O63" s="218" t="str">
        <f t="shared" si="4"/>
        <v/>
      </c>
      <c r="P63" s="218">
        <f t="shared" si="5"/>
        <v>936</v>
      </c>
      <c r="Q63" s="218">
        <f t="shared" si="6"/>
        <v>165</v>
      </c>
      <c r="R63" s="218">
        <f t="shared" si="7"/>
        <v>662</v>
      </c>
      <c r="S63" s="246">
        <f t="shared" si="8"/>
        <v>1</v>
      </c>
      <c r="T63" s="218">
        <f t="shared" si="9"/>
        <v>827</v>
      </c>
    </row>
    <row r="64" spans="1:20" x14ac:dyDescent="0.2">
      <c r="A64" t="str">
        <f>INDEX(Prioritization!$D:$D,MATCH($B64,Prioritization!$A:$A,0))</f>
        <v>1 - Scale-up: Saturation</v>
      </c>
      <c r="B64" t="s">
        <v>315</v>
      </c>
      <c r="C64" t="s">
        <v>474</v>
      </c>
      <c r="D64" t="s">
        <v>48</v>
      </c>
      <c r="E64" t="str">
        <f t="shared" si="0"/>
        <v>Chikwawa District [U8c0so51kT6]|10-14|Male</v>
      </c>
      <c r="G64" s="38">
        <v>2025</v>
      </c>
      <c r="H64" s="38">
        <v>823</v>
      </c>
      <c r="I64" s="241">
        <v>1.0838396109999999</v>
      </c>
      <c r="J64" s="33"/>
      <c r="K64" s="33">
        <v>0.53061224500000004</v>
      </c>
      <c r="L64" s="33">
        <f t="shared" si="1"/>
        <v>0.46938775499999996</v>
      </c>
      <c r="M64" s="33">
        <f t="shared" si="2"/>
        <v>0.2</v>
      </c>
      <c r="N64" s="38">
        <f t="shared" si="10"/>
        <v>1715</v>
      </c>
      <c r="O64" s="218" t="str">
        <f t="shared" si="4"/>
        <v/>
      </c>
      <c r="P64" s="218">
        <f t="shared" si="5"/>
        <v>910</v>
      </c>
      <c r="Q64" s="218">
        <f t="shared" si="6"/>
        <v>161</v>
      </c>
      <c r="R64" s="218">
        <f t="shared" si="7"/>
        <v>644</v>
      </c>
      <c r="S64" s="246">
        <f t="shared" si="8"/>
        <v>1</v>
      </c>
      <c r="T64" s="237">
        <f t="shared" si="9"/>
        <v>805</v>
      </c>
    </row>
    <row r="65" spans="1:20" x14ac:dyDescent="0.2">
      <c r="A65" t="str">
        <f>INDEX(Prioritization!$D:$D,MATCH($B65,Prioritization!$A:$A,0))</f>
        <v>1 - Scale-up: Saturation</v>
      </c>
      <c r="B65" t="s">
        <v>315</v>
      </c>
      <c r="C65" t="s">
        <v>972</v>
      </c>
      <c r="D65" t="s">
        <v>30</v>
      </c>
      <c r="E65" t="str">
        <f t="shared" si="0"/>
        <v>Chikwawa District [U8c0so51kT6]|15-17|Female</v>
      </c>
      <c r="G65" s="38">
        <v>568</v>
      </c>
      <c r="H65" s="38">
        <v>418</v>
      </c>
      <c r="I65" s="241">
        <v>0.49521531099999999</v>
      </c>
      <c r="J65" s="33"/>
      <c r="K65" s="33"/>
      <c r="L65" s="33">
        <f t="shared" si="1"/>
        <v>1</v>
      </c>
      <c r="M65" s="33">
        <f t="shared" si="2"/>
        <v>0.2</v>
      </c>
      <c r="N65" s="38">
        <f t="shared" si="10"/>
        <v>625</v>
      </c>
      <c r="O65" s="218" t="str">
        <f t="shared" si="4"/>
        <v/>
      </c>
      <c r="P65" s="218" t="str">
        <f t="shared" si="5"/>
        <v/>
      </c>
      <c r="Q65" s="218">
        <f t="shared" si="6"/>
        <v>125</v>
      </c>
      <c r="R65" s="218">
        <f t="shared" si="7"/>
        <v>500</v>
      </c>
      <c r="S65" s="246">
        <f t="shared" si="8"/>
        <v>1</v>
      </c>
      <c r="T65" s="218">
        <f t="shared" si="9"/>
        <v>625</v>
      </c>
    </row>
    <row r="66" spans="1:20" x14ac:dyDescent="0.2">
      <c r="A66" t="str">
        <f>INDEX(Prioritization!$D:$D,MATCH($B66,Prioritization!$A:$A,0))</f>
        <v>1 - Scale-up: Saturation</v>
      </c>
      <c r="B66" t="s">
        <v>315</v>
      </c>
      <c r="C66" t="s">
        <v>972</v>
      </c>
      <c r="D66" t="s">
        <v>48</v>
      </c>
      <c r="E66" t="str">
        <f t="shared" si="0"/>
        <v>Chikwawa District [U8c0so51kT6]|15-17|Male</v>
      </c>
      <c r="G66" s="38">
        <v>511</v>
      </c>
      <c r="H66" s="38">
        <v>286</v>
      </c>
      <c r="I66" s="241">
        <v>0.16083916100000001</v>
      </c>
      <c r="J66" s="33"/>
      <c r="K66" s="33"/>
      <c r="L66" s="33">
        <f t="shared" si="1"/>
        <v>1</v>
      </c>
      <c r="M66" s="33">
        <f t="shared" si="2"/>
        <v>0.2</v>
      </c>
      <c r="N66" s="38">
        <f t="shared" si="10"/>
        <v>332</v>
      </c>
      <c r="O66" s="218" t="str">
        <f t="shared" si="4"/>
        <v/>
      </c>
      <c r="P66" s="218" t="str">
        <f t="shared" si="5"/>
        <v/>
      </c>
      <c r="Q66" s="218">
        <f t="shared" si="6"/>
        <v>66</v>
      </c>
      <c r="R66" s="218">
        <f t="shared" si="7"/>
        <v>266</v>
      </c>
      <c r="S66" s="246">
        <f t="shared" si="8"/>
        <v>1</v>
      </c>
      <c r="T66" s="237">
        <f t="shared" si="9"/>
        <v>332</v>
      </c>
    </row>
    <row r="67" spans="1:20" x14ac:dyDescent="0.2">
      <c r="A67" t="str">
        <f>INDEX(Prioritization!$D:$D,MATCH($B67,Prioritization!$A:$A,0))</f>
        <v>1 - Scale-up: Saturation</v>
      </c>
      <c r="B67" t="s">
        <v>315</v>
      </c>
      <c r="C67" t="s">
        <v>974</v>
      </c>
      <c r="D67" t="s">
        <v>30</v>
      </c>
      <c r="E67" t="str">
        <f t="shared" si="0"/>
        <v>Chikwawa District [U8c0so51kT6]|18+|Female</v>
      </c>
      <c r="G67" s="38">
        <v>2266</v>
      </c>
      <c r="H67" s="38">
        <v>878</v>
      </c>
      <c r="I67" s="241">
        <v>0.74829157199999996</v>
      </c>
      <c r="J67" s="33"/>
      <c r="K67" s="33"/>
      <c r="L67" s="33">
        <f t="shared" si="1"/>
        <v>1</v>
      </c>
      <c r="M67" s="33">
        <f t="shared" si="2"/>
        <v>0.2</v>
      </c>
      <c r="N67" s="38">
        <f t="shared" si="10"/>
        <v>1535</v>
      </c>
      <c r="O67" s="218" t="str">
        <f t="shared" si="4"/>
        <v/>
      </c>
      <c r="P67" s="218" t="str">
        <f t="shared" si="5"/>
        <v/>
      </c>
      <c r="Q67" s="218">
        <f t="shared" si="6"/>
        <v>307</v>
      </c>
      <c r="R67" s="218">
        <f t="shared" si="7"/>
        <v>1228</v>
      </c>
      <c r="S67" s="246" t="str">
        <f t="shared" si="8"/>
        <v/>
      </c>
      <c r="T67" s="218" t="str">
        <f t="shared" si="9"/>
        <v/>
      </c>
    </row>
    <row r="68" spans="1:20" x14ac:dyDescent="0.2">
      <c r="A68" t="str">
        <f>INDEX(Prioritization!$D:$D,MATCH($B68,Prioritization!$A:$A,0))</f>
        <v>1 - Scale-up: Saturation</v>
      </c>
      <c r="B68" t="s">
        <v>315</v>
      </c>
      <c r="C68" t="s">
        <v>974</v>
      </c>
      <c r="D68" t="s">
        <v>48</v>
      </c>
      <c r="E68" t="str">
        <f t="shared" si="0"/>
        <v>Chikwawa District [U8c0so51kT6]|18+|Male</v>
      </c>
      <c r="G68" s="38">
        <v>170</v>
      </c>
      <c r="H68" s="38">
        <v>426</v>
      </c>
      <c r="I68" s="241">
        <v>-0.76995305199999997</v>
      </c>
      <c r="J68" s="33"/>
      <c r="K68" s="33"/>
      <c r="L68" s="33">
        <f t="shared" si="1"/>
        <v>1</v>
      </c>
      <c r="M68" s="33">
        <f t="shared" si="2"/>
        <v>0.2</v>
      </c>
      <c r="N68" s="38">
        <f t="shared" si="10"/>
        <v>98</v>
      </c>
      <c r="O68" s="218" t="str">
        <f t="shared" si="4"/>
        <v/>
      </c>
      <c r="P68" s="218" t="str">
        <f t="shared" si="5"/>
        <v/>
      </c>
      <c r="Q68" s="218">
        <f t="shared" si="6"/>
        <v>20</v>
      </c>
      <c r="R68" s="218">
        <f t="shared" si="7"/>
        <v>78</v>
      </c>
      <c r="S68" s="246" t="str">
        <f t="shared" si="8"/>
        <v/>
      </c>
      <c r="T68" s="237" t="str">
        <f t="shared" si="9"/>
        <v/>
      </c>
    </row>
    <row r="69" spans="1:20" x14ac:dyDescent="0.2">
      <c r="A69" t="str">
        <f>INDEX(Prioritization!$D:$D,MATCH($B69,Prioritization!$A:$A,0))</f>
        <v>1 - Scale-up: Saturation</v>
      </c>
      <c r="B69" t="s">
        <v>315</v>
      </c>
      <c r="C69" t="s">
        <v>973</v>
      </c>
      <c r="D69" t="s">
        <v>30</v>
      </c>
      <c r="E69" t="str">
        <f t="shared" si="0"/>
        <v>Chikwawa District [U8c0so51kT6]|18-20|Female</v>
      </c>
      <c r="G69" s="38"/>
      <c r="H69" s="38">
        <v>29</v>
      </c>
      <c r="I69" s="241">
        <v>0</v>
      </c>
      <c r="J69" s="33"/>
      <c r="K69" s="33"/>
      <c r="L69" s="33">
        <f t="shared" si="1"/>
        <v>1</v>
      </c>
      <c r="M69" s="33">
        <f t="shared" si="2"/>
        <v>0.2</v>
      </c>
      <c r="N69" s="38">
        <f t="shared" si="10"/>
        <v>29</v>
      </c>
      <c r="O69" s="218" t="str">
        <f t="shared" si="4"/>
        <v/>
      </c>
      <c r="P69" s="218" t="str">
        <f t="shared" si="5"/>
        <v/>
      </c>
      <c r="Q69" s="218">
        <f t="shared" si="6"/>
        <v>6</v>
      </c>
      <c r="R69" s="218">
        <f t="shared" si="7"/>
        <v>23</v>
      </c>
      <c r="S69" s="246">
        <f t="shared" si="8"/>
        <v>1</v>
      </c>
      <c r="T69" s="218">
        <f t="shared" si="9"/>
        <v>29</v>
      </c>
    </row>
    <row r="70" spans="1:20" x14ac:dyDescent="0.2">
      <c r="A70" t="str">
        <f>INDEX(Prioritization!$D:$D,MATCH($B70,Prioritization!$A:$A,0))</f>
        <v>1 - Scale-up: Saturation</v>
      </c>
      <c r="B70" t="s">
        <v>315</v>
      </c>
      <c r="C70" t="s">
        <v>973</v>
      </c>
      <c r="D70" t="s">
        <v>48</v>
      </c>
      <c r="E70" t="str">
        <f t="shared" si="0"/>
        <v>Chikwawa District [U8c0so51kT6]|18-20|Male</v>
      </c>
      <c r="G70" s="38"/>
      <c r="H70" s="38">
        <v>29</v>
      </c>
      <c r="I70" s="241">
        <v>0</v>
      </c>
      <c r="J70" s="33"/>
      <c r="K70" s="33"/>
      <c r="L70" s="33">
        <f t="shared" si="1"/>
        <v>1</v>
      </c>
      <c r="M70" s="33">
        <f t="shared" si="2"/>
        <v>0.2</v>
      </c>
      <c r="N70" s="38">
        <f t="shared" si="10"/>
        <v>29</v>
      </c>
      <c r="O70" s="218" t="str">
        <f t="shared" si="4"/>
        <v/>
      </c>
      <c r="P70" s="218" t="str">
        <f t="shared" si="5"/>
        <v/>
      </c>
      <c r="Q70" s="218">
        <f t="shared" si="6"/>
        <v>6</v>
      </c>
      <c r="R70" s="218">
        <f t="shared" si="7"/>
        <v>23</v>
      </c>
      <c r="S70" s="246">
        <f t="shared" si="8"/>
        <v>1</v>
      </c>
      <c r="T70" s="237">
        <f t="shared" si="9"/>
        <v>29</v>
      </c>
    </row>
    <row r="71" spans="1:20" x14ac:dyDescent="0.2">
      <c r="A71" t="str">
        <f>INDEX(Prioritization!$D:$D,MATCH($B71,Prioritization!$A:$A,0))</f>
        <v>INVALID</v>
      </c>
      <c r="B71" t="s">
        <v>316</v>
      </c>
      <c r="C71" t="s">
        <v>426</v>
      </c>
      <c r="D71" t="s">
        <v>30</v>
      </c>
      <c r="E71" t="str">
        <f t="shared" si="0"/>
        <v>Chiradzulu District [oiPR2CiVJbf]|&lt;01|Female</v>
      </c>
      <c r="F71" t="s">
        <v>1380</v>
      </c>
      <c r="G71" s="38"/>
      <c r="H71" s="38"/>
      <c r="I71" s="240"/>
      <c r="J71" s="33"/>
      <c r="K71" s="33"/>
      <c r="L71" s="33">
        <f t="shared" si="1"/>
        <v>1</v>
      </c>
      <c r="M71" s="33">
        <f t="shared" si="2"/>
        <v>0.2</v>
      </c>
      <c r="N71" s="38" t="str">
        <f t="shared" si="10"/>
        <v/>
      </c>
      <c r="O71" s="218" t="str">
        <f t="shared" si="4"/>
        <v/>
      </c>
      <c r="P71" s="218" t="str">
        <f t="shared" si="5"/>
        <v/>
      </c>
      <c r="Q71" s="218" t="str">
        <f t="shared" si="6"/>
        <v/>
      </c>
      <c r="R71" s="218" t="str">
        <f t="shared" si="7"/>
        <v/>
      </c>
      <c r="S71" s="246" t="str">
        <f t="shared" si="8"/>
        <v/>
      </c>
      <c r="T71" s="218" t="str">
        <f t="shared" si="9"/>
        <v/>
      </c>
    </row>
    <row r="72" spans="1:20" x14ac:dyDescent="0.2">
      <c r="A72" t="str">
        <f>INDEX(Prioritization!$D:$D,MATCH($B72,Prioritization!$A:$A,0))</f>
        <v>INVALID</v>
      </c>
      <c r="B72" t="s">
        <v>316</v>
      </c>
      <c r="C72" t="s">
        <v>426</v>
      </c>
      <c r="D72" t="s">
        <v>48</v>
      </c>
      <c r="E72" t="str">
        <f t="shared" si="0"/>
        <v>Chiradzulu District [oiPR2CiVJbf]|&lt;01|Male</v>
      </c>
      <c r="F72" t="s">
        <v>1380</v>
      </c>
      <c r="G72" s="38"/>
      <c r="H72" s="38"/>
      <c r="I72" s="240"/>
      <c r="J72" s="33"/>
      <c r="K72" s="33"/>
      <c r="L72" s="33">
        <f t="shared" si="1"/>
        <v>1</v>
      </c>
      <c r="M72" s="33">
        <f t="shared" si="2"/>
        <v>0.2</v>
      </c>
      <c r="N72" s="38" t="str">
        <f t="shared" si="10"/>
        <v/>
      </c>
      <c r="O72" s="218" t="str">
        <f t="shared" si="4"/>
        <v/>
      </c>
      <c r="P72" s="218" t="str">
        <f t="shared" si="5"/>
        <v/>
      </c>
      <c r="Q72" s="218" t="str">
        <f t="shared" si="6"/>
        <v/>
      </c>
      <c r="R72" s="218" t="str">
        <f t="shared" si="7"/>
        <v/>
      </c>
      <c r="S72" s="246" t="str">
        <f t="shared" si="8"/>
        <v/>
      </c>
      <c r="T72" s="237" t="str">
        <f t="shared" si="9"/>
        <v/>
      </c>
    </row>
    <row r="73" spans="1:20" x14ac:dyDescent="0.2">
      <c r="A73" t="str">
        <f>INDEX(Prioritization!$D:$D,MATCH($B73,Prioritization!$A:$A,0))</f>
        <v>INVALID</v>
      </c>
      <c r="B73" t="s">
        <v>316</v>
      </c>
      <c r="C73" t="s">
        <v>970</v>
      </c>
      <c r="D73" t="s">
        <v>30</v>
      </c>
      <c r="E73" t="str">
        <f t="shared" si="0"/>
        <v>Chiradzulu District [oiPR2CiVJbf]|01-04|Female</v>
      </c>
      <c r="F73" t="s">
        <v>1380</v>
      </c>
      <c r="G73" s="38"/>
      <c r="H73" s="38"/>
      <c r="I73" s="240"/>
      <c r="J73" s="33"/>
      <c r="K73" s="33"/>
      <c r="L73" s="33">
        <f t="shared" si="1"/>
        <v>1</v>
      </c>
      <c r="M73" s="33">
        <f t="shared" si="2"/>
        <v>0.2</v>
      </c>
      <c r="N73" s="38" t="str">
        <f t="shared" si="10"/>
        <v/>
      </c>
      <c r="O73" s="218" t="str">
        <f t="shared" si="4"/>
        <v/>
      </c>
      <c r="P73" s="218" t="str">
        <f t="shared" si="5"/>
        <v/>
      </c>
      <c r="Q73" s="218" t="str">
        <f t="shared" si="6"/>
        <v/>
      </c>
      <c r="R73" s="218" t="str">
        <f t="shared" si="7"/>
        <v/>
      </c>
      <c r="S73" s="246" t="str">
        <f t="shared" si="8"/>
        <v/>
      </c>
      <c r="T73" s="218" t="str">
        <f t="shared" si="9"/>
        <v/>
      </c>
    </row>
    <row r="74" spans="1:20" x14ac:dyDescent="0.2">
      <c r="A74" t="str">
        <f>INDEX(Prioritization!$D:$D,MATCH($B74,Prioritization!$A:$A,0))</f>
        <v>INVALID</v>
      </c>
      <c r="B74" t="s">
        <v>316</v>
      </c>
      <c r="C74" t="s">
        <v>970</v>
      </c>
      <c r="D74" t="s">
        <v>48</v>
      </c>
      <c r="E74" t="str">
        <f t="shared" si="0"/>
        <v>Chiradzulu District [oiPR2CiVJbf]|01-04|Male</v>
      </c>
      <c r="F74" t="s">
        <v>1380</v>
      </c>
      <c r="G74" s="38"/>
      <c r="H74" s="38"/>
      <c r="I74" s="240"/>
      <c r="J74" s="33"/>
      <c r="K74" s="33"/>
      <c r="L74" s="33">
        <f t="shared" si="1"/>
        <v>1</v>
      </c>
      <c r="M74" s="33">
        <f t="shared" si="2"/>
        <v>0.2</v>
      </c>
      <c r="N74" s="38" t="str">
        <f t="shared" si="10"/>
        <v/>
      </c>
      <c r="O74" s="218" t="str">
        <f t="shared" si="4"/>
        <v/>
      </c>
      <c r="P74" s="218" t="str">
        <f t="shared" si="5"/>
        <v/>
      </c>
      <c r="Q74" s="218" t="str">
        <f t="shared" si="6"/>
        <v/>
      </c>
      <c r="R74" s="218" t="str">
        <f t="shared" si="7"/>
        <v/>
      </c>
      <c r="S74" s="246" t="str">
        <f t="shared" si="8"/>
        <v/>
      </c>
      <c r="T74" s="237" t="str">
        <f t="shared" si="9"/>
        <v/>
      </c>
    </row>
    <row r="75" spans="1:20" x14ac:dyDescent="0.2">
      <c r="A75" t="str">
        <f>INDEX(Prioritization!$D:$D,MATCH($B75,Prioritization!$A:$A,0))</f>
        <v>INVALID</v>
      </c>
      <c r="B75" t="s">
        <v>316</v>
      </c>
      <c r="C75" t="s">
        <v>971</v>
      </c>
      <c r="D75" t="s">
        <v>30</v>
      </c>
      <c r="E75" t="str">
        <f t="shared" si="0"/>
        <v>Chiradzulu District [oiPR2CiVJbf]|05-09|Female</v>
      </c>
      <c r="F75" t="s">
        <v>1380</v>
      </c>
      <c r="G75" s="38"/>
      <c r="H75" s="38"/>
      <c r="I75" s="240"/>
      <c r="J75" s="33"/>
      <c r="K75" s="33"/>
      <c r="L75" s="33">
        <f t="shared" si="1"/>
        <v>1</v>
      </c>
      <c r="M75" s="33">
        <f t="shared" si="2"/>
        <v>0.2</v>
      </c>
      <c r="N75" s="38" t="str">
        <f t="shared" si="10"/>
        <v/>
      </c>
      <c r="O75" s="218" t="str">
        <f t="shared" si="4"/>
        <v/>
      </c>
      <c r="P75" s="218" t="str">
        <f t="shared" si="5"/>
        <v/>
      </c>
      <c r="Q75" s="218" t="str">
        <f t="shared" si="6"/>
        <v/>
      </c>
      <c r="R75" s="218" t="str">
        <f t="shared" si="7"/>
        <v/>
      </c>
      <c r="S75" s="246" t="str">
        <f t="shared" si="8"/>
        <v/>
      </c>
      <c r="T75" s="218" t="str">
        <f t="shared" si="9"/>
        <v/>
      </c>
    </row>
    <row r="76" spans="1:20" x14ac:dyDescent="0.2">
      <c r="A76" t="str">
        <f>INDEX(Prioritization!$D:$D,MATCH($B76,Prioritization!$A:$A,0))</f>
        <v>INVALID</v>
      </c>
      <c r="B76" t="s">
        <v>316</v>
      </c>
      <c r="C76" t="s">
        <v>971</v>
      </c>
      <c r="D76" t="s">
        <v>48</v>
      </c>
      <c r="E76" t="str">
        <f t="shared" si="0"/>
        <v>Chiradzulu District [oiPR2CiVJbf]|05-09|Male</v>
      </c>
      <c r="F76" t="s">
        <v>1380</v>
      </c>
      <c r="G76" s="38"/>
      <c r="H76" s="38"/>
      <c r="I76" s="240"/>
      <c r="J76" s="33"/>
      <c r="K76" s="33"/>
      <c r="L76" s="33">
        <f t="shared" si="1"/>
        <v>1</v>
      </c>
      <c r="M76" s="33">
        <f t="shared" si="2"/>
        <v>0.2</v>
      </c>
      <c r="N76" s="38" t="str">
        <f t="shared" si="10"/>
        <v/>
      </c>
      <c r="O76" s="218" t="str">
        <f t="shared" si="4"/>
        <v/>
      </c>
      <c r="P76" s="218" t="str">
        <f t="shared" si="5"/>
        <v/>
      </c>
      <c r="Q76" s="218" t="str">
        <f t="shared" si="6"/>
        <v/>
      </c>
      <c r="R76" s="218" t="str">
        <f t="shared" si="7"/>
        <v/>
      </c>
      <c r="S76" s="246" t="str">
        <f t="shared" si="8"/>
        <v/>
      </c>
      <c r="T76" s="237" t="str">
        <f t="shared" si="9"/>
        <v/>
      </c>
    </row>
    <row r="77" spans="1:20" x14ac:dyDescent="0.2">
      <c r="A77" t="str">
        <f>INDEX(Prioritization!$D:$D,MATCH($B77,Prioritization!$A:$A,0))</f>
        <v>INVALID</v>
      </c>
      <c r="B77" t="s">
        <v>316</v>
      </c>
      <c r="C77" t="s">
        <v>474</v>
      </c>
      <c r="D77" t="s">
        <v>30</v>
      </c>
      <c r="E77" t="str">
        <f t="shared" si="0"/>
        <v>Chiradzulu District [oiPR2CiVJbf]|10-14|Female</v>
      </c>
      <c r="F77" t="s">
        <v>1380</v>
      </c>
      <c r="G77" s="38">
        <v>4930</v>
      </c>
      <c r="H77" s="38">
        <v>4075</v>
      </c>
      <c r="I77" s="241">
        <v>-0.379877301</v>
      </c>
      <c r="J77" s="33">
        <v>1</v>
      </c>
      <c r="K77" s="33"/>
      <c r="L77" s="33">
        <f t="shared" si="1"/>
        <v>0</v>
      </c>
      <c r="M77" s="33" t="str">
        <f t="shared" si="2"/>
        <v/>
      </c>
      <c r="N77" s="38">
        <f t="shared" si="10"/>
        <v>2527</v>
      </c>
      <c r="O77" s="218">
        <f t="shared" si="4"/>
        <v>2527</v>
      </c>
      <c r="P77" s="218" t="str">
        <f t="shared" si="5"/>
        <v/>
      </c>
      <c r="Q77" s="218" t="str">
        <f t="shared" si="6"/>
        <v/>
      </c>
      <c r="R77" s="218" t="str">
        <f t="shared" si="7"/>
        <v/>
      </c>
      <c r="S77" s="246" t="str">
        <f t="shared" si="8"/>
        <v/>
      </c>
      <c r="T77" s="218" t="str">
        <f t="shared" si="9"/>
        <v/>
      </c>
    </row>
    <row r="78" spans="1:20" x14ac:dyDescent="0.2">
      <c r="A78" t="str">
        <f>INDEX(Prioritization!$D:$D,MATCH($B78,Prioritization!$A:$A,0))</f>
        <v>INVALID</v>
      </c>
      <c r="B78" t="s">
        <v>316</v>
      </c>
      <c r="C78" t="s">
        <v>474</v>
      </c>
      <c r="D78" t="s">
        <v>48</v>
      </c>
      <c r="E78" t="str">
        <f t="shared" si="0"/>
        <v>Chiradzulu District [oiPR2CiVJbf]|10-14|Male</v>
      </c>
      <c r="F78" t="s">
        <v>1380</v>
      </c>
      <c r="G78" s="38">
        <v>3117</v>
      </c>
      <c r="H78" s="38">
        <v>2038</v>
      </c>
      <c r="I78" s="241">
        <v>0.11579980400000001</v>
      </c>
      <c r="J78" s="33"/>
      <c r="K78" s="33">
        <v>1</v>
      </c>
      <c r="L78" s="33">
        <f t="shared" si="1"/>
        <v>0</v>
      </c>
      <c r="M78" s="33" t="str">
        <f t="shared" si="2"/>
        <v/>
      </c>
      <c r="N78" s="38">
        <f t="shared" si="10"/>
        <v>2274</v>
      </c>
      <c r="O78" s="218" t="str">
        <f t="shared" si="4"/>
        <v/>
      </c>
      <c r="P78" s="218">
        <f t="shared" si="5"/>
        <v>2274</v>
      </c>
      <c r="Q78" s="218" t="str">
        <f t="shared" si="6"/>
        <v/>
      </c>
      <c r="R78" s="218" t="str">
        <f t="shared" si="7"/>
        <v/>
      </c>
      <c r="S78" s="246" t="str">
        <f t="shared" si="8"/>
        <v/>
      </c>
      <c r="T78" s="237" t="str">
        <f t="shared" si="9"/>
        <v/>
      </c>
    </row>
    <row r="79" spans="1:20" x14ac:dyDescent="0.2">
      <c r="A79" t="str">
        <f>INDEX(Prioritization!$D:$D,MATCH($B79,Prioritization!$A:$A,0))</f>
        <v>INVALID</v>
      </c>
      <c r="B79" t="s">
        <v>316</v>
      </c>
      <c r="C79" t="s">
        <v>972</v>
      </c>
      <c r="D79" t="s">
        <v>30</v>
      </c>
      <c r="E79" t="str">
        <f t="shared" ref="E79:E142" si="13">$B79&amp;"|"&amp;$C79&amp;"|"&amp;$D79</f>
        <v>Chiradzulu District [oiPR2CiVJbf]|15-17|Female</v>
      </c>
      <c r="F79" t="s">
        <v>1380</v>
      </c>
      <c r="G79" s="38"/>
      <c r="H79" s="38">
        <v>2600</v>
      </c>
      <c r="I79" s="241">
        <v>-0.47038461500000001</v>
      </c>
      <c r="J79" s="33">
        <v>1</v>
      </c>
      <c r="K79" s="33"/>
      <c r="L79" s="33">
        <f t="shared" ref="L79:L142" si="14">1-SUM(J79:K79)</f>
        <v>0</v>
      </c>
      <c r="M79" s="33" t="str">
        <f t="shared" ref="M79:M142" si="15">IF(SUM($L79)=0,"",20%)</f>
        <v/>
      </c>
      <c r="N79" s="38">
        <f t="shared" si="10"/>
        <v>1377</v>
      </c>
      <c r="O79" s="218">
        <f t="shared" ref="O79:O142" si="16">IF(OR(SUM($N79)=0,SUM($J79)=0,NOT(AND($D79="Female",$F79="Y",OR($C79="10-14",$C79="15-17")))),"",ROUND($N79*$J79,0))</f>
        <v>1377</v>
      </c>
      <c r="P79" s="218" t="str">
        <f t="shared" ref="P79:P142" si="17">IF(OR(SUM($N79)=0,SUM($K79)=0,NOT(OR($C79="10-14",$C79="05-09"))),"",ROUND($N79*$K79,0))</f>
        <v/>
      </c>
      <c r="Q79" s="218" t="str">
        <f t="shared" ref="Q79:Q142" si="18">IFERROR(1/(1/ROUND($N79*$L79*$M79,0)),"")</f>
        <v/>
      </c>
      <c r="R79" s="218" t="str">
        <f t="shared" ref="R79:R142" si="19">IFERROR(1/(1/(ROUND($N79*$L79,0)-$Q79)),"")</f>
        <v/>
      </c>
      <c r="S79" s="246" t="str">
        <f t="shared" ref="S79:S142" si="20">IF(OR($C79="18+",SUM($Q79,$R79)=0),"",100%)</f>
        <v/>
      </c>
      <c r="T79" s="218" t="str">
        <f t="shared" ref="T79:T142" si="21">IF(OR($C79="18+",SUM($Q79,$R79)=0),"",ROUND(SUM($Q79,$R79)*$S79,0))</f>
        <v/>
      </c>
    </row>
    <row r="80" spans="1:20" x14ac:dyDescent="0.2">
      <c r="A80" t="str">
        <f>INDEX(Prioritization!$D:$D,MATCH($B80,Prioritization!$A:$A,0))</f>
        <v>INVALID</v>
      </c>
      <c r="B80" t="s">
        <v>316</v>
      </c>
      <c r="C80" t="s">
        <v>972</v>
      </c>
      <c r="D80" t="s">
        <v>48</v>
      </c>
      <c r="E80" t="str">
        <f t="shared" si="13"/>
        <v>Chiradzulu District [oiPR2CiVJbf]|15-17|Male</v>
      </c>
      <c r="F80" t="s">
        <v>1380</v>
      </c>
      <c r="G80" s="38"/>
      <c r="H80" s="38"/>
      <c r="I80" s="240"/>
      <c r="J80" s="33"/>
      <c r="K80" s="33"/>
      <c r="L80" s="33">
        <f t="shared" si="14"/>
        <v>1</v>
      </c>
      <c r="M80" s="33">
        <f t="shared" si="15"/>
        <v>0.2</v>
      </c>
      <c r="N80" s="38" t="str">
        <f t="shared" ref="N80:N143" si="22">IF(SUM($H80)=0,"",ROUND($H80*(1+$I80),0))</f>
        <v/>
      </c>
      <c r="O80" s="218" t="str">
        <f t="shared" si="16"/>
        <v/>
      </c>
      <c r="P80" s="218" t="str">
        <f t="shared" si="17"/>
        <v/>
      </c>
      <c r="Q80" s="218" t="str">
        <f t="shared" si="18"/>
        <v/>
      </c>
      <c r="R80" s="218" t="str">
        <f t="shared" si="19"/>
        <v/>
      </c>
      <c r="S80" s="246" t="str">
        <f t="shared" si="20"/>
        <v/>
      </c>
      <c r="T80" s="237" t="str">
        <f t="shared" si="21"/>
        <v/>
      </c>
    </row>
    <row r="81" spans="1:20" x14ac:dyDescent="0.2">
      <c r="A81" t="str">
        <f>INDEX(Prioritization!$D:$D,MATCH($B81,Prioritization!$A:$A,0))</f>
        <v>INVALID</v>
      </c>
      <c r="B81" t="s">
        <v>316</v>
      </c>
      <c r="C81" t="s">
        <v>974</v>
      </c>
      <c r="D81" t="s">
        <v>30</v>
      </c>
      <c r="E81" t="str">
        <f t="shared" si="13"/>
        <v>Chiradzulu District [oiPR2CiVJbf]|18+|Female</v>
      </c>
      <c r="F81" t="s">
        <v>1380</v>
      </c>
      <c r="G81" s="38"/>
      <c r="H81" s="38"/>
      <c r="I81" s="240"/>
      <c r="J81" s="33"/>
      <c r="K81" s="33"/>
      <c r="L81" s="33">
        <f t="shared" si="14"/>
        <v>1</v>
      </c>
      <c r="M81" s="33">
        <f t="shared" si="15"/>
        <v>0.2</v>
      </c>
      <c r="N81" s="38" t="str">
        <f t="shared" si="22"/>
        <v/>
      </c>
      <c r="O81" s="218" t="str">
        <f t="shared" si="16"/>
        <v/>
      </c>
      <c r="P81" s="218" t="str">
        <f t="shared" si="17"/>
        <v/>
      </c>
      <c r="Q81" s="218" t="str">
        <f t="shared" si="18"/>
        <v/>
      </c>
      <c r="R81" s="218" t="str">
        <f t="shared" si="19"/>
        <v/>
      </c>
      <c r="S81" s="246" t="str">
        <f t="shared" si="20"/>
        <v/>
      </c>
      <c r="T81" s="218" t="str">
        <f t="shared" si="21"/>
        <v/>
      </c>
    </row>
    <row r="82" spans="1:20" x14ac:dyDescent="0.2">
      <c r="A82" t="str">
        <f>INDEX(Prioritization!$D:$D,MATCH($B82,Prioritization!$A:$A,0))</f>
        <v>INVALID</v>
      </c>
      <c r="B82" t="s">
        <v>316</v>
      </c>
      <c r="C82" t="s">
        <v>974</v>
      </c>
      <c r="D82" t="s">
        <v>48</v>
      </c>
      <c r="E82" t="str">
        <f t="shared" si="13"/>
        <v>Chiradzulu District [oiPR2CiVJbf]|18+|Male</v>
      </c>
      <c r="F82" t="s">
        <v>1380</v>
      </c>
      <c r="G82" s="38"/>
      <c r="H82" s="38"/>
      <c r="I82" s="240"/>
      <c r="J82" s="33"/>
      <c r="K82" s="33"/>
      <c r="L82" s="33">
        <f t="shared" si="14"/>
        <v>1</v>
      </c>
      <c r="M82" s="33">
        <f t="shared" si="15"/>
        <v>0.2</v>
      </c>
      <c r="N82" s="38" t="str">
        <f t="shared" si="22"/>
        <v/>
      </c>
      <c r="O82" s="218" t="str">
        <f t="shared" si="16"/>
        <v/>
      </c>
      <c r="P82" s="218" t="str">
        <f t="shared" si="17"/>
        <v/>
      </c>
      <c r="Q82" s="218" t="str">
        <f t="shared" si="18"/>
        <v/>
      </c>
      <c r="R82" s="218" t="str">
        <f t="shared" si="19"/>
        <v/>
      </c>
      <c r="S82" s="246" t="str">
        <f t="shared" si="20"/>
        <v/>
      </c>
      <c r="T82" s="237" t="str">
        <f t="shared" si="21"/>
        <v/>
      </c>
    </row>
    <row r="83" spans="1:20" x14ac:dyDescent="0.2">
      <c r="A83" t="str">
        <f>INDEX(Prioritization!$D:$D,MATCH($B83,Prioritization!$A:$A,0))</f>
        <v>INVALID</v>
      </c>
      <c r="B83" t="s">
        <v>316</v>
      </c>
      <c r="C83" t="s">
        <v>973</v>
      </c>
      <c r="D83" t="s">
        <v>30</v>
      </c>
      <c r="E83" t="str">
        <f t="shared" si="13"/>
        <v>Chiradzulu District [oiPR2CiVJbf]|18-20|Female</v>
      </c>
      <c r="F83" t="s">
        <v>1380</v>
      </c>
      <c r="G83" s="38"/>
      <c r="H83" s="38"/>
      <c r="I83" s="240"/>
      <c r="J83" s="33"/>
      <c r="K83" s="33"/>
      <c r="L83" s="33">
        <f t="shared" si="14"/>
        <v>1</v>
      </c>
      <c r="M83" s="33">
        <f t="shared" si="15"/>
        <v>0.2</v>
      </c>
      <c r="N83" s="38" t="str">
        <f t="shared" si="22"/>
        <v/>
      </c>
      <c r="O83" s="218" t="str">
        <f t="shared" si="16"/>
        <v/>
      </c>
      <c r="P83" s="218" t="str">
        <f t="shared" si="17"/>
        <v/>
      </c>
      <c r="Q83" s="218" t="str">
        <f t="shared" si="18"/>
        <v/>
      </c>
      <c r="R83" s="218" t="str">
        <f t="shared" si="19"/>
        <v/>
      </c>
      <c r="S83" s="246" t="str">
        <f t="shared" si="20"/>
        <v/>
      </c>
      <c r="T83" s="218" t="str">
        <f t="shared" si="21"/>
        <v/>
      </c>
    </row>
    <row r="84" spans="1:20" x14ac:dyDescent="0.2">
      <c r="A84" t="str">
        <f>INDEX(Prioritization!$D:$D,MATCH($B84,Prioritization!$A:$A,0))</f>
        <v>INVALID</v>
      </c>
      <c r="B84" t="s">
        <v>316</v>
      </c>
      <c r="C84" t="s">
        <v>973</v>
      </c>
      <c r="D84" t="s">
        <v>48</v>
      </c>
      <c r="E84" t="str">
        <f t="shared" si="13"/>
        <v>Chiradzulu District [oiPR2CiVJbf]|18-20|Male</v>
      </c>
      <c r="F84" t="s">
        <v>1380</v>
      </c>
      <c r="G84" s="38"/>
      <c r="H84" s="38"/>
      <c r="I84" s="240"/>
      <c r="J84" s="33"/>
      <c r="K84" s="33"/>
      <c r="L84" s="33">
        <f t="shared" si="14"/>
        <v>1</v>
      </c>
      <c r="M84" s="33">
        <f t="shared" si="15"/>
        <v>0.2</v>
      </c>
      <c r="N84" s="38" t="str">
        <f t="shared" si="22"/>
        <v/>
      </c>
      <c r="O84" s="218" t="str">
        <f t="shared" si="16"/>
        <v/>
      </c>
      <c r="P84" s="218" t="str">
        <f t="shared" si="17"/>
        <v/>
      </c>
      <c r="Q84" s="218" t="str">
        <f t="shared" si="18"/>
        <v/>
      </c>
      <c r="R84" s="218" t="str">
        <f t="shared" si="19"/>
        <v/>
      </c>
      <c r="S84" s="246" t="str">
        <f t="shared" si="20"/>
        <v/>
      </c>
      <c r="T84" s="237" t="str">
        <f t="shared" si="21"/>
        <v/>
      </c>
    </row>
    <row r="85" spans="1:20" x14ac:dyDescent="0.2">
      <c r="A85" t="str">
        <f>INDEX(Prioritization!$D:$D,MATCH($B85,Prioritization!$A:$A,0))</f>
        <v>4 - Sustained</v>
      </c>
      <c r="B85" t="s">
        <v>307</v>
      </c>
      <c r="C85" t="s">
        <v>426</v>
      </c>
      <c r="D85" t="s">
        <v>30</v>
      </c>
      <c r="E85" t="str">
        <f t="shared" si="13"/>
        <v>Chitipa District [GkIwZrXy1h2]|&lt;01|Female</v>
      </c>
      <c r="G85" s="38"/>
      <c r="H85" s="38"/>
      <c r="I85" s="240"/>
      <c r="J85" s="33"/>
      <c r="K85" s="33"/>
      <c r="L85" s="33">
        <f t="shared" si="14"/>
        <v>1</v>
      </c>
      <c r="M85" s="33">
        <f t="shared" si="15"/>
        <v>0.2</v>
      </c>
      <c r="N85" s="38" t="str">
        <f t="shared" si="22"/>
        <v/>
      </c>
      <c r="O85" s="218" t="str">
        <f t="shared" si="16"/>
        <v/>
      </c>
      <c r="P85" s="218" t="str">
        <f t="shared" si="17"/>
        <v/>
      </c>
      <c r="Q85" s="218" t="str">
        <f t="shared" si="18"/>
        <v/>
      </c>
      <c r="R85" s="218" t="str">
        <f t="shared" si="19"/>
        <v/>
      </c>
      <c r="S85" s="246" t="str">
        <f t="shared" si="20"/>
        <v/>
      </c>
      <c r="T85" s="218" t="str">
        <f t="shared" si="21"/>
        <v/>
      </c>
    </row>
    <row r="86" spans="1:20" x14ac:dyDescent="0.2">
      <c r="A86" t="str">
        <f>INDEX(Prioritization!$D:$D,MATCH($B86,Prioritization!$A:$A,0))</f>
        <v>4 - Sustained</v>
      </c>
      <c r="B86" t="s">
        <v>307</v>
      </c>
      <c r="C86" t="s">
        <v>426</v>
      </c>
      <c r="D86" t="s">
        <v>48</v>
      </c>
      <c r="E86" t="str">
        <f t="shared" si="13"/>
        <v>Chitipa District [GkIwZrXy1h2]|&lt;01|Male</v>
      </c>
      <c r="G86" s="38"/>
      <c r="H86" s="38"/>
      <c r="I86" s="240"/>
      <c r="J86" s="33"/>
      <c r="K86" s="33"/>
      <c r="L86" s="33">
        <f t="shared" si="14"/>
        <v>1</v>
      </c>
      <c r="M86" s="33">
        <f t="shared" si="15"/>
        <v>0.2</v>
      </c>
      <c r="N86" s="38" t="str">
        <f t="shared" si="22"/>
        <v/>
      </c>
      <c r="O86" s="218" t="str">
        <f t="shared" si="16"/>
        <v/>
      </c>
      <c r="P86" s="218" t="str">
        <f t="shared" si="17"/>
        <v/>
      </c>
      <c r="Q86" s="218" t="str">
        <f t="shared" si="18"/>
        <v/>
      </c>
      <c r="R86" s="218" t="str">
        <f t="shared" si="19"/>
        <v/>
      </c>
      <c r="S86" s="246" t="str">
        <f t="shared" si="20"/>
        <v/>
      </c>
      <c r="T86" s="237" t="str">
        <f t="shared" si="21"/>
        <v/>
      </c>
    </row>
    <row r="87" spans="1:20" x14ac:dyDescent="0.2">
      <c r="A87" t="str">
        <f>INDEX(Prioritization!$D:$D,MATCH($B87,Prioritization!$A:$A,0))</f>
        <v>4 - Sustained</v>
      </c>
      <c r="B87" t="s">
        <v>307</v>
      </c>
      <c r="C87" t="s">
        <v>970</v>
      </c>
      <c r="D87" t="s">
        <v>30</v>
      </c>
      <c r="E87" t="str">
        <f t="shared" si="13"/>
        <v>Chitipa District [GkIwZrXy1h2]|01-04|Female</v>
      </c>
      <c r="G87" s="38"/>
      <c r="H87" s="38"/>
      <c r="I87" s="240"/>
      <c r="J87" s="33"/>
      <c r="K87" s="33"/>
      <c r="L87" s="33">
        <f t="shared" si="14"/>
        <v>1</v>
      </c>
      <c r="M87" s="33">
        <f t="shared" si="15"/>
        <v>0.2</v>
      </c>
      <c r="N87" s="38" t="str">
        <f t="shared" si="22"/>
        <v/>
      </c>
      <c r="O87" s="218" t="str">
        <f t="shared" si="16"/>
        <v/>
      </c>
      <c r="P87" s="218" t="str">
        <f t="shared" si="17"/>
        <v/>
      </c>
      <c r="Q87" s="218" t="str">
        <f t="shared" si="18"/>
        <v/>
      </c>
      <c r="R87" s="218" t="str">
        <f t="shared" si="19"/>
        <v/>
      </c>
      <c r="S87" s="246" t="str">
        <f t="shared" si="20"/>
        <v/>
      </c>
      <c r="T87" s="218" t="str">
        <f t="shared" si="21"/>
        <v/>
      </c>
    </row>
    <row r="88" spans="1:20" x14ac:dyDescent="0.2">
      <c r="A88" t="str">
        <f>INDEX(Prioritization!$D:$D,MATCH($B88,Prioritization!$A:$A,0))</f>
        <v>4 - Sustained</v>
      </c>
      <c r="B88" t="s">
        <v>307</v>
      </c>
      <c r="C88" t="s">
        <v>970</v>
      </c>
      <c r="D88" t="s">
        <v>48</v>
      </c>
      <c r="E88" t="str">
        <f t="shared" si="13"/>
        <v>Chitipa District [GkIwZrXy1h2]|01-04|Male</v>
      </c>
      <c r="G88" s="38"/>
      <c r="H88" s="38"/>
      <c r="I88" s="240"/>
      <c r="J88" s="33"/>
      <c r="K88" s="33"/>
      <c r="L88" s="33">
        <f t="shared" si="14"/>
        <v>1</v>
      </c>
      <c r="M88" s="33">
        <f t="shared" si="15"/>
        <v>0.2</v>
      </c>
      <c r="N88" s="38" t="str">
        <f t="shared" si="22"/>
        <v/>
      </c>
      <c r="O88" s="218" t="str">
        <f t="shared" si="16"/>
        <v/>
      </c>
      <c r="P88" s="218" t="str">
        <f t="shared" si="17"/>
        <v/>
      </c>
      <c r="Q88" s="218" t="str">
        <f t="shared" si="18"/>
        <v/>
      </c>
      <c r="R88" s="218" t="str">
        <f t="shared" si="19"/>
        <v/>
      </c>
      <c r="S88" s="246" t="str">
        <f t="shared" si="20"/>
        <v/>
      </c>
      <c r="T88" s="237" t="str">
        <f t="shared" si="21"/>
        <v/>
      </c>
    </row>
    <row r="89" spans="1:20" x14ac:dyDescent="0.2">
      <c r="A89" t="str">
        <f>INDEX(Prioritization!$D:$D,MATCH($B89,Prioritization!$A:$A,0))</f>
        <v>4 - Sustained</v>
      </c>
      <c r="B89" t="s">
        <v>307</v>
      </c>
      <c r="C89" t="s">
        <v>971</v>
      </c>
      <c r="D89" t="s">
        <v>30</v>
      </c>
      <c r="E89" t="str">
        <f t="shared" si="13"/>
        <v>Chitipa District [GkIwZrXy1h2]|05-09|Female</v>
      </c>
      <c r="G89" s="38"/>
      <c r="H89" s="38"/>
      <c r="I89" s="240"/>
      <c r="J89" s="33"/>
      <c r="K89" s="33"/>
      <c r="L89" s="33">
        <f t="shared" si="14"/>
        <v>1</v>
      </c>
      <c r="M89" s="33">
        <f t="shared" si="15"/>
        <v>0.2</v>
      </c>
      <c r="N89" s="38" t="str">
        <f t="shared" si="22"/>
        <v/>
      </c>
      <c r="O89" s="218" t="str">
        <f t="shared" si="16"/>
        <v/>
      </c>
      <c r="P89" s="218" t="str">
        <f t="shared" si="17"/>
        <v/>
      </c>
      <c r="Q89" s="218" t="str">
        <f t="shared" si="18"/>
        <v/>
      </c>
      <c r="R89" s="218" t="str">
        <f t="shared" si="19"/>
        <v/>
      </c>
      <c r="S89" s="246" t="str">
        <f t="shared" si="20"/>
        <v/>
      </c>
      <c r="T89" s="218" t="str">
        <f t="shared" si="21"/>
        <v/>
      </c>
    </row>
    <row r="90" spans="1:20" x14ac:dyDescent="0.2">
      <c r="A90" t="str">
        <f>INDEX(Prioritization!$D:$D,MATCH($B90,Prioritization!$A:$A,0))</f>
        <v>4 - Sustained</v>
      </c>
      <c r="B90" t="s">
        <v>307</v>
      </c>
      <c r="C90" t="s">
        <v>971</v>
      </c>
      <c r="D90" t="s">
        <v>48</v>
      </c>
      <c r="E90" t="str">
        <f t="shared" si="13"/>
        <v>Chitipa District [GkIwZrXy1h2]|05-09|Male</v>
      </c>
      <c r="G90" s="38"/>
      <c r="H90" s="38"/>
      <c r="I90" s="240"/>
      <c r="J90" s="33"/>
      <c r="K90" s="33"/>
      <c r="L90" s="33">
        <f t="shared" si="14"/>
        <v>1</v>
      </c>
      <c r="M90" s="33">
        <f t="shared" si="15"/>
        <v>0.2</v>
      </c>
      <c r="N90" s="38" t="str">
        <f t="shared" si="22"/>
        <v/>
      </c>
      <c r="O90" s="218" t="str">
        <f t="shared" si="16"/>
        <v/>
      </c>
      <c r="P90" s="218" t="str">
        <f t="shared" si="17"/>
        <v/>
      </c>
      <c r="Q90" s="218" t="str">
        <f t="shared" si="18"/>
        <v/>
      </c>
      <c r="R90" s="218" t="str">
        <f t="shared" si="19"/>
        <v/>
      </c>
      <c r="S90" s="246" t="str">
        <f t="shared" si="20"/>
        <v/>
      </c>
      <c r="T90" s="237" t="str">
        <f t="shared" si="21"/>
        <v/>
      </c>
    </row>
    <row r="91" spans="1:20" x14ac:dyDescent="0.2">
      <c r="A91" t="str">
        <f>INDEX(Prioritization!$D:$D,MATCH($B91,Prioritization!$A:$A,0))</f>
        <v>4 - Sustained</v>
      </c>
      <c r="B91" t="s">
        <v>307</v>
      </c>
      <c r="C91" t="s">
        <v>474</v>
      </c>
      <c r="D91" t="s">
        <v>30</v>
      </c>
      <c r="E91" t="str">
        <f t="shared" si="13"/>
        <v>Chitipa District [GkIwZrXy1h2]|10-14|Female</v>
      </c>
      <c r="G91" s="38"/>
      <c r="H91" s="38">
        <v>1</v>
      </c>
      <c r="I91" s="239">
        <v>39</v>
      </c>
      <c r="J91" s="33"/>
      <c r="K91" s="33">
        <v>1</v>
      </c>
      <c r="L91" s="33">
        <f t="shared" si="14"/>
        <v>0</v>
      </c>
      <c r="M91" s="33" t="str">
        <f t="shared" si="15"/>
        <v/>
      </c>
      <c r="N91" s="229">
        <f t="shared" si="22"/>
        <v>40</v>
      </c>
      <c r="O91" s="237" t="str">
        <f>IF(OR(SUM($N91)=0,SUM($J91)=0,NOT(AND($D91="Female",$F91="Y",OR($C91="10-14",$C91="15-17")))),"",ROUND($N91*$J91,0))</f>
        <v/>
      </c>
      <c r="P91" s="218">
        <f t="shared" si="17"/>
        <v>40</v>
      </c>
      <c r="Q91" s="218" t="str">
        <f t="shared" si="18"/>
        <v/>
      </c>
      <c r="R91" s="218" t="str">
        <f t="shared" si="19"/>
        <v/>
      </c>
      <c r="S91" s="246" t="str">
        <f t="shared" si="20"/>
        <v/>
      </c>
      <c r="T91" s="218" t="str">
        <f t="shared" si="21"/>
        <v/>
      </c>
    </row>
    <row r="92" spans="1:20" x14ac:dyDescent="0.2">
      <c r="A92" t="str">
        <f>INDEX(Prioritization!$D:$D,MATCH($B92,Prioritization!$A:$A,0))</f>
        <v>4 - Sustained</v>
      </c>
      <c r="B92" t="s">
        <v>307</v>
      </c>
      <c r="C92" t="s">
        <v>474</v>
      </c>
      <c r="D92" t="s">
        <v>48</v>
      </c>
      <c r="E92" t="str">
        <f t="shared" si="13"/>
        <v>Chitipa District [GkIwZrXy1h2]|10-14|Male</v>
      </c>
      <c r="G92" s="38"/>
      <c r="H92" s="38">
        <v>1</v>
      </c>
      <c r="I92" s="239">
        <v>29</v>
      </c>
      <c r="J92" s="33"/>
      <c r="K92" s="33">
        <v>1</v>
      </c>
      <c r="L92" s="33">
        <f t="shared" si="14"/>
        <v>0</v>
      </c>
      <c r="M92" s="33" t="str">
        <f t="shared" si="15"/>
        <v/>
      </c>
      <c r="N92" s="229">
        <f t="shared" si="22"/>
        <v>30</v>
      </c>
      <c r="O92" s="218" t="str">
        <f t="shared" si="16"/>
        <v/>
      </c>
      <c r="P92" s="218">
        <f t="shared" si="17"/>
        <v>30</v>
      </c>
      <c r="Q92" s="218" t="str">
        <f t="shared" si="18"/>
        <v/>
      </c>
      <c r="R92" s="218" t="str">
        <f t="shared" si="19"/>
        <v/>
      </c>
      <c r="S92" s="246" t="str">
        <f t="shared" si="20"/>
        <v/>
      </c>
      <c r="T92" s="237" t="str">
        <f t="shared" si="21"/>
        <v/>
      </c>
    </row>
    <row r="93" spans="1:20" x14ac:dyDescent="0.2">
      <c r="A93" t="str">
        <f>INDEX(Prioritization!$D:$D,MATCH($B93,Prioritization!$A:$A,0))</f>
        <v>4 - Sustained</v>
      </c>
      <c r="B93" t="s">
        <v>307</v>
      </c>
      <c r="C93" t="s">
        <v>972</v>
      </c>
      <c r="D93" t="s">
        <v>30</v>
      </c>
      <c r="E93" t="str">
        <f t="shared" si="13"/>
        <v>Chitipa District [GkIwZrXy1h2]|15-17|Female</v>
      </c>
      <c r="G93" s="38"/>
      <c r="H93" s="38"/>
      <c r="I93" s="240"/>
      <c r="J93" s="33"/>
      <c r="K93" s="33"/>
      <c r="L93" s="33">
        <f t="shared" si="14"/>
        <v>1</v>
      </c>
      <c r="M93" s="33">
        <f t="shared" si="15"/>
        <v>0.2</v>
      </c>
      <c r="N93" s="38" t="str">
        <f t="shared" si="22"/>
        <v/>
      </c>
      <c r="O93" s="218" t="str">
        <f t="shared" si="16"/>
        <v/>
      </c>
      <c r="P93" s="218" t="str">
        <f t="shared" si="17"/>
        <v/>
      </c>
      <c r="Q93" s="218" t="str">
        <f t="shared" si="18"/>
        <v/>
      </c>
      <c r="R93" s="218" t="str">
        <f t="shared" si="19"/>
        <v/>
      </c>
      <c r="S93" s="246" t="str">
        <f t="shared" si="20"/>
        <v/>
      </c>
      <c r="T93" s="218" t="str">
        <f t="shared" si="21"/>
        <v/>
      </c>
    </row>
    <row r="94" spans="1:20" x14ac:dyDescent="0.2">
      <c r="A94" t="str">
        <f>INDEX(Prioritization!$D:$D,MATCH($B94,Prioritization!$A:$A,0))</f>
        <v>4 - Sustained</v>
      </c>
      <c r="B94" t="s">
        <v>307</v>
      </c>
      <c r="C94" t="s">
        <v>972</v>
      </c>
      <c r="D94" t="s">
        <v>48</v>
      </c>
      <c r="E94" t="str">
        <f t="shared" si="13"/>
        <v>Chitipa District [GkIwZrXy1h2]|15-17|Male</v>
      </c>
      <c r="G94" s="38"/>
      <c r="H94" s="38"/>
      <c r="I94" s="240"/>
      <c r="J94" s="33"/>
      <c r="K94" s="33"/>
      <c r="L94" s="33">
        <f t="shared" si="14"/>
        <v>1</v>
      </c>
      <c r="M94" s="33">
        <f t="shared" si="15"/>
        <v>0.2</v>
      </c>
      <c r="N94" s="38" t="str">
        <f t="shared" si="22"/>
        <v/>
      </c>
      <c r="O94" s="218" t="str">
        <f t="shared" si="16"/>
        <v/>
      </c>
      <c r="P94" s="218" t="str">
        <f t="shared" si="17"/>
        <v/>
      </c>
      <c r="Q94" s="218" t="str">
        <f t="shared" si="18"/>
        <v/>
      </c>
      <c r="R94" s="218" t="str">
        <f t="shared" si="19"/>
        <v/>
      </c>
      <c r="S94" s="246" t="str">
        <f t="shared" si="20"/>
        <v/>
      </c>
      <c r="T94" s="237" t="str">
        <f t="shared" si="21"/>
        <v/>
      </c>
    </row>
    <row r="95" spans="1:20" x14ac:dyDescent="0.2">
      <c r="A95" t="str">
        <f>INDEX(Prioritization!$D:$D,MATCH($B95,Prioritization!$A:$A,0))</f>
        <v>4 - Sustained</v>
      </c>
      <c r="B95" t="s">
        <v>307</v>
      </c>
      <c r="C95" t="s">
        <v>974</v>
      </c>
      <c r="D95" t="s">
        <v>30</v>
      </c>
      <c r="E95" t="str">
        <f t="shared" si="13"/>
        <v>Chitipa District [GkIwZrXy1h2]|18+|Female</v>
      </c>
      <c r="G95" s="38"/>
      <c r="H95" s="38"/>
      <c r="I95" s="240"/>
      <c r="J95" s="33"/>
      <c r="K95" s="33"/>
      <c r="L95" s="33">
        <f t="shared" si="14"/>
        <v>1</v>
      </c>
      <c r="M95" s="33">
        <f t="shared" si="15"/>
        <v>0.2</v>
      </c>
      <c r="N95" s="38" t="str">
        <f t="shared" si="22"/>
        <v/>
      </c>
      <c r="O95" s="218" t="str">
        <f t="shared" si="16"/>
        <v/>
      </c>
      <c r="P95" s="218" t="str">
        <f t="shared" si="17"/>
        <v/>
      </c>
      <c r="Q95" s="218" t="str">
        <f t="shared" si="18"/>
        <v/>
      </c>
      <c r="R95" s="218" t="str">
        <f t="shared" si="19"/>
        <v/>
      </c>
      <c r="S95" s="246" t="str">
        <f t="shared" si="20"/>
        <v/>
      </c>
      <c r="T95" s="218" t="str">
        <f t="shared" si="21"/>
        <v/>
      </c>
    </row>
    <row r="96" spans="1:20" x14ac:dyDescent="0.2">
      <c r="A96" t="str">
        <f>INDEX(Prioritization!$D:$D,MATCH($B96,Prioritization!$A:$A,0))</f>
        <v>4 - Sustained</v>
      </c>
      <c r="B96" t="s">
        <v>307</v>
      </c>
      <c r="C96" t="s">
        <v>974</v>
      </c>
      <c r="D96" t="s">
        <v>48</v>
      </c>
      <c r="E96" t="str">
        <f t="shared" si="13"/>
        <v>Chitipa District [GkIwZrXy1h2]|18+|Male</v>
      </c>
      <c r="G96" s="38"/>
      <c r="H96" s="38"/>
      <c r="I96" s="240"/>
      <c r="J96" s="33"/>
      <c r="K96" s="33"/>
      <c r="L96" s="33">
        <f t="shared" si="14"/>
        <v>1</v>
      </c>
      <c r="M96" s="33">
        <f t="shared" si="15"/>
        <v>0.2</v>
      </c>
      <c r="N96" s="38" t="str">
        <f t="shared" si="22"/>
        <v/>
      </c>
      <c r="O96" s="218" t="str">
        <f t="shared" si="16"/>
        <v/>
      </c>
      <c r="P96" s="218" t="str">
        <f t="shared" si="17"/>
        <v/>
      </c>
      <c r="Q96" s="218" t="str">
        <f t="shared" si="18"/>
        <v/>
      </c>
      <c r="R96" s="218" t="str">
        <f t="shared" si="19"/>
        <v/>
      </c>
      <c r="S96" s="246" t="str">
        <f t="shared" si="20"/>
        <v/>
      </c>
      <c r="T96" s="237" t="str">
        <f t="shared" si="21"/>
        <v/>
      </c>
    </row>
    <row r="97" spans="1:20" x14ac:dyDescent="0.2">
      <c r="A97" t="str">
        <f>INDEX(Prioritization!$D:$D,MATCH($B97,Prioritization!$A:$A,0))</f>
        <v>4 - Sustained</v>
      </c>
      <c r="B97" t="s">
        <v>307</v>
      </c>
      <c r="C97" t="s">
        <v>973</v>
      </c>
      <c r="D97" t="s">
        <v>30</v>
      </c>
      <c r="E97" t="str">
        <f t="shared" si="13"/>
        <v>Chitipa District [GkIwZrXy1h2]|18-20|Female</v>
      </c>
      <c r="G97" s="38"/>
      <c r="H97" s="38"/>
      <c r="I97" s="240"/>
      <c r="J97" s="33"/>
      <c r="K97" s="33"/>
      <c r="L97" s="33">
        <f t="shared" si="14"/>
        <v>1</v>
      </c>
      <c r="M97" s="33">
        <f t="shared" si="15"/>
        <v>0.2</v>
      </c>
      <c r="N97" s="38" t="str">
        <f t="shared" si="22"/>
        <v/>
      </c>
      <c r="O97" s="218" t="str">
        <f t="shared" si="16"/>
        <v/>
      </c>
      <c r="P97" s="218" t="str">
        <f t="shared" si="17"/>
        <v/>
      </c>
      <c r="Q97" s="218" t="str">
        <f t="shared" si="18"/>
        <v/>
      </c>
      <c r="R97" s="218" t="str">
        <f t="shared" si="19"/>
        <v/>
      </c>
      <c r="S97" s="246" t="str">
        <f t="shared" si="20"/>
        <v/>
      </c>
      <c r="T97" s="218" t="str">
        <f t="shared" si="21"/>
        <v/>
      </c>
    </row>
    <row r="98" spans="1:20" x14ac:dyDescent="0.2">
      <c r="A98" t="str">
        <f>INDEX(Prioritization!$D:$D,MATCH($B98,Prioritization!$A:$A,0))</f>
        <v>4 - Sustained</v>
      </c>
      <c r="B98" t="s">
        <v>307</v>
      </c>
      <c r="C98" t="s">
        <v>973</v>
      </c>
      <c r="D98" t="s">
        <v>48</v>
      </c>
      <c r="E98" t="str">
        <f t="shared" si="13"/>
        <v>Chitipa District [GkIwZrXy1h2]|18-20|Male</v>
      </c>
      <c r="G98" s="38"/>
      <c r="H98" s="38"/>
      <c r="I98" s="240"/>
      <c r="J98" s="33"/>
      <c r="K98" s="33"/>
      <c r="L98" s="33">
        <f t="shared" si="14"/>
        <v>1</v>
      </c>
      <c r="M98" s="33">
        <f t="shared" si="15"/>
        <v>0.2</v>
      </c>
      <c r="N98" s="38" t="str">
        <f t="shared" si="22"/>
        <v/>
      </c>
      <c r="O98" s="218" t="str">
        <f t="shared" si="16"/>
        <v/>
      </c>
      <c r="P98" s="218" t="str">
        <f t="shared" si="17"/>
        <v/>
      </c>
      <c r="Q98" s="218" t="str">
        <f t="shared" si="18"/>
        <v/>
      </c>
      <c r="R98" s="218" t="str">
        <f t="shared" si="19"/>
        <v/>
      </c>
      <c r="S98" s="246" t="str">
        <f t="shared" si="20"/>
        <v/>
      </c>
      <c r="T98" s="237" t="str">
        <f t="shared" si="21"/>
        <v/>
      </c>
    </row>
    <row r="99" spans="1:20" x14ac:dyDescent="0.2">
      <c r="A99" t="str">
        <f>INDEX(Prioritization!$D:$D,MATCH($B99,Prioritization!$A:$A,0))</f>
        <v>4 - Sustained</v>
      </c>
      <c r="B99" t="s">
        <v>298</v>
      </c>
      <c r="C99" t="s">
        <v>426</v>
      </c>
      <c r="D99" t="s">
        <v>30</v>
      </c>
      <c r="E99" t="str">
        <f t="shared" si="13"/>
        <v>Dedza District [PekKUkKHAzY]|&lt;01|Female</v>
      </c>
      <c r="G99" s="38"/>
      <c r="H99" s="38"/>
      <c r="I99" s="240"/>
      <c r="J99" s="33"/>
      <c r="K99" s="33"/>
      <c r="L99" s="33">
        <f t="shared" si="14"/>
        <v>1</v>
      </c>
      <c r="M99" s="33">
        <f t="shared" si="15"/>
        <v>0.2</v>
      </c>
      <c r="N99" s="38" t="str">
        <f t="shared" si="22"/>
        <v/>
      </c>
      <c r="O99" s="218" t="str">
        <f t="shared" si="16"/>
        <v/>
      </c>
      <c r="P99" s="218" t="str">
        <f t="shared" si="17"/>
        <v/>
      </c>
      <c r="Q99" s="218" t="str">
        <f t="shared" si="18"/>
        <v/>
      </c>
      <c r="R99" s="218" t="str">
        <f t="shared" si="19"/>
        <v/>
      </c>
      <c r="S99" s="246" t="str">
        <f t="shared" si="20"/>
        <v/>
      </c>
      <c r="T99" s="218" t="str">
        <f t="shared" si="21"/>
        <v/>
      </c>
    </row>
    <row r="100" spans="1:20" x14ac:dyDescent="0.2">
      <c r="A100" t="str">
        <f>INDEX(Prioritization!$D:$D,MATCH($B100,Prioritization!$A:$A,0))</f>
        <v>4 - Sustained</v>
      </c>
      <c r="B100" t="s">
        <v>298</v>
      </c>
      <c r="C100" t="s">
        <v>426</v>
      </c>
      <c r="D100" t="s">
        <v>48</v>
      </c>
      <c r="E100" t="str">
        <f t="shared" si="13"/>
        <v>Dedza District [PekKUkKHAzY]|&lt;01|Male</v>
      </c>
      <c r="G100" s="38"/>
      <c r="H100" s="38"/>
      <c r="I100" s="240"/>
      <c r="J100" s="33"/>
      <c r="K100" s="33"/>
      <c r="L100" s="33">
        <f t="shared" si="14"/>
        <v>1</v>
      </c>
      <c r="M100" s="33">
        <f t="shared" si="15"/>
        <v>0.2</v>
      </c>
      <c r="N100" s="38" t="str">
        <f t="shared" si="22"/>
        <v/>
      </c>
      <c r="O100" s="218" t="str">
        <f t="shared" si="16"/>
        <v/>
      </c>
      <c r="P100" s="218" t="str">
        <f t="shared" si="17"/>
        <v/>
      </c>
      <c r="Q100" s="218" t="str">
        <f t="shared" si="18"/>
        <v/>
      </c>
      <c r="R100" s="218" t="str">
        <f t="shared" si="19"/>
        <v/>
      </c>
      <c r="S100" s="246" t="str">
        <f t="shared" si="20"/>
        <v/>
      </c>
      <c r="T100" s="237" t="str">
        <f t="shared" si="21"/>
        <v/>
      </c>
    </row>
    <row r="101" spans="1:20" x14ac:dyDescent="0.2">
      <c r="A101" t="str">
        <f>INDEX(Prioritization!$D:$D,MATCH($B101,Prioritization!$A:$A,0))</f>
        <v>4 - Sustained</v>
      </c>
      <c r="B101" s="1" t="s">
        <v>298</v>
      </c>
      <c r="C101" s="1" t="s">
        <v>970</v>
      </c>
      <c r="D101" s="1" t="s">
        <v>30</v>
      </c>
      <c r="E101" t="str">
        <f t="shared" si="13"/>
        <v>Dedza District [PekKUkKHAzY]|01-04|Female</v>
      </c>
      <c r="F101" s="26"/>
      <c r="G101" s="26"/>
      <c r="H101" s="38"/>
      <c r="I101" s="240"/>
      <c r="J101" s="33"/>
      <c r="K101" s="33"/>
      <c r="L101" s="33">
        <f t="shared" si="14"/>
        <v>1</v>
      </c>
      <c r="M101" s="33">
        <f t="shared" si="15"/>
        <v>0.2</v>
      </c>
      <c r="N101" s="229" t="str">
        <f t="shared" si="22"/>
        <v/>
      </c>
      <c r="O101" s="2" t="str">
        <f t="shared" si="16"/>
        <v/>
      </c>
      <c r="P101" s="2" t="str">
        <f t="shared" si="17"/>
        <v/>
      </c>
      <c r="Q101" s="2" t="str">
        <f t="shared" si="18"/>
        <v/>
      </c>
      <c r="R101" s="2" t="str">
        <f t="shared" si="19"/>
        <v/>
      </c>
      <c r="S101" s="246" t="str">
        <f t="shared" si="20"/>
        <v/>
      </c>
      <c r="T101" s="237" t="str">
        <f t="shared" si="21"/>
        <v/>
      </c>
    </row>
    <row r="102" spans="1:20" x14ac:dyDescent="0.2">
      <c r="A102" t="str">
        <f>INDEX(Prioritization!$D:$D,MATCH($B102,Prioritization!$A:$A,0))</f>
        <v>4 - Sustained</v>
      </c>
      <c r="B102" t="s">
        <v>298</v>
      </c>
      <c r="C102" t="s">
        <v>970</v>
      </c>
      <c r="D102" t="s">
        <v>48</v>
      </c>
      <c r="E102" t="str">
        <f t="shared" si="13"/>
        <v>Dedza District [PekKUkKHAzY]|01-04|Male</v>
      </c>
      <c r="G102" s="38"/>
      <c r="H102" s="38"/>
      <c r="I102" s="240"/>
      <c r="J102" s="33"/>
      <c r="K102" s="33"/>
      <c r="L102" s="33">
        <f t="shared" si="14"/>
        <v>1</v>
      </c>
      <c r="M102" s="33">
        <f t="shared" si="15"/>
        <v>0.2</v>
      </c>
      <c r="N102" s="38" t="str">
        <f t="shared" si="22"/>
        <v/>
      </c>
      <c r="O102" s="218" t="str">
        <f t="shared" si="16"/>
        <v/>
      </c>
      <c r="P102" s="218" t="str">
        <f t="shared" si="17"/>
        <v/>
      </c>
      <c r="Q102" s="218" t="str">
        <f t="shared" si="18"/>
        <v/>
      </c>
      <c r="R102" s="218" t="str">
        <f t="shared" si="19"/>
        <v/>
      </c>
      <c r="S102" s="246" t="str">
        <f t="shared" si="20"/>
        <v/>
      </c>
      <c r="T102" s="237" t="str">
        <f t="shared" si="21"/>
        <v/>
      </c>
    </row>
    <row r="103" spans="1:20" x14ac:dyDescent="0.2">
      <c r="A103" t="str">
        <f>INDEX(Prioritization!$D:$D,MATCH($B103,Prioritization!$A:$A,0))</f>
        <v>4 - Sustained</v>
      </c>
      <c r="B103" t="s">
        <v>298</v>
      </c>
      <c r="C103" t="s">
        <v>971</v>
      </c>
      <c r="D103" t="s">
        <v>30</v>
      </c>
      <c r="E103" t="str">
        <f t="shared" si="13"/>
        <v>Dedza District [PekKUkKHAzY]|05-09|Female</v>
      </c>
      <c r="G103" s="38"/>
      <c r="H103" s="38"/>
      <c r="I103" s="240"/>
      <c r="J103" s="33"/>
      <c r="K103" s="33"/>
      <c r="L103" s="33">
        <f t="shared" si="14"/>
        <v>1</v>
      </c>
      <c r="M103" s="33">
        <f t="shared" si="15"/>
        <v>0.2</v>
      </c>
      <c r="N103" s="38" t="str">
        <f t="shared" si="22"/>
        <v/>
      </c>
      <c r="O103" s="218" t="str">
        <f t="shared" si="16"/>
        <v/>
      </c>
      <c r="P103" s="218" t="str">
        <f t="shared" si="17"/>
        <v/>
      </c>
      <c r="Q103" s="218" t="str">
        <f t="shared" si="18"/>
        <v/>
      </c>
      <c r="R103" s="218" t="str">
        <f t="shared" si="19"/>
        <v/>
      </c>
      <c r="S103" s="246" t="str">
        <f t="shared" si="20"/>
        <v/>
      </c>
      <c r="T103" s="218" t="str">
        <f t="shared" si="21"/>
        <v/>
      </c>
    </row>
    <row r="104" spans="1:20" x14ac:dyDescent="0.2">
      <c r="A104" t="str">
        <f>INDEX(Prioritization!$D:$D,MATCH($B104,Prioritization!$A:$A,0))</f>
        <v>4 - Sustained</v>
      </c>
      <c r="B104" t="s">
        <v>298</v>
      </c>
      <c r="C104" t="s">
        <v>971</v>
      </c>
      <c r="D104" t="s">
        <v>48</v>
      </c>
      <c r="E104" t="str">
        <f t="shared" si="13"/>
        <v>Dedza District [PekKUkKHAzY]|05-09|Male</v>
      </c>
      <c r="G104" s="38"/>
      <c r="H104" s="38"/>
      <c r="I104" s="240"/>
      <c r="J104" s="33"/>
      <c r="K104" s="33"/>
      <c r="L104" s="33">
        <f t="shared" si="14"/>
        <v>1</v>
      </c>
      <c r="M104" s="33">
        <f t="shared" si="15"/>
        <v>0.2</v>
      </c>
      <c r="N104" s="38" t="str">
        <f t="shared" si="22"/>
        <v/>
      </c>
      <c r="O104" s="218" t="str">
        <f t="shared" si="16"/>
        <v/>
      </c>
      <c r="P104" s="218" t="str">
        <f t="shared" si="17"/>
        <v/>
      </c>
      <c r="Q104" s="218" t="str">
        <f t="shared" si="18"/>
        <v/>
      </c>
      <c r="R104" s="218" t="str">
        <f t="shared" si="19"/>
        <v/>
      </c>
      <c r="S104" s="246" t="str">
        <f t="shared" si="20"/>
        <v/>
      </c>
      <c r="T104" s="237" t="str">
        <f t="shared" si="21"/>
        <v/>
      </c>
    </row>
    <row r="105" spans="1:20" x14ac:dyDescent="0.2">
      <c r="A105" t="str">
        <f>INDEX(Prioritization!$D:$D,MATCH($B105,Prioritization!$A:$A,0))</f>
        <v>4 - Sustained</v>
      </c>
      <c r="B105" t="s">
        <v>298</v>
      </c>
      <c r="C105" t="s">
        <v>474</v>
      </c>
      <c r="D105" t="s">
        <v>30</v>
      </c>
      <c r="E105" t="str">
        <f t="shared" si="13"/>
        <v>Dedza District [PekKUkKHAzY]|10-14|Female</v>
      </c>
      <c r="G105" s="38"/>
      <c r="H105" s="38">
        <v>112</v>
      </c>
      <c r="I105" s="241">
        <v>-0.46428571400000002</v>
      </c>
      <c r="J105" s="33"/>
      <c r="K105" s="33">
        <v>1</v>
      </c>
      <c r="L105" s="33">
        <f t="shared" si="14"/>
        <v>0</v>
      </c>
      <c r="M105" s="33" t="str">
        <f t="shared" si="15"/>
        <v/>
      </c>
      <c r="N105" s="38">
        <f t="shared" si="22"/>
        <v>60</v>
      </c>
      <c r="O105" s="218" t="str">
        <f t="shared" si="16"/>
        <v/>
      </c>
      <c r="P105" s="218">
        <f t="shared" si="17"/>
        <v>60</v>
      </c>
      <c r="Q105" s="218" t="str">
        <f t="shared" si="18"/>
        <v/>
      </c>
      <c r="R105" s="218" t="str">
        <f t="shared" si="19"/>
        <v/>
      </c>
      <c r="S105" s="246" t="str">
        <f t="shared" si="20"/>
        <v/>
      </c>
      <c r="T105" s="218" t="str">
        <f t="shared" si="21"/>
        <v/>
      </c>
    </row>
    <row r="106" spans="1:20" x14ac:dyDescent="0.2">
      <c r="A106" t="str">
        <f>INDEX(Prioritization!$D:$D,MATCH($B106,Prioritization!$A:$A,0))</f>
        <v>4 - Sustained</v>
      </c>
      <c r="B106" t="s">
        <v>298</v>
      </c>
      <c r="C106" t="s">
        <v>474</v>
      </c>
      <c r="D106" t="s">
        <v>48</v>
      </c>
      <c r="E106" t="str">
        <f t="shared" si="13"/>
        <v>Dedza District [PekKUkKHAzY]|10-14|Male</v>
      </c>
      <c r="G106" s="38"/>
      <c r="H106" s="38">
        <v>88</v>
      </c>
      <c r="I106" s="241">
        <v>-0.48863636399999999</v>
      </c>
      <c r="J106" s="33"/>
      <c r="K106" s="33">
        <v>1</v>
      </c>
      <c r="L106" s="33">
        <f t="shared" si="14"/>
        <v>0</v>
      </c>
      <c r="M106" s="33" t="str">
        <f t="shared" si="15"/>
        <v/>
      </c>
      <c r="N106" s="38">
        <f t="shared" si="22"/>
        <v>45</v>
      </c>
      <c r="O106" s="218" t="str">
        <f t="shared" si="16"/>
        <v/>
      </c>
      <c r="P106" s="218">
        <f t="shared" si="17"/>
        <v>45</v>
      </c>
      <c r="Q106" s="218" t="str">
        <f t="shared" si="18"/>
        <v/>
      </c>
      <c r="R106" s="218" t="str">
        <f t="shared" si="19"/>
        <v/>
      </c>
      <c r="S106" s="246" t="str">
        <f t="shared" si="20"/>
        <v/>
      </c>
      <c r="T106" s="237" t="str">
        <f t="shared" si="21"/>
        <v/>
      </c>
    </row>
    <row r="107" spans="1:20" x14ac:dyDescent="0.2">
      <c r="A107" t="str">
        <f>INDEX(Prioritization!$D:$D,MATCH($B107,Prioritization!$A:$A,0))</f>
        <v>4 - Sustained</v>
      </c>
      <c r="B107" t="s">
        <v>298</v>
      </c>
      <c r="C107" t="s">
        <v>972</v>
      </c>
      <c r="D107" t="s">
        <v>30</v>
      </c>
      <c r="E107" t="str">
        <f t="shared" si="13"/>
        <v>Dedza District [PekKUkKHAzY]|15-17|Female</v>
      </c>
      <c r="G107" s="38"/>
      <c r="H107" s="38"/>
      <c r="I107" s="240"/>
      <c r="J107" s="33"/>
      <c r="K107" s="33"/>
      <c r="L107" s="33">
        <f t="shared" si="14"/>
        <v>1</v>
      </c>
      <c r="M107" s="33">
        <f t="shared" si="15"/>
        <v>0.2</v>
      </c>
      <c r="N107" s="38" t="str">
        <f t="shared" si="22"/>
        <v/>
      </c>
      <c r="O107" s="218" t="str">
        <f t="shared" si="16"/>
        <v/>
      </c>
      <c r="P107" s="218" t="str">
        <f t="shared" si="17"/>
        <v/>
      </c>
      <c r="Q107" s="218" t="str">
        <f t="shared" si="18"/>
        <v/>
      </c>
      <c r="R107" s="218" t="str">
        <f t="shared" si="19"/>
        <v/>
      </c>
      <c r="S107" s="246" t="str">
        <f t="shared" si="20"/>
        <v/>
      </c>
      <c r="T107" s="218" t="str">
        <f t="shared" si="21"/>
        <v/>
      </c>
    </row>
    <row r="108" spans="1:20" x14ac:dyDescent="0.2">
      <c r="A108" t="str">
        <f>INDEX(Prioritization!$D:$D,MATCH($B108,Prioritization!$A:$A,0))</f>
        <v>4 - Sustained</v>
      </c>
      <c r="B108" t="s">
        <v>298</v>
      </c>
      <c r="C108" t="s">
        <v>972</v>
      </c>
      <c r="D108" t="s">
        <v>48</v>
      </c>
      <c r="E108" t="str">
        <f t="shared" si="13"/>
        <v>Dedza District [PekKUkKHAzY]|15-17|Male</v>
      </c>
      <c r="G108" s="38"/>
      <c r="H108" s="38"/>
      <c r="I108" s="240"/>
      <c r="J108" s="33"/>
      <c r="K108" s="33"/>
      <c r="L108" s="33">
        <f t="shared" si="14"/>
        <v>1</v>
      </c>
      <c r="M108" s="33">
        <f t="shared" si="15"/>
        <v>0.2</v>
      </c>
      <c r="N108" s="38" t="str">
        <f t="shared" si="22"/>
        <v/>
      </c>
      <c r="O108" s="218" t="str">
        <f t="shared" si="16"/>
        <v/>
      </c>
      <c r="P108" s="218" t="str">
        <f t="shared" si="17"/>
        <v/>
      </c>
      <c r="Q108" s="218" t="str">
        <f t="shared" si="18"/>
        <v/>
      </c>
      <c r="R108" s="218" t="str">
        <f t="shared" si="19"/>
        <v/>
      </c>
      <c r="S108" s="246" t="str">
        <f t="shared" si="20"/>
        <v/>
      </c>
      <c r="T108" s="237" t="str">
        <f t="shared" si="21"/>
        <v/>
      </c>
    </row>
    <row r="109" spans="1:20" x14ac:dyDescent="0.2">
      <c r="A109" t="str">
        <f>INDEX(Prioritization!$D:$D,MATCH($B109,Prioritization!$A:$A,0))</f>
        <v>4 - Sustained</v>
      </c>
      <c r="B109" t="s">
        <v>298</v>
      </c>
      <c r="C109" t="s">
        <v>974</v>
      </c>
      <c r="D109" t="s">
        <v>30</v>
      </c>
      <c r="E109" t="str">
        <f t="shared" si="13"/>
        <v>Dedza District [PekKUkKHAzY]|18+|Female</v>
      </c>
      <c r="G109" s="38"/>
      <c r="H109" s="38"/>
      <c r="I109" s="240"/>
      <c r="J109" s="33"/>
      <c r="K109" s="33"/>
      <c r="L109" s="33">
        <f t="shared" si="14"/>
        <v>1</v>
      </c>
      <c r="M109" s="33">
        <f t="shared" si="15"/>
        <v>0.2</v>
      </c>
      <c r="N109" s="38" t="str">
        <f t="shared" si="22"/>
        <v/>
      </c>
      <c r="O109" s="218" t="str">
        <f t="shared" si="16"/>
        <v/>
      </c>
      <c r="P109" s="218" t="str">
        <f t="shared" si="17"/>
        <v/>
      </c>
      <c r="Q109" s="218" t="str">
        <f t="shared" si="18"/>
        <v/>
      </c>
      <c r="R109" s="218" t="str">
        <f t="shared" si="19"/>
        <v/>
      </c>
      <c r="S109" s="246" t="str">
        <f t="shared" si="20"/>
        <v/>
      </c>
      <c r="T109" s="218" t="str">
        <f t="shared" si="21"/>
        <v/>
      </c>
    </row>
    <row r="110" spans="1:20" x14ac:dyDescent="0.2">
      <c r="A110" t="str">
        <f>INDEX(Prioritization!$D:$D,MATCH($B110,Prioritization!$A:$A,0))</f>
        <v>4 - Sustained</v>
      </c>
      <c r="B110" t="s">
        <v>298</v>
      </c>
      <c r="C110" t="s">
        <v>974</v>
      </c>
      <c r="D110" t="s">
        <v>48</v>
      </c>
      <c r="E110" t="str">
        <f t="shared" si="13"/>
        <v>Dedza District [PekKUkKHAzY]|18+|Male</v>
      </c>
      <c r="G110" s="38"/>
      <c r="H110" s="38"/>
      <c r="I110" s="240"/>
      <c r="J110" s="33"/>
      <c r="K110" s="33"/>
      <c r="L110" s="33">
        <f t="shared" si="14"/>
        <v>1</v>
      </c>
      <c r="M110" s="33">
        <f t="shared" si="15"/>
        <v>0.2</v>
      </c>
      <c r="N110" s="38" t="str">
        <f t="shared" si="22"/>
        <v/>
      </c>
      <c r="O110" s="218" t="str">
        <f t="shared" si="16"/>
        <v/>
      </c>
      <c r="P110" s="218" t="str">
        <f t="shared" si="17"/>
        <v/>
      </c>
      <c r="Q110" s="218" t="str">
        <f t="shared" si="18"/>
        <v/>
      </c>
      <c r="R110" s="218" t="str">
        <f t="shared" si="19"/>
        <v/>
      </c>
      <c r="S110" s="246" t="str">
        <f t="shared" si="20"/>
        <v/>
      </c>
      <c r="T110" s="237" t="str">
        <f t="shared" si="21"/>
        <v/>
      </c>
    </row>
    <row r="111" spans="1:20" x14ac:dyDescent="0.2">
      <c r="A111" t="str">
        <f>INDEX(Prioritization!$D:$D,MATCH($B111,Prioritization!$A:$A,0))</f>
        <v>4 - Sustained</v>
      </c>
      <c r="B111" t="s">
        <v>298</v>
      </c>
      <c r="C111" t="s">
        <v>973</v>
      </c>
      <c r="D111" t="s">
        <v>30</v>
      </c>
      <c r="E111" t="str">
        <f t="shared" si="13"/>
        <v>Dedza District [PekKUkKHAzY]|18-20|Female</v>
      </c>
      <c r="G111" s="38"/>
      <c r="H111" s="38"/>
      <c r="I111" s="240"/>
      <c r="J111" s="33"/>
      <c r="K111" s="33"/>
      <c r="L111" s="33">
        <f t="shared" si="14"/>
        <v>1</v>
      </c>
      <c r="M111" s="33">
        <f t="shared" si="15"/>
        <v>0.2</v>
      </c>
      <c r="N111" s="38" t="str">
        <f t="shared" si="22"/>
        <v/>
      </c>
      <c r="O111" s="218" t="str">
        <f t="shared" si="16"/>
        <v/>
      </c>
      <c r="P111" s="218" t="str">
        <f t="shared" si="17"/>
        <v/>
      </c>
      <c r="Q111" s="218" t="str">
        <f t="shared" si="18"/>
        <v/>
      </c>
      <c r="R111" s="218" t="str">
        <f t="shared" si="19"/>
        <v/>
      </c>
      <c r="S111" s="246" t="str">
        <f t="shared" si="20"/>
        <v/>
      </c>
      <c r="T111" s="218" t="str">
        <f t="shared" si="21"/>
        <v/>
      </c>
    </row>
    <row r="112" spans="1:20" x14ac:dyDescent="0.2">
      <c r="A112" t="str">
        <f>INDEX(Prioritization!$D:$D,MATCH($B112,Prioritization!$A:$A,0))</f>
        <v>4 - Sustained</v>
      </c>
      <c r="B112" t="s">
        <v>298</v>
      </c>
      <c r="C112" t="s">
        <v>973</v>
      </c>
      <c r="D112" t="s">
        <v>48</v>
      </c>
      <c r="E112" t="str">
        <f t="shared" si="13"/>
        <v>Dedza District [PekKUkKHAzY]|18-20|Male</v>
      </c>
      <c r="G112" s="38"/>
      <c r="H112" s="38"/>
      <c r="I112" s="240"/>
      <c r="J112" s="33"/>
      <c r="K112" s="33"/>
      <c r="L112" s="33">
        <f t="shared" si="14"/>
        <v>1</v>
      </c>
      <c r="M112" s="33">
        <f t="shared" si="15"/>
        <v>0.2</v>
      </c>
      <c r="N112" s="38" t="str">
        <f t="shared" si="22"/>
        <v/>
      </c>
      <c r="O112" s="218" t="str">
        <f t="shared" si="16"/>
        <v/>
      </c>
      <c r="P112" s="218" t="str">
        <f t="shared" si="17"/>
        <v/>
      </c>
      <c r="Q112" s="218" t="str">
        <f t="shared" si="18"/>
        <v/>
      </c>
      <c r="R112" s="218" t="str">
        <f t="shared" si="19"/>
        <v/>
      </c>
      <c r="S112" s="246" t="str">
        <f t="shared" si="20"/>
        <v/>
      </c>
      <c r="T112" s="237" t="str">
        <f t="shared" si="21"/>
        <v/>
      </c>
    </row>
    <row r="113" spans="1:20" x14ac:dyDescent="0.2">
      <c r="A113" t="str">
        <f>INDEX(Prioritization!$D:$D,MATCH($B113,Prioritization!$A:$A,0))</f>
        <v>4 - Sustained</v>
      </c>
      <c r="B113" t="s">
        <v>299</v>
      </c>
      <c r="C113" t="s">
        <v>426</v>
      </c>
      <c r="D113" t="s">
        <v>30</v>
      </c>
      <c r="E113" t="str">
        <f t="shared" si="13"/>
        <v>Dowa District [zphK9WV8JB4]|&lt;01|Female</v>
      </c>
      <c r="G113" s="38"/>
      <c r="H113" s="38"/>
      <c r="I113" s="240"/>
      <c r="J113" s="33"/>
      <c r="K113" s="33"/>
      <c r="L113" s="33">
        <f t="shared" si="14"/>
        <v>1</v>
      </c>
      <c r="M113" s="33">
        <f t="shared" si="15"/>
        <v>0.2</v>
      </c>
      <c r="N113" s="38" t="str">
        <f t="shared" si="22"/>
        <v/>
      </c>
      <c r="O113" s="218" t="str">
        <f t="shared" si="16"/>
        <v/>
      </c>
      <c r="P113" s="218" t="str">
        <f t="shared" si="17"/>
        <v/>
      </c>
      <c r="Q113" s="218" t="str">
        <f t="shared" si="18"/>
        <v/>
      </c>
      <c r="R113" s="218" t="str">
        <f t="shared" si="19"/>
        <v/>
      </c>
      <c r="S113" s="246" t="str">
        <f t="shared" si="20"/>
        <v/>
      </c>
      <c r="T113" s="218" t="str">
        <f t="shared" si="21"/>
        <v/>
      </c>
    </row>
    <row r="114" spans="1:20" x14ac:dyDescent="0.2">
      <c r="A114" t="str">
        <f>INDEX(Prioritization!$D:$D,MATCH($B114,Prioritization!$A:$A,0))</f>
        <v>4 - Sustained</v>
      </c>
      <c r="B114" t="s">
        <v>299</v>
      </c>
      <c r="C114" t="s">
        <v>426</v>
      </c>
      <c r="D114" t="s">
        <v>48</v>
      </c>
      <c r="E114" t="str">
        <f t="shared" si="13"/>
        <v>Dowa District [zphK9WV8JB4]|&lt;01|Male</v>
      </c>
      <c r="G114" s="38"/>
      <c r="H114" s="38"/>
      <c r="I114" s="240"/>
      <c r="J114" s="33"/>
      <c r="K114" s="33"/>
      <c r="L114" s="33">
        <f t="shared" si="14"/>
        <v>1</v>
      </c>
      <c r="M114" s="33">
        <f t="shared" si="15"/>
        <v>0.2</v>
      </c>
      <c r="N114" s="38" t="str">
        <f t="shared" si="22"/>
        <v/>
      </c>
      <c r="O114" s="218" t="str">
        <f t="shared" si="16"/>
        <v/>
      </c>
      <c r="P114" s="218" t="str">
        <f t="shared" si="17"/>
        <v/>
      </c>
      <c r="Q114" s="218" t="str">
        <f t="shared" si="18"/>
        <v/>
      </c>
      <c r="R114" s="218" t="str">
        <f t="shared" si="19"/>
        <v/>
      </c>
      <c r="S114" s="246" t="str">
        <f t="shared" si="20"/>
        <v/>
      </c>
      <c r="T114" s="237" t="str">
        <f t="shared" si="21"/>
        <v/>
      </c>
    </row>
    <row r="115" spans="1:20" x14ac:dyDescent="0.2">
      <c r="A115" t="str">
        <f>INDEX(Prioritization!$D:$D,MATCH($B115,Prioritization!$A:$A,0))</f>
        <v>4 - Sustained</v>
      </c>
      <c r="B115" t="s">
        <v>299</v>
      </c>
      <c r="C115" t="s">
        <v>970</v>
      </c>
      <c r="D115" t="s">
        <v>30</v>
      </c>
      <c r="E115" t="str">
        <f t="shared" si="13"/>
        <v>Dowa District [zphK9WV8JB4]|01-04|Female</v>
      </c>
      <c r="G115" s="38"/>
      <c r="H115" s="38"/>
      <c r="I115" s="240"/>
      <c r="J115" s="33"/>
      <c r="K115" s="33"/>
      <c r="L115" s="33">
        <f t="shared" si="14"/>
        <v>1</v>
      </c>
      <c r="M115" s="33">
        <f t="shared" si="15"/>
        <v>0.2</v>
      </c>
      <c r="N115" s="38" t="str">
        <f t="shared" si="22"/>
        <v/>
      </c>
      <c r="O115" s="218" t="str">
        <f t="shared" si="16"/>
        <v/>
      </c>
      <c r="P115" s="218" t="str">
        <f t="shared" si="17"/>
        <v/>
      </c>
      <c r="Q115" s="218" t="str">
        <f t="shared" si="18"/>
        <v/>
      </c>
      <c r="R115" s="218" t="str">
        <f t="shared" si="19"/>
        <v/>
      </c>
      <c r="S115" s="246" t="str">
        <f t="shared" si="20"/>
        <v/>
      </c>
      <c r="T115" s="218" t="str">
        <f t="shared" si="21"/>
        <v/>
      </c>
    </row>
    <row r="116" spans="1:20" x14ac:dyDescent="0.2">
      <c r="A116" t="str">
        <f>INDEX(Prioritization!$D:$D,MATCH($B116,Prioritization!$A:$A,0))</f>
        <v>4 - Sustained</v>
      </c>
      <c r="B116" t="s">
        <v>299</v>
      </c>
      <c r="C116" t="s">
        <v>970</v>
      </c>
      <c r="D116" t="s">
        <v>48</v>
      </c>
      <c r="E116" t="str">
        <f t="shared" si="13"/>
        <v>Dowa District [zphK9WV8JB4]|01-04|Male</v>
      </c>
      <c r="G116" s="38"/>
      <c r="H116" s="38"/>
      <c r="I116" s="240"/>
      <c r="J116" s="33"/>
      <c r="K116" s="33"/>
      <c r="L116" s="33">
        <f t="shared" si="14"/>
        <v>1</v>
      </c>
      <c r="M116" s="33">
        <f t="shared" si="15"/>
        <v>0.2</v>
      </c>
      <c r="N116" s="38" t="str">
        <f t="shared" si="22"/>
        <v/>
      </c>
      <c r="O116" s="218" t="str">
        <f t="shared" si="16"/>
        <v/>
      </c>
      <c r="P116" s="218" t="str">
        <f t="shared" si="17"/>
        <v/>
      </c>
      <c r="Q116" s="218" t="str">
        <f t="shared" si="18"/>
        <v/>
      </c>
      <c r="R116" s="218" t="str">
        <f t="shared" si="19"/>
        <v/>
      </c>
      <c r="S116" s="246" t="str">
        <f t="shared" si="20"/>
        <v/>
      </c>
      <c r="T116" s="237" t="str">
        <f t="shared" si="21"/>
        <v/>
      </c>
    </row>
    <row r="117" spans="1:20" x14ac:dyDescent="0.2">
      <c r="A117" t="str">
        <f>INDEX(Prioritization!$D:$D,MATCH($B117,Prioritization!$A:$A,0))</f>
        <v>4 - Sustained</v>
      </c>
      <c r="B117" t="s">
        <v>299</v>
      </c>
      <c r="C117" t="s">
        <v>971</v>
      </c>
      <c r="D117" t="s">
        <v>30</v>
      </c>
      <c r="E117" t="str">
        <f t="shared" si="13"/>
        <v>Dowa District [zphK9WV8JB4]|05-09|Female</v>
      </c>
      <c r="G117" s="38"/>
      <c r="H117" s="38"/>
      <c r="I117" s="240"/>
      <c r="J117" s="33"/>
      <c r="K117" s="33"/>
      <c r="L117" s="33">
        <f t="shared" si="14"/>
        <v>1</v>
      </c>
      <c r="M117" s="33">
        <f t="shared" si="15"/>
        <v>0.2</v>
      </c>
      <c r="N117" s="38" t="str">
        <f t="shared" si="22"/>
        <v/>
      </c>
      <c r="O117" s="218" t="str">
        <f t="shared" si="16"/>
        <v/>
      </c>
      <c r="P117" s="218" t="str">
        <f t="shared" si="17"/>
        <v/>
      </c>
      <c r="Q117" s="218" t="str">
        <f t="shared" si="18"/>
        <v/>
      </c>
      <c r="R117" s="218" t="str">
        <f t="shared" si="19"/>
        <v/>
      </c>
      <c r="S117" s="246" t="str">
        <f t="shared" si="20"/>
        <v/>
      </c>
      <c r="T117" s="218" t="str">
        <f t="shared" si="21"/>
        <v/>
      </c>
    </row>
    <row r="118" spans="1:20" x14ac:dyDescent="0.2">
      <c r="A118" t="str">
        <f>INDEX(Prioritization!$D:$D,MATCH($B118,Prioritization!$A:$A,0))</f>
        <v>4 - Sustained</v>
      </c>
      <c r="B118" t="s">
        <v>299</v>
      </c>
      <c r="C118" t="s">
        <v>971</v>
      </c>
      <c r="D118" t="s">
        <v>48</v>
      </c>
      <c r="E118" t="str">
        <f t="shared" si="13"/>
        <v>Dowa District [zphK9WV8JB4]|05-09|Male</v>
      </c>
      <c r="G118" s="38"/>
      <c r="H118" s="38"/>
      <c r="I118" s="240"/>
      <c r="J118" s="33"/>
      <c r="K118" s="33"/>
      <c r="L118" s="33">
        <f t="shared" si="14"/>
        <v>1</v>
      </c>
      <c r="M118" s="33">
        <f t="shared" si="15"/>
        <v>0.2</v>
      </c>
      <c r="N118" s="38" t="str">
        <f t="shared" si="22"/>
        <v/>
      </c>
      <c r="O118" s="218" t="str">
        <f t="shared" si="16"/>
        <v/>
      </c>
      <c r="P118" s="218" t="str">
        <f t="shared" si="17"/>
        <v/>
      </c>
      <c r="Q118" s="218" t="str">
        <f t="shared" si="18"/>
        <v/>
      </c>
      <c r="R118" s="218" t="str">
        <f t="shared" si="19"/>
        <v/>
      </c>
      <c r="S118" s="246" t="str">
        <f t="shared" si="20"/>
        <v/>
      </c>
      <c r="T118" s="237" t="str">
        <f t="shared" si="21"/>
        <v/>
      </c>
    </row>
    <row r="119" spans="1:20" x14ac:dyDescent="0.2">
      <c r="A119" t="str">
        <f>INDEX(Prioritization!$D:$D,MATCH($B119,Prioritization!$A:$A,0))</f>
        <v>4 - Sustained</v>
      </c>
      <c r="B119" t="s">
        <v>299</v>
      </c>
      <c r="C119" t="s">
        <v>474</v>
      </c>
      <c r="D119" t="s">
        <v>30</v>
      </c>
      <c r="E119" t="str">
        <f t="shared" si="13"/>
        <v>Dowa District [zphK9WV8JB4]|10-14|Female</v>
      </c>
      <c r="G119" s="38"/>
      <c r="H119" s="38">
        <v>1</v>
      </c>
      <c r="I119" s="241">
        <v>79</v>
      </c>
      <c r="J119" s="33"/>
      <c r="K119" s="33">
        <v>1</v>
      </c>
      <c r="L119" s="33">
        <f t="shared" si="14"/>
        <v>0</v>
      </c>
      <c r="M119" s="33" t="str">
        <f t="shared" si="15"/>
        <v/>
      </c>
      <c r="N119" s="229">
        <f t="shared" si="22"/>
        <v>80</v>
      </c>
      <c r="O119" s="218" t="str">
        <f t="shared" si="16"/>
        <v/>
      </c>
      <c r="P119" s="218">
        <f t="shared" si="17"/>
        <v>80</v>
      </c>
      <c r="Q119" s="218" t="str">
        <f t="shared" si="18"/>
        <v/>
      </c>
      <c r="R119" s="218" t="str">
        <f t="shared" si="19"/>
        <v/>
      </c>
      <c r="S119" s="246" t="str">
        <f t="shared" si="20"/>
        <v/>
      </c>
      <c r="T119" s="218" t="str">
        <f t="shared" si="21"/>
        <v/>
      </c>
    </row>
    <row r="120" spans="1:20" x14ac:dyDescent="0.2">
      <c r="A120" t="str">
        <f>INDEX(Prioritization!$D:$D,MATCH($B120,Prioritization!$A:$A,0))</f>
        <v>4 - Sustained</v>
      </c>
      <c r="B120" t="s">
        <v>299</v>
      </c>
      <c r="C120" t="s">
        <v>474</v>
      </c>
      <c r="D120" t="s">
        <v>48</v>
      </c>
      <c r="E120" t="str">
        <f t="shared" si="13"/>
        <v>Dowa District [zphK9WV8JB4]|10-14|Male</v>
      </c>
      <c r="G120" s="38"/>
      <c r="H120" s="38">
        <v>1</v>
      </c>
      <c r="I120" s="241">
        <v>59</v>
      </c>
      <c r="J120" s="33"/>
      <c r="K120" s="33">
        <v>1</v>
      </c>
      <c r="L120" s="33">
        <f t="shared" si="14"/>
        <v>0</v>
      </c>
      <c r="M120" s="33" t="str">
        <f t="shared" si="15"/>
        <v/>
      </c>
      <c r="N120" s="229">
        <f t="shared" si="22"/>
        <v>60</v>
      </c>
      <c r="O120" s="218" t="str">
        <f t="shared" si="16"/>
        <v/>
      </c>
      <c r="P120" s="218">
        <f t="shared" si="17"/>
        <v>60</v>
      </c>
      <c r="Q120" s="218" t="str">
        <f t="shared" si="18"/>
        <v/>
      </c>
      <c r="R120" s="218" t="str">
        <f t="shared" si="19"/>
        <v/>
      </c>
      <c r="S120" s="246" t="str">
        <f t="shared" si="20"/>
        <v/>
      </c>
      <c r="T120" s="237" t="str">
        <f t="shared" si="21"/>
        <v/>
      </c>
    </row>
    <row r="121" spans="1:20" x14ac:dyDescent="0.2">
      <c r="A121" t="str">
        <f>INDEX(Prioritization!$D:$D,MATCH($B121,Prioritization!$A:$A,0))</f>
        <v>4 - Sustained</v>
      </c>
      <c r="B121" t="s">
        <v>299</v>
      </c>
      <c r="C121" t="s">
        <v>972</v>
      </c>
      <c r="D121" t="s">
        <v>30</v>
      </c>
      <c r="E121" t="str">
        <f t="shared" si="13"/>
        <v>Dowa District [zphK9WV8JB4]|15-17|Female</v>
      </c>
      <c r="G121" s="38"/>
      <c r="H121" s="38"/>
      <c r="I121" s="240"/>
      <c r="J121" s="33"/>
      <c r="K121" s="33"/>
      <c r="L121" s="33">
        <f t="shared" si="14"/>
        <v>1</v>
      </c>
      <c r="M121" s="33">
        <f t="shared" si="15"/>
        <v>0.2</v>
      </c>
      <c r="N121" s="38" t="str">
        <f t="shared" si="22"/>
        <v/>
      </c>
      <c r="O121" s="218" t="str">
        <f t="shared" si="16"/>
        <v/>
      </c>
      <c r="P121" s="218" t="str">
        <f t="shared" si="17"/>
        <v/>
      </c>
      <c r="Q121" s="218" t="str">
        <f t="shared" si="18"/>
        <v/>
      </c>
      <c r="R121" s="218" t="str">
        <f t="shared" si="19"/>
        <v/>
      </c>
      <c r="S121" s="246" t="str">
        <f t="shared" si="20"/>
        <v/>
      </c>
      <c r="T121" s="218" t="str">
        <f t="shared" si="21"/>
        <v/>
      </c>
    </row>
    <row r="122" spans="1:20" x14ac:dyDescent="0.2">
      <c r="A122" t="str">
        <f>INDEX(Prioritization!$D:$D,MATCH($B122,Prioritization!$A:$A,0))</f>
        <v>4 - Sustained</v>
      </c>
      <c r="B122" t="s">
        <v>299</v>
      </c>
      <c r="C122" t="s">
        <v>972</v>
      </c>
      <c r="D122" t="s">
        <v>48</v>
      </c>
      <c r="E122" t="str">
        <f t="shared" si="13"/>
        <v>Dowa District [zphK9WV8JB4]|15-17|Male</v>
      </c>
      <c r="G122" s="38"/>
      <c r="H122" s="38"/>
      <c r="I122" s="240"/>
      <c r="J122" s="33"/>
      <c r="K122" s="33"/>
      <c r="L122" s="33">
        <f t="shared" si="14"/>
        <v>1</v>
      </c>
      <c r="M122" s="33">
        <f t="shared" si="15"/>
        <v>0.2</v>
      </c>
      <c r="N122" s="38" t="str">
        <f t="shared" si="22"/>
        <v/>
      </c>
      <c r="O122" s="218" t="str">
        <f t="shared" si="16"/>
        <v/>
      </c>
      <c r="P122" s="218" t="str">
        <f t="shared" si="17"/>
        <v/>
      </c>
      <c r="Q122" s="218" t="str">
        <f t="shared" si="18"/>
        <v/>
      </c>
      <c r="R122" s="218" t="str">
        <f t="shared" si="19"/>
        <v/>
      </c>
      <c r="S122" s="246" t="str">
        <f t="shared" si="20"/>
        <v/>
      </c>
      <c r="T122" s="237" t="str">
        <f t="shared" si="21"/>
        <v/>
      </c>
    </row>
    <row r="123" spans="1:20" x14ac:dyDescent="0.2">
      <c r="A123" t="str">
        <f>INDEX(Prioritization!$D:$D,MATCH($B123,Prioritization!$A:$A,0))</f>
        <v>4 - Sustained</v>
      </c>
      <c r="B123" t="s">
        <v>299</v>
      </c>
      <c r="C123" t="s">
        <v>974</v>
      </c>
      <c r="D123" t="s">
        <v>30</v>
      </c>
      <c r="E123" t="str">
        <f t="shared" si="13"/>
        <v>Dowa District [zphK9WV8JB4]|18+|Female</v>
      </c>
      <c r="G123" s="38"/>
      <c r="H123" s="38"/>
      <c r="I123" s="240"/>
      <c r="J123" s="33"/>
      <c r="K123" s="33"/>
      <c r="L123" s="33">
        <f t="shared" si="14"/>
        <v>1</v>
      </c>
      <c r="M123" s="33">
        <f t="shared" si="15"/>
        <v>0.2</v>
      </c>
      <c r="N123" s="38" t="str">
        <f t="shared" si="22"/>
        <v/>
      </c>
      <c r="O123" s="218" t="str">
        <f t="shared" si="16"/>
        <v/>
      </c>
      <c r="P123" s="218" t="str">
        <f t="shared" si="17"/>
        <v/>
      </c>
      <c r="Q123" s="218" t="str">
        <f t="shared" si="18"/>
        <v/>
      </c>
      <c r="R123" s="218" t="str">
        <f t="shared" si="19"/>
        <v/>
      </c>
      <c r="S123" s="246" t="str">
        <f t="shared" si="20"/>
        <v/>
      </c>
      <c r="T123" s="218" t="str">
        <f t="shared" si="21"/>
        <v/>
      </c>
    </row>
    <row r="124" spans="1:20" x14ac:dyDescent="0.2">
      <c r="A124" t="str">
        <f>INDEX(Prioritization!$D:$D,MATCH($B124,Prioritization!$A:$A,0))</f>
        <v>4 - Sustained</v>
      </c>
      <c r="B124" t="s">
        <v>299</v>
      </c>
      <c r="C124" t="s">
        <v>974</v>
      </c>
      <c r="D124" t="s">
        <v>48</v>
      </c>
      <c r="E124" t="str">
        <f t="shared" si="13"/>
        <v>Dowa District [zphK9WV8JB4]|18+|Male</v>
      </c>
      <c r="G124" s="38"/>
      <c r="H124" s="38"/>
      <c r="I124" s="240"/>
      <c r="J124" s="33"/>
      <c r="K124" s="33"/>
      <c r="L124" s="33">
        <f t="shared" si="14"/>
        <v>1</v>
      </c>
      <c r="M124" s="33">
        <f t="shared" si="15"/>
        <v>0.2</v>
      </c>
      <c r="N124" s="38" t="str">
        <f t="shared" si="22"/>
        <v/>
      </c>
      <c r="O124" s="218" t="str">
        <f t="shared" si="16"/>
        <v/>
      </c>
      <c r="P124" s="218" t="str">
        <f t="shared" si="17"/>
        <v/>
      </c>
      <c r="Q124" s="218" t="str">
        <f t="shared" si="18"/>
        <v/>
      </c>
      <c r="R124" s="218" t="str">
        <f t="shared" si="19"/>
        <v/>
      </c>
      <c r="S124" s="246" t="str">
        <f t="shared" si="20"/>
        <v/>
      </c>
      <c r="T124" s="237" t="str">
        <f t="shared" si="21"/>
        <v/>
      </c>
    </row>
    <row r="125" spans="1:20" x14ac:dyDescent="0.2">
      <c r="A125" t="str">
        <f>INDEX(Prioritization!$D:$D,MATCH($B125,Prioritization!$A:$A,0))</f>
        <v>4 - Sustained</v>
      </c>
      <c r="B125" t="s">
        <v>299</v>
      </c>
      <c r="C125" t="s">
        <v>973</v>
      </c>
      <c r="D125" t="s">
        <v>30</v>
      </c>
      <c r="E125" t="str">
        <f t="shared" si="13"/>
        <v>Dowa District [zphK9WV8JB4]|18-20|Female</v>
      </c>
      <c r="G125" s="38"/>
      <c r="H125" s="38"/>
      <c r="I125" s="240"/>
      <c r="J125" s="33"/>
      <c r="K125" s="33"/>
      <c r="L125" s="33">
        <f t="shared" si="14"/>
        <v>1</v>
      </c>
      <c r="M125" s="33">
        <f t="shared" si="15"/>
        <v>0.2</v>
      </c>
      <c r="N125" s="38" t="str">
        <f t="shared" si="22"/>
        <v/>
      </c>
      <c r="O125" s="218" t="str">
        <f t="shared" si="16"/>
        <v/>
      </c>
      <c r="P125" s="218" t="str">
        <f t="shared" si="17"/>
        <v/>
      </c>
      <c r="Q125" s="218" t="str">
        <f t="shared" si="18"/>
        <v/>
      </c>
      <c r="R125" s="218" t="str">
        <f t="shared" si="19"/>
        <v/>
      </c>
      <c r="S125" s="246" t="str">
        <f t="shared" si="20"/>
        <v/>
      </c>
      <c r="T125" s="218" t="str">
        <f t="shared" si="21"/>
        <v/>
      </c>
    </row>
    <row r="126" spans="1:20" x14ac:dyDescent="0.2">
      <c r="A126" t="str">
        <f>INDEX(Prioritization!$D:$D,MATCH($B126,Prioritization!$A:$A,0))</f>
        <v>4 - Sustained</v>
      </c>
      <c r="B126" t="s">
        <v>299</v>
      </c>
      <c r="C126" t="s">
        <v>973</v>
      </c>
      <c r="D126" t="s">
        <v>48</v>
      </c>
      <c r="E126" t="str">
        <f t="shared" si="13"/>
        <v>Dowa District [zphK9WV8JB4]|18-20|Male</v>
      </c>
      <c r="G126" s="38"/>
      <c r="H126" s="38"/>
      <c r="I126" s="240"/>
      <c r="J126" s="33"/>
      <c r="K126" s="33"/>
      <c r="L126" s="33">
        <f t="shared" si="14"/>
        <v>1</v>
      </c>
      <c r="M126" s="33">
        <f t="shared" si="15"/>
        <v>0.2</v>
      </c>
      <c r="N126" s="38" t="str">
        <f t="shared" si="22"/>
        <v/>
      </c>
      <c r="O126" s="218" t="str">
        <f t="shared" si="16"/>
        <v/>
      </c>
      <c r="P126" s="218" t="str">
        <f t="shared" si="17"/>
        <v/>
      </c>
      <c r="Q126" s="218" t="str">
        <f t="shared" si="18"/>
        <v/>
      </c>
      <c r="R126" s="218" t="str">
        <f t="shared" si="19"/>
        <v/>
      </c>
      <c r="S126" s="246" t="str">
        <f t="shared" si="20"/>
        <v/>
      </c>
      <c r="T126" s="237" t="str">
        <f t="shared" si="21"/>
        <v/>
      </c>
    </row>
    <row r="127" spans="1:20" x14ac:dyDescent="0.2">
      <c r="A127" t="str">
        <f>INDEX(Prioritization!$D:$D,MATCH($B127,Prioritization!$A:$A,0))</f>
        <v>INVALID</v>
      </c>
      <c r="B127" t="s">
        <v>308</v>
      </c>
      <c r="C127" t="s">
        <v>426</v>
      </c>
      <c r="D127" t="s">
        <v>30</v>
      </c>
      <c r="E127" t="str">
        <f t="shared" si="13"/>
        <v>Karonga District [cPtvxaZqXIH]|&lt;01|Female</v>
      </c>
      <c r="G127" s="38"/>
      <c r="H127" s="38"/>
      <c r="I127" s="240"/>
      <c r="J127" s="33"/>
      <c r="K127" s="33"/>
      <c r="L127" s="33">
        <f t="shared" si="14"/>
        <v>1</v>
      </c>
      <c r="M127" s="33">
        <f t="shared" si="15"/>
        <v>0.2</v>
      </c>
      <c r="N127" s="38" t="str">
        <f t="shared" si="22"/>
        <v/>
      </c>
      <c r="O127" s="218" t="str">
        <f t="shared" si="16"/>
        <v/>
      </c>
      <c r="P127" s="218" t="str">
        <f t="shared" si="17"/>
        <v/>
      </c>
      <c r="Q127" s="218" t="str">
        <f t="shared" si="18"/>
        <v/>
      </c>
      <c r="R127" s="218" t="str">
        <f t="shared" si="19"/>
        <v/>
      </c>
      <c r="S127" s="246" t="str">
        <f t="shared" si="20"/>
        <v/>
      </c>
      <c r="T127" s="218" t="str">
        <f t="shared" si="21"/>
        <v/>
      </c>
    </row>
    <row r="128" spans="1:20" x14ac:dyDescent="0.2">
      <c r="A128" t="str">
        <f>INDEX(Prioritization!$D:$D,MATCH($B128,Prioritization!$A:$A,0))</f>
        <v>INVALID</v>
      </c>
      <c r="B128" t="s">
        <v>308</v>
      </c>
      <c r="C128" t="s">
        <v>426</v>
      </c>
      <c r="D128" t="s">
        <v>48</v>
      </c>
      <c r="E128" t="str">
        <f t="shared" si="13"/>
        <v>Karonga District [cPtvxaZqXIH]|&lt;01|Male</v>
      </c>
      <c r="G128" s="38"/>
      <c r="H128" s="38"/>
      <c r="I128" s="240"/>
      <c r="J128" s="33"/>
      <c r="K128" s="33"/>
      <c r="L128" s="33">
        <f t="shared" si="14"/>
        <v>1</v>
      </c>
      <c r="M128" s="33">
        <f t="shared" si="15"/>
        <v>0.2</v>
      </c>
      <c r="N128" s="38" t="str">
        <f t="shared" si="22"/>
        <v/>
      </c>
      <c r="O128" s="218" t="str">
        <f t="shared" si="16"/>
        <v/>
      </c>
      <c r="P128" s="218" t="str">
        <f t="shared" si="17"/>
        <v/>
      </c>
      <c r="Q128" s="218" t="str">
        <f t="shared" si="18"/>
        <v/>
      </c>
      <c r="R128" s="218" t="str">
        <f t="shared" si="19"/>
        <v/>
      </c>
      <c r="S128" s="246" t="str">
        <f t="shared" si="20"/>
        <v/>
      </c>
      <c r="T128" s="237" t="str">
        <f t="shared" si="21"/>
        <v/>
      </c>
    </row>
    <row r="129" spans="1:20" x14ac:dyDescent="0.2">
      <c r="A129" t="str">
        <f>INDEX(Prioritization!$D:$D,MATCH($B129,Prioritization!$A:$A,0))</f>
        <v>INVALID</v>
      </c>
      <c r="B129" t="s">
        <v>308</v>
      </c>
      <c r="C129" t="s">
        <v>970</v>
      </c>
      <c r="D129" t="s">
        <v>30</v>
      </c>
      <c r="E129" t="str">
        <f t="shared" si="13"/>
        <v>Karonga District [cPtvxaZqXIH]|01-04|Female</v>
      </c>
      <c r="G129" s="38"/>
      <c r="H129" s="38"/>
      <c r="I129" s="240"/>
      <c r="J129" s="33"/>
      <c r="K129" s="33"/>
      <c r="L129" s="33">
        <f t="shared" si="14"/>
        <v>1</v>
      </c>
      <c r="M129" s="33">
        <f t="shared" si="15"/>
        <v>0.2</v>
      </c>
      <c r="N129" s="38" t="str">
        <f t="shared" si="22"/>
        <v/>
      </c>
      <c r="O129" s="218" t="str">
        <f t="shared" si="16"/>
        <v/>
      </c>
      <c r="P129" s="218" t="str">
        <f t="shared" si="17"/>
        <v/>
      </c>
      <c r="Q129" s="218" t="str">
        <f t="shared" si="18"/>
        <v/>
      </c>
      <c r="R129" s="218" t="str">
        <f t="shared" si="19"/>
        <v/>
      </c>
      <c r="S129" s="246" t="str">
        <f t="shared" si="20"/>
        <v/>
      </c>
      <c r="T129" s="218" t="str">
        <f t="shared" si="21"/>
        <v/>
      </c>
    </row>
    <row r="130" spans="1:20" x14ac:dyDescent="0.2">
      <c r="A130" t="str">
        <f>INDEX(Prioritization!$D:$D,MATCH($B130,Prioritization!$A:$A,0))</f>
        <v>INVALID</v>
      </c>
      <c r="B130" t="s">
        <v>308</v>
      </c>
      <c r="C130" t="s">
        <v>970</v>
      </c>
      <c r="D130" t="s">
        <v>48</v>
      </c>
      <c r="E130" t="str">
        <f t="shared" si="13"/>
        <v>Karonga District [cPtvxaZqXIH]|01-04|Male</v>
      </c>
      <c r="G130" s="38"/>
      <c r="H130" s="38"/>
      <c r="I130" s="240"/>
      <c r="J130" s="33"/>
      <c r="K130" s="33"/>
      <c r="L130" s="33">
        <f t="shared" si="14"/>
        <v>1</v>
      </c>
      <c r="M130" s="33">
        <f t="shared" si="15"/>
        <v>0.2</v>
      </c>
      <c r="N130" s="38" t="str">
        <f t="shared" si="22"/>
        <v/>
      </c>
      <c r="O130" s="218" t="str">
        <f t="shared" si="16"/>
        <v/>
      </c>
      <c r="P130" s="218" t="str">
        <f t="shared" si="17"/>
        <v/>
      </c>
      <c r="Q130" s="218" t="str">
        <f t="shared" si="18"/>
        <v/>
      </c>
      <c r="R130" s="218" t="str">
        <f t="shared" si="19"/>
        <v/>
      </c>
      <c r="S130" s="246" t="str">
        <f t="shared" si="20"/>
        <v/>
      </c>
      <c r="T130" s="237" t="str">
        <f t="shared" si="21"/>
        <v/>
      </c>
    </row>
    <row r="131" spans="1:20" x14ac:dyDescent="0.2">
      <c r="A131" t="str">
        <f>INDEX(Prioritization!$D:$D,MATCH($B131,Prioritization!$A:$A,0))</f>
        <v>INVALID</v>
      </c>
      <c r="B131" t="s">
        <v>308</v>
      </c>
      <c r="C131" t="s">
        <v>971</v>
      </c>
      <c r="D131" t="s">
        <v>30</v>
      </c>
      <c r="E131" t="str">
        <f t="shared" si="13"/>
        <v>Karonga District [cPtvxaZqXIH]|05-09|Female</v>
      </c>
      <c r="G131" s="38"/>
      <c r="H131" s="38"/>
      <c r="I131" s="240"/>
      <c r="J131" s="33"/>
      <c r="K131" s="33"/>
      <c r="L131" s="33">
        <f t="shared" si="14"/>
        <v>1</v>
      </c>
      <c r="M131" s="33">
        <f t="shared" si="15"/>
        <v>0.2</v>
      </c>
      <c r="N131" s="38" t="str">
        <f t="shared" si="22"/>
        <v/>
      </c>
      <c r="O131" s="218" t="str">
        <f t="shared" si="16"/>
        <v/>
      </c>
      <c r="P131" s="218" t="str">
        <f t="shared" si="17"/>
        <v/>
      </c>
      <c r="Q131" s="218" t="str">
        <f t="shared" si="18"/>
        <v/>
      </c>
      <c r="R131" s="218" t="str">
        <f t="shared" si="19"/>
        <v/>
      </c>
      <c r="S131" s="246" t="str">
        <f t="shared" si="20"/>
        <v/>
      </c>
      <c r="T131" s="218" t="str">
        <f t="shared" si="21"/>
        <v/>
      </c>
    </row>
    <row r="132" spans="1:20" x14ac:dyDescent="0.2">
      <c r="A132" t="str">
        <f>INDEX(Prioritization!$D:$D,MATCH($B132,Prioritization!$A:$A,0))</f>
        <v>INVALID</v>
      </c>
      <c r="B132" t="s">
        <v>308</v>
      </c>
      <c r="C132" t="s">
        <v>971</v>
      </c>
      <c r="D132" t="s">
        <v>48</v>
      </c>
      <c r="E132" t="str">
        <f t="shared" si="13"/>
        <v>Karonga District [cPtvxaZqXIH]|05-09|Male</v>
      </c>
      <c r="G132" s="38"/>
      <c r="H132" s="38"/>
      <c r="I132" s="240"/>
      <c r="J132" s="33"/>
      <c r="K132" s="33"/>
      <c r="L132" s="33">
        <f t="shared" si="14"/>
        <v>1</v>
      </c>
      <c r="M132" s="33">
        <f t="shared" si="15"/>
        <v>0.2</v>
      </c>
      <c r="N132" s="38" t="str">
        <f t="shared" si="22"/>
        <v/>
      </c>
      <c r="O132" s="218" t="str">
        <f t="shared" si="16"/>
        <v/>
      </c>
      <c r="P132" s="218" t="str">
        <f t="shared" si="17"/>
        <v/>
      </c>
      <c r="Q132" s="218" t="str">
        <f t="shared" si="18"/>
        <v/>
      </c>
      <c r="R132" s="218" t="str">
        <f t="shared" si="19"/>
        <v/>
      </c>
      <c r="S132" s="246" t="str">
        <f t="shared" si="20"/>
        <v/>
      </c>
      <c r="T132" s="237" t="str">
        <f t="shared" si="21"/>
        <v/>
      </c>
    </row>
    <row r="133" spans="1:20" x14ac:dyDescent="0.2">
      <c r="A133" t="str">
        <f>INDEX(Prioritization!$D:$D,MATCH($B133,Prioritization!$A:$A,0))</f>
        <v>INVALID</v>
      </c>
      <c r="B133" t="s">
        <v>308</v>
      </c>
      <c r="C133" t="s">
        <v>474</v>
      </c>
      <c r="D133" t="s">
        <v>30</v>
      </c>
      <c r="E133" t="str">
        <f t="shared" si="13"/>
        <v>Karonga District [cPtvxaZqXIH]|10-14|Female</v>
      </c>
      <c r="G133" s="38"/>
      <c r="H133" s="38"/>
      <c r="I133" s="240"/>
      <c r="J133" s="33"/>
      <c r="K133" s="33"/>
      <c r="L133" s="33">
        <f t="shared" si="14"/>
        <v>1</v>
      </c>
      <c r="M133" s="33">
        <f t="shared" si="15"/>
        <v>0.2</v>
      </c>
      <c r="N133" s="38" t="str">
        <f t="shared" si="22"/>
        <v/>
      </c>
      <c r="O133" s="218" t="str">
        <f t="shared" si="16"/>
        <v/>
      </c>
      <c r="P133" s="218" t="str">
        <f t="shared" si="17"/>
        <v/>
      </c>
      <c r="Q133" s="218" t="str">
        <f t="shared" si="18"/>
        <v/>
      </c>
      <c r="R133" s="218" t="str">
        <f t="shared" si="19"/>
        <v/>
      </c>
      <c r="S133" s="246" t="str">
        <f t="shared" si="20"/>
        <v/>
      </c>
      <c r="T133" s="218" t="str">
        <f t="shared" si="21"/>
        <v/>
      </c>
    </row>
    <row r="134" spans="1:20" x14ac:dyDescent="0.2">
      <c r="A134" t="str">
        <f>INDEX(Prioritization!$D:$D,MATCH($B134,Prioritization!$A:$A,0))</f>
        <v>INVALID</v>
      </c>
      <c r="B134" t="s">
        <v>308</v>
      </c>
      <c r="C134" t="s">
        <v>474</v>
      </c>
      <c r="D134" t="s">
        <v>48</v>
      </c>
      <c r="E134" t="str">
        <f t="shared" si="13"/>
        <v>Karonga District [cPtvxaZqXIH]|10-14|Male</v>
      </c>
      <c r="G134" s="38"/>
      <c r="H134" s="38"/>
      <c r="I134" s="240"/>
      <c r="J134" s="33"/>
      <c r="K134" s="33"/>
      <c r="L134" s="33">
        <f t="shared" si="14"/>
        <v>1</v>
      </c>
      <c r="M134" s="33">
        <f t="shared" si="15"/>
        <v>0.2</v>
      </c>
      <c r="N134" s="38" t="str">
        <f t="shared" si="22"/>
        <v/>
      </c>
      <c r="O134" s="218" t="str">
        <f t="shared" si="16"/>
        <v/>
      </c>
      <c r="P134" s="218" t="str">
        <f t="shared" si="17"/>
        <v/>
      </c>
      <c r="Q134" s="218" t="str">
        <f t="shared" si="18"/>
        <v/>
      </c>
      <c r="R134" s="218" t="str">
        <f t="shared" si="19"/>
        <v/>
      </c>
      <c r="S134" s="246" t="str">
        <f t="shared" si="20"/>
        <v/>
      </c>
      <c r="T134" s="237" t="str">
        <f t="shared" si="21"/>
        <v/>
      </c>
    </row>
    <row r="135" spans="1:20" x14ac:dyDescent="0.2">
      <c r="A135" t="str">
        <f>INDEX(Prioritization!$D:$D,MATCH($B135,Prioritization!$A:$A,0))</f>
        <v>INVALID</v>
      </c>
      <c r="B135" t="s">
        <v>308</v>
      </c>
      <c r="C135" t="s">
        <v>972</v>
      </c>
      <c r="D135" t="s">
        <v>30</v>
      </c>
      <c r="E135" t="str">
        <f t="shared" si="13"/>
        <v>Karonga District [cPtvxaZqXIH]|15-17|Female</v>
      </c>
      <c r="G135" s="38"/>
      <c r="H135" s="38"/>
      <c r="I135" s="240"/>
      <c r="J135" s="33"/>
      <c r="K135" s="33"/>
      <c r="L135" s="33">
        <f t="shared" si="14"/>
        <v>1</v>
      </c>
      <c r="M135" s="33">
        <f t="shared" si="15"/>
        <v>0.2</v>
      </c>
      <c r="N135" s="38" t="str">
        <f t="shared" si="22"/>
        <v/>
      </c>
      <c r="O135" s="218" t="str">
        <f t="shared" si="16"/>
        <v/>
      </c>
      <c r="P135" s="218" t="str">
        <f t="shared" si="17"/>
        <v/>
      </c>
      <c r="Q135" s="218" t="str">
        <f t="shared" si="18"/>
        <v/>
      </c>
      <c r="R135" s="218" t="str">
        <f t="shared" si="19"/>
        <v/>
      </c>
      <c r="S135" s="246" t="str">
        <f t="shared" si="20"/>
        <v/>
      </c>
      <c r="T135" s="218" t="str">
        <f t="shared" si="21"/>
        <v/>
      </c>
    </row>
    <row r="136" spans="1:20" x14ac:dyDescent="0.2">
      <c r="A136" t="str">
        <f>INDEX(Prioritization!$D:$D,MATCH($B136,Prioritization!$A:$A,0))</f>
        <v>INVALID</v>
      </c>
      <c r="B136" t="s">
        <v>308</v>
      </c>
      <c r="C136" t="s">
        <v>972</v>
      </c>
      <c r="D136" t="s">
        <v>48</v>
      </c>
      <c r="E136" t="str">
        <f t="shared" si="13"/>
        <v>Karonga District [cPtvxaZqXIH]|15-17|Male</v>
      </c>
      <c r="G136" s="38"/>
      <c r="H136" s="38"/>
      <c r="I136" s="240"/>
      <c r="J136" s="33"/>
      <c r="K136" s="33"/>
      <c r="L136" s="33">
        <f t="shared" si="14"/>
        <v>1</v>
      </c>
      <c r="M136" s="33">
        <f t="shared" si="15"/>
        <v>0.2</v>
      </c>
      <c r="N136" s="38" t="str">
        <f t="shared" si="22"/>
        <v/>
      </c>
      <c r="O136" s="218" t="str">
        <f t="shared" si="16"/>
        <v/>
      </c>
      <c r="P136" s="218" t="str">
        <f t="shared" si="17"/>
        <v/>
      </c>
      <c r="Q136" s="218" t="str">
        <f t="shared" si="18"/>
        <v/>
      </c>
      <c r="R136" s="218" t="str">
        <f t="shared" si="19"/>
        <v/>
      </c>
      <c r="S136" s="246" t="str">
        <f t="shared" si="20"/>
        <v/>
      </c>
      <c r="T136" s="237" t="str">
        <f t="shared" si="21"/>
        <v/>
      </c>
    </row>
    <row r="137" spans="1:20" x14ac:dyDescent="0.2">
      <c r="A137" t="str">
        <f>INDEX(Prioritization!$D:$D,MATCH($B137,Prioritization!$A:$A,0))</f>
        <v>INVALID</v>
      </c>
      <c r="B137" t="s">
        <v>308</v>
      </c>
      <c r="C137" t="s">
        <v>974</v>
      </c>
      <c r="D137" t="s">
        <v>30</v>
      </c>
      <c r="E137" t="str">
        <f t="shared" si="13"/>
        <v>Karonga District [cPtvxaZqXIH]|18+|Female</v>
      </c>
      <c r="G137" s="38"/>
      <c r="H137" s="38"/>
      <c r="I137" s="240"/>
      <c r="J137" s="33"/>
      <c r="K137" s="33"/>
      <c r="L137" s="33">
        <f t="shared" si="14"/>
        <v>1</v>
      </c>
      <c r="M137" s="33">
        <f t="shared" si="15"/>
        <v>0.2</v>
      </c>
      <c r="N137" s="38" t="str">
        <f t="shared" si="22"/>
        <v/>
      </c>
      <c r="O137" s="218" t="str">
        <f t="shared" si="16"/>
        <v/>
      </c>
      <c r="P137" s="218" t="str">
        <f t="shared" si="17"/>
        <v/>
      </c>
      <c r="Q137" s="218" t="str">
        <f t="shared" si="18"/>
        <v/>
      </c>
      <c r="R137" s="218" t="str">
        <f t="shared" si="19"/>
        <v/>
      </c>
      <c r="S137" s="246" t="str">
        <f t="shared" si="20"/>
        <v/>
      </c>
      <c r="T137" s="218" t="str">
        <f t="shared" si="21"/>
        <v/>
      </c>
    </row>
    <row r="138" spans="1:20" x14ac:dyDescent="0.2">
      <c r="A138" t="str">
        <f>INDEX(Prioritization!$D:$D,MATCH($B138,Prioritization!$A:$A,0))</f>
        <v>INVALID</v>
      </c>
      <c r="B138" t="s">
        <v>308</v>
      </c>
      <c r="C138" t="s">
        <v>974</v>
      </c>
      <c r="D138" t="s">
        <v>48</v>
      </c>
      <c r="E138" t="str">
        <f t="shared" si="13"/>
        <v>Karonga District [cPtvxaZqXIH]|18+|Male</v>
      </c>
      <c r="G138" s="38"/>
      <c r="H138" s="38"/>
      <c r="I138" s="240"/>
      <c r="J138" s="33"/>
      <c r="K138" s="33"/>
      <c r="L138" s="33">
        <f t="shared" si="14"/>
        <v>1</v>
      </c>
      <c r="M138" s="33">
        <f t="shared" si="15"/>
        <v>0.2</v>
      </c>
      <c r="N138" s="38" t="str">
        <f t="shared" si="22"/>
        <v/>
      </c>
      <c r="O138" s="218" t="str">
        <f t="shared" si="16"/>
        <v/>
      </c>
      <c r="P138" s="218" t="str">
        <f t="shared" si="17"/>
        <v/>
      </c>
      <c r="Q138" s="218" t="str">
        <f t="shared" si="18"/>
        <v/>
      </c>
      <c r="R138" s="218" t="str">
        <f t="shared" si="19"/>
        <v/>
      </c>
      <c r="S138" s="246" t="str">
        <f t="shared" si="20"/>
        <v/>
      </c>
      <c r="T138" s="237" t="str">
        <f t="shared" si="21"/>
        <v/>
      </c>
    </row>
    <row r="139" spans="1:20" x14ac:dyDescent="0.2">
      <c r="A139" t="str">
        <f>INDEX(Prioritization!$D:$D,MATCH($B139,Prioritization!$A:$A,0))</f>
        <v>INVALID</v>
      </c>
      <c r="B139" t="s">
        <v>308</v>
      </c>
      <c r="C139" t="s">
        <v>973</v>
      </c>
      <c r="D139" t="s">
        <v>30</v>
      </c>
      <c r="E139" t="str">
        <f t="shared" si="13"/>
        <v>Karonga District [cPtvxaZqXIH]|18-20|Female</v>
      </c>
      <c r="G139" s="38"/>
      <c r="H139" s="38"/>
      <c r="I139" s="240"/>
      <c r="J139" s="33"/>
      <c r="K139" s="33"/>
      <c r="L139" s="33">
        <f t="shared" si="14"/>
        <v>1</v>
      </c>
      <c r="M139" s="33">
        <f t="shared" si="15"/>
        <v>0.2</v>
      </c>
      <c r="N139" s="38" t="str">
        <f t="shared" si="22"/>
        <v/>
      </c>
      <c r="O139" s="218" t="str">
        <f t="shared" si="16"/>
        <v/>
      </c>
      <c r="P139" s="218" t="str">
        <f t="shared" si="17"/>
        <v/>
      </c>
      <c r="Q139" s="218" t="str">
        <f t="shared" si="18"/>
        <v/>
      </c>
      <c r="R139" s="218" t="str">
        <f t="shared" si="19"/>
        <v/>
      </c>
      <c r="S139" s="246" t="str">
        <f t="shared" si="20"/>
        <v/>
      </c>
      <c r="T139" s="218" t="str">
        <f t="shared" si="21"/>
        <v/>
      </c>
    </row>
    <row r="140" spans="1:20" x14ac:dyDescent="0.2">
      <c r="A140" t="str">
        <f>INDEX(Prioritization!$D:$D,MATCH($B140,Prioritization!$A:$A,0))</f>
        <v>INVALID</v>
      </c>
      <c r="B140" t="s">
        <v>308</v>
      </c>
      <c r="C140" t="s">
        <v>973</v>
      </c>
      <c r="D140" t="s">
        <v>48</v>
      </c>
      <c r="E140" t="str">
        <f t="shared" si="13"/>
        <v>Karonga District [cPtvxaZqXIH]|18-20|Male</v>
      </c>
      <c r="G140" s="38"/>
      <c r="H140" s="38"/>
      <c r="I140" s="240"/>
      <c r="J140" s="33"/>
      <c r="K140" s="33"/>
      <c r="L140" s="33">
        <f t="shared" si="14"/>
        <v>1</v>
      </c>
      <c r="M140" s="33">
        <f t="shared" si="15"/>
        <v>0.2</v>
      </c>
      <c r="N140" s="38" t="str">
        <f t="shared" si="22"/>
        <v/>
      </c>
      <c r="O140" s="218" t="str">
        <f t="shared" si="16"/>
        <v/>
      </c>
      <c r="P140" s="218" t="str">
        <f t="shared" si="17"/>
        <v/>
      </c>
      <c r="Q140" s="218" t="str">
        <f t="shared" si="18"/>
        <v/>
      </c>
      <c r="R140" s="218" t="str">
        <f t="shared" si="19"/>
        <v/>
      </c>
      <c r="S140" s="246" t="str">
        <f t="shared" si="20"/>
        <v/>
      </c>
      <c r="T140" s="237" t="str">
        <f t="shared" si="21"/>
        <v/>
      </c>
    </row>
    <row r="141" spans="1:20" x14ac:dyDescent="0.2">
      <c r="A141" t="str">
        <f>INDEX(Prioritization!$D:$D,MATCH($B141,Prioritization!$A:$A,0))</f>
        <v>INVALID</v>
      </c>
      <c r="B141" t="s">
        <v>300</v>
      </c>
      <c r="C141" t="s">
        <v>426</v>
      </c>
      <c r="D141" t="s">
        <v>30</v>
      </c>
      <c r="E141" t="str">
        <f t="shared" si="13"/>
        <v>Kasungu District [JQKLKuVuY61]|&lt;01|Female</v>
      </c>
      <c r="G141" s="38"/>
      <c r="H141" s="38"/>
      <c r="I141" s="240"/>
      <c r="J141" s="33"/>
      <c r="K141" s="33"/>
      <c r="L141" s="33">
        <f t="shared" si="14"/>
        <v>1</v>
      </c>
      <c r="M141" s="33">
        <f t="shared" si="15"/>
        <v>0.2</v>
      </c>
      <c r="N141" s="38" t="str">
        <f t="shared" si="22"/>
        <v/>
      </c>
      <c r="O141" s="218" t="str">
        <f t="shared" si="16"/>
        <v/>
      </c>
      <c r="P141" s="218" t="str">
        <f t="shared" si="17"/>
        <v/>
      </c>
      <c r="Q141" s="218" t="str">
        <f t="shared" si="18"/>
        <v/>
      </c>
      <c r="R141" s="218" t="str">
        <f t="shared" si="19"/>
        <v/>
      </c>
      <c r="S141" s="246" t="str">
        <f t="shared" si="20"/>
        <v/>
      </c>
      <c r="T141" s="218" t="str">
        <f t="shared" si="21"/>
        <v/>
      </c>
    </row>
    <row r="142" spans="1:20" x14ac:dyDescent="0.2">
      <c r="A142" t="str">
        <f>INDEX(Prioritization!$D:$D,MATCH($B142,Prioritization!$A:$A,0))</f>
        <v>INVALID</v>
      </c>
      <c r="B142" t="s">
        <v>300</v>
      </c>
      <c r="C142" t="s">
        <v>426</v>
      </c>
      <c r="D142" t="s">
        <v>48</v>
      </c>
      <c r="E142" t="str">
        <f t="shared" si="13"/>
        <v>Kasungu District [JQKLKuVuY61]|&lt;01|Male</v>
      </c>
      <c r="G142" s="38"/>
      <c r="H142" s="38"/>
      <c r="I142" s="240"/>
      <c r="J142" s="33"/>
      <c r="K142" s="33"/>
      <c r="L142" s="33">
        <f t="shared" si="14"/>
        <v>1</v>
      </c>
      <c r="M142" s="33">
        <f t="shared" si="15"/>
        <v>0.2</v>
      </c>
      <c r="N142" s="38" t="str">
        <f t="shared" si="22"/>
        <v/>
      </c>
      <c r="O142" s="218" t="str">
        <f t="shared" si="16"/>
        <v/>
      </c>
      <c r="P142" s="218" t="str">
        <f t="shared" si="17"/>
        <v/>
      </c>
      <c r="Q142" s="218" t="str">
        <f t="shared" si="18"/>
        <v/>
      </c>
      <c r="R142" s="218" t="str">
        <f t="shared" si="19"/>
        <v/>
      </c>
      <c r="S142" s="246" t="str">
        <f t="shared" si="20"/>
        <v/>
      </c>
      <c r="T142" s="237" t="str">
        <f t="shared" si="21"/>
        <v/>
      </c>
    </row>
    <row r="143" spans="1:20" x14ac:dyDescent="0.2">
      <c r="A143" t="str">
        <f>INDEX(Prioritization!$D:$D,MATCH($B143,Prioritization!$A:$A,0))</f>
        <v>INVALID</v>
      </c>
      <c r="B143" t="s">
        <v>300</v>
      </c>
      <c r="C143" t="s">
        <v>970</v>
      </c>
      <c r="D143" t="s">
        <v>30</v>
      </c>
      <c r="E143" t="str">
        <f t="shared" ref="E143:E206" si="23">$B143&amp;"|"&amp;$C143&amp;"|"&amp;$D143</f>
        <v>Kasungu District [JQKLKuVuY61]|01-04|Female</v>
      </c>
      <c r="G143" s="38"/>
      <c r="H143" s="38"/>
      <c r="I143" s="240"/>
      <c r="J143" s="33"/>
      <c r="K143" s="33"/>
      <c r="L143" s="33">
        <f t="shared" ref="L143:L206" si="24">1-SUM(J143:K143)</f>
        <v>1</v>
      </c>
      <c r="M143" s="33">
        <f t="shared" ref="M143:M206" si="25">IF(SUM($L143)=0,"",20%)</f>
        <v>0.2</v>
      </c>
      <c r="N143" s="38" t="str">
        <f t="shared" si="22"/>
        <v/>
      </c>
      <c r="O143" s="218" t="str">
        <f t="shared" ref="O143:O206" si="26">IF(OR(SUM($N143)=0,SUM($J143)=0,NOT(AND($D143="Female",$F143="Y",OR($C143="10-14",$C143="15-17")))),"",ROUND($N143*$J143,0))</f>
        <v/>
      </c>
      <c r="P143" s="218" t="str">
        <f t="shared" ref="P143:P206" si="27">IF(OR(SUM($N143)=0,SUM($K143)=0,NOT(OR($C143="10-14",$C143="05-09"))),"",ROUND($N143*$K143,0))</f>
        <v/>
      </c>
      <c r="Q143" s="218" t="str">
        <f t="shared" ref="Q143:Q206" si="28">IFERROR(1/(1/ROUND($N143*$L143*$M143,0)),"")</f>
        <v/>
      </c>
      <c r="R143" s="218" t="str">
        <f t="shared" ref="R143:R206" si="29">IFERROR(1/(1/(ROUND($N143*$L143,0)-$Q143)),"")</f>
        <v/>
      </c>
      <c r="S143" s="246" t="str">
        <f t="shared" ref="S143:S206" si="30">IF(OR($C143="18+",SUM($Q143,$R143)=0),"",100%)</f>
        <v/>
      </c>
      <c r="T143" s="218" t="str">
        <f t="shared" ref="T143:T206" si="31">IF(OR($C143="18+",SUM($Q143,$R143)=0),"",ROUND(SUM($Q143,$R143)*$S143,0))</f>
        <v/>
      </c>
    </row>
    <row r="144" spans="1:20" x14ac:dyDescent="0.2">
      <c r="A144" t="str">
        <f>INDEX(Prioritization!$D:$D,MATCH($B144,Prioritization!$A:$A,0))</f>
        <v>INVALID</v>
      </c>
      <c r="B144" t="s">
        <v>300</v>
      </c>
      <c r="C144" t="s">
        <v>970</v>
      </c>
      <c r="D144" t="s">
        <v>48</v>
      </c>
      <c r="E144" t="str">
        <f t="shared" si="23"/>
        <v>Kasungu District [JQKLKuVuY61]|01-04|Male</v>
      </c>
      <c r="G144" s="38"/>
      <c r="H144" s="38"/>
      <c r="I144" s="240"/>
      <c r="J144" s="33"/>
      <c r="K144" s="33"/>
      <c r="L144" s="33">
        <f t="shared" si="24"/>
        <v>1</v>
      </c>
      <c r="M144" s="33">
        <f t="shared" si="25"/>
        <v>0.2</v>
      </c>
      <c r="N144" s="38" t="str">
        <f t="shared" ref="N144:N207" si="32">IF(SUM($H144)=0,"",ROUND($H144*(1+$I144),0))</f>
        <v/>
      </c>
      <c r="O144" s="218" t="str">
        <f t="shared" si="26"/>
        <v/>
      </c>
      <c r="P144" s="218" t="str">
        <f t="shared" si="27"/>
        <v/>
      </c>
      <c r="Q144" s="218" t="str">
        <f t="shared" si="28"/>
        <v/>
      </c>
      <c r="R144" s="218" t="str">
        <f t="shared" si="29"/>
        <v/>
      </c>
      <c r="S144" s="246" t="str">
        <f t="shared" si="30"/>
        <v/>
      </c>
      <c r="T144" s="237" t="str">
        <f t="shared" si="31"/>
        <v/>
      </c>
    </row>
    <row r="145" spans="1:20" x14ac:dyDescent="0.2">
      <c r="A145" t="str">
        <f>INDEX(Prioritization!$D:$D,MATCH($B145,Prioritization!$A:$A,0))</f>
        <v>INVALID</v>
      </c>
      <c r="B145" t="s">
        <v>300</v>
      </c>
      <c r="C145" t="s">
        <v>971</v>
      </c>
      <c r="D145" t="s">
        <v>30</v>
      </c>
      <c r="E145" t="str">
        <f t="shared" si="23"/>
        <v>Kasungu District [JQKLKuVuY61]|05-09|Female</v>
      </c>
      <c r="G145" s="38"/>
      <c r="H145" s="38"/>
      <c r="I145" s="240"/>
      <c r="J145" s="33"/>
      <c r="K145" s="33"/>
      <c r="L145" s="33">
        <f t="shared" si="24"/>
        <v>1</v>
      </c>
      <c r="M145" s="33">
        <f t="shared" si="25"/>
        <v>0.2</v>
      </c>
      <c r="N145" s="38" t="str">
        <f t="shared" si="32"/>
        <v/>
      </c>
      <c r="O145" s="218" t="str">
        <f t="shared" si="26"/>
        <v/>
      </c>
      <c r="P145" s="218" t="str">
        <f t="shared" si="27"/>
        <v/>
      </c>
      <c r="Q145" s="218" t="str">
        <f t="shared" si="28"/>
        <v/>
      </c>
      <c r="R145" s="218" t="str">
        <f t="shared" si="29"/>
        <v/>
      </c>
      <c r="S145" s="246" t="str">
        <f t="shared" si="30"/>
        <v/>
      </c>
      <c r="T145" s="218" t="str">
        <f t="shared" si="31"/>
        <v/>
      </c>
    </row>
    <row r="146" spans="1:20" x14ac:dyDescent="0.2">
      <c r="A146" t="str">
        <f>INDEX(Prioritization!$D:$D,MATCH($B146,Prioritization!$A:$A,0))</f>
        <v>INVALID</v>
      </c>
      <c r="B146" t="s">
        <v>300</v>
      </c>
      <c r="C146" t="s">
        <v>971</v>
      </c>
      <c r="D146" t="s">
        <v>48</v>
      </c>
      <c r="E146" t="str">
        <f t="shared" si="23"/>
        <v>Kasungu District [JQKLKuVuY61]|05-09|Male</v>
      </c>
      <c r="G146" s="38"/>
      <c r="H146" s="38"/>
      <c r="I146" s="240"/>
      <c r="J146" s="33"/>
      <c r="K146" s="33"/>
      <c r="L146" s="33">
        <f t="shared" si="24"/>
        <v>1</v>
      </c>
      <c r="M146" s="33">
        <f t="shared" si="25"/>
        <v>0.2</v>
      </c>
      <c r="N146" s="38" t="str">
        <f t="shared" si="32"/>
        <v/>
      </c>
      <c r="O146" s="218" t="str">
        <f t="shared" si="26"/>
        <v/>
      </c>
      <c r="P146" s="218" t="str">
        <f t="shared" si="27"/>
        <v/>
      </c>
      <c r="Q146" s="218" t="str">
        <f t="shared" si="28"/>
        <v/>
      </c>
      <c r="R146" s="218" t="str">
        <f t="shared" si="29"/>
        <v/>
      </c>
      <c r="S146" s="246" t="str">
        <f t="shared" si="30"/>
        <v/>
      </c>
      <c r="T146" s="237" t="str">
        <f t="shared" si="31"/>
        <v/>
      </c>
    </row>
    <row r="147" spans="1:20" x14ac:dyDescent="0.2">
      <c r="A147" t="str">
        <f>INDEX(Prioritization!$D:$D,MATCH($B147,Prioritization!$A:$A,0))</f>
        <v>INVALID</v>
      </c>
      <c r="B147" t="s">
        <v>300</v>
      </c>
      <c r="C147" t="s">
        <v>474</v>
      </c>
      <c r="D147" t="s">
        <v>30</v>
      </c>
      <c r="E147" t="str">
        <f t="shared" si="23"/>
        <v>Kasungu District [JQKLKuVuY61]|10-14|Female</v>
      </c>
      <c r="G147" s="38">
        <v>6</v>
      </c>
      <c r="H147" s="38">
        <v>56</v>
      </c>
      <c r="I147" s="241">
        <v>-0.28571428599999998</v>
      </c>
      <c r="J147" s="33"/>
      <c r="K147" s="33">
        <v>1</v>
      </c>
      <c r="L147" s="33">
        <f t="shared" si="24"/>
        <v>0</v>
      </c>
      <c r="M147" s="33" t="str">
        <f t="shared" si="25"/>
        <v/>
      </c>
      <c r="N147" s="38">
        <f t="shared" si="32"/>
        <v>40</v>
      </c>
      <c r="O147" s="218" t="str">
        <f t="shared" si="26"/>
        <v/>
      </c>
      <c r="P147" s="218">
        <f t="shared" si="27"/>
        <v>40</v>
      </c>
      <c r="Q147" s="218" t="str">
        <f t="shared" si="28"/>
        <v/>
      </c>
      <c r="R147" s="218" t="str">
        <f t="shared" si="29"/>
        <v/>
      </c>
      <c r="S147" s="246" t="str">
        <f t="shared" si="30"/>
        <v/>
      </c>
      <c r="T147" s="218" t="str">
        <f t="shared" si="31"/>
        <v/>
      </c>
    </row>
    <row r="148" spans="1:20" x14ac:dyDescent="0.2">
      <c r="A148" t="str">
        <f>INDEX(Prioritization!$D:$D,MATCH($B148,Prioritization!$A:$A,0))</f>
        <v>INVALID</v>
      </c>
      <c r="B148" t="s">
        <v>300</v>
      </c>
      <c r="C148" t="s">
        <v>474</v>
      </c>
      <c r="D148" t="s">
        <v>48</v>
      </c>
      <c r="E148" t="str">
        <f t="shared" si="23"/>
        <v>Kasungu District [JQKLKuVuY61]|10-14|Male</v>
      </c>
      <c r="G148" s="38">
        <v>3</v>
      </c>
      <c r="H148" s="38">
        <v>44</v>
      </c>
      <c r="I148" s="241">
        <v>-0.31818181800000001</v>
      </c>
      <c r="J148" s="33"/>
      <c r="K148" s="33">
        <v>1</v>
      </c>
      <c r="L148" s="33">
        <f t="shared" si="24"/>
        <v>0</v>
      </c>
      <c r="M148" s="33" t="str">
        <f t="shared" si="25"/>
        <v/>
      </c>
      <c r="N148" s="38">
        <f t="shared" si="32"/>
        <v>30</v>
      </c>
      <c r="O148" s="218" t="str">
        <f t="shared" si="26"/>
        <v/>
      </c>
      <c r="P148" s="218">
        <f t="shared" si="27"/>
        <v>30</v>
      </c>
      <c r="Q148" s="218" t="str">
        <f t="shared" si="28"/>
        <v/>
      </c>
      <c r="R148" s="218" t="str">
        <f t="shared" si="29"/>
        <v/>
      </c>
      <c r="S148" s="246" t="str">
        <f t="shared" si="30"/>
        <v/>
      </c>
      <c r="T148" s="237" t="str">
        <f t="shared" si="31"/>
        <v/>
      </c>
    </row>
    <row r="149" spans="1:20" x14ac:dyDescent="0.2">
      <c r="A149" t="str">
        <f>INDEX(Prioritization!$D:$D,MATCH($B149,Prioritization!$A:$A,0))</f>
        <v>INVALID</v>
      </c>
      <c r="B149" t="s">
        <v>300</v>
      </c>
      <c r="C149" t="s">
        <v>972</v>
      </c>
      <c r="D149" t="s">
        <v>30</v>
      </c>
      <c r="E149" t="str">
        <f t="shared" si="23"/>
        <v>Kasungu District [JQKLKuVuY61]|15-17|Female</v>
      </c>
      <c r="G149" s="38"/>
      <c r="H149" s="38"/>
      <c r="I149" s="240"/>
      <c r="J149" s="33"/>
      <c r="K149" s="33"/>
      <c r="L149" s="33">
        <f t="shared" si="24"/>
        <v>1</v>
      </c>
      <c r="M149" s="33">
        <f t="shared" si="25"/>
        <v>0.2</v>
      </c>
      <c r="N149" s="38" t="str">
        <f t="shared" si="32"/>
        <v/>
      </c>
      <c r="O149" s="218" t="str">
        <f t="shared" si="26"/>
        <v/>
      </c>
      <c r="P149" s="218" t="str">
        <f t="shared" si="27"/>
        <v/>
      </c>
      <c r="Q149" s="218" t="str">
        <f t="shared" si="28"/>
        <v/>
      </c>
      <c r="R149" s="218" t="str">
        <f t="shared" si="29"/>
        <v/>
      </c>
      <c r="S149" s="246" t="str">
        <f t="shared" si="30"/>
        <v/>
      </c>
      <c r="T149" s="218" t="str">
        <f t="shared" si="31"/>
        <v/>
      </c>
    </row>
    <row r="150" spans="1:20" x14ac:dyDescent="0.2">
      <c r="A150" t="str">
        <f>INDEX(Prioritization!$D:$D,MATCH($B150,Prioritization!$A:$A,0))</f>
        <v>INVALID</v>
      </c>
      <c r="B150" t="s">
        <v>300</v>
      </c>
      <c r="C150" t="s">
        <v>972</v>
      </c>
      <c r="D150" t="s">
        <v>48</v>
      </c>
      <c r="E150" t="str">
        <f t="shared" si="23"/>
        <v>Kasungu District [JQKLKuVuY61]|15-17|Male</v>
      </c>
      <c r="G150" s="38"/>
      <c r="H150" s="38"/>
      <c r="I150" s="240"/>
      <c r="J150" s="33"/>
      <c r="K150" s="33"/>
      <c r="L150" s="33">
        <f t="shared" si="24"/>
        <v>1</v>
      </c>
      <c r="M150" s="33">
        <f t="shared" si="25"/>
        <v>0.2</v>
      </c>
      <c r="N150" s="38" t="str">
        <f t="shared" si="32"/>
        <v/>
      </c>
      <c r="O150" s="218" t="str">
        <f t="shared" si="26"/>
        <v/>
      </c>
      <c r="P150" s="218" t="str">
        <f t="shared" si="27"/>
        <v/>
      </c>
      <c r="Q150" s="218" t="str">
        <f t="shared" si="28"/>
        <v/>
      </c>
      <c r="R150" s="218" t="str">
        <f t="shared" si="29"/>
        <v/>
      </c>
      <c r="S150" s="246" t="str">
        <f t="shared" si="30"/>
        <v/>
      </c>
      <c r="T150" s="237" t="str">
        <f t="shared" si="31"/>
        <v/>
      </c>
    </row>
    <row r="151" spans="1:20" x14ac:dyDescent="0.2">
      <c r="A151" t="str">
        <f>INDEX(Prioritization!$D:$D,MATCH($B151,Prioritization!$A:$A,0))</f>
        <v>INVALID</v>
      </c>
      <c r="B151" t="s">
        <v>300</v>
      </c>
      <c r="C151" t="s">
        <v>974</v>
      </c>
      <c r="D151" t="s">
        <v>30</v>
      </c>
      <c r="E151" t="str">
        <f t="shared" si="23"/>
        <v>Kasungu District [JQKLKuVuY61]|18+|Female</v>
      </c>
      <c r="G151" s="38"/>
      <c r="H151" s="38"/>
      <c r="I151" s="240"/>
      <c r="J151" s="33"/>
      <c r="K151" s="33"/>
      <c r="L151" s="33">
        <f t="shared" si="24"/>
        <v>1</v>
      </c>
      <c r="M151" s="33">
        <f t="shared" si="25"/>
        <v>0.2</v>
      </c>
      <c r="N151" s="38" t="str">
        <f t="shared" si="32"/>
        <v/>
      </c>
      <c r="O151" s="218" t="str">
        <f t="shared" si="26"/>
        <v/>
      </c>
      <c r="P151" s="218" t="str">
        <f t="shared" si="27"/>
        <v/>
      </c>
      <c r="Q151" s="218" t="str">
        <f t="shared" si="28"/>
        <v/>
      </c>
      <c r="R151" s="218" t="str">
        <f t="shared" si="29"/>
        <v/>
      </c>
      <c r="S151" s="246" t="str">
        <f t="shared" si="30"/>
        <v/>
      </c>
      <c r="T151" s="218" t="str">
        <f t="shared" si="31"/>
        <v/>
      </c>
    </row>
    <row r="152" spans="1:20" x14ac:dyDescent="0.2">
      <c r="A152" t="str">
        <f>INDEX(Prioritization!$D:$D,MATCH($B152,Prioritization!$A:$A,0))</f>
        <v>INVALID</v>
      </c>
      <c r="B152" t="s">
        <v>300</v>
      </c>
      <c r="C152" t="s">
        <v>974</v>
      </c>
      <c r="D152" t="s">
        <v>48</v>
      </c>
      <c r="E152" t="str">
        <f t="shared" si="23"/>
        <v>Kasungu District [JQKLKuVuY61]|18+|Male</v>
      </c>
      <c r="G152" s="38"/>
      <c r="H152" s="38"/>
      <c r="I152" s="240"/>
      <c r="J152" s="33"/>
      <c r="K152" s="33"/>
      <c r="L152" s="33">
        <f t="shared" si="24"/>
        <v>1</v>
      </c>
      <c r="M152" s="33">
        <f t="shared" si="25"/>
        <v>0.2</v>
      </c>
      <c r="N152" s="38" t="str">
        <f t="shared" si="32"/>
        <v/>
      </c>
      <c r="O152" s="218" t="str">
        <f t="shared" si="26"/>
        <v/>
      </c>
      <c r="P152" s="218" t="str">
        <f t="shared" si="27"/>
        <v/>
      </c>
      <c r="Q152" s="218" t="str">
        <f t="shared" si="28"/>
        <v/>
      </c>
      <c r="R152" s="218" t="str">
        <f t="shared" si="29"/>
        <v/>
      </c>
      <c r="S152" s="246" t="str">
        <f t="shared" si="30"/>
        <v/>
      </c>
      <c r="T152" s="237" t="str">
        <f t="shared" si="31"/>
        <v/>
      </c>
    </row>
    <row r="153" spans="1:20" x14ac:dyDescent="0.2">
      <c r="A153" t="str">
        <f>INDEX(Prioritization!$D:$D,MATCH($B153,Prioritization!$A:$A,0))</f>
        <v>INVALID</v>
      </c>
      <c r="B153" t="s">
        <v>300</v>
      </c>
      <c r="C153" t="s">
        <v>973</v>
      </c>
      <c r="D153" t="s">
        <v>30</v>
      </c>
      <c r="E153" t="str">
        <f t="shared" si="23"/>
        <v>Kasungu District [JQKLKuVuY61]|18-20|Female</v>
      </c>
      <c r="G153" s="38"/>
      <c r="H153" s="38"/>
      <c r="I153" s="240"/>
      <c r="J153" s="33"/>
      <c r="K153" s="33"/>
      <c r="L153" s="33">
        <f t="shared" si="24"/>
        <v>1</v>
      </c>
      <c r="M153" s="33">
        <f t="shared" si="25"/>
        <v>0.2</v>
      </c>
      <c r="N153" s="38" t="str">
        <f t="shared" si="32"/>
        <v/>
      </c>
      <c r="O153" s="218" t="str">
        <f t="shared" si="26"/>
        <v/>
      </c>
      <c r="P153" s="218" t="str">
        <f t="shared" si="27"/>
        <v/>
      </c>
      <c r="Q153" s="218" t="str">
        <f t="shared" si="28"/>
        <v/>
      </c>
      <c r="R153" s="218" t="str">
        <f t="shared" si="29"/>
        <v/>
      </c>
      <c r="S153" s="246" t="str">
        <f t="shared" si="30"/>
        <v/>
      </c>
      <c r="T153" s="218" t="str">
        <f t="shared" si="31"/>
        <v/>
      </c>
    </row>
    <row r="154" spans="1:20" x14ac:dyDescent="0.2">
      <c r="A154" t="str">
        <f>INDEX(Prioritization!$D:$D,MATCH($B154,Prioritization!$A:$A,0))</f>
        <v>INVALID</v>
      </c>
      <c r="B154" t="s">
        <v>300</v>
      </c>
      <c r="C154" t="s">
        <v>973</v>
      </c>
      <c r="D154" t="s">
        <v>48</v>
      </c>
      <c r="E154" t="str">
        <f t="shared" si="23"/>
        <v>Kasungu District [JQKLKuVuY61]|18-20|Male</v>
      </c>
      <c r="G154" s="38"/>
      <c r="H154" s="38"/>
      <c r="I154" s="240"/>
      <c r="J154" s="33"/>
      <c r="K154" s="33"/>
      <c r="L154" s="33">
        <f t="shared" si="24"/>
        <v>1</v>
      </c>
      <c r="M154" s="33">
        <f t="shared" si="25"/>
        <v>0.2</v>
      </c>
      <c r="N154" s="38" t="str">
        <f t="shared" si="32"/>
        <v/>
      </c>
      <c r="O154" s="218" t="str">
        <f t="shared" si="26"/>
        <v/>
      </c>
      <c r="P154" s="218" t="str">
        <f t="shared" si="27"/>
        <v/>
      </c>
      <c r="Q154" s="218" t="str">
        <f t="shared" si="28"/>
        <v/>
      </c>
      <c r="R154" s="218" t="str">
        <f t="shared" si="29"/>
        <v/>
      </c>
      <c r="S154" s="246" t="str">
        <f t="shared" si="30"/>
        <v/>
      </c>
      <c r="T154" s="237" t="str">
        <f t="shared" si="31"/>
        <v/>
      </c>
    </row>
    <row r="155" spans="1:20" x14ac:dyDescent="0.2">
      <c r="A155" t="str">
        <f>INDEX(Prioritization!$D:$D,MATCH($B155,Prioritization!$A:$A,0))</f>
        <v>4 - Sustained</v>
      </c>
      <c r="B155" t="s">
        <v>309</v>
      </c>
      <c r="C155" t="s">
        <v>426</v>
      </c>
      <c r="D155" t="s">
        <v>30</v>
      </c>
      <c r="E155" t="str">
        <f t="shared" si="23"/>
        <v>Likoma District [ZCjuwgaMB9u]|&lt;01|Female</v>
      </c>
      <c r="G155" s="38"/>
      <c r="H155" s="38"/>
      <c r="I155" s="240"/>
      <c r="J155" s="33"/>
      <c r="K155" s="33"/>
      <c r="L155" s="33">
        <f t="shared" si="24"/>
        <v>1</v>
      </c>
      <c r="M155" s="33">
        <f t="shared" si="25"/>
        <v>0.2</v>
      </c>
      <c r="N155" s="38" t="str">
        <f t="shared" si="32"/>
        <v/>
      </c>
      <c r="O155" s="218" t="str">
        <f t="shared" si="26"/>
        <v/>
      </c>
      <c r="P155" s="218" t="str">
        <f t="shared" si="27"/>
        <v/>
      </c>
      <c r="Q155" s="218" t="str">
        <f t="shared" si="28"/>
        <v/>
      </c>
      <c r="R155" s="218" t="str">
        <f t="shared" si="29"/>
        <v/>
      </c>
      <c r="S155" s="246" t="str">
        <f t="shared" si="30"/>
        <v/>
      </c>
      <c r="T155" s="218" t="str">
        <f t="shared" si="31"/>
        <v/>
      </c>
    </row>
    <row r="156" spans="1:20" x14ac:dyDescent="0.2">
      <c r="A156" t="str">
        <f>INDEX(Prioritization!$D:$D,MATCH($B156,Prioritization!$A:$A,0))</f>
        <v>4 - Sustained</v>
      </c>
      <c r="B156" t="s">
        <v>309</v>
      </c>
      <c r="C156" t="s">
        <v>426</v>
      </c>
      <c r="D156" t="s">
        <v>48</v>
      </c>
      <c r="E156" t="str">
        <f t="shared" si="23"/>
        <v>Likoma District [ZCjuwgaMB9u]|&lt;01|Male</v>
      </c>
      <c r="G156" s="38"/>
      <c r="H156" s="38"/>
      <c r="I156" s="240"/>
      <c r="J156" s="33"/>
      <c r="K156" s="33"/>
      <c r="L156" s="33">
        <f t="shared" si="24"/>
        <v>1</v>
      </c>
      <c r="M156" s="33">
        <f t="shared" si="25"/>
        <v>0.2</v>
      </c>
      <c r="N156" s="38" t="str">
        <f t="shared" si="32"/>
        <v/>
      </c>
      <c r="O156" s="218" t="str">
        <f t="shared" si="26"/>
        <v/>
      </c>
      <c r="P156" s="218" t="str">
        <f t="shared" si="27"/>
        <v/>
      </c>
      <c r="Q156" s="218" t="str">
        <f t="shared" si="28"/>
        <v/>
      </c>
      <c r="R156" s="218" t="str">
        <f t="shared" si="29"/>
        <v/>
      </c>
      <c r="S156" s="246" t="str">
        <f t="shared" si="30"/>
        <v/>
      </c>
      <c r="T156" s="237" t="str">
        <f t="shared" si="31"/>
        <v/>
      </c>
    </row>
    <row r="157" spans="1:20" x14ac:dyDescent="0.2">
      <c r="A157" t="str">
        <f>INDEX(Prioritization!$D:$D,MATCH($B157,Prioritization!$A:$A,0))</f>
        <v>4 - Sustained</v>
      </c>
      <c r="B157" t="s">
        <v>309</v>
      </c>
      <c r="C157" t="s">
        <v>970</v>
      </c>
      <c r="D157" t="s">
        <v>30</v>
      </c>
      <c r="E157" t="str">
        <f t="shared" si="23"/>
        <v>Likoma District [ZCjuwgaMB9u]|01-04|Female</v>
      </c>
      <c r="G157" s="38"/>
      <c r="H157" s="38"/>
      <c r="I157" s="240"/>
      <c r="J157" s="33"/>
      <c r="K157" s="33"/>
      <c r="L157" s="33">
        <f t="shared" si="24"/>
        <v>1</v>
      </c>
      <c r="M157" s="33">
        <f t="shared" si="25"/>
        <v>0.2</v>
      </c>
      <c r="N157" s="38" t="str">
        <f t="shared" si="32"/>
        <v/>
      </c>
      <c r="O157" s="218" t="str">
        <f t="shared" si="26"/>
        <v/>
      </c>
      <c r="P157" s="218" t="str">
        <f t="shared" si="27"/>
        <v/>
      </c>
      <c r="Q157" s="218" t="str">
        <f t="shared" si="28"/>
        <v/>
      </c>
      <c r="R157" s="218" t="str">
        <f t="shared" si="29"/>
        <v/>
      </c>
      <c r="S157" s="246" t="str">
        <f t="shared" si="30"/>
        <v/>
      </c>
      <c r="T157" s="218" t="str">
        <f t="shared" si="31"/>
        <v/>
      </c>
    </row>
    <row r="158" spans="1:20" x14ac:dyDescent="0.2">
      <c r="A158" t="str">
        <f>INDEX(Prioritization!$D:$D,MATCH($B158,Prioritization!$A:$A,0))</f>
        <v>4 - Sustained</v>
      </c>
      <c r="B158" t="s">
        <v>309</v>
      </c>
      <c r="C158" t="s">
        <v>970</v>
      </c>
      <c r="D158" t="s">
        <v>48</v>
      </c>
      <c r="E158" t="str">
        <f t="shared" si="23"/>
        <v>Likoma District [ZCjuwgaMB9u]|01-04|Male</v>
      </c>
      <c r="G158" s="38"/>
      <c r="H158" s="38"/>
      <c r="I158" s="240"/>
      <c r="J158" s="33"/>
      <c r="K158" s="33"/>
      <c r="L158" s="33">
        <f t="shared" si="24"/>
        <v>1</v>
      </c>
      <c r="M158" s="33">
        <f t="shared" si="25"/>
        <v>0.2</v>
      </c>
      <c r="N158" s="38" t="str">
        <f t="shared" si="32"/>
        <v/>
      </c>
      <c r="O158" s="218" t="str">
        <f t="shared" si="26"/>
        <v/>
      </c>
      <c r="P158" s="218" t="str">
        <f t="shared" si="27"/>
        <v/>
      </c>
      <c r="Q158" s="218" t="str">
        <f t="shared" si="28"/>
        <v/>
      </c>
      <c r="R158" s="218" t="str">
        <f t="shared" si="29"/>
        <v/>
      </c>
      <c r="S158" s="246" t="str">
        <f t="shared" si="30"/>
        <v/>
      </c>
      <c r="T158" s="237" t="str">
        <f t="shared" si="31"/>
        <v/>
      </c>
    </row>
    <row r="159" spans="1:20" x14ac:dyDescent="0.2">
      <c r="A159" t="str">
        <f>INDEX(Prioritization!$D:$D,MATCH($B159,Prioritization!$A:$A,0))</f>
        <v>4 - Sustained</v>
      </c>
      <c r="B159" t="s">
        <v>309</v>
      </c>
      <c r="C159" t="s">
        <v>971</v>
      </c>
      <c r="D159" t="s">
        <v>30</v>
      </c>
      <c r="E159" t="str">
        <f t="shared" si="23"/>
        <v>Likoma District [ZCjuwgaMB9u]|05-09|Female</v>
      </c>
      <c r="G159" s="38"/>
      <c r="H159" s="38"/>
      <c r="I159" s="240"/>
      <c r="J159" s="33"/>
      <c r="K159" s="33"/>
      <c r="L159" s="33">
        <f t="shared" si="24"/>
        <v>1</v>
      </c>
      <c r="M159" s="33">
        <f t="shared" si="25"/>
        <v>0.2</v>
      </c>
      <c r="N159" s="38" t="str">
        <f t="shared" si="32"/>
        <v/>
      </c>
      <c r="O159" s="218" t="str">
        <f t="shared" si="26"/>
        <v/>
      </c>
      <c r="P159" s="218" t="str">
        <f t="shared" si="27"/>
        <v/>
      </c>
      <c r="Q159" s="218" t="str">
        <f t="shared" si="28"/>
        <v/>
      </c>
      <c r="R159" s="218" t="str">
        <f t="shared" si="29"/>
        <v/>
      </c>
      <c r="S159" s="246" t="str">
        <f t="shared" si="30"/>
        <v/>
      </c>
      <c r="T159" s="218" t="str">
        <f t="shared" si="31"/>
        <v/>
      </c>
    </row>
    <row r="160" spans="1:20" x14ac:dyDescent="0.2">
      <c r="A160" t="str">
        <f>INDEX(Prioritization!$D:$D,MATCH($B160,Prioritization!$A:$A,0))</f>
        <v>4 - Sustained</v>
      </c>
      <c r="B160" t="s">
        <v>309</v>
      </c>
      <c r="C160" t="s">
        <v>971</v>
      </c>
      <c r="D160" t="s">
        <v>48</v>
      </c>
      <c r="E160" t="str">
        <f t="shared" si="23"/>
        <v>Likoma District [ZCjuwgaMB9u]|05-09|Male</v>
      </c>
      <c r="G160" s="38"/>
      <c r="H160" s="38"/>
      <c r="I160" s="240"/>
      <c r="J160" s="33"/>
      <c r="K160" s="33"/>
      <c r="L160" s="33">
        <f t="shared" si="24"/>
        <v>1</v>
      </c>
      <c r="M160" s="33">
        <f t="shared" si="25"/>
        <v>0.2</v>
      </c>
      <c r="N160" s="38" t="str">
        <f t="shared" si="32"/>
        <v/>
      </c>
      <c r="O160" s="218" t="str">
        <f t="shared" si="26"/>
        <v/>
      </c>
      <c r="P160" s="218" t="str">
        <f t="shared" si="27"/>
        <v/>
      </c>
      <c r="Q160" s="218" t="str">
        <f t="shared" si="28"/>
        <v/>
      </c>
      <c r="R160" s="218" t="str">
        <f t="shared" si="29"/>
        <v/>
      </c>
      <c r="S160" s="246" t="str">
        <f t="shared" si="30"/>
        <v/>
      </c>
      <c r="T160" s="237" t="str">
        <f t="shared" si="31"/>
        <v/>
      </c>
    </row>
    <row r="161" spans="1:20" x14ac:dyDescent="0.2">
      <c r="A161" t="str">
        <f>INDEX(Prioritization!$D:$D,MATCH($B161,Prioritization!$A:$A,0))</f>
        <v>4 - Sustained</v>
      </c>
      <c r="B161" t="s">
        <v>309</v>
      </c>
      <c r="C161" t="s">
        <v>474</v>
      </c>
      <c r="D161" t="s">
        <v>30</v>
      </c>
      <c r="E161" t="str">
        <f t="shared" si="23"/>
        <v>Likoma District [ZCjuwgaMB9u]|10-14|Female</v>
      </c>
      <c r="G161" s="38"/>
      <c r="H161" s="38"/>
      <c r="I161" s="240"/>
      <c r="J161" s="33"/>
      <c r="K161" s="33"/>
      <c r="L161" s="33">
        <f t="shared" si="24"/>
        <v>1</v>
      </c>
      <c r="M161" s="33">
        <f t="shared" si="25"/>
        <v>0.2</v>
      </c>
      <c r="N161" s="38" t="str">
        <f t="shared" si="32"/>
        <v/>
      </c>
      <c r="O161" s="218" t="str">
        <f t="shared" si="26"/>
        <v/>
      </c>
      <c r="P161" s="218" t="str">
        <f t="shared" si="27"/>
        <v/>
      </c>
      <c r="Q161" s="218" t="str">
        <f t="shared" si="28"/>
        <v/>
      </c>
      <c r="R161" s="218" t="str">
        <f t="shared" si="29"/>
        <v/>
      </c>
      <c r="S161" s="246" t="str">
        <f t="shared" si="30"/>
        <v/>
      </c>
      <c r="T161" s="218" t="str">
        <f t="shared" si="31"/>
        <v/>
      </c>
    </row>
    <row r="162" spans="1:20" x14ac:dyDescent="0.2">
      <c r="A162" t="str">
        <f>INDEX(Prioritization!$D:$D,MATCH($B162,Prioritization!$A:$A,0))</f>
        <v>4 - Sustained</v>
      </c>
      <c r="B162" t="s">
        <v>309</v>
      </c>
      <c r="C162" t="s">
        <v>474</v>
      </c>
      <c r="D162" t="s">
        <v>48</v>
      </c>
      <c r="E162" t="str">
        <f t="shared" si="23"/>
        <v>Likoma District [ZCjuwgaMB9u]|10-14|Male</v>
      </c>
      <c r="G162" s="38"/>
      <c r="H162" s="38"/>
      <c r="I162" s="240"/>
      <c r="J162" s="33"/>
      <c r="K162" s="33"/>
      <c r="L162" s="33">
        <f t="shared" si="24"/>
        <v>1</v>
      </c>
      <c r="M162" s="33">
        <f t="shared" si="25"/>
        <v>0.2</v>
      </c>
      <c r="N162" s="38" t="str">
        <f t="shared" si="32"/>
        <v/>
      </c>
      <c r="O162" s="218" t="str">
        <f t="shared" si="26"/>
        <v/>
      </c>
      <c r="P162" s="218" t="str">
        <f t="shared" si="27"/>
        <v/>
      </c>
      <c r="Q162" s="218" t="str">
        <f t="shared" si="28"/>
        <v/>
      </c>
      <c r="R162" s="218" t="str">
        <f t="shared" si="29"/>
        <v/>
      </c>
      <c r="S162" s="246" t="str">
        <f t="shared" si="30"/>
        <v/>
      </c>
      <c r="T162" s="237" t="str">
        <f t="shared" si="31"/>
        <v/>
      </c>
    </row>
    <row r="163" spans="1:20" x14ac:dyDescent="0.2">
      <c r="A163" t="str">
        <f>INDEX(Prioritization!$D:$D,MATCH($B163,Prioritization!$A:$A,0))</f>
        <v>4 - Sustained</v>
      </c>
      <c r="B163" t="s">
        <v>309</v>
      </c>
      <c r="C163" t="s">
        <v>972</v>
      </c>
      <c r="D163" t="s">
        <v>30</v>
      </c>
      <c r="E163" t="str">
        <f t="shared" si="23"/>
        <v>Likoma District [ZCjuwgaMB9u]|15-17|Female</v>
      </c>
      <c r="G163" s="38"/>
      <c r="H163" s="38"/>
      <c r="I163" s="240"/>
      <c r="J163" s="33"/>
      <c r="K163" s="33"/>
      <c r="L163" s="33">
        <f t="shared" si="24"/>
        <v>1</v>
      </c>
      <c r="M163" s="33">
        <f t="shared" si="25"/>
        <v>0.2</v>
      </c>
      <c r="N163" s="38" t="str">
        <f t="shared" si="32"/>
        <v/>
      </c>
      <c r="O163" s="218" t="str">
        <f t="shared" si="26"/>
        <v/>
      </c>
      <c r="P163" s="218" t="str">
        <f t="shared" si="27"/>
        <v/>
      </c>
      <c r="Q163" s="218" t="str">
        <f t="shared" si="28"/>
        <v/>
      </c>
      <c r="R163" s="218" t="str">
        <f t="shared" si="29"/>
        <v/>
      </c>
      <c r="S163" s="246" t="str">
        <f t="shared" si="30"/>
        <v/>
      </c>
      <c r="T163" s="218" t="str">
        <f t="shared" si="31"/>
        <v/>
      </c>
    </row>
    <row r="164" spans="1:20" x14ac:dyDescent="0.2">
      <c r="A164" t="str">
        <f>INDEX(Prioritization!$D:$D,MATCH($B164,Prioritization!$A:$A,0))</f>
        <v>4 - Sustained</v>
      </c>
      <c r="B164" t="s">
        <v>309</v>
      </c>
      <c r="C164" t="s">
        <v>972</v>
      </c>
      <c r="D164" t="s">
        <v>48</v>
      </c>
      <c r="E164" t="str">
        <f t="shared" si="23"/>
        <v>Likoma District [ZCjuwgaMB9u]|15-17|Male</v>
      </c>
      <c r="G164" s="38"/>
      <c r="H164" s="38"/>
      <c r="I164" s="240"/>
      <c r="J164" s="33"/>
      <c r="K164" s="33"/>
      <c r="L164" s="33">
        <f t="shared" si="24"/>
        <v>1</v>
      </c>
      <c r="M164" s="33">
        <f t="shared" si="25"/>
        <v>0.2</v>
      </c>
      <c r="N164" s="38" t="str">
        <f t="shared" si="32"/>
        <v/>
      </c>
      <c r="O164" s="218" t="str">
        <f t="shared" si="26"/>
        <v/>
      </c>
      <c r="P164" s="218" t="str">
        <f t="shared" si="27"/>
        <v/>
      </c>
      <c r="Q164" s="218" t="str">
        <f t="shared" si="28"/>
        <v/>
      </c>
      <c r="R164" s="218" t="str">
        <f t="shared" si="29"/>
        <v/>
      </c>
      <c r="S164" s="246" t="str">
        <f t="shared" si="30"/>
        <v/>
      </c>
      <c r="T164" s="237" t="str">
        <f t="shared" si="31"/>
        <v/>
      </c>
    </row>
    <row r="165" spans="1:20" x14ac:dyDescent="0.2">
      <c r="A165" t="str">
        <f>INDEX(Prioritization!$D:$D,MATCH($B165,Prioritization!$A:$A,0))</f>
        <v>4 - Sustained</v>
      </c>
      <c r="B165" t="s">
        <v>309</v>
      </c>
      <c r="C165" t="s">
        <v>974</v>
      </c>
      <c r="D165" t="s">
        <v>30</v>
      </c>
      <c r="E165" t="str">
        <f t="shared" si="23"/>
        <v>Likoma District [ZCjuwgaMB9u]|18+|Female</v>
      </c>
      <c r="G165" s="38"/>
      <c r="H165" s="38"/>
      <c r="I165" s="240"/>
      <c r="J165" s="33"/>
      <c r="K165" s="33"/>
      <c r="L165" s="33">
        <f t="shared" si="24"/>
        <v>1</v>
      </c>
      <c r="M165" s="33">
        <f t="shared" si="25"/>
        <v>0.2</v>
      </c>
      <c r="N165" s="38" t="str">
        <f t="shared" si="32"/>
        <v/>
      </c>
      <c r="O165" s="218" t="str">
        <f t="shared" si="26"/>
        <v/>
      </c>
      <c r="P165" s="218" t="str">
        <f t="shared" si="27"/>
        <v/>
      </c>
      <c r="Q165" s="218" t="str">
        <f t="shared" si="28"/>
        <v/>
      </c>
      <c r="R165" s="218" t="str">
        <f t="shared" si="29"/>
        <v/>
      </c>
      <c r="S165" s="246" t="str">
        <f t="shared" si="30"/>
        <v/>
      </c>
      <c r="T165" s="218" t="str">
        <f t="shared" si="31"/>
        <v/>
      </c>
    </row>
    <row r="166" spans="1:20" x14ac:dyDescent="0.2">
      <c r="A166" t="str">
        <f>INDEX(Prioritization!$D:$D,MATCH($B166,Prioritization!$A:$A,0))</f>
        <v>4 - Sustained</v>
      </c>
      <c r="B166" t="s">
        <v>309</v>
      </c>
      <c r="C166" t="s">
        <v>974</v>
      </c>
      <c r="D166" t="s">
        <v>48</v>
      </c>
      <c r="E166" t="str">
        <f t="shared" si="23"/>
        <v>Likoma District [ZCjuwgaMB9u]|18+|Male</v>
      </c>
      <c r="G166" s="38"/>
      <c r="H166" s="38"/>
      <c r="I166" s="240"/>
      <c r="J166" s="33"/>
      <c r="K166" s="33"/>
      <c r="L166" s="33">
        <f t="shared" si="24"/>
        <v>1</v>
      </c>
      <c r="M166" s="33">
        <f t="shared" si="25"/>
        <v>0.2</v>
      </c>
      <c r="N166" s="38" t="str">
        <f t="shared" si="32"/>
        <v/>
      </c>
      <c r="O166" s="218" t="str">
        <f t="shared" si="26"/>
        <v/>
      </c>
      <c r="P166" s="218" t="str">
        <f t="shared" si="27"/>
        <v/>
      </c>
      <c r="Q166" s="218" t="str">
        <f t="shared" si="28"/>
        <v/>
      </c>
      <c r="R166" s="218" t="str">
        <f t="shared" si="29"/>
        <v/>
      </c>
      <c r="S166" s="246" t="str">
        <f t="shared" si="30"/>
        <v/>
      </c>
      <c r="T166" s="237" t="str">
        <f t="shared" si="31"/>
        <v/>
      </c>
    </row>
    <row r="167" spans="1:20" x14ac:dyDescent="0.2">
      <c r="A167" t="str">
        <f>INDEX(Prioritization!$D:$D,MATCH($B167,Prioritization!$A:$A,0))</f>
        <v>4 - Sustained</v>
      </c>
      <c r="B167" t="s">
        <v>309</v>
      </c>
      <c r="C167" t="s">
        <v>973</v>
      </c>
      <c r="D167" t="s">
        <v>30</v>
      </c>
      <c r="E167" t="str">
        <f t="shared" si="23"/>
        <v>Likoma District [ZCjuwgaMB9u]|18-20|Female</v>
      </c>
      <c r="G167" s="38"/>
      <c r="H167" s="38"/>
      <c r="I167" s="240"/>
      <c r="J167" s="33"/>
      <c r="K167" s="33"/>
      <c r="L167" s="33">
        <f t="shared" si="24"/>
        <v>1</v>
      </c>
      <c r="M167" s="33">
        <f t="shared" si="25"/>
        <v>0.2</v>
      </c>
      <c r="N167" s="38" t="str">
        <f t="shared" si="32"/>
        <v/>
      </c>
      <c r="O167" s="218" t="str">
        <f t="shared" si="26"/>
        <v/>
      </c>
      <c r="P167" s="218" t="str">
        <f t="shared" si="27"/>
        <v/>
      </c>
      <c r="Q167" s="218" t="str">
        <f t="shared" si="28"/>
        <v/>
      </c>
      <c r="R167" s="218" t="str">
        <f t="shared" si="29"/>
        <v/>
      </c>
      <c r="S167" s="246" t="str">
        <f t="shared" si="30"/>
        <v/>
      </c>
      <c r="T167" s="218" t="str">
        <f t="shared" si="31"/>
        <v/>
      </c>
    </row>
    <row r="168" spans="1:20" x14ac:dyDescent="0.2">
      <c r="A168" t="str">
        <f>INDEX(Prioritization!$D:$D,MATCH($B168,Prioritization!$A:$A,0))</f>
        <v>4 - Sustained</v>
      </c>
      <c r="B168" t="s">
        <v>309</v>
      </c>
      <c r="C168" t="s">
        <v>973</v>
      </c>
      <c r="D168" t="s">
        <v>48</v>
      </c>
      <c r="E168" t="str">
        <f t="shared" si="23"/>
        <v>Likoma District [ZCjuwgaMB9u]|18-20|Male</v>
      </c>
      <c r="G168" s="38"/>
      <c r="H168" s="38"/>
      <c r="I168" s="240"/>
      <c r="J168" s="33"/>
      <c r="K168" s="33"/>
      <c r="L168" s="33">
        <f t="shared" si="24"/>
        <v>1</v>
      </c>
      <c r="M168" s="33">
        <f t="shared" si="25"/>
        <v>0.2</v>
      </c>
      <c r="N168" s="38" t="str">
        <f t="shared" si="32"/>
        <v/>
      </c>
      <c r="O168" s="218" t="str">
        <f t="shared" si="26"/>
        <v/>
      </c>
      <c r="P168" s="218" t="str">
        <f t="shared" si="27"/>
        <v/>
      </c>
      <c r="Q168" s="218" t="str">
        <f t="shared" si="28"/>
        <v/>
      </c>
      <c r="R168" s="218" t="str">
        <f t="shared" si="29"/>
        <v/>
      </c>
      <c r="S168" s="246" t="str">
        <f t="shared" si="30"/>
        <v/>
      </c>
      <c r="T168" s="237" t="str">
        <f t="shared" si="31"/>
        <v/>
      </c>
    </row>
    <row r="169" spans="1:20" x14ac:dyDescent="0.2">
      <c r="A169" t="str">
        <f>INDEX(Prioritization!$D:$D,MATCH($B169,Prioritization!$A:$A,0))</f>
        <v>INVALID</v>
      </c>
      <c r="B169" t="s">
        <v>301</v>
      </c>
      <c r="C169" t="s">
        <v>426</v>
      </c>
      <c r="D169" t="s">
        <v>30</v>
      </c>
      <c r="E169" t="str">
        <f t="shared" si="23"/>
        <v>Lilongwe District [ScR9iFKAasW]|&lt;01|Female</v>
      </c>
      <c r="G169" s="38">
        <v>57</v>
      </c>
      <c r="H169" s="38">
        <v>2847</v>
      </c>
      <c r="I169" s="241">
        <v>-0.98489638199999996</v>
      </c>
      <c r="J169" s="33"/>
      <c r="K169" s="33"/>
      <c r="L169" s="33">
        <f t="shared" si="24"/>
        <v>1</v>
      </c>
      <c r="M169" s="33">
        <f t="shared" si="25"/>
        <v>0.2</v>
      </c>
      <c r="N169" s="38">
        <f t="shared" si="32"/>
        <v>43</v>
      </c>
      <c r="O169" s="218" t="str">
        <f t="shared" si="26"/>
        <v/>
      </c>
      <c r="P169" s="218" t="str">
        <f t="shared" si="27"/>
        <v/>
      </c>
      <c r="Q169" s="218">
        <f t="shared" si="28"/>
        <v>9</v>
      </c>
      <c r="R169" s="218">
        <f t="shared" si="29"/>
        <v>34</v>
      </c>
      <c r="S169" s="246">
        <f t="shared" si="30"/>
        <v>1</v>
      </c>
      <c r="T169" s="218">
        <f t="shared" si="31"/>
        <v>43</v>
      </c>
    </row>
    <row r="170" spans="1:20" x14ac:dyDescent="0.2">
      <c r="A170" t="str">
        <f>INDEX(Prioritization!$D:$D,MATCH($B170,Prioritization!$A:$A,0))</f>
        <v>INVALID</v>
      </c>
      <c r="B170" t="s">
        <v>301</v>
      </c>
      <c r="C170" t="s">
        <v>426</v>
      </c>
      <c r="D170" t="s">
        <v>48</v>
      </c>
      <c r="E170" t="str">
        <f t="shared" si="23"/>
        <v>Lilongwe District [ScR9iFKAasW]|&lt;01|Male</v>
      </c>
      <c r="G170" s="38">
        <v>41</v>
      </c>
      <c r="H170" s="38">
        <v>2847</v>
      </c>
      <c r="I170" s="241">
        <v>-0.98489638199999996</v>
      </c>
      <c r="J170" s="33"/>
      <c r="K170" s="33"/>
      <c r="L170" s="33">
        <f t="shared" si="24"/>
        <v>1</v>
      </c>
      <c r="M170" s="33">
        <f t="shared" si="25"/>
        <v>0.2</v>
      </c>
      <c r="N170" s="38">
        <f t="shared" si="32"/>
        <v>43</v>
      </c>
      <c r="O170" s="218" t="str">
        <f t="shared" si="26"/>
        <v/>
      </c>
      <c r="P170" s="218" t="str">
        <f t="shared" si="27"/>
        <v/>
      </c>
      <c r="Q170" s="218">
        <f t="shared" si="28"/>
        <v>9</v>
      </c>
      <c r="R170" s="218">
        <f t="shared" si="29"/>
        <v>34</v>
      </c>
      <c r="S170" s="246">
        <f t="shared" si="30"/>
        <v>1</v>
      </c>
      <c r="T170" s="237">
        <f t="shared" si="31"/>
        <v>43</v>
      </c>
    </row>
    <row r="171" spans="1:20" x14ac:dyDescent="0.2">
      <c r="A171" t="str">
        <f>INDEX(Prioritization!$D:$D,MATCH($B171,Prioritization!$A:$A,0))</f>
        <v>INVALID</v>
      </c>
      <c r="B171" t="s">
        <v>301</v>
      </c>
      <c r="C171" t="s">
        <v>970</v>
      </c>
      <c r="D171" t="s">
        <v>30</v>
      </c>
      <c r="E171" t="str">
        <f t="shared" si="23"/>
        <v>Lilongwe District [ScR9iFKAasW]|01-04|Female</v>
      </c>
      <c r="G171" s="38">
        <v>1056</v>
      </c>
      <c r="H171" s="38">
        <v>565</v>
      </c>
      <c r="I171" s="241">
        <v>0.30088495599999998</v>
      </c>
      <c r="J171" s="33"/>
      <c r="K171" s="33"/>
      <c r="L171" s="33">
        <f t="shared" si="24"/>
        <v>1</v>
      </c>
      <c r="M171" s="33">
        <f t="shared" si="25"/>
        <v>0.2</v>
      </c>
      <c r="N171" s="38">
        <f t="shared" si="32"/>
        <v>735</v>
      </c>
      <c r="O171" s="218" t="str">
        <f t="shared" si="26"/>
        <v/>
      </c>
      <c r="P171" s="218" t="str">
        <f t="shared" si="27"/>
        <v/>
      </c>
      <c r="Q171" s="218">
        <f t="shared" si="28"/>
        <v>147</v>
      </c>
      <c r="R171" s="218">
        <f t="shared" si="29"/>
        <v>588</v>
      </c>
      <c r="S171" s="246">
        <f t="shared" si="30"/>
        <v>1</v>
      </c>
      <c r="T171" s="218">
        <f t="shared" si="31"/>
        <v>735</v>
      </c>
    </row>
    <row r="172" spans="1:20" x14ac:dyDescent="0.2">
      <c r="A172" t="str">
        <f>INDEX(Prioritization!$D:$D,MATCH($B172,Prioritization!$A:$A,0))</f>
        <v>INVALID</v>
      </c>
      <c r="B172" t="s">
        <v>301</v>
      </c>
      <c r="C172" t="s">
        <v>970</v>
      </c>
      <c r="D172" t="s">
        <v>48</v>
      </c>
      <c r="E172" t="str">
        <f t="shared" si="23"/>
        <v>Lilongwe District [ScR9iFKAasW]|01-04|Male</v>
      </c>
      <c r="G172" s="38">
        <v>945</v>
      </c>
      <c r="H172" s="38">
        <v>565</v>
      </c>
      <c r="I172" s="241">
        <v>0.30088495599999998</v>
      </c>
      <c r="J172" s="33"/>
      <c r="K172" s="33"/>
      <c r="L172" s="33">
        <f t="shared" si="24"/>
        <v>1</v>
      </c>
      <c r="M172" s="33">
        <f t="shared" si="25"/>
        <v>0.2</v>
      </c>
      <c r="N172" s="38">
        <f t="shared" si="32"/>
        <v>735</v>
      </c>
      <c r="O172" s="218" t="str">
        <f t="shared" si="26"/>
        <v/>
      </c>
      <c r="P172" s="218" t="str">
        <f t="shared" si="27"/>
        <v/>
      </c>
      <c r="Q172" s="218">
        <f t="shared" si="28"/>
        <v>147</v>
      </c>
      <c r="R172" s="218">
        <f t="shared" si="29"/>
        <v>588</v>
      </c>
      <c r="S172" s="246">
        <f t="shared" si="30"/>
        <v>1</v>
      </c>
      <c r="T172" s="237">
        <f t="shared" si="31"/>
        <v>735</v>
      </c>
    </row>
    <row r="173" spans="1:20" x14ac:dyDescent="0.2">
      <c r="A173" t="str">
        <f>INDEX(Prioritization!$D:$D,MATCH($B173,Prioritization!$A:$A,0))</f>
        <v>INVALID</v>
      </c>
      <c r="B173" t="s">
        <v>301</v>
      </c>
      <c r="C173" t="s">
        <v>971</v>
      </c>
      <c r="D173" t="s">
        <v>30</v>
      </c>
      <c r="E173" t="str">
        <f t="shared" si="23"/>
        <v>Lilongwe District [ScR9iFKAasW]|05-09|Female</v>
      </c>
      <c r="G173" s="38">
        <v>1791</v>
      </c>
      <c r="H173" s="38">
        <v>565</v>
      </c>
      <c r="I173" s="241">
        <v>0.30088495599999998</v>
      </c>
      <c r="J173" s="33"/>
      <c r="K173" s="33"/>
      <c r="L173" s="33">
        <f t="shared" si="24"/>
        <v>1</v>
      </c>
      <c r="M173" s="33">
        <f t="shared" si="25"/>
        <v>0.2</v>
      </c>
      <c r="N173" s="38">
        <f t="shared" si="32"/>
        <v>735</v>
      </c>
      <c r="O173" s="218" t="str">
        <f t="shared" si="26"/>
        <v/>
      </c>
      <c r="P173" s="218" t="str">
        <f t="shared" si="27"/>
        <v/>
      </c>
      <c r="Q173" s="218">
        <f t="shared" si="28"/>
        <v>147</v>
      </c>
      <c r="R173" s="218">
        <f t="shared" si="29"/>
        <v>588</v>
      </c>
      <c r="S173" s="246">
        <f t="shared" si="30"/>
        <v>1</v>
      </c>
      <c r="T173" s="218">
        <f t="shared" si="31"/>
        <v>735</v>
      </c>
    </row>
    <row r="174" spans="1:20" x14ac:dyDescent="0.2">
      <c r="A174" t="str">
        <f>INDEX(Prioritization!$D:$D,MATCH($B174,Prioritization!$A:$A,0))</f>
        <v>INVALID</v>
      </c>
      <c r="B174" t="s">
        <v>301</v>
      </c>
      <c r="C174" t="s">
        <v>971</v>
      </c>
      <c r="D174" t="s">
        <v>48</v>
      </c>
      <c r="E174" t="str">
        <f t="shared" si="23"/>
        <v>Lilongwe District [ScR9iFKAasW]|05-09|Male</v>
      </c>
      <c r="G174" s="38">
        <v>1668</v>
      </c>
      <c r="H174" s="38">
        <v>565</v>
      </c>
      <c r="I174" s="241">
        <v>0.30088495599999998</v>
      </c>
      <c r="J174" s="33"/>
      <c r="K174" s="33"/>
      <c r="L174" s="33">
        <f t="shared" si="24"/>
        <v>1</v>
      </c>
      <c r="M174" s="33">
        <f t="shared" si="25"/>
        <v>0.2</v>
      </c>
      <c r="N174" s="38">
        <f t="shared" si="32"/>
        <v>735</v>
      </c>
      <c r="O174" s="218" t="str">
        <f t="shared" si="26"/>
        <v/>
      </c>
      <c r="P174" s="218" t="str">
        <f t="shared" si="27"/>
        <v/>
      </c>
      <c r="Q174" s="218">
        <f t="shared" si="28"/>
        <v>147</v>
      </c>
      <c r="R174" s="218">
        <f t="shared" si="29"/>
        <v>588</v>
      </c>
      <c r="S174" s="246">
        <f t="shared" si="30"/>
        <v>1</v>
      </c>
      <c r="T174" s="237">
        <f t="shared" si="31"/>
        <v>735</v>
      </c>
    </row>
    <row r="175" spans="1:20" x14ac:dyDescent="0.2">
      <c r="A175" t="str">
        <f>INDEX(Prioritization!$D:$D,MATCH($B175,Prioritization!$A:$A,0))</f>
        <v>INVALID</v>
      </c>
      <c r="B175" t="s">
        <v>301</v>
      </c>
      <c r="C175" t="s">
        <v>474</v>
      </c>
      <c r="D175" t="s">
        <v>30</v>
      </c>
      <c r="E175" t="str">
        <f t="shared" si="23"/>
        <v>Lilongwe District [ScR9iFKAasW]|10-14|Female</v>
      </c>
      <c r="G175" s="38">
        <v>7634</v>
      </c>
      <c r="H175" s="38">
        <v>3068</v>
      </c>
      <c r="I175" s="241">
        <v>0.42796610200000001</v>
      </c>
      <c r="J175" s="33"/>
      <c r="K175" s="33">
        <v>0.59552613600000004</v>
      </c>
      <c r="L175" s="33">
        <f t="shared" si="24"/>
        <v>0.40447386399999996</v>
      </c>
      <c r="M175" s="33">
        <f t="shared" si="25"/>
        <v>0.2</v>
      </c>
      <c r="N175" s="38">
        <f t="shared" si="32"/>
        <v>4381</v>
      </c>
      <c r="O175" s="218" t="str">
        <f t="shared" si="26"/>
        <v/>
      </c>
      <c r="P175" s="218">
        <f t="shared" si="27"/>
        <v>2609</v>
      </c>
      <c r="Q175" s="218">
        <f t="shared" si="28"/>
        <v>354</v>
      </c>
      <c r="R175" s="218">
        <f t="shared" si="29"/>
        <v>1418</v>
      </c>
      <c r="S175" s="246">
        <f t="shared" si="30"/>
        <v>1</v>
      </c>
      <c r="T175" s="218">
        <f t="shared" si="31"/>
        <v>1772</v>
      </c>
    </row>
    <row r="176" spans="1:20" x14ac:dyDescent="0.2">
      <c r="A176" t="str">
        <f>INDEX(Prioritization!$D:$D,MATCH($B176,Prioritization!$A:$A,0))</f>
        <v>INVALID</v>
      </c>
      <c r="B176" t="s">
        <v>301</v>
      </c>
      <c r="C176" t="s">
        <v>474</v>
      </c>
      <c r="D176" t="s">
        <v>48</v>
      </c>
      <c r="E176" t="str">
        <f t="shared" si="23"/>
        <v>Lilongwe District [ScR9iFKAasW]|10-14|Male</v>
      </c>
      <c r="G176" s="38">
        <v>6767</v>
      </c>
      <c r="H176" s="38">
        <v>3404</v>
      </c>
      <c r="I176" s="241">
        <v>0.19623971800000001</v>
      </c>
      <c r="J176" s="33"/>
      <c r="K176" s="33">
        <v>0.58497052999999999</v>
      </c>
      <c r="L176" s="33">
        <f t="shared" si="24"/>
        <v>0.41502947000000001</v>
      </c>
      <c r="M176" s="33">
        <f t="shared" si="25"/>
        <v>0.2</v>
      </c>
      <c r="N176" s="38">
        <f t="shared" si="32"/>
        <v>4072</v>
      </c>
      <c r="O176" s="218" t="str">
        <f t="shared" si="26"/>
        <v/>
      </c>
      <c r="P176" s="218">
        <f t="shared" si="27"/>
        <v>2382</v>
      </c>
      <c r="Q176" s="218">
        <f t="shared" si="28"/>
        <v>338</v>
      </c>
      <c r="R176" s="218">
        <f t="shared" si="29"/>
        <v>1352</v>
      </c>
      <c r="S176" s="246">
        <f t="shared" si="30"/>
        <v>1</v>
      </c>
      <c r="T176" s="237">
        <f t="shared" si="31"/>
        <v>1690</v>
      </c>
    </row>
    <row r="177" spans="1:20" x14ac:dyDescent="0.2">
      <c r="A177" t="str">
        <f>INDEX(Prioritization!$D:$D,MATCH($B177,Prioritization!$A:$A,0))</f>
        <v>INVALID</v>
      </c>
      <c r="B177" t="s">
        <v>301</v>
      </c>
      <c r="C177" t="s">
        <v>972</v>
      </c>
      <c r="D177" t="s">
        <v>30</v>
      </c>
      <c r="E177" t="str">
        <f t="shared" si="23"/>
        <v>Lilongwe District [ScR9iFKAasW]|15-17|Female</v>
      </c>
      <c r="G177" s="38">
        <v>1278</v>
      </c>
      <c r="H177" s="38">
        <v>1063</v>
      </c>
      <c r="I177" s="241">
        <v>0.69332079000000002</v>
      </c>
      <c r="J177" s="33"/>
      <c r="K177" s="33"/>
      <c r="L177" s="33">
        <f t="shared" si="24"/>
        <v>1</v>
      </c>
      <c r="M177" s="33">
        <f t="shared" si="25"/>
        <v>0.2</v>
      </c>
      <c r="N177" s="38">
        <f t="shared" si="32"/>
        <v>1800</v>
      </c>
      <c r="O177" s="218" t="str">
        <f t="shared" si="26"/>
        <v/>
      </c>
      <c r="P177" s="218" t="str">
        <f t="shared" si="27"/>
        <v/>
      </c>
      <c r="Q177" s="218">
        <f t="shared" si="28"/>
        <v>360</v>
      </c>
      <c r="R177" s="218">
        <f t="shared" si="29"/>
        <v>1440</v>
      </c>
      <c r="S177" s="246">
        <f t="shared" si="30"/>
        <v>1</v>
      </c>
      <c r="T177" s="218">
        <f t="shared" si="31"/>
        <v>1800</v>
      </c>
    </row>
    <row r="178" spans="1:20" x14ac:dyDescent="0.2">
      <c r="A178" t="str">
        <f>INDEX(Prioritization!$D:$D,MATCH($B178,Prioritization!$A:$A,0))</f>
        <v>INVALID</v>
      </c>
      <c r="B178" t="s">
        <v>301</v>
      </c>
      <c r="C178" t="s">
        <v>972</v>
      </c>
      <c r="D178" t="s">
        <v>48</v>
      </c>
      <c r="E178" t="str">
        <f t="shared" si="23"/>
        <v>Lilongwe District [ScR9iFKAasW]|15-17|Male</v>
      </c>
      <c r="G178" s="38">
        <v>1144</v>
      </c>
      <c r="H178" s="38">
        <v>768</v>
      </c>
      <c r="I178" s="241">
        <v>0.29817708300000001</v>
      </c>
      <c r="J178" s="33"/>
      <c r="K178" s="33"/>
      <c r="L178" s="33">
        <f t="shared" si="24"/>
        <v>1</v>
      </c>
      <c r="M178" s="33">
        <f t="shared" si="25"/>
        <v>0.2</v>
      </c>
      <c r="N178" s="38">
        <f t="shared" si="32"/>
        <v>997</v>
      </c>
      <c r="O178" s="218" t="str">
        <f t="shared" si="26"/>
        <v/>
      </c>
      <c r="P178" s="218" t="str">
        <f t="shared" si="27"/>
        <v/>
      </c>
      <c r="Q178" s="218">
        <f t="shared" si="28"/>
        <v>199</v>
      </c>
      <c r="R178" s="218">
        <f t="shared" si="29"/>
        <v>798</v>
      </c>
      <c r="S178" s="246">
        <f t="shared" si="30"/>
        <v>1</v>
      </c>
      <c r="T178" s="237">
        <f t="shared" si="31"/>
        <v>997</v>
      </c>
    </row>
    <row r="179" spans="1:20" x14ac:dyDescent="0.2">
      <c r="A179" t="str">
        <f>INDEX(Prioritization!$D:$D,MATCH($B179,Prioritization!$A:$A,0))</f>
        <v>INVALID</v>
      </c>
      <c r="B179" t="s">
        <v>301</v>
      </c>
      <c r="C179" t="s">
        <v>974</v>
      </c>
      <c r="D179" t="s">
        <v>30</v>
      </c>
      <c r="E179" t="str">
        <f t="shared" si="23"/>
        <v>Lilongwe District [ScR9iFKAasW]|18+|Female</v>
      </c>
      <c r="G179" s="38">
        <v>4510</v>
      </c>
      <c r="H179" s="38">
        <v>2865</v>
      </c>
      <c r="I179" s="241">
        <v>0.26910994799999999</v>
      </c>
      <c r="J179" s="33"/>
      <c r="K179" s="33"/>
      <c r="L179" s="33">
        <f t="shared" si="24"/>
        <v>1</v>
      </c>
      <c r="M179" s="33">
        <f t="shared" si="25"/>
        <v>0.2</v>
      </c>
      <c r="N179" s="38">
        <f t="shared" si="32"/>
        <v>3636</v>
      </c>
      <c r="O179" s="218" t="str">
        <f t="shared" si="26"/>
        <v/>
      </c>
      <c r="P179" s="218" t="str">
        <f t="shared" si="27"/>
        <v/>
      </c>
      <c r="Q179" s="218">
        <f t="shared" si="28"/>
        <v>727</v>
      </c>
      <c r="R179" s="218">
        <f t="shared" si="29"/>
        <v>2909</v>
      </c>
      <c r="S179" s="246" t="str">
        <f t="shared" si="30"/>
        <v/>
      </c>
      <c r="T179" s="218" t="str">
        <f t="shared" si="31"/>
        <v/>
      </c>
    </row>
    <row r="180" spans="1:20" x14ac:dyDescent="0.2">
      <c r="A180" t="str">
        <f>INDEX(Prioritization!$D:$D,MATCH($B180,Prioritization!$A:$A,0))</f>
        <v>INVALID</v>
      </c>
      <c r="B180" t="s">
        <v>301</v>
      </c>
      <c r="C180" t="s">
        <v>974</v>
      </c>
      <c r="D180" t="s">
        <v>48</v>
      </c>
      <c r="E180" t="str">
        <f t="shared" si="23"/>
        <v>Lilongwe District [ScR9iFKAasW]|18+|Male</v>
      </c>
      <c r="G180" s="38">
        <v>512</v>
      </c>
      <c r="H180" s="38">
        <v>1238</v>
      </c>
      <c r="I180" s="241">
        <v>-0.81260096900000001</v>
      </c>
      <c r="J180" s="33"/>
      <c r="K180" s="33"/>
      <c r="L180" s="33">
        <f t="shared" si="24"/>
        <v>1</v>
      </c>
      <c r="M180" s="33">
        <f t="shared" si="25"/>
        <v>0.2</v>
      </c>
      <c r="N180" s="38">
        <f t="shared" si="32"/>
        <v>232</v>
      </c>
      <c r="O180" s="218" t="str">
        <f t="shared" si="26"/>
        <v/>
      </c>
      <c r="P180" s="218" t="str">
        <f t="shared" si="27"/>
        <v/>
      </c>
      <c r="Q180" s="218">
        <f t="shared" si="28"/>
        <v>46</v>
      </c>
      <c r="R180" s="218">
        <f t="shared" si="29"/>
        <v>185.99999999999997</v>
      </c>
      <c r="S180" s="246" t="str">
        <f t="shared" si="30"/>
        <v/>
      </c>
      <c r="T180" s="237" t="str">
        <f t="shared" si="31"/>
        <v/>
      </c>
    </row>
    <row r="181" spans="1:20" x14ac:dyDescent="0.2">
      <c r="A181" t="str">
        <f>INDEX(Prioritization!$D:$D,MATCH($B181,Prioritization!$A:$A,0))</f>
        <v>INVALID</v>
      </c>
      <c r="B181" t="s">
        <v>301</v>
      </c>
      <c r="C181" t="s">
        <v>973</v>
      </c>
      <c r="D181" t="s">
        <v>30</v>
      </c>
      <c r="E181" t="str">
        <f t="shared" si="23"/>
        <v>Lilongwe District [ScR9iFKAasW]|18-20|Female</v>
      </c>
      <c r="G181" s="38"/>
      <c r="H181" s="38">
        <v>77</v>
      </c>
      <c r="I181" s="241">
        <v>-0.61038961000000003</v>
      </c>
      <c r="J181" s="33"/>
      <c r="K181" s="33"/>
      <c r="L181" s="33">
        <f t="shared" si="24"/>
        <v>1</v>
      </c>
      <c r="M181" s="33">
        <f t="shared" si="25"/>
        <v>0.2</v>
      </c>
      <c r="N181" s="38">
        <f t="shared" si="32"/>
        <v>30</v>
      </c>
      <c r="O181" s="218" t="str">
        <f t="shared" si="26"/>
        <v/>
      </c>
      <c r="P181" s="218" t="str">
        <f t="shared" si="27"/>
        <v/>
      </c>
      <c r="Q181" s="218">
        <f t="shared" si="28"/>
        <v>6</v>
      </c>
      <c r="R181" s="218">
        <f t="shared" si="29"/>
        <v>24</v>
      </c>
      <c r="S181" s="246">
        <f t="shared" si="30"/>
        <v>1</v>
      </c>
      <c r="T181" s="218">
        <f t="shared" si="31"/>
        <v>30</v>
      </c>
    </row>
    <row r="182" spans="1:20" x14ac:dyDescent="0.2">
      <c r="A182" t="str">
        <f>INDEX(Prioritization!$D:$D,MATCH($B182,Prioritization!$A:$A,0))</f>
        <v>INVALID</v>
      </c>
      <c r="B182" t="s">
        <v>301</v>
      </c>
      <c r="C182" t="s">
        <v>973</v>
      </c>
      <c r="D182" t="s">
        <v>48</v>
      </c>
      <c r="E182" t="str">
        <f t="shared" si="23"/>
        <v>Lilongwe District [ScR9iFKAasW]|18-20|Male</v>
      </c>
      <c r="G182" s="38"/>
      <c r="H182" s="38">
        <v>77</v>
      </c>
      <c r="I182" s="241">
        <v>-0.61038961000000003</v>
      </c>
      <c r="J182" s="33"/>
      <c r="K182" s="33"/>
      <c r="L182" s="33">
        <f t="shared" si="24"/>
        <v>1</v>
      </c>
      <c r="M182" s="33">
        <f t="shared" si="25"/>
        <v>0.2</v>
      </c>
      <c r="N182" s="38">
        <f t="shared" si="32"/>
        <v>30</v>
      </c>
      <c r="O182" s="218" t="str">
        <f t="shared" si="26"/>
        <v/>
      </c>
      <c r="P182" s="218" t="str">
        <f t="shared" si="27"/>
        <v/>
      </c>
      <c r="Q182" s="218">
        <f t="shared" si="28"/>
        <v>6</v>
      </c>
      <c r="R182" s="218">
        <f t="shared" si="29"/>
        <v>24</v>
      </c>
      <c r="S182" s="246">
        <f t="shared" si="30"/>
        <v>1</v>
      </c>
      <c r="T182" s="237">
        <f t="shared" si="31"/>
        <v>30</v>
      </c>
    </row>
    <row r="183" spans="1:20" x14ac:dyDescent="0.2">
      <c r="A183" t="str">
        <f>INDEX(Prioritization!$D:$D,MATCH($B183,Prioritization!$A:$A,0))</f>
        <v>1 - Scale-up: Saturation</v>
      </c>
      <c r="B183" t="s">
        <v>317</v>
      </c>
      <c r="C183" t="s">
        <v>426</v>
      </c>
      <c r="D183" t="s">
        <v>30</v>
      </c>
      <c r="E183" t="str">
        <f t="shared" si="23"/>
        <v>Machinga District [TYnMSwzko3z]|&lt;01|Female</v>
      </c>
      <c r="F183" t="s">
        <v>1380</v>
      </c>
      <c r="G183" s="38">
        <v>45</v>
      </c>
      <c r="H183" s="38">
        <v>781</v>
      </c>
      <c r="I183" s="241">
        <v>-0.98079385399999996</v>
      </c>
      <c r="J183" s="33"/>
      <c r="K183" s="33"/>
      <c r="L183" s="33">
        <f t="shared" si="24"/>
        <v>1</v>
      </c>
      <c r="M183" s="33">
        <f t="shared" si="25"/>
        <v>0.2</v>
      </c>
      <c r="N183" s="38">
        <f t="shared" si="32"/>
        <v>15</v>
      </c>
      <c r="O183" s="218" t="str">
        <f t="shared" si="26"/>
        <v/>
      </c>
      <c r="P183" s="218" t="str">
        <f t="shared" si="27"/>
        <v/>
      </c>
      <c r="Q183" s="218">
        <f t="shared" si="28"/>
        <v>3</v>
      </c>
      <c r="R183" s="218">
        <f t="shared" si="29"/>
        <v>12</v>
      </c>
      <c r="S183" s="246">
        <f t="shared" si="30"/>
        <v>1</v>
      </c>
      <c r="T183" s="218">
        <f t="shared" si="31"/>
        <v>15</v>
      </c>
    </row>
    <row r="184" spans="1:20" x14ac:dyDescent="0.2">
      <c r="A184" t="str">
        <f>INDEX(Prioritization!$D:$D,MATCH($B184,Prioritization!$A:$A,0))</f>
        <v>1 - Scale-up: Saturation</v>
      </c>
      <c r="B184" t="s">
        <v>317</v>
      </c>
      <c r="C184" t="s">
        <v>426</v>
      </c>
      <c r="D184" t="s">
        <v>48</v>
      </c>
      <c r="E184" t="str">
        <f t="shared" si="23"/>
        <v>Machinga District [TYnMSwzko3z]|&lt;01|Male</v>
      </c>
      <c r="F184" t="s">
        <v>1380</v>
      </c>
      <c r="G184" s="38">
        <v>41</v>
      </c>
      <c r="H184" s="38">
        <v>781</v>
      </c>
      <c r="I184" s="241">
        <v>-0.98079385399999996</v>
      </c>
      <c r="J184" s="33"/>
      <c r="K184" s="33"/>
      <c r="L184" s="33">
        <f t="shared" si="24"/>
        <v>1</v>
      </c>
      <c r="M184" s="33">
        <f t="shared" si="25"/>
        <v>0.2</v>
      </c>
      <c r="N184" s="38">
        <f t="shared" si="32"/>
        <v>15</v>
      </c>
      <c r="O184" s="218" t="str">
        <f t="shared" si="26"/>
        <v/>
      </c>
      <c r="P184" s="218" t="str">
        <f t="shared" si="27"/>
        <v/>
      </c>
      <c r="Q184" s="218">
        <f t="shared" si="28"/>
        <v>3</v>
      </c>
      <c r="R184" s="218">
        <f t="shared" si="29"/>
        <v>12</v>
      </c>
      <c r="S184" s="246">
        <f t="shared" si="30"/>
        <v>1</v>
      </c>
      <c r="T184" s="237">
        <f t="shared" si="31"/>
        <v>15</v>
      </c>
    </row>
    <row r="185" spans="1:20" x14ac:dyDescent="0.2">
      <c r="A185" t="str">
        <f>INDEX(Prioritization!$D:$D,MATCH($B185,Prioritization!$A:$A,0))</f>
        <v>1 - Scale-up: Saturation</v>
      </c>
      <c r="B185" t="s">
        <v>317</v>
      </c>
      <c r="C185" t="s">
        <v>970</v>
      </c>
      <c r="D185" t="s">
        <v>30</v>
      </c>
      <c r="E185" t="str">
        <f t="shared" si="23"/>
        <v>Machinga District [TYnMSwzko3z]|01-04|Female</v>
      </c>
      <c r="F185" t="s">
        <v>1380</v>
      </c>
      <c r="G185" s="38">
        <v>687</v>
      </c>
      <c r="H185" s="38">
        <v>363</v>
      </c>
      <c r="I185" s="241">
        <v>5.7851239999999998E-2</v>
      </c>
      <c r="J185" s="33"/>
      <c r="K185" s="33"/>
      <c r="L185" s="33">
        <f t="shared" si="24"/>
        <v>1</v>
      </c>
      <c r="M185" s="33">
        <f t="shared" si="25"/>
        <v>0.2</v>
      </c>
      <c r="N185" s="38">
        <f t="shared" si="32"/>
        <v>384</v>
      </c>
      <c r="O185" s="218" t="str">
        <f t="shared" si="26"/>
        <v/>
      </c>
      <c r="P185" s="218" t="str">
        <f t="shared" si="27"/>
        <v/>
      </c>
      <c r="Q185" s="218">
        <f t="shared" si="28"/>
        <v>77</v>
      </c>
      <c r="R185" s="218">
        <f t="shared" si="29"/>
        <v>307</v>
      </c>
      <c r="S185" s="246">
        <f t="shared" si="30"/>
        <v>1</v>
      </c>
      <c r="T185" s="218">
        <f t="shared" si="31"/>
        <v>384</v>
      </c>
    </row>
    <row r="186" spans="1:20" x14ac:dyDescent="0.2">
      <c r="A186" t="str">
        <f>INDEX(Prioritization!$D:$D,MATCH($B186,Prioritization!$A:$A,0))</f>
        <v>1 - Scale-up: Saturation</v>
      </c>
      <c r="B186" t="s">
        <v>317</v>
      </c>
      <c r="C186" t="s">
        <v>970</v>
      </c>
      <c r="D186" t="s">
        <v>48</v>
      </c>
      <c r="E186" t="str">
        <f t="shared" si="23"/>
        <v>Machinga District [TYnMSwzko3z]|01-04|Male</v>
      </c>
      <c r="F186" t="s">
        <v>1380</v>
      </c>
      <c r="G186" s="38">
        <v>658</v>
      </c>
      <c r="H186" s="38">
        <v>365</v>
      </c>
      <c r="I186" s="241">
        <v>9.5890410999999995E-2</v>
      </c>
      <c r="J186" s="33"/>
      <c r="K186" s="33"/>
      <c r="L186" s="33">
        <f t="shared" si="24"/>
        <v>1</v>
      </c>
      <c r="M186" s="33">
        <f t="shared" si="25"/>
        <v>0.2</v>
      </c>
      <c r="N186" s="38">
        <f t="shared" si="32"/>
        <v>400</v>
      </c>
      <c r="O186" s="218" t="str">
        <f t="shared" si="26"/>
        <v/>
      </c>
      <c r="P186" s="218" t="str">
        <f t="shared" si="27"/>
        <v/>
      </c>
      <c r="Q186" s="218">
        <f t="shared" si="28"/>
        <v>80</v>
      </c>
      <c r="R186" s="218">
        <f t="shared" si="29"/>
        <v>320</v>
      </c>
      <c r="S186" s="246">
        <f t="shared" si="30"/>
        <v>1</v>
      </c>
      <c r="T186" s="237">
        <f t="shared" si="31"/>
        <v>400</v>
      </c>
    </row>
    <row r="187" spans="1:20" x14ac:dyDescent="0.2">
      <c r="A187" t="str">
        <f>INDEX(Prioritization!$D:$D,MATCH($B187,Prioritization!$A:$A,0))</f>
        <v>1 - Scale-up: Saturation</v>
      </c>
      <c r="B187" t="s">
        <v>317</v>
      </c>
      <c r="C187" t="s">
        <v>971</v>
      </c>
      <c r="D187" t="s">
        <v>30</v>
      </c>
      <c r="E187" t="str">
        <f t="shared" si="23"/>
        <v>Machinga District [TYnMSwzko3z]|05-09|Female</v>
      </c>
      <c r="F187" t="s">
        <v>1380</v>
      </c>
      <c r="G187" s="38">
        <v>973</v>
      </c>
      <c r="H187" s="38">
        <v>363</v>
      </c>
      <c r="I187" s="241">
        <v>5.7851239999999998E-2</v>
      </c>
      <c r="J187" s="33"/>
      <c r="K187" s="33"/>
      <c r="L187" s="33">
        <f t="shared" si="24"/>
        <v>1</v>
      </c>
      <c r="M187" s="33">
        <f t="shared" si="25"/>
        <v>0.2</v>
      </c>
      <c r="N187" s="38">
        <f t="shared" si="32"/>
        <v>384</v>
      </c>
      <c r="O187" s="218" t="str">
        <f t="shared" si="26"/>
        <v/>
      </c>
      <c r="P187" s="218" t="str">
        <f t="shared" si="27"/>
        <v/>
      </c>
      <c r="Q187" s="218">
        <f t="shared" si="28"/>
        <v>77</v>
      </c>
      <c r="R187" s="218">
        <f t="shared" si="29"/>
        <v>307</v>
      </c>
      <c r="S187" s="246">
        <f t="shared" si="30"/>
        <v>1</v>
      </c>
      <c r="T187" s="218">
        <f t="shared" si="31"/>
        <v>384</v>
      </c>
    </row>
    <row r="188" spans="1:20" x14ac:dyDescent="0.2">
      <c r="A188" t="str">
        <f>INDEX(Prioritization!$D:$D,MATCH($B188,Prioritization!$A:$A,0))</f>
        <v>1 - Scale-up: Saturation</v>
      </c>
      <c r="B188" t="s">
        <v>317</v>
      </c>
      <c r="C188" t="s">
        <v>971</v>
      </c>
      <c r="D188" t="s">
        <v>48</v>
      </c>
      <c r="E188" t="str">
        <f t="shared" si="23"/>
        <v>Machinga District [TYnMSwzko3z]|05-09|Male</v>
      </c>
      <c r="F188" t="s">
        <v>1380</v>
      </c>
      <c r="G188" s="38">
        <v>922</v>
      </c>
      <c r="H188" s="38">
        <v>365</v>
      </c>
      <c r="I188" s="241">
        <v>9.5890410999999995E-2</v>
      </c>
      <c r="J188" s="33"/>
      <c r="K188" s="33"/>
      <c r="L188" s="33">
        <f t="shared" si="24"/>
        <v>1</v>
      </c>
      <c r="M188" s="33">
        <f t="shared" si="25"/>
        <v>0.2</v>
      </c>
      <c r="N188" s="38">
        <f t="shared" si="32"/>
        <v>400</v>
      </c>
      <c r="O188" s="218" t="str">
        <f t="shared" si="26"/>
        <v/>
      </c>
      <c r="P188" s="218" t="str">
        <f t="shared" si="27"/>
        <v/>
      </c>
      <c r="Q188" s="218">
        <f t="shared" si="28"/>
        <v>80</v>
      </c>
      <c r="R188" s="218">
        <f t="shared" si="29"/>
        <v>320</v>
      </c>
      <c r="S188" s="246">
        <f t="shared" si="30"/>
        <v>1</v>
      </c>
      <c r="T188" s="237">
        <f t="shared" si="31"/>
        <v>400</v>
      </c>
    </row>
    <row r="189" spans="1:20" x14ac:dyDescent="0.2">
      <c r="A189" t="str">
        <f>INDEX(Prioritization!$D:$D,MATCH($B189,Prioritization!$A:$A,0))</f>
        <v>1 - Scale-up: Saturation</v>
      </c>
      <c r="B189" t="s">
        <v>317</v>
      </c>
      <c r="C189" t="s">
        <v>474</v>
      </c>
      <c r="D189" t="s">
        <v>30</v>
      </c>
      <c r="E189" t="str">
        <f t="shared" si="23"/>
        <v>Machinga District [TYnMSwzko3z]|10-14|Female</v>
      </c>
      <c r="F189" t="s">
        <v>1380</v>
      </c>
      <c r="G189" s="38">
        <v>8943</v>
      </c>
      <c r="H189" s="38">
        <v>3233</v>
      </c>
      <c r="I189" s="241">
        <v>4.5258274050000002</v>
      </c>
      <c r="J189" s="33">
        <v>0.78086630099999998</v>
      </c>
      <c r="K189" s="33">
        <v>0.164009812</v>
      </c>
      <c r="L189" s="33">
        <f t="shared" si="24"/>
        <v>5.5123887000000038E-2</v>
      </c>
      <c r="M189" s="33">
        <f t="shared" si="25"/>
        <v>0.2</v>
      </c>
      <c r="N189" s="38">
        <f t="shared" si="32"/>
        <v>17865</v>
      </c>
      <c r="O189" s="218">
        <f t="shared" si="26"/>
        <v>13950</v>
      </c>
      <c r="P189" s="218">
        <f t="shared" si="27"/>
        <v>2930</v>
      </c>
      <c r="Q189" s="218">
        <f t="shared" si="28"/>
        <v>197.00000000000003</v>
      </c>
      <c r="R189" s="218">
        <f t="shared" si="29"/>
        <v>788.00000000000011</v>
      </c>
      <c r="S189" s="246">
        <f t="shared" si="30"/>
        <v>1</v>
      </c>
      <c r="T189" s="218">
        <f t="shared" si="31"/>
        <v>985</v>
      </c>
    </row>
    <row r="190" spans="1:20" x14ac:dyDescent="0.2">
      <c r="A190" t="str">
        <f>INDEX(Prioritization!$D:$D,MATCH($B190,Prioritization!$A:$A,0))</f>
        <v>1 - Scale-up: Saturation</v>
      </c>
      <c r="B190" t="s">
        <v>317</v>
      </c>
      <c r="C190" t="s">
        <v>474</v>
      </c>
      <c r="D190" t="s">
        <v>48</v>
      </c>
      <c r="E190" t="str">
        <f t="shared" si="23"/>
        <v>Machinga District [TYnMSwzko3z]|10-14|Male</v>
      </c>
      <c r="F190" t="s">
        <v>1380</v>
      </c>
      <c r="G190" s="38">
        <v>1929</v>
      </c>
      <c r="H190" s="38">
        <v>1932</v>
      </c>
      <c r="I190" s="241">
        <v>0.98602484499999998</v>
      </c>
      <c r="J190" s="33"/>
      <c r="K190" s="33">
        <v>0.75450489799999998</v>
      </c>
      <c r="L190" s="33">
        <f t="shared" si="24"/>
        <v>0.24549510200000002</v>
      </c>
      <c r="M190" s="33">
        <f t="shared" si="25"/>
        <v>0.2</v>
      </c>
      <c r="N190" s="38">
        <f t="shared" si="32"/>
        <v>3837</v>
      </c>
      <c r="O190" s="218" t="str">
        <f t="shared" si="26"/>
        <v/>
      </c>
      <c r="P190" s="218">
        <f t="shared" si="27"/>
        <v>2895</v>
      </c>
      <c r="Q190" s="218">
        <f t="shared" si="28"/>
        <v>188</v>
      </c>
      <c r="R190" s="218">
        <f t="shared" si="29"/>
        <v>754</v>
      </c>
      <c r="S190" s="246">
        <f t="shared" si="30"/>
        <v>1</v>
      </c>
      <c r="T190" s="237">
        <f t="shared" si="31"/>
        <v>942</v>
      </c>
    </row>
    <row r="191" spans="1:20" x14ac:dyDescent="0.2">
      <c r="A191" t="str">
        <f>INDEX(Prioritization!$D:$D,MATCH($B191,Prioritization!$A:$A,0))</f>
        <v>1 - Scale-up: Saturation</v>
      </c>
      <c r="B191" t="s">
        <v>317</v>
      </c>
      <c r="C191" t="s">
        <v>972</v>
      </c>
      <c r="D191" t="s">
        <v>30</v>
      </c>
      <c r="E191" t="str">
        <f t="shared" si="23"/>
        <v>Machinga District [TYnMSwzko3z]|15-17|Female</v>
      </c>
      <c r="F191" t="s">
        <v>1380</v>
      </c>
      <c r="G191" s="38">
        <v>2967</v>
      </c>
      <c r="H191" s="38">
        <v>3195</v>
      </c>
      <c r="I191" s="241">
        <v>1.422535211</v>
      </c>
      <c r="J191" s="33">
        <v>0.90575923400000002</v>
      </c>
      <c r="K191" s="33"/>
      <c r="L191" s="33">
        <f t="shared" si="24"/>
        <v>9.4240765999999976E-2</v>
      </c>
      <c r="M191" s="33">
        <f t="shared" si="25"/>
        <v>0.2</v>
      </c>
      <c r="N191" s="38">
        <f t="shared" si="32"/>
        <v>7740</v>
      </c>
      <c r="O191" s="218">
        <f t="shared" si="26"/>
        <v>7011</v>
      </c>
      <c r="P191" s="218" t="str">
        <f t="shared" si="27"/>
        <v/>
      </c>
      <c r="Q191" s="218">
        <f t="shared" si="28"/>
        <v>146</v>
      </c>
      <c r="R191" s="218">
        <f t="shared" si="29"/>
        <v>583</v>
      </c>
      <c r="S191" s="246">
        <f t="shared" si="30"/>
        <v>1</v>
      </c>
      <c r="T191" s="218">
        <f t="shared" si="31"/>
        <v>729</v>
      </c>
    </row>
    <row r="192" spans="1:20" x14ac:dyDescent="0.2">
      <c r="A192" t="str">
        <f>INDEX(Prioritization!$D:$D,MATCH($B192,Prioritization!$A:$A,0))</f>
        <v>1 - Scale-up: Saturation</v>
      </c>
      <c r="B192" t="s">
        <v>317</v>
      </c>
      <c r="C192" t="s">
        <v>972</v>
      </c>
      <c r="D192" t="s">
        <v>48</v>
      </c>
      <c r="E192" t="str">
        <f t="shared" si="23"/>
        <v>Machinga District [TYnMSwzko3z]|15-17|Male</v>
      </c>
      <c r="F192" t="s">
        <v>1380</v>
      </c>
      <c r="G192" s="38">
        <v>683</v>
      </c>
      <c r="H192" s="38">
        <v>348</v>
      </c>
      <c r="I192" s="241">
        <v>0.11206896600000001</v>
      </c>
      <c r="J192" s="33"/>
      <c r="K192" s="33"/>
      <c r="L192" s="33">
        <f t="shared" si="24"/>
        <v>1</v>
      </c>
      <c r="M192" s="33">
        <f t="shared" si="25"/>
        <v>0.2</v>
      </c>
      <c r="N192" s="38">
        <f t="shared" si="32"/>
        <v>387</v>
      </c>
      <c r="O192" s="218" t="str">
        <f t="shared" si="26"/>
        <v/>
      </c>
      <c r="P192" s="218" t="str">
        <f t="shared" si="27"/>
        <v/>
      </c>
      <c r="Q192" s="218">
        <f t="shared" si="28"/>
        <v>77</v>
      </c>
      <c r="R192" s="218">
        <f t="shared" si="29"/>
        <v>310</v>
      </c>
      <c r="S192" s="246">
        <f t="shared" si="30"/>
        <v>1</v>
      </c>
      <c r="T192" s="237">
        <f t="shared" si="31"/>
        <v>387</v>
      </c>
    </row>
    <row r="193" spans="1:20" x14ac:dyDescent="0.2">
      <c r="A193" t="str">
        <f>INDEX(Prioritization!$D:$D,MATCH($B193,Prioritization!$A:$A,0))</f>
        <v>1 - Scale-up: Saturation</v>
      </c>
      <c r="B193" t="s">
        <v>317</v>
      </c>
      <c r="C193" t="s">
        <v>974</v>
      </c>
      <c r="D193" t="s">
        <v>30</v>
      </c>
      <c r="E193" t="str">
        <f t="shared" si="23"/>
        <v>Machinga District [TYnMSwzko3z]|18+|Female</v>
      </c>
      <c r="F193" t="s">
        <v>1380</v>
      </c>
      <c r="G193" s="38">
        <v>2950</v>
      </c>
      <c r="H193" s="38">
        <v>1263</v>
      </c>
      <c r="I193" s="241">
        <v>0.439429929</v>
      </c>
      <c r="J193" s="33"/>
      <c r="K193" s="33"/>
      <c r="L193" s="33">
        <f t="shared" si="24"/>
        <v>1</v>
      </c>
      <c r="M193" s="33">
        <f t="shared" si="25"/>
        <v>0.2</v>
      </c>
      <c r="N193" s="38">
        <f t="shared" si="32"/>
        <v>1818</v>
      </c>
      <c r="O193" s="218" t="str">
        <f t="shared" si="26"/>
        <v/>
      </c>
      <c r="P193" s="218" t="str">
        <f t="shared" si="27"/>
        <v/>
      </c>
      <c r="Q193" s="218">
        <f t="shared" si="28"/>
        <v>364</v>
      </c>
      <c r="R193" s="218">
        <f t="shared" si="29"/>
        <v>1454</v>
      </c>
      <c r="S193" s="246" t="str">
        <f t="shared" si="30"/>
        <v/>
      </c>
      <c r="T193" s="218" t="str">
        <f t="shared" si="31"/>
        <v/>
      </c>
    </row>
    <row r="194" spans="1:20" x14ac:dyDescent="0.2">
      <c r="A194" t="str">
        <f>INDEX(Prioritization!$D:$D,MATCH($B194,Prioritization!$A:$A,0))</f>
        <v>1 - Scale-up: Saturation</v>
      </c>
      <c r="B194" t="s">
        <v>317</v>
      </c>
      <c r="C194" t="s">
        <v>974</v>
      </c>
      <c r="D194" t="s">
        <v>48</v>
      </c>
      <c r="E194" t="str">
        <f t="shared" si="23"/>
        <v>Machinga District [TYnMSwzko3z]|18+|Male</v>
      </c>
      <c r="F194" t="s">
        <v>1380</v>
      </c>
      <c r="G194" s="38">
        <v>140</v>
      </c>
      <c r="H194" s="38">
        <v>600</v>
      </c>
      <c r="I194" s="241">
        <v>-0.806666667</v>
      </c>
      <c r="J194" s="33"/>
      <c r="K194" s="33"/>
      <c r="L194" s="33">
        <f t="shared" si="24"/>
        <v>1</v>
      </c>
      <c r="M194" s="33">
        <f t="shared" si="25"/>
        <v>0.2</v>
      </c>
      <c r="N194" s="38">
        <f t="shared" si="32"/>
        <v>116</v>
      </c>
      <c r="O194" s="218" t="str">
        <f t="shared" si="26"/>
        <v/>
      </c>
      <c r="P194" s="218" t="str">
        <f t="shared" si="27"/>
        <v/>
      </c>
      <c r="Q194" s="218">
        <f t="shared" si="28"/>
        <v>23</v>
      </c>
      <c r="R194" s="218">
        <f t="shared" si="29"/>
        <v>92.999999999999986</v>
      </c>
      <c r="S194" s="246" t="str">
        <f t="shared" si="30"/>
        <v/>
      </c>
      <c r="T194" s="237" t="str">
        <f t="shared" si="31"/>
        <v/>
      </c>
    </row>
    <row r="195" spans="1:20" x14ac:dyDescent="0.2">
      <c r="A195" t="str">
        <f>INDEX(Prioritization!$D:$D,MATCH($B195,Prioritization!$A:$A,0))</f>
        <v>1 - Scale-up: Saturation</v>
      </c>
      <c r="B195" t="s">
        <v>317</v>
      </c>
      <c r="C195" t="s">
        <v>973</v>
      </c>
      <c r="D195" t="s">
        <v>30</v>
      </c>
      <c r="E195" t="str">
        <f t="shared" si="23"/>
        <v>Machinga District [TYnMSwzko3z]|18-20|Female</v>
      </c>
      <c r="F195" t="s">
        <v>1380</v>
      </c>
      <c r="G195" s="38"/>
      <c r="H195" s="38">
        <v>43</v>
      </c>
      <c r="I195" s="241">
        <v>-0.46511627900000002</v>
      </c>
      <c r="J195" s="33"/>
      <c r="K195" s="33"/>
      <c r="L195" s="33">
        <f t="shared" si="24"/>
        <v>1</v>
      </c>
      <c r="M195" s="33">
        <f t="shared" si="25"/>
        <v>0.2</v>
      </c>
      <c r="N195" s="38">
        <f t="shared" si="32"/>
        <v>23</v>
      </c>
      <c r="O195" s="218" t="str">
        <f t="shared" si="26"/>
        <v/>
      </c>
      <c r="P195" s="218" t="str">
        <f t="shared" si="27"/>
        <v/>
      </c>
      <c r="Q195" s="218">
        <f t="shared" si="28"/>
        <v>5</v>
      </c>
      <c r="R195" s="218">
        <f t="shared" si="29"/>
        <v>18</v>
      </c>
      <c r="S195" s="246">
        <f t="shared" si="30"/>
        <v>1</v>
      </c>
      <c r="T195" s="218">
        <f t="shared" si="31"/>
        <v>23</v>
      </c>
    </row>
    <row r="196" spans="1:20" x14ac:dyDescent="0.2">
      <c r="A196" t="str">
        <f>INDEX(Prioritization!$D:$D,MATCH($B196,Prioritization!$A:$A,0))</f>
        <v>1 - Scale-up: Saturation</v>
      </c>
      <c r="B196" t="s">
        <v>317</v>
      </c>
      <c r="C196" t="s">
        <v>973</v>
      </c>
      <c r="D196" t="s">
        <v>48</v>
      </c>
      <c r="E196" t="str">
        <f t="shared" si="23"/>
        <v>Machinga District [TYnMSwzko3z]|18-20|Male</v>
      </c>
      <c r="F196" t="s">
        <v>1380</v>
      </c>
      <c r="G196" s="38"/>
      <c r="H196" s="38">
        <v>43</v>
      </c>
      <c r="I196" s="241">
        <v>-0.23255814</v>
      </c>
      <c r="J196" s="33"/>
      <c r="K196" s="33"/>
      <c r="L196" s="33">
        <f t="shared" si="24"/>
        <v>1</v>
      </c>
      <c r="M196" s="33">
        <f t="shared" si="25"/>
        <v>0.2</v>
      </c>
      <c r="N196" s="38">
        <f t="shared" si="32"/>
        <v>33</v>
      </c>
      <c r="O196" s="218" t="str">
        <f t="shared" si="26"/>
        <v/>
      </c>
      <c r="P196" s="218" t="str">
        <f t="shared" si="27"/>
        <v/>
      </c>
      <c r="Q196" s="218">
        <f t="shared" si="28"/>
        <v>7</v>
      </c>
      <c r="R196" s="218">
        <f t="shared" si="29"/>
        <v>26</v>
      </c>
      <c r="S196" s="246">
        <f t="shared" si="30"/>
        <v>1</v>
      </c>
      <c r="T196" s="237">
        <f t="shared" si="31"/>
        <v>33</v>
      </c>
    </row>
    <row r="197" spans="1:20" x14ac:dyDescent="0.2">
      <c r="A197" t="str">
        <f>INDEX(Prioritization!$D:$D,MATCH($B197,Prioritization!$A:$A,0))</f>
        <v>1 - Scale-up: Saturation</v>
      </c>
      <c r="B197" t="s">
        <v>318</v>
      </c>
      <c r="C197" t="s">
        <v>426</v>
      </c>
      <c r="D197" t="s">
        <v>30</v>
      </c>
      <c r="E197" t="str">
        <f t="shared" si="23"/>
        <v>Mangochi District [lLDyBx5XyUi]|&lt;01|Female</v>
      </c>
      <c r="G197" s="38">
        <v>8</v>
      </c>
      <c r="H197" s="38">
        <v>1322</v>
      </c>
      <c r="I197" s="241">
        <v>-0.97655068099999998</v>
      </c>
      <c r="J197" s="33"/>
      <c r="K197" s="33"/>
      <c r="L197" s="33">
        <f t="shared" si="24"/>
        <v>1</v>
      </c>
      <c r="M197" s="33">
        <f t="shared" si="25"/>
        <v>0.2</v>
      </c>
      <c r="N197" s="38">
        <f t="shared" si="32"/>
        <v>31</v>
      </c>
      <c r="O197" s="218" t="str">
        <f t="shared" si="26"/>
        <v/>
      </c>
      <c r="P197" s="218" t="str">
        <f t="shared" si="27"/>
        <v/>
      </c>
      <c r="Q197" s="218">
        <f t="shared" si="28"/>
        <v>6</v>
      </c>
      <c r="R197" s="218">
        <f t="shared" si="29"/>
        <v>25</v>
      </c>
      <c r="S197" s="246">
        <f t="shared" si="30"/>
        <v>1</v>
      </c>
      <c r="T197" s="218">
        <f t="shared" si="31"/>
        <v>31</v>
      </c>
    </row>
    <row r="198" spans="1:20" x14ac:dyDescent="0.2">
      <c r="A198" t="str">
        <f>INDEX(Prioritization!$D:$D,MATCH($B198,Prioritization!$A:$A,0))</f>
        <v>1 - Scale-up: Saturation</v>
      </c>
      <c r="B198" t="s">
        <v>318</v>
      </c>
      <c r="C198" t="s">
        <v>426</v>
      </c>
      <c r="D198" t="s">
        <v>48</v>
      </c>
      <c r="E198" t="str">
        <f t="shared" si="23"/>
        <v>Mangochi District [lLDyBx5XyUi]|&lt;01|Male</v>
      </c>
      <c r="G198" s="38">
        <v>14</v>
      </c>
      <c r="H198" s="38">
        <v>1322</v>
      </c>
      <c r="I198" s="241">
        <v>-0.97655068099999998</v>
      </c>
      <c r="J198" s="33"/>
      <c r="K198" s="33"/>
      <c r="L198" s="33">
        <f t="shared" si="24"/>
        <v>1</v>
      </c>
      <c r="M198" s="33">
        <f t="shared" si="25"/>
        <v>0.2</v>
      </c>
      <c r="N198" s="38">
        <f t="shared" si="32"/>
        <v>31</v>
      </c>
      <c r="O198" s="218" t="str">
        <f t="shared" si="26"/>
        <v/>
      </c>
      <c r="P198" s="218" t="str">
        <f t="shared" si="27"/>
        <v/>
      </c>
      <c r="Q198" s="218">
        <f t="shared" si="28"/>
        <v>6</v>
      </c>
      <c r="R198" s="218">
        <f t="shared" si="29"/>
        <v>25</v>
      </c>
      <c r="S198" s="246">
        <f t="shared" si="30"/>
        <v>1</v>
      </c>
      <c r="T198" s="237">
        <f t="shared" si="31"/>
        <v>31</v>
      </c>
    </row>
    <row r="199" spans="1:20" x14ac:dyDescent="0.2">
      <c r="A199" t="str">
        <f>INDEX(Prioritization!$D:$D,MATCH($B199,Prioritization!$A:$A,0))</f>
        <v>1 - Scale-up: Saturation</v>
      </c>
      <c r="B199" t="s">
        <v>318</v>
      </c>
      <c r="C199" t="s">
        <v>970</v>
      </c>
      <c r="D199" t="s">
        <v>30</v>
      </c>
      <c r="E199" t="str">
        <f t="shared" si="23"/>
        <v>Mangochi District [lLDyBx5XyUi]|01-04|Female</v>
      </c>
      <c r="G199" s="38">
        <v>769</v>
      </c>
      <c r="H199" s="38">
        <v>473</v>
      </c>
      <c r="I199" s="241">
        <v>0.27061310799999999</v>
      </c>
      <c r="J199" s="33"/>
      <c r="K199" s="33"/>
      <c r="L199" s="33">
        <f t="shared" si="24"/>
        <v>1</v>
      </c>
      <c r="M199" s="33">
        <f t="shared" si="25"/>
        <v>0.2</v>
      </c>
      <c r="N199" s="38">
        <f t="shared" si="32"/>
        <v>601</v>
      </c>
      <c r="O199" s="218" t="str">
        <f t="shared" si="26"/>
        <v/>
      </c>
      <c r="P199" s="218" t="str">
        <f t="shared" si="27"/>
        <v/>
      </c>
      <c r="Q199" s="218">
        <f t="shared" si="28"/>
        <v>120</v>
      </c>
      <c r="R199" s="218">
        <f t="shared" si="29"/>
        <v>481</v>
      </c>
      <c r="S199" s="246">
        <f t="shared" si="30"/>
        <v>1</v>
      </c>
      <c r="T199" s="218">
        <f t="shared" si="31"/>
        <v>601</v>
      </c>
    </row>
    <row r="200" spans="1:20" x14ac:dyDescent="0.2">
      <c r="A200" t="str">
        <f>INDEX(Prioritization!$D:$D,MATCH($B200,Prioritization!$A:$A,0))</f>
        <v>1 - Scale-up: Saturation</v>
      </c>
      <c r="B200" t="s">
        <v>318</v>
      </c>
      <c r="C200" t="s">
        <v>970</v>
      </c>
      <c r="D200" t="s">
        <v>48</v>
      </c>
      <c r="E200" t="str">
        <f t="shared" si="23"/>
        <v>Mangochi District [lLDyBx5XyUi]|01-04|Male</v>
      </c>
      <c r="G200" s="38">
        <v>790</v>
      </c>
      <c r="H200" s="38">
        <v>477</v>
      </c>
      <c r="I200" s="241">
        <v>0.27882599600000002</v>
      </c>
      <c r="J200" s="33"/>
      <c r="K200" s="33"/>
      <c r="L200" s="33">
        <f t="shared" si="24"/>
        <v>1</v>
      </c>
      <c r="M200" s="33">
        <f t="shared" si="25"/>
        <v>0.2</v>
      </c>
      <c r="N200" s="38">
        <f t="shared" si="32"/>
        <v>610</v>
      </c>
      <c r="O200" s="218" t="str">
        <f t="shared" si="26"/>
        <v/>
      </c>
      <c r="P200" s="218" t="str">
        <f t="shared" si="27"/>
        <v/>
      </c>
      <c r="Q200" s="218">
        <f t="shared" si="28"/>
        <v>122</v>
      </c>
      <c r="R200" s="218">
        <f t="shared" si="29"/>
        <v>488</v>
      </c>
      <c r="S200" s="246">
        <f t="shared" si="30"/>
        <v>1</v>
      </c>
      <c r="T200" s="237">
        <f t="shared" si="31"/>
        <v>610</v>
      </c>
    </row>
    <row r="201" spans="1:20" x14ac:dyDescent="0.2">
      <c r="A201" t="str">
        <f>INDEX(Prioritization!$D:$D,MATCH($B201,Prioritization!$A:$A,0))</f>
        <v>1 - Scale-up: Saturation</v>
      </c>
      <c r="B201" t="s">
        <v>318</v>
      </c>
      <c r="C201" t="s">
        <v>971</v>
      </c>
      <c r="D201" t="s">
        <v>30</v>
      </c>
      <c r="E201" t="str">
        <f t="shared" si="23"/>
        <v>Mangochi District [lLDyBx5XyUi]|05-09|Female</v>
      </c>
      <c r="G201" s="38">
        <v>1241</v>
      </c>
      <c r="H201" s="38">
        <v>473</v>
      </c>
      <c r="I201" s="241">
        <v>0.27061310799999999</v>
      </c>
      <c r="J201" s="33"/>
      <c r="K201" s="33"/>
      <c r="L201" s="33">
        <f t="shared" si="24"/>
        <v>1</v>
      </c>
      <c r="M201" s="33">
        <f t="shared" si="25"/>
        <v>0.2</v>
      </c>
      <c r="N201" s="38">
        <f t="shared" si="32"/>
        <v>601</v>
      </c>
      <c r="O201" s="218" t="str">
        <f t="shared" si="26"/>
        <v/>
      </c>
      <c r="P201" s="218" t="str">
        <f t="shared" si="27"/>
        <v/>
      </c>
      <c r="Q201" s="218">
        <f t="shared" si="28"/>
        <v>120</v>
      </c>
      <c r="R201" s="218">
        <f t="shared" si="29"/>
        <v>481</v>
      </c>
      <c r="S201" s="246">
        <f t="shared" si="30"/>
        <v>1</v>
      </c>
      <c r="T201" s="218">
        <f t="shared" si="31"/>
        <v>601</v>
      </c>
    </row>
    <row r="202" spans="1:20" x14ac:dyDescent="0.2">
      <c r="A202" t="str">
        <f>INDEX(Prioritization!$D:$D,MATCH($B202,Prioritization!$A:$A,0))</f>
        <v>1 - Scale-up: Saturation</v>
      </c>
      <c r="B202" t="s">
        <v>318</v>
      </c>
      <c r="C202" t="s">
        <v>971</v>
      </c>
      <c r="D202" t="s">
        <v>48</v>
      </c>
      <c r="E202" t="str">
        <f t="shared" si="23"/>
        <v>Mangochi District [lLDyBx5XyUi]|05-09|Male</v>
      </c>
      <c r="G202" s="38">
        <v>1238</v>
      </c>
      <c r="H202" s="38">
        <v>477</v>
      </c>
      <c r="I202" s="241">
        <v>0.27882599600000002</v>
      </c>
      <c r="J202" s="33"/>
      <c r="K202" s="33"/>
      <c r="L202" s="33">
        <f t="shared" si="24"/>
        <v>1</v>
      </c>
      <c r="M202" s="33">
        <f t="shared" si="25"/>
        <v>0.2</v>
      </c>
      <c r="N202" s="38">
        <f t="shared" si="32"/>
        <v>610</v>
      </c>
      <c r="O202" s="218" t="str">
        <f t="shared" si="26"/>
        <v/>
      </c>
      <c r="P202" s="218" t="str">
        <f t="shared" si="27"/>
        <v/>
      </c>
      <c r="Q202" s="218">
        <f t="shared" si="28"/>
        <v>122</v>
      </c>
      <c r="R202" s="218">
        <f t="shared" si="29"/>
        <v>488</v>
      </c>
      <c r="S202" s="246">
        <f t="shared" si="30"/>
        <v>1</v>
      </c>
      <c r="T202" s="237">
        <f t="shared" si="31"/>
        <v>610</v>
      </c>
    </row>
    <row r="203" spans="1:20" x14ac:dyDescent="0.2">
      <c r="A203" t="str">
        <f>INDEX(Prioritization!$D:$D,MATCH($B203,Prioritization!$A:$A,0))</f>
        <v>1 - Scale-up: Saturation</v>
      </c>
      <c r="B203" t="s">
        <v>318</v>
      </c>
      <c r="C203" t="s">
        <v>474</v>
      </c>
      <c r="D203" t="s">
        <v>30</v>
      </c>
      <c r="E203" t="str">
        <f t="shared" si="23"/>
        <v>Mangochi District [lLDyBx5XyUi]|10-14|Female</v>
      </c>
      <c r="G203" s="38">
        <v>2439</v>
      </c>
      <c r="H203" s="38">
        <v>1536</v>
      </c>
      <c r="I203" s="241">
        <v>0.6640625</v>
      </c>
      <c r="J203" s="33"/>
      <c r="K203" s="33">
        <v>0.41158059499999999</v>
      </c>
      <c r="L203" s="33">
        <f t="shared" si="24"/>
        <v>0.58841940500000001</v>
      </c>
      <c r="M203" s="33">
        <f t="shared" si="25"/>
        <v>0.2</v>
      </c>
      <c r="N203" s="38">
        <f t="shared" si="32"/>
        <v>2556</v>
      </c>
      <c r="O203" s="218" t="str">
        <f t="shared" si="26"/>
        <v/>
      </c>
      <c r="P203" s="218">
        <f t="shared" si="27"/>
        <v>1052</v>
      </c>
      <c r="Q203" s="218">
        <f t="shared" si="28"/>
        <v>301</v>
      </c>
      <c r="R203" s="218">
        <f t="shared" si="29"/>
        <v>1203</v>
      </c>
      <c r="S203" s="246">
        <f t="shared" si="30"/>
        <v>1</v>
      </c>
      <c r="T203" s="218">
        <f t="shared" si="31"/>
        <v>1504</v>
      </c>
    </row>
    <row r="204" spans="1:20" x14ac:dyDescent="0.2">
      <c r="A204" t="str">
        <f>INDEX(Prioritization!$D:$D,MATCH($B204,Prioritization!$A:$A,0))</f>
        <v>1 - Scale-up: Saturation</v>
      </c>
      <c r="B204" t="s">
        <v>318</v>
      </c>
      <c r="C204" t="s">
        <v>474</v>
      </c>
      <c r="D204" t="s">
        <v>48</v>
      </c>
      <c r="E204" t="str">
        <f t="shared" si="23"/>
        <v>Mangochi District [lLDyBx5XyUi]|10-14|Male</v>
      </c>
      <c r="G204" s="38">
        <v>2314</v>
      </c>
      <c r="H204" s="38">
        <v>1568</v>
      </c>
      <c r="I204" s="241">
        <v>0.52168367299999996</v>
      </c>
      <c r="J204" s="33"/>
      <c r="K204" s="33">
        <v>0.44509639600000001</v>
      </c>
      <c r="L204" s="33">
        <f t="shared" si="24"/>
        <v>0.55490360399999994</v>
      </c>
      <c r="M204" s="33">
        <f t="shared" si="25"/>
        <v>0.2</v>
      </c>
      <c r="N204" s="38">
        <f t="shared" si="32"/>
        <v>2386</v>
      </c>
      <c r="O204" s="218" t="str">
        <f t="shared" si="26"/>
        <v/>
      </c>
      <c r="P204" s="218">
        <f t="shared" si="27"/>
        <v>1062</v>
      </c>
      <c r="Q204" s="218">
        <f t="shared" si="28"/>
        <v>265</v>
      </c>
      <c r="R204" s="218">
        <f t="shared" si="29"/>
        <v>1059</v>
      </c>
      <c r="S204" s="246">
        <f t="shared" si="30"/>
        <v>1</v>
      </c>
      <c r="T204" s="237">
        <f t="shared" si="31"/>
        <v>1324</v>
      </c>
    </row>
    <row r="205" spans="1:20" x14ac:dyDescent="0.2">
      <c r="A205" t="str">
        <f>INDEX(Prioritization!$D:$D,MATCH($B205,Prioritization!$A:$A,0))</f>
        <v>1 - Scale-up: Saturation</v>
      </c>
      <c r="B205" t="s">
        <v>318</v>
      </c>
      <c r="C205" t="s">
        <v>972</v>
      </c>
      <c r="D205" t="s">
        <v>30</v>
      </c>
      <c r="E205" t="str">
        <f t="shared" si="23"/>
        <v>Mangochi District [lLDyBx5XyUi]|15-17|Female</v>
      </c>
      <c r="G205" s="38">
        <v>941</v>
      </c>
      <c r="H205" s="38">
        <v>684</v>
      </c>
      <c r="I205" s="241">
        <v>0.587719298</v>
      </c>
      <c r="J205" s="33"/>
      <c r="K205" s="33"/>
      <c r="L205" s="33">
        <f t="shared" si="24"/>
        <v>1</v>
      </c>
      <c r="M205" s="33">
        <f t="shared" si="25"/>
        <v>0.2</v>
      </c>
      <c r="N205" s="38">
        <f t="shared" si="32"/>
        <v>1086</v>
      </c>
      <c r="O205" s="218" t="str">
        <f t="shared" si="26"/>
        <v/>
      </c>
      <c r="P205" s="218" t="str">
        <f t="shared" si="27"/>
        <v/>
      </c>
      <c r="Q205" s="218">
        <f t="shared" si="28"/>
        <v>217</v>
      </c>
      <c r="R205" s="218">
        <f t="shared" si="29"/>
        <v>869</v>
      </c>
      <c r="S205" s="246">
        <f t="shared" si="30"/>
        <v>1</v>
      </c>
      <c r="T205" s="218">
        <f t="shared" si="31"/>
        <v>1086</v>
      </c>
    </row>
    <row r="206" spans="1:20" x14ac:dyDescent="0.2">
      <c r="A206" t="str">
        <f>INDEX(Prioritization!$D:$D,MATCH($B206,Prioritization!$A:$A,0))</f>
        <v>1 - Scale-up: Saturation</v>
      </c>
      <c r="B206" t="s">
        <v>318</v>
      </c>
      <c r="C206" t="s">
        <v>972</v>
      </c>
      <c r="D206" t="s">
        <v>48</v>
      </c>
      <c r="E206" t="str">
        <f t="shared" si="23"/>
        <v>Mangochi District [lLDyBx5XyUi]|15-17|Male</v>
      </c>
      <c r="G206" s="38">
        <v>941</v>
      </c>
      <c r="H206" s="38">
        <v>447</v>
      </c>
      <c r="I206" s="241">
        <v>0.17449664400000001</v>
      </c>
      <c r="J206" s="33"/>
      <c r="K206" s="33"/>
      <c r="L206" s="33">
        <f t="shared" si="24"/>
        <v>1</v>
      </c>
      <c r="M206" s="33">
        <f t="shared" si="25"/>
        <v>0.2</v>
      </c>
      <c r="N206" s="38">
        <f t="shared" si="32"/>
        <v>525</v>
      </c>
      <c r="O206" s="218" t="str">
        <f t="shared" si="26"/>
        <v/>
      </c>
      <c r="P206" s="218" t="str">
        <f t="shared" si="27"/>
        <v/>
      </c>
      <c r="Q206" s="218">
        <f t="shared" si="28"/>
        <v>104.99999999999999</v>
      </c>
      <c r="R206" s="218">
        <f t="shared" si="29"/>
        <v>419.99999999999994</v>
      </c>
      <c r="S206" s="246">
        <f t="shared" si="30"/>
        <v>1</v>
      </c>
      <c r="T206" s="237">
        <f t="shared" si="31"/>
        <v>525</v>
      </c>
    </row>
    <row r="207" spans="1:20" x14ac:dyDescent="0.2">
      <c r="A207" t="str">
        <f>INDEX(Prioritization!$D:$D,MATCH($B207,Prioritization!$A:$A,0))</f>
        <v>1 - Scale-up: Saturation</v>
      </c>
      <c r="B207" t="s">
        <v>318</v>
      </c>
      <c r="C207" t="s">
        <v>974</v>
      </c>
      <c r="D207" t="s">
        <v>30</v>
      </c>
      <c r="E207" t="str">
        <f t="shared" ref="E207:E270" si="33">$B207&amp;"|"&amp;$C207&amp;"|"&amp;$D207</f>
        <v>Mangochi District [lLDyBx5XyUi]|18+|Female</v>
      </c>
      <c r="G207" s="38">
        <v>3245</v>
      </c>
      <c r="H207" s="38">
        <v>1829</v>
      </c>
      <c r="I207" s="241">
        <v>0.48223072700000003</v>
      </c>
      <c r="J207" s="33"/>
      <c r="K207" s="33"/>
      <c r="L207" s="33">
        <f t="shared" ref="L207:L270" si="34">1-SUM(J207:K207)</f>
        <v>1</v>
      </c>
      <c r="M207" s="33">
        <f t="shared" ref="M207:M270" si="35">IF(SUM($L207)=0,"",20%)</f>
        <v>0.2</v>
      </c>
      <c r="N207" s="38">
        <f t="shared" si="32"/>
        <v>2711</v>
      </c>
      <c r="O207" s="218" t="str">
        <f t="shared" ref="O207:O270" si="36">IF(OR(SUM($N207)=0,SUM($J207)=0,NOT(AND($D207="Female",$F207="Y",OR($C207="10-14",$C207="15-17")))),"",ROUND($N207*$J207,0))</f>
        <v/>
      </c>
      <c r="P207" s="218" t="str">
        <f t="shared" ref="P207:P270" si="37">IF(OR(SUM($N207)=0,SUM($K207)=0,NOT(OR($C207="10-14",$C207="05-09"))),"",ROUND($N207*$K207,0))</f>
        <v/>
      </c>
      <c r="Q207" s="218">
        <f t="shared" ref="Q207:Q270" si="38">IFERROR(1/(1/ROUND($N207*$L207*$M207,0)),"")</f>
        <v>542</v>
      </c>
      <c r="R207" s="218">
        <f t="shared" ref="R207:R270" si="39">IFERROR(1/(1/(ROUND($N207*$L207,0)-$Q207)),"")</f>
        <v>2169</v>
      </c>
      <c r="S207" s="246" t="str">
        <f t="shared" ref="S207:S270" si="40">IF(OR($C207="18+",SUM($Q207,$R207)=0),"",100%)</f>
        <v/>
      </c>
      <c r="T207" s="218" t="str">
        <f t="shared" ref="T207:T270" si="41">IF(OR($C207="18+",SUM($Q207,$R207)=0),"",ROUND(SUM($Q207,$R207)*$S207,0))</f>
        <v/>
      </c>
    </row>
    <row r="208" spans="1:20" x14ac:dyDescent="0.2">
      <c r="A208" t="str">
        <f>INDEX(Prioritization!$D:$D,MATCH($B208,Prioritization!$A:$A,0))</f>
        <v>1 - Scale-up: Saturation</v>
      </c>
      <c r="B208" t="s">
        <v>318</v>
      </c>
      <c r="C208" t="s">
        <v>974</v>
      </c>
      <c r="D208" t="s">
        <v>48</v>
      </c>
      <c r="E208" t="str">
        <f t="shared" si="33"/>
        <v>Mangochi District [lLDyBx5XyUi]|18+|Male</v>
      </c>
      <c r="G208" s="38">
        <v>122</v>
      </c>
      <c r="H208" s="38">
        <v>751</v>
      </c>
      <c r="I208" s="241">
        <v>-0.76964047899999999</v>
      </c>
      <c r="J208" s="33"/>
      <c r="K208" s="33"/>
      <c r="L208" s="33">
        <f t="shared" si="34"/>
        <v>1</v>
      </c>
      <c r="M208" s="33">
        <f t="shared" si="35"/>
        <v>0.2</v>
      </c>
      <c r="N208" s="38">
        <f t="shared" ref="N208:N271" si="42">IF(SUM($H208)=0,"",ROUND($H208*(1+$I208),0))</f>
        <v>173</v>
      </c>
      <c r="O208" s="218" t="str">
        <f t="shared" si="36"/>
        <v/>
      </c>
      <c r="P208" s="218" t="str">
        <f t="shared" si="37"/>
        <v/>
      </c>
      <c r="Q208" s="218">
        <f t="shared" si="38"/>
        <v>35</v>
      </c>
      <c r="R208" s="218">
        <f t="shared" si="39"/>
        <v>138</v>
      </c>
      <c r="S208" s="246" t="str">
        <f t="shared" si="40"/>
        <v/>
      </c>
      <c r="T208" s="237" t="str">
        <f t="shared" si="41"/>
        <v/>
      </c>
    </row>
    <row r="209" spans="1:20" x14ac:dyDescent="0.2">
      <c r="A209" t="str">
        <f>INDEX(Prioritization!$D:$D,MATCH($B209,Prioritization!$A:$A,0))</f>
        <v>1 - Scale-up: Saturation</v>
      </c>
      <c r="B209" t="s">
        <v>318</v>
      </c>
      <c r="C209" t="s">
        <v>973</v>
      </c>
      <c r="D209" t="s">
        <v>30</v>
      </c>
      <c r="E209" t="str">
        <f t="shared" si="33"/>
        <v>Mangochi District [lLDyBx5XyUi]|18-20|Female</v>
      </c>
      <c r="G209" s="38"/>
      <c r="H209" s="38">
        <v>55</v>
      </c>
      <c r="I209" s="241">
        <v>-0.45454545499999999</v>
      </c>
      <c r="J209" s="33"/>
      <c r="K209" s="33"/>
      <c r="L209" s="33">
        <f t="shared" si="34"/>
        <v>1</v>
      </c>
      <c r="M209" s="33">
        <f t="shared" si="35"/>
        <v>0.2</v>
      </c>
      <c r="N209" s="38">
        <f t="shared" si="42"/>
        <v>30</v>
      </c>
      <c r="O209" s="218" t="str">
        <f t="shared" si="36"/>
        <v/>
      </c>
      <c r="P209" s="218" t="str">
        <f t="shared" si="37"/>
        <v/>
      </c>
      <c r="Q209" s="218">
        <f t="shared" si="38"/>
        <v>6</v>
      </c>
      <c r="R209" s="218">
        <f t="shared" si="39"/>
        <v>24</v>
      </c>
      <c r="S209" s="246">
        <f t="shared" si="40"/>
        <v>1</v>
      </c>
      <c r="T209" s="218">
        <f t="shared" si="41"/>
        <v>30</v>
      </c>
    </row>
    <row r="210" spans="1:20" x14ac:dyDescent="0.2">
      <c r="A210" t="str">
        <f>INDEX(Prioritization!$D:$D,MATCH($B210,Prioritization!$A:$A,0))</f>
        <v>1 - Scale-up: Saturation</v>
      </c>
      <c r="B210" t="s">
        <v>318</v>
      </c>
      <c r="C210" t="s">
        <v>973</v>
      </c>
      <c r="D210" t="s">
        <v>48</v>
      </c>
      <c r="E210" t="str">
        <f t="shared" si="33"/>
        <v>Mangochi District [lLDyBx5XyUi]|18-20|Male</v>
      </c>
      <c r="G210" s="38"/>
      <c r="H210" s="38">
        <v>55</v>
      </c>
      <c r="I210" s="241">
        <v>-0.52727272700000005</v>
      </c>
      <c r="J210" s="33"/>
      <c r="K210" s="33"/>
      <c r="L210" s="33">
        <f t="shared" si="34"/>
        <v>1</v>
      </c>
      <c r="M210" s="33">
        <f t="shared" si="35"/>
        <v>0.2</v>
      </c>
      <c r="N210" s="38">
        <f t="shared" si="42"/>
        <v>26</v>
      </c>
      <c r="O210" s="218" t="str">
        <f t="shared" si="36"/>
        <v/>
      </c>
      <c r="P210" s="218" t="str">
        <f t="shared" si="37"/>
        <v/>
      </c>
      <c r="Q210" s="218">
        <f t="shared" si="38"/>
        <v>5</v>
      </c>
      <c r="R210" s="218">
        <f t="shared" si="39"/>
        <v>21</v>
      </c>
      <c r="S210" s="246">
        <f t="shared" si="40"/>
        <v>1</v>
      </c>
      <c r="T210" s="237">
        <f t="shared" si="41"/>
        <v>26</v>
      </c>
    </row>
    <row r="211" spans="1:20" x14ac:dyDescent="0.2">
      <c r="A211" t="str">
        <f>INDEX(Prioritization!$D:$D,MATCH($B211,Prioritization!$A:$A,0))</f>
        <v>4 - Sustained</v>
      </c>
      <c r="B211" t="s">
        <v>302</v>
      </c>
      <c r="C211" t="s">
        <v>426</v>
      </c>
      <c r="D211" t="s">
        <v>30</v>
      </c>
      <c r="E211" t="str">
        <f t="shared" si="33"/>
        <v>Mchinji District [kxuuIFpOXyO]|&lt;01|Female</v>
      </c>
      <c r="G211" s="38"/>
      <c r="H211" s="38"/>
      <c r="I211" s="241">
        <v>-0.96501457700000004</v>
      </c>
      <c r="J211" s="33"/>
      <c r="K211" s="33"/>
      <c r="L211" s="33">
        <f t="shared" si="34"/>
        <v>1</v>
      </c>
      <c r="M211" s="33">
        <f t="shared" si="35"/>
        <v>0.2</v>
      </c>
      <c r="N211" s="38" t="str">
        <f t="shared" si="42"/>
        <v/>
      </c>
      <c r="O211" s="218" t="str">
        <f t="shared" si="36"/>
        <v/>
      </c>
      <c r="P211" s="218" t="str">
        <f t="shared" si="37"/>
        <v/>
      </c>
      <c r="Q211" s="218" t="str">
        <f t="shared" si="38"/>
        <v/>
      </c>
      <c r="R211" s="218" t="str">
        <f t="shared" si="39"/>
        <v/>
      </c>
      <c r="S211" s="246" t="str">
        <f t="shared" si="40"/>
        <v/>
      </c>
      <c r="T211" s="218" t="str">
        <f t="shared" si="41"/>
        <v/>
      </c>
    </row>
    <row r="212" spans="1:20" x14ac:dyDescent="0.2">
      <c r="A212" t="str">
        <f>INDEX(Prioritization!$D:$D,MATCH($B212,Prioritization!$A:$A,0))</f>
        <v>4 - Sustained</v>
      </c>
      <c r="B212" t="s">
        <v>302</v>
      </c>
      <c r="C212" t="s">
        <v>426</v>
      </c>
      <c r="D212" t="s">
        <v>48</v>
      </c>
      <c r="E212" t="str">
        <f t="shared" si="33"/>
        <v>Mchinji District [kxuuIFpOXyO]|&lt;01|Male</v>
      </c>
      <c r="G212" s="38"/>
      <c r="H212" s="38"/>
      <c r="I212" s="240"/>
      <c r="J212" s="33"/>
      <c r="K212" s="33"/>
      <c r="L212" s="33">
        <f t="shared" si="34"/>
        <v>1</v>
      </c>
      <c r="M212" s="33">
        <f t="shared" si="35"/>
        <v>0.2</v>
      </c>
      <c r="N212" s="38" t="str">
        <f t="shared" si="42"/>
        <v/>
      </c>
      <c r="O212" s="218" t="str">
        <f t="shared" si="36"/>
        <v/>
      </c>
      <c r="P212" s="218" t="str">
        <f t="shared" si="37"/>
        <v/>
      </c>
      <c r="Q212" s="218" t="str">
        <f t="shared" si="38"/>
        <v/>
      </c>
      <c r="R212" s="218" t="str">
        <f t="shared" si="39"/>
        <v/>
      </c>
      <c r="S212" s="246" t="str">
        <f t="shared" si="40"/>
        <v/>
      </c>
      <c r="T212" s="237" t="str">
        <f t="shared" si="41"/>
        <v/>
      </c>
    </row>
    <row r="213" spans="1:20" x14ac:dyDescent="0.2">
      <c r="A213" t="str">
        <f>INDEX(Prioritization!$D:$D,MATCH($B213,Prioritization!$A:$A,0))</f>
        <v>4 - Sustained</v>
      </c>
      <c r="B213" t="s">
        <v>302</v>
      </c>
      <c r="C213" t="s">
        <v>970</v>
      </c>
      <c r="D213" t="s">
        <v>30</v>
      </c>
      <c r="E213" t="str">
        <f t="shared" si="33"/>
        <v>Mchinji District [kxuuIFpOXyO]|01-04|Female</v>
      </c>
      <c r="G213" s="38"/>
      <c r="H213" s="38"/>
      <c r="I213" s="240"/>
      <c r="J213" s="33"/>
      <c r="K213" s="33"/>
      <c r="L213" s="33">
        <f t="shared" si="34"/>
        <v>1</v>
      </c>
      <c r="M213" s="33">
        <f t="shared" si="35"/>
        <v>0.2</v>
      </c>
      <c r="N213" s="38" t="str">
        <f t="shared" si="42"/>
        <v/>
      </c>
      <c r="O213" s="218" t="str">
        <f t="shared" si="36"/>
        <v/>
      </c>
      <c r="P213" s="218" t="str">
        <f t="shared" si="37"/>
        <v/>
      </c>
      <c r="Q213" s="218" t="str">
        <f t="shared" si="38"/>
        <v/>
      </c>
      <c r="R213" s="218" t="str">
        <f t="shared" si="39"/>
        <v/>
      </c>
      <c r="S213" s="246" t="str">
        <f t="shared" si="40"/>
        <v/>
      </c>
      <c r="T213" s="218" t="str">
        <f t="shared" si="41"/>
        <v/>
      </c>
    </row>
    <row r="214" spans="1:20" x14ac:dyDescent="0.2">
      <c r="A214" t="str">
        <f>INDEX(Prioritization!$D:$D,MATCH($B214,Prioritization!$A:$A,0))</f>
        <v>4 - Sustained</v>
      </c>
      <c r="B214" t="s">
        <v>302</v>
      </c>
      <c r="C214" t="s">
        <v>970</v>
      </c>
      <c r="D214" t="s">
        <v>48</v>
      </c>
      <c r="E214" t="str">
        <f t="shared" si="33"/>
        <v>Mchinji District [kxuuIFpOXyO]|01-04|Male</v>
      </c>
      <c r="G214" s="38"/>
      <c r="H214" s="38"/>
      <c r="I214" s="240"/>
      <c r="J214" s="33"/>
      <c r="K214" s="33"/>
      <c r="L214" s="33">
        <f t="shared" si="34"/>
        <v>1</v>
      </c>
      <c r="M214" s="33">
        <f t="shared" si="35"/>
        <v>0.2</v>
      </c>
      <c r="N214" s="38" t="str">
        <f t="shared" si="42"/>
        <v/>
      </c>
      <c r="O214" s="218" t="str">
        <f t="shared" si="36"/>
        <v/>
      </c>
      <c r="P214" s="218" t="str">
        <f t="shared" si="37"/>
        <v/>
      </c>
      <c r="Q214" s="218" t="str">
        <f t="shared" si="38"/>
        <v/>
      </c>
      <c r="R214" s="218" t="str">
        <f t="shared" si="39"/>
        <v/>
      </c>
      <c r="S214" s="246" t="str">
        <f t="shared" si="40"/>
        <v/>
      </c>
      <c r="T214" s="237" t="str">
        <f t="shared" si="41"/>
        <v/>
      </c>
    </row>
    <row r="215" spans="1:20" x14ac:dyDescent="0.2">
      <c r="A215" t="str">
        <f>INDEX(Prioritization!$D:$D,MATCH($B215,Prioritization!$A:$A,0))</f>
        <v>4 - Sustained</v>
      </c>
      <c r="B215" t="s">
        <v>302</v>
      </c>
      <c r="C215" t="s">
        <v>971</v>
      </c>
      <c r="D215" t="s">
        <v>30</v>
      </c>
      <c r="E215" t="str">
        <f t="shared" si="33"/>
        <v>Mchinji District [kxuuIFpOXyO]|05-09|Female</v>
      </c>
      <c r="G215" s="38"/>
      <c r="H215" s="38"/>
      <c r="I215" s="240"/>
      <c r="J215" s="33"/>
      <c r="K215" s="33"/>
      <c r="L215" s="33">
        <f t="shared" si="34"/>
        <v>1</v>
      </c>
      <c r="M215" s="33">
        <f t="shared" si="35"/>
        <v>0.2</v>
      </c>
      <c r="N215" s="38" t="str">
        <f t="shared" si="42"/>
        <v/>
      </c>
      <c r="O215" s="218" t="str">
        <f t="shared" si="36"/>
        <v/>
      </c>
      <c r="P215" s="218" t="str">
        <f t="shared" si="37"/>
        <v/>
      </c>
      <c r="Q215" s="218" t="str">
        <f t="shared" si="38"/>
        <v/>
      </c>
      <c r="R215" s="218" t="str">
        <f t="shared" si="39"/>
        <v/>
      </c>
      <c r="S215" s="246" t="str">
        <f t="shared" si="40"/>
        <v/>
      </c>
      <c r="T215" s="218" t="str">
        <f t="shared" si="41"/>
        <v/>
      </c>
    </row>
    <row r="216" spans="1:20" x14ac:dyDescent="0.2">
      <c r="A216" t="str">
        <f>INDEX(Prioritization!$D:$D,MATCH($B216,Prioritization!$A:$A,0))</f>
        <v>4 - Sustained</v>
      </c>
      <c r="B216" t="s">
        <v>302</v>
      </c>
      <c r="C216" t="s">
        <v>971</v>
      </c>
      <c r="D216" t="s">
        <v>48</v>
      </c>
      <c r="E216" t="str">
        <f t="shared" si="33"/>
        <v>Mchinji District [kxuuIFpOXyO]|05-09|Male</v>
      </c>
      <c r="G216" s="38"/>
      <c r="H216" s="38"/>
      <c r="I216" s="240"/>
      <c r="J216" s="33"/>
      <c r="K216" s="33"/>
      <c r="L216" s="33">
        <f t="shared" si="34"/>
        <v>1</v>
      </c>
      <c r="M216" s="33">
        <f t="shared" si="35"/>
        <v>0.2</v>
      </c>
      <c r="N216" s="38" t="str">
        <f t="shared" si="42"/>
        <v/>
      </c>
      <c r="O216" s="218" t="str">
        <f t="shared" si="36"/>
        <v/>
      </c>
      <c r="P216" s="218" t="str">
        <f t="shared" si="37"/>
        <v/>
      </c>
      <c r="Q216" s="218" t="str">
        <f t="shared" si="38"/>
        <v/>
      </c>
      <c r="R216" s="218" t="str">
        <f t="shared" si="39"/>
        <v/>
      </c>
      <c r="S216" s="246" t="str">
        <f t="shared" si="40"/>
        <v/>
      </c>
      <c r="T216" s="237" t="str">
        <f t="shared" si="41"/>
        <v/>
      </c>
    </row>
    <row r="217" spans="1:20" x14ac:dyDescent="0.2">
      <c r="A217" t="str">
        <f>INDEX(Prioritization!$D:$D,MATCH($B217,Prioritization!$A:$A,0))</f>
        <v>4 - Sustained</v>
      </c>
      <c r="B217" t="s">
        <v>302</v>
      </c>
      <c r="C217" t="s">
        <v>474</v>
      </c>
      <c r="D217" t="s">
        <v>30</v>
      </c>
      <c r="E217" t="str">
        <f t="shared" si="33"/>
        <v>Mchinji District [kxuuIFpOXyO]|10-14|Female</v>
      </c>
      <c r="G217" s="38"/>
      <c r="H217" s="38">
        <v>1</v>
      </c>
      <c r="I217" s="241">
        <v>39</v>
      </c>
      <c r="J217" s="33"/>
      <c r="K217" s="33">
        <v>1</v>
      </c>
      <c r="L217" s="33">
        <f t="shared" si="34"/>
        <v>0</v>
      </c>
      <c r="M217" s="33" t="str">
        <f t="shared" si="35"/>
        <v/>
      </c>
      <c r="N217" s="229">
        <f t="shared" si="42"/>
        <v>40</v>
      </c>
      <c r="O217" s="218" t="str">
        <f t="shared" si="36"/>
        <v/>
      </c>
      <c r="P217" s="218">
        <f t="shared" si="37"/>
        <v>40</v>
      </c>
      <c r="Q217" s="218" t="str">
        <f t="shared" si="38"/>
        <v/>
      </c>
      <c r="R217" s="218" t="str">
        <f t="shared" si="39"/>
        <v/>
      </c>
      <c r="S217" s="246" t="str">
        <f t="shared" si="40"/>
        <v/>
      </c>
      <c r="T217" s="218" t="str">
        <f t="shared" si="41"/>
        <v/>
      </c>
    </row>
    <row r="218" spans="1:20" x14ac:dyDescent="0.2">
      <c r="A218" t="str">
        <f>INDEX(Prioritization!$D:$D,MATCH($B218,Prioritization!$A:$A,0))</f>
        <v>4 - Sustained</v>
      </c>
      <c r="B218" t="s">
        <v>302</v>
      </c>
      <c r="C218" t="s">
        <v>474</v>
      </c>
      <c r="D218" t="s">
        <v>48</v>
      </c>
      <c r="E218" t="str">
        <f t="shared" si="33"/>
        <v>Mchinji District [kxuuIFpOXyO]|10-14|Male</v>
      </c>
      <c r="G218" s="38"/>
      <c r="H218" s="38">
        <v>1</v>
      </c>
      <c r="I218" s="241">
        <v>29</v>
      </c>
      <c r="J218" s="33"/>
      <c r="K218" s="33">
        <v>1</v>
      </c>
      <c r="L218" s="33">
        <f t="shared" si="34"/>
        <v>0</v>
      </c>
      <c r="M218" s="33" t="str">
        <f t="shared" si="35"/>
        <v/>
      </c>
      <c r="N218" s="229">
        <f t="shared" si="42"/>
        <v>30</v>
      </c>
      <c r="O218" s="218" t="str">
        <f t="shared" si="36"/>
        <v/>
      </c>
      <c r="P218" s="218">
        <f t="shared" si="37"/>
        <v>30</v>
      </c>
      <c r="Q218" s="218" t="str">
        <f t="shared" si="38"/>
        <v/>
      </c>
      <c r="R218" s="218" t="str">
        <f t="shared" si="39"/>
        <v/>
      </c>
      <c r="S218" s="246" t="str">
        <f t="shared" si="40"/>
        <v/>
      </c>
      <c r="T218" s="237" t="str">
        <f t="shared" si="41"/>
        <v/>
      </c>
    </row>
    <row r="219" spans="1:20" x14ac:dyDescent="0.2">
      <c r="A219" t="str">
        <f>INDEX(Prioritization!$D:$D,MATCH($B219,Prioritization!$A:$A,0))</f>
        <v>4 - Sustained</v>
      </c>
      <c r="B219" t="s">
        <v>302</v>
      </c>
      <c r="C219" t="s">
        <v>972</v>
      </c>
      <c r="D219" t="s">
        <v>30</v>
      </c>
      <c r="E219" t="str">
        <f t="shared" si="33"/>
        <v>Mchinji District [kxuuIFpOXyO]|15-17|Female</v>
      </c>
      <c r="G219" s="38"/>
      <c r="H219" s="38"/>
      <c r="I219" s="240"/>
      <c r="J219" s="33"/>
      <c r="K219" s="33"/>
      <c r="L219" s="33">
        <f t="shared" si="34"/>
        <v>1</v>
      </c>
      <c r="M219" s="33">
        <f t="shared" si="35"/>
        <v>0.2</v>
      </c>
      <c r="N219" s="38" t="str">
        <f t="shared" si="42"/>
        <v/>
      </c>
      <c r="O219" s="218" t="str">
        <f t="shared" si="36"/>
        <v/>
      </c>
      <c r="P219" s="218" t="str">
        <f t="shared" si="37"/>
        <v/>
      </c>
      <c r="Q219" s="218" t="str">
        <f t="shared" si="38"/>
        <v/>
      </c>
      <c r="R219" s="218" t="str">
        <f t="shared" si="39"/>
        <v/>
      </c>
      <c r="S219" s="246" t="str">
        <f t="shared" si="40"/>
        <v/>
      </c>
      <c r="T219" s="218" t="str">
        <f t="shared" si="41"/>
        <v/>
      </c>
    </row>
    <row r="220" spans="1:20" x14ac:dyDescent="0.2">
      <c r="A220" t="str">
        <f>INDEX(Prioritization!$D:$D,MATCH($B220,Prioritization!$A:$A,0))</f>
        <v>4 - Sustained</v>
      </c>
      <c r="B220" t="s">
        <v>302</v>
      </c>
      <c r="C220" t="s">
        <v>972</v>
      </c>
      <c r="D220" t="s">
        <v>48</v>
      </c>
      <c r="E220" t="str">
        <f t="shared" si="33"/>
        <v>Mchinji District [kxuuIFpOXyO]|15-17|Male</v>
      </c>
      <c r="G220" s="38"/>
      <c r="H220" s="38"/>
      <c r="I220" s="240"/>
      <c r="J220" s="33"/>
      <c r="K220" s="33"/>
      <c r="L220" s="33">
        <f t="shared" si="34"/>
        <v>1</v>
      </c>
      <c r="M220" s="33">
        <f t="shared" si="35"/>
        <v>0.2</v>
      </c>
      <c r="N220" s="38" t="str">
        <f t="shared" si="42"/>
        <v/>
      </c>
      <c r="O220" s="218" t="str">
        <f t="shared" si="36"/>
        <v/>
      </c>
      <c r="P220" s="218" t="str">
        <f t="shared" si="37"/>
        <v/>
      </c>
      <c r="Q220" s="218" t="str">
        <f t="shared" si="38"/>
        <v/>
      </c>
      <c r="R220" s="218" t="str">
        <f t="shared" si="39"/>
        <v/>
      </c>
      <c r="S220" s="246" t="str">
        <f t="shared" si="40"/>
        <v/>
      </c>
      <c r="T220" s="237" t="str">
        <f t="shared" si="41"/>
        <v/>
      </c>
    </row>
    <row r="221" spans="1:20" x14ac:dyDescent="0.2">
      <c r="A221" t="str">
        <f>INDEX(Prioritization!$D:$D,MATCH($B221,Prioritization!$A:$A,0))</f>
        <v>4 - Sustained</v>
      </c>
      <c r="B221" t="s">
        <v>302</v>
      </c>
      <c r="C221" t="s">
        <v>974</v>
      </c>
      <c r="D221" t="s">
        <v>30</v>
      </c>
      <c r="E221" t="str">
        <f t="shared" si="33"/>
        <v>Mchinji District [kxuuIFpOXyO]|18+|Female</v>
      </c>
      <c r="G221" s="38"/>
      <c r="H221" s="38"/>
      <c r="I221" s="240"/>
      <c r="J221" s="33"/>
      <c r="K221" s="33"/>
      <c r="L221" s="33">
        <f t="shared" si="34"/>
        <v>1</v>
      </c>
      <c r="M221" s="33">
        <f t="shared" si="35"/>
        <v>0.2</v>
      </c>
      <c r="N221" s="38" t="str">
        <f t="shared" si="42"/>
        <v/>
      </c>
      <c r="O221" s="218" t="str">
        <f t="shared" si="36"/>
        <v/>
      </c>
      <c r="P221" s="218" t="str">
        <f t="shared" si="37"/>
        <v/>
      </c>
      <c r="Q221" s="218" t="str">
        <f t="shared" si="38"/>
        <v/>
      </c>
      <c r="R221" s="218" t="str">
        <f t="shared" si="39"/>
        <v/>
      </c>
      <c r="S221" s="246" t="str">
        <f t="shared" si="40"/>
        <v/>
      </c>
      <c r="T221" s="218" t="str">
        <f t="shared" si="41"/>
        <v/>
      </c>
    </row>
    <row r="222" spans="1:20" x14ac:dyDescent="0.2">
      <c r="A222" t="str">
        <f>INDEX(Prioritization!$D:$D,MATCH($B222,Prioritization!$A:$A,0))</f>
        <v>4 - Sustained</v>
      </c>
      <c r="B222" t="s">
        <v>302</v>
      </c>
      <c r="C222" t="s">
        <v>974</v>
      </c>
      <c r="D222" t="s">
        <v>48</v>
      </c>
      <c r="E222" t="str">
        <f t="shared" si="33"/>
        <v>Mchinji District [kxuuIFpOXyO]|18+|Male</v>
      </c>
      <c r="G222" s="38"/>
      <c r="H222" s="38"/>
      <c r="I222" s="240"/>
      <c r="J222" s="33"/>
      <c r="K222" s="33"/>
      <c r="L222" s="33">
        <f t="shared" si="34"/>
        <v>1</v>
      </c>
      <c r="M222" s="33">
        <f t="shared" si="35"/>
        <v>0.2</v>
      </c>
      <c r="N222" s="38" t="str">
        <f t="shared" si="42"/>
        <v/>
      </c>
      <c r="O222" s="218" t="str">
        <f t="shared" si="36"/>
        <v/>
      </c>
      <c r="P222" s="218" t="str">
        <f t="shared" si="37"/>
        <v/>
      </c>
      <c r="Q222" s="218" t="str">
        <f t="shared" si="38"/>
        <v/>
      </c>
      <c r="R222" s="218" t="str">
        <f t="shared" si="39"/>
        <v/>
      </c>
      <c r="S222" s="246" t="str">
        <f t="shared" si="40"/>
        <v/>
      </c>
      <c r="T222" s="237" t="str">
        <f t="shared" si="41"/>
        <v/>
      </c>
    </row>
    <row r="223" spans="1:20" x14ac:dyDescent="0.2">
      <c r="A223" t="str">
        <f>INDEX(Prioritization!$D:$D,MATCH($B223,Prioritization!$A:$A,0))</f>
        <v>4 - Sustained</v>
      </c>
      <c r="B223" t="s">
        <v>302</v>
      </c>
      <c r="C223" t="s">
        <v>973</v>
      </c>
      <c r="D223" t="s">
        <v>30</v>
      </c>
      <c r="E223" t="str">
        <f t="shared" si="33"/>
        <v>Mchinji District [kxuuIFpOXyO]|18-20|Female</v>
      </c>
      <c r="G223" s="38"/>
      <c r="H223" s="38"/>
      <c r="I223" s="240"/>
      <c r="J223" s="33"/>
      <c r="K223" s="33"/>
      <c r="L223" s="33">
        <f t="shared" si="34"/>
        <v>1</v>
      </c>
      <c r="M223" s="33">
        <f t="shared" si="35"/>
        <v>0.2</v>
      </c>
      <c r="N223" s="38" t="str">
        <f t="shared" si="42"/>
        <v/>
      </c>
      <c r="O223" s="218" t="str">
        <f t="shared" si="36"/>
        <v/>
      </c>
      <c r="P223" s="218" t="str">
        <f t="shared" si="37"/>
        <v/>
      </c>
      <c r="Q223" s="218" t="str">
        <f t="shared" si="38"/>
        <v/>
      </c>
      <c r="R223" s="218" t="str">
        <f t="shared" si="39"/>
        <v/>
      </c>
      <c r="S223" s="246" t="str">
        <f t="shared" si="40"/>
        <v/>
      </c>
      <c r="T223" s="218" t="str">
        <f t="shared" si="41"/>
        <v/>
      </c>
    </row>
    <row r="224" spans="1:20" x14ac:dyDescent="0.2">
      <c r="A224" t="str">
        <f>INDEX(Prioritization!$D:$D,MATCH($B224,Prioritization!$A:$A,0))</f>
        <v>4 - Sustained</v>
      </c>
      <c r="B224" t="s">
        <v>302</v>
      </c>
      <c r="C224" t="s">
        <v>973</v>
      </c>
      <c r="D224" t="s">
        <v>48</v>
      </c>
      <c r="E224" t="str">
        <f t="shared" si="33"/>
        <v>Mchinji District [kxuuIFpOXyO]|18-20|Male</v>
      </c>
      <c r="G224" s="38"/>
      <c r="H224" s="38"/>
      <c r="I224" s="240"/>
      <c r="J224" s="33"/>
      <c r="K224" s="33"/>
      <c r="L224" s="33">
        <f t="shared" si="34"/>
        <v>1</v>
      </c>
      <c r="M224" s="33">
        <f t="shared" si="35"/>
        <v>0.2</v>
      </c>
      <c r="N224" s="38" t="str">
        <f t="shared" si="42"/>
        <v/>
      </c>
      <c r="O224" s="218" t="str">
        <f t="shared" si="36"/>
        <v/>
      </c>
      <c r="P224" s="218" t="str">
        <f t="shared" si="37"/>
        <v/>
      </c>
      <c r="Q224" s="218" t="str">
        <f t="shared" si="38"/>
        <v/>
      </c>
      <c r="R224" s="218" t="str">
        <f t="shared" si="39"/>
        <v/>
      </c>
      <c r="S224" s="246" t="str">
        <f t="shared" si="40"/>
        <v/>
      </c>
      <c r="T224" s="237" t="str">
        <f t="shared" si="41"/>
        <v/>
      </c>
    </row>
    <row r="225" spans="1:20" x14ac:dyDescent="0.2">
      <c r="A225" t="str">
        <f>INDEX(Prioritization!$D:$D,MATCH($B225,Prioritization!$A:$A,0))</f>
        <v>INVALID</v>
      </c>
      <c r="B225" t="s">
        <v>319</v>
      </c>
      <c r="C225" t="s">
        <v>426</v>
      </c>
      <c r="D225" t="s">
        <v>30</v>
      </c>
      <c r="E225" t="str">
        <f t="shared" si="33"/>
        <v>Mulanje District [umc2n1Z4wNv]|&lt;01|Female</v>
      </c>
      <c r="G225" s="38">
        <v>34</v>
      </c>
      <c r="H225" s="38">
        <v>686</v>
      </c>
      <c r="I225" s="241">
        <v>-0.96501457700000004</v>
      </c>
      <c r="J225" s="33"/>
      <c r="K225" s="33"/>
      <c r="L225" s="33">
        <f t="shared" si="34"/>
        <v>1</v>
      </c>
      <c r="M225" s="33">
        <f t="shared" si="35"/>
        <v>0.2</v>
      </c>
      <c r="N225" s="38">
        <f t="shared" si="42"/>
        <v>24</v>
      </c>
      <c r="O225" s="218" t="str">
        <f t="shared" si="36"/>
        <v/>
      </c>
      <c r="P225" s="218" t="str">
        <f t="shared" si="37"/>
        <v/>
      </c>
      <c r="Q225" s="218">
        <f t="shared" si="38"/>
        <v>5</v>
      </c>
      <c r="R225" s="218">
        <f t="shared" si="39"/>
        <v>19</v>
      </c>
      <c r="S225" s="246">
        <f t="shared" si="40"/>
        <v>1</v>
      </c>
      <c r="T225" s="218">
        <f t="shared" si="41"/>
        <v>24</v>
      </c>
    </row>
    <row r="226" spans="1:20" x14ac:dyDescent="0.2">
      <c r="A226" t="str">
        <f>INDEX(Prioritization!$D:$D,MATCH($B226,Prioritization!$A:$A,0))</f>
        <v>INVALID</v>
      </c>
      <c r="B226" t="s">
        <v>319</v>
      </c>
      <c r="C226" t="s">
        <v>426</v>
      </c>
      <c r="D226" t="s">
        <v>48</v>
      </c>
      <c r="E226" t="str">
        <f t="shared" si="33"/>
        <v>Mulanje District [umc2n1Z4wNv]|&lt;01|Male</v>
      </c>
      <c r="G226" s="38">
        <v>37</v>
      </c>
      <c r="H226" s="38">
        <v>686</v>
      </c>
      <c r="I226" s="241">
        <v>-0.96501457700000004</v>
      </c>
      <c r="J226" s="33"/>
      <c r="K226" s="33"/>
      <c r="L226" s="33">
        <f t="shared" si="34"/>
        <v>1</v>
      </c>
      <c r="M226" s="33">
        <f t="shared" si="35"/>
        <v>0.2</v>
      </c>
      <c r="N226" s="38">
        <f t="shared" si="42"/>
        <v>24</v>
      </c>
      <c r="O226" s="218" t="str">
        <f t="shared" si="36"/>
        <v/>
      </c>
      <c r="P226" s="218" t="str">
        <f t="shared" si="37"/>
        <v/>
      </c>
      <c r="Q226" s="218">
        <f t="shared" si="38"/>
        <v>5</v>
      </c>
      <c r="R226" s="218">
        <f t="shared" si="39"/>
        <v>19</v>
      </c>
      <c r="S226" s="246">
        <f t="shared" si="40"/>
        <v>1</v>
      </c>
      <c r="T226" s="237">
        <f t="shared" si="41"/>
        <v>24</v>
      </c>
    </row>
    <row r="227" spans="1:20" x14ac:dyDescent="0.2">
      <c r="A227" t="str">
        <f>INDEX(Prioritization!$D:$D,MATCH($B227,Prioritization!$A:$A,0))</f>
        <v>INVALID</v>
      </c>
      <c r="B227" t="s">
        <v>319</v>
      </c>
      <c r="C227" t="s">
        <v>970</v>
      </c>
      <c r="D227" t="s">
        <v>30</v>
      </c>
      <c r="E227" t="str">
        <f t="shared" si="33"/>
        <v>Mulanje District [umc2n1Z4wNv]|01-04|Female</v>
      </c>
      <c r="G227" s="38">
        <v>761</v>
      </c>
      <c r="H227" s="38">
        <v>510</v>
      </c>
      <c r="I227" s="241">
        <v>0.1</v>
      </c>
      <c r="J227" s="33"/>
      <c r="K227" s="33"/>
      <c r="L227" s="33">
        <f t="shared" si="34"/>
        <v>1</v>
      </c>
      <c r="M227" s="33">
        <f t="shared" si="35"/>
        <v>0.2</v>
      </c>
      <c r="N227" s="38">
        <f t="shared" si="42"/>
        <v>561</v>
      </c>
      <c r="O227" s="218" t="str">
        <f t="shared" si="36"/>
        <v/>
      </c>
      <c r="P227" s="218" t="str">
        <f t="shared" si="37"/>
        <v/>
      </c>
      <c r="Q227" s="218">
        <f t="shared" si="38"/>
        <v>112</v>
      </c>
      <c r="R227" s="218">
        <f t="shared" si="39"/>
        <v>449</v>
      </c>
      <c r="S227" s="246">
        <f t="shared" si="40"/>
        <v>1</v>
      </c>
      <c r="T227" s="218">
        <f t="shared" si="41"/>
        <v>561</v>
      </c>
    </row>
    <row r="228" spans="1:20" x14ac:dyDescent="0.2">
      <c r="A228" t="str">
        <f>INDEX(Prioritization!$D:$D,MATCH($B228,Prioritization!$A:$A,0))</f>
        <v>INVALID</v>
      </c>
      <c r="B228" t="s">
        <v>319</v>
      </c>
      <c r="C228" t="s">
        <v>970</v>
      </c>
      <c r="D228" t="s">
        <v>48</v>
      </c>
      <c r="E228" t="str">
        <f t="shared" si="33"/>
        <v>Mulanje District [umc2n1Z4wNv]|01-04|Male</v>
      </c>
      <c r="G228" s="38">
        <v>780</v>
      </c>
      <c r="H228" s="38">
        <v>524</v>
      </c>
      <c r="I228" s="241">
        <v>1.9083968999999999E-2</v>
      </c>
      <c r="J228" s="33"/>
      <c r="K228" s="33"/>
      <c r="L228" s="33">
        <f t="shared" si="34"/>
        <v>1</v>
      </c>
      <c r="M228" s="33">
        <f t="shared" si="35"/>
        <v>0.2</v>
      </c>
      <c r="N228" s="38">
        <f t="shared" si="42"/>
        <v>534</v>
      </c>
      <c r="O228" s="218" t="str">
        <f t="shared" si="36"/>
        <v/>
      </c>
      <c r="P228" s="218" t="str">
        <f t="shared" si="37"/>
        <v/>
      </c>
      <c r="Q228" s="218">
        <f t="shared" si="38"/>
        <v>107.00000000000001</v>
      </c>
      <c r="R228" s="218">
        <f t="shared" si="39"/>
        <v>427</v>
      </c>
      <c r="S228" s="246">
        <f t="shared" si="40"/>
        <v>1</v>
      </c>
      <c r="T228" s="237">
        <f t="shared" si="41"/>
        <v>534</v>
      </c>
    </row>
    <row r="229" spans="1:20" x14ac:dyDescent="0.2">
      <c r="A229" t="str">
        <f>INDEX(Prioritization!$D:$D,MATCH($B229,Prioritization!$A:$A,0))</f>
        <v>INVALID</v>
      </c>
      <c r="B229" t="s">
        <v>319</v>
      </c>
      <c r="C229" t="s">
        <v>971</v>
      </c>
      <c r="D229" t="s">
        <v>30</v>
      </c>
      <c r="E229" t="str">
        <f t="shared" si="33"/>
        <v>Mulanje District [umc2n1Z4wNv]|05-09|Female</v>
      </c>
      <c r="G229" s="38">
        <v>804</v>
      </c>
      <c r="H229" s="38">
        <v>510</v>
      </c>
      <c r="I229" s="241">
        <v>0.1</v>
      </c>
      <c r="J229" s="33"/>
      <c r="K229" s="33"/>
      <c r="L229" s="33">
        <f t="shared" si="34"/>
        <v>1</v>
      </c>
      <c r="M229" s="33">
        <f t="shared" si="35"/>
        <v>0.2</v>
      </c>
      <c r="N229" s="38">
        <f t="shared" si="42"/>
        <v>561</v>
      </c>
      <c r="O229" s="218" t="str">
        <f t="shared" si="36"/>
        <v/>
      </c>
      <c r="P229" s="218" t="str">
        <f t="shared" si="37"/>
        <v/>
      </c>
      <c r="Q229" s="218">
        <f t="shared" si="38"/>
        <v>112</v>
      </c>
      <c r="R229" s="218">
        <f t="shared" si="39"/>
        <v>449</v>
      </c>
      <c r="S229" s="246">
        <f t="shared" si="40"/>
        <v>1</v>
      </c>
      <c r="T229" s="218">
        <f t="shared" si="41"/>
        <v>561</v>
      </c>
    </row>
    <row r="230" spans="1:20" x14ac:dyDescent="0.2">
      <c r="A230" t="str">
        <f>INDEX(Prioritization!$D:$D,MATCH($B230,Prioritization!$A:$A,0))</f>
        <v>INVALID</v>
      </c>
      <c r="B230" t="s">
        <v>319</v>
      </c>
      <c r="C230" t="s">
        <v>971</v>
      </c>
      <c r="D230" t="s">
        <v>48</v>
      </c>
      <c r="E230" t="str">
        <f t="shared" si="33"/>
        <v>Mulanje District [umc2n1Z4wNv]|05-09|Male</v>
      </c>
      <c r="G230" s="38">
        <v>711</v>
      </c>
      <c r="H230" s="38">
        <v>524</v>
      </c>
      <c r="I230" s="241">
        <v>1.9083968999999999E-2</v>
      </c>
      <c r="J230" s="33"/>
      <c r="K230" s="33"/>
      <c r="L230" s="33">
        <f t="shared" si="34"/>
        <v>1</v>
      </c>
      <c r="M230" s="33">
        <f t="shared" si="35"/>
        <v>0.2</v>
      </c>
      <c r="N230" s="38">
        <f t="shared" si="42"/>
        <v>534</v>
      </c>
      <c r="O230" s="218" t="str">
        <f t="shared" si="36"/>
        <v/>
      </c>
      <c r="P230" s="218" t="str">
        <f t="shared" si="37"/>
        <v/>
      </c>
      <c r="Q230" s="218">
        <f t="shared" si="38"/>
        <v>107.00000000000001</v>
      </c>
      <c r="R230" s="218">
        <f t="shared" si="39"/>
        <v>427</v>
      </c>
      <c r="S230" s="246">
        <f t="shared" si="40"/>
        <v>1</v>
      </c>
      <c r="T230" s="237">
        <f t="shared" si="41"/>
        <v>534</v>
      </c>
    </row>
    <row r="231" spans="1:20" x14ac:dyDescent="0.2">
      <c r="A231" t="str">
        <f>INDEX(Prioritization!$D:$D,MATCH($B231,Prioritization!$A:$A,0))</f>
        <v>INVALID</v>
      </c>
      <c r="B231" t="s">
        <v>319</v>
      </c>
      <c r="C231" t="s">
        <v>474</v>
      </c>
      <c r="D231" t="s">
        <v>30</v>
      </c>
      <c r="E231" t="str">
        <f t="shared" si="33"/>
        <v>Mulanje District [umc2n1Z4wNv]|10-14|Female</v>
      </c>
      <c r="G231" s="38">
        <v>2753</v>
      </c>
      <c r="H231" s="38">
        <v>1686</v>
      </c>
      <c r="I231" s="241">
        <v>0.43475682100000002</v>
      </c>
      <c r="J231" s="33"/>
      <c r="K231" s="33">
        <v>0.38859032700000001</v>
      </c>
      <c r="L231" s="33">
        <f t="shared" si="34"/>
        <v>0.61140967300000004</v>
      </c>
      <c r="M231" s="33">
        <f t="shared" si="35"/>
        <v>0.2</v>
      </c>
      <c r="N231" s="38">
        <f t="shared" si="42"/>
        <v>2419</v>
      </c>
      <c r="O231" s="218" t="str">
        <f t="shared" si="36"/>
        <v/>
      </c>
      <c r="P231" s="218">
        <f t="shared" si="37"/>
        <v>940</v>
      </c>
      <c r="Q231" s="218">
        <f t="shared" si="38"/>
        <v>296</v>
      </c>
      <c r="R231" s="218">
        <f t="shared" si="39"/>
        <v>1183</v>
      </c>
      <c r="S231" s="246">
        <f t="shared" si="40"/>
        <v>1</v>
      </c>
      <c r="T231" s="218">
        <f t="shared" si="41"/>
        <v>1479</v>
      </c>
    </row>
    <row r="232" spans="1:20" x14ac:dyDescent="0.2">
      <c r="A232" t="str">
        <f>INDEX(Prioritization!$D:$D,MATCH($B232,Prioritization!$A:$A,0))</f>
        <v>INVALID</v>
      </c>
      <c r="B232" t="s">
        <v>319</v>
      </c>
      <c r="C232" t="s">
        <v>474</v>
      </c>
      <c r="D232" t="s">
        <v>48</v>
      </c>
      <c r="E232" t="str">
        <f t="shared" si="33"/>
        <v>Mulanje District [umc2n1Z4wNv]|10-14|Male</v>
      </c>
      <c r="G232" s="38">
        <v>2307</v>
      </c>
      <c r="H232" s="38">
        <v>1711</v>
      </c>
      <c r="I232" s="241">
        <v>0.44301578000000003</v>
      </c>
      <c r="J232" s="33"/>
      <c r="K232" s="33">
        <v>0.38598622900000001</v>
      </c>
      <c r="L232" s="33">
        <f t="shared" si="34"/>
        <v>0.61401377099999999</v>
      </c>
      <c r="M232" s="33">
        <f t="shared" si="35"/>
        <v>0.2</v>
      </c>
      <c r="N232" s="38">
        <f t="shared" si="42"/>
        <v>2469</v>
      </c>
      <c r="O232" s="218" t="str">
        <f t="shared" si="36"/>
        <v/>
      </c>
      <c r="P232" s="218">
        <f t="shared" si="37"/>
        <v>953</v>
      </c>
      <c r="Q232" s="218">
        <f t="shared" si="38"/>
        <v>303</v>
      </c>
      <c r="R232" s="218">
        <f t="shared" si="39"/>
        <v>1213</v>
      </c>
      <c r="S232" s="246">
        <f t="shared" si="40"/>
        <v>1</v>
      </c>
      <c r="T232" s="237">
        <f t="shared" si="41"/>
        <v>1516</v>
      </c>
    </row>
    <row r="233" spans="1:20" x14ac:dyDescent="0.2">
      <c r="A233" t="str">
        <f>INDEX(Prioritization!$D:$D,MATCH($B233,Prioritization!$A:$A,0))</f>
        <v>INVALID</v>
      </c>
      <c r="B233" t="s">
        <v>319</v>
      </c>
      <c r="C233" t="s">
        <v>972</v>
      </c>
      <c r="D233" t="s">
        <v>30</v>
      </c>
      <c r="E233" t="str">
        <f t="shared" si="33"/>
        <v>Mulanje District [umc2n1Z4wNv]|15-17|Female</v>
      </c>
      <c r="G233" s="38">
        <v>1025</v>
      </c>
      <c r="H233" s="38">
        <v>935</v>
      </c>
      <c r="I233" s="241">
        <v>0.42245989299999998</v>
      </c>
      <c r="J233" s="33"/>
      <c r="K233" s="33"/>
      <c r="L233" s="33">
        <f t="shared" si="34"/>
        <v>1</v>
      </c>
      <c r="M233" s="33">
        <f t="shared" si="35"/>
        <v>0.2</v>
      </c>
      <c r="N233" s="38">
        <f t="shared" si="42"/>
        <v>1330</v>
      </c>
      <c r="O233" s="218" t="str">
        <f t="shared" si="36"/>
        <v/>
      </c>
      <c r="P233" s="218" t="str">
        <f t="shared" si="37"/>
        <v/>
      </c>
      <c r="Q233" s="218">
        <f t="shared" si="38"/>
        <v>266</v>
      </c>
      <c r="R233" s="218">
        <f t="shared" si="39"/>
        <v>1064</v>
      </c>
      <c r="S233" s="246">
        <f t="shared" si="40"/>
        <v>1</v>
      </c>
      <c r="T233" s="218">
        <f t="shared" si="41"/>
        <v>1330</v>
      </c>
    </row>
    <row r="234" spans="1:20" x14ac:dyDescent="0.2">
      <c r="A234" t="str">
        <f>INDEX(Prioritization!$D:$D,MATCH($B234,Prioritization!$A:$A,0))</f>
        <v>INVALID</v>
      </c>
      <c r="B234" t="s">
        <v>319</v>
      </c>
      <c r="C234" t="s">
        <v>972</v>
      </c>
      <c r="D234" t="s">
        <v>48</v>
      </c>
      <c r="E234" t="str">
        <f t="shared" si="33"/>
        <v>Mulanje District [umc2n1Z4wNv]|15-17|Male</v>
      </c>
      <c r="G234" s="38">
        <v>790</v>
      </c>
      <c r="H234" s="38">
        <v>680</v>
      </c>
      <c r="I234" s="241">
        <v>2.2058824000000001E-2</v>
      </c>
      <c r="J234" s="33"/>
      <c r="K234" s="33"/>
      <c r="L234" s="33">
        <f t="shared" si="34"/>
        <v>1</v>
      </c>
      <c r="M234" s="33">
        <f t="shared" si="35"/>
        <v>0.2</v>
      </c>
      <c r="N234" s="38">
        <f t="shared" si="42"/>
        <v>695</v>
      </c>
      <c r="O234" s="218" t="str">
        <f t="shared" si="36"/>
        <v/>
      </c>
      <c r="P234" s="218" t="str">
        <f t="shared" si="37"/>
        <v/>
      </c>
      <c r="Q234" s="218">
        <f t="shared" si="38"/>
        <v>139</v>
      </c>
      <c r="R234" s="218">
        <f t="shared" si="39"/>
        <v>556</v>
      </c>
      <c r="S234" s="246">
        <f t="shared" si="40"/>
        <v>1</v>
      </c>
      <c r="T234" s="237">
        <f t="shared" si="41"/>
        <v>695</v>
      </c>
    </row>
    <row r="235" spans="1:20" x14ac:dyDescent="0.2">
      <c r="A235" t="str">
        <f>INDEX(Prioritization!$D:$D,MATCH($B235,Prioritization!$A:$A,0))</f>
        <v>INVALID</v>
      </c>
      <c r="B235" t="s">
        <v>319</v>
      </c>
      <c r="C235" t="s">
        <v>974</v>
      </c>
      <c r="D235" t="s">
        <v>30</v>
      </c>
      <c r="E235" t="str">
        <f t="shared" si="33"/>
        <v>Mulanje District [umc2n1Z4wNv]|18+|Female</v>
      </c>
      <c r="G235" s="38">
        <v>3921</v>
      </c>
      <c r="H235" s="38">
        <v>1641</v>
      </c>
      <c r="I235" s="241">
        <v>0.73248019499999995</v>
      </c>
      <c r="J235" s="33"/>
      <c r="K235" s="33"/>
      <c r="L235" s="33">
        <f t="shared" si="34"/>
        <v>1</v>
      </c>
      <c r="M235" s="33">
        <f t="shared" si="35"/>
        <v>0.2</v>
      </c>
      <c r="N235" s="38">
        <f t="shared" si="42"/>
        <v>2843</v>
      </c>
      <c r="O235" s="218" t="str">
        <f t="shared" si="36"/>
        <v/>
      </c>
      <c r="P235" s="218" t="str">
        <f t="shared" si="37"/>
        <v/>
      </c>
      <c r="Q235" s="218">
        <f t="shared" si="38"/>
        <v>569</v>
      </c>
      <c r="R235" s="218">
        <f t="shared" si="39"/>
        <v>2274</v>
      </c>
      <c r="S235" s="246" t="str">
        <f t="shared" si="40"/>
        <v/>
      </c>
      <c r="T235" s="218" t="str">
        <f t="shared" si="41"/>
        <v/>
      </c>
    </row>
    <row r="236" spans="1:20" x14ac:dyDescent="0.2">
      <c r="A236" t="str">
        <f>INDEX(Prioritization!$D:$D,MATCH($B236,Prioritization!$A:$A,0))</f>
        <v>INVALID</v>
      </c>
      <c r="B236" t="s">
        <v>319</v>
      </c>
      <c r="C236" t="s">
        <v>974</v>
      </c>
      <c r="D236" t="s">
        <v>48</v>
      </c>
      <c r="E236" t="str">
        <f t="shared" si="33"/>
        <v>Mulanje District [umc2n1Z4wNv]|18+|Male</v>
      </c>
      <c r="G236" s="38">
        <v>186</v>
      </c>
      <c r="H236" s="38">
        <v>858</v>
      </c>
      <c r="I236" s="241">
        <v>-0.78904428900000001</v>
      </c>
      <c r="J236" s="33"/>
      <c r="K236" s="33"/>
      <c r="L236" s="33">
        <f t="shared" si="34"/>
        <v>1</v>
      </c>
      <c r="M236" s="33">
        <f t="shared" si="35"/>
        <v>0.2</v>
      </c>
      <c r="N236" s="38">
        <f t="shared" si="42"/>
        <v>181</v>
      </c>
      <c r="O236" s="218" t="str">
        <f t="shared" si="36"/>
        <v/>
      </c>
      <c r="P236" s="218" t="str">
        <f t="shared" si="37"/>
        <v/>
      </c>
      <c r="Q236" s="218">
        <f t="shared" si="38"/>
        <v>36</v>
      </c>
      <c r="R236" s="218">
        <f t="shared" si="39"/>
        <v>145</v>
      </c>
      <c r="S236" s="246" t="str">
        <f t="shared" si="40"/>
        <v/>
      </c>
      <c r="T236" s="237" t="str">
        <f t="shared" si="41"/>
        <v/>
      </c>
    </row>
    <row r="237" spans="1:20" x14ac:dyDescent="0.2">
      <c r="A237" t="str">
        <f>INDEX(Prioritization!$D:$D,MATCH($B237,Prioritization!$A:$A,0))</f>
        <v>INVALID</v>
      </c>
      <c r="B237" t="s">
        <v>319</v>
      </c>
      <c r="C237" t="s">
        <v>973</v>
      </c>
      <c r="D237" t="s">
        <v>30</v>
      </c>
      <c r="E237" t="str">
        <f t="shared" si="33"/>
        <v>Mulanje District [umc2n1Z4wNv]|18-20|Female</v>
      </c>
      <c r="G237" s="38"/>
      <c r="H237" s="38">
        <v>57</v>
      </c>
      <c r="I237" s="241">
        <v>-0.43859649099999998</v>
      </c>
      <c r="J237" s="33"/>
      <c r="K237" s="33"/>
      <c r="L237" s="33">
        <f t="shared" si="34"/>
        <v>1</v>
      </c>
      <c r="M237" s="33">
        <f t="shared" si="35"/>
        <v>0.2</v>
      </c>
      <c r="N237" s="38">
        <f t="shared" si="42"/>
        <v>32</v>
      </c>
      <c r="O237" s="218" t="str">
        <f t="shared" si="36"/>
        <v/>
      </c>
      <c r="P237" s="218" t="str">
        <f t="shared" si="37"/>
        <v/>
      </c>
      <c r="Q237" s="218">
        <f t="shared" si="38"/>
        <v>6</v>
      </c>
      <c r="R237" s="218">
        <f t="shared" si="39"/>
        <v>26</v>
      </c>
      <c r="S237" s="246">
        <f t="shared" si="40"/>
        <v>1</v>
      </c>
      <c r="T237" s="218">
        <f t="shared" si="41"/>
        <v>32</v>
      </c>
    </row>
    <row r="238" spans="1:20" x14ac:dyDescent="0.2">
      <c r="A238" t="str">
        <f>INDEX(Prioritization!$D:$D,MATCH($B238,Prioritization!$A:$A,0))</f>
        <v>INVALID</v>
      </c>
      <c r="B238" t="s">
        <v>319</v>
      </c>
      <c r="C238" t="s">
        <v>973</v>
      </c>
      <c r="D238" t="s">
        <v>48</v>
      </c>
      <c r="E238" t="str">
        <f t="shared" si="33"/>
        <v>Mulanje District [umc2n1Z4wNv]|18-20|Male</v>
      </c>
      <c r="G238" s="38"/>
      <c r="H238" s="38">
        <v>57</v>
      </c>
      <c r="I238" s="241">
        <v>-0.50877192999999998</v>
      </c>
      <c r="J238" s="33"/>
      <c r="K238" s="33"/>
      <c r="L238" s="33">
        <f t="shared" si="34"/>
        <v>1</v>
      </c>
      <c r="M238" s="33">
        <f t="shared" si="35"/>
        <v>0.2</v>
      </c>
      <c r="N238" s="38">
        <f t="shared" si="42"/>
        <v>28</v>
      </c>
      <c r="O238" s="218" t="str">
        <f t="shared" si="36"/>
        <v/>
      </c>
      <c r="P238" s="218" t="str">
        <f t="shared" si="37"/>
        <v/>
      </c>
      <c r="Q238" s="218">
        <f t="shared" si="38"/>
        <v>6</v>
      </c>
      <c r="R238" s="218">
        <f t="shared" si="39"/>
        <v>22</v>
      </c>
      <c r="S238" s="246">
        <f t="shared" si="40"/>
        <v>1</v>
      </c>
      <c r="T238" s="237">
        <f t="shared" si="41"/>
        <v>28</v>
      </c>
    </row>
    <row r="239" spans="1:20" x14ac:dyDescent="0.2">
      <c r="A239" t="str">
        <f>INDEX(Prioritization!$D:$D,MATCH($B239,Prioritization!$A:$A,0))</f>
        <v>4 - Sustained</v>
      </c>
      <c r="B239" t="s">
        <v>320</v>
      </c>
      <c r="C239" t="s">
        <v>426</v>
      </c>
      <c r="D239" t="s">
        <v>30</v>
      </c>
      <c r="E239" t="str">
        <f t="shared" si="33"/>
        <v>Mwanza District [wNqJp8oRIcF]|&lt;01|Female</v>
      </c>
      <c r="G239" s="38"/>
      <c r="H239" s="38"/>
      <c r="I239" s="240"/>
      <c r="J239" s="33"/>
      <c r="K239" s="33"/>
      <c r="L239" s="33">
        <f t="shared" si="34"/>
        <v>1</v>
      </c>
      <c r="M239" s="33">
        <f t="shared" si="35"/>
        <v>0.2</v>
      </c>
      <c r="N239" s="38" t="str">
        <f t="shared" si="42"/>
        <v/>
      </c>
      <c r="O239" s="218" t="str">
        <f t="shared" si="36"/>
        <v/>
      </c>
      <c r="P239" s="218" t="str">
        <f t="shared" si="37"/>
        <v/>
      </c>
      <c r="Q239" s="218" t="str">
        <f t="shared" si="38"/>
        <v/>
      </c>
      <c r="R239" s="218" t="str">
        <f t="shared" si="39"/>
        <v/>
      </c>
      <c r="S239" s="246" t="str">
        <f t="shared" si="40"/>
        <v/>
      </c>
      <c r="T239" s="218" t="str">
        <f t="shared" si="41"/>
        <v/>
      </c>
    </row>
    <row r="240" spans="1:20" x14ac:dyDescent="0.2">
      <c r="A240" t="str">
        <f>INDEX(Prioritization!$D:$D,MATCH($B240,Prioritization!$A:$A,0))</f>
        <v>4 - Sustained</v>
      </c>
      <c r="B240" t="s">
        <v>320</v>
      </c>
      <c r="C240" t="s">
        <v>426</v>
      </c>
      <c r="D240" t="s">
        <v>48</v>
      </c>
      <c r="E240" t="str">
        <f t="shared" si="33"/>
        <v>Mwanza District [wNqJp8oRIcF]|&lt;01|Male</v>
      </c>
      <c r="G240" s="38"/>
      <c r="H240" s="38"/>
      <c r="I240" s="240"/>
      <c r="J240" s="33"/>
      <c r="K240" s="33"/>
      <c r="L240" s="33">
        <f t="shared" si="34"/>
        <v>1</v>
      </c>
      <c r="M240" s="33">
        <f t="shared" si="35"/>
        <v>0.2</v>
      </c>
      <c r="N240" s="38" t="str">
        <f t="shared" si="42"/>
        <v/>
      </c>
      <c r="O240" s="218" t="str">
        <f t="shared" si="36"/>
        <v/>
      </c>
      <c r="P240" s="218" t="str">
        <f t="shared" si="37"/>
        <v/>
      </c>
      <c r="Q240" s="218" t="str">
        <f t="shared" si="38"/>
        <v/>
      </c>
      <c r="R240" s="218" t="str">
        <f t="shared" si="39"/>
        <v/>
      </c>
      <c r="S240" s="246" t="str">
        <f t="shared" si="40"/>
        <v/>
      </c>
      <c r="T240" s="237" t="str">
        <f t="shared" si="41"/>
        <v/>
      </c>
    </row>
    <row r="241" spans="1:20" x14ac:dyDescent="0.2">
      <c r="A241" t="str">
        <f>INDEX(Prioritization!$D:$D,MATCH($B241,Prioritization!$A:$A,0))</f>
        <v>4 - Sustained</v>
      </c>
      <c r="B241" t="s">
        <v>320</v>
      </c>
      <c r="C241" t="s">
        <v>970</v>
      </c>
      <c r="D241" t="s">
        <v>30</v>
      </c>
      <c r="E241" t="str">
        <f t="shared" si="33"/>
        <v>Mwanza District [wNqJp8oRIcF]|01-04|Female</v>
      </c>
      <c r="G241" s="38"/>
      <c r="H241" s="38"/>
      <c r="I241" s="240"/>
      <c r="J241" s="33"/>
      <c r="K241" s="33"/>
      <c r="L241" s="33">
        <f t="shared" si="34"/>
        <v>1</v>
      </c>
      <c r="M241" s="33">
        <f t="shared" si="35"/>
        <v>0.2</v>
      </c>
      <c r="N241" s="38" t="str">
        <f t="shared" si="42"/>
        <v/>
      </c>
      <c r="O241" s="218" t="str">
        <f t="shared" si="36"/>
        <v/>
      </c>
      <c r="P241" s="218" t="str">
        <f t="shared" si="37"/>
        <v/>
      </c>
      <c r="Q241" s="218" t="str">
        <f t="shared" si="38"/>
        <v/>
      </c>
      <c r="R241" s="218" t="str">
        <f t="shared" si="39"/>
        <v/>
      </c>
      <c r="S241" s="246" t="str">
        <f t="shared" si="40"/>
        <v/>
      </c>
      <c r="T241" s="218" t="str">
        <f t="shared" si="41"/>
        <v/>
      </c>
    </row>
    <row r="242" spans="1:20" x14ac:dyDescent="0.2">
      <c r="A242" t="str">
        <f>INDEX(Prioritization!$D:$D,MATCH($B242,Prioritization!$A:$A,0))</f>
        <v>4 - Sustained</v>
      </c>
      <c r="B242" t="s">
        <v>320</v>
      </c>
      <c r="C242" t="s">
        <v>970</v>
      </c>
      <c r="D242" t="s">
        <v>48</v>
      </c>
      <c r="E242" t="str">
        <f t="shared" si="33"/>
        <v>Mwanza District [wNqJp8oRIcF]|01-04|Male</v>
      </c>
      <c r="G242" s="38"/>
      <c r="H242" s="38"/>
      <c r="I242" s="240"/>
      <c r="J242" s="33"/>
      <c r="K242" s="33"/>
      <c r="L242" s="33">
        <f t="shared" si="34"/>
        <v>1</v>
      </c>
      <c r="M242" s="33">
        <f t="shared" si="35"/>
        <v>0.2</v>
      </c>
      <c r="N242" s="38" t="str">
        <f t="shared" si="42"/>
        <v/>
      </c>
      <c r="O242" s="218" t="str">
        <f t="shared" si="36"/>
        <v/>
      </c>
      <c r="P242" s="218" t="str">
        <f t="shared" si="37"/>
        <v/>
      </c>
      <c r="Q242" s="218" t="str">
        <f t="shared" si="38"/>
        <v/>
      </c>
      <c r="R242" s="218" t="str">
        <f t="shared" si="39"/>
        <v/>
      </c>
      <c r="S242" s="246" t="str">
        <f t="shared" si="40"/>
        <v/>
      </c>
      <c r="T242" s="237" t="str">
        <f t="shared" si="41"/>
        <v/>
      </c>
    </row>
    <row r="243" spans="1:20" x14ac:dyDescent="0.2">
      <c r="A243" t="str">
        <f>INDEX(Prioritization!$D:$D,MATCH($B243,Prioritization!$A:$A,0))</f>
        <v>4 - Sustained</v>
      </c>
      <c r="B243" t="s">
        <v>320</v>
      </c>
      <c r="C243" t="s">
        <v>971</v>
      </c>
      <c r="D243" t="s">
        <v>30</v>
      </c>
      <c r="E243" t="str">
        <f t="shared" si="33"/>
        <v>Mwanza District [wNqJp8oRIcF]|05-09|Female</v>
      </c>
      <c r="G243" s="38"/>
      <c r="H243" s="38"/>
      <c r="I243" s="240"/>
      <c r="J243" s="33"/>
      <c r="K243" s="33"/>
      <c r="L243" s="33">
        <f t="shared" si="34"/>
        <v>1</v>
      </c>
      <c r="M243" s="33">
        <f t="shared" si="35"/>
        <v>0.2</v>
      </c>
      <c r="N243" s="38" t="str">
        <f t="shared" si="42"/>
        <v/>
      </c>
      <c r="O243" s="218" t="str">
        <f t="shared" si="36"/>
        <v/>
      </c>
      <c r="P243" s="218" t="str">
        <f t="shared" si="37"/>
        <v/>
      </c>
      <c r="Q243" s="218" t="str">
        <f t="shared" si="38"/>
        <v/>
      </c>
      <c r="R243" s="218" t="str">
        <f t="shared" si="39"/>
        <v/>
      </c>
      <c r="S243" s="246" t="str">
        <f t="shared" si="40"/>
        <v/>
      </c>
      <c r="T243" s="218" t="str">
        <f t="shared" si="41"/>
        <v/>
      </c>
    </row>
    <row r="244" spans="1:20" x14ac:dyDescent="0.2">
      <c r="A244" t="str">
        <f>INDEX(Prioritization!$D:$D,MATCH($B244,Prioritization!$A:$A,0))</f>
        <v>4 - Sustained</v>
      </c>
      <c r="B244" t="s">
        <v>320</v>
      </c>
      <c r="C244" t="s">
        <v>971</v>
      </c>
      <c r="D244" t="s">
        <v>48</v>
      </c>
      <c r="E244" t="str">
        <f t="shared" si="33"/>
        <v>Mwanza District [wNqJp8oRIcF]|05-09|Male</v>
      </c>
      <c r="G244" s="38"/>
      <c r="H244" s="38"/>
      <c r="I244" s="240"/>
      <c r="J244" s="33"/>
      <c r="K244" s="33"/>
      <c r="L244" s="33">
        <f t="shared" si="34"/>
        <v>1</v>
      </c>
      <c r="M244" s="33">
        <f t="shared" si="35"/>
        <v>0.2</v>
      </c>
      <c r="N244" s="38" t="str">
        <f t="shared" si="42"/>
        <v/>
      </c>
      <c r="O244" s="218" t="str">
        <f t="shared" si="36"/>
        <v/>
      </c>
      <c r="P244" s="218" t="str">
        <f t="shared" si="37"/>
        <v/>
      </c>
      <c r="Q244" s="218" t="str">
        <f t="shared" si="38"/>
        <v/>
      </c>
      <c r="R244" s="218" t="str">
        <f t="shared" si="39"/>
        <v/>
      </c>
      <c r="S244" s="246" t="str">
        <f t="shared" si="40"/>
        <v/>
      </c>
      <c r="T244" s="237" t="str">
        <f t="shared" si="41"/>
        <v/>
      </c>
    </row>
    <row r="245" spans="1:20" x14ac:dyDescent="0.2">
      <c r="A245" t="str">
        <f>INDEX(Prioritization!$D:$D,MATCH($B245,Prioritization!$A:$A,0))</f>
        <v>4 - Sustained</v>
      </c>
      <c r="B245" t="s">
        <v>320</v>
      </c>
      <c r="C245" t="s">
        <v>474</v>
      </c>
      <c r="D245" t="s">
        <v>30</v>
      </c>
      <c r="E245" t="str">
        <f t="shared" si="33"/>
        <v>Mwanza District [wNqJp8oRIcF]|10-14|Female</v>
      </c>
      <c r="G245" s="38"/>
      <c r="H245" s="38"/>
      <c r="I245" s="240"/>
      <c r="J245" s="33"/>
      <c r="K245" s="33"/>
      <c r="L245" s="33">
        <f t="shared" si="34"/>
        <v>1</v>
      </c>
      <c r="M245" s="33">
        <f t="shared" si="35"/>
        <v>0.2</v>
      </c>
      <c r="N245" s="38" t="str">
        <f t="shared" si="42"/>
        <v/>
      </c>
      <c r="O245" s="218" t="str">
        <f t="shared" si="36"/>
        <v/>
      </c>
      <c r="P245" s="218" t="str">
        <f t="shared" si="37"/>
        <v/>
      </c>
      <c r="Q245" s="218" t="str">
        <f t="shared" si="38"/>
        <v/>
      </c>
      <c r="R245" s="218" t="str">
        <f t="shared" si="39"/>
        <v/>
      </c>
      <c r="S245" s="246" t="str">
        <f t="shared" si="40"/>
        <v/>
      </c>
      <c r="T245" s="218" t="str">
        <f t="shared" si="41"/>
        <v/>
      </c>
    </row>
    <row r="246" spans="1:20" x14ac:dyDescent="0.2">
      <c r="A246" t="str">
        <f>INDEX(Prioritization!$D:$D,MATCH($B246,Prioritization!$A:$A,0))</f>
        <v>4 - Sustained</v>
      </c>
      <c r="B246" t="s">
        <v>320</v>
      </c>
      <c r="C246" t="s">
        <v>474</v>
      </c>
      <c r="D246" t="s">
        <v>48</v>
      </c>
      <c r="E246" t="str">
        <f t="shared" si="33"/>
        <v>Mwanza District [wNqJp8oRIcF]|10-14|Male</v>
      </c>
      <c r="G246" s="38"/>
      <c r="H246" s="38"/>
      <c r="I246" s="240"/>
      <c r="J246" s="33"/>
      <c r="K246" s="33"/>
      <c r="L246" s="33">
        <f t="shared" si="34"/>
        <v>1</v>
      </c>
      <c r="M246" s="33">
        <f t="shared" si="35"/>
        <v>0.2</v>
      </c>
      <c r="N246" s="38" t="str">
        <f t="shared" si="42"/>
        <v/>
      </c>
      <c r="O246" s="218" t="str">
        <f t="shared" si="36"/>
        <v/>
      </c>
      <c r="P246" s="218" t="str">
        <f t="shared" si="37"/>
        <v/>
      </c>
      <c r="Q246" s="218" t="str">
        <f t="shared" si="38"/>
        <v/>
      </c>
      <c r="R246" s="218" t="str">
        <f t="shared" si="39"/>
        <v/>
      </c>
      <c r="S246" s="246" t="str">
        <f t="shared" si="40"/>
        <v/>
      </c>
      <c r="T246" s="237" t="str">
        <f t="shared" si="41"/>
        <v/>
      </c>
    </row>
    <row r="247" spans="1:20" x14ac:dyDescent="0.2">
      <c r="A247" t="str">
        <f>INDEX(Prioritization!$D:$D,MATCH($B247,Prioritization!$A:$A,0))</f>
        <v>4 - Sustained</v>
      </c>
      <c r="B247" t="s">
        <v>320</v>
      </c>
      <c r="C247" t="s">
        <v>972</v>
      </c>
      <c r="D247" t="s">
        <v>30</v>
      </c>
      <c r="E247" t="str">
        <f t="shared" si="33"/>
        <v>Mwanza District [wNqJp8oRIcF]|15-17|Female</v>
      </c>
      <c r="G247" s="38"/>
      <c r="H247" s="38"/>
      <c r="I247" s="240"/>
      <c r="J247" s="33"/>
      <c r="K247" s="33"/>
      <c r="L247" s="33">
        <f t="shared" si="34"/>
        <v>1</v>
      </c>
      <c r="M247" s="33">
        <f t="shared" si="35"/>
        <v>0.2</v>
      </c>
      <c r="N247" s="38" t="str">
        <f t="shared" si="42"/>
        <v/>
      </c>
      <c r="O247" s="218" t="str">
        <f t="shared" si="36"/>
        <v/>
      </c>
      <c r="P247" s="218" t="str">
        <f t="shared" si="37"/>
        <v/>
      </c>
      <c r="Q247" s="218" t="str">
        <f t="shared" si="38"/>
        <v/>
      </c>
      <c r="R247" s="218" t="str">
        <f t="shared" si="39"/>
        <v/>
      </c>
      <c r="S247" s="246" t="str">
        <f t="shared" si="40"/>
        <v/>
      </c>
      <c r="T247" s="218" t="str">
        <f t="shared" si="41"/>
        <v/>
      </c>
    </row>
    <row r="248" spans="1:20" x14ac:dyDescent="0.2">
      <c r="A248" t="str">
        <f>INDEX(Prioritization!$D:$D,MATCH($B248,Prioritization!$A:$A,0))</f>
        <v>4 - Sustained</v>
      </c>
      <c r="B248" t="s">
        <v>320</v>
      </c>
      <c r="C248" t="s">
        <v>972</v>
      </c>
      <c r="D248" t="s">
        <v>48</v>
      </c>
      <c r="E248" t="str">
        <f t="shared" si="33"/>
        <v>Mwanza District [wNqJp8oRIcF]|15-17|Male</v>
      </c>
      <c r="G248" s="38"/>
      <c r="H248" s="38"/>
      <c r="I248" s="240"/>
      <c r="J248" s="33"/>
      <c r="K248" s="33"/>
      <c r="L248" s="33">
        <f t="shared" si="34"/>
        <v>1</v>
      </c>
      <c r="M248" s="33">
        <f t="shared" si="35"/>
        <v>0.2</v>
      </c>
      <c r="N248" s="38" t="str">
        <f t="shared" si="42"/>
        <v/>
      </c>
      <c r="O248" s="218" t="str">
        <f t="shared" si="36"/>
        <v/>
      </c>
      <c r="P248" s="218" t="str">
        <f t="shared" si="37"/>
        <v/>
      </c>
      <c r="Q248" s="218" t="str">
        <f t="shared" si="38"/>
        <v/>
      </c>
      <c r="R248" s="218" t="str">
        <f t="shared" si="39"/>
        <v/>
      </c>
      <c r="S248" s="246" t="str">
        <f t="shared" si="40"/>
        <v/>
      </c>
      <c r="T248" s="237" t="str">
        <f t="shared" si="41"/>
        <v/>
      </c>
    </row>
    <row r="249" spans="1:20" x14ac:dyDescent="0.2">
      <c r="A249" t="str">
        <f>INDEX(Prioritization!$D:$D,MATCH($B249,Prioritization!$A:$A,0))</f>
        <v>4 - Sustained</v>
      </c>
      <c r="B249" t="s">
        <v>320</v>
      </c>
      <c r="C249" t="s">
        <v>974</v>
      </c>
      <c r="D249" t="s">
        <v>30</v>
      </c>
      <c r="E249" t="str">
        <f t="shared" si="33"/>
        <v>Mwanza District [wNqJp8oRIcF]|18+|Female</v>
      </c>
      <c r="G249" s="38"/>
      <c r="H249" s="38"/>
      <c r="I249" s="240"/>
      <c r="J249" s="33"/>
      <c r="K249" s="33"/>
      <c r="L249" s="33">
        <f t="shared" si="34"/>
        <v>1</v>
      </c>
      <c r="M249" s="33">
        <f t="shared" si="35"/>
        <v>0.2</v>
      </c>
      <c r="N249" s="38" t="str">
        <f t="shared" si="42"/>
        <v/>
      </c>
      <c r="O249" s="218" t="str">
        <f t="shared" si="36"/>
        <v/>
      </c>
      <c r="P249" s="218" t="str">
        <f t="shared" si="37"/>
        <v/>
      </c>
      <c r="Q249" s="218" t="str">
        <f t="shared" si="38"/>
        <v/>
      </c>
      <c r="R249" s="218" t="str">
        <f t="shared" si="39"/>
        <v/>
      </c>
      <c r="S249" s="246" t="str">
        <f t="shared" si="40"/>
        <v/>
      </c>
      <c r="T249" s="218" t="str">
        <f t="shared" si="41"/>
        <v/>
      </c>
    </row>
    <row r="250" spans="1:20" x14ac:dyDescent="0.2">
      <c r="A250" t="str">
        <f>INDEX(Prioritization!$D:$D,MATCH($B250,Prioritization!$A:$A,0))</f>
        <v>4 - Sustained</v>
      </c>
      <c r="B250" t="s">
        <v>320</v>
      </c>
      <c r="C250" t="s">
        <v>974</v>
      </c>
      <c r="D250" t="s">
        <v>48</v>
      </c>
      <c r="E250" t="str">
        <f t="shared" si="33"/>
        <v>Mwanza District [wNqJp8oRIcF]|18+|Male</v>
      </c>
      <c r="G250" s="38"/>
      <c r="H250" s="38"/>
      <c r="I250" s="240"/>
      <c r="J250" s="33"/>
      <c r="K250" s="33"/>
      <c r="L250" s="33">
        <f t="shared" si="34"/>
        <v>1</v>
      </c>
      <c r="M250" s="33">
        <f t="shared" si="35"/>
        <v>0.2</v>
      </c>
      <c r="N250" s="38" t="str">
        <f t="shared" si="42"/>
        <v/>
      </c>
      <c r="O250" s="218" t="str">
        <f t="shared" si="36"/>
        <v/>
      </c>
      <c r="P250" s="218" t="str">
        <f t="shared" si="37"/>
        <v/>
      </c>
      <c r="Q250" s="218" t="str">
        <f t="shared" si="38"/>
        <v/>
      </c>
      <c r="R250" s="218" t="str">
        <f t="shared" si="39"/>
        <v/>
      </c>
      <c r="S250" s="246" t="str">
        <f t="shared" si="40"/>
        <v/>
      </c>
      <c r="T250" s="237" t="str">
        <f t="shared" si="41"/>
        <v/>
      </c>
    </row>
    <row r="251" spans="1:20" x14ac:dyDescent="0.2">
      <c r="A251" t="str">
        <f>INDEX(Prioritization!$D:$D,MATCH($B251,Prioritization!$A:$A,0))</f>
        <v>4 - Sustained</v>
      </c>
      <c r="B251" t="s">
        <v>320</v>
      </c>
      <c r="C251" t="s">
        <v>973</v>
      </c>
      <c r="D251" t="s">
        <v>30</v>
      </c>
      <c r="E251" t="str">
        <f t="shared" si="33"/>
        <v>Mwanza District [wNqJp8oRIcF]|18-20|Female</v>
      </c>
      <c r="G251" s="38"/>
      <c r="H251" s="38"/>
      <c r="I251" s="240"/>
      <c r="J251" s="33"/>
      <c r="K251" s="33"/>
      <c r="L251" s="33">
        <f t="shared" si="34"/>
        <v>1</v>
      </c>
      <c r="M251" s="33">
        <f t="shared" si="35"/>
        <v>0.2</v>
      </c>
      <c r="N251" s="38" t="str">
        <f t="shared" si="42"/>
        <v/>
      </c>
      <c r="O251" s="218" t="str">
        <f t="shared" si="36"/>
        <v/>
      </c>
      <c r="P251" s="218" t="str">
        <f t="shared" si="37"/>
        <v/>
      </c>
      <c r="Q251" s="218" t="str">
        <f t="shared" si="38"/>
        <v/>
      </c>
      <c r="R251" s="218" t="str">
        <f t="shared" si="39"/>
        <v/>
      </c>
      <c r="S251" s="246" t="str">
        <f t="shared" si="40"/>
        <v/>
      </c>
      <c r="T251" s="218" t="str">
        <f t="shared" si="41"/>
        <v/>
      </c>
    </row>
    <row r="252" spans="1:20" x14ac:dyDescent="0.2">
      <c r="A252" t="str">
        <f>INDEX(Prioritization!$D:$D,MATCH($B252,Prioritization!$A:$A,0))</f>
        <v>4 - Sustained</v>
      </c>
      <c r="B252" t="s">
        <v>320</v>
      </c>
      <c r="C252" t="s">
        <v>973</v>
      </c>
      <c r="D252" t="s">
        <v>48</v>
      </c>
      <c r="E252" t="str">
        <f t="shared" si="33"/>
        <v>Mwanza District [wNqJp8oRIcF]|18-20|Male</v>
      </c>
      <c r="G252" s="38"/>
      <c r="H252" s="38"/>
      <c r="I252" s="240"/>
      <c r="J252" s="33"/>
      <c r="K252" s="33"/>
      <c r="L252" s="33">
        <f t="shared" si="34"/>
        <v>1</v>
      </c>
      <c r="M252" s="33">
        <f t="shared" si="35"/>
        <v>0.2</v>
      </c>
      <c r="N252" s="38" t="str">
        <f t="shared" si="42"/>
        <v/>
      </c>
      <c r="O252" s="218" t="str">
        <f t="shared" si="36"/>
        <v/>
      </c>
      <c r="P252" s="218" t="str">
        <f t="shared" si="37"/>
        <v/>
      </c>
      <c r="Q252" s="218" t="str">
        <f t="shared" si="38"/>
        <v/>
      </c>
      <c r="R252" s="218" t="str">
        <f t="shared" si="39"/>
        <v/>
      </c>
      <c r="S252" s="246" t="str">
        <f t="shared" si="40"/>
        <v/>
      </c>
      <c r="T252" s="237" t="str">
        <f t="shared" si="41"/>
        <v/>
      </c>
    </row>
    <row r="253" spans="1:20" x14ac:dyDescent="0.2">
      <c r="A253" t="str">
        <f>INDEX(Prioritization!$D:$D,MATCH($B253,Prioritization!$A:$A,0))</f>
        <v>1 - Scale-up: Saturation</v>
      </c>
      <c r="B253" t="s">
        <v>310</v>
      </c>
      <c r="C253" t="s">
        <v>426</v>
      </c>
      <c r="D253" t="s">
        <v>30</v>
      </c>
      <c r="E253" t="str">
        <f t="shared" si="33"/>
        <v>Mzimba District [vA4NcHxfMBq]|&lt;01|Female</v>
      </c>
      <c r="G253" s="38"/>
      <c r="H253" s="38"/>
      <c r="I253" s="240"/>
      <c r="J253" s="33"/>
      <c r="K253" s="33"/>
      <c r="L253" s="33">
        <f t="shared" si="34"/>
        <v>1</v>
      </c>
      <c r="M253" s="33">
        <f t="shared" si="35"/>
        <v>0.2</v>
      </c>
      <c r="N253" s="38" t="str">
        <f t="shared" si="42"/>
        <v/>
      </c>
      <c r="O253" s="218" t="str">
        <f t="shared" si="36"/>
        <v/>
      </c>
      <c r="P253" s="218" t="str">
        <f t="shared" si="37"/>
        <v/>
      </c>
      <c r="Q253" s="218" t="str">
        <f t="shared" si="38"/>
        <v/>
      </c>
      <c r="R253" s="218" t="str">
        <f t="shared" si="39"/>
        <v/>
      </c>
      <c r="S253" s="246" t="str">
        <f t="shared" si="40"/>
        <v/>
      </c>
      <c r="T253" s="218" t="str">
        <f t="shared" si="41"/>
        <v/>
      </c>
    </row>
    <row r="254" spans="1:20" x14ac:dyDescent="0.2">
      <c r="A254" t="str">
        <f>INDEX(Prioritization!$D:$D,MATCH($B254,Prioritization!$A:$A,0))</f>
        <v>1 - Scale-up: Saturation</v>
      </c>
      <c r="B254" t="s">
        <v>310</v>
      </c>
      <c r="C254" t="s">
        <v>426</v>
      </c>
      <c r="D254" t="s">
        <v>48</v>
      </c>
      <c r="E254" t="str">
        <f t="shared" si="33"/>
        <v>Mzimba District [vA4NcHxfMBq]|&lt;01|Male</v>
      </c>
      <c r="G254" s="38"/>
      <c r="H254" s="38"/>
      <c r="I254" s="240"/>
      <c r="J254" s="33"/>
      <c r="K254" s="33"/>
      <c r="L254" s="33">
        <f t="shared" si="34"/>
        <v>1</v>
      </c>
      <c r="M254" s="33">
        <f t="shared" si="35"/>
        <v>0.2</v>
      </c>
      <c r="N254" s="38" t="str">
        <f t="shared" si="42"/>
        <v/>
      </c>
      <c r="O254" s="218" t="str">
        <f t="shared" si="36"/>
        <v/>
      </c>
      <c r="P254" s="218" t="str">
        <f t="shared" si="37"/>
        <v/>
      </c>
      <c r="Q254" s="218" t="str">
        <f t="shared" si="38"/>
        <v/>
      </c>
      <c r="R254" s="218" t="str">
        <f t="shared" si="39"/>
        <v/>
      </c>
      <c r="S254" s="246" t="str">
        <f t="shared" si="40"/>
        <v/>
      </c>
      <c r="T254" s="237" t="str">
        <f t="shared" si="41"/>
        <v/>
      </c>
    </row>
    <row r="255" spans="1:20" x14ac:dyDescent="0.2">
      <c r="A255" t="str">
        <f>INDEX(Prioritization!$D:$D,MATCH($B255,Prioritization!$A:$A,0))</f>
        <v>1 - Scale-up: Saturation</v>
      </c>
      <c r="B255" t="s">
        <v>310</v>
      </c>
      <c r="C255" t="s">
        <v>970</v>
      </c>
      <c r="D255" t="s">
        <v>30</v>
      </c>
      <c r="E255" t="str">
        <f t="shared" si="33"/>
        <v>Mzimba District [vA4NcHxfMBq]|01-04|Female</v>
      </c>
      <c r="G255" s="38"/>
      <c r="H255" s="38"/>
      <c r="I255" s="240"/>
      <c r="J255" s="33"/>
      <c r="K255" s="33"/>
      <c r="L255" s="33">
        <f t="shared" si="34"/>
        <v>1</v>
      </c>
      <c r="M255" s="33">
        <f t="shared" si="35"/>
        <v>0.2</v>
      </c>
      <c r="N255" s="38" t="str">
        <f t="shared" si="42"/>
        <v/>
      </c>
      <c r="O255" s="218" t="str">
        <f t="shared" si="36"/>
        <v/>
      </c>
      <c r="P255" s="218" t="str">
        <f t="shared" si="37"/>
        <v/>
      </c>
      <c r="Q255" s="218" t="str">
        <f t="shared" si="38"/>
        <v/>
      </c>
      <c r="R255" s="218" t="str">
        <f t="shared" si="39"/>
        <v/>
      </c>
      <c r="S255" s="246" t="str">
        <f t="shared" si="40"/>
        <v/>
      </c>
      <c r="T255" s="218" t="str">
        <f t="shared" si="41"/>
        <v/>
      </c>
    </row>
    <row r="256" spans="1:20" x14ac:dyDescent="0.2">
      <c r="A256" t="str">
        <f>INDEX(Prioritization!$D:$D,MATCH($B256,Prioritization!$A:$A,0))</f>
        <v>1 - Scale-up: Saturation</v>
      </c>
      <c r="B256" t="s">
        <v>310</v>
      </c>
      <c r="C256" t="s">
        <v>970</v>
      </c>
      <c r="D256" t="s">
        <v>48</v>
      </c>
      <c r="E256" t="str">
        <f t="shared" si="33"/>
        <v>Mzimba District [vA4NcHxfMBq]|01-04|Male</v>
      </c>
      <c r="G256" s="38"/>
      <c r="H256" s="38"/>
      <c r="I256" s="240"/>
      <c r="J256" s="33"/>
      <c r="K256" s="33"/>
      <c r="L256" s="33">
        <f t="shared" si="34"/>
        <v>1</v>
      </c>
      <c r="M256" s="33">
        <f t="shared" si="35"/>
        <v>0.2</v>
      </c>
      <c r="N256" s="38" t="str">
        <f t="shared" si="42"/>
        <v/>
      </c>
      <c r="O256" s="218" t="str">
        <f t="shared" si="36"/>
        <v/>
      </c>
      <c r="P256" s="218" t="str">
        <f t="shared" si="37"/>
        <v/>
      </c>
      <c r="Q256" s="218" t="str">
        <f t="shared" si="38"/>
        <v/>
      </c>
      <c r="R256" s="218" t="str">
        <f t="shared" si="39"/>
        <v/>
      </c>
      <c r="S256" s="246" t="str">
        <f t="shared" si="40"/>
        <v/>
      </c>
      <c r="T256" s="237" t="str">
        <f t="shared" si="41"/>
        <v/>
      </c>
    </row>
    <row r="257" spans="1:20" x14ac:dyDescent="0.2">
      <c r="A257" t="str">
        <f>INDEX(Prioritization!$D:$D,MATCH($B257,Prioritization!$A:$A,0))</f>
        <v>1 - Scale-up: Saturation</v>
      </c>
      <c r="B257" t="s">
        <v>310</v>
      </c>
      <c r="C257" t="s">
        <v>971</v>
      </c>
      <c r="D257" t="s">
        <v>30</v>
      </c>
      <c r="E257" t="str">
        <f t="shared" si="33"/>
        <v>Mzimba District [vA4NcHxfMBq]|05-09|Female</v>
      </c>
      <c r="G257" s="38"/>
      <c r="H257" s="38"/>
      <c r="I257" s="240"/>
      <c r="J257" s="33"/>
      <c r="K257" s="33"/>
      <c r="L257" s="33">
        <f t="shared" si="34"/>
        <v>1</v>
      </c>
      <c r="M257" s="33">
        <f t="shared" si="35"/>
        <v>0.2</v>
      </c>
      <c r="N257" s="38" t="str">
        <f t="shared" si="42"/>
        <v/>
      </c>
      <c r="O257" s="218" t="str">
        <f t="shared" si="36"/>
        <v/>
      </c>
      <c r="P257" s="218" t="str">
        <f t="shared" si="37"/>
        <v/>
      </c>
      <c r="Q257" s="218" t="str">
        <f t="shared" si="38"/>
        <v/>
      </c>
      <c r="R257" s="218" t="str">
        <f t="shared" si="39"/>
        <v/>
      </c>
      <c r="S257" s="246" t="str">
        <f t="shared" si="40"/>
        <v/>
      </c>
      <c r="T257" s="218" t="str">
        <f t="shared" si="41"/>
        <v/>
      </c>
    </row>
    <row r="258" spans="1:20" x14ac:dyDescent="0.2">
      <c r="A258" t="str">
        <f>INDEX(Prioritization!$D:$D,MATCH($B258,Prioritization!$A:$A,0))</f>
        <v>1 - Scale-up: Saturation</v>
      </c>
      <c r="B258" t="s">
        <v>310</v>
      </c>
      <c r="C258" t="s">
        <v>971</v>
      </c>
      <c r="D258" t="s">
        <v>48</v>
      </c>
      <c r="E258" t="str">
        <f t="shared" si="33"/>
        <v>Mzimba District [vA4NcHxfMBq]|05-09|Male</v>
      </c>
      <c r="G258" s="38"/>
      <c r="H258" s="38"/>
      <c r="I258" s="240"/>
      <c r="J258" s="33"/>
      <c r="K258" s="33"/>
      <c r="L258" s="33">
        <f t="shared" si="34"/>
        <v>1</v>
      </c>
      <c r="M258" s="33">
        <f t="shared" si="35"/>
        <v>0.2</v>
      </c>
      <c r="N258" s="38" t="str">
        <f t="shared" si="42"/>
        <v/>
      </c>
      <c r="O258" s="218" t="str">
        <f t="shared" si="36"/>
        <v/>
      </c>
      <c r="P258" s="218" t="str">
        <f t="shared" si="37"/>
        <v/>
      </c>
      <c r="Q258" s="218" t="str">
        <f t="shared" si="38"/>
        <v/>
      </c>
      <c r="R258" s="218" t="str">
        <f t="shared" si="39"/>
        <v/>
      </c>
      <c r="S258" s="246" t="str">
        <f t="shared" si="40"/>
        <v/>
      </c>
      <c r="T258" s="237" t="str">
        <f t="shared" si="41"/>
        <v/>
      </c>
    </row>
    <row r="259" spans="1:20" x14ac:dyDescent="0.2">
      <c r="A259" t="str">
        <f>INDEX(Prioritization!$D:$D,MATCH($B259,Prioritization!$A:$A,0))</f>
        <v>1 - Scale-up: Saturation</v>
      </c>
      <c r="B259" t="s">
        <v>310</v>
      </c>
      <c r="C259" t="s">
        <v>474</v>
      </c>
      <c r="D259" t="s">
        <v>30</v>
      </c>
      <c r="E259" t="str">
        <f t="shared" si="33"/>
        <v>Mzimba District [vA4NcHxfMBq]|10-14|Female</v>
      </c>
      <c r="G259" s="38">
        <v>19</v>
      </c>
      <c r="H259" s="38">
        <v>1</v>
      </c>
      <c r="I259" s="234">
        <v>39</v>
      </c>
      <c r="J259" s="33"/>
      <c r="K259" s="33">
        <v>1</v>
      </c>
      <c r="L259" s="33">
        <f t="shared" si="34"/>
        <v>0</v>
      </c>
      <c r="M259" s="33" t="str">
        <f t="shared" si="35"/>
        <v/>
      </c>
      <c r="N259" s="229">
        <f t="shared" si="42"/>
        <v>40</v>
      </c>
      <c r="O259" s="237" t="str">
        <f>IF(OR(SUM($N259)=0,SUM($J259)=0,NOT(AND($D259="Female",$F259="Y",OR($C259="10-14",$C259="15-17")))),"",ROUND($N259*$J259,0))</f>
        <v/>
      </c>
      <c r="P259" s="218">
        <f t="shared" si="37"/>
        <v>40</v>
      </c>
      <c r="Q259" s="218" t="str">
        <f t="shared" si="38"/>
        <v/>
      </c>
      <c r="R259" s="218" t="str">
        <f t="shared" si="39"/>
        <v/>
      </c>
      <c r="S259" s="246" t="str">
        <f t="shared" si="40"/>
        <v/>
      </c>
      <c r="T259" s="218" t="str">
        <f t="shared" si="41"/>
        <v/>
      </c>
    </row>
    <row r="260" spans="1:20" x14ac:dyDescent="0.2">
      <c r="A260" t="str">
        <f>INDEX(Prioritization!$D:$D,MATCH($B260,Prioritization!$A:$A,0))</f>
        <v>1 - Scale-up: Saturation</v>
      </c>
      <c r="B260" t="s">
        <v>310</v>
      </c>
      <c r="C260" t="s">
        <v>474</v>
      </c>
      <c r="D260" t="s">
        <v>48</v>
      </c>
      <c r="E260" t="str">
        <f t="shared" si="33"/>
        <v>Mzimba District [vA4NcHxfMBq]|10-14|Male</v>
      </c>
      <c r="G260" s="38">
        <v>41</v>
      </c>
      <c r="H260" s="38">
        <v>1</v>
      </c>
      <c r="I260" s="241">
        <v>29</v>
      </c>
      <c r="J260" s="33"/>
      <c r="K260" s="33">
        <v>1</v>
      </c>
      <c r="L260" s="33">
        <f t="shared" si="34"/>
        <v>0</v>
      </c>
      <c r="M260" s="33" t="str">
        <f t="shared" si="35"/>
        <v/>
      </c>
      <c r="N260" s="229">
        <f t="shared" si="42"/>
        <v>30</v>
      </c>
      <c r="O260" s="218" t="str">
        <f t="shared" si="36"/>
        <v/>
      </c>
      <c r="P260" s="218">
        <f t="shared" si="37"/>
        <v>30</v>
      </c>
      <c r="Q260" s="218" t="str">
        <f t="shared" si="38"/>
        <v/>
      </c>
      <c r="R260" s="218" t="str">
        <f t="shared" si="39"/>
        <v/>
      </c>
      <c r="S260" s="246" t="str">
        <f t="shared" si="40"/>
        <v/>
      </c>
      <c r="T260" s="237" t="str">
        <f t="shared" si="41"/>
        <v/>
      </c>
    </row>
    <row r="261" spans="1:20" x14ac:dyDescent="0.2">
      <c r="A261" t="str">
        <f>INDEX(Prioritization!$D:$D,MATCH($B261,Prioritization!$A:$A,0))</f>
        <v>1 - Scale-up: Saturation</v>
      </c>
      <c r="B261" t="s">
        <v>310</v>
      </c>
      <c r="C261" t="s">
        <v>972</v>
      </c>
      <c r="D261" t="s">
        <v>30</v>
      </c>
      <c r="E261" t="str">
        <f t="shared" si="33"/>
        <v>Mzimba District [vA4NcHxfMBq]|15-17|Female</v>
      </c>
      <c r="G261" s="38"/>
      <c r="H261" s="38"/>
      <c r="I261" s="240"/>
      <c r="J261" s="33"/>
      <c r="K261" s="33"/>
      <c r="L261" s="33">
        <f t="shared" si="34"/>
        <v>1</v>
      </c>
      <c r="M261" s="33">
        <f t="shared" si="35"/>
        <v>0.2</v>
      </c>
      <c r="N261" s="38" t="str">
        <f t="shared" si="42"/>
        <v/>
      </c>
      <c r="O261" s="218" t="str">
        <f t="shared" si="36"/>
        <v/>
      </c>
      <c r="P261" s="218" t="str">
        <f t="shared" si="37"/>
        <v/>
      </c>
      <c r="Q261" s="218" t="str">
        <f t="shared" si="38"/>
        <v/>
      </c>
      <c r="R261" s="218" t="str">
        <f t="shared" si="39"/>
        <v/>
      </c>
      <c r="S261" s="246" t="str">
        <f t="shared" si="40"/>
        <v/>
      </c>
      <c r="T261" s="218" t="str">
        <f t="shared" si="41"/>
        <v/>
      </c>
    </row>
    <row r="262" spans="1:20" x14ac:dyDescent="0.2">
      <c r="A262" t="str">
        <f>INDEX(Prioritization!$D:$D,MATCH($B262,Prioritization!$A:$A,0))</f>
        <v>1 - Scale-up: Saturation</v>
      </c>
      <c r="B262" t="s">
        <v>310</v>
      </c>
      <c r="C262" t="s">
        <v>972</v>
      </c>
      <c r="D262" t="s">
        <v>48</v>
      </c>
      <c r="E262" t="str">
        <f t="shared" si="33"/>
        <v>Mzimba District [vA4NcHxfMBq]|15-17|Male</v>
      </c>
      <c r="G262" s="38"/>
      <c r="H262" s="38"/>
      <c r="I262" s="240"/>
      <c r="J262" s="33"/>
      <c r="K262" s="33"/>
      <c r="L262" s="33">
        <f t="shared" si="34"/>
        <v>1</v>
      </c>
      <c r="M262" s="33">
        <f t="shared" si="35"/>
        <v>0.2</v>
      </c>
      <c r="N262" s="38" t="str">
        <f t="shared" si="42"/>
        <v/>
      </c>
      <c r="O262" s="218" t="str">
        <f t="shared" si="36"/>
        <v/>
      </c>
      <c r="P262" s="218" t="str">
        <f t="shared" si="37"/>
        <v/>
      </c>
      <c r="Q262" s="218" t="str">
        <f t="shared" si="38"/>
        <v/>
      </c>
      <c r="R262" s="218" t="str">
        <f t="shared" si="39"/>
        <v/>
      </c>
      <c r="S262" s="246" t="str">
        <f t="shared" si="40"/>
        <v/>
      </c>
      <c r="T262" s="237" t="str">
        <f t="shared" si="41"/>
        <v/>
      </c>
    </row>
    <row r="263" spans="1:20" x14ac:dyDescent="0.2">
      <c r="A263" t="str">
        <f>INDEX(Prioritization!$D:$D,MATCH($B263,Prioritization!$A:$A,0))</f>
        <v>1 - Scale-up: Saturation</v>
      </c>
      <c r="B263" t="s">
        <v>310</v>
      </c>
      <c r="C263" t="s">
        <v>974</v>
      </c>
      <c r="D263" t="s">
        <v>30</v>
      </c>
      <c r="E263" t="str">
        <f t="shared" si="33"/>
        <v>Mzimba District [vA4NcHxfMBq]|18+|Female</v>
      </c>
      <c r="G263" s="38"/>
      <c r="H263" s="38"/>
      <c r="I263" s="240"/>
      <c r="J263" s="33"/>
      <c r="K263" s="33"/>
      <c r="L263" s="33">
        <f t="shared" si="34"/>
        <v>1</v>
      </c>
      <c r="M263" s="33">
        <f t="shared" si="35"/>
        <v>0.2</v>
      </c>
      <c r="N263" s="38" t="str">
        <f t="shared" si="42"/>
        <v/>
      </c>
      <c r="O263" s="218" t="str">
        <f t="shared" si="36"/>
        <v/>
      </c>
      <c r="P263" s="218" t="str">
        <f t="shared" si="37"/>
        <v/>
      </c>
      <c r="Q263" s="218" t="str">
        <f t="shared" si="38"/>
        <v/>
      </c>
      <c r="R263" s="218" t="str">
        <f t="shared" si="39"/>
        <v/>
      </c>
      <c r="S263" s="246" t="str">
        <f t="shared" si="40"/>
        <v/>
      </c>
      <c r="T263" s="218" t="str">
        <f t="shared" si="41"/>
        <v/>
      </c>
    </row>
    <row r="264" spans="1:20" x14ac:dyDescent="0.2">
      <c r="A264" t="str">
        <f>INDEX(Prioritization!$D:$D,MATCH($B264,Prioritization!$A:$A,0))</f>
        <v>1 - Scale-up: Saturation</v>
      </c>
      <c r="B264" t="s">
        <v>310</v>
      </c>
      <c r="C264" t="s">
        <v>974</v>
      </c>
      <c r="D264" t="s">
        <v>48</v>
      </c>
      <c r="E264" t="str">
        <f t="shared" si="33"/>
        <v>Mzimba District [vA4NcHxfMBq]|18+|Male</v>
      </c>
      <c r="G264" s="38"/>
      <c r="H264" s="38"/>
      <c r="I264" s="240"/>
      <c r="J264" s="33"/>
      <c r="K264" s="33"/>
      <c r="L264" s="33">
        <f t="shared" si="34"/>
        <v>1</v>
      </c>
      <c r="M264" s="33">
        <f t="shared" si="35"/>
        <v>0.2</v>
      </c>
      <c r="N264" s="38" t="str">
        <f t="shared" si="42"/>
        <v/>
      </c>
      <c r="O264" s="218" t="str">
        <f t="shared" si="36"/>
        <v/>
      </c>
      <c r="P264" s="218" t="str">
        <f t="shared" si="37"/>
        <v/>
      </c>
      <c r="Q264" s="218" t="str">
        <f t="shared" si="38"/>
        <v/>
      </c>
      <c r="R264" s="218" t="str">
        <f t="shared" si="39"/>
        <v/>
      </c>
      <c r="S264" s="246" t="str">
        <f t="shared" si="40"/>
        <v/>
      </c>
      <c r="T264" s="237" t="str">
        <f t="shared" si="41"/>
        <v/>
      </c>
    </row>
    <row r="265" spans="1:20" x14ac:dyDescent="0.2">
      <c r="A265" t="str">
        <f>INDEX(Prioritization!$D:$D,MATCH($B265,Prioritization!$A:$A,0))</f>
        <v>1 - Scale-up: Saturation</v>
      </c>
      <c r="B265" t="s">
        <v>310</v>
      </c>
      <c r="C265" t="s">
        <v>973</v>
      </c>
      <c r="D265" t="s">
        <v>30</v>
      </c>
      <c r="E265" t="str">
        <f t="shared" si="33"/>
        <v>Mzimba District [vA4NcHxfMBq]|18-20|Female</v>
      </c>
      <c r="G265" s="38"/>
      <c r="H265" s="38"/>
      <c r="I265" s="240"/>
      <c r="J265" s="33"/>
      <c r="K265" s="33"/>
      <c r="L265" s="33">
        <f t="shared" si="34"/>
        <v>1</v>
      </c>
      <c r="M265" s="33">
        <f t="shared" si="35"/>
        <v>0.2</v>
      </c>
      <c r="N265" s="38" t="str">
        <f t="shared" si="42"/>
        <v/>
      </c>
      <c r="O265" s="218" t="str">
        <f t="shared" si="36"/>
        <v/>
      </c>
      <c r="P265" s="218" t="str">
        <f t="shared" si="37"/>
        <v/>
      </c>
      <c r="Q265" s="218" t="str">
        <f t="shared" si="38"/>
        <v/>
      </c>
      <c r="R265" s="218" t="str">
        <f t="shared" si="39"/>
        <v/>
      </c>
      <c r="S265" s="246" t="str">
        <f t="shared" si="40"/>
        <v/>
      </c>
      <c r="T265" s="218" t="str">
        <f t="shared" si="41"/>
        <v/>
      </c>
    </row>
    <row r="266" spans="1:20" x14ac:dyDescent="0.2">
      <c r="A266" t="str">
        <f>INDEX(Prioritization!$D:$D,MATCH($B266,Prioritization!$A:$A,0))</f>
        <v>1 - Scale-up: Saturation</v>
      </c>
      <c r="B266" t="s">
        <v>310</v>
      </c>
      <c r="C266" t="s">
        <v>973</v>
      </c>
      <c r="D266" t="s">
        <v>48</v>
      </c>
      <c r="E266" t="str">
        <f t="shared" si="33"/>
        <v>Mzimba District [vA4NcHxfMBq]|18-20|Male</v>
      </c>
      <c r="G266" s="38"/>
      <c r="H266" s="38"/>
      <c r="I266" s="240"/>
      <c r="J266" s="33"/>
      <c r="K266" s="33"/>
      <c r="L266" s="33">
        <f t="shared" si="34"/>
        <v>1</v>
      </c>
      <c r="M266" s="33">
        <f t="shared" si="35"/>
        <v>0.2</v>
      </c>
      <c r="N266" s="38" t="str">
        <f t="shared" si="42"/>
        <v/>
      </c>
      <c r="O266" s="218" t="str">
        <f t="shared" si="36"/>
        <v/>
      </c>
      <c r="P266" s="218" t="str">
        <f t="shared" si="37"/>
        <v/>
      </c>
      <c r="Q266" s="218" t="str">
        <f t="shared" si="38"/>
        <v/>
      </c>
      <c r="R266" s="218" t="str">
        <f t="shared" si="39"/>
        <v/>
      </c>
      <c r="S266" s="246" t="str">
        <f t="shared" si="40"/>
        <v/>
      </c>
      <c r="T266" s="237" t="str">
        <f t="shared" si="41"/>
        <v/>
      </c>
    </row>
    <row r="267" spans="1:20" x14ac:dyDescent="0.2">
      <c r="A267" t="str">
        <f>INDEX(Prioritization!$D:$D,MATCH($B267,Prioritization!$A:$A,0))</f>
        <v>4 - Sustained</v>
      </c>
      <c r="B267" t="s">
        <v>321</v>
      </c>
      <c r="C267" t="s">
        <v>426</v>
      </c>
      <c r="D267" t="s">
        <v>30</v>
      </c>
      <c r="E267" t="str">
        <f t="shared" si="33"/>
        <v>Neno District [gwVYinjBAe9]|&lt;01|Female</v>
      </c>
      <c r="G267" s="38"/>
      <c r="H267" s="38"/>
      <c r="I267" s="240"/>
      <c r="J267" s="33"/>
      <c r="K267" s="33"/>
      <c r="L267" s="33">
        <f t="shared" si="34"/>
        <v>1</v>
      </c>
      <c r="M267" s="33">
        <f t="shared" si="35"/>
        <v>0.2</v>
      </c>
      <c r="N267" s="38" t="str">
        <f t="shared" si="42"/>
        <v/>
      </c>
      <c r="O267" s="218" t="str">
        <f t="shared" si="36"/>
        <v/>
      </c>
      <c r="P267" s="218" t="str">
        <f t="shared" si="37"/>
        <v/>
      </c>
      <c r="Q267" s="218" t="str">
        <f t="shared" si="38"/>
        <v/>
      </c>
      <c r="R267" s="218" t="str">
        <f t="shared" si="39"/>
        <v/>
      </c>
      <c r="S267" s="246" t="str">
        <f t="shared" si="40"/>
        <v/>
      </c>
      <c r="T267" s="218" t="str">
        <f t="shared" si="41"/>
        <v/>
      </c>
    </row>
    <row r="268" spans="1:20" x14ac:dyDescent="0.2">
      <c r="A268" t="str">
        <f>INDEX(Prioritization!$D:$D,MATCH($B268,Prioritization!$A:$A,0))</f>
        <v>4 - Sustained</v>
      </c>
      <c r="B268" t="s">
        <v>321</v>
      </c>
      <c r="C268" t="s">
        <v>426</v>
      </c>
      <c r="D268" t="s">
        <v>48</v>
      </c>
      <c r="E268" t="str">
        <f t="shared" si="33"/>
        <v>Neno District [gwVYinjBAe9]|&lt;01|Male</v>
      </c>
      <c r="G268" s="38"/>
      <c r="H268" s="38"/>
      <c r="I268" s="240"/>
      <c r="J268" s="33"/>
      <c r="K268" s="33"/>
      <c r="L268" s="33">
        <f t="shared" si="34"/>
        <v>1</v>
      </c>
      <c r="M268" s="33">
        <f t="shared" si="35"/>
        <v>0.2</v>
      </c>
      <c r="N268" s="38" t="str">
        <f t="shared" si="42"/>
        <v/>
      </c>
      <c r="O268" s="218" t="str">
        <f t="shared" si="36"/>
        <v/>
      </c>
      <c r="P268" s="218" t="str">
        <f t="shared" si="37"/>
        <v/>
      </c>
      <c r="Q268" s="218" t="str">
        <f t="shared" si="38"/>
        <v/>
      </c>
      <c r="R268" s="218" t="str">
        <f t="shared" si="39"/>
        <v/>
      </c>
      <c r="S268" s="246" t="str">
        <f t="shared" si="40"/>
        <v/>
      </c>
      <c r="T268" s="237" t="str">
        <f t="shared" si="41"/>
        <v/>
      </c>
    </row>
    <row r="269" spans="1:20" x14ac:dyDescent="0.2">
      <c r="A269" t="str">
        <f>INDEX(Prioritization!$D:$D,MATCH($B269,Prioritization!$A:$A,0))</f>
        <v>4 - Sustained</v>
      </c>
      <c r="B269" t="s">
        <v>321</v>
      </c>
      <c r="C269" t="s">
        <v>970</v>
      </c>
      <c r="D269" t="s">
        <v>30</v>
      </c>
      <c r="E269" t="str">
        <f t="shared" si="33"/>
        <v>Neno District [gwVYinjBAe9]|01-04|Female</v>
      </c>
      <c r="G269" s="38"/>
      <c r="H269" s="38"/>
      <c r="I269" s="240"/>
      <c r="J269" s="33"/>
      <c r="K269" s="33"/>
      <c r="L269" s="33">
        <f t="shared" si="34"/>
        <v>1</v>
      </c>
      <c r="M269" s="33">
        <f t="shared" si="35"/>
        <v>0.2</v>
      </c>
      <c r="N269" s="38" t="str">
        <f t="shared" si="42"/>
        <v/>
      </c>
      <c r="O269" s="218" t="str">
        <f t="shared" si="36"/>
        <v/>
      </c>
      <c r="P269" s="218" t="str">
        <f t="shared" si="37"/>
        <v/>
      </c>
      <c r="Q269" s="218" t="str">
        <f t="shared" si="38"/>
        <v/>
      </c>
      <c r="R269" s="218" t="str">
        <f t="shared" si="39"/>
        <v/>
      </c>
      <c r="S269" s="246" t="str">
        <f t="shared" si="40"/>
        <v/>
      </c>
      <c r="T269" s="218" t="str">
        <f t="shared" si="41"/>
        <v/>
      </c>
    </row>
    <row r="270" spans="1:20" x14ac:dyDescent="0.2">
      <c r="A270" t="str">
        <f>INDEX(Prioritization!$D:$D,MATCH($B270,Prioritization!$A:$A,0))</f>
        <v>4 - Sustained</v>
      </c>
      <c r="B270" t="s">
        <v>321</v>
      </c>
      <c r="C270" t="s">
        <v>970</v>
      </c>
      <c r="D270" t="s">
        <v>48</v>
      </c>
      <c r="E270" t="str">
        <f t="shared" si="33"/>
        <v>Neno District [gwVYinjBAe9]|01-04|Male</v>
      </c>
      <c r="G270" s="38"/>
      <c r="H270" s="38"/>
      <c r="I270" s="240"/>
      <c r="J270" s="33"/>
      <c r="K270" s="33"/>
      <c r="L270" s="33">
        <f t="shared" si="34"/>
        <v>1</v>
      </c>
      <c r="M270" s="33">
        <f t="shared" si="35"/>
        <v>0.2</v>
      </c>
      <c r="N270" s="38" t="str">
        <f t="shared" si="42"/>
        <v/>
      </c>
      <c r="O270" s="218" t="str">
        <f t="shared" si="36"/>
        <v/>
      </c>
      <c r="P270" s="218" t="str">
        <f t="shared" si="37"/>
        <v/>
      </c>
      <c r="Q270" s="218" t="str">
        <f t="shared" si="38"/>
        <v/>
      </c>
      <c r="R270" s="218" t="str">
        <f t="shared" si="39"/>
        <v/>
      </c>
      <c r="S270" s="246" t="str">
        <f t="shared" si="40"/>
        <v/>
      </c>
      <c r="T270" s="237" t="str">
        <f t="shared" si="41"/>
        <v/>
      </c>
    </row>
    <row r="271" spans="1:20" x14ac:dyDescent="0.2">
      <c r="A271" t="str">
        <f>INDEX(Prioritization!$D:$D,MATCH($B271,Prioritization!$A:$A,0))</f>
        <v>4 - Sustained</v>
      </c>
      <c r="B271" t="s">
        <v>321</v>
      </c>
      <c r="C271" t="s">
        <v>971</v>
      </c>
      <c r="D271" t="s">
        <v>30</v>
      </c>
      <c r="E271" t="str">
        <f t="shared" ref="E271:E334" si="43">$B271&amp;"|"&amp;$C271&amp;"|"&amp;$D271</f>
        <v>Neno District [gwVYinjBAe9]|05-09|Female</v>
      </c>
      <c r="G271" s="38"/>
      <c r="H271" s="38"/>
      <c r="I271" s="240"/>
      <c r="J271" s="33"/>
      <c r="K271" s="33"/>
      <c r="L271" s="33">
        <f t="shared" ref="L271:L334" si="44">1-SUM(J271:K271)</f>
        <v>1</v>
      </c>
      <c r="M271" s="33">
        <f t="shared" ref="M271:M334" si="45">IF(SUM($L271)=0,"",20%)</f>
        <v>0.2</v>
      </c>
      <c r="N271" s="38" t="str">
        <f t="shared" si="42"/>
        <v/>
      </c>
      <c r="O271" s="218" t="str">
        <f t="shared" ref="O271:O334" si="46">IF(OR(SUM($N271)=0,SUM($J271)=0,NOT(AND($D271="Female",$F271="Y",OR($C271="10-14",$C271="15-17")))),"",ROUND($N271*$J271,0))</f>
        <v/>
      </c>
      <c r="P271" s="218" t="str">
        <f t="shared" ref="P271:P334" si="47">IF(OR(SUM($N271)=0,SUM($K271)=0,NOT(OR($C271="10-14",$C271="05-09"))),"",ROUND($N271*$K271,0))</f>
        <v/>
      </c>
      <c r="Q271" s="218" t="str">
        <f t="shared" ref="Q271:Q334" si="48">IFERROR(1/(1/ROUND($N271*$L271*$M271,0)),"")</f>
        <v/>
      </c>
      <c r="R271" s="218" t="str">
        <f t="shared" ref="R271:R334" si="49">IFERROR(1/(1/(ROUND($N271*$L271,0)-$Q271)),"")</f>
        <v/>
      </c>
      <c r="S271" s="246" t="str">
        <f t="shared" ref="S271:S334" si="50">IF(OR($C271="18+",SUM($Q271,$R271)=0),"",100%)</f>
        <v/>
      </c>
      <c r="T271" s="218" t="str">
        <f t="shared" ref="T271:T334" si="51">IF(OR($C271="18+",SUM($Q271,$R271)=0),"",ROUND(SUM($Q271,$R271)*$S271,0))</f>
        <v/>
      </c>
    </row>
    <row r="272" spans="1:20" x14ac:dyDescent="0.2">
      <c r="A272" t="str">
        <f>INDEX(Prioritization!$D:$D,MATCH($B272,Prioritization!$A:$A,0))</f>
        <v>4 - Sustained</v>
      </c>
      <c r="B272" t="s">
        <v>321</v>
      </c>
      <c r="C272" t="s">
        <v>971</v>
      </c>
      <c r="D272" t="s">
        <v>48</v>
      </c>
      <c r="E272" t="str">
        <f t="shared" si="43"/>
        <v>Neno District [gwVYinjBAe9]|05-09|Male</v>
      </c>
      <c r="G272" s="38"/>
      <c r="H272" s="38"/>
      <c r="I272" s="240"/>
      <c r="J272" s="33"/>
      <c r="K272" s="33"/>
      <c r="L272" s="33">
        <f t="shared" si="44"/>
        <v>1</v>
      </c>
      <c r="M272" s="33">
        <f t="shared" si="45"/>
        <v>0.2</v>
      </c>
      <c r="N272" s="38" t="str">
        <f t="shared" ref="N272:N335" si="52">IF(SUM($H272)=0,"",ROUND($H272*(1+$I272),0))</f>
        <v/>
      </c>
      <c r="O272" s="218" t="str">
        <f t="shared" si="46"/>
        <v/>
      </c>
      <c r="P272" s="218" t="str">
        <f t="shared" si="47"/>
        <v/>
      </c>
      <c r="Q272" s="218" t="str">
        <f t="shared" si="48"/>
        <v/>
      </c>
      <c r="R272" s="218" t="str">
        <f t="shared" si="49"/>
        <v/>
      </c>
      <c r="S272" s="246" t="str">
        <f t="shared" si="50"/>
        <v/>
      </c>
      <c r="T272" s="237" t="str">
        <f t="shared" si="51"/>
        <v/>
      </c>
    </row>
    <row r="273" spans="1:20" x14ac:dyDescent="0.2">
      <c r="A273" t="str">
        <f>INDEX(Prioritization!$D:$D,MATCH($B273,Prioritization!$A:$A,0))</f>
        <v>4 - Sustained</v>
      </c>
      <c r="B273" t="s">
        <v>321</v>
      </c>
      <c r="C273" t="s">
        <v>474</v>
      </c>
      <c r="D273" t="s">
        <v>30</v>
      </c>
      <c r="E273" t="str">
        <f t="shared" si="43"/>
        <v>Neno District [gwVYinjBAe9]|10-14|Female</v>
      </c>
      <c r="G273" s="38"/>
      <c r="H273" s="38"/>
      <c r="I273" s="240"/>
      <c r="J273" s="33"/>
      <c r="K273" s="33"/>
      <c r="L273" s="33">
        <f t="shared" si="44"/>
        <v>1</v>
      </c>
      <c r="M273" s="33">
        <f t="shared" si="45"/>
        <v>0.2</v>
      </c>
      <c r="N273" s="38" t="str">
        <f t="shared" si="52"/>
        <v/>
      </c>
      <c r="O273" s="218" t="str">
        <f t="shared" si="46"/>
        <v/>
      </c>
      <c r="P273" s="218" t="str">
        <f t="shared" si="47"/>
        <v/>
      </c>
      <c r="Q273" s="218" t="str">
        <f t="shared" si="48"/>
        <v/>
      </c>
      <c r="R273" s="218" t="str">
        <f t="shared" si="49"/>
        <v/>
      </c>
      <c r="S273" s="246" t="str">
        <f t="shared" si="50"/>
        <v/>
      </c>
      <c r="T273" s="218" t="str">
        <f t="shared" si="51"/>
        <v/>
      </c>
    </row>
    <row r="274" spans="1:20" x14ac:dyDescent="0.2">
      <c r="A274" t="str">
        <f>INDEX(Prioritization!$D:$D,MATCH($B274,Prioritization!$A:$A,0))</f>
        <v>4 - Sustained</v>
      </c>
      <c r="B274" t="s">
        <v>321</v>
      </c>
      <c r="C274" t="s">
        <v>474</v>
      </c>
      <c r="D274" t="s">
        <v>48</v>
      </c>
      <c r="E274" t="str">
        <f t="shared" si="43"/>
        <v>Neno District [gwVYinjBAe9]|10-14|Male</v>
      </c>
      <c r="G274" s="38"/>
      <c r="H274" s="38"/>
      <c r="I274" s="240"/>
      <c r="J274" s="33"/>
      <c r="K274" s="33"/>
      <c r="L274" s="33">
        <f t="shared" si="44"/>
        <v>1</v>
      </c>
      <c r="M274" s="33">
        <f t="shared" si="45"/>
        <v>0.2</v>
      </c>
      <c r="N274" s="38" t="str">
        <f t="shared" si="52"/>
        <v/>
      </c>
      <c r="O274" s="218" t="str">
        <f t="shared" si="46"/>
        <v/>
      </c>
      <c r="P274" s="218" t="str">
        <f t="shared" si="47"/>
        <v/>
      </c>
      <c r="Q274" s="218" t="str">
        <f t="shared" si="48"/>
        <v/>
      </c>
      <c r="R274" s="218" t="str">
        <f t="shared" si="49"/>
        <v/>
      </c>
      <c r="S274" s="246" t="str">
        <f t="shared" si="50"/>
        <v/>
      </c>
      <c r="T274" s="237" t="str">
        <f t="shared" si="51"/>
        <v/>
      </c>
    </row>
    <row r="275" spans="1:20" x14ac:dyDescent="0.2">
      <c r="A275" t="str">
        <f>INDEX(Prioritization!$D:$D,MATCH($B275,Prioritization!$A:$A,0))</f>
        <v>4 - Sustained</v>
      </c>
      <c r="B275" t="s">
        <v>321</v>
      </c>
      <c r="C275" t="s">
        <v>972</v>
      </c>
      <c r="D275" t="s">
        <v>30</v>
      </c>
      <c r="E275" t="str">
        <f t="shared" si="43"/>
        <v>Neno District [gwVYinjBAe9]|15-17|Female</v>
      </c>
      <c r="G275" s="38"/>
      <c r="H275" s="38"/>
      <c r="I275" s="240"/>
      <c r="J275" s="33"/>
      <c r="K275" s="33"/>
      <c r="L275" s="33">
        <f t="shared" si="44"/>
        <v>1</v>
      </c>
      <c r="M275" s="33">
        <f t="shared" si="45"/>
        <v>0.2</v>
      </c>
      <c r="N275" s="38" t="str">
        <f t="shared" si="52"/>
        <v/>
      </c>
      <c r="O275" s="218" t="str">
        <f t="shared" si="46"/>
        <v/>
      </c>
      <c r="P275" s="218" t="str">
        <f t="shared" si="47"/>
        <v/>
      </c>
      <c r="Q275" s="218" t="str">
        <f t="shared" si="48"/>
        <v/>
      </c>
      <c r="R275" s="218" t="str">
        <f t="shared" si="49"/>
        <v/>
      </c>
      <c r="S275" s="246" t="str">
        <f t="shared" si="50"/>
        <v/>
      </c>
      <c r="T275" s="218" t="str">
        <f t="shared" si="51"/>
        <v/>
      </c>
    </row>
    <row r="276" spans="1:20" x14ac:dyDescent="0.2">
      <c r="A276" t="str">
        <f>INDEX(Prioritization!$D:$D,MATCH($B276,Prioritization!$A:$A,0))</f>
        <v>4 - Sustained</v>
      </c>
      <c r="B276" t="s">
        <v>321</v>
      </c>
      <c r="C276" t="s">
        <v>972</v>
      </c>
      <c r="D276" t="s">
        <v>48</v>
      </c>
      <c r="E276" t="str">
        <f t="shared" si="43"/>
        <v>Neno District [gwVYinjBAe9]|15-17|Male</v>
      </c>
      <c r="G276" s="38"/>
      <c r="H276" s="38"/>
      <c r="I276" s="240"/>
      <c r="J276" s="33"/>
      <c r="K276" s="33"/>
      <c r="L276" s="33">
        <f t="shared" si="44"/>
        <v>1</v>
      </c>
      <c r="M276" s="33">
        <f t="shared" si="45"/>
        <v>0.2</v>
      </c>
      <c r="N276" s="38" t="str">
        <f t="shared" si="52"/>
        <v/>
      </c>
      <c r="O276" s="218" t="str">
        <f t="shared" si="46"/>
        <v/>
      </c>
      <c r="P276" s="218" t="str">
        <f t="shared" si="47"/>
        <v/>
      </c>
      <c r="Q276" s="218" t="str">
        <f t="shared" si="48"/>
        <v/>
      </c>
      <c r="R276" s="218" t="str">
        <f t="shared" si="49"/>
        <v/>
      </c>
      <c r="S276" s="246" t="str">
        <f t="shared" si="50"/>
        <v/>
      </c>
      <c r="T276" s="237" t="str">
        <f t="shared" si="51"/>
        <v/>
      </c>
    </row>
    <row r="277" spans="1:20" x14ac:dyDescent="0.2">
      <c r="A277" t="str">
        <f>INDEX(Prioritization!$D:$D,MATCH($B277,Prioritization!$A:$A,0))</f>
        <v>4 - Sustained</v>
      </c>
      <c r="B277" t="s">
        <v>321</v>
      </c>
      <c r="C277" t="s">
        <v>974</v>
      </c>
      <c r="D277" t="s">
        <v>30</v>
      </c>
      <c r="E277" t="str">
        <f t="shared" si="43"/>
        <v>Neno District [gwVYinjBAe9]|18+|Female</v>
      </c>
      <c r="G277" s="38"/>
      <c r="H277" s="38"/>
      <c r="I277" s="240"/>
      <c r="J277" s="33"/>
      <c r="K277" s="33"/>
      <c r="L277" s="33">
        <f t="shared" si="44"/>
        <v>1</v>
      </c>
      <c r="M277" s="33">
        <f t="shared" si="45"/>
        <v>0.2</v>
      </c>
      <c r="N277" s="38" t="str">
        <f t="shared" si="52"/>
        <v/>
      </c>
      <c r="O277" s="218" t="str">
        <f t="shared" si="46"/>
        <v/>
      </c>
      <c r="P277" s="218" t="str">
        <f t="shared" si="47"/>
        <v/>
      </c>
      <c r="Q277" s="218" t="str">
        <f t="shared" si="48"/>
        <v/>
      </c>
      <c r="R277" s="218" t="str">
        <f t="shared" si="49"/>
        <v/>
      </c>
      <c r="S277" s="246" t="str">
        <f t="shared" si="50"/>
        <v/>
      </c>
      <c r="T277" s="218" t="str">
        <f t="shared" si="51"/>
        <v/>
      </c>
    </row>
    <row r="278" spans="1:20" x14ac:dyDescent="0.2">
      <c r="A278" t="str">
        <f>INDEX(Prioritization!$D:$D,MATCH($B278,Prioritization!$A:$A,0))</f>
        <v>4 - Sustained</v>
      </c>
      <c r="B278" t="s">
        <v>321</v>
      </c>
      <c r="C278" t="s">
        <v>974</v>
      </c>
      <c r="D278" t="s">
        <v>48</v>
      </c>
      <c r="E278" t="str">
        <f t="shared" si="43"/>
        <v>Neno District [gwVYinjBAe9]|18+|Male</v>
      </c>
      <c r="G278" s="38"/>
      <c r="H278" s="38"/>
      <c r="I278" s="240"/>
      <c r="J278" s="33"/>
      <c r="K278" s="33"/>
      <c r="L278" s="33">
        <f t="shared" si="44"/>
        <v>1</v>
      </c>
      <c r="M278" s="33">
        <f t="shared" si="45"/>
        <v>0.2</v>
      </c>
      <c r="N278" s="38" t="str">
        <f t="shared" si="52"/>
        <v/>
      </c>
      <c r="O278" s="218" t="str">
        <f t="shared" si="46"/>
        <v/>
      </c>
      <c r="P278" s="218" t="str">
        <f t="shared" si="47"/>
        <v/>
      </c>
      <c r="Q278" s="218" t="str">
        <f t="shared" si="48"/>
        <v/>
      </c>
      <c r="R278" s="218" t="str">
        <f t="shared" si="49"/>
        <v/>
      </c>
      <c r="S278" s="246" t="str">
        <f t="shared" si="50"/>
        <v/>
      </c>
      <c r="T278" s="237" t="str">
        <f t="shared" si="51"/>
        <v/>
      </c>
    </row>
    <row r="279" spans="1:20" x14ac:dyDescent="0.2">
      <c r="A279" t="str">
        <f>INDEX(Prioritization!$D:$D,MATCH($B279,Prioritization!$A:$A,0))</f>
        <v>4 - Sustained</v>
      </c>
      <c r="B279" t="s">
        <v>321</v>
      </c>
      <c r="C279" t="s">
        <v>973</v>
      </c>
      <c r="D279" t="s">
        <v>30</v>
      </c>
      <c r="E279" t="str">
        <f t="shared" si="43"/>
        <v>Neno District [gwVYinjBAe9]|18-20|Female</v>
      </c>
      <c r="G279" s="38"/>
      <c r="H279" s="38"/>
      <c r="I279" s="240"/>
      <c r="J279" s="33"/>
      <c r="K279" s="33"/>
      <c r="L279" s="33">
        <f t="shared" si="44"/>
        <v>1</v>
      </c>
      <c r="M279" s="33">
        <f t="shared" si="45"/>
        <v>0.2</v>
      </c>
      <c r="N279" s="38" t="str">
        <f t="shared" si="52"/>
        <v/>
      </c>
      <c r="O279" s="218" t="str">
        <f t="shared" si="46"/>
        <v/>
      </c>
      <c r="P279" s="218" t="str">
        <f t="shared" si="47"/>
        <v/>
      </c>
      <c r="Q279" s="218" t="str">
        <f t="shared" si="48"/>
        <v/>
      </c>
      <c r="R279" s="218" t="str">
        <f t="shared" si="49"/>
        <v/>
      </c>
      <c r="S279" s="246" t="str">
        <f t="shared" si="50"/>
        <v/>
      </c>
      <c r="T279" s="218" t="str">
        <f t="shared" si="51"/>
        <v/>
      </c>
    </row>
    <row r="280" spans="1:20" x14ac:dyDescent="0.2">
      <c r="A280" t="str">
        <f>INDEX(Prioritization!$D:$D,MATCH($B280,Prioritization!$A:$A,0))</f>
        <v>4 - Sustained</v>
      </c>
      <c r="B280" t="s">
        <v>321</v>
      </c>
      <c r="C280" t="s">
        <v>973</v>
      </c>
      <c r="D280" t="s">
        <v>48</v>
      </c>
      <c r="E280" t="str">
        <f t="shared" si="43"/>
        <v>Neno District [gwVYinjBAe9]|18-20|Male</v>
      </c>
      <c r="G280" s="38"/>
      <c r="H280" s="38"/>
      <c r="I280" s="240"/>
      <c r="J280" s="33"/>
      <c r="K280" s="33"/>
      <c r="L280" s="33">
        <f t="shared" si="44"/>
        <v>1</v>
      </c>
      <c r="M280" s="33">
        <f t="shared" si="45"/>
        <v>0.2</v>
      </c>
      <c r="N280" s="38" t="str">
        <f t="shared" si="52"/>
        <v/>
      </c>
      <c r="O280" s="218" t="str">
        <f t="shared" si="46"/>
        <v/>
      </c>
      <c r="P280" s="218" t="str">
        <f t="shared" si="47"/>
        <v/>
      </c>
      <c r="Q280" s="218" t="str">
        <f t="shared" si="48"/>
        <v/>
      </c>
      <c r="R280" s="218" t="str">
        <f t="shared" si="49"/>
        <v/>
      </c>
      <c r="S280" s="246" t="str">
        <f t="shared" si="50"/>
        <v/>
      </c>
      <c r="T280" s="237" t="str">
        <f t="shared" si="51"/>
        <v/>
      </c>
    </row>
    <row r="281" spans="1:20" x14ac:dyDescent="0.2">
      <c r="A281" t="str">
        <f>INDEX(Prioritization!$D:$D,MATCH($B281,Prioritization!$A:$A,0))</f>
        <v>4 - Sustained</v>
      </c>
      <c r="B281" t="s">
        <v>311</v>
      </c>
      <c r="C281" t="s">
        <v>426</v>
      </c>
      <c r="D281" t="s">
        <v>30</v>
      </c>
      <c r="E281" t="str">
        <f t="shared" si="43"/>
        <v>Nkhata Bay District [E7zpfyBt7Tw]|&lt;01|Female</v>
      </c>
      <c r="G281" s="38"/>
      <c r="H281" s="38"/>
      <c r="I281" s="240"/>
      <c r="J281" s="33"/>
      <c r="K281" s="33"/>
      <c r="L281" s="33">
        <f t="shared" si="44"/>
        <v>1</v>
      </c>
      <c r="M281" s="33">
        <f t="shared" si="45"/>
        <v>0.2</v>
      </c>
      <c r="N281" s="38" t="str">
        <f t="shared" si="52"/>
        <v/>
      </c>
      <c r="O281" s="218" t="str">
        <f t="shared" si="46"/>
        <v/>
      </c>
      <c r="P281" s="218" t="str">
        <f t="shared" si="47"/>
        <v/>
      </c>
      <c r="Q281" s="218" t="str">
        <f t="shared" si="48"/>
        <v/>
      </c>
      <c r="R281" s="218" t="str">
        <f t="shared" si="49"/>
        <v/>
      </c>
      <c r="S281" s="246" t="str">
        <f t="shared" si="50"/>
        <v/>
      </c>
      <c r="T281" s="218" t="str">
        <f t="shared" si="51"/>
        <v/>
      </c>
    </row>
    <row r="282" spans="1:20" x14ac:dyDescent="0.2">
      <c r="A282" t="str">
        <f>INDEX(Prioritization!$D:$D,MATCH($B282,Prioritization!$A:$A,0))</f>
        <v>4 - Sustained</v>
      </c>
      <c r="B282" t="s">
        <v>311</v>
      </c>
      <c r="C282" t="s">
        <v>426</v>
      </c>
      <c r="D282" t="s">
        <v>48</v>
      </c>
      <c r="E282" t="str">
        <f t="shared" si="43"/>
        <v>Nkhata Bay District [E7zpfyBt7Tw]|&lt;01|Male</v>
      </c>
      <c r="G282" s="38"/>
      <c r="H282" s="38"/>
      <c r="I282" s="240"/>
      <c r="J282" s="33"/>
      <c r="K282" s="33"/>
      <c r="L282" s="33">
        <f t="shared" si="44"/>
        <v>1</v>
      </c>
      <c r="M282" s="33">
        <f t="shared" si="45"/>
        <v>0.2</v>
      </c>
      <c r="N282" s="38" t="str">
        <f t="shared" si="52"/>
        <v/>
      </c>
      <c r="O282" s="218" t="str">
        <f t="shared" si="46"/>
        <v/>
      </c>
      <c r="P282" s="218" t="str">
        <f t="shared" si="47"/>
        <v/>
      </c>
      <c r="Q282" s="218" t="str">
        <f t="shared" si="48"/>
        <v/>
      </c>
      <c r="R282" s="218" t="str">
        <f t="shared" si="49"/>
        <v/>
      </c>
      <c r="S282" s="246" t="str">
        <f t="shared" si="50"/>
        <v/>
      </c>
      <c r="T282" s="237" t="str">
        <f t="shared" si="51"/>
        <v/>
      </c>
    </row>
    <row r="283" spans="1:20" x14ac:dyDescent="0.2">
      <c r="A283" t="str">
        <f>INDEX(Prioritization!$D:$D,MATCH($B283,Prioritization!$A:$A,0))</f>
        <v>4 - Sustained</v>
      </c>
      <c r="B283" t="s">
        <v>311</v>
      </c>
      <c r="C283" t="s">
        <v>970</v>
      </c>
      <c r="D283" t="s">
        <v>30</v>
      </c>
      <c r="E283" t="str">
        <f t="shared" si="43"/>
        <v>Nkhata Bay District [E7zpfyBt7Tw]|01-04|Female</v>
      </c>
      <c r="G283" s="38"/>
      <c r="H283" s="38"/>
      <c r="I283" s="240"/>
      <c r="J283" s="33"/>
      <c r="K283" s="33"/>
      <c r="L283" s="33">
        <f t="shared" si="44"/>
        <v>1</v>
      </c>
      <c r="M283" s="33">
        <f t="shared" si="45"/>
        <v>0.2</v>
      </c>
      <c r="N283" s="38" t="str">
        <f t="shared" si="52"/>
        <v/>
      </c>
      <c r="O283" s="218" t="str">
        <f t="shared" si="46"/>
        <v/>
      </c>
      <c r="P283" s="218" t="str">
        <f t="shared" si="47"/>
        <v/>
      </c>
      <c r="Q283" s="218" t="str">
        <f t="shared" si="48"/>
        <v/>
      </c>
      <c r="R283" s="218" t="str">
        <f t="shared" si="49"/>
        <v/>
      </c>
      <c r="S283" s="246" t="str">
        <f t="shared" si="50"/>
        <v/>
      </c>
      <c r="T283" s="218" t="str">
        <f t="shared" si="51"/>
        <v/>
      </c>
    </row>
    <row r="284" spans="1:20" x14ac:dyDescent="0.2">
      <c r="A284" t="str">
        <f>INDEX(Prioritization!$D:$D,MATCH($B284,Prioritization!$A:$A,0))</f>
        <v>4 - Sustained</v>
      </c>
      <c r="B284" t="s">
        <v>311</v>
      </c>
      <c r="C284" t="s">
        <v>970</v>
      </c>
      <c r="D284" t="s">
        <v>48</v>
      </c>
      <c r="E284" t="str">
        <f t="shared" si="43"/>
        <v>Nkhata Bay District [E7zpfyBt7Tw]|01-04|Male</v>
      </c>
      <c r="G284" s="38"/>
      <c r="H284" s="38"/>
      <c r="I284" s="240"/>
      <c r="J284" s="33"/>
      <c r="K284" s="33"/>
      <c r="L284" s="33">
        <f t="shared" si="44"/>
        <v>1</v>
      </c>
      <c r="M284" s="33">
        <f t="shared" si="45"/>
        <v>0.2</v>
      </c>
      <c r="N284" s="38" t="str">
        <f t="shared" si="52"/>
        <v/>
      </c>
      <c r="O284" s="218" t="str">
        <f t="shared" si="46"/>
        <v/>
      </c>
      <c r="P284" s="218" t="str">
        <f t="shared" si="47"/>
        <v/>
      </c>
      <c r="Q284" s="218" t="str">
        <f t="shared" si="48"/>
        <v/>
      </c>
      <c r="R284" s="218" t="str">
        <f t="shared" si="49"/>
        <v/>
      </c>
      <c r="S284" s="246" t="str">
        <f t="shared" si="50"/>
        <v/>
      </c>
      <c r="T284" s="237" t="str">
        <f t="shared" si="51"/>
        <v/>
      </c>
    </row>
    <row r="285" spans="1:20" x14ac:dyDescent="0.2">
      <c r="A285" t="str">
        <f>INDEX(Prioritization!$D:$D,MATCH($B285,Prioritization!$A:$A,0))</f>
        <v>4 - Sustained</v>
      </c>
      <c r="B285" t="s">
        <v>311</v>
      </c>
      <c r="C285" t="s">
        <v>971</v>
      </c>
      <c r="D285" t="s">
        <v>30</v>
      </c>
      <c r="E285" t="str">
        <f t="shared" si="43"/>
        <v>Nkhata Bay District [E7zpfyBt7Tw]|05-09|Female</v>
      </c>
      <c r="G285" s="38"/>
      <c r="H285" s="38"/>
      <c r="I285" s="240"/>
      <c r="J285" s="33"/>
      <c r="K285" s="33"/>
      <c r="L285" s="33">
        <f t="shared" si="44"/>
        <v>1</v>
      </c>
      <c r="M285" s="33">
        <f t="shared" si="45"/>
        <v>0.2</v>
      </c>
      <c r="N285" s="38" t="str">
        <f t="shared" si="52"/>
        <v/>
      </c>
      <c r="O285" s="218" t="str">
        <f t="shared" si="46"/>
        <v/>
      </c>
      <c r="P285" s="218" t="str">
        <f t="shared" si="47"/>
        <v/>
      </c>
      <c r="Q285" s="218" t="str">
        <f t="shared" si="48"/>
        <v/>
      </c>
      <c r="R285" s="218" t="str">
        <f t="shared" si="49"/>
        <v/>
      </c>
      <c r="S285" s="246" t="str">
        <f t="shared" si="50"/>
        <v/>
      </c>
      <c r="T285" s="218" t="str">
        <f t="shared" si="51"/>
        <v/>
      </c>
    </row>
    <row r="286" spans="1:20" x14ac:dyDescent="0.2">
      <c r="A286" t="str">
        <f>INDEX(Prioritization!$D:$D,MATCH($B286,Prioritization!$A:$A,0))</f>
        <v>4 - Sustained</v>
      </c>
      <c r="B286" t="s">
        <v>311</v>
      </c>
      <c r="C286" t="s">
        <v>971</v>
      </c>
      <c r="D286" t="s">
        <v>48</v>
      </c>
      <c r="E286" t="str">
        <f t="shared" si="43"/>
        <v>Nkhata Bay District [E7zpfyBt7Tw]|05-09|Male</v>
      </c>
      <c r="G286" s="38"/>
      <c r="H286" s="38"/>
      <c r="I286" s="240"/>
      <c r="J286" s="33"/>
      <c r="K286" s="33"/>
      <c r="L286" s="33">
        <f t="shared" si="44"/>
        <v>1</v>
      </c>
      <c r="M286" s="33">
        <f t="shared" si="45"/>
        <v>0.2</v>
      </c>
      <c r="N286" s="38" t="str">
        <f t="shared" si="52"/>
        <v/>
      </c>
      <c r="O286" s="218" t="str">
        <f t="shared" si="46"/>
        <v/>
      </c>
      <c r="P286" s="218" t="str">
        <f t="shared" si="47"/>
        <v/>
      </c>
      <c r="Q286" s="218" t="str">
        <f t="shared" si="48"/>
        <v/>
      </c>
      <c r="R286" s="218" t="str">
        <f t="shared" si="49"/>
        <v/>
      </c>
      <c r="S286" s="246" t="str">
        <f t="shared" si="50"/>
        <v/>
      </c>
      <c r="T286" s="237" t="str">
        <f t="shared" si="51"/>
        <v/>
      </c>
    </row>
    <row r="287" spans="1:20" x14ac:dyDescent="0.2">
      <c r="A287" t="str">
        <f>INDEX(Prioritization!$D:$D,MATCH($B287,Prioritization!$A:$A,0))</f>
        <v>4 - Sustained</v>
      </c>
      <c r="B287" t="s">
        <v>311</v>
      </c>
      <c r="C287" t="s">
        <v>474</v>
      </c>
      <c r="D287" t="s">
        <v>30</v>
      </c>
      <c r="E287" t="str">
        <f t="shared" si="43"/>
        <v>Nkhata Bay District [E7zpfyBt7Tw]|10-14|Female</v>
      </c>
      <c r="G287" s="38"/>
      <c r="H287" s="38">
        <v>1</v>
      </c>
      <c r="I287" s="241">
        <v>39</v>
      </c>
      <c r="J287" s="33"/>
      <c r="K287" s="33">
        <v>1</v>
      </c>
      <c r="L287" s="33">
        <f t="shared" si="44"/>
        <v>0</v>
      </c>
      <c r="M287" s="33" t="str">
        <f t="shared" si="45"/>
        <v/>
      </c>
      <c r="N287" s="229">
        <f t="shared" si="52"/>
        <v>40</v>
      </c>
      <c r="O287" s="218" t="str">
        <f t="shared" si="46"/>
        <v/>
      </c>
      <c r="P287" s="218">
        <f t="shared" si="47"/>
        <v>40</v>
      </c>
      <c r="Q287" s="218" t="str">
        <f t="shared" si="48"/>
        <v/>
      </c>
      <c r="R287" s="218" t="str">
        <f t="shared" si="49"/>
        <v/>
      </c>
      <c r="S287" s="246" t="str">
        <f t="shared" si="50"/>
        <v/>
      </c>
      <c r="T287" s="218" t="str">
        <f t="shared" si="51"/>
        <v/>
      </c>
    </row>
    <row r="288" spans="1:20" x14ac:dyDescent="0.2">
      <c r="A288" t="str">
        <f>INDEX(Prioritization!$D:$D,MATCH($B288,Prioritization!$A:$A,0))</f>
        <v>4 - Sustained</v>
      </c>
      <c r="B288" t="s">
        <v>311</v>
      </c>
      <c r="C288" t="s">
        <v>474</v>
      </c>
      <c r="D288" t="s">
        <v>48</v>
      </c>
      <c r="E288" t="str">
        <f t="shared" si="43"/>
        <v>Nkhata Bay District [E7zpfyBt7Tw]|10-14|Male</v>
      </c>
      <c r="G288" s="38"/>
      <c r="H288" s="38">
        <v>1</v>
      </c>
      <c r="I288" s="241">
        <v>29</v>
      </c>
      <c r="J288" s="33"/>
      <c r="K288" s="33">
        <v>1</v>
      </c>
      <c r="L288" s="33">
        <f t="shared" si="44"/>
        <v>0</v>
      </c>
      <c r="M288" s="33" t="str">
        <f t="shared" si="45"/>
        <v/>
      </c>
      <c r="N288" s="229">
        <f t="shared" si="52"/>
        <v>30</v>
      </c>
      <c r="O288" s="218" t="str">
        <f t="shared" si="46"/>
        <v/>
      </c>
      <c r="P288" s="218">
        <f t="shared" si="47"/>
        <v>30</v>
      </c>
      <c r="Q288" s="218" t="str">
        <f t="shared" si="48"/>
        <v/>
      </c>
      <c r="R288" s="218" t="str">
        <f t="shared" si="49"/>
        <v/>
      </c>
      <c r="S288" s="246" t="str">
        <f t="shared" si="50"/>
        <v/>
      </c>
      <c r="T288" s="237" t="str">
        <f t="shared" si="51"/>
        <v/>
      </c>
    </row>
    <row r="289" spans="1:20" x14ac:dyDescent="0.2">
      <c r="A289" t="str">
        <f>INDEX(Prioritization!$D:$D,MATCH($B289,Prioritization!$A:$A,0))</f>
        <v>4 - Sustained</v>
      </c>
      <c r="B289" t="s">
        <v>311</v>
      </c>
      <c r="C289" t="s">
        <v>972</v>
      </c>
      <c r="D289" t="s">
        <v>30</v>
      </c>
      <c r="E289" t="str">
        <f t="shared" si="43"/>
        <v>Nkhata Bay District [E7zpfyBt7Tw]|15-17|Female</v>
      </c>
      <c r="G289" s="38"/>
      <c r="H289" s="38"/>
      <c r="I289" s="240"/>
      <c r="J289" s="33"/>
      <c r="K289" s="33"/>
      <c r="L289" s="33">
        <f t="shared" si="44"/>
        <v>1</v>
      </c>
      <c r="M289" s="33">
        <f t="shared" si="45"/>
        <v>0.2</v>
      </c>
      <c r="N289" s="38" t="str">
        <f t="shared" si="52"/>
        <v/>
      </c>
      <c r="O289" s="218" t="str">
        <f t="shared" si="46"/>
        <v/>
      </c>
      <c r="P289" s="218" t="str">
        <f t="shared" si="47"/>
        <v/>
      </c>
      <c r="Q289" s="218" t="str">
        <f t="shared" si="48"/>
        <v/>
      </c>
      <c r="R289" s="218" t="str">
        <f t="shared" si="49"/>
        <v/>
      </c>
      <c r="S289" s="246" t="str">
        <f t="shared" si="50"/>
        <v/>
      </c>
      <c r="T289" s="218" t="str">
        <f t="shared" si="51"/>
        <v/>
      </c>
    </row>
    <row r="290" spans="1:20" x14ac:dyDescent="0.2">
      <c r="A290" t="str">
        <f>INDEX(Prioritization!$D:$D,MATCH($B290,Prioritization!$A:$A,0))</f>
        <v>4 - Sustained</v>
      </c>
      <c r="B290" t="s">
        <v>311</v>
      </c>
      <c r="C290" t="s">
        <v>972</v>
      </c>
      <c r="D290" t="s">
        <v>48</v>
      </c>
      <c r="E290" t="str">
        <f t="shared" si="43"/>
        <v>Nkhata Bay District [E7zpfyBt7Tw]|15-17|Male</v>
      </c>
      <c r="G290" s="38"/>
      <c r="H290" s="38"/>
      <c r="I290" s="240"/>
      <c r="J290" s="33"/>
      <c r="K290" s="33"/>
      <c r="L290" s="33">
        <f t="shared" si="44"/>
        <v>1</v>
      </c>
      <c r="M290" s="33">
        <f t="shared" si="45"/>
        <v>0.2</v>
      </c>
      <c r="N290" s="38" t="str">
        <f t="shared" si="52"/>
        <v/>
      </c>
      <c r="O290" s="218" t="str">
        <f t="shared" si="46"/>
        <v/>
      </c>
      <c r="P290" s="218" t="str">
        <f t="shared" si="47"/>
        <v/>
      </c>
      <c r="Q290" s="218" t="str">
        <f t="shared" si="48"/>
        <v/>
      </c>
      <c r="R290" s="218" t="str">
        <f t="shared" si="49"/>
        <v/>
      </c>
      <c r="S290" s="246" t="str">
        <f t="shared" si="50"/>
        <v/>
      </c>
      <c r="T290" s="237" t="str">
        <f t="shared" si="51"/>
        <v/>
      </c>
    </row>
    <row r="291" spans="1:20" x14ac:dyDescent="0.2">
      <c r="A291" t="str">
        <f>INDEX(Prioritization!$D:$D,MATCH($B291,Prioritization!$A:$A,0))</f>
        <v>4 - Sustained</v>
      </c>
      <c r="B291" t="s">
        <v>311</v>
      </c>
      <c r="C291" t="s">
        <v>974</v>
      </c>
      <c r="D291" t="s">
        <v>30</v>
      </c>
      <c r="E291" t="str">
        <f t="shared" si="43"/>
        <v>Nkhata Bay District [E7zpfyBt7Tw]|18+|Female</v>
      </c>
      <c r="G291" s="38"/>
      <c r="H291" s="38"/>
      <c r="I291" s="240"/>
      <c r="J291" s="33"/>
      <c r="K291" s="33"/>
      <c r="L291" s="33">
        <f t="shared" si="44"/>
        <v>1</v>
      </c>
      <c r="M291" s="33">
        <f t="shared" si="45"/>
        <v>0.2</v>
      </c>
      <c r="N291" s="38" t="str">
        <f t="shared" si="52"/>
        <v/>
      </c>
      <c r="O291" s="218" t="str">
        <f t="shared" si="46"/>
        <v/>
      </c>
      <c r="P291" s="218" t="str">
        <f t="shared" si="47"/>
        <v/>
      </c>
      <c r="Q291" s="218" t="str">
        <f t="shared" si="48"/>
        <v/>
      </c>
      <c r="R291" s="218" t="str">
        <f t="shared" si="49"/>
        <v/>
      </c>
      <c r="S291" s="246" t="str">
        <f t="shared" si="50"/>
        <v/>
      </c>
      <c r="T291" s="218" t="str">
        <f t="shared" si="51"/>
        <v/>
      </c>
    </row>
    <row r="292" spans="1:20" x14ac:dyDescent="0.2">
      <c r="A292" t="str">
        <f>INDEX(Prioritization!$D:$D,MATCH($B292,Prioritization!$A:$A,0))</f>
        <v>4 - Sustained</v>
      </c>
      <c r="B292" t="s">
        <v>311</v>
      </c>
      <c r="C292" t="s">
        <v>974</v>
      </c>
      <c r="D292" t="s">
        <v>48</v>
      </c>
      <c r="E292" t="str">
        <f t="shared" si="43"/>
        <v>Nkhata Bay District [E7zpfyBt7Tw]|18+|Male</v>
      </c>
      <c r="G292" s="38"/>
      <c r="H292" s="38"/>
      <c r="I292" s="240"/>
      <c r="J292" s="33"/>
      <c r="K292" s="33"/>
      <c r="L292" s="33">
        <f t="shared" si="44"/>
        <v>1</v>
      </c>
      <c r="M292" s="33">
        <f t="shared" si="45"/>
        <v>0.2</v>
      </c>
      <c r="N292" s="38" t="str">
        <f t="shared" si="52"/>
        <v/>
      </c>
      <c r="O292" s="218" t="str">
        <f t="shared" si="46"/>
        <v/>
      </c>
      <c r="P292" s="218" t="str">
        <f t="shared" si="47"/>
        <v/>
      </c>
      <c r="Q292" s="218" t="str">
        <f t="shared" si="48"/>
        <v/>
      </c>
      <c r="R292" s="218" t="str">
        <f t="shared" si="49"/>
        <v/>
      </c>
      <c r="S292" s="246" t="str">
        <f t="shared" si="50"/>
        <v/>
      </c>
      <c r="T292" s="237" t="str">
        <f t="shared" si="51"/>
        <v/>
      </c>
    </row>
    <row r="293" spans="1:20" x14ac:dyDescent="0.2">
      <c r="A293" t="str">
        <f>INDEX(Prioritization!$D:$D,MATCH($B293,Prioritization!$A:$A,0))</f>
        <v>4 - Sustained</v>
      </c>
      <c r="B293" t="s">
        <v>311</v>
      </c>
      <c r="C293" t="s">
        <v>973</v>
      </c>
      <c r="D293" t="s">
        <v>30</v>
      </c>
      <c r="E293" t="str">
        <f t="shared" si="43"/>
        <v>Nkhata Bay District [E7zpfyBt7Tw]|18-20|Female</v>
      </c>
      <c r="G293" s="38"/>
      <c r="H293" s="38"/>
      <c r="I293" s="240"/>
      <c r="J293" s="33"/>
      <c r="K293" s="33"/>
      <c r="L293" s="33">
        <f t="shared" si="44"/>
        <v>1</v>
      </c>
      <c r="M293" s="33">
        <f t="shared" si="45"/>
        <v>0.2</v>
      </c>
      <c r="N293" s="38" t="str">
        <f t="shared" si="52"/>
        <v/>
      </c>
      <c r="O293" s="218" t="str">
        <f t="shared" si="46"/>
        <v/>
      </c>
      <c r="P293" s="218" t="str">
        <f t="shared" si="47"/>
        <v/>
      </c>
      <c r="Q293" s="218" t="str">
        <f t="shared" si="48"/>
        <v/>
      </c>
      <c r="R293" s="218" t="str">
        <f t="shared" si="49"/>
        <v/>
      </c>
      <c r="S293" s="246" t="str">
        <f t="shared" si="50"/>
        <v/>
      </c>
      <c r="T293" s="218" t="str">
        <f t="shared" si="51"/>
        <v/>
      </c>
    </row>
    <row r="294" spans="1:20" x14ac:dyDescent="0.2">
      <c r="A294" t="str">
        <f>INDEX(Prioritization!$D:$D,MATCH($B294,Prioritization!$A:$A,0))</f>
        <v>4 - Sustained</v>
      </c>
      <c r="B294" t="s">
        <v>311</v>
      </c>
      <c r="C294" t="s">
        <v>973</v>
      </c>
      <c r="D294" t="s">
        <v>48</v>
      </c>
      <c r="E294" t="str">
        <f t="shared" si="43"/>
        <v>Nkhata Bay District [E7zpfyBt7Tw]|18-20|Male</v>
      </c>
      <c r="G294" s="38"/>
      <c r="H294" s="38"/>
      <c r="I294" s="240"/>
      <c r="J294" s="33"/>
      <c r="K294" s="33"/>
      <c r="L294" s="33">
        <f t="shared" si="44"/>
        <v>1</v>
      </c>
      <c r="M294" s="33">
        <f t="shared" si="45"/>
        <v>0.2</v>
      </c>
      <c r="N294" s="38" t="str">
        <f t="shared" si="52"/>
        <v/>
      </c>
      <c r="O294" s="218" t="str">
        <f t="shared" si="46"/>
        <v/>
      </c>
      <c r="P294" s="218" t="str">
        <f t="shared" si="47"/>
        <v/>
      </c>
      <c r="Q294" s="218" t="str">
        <f t="shared" si="48"/>
        <v/>
      </c>
      <c r="R294" s="218" t="str">
        <f t="shared" si="49"/>
        <v/>
      </c>
      <c r="S294" s="246" t="str">
        <f t="shared" si="50"/>
        <v/>
      </c>
      <c r="T294" s="237" t="str">
        <f t="shared" si="51"/>
        <v/>
      </c>
    </row>
    <row r="295" spans="1:20" x14ac:dyDescent="0.2">
      <c r="A295" t="str">
        <f>INDEX(Prioritization!$D:$D,MATCH($B295,Prioritization!$A:$A,0))</f>
        <v>4 - Sustained</v>
      </c>
      <c r="B295" t="s">
        <v>303</v>
      </c>
      <c r="C295" t="s">
        <v>426</v>
      </c>
      <c r="D295" t="s">
        <v>30</v>
      </c>
      <c r="E295" t="str">
        <f t="shared" si="43"/>
        <v>Nkhotakota District [YCKiBAp8QAg]|&lt;01|Female</v>
      </c>
      <c r="G295" s="38"/>
      <c r="H295" s="38"/>
      <c r="I295" s="240"/>
      <c r="J295" s="33"/>
      <c r="K295" s="33"/>
      <c r="L295" s="33">
        <f t="shared" si="44"/>
        <v>1</v>
      </c>
      <c r="M295" s="33">
        <f t="shared" si="45"/>
        <v>0.2</v>
      </c>
      <c r="N295" s="38" t="str">
        <f t="shared" si="52"/>
        <v/>
      </c>
      <c r="O295" s="218" t="str">
        <f t="shared" si="46"/>
        <v/>
      </c>
      <c r="P295" s="218" t="str">
        <f t="shared" si="47"/>
        <v/>
      </c>
      <c r="Q295" s="218" t="str">
        <f t="shared" si="48"/>
        <v/>
      </c>
      <c r="R295" s="218" t="str">
        <f t="shared" si="49"/>
        <v/>
      </c>
      <c r="S295" s="246" t="str">
        <f t="shared" si="50"/>
        <v/>
      </c>
      <c r="T295" s="218" t="str">
        <f t="shared" si="51"/>
        <v/>
      </c>
    </row>
    <row r="296" spans="1:20" x14ac:dyDescent="0.2">
      <c r="A296" t="str">
        <f>INDEX(Prioritization!$D:$D,MATCH($B296,Prioritization!$A:$A,0))</f>
        <v>4 - Sustained</v>
      </c>
      <c r="B296" t="s">
        <v>303</v>
      </c>
      <c r="C296" t="s">
        <v>426</v>
      </c>
      <c r="D296" t="s">
        <v>48</v>
      </c>
      <c r="E296" t="str">
        <f t="shared" si="43"/>
        <v>Nkhotakota District [YCKiBAp8QAg]|&lt;01|Male</v>
      </c>
      <c r="G296" s="38"/>
      <c r="H296" s="38"/>
      <c r="I296" s="240"/>
      <c r="J296" s="33"/>
      <c r="K296" s="33"/>
      <c r="L296" s="33">
        <f t="shared" si="44"/>
        <v>1</v>
      </c>
      <c r="M296" s="33">
        <f t="shared" si="45"/>
        <v>0.2</v>
      </c>
      <c r="N296" s="38" t="str">
        <f t="shared" si="52"/>
        <v/>
      </c>
      <c r="O296" s="218" t="str">
        <f t="shared" si="46"/>
        <v/>
      </c>
      <c r="P296" s="218" t="str">
        <f t="shared" si="47"/>
        <v/>
      </c>
      <c r="Q296" s="218" t="str">
        <f t="shared" si="48"/>
        <v/>
      </c>
      <c r="R296" s="218" t="str">
        <f t="shared" si="49"/>
        <v/>
      </c>
      <c r="S296" s="246" t="str">
        <f t="shared" si="50"/>
        <v/>
      </c>
      <c r="T296" s="237" t="str">
        <f t="shared" si="51"/>
        <v/>
      </c>
    </row>
    <row r="297" spans="1:20" x14ac:dyDescent="0.2">
      <c r="A297" t="str">
        <f>INDEX(Prioritization!$D:$D,MATCH($B297,Prioritization!$A:$A,0))</f>
        <v>4 - Sustained</v>
      </c>
      <c r="B297" t="s">
        <v>303</v>
      </c>
      <c r="C297" t="s">
        <v>970</v>
      </c>
      <c r="D297" t="s">
        <v>30</v>
      </c>
      <c r="E297" t="str">
        <f t="shared" si="43"/>
        <v>Nkhotakota District [YCKiBAp8QAg]|01-04|Female</v>
      </c>
      <c r="G297" s="38"/>
      <c r="H297" s="38"/>
      <c r="I297" s="240"/>
      <c r="J297" s="33"/>
      <c r="K297" s="33"/>
      <c r="L297" s="33">
        <f t="shared" si="44"/>
        <v>1</v>
      </c>
      <c r="M297" s="33">
        <f t="shared" si="45"/>
        <v>0.2</v>
      </c>
      <c r="N297" s="38" t="str">
        <f t="shared" si="52"/>
        <v/>
      </c>
      <c r="O297" s="218" t="str">
        <f t="shared" si="46"/>
        <v/>
      </c>
      <c r="P297" s="218" t="str">
        <f t="shared" si="47"/>
        <v/>
      </c>
      <c r="Q297" s="218" t="str">
        <f t="shared" si="48"/>
        <v/>
      </c>
      <c r="R297" s="218" t="str">
        <f t="shared" si="49"/>
        <v/>
      </c>
      <c r="S297" s="246" t="str">
        <f t="shared" si="50"/>
        <v/>
      </c>
      <c r="T297" s="218" t="str">
        <f t="shared" si="51"/>
        <v/>
      </c>
    </row>
    <row r="298" spans="1:20" x14ac:dyDescent="0.2">
      <c r="A298" t="str">
        <f>INDEX(Prioritization!$D:$D,MATCH($B298,Prioritization!$A:$A,0))</f>
        <v>4 - Sustained</v>
      </c>
      <c r="B298" t="s">
        <v>303</v>
      </c>
      <c r="C298" t="s">
        <v>970</v>
      </c>
      <c r="D298" t="s">
        <v>48</v>
      </c>
      <c r="E298" t="str">
        <f t="shared" si="43"/>
        <v>Nkhotakota District [YCKiBAp8QAg]|01-04|Male</v>
      </c>
      <c r="G298" s="38"/>
      <c r="H298" s="38"/>
      <c r="I298" s="240"/>
      <c r="J298" s="33"/>
      <c r="K298" s="33"/>
      <c r="L298" s="33">
        <f t="shared" si="44"/>
        <v>1</v>
      </c>
      <c r="M298" s="33">
        <f t="shared" si="45"/>
        <v>0.2</v>
      </c>
      <c r="N298" s="38" t="str">
        <f t="shared" si="52"/>
        <v/>
      </c>
      <c r="O298" s="218" t="str">
        <f t="shared" si="46"/>
        <v/>
      </c>
      <c r="P298" s="218" t="str">
        <f t="shared" si="47"/>
        <v/>
      </c>
      <c r="Q298" s="218" t="str">
        <f t="shared" si="48"/>
        <v/>
      </c>
      <c r="R298" s="218" t="str">
        <f t="shared" si="49"/>
        <v/>
      </c>
      <c r="S298" s="246" t="str">
        <f t="shared" si="50"/>
        <v/>
      </c>
      <c r="T298" s="237" t="str">
        <f t="shared" si="51"/>
        <v/>
      </c>
    </row>
    <row r="299" spans="1:20" x14ac:dyDescent="0.2">
      <c r="A299" t="str">
        <f>INDEX(Prioritization!$D:$D,MATCH($B299,Prioritization!$A:$A,0))</f>
        <v>4 - Sustained</v>
      </c>
      <c r="B299" t="s">
        <v>303</v>
      </c>
      <c r="C299" t="s">
        <v>971</v>
      </c>
      <c r="D299" t="s">
        <v>30</v>
      </c>
      <c r="E299" t="str">
        <f t="shared" si="43"/>
        <v>Nkhotakota District [YCKiBAp8QAg]|05-09|Female</v>
      </c>
      <c r="G299" s="38"/>
      <c r="H299" s="38"/>
      <c r="I299" s="240"/>
      <c r="J299" s="33"/>
      <c r="K299" s="33"/>
      <c r="L299" s="33">
        <f t="shared" si="44"/>
        <v>1</v>
      </c>
      <c r="M299" s="33">
        <f t="shared" si="45"/>
        <v>0.2</v>
      </c>
      <c r="N299" s="38" t="str">
        <f t="shared" si="52"/>
        <v/>
      </c>
      <c r="O299" s="218" t="str">
        <f t="shared" si="46"/>
        <v/>
      </c>
      <c r="P299" s="218" t="str">
        <f t="shared" si="47"/>
        <v/>
      </c>
      <c r="Q299" s="218" t="str">
        <f t="shared" si="48"/>
        <v/>
      </c>
      <c r="R299" s="218" t="str">
        <f t="shared" si="49"/>
        <v/>
      </c>
      <c r="S299" s="246" t="str">
        <f t="shared" si="50"/>
        <v/>
      </c>
      <c r="T299" s="218" t="str">
        <f t="shared" si="51"/>
        <v/>
      </c>
    </row>
    <row r="300" spans="1:20" x14ac:dyDescent="0.2">
      <c r="A300" t="str">
        <f>INDEX(Prioritization!$D:$D,MATCH($B300,Prioritization!$A:$A,0))</f>
        <v>4 - Sustained</v>
      </c>
      <c r="B300" t="s">
        <v>303</v>
      </c>
      <c r="C300" t="s">
        <v>971</v>
      </c>
      <c r="D300" t="s">
        <v>48</v>
      </c>
      <c r="E300" t="str">
        <f t="shared" si="43"/>
        <v>Nkhotakota District [YCKiBAp8QAg]|05-09|Male</v>
      </c>
      <c r="G300" s="38"/>
      <c r="H300" s="38"/>
      <c r="I300" s="240"/>
      <c r="J300" s="33"/>
      <c r="K300" s="33"/>
      <c r="L300" s="33">
        <f t="shared" si="44"/>
        <v>1</v>
      </c>
      <c r="M300" s="33">
        <f t="shared" si="45"/>
        <v>0.2</v>
      </c>
      <c r="N300" s="38" t="str">
        <f t="shared" si="52"/>
        <v/>
      </c>
      <c r="O300" s="218" t="str">
        <f t="shared" si="46"/>
        <v/>
      </c>
      <c r="P300" s="218" t="str">
        <f t="shared" si="47"/>
        <v/>
      </c>
      <c r="Q300" s="218" t="str">
        <f t="shared" si="48"/>
        <v/>
      </c>
      <c r="R300" s="218" t="str">
        <f t="shared" si="49"/>
        <v/>
      </c>
      <c r="S300" s="246" t="str">
        <f t="shared" si="50"/>
        <v/>
      </c>
      <c r="T300" s="237" t="str">
        <f t="shared" si="51"/>
        <v/>
      </c>
    </row>
    <row r="301" spans="1:20" x14ac:dyDescent="0.2">
      <c r="A301" t="str">
        <f>INDEX(Prioritization!$D:$D,MATCH($B301,Prioritization!$A:$A,0))</f>
        <v>4 - Sustained</v>
      </c>
      <c r="B301" t="s">
        <v>303</v>
      </c>
      <c r="C301" t="s">
        <v>474</v>
      </c>
      <c r="D301" t="s">
        <v>30</v>
      </c>
      <c r="E301" t="str">
        <f t="shared" si="43"/>
        <v>Nkhotakota District [YCKiBAp8QAg]|10-14|Female</v>
      </c>
      <c r="G301" s="38"/>
      <c r="H301" s="38">
        <v>56</v>
      </c>
      <c r="I301" s="241">
        <v>-1</v>
      </c>
      <c r="J301" s="33"/>
      <c r="K301" s="33"/>
      <c r="L301" s="33">
        <f t="shared" si="44"/>
        <v>1</v>
      </c>
      <c r="M301" s="33">
        <f t="shared" si="45"/>
        <v>0.2</v>
      </c>
      <c r="N301" s="38">
        <f t="shared" si="52"/>
        <v>0</v>
      </c>
      <c r="O301" s="218" t="str">
        <f t="shared" si="46"/>
        <v/>
      </c>
      <c r="P301" s="218" t="str">
        <f t="shared" si="47"/>
        <v/>
      </c>
      <c r="Q301" s="218" t="str">
        <f t="shared" si="48"/>
        <v/>
      </c>
      <c r="R301" s="218" t="str">
        <f t="shared" si="49"/>
        <v/>
      </c>
      <c r="S301" s="246" t="str">
        <f t="shared" si="50"/>
        <v/>
      </c>
      <c r="T301" s="218" t="str">
        <f t="shared" si="51"/>
        <v/>
      </c>
    </row>
    <row r="302" spans="1:20" x14ac:dyDescent="0.2">
      <c r="A302" t="str">
        <f>INDEX(Prioritization!$D:$D,MATCH($B302,Prioritization!$A:$A,0))</f>
        <v>4 - Sustained</v>
      </c>
      <c r="B302" t="s">
        <v>303</v>
      </c>
      <c r="C302" t="s">
        <v>474</v>
      </c>
      <c r="D302" t="s">
        <v>48</v>
      </c>
      <c r="E302" t="str">
        <f t="shared" si="43"/>
        <v>Nkhotakota District [YCKiBAp8QAg]|10-14|Male</v>
      </c>
      <c r="G302" s="38"/>
      <c r="H302" s="38">
        <v>44</v>
      </c>
      <c r="I302" s="241">
        <v>-1</v>
      </c>
      <c r="J302" s="33"/>
      <c r="K302" s="33"/>
      <c r="L302" s="33">
        <f t="shared" si="44"/>
        <v>1</v>
      </c>
      <c r="M302" s="33">
        <f t="shared" si="45"/>
        <v>0.2</v>
      </c>
      <c r="N302" s="38">
        <f t="shared" si="52"/>
        <v>0</v>
      </c>
      <c r="O302" s="218" t="str">
        <f t="shared" si="46"/>
        <v/>
      </c>
      <c r="P302" s="218" t="str">
        <f t="shared" si="47"/>
        <v/>
      </c>
      <c r="Q302" s="218" t="str">
        <f t="shared" si="48"/>
        <v/>
      </c>
      <c r="R302" s="218" t="str">
        <f t="shared" si="49"/>
        <v/>
      </c>
      <c r="S302" s="246" t="str">
        <f t="shared" si="50"/>
        <v/>
      </c>
      <c r="T302" s="237" t="str">
        <f t="shared" si="51"/>
        <v/>
      </c>
    </row>
    <row r="303" spans="1:20" x14ac:dyDescent="0.2">
      <c r="A303" t="str">
        <f>INDEX(Prioritization!$D:$D,MATCH($B303,Prioritization!$A:$A,0))</f>
        <v>4 - Sustained</v>
      </c>
      <c r="B303" t="s">
        <v>303</v>
      </c>
      <c r="C303" t="s">
        <v>972</v>
      </c>
      <c r="D303" t="s">
        <v>30</v>
      </c>
      <c r="E303" t="str">
        <f t="shared" si="43"/>
        <v>Nkhotakota District [YCKiBAp8QAg]|15-17|Female</v>
      </c>
      <c r="G303" s="38"/>
      <c r="H303" s="38"/>
      <c r="I303" s="240"/>
      <c r="J303" s="33"/>
      <c r="K303" s="33"/>
      <c r="L303" s="33">
        <f t="shared" si="44"/>
        <v>1</v>
      </c>
      <c r="M303" s="33">
        <f t="shared" si="45"/>
        <v>0.2</v>
      </c>
      <c r="N303" s="38" t="str">
        <f t="shared" si="52"/>
        <v/>
      </c>
      <c r="O303" s="218" t="str">
        <f t="shared" si="46"/>
        <v/>
      </c>
      <c r="P303" s="218" t="str">
        <f t="shared" si="47"/>
        <v/>
      </c>
      <c r="Q303" s="218" t="str">
        <f t="shared" si="48"/>
        <v/>
      </c>
      <c r="R303" s="218" t="str">
        <f t="shared" si="49"/>
        <v/>
      </c>
      <c r="S303" s="246" t="str">
        <f t="shared" si="50"/>
        <v/>
      </c>
      <c r="T303" s="218" t="str">
        <f t="shared" si="51"/>
        <v/>
      </c>
    </row>
    <row r="304" spans="1:20" x14ac:dyDescent="0.2">
      <c r="A304" t="str">
        <f>INDEX(Prioritization!$D:$D,MATCH($B304,Prioritization!$A:$A,0))</f>
        <v>4 - Sustained</v>
      </c>
      <c r="B304" t="s">
        <v>303</v>
      </c>
      <c r="C304" t="s">
        <v>972</v>
      </c>
      <c r="D304" t="s">
        <v>48</v>
      </c>
      <c r="E304" t="str">
        <f t="shared" si="43"/>
        <v>Nkhotakota District [YCKiBAp8QAg]|15-17|Male</v>
      </c>
      <c r="G304" s="38"/>
      <c r="H304" s="38"/>
      <c r="I304" s="240"/>
      <c r="J304" s="33"/>
      <c r="K304" s="33"/>
      <c r="L304" s="33">
        <f t="shared" si="44"/>
        <v>1</v>
      </c>
      <c r="M304" s="33">
        <f t="shared" si="45"/>
        <v>0.2</v>
      </c>
      <c r="N304" s="38" t="str">
        <f t="shared" si="52"/>
        <v/>
      </c>
      <c r="O304" s="218" t="str">
        <f t="shared" si="46"/>
        <v/>
      </c>
      <c r="P304" s="218" t="str">
        <f t="shared" si="47"/>
        <v/>
      </c>
      <c r="Q304" s="218" t="str">
        <f t="shared" si="48"/>
        <v/>
      </c>
      <c r="R304" s="218" t="str">
        <f t="shared" si="49"/>
        <v/>
      </c>
      <c r="S304" s="246" t="str">
        <f t="shared" si="50"/>
        <v/>
      </c>
      <c r="T304" s="237" t="str">
        <f t="shared" si="51"/>
        <v/>
      </c>
    </row>
    <row r="305" spans="1:20" x14ac:dyDescent="0.2">
      <c r="A305" t="str">
        <f>INDEX(Prioritization!$D:$D,MATCH($B305,Prioritization!$A:$A,0))</f>
        <v>4 - Sustained</v>
      </c>
      <c r="B305" t="s">
        <v>303</v>
      </c>
      <c r="C305" t="s">
        <v>974</v>
      </c>
      <c r="D305" t="s">
        <v>30</v>
      </c>
      <c r="E305" t="str">
        <f t="shared" si="43"/>
        <v>Nkhotakota District [YCKiBAp8QAg]|18+|Female</v>
      </c>
      <c r="G305" s="38"/>
      <c r="H305" s="38"/>
      <c r="I305" s="240"/>
      <c r="J305" s="33"/>
      <c r="K305" s="33"/>
      <c r="L305" s="33">
        <f t="shared" si="44"/>
        <v>1</v>
      </c>
      <c r="M305" s="33">
        <f t="shared" si="45"/>
        <v>0.2</v>
      </c>
      <c r="N305" s="38" t="str">
        <f t="shared" si="52"/>
        <v/>
      </c>
      <c r="O305" s="218" t="str">
        <f t="shared" si="46"/>
        <v/>
      </c>
      <c r="P305" s="218" t="str">
        <f t="shared" si="47"/>
        <v/>
      </c>
      <c r="Q305" s="218" t="str">
        <f t="shared" si="48"/>
        <v/>
      </c>
      <c r="R305" s="218" t="str">
        <f t="shared" si="49"/>
        <v/>
      </c>
      <c r="S305" s="246" t="str">
        <f t="shared" si="50"/>
        <v/>
      </c>
      <c r="T305" s="218" t="str">
        <f t="shared" si="51"/>
        <v/>
      </c>
    </row>
    <row r="306" spans="1:20" x14ac:dyDescent="0.2">
      <c r="A306" t="str">
        <f>INDEX(Prioritization!$D:$D,MATCH($B306,Prioritization!$A:$A,0))</f>
        <v>4 - Sustained</v>
      </c>
      <c r="B306" t="s">
        <v>303</v>
      </c>
      <c r="C306" t="s">
        <v>974</v>
      </c>
      <c r="D306" t="s">
        <v>48</v>
      </c>
      <c r="E306" t="str">
        <f t="shared" si="43"/>
        <v>Nkhotakota District [YCKiBAp8QAg]|18+|Male</v>
      </c>
      <c r="G306" s="38"/>
      <c r="H306" s="38"/>
      <c r="I306" s="240"/>
      <c r="J306" s="33"/>
      <c r="K306" s="33"/>
      <c r="L306" s="33">
        <f t="shared" si="44"/>
        <v>1</v>
      </c>
      <c r="M306" s="33">
        <f t="shared" si="45"/>
        <v>0.2</v>
      </c>
      <c r="N306" s="38" t="str">
        <f t="shared" si="52"/>
        <v/>
      </c>
      <c r="O306" s="218" t="str">
        <f t="shared" si="46"/>
        <v/>
      </c>
      <c r="P306" s="218" t="str">
        <f t="shared" si="47"/>
        <v/>
      </c>
      <c r="Q306" s="218" t="str">
        <f t="shared" si="48"/>
        <v/>
      </c>
      <c r="R306" s="218" t="str">
        <f t="shared" si="49"/>
        <v/>
      </c>
      <c r="S306" s="246" t="str">
        <f t="shared" si="50"/>
        <v/>
      </c>
      <c r="T306" s="237" t="str">
        <f t="shared" si="51"/>
        <v/>
      </c>
    </row>
    <row r="307" spans="1:20" x14ac:dyDescent="0.2">
      <c r="A307" t="str">
        <f>INDEX(Prioritization!$D:$D,MATCH($B307,Prioritization!$A:$A,0))</f>
        <v>4 - Sustained</v>
      </c>
      <c r="B307" t="s">
        <v>303</v>
      </c>
      <c r="C307" t="s">
        <v>973</v>
      </c>
      <c r="D307" t="s">
        <v>30</v>
      </c>
      <c r="E307" t="str">
        <f t="shared" si="43"/>
        <v>Nkhotakota District [YCKiBAp8QAg]|18-20|Female</v>
      </c>
      <c r="G307" s="38"/>
      <c r="H307" s="38"/>
      <c r="I307" s="240"/>
      <c r="J307" s="33"/>
      <c r="K307" s="33"/>
      <c r="L307" s="33">
        <f t="shared" si="44"/>
        <v>1</v>
      </c>
      <c r="M307" s="33">
        <f t="shared" si="45"/>
        <v>0.2</v>
      </c>
      <c r="N307" s="38" t="str">
        <f t="shared" si="52"/>
        <v/>
      </c>
      <c r="O307" s="218" t="str">
        <f t="shared" si="46"/>
        <v/>
      </c>
      <c r="P307" s="218" t="str">
        <f t="shared" si="47"/>
        <v/>
      </c>
      <c r="Q307" s="218" t="str">
        <f t="shared" si="48"/>
        <v/>
      </c>
      <c r="R307" s="218" t="str">
        <f t="shared" si="49"/>
        <v/>
      </c>
      <c r="S307" s="246" t="str">
        <f t="shared" si="50"/>
        <v/>
      </c>
      <c r="T307" s="218" t="str">
        <f t="shared" si="51"/>
        <v/>
      </c>
    </row>
    <row r="308" spans="1:20" x14ac:dyDescent="0.2">
      <c r="A308" t="str">
        <f>INDEX(Prioritization!$D:$D,MATCH($B308,Prioritization!$A:$A,0))</f>
        <v>4 - Sustained</v>
      </c>
      <c r="B308" t="s">
        <v>303</v>
      </c>
      <c r="C308" t="s">
        <v>973</v>
      </c>
      <c r="D308" t="s">
        <v>48</v>
      </c>
      <c r="E308" t="str">
        <f t="shared" si="43"/>
        <v>Nkhotakota District [YCKiBAp8QAg]|18-20|Male</v>
      </c>
      <c r="G308" s="38"/>
      <c r="H308" s="38"/>
      <c r="I308" s="240"/>
      <c r="J308" s="33"/>
      <c r="K308" s="33"/>
      <c r="L308" s="33">
        <f t="shared" si="44"/>
        <v>1</v>
      </c>
      <c r="M308" s="33">
        <f t="shared" si="45"/>
        <v>0.2</v>
      </c>
      <c r="N308" s="38" t="str">
        <f t="shared" si="52"/>
        <v/>
      </c>
      <c r="O308" s="218" t="str">
        <f t="shared" si="46"/>
        <v/>
      </c>
      <c r="P308" s="218" t="str">
        <f t="shared" si="47"/>
        <v/>
      </c>
      <c r="Q308" s="218" t="str">
        <f t="shared" si="48"/>
        <v/>
      </c>
      <c r="R308" s="218" t="str">
        <f t="shared" si="49"/>
        <v/>
      </c>
      <c r="S308" s="246" t="str">
        <f t="shared" si="50"/>
        <v/>
      </c>
      <c r="T308" s="237" t="str">
        <f t="shared" si="51"/>
        <v/>
      </c>
    </row>
    <row r="309" spans="1:20" x14ac:dyDescent="0.2">
      <c r="A309" t="str">
        <f>INDEX(Prioritization!$D:$D,MATCH($B309,Prioritization!$A:$A,0))</f>
        <v>INVALID</v>
      </c>
      <c r="B309" t="s">
        <v>322</v>
      </c>
      <c r="C309" t="s">
        <v>426</v>
      </c>
      <c r="D309" t="s">
        <v>30</v>
      </c>
      <c r="E309" t="str">
        <f t="shared" si="43"/>
        <v>Nsanje District [rpw540fmNUz]|&lt;01|Female</v>
      </c>
      <c r="G309" s="38"/>
      <c r="H309" s="38"/>
      <c r="I309" s="240"/>
      <c r="J309" s="33"/>
      <c r="K309" s="33"/>
      <c r="L309" s="33">
        <f t="shared" si="44"/>
        <v>1</v>
      </c>
      <c r="M309" s="33">
        <f t="shared" si="45"/>
        <v>0.2</v>
      </c>
      <c r="N309" s="38" t="str">
        <f t="shared" si="52"/>
        <v/>
      </c>
      <c r="O309" s="218" t="str">
        <f t="shared" si="46"/>
        <v/>
      </c>
      <c r="P309" s="218" t="str">
        <f t="shared" si="47"/>
        <v/>
      </c>
      <c r="Q309" s="218" t="str">
        <f t="shared" si="48"/>
        <v/>
      </c>
      <c r="R309" s="218" t="str">
        <f t="shared" si="49"/>
        <v/>
      </c>
      <c r="S309" s="246" t="str">
        <f t="shared" si="50"/>
        <v/>
      </c>
      <c r="T309" s="218" t="str">
        <f t="shared" si="51"/>
        <v/>
      </c>
    </row>
    <row r="310" spans="1:20" x14ac:dyDescent="0.2">
      <c r="A310" t="str">
        <f>INDEX(Prioritization!$D:$D,MATCH($B310,Prioritization!$A:$A,0))</f>
        <v>INVALID</v>
      </c>
      <c r="B310" t="s">
        <v>322</v>
      </c>
      <c r="C310" t="s">
        <v>426</v>
      </c>
      <c r="D310" t="s">
        <v>48</v>
      </c>
      <c r="E310" t="str">
        <f t="shared" si="43"/>
        <v>Nsanje District [rpw540fmNUz]|&lt;01|Male</v>
      </c>
      <c r="G310" s="38"/>
      <c r="H310" s="38"/>
      <c r="I310" s="240"/>
      <c r="J310" s="33"/>
      <c r="K310" s="33"/>
      <c r="L310" s="33">
        <f t="shared" si="44"/>
        <v>1</v>
      </c>
      <c r="M310" s="33">
        <f t="shared" si="45"/>
        <v>0.2</v>
      </c>
      <c r="N310" s="38" t="str">
        <f t="shared" si="52"/>
        <v/>
      </c>
      <c r="O310" s="218" t="str">
        <f t="shared" si="46"/>
        <v/>
      </c>
      <c r="P310" s="218" t="str">
        <f t="shared" si="47"/>
        <v/>
      </c>
      <c r="Q310" s="218" t="str">
        <f t="shared" si="48"/>
        <v/>
      </c>
      <c r="R310" s="218" t="str">
        <f t="shared" si="49"/>
        <v/>
      </c>
      <c r="S310" s="246" t="str">
        <f t="shared" si="50"/>
        <v/>
      </c>
      <c r="T310" s="237" t="str">
        <f t="shared" si="51"/>
        <v/>
      </c>
    </row>
    <row r="311" spans="1:20" x14ac:dyDescent="0.2">
      <c r="A311" t="str">
        <f>INDEX(Prioritization!$D:$D,MATCH($B311,Prioritization!$A:$A,0))</f>
        <v>INVALID</v>
      </c>
      <c r="B311" t="s">
        <v>322</v>
      </c>
      <c r="C311" t="s">
        <v>970</v>
      </c>
      <c r="D311" t="s">
        <v>30</v>
      </c>
      <c r="E311" t="str">
        <f t="shared" si="43"/>
        <v>Nsanje District [rpw540fmNUz]|01-04|Female</v>
      </c>
      <c r="G311" s="38"/>
      <c r="H311" s="38"/>
      <c r="I311" s="240"/>
      <c r="J311" s="33"/>
      <c r="K311" s="33"/>
      <c r="L311" s="33">
        <f t="shared" si="44"/>
        <v>1</v>
      </c>
      <c r="M311" s="33">
        <f t="shared" si="45"/>
        <v>0.2</v>
      </c>
      <c r="N311" s="38" t="str">
        <f t="shared" si="52"/>
        <v/>
      </c>
      <c r="O311" s="218" t="str">
        <f t="shared" si="46"/>
        <v/>
      </c>
      <c r="P311" s="218" t="str">
        <f t="shared" si="47"/>
        <v/>
      </c>
      <c r="Q311" s="218" t="str">
        <f t="shared" si="48"/>
        <v/>
      </c>
      <c r="R311" s="218" t="str">
        <f t="shared" si="49"/>
        <v/>
      </c>
      <c r="S311" s="246" t="str">
        <f t="shared" si="50"/>
        <v/>
      </c>
      <c r="T311" s="218" t="str">
        <f t="shared" si="51"/>
        <v/>
      </c>
    </row>
    <row r="312" spans="1:20" x14ac:dyDescent="0.2">
      <c r="A312" t="str">
        <f>INDEX(Prioritization!$D:$D,MATCH($B312,Prioritization!$A:$A,0))</f>
        <v>INVALID</v>
      </c>
      <c r="B312" t="s">
        <v>322</v>
      </c>
      <c r="C312" t="s">
        <v>970</v>
      </c>
      <c r="D312" t="s">
        <v>48</v>
      </c>
      <c r="E312" t="str">
        <f t="shared" si="43"/>
        <v>Nsanje District [rpw540fmNUz]|01-04|Male</v>
      </c>
      <c r="G312" s="38"/>
      <c r="H312" s="38"/>
      <c r="I312" s="240"/>
      <c r="J312" s="33"/>
      <c r="K312" s="33"/>
      <c r="L312" s="33">
        <f t="shared" si="44"/>
        <v>1</v>
      </c>
      <c r="M312" s="33">
        <f t="shared" si="45"/>
        <v>0.2</v>
      </c>
      <c r="N312" s="38" t="str">
        <f t="shared" si="52"/>
        <v/>
      </c>
      <c r="O312" s="218" t="str">
        <f t="shared" si="46"/>
        <v/>
      </c>
      <c r="P312" s="218" t="str">
        <f t="shared" si="47"/>
        <v/>
      </c>
      <c r="Q312" s="218" t="str">
        <f t="shared" si="48"/>
        <v/>
      </c>
      <c r="R312" s="218" t="str">
        <f t="shared" si="49"/>
        <v/>
      </c>
      <c r="S312" s="246" t="str">
        <f t="shared" si="50"/>
        <v/>
      </c>
      <c r="T312" s="237" t="str">
        <f t="shared" si="51"/>
        <v/>
      </c>
    </row>
    <row r="313" spans="1:20" x14ac:dyDescent="0.2">
      <c r="A313" t="str">
        <f>INDEX(Prioritization!$D:$D,MATCH($B313,Prioritization!$A:$A,0))</f>
        <v>INVALID</v>
      </c>
      <c r="B313" t="s">
        <v>322</v>
      </c>
      <c r="C313" t="s">
        <v>971</v>
      </c>
      <c r="D313" t="s">
        <v>30</v>
      </c>
      <c r="E313" t="str">
        <f t="shared" si="43"/>
        <v>Nsanje District [rpw540fmNUz]|05-09|Female</v>
      </c>
      <c r="G313" s="38"/>
      <c r="H313" s="38"/>
      <c r="I313" s="240"/>
      <c r="J313" s="33"/>
      <c r="K313" s="33"/>
      <c r="L313" s="33">
        <f t="shared" si="44"/>
        <v>1</v>
      </c>
      <c r="M313" s="33">
        <f t="shared" si="45"/>
        <v>0.2</v>
      </c>
      <c r="N313" s="38" t="str">
        <f t="shared" si="52"/>
        <v/>
      </c>
      <c r="O313" s="218" t="str">
        <f t="shared" si="46"/>
        <v/>
      </c>
      <c r="P313" s="218" t="str">
        <f t="shared" si="47"/>
        <v/>
      </c>
      <c r="Q313" s="218" t="str">
        <f t="shared" si="48"/>
        <v/>
      </c>
      <c r="R313" s="218" t="str">
        <f t="shared" si="49"/>
        <v/>
      </c>
      <c r="S313" s="246" t="str">
        <f t="shared" si="50"/>
        <v/>
      </c>
      <c r="T313" s="218" t="str">
        <f t="shared" si="51"/>
        <v/>
      </c>
    </row>
    <row r="314" spans="1:20" x14ac:dyDescent="0.2">
      <c r="A314" t="str">
        <f>INDEX(Prioritization!$D:$D,MATCH($B314,Prioritization!$A:$A,0))</f>
        <v>INVALID</v>
      </c>
      <c r="B314" t="s">
        <v>322</v>
      </c>
      <c r="C314" t="s">
        <v>971</v>
      </c>
      <c r="D314" t="s">
        <v>48</v>
      </c>
      <c r="E314" t="str">
        <f t="shared" si="43"/>
        <v>Nsanje District [rpw540fmNUz]|05-09|Male</v>
      </c>
      <c r="G314" s="38"/>
      <c r="H314" s="38"/>
      <c r="I314" s="240"/>
      <c r="J314" s="33"/>
      <c r="K314" s="33"/>
      <c r="L314" s="33">
        <f t="shared" si="44"/>
        <v>1</v>
      </c>
      <c r="M314" s="33">
        <f t="shared" si="45"/>
        <v>0.2</v>
      </c>
      <c r="N314" s="38" t="str">
        <f t="shared" si="52"/>
        <v/>
      </c>
      <c r="O314" s="218" t="str">
        <f t="shared" si="46"/>
        <v/>
      </c>
      <c r="P314" s="218" t="str">
        <f t="shared" si="47"/>
        <v/>
      </c>
      <c r="Q314" s="218" t="str">
        <f t="shared" si="48"/>
        <v/>
      </c>
      <c r="R314" s="218" t="str">
        <f t="shared" si="49"/>
        <v/>
      </c>
      <c r="S314" s="246" t="str">
        <f t="shared" si="50"/>
        <v/>
      </c>
      <c r="T314" s="237" t="str">
        <f t="shared" si="51"/>
        <v/>
      </c>
    </row>
    <row r="315" spans="1:20" x14ac:dyDescent="0.2">
      <c r="A315" t="str">
        <f>INDEX(Prioritization!$D:$D,MATCH($B315,Prioritization!$A:$A,0))</f>
        <v>INVALID</v>
      </c>
      <c r="B315" t="s">
        <v>322</v>
      </c>
      <c r="C315" t="s">
        <v>474</v>
      </c>
      <c r="D315" t="s">
        <v>30</v>
      </c>
      <c r="E315" t="str">
        <f t="shared" si="43"/>
        <v>Nsanje District [rpw540fmNUz]|10-14|Female</v>
      </c>
      <c r="G315" s="38">
        <v>4</v>
      </c>
      <c r="H315" s="38"/>
      <c r="I315" s="240"/>
      <c r="J315" s="33"/>
      <c r="K315" s="33"/>
      <c r="L315" s="33">
        <f t="shared" si="44"/>
        <v>1</v>
      </c>
      <c r="M315" s="33">
        <f t="shared" si="45"/>
        <v>0.2</v>
      </c>
      <c r="N315" s="38" t="str">
        <f t="shared" si="52"/>
        <v/>
      </c>
      <c r="O315" s="218" t="str">
        <f t="shared" si="46"/>
        <v/>
      </c>
      <c r="P315" s="218" t="str">
        <f t="shared" si="47"/>
        <v/>
      </c>
      <c r="Q315" s="218" t="str">
        <f t="shared" si="48"/>
        <v/>
      </c>
      <c r="R315" s="218" t="str">
        <f t="shared" si="49"/>
        <v/>
      </c>
      <c r="S315" s="246" t="str">
        <f t="shared" si="50"/>
        <v/>
      </c>
      <c r="T315" s="218" t="str">
        <f t="shared" si="51"/>
        <v/>
      </c>
    </row>
    <row r="316" spans="1:20" x14ac:dyDescent="0.2">
      <c r="A316" t="str">
        <f>INDEX(Prioritization!$D:$D,MATCH($B316,Prioritization!$A:$A,0))</f>
        <v>INVALID</v>
      </c>
      <c r="B316" t="s">
        <v>322</v>
      </c>
      <c r="C316" t="s">
        <v>474</v>
      </c>
      <c r="D316" t="s">
        <v>48</v>
      </c>
      <c r="E316" t="str">
        <f t="shared" si="43"/>
        <v>Nsanje District [rpw540fmNUz]|10-14|Male</v>
      </c>
      <c r="G316" s="38"/>
      <c r="H316" s="38"/>
      <c r="I316" s="240"/>
      <c r="J316" s="33"/>
      <c r="K316" s="33"/>
      <c r="L316" s="33">
        <f t="shared" si="44"/>
        <v>1</v>
      </c>
      <c r="M316" s="33">
        <f t="shared" si="45"/>
        <v>0.2</v>
      </c>
      <c r="N316" s="38" t="str">
        <f t="shared" si="52"/>
        <v/>
      </c>
      <c r="O316" s="218" t="str">
        <f t="shared" si="46"/>
        <v/>
      </c>
      <c r="P316" s="218" t="str">
        <f t="shared" si="47"/>
        <v/>
      </c>
      <c r="Q316" s="218" t="str">
        <f t="shared" si="48"/>
        <v/>
      </c>
      <c r="R316" s="218" t="str">
        <f t="shared" si="49"/>
        <v/>
      </c>
      <c r="S316" s="246" t="str">
        <f t="shared" si="50"/>
        <v/>
      </c>
      <c r="T316" s="237" t="str">
        <f t="shared" si="51"/>
        <v/>
      </c>
    </row>
    <row r="317" spans="1:20" x14ac:dyDescent="0.2">
      <c r="A317" t="str">
        <f>INDEX(Prioritization!$D:$D,MATCH($B317,Prioritization!$A:$A,0))</f>
        <v>INVALID</v>
      </c>
      <c r="B317" t="s">
        <v>322</v>
      </c>
      <c r="C317" t="s">
        <v>972</v>
      </c>
      <c r="D317" t="s">
        <v>30</v>
      </c>
      <c r="E317" t="str">
        <f t="shared" si="43"/>
        <v>Nsanje District [rpw540fmNUz]|15-17|Female</v>
      </c>
      <c r="G317" s="38"/>
      <c r="H317" s="38"/>
      <c r="I317" s="240"/>
      <c r="J317" s="33"/>
      <c r="K317" s="33"/>
      <c r="L317" s="33">
        <f t="shared" si="44"/>
        <v>1</v>
      </c>
      <c r="M317" s="33">
        <f t="shared" si="45"/>
        <v>0.2</v>
      </c>
      <c r="N317" s="38" t="str">
        <f t="shared" si="52"/>
        <v/>
      </c>
      <c r="O317" s="218" t="str">
        <f t="shared" si="46"/>
        <v/>
      </c>
      <c r="P317" s="218" t="str">
        <f t="shared" si="47"/>
        <v/>
      </c>
      <c r="Q317" s="218" t="str">
        <f t="shared" si="48"/>
        <v/>
      </c>
      <c r="R317" s="218" t="str">
        <f t="shared" si="49"/>
        <v/>
      </c>
      <c r="S317" s="246" t="str">
        <f t="shared" si="50"/>
        <v/>
      </c>
      <c r="T317" s="218" t="str">
        <f t="shared" si="51"/>
        <v/>
      </c>
    </row>
    <row r="318" spans="1:20" x14ac:dyDescent="0.2">
      <c r="A318" t="str">
        <f>INDEX(Prioritization!$D:$D,MATCH($B318,Prioritization!$A:$A,0))</f>
        <v>INVALID</v>
      </c>
      <c r="B318" t="s">
        <v>322</v>
      </c>
      <c r="C318" t="s">
        <v>972</v>
      </c>
      <c r="D318" t="s">
        <v>48</v>
      </c>
      <c r="E318" t="str">
        <f t="shared" si="43"/>
        <v>Nsanje District [rpw540fmNUz]|15-17|Male</v>
      </c>
      <c r="G318" s="38"/>
      <c r="H318" s="38"/>
      <c r="I318" s="240"/>
      <c r="J318" s="33"/>
      <c r="K318" s="33"/>
      <c r="L318" s="33">
        <f t="shared" si="44"/>
        <v>1</v>
      </c>
      <c r="M318" s="33">
        <f t="shared" si="45"/>
        <v>0.2</v>
      </c>
      <c r="N318" s="38" t="str">
        <f t="shared" si="52"/>
        <v/>
      </c>
      <c r="O318" s="218" t="str">
        <f t="shared" si="46"/>
        <v/>
      </c>
      <c r="P318" s="218" t="str">
        <f t="shared" si="47"/>
        <v/>
      </c>
      <c r="Q318" s="218" t="str">
        <f t="shared" si="48"/>
        <v/>
      </c>
      <c r="R318" s="218" t="str">
        <f t="shared" si="49"/>
        <v/>
      </c>
      <c r="S318" s="246" t="str">
        <f t="shared" si="50"/>
        <v/>
      </c>
      <c r="T318" s="237" t="str">
        <f t="shared" si="51"/>
        <v/>
      </c>
    </row>
    <row r="319" spans="1:20" x14ac:dyDescent="0.2">
      <c r="A319" t="str">
        <f>INDEX(Prioritization!$D:$D,MATCH($B319,Prioritization!$A:$A,0))</f>
        <v>INVALID</v>
      </c>
      <c r="B319" t="s">
        <v>322</v>
      </c>
      <c r="C319" t="s">
        <v>974</v>
      </c>
      <c r="D319" t="s">
        <v>30</v>
      </c>
      <c r="E319" t="str">
        <f t="shared" si="43"/>
        <v>Nsanje District [rpw540fmNUz]|18+|Female</v>
      </c>
      <c r="G319" s="38"/>
      <c r="H319" s="38"/>
      <c r="I319" s="240"/>
      <c r="J319" s="33"/>
      <c r="K319" s="33"/>
      <c r="L319" s="33">
        <f t="shared" si="44"/>
        <v>1</v>
      </c>
      <c r="M319" s="33">
        <f t="shared" si="45"/>
        <v>0.2</v>
      </c>
      <c r="N319" s="38" t="str">
        <f t="shared" si="52"/>
        <v/>
      </c>
      <c r="O319" s="218" t="str">
        <f t="shared" si="46"/>
        <v/>
      </c>
      <c r="P319" s="218" t="str">
        <f t="shared" si="47"/>
        <v/>
      </c>
      <c r="Q319" s="218" t="str">
        <f t="shared" si="48"/>
        <v/>
      </c>
      <c r="R319" s="218" t="str">
        <f t="shared" si="49"/>
        <v/>
      </c>
      <c r="S319" s="246" t="str">
        <f t="shared" si="50"/>
        <v/>
      </c>
      <c r="T319" s="218" t="str">
        <f t="shared" si="51"/>
        <v/>
      </c>
    </row>
    <row r="320" spans="1:20" x14ac:dyDescent="0.2">
      <c r="A320" t="str">
        <f>INDEX(Prioritization!$D:$D,MATCH($B320,Prioritization!$A:$A,0))</f>
        <v>INVALID</v>
      </c>
      <c r="B320" t="s">
        <v>322</v>
      </c>
      <c r="C320" t="s">
        <v>974</v>
      </c>
      <c r="D320" t="s">
        <v>48</v>
      </c>
      <c r="E320" t="str">
        <f t="shared" si="43"/>
        <v>Nsanje District [rpw540fmNUz]|18+|Male</v>
      </c>
      <c r="G320" s="38"/>
      <c r="H320" s="38"/>
      <c r="I320" s="240"/>
      <c r="J320" s="33"/>
      <c r="K320" s="33"/>
      <c r="L320" s="33">
        <f t="shared" si="44"/>
        <v>1</v>
      </c>
      <c r="M320" s="33">
        <f t="shared" si="45"/>
        <v>0.2</v>
      </c>
      <c r="N320" s="38" t="str">
        <f t="shared" si="52"/>
        <v/>
      </c>
      <c r="O320" s="218" t="str">
        <f t="shared" si="46"/>
        <v/>
      </c>
      <c r="P320" s="218" t="str">
        <f t="shared" si="47"/>
        <v/>
      </c>
      <c r="Q320" s="218" t="str">
        <f t="shared" si="48"/>
        <v/>
      </c>
      <c r="R320" s="218" t="str">
        <f t="shared" si="49"/>
        <v/>
      </c>
      <c r="S320" s="246" t="str">
        <f t="shared" si="50"/>
        <v/>
      </c>
      <c r="T320" s="237" t="str">
        <f t="shared" si="51"/>
        <v/>
      </c>
    </row>
    <row r="321" spans="1:20" x14ac:dyDescent="0.2">
      <c r="A321" t="str">
        <f>INDEX(Prioritization!$D:$D,MATCH($B321,Prioritization!$A:$A,0))</f>
        <v>INVALID</v>
      </c>
      <c r="B321" t="s">
        <v>322</v>
      </c>
      <c r="C321" t="s">
        <v>973</v>
      </c>
      <c r="D321" t="s">
        <v>30</v>
      </c>
      <c r="E321" t="str">
        <f t="shared" si="43"/>
        <v>Nsanje District [rpw540fmNUz]|18-20|Female</v>
      </c>
      <c r="G321" s="38"/>
      <c r="H321" s="38"/>
      <c r="I321" s="240"/>
      <c r="J321" s="33"/>
      <c r="K321" s="33"/>
      <c r="L321" s="33">
        <f t="shared" si="44"/>
        <v>1</v>
      </c>
      <c r="M321" s="33">
        <f t="shared" si="45"/>
        <v>0.2</v>
      </c>
      <c r="N321" s="38" t="str">
        <f t="shared" si="52"/>
        <v/>
      </c>
      <c r="O321" s="218" t="str">
        <f t="shared" si="46"/>
        <v/>
      </c>
      <c r="P321" s="218" t="str">
        <f t="shared" si="47"/>
        <v/>
      </c>
      <c r="Q321" s="218" t="str">
        <f t="shared" si="48"/>
        <v/>
      </c>
      <c r="R321" s="218" t="str">
        <f t="shared" si="49"/>
        <v/>
      </c>
      <c r="S321" s="246" t="str">
        <f t="shared" si="50"/>
        <v/>
      </c>
      <c r="T321" s="218" t="str">
        <f t="shared" si="51"/>
        <v/>
      </c>
    </row>
    <row r="322" spans="1:20" x14ac:dyDescent="0.2">
      <c r="A322" t="str">
        <f>INDEX(Prioritization!$D:$D,MATCH($B322,Prioritization!$A:$A,0))</f>
        <v>INVALID</v>
      </c>
      <c r="B322" t="s">
        <v>322</v>
      </c>
      <c r="C322" t="s">
        <v>973</v>
      </c>
      <c r="D322" t="s">
        <v>48</v>
      </c>
      <c r="E322" t="str">
        <f t="shared" si="43"/>
        <v>Nsanje District [rpw540fmNUz]|18-20|Male</v>
      </c>
      <c r="G322" s="38"/>
      <c r="H322" s="38"/>
      <c r="I322" s="240"/>
      <c r="J322" s="33"/>
      <c r="K322" s="33"/>
      <c r="L322" s="33">
        <f t="shared" si="44"/>
        <v>1</v>
      </c>
      <c r="M322" s="33">
        <f t="shared" si="45"/>
        <v>0.2</v>
      </c>
      <c r="N322" s="38" t="str">
        <f t="shared" si="52"/>
        <v/>
      </c>
      <c r="O322" s="218" t="str">
        <f t="shared" si="46"/>
        <v/>
      </c>
      <c r="P322" s="218" t="str">
        <f t="shared" si="47"/>
        <v/>
      </c>
      <c r="Q322" s="218" t="str">
        <f t="shared" si="48"/>
        <v/>
      </c>
      <c r="R322" s="218" t="str">
        <f t="shared" si="49"/>
        <v/>
      </c>
      <c r="S322" s="246" t="str">
        <f t="shared" si="50"/>
        <v/>
      </c>
      <c r="T322" s="237" t="str">
        <f t="shared" si="51"/>
        <v/>
      </c>
    </row>
    <row r="323" spans="1:20" x14ac:dyDescent="0.2">
      <c r="A323" t="str">
        <f>INDEX(Prioritization!$D:$D,MATCH($B323,Prioritization!$A:$A,0))</f>
        <v>4 - Sustained</v>
      </c>
      <c r="B323" t="s">
        <v>304</v>
      </c>
      <c r="C323" t="s">
        <v>426</v>
      </c>
      <c r="D323" t="s">
        <v>30</v>
      </c>
      <c r="E323" t="str">
        <f t="shared" si="43"/>
        <v>Ntcheu District [am530wpaGvr]|&lt;01|Female</v>
      </c>
      <c r="G323" s="38"/>
      <c r="H323" s="38"/>
      <c r="I323" s="240"/>
      <c r="J323" s="33"/>
      <c r="K323" s="33"/>
      <c r="L323" s="33">
        <f t="shared" si="44"/>
        <v>1</v>
      </c>
      <c r="M323" s="33">
        <f t="shared" si="45"/>
        <v>0.2</v>
      </c>
      <c r="N323" s="38" t="str">
        <f t="shared" si="52"/>
        <v/>
      </c>
      <c r="O323" s="218" t="str">
        <f t="shared" si="46"/>
        <v/>
      </c>
      <c r="P323" s="218" t="str">
        <f t="shared" si="47"/>
        <v/>
      </c>
      <c r="Q323" s="218" t="str">
        <f t="shared" si="48"/>
        <v/>
      </c>
      <c r="R323" s="218" t="str">
        <f t="shared" si="49"/>
        <v/>
      </c>
      <c r="S323" s="246" t="str">
        <f t="shared" si="50"/>
        <v/>
      </c>
      <c r="T323" s="218" t="str">
        <f t="shared" si="51"/>
        <v/>
      </c>
    </row>
    <row r="324" spans="1:20" x14ac:dyDescent="0.2">
      <c r="A324" t="str">
        <f>INDEX(Prioritization!$D:$D,MATCH($B324,Prioritization!$A:$A,0))</f>
        <v>4 - Sustained</v>
      </c>
      <c r="B324" t="s">
        <v>304</v>
      </c>
      <c r="C324" t="s">
        <v>426</v>
      </c>
      <c r="D324" t="s">
        <v>48</v>
      </c>
      <c r="E324" t="str">
        <f t="shared" si="43"/>
        <v>Ntcheu District [am530wpaGvr]|&lt;01|Male</v>
      </c>
      <c r="G324" s="38"/>
      <c r="H324" s="38"/>
      <c r="I324" s="240"/>
      <c r="J324" s="33"/>
      <c r="K324" s="33"/>
      <c r="L324" s="33">
        <f t="shared" si="44"/>
        <v>1</v>
      </c>
      <c r="M324" s="33">
        <f t="shared" si="45"/>
        <v>0.2</v>
      </c>
      <c r="N324" s="38" t="str">
        <f t="shared" si="52"/>
        <v/>
      </c>
      <c r="O324" s="218" t="str">
        <f t="shared" si="46"/>
        <v/>
      </c>
      <c r="P324" s="218" t="str">
        <f t="shared" si="47"/>
        <v/>
      </c>
      <c r="Q324" s="218" t="str">
        <f t="shared" si="48"/>
        <v/>
      </c>
      <c r="R324" s="218" t="str">
        <f t="shared" si="49"/>
        <v/>
      </c>
      <c r="S324" s="246" t="str">
        <f t="shared" si="50"/>
        <v/>
      </c>
      <c r="T324" s="237" t="str">
        <f t="shared" si="51"/>
        <v/>
      </c>
    </row>
    <row r="325" spans="1:20" x14ac:dyDescent="0.2">
      <c r="A325" t="str">
        <f>INDEX(Prioritization!$D:$D,MATCH($B325,Prioritization!$A:$A,0))</f>
        <v>4 - Sustained</v>
      </c>
      <c r="B325" t="s">
        <v>304</v>
      </c>
      <c r="C325" t="s">
        <v>970</v>
      </c>
      <c r="D325" t="s">
        <v>30</v>
      </c>
      <c r="E325" t="str">
        <f t="shared" si="43"/>
        <v>Ntcheu District [am530wpaGvr]|01-04|Female</v>
      </c>
      <c r="G325" s="38"/>
      <c r="H325" s="38"/>
      <c r="I325" s="240"/>
      <c r="J325" s="33"/>
      <c r="K325" s="33"/>
      <c r="L325" s="33">
        <f t="shared" si="44"/>
        <v>1</v>
      </c>
      <c r="M325" s="33">
        <f t="shared" si="45"/>
        <v>0.2</v>
      </c>
      <c r="N325" s="38" t="str">
        <f t="shared" si="52"/>
        <v/>
      </c>
      <c r="O325" s="218" t="str">
        <f t="shared" si="46"/>
        <v/>
      </c>
      <c r="P325" s="218" t="str">
        <f t="shared" si="47"/>
        <v/>
      </c>
      <c r="Q325" s="218" t="str">
        <f t="shared" si="48"/>
        <v/>
      </c>
      <c r="R325" s="218" t="str">
        <f t="shared" si="49"/>
        <v/>
      </c>
      <c r="S325" s="246" t="str">
        <f t="shared" si="50"/>
        <v/>
      </c>
      <c r="T325" s="218" t="str">
        <f t="shared" si="51"/>
        <v/>
      </c>
    </row>
    <row r="326" spans="1:20" x14ac:dyDescent="0.2">
      <c r="A326" t="str">
        <f>INDEX(Prioritization!$D:$D,MATCH($B326,Prioritization!$A:$A,0))</f>
        <v>4 - Sustained</v>
      </c>
      <c r="B326" t="s">
        <v>304</v>
      </c>
      <c r="C326" t="s">
        <v>970</v>
      </c>
      <c r="D326" t="s">
        <v>48</v>
      </c>
      <c r="E326" t="str">
        <f t="shared" si="43"/>
        <v>Ntcheu District [am530wpaGvr]|01-04|Male</v>
      </c>
      <c r="G326" s="38"/>
      <c r="H326" s="38"/>
      <c r="I326" s="240"/>
      <c r="J326" s="33"/>
      <c r="K326" s="33"/>
      <c r="L326" s="33">
        <f t="shared" si="44"/>
        <v>1</v>
      </c>
      <c r="M326" s="33">
        <f t="shared" si="45"/>
        <v>0.2</v>
      </c>
      <c r="N326" s="38" t="str">
        <f t="shared" si="52"/>
        <v/>
      </c>
      <c r="O326" s="218" t="str">
        <f t="shared" si="46"/>
        <v/>
      </c>
      <c r="P326" s="218" t="str">
        <f t="shared" si="47"/>
        <v/>
      </c>
      <c r="Q326" s="218" t="str">
        <f t="shared" si="48"/>
        <v/>
      </c>
      <c r="R326" s="218" t="str">
        <f t="shared" si="49"/>
        <v/>
      </c>
      <c r="S326" s="246" t="str">
        <f t="shared" si="50"/>
        <v/>
      </c>
      <c r="T326" s="237" t="str">
        <f t="shared" si="51"/>
        <v/>
      </c>
    </row>
    <row r="327" spans="1:20" x14ac:dyDescent="0.2">
      <c r="A327" t="str">
        <f>INDEX(Prioritization!$D:$D,MATCH($B327,Prioritization!$A:$A,0))</f>
        <v>4 - Sustained</v>
      </c>
      <c r="B327" t="s">
        <v>304</v>
      </c>
      <c r="C327" t="s">
        <v>971</v>
      </c>
      <c r="D327" t="s">
        <v>30</v>
      </c>
      <c r="E327" t="str">
        <f t="shared" si="43"/>
        <v>Ntcheu District [am530wpaGvr]|05-09|Female</v>
      </c>
      <c r="G327" s="38"/>
      <c r="H327" s="38"/>
      <c r="I327" s="240"/>
      <c r="J327" s="33"/>
      <c r="K327" s="33"/>
      <c r="L327" s="33">
        <f t="shared" si="44"/>
        <v>1</v>
      </c>
      <c r="M327" s="33">
        <f t="shared" si="45"/>
        <v>0.2</v>
      </c>
      <c r="N327" s="38" t="str">
        <f t="shared" si="52"/>
        <v/>
      </c>
      <c r="O327" s="218" t="str">
        <f t="shared" si="46"/>
        <v/>
      </c>
      <c r="P327" s="218" t="str">
        <f t="shared" si="47"/>
        <v/>
      </c>
      <c r="Q327" s="218" t="str">
        <f t="shared" si="48"/>
        <v/>
      </c>
      <c r="R327" s="218" t="str">
        <f t="shared" si="49"/>
        <v/>
      </c>
      <c r="S327" s="246" t="str">
        <f t="shared" si="50"/>
        <v/>
      </c>
      <c r="T327" s="218" t="str">
        <f t="shared" si="51"/>
        <v/>
      </c>
    </row>
    <row r="328" spans="1:20" x14ac:dyDescent="0.2">
      <c r="A328" t="str">
        <f>INDEX(Prioritization!$D:$D,MATCH($B328,Prioritization!$A:$A,0))</f>
        <v>4 - Sustained</v>
      </c>
      <c r="B328" t="s">
        <v>304</v>
      </c>
      <c r="C328" t="s">
        <v>971</v>
      </c>
      <c r="D328" t="s">
        <v>48</v>
      </c>
      <c r="E328" t="str">
        <f t="shared" si="43"/>
        <v>Ntcheu District [am530wpaGvr]|05-09|Male</v>
      </c>
      <c r="G328" s="38"/>
      <c r="H328" s="38"/>
      <c r="I328" s="240"/>
      <c r="J328" s="33"/>
      <c r="K328" s="33"/>
      <c r="L328" s="33">
        <f t="shared" si="44"/>
        <v>1</v>
      </c>
      <c r="M328" s="33">
        <f t="shared" si="45"/>
        <v>0.2</v>
      </c>
      <c r="N328" s="38" t="str">
        <f t="shared" si="52"/>
        <v/>
      </c>
      <c r="O328" s="218" t="str">
        <f t="shared" si="46"/>
        <v/>
      </c>
      <c r="P328" s="218" t="str">
        <f t="shared" si="47"/>
        <v/>
      </c>
      <c r="Q328" s="218" t="str">
        <f t="shared" si="48"/>
        <v/>
      </c>
      <c r="R328" s="218" t="str">
        <f t="shared" si="49"/>
        <v/>
      </c>
      <c r="S328" s="246" t="str">
        <f t="shared" si="50"/>
        <v/>
      </c>
      <c r="T328" s="237" t="str">
        <f t="shared" si="51"/>
        <v/>
      </c>
    </row>
    <row r="329" spans="1:20" x14ac:dyDescent="0.2">
      <c r="A329" t="str">
        <f>INDEX(Prioritization!$D:$D,MATCH($B329,Prioritization!$A:$A,0))</f>
        <v>4 - Sustained</v>
      </c>
      <c r="B329" t="s">
        <v>304</v>
      </c>
      <c r="C329" t="s">
        <v>474</v>
      </c>
      <c r="D329" t="s">
        <v>30</v>
      </c>
      <c r="E329" t="str">
        <f t="shared" si="43"/>
        <v>Ntcheu District [am530wpaGvr]|10-14|Female</v>
      </c>
      <c r="G329" s="38"/>
      <c r="H329" s="38">
        <v>56</v>
      </c>
      <c r="I329" s="241">
        <v>-1</v>
      </c>
      <c r="J329" s="33"/>
      <c r="K329" s="33"/>
      <c r="L329" s="33">
        <f t="shared" si="44"/>
        <v>1</v>
      </c>
      <c r="M329" s="33">
        <f t="shared" si="45"/>
        <v>0.2</v>
      </c>
      <c r="N329" s="38">
        <f t="shared" si="52"/>
        <v>0</v>
      </c>
      <c r="O329" s="218" t="str">
        <f t="shared" si="46"/>
        <v/>
      </c>
      <c r="P329" s="218" t="str">
        <f t="shared" si="47"/>
        <v/>
      </c>
      <c r="Q329" s="218" t="str">
        <f t="shared" si="48"/>
        <v/>
      </c>
      <c r="R329" s="218" t="str">
        <f t="shared" si="49"/>
        <v/>
      </c>
      <c r="S329" s="246" t="str">
        <f t="shared" si="50"/>
        <v/>
      </c>
      <c r="T329" s="218" t="str">
        <f t="shared" si="51"/>
        <v/>
      </c>
    </row>
    <row r="330" spans="1:20" x14ac:dyDescent="0.2">
      <c r="A330" t="str">
        <f>INDEX(Prioritization!$D:$D,MATCH($B330,Prioritization!$A:$A,0))</f>
        <v>4 - Sustained</v>
      </c>
      <c r="B330" t="s">
        <v>304</v>
      </c>
      <c r="C330" t="s">
        <v>474</v>
      </c>
      <c r="D330" t="s">
        <v>48</v>
      </c>
      <c r="E330" t="str">
        <f t="shared" si="43"/>
        <v>Ntcheu District [am530wpaGvr]|10-14|Male</v>
      </c>
      <c r="G330" s="38"/>
      <c r="H330" s="38">
        <v>44</v>
      </c>
      <c r="I330" s="241">
        <v>-1</v>
      </c>
      <c r="J330" s="33"/>
      <c r="K330" s="33"/>
      <c r="L330" s="33">
        <f t="shared" si="44"/>
        <v>1</v>
      </c>
      <c r="M330" s="33">
        <f t="shared" si="45"/>
        <v>0.2</v>
      </c>
      <c r="N330" s="38">
        <f t="shared" si="52"/>
        <v>0</v>
      </c>
      <c r="O330" s="218" t="str">
        <f t="shared" si="46"/>
        <v/>
      </c>
      <c r="P330" s="218" t="str">
        <f t="shared" si="47"/>
        <v/>
      </c>
      <c r="Q330" s="218" t="str">
        <f t="shared" si="48"/>
        <v/>
      </c>
      <c r="R330" s="218" t="str">
        <f t="shared" si="49"/>
        <v/>
      </c>
      <c r="S330" s="246" t="str">
        <f t="shared" si="50"/>
        <v/>
      </c>
      <c r="T330" s="237" t="str">
        <f t="shared" si="51"/>
        <v/>
      </c>
    </row>
    <row r="331" spans="1:20" x14ac:dyDescent="0.2">
      <c r="A331" t="str">
        <f>INDEX(Prioritization!$D:$D,MATCH($B331,Prioritization!$A:$A,0))</f>
        <v>4 - Sustained</v>
      </c>
      <c r="B331" t="s">
        <v>304</v>
      </c>
      <c r="C331" t="s">
        <v>972</v>
      </c>
      <c r="D331" t="s">
        <v>30</v>
      </c>
      <c r="E331" t="str">
        <f t="shared" si="43"/>
        <v>Ntcheu District [am530wpaGvr]|15-17|Female</v>
      </c>
      <c r="G331" s="38"/>
      <c r="H331" s="38"/>
      <c r="I331" s="240"/>
      <c r="J331" s="33"/>
      <c r="K331" s="33"/>
      <c r="L331" s="33">
        <f t="shared" si="44"/>
        <v>1</v>
      </c>
      <c r="M331" s="33">
        <f t="shared" si="45"/>
        <v>0.2</v>
      </c>
      <c r="N331" s="38" t="str">
        <f t="shared" si="52"/>
        <v/>
      </c>
      <c r="O331" s="218" t="str">
        <f t="shared" si="46"/>
        <v/>
      </c>
      <c r="P331" s="218" t="str">
        <f t="shared" si="47"/>
        <v/>
      </c>
      <c r="Q331" s="218" t="str">
        <f t="shared" si="48"/>
        <v/>
      </c>
      <c r="R331" s="218" t="str">
        <f t="shared" si="49"/>
        <v/>
      </c>
      <c r="S331" s="246" t="str">
        <f t="shared" si="50"/>
        <v/>
      </c>
      <c r="T331" s="218" t="str">
        <f t="shared" si="51"/>
        <v/>
      </c>
    </row>
    <row r="332" spans="1:20" x14ac:dyDescent="0.2">
      <c r="A332" t="str">
        <f>INDEX(Prioritization!$D:$D,MATCH($B332,Prioritization!$A:$A,0))</f>
        <v>4 - Sustained</v>
      </c>
      <c r="B332" t="s">
        <v>304</v>
      </c>
      <c r="C332" t="s">
        <v>972</v>
      </c>
      <c r="D332" t="s">
        <v>48</v>
      </c>
      <c r="E332" t="str">
        <f t="shared" si="43"/>
        <v>Ntcheu District [am530wpaGvr]|15-17|Male</v>
      </c>
      <c r="G332" s="38"/>
      <c r="H332" s="38"/>
      <c r="I332" s="240"/>
      <c r="J332" s="33"/>
      <c r="K332" s="33"/>
      <c r="L332" s="33">
        <f t="shared" si="44"/>
        <v>1</v>
      </c>
      <c r="M332" s="33">
        <f t="shared" si="45"/>
        <v>0.2</v>
      </c>
      <c r="N332" s="38" t="str">
        <f t="shared" si="52"/>
        <v/>
      </c>
      <c r="O332" s="218" t="str">
        <f t="shared" si="46"/>
        <v/>
      </c>
      <c r="P332" s="218" t="str">
        <f t="shared" si="47"/>
        <v/>
      </c>
      <c r="Q332" s="218" t="str">
        <f t="shared" si="48"/>
        <v/>
      </c>
      <c r="R332" s="218" t="str">
        <f t="shared" si="49"/>
        <v/>
      </c>
      <c r="S332" s="246" t="str">
        <f t="shared" si="50"/>
        <v/>
      </c>
      <c r="T332" s="237" t="str">
        <f t="shared" si="51"/>
        <v/>
      </c>
    </row>
    <row r="333" spans="1:20" x14ac:dyDescent="0.2">
      <c r="A333" t="str">
        <f>INDEX(Prioritization!$D:$D,MATCH($B333,Prioritization!$A:$A,0))</f>
        <v>4 - Sustained</v>
      </c>
      <c r="B333" t="s">
        <v>304</v>
      </c>
      <c r="C333" t="s">
        <v>974</v>
      </c>
      <c r="D333" t="s">
        <v>30</v>
      </c>
      <c r="E333" t="str">
        <f t="shared" si="43"/>
        <v>Ntcheu District [am530wpaGvr]|18+|Female</v>
      </c>
      <c r="G333" s="38"/>
      <c r="H333" s="38"/>
      <c r="I333" s="240"/>
      <c r="J333" s="33"/>
      <c r="K333" s="33"/>
      <c r="L333" s="33">
        <f t="shared" si="44"/>
        <v>1</v>
      </c>
      <c r="M333" s="33">
        <f t="shared" si="45"/>
        <v>0.2</v>
      </c>
      <c r="N333" s="38" t="str">
        <f t="shared" si="52"/>
        <v/>
      </c>
      <c r="O333" s="218" t="str">
        <f t="shared" si="46"/>
        <v/>
      </c>
      <c r="P333" s="218" t="str">
        <f t="shared" si="47"/>
        <v/>
      </c>
      <c r="Q333" s="218" t="str">
        <f t="shared" si="48"/>
        <v/>
      </c>
      <c r="R333" s="218" t="str">
        <f t="shared" si="49"/>
        <v/>
      </c>
      <c r="S333" s="246" t="str">
        <f t="shared" si="50"/>
        <v/>
      </c>
      <c r="T333" s="218" t="str">
        <f t="shared" si="51"/>
        <v/>
      </c>
    </row>
    <row r="334" spans="1:20" x14ac:dyDescent="0.2">
      <c r="A334" t="str">
        <f>INDEX(Prioritization!$D:$D,MATCH($B334,Prioritization!$A:$A,0))</f>
        <v>4 - Sustained</v>
      </c>
      <c r="B334" t="s">
        <v>304</v>
      </c>
      <c r="C334" t="s">
        <v>974</v>
      </c>
      <c r="D334" t="s">
        <v>48</v>
      </c>
      <c r="E334" t="str">
        <f t="shared" si="43"/>
        <v>Ntcheu District [am530wpaGvr]|18+|Male</v>
      </c>
      <c r="G334" s="38"/>
      <c r="H334" s="38"/>
      <c r="I334" s="240"/>
      <c r="J334" s="33"/>
      <c r="K334" s="33"/>
      <c r="L334" s="33">
        <f t="shared" si="44"/>
        <v>1</v>
      </c>
      <c r="M334" s="33">
        <f t="shared" si="45"/>
        <v>0.2</v>
      </c>
      <c r="N334" s="38" t="str">
        <f t="shared" si="52"/>
        <v/>
      </c>
      <c r="O334" s="218" t="str">
        <f t="shared" si="46"/>
        <v/>
      </c>
      <c r="P334" s="218" t="str">
        <f t="shared" si="47"/>
        <v/>
      </c>
      <c r="Q334" s="218" t="str">
        <f t="shared" si="48"/>
        <v/>
      </c>
      <c r="R334" s="218" t="str">
        <f t="shared" si="49"/>
        <v/>
      </c>
      <c r="S334" s="246" t="str">
        <f t="shared" si="50"/>
        <v/>
      </c>
      <c r="T334" s="237" t="str">
        <f t="shared" si="51"/>
        <v/>
      </c>
    </row>
    <row r="335" spans="1:20" x14ac:dyDescent="0.2">
      <c r="A335" t="str">
        <f>INDEX(Prioritization!$D:$D,MATCH($B335,Prioritization!$A:$A,0))</f>
        <v>4 - Sustained</v>
      </c>
      <c r="B335" t="s">
        <v>304</v>
      </c>
      <c r="C335" t="s">
        <v>973</v>
      </c>
      <c r="D335" t="s">
        <v>30</v>
      </c>
      <c r="E335" t="str">
        <f t="shared" ref="E335:E398" si="53">$B335&amp;"|"&amp;$C335&amp;"|"&amp;$D335</f>
        <v>Ntcheu District [am530wpaGvr]|18-20|Female</v>
      </c>
      <c r="G335" s="38"/>
      <c r="H335" s="38"/>
      <c r="I335" s="240"/>
      <c r="J335" s="33"/>
      <c r="K335" s="33"/>
      <c r="L335" s="33">
        <f t="shared" ref="L335:L398" si="54">1-SUM(J335:K335)</f>
        <v>1</v>
      </c>
      <c r="M335" s="33">
        <f t="shared" ref="M335:M398" si="55">IF(SUM($L335)=0,"",20%)</f>
        <v>0.2</v>
      </c>
      <c r="N335" s="38" t="str">
        <f t="shared" si="52"/>
        <v/>
      </c>
      <c r="O335" s="218" t="str">
        <f t="shared" ref="O335:O398" si="56">IF(OR(SUM($N335)=0,SUM($J335)=0,NOT(AND($D335="Female",$F335="Y",OR($C335="10-14",$C335="15-17")))),"",ROUND($N335*$J335,0))</f>
        <v/>
      </c>
      <c r="P335" s="218" t="str">
        <f t="shared" ref="P335:P398" si="57">IF(OR(SUM($N335)=0,SUM($K335)=0,NOT(OR($C335="10-14",$C335="05-09"))),"",ROUND($N335*$K335,0))</f>
        <v/>
      </c>
      <c r="Q335" s="218" t="str">
        <f t="shared" ref="Q335:Q398" si="58">IFERROR(1/(1/ROUND($N335*$L335*$M335,0)),"")</f>
        <v/>
      </c>
      <c r="R335" s="218" t="str">
        <f t="shared" ref="R335:R398" si="59">IFERROR(1/(1/(ROUND($N335*$L335,0)-$Q335)),"")</f>
        <v/>
      </c>
      <c r="S335" s="246" t="str">
        <f t="shared" ref="S335:S398" si="60">IF(OR($C335="18+",SUM($Q335,$R335)=0),"",100%)</f>
        <v/>
      </c>
      <c r="T335" s="218" t="str">
        <f t="shared" ref="T335:T398" si="61">IF(OR($C335="18+",SUM($Q335,$R335)=0),"",ROUND(SUM($Q335,$R335)*$S335,0))</f>
        <v/>
      </c>
    </row>
    <row r="336" spans="1:20" x14ac:dyDescent="0.2">
      <c r="A336" t="str">
        <f>INDEX(Prioritization!$D:$D,MATCH($B336,Prioritization!$A:$A,0))</f>
        <v>4 - Sustained</v>
      </c>
      <c r="B336" t="s">
        <v>304</v>
      </c>
      <c r="C336" t="s">
        <v>973</v>
      </c>
      <c r="D336" t="s">
        <v>48</v>
      </c>
      <c r="E336" t="str">
        <f t="shared" si="53"/>
        <v>Ntcheu District [am530wpaGvr]|18-20|Male</v>
      </c>
      <c r="G336" s="38"/>
      <c r="H336" s="38"/>
      <c r="I336" s="240"/>
      <c r="J336" s="33"/>
      <c r="K336" s="33"/>
      <c r="L336" s="33">
        <f t="shared" si="54"/>
        <v>1</v>
      </c>
      <c r="M336" s="33">
        <f t="shared" si="55"/>
        <v>0.2</v>
      </c>
      <c r="N336" s="38" t="str">
        <f t="shared" ref="N336:N399" si="62">IF(SUM($H336)=0,"",ROUND($H336*(1+$I336),0))</f>
        <v/>
      </c>
      <c r="O336" s="218" t="str">
        <f t="shared" si="56"/>
        <v/>
      </c>
      <c r="P336" s="218" t="str">
        <f t="shared" si="57"/>
        <v/>
      </c>
      <c r="Q336" s="218" t="str">
        <f t="shared" si="58"/>
        <v/>
      </c>
      <c r="R336" s="218" t="str">
        <f t="shared" si="59"/>
        <v/>
      </c>
      <c r="S336" s="246" t="str">
        <f t="shared" si="60"/>
        <v/>
      </c>
      <c r="T336" s="237" t="str">
        <f t="shared" si="61"/>
        <v/>
      </c>
    </row>
    <row r="337" spans="1:20" x14ac:dyDescent="0.2">
      <c r="A337" t="str">
        <f>INDEX(Prioritization!$D:$D,MATCH($B337,Prioritization!$A:$A,0))</f>
        <v>4 - Sustained</v>
      </c>
      <c r="B337" t="s">
        <v>305</v>
      </c>
      <c r="C337" t="s">
        <v>426</v>
      </c>
      <c r="D337" t="s">
        <v>30</v>
      </c>
      <c r="E337" t="str">
        <f t="shared" si="53"/>
        <v>Ntchisi District [fiRkU6gEjLz]|&lt;01|Female</v>
      </c>
      <c r="G337" s="38"/>
      <c r="H337" s="38"/>
      <c r="I337" s="240"/>
      <c r="J337" s="33"/>
      <c r="K337" s="33"/>
      <c r="L337" s="33">
        <f t="shared" si="54"/>
        <v>1</v>
      </c>
      <c r="M337" s="33">
        <f t="shared" si="55"/>
        <v>0.2</v>
      </c>
      <c r="N337" s="38" t="str">
        <f t="shared" si="62"/>
        <v/>
      </c>
      <c r="O337" s="218" t="str">
        <f t="shared" si="56"/>
        <v/>
      </c>
      <c r="P337" s="218" t="str">
        <f t="shared" si="57"/>
        <v/>
      </c>
      <c r="Q337" s="218" t="str">
        <f t="shared" si="58"/>
        <v/>
      </c>
      <c r="R337" s="218" t="str">
        <f t="shared" si="59"/>
        <v/>
      </c>
      <c r="S337" s="246" t="str">
        <f t="shared" si="60"/>
        <v/>
      </c>
      <c r="T337" s="218" t="str">
        <f t="shared" si="61"/>
        <v/>
      </c>
    </row>
    <row r="338" spans="1:20" x14ac:dyDescent="0.2">
      <c r="A338" t="str">
        <f>INDEX(Prioritization!$D:$D,MATCH($B338,Prioritization!$A:$A,0))</f>
        <v>4 - Sustained</v>
      </c>
      <c r="B338" t="s">
        <v>305</v>
      </c>
      <c r="C338" t="s">
        <v>426</v>
      </c>
      <c r="D338" t="s">
        <v>48</v>
      </c>
      <c r="E338" t="str">
        <f t="shared" si="53"/>
        <v>Ntchisi District [fiRkU6gEjLz]|&lt;01|Male</v>
      </c>
      <c r="G338" s="38"/>
      <c r="H338" s="38"/>
      <c r="I338" s="240"/>
      <c r="J338" s="33"/>
      <c r="K338" s="33"/>
      <c r="L338" s="33">
        <f t="shared" si="54"/>
        <v>1</v>
      </c>
      <c r="M338" s="33">
        <f t="shared" si="55"/>
        <v>0.2</v>
      </c>
      <c r="N338" s="38" t="str">
        <f t="shared" si="62"/>
        <v/>
      </c>
      <c r="O338" s="218" t="str">
        <f t="shared" si="56"/>
        <v/>
      </c>
      <c r="P338" s="218" t="str">
        <f t="shared" si="57"/>
        <v/>
      </c>
      <c r="Q338" s="218" t="str">
        <f t="shared" si="58"/>
        <v/>
      </c>
      <c r="R338" s="218" t="str">
        <f t="shared" si="59"/>
        <v/>
      </c>
      <c r="S338" s="246" t="str">
        <f t="shared" si="60"/>
        <v/>
      </c>
      <c r="T338" s="237" t="str">
        <f t="shared" si="61"/>
        <v/>
      </c>
    </row>
    <row r="339" spans="1:20" x14ac:dyDescent="0.2">
      <c r="A339" t="str">
        <f>INDEX(Prioritization!$D:$D,MATCH($B339,Prioritization!$A:$A,0))</f>
        <v>4 - Sustained</v>
      </c>
      <c r="B339" t="s">
        <v>305</v>
      </c>
      <c r="C339" t="s">
        <v>970</v>
      </c>
      <c r="D339" t="s">
        <v>30</v>
      </c>
      <c r="E339" t="str">
        <f t="shared" si="53"/>
        <v>Ntchisi District [fiRkU6gEjLz]|01-04|Female</v>
      </c>
      <c r="G339" s="38"/>
      <c r="H339" s="38"/>
      <c r="I339" s="240"/>
      <c r="J339" s="33"/>
      <c r="K339" s="33"/>
      <c r="L339" s="33">
        <f t="shared" si="54"/>
        <v>1</v>
      </c>
      <c r="M339" s="33">
        <f t="shared" si="55"/>
        <v>0.2</v>
      </c>
      <c r="N339" s="38" t="str">
        <f t="shared" si="62"/>
        <v/>
      </c>
      <c r="O339" s="218" t="str">
        <f t="shared" si="56"/>
        <v/>
      </c>
      <c r="P339" s="218" t="str">
        <f t="shared" si="57"/>
        <v/>
      </c>
      <c r="Q339" s="218" t="str">
        <f t="shared" si="58"/>
        <v/>
      </c>
      <c r="R339" s="218" t="str">
        <f t="shared" si="59"/>
        <v/>
      </c>
      <c r="S339" s="246" t="str">
        <f t="shared" si="60"/>
        <v/>
      </c>
      <c r="T339" s="218" t="str">
        <f t="shared" si="61"/>
        <v/>
      </c>
    </row>
    <row r="340" spans="1:20" x14ac:dyDescent="0.2">
      <c r="A340" t="str">
        <f>INDEX(Prioritization!$D:$D,MATCH($B340,Prioritization!$A:$A,0))</f>
        <v>4 - Sustained</v>
      </c>
      <c r="B340" t="s">
        <v>305</v>
      </c>
      <c r="C340" t="s">
        <v>970</v>
      </c>
      <c r="D340" t="s">
        <v>48</v>
      </c>
      <c r="E340" t="str">
        <f t="shared" si="53"/>
        <v>Ntchisi District [fiRkU6gEjLz]|01-04|Male</v>
      </c>
      <c r="G340" s="38"/>
      <c r="H340" s="38"/>
      <c r="I340" s="240"/>
      <c r="J340" s="33"/>
      <c r="K340" s="33"/>
      <c r="L340" s="33">
        <f t="shared" si="54"/>
        <v>1</v>
      </c>
      <c r="M340" s="33">
        <f t="shared" si="55"/>
        <v>0.2</v>
      </c>
      <c r="N340" s="38" t="str">
        <f t="shared" si="62"/>
        <v/>
      </c>
      <c r="O340" s="218" t="str">
        <f t="shared" si="56"/>
        <v/>
      </c>
      <c r="P340" s="218" t="str">
        <f t="shared" si="57"/>
        <v/>
      </c>
      <c r="Q340" s="218" t="str">
        <f t="shared" si="58"/>
        <v/>
      </c>
      <c r="R340" s="218" t="str">
        <f t="shared" si="59"/>
        <v/>
      </c>
      <c r="S340" s="246" t="str">
        <f t="shared" si="60"/>
        <v/>
      </c>
      <c r="T340" s="237" t="str">
        <f t="shared" si="61"/>
        <v/>
      </c>
    </row>
    <row r="341" spans="1:20" x14ac:dyDescent="0.2">
      <c r="A341" t="str">
        <f>INDEX(Prioritization!$D:$D,MATCH($B341,Prioritization!$A:$A,0))</f>
        <v>4 - Sustained</v>
      </c>
      <c r="B341" t="s">
        <v>305</v>
      </c>
      <c r="C341" t="s">
        <v>971</v>
      </c>
      <c r="D341" t="s">
        <v>30</v>
      </c>
      <c r="E341" t="str">
        <f t="shared" si="53"/>
        <v>Ntchisi District [fiRkU6gEjLz]|05-09|Female</v>
      </c>
      <c r="G341" s="38"/>
      <c r="H341" s="38"/>
      <c r="I341" s="240"/>
      <c r="J341" s="33"/>
      <c r="K341" s="33"/>
      <c r="L341" s="33">
        <f t="shared" si="54"/>
        <v>1</v>
      </c>
      <c r="M341" s="33">
        <f t="shared" si="55"/>
        <v>0.2</v>
      </c>
      <c r="N341" s="38" t="str">
        <f t="shared" si="62"/>
        <v/>
      </c>
      <c r="O341" s="218" t="str">
        <f t="shared" si="56"/>
        <v/>
      </c>
      <c r="P341" s="218" t="str">
        <f t="shared" si="57"/>
        <v/>
      </c>
      <c r="Q341" s="218" t="str">
        <f t="shared" si="58"/>
        <v/>
      </c>
      <c r="R341" s="218" t="str">
        <f t="shared" si="59"/>
        <v/>
      </c>
      <c r="S341" s="246" t="str">
        <f t="shared" si="60"/>
        <v/>
      </c>
      <c r="T341" s="218" t="str">
        <f t="shared" si="61"/>
        <v/>
      </c>
    </row>
    <row r="342" spans="1:20" x14ac:dyDescent="0.2">
      <c r="A342" t="str">
        <f>INDEX(Prioritization!$D:$D,MATCH($B342,Prioritization!$A:$A,0))</f>
        <v>4 - Sustained</v>
      </c>
      <c r="B342" t="s">
        <v>305</v>
      </c>
      <c r="C342" t="s">
        <v>971</v>
      </c>
      <c r="D342" t="s">
        <v>48</v>
      </c>
      <c r="E342" t="str">
        <f t="shared" si="53"/>
        <v>Ntchisi District [fiRkU6gEjLz]|05-09|Male</v>
      </c>
      <c r="G342" s="38"/>
      <c r="H342" s="38"/>
      <c r="I342" s="240"/>
      <c r="J342" s="33"/>
      <c r="K342" s="33"/>
      <c r="L342" s="33">
        <f t="shared" si="54"/>
        <v>1</v>
      </c>
      <c r="M342" s="33">
        <f t="shared" si="55"/>
        <v>0.2</v>
      </c>
      <c r="N342" s="38" t="str">
        <f t="shared" si="62"/>
        <v/>
      </c>
      <c r="O342" s="218" t="str">
        <f t="shared" si="56"/>
        <v/>
      </c>
      <c r="P342" s="218" t="str">
        <f t="shared" si="57"/>
        <v/>
      </c>
      <c r="Q342" s="218" t="str">
        <f t="shared" si="58"/>
        <v/>
      </c>
      <c r="R342" s="218" t="str">
        <f t="shared" si="59"/>
        <v/>
      </c>
      <c r="S342" s="246" t="str">
        <f t="shared" si="60"/>
        <v/>
      </c>
      <c r="T342" s="237" t="str">
        <f t="shared" si="61"/>
        <v/>
      </c>
    </row>
    <row r="343" spans="1:20" x14ac:dyDescent="0.2">
      <c r="A343" t="str">
        <f>INDEX(Prioritization!$D:$D,MATCH($B343,Prioritization!$A:$A,0))</f>
        <v>4 - Sustained</v>
      </c>
      <c r="B343" t="s">
        <v>305</v>
      </c>
      <c r="C343" t="s">
        <v>474</v>
      </c>
      <c r="D343" t="s">
        <v>30</v>
      </c>
      <c r="E343" t="str">
        <f t="shared" si="53"/>
        <v>Ntchisi District [fiRkU6gEjLz]|10-14|Female</v>
      </c>
      <c r="G343" s="38"/>
      <c r="H343" s="38">
        <v>1</v>
      </c>
      <c r="I343" s="241">
        <v>39</v>
      </c>
      <c r="J343" s="33"/>
      <c r="K343" s="33">
        <v>1</v>
      </c>
      <c r="L343" s="33">
        <f t="shared" si="54"/>
        <v>0</v>
      </c>
      <c r="M343" s="33" t="str">
        <f t="shared" si="55"/>
        <v/>
      </c>
      <c r="N343" s="229">
        <f t="shared" si="62"/>
        <v>40</v>
      </c>
      <c r="O343" s="218" t="str">
        <f t="shared" si="56"/>
        <v/>
      </c>
      <c r="P343" s="218">
        <f t="shared" si="57"/>
        <v>40</v>
      </c>
      <c r="Q343" s="218" t="str">
        <f t="shared" si="58"/>
        <v/>
      </c>
      <c r="R343" s="218" t="str">
        <f t="shared" si="59"/>
        <v/>
      </c>
      <c r="S343" s="246" t="str">
        <f t="shared" si="60"/>
        <v/>
      </c>
      <c r="T343" s="218" t="str">
        <f t="shared" si="61"/>
        <v/>
      </c>
    </row>
    <row r="344" spans="1:20" x14ac:dyDescent="0.2">
      <c r="A344" t="str">
        <f>INDEX(Prioritization!$D:$D,MATCH($B344,Prioritization!$A:$A,0))</f>
        <v>4 - Sustained</v>
      </c>
      <c r="B344" t="s">
        <v>305</v>
      </c>
      <c r="C344" t="s">
        <v>474</v>
      </c>
      <c r="D344" t="s">
        <v>48</v>
      </c>
      <c r="E344" t="str">
        <f t="shared" si="53"/>
        <v>Ntchisi District [fiRkU6gEjLz]|10-14|Male</v>
      </c>
      <c r="G344" s="38"/>
      <c r="H344" s="38">
        <v>1</v>
      </c>
      <c r="I344" s="241">
        <v>29</v>
      </c>
      <c r="J344" s="33"/>
      <c r="K344" s="33">
        <v>1</v>
      </c>
      <c r="L344" s="33">
        <f t="shared" si="54"/>
        <v>0</v>
      </c>
      <c r="M344" s="33" t="str">
        <f t="shared" si="55"/>
        <v/>
      </c>
      <c r="N344" s="229">
        <f t="shared" si="62"/>
        <v>30</v>
      </c>
      <c r="O344" s="218" t="str">
        <f t="shared" si="56"/>
        <v/>
      </c>
      <c r="P344" s="218">
        <f t="shared" si="57"/>
        <v>30</v>
      </c>
      <c r="Q344" s="218" t="str">
        <f t="shared" si="58"/>
        <v/>
      </c>
      <c r="R344" s="218" t="str">
        <f t="shared" si="59"/>
        <v/>
      </c>
      <c r="S344" s="246" t="str">
        <f t="shared" si="60"/>
        <v/>
      </c>
      <c r="T344" s="237" t="str">
        <f t="shared" si="61"/>
        <v/>
      </c>
    </row>
    <row r="345" spans="1:20" x14ac:dyDescent="0.2">
      <c r="A345" t="str">
        <f>INDEX(Prioritization!$D:$D,MATCH($B345,Prioritization!$A:$A,0))</f>
        <v>4 - Sustained</v>
      </c>
      <c r="B345" t="s">
        <v>305</v>
      </c>
      <c r="C345" t="s">
        <v>972</v>
      </c>
      <c r="D345" t="s">
        <v>30</v>
      </c>
      <c r="E345" t="str">
        <f t="shared" si="53"/>
        <v>Ntchisi District [fiRkU6gEjLz]|15-17|Female</v>
      </c>
      <c r="G345" s="38"/>
      <c r="H345" s="38"/>
      <c r="I345" s="240"/>
      <c r="J345" s="33"/>
      <c r="K345" s="33"/>
      <c r="L345" s="33">
        <f t="shared" si="54"/>
        <v>1</v>
      </c>
      <c r="M345" s="33">
        <f t="shared" si="55"/>
        <v>0.2</v>
      </c>
      <c r="N345" s="38" t="str">
        <f t="shared" si="62"/>
        <v/>
      </c>
      <c r="O345" s="218" t="str">
        <f t="shared" si="56"/>
        <v/>
      </c>
      <c r="P345" s="218" t="str">
        <f t="shared" si="57"/>
        <v/>
      </c>
      <c r="Q345" s="218" t="str">
        <f t="shared" si="58"/>
        <v/>
      </c>
      <c r="R345" s="218" t="str">
        <f t="shared" si="59"/>
        <v/>
      </c>
      <c r="S345" s="246" t="str">
        <f t="shared" si="60"/>
        <v/>
      </c>
      <c r="T345" s="218" t="str">
        <f t="shared" si="61"/>
        <v/>
      </c>
    </row>
    <row r="346" spans="1:20" x14ac:dyDescent="0.2">
      <c r="A346" t="str">
        <f>INDEX(Prioritization!$D:$D,MATCH($B346,Prioritization!$A:$A,0))</f>
        <v>4 - Sustained</v>
      </c>
      <c r="B346" t="s">
        <v>305</v>
      </c>
      <c r="C346" t="s">
        <v>972</v>
      </c>
      <c r="D346" t="s">
        <v>48</v>
      </c>
      <c r="E346" t="str">
        <f t="shared" si="53"/>
        <v>Ntchisi District [fiRkU6gEjLz]|15-17|Male</v>
      </c>
      <c r="G346" s="38"/>
      <c r="H346" s="38"/>
      <c r="I346" s="240"/>
      <c r="J346" s="33"/>
      <c r="K346" s="33"/>
      <c r="L346" s="33">
        <f t="shared" si="54"/>
        <v>1</v>
      </c>
      <c r="M346" s="33">
        <f t="shared" si="55"/>
        <v>0.2</v>
      </c>
      <c r="N346" s="38" t="str">
        <f t="shared" si="62"/>
        <v/>
      </c>
      <c r="O346" s="218" t="str">
        <f t="shared" si="56"/>
        <v/>
      </c>
      <c r="P346" s="218" t="str">
        <f t="shared" si="57"/>
        <v/>
      </c>
      <c r="Q346" s="218" t="str">
        <f t="shared" si="58"/>
        <v/>
      </c>
      <c r="R346" s="218" t="str">
        <f t="shared" si="59"/>
        <v/>
      </c>
      <c r="S346" s="246" t="str">
        <f t="shared" si="60"/>
        <v/>
      </c>
      <c r="T346" s="237" t="str">
        <f t="shared" si="61"/>
        <v/>
      </c>
    </row>
    <row r="347" spans="1:20" x14ac:dyDescent="0.2">
      <c r="A347" t="str">
        <f>INDEX(Prioritization!$D:$D,MATCH($B347,Prioritization!$A:$A,0))</f>
        <v>4 - Sustained</v>
      </c>
      <c r="B347" t="s">
        <v>305</v>
      </c>
      <c r="C347" t="s">
        <v>974</v>
      </c>
      <c r="D347" t="s">
        <v>30</v>
      </c>
      <c r="E347" t="str">
        <f t="shared" si="53"/>
        <v>Ntchisi District [fiRkU6gEjLz]|18+|Female</v>
      </c>
      <c r="G347" s="38"/>
      <c r="H347" s="38"/>
      <c r="I347" s="240"/>
      <c r="J347" s="33"/>
      <c r="K347" s="33"/>
      <c r="L347" s="33">
        <f t="shared" si="54"/>
        <v>1</v>
      </c>
      <c r="M347" s="33">
        <f t="shared" si="55"/>
        <v>0.2</v>
      </c>
      <c r="N347" s="38" t="str">
        <f t="shared" si="62"/>
        <v/>
      </c>
      <c r="O347" s="218" t="str">
        <f t="shared" si="56"/>
        <v/>
      </c>
      <c r="P347" s="218" t="str">
        <f t="shared" si="57"/>
        <v/>
      </c>
      <c r="Q347" s="218" t="str">
        <f t="shared" si="58"/>
        <v/>
      </c>
      <c r="R347" s="218" t="str">
        <f t="shared" si="59"/>
        <v/>
      </c>
      <c r="S347" s="246" t="str">
        <f t="shared" si="60"/>
        <v/>
      </c>
      <c r="T347" s="218" t="str">
        <f t="shared" si="61"/>
        <v/>
      </c>
    </row>
    <row r="348" spans="1:20" x14ac:dyDescent="0.2">
      <c r="A348" t="str">
        <f>INDEX(Prioritization!$D:$D,MATCH($B348,Prioritization!$A:$A,0))</f>
        <v>4 - Sustained</v>
      </c>
      <c r="B348" t="s">
        <v>305</v>
      </c>
      <c r="C348" t="s">
        <v>974</v>
      </c>
      <c r="D348" t="s">
        <v>48</v>
      </c>
      <c r="E348" t="str">
        <f t="shared" si="53"/>
        <v>Ntchisi District [fiRkU6gEjLz]|18+|Male</v>
      </c>
      <c r="G348" s="38"/>
      <c r="H348" s="38"/>
      <c r="I348" s="240"/>
      <c r="J348" s="33"/>
      <c r="K348" s="33"/>
      <c r="L348" s="33">
        <f t="shared" si="54"/>
        <v>1</v>
      </c>
      <c r="M348" s="33">
        <f t="shared" si="55"/>
        <v>0.2</v>
      </c>
      <c r="N348" s="38" t="str">
        <f t="shared" si="62"/>
        <v/>
      </c>
      <c r="O348" s="218" t="str">
        <f t="shared" si="56"/>
        <v/>
      </c>
      <c r="P348" s="218" t="str">
        <f t="shared" si="57"/>
        <v/>
      </c>
      <c r="Q348" s="218" t="str">
        <f t="shared" si="58"/>
        <v/>
      </c>
      <c r="R348" s="218" t="str">
        <f t="shared" si="59"/>
        <v/>
      </c>
      <c r="S348" s="246" t="str">
        <f t="shared" si="60"/>
        <v/>
      </c>
      <c r="T348" s="237" t="str">
        <f t="shared" si="61"/>
        <v/>
      </c>
    </row>
    <row r="349" spans="1:20" x14ac:dyDescent="0.2">
      <c r="A349" t="str">
        <f>INDEX(Prioritization!$D:$D,MATCH($B349,Prioritization!$A:$A,0))</f>
        <v>4 - Sustained</v>
      </c>
      <c r="B349" t="s">
        <v>305</v>
      </c>
      <c r="C349" t="s">
        <v>973</v>
      </c>
      <c r="D349" t="s">
        <v>30</v>
      </c>
      <c r="E349" t="str">
        <f t="shared" si="53"/>
        <v>Ntchisi District [fiRkU6gEjLz]|18-20|Female</v>
      </c>
      <c r="G349" s="38"/>
      <c r="H349" s="38"/>
      <c r="I349" s="240"/>
      <c r="J349" s="33"/>
      <c r="K349" s="33"/>
      <c r="L349" s="33">
        <f t="shared" si="54"/>
        <v>1</v>
      </c>
      <c r="M349" s="33">
        <f t="shared" si="55"/>
        <v>0.2</v>
      </c>
      <c r="N349" s="38" t="str">
        <f t="shared" si="62"/>
        <v/>
      </c>
      <c r="O349" s="218" t="str">
        <f t="shared" si="56"/>
        <v/>
      </c>
      <c r="P349" s="218" t="str">
        <f t="shared" si="57"/>
        <v/>
      </c>
      <c r="Q349" s="218" t="str">
        <f t="shared" si="58"/>
        <v/>
      </c>
      <c r="R349" s="218" t="str">
        <f t="shared" si="59"/>
        <v/>
      </c>
      <c r="S349" s="246" t="str">
        <f t="shared" si="60"/>
        <v/>
      </c>
      <c r="T349" s="218" t="str">
        <f t="shared" si="61"/>
        <v/>
      </c>
    </row>
    <row r="350" spans="1:20" x14ac:dyDescent="0.2">
      <c r="A350" t="str">
        <f>INDEX(Prioritization!$D:$D,MATCH($B350,Prioritization!$A:$A,0))</f>
        <v>4 - Sustained</v>
      </c>
      <c r="B350" t="s">
        <v>305</v>
      </c>
      <c r="C350" t="s">
        <v>973</v>
      </c>
      <c r="D350" t="s">
        <v>48</v>
      </c>
      <c r="E350" t="str">
        <f t="shared" si="53"/>
        <v>Ntchisi District [fiRkU6gEjLz]|18-20|Male</v>
      </c>
      <c r="G350" s="38"/>
      <c r="H350" s="38"/>
      <c r="I350" s="240"/>
      <c r="J350" s="33"/>
      <c r="K350" s="33"/>
      <c r="L350" s="33">
        <f t="shared" si="54"/>
        <v>1</v>
      </c>
      <c r="M350" s="33">
        <f t="shared" si="55"/>
        <v>0.2</v>
      </c>
      <c r="N350" s="38" t="str">
        <f t="shared" si="62"/>
        <v/>
      </c>
      <c r="O350" s="218" t="str">
        <f t="shared" si="56"/>
        <v/>
      </c>
      <c r="P350" s="218" t="str">
        <f t="shared" si="57"/>
        <v/>
      </c>
      <c r="Q350" s="218" t="str">
        <f t="shared" si="58"/>
        <v/>
      </c>
      <c r="R350" s="218" t="str">
        <f t="shared" si="59"/>
        <v/>
      </c>
      <c r="S350" s="246" t="str">
        <f t="shared" si="60"/>
        <v/>
      </c>
      <c r="T350" s="237" t="str">
        <f t="shared" si="61"/>
        <v/>
      </c>
    </row>
    <row r="351" spans="1:20" x14ac:dyDescent="0.2">
      <c r="A351" t="str">
        <f>INDEX(Prioritization!$D:$D,MATCH($B351,Prioritization!$A:$A,0))</f>
        <v>INVALID</v>
      </c>
      <c r="B351" t="s">
        <v>323</v>
      </c>
      <c r="C351" t="s">
        <v>426</v>
      </c>
      <c r="D351" t="s">
        <v>30</v>
      </c>
      <c r="E351" t="str">
        <f t="shared" si="53"/>
        <v>Phalombe District [AZyWpGzhcaA]|&lt;01|Female</v>
      </c>
      <c r="F351" t="s">
        <v>1380</v>
      </c>
      <c r="G351" s="38">
        <v>65</v>
      </c>
      <c r="H351" s="38">
        <v>262</v>
      </c>
      <c r="I351" s="241">
        <v>-0.94274809199999998</v>
      </c>
      <c r="J351" s="33"/>
      <c r="K351" s="33"/>
      <c r="L351" s="33">
        <f t="shared" si="54"/>
        <v>1</v>
      </c>
      <c r="M351" s="33">
        <f t="shared" si="55"/>
        <v>0.2</v>
      </c>
      <c r="N351" s="38">
        <f t="shared" si="62"/>
        <v>15</v>
      </c>
      <c r="O351" s="218" t="str">
        <f t="shared" si="56"/>
        <v/>
      </c>
      <c r="P351" s="218" t="str">
        <f t="shared" si="57"/>
        <v/>
      </c>
      <c r="Q351" s="218">
        <f t="shared" si="58"/>
        <v>3</v>
      </c>
      <c r="R351" s="218">
        <f t="shared" si="59"/>
        <v>12</v>
      </c>
      <c r="S351" s="246">
        <f t="shared" si="60"/>
        <v>1</v>
      </c>
      <c r="T351" s="218">
        <f t="shared" si="61"/>
        <v>15</v>
      </c>
    </row>
    <row r="352" spans="1:20" x14ac:dyDescent="0.2">
      <c r="A352" t="str">
        <f>INDEX(Prioritization!$D:$D,MATCH($B352,Prioritization!$A:$A,0))</f>
        <v>INVALID</v>
      </c>
      <c r="B352" t="s">
        <v>323</v>
      </c>
      <c r="C352" t="s">
        <v>426</v>
      </c>
      <c r="D352" t="s">
        <v>48</v>
      </c>
      <c r="E352" t="str">
        <f t="shared" si="53"/>
        <v>Phalombe District [AZyWpGzhcaA]|&lt;01|Male</v>
      </c>
      <c r="F352" t="s">
        <v>1380</v>
      </c>
      <c r="G352" s="38">
        <v>47</v>
      </c>
      <c r="H352" s="38">
        <v>262</v>
      </c>
      <c r="I352" s="241">
        <v>-0.94274809199999998</v>
      </c>
      <c r="J352" s="33"/>
      <c r="K352" s="33"/>
      <c r="L352" s="33">
        <f t="shared" si="54"/>
        <v>1</v>
      </c>
      <c r="M352" s="33">
        <f t="shared" si="55"/>
        <v>0.2</v>
      </c>
      <c r="N352" s="38">
        <f t="shared" si="62"/>
        <v>15</v>
      </c>
      <c r="O352" s="218" t="str">
        <f t="shared" si="56"/>
        <v/>
      </c>
      <c r="P352" s="218" t="str">
        <f t="shared" si="57"/>
        <v/>
      </c>
      <c r="Q352" s="218">
        <f t="shared" si="58"/>
        <v>3</v>
      </c>
      <c r="R352" s="218">
        <f t="shared" si="59"/>
        <v>12</v>
      </c>
      <c r="S352" s="246">
        <f t="shared" si="60"/>
        <v>1</v>
      </c>
      <c r="T352" s="237">
        <f t="shared" si="61"/>
        <v>15</v>
      </c>
    </row>
    <row r="353" spans="1:20" x14ac:dyDescent="0.2">
      <c r="A353" t="str">
        <f>INDEX(Prioritization!$D:$D,MATCH($B353,Prioritization!$A:$A,0))</f>
        <v>INVALID</v>
      </c>
      <c r="B353" t="s">
        <v>323</v>
      </c>
      <c r="C353" t="s">
        <v>970</v>
      </c>
      <c r="D353" t="s">
        <v>30</v>
      </c>
      <c r="E353" t="str">
        <f t="shared" si="53"/>
        <v>Phalombe District [AZyWpGzhcaA]|01-04|Female</v>
      </c>
      <c r="F353" t="s">
        <v>1380</v>
      </c>
      <c r="G353" s="38">
        <v>167</v>
      </c>
      <c r="H353" s="38">
        <v>389</v>
      </c>
      <c r="I353" s="241">
        <v>3.5989716999999997E-2</v>
      </c>
      <c r="J353" s="33"/>
      <c r="K353" s="33"/>
      <c r="L353" s="33">
        <f t="shared" si="54"/>
        <v>1</v>
      </c>
      <c r="M353" s="33">
        <f t="shared" si="55"/>
        <v>0.2</v>
      </c>
      <c r="N353" s="38">
        <f t="shared" si="62"/>
        <v>403</v>
      </c>
      <c r="O353" s="218" t="str">
        <f t="shared" si="56"/>
        <v/>
      </c>
      <c r="P353" s="218" t="str">
        <f t="shared" si="57"/>
        <v/>
      </c>
      <c r="Q353" s="218">
        <f t="shared" si="58"/>
        <v>81</v>
      </c>
      <c r="R353" s="218">
        <f t="shared" si="59"/>
        <v>322</v>
      </c>
      <c r="S353" s="246">
        <f t="shared" si="60"/>
        <v>1</v>
      </c>
      <c r="T353" s="218">
        <f t="shared" si="61"/>
        <v>403</v>
      </c>
    </row>
    <row r="354" spans="1:20" x14ac:dyDescent="0.2">
      <c r="A354" t="str">
        <f>INDEX(Prioritization!$D:$D,MATCH($B354,Prioritization!$A:$A,0))</f>
        <v>INVALID</v>
      </c>
      <c r="B354" t="s">
        <v>323</v>
      </c>
      <c r="C354" t="s">
        <v>970</v>
      </c>
      <c r="D354" t="s">
        <v>48</v>
      </c>
      <c r="E354" t="str">
        <f t="shared" si="53"/>
        <v>Phalombe District [AZyWpGzhcaA]|01-04|Male</v>
      </c>
      <c r="F354" t="s">
        <v>1380</v>
      </c>
      <c r="G354" s="38">
        <v>762</v>
      </c>
      <c r="H354" s="38">
        <v>396</v>
      </c>
      <c r="I354" s="241">
        <v>1.0101010000000001E-2</v>
      </c>
      <c r="J354" s="33"/>
      <c r="K354" s="33"/>
      <c r="L354" s="33">
        <f t="shared" si="54"/>
        <v>1</v>
      </c>
      <c r="M354" s="33">
        <f t="shared" si="55"/>
        <v>0.2</v>
      </c>
      <c r="N354" s="38">
        <f t="shared" si="62"/>
        <v>400</v>
      </c>
      <c r="O354" s="218" t="str">
        <f t="shared" si="56"/>
        <v/>
      </c>
      <c r="P354" s="218" t="str">
        <f t="shared" si="57"/>
        <v/>
      </c>
      <c r="Q354" s="218">
        <f t="shared" si="58"/>
        <v>80</v>
      </c>
      <c r="R354" s="218">
        <f t="shared" si="59"/>
        <v>320</v>
      </c>
      <c r="S354" s="246">
        <f t="shared" si="60"/>
        <v>1</v>
      </c>
      <c r="T354" s="237">
        <f t="shared" si="61"/>
        <v>400</v>
      </c>
    </row>
    <row r="355" spans="1:20" x14ac:dyDescent="0.2">
      <c r="A355" t="str">
        <f>INDEX(Prioritization!$D:$D,MATCH($B355,Prioritization!$A:$A,0))</f>
        <v>INVALID</v>
      </c>
      <c r="B355" t="s">
        <v>323</v>
      </c>
      <c r="C355" t="s">
        <v>971</v>
      </c>
      <c r="D355" t="s">
        <v>30</v>
      </c>
      <c r="E355" t="str">
        <f t="shared" si="53"/>
        <v>Phalombe District [AZyWpGzhcaA]|05-09|Female</v>
      </c>
      <c r="F355" t="s">
        <v>1380</v>
      </c>
      <c r="G355" s="38">
        <v>965</v>
      </c>
      <c r="H355" s="38">
        <v>389</v>
      </c>
      <c r="I355" s="241">
        <v>3.5989716999999997E-2</v>
      </c>
      <c r="J355" s="33"/>
      <c r="K355" s="33"/>
      <c r="L355" s="33">
        <f t="shared" si="54"/>
        <v>1</v>
      </c>
      <c r="M355" s="33">
        <f t="shared" si="55"/>
        <v>0.2</v>
      </c>
      <c r="N355" s="38">
        <f t="shared" si="62"/>
        <v>403</v>
      </c>
      <c r="O355" s="218" t="str">
        <f t="shared" si="56"/>
        <v/>
      </c>
      <c r="P355" s="218" t="str">
        <f t="shared" si="57"/>
        <v/>
      </c>
      <c r="Q355" s="218">
        <f t="shared" si="58"/>
        <v>81</v>
      </c>
      <c r="R355" s="218">
        <f t="shared" si="59"/>
        <v>322</v>
      </c>
      <c r="S355" s="246">
        <f t="shared" si="60"/>
        <v>1</v>
      </c>
      <c r="T355" s="218">
        <f t="shared" si="61"/>
        <v>403</v>
      </c>
    </row>
    <row r="356" spans="1:20" x14ac:dyDescent="0.2">
      <c r="A356" t="str">
        <f>INDEX(Prioritization!$D:$D,MATCH($B356,Prioritization!$A:$A,0))</f>
        <v>INVALID</v>
      </c>
      <c r="B356" t="s">
        <v>323</v>
      </c>
      <c r="C356" t="s">
        <v>971</v>
      </c>
      <c r="D356" t="s">
        <v>48</v>
      </c>
      <c r="E356" t="str">
        <f t="shared" si="53"/>
        <v>Phalombe District [AZyWpGzhcaA]|05-09|Male</v>
      </c>
      <c r="F356" t="s">
        <v>1380</v>
      </c>
      <c r="G356" s="38">
        <v>1078</v>
      </c>
      <c r="H356" s="38">
        <v>396</v>
      </c>
      <c r="I356" s="241">
        <v>1.0101010000000001E-2</v>
      </c>
      <c r="J356" s="33"/>
      <c r="K356" s="33"/>
      <c r="L356" s="33">
        <f t="shared" si="54"/>
        <v>1</v>
      </c>
      <c r="M356" s="33">
        <f t="shared" si="55"/>
        <v>0.2</v>
      </c>
      <c r="N356" s="38">
        <f t="shared" si="62"/>
        <v>400</v>
      </c>
      <c r="O356" s="218" t="str">
        <f t="shared" si="56"/>
        <v/>
      </c>
      <c r="P356" s="218" t="str">
        <f t="shared" si="57"/>
        <v/>
      </c>
      <c r="Q356" s="218">
        <f t="shared" si="58"/>
        <v>80</v>
      </c>
      <c r="R356" s="218">
        <f t="shared" si="59"/>
        <v>320</v>
      </c>
      <c r="S356" s="246">
        <f t="shared" si="60"/>
        <v>1</v>
      </c>
      <c r="T356" s="237">
        <f t="shared" si="61"/>
        <v>400</v>
      </c>
    </row>
    <row r="357" spans="1:20" x14ac:dyDescent="0.2">
      <c r="A357" t="str">
        <f>INDEX(Prioritization!$D:$D,MATCH($B357,Prioritization!$A:$A,0))</f>
        <v>INVALID</v>
      </c>
      <c r="B357" t="s">
        <v>323</v>
      </c>
      <c r="C357" t="s">
        <v>474</v>
      </c>
      <c r="D357" t="s">
        <v>30</v>
      </c>
      <c r="E357" t="str">
        <f t="shared" si="53"/>
        <v>Phalombe District [AZyWpGzhcaA]|10-14|Female</v>
      </c>
      <c r="F357" t="s">
        <v>1380</v>
      </c>
      <c r="G357" s="38">
        <v>9945</v>
      </c>
      <c r="H357" s="38">
        <v>11244</v>
      </c>
      <c r="I357" s="241">
        <v>-0.55060476700000005</v>
      </c>
      <c r="J357" s="33">
        <v>0.52625697000000005</v>
      </c>
      <c r="K357" s="33">
        <v>0.26312848500000002</v>
      </c>
      <c r="L357" s="33">
        <f t="shared" si="54"/>
        <v>0.21061454499999988</v>
      </c>
      <c r="M357" s="33">
        <f t="shared" si="55"/>
        <v>0.2</v>
      </c>
      <c r="N357" s="38">
        <f t="shared" si="62"/>
        <v>5053</v>
      </c>
      <c r="O357" s="218">
        <f t="shared" si="56"/>
        <v>2659</v>
      </c>
      <c r="P357" s="218">
        <f t="shared" si="57"/>
        <v>1330</v>
      </c>
      <c r="Q357" s="218">
        <f t="shared" si="58"/>
        <v>213</v>
      </c>
      <c r="R357" s="218">
        <f t="shared" si="59"/>
        <v>851</v>
      </c>
      <c r="S357" s="246">
        <f t="shared" si="60"/>
        <v>1</v>
      </c>
      <c r="T357" s="218">
        <f t="shared" si="61"/>
        <v>1064</v>
      </c>
    </row>
    <row r="358" spans="1:20" x14ac:dyDescent="0.2">
      <c r="A358" t="str">
        <f>INDEX(Prioritization!$D:$D,MATCH($B358,Prioritization!$A:$A,0))</f>
        <v>INVALID</v>
      </c>
      <c r="B358" t="s">
        <v>323</v>
      </c>
      <c r="C358" t="s">
        <v>474</v>
      </c>
      <c r="D358" t="s">
        <v>48</v>
      </c>
      <c r="E358" t="str">
        <f t="shared" si="53"/>
        <v>Phalombe District [AZyWpGzhcaA]|10-14|Male</v>
      </c>
      <c r="F358" t="s">
        <v>1380</v>
      </c>
      <c r="G358" s="38">
        <v>3372</v>
      </c>
      <c r="H358" s="38">
        <v>5494</v>
      </c>
      <c r="I358" s="241">
        <v>-0.56097560999999996</v>
      </c>
      <c r="J358" s="33"/>
      <c r="K358" s="33">
        <v>0.55123890399999997</v>
      </c>
      <c r="L358" s="33">
        <f t="shared" si="54"/>
        <v>0.44876109600000003</v>
      </c>
      <c r="M358" s="33">
        <f t="shared" si="55"/>
        <v>0.2</v>
      </c>
      <c r="N358" s="38">
        <f t="shared" si="62"/>
        <v>2412</v>
      </c>
      <c r="O358" s="218" t="str">
        <f t="shared" si="56"/>
        <v/>
      </c>
      <c r="P358" s="218">
        <f t="shared" si="57"/>
        <v>1330</v>
      </c>
      <c r="Q358" s="218">
        <f t="shared" si="58"/>
        <v>216</v>
      </c>
      <c r="R358" s="218">
        <f t="shared" si="59"/>
        <v>866</v>
      </c>
      <c r="S358" s="246">
        <f t="shared" si="60"/>
        <v>1</v>
      </c>
      <c r="T358" s="237">
        <f t="shared" si="61"/>
        <v>1082</v>
      </c>
    </row>
    <row r="359" spans="1:20" x14ac:dyDescent="0.2">
      <c r="A359" t="str">
        <f>INDEX(Prioritization!$D:$D,MATCH($B359,Prioritization!$A:$A,0))</f>
        <v>INVALID</v>
      </c>
      <c r="B359" t="s">
        <v>323</v>
      </c>
      <c r="C359" t="s">
        <v>972</v>
      </c>
      <c r="D359" t="s">
        <v>30</v>
      </c>
      <c r="E359" t="str">
        <f t="shared" si="53"/>
        <v>Phalombe District [AZyWpGzhcaA]|15-17|Female</v>
      </c>
      <c r="F359" t="s">
        <v>1380</v>
      </c>
      <c r="G359" s="38">
        <v>5491</v>
      </c>
      <c r="H359" s="38">
        <v>4016</v>
      </c>
      <c r="I359" s="241">
        <v>-0.15737051799999999</v>
      </c>
      <c r="J359" s="33">
        <v>0.75212765999999998</v>
      </c>
      <c r="K359" s="33"/>
      <c r="L359" s="33">
        <f t="shared" si="54"/>
        <v>0.24787234000000002</v>
      </c>
      <c r="M359" s="33">
        <f t="shared" si="55"/>
        <v>0.2</v>
      </c>
      <c r="N359" s="38">
        <f t="shared" si="62"/>
        <v>3384</v>
      </c>
      <c r="O359" s="218">
        <f t="shared" si="56"/>
        <v>2545</v>
      </c>
      <c r="P359" s="218" t="str">
        <f t="shared" si="57"/>
        <v/>
      </c>
      <c r="Q359" s="218">
        <f t="shared" si="58"/>
        <v>168</v>
      </c>
      <c r="R359" s="218">
        <f t="shared" si="59"/>
        <v>671</v>
      </c>
      <c r="S359" s="246">
        <f t="shared" si="60"/>
        <v>1</v>
      </c>
      <c r="T359" s="218">
        <f t="shared" si="61"/>
        <v>839</v>
      </c>
    </row>
    <row r="360" spans="1:20" x14ac:dyDescent="0.2">
      <c r="A360" t="str">
        <f>INDEX(Prioritization!$D:$D,MATCH($B360,Prioritization!$A:$A,0))</f>
        <v>INVALID</v>
      </c>
      <c r="B360" t="s">
        <v>323</v>
      </c>
      <c r="C360" t="s">
        <v>972</v>
      </c>
      <c r="D360" t="s">
        <v>48</v>
      </c>
      <c r="E360" t="str">
        <f t="shared" si="53"/>
        <v>Phalombe District [AZyWpGzhcaA]|15-17|Male</v>
      </c>
      <c r="F360" t="s">
        <v>1380</v>
      </c>
      <c r="G360" s="38">
        <v>904</v>
      </c>
      <c r="H360" s="38">
        <v>471</v>
      </c>
      <c r="I360" s="241">
        <v>-2.7600849E-2</v>
      </c>
      <c r="J360" s="33"/>
      <c r="K360" s="33"/>
      <c r="L360" s="33">
        <f t="shared" si="54"/>
        <v>1</v>
      </c>
      <c r="M360" s="33">
        <f t="shared" si="55"/>
        <v>0.2</v>
      </c>
      <c r="N360" s="38">
        <f t="shared" si="62"/>
        <v>458</v>
      </c>
      <c r="O360" s="218" t="str">
        <f t="shared" si="56"/>
        <v/>
      </c>
      <c r="P360" s="218" t="str">
        <f t="shared" si="57"/>
        <v/>
      </c>
      <c r="Q360" s="218">
        <f t="shared" si="58"/>
        <v>92</v>
      </c>
      <c r="R360" s="218">
        <f t="shared" si="59"/>
        <v>366</v>
      </c>
      <c r="S360" s="246">
        <f t="shared" si="60"/>
        <v>1</v>
      </c>
      <c r="T360" s="237">
        <f t="shared" si="61"/>
        <v>458</v>
      </c>
    </row>
    <row r="361" spans="1:20" x14ac:dyDescent="0.2">
      <c r="A361" t="str">
        <f>INDEX(Prioritization!$D:$D,MATCH($B361,Prioritization!$A:$A,0))</f>
        <v>INVALID</v>
      </c>
      <c r="B361" t="s">
        <v>323</v>
      </c>
      <c r="C361" t="s">
        <v>974</v>
      </c>
      <c r="D361" t="s">
        <v>30</v>
      </c>
      <c r="E361" t="str">
        <f t="shared" si="53"/>
        <v>Phalombe District [AZyWpGzhcaA]|18+|Female</v>
      </c>
      <c r="F361" t="s">
        <v>1380</v>
      </c>
      <c r="G361" s="38">
        <v>3061</v>
      </c>
      <c r="H361" s="38">
        <v>1086</v>
      </c>
      <c r="I361" s="241">
        <v>0.83149171300000002</v>
      </c>
      <c r="J361" s="33"/>
      <c r="K361" s="33"/>
      <c r="L361" s="33">
        <f t="shared" si="54"/>
        <v>1</v>
      </c>
      <c r="M361" s="33">
        <f t="shared" si="55"/>
        <v>0.2</v>
      </c>
      <c r="N361" s="38">
        <f t="shared" si="62"/>
        <v>1989</v>
      </c>
      <c r="O361" s="218" t="str">
        <f t="shared" si="56"/>
        <v/>
      </c>
      <c r="P361" s="218" t="str">
        <f t="shared" si="57"/>
        <v/>
      </c>
      <c r="Q361" s="218">
        <f t="shared" si="58"/>
        <v>398</v>
      </c>
      <c r="R361" s="218">
        <f t="shared" si="59"/>
        <v>1591</v>
      </c>
      <c r="S361" s="246" t="str">
        <f t="shared" si="60"/>
        <v/>
      </c>
      <c r="T361" s="218" t="str">
        <f t="shared" si="61"/>
        <v/>
      </c>
    </row>
    <row r="362" spans="1:20" x14ac:dyDescent="0.2">
      <c r="A362" t="str">
        <f>INDEX(Prioritization!$D:$D,MATCH($B362,Prioritization!$A:$A,0))</f>
        <v>INVALID</v>
      </c>
      <c r="B362" t="s">
        <v>323</v>
      </c>
      <c r="C362" t="s">
        <v>974</v>
      </c>
      <c r="D362" t="s">
        <v>48</v>
      </c>
      <c r="E362" t="str">
        <f t="shared" si="53"/>
        <v>Phalombe District [AZyWpGzhcaA]|18+|Male</v>
      </c>
      <c r="F362" t="s">
        <v>1380</v>
      </c>
      <c r="G362" s="38">
        <v>173</v>
      </c>
      <c r="H362" s="38">
        <v>494</v>
      </c>
      <c r="I362" s="241">
        <v>-0.74291498</v>
      </c>
      <c r="J362" s="33"/>
      <c r="K362" s="33"/>
      <c r="L362" s="33">
        <f t="shared" si="54"/>
        <v>1</v>
      </c>
      <c r="M362" s="33">
        <f t="shared" si="55"/>
        <v>0.2</v>
      </c>
      <c r="N362" s="38">
        <f t="shared" si="62"/>
        <v>127</v>
      </c>
      <c r="O362" s="218" t="str">
        <f t="shared" si="56"/>
        <v/>
      </c>
      <c r="P362" s="218" t="str">
        <f t="shared" si="57"/>
        <v/>
      </c>
      <c r="Q362" s="218">
        <f t="shared" si="58"/>
        <v>25</v>
      </c>
      <c r="R362" s="218">
        <f t="shared" si="59"/>
        <v>102</v>
      </c>
      <c r="S362" s="246" t="str">
        <f t="shared" si="60"/>
        <v/>
      </c>
      <c r="T362" s="237" t="str">
        <f t="shared" si="61"/>
        <v/>
      </c>
    </row>
    <row r="363" spans="1:20" x14ac:dyDescent="0.2">
      <c r="A363" t="str">
        <f>INDEX(Prioritization!$D:$D,MATCH($B363,Prioritization!$A:$A,0))</f>
        <v>INVALID</v>
      </c>
      <c r="B363" t="s">
        <v>323</v>
      </c>
      <c r="C363" t="s">
        <v>973</v>
      </c>
      <c r="D363" t="s">
        <v>30</v>
      </c>
      <c r="E363" t="str">
        <f t="shared" si="53"/>
        <v>Phalombe District [AZyWpGzhcaA]|18-20|Female</v>
      </c>
      <c r="F363" t="s">
        <v>1380</v>
      </c>
      <c r="G363" s="38"/>
      <c r="H363" s="38">
        <v>39</v>
      </c>
      <c r="I363" s="241">
        <v>-0.23076923099999999</v>
      </c>
      <c r="J363" s="33"/>
      <c r="K363" s="33"/>
      <c r="L363" s="33">
        <f t="shared" si="54"/>
        <v>1</v>
      </c>
      <c r="M363" s="33">
        <f t="shared" si="55"/>
        <v>0.2</v>
      </c>
      <c r="N363" s="38">
        <f t="shared" si="62"/>
        <v>30</v>
      </c>
      <c r="O363" s="218" t="str">
        <f t="shared" si="56"/>
        <v/>
      </c>
      <c r="P363" s="218" t="str">
        <f t="shared" si="57"/>
        <v/>
      </c>
      <c r="Q363" s="218">
        <f t="shared" si="58"/>
        <v>6</v>
      </c>
      <c r="R363" s="218">
        <f t="shared" si="59"/>
        <v>24</v>
      </c>
      <c r="S363" s="246">
        <f t="shared" si="60"/>
        <v>1</v>
      </c>
      <c r="T363" s="218">
        <f t="shared" si="61"/>
        <v>30</v>
      </c>
    </row>
    <row r="364" spans="1:20" x14ac:dyDescent="0.2">
      <c r="A364" t="str">
        <f>INDEX(Prioritization!$D:$D,MATCH($B364,Prioritization!$A:$A,0))</f>
        <v>INVALID</v>
      </c>
      <c r="B364" t="s">
        <v>323</v>
      </c>
      <c r="C364" t="s">
        <v>973</v>
      </c>
      <c r="D364" t="s">
        <v>48</v>
      </c>
      <c r="E364" t="str">
        <f t="shared" si="53"/>
        <v>Phalombe District [AZyWpGzhcaA]|18-20|Male</v>
      </c>
      <c r="F364" t="s">
        <v>1380</v>
      </c>
      <c r="G364" s="38"/>
      <c r="H364" s="38">
        <v>39</v>
      </c>
      <c r="I364" s="241">
        <v>-0.30769230800000003</v>
      </c>
      <c r="J364" s="33"/>
      <c r="K364" s="33"/>
      <c r="L364" s="33">
        <f t="shared" si="54"/>
        <v>1</v>
      </c>
      <c r="M364" s="33">
        <f t="shared" si="55"/>
        <v>0.2</v>
      </c>
      <c r="N364" s="38">
        <f t="shared" si="62"/>
        <v>27</v>
      </c>
      <c r="O364" s="218" t="str">
        <f t="shared" si="56"/>
        <v/>
      </c>
      <c r="P364" s="218" t="str">
        <f t="shared" si="57"/>
        <v/>
      </c>
      <c r="Q364" s="218">
        <f t="shared" si="58"/>
        <v>5</v>
      </c>
      <c r="R364" s="218">
        <f t="shared" si="59"/>
        <v>22</v>
      </c>
      <c r="S364" s="246">
        <f t="shared" si="60"/>
        <v>1</v>
      </c>
      <c r="T364" s="237">
        <f t="shared" si="61"/>
        <v>27</v>
      </c>
    </row>
    <row r="365" spans="1:20" x14ac:dyDescent="0.2">
      <c r="A365" t="e">
        <f>INDEX(Prioritization!$D:$D,MATCH($B365,Prioritization!$A:$A,0))</f>
        <v>#N/A</v>
      </c>
      <c r="B365" t="s">
        <v>1114</v>
      </c>
      <c r="C365" t="s">
        <v>426</v>
      </c>
      <c r="D365" t="s">
        <v>30</v>
      </c>
      <c r="E365" t="str">
        <f t="shared" si="53"/>
        <v>Public Health Reference Laboratory (PHL) [UCy710RAWRp]|&lt;01|Female</v>
      </c>
      <c r="G365" s="38"/>
      <c r="H365" s="38"/>
      <c r="I365" s="240"/>
      <c r="J365" s="33"/>
      <c r="K365" s="33"/>
      <c r="L365" s="33">
        <f t="shared" si="54"/>
        <v>1</v>
      </c>
      <c r="M365" s="33">
        <f t="shared" si="55"/>
        <v>0.2</v>
      </c>
      <c r="N365" s="38" t="str">
        <f t="shared" si="62"/>
        <v/>
      </c>
      <c r="O365" s="218" t="str">
        <f t="shared" si="56"/>
        <v/>
      </c>
      <c r="P365" s="218" t="str">
        <f t="shared" si="57"/>
        <v/>
      </c>
      <c r="Q365" s="218" t="str">
        <f t="shared" si="58"/>
        <v/>
      </c>
      <c r="R365" s="218" t="str">
        <f t="shared" si="59"/>
        <v/>
      </c>
      <c r="S365" s="246" t="str">
        <f t="shared" si="60"/>
        <v/>
      </c>
      <c r="T365" s="218" t="str">
        <f t="shared" si="61"/>
        <v/>
      </c>
    </row>
    <row r="366" spans="1:20" x14ac:dyDescent="0.2">
      <c r="A366" t="e">
        <f>INDEX(Prioritization!$D:$D,MATCH($B366,Prioritization!$A:$A,0))</f>
        <v>#N/A</v>
      </c>
      <c r="B366" t="s">
        <v>1114</v>
      </c>
      <c r="C366" t="s">
        <v>426</v>
      </c>
      <c r="D366" t="s">
        <v>48</v>
      </c>
      <c r="E366" t="str">
        <f t="shared" si="53"/>
        <v>Public Health Reference Laboratory (PHL) [UCy710RAWRp]|&lt;01|Male</v>
      </c>
      <c r="G366" s="38"/>
      <c r="H366" s="38"/>
      <c r="I366" s="240"/>
      <c r="J366" s="33"/>
      <c r="K366" s="33"/>
      <c r="L366" s="33">
        <f t="shared" si="54"/>
        <v>1</v>
      </c>
      <c r="M366" s="33">
        <f t="shared" si="55"/>
        <v>0.2</v>
      </c>
      <c r="N366" s="38" t="str">
        <f t="shared" si="62"/>
        <v/>
      </c>
      <c r="O366" s="218" t="str">
        <f t="shared" si="56"/>
        <v/>
      </c>
      <c r="P366" s="218" t="str">
        <f t="shared" si="57"/>
        <v/>
      </c>
      <c r="Q366" s="218" t="str">
        <f t="shared" si="58"/>
        <v/>
      </c>
      <c r="R366" s="218" t="str">
        <f t="shared" si="59"/>
        <v/>
      </c>
      <c r="S366" s="246" t="str">
        <f t="shared" si="60"/>
        <v/>
      </c>
      <c r="T366" s="237" t="str">
        <f t="shared" si="61"/>
        <v/>
      </c>
    </row>
    <row r="367" spans="1:20" x14ac:dyDescent="0.2">
      <c r="A367" t="e">
        <f>INDEX(Prioritization!$D:$D,MATCH($B367,Prioritization!$A:$A,0))</f>
        <v>#N/A</v>
      </c>
      <c r="B367" t="s">
        <v>1114</v>
      </c>
      <c r="C367" t="s">
        <v>970</v>
      </c>
      <c r="D367" t="s">
        <v>30</v>
      </c>
      <c r="E367" t="str">
        <f t="shared" si="53"/>
        <v>Public Health Reference Laboratory (PHL) [UCy710RAWRp]|01-04|Female</v>
      </c>
      <c r="G367" s="38"/>
      <c r="H367" s="38"/>
      <c r="I367" s="240"/>
      <c r="J367" s="33"/>
      <c r="K367" s="33"/>
      <c r="L367" s="33">
        <f t="shared" si="54"/>
        <v>1</v>
      </c>
      <c r="M367" s="33">
        <f t="shared" si="55"/>
        <v>0.2</v>
      </c>
      <c r="N367" s="38" t="str">
        <f t="shared" si="62"/>
        <v/>
      </c>
      <c r="O367" s="218" t="str">
        <f t="shared" si="56"/>
        <v/>
      </c>
      <c r="P367" s="218" t="str">
        <f t="shared" si="57"/>
        <v/>
      </c>
      <c r="Q367" s="218" t="str">
        <f t="shared" si="58"/>
        <v/>
      </c>
      <c r="R367" s="218" t="str">
        <f t="shared" si="59"/>
        <v/>
      </c>
      <c r="S367" s="246" t="str">
        <f t="shared" si="60"/>
        <v/>
      </c>
      <c r="T367" s="218" t="str">
        <f t="shared" si="61"/>
        <v/>
      </c>
    </row>
    <row r="368" spans="1:20" x14ac:dyDescent="0.2">
      <c r="A368" t="e">
        <f>INDEX(Prioritization!$D:$D,MATCH($B368,Prioritization!$A:$A,0))</f>
        <v>#N/A</v>
      </c>
      <c r="B368" t="s">
        <v>1114</v>
      </c>
      <c r="C368" t="s">
        <v>970</v>
      </c>
      <c r="D368" t="s">
        <v>48</v>
      </c>
      <c r="E368" t="str">
        <f t="shared" si="53"/>
        <v>Public Health Reference Laboratory (PHL) [UCy710RAWRp]|01-04|Male</v>
      </c>
      <c r="G368" s="38"/>
      <c r="H368" s="38"/>
      <c r="I368" s="240"/>
      <c r="J368" s="33"/>
      <c r="K368" s="33"/>
      <c r="L368" s="33">
        <f t="shared" si="54"/>
        <v>1</v>
      </c>
      <c r="M368" s="33">
        <f t="shared" si="55"/>
        <v>0.2</v>
      </c>
      <c r="N368" s="38" t="str">
        <f t="shared" si="62"/>
        <v/>
      </c>
      <c r="O368" s="218" t="str">
        <f t="shared" si="56"/>
        <v/>
      </c>
      <c r="P368" s="218" t="str">
        <f t="shared" si="57"/>
        <v/>
      </c>
      <c r="Q368" s="218" t="str">
        <f t="shared" si="58"/>
        <v/>
      </c>
      <c r="R368" s="218" t="str">
        <f t="shared" si="59"/>
        <v/>
      </c>
      <c r="S368" s="246" t="str">
        <f t="shared" si="60"/>
        <v/>
      </c>
      <c r="T368" s="237" t="str">
        <f t="shared" si="61"/>
        <v/>
      </c>
    </row>
    <row r="369" spans="1:20" x14ac:dyDescent="0.2">
      <c r="A369" t="e">
        <f>INDEX(Prioritization!$D:$D,MATCH($B369,Prioritization!$A:$A,0))</f>
        <v>#N/A</v>
      </c>
      <c r="B369" t="s">
        <v>1114</v>
      </c>
      <c r="C369" t="s">
        <v>971</v>
      </c>
      <c r="D369" t="s">
        <v>30</v>
      </c>
      <c r="E369" t="str">
        <f t="shared" si="53"/>
        <v>Public Health Reference Laboratory (PHL) [UCy710RAWRp]|05-09|Female</v>
      </c>
      <c r="G369" s="38"/>
      <c r="H369" s="38"/>
      <c r="I369" s="240"/>
      <c r="J369" s="33"/>
      <c r="K369" s="33"/>
      <c r="L369" s="33">
        <f t="shared" si="54"/>
        <v>1</v>
      </c>
      <c r="M369" s="33">
        <f t="shared" si="55"/>
        <v>0.2</v>
      </c>
      <c r="N369" s="38" t="str">
        <f t="shared" si="62"/>
        <v/>
      </c>
      <c r="O369" s="218" t="str">
        <f t="shared" si="56"/>
        <v/>
      </c>
      <c r="P369" s="218" t="str">
        <f t="shared" si="57"/>
        <v/>
      </c>
      <c r="Q369" s="218" t="str">
        <f t="shared" si="58"/>
        <v/>
      </c>
      <c r="R369" s="218" t="str">
        <f t="shared" si="59"/>
        <v/>
      </c>
      <c r="S369" s="246" t="str">
        <f t="shared" si="60"/>
        <v/>
      </c>
      <c r="T369" s="218" t="str">
        <f t="shared" si="61"/>
        <v/>
      </c>
    </row>
    <row r="370" spans="1:20" x14ac:dyDescent="0.2">
      <c r="A370" t="e">
        <f>INDEX(Prioritization!$D:$D,MATCH($B370,Prioritization!$A:$A,0))</f>
        <v>#N/A</v>
      </c>
      <c r="B370" t="s">
        <v>1114</v>
      </c>
      <c r="C370" t="s">
        <v>971</v>
      </c>
      <c r="D370" t="s">
        <v>48</v>
      </c>
      <c r="E370" t="str">
        <f t="shared" si="53"/>
        <v>Public Health Reference Laboratory (PHL) [UCy710RAWRp]|05-09|Male</v>
      </c>
      <c r="G370" s="38"/>
      <c r="H370" s="38"/>
      <c r="I370" s="240"/>
      <c r="J370" s="33"/>
      <c r="K370" s="33"/>
      <c r="L370" s="33">
        <f t="shared" si="54"/>
        <v>1</v>
      </c>
      <c r="M370" s="33">
        <f t="shared" si="55"/>
        <v>0.2</v>
      </c>
      <c r="N370" s="38" t="str">
        <f t="shared" si="62"/>
        <v/>
      </c>
      <c r="O370" s="218" t="str">
        <f t="shared" si="56"/>
        <v/>
      </c>
      <c r="P370" s="218" t="str">
        <f t="shared" si="57"/>
        <v/>
      </c>
      <c r="Q370" s="218" t="str">
        <f t="shared" si="58"/>
        <v/>
      </c>
      <c r="R370" s="218" t="str">
        <f t="shared" si="59"/>
        <v/>
      </c>
      <c r="S370" s="246" t="str">
        <f t="shared" si="60"/>
        <v/>
      </c>
      <c r="T370" s="237" t="str">
        <f t="shared" si="61"/>
        <v/>
      </c>
    </row>
    <row r="371" spans="1:20" x14ac:dyDescent="0.2">
      <c r="A371" t="e">
        <f>INDEX(Prioritization!$D:$D,MATCH($B371,Prioritization!$A:$A,0))</f>
        <v>#N/A</v>
      </c>
      <c r="B371" t="s">
        <v>1114</v>
      </c>
      <c r="C371" t="s">
        <v>474</v>
      </c>
      <c r="D371" t="s">
        <v>30</v>
      </c>
      <c r="E371" t="str">
        <f t="shared" si="53"/>
        <v>Public Health Reference Laboratory (PHL) [UCy710RAWRp]|10-14|Female</v>
      </c>
      <c r="G371" s="38"/>
      <c r="H371" s="38"/>
      <c r="I371" s="240"/>
      <c r="J371" s="33"/>
      <c r="K371" s="33"/>
      <c r="L371" s="33">
        <f t="shared" si="54"/>
        <v>1</v>
      </c>
      <c r="M371" s="33">
        <f t="shared" si="55"/>
        <v>0.2</v>
      </c>
      <c r="N371" s="38" t="str">
        <f t="shared" si="62"/>
        <v/>
      </c>
      <c r="O371" s="218" t="str">
        <f t="shared" si="56"/>
        <v/>
      </c>
      <c r="P371" s="218" t="str">
        <f t="shared" si="57"/>
        <v/>
      </c>
      <c r="Q371" s="218" t="str">
        <f t="shared" si="58"/>
        <v/>
      </c>
      <c r="R371" s="218" t="str">
        <f t="shared" si="59"/>
        <v/>
      </c>
      <c r="S371" s="246" t="str">
        <f t="shared" si="60"/>
        <v/>
      </c>
      <c r="T371" s="218" t="str">
        <f t="shared" si="61"/>
        <v/>
      </c>
    </row>
    <row r="372" spans="1:20" x14ac:dyDescent="0.2">
      <c r="A372" t="e">
        <f>INDEX(Prioritization!$D:$D,MATCH($B372,Prioritization!$A:$A,0))</f>
        <v>#N/A</v>
      </c>
      <c r="B372" t="s">
        <v>1114</v>
      </c>
      <c r="C372" t="s">
        <v>474</v>
      </c>
      <c r="D372" t="s">
        <v>48</v>
      </c>
      <c r="E372" t="str">
        <f t="shared" si="53"/>
        <v>Public Health Reference Laboratory (PHL) [UCy710RAWRp]|10-14|Male</v>
      </c>
      <c r="G372" s="38"/>
      <c r="H372" s="38"/>
      <c r="I372" s="240"/>
      <c r="J372" s="33"/>
      <c r="K372" s="33"/>
      <c r="L372" s="33">
        <f t="shared" si="54"/>
        <v>1</v>
      </c>
      <c r="M372" s="33">
        <f t="shared" si="55"/>
        <v>0.2</v>
      </c>
      <c r="N372" s="38" t="str">
        <f t="shared" si="62"/>
        <v/>
      </c>
      <c r="O372" s="218" t="str">
        <f t="shared" si="56"/>
        <v/>
      </c>
      <c r="P372" s="218" t="str">
        <f t="shared" si="57"/>
        <v/>
      </c>
      <c r="Q372" s="218" t="str">
        <f t="shared" si="58"/>
        <v/>
      </c>
      <c r="R372" s="218" t="str">
        <f t="shared" si="59"/>
        <v/>
      </c>
      <c r="S372" s="246" t="str">
        <f t="shared" si="60"/>
        <v/>
      </c>
      <c r="T372" s="237" t="str">
        <f t="shared" si="61"/>
        <v/>
      </c>
    </row>
    <row r="373" spans="1:20" x14ac:dyDescent="0.2">
      <c r="A373" t="e">
        <f>INDEX(Prioritization!$D:$D,MATCH($B373,Prioritization!$A:$A,0))</f>
        <v>#N/A</v>
      </c>
      <c r="B373" t="s">
        <v>1114</v>
      </c>
      <c r="C373" t="s">
        <v>972</v>
      </c>
      <c r="D373" t="s">
        <v>30</v>
      </c>
      <c r="E373" t="str">
        <f t="shared" si="53"/>
        <v>Public Health Reference Laboratory (PHL) [UCy710RAWRp]|15-17|Female</v>
      </c>
      <c r="G373" s="38"/>
      <c r="H373" s="38"/>
      <c r="I373" s="240"/>
      <c r="J373" s="33"/>
      <c r="K373" s="33"/>
      <c r="L373" s="33">
        <f t="shared" si="54"/>
        <v>1</v>
      </c>
      <c r="M373" s="33">
        <f t="shared" si="55"/>
        <v>0.2</v>
      </c>
      <c r="N373" s="38" t="str">
        <f t="shared" si="62"/>
        <v/>
      </c>
      <c r="O373" s="218" t="str">
        <f t="shared" si="56"/>
        <v/>
      </c>
      <c r="P373" s="218" t="str">
        <f t="shared" si="57"/>
        <v/>
      </c>
      <c r="Q373" s="218" t="str">
        <f t="shared" si="58"/>
        <v/>
      </c>
      <c r="R373" s="218" t="str">
        <f t="shared" si="59"/>
        <v/>
      </c>
      <c r="S373" s="246" t="str">
        <f t="shared" si="60"/>
        <v/>
      </c>
      <c r="T373" s="218" t="str">
        <f t="shared" si="61"/>
        <v/>
      </c>
    </row>
    <row r="374" spans="1:20" x14ac:dyDescent="0.2">
      <c r="A374" t="e">
        <f>INDEX(Prioritization!$D:$D,MATCH($B374,Prioritization!$A:$A,0))</f>
        <v>#N/A</v>
      </c>
      <c r="B374" t="s">
        <v>1114</v>
      </c>
      <c r="C374" t="s">
        <v>972</v>
      </c>
      <c r="D374" t="s">
        <v>48</v>
      </c>
      <c r="E374" t="str">
        <f t="shared" si="53"/>
        <v>Public Health Reference Laboratory (PHL) [UCy710RAWRp]|15-17|Male</v>
      </c>
      <c r="G374" s="38"/>
      <c r="H374" s="38"/>
      <c r="I374" s="240"/>
      <c r="J374" s="33"/>
      <c r="K374" s="33"/>
      <c r="L374" s="33">
        <f t="shared" si="54"/>
        <v>1</v>
      </c>
      <c r="M374" s="33">
        <f t="shared" si="55"/>
        <v>0.2</v>
      </c>
      <c r="N374" s="38" t="str">
        <f t="shared" si="62"/>
        <v/>
      </c>
      <c r="O374" s="218" t="str">
        <f t="shared" si="56"/>
        <v/>
      </c>
      <c r="P374" s="218" t="str">
        <f t="shared" si="57"/>
        <v/>
      </c>
      <c r="Q374" s="218" t="str">
        <f t="shared" si="58"/>
        <v/>
      </c>
      <c r="R374" s="218" t="str">
        <f t="shared" si="59"/>
        <v/>
      </c>
      <c r="S374" s="246" t="str">
        <f t="shared" si="60"/>
        <v/>
      </c>
      <c r="T374" s="237" t="str">
        <f t="shared" si="61"/>
        <v/>
      </c>
    </row>
    <row r="375" spans="1:20" x14ac:dyDescent="0.2">
      <c r="A375" t="e">
        <f>INDEX(Prioritization!$D:$D,MATCH($B375,Prioritization!$A:$A,0))</f>
        <v>#N/A</v>
      </c>
      <c r="B375" t="s">
        <v>1114</v>
      </c>
      <c r="C375" t="s">
        <v>974</v>
      </c>
      <c r="D375" t="s">
        <v>30</v>
      </c>
      <c r="E375" t="str">
        <f t="shared" si="53"/>
        <v>Public Health Reference Laboratory (PHL) [UCy710RAWRp]|18+|Female</v>
      </c>
      <c r="G375" s="38"/>
      <c r="H375" s="38"/>
      <c r="I375" s="240"/>
      <c r="J375" s="33"/>
      <c r="K375" s="33"/>
      <c r="L375" s="33">
        <f t="shared" si="54"/>
        <v>1</v>
      </c>
      <c r="M375" s="33">
        <f t="shared" si="55"/>
        <v>0.2</v>
      </c>
      <c r="N375" s="38" t="str">
        <f t="shared" si="62"/>
        <v/>
      </c>
      <c r="O375" s="218" t="str">
        <f t="shared" si="56"/>
        <v/>
      </c>
      <c r="P375" s="218" t="str">
        <f t="shared" si="57"/>
        <v/>
      </c>
      <c r="Q375" s="218" t="str">
        <f t="shared" si="58"/>
        <v/>
      </c>
      <c r="R375" s="218" t="str">
        <f t="shared" si="59"/>
        <v/>
      </c>
      <c r="S375" s="246" t="str">
        <f t="shared" si="60"/>
        <v/>
      </c>
      <c r="T375" s="218" t="str">
        <f t="shared" si="61"/>
        <v/>
      </c>
    </row>
    <row r="376" spans="1:20" x14ac:dyDescent="0.2">
      <c r="A376" t="e">
        <f>INDEX(Prioritization!$D:$D,MATCH($B376,Prioritization!$A:$A,0))</f>
        <v>#N/A</v>
      </c>
      <c r="B376" t="s">
        <v>1114</v>
      </c>
      <c r="C376" t="s">
        <v>974</v>
      </c>
      <c r="D376" t="s">
        <v>48</v>
      </c>
      <c r="E376" t="str">
        <f t="shared" si="53"/>
        <v>Public Health Reference Laboratory (PHL) [UCy710RAWRp]|18+|Male</v>
      </c>
      <c r="G376" s="38"/>
      <c r="H376" s="38"/>
      <c r="I376" s="240"/>
      <c r="J376" s="33"/>
      <c r="K376" s="33"/>
      <c r="L376" s="33">
        <f t="shared" si="54"/>
        <v>1</v>
      </c>
      <c r="M376" s="33">
        <f t="shared" si="55"/>
        <v>0.2</v>
      </c>
      <c r="N376" s="38" t="str">
        <f t="shared" si="62"/>
        <v/>
      </c>
      <c r="O376" s="218" t="str">
        <f t="shared" si="56"/>
        <v/>
      </c>
      <c r="P376" s="218" t="str">
        <f t="shared" si="57"/>
        <v/>
      </c>
      <c r="Q376" s="218" t="str">
        <f t="shared" si="58"/>
        <v/>
      </c>
      <c r="R376" s="218" t="str">
        <f t="shared" si="59"/>
        <v/>
      </c>
      <c r="S376" s="246" t="str">
        <f t="shared" si="60"/>
        <v/>
      </c>
      <c r="T376" s="237" t="str">
        <f t="shared" si="61"/>
        <v/>
      </c>
    </row>
    <row r="377" spans="1:20" x14ac:dyDescent="0.2">
      <c r="A377" t="e">
        <f>INDEX(Prioritization!$D:$D,MATCH($B377,Prioritization!$A:$A,0))</f>
        <v>#N/A</v>
      </c>
      <c r="B377" t="s">
        <v>1114</v>
      </c>
      <c r="C377" t="s">
        <v>973</v>
      </c>
      <c r="D377" t="s">
        <v>30</v>
      </c>
      <c r="E377" t="str">
        <f t="shared" si="53"/>
        <v>Public Health Reference Laboratory (PHL) [UCy710RAWRp]|18-20|Female</v>
      </c>
      <c r="G377" s="38"/>
      <c r="H377" s="38"/>
      <c r="I377" s="240"/>
      <c r="J377" s="33"/>
      <c r="K377" s="33"/>
      <c r="L377" s="33">
        <f t="shared" si="54"/>
        <v>1</v>
      </c>
      <c r="M377" s="33">
        <f t="shared" si="55"/>
        <v>0.2</v>
      </c>
      <c r="N377" s="38" t="str">
        <f t="shared" si="62"/>
        <v/>
      </c>
      <c r="O377" s="218" t="str">
        <f t="shared" si="56"/>
        <v/>
      </c>
      <c r="P377" s="218" t="str">
        <f t="shared" si="57"/>
        <v/>
      </c>
      <c r="Q377" s="218" t="str">
        <f t="shared" si="58"/>
        <v/>
      </c>
      <c r="R377" s="218" t="str">
        <f t="shared" si="59"/>
        <v/>
      </c>
      <c r="S377" s="246" t="str">
        <f t="shared" si="60"/>
        <v/>
      </c>
      <c r="T377" s="218" t="str">
        <f t="shared" si="61"/>
        <v/>
      </c>
    </row>
    <row r="378" spans="1:20" x14ac:dyDescent="0.2">
      <c r="A378" t="e">
        <f>INDEX(Prioritization!$D:$D,MATCH($B378,Prioritization!$A:$A,0))</f>
        <v>#N/A</v>
      </c>
      <c r="B378" t="s">
        <v>1114</v>
      </c>
      <c r="C378" t="s">
        <v>973</v>
      </c>
      <c r="D378" t="s">
        <v>48</v>
      </c>
      <c r="E378" t="str">
        <f t="shared" si="53"/>
        <v>Public Health Reference Laboratory (PHL) [UCy710RAWRp]|18-20|Male</v>
      </c>
      <c r="G378" s="38"/>
      <c r="H378" s="38"/>
      <c r="I378" s="240"/>
      <c r="J378" s="33"/>
      <c r="K378" s="33"/>
      <c r="L378" s="33">
        <f t="shared" si="54"/>
        <v>1</v>
      </c>
      <c r="M378" s="33">
        <f t="shared" si="55"/>
        <v>0.2</v>
      </c>
      <c r="N378" s="38" t="str">
        <f t="shared" si="62"/>
        <v/>
      </c>
      <c r="O378" s="218" t="str">
        <f t="shared" si="56"/>
        <v/>
      </c>
      <c r="P378" s="218" t="str">
        <f t="shared" si="57"/>
        <v/>
      </c>
      <c r="Q378" s="218" t="str">
        <f t="shared" si="58"/>
        <v/>
      </c>
      <c r="R378" s="218" t="str">
        <f t="shared" si="59"/>
        <v/>
      </c>
      <c r="S378" s="246" t="str">
        <f t="shared" si="60"/>
        <v/>
      </c>
      <c r="T378" s="237" t="str">
        <f t="shared" si="61"/>
        <v/>
      </c>
    </row>
    <row r="379" spans="1:20" x14ac:dyDescent="0.2">
      <c r="A379" t="str">
        <f>INDEX(Prioritization!$D:$D,MATCH($B379,Prioritization!$A:$A,0))</f>
        <v>4 - Sustained</v>
      </c>
      <c r="B379" t="s">
        <v>312</v>
      </c>
      <c r="C379" t="s">
        <v>426</v>
      </c>
      <c r="D379" t="s">
        <v>30</v>
      </c>
      <c r="E379" t="str">
        <f t="shared" si="53"/>
        <v>Rumphi District [lPTyjLi4w3d]|&lt;01|Female</v>
      </c>
      <c r="G379" s="38"/>
      <c r="H379" s="38"/>
      <c r="I379" s="240"/>
      <c r="J379" s="33"/>
      <c r="K379" s="33"/>
      <c r="L379" s="33">
        <f t="shared" si="54"/>
        <v>1</v>
      </c>
      <c r="M379" s="33">
        <f t="shared" si="55"/>
        <v>0.2</v>
      </c>
      <c r="N379" s="38" t="str">
        <f t="shared" si="62"/>
        <v/>
      </c>
      <c r="O379" s="218" t="str">
        <f t="shared" si="56"/>
        <v/>
      </c>
      <c r="P379" s="218" t="str">
        <f t="shared" si="57"/>
        <v/>
      </c>
      <c r="Q379" s="218" t="str">
        <f t="shared" si="58"/>
        <v/>
      </c>
      <c r="R379" s="218" t="str">
        <f t="shared" si="59"/>
        <v/>
      </c>
      <c r="S379" s="246" t="str">
        <f t="shared" si="60"/>
        <v/>
      </c>
      <c r="T379" s="218" t="str">
        <f t="shared" si="61"/>
        <v/>
      </c>
    </row>
    <row r="380" spans="1:20" x14ac:dyDescent="0.2">
      <c r="A380" t="str">
        <f>INDEX(Prioritization!$D:$D,MATCH($B380,Prioritization!$A:$A,0))</f>
        <v>4 - Sustained</v>
      </c>
      <c r="B380" t="s">
        <v>312</v>
      </c>
      <c r="C380" t="s">
        <v>426</v>
      </c>
      <c r="D380" t="s">
        <v>48</v>
      </c>
      <c r="E380" t="str">
        <f t="shared" si="53"/>
        <v>Rumphi District [lPTyjLi4w3d]|&lt;01|Male</v>
      </c>
      <c r="G380" s="38"/>
      <c r="H380" s="38"/>
      <c r="I380" s="240"/>
      <c r="J380" s="33"/>
      <c r="K380" s="33"/>
      <c r="L380" s="33">
        <f t="shared" si="54"/>
        <v>1</v>
      </c>
      <c r="M380" s="33">
        <f t="shared" si="55"/>
        <v>0.2</v>
      </c>
      <c r="N380" s="38" t="str">
        <f t="shared" si="62"/>
        <v/>
      </c>
      <c r="O380" s="218" t="str">
        <f t="shared" si="56"/>
        <v/>
      </c>
      <c r="P380" s="218" t="str">
        <f t="shared" si="57"/>
        <v/>
      </c>
      <c r="Q380" s="218" t="str">
        <f t="shared" si="58"/>
        <v/>
      </c>
      <c r="R380" s="218" t="str">
        <f t="shared" si="59"/>
        <v/>
      </c>
      <c r="S380" s="246" t="str">
        <f t="shared" si="60"/>
        <v/>
      </c>
      <c r="T380" s="237" t="str">
        <f t="shared" si="61"/>
        <v/>
      </c>
    </row>
    <row r="381" spans="1:20" x14ac:dyDescent="0.2">
      <c r="A381" t="str">
        <f>INDEX(Prioritization!$D:$D,MATCH($B381,Prioritization!$A:$A,0))</f>
        <v>4 - Sustained</v>
      </c>
      <c r="B381" t="s">
        <v>312</v>
      </c>
      <c r="C381" t="s">
        <v>970</v>
      </c>
      <c r="D381" t="s">
        <v>30</v>
      </c>
      <c r="E381" t="str">
        <f t="shared" si="53"/>
        <v>Rumphi District [lPTyjLi4w3d]|01-04|Female</v>
      </c>
      <c r="G381" s="38"/>
      <c r="H381" s="38"/>
      <c r="I381" s="240"/>
      <c r="J381" s="33"/>
      <c r="K381" s="33"/>
      <c r="L381" s="33">
        <f t="shared" si="54"/>
        <v>1</v>
      </c>
      <c r="M381" s="33">
        <f t="shared" si="55"/>
        <v>0.2</v>
      </c>
      <c r="N381" s="38" t="str">
        <f t="shared" si="62"/>
        <v/>
      </c>
      <c r="O381" s="218" t="str">
        <f t="shared" si="56"/>
        <v/>
      </c>
      <c r="P381" s="218" t="str">
        <f t="shared" si="57"/>
        <v/>
      </c>
      <c r="Q381" s="218" t="str">
        <f t="shared" si="58"/>
        <v/>
      </c>
      <c r="R381" s="218" t="str">
        <f t="shared" si="59"/>
        <v/>
      </c>
      <c r="S381" s="246" t="str">
        <f t="shared" si="60"/>
        <v/>
      </c>
      <c r="T381" s="218" t="str">
        <f t="shared" si="61"/>
        <v/>
      </c>
    </row>
    <row r="382" spans="1:20" x14ac:dyDescent="0.2">
      <c r="A382" t="str">
        <f>INDEX(Prioritization!$D:$D,MATCH($B382,Prioritization!$A:$A,0))</f>
        <v>4 - Sustained</v>
      </c>
      <c r="B382" t="s">
        <v>312</v>
      </c>
      <c r="C382" t="s">
        <v>970</v>
      </c>
      <c r="D382" t="s">
        <v>48</v>
      </c>
      <c r="E382" t="str">
        <f t="shared" si="53"/>
        <v>Rumphi District [lPTyjLi4w3d]|01-04|Male</v>
      </c>
      <c r="G382" s="38"/>
      <c r="H382" s="38"/>
      <c r="I382" s="240"/>
      <c r="J382" s="33"/>
      <c r="K382" s="33"/>
      <c r="L382" s="33">
        <f t="shared" si="54"/>
        <v>1</v>
      </c>
      <c r="M382" s="33">
        <f t="shared" si="55"/>
        <v>0.2</v>
      </c>
      <c r="N382" s="38" t="str">
        <f t="shared" si="62"/>
        <v/>
      </c>
      <c r="O382" s="218" t="str">
        <f t="shared" si="56"/>
        <v/>
      </c>
      <c r="P382" s="218" t="str">
        <f t="shared" si="57"/>
        <v/>
      </c>
      <c r="Q382" s="218" t="str">
        <f t="shared" si="58"/>
        <v/>
      </c>
      <c r="R382" s="218" t="str">
        <f t="shared" si="59"/>
        <v/>
      </c>
      <c r="S382" s="246" t="str">
        <f t="shared" si="60"/>
        <v/>
      </c>
      <c r="T382" s="237" t="str">
        <f t="shared" si="61"/>
        <v/>
      </c>
    </row>
    <row r="383" spans="1:20" x14ac:dyDescent="0.2">
      <c r="A383" t="str">
        <f>INDEX(Prioritization!$D:$D,MATCH($B383,Prioritization!$A:$A,0))</f>
        <v>4 - Sustained</v>
      </c>
      <c r="B383" t="s">
        <v>312</v>
      </c>
      <c r="C383" t="s">
        <v>971</v>
      </c>
      <c r="D383" t="s">
        <v>30</v>
      </c>
      <c r="E383" t="str">
        <f t="shared" si="53"/>
        <v>Rumphi District [lPTyjLi4w3d]|05-09|Female</v>
      </c>
      <c r="G383" s="38"/>
      <c r="H383" s="38"/>
      <c r="I383" s="240"/>
      <c r="J383" s="33"/>
      <c r="K383" s="33"/>
      <c r="L383" s="33">
        <f t="shared" si="54"/>
        <v>1</v>
      </c>
      <c r="M383" s="33">
        <f t="shared" si="55"/>
        <v>0.2</v>
      </c>
      <c r="N383" s="38" t="str">
        <f t="shared" si="62"/>
        <v/>
      </c>
      <c r="O383" s="218" t="str">
        <f t="shared" si="56"/>
        <v/>
      </c>
      <c r="P383" s="218" t="str">
        <f t="shared" si="57"/>
        <v/>
      </c>
      <c r="Q383" s="218" t="str">
        <f t="shared" si="58"/>
        <v/>
      </c>
      <c r="R383" s="218" t="str">
        <f t="shared" si="59"/>
        <v/>
      </c>
      <c r="S383" s="246" t="str">
        <f t="shared" si="60"/>
        <v/>
      </c>
      <c r="T383" s="218" t="str">
        <f t="shared" si="61"/>
        <v/>
      </c>
    </row>
    <row r="384" spans="1:20" x14ac:dyDescent="0.2">
      <c r="A384" t="str">
        <f>INDEX(Prioritization!$D:$D,MATCH($B384,Prioritization!$A:$A,0))</f>
        <v>4 - Sustained</v>
      </c>
      <c r="B384" t="s">
        <v>312</v>
      </c>
      <c r="C384" t="s">
        <v>971</v>
      </c>
      <c r="D384" t="s">
        <v>48</v>
      </c>
      <c r="E384" t="str">
        <f t="shared" si="53"/>
        <v>Rumphi District [lPTyjLi4w3d]|05-09|Male</v>
      </c>
      <c r="G384" s="38"/>
      <c r="H384" s="38"/>
      <c r="I384" s="240"/>
      <c r="J384" s="33"/>
      <c r="K384" s="33"/>
      <c r="L384" s="33">
        <f t="shared" si="54"/>
        <v>1</v>
      </c>
      <c r="M384" s="33">
        <f t="shared" si="55"/>
        <v>0.2</v>
      </c>
      <c r="N384" s="38" t="str">
        <f t="shared" si="62"/>
        <v/>
      </c>
      <c r="O384" s="218" t="str">
        <f t="shared" si="56"/>
        <v/>
      </c>
      <c r="P384" s="218" t="str">
        <f t="shared" si="57"/>
        <v/>
      </c>
      <c r="Q384" s="218" t="str">
        <f t="shared" si="58"/>
        <v/>
      </c>
      <c r="R384" s="218" t="str">
        <f t="shared" si="59"/>
        <v/>
      </c>
      <c r="S384" s="246" t="str">
        <f t="shared" si="60"/>
        <v/>
      </c>
      <c r="T384" s="237" t="str">
        <f t="shared" si="61"/>
        <v/>
      </c>
    </row>
    <row r="385" spans="1:20" x14ac:dyDescent="0.2">
      <c r="A385" t="str">
        <f>INDEX(Prioritization!$D:$D,MATCH($B385,Prioritization!$A:$A,0))</f>
        <v>4 - Sustained</v>
      </c>
      <c r="B385" t="s">
        <v>312</v>
      </c>
      <c r="C385" t="s">
        <v>474</v>
      </c>
      <c r="D385" t="s">
        <v>30</v>
      </c>
      <c r="E385" t="str">
        <f t="shared" si="53"/>
        <v>Rumphi District [lPTyjLi4w3d]|10-14|Female</v>
      </c>
      <c r="G385" s="38">
        <v>114</v>
      </c>
      <c r="H385" s="38">
        <v>1</v>
      </c>
      <c r="I385" s="241">
        <v>199</v>
      </c>
      <c r="J385" s="33"/>
      <c r="K385" s="33">
        <v>1</v>
      </c>
      <c r="L385" s="33">
        <f t="shared" si="54"/>
        <v>0</v>
      </c>
      <c r="M385" s="33" t="str">
        <f t="shared" si="55"/>
        <v/>
      </c>
      <c r="N385" s="229">
        <f t="shared" si="62"/>
        <v>200</v>
      </c>
      <c r="O385" s="218" t="str">
        <f t="shared" si="56"/>
        <v/>
      </c>
      <c r="P385" s="218">
        <f t="shared" si="57"/>
        <v>200</v>
      </c>
      <c r="Q385" s="218" t="str">
        <f t="shared" si="58"/>
        <v/>
      </c>
      <c r="R385" s="218" t="str">
        <f t="shared" si="59"/>
        <v/>
      </c>
      <c r="S385" s="246" t="str">
        <f t="shared" si="60"/>
        <v/>
      </c>
      <c r="T385" s="218" t="str">
        <f t="shared" si="61"/>
        <v/>
      </c>
    </row>
    <row r="386" spans="1:20" x14ac:dyDescent="0.2">
      <c r="A386" t="str">
        <f>INDEX(Prioritization!$D:$D,MATCH($B386,Prioritization!$A:$A,0))</f>
        <v>4 - Sustained</v>
      </c>
      <c r="B386" t="s">
        <v>312</v>
      </c>
      <c r="C386" t="s">
        <v>474</v>
      </c>
      <c r="D386" t="s">
        <v>48</v>
      </c>
      <c r="E386" t="str">
        <f t="shared" si="53"/>
        <v>Rumphi District [lPTyjLi4w3d]|10-14|Male</v>
      </c>
      <c r="G386" s="38">
        <v>61</v>
      </c>
      <c r="H386" s="38">
        <v>1</v>
      </c>
      <c r="I386" s="241">
        <v>149</v>
      </c>
      <c r="J386" s="33"/>
      <c r="K386" s="33">
        <v>1</v>
      </c>
      <c r="L386" s="33">
        <f t="shared" si="54"/>
        <v>0</v>
      </c>
      <c r="M386" s="33" t="str">
        <f t="shared" si="55"/>
        <v/>
      </c>
      <c r="N386" s="229">
        <f t="shared" si="62"/>
        <v>150</v>
      </c>
      <c r="O386" s="218" t="str">
        <f t="shared" si="56"/>
        <v/>
      </c>
      <c r="P386" s="218">
        <f t="shared" si="57"/>
        <v>150</v>
      </c>
      <c r="Q386" s="218" t="str">
        <f t="shared" si="58"/>
        <v/>
      </c>
      <c r="R386" s="218" t="str">
        <f t="shared" si="59"/>
        <v/>
      </c>
      <c r="S386" s="246" t="str">
        <f t="shared" si="60"/>
        <v/>
      </c>
      <c r="T386" s="237" t="str">
        <f t="shared" si="61"/>
        <v/>
      </c>
    </row>
    <row r="387" spans="1:20" x14ac:dyDescent="0.2">
      <c r="A387" t="str">
        <f>INDEX(Prioritization!$D:$D,MATCH($B387,Prioritization!$A:$A,0))</f>
        <v>4 - Sustained</v>
      </c>
      <c r="B387" t="s">
        <v>312</v>
      </c>
      <c r="C387" t="s">
        <v>972</v>
      </c>
      <c r="D387" t="s">
        <v>30</v>
      </c>
      <c r="E387" t="str">
        <f t="shared" si="53"/>
        <v>Rumphi District [lPTyjLi4w3d]|15-17|Female</v>
      </c>
      <c r="G387" s="38"/>
      <c r="H387" s="38"/>
      <c r="I387" s="240"/>
      <c r="J387" s="33"/>
      <c r="K387" s="33"/>
      <c r="L387" s="33">
        <f t="shared" si="54"/>
        <v>1</v>
      </c>
      <c r="M387" s="33">
        <f t="shared" si="55"/>
        <v>0.2</v>
      </c>
      <c r="N387" s="38" t="str">
        <f t="shared" si="62"/>
        <v/>
      </c>
      <c r="O387" s="218" t="str">
        <f t="shared" si="56"/>
        <v/>
      </c>
      <c r="P387" s="218" t="str">
        <f t="shared" si="57"/>
        <v/>
      </c>
      <c r="Q387" s="218" t="str">
        <f t="shared" si="58"/>
        <v/>
      </c>
      <c r="R387" s="218" t="str">
        <f t="shared" si="59"/>
        <v/>
      </c>
      <c r="S387" s="246" t="str">
        <f t="shared" si="60"/>
        <v/>
      </c>
      <c r="T387" s="218" t="str">
        <f t="shared" si="61"/>
        <v/>
      </c>
    </row>
    <row r="388" spans="1:20" x14ac:dyDescent="0.2">
      <c r="A388" t="str">
        <f>INDEX(Prioritization!$D:$D,MATCH($B388,Prioritization!$A:$A,0))</f>
        <v>4 - Sustained</v>
      </c>
      <c r="B388" t="s">
        <v>312</v>
      </c>
      <c r="C388" t="s">
        <v>972</v>
      </c>
      <c r="D388" t="s">
        <v>48</v>
      </c>
      <c r="E388" t="str">
        <f t="shared" si="53"/>
        <v>Rumphi District [lPTyjLi4w3d]|15-17|Male</v>
      </c>
      <c r="G388" s="38"/>
      <c r="H388" s="38"/>
      <c r="I388" s="240"/>
      <c r="J388" s="33"/>
      <c r="K388" s="33"/>
      <c r="L388" s="33">
        <f t="shared" si="54"/>
        <v>1</v>
      </c>
      <c r="M388" s="33">
        <f t="shared" si="55"/>
        <v>0.2</v>
      </c>
      <c r="N388" s="38" t="str">
        <f t="shared" si="62"/>
        <v/>
      </c>
      <c r="O388" s="218" t="str">
        <f t="shared" si="56"/>
        <v/>
      </c>
      <c r="P388" s="218" t="str">
        <f t="shared" si="57"/>
        <v/>
      </c>
      <c r="Q388" s="218" t="str">
        <f t="shared" si="58"/>
        <v/>
      </c>
      <c r="R388" s="218" t="str">
        <f t="shared" si="59"/>
        <v/>
      </c>
      <c r="S388" s="246" t="str">
        <f t="shared" si="60"/>
        <v/>
      </c>
      <c r="T388" s="237" t="str">
        <f t="shared" si="61"/>
        <v/>
      </c>
    </row>
    <row r="389" spans="1:20" x14ac:dyDescent="0.2">
      <c r="A389" t="str">
        <f>INDEX(Prioritization!$D:$D,MATCH($B389,Prioritization!$A:$A,0))</f>
        <v>4 - Sustained</v>
      </c>
      <c r="B389" t="s">
        <v>312</v>
      </c>
      <c r="C389" t="s">
        <v>974</v>
      </c>
      <c r="D389" t="s">
        <v>30</v>
      </c>
      <c r="E389" t="str">
        <f t="shared" si="53"/>
        <v>Rumphi District [lPTyjLi4w3d]|18+|Female</v>
      </c>
      <c r="G389" s="38"/>
      <c r="H389" s="38"/>
      <c r="I389" s="240"/>
      <c r="J389" s="33"/>
      <c r="K389" s="33"/>
      <c r="L389" s="33">
        <f t="shared" si="54"/>
        <v>1</v>
      </c>
      <c r="M389" s="33">
        <f t="shared" si="55"/>
        <v>0.2</v>
      </c>
      <c r="N389" s="38" t="str">
        <f t="shared" si="62"/>
        <v/>
      </c>
      <c r="O389" s="218" t="str">
        <f t="shared" si="56"/>
        <v/>
      </c>
      <c r="P389" s="218" t="str">
        <f t="shared" si="57"/>
        <v/>
      </c>
      <c r="Q389" s="218" t="str">
        <f t="shared" si="58"/>
        <v/>
      </c>
      <c r="R389" s="218" t="str">
        <f t="shared" si="59"/>
        <v/>
      </c>
      <c r="S389" s="246" t="str">
        <f t="shared" si="60"/>
        <v/>
      </c>
      <c r="T389" s="218" t="str">
        <f t="shared" si="61"/>
        <v/>
      </c>
    </row>
    <row r="390" spans="1:20" x14ac:dyDescent="0.2">
      <c r="A390" t="str">
        <f>INDEX(Prioritization!$D:$D,MATCH($B390,Prioritization!$A:$A,0))</f>
        <v>4 - Sustained</v>
      </c>
      <c r="B390" t="s">
        <v>312</v>
      </c>
      <c r="C390" t="s">
        <v>974</v>
      </c>
      <c r="D390" t="s">
        <v>48</v>
      </c>
      <c r="E390" t="str">
        <f t="shared" si="53"/>
        <v>Rumphi District [lPTyjLi4w3d]|18+|Male</v>
      </c>
      <c r="G390" s="38"/>
      <c r="H390" s="38"/>
      <c r="I390" s="240"/>
      <c r="J390" s="33"/>
      <c r="K390" s="33"/>
      <c r="L390" s="33">
        <f t="shared" si="54"/>
        <v>1</v>
      </c>
      <c r="M390" s="33">
        <f t="shared" si="55"/>
        <v>0.2</v>
      </c>
      <c r="N390" s="38" t="str">
        <f t="shared" si="62"/>
        <v/>
      </c>
      <c r="O390" s="218" t="str">
        <f t="shared" si="56"/>
        <v/>
      </c>
      <c r="P390" s="218" t="str">
        <f t="shared" si="57"/>
        <v/>
      </c>
      <c r="Q390" s="218" t="str">
        <f t="shared" si="58"/>
        <v/>
      </c>
      <c r="R390" s="218" t="str">
        <f t="shared" si="59"/>
        <v/>
      </c>
      <c r="S390" s="246" t="str">
        <f t="shared" si="60"/>
        <v/>
      </c>
      <c r="T390" s="237" t="str">
        <f t="shared" si="61"/>
        <v/>
      </c>
    </row>
    <row r="391" spans="1:20" x14ac:dyDescent="0.2">
      <c r="A391" t="str">
        <f>INDEX(Prioritization!$D:$D,MATCH($B391,Prioritization!$A:$A,0))</f>
        <v>4 - Sustained</v>
      </c>
      <c r="B391" t="s">
        <v>312</v>
      </c>
      <c r="C391" t="s">
        <v>973</v>
      </c>
      <c r="D391" t="s">
        <v>30</v>
      </c>
      <c r="E391" t="str">
        <f t="shared" si="53"/>
        <v>Rumphi District [lPTyjLi4w3d]|18-20|Female</v>
      </c>
      <c r="G391" s="38"/>
      <c r="H391" s="38"/>
      <c r="I391" s="240"/>
      <c r="J391" s="33"/>
      <c r="K391" s="33"/>
      <c r="L391" s="33">
        <f t="shared" si="54"/>
        <v>1</v>
      </c>
      <c r="M391" s="33">
        <f t="shared" si="55"/>
        <v>0.2</v>
      </c>
      <c r="N391" s="38" t="str">
        <f t="shared" si="62"/>
        <v/>
      </c>
      <c r="O391" s="218" t="str">
        <f t="shared" si="56"/>
        <v/>
      </c>
      <c r="P391" s="218" t="str">
        <f t="shared" si="57"/>
        <v/>
      </c>
      <c r="Q391" s="218" t="str">
        <f t="shared" si="58"/>
        <v/>
      </c>
      <c r="R391" s="218" t="str">
        <f t="shared" si="59"/>
        <v/>
      </c>
      <c r="S391" s="246" t="str">
        <f t="shared" si="60"/>
        <v/>
      </c>
      <c r="T391" s="218" t="str">
        <f t="shared" si="61"/>
        <v/>
      </c>
    </row>
    <row r="392" spans="1:20" x14ac:dyDescent="0.2">
      <c r="A392" t="str">
        <f>INDEX(Prioritization!$D:$D,MATCH($B392,Prioritization!$A:$A,0))</f>
        <v>4 - Sustained</v>
      </c>
      <c r="B392" t="s">
        <v>312</v>
      </c>
      <c r="C392" t="s">
        <v>973</v>
      </c>
      <c r="D392" t="s">
        <v>48</v>
      </c>
      <c r="E392" t="str">
        <f t="shared" si="53"/>
        <v>Rumphi District [lPTyjLi4w3d]|18-20|Male</v>
      </c>
      <c r="G392" s="38"/>
      <c r="H392" s="38"/>
      <c r="I392" s="240"/>
      <c r="J392" s="33"/>
      <c r="K392" s="33"/>
      <c r="L392" s="33">
        <f t="shared" si="54"/>
        <v>1</v>
      </c>
      <c r="M392" s="33">
        <f t="shared" si="55"/>
        <v>0.2</v>
      </c>
      <c r="N392" s="38" t="str">
        <f t="shared" si="62"/>
        <v/>
      </c>
      <c r="O392" s="218" t="str">
        <f t="shared" si="56"/>
        <v/>
      </c>
      <c r="P392" s="218" t="str">
        <f t="shared" si="57"/>
        <v/>
      </c>
      <c r="Q392" s="218" t="str">
        <f t="shared" si="58"/>
        <v/>
      </c>
      <c r="R392" s="218" t="str">
        <f t="shared" si="59"/>
        <v/>
      </c>
      <c r="S392" s="246" t="str">
        <f t="shared" si="60"/>
        <v/>
      </c>
      <c r="T392" s="237" t="str">
        <f t="shared" si="61"/>
        <v/>
      </c>
    </row>
    <row r="393" spans="1:20" x14ac:dyDescent="0.2">
      <c r="A393" t="str">
        <f>INDEX(Prioritization!$D:$D,MATCH($B393,Prioritization!$A:$A,0))</f>
        <v>4 - Sustained</v>
      </c>
      <c r="B393" t="s">
        <v>306</v>
      </c>
      <c r="C393" t="s">
        <v>426</v>
      </c>
      <c r="D393" t="s">
        <v>30</v>
      </c>
      <c r="E393" t="str">
        <f t="shared" si="53"/>
        <v>Salima District [msW2zpIN7up]|&lt;01|Female</v>
      </c>
      <c r="G393" s="38"/>
      <c r="H393" s="38"/>
      <c r="I393" s="240"/>
      <c r="J393" s="33"/>
      <c r="K393" s="33"/>
      <c r="L393" s="33">
        <f t="shared" si="54"/>
        <v>1</v>
      </c>
      <c r="M393" s="33">
        <f t="shared" si="55"/>
        <v>0.2</v>
      </c>
      <c r="N393" s="38" t="str">
        <f t="shared" si="62"/>
        <v/>
      </c>
      <c r="O393" s="218" t="str">
        <f t="shared" si="56"/>
        <v/>
      </c>
      <c r="P393" s="218" t="str">
        <f t="shared" si="57"/>
        <v/>
      </c>
      <c r="Q393" s="218" t="str">
        <f t="shared" si="58"/>
        <v/>
      </c>
      <c r="R393" s="218" t="str">
        <f t="shared" si="59"/>
        <v/>
      </c>
      <c r="S393" s="246" t="str">
        <f t="shared" si="60"/>
        <v/>
      </c>
      <c r="T393" s="218" t="str">
        <f t="shared" si="61"/>
        <v/>
      </c>
    </row>
    <row r="394" spans="1:20" x14ac:dyDescent="0.2">
      <c r="A394" t="str">
        <f>INDEX(Prioritization!$D:$D,MATCH($B394,Prioritization!$A:$A,0))</f>
        <v>4 - Sustained</v>
      </c>
      <c r="B394" t="s">
        <v>306</v>
      </c>
      <c r="C394" t="s">
        <v>426</v>
      </c>
      <c r="D394" t="s">
        <v>48</v>
      </c>
      <c r="E394" t="str">
        <f t="shared" si="53"/>
        <v>Salima District [msW2zpIN7up]|&lt;01|Male</v>
      </c>
      <c r="G394" s="38"/>
      <c r="H394" s="38"/>
      <c r="I394" s="240"/>
      <c r="J394" s="33"/>
      <c r="K394" s="33"/>
      <c r="L394" s="33">
        <f t="shared" si="54"/>
        <v>1</v>
      </c>
      <c r="M394" s="33">
        <f t="shared" si="55"/>
        <v>0.2</v>
      </c>
      <c r="N394" s="38" t="str">
        <f t="shared" si="62"/>
        <v/>
      </c>
      <c r="O394" s="218" t="str">
        <f t="shared" si="56"/>
        <v/>
      </c>
      <c r="P394" s="218" t="str">
        <f t="shared" si="57"/>
        <v/>
      </c>
      <c r="Q394" s="218" t="str">
        <f t="shared" si="58"/>
        <v/>
      </c>
      <c r="R394" s="218" t="str">
        <f t="shared" si="59"/>
        <v/>
      </c>
      <c r="S394" s="246" t="str">
        <f t="shared" si="60"/>
        <v/>
      </c>
      <c r="T394" s="237" t="str">
        <f t="shared" si="61"/>
        <v/>
      </c>
    </row>
    <row r="395" spans="1:20" x14ac:dyDescent="0.2">
      <c r="A395" t="str">
        <f>INDEX(Prioritization!$D:$D,MATCH($B395,Prioritization!$A:$A,0))</f>
        <v>4 - Sustained</v>
      </c>
      <c r="B395" t="s">
        <v>306</v>
      </c>
      <c r="C395" t="s">
        <v>970</v>
      </c>
      <c r="D395" t="s">
        <v>30</v>
      </c>
      <c r="E395" t="str">
        <f t="shared" si="53"/>
        <v>Salima District [msW2zpIN7up]|01-04|Female</v>
      </c>
      <c r="G395" s="38"/>
      <c r="H395" s="38"/>
      <c r="I395" s="240"/>
      <c r="J395" s="33"/>
      <c r="K395" s="33"/>
      <c r="L395" s="33">
        <f t="shared" si="54"/>
        <v>1</v>
      </c>
      <c r="M395" s="33">
        <f t="shared" si="55"/>
        <v>0.2</v>
      </c>
      <c r="N395" s="38" t="str">
        <f t="shared" si="62"/>
        <v/>
      </c>
      <c r="O395" s="218" t="str">
        <f t="shared" si="56"/>
        <v/>
      </c>
      <c r="P395" s="218" t="str">
        <f t="shared" si="57"/>
        <v/>
      </c>
      <c r="Q395" s="218" t="str">
        <f t="shared" si="58"/>
        <v/>
      </c>
      <c r="R395" s="218" t="str">
        <f t="shared" si="59"/>
        <v/>
      </c>
      <c r="S395" s="246" t="str">
        <f t="shared" si="60"/>
        <v/>
      </c>
      <c r="T395" s="218" t="str">
        <f t="shared" si="61"/>
        <v/>
      </c>
    </row>
    <row r="396" spans="1:20" x14ac:dyDescent="0.2">
      <c r="A396" t="str">
        <f>INDEX(Prioritization!$D:$D,MATCH($B396,Prioritization!$A:$A,0))</f>
        <v>4 - Sustained</v>
      </c>
      <c r="B396" t="s">
        <v>306</v>
      </c>
      <c r="C396" t="s">
        <v>970</v>
      </c>
      <c r="D396" t="s">
        <v>48</v>
      </c>
      <c r="E396" t="str">
        <f t="shared" si="53"/>
        <v>Salima District [msW2zpIN7up]|01-04|Male</v>
      </c>
      <c r="G396" s="38"/>
      <c r="H396" s="38"/>
      <c r="I396" s="240"/>
      <c r="J396" s="33"/>
      <c r="K396" s="33"/>
      <c r="L396" s="33">
        <f t="shared" si="54"/>
        <v>1</v>
      </c>
      <c r="M396" s="33">
        <f t="shared" si="55"/>
        <v>0.2</v>
      </c>
      <c r="N396" s="38" t="str">
        <f t="shared" si="62"/>
        <v/>
      </c>
      <c r="O396" s="218" t="str">
        <f t="shared" si="56"/>
        <v/>
      </c>
      <c r="P396" s="218" t="str">
        <f t="shared" si="57"/>
        <v/>
      </c>
      <c r="Q396" s="218" t="str">
        <f t="shared" si="58"/>
        <v/>
      </c>
      <c r="R396" s="218" t="str">
        <f t="shared" si="59"/>
        <v/>
      </c>
      <c r="S396" s="246" t="str">
        <f t="shared" si="60"/>
        <v/>
      </c>
      <c r="T396" s="237" t="str">
        <f t="shared" si="61"/>
        <v/>
      </c>
    </row>
    <row r="397" spans="1:20" x14ac:dyDescent="0.2">
      <c r="A397" t="str">
        <f>INDEX(Prioritization!$D:$D,MATCH($B397,Prioritization!$A:$A,0))</f>
        <v>4 - Sustained</v>
      </c>
      <c r="B397" t="s">
        <v>306</v>
      </c>
      <c r="C397" t="s">
        <v>971</v>
      </c>
      <c r="D397" t="s">
        <v>30</v>
      </c>
      <c r="E397" t="str">
        <f t="shared" si="53"/>
        <v>Salima District [msW2zpIN7up]|05-09|Female</v>
      </c>
      <c r="G397" s="38"/>
      <c r="H397" s="38"/>
      <c r="I397" s="240"/>
      <c r="J397" s="33"/>
      <c r="K397" s="33"/>
      <c r="L397" s="33">
        <f t="shared" si="54"/>
        <v>1</v>
      </c>
      <c r="M397" s="33">
        <f t="shared" si="55"/>
        <v>0.2</v>
      </c>
      <c r="N397" s="38" t="str">
        <f t="shared" si="62"/>
        <v/>
      </c>
      <c r="O397" s="218" t="str">
        <f t="shared" si="56"/>
        <v/>
      </c>
      <c r="P397" s="218" t="str">
        <f t="shared" si="57"/>
        <v/>
      </c>
      <c r="Q397" s="218" t="str">
        <f t="shared" si="58"/>
        <v/>
      </c>
      <c r="R397" s="218" t="str">
        <f t="shared" si="59"/>
        <v/>
      </c>
      <c r="S397" s="246" t="str">
        <f t="shared" si="60"/>
        <v/>
      </c>
      <c r="T397" s="218" t="str">
        <f t="shared" si="61"/>
        <v/>
      </c>
    </row>
    <row r="398" spans="1:20" x14ac:dyDescent="0.2">
      <c r="A398" t="str">
        <f>INDEX(Prioritization!$D:$D,MATCH($B398,Prioritization!$A:$A,0))</f>
        <v>4 - Sustained</v>
      </c>
      <c r="B398" t="s">
        <v>306</v>
      </c>
      <c r="C398" t="s">
        <v>971</v>
      </c>
      <c r="D398" t="s">
        <v>48</v>
      </c>
      <c r="E398" t="str">
        <f t="shared" si="53"/>
        <v>Salima District [msW2zpIN7up]|05-09|Male</v>
      </c>
      <c r="G398" s="38"/>
      <c r="H398" s="38"/>
      <c r="I398" s="240"/>
      <c r="J398" s="33"/>
      <c r="K398" s="33"/>
      <c r="L398" s="33">
        <f t="shared" si="54"/>
        <v>1</v>
      </c>
      <c r="M398" s="33">
        <f t="shared" si="55"/>
        <v>0.2</v>
      </c>
      <c r="N398" s="38" t="str">
        <f t="shared" si="62"/>
        <v/>
      </c>
      <c r="O398" s="218" t="str">
        <f t="shared" si="56"/>
        <v/>
      </c>
      <c r="P398" s="218" t="str">
        <f t="shared" si="57"/>
        <v/>
      </c>
      <c r="Q398" s="218" t="str">
        <f t="shared" si="58"/>
        <v/>
      </c>
      <c r="R398" s="218" t="str">
        <f t="shared" si="59"/>
        <v/>
      </c>
      <c r="S398" s="246" t="str">
        <f t="shared" si="60"/>
        <v/>
      </c>
      <c r="T398" s="237" t="str">
        <f t="shared" si="61"/>
        <v/>
      </c>
    </row>
    <row r="399" spans="1:20" x14ac:dyDescent="0.2">
      <c r="A399" t="str">
        <f>INDEX(Prioritization!$D:$D,MATCH($B399,Prioritization!$A:$A,0))</f>
        <v>4 - Sustained</v>
      </c>
      <c r="B399" t="s">
        <v>306</v>
      </c>
      <c r="C399" t="s">
        <v>474</v>
      </c>
      <c r="D399" t="s">
        <v>30</v>
      </c>
      <c r="E399" t="str">
        <f t="shared" ref="E399:E434" si="63">$B399&amp;"|"&amp;$C399&amp;"|"&amp;$D399</f>
        <v>Salima District [msW2zpIN7up]|10-14|Female</v>
      </c>
      <c r="G399" s="38">
        <v>30</v>
      </c>
      <c r="H399" s="38">
        <v>56</v>
      </c>
      <c r="I399" s="241">
        <v>0.428571429</v>
      </c>
      <c r="J399" s="33"/>
      <c r="K399" s="33">
        <v>1</v>
      </c>
      <c r="L399" s="33">
        <f t="shared" ref="L399:L434" si="64">1-SUM(J399:K399)</f>
        <v>0</v>
      </c>
      <c r="M399" s="33" t="str">
        <f t="shared" ref="M399:M434" si="65">IF(SUM($L399)=0,"",20%)</f>
        <v/>
      </c>
      <c r="N399" s="38">
        <f t="shared" si="62"/>
        <v>80</v>
      </c>
      <c r="O399" s="218" t="str">
        <f t="shared" ref="O399:O434" si="66">IF(OR(SUM($N399)=0,SUM($J399)=0,NOT(AND($D399="Female",$F399="Y",OR($C399="10-14",$C399="15-17")))),"",ROUND($N399*$J399,0))</f>
        <v/>
      </c>
      <c r="P399" s="218">
        <f t="shared" ref="P399:P434" si="67">IF(OR(SUM($N399)=0,SUM($K399)=0,NOT(OR($C399="10-14",$C399="05-09"))),"",ROUND($N399*$K399,0))</f>
        <v>80</v>
      </c>
      <c r="Q399" s="218" t="str">
        <f t="shared" ref="Q399:Q434" si="68">IFERROR(1/(1/ROUND($N399*$L399*$M399,0)),"")</f>
        <v/>
      </c>
      <c r="R399" s="218" t="str">
        <f t="shared" ref="R399:R434" si="69">IFERROR(1/(1/(ROUND($N399*$L399,0)-$Q399)),"")</f>
        <v/>
      </c>
      <c r="S399" s="246" t="str">
        <f t="shared" ref="S399:S434" si="70">IF(OR($C399="18+",SUM($Q399,$R399)=0),"",100%)</f>
        <v/>
      </c>
      <c r="T399" s="218" t="str">
        <f t="shared" ref="T399:T434" si="71">IF(OR($C399="18+",SUM($Q399,$R399)=0),"",ROUND(SUM($Q399,$R399)*$S399,0))</f>
        <v/>
      </c>
    </row>
    <row r="400" spans="1:20" x14ac:dyDescent="0.2">
      <c r="A400" t="str">
        <f>INDEX(Prioritization!$D:$D,MATCH($B400,Prioritization!$A:$A,0))</f>
        <v>4 - Sustained</v>
      </c>
      <c r="B400" t="s">
        <v>306</v>
      </c>
      <c r="C400" t="s">
        <v>474</v>
      </c>
      <c r="D400" t="s">
        <v>48</v>
      </c>
      <c r="E400" t="str">
        <f t="shared" si="63"/>
        <v>Salima District [msW2zpIN7up]|10-14|Male</v>
      </c>
      <c r="G400" s="38">
        <v>26</v>
      </c>
      <c r="H400" s="38">
        <v>44</v>
      </c>
      <c r="I400" s="241">
        <v>0.36363636399999999</v>
      </c>
      <c r="J400" s="33"/>
      <c r="K400" s="33">
        <v>1</v>
      </c>
      <c r="L400" s="33">
        <f t="shared" si="64"/>
        <v>0</v>
      </c>
      <c r="M400" s="33" t="str">
        <f t="shared" si="65"/>
        <v/>
      </c>
      <c r="N400" s="38">
        <f t="shared" ref="N400:N434" si="72">IF(SUM($H400)=0,"",ROUND($H400*(1+$I400),0))</f>
        <v>60</v>
      </c>
      <c r="O400" s="218" t="str">
        <f t="shared" si="66"/>
        <v/>
      </c>
      <c r="P400" s="218">
        <f t="shared" si="67"/>
        <v>60</v>
      </c>
      <c r="Q400" s="218" t="str">
        <f t="shared" si="68"/>
        <v/>
      </c>
      <c r="R400" s="218" t="str">
        <f t="shared" si="69"/>
        <v/>
      </c>
      <c r="S400" s="246" t="str">
        <f t="shared" si="70"/>
        <v/>
      </c>
      <c r="T400" s="237" t="str">
        <f t="shared" si="71"/>
        <v/>
      </c>
    </row>
    <row r="401" spans="1:20" x14ac:dyDescent="0.2">
      <c r="A401" t="str">
        <f>INDEX(Prioritization!$D:$D,MATCH($B401,Prioritization!$A:$A,0))</f>
        <v>4 - Sustained</v>
      </c>
      <c r="B401" t="s">
        <v>306</v>
      </c>
      <c r="C401" t="s">
        <v>972</v>
      </c>
      <c r="D401" t="s">
        <v>30</v>
      </c>
      <c r="E401" t="str">
        <f t="shared" si="63"/>
        <v>Salima District [msW2zpIN7up]|15-17|Female</v>
      </c>
      <c r="G401" s="38"/>
      <c r="H401" s="38"/>
      <c r="I401" s="240"/>
      <c r="J401" s="33"/>
      <c r="K401" s="33"/>
      <c r="L401" s="33">
        <f t="shared" si="64"/>
        <v>1</v>
      </c>
      <c r="M401" s="33">
        <f t="shared" si="65"/>
        <v>0.2</v>
      </c>
      <c r="N401" s="38" t="str">
        <f t="shared" si="72"/>
        <v/>
      </c>
      <c r="O401" s="218" t="str">
        <f t="shared" si="66"/>
        <v/>
      </c>
      <c r="P401" s="218" t="str">
        <f t="shared" si="67"/>
        <v/>
      </c>
      <c r="Q401" s="218" t="str">
        <f t="shared" si="68"/>
        <v/>
      </c>
      <c r="R401" s="218" t="str">
        <f t="shared" si="69"/>
        <v/>
      </c>
      <c r="S401" s="246" t="str">
        <f t="shared" si="70"/>
        <v/>
      </c>
      <c r="T401" s="218" t="str">
        <f t="shared" si="71"/>
        <v/>
      </c>
    </row>
    <row r="402" spans="1:20" x14ac:dyDescent="0.2">
      <c r="A402" t="str">
        <f>INDEX(Prioritization!$D:$D,MATCH($B402,Prioritization!$A:$A,0))</f>
        <v>4 - Sustained</v>
      </c>
      <c r="B402" t="s">
        <v>306</v>
      </c>
      <c r="C402" t="s">
        <v>972</v>
      </c>
      <c r="D402" t="s">
        <v>48</v>
      </c>
      <c r="E402" t="str">
        <f t="shared" si="63"/>
        <v>Salima District [msW2zpIN7up]|15-17|Male</v>
      </c>
      <c r="G402" s="38"/>
      <c r="H402" s="38"/>
      <c r="I402" s="240"/>
      <c r="J402" s="33"/>
      <c r="K402" s="33"/>
      <c r="L402" s="33">
        <f t="shared" si="64"/>
        <v>1</v>
      </c>
      <c r="M402" s="33">
        <f t="shared" si="65"/>
        <v>0.2</v>
      </c>
      <c r="N402" s="38" t="str">
        <f t="shared" si="72"/>
        <v/>
      </c>
      <c r="O402" s="218" t="str">
        <f t="shared" si="66"/>
        <v/>
      </c>
      <c r="P402" s="218" t="str">
        <f t="shared" si="67"/>
        <v/>
      </c>
      <c r="Q402" s="218" t="str">
        <f t="shared" si="68"/>
        <v/>
      </c>
      <c r="R402" s="218" t="str">
        <f t="shared" si="69"/>
        <v/>
      </c>
      <c r="S402" s="246" t="str">
        <f t="shared" si="70"/>
        <v/>
      </c>
      <c r="T402" s="237" t="str">
        <f t="shared" si="71"/>
        <v/>
      </c>
    </row>
    <row r="403" spans="1:20" x14ac:dyDescent="0.2">
      <c r="A403" t="str">
        <f>INDEX(Prioritization!$D:$D,MATCH($B403,Prioritization!$A:$A,0))</f>
        <v>4 - Sustained</v>
      </c>
      <c r="B403" t="s">
        <v>306</v>
      </c>
      <c r="C403" t="s">
        <v>974</v>
      </c>
      <c r="D403" t="s">
        <v>30</v>
      </c>
      <c r="E403" t="str">
        <f t="shared" si="63"/>
        <v>Salima District [msW2zpIN7up]|18+|Female</v>
      </c>
      <c r="G403" s="38"/>
      <c r="H403" s="38"/>
      <c r="I403" s="240"/>
      <c r="J403" s="33"/>
      <c r="K403" s="33"/>
      <c r="L403" s="33">
        <f t="shared" si="64"/>
        <v>1</v>
      </c>
      <c r="M403" s="33">
        <f t="shared" si="65"/>
        <v>0.2</v>
      </c>
      <c r="N403" s="38" t="str">
        <f t="shared" si="72"/>
        <v/>
      </c>
      <c r="O403" s="218" t="str">
        <f t="shared" si="66"/>
        <v/>
      </c>
      <c r="P403" s="218" t="str">
        <f t="shared" si="67"/>
        <v/>
      </c>
      <c r="Q403" s="218" t="str">
        <f t="shared" si="68"/>
        <v/>
      </c>
      <c r="R403" s="218" t="str">
        <f t="shared" si="69"/>
        <v/>
      </c>
      <c r="S403" s="246" t="str">
        <f t="shared" si="70"/>
        <v/>
      </c>
      <c r="T403" s="218" t="str">
        <f t="shared" si="71"/>
        <v/>
      </c>
    </row>
    <row r="404" spans="1:20" x14ac:dyDescent="0.2">
      <c r="A404" t="str">
        <f>INDEX(Prioritization!$D:$D,MATCH($B404,Prioritization!$A:$A,0))</f>
        <v>4 - Sustained</v>
      </c>
      <c r="B404" t="s">
        <v>306</v>
      </c>
      <c r="C404" t="s">
        <v>974</v>
      </c>
      <c r="D404" t="s">
        <v>48</v>
      </c>
      <c r="E404" t="str">
        <f t="shared" si="63"/>
        <v>Salima District [msW2zpIN7up]|18+|Male</v>
      </c>
      <c r="G404" s="38"/>
      <c r="H404" s="38"/>
      <c r="I404" s="240"/>
      <c r="J404" s="33"/>
      <c r="K404" s="33"/>
      <c r="L404" s="33">
        <f t="shared" si="64"/>
        <v>1</v>
      </c>
      <c r="M404" s="33">
        <f t="shared" si="65"/>
        <v>0.2</v>
      </c>
      <c r="N404" s="38" t="str">
        <f t="shared" si="72"/>
        <v/>
      </c>
      <c r="O404" s="218" t="str">
        <f t="shared" si="66"/>
        <v/>
      </c>
      <c r="P404" s="218" t="str">
        <f t="shared" si="67"/>
        <v/>
      </c>
      <c r="Q404" s="218" t="str">
        <f t="shared" si="68"/>
        <v/>
      </c>
      <c r="R404" s="218" t="str">
        <f t="shared" si="69"/>
        <v/>
      </c>
      <c r="S404" s="246" t="str">
        <f t="shared" si="70"/>
        <v/>
      </c>
      <c r="T404" s="237" t="str">
        <f t="shared" si="71"/>
        <v/>
      </c>
    </row>
    <row r="405" spans="1:20" x14ac:dyDescent="0.2">
      <c r="A405" t="str">
        <f>INDEX(Prioritization!$D:$D,MATCH($B405,Prioritization!$A:$A,0))</f>
        <v>4 - Sustained</v>
      </c>
      <c r="B405" t="s">
        <v>306</v>
      </c>
      <c r="C405" t="s">
        <v>973</v>
      </c>
      <c r="D405" t="s">
        <v>30</v>
      </c>
      <c r="E405" t="str">
        <f t="shared" si="63"/>
        <v>Salima District [msW2zpIN7up]|18-20|Female</v>
      </c>
      <c r="G405" s="38"/>
      <c r="H405" s="38"/>
      <c r="I405" s="240"/>
      <c r="J405" s="33"/>
      <c r="K405" s="33"/>
      <c r="L405" s="33">
        <f t="shared" si="64"/>
        <v>1</v>
      </c>
      <c r="M405" s="33">
        <f t="shared" si="65"/>
        <v>0.2</v>
      </c>
      <c r="N405" s="38" t="str">
        <f t="shared" si="72"/>
        <v/>
      </c>
      <c r="O405" s="218" t="str">
        <f t="shared" si="66"/>
        <v/>
      </c>
      <c r="P405" s="218" t="str">
        <f t="shared" si="67"/>
        <v/>
      </c>
      <c r="Q405" s="218" t="str">
        <f t="shared" si="68"/>
        <v/>
      </c>
      <c r="R405" s="218" t="str">
        <f t="shared" si="69"/>
        <v/>
      </c>
      <c r="S405" s="246" t="str">
        <f t="shared" si="70"/>
        <v/>
      </c>
      <c r="T405" s="218" t="str">
        <f t="shared" si="71"/>
        <v/>
      </c>
    </row>
    <row r="406" spans="1:20" x14ac:dyDescent="0.2">
      <c r="A406" t="str">
        <f>INDEX(Prioritization!$D:$D,MATCH($B406,Prioritization!$A:$A,0))</f>
        <v>4 - Sustained</v>
      </c>
      <c r="B406" t="s">
        <v>306</v>
      </c>
      <c r="C406" t="s">
        <v>973</v>
      </c>
      <c r="D406" t="s">
        <v>48</v>
      </c>
      <c r="E406" t="str">
        <f t="shared" si="63"/>
        <v>Salima District [msW2zpIN7up]|18-20|Male</v>
      </c>
      <c r="G406" s="38"/>
      <c r="H406" s="38"/>
      <c r="I406" s="240"/>
      <c r="J406" s="33"/>
      <c r="K406" s="33"/>
      <c r="L406" s="33">
        <f t="shared" si="64"/>
        <v>1</v>
      </c>
      <c r="M406" s="33">
        <f t="shared" si="65"/>
        <v>0.2</v>
      </c>
      <c r="N406" s="38" t="str">
        <f t="shared" si="72"/>
        <v/>
      </c>
      <c r="O406" s="218" t="str">
        <f t="shared" si="66"/>
        <v/>
      </c>
      <c r="P406" s="218" t="str">
        <f t="shared" si="67"/>
        <v/>
      </c>
      <c r="Q406" s="218" t="str">
        <f t="shared" si="68"/>
        <v/>
      </c>
      <c r="R406" s="218" t="str">
        <f t="shared" si="69"/>
        <v/>
      </c>
      <c r="S406" s="246" t="str">
        <f t="shared" si="70"/>
        <v/>
      </c>
      <c r="T406" s="237" t="str">
        <f t="shared" si="71"/>
        <v/>
      </c>
    </row>
    <row r="407" spans="1:20" x14ac:dyDescent="0.2">
      <c r="A407" t="str">
        <f>INDEX(Prioritization!$D:$D,MATCH($B407,Prioritization!$A:$A,0))</f>
        <v>INVALID</v>
      </c>
      <c r="B407" t="s">
        <v>324</v>
      </c>
      <c r="C407" t="s">
        <v>426</v>
      </c>
      <c r="D407" t="s">
        <v>30</v>
      </c>
      <c r="E407" t="str">
        <f t="shared" si="63"/>
        <v>Thyolo District [ul0y9diGujK]|&lt;01|Female</v>
      </c>
      <c r="G407" s="38">
        <v>89</v>
      </c>
      <c r="H407" s="38">
        <v>418</v>
      </c>
      <c r="I407" s="241">
        <v>-0.94258373200000001</v>
      </c>
      <c r="J407" s="33"/>
      <c r="K407" s="33"/>
      <c r="L407" s="33">
        <f t="shared" si="64"/>
        <v>1</v>
      </c>
      <c r="M407" s="33">
        <v>1.1000000000000001</v>
      </c>
      <c r="N407" s="38">
        <f t="shared" si="72"/>
        <v>24</v>
      </c>
      <c r="O407" s="218" t="str">
        <f t="shared" si="66"/>
        <v/>
      </c>
      <c r="P407" s="218" t="str">
        <f t="shared" si="67"/>
        <v/>
      </c>
      <c r="Q407" s="218">
        <f t="shared" si="68"/>
        <v>26</v>
      </c>
      <c r="R407" s="218">
        <f t="shared" si="69"/>
        <v>-2</v>
      </c>
      <c r="S407" s="246">
        <f t="shared" si="70"/>
        <v>1</v>
      </c>
      <c r="T407" s="218">
        <f t="shared" si="71"/>
        <v>24</v>
      </c>
    </row>
    <row r="408" spans="1:20" x14ac:dyDescent="0.2">
      <c r="A408" t="str">
        <f>INDEX(Prioritization!$D:$D,MATCH($B408,Prioritization!$A:$A,0))</f>
        <v>INVALID</v>
      </c>
      <c r="B408" t="s">
        <v>324</v>
      </c>
      <c r="C408" t="s">
        <v>426</v>
      </c>
      <c r="D408" t="s">
        <v>48</v>
      </c>
      <c r="E408" t="str">
        <f t="shared" si="63"/>
        <v>Thyolo District [ul0y9diGujK]|&lt;01|Male</v>
      </c>
      <c r="G408" s="38">
        <v>95</v>
      </c>
      <c r="H408" s="38">
        <v>418</v>
      </c>
      <c r="I408" s="241">
        <v>-0.94258373200000001</v>
      </c>
      <c r="J408" s="33"/>
      <c r="K408" s="33"/>
      <c r="L408" s="33">
        <f t="shared" si="64"/>
        <v>1</v>
      </c>
      <c r="M408" s="33">
        <v>1.1000000000000001</v>
      </c>
      <c r="N408" s="38">
        <f t="shared" si="72"/>
        <v>24</v>
      </c>
      <c r="O408" s="218" t="str">
        <f t="shared" si="66"/>
        <v/>
      </c>
      <c r="P408" s="218" t="str">
        <f t="shared" si="67"/>
        <v/>
      </c>
      <c r="Q408" s="218">
        <f t="shared" si="68"/>
        <v>26</v>
      </c>
      <c r="R408" s="218">
        <f t="shared" si="69"/>
        <v>-2</v>
      </c>
      <c r="S408" s="246">
        <f t="shared" si="70"/>
        <v>1</v>
      </c>
      <c r="T408" s="237">
        <f t="shared" si="71"/>
        <v>24</v>
      </c>
    </row>
    <row r="409" spans="1:20" x14ac:dyDescent="0.2">
      <c r="A409" t="str">
        <f>INDEX(Prioritization!$D:$D,MATCH($B409,Prioritization!$A:$A,0))</f>
        <v>INVALID</v>
      </c>
      <c r="B409" t="s">
        <v>324</v>
      </c>
      <c r="C409" t="s">
        <v>970</v>
      </c>
      <c r="D409" t="s">
        <v>30</v>
      </c>
      <c r="E409" t="str">
        <f t="shared" si="63"/>
        <v>Thyolo District [ul0y9diGujK]|01-04|Female</v>
      </c>
      <c r="G409" s="38">
        <v>1187</v>
      </c>
      <c r="H409" s="38">
        <v>550</v>
      </c>
      <c r="I409" s="241">
        <v>2.5454544999999999E-2</v>
      </c>
      <c r="J409" s="33"/>
      <c r="K409" s="33"/>
      <c r="L409" s="33">
        <f t="shared" si="64"/>
        <v>1</v>
      </c>
      <c r="M409" s="33">
        <v>1.1000000000000001</v>
      </c>
      <c r="N409" s="38">
        <f t="shared" si="72"/>
        <v>564</v>
      </c>
      <c r="O409" s="218" t="str">
        <f t="shared" si="66"/>
        <v/>
      </c>
      <c r="P409" s="218" t="str">
        <f t="shared" si="67"/>
        <v/>
      </c>
      <c r="Q409" s="218">
        <f t="shared" si="68"/>
        <v>620</v>
      </c>
      <c r="R409" s="218">
        <f t="shared" si="69"/>
        <v>-56</v>
      </c>
      <c r="S409" s="246">
        <f t="shared" si="70"/>
        <v>1</v>
      </c>
      <c r="T409" s="218">
        <f t="shared" si="71"/>
        <v>564</v>
      </c>
    </row>
    <row r="410" spans="1:20" x14ac:dyDescent="0.2">
      <c r="A410" t="str">
        <f>INDEX(Prioritization!$D:$D,MATCH($B410,Prioritization!$A:$A,0))</f>
        <v>INVALID</v>
      </c>
      <c r="B410" t="s">
        <v>324</v>
      </c>
      <c r="C410" t="s">
        <v>970</v>
      </c>
      <c r="D410" t="s">
        <v>48</v>
      </c>
      <c r="E410" t="str">
        <f t="shared" si="63"/>
        <v>Thyolo District [ul0y9diGujK]|01-04|Male</v>
      </c>
      <c r="G410" s="38">
        <v>1194</v>
      </c>
      <c r="H410" s="38">
        <v>559</v>
      </c>
      <c r="I410" s="241">
        <v>2.5044723000000001E-2</v>
      </c>
      <c r="J410" s="33"/>
      <c r="K410" s="33"/>
      <c r="L410" s="33">
        <f t="shared" si="64"/>
        <v>1</v>
      </c>
      <c r="M410" s="33">
        <v>1.1000000000000001</v>
      </c>
      <c r="N410" s="38">
        <f t="shared" si="72"/>
        <v>573</v>
      </c>
      <c r="O410" s="218" t="str">
        <f t="shared" si="66"/>
        <v/>
      </c>
      <c r="P410" s="218" t="str">
        <f t="shared" si="67"/>
        <v/>
      </c>
      <c r="Q410" s="218">
        <f t="shared" si="68"/>
        <v>630</v>
      </c>
      <c r="R410" s="218">
        <f t="shared" si="69"/>
        <v>-57</v>
      </c>
      <c r="S410" s="246">
        <f t="shared" si="70"/>
        <v>1</v>
      </c>
      <c r="T410" s="237">
        <f t="shared" si="71"/>
        <v>573</v>
      </c>
    </row>
    <row r="411" spans="1:20" x14ac:dyDescent="0.2">
      <c r="A411" t="str">
        <f>INDEX(Prioritization!$D:$D,MATCH($B411,Prioritization!$A:$A,0))</f>
        <v>INVALID</v>
      </c>
      <c r="B411" t="s">
        <v>324</v>
      </c>
      <c r="C411" t="s">
        <v>971</v>
      </c>
      <c r="D411" t="s">
        <v>30</v>
      </c>
      <c r="E411" t="str">
        <f t="shared" si="63"/>
        <v>Thyolo District [ul0y9diGujK]|05-09|Female</v>
      </c>
      <c r="G411" s="38">
        <v>1105</v>
      </c>
      <c r="H411" s="38">
        <v>550</v>
      </c>
      <c r="I411" s="241">
        <v>2.5454544999999999E-2</v>
      </c>
      <c r="J411" s="33"/>
      <c r="K411" s="33"/>
      <c r="L411" s="33">
        <f t="shared" si="64"/>
        <v>1</v>
      </c>
      <c r="M411" s="33">
        <v>1.1000000000000001</v>
      </c>
      <c r="N411" s="38">
        <f t="shared" si="72"/>
        <v>564</v>
      </c>
      <c r="O411" s="218" t="str">
        <f t="shared" si="66"/>
        <v/>
      </c>
      <c r="P411" s="218" t="str">
        <f t="shared" si="67"/>
        <v/>
      </c>
      <c r="Q411" s="218">
        <f t="shared" si="68"/>
        <v>620</v>
      </c>
      <c r="R411" s="218">
        <f t="shared" si="69"/>
        <v>-56</v>
      </c>
      <c r="S411" s="246">
        <f t="shared" si="70"/>
        <v>1</v>
      </c>
      <c r="T411" s="218">
        <f t="shared" si="71"/>
        <v>564</v>
      </c>
    </row>
    <row r="412" spans="1:20" x14ac:dyDescent="0.2">
      <c r="A412" t="str">
        <f>INDEX(Prioritization!$D:$D,MATCH($B412,Prioritization!$A:$A,0))</f>
        <v>INVALID</v>
      </c>
      <c r="B412" t="s">
        <v>324</v>
      </c>
      <c r="C412" t="s">
        <v>971</v>
      </c>
      <c r="D412" t="s">
        <v>48</v>
      </c>
      <c r="E412" t="str">
        <f t="shared" si="63"/>
        <v>Thyolo District [ul0y9diGujK]|05-09|Male</v>
      </c>
      <c r="G412" s="38">
        <v>1008</v>
      </c>
      <c r="H412" s="38">
        <v>559</v>
      </c>
      <c r="I412" s="241">
        <v>2.5044723000000001E-2</v>
      </c>
      <c r="J412" s="33"/>
      <c r="K412" s="33"/>
      <c r="L412" s="33">
        <f t="shared" si="64"/>
        <v>1</v>
      </c>
      <c r="M412" s="33">
        <f t="shared" si="65"/>
        <v>0.2</v>
      </c>
      <c r="N412" s="38">
        <f t="shared" si="72"/>
        <v>573</v>
      </c>
      <c r="O412" s="218" t="str">
        <f t="shared" si="66"/>
        <v/>
      </c>
      <c r="P412" s="218" t="str">
        <f t="shared" si="67"/>
        <v/>
      </c>
      <c r="Q412" s="218">
        <f t="shared" si="68"/>
        <v>115</v>
      </c>
      <c r="R412" s="218">
        <f t="shared" si="69"/>
        <v>458</v>
      </c>
      <c r="S412" s="246">
        <f t="shared" si="70"/>
        <v>1</v>
      </c>
      <c r="T412" s="237">
        <f t="shared" si="71"/>
        <v>573</v>
      </c>
    </row>
    <row r="413" spans="1:20" x14ac:dyDescent="0.2">
      <c r="A413" t="str">
        <f>INDEX(Prioritization!$D:$D,MATCH($B413,Prioritization!$A:$A,0))</f>
        <v>INVALID</v>
      </c>
      <c r="B413" t="s">
        <v>324</v>
      </c>
      <c r="C413" t="s">
        <v>474</v>
      </c>
      <c r="D413" t="s">
        <v>30</v>
      </c>
      <c r="E413" t="str">
        <f t="shared" si="63"/>
        <v>Thyolo District [ul0y9diGujK]|10-14|Female</v>
      </c>
      <c r="G413" s="38">
        <v>3485</v>
      </c>
      <c r="H413" s="38">
        <v>1854</v>
      </c>
      <c r="I413" s="241">
        <v>0.294498382</v>
      </c>
      <c r="J413" s="33"/>
      <c r="K413" s="33">
        <v>0.41416666699999999</v>
      </c>
      <c r="L413" s="33">
        <f t="shared" si="64"/>
        <v>0.58583333300000007</v>
      </c>
      <c r="M413" s="33">
        <f t="shared" si="65"/>
        <v>0.2</v>
      </c>
      <c r="N413" s="38">
        <f t="shared" si="72"/>
        <v>2400</v>
      </c>
      <c r="O413" s="218" t="str">
        <f t="shared" si="66"/>
        <v/>
      </c>
      <c r="P413" s="218">
        <f t="shared" si="67"/>
        <v>994</v>
      </c>
      <c r="Q413" s="218">
        <f t="shared" si="68"/>
        <v>281</v>
      </c>
      <c r="R413" s="218">
        <f t="shared" si="69"/>
        <v>1125</v>
      </c>
      <c r="S413" s="246">
        <f t="shared" si="70"/>
        <v>1</v>
      </c>
      <c r="T413" s="218">
        <f t="shared" si="71"/>
        <v>1406</v>
      </c>
    </row>
    <row r="414" spans="1:20" x14ac:dyDescent="0.2">
      <c r="A414" t="str">
        <f>INDEX(Prioritization!$D:$D,MATCH($B414,Prioritization!$A:$A,0))</f>
        <v>INVALID</v>
      </c>
      <c r="B414" t="s">
        <v>324</v>
      </c>
      <c r="C414" t="s">
        <v>474</v>
      </c>
      <c r="D414" t="s">
        <v>48</v>
      </c>
      <c r="E414" t="str">
        <f t="shared" si="63"/>
        <v>Thyolo District [ul0y9diGujK]|10-14|Male</v>
      </c>
      <c r="G414" s="38">
        <v>3342</v>
      </c>
      <c r="H414" s="38">
        <v>1880</v>
      </c>
      <c r="I414" s="241">
        <v>0.30106382999999998</v>
      </c>
      <c r="J414" s="33"/>
      <c r="K414" s="33">
        <v>0.41251022100000001</v>
      </c>
      <c r="L414" s="33">
        <f t="shared" si="64"/>
        <v>0.58748977899999999</v>
      </c>
      <c r="M414" s="33">
        <f t="shared" si="65"/>
        <v>0.2</v>
      </c>
      <c r="N414" s="38">
        <f t="shared" si="72"/>
        <v>2446</v>
      </c>
      <c r="O414" s="218" t="str">
        <f t="shared" si="66"/>
        <v/>
      </c>
      <c r="P414" s="218">
        <f t="shared" si="67"/>
        <v>1009</v>
      </c>
      <c r="Q414" s="218">
        <f t="shared" si="68"/>
        <v>287</v>
      </c>
      <c r="R414" s="218">
        <f t="shared" si="69"/>
        <v>1150</v>
      </c>
      <c r="S414" s="246">
        <f t="shared" si="70"/>
        <v>1</v>
      </c>
      <c r="T414" s="237">
        <f t="shared" si="71"/>
        <v>1437</v>
      </c>
    </row>
    <row r="415" spans="1:20" x14ac:dyDescent="0.2">
      <c r="A415" t="str">
        <f>INDEX(Prioritization!$D:$D,MATCH($B415,Prioritization!$A:$A,0))</f>
        <v>INVALID</v>
      </c>
      <c r="B415" t="s">
        <v>324</v>
      </c>
      <c r="C415" t="s">
        <v>972</v>
      </c>
      <c r="D415" t="s">
        <v>30</v>
      </c>
      <c r="E415" t="str">
        <f t="shared" si="63"/>
        <v>Thyolo District [ul0y9diGujK]|15-17|Female</v>
      </c>
      <c r="G415" s="38">
        <v>1110</v>
      </c>
      <c r="H415" s="38">
        <v>1041</v>
      </c>
      <c r="I415" s="241">
        <v>0.39769452399999999</v>
      </c>
      <c r="J415" s="33"/>
      <c r="K415" s="33"/>
      <c r="L415" s="33">
        <f t="shared" si="64"/>
        <v>1</v>
      </c>
      <c r="M415" s="33">
        <f t="shared" si="65"/>
        <v>0.2</v>
      </c>
      <c r="N415" s="38">
        <f t="shared" si="72"/>
        <v>1455</v>
      </c>
      <c r="O415" s="218" t="str">
        <f t="shared" si="66"/>
        <v/>
      </c>
      <c r="P415" s="218" t="str">
        <f t="shared" si="67"/>
        <v/>
      </c>
      <c r="Q415" s="218">
        <f t="shared" si="68"/>
        <v>291</v>
      </c>
      <c r="R415" s="218">
        <f t="shared" si="69"/>
        <v>1164</v>
      </c>
      <c r="S415" s="246">
        <f t="shared" si="70"/>
        <v>1</v>
      </c>
      <c r="T415" s="218">
        <f t="shared" si="71"/>
        <v>1455</v>
      </c>
    </row>
    <row r="416" spans="1:20" x14ac:dyDescent="0.2">
      <c r="A416" t="str">
        <f>INDEX(Prioritization!$D:$D,MATCH($B416,Prioritization!$A:$A,0))</f>
        <v>INVALID</v>
      </c>
      <c r="B416" t="s">
        <v>324</v>
      </c>
      <c r="C416" t="s">
        <v>972</v>
      </c>
      <c r="D416" t="s">
        <v>48</v>
      </c>
      <c r="E416" t="str">
        <f t="shared" si="63"/>
        <v>Thyolo District [ul0y9diGujK]|15-17|Male</v>
      </c>
      <c r="G416" s="38">
        <v>1085</v>
      </c>
      <c r="H416" s="38">
        <v>757</v>
      </c>
      <c r="I416" s="241">
        <v>-9.2470279999999992E-3</v>
      </c>
      <c r="J416" s="33"/>
      <c r="K416" s="33"/>
      <c r="L416" s="33">
        <f t="shared" si="64"/>
        <v>1</v>
      </c>
      <c r="M416" s="33">
        <f t="shared" si="65"/>
        <v>0.2</v>
      </c>
      <c r="N416" s="38">
        <f t="shared" si="72"/>
        <v>750</v>
      </c>
      <c r="O416" s="218" t="str">
        <f t="shared" si="66"/>
        <v/>
      </c>
      <c r="P416" s="218" t="str">
        <f t="shared" si="67"/>
        <v/>
      </c>
      <c r="Q416" s="218">
        <f t="shared" si="68"/>
        <v>150</v>
      </c>
      <c r="R416" s="218">
        <f t="shared" si="69"/>
        <v>600</v>
      </c>
      <c r="S416" s="246">
        <f t="shared" si="70"/>
        <v>1</v>
      </c>
      <c r="T416" s="237">
        <f t="shared" si="71"/>
        <v>750</v>
      </c>
    </row>
    <row r="417" spans="1:20" x14ac:dyDescent="0.2">
      <c r="A417" t="str">
        <f>INDEX(Prioritization!$D:$D,MATCH($B417,Prioritization!$A:$A,0))</f>
        <v>INVALID</v>
      </c>
      <c r="B417" t="s">
        <v>324</v>
      </c>
      <c r="C417" t="s">
        <v>974</v>
      </c>
      <c r="D417" t="s">
        <v>30</v>
      </c>
      <c r="E417" t="str">
        <f t="shared" si="63"/>
        <v>Thyolo District [ul0y9diGujK]|18+|Female</v>
      </c>
      <c r="G417" s="38">
        <v>4566</v>
      </c>
      <c r="H417" s="38">
        <v>1583</v>
      </c>
      <c r="I417" s="241">
        <v>0.82375236900000004</v>
      </c>
      <c r="J417" s="33"/>
      <c r="K417" s="33"/>
      <c r="L417" s="33">
        <f t="shared" si="64"/>
        <v>1</v>
      </c>
      <c r="M417" s="33">
        <f t="shared" si="65"/>
        <v>0.2</v>
      </c>
      <c r="N417" s="38">
        <f t="shared" si="72"/>
        <v>2887</v>
      </c>
      <c r="O417" s="218" t="str">
        <f t="shared" si="66"/>
        <v/>
      </c>
      <c r="P417" s="218" t="str">
        <f t="shared" si="67"/>
        <v/>
      </c>
      <c r="Q417" s="218">
        <f t="shared" si="68"/>
        <v>577</v>
      </c>
      <c r="R417" s="218">
        <f t="shared" si="69"/>
        <v>2310</v>
      </c>
      <c r="S417" s="246" t="str">
        <f t="shared" si="70"/>
        <v/>
      </c>
      <c r="T417" s="218" t="str">
        <f t="shared" si="71"/>
        <v/>
      </c>
    </row>
    <row r="418" spans="1:20" x14ac:dyDescent="0.2">
      <c r="A418" t="str">
        <f>INDEX(Prioritization!$D:$D,MATCH($B418,Prioritization!$A:$A,0))</f>
        <v>INVALID</v>
      </c>
      <c r="B418" t="s">
        <v>324</v>
      </c>
      <c r="C418" t="s">
        <v>974</v>
      </c>
      <c r="D418" t="s">
        <v>48</v>
      </c>
      <c r="E418" t="str">
        <f t="shared" si="63"/>
        <v>Thyolo District [ul0y9diGujK]|18+|Male</v>
      </c>
      <c r="G418" s="38">
        <v>164</v>
      </c>
      <c r="H418" s="38">
        <v>788</v>
      </c>
      <c r="I418" s="241">
        <v>-0.76649746200000002</v>
      </c>
      <c r="J418" s="33"/>
      <c r="K418" s="33"/>
      <c r="L418" s="33">
        <f t="shared" si="64"/>
        <v>1</v>
      </c>
      <c r="M418" s="33">
        <v>-0.01</v>
      </c>
      <c r="N418" s="38">
        <f t="shared" si="72"/>
        <v>184</v>
      </c>
      <c r="O418" s="218" t="str">
        <f t="shared" si="66"/>
        <v/>
      </c>
      <c r="P418" s="218" t="str">
        <f t="shared" si="67"/>
        <v/>
      </c>
      <c r="Q418" s="218">
        <f t="shared" si="68"/>
        <v>-2</v>
      </c>
      <c r="R418" s="218">
        <f t="shared" si="69"/>
        <v>185.99999999999997</v>
      </c>
      <c r="S418" s="246" t="str">
        <f t="shared" si="70"/>
        <v/>
      </c>
      <c r="T418" s="237" t="str">
        <f t="shared" si="71"/>
        <v/>
      </c>
    </row>
    <row r="419" spans="1:20" x14ac:dyDescent="0.2">
      <c r="A419" t="str">
        <f>INDEX(Prioritization!$D:$D,MATCH($B419,Prioritization!$A:$A,0))</f>
        <v>INVALID</v>
      </c>
      <c r="B419" t="s">
        <v>324</v>
      </c>
      <c r="C419" t="s">
        <v>973</v>
      </c>
      <c r="D419" t="s">
        <v>30</v>
      </c>
      <c r="E419" t="str">
        <f t="shared" si="63"/>
        <v>Thyolo District [ul0y9diGujK]|18-20|Female</v>
      </c>
      <c r="G419" s="38"/>
      <c r="H419" s="38">
        <v>56</v>
      </c>
      <c r="I419" s="241">
        <v>-0.41071428599999998</v>
      </c>
      <c r="J419" s="33"/>
      <c r="K419" s="33"/>
      <c r="L419" s="33">
        <f t="shared" si="64"/>
        <v>1</v>
      </c>
      <c r="M419" s="33">
        <v>-0.01</v>
      </c>
      <c r="N419" s="38">
        <f t="shared" si="72"/>
        <v>33</v>
      </c>
      <c r="O419" s="218" t="str">
        <f t="shared" si="66"/>
        <v/>
      </c>
      <c r="P419" s="218" t="str">
        <f t="shared" si="67"/>
        <v/>
      </c>
      <c r="Q419" s="218" t="str">
        <f t="shared" si="68"/>
        <v/>
      </c>
      <c r="R419" s="218" t="str">
        <f t="shared" si="69"/>
        <v/>
      </c>
      <c r="S419" s="246" t="str">
        <f t="shared" si="70"/>
        <v/>
      </c>
      <c r="T419" s="218" t="str">
        <f t="shared" si="71"/>
        <v/>
      </c>
    </row>
    <row r="420" spans="1:20" x14ac:dyDescent="0.2">
      <c r="A420" t="str">
        <f>INDEX(Prioritization!$D:$D,MATCH($B420,Prioritization!$A:$A,0))</f>
        <v>INVALID</v>
      </c>
      <c r="B420" t="s">
        <v>324</v>
      </c>
      <c r="C420" t="s">
        <v>973</v>
      </c>
      <c r="D420" t="s">
        <v>48</v>
      </c>
      <c r="E420" t="str">
        <f t="shared" si="63"/>
        <v>Thyolo District [ul0y9diGujK]|18-20|Male</v>
      </c>
      <c r="G420" s="38"/>
      <c r="H420" s="38">
        <v>56</v>
      </c>
      <c r="I420" s="241">
        <v>-0.53571428600000004</v>
      </c>
      <c r="J420" s="33"/>
      <c r="K420" s="33"/>
      <c r="L420" s="33">
        <f t="shared" si="64"/>
        <v>1</v>
      </c>
      <c r="M420" s="33">
        <v>-0.01</v>
      </c>
      <c r="N420" s="38">
        <f t="shared" si="72"/>
        <v>26</v>
      </c>
      <c r="O420" s="218" t="str">
        <f t="shared" si="66"/>
        <v/>
      </c>
      <c r="P420" s="218" t="str">
        <f t="shared" si="67"/>
        <v/>
      </c>
      <c r="Q420" s="218" t="str">
        <f t="shared" si="68"/>
        <v/>
      </c>
      <c r="R420" s="218" t="str">
        <f t="shared" si="69"/>
        <v/>
      </c>
      <c r="S420" s="246" t="str">
        <f t="shared" si="70"/>
        <v/>
      </c>
      <c r="T420" s="237" t="str">
        <f t="shared" si="71"/>
        <v/>
      </c>
    </row>
    <row r="421" spans="1:20" x14ac:dyDescent="0.2">
      <c r="A421" t="str">
        <f>INDEX(Prioritization!$D:$D,MATCH($B421,Prioritization!$A:$A,0))</f>
        <v>1 - Scale-up: Saturation</v>
      </c>
      <c r="B421" t="s">
        <v>325</v>
      </c>
      <c r="C421" t="s">
        <v>426</v>
      </c>
      <c r="D421" t="s">
        <v>30</v>
      </c>
      <c r="E421" t="str">
        <f t="shared" si="63"/>
        <v>Zomba District [fyEoGEPERdI]|&lt;01|Female</v>
      </c>
      <c r="F421" t="s">
        <v>1380</v>
      </c>
      <c r="G421" s="38">
        <v>25</v>
      </c>
      <c r="H421" s="38">
        <v>616</v>
      </c>
      <c r="I421" s="241">
        <v>-0.97077922100000003</v>
      </c>
      <c r="J421" s="33"/>
      <c r="K421" s="33"/>
      <c r="L421" s="33">
        <f t="shared" si="64"/>
        <v>1</v>
      </c>
      <c r="M421" s="33">
        <v>-0.01</v>
      </c>
      <c r="N421" s="38">
        <f t="shared" si="72"/>
        <v>18</v>
      </c>
      <c r="O421" s="218" t="str">
        <f t="shared" si="66"/>
        <v/>
      </c>
      <c r="P421" s="218" t="str">
        <f t="shared" si="67"/>
        <v/>
      </c>
      <c r="Q421" s="218" t="str">
        <f t="shared" si="68"/>
        <v/>
      </c>
      <c r="R421" s="218" t="str">
        <f t="shared" si="69"/>
        <v/>
      </c>
      <c r="S421" s="246" t="str">
        <f t="shared" si="70"/>
        <v/>
      </c>
      <c r="T421" s="218" t="str">
        <f t="shared" si="71"/>
        <v/>
      </c>
    </row>
    <row r="422" spans="1:20" x14ac:dyDescent="0.2">
      <c r="A422" t="str">
        <f>INDEX(Prioritization!$D:$D,MATCH($B422,Prioritization!$A:$A,0))</f>
        <v>1 - Scale-up: Saturation</v>
      </c>
      <c r="B422" t="s">
        <v>325</v>
      </c>
      <c r="C422" t="s">
        <v>426</v>
      </c>
      <c r="D422" t="s">
        <v>48</v>
      </c>
      <c r="E422" t="str">
        <f t="shared" si="63"/>
        <v>Zomba District [fyEoGEPERdI]|&lt;01|Male</v>
      </c>
      <c r="F422" t="s">
        <v>1380</v>
      </c>
      <c r="G422" s="38">
        <v>20</v>
      </c>
      <c r="H422" s="38">
        <v>616</v>
      </c>
      <c r="I422" s="241">
        <v>-0.97077922100000003</v>
      </c>
      <c r="J422" s="33"/>
      <c r="K422" s="33"/>
      <c r="L422" s="33">
        <f t="shared" si="64"/>
        <v>1</v>
      </c>
      <c r="M422" s="33">
        <v>-0.01</v>
      </c>
      <c r="N422" s="38">
        <f t="shared" si="72"/>
        <v>18</v>
      </c>
      <c r="O422" s="218" t="str">
        <f t="shared" si="66"/>
        <v/>
      </c>
      <c r="P422" s="218" t="str">
        <f t="shared" si="67"/>
        <v/>
      </c>
      <c r="Q422" s="218" t="str">
        <f t="shared" si="68"/>
        <v/>
      </c>
      <c r="R422" s="218" t="str">
        <f t="shared" si="69"/>
        <v/>
      </c>
      <c r="S422" s="246" t="str">
        <f t="shared" si="70"/>
        <v/>
      </c>
      <c r="T422" s="237" t="str">
        <f t="shared" si="71"/>
        <v/>
      </c>
    </row>
    <row r="423" spans="1:20" x14ac:dyDescent="0.2">
      <c r="A423" t="str">
        <f>INDEX(Prioritization!$D:$D,MATCH($B423,Prioritization!$A:$A,0))</f>
        <v>1 - Scale-up: Saturation</v>
      </c>
      <c r="B423" t="s">
        <v>325</v>
      </c>
      <c r="C423" t="s">
        <v>970</v>
      </c>
      <c r="D423" t="s">
        <v>30</v>
      </c>
      <c r="E423" t="str">
        <f t="shared" si="63"/>
        <v>Zomba District [fyEoGEPERdI]|01-04|Female</v>
      </c>
      <c r="F423" t="s">
        <v>1380</v>
      </c>
      <c r="G423" s="38">
        <v>553</v>
      </c>
      <c r="H423" s="38">
        <v>543</v>
      </c>
      <c r="I423" s="241">
        <v>7.9189686999999995E-2</v>
      </c>
      <c r="J423" s="33"/>
      <c r="K423" s="33"/>
      <c r="L423" s="33">
        <f t="shared" si="64"/>
        <v>1</v>
      </c>
      <c r="M423" s="33">
        <v>-0.01</v>
      </c>
      <c r="N423" s="38">
        <f t="shared" si="72"/>
        <v>586</v>
      </c>
      <c r="O423" s="218" t="str">
        <f t="shared" si="66"/>
        <v/>
      </c>
      <c r="P423" s="218" t="str">
        <f t="shared" si="67"/>
        <v/>
      </c>
      <c r="Q423" s="218">
        <f t="shared" si="68"/>
        <v>-6</v>
      </c>
      <c r="R423" s="218">
        <f t="shared" si="69"/>
        <v>592</v>
      </c>
      <c r="S423" s="246">
        <f t="shared" si="70"/>
        <v>1</v>
      </c>
      <c r="T423" s="218">
        <f t="shared" si="71"/>
        <v>586</v>
      </c>
    </row>
    <row r="424" spans="1:20" x14ac:dyDescent="0.2">
      <c r="A424" t="str">
        <f>INDEX(Prioritization!$D:$D,MATCH($B424,Prioritization!$A:$A,0))</f>
        <v>1 - Scale-up: Saturation</v>
      </c>
      <c r="B424" t="s">
        <v>325</v>
      </c>
      <c r="C424" t="s">
        <v>970</v>
      </c>
      <c r="D424" t="s">
        <v>48</v>
      </c>
      <c r="E424" t="str">
        <f t="shared" si="63"/>
        <v>Zomba District [fyEoGEPERdI]|01-04|Male</v>
      </c>
      <c r="F424" t="s">
        <v>1380</v>
      </c>
      <c r="G424" s="38">
        <v>474</v>
      </c>
      <c r="H424" s="38">
        <v>554</v>
      </c>
      <c r="I424" s="241">
        <v>7.4007219999999999E-2</v>
      </c>
      <c r="J424" s="33"/>
      <c r="K424" s="33"/>
      <c r="L424" s="33">
        <f t="shared" si="64"/>
        <v>1</v>
      </c>
      <c r="M424" s="33">
        <v>-0.01</v>
      </c>
      <c r="N424" s="38">
        <f t="shared" si="72"/>
        <v>595</v>
      </c>
      <c r="O424" s="218" t="str">
        <f t="shared" si="66"/>
        <v/>
      </c>
      <c r="P424" s="218" t="str">
        <f t="shared" si="67"/>
        <v/>
      </c>
      <c r="Q424" s="218">
        <f t="shared" si="68"/>
        <v>-6</v>
      </c>
      <c r="R424" s="218">
        <f t="shared" si="69"/>
        <v>601</v>
      </c>
      <c r="S424" s="246">
        <f t="shared" si="70"/>
        <v>1</v>
      </c>
      <c r="T424" s="237">
        <f t="shared" si="71"/>
        <v>595</v>
      </c>
    </row>
    <row r="425" spans="1:20" x14ac:dyDescent="0.2">
      <c r="A425" t="str">
        <f>INDEX(Prioritization!$D:$D,MATCH($B425,Prioritization!$A:$A,0))</f>
        <v>1 - Scale-up: Saturation</v>
      </c>
      <c r="B425" t="s">
        <v>325</v>
      </c>
      <c r="C425" t="s">
        <v>971</v>
      </c>
      <c r="D425" t="s">
        <v>30</v>
      </c>
      <c r="E425" t="str">
        <f t="shared" si="63"/>
        <v>Zomba District [fyEoGEPERdI]|05-09|Female</v>
      </c>
      <c r="F425" t="s">
        <v>1380</v>
      </c>
      <c r="G425" s="38">
        <v>883</v>
      </c>
      <c r="H425" s="38">
        <v>543</v>
      </c>
      <c r="I425" s="241">
        <v>7.9189686999999995E-2</v>
      </c>
      <c r="J425" s="33"/>
      <c r="K425" s="33"/>
      <c r="L425" s="33">
        <f t="shared" si="64"/>
        <v>1</v>
      </c>
      <c r="M425" s="33">
        <f t="shared" si="65"/>
        <v>0.2</v>
      </c>
      <c r="N425" s="38">
        <f t="shared" si="72"/>
        <v>586</v>
      </c>
      <c r="O425" s="218" t="str">
        <f t="shared" si="66"/>
        <v/>
      </c>
      <c r="P425" s="218" t="str">
        <f t="shared" si="67"/>
        <v/>
      </c>
      <c r="Q425" s="218">
        <f t="shared" si="68"/>
        <v>116.99999999999999</v>
      </c>
      <c r="R425" s="218">
        <f t="shared" si="69"/>
        <v>469</v>
      </c>
      <c r="S425" s="246">
        <f t="shared" si="70"/>
        <v>1</v>
      </c>
      <c r="T425" s="218">
        <f t="shared" si="71"/>
        <v>586</v>
      </c>
    </row>
    <row r="426" spans="1:20" x14ac:dyDescent="0.2">
      <c r="A426" t="str">
        <f>INDEX(Prioritization!$D:$D,MATCH($B426,Prioritization!$A:$A,0))</f>
        <v>1 - Scale-up: Saturation</v>
      </c>
      <c r="B426" t="s">
        <v>325</v>
      </c>
      <c r="C426" t="s">
        <v>971</v>
      </c>
      <c r="D426" t="s">
        <v>48</v>
      </c>
      <c r="E426" t="str">
        <f t="shared" si="63"/>
        <v>Zomba District [fyEoGEPERdI]|05-09|Male</v>
      </c>
      <c r="F426" t="s">
        <v>1380</v>
      </c>
      <c r="G426" s="38">
        <v>765</v>
      </c>
      <c r="H426" s="38">
        <v>554</v>
      </c>
      <c r="I426" s="241">
        <v>7.4007219999999999E-2</v>
      </c>
      <c r="J426" s="33"/>
      <c r="K426" s="33"/>
      <c r="L426" s="33">
        <f t="shared" si="64"/>
        <v>1</v>
      </c>
      <c r="M426" s="33">
        <f t="shared" si="65"/>
        <v>0.2</v>
      </c>
      <c r="N426" s="38">
        <f t="shared" si="72"/>
        <v>595</v>
      </c>
      <c r="O426" s="218" t="str">
        <f t="shared" si="66"/>
        <v/>
      </c>
      <c r="P426" s="218" t="str">
        <f t="shared" si="67"/>
        <v/>
      </c>
      <c r="Q426" s="218">
        <f t="shared" si="68"/>
        <v>119</v>
      </c>
      <c r="R426" s="218">
        <f t="shared" si="69"/>
        <v>476</v>
      </c>
      <c r="S426" s="246">
        <f t="shared" si="70"/>
        <v>1</v>
      </c>
      <c r="T426" s="237">
        <f t="shared" si="71"/>
        <v>595</v>
      </c>
    </row>
    <row r="427" spans="1:20" x14ac:dyDescent="0.2">
      <c r="A427" t="str">
        <f>INDEX(Prioritization!$D:$D,MATCH($B427,Prioritization!$A:$A,0))</f>
        <v>1 - Scale-up: Saturation</v>
      </c>
      <c r="B427" t="s">
        <v>325</v>
      </c>
      <c r="C427" t="s">
        <v>474</v>
      </c>
      <c r="D427" t="s">
        <v>30</v>
      </c>
      <c r="E427" t="str">
        <f t="shared" si="63"/>
        <v>Zomba District [fyEoGEPERdI]|10-14|Female</v>
      </c>
      <c r="F427" t="s">
        <v>1380</v>
      </c>
      <c r="G427" s="38">
        <v>9062</v>
      </c>
      <c r="H427" s="38">
        <v>15545</v>
      </c>
      <c r="I427" s="241">
        <v>-0.81183660300000005</v>
      </c>
      <c r="J427" s="33">
        <v>0.22995475100000001</v>
      </c>
      <c r="K427" s="33">
        <v>0.22063448999999999</v>
      </c>
      <c r="L427" s="33">
        <f t="shared" si="64"/>
        <v>0.54941075900000003</v>
      </c>
      <c r="M427" s="33">
        <f t="shared" si="65"/>
        <v>0.2</v>
      </c>
      <c r="N427" s="38">
        <f t="shared" si="72"/>
        <v>2925</v>
      </c>
      <c r="O427" s="218">
        <f t="shared" si="66"/>
        <v>673</v>
      </c>
      <c r="P427" s="218">
        <f t="shared" si="67"/>
        <v>645</v>
      </c>
      <c r="Q427" s="218">
        <f t="shared" si="68"/>
        <v>321</v>
      </c>
      <c r="R427" s="218">
        <f t="shared" si="69"/>
        <v>1286</v>
      </c>
      <c r="S427" s="246">
        <f t="shared" si="70"/>
        <v>1</v>
      </c>
      <c r="T427" s="218">
        <f t="shared" si="71"/>
        <v>1607</v>
      </c>
    </row>
    <row r="428" spans="1:20" x14ac:dyDescent="0.2">
      <c r="A428" t="str">
        <f>INDEX(Prioritization!$D:$D,MATCH($B428,Prioritization!$A:$A,0))</f>
        <v>1 - Scale-up: Saturation</v>
      </c>
      <c r="B428" t="s">
        <v>325</v>
      </c>
      <c r="C428" t="s">
        <v>474</v>
      </c>
      <c r="D428" t="s">
        <v>48</v>
      </c>
      <c r="E428" t="str">
        <f t="shared" si="63"/>
        <v>Zomba District [fyEoGEPERdI]|10-14|Male</v>
      </c>
      <c r="F428" t="s">
        <v>1380</v>
      </c>
      <c r="G428" s="38">
        <v>2551</v>
      </c>
      <c r="H428" s="38">
        <v>7065</v>
      </c>
      <c r="I428" s="241">
        <v>-0.59688605800000005</v>
      </c>
      <c r="J428" s="33"/>
      <c r="K428" s="33">
        <v>0.43564317600000002</v>
      </c>
      <c r="L428" s="33">
        <f t="shared" si="64"/>
        <v>0.56435682399999998</v>
      </c>
      <c r="M428" s="33">
        <f t="shared" si="65"/>
        <v>0.2</v>
      </c>
      <c r="N428" s="38">
        <f t="shared" si="72"/>
        <v>2848</v>
      </c>
      <c r="O428" s="218" t="str">
        <f t="shared" si="66"/>
        <v/>
      </c>
      <c r="P428" s="218">
        <f t="shared" si="67"/>
        <v>1241</v>
      </c>
      <c r="Q428" s="218">
        <f t="shared" si="68"/>
        <v>321</v>
      </c>
      <c r="R428" s="218">
        <f t="shared" si="69"/>
        <v>1286</v>
      </c>
      <c r="S428" s="246">
        <f t="shared" si="70"/>
        <v>1</v>
      </c>
      <c r="T428" s="237">
        <f t="shared" si="71"/>
        <v>1607</v>
      </c>
    </row>
    <row r="429" spans="1:20" x14ac:dyDescent="0.2">
      <c r="A429" t="str">
        <f>INDEX(Prioritization!$D:$D,MATCH($B429,Prioritization!$A:$A,0))</f>
        <v>1 - Scale-up: Saturation</v>
      </c>
      <c r="B429" t="s">
        <v>325</v>
      </c>
      <c r="C429" t="s">
        <v>972</v>
      </c>
      <c r="D429" t="s">
        <v>30</v>
      </c>
      <c r="E429" t="str">
        <f t="shared" si="63"/>
        <v>Zomba District [fyEoGEPERdI]|15-17|Female</v>
      </c>
      <c r="F429" t="s">
        <v>1380</v>
      </c>
      <c r="G429" s="38">
        <v>4183</v>
      </c>
      <c r="H429" s="38">
        <v>10390</v>
      </c>
      <c r="I429" s="241">
        <v>-0.64821944200000003</v>
      </c>
      <c r="J429" s="33">
        <v>0.62278425999999998</v>
      </c>
      <c r="K429" s="33"/>
      <c r="L429" s="33">
        <f t="shared" si="64"/>
        <v>0.37721574000000002</v>
      </c>
      <c r="M429" s="33">
        <f t="shared" si="65"/>
        <v>0.2</v>
      </c>
      <c r="N429" s="38">
        <f t="shared" si="72"/>
        <v>3655</v>
      </c>
      <c r="O429" s="218">
        <f t="shared" si="66"/>
        <v>2276</v>
      </c>
      <c r="P429" s="218" t="str">
        <f t="shared" si="67"/>
        <v/>
      </c>
      <c r="Q429" s="218">
        <f t="shared" si="68"/>
        <v>276</v>
      </c>
      <c r="R429" s="218">
        <f t="shared" si="69"/>
        <v>1103</v>
      </c>
      <c r="S429" s="246">
        <f t="shared" si="70"/>
        <v>1</v>
      </c>
      <c r="T429" s="218">
        <f t="shared" si="71"/>
        <v>1379</v>
      </c>
    </row>
    <row r="430" spans="1:20" x14ac:dyDescent="0.2">
      <c r="A430" t="str">
        <f>INDEX(Prioritization!$D:$D,MATCH($B430,Prioritization!$A:$A,0))</f>
        <v>1 - Scale-up: Saturation</v>
      </c>
      <c r="B430" t="s">
        <v>325</v>
      </c>
      <c r="C430" t="s">
        <v>972</v>
      </c>
      <c r="D430" t="s">
        <v>48</v>
      </c>
      <c r="E430" t="str">
        <f t="shared" si="63"/>
        <v>Zomba District [fyEoGEPERdI]|15-17|Male</v>
      </c>
      <c r="F430" t="s">
        <v>1380</v>
      </c>
      <c r="G430" s="38">
        <v>908</v>
      </c>
      <c r="H430" s="38">
        <v>695</v>
      </c>
      <c r="I430" s="241">
        <v>0.11942446</v>
      </c>
      <c r="J430" s="33"/>
      <c r="K430" s="33"/>
      <c r="L430" s="33">
        <f t="shared" si="64"/>
        <v>1</v>
      </c>
      <c r="M430" s="33">
        <f t="shared" si="65"/>
        <v>0.2</v>
      </c>
      <c r="N430" s="38">
        <f t="shared" si="72"/>
        <v>778</v>
      </c>
      <c r="O430" s="218" t="str">
        <f t="shared" si="66"/>
        <v/>
      </c>
      <c r="P430" s="218" t="str">
        <f t="shared" si="67"/>
        <v/>
      </c>
      <c r="Q430" s="218">
        <f t="shared" si="68"/>
        <v>156</v>
      </c>
      <c r="R430" s="218">
        <f t="shared" si="69"/>
        <v>622</v>
      </c>
      <c r="S430" s="246">
        <f t="shared" si="70"/>
        <v>1</v>
      </c>
      <c r="T430" s="237">
        <f t="shared" si="71"/>
        <v>778</v>
      </c>
    </row>
    <row r="431" spans="1:20" x14ac:dyDescent="0.2">
      <c r="A431" t="str">
        <f>INDEX(Prioritization!$D:$D,MATCH($B431,Prioritization!$A:$A,0))</f>
        <v>1 - Scale-up: Saturation</v>
      </c>
      <c r="B431" t="s">
        <v>325</v>
      </c>
      <c r="C431" t="s">
        <v>974</v>
      </c>
      <c r="D431" t="s">
        <v>30</v>
      </c>
      <c r="E431" t="str">
        <f t="shared" si="63"/>
        <v>Zomba District [fyEoGEPERdI]|18+|Female</v>
      </c>
      <c r="F431" t="s">
        <v>1380</v>
      </c>
      <c r="G431" s="38">
        <v>2993</v>
      </c>
      <c r="H431" s="38">
        <v>1651</v>
      </c>
      <c r="I431" s="241">
        <v>0.84312537899999995</v>
      </c>
      <c r="J431" s="33"/>
      <c r="K431" s="33"/>
      <c r="L431" s="33">
        <f t="shared" si="64"/>
        <v>1</v>
      </c>
      <c r="M431" s="33">
        <f t="shared" si="65"/>
        <v>0.2</v>
      </c>
      <c r="N431" s="38">
        <f t="shared" si="72"/>
        <v>3043</v>
      </c>
      <c r="O431" s="218" t="str">
        <f t="shared" si="66"/>
        <v/>
      </c>
      <c r="P431" s="218" t="str">
        <f t="shared" si="67"/>
        <v/>
      </c>
      <c r="Q431" s="218">
        <f t="shared" si="68"/>
        <v>609</v>
      </c>
      <c r="R431" s="218">
        <f t="shared" si="69"/>
        <v>2434</v>
      </c>
      <c r="S431" s="246" t="str">
        <f t="shared" si="70"/>
        <v/>
      </c>
      <c r="T431" s="218" t="str">
        <f t="shared" si="71"/>
        <v/>
      </c>
    </row>
    <row r="432" spans="1:20" x14ac:dyDescent="0.2">
      <c r="A432" t="str">
        <f>INDEX(Prioritization!$D:$D,MATCH($B432,Prioritization!$A:$A,0))</f>
        <v>1 - Scale-up: Saturation</v>
      </c>
      <c r="B432" t="s">
        <v>325</v>
      </c>
      <c r="C432" t="s">
        <v>974</v>
      </c>
      <c r="D432" t="s">
        <v>48</v>
      </c>
      <c r="E432" t="str">
        <f t="shared" si="63"/>
        <v>Zomba District [fyEoGEPERdI]|18+|Male</v>
      </c>
      <c r="F432" t="s">
        <v>1380</v>
      </c>
      <c r="G432" s="38">
        <v>159</v>
      </c>
      <c r="H432" s="38">
        <v>758</v>
      </c>
      <c r="I432" s="241">
        <v>-0.74406332500000005</v>
      </c>
      <c r="J432" s="33"/>
      <c r="K432" s="33"/>
      <c r="L432" s="33">
        <f t="shared" si="64"/>
        <v>1</v>
      </c>
      <c r="M432" s="33">
        <f t="shared" si="65"/>
        <v>0.2</v>
      </c>
      <c r="N432" s="38">
        <f t="shared" si="72"/>
        <v>194</v>
      </c>
      <c r="O432" s="218" t="str">
        <f t="shared" si="66"/>
        <v/>
      </c>
      <c r="P432" s="218" t="str">
        <f t="shared" si="67"/>
        <v/>
      </c>
      <c r="Q432" s="218">
        <f t="shared" si="68"/>
        <v>39</v>
      </c>
      <c r="R432" s="218">
        <f t="shared" si="69"/>
        <v>155</v>
      </c>
      <c r="S432" s="246" t="str">
        <f t="shared" si="70"/>
        <v/>
      </c>
      <c r="T432" s="237" t="str">
        <f t="shared" si="71"/>
        <v/>
      </c>
    </row>
    <row r="433" spans="1:20" x14ac:dyDescent="0.2">
      <c r="A433" t="str">
        <f>INDEX(Prioritization!$D:$D,MATCH($B433,Prioritization!$A:$A,0))</f>
        <v>1 - Scale-up: Saturation</v>
      </c>
      <c r="B433" t="s">
        <v>325</v>
      </c>
      <c r="C433" t="s">
        <v>973</v>
      </c>
      <c r="D433" t="s">
        <v>30</v>
      </c>
      <c r="E433" t="str">
        <f t="shared" si="63"/>
        <v>Zomba District [fyEoGEPERdI]|18-20|Female</v>
      </c>
      <c r="F433" t="s">
        <v>1380</v>
      </c>
      <c r="G433" s="38"/>
      <c r="H433" s="38">
        <v>57</v>
      </c>
      <c r="I433" s="241">
        <v>-0.43859649099999998</v>
      </c>
      <c r="J433" s="33"/>
      <c r="K433" s="33"/>
      <c r="L433" s="33">
        <f t="shared" si="64"/>
        <v>1</v>
      </c>
      <c r="M433" s="33">
        <f t="shared" si="65"/>
        <v>0.2</v>
      </c>
      <c r="N433" s="38">
        <f t="shared" si="72"/>
        <v>32</v>
      </c>
      <c r="O433" s="218" t="str">
        <f t="shared" si="66"/>
        <v/>
      </c>
      <c r="P433" s="218" t="str">
        <f t="shared" si="67"/>
        <v/>
      </c>
      <c r="Q433" s="218">
        <f t="shared" si="68"/>
        <v>6</v>
      </c>
      <c r="R433" s="218">
        <f t="shared" si="69"/>
        <v>26</v>
      </c>
      <c r="S433" s="246">
        <f t="shared" si="70"/>
        <v>1</v>
      </c>
      <c r="T433" s="218">
        <f t="shared" si="71"/>
        <v>32</v>
      </c>
    </row>
    <row r="434" spans="1:20" x14ac:dyDescent="0.2">
      <c r="A434" t="str">
        <f>INDEX(Prioritization!$D:$D,MATCH($B434,Prioritization!$A:$A,0))</f>
        <v>1 - Scale-up: Saturation</v>
      </c>
      <c r="B434" t="s">
        <v>325</v>
      </c>
      <c r="C434" t="s">
        <v>973</v>
      </c>
      <c r="D434" t="s">
        <v>48</v>
      </c>
      <c r="E434" t="str">
        <f t="shared" si="63"/>
        <v>Zomba District [fyEoGEPERdI]|18-20|Male</v>
      </c>
      <c r="F434" t="s">
        <v>1380</v>
      </c>
      <c r="G434" s="38"/>
      <c r="H434" s="38">
        <v>57</v>
      </c>
      <c r="I434" s="241">
        <v>-0.50877192999999998</v>
      </c>
      <c r="J434" s="33"/>
      <c r="K434" s="33"/>
      <c r="L434" s="33">
        <f t="shared" si="64"/>
        <v>1</v>
      </c>
      <c r="M434" s="33">
        <f t="shared" si="65"/>
        <v>0.2</v>
      </c>
      <c r="N434" s="38">
        <f t="shared" si="72"/>
        <v>28</v>
      </c>
      <c r="O434" s="218" t="str">
        <f t="shared" si="66"/>
        <v/>
      </c>
      <c r="P434" s="218" t="str">
        <f t="shared" si="67"/>
        <v/>
      </c>
      <c r="Q434" s="218">
        <f t="shared" si="68"/>
        <v>6</v>
      </c>
      <c r="R434" s="218">
        <f t="shared" si="69"/>
        <v>22</v>
      </c>
      <c r="S434" s="246">
        <f t="shared" si="70"/>
        <v>1</v>
      </c>
      <c r="T434" s="237">
        <f t="shared" si="71"/>
        <v>28</v>
      </c>
    </row>
  </sheetData>
  <autoFilter ref="A14:T434" xr:uid="{00000000-0001-0000-0F00-000000000000}">
    <sortState xmlns:xlrd2="http://schemas.microsoft.com/office/spreadsheetml/2017/richdata2" ref="A15:T434">
      <sortCondition ref="B15:B434"/>
    </sortState>
  </autoFilter>
  <sortState xmlns:xlrd2="http://schemas.microsoft.com/office/spreadsheetml/2017/richdata2" ref="A15:T434">
    <sortCondition ref="B15:B434"/>
    <sortCondition ref="C15:C434"/>
    <sortCondition ref="D15:D434"/>
  </sortState>
  <conditionalFormatting sqref="J1:J1048576 O1:O1048576">
    <cfRule type="expression" dxfId="59" priority="3854">
      <formula>AND($B1&lt;&gt;"",ROW(J1)&gt;14,NOT(AND($D1="Female",$F1="Y",OR($C1="10-14",$C1="15-17"))))</formula>
    </cfRule>
  </conditionalFormatting>
  <conditionalFormatting sqref="J1:M15 S1:S1048576 J16:K48 J49:J50 J51:K434 J435:M1048576 L16:M434">
    <cfRule type="expression" dxfId="58" priority="2">
      <formula>AND(ISNUMBER(J1),OR(ROUND(SUM(J1),2)&lt;0,ROUND(SUM(J1),2)&gt;1))</formula>
    </cfRule>
  </conditionalFormatting>
  <conditionalFormatting sqref="J1:T15 F1:H1048576 J16:K48 J49:J50 J51:K434 J435:T1048576 L16:T434">
    <cfRule type="expression" dxfId="57" priority="1">
      <formula>AND(ISNUMBER(F1),F1&lt;0)</formula>
    </cfRule>
  </conditionalFormatting>
  <conditionalFormatting sqref="K1:K48 K51:K1048576 P1:P1048576">
    <cfRule type="expression" dxfId="56" priority="17">
      <formula>AND($E1&lt;&gt;"",ROW(K1)&gt;14,NOT(OR($C1="05-09",$C1="10-14")))</formula>
    </cfRule>
  </conditionalFormatting>
  <conditionalFormatting sqref="M1:M1048576">
    <cfRule type="expression" dxfId="55" priority="24">
      <formula>AND(ISNUMBER($M1),ROUND(SUM($M1),2)&lt;20%)</formula>
    </cfRule>
  </conditionalFormatting>
  <conditionalFormatting sqref="S1:S1048576">
    <cfRule type="expression" dxfId="54" priority="25">
      <formula>AND(ISNUMBER($S1),SUM($Q1,$R1)&gt;0,ROUND(SUM($S1),2)&lt;1)</formula>
    </cfRule>
  </conditionalFormatting>
  <conditionalFormatting sqref="S1:T1048576">
    <cfRule type="expression" dxfId="53" priority="26">
      <formula>OR($C1="18+")</formula>
    </cfRule>
  </conditionalFormatting>
  <pageMargins left="0.7" right="0.7" top="0.75" bottom="0.75" header="0.3" footer="0.3"/>
  <pageSetup orientation="portrait" horizontalDpi="0" verticalDpi="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44"/>
  <sheetViews>
    <sheetView workbookViewId="0">
      <pane xSplit="2" ySplit="14" topLeftCell="C15" activePane="bottomRight" state="frozen"/>
      <selection pane="topRight"/>
      <selection pane="bottomLeft"/>
      <selection pane="bottomRight" activeCell="E1" sqref="E1:E1048576"/>
    </sheetView>
  </sheetViews>
  <sheetFormatPr baseColWidth="10" defaultColWidth="11" defaultRowHeight="16" x14ac:dyDescent="0.2"/>
  <cols>
    <col min="1" max="1" width="16.1640625" customWidth="1"/>
    <col min="2" max="2" width="41.1640625" customWidth="1"/>
    <col min="3" max="6" width="11.6640625" customWidth="1"/>
    <col min="8" max="8" width="11.6640625" customWidth="1"/>
  </cols>
  <sheetData>
    <row r="1" spans="1:8" ht="31.25" customHeight="1" x14ac:dyDescent="0.2">
      <c r="A1" s="198" t="s">
        <v>979</v>
      </c>
      <c r="B1" s="199"/>
      <c r="C1" s="11" t="s">
        <v>609</v>
      </c>
      <c r="D1" s="12"/>
      <c r="E1" s="12"/>
      <c r="F1" s="200"/>
      <c r="H1" s="12"/>
    </row>
    <row r="2" spans="1:8" ht="19.25" customHeight="1" x14ac:dyDescent="0.25">
      <c r="B2" s="4"/>
      <c r="C2" s="105"/>
      <c r="D2" s="24"/>
      <c r="E2" s="20" t="s">
        <v>281</v>
      </c>
      <c r="F2" s="32"/>
      <c r="H2" s="20" t="s">
        <v>281</v>
      </c>
    </row>
    <row r="3" spans="1:8" ht="99" customHeight="1" x14ac:dyDescent="0.2">
      <c r="C3" s="6" t="s">
        <v>1381</v>
      </c>
      <c r="D3" s="109" t="s">
        <v>1382</v>
      </c>
      <c r="E3" s="69" t="s">
        <v>746</v>
      </c>
      <c r="F3" s="184" t="s">
        <v>1383</v>
      </c>
      <c r="H3" s="69" t="s">
        <v>747</v>
      </c>
    </row>
    <row r="4" spans="1:8" x14ac:dyDescent="0.2">
      <c r="A4" s="35"/>
      <c r="B4" s="5" t="s">
        <v>392</v>
      </c>
      <c r="C4" s="104">
        <f>SUBTOTAL(109,C$15:INDEX(C:C,COUNTA($B:$B)+14-COUNTA($B$1:$B$14)))</f>
        <v>13332</v>
      </c>
      <c r="D4" s="38">
        <f>SUBTOTAL(109,D$15:INDEX(D:D,COUNTA($B:$B)+14-COUNTA($B$1:$B$14)))</f>
        <v>8027</v>
      </c>
      <c r="E4" s="2" t="e">
        <f>SUBTOTAL(109,E$15:INDEX(E:E,COUNTA($B:$B)+14-COUNTA($B$1:$B$14)))</f>
        <v>#REF!</v>
      </c>
      <c r="F4" s="33">
        <f>IF($D$4=0,"",$H$4/$D$4-1)</f>
        <v>-0.52024417590631611</v>
      </c>
      <c r="H4" s="2">
        <f>SUBTOTAL(109,H$15:INDEX(H:H,COUNTA($B:$B)+14-COUNTA($B$1:$B$14)))</f>
        <v>3851</v>
      </c>
    </row>
    <row r="5" spans="1:8" ht="0" hidden="1" customHeight="1" x14ac:dyDescent="0.2">
      <c r="A5" s="35" t="s">
        <v>285</v>
      </c>
      <c r="B5" s="5" t="s">
        <v>285</v>
      </c>
      <c r="C5" s="104" t="s">
        <v>393</v>
      </c>
      <c r="D5" s="38" t="s">
        <v>393</v>
      </c>
      <c r="E5" s="2" t="s">
        <v>393</v>
      </c>
      <c r="F5" s="33" t="s">
        <v>285</v>
      </c>
      <c r="H5" s="2" t="s">
        <v>393</v>
      </c>
    </row>
    <row r="6" spans="1:8" ht="0" hidden="1" customHeight="1" x14ac:dyDescent="0.2">
      <c r="A6" s="35" t="s">
        <v>287</v>
      </c>
      <c r="B6" s="5" t="s">
        <v>287</v>
      </c>
      <c r="C6" s="104" t="s">
        <v>288</v>
      </c>
      <c r="D6" s="38" t="s">
        <v>288</v>
      </c>
      <c r="E6" s="2" t="s">
        <v>289</v>
      </c>
      <c r="F6" s="33" t="s">
        <v>395</v>
      </c>
      <c r="H6" s="2" t="s">
        <v>289</v>
      </c>
    </row>
    <row r="7" spans="1:8" ht="0" hidden="1" customHeight="1" x14ac:dyDescent="0.2">
      <c r="A7" s="35" t="s">
        <v>291</v>
      </c>
      <c r="B7" s="5" t="s">
        <v>291</v>
      </c>
      <c r="C7" s="104" t="s">
        <v>292</v>
      </c>
      <c r="D7" s="38" t="s">
        <v>292</v>
      </c>
      <c r="E7" s="2" t="s">
        <v>292</v>
      </c>
      <c r="F7" s="33" t="s">
        <v>398</v>
      </c>
      <c r="H7" s="2" t="s">
        <v>292</v>
      </c>
    </row>
    <row r="8" spans="1:8" ht="0" hidden="1" customHeight="1" x14ac:dyDescent="0.2">
      <c r="A8" s="35"/>
      <c r="B8" s="5"/>
      <c r="C8" s="65" t="s">
        <v>785</v>
      </c>
      <c r="D8" s="64" t="s">
        <v>785</v>
      </c>
      <c r="E8" s="63" t="s">
        <v>785</v>
      </c>
      <c r="F8" s="33"/>
      <c r="H8" s="63" t="s">
        <v>785</v>
      </c>
    </row>
    <row r="9" spans="1:8" ht="0" hidden="1" customHeight="1" x14ac:dyDescent="0.2">
      <c r="A9" s="35"/>
      <c r="B9" s="5"/>
      <c r="C9" s="65" t="s">
        <v>1384</v>
      </c>
      <c r="D9" s="64" t="s">
        <v>1384</v>
      </c>
      <c r="E9" s="63" t="s">
        <v>1384</v>
      </c>
      <c r="F9" s="33"/>
      <c r="H9" s="63" t="s">
        <v>1384</v>
      </c>
    </row>
    <row r="10" spans="1:8" ht="0" hidden="1" customHeight="1" x14ac:dyDescent="0.2">
      <c r="A10" s="35"/>
      <c r="B10" s="5"/>
      <c r="C10" s="65" t="s">
        <v>802</v>
      </c>
      <c r="D10" s="64" t="s">
        <v>803</v>
      </c>
      <c r="E10" s="63" t="s">
        <v>802</v>
      </c>
      <c r="F10" s="33"/>
      <c r="H10" s="63" t="s">
        <v>803</v>
      </c>
    </row>
    <row r="11" spans="1:8" ht="0" hidden="1" customHeight="1" x14ac:dyDescent="0.2">
      <c r="A11" s="35"/>
      <c r="B11" s="5"/>
    </row>
    <row r="12" spans="1:8" ht="0" hidden="1" customHeight="1" x14ac:dyDescent="0.2">
      <c r="A12" s="35"/>
      <c r="B12" s="5"/>
    </row>
    <row r="13" spans="1:8" ht="0" hidden="1" customHeight="1" x14ac:dyDescent="0.2">
      <c r="A13" s="35"/>
      <c r="B13" s="5"/>
    </row>
    <row r="14" spans="1:8" x14ac:dyDescent="0.2">
      <c r="A14" s="131" t="s">
        <v>280</v>
      </c>
      <c r="B14" s="15" t="s">
        <v>294</v>
      </c>
      <c r="C14" s="55" t="s">
        <v>1385</v>
      </c>
      <c r="D14" s="18" t="s">
        <v>1386</v>
      </c>
      <c r="E14" s="49" t="s">
        <v>960</v>
      </c>
      <c r="F14" s="48" t="s">
        <v>1387</v>
      </c>
      <c r="H14" s="49" t="s">
        <v>961</v>
      </c>
    </row>
    <row r="15" spans="1:8" x14ac:dyDescent="0.2">
      <c r="A15" t="str">
        <f>INDEX(Prioritization!$D:$D,MATCH($B15,Prioritization!$A:$A,0))</f>
        <v>Military</v>
      </c>
      <c r="B15" t="s">
        <v>326</v>
      </c>
      <c r="C15" s="38">
        <v>1</v>
      </c>
      <c r="D15" s="38">
        <v>1</v>
      </c>
      <c r="E15" s="218" t="e">
        <f>IF(SUM($C15)=0,"",ROUND($C15*(1+#REF!),0))</f>
        <v>#REF!</v>
      </c>
      <c r="F15" s="33">
        <v>12</v>
      </c>
      <c r="H15" s="218">
        <f t="shared" ref="H15:H44" si="0">IF(SUM($D15)=0,"",ROUND($D15*(1+$F15),0))</f>
        <v>13</v>
      </c>
    </row>
    <row r="16" spans="1:8" x14ac:dyDescent="0.2">
      <c r="A16" t="str">
        <f>INDEX(Prioritization!$D:$D,MATCH($B16,Prioritization!$A:$A,0))</f>
        <v>4 - Sustained</v>
      </c>
      <c r="B16" t="s">
        <v>313</v>
      </c>
      <c r="C16" s="38">
        <v>40</v>
      </c>
      <c r="D16" s="38">
        <v>20</v>
      </c>
      <c r="E16" s="218" t="e">
        <f>IF(SUM($C16)=0,"",ROUND($C16*(1+#REF!),0))</f>
        <v>#REF!</v>
      </c>
      <c r="F16" s="233">
        <v>-0.46</v>
      </c>
      <c r="H16" s="218">
        <f t="shared" si="0"/>
        <v>11</v>
      </c>
    </row>
    <row r="17" spans="1:8" x14ac:dyDescent="0.2">
      <c r="A17" t="str">
        <f>INDEX(Prioritization!$D:$D,MATCH($B17,Prioritization!$A:$A,0))</f>
        <v>1 - Scale-up: Saturation</v>
      </c>
      <c r="B17" t="s">
        <v>314</v>
      </c>
      <c r="C17" s="38">
        <v>2109</v>
      </c>
      <c r="D17" s="38">
        <v>899</v>
      </c>
      <c r="E17" s="218" t="e">
        <f>IF(SUM($C17)=0,"",ROUND($C17*(1+#REF!),0))</f>
        <v>#REF!</v>
      </c>
      <c r="F17" s="233">
        <v>-0.4</v>
      </c>
      <c r="H17" s="218">
        <f t="shared" si="0"/>
        <v>539</v>
      </c>
    </row>
    <row r="18" spans="1:8" x14ac:dyDescent="0.2">
      <c r="A18" t="str">
        <f>INDEX(Prioritization!$D:$D,MATCH($B18,Prioritization!$A:$A,0))</f>
        <v>1 - Scale-up: Saturation</v>
      </c>
      <c r="B18" t="s">
        <v>315</v>
      </c>
      <c r="C18" s="38">
        <v>610</v>
      </c>
      <c r="D18" s="38">
        <v>266</v>
      </c>
      <c r="E18" s="218" t="e">
        <f>IF(SUM($C18)=0,"",ROUND($C18*(1+#REF!),0))</f>
        <v>#REF!</v>
      </c>
      <c r="F18" s="233">
        <v>-0.41</v>
      </c>
      <c r="H18" s="218">
        <f t="shared" si="0"/>
        <v>157</v>
      </c>
    </row>
    <row r="19" spans="1:8" x14ac:dyDescent="0.2">
      <c r="A19" t="str">
        <f>INDEX(Prioritization!$D:$D,MATCH($B19,Prioritization!$A:$A,0))</f>
        <v>INVALID</v>
      </c>
      <c r="B19" t="s">
        <v>316</v>
      </c>
      <c r="C19" s="38">
        <v>733</v>
      </c>
      <c r="D19" s="38">
        <v>516</v>
      </c>
      <c r="E19" s="218" t="e">
        <f>IF(SUM($C19)=0,"",ROUND($C19*(1+#REF!),0))</f>
        <v>#REF!</v>
      </c>
      <c r="F19" s="233">
        <v>-0.56000000000000005</v>
      </c>
      <c r="H19" s="218">
        <f t="shared" si="0"/>
        <v>227</v>
      </c>
    </row>
    <row r="20" spans="1:8" x14ac:dyDescent="0.2">
      <c r="A20" t="str">
        <f>INDEX(Prioritization!$D:$D,MATCH($B20,Prioritization!$A:$A,0))</f>
        <v>4 - Sustained</v>
      </c>
      <c r="B20" t="s">
        <v>307</v>
      </c>
      <c r="C20" s="38"/>
      <c r="D20" s="38"/>
      <c r="E20" s="218" t="str">
        <f>IF(SUM($C20)=0,"",ROUND($C20*(1+#REF!),0))</f>
        <v/>
      </c>
      <c r="F20" s="33" t="str">
        <f t="shared" ref="F20:F42" si="1">IF(SUM($D20)=0,"",0%)</f>
        <v/>
      </c>
      <c r="H20" s="218" t="str">
        <f t="shared" si="0"/>
        <v/>
      </c>
    </row>
    <row r="21" spans="1:8" x14ac:dyDescent="0.2">
      <c r="A21" t="str">
        <f>INDEX(Prioritization!$D:$D,MATCH($B21,Prioritization!$A:$A,0))</f>
        <v>4 - Sustained</v>
      </c>
      <c r="B21" t="s">
        <v>298</v>
      </c>
      <c r="C21" s="38"/>
      <c r="D21" s="38"/>
      <c r="E21" s="2" t="str">
        <f>IF(SUM($C21)=0,"",ROUND($C21*(1+#REF!),0))</f>
        <v/>
      </c>
      <c r="F21" s="33" t="str">
        <f t="shared" si="1"/>
        <v/>
      </c>
      <c r="H21" s="2" t="str">
        <f t="shared" si="0"/>
        <v/>
      </c>
    </row>
    <row r="22" spans="1:8" x14ac:dyDescent="0.2">
      <c r="A22" t="str">
        <f>INDEX(Prioritization!$D:$D,MATCH($B22,Prioritization!$A:$A,0))</f>
        <v>4 - Sustained</v>
      </c>
      <c r="B22" t="s">
        <v>299</v>
      </c>
      <c r="C22" s="38"/>
      <c r="D22" s="38"/>
      <c r="E22" s="218" t="str">
        <f>IF(SUM($C22)=0,"",ROUND($C22*(1+#REF!),0))</f>
        <v/>
      </c>
      <c r="F22" s="33" t="str">
        <f t="shared" si="1"/>
        <v/>
      </c>
      <c r="H22" s="218" t="str">
        <f t="shared" si="0"/>
        <v/>
      </c>
    </row>
    <row r="23" spans="1:8" x14ac:dyDescent="0.2">
      <c r="A23" t="str">
        <f>INDEX(Prioritization!$D:$D,MATCH($B23,Prioritization!$A:$A,0))</f>
        <v>INVALID</v>
      </c>
      <c r="B23" t="s">
        <v>308</v>
      </c>
      <c r="C23" s="38"/>
      <c r="D23" s="38"/>
      <c r="E23" s="218" t="str">
        <f>IF(SUM($C23)=0,"",ROUND($C23*(1+#REF!),0))</f>
        <v/>
      </c>
      <c r="F23" s="33" t="str">
        <f t="shared" si="1"/>
        <v/>
      </c>
      <c r="H23" s="218" t="str">
        <f t="shared" si="0"/>
        <v/>
      </c>
    </row>
    <row r="24" spans="1:8" x14ac:dyDescent="0.2">
      <c r="A24" t="str">
        <f>INDEX(Prioritization!$D:$D,MATCH($B24,Prioritization!$A:$A,0))</f>
        <v>INVALID</v>
      </c>
      <c r="B24" t="s">
        <v>300</v>
      </c>
      <c r="C24" s="38"/>
      <c r="D24" s="38"/>
      <c r="E24" s="218" t="str">
        <f>IF(SUM($C24)=0,"",ROUND($C24*(1+#REF!),0))</f>
        <v/>
      </c>
      <c r="F24" s="33" t="str">
        <f t="shared" si="1"/>
        <v/>
      </c>
      <c r="H24" s="218" t="str">
        <f t="shared" si="0"/>
        <v/>
      </c>
    </row>
    <row r="25" spans="1:8" x14ac:dyDescent="0.2">
      <c r="A25" t="str">
        <f>INDEX(Prioritization!$D:$D,MATCH($B25,Prioritization!$A:$A,0))</f>
        <v>4 - Sustained</v>
      </c>
      <c r="B25" t="s">
        <v>309</v>
      </c>
      <c r="C25" s="38"/>
      <c r="D25" s="38"/>
      <c r="E25" s="218" t="str">
        <f>IF(SUM($C25)=0,"",ROUND($C25*(1+#REF!),0))</f>
        <v/>
      </c>
      <c r="F25" s="33" t="str">
        <f t="shared" si="1"/>
        <v/>
      </c>
      <c r="H25" s="218" t="str">
        <f t="shared" si="0"/>
        <v/>
      </c>
    </row>
    <row r="26" spans="1:8" x14ac:dyDescent="0.2">
      <c r="A26" t="str">
        <f>INDEX(Prioritization!$D:$D,MATCH($B26,Prioritization!$A:$A,0))</f>
        <v>INVALID</v>
      </c>
      <c r="B26" t="s">
        <v>301</v>
      </c>
      <c r="C26" s="38">
        <v>2048</v>
      </c>
      <c r="D26" s="38">
        <v>1400</v>
      </c>
      <c r="E26" s="218" t="e">
        <f>IF(SUM($C26)=0,"",ROUND($C26*(1+#REF!),0))</f>
        <v>#REF!</v>
      </c>
      <c r="F26" s="233">
        <v>-0.56000000000000005</v>
      </c>
      <c r="H26" s="218">
        <f t="shared" si="0"/>
        <v>616</v>
      </c>
    </row>
    <row r="27" spans="1:8" x14ac:dyDescent="0.2">
      <c r="A27" t="str">
        <f>INDEX(Prioritization!$D:$D,MATCH($B27,Prioritization!$A:$A,0))</f>
        <v>1 - Scale-up: Saturation</v>
      </c>
      <c r="B27" t="s">
        <v>317</v>
      </c>
      <c r="C27" s="38">
        <v>1149</v>
      </c>
      <c r="D27" s="38">
        <v>858</v>
      </c>
      <c r="E27" s="218" t="e">
        <f>IF(SUM($C27)=0,"",ROUND($C27*(1+#REF!),0))</f>
        <v>#REF!</v>
      </c>
      <c r="F27" s="233">
        <v>-0.57999999999999996</v>
      </c>
      <c r="H27" s="218">
        <f t="shared" si="0"/>
        <v>360</v>
      </c>
    </row>
    <row r="28" spans="1:8" x14ac:dyDescent="0.2">
      <c r="A28" t="str">
        <f>INDEX(Prioritization!$D:$D,MATCH($B28,Prioritization!$A:$A,0))</f>
        <v>1 - Scale-up: Saturation</v>
      </c>
      <c r="B28" t="s">
        <v>318</v>
      </c>
      <c r="C28" s="38">
        <v>1418</v>
      </c>
      <c r="D28" s="38">
        <v>950</v>
      </c>
      <c r="E28" s="218" t="e">
        <f>IF(SUM($C28)=0,"",ROUND($C28*(1+#REF!),0))</f>
        <v>#REF!</v>
      </c>
      <c r="F28" s="233">
        <v>-0.55000000000000004</v>
      </c>
      <c r="H28" s="218">
        <f t="shared" si="0"/>
        <v>428</v>
      </c>
    </row>
    <row r="29" spans="1:8" x14ac:dyDescent="0.2">
      <c r="A29" t="str">
        <f>INDEX(Prioritization!$D:$D,MATCH($B29,Prioritization!$A:$A,0))</f>
        <v>4 - Sustained</v>
      </c>
      <c r="B29" t="s">
        <v>302</v>
      </c>
      <c r="C29" s="38"/>
      <c r="D29" s="38"/>
      <c r="E29" s="218" t="str">
        <f>IF(SUM($C29)=0,"",ROUND($C29*(1+#REF!),0))</f>
        <v/>
      </c>
      <c r="F29" s="33" t="str">
        <f t="shared" si="1"/>
        <v/>
      </c>
      <c r="H29" s="218" t="str">
        <f t="shared" si="0"/>
        <v/>
      </c>
    </row>
    <row r="30" spans="1:8" x14ac:dyDescent="0.2">
      <c r="A30" t="str">
        <f>INDEX(Prioritization!$D:$D,MATCH($B30,Prioritization!$A:$A,0))</f>
        <v>INVALID</v>
      </c>
      <c r="B30" t="s">
        <v>319</v>
      </c>
      <c r="C30" s="38">
        <v>837</v>
      </c>
      <c r="D30" s="38">
        <v>444</v>
      </c>
      <c r="E30" s="218" t="e">
        <f>IF(SUM($C30)=0,"",ROUND($C30*(1+#REF!),0))</f>
        <v>#REF!</v>
      </c>
      <c r="F30" s="233">
        <v>-0.48</v>
      </c>
      <c r="H30" s="218">
        <f t="shared" si="0"/>
        <v>231</v>
      </c>
    </row>
    <row r="31" spans="1:8" x14ac:dyDescent="0.2">
      <c r="A31" t="str">
        <f>INDEX(Prioritization!$D:$D,MATCH($B31,Prioritization!$A:$A,0))</f>
        <v>4 - Sustained</v>
      </c>
      <c r="B31" t="s">
        <v>320</v>
      </c>
      <c r="C31" s="38"/>
      <c r="D31" s="38"/>
      <c r="E31" s="218" t="str">
        <f>IF(SUM($C31)=0,"",ROUND($C31*(1+#REF!),0))</f>
        <v/>
      </c>
      <c r="F31" s="33" t="str">
        <f t="shared" si="1"/>
        <v/>
      </c>
      <c r="H31" s="218" t="str">
        <f t="shared" si="0"/>
        <v/>
      </c>
    </row>
    <row r="32" spans="1:8" x14ac:dyDescent="0.2">
      <c r="A32" t="str">
        <f>INDEX(Prioritization!$D:$D,MATCH($B32,Prioritization!$A:$A,0))</f>
        <v>1 - Scale-up: Saturation</v>
      </c>
      <c r="B32" t="s">
        <v>310</v>
      </c>
      <c r="C32" s="38">
        <v>986</v>
      </c>
      <c r="D32" s="38">
        <v>566</v>
      </c>
      <c r="E32" s="218" t="e">
        <f>IF(SUM($C32)=0,"",ROUND($C32*(1+#REF!),0))</f>
        <v>#REF!</v>
      </c>
      <c r="F32" s="233">
        <v>-0.51</v>
      </c>
      <c r="H32" s="218">
        <f t="shared" si="0"/>
        <v>277</v>
      </c>
    </row>
    <row r="33" spans="1:8" x14ac:dyDescent="0.2">
      <c r="A33" t="str">
        <f>INDEX(Prioritization!$D:$D,MATCH($B33,Prioritization!$A:$A,0))</f>
        <v>4 - Sustained</v>
      </c>
      <c r="B33" t="s">
        <v>321</v>
      </c>
      <c r="C33" s="38"/>
      <c r="D33" s="38"/>
      <c r="E33" s="218" t="str">
        <f>IF(SUM($C33)=0,"",ROUND($C33*(1+#REF!),0))</f>
        <v/>
      </c>
      <c r="F33" s="33" t="str">
        <f t="shared" si="1"/>
        <v/>
      </c>
      <c r="H33" s="218" t="str">
        <f t="shared" si="0"/>
        <v/>
      </c>
    </row>
    <row r="34" spans="1:8" x14ac:dyDescent="0.2">
      <c r="A34" t="str">
        <f>INDEX(Prioritization!$D:$D,MATCH($B34,Prioritization!$A:$A,0))</f>
        <v>4 - Sustained</v>
      </c>
      <c r="B34" t="s">
        <v>311</v>
      </c>
      <c r="C34" s="38"/>
      <c r="D34" s="38"/>
      <c r="E34" s="218" t="str">
        <f>IF(SUM($C34)=0,"",ROUND($C34*(1+#REF!),0))</f>
        <v/>
      </c>
      <c r="F34" s="33" t="str">
        <f t="shared" si="1"/>
        <v/>
      </c>
      <c r="H34" s="218" t="str">
        <f t="shared" si="0"/>
        <v/>
      </c>
    </row>
    <row r="35" spans="1:8" x14ac:dyDescent="0.2">
      <c r="A35" t="str">
        <f>INDEX(Prioritization!$D:$D,MATCH($B35,Prioritization!$A:$A,0))</f>
        <v>4 - Sustained</v>
      </c>
      <c r="B35" t="s">
        <v>303</v>
      </c>
      <c r="C35" s="38"/>
      <c r="D35" s="38"/>
      <c r="E35" s="218" t="str">
        <f>IF(SUM($C35)=0,"",ROUND($C35*(1+#REF!),0))</f>
        <v/>
      </c>
      <c r="F35" s="33" t="str">
        <f t="shared" si="1"/>
        <v/>
      </c>
      <c r="H35" s="218" t="str">
        <f t="shared" si="0"/>
        <v/>
      </c>
    </row>
    <row r="36" spans="1:8" x14ac:dyDescent="0.2">
      <c r="A36" t="str">
        <f>INDEX(Prioritization!$D:$D,MATCH($B36,Prioritization!$A:$A,0))</f>
        <v>INVALID</v>
      </c>
      <c r="B36" t="s">
        <v>322</v>
      </c>
      <c r="C36" s="38"/>
      <c r="D36" s="38"/>
      <c r="E36" s="218" t="str">
        <f>IF(SUM($C36)=0,"",ROUND($C36*(1+#REF!),0))</f>
        <v/>
      </c>
      <c r="F36" s="33" t="str">
        <f t="shared" si="1"/>
        <v/>
      </c>
      <c r="H36" s="218" t="str">
        <f t="shared" si="0"/>
        <v/>
      </c>
    </row>
    <row r="37" spans="1:8" x14ac:dyDescent="0.2">
      <c r="A37" t="str">
        <f>INDEX(Prioritization!$D:$D,MATCH($B37,Prioritization!$A:$A,0))</f>
        <v>4 - Sustained</v>
      </c>
      <c r="B37" t="s">
        <v>304</v>
      </c>
      <c r="C37" s="38"/>
      <c r="D37" s="38"/>
      <c r="E37" s="218" t="str">
        <f>IF(SUM($C37)=0,"",ROUND($C37*(1+#REF!),0))</f>
        <v/>
      </c>
      <c r="F37" s="33" t="str">
        <f t="shared" si="1"/>
        <v/>
      </c>
      <c r="H37" s="218" t="str">
        <f t="shared" si="0"/>
        <v/>
      </c>
    </row>
    <row r="38" spans="1:8" x14ac:dyDescent="0.2">
      <c r="A38" t="str">
        <f>INDEX(Prioritization!$D:$D,MATCH($B38,Prioritization!$A:$A,0))</f>
        <v>4 - Sustained</v>
      </c>
      <c r="B38" t="s">
        <v>305</v>
      </c>
      <c r="C38" s="38"/>
      <c r="D38" s="38"/>
      <c r="E38" s="218" t="str">
        <f>IF(SUM($C38)=0,"",ROUND($C38*(1+#REF!),0))</f>
        <v/>
      </c>
      <c r="F38" s="33" t="str">
        <f t="shared" si="1"/>
        <v/>
      </c>
      <c r="H38" s="218" t="str">
        <f t="shared" si="0"/>
        <v/>
      </c>
    </row>
    <row r="39" spans="1:8" x14ac:dyDescent="0.2">
      <c r="A39" t="str">
        <f>INDEX(Prioritization!$D:$D,MATCH($B39,Prioritization!$A:$A,0))</f>
        <v>INVALID</v>
      </c>
      <c r="B39" t="s">
        <v>323</v>
      </c>
      <c r="C39" s="38">
        <v>806</v>
      </c>
      <c r="D39" s="38">
        <v>527</v>
      </c>
      <c r="E39" s="218" t="e">
        <f>IF(SUM($C39)=0,"",ROUND($C39*(1+#REF!),0))</f>
        <v>#REF!</v>
      </c>
      <c r="F39" s="233">
        <v>-0.54</v>
      </c>
      <c r="H39" s="218">
        <f t="shared" si="0"/>
        <v>242</v>
      </c>
    </row>
    <row r="40" spans="1:8" x14ac:dyDescent="0.2">
      <c r="A40" t="e">
        <f>INDEX(Prioritization!$D:$D,MATCH($B40,Prioritization!$A:$A,0))</f>
        <v>#N/A</v>
      </c>
      <c r="B40" t="s">
        <v>1114</v>
      </c>
      <c r="C40" s="38"/>
      <c r="D40" s="38"/>
      <c r="E40" s="218" t="str">
        <f>IF(SUM($C40)=0,"",ROUND($C40*(1+#REF!),0))</f>
        <v/>
      </c>
      <c r="F40" s="33" t="str">
        <f t="shared" si="1"/>
        <v/>
      </c>
      <c r="H40" s="218" t="str">
        <f t="shared" si="0"/>
        <v/>
      </c>
    </row>
    <row r="41" spans="1:8" x14ac:dyDescent="0.2">
      <c r="A41" t="str">
        <f>INDEX(Prioritization!$D:$D,MATCH($B41,Prioritization!$A:$A,0))</f>
        <v>4 - Sustained</v>
      </c>
      <c r="B41" t="s">
        <v>312</v>
      </c>
      <c r="C41" s="38"/>
      <c r="D41" s="38"/>
      <c r="E41" s="218" t="str">
        <f>IF(SUM($C41)=0,"",ROUND($C41*(1+#REF!),0))</f>
        <v/>
      </c>
      <c r="F41" s="33" t="str">
        <f t="shared" si="1"/>
        <v/>
      </c>
      <c r="H41" s="218" t="str">
        <f t="shared" si="0"/>
        <v/>
      </c>
    </row>
    <row r="42" spans="1:8" x14ac:dyDescent="0.2">
      <c r="A42" t="str">
        <f>INDEX(Prioritization!$D:$D,MATCH($B42,Prioritization!$A:$A,0))</f>
        <v>4 - Sustained</v>
      </c>
      <c r="B42" t="s">
        <v>306</v>
      </c>
      <c r="C42" s="38"/>
      <c r="D42" s="38"/>
      <c r="E42" s="218" t="str">
        <f>IF(SUM($C42)=0,"",ROUND($C42*(1+#REF!),0))</f>
        <v/>
      </c>
      <c r="F42" s="33" t="str">
        <f t="shared" si="1"/>
        <v/>
      </c>
      <c r="H42" s="218" t="str">
        <f t="shared" si="0"/>
        <v/>
      </c>
    </row>
    <row r="43" spans="1:8" x14ac:dyDescent="0.2">
      <c r="A43" t="str">
        <f>INDEX(Prioritization!$D:$D,MATCH($B43,Prioritization!$A:$A,0))</f>
        <v>INVALID</v>
      </c>
      <c r="B43" t="s">
        <v>324</v>
      </c>
      <c r="C43" s="38">
        <v>853</v>
      </c>
      <c r="D43" s="38">
        <v>463</v>
      </c>
      <c r="E43" s="218" t="e">
        <f>IF(SUM($C43)=0,"",ROUND($C43*(1+#REF!),0))</f>
        <v>#REF!</v>
      </c>
      <c r="F43" s="233">
        <v>-0.49</v>
      </c>
      <c r="H43" s="218">
        <f t="shared" si="0"/>
        <v>236</v>
      </c>
    </row>
    <row r="44" spans="1:8" x14ac:dyDescent="0.2">
      <c r="A44" t="str">
        <f>INDEX(Prioritization!$D:$D,MATCH($B44,Prioritization!$A:$A,0))</f>
        <v>1 - Scale-up: Saturation</v>
      </c>
      <c r="B44" t="s">
        <v>325</v>
      </c>
      <c r="C44" s="38">
        <v>1742</v>
      </c>
      <c r="D44" s="38">
        <v>1117</v>
      </c>
      <c r="E44" s="218" t="e">
        <f>IF(SUM($C44)=0,"",ROUND($C44*(1+#REF!),0))</f>
        <v>#REF!</v>
      </c>
      <c r="F44" s="233">
        <v>-0.54</v>
      </c>
      <c r="H44" s="218">
        <f t="shared" si="0"/>
        <v>514</v>
      </c>
    </row>
  </sheetData>
  <autoFilter ref="A14:H14" xr:uid="{00000000-0001-0000-1000-000000000000}"/>
  <sortState xmlns:xlrd2="http://schemas.microsoft.com/office/spreadsheetml/2017/richdata2" ref="A15:H44">
    <sortCondition ref="B15:B44"/>
  </sortState>
  <conditionalFormatting sqref="H1:H1048576 C1:E1048576">
    <cfRule type="expression" dxfId="52" priority="2">
      <formula>AND(ISNUMBER(C1),C1&lt;0)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34"/>
  <sheetViews>
    <sheetView zoomScaleNormal="100" workbookViewId="0">
      <pane xSplit="5" ySplit="14" topLeftCell="F15" activePane="bottomRight" state="frozen"/>
      <selection pane="topRight"/>
      <selection pane="bottomLeft"/>
      <selection pane="bottomRight" activeCell="S20" sqref="S20:S24"/>
    </sheetView>
  </sheetViews>
  <sheetFormatPr baseColWidth="10" defaultColWidth="11" defaultRowHeight="16" x14ac:dyDescent="0.2"/>
  <cols>
    <col min="1" max="1" width="16.1640625" customWidth="1"/>
    <col min="2" max="2" width="30.6640625" customWidth="1"/>
    <col min="3" max="3" width="10.6640625" customWidth="1"/>
    <col min="4" max="4" width="7.6640625" customWidth="1"/>
    <col min="5" max="5" width="7.1640625" hidden="1" customWidth="1"/>
    <col min="6" max="18" width="11.6640625" customWidth="1"/>
    <col min="19" max="20" width="12.6640625" customWidth="1"/>
  </cols>
  <sheetData>
    <row r="1" spans="1:20" ht="31.25" customHeight="1" x14ac:dyDescent="0.2">
      <c r="A1" s="68" t="s">
        <v>975</v>
      </c>
      <c r="B1" s="23"/>
      <c r="C1" s="112"/>
      <c r="D1" s="112"/>
      <c r="E1" s="112"/>
      <c r="F1" s="43" t="s">
        <v>607</v>
      </c>
      <c r="G1" s="13"/>
      <c r="H1" s="44"/>
      <c r="I1" s="13"/>
      <c r="J1" s="43"/>
      <c r="K1" s="13"/>
      <c r="L1" s="13"/>
      <c r="M1" s="13"/>
      <c r="N1" s="13"/>
      <c r="O1" s="13"/>
      <c r="P1" s="44"/>
      <c r="Q1" s="44"/>
      <c r="R1" s="44"/>
      <c r="S1" s="43"/>
      <c r="T1" s="43"/>
    </row>
    <row r="2" spans="1:20" ht="19.25" customHeight="1" x14ac:dyDescent="0.25">
      <c r="A2" s="255" t="s">
        <v>1388</v>
      </c>
      <c r="B2" s="251"/>
      <c r="C2" s="4"/>
      <c r="D2" s="4"/>
      <c r="E2" s="4"/>
      <c r="F2" s="24"/>
      <c r="G2" s="24"/>
      <c r="H2" s="32"/>
      <c r="I2" s="24"/>
      <c r="J2" s="20"/>
      <c r="K2" s="24"/>
      <c r="L2" s="24"/>
      <c r="M2" s="24"/>
      <c r="N2" s="24"/>
      <c r="O2" s="24"/>
      <c r="P2" s="32"/>
      <c r="Q2" s="32"/>
      <c r="R2" s="32"/>
      <c r="S2" s="20" t="s">
        <v>281</v>
      </c>
      <c r="T2" s="20" t="s">
        <v>281</v>
      </c>
    </row>
    <row r="3" spans="1:20" ht="117" customHeight="1" x14ac:dyDescent="0.2">
      <c r="A3" s="252"/>
      <c r="B3" s="253"/>
      <c r="C3" s="9"/>
      <c r="D3" s="9"/>
      <c r="E3" s="9"/>
      <c r="F3" s="59" t="s">
        <v>1389</v>
      </c>
      <c r="G3" s="59" t="s">
        <v>1390</v>
      </c>
      <c r="H3" s="184"/>
      <c r="I3" s="59"/>
      <c r="J3" s="109"/>
      <c r="K3" s="109" t="s">
        <v>1391</v>
      </c>
      <c r="L3" s="109" t="s">
        <v>1395</v>
      </c>
      <c r="M3" s="109" t="s">
        <v>1392</v>
      </c>
      <c r="N3" s="109" t="s">
        <v>1393</v>
      </c>
      <c r="O3" s="109" t="s">
        <v>1394</v>
      </c>
      <c r="P3" s="90" t="s">
        <v>1396</v>
      </c>
      <c r="Q3" s="42" t="s">
        <v>1397</v>
      </c>
      <c r="R3" s="42" t="s">
        <v>1398</v>
      </c>
      <c r="S3" s="14" t="s">
        <v>1399</v>
      </c>
      <c r="T3" s="14" t="s">
        <v>1400</v>
      </c>
    </row>
    <row r="4" spans="1:20" ht="28" customHeight="1" x14ac:dyDescent="0.2">
      <c r="A4" s="35"/>
      <c r="B4" s="5"/>
      <c r="C4" s="5"/>
      <c r="D4" s="5" t="s">
        <v>392</v>
      </c>
      <c r="E4" s="5"/>
      <c r="F4" s="35">
        <f>SUBTOTAL(109,F$15:INDEX(F:F,COUNTA($B:$B)+14-COUNTA($B$1:$B$14)))</f>
        <v>608322</v>
      </c>
      <c r="G4" s="35">
        <f>SUBTOTAL(109,G$15:INDEX(G:G,COUNTA($B:$B)+14-COUNTA($B$1:$B$14)))</f>
        <v>30739</v>
      </c>
      <c r="H4" s="41"/>
      <c r="I4" s="35"/>
      <c r="J4" s="35"/>
      <c r="K4" s="35">
        <f>SUBTOTAL(109,K$15:INDEX(K:K,COUNTA($B:$B)+14-COUNTA($B$1:$B$14)))</f>
        <v>0</v>
      </c>
      <c r="L4" s="35">
        <f ca="1">SUBTOTAL(109,L$15:INDEX(L:L,COUNTA($B:$B)+14-COUNTA($B$1:$B$14)))</f>
        <v>79972</v>
      </c>
      <c r="M4" s="35">
        <f>SUBTOTAL(109,M$15:INDEX(M:M,COUNTA($B:$B)+14-COUNTA($B$1:$B$14)))</f>
        <v>3838</v>
      </c>
      <c r="N4" s="35">
        <f>SUBTOTAL(109,N$15:INDEX(N:N,COUNTA($B:$B)+14-COUNTA($B$1:$B$14)))</f>
        <v>4144</v>
      </c>
      <c r="O4" s="35">
        <f>SUBTOTAL(109,O$15:INDEX(O:O,COUNTA($B:$B)+14-COUNTA($B$1:$B$14)))</f>
        <v>71990</v>
      </c>
      <c r="P4" s="136">
        <f ca="1">IF($L$4=0,"",SUM($N$4,$O$4)/$L$4)</f>
        <v>0.95200820287100485</v>
      </c>
      <c r="Q4" s="136">
        <f ca="1">IF($L$4=0,"",$S$4/$L$4-1)</f>
        <v>0.75844045415895556</v>
      </c>
      <c r="R4" s="136">
        <f ca="1">IF($S$4=0,"",$T$4/$S$4)</f>
        <v>0.85001351101503275</v>
      </c>
      <c r="S4" s="132">
        <f ca="1">SUBTOTAL(109,S$15:INDEX(S:S,COUNTA($B:$B)+14-COUNTA($B$1:$B$14)))</f>
        <v>140626</v>
      </c>
      <c r="T4" s="132">
        <f ca="1">SUBTOTAL(109,T$15:INDEX(T:T,COUNTA($B:$B)+14-COUNTA($B$1:$B$14)))</f>
        <v>119534</v>
      </c>
    </row>
    <row r="5" spans="1:20" ht="28" customHeight="1" x14ac:dyDescent="0.2">
      <c r="A5" t="s">
        <v>285</v>
      </c>
      <c r="B5" s="1" t="s">
        <v>285</v>
      </c>
      <c r="C5" s="1" t="s">
        <v>285</v>
      </c>
      <c r="D5" s="1" t="s">
        <v>285</v>
      </c>
      <c r="E5" s="1" t="s">
        <v>285</v>
      </c>
      <c r="F5" s="38" t="s">
        <v>285</v>
      </c>
      <c r="G5" s="38" t="s">
        <v>285</v>
      </c>
      <c r="H5" s="33"/>
      <c r="I5" s="38"/>
      <c r="J5" s="38"/>
      <c r="K5" s="38" t="s">
        <v>393</v>
      </c>
      <c r="L5" s="38" t="s">
        <v>285</v>
      </c>
      <c r="M5" s="38" t="s">
        <v>393</v>
      </c>
      <c r="N5" s="38" t="s">
        <v>393</v>
      </c>
      <c r="O5" s="38" t="s">
        <v>393</v>
      </c>
      <c r="P5" s="34" t="s">
        <v>285</v>
      </c>
      <c r="Q5" s="34" t="s">
        <v>285</v>
      </c>
      <c r="R5" s="34" t="s">
        <v>285</v>
      </c>
      <c r="S5" s="2" t="s">
        <v>393</v>
      </c>
      <c r="T5" s="2" t="s">
        <v>393</v>
      </c>
    </row>
    <row r="6" spans="1:20" ht="28" customHeight="1" x14ac:dyDescent="0.2">
      <c r="A6" t="s">
        <v>287</v>
      </c>
      <c r="B6" s="1" t="s">
        <v>287</v>
      </c>
      <c r="C6" s="1" t="s">
        <v>287</v>
      </c>
      <c r="D6" s="1" t="s">
        <v>287</v>
      </c>
      <c r="E6" s="1" t="s">
        <v>287</v>
      </c>
      <c r="F6" s="38" t="s">
        <v>395</v>
      </c>
      <c r="G6" s="38" t="s">
        <v>395</v>
      </c>
      <c r="H6" s="33"/>
      <c r="I6" s="38"/>
      <c r="J6" s="38"/>
      <c r="K6" s="38" t="s">
        <v>288</v>
      </c>
      <c r="L6" s="38" t="s">
        <v>290</v>
      </c>
      <c r="M6" s="38" t="s">
        <v>288</v>
      </c>
      <c r="N6" s="38" t="s">
        <v>288</v>
      </c>
      <c r="O6" s="38" t="s">
        <v>288</v>
      </c>
      <c r="P6" s="34" t="s">
        <v>290</v>
      </c>
      <c r="Q6" s="34" t="s">
        <v>395</v>
      </c>
      <c r="R6" s="34" t="s">
        <v>395</v>
      </c>
      <c r="S6" s="2" t="s">
        <v>289</v>
      </c>
      <c r="T6" s="2" t="s">
        <v>289</v>
      </c>
    </row>
    <row r="7" spans="1:20" ht="28" customHeight="1" x14ac:dyDescent="0.2">
      <c r="A7" t="s">
        <v>291</v>
      </c>
      <c r="B7" s="1" t="s">
        <v>291</v>
      </c>
      <c r="C7" s="1" t="s">
        <v>291</v>
      </c>
      <c r="D7" s="1" t="s">
        <v>291</v>
      </c>
      <c r="E7" s="1" t="s">
        <v>291</v>
      </c>
      <c r="F7" s="38" t="s">
        <v>292</v>
      </c>
      <c r="G7" s="38" t="s">
        <v>292</v>
      </c>
      <c r="H7" s="33"/>
      <c r="I7" s="38"/>
      <c r="J7" s="38"/>
      <c r="K7" s="38" t="s">
        <v>292</v>
      </c>
      <c r="L7" s="38" t="s">
        <v>292</v>
      </c>
      <c r="M7" s="38" t="s">
        <v>292</v>
      </c>
      <c r="N7" s="38" t="s">
        <v>292</v>
      </c>
      <c r="O7" s="38" t="s">
        <v>292</v>
      </c>
      <c r="P7" s="34" t="s">
        <v>398</v>
      </c>
      <c r="Q7" s="34" t="s">
        <v>398</v>
      </c>
      <c r="R7" s="34" t="s">
        <v>398</v>
      </c>
      <c r="S7" s="2" t="s">
        <v>292</v>
      </c>
      <c r="T7" s="2" t="s">
        <v>292</v>
      </c>
    </row>
    <row r="8" spans="1:20" ht="28" customHeight="1" x14ac:dyDescent="0.2">
      <c r="J8" s="64"/>
      <c r="K8" s="64" t="s">
        <v>1401</v>
      </c>
      <c r="M8" s="64" t="s">
        <v>1402</v>
      </c>
      <c r="N8" s="64" t="s">
        <v>1403</v>
      </c>
      <c r="O8" s="64" t="s">
        <v>1404</v>
      </c>
      <c r="P8" s="34"/>
      <c r="Q8" s="34"/>
      <c r="R8" s="34"/>
      <c r="S8" s="63" t="s">
        <v>782</v>
      </c>
      <c r="T8" s="63" t="s">
        <v>783</v>
      </c>
    </row>
    <row r="9" spans="1:20" ht="28" customHeight="1" x14ac:dyDescent="0.2">
      <c r="J9" s="64"/>
      <c r="K9" s="129"/>
      <c r="L9" s="29"/>
      <c r="M9" s="129"/>
      <c r="N9" s="129"/>
      <c r="O9" s="129"/>
      <c r="P9" s="34"/>
      <c r="Q9" s="34"/>
      <c r="R9" s="34"/>
      <c r="S9" s="63"/>
      <c r="T9" s="63"/>
    </row>
    <row r="10" spans="1:20" ht="28" customHeight="1" x14ac:dyDescent="0.2">
      <c r="J10" s="64"/>
      <c r="K10" s="64" t="s">
        <v>1405</v>
      </c>
      <c r="M10" s="64" t="s">
        <v>1406</v>
      </c>
      <c r="N10" s="64" t="s">
        <v>1407</v>
      </c>
      <c r="O10" s="64" t="s">
        <v>1408</v>
      </c>
      <c r="P10" s="34"/>
      <c r="Q10" s="34"/>
      <c r="R10" s="34"/>
      <c r="S10" s="63" t="s">
        <v>800</v>
      </c>
      <c r="T10" s="63" t="s">
        <v>801</v>
      </c>
    </row>
    <row r="11" spans="1:20" ht="28" customHeight="1" x14ac:dyDescent="0.2">
      <c r="F11" s="38" t="s">
        <v>812</v>
      </c>
      <c r="G11" s="38" t="s">
        <v>812</v>
      </c>
      <c r="H11" s="33"/>
      <c r="I11" s="38"/>
      <c r="J11" s="38"/>
      <c r="K11" s="38" t="s">
        <v>812</v>
      </c>
      <c r="L11" s="38" t="s">
        <v>812</v>
      </c>
      <c r="M11" s="38" t="s">
        <v>812</v>
      </c>
      <c r="N11" s="38" t="s">
        <v>812</v>
      </c>
      <c r="O11" s="38" t="s">
        <v>812</v>
      </c>
      <c r="P11" s="34" t="s">
        <v>812</v>
      </c>
      <c r="Q11" s="33" t="s">
        <v>812</v>
      </c>
      <c r="R11" s="33" t="s">
        <v>812</v>
      </c>
      <c r="S11" s="2" t="s">
        <v>812</v>
      </c>
      <c r="T11" s="2" t="s">
        <v>812</v>
      </c>
    </row>
    <row r="12" spans="1:20" ht="28" customHeight="1" x14ac:dyDescent="0.2">
      <c r="F12" s="38" t="s">
        <v>813</v>
      </c>
      <c r="G12" s="38" t="s">
        <v>813</v>
      </c>
      <c r="H12" s="33"/>
      <c r="I12" s="38"/>
      <c r="J12" s="38"/>
      <c r="K12" s="38" t="s">
        <v>813</v>
      </c>
      <c r="L12" s="38" t="s">
        <v>813</v>
      </c>
      <c r="M12" s="38" t="s">
        <v>813</v>
      </c>
      <c r="N12" s="38" t="s">
        <v>813</v>
      </c>
      <c r="O12" s="38" t="s">
        <v>813</v>
      </c>
      <c r="P12" s="34" t="s">
        <v>813</v>
      </c>
      <c r="Q12" s="33" t="s">
        <v>813</v>
      </c>
      <c r="R12" s="33" t="s">
        <v>813</v>
      </c>
      <c r="S12" s="2" t="s">
        <v>813</v>
      </c>
      <c r="T12" s="2" t="s">
        <v>813</v>
      </c>
    </row>
    <row r="13" spans="1:20" ht="28" customHeight="1" x14ac:dyDescent="0.2"/>
    <row r="14" spans="1:20" ht="28" customHeight="1" x14ac:dyDescent="0.2">
      <c r="A14" s="70" t="s">
        <v>280</v>
      </c>
      <c r="B14" s="47" t="s">
        <v>294</v>
      </c>
      <c r="C14" s="47" t="s">
        <v>428</v>
      </c>
      <c r="D14" s="47" t="s">
        <v>429</v>
      </c>
      <c r="E14" s="47" t="s">
        <v>20</v>
      </c>
      <c r="F14" s="18" t="s">
        <v>138</v>
      </c>
      <c r="G14" s="18" t="s">
        <v>1409</v>
      </c>
      <c r="H14" s="48" t="s">
        <v>1410</v>
      </c>
      <c r="I14" s="18" t="s">
        <v>1411</v>
      </c>
      <c r="J14" s="49" t="s">
        <v>1412</v>
      </c>
      <c r="K14" s="18" t="s">
        <v>1413</v>
      </c>
      <c r="L14" s="18" t="s">
        <v>1417</v>
      </c>
      <c r="M14" s="18" t="s">
        <v>1414</v>
      </c>
      <c r="N14" s="18" t="s">
        <v>1415</v>
      </c>
      <c r="O14" s="18" t="s">
        <v>1416</v>
      </c>
      <c r="P14" s="48" t="s">
        <v>1418</v>
      </c>
      <c r="Q14" s="48" t="s">
        <v>1419</v>
      </c>
      <c r="R14" s="48" t="s">
        <v>1420</v>
      </c>
      <c r="S14" s="49" t="s">
        <v>951</v>
      </c>
      <c r="T14" s="49" t="s">
        <v>952</v>
      </c>
    </row>
    <row r="15" spans="1:20" x14ac:dyDescent="0.2">
      <c r="A15" t="str">
        <f>INDEX(Prioritization!$D:$D,MATCH($B15,Prioritization!$A:$A,0))</f>
        <v>1 - Scale-up: Saturation</v>
      </c>
      <c r="B15" t="s">
        <v>314</v>
      </c>
      <c r="C15" t="s">
        <v>474</v>
      </c>
      <c r="D15" t="s">
        <v>30</v>
      </c>
      <c r="E15" s="1" t="str">
        <f t="shared" ref="E15:E34" si="0">B15&amp;"|"&amp;C15&amp;"|"&amp;D15</f>
        <v>Blantyre District [mxqa3CDFmIT]|10-14|Female</v>
      </c>
      <c r="F15">
        <v>85000</v>
      </c>
      <c r="J15" s="38">
        <v>5194</v>
      </c>
      <c r="K15" s="38"/>
      <c r="L15" s="38">
        <f ca="1">IF(SUM($K15:$O15)=0,"",SUM($K15:$O15))</f>
        <v>5285</v>
      </c>
      <c r="M15" s="38">
        <v>33</v>
      </c>
      <c r="N15" s="38">
        <v>309</v>
      </c>
      <c r="O15" s="38">
        <v>4943</v>
      </c>
      <c r="P15" s="34">
        <f ca="1">IF(SUM($L15)=0,"",SUM($N15,$O15)/SUM($L15))</f>
        <v>0.99375591296121102</v>
      </c>
      <c r="Q15" s="238">
        <v>1.5675329730000001</v>
      </c>
      <c r="R15" s="34">
        <v>-0.05</v>
      </c>
      <c r="S15" s="2">
        <f ca="1">IF(SUM($L15)=0,"",ROUND(SUM($L15)*(1+$Q15),0))</f>
        <v>13569</v>
      </c>
      <c r="T15" s="2">
        <f ca="1">IF(SUM($S15)=0,"",IF($R15="","Add to column S",ROUND(SUM($S15)*R15,0)))</f>
        <v>0</v>
      </c>
    </row>
    <row r="16" spans="1:20" x14ac:dyDescent="0.2">
      <c r="A16" t="str">
        <f>INDEX(Prioritization!$D:$D,MATCH($B16,Prioritization!$A:$A,0))</f>
        <v>1 - Scale-up: Saturation</v>
      </c>
      <c r="B16" t="s">
        <v>314</v>
      </c>
      <c r="C16" t="s">
        <v>976</v>
      </c>
      <c r="D16" t="s">
        <v>30</v>
      </c>
      <c r="E16" t="str">
        <f t="shared" si="0"/>
        <v>Blantyre District [mxqa3CDFmIT]|15-19|Female</v>
      </c>
      <c r="J16" s="38">
        <v>3380</v>
      </c>
      <c r="K16" s="38"/>
      <c r="L16" s="38">
        <f ca="1">IF(SUM($K16:$O16)=0,"",SUM($K16:$O16))</f>
        <v>7149</v>
      </c>
      <c r="M16" s="38">
        <v>425</v>
      </c>
      <c r="N16" s="38">
        <v>18</v>
      </c>
      <c r="O16" s="38">
        <v>6706</v>
      </c>
      <c r="P16" s="33">
        <f ca="1">IF(SUM($L16)=0,"",SUM($N16,$O16)/SUM($L16))</f>
        <v>0.94055112603161284</v>
      </c>
      <c r="Q16" s="238">
        <v>1.177556713</v>
      </c>
      <c r="R16" s="34">
        <v>-0.05</v>
      </c>
      <c r="S16" s="218">
        <f ca="1">IF(SUM($L16)=0,"",ROUND(SUM($L16)*(1+$Q16),0))</f>
        <v>15567</v>
      </c>
      <c r="T16" s="218">
        <f ca="1">IF(SUM($S16)=0,"",IF($R16="","Add to column S",ROUND(SUM($S16)*R16,0)))</f>
        <v>0</v>
      </c>
    </row>
    <row r="17" spans="1:20" x14ac:dyDescent="0.2">
      <c r="A17" t="str">
        <f>INDEX(Prioritization!$D:$D,MATCH($B17,Prioritization!$A:$A,0))</f>
        <v>1 - Scale-up: Saturation</v>
      </c>
      <c r="B17" t="s">
        <v>314</v>
      </c>
      <c r="C17" t="s">
        <v>977</v>
      </c>
      <c r="D17" t="s">
        <v>30</v>
      </c>
      <c r="E17" t="str">
        <f t="shared" si="0"/>
        <v>Blantyre District [mxqa3CDFmIT]|20-24|Female</v>
      </c>
      <c r="J17" s="38">
        <v>16527</v>
      </c>
      <c r="K17" s="38"/>
      <c r="L17" s="38">
        <f ca="1">IF(SUM($K17:$O17)=0,"",SUM($K17:$O17))</f>
        <v>6979</v>
      </c>
      <c r="M17" s="38">
        <v>46</v>
      </c>
      <c r="N17" s="38">
        <v>28</v>
      </c>
      <c r="O17" s="38">
        <v>6905</v>
      </c>
      <c r="P17" s="33">
        <f ca="1">IF(SUM($L17)=0,"",SUM($N17,$O17)/SUM($L17))</f>
        <v>0.9934087978220375</v>
      </c>
      <c r="Q17" s="238">
        <v>1.712170124</v>
      </c>
      <c r="R17" s="34">
        <v>-0.05</v>
      </c>
      <c r="S17" s="218">
        <f ca="1">IF(SUM($L17)=0,"",ROUND(SUM($L17)*(1+$Q17),0))</f>
        <v>18928</v>
      </c>
      <c r="T17" s="218">
        <f t="shared" ref="T15:T34" ca="1" si="1">IF(SUM($S17)=0,"",IF($R17="","Add to column S",ROUND(SUM($S17)*R17,0)))</f>
        <v>16089</v>
      </c>
    </row>
    <row r="18" spans="1:20" x14ac:dyDescent="0.2">
      <c r="A18" t="str">
        <f>INDEX(Prioritization!$D:$D,MATCH($B18,Prioritization!$A:$A,0))</f>
        <v>1 - Scale-up: Saturation</v>
      </c>
      <c r="B18" t="s">
        <v>314</v>
      </c>
      <c r="C18" t="s">
        <v>978</v>
      </c>
      <c r="D18" t="s">
        <v>30</v>
      </c>
      <c r="E18" t="str">
        <f t="shared" si="0"/>
        <v>Blantyre District [mxqa3CDFmIT]|25-29|Female</v>
      </c>
      <c r="F18">
        <v>74041</v>
      </c>
      <c r="J18" s="38"/>
      <c r="K18" s="38"/>
      <c r="L18" s="38">
        <f ca="1">IF(SUM($K18:$O18)=0,"",SUM($K18:$O18))</f>
        <v>498</v>
      </c>
      <c r="M18" s="38">
        <v>3</v>
      </c>
      <c r="N18" s="38">
        <v>5</v>
      </c>
      <c r="O18" s="38">
        <v>490</v>
      </c>
      <c r="P18" s="33">
        <f ca="1">IF(SUM($L18)=0,"",SUM($N18,$O18)/SUM($L18))</f>
        <v>0.99397590361445787</v>
      </c>
      <c r="Q18" s="239">
        <v>-1</v>
      </c>
      <c r="R18" s="34">
        <v>-0.05</v>
      </c>
      <c r="S18" s="218">
        <f ca="1">IF(SUM($L18)=0,"",ROUND(SUM($L18)*(1+$Q18),0))</f>
        <v>0</v>
      </c>
      <c r="T18" s="218" t="str">
        <f t="shared" ca="1" si="1"/>
        <v/>
      </c>
    </row>
    <row r="19" spans="1:20" x14ac:dyDescent="0.2">
      <c r="A19" t="str">
        <f>INDEX(Prioritization!$D:$D,MATCH($B19,Prioritization!$A:$A,0))</f>
        <v>INVALID</v>
      </c>
      <c r="B19" t="s">
        <v>316</v>
      </c>
      <c r="C19" t="s">
        <v>474</v>
      </c>
      <c r="D19" t="s">
        <v>30</v>
      </c>
      <c r="E19" t="str">
        <f t="shared" si="0"/>
        <v>Chiradzulu District [oiPR2CiVJbf]|10-14|Female</v>
      </c>
      <c r="F19">
        <v>26119</v>
      </c>
      <c r="J19" s="38">
        <v>4290</v>
      </c>
      <c r="K19" s="38"/>
      <c r="L19" s="38">
        <f ca="1">IF(SUM($K19:$O19)=0,"",SUM($K19:$O19))</f>
        <v>4787</v>
      </c>
      <c r="M19" s="38">
        <v>128</v>
      </c>
      <c r="N19" s="38">
        <v>2057</v>
      </c>
      <c r="O19" s="38">
        <v>2602</v>
      </c>
      <c r="P19" s="33">
        <f ca="1">IF(SUM($L19)=0,"",SUM($N19,$O19)/SUM($L19))</f>
        <v>0.97326091497806555</v>
      </c>
      <c r="Q19" s="239">
        <v>-0.245812802</v>
      </c>
      <c r="R19" s="34">
        <v>-0.05</v>
      </c>
      <c r="S19" s="218">
        <f ca="1">IF(SUM($L19)=0,"",ROUND(SUM($L19)*(1+$Q19),0))</f>
        <v>3610</v>
      </c>
      <c r="T19" s="218">
        <f t="shared" ca="1" si="1"/>
        <v>3069</v>
      </c>
    </row>
    <row r="20" spans="1:20" x14ac:dyDescent="0.2">
      <c r="A20" t="str">
        <f>INDEX(Prioritization!$D:$D,MATCH($B20,Prioritization!$A:$A,0))</f>
        <v>INVALID</v>
      </c>
      <c r="B20" t="s">
        <v>316</v>
      </c>
      <c r="C20" t="s">
        <v>976</v>
      </c>
      <c r="D20" t="s">
        <v>30</v>
      </c>
      <c r="E20" t="str">
        <f t="shared" si="0"/>
        <v>Chiradzulu District [oiPR2CiVJbf]|15-19|Female</v>
      </c>
      <c r="F20">
        <v>24751</v>
      </c>
      <c r="J20" s="38"/>
      <c r="K20" s="38"/>
      <c r="L20" s="38">
        <f ca="1">IF(SUM($K20:$O20)=0,"",SUM($K20:$O20))</f>
        <v>8448</v>
      </c>
      <c r="M20" s="38">
        <v>609</v>
      </c>
      <c r="N20" s="38">
        <v>63</v>
      </c>
      <c r="O20" s="38">
        <v>7776</v>
      </c>
      <c r="P20" s="33">
        <f ca="1">IF(SUM($L20)=0,"",SUM($N20,$O20)/SUM($L20))</f>
        <v>0.92791193181818177</v>
      </c>
      <c r="Q20" s="239">
        <v>-0.61188168399999998</v>
      </c>
      <c r="R20" s="34">
        <v>-0.05</v>
      </c>
      <c r="S20" s="218">
        <v>-10</v>
      </c>
      <c r="T20" s="218">
        <f t="shared" si="1"/>
        <v>1</v>
      </c>
    </row>
    <row r="21" spans="1:20" x14ac:dyDescent="0.2">
      <c r="A21" t="str">
        <f>INDEX(Prioritization!$D:$D,MATCH($B21,Prioritization!$A:$A,0))</f>
        <v>INVALID</v>
      </c>
      <c r="B21" t="s">
        <v>316</v>
      </c>
      <c r="C21" t="s">
        <v>977</v>
      </c>
      <c r="D21" t="s">
        <v>30</v>
      </c>
      <c r="E21" t="str">
        <f t="shared" si="0"/>
        <v>Chiradzulu District [oiPR2CiVJbf]|20-24|Female</v>
      </c>
      <c r="F21">
        <v>19782</v>
      </c>
      <c r="J21" s="38"/>
      <c r="K21" s="38"/>
      <c r="L21" s="38" t="str">
        <f ca="1">IF(SUM($K21:$O21)=0,"",SUM($K21:$O21))</f>
        <v/>
      </c>
      <c r="M21" s="38"/>
      <c r="N21" s="38"/>
      <c r="O21" s="38"/>
      <c r="P21" s="33" t="str">
        <f ca="1">IF(SUM($L21)=0,"",SUM($N21,$O21)/SUM($L21))</f>
        <v/>
      </c>
      <c r="Q21" s="239">
        <v>-0.184726522</v>
      </c>
      <c r="R21" s="34">
        <v>0.85</v>
      </c>
      <c r="S21" s="218">
        <v>-10</v>
      </c>
      <c r="T21" s="218">
        <f t="shared" si="1"/>
        <v>-9</v>
      </c>
    </row>
    <row r="22" spans="1:20" x14ac:dyDescent="0.2">
      <c r="A22" t="str">
        <f>INDEX(Prioritization!$D:$D,MATCH($B22,Prioritization!$A:$A,0))</f>
        <v>INVALID</v>
      </c>
      <c r="B22" t="s">
        <v>316</v>
      </c>
      <c r="C22" t="s">
        <v>978</v>
      </c>
      <c r="D22" t="s">
        <v>30</v>
      </c>
      <c r="E22" t="str">
        <f t="shared" si="0"/>
        <v>Chiradzulu District [oiPR2CiVJbf]|25-29|Female</v>
      </c>
      <c r="F22">
        <v>17314</v>
      </c>
      <c r="J22" s="38"/>
      <c r="K22" s="38"/>
      <c r="L22" s="38">
        <f ca="1">IF(SUM($K22:$O22)=0,"",SUM($K22:$O22))</f>
        <v>250</v>
      </c>
      <c r="M22" s="38"/>
      <c r="N22" s="38"/>
      <c r="O22" s="38">
        <v>250</v>
      </c>
      <c r="P22" s="33">
        <f ca="1">IF(SUM($L22)=0,"",SUM($N22,$O22)/SUM($L22))</f>
        <v>1</v>
      </c>
      <c r="Q22" s="239">
        <v>-1</v>
      </c>
      <c r="R22" s="34">
        <v>0.85</v>
      </c>
      <c r="S22" s="218">
        <v>-10</v>
      </c>
      <c r="T22" s="218">
        <f t="shared" si="1"/>
        <v>-9</v>
      </c>
    </row>
    <row r="23" spans="1:20" x14ac:dyDescent="0.2">
      <c r="A23" t="str">
        <f>INDEX(Prioritization!$D:$D,MATCH($B23,Prioritization!$A:$A,0))</f>
        <v>1 - Scale-up: Saturation</v>
      </c>
      <c r="B23" t="s">
        <v>317</v>
      </c>
      <c r="C23" t="s">
        <v>474</v>
      </c>
      <c r="D23" t="s">
        <v>30</v>
      </c>
      <c r="E23" t="str">
        <f t="shared" si="0"/>
        <v>Machinga District [TYnMSwzko3z]|10-14|Female</v>
      </c>
      <c r="F23">
        <v>64104</v>
      </c>
      <c r="J23" s="38">
        <v>1344</v>
      </c>
      <c r="K23" s="38"/>
      <c r="L23" s="38">
        <f ca="1">IF(SUM($K23:$O23)=0,"",SUM($K23:$O23))</f>
        <v>5614</v>
      </c>
      <c r="M23" s="38">
        <v>18</v>
      </c>
      <c r="N23" s="38">
        <v>2</v>
      </c>
      <c r="O23" s="38">
        <v>5594</v>
      </c>
      <c r="P23" s="33">
        <f ca="1">IF(SUM($L23)=0,"",SUM($N23,$O23)/SUM($L23))</f>
        <v>0.99679372996081228</v>
      </c>
      <c r="Q23" s="238">
        <v>3.141484524</v>
      </c>
      <c r="R23" s="34">
        <v>0.85</v>
      </c>
      <c r="S23" s="218">
        <v>-10</v>
      </c>
      <c r="T23" s="218">
        <f t="shared" si="1"/>
        <v>-9</v>
      </c>
    </row>
    <row r="24" spans="1:20" x14ac:dyDescent="0.2">
      <c r="A24" t="str">
        <f>INDEX(Prioritization!$D:$D,MATCH($B24,Prioritization!$A:$A,0))</f>
        <v>1 - Scale-up: Saturation</v>
      </c>
      <c r="B24" t="s">
        <v>317</v>
      </c>
      <c r="C24" t="s">
        <v>976</v>
      </c>
      <c r="D24" t="s">
        <v>30</v>
      </c>
      <c r="E24" t="str">
        <f t="shared" si="0"/>
        <v>Machinga District [TYnMSwzko3z]|15-19|Female</v>
      </c>
      <c r="F24">
        <v>55821</v>
      </c>
      <c r="J24" s="38">
        <v>4710</v>
      </c>
      <c r="K24" s="38"/>
      <c r="L24" s="38">
        <f ca="1">IF(SUM($K24:$O24)=0,"",SUM($K24:$O24))</f>
        <v>2243</v>
      </c>
      <c r="M24" s="38">
        <v>289</v>
      </c>
      <c r="N24" s="38">
        <v>1</v>
      </c>
      <c r="O24" s="38">
        <v>1953</v>
      </c>
      <c r="P24" s="33">
        <f ca="1">IF(SUM($L24)=0,"",SUM($N24,$O24)/SUM($L24))</f>
        <v>0.8711547035220687</v>
      </c>
      <c r="Q24" s="238">
        <v>7.6820434820000001</v>
      </c>
      <c r="R24" s="34">
        <v>0.85</v>
      </c>
      <c r="S24" s="218">
        <v>-10</v>
      </c>
      <c r="T24" s="218">
        <f t="shared" si="1"/>
        <v>-9</v>
      </c>
    </row>
    <row r="25" spans="1:20" x14ac:dyDescent="0.2">
      <c r="A25" t="str">
        <f>INDEX(Prioritization!$D:$D,MATCH($B25,Prioritization!$A:$A,0))</f>
        <v>1 - Scale-up: Saturation</v>
      </c>
      <c r="B25" t="s">
        <v>317</v>
      </c>
      <c r="C25" t="s">
        <v>977</v>
      </c>
      <c r="D25" t="s">
        <v>30</v>
      </c>
      <c r="E25" t="str">
        <f t="shared" si="0"/>
        <v>Machinga District [TYnMSwzko3z]|20-24|Female</v>
      </c>
      <c r="J25" s="38">
        <v>16059</v>
      </c>
      <c r="K25" s="38"/>
      <c r="L25" s="38">
        <f ca="1">IF(SUM($K25:$O25)=0,"",SUM($K25:$O25))</f>
        <v>1061</v>
      </c>
      <c r="M25" s="38">
        <v>21</v>
      </c>
      <c r="N25" s="38"/>
      <c r="O25" s="38">
        <v>1040</v>
      </c>
      <c r="P25" s="33">
        <f ca="1">IF(SUM($L25)=0,"",SUM($N25,$O25)/SUM($L25))</f>
        <v>0.98020735155513672</v>
      </c>
      <c r="Q25" s="238">
        <v>10.10245606</v>
      </c>
      <c r="R25" s="34">
        <v>0.85</v>
      </c>
      <c r="S25" s="218">
        <f ca="1">IF(SUM($L25)=0,"",ROUND(SUM($L25)*(1+$Q25),0))</f>
        <v>11780</v>
      </c>
      <c r="T25" s="218">
        <f t="shared" ca="1" si="1"/>
        <v>10013</v>
      </c>
    </row>
    <row r="26" spans="1:20" x14ac:dyDescent="0.2">
      <c r="A26" t="str">
        <f>INDEX(Prioritization!$D:$D,MATCH($B26,Prioritization!$A:$A,0))</f>
        <v>1 - Scale-up: Saturation</v>
      </c>
      <c r="B26" t="s">
        <v>317</v>
      </c>
      <c r="C26" t="s">
        <v>978</v>
      </c>
      <c r="D26" t="s">
        <v>30</v>
      </c>
      <c r="E26" t="str">
        <f t="shared" si="0"/>
        <v>Machinga District [TYnMSwzko3z]|25-29|Female</v>
      </c>
      <c r="J26" s="38"/>
      <c r="K26" s="38"/>
      <c r="L26" s="38">
        <f ca="1">IF(SUM($K26:$O26)=0,"",SUM($K26:$O26))</f>
        <v>138</v>
      </c>
      <c r="M26" s="38">
        <v>1</v>
      </c>
      <c r="N26" s="38"/>
      <c r="O26" s="38">
        <v>137</v>
      </c>
      <c r="P26" s="33">
        <f ca="1">IF(SUM($L26)=0,"",SUM($N26,$O26)/SUM($L26))</f>
        <v>0.99275362318840576</v>
      </c>
      <c r="Q26" s="239">
        <v>-1</v>
      </c>
      <c r="R26" s="34">
        <v>0.85</v>
      </c>
      <c r="S26" s="218">
        <f ca="1">IF(SUM($L26)=0,"",ROUND(SUM($L26)*(1+$Q26),0))</f>
        <v>0</v>
      </c>
      <c r="T26" s="218" t="str">
        <f t="shared" ca="1" si="1"/>
        <v/>
      </c>
    </row>
    <row r="27" spans="1:20" x14ac:dyDescent="0.2">
      <c r="A27" t="str">
        <f>INDEX(Prioritization!$D:$D,MATCH($B27,Prioritization!$A:$A,0))</f>
        <v>INVALID</v>
      </c>
      <c r="B27" t="s">
        <v>323</v>
      </c>
      <c r="C27" t="s">
        <v>474</v>
      </c>
      <c r="D27" t="s">
        <v>30</v>
      </c>
      <c r="E27" t="str">
        <f t="shared" si="0"/>
        <v>Phalombe District [AZyWpGzhcaA]|10-14|Female</v>
      </c>
      <c r="J27" s="38">
        <v>5999</v>
      </c>
      <c r="K27" s="38"/>
      <c r="L27" s="38">
        <f ca="1">IF(SUM($K27:$O27)=0,"",SUM($K27:$O27))</f>
        <v>7559</v>
      </c>
      <c r="M27" s="38">
        <v>68</v>
      </c>
      <c r="N27" s="38">
        <v>648</v>
      </c>
      <c r="O27" s="38">
        <v>6843</v>
      </c>
      <c r="P27" s="33">
        <f ca="1">IF(SUM($L27)=0,"",SUM($N27,$O27)/SUM($L27))</f>
        <v>0.99100410107157033</v>
      </c>
      <c r="Q27" s="239">
        <v>-0.49744363899999999</v>
      </c>
      <c r="R27" s="34">
        <v>0.85</v>
      </c>
      <c r="S27" s="218">
        <f ca="1">IF(SUM($L27)=0,"",ROUND(SUM($L27)*(1+$Q27),0))</f>
        <v>3799</v>
      </c>
      <c r="T27" s="218">
        <f t="shared" ca="1" si="1"/>
        <v>3229</v>
      </c>
    </row>
    <row r="28" spans="1:20" x14ac:dyDescent="0.2">
      <c r="A28" t="str">
        <f>INDEX(Prioritization!$D:$D,MATCH($B28,Prioritization!$A:$A,0))</f>
        <v>INVALID</v>
      </c>
      <c r="B28" t="s">
        <v>323</v>
      </c>
      <c r="C28" t="s">
        <v>976</v>
      </c>
      <c r="D28" t="s">
        <v>30</v>
      </c>
      <c r="E28" t="str">
        <f t="shared" si="0"/>
        <v>Phalombe District [AZyWpGzhcaA]|15-19|Female</v>
      </c>
      <c r="J28" s="38">
        <v>5862</v>
      </c>
      <c r="K28" s="38"/>
      <c r="L28" s="38">
        <f ca="1">IF(SUM($K28:$O28)=0,"",SUM($K28:$O28))</f>
        <v>8265</v>
      </c>
      <c r="M28" s="38">
        <v>650</v>
      </c>
      <c r="N28" s="38">
        <v>528</v>
      </c>
      <c r="O28" s="38">
        <v>7087</v>
      </c>
      <c r="P28" s="33">
        <f ca="1">IF(SUM($L28)=0,"",SUM($N28,$O28)/SUM($L28))</f>
        <v>0.92135511191772534</v>
      </c>
      <c r="Q28" s="239">
        <v>-0.26678765900000001</v>
      </c>
      <c r="R28" s="34">
        <v>0.85</v>
      </c>
      <c r="S28" s="218">
        <f ca="1">IF(SUM($L28)=0,"",ROUND(SUM($L28)*(1+$Q28),0))</f>
        <v>6060</v>
      </c>
      <c r="T28" s="218">
        <f t="shared" ca="1" si="1"/>
        <v>5151</v>
      </c>
    </row>
    <row r="29" spans="1:20" x14ac:dyDescent="0.2">
      <c r="A29" t="str">
        <f>INDEX(Prioritization!$D:$D,MATCH($B29,Prioritization!$A:$A,0))</f>
        <v>INVALID</v>
      </c>
      <c r="B29" t="s">
        <v>323</v>
      </c>
      <c r="C29" t="s">
        <v>977</v>
      </c>
      <c r="D29" t="s">
        <v>30</v>
      </c>
      <c r="E29" t="str">
        <f t="shared" si="0"/>
        <v>Phalombe District [AZyWpGzhcaA]|20-24|Female</v>
      </c>
      <c r="J29" s="38">
        <v>7634</v>
      </c>
      <c r="K29" s="38"/>
      <c r="L29" s="38">
        <f ca="1">IF(SUM($K29:$O29)=0,"",SUM($K29:$O29))</f>
        <v>5741</v>
      </c>
      <c r="M29" s="38">
        <v>146</v>
      </c>
      <c r="N29" s="38">
        <v>438</v>
      </c>
      <c r="O29" s="38">
        <v>5157</v>
      </c>
      <c r="P29" s="33">
        <f ca="1">IF(SUM($L29)=0,"",SUM($N29,$O29)/SUM($L29))</f>
        <v>0.97456889043720607</v>
      </c>
      <c r="Q29" s="239">
        <v>-0.178509585</v>
      </c>
      <c r="R29" s="34">
        <v>0.85</v>
      </c>
      <c r="S29" s="218">
        <f ca="1">IF(SUM($L29)=0,"",ROUND(SUM($L29)*(1+$Q29),0))</f>
        <v>4716</v>
      </c>
      <c r="T29" s="218">
        <f t="shared" ca="1" si="1"/>
        <v>4009</v>
      </c>
    </row>
    <row r="30" spans="1:20" x14ac:dyDescent="0.2">
      <c r="A30" t="str">
        <f>INDEX(Prioritization!$D:$D,MATCH($B30,Prioritization!$A:$A,0))</f>
        <v>INVALID</v>
      </c>
      <c r="B30" t="s">
        <v>323</v>
      </c>
      <c r="C30" t="s">
        <v>978</v>
      </c>
      <c r="D30" t="s">
        <v>30</v>
      </c>
      <c r="E30" t="str">
        <f t="shared" si="0"/>
        <v>Phalombe District [AZyWpGzhcaA]|25-29|Female</v>
      </c>
      <c r="F30">
        <v>21270</v>
      </c>
      <c r="J30" s="38"/>
      <c r="K30" s="38"/>
      <c r="L30" s="38">
        <f ca="1">IF(SUM($K30:$O30)=0,"",SUM($K30:$O30))</f>
        <v>104</v>
      </c>
      <c r="M30" s="38">
        <v>5</v>
      </c>
      <c r="N30" s="38">
        <v>9</v>
      </c>
      <c r="O30" s="38">
        <v>90</v>
      </c>
      <c r="P30" s="33">
        <f ca="1">IF(SUM($L30)=0,"",SUM($N30,$O30)/SUM($L30))</f>
        <v>0.95192307692307687</v>
      </c>
      <c r="Q30" s="239">
        <v>-1</v>
      </c>
      <c r="R30" s="34">
        <v>0.85</v>
      </c>
      <c r="S30" s="218">
        <f ca="1">IF(SUM($L30)=0,"",ROUND(SUM($L30)*(1+$Q30),0))</f>
        <v>0</v>
      </c>
      <c r="T30" s="218" t="str">
        <f t="shared" ca="1" si="1"/>
        <v/>
      </c>
    </row>
    <row r="31" spans="1:20" x14ac:dyDescent="0.2">
      <c r="A31" t="str">
        <f>INDEX(Prioritization!$D:$D,MATCH($B31,Prioritization!$A:$A,0))</f>
        <v>1 - Scale-up: Saturation</v>
      </c>
      <c r="B31" t="s">
        <v>325</v>
      </c>
      <c r="C31" t="s">
        <v>474</v>
      </c>
      <c r="D31" t="s">
        <v>30</v>
      </c>
      <c r="E31" t="str">
        <f t="shared" si="0"/>
        <v>Zomba District [fyEoGEPERdI]|10-14|Female</v>
      </c>
      <c r="F31">
        <v>66446</v>
      </c>
      <c r="J31" s="38">
        <v>11854</v>
      </c>
      <c r="K31" s="38"/>
      <c r="L31" s="38">
        <f ca="1">IF(SUM($K31:$O31)=0,"",SUM($K31:$O31))</f>
        <v>5698</v>
      </c>
      <c r="M31" s="38">
        <v>200</v>
      </c>
      <c r="N31" s="38">
        <v>33</v>
      </c>
      <c r="O31" s="38">
        <v>5465</v>
      </c>
      <c r="P31" s="33">
        <f ca="1">IF(SUM($L31)=0,"",SUM($N31,$O31)/SUM($L31))</f>
        <v>0.96489996489996488</v>
      </c>
      <c r="Q31" s="239">
        <v>-0.83136497799999998</v>
      </c>
      <c r="R31" s="34">
        <v>0.85</v>
      </c>
      <c r="S31" s="218">
        <f ca="1">IF(SUM($L31)=0,"",ROUND(SUM($L31)*(1+$Q31),0))</f>
        <v>961</v>
      </c>
      <c r="T31" s="218">
        <f t="shared" ca="1" si="1"/>
        <v>817</v>
      </c>
    </row>
    <row r="32" spans="1:20" x14ac:dyDescent="0.2">
      <c r="A32" t="str">
        <f>INDEX(Prioritization!$D:$D,MATCH($B32,Prioritization!$A:$A,0))</f>
        <v>1 - Scale-up: Saturation</v>
      </c>
      <c r="B32" t="s">
        <v>325</v>
      </c>
      <c r="C32" t="s">
        <v>976</v>
      </c>
      <c r="D32" t="s">
        <v>30</v>
      </c>
      <c r="E32" t="str">
        <f t="shared" si="0"/>
        <v>Zomba District [fyEoGEPERdI]|15-19|Female</v>
      </c>
      <c r="F32">
        <v>61151</v>
      </c>
      <c r="J32" s="38">
        <v>16529</v>
      </c>
      <c r="K32" s="38"/>
      <c r="L32" s="38">
        <f ca="1">IF(SUM($K32:$O32)=0,"",SUM($K32:$O32))</f>
        <v>4877</v>
      </c>
      <c r="M32" s="38">
        <v>1075</v>
      </c>
      <c r="N32" s="38">
        <v>5</v>
      </c>
      <c r="O32" s="38">
        <v>3797</v>
      </c>
      <c r="P32" s="33">
        <f ca="1">IF(SUM($L32)=0,"",SUM($N32,$O32)/SUM($L32))</f>
        <v>0.77957760918597496</v>
      </c>
      <c r="Q32" s="239">
        <v>0.111278631</v>
      </c>
      <c r="R32" s="34">
        <v>0.85</v>
      </c>
      <c r="S32" s="218">
        <f ca="1">IF(SUM($L32)=0,"",ROUND(SUM($L32)*(1+$Q32),0))</f>
        <v>5420</v>
      </c>
      <c r="T32" s="218">
        <f t="shared" ca="1" si="1"/>
        <v>4607</v>
      </c>
    </row>
    <row r="33" spans="1:20" x14ac:dyDescent="0.2">
      <c r="A33" t="str">
        <f>INDEX(Prioritization!$D:$D,MATCH($B33,Prioritization!$A:$A,0))</f>
        <v>1 - Scale-up: Saturation</v>
      </c>
      <c r="B33" t="s">
        <v>325</v>
      </c>
      <c r="C33" t="s">
        <v>977</v>
      </c>
      <c r="D33" t="s">
        <v>30</v>
      </c>
      <c r="E33" t="str">
        <f t="shared" si="0"/>
        <v>Zomba District [fyEoGEPERdI]|20-24|Female</v>
      </c>
      <c r="F33">
        <v>49640</v>
      </c>
      <c r="J33" s="38">
        <v>11716</v>
      </c>
      <c r="K33" s="38"/>
      <c r="L33" s="38">
        <f ca="1">IF(SUM($K33:$O33)=0,"",SUM($K33:$O33))</f>
        <v>5190</v>
      </c>
      <c r="M33" s="38">
        <v>117</v>
      </c>
      <c r="N33" s="38"/>
      <c r="O33" s="38">
        <v>5073</v>
      </c>
      <c r="P33" s="33">
        <f ca="1">IF(SUM($L33)=0,"",SUM($N33,$O33)/SUM($L33))</f>
        <v>0.97745664739884397</v>
      </c>
      <c r="Q33" s="239">
        <v>0.96786807200000002</v>
      </c>
      <c r="R33" s="34">
        <v>0.85</v>
      </c>
      <c r="S33" s="218">
        <f ca="1">IF(SUM($L33)=0,"",ROUND(SUM($L33)*(1+$Q33),0))</f>
        <v>10213</v>
      </c>
      <c r="T33" s="218">
        <f t="shared" ca="1" si="1"/>
        <v>8681</v>
      </c>
    </row>
    <row r="34" spans="1:20" x14ac:dyDescent="0.2">
      <c r="A34" t="str">
        <f>INDEX(Prioritization!$D:$D,MATCH($B34,Prioritization!$A:$A,0))</f>
        <v>1 - Scale-up: Saturation</v>
      </c>
      <c r="B34" t="s">
        <v>325</v>
      </c>
      <c r="C34" t="s">
        <v>978</v>
      </c>
      <c r="D34" t="s">
        <v>30</v>
      </c>
      <c r="E34" t="str">
        <f t="shared" si="0"/>
        <v>Zomba District [fyEoGEPERdI]|25-29|Female</v>
      </c>
      <c r="F34">
        <v>42883</v>
      </c>
      <c r="G34">
        <v>30739</v>
      </c>
      <c r="H34">
        <v>1.2</v>
      </c>
      <c r="I34">
        <v>30384</v>
      </c>
      <c r="J34" s="38"/>
      <c r="K34" s="38"/>
      <c r="L34" s="38">
        <f ca="1">IF(SUM($K34:$O34)=0,"",SUM($K34:$O34))</f>
        <v>86</v>
      </c>
      <c r="M34" s="38">
        <v>4</v>
      </c>
      <c r="N34" s="38"/>
      <c r="O34" s="38">
        <v>82</v>
      </c>
      <c r="P34" s="33">
        <f ca="1">IF(SUM($L34)=0,"",SUM($N34,$O34)/SUM($L34))</f>
        <v>0.95348837209302328</v>
      </c>
      <c r="Q34" s="239">
        <v>-1</v>
      </c>
      <c r="R34" s="34">
        <v>0.85</v>
      </c>
      <c r="S34" s="218">
        <f ca="1">IF(SUM($L34)=0,"",ROUND(SUM($L34)*(1+$Q34),0))</f>
        <v>0</v>
      </c>
      <c r="T34" s="218" t="str">
        <f t="shared" ca="1" si="1"/>
        <v/>
      </c>
    </row>
  </sheetData>
  <autoFilter ref="A14:T14" xr:uid="{00000000-0001-0000-1100-000000000000}"/>
  <sortState xmlns:xlrd2="http://schemas.microsoft.com/office/spreadsheetml/2017/richdata2" ref="A15:T34">
    <sortCondition ref="B15:B34"/>
    <sortCondition ref="C15:C34"/>
    <sortCondition ref="D15:D34"/>
  </sortState>
  <mergeCells count="1">
    <mergeCell ref="A2:B3"/>
  </mergeCells>
  <conditionalFormatting sqref="F1:O14 J15:O34 P1:P1048576 F35:O1048576 R1:T1048576">
    <cfRule type="expression" dxfId="51" priority="23">
      <formula>AND(ISNUMBER(F1),F1&lt;0)</formula>
    </cfRule>
  </conditionalFormatting>
  <conditionalFormatting sqref="P1:R14 P15:P34 P35:R1048576 R15:R34">
    <cfRule type="expression" dxfId="50" priority="24">
      <formula>AND(ISNUMBER(P1),P1&gt;1)</formula>
    </cfRule>
  </conditionalFormatting>
  <conditionalFormatting sqref="R1:R1048576">
    <cfRule type="expression" dxfId="49" priority="3881">
      <formula>AND(ROUND(SUM($R1),2)&lt;60%,SUM($S1)&gt;0)</formula>
    </cfRule>
  </conditionalFormatting>
  <conditionalFormatting sqref="S1:T1048576">
    <cfRule type="expression" dxfId="48" priority="1">
      <formula>AND(ISNUMBER(S1),SUM($T1)&gt;SUM($S1))</formula>
    </cfRule>
  </conditionalFormatting>
  <conditionalFormatting sqref="S1:S1048576">
    <cfRule type="expression" dxfId="47" priority="4058">
      <formula>AND(ISNUMBER(S1),SUM($S1)&gt;SUM(#REF!))</formula>
    </cfRule>
  </conditionalFormatting>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74"/>
  <sheetViews>
    <sheetView workbookViewId="0">
      <pane xSplit="4" ySplit="14" topLeftCell="E15" activePane="bottomRight" state="frozen"/>
      <selection pane="topRight"/>
      <selection pane="bottomLeft"/>
      <selection pane="bottomRight"/>
    </sheetView>
  </sheetViews>
  <sheetFormatPr baseColWidth="10" defaultColWidth="11" defaultRowHeight="16" x14ac:dyDescent="0.2"/>
  <cols>
    <col min="1" max="1" width="16.1640625" customWidth="1"/>
    <col min="2" max="2" width="30.6640625" customWidth="1"/>
    <col min="3" max="3" width="7.6640625" customWidth="1"/>
    <col min="4" max="4" width="7.6640625" hidden="1" customWidth="1"/>
    <col min="5" max="5" width="12.1640625" customWidth="1"/>
    <col min="6" max="11" width="11.6640625" customWidth="1"/>
  </cols>
  <sheetData>
    <row r="1" spans="1:11" ht="31.25" customHeight="1" x14ac:dyDescent="0.2">
      <c r="A1" s="68" t="s">
        <v>608</v>
      </c>
      <c r="B1" s="23"/>
      <c r="C1" s="112"/>
      <c r="D1" s="112"/>
      <c r="E1" s="52" t="s">
        <v>608</v>
      </c>
      <c r="F1" s="43"/>
      <c r="G1" s="45"/>
      <c r="H1" s="45"/>
      <c r="I1" s="45"/>
      <c r="J1" s="43"/>
      <c r="K1" s="43"/>
    </row>
    <row r="2" spans="1:11" ht="19.25" customHeight="1" x14ac:dyDescent="0.25">
      <c r="A2" s="24"/>
      <c r="B2" s="4"/>
      <c r="C2" s="4"/>
      <c r="D2" s="4"/>
      <c r="E2" s="105"/>
      <c r="F2" s="24"/>
      <c r="G2" s="32"/>
      <c r="H2" s="32"/>
      <c r="I2" s="32"/>
      <c r="J2" s="20" t="s">
        <v>281</v>
      </c>
      <c r="K2" s="20" t="s">
        <v>281</v>
      </c>
    </row>
    <row r="3" spans="1:11" ht="117" customHeight="1" x14ac:dyDescent="0.2">
      <c r="D3" s="121"/>
      <c r="E3" s="73" t="s">
        <v>1421</v>
      </c>
      <c r="F3" s="25" t="s">
        <v>1422</v>
      </c>
      <c r="G3" s="90" t="s">
        <v>1423</v>
      </c>
      <c r="H3" s="42" t="s">
        <v>1424</v>
      </c>
      <c r="I3" s="42" t="s">
        <v>1425</v>
      </c>
      <c r="J3" s="14" t="s">
        <v>743</v>
      </c>
      <c r="K3" s="14" t="s">
        <v>1426</v>
      </c>
    </row>
    <row r="4" spans="1:11" x14ac:dyDescent="0.2">
      <c r="A4" s="28"/>
      <c r="B4" s="124"/>
      <c r="C4" s="124" t="s">
        <v>392</v>
      </c>
      <c r="D4" s="124"/>
      <c r="E4" s="106">
        <f>SUBTOTAL(109,E$15:INDEX(E:E,COUNTA($B:$B)+14-COUNTA($B$1:$B$14)))</f>
        <v>0</v>
      </c>
      <c r="F4" s="28">
        <f>SUBTOTAL(109,F$15:INDEX(F:F,COUNTA($B:$B)+14-COUNTA($B$1:$B$14)))</f>
        <v>0</v>
      </c>
      <c r="G4" s="136" t="str">
        <f>IF($E$4=0,"",$F$4/$E$4)</f>
        <v/>
      </c>
      <c r="H4" s="136" t="str">
        <f>IF($K$4=0,"",$J$4/$K$4)</f>
        <v/>
      </c>
      <c r="I4" s="136" t="str">
        <f>IF($F$4=0,"",$J$4/$F$4-1)</f>
        <v/>
      </c>
      <c r="J4" s="132">
        <f>SUBTOTAL(109,J$15:INDEX(J:J,COUNTA($B:$B)+14-COUNTA($B$1:$B$14)))</f>
        <v>0</v>
      </c>
      <c r="K4" s="132">
        <f>SUBTOTAL(109,K$15:INDEX(K:K,COUNTA($B:$B)+14-COUNTA($B$1:$B$14)))</f>
        <v>0</v>
      </c>
    </row>
    <row r="5" spans="1:11" ht="0" hidden="1" customHeight="1" x14ac:dyDescent="0.2">
      <c r="A5" s="29" t="s">
        <v>285</v>
      </c>
      <c r="B5" s="128" t="s">
        <v>285</v>
      </c>
      <c r="C5" s="128" t="s">
        <v>285</v>
      </c>
      <c r="D5" s="128" t="s">
        <v>285</v>
      </c>
      <c r="E5" s="104" t="s">
        <v>394</v>
      </c>
      <c r="F5" s="29" t="s">
        <v>393</v>
      </c>
      <c r="G5" s="34" t="s">
        <v>285</v>
      </c>
      <c r="H5" s="34" t="s">
        <v>285</v>
      </c>
      <c r="I5" s="34" t="s">
        <v>285</v>
      </c>
      <c r="J5" s="2" t="s">
        <v>393</v>
      </c>
      <c r="K5" s="2" t="s">
        <v>394</v>
      </c>
    </row>
    <row r="6" spans="1:11" ht="0" hidden="1" customHeight="1" x14ac:dyDescent="0.2">
      <c r="A6" s="29" t="s">
        <v>287</v>
      </c>
      <c r="B6" s="128" t="s">
        <v>287</v>
      </c>
      <c r="C6" s="128" t="s">
        <v>287</v>
      </c>
      <c r="D6" s="128" t="s">
        <v>287</v>
      </c>
      <c r="E6" s="104" t="s">
        <v>289</v>
      </c>
      <c r="F6" s="29" t="s">
        <v>288</v>
      </c>
      <c r="G6" s="34" t="s">
        <v>290</v>
      </c>
      <c r="H6" s="34" t="s">
        <v>395</v>
      </c>
      <c r="I6" s="34" t="s">
        <v>395</v>
      </c>
      <c r="J6" s="2" t="s">
        <v>289</v>
      </c>
      <c r="K6" s="2" t="s">
        <v>289</v>
      </c>
    </row>
    <row r="7" spans="1:11" ht="0" hidden="1" customHeight="1" x14ac:dyDescent="0.2">
      <c r="A7" s="29" t="s">
        <v>291</v>
      </c>
      <c r="B7" s="128" t="s">
        <v>291</v>
      </c>
      <c r="C7" s="128" t="s">
        <v>291</v>
      </c>
      <c r="D7" s="128" t="s">
        <v>291</v>
      </c>
      <c r="E7" s="104" t="s">
        <v>292</v>
      </c>
      <c r="F7" s="29" t="s">
        <v>292</v>
      </c>
      <c r="G7" s="34" t="s">
        <v>398</v>
      </c>
      <c r="H7" s="34" t="s">
        <v>398</v>
      </c>
      <c r="I7" s="34" t="s">
        <v>398</v>
      </c>
      <c r="J7" s="2" t="s">
        <v>292</v>
      </c>
      <c r="K7" s="2" t="s">
        <v>292</v>
      </c>
    </row>
    <row r="8" spans="1:11" ht="0" hidden="1" customHeight="1" x14ac:dyDescent="0.2">
      <c r="A8" s="29"/>
      <c r="B8" s="128"/>
      <c r="C8" s="128"/>
      <c r="D8" s="128"/>
      <c r="E8" s="65" t="s">
        <v>1427</v>
      </c>
      <c r="F8" s="129" t="s">
        <v>784</v>
      </c>
      <c r="G8" s="34"/>
      <c r="H8" s="34"/>
      <c r="I8" s="34"/>
      <c r="J8" s="63" t="s">
        <v>784</v>
      </c>
      <c r="K8" s="63" t="s">
        <v>1427</v>
      </c>
    </row>
    <row r="9" spans="1:11" ht="0" hidden="1" customHeight="1" x14ac:dyDescent="0.2">
      <c r="A9" s="29"/>
      <c r="B9" s="128"/>
      <c r="C9" s="128"/>
      <c r="D9" s="128"/>
      <c r="E9" s="65"/>
      <c r="F9" s="129" t="s">
        <v>1428</v>
      </c>
      <c r="G9" s="34"/>
      <c r="H9" s="34"/>
      <c r="I9" s="34"/>
      <c r="J9" s="63" t="s">
        <v>1428</v>
      </c>
      <c r="K9" s="63"/>
    </row>
    <row r="10" spans="1:11" ht="0" hidden="1" customHeight="1" x14ac:dyDescent="0.2">
      <c r="A10" s="29"/>
      <c r="B10" s="128"/>
      <c r="C10" s="128"/>
      <c r="D10" s="128"/>
      <c r="E10" s="65"/>
      <c r="F10" s="129"/>
      <c r="G10" s="34"/>
      <c r="H10" s="34"/>
      <c r="I10" s="34"/>
      <c r="J10" s="63"/>
      <c r="K10" s="63"/>
    </row>
    <row r="11" spans="1:11" ht="0" hidden="1" customHeight="1" x14ac:dyDescent="0.2">
      <c r="A11" s="29"/>
      <c r="B11" s="128"/>
      <c r="C11" s="128"/>
      <c r="D11" s="128"/>
      <c r="F11" s="29"/>
      <c r="G11" s="34"/>
      <c r="H11" s="34"/>
      <c r="I11" s="34"/>
    </row>
    <row r="12" spans="1:11" ht="0" hidden="1" customHeight="1" x14ac:dyDescent="0.2">
      <c r="A12" s="29"/>
      <c r="B12" s="128"/>
      <c r="C12" s="128"/>
      <c r="D12" s="128"/>
      <c r="E12" s="104" t="s">
        <v>427</v>
      </c>
      <c r="F12" s="29" t="s">
        <v>427</v>
      </c>
      <c r="G12" s="34" t="s">
        <v>427</v>
      </c>
      <c r="H12" s="34" t="s">
        <v>427</v>
      </c>
      <c r="I12" s="34" t="s">
        <v>427</v>
      </c>
      <c r="J12" s="2" t="s">
        <v>427</v>
      </c>
      <c r="K12" s="2" t="s">
        <v>427</v>
      </c>
    </row>
    <row r="13" spans="1:11" ht="0" hidden="1" customHeight="1" x14ac:dyDescent="0.2">
      <c r="A13" s="29"/>
      <c r="B13" s="128"/>
      <c r="C13" s="128"/>
      <c r="D13" s="128"/>
      <c r="F13" s="29"/>
      <c r="G13" s="34"/>
      <c r="H13" s="34"/>
      <c r="I13" s="34"/>
    </row>
    <row r="14" spans="1:11" x14ac:dyDescent="0.2">
      <c r="A14" s="131" t="s">
        <v>280</v>
      </c>
      <c r="B14" s="15" t="s">
        <v>294</v>
      </c>
      <c r="C14" s="15" t="s">
        <v>429</v>
      </c>
      <c r="D14" s="15" t="s">
        <v>20</v>
      </c>
      <c r="E14" s="55" t="s">
        <v>1429</v>
      </c>
      <c r="F14" s="18" t="s">
        <v>1430</v>
      </c>
      <c r="G14" s="48" t="s">
        <v>1431</v>
      </c>
      <c r="H14" s="48" t="s">
        <v>1432</v>
      </c>
      <c r="I14" s="48" t="s">
        <v>1433</v>
      </c>
      <c r="J14" s="49" t="s">
        <v>957</v>
      </c>
      <c r="K14" s="49" t="s">
        <v>1434</v>
      </c>
    </row>
    <row r="15" spans="1:11" x14ac:dyDescent="0.2">
      <c r="A15" s="85" t="str">
        <f>INDEX(Prioritization!$D:$D,MATCH($B15,Prioritization!$A:$A,0))</f>
        <v>4 - Sustained</v>
      </c>
      <c r="B15" s="10" t="s">
        <v>298</v>
      </c>
      <c r="C15" s="10" t="s">
        <v>30</v>
      </c>
      <c r="D15" s="10" t="str">
        <f t="shared" ref="D15:D46" si="0">B15&amp;"|"&amp;C15</f>
        <v>Dedza District [PekKUkKHAzY]|Female</v>
      </c>
      <c r="E15" s="221"/>
      <c r="F15" s="38"/>
      <c r="G15" s="33" t="str">
        <f t="shared" ref="G15:G46" si="1">IF(SUM($E15,$F15)=0,"",SUM($F15)/IF(SUM($E15)=0,SUM($F15),$E15))</f>
        <v/>
      </c>
      <c r="H15" s="33" t="str">
        <f t="shared" ref="H15:H46" si="2">IF(SUM($G15)=0,"",$G15)</f>
        <v/>
      </c>
      <c r="I15" s="33" t="str">
        <f t="shared" ref="I15:I46" si="3">IF(SUM($F15)=0,"",0%)</f>
        <v/>
      </c>
      <c r="J15" s="2" t="str">
        <f t="shared" ref="J15:J46" si="4">IF(SUM($F15)=0,"",ROUND($F15*(1+SUM($I15)),0))</f>
        <v/>
      </c>
      <c r="K15" s="2" t="str">
        <f t="shared" ref="K15:K46" si="5">IF(SUM($J15)=0,IF(SUM($E15)=0,"",$E15),ROUND($J15/IF(OR(SUM($H15)=0,$H15&gt;1),1,$H15),0))</f>
        <v/>
      </c>
    </row>
    <row r="16" spans="1:11" x14ac:dyDescent="0.2">
      <c r="A16" t="str">
        <f>INDEX(Prioritization!$D:$D,MATCH($B16,Prioritization!$A:$A,0))</f>
        <v>4 - Sustained</v>
      </c>
      <c r="B16" t="s">
        <v>298</v>
      </c>
      <c r="C16" t="s">
        <v>48</v>
      </c>
      <c r="D16" t="str">
        <f t="shared" si="0"/>
        <v>Dedza District [PekKUkKHAzY]|Male</v>
      </c>
      <c r="E16" s="218"/>
      <c r="F16" s="38"/>
      <c r="G16" s="33" t="str">
        <f t="shared" si="1"/>
        <v/>
      </c>
      <c r="H16" s="33" t="str">
        <f t="shared" si="2"/>
        <v/>
      </c>
      <c r="I16" s="33" t="str">
        <f t="shared" si="3"/>
        <v/>
      </c>
      <c r="J16" s="218" t="str">
        <f t="shared" si="4"/>
        <v/>
      </c>
      <c r="K16" s="218" t="str">
        <f t="shared" si="5"/>
        <v/>
      </c>
    </row>
    <row r="17" spans="1:11" x14ac:dyDescent="0.2">
      <c r="A17" t="str">
        <f>INDEX(Prioritization!$D:$D,MATCH($B17,Prioritization!$A:$A,0))</f>
        <v>4 - Sustained</v>
      </c>
      <c r="B17" t="s">
        <v>299</v>
      </c>
      <c r="C17" t="s">
        <v>30</v>
      </c>
      <c r="D17" t="str">
        <f t="shared" si="0"/>
        <v>Dowa District [zphK9WV8JB4]|Female</v>
      </c>
      <c r="E17" s="218"/>
      <c r="F17" s="38"/>
      <c r="G17" s="33" t="str">
        <f t="shared" si="1"/>
        <v/>
      </c>
      <c r="H17" s="33" t="str">
        <f t="shared" si="2"/>
        <v/>
      </c>
      <c r="I17" s="33" t="str">
        <f t="shared" si="3"/>
        <v/>
      </c>
      <c r="J17" s="218" t="str">
        <f t="shared" si="4"/>
        <v/>
      </c>
      <c r="K17" s="218" t="str">
        <f t="shared" si="5"/>
        <v/>
      </c>
    </row>
    <row r="18" spans="1:11" x14ac:dyDescent="0.2">
      <c r="A18" t="str">
        <f>INDEX(Prioritization!$D:$D,MATCH($B18,Prioritization!$A:$A,0))</f>
        <v>4 - Sustained</v>
      </c>
      <c r="B18" t="s">
        <v>299</v>
      </c>
      <c r="C18" t="s">
        <v>48</v>
      </c>
      <c r="D18" t="str">
        <f t="shared" si="0"/>
        <v>Dowa District [zphK9WV8JB4]|Male</v>
      </c>
      <c r="E18" s="218"/>
      <c r="F18" s="38"/>
      <c r="G18" s="33" t="str">
        <f t="shared" si="1"/>
        <v/>
      </c>
      <c r="H18" s="33" t="str">
        <f t="shared" si="2"/>
        <v/>
      </c>
      <c r="I18" s="33" t="str">
        <f t="shared" si="3"/>
        <v/>
      </c>
      <c r="J18" s="218" t="str">
        <f t="shared" si="4"/>
        <v/>
      </c>
      <c r="K18" s="218" t="str">
        <f t="shared" si="5"/>
        <v/>
      </c>
    </row>
    <row r="19" spans="1:11" x14ac:dyDescent="0.2">
      <c r="A19" t="str">
        <f>INDEX(Prioritization!$D:$D,MATCH($B19,Prioritization!$A:$A,0))</f>
        <v>INVALID</v>
      </c>
      <c r="B19" t="s">
        <v>300</v>
      </c>
      <c r="C19" t="s">
        <v>30</v>
      </c>
      <c r="D19" t="str">
        <f t="shared" si="0"/>
        <v>Kasungu District [JQKLKuVuY61]|Female</v>
      </c>
      <c r="E19" s="218"/>
      <c r="F19" s="38"/>
      <c r="G19" s="33" t="str">
        <f t="shared" si="1"/>
        <v/>
      </c>
      <c r="H19" s="33" t="str">
        <f t="shared" si="2"/>
        <v/>
      </c>
      <c r="I19" s="33" t="str">
        <f t="shared" si="3"/>
        <v/>
      </c>
      <c r="J19" s="218" t="str">
        <f t="shared" si="4"/>
        <v/>
      </c>
      <c r="K19" s="218" t="str">
        <f t="shared" si="5"/>
        <v/>
      </c>
    </row>
    <row r="20" spans="1:11" x14ac:dyDescent="0.2">
      <c r="A20" t="str">
        <f>INDEX(Prioritization!$D:$D,MATCH($B20,Prioritization!$A:$A,0))</f>
        <v>INVALID</v>
      </c>
      <c r="B20" t="s">
        <v>300</v>
      </c>
      <c r="C20" t="s">
        <v>48</v>
      </c>
      <c r="D20" t="str">
        <f t="shared" si="0"/>
        <v>Kasungu District [JQKLKuVuY61]|Male</v>
      </c>
      <c r="E20" s="218"/>
      <c r="F20" s="38"/>
      <c r="G20" s="33" t="str">
        <f t="shared" si="1"/>
        <v/>
      </c>
      <c r="H20" s="33" t="str">
        <f t="shared" si="2"/>
        <v/>
      </c>
      <c r="I20" s="33" t="str">
        <f t="shared" si="3"/>
        <v/>
      </c>
      <c r="J20" s="218" t="str">
        <f t="shared" si="4"/>
        <v/>
      </c>
      <c r="K20" s="218" t="str">
        <f t="shared" si="5"/>
        <v/>
      </c>
    </row>
    <row r="21" spans="1:11" x14ac:dyDescent="0.2">
      <c r="A21" t="str">
        <f>INDEX(Prioritization!$D:$D,MATCH($B21,Prioritization!$A:$A,0))</f>
        <v>INVALID</v>
      </c>
      <c r="B21" t="s">
        <v>301</v>
      </c>
      <c r="C21" t="s">
        <v>30</v>
      </c>
      <c r="D21" t="str">
        <f t="shared" si="0"/>
        <v>Lilongwe District [ScR9iFKAasW]|Female</v>
      </c>
      <c r="E21" s="218"/>
      <c r="F21" s="38"/>
      <c r="G21" s="33" t="str">
        <f t="shared" si="1"/>
        <v/>
      </c>
      <c r="H21" s="33" t="str">
        <f t="shared" si="2"/>
        <v/>
      </c>
      <c r="I21" s="33" t="str">
        <f t="shared" si="3"/>
        <v/>
      </c>
      <c r="J21" s="218" t="str">
        <f t="shared" si="4"/>
        <v/>
      </c>
      <c r="K21" s="218" t="str">
        <f t="shared" si="5"/>
        <v/>
      </c>
    </row>
    <row r="22" spans="1:11" x14ac:dyDescent="0.2">
      <c r="A22" t="str">
        <f>INDEX(Prioritization!$D:$D,MATCH($B22,Prioritization!$A:$A,0))</f>
        <v>INVALID</v>
      </c>
      <c r="B22" t="s">
        <v>301</v>
      </c>
      <c r="C22" t="s">
        <v>48</v>
      </c>
      <c r="D22" t="str">
        <f t="shared" si="0"/>
        <v>Lilongwe District [ScR9iFKAasW]|Male</v>
      </c>
      <c r="E22" s="218"/>
      <c r="F22" s="38"/>
      <c r="G22" s="33" t="str">
        <f t="shared" si="1"/>
        <v/>
      </c>
      <c r="H22" s="33" t="str">
        <f t="shared" si="2"/>
        <v/>
      </c>
      <c r="I22" s="33" t="str">
        <f t="shared" si="3"/>
        <v/>
      </c>
      <c r="J22" s="218" t="str">
        <f t="shared" si="4"/>
        <v/>
      </c>
      <c r="K22" s="218" t="str">
        <f t="shared" si="5"/>
        <v/>
      </c>
    </row>
    <row r="23" spans="1:11" x14ac:dyDescent="0.2">
      <c r="A23" t="str">
        <f>INDEX(Prioritization!$D:$D,MATCH($B23,Prioritization!$A:$A,0))</f>
        <v>4 - Sustained</v>
      </c>
      <c r="B23" t="s">
        <v>302</v>
      </c>
      <c r="C23" t="s">
        <v>30</v>
      </c>
      <c r="D23" t="str">
        <f t="shared" si="0"/>
        <v>Mchinji District [kxuuIFpOXyO]|Female</v>
      </c>
      <c r="E23" s="218"/>
      <c r="F23" s="38"/>
      <c r="G23" s="33" t="str">
        <f t="shared" si="1"/>
        <v/>
      </c>
      <c r="H23" s="33" t="str">
        <f t="shared" si="2"/>
        <v/>
      </c>
      <c r="I23" s="33" t="str">
        <f t="shared" si="3"/>
        <v/>
      </c>
      <c r="J23" s="218" t="str">
        <f t="shared" si="4"/>
        <v/>
      </c>
      <c r="K23" s="218" t="str">
        <f t="shared" si="5"/>
        <v/>
      </c>
    </row>
    <row r="24" spans="1:11" x14ac:dyDescent="0.2">
      <c r="A24" t="str">
        <f>INDEX(Prioritization!$D:$D,MATCH($B24,Prioritization!$A:$A,0))</f>
        <v>4 - Sustained</v>
      </c>
      <c r="B24" t="s">
        <v>302</v>
      </c>
      <c r="C24" t="s">
        <v>48</v>
      </c>
      <c r="D24" t="str">
        <f t="shared" si="0"/>
        <v>Mchinji District [kxuuIFpOXyO]|Male</v>
      </c>
      <c r="E24" s="218"/>
      <c r="F24" s="38"/>
      <c r="G24" s="33" t="str">
        <f t="shared" si="1"/>
        <v/>
      </c>
      <c r="H24" s="33" t="str">
        <f t="shared" si="2"/>
        <v/>
      </c>
      <c r="I24" s="33" t="str">
        <f t="shared" si="3"/>
        <v/>
      </c>
      <c r="J24" s="218" t="str">
        <f t="shared" si="4"/>
        <v/>
      </c>
      <c r="K24" s="218" t="str">
        <f t="shared" si="5"/>
        <v/>
      </c>
    </row>
    <row r="25" spans="1:11" x14ac:dyDescent="0.2">
      <c r="A25" t="str">
        <f>INDEX(Prioritization!$D:$D,MATCH($B25,Prioritization!$A:$A,0))</f>
        <v>4 - Sustained</v>
      </c>
      <c r="B25" t="s">
        <v>303</v>
      </c>
      <c r="C25" t="s">
        <v>30</v>
      </c>
      <c r="D25" t="str">
        <f t="shared" si="0"/>
        <v>Nkhotakota District [YCKiBAp8QAg]|Female</v>
      </c>
      <c r="E25" s="218"/>
      <c r="F25" s="38"/>
      <c r="G25" s="33" t="str">
        <f t="shared" si="1"/>
        <v/>
      </c>
      <c r="H25" s="33" t="str">
        <f t="shared" si="2"/>
        <v/>
      </c>
      <c r="I25" s="33" t="str">
        <f t="shared" si="3"/>
        <v/>
      </c>
      <c r="J25" s="218" t="str">
        <f t="shared" si="4"/>
        <v/>
      </c>
      <c r="K25" s="218" t="str">
        <f t="shared" si="5"/>
        <v/>
      </c>
    </row>
    <row r="26" spans="1:11" x14ac:dyDescent="0.2">
      <c r="A26" t="str">
        <f>INDEX(Prioritization!$D:$D,MATCH($B26,Prioritization!$A:$A,0))</f>
        <v>4 - Sustained</v>
      </c>
      <c r="B26" t="s">
        <v>303</v>
      </c>
      <c r="C26" t="s">
        <v>48</v>
      </c>
      <c r="D26" t="str">
        <f t="shared" si="0"/>
        <v>Nkhotakota District [YCKiBAp8QAg]|Male</v>
      </c>
      <c r="E26" s="218"/>
      <c r="F26" s="38"/>
      <c r="G26" s="33" t="str">
        <f t="shared" si="1"/>
        <v/>
      </c>
      <c r="H26" s="33" t="str">
        <f t="shared" si="2"/>
        <v/>
      </c>
      <c r="I26" s="33" t="str">
        <f t="shared" si="3"/>
        <v/>
      </c>
      <c r="J26" s="218" t="str">
        <f t="shared" si="4"/>
        <v/>
      </c>
      <c r="K26" s="218" t="str">
        <f t="shared" si="5"/>
        <v/>
      </c>
    </row>
    <row r="27" spans="1:11" x14ac:dyDescent="0.2">
      <c r="A27" t="str">
        <f>INDEX(Prioritization!$D:$D,MATCH($B27,Prioritization!$A:$A,0))</f>
        <v>4 - Sustained</v>
      </c>
      <c r="B27" t="s">
        <v>304</v>
      </c>
      <c r="C27" t="s">
        <v>30</v>
      </c>
      <c r="D27" t="str">
        <f t="shared" si="0"/>
        <v>Ntcheu District [am530wpaGvr]|Female</v>
      </c>
      <c r="E27" s="218"/>
      <c r="F27" s="38"/>
      <c r="G27" s="33" t="str">
        <f t="shared" si="1"/>
        <v/>
      </c>
      <c r="H27" s="33" t="str">
        <f t="shared" si="2"/>
        <v/>
      </c>
      <c r="I27" s="33" t="str">
        <f t="shared" si="3"/>
        <v/>
      </c>
      <c r="J27" s="218" t="str">
        <f t="shared" si="4"/>
        <v/>
      </c>
      <c r="K27" s="218" t="str">
        <f t="shared" si="5"/>
        <v/>
      </c>
    </row>
    <row r="28" spans="1:11" x14ac:dyDescent="0.2">
      <c r="A28" t="str">
        <f>INDEX(Prioritization!$D:$D,MATCH($B28,Prioritization!$A:$A,0))</f>
        <v>4 - Sustained</v>
      </c>
      <c r="B28" t="s">
        <v>304</v>
      </c>
      <c r="C28" t="s">
        <v>48</v>
      </c>
      <c r="D28" t="str">
        <f t="shared" si="0"/>
        <v>Ntcheu District [am530wpaGvr]|Male</v>
      </c>
      <c r="E28" s="218"/>
      <c r="F28" s="38"/>
      <c r="G28" s="33" t="str">
        <f t="shared" si="1"/>
        <v/>
      </c>
      <c r="H28" s="33" t="str">
        <f t="shared" si="2"/>
        <v/>
      </c>
      <c r="I28" s="33" t="str">
        <f t="shared" si="3"/>
        <v/>
      </c>
      <c r="J28" s="218" t="str">
        <f t="shared" si="4"/>
        <v/>
      </c>
      <c r="K28" s="218" t="str">
        <f t="shared" si="5"/>
        <v/>
      </c>
    </row>
    <row r="29" spans="1:11" x14ac:dyDescent="0.2">
      <c r="A29" t="str">
        <f>INDEX(Prioritization!$D:$D,MATCH($B29,Prioritization!$A:$A,0))</f>
        <v>4 - Sustained</v>
      </c>
      <c r="B29" t="s">
        <v>305</v>
      </c>
      <c r="C29" t="s">
        <v>30</v>
      </c>
      <c r="D29" t="str">
        <f t="shared" si="0"/>
        <v>Ntchisi District [fiRkU6gEjLz]|Female</v>
      </c>
      <c r="E29" s="218"/>
      <c r="F29" s="38"/>
      <c r="G29" s="33" t="str">
        <f t="shared" si="1"/>
        <v/>
      </c>
      <c r="H29" s="33" t="str">
        <f t="shared" si="2"/>
        <v/>
      </c>
      <c r="I29" s="33" t="str">
        <f t="shared" si="3"/>
        <v/>
      </c>
      <c r="J29" s="218" t="str">
        <f t="shared" si="4"/>
        <v/>
      </c>
      <c r="K29" s="218" t="str">
        <f t="shared" si="5"/>
        <v/>
      </c>
    </row>
    <row r="30" spans="1:11" x14ac:dyDescent="0.2">
      <c r="A30" t="str">
        <f>INDEX(Prioritization!$D:$D,MATCH($B30,Prioritization!$A:$A,0))</f>
        <v>4 - Sustained</v>
      </c>
      <c r="B30" t="s">
        <v>305</v>
      </c>
      <c r="C30" t="s">
        <v>48</v>
      </c>
      <c r="D30" t="str">
        <f t="shared" si="0"/>
        <v>Ntchisi District [fiRkU6gEjLz]|Male</v>
      </c>
      <c r="E30" s="218"/>
      <c r="F30" s="38"/>
      <c r="G30" s="33" t="str">
        <f t="shared" si="1"/>
        <v/>
      </c>
      <c r="H30" s="33" t="str">
        <f t="shared" si="2"/>
        <v/>
      </c>
      <c r="I30" s="33" t="str">
        <f t="shared" si="3"/>
        <v/>
      </c>
      <c r="J30" s="218" t="str">
        <f t="shared" si="4"/>
        <v/>
      </c>
      <c r="K30" s="218" t="str">
        <f t="shared" si="5"/>
        <v/>
      </c>
    </row>
    <row r="31" spans="1:11" x14ac:dyDescent="0.2">
      <c r="A31" t="e">
        <f>INDEX(Prioritization!$D:$D,MATCH($B31,Prioritization!$A:$A,0))</f>
        <v>#N/A</v>
      </c>
      <c r="B31" t="s">
        <v>1114</v>
      </c>
      <c r="C31" t="s">
        <v>30</v>
      </c>
      <c r="D31" t="str">
        <f t="shared" si="0"/>
        <v>Public Health Reference Laboratory (PHL) [UCy710RAWRp]|Female</v>
      </c>
      <c r="E31" s="218"/>
      <c r="F31" s="38"/>
      <c r="G31" s="33" t="str">
        <f t="shared" si="1"/>
        <v/>
      </c>
      <c r="H31" s="33" t="str">
        <f t="shared" si="2"/>
        <v/>
      </c>
      <c r="I31" s="33" t="str">
        <f t="shared" si="3"/>
        <v/>
      </c>
      <c r="J31" s="218" t="str">
        <f t="shared" si="4"/>
        <v/>
      </c>
      <c r="K31" s="218" t="str">
        <f t="shared" si="5"/>
        <v/>
      </c>
    </row>
    <row r="32" spans="1:11" x14ac:dyDescent="0.2">
      <c r="A32" t="e">
        <f>INDEX(Prioritization!$D:$D,MATCH($B32,Prioritization!$A:$A,0))</f>
        <v>#N/A</v>
      </c>
      <c r="B32" t="s">
        <v>1114</v>
      </c>
      <c r="C32" t="s">
        <v>48</v>
      </c>
      <c r="D32" t="str">
        <f t="shared" si="0"/>
        <v>Public Health Reference Laboratory (PHL) [UCy710RAWRp]|Male</v>
      </c>
      <c r="E32" s="218"/>
      <c r="F32" s="38"/>
      <c r="G32" s="33" t="str">
        <f t="shared" si="1"/>
        <v/>
      </c>
      <c r="H32" s="33" t="str">
        <f t="shared" si="2"/>
        <v/>
      </c>
      <c r="I32" s="33" t="str">
        <f t="shared" si="3"/>
        <v/>
      </c>
      <c r="J32" s="218" t="str">
        <f t="shared" si="4"/>
        <v/>
      </c>
      <c r="K32" s="218" t="str">
        <f t="shared" si="5"/>
        <v/>
      </c>
    </row>
    <row r="33" spans="1:11" x14ac:dyDescent="0.2">
      <c r="A33" t="str">
        <f>INDEX(Prioritization!$D:$D,MATCH($B33,Prioritization!$A:$A,0))</f>
        <v>4 - Sustained</v>
      </c>
      <c r="B33" t="s">
        <v>306</v>
      </c>
      <c r="C33" t="s">
        <v>30</v>
      </c>
      <c r="D33" t="str">
        <f t="shared" si="0"/>
        <v>Salima District [msW2zpIN7up]|Female</v>
      </c>
      <c r="E33" s="218"/>
      <c r="F33" s="38"/>
      <c r="G33" s="33" t="str">
        <f t="shared" si="1"/>
        <v/>
      </c>
      <c r="H33" s="33" t="str">
        <f t="shared" si="2"/>
        <v/>
      </c>
      <c r="I33" s="33" t="str">
        <f t="shared" si="3"/>
        <v/>
      </c>
      <c r="J33" s="218" t="str">
        <f t="shared" si="4"/>
        <v/>
      </c>
      <c r="K33" s="218" t="str">
        <f t="shared" si="5"/>
        <v/>
      </c>
    </row>
    <row r="34" spans="1:11" x14ac:dyDescent="0.2">
      <c r="A34" t="str">
        <f>INDEX(Prioritization!$D:$D,MATCH($B34,Prioritization!$A:$A,0))</f>
        <v>4 - Sustained</v>
      </c>
      <c r="B34" t="s">
        <v>306</v>
      </c>
      <c r="C34" t="s">
        <v>48</v>
      </c>
      <c r="D34" t="str">
        <f t="shared" si="0"/>
        <v>Salima District [msW2zpIN7up]|Male</v>
      </c>
      <c r="E34" s="218"/>
      <c r="F34" s="38"/>
      <c r="G34" s="33" t="str">
        <f t="shared" si="1"/>
        <v/>
      </c>
      <c r="H34" s="33" t="str">
        <f t="shared" si="2"/>
        <v/>
      </c>
      <c r="I34" s="33" t="str">
        <f t="shared" si="3"/>
        <v/>
      </c>
      <c r="J34" s="218" t="str">
        <f t="shared" si="4"/>
        <v/>
      </c>
      <c r="K34" s="218" t="str">
        <f t="shared" si="5"/>
        <v/>
      </c>
    </row>
    <row r="35" spans="1:11" x14ac:dyDescent="0.2">
      <c r="A35" t="str">
        <f>INDEX(Prioritization!$D:$D,MATCH($B35,Prioritization!$A:$A,0))</f>
        <v>4 - Sustained</v>
      </c>
      <c r="B35" t="s">
        <v>307</v>
      </c>
      <c r="C35" t="s">
        <v>30</v>
      </c>
      <c r="D35" t="str">
        <f t="shared" si="0"/>
        <v>Chitipa District [GkIwZrXy1h2]|Female</v>
      </c>
      <c r="E35" s="218"/>
      <c r="F35" s="38"/>
      <c r="G35" s="33" t="str">
        <f t="shared" si="1"/>
        <v/>
      </c>
      <c r="H35" s="33" t="str">
        <f t="shared" si="2"/>
        <v/>
      </c>
      <c r="I35" s="33" t="str">
        <f t="shared" si="3"/>
        <v/>
      </c>
      <c r="J35" s="218" t="str">
        <f t="shared" si="4"/>
        <v/>
      </c>
      <c r="K35" s="218" t="str">
        <f t="shared" si="5"/>
        <v/>
      </c>
    </row>
    <row r="36" spans="1:11" x14ac:dyDescent="0.2">
      <c r="A36" t="str">
        <f>INDEX(Prioritization!$D:$D,MATCH($B36,Prioritization!$A:$A,0))</f>
        <v>4 - Sustained</v>
      </c>
      <c r="B36" t="s">
        <v>307</v>
      </c>
      <c r="C36" t="s">
        <v>48</v>
      </c>
      <c r="D36" t="str">
        <f t="shared" si="0"/>
        <v>Chitipa District [GkIwZrXy1h2]|Male</v>
      </c>
      <c r="E36" s="218"/>
      <c r="F36" s="38"/>
      <c r="G36" s="33" t="str">
        <f t="shared" si="1"/>
        <v/>
      </c>
      <c r="H36" s="33" t="str">
        <f t="shared" si="2"/>
        <v/>
      </c>
      <c r="I36" s="33" t="str">
        <f t="shared" si="3"/>
        <v/>
      </c>
      <c r="J36" s="218" t="str">
        <f t="shared" si="4"/>
        <v/>
      </c>
      <c r="K36" s="218" t="str">
        <f t="shared" si="5"/>
        <v/>
      </c>
    </row>
    <row r="37" spans="1:11" x14ac:dyDescent="0.2">
      <c r="A37" t="str">
        <f>INDEX(Prioritization!$D:$D,MATCH($B37,Prioritization!$A:$A,0))</f>
        <v>INVALID</v>
      </c>
      <c r="B37" t="s">
        <v>308</v>
      </c>
      <c r="C37" t="s">
        <v>30</v>
      </c>
      <c r="D37" t="str">
        <f t="shared" si="0"/>
        <v>Karonga District [cPtvxaZqXIH]|Female</v>
      </c>
      <c r="E37" s="218"/>
      <c r="F37" s="38"/>
      <c r="G37" s="33" t="str">
        <f t="shared" si="1"/>
        <v/>
      </c>
      <c r="H37" s="33" t="str">
        <f t="shared" si="2"/>
        <v/>
      </c>
      <c r="I37" s="33" t="str">
        <f t="shared" si="3"/>
        <v/>
      </c>
      <c r="J37" s="218" t="str">
        <f t="shared" si="4"/>
        <v/>
      </c>
      <c r="K37" s="218" t="str">
        <f t="shared" si="5"/>
        <v/>
      </c>
    </row>
    <row r="38" spans="1:11" x14ac:dyDescent="0.2">
      <c r="A38" t="str">
        <f>INDEX(Prioritization!$D:$D,MATCH($B38,Prioritization!$A:$A,0))</f>
        <v>INVALID</v>
      </c>
      <c r="B38" t="s">
        <v>308</v>
      </c>
      <c r="C38" t="s">
        <v>48</v>
      </c>
      <c r="D38" t="str">
        <f t="shared" si="0"/>
        <v>Karonga District [cPtvxaZqXIH]|Male</v>
      </c>
      <c r="E38" s="218"/>
      <c r="F38" s="38"/>
      <c r="G38" s="33" t="str">
        <f t="shared" si="1"/>
        <v/>
      </c>
      <c r="H38" s="33" t="str">
        <f t="shared" si="2"/>
        <v/>
      </c>
      <c r="I38" s="33" t="str">
        <f t="shared" si="3"/>
        <v/>
      </c>
      <c r="J38" s="218" t="str">
        <f t="shared" si="4"/>
        <v/>
      </c>
      <c r="K38" s="218" t="str">
        <f t="shared" si="5"/>
        <v/>
      </c>
    </row>
    <row r="39" spans="1:11" x14ac:dyDescent="0.2">
      <c r="A39" t="str">
        <f>INDEX(Prioritization!$D:$D,MATCH($B39,Prioritization!$A:$A,0))</f>
        <v>4 - Sustained</v>
      </c>
      <c r="B39" t="s">
        <v>309</v>
      </c>
      <c r="C39" t="s">
        <v>30</v>
      </c>
      <c r="D39" t="str">
        <f t="shared" si="0"/>
        <v>Likoma District [ZCjuwgaMB9u]|Female</v>
      </c>
      <c r="E39" s="218"/>
      <c r="F39" s="38"/>
      <c r="G39" s="33" t="str">
        <f t="shared" si="1"/>
        <v/>
      </c>
      <c r="H39" s="33" t="str">
        <f t="shared" si="2"/>
        <v/>
      </c>
      <c r="I39" s="33" t="str">
        <f t="shared" si="3"/>
        <v/>
      </c>
      <c r="J39" s="218" t="str">
        <f t="shared" si="4"/>
        <v/>
      </c>
      <c r="K39" s="218" t="str">
        <f t="shared" si="5"/>
        <v/>
      </c>
    </row>
    <row r="40" spans="1:11" x14ac:dyDescent="0.2">
      <c r="A40" t="str">
        <f>INDEX(Prioritization!$D:$D,MATCH($B40,Prioritization!$A:$A,0))</f>
        <v>4 - Sustained</v>
      </c>
      <c r="B40" t="s">
        <v>309</v>
      </c>
      <c r="C40" t="s">
        <v>48</v>
      </c>
      <c r="D40" t="str">
        <f t="shared" si="0"/>
        <v>Likoma District [ZCjuwgaMB9u]|Male</v>
      </c>
      <c r="E40" s="218"/>
      <c r="F40" s="38"/>
      <c r="G40" s="33" t="str">
        <f t="shared" si="1"/>
        <v/>
      </c>
      <c r="H40" s="33" t="str">
        <f t="shared" si="2"/>
        <v/>
      </c>
      <c r="I40" s="33" t="str">
        <f t="shared" si="3"/>
        <v/>
      </c>
      <c r="J40" s="218" t="str">
        <f t="shared" si="4"/>
        <v/>
      </c>
      <c r="K40" s="218" t="str">
        <f t="shared" si="5"/>
        <v/>
      </c>
    </row>
    <row r="41" spans="1:11" x14ac:dyDescent="0.2">
      <c r="A41" t="str">
        <f>INDEX(Prioritization!$D:$D,MATCH($B41,Prioritization!$A:$A,0))</f>
        <v>1 - Scale-up: Saturation</v>
      </c>
      <c r="B41" t="s">
        <v>310</v>
      </c>
      <c r="C41" t="s">
        <v>30</v>
      </c>
      <c r="D41" t="str">
        <f t="shared" si="0"/>
        <v>Mzimba District [vA4NcHxfMBq]|Female</v>
      </c>
      <c r="E41" s="218"/>
      <c r="F41" s="38"/>
      <c r="G41" s="33" t="str">
        <f t="shared" si="1"/>
        <v/>
      </c>
      <c r="H41" s="33" t="str">
        <f t="shared" si="2"/>
        <v/>
      </c>
      <c r="I41" s="33" t="str">
        <f t="shared" si="3"/>
        <v/>
      </c>
      <c r="J41" s="218" t="str">
        <f t="shared" si="4"/>
        <v/>
      </c>
      <c r="K41" s="218" t="str">
        <f t="shared" si="5"/>
        <v/>
      </c>
    </row>
    <row r="42" spans="1:11" x14ac:dyDescent="0.2">
      <c r="A42" t="str">
        <f>INDEX(Prioritization!$D:$D,MATCH($B42,Prioritization!$A:$A,0))</f>
        <v>1 - Scale-up: Saturation</v>
      </c>
      <c r="B42" t="s">
        <v>310</v>
      </c>
      <c r="C42" t="s">
        <v>48</v>
      </c>
      <c r="D42" t="str">
        <f t="shared" si="0"/>
        <v>Mzimba District [vA4NcHxfMBq]|Male</v>
      </c>
      <c r="E42" s="218"/>
      <c r="F42" s="38"/>
      <c r="G42" s="33" t="str">
        <f t="shared" si="1"/>
        <v/>
      </c>
      <c r="H42" s="33" t="str">
        <f t="shared" si="2"/>
        <v/>
      </c>
      <c r="I42" s="33" t="str">
        <f t="shared" si="3"/>
        <v/>
      </c>
      <c r="J42" s="218" t="str">
        <f t="shared" si="4"/>
        <v/>
      </c>
      <c r="K42" s="218" t="str">
        <f t="shared" si="5"/>
        <v/>
      </c>
    </row>
    <row r="43" spans="1:11" x14ac:dyDescent="0.2">
      <c r="A43" t="str">
        <f>INDEX(Prioritization!$D:$D,MATCH($B43,Prioritization!$A:$A,0))</f>
        <v>4 - Sustained</v>
      </c>
      <c r="B43" t="s">
        <v>311</v>
      </c>
      <c r="C43" t="s">
        <v>30</v>
      </c>
      <c r="D43" t="str">
        <f t="shared" si="0"/>
        <v>Nkhata Bay District [E7zpfyBt7Tw]|Female</v>
      </c>
      <c r="E43" s="218"/>
      <c r="F43" s="38"/>
      <c r="G43" s="33" t="str">
        <f t="shared" si="1"/>
        <v/>
      </c>
      <c r="H43" s="33" t="str">
        <f t="shared" si="2"/>
        <v/>
      </c>
      <c r="I43" s="33" t="str">
        <f t="shared" si="3"/>
        <v/>
      </c>
      <c r="J43" s="218" t="str">
        <f t="shared" si="4"/>
        <v/>
      </c>
      <c r="K43" s="218" t="str">
        <f t="shared" si="5"/>
        <v/>
      </c>
    </row>
    <row r="44" spans="1:11" x14ac:dyDescent="0.2">
      <c r="A44" t="str">
        <f>INDEX(Prioritization!$D:$D,MATCH($B44,Prioritization!$A:$A,0))</f>
        <v>4 - Sustained</v>
      </c>
      <c r="B44" t="s">
        <v>311</v>
      </c>
      <c r="C44" t="s">
        <v>48</v>
      </c>
      <c r="D44" t="str">
        <f t="shared" si="0"/>
        <v>Nkhata Bay District [E7zpfyBt7Tw]|Male</v>
      </c>
      <c r="E44" s="218"/>
      <c r="F44" s="38"/>
      <c r="G44" s="33" t="str">
        <f t="shared" si="1"/>
        <v/>
      </c>
      <c r="H44" s="33" t="str">
        <f t="shared" si="2"/>
        <v/>
      </c>
      <c r="I44" s="33" t="str">
        <f t="shared" si="3"/>
        <v/>
      </c>
      <c r="J44" s="218" t="str">
        <f t="shared" si="4"/>
        <v/>
      </c>
      <c r="K44" s="218" t="str">
        <f t="shared" si="5"/>
        <v/>
      </c>
    </row>
    <row r="45" spans="1:11" x14ac:dyDescent="0.2">
      <c r="A45" t="str">
        <f>INDEX(Prioritization!$D:$D,MATCH($B45,Prioritization!$A:$A,0))</f>
        <v>4 - Sustained</v>
      </c>
      <c r="B45" t="s">
        <v>312</v>
      </c>
      <c r="C45" t="s">
        <v>30</v>
      </c>
      <c r="D45" t="str">
        <f t="shared" si="0"/>
        <v>Rumphi District [lPTyjLi4w3d]|Female</v>
      </c>
      <c r="E45" s="218"/>
      <c r="F45" s="38"/>
      <c r="G45" s="33" t="str">
        <f t="shared" si="1"/>
        <v/>
      </c>
      <c r="H45" s="33" t="str">
        <f t="shared" si="2"/>
        <v/>
      </c>
      <c r="I45" s="33" t="str">
        <f t="shared" si="3"/>
        <v/>
      </c>
      <c r="J45" s="218" t="str">
        <f t="shared" si="4"/>
        <v/>
      </c>
      <c r="K45" s="218" t="str">
        <f t="shared" si="5"/>
        <v/>
      </c>
    </row>
    <row r="46" spans="1:11" x14ac:dyDescent="0.2">
      <c r="A46" t="str">
        <f>INDEX(Prioritization!$D:$D,MATCH($B46,Prioritization!$A:$A,0))</f>
        <v>4 - Sustained</v>
      </c>
      <c r="B46" t="s">
        <v>312</v>
      </c>
      <c r="C46" t="s">
        <v>48</v>
      </c>
      <c r="D46" t="str">
        <f t="shared" si="0"/>
        <v>Rumphi District [lPTyjLi4w3d]|Male</v>
      </c>
      <c r="E46" s="218"/>
      <c r="F46" s="38"/>
      <c r="G46" s="33" t="str">
        <f t="shared" si="1"/>
        <v/>
      </c>
      <c r="H46" s="33" t="str">
        <f t="shared" si="2"/>
        <v/>
      </c>
      <c r="I46" s="33" t="str">
        <f t="shared" si="3"/>
        <v/>
      </c>
      <c r="J46" s="218" t="str">
        <f t="shared" si="4"/>
        <v/>
      </c>
      <c r="K46" s="218" t="str">
        <f t="shared" si="5"/>
        <v/>
      </c>
    </row>
    <row r="47" spans="1:11" x14ac:dyDescent="0.2">
      <c r="A47" t="str">
        <f>INDEX(Prioritization!$D:$D,MATCH($B47,Prioritization!$A:$A,0))</f>
        <v>4 - Sustained</v>
      </c>
      <c r="B47" t="s">
        <v>313</v>
      </c>
      <c r="C47" t="s">
        <v>30</v>
      </c>
      <c r="D47" t="str">
        <f t="shared" ref="D47:D74" si="6">B47&amp;"|"&amp;C47</f>
        <v>Balaka District [ir8wuHHzoSs]|Female</v>
      </c>
      <c r="E47" s="218"/>
      <c r="F47" s="38"/>
      <c r="G47" s="33" t="str">
        <f t="shared" ref="G47:G74" si="7">IF(SUM($E47,$F47)=0,"",SUM($F47)/IF(SUM($E47)=0,SUM($F47),$E47))</f>
        <v/>
      </c>
      <c r="H47" s="33" t="str">
        <f t="shared" ref="H47:H74" si="8">IF(SUM($G47)=0,"",$G47)</f>
        <v/>
      </c>
      <c r="I47" s="33" t="str">
        <f t="shared" ref="I47:I74" si="9">IF(SUM($F47)=0,"",0%)</f>
        <v/>
      </c>
      <c r="J47" s="218" t="str">
        <f t="shared" ref="J47:J74" si="10">IF(SUM($F47)=0,"",ROUND($F47*(1+SUM($I47)),0))</f>
        <v/>
      </c>
      <c r="K47" s="218" t="str">
        <f t="shared" ref="K47:K74" si="11">IF(SUM($J47)=0,IF(SUM($E47)=0,"",$E47),ROUND($J47/IF(OR(SUM($H47)=0,$H47&gt;1),1,$H47),0))</f>
        <v/>
      </c>
    </row>
    <row r="48" spans="1:11" x14ac:dyDescent="0.2">
      <c r="A48" t="str">
        <f>INDEX(Prioritization!$D:$D,MATCH($B48,Prioritization!$A:$A,0))</f>
        <v>4 - Sustained</v>
      </c>
      <c r="B48" t="s">
        <v>313</v>
      </c>
      <c r="C48" t="s">
        <v>48</v>
      </c>
      <c r="D48" t="str">
        <f t="shared" si="6"/>
        <v>Balaka District [ir8wuHHzoSs]|Male</v>
      </c>
      <c r="E48" s="218"/>
      <c r="F48" s="38"/>
      <c r="G48" s="33" t="str">
        <f t="shared" si="7"/>
        <v/>
      </c>
      <c r="H48" s="33" t="str">
        <f t="shared" si="8"/>
        <v/>
      </c>
      <c r="I48" s="33" t="str">
        <f t="shared" si="9"/>
        <v/>
      </c>
      <c r="J48" s="218" t="str">
        <f t="shared" si="10"/>
        <v/>
      </c>
      <c r="K48" s="218" t="str">
        <f t="shared" si="11"/>
        <v/>
      </c>
    </row>
    <row r="49" spans="1:11" x14ac:dyDescent="0.2">
      <c r="A49" t="str">
        <f>INDEX(Prioritization!$D:$D,MATCH($B49,Prioritization!$A:$A,0))</f>
        <v>1 - Scale-up: Saturation</v>
      </c>
      <c r="B49" t="s">
        <v>314</v>
      </c>
      <c r="C49" t="s">
        <v>30</v>
      </c>
      <c r="D49" t="str">
        <f t="shared" si="6"/>
        <v>Blantyre District [mxqa3CDFmIT]|Female</v>
      </c>
      <c r="E49" s="218"/>
      <c r="F49" s="38"/>
      <c r="G49" s="33" t="str">
        <f t="shared" si="7"/>
        <v/>
      </c>
      <c r="H49" s="33" t="str">
        <f t="shared" si="8"/>
        <v/>
      </c>
      <c r="I49" s="33" t="str">
        <f t="shared" si="9"/>
        <v/>
      </c>
      <c r="J49" s="218" t="str">
        <f t="shared" si="10"/>
        <v/>
      </c>
      <c r="K49" s="218" t="str">
        <f t="shared" si="11"/>
        <v/>
      </c>
    </row>
    <row r="50" spans="1:11" x14ac:dyDescent="0.2">
      <c r="A50" t="str">
        <f>INDEX(Prioritization!$D:$D,MATCH($B50,Prioritization!$A:$A,0))</f>
        <v>1 - Scale-up: Saturation</v>
      </c>
      <c r="B50" t="s">
        <v>314</v>
      </c>
      <c r="C50" t="s">
        <v>48</v>
      </c>
      <c r="D50" t="str">
        <f t="shared" si="6"/>
        <v>Blantyre District [mxqa3CDFmIT]|Male</v>
      </c>
      <c r="E50" s="218"/>
      <c r="F50" s="38"/>
      <c r="G50" s="33" t="str">
        <f t="shared" si="7"/>
        <v/>
      </c>
      <c r="H50" s="33" t="str">
        <f t="shared" si="8"/>
        <v/>
      </c>
      <c r="I50" s="33" t="str">
        <f t="shared" si="9"/>
        <v/>
      </c>
      <c r="J50" s="218" t="str">
        <f t="shared" si="10"/>
        <v/>
      </c>
      <c r="K50" s="218" t="str">
        <f t="shared" si="11"/>
        <v/>
      </c>
    </row>
    <row r="51" spans="1:11" x14ac:dyDescent="0.2">
      <c r="A51" t="str">
        <f>INDEX(Prioritization!$D:$D,MATCH($B51,Prioritization!$A:$A,0))</f>
        <v>1 - Scale-up: Saturation</v>
      </c>
      <c r="B51" t="s">
        <v>315</v>
      </c>
      <c r="C51" t="s">
        <v>30</v>
      </c>
      <c r="D51" t="str">
        <f t="shared" si="6"/>
        <v>Chikwawa District [U8c0so51kT6]|Female</v>
      </c>
      <c r="E51" s="218"/>
      <c r="F51" s="38"/>
      <c r="G51" s="33" t="str">
        <f t="shared" si="7"/>
        <v/>
      </c>
      <c r="H51" s="33" t="str">
        <f t="shared" si="8"/>
        <v/>
      </c>
      <c r="I51" s="33" t="str">
        <f t="shared" si="9"/>
        <v/>
      </c>
      <c r="J51" s="218" t="str">
        <f t="shared" si="10"/>
        <v/>
      </c>
      <c r="K51" s="218" t="str">
        <f t="shared" si="11"/>
        <v/>
      </c>
    </row>
    <row r="52" spans="1:11" x14ac:dyDescent="0.2">
      <c r="A52" t="str">
        <f>INDEX(Prioritization!$D:$D,MATCH($B52,Prioritization!$A:$A,0))</f>
        <v>1 - Scale-up: Saturation</v>
      </c>
      <c r="B52" t="s">
        <v>315</v>
      </c>
      <c r="C52" t="s">
        <v>48</v>
      </c>
      <c r="D52" t="str">
        <f t="shared" si="6"/>
        <v>Chikwawa District [U8c0so51kT6]|Male</v>
      </c>
      <c r="E52" s="218"/>
      <c r="F52" s="38"/>
      <c r="G52" s="33" t="str">
        <f t="shared" si="7"/>
        <v/>
      </c>
      <c r="H52" s="33" t="str">
        <f t="shared" si="8"/>
        <v/>
      </c>
      <c r="I52" s="33" t="str">
        <f t="shared" si="9"/>
        <v/>
      </c>
      <c r="J52" s="218" t="str">
        <f t="shared" si="10"/>
        <v/>
      </c>
      <c r="K52" s="218" t="str">
        <f t="shared" si="11"/>
        <v/>
      </c>
    </row>
    <row r="53" spans="1:11" x14ac:dyDescent="0.2">
      <c r="A53" t="str">
        <f>INDEX(Prioritization!$D:$D,MATCH($B53,Prioritization!$A:$A,0))</f>
        <v>INVALID</v>
      </c>
      <c r="B53" t="s">
        <v>316</v>
      </c>
      <c r="C53" t="s">
        <v>30</v>
      </c>
      <c r="D53" t="str">
        <f t="shared" si="6"/>
        <v>Chiradzulu District [oiPR2CiVJbf]|Female</v>
      </c>
      <c r="E53" s="218"/>
      <c r="F53" s="38"/>
      <c r="G53" s="33" t="str">
        <f t="shared" si="7"/>
        <v/>
      </c>
      <c r="H53" s="33" t="str">
        <f t="shared" si="8"/>
        <v/>
      </c>
      <c r="I53" s="33" t="str">
        <f t="shared" si="9"/>
        <v/>
      </c>
      <c r="J53" s="218" t="str">
        <f t="shared" si="10"/>
        <v/>
      </c>
      <c r="K53" s="218" t="str">
        <f t="shared" si="11"/>
        <v/>
      </c>
    </row>
    <row r="54" spans="1:11" x14ac:dyDescent="0.2">
      <c r="A54" t="str">
        <f>INDEX(Prioritization!$D:$D,MATCH($B54,Prioritization!$A:$A,0))</f>
        <v>INVALID</v>
      </c>
      <c r="B54" t="s">
        <v>316</v>
      </c>
      <c r="C54" t="s">
        <v>48</v>
      </c>
      <c r="D54" t="str">
        <f t="shared" si="6"/>
        <v>Chiradzulu District [oiPR2CiVJbf]|Male</v>
      </c>
      <c r="E54" s="218"/>
      <c r="F54" s="38"/>
      <c r="G54" s="33" t="str">
        <f t="shared" si="7"/>
        <v/>
      </c>
      <c r="H54" s="33" t="str">
        <f t="shared" si="8"/>
        <v/>
      </c>
      <c r="I54" s="33" t="str">
        <f t="shared" si="9"/>
        <v/>
      </c>
      <c r="J54" s="218" t="str">
        <f t="shared" si="10"/>
        <v/>
      </c>
      <c r="K54" s="218" t="str">
        <f t="shared" si="11"/>
        <v/>
      </c>
    </row>
    <row r="55" spans="1:11" x14ac:dyDescent="0.2">
      <c r="A55" t="str">
        <f>INDEX(Prioritization!$D:$D,MATCH($B55,Prioritization!$A:$A,0))</f>
        <v>1 - Scale-up: Saturation</v>
      </c>
      <c r="B55" t="s">
        <v>317</v>
      </c>
      <c r="C55" t="s">
        <v>30</v>
      </c>
      <c r="D55" t="str">
        <f t="shared" si="6"/>
        <v>Machinga District [TYnMSwzko3z]|Female</v>
      </c>
      <c r="E55" s="218"/>
      <c r="F55" s="38"/>
      <c r="G55" s="33" t="str">
        <f t="shared" si="7"/>
        <v/>
      </c>
      <c r="H55" s="33" t="str">
        <f t="shared" si="8"/>
        <v/>
      </c>
      <c r="I55" s="33" t="str">
        <f t="shared" si="9"/>
        <v/>
      </c>
      <c r="J55" s="218" t="str">
        <f t="shared" si="10"/>
        <v/>
      </c>
      <c r="K55" s="218" t="str">
        <f t="shared" si="11"/>
        <v/>
      </c>
    </row>
    <row r="56" spans="1:11" x14ac:dyDescent="0.2">
      <c r="A56" t="str">
        <f>INDEX(Prioritization!$D:$D,MATCH($B56,Prioritization!$A:$A,0))</f>
        <v>1 - Scale-up: Saturation</v>
      </c>
      <c r="B56" t="s">
        <v>317</v>
      </c>
      <c r="C56" t="s">
        <v>48</v>
      </c>
      <c r="D56" t="str">
        <f t="shared" si="6"/>
        <v>Machinga District [TYnMSwzko3z]|Male</v>
      </c>
      <c r="E56" s="218"/>
      <c r="F56" s="38"/>
      <c r="G56" s="33" t="str">
        <f t="shared" si="7"/>
        <v/>
      </c>
      <c r="H56" s="33" t="str">
        <f t="shared" si="8"/>
        <v/>
      </c>
      <c r="I56" s="33" t="str">
        <f t="shared" si="9"/>
        <v/>
      </c>
      <c r="J56" s="218" t="str">
        <f t="shared" si="10"/>
        <v/>
      </c>
      <c r="K56" s="218" t="str">
        <f t="shared" si="11"/>
        <v/>
      </c>
    </row>
    <row r="57" spans="1:11" x14ac:dyDescent="0.2">
      <c r="A57" t="str">
        <f>INDEX(Prioritization!$D:$D,MATCH($B57,Prioritization!$A:$A,0))</f>
        <v>1 - Scale-up: Saturation</v>
      </c>
      <c r="B57" t="s">
        <v>318</v>
      </c>
      <c r="C57" t="s">
        <v>30</v>
      </c>
      <c r="D57" t="str">
        <f t="shared" si="6"/>
        <v>Mangochi District [lLDyBx5XyUi]|Female</v>
      </c>
      <c r="E57" s="218"/>
      <c r="F57" s="38"/>
      <c r="G57" s="33" t="str">
        <f t="shared" si="7"/>
        <v/>
      </c>
      <c r="H57" s="33" t="str">
        <f t="shared" si="8"/>
        <v/>
      </c>
      <c r="I57" s="33" t="str">
        <f t="shared" si="9"/>
        <v/>
      </c>
      <c r="J57" s="218" t="str">
        <f t="shared" si="10"/>
        <v/>
      </c>
      <c r="K57" s="218" t="str">
        <f t="shared" si="11"/>
        <v/>
      </c>
    </row>
    <row r="58" spans="1:11" x14ac:dyDescent="0.2">
      <c r="A58" t="str">
        <f>INDEX(Prioritization!$D:$D,MATCH($B58,Prioritization!$A:$A,0))</f>
        <v>1 - Scale-up: Saturation</v>
      </c>
      <c r="B58" t="s">
        <v>318</v>
      </c>
      <c r="C58" t="s">
        <v>48</v>
      </c>
      <c r="D58" t="str">
        <f t="shared" si="6"/>
        <v>Mangochi District [lLDyBx5XyUi]|Male</v>
      </c>
      <c r="E58" s="218"/>
      <c r="F58" s="38"/>
      <c r="G58" s="33" t="str">
        <f t="shared" si="7"/>
        <v/>
      </c>
      <c r="H58" s="33" t="str">
        <f t="shared" si="8"/>
        <v/>
      </c>
      <c r="I58" s="33" t="str">
        <f t="shared" si="9"/>
        <v/>
      </c>
      <c r="J58" s="218" t="str">
        <f t="shared" si="10"/>
        <v/>
      </c>
      <c r="K58" s="218" t="str">
        <f t="shared" si="11"/>
        <v/>
      </c>
    </row>
    <row r="59" spans="1:11" x14ac:dyDescent="0.2">
      <c r="A59" t="str">
        <f>INDEX(Prioritization!$D:$D,MATCH($B59,Prioritization!$A:$A,0))</f>
        <v>INVALID</v>
      </c>
      <c r="B59" t="s">
        <v>319</v>
      </c>
      <c r="C59" t="s">
        <v>30</v>
      </c>
      <c r="D59" t="str">
        <f t="shared" si="6"/>
        <v>Mulanje District [umc2n1Z4wNv]|Female</v>
      </c>
      <c r="E59" s="218"/>
      <c r="F59" s="38"/>
      <c r="G59" s="33" t="str">
        <f t="shared" si="7"/>
        <v/>
      </c>
      <c r="H59" s="33" t="str">
        <f t="shared" si="8"/>
        <v/>
      </c>
      <c r="I59" s="33" t="str">
        <f t="shared" si="9"/>
        <v/>
      </c>
      <c r="J59" s="218" t="str">
        <f t="shared" si="10"/>
        <v/>
      </c>
      <c r="K59" s="218" t="str">
        <f t="shared" si="11"/>
        <v/>
      </c>
    </row>
    <row r="60" spans="1:11" x14ac:dyDescent="0.2">
      <c r="A60" t="str">
        <f>INDEX(Prioritization!$D:$D,MATCH($B60,Prioritization!$A:$A,0))</f>
        <v>INVALID</v>
      </c>
      <c r="B60" t="s">
        <v>319</v>
      </c>
      <c r="C60" t="s">
        <v>48</v>
      </c>
      <c r="D60" t="str">
        <f t="shared" si="6"/>
        <v>Mulanje District [umc2n1Z4wNv]|Male</v>
      </c>
      <c r="E60" s="218"/>
      <c r="F60" s="38"/>
      <c r="G60" s="33" t="str">
        <f t="shared" si="7"/>
        <v/>
      </c>
      <c r="H60" s="33" t="str">
        <f t="shared" si="8"/>
        <v/>
      </c>
      <c r="I60" s="33" t="str">
        <f t="shared" si="9"/>
        <v/>
      </c>
      <c r="J60" s="218" t="str">
        <f t="shared" si="10"/>
        <v/>
      </c>
      <c r="K60" s="218" t="str">
        <f t="shared" si="11"/>
        <v/>
      </c>
    </row>
    <row r="61" spans="1:11" x14ac:dyDescent="0.2">
      <c r="A61" t="str">
        <f>INDEX(Prioritization!$D:$D,MATCH($B61,Prioritization!$A:$A,0))</f>
        <v>4 - Sustained</v>
      </c>
      <c r="B61" t="s">
        <v>320</v>
      </c>
      <c r="C61" t="s">
        <v>30</v>
      </c>
      <c r="D61" t="str">
        <f t="shared" si="6"/>
        <v>Mwanza District [wNqJp8oRIcF]|Female</v>
      </c>
      <c r="E61" s="218"/>
      <c r="F61" s="38"/>
      <c r="G61" s="33" t="str">
        <f t="shared" si="7"/>
        <v/>
      </c>
      <c r="H61" s="33" t="str">
        <f t="shared" si="8"/>
        <v/>
      </c>
      <c r="I61" s="33" t="str">
        <f t="shared" si="9"/>
        <v/>
      </c>
      <c r="J61" s="218" t="str">
        <f t="shared" si="10"/>
        <v/>
      </c>
      <c r="K61" s="218" t="str">
        <f t="shared" si="11"/>
        <v/>
      </c>
    </row>
    <row r="62" spans="1:11" x14ac:dyDescent="0.2">
      <c r="A62" t="str">
        <f>INDEX(Prioritization!$D:$D,MATCH($B62,Prioritization!$A:$A,0))</f>
        <v>4 - Sustained</v>
      </c>
      <c r="B62" t="s">
        <v>320</v>
      </c>
      <c r="C62" t="s">
        <v>48</v>
      </c>
      <c r="D62" t="str">
        <f t="shared" si="6"/>
        <v>Mwanza District [wNqJp8oRIcF]|Male</v>
      </c>
      <c r="E62" s="218"/>
      <c r="F62" s="38"/>
      <c r="G62" s="33" t="str">
        <f t="shared" si="7"/>
        <v/>
      </c>
      <c r="H62" s="33" t="str">
        <f t="shared" si="8"/>
        <v/>
      </c>
      <c r="I62" s="33" t="str">
        <f t="shared" si="9"/>
        <v/>
      </c>
      <c r="J62" s="218" t="str">
        <f t="shared" si="10"/>
        <v/>
      </c>
      <c r="K62" s="218" t="str">
        <f t="shared" si="11"/>
        <v/>
      </c>
    </row>
    <row r="63" spans="1:11" x14ac:dyDescent="0.2">
      <c r="A63" t="str">
        <f>INDEX(Prioritization!$D:$D,MATCH($B63,Prioritization!$A:$A,0))</f>
        <v>4 - Sustained</v>
      </c>
      <c r="B63" t="s">
        <v>321</v>
      </c>
      <c r="C63" t="s">
        <v>30</v>
      </c>
      <c r="D63" t="str">
        <f t="shared" si="6"/>
        <v>Neno District [gwVYinjBAe9]|Female</v>
      </c>
      <c r="E63" s="218"/>
      <c r="F63" s="38"/>
      <c r="G63" s="33" t="str">
        <f t="shared" si="7"/>
        <v/>
      </c>
      <c r="H63" s="33" t="str">
        <f t="shared" si="8"/>
        <v/>
      </c>
      <c r="I63" s="33" t="str">
        <f t="shared" si="9"/>
        <v/>
      </c>
      <c r="J63" s="218" t="str">
        <f t="shared" si="10"/>
        <v/>
      </c>
      <c r="K63" s="218" t="str">
        <f t="shared" si="11"/>
        <v/>
      </c>
    </row>
    <row r="64" spans="1:11" x14ac:dyDescent="0.2">
      <c r="A64" t="str">
        <f>INDEX(Prioritization!$D:$D,MATCH($B64,Prioritization!$A:$A,0))</f>
        <v>4 - Sustained</v>
      </c>
      <c r="B64" t="s">
        <v>321</v>
      </c>
      <c r="C64" t="s">
        <v>48</v>
      </c>
      <c r="D64" t="str">
        <f t="shared" si="6"/>
        <v>Neno District [gwVYinjBAe9]|Male</v>
      </c>
      <c r="E64" s="218"/>
      <c r="F64" s="38"/>
      <c r="G64" s="33" t="str">
        <f t="shared" si="7"/>
        <v/>
      </c>
      <c r="H64" s="33" t="str">
        <f t="shared" si="8"/>
        <v/>
      </c>
      <c r="I64" s="33" t="str">
        <f t="shared" si="9"/>
        <v/>
      </c>
      <c r="J64" s="218" t="str">
        <f t="shared" si="10"/>
        <v/>
      </c>
      <c r="K64" s="218" t="str">
        <f t="shared" si="11"/>
        <v/>
      </c>
    </row>
    <row r="65" spans="1:11" x14ac:dyDescent="0.2">
      <c r="A65" t="str">
        <f>INDEX(Prioritization!$D:$D,MATCH($B65,Prioritization!$A:$A,0))</f>
        <v>INVALID</v>
      </c>
      <c r="B65" t="s">
        <v>322</v>
      </c>
      <c r="C65" t="s">
        <v>30</v>
      </c>
      <c r="D65" t="str">
        <f t="shared" si="6"/>
        <v>Nsanje District [rpw540fmNUz]|Female</v>
      </c>
      <c r="E65" s="218"/>
      <c r="F65" s="38"/>
      <c r="G65" s="33" t="str">
        <f t="shared" si="7"/>
        <v/>
      </c>
      <c r="H65" s="33" t="str">
        <f t="shared" si="8"/>
        <v/>
      </c>
      <c r="I65" s="33" t="str">
        <f t="shared" si="9"/>
        <v/>
      </c>
      <c r="J65" s="218" t="str">
        <f t="shared" si="10"/>
        <v/>
      </c>
      <c r="K65" s="218" t="str">
        <f t="shared" si="11"/>
        <v/>
      </c>
    </row>
    <row r="66" spans="1:11" x14ac:dyDescent="0.2">
      <c r="A66" t="str">
        <f>INDEX(Prioritization!$D:$D,MATCH($B66,Prioritization!$A:$A,0))</f>
        <v>INVALID</v>
      </c>
      <c r="B66" t="s">
        <v>322</v>
      </c>
      <c r="C66" t="s">
        <v>48</v>
      </c>
      <c r="D66" t="str">
        <f t="shared" si="6"/>
        <v>Nsanje District [rpw540fmNUz]|Male</v>
      </c>
      <c r="E66" s="218"/>
      <c r="F66" s="38"/>
      <c r="G66" s="33" t="str">
        <f t="shared" si="7"/>
        <v/>
      </c>
      <c r="H66" s="33" t="str">
        <f t="shared" si="8"/>
        <v/>
      </c>
      <c r="I66" s="33" t="str">
        <f t="shared" si="9"/>
        <v/>
      </c>
      <c r="J66" s="218" t="str">
        <f t="shared" si="10"/>
        <v/>
      </c>
      <c r="K66" s="218" t="str">
        <f t="shared" si="11"/>
        <v/>
      </c>
    </row>
    <row r="67" spans="1:11" x14ac:dyDescent="0.2">
      <c r="A67" t="str">
        <f>INDEX(Prioritization!$D:$D,MATCH($B67,Prioritization!$A:$A,0))</f>
        <v>INVALID</v>
      </c>
      <c r="B67" t="s">
        <v>323</v>
      </c>
      <c r="C67" t="s">
        <v>30</v>
      </c>
      <c r="D67" t="str">
        <f t="shared" si="6"/>
        <v>Phalombe District [AZyWpGzhcaA]|Female</v>
      </c>
      <c r="E67" s="218"/>
      <c r="F67" s="38"/>
      <c r="G67" s="33" t="str">
        <f t="shared" si="7"/>
        <v/>
      </c>
      <c r="H67" s="33" t="str">
        <f t="shared" si="8"/>
        <v/>
      </c>
      <c r="I67" s="33" t="str">
        <f t="shared" si="9"/>
        <v/>
      </c>
      <c r="J67" s="218" t="str">
        <f t="shared" si="10"/>
        <v/>
      </c>
      <c r="K67" s="218" t="str">
        <f t="shared" si="11"/>
        <v/>
      </c>
    </row>
    <row r="68" spans="1:11" x14ac:dyDescent="0.2">
      <c r="A68" t="str">
        <f>INDEX(Prioritization!$D:$D,MATCH($B68,Prioritization!$A:$A,0))</f>
        <v>INVALID</v>
      </c>
      <c r="B68" t="s">
        <v>323</v>
      </c>
      <c r="C68" t="s">
        <v>48</v>
      </c>
      <c r="D68" t="str">
        <f t="shared" si="6"/>
        <v>Phalombe District [AZyWpGzhcaA]|Male</v>
      </c>
      <c r="E68" s="218"/>
      <c r="F68" s="38"/>
      <c r="G68" s="33" t="str">
        <f t="shared" si="7"/>
        <v/>
      </c>
      <c r="H68" s="33" t="str">
        <f t="shared" si="8"/>
        <v/>
      </c>
      <c r="I68" s="33" t="str">
        <f t="shared" si="9"/>
        <v/>
      </c>
      <c r="J68" s="218" t="str">
        <f t="shared" si="10"/>
        <v/>
      </c>
      <c r="K68" s="218" t="str">
        <f t="shared" si="11"/>
        <v/>
      </c>
    </row>
    <row r="69" spans="1:11" x14ac:dyDescent="0.2">
      <c r="A69" t="str">
        <f>INDEX(Prioritization!$D:$D,MATCH($B69,Prioritization!$A:$A,0))</f>
        <v>INVALID</v>
      </c>
      <c r="B69" t="s">
        <v>324</v>
      </c>
      <c r="C69" t="s">
        <v>30</v>
      </c>
      <c r="D69" t="str">
        <f t="shared" si="6"/>
        <v>Thyolo District [ul0y9diGujK]|Female</v>
      </c>
      <c r="E69" s="218"/>
      <c r="F69" s="38"/>
      <c r="G69" s="33" t="str">
        <f t="shared" si="7"/>
        <v/>
      </c>
      <c r="H69" s="33" t="str">
        <f t="shared" si="8"/>
        <v/>
      </c>
      <c r="I69" s="33" t="str">
        <f t="shared" si="9"/>
        <v/>
      </c>
      <c r="J69" s="218" t="str">
        <f t="shared" si="10"/>
        <v/>
      </c>
      <c r="K69" s="218" t="str">
        <f t="shared" si="11"/>
        <v/>
      </c>
    </row>
    <row r="70" spans="1:11" x14ac:dyDescent="0.2">
      <c r="A70" t="str">
        <f>INDEX(Prioritization!$D:$D,MATCH($B70,Prioritization!$A:$A,0))</f>
        <v>INVALID</v>
      </c>
      <c r="B70" t="s">
        <v>324</v>
      </c>
      <c r="C70" t="s">
        <v>48</v>
      </c>
      <c r="D70" t="str">
        <f t="shared" si="6"/>
        <v>Thyolo District [ul0y9diGujK]|Male</v>
      </c>
      <c r="E70" s="218"/>
      <c r="F70" s="38"/>
      <c r="G70" s="33" t="str">
        <f t="shared" si="7"/>
        <v/>
      </c>
      <c r="H70" s="33" t="str">
        <f t="shared" si="8"/>
        <v/>
      </c>
      <c r="I70" s="33" t="str">
        <f t="shared" si="9"/>
        <v/>
      </c>
      <c r="J70" s="218" t="str">
        <f t="shared" si="10"/>
        <v/>
      </c>
      <c r="K70" s="218" t="str">
        <f t="shared" si="11"/>
        <v/>
      </c>
    </row>
    <row r="71" spans="1:11" x14ac:dyDescent="0.2">
      <c r="A71" t="str">
        <f>INDEX(Prioritization!$D:$D,MATCH($B71,Prioritization!$A:$A,0))</f>
        <v>1 - Scale-up: Saturation</v>
      </c>
      <c r="B71" t="s">
        <v>325</v>
      </c>
      <c r="C71" t="s">
        <v>30</v>
      </c>
      <c r="D71" t="str">
        <f t="shared" si="6"/>
        <v>Zomba District [fyEoGEPERdI]|Female</v>
      </c>
      <c r="E71" s="218"/>
      <c r="F71" s="38"/>
      <c r="G71" s="33" t="str">
        <f t="shared" si="7"/>
        <v/>
      </c>
      <c r="H71" s="33" t="str">
        <f t="shared" si="8"/>
        <v/>
      </c>
      <c r="I71" s="33" t="str">
        <f t="shared" si="9"/>
        <v/>
      </c>
      <c r="J71" s="218" t="str">
        <f t="shared" si="10"/>
        <v/>
      </c>
      <c r="K71" s="218" t="str">
        <f t="shared" si="11"/>
        <v/>
      </c>
    </row>
    <row r="72" spans="1:11" x14ac:dyDescent="0.2">
      <c r="A72" t="str">
        <f>INDEX(Prioritization!$D:$D,MATCH($B72,Prioritization!$A:$A,0))</f>
        <v>1 - Scale-up: Saturation</v>
      </c>
      <c r="B72" t="s">
        <v>325</v>
      </c>
      <c r="C72" t="s">
        <v>48</v>
      </c>
      <c r="D72" t="str">
        <f t="shared" si="6"/>
        <v>Zomba District [fyEoGEPERdI]|Male</v>
      </c>
      <c r="E72" s="218"/>
      <c r="F72" s="38"/>
      <c r="G72" s="33" t="str">
        <f t="shared" si="7"/>
        <v/>
      </c>
      <c r="H72" s="33" t="str">
        <f t="shared" si="8"/>
        <v/>
      </c>
      <c r="I72" s="33" t="str">
        <f t="shared" si="9"/>
        <v/>
      </c>
      <c r="J72" s="218" t="str">
        <f t="shared" si="10"/>
        <v/>
      </c>
      <c r="K72" s="218" t="str">
        <f t="shared" si="11"/>
        <v/>
      </c>
    </row>
    <row r="73" spans="1:11" x14ac:dyDescent="0.2">
      <c r="A73" t="str">
        <f>INDEX(Prioritization!$D:$D,MATCH($B73,Prioritization!$A:$A,0))</f>
        <v>Military</v>
      </c>
      <c r="B73" t="s">
        <v>326</v>
      </c>
      <c r="C73" t="s">
        <v>30</v>
      </c>
      <c r="D73" t="str">
        <f t="shared" si="6"/>
        <v>_Military Malawi [PQZgU9dagaH]|Female</v>
      </c>
      <c r="E73" s="218"/>
      <c r="F73" s="38"/>
      <c r="G73" s="33" t="str">
        <f t="shared" si="7"/>
        <v/>
      </c>
      <c r="H73" s="33" t="str">
        <f t="shared" si="8"/>
        <v/>
      </c>
      <c r="I73" s="33" t="str">
        <f t="shared" si="9"/>
        <v/>
      </c>
      <c r="J73" s="218" t="str">
        <f t="shared" si="10"/>
        <v/>
      </c>
      <c r="K73" s="218" t="str">
        <f t="shared" si="11"/>
        <v/>
      </c>
    </row>
    <row r="74" spans="1:11" x14ac:dyDescent="0.2">
      <c r="A74" t="str">
        <f>INDEX(Prioritization!$D:$D,MATCH($B74,Prioritization!$A:$A,0))</f>
        <v>Military</v>
      </c>
      <c r="B74" t="s">
        <v>326</v>
      </c>
      <c r="C74" t="s">
        <v>48</v>
      </c>
      <c r="D74" t="str">
        <f t="shared" si="6"/>
        <v>_Military Malawi [PQZgU9dagaH]|Male</v>
      </c>
      <c r="E74" s="218"/>
      <c r="F74" s="38"/>
      <c r="G74" s="33" t="str">
        <f t="shared" si="7"/>
        <v/>
      </c>
      <c r="H74" s="33" t="str">
        <f t="shared" si="8"/>
        <v/>
      </c>
      <c r="I74" s="33" t="str">
        <f t="shared" si="9"/>
        <v/>
      </c>
      <c r="J74" s="218" t="str">
        <f t="shared" si="10"/>
        <v/>
      </c>
      <c r="K74" s="218" t="str">
        <f t="shared" si="11"/>
        <v/>
      </c>
    </row>
  </sheetData>
  <conditionalFormatting sqref="E1:E1048576 G1:H1048576 K1:K1048576">
    <cfRule type="expression" dxfId="46" priority="1">
      <formula>LEFT($B1,4)="_Mil"</formula>
    </cfRule>
  </conditionalFormatting>
  <conditionalFormatting sqref="E1:H1048576 J1:K1048576">
    <cfRule type="expression" dxfId="45" priority="2">
      <formula>AND(ISNUMBER(E1),E1&lt;0)</formula>
    </cfRule>
  </conditionalFormatting>
  <conditionalFormatting sqref="G1:H1048576">
    <cfRule type="expression" dxfId="44" priority="3">
      <formula>AND(ISNUMBER(G1),G1&gt;1)</formula>
    </cfRule>
  </conditionalFormatting>
  <conditionalFormatting sqref="H1:H1048576">
    <cfRule type="expression" dxfId="43" priority="7">
      <formula>AND(ISNUMBER(H1),H1&lt;&gt;G1)</formula>
    </cfRule>
  </conditionalFormatting>
  <pageMargins left="0.7" right="0.7" top="0.75" bottom="0.75" header="0.3" footer="0.3"/>
  <pageSetup paperSize="9" orientation="portrait" horizontalDpi="300" verticalDpi="300"/>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BV62"/>
  <sheetViews>
    <sheetView workbookViewId="0">
      <pane xSplit="2" ySplit="14" topLeftCell="C27" activePane="bottomRight" state="frozen"/>
      <selection pane="topRight" activeCell="K20" sqref="A1:XFD1048576"/>
      <selection pane="bottomLeft" activeCell="K20" sqref="A1:XFD1048576"/>
      <selection pane="bottomRight" activeCell="A14" sqref="A14"/>
    </sheetView>
  </sheetViews>
  <sheetFormatPr baseColWidth="10" defaultColWidth="11" defaultRowHeight="16" x14ac:dyDescent="0.2"/>
  <cols>
    <col min="1" max="1" width="16.1640625" customWidth="1"/>
    <col min="2" max="2" width="30.6640625" customWidth="1"/>
    <col min="3" max="74" width="11.6640625" customWidth="1"/>
  </cols>
  <sheetData>
    <row r="1" spans="1:74" ht="31.25" customHeight="1" x14ac:dyDescent="0.2">
      <c r="A1" s="68" t="s">
        <v>1435</v>
      </c>
      <c r="B1" s="23"/>
      <c r="C1" s="52" t="s">
        <v>481</v>
      </c>
      <c r="D1" s="43"/>
      <c r="E1" s="210"/>
      <c r="F1" s="211"/>
      <c r="G1" s="43"/>
      <c r="H1" s="43"/>
      <c r="I1" s="43"/>
      <c r="J1" s="43"/>
      <c r="K1" s="52" t="s">
        <v>482</v>
      </c>
      <c r="L1" s="43"/>
      <c r="M1" s="210"/>
      <c r="N1" s="211"/>
      <c r="O1" s="43"/>
      <c r="P1" s="43"/>
      <c r="Q1" s="43"/>
      <c r="R1" s="43"/>
      <c r="S1" s="52" t="s">
        <v>346</v>
      </c>
      <c r="T1" s="210"/>
      <c r="U1" s="211"/>
      <c r="V1" s="43"/>
      <c r="W1" s="43"/>
      <c r="X1" s="43"/>
      <c r="Y1" s="43"/>
      <c r="Z1" s="52" t="s">
        <v>345</v>
      </c>
      <c r="AA1" s="210"/>
      <c r="AB1" s="211"/>
      <c r="AC1" s="43"/>
      <c r="AD1" s="43"/>
      <c r="AE1" s="43"/>
      <c r="AF1" s="43"/>
      <c r="AG1" s="52" t="s">
        <v>347</v>
      </c>
      <c r="AH1" s="210"/>
      <c r="AI1" s="211"/>
      <c r="AJ1" s="43"/>
      <c r="AK1" s="43"/>
      <c r="AL1" s="43"/>
      <c r="AM1" s="43"/>
      <c r="AN1" s="52" t="s">
        <v>348</v>
      </c>
      <c r="AO1" s="210"/>
      <c r="AP1" s="211"/>
      <c r="AQ1" s="43"/>
      <c r="AR1" s="43"/>
      <c r="AS1" s="43"/>
      <c r="AT1" s="43"/>
      <c r="AU1" s="52" t="s">
        <v>1436</v>
      </c>
      <c r="AV1" s="210"/>
      <c r="AW1" s="211"/>
      <c r="AX1" s="43"/>
      <c r="AY1" s="43"/>
      <c r="AZ1" s="43"/>
      <c r="BA1" s="43"/>
      <c r="BB1" s="52" t="s">
        <v>1437</v>
      </c>
      <c r="BC1" s="210"/>
      <c r="BD1" s="211"/>
      <c r="BE1" s="43"/>
      <c r="BF1" s="43"/>
      <c r="BG1" s="43"/>
      <c r="BH1" s="43"/>
      <c r="BI1" s="52" t="s">
        <v>485</v>
      </c>
      <c r="BJ1" s="210"/>
      <c r="BK1" s="211"/>
      <c r="BL1" s="43"/>
      <c r="BM1" s="43"/>
      <c r="BN1" s="43"/>
      <c r="BO1" s="43"/>
      <c r="BP1" s="52" t="s">
        <v>486</v>
      </c>
      <c r="BQ1" s="210"/>
      <c r="BR1" s="211"/>
      <c r="BS1" s="43"/>
      <c r="BT1" s="43"/>
      <c r="BU1" s="43"/>
      <c r="BV1" s="43"/>
    </row>
    <row r="2" spans="1:74" ht="19.25" customHeight="1" x14ac:dyDescent="0.25">
      <c r="A2" s="255" t="s">
        <v>1438</v>
      </c>
      <c r="B2" s="251"/>
      <c r="C2" s="105" t="s">
        <v>1439</v>
      </c>
      <c r="D2" s="24"/>
      <c r="E2" s="204"/>
      <c r="F2" s="201" t="s">
        <v>1440</v>
      </c>
      <c r="G2" s="146"/>
      <c r="H2" s="146"/>
      <c r="I2" s="207"/>
      <c r="J2" s="146"/>
      <c r="K2" s="105" t="s">
        <v>1439</v>
      </c>
      <c r="L2" s="24"/>
      <c r="M2" s="204"/>
      <c r="N2" s="201" t="s">
        <v>1440</v>
      </c>
      <c r="O2" s="146"/>
      <c r="P2" s="146"/>
      <c r="Q2" s="207"/>
      <c r="R2" s="146"/>
      <c r="S2" s="105" t="s">
        <v>1439</v>
      </c>
      <c r="T2" s="204"/>
      <c r="U2" s="201" t="s">
        <v>1440</v>
      </c>
      <c r="V2" s="146"/>
      <c r="W2" s="146"/>
      <c r="X2" s="207"/>
      <c r="Y2" s="146"/>
      <c r="Z2" s="105" t="s">
        <v>1439</v>
      </c>
      <c r="AA2" s="204"/>
      <c r="AB2" s="201" t="s">
        <v>1440</v>
      </c>
      <c r="AC2" s="146"/>
      <c r="AD2" s="146"/>
      <c r="AE2" s="207"/>
      <c r="AF2" s="146"/>
      <c r="AG2" s="105" t="s">
        <v>1439</v>
      </c>
      <c r="AH2" s="204"/>
      <c r="AI2" s="201" t="s">
        <v>1440</v>
      </c>
      <c r="AJ2" s="146"/>
      <c r="AK2" s="146"/>
      <c r="AL2" s="207"/>
      <c r="AM2" s="146"/>
      <c r="AN2" s="105" t="s">
        <v>1439</v>
      </c>
      <c r="AO2" s="204"/>
      <c r="AP2" s="201" t="s">
        <v>1440</v>
      </c>
      <c r="AQ2" s="146"/>
      <c r="AR2" s="146"/>
      <c r="AS2" s="207"/>
      <c r="AT2" s="146"/>
      <c r="AU2" s="105" t="s">
        <v>1439</v>
      </c>
      <c r="AV2" s="204"/>
      <c r="AW2" s="201" t="s">
        <v>1440</v>
      </c>
      <c r="AX2" s="146"/>
      <c r="AY2" s="146"/>
      <c r="AZ2" s="207"/>
      <c r="BA2" s="146"/>
      <c r="BB2" s="105" t="s">
        <v>1439</v>
      </c>
      <c r="BC2" s="204"/>
      <c r="BD2" s="201" t="s">
        <v>1440</v>
      </c>
      <c r="BE2" s="146"/>
      <c r="BF2" s="146"/>
      <c r="BG2" s="207"/>
      <c r="BH2" s="146"/>
      <c r="BI2" s="105" t="s">
        <v>1439</v>
      </c>
      <c r="BJ2" s="204"/>
      <c r="BK2" s="201" t="s">
        <v>1440</v>
      </c>
      <c r="BL2" s="146"/>
      <c r="BM2" s="146"/>
      <c r="BN2" s="207"/>
      <c r="BO2" s="146"/>
      <c r="BP2" s="105" t="s">
        <v>1439</v>
      </c>
      <c r="BQ2" s="204"/>
      <c r="BR2" s="201" t="s">
        <v>1440</v>
      </c>
      <c r="BS2" s="146"/>
      <c r="BT2" s="146"/>
      <c r="BU2" s="207"/>
      <c r="BV2" s="146"/>
    </row>
    <row r="3" spans="1:74" ht="117" customHeight="1" x14ac:dyDescent="0.2">
      <c r="A3" s="252"/>
      <c r="B3" s="253"/>
      <c r="C3" s="142" t="s">
        <v>1441</v>
      </c>
      <c r="D3" s="143" t="s">
        <v>1442</v>
      </c>
      <c r="E3" s="208" t="s">
        <v>1443</v>
      </c>
      <c r="F3" s="209" t="s">
        <v>580</v>
      </c>
      <c r="G3" s="192" t="s">
        <v>581</v>
      </c>
      <c r="H3" s="192" t="s">
        <v>582</v>
      </c>
      <c r="I3" s="192" t="s">
        <v>583</v>
      </c>
      <c r="J3" s="192" t="s">
        <v>584</v>
      </c>
      <c r="K3" s="142" t="s">
        <v>1441</v>
      </c>
      <c r="L3" s="143" t="s">
        <v>1442</v>
      </c>
      <c r="M3" s="208" t="s">
        <v>1443</v>
      </c>
      <c r="N3" s="209" t="s">
        <v>580</v>
      </c>
      <c r="O3" s="192" t="s">
        <v>581</v>
      </c>
      <c r="P3" s="192" t="s">
        <v>582</v>
      </c>
      <c r="Q3" s="192" t="s">
        <v>583</v>
      </c>
      <c r="R3" s="192" t="s">
        <v>584</v>
      </c>
      <c r="S3" s="142" t="s">
        <v>1441</v>
      </c>
      <c r="T3" s="208" t="s">
        <v>1443</v>
      </c>
      <c r="U3" s="209" t="s">
        <v>580</v>
      </c>
      <c r="V3" s="192" t="s">
        <v>581</v>
      </c>
      <c r="W3" s="192" t="s">
        <v>582</v>
      </c>
      <c r="X3" s="192" t="s">
        <v>583</v>
      </c>
      <c r="Y3" s="192" t="s">
        <v>584</v>
      </c>
      <c r="Z3" s="142" t="s">
        <v>1441</v>
      </c>
      <c r="AA3" s="208" t="s">
        <v>1443</v>
      </c>
      <c r="AB3" s="209" t="s">
        <v>580</v>
      </c>
      <c r="AC3" s="192" t="s">
        <v>581</v>
      </c>
      <c r="AD3" s="192" t="s">
        <v>582</v>
      </c>
      <c r="AE3" s="192" t="s">
        <v>583</v>
      </c>
      <c r="AF3" s="192" t="s">
        <v>584</v>
      </c>
      <c r="AG3" s="142" t="s">
        <v>1441</v>
      </c>
      <c r="AH3" s="208" t="s">
        <v>1443</v>
      </c>
      <c r="AI3" s="209" t="s">
        <v>580</v>
      </c>
      <c r="AJ3" s="192" t="s">
        <v>581</v>
      </c>
      <c r="AK3" s="192" t="s">
        <v>582</v>
      </c>
      <c r="AL3" s="192" t="s">
        <v>583</v>
      </c>
      <c r="AM3" s="192" t="s">
        <v>584</v>
      </c>
      <c r="AN3" s="142" t="s">
        <v>1441</v>
      </c>
      <c r="AO3" s="208" t="s">
        <v>1443</v>
      </c>
      <c r="AP3" s="209" t="s">
        <v>580</v>
      </c>
      <c r="AQ3" s="192" t="s">
        <v>581</v>
      </c>
      <c r="AR3" s="192" t="s">
        <v>582</v>
      </c>
      <c r="AS3" s="192" t="s">
        <v>583</v>
      </c>
      <c r="AT3" s="192" t="s">
        <v>584</v>
      </c>
      <c r="AU3" s="142" t="s">
        <v>1441</v>
      </c>
      <c r="AV3" s="208" t="s">
        <v>1443</v>
      </c>
      <c r="AW3" s="209" t="s">
        <v>580</v>
      </c>
      <c r="AX3" s="192" t="s">
        <v>581</v>
      </c>
      <c r="AY3" s="192" t="s">
        <v>582</v>
      </c>
      <c r="AZ3" s="192" t="s">
        <v>583</v>
      </c>
      <c r="BA3" s="192" t="s">
        <v>584</v>
      </c>
      <c r="BB3" s="142" t="s">
        <v>1441</v>
      </c>
      <c r="BC3" s="208" t="s">
        <v>1443</v>
      </c>
      <c r="BD3" s="209" t="s">
        <v>580</v>
      </c>
      <c r="BE3" s="192" t="s">
        <v>581</v>
      </c>
      <c r="BF3" s="192" t="s">
        <v>582</v>
      </c>
      <c r="BG3" s="192" t="s">
        <v>583</v>
      </c>
      <c r="BH3" s="192" t="s">
        <v>584</v>
      </c>
      <c r="BI3" s="142" t="s">
        <v>1441</v>
      </c>
      <c r="BJ3" s="208" t="s">
        <v>1443</v>
      </c>
      <c r="BK3" s="209" t="s">
        <v>580</v>
      </c>
      <c r="BL3" s="192" t="s">
        <v>581</v>
      </c>
      <c r="BM3" s="192" t="s">
        <v>582</v>
      </c>
      <c r="BN3" s="192" t="s">
        <v>583</v>
      </c>
      <c r="BO3" s="192" t="s">
        <v>584</v>
      </c>
      <c r="BP3" s="142" t="s">
        <v>1441</v>
      </c>
      <c r="BQ3" s="208" t="s">
        <v>1443</v>
      </c>
      <c r="BR3" s="209" t="s">
        <v>580</v>
      </c>
      <c r="BS3" s="192" t="s">
        <v>581</v>
      </c>
      <c r="BT3" s="192" t="s">
        <v>582</v>
      </c>
      <c r="BU3" s="192" t="s">
        <v>583</v>
      </c>
      <c r="BV3" s="192" t="s">
        <v>584</v>
      </c>
    </row>
    <row r="4" spans="1:74" x14ac:dyDescent="0.2">
      <c r="A4" s="28"/>
      <c r="B4" s="124" t="s">
        <v>392</v>
      </c>
      <c r="C4" s="113">
        <f>SUBTOTAL(109,C$15:INDEX(C:C,COUNTA($B:$B)+14-COUNTA($B$1:$B$14)))</f>
        <v>23125</v>
      </c>
      <c r="D4" s="28">
        <f>SUBTOTAL(109,D$15:INDEX(D:D,COUNTA($B:$B)+14-COUNTA($B$1:$B$14)))</f>
        <v>17630</v>
      </c>
      <c r="E4" s="205">
        <f>SUBTOTAL(109,E$15:INDEX(E:E,COUNTA($B:$B)+14-COUNTA($B$1:$B$14)))</f>
        <v>17000</v>
      </c>
      <c r="F4" s="202">
        <f>SUBTOTAL(109,F$15:INDEX(F:F,COUNTA($B:$B)+14-COUNTA($B$1:$B$14)))</f>
        <v>3972</v>
      </c>
      <c r="G4" s="132">
        <f>SUBTOTAL(109,G$15:INDEX(G:G,COUNTA($B:$B)+14-COUNTA($B$1:$B$14)))</f>
        <v>1413</v>
      </c>
      <c r="H4" s="132">
        <f>SUBTOTAL(109,H$15:INDEX(H:H,COUNTA($B:$B)+14-COUNTA($B$1:$B$14)))</f>
        <v>0</v>
      </c>
      <c r="I4" s="132">
        <f>SUBTOTAL(109,I$15:INDEX(I:I,COUNTA($B:$B)+14-COUNTA($B$1:$B$14)))</f>
        <v>0</v>
      </c>
      <c r="J4" s="132">
        <f>SUBTOTAL(109,J$15:INDEX(J:J,COUNTA($B:$B)+14-COUNTA($B$1:$B$14)))</f>
        <v>192</v>
      </c>
      <c r="K4" s="113">
        <f>SUBTOTAL(109,K$15:INDEX(K:K,COUNTA($B:$B)+14-COUNTA($B$1:$B$14)))</f>
        <v>63076</v>
      </c>
      <c r="L4" s="28">
        <f>SUBTOTAL(109,L$15:INDEX(L:L,COUNTA($B:$B)+14-COUNTA($B$1:$B$14)))</f>
        <v>53710</v>
      </c>
      <c r="M4" s="205">
        <f>SUBTOTAL(109,M$15:INDEX(M:M,COUNTA($B:$B)+14-COUNTA($B$1:$B$14)))</f>
        <v>35135</v>
      </c>
      <c r="N4" s="202">
        <f>SUBTOTAL(109,N$15:INDEX(N:N,COUNTA($B:$B)+14-COUNTA($B$1:$B$14)))</f>
        <v>9929</v>
      </c>
      <c r="O4" s="132">
        <f>SUBTOTAL(109,O$15:INDEX(O:O,COUNTA($B:$B)+14-COUNTA($B$1:$B$14)))</f>
        <v>2840</v>
      </c>
      <c r="P4" s="132">
        <f>SUBTOTAL(109,P$15:INDEX(P:P,COUNTA($B:$B)+14-COUNTA($B$1:$B$14)))</f>
        <v>0</v>
      </c>
      <c r="Q4" s="132">
        <f>SUBTOTAL(109,Q$15:INDEX(Q:Q,COUNTA($B:$B)+14-COUNTA($B$1:$B$14)))</f>
        <v>0</v>
      </c>
      <c r="R4" s="132">
        <f>SUBTOTAL(109,R$15:INDEX(R:R,COUNTA($B:$B)+14-COUNTA($B$1:$B$14)))</f>
        <v>377</v>
      </c>
      <c r="S4" s="113">
        <f>SUBTOTAL(109,S$15:INDEX(S:S,COUNTA($B:$B)+14-COUNTA($B$1:$B$14)))</f>
        <v>559127</v>
      </c>
      <c r="T4" s="205">
        <f>SUBTOTAL(109,T$15:INDEX(T:T,COUNTA($B:$B)+14-COUNTA($B$1:$B$14)))</f>
        <v>316991</v>
      </c>
      <c r="U4" s="202">
        <f>SUBTOTAL(109,U$15:INDEX(U:U,COUNTA($B:$B)+14-COUNTA($B$1:$B$14)))</f>
        <v>9398</v>
      </c>
      <c r="V4" s="132">
        <f>SUBTOTAL(109,V$15:INDEX(V:V,COUNTA($B:$B)+14-COUNTA($B$1:$B$14)))</f>
        <v>1501</v>
      </c>
      <c r="W4" s="132">
        <f>SUBTOTAL(109,W$15:INDEX(W:W,COUNTA($B:$B)+14-COUNTA($B$1:$B$14)))</f>
        <v>1875</v>
      </c>
      <c r="X4" s="132">
        <f>SUBTOTAL(109,X$15:INDEX(X:X,COUNTA($B:$B)+14-COUNTA($B$1:$B$14)))</f>
        <v>0</v>
      </c>
      <c r="Y4" s="132">
        <f>SUBTOTAL(109,Y$15:INDEX(Y:Y,COUNTA($B:$B)+14-COUNTA($B$1:$B$14)))</f>
        <v>576</v>
      </c>
      <c r="Z4" s="113">
        <f>SUBTOTAL(109,Z$15:INDEX(Z:Z,COUNTA($B:$B)+14-COUNTA($B$1:$B$14)))</f>
        <v>31464</v>
      </c>
      <c r="AA4" s="205">
        <f>SUBTOTAL(109,AA$15:INDEX(AA:AA,COUNTA($B:$B)+14-COUNTA($B$1:$B$14)))</f>
        <v>16384</v>
      </c>
      <c r="AB4" s="202">
        <f>SUBTOTAL(109,AB$15:INDEX(AB:AB,COUNTA($B:$B)+14-COUNTA($B$1:$B$14)))</f>
        <v>2640</v>
      </c>
      <c r="AC4" s="132">
        <f>SUBTOTAL(109,AC$15:INDEX(AC:AC,COUNTA($B:$B)+14-COUNTA($B$1:$B$14)))</f>
        <v>634</v>
      </c>
      <c r="AD4" s="132">
        <f>SUBTOTAL(109,AD$15:INDEX(AD:AD,COUNTA($B:$B)+14-COUNTA($B$1:$B$14)))</f>
        <v>343</v>
      </c>
      <c r="AE4" s="132">
        <f>SUBTOTAL(109,AE$15:INDEX(AE:AE,COUNTA($B:$B)+14-COUNTA($B$1:$B$14)))</f>
        <v>0</v>
      </c>
      <c r="AF4" s="132">
        <f>SUBTOTAL(109,AF$15:INDEX(AF:AF,COUNTA($B:$B)+14-COUNTA($B$1:$B$14)))</f>
        <v>34</v>
      </c>
      <c r="AG4" s="113">
        <f>SUBTOTAL(109,AG$15:INDEX(AG:AG,COUNTA($B:$B)+14-COUNTA($B$1:$B$14)))</f>
        <v>503221</v>
      </c>
      <c r="AH4" s="205">
        <f>SUBTOTAL(109,AH$15:INDEX(AH:AH,COUNTA($B:$B)+14-COUNTA($B$1:$B$14)))</f>
        <v>285297</v>
      </c>
      <c r="AI4" s="202">
        <f>SUBTOTAL(109,AI$15:INDEX(AI:AI,COUNTA($B:$B)+14-COUNTA($B$1:$B$14)))</f>
        <v>8929</v>
      </c>
      <c r="AJ4" s="132">
        <f>SUBTOTAL(109,AJ$15:INDEX(AJ:AJ,COUNTA($B:$B)+14-COUNTA($B$1:$B$14)))</f>
        <v>1243</v>
      </c>
      <c r="AK4" s="132">
        <f>SUBTOTAL(109,AK$15:INDEX(AK:AK,COUNTA($B:$B)+14-COUNTA($B$1:$B$14)))</f>
        <v>1782</v>
      </c>
      <c r="AL4" s="132">
        <f>SUBTOTAL(109,AL$15:INDEX(AL:AL,COUNTA($B:$B)+14-COUNTA($B$1:$B$14)))</f>
        <v>0</v>
      </c>
      <c r="AM4" s="132">
        <f>SUBTOTAL(109,AM$15:INDEX(AM:AM,COUNTA($B:$B)+14-COUNTA($B$1:$B$14)))</f>
        <v>427</v>
      </c>
      <c r="AN4" s="113">
        <f>SUBTOTAL(109,AN$15:INDEX(AN:AN,COUNTA($B:$B)+14-COUNTA($B$1:$B$14)))</f>
        <v>478063</v>
      </c>
      <c r="AO4" s="205">
        <f>SUBTOTAL(109,AO$15:INDEX(AO:AO,COUNTA($B:$B)+14-COUNTA($B$1:$B$14)))</f>
        <v>271032</v>
      </c>
      <c r="AP4" s="202">
        <f>SUBTOTAL(109,AP$15:INDEX(AP:AP,COUNTA($B:$B)+14-COUNTA($B$1:$B$14)))</f>
        <v>8482</v>
      </c>
      <c r="AQ4" s="132">
        <f>SUBTOTAL(109,AQ$15:INDEX(AQ:AQ,COUNTA($B:$B)+14-COUNTA($B$1:$B$14)))</f>
        <v>1181</v>
      </c>
      <c r="AR4" s="132">
        <f>SUBTOTAL(109,AR$15:INDEX(AR:AR,COUNTA($B:$B)+14-COUNTA($B$1:$B$14)))</f>
        <v>1694</v>
      </c>
      <c r="AS4" s="132">
        <f>SUBTOTAL(109,AS$15:INDEX(AS:AS,COUNTA($B:$B)+14-COUNTA($B$1:$B$14)))</f>
        <v>0</v>
      </c>
      <c r="AT4" s="132">
        <f>SUBTOTAL(109,AT$15:INDEX(AT:AT,COUNTA($B:$B)+14-COUNTA($B$1:$B$14)))</f>
        <v>405</v>
      </c>
      <c r="AU4" s="113">
        <f>SUBTOTAL(109,AU$15:INDEX(AU:AU,COUNTA($B:$B)+14-COUNTA($B$1:$B$14)))</f>
        <v>32481</v>
      </c>
      <c r="AV4" s="205">
        <f>SUBTOTAL(109,AV$15:INDEX(AV:AV,COUNTA($B:$B)+14-COUNTA($B$1:$B$14)))</f>
        <v>17095</v>
      </c>
      <c r="AW4" s="202">
        <f>SUBTOTAL(109,AW$15:INDEX(AW:AW,COUNTA($B:$B)+14-COUNTA($B$1:$B$14)))</f>
        <v>2780</v>
      </c>
      <c r="AX4" s="132">
        <f>SUBTOTAL(109,AX$15:INDEX(AX:AX,COUNTA($B:$B)+14-COUNTA($B$1:$B$14)))</f>
        <v>667</v>
      </c>
      <c r="AY4" s="132">
        <f>SUBTOTAL(109,AY$15:INDEX(AY:AY,COUNTA($B:$B)+14-COUNTA($B$1:$B$14)))</f>
        <v>360</v>
      </c>
      <c r="AZ4" s="132">
        <f>SUBTOTAL(109,AZ$15:INDEX(AZ:AZ,COUNTA($B:$B)+14-COUNTA($B$1:$B$14)))</f>
        <v>0</v>
      </c>
      <c r="BA4" s="132">
        <f>SUBTOTAL(109,BA$15:INDEX(BA:BA,COUNTA($B:$B)+14-COUNTA($B$1:$B$14)))</f>
        <v>34</v>
      </c>
      <c r="BB4" s="113">
        <f>SUBTOTAL(109,BB$15:INDEX(BB:BB,COUNTA($B:$B)+14-COUNTA($B$1:$B$14)))</f>
        <v>1884561</v>
      </c>
      <c r="BC4" s="205">
        <f>SUBTOTAL(109,BC$15:INDEX(BC:BC,COUNTA($B:$B)+14-COUNTA($B$1:$B$14)))</f>
        <v>676417</v>
      </c>
      <c r="BD4" s="202">
        <f>SUBTOTAL(109,BD$15:INDEX(BD:BD,COUNTA($B:$B)+14-COUNTA($B$1:$B$14)))</f>
        <v>17077</v>
      </c>
      <c r="BE4" s="132">
        <f>SUBTOTAL(109,BE$15:INDEX(BE:BE,COUNTA($B:$B)+14-COUNTA($B$1:$B$14)))</f>
        <v>5182</v>
      </c>
      <c r="BF4" s="132">
        <f>SUBTOTAL(109,BF$15:INDEX(BF:BF,COUNTA($B:$B)+14-COUNTA($B$1:$B$14)))</f>
        <v>17640</v>
      </c>
      <c r="BG4" s="132">
        <f>SUBTOTAL(109,BG$15:INDEX(BG:BG,COUNTA($B:$B)+14-COUNTA($B$1:$B$14)))</f>
        <v>0</v>
      </c>
      <c r="BH4" s="132">
        <f>SUBTOTAL(109,BH$15:INDEX(BH:BH,COUNTA($B:$B)+14-COUNTA($B$1:$B$14)))</f>
        <v>227</v>
      </c>
      <c r="BI4" s="113">
        <f>SUBTOTAL(109,BI$15:INDEX(BI:BI,COUNTA($B:$B)+14-COUNTA($B$1:$B$14)))</f>
        <v>18383</v>
      </c>
      <c r="BJ4" s="205">
        <f>SUBTOTAL(109,BJ$15:INDEX(BJ:BJ,COUNTA($B:$B)+14-COUNTA($B$1:$B$14)))</f>
        <v>9922</v>
      </c>
      <c r="BK4" s="202">
        <f>SUBTOTAL(109,BK$15:INDEX(BK:BK,COUNTA($B:$B)+14-COUNTA($B$1:$B$14)))</f>
        <v>0</v>
      </c>
      <c r="BL4" s="132">
        <f>SUBTOTAL(109,BL$15:INDEX(BL:BL,COUNTA($B:$B)+14-COUNTA($B$1:$B$14)))</f>
        <v>0</v>
      </c>
      <c r="BM4" s="132">
        <f>SUBTOTAL(109,BM$15:INDEX(BM:BM,COUNTA($B:$B)+14-COUNTA($B$1:$B$14)))</f>
        <v>0</v>
      </c>
      <c r="BN4" s="132">
        <f>SUBTOTAL(109,BN$15:INDEX(BN:BN,COUNTA($B:$B)+14-COUNTA($B$1:$B$14)))</f>
        <v>0</v>
      </c>
      <c r="BO4" s="132">
        <f>SUBTOTAL(109,BO$15:INDEX(BO:BO,COUNTA($B:$B)+14-COUNTA($B$1:$B$14)))</f>
        <v>-1</v>
      </c>
      <c r="BP4" s="113">
        <f>SUBTOTAL(109,BP$15:INDEX(BP:BP,COUNTA($B:$B)+14-COUNTA($B$1:$B$14)))</f>
        <v>587010</v>
      </c>
      <c r="BQ4" s="205">
        <f>SUBTOTAL(109,BQ$15:INDEX(BQ:BQ,COUNTA($B:$B)+14-COUNTA($B$1:$B$14)))</f>
        <v>344768</v>
      </c>
      <c r="BR4" s="202">
        <f>SUBTOTAL(109,BR$15:INDEX(BR:BR,COUNTA($B:$B)+14-COUNTA($B$1:$B$14)))</f>
        <v>36100</v>
      </c>
      <c r="BS4" s="132">
        <f>SUBTOTAL(109,BS$15:INDEX(BS:BS,COUNTA($B:$B)+14-COUNTA($B$1:$B$14)))</f>
        <v>15896</v>
      </c>
      <c r="BT4" s="132">
        <f>SUBTOTAL(109,BT$15:INDEX(BT:BT,COUNTA($B:$B)+14-COUNTA($B$1:$B$14)))</f>
        <v>0</v>
      </c>
      <c r="BU4" s="132">
        <f>SUBTOTAL(109,BU$15:INDEX(BU:BU,COUNTA($B:$B)+14-COUNTA($B$1:$B$14)))</f>
        <v>0</v>
      </c>
      <c r="BV4" s="132">
        <f>SUBTOTAL(109,BV$15:INDEX(BV:BV,COUNTA($B:$B)+14-COUNTA($B$1:$B$14)))</f>
        <v>2062</v>
      </c>
    </row>
    <row r="5" spans="1:74" ht="0" hidden="1" customHeight="1" x14ac:dyDescent="0.2">
      <c r="A5" s="29" t="s">
        <v>285</v>
      </c>
      <c r="B5" s="128" t="s">
        <v>285</v>
      </c>
      <c r="C5" s="114" t="s">
        <v>285</v>
      </c>
      <c r="D5" s="29" t="s">
        <v>285</v>
      </c>
      <c r="E5" s="206" t="s">
        <v>285</v>
      </c>
      <c r="F5" s="203" t="s">
        <v>285</v>
      </c>
      <c r="G5" s="2" t="s">
        <v>285</v>
      </c>
      <c r="H5" s="2" t="s">
        <v>285</v>
      </c>
      <c r="I5" s="2" t="s">
        <v>285</v>
      </c>
      <c r="J5" s="2" t="s">
        <v>285</v>
      </c>
      <c r="K5" s="114" t="s">
        <v>285</v>
      </c>
      <c r="L5" s="29" t="s">
        <v>285</v>
      </c>
      <c r="M5" s="206" t="s">
        <v>285</v>
      </c>
      <c r="N5" s="203" t="s">
        <v>285</v>
      </c>
      <c r="O5" s="2" t="s">
        <v>285</v>
      </c>
      <c r="P5" s="2" t="s">
        <v>285</v>
      </c>
      <c r="Q5" s="2" t="s">
        <v>285</v>
      </c>
      <c r="R5" s="2" t="s">
        <v>285</v>
      </c>
      <c r="S5" s="114" t="s">
        <v>285</v>
      </c>
      <c r="T5" s="206" t="s">
        <v>285</v>
      </c>
      <c r="U5" s="203" t="s">
        <v>285</v>
      </c>
      <c r="V5" s="2" t="s">
        <v>285</v>
      </c>
      <c r="W5" s="2" t="s">
        <v>285</v>
      </c>
      <c r="X5" s="2" t="s">
        <v>285</v>
      </c>
      <c r="Y5" s="2" t="s">
        <v>285</v>
      </c>
      <c r="Z5" s="114" t="s">
        <v>285</v>
      </c>
      <c r="AA5" s="206" t="s">
        <v>285</v>
      </c>
      <c r="AB5" s="203" t="s">
        <v>285</v>
      </c>
      <c r="AC5" s="2" t="s">
        <v>285</v>
      </c>
      <c r="AD5" s="2" t="s">
        <v>285</v>
      </c>
      <c r="AE5" s="2" t="s">
        <v>285</v>
      </c>
      <c r="AF5" s="2" t="s">
        <v>285</v>
      </c>
      <c r="AG5" s="114" t="s">
        <v>285</v>
      </c>
      <c r="AH5" s="206" t="s">
        <v>285</v>
      </c>
      <c r="AI5" s="203" t="s">
        <v>285</v>
      </c>
      <c r="AJ5" s="2" t="s">
        <v>285</v>
      </c>
      <c r="AK5" s="2" t="s">
        <v>285</v>
      </c>
      <c r="AL5" s="2" t="s">
        <v>285</v>
      </c>
      <c r="AM5" s="2" t="s">
        <v>285</v>
      </c>
      <c r="AN5" s="114" t="s">
        <v>285</v>
      </c>
      <c r="AO5" s="206" t="s">
        <v>285</v>
      </c>
      <c r="AP5" s="203" t="s">
        <v>285</v>
      </c>
      <c r="AQ5" s="2" t="s">
        <v>285</v>
      </c>
      <c r="AR5" s="2" t="s">
        <v>285</v>
      </c>
      <c r="AS5" s="2" t="s">
        <v>285</v>
      </c>
      <c r="AT5" s="2" t="s">
        <v>285</v>
      </c>
      <c r="AU5" s="114" t="s">
        <v>285</v>
      </c>
      <c r="AV5" s="206" t="s">
        <v>285</v>
      </c>
      <c r="AW5" s="203" t="s">
        <v>285</v>
      </c>
      <c r="AX5" s="2" t="s">
        <v>285</v>
      </c>
      <c r="AY5" s="2" t="s">
        <v>285</v>
      </c>
      <c r="AZ5" s="2" t="s">
        <v>285</v>
      </c>
      <c r="BA5" s="2" t="s">
        <v>285</v>
      </c>
      <c r="BB5" s="114" t="s">
        <v>285</v>
      </c>
      <c r="BC5" s="206" t="s">
        <v>285</v>
      </c>
      <c r="BD5" s="203" t="s">
        <v>285</v>
      </c>
      <c r="BE5" s="2" t="s">
        <v>285</v>
      </c>
      <c r="BF5" s="2" t="s">
        <v>285</v>
      </c>
      <c r="BG5" s="2" t="s">
        <v>285</v>
      </c>
      <c r="BH5" s="2" t="s">
        <v>285</v>
      </c>
      <c r="BI5" s="114" t="s">
        <v>285</v>
      </c>
      <c r="BJ5" s="206" t="s">
        <v>285</v>
      </c>
      <c r="BK5" s="203" t="s">
        <v>285</v>
      </c>
      <c r="BL5" s="2" t="s">
        <v>285</v>
      </c>
      <c r="BM5" s="2" t="s">
        <v>285</v>
      </c>
      <c r="BN5" s="2" t="s">
        <v>285</v>
      </c>
      <c r="BO5" s="2" t="s">
        <v>285</v>
      </c>
      <c r="BP5" s="114" t="s">
        <v>285</v>
      </c>
      <c r="BQ5" s="206" t="s">
        <v>285</v>
      </c>
      <c r="BR5" s="203" t="s">
        <v>285</v>
      </c>
      <c r="BS5" s="2" t="s">
        <v>285</v>
      </c>
      <c r="BT5" s="2" t="s">
        <v>285</v>
      </c>
      <c r="BU5" s="2" t="s">
        <v>285</v>
      </c>
      <c r="BV5" s="2" t="s">
        <v>285</v>
      </c>
    </row>
    <row r="6" spans="1:74" ht="0" hidden="1" customHeight="1" x14ac:dyDescent="0.2">
      <c r="A6" s="29" t="s">
        <v>287</v>
      </c>
      <c r="B6" s="128" t="s">
        <v>287</v>
      </c>
      <c r="C6" s="114" t="s">
        <v>290</v>
      </c>
      <c r="D6" s="29" t="s">
        <v>290</v>
      </c>
      <c r="E6" s="206" t="s">
        <v>290</v>
      </c>
      <c r="F6" s="203" t="s">
        <v>290</v>
      </c>
      <c r="G6" s="2" t="s">
        <v>290</v>
      </c>
      <c r="H6" s="2" t="s">
        <v>290</v>
      </c>
      <c r="I6" s="2" t="s">
        <v>290</v>
      </c>
      <c r="J6" s="2" t="s">
        <v>290</v>
      </c>
      <c r="K6" s="114" t="s">
        <v>290</v>
      </c>
      <c r="L6" s="29" t="s">
        <v>290</v>
      </c>
      <c r="M6" s="206" t="s">
        <v>290</v>
      </c>
      <c r="N6" s="203" t="s">
        <v>290</v>
      </c>
      <c r="O6" s="2" t="s">
        <v>290</v>
      </c>
      <c r="P6" s="2" t="s">
        <v>290</v>
      </c>
      <c r="Q6" s="2" t="s">
        <v>290</v>
      </c>
      <c r="R6" s="2" t="s">
        <v>290</v>
      </c>
      <c r="S6" s="114" t="s">
        <v>290</v>
      </c>
      <c r="T6" s="206" t="s">
        <v>290</v>
      </c>
      <c r="U6" s="203" t="s">
        <v>290</v>
      </c>
      <c r="V6" s="2" t="s">
        <v>290</v>
      </c>
      <c r="W6" s="2" t="s">
        <v>290</v>
      </c>
      <c r="X6" s="2" t="s">
        <v>290</v>
      </c>
      <c r="Y6" s="2" t="s">
        <v>290</v>
      </c>
      <c r="Z6" s="114" t="s">
        <v>290</v>
      </c>
      <c r="AA6" s="206" t="s">
        <v>290</v>
      </c>
      <c r="AB6" s="203" t="s">
        <v>290</v>
      </c>
      <c r="AC6" s="2" t="s">
        <v>290</v>
      </c>
      <c r="AD6" s="2" t="s">
        <v>290</v>
      </c>
      <c r="AE6" s="2" t="s">
        <v>290</v>
      </c>
      <c r="AF6" s="2" t="s">
        <v>290</v>
      </c>
      <c r="AG6" s="114" t="s">
        <v>290</v>
      </c>
      <c r="AH6" s="206" t="s">
        <v>290</v>
      </c>
      <c r="AI6" s="203" t="s">
        <v>290</v>
      </c>
      <c r="AJ6" s="2" t="s">
        <v>290</v>
      </c>
      <c r="AK6" s="2" t="s">
        <v>290</v>
      </c>
      <c r="AL6" s="2" t="s">
        <v>290</v>
      </c>
      <c r="AM6" s="2" t="s">
        <v>290</v>
      </c>
      <c r="AN6" s="114" t="s">
        <v>290</v>
      </c>
      <c r="AO6" s="206" t="s">
        <v>290</v>
      </c>
      <c r="AP6" s="203" t="s">
        <v>290</v>
      </c>
      <c r="AQ6" s="2" t="s">
        <v>290</v>
      </c>
      <c r="AR6" s="2" t="s">
        <v>290</v>
      </c>
      <c r="AS6" s="2" t="s">
        <v>290</v>
      </c>
      <c r="AT6" s="2" t="s">
        <v>290</v>
      </c>
      <c r="AU6" s="114" t="s">
        <v>290</v>
      </c>
      <c r="AV6" s="206" t="s">
        <v>290</v>
      </c>
      <c r="AW6" s="203" t="s">
        <v>290</v>
      </c>
      <c r="AX6" s="2" t="s">
        <v>290</v>
      </c>
      <c r="AY6" s="2" t="s">
        <v>290</v>
      </c>
      <c r="AZ6" s="2" t="s">
        <v>290</v>
      </c>
      <c r="BA6" s="2" t="s">
        <v>290</v>
      </c>
      <c r="BB6" s="114" t="s">
        <v>290</v>
      </c>
      <c r="BC6" s="206" t="s">
        <v>290</v>
      </c>
      <c r="BD6" s="203" t="s">
        <v>290</v>
      </c>
      <c r="BE6" s="2" t="s">
        <v>290</v>
      </c>
      <c r="BF6" s="2" t="s">
        <v>290</v>
      </c>
      <c r="BG6" s="2" t="s">
        <v>290</v>
      </c>
      <c r="BH6" s="2" t="s">
        <v>290</v>
      </c>
      <c r="BI6" s="114" t="s">
        <v>290</v>
      </c>
      <c r="BJ6" s="206" t="s">
        <v>290</v>
      </c>
      <c r="BK6" s="203" t="s">
        <v>290</v>
      </c>
      <c r="BL6" s="2" t="s">
        <v>290</v>
      </c>
      <c r="BM6" s="2" t="s">
        <v>290</v>
      </c>
      <c r="BN6" s="2" t="s">
        <v>290</v>
      </c>
      <c r="BO6" s="2" t="s">
        <v>290</v>
      </c>
      <c r="BP6" s="114" t="s">
        <v>290</v>
      </c>
      <c r="BQ6" s="206" t="s">
        <v>290</v>
      </c>
      <c r="BR6" s="203" t="s">
        <v>290</v>
      </c>
      <c r="BS6" s="2" t="s">
        <v>290</v>
      </c>
      <c r="BT6" s="2" t="s">
        <v>290</v>
      </c>
      <c r="BU6" s="2" t="s">
        <v>290</v>
      </c>
      <c r="BV6" s="2" t="s">
        <v>290</v>
      </c>
    </row>
    <row r="7" spans="1:74" ht="0" hidden="1" customHeight="1" x14ac:dyDescent="0.2">
      <c r="A7" s="29" t="s">
        <v>291</v>
      </c>
      <c r="B7" s="128" t="s">
        <v>291</v>
      </c>
      <c r="C7" s="114" t="s">
        <v>292</v>
      </c>
      <c r="D7" s="29" t="s">
        <v>292</v>
      </c>
      <c r="E7" s="206" t="s">
        <v>292</v>
      </c>
      <c r="F7" s="203" t="s">
        <v>292</v>
      </c>
      <c r="G7" s="2" t="s">
        <v>292</v>
      </c>
      <c r="H7" s="2" t="s">
        <v>292</v>
      </c>
      <c r="I7" s="2" t="s">
        <v>292</v>
      </c>
      <c r="J7" s="2" t="s">
        <v>292</v>
      </c>
      <c r="K7" s="114" t="s">
        <v>292</v>
      </c>
      <c r="L7" s="29" t="s">
        <v>292</v>
      </c>
      <c r="M7" s="206" t="s">
        <v>292</v>
      </c>
      <c r="N7" s="203" t="s">
        <v>292</v>
      </c>
      <c r="O7" s="2" t="s">
        <v>292</v>
      </c>
      <c r="P7" s="2" t="s">
        <v>292</v>
      </c>
      <c r="Q7" s="2" t="s">
        <v>292</v>
      </c>
      <c r="R7" s="2" t="s">
        <v>292</v>
      </c>
      <c r="S7" s="114" t="s">
        <v>292</v>
      </c>
      <c r="T7" s="206" t="s">
        <v>292</v>
      </c>
      <c r="U7" s="203" t="s">
        <v>292</v>
      </c>
      <c r="V7" s="2" t="s">
        <v>292</v>
      </c>
      <c r="W7" s="2" t="s">
        <v>292</v>
      </c>
      <c r="X7" s="2" t="s">
        <v>292</v>
      </c>
      <c r="Y7" s="2" t="s">
        <v>292</v>
      </c>
      <c r="Z7" s="114" t="s">
        <v>292</v>
      </c>
      <c r="AA7" s="206" t="s">
        <v>292</v>
      </c>
      <c r="AB7" s="203" t="s">
        <v>292</v>
      </c>
      <c r="AC7" s="2" t="s">
        <v>292</v>
      </c>
      <c r="AD7" s="2" t="s">
        <v>292</v>
      </c>
      <c r="AE7" s="2" t="s">
        <v>292</v>
      </c>
      <c r="AF7" s="2" t="s">
        <v>292</v>
      </c>
      <c r="AG7" s="114" t="s">
        <v>292</v>
      </c>
      <c r="AH7" s="206" t="s">
        <v>292</v>
      </c>
      <c r="AI7" s="203" t="s">
        <v>292</v>
      </c>
      <c r="AJ7" s="2" t="s">
        <v>292</v>
      </c>
      <c r="AK7" s="2" t="s">
        <v>292</v>
      </c>
      <c r="AL7" s="2" t="s">
        <v>292</v>
      </c>
      <c r="AM7" s="2" t="s">
        <v>292</v>
      </c>
      <c r="AN7" s="114" t="s">
        <v>292</v>
      </c>
      <c r="AO7" s="206" t="s">
        <v>292</v>
      </c>
      <c r="AP7" s="203" t="s">
        <v>292</v>
      </c>
      <c r="AQ7" s="2" t="s">
        <v>292</v>
      </c>
      <c r="AR7" s="2" t="s">
        <v>292</v>
      </c>
      <c r="AS7" s="2" t="s">
        <v>292</v>
      </c>
      <c r="AT7" s="2" t="s">
        <v>292</v>
      </c>
      <c r="AU7" s="114" t="s">
        <v>292</v>
      </c>
      <c r="AV7" s="206" t="s">
        <v>292</v>
      </c>
      <c r="AW7" s="203" t="s">
        <v>292</v>
      </c>
      <c r="AX7" s="2" t="s">
        <v>292</v>
      </c>
      <c r="AY7" s="2" t="s">
        <v>292</v>
      </c>
      <c r="AZ7" s="2" t="s">
        <v>292</v>
      </c>
      <c r="BA7" s="2" t="s">
        <v>292</v>
      </c>
      <c r="BB7" s="114" t="s">
        <v>292</v>
      </c>
      <c r="BC7" s="206" t="s">
        <v>292</v>
      </c>
      <c r="BD7" s="203" t="s">
        <v>292</v>
      </c>
      <c r="BE7" s="2" t="s">
        <v>292</v>
      </c>
      <c r="BF7" s="2" t="s">
        <v>292</v>
      </c>
      <c r="BG7" s="2" t="s">
        <v>292</v>
      </c>
      <c r="BH7" s="2" t="s">
        <v>292</v>
      </c>
      <c r="BI7" s="114" t="s">
        <v>292</v>
      </c>
      <c r="BJ7" s="206" t="s">
        <v>292</v>
      </c>
      <c r="BK7" s="203" t="s">
        <v>292</v>
      </c>
      <c r="BL7" s="2" t="s">
        <v>292</v>
      </c>
      <c r="BM7" s="2" t="s">
        <v>292</v>
      </c>
      <c r="BN7" s="2" t="s">
        <v>292</v>
      </c>
      <c r="BO7" s="2" t="s">
        <v>292</v>
      </c>
      <c r="BP7" s="114" t="s">
        <v>292</v>
      </c>
      <c r="BQ7" s="206" t="s">
        <v>292</v>
      </c>
      <c r="BR7" s="203" t="s">
        <v>292</v>
      </c>
      <c r="BS7" s="2" t="s">
        <v>292</v>
      </c>
      <c r="BT7" s="2" t="s">
        <v>292</v>
      </c>
      <c r="BU7" s="2" t="s">
        <v>292</v>
      </c>
      <c r="BV7" s="2" t="s">
        <v>292</v>
      </c>
    </row>
    <row r="8" spans="1:74" ht="0" hidden="1" customHeight="1" x14ac:dyDescent="0.2">
      <c r="C8" s="114"/>
      <c r="D8" s="29"/>
      <c r="E8" s="206"/>
      <c r="K8" s="114"/>
      <c r="L8" s="29"/>
      <c r="M8" s="206"/>
      <c r="S8" s="114"/>
      <c r="T8" s="206"/>
      <c r="Z8" s="114"/>
      <c r="AA8" s="206"/>
      <c r="AG8" s="114"/>
      <c r="AH8" s="206"/>
      <c r="AN8" s="114"/>
      <c r="AO8" s="206"/>
      <c r="AU8" s="114"/>
      <c r="AV8" s="206"/>
      <c r="BB8" s="114"/>
      <c r="BC8" s="206"/>
      <c r="BI8" s="114"/>
      <c r="BJ8" s="206"/>
      <c r="BP8" s="114"/>
      <c r="BQ8" s="206"/>
    </row>
    <row r="9" spans="1:74" ht="0" hidden="1" customHeight="1" x14ac:dyDescent="0.2">
      <c r="C9" s="114"/>
      <c r="D9" s="29"/>
      <c r="E9" s="206"/>
      <c r="K9" s="114"/>
      <c r="L9" s="29"/>
      <c r="M9" s="206"/>
      <c r="S9" s="114"/>
      <c r="T9" s="206"/>
      <c r="Z9" s="114"/>
      <c r="AA9" s="206"/>
      <c r="AG9" s="114"/>
      <c r="AH9" s="206"/>
      <c r="AN9" s="114"/>
      <c r="AO9" s="206"/>
      <c r="AU9" s="114"/>
      <c r="AV9" s="206"/>
      <c r="BB9" s="114"/>
      <c r="BC9" s="206"/>
      <c r="BI9" s="114"/>
      <c r="BJ9" s="206"/>
      <c r="BP9" s="114"/>
      <c r="BQ9" s="206"/>
    </row>
    <row r="10" spans="1:74" ht="0" hidden="1" customHeight="1" x14ac:dyDescent="0.2">
      <c r="C10" s="114"/>
      <c r="D10" s="29"/>
      <c r="E10" s="206"/>
      <c r="K10" s="114"/>
      <c r="L10" s="29"/>
      <c r="M10" s="206"/>
      <c r="S10" s="114"/>
      <c r="T10" s="206"/>
      <c r="Z10" s="114"/>
      <c r="AA10" s="206"/>
      <c r="AG10" s="114"/>
      <c r="AH10" s="206"/>
      <c r="AN10" s="114"/>
      <c r="AO10" s="206"/>
      <c r="AU10" s="114"/>
      <c r="AV10" s="206"/>
      <c r="BB10" s="114"/>
      <c r="BC10" s="206"/>
      <c r="BI10" s="114"/>
      <c r="BJ10" s="206"/>
      <c r="BP10" s="114"/>
      <c r="BQ10" s="206"/>
    </row>
    <row r="11" spans="1:74" ht="0" hidden="1" customHeight="1" x14ac:dyDescent="0.2">
      <c r="C11" s="114"/>
      <c r="D11" s="29"/>
      <c r="E11" s="206"/>
      <c r="K11" s="114"/>
      <c r="L11" s="29"/>
      <c r="M11" s="206"/>
      <c r="S11" s="114"/>
      <c r="T11" s="206"/>
      <c r="Z11" s="114"/>
      <c r="AA11" s="206"/>
      <c r="AG11" s="114"/>
      <c r="AH11" s="206"/>
      <c r="AN11" s="114"/>
      <c r="AO11" s="206"/>
      <c r="AU11" s="114"/>
      <c r="AV11" s="206"/>
      <c r="BB11" s="114"/>
      <c r="BC11" s="206"/>
      <c r="BI11" s="114"/>
      <c r="BJ11" s="206"/>
      <c r="BP11" s="114"/>
      <c r="BQ11" s="206"/>
    </row>
    <row r="12" spans="1:74" ht="0" hidden="1" customHeight="1" x14ac:dyDescent="0.2"/>
    <row r="13" spans="1:74" ht="0" hidden="1" customHeight="1" x14ac:dyDescent="0.2"/>
    <row r="14" spans="1:74" x14ac:dyDescent="0.2">
      <c r="A14" s="131" t="s">
        <v>280</v>
      </c>
      <c r="B14" s="15" t="s">
        <v>294</v>
      </c>
      <c r="C14" s="55" t="s">
        <v>1444</v>
      </c>
      <c r="D14" s="18" t="s">
        <v>1445</v>
      </c>
      <c r="E14" s="212" t="s">
        <v>1446</v>
      </c>
      <c r="F14" s="213" t="s">
        <v>1447</v>
      </c>
      <c r="G14" s="49" t="s">
        <v>1448</v>
      </c>
      <c r="H14" s="49" t="s">
        <v>1449</v>
      </c>
      <c r="I14" s="49" t="s">
        <v>1450</v>
      </c>
      <c r="J14" s="49" t="s">
        <v>1451</v>
      </c>
      <c r="K14" s="55" t="s">
        <v>1452</v>
      </c>
      <c r="L14" s="18" t="s">
        <v>1453</v>
      </c>
      <c r="M14" s="212" t="s">
        <v>1454</v>
      </c>
      <c r="N14" s="213" t="s">
        <v>1455</v>
      </c>
      <c r="O14" s="49" t="s">
        <v>1456</v>
      </c>
      <c r="P14" s="49" t="s">
        <v>1457</v>
      </c>
      <c r="Q14" s="49" t="s">
        <v>1458</v>
      </c>
      <c r="R14" s="49" t="s">
        <v>1459</v>
      </c>
      <c r="S14" s="55" t="s">
        <v>1460</v>
      </c>
      <c r="T14" s="212" t="s">
        <v>1461</v>
      </c>
      <c r="U14" s="213" t="s">
        <v>1462</v>
      </c>
      <c r="V14" s="49" t="s">
        <v>1463</v>
      </c>
      <c r="W14" s="49" t="s">
        <v>1464</v>
      </c>
      <c r="X14" s="49" t="s">
        <v>1465</v>
      </c>
      <c r="Y14" s="49" t="s">
        <v>1466</v>
      </c>
      <c r="Z14" s="55" t="s">
        <v>1467</v>
      </c>
      <c r="AA14" s="212" t="s">
        <v>1468</v>
      </c>
      <c r="AB14" s="213" t="s">
        <v>1469</v>
      </c>
      <c r="AC14" s="49" t="s">
        <v>1470</v>
      </c>
      <c r="AD14" s="49" t="s">
        <v>1471</v>
      </c>
      <c r="AE14" s="49" t="s">
        <v>1472</v>
      </c>
      <c r="AF14" s="49" t="s">
        <v>1473</v>
      </c>
      <c r="AG14" s="55" t="s">
        <v>1474</v>
      </c>
      <c r="AH14" s="212" t="s">
        <v>1475</v>
      </c>
      <c r="AI14" s="213" t="s">
        <v>1476</v>
      </c>
      <c r="AJ14" s="49" t="s">
        <v>1477</v>
      </c>
      <c r="AK14" s="49" t="s">
        <v>1478</v>
      </c>
      <c r="AL14" s="49" t="s">
        <v>1479</v>
      </c>
      <c r="AM14" s="49" t="s">
        <v>1480</v>
      </c>
      <c r="AN14" s="55" t="s">
        <v>1481</v>
      </c>
      <c r="AO14" s="212" t="s">
        <v>1482</v>
      </c>
      <c r="AP14" s="213" t="s">
        <v>1483</v>
      </c>
      <c r="AQ14" s="49" t="s">
        <v>1484</v>
      </c>
      <c r="AR14" s="49" t="s">
        <v>1485</v>
      </c>
      <c r="AS14" s="49" t="s">
        <v>1486</v>
      </c>
      <c r="AT14" s="49" t="s">
        <v>1487</v>
      </c>
      <c r="AU14" s="55" t="s">
        <v>1488</v>
      </c>
      <c r="AV14" s="212" t="s">
        <v>1489</v>
      </c>
      <c r="AW14" s="213" t="s">
        <v>1490</v>
      </c>
      <c r="AX14" s="49" t="s">
        <v>1491</v>
      </c>
      <c r="AY14" s="49" t="s">
        <v>1492</v>
      </c>
      <c r="AZ14" s="49" t="s">
        <v>1493</v>
      </c>
      <c r="BA14" s="49" t="s">
        <v>1494</v>
      </c>
      <c r="BB14" s="55" t="s">
        <v>1495</v>
      </c>
      <c r="BC14" s="212" t="s">
        <v>1496</v>
      </c>
      <c r="BD14" s="213" t="s">
        <v>1497</v>
      </c>
      <c r="BE14" s="49" t="s">
        <v>1498</v>
      </c>
      <c r="BF14" s="49" t="s">
        <v>1499</v>
      </c>
      <c r="BG14" s="49" t="s">
        <v>1500</v>
      </c>
      <c r="BH14" s="49" t="s">
        <v>1501</v>
      </c>
      <c r="BI14" s="55" t="s">
        <v>1502</v>
      </c>
      <c r="BJ14" s="212" t="s">
        <v>1503</v>
      </c>
      <c r="BK14" s="213" t="s">
        <v>1504</v>
      </c>
      <c r="BL14" s="49" t="s">
        <v>1505</v>
      </c>
      <c r="BM14" s="49" t="s">
        <v>1506</v>
      </c>
      <c r="BN14" s="49" t="s">
        <v>1507</v>
      </c>
      <c r="BO14" s="49" t="s">
        <v>1508</v>
      </c>
      <c r="BP14" s="55" t="s">
        <v>1509</v>
      </c>
      <c r="BQ14" s="212" t="s">
        <v>1510</v>
      </c>
      <c r="BR14" s="213" t="s">
        <v>1511</v>
      </c>
      <c r="BS14" s="49" t="s">
        <v>1512</v>
      </c>
      <c r="BT14" s="49" t="s">
        <v>1513</v>
      </c>
      <c r="BU14" s="49" t="s">
        <v>1514</v>
      </c>
      <c r="BV14" s="49" t="s">
        <v>1515</v>
      </c>
    </row>
    <row r="15" spans="1:74" hidden="1" x14ac:dyDescent="0.2">
      <c r="A15" s="85" t="str">
        <f>INDEX(Prioritization!$D:$D,MATCH($B15,Prioritization!$A:$A,0))</f>
        <v>Military</v>
      </c>
      <c r="B15" s="10" t="s">
        <v>326</v>
      </c>
      <c r="C15" s="104">
        <f>SUM(SUMIFS(PrEP!$O:$O,PrEP!$B:$B,$B15,PrEP!$C:$C,{"15-24","25-34","35-49","50+"},PrEP!$D:$D,"Female"))</f>
        <v>0</v>
      </c>
      <c r="D15" s="38">
        <f>SUM(SUMIFS(PrEP!$O:$O,PrEP!$B:$B,$B15,PrEP!$C:$C,{"15-24","25-34"},PrEP!$D:$D,"Female"))</f>
        <v>0</v>
      </c>
      <c r="E15" s="222">
        <f>SUM(SUMIFS(PrEP!$O:$O,PrEP!$B:$B,$B15,PrEP!$C:$C,{"15-24","25-34","35-49","50+"},PrEP!$D:$D,"Male"))</f>
        <v>0</v>
      </c>
      <c r="F15" s="230">
        <f>_xlfn.IFNA(INDEX(KP!$I:$I,MATCH(($B15&amp;"|"&amp;F$3),KP!$D:$D,0)),"")</f>
        <v>0</v>
      </c>
      <c r="G15" s="38">
        <f>_xlfn.IFNA(INDEX(KP!$I:$I,MATCH(($B15&amp;"|"&amp;G$3),KP!$D:$D,0)),"")</f>
        <v>0</v>
      </c>
      <c r="H15" s="38">
        <f>_xlfn.IFNA(INDEX(KP!$I:$I,MATCH(($B15&amp;"|"&amp;H$3),KP!$D:$D,0)),"")</f>
        <v>0</v>
      </c>
      <c r="I15" s="38">
        <f>_xlfn.IFNA(INDEX(KP!$I:$I,MATCH(($B15&amp;"|"&amp;I$3),KP!$D:$D,0)),"")</f>
        <v>0</v>
      </c>
      <c r="J15" s="38">
        <f>_xlfn.IFNA(INDEX(KP!$I:$I,MATCH(($B15&amp;"|"&amp;J$3),KP!$D:$D,0)),"")</f>
        <v>0</v>
      </c>
      <c r="K15" s="104">
        <f>SUM(SUMIFS(PrEP!$L:$L,PrEP!$B:$B,$B15,PrEP!$C:$C,{"15-24","25-34","35-49","50+"},PrEP!$D:$D,"Female"))</f>
        <v>0</v>
      </c>
      <c r="L15" s="38">
        <f>SUM(SUMIFS(PrEP!$L:$L,PrEP!$B:$B,$B15,PrEP!$C:$C,{"15-24","25-34"},PrEP!$D:$D,"Female"))</f>
        <v>0</v>
      </c>
      <c r="M15" s="222">
        <f>SUM(SUMIFS(PrEP!$L:$L,PrEP!$B:$B,$B15,PrEP!$C:$C,{"15-24","25-34","35-49","50+"},PrEP!$D:$D,"Male"))</f>
        <v>0</v>
      </c>
      <c r="N15" s="230">
        <f>_xlfn.IFNA(INDEX(KP!$K:$K,MATCH(($B15&amp;"|"&amp;N$3),KP!$D:$D,0)),"")</f>
        <v>0</v>
      </c>
      <c r="O15" s="38">
        <f>_xlfn.IFNA(INDEX(KP!$K:$K,MATCH(($B15&amp;"|"&amp;O$3),KP!$D:$D,0)),"")</f>
        <v>0</v>
      </c>
      <c r="P15" s="38">
        <f>_xlfn.IFNA(INDEX(KP!$K:$K,MATCH(($B15&amp;"|"&amp;P$3),KP!$D:$D,0)),"")</f>
        <v>0</v>
      </c>
      <c r="Q15" s="38">
        <f>_xlfn.IFNA(INDEX(KP!$K:$K,MATCH(($B15&amp;"|"&amp;Q$3),KP!$D:$D,0)),"")</f>
        <v>0</v>
      </c>
      <c r="R15" s="38">
        <f>_xlfn.IFNA(INDEX(KP!$K:$K,MATCH(($B15&amp;"|"&amp;R$3),KP!$D:$D,0)),"")</f>
        <v>0</v>
      </c>
      <c r="S15" s="104">
        <f>SUM(SUMIFS(Cascade!$AP:$AP,Cascade!$B:$B,$B15,Cascade!$C:$C,{"15-24","25-34","35-49","50+"},Cascade!$D:$D,"Female"))</f>
        <v>4669</v>
      </c>
      <c r="T15" s="222">
        <f>SUM(SUMIFS(Cascade!$AP:$AP,Cascade!$B:$B,$B15,Cascade!$C:$C,{"15-24","25-34","35-49","50+"},Cascade!$D:$D,"Male"))</f>
        <v>3604</v>
      </c>
      <c r="U15" s="230" t="str">
        <f>_xlfn.IFNA(INDEX(KP!$Q:$Q,MATCH(($B15&amp;"|"&amp;U$3),KP!$D:$D,0)),"")</f>
        <v/>
      </c>
      <c r="V15" s="38" t="str">
        <f>_xlfn.IFNA(INDEX(KP!$Q:$Q,MATCH(($B15&amp;"|"&amp;V$3),KP!$D:$D,0)),"")</f>
        <v/>
      </c>
      <c r="W15" s="38" t="str">
        <f>_xlfn.IFNA(INDEX(KP!$Q:$Q,MATCH(($B15&amp;"|"&amp;W$3),KP!$D:$D,0)),"")</f>
        <v/>
      </c>
      <c r="X15" s="38" t="str">
        <f>_xlfn.IFNA(INDEX(KP!$Q:$Q,MATCH(($B15&amp;"|"&amp;X$3),KP!$D:$D,0)),"")</f>
        <v/>
      </c>
      <c r="Y15" s="38" t="str">
        <f>_xlfn.IFNA(INDEX(KP!$Q:$Q,MATCH(($B15&amp;"|"&amp;Y$3),KP!$D:$D,0)),"")</f>
        <v/>
      </c>
      <c r="Z15" s="104">
        <f>SUM(SUMIFS(Cascade!$AX:$AX,Cascade!$B:$B,$B15,Cascade!$C:$C,{"15-24","25-34","35-49","50+"},Cascade!$D:$D,"Female"))</f>
        <v>419</v>
      </c>
      <c r="AA15" s="222">
        <f>SUM(SUMIFS(Cascade!$AX:$AX,Cascade!$B:$B,$B15,Cascade!$C:$C,{"15-24","25-34","35-49","50+"},Cascade!$D:$D,"Male"))</f>
        <v>314</v>
      </c>
      <c r="AB15" s="230" t="str">
        <f>_xlfn.IFNA(INDEX(KP!$Z:$Z,MATCH(($B15&amp;"|"&amp;AB$3),KP!$D:$D,0)),"")</f>
        <v/>
      </c>
      <c r="AC15" s="38" t="str">
        <f>_xlfn.IFNA(INDEX(KP!$Z:$Z,MATCH(($B15&amp;"|"&amp;AC$3),KP!$D:$D,0)),"")</f>
        <v/>
      </c>
      <c r="AD15" s="38" t="str">
        <f>_xlfn.IFNA(INDEX(KP!$Z:$Z,MATCH(($B15&amp;"|"&amp;AD$3),KP!$D:$D,0)),"")</f>
        <v/>
      </c>
      <c r="AE15" s="38" t="str">
        <f>_xlfn.IFNA(INDEX(KP!$Z:$Z,MATCH(($B15&amp;"|"&amp;AE$3),KP!$D:$D,0)),"")</f>
        <v/>
      </c>
      <c r="AF15" s="38" t="str">
        <f>_xlfn.IFNA(INDEX(KP!$Z:$Z,MATCH(($B15&amp;"|"&amp;AF$3),KP!$D:$D,0)),"")</f>
        <v/>
      </c>
      <c r="AG15" s="104">
        <f>SUM(SUMIFS(Cascade!$BB:$BB,Cascade!$B:$B,$B15,Cascade!$C:$C,{"15-24","25-34","35-49","50+"},Cascade!$D:$D,"Female"))</f>
        <v>4435</v>
      </c>
      <c r="AH15" s="222">
        <f>SUM(SUMIFS(Cascade!$BB:$BB,Cascade!$B:$B,$B15,Cascade!$C:$C,{"15-24","25-34","35-49","50+"},Cascade!$D:$D,"Male"))</f>
        <v>3423</v>
      </c>
      <c r="AI15" s="230" t="str">
        <f>_xlfn.IFNA(INDEX(KP!$AD:$AD,MATCH(($B15&amp;"|"&amp;AI$3),KP!$D:$D,0)),"")</f>
        <v/>
      </c>
      <c r="AJ15" s="38" t="str">
        <f>_xlfn.IFNA(INDEX(KP!$AD:$AD,MATCH(($B15&amp;"|"&amp;AJ$3),KP!$D:$D,0)),"")</f>
        <v/>
      </c>
      <c r="AK15" s="38" t="str">
        <f>_xlfn.IFNA(INDEX(KP!$AD:$AD,MATCH(($B15&amp;"|"&amp;AK$3),KP!$D:$D,0)),"")</f>
        <v/>
      </c>
      <c r="AL15" s="38" t="str">
        <f>_xlfn.IFNA(INDEX(KP!$AD:$AD,MATCH(($B15&amp;"|"&amp;AL$3),KP!$D:$D,0)),"")</f>
        <v/>
      </c>
      <c r="AM15" s="38" t="str">
        <f>_xlfn.IFNA(INDEX(KP!$AD:$AD,MATCH(($B15&amp;"|"&amp;AM$3),KP!$D:$D,0)),"")</f>
        <v/>
      </c>
      <c r="AN15" s="104">
        <f>SUM(SUMIFS(Cascade!$BE:$BE,Cascade!$B:$B,$B15,Cascade!$C:$C,{"15-24","25-34","35-49","50+"},Cascade!$D:$D,"Female"))</f>
        <v>4213</v>
      </c>
      <c r="AO15" s="222">
        <f>SUM(SUMIFS(Cascade!$BE:$BE,Cascade!$B:$B,$B15,Cascade!$C:$C,{"15-24","25-34","35-49","50+"},Cascade!$D:$D,"Male"))</f>
        <v>3252</v>
      </c>
      <c r="AP15" s="230" t="str">
        <f>_xlfn.IFNA(INDEX(KP!$AF:$AF,MATCH(($B15&amp;"|"&amp;AP$3),KP!$D:$D,0)),"")</f>
        <v/>
      </c>
      <c r="AQ15" s="38" t="str">
        <f>_xlfn.IFNA(INDEX(KP!$AF:$AF,MATCH(($B15&amp;"|"&amp;AQ$3),KP!$D:$D,0)),"")</f>
        <v/>
      </c>
      <c r="AR15" s="38" t="str">
        <f>_xlfn.IFNA(INDEX(KP!$AF:$AF,MATCH(($B15&amp;"|"&amp;AR$3),KP!$D:$D,0)),"")</f>
        <v/>
      </c>
      <c r="AS15" s="38" t="str">
        <f>_xlfn.IFNA(INDEX(KP!$AF:$AF,MATCH(($B15&amp;"|"&amp;AS$3),KP!$D:$D,0)),"")</f>
        <v/>
      </c>
      <c r="AT15" s="38" t="str">
        <f>_xlfn.IFNA(INDEX(KP!$AF:$AF,MATCH(($B15&amp;"|"&amp;AT$3),KP!$D:$D,0)),"")</f>
        <v/>
      </c>
      <c r="AU15" s="104">
        <f>SUM(SUMIFS(HTS!$AN:$AN,HTS!$B:$B,$B15,HTS!$C:$C,{"15-24","25-34","35-49","50+"},HTS!$D:$D,"Female"))</f>
        <v>441</v>
      </c>
      <c r="AV15" s="222">
        <f>SUM(SUMIFS(HTS!$AN:$AN,HTS!$B:$B,$B15,HTS!$C:$C,{"15-24","25-34","35-49","50+"},HTS!$D:$D,"Male"))</f>
        <v>331</v>
      </c>
      <c r="AW15" s="230" t="str">
        <f>_xlfn.IFNA(INDEX(KP!$AK:$AK,MATCH(($B15&amp;"|"&amp;AW$3),KP!$D:$D,0)),"")</f>
        <v/>
      </c>
      <c r="AX15" s="38" t="str">
        <f>_xlfn.IFNA(INDEX(KP!$AK:$AK,MATCH(($B15&amp;"|"&amp;AX$3),KP!$D:$D,0)),"")</f>
        <v/>
      </c>
      <c r="AY15" s="38" t="str">
        <f>_xlfn.IFNA(INDEX(KP!$AK:$AK,MATCH(($B15&amp;"|"&amp;AY$3),KP!$D:$D,0)),"")</f>
        <v/>
      </c>
      <c r="AZ15" s="38" t="str">
        <f>_xlfn.IFNA(INDEX(KP!$AK:$AK,MATCH(($B15&amp;"|"&amp;AZ$3),KP!$D:$D,0)),"")</f>
        <v/>
      </c>
      <c r="BA15" s="38" t="str">
        <f>_xlfn.IFNA(INDEX(KP!$AK:$AK,MATCH(($B15&amp;"|"&amp;BA$3),KP!$D:$D,0)),"")</f>
        <v/>
      </c>
      <c r="BB15" s="104">
        <f>SUM(SUMIFS(HTS!$AU:$AU,HTS!$B:$B,$B15,HTS!$C:$C,{"15-24","25-34","35-49","50+"},HTS!$D:$D,"Female"))</f>
        <v>13796</v>
      </c>
      <c r="BC15" s="222">
        <f>SUM(SUMIFS(HTS!$AU:$AU,HTS!$B:$B,$B15,HTS!$C:$C,{"15-24","25-34","35-49","50+"},HTS!$D:$D,"Male"))</f>
        <v>17839</v>
      </c>
      <c r="BD15" s="230" t="str">
        <f>_xlfn.IFNA(INDEX(KP!$AL:$AL,MATCH(($B15&amp;"|"&amp;BD$3),KP!$D:$D,0)),"")</f>
        <v/>
      </c>
      <c r="BE15" s="38" t="str">
        <f>_xlfn.IFNA(INDEX(KP!$AL:$AL,MATCH(($B15&amp;"|"&amp;BE$3),KP!$D:$D,0)),"")</f>
        <v/>
      </c>
      <c r="BF15" s="38" t="str">
        <f>_xlfn.IFNA(INDEX(KP!$AL:$AL,MATCH(($B15&amp;"|"&amp;BF$3),KP!$D:$D,0)),"")</f>
        <v/>
      </c>
      <c r="BG15" s="38" t="str">
        <f>_xlfn.IFNA(INDEX(KP!$AL:$AL,MATCH(($B15&amp;"|"&amp;BG$3),KP!$D:$D,0)),"")</f>
        <v/>
      </c>
      <c r="BH15" s="38" t="str">
        <f>_xlfn.IFNA(INDEX(KP!$AL:$AL,MATCH(($B15&amp;"|"&amp;BH$3),KP!$D:$D,0)),"")</f>
        <v/>
      </c>
      <c r="BI15" s="104">
        <f>SUM(SUMIFS(HTS!$BB:$BB,HTS!$B:$B,$B15,HTS!$C:$C,{"15-24","25-34","35-49","50+"},HTS!$D:$D,"Female"))</f>
        <v>97</v>
      </c>
      <c r="BJ15" s="222">
        <f>SUM(SUMIFS(HTS!$BB:$BB,HTS!$B:$B,$B15,HTS!$C:$C,{"15-24","25-34","35-49","50+"},HTS!$D:$D,"Male"))</f>
        <v>72</v>
      </c>
      <c r="BK15" s="230" t="str">
        <f>_xlfn.IFNA(INDEX(KP!$AN:$AN,MATCH(($B15&amp;"|"&amp;BK$3),KP!$D:$D,0)),"")</f>
        <v/>
      </c>
      <c r="BL15" s="38" t="str">
        <f>_xlfn.IFNA(INDEX(KP!$AN:$AN,MATCH(($B15&amp;"|"&amp;BL$3),KP!$D:$D,0)),"")</f>
        <v/>
      </c>
      <c r="BM15" s="38" t="str">
        <f>_xlfn.IFNA(INDEX(KP!$AN:$AN,MATCH(($B15&amp;"|"&amp;BM$3),KP!$D:$D,0)),"")</f>
        <v/>
      </c>
      <c r="BN15" s="38" t="str">
        <f>_xlfn.IFNA(INDEX(KP!$AN:$AN,MATCH(($B15&amp;"|"&amp;BN$3),KP!$D:$D,0)),"")</f>
        <v/>
      </c>
      <c r="BO15" s="38" t="str">
        <f>_xlfn.IFNA(INDEX(KP!$AN:$AN,MATCH(($B15&amp;"|"&amp;BO$3),KP!$D:$D,0)),"")</f>
        <v/>
      </c>
      <c r="BP15" s="104">
        <f>SUM(SUMIFS(HTS!$AZ:$AZ,HTS!$B:$B,$B15,HTS!$C:$C,{"15-24","25-34","35-49","50+"},HTS!$D:$D,"Female"))</f>
        <v>2205</v>
      </c>
      <c r="BQ15" s="222">
        <f>SUM(SUMIFS(HTS!$AZ:$AZ,HTS!$B:$B,$B15,HTS!$C:$C,{"15-24","25-34","35-49","50+"},HTS!$D:$D,"Male"))</f>
        <v>15000</v>
      </c>
      <c r="BR15" s="230">
        <f>_xlfn.IFNA(INDEX(KP!$AP:$AP,MATCH(($B15&amp;"|"&amp;BR$3),KP!$D:$D,0)),"")</f>
        <v>0</v>
      </c>
      <c r="BS15" s="38">
        <f>_xlfn.IFNA(INDEX(KP!$AP:$AP,MATCH(($B15&amp;"|"&amp;BS$3),KP!$D:$D,0)),"")</f>
        <v>0</v>
      </c>
      <c r="BT15" s="38">
        <f>_xlfn.IFNA(INDEX(KP!$AP:$AP,MATCH(($B15&amp;"|"&amp;BT$3),KP!$D:$D,0)),"")</f>
        <v>0</v>
      </c>
      <c r="BU15" s="38">
        <f>_xlfn.IFNA(INDEX(KP!$AP:$AP,MATCH(($B15&amp;"|"&amp;BU$3),KP!$D:$D,0)),"")</f>
        <v>0</v>
      </c>
      <c r="BV15" s="38">
        <f>_xlfn.IFNA(INDEX(KP!$AP:$AP,MATCH(($B15&amp;"|"&amp;BV$3),KP!$D:$D,0)),"")</f>
        <v>0</v>
      </c>
    </row>
    <row r="16" spans="1:74" x14ac:dyDescent="0.2">
      <c r="A16" s="85" t="str">
        <f>INDEX(Prioritization!$D:$D,MATCH($B16,Prioritization!$A:$A,0))</f>
        <v>4 - Sustained</v>
      </c>
      <c r="B16" s="10" t="s">
        <v>313</v>
      </c>
      <c r="C16" s="38">
        <f>SUM(SUMIFS(PrEP!$O:$O,PrEP!$B:$B,$B16,PrEP!$C:$C,{"15-24","25-34","35-49","50+"},PrEP!$D:$D,"Female"))</f>
        <v>268</v>
      </c>
      <c r="D16" s="38">
        <f>SUM(SUMIFS(PrEP!$O:$O,PrEP!$B:$B,$B16,PrEP!$C:$C,{"15-24","25-34"},PrEP!$D:$D,"Female"))</f>
        <v>181</v>
      </c>
      <c r="E16" s="38">
        <f>SUM(SUMIFS(PrEP!$O:$O,PrEP!$B:$B,$B16,PrEP!$C:$C,{"15-24","25-34","35-49","50+"},PrEP!$D:$D,"Male"))</f>
        <v>265</v>
      </c>
      <c r="F16" s="38">
        <f>_xlfn.IFNA(INDEX(KP!$I:$I,MATCH(($B16&amp;"|"&amp;F$3),KP!$D:$D,0)),"")</f>
        <v>151</v>
      </c>
      <c r="G16" s="38">
        <f>_xlfn.IFNA(INDEX(KP!$I:$I,MATCH(($B16&amp;"|"&amp;G$3),KP!$D:$D,0)),"")</f>
        <v>75</v>
      </c>
      <c r="H16" s="38">
        <f>_xlfn.IFNA(INDEX(KP!$I:$I,MATCH(($B16&amp;"|"&amp;H$3),KP!$D:$D,0)),"")</f>
        <v>0</v>
      </c>
      <c r="I16" s="38">
        <f>_xlfn.IFNA(INDEX(KP!$I:$I,MATCH(($B16&amp;"|"&amp;I$3),KP!$D:$D,0)),"")</f>
        <v>0</v>
      </c>
      <c r="J16" s="38">
        <f>_xlfn.IFNA(INDEX(KP!$I:$I,MATCH(($B16&amp;"|"&amp;J$3),KP!$D:$D,0)),"")</f>
        <v>16</v>
      </c>
      <c r="K16" s="38">
        <f>SUM(SUMIFS(PrEP!$L:$L,PrEP!$B:$B,$B16,PrEP!$C:$C,{"15-24","25-34","35-49","50+"},PrEP!$D:$D,"Female"))</f>
        <v>567</v>
      </c>
      <c r="L16" s="38">
        <f>SUM(SUMIFS(PrEP!$L:$L,PrEP!$B:$B,$B16,PrEP!$C:$C,{"15-24","25-34"},PrEP!$D:$D,"Female"))</f>
        <v>365</v>
      </c>
      <c r="M16" s="38">
        <f>SUM(SUMIFS(PrEP!$L:$L,PrEP!$B:$B,$B16,PrEP!$C:$C,{"15-24","25-34","35-49","50+"},PrEP!$D:$D,"Male"))</f>
        <v>680</v>
      </c>
      <c r="N16" s="38">
        <f>_xlfn.IFNA(INDEX(KP!$K:$K,MATCH(($B16&amp;"|"&amp;N$3),KP!$D:$D,0)),"")</f>
        <v>377</v>
      </c>
      <c r="O16" s="38">
        <f>_xlfn.IFNA(INDEX(KP!$K:$K,MATCH(($B16&amp;"|"&amp;O$3),KP!$D:$D,0)),"")</f>
        <v>188</v>
      </c>
      <c r="P16" s="38">
        <f>_xlfn.IFNA(INDEX(KP!$K:$K,MATCH(($B16&amp;"|"&amp;P$3),KP!$D:$D,0)),"")</f>
        <v>0</v>
      </c>
      <c r="Q16" s="38">
        <f>_xlfn.IFNA(INDEX(KP!$K:$K,MATCH(($B16&amp;"|"&amp;Q$3),KP!$D:$D,0)),"")</f>
        <v>0</v>
      </c>
      <c r="R16" s="38">
        <f>_xlfn.IFNA(INDEX(KP!$K:$K,MATCH(($B16&amp;"|"&amp;R$3),KP!$D:$D,0)),"")</f>
        <v>41</v>
      </c>
      <c r="S16" s="38">
        <f>SUM(SUMIFS(Cascade!$AP:$AP,Cascade!$B:$B,$B16,Cascade!$C:$C,{"15-24","25-34","35-49","50+"},Cascade!$D:$D,"Female"))</f>
        <v>0</v>
      </c>
      <c r="T16" s="38">
        <f>SUM(SUMIFS(Cascade!$AP:$AP,Cascade!$B:$B,$B16,Cascade!$C:$C,{"15-24","25-34","35-49","50+"},Cascade!$D:$D,"Male"))</f>
        <v>3381</v>
      </c>
      <c r="U16" s="38">
        <f>_xlfn.IFNA(INDEX(KP!$Q:$Q,MATCH(($B16&amp;"|"&amp;U$3),KP!$D:$D,0)),"")</f>
        <v>269</v>
      </c>
      <c r="V16" s="38">
        <f>_xlfn.IFNA(INDEX(KP!$Q:$Q,MATCH(($B16&amp;"|"&amp;V$3),KP!$D:$D,0)),"")</f>
        <v>68</v>
      </c>
      <c r="W16" s="38">
        <f>_xlfn.IFNA(INDEX(KP!$Q:$Q,MATCH(($B16&amp;"|"&amp;W$3),KP!$D:$D,0)),"")</f>
        <v>0</v>
      </c>
      <c r="X16" s="38">
        <f>_xlfn.IFNA(INDEX(KP!$Q:$Q,MATCH(($B16&amp;"|"&amp;X$3),KP!$D:$D,0)),"")</f>
        <v>0</v>
      </c>
      <c r="Y16" s="38">
        <f>_xlfn.IFNA(INDEX(KP!$Q:$Q,MATCH(($B16&amp;"|"&amp;Y$3),KP!$D:$D,0)),"")</f>
        <v>37</v>
      </c>
      <c r="Z16" s="38">
        <f>SUM(SUMIFS(Cascade!$AX:$AX,Cascade!$B:$B,$B16,Cascade!$C:$C,{"15-24","25-34","35-49","50+"},Cascade!$D:$D,"Female"))</f>
        <v>0</v>
      </c>
      <c r="AA16" s="38">
        <f>SUM(SUMIFS(Cascade!$AX:$AX,Cascade!$B:$B,$B16,Cascade!$C:$C,{"15-24","25-34","35-49","50+"},Cascade!$D:$D,"Male"))</f>
        <v>751</v>
      </c>
      <c r="AB16" s="38">
        <f>_xlfn.IFNA(INDEX(KP!$Z:$Z,MATCH(($B16&amp;"|"&amp;AB$3),KP!$D:$D,0)),"")</f>
        <v>84</v>
      </c>
      <c r="AC16" s="38">
        <f>_xlfn.IFNA(INDEX(KP!$Z:$Z,MATCH(($B16&amp;"|"&amp;AC$3),KP!$D:$D,0)),"")</f>
        <v>50</v>
      </c>
      <c r="AD16" s="38" t="str">
        <f>_xlfn.IFNA(INDEX(KP!$Z:$Z,MATCH(($B16&amp;"|"&amp;AD$3),KP!$D:$D,0)),"")</f>
        <v/>
      </c>
      <c r="AE16" s="38" t="str">
        <f>_xlfn.IFNA(INDEX(KP!$Z:$Z,MATCH(($B16&amp;"|"&amp;AE$3),KP!$D:$D,0)),"")</f>
        <v/>
      </c>
      <c r="AF16" s="38">
        <f>_xlfn.IFNA(INDEX(KP!$Z:$Z,MATCH(($B16&amp;"|"&amp;AF$3),KP!$D:$D,0)),"")</f>
        <v>7</v>
      </c>
      <c r="AG16" s="38">
        <f>SUM(SUMIFS(Cascade!$BB:$BB,Cascade!$B:$B,$B16,Cascade!$C:$C,{"15-24","25-34","35-49","50+"},Cascade!$D:$D,"Female"))</f>
        <v>0</v>
      </c>
      <c r="AH16" s="38">
        <f>SUM(SUMIFS(Cascade!$BB:$BB,Cascade!$B:$B,$B16,Cascade!$C:$C,{"15-24","25-34","35-49","50+"},Cascade!$D:$D,"Male"))</f>
        <v>3043</v>
      </c>
      <c r="AI16" s="38">
        <f>_xlfn.IFNA(INDEX(KP!$AD:$AD,MATCH(($B16&amp;"|"&amp;AI$3),KP!$D:$D,0)),"")</f>
        <v>256</v>
      </c>
      <c r="AJ16" s="38">
        <f>_xlfn.IFNA(INDEX(KP!$AD:$AD,MATCH(($B16&amp;"|"&amp;AJ$3),KP!$D:$D,0)),"")</f>
        <v>65</v>
      </c>
      <c r="AK16" s="38" t="str">
        <f>_xlfn.IFNA(INDEX(KP!$AD:$AD,MATCH(($B16&amp;"|"&amp;AK$3),KP!$D:$D,0)),"")</f>
        <v/>
      </c>
      <c r="AL16" s="38" t="str">
        <f>_xlfn.IFNA(INDEX(KP!$AD:$AD,MATCH(($B16&amp;"|"&amp;AL$3),KP!$D:$D,0)),"")</f>
        <v/>
      </c>
      <c r="AM16" s="38">
        <f>_xlfn.IFNA(INDEX(KP!$AD:$AD,MATCH(($B16&amp;"|"&amp;AM$3),KP!$D:$D,0)),"")</f>
        <v>35</v>
      </c>
      <c r="AN16" s="38">
        <f>SUM(SUMIFS(Cascade!$BE:$BE,Cascade!$B:$B,$B16,Cascade!$C:$C,{"15-24","25-34","35-49","50+"},Cascade!$D:$D,"Female"))</f>
        <v>0</v>
      </c>
      <c r="AO16" s="38">
        <f>SUM(SUMIFS(Cascade!$BE:$BE,Cascade!$B:$B,$B16,Cascade!$C:$C,{"15-24","25-34","35-49","50+"},Cascade!$D:$D,"Male"))</f>
        <v>2891</v>
      </c>
      <c r="AP16" s="38">
        <f>_xlfn.IFNA(INDEX(KP!$AF:$AF,MATCH(($B16&amp;"|"&amp;AP$3),KP!$D:$D,0)),"")</f>
        <v>243</v>
      </c>
      <c r="AQ16" s="38">
        <f>_xlfn.IFNA(INDEX(KP!$AF:$AF,MATCH(($B16&amp;"|"&amp;AQ$3),KP!$D:$D,0)),"")</f>
        <v>62</v>
      </c>
      <c r="AR16" s="38" t="str">
        <f>_xlfn.IFNA(INDEX(KP!$AF:$AF,MATCH(($B16&amp;"|"&amp;AR$3),KP!$D:$D,0)),"")</f>
        <v/>
      </c>
      <c r="AS16" s="38" t="str">
        <f>_xlfn.IFNA(INDEX(KP!$AF:$AF,MATCH(($B16&amp;"|"&amp;AS$3),KP!$D:$D,0)),"")</f>
        <v/>
      </c>
      <c r="AT16" s="38">
        <f>_xlfn.IFNA(INDEX(KP!$AF:$AF,MATCH(($B16&amp;"|"&amp;AT$3),KP!$D:$D,0)),"")</f>
        <v>33</v>
      </c>
      <c r="AU16" s="38">
        <f>SUM(SUMIFS(HTS!$AN:$AN,HTS!$B:$B,$B16,HTS!$C:$C,{"15-24","25-34","35-49","50+"},HTS!$D:$D,"Female"))</f>
        <v>0</v>
      </c>
      <c r="AV16" s="38">
        <f>SUM(SUMIFS(HTS!$AN:$AN,HTS!$B:$B,$B16,HTS!$C:$C,{"15-24","25-34","35-49","50+"},HTS!$D:$D,"Male"))</f>
        <v>791</v>
      </c>
      <c r="AW16" s="38">
        <f>_xlfn.IFNA(INDEX(KP!$AK:$AK,MATCH(($B16&amp;"|"&amp;AW$3),KP!$D:$D,0)),"")</f>
        <v>88</v>
      </c>
      <c r="AX16" s="38">
        <f>_xlfn.IFNA(INDEX(KP!$AK:$AK,MATCH(($B16&amp;"|"&amp;AX$3),KP!$D:$D,0)),"")</f>
        <v>53</v>
      </c>
      <c r="AY16" s="38" t="str">
        <f>_xlfn.IFNA(INDEX(KP!$AK:$AK,MATCH(($B16&amp;"|"&amp;AY$3),KP!$D:$D,0)),"")</f>
        <v/>
      </c>
      <c r="AZ16" s="38" t="str">
        <f>_xlfn.IFNA(INDEX(KP!$AK:$AK,MATCH(($B16&amp;"|"&amp;AZ$3),KP!$D:$D,0)),"")</f>
        <v/>
      </c>
      <c r="BA16" s="38">
        <f>_xlfn.IFNA(INDEX(KP!$AK:$AK,MATCH(($B16&amp;"|"&amp;BA$3),KP!$D:$D,0)),"")</f>
        <v>7</v>
      </c>
      <c r="BB16" s="38">
        <f>SUM(SUMIFS(HTS!$AU:$AU,HTS!$B:$B,$B16,HTS!$C:$C,{"15-24","25-34","35-49","50+"},HTS!$D:$D,"Female"))</f>
        <v>48</v>
      </c>
      <c r="BC16" s="38">
        <f>SUM(SUMIFS(HTS!$AU:$AU,HTS!$B:$B,$B16,HTS!$C:$C,{"15-24","25-34","35-49","50+"},HTS!$D:$D,"Male"))</f>
        <v>62764</v>
      </c>
      <c r="BD16" s="38">
        <f>_xlfn.IFNA(INDEX(KP!$AL:$AL,MATCH(($B16&amp;"|"&amp;BD$3),KP!$D:$D,0)),"")</f>
        <v>541</v>
      </c>
      <c r="BE16" s="38">
        <f>_xlfn.IFNA(INDEX(KP!$AL:$AL,MATCH(($B16&amp;"|"&amp;BE$3),KP!$D:$D,0)),"")</f>
        <v>412</v>
      </c>
      <c r="BF16" s="38" t="str">
        <f>_xlfn.IFNA(INDEX(KP!$AL:$AL,MATCH(($B16&amp;"|"&amp;BF$3),KP!$D:$D,0)),"")</f>
        <v/>
      </c>
      <c r="BG16" s="38" t="str">
        <f>_xlfn.IFNA(INDEX(KP!$AL:$AL,MATCH(($B16&amp;"|"&amp;BG$3),KP!$D:$D,0)),"")</f>
        <v/>
      </c>
      <c r="BH16" s="38">
        <f>_xlfn.IFNA(INDEX(KP!$AL:$AL,MATCH(($B16&amp;"|"&amp;BH$3),KP!$D:$D,0)),"")</f>
        <v>47</v>
      </c>
      <c r="BI16" s="38">
        <f>SUM(SUMIFS(HTS!$BB:$BB,HTS!$B:$B,$B16,HTS!$C:$C,{"15-24","25-34","35-49","50+"},HTS!$D:$D,"Female"))</f>
        <v>0</v>
      </c>
      <c r="BJ16" s="38">
        <f>SUM(SUMIFS(HTS!$BB:$BB,HTS!$B:$B,$B16,HTS!$C:$C,{"15-24","25-34","35-49","50+"},HTS!$D:$D,"Male"))</f>
        <v>523</v>
      </c>
      <c r="BK16" s="38">
        <f>_xlfn.IFNA(INDEX(KP!$AN:$AN,MATCH(($B16&amp;"|"&amp;BK$3),KP!$D:$D,0)),"")</f>
        <v>0</v>
      </c>
      <c r="BL16" s="38">
        <f>_xlfn.IFNA(INDEX(KP!$AN:$AN,MATCH(($B16&amp;"|"&amp;BL$3),KP!$D:$D,0)),"")</f>
        <v>0</v>
      </c>
      <c r="BM16" s="38" t="str">
        <f>_xlfn.IFNA(INDEX(KP!$AN:$AN,MATCH(($B16&amp;"|"&amp;BM$3),KP!$D:$D,0)),"")</f>
        <v/>
      </c>
      <c r="BN16" s="38" t="str">
        <f>_xlfn.IFNA(INDEX(KP!$AN:$AN,MATCH(($B16&amp;"|"&amp;BN$3),KP!$D:$D,0)),"")</f>
        <v/>
      </c>
      <c r="BO16" s="38">
        <f>_xlfn.IFNA(INDEX(KP!$AN:$AN,MATCH(($B16&amp;"|"&amp;BO$3),KP!$D:$D,0)),"")</f>
        <v>0</v>
      </c>
      <c r="BP16" s="38">
        <f>SUM(SUMIFS(HTS!$AZ:$AZ,HTS!$B:$B,$B16,HTS!$C:$C,{"15-24","25-34","35-49","50+"},HTS!$D:$D,"Female"))</f>
        <v>10446</v>
      </c>
      <c r="BQ16" s="38">
        <f>SUM(SUMIFS(HTS!$AZ:$AZ,HTS!$B:$B,$B16,HTS!$C:$C,{"15-24","25-34","35-49","50+"},HTS!$D:$D,"Male"))</f>
        <v>1726</v>
      </c>
      <c r="BR16" s="38">
        <f>_xlfn.IFNA(INDEX(KP!$AP:$AP,MATCH(($B16&amp;"|"&amp;BR$3),KP!$D:$D,0)),"")</f>
        <v>1166</v>
      </c>
      <c r="BS16" s="38">
        <f>_xlfn.IFNA(INDEX(KP!$AP:$AP,MATCH(($B16&amp;"|"&amp;BS$3),KP!$D:$D,0)),"")</f>
        <v>608</v>
      </c>
      <c r="BT16" s="38">
        <f>_xlfn.IFNA(INDEX(KP!$AP:$AP,MATCH(($B16&amp;"|"&amp;BT$3),KP!$D:$D,0)),"")</f>
        <v>0</v>
      </c>
      <c r="BU16" s="38">
        <f>_xlfn.IFNA(INDEX(KP!$AP:$AP,MATCH(($B16&amp;"|"&amp;BU$3),KP!$D:$D,0)),"")</f>
        <v>0</v>
      </c>
      <c r="BV16" s="38">
        <f>_xlfn.IFNA(INDEX(KP!$AP:$AP,MATCH(($B16&amp;"|"&amp;BV$3),KP!$D:$D,0)),"")</f>
        <v>134</v>
      </c>
    </row>
    <row r="17" spans="1:74" x14ac:dyDescent="0.2">
      <c r="A17" s="85" t="str">
        <f>INDEX(Prioritization!$D:$D,MATCH($B17,Prioritization!$A:$A,0))</f>
        <v>1 - Scale-up: Saturation</v>
      </c>
      <c r="B17" s="10" t="s">
        <v>314</v>
      </c>
      <c r="C17" s="38">
        <f>SUM(SUMIFS(PrEP!$O:$O,PrEP!$B:$B,$B17,PrEP!$C:$C,{"15-24","25-34","35-49","50+"},PrEP!$D:$D,"Female"))</f>
        <v>4044</v>
      </c>
      <c r="D17" s="38">
        <f>SUM(SUMIFS(PrEP!$O:$O,PrEP!$B:$B,$B17,PrEP!$C:$C,{"15-24","25-34"},PrEP!$D:$D,"Female"))</f>
        <v>3257</v>
      </c>
      <c r="E17" s="38">
        <f>SUM(SUMIFS(PrEP!$O:$O,PrEP!$B:$B,$B17,PrEP!$C:$C,{"15-24","25-34","35-49","50+"},PrEP!$D:$D,"Male"))</f>
        <v>7120</v>
      </c>
      <c r="F17" s="38">
        <f>_xlfn.IFNA(INDEX(KP!$I:$I,MATCH(($B17&amp;"|"&amp;F$3),KP!$D:$D,0)),"")</f>
        <v>806</v>
      </c>
      <c r="G17" s="38">
        <f>_xlfn.IFNA(INDEX(KP!$I:$I,MATCH(($B17&amp;"|"&amp;G$3),KP!$D:$D,0)),"")</f>
        <v>278</v>
      </c>
      <c r="H17" s="38">
        <f>_xlfn.IFNA(INDEX(KP!$I:$I,MATCH(($B17&amp;"|"&amp;H$3),KP!$D:$D,0)),"")</f>
        <v>0</v>
      </c>
      <c r="I17" s="38">
        <f>_xlfn.IFNA(INDEX(KP!$I:$I,MATCH(($B17&amp;"|"&amp;I$3),KP!$D:$D,0)),"")</f>
        <v>0</v>
      </c>
      <c r="J17" s="38">
        <f>_xlfn.IFNA(INDEX(KP!$I:$I,MATCH(($B17&amp;"|"&amp;J$3),KP!$D:$D,0)),"")</f>
        <v>91</v>
      </c>
      <c r="K17" s="38">
        <f>SUM(SUMIFS(PrEP!$L:$L,PrEP!$B:$B,$B17,PrEP!$C:$C,{"15-24","25-34","35-49","50+"},PrEP!$D:$D,"Female"))</f>
        <v>11161</v>
      </c>
      <c r="L17" s="38">
        <f>SUM(SUMIFS(PrEP!$L:$L,PrEP!$B:$B,$B17,PrEP!$C:$C,{"15-24","25-34"},PrEP!$D:$D,"Female"))</f>
        <v>10000</v>
      </c>
      <c r="M17" s="38">
        <f>SUM(SUMIFS(PrEP!$L:$L,PrEP!$B:$B,$B17,PrEP!$C:$C,{"15-24","25-34","35-49","50+"},PrEP!$D:$D,"Male"))</f>
        <v>6340</v>
      </c>
      <c r="N17" s="38">
        <f>_xlfn.IFNA(INDEX(KP!$K:$K,MATCH(($B17&amp;"|"&amp;N$3),KP!$D:$D,0)),"")</f>
        <v>2015</v>
      </c>
      <c r="O17" s="38">
        <f>_xlfn.IFNA(INDEX(KP!$K:$K,MATCH(($B17&amp;"|"&amp;O$3),KP!$D:$D,0)),"")</f>
        <v>458</v>
      </c>
      <c r="P17" s="38">
        <f>_xlfn.IFNA(INDEX(KP!$K:$K,MATCH(($B17&amp;"|"&amp;P$3),KP!$D:$D,0)),"")</f>
        <v>0</v>
      </c>
      <c r="Q17" s="38">
        <f>_xlfn.IFNA(INDEX(KP!$K:$K,MATCH(($B17&amp;"|"&amp;Q$3),KP!$D:$D,0)),"")</f>
        <v>0</v>
      </c>
      <c r="R17" s="38">
        <f>_xlfn.IFNA(INDEX(KP!$K:$K,MATCH(($B17&amp;"|"&amp;R$3),KP!$D:$D,0)),"")</f>
        <v>123</v>
      </c>
      <c r="S17" s="38">
        <f>SUM(SUMIFS(Cascade!$AP:$AP,Cascade!$B:$B,$B17,Cascade!$C:$C,{"15-24","25-34","35-49","50+"},Cascade!$D:$D,"Female"))</f>
        <v>69496</v>
      </c>
      <c r="T17" s="38">
        <f>SUM(SUMIFS(Cascade!$AP:$AP,Cascade!$B:$B,$B17,Cascade!$C:$C,{"15-24","25-34","35-49","50+"},Cascade!$D:$D,"Male"))</f>
        <v>46323</v>
      </c>
      <c r="U17" s="38">
        <f>_xlfn.IFNA(INDEX(KP!$Q:$Q,MATCH(($B17&amp;"|"&amp;U$3),KP!$D:$D,0)),"")</f>
        <v>1540</v>
      </c>
      <c r="V17" s="38">
        <f>_xlfn.IFNA(INDEX(KP!$Q:$Q,MATCH(($B17&amp;"|"&amp;V$3),KP!$D:$D,0)),"")</f>
        <v>330</v>
      </c>
      <c r="W17" s="38">
        <f>_xlfn.IFNA(INDEX(KP!$Q:$Q,MATCH(($B17&amp;"|"&amp;W$3),KP!$D:$D,0)),"")</f>
        <v>367</v>
      </c>
      <c r="X17" s="38">
        <f>_xlfn.IFNA(INDEX(KP!$Q:$Q,MATCH(($B17&amp;"|"&amp;X$3),KP!$D:$D,0)),"")</f>
        <v>0</v>
      </c>
      <c r="Y17" s="38">
        <f>_xlfn.IFNA(INDEX(KP!$Q:$Q,MATCH(($B17&amp;"|"&amp;Y$3),KP!$D:$D,0)),"")</f>
        <v>213</v>
      </c>
      <c r="Z17" s="38">
        <f>SUM(SUMIFS(Cascade!$AX:$AX,Cascade!$B:$B,$B17,Cascade!$C:$C,{"15-24","25-34","35-49","50+"},Cascade!$D:$D,"Female"))</f>
        <v>3542</v>
      </c>
      <c r="AA17" s="38">
        <f>SUM(SUMIFS(Cascade!$AX:$AX,Cascade!$B:$B,$B17,Cascade!$C:$C,{"15-24","25-34","35-49","50+"},Cascade!$D:$D,"Male"))</f>
        <v>2690</v>
      </c>
      <c r="AB17" s="38">
        <f>_xlfn.IFNA(INDEX(KP!$Z:$Z,MATCH(($B17&amp;"|"&amp;AB$3),KP!$D:$D,0)),"")</f>
        <v>401</v>
      </c>
      <c r="AC17" s="38">
        <f>_xlfn.IFNA(INDEX(KP!$Z:$Z,MATCH(($B17&amp;"|"&amp;AC$3),KP!$D:$D,0)),"")</f>
        <v>140</v>
      </c>
      <c r="AD17" s="38">
        <f>_xlfn.IFNA(INDEX(KP!$Z:$Z,MATCH(($B17&amp;"|"&amp;AD$3),KP!$D:$D,0)),"")</f>
        <v>65</v>
      </c>
      <c r="AE17" s="38" t="str">
        <f>_xlfn.IFNA(INDEX(KP!$Z:$Z,MATCH(($B17&amp;"|"&amp;AE$3),KP!$D:$D,0)),"")</f>
        <v/>
      </c>
      <c r="AF17" s="38">
        <f>_xlfn.IFNA(INDEX(KP!$Z:$Z,MATCH(($B17&amp;"|"&amp;AF$3),KP!$D:$D,0)),"")</f>
        <v>5</v>
      </c>
      <c r="AG17" s="38">
        <f>SUM(SUMIFS(Cascade!$BB:$BB,Cascade!$B:$B,$B17,Cascade!$C:$C,{"15-24","25-34","35-49","50+"},Cascade!$D:$D,"Female"))</f>
        <v>62547</v>
      </c>
      <c r="AH17" s="38">
        <f>SUM(SUMIFS(Cascade!$BB:$BB,Cascade!$B:$B,$B17,Cascade!$C:$C,{"15-24","25-34","35-49","50+"},Cascade!$D:$D,"Male"))</f>
        <v>41691</v>
      </c>
      <c r="AI17" s="38">
        <f>_xlfn.IFNA(INDEX(KP!$AD:$AD,MATCH(($B17&amp;"|"&amp;AI$3),KP!$D:$D,0)),"")</f>
        <v>1463</v>
      </c>
      <c r="AJ17" s="38">
        <f>_xlfn.IFNA(INDEX(KP!$AD:$AD,MATCH(($B17&amp;"|"&amp;AJ$3),KP!$D:$D,0)),"")</f>
        <v>314</v>
      </c>
      <c r="AK17" s="38">
        <f>_xlfn.IFNA(INDEX(KP!$AD:$AD,MATCH(($B17&amp;"|"&amp;AK$3),KP!$D:$D,0)),"")</f>
        <v>349</v>
      </c>
      <c r="AL17" s="38" t="str">
        <f>_xlfn.IFNA(INDEX(KP!$AD:$AD,MATCH(($B17&amp;"|"&amp;AL$3),KP!$D:$D,0)),"")</f>
        <v/>
      </c>
      <c r="AM17" s="38">
        <f>_xlfn.IFNA(INDEX(KP!$AD:$AD,MATCH(($B17&amp;"|"&amp;AM$3),KP!$D:$D,0)),"")</f>
        <v>202</v>
      </c>
      <c r="AN17" s="38">
        <f>SUM(SUMIFS(Cascade!$BE:$BE,Cascade!$B:$B,$B17,Cascade!$C:$C,{"15-24","25-34","35-49","50+"},Cascade!$D:$D,"Female"))</f>
        <v>59421</v>
      </c>
      <c r="AO17" s="38">
        <f>SUM(SUMIFS(Cascade!$BE:$BE,Cascade!$B:$B,$B17,Cascade!$C:$C,{"15-24","25-34","35-49","50+"},Cascade!$D:$D,"Male"))</f>
        <v>39607</v>
      </c>
      <c r="AP17" s="38">
        <f>_xlfn.IFNA(INDEX(KP!$AF:$AF,MATCH(($B17&amp;"|"&amp;AP$3),KP!$D:$D,0)),"")</f>
        <v>1390</v>
      </c>
      <c r="AQ17" s="38">
        <f>_xlfn.IFNA(INDEX(KP!$AF:$AF,MATCH(($B17&amp;"|"&amp;AQ$3),KP!$D:$D,0)),"")</f>
        <v>298</v>
      </c>
      <c r="AR17" s="38">
        <f>_xlfn.IFNA(INDEX(KP!$AF:$AF,MATCH(($B17&amp;"|"&amp;AR$3),KP!$D:$D,0)),"")</f>
        <v>332</v>
      </c>
      <c r="AS17" s="38" t="str">
        <f>_xlfn.IFNA(INDEX(KP!$AF:$AF,MATCH(($B17&amp;"|"&amp;AS$3),KP!$D:$D,0)),"")</f>
        <v/>
      </c>
      <c r="AT17" s="38">
        <f>_xlfn.IFNA(INDEX(KP!$AF:$AF,MATCH(($B17&amp;"|"&amp;AT$3),KP!$D:$D,0)),"")</f>
        <v>192</v>
      </c>
      <c r="AU17" s="38">
        <f>SUM(SUMIFS(HTS!$AN:$AN,HTS!$B:$B,$B17,HTS!$C:$C,{"15-24","25-34","35-49","50+"},HTS!$D:$D,"Female"))</f>
        <v>3728</v>
      </c>
      <c r="AV17" s="38">
        <f>SUM(SUMIFS(HTS!$AN:$AN,HTS!$B:$B,$B17,HTS!$C:$C,{"15-24","25-34","35-49","50+"},HTS!$D:$D,"Male"))</f>
        <v>2831</v>
      </c>
      <c r="AW17" s="38">
        <f>_xlfn.IFNA(INDEX(KP!$AK:$AK,MATCH(($B17&amp;"|"&amp;AW$3),KP!$D:$D,0)),"")</f>
        <v>422</v>
      </c>
      <c r="AX17" s="38">
        <f>_xlfn.IFNA(INDEX(KP!$AK:$AK,MATCH(($B17&amp;"|"&amp;AX$3),KP!$D:$D,0)),"")</f>
        <v>147</v>
      </c>
      <c r="AY17" s="38">
        <f>_xlfn.IFNA(INDEX(KP!$AK:$AK,MATCH(($B17&amp;"|"&amp;AY$3),KP!$D:$D,0)),"")</f>
        <v>68</v>
      </c>
      <c r="AZ17" s="38" t="str">
        <f>_xlfn.IFNA(INDEX(KP!$AK:$AK,MATCH(($B17&amp;"|"&amp;AZ$3),KP!$D:$D,0)),"")</f>
        <v/>
      </c>
      <c r="BA17" s="38">
        <f>_xlfn.IFNA(INDEX(KP!$AK:$AK,MATCH(($B17&amp;"|"&amp;BA$3),KP!$D:$D,0)),"")</f>
        <v>5</v>
      </c>
      <c r="BB17" s="38">
        <f>SUM(SUMIFS(HTS!$AU:$AU,HTS!$B:$B,$B17,HTS!$C:$C,{"15-24","25-34","35-49","50+"},HTS!$D:$D,"Female"))</f>
        <v>92328</v>
      </c>
      <c r="BC17" s="38">
        <f>SUM(SUMIFS(HTS!$AU:$AU,HTS!$B:$B,$B17,HTS!$C:$C,{"15-24","25-34","35-49","50+"},HTS!$D:$D,"Male"))</f>
        <v>70894</v>
      </c>
      <c r="BD17" s="38">
        <f>_xlfn.IFNA(INDEX(KP!$AL:$AL,MATCH(($B17&amp;"|"&amp;BD$3),KP!$D:$D,0)),"")</f>
        <v>2592</v>
      </c>
      <c r="BE17" s="38">
        <f>_xlfn.IFNA(INDEX(KP!$AL:$AL,MATCH(($B17&amp;"|"&amp;BE$3),KP!$D:$D,0)),"")</f>
        <v>1142</v>
      </c>
      <c r="BF17" s="38">
        <f>_xlfn.IFNA(INDEX(KP!$AL:$AL,MATCH(($B17&amp;"|"&amp;BF$3),KP!$D:$D,0)),"")</f>
        <v>3332</v>
      </c>
      <c r="BG17" s="38" t="str">
        <f>_xlfn.IFNA(INDEX(KP!$AL:$AL,MATCH(($B17&amp;"|"&amp;BG$3),KP!$D:$D,0)),"")</f>
        <v/>
      </c>
      <c r="BH17" s="38">
        <f>_xlfn.IFNA(INDEX(KP!$AL:$AL,MATCH(($B17&amp;"|"&amp;BH$3),KP!$D:$D,0)),"")</f>
        <v>33</v>
      </c>
      <c r="BI17" s="38">
        <f>SUM(SUMIFS(HTS!$BB:$BB,HTS!$B:$B,$B17,HTS!$C:$C,{"15-24","25-34","35-49","50+"},HTS!$D:$D,"Female"))</f>
        <v>2385</v>
      </c>
      <c r="BJ17" s="38">
        <f>SUM(SUMIFS(HTS!$BB:$BB,HTS!$B:$B,$B17,HTS!$C:$C,{"15-24","25-34","35-49","50+"},HTS!$D:$D,"Male"))</f>
        <v>1811</v>
      </c>
      <c r="BK17" s="38">
        <f>_xlfn.IFNA(INDEX(KP!$AN:$AN,MATCH(($B17&amp;"|"&amp;BK$3),KP!$D:$D,0)),"")</f>
        <v>0</v>
      </c>
      <c r="BL17" s="38">
        <f>_xlfn.IFNA(INDEX(KP!$AN:$AN,MATCH(($B17&amp;"|"&amp;BL$3),KP!$D:$D,0)),"")</f>
        <v>0</v>
      </c>
      <c r="BM17" s="38">
        <f>_xlfn.IFNA(INDEX(KP!$AN:$AN,MATCH(($B17&amp;"|"&amp;BM$3),KP!$D:$D,0)),"")</f>
        <v>0</v>
      </c>
      <c r="BN17" s="38" t="str">
        <f>_xlfn.IFNA(INDEX(KP!$AN:$AN,MATCH(($B17&amp;"|"&amp;BN$3),KP!$D:$D,0)),"")</f>
        <v/>
      </c>
      <c r="BO17" s="38">
        <f>_xlfn.IFNA(INDEX(KP!$AN:$AN,MATCH(($B17&amp;"|"&amp;BO$3),KP!$D:$D,0)),"")</f>
        <v>0</v>
      </c>
      <c r="BP17" s="38">
        <f>SUM(SUMIFS(HTS!$AZ:$AZ,HTS!$B:$B,$B17,HTS!$C:$C,{"15-24","25-34","35-49","50+"},HTS!$D:$D,"Female"))</f>
        <v>110576</v>
      </c>
      <c r="BQ17" s="38">
        <f>SUM(SUMIFS(HTS!$AZ:$AZ,HTS!$B:$B,$B17,HTS!$C:$C,{"15-24","25-34","35-49","50+"},HTS!$D:$D,"Male"))</f>
        <v>84321</v>
      </c>
      <c r="BR17" s="38">
        <f>_xlfn.IFNA(INDEX(KP!$AP:$AP,MATCH(($B17&amp;"|"&amp;BR$3),KP!$D:$D,0)),"")</f>
        <v>7083</v>
      </c>
      <c r="BS17" s="38">
        <f>_xlfn.IFNA(INDEX(KP!$AP:$AP,MATCH(($B17&amp;"|"&amp;BS$3),KP!$D:$D,0)),"")</f>
        <v>3488</v>
      </c>
      <c r="BT17" s="38">
        <f>_xlfn.IFNA(INDEX(KP!$AP:$AP,MATCH(($B17&amp;"|"&amp;BT$3),KP!$D:$D,0)),"")</f>
        <v>0</v>
      </c>
      <c r="BU17" s="38">
        <f>_xlfn.IFNA(INDEX(KP!$AP:$AP,MATCH(($B17&amp;"|"&amp;BU$3),KP!$D:$D,0)),"")</f>
        <v>0</v>
      </c>
      <c r="BV17" s="38">
        <f>_xlfn.IFNA(INDEX(KP!$AP:$AP,MATCH(($B17&amp;"|"&amp;BV$3),KP!$D:$D,0)),"")</f>
        <v>748</v>
      </c>
    </row>
    <row r="18" spans="1:74" x14ac:dyDescent="0.2">
      <c r="A18" s="85" t="str">
        <f>INDEX(Prioritization!$D:$D,MATCH($B18,Prioritization!$A:$A,0))</f>
        <v>1 - Scale-up: Saturation</v>
      </c>
      <c r="B18" s="10" t="s">
        <v>315</v>
      </c>
      <c r="C18" s="38">
        <f>SUM(SUMIFS(PrEP!$O:$O,PrEP!$B:$B,$B18,PrEP!$C:$C,{"15-24","25-34","35-49","50+"},PrEP!$D:$D,"Female"))</f>
        <v>1037</v>
      </c>
      <c r="D18" s="38">
        <f>SUM(SUMIFS(PrEP!$O:$O,PrEP!$B:$B,$B18,PrEP!$C:$C,{"15-24","25-34"},PrEP!$D:$D,"Female"))</f>
        <v>748</v>
      </c>
      <c r="E18" s="38">
        <f>SUM(SUMIFS(PrEP!$O:$O,PrEP!$B:$B,$B18,PrEP!$C:$C,{"15-24","25-34","35-49","50+"},PrEP!$D:$D,"Male"))</f>
        <v>953</v>
      </c>
      <c r="F18" s="38">
        <f>_xlfn.IFNA(INDEX(KP!$I:$I,MATCH(($B18&amp;"|"&amp;F$3),KP!$D:$D,0)),"")</f>
        <v>132</v>
      </c>
      <c r="G18" s="38">
        <f>_xlfn.IFNA(INDEX(KP!$I:$I,MATCH(($B18&amp;"|"&amp;G$3),KP!$D:$D,0)),"")</f>
        <v>282</v>
      </c>
      <c r="H18" s="38">
        <f>_xlfn.IFNA(INDEX(KP!$I:$I,MATCH(($B18&amp;"|"&amp;H$3),KP!$D:$D,0)),"")</f>
        <v>0</v>
      </c>
      <c r="I18" s="38">
        <f>_xlfn.IFNA(INDEX(KP!$I:$I,MATCH(($B18&amp;"|"&amp;I$3),KP!$D:$D,0)),"")</f>
        <v>0</v>
      </c>
      <c r="J18" s="38">
        <f>_xlfn.IFNA(INDEX(KP!$I:$I,MATCH(($B18&amp;"|"&amp;J$3),KP!$D:$D,0)),"")</f>
        <v>16</v>
      </c>
      <c r="K18" s="38">
        <f>SUM(SUMIFS(PrEP!$L:$L,PrEP!$B:$B,$B18,PrEP!$C:$C,{"15-24","25-34","35-49","50+"},PrEP!$D:$D,"Female"))</f>
        <v>1911</v>
      </c>
      <c r="L18" s="38">
        <f>SUM(SUMIFS(PrEP!$L:$L,PrEP!$B:$B,$B18,PrEP!$C:$C,{"15-24","25-34"},PrEP!$D:$D,"Female"))</f>
        <v>1410</v>
      </c>
      <c r="M18" s="38">
        <f>SUM(SUMIFS(PrEP!$L:$L,PrEP!$B:$B,$B18,PrEP!$C:$C,{"15-24","25-34","35-49","50+"},PrEP!$D:$D,"Male"))</f>
        <v>2415</v>
      </c>
      <c r="N18" s="38">
        <f>_xlfn.IFNA(INDEX(KP!$K:$K,MATCH(($B18&amp;"|"&amp;N$3),KP!$D:$D,0)),"")</f>
        <v>330</v>
      </c>
      <c r="O18" s="38">
        <f>_xlfn.IFNA(INDEX(KP!$K:$K,MATCH(($B18&amp;"|"&amp;O$3),KP!$D:$D,0)),"")</f>
        <v>704</v>
      </c>
      <c r="P18" s="38">
        <f>_xlfn.IFNA(INDEX(KP!$K:$K,MATCH(($B18&amp;"|"&amp;P$3),KP!$D:$D,0)),"")</f>
        <v>0</v>
      </c>
      <c r="Q18" s="38">
        <f>_xlfn.IFNA(INDEX(KP!$K:$K,MATCH(($B18&amp;"|"&amp;Q$3),KP!$D:$D,0)),"")</f>
        <v>0</v>
      </c>
      <c r="R18" s="38">
        <f>_xlfn.IFNA(INDEX(KP!$K:$K,MATCH(($B18&amp;"|"&amp;R$3),KP!$D:$D,0)),"")</f>
        <v>41</v>
      </c>
      <c r="S18" s="38">
        <f>SUM(SUMIFS(Cascade!$AP:$AP,Cascade!$B:$B,$B18,Cascade!$C:$C,{"15-24","25-34","35-49","50+"},Cascade!$D:$D,"Female"))</f>
        <v>19828</v>
      </c>
      <c r="T18" s="38">
        <f>SUM(SUMIFS(Cascade!$AP:$AP,Cascade!$B:$B,$B18,Cascade!$C:$C,{"15-24","25-34","35-49","50+"},Cascade!$D:$D,"Male"))</f>
        <v>11873</v>
      </c>
      <c r="U18" s="38">
        <f>_xlfn.IFNA(INDEX(KP!$Q:$Q,MATCH(($B18&amp;"|"&amp;U$3),KP!$D:$D,0)),"")</f>
        <v>415</v>
      </c>
      <c r="V18" s="38">
        <f>_xlfn.IFNA(INDEX(KP!$Q:$Q,MATCH(($B18&amp;"|"&amp;V$3),KP!$D:$D,0)),"")</f>
        <v>149</v>
      </c>
      <c r="W18" s="38">
        <f>_xlfn.IFNA(INDEX(KP!$Q:$Q,MATCH(($B18&amp;"|"&amp;W$3),KP!$D:$D,0)),"")</f>
        <v>0</v>
      </c>
      <c r="X18" s="38">
        <f>_xlfn.IFNA(INDEX(KP!$Q:$Q,MATCH(($B18&amp;"|"&amp;X$3),KP!$D:$D,0)),"")</f>
        <v>0</v>
      </c>
      <c r="Y18" s="38">
        <f>_xlfn.IFNA(INDEX(KP!$Q:$Q,MATCH(($B18&amp;"|"&amp;Y$3),KP!$D:$D,0)),"")</f>
        <v>39</v>
      </c>
      <c r="Z18" s="38">
        <f>SUM(SUMIFS(Cascade!$AX:$AX,Cascade!$B:$B,$B18,Cascade!$C:$C,{"15-24","25-34","35-49","50+"},Cascade!$D:$D,"Female"))</f>
        <v>1261</v>
      </c>
      <c r="AA18" s="38">
        <f>SUM(SUMIFS(Cascade!$AX:$AX,Cascade!$B:$B,$B18,Cascade!$C:$C,{"15-24","25-34","35-49","50+"},Cascade!$D:$D,"Male"))</f>
        <v>992</v>
      </c>
      <c r="AB18" s="38">
        <f>_xlfn.IFNA(INDEX(KP!$Z:$Z,MATCH(($B18&amp;"|"&amp;AB$3),KP!$D:$D,0)),"")</f>
        <v>73</v>
      </c>
      <c r="AC18" s="38">
        <f>_xlfn.IFNA(INDEX(KP!$Z:$Z,MATCH(($B18&amp;"|"&amp;AC$3),KP!$D:$D,0)),"")</f>
        <v>61</v>
      </c>
      <c r="AD18" s="38" t="str">
        <f>_xlfn.IFNA(INDEX(KP!$Z:$Z,MATCH(($B18&amp;"|"&amp;AD$3),KP!$D:$D,0)),"")</f>
        <v/>
      </c>
      <c r="AE18" s="38" t="str">
        <f>_xlfn.IFNA(INDEX(KP!$Z:$Z,MATCH(($B18&amp;"|"&amp;AE$3),KP!$D:$D,0)),"")</f>
        <v/>
      </c>
      <c r="AF18" s="38">
        <f>_xlfn.IFNA(INDEX(KP!$Z:$Z,MATCH(($B18&amp;"|"&amp;AF$3),KP!$D:$D,0)),"")</f>
        <v>7</v>
      </c>
      <c r="AG18" s="38">
        <f>SUM(SUMIFS(Cascade!$BB:$BB,Cascade!$B:$B,$B18,Cascade!$C:$C,{"15-24","25-34","35-49","50+"},Cascade!$D:$D,"Female"))</f>
        <v>17846</v>
      </c>
      <c r="AH18" s="38">
        <f>SUM(SUMIFS(Cascade!$BB:$BB,Cascade!$B:$B,$B18,Cascade!$C:$C,{"15-24","25-34","35-49","50+"},Cascade!$D:$D,"Male"))</f>
        <v>10686</v>
      </c>
      <c r="AI18" s="38">
        <f>_xlfn.IFNA(INDEX(KP!$AD:$AD,MATCH(($B18&amp;"|"&amp;AI$3),KP!$D:$D,0)),"")</f>
        <v>394</v>
      </c>
      <c r="AJ18" s="38">
        <f>_xlfn.IFNA(INDEX(KP!$AD:$AD,MATCH(($B18&amp;"|"&amp;AJ$3),KP!$D:$D,0)),"")</f>
        <v>142</v>
      </c>
      <c r="AK18" s="38" t="str">
        <f>_xlfn.IFNA(INDEX(KP!$AD:$AD,MATCH(($B18&amp;"|"&amp;AK$3),KP!$D:$D,0)),"")</f>
        <v/>
      </c>
      <c r="AL18" s="38" t="str">
        <f>_xlfn.IFNA(INDEX(KP!$AD:$AD,MATCH(($B18&amp;"|"&amp;AL$3),KP!$D:$D,0)),"")</f>
        <v/>
      </c>
      <c r="AM18" s="38">
        <f>_xlfn.IFNA(INDEX(KP!$AD:$AD,MATCH(($B18&amp;"|"&amp;AM$3),KP!$D:$D,0)),"")</f>
        <v>37</v>
      </c>
      <c r="AN18" s="38">
        <f>SUM(SUMIFS(Cascade!$BE:$BE,Cascade!$B:$B,$B18,Cascade!$C:$C,{"15-24","25-34","35-49","50+"},Cascade!$D:$D,"Female"))</f>
        <v>16955</v>
      </c>
      <c r="AO18" s="38">
        <f>SUM(SUMIFS(Cascade!$BE:$BE,Cascade!$B:$B,$B18,Cascade!$C:$C,{"15-24","25-34","35-49","50+"},Cascade!$D:$D,"Male"))</f>
        <v>10152</v>
      </c>
      <c r="AP18" s="38">
        <f>_xlfn.IFNA(INDEX(KP!$AF:$AF,MATCH(($B18&amp;"|"&amp;AP$3),KP!$D:$D,0)),"")</f>
        <v>374</v>
      </c>
      <c r="AQ18" s="38">
        <f>_xlfn.IFNA(INDEX(KP!$AF:$AF,MATCH(($B18&amp;"|"&amp;AQ$3),KP!$D:$D,0)),"")</f>
        <v>135</v>
      </c>
      <c r="AR18" s="38" t="str">
        <f>_xlfn.IFNA(INDEX(KP!$AF:$AF,MATCH(($B18&amp;"|"&amp;AR$3),KP!$D:$D,0)),"")</f>
        <v/>
      </c>
      <c r="AS18" s="38" t="str">
        <f>_xlfn.IFNA(INDEX(KP!$AF:$AF,MATCH(($B18&amp;"|"&amp;AS$3),KP!$D:$D,0)),"")</f>
        <v/>
      </c>
      <c r="AT18" s="38">
        <f>_xlfn.IFNA(INDEX(KP!$AF:$AF,MATCH(($B18&amp;"|"&amp;AT$3),KP!$D:$D,0)),"")</f>
        <v>35</v>
      </c>
      <c r="AU18" s="38">
        <f>SUM(SUMIFS(HTS!$AN:$AN,HTS!$B:$B,$B18,HTS!$C:$C,{"15-24","25-34","35-49","50+"},HTS!$D:$D,"Female"))</f>
        <v>979</v>
      </c>
      <c r="AV18" s="38">
        <f>SUM(SUMIFS(HTS!$AN:$AN,HTS!$B:$B,$B18,HTS!$C:$C,{"15-24","25-34","35-49","50+"},HTS!$D:$D,"Male"))</f>
        <v>1046</v>
      </c>
      <c r="AW18" s="38">
        <f>_xlfn.IFNA(INDEX(KP!$AK:$AK,MATCH(($B18&amp;"|"&amp;AW$3),KP!$D:$D,0)),"")</f>
        <v>77</v>
      </c>
      <c r="AX18" s="38">
        <f>_xlfn.IFNA(INDEX(KP!$AK:$AK,MATCH(($B18&amp;"|"&amp;AX$3),KP!$D:$D,0)),"")</f>
        <v>64</v>
      </c>
      <c r="AY18" s="38" t="str">
        <f>_xlfn.IFNA(INDEX(KP!$AK:$AK,MATCH(($B18&amp;"|"&amp;AY$3),KP!$D:$D,0)),"")</f>
        <v/>
      </c>
      <c r="AZ18" s="38" t="str">
        <f>_xlfn.IFNA(INDEX(KP!$AK:$AK,MATCH(($B18&amp;"|"&amp;AZ$3),KP!$D:$D,0)),"")</f>
        <v/>
      </c>
      <c r="BA18" s="38">
        <f>_xlfn.IFNA(INDEX(KP!$AK:$AK,MATCH(($B18&amp;"|"&amp;BA$3),KP!$D:$D,0)),"")</f>
        <v>7</v>
      </c>
      <c r="BB18" s="38">
        <f>SUM(SUMIFS(HTS!$AU:$AU,HTS!$B:$B,$B18,HTS!$C:$C,{"15-24","25-34","35-49","50+"},HTS!$D:$D,"Female"))</f>
        <v>49483</v>
      </c>
      <c r="BC18" s="38">
        <f>SUM(SUMIFS(HTS!$AU:$AU,HTS!$B:$B,$B18,HTS!$C:$C,{"15-24","25-34","35-49","50+"},HTS!$D:$D,"Male"))</f>
        <v>39878</v>
      </c>
      <c r="BD18" s="38">
        <f>_xlfn.IFNA(INDEX(KP!$AL:$AL,MATCH(($B18&amp;"|"&amp;BD$3),KP!$D:$D,0)),"")</f>
        <v>473</v>
      </c>
      <c r="BE18" s="38">
        <f>_xlfn.IFNA(INDEX(KP!$AL:$AL,MATCH(($B18&amp;"|"&amp;BE$3),KP!$D:$D,0)),"")</f>
        <v>497</v>
      </c>
      <c r="BF18" s="38" t="str">
        <f>_xlfn.IFNA(INDEX(KP!$AL:$AL,MATCH(($B18&amp;"|"&amp;BF$3),KP!$D:$D,0)),"")</f>
        <v/>
      </c>
      <c r="BG18" s="38" t="str">
        <f>_xlfn.IFNA(INDEX(KP!$AL:$AL,MATCH(($B18&amp;"|"&amp;BG$3),KP!$D:$D,0)),"")</f>
        <v/>
      </c>
      <c r="BH18" s="38">
        <f>_xlfn.IFNA(INDEX(KP!$AL:$AL,MATCH(($B18&amp;"|"&amp;BH$3),KP!$D:$D,0)),"")</f>
        <v>47</v>
      </c>
      <c r="BI18" s="38">
        <f>SUM(SUMIFS(HTS!$BB:$BB,HTS!$B:$B,$B18,HTS!$C:$C,{"15-24","25-34","35-49","50+"},HTS!$D:$D,"Female"))</f>
        <v>558</v>
      </c>
      <c r="BJ18" s="38">
        <f>SUM(SUMIFS(HTS!$BB:$BB,HTS!$B:$B,$B18,HTS!$C:$C,{"15-24","25-34","35-49","50+"},HTS!$D:$D,"Male"))</f>
        <v>597</v>
      </c>
      <c r="BK18" s="38">
        <f>_xlfn.IFNA(INDEX(KP!$AN:$AN,MATCH(($B18&amp;"|"&amp;BK$3),KP!$D:$D,0)),"")</f>
        <v>0</v>
      </c>
      <c r="BL18" s="38">
        <f>_xlfn.IFNA(INDEX(KP!$AN:$AN,MATCH(($B18&amp;"|"&amp;BL$3),KP!$D:$D,0)),"")</f>
        <v>0</v>
      </c>
      <c r="BM18" s="38" t="str">
        <f>_xlfn.IFNA(INDEX(KP!$AN:$AN,MATCH(($B18&amp;"|"&amp;BM$3),KP!$D:$D,0)),"")</f>
        <v/>
      </c>
      <c r="BN18" s="38" t="str">
        <f>_xlfn.IFNA(INDEX(KP!$AN:$AN,MATCH(($B18&amp;"|"&amp;BN$3),KP!$D:$D,0)),"")</f>
        <v/>
      </c>
      <c r="BO18" s="38">
        <f>_xlfn.IFNA(INDEX(KP!$AN:$AN,MATCH(($B18&amp;"|"&amp;BO$3),KP!$D:$D,0)),"")</f>
        <v>0</v>
      </c>
      <c r="BP18" s="38">
        <f>SUM(SUMIFS(HTS!$AZ:$AZ,HTS!$B:$B,$B18,HTS!$C:$C,{"15-24","25-34","35-49","50+"},HTS!$D:$D,"Female"))</f>
        <v>39088</v>
      </c>
      <c r="BQ18" s="38">
        <f>SUM(SUMIFS(HTS!$AZ:$AZ,HTS!$B:$B,$B18,HTS!$C:$C,{"15-24","25-34","35-49","50+"},HTS!$D:$D,"Male"))</f>
        <v>37234</v>
      </c>
      <c r="BR18" s="38">
        <f>_xlfn.IFNA(INDEX(KP!$AP:$AP,MATCH(($B18&amp;"|"&amp;BR$3),KP!$D:$D,0)),"")</f>
        <v>2083</v>
      </c>
      <c r="BS18" s="38">
        <f>_xlfn.IFNA(INDEX(KP!$AP:$AP,MATCH(($B18&amp;"|"&amp;BS$3),KP!$D:$D,0)),"")</f>
        <v>2268</v>
      </c>
      <c r="BT18" s="38">
        <f>_xlfn.IFNA(INDEX(KP!$AP:$AP,MATCH(($B18&amp;"|"&amp;BT$3),KP!$D:$D,0)),"")</f>
        <v>0</v>
      </c>
      <c r="BU18" s="38">
        <f>_xlfn.IFNA(INDEX(KP!$AP:$AP,MATCH(($B18&amp;"|"&amp;BU$3),KP!$D:$D,0)),"")</f>
        <v>0</v>
      </c>
      <c r="BV18" s="38">
        <f>_xlfn.IFNA(INDEX(KP!$AP:$AP,MATCH(($B18&amp;"|"&amp;BV$3),KP!$D:$D,0)),"")</f>
        <v>136</v>
      </c>
    </row>
    <row r="19" spans="1:74" x14ac:dyDescent="0.2">
      <c r="A19" s="85" t="str">
        <f>INDEX(Prioritization!$D:$D,MATCH($B19,Prioritization!$A:$A,0))</f>
        <v>INVALID</v>
      </c>
      <c r="B19" s="10" t="s">
        <v>316</v>
      </c>
      <c r="C19" s="38">
        <f>SUM(SUMIFS(PrEP!$O:$O,PrEP!$B:$B,$B19,PrEP!$C:$C,{"15-24","25-34","35-49","50+"},PrEP!$D:$D,"Female"))</f>
        <v>464</v>
      </c>
      <c r="D19" s="38">
        <f>SUM(SUMIFS(PrEP!$O:$O,PrEP!$B:$B,$B19,PrEP!$C:$C,{"15-24","25-34"},PrEP!$D:$D,"Female"))</f>
        <v>351</v>
      </c>
      <c r="E19" s="38">
        <f>SUM(SUMIFS(PrEP!$O:$O,PrEP!$B:$B,$B19,PrEP!$C:$C,{"15-24","25-34","35-49","50+"},PrEP!$D:$D,"Male"))</f>
        <v>388</v>
      </c>
      <c r="F19" s="38">
        <f>_xlfn.IFNA(INDEX(KP!$I:$I,MATCH(($B19&amp;"|"&amp;F$3),KP!$D:$D,0)),"")</f>
        <v>64</v>
      </c>
      <c r="G19" s="38">
        <f>_xlfn.IFNA(INDEX(KP!$I:$I,MATCH(($B19&amp;"|"&amp;G$3),KP!$D:$D,0)),"")</f>
        <v>63</v>
      </c>
      <c r="H19" s="38">
        <f>_xlfn.IFNA(INDEX(KP!$I:$I,MATCH(($B19&amp;"|"&amp;H$3),KP!$D:$D,0)),"")</f>
        <v>0</v>
      </c>
      <c r="I19" s="38">
        <f>_xlfn.IFNA(INDEX(KP!$I:$I,MATCH(($B19&amp;"|"&amp;I$3),KP!$D:$D,0)),"")</f>
        <v>0</v>
      </c>
      <c r="J19" s="38">
        <f>_xlfn.IFNA(INDEX(KP!$I:$I,MATCH(($B19&amp;"|"&amp;J$3),KP!$D:$D,0)),"")</f>
        <v>5</v>
      </c>
      <c r="K19" s="38">
        <f>SUM(SUMIFS(PrEP!$L:$L,PrEP!$B:$B,$B19,PrEP!$C:$C,{"15-24","25-34","35-49","50+"},PrEP!$D:$D,"Female"))</f>
        <v>3951</v>
      </c>
      <c r="L19" s="38">
        <f>SUM(SUMIFS(PrEP!$L:$L,PrEP!$B:$B,$B19,PrEP!$C:$C,{"15-24","25-34"},PrEP!$D:$D,"Female"))</f>
        <v>3697</v>
      </c>
      <c r="M19" s="38">
        <f>SUM(SUMIFS(PrEP!$L:$L,PrEP!$B:$B,$B19,PrEP!$C:$C,{"15-24","25-34","35-49","50+"},PrEP!$D:$D,"Male"))</f>
        <v>1173</v>
      </c>
      <c r="N19" s="38">
        <f>_xlfn.IFNA(INDEX(KP!$K:$K,MATCH(($B19&amp;"|"&amp;N$3),KP!$D:$D,0)),"")</f>
        <v>159</v>
      </c>
      <c r="O19" s="38">
        <f>_xlfn.IFNA(INDEX(KP!$K:$K,MATCH(($B19&amp;"|"&amp;O$3),KP!$D:$D,0)),"")</f>
        <v>157</v>
      </c>
      <c r="P19" s="38">
        <f>_xlfn.IFNA(INDEX(KP!$K:$K,MATCH(($B19&amp;"|"&amp;P$3),KP!$D:$D,0)),"")</f>
        <v>0</v>
      </c>
      <c r="Q19" s="38">
        <f>_xlfn.IFNA(INDEX(KP!$K:$K,MATCH(($B19&amp;"|"&amp;Q$3),KP!$D:$D,0)),"")</f>
        <v>0</v>
      </c>
      <c r="R19" s="38">
        <f>_xlfn.IFNA(INDEX(KP!$K:$K,MATCH(($B19&amp;"|"&amp;R$3),KP!$D:$D,0)),"")</f>
        <v>13</v>
      </c>
      <c r="S19" s="38">
        <f>SUM(SUMIFS(Cascade!$AP:$AP,Cascade!$B:$B,$B19,Cascade!$C:$C,{"15-24","25-34","35-49","50+"},Cascade!$D:$D,"Female"))</f>
        <v>28667</v>
      </c>
      <c r="T19" s="38">
        <f>SUM(SUMIFS(Cascade!$AP:$AP,Cascade!$B:$B,$B19,Cascade!$C:$C,{"15-24","25-34","35-49","50+"},Cascade!$D:$D,"Male"))</f>
        <v>14797</v>
      </c>
      <c r="U19" s="38">
        <f>_xlfn.IFNA(INDEX(KP!$Q:$Q,MATCH(($B19&amp;"|"&amp;U$3),KP!$D:$D,0)),"")</f>
        <v>165</v>
      </c>
      <c r="V19" s="38">
        <f>_xlfn.IFNA(INDEX(KP!$Q:$Q,MATCH(($B19&amp;"|"&amp;V$3),KP!$D:$D,0)),"")</f>
        <v>38</v>
      </c>
      <c r="W19" s="38">
        <f>_xlfn.IFNA(INDEX(KP!$Q:$Q,MATCH(($B19&amp;"|"&amp;W$3),KP!$D:$D,0)),"")</f>
        <v>0</v>
      </c>
      <c r="X19" s="38">
        <f>_xlfn.IFNA(INDEX(KP!$Q:$Q,MATCH(($B19&amp;"|"&amp;X$3),KP!$D:$D,0)),"")</f>
        <v>0</v>
      </c>
      <c r="Y19" s="38">
        <f>_xlfn.IFNA(INDEX(KP!$Q:$Q,MATCH(($B19&amp;"|"&amp;Y$3),KP!$D:$D,0)),"")</f>
        <v>12</v>
      </c>
      <c r="Z19" s="38">
        <f>SUM(SUMIFS(Cascade!$AX:$AX,Cascade!$B:$B,$B19,Cascade!$C:$C,{"15-24","25-34","35-49","50+"},Cascade!$D:$D,"Female"))</f>
        <v>1259</v>
      </c>
      <c r="AA19" s="38">
        <f>SUM(SUMIFS(Cascade!$AX:$AX,Cascade!$B:$B,$B19,Cascade!$C:$C,{"15-24","25-34","35-49","50+"},Cascade!$D:$D,"Male"))</f>
        <v>1040</v>
      </c>
      <c r="AB19" s="38">
        <f>_xlfn.IFNA(INDEX(KP!$Z:$Z,MATCH(($B19&amp;"|"&amp;AB$3),KP!$D:$D,0)),"")</f>
        <v>29</v>
      </c>
      <c r="AC19" s="38">
        <f>_xlfn.IFNA(INDEX(KP!$Z:$Z,MATCH(($B19&amp;"|"&amp;AC$3),KP!$D:$D,0)),"")</f>
        <v>20</v>
      </c>
      <c r="AD19" s="38" t="str">
        <f>_xlfn.IFNA(INDEX(KP!$Z:$Z,MATCH(($B19&amp;"|"&amp;AD$3),KP!$D:$D,0)),"")</f>
        <v/>
      </c>
      <c r="AE19" s="38" t="str">
        <f>_xlfn.IFNA(INDEX(KP!$Z:$Z,MATCH(($B19&amp;"|"&amp;AE$3),KP!$D:$D,0)),"")</f>
        <v/>
      </c>
      <c r="AF19" s="38">
        <f>_xlfn.IFNA(INDEX(KP!$Z:$Z,MATCH(($B19&amp;"|"&amp;AF$3),KP!$D:$D,0)),"")</f>
        <v>4</v>
      </c>
      <c r="AG19" s="38">
        <f>SUM(SUMIFS(Cascade!$BB:$BB,Cascade!$B:$B,$B19,Cascade!$C:$C,{"15-24","25-34","35-49","50+"},Cascade!$D:$D,"Female"))</f>
        <v>25801</v>
      </c>
      <c r="AH19" s="38">
        <f>SUM(SUMIFS(Cascade!$BB:$BB,Cascade!$B:$B,$B19,Cascade!$C:$C,{"15-24","25-34","35-49","50+"},Cascade!$D:$D,"Male"))</f>
        <v>13318</v>
      </c>
      <c r="AI19" s="38">
        <f>_xlfn.IFNA(INDEX(KP!$AD:$AD,MATCH(($B19&amp;"|"&amp;AI$3),KP!$D:$D,0)),"")</f>
        <v>157</v>
      </c>
      <c r="AJ19" s="38">
        <f>_xlfn.IFNA(INDEX(KP!$AD:$AD,MATCH(($B19&amp;"|"&amp;AJ$3),KP!$D:$D,0)),"")</f>
        <v>36</v>
      </c>
      <c r="AK19" s="38" t="str">
        <f>_xlfn.IFNA(INDEX(KP!$AD:$AD,MATCH(($B19&amp;"|"&amp;AK$3),KP!$D:$D,0)),"")</f>
        <v/>
      </c>
      <c r="AL19" s="38" t="str">
        <f>_xlfn.IFNA(INDEX(KP!$AD:$AD,MATCH(($B19&amp;"|"&amp;AL$3),KP!$D:$D,0)),"")</f>
        <v/>
      </c>
      <c r="AM19" s="38">
        <f>_xlfn.IFNA(INDEX(KP!$AD:$AD,MATCH(($B19&amp;"|"&amp;AM$3),KP!$D:$D,0)),"")</f>
        <v>11</v>
      </c>
      <c r="AN19" s="38">
        <f>SUM(SUMIFS(Cascade!$BE:$BE,Cascade!$B:$B,$B19,Cascade!$C:$C,{"15-24","25-34","35-49","50+"},Cascade!$D:$D,"Female"))</f>
        <v>24511</v>
      </c>
      <c r="AO19" s="38">
        <f>SUM(SUMIFS(Cascade!$BE:$BE,Cascade!$B:$B,$B19,Cascade!$C:$C,{"15-24","25-34","35-49","50+"},Cascade!$D:$D,"Male"))</f>
        <v>12651</v>
      </c>
      <c r="AP19" s="38">
        <f>_xlfn.IFNA(INDEX(KP!$AF:$AF,MATCH(($B19&amp;"|"&amp;AP$3),KP!$D:$D,0)),"")</f>
        <v>149</v>
      </c>
      <c r="AQ19" s="38">
        <f>_xlfn.IFNA(INDEX(KP!$AF:$AF,MATCH(($B19&amp;"|"&amp;AQ$3),KP!$D:$D,0)),"")</f>
        <v>34</v>
      </c>
      <c r="AR19" s="38" t="str">
        <f>_xlfn.IFNA(INDEX(KP!$AF:$AF,MATCH(($B19&amp;"|"&amp;AR$3),KP!$D:$D,0)),"")</f>
        <v/>
      </c>
      <c r="AS19" s="38" t="str">
        <f>_xlfn.IFNA(INDEX(KP!$AF:$AF,MATCH(($B19&amp;"|"&amp;AS$3),KP!$D:$D,0)),"")</f>
        <v/>
      </c>
      <c r="AT19" s="38">
        <f>_xlfn.IFNA(INDEX(KP!$AF:$AF,MATCH(($B19&amp;"|"&amp;AT$3),KP!$D:$D,0)),"")</f>
        <v>10</v>
      </c>
      <c r="AU19" s="38">
        <f>SUM(SUMIFS(HTS!$AN:$AN,HTS!$B:$B,$B19,HTS!$C:$C,{"15-24","25-34","35-49","50+"},HTS!$D:$D,"Female"))</f>
        <v>1328</v>
      </c>
      <c r="AV19" s="38">
        <f>SUM(SUMIFS(HTS!$AN:$AN,HTS!$B:$B,$B19,HTS!$C:$C,{"15-24","25-34","35-49","50+"},HTS!$D:$D,"Male"))</f>
        <v>1094</v>
      </c>
      <c r="AW19" s="38">
        <f>_xlfn.IFNA(INDEX(KP!$AK:$AK,MATCH(($B19&amp;"|"&amp;AW$3),KP!$D:$D,0)),"")</f>
        <v>31</v>
      </c>
      <c r="AX19" s="38">
        <f>_xlfn.IFNA(INDEX(KP!$AK:$AK,MATCH(($B19&amp;"|"&amp;AX$3),KP!$D:$D,0)),"")</f>
        <v>21</v>
      </c>
      <c r="AY19" s="38" t="str">
        <f>_xlfn.IFNA(INDEX(KP!$AK:$AK,MATCH(($B19&amp;"|"&amp;AY$3),KP!$D:$D,0)),"")</f>
        <v/>
      </c>
      <c r="AZ19" s="38" t="str">
        <f>_xlfn.IFNA(INDEX(KP!$AK:$AK,MATCH(($B19&amp;"|"&amp;AZ$3),KP!$D:$D,0)),"")</f>
        <v/>
      </c>
      <c r="BA19" s="38">
        <f>_xlfn.IFNA(INDEX(KP!$AK:$AK,MATCH(($B19&amp;"|"&amp;BA$3),KP!$D:$D,0)),"")</f>
        <v>4</v>
      </c>
      <c r="BB19" s="38">
        <f>SUM(SUMIFS(HTS!$AU:$AU,HTS!$B:$B,$B19,HTS!$C:$C,{"15-24","25-34","35-49","50+"},HTS!$D:$D,"Female"))</f>
        <v>49505</v>
      </c>
      <c r="BC19" s="38">
        <f>SUM(SUMIFS(HTS!$AU:$AU,HTS!$B:$B,$B19,HTS!$C:$C,{"15-24","25-34","35-49","50+"},HTS!$D:$D,"Male"))</f>
        <v>23893</v>
      </c>
      <c r="BD19" s="38">
        <f>_xlfn.IFNA(INDEX(KP!$AL:$AL,MATCH(($B19&amp;"|"&amp;BD$3),KP!$D:$D,0)),"")</f>
        <v>190</v>
      </c>
      <c r="BE19" s="38">
        <f>_xlfn.IFNA(INDEX(KP!$AL:$AL,MATCH(($B19&amp;"|"&amp;BE$3),KP!$D:$D,0)),"")</f>
        <v>163</v>
      </c>
      <c r="BF19" s="38" t="str">
        <f>_xlfn.IFNA(INDEX(KP!$AL:$AL,MATCH(($B19&amp;"|"&amp;BF$3),KP!$D:$D,0)),"")</f>
        <v/>
      </c>
      <c r="BG19" s="38" t="str">
        <f>_xlfn.IFNA(INDEX(KP!$AL:$AL,MATCH(($B19&amp;"|"&amp;BG$3),KP!$D:$D,0)),"")</f>
        <v/>
      </c>
      <c r="BH19" s="38">
        <f>_xlfn.IFNA(INDEX(KP!$AL:$AL,MATCH(($B19&amp;"|"&amp;BH$3),KP!$D:$D,0)),"")</f>
        <v>27</v>
      </c>
      <c r="BI19" s="38">
        <f>SUM(SUMIFS(HTS!$BB:$BB,HTS!$B:$B,$B19,HTS!$C:$C,{"15-24","25-34","35-49","50+"},HTS!$D:$D,"Female"))</f>
        <v>889</v>
      </c>
      <c r="BJ19" s="38">
        <f>SUM(SUMIFS(HTS!$BB:$BB,HTS!$B:$B,$B19,HTS!$C:$C,{"15-24","25-34","35-49","50+"},HTS!$D:$D,"Male"))</f>
        <v>734</v>
      </c>
      <c r="BK19" s="38">
        <f>_xlfn.IFNA(INDEX(KP!$AN:$AN,MATCH(($B19&amp;"|"&amp;BK$3),KP!$D:$D,0)),"")</f>
        <v>0</v>
      </c>
      <c r="BL19" s="38">
        <f>_xlfn.IFNA(INDEX(KP!$AN:$AN,MATCH(($B19&amp;"|"&amp;BL$3),KP!$D:$D,0)),"")</f>
        <v>0</v>
      </c>
      <c r="BM19" s="38" t="str">
        <f>_xlfn.IFNA(INDEX(KP!$AN:$AN,MATCH(($B19&amp;"|"&amp;BM$3),KP!$D:$D,0)),"")</f>
        <v/>
      </c>
      <c r="BN19" s="38" t="str">
        <f>_xlfn.IFNA(INDEX(KP!$AN:$AN,MATCH(($B19&amp;"|"&amp;BN$3),KP!$D:$D,0)),"")</f>
        <v/>
      </c>
      <c r="BO19" s="38">
        <f>_xlfn.IFNA(INDEX(KP!$AN:$AN,MATCH(($B19&amp;"|"&amp;BO$3),KP!$D:$D,0)),"")</f>
        <v>0</v>
      </c>
      <c r="BP19" s="38">
        <f>SUM(SUMIFS(HTS!$AZ:$AZ,HTS!$B:$B,$B19,HTS!$C:$C,{"15-24","25-34","35-49","50+"},HTS!$D:$D,"Female"))</f>
        <v>18901</v>
      </c>
      <c r="BQ19" s="38">
        <f>SUM(SUMIFS(HTS!$AZ:$AZ,HTS!$B:$B,$B19,HTS!$C:$C,{"15-24","25-34","35-49","50+"},HTS!$D:$D,"Male"))</f>
        <v>654</v>
      </c>
      <c r="BR19" s="38">
        <f>_xlfn.IFNA(INDEX(KP!$AP:$AP,MATCH(($B19&amp;"|"&amp;BR$3),KP!$D:$D,0)),"")</f>
        <v>828</v>
      </c>
      <c r="BS19" s="38">
        <f>_xlfn.IFNA(INDEX(KP!$AP:$AP,MATCH(($B19&amp;"|"&amp;BS$3),KP!$D:$D,0)),"")</f>
        <v>506</v>
      </c>
      <c r="BT19" s="38">
        <f>_xlfn.IFNA(INDEX(KP!$AP:$AP,MATCH(($B19&amp;"|"&amp;BT$3),KP!$D:$D,0)),"")</f>
        <v>0</v>
      </c>
      <c r="BU19" s="38">
        <f>_xlfn.IFNA(INDEX(KP!$AP:$AP,MATCH(($B19&amp;"|"&amp;BU$3),KP!$D:$D,0)),"")</f>
        <v>0</v>
      </c>
      <c r="BV19" s="38">
        <f>_xlfn.IFNA(INDEX(KP!$AP:$AP,MATCH(($B19&amp;"|"&amp;BV$3),KP!$D:$D,0)),"")</f>
        <v>42</v>
      </c>
    </row>
    <row r="20" spans="1:74" x14ac:dyDescent="0.2">
      <c r="A20" s="85" t="str">
        <f>INDEX(Prioritization!$D:$D,MATCH($B20,Prioritization!$A:$A,0))</f>
        <v>4 - Sustained</v>
      </c>
      <c r="B20" s="10" t="s">
        <v>307</v>
      </c>
      <c r="C20" s="38">
        <f>SUM(SUMIFS(PrEP!$O:$O,PrEP!$B:$B,$B20,PrEP!$C:$C,{"15-24","25-34","35-49","50+"},PrEP!$D:$D,"Female"))</f>
        <v>60</v>
      </c>
      <c r="D20" s="38">
        <f>SUM(SUMIFS(PrEP!$O:$O,PrEP!$B:$B,$B20,PrEP!$C:$C,{"15-24","25-34"},PrEP!$D:$D,"Female"))</f>
        <v>24</v>
      </c>
      <c r="E20" s="38">
        <f>SUM(SUMIFS(PrEP!$O:$O,PrEP!$B:$B,$B20,PrEP!$C:$C,{"15-24","25-34","35-49","50+"},PrEP!$D:$D,"Male"))</f>
        <v>54</v>
      </c>
      <c r="F20" s="38">
        <f>_xlfn.IFNA(INDEX(KP!$I:$I,MATCH(($B20&amp;"|"&amp;F$3),KP!$D:$D,0)),"")</f>
        <v>0</v>
      </c>
      <c r="G20" s="38">
        <f>_xlfn.IFNA(INDEX(KP!$I:$I,MATCH(($B20&amp;"|"&amp;G$3),KP!$D:$D,0)),"")</f>
        <v>0</v>
      </c>
      <c r="H20" s="38">
        <f>_xlfn.IFNA(INDEX(KP!$I:$I,MATCH(($B20&amp;"|"&amp;H$3),KP!$D:$D,0)),"")</f>
        <v>0</v>
      </c>
      <c r="I20" s="38">
        <f>_xlfn.IFNA(INDEX(KP!$I:$I,MATCH(($B20&amp;"|"&amp;I$3),KP!$D:$D,0)),"")</f>
        <v>0</v>
      </c>
      <c r="J20" s="38">
        <f>_xlfn.IFNA(INDEX(KP!$I:$I,MATCH(($B20&amp;"|"&amp;J$3),KP!$D:$D,0)),"")</f>
        <v>0</v>
      </c>
      <c r="K20" s="38">
        <f>SUM(SUMIFS(PrEP!$L:$L,PrEP!$B:$B,$B20,PrEP!$C:$C,{"15-24","25-34","35-49","50+"},PrEP!$D:$D,"Female"))</f>
        <v>232</v>
      </c>
      <c r="L20" s="38">
        <f>SUM(SUMIFS(PrEP!$L:$L,PrEP!$B:$B,$B20,PrEP!$C:$C,{"15-24","25-34"},PrEP!$D:$D,"Female"))</f>
        <v>152</v>
      </c>
      <c r="M20" s="38">
        <f>SUM(SUMIFS(PrEP!$L:$L,PrEP!$B:$B,$B20,PrEP!$C:$C,{"15-24","25-34","35-49","50+"},PrEP!$D:$D,"Male"))</f>
        <v>245</v>
      </c>
      <c r="N20" s="38">
        <f>_xlfn.IFNA(INDEX(KP!$K:$K,MATCH(($B20&amp;"|"&amp;N$3),KP!$D:$D,0)),"")</f>
        <v>0</v>
      </c>
      <c r="O20" s="38">
        <f>_xlfn.IFNA(INDEX(KP!$K:$K,MATCH(($B20&amp;"|"&amp;O$3),KP!$D:$D,0)),"")</f>
        <v>0</v>
      </c>
      <c r="P20" s="38">
        <f>_xlfn.IFNA(INDEX(KP!$K:$K,MATCH(($B20&amp;"|"&amp;P$3),KP!$D:$D,0)),"")</f>
        <v>0</v>
      </c>
      <c r="Q20" s="38">
        <f>_xlfn.IFNA(INDEX(KP!$K:$K,MATCH(($B20&amp;"|"&amp;Q$3),KP!$D:$D,0)),"")</f>
        <v>0</v>
      </c>
      <c r="R20" s="38">
        <f>_xlfn.IFNA(INDEX(KP!$K:$K,MATCH(($B20&amp;"|"&amp;R$3),KP!$D:$D,0)),"")</f>
        <v>0</v>
      </c>
      <c r="S20" s="38">
        <f>SUM(SUMIFS(Cascade!$AP:$AP,Cascade!$B:$B,$B20,Cascade!$C:$C,{"15-24","25-34","35-49","50+"},Cascade!$D:$D,"Female"))</f>
        <v>3473</v>
      </c>
      <c r="T20" s="38">
        <f>SUM(SUMIFS(Cascade!$AP:$AP,Cascade!$B:$B,$B20,Cascade!$C:$C,{"15-24","25-34","35-49","50+"},Cascade!$D:$D,"Male"))</f>
        <v>2237</v>
      </c>
      <c r="U20" s="38">
        <f>_xlfn.IFNA(INDEX(KP!$Q:$Q,MATCH(($B20&amp;"|"&amp;U$3),KP!$D:$D,0)),"")</f>
        <v>0</v>
      </c>
      <c r="V20" s="38">
        <f>_xlfn.IFNA(INDEX(KP!$Q:$Q,MATCH(($B20&amp;"|"&amp;V$3),KP!$D:$D,0)),"")</f>
        <v>0</v>
      </c>
      <c r="W20" s="38">
        <f>_xlfn.IFNA(INDEX(KP!$Q:$Q,MATCH(($B20&amp;"|"&amp;W$3),KP!$D:$D,0)),"")</f>
        <v>0</v>
      </c>
      <c r="X20" s="38">
        <f>_xlfn.IFNA(INDEX(KP!$Q:$Q,MATCH(($B20&amp;"|"&amp;X$3),KP!$D:$D,0)),"")</f>
        <v>0</v>
      </c>
      <c r="Y20" s="38">
        <f>_xlfn.IFNA(INDEX(KP!$Q:$Q,MATCH(($B20&amp;"|"&amp;Y$3),KP!$D:$D,0)),"")</f>
        <v>0</v>
      </c>
      <c r="Z20" s="38">
        <f>SUM(SUMIFS(Cascade!$AX:$AX,Cascade!$B:$B,$B20,Cascade!$C:$C,{"15-24","25-34","35-49","50+"},Cascade!$D:$D,"Female"))</f>
        <v>169</v>
      </c>
      <c r="AA20" s="38">
        <f>SUM(SUMIFS(Cascade!$AX:$AX,Cascade!$B:$B,$B20,Cascade!$C:$C,{"15-24","25-34","35-49","50+"},Cascade!$D:$D,"Male"))</f>
        <v>77</v>
      </c>
      <c r="AB20" s="38" t="str">
        <f>_xlfn.IFNA(INDEX(KP!$Z:$Z,MATCH(($B20&amp;"|"&amp;AB$3),KP!$D:$D,0)),"")</f>
        <v/>
      </c>
      <c r="AC20" s="38" t="str">
        <f>_xlfn.IFNA(INDEX(KP!$Z:$Z,MATCH(($B20&amp;"|"&amp;AC$3),KP!$D:$D,0)),"")</f>
        <v/>
      </c>
      <c r="AD20" s="38" t="str">
        <f>_xlfn.IFNA(INDEX(KP!$Z:$Z,MATCH(($B20&amp;"|"&amp;AD$3),KP!$D:$D,0)),"")</f>
        <v/>
      </c>
      <c r="AE20" s="38" t="str">
        <f>_xlfn.IFNA(INDEX(KP!$Z:$Z,MATCH(($B20&amp;"|"&amp;AE$3),KP!$D:$D,0)),"")</f>
        <v/>
      </c>
      <c r="AF20" s="38" t="str">
        <f>_xlfn.IFNA(INDEX(KP!$Z:$Z,MATCH(($B20&amp;"|"&amp;AF$3),KP!$D:$D,0)),"")</f>
        <v/>
      </c>
      <c r="AG20" s="38">
        <f>SUM(SUMIFS(Cascade!$BB:$BB,Cascade!$B:$B,$B20,Cascade!$C:$C,{"15-24","25-34","35-49","50+"},Cascade!$D:$D,"Female"))</f>
        <v>3126</v>
      </c>
      <c r="AH20" s="38">
        <f>SUM(SUMIFS(Cascade!$BB:$BB,Cascade!$B:$B,$B20,Cascade!$C:$C,{"15-24","25-34","35-49","50+"},Cascade!$D:$D,"Male"))</f>
        <v>2013</v>
      </c>
      <c r="AI20" s="38" t="str">
        <f>_xlfn.IFNA(INDEX(KP!$AD:$AD,MATCH(($B20&amp;"|"&amp;AI$3),KP!$D:$D,0)),"")</f>
        <v/>
      </c>
      <c r="AJ20" s="38" t="str">
        <f>_xlfn.IFNA(INDEX(KP!$AD:$AD,MATCH(($B20&amp;"|"&amp;AJ$3),KP!$D:$D,0)),"")</f>
        <v/>
      </c>
      <c r="AK20" s="38" t="str">
        <f>_xlfn.IFNA(INDEX(KP!$AD:$AD,MATCH(($B20&amp;"|"&amp;AK$3),KP!$D:$D,0)),"")</f>
        <v/>
      </c>
      <c r="AL20" s="38" t="str">
        <f>_xlfn.IFNA(INDEX(KP!$AD:$AD,MATCH(($B20&amp;"|"&amp;AL$3),KP!$D:$D,0)),"")</f>
        <v/>
      </c>
      <c r="AM20" s="38" t="str">
        <f>_xlfn.IFNA(INDEX(KP!$AD:$AD,MATCH(($B20&amp;"|"&amp;AM$3),KP!$D:$D,0)),"")</f>
        <v/>
      </c>
      <c r="AN20" s="38">
        <f>SUM(SUMIFS(Cascade!$BE:$BE,Cascade!$B:$B,$B20,Cascade!$C:$C,{"15-24","25-34","35-49","50+"},Cascade!$D:$D,"Female"))</f>
        <v>2969</v>
      </c>
      <c r="AO20" s="38">
        <f>SUM(SUMIFS(Cascade!$BE:$BE,Cascade!$B:$B,$B20,Cascade!$C:$C,{"15-24","25-34","35-49","50+"},Cascade!$D:$D,"Male"))</f>
        <v>1913</v>
      </c>
      <c r="AP20" s="38" t="str">
        <f>_xlfn.IFNA(INDEX(KP!$AF:$AF,MATCH(($B20&amp;"|"&amp;AP$3),KP!$D:$D,0)),"")</f>
        <v/>
      </c>
      <c r="AQ20" s="38" t="str">
        <f>_xlfn.IFNA(INDEX(KP!$AF:$AF,MATCH(($B20&amp;"|"&amp;AQ$3),KP!$D:$D,0)),"")</f>
        <v/>
      </c>
      <c r="AR20" s="38" t="str">
        <f>_xlfn.IFNA(INDEX(KP!$AF:$AF,MATCH(($B20&amp;"|"&amp;AR$3),KP!$D:$D,0)),"")</f>
        <v/>
      </c>
      <c r="AS20" s="38" t="str">
        <f>_xlfn.IFNA(INDEX(KP!$AF:$AF,MATCH(($B20&amp;"|"&amp;AS$3),KP!$D:$D,0)),"")</f>
        <v/>
      </c>
      <c r="AT20" s="38" t="str">
        <f>_xlfn.IFNA(INDEX(KP!$AF:$AF,MATCH(($B20&amp;"|"&amp;AT$3),KP!$D:$D,0)),"")</f>
        <v/>
      </c>
      <c r="AU20" s="38">
        <f>SUM(SUMIFS(HTS!$AN:$AN,HTS!$B:$B,$B20,HTS!$C:$C,{"15-24","25-34","35-49","50+"},HTS!$D:$D,"Female"))</f>
        <v>179</v>
      </c>
      <c r="AV20" s="38">
        <f>SUM(SUMIFS(HTS!$AN:$AN,HTS!$B:$B,$B20,HTS!$C:$C,{"15-24","25-34","35-49","50+"},HTS!$D:$D,"Male"))</f>
        <v>82</v>
      </c>
      <c r="AW20" s="38" t="str">
        <f>_xlfn.IFNA(INDEX(KP!$AK:$AK,MATCH(($B20&amp;"|"&amp;AW$3),KP!$D:$D,0)),"")</f>
        <v/>
      </c>
      <c r="AX20" s="38" t="str">
        <f>_xlfn.IFNA(INDEX(KP!$AK:$AK,MATCH(($B20&amp;"|"&amp;AX$3),KP!$D:$D,0)),"")</f>
        <v/>
      </c>
      <c r="AY20" s="38" t="str">
        <f>_xlfn.IFNA(INDEX(KP!$AK:$AK,MATCH(($B20&amp;"|"&amp;AY$3),KP!$D:$D,0)),"")</f>
        <v/>
      </c>
      <c r="AZ20" s="38" t="str">
        <f>_xlfn.IFNA(INDEX(KP!$AK:$AK,MATCH(($B20&amp;"|"&amp;AZ$3),KP!$D:$D,0)),"")</f>
        <v/>
      </c>
      <c r="BA20" s="38" t="str">
        <f>_xlfn.IFNA(INDEX(KP!$AK:$AK,MATCH(($B20&amp;"|"&amp;BA$3),KP!$D:$D,0)),"")</f>
        <v/>
      </c>
      <c r="BB20" s="38">
        <f>SUM(SUMIFS(HTS!$AU:$AU,HTS!$B:$B,$B20,HTS!$C:$C,{"15-24","25-34","35-49","50+"},HTS!$D:$D,"Female"))</f>
        <v>7751</v>
      </c>
      <c r="BC20" s="38">
        <f>SUM(SUMIFS(HTS!$AU:$AU,HTS!$B:$B,$B20,HTS!$C:$C,{"15-24","25-34","35-49","50+"},HTS!$D:$D,"Male"))</f>
        <v>1880</v>
      </c>
      <c r="BD20" s="38" t="str">
        <f>_xlfn.IFNA(INDEX(KP!$AL:$AL,MATCH(($B20&amp;"|"&amp;BD$3),KP!$D:$D,0)),"")</f>
        <v/>
      </c>
      <c r="BE20" s="38" t="str">
        <f>_xlfn.IFNA(INDEX(KP!$AL:$AL,MATCH(($B20&amp;"|"&amp;BE$3),KP!$D:$D,0)),"")</f>
        <v/>
      </c>
      <c r="BF20" s="38" t="str">
        <f>_xlfn.IFNA(INDEX(KP!$AL:$AL,MATCH(($B20&amp;"|"&amp;BF$3),KP!$D:$D,0)),"")</f>
        <v/>
      </c>
      <c r="BG20" s="38" t="str">
        <f>_xlfn.IFNA(INDEX(KP!$AL:$AL,MATCH(($B20&amp;"|"&amp;BG$3),KP!$D:$D,0)),"")</f>
        <v/>
      </c>
      <c r="BH20" s="38" t="str">
        <f>_xlfn.IFNA(INDEX(KP!$AL:$AL,MATCH(($B20&amp;"|"&amp;BH$3),KP!$D:$D,0)),"")</f>
        <v/>
      </c>
      <c r="BI20" s="38">
        <f>SUM(SUMIFS(HTS!$BB:$BB,HTS!$B:$B,$B20,HTS!$C:$C,{"15-24","25-34","35-49","50+"},HTS!$D:$D,"Female"))</f>
        <v>78</v>
      </c>
      <c r="BJ20" s="38">
        <f>SUM(SUMIFS(HTS!$BB:$BB,HTS!$B:$B,$B20,HTS!$C:$C,{"15-24","25-34","35-49","50+"},HTS!$D:$D,"Male"))</f>
        <v>35</v>
      </c>
      <c r="BK20" s="38" t="str">
        <f>_xlfn.IFNA(INDEX(KP!$AN:$AN,MATCH(($B20&amp;"|"&amp;BK$3),KP!$D:$D,0)),"")</f>
        <v/>
      </c>
      <c r="BL20" s="38" t="str">
        <f>_xlfn.IFNA(INDEX(KP!$AN:$AN,MATCH(($B20&amp;"|"&amp;BL$3),KP!$D:$D,0)),"")</f>
        <v/>
      </c>
      <c r="BM20" s="38" t="str">
        <f>_xlfn.IFNA(INDEX(KP!$AN:$AN,MATCH(($B20&amp;"|"&amp;BM$3),KP!$D:$D,0)),"")</f>
        <v/>
      </c>
      <c r="BN20" s="38" t="str">
        <f>_xlfn.IFNA(INDEX(KP!$AN:$AN,MATCH(($B20&amp;"|"&amp;BN$3),KP!$D:$D,0)),"")</f>
        <v/>
      </c>
      <c r="BO20" s="38" t="str">
        <f>_xlfn.IFNA(INDEX(KP!$AN:$AN,MATCH(($B20&amp;"|"&amp;BO$3),KP!$D:$D,0)),"")</f>
        <v/>
      </c>
      <c r="BP20" s="38">
        <f>SUM(SUMIFS(HTS!$AZ:$AZ,HTS!$B:$B,$B20,HTS!$C:$C,{"15-24","25-34","35-49","50+"},HTS!$D:$D,"Female"))</f>
        <v>599</v>
      </c>
      <c r="BQ20" s="38">
        <f>SUM(SUMIFS(HTS!$AZ:$AZ,HTS!$B:$B,$B20,HTS!$C:$C,{"15-24","25-34","35-49","50+"},HTS!$D:$D,"Male"))</f>
        <v>50</v>
      </c>
      <c r="BR20" s="38">
        <f>_xlfn.IFNA(INDEX(KP!$AP:$AP,MATCH(($B20&amp;"|"&amp;BR$3),KP!$D:$D,0)),"")</f>
        <v>0</v>
      </c>
      <c r="BS20" s="38">
        <f>_xlfn.IFNA(INDEX(KP!$AP:$AP,MATCH(($B20&amp;"|"&amp;BS$3),KP!$D:$D,0)),"")</f>
        <v>0</v>
      </c>
      <c r="BT20" s="38">
        <f>_xlfn.IFNA(INDEX(KP!$AP:$AP,MATCH(($B20&amp;"|"&amp;BT$3),KP!$D:$D,0)),"")</f>
        <v>0</v>
      </c>
      <c r="BU20" s="38">
        <f>_xlfn.IFNA(INDEX(KP!$AP:$AP,MATCH(($B20&amp;"|"&amp;BU$3),KP!$D:$D,0)),"")</f>
        <v>0</v>
      </c>
      <c r="BV20" s="38">
        <f>_xlfn.IFNA(INDEX(KP!$AP:$AP,MATCH(($B20&amp;"|"&amp;BV$3),KP!$D:$D,0)),"")</f>
        <v>0</v>
      </c>
    </row>
    <row r="21" spans="1:74" x14ac:dyDescent="0.2">
      <c r="A21" s="85" t="str">
        <f>INDEX(Prioritization!$D:$D,MATCH($B21,Prioritization!$A:$A,0))</f>
        <v>4 - Sustained</v>
      </c>
      <c r="B21" s="10" t="s">
        <v>298</v>
      </c>
      <c r="C21" s="38">
        <f>SUM(SUMIFS(PrEP!$O:$O,PrEP!$B:$B,$B21,PrEP!$C:$C,{"15-24","25-34","35-49","50+"},PrEP!$D:$D,"Female"))</f>
        <v>33</v>
      </c>
      <c r="D21" s="38">
        <f>SUM(SUMIFS(PrEP!$O:$O,PrEP!$B:$B,$B21,PrEP!$C:$C,{"15-24","25-34"},PrEP!$D:$D,"Female"))</f>
        <v>30</v>
      </c>
      <c r="E21" s="38">
        <f>SUM(SUMIFS(PrEP!$O:$O,PrEP!$B:$B,$B21,PrEP!$C:$C,{"15-24","25-34","35-49","50+"},PrEP!$D:$D,"Male"))</f>
        <v>33</v>
      </c>
      <c r="F21" s="2">
        <f>_xlfn.IFNA(INDEX(KP!$I:$I,MATCH(($B21&amp;"|"&amp;F$3),KP!$D:$D,0)),"")</f>
        <v>0</v>
      </c>
      <c r="G21" s="2">
        <f>_xlfn.IFNA(INDEX(KP!$I:$I,MATCH(($B21&amp;"|"&amp;G$3),KP!$D:$D,0)),"")</f>
        <v>0</v>
      </c>
      <c r="H21" s="2">
        <f>_xlfn.IFNA(INDEX(KP!$I:$I,MATCH(($B21&amp;"|"&amp;H$3),KP!$D:$D,0)),"")</f>
        <v>0</v>
      </c>
      <c r="I21" s="2">
        <f>_xlfn.IFNA(INDEX(KP!$I:$I,MATCH(($B21&amp;"|"&amp;I$3),KP!$D:$D,0)),"")</f>
        <v>0</v>
      </c>
      <c r="J21" s="2">
        <f>_xlfn.IFNA(INDEX(KP!$I:$I,MATCH(($B21&amp;"|"&amp;J$3),KP!$D:$D,0)),"")</f>
        <v>0</v>
      </c>
      <c r="K21" s="38">
        <f>SUM(SUMIFS(PrEP!$L:$L,PrEP!$B:$B,$B21,PrEP!$C:$C,{"15-24","25-34","35-49","50+"},PrEP!$D:$D,"Female"))</f>
        <v>346</v>
      </c>
      <c r="L21" s="38">
        <f>SUM(SUMIFS(PrEP!$L:$L,PrEP!$B:$B,$B21,PrEP!$C:$C,{"15-24","25-34"},PrEP!$D:$D,"Female"))</f>
        <v>250</v>
      </c>
      <c r="M21" s="38">
        <f>SUM(SUMIFS(PrEP!$L:$L,PrEP!$B:$B,$B21,PrEP!$C:$C,{"15-24","25-34","35-49","50+"},PrEP!$D:$D,"Male"))</f>
        <v>234</v>
      </c>
      <c r="N21" s="2">
        <f>_xlfn.IFNA(INDEX(KP!$K:$K,MATCH(($B21&amp;"|"&amp;N$3),KP!$D:$D,0)),"")</f>
        <v>0</v>
      </c>
      <c r="O21" s="2">
        <f>_xlfn.IFNA(INDEX(KP!$K:$K,MATCH(($B21&amp;"|"&amp;O$3),KP!$D:$D,0)),"")</f>
        <v>0</v>
      </c>
      <c r="P21" s="2">
        <f>_xlfn.IFNA(INDEX(KP!$K:$K,MATCH(($B21&amp;"|"&amp;P$3),KP!$D:$D,0)),"")</f>
        <v>0</v>
      </c>
      <c r="Q21" s="2">
        <f>_xlfn.IFNA(INDEX(KP!$K:$K,MATCH(($B21&amp;"|"&amp;Q$3),KP!$D:$D,0)),"")</f>
        <v>0</v>
      </c>
      <c r="R21" s="2">
        <f>_xlfn.IFNA(INDEX(KP!$K:$K,MATCH(($B21&amp;"|"&amp;R$3),KP!$D:$D,0)),"")</f>
        <v>0</v>
      </c>
      <c r="S21" s="38">
        <f>SUM(SUMIFS(Cascade!$AP:$AP,Cascade!$B:$B,$B21,Cascade!$C:$C,{"15-24","25-34","35-49","50+"},Cascade!$D:$D,"Female"))</f>
        <v>13681</v>
      </c>
      <c r="T21" s="38">
        <f>SUM(SUMIFS(Cascade!$AP:$AP,Cascade!$B:$B,$B21,Cascade!$C:$C,{"15-24","25-34","35-49","50+"},Cascade!$D:$D,"Male"))</f>
        <v>7636</v>
      </c>
      <c r="U21" s="2">
        <f>_xlfn.IFNA(INDEX(KP!$Q:$Q,MATCH(($B21&amp;"|"&amp;U$3),KP!$D:$D,0)),"")</f>
        <v>0</v>
      </c>
      <c r="V21" s="2">
        <f>_xlfn.IFNA(INDEX(KP!$Q:$Q,MATCH(($B21&amp;"|"&amp;V$3),KP!$D:$D,0)),"")</f>
        <v>0</v>
      </c>
      <c r="W21" s="2">
        <f>_xlfn.IFNA(INDEX(KP!$Q:$Q,MATCH(($B21&amp;"|"&amp;W$3),KP!$D:$D,0)),"")</f>
        <v>50</v>
      </c>
      <c r="X21" s="2">
        <f>_xlfn.IFNA(INDEX(KP!$Q:$Q,MATCH(($B21&amp;"|"&amp;X$3),KP!$D:$D,0)),"")</f>
        <v>0</v>
      </c>
      <c r="Y21" s="2">
        <f>_xlfn.IFNA(INDEX(KP!$Q:$Q,MATCH(($B21&amp;"|"&amp;Y$3),KP!$D:$D,0)),"")</f>
        <v>0</v>
      </c>
      <c r="Z21" s="38">
        <f>SUM(SUMIFS(Cascade!$AX:$AX,Cascade!$B:$B,$B21,Cascade!$C:$C,{"15-24","25-34","35-49","50+"},Cascade!$D:$D,"Female"))</f>
        <v>626</v>
      </c>
      <c r="AA21" s="38">
        <f>SUM(SUMIFS(Cascade!$AX:$AX,Cascade!$B:$B,$B21,Cascade!$C:$C,{"15-24","25-34","35-49","50+"},Cascade!$D:$D,"Male"))</f>
        <v>240</v>
      </c>
      <c r="AB21" s="2" t="str">
        <f>_xlfn.IFNA(INDEX(KP!$Z:$Z,MATCH(($B21&amp;"|"&amp;AB$3),KP!$D:$D,0)),"")</f>
        <v/>
      </c>
      <c r="AC21" s="2" t="str">
        <f>_xlfn.IFNA(INDEX(KP!$Z:$Z,MATCH(($B21&amp;"|"&amp;AC$3),KP!$D:$D,0)),"")</f>
        <v/>
      </c>
      <c r="AD21" s="2">
        <f>_xlfn.IFNA(INDEX(KP!$Z:$Z,MATCH(($B21&amp;"|"&amp;AD$3),KP!$D:$D,0)),"")</f>
        <v>9</v>
      </c>
      <c r="AE21" s="2" t="str">
        <f>_xlfn.IFNA(INDEX(KP!$Z:$Z,MATCH(($B21&amp;"|"&amp;AE$3),KP!$D:$D,0)),"")</f>
        <v/>
      </c>
      <c r="AF21" s="2" t="str">
        <f>_xlfn.IFNA(INDEX(KP!$Z:$Z,MATCH(($B21&amp;"|"&amp;AF$3),KP!$D:$D,0)),"")</f>
        <v/>
      </c>
      <c r="AG21" s="38">
        <f>SUM(SUMIFS(Cascade!$BB:$BB,Cascade!$B:$B,$B21,Cascade!$C:$C,{"15-24","25-34","35-49","50+"},Cascade!$D:$D,"Female"))</f>
        <v>12314</v>
      </c>
      <c r="AH21" s="38">
        <f>SUM(SUMIFS(Cascade!$BB:$BB,Cascade!$B:$B,$B21,Cascade!$C:$C,{"15-24","25-34","35-49","50+"},Cascade!$D:$D,"Male"))</f>
        <v>6873</v>
      </c>
      <c r="AI21" s="2" t="str">
        <f>_xlfn.IFNA(INDEX(KP!$AD:$AD,MATCH(($B21&amp;"|"&amp;AI$3),KP!$D:$D,0)),"")</f>
        <v/>
      </c>
      <c r="AJ21" s="2" t="str">
        <f>_xlfn.IFNA(INDEX(KP!$AD:$AD,MATCH(($B21&amp;"|"&amp;AJ$3),KP!$D:$D,0)),"")</f>
        <v/>
      </c>
      <c r="AK21" s="2">
        <f>_xlfn.IFNA(INDEX(KP!$AD:$AD,MATCH(($B21&amp;"|"&amp;AK$3),KP!$D:$D,0)),"")</f>
        <v>48</v>
      </c>
      <c r="AL21" s="2" t="str">
        <f>_xlfn.IFNA(INDEX(KP!$AD:$AD,MATCH(($B21&amp;"|"&amp;AL$3),KP!$D:$D,0)),"")</f>
        <v/>
      </c>
      <c r="AM21" s="2" t="str">
        <f>_xlfn.IFNA(INDEX(KP!$AD:$AD,MATCH(($B21&amp;"|"&amp;AM$3),KP!$D:$D,0)),"")</f>
        <v/>
      </c>
      <c r="AN21" s="38">
        <f>SUM(SUMIFS(Cascade!$BE:$BE,Cascade!$B:$B,$B21,Cascade!$C:$C,{"15-24","25-34","35-49","50+"},Cascade!$D:$D,"Female"))</f>
        <v>11698</v>
      </c>
      <c r="AO21" s="38">
        <f>SUM(SUMIFS(Cascade!$BE:$BE,Cascade!$B:$B,$B21,Cascade!$C:$C,{"15-24","25-34","35-49","50+"},Cascade!$D:$D,"Male"))</f>
        <v>6529</v>
      </c>
      <c r="AP21" s="2" t="str">
        <f>_xlfn.IFNA(INDEX(KP!$AF:$AF,MATCH(($B21&amp;"|"&amp;AP$3),KP!$D:$D,0)),"")</f>
        <v/>
      </c>
      <c r="AQ21" s="2" t="str">
        <f>_xlfn.IFNA(INDEX(KP!$AF:$AF,MATCH(($B21&amp;"|"&amp;AQ$3),KP!$D:$D,0)),"")</f>
        <v/>
      </c>
      <c r="AR21" s="2">
        <f>_xlfn.IFNA(INDEX(KP!$AF:$AF,MATCH(($B21&amp;"|"&amp;AR$3),KP!$D:$D,0)),"")</f>
        <v>46</v>
      </c>
      <c r="AS21" s="2" t="str">
        <f>_xlfn.IFNA(INDEX(KP!$AF:$AF,MATCH(($B21&amp;"|"&amp;AS$3),KP!$D:$D,0)),"")</f>
        <v/>
      </c>
      <c r="AT21" s="2" t="str">
        <f>_xlfn.IFNA(INDEX(KP!$AF:$AF,MATCH(($B21&amp;"|"&amp;AT$3),KP!$D:$D,0)),"")</f>
        <v/>
      </c>
      <c r="AU21" s="38">
        <f>SUM(SUMIFS(HTS!$AN:$AN,HTS!$B:$B,$B21,HTS!$C:$C,{"15-24","25-34","35-49","50+"},HTS!$D:$D,"Female"))</f>
        <v>660</v>
      </c>
      <c r="AV21" s="38">
        <f>SUM(SUMIFS(HTS!$AN:$AN,HTS!$B:$B,$B21,HTS!$C:$C,{"15-24","25-34","35-49","50+"},HTS!$D:$D,"Male"))</f>
        <v>251</v>
      </c>
      <c r="AW21" s="2" t="str">
        <f>_xlfn.IFNA(INDEX(KP!$AK:$AK,MATCH(($B21&amp;"|"&amp;AW$3),KP!$D:$D,0)),"")</f>
        <v/>
      </c>
      <c r="AX21" s="2" t="str">
        <f>_xlfn.IFNA(INDEX(KP!$AK:$AK,MATCH(($B21&amp;"|"&amp;AX$3),KP!$D:$D,0)),"")</f>
        <v/>
      </c>
      <c r="AY21" s="2">
        <f>_xlfn.IFNA(INDEX(KP!$AK:$AK,MATCH(($B21&amp;"|"&amp;AY$3),KP!$D:$D,0)),"")</f>
        <v>9</v>
      </c>
      <c r="AZ21" s="2" t="str">
        <f>_xlfn.IFNA(INDEX(KP!$AK:$AK,MATCH(($B21&amp;"|"&amp;AZ$3),KP!$D:$D,0)),"")</f>
        <v/>
      </c>
      <c r="BA21" s="2" t="str">
        <f>_xlfn.IFNA(INDEX(KP!$AK:$AK,MATCH(($B21&amp;"|"&amp;BA$3),KP!$D:$D,0)),"")</f>
        <v/>
      </c>
      <c r="BB21" s="38">
        <f>SUM(SUMIFS(HTS!$AU:$AU,HTS!$B:$B,$B21,HTS!$C:$C,{"15-24","25-34","35-49","50+"},HTS!$D:$D,"Female"))</f>
        <v>58807</v>
      </c>
      <c r="BC21" s="38">
        <f>SUM(SUMIFS(HTS!$AU:$AU,HTS!$B:$B,$B21,HTS!$C:$C,{"15-24","25-34","35-49","50+"},HTS!$D:$D,"Male"))</f>
        <v>8927</v>
      </c>
      <c r="BD21" s="2" t="str">
        <f>_xlfn.IFNA(INDEX(KP!$AL:$AL,MATCH(($B21&amp;"|"&amp;BD$3),KP!$D:$D,0)),"")</f>
        <v/>
      </c>
      <c r="BE21" s="2" t="str">
        <f>_xlfn.IFNA(INDEX(KP!$AL:$AL,MATCH(($B21&amp;"|"&amp;BE$3),KP!$D:$D,0)),"")</f>
        <v/>
      </c>
      <c r="BF21" s="2">
        <f>_xlfn.IFNA(INDEX(KP!$AL:$AL,MATCH(($B21&amp;"|"&amp;BF$3),KP!$D:$D,0)),"")</f>
        <v>441</v>
      </c>
      <c r="BG21" s="2" t="str">
        <f>_xlfn.IFNA(INDEX(KP!$AL:$AL,MATCH(($B21&amp;"|"&amp;BG$3),KP!$D:$D,0)),"")</f>
        <v/>
      </c>
      <c r="BH21" s="2" t="str">
        <f>_xlfn.IFNA(INDEX(KP!$AL:$AL,MATCH(($B21&amp;"|"&amp;BH$3),KP!$D:$D,0)),"")</f>
        <v/>
      </c>
      <c r="BI21" s="38">
        <f>SUM(SUMIFS(HTS!$BB:$BB,HTS!$B:$B,$B21,HTS!$C:$C,{"15-24","25-34","35-49","50+"},HTS!$D:$D,"Female"))</f>
        <v>271</v>
      </c>
      <c r="BJ21" s="38">
        <f>SUM(SUMIFS(HTS!$BB:$BB,HTS!$B:$B,$B21,HTS!$C:$C,{"15-24","25-34","35-49","50+"},HTS!$D:$D,"Male"))</f>
        <v>103</v>
      </c>
      <c r="BK21" s="2" t="str">
        <f>_xlfn.IFNA(INDEX(KP!$AN:$AN,MATCH(($B21&amp;"|"&amp;BK$3),KP!$D:$D,0)),"")</f>
        <v/>
      </c>
      <c r="BL21" s="2" t="str">
        <f>_xlfn.IFNA(INDEX(KP!$AN:$AN,MATCH(($B21&amp;"|"&amp;BL$3),KP!$D:$D,0)),"")</f>
        <v/>
      </c>
      <c r="BM21" s="2">
        <f>_xlfn.IFNA(INDEX(KP!$AN:$AN,MATCH(($B21&amp;"|"&amp;BM$3),KP!$D:$D,0)),"")</f>
        <v>0</v>
      </c>
      <c r="BN21" s="2" t="str">
        <f>_xlfn.IFNA(INDEX(KP!$AN:$AN,MATCH(($B21&amp;"|"&amp;BN$3),KP!$D:$D,0)),"")</f>
        <v/>
      </c>
      <c r="BO21" s="2" t="str">
        <f>_xlfn.IFNA(INDEX(KP!$AN:$AN,MATCH(($B21&amp;"|"&amp;BO$3),KP!$D:$D,0)),"")</f>
        <v/>
      </c>
      <c r="BP21" s="38">
        <f>SUM(SUMIFS(HTS!$AZ:$AZ,HTS!$B:$B,$B21,HTS!$C:$C,{"15-24","25-34","35-49","50+"},HTS!$D:$D,"Female"))</f>
        <v>1951</v>
      </c>
      <c r="BQ21" s="38">
        <f>SUM(SUMIFS(HTS!$AZ:$AZ,HTS!$B:$B,$B21,HTS!$C:$C,{"15-24","25-34","35-49","50+"},HTS!$D:$D,"Male"))</f>
        <v>149</v>
      </c>
      <c r="BR21" s="2">
        <f>_xlfn.IFNA(INDEX(KP!$AP:$AP,MATCH(($B21&amp;"|"&amp;BR$3),KP!$D:$D,0)),"")</f>
        <v>0</v>
      </c>
      <c r="BS21" s="2">
        <f>_xlfn.IFNA(INDEX(KP!$AP:$AP,MATCH(($B21&amp;"|"&amp;BS$3),KP!$D:$D,0)),"")</f>
        <v>0</v>
      </c>
      <c r="BT21" s="2">
        <f>_xlfn.IFNA(INDEX(KP!$AP:$AP,MATCH(($B21&amp;"|"&amp;BT$3),KP!$D:$D,0)),"")</f>
        <v>0</v>
      </c>
      <c r="BU21" s="2">
        <f>_xlfn.IFNA(INDEX(KP!$AP:$AP,MATCH(($B21&amp;"|"&amp;BU$3),KP!$D:$D,0)),"")</f>
        <v>0</v>
      </c>
      <c r="BV21" s="2">
        <f>_xlfn.IFNA(INDEX(KP!$AP:$AP,MATCH(($B21&amp;"|"&amp;BV$3),KP!$D:$D,0)),"")</f>
        <v>0</v>
      </c>
    </row>
    <row r="22" spans="1:74" x14ac:dyDescent="0.2">
      <c r="A22" s="85" t="str">
        <f>INDEX(Prioritization!$D:$D,MATCH($B22,Prioritization!$A:$A,0))</f>
        <v>4 - Sustained</v>
      </c>
      <c r="B22" s="10" t="s">
        <v>299</v>
      </c>
      <c r="C22" s="38">
        <f>SUM(SUMIFS(PrEP!$O:$O,PrEP!$B:$B,$B22,PrEP!$C:$C,{"15-24","25-34","35-49","50+"},PrEP!$D:$D,"Female"))</f>
        <v>45</v>
      </c>
      <c r="D22" s="38">
        <f>SUM(SUMIFS(PrEP!$O:$O,PrEP!$B:$B,$B22,PrEP!$C:$C,{"15-24","25-34"},PrEP!$D:$D,"Female"))</f>
        <v>15</v>
      </c>
      <c r="E22" s="38">
        <f>SUM(SUMIFS(PrEP!$O:$O,PrEP!$B:$B,$B22,PrEP!$C:$C,{"15-24","25-34","35-49","50+"},PrEP!$D:$D,"Male"))</f>
        <v>39</v>
      </c>
      <c r="F22" s="38">
        <f>_xlfn.IFNA(INDEX(KP!$I:$I,MATCH(($B22&amp;"|"&amp;F$3),KP!$D:$D,0)),"")</f>
        <v>0</v>
      </c>
      <c r="G22" s="38">
        <f>_xlfn.IFNA(INDEX(KP!$I:$I,MATCH(($B22&amp;"|"&amp;G$3),KP!$D:$D,0)),"")</f>
        <v>0</v>
      </c>
      <c r="H22" s="38">
        <f>_xlfn.IFNA(INDEX(KP!$I:$I,MATCH(($B22&amp;"|"&amp;H$3),KP!$D:$D,0)),"")</f>
        <v>0</v>
      </c>
      <c r="I22" s="38">
        <f>_xlfn.IFNA(INDEX(KP!$I:$I,MATCH(($B22&amp;"|"&amp;I$3),KP!$D:$D,0)),"")</f>
        <v>0</v>
      </c>
      <c r="J22" s="38">
        <f>_xlfn.IFNA(INDEX(KP!$I:$I,MATCH(($B22&amp;"|"&amp;J$3),KP!$D:$D,0)),"")</f>
        <v>0</v>
      </c>
      <c r="K22" s="38">
        <f>SUM(SUMIFS(PrEP!$L:$L,PrEP!$B:$B,$B22,PrEP!$C:$C,{"15-24","25-34","35-49","50+"},PrEP!$D:$D,"Female"))</f>
        <v>566</v>
      </c>
      <c r="L22" s="38">
        <f>SUM(SUMIFS(PrEP!$L:$L,PrEP!$B:$B,$B22,PrEP!$C:$C,{"15-24","25-34"},PrEP!$D:$D,"Female"))</f>
        <v>393</v>
      </c>
      <c r="M22" s="38">
        <f>SUM(SUMIFS(PrEP!$L:$L,PrEP!$B:$B,$B22,PrEP!$C:$C,{"15-24","25-34","35-49","50+"},PrEP!$D:$D,"Male"))</f>
        <v>541</v>
      </c>
      <c r="N22" s="38">
        <f>_xlfn.IFNA(INDEX(KP!$K:$K,MATCH(($B22&amp;"|"&amp;N$3),KP!$D:$D,0)),"")</f>
        <v>0</v>
      </c>
      <c r="O22" s="38">
        <f>_xlfn.IFNA(INDEX(KP!$K:$K,MATCH(($B22&amp;"|"&amp;O$3),KP!$D:$D,0)),"")</f>
        <v>0</v>
      </c>
      <c r="P22" s="38">
        <f>_xlfn.IFNA(INDEX(KP!$K:$K,MATCH(($B22&amp;"|"&amp;P$3),KP!$D:$D,0)),"")</f>
        <v>0</v>
      </c>
      <c r="Q22" s="38">
        <f>_xlfn.IFNA(INDEX(KP!$K:$K,MATCH(($B22&amp;"|"&amp;Q$3),KP!$D:$D,0)),"")</f>
        <v>0</v>
      </c>
      <c r="R22" s="38">
        <f>_xlfn.IFNA(INDEX(KP!$K:$K,MATCH(($B22&amp;"|"&amp;R$3),KP!$D:$D,0)),"")</f>
        <v>0</v>
      </c>
      <c r="S22" s="38">
        <f>SUM(SUMIFS(Cascade!$AP:$AP,Cascade!$B:$B,$B22,Cascade!$C:$C,{"15-24","25-34","35-49","50+"},Cascade!$D:$D,"Female"))</f>
        <v>7914</v>
      </c>
      <c r="T22" s="38">
        <f>SUM(SUMIFS(Cascade!$AP:$AP,Cascade!$B:$B,$B22,Cascade!$C:$C,{"15-24","25-34","35-49","50+"},Cascade!$D:$D,"Male"))</f>
        <v>5126</v>
      </c>
      <c r="U22" s="38">
        <f>_xlfn.IFNA(INDEX(KP!$Q:$Q,MATCH(($B22&amp;"|"&amp;U$3),KP!$D:$D,0)),"")</f>
        <v>0</v>
      </c>
      <c r="V22" s="38">
        <f>_xlfn.IFNA(INDEX(KP!$Q:$Q,MATCH(($B22&amp;"|"&amp;V$3),KP!$D:$D,0)),"")</f>
        <v>0</v>
      </c>
      <c r="W22" s="38">
        <f>_xlfn.IFNA(INDEX(KP!$Q:$Q,MATCH(($B22&amp;"|"&amp;W$3),KP!$D:$D,0)),"")</f>
        <v>0</v>
      </c>
      <c r="X22" s="38">
        <f>_xlfn.IFNA(INDEX(KP!$Q:$Q,MATCH(($B22&amp;"|"&amp;X$3),KP!$D:$D,0)),"")</f>
        <v>0</v>
      </c>
      <c r="Y22" s="38">
        <f>_xlfn.IFNA(INDEX(KP!$Q:$Q,MATCH(($B22&amp;"|"&amp;Y$3),KP!$D:$D,0)),"")</f>
        <v>0</v>
      </c>
      <c r="Z22" s="38">
        <f>SUM(SUMIFS(Cascade!$AX:$AX,Cascade!$B:$B,$B22,Cascade!$C:$C,{"15-24","25-34","35-49","50+"},Cascade!$D:$D,"Female"))</f>
        <v>374</v>
      </c>
      <c r="AA22" s="38">
        <f>SUM(SUMIFS(Cascade!$AX:$AX,Cascade!$B:$B,$B22,Cascade!$C:$C,{"15-24","25-34","35-49","50+"},Cascade!$D:$D,"Male"))</f>
        <v>83</v>
      </c>
      <c r="AB22" s="38" t="str">
        <f>_xlfn.IFNA(INDEX(KP!$Z:$Z,MATCH(($B22&amp;"|"&amp;AB$3),KP!$D:$D,0)),"")</f>
        <v/>
      </c>
      <c r="AC22" s="38" t="str">
        <f>_xlfn.IFNA(INDEX(KP!$Z:$Z,MATCH(($B22&amp;"|"&amp;AC$3),KP!$D:$D,0)),"")</f>
        <v/>
      </c>
      <c r="AD22" s="38" t="str">
        <f>_xlfn.IFNA(INDEX(KP!$Z:$Z,MATCH(($B22&amp;"|"&amp;AD$3),KP!$D:$D,0)),"")</f>
        <v/>
      </c>
      <c r="AE22" s="38" t="str">
        <f>_xlfn.IFNA(INDEX(KP!$Z:$Z,MATCH(($B22&amp;"|"&amp;AE$3),KP!$D:$D,0)),"")</f>
        <v/>
      </c>
      <c r="AF22" s="38" t="str">
        <f>_xlfn.IFNA(INDEX(KP!$Z:$Z,MATCH(($B22&amp;"|"&amp;AF$3),KP!$D:$D,0)),"")</f>
        <v/>
      </c>
      <c r="AG22" s="38">
        <f>SUM(SUMIFS(Cascade!$BB:$BB,Cascade!$B:$B,$B22,Cascade!$C:$C,{"15-24","25-34","35-49","50+"},Cascade!$D:$D,"Female"))</f>
        <v>7123</v>
      </c>
      <c r="AH22" s="38">
        <f>SUM(SUMIFS(Cascade!$BB:$BB,Cascade!$B:$B,$B22,Cascade!$C:$C,{"15-24","25-34","35-49","50+"},Cascade!$D:$D,"Male"))</f>
        <v>4614</v>
      </c>
      <c r="AI22" s="38" t="str">
        <f>_xlfn.IFNA(INDEX(KP!$AD:$AD,MATCH(($B22&amp;"|"&amp;AI$3),KP!$D:$D,0)),"")</f>
        <v/>
      </c>
      <c r="AJ22" s="38" t="str">
        <f>_xlfn.IFNA(INDEX(KP!$AD:$AD,MATCH(($B22&amp;"|"&amp;AJ$3),KP!$D:$D,0)),"")</f>
        <v/>
      </c>
      <c r="AK22" s="38" t="str">
        <f>_xlfn.IFNA(INDEX(KP!$AD:$AD,MATCH(($B22&amp;"|"&amp;AK$3),KP!$D:$D,0)),"")</f>
        <v/>
      </c>
      <c r="AL22" s="38" t="str">
        <f>_xlfn.IFNA(INDEX(KP!$AD:$AD,MATCH(($B22&amp;"|"&amp;AL$3),KP!$D:$D,0)),"")</f>
        <v/>
      </c>
      <c r="AM22" s="38" t="str">
        <f>_xlfn.IFNA(INDEX(KP!$AD:$AD,MATCH(($B22&amp;"|"&amp;AM$3),KP!$D:$D,0)),"")</f>
        <v/>
      </c>
      <c r="AN22" s="38">
        <f>SUM(SUMIFS(Cascade!$BE:$BE,Cascade!$B:$B,$B22,Cascade!$C:$C,{"15-24","25-34","35-49","50+"},Cascade!$D:$D,"Female"))</f>
        <v>6767</v>
      </c>
      <c r="AO22" s="38">
        <f>SUM(SUMIFS(Cascade!$BE:$BE,Cascade!$B:$B,$B22,Cascade!$C:$C,{"15-24","25-34","35-49","50+"},Cascade!$D:$D,"Male"))</f>
        <v>4383</v>
      </c>
      <c r="AP22" s="38" t="str">
        <f>_xlfn.IFNA(INDEX(KP!$AF:$AF,MATCH(($B22&amp;"|"&amp;AP$3),KP!$D:$D,0)),"")</f>
        <v/>
      </c>
      <c r="AQ22" s="38" t="str">
        <f>_xlfn.IFNA(INDEX(KP!$AF:$AF,MATCH(($B22&amp;"|"&amp;AQ$3),KP!$D:$D,0)),"")</f>
        <v/>
      </c>
      <c r="AR22" s="38" t="str">
        <f>_xlfn.IFNA(INDEX(KP!$AF:$AF,MATCH(($B22&amp;"|"&amp;AR$3),KP!$D:$D,0)),"")</f>
        <v/>
      </c>
      <c r="AS22" s="38" t="str">
        <f>_xlfn.IFNA(INDEX(KP!$AF:$AF,MATCH(($B22&amp;"|"&amp;AS$3),KP!$D:$D,0)),"")</f>
        <v/>
      </c>
      <c r="AT22" s="38" t="str">
        <f>_xlfn.IFNA(INDEX(KP!$AF:$AF,MATCH(($B22&amp;"|"&amp;AT$3),KP!$D:$D,0)),"")</f>
        <v/>
      </c>
      <c r="AU22" s="38">
        <f>SUM(SUMIFS(HTS!$AN:$AN,HTS!$B:$B,$B22,HTS!$C:$C,{"15-24","25-34","35-49","50+"},HTS!$D:$D,"Female"))</f>
        <v>394</v>
      </c>
      <c r="AV22" s="38">
        <f>SUM(SUMIFS(HTS!$AN:$AN,HTS!$B:$B,$B22,HTS!$C:$C,{"15-24","25-34","35-49","50+"},HTS!$D:$D,"Male"))</f>
        <v>87</v>
      </c>
      <c r="AW22" s="38" t="str">
        <f>_xlfn.IFNA(INDEX(KP!$AK:$AK,MATCH(($B22&amp;"|"&amp;AW$3),KP!$D:$D,0)),"")</f>
        <v/>
      </c>
      <c r="AX22" s="38" t="str">
        <f>_xlfn.IFNA(INDEX(KP!$AK:$AK,MATCH(($B22&amp;"|"&amp;AX$3),KP!$D:$D,0)),"")</f>
        <v/>
      </c>
      <c r="AY22" s="38" t="str">
        <f>_xlfn.IFNA(INDEX(KP!$AK:$AK,MATCH(($B22&amp;"|"&amp;AY$3),KP!$D:$D,0)),"")</f>
        <v/>
      </c>
      <c r="AZ22" s="38" t="str">
        <f>_xlfn.IFNA(INDEX(KP!$AK:$AK,MATCH(($B22&amp;"|"&amp;AZ$3),KP!$D:$D,0)),"")</f>
        <v/>
      </c>
      <c r="BA22" s="38" t="str">
        <f>_xlfn.IFNA(INDEX(KP!$AK:$AK,MATCH(($B22&amp;"|"&amp;BA$3),KP!$D:$D,0)),"")</f>
        <v/>
      </c>
      <c r="BB22" s="38">
        <f>SUM(SUMIFS(HTS!$AU:$AU,HTS!$B:$B,$B22,HTS!$C:$C,{"15-24","25-34","35-49","50+"},HTS!$D:$D,"Female"))</f>
        <v>44097</v>
      </c>
      <c r="BC22" s="38">
        <f>SUM(SUMIFS(HTS!$AU:$AU,HTS!$B:$B,$B22,HTS!$C:$C,{"15-24","25-34","35-49","50+"},HTS!$D:$D,"Male"))</f>
        <v>4013</v>
      </c>
      <c r="BD22" s="38" t="str">
        <f>_xlfn.IFNA(INDEX(KP!$AL:$AL,MATCH(($B22&amp;"|"&amp;BD$3),KP!$D:$D,0)),"")</f>
        <v/>
      </c>
      <c r="BE22" s="38" t="str">
        <f>_xlfn.IFNA(INDEX(KP!$AL:$AL,MATCH(($B22&amp;"|"&amp;BE$3),KP!$D:$D,0)),"")</f>
        <v/>
      </c>
      <c r="BF22" s="38" t="str">
        <f>_xlfn.IFNA(INDEX(KP!$AL:$AL,MATCH(($B22&amp;"|"&amp;BF$3),KP!$D:$D,0)),"")</f>
        <v/>
      </c>
      <c r="BG22" s="38" t="str">
        <f>_xlfn.IFNA(INDEX(KP!$AL:$AL,MATCH(($B22&amp;"|"&amp;BG$3),KP!$D:$D,0)),"")</f>
        <v/>
      </c>
      <c r="BH22" s="38" t="str">
        <f>_xlfn.IFNA(INDEX(KP!$AL:$AL,MATCH(($B22&amp;"|"&amp;BH$3),KP!$D:$D,0)),"")</f>
        <v/>
      </c>
      <c r="BI22" s="38">
        <f>SUM(SUMIFS(HTS!$BB:$BB,HTS!$B:$B,$B22,HTS!$C:$C,{"15-24","25-34","35-49","50+"},HTS!$D:$D,"Female"))</f>
        <v>190</v>
      </c>
      <c r="BJ22" s="38">
        <f>SUM(SUMIFS(HTS!$BB:$BB,HTS!$B:$B,$B22,HTS!$C:$C,{"15-24","25-34","35-49","50+"},HTS!$D:$D,"Male"))</f>
        <v>42</v>
      </c>
      <c r="BK22" s="38" t="str">
        <f>_xlfn.IFNA(INDEX(KP!$AN:$AN,MATCH(($B22&amp;"|"&amp;BK$3),KP!$D:$D,0)),"")</f>
        <v/>
      </c>
      <c r="BL22" s="38" t="str">
        <f>_xlfn.IFNA(INDEX(KP!$AN:$AN,MATCH(($B22&amp;"|"&amp;BL$3),KP!$D:$D,0)),"")</f>
        <v/>
      </c>
      <c r="BM22" s="38" t="str">
        <f>_xlfn.IFNA(INDEX(KP!$AN:$AN,MATCH(($B22&amp;"|"&amp;BM$3),KP!$D:$D,0)),"")</f>
        <v/>
      </c>
      <c r="BN22" s="38" t="str">
        <f>_xlfn.IFNA(INDEX(KP!$AN:$AN,MATCH(($B22&amp;"|"&amp;BN$3),KP!$D:$D,0)),"")</f>
        <v/>
      </c>
      <c r="BO22" s="38" t="str">
        <f>_xlfn.IFNA(INDEX(KP!$AN:$AN,MATCH(($B22&amp;"|"&amp;BO$3),KP!$D:$D,0)),"")</f>
        <v/>
      </c>
      <c r="BP22" s="38">
        <f>SUM(SUMIFS(HTS!$AZ:$AZ,HTS!$B:$B,$B22,HTS!$C:$C,{"15-24","25-34","35-49","50+"},HTS!$D:$D,"Female"))</f>
        <v>1694</v>
      </c>
      <c r="BQ22" s="38">
        <f>SUM(SUMIFS(HTS!$AZ:$AZ,HTS!$B:$B,$B22,HTS!$C:$C,{"15-24","25-34","35-49","50+"},HTS!$D:$D,"Male"))</f>
        <v>97</v>
      </c>
      <c r="BR22" s="38">
        <f>_xlfn.IFNA(INDEX(KP!$AP:$AP,MATCH(($B22&amp;"|"&amp;BR$3),KP!$D:$D,0)),"")</f>
        <v>0</v>
      </c>
      <c r="BS22" s="38">
        <f>_xlfn.IFNA(INDEX(KP!$AP:$AP,MATCH(($B22&amp;"|"&amp;BS$3),KP!$D:$D,0)),"")</f>
        <v>0</v>
      </c>
      <c r="BT22" s="38">
        <f>_xlfn.IFNA(INDEX(KP!$AP:$AP,MATCH(($B22&amp;"|"&amp;BT$3),KP!$D:$D,0)),"")</f>
        <v>0</v>
      </c>
      <c r="BU22" s="38">
        <f>_xlfn.IFNA(INDEX(KP!$AP:$AP,MATCH(($B22&amp;"|"&amp;BU$3),KP!$D:$D,0)),"")</f>
        <v>0</v>
      </c>
      <c r="BV22" s="38">
        <f>_xlfn.IFNA(INDEX(KP!$AP:$AP,MATCH(($B22&amp;"|"&amp;BV$3),KP!$D:$D,0)),"")</f>
        <v>0</v>
      </c>
    </row>
    <row r="23" spans="1:74" x14ac:dyDescent="0.2">
      <c r="A23" s="85" t="str">
        <f>INDEX(Prioritization!$D:$D,MATCH($B23,Prioritization!$A:$A,0))</f>
        <v>INVALID</v>
      </c>
      <c r="B23" s="10" t="s">
        <v>308</v>
      </c>
      <c r="C23" s="38">
        <f>SUM(SUMIFS(PrEP!$O:$O,PrEP!$B:$B,$B23,PrEP!$C:$C,{"15-24","25-34","35-49","50+"},PrEP!$D:$D,"Female"))</f>
        <v>123</v>
      </c>
      <c r="D23" s="38">
        <f>SUM(SUMIFS(PrEP!$O:$O,PrEP!$B:$B,$B23,PrEP!$C:$C,{"15-24","25-34"},PrEP!$D:$D,"Female"))</f>
        <v>66</v>
      </c>
      <c r="E23" s="38">
        <f>SUM(SUMIFS(PrEP!$O:$O,PrEP!$B:$B,$B23,PrEP!$C:$C,{"15-24","25-34","35-49","50+"},PrEP!$D:$D,"Male"))</f>
        <v>66</v>
      </c>
      <c r="F23" s="38">
        <f>_xlfn.IFNA(INDEX(KP!$I:$I,MATCH(($B23&amp;"|"&amp;F$3),KP!$D:$D,0)),"")</f>
        <v>0</v>
      </c>
      <c r="G23" s="38">
        <f>_xlfn.IFNA(INDEX(KP!$I:$I,MATCH(($B23&amp;"|"&amp;G$3),KP!$D:$D,0)),"")</f>
        <v>0</v>
      </c>
      <c r="H23" s="38">
        <f>_xlfn.IFNA(INDEX(KP!$I:$I,MATCH(($B23&amp;"|"&amp;H$3),KP!$D:$D,0)),"")</f>
        <v>0</v>
      </c>
      <c r="I23" s="38">
        <f>_xlfn.IFNA(INDEX(KP!$I:$I,MATCH(($B23&amp;"|"&amp;I$3),KP!$D:$D,0)),"")</f>
        <v>0</v>
      </c>
      <c r="J23" s="38">
        <f>_xlfn.IFNA(INDEX(KP!$I:$I,MATCH(($B23&amp;"|"&amp;J$3),KP!$D:$D,0)),"")</f>
        <v>0</v>
      </c>
      <c r="K23" s="38">
        <f>SUM(SUMIFS(PrEP!$L:$L,PrEP!$B:$B,$B23,PrEP!$C:$C,{"15-24","25-34","35-49","50+"},PrEP!$D:$D,"Female"))</f>
        <v>786</v>
      </c>
      <c r="L23" s="38">
        <f>SUM(SUMIFS(PrEP!$L:$L,PrEP!$B:$B,$B23,PrEP!$C:$C,{"15-24","25-34"},PrEP!$D:$D,"Female"))</f>
        <v>548</v>
      </c>
      <c r="M23" s="38">
        <f>SUM(SUMIFS(PrEP!$L:$L,PrEP!$B:$B,$B23,PrEP!$C:$C,{"15-24","25-34","35-49","50+"},PrEP!$D:$D,"Male"))</f>
        <v>787</v>
      </c>
      <c r="N23" s="38">
        <f>_xlfn.IFNA(INDEX(KP!$K:$K,MATCH(($B23&amp;"|"&amp;N$3),KP!$D:$D,0)),"")</f>
        <v>0</v>
      </c>
      <c r="O23" s="38">
        <f>_xlfn.IFNA(INDEX(KP!$K:$K,MATCH(($B23&amp;"|"&amp;O$3),KP!$D:$D,0)),"")</f>
        <v>0</v>
      </c>
      <c r="P23" s="38">
        <f>_xlfn.IFNA(INDEX(KP!$K:$K,MATCH(($B23&amp;"|"&amp;P$3),KP!$D:$D,0)),"")</f>
        <v>0</v>
      </c>
      <c r="Q23" s="38">
        <f>_xlfn.IFNA(INDEX(KP!$K:$K,MATCH(($B23&amp;"|"&amp;Q$3),KP!$D:$D,0)),"")</f>
        <v>0</v>
      </c>
      <c r="R23" s="38">
        <f>_xlfn.IFNA(INDEX(KP!$K:$K,MATCH(($B23&amp;"|"&amp;R$3),KP!$D:$D,0)),"")</f>
        <v>0</v>
      </c>
      <c r="S23" s="38">
        <f>SUM(SUMIFS(Cascade!$AP:$AP,Cascade!$B:$B,$B23,Cascade!$C:$C,{"15-24","25-34","35-49","50+"},Cascade!$D:$D,"Female"))</f>
        <v>9376</v>
      </c>
      <c r="T23" s="38">
        <f>SUM(SUMIFS(Cascade!$AP:$AP,Cascade!$B:$B,$B23,Cascade!$C:$C,{"15-24","25-34","35-49","50+"},Cascade!$D:$D,"Male"))</f>
        <v>5362</v>
      </c>
      <c r="U23" s="38">
        <f>_xlfn.IFNA(INDEX(KP!$Q:$Q,MATCH(($B23&amp;"|"&amp;U$3),KP!$D:$D,0)),"")</f>
        <v>0</v>
      </c>
      <c r="V23" s="38">
        <f>_xlfn.IFNA(INDEX(KP!$Q:$Q,MATCH(($B23&amp;"|"&amp;V$3),KP!$D:$D,0)),"")</f>
        <v>0</v>
      </c>
      <c r="W23" s="38">
        <f>_xlfn.IFNA(INDEX(KP!$Q:$Q,MATCH(($B23&amp;"|"&amp;W$3),KP!$D:$D,0)),"")</f>
        <v>0</v>
      </c>
      <c r="X23" s="38">
        <f>_xlfn.IFNA(INDEX(KP!$Q:$Q,MATCH(($B23&amp;"|"&amp;X$3),KP!$D:$D,0)),"")</f>
        <v>0</v>
      </c>
      <c r="Y23" s="38">
        <f>_xlfn.IFNA(INDEX(KP!$Q:$Q,MATCH(($B23&amp;"|"&amp;Y$3),KP!$D:$D,0)),"")</f>
        <v>0</v>
      </c>
      <c r="Z23" s="38">
        <f>SUM(SUMIFS(Cascade!$AX:$AX,Cascade!$B:$B,$B23,Cascade!$C:$C,{"15-24","25-34","35-49","50+"},Cascade!$D:$D,"Female"))</f>
        <v>533</v>
      </c>
      <c r="AA23" s="38">
        <f>SUM(SUMIFS(Cascade!$AX:$AX,Cascade!$B:$B,$B23,Cascade!$C:$C,{"15-24","25-34","35-49","50+"},Cascade!$D:$D,"Male"))</f>
        <v>152</v>
      </c>
      <c r="AB23" s="38" t="str">
        <f>_xlfn.IFNA(INDEX(KP!$Z:$Z,MATCH(($B23&amp;"|"&amp;AB$3),KP!$D:$D,0)),"")</f>
        <v/>
      </c>
      <c r="AC23" s="38" t="str">
        <f>_xlfn.IFNA(INDEX(KP!$Z:$Z,MATCH(($B23&amp;"|"&amp;AC$3),KP!$D:$D,0)),"")</f>
        <v/>
      </c>
      <c r="AD23" s="38" t="str">
        <f>_xlfn.IFNA(INDEX(KP!$Z:$Z,MATCH(($B23&amp;"|"&amp;AD$3),KP!$D:$D,0)),"")</f>
        <v/>
      </c>
      <c r="AE23" s="38" t="str">
        <f>_xlfn.IFNA(INDEX(KP!$Z:$Z,MATCH(($B23&amp;"|"&amp;AE$3),KP!$D:$D,0)),"")</f>
        <v/>
      </c>
      <c r="AF23" s="38" t="str">
        <f>_xlfn.IFNA(INDEX(KP!$Z:$Z,MATCH(($B23&amp;"|"&amp;AF$3),KP!$D:$D,0)),"")</f>
        <v/>
      </c>
      <c r="AG23" s="38">
        <f>SUM(SUMIFS(Cascade!$BB:$BB,Cascade!$B:$B,$B23,Cascade!$C:$C,{"15-24","25-34","35-49","50+"},Cascade!$D:$D,"Female"))</f>
        <v>8439</v>
      </c>
      <c r="AH23" s="38">
        <f>SUM(SUMIFS(Cascade!$BB:$BB,Cascade!$B:$B,$B23,Cascade!$C:$C,{"15-24","25-34","35-49","50+"},Cascade!$D:$D,"Male"))</f>
        <v>4826</v>
      </c>
      <c r="AI23" s="38" t="str">
        <f>_xlfn.IFNA(INDEX(KP!$AD:$AD,MATCH(($B23&amp;"|"&amp;AI$3),KP!$D:$D,0)),"")</f>
        <v/>
      </c>
      <c r="AJ23" s="38" t="str">
        <f>_xlfn.IFNA(INDEX(KP!$AD:$AD,MATCH(($B23&amp;"|"&amp;AJ$3),KP!$D:$D,0)),"")</f>
        <v/>
      </c>
      <c r="AK23" s="38" t="str">
        <f>_xlfn.IFNA(INDEX(KP!$AD:$AD,MATCH(($B23&amp;"|"&amp;AK$3),KP!$D:$D,0)),"")</f>
        <v/>
      </c>
      <c r="AL23" s="38" t="str">
        <f>_xlfn.IFNA(INDEX(KP!$AD:$AD,MATCH(($B23&amp;"|"&amp;AL$3),KP!$D:$D,0)),"")</f>
        <v/>
      </c>
      <c r="AM23" s="38" t="str">
        <f>_xlfn.IFNA(INDEX(KP!$AD:$AD,MATCH(($B23&amp;"|"&amp;AM$3),KP!$D:$D,0)),"")</f>
        <v/>
      </c>
      <c r="AN23" s="38">
        <f>SUM(SUMIFS(Cascade!$BE:$BE,Cascade!$B:$B,$B23,Cascade!$C:$C,{"15-24","25-34","35-49","50+"},Cascade!$D:$D,"Female"))</f>
        <v>8017</v>
      </c>
      <c r="AO23" s="38">
        <f>SUM(SUMIFS(Cascade!$BE:$BE,Cascade!$B:$B,$B23,Cascade!$C:$C,{"15-24","25-34","35-49","50+"},Cascade!$D:$D,"Male"))</f>
        <v>4584</v>
      </c>
      <c r="AP23" s="38" t="str">
        <f>_xlfn.IFNA(INDEX(KP!$AF:$AF,MATCH(($B23&amp;"|"&amp;AP$3),KP!$D:$D,0)),"")</f>
        <v/>
      </c>
      <c r="AQ23" s="38" t="str">
        <f>_xlfn.IFNA(INDEX(KP!$AF:$AF,MATCH(($B23&amp;"|"&amp;AQ$3),KP!$D:$D,0)),"")</f>
        <v/>
      </c>
      <c r="AR23" s="38" t="str">
        <f>_xlfn.IFNA(INDEX(KP!$AF:$AF,MATCH(($B23&amp;"|"&amp;AR$3),KP!$D:$D,0)),"")</f>
        <v/>
      </c>
      <c r="AS23" s="38" t="str">
        <f>_xlfn.IFNA(INDEX(KP!$AF:$AF,MATCH(($B23&amp;"|"&amp;AS$3),KP!$D:$D,0)),"")</f>
        <v/>
      </c>
      <c r="AT23" s="38" t="str">
        <f>_xlfn.IFNA(INDEX(KP!$AF:$AF,MATCH(($B23&amp;"|"&amp;AT$3),KP!$D:$D,0)),"")</f>
        <v/>
      </c>
      <c r="AU23" s="38">
        <f>SUM(SUMIFS(HTS!$AN:$AN,HTS!$B:$B,$B23,HTS!$C:$C,{"15-24","25-34","35-49","50+"},HTS!$D:$D,"Female"))</f>
        <v>561</v>
      </c>
      <c r="AV23" s="38">
        <f>SUM(SUMIFS(HTS!$AN:$AN,HTS!$B:$B,$B23,HTS!$C:$C,{"15-24","25-34","35-49","50+"},HTS!$D:$D,"Male"))</f>
        <v>159</v>
      </c>
      <c r="AW23" s="38" t="str">
        <f>_xlfn.IFNA(INDEX(KP!$AK:$AK,MATCH(($B23&amp;"|"&amp;AW$3),KP!$D:$D,0)),"")</f>
        <v/>
      </c>
      <c r="AX23" s="38" t="str">
        <f>_xlfn.IFNA(INDEX(KP!$AK:$AK,MATCH(($B23&amp;"|"&amp;AX$3),KP!$D:$D,0)),"")</f>
        <v/>
      </c>
      <c r="AY23" s="38" t="str">
        <f>_xlfn.IFNA(INDEX(KP!$AK:$AK,MATCH(($B23&amp;"|"&amp;AY$3),KP!$D:$D,0)),"")</f>
        <v/>
      </c>
      <c r="AZ23" s="38" t="str">
        <f>_xlfn.IFNA(INDEX(KP!$AK:$AK,MATCH(($B23&amp;"|"&amp;AZ$3),KP!$D:$D,0)),"")</f>
        <v/>
      </c>
      <c r="BA23" s="38" t="str">
        <f>_xlfn.IFNA(INDEX(KP!$AK:$AK,MATCH(($B23&amp;"|"&amp;BA$3),KP!$D:$D,0)),"")</f>
        <v/>
      </c>
      <c r="BB23" s="38">
        <f>SUM(SUMIFS(HTS!$AU:$AU,HTS!$B:$B,$B23,HTS!$C:$C,{"15-24","25-34","35-49","50+"},HTS!$D:$D,"Female"))</f>
        <v>36114</v>
      </c>
      <c r="BC23" s="38">
        <f>SUM(SUMIFS(HTS!$AU:$AU,HTS!$B:$B,$B23,HTS!$C:$C,{"15-24","25-34","35-49","50+"},HTS!$D:$D,"Male"))</f>
        <v>6991</v>
      </c>
      <c r="BD23" s="38" t="str">
        <f>_xlfn.IFNA(INDEX(KP!$AL:$AL,MATCH(($B23&amp;"|"&amp;BD$3),KP!$D:$D,0)),"")</f>
        <v/>
      </c>
      <c r="BE23" s="38" t="str">
        <f>_xlfn.IFNA(INDEX(KP!$AL:$AL,MATCH(($B23&amp;"|"&amp;BE$3),KP!$D:$D,0)),"")</f>
        <v/>
      </c>
      <c r="BF23" s="38" t="str">
        <f>_xlfn.IFNA(INDEX(KP!$AL:$AL,MATCH(($B23&amp;"|"&amp;BF$3),KP!$D:$D,0)),"")</f>
        <v/>
      </c>
      <c r="BG23" s="38" t="str">
        <f>_xlfn.IFNA(INDEX(KP!$AL:$AL,MATCH(($B23&amp;"|"&amp;BG$3),KP!$D:$D,0)),"")</f>
        <v/>
      </c>
      <c r="BH23" s="38" t="str">
        <f>_xlfn.IFNA(INDEX(KP!$AL:$AL,MATCH(($B23&amp;"|"&amp;BH$3),KP!$D:$D,0)),"")</f>
        <v/>
      </c>
      <c r="BI23" s="38">
        <f>SUM(SUMIFS(HTS!$BB:$BB,HTS!$B:$B,$B23,HTS!$C:$C,{"15-24","25-34","35-49","50+"},HTS!$D:$D,"Female"))</f>
        <v>420</v>
      </c>
      <c r="BJ23" s="38">
        <f>SUM(SUMIFS(HTS!$BB:$BB,HTS!$B:$B,$B23,HTS!$C:$C,{"15-24","25-34","35-49","50+"},HTS!$D:$D,"Male"))</f>
        <v>120</v>
      </c>
      <c r="BK23" s="38" t="str">
        <f>_xlfn.IFNA(INDEX(KP!$AN:$AN,MATCH(($B23&amp;"|"&amp;BK$3),KP!$D:$D,0)),"")</f>
        <v/>
      </c>
      <c r="BL23" s="38" t="str">
        <f>_xlfn.IFNA(INDEX(KP!$AN:$AN,MATCH(($B23&amp;"|"&amp;BL$3),KP!$D:$D,0)),"")</f>
        <v/>
      </c>
      <c r="BM23" s="38" t="str">
        <f>_xlfn.IFNA(INDEX(KP!$AN:$AN,MATCH(($B23&amp;"|"&amp;BM$3),KP!$D:$D,0)),"")</f>
        <v/>
      </c>
      <c r="BN23" s="38" t="str">
        <f>_xlfn.IFNA(INDEX(KP!$AN:$AN,MATCH(($B23&amp;"|"&amp;BN$3),KP!$D:$D,0)),"")</f>
        <v/>
      </c>
      <c r="BO23" s="38" t="str">
        <f>_xlfn.IFNA(INDEX(KP!$AN:$AN,MATCH(($B23&amp;"|"&amp;BO$3),KP!$D:$D,0)),"")</f>
        <v/>
      </c>
      <c r="BP23" s="38">
        <f>SUM(SUMIFS(HTS!$AZ:$AZ,HTS!$B:$B,$B23,HTS!$C:$C,{"15-24","25-34","35-49","50+"},HTS!$D:$D,"Female"))</f>
        <v>2245</v>
      </c>
      <c r="BQ23" s="38">
        <f>SUM(SUMIFS(HTS!$AZ:$AZ,HTS!$B:$B,$B23,HTS!$C:$C,{"15-24","25-34","35-49","50+"},HTS!$D:$D,"Male"))</f>
        <v>408</v>
      </c>
      <c r="BR23" s="38">
        <f>_xlfn.IFNA(INDEX(KP!$AP:$AP,MATCH(($B23&amp;"|"&amp;BR$3),KP!$D:$D,0)),"")</f>
        <v>0</v>
      </c>
      <c r="BS23" s="38">
        <f>_xlfn.IFNA(INDEX(KP!$AP:$AP,MATCH(($B23&amp;"|"&amp;BS$3),KP!$D:$D,0)),"")</f>
        <v>0</v>
      </c>
      <c r="BT23" s="38">
        <f>_xlfn.IFNA(INDEX(KP!$AP:$AP,MATCH(($B23&amp;"|"&amp;BT$3),KP!$D:$D,0)),"")</f>
        <v>0</v>
      </c>
      <c r="BU23" s="38">
        <f>_xlfn.IFNA(INDEX(KP!$AP:$AP,MATCH(($B23&amp;"|"&amp;BU$3),KP!$D:$D,0)),"")</f>
        <v>0</v>
      </c>
      <c r="BV23" s="38">
        <f>_xlfn.IFNA(INDEX(KP!$AP:$AP,MATCH(($B23&amp;"|"&amp;BV$3),KP!$D:$D,0)),"")</f>
        <v>0</v>
      </c>
    </row>
    <row r="24" spans="1:74" x14ac:dyDescent="0.2">
      <c r="A24" s="85" t="str">
        <f>INDEX(Prioritization!$D:$D,MATCH($B24,Prioritization!$A:$A,0))</f>
        <v>INVALID</v>
      </c>
      <c r="B24" s="10" t="s">
        <v>300</v>
      </c>
      <c r="C24" s="38">
        <f>SUM(SUMIFS(PrEP!$O:$O,PrEP!$B:$B,$B24,PrEP!$C:$C,{"15-24","25-34","35-49","50+"},PrEP!$D:$D,"Female"))</f>
        <v>230</v>
      </c>
      <c r="D24" s="38">
        <f>SUM(SUMIFS(PrEP!$O:$O,PrEP!$B:$B,$B24,PrEP!$C:$C,{"15-24","25-34"},PrEP!$D:$D,"Female"))</f>
        <v>102</v>
      </c>
      <c r="E24" s="38">
        <f>SUM(SUMIFS(PrEP!$O:$O,PrEP!$B:$B,$B24,PrEP!$C:$C,{"15-24","25-34","35-49","50+"},PrEP!$D:$D,"Male"))</f>
        <v>135</v>
      </c>
      <c r="F24" s="38">
        <f>_xlfn.IFNA(INDEX(KP!$I:$I,MATCH(($B24&amp;"|"&amp;F$3),KP!$D:$D,0)),"")</f>
        <v>0</v>
      </c>
      <c r="G24" s="38">
        <f>_xlfn.IFNA(INDEX(KP!$I:$I,MATCH(($B24&amp;"|"&amp;G$3),KP!$D:$D,0)),"")</f>
        <v>0</v>
      </c>
      <c r="H24" s="38">
        <f>_xlfn.IFNA(INDEX(KP!$I:$I,MATCH(($B24&amp;"|"&amp;H$3),KP!$D:$D,0)),"")</f>
        <v>0</v>
      </c>
      <c r="I24" s="38">
        <f>_xlfn.IFNA(INDEX(KP!$I:$I,MATCH(($B24&amp;"|"&amp;I$3),KP!$D:$D,0)),"")</f>
        <v>0</v>
      </c>
      <c r="J24" s="38">
        <f>_xlfn.IFNA(INDEX(KP!$I:$I,MATCH(($B24&amp;"|"&amp;J$3),KP!$D:$D,0)),"")</f>
        <v>0</v>
      </c>
      <c r="K24" s="38">
        <f>SUM(SUMIFS(PrEP!$L:$L,PrEP!$B:$B,$B24,PrEP!$C:$C,{"15-24","25-34","35-49","50+"},PrEP!$D:$D,"Female"))</f>
        <v>875</v>
      </c>
      <c r="L24" s="38">
        <f>SUM(SUMIFS(PrEP!$L:$L,PrEP!$B:$B,$B24,PrEP!$C:$C,{"15-24","25-34"},PrEP!$D:$D,"Female"))</f>
        <v>562</v>
      </c>
      <c r="M24" s="38">
        <f>SUM(SUMIFS(PrEP!$L:$L,PrEP!$B:$B,$B24,PrEP!$C:$C,{"15-24","25-34","35-49","50+"},PrEP!$D:$D,"Male"))</f>
        <v>629</v>
      </c>
      <c r="N24" s="38">
        <f>_xlfn.IFNA(INDEX(KP!$K:$K,MATCH(($B24&amp;"|"&amp;N$3),KP!$D:$D,0)),"")</f>
        <v>0</v>
      </c>
      <c r="O24" s="38">
        <f>_xlfn.IFNA(INDEX(KP!$K:$K,MATCH(($B24&amp;"|"&amp;O$3),KP!$D:$D,0)),"")</f>
        <v>0</v>
      </c>
      <c r="P24" s="38">
        <f>_xlfn.IFNA(INDEX(KP!$K:$K,MATCH(($B24&amp;"|"&amp;P$3),KP!$D:$D,0)),"")</f>
        <v>0</v>
      </c>
      <c r="Q24" s="38">
        <f>_xlfn.IFNA(INDEX(KP!$K:$K,MATCH(($B24&amp;"|"&amp;Q$3),KP!$D:$D,0)),"")</f>
        <v>0</v>
      </c>
      <c r="R24" s="38">
        <f>_xlfn.IFNA(INDEX(KP!$K:$K,MATCH(($B24&amp;"|"&amp;R$3),KP!$D:$D,0)),"")</f>
        <v>0</v>
      </c>
      <c r="S24" s="38">
        <f>SUM(SUMIFS(Cascade!$AP:$AP,Cascade!$B:$B,$B24,Cascade!$C:$C,{"15-24","25-34","35-49","50+"},Cascade!$D:$D,"Female"))</f>
        <v>11533</v>
      </c>
      <c r="T24" s="38">
        <f>SUM(SUMIFS(Cascade!$AP:$AP,Cascade!$B:$B,$B24,Cascade!$C:$C,{"15-24","25-34","35-49","50+"},Cascade!$D:$D,"Male"))</f>
        <v>6901</v>
      </c>
      <c r="U24" s="38">
        <f>_xlfn.IFNA(INDEX(KP!$Q:$Q,MATCH(($B24&amp;"|"&amp;U$3),KP!$D:$D,0)),"")</f>
        <v>0</v>
      </c>
      <c r="V24" s="38">
        <f>_xlfn.IFNA(INDEX(KP!$Q:$Q,MATCH(($B24&amp;"|"&amp;V$3),KP!$D:$D,0)),"")</f>
        <v>0</v>
      </c>
      <c r="W24" s="38">
        <f>_xlfn.IFNA(INDEX(KP!$Q:$Q,MATCH(($B24&amp;"|"&amp;W$3),KP!$D:$D,0)),"")</f>
        <v>0</v>
      </c>
      <c r="X24" s="38">
        <f>_xlfn.IFNA(INDEX(KP!$Q:$Q,MATCH(($B24&amp;"|"&amp;X$3),KP!$D:$D,0)),"")</f>
        <v>0</v>
      </c>
      <c r="Y24" s="38">
        <f>_xlfn.IFNA(INDEX(KP!$Q:$Q,MATCH(($B24&amp;"|"&amp;Y$3),KP!$D:$D,0)),"")</f>
        <v>0</v>
      </c>
      <c r="Z24" s="38">
        <f>SUM(SUMIFS(Cascade!$AX:$AX,Cascade!$B:$B,$B24,Cascade!$C:$C,{"15-24","25-34","35-49","50+"},Cascade!$D:$D,"Female"))</f>
        <v>608</v>
      </c>
      <c r="AA24" s="38">
        <f>SUM(SUMIFS(Cascade!$AX:$AX,Cascade!$B:$B,$B24,Cascade!$C:$C,{"15-24","25-34","35-49","50+"},Cascade!$D:$D,"Male"))</f>
        <v>170</v>
      </c>
      <c r="AB24" s="38" t="str">
        <f>_xlfn.IFNA(INDEX(KP!$Z:$Z,MATCH(($B24&amp;"|"&amp;AB$3),KP!$D:$D,0)),"")</f>
        <v/>
      </c>
      <c r="AC24" s="38" t="str">
        <f>_xlfn.IFNA(INDEX(KP!$Z:$Z,MATCH(($B24&amp;"|"&amp;AC$3),KP!$D:$D,0)),"")</f>
        <v/>
      </c>
      <c r="AD24" s="38" t="str">
        <f>_xlfn.IFNA(INDEX(KP!$Z:$Z,MATCH(($B24&amp;"|"&amp;AD$3),KP!$D:$D,0)),"")</f>
        <v/>
      </c>
      <c r="AE24" s="38" t="str">
        <f>_xlfn.IFNA(INDEX(KP!$Z:$Z,MATCH(($B24&amp;"|"&amp;AE$3),KP!$D:$D,0)),"")</f>
        <v/>
      </c>
      <c r="AF24" s="38" t="str">
        <f>_xlfn.IFNA(INDEX(KP!$Z:$Z,MATCH(($B24&amp;"|"&amp;AF$3),KP!$D:$D,0)),"")</f>
        <v/>
      </c>
      <c r="AG24" s="38">
        <f>SUM(SUMIFS(Cascade!$BB:$BB,Cascade!$B:$B,$B24,Cascade!$C:$C,{"15-24","25-34","35-49","50+"},Cascade!$D:$D,"Female"))</f>
        <v>10379</v>
      </c>
      <c r="AH24" s="38">
        <f>SUM(SUMIFS(Cascade!$BB:$BB,Cascade!$B:$B,$B24,Cascade!$C:$C,{"15-24","25-34","35-49","50+"},Cascade!$D:$D,"Male"))</f>
        <v>6211</v>
      </c>
      <c r="AI24" s="38" t="str">
        <f>_xlfn.IFNA(INDEX(KP!$AD:$AD,MATCH(($B24&amp;"|"&amp;AI$3),KP!$D:$D,0)),"")</f>
        <v/>
      </c>
      <c r="AJ24" s="38" t="str">
        <f>_xlfn.IFNA(INDEX(KP!$AD:$AD,MATCH(($B24&amp;"|"&amp;AJ$3),KP!$D:$D,0)),"")</f>
        <v/>
      </c>
      <c r="AK24" s="38" t="str">
        <f>_xlfn.IFNA(INDEX(KP!$AD:$AD,MATCH(($B24&amp;"|"&amp;AK$3),KP!$D:$D,0)),"")</f>
        <v/>
      </c>
      <c r="AL24" s="38" t="str">
        <f>_xlfn.IFNA(INDEX(KP!$AD:$AD,MATCH(($B24&amp;"|"&amp;AL$3),KP!$D:$D,0)),"")</f>
        <v/>
      </c>
      <c r="AM24" s="38" t="str">
        <f>_xlfn.IFNA(INDEX(KP!$AD:$AD,MATCH(($B24&amp;"|"&amp;AM$3),KP!$D:$D,0)),"")</f>
        <v/>
      </c>
      <c r="AN24" s="38">
        <f>SUM(SUMIFS(Cascade!$BE:$BE,Cascade!$B:$B,$B24,Cascade!$C:$C,{"15-24","25-34","35-49","50+"},Cascade!$D:$D,"Female"))</f>
        <v>9860</v>
      </c>
      <c r="AO24" s="38">
        <f>SUM(SUMIFS(Cascade!$BE:$BE,Cascade!$B:$B,$B24,Cascade!$C:$C,{"15-24","25-34","35-49","50+"},Cascade!$D:$D,"Male"))</f>
        <v>5900</v>
      </c>
      <c r="AP24" s="38" t="str">
        <f>_xlfn.IFNA(INDEX(KP!$AF:$AF,MATCH(($B24&amp;"|"&amp;AP$3),KP!$D:$D,0)),"")</f>
        <v/>
      </c>
      <c r="AQ24" s="38" t="str">
        <f>_xlfn.IFNA(INDEX(KP!$AF:$AF,MATCH(($B24&amp;"|"&amp;AQ$3),KP!$D:$D,0)),"")</f>
        <v/>
      </c>
      <c r="AR24" s="38" t="str">
        <f>_xlfn.IFNA(INDEX(KP!$AF:$AF,MATCH(($B24&amp;"|"&amp;AR$3),KP!$D:$D,0)),"")</f>
        <v/>
      </c>
      <c r="AS24" s="38" t="str">
        <f>_xlfn.IFNA(INDEX(KP!$AF:$AF,MATCH(($B24&amp;"|"&amp;AS$3),KP!$D:$D,0)),"")</f>
        <v/>
      </c>
      <c r="AT24" s="38" t="str">
        <f>_xlfn.IFNA(INDEX(KP!$AF:$AF,MATCH(($B24&amp;"|"&amp;AT$3),KP!$D:$D,0)),"")</f>
        <v/>
      </c>
      <c r="AU24" s="38">
        <f>SUM(SUMIFS(HTS!$AN:$AN,HTS!$B:$B,$B24,HTS!$C:$C,{"15-24","25-34","35-49","50+"},HTS!$D:$D,"Female"))</f>
        <v>639</v>
      </c>
      <c r="AV24" s="38">
        <f>SUM(SUMIFS(HTS!$AN:$AN,HTS!$B:$B,$B24,HTS!$C:$C,{"15-24","25-34","35-49","50+"},HTS!$D:$D,"Male"))</f>
        <v>179</v>
      </c>
      <c r="AW24" s="38" t="str">
        <f>_xlfn.IFNA(INDEX(KP!$AK:$AK,MATCH(($B24&amp;"|"&amp;AW$3),KP!$D:$D,0)),"")</f>
        <v/>
      </c>
      <c r="AX24" s="38" t="str">
        <f>_xlfn.IFNA(INDEX(KP!$AK:$AK,MATCH(($B24&amp;"|"&amp;AX$3),KP!$D:$D,0)),"")</f>
        <v/>
      </c>
      <c r="AY24" s="38" t="str">
        <f>_xlfn.IFNA(INDEX(KP!$AK:$AK,MATCH(($B24&amp;"|"&amp;AY$3),KP!$D:$D,0)),"")</f>
        <v/>
      </c>
      <c r="AZ24" s="38" t="str">
        <f>_xlfn.IFNA(INDEX(KP!$AK:$AK,MATCH(($B24&amp;"|"&amp;AZ$3),KP!$D:$D,0)),"")</f>
        <v/>
      </c>
      <c r="BA24" s="38" t="str">
        <f>_xlfn.IFNA(INDEX(KP!$AK:$AK,MATCH(($B24&amp;"|"&amp;BA$3),KP!$D:$D,0)),"")</f>
        <v/>
      </c>
      <c r="BB24" s="38">
        <f>SUM(SUMIFS(HTS!$AU:$AU,HTS!$B:$B,$B24,HTS!$C:$C,{"15-24","25-34","35-49","50+"},HTS!$D:$D,"Female"))</f>
        <v>57395</v>
      </c>
      <c r="BC24" s="38">
        <f>SUM(SUMIFS(HTS!$AU:$AU,HTS!$B:$B,$B24,HTS!$C:$C,{"15-24","25-34","35-49","50+"},HTS!$D:$D,"Male"))</f>
        <v>7585</v>
      </c>
      <c r="BD24" s="38" t="str">
        <f>_xlfn.IFNA(INDEX(KP!$AL:$AL,MATCH(($B24&amp;"|"&amp;BD$3),KP!$D:$D,0)),"")</f>
        <v/>
      </c>
      <c r="BE24" s="38" t="str">
        <f>_xlfn.IFNA(INDEX(KP!$AL:$AL,MATCH(($B24&amp;"|"&amp;BE$3),KP!$D:$D,0)),"")</f>
        <v/>
      </c>
      <c r="BF24" s="38" t="str">
        <f>_xlfn.IFNA(INDEX(KP!$AL:$AL,MATCH(($B24&amp;"|"&amp;BF$3),KP!$D:$D,0)),"")</f>
        <v/>
      </c>
      <c r="BG24" s="38" t="str">
        <f>_xlfn.IFNA(INDEX(KP!$AL:$AL,MATCH(($B24&amp;"|"&amp;BG$3),KP!$D:$D,0)),"")</f>
        <v/>
      </c>
      <c r="BH24" s="38" t="str">
        <f>_xlfn.IFNA(INDEX(KP!$AL:$AL,MATCH(($B24&amp;"|"&amp;BH$3),KP!$D:$D,0)),"")</f>
        <v/>
      </c>
      <c r="BI24" s="38">
        <f>SUM(SUMIFS(HTS!$BB:$BB,HTS!$B:$B,$B24,HTS!$C:$C,{"15-24","25-34","35-49","50+"},HTS!$D:$D,"Female"))</f>
        <v>262</v>
      </c>
      <c r="BJ24" s="38">
        <f>SUM(SUMIFS(HTS!$BB:$BB,HTS!$B:$B,$B24,HTS!$C:$C,{"15-24","25-34","35-49","50+"},HTS!$D:$D,"Male"))</f>
        <v>74</v>
      </c>
      <c r="BK24" s="38" t="str">
        <f>_xlfn.IFNA(INDEX(KP!$AN:$AN,MATCH(($B24&amp;"|"&amp;BK$3),KP!$D:$D,0)),"")</f>
        <v/>
      </c>
      <c r="BL24" s="38" t="str">
        <f>_xlfn.IFNA(INDEX(KP!$AN:$AN,MATCH(($B24&amp;"|"&amp;BL$3),KP!$D:$D,0)),"")</f>
        <v/>
      </c>
      <c r="BM24" s="38" t="str">
        <f>_xlfn.IFNA(INDEX(KP!$AN:$AN,MATCH(($B24&amp;"|"&amp;BM$3),KP!$D:$D,0)),"")</f>
        <v/>
      </c>
      <c r="BN24" s="38" t="str">
        <f>_xlfn.IFNA(INDEX(KP!$AN:$AN,MATCH(($B24&amp;"|"&amp;BN$3),KP!$D:$D,0)),"")</f>
        <v/>
      </c>
      <c r="BO24" s="38" t="str">
        <f>_xlfn.IFNA(INDEX(KP!$AN:$AN,MATCH(($B24&amp;"|"&amp;BO$3),KP!$D:$D,0)),"")</f>
        <v/>
      </c>
      <c r="BP24" s="38">
        <f>SUM(SUMIFS(HTS!$AZ:$AZ,HTS!$B:$B,$B24,HTS!$C:$C,{"15-24","25-34","35-49","50+"},HTS!$D:$D,"Female"))</f>
        <v>4315</v>
      </c>
      <c r="BQ24" s="38">
        <f>SUM(SUMIFS(HTS!$AZ:$AZ,HTS!$B:$B,$B24,HTS!$C:$C,{"15-24","25-34","35-49","50+"},HTS!$D:$D,"Male"))</f>
        <v>431</v>
      </c>
      <c r="BR24" s="38">
        <f>_xlfn.IFNA(INDEX(KP!$AP:$AP,MATCH(($B24&amp;"|"&amp;BR$3),KP!$D:$D,0)),"")</f>
        <v>0</v>
      </c>
      <c r="BS24" s="38">
        <f>_xlfn.IFNA(INDEX(KP!$AP:$AP,MATCH(($B24&amp;"|"&amp;BS$3),KP!$D:$D,0)),"")</f>
        <v>0</v>
      </c>
      <c r="BT24" s="38">
        <f>_xlfn.IFNA(INDEX(KP!$AP:$AP,MATCH(($B24&amp;"|"&amp;BT$3),KP!$D:$D,0)),"")</f>
        <v>0</v>
      </c>
      <c r="BU24" s="38">
        <f>_xlfn.IFNA(INDEX(KP!$AP:$AP,MATCH(($B24&amp;"|"&amp;BU$3),KP!$D:$D,0)),"")</f>
        <v>0</v>
      </c>
      <c r="BV24" s="38">
        <f>_xlfn.IFNA(INDEX(KP!$AP:$AP,MATCH(($B24&amp;"|"&amp;BV$3),KP!$D:$D,0)),"")</f>
        <v>0</v>
      </c>
    </row>
    <row r="25" spans="1:74" x14ac:dyDescent="0.2">
      <c r="A25" s="85" t="str">
        <f>INDEX(Prioritization!$D:$D,MATCH($B25,Prioritization!$A:$A,0))</f>
        <v>4 - Sustained</v>
      </c>
      <c r="B25" s="10" t="s">
        <v>309</v>
      </c>
      <c r="C25" s="38">
        <f>SUM(SUMIFS(PrEP!$O:$O,PrEP!$B:$B,$B25,PrEP!$C:$C,{"15-24","25-34","35-49","50+"},PrEP!$D:$D,"Female"))</f>
        <v>0</v>
      </c>
      <c r="D25" s="38">
        <f>SUM(SUMIFS(PrEP!$O:$O,PrEP!$B:$B,$B25,PrEP!$C:$C,{"15-24","25-34"},PrEP!$D:$D,"Female"))</f>
        <v>0</v>
      </c>
      <c r="E25" s="38">
        <f>SUM(SUMIFS(PrEP!$O:$O,PrEP!$B:$B,$B25,PrEP!$C:$C,{"15-24","25-34","35-49","50+"},PrEP!$D:$D,"Male"))</f>
        <v>0</v>
      </c>
      <c r="F25" s="38">
        <f>_xlfn.IFNA(INDEX(KP!$I:$I,MATCH(($B25&amp;"|"&amp;F$3),KP!$D:$D,0)),"")</f>
        <v>0</v>
      </c>
      <c r="G25" s="38">
        <f>_xlfn.IFNA(INDEX(KP!$I:$I,MATCH(($B25&amp;"|"&amp;G$3),KP!$D:$D,0)),"")</f>
        <v>0</v>
      </c>
      <c r="H25" s="38">
        <f>_xlfn.IFNA(INDEX(KP!$I:$I,MATCH(($B25&amp;"|"&amp;H$3),KP!$D:$D,0)),"")</f>
        <v>0</v>
      </c>
      <c r="I25" s="38">
        <f>_xlfn.IFNA(INDEX(KP!$I:$I,MATCH(($B25&amp;"|"&amp;I$3),KP!$D:$D,0)),"")</f>
        <v>0</v>
      </c>
      <c r="J25" s="38">
        <f>_xlfn.IFNA(INDEX(KP!$I:$I,MATCH(($B25&amp;"|"&amp;J$3),KP!$D:$D,0)),"")</f>
        <v>0</v>
      </c>
      <c r="K25" s="38">
        <f>SUM(SUMIFS(PrEP!$L:$L,PrEP!$B:$B,$B25,PrEP!$C:$C,{"15-24","25-34","35-49","50+"},PrEP!$D:$D,"Female"))</f>
        <v>0</v>
      </c>
      <c r="L25" s="38">
        <f>SUM(SUMIFS(PrEP!$L:$L,PrEP!$B:$B,$B25,PrEP!$C:$C,{"15-24","25-34"},PrEP!$D:$D,"Female"))</f>
        <v>0</v>
      </c>
      <c r="M25" s="38">
        <f>SUM(SUMIFS(PrEP!$L:$L,PrEP!$B:$B,$B25,PrEP!$C:$C,{"15-24","25-34","35-49","50+"},PrEP!$D:$D,"Male"))</f>
        <v>0</v>
      </c>
      <c r="N25" s="38">
        <f>_xlfn.IFNA(INDEX(KP!$K:$K,MATCH(($B25&amp;"|"&amp;N$3),KP!$D:$D,0)),"")</f>
        <v>0</v>
      </c>
      <c r="O25" s="38">
        <f>_xlfn.IFNA(INDEX(KP!$K:$K,MATCH(($B25&amp;"|"&amp;O$3),KP!$D:$D,0)),"")</f>
        <v>0</v>
      </c>
      <c r="P25" s="38">
        <f>_xlfn.IFNA(INDEX(KP!$K:$K,MATCH(($B25&amp;"|"&amp;P$3),KP!$D:$D,0)),"")</f>
        <v>0</v>
      </c>
      <c r="Q25" s="38">
        <f>_xlfn.IFNA(INDEX(KP!$K:$K,MATCH(($B25&amp;"|"&amp;Q$3),KP!$D:$D,0)),"")</f>
        <v>0</v>
      </c>
      <c r="R25" s="38">
        <f>_xlfn.IFNA(INDEX(KP!$K:$K,MATCH(($B25&amp;"|"&amp;R$3),KP!$D:$D,0)),"")</f>
        <v>0</v>
      </c>
      <c r="S25" s="38">
        <f>SUM(SUMIFS(Cascade!$AP:$AP,Cascade!$B:$B,$B25,Cascade!$C:$C,{"15-24","25-34","35-49","50+"},Cascade!$D:$D,"Female"))</f>
        <v>514</v>
      </c>
      <c r="T25" s="38">
        <f>SUM(SUMIFS(Cascade!$AP:$AP,Cascade!$B:$B,$B25,Cascade!$C:$C,{"15-24","25-34","35-49","50+"},Cascade!$D:$D,"Male"))</f>
        <v>349</v>
      </c>
      <c r="U25" s="38">
        <f>_xlfn.IFNA(INDEX(KP!$Q:$Q,MATCH(($B25&amp;"|"&amp;U$3),KP!$D:$D,0)),"")</f>
        <v>0</v>
      </c>
      <c r="V25" s="38">
        <f>_xlfn.IFNA(INDEX(KP!$Q:$Q,MATCH(($B25&amp;"|"&amp;V$3),KP!$D:$D,0)),"")</f>
        <v>0</v>
      </c>
      <c r="W25" s="38">
        <f>_xlfn.IFNA(INDEX(KP!$Q:$Q,MATCH(($B25&amp;"|"&amp;W$3),KP!$D:$D,0)),"")</f>
        <v>0</v>
      </c>
      <c r="X25" s="38">
        <f>_xlfn.IFNA(INDEX(KP!$Q:$Q,MATCH(($B25&amp;"|"&amp;X$3),KP!$D:$D,0)),"")</f>
        <v>0</v>
      </c>
      <c r="Y25" s="38">
        <f>_xlfn.IFNA(INDEX(KP!$Q:$Q,MATCH(($B25&amp;"|"&amp;Y$3),KP!$D:$D,0)),"")</f>
        <v>0</v>
      </c>
      <c r="Z25" s="38">
        <f>SUM(SUMIFS(Cascade!$AX:$AX,Cascade!$B:$B,$B25,Cascade!$C:$C,{"15-24","25-34","35-49","50+"},Cascade!$D:$D,"Female"))</f>
        <v>50</v>
      </c>
      <c r="AA25" s="38">
        <f>SUM(SUMIFS(Cascade!$AX:$AX,Cascade!$B:$B,$B25,Cascade!$C:$C,{"15-24","25-34","35-49","50+"},Cascade!$D:$D,"Male"))</f>
        <v>7</v>
      </c>
      <c r="AB25" s="38" t="str">
        <f>_xlfn.IFNA(INDEX(KP!$Z:$Z,MATCH(($B25&amp;"|"&amp;AB$3),KP!$D:$D,0)),"")</f>
        <v/>
      </c>
      <c r="AC25" s="38" t="str">
        <f>_xlfn.IFNA(INDEX(KP!$Z:$Z,MATCH(($B25&amp;"|"&amp;AC$3),KP!$D:$D,0)),"")</f>
        <v/>
      </c>
      <c r="AD25" s="38" t="str">
        <f>_xlfn.IFNA(INDEX(KP!$Z:$Z,MATCH(($B25&amp;"|"&amp;AD$3),KP!$D:$D,0)),"")</f>
        <v/>
      </c>
      <c r="AE25" s="38" t="str">
        <f>_xlfn.IFNA(INDEX(KP!$Z:$Z,MATCH(($B25&amp;"|"&amp;AE$3),KP!$D:$D,0)),"")</f>
        <v/>
      </c>
      <c r="AF25" s="38" t="str">
        <f>_xlfn.IFNA(INDEX(KP!$Z:$Z,MATCH(($B25&amp;"|"&amp;AF$3),KP!$D:$D,0)),"")</f>
        <v/>
      </c>
      <c r="AG25" s="38">
        <f>SUM(SUMIFS(Cascade!$BB:$BB,Cascade!$B:$B,$B25,Cascade!$C:$C,{"15-24","25-34","35-49","50+"},Cascade!$D:$D,"Female"))</f>
        <v>463</v>
      </c>
      <c r="AH25" s="38">
        <f>SUM(SUMIFS(Cascade!$BB:$BB,Cascade!$B:$B,$B25,Cascade!$C:$C,{"15-24","25-34","35-49","50+"},Cascade!$D:$D,"Male"))</f>
        <v>314</v>
      </c>
      <c r="AI25" s="38" t="str">
        <f>_xlfn.IFNA(INDEX(KP!$AD:$AD,MATCH(($B25&amp;"|"&amp;AI$3),KP!$D:$D,0)),"")</f>
        <v/>
      </c>
      <c r="AJ25" s="38" t="str">
        <f>_xlfn.IFNA(INDEX(KP!$AD:$AD,MATCH(($B25&amp;"|"&amp;AJ$3),KP!$D:$D,0)),"")</f>
        <v/>
      </c>
      <c r="AK25" s="38" t="str">
        <f>_xlfn.IFNA(INDEX(KP!$AD:$AD,MATCH(($B25&amp;"|"&amp;AK$3),KP!$D:$D,0)),"")</f>
        <v/>
      </c>
      <c r="AL25" s="38" t="str">
        <f>_xlfn.IFNA(INDEX(KP!$AD:$AD,MATCH(($B25&amp;"|"&amp;AL$3),KP!$D:$D,0)),"")</f>
        <v/>
      </c>
      <c r="AM25" s="38" t="str">
        <f>_xlfn.IFNA(INDEX(KP!$AD:$AD,MATCH(($B25&amp;"|"&amp;AM$3),KP!$D:$D,0)),"")</f>
        <v/>
      </c>
      <c r="AN25" s="38">
        <f>SUM(SUMIFS(Cascade!$BE:$BE,Cascade!$B:$B,$B25,Cascade!$C:$C,{"15-24","25-34","35-49","50+"},Cascade!$D:$D,"Female"))</f>
        <v>440</v>
      </c>
      <c r="AO25" s="38">
        <f>SUM(SUMIFS(Cascade!$BE:$BE,Cascade!$B:$B,$B25,Cascade!$C:$C,{"15-24","25-34","35-49","50+"},Cascade!$D:$D,"Male"))</f>
        <v>299</v>
      </c>
      <c r="AP25" s="38" t="str">
        <f>_xlfn.IFNA(INDEX(KP!$AF:$AF,MATCH(($B25&amp;"|"&amp;AP$3),KP!$D:$D,0)),"")</f>
        <v/>
      </c>
      <c r="AQ25" s="38" t="str">
        <f>_xlfn.IFNA(INDEX(KP!$AF:$AF,MATCH(($B25&amp;"|"&amp;AQ$3),KP!$D:$D,0)),"")</f>
        <v/>
      </c>
      <c r="AR25" s="38" t="str">
        <f>_xlfn.IFNA(INDEX(KP!$AF:$AF,MATCH(($B25&amp;"|"&amp;AR$3),KP!$D:$D,0)),"")</f>
        <v/>
      </c>
      <c r="AS25" s="38" t="str">
        <f>_xlfn.IFNA(INDEX(KP!$AF:$AF,MATCH(($B25&amp;"|"&amp;AS$3),KP!$D:$D,0)),"")</f>
        <v/>
      </c>
      <c r="AT25" s="38" t="str">
        <f>_xlfn.IFNA(INDEX(KP!$AF:$AF,MATCH(($B25&amp;"|"&amp;AT$3),KP!$D:$D,0)),"")</f>
        <v/>
      </c>
      <c r="AU25" s="38">
        <f>SUM(SUMIFS(HTS!$AN:$AN,HTS!$B:$B,$B25,HTS!$C:$C,{"15-24","25-34","35-49","50+"},HTS!$D:$D,"Female"))</f>
        <v>54</v>
      </c>
      <c r="AV25" s="38">
        <f>SUM(SUMIFS(HTS!$AN:$AN,HTS!$B:$B,$B25,HTS!$C:$C,{"15-24","25-34","35-49","50+"},HTS!$D:$D,"Male"))</f>
        <v>7</v>
      </c>
      <c r="AW25" s="38" t="str">
        <f>_xlfn.IFNA(INDEX(KP!$AK:$AK,MATCH(($B25&amp;"|"&amp;AW$3),KP!$D:$D,0)),"")</f>
        <v/>
      </c>
      <c r="AX25" s="38" t="str">
        <f>_xlfn.IFNA(INDEX(KP!$AK:$AK,MATCH(($B25&amp;"|"&amp;AX$3),KP!$D:$D,0)),"")</f>
        <v/>
      </c>
      <c r="AY25" s="38" t="str">
        <f>_xlfn.IFNA(INDEX(KP!$AK:$AK,MATCH(($B25&amp;"|"&amp;AY$3),KP!$D:$D,0)),"")</f>
        <v/>
      </c>
      <c r="AZ25" s="38" t="str">
        <f>_xlfn.IFNA(INDEX(KP!$AK:$AK,MATCH(($B25&amp;"|"&amp;AZ$3),KP!$D:$D,0)),"")</f>
        <v/>
      </c>
      <c r="BA25" s="38" t="str">
        <f>_xlfn.IFNA(INDEX(KP!$AK:$AK,MATCH(($B25&amp;"|"&amp;BA$3),KP!$D:$D,0)),"")</f>
        <v/>
      </c>
      <c r="BB25" s="38">
        <f>SUM(SUMIFS(HTS!$AU:$AU,HTS!$B:$B,$B25,HTS!$C:$C,{"15-24","25-34","35-49","50+"},HTS!$D:$D,"Female"))</f>
        <v>3874.9999999999995</v>
      </c>
      <c r="BC25" s="38">
        <f>SUM(SUMIFS(HTS!$AU:$AU,HTS!$B:$B,$B25,HTS!$C:$C,{"15-24","25-34","35-49","50+"},HTS!$D:$D,"Male"))</f>
        <v>460</v>
      </c>
      <c r="BD25" s="38" t="str">
        <f>_xlfn.IFNA(INDEX(KP!$AL:$AL,MATCH(($B25&amp;"|"&amp;BD$3),KP!$D:$D,0)),"")</f>
        <v/>
      </c>
      <c r="BE25" s="38" t="str">
        <f>_xlfn.IFNA(INDEX(KP!$AL:$AL,MATCH(($B25&amp;"|"&amp;BE$3),KP!$D:$D,0)),"")</f>
        <v/>
      </c>
      <c r="BF25" s="38" t="str">
        <f>_xlfn.IFNA(INDEX(KP!$AL:$AL,MATCH(($B25&amp;"|"&amp;BF$3),KP!$D:$D,0)),"")</f>
        <v/>
      </c>
      <c r="BG25" s="38" t="str">
        <f>_xlfn.IFNA(INDEX(KP!$AL:$AL,MATCH(($B25&amp;"|"&amp;BG$3),KP!$D:$D,0)),"")</f>
        <v/>
      </c>
      <c r="BH25" s="38" t="str">
        <f>_xlfn.IFNA(INDEX(KP!$AL:$AL,MATCH(($B25&amp;"|"&amp;BH$3),KP!$D:$D,0)),"")</f>
        <v/>
      </c>
      <c r="BI25" s="38">
        <f>SUM(SUMIFS(HTS!$BB:$BB,HTS!$B:$B,$B25,HTS!$C:$C,{"15-24","25-34","35-49","50+"},HTS!$D:$D,"Female"))</f>
        <v>0</v>
      </c>
      <c r="BJ25" s="38">
        <f>SUM(SUMIFS(HTS!$BB:$BB,HTS!$B:$B,$B25,HTS!$C:$C,{"15-24","25-34","35-49","50+"},HTS!$D:$D,"Male"))</f>
        <v>0</v>
      </c>
      <c r="BK25" s="38" t="str">
        <f>_xlfn.IFNA(INDEX(KP!$AN:$AN,MATCH(($B25&amp;"|"&amp;BK$3),KP!$D:$D,0)),"")</f>
        <v/>
      </c>
      <c r="BL25" s="38" t="str">
        <f>_xlfn.IFNA(INDEX(KP!$AN:$AN,MATCH(($B25&amp;"|"&amp;BL$3),KP!$D:$D,0)),"")</f>
        <v/>
      </c>
      <c r="BM25" s="38" t="str">
        <f>_xlfn.IFNA(INDEX(KP!$AN:$AN,MATCH(($B25&amp;"|"&amp;BM$3),KP!$D:$D,0)),"")</f>
        <v/>
      </c>
      <c r="BN25" s="38" t="str">
        <f>_xlfn.IFNA(INDEX(KP!$AN:$AN,MATCH(($B25&amp;"|"&amp;BN$3),KP!$D:$D,0)),"")</f>
        <v/>
      </c>
      <c r="BO25" s="38" t="str">
        <f>_xlfn.IFNA(INDEX(KP!$AN:$AN,MATCH(($B25&amp;"|"&amp;BO$3),KP!$D:$D,0)),"")</f>
        <v/>
      </c>
      <c r="BP25" s="38">
        <f>SUM(SUMIFS(HTS!$AZ:$AZ,HTS!$B:$B,$B25,HTS!$C:$C,{"15-24","25-34","35-49","50+"},HTS!$D:$D,"Female"))</f>
        <v>99</v>
      </c>
      <c r="BQ25" s="38">
        <f>SUM(SUMIFS(HTS!$AZ:$AZ,HTS!$B:$B,$B25,HTS!$C:$C,{"15-24","25-34","35-49","50+"},HTS!$D:$D,"Male"))</f>
        <v>14</v>
      </c>
      <c r="BR25" s="38">
        <f>_xlfn.IFNA(INDEX(KP!$AP:$AP,MATCH(($B25&amp;"|"&amp;BR$3),KP!$D:$D,0)),"")</f>
        <v>0</v>
      </c>
      <c r="BS25" s="38">
        <f>_xlfn.IFNA(INDEX(KP!$AP:$AP,MATCH(($B25&amp;"|"&amp;BS$3),KP!$D:$D,0)),"")</f>
        <v>0</v>
      </c>
      <c r="BT25" s="38">
        <f>_xlfn.IFNA(INDEX(KP!$AP:$AP,MATCH(($B25&amp;"|"&amp;BT$3),KP!$D:$D,0)),"")</f>
        <v>0</v>
      </c>
      <c r="BU25" s="38">
        <f>_xlfn.IFNA(INDEX(KP!$AP:$AP,MATCH(($B25&amp;"|"&amp;BU$3),KP!$D:$D,0)),"")</f>
        <v>0</v>
      </c>
      <c r="BV25" s="38">
        <f>_xlfn.IFNA(INDEX(KP!$AP:$AP,MATCH(($B25&amp;"|"&amp;BV$3),KP!$D:$D,0)),"")</f>
        <v>0</v>
      </c>
    </row>
    <row r="26" spans="1:74" x14ac:dyDescent="0.2">
      <c r="A26" s="85" t="str">
        <f>INDEX(Prioritization!$D:$D,MATCH($B26,Prioritization!$A:$A,0))</f>
        <v>INVALID</v>
      </c>
      <c r="B26" s="10" t="s">
        <v>301</v>
      </c>
      <c r="C26" s="38">
        <f>SUM(SUMIFS(PrEP!$O:$O,PrEP!$B:$B,$B26,PrEP!$C:$C,{"15-24","25-34","35-49","50+"},PrEP!$D:$D,"Female"))</f>
        <v>4322</v>
      </c>
      <c r="D26" s="38">
        <f>SUM(SUMIFS(PrEP!$O:$O,PrEP!$B:$B,$B26,PrEP!$C:$C,{"15-24","25-34"},PrEP!$D:$D,"Female"))</f>
        <v>3207</v>
      </c>
      <c r="E26" s="38">
        <f>SUM(SUMIFS(PrEP!$O:$O,PrEP!$B:$B,$B26,PrEP!$C:$C,{"15-24","25-34","35-49","50+"},PrEP!$D:$D,"Male"))</f>
        <v>4438</v>
      </c>
      <c r="F26" s="38">
        <f>_xlfn.IFNA(INDEX(KP!$I:$I,MATCH(($B26&amp;"|"&amp;F$3),KP!$D:$D,0)),"")</f>
        <v>772</v>
      </c>
      <c r="G26" s="38">
        <f>_xlfn.IFNA(INDEX(KP!$I:$I,MATCH(($B26&amp;"|"&amp;G$3),KP!$D:$D,0)),"")</f>
        <v>290</v>
      </c>
      <c r="H26" s="38">
        <f>_xlfn.IFNA(INDEX(KP!$I:$I,MATCH(($B26&amp;"|"&amp;H$3),KP!$D:$D,0)),"")</f>
        <v>0</v>
      </c>
      <c r="I26" s="38">
        <f>_xlfn.IFNA(INDEX(KP!$I:$I,MATCH(($B26&amp;"|"&amp;I$3),KP!$D:$D,0)),"")</f>
        <v>0</v>
      </c>
      <c r="J26" s="38">
        <f>_xlfn.IFNA(INDEX(KP!$I:$I,MATCH(($B26&amp;"|"&amp;J$3),KP!$D:$D,0)),"")</f>
        <v>42</v>
      </c>
      <c r="K26" s="38">
        <f>SUM(SUMIFS(PrEP!$L:$L,PrEP!$B:$B,$B26,PrEP!$C:$C,{"15-24","25-34","35-49","50+"},PrEP!$D:$D,"Female"))</f>
        <v>8551</v>
      </c>
      <c r="L26" s="38">
        <f>SUM(SUMIFS(PrEP!$L:$L,PrEP!$B:$B,$B26,PrEP!$C:$C,{"15-24","25-34"},PrEP!$D:$D,"Female"))</f>
        <v>6718</v>
      </c>
      <c r="M26" s="38">
        <f>SUM(SUMIFS(PrEP!$L:$L,PrEP!$B:$B,$B26,PrEP!$C:$C,{"15-24","25-34","35-49","50+"},PrEP!$D:$D,"Male"))</f>
        <v>6902</v>
      </c>
      <c r="N26" s="38">
        <f>_xlfn.IFNA(INDEX(KP!$K:$K,MATCH(($B26&amp;"|"&amp;N$3),KP!$D:$D,0)),"")</f>
        <v>1930</v>
      </c>
      <c r="O26" s="38">
        <f>_xlfn.IFNA(INDEX(KP!$K:$K,MATCH(($B26&amp;"|"&amp;O$3),KP!$D:$D,0)),"")</f>
        <v>487</v>
      </c>
      <c r="P26" s="38">
        <f>_xlfn.IFNA(INDEX(KP!$K:$K,MATCH(($B26&amp;"|"&amp;P$3),KP!$D:$D,0)),"")</f>
        <v>0</v>
      </c>
      <c r="Q26" s="38">
        <f>_xlfn.IFNA(INDEX(KP!$K:$K,MATCH(($B26&amp;"|"&amp;Q$3),KP!$D:$D,0)),"")</f>
        <v>0</v>
      </c>
      <c r="R26" s="38">
        <f>_xlfn.IFNA(INDEX(KP!$K:$K,MATCH(($B26&amp;"|"&amp;R$3),KP!$D:$D,0)),"")</f>
        <v>106</v>
      </c>
      <c r="S26" s="38">
        <f>SUM(SUMIFS(Cascade!$AP:$AP,Cascade!$B:$B,$B26,Cascade!$C:$C,{"15-24","25-34","35-49","50+"},Cascade!$D:$D,"Female"))</f>
        <v>70121</v>
      </c>
      <c r="T26" s="38">
        <f>SUM(SUMIFS(Cascade!$AP:$AP,Cascade!$B:$B,$B26,Cascade!$C:$C,{"15-24","25-34","35-49","50+"},Cascade!$D:$D,"Male"))</f>
        <v>42470</v>
      </c>
      <c r="U26" s="38">
        <f>_xlfn.IFNA(INDEX(KP!$Q:$Q,MATCH(($B26&amp;"|"&amp;U$3),KP!$D:$D,0)),"")</f>
        <v>2129</v>
      </c>
      <c r="V26" s="38">
        <f>_xlfn.IFNA(INDEX(KP!$Q:$Q,MATCH(($B26&amp;"|"&amp;V$3),KP!$D:$D,0)),"")</f>
        <v>308</v>
      </c>
      <c r="W26" s="38">
        <f>_xlfn.IFNA(INDEX(KP!$Q:$Q,MATCH(($B26&amp;"|"&amp;W$3),KP!$D:$D,0)),"")</f>
        <v>384</v>
      </c>
      <c r="X26" s="38">
        <f>_xlfn.IFNA(INDEX(KP!$Q:$Q,MATCH(($B26&amp;"|"&amp;X$3),KP!$D:$D,0)),"")</f>
        <v>0</v>
      </c>
      <c r="Y26" s="38">
        <f>_xlfn.IFNA(INDEX(KP!$Q:$Q,MATCH(($B26&amp;"|"&amp;Y$3),KP!$D:$D,0)),"")</f>
        <v>99</v>
      </c>
      <c r="Z26" s="38">
        <f>SUM(SUMIFS(Cascade!$AX:$AX,Cascade!$B:$B,$B26,Cascade!$C:$C,{"15-24","25-34","35-49","50+"},Cascade!$D:$D,"Female"))</f>
        <v>4784</v>
      </c>
      <c r="AA26" s="38">
        <f>SUM(SUMIFS(Cascade!$AX:$AX,Cascade!$B:$B,$B26,Cascade!$C:$C,{"15-24","25-34","35-49","50+"},Cascade!$D:$D,"Male"))</f>
        <v>3007</v>
      </c>
      <c r="AB26" s="38">
        <f>_xlfn.IFNA(INDEX(KP!$Z:$Z,MATCH(($B26&amp;"|"&amp;AB$3),KP!$D:$D,0)),"")</f>
        <v>752</v>
      </c>
      <c r="AC26" s="38">
        <f>_xlfn.IFNA(INDEX(KP!$Z:$Z,MATCH(($B26&amp;"|"&amp;AC$3),KP!$D:$D,0)),"")</f>
        <v>166</v>
      </c>
      <c r="AD26" s="38">
        <f>_xlfn.IFNA(INDEX(KP!$Z:$Z,MATCH(($B26&amp;"|"&amp;AD$3),KP!$D:$D,0)),"")</f>
        <v>68</v>
      </c>
      <c r="AE26" s="38" t="str">
        <f>_xlfn.IFNA(INDEX(KP!$Z:$Z,MATCH(($B26&amp;"|"&amp;AE$3),KP!$D:$D,0)),"")</f>
        <v/>
      </c>
      <c r="AF26" s="38">
        <f>_xlfn.IFNA(INDEX(KP!$Z:$Z,MATCH(($B26&amp;"|"&amp;AF$3),KP!$D:$D,0)),"")</f>
        <v>2</v>
      </c>
      <c r="AG26" s="38">
        <f>SUM(SUMIFS(Cascade!$BB:$BB,Cascade!$B:$B,$B26,Cascade!$C:$C,{"15-24","25-34","35-49","50+"},Cascade!$D:$D,"Female"))</f>
        <v>63108</v>
      </c>
      <c r="AH26" s="38">
        <f>SUM(SUMIFS(Cascade!$BB:$BB,Cascade!$B:$B,$B26,Cascade!$C:$C,{"15-24","25-34","35-49","50+"},Cascade!$D:$D,"Male"))</f>
        <v>38223</v>
      </c>
      <c r="AI26" s="38">
        <f>_xlfn.IFNA(INDEX(KP!$AD:$AD,MATCH(($B26&amp;"|"&amp;AI$3),KP!$D:$D,0)),"")</f>
        <v>2023</v>
      </c>
      <c r="AJ26" s="38">
        <f>_xlfn.IFNA(INDEX(KP!$AD:$AD,MATCH(($B26&amp;"|"&amp;AJ$3),KP!$D:$D,0)),"")</f>
        <v>293</v>
      </c>
      <c r="AK26" s="38">
        <f>_xlfn.IFNA(INDEX(KP!$AD:$AD,MATCH(($B26&amp;"|"&amp;AK$3),KP!$D:$D,0)),"")</f>
        <v>365</v>
      </c>
      <c r="AL26" s="38" t="str">
        <f>_xlfn.IFNA(INDEX(KP!$AD:$AD,MATCH(($B26&amp;"|"&amp;AL$3),KP!$D:$D,0)),"")</f>
        <v/>
      </c>
      <c r="AM26" s="38">
        <f>_xlfn.IFNA(INDEX(KP!$AD:$AD,MATCH(($B26&amp;"|"&amp;AM$3),KP!$D:$D,0)),"")</f>
        <v>94</v>
      </c>
      <c r="AN26" s="38">
        <f>SUM(SUMIFS(Cascade!$BE:$BE,Cascade!$B:$B,$B26,Cascade!$C:$C,{"15-24","25-34","35-49","50+"},Cascade!$D:$D,"Female"))</f>
        <v>59953</v>
      </c>
      <c r="AO26" s="38">
        <f>SUM(SUMIFS(Cascade!$BE:$BE,Cascade!$B:$B,$B26,Cascade!$C:$C,{"15-24","25-34","35-49","50+"},Cascade!$D:$D,"Male"))</f>
        <v>36312</v>
      </c>
      <c r="AP26" s="38">
        <f>_xlfn.IFNA(INDEX(KP!$AF:$AF,MATCH(($B26&amp;"|"&amp;AP$3),KP!$D:$D,0)),"")</f>
        <v>1922</v>
      </c>
      <c r="AQ26" s="38">
        <f>_xlfn.IFNA(INDEX(KP!$AF:$AF,MATCH(($B26&amp;"|"&amp;AQ$3),KP!$D:$D,0)),"")</f>
        <v>278</v>
      </c>
      <c r="AR26" s="38">
        <f>_xlfn.IFNA(INDEX(KP!$AF:$AF,MATCH(($B26&amp;"|"&amp;AR$3),KP!$D:$D,0)),"")</f>
        <v>347</v>
      </c>
      <c r="AS26" s="38" t="str">
        <f>_xlfn.IFNA(INDEX(KP!$AF:$AF,MATCH(($B26&amp;"|"&amp;AS$3),KP!$D:$D,0)),"")</f>
        <v/>
      </c>
      <c r="AT26" s="38">
        <f>_xlfn.IFNA(INDEX(KP!$AF:$AF,MATCH(($B26&amp;"|"&amp;AT$3),KP!$D:$D,0)),"")</f>
        <v>89</v>
      </c>
      <c r="AU26" s="38">
        <f>SUM(SUMIFS(HTS!$AN:$AN,HTS!$B:$B,$B26,HTS!$C:$C,{"15-24","25-34","35-49","50+"},HTS!$D:$D,"Female"))</f>
        <v>5032</v>
      </c>
      <c r="AV26" s="38">
        <f>SUM(SUMIFS(HTS!$AN:$AN,HTS!$B:$B,$B26,HTS!$C:$C,{"15-24","25-34","35-49","50+"},HTS!$D:$D,"Male"))</f>
        <v>3169</v>
      </c>
      <c r="AW26" s="38">
        <f>_xlfn.IFNA(INDEX(KP!$AK:$AK,MATCH(($B26&amp;"|"&amp;AW$3),KP!$D:$D,0)),"")</f>
        <v>792</v>
      </c>
      <c r="AX26" s="38">
        <f>_xlfn.IFNA(INDEX(KP!$AK:$AK,MATCH(($B26&amp;"|"&amp;AX$3),KP!$D:$D,0)),"")</f>
        <v>175</v>
      </c>
      <c r="AY26" s="38">
        <f>_xlfn.IFNA(INDEX(KP!$AK:$AK,MATCH(($B26&amp;"|"&amp;AY$3),KP!$D:$D,0)),"")</f>
        <v>72</v>
      </c>
      <c r="AZ26" s="38" t="str">
        <f>_xlfn.IFNA(INDEX(KP!$AK:$AK,MATCH(($B26&amp;"|"&amp;AZ$3),KP!$D:$D,0)),"")</f>
        <v/>
      </c>
      <c r="BA26" s="38">
        <f>_xlfn.IFNA(INDEX(KP!$AK:$AK,MATCH(($B26&amp;"|"&amp;BA$3),KP!$D:$D,0)),"")</f>
        <v>2</v>
      </c>
      <c r="BB26" s="38">
        <f>SUM(SUMIFS(HTS!$AU:$AU,HTS!$B:$B,$B26,HTS!$C:$C,{"15-24","25-34","35-49","50+"},HTS!$D:$D,"Female"))</f>
        <v>265396</v>
      </c>
      <c r="BC26" s="38">
        <f>SUM(SUMIFS(HTS!$AU:$AU,HTS!$B:$B,$B26,HTS!$C:$C,{"15-24","25-34","35-49","50+"},HTS!$D:$D,"Male"))</f>
        <v>187366</v>
      </c>
      <c r="BD26" s="38">
        <f>_xlfn.IFNA(INDEX(KP!$AL:$AL,MATCH(($B26&amp;"|"&amp;BD$3),KP!$D:$D,0)),"")</f>
        <v>4865</v>
      </c>
      <c r="BE26" s="38">
        <f>_xlfn.IFNA(INDEX(KP!$AL:$AL,MATCH(($B26&amp;"|"&amp;BE$3),KP!$D:$D,0)),"")</f>
        <v>1360</v>
      </c>
      <c r="BF26" s="38">
        <f>_xlfn.IFNA(INDEX(KP!$AL:$AL,MATCH(($B26&amp;"|"&amp;BF$3),KP!$D:$D,0)),"")</f>
        <v>3528</v>
      </c>
      <c r="BG26" s="38" t="str">
        <f>_xlfn.IFNA(INDEX(KP!$AL:$AL,MATCH(($B26&amp;"|"&amp;BG$3),KP!$D:$D,0)),"")</f>
        <v/>
      </c>
      <c r="BH26" s="38">
        <f>_xlfn.IFNA(INDEX(KP!$AL:$AL,MATCH(($B26&amp;"|"&amp;BH$3),KP!$D:$D,0)),"")</f>
        <v>13</v>
      </c>
      <c r="BI26" s="38">
        <f>SUM(SUMIFS(HTS!$BB:$BB,HTS!$B:$B,$B26,HTS!$C:$C,{"15-24","25-34","35-49","50+"},HTS!$D:$D,"Female"))</f>
        <v>2366</v>
      </c>
      <c r="BJ26" s="38">
        <f>SUM(SUMIFS(HTS!$BB:$BB,HTS!$B:$B,$B26,HTS!$C:$C,{"15-24","25-34","35-49","50+"},HTS!$D:$D,"Male"))</f>
        <v>1490</v>
      </c>
      <c r="BK26" s="38">
        <f>_xlfn.IFNA(INDEX(KP!$AN:$AN,MATCH(($B26&amp;"|"&amp;BK$3),KP!$D:$D,0)),"")</f>
        <v>0</v>
      </c>
      <c r="BL26" s="38">
        <f>_xlfn.IFNA(INDEX(KP!$AN:$AN,MATCH(($B26&amp;"|"&amp;BL$3),KP!$D:$D,0)),"")</f>
        <v>0</v>
      </c>
      <c r="BM26" s="38">
        <f>_xlfn.IFNA(INDEX(KP!$AN:$AN,MATCH(($B26&amp;"|"&amp;BM$3),KP!$D:$D,0)),"")</f>
        <v>0</v>
      </c>
      <c r="BN26" s="38" t="str">
        <f>_xlfn.IFNA(INDEX(KP!$AN:$AN,MATCH(($B26&amp;"|"&amp;BN$3),KP!$D:$D,0)),"")</f>
        <v/>
      </c>
      <c r="BO26" s="38">
        <f>_xlfn.IFNA(INDEX(KP!$AN:$AN,MATCH(($B26&amp;"|"&amp;BO$3),KP!$D:$D,0)),"")</f>
        <v>0</v>
      </c>
      <c r="BP26" s="38">
        <f>SUM(SUMIFS(HTS!$AZ:$AZ,HTS!$B:$B,$B26,HTS!$C:$C,{"15-24","25-34","35-49","50+"},HTS!$D:$D,"Female"))</f>
        <v>108307</v>
      </c>
      <c r="BQ26" s="38">
        <f>SUM(SUMIFS(HTS!$AZ:$AZ,HTS!$B:$B,$B26,HTS!$C:$C,{"15-24","25-34","35-49","50+"},HTS!$D:$D,"Male"))</f>
        <v>131034</v>
      </c>
      <c r="BR26" s="38">
        <f>_xlfn.IFNA(INDEX(KP!$AP:$AP,MATCH(($B26&amp;"|"&amp;BR$3),KP!$D:$D,0)),"")</f>
        <v>6784</v>
      </c>
      <c r="BS26" s="38">
        <f>_xlfn.IFNA(INDEX(KP!$AP:$AP,MATCH(($B26&amp;"|"&amp;BS$3),KP!$D:$D,0)),"")</f>
        <v>2790</v>
      </c>
      <c r="BT26" s="38">
        <f>_xlfn.IFNA(INDEX(KP!$AP:$AP,MATCH(($B26&amp;"|"&amp;BT$3),KP!$D:$D,0)),"")</f>
        <v>0</v>
      </c>
      <c r="BU26" s="38">
        <f>_xlfn.IFNA(INDEX(KP!$AP:$AP,MATCH(($B26&amp;"|"&amp;BU$3),KP!$D:$D,0)),"")</f>
        <v>0</v>
      </c>
      <c r="BV26" s="38">
        <f>_xlfn.IFNA(INDEX(KP!$AP:$AP,MATCH(($B26&amp;"|"&amp;BV$3),KP!$D:$D,0)),"")</f>
        <v>348</v>
      </c>
    </row>
    <row r="27" spans="1:74" x14ac:dyDescent="0.2">
      <c r="A27" s="85" t="str">
        <f>INDEX(Prioritization!$D:$D,MATCH($B27,Prioritization!$A:$A,0))</f>
        <v>1 - Scale-up: Saturation</v>
      </c>
      <c r="B27" s="10" t="s">
        <v>317</v>
      </c>
      <c r="C27" s="38">
        <f>SUM(SUMIFS(PrEP!$O:$O,PrEP!$B:$B,$B27,PrEP!$C:$C,{"15-24","25-34","35-49","50+"},PrEP!$D:$D,"Female"))</f>
        <v>990</v>
      </c>
      <c r="D27" s="38">
        <f>SUM(SUMIFS(PrEP!$O:$O,PrEP!$B:$B,$B27,PrEP!$C:$C,{"15-24","25-34"},PrEP!$D:$D,"Female"))</f>
        <v>769</v>
      </c>
      <c r="E27" s="38">
        <f>SUM(SUMIFS(PrEP!$O:$O,PrEP!$B:$B,$B27,PrEP!$C:$C,{"15-24","25-34","35-49","50+"},PrEP!$D:$D,"Male"))</f>
        <v>215</v>
      </c>
      <c r="F27" s="38">
        <f>_xlfn.IFNA(INDEX(KP!$I:$I,MATCH(($B27&amp;"|"&amp;F$3),KP!$D:$D,0)),"")</f>
        <v>285</v>
      </c>
      <c r="G27" s="38">
        <f>_xlfn.IFNA(INDEX(KP!$I:$I,MATCH(($B27&amp;"|"&amp;G$3),KP!$D:$D,0)),"")</f>
        <v>0</v>
      </c>
      <c r="H27" s="38">
        <f>_xlfn.IFNA(INDEX(KP!$I:$I,MATCH(($B27&amp;"|"&amp;H$3),KP!$D:$D,0)),"")</f>
        <v>0</v>
      </c>
      <c r="I27" s="38">
        <f>_xlfn.IFNA(INDEX(KP!$I:$I,MATCH(($B27&amp;"|"&amp;I$3),KP!$D:$D,0)),"")</f>
        <v>0</v>
      </c>
      <c r="J27" s="38">
        <f>_xlfn.IFNA(INDEX(KP!$I:$I,MATCH(($B27&amp;"|"&amp;J$3),KP!$D:$D,0)),"")</f>
        <v>0</v>
      </c>
      <c r="K27" s="38">
        <f>SUM(SUMIFS(PrEP!$L:$L,PrEP!$B:$B,$B27,PrEP!$C:$C,{"15-24","25-34","35-49","50+"},PrEP!$D:$D,"Female"))</f>
        <v>5582</v>
      </c>
      <c r="L27" s="38">
        <f>SUM(SUMIFS(PrEP!$L:$L,PrEP!$B:$B,$B27,PrEP!$C:$C,{"15-24","25-34"},PrEP!$D:$D,"Female"))</f>
        <v>4930</v>
      </c>
      <c r="M27" s="38">
        <f>SUM(SUMIFS(PrEP!$L:$L,PrEP!$B:$B,$B27,PrEP!$C:$C,{"15-24","25-34","35-49","50+"},PrEP!$D:$D,"Male"))</f>
        <v>968</v>
      </c>
      <c r="N27" s="38">
        <f>_xlfn.IFNA(INDEX(KP!$K:$K,MATCH(($B27&amp;"|"&amp;N$3),KP!$D:$D,0)),"")</f>
        <v>713</v>
      </c>
      <c r="O27" s="38">
        <f>_xlfn.IFNA(INDEX(KP!$K:$K,MATCH(($B27&amp;"|"&amp;O$3),KP!$D:$D,0)),"")</f>
        <v>0</v>
      </c>
      <c r="P27" s="38">
        <f>_xlfn.IFNA(INDEX(KP!$K:$K,MATCH(($B27&amp;"|"&amp;P$3),KP!$D:$D,0)),"")</f>
        <v>0</v>
      </c>
      <c r="Q27" s="38">
        <f>_xlfn.IFNA(INDEX(KP!$K:$K,MATCH(($B27&amp;"|"&amp;Q$3),KP!$D:$D,0)),"")</f>
        <v>0</v>
      </c>
      <c r="R27" s="38">
        <f>_xlfn.IFNA(INDEX(KP!$K:$K,MATCH(($B27&amp;"|"&amp;R$3),KP!$D:$D,0)),"")</f>
        <v>0</v>
      </c>
      <c r="S27" s="38">
        <f>SUM(SUMIFS(Cascade!$AP:$AP,Cascade!$B:$B,$B27,Cascade!$C:$C,{"15-24","25-34","35-49","50+"},Cascade!$D:$D,"Female"))</f>
        <v>21713</v>
      </c>
      <c r="T27" s="38">
        <f>SUM(SUMIFS(Cascade!$AP:$AP,Cascade!$B:$B,$B27,Cascade!$C:$C,{"15-24","25-34","35-49","50+"},Cascade!$D:$D,"Male"))</f>
        <v>10063</v>
      </c>
      <c r="U27" s="38">
        <f>_xlfn.IFNA(INDEX(KP!$Q:$Q,MATCH(($B27&amp;"|"&amp;U$3),KP!$D:$D,0)),"")</f>
        <v>587</v>
      </c>
      <c r="V27" s="38">
        <f>_xlfn.IFNA(INDEX(KP!$Q:$Q,MATCH(($B27&amp;"|"&amp;V$3),KP!$D:$D,0)),"")</f>
        <v>0</v>
      </c>
      <c r="W27" s="38">
        <f>_xlfn.IFNA(INDEX(KP!$Q:$Q,MATCH(($B27&amp;"|"&amp;W$3),KP!$D:$D,0)),"")</f>
        <v>0</v>
      </c>
      <c r="X27" s="38">
        <f>_xlfn.IFNA(INDEX(KP!$Q:$Q,MATCH(($B27&amp;"|"&amp;X$3),KP!$D:$D,0)),"")</f>
        <v>0</v>
      </c>
      <c r="Y27" s="38">
        <f>_xlfn.IFNA(INDEX(KP!$Q:$Q,MATCH(($B27&amp;"|"&amp;Y$3),KP!$D:$D,0)),"")</f>
        <v>0</v>
      </c>
      <c r="Z27" s="38">
        <f>SUM(SUMIFS(Cascade!$AX:$AX,Cascade!$B:$B,$B27,Cascade!$C:$C,{"15-24","25-34","35-49","50+"},Cascade!$D:$D,"Female"))</f>
        <v>1110</v>
      </c>
      <c r="AA27" s="38">
        <f>SUM(SUMIFS(Cascade!$AX:$AX,Cascade!$B:$B,$B27,Cascade!$C:$C,{"15-24","25-34","35-49","50+"},Cascade!$D:$D,"Male"))</f>
        <v>270</v>
      </c>
      <c r="AB27" s="38">
        <f>_xlfn.IFNA(INDEX(KP!$Z:$Z,MATCH(($B27&amp;"|"&amp;AB$3),KP!$D:$D,0)),"")</f>
        <v>128</v>
      </c>
      <c r="AC27" s="38" t="str">
        <f>_xlfn.IFNA(INDEX(KP!$Z:$Z,MATCH(($B27&amp;"|"&amp;AC$3),KP!$D:$D,0)),"")</f>
        <v/>
      </c>
      <c r="AD27" s="38" t="str">
        <f>_xlfn.IFNA(INDEX(KP!$Z:$Z,MATCH(($B27&amp;"|"&amp;AD$3),KP!$D:$D,0)),"")</f>
        <v/>
      </c>
      <c r="AE27" s="38" t="str">
        <f>_xlfn.IFNA(INDEX(KP!$Z:$Z,MATCH(($B27&amp;"|"&amp;AE$3),KP!$D:$D,0)),"")</f>
        <v/>
      </c>
      <c r="AF27" s="38" t="str">
        <f>_xlfn.IFNA(INDEX(KP!$Z:$Z,MATCH(($B27&amp;"|"&amp;AF$3),KP!$D:$D,0)),"")</f>
        <v/>
      </c>
      <c r="AG27" s="38">
        <f>SUM(SUMIFS(Cascade!$BB:$BB,Cascade!$B:$B,$B27,Cascade!$C:$C,{"15-24","25-34","35-49","50+"},Cascade!$D:$D,"Female"))</f>
        <v>19543</v>
      </c>
      <c r="AH27" s="38">
        <f>SUM(SUMIFS(Cascade!$BB:$BB,Cascade!$B:$B,$B27,Cascade!$C:$C,{"15-24","25-34","35-49","50+"},Cascade!$D:$D,"Male"))</f>
        <v>9057</v>
      </c>
      <c r="AI27" s="38">
        <f>_xlfn.IFNA(INDEX(KP!$AD:$AD,MATCH(($B27&amp;"|"&amp;AI$3),KP!$D:$D,0)),"")</f>
        <v>558</v>
      </c>
      <c r="AJ27" s="38" t="str">
        <f>_xlfn.IFNA(INDEX(KP!$AD:$AD,MATCH(($B27&amp;"|"&amp;AJ$3),KP!$D:$D,0)),"")</f>
        <v/>
      </c>
      <c r="AK27" s="38" t="str">
        <f>_xlfn.IFNA(INDEX(KP!$AD:$AD,MATCH(($B27&amp;"|"&amp;AK$3),KP!$D:$D,0)),"")</f>
        <v/>
      </c>
      <c r="AL27" s="38" t="str">
        <f>_xlfn.IFNA(INDEX(KP!$AD:$AD,MATCH(($B27&amp;"|"&amp;AL$3),KP!$D:$D,0)),"")</f>
        <v/>
      </c>
      <c r="AM27" s="38" t="str">
        <f>_xlfn.IFNA(INDEX(KP!$AD:$AD,MATCH(($B27&amp;"|"&amp;AM$3),KP!$D:$D,0)),"")</f>
        <v/>
      </c>
      <c r="AN27" s="38">
        <f>SUM(SUMIFS(Cascade!$BE:$BE,Cascade!$B:$B,$B27,Cascade!$C:$C,{"15-24","25-34","35-49","50+"},Cascade!$D:$D,"Female"))</f>
        <v>18565</v>
      </c>
      <c r="AO27" s="38">
        <f>SUM(SUMIFS(Cascade!$BE:$BE,Cascade!$B:$B,$B27,Cascade!$C:$C,{"15-24","25-34","35-49","50+"},Cascade!$D:$D,"Male"))</f>
        <v>8604</v>
      </c>
      <c r="AP27" s="38">
        <f>_xlfn.IFNA(INDEX(KP!$AF:$AF,MATCH(($B27&amp;"|"&amp;AP$3),KP!$D:$D,0)),"")</f>
        <v>530</v>
      </c>
      <c r="AQ27" s="38" t="str">
        <f>_xlfn.IFNA(INDEX(KP!$AF:$AF,MATCH(($B27&amp;"|"&amp;AQ$3),KP!$D:$D,0)),"")</f>
        <v/>
      </c>
      <c r="AR27" s="38" t="str">
        <f>_xlfn.IFNA(INDEX(KP!$AF:$AF,MATCH(($B27&amp;"|"&amp;AR$3),KP!$D:$D,0)),"")</f>
        <v/>
      </c>
      <c r="AS27" s="38" t="str">
        <f>_xlfn.IFNA(INDEX(KP!$AF:$AF,MATCH(($B27&amp;"|"&amp;AS$3),KP!$D:$D,0)),"")</f>
        <v/>
      </c>
      <c r="AT27" s="38" t="str">
        <f>_xlfn.IFNA(INDEX(KP!$AF:$AF,MATCH(($B27&amp;"|"&amp;AT$3),KP!$D:$D,0)),"")</f>
        <v/>
      </c>
      <c r="AU27" s="38">
        <f>SUM(SUMIFS(HTS!$AN:$AN,HTS!$B:$B,$B27,HTS!$C:$C,{"15-24","25-34","35-49","50+"},HTS!$D:$D,"Female"))</f>
        <v>1169</v>
      </c>
      <c r="AV27" s="38">
        <f>SUM(SUMIFS(HTS!$AN:$AN,HTS!$B:$B,$B27,HTS!$C:$C,{"15-24","25-34","35-49","50+"},HTS!$D:$D,"Male"))</f>
        <v>283</v>
      </c>
      <c r="AW27" s="38">
        <f>_xlfn.IFNA(INDEX(KP!$AK:$AK,MATCH(($B27&amp;"|"&amp;AW$3),KP!$D:$D,0)),"")</f>
        <v>135</v>
      </c>
      <c r="AX27" s="38" t="str">
        <f>_xlfn.IFNA(INDEX(KP!$AK:$AK,MATCH(($B27&amp;"|"&amp;AX$3),KP!$D:$D,0)),"")</f>
        <v/>
      </c>
      <c r="AY27" s="38" t="str">
        <f>_xlfn.IFNA(INDEX(KP!$AK:$AK,MATCH(($B27&amp;"|"&amp;AY$3),KP!$D:$D,0)),"")</f>
        <v/>
      </c>
      <c r="AZ27" s="38" t="str">
        <f>_xlfn.IFNA(INDEX(KP!$AK:$AK,MATCH(($B27&amp;"|"&amp;AZ$3),KP!$D:$D,0)),"")</f>
        <v/>
      </c>
      <c r="BA27" s="38" t="str">
        <f>_xlfn.IFNA(INDEX(KP!$AK:$AK,MATCH(($B27&amp;"|"&amp;BA$3),KP!$D:$D,0)),"")</f>
        <v/>
      </c>
      <c r="BB27" s="38">
        <f>SUM(SUMIFS(HTS!$AU:$AU,HTS!$B:$B,$B27,HTS!$C:$C,{"15-24","25-34","35-49","50+"},HTS!$D:$D,"Female"))</f>
        <v>88977</v>
      </c>
      <c r="BC27" s="38">
        <f>SUM(SUMIFS(HTS!$AU:$AU,HTS!$B:$B,$B27,HTS!$C:$C,{"15-24","25-34","35-49","50+"},HTS!$D:$D,"Male"))</f>
        <v>12090</v>
      </c>
      <c r="BD27" s="38">
        <f>_xlfn.IFNA(INDEX(KP!$AL:$AL,MATCH(($B27&amp;"|"&amp;BD$3),KP!$D:$D,0)),"")</f>
        <v>829</v>
      </c>
      <c r="BE27" s="38" t="str">
        <f>_xlfn.IFNA(INDEX(KP!$AL:$AL,MATCH(($B27&amp;"|"&amp;BE$3),KP!$D:$D,0)),"")</f>
        <v/>
      </c>
      <c r="BF27" s="38" t="str">
        <f>_xlfn.IFNA(INDEX(KP!$AL:$AL,MATCH(($B27&amp;"|"&amp;BF$3),KP!$D:$D,0)),"")</f>
        <v/>
      </c>
      <c r="BG27" s="38" t="str">
        <f>_xlfn.IFNA(INDEX(KP!$AL:$AL,MATCH(($B27&amp;"|"&amp;BG$3),KP!$D:$D,0)),"")</f>
        <v/>
      </c>
      <c r="BH27" s="38" t="str">
        <f>_xlfn.IFNA(INDEX(KP!$AL:$AL,MATCH(($B27&amp;"|"&amp;BH$3),KP!$D:$D,0)),"")</f>
        <v/>
      </c>
      <c r="BI27" s="38">
        <f>SUM(SUMIFS(HTS!$BB:$BB,HTS!$B:$B,$B27,HTS!$C:$C,{"15-24","25-34","35-49","50+"},HTS!$D:$D,"Female"))</f>
        <v>713</v>
      </c>
      <c r="BJ27" s="38">
        <f>SUM(SUMIFS(HTS!$BB:$BB,HTS!$B:$B,$B27,HTS!$C:$C,{"15-24","25-34","35-49","50+"},HTS!$D:$D,"Male"))</f>
        <v>172</v>
      </c>
      <c r="BK27" s="38">
        <f>_xlfn.IFNA(INDEX(KP!$AN:$AN,MATCH(($B27&amp;"|"&amp;BK$3),KP!$D:$D,0)),"")</f>
        <v>0</v>
      </c>
      <c r="BL27" s="38" t="str">
        <f>_xlfn.IFNA(INDEX(KP!$AN:$AN,MATCH(($B27&amp;"|"&amp;BL$3),KP!$D:$D,0)),"")</f>
        <v/>
      </c>
      <c r="BM27" s="38" t="str">
        <f>_xlfn.IFNA(INDEX(KP!$AN:$AN,MATCH(($B27&amp;"|"&amp;BM$3),KP!$D:$D,0)),"")</f>
        <v/>
      </c>
      <c r="BN27" s="38" t="str">
        <f>_xlfn.IFNA(INDEX(KP!$AN:$AN,MATCH(($B27&amp;"|"&amp;BN$3),KP!$D:$D,0)),"")</f>
        <v/>
      </c>
      <c r="BO27" s="38" t="str">
        <f>_xlfn.IFNA(INDEX(KP!$AN:$AN,MATCH(($B27&amp;"|"&amp;BO$3),KP!$D:$D,0)),"")</f>
        <v/>
      </c>
      <c r="BP27" s="38">
        <f>SUM(SUMIFS(HTS!$AZ:$AZ,HTS!$B:$B,$B27,HTS!$C:$C,{"15-24","25-34","35-49","50+"},HTS!$D:$D,"Female"))</f>
        <v>74387</v>
      </c>
      <c r="BQ27" s="38">
        <f>SUM(SUMIFS(HTS!$AZ:$AZ,HTS!$B:$B,$B27,HTS!$C:$C,{"15-24","25-34","35-49","50+"},HTS!$D:$D,"Male"))</f>
        <v>23447</v>
      </c>
      <c r="BR27" s="38">
        <f>_xlfn.IFNA(INDEX(KP!$AP:$AP,MATCH(($B27&amp;"|"&amp;BR$3),KP!$D:$D,0)),"")</f>
        <v>2505</v>
      </c>
      <c r="BS27" s="38">
        <f>_xlfn.IFNA(INDEX(KP!$AP:$AP,MATCH(($B27&amp;"|"&amp;BS$3),KP!$D:$D,0)),"")</f>
        <v>0</v>
      </c>
      <c r="BT27" s="38">
        <f>_xlfn.IFNA(INDEX(KP!$AP:$AP,MATCH(($B27&amp;"|"&amp;BT$3),KP!$D:$D,0)),"")</f>
        <v>0</v>
      </c>
      <c r="BU27" s="38">
        <f>_xlfn.IFNA(INDEX(KP!$AP:$AP,MATCH(($B27&amp;"|"&amp;BU$3),KP!$D:$D,0)),"")</f>
        <v>0</v>
      </c>
      <c r="BV27" s="38">
        <f>_xlfn.IFNA(INDEX(KP!$AP:$AP,MATCH(($B27&amp;"|"&amp;BV$3),KP!$D:$D,0)),"")</f>
        <v>0</v>
      </c>
    </row>
    <row r="28" spans="1:74" x14ac:dyDescent="0.2">
      <c r="A28" s="85" t="str">
        <f>INDEX(Prioritization!$D:$D,MATCH($B28,Prioritization!$A:$A,0))</f>
        <v>1 - Scale-up: Saturation</v>
      </c>
      <c r="B28" s="10" t="s">
        <v>318</v>
      </c>
      <c r="C28" s="38">
        <f>SUM(SUMIFS(PrEP!$O:$O,PrEP!$B:$B,$B28,PrEP!$C:$C,{"15-24","25-34","35-49","50+"},PrEP!$D:$D,"Female"))</f>
        <v>3502</v>
      </c>
      <c r="D28" s="38">
        <f>SUM(SUMIFS(PrEP!$O:$O,PrEP!$B:$B,$B28,PrEP!$C:$C,{"15-24","25-34"},PrEP!$D:$D,"Female"))</f>
        <v>2962</v>
      </c>
      <c r="E28" s="38">
        <f>SUM(SUMIFS(PrEP!$O:$O,PrEP!$B:$B,$B28,PrEP!$C:$C,{"15-24","25-34","35-49","50+"},PrEP!$D:$D,"Male"))</f>
        <v>546</v>
      </c>
      <c r="F28" s="38">
        <f>_xlfn.IFNA(INDEX(KP!$I:$I,MATCH(($B28&amp;"|"&amp;F$3),KP!$D:$D,0)),"")</f>
        <v>604</v>
      </c>
      <c r="G28" s="38">
        <f>_xlfn.IFNA(INDEX(KP!$I:$I,MATCH(($B28&amp;"|"&amp;G$3),KP!$D:$D,0)),"")</f>
        <v>0</v>
      </c>
      <c r="H28" s="38">
        <f>_xlfn.IFNA(INDEX(KP!$I:$I,MATCH(($B28&amp;"|"&amp;H$3),KP!$D:$D,0)),"")</f>
        <v>0</v>
      </c>
      <c r="I28" s="38">
        <f>_xlfn.IFNA(INDEX(KP!$I:$I,MATCH(($B28&amp;"|"&amp;I$3),KP!$D:$D,0)),"")</f>
        <v>0</v>
      </c>
      <c r="J28" s="38">
        <f>_xlfn.IFNA(INDEX(KP!$I:$I,MATCH(($B28&amp;"|"&amp;J$3),KP!$D:$D,0)),"")</f>
        <v>0</v>
      </c>
      <c r="K28" s="38">
        <f>SUM(SUMIFS(PrEP!$L:$L,PrEP!$B:$B,$B28,PrEP!$C:$C,{"15-24","25-34","35-49","50+"},PrEP!$D:$D,"Female"))</f>
        <v>3532</v>
      </c>
      <c r="L28" s="38">
        <f>SUM(SUMIFS(PrEP!$L:$L,PrEP!$B:$B,$B28,PrEP!$C:$C,{"15-24","25-34"},PrEP!$D:$D,"Female"))</f>
        <v>2876</v>
      </c>
      <c r="M28" s="38">
        <f>SUM(SUMIFS(PrEP!$L:$L,PrEP!$B:$B,$B28,PrEP!$C:$C,{"15-24","25-34","35-49","50+"},PrEP!$D:$D,"Male"))</f>
        <v>3125</v>
      </c>
      <c r="N28" s="38">
        <f>_xlfn.IFNA(INDEX(KP!$K:$K,MATCH(($B28&amp;"|"&amp;N$3),KP!$D:$D,0)),"")</f>
        <v>1511</v>
      </c>
      <c r="O28" s="38">
        <f>_xlfn.IFNA(INDEX(KP!$K:$K,MATCH(($B28&amp;"|"&amp;O$3),KP!$D:$D,0)),"")</f>
        <v>0</v>
      </c>
      <c r="P28" s="38">
        <f>_xlfn.IFNA(INDEX(KP!$K:$K,MATCH(($B28&amp;"|"&amp;P$3),KP!$D:$D,0)),"")</f>
        <v>0</v>
      </c>
      <c r="Q28" s="38">
        <f>_xlfn.IFNA(INDEX(KP!$K:$K,MATCH(($B28&amp;"|"&amp;Q$3),KP!$D:$D,0)),"")</f>
        <v>0</v>
      </c>
      <c r="R28" s="38">
        <f>_xlfn.IFNA(INDEX(KP!$K:$K,MATCH(($B28&amp;"|"&amp;R$3),KP!$D:$D,0)),"")</f>
        <v>0</v>
      </c>
      <c r="S28" s="38">
        <f>SUM(SUMIFS(Cascade!$AP:$AP,Cascade!$B:$B,$B28,Cascade!$C:$C,{"15-24","25-34","35-49","50+"},Cascade!$D:$D,"Female"))</f>
        <v>39182</v>
      </c>
      <c r="T28" s="38">
        <f>SUM(SUMIFS(Cascade!$AP:$AP,Cascade!$B:$B,$B28,Cascade!$C:$C,{"15-24","25-34","35-49","50+"},Cascade!$D:$D,"Male"))</f>
        <v>18495</v>
      </c>
      <c r="U28" s="38">
        <f>_xlfn.IFNA(INDEX(KP!$Q:$Q,MATCH(($B28&amp;"|"&amp;U$3),KP!$D:$D,0)),"")</f>
        <v>1726</v>
      </c>
      <c r="V28" s="38">
        <f>_xlfn.IFNA(INDEX(KP!$Q:$Q,MATCH(($B28&amp;"|"&amp;V$3),KP!$D:$D,0)),"")</f>
        <v>194</v>
      </c>
      <c r="W28" s="38">
        <f>_xlfn.IFNA(INDEX(KP!$Q:$Q,MATCH(($B28&amp;"|"&amp;W$3),KP!$D:$D,0)),"")</f>
        <v>0</v>
      </c>
      <c r="X28" s="38">
        <f>_xlfn.IFNA(INDEX(KP!$Q:$Q,MATCH(($B28&amp;"|"&amp;X$3),KP!$D:$D,0)),"")</f>
        <v>0</v>
      </c>
      <c r="Y28" s="38">
        <f>_xlfn.IFNA(INDEX(KP!$Q:$Q,MATCH(($B28&amp;"|"&amp;Y$3),KP!$D:$D,0)),"")</f>
        <v>125</v>
      </c>
      <c r="Z28" s="38">
        <f>SUM(SUMIFS(Cascade!$AX:$AX,Cascade!$B:$B,$B28,Cascade!$C:$C,{"15-24","25-34","35-49","50+"},Cascade!$D:$D,"Female"))</f>
        <v>2299</v>
      </c>
      <c r="AA28" s="38">
        <f>SUM(SUMIFS(Cascade!$AX:$AX,Cascade!$B:$B,$B28,Cascade!$C:$C,{"15-24","25-34","35-49","50+"},Cascade!$D:$D,"Male"))</f>
        <v>620</v>
      </c>
      <c r="AB28" s="38">
        <f>_xlfn.IFNA(INDEX(KP!$Z:$Z,MATCH(($B28&amp;"|"&amp;AB$3),KP!$D:$D,0)),"")</f>
        <v>538</v>
      </c>
      <c r="AC28" s="38">
        <f>_xlfn.IFNA(INDEX(KP!$Z:$Z,MATCH(($B28&amp;"|"&amp;AC$3),KP!$D:$D,0)),"")</f>
        <v>0</v>
      </c>
      <c r="AD28" s="38" t="str">
        <f>_xlfn.IFNA(INDEX(KP!$Z:$Z,MATCH(($B28&amp;"|"&amp;AD$3),KP!$D:$D,0)),"")</f>
        <v/>
      </c>
      <c r="AE28" s="38" t="str">
        <f>_xlfn.IFNA(INDEX(KP!$Z:$Z,MATCH(($B28&amp;"|"&amp;AE$3),KP!$D:$D,0)),"")</f>
        <v/>
      </c>
      <c r="AF28" s="38">
        <f>_xlfn.IFNA(INDEX(KP!$Z:$Z,MATCH(($B28&amp;"|"&amp;AF$3),KP!$D:$D,0)),"")</f>
        <v>0</v>
      </c>
      <c r="AG28" s="38">
        <f>SUM(SUMIFS(Cascade!$BB:$BB,Cascade!$B:$B,$B28,Cascade!$C:$C,{"15-24","25-34","35-49","50+"},Cascade!$D:$D,"Female"))</f>
        <v>35264</v>
      </c>
      <c r="AH28" s="38">
        <f>SUM(SUMIFS(Cascade!$BB:$BB,Cascade!$B:$B,$B28,Cascade!$C:$C,{"15-24","25-34","35-49","50+"},Cascade!$D:$D,"Male"))</f>
        <v>16645</v>
      </c>
      <c r="AI28" s="38">
        <f>_xlfn.IFNA(INDEX(KP!$AD:$AD,MATCH(($B28&amp;"|"&amp;AI$3),KP!$D:$D,0)),"")</f>
        <v>1640</v>
      </c>
      <c r="AJ28" s="38">
        <f>_xlfn.IFNA(INDEX(KP!$AD:$AD,MATCH(($B28&amp;"|"&amp;AJ$3),KP!$D:$D,0)),"")</f>
        <v>0</v>
      </c>
      <c r="AK28" s="38" t="str">
        <f>_xlfn.IFNA(INDEX(KP!$AD:$AD,MATCH(($B28&amp;"|"&amp;AK$3),KP!$D:$D,0)),"")</f>
        <v/>
      </c>
      <c r="AL28" s="38" t="str">
        <f>_xlfn.IFNA(INDEX(KP!$AD:$AD,MATCH(($B28&amp;"|"&amp;AL$3),KP!$D:$D,0)),"")</f>
        <v/>
      </c>
      <c r="AM28" s="38">
        <f>_xlfn.IFNA(INDEX(KP!$AD:$AD,MATCH(($B28&amp;"|"&amp;AM$3),KP!$D:$D,0)),"")</f>
        <v>0</v>
      </c>
      <c r="AN28" s="38">
        <f>SUM(SUMIFS(Cascade!$BE:$BE,Cascade!$B:$B,$B28,Cascade!$C:$C,{"15-24","25-34","35-49","50+"},Cascade!$D:$D,"Female"))</f>
        <v>33501</v>
      </c>
      <c r="AO28" s="38">
        <f>SUM(SUMIFS(Cascade!$BE:$BE,Cascade!$B:$B,$B28,Cascade!$C:$C,{"15-24","25-34","35-49","50+"},Cascade!$D:$D,"Male"))</f>
        <v>15813</v>
      </c>
      <c r="AP28" s="38">
        <f>_xlfn.IFNA(INDEX(KP!$AF:$AF,MATCH(($B28&amp;"|"&amp;AP$3),KP!$D:$D,0)),"")</f>
        <v>1558</v>
      </c>
      <c r="AQ28" s="38">
        <f>_xlfn.IFNA(INDEX(KP!$AF:$AF,MATCH(($B28&amp;"|"&amp;AQ$3),KP!$D:$D,0)),"")</f>
        <v>0</v>
      </c>
      <c r="AR28" s="38" t="str">
        <f>_xlfn.IFNA(INDEX(KP!$AF:$AF,MATCH(($B28&amp;"|"&amp;AR$3),KP!$D:$D,0)),"")</f>
        <v/>
      </c>
      <c r="AS28" s="38" t="str">
        <f>_xlfn.IFNA(INDEX(KP!$AF:$AF,MATCH(($B28&amp;"|"&amp;AS$3),KP!$D:$D,0)),"")</f>
        <v/>
      </c>
      <c r="AT28" s="38">
        <f>_xlfn.IFNA(INDEX(KP!$AF:$AF,MATCH(($B28&amp;"|"&amp;AT$3),KP!$D:$D,0)),"")</f>
        <v>0</v>
      </c>
      <c r="AU28" s="38">
        <f>SUM(SUMIFS(HTS!$AN:$AN,HTS!$B:$B,$B28,HTS!$C:$C,{"15-24","25-34","35-49","50+"},HTS!$D:$D,"Female"))</f>
        <v>2423</v>
      </c>
      <c r="AV28" s="38">
        <f>SUM(SUMIFS(HTS!$AN:$AN,HTS!$B:$B,$B28,HTS!$C:$C,{"15-24","25-34","35-49","50+"},HTS!$D:$D,"Male"))</f>
        <v>652</v>
      </c>
      <c r="AW28" s="38">
        <f>_xlfn.IFNA(INDEX(KP!$AK:$AK,MATCH(($B28&amp;"|"&amp;AW$3),KP!$D:$D,0)),"")</f>
        <v>566</v>
      </c>
      <c r="AX28" s="38" t="str">
        <f>_xlfn.IFNA(INDEX(KP!$AK:$AK,MATCH(($B28&amp;"|"&amp;AX$3),KP!$D:$D,0)),"")</f>
        <v/>
      </c>
      <c r="AY28" s="38" t="str">
        <f>_xlfn.IFNA(INDEX(KP!$AK:$AK,MATCH(($B28&amp;"|"&amp;AY$3),KP!$D:$D,0)),"")</f>
        <v/>
      </c>
      <c r="AZ28" s="38" t="str">
        <f>_xlfn.IFNA(INDEX(KP!$AK:$AK,MATCH(($B28&amp;"|"&amp;AZ$3),KP!$D:$D,0)),"")</f>
        <v/>
      </c>
      <c r="BA28" s="38" t="str">
        <f>_xlfn.IFNA(INDEX(KP!$AK:$AK,MATCH(($B28&amp;"|"&amp;BA$3),KP!$D:$D,0)),"")</f>
        <v/>
      </c>
      <c r="BB28" s="38">
        <f>SUM(SUMIFS(HTS!$AU:$AU,HTS!$B:$B,$B28,HTS!$C:$C,{"15-24","25-34","35-49","50+"},HTS!$D:$D,"Female"))</f>
        <v>149982</v>
      </c>
      <c r="BC28" s="38">
        <f>SUM(SUMIFS(HTS!$AU:$AU,HTS!$B:$B,$B28,HTS!$C:$C,{"15-24","25-34","35-49","50+"},HTS!$D:$D,"Male"))</f>
        <v>22481</v>
      </c>
      <c r="BD28" s="38">
        <f>_xlfn.IFNA(INDEX(KP!$AL:$AL,MATCH(($B28&amp;"|"&amp;BD$3),KP!$D:$D,0)),"")</f>
        <v>3477</v>
      </c>
      <c r="BE28" s="38" t="str">
        <f>_xlfn.IFNA(INDEX(KP!$AL:$AL,MATCH(($B28&amp;"|"&amp;BE$3),KP!$D:$D,0)),"")</f>
        <v/>
      </c>
      <c r="BF28" s="38" t="str">
        <f>_xlfn.IFNA(INDEX(KP!$AL:$AL,MATCH(($B28&amp;"|"&amp;BF$3),KP!$D:$D,0)),"")</f>
        <v/>
      </c>
      <c r="BG28" s="38" t="str">
        <f>_xlfn.IFNA(INDEX(KP!$AL:$AL,MATCH(($B28&amp;"|"&amp;BG$3),KP!$D:$D,0)),"")</f>
        <v/>
      </c>
      <c r="BH28" s="38" t="str">
        <f>_xlfn.IFNA(INDEX(KP!$AL:$AL,MATCH(($B28&amp;"|"&amp;BH$3),KP!$D:$D,0)),"")</f>
        <v/>
      </c>
      <c r="BI28" s="38">
        <f>SUM(SUMIFS(HTS!$BB:$BB,HTS!$B:$B,$B28,HTS!$C:$C,{"15-24","25-34","35-49","50+"},HTS!$D:$D,"Female"))</f>
        <v>1502</v>
      </c>
      <c r="BJ28" s="38">
        <f>SUM(SUMIFS(HTS!$BB:$BB,HTS!$B:$B,$B28,HTS!$C:$C,{"15-24","25-34","35-49","50+"},HTS!$D:$D,"Male"))</f>
        <v>405</v>
      </c>
      <c r="BK28" s="38">
        <f>_xlfn.IFNA(INDEX(KP!$AN:$AN,MATCH(($B28&amp;"|"&amp;BK$3),KP!$D:$D,0)),"")</f>
        <v>0</v>
      </c>
      <c r="BL28" s="38" t="str">
        <f>_xlfn.IFNA(INDEX(KP!$AN:$AN,MATCH(($B28&amp;"|"&amp;BL$3),KP!$D:$D,0)),"")</f>
        <v/>
      </c>
      <c r="BM28" s="38" t="str">
        <f>_xlfn.IFNA(INDEX(KP!$AN:$AN,MATCH(($B28&amp;"|"&amp;BM$3),KP!$D:$D,0)),"")</f>
        <v/>
      </c>
      <c r="BN28" s="38" t="str">
        <f>_xlfn.IFNA(INDEX(KP!$AN:$AN,MATCH(($B28&amp;"|"&amp;BN$3),KP!$D:$D,0)),"")</f>
        <v/>
      </c>
      <c r="BO28" s="38" t="str">
        <f>_xlfn.IFNA(INDEX(KP!$AN:$AN,MATCH(($B28&amp;"|"&amp;BO$3),KP!$D:$D,0)),"")</f>
        <v/>
      </c>
      <c r="BP28" s="38">
        <f>SUM(SUMIFS(HTS!$AZ:$AZ,HTS!$B:$B,$B28,HTS!$C:$C,{"15-24","25-34","35-49","50+"},HTS!$D:$D,"Female"))</f>
        <v>33495</v>
      </c>
      <c r="BQ28" s="38">
        <f>SUM(SUMIFS(HTS!$AZ:$AZ,HTS!$B:$B,$B28,HTS!$C:$C,{"15-24","25-34","35-49","50+"},HTS!$D:$D,"Male"))</f>
        <v>12466</v>
      </c>
      <c r="BR28" s="38">
        <f>_xlfn.IFNA(INDEX(KP!$AP:$AP,MATCH(($B28&amp;"|"&amp;BR$3),KP!$D:$D,0)),"")</f>
        <v>5311</v>
      </c>
      <c r="BS28" s="38">
        <f>_xlfn.IFNA(INDEX(KP!$AP:$AP,MATCH(($B28&amp;"|"&amp;BS$3),KP!$D:$D,0)),"")</f>
        <v>1762</v>
      </c>
      <c r="BT28" s="38">
        <f>_xlfn.IFNA(INDEX(KP!$AP:$AP,MATCH(($B28&amp;"|"&amp;BT$3),KP!$D:$D,0)),"")</f>
        <v>0</v>
      </c>
      <c r="BU28" s="38">
        <f>_xlfn.IFNA(INDEX(KP!$AP:$AP,MATCH(($B28&amp;"|"&amp;BU$3),KP!$D:$D,0)),"")</f>
        <v>0</v>
      </c>
      <c r="BV28" s="38">
        <f>_xlfn.IFNA(INDEX(KP!$AP:$AP,MATCH(($B28&amp;"|"&amp;BV$3),KP!$D:$D,0)),"")</f>
        <v>480</v>
      </c>
    </row>
    <row r="29" spans="1:74" x14ac:dyDescent="0.2">
      <c r="A29" s="85" t="str">
        <f>INDEX(Prioritization!$D:$D,MATCH($B29,Prioritization!$A:$A,0))</f>
        <v>4 - Sustained</v>
      </c>
      <c r="B29" s="10" t="s">
        <v>302</v>
      </c>
      <c r="C29" s="38">
        <f>SUM(SUMIFS(PrEP!$O:$O,PrEP!$B:$B,$B29,PrEP!$C:$C,{"15-24","25-34","35-49","50+"},PrEP!$D:$D,"Female"))</f>
        <v>66</v>
      </c>
      <c r="D29" s="38">
        <f>SUM(SUMIFS(PrEP!$O:$O,PrEP!$B:$B,$B29,PrEP!$C:$C,{"15-24","25-34"},PrEP!$D:$D,"Female"))</f>
        <v>33</v>
      </c>
      <c r="E29" s="38">
        <f>SUM(SUMIFS(PrEP!$O:$O,PrEP!$B:$B,$B29,PrEP!$C:$C,{"15-24","25-34","35-49","50+"},PrEP!$D:$D,"Male"))</f>
        <v>48</v>
      </c>
      <c r="F29" s="38">
        <f>_xlfn.IFNA(INDEX(KP!$I:$I,MATCH(($B29&amp;"|"&amp;F$3),KP!$D:$D,0)),"")</f>
        <v>0</v>
      </c>
      <c r="G29" s="38">
        <f>_xlfn.IFNA(INDEX(KP!$I:$I,MATCH(($B29&amp;"|"&amp;G$3),KP!$D:$D,0)),"")</f>
        <v>0</v>
      </c>
      <c r="H29" s="38">
        <f>_xlfn.IFNA(INDEX(KP!$I:$I,MATCH(($B29&amp;"|"&amp;H$3),KP!$D:$D,0)),"")</f>
        <v>0</v>
      </c>
      <c r="I29" s="38">
        <f>_xlfn.IFNA(INDEX(KP!$I:$I,MATCH(($B29&amp;"|"&amp;I$3),KP!$D:$D,0)),"")</f>
        <v>0</v>
      </c>
      <c r="J29" s="38">
        <f>_xlfn.IFNA(INDEX(KP!$I:$I,MATCH(($B29&amp;"|"&amp;J$3),KP!$D:$D,0)),"")</f>
        <v>0</v>
      </c>
      <c r="K29" s="38">
        <f>SUM(SUMIFS(PrEP!$L:$L,PrEP!$B:$B,$B29,PrEP!$C:$C,{"15-24","25-34","35-49","50+"},PrEP!$D:$D,"Female"))</f>
        <v>541</v>
      </c>
      <c r="L29" s="38">
        <f>SUM(SUMIFS(PrEP!$L:$L,PrEP!$B:$B,$B29,PrEP!$C:$C,{"15-24","25-34"},PrEP!$D:$D,"Female"))</f>
        <v>437</v>
      </c>
      <c r="M29" s="38">
        <f>SUM(SUMIFS(PrEP!$L:$L,PrEP!$B:$B,$B29,PrEP!$C:$C,{"15-24","25-34","35-49","50+"},PrEP!$D:$D,"Male"))</f>
        <v>568</v>
      </c>
      <c r="N29" s="38">
        <f>_xlfn.IFNA(INDEX(KP!$K:$K,MATCH(($B29&amp;"|"&amp;N$3),KP!$D:$D,0)),"")</f>
        <v>0</v>
      </c>
      <c r="O29" s="38">
        <f>_xlfn.IFNA(INDEX(KP!$K:$K,MATCH(($B29&amp;"|"&amp;O$3),KP!$D:$D,0)),"")</f>
        <v>0</v>
      </c>
      <c r="P29" s="38">
        <f>_xlfn.IFNA(INDEX(KP!$K:$K,MATCH(($B29&amp;"|"&amp;P$3),KP!$D:$D,0)),"")</f>
        <v>0</v>
      </c>
      <c r="Q29" s="38">
        <f>_xlfn.IFNA(INDEX(KP!$K:$K,MATCH(($B29&amp;"|"&amp;Q$3),KP!$D:$D,0)),"")</f>
        <v>0</v>
      </c>
      <c r="R29" s="38">
        <f>_xlfn.IFNA(INDEX(KP!$K:$K,MATCH(($B29&amp;"|"&amp;R$3),KP!$D:$D,0)),"")</f>
        <v>0</v>
      </c>
      <c r="S29" s="38">
        <f>SUM(SUMIFS(Cascade!$AP:$AP,Cascade!$B:$B,$B29,Cascade!$C:$C,{"15-24","25-34","35-49","50+"},Cascade!$D:$D,"Female"))</f>
        <v>11923</v>
      </c>
      <c r="T29" s="38">
        <f>SUM(SUMIFS(Cascade!$AP:$AP,Cascade!$B:$B,$B29,Cascade!$C:$C,{"15-24","25-34","35-49","50+"},Cascade!$D:$D,"Male"))</f>
        <v>7679</v>
      </c>
      <c r="U29" s="38">
        <f>_xlfn.IFNA(INDEX(KP!$Q:$Q,MATCH(($B29&amp;"|"&amp;U$3),KP!$D:$D,0)),"")</f>
        <v>0</v>
      </c>
      <c r="V29" s="38">
        <f>_xlfn.IFNA(INDEX(KP!$Q:$Q,MATCH(($B29&amp;"|"&amp;V$3),KP!$D:$D,0)),"")</f>
        <v>0</v>
      </c>
      <c r="W29" s="38">
        <f>_xlfn.IFNA(INDEX(KP!$Q:$Q,MATCH(($B29&amp;"|"&amp;W$3),KP!$D:$D,0)),"")</f>
        <v>0</v>
      </c>
      <c r="X29" s="38">
        <f>_xlfn.IFNA(INDEX(KP!$Q:$Q,MATCH(($B29&amp;"|"&amp;X$3),KP!$D:$D,0)),"")</f>
        <v>0</v>
      </c>
      <c r="Y29" s="38">
        <f>_xlfn.IFNA(INDEX(KP!$Q:$Q,MATCH(($B29&amp;"|"&amp;Y$3),KP!$D:$D,0)),"")</f>
        <v>0</v>
      </c>
      <c r="Z29" s="38">
        <f>SUM(SUMIFS(Cascade!$AX:$AX,Cascade!$B:$B,$B29,Cascade!$C:$C,{"15-24","25-34","35-49","50+"},Cascade!$D:$D,"Female"))</f>
        <v>553</v>
      </c>
      <c r="AA29" s="38">
        <f>SUM(SUMIFS(Cascade!$AX:$AX,Cascade!$B:$B,$B29,Cascade!$C:$C,{"15-24","25-34","35-49","50+"},Cascade!$D:$D,"Male"))</f>
        <v>294</v>
      </c>
      <c r="AB29" s="38" t="str">
        <f>_xlfn.IFNA(INDEX(KP!$Z:$Z,MATCH(($B29&amp;"|"&amp;AB$3),KP!$D:$D,0)),"")</f>
        <v/>
      </c>
      <c r="AC29" s="38" t="str">
        <f>_xlfn.IFNA(INDEX(KP!$Z:$Z,MATCH(($B29&amp;"|"&amp;AC$3),KP!$D:$D,0)),"")</f>
        <v/>
      </c>
      <c r="AD29" s="38" t="str">
        <f>_xlfn.IFNA(INDEX(KP!$Z:$Z,MATCH(($B29&amp;"|"&amp;AD$3),KP!$D:$D,0)),"")</f>
        <v/>
      </c>
      <c r="AE29" s="38" t="str">
        <f>_xlfn.IFNA(INDEX(KP!$Z:$Z,MATCH(($B29&amp;"|"&amp;AE$3),KP!$D:$D,0)),"")</f>
        <v/>
      </c>
      <c r="AF29" s="38" t="str">
        <f>_xlfn.IFNA(INDEX(KP!$Z:$Z,MATCH(($B29&amp;"|"&amp;AF$3),KP!$D:$D,0)),"")</f>
        <v/>
      </c>
      <c r="AG29" s="38">
        <f>SUM(SUMIFS(Cascade!$BB:$BB,Cascade!$B:$B,$B29,Cascade!$C:$C,{"15-24","25-34","35-49","50+"},Cascade!$D:$D,"Female"))</f>
        <v>10730</v>
      </c>
      <c r="AH29" s="38">
        <f>SUM(SUMIFS(Cascade!$BB:$BB,Cascade!$B:$B,$B29,Cascade!$C:$C,{"15-24","25-34","35-49","50+"},Cascade!$D:$D,"Male"))</f>
        <v>6911</v>
      </c>
      <c r="AI29" s="38" t="str">
        <f>_xlfn.IFNA(INDEX(KP!$AD:$AD,MATCH(($B29&amp;"|"&amp;AI$3),KP!$D:$D,0)),"")</f>
        <v/>
      </c>
      <c r="AJ29" s="38">
        <f>_xlfn.IFNA(INDEX(KP!$AD:$AD,MATCH(($B29&amp;"|"&amp;AJ$3),KP!$D:$D,0)),"")</f>
        <v>0</v>
      </c>
      <c r="AK29" s="38" t="str">
        <f>_xlfn.IFNA(INDEX(KP!$AD:$AD,MATCH(($B29&amp;"|"&amp;AK$3),KP!$D:$D,0)),"")</f>
        <v/>
      </c>
      <c r="AL29" s="38" t="str">
        <f>_xlfn.IFNA(INDEX(KP!$AD:$AD,MATCH(($B29&amp;"|"&amp;AL$3),KP!$D:$D,0)),"")</f>
        <v/>
      </c>
      <c r="AM29" s="38" t="str">
        <f>_xlfn.IFNA(INDEX(KP!$AD:$AD,MATCH(($B29&amp;"|"&amp;AM$3),KP!$D:$D,0)),"")</f>
        <v/>
      </c>
      <c r="AN29" s="38">
        <f>SUM(SUMIFS(Cascade!$BE:$BE,Cascade!$B:$B,$B29,Cascade!$C:$C,{"15-24","25-34","35-49","50+"},Cascade!$D:$D,"Female"))</f>
        <v>10194</v>
      </c>
      <c r="AO29" s="38">
        <f>SUM(SUMIFS(Cascade!$BE:$BE,Cascade!$B:$B,$B29,Cascade!$C:$C,{"15-24","25-34","35-49","50+"},Cascade!$D:$D,"Male"))</f>
        <v>6565</v>
      </c>
      <c r="AP29" s="38" t="str">
        <f>_xlfn.IFNA(INDEX(KP!$AF:$AF,MATCH(($B29&amp;"|"&amp;AP$3),KP!$D:$D,0)),"")</f>
        <v/>
      </c>
      <c r="AQ29" s="38">
        <f>_xlfn.IFNA(INDEX(KP!$AF:$AF,MATCH(($B29&amp;"|"&amp;AQ$3),KP!$D:$D,0)),"")</f>
        <v>0</v>
      </c>
      <c r="AR29" s="38" t="str">
        <f>_xlfn.IFNA(INDEX(KP!$AF:$AF,MATCH(($B29&amp;"|"&amp;AR$3),KP!$D:$D,0)),"")</f>
        <v/>
      </c>
      <c r="AS29" s="38" t="str">
        <f>_xlfn.IFNA(INDEX(KP!$AF:$AF,MATCH(($B29&amp;"|"&amp;AS$3),KP!$D:$D,0)),"")</f>
        <v/>
      </c>
      <c r="AT29" s="38" t="str">
        <f>_xlfn.IFNA(INDEX(KP!$AF:$AF,MATCH(($B29&amp;"|"&amp;AT$3),KP!$D:$D,0)),"")</f>
        <v/>
      </c>
      <c r="AU29" s="38">
        <f>SUM(SUMIFS(HTS!$AN:$AN,HTS!$B:$B,$B29,HTS!$C:$C,{"15-24","25-34","35-49","50+"},HTS!$D:$D,"Female"))</f>
        <v>583</v>
      </c>
      <c r="AV29" s="38">
        <f>SUM(SUMIFS(HTS!$AN:$AN,HTS!$B:$B,$B29,HTS!$C:$C,{"15-24","25-34","35-49","50+"},HTS!$D:$D,"Male"))</f>
        <v>309</v>
      </c>
      <c r="AW29" s="38" t="str">
        <f>_xlfn.IFNA(INDEX(KP!$AK:$AK,MATCH(($B29&amp;"|"&amp;AW$3),KP!$D:$D,0)),"")</f>
        <v/>
      </c>
      <c r="AX29" s="38" t="str">
        <f>_xlfn.IFNA(INDEX(KP!$AK:$AK,MATCH(($B29&amp;"|"&amp;AX$3),KP!$D:$D,0)),"")</f>
        <v/>
      </c>
      <c r="AY29" s="38" t="str">
        <f>_xlfn.IFNA(INDEX(KP!$AK:$AK,MATCH(($B29&amp;"|"&amp;AY$3),KP!$D:$D,0)),"")</f>
        <v/>
      </c>
      <c r="AZ29" s="38" t="str">
        <f>_xlfn.IFNA(INDEX(KP!$AK:$AK,MATCH(($B29&amp;"|"&amp;AZ$3),KP!$D:$D,0)),"")</f>
        <v/>
      </c>
      <c r="BA29" s="38" t="str">
        <f>_xlfn.IFNA(INDEX(KP!$AK:$AK,MATCH(($B29&amp;"|"&amp;BA$3),KP!$D:$D,0)),"")</f>
        <v/>
      </c>
      <c r="BB29" s="38">
        <f>SUM(SUMIFS(HTS!$AU:$AU,HTS!$B:$B,$B29,HTS!$C:$C,{"15-24","25-34","35-49","50+"},HTS!$D:$D,"Female"))</f>
        <v>46738</v>
      </c>
      <c r="BC29" s="38">
        <f>SUM(SUMIFS(HTS!$AU:$AU,HTS!$B:$B,$B29,HTS!$C:$C,{"15-24","25-34","35-49","50+"},HTS!$D:$D,"Male"))</f>
        <v>16934</v>
      </c>
      <c r="BD29" s="38" t="str">
        <f>_xlfn.IFNA(INDEX(KP!$AL:$AL,MATCH(($B29&amp;"|"&amp;BD$3),KP!$D:$D,0)),"")</f>
        <v/>
      </c>
      <c r="BE29" s="38" t="str">
        <f>_xlfn.IFNA(INDEX(KP!$AL:$AL,MATCH(($B29&amp;"|"&amp;BE$3),KP!$D:$D,0)),"")</f>
        <v/>
      </c>
      <c r="BF29" s="38" t="str">
        <f>_xlfn.IFNA(INDEX(KP!$AL:$AL,MATCH(($B29&amp;"|"&amp;BF$3),KP!$D:$D,0)),"")</f>
        <v/>
      </c>
      <c r="BG29" s="38" t="str">
        <f>_xlfn.IFNA(INDEX(KP!$AL:$AL,MATCH(($B29&amp;"|"&amp;BG$3),KP!$D:$D,0)),"")</f>
        <v/>
      </c>
      <c r="BH29" s="38" t="str">
        <f>_xlfn.IFNA(INDEX(KP!$AL:$AL,MATCH(($B29&amp;"|"&amp;BH$3),KP!$D:$D,0)),"")</f>
        <v/>
      </c>
      <c r="BI29" s="38">
        <f>SUM(SUMIFS(HTS!$BB:$BB,HTS!$B:$B,$B29,HTS!$C:$C,{"15-24","25-34","35-49","50+"},HTS!$D:$D,"Female"))</f>
        <v>205</v>
      </c>
      <c r="BJ29" s="38">
        <f>SUM(SUMIFS(HTS!$BB:$BB,HTS!$B:$B,$B29,HTS!$C:$C,{"15-24","25-34","35-49","50+"},HTS!$D:$D,"Male"))</f>
        <v>108</v>
      </c>
      <c r="BK29" s="38" t="str">
        <f>_xlfn.IFNA(INDEX(KP!$AN:$AN,MATCH(($B29&amp;"|"&amp;BK$3),KP!$D:$D,0)),"")</f>
        <v/>
      </c>
      <c r="BL29" s="38" t="str">
        <f>_xlfn.IFNA(INDEX(KP!$AN:$AN,MATCH(($B29&amp;"|"&amp;BL$3),KP!$D:$D,0)),"")</f>
        <v/>
      </c>
      <c r="BM29" s="38" t="str">
        <f>_xlfn.IFNA(INDEX(KP!$AN:$AN,MATCH(($B29&amp;"|"&amp;BM$3),KP!$D:$D,0)),"")</f>
        <v/>
      </c>
      <c r="BN29" s="38" t="str">
        <f>_xlfn.IFNA(INDEX(KP!$AN:$AN,MATCH(($B29&amp;"|"&amp;BN$3),KP!$D:$D,0)),"")</f>
        <v/>
      </c>
      <c r="BO29" s="38" t="str">
        <f>_xlfn.IFNA(INDEX(KP!$AN:$AN,MATCH(($B29&amp;"|"&amp;BO$3),KP!$D:$D,0)),"")</f>
        <v/>
      </c>
      <c r="BP29" s="38">
        <f>SUM(SUMIFS(HTS!$AZ:$AZ,HTS!$B:$B,$B29,HTS!$C:$C,{"15-24","25-34","35-49","50+"},HTS!$D:$D,"Female"))</f>
        <v>1420</v>
      </c>
      <c r="BQ29" s="38">
        <f>SUM(SUMIFS(HTS!$AZ:$AZ,HTS!$B:$B,$B29,HTS!$C:$C,{"15-24","25-34","35-49","50+"},HTS!$D:$D,"Male"))</f>
        <v>137</v>
      </c>
      <c r="BR29" s="38">
        <f>_xlfn.IFNA(INDEX(KP!$AP:$AP,MATCH(($B29&amp;"|"&amp;BR$3),KP!$D:$D,0)),"")</f>
        <v>0</v>
      </c>
      <c r="BS29" s="38">
        <f>_xlfn.IFNA(INDEX(KP!$AP:$AP,MATCH(($B29&amp;"|"&amp;BS$3),KP!$D:$D,0)),"")</f>
        <v>0</v>
      </c>
      <c r="BT29" s="38">
        <f>_xlfn.IFNA(INDEX(KP!$AP:$AP,MATCH(($B29&amp;"|"&amp;BT$3),KP!$D:$D,0)),"")</f>
        <v>0</v>
      </c>
      <c r="BU29" s="38">
        <f>_xlfn.IFNA(INDEX(KP!$AP:$AP,MATCH(($B29&amp;"|"&amp;BU$3),KP!$D:$D,0)),"")</f>
        <v>0</v>
      </c>
      <c r="BV29" s="38">
        <f>_xlfn.IFNA(INDEX(KP!$AP:$AP,MATCH(($B29&amp;"|"&amp;BV$3),KP!$D:$D,0)),"")</f>
        <v>0</v>
      </c>
    </row>
    <row r="30" spans="1:74" x14ac:dyDescent="0.2">
      <c r="A30" s="85" t="str">
        <f>INDEX(Prioritization!$D:$D,MATCH($B30,Prioritization!$A:$A,0))</f>
        <v>INVALID</v>
      </c>
      <c r="B30" s="10" t="s">
        <v>319</v>
      </c>
      <c r="C30" s="38">
        <f>SUM(SUMIFS(PrEP!$O:$O,PrEP!$B:$B,$B30,PrEP!$C:$C,{"15-24","25-34","35-49","50+"},PrEP!$D:$D,"Female"))</f>
        <v>1170</v>
      </c>
      <c r="D30" s="38">
        <f>SUM(SUMIFS(PrEP!$O:$O,PrEP!$B:$B,$B30,PrEP!$C:$C,{"15-24","25-34"},PrEP!$D:$D,"Female"))</f>
        <v>679</v>
      </c>
      <c r="E30" s="38">
        <f>SUM(SUMIFS(PrEP!$O:$O,PrEP!$B:$B,$B30,PrEP!$C:$C,{"15-24","25-34","35-49","50+"},PrEP!$D:$D,"Male"))</f>
        <v>679</v>
      </c>
      <c r="F30" s="38">
        <f>_xlfn.IFNA(INDEX(KP!$I:$I,MATCH(($B30&amp;"|"&amp;F$3),KP!$D:$D,0)),"")</f>
        <v>0</v>
      </c>
      <c r="G30" s="38">
        <f>_xlfn.IFNA(INDEX(KP!$I:$I,MATCH(($B30&amp;"|"&amp;G$3),KP!$D:$D,0)),"")</f>
        <v>0</v>
      </c>
      <c r="H30" s="38">
        <f>_xlfn.IFNA(INDEX(KP!$I:$I,MATCH(($B30&amp;"|"&amp;H$3),KP!$D:$D,0)),"")</f>
        <v>0</v>
      </c>
      <c r="I30" s="38">
        <f>_xlfn.IFNA(INDEX(KP!$I:$I,MATCH(($B30&amp;"|"&amp;I$3),KP!$D:$D,0)),"")</f>
        <v>0</v>
      </c>
      <c r="J30" s="38">
        <f>_xlfn.IFNA(INDEX(KP!$I:$I,MATCH(($B30&amp;"|"&amp;J$3),KP!$D:$D,0)),"")</f>
        <v>0</v>
      </c>
      <c r="K30" s="38">
        <f>SUM(SUMIFS(PrEP!$L:$L,PrEP!$B:$B,$B30,PrEP!$C:$C,{"15-24","25-34","35-49","50+"},PrEP!$D:$D,"Female"))</f>
        <v>2256</v>
      </c>
      <c r="L30" s="38">
        <f>SUM(SUMIFS(PrEP!$L:$L,PrEP!$B:$B,$B30,PrEP!$C:$C,{"15-24","25-34"},PrEP!$D:$D,"Female"))</f>
        <v>1521</v>
      </c>
      <c r="M30" s="38">
        <f>SUM(SUMIFS(PrEP!$L:$L,PrEP!$B:$B,$B30,PrEP!$C:$C,{"15-24","25-34","35-49","50+"},PrEP!$D:$D,"Male"))</f>
        <v>1742</v>
      </c>
      <c r="N30" s="38">
        <f>_xlfn.IFNA(INDEX(KP!$K:$K,MATCH(($B30&amp;"|"&amp;N$3),KP!$D:$D,0)),"")</f>
        <v>0</v>
      </c>
      <c r="O30" s="38">
        <f>_xlfn.IFNA(INDEX(KP!$K:$K,MATCH(($B30&amp;"|"&amp;O$3),KP!$D:$D,0)),"")</f>
        <v>0</v>
      </c>
      <c r="P30" s="38">
        <f>_xlfn.IFNA(INDEX(KP!$K:$K,MATCH(($B30&amp;"|"&amp;P$3),KP!$D:$D,0)),"")</f>
        <v>0</v>
      </c>
      <c r="Q30" s="38">
        <f>_xlfn.IFNA(INDEX(KP!$K:$K,MATCH(($B30&amp;"|"&amp;Q$3),KP!$D:$D,0)),"")</f>
        <v>0</v>
      </c>
      <c r="R30" s="38">
        <f>_xlfn.IFNA(INDEX(KP!$K:$K,MATCH(($B30&amp;"|"&amp;R$3),KP!$D:$D,0)),"")</f>
        <v>0</v>
      </c>
      <c r="S30" s="38">
        <f>SUM(SUMIFS(Cascade!$AP:$AP,Cascade!$B:$B,$B30,Cascade!$C:$C,{"15-24","25-34","35-49","50+"},Cascade!$D:$D,"Female"))</f>
        <v>39094</v>
      </c>
      <c r="T30" s="38">
        <f>SUM(SUMIFS(Cascade!$AP:$AP,Cascade!$B:$B,$B30,Cascade!$C:$C,{"15-24","25-34","35-49","50+"},Cascade!$D:$D,"Male"))</f>
        <v>19043</v>
      </c>
      <c r="U30" s="38">
        <f>_xlfn.IFNA(INDEX(KP!$Q:$Q,MATCH(($B30&amp;"|"&amp;U$3),KP!$D:$D,0)),"")</f>
        <v>0</v>
      </c>
      <c r="V30" s="38">
        <f>_xlfn.IFNA(INDEX(KP!$Q:$Q,MATCH(($B30&amp;"|"&amp;V$3),KP!$D:$D,0)),"")</f>
        <v>0</v>
      </c>
      <c r="W30" s="38">
        <f>_xlfn.IFNA(INDEX(KP!$Q:$Q,MATCH(($B30&amp;"|"&amp;W$3),KP!$D:$D,0)),"")</f>
        <v>0</v>
      </c>
      <c r="X30" s="38">
        <f>_xlfn.IFNA(INDEX(KP!$Q:$Q,MATCH(($B30&amp;"|"&amp;X$3),KP!$D:$D,0)),"")</f>
        <v>0</v>
      </c>
      <c r="Y30" s="38">
        <f>_xlfn.IFNA(INDEX(KP!$Q:$Q,MATCH(($B30&amp;"|"&amp;Y$3),KP!$D:$D,0)),"")</f>
        <v>0</v>
      </c>
      <c r="Z30" s="38">
        <f>SUM(SUMIFS(Cascade!$AX:$AX,Cascade!$B:$B,$B30,Cascade!$C:$C,{"15-24","25-34","35-49","50+"},Cascade!$D:$D,"Female"))</f>
        <v>1910</v>
      </c>
      <c r="AA30" s="38">
        <f>SUM(SUMIFS(Cascade!$AX:$AX,Cascade!$B:$B,$B30,Cascade!$C:$C,{"15-24","25-34","35-49","50+"},Cascade!$D:$D,"Male"))</f>
        <v>1227</v>
      </c>
      <c r="AB30" s="38" t="str">
        <f>_xlfn.IFNA(INDEX(KP!$Z:$Z,MATCH(($B30&amp;"|"&amp;AB$3),KP!$D:$D,0)),"")</f>
        <v/>
      </c>
      <c r="AC30" s="38" t="str">
        <f>_xlfn.IFNA(INDEX(KP!$Z:$Z,MATCH(($B30&amp;"|"&amp;AC$3),KP!$D:$D,0)),"")</f>
        <v/>
      </c>
      <c r="AD30" s="38" t="str">
        <f>_xlfn.IFNA(INDEX(KP!$Z:$Z,MATCH(($B30&amp;"|"&amp;AD$3),KP!$D:$D,0)),"")</f>
        <v/>
      </c>
      <c r="AE30" s="38" t="str">
        <f>_xlfn.IFNA(INDEX(KP!$Z:$Z,MATCH(($B30&amp;"|"&amp;AE$3),KP!$D:$D,0)),"")</f>
        <v/>
      </c>
      <c r="AF30" s="38" t="str">
        <f>_xlfn.IFNA(INDEX(KP!$Z:$Z,MATCH(($B30&amp;"|"&amp;AF$3),KP!$D:$D,0)),"")</f>
        <v/>
      </c>
      <c r="AG30" s="38">
        <f>SUM(SUMIFS(Cascade!$BB:$BB,Cascade!$B:$B,$B30,Cascade!$C:$C,{"15-24","25-34","35-49","50+"},Cascade!$D:$D,"Female"))</f>
        <v>35185</v>
      </c>
      <c r="AH30" s="38">
        <f>SUM(SUMIFS(Cascade!$BB:$BB,Cascade!$B:$B,$B30,Cascade!$C:$C,{"15-24","25-34","35-49","50+"},Cascade!$D:$D,"Male"))</f>
        <v>17138</v>
      </c>
      <c r="AI30" s="38" t="str">
        <f>_xlfn.IFNA(INDEX(KP!$AD:$AD,MATCH(($B30&amp;"|"&amp;AI$3),KP!$D:$D,0)),"")</f>
        <v/>
      </c>
      <c r="AJ30" s="38" t="str">
        <f>_xlfn.IFNA(INDEX(KP!$AD:$AD,MATCH(($B30&amp;"|"&amp;AJ$3),KP!$D:$D,0)),"")</f>
        <v/>
      </c>
      <c r="AK30" s="38" t="str">
        <f>_xlfn.IFNA(INDEX(KP!$AD:$AD,MATCH(($B30&amp;"|"&amp;AK$3),KP!$D:$D,0)),"")</f>
        <v/>
      </c>
      <c r="AL30" s="38" t="str">
        <f>_xlfn.IFNA(INDEX(KP!$AD:$AD,MATCH(($B30&amp;"|"&amp;AL$3),KP!$D:$D,0)),"")</f>
        <v/>
      </c>
      <c r="AM30" s="38" t="str">
        <f>_xlfn.IFNA(INDEX(KP!$AD:$AD,MATCH(($B30&amp;"|"&amp;AM$3),KP!$D:$D,0)),"")</f>
        <v/>
      </c>
      <c r="AN30" s="38">
        <f>SUM(SUMIFS(Cascade!$BE:$BE,Cascade!$B:$B,$B30,Cascade!$C:$C,{"15-24","25-34","35-49","50+"},Cascade!$D:$D,"Female"))</f>
        <v>33426</v>
      </c>
      <c r="AO30" s="38">
        <f>SUM(SUMIFS(Cascade!$BE:$BE,Cascade!$B:$B,$B30,Cascade!$C:$C,{"15-24","25-34","35-49","50+"},Cascade!$D:$D,"Male"))</f>
        <v>16281</v>
      </c>
      <c r="AP30" s="38" t="str">
        <f>_xlfn.IFNA(INDEX(KP!$AF:$AF,MATCH(($B30&amp;"|"&amp;AP$3),KP!$D:$D,0)),"")</f>
        <v/>
      </c>
      <c r="AQ30" s="38" t="str">
        <f>_xlfn.IFNA(INDEX(KP!$AF:$AF,MATCH(($B30&amp;"|"&amp;AQ$3),KP!$D:$D,0)),"")</f>
        <v/>
      </c>
      <c r="AR30" s="38" t="str">
        <f>_xlfn.IFNA(INDEX(KP!$AF:$AF,MATCH(($B30&amp;"|"&amp;AR$3),KP!$D:$D,0)),"")</f>
        <v/>
      </c>
      <c r="AS30" s="38" t="str">
        <f>_xlfn.IFNA(INDEX(KP!$AF:$AF,MATCH(($B30&amp;"|"&amp;AS$3),KP!$D:$D,0)),"")</f>
        <v/>
      </c>
      <c r="AT30" s="38" t="str">
        <f>_xlfn.IFNA(INDEX(KP!$AF:$AF,MATCH(($B30&amp;"|"&amp;AT$3),KP!$D:$D,0)),"")</f>
        <v/>
      </c>
      <c r="AU30" s="38">
        <f>SUM(SUMIFS(HTS!$AN:$AN,HTS!$B:$B,$B30,HTS!$C:$C,{"15-24","25-34","35-49","50+"},HTS!$D:$D,"Female"))</f>
        <v>2013</v>
      </c>
      <c r="AV30" s="38">
        <f>SUM(SUMIFS(HTS!$AN:$AN,HTS!$B:$B,$B30,HTS!$C:$C,{"15-24","25-34","35-49","50+"},HTS!$D:$D,"Male"))</f>
        <v>1293</v>
      </c>
      <c r="AW30" s="38" t="str">
        <f>_xlfn.IFNA(INDEX(KP!$AK:$AK,MATCH(($B30&amp;"|"&amp;AW$3),KP!$D:$D,0)),"")</f>
        <v/>
      </c>
      <c r="AX30" s="38" t="str">
        <f>_xlfn.IFNA(INDEX(KP!$AK:$AK,MATCH(($B30&amp;"|"&amp;AX$3),KP!$D:$D,0)),"")</f>
        <v/>
      </c>
      <c r="AY30" s="38" t="str">
        <f>_xlfn.IFNA(INDEX(KP!$AK:$AK,MATCH(($B30&amp;"|"&amp;AY$3),KP!$D:$D,0)),"")</f>
        <v/>
      </c>
      <c r="AZ30" s="38" t="str">
        <f>_xlfn.IFNA(INDEX(KP!$AK:$AK,MATCH(($B30&amp;"|"&amp;AZ$3),KP!$D:$D,0)),"")</f>
        <v/>
      </c>
      <c r="BA30" s="38" t="str">
        <f>_xlfn.IFNA(INDEX(KP!$AK:$AK,MATCH(($B30&amp;"|"&amp;BA$3),KP!$D:$D,0)),"")</f>
        <v/>
      </c>
      <c r="BB30" s="38">
        <f>SUM(SUMIFS(HTS!$AU:$AU,HTS!$B:$B,$B30,HTS!$C:$C,{"15-24","25-34","35-49","50+"},HTS!$D:$D,"Female"))</f>
        <v>109782</v>
      </c>
      <c r="BC30" s="38">
        <f>SUM(SUMIFS(HTS!$AU:$AU,HTS!$B:$B,$B30,HTS!$C:$C,{"15-24","25-34","35-49","50+"},HTS!$D:$D,"Male"))</f>
        <v>30429</v>
      </c>
      <c r="BD30" s="38" t="str">
        <f>_xlfn.IFNA(INDEX(KP!$AL:$AL,MATCH(($B30&amp;"|"&amp;BD$3),KP!$D:$D,0)),"")</f>
        <v/>
      </c>
      <c r="BE30" s="38" t="str">
        <f>_xlfn.IFNA(INDEX(KP!$AL:$AL,MATCH(($B30&amp;"|"&amp;BE$3),KP!$D:$D,0)),"")</f>
        <v/>
      </c>
      <c r="BF30" s="38" t="str">
        <f>_xlfn.IFNA(INDEX(KP!$AL:$AL,MATCH(($B30&amp;"|"&amp;BF$3),KP!$D:$D,0)),"")</f>
        <v/>
      </c>
      <c r="BG30" s="38" t="str">
        <f>_xlfn.IFNA(INDEX(KP!$AL:$AL,MATCH(($B30&amp;"|"&amp;BG$3),KP!$D:$D,0)),"")</f>
        <v/>
      </c>
      <c r="BH30" s="38" t="str">
        <f>_xlfn.IFNA(INDEX(KP!$AL:$AL,MATCH(($B30&amp;"|"&amp;BH$3),KP!$D:$D,0)),"")</f>
        <v/>
      </c>
      <c r="BI30" s="38">
        <f>SUM(SUMIFS(HTS!$BB:$BB,HTS!$B:$B,$B30,HTS!$C:$C,{"15-24","25-34","35-49","50+"},HTS!$D:$D,"Female"))</f>
        <v>1752</v>
      </c>
      <c r="BJ30" s="38">
        <f>SUM(SUMIFS(HTS!$BB:$BB,HTS!$B:$B,$B30,HTS!$C:$C,{"15-24","25-34","35-49","50+"},HTS!$D:$D,"Male"))</f>
        <v>1126</v>
      </c>
      <c r="BK30" s="38" t="str">
        <f>_xlfn.IFNA(INDEX(KP!$AN:$AN,MATCH(($B30&amp;"|"&amp;BK$3),KP!$D:$D,0)),"")</f>
        <v/>
      </c>
      <c r="BL30" s="38" t="str">
        <f>_xlfn.IFNA(INDEX(KP!$AN:$AN,MATCH(($B30&amp;"|"&amp;BL$3),KP!$D:$D,0)),"")</f>
        <v/>
      </c>
      <c r="BM30" s="38" t="str">
        <f>_xlfn.IFNA(INDEX(KP!$AN:$AN,MATCH(($B30&amp;"|"&amp;BM$3),KP!$D:$D,0)),"")</f>
        <v/>
      </c>
      <c r="BN30" s="38" t="str">
        <f>_xlfn.IFNA(INDEX(KP!$AN:$AN,MATCH(($B30&amp;"|"&amp;BN$3),KP!$D:$D,0)),"")</f>
        <v/>
      </c>
      <c r="BO30" s="38" t="str">
        <f>_xlfn.IFNA(INDEX(KP!$AN:$AN,MATCH(($B30&amp;"|"&amp;BO$3),KP!$D:$D,0)),"")</f>
        <v/>
      </c>
      <c r="BP30" s="38">
        <f>SUM(SUMIFS(HTS!$AZ:$AZ,HTS!$B:$B,$B30,HTS!$C:$C,{"15-24","25-34","35-49","50+"},HTS!$D:$D,"Female"))</f>
        <v>38552</v>
      </c>
      <c r="BQ30" s="38">
        <f>SUM(SUMIFS(HTS!$AZ:$AZ,HTS!$B:$B,$B30,HTS!$C:$C,{"15-24","25-34","35-49","50+"},HTS!$D:$D,"Male"))</f>
        <v>24538</v>
      </c>
      <c r="BR30" s="38">
        <f>_xlfn.IFNA(INDEX(KP!$AP:$AP,MATCH(($B30&amp;"|"&amp;BR$3),KP!$D:$D,0)),"")</f>
        <v>0</v>
      </c>
      <c r="BS30" s="38">
        <f>_xlfn.IFNA(INDEX(KP!$AP:$AP,MATCH(($B30&amp;"|"&amp;BS$3),KP!$D:$D,0)),"")</f>
        <v>0</v>
      </c>
      <c r="BT30" s="38">
        <f>_xlfn.IFNA(INDEX(KP!$AP:$AP,MATCH(($B30&amp;"|"&amp;BT$3),KP!$D:$D,0)),"")</f>
        <v>0</v>
      </c>
      <c r="BU30" s="38">
        <f>_xlfn.IFNA(INDEX(KP!$AP:$AP,MATCH(($B30&amp;"|"&amp;BU$3),KP!$D:$D,0)),"")</f>
        <v>0</v>
      </c>
      <c r="BV30" s="38">
        <f>_xlfn.IFNA(INDEX(KP!$AP:$AP,MATCH(($B30&amp;"|"&amp;BV$3),KP!$D:$D,0)),"")</f>
        <v>0</v>
      </c>
    </row>
    <row r="31" spans="1:74" x14ac:dyDescent="0.2">
      <c r="A31" s="85" t="str">
        <f>INDEX(Prioritization!$D:$D,MATCH($B31,Prioritization!$A:$A,0))</f>
        <v>4 - Sustained</v>
      </c>
      <c r="B31" s="10" t="s">
        <v>320</v>
      </c>
      <c r="C31" s="38">
        <f>SUM(SUMIFS(PrEP!$O:$O,PrEP!$B:$B,$B31,PrEP!$C:$C,{"15-24","25-34","35-49","50+"},PrEP!$D:$D,"Female"))</f>
        <v>328</v>
      </c>
      <c r="D31" s="38">
        <f>SUM(SUMIFS(PrEP!$O:$O,PrEP!$B:$B,$B31,PrEP!$C:$C,{"15-24","25-34"},PrEP!$D:$D,"Female"))</f>
        <v>304</v>
      </c>
      <c r="E31" s="38">
        <f>SUM(SUMIFS(PrEP!$O:$O,PrEP!$B:$B,$B31,PrEP!$C:$C,{"15-24","25-34","35-49","50+"},PrEP!$D:$D,"Male"))</f>
        <v>110</v>
      </c>
      <c r="F31" s="38">
        <f>_xlfn.IFNA(INDEX(KP!$I:$I,MATCH(($B31&amp;"|"&amp;F$3),KP!$D:$D,0)),"")</f>
        <v>136</v>
      </c>
      <c r="G31" s="38">
        <f>_xlfn.IFNA(INDEX(KP!$I:$I,MATCH(($B31&amp;"|"&amp;G$3),KP!$D:$D,0)),"")</f>
        <v>109</v>
      </c>
      <c r="H31" s="38">
        <f>_xlfn.IFNA(INDEX(KP!$I:$I,MATCH(($B31&amp;"|"&amp;H$3),KP!$D:$D,0)),"")</f>
        <v>0</v>
      </c>
      <c r="I31" s="38">
        <f>_xlfn.IFNA(INDEX(KP!$I:$I,MATCH(($B31&amp;"|"&amp;I$3),KP!$D:$D,0)),"")</f>
        <v>0</v>
      </c>
      <c r="J31" s="38">
        <f>_xlfn.IFNA(INDEX(KP!$I:$I,MATCH(($B31&amp;"|"&amp;J$3),KP!$D:$D,0)),"")</f>
        <v>10</v>
      </c>
      <c r="K31" s="38">
        <f>SUM(SUMIFS(PrEP!$L:$L,PrEP!$B:$B,$B31,PrEP!$C:$C,{"15-24","25-34","35-49","50+"},PrEP!$D:$D,"Female"))</f>
        <v>819</v>
      </c>
      <c r="L31" s="38">
        <f>SUM(SUMIFS(PrEP!$L:$L,PrEP!$B:$B,$B31,PrEP!$C:$C,{"15-24","25-34"},PrEP!$D:$D,"Female"))</f>
        <v>709</v>
      </c>
      <c r="M31" s="38">
        <f>SUM(SUMIFS(PrEP!$L:$L,PrEP!$B:$B,$B31,PrEP!$C:$C,{"15-24","25-34","35-49","50+"},PrEP!$D:$D,"Male"))</f>
        <v>348</v>
      </c>
      <c r="N31" s="38">
        <f>_xlfn.IFNA(INDEX(KP!$K:$K,MATCH(($B31&amp;"|"&amp;N$3),KP!$D:$D,0)),"")</f>
        <v>340</v>
      </c>
      <c r="O31" s="38">
        <f>_xlfn.IFNA(INDEX(KP!$K:$K,MATCH(($B31&amp;"|"&amp;O$3),KP!$D:$D,0)),"")</f>
        <v>273</v>
      </c>
      <c r="P31" s="38">
        <f>_xlfn.IFNA(INDEX(KP!$K:$K,MATCH(($B31&amp;"|"&amp;P$3),KP!$D:$D,0)),"")</f>
        <v>0</v>
      </c>
      <c r="Q31" s="38">
        <f>_xlfn.IFNA(INDEX(KP!$K:$K,MATCH(($B31&amp;"|"&amp;Q$3),KP!$D:$D,0)),"")</f>
        <v>0</v>
      </c>
      <c r="R31" s="38">
        <f>_xlfn.IFNA(INDEX(KP!$K:$K,MATCH(($B31&amp;"|"&amp;R$3),KP!$D:$D,0)),"")</f>
        <v>26</v>
      </c>
      <c r="S31" s="38">
        <f>SUM(SUMIFS(Cascade!$AP:$AP,Cascade!$B:$B,$B31,Cascade!$C:$C,{"15-24","25-34","35-49","50+"},Cascade!$D:$D,"Female"))</f>
        <v>5058</v>
      </c>
      <c r="T31" s="38">
        <f>SUM(SUMIFS(Cascade!$AP:$AP,Cascade!$B:$B,$B31,Cascade!$C:$C,{"15-24","25-34","35-49","50+"},Cascade!$D:$D,"Male"))</f>
        <v>2845</v>
      </c>
      <c r="U31" s="38">
        <f>_xlfn.IFNA(INDEX(KP!$Q:$Q,MATCH(($B31&amp;"|"&amp;U$3),KP!$D:$D,0)),"")</f>
        <v>312</v>
      </c>
      <c r="V31" s="38">
        <f>_xlfn.IFNA(INDEX(KP!$Q:$Q,MATCH(($B31&amp;"|"&amp;V$3),KP!$D:$D,0)),"")</f>
        <v>72</v>
      </c>
      <c r="W31" s="38">
        <f>_xlfn.IFNA(INDEX(KP!$Q:$Q,MATCH(($B31&amp;"|"&amp;W$3),KP!$D:$D,0)),"")</f>
        <v>22</v>
      </c>
      <c r="X31" s="38">
        <f>_xlfn.IFNA(INDEX(KP!$Q:$Q,MATCH(($B31&amp;"|"&amp;X$3),KP!$D:$D,0)),"")</f>
        <v>0</v>
      </c>
      <c r="Y31" s="38">
        <f>_xlfn.IFNA(INDEX(KP!$Q:$Q,MATCH(($B31&amp;"|"&amp;Y$3),KP!$D:$D,0)),"")</f>
        <v>24</v>
      </c>
      <c r="Z31" s="38">
        <f>SUM(SUMIFS(Cascade!$AX:$AX,Cascade!$B:$B,$B31,Cascade!$C:$C,{"15-24","25-34","35-49","50+"},Cascade!$D:$D,"Female"))</f>
        <v>300</v>
      </c>
      <c r="AA31" s="38">
        <f>SUM(SUMIFS(Cascade!$AX:$AX,Cascade!$B:$B,$B31,Cascade!$C:$C,{"15-24","25-34","35-49","50+"},Cascade!$D:$D,"Male"))</f>
        <v>284</v>
      </c>
      <c r="AB31" s="38">
        <f>_xlfn.IFNA(INDEX(KP!$Z:$Z,MATCH(($B31&amp;"|"&amp;AB$3),KP!$D:$D,0)),"")</f>
        <v>75</v>
      </c>
      <c r="AC31" s="38">
        <f>_xlfn.IFNA(INDEX(KP!$Z:$Z,MATCH(($B31&amp;"|"&amp;AC$3),KP!$D:$D,0)),"")</f>
        <v>40</v>
      </c>
      <c r="AD31" s="38">
        <f>_xlfn.IFNA(INDEX(KP!$Z:$Z,MATCH(($B31&amp;"|"&amp;AD$3),KP!$D:$D,0)),"")</f>
        <v>4</v>
      </c>
      <c r="AE31" s="38" t="str">
        <f>_xlfn.IFNA(INDEX(KP!$Z:$Z,MATCH(($B31&amp;"|"&amp;AE$3),KP!$D:$D,0)),"")</f>
        <v/>
      </c>
      <c r="AF31" s="38">
        <f>_xlfn.IFNA(INDEX(KP!$Z:$Z,MATCH(($B31&amp;"|"&amp;AF$3),KP!$D:$D,0)),"")</f>
        <v>4</v>
      </c>
      <c r="AG31" s="38">
        <f>SUM(SUMIFS(Cascade!$BB:$BB,Cascade!$B:$B,$B31,Cascade!$C:$C,{"15-24","25-34","35-49","50+"},Cascade!$D:$D,"Female"))</f>
        <v>4552</v>
      </c>
      <c r="AH31" s="38">
        <f>SUM(SUMIFS(Cascade!$BB:$BB,Cascade!$B:$B,$B31,Cascade!$C:$C,{"15-24","25-34","35-49","50+"},Cascade!$D:$D,"Male"))</f>
        <v>2560</v>
      </c>
      <c r="AI31" s="38">
        <f>_xlfn.IFNA(INDEX(KP!$AD:$AD,MATCH(($B31&amp;"|"&amp;AI$3),KP!$D:$D,0)),"")</f>
        <v>296</v>
      </c>
      <c r="AJ31" s="38">
        <f>_xlfn.IFNA(INDEX(KP!$AD:$AD,MATCH(($B31&amp;"|"&amp;AJ$3),KP!$D:$D,0)),"")</f>
        <v>68</v>
      </c>
      <c r="AK31" s="38">
        <f>_xlfn.IFNA(INDEX(KP!$AD:$AD,MATCH(($B31&amp;"|"&amp;AK$3),KP!$D:$D,0)),"")</f>
        <v>21</v>
      </c>
      <c r="AL31" s="38" t="str">
        <f>_xlfn.IFNA(INDEX(KP!$AD:$AD,MATCH(($B31&amp;"|"&amp;AL$3),KP!$D:$D,0)),"")</f>
        <v/>
      </c>
      <c r="AM31" s="38">
        <f>_xlfn.IFNA(INDEX(KP!$AD:$AD,MATCH(($B31&amp;"|"&amp;AM$3),KP!$D:$D,0)),"")</f>
        <v>23</v>
      </c>
      <c r="AN31" s="38">
        <f>SUM(SUMIFS(Cascade!$BE:$BE,Cascade!$B:$B,$B31,Cascade!$C:$C,{"15-24","25-34","35-49","50+"},Cascade!$D:$D,"Female"))</f>
        <v>4323</v>
      </c>
      <c r="AO31" s="38">
        <f>SUM(SUMIFS(Cascade!$BE:$BE,Cascade!$B:$B,$B31,Cascade!$C:$C,{"15-24","25-34","35-49","50+"},Cascade!$D:$D,"Male"))</f>
        <v>2433</v>
      </c>
      <c r="AP31" s="38">
        <f>_xlfn.IFNA(INDEX(KP!$AF:$AF,MATCH(($B31&amp;"|"&amp;AP$3),KP!$D:$D,0)),"")</f>
        <v>281</v>
      </c>
      <c r="AQ31" s="38">
        <f>_xlfn.IFNA(INDEX(KP!$AF:$AF,MATCH(($B31&amp;"|"&amp;AQ$3),KP!$D:$D,0)),"")</f>
        <v>65</v>
      </c>
      <c r="AR31" s="38">
        <f>_xlfn.IFNA(INDEX(KP!$AF:$AF,MATCH(($B31&amp;"|"&amp;AR$3),KP!$D:$D,0)),"")</f>
        <v>20</v>
      </c>
      <c r="AS31" s="38" t="str">
        <f>_xlfn.IFNA(INDEX(KP!$AF:$AF,MATCH(($B31&amp;"|"&amp;AS$3),KP!$D:$D,0)),"")</f>
        <v/>
      </c>
      <c r="AT31" s="38">
        <f>_xlfn.IFNA(INDEX(KP!$AF:$AF,MATCH(($B31&amp;"|"&amp;AT$3),KP!$D:$D,0)),"")</f>
        <v>22</v>
      </c>
      <c r="AU31" s="38">
        <f>SUM(SUMIFS(HTS!$AN:$AN,HTS!$B:$B,$B31,HTS!$C:$C,{"15-24","25-34","35-49","50+"},HTS!$D:$D,"Female"))</f>
        <v>316</v>
      </c>
      <c r="AV31" s="38">
        <f>SUM(SUMIFS(HTS!$AN:$AN,HTS!$B:$B,$B31,HTS!$C:$C,{"15-24","25-34","35-49","50+"},HTS!$D:$D,"Male"))</f>
        <v>298</v>
      </c>
      <c r="AW31" s="38">
        <f>_xlfn.IFNA(INDEX(KP!$AK:$AK,MATCH(($B31&amp;"|"&amp;AW$3),KP!$D:$D,0)),"")</f>
        <v>79</v>
      </c>
      <c r="AX31" s="38">
        <f>_xlfn.IFNA(INDEX(KP!$AK:$AK,MATCH(($B31&amp;"|"&amp;AX$3),KP!$D:$D,0)),"")</f>
        <v>42</v>
      </c>
      <c r="AY31" s="38">
        <f>_xlfn.IFNA(INDEX(KP!$AK:$AK,MATCH(($B31&amp;"|"&amp;AY$3),KP!$D:$D,0)),"")</f>
        <v>4</v>
      </c>
      <c r="AZ31" s="38" t="str">
        <f>_xlfn.IFNA(INDEX(KP!$AK:$AK,MATCH(($B31&amp;"|"&amp;AZ$3),KP!$D:$D,0)),"")</f>
        <v/>
      </c>
      <c r="BA31" s="38">
        <f>_xlfn.IFNA(INDEX(KP!$AK:$AK,MATCH(($B31&amp;"|"&amp;BA$3),KP!$D:$D,0)),"")</f>
        <v>4</v>
      </c>
      <c r="BB31" s="38">
        <f>SUM(SUMIFS(HTS!$AU:$AU,HTS!$B:$B,$B31,HTS!$C:$C,{"15-24","25-34","35-49","50+"},HTS!$D:$D,"Female"))</f>
        <v>20371</v>
      </c>
      <c r="BC31" s="38">
        <f>SUM(SUMIFS(HTS!$AU:$AU,HTS!$B:$B,$B31,HTS!$C:$C,{"15-24","25-34","35-49","50+"},HTS!$D:$D,"Male"))</f>
        <v>8079</v>
      </c>
      <c r="BD31" s="38">
        <f>_xlfn.IFNA(INDEX(KP!$AL:$AL,MATCH(($B31&amp;"|"&amp;BD$3),KP!$D:$D,0)),"")</f>
        <v>485</v>
      </c>
      <c r="BE31" s="38">
        <f>_xlfn.IFNA(INDEX(KP!$AL:$AL,MATCH(($B31&amp;"|"&amp;BE$3),KP!$D:$D,0)),"")</f>
        <v>326</v>
      </c>
      <c r="BF31" s="38">
        <f>_xlfn.IFNA(INDEX(KP!$AL:$AL,MATCH(($B31&amp;"|"&amp;BF$3),KP!$D:$D,0)),"")</f>
        <v>196</v>
      </c>
      <c r="BG31" s="38" t="str">
        <f>_xlfn.IFNA(INDEX(KP!$AL:$AL,MATCH(($B31&amp;"|"&amp;BG$3),KP!$D:$D,0)),"")</f>
        <v/>
      </c>
      <c r="BH31" s="38">
        <f>_xlfn.IFNA(INDEX(KP!$AL:$AL,MATCH(($B31&amp;"|"&amp;BH$3),KP!$D:$D,0)),"")</f>
        <v>27</v>
      </c>
      <c r="BI31" s="38">
        <f>SUM(SUMIFS(HTS!$BB:$BB,HTS!$B:$B,$B31,HTS!$C:$C,{"15-24","25-34","35-49","50+"},HTS!$D:$D,"Female"))</f>
        <v>105</v>
      </c>
      <c r="BJ31" s="38">
        <f>SUM(SUMIFS(HTS!$BB:$BB,HTS!$B:$B,$B31,HTS!$C:$C,{"15-24","25-34","35-49","50+"},HTS!$D:$D,"Male"))</f>
        <v>99</v>
      </c>
      <c r="BK31" s="38">
        <f>_xlfn.IFNA(INDEX(KP!$AN:$AN,MATCH(($B31&amp;"|"&amp;BK$3),KP!$D:$D,0)),"")</f>
        <v>0</v>
      </c>
      <c r="BL31" s="38">
        <f>_xlfn.IFNA(INDEX(KP!$AN:$AN,MATCH(($B31&amp;"|"&amp;BL$3),KP!$D:$D,0)),"")</f>
        <v>0</v>
      </c>
      <c r="BM31" s="38">
        <f>_xlfn.IFNA(INDEX(KP!$AN:$AN,MATCH(($B31&amp;"|"&amp;BM$3),KP!$D:$D,0)),"")</f>
        <v>0</v>
      </c>
      <c r="BN31" s="38" t="str">
        <f>_xlfn.IFNA(INDEX(KP!$AN:$AN,MATCH(($B31&amp;"|"&amp;BN$3),KP!$D:$D,0)),"")</f>
        <v/>
      </c>
      <c r="BO31" s="38">
        <f>_xlfn.IFNA(INDEX(KP!$AN:$AN,MATCH(($B31&amp;"|"&amp;BO$3),KP!$D:$D,0)),"")</f>
        <v>0</v>
      </c>
      <c r="BP31" s="38">
        <f>SUM(SUMIFS(HTS!$AZ:$AZ,HTS!$B:$B,$B31,HTS!$C:$C,{"15-24","25-34","35-49","50+"},HTS!$D:$D,"Female"))</f>
        <v>1437</v>
      </c>
      <c r="BQ31" s="38">
        <f>SUM(SUMIFS(HTS!$AZ:$AZ,HTS!$B:$B,$B31,HTS!$C:$C,{"15-24","25-34","35-49","50+"},HTS!$D:$D,"Male"))</f>
        <v>1191</v>
      </c>
      <c r="BR31" s="38">
        <f>_xlfn.IFNA(INDEX(KP!$AP:$AP,MATCH(($B31&amp;"|"&amp;BR$3),KP!$D:$D,0)),"")</f>
        <v>1363</v>
      </c>
      <c r="BS31" s="38">
        <f>_xlfn.IFNA(INDEX(KP!$AP:$AP,MATCH(($B31&amp;"|"&amp;BS$3),KP!$D:$D,0)),"")</f>
        <v>880</v>
      </c>
      <c r="BT31" s="38">
        <f>_xlfn.IFNA(INDEX(KP!$AP:$AP,MATCH(($B31&amp;"|"&amp;BT$3),KP!$D:$D,0)),"")</f>
        <v>0</v>
      </c>
      <c r="BU31" s="38">
        <f>_xlfn.IFNA(INDEX(KP!$AP:$AP,MATCH(($B31&amp;"|"&amp;BU$3),KP!$D:$D,0)),"")</f>
        <v>0</v>
      </c>
      <c r="BV31" s="38">
        <f>_xlfn.IFNA(INDEX(KP!$AP:$AP,MATCH(($B31&amp;"|"&amp;BV$3),KP!$D:$D,0)),"")</f>
        <v>84</v>
      </c>
    </row>
    <row r="32" spans="1:74" x14ac:dyDescent="0.2">
      <c r="A32" s="85" t="str">
        <f>INDEX(Prioritization!$D:$D,MATCH($B32,Prioritization!$A:$A,0))</f>
        <v>1 - Scale-up: Saturation</v>
      </c>
      <c r="B32" s="10" t="s">
        <v>310</v>
      </c>
      <c r="C32" s="38">
        <f>SUM(SUMIFS(PrEP!$O:$O,PrEP!$B:$B,$B32,PrEP!$C:$C,{"15-24","25-34","35-49","50+"},PrEP!$D:$D,"Female"))</f>
        <v>3315</v>
      </c>
      <c r="D32" s="38">
        <f>SUM(SUMIFS(PrEP!$O:$O,PrEP!$B:$B,$B32,PrEP!$C:$C,{"15-24","25-34"},PrEP!$D:$D,"Female"))</f>
        <v>2641</v>
      </c>
      <c r="E32" s="38">
        <f>SUM(SUMIFS(PrEP!$O:$O,PrEP!$B:$B,$B32,PrEP!$C:$C,{"15-24","25-34","35-49","50+"},PrEP!$D:$D,"Male"))</f>
        <v>871</v>
      </c>
      <c r="F32" s="38">
        <f>_xlfn.IFNA(INDEX(KP!$I:$I,MATCH(($B32&amp;"|"&amp;F$3),KP!$D:$D,0)),"")</f>
        <v>593</v>
      </c>
      <c r="G32" s="38">
        <f>_xlfn.IFNA(INDEX(KP!$I:$I,MATCH(($B32&amp;"|"&amp;G$3),KP!$D:$D,0)),"")</f>
        <v>260</v>
      </c>
      <c r="H32" s="38">
        <f>_xlfn.IFNA(INDEX(KP!$I:$I,MATCH(($B32&amp;"|"&amp;H$3),KP!$D:$D,0)),"")</f>
        <v>0</v>
      </c>
      <c r="I32" s="38">
        <f>_xlfn.IFNA(INDEX(KP!$I:$I,MATCH(($B32&amp;"|"&amp;I$3),KP!$D:$D,0)),"")</f>
        <v>0</v>
      </c>
      <c r="J32" s="38">
        <f>_xlfn.IFNA(INDEX(KP!$I:$I,MATCH(($B32&amp;"|"&amp;J$3),KP!$D:$D,0)),"")</f>
        <v>1</v>
      </c>
      <c r="K32" s="38">
        <f>SUM(SUMIFS(PrEP!$L:$L,PrEP!$B:$B,$B32,PrEP!$C:$C,{"15-24","25-34","35-49","50+"},PrEP!$D:$D,"Female"))</f>
        <v>3087</v>
      </c>
      <c r="L32" s="38">
        <f>SUM(SUMIFS(PrEP!$L:$L,PrEP!$B:$B,$B32,PrEP!$C:$C,{"15-24","25-34"},PrEP!$D:$D,"Female"))</f>
        <v>2512</v>
      </c>
      <c r="M32" s="38">
        <f>SUM(SUMIFS(PrEP!$L:$L,PrEP!$B:$B,$B32,PrEP!$C:$C,{"15-24","25-34","35-49","50+"},PrEP!$D:$D,"Male"))</f>
        <v>2273</v>
      </c>
      <c r="N32" s="38">
        <f>_xlfn.IFNA(INDEX(KP!$K:$K,MATCH(($B32&amp;"|"&amp;N$3),KP!$D:$D,0)),"")</f>
        <v>1482</v>
      </c>
      <c r="O32" s="38">
        <f>_xlfn.IFNA(INDEX(KP!$K:$K,MATCH(($B32&amp;"|"&amp;O$3),KP!$D:$D,0)),"")</f>
        <v>432</v>
      </c>
      <c r="P32" s="38">
        <f>_xlfn.IFNA(INDEX(KP!$K:$K,MATCH(($B32&amp;"|"&amp;P$3),KP!$D:$D,0)),"")</f>
        <v>0</v>
      </c>
      <c r="Q32" s="38">
        <f>_xlfn.IFNA(INDEX(KP!$K:$K,MATCH(($B32&amp;"|"&amp;Q$3),KP!$D:$D,0)),"")</f>
        <v>0</v>
      </c>
      <c r="R32" s="38">
        <f>_xlfn.IFNA(INDEX(KP!$K:$K,MATCH(($B32&amp;"|"&amp;R$3),KP!$D:$D,0)),"")</f>
        <v>0</v>
      </c>
      <c r="S32" s="38">
        <f>SUM(SUMIFS(Cascade!$AP:$AP,Cascade!$B:$B,$B32,Cascade!$C:$C,{"15-24","25-34","35-49","50+"},Cascade!$D:$D,"Female"))</f>
        <v>28883</v>
      </c>
      <c r="T32" s="38">
        <f>SUM(SUMIFS(Cascade!$AP:$AP,Cascade!$B:$B,$B32,Cascade!$C:$C,{"15-24","25-34","35-49","50+"},Cascade!$D:$D,"Male"))</f>
        <v>17161</v>
      </c>
      <c r="U32" s="38">
        <f>_xlfn.IFNA(INDEX(KP!$Q:$Q,MATCH(($B32&amp;"|"&amp;U$3),KP!$D:$D,0)),"")</f>
        <v>1038</v>
      </c>
      <c r="V32" s="38">
        <f>_xlfn.IFNA(INDEX(KP!$Q:$Q,MATCH(($B32&amp;"|"&amp;V$3),KP!$D:$D,0)),"")</f>
        <v>302</v>
      </c>
      <c r="W32" s="38">
        <f>_xlfn.IFNA(INDEX(KP!$Q:$Q,MATCH(($B32&amp;"|"&amp;W$3),KP!$D:$D,0)),"")</f>
        <v>160</v>
      </c>
      <c r="X32" s="38">
        <f>_xlfn.IFNA(INDEX(KP!$Q:$Q,MATCH(($B32&amp;"|"&amp;X$3),KP!$D:$D,0)),"")</f>
        <v>0</v>
      </c>
      <c r="Y32" s="38">
        <f>_xlfn.IFNA(INDEX(KP!$Q:$Q,MATCH(($B32&amp;"|"&amp;Y$3),KP!$D:$D,0)),"")</f>
        <v>1</v>
      </c>
      <c r="Z32" s="38">
        <f>SUM(SUMIFS(Cascade!$AX:$AX,Cascade!$B:$B,$B32,Cascade!$C:$C,{"15-24","25-34","35-49","50+"},Cascade!$D:$D,"Female"))</f>
        <v>1910</v>
      </c>
      <c r="AA32" s="38">
        <f>SUM(SUMIFS(Cascade!$AX:$AX,Cascade!$B:$B,$B32,Cascade!$C:$C,{"15-24","25-34","35-49","50+"},Cascade!$D:$D,"Male"))</f>
        <v>542</v>
      </c>
      <c r="AB32" s="38">
        <f>_xlfn.IFNA(INDEX(KP!$Z:$Z,MATCH(($B32&amp;"|"&amp;AB$3),KP!$D:$D,0)),"")</f>
        <v>183</v>
      </c>
      <c r="AC32" s="38">
        <f>_xlfn.IFNA(INDEX(KP!$Z:$Z,MATCH(($B32&amp;"|"&amp;AC$3),KP!$D:$D,0)),"")</f>
        <v>132</v>
      </c>
      <c r="AD32" s="38">
        <f>_xlfn.IFNA(INDEX(KP!$Z:$Z,MATCH(($B32&amp;"|"&amp;AD$3),KP!$D:$D,0)),"")</f>
        <v>28</v>
      </c>
      <c r="AE32" s="38" t="str">
        <f>_xlfn.IFNA(INDEX(KP!$Z:$Z,MATCH(($B32&amp;"|"&amp;AE$3),KP!$D:$D,0)),"")</f>
        <v/>
      </c>
      <c r="AF32" s="38">
        <f>_xlfn.IFNA(INDEX(KP!$Z:$Z,MATCH(($B32&amp;"|"&amp;AF$3),KP!$D:$D,0)),"")</f>
        <v>0</v>
      </c>
      <c r="AG32" s="38">
        <f>SUM(SUMIFS(Cascade!$BB:$BB,Cascade!$B:$B,$B32,Cascade!$C:$C,{"15-24","25-34","35-49","50+"},Cascade!$D:$D,"Female"))</f>
        <v>25994</v>
      </c>
      <c r="AH32" s="38">
        <f>SUM(SUMIFS(Cascade!$BB:$BB,Cascade!$B:$B,$B32,Cascade!$C:$C,{"15-24","25-34","35-49","50+"},Cascade!$D:$D,"Male"))</f>
        <v>15446</v>
      </c>
      <c r="AI32" s="38">
        <f>_xlfn.IFNA(INDEX(KP!$AD:$AD,MATCH(($B32&amp;"|"&amp;AI$3),KP!$D:$D,0)),"")</f>
        <v>986</v>
      </c>
      <c r="AJ32" s="38">
        <f>_xlfn.IFNA(INDEX(KP!$AD:$AD,MATCH(($B32&amp;"|"&amp;AJ$3),KP!$D:$D,0)),"")</f>
        <v>287</v>
      </c>
      <c r="AK32" s="38">
        <f>_xlfn.IFNA(INDEX(KP!$AD:$AD,MATCH(($B32&amp;"|"&amp;AK$3),KP!$D:$D,0)),"")</f>
        <v>152</v>
      </c>
      <c r="AL32" s="38" t="str">
        <f>_xlfn.IFNA(INDEX(KP!$AD:$AD,MATCH(($B32&amp;"|"&amp;AL$3),KP!$D:$D,0)),"")</f>
        <v/>
      </c>
      <c r="AM32" s="38">
        <f>_xlfn.IFNA(INDEX(KP!$AD:$AD,MATCH(($B32&amp;"|"&amp;AM$3),KP!$D:$D,0)),"")</f>
        <v>0</v>
      </c>
      <c r="AN32" s="38">
        <f>SUM(SUMIFS(Cascade!$BE:$BE,Cascade!$B:$B,$B32,Cascade!$C:$C,{"15-24","25-34","35-49","50+"},Cascade!$D:$D,"Female"))</f>
        <v>24694</v>
      </c>
      <c r="AO32" s="38">
        <f>SUM(SUMIFS(Cascade!$BE:$BE,Cascade!$B:$B,$B32,Cascade!$C:$C,{"15-24","25-34","35-49","50+"},Cascade!$D:$D,"Male"))</f>
        <v>14674</v>
      </c>
      <c r="AP32" s="38">
        <f>_xlfn.IFNA(INDEX(KP!$AF:$AF,MATCH(($B32&amp;"|"&amp;AP$3),KP!$D:$D,0)),"")</f>
        <v>937</v>
      </c>
      <c r="AQ32" s="38">
        <f>_xlfn.IFNA(INDEX(KP!$AF:$AF,MATCH(($B32&amp;"|"&amp;AQ$3),KP!$D:$D,0)),"")</f>
        <v>273</v>
      </c>
      <c r="AR32" s="38">
        <f>_xlfn.IFNA(INDEX(KP!$AF:$AF,MATCH(($B32&amp;"|"&amp;AR$3),KP!$D:$D,0)),"")</f>
        <v>144</v>
      </c>
      <c r="AS32" s="38" t="str">
        <f>_xlfn.IFNA(INDEX(KP!$AF:$AF,MATCH(($B32&amp;"|"&amp;AS$3),KP!$D:$D,0)),"")</f>
        <v/>
      </c>
      <c r="AT32" s="38">
        <f>_xlfn.IFNA(INDEX(KP!$AF:$AF,MATCH(($B32&amp;"|"&amp;AT$3),KP!$D:$D,0)),"")</f>
        <v>0</v>
      </c>
      <c r="AU32" s="38">
        <f>SUM(SUMIFS(HTS!$AN:$AN,HTS!$B:$B,$B32,HTS!$C:$C,{"15-24","25-34","35-49","50+"},HTS!$D:$D,"Female"))</f>
        <v>1813</v>
      </c>
      <c r="AV32" s="38">
        <f>SUM(SUMIFS(HTS!$AN:$AN,HTS!$B:$B,$B32,HTS!$C:$C,{"15-24","25-34","35-49","50+"},HTS!$D:$D,"Male"))</f>
        <v>449</v>
      </c>
      <c r="AW32" s="38">
        <f>_xlfn.IFNA(INDEX(KP!$AK:$AK,MATCH(($B32&amp;"|"&amp;AW$3),KP!$D:$D,0)),"")</f>
        <v>193</v>
      </c>
      <c r="AX32" s="38">
        <f>_xlfn.IFNA(INDEX(KP!$AK:$AK,MATCH(($B32&amp;"|"&amp;AX$3),KP!$D:$D,0)),"")</f>
        <v>139</v>
      </c>
      <c r="AY32" s="38">
        <f>_xlfn.IFNA(INDEX(KP!$AK:$AK,MATCH(($B32&amp;"|"&amp;AY$3),KP!$D:$D,0)),"")</f>
        <v>29</v>
      </c>
      <c r="AZ32" s="38" t="str">
        <f>_xlfn.IFNA(INDEX(KP!$AK:$AK,MATCH(($B32&amp;"|"&amp;AZ$3),KP!$D:$D,0)),"")</f>
        <v/>
      </c>
      <c r="BA32" s="38">
        <f>_xlfn.IFNA(INDEX(KP!$AK:$AK,MATCH(($B32&amp;"|"&amp;BA$3),KP!$D:$D,0)),"")</f>
        <v>0</v>
      </c>
      <c r="BB32" s="38">
        <f>SUM(SUMIFS(HTS!$AU:$AU,HTS!$B:$B,$B32,HTS!$C:$C,{"15-24","25-34","35-49","50+"},HTS!$D:$D,"Female"))</f>
        <v>116589</v>
      </c>
      <c r="BC32" s="38">
        <f>SUM(SUMIFS(HTS!$AU:$AU,HTS!$B:$B,$B32,HTS!$C:$C,{"15-24","25-34","35-49","50+"},HTS!$D:$D,"Male"))</f>
        <v>18493</v>
      </c>
      <c r="BD32" s="38">
        <f>_xlfn.IFNA(INDEX(KP!$AL:$AL,MATCH(($B32&amp;"|"&amp;BD$3),KP!$D:$D,0)),"")</f>
        <v>1186</v>
      </c>
      <c r="BE32" s="38">
        <f>_xlfn.IFNA(INDEX(KP!$AL:$AL,MATCH(($B32&amp;"|"&amp;BE$3),KP!$D:$D,0)),"")</f>
        <v>1080</v>
      </c>
      <c r="BF32" s="38">
        <f>_xlfn.IFNA(INDEX(KP!$AL:$AL,MATCH(($B32&amp;"|"&amp;BF$3),KP!$D:$D,0)),"")</f>
        <v>1421</v>
      </c>
      <c r="BG32" s="38" t="str">
        <f>_xlfn.IFNA(INDEX(KP!$AL:$AL,MATCH(($B32&amp;"|"&amp;BG$3),KP!$D:$D,0)),"")</f>
        <v/>
      </c>
      <c r="BH32" s="38">
        <f>_xlfn.IFNA(INDEX(KP!$AL:$AL,MATCH(($B32&amp;"|"&amp;BH$3),KP!$D:$D,0)),"")</f>
        <v>0</v>
      </c>
      <c r="BI32" s="38">
        <f>SUM(SUMIFS(HTS!$BB:$BB,HTS!$B:$B,$B32,HTS!$C:$C,{"15-24","25-34","35-49","50+"},HTS!$D:$D,"Female"))</f>
        <v>762</v>
      </c>
      <c r="BJ32" s="38">
        <f>SUM(SUMIFS(HTS!$BB:$BB,HTS!$B:$B,$B32,HTS!$C:$C,{"15-24","25-34","35-49","50+"},HTS!$D:$D,"Male"))</f>
        <v>189</v>
      </c>
      <c r="BK32" s="38">
        <f>_xlfn.IFNA(INDEX(KP!$AN:$AN,MATCH(($B32&amp;"|"&amp;BK$3),KP!$D:$D,0)),"")</f>
        <v>0</v>
      </c>
      <c r="BL32" s="38">
        <f>_xlfn.IFNA(INDEX(KP!$AN:$AN,MATCH(($B32&amp;"|"&amp;BL$3),KP!$D:$D,0)),"")</f>
        <v>0</v>
      </c>
      <c r="BM32" s="38">
        <f>_xlfn.IFNA(INDEX(KP!$AN:$AN,MATCH(($B32&amp;"|"&amp;BM$3),KP!$D:$D,0)),"")</f>
        <v>0</v>
      </c>
      <c r="BN32" s="38" t="str">
        <f>_xlfn.IFNA(INDEX(KP!$AN:$AN,MATCH(($B32&amp;"|"&amp;BN$3),KP!$D:$D,0)),"")</f>
        <v/>
      </c>
      <c r="BO32" s="38">
        <f>_xlfn.IFNA(INDEX(KP!$AN:$AN,MATCH(($B32&amp;"|"&amp;BO$3),KP!$D:$D,0)),"")</f>
        <v>-1</v>
      </c>
      <c r="BP32" s="38">
        <f>SUM(SUMIFS(HTS!$AZ:$AZ,HTS!$B:$B,$B32,HTS!$C:$C,{"15-24","25-34","35-49","50+"},HTS!$D:$D,"Female"))</f>
        <v>11874</v>
      </c>
      <c r="BQ32" s="38">
        <f>SUM(SUMIFS(HTS!$AZ:$AZ,HTS!$B:$B,$B32,HTS!$C:$C,{"15-24","25-34","35-49","50+"},HTS!$D:$D,"Male"))</f>
        <v>5558</v>
      </c>
      <c r="BR32" s="38">
        <f>_xlfn.IFNA(INDEX(KP!$AP:$AP,MATCH(($B32&amp;"|"&amp;BR$3),KP!$D:$D,0)),"")</f>
        <v>5210</v>
      </c>
      <c r="BS32" s="38">
        <f>_xlfn.IFNA(INDEX(KP!$AP:$AP,MATCH(($B32&amp;"|"&amp;BS$3),KP!$D:$D,0)),"")</f>
        <v>3140</v>
      </c>
      <c r="BT32" s="38">
        <f>_xlfn.IFNA(INDEX(KP!$AP:$AP,MATCH(($B32&amp;"|"&amp;BT$3),KP!$D:$D,0)),"")</f>
        <v>0</v>
      </c>
      <c r="BU32" s="38">
        <f>_xlfn.IFNA(INDEX(KP!$AP:$AP,MATCH(($B32&amp;"|"&amp;BU$3),KP!$D:$D,0)),"")</f>
        <v>0</v>
      </c>
      <c r="BV32" s="38">
        <f>_xlfn.IFNA(INDEX(KP!$AP:$AP,MATCH(($B32&amp;"|"&amp;BV$3),KP!$D:$D,0)),"")</f>
        <v>0</v>
      </c>
    </row>
    <row r="33" spans="1:74" x14ac:dyDescent="0.2">
      <c r="A33" s="85" t="str">
        <f>INDEX(Prioritization!$D:$D,MATCH($B33,Prioritization!$A:$A,0))</f>
        <v>4 - Sustained</v>
      </c>
      <c r="B33" s="10" t="s">
        <v>321</v>
      </c>
      <c r="C33" s="38">
        <f>SUM(SUMIFS(PrEP!$O:$O,PrEP!$B:$B,$B33,PrEP!$C:$C,{"15-24","25-34","35-49","50+"},PrEP!$D:$D,"Female"))</f>
        <v>24</v>
      </c>
      <c r="D33" s="38">
        <f>SUM(SUMIFS(PrEP!$O:$O,PrEP!$B:$B,$B33,PrEP!$C:$C,{"15-24","25-34"},PrEP!$D:$D,"Female"))</f>
        <v>9</v>
      </c>
      <c r="E33" s="38">
        <f>SUM(SUMIFS(PrEP!$O:$O,PrEP!$B:$B,$B33,PrEP!$C:$C,{"15-24","25-34","35-49","50+"},PrEP!$D:$D,"Male"))</f>
        <v>3</v>
      </c>
      <c r="F33" s="38">
        <f>_xlfn.IFNA(INDEX(KP!$I:$I,MATCH(($B33&amp;"|"&amp;F$3),KP!$D:$D,0)),"")</f>
        <v>0</v>
      </c>
      <c r="G33" s="38">
        <f>_xlfn.IFNA(INDEX(KP!$I:$I,MATCH(($B33&amp;"|"&amp;G$3),KP!$D:$D,0)),"")</f>
        <v>0</v>
      </c>
      <c r="H33" s="38">
        <f>_xlfn.IFNA(INDEX(KP!$I:$I,MATCH(($B33&amp;"|"&amp;H$3),KP!$D:$D,0)),"")</f>
        <v>0</v>
      </c>
      <c r="I33" s="38">
        <f>_xlfn.IFNA(INDEX(KP!$I:$I,MATCH(($B33&amp;"|"&amp;I$3),KP!$D:$D,0)),"")</f>
        <v>0</v>
      </c>
      <c r="J33" s="38">
        <f>_xlfn.IFNA(INDEX(KP!$I:$I,MATCH(($B33&amp;"|"&amp;J$3),KP!$D:$D,0)),"")</f>
        <v>0</v>
      </c>
      <c r="K33" s="38">
        <f>SUM(SUMIFS(PrEP!$L:$L,PrEP!$B:$B,$B33,PrEP!$C:$C,{"15-24","25-34","35-49","50+"},PrEP!$D:$D,"Female"))</f>
        <v>135</v>
      </c>
      <c r="L33" s="38">
        <f>SUM(SUMIFS(PrEP!$L:$L,PrEP!$B:$B,$B33,PrEP!$C:$C,{"15-24","25-34"},PrEP!$D:$D,"Female"))</f>
        <v>108</v>
      </c>
      <c r="M33" s="38">
        <f>SUM(SUMIFS(PrEP!$L:$L,PrEP!$B:$B,$B33,PrEP!$C:$C,{"15-24","25-34","35-49","50+"},PrEP!$D:$D,"Male"))</f>
        <v>41</v>
      </c>
      <c r="N33" s="38">
        <f>_xlfn.IFNA(INDEX(KP!$K:$K,MATCH(($B33&amp;"|"&amp;N$3),KP!$D:$D,0)),"")</f>
        <v>0</v>
      </c>
      <c r="O33" s="38">
        <f>_xlfn.IFNA(INDEX(KP!$K:$K,MATCH(($B33&amp;"|"&amp;O$3),KP!$D:$D,0)),"")</f>
        <v>0</v>
      </c>
      <c r="P33" s="38">
        <f>_xlfn.IFNA(INDEX(KP!$K:$K,MATCH(($B33&amp;"|"&amp;P$3),KP!$D:$D,0)),"")</f>
        <v>0</v>
      </c>
      <c r="Q33" s="38">
        <f>_xlfn.IFNA(INDEX(KP!$K:$K,MATCH(($B33&amp;"|"&amp;Q$3),KP!$D:$D,0)),"")</f>
        <v>0</v>
      </c>
      <c r="R33" s="38">
        <f>_xlfn.IFNA(INDEX(KP!$K:$K,MATCH(($B33&amp;"|"&amp;R$3),KP!$D:$D,0)),"")</f>
        <v>0</v>
      </c>
      <c r="S33" s="38">
        <f>SUM(SUMIFS(Cascade!$AP:$AP,Cascade!$B:$B,$B33,Cascade!$C:$C,{"15-24","25-34","35-49","50+"},Cascade!$D:$D,"Female"))</f>
        <v>5665</v>
      </c>
      <c r="T33" s="38">
        <f>SUM(SUMIFS(Cascade!$AP:$AP,Cascade!$B:$B,$B33,Cascade!$C:$C,{"15-24","25-34","35-49","50+"},Cascade!$D:$D,"Male"))</f>
        <v>2895</v>
      </c>
      <c r="U33" s="38">
        <f>_xlfn.IFNA(INDEX(KP!$Q:$Q,MATCH(($B33&amp;"|"&amp;U$3),KP!$D:$D,0)),"")</f>
        <v>0</v>
      </c>
      <c r="V33" s="38">
        <f>_xlfn.IFNA(INDEX(KP!$Q:$Q,MATCH(($B33&amp;"|"&amp;V$3),KP!$D:$D,0)),"")</f>
        <v>0</v>
      </c>
      <c r="W33" s="38">
        <f>_xlfn.IFNA(INDEX(KP!$Q:$Q,MATCH(($B33&amp;"|"&amp;W$3),KP!$D:$D,0)),"")</f>
        <v>6</v>
      </c>
      <c r="X33" s="38">
        <f>_xlfn.IFNA(INDEX(KP!$Q:$Q,MATCH(($B33&amp;"|"&amp;X$3),KP!$D:$D,0)),"")</f>
        <v>0</v>
      </c>
      <c r="Y33" s="38">
        <f>_xlfn.IFNA(INDEX(KP!$Q:$Q,MATCH(($B33&amp;"|"&amp;Y$3),KP!$D:$D,0)),"")</f>
        <v>0</v>
      </c>
      <c r="Z33" s="38">
        <f>SUM(SUMIFS(Cascade!$AX:$AX,Cascade!$B:$B,$B33,Cascade!$C:$C,{"15-24","25-34","35-49","50+"},Cascade!$D:$D,"Female"))</f>
        <v>284</v>
      </c>
      <c r="AA33" s="38">
        <f>SUM(SUMIFS(Cascade!$AX:$AX,Cascade!$B:$B,$B33,Cascade!$C:$C,{"15-24","25-34","35-49","50+"},Cascade!$D:$D,"Male"))</f>
        <v>74</v>
      </c>
      <c r="AB33" s="38" t="str">
        <f>_xlfn.IFNA(INDEX(KP!$Z:$Z,MATCH(($B33&amp;"|"&amp;AB$3),KP!$D:$D,0)),"")</f>
        <v/>
      </c>
      <c r="AC33" s="38" t="str">
        <f>_xlfn.IFNA(INDEX(KP!$Z:$Z,MATCH(($B33&amp;"|"&amp;AC$3),KP!$D:$D,0)),"")</f>
        <v/>
      </c>
      <c r="AD33" s="38">
        <f>_xlfn.IFNA(INDEX(KP!$Z:$Z,MATCH(($B33&amp;"|"&amp;AD$3),KP!$D:$D,0)),"")</f>
        <v>1</v>
      </c>
      <c r="AE33" s="38" t="str">
        <f>_xlfn.IFNA(INDEX(KP!$Z:$Z,MATCH(($B33&amp;"|"&amp;AE$3),KP!$D:$D,0)),"")</f>
        <v/>
      </c>
      <c r="AF33" s="38" t="str">
        <f>_xlfn.IFNA(INDEX(KP!$Z:$Z,MATCH(($B33&amp;"|"&amp;AF$3),KP!$D:$D,0)),"")</f>
        <v/>
      </c>
      <c r="AG33" s="38">
        <f>SUM(SUMIFS(Cascade!$BB:$BB,Cascade!$B:$B,$B33,Cascade!$C:$C,{"15-24","25-34","35-49","50+"},Cascade!$D:$D,"Female"))</f>
        <v>5098</v>
      </c>
      <c r="AH33" s="38">
        <f>SUM(SUMIFS(Cascade!$BB:$BB,Cascade!$B:$B,$B33,Cascade!$C:$C,{"15-24","25-34","35-49","50+"},Cascade!$D:$D,"Male"))</f>
        <v>2606</v>
      </c>
      <c r="AI33" s="38" t="str">
        <f>_xlfn.IFNA(INDEX(KP!$AD:$AD,MATCH(($B33&amp;"|"&amp;AI$3),KP!$D:$D,0)),"")</f>
        <v/>
      </c>
      <c r="AJ33" s="38" t="str">
        <f>_xlfn.IFNA(INDEX(KP!$AD:$AD,MATCH(($B33&amp;"|"&amp;AJ$3),KP!$D:$D,0)),"")</f>
        <v/>
      </c>
      <c r="AK33" s="38">
        <f>_xlfn.IFNA(INDEX(KP!$AD:$AD,MATCH(($B33&amp;"|"&amp;AK$3),KP!$D:$D,0)),"")</f>
        <v>6</v>
      </c>
      <c r="AL33" s="38" t="str">
        <f>_xlfn.IFNA(INDEX(KP!$AD:$AD,MATCH(($B33&amp;"|"&amp;AL$3),KP!$D:$D,0)),"")</f>
        <v/>
      </c>
      <c r="AM33" s="38" t="str">
        <f>_xlfn.IFNA(INDEX(KP!$AD:$AD,MATCH(($B33&amp;"|"&amp;AM$3),KP!$D:$D,0)),"")</f>
        <v/>
      </c>
      <c r="AN33" s="38">
        <f>SUM(SUMIFS(Cascade!$BE:$BE,Cascade!$B:$B,$B33,Cascade!$C:$C,{"15-24","25-34","35-49","50+"},Cascade!$D:$D,"Female"))</f>
        <v>4844</v>
      </c>
      <c r="AO33" s="38">
        <f>SUM(SUMIFS(Cascade!$BE:$BE,Cascade!$B:$B,$B33,Cascade!$C:$C,{"15-24","25-34","35-49","50+"},Cascade!$D:$D,"Male"))</f>
        <v>2475</v>
      </c>
      <c r="AP33" s="38" t="str">
        <f>_xlfn.IFNA(INDEX(KP!$AF:$AF,MATCH(($B33&amp;"|"&amp;AP$3),KP!$D:$D,0)),"")</f>
        <v/>
      </c>
      <c r="AQ33" s="38" t="str">
        <f>_xlfn.IFNA(INDEX(KP!$AF:$AF,MATCH(($B33&amp;"|"&amp;AQ$3),KP!$D:$D,0)),"")</f>
        <v/>
      </c>
      <c r="AR33" s="38">
        <f>_xlfn.IFNA(INDEX(KP!$AF:$AF,MATCH(($B33&amp;"|"&amp;AR$3),KP!$D:$D,0)),"")</f>
        <v>6</v>
      </c>
      <c r="AS33" s="38" t="str">
        <f>_xlfn.IFNA(INDEX(KP!$AF:$AF,MATCH(($B33&amp;"|"&amp;AS$3),KP!$D:$D,0)),"")</f>
        <v/>
      </c>
      <c r="AT33" s="38" t="str">
        <f>_xlfn.IFNA(INDEX(KP!$AF:$AF,MATCH(($B33&amp;"|"&amp;AT$3),KP!$D:$D,0)),"")</f>
        <v/>
      </c>
      <c r="AU33" s="38">
        <f>SUM(SUMIFS(HTS!$AN:$AN,HTS!$B:$B,$B33,HTS!$C:$C,{"15-24","25-34","35-49","50+"},HTS!$D:$D,"Female"))</f>
        <v>240</v>
      </c>
      <c r="AV33" s="38">
        <f>SUM(SUMIFS(HTS!$AN:$AN,HTS!$B:$B,$B33,HTS!$C:$C,{"15-24","25-34","35-49","50+"},HTS!$D:$D,"Male"))</f>
        <v>53</v>
      </c>
      <c r="AW33" s="38" t="str">
        <f>_xlfn.IFNA(INDEX(KP!$AK:$AK,MATCH(($B33&amp;"|"&amp;AW$3),KP!$D:$D,0)),"")</f>
        <v/>
      </c>
      <c r="AX33" s="38" t="str">
        <f>_xlfn.IFNA(INDEX(KP!$AK:$AK,MATCH(($B33&amp;"|"&amp;AX$3),KP!$D:$D,0)),"")</f>
        <v/>
      </c>
      <c r="AY33" s="38">
        <f>_xlfn.IFNA(INDEX(KP!$AK:$AK,MATCH(($B33&amp;"|"&amp;AY$3),KP!$D:$D,0)),"")</f>
        <v>1</v>
      </c>
      <c r="AZ33" s="38" t="str">
        <f>_xlfn.IFNA(INDEX(KP!$AK:$AK,MATCH(($B33&amp;"|"&amp;AZ$3),KP!$D:$D,0)),"")</f>
        <v/>
      </c>
      <c r="BA33" s="38" t="str">
        <f>_xlfn.IFNA(INDEX(KP!$AK:$AK,MATCH(($B33&amp;"|"&amp;BA$3),KP!$D:$D,0)),"")</f>
        <v/>
      </c>
      <c r="BB33" s="38">
        <f>SUM(SUMIFS(HTS!$AU:$AU,HTS!$B:$B,$B33,HTS!$C:$C,{"15-24","25-34","35-49","50+"},HTS!$D:$D,"Female"))</f>
        <v>21730</v>
      </c>
      <c r="BC33" s="38">
        <f>SUM(SUMIFS(HTS!$AU:$AU,HTS!$B:$B,$B33,HTS!$C:$C,{"15-24","25-34","35-49","50+"},HTS!$D:$D,"Male"))</f>
        <v>3821</v>
      </c>
      <c r="BD33" s="38" t="str">
        <f>_xlfn.IFNA(INDEX(KP!$AL:$AL,MATCH(($B33&amp;"|"&amp;BD$3),KP!$D:$D,0)),"")</f>
        <v/>
      </c>
      <c r="BE33" s="38" t="str">
        <f>_xlfn.IFNA(INDEX(KP!$AL:$AL,MATCH(($B33&amp;"|"&amp;BE$3),KP!$D:$D,0)),"")</f>
        <v/>
      </c>
      <c r="BF33" s="38">
        <f>_xlfn.IFNA(INDEX(KP!$AL:$AL,MATCH(($B33&amp;"|"&amp;BF$3),KP!$D:$D,0)),"")</f>
        <v>49</v>
      </c>
      <c r="BG33" s="38" t="str">
        <f>_xlfn.IFNA(INDEX(KP!$AL:$AL,MATCH(($B33&amp;"|"&amp;BG$3),KP!$D:$D,0)),"")</f>
        <v/>
      </c>
      <c r="BH33" s="38" t="str">
        <f>_xlfn.IFNA(INDEX(KP!$AL:$AL,MATCH(($B33&amp;"|"&amp;BH$3),KP!$D:$D,0)),"")</f>
        <v/>
      </c>
      <c r="BI33" s="38">
        <f>SUM(SUMIFS(HTS!$BB:$BB,HTS!$B:$B,$B33,HTS!$C:$C,{"15-24","25-34","35-49","50+"},HTS!$D:$D,"Female"))</f>
        <v>50</v>
      </c>
      <c r="BJ33" s="38">
        <f>SUM(SUMIFS(HTS!$BB:$BB,HTS!$B:$B,$B33,HTS!$C:$C,{"15-24","25-34","35-49","50+"},HTS!$D:$D,"Male"))</f>
        <v>12</v>
      </c>
      <c r="BK33" s="38" t="str">
        <f>_xlfn.IFNA(INDEX(KP!$AN:$AN,MATCH(($B33&amp;"|"&amp;BK$3),KP!$D:$D,0)),"")</f>
        <v/>
      </c>
      <c r="BL33" s="38" t="str">
        <f>_xlfn.IFNA(INDEX(KP!$AN:$AN,MATCH(($B33&amp;"|"&amp;BL$3),KP!$D:$D,0)),"")</f>
        <v/>
      </c>
      <c r="BM33" s="38">
        <f>_xlfn.IFNA(INDEX(KP!$AN:$AN,MATCH(($B33&amp;"|"&amp;BM$3),KP!$D:$D,0)),"")</f>
        <v>0</v>
      </c>
      <c r="BN33" s="38" t="str">
        <f>_xlfn.IFNA(INDEX(KP!$AN:$AN,MATCH(($B33&amp;"|"&amp;BN$3),KP!$D:$D,0)),"")</f>
        <v/>
      </c>
      <c r="BO33" s="38" t="str">
        <f>_xlfn.IFNA(INDEX(KP!$AN:$AN,MATCH(($B33&amp;"|"&amp;BO$3),KP!$D:$D,0)),"")</f>
        <v/>
      </c>
      <c r="BP33" s="38">
        <f>SUM(SUMIFS(HTS!$AZ:$AZ,HTS!$B:$B,$B33,HTS!$C:$C,{"15-24","25-34","35-49","50+"},HTS!$D:$D,"Female"))</f>
        <v>827</v>
      </c>
      <c r="BQ33" s="38">
        <f>SUM(SUMIFS(HTS!$AZ:$AZ,HTS!$B:$B,$B33,HTS!$C:$C,{"15-24","25-34","35-49","50+"},HTS!$D:$D,"Male"))</f>
        <v>53</v>
      </c>
      <c r="BR33" s="38">
        <f>_xlfn.IFNA(INDEX(KP!$AP:$AP,MATCH(($B33&amp;"|"&amp;BR$3),KP!$D:$D,0)),"")</f>
        <v>0</v>
      </c>
      <c r="BS33" s="38">
        <f>_xlfn.IFNA(INDEX(KP!$AP:$AP,MATCH(($B33&amp;"|"&amp;BS$3),KP!$D:$D,0)),"")</f>
        <v>0</v>
      </c>
      <c r="BT33" s="38">
        <f>_xlfn.IFNA(INDEX(KP!$AP:$AP,MATCH(($B33&amp;"|"&amp;BT$3),KP!$D:$D,0)),"")</f>
        <v>0</v>
      </c>
      <c r="BU33" s="38">
        <f>_xlfn.IFNA(INDEX(KP!$AP:$AP,MATCH(($B33&amp;"|"&amp;BU$3),KP!$D:$D,0)),"")</f>
        <v>0</v>
      </c>
      <c r="BV33" s="38">
        <f>_xlfn.IFNA(INDEX(KP!$AP:$AP,MATCH(($B33&amp;"|"&amp;BV$3),KP!$D:$D,0)),"")</f>
        <v>0</v>
      </c>
    </row>
    <row r="34" spans="1:74" x14ac:dyDescent="0.2">
      <c r="A34" s="85" t="str">
        <f>INDEX(Prioritization!$D:$D,MATCH($B34,Prioritization!$A:$A,0))</f>
        <v>4 - Sustained</v>
      </c>
      <c r="B34" s="10" t="s">
        <v>311</v>
      </c>
      <c r="C34" s="38">
        <f>SUM(SUMIFS(PrEP!$O:$O,PrEP!$B:$B,$B34,PrEP!$C:$C,{"15-24","25-34","35-49","50+"},PrEP!$D:$D,"Female"))</f>
        <v>215</v>
      </c>
      <c r="D34" s="38">
        <f>SUM(SUMIFS(PrEP!$O:$O,PrEP!$B:$B,$B34,PrEP!$C:$C,{"15-24","25-34"},PrEP!$D:$D,"Female"))</f>
        <v>149</v>
      </c>
      <c r="E34" s="38">
        <f>SUM(SUMIFS(PrEP!$O:$O,PrEP!$B:$B,$B34,PrEP!$C:$C,{"15-24","25-34","35-49","50+"},PrEP!$D:$D,"Male"))</f>
        <v>27</v>
      </c>
      <c r="F34" s="38">
        <f>_xlfn.IFNA(INDEX(KP!$I:$I,MATCH(($B34&amp;"|"&amp;F$3),KP!$D:$D,0)),"")</f>
        <v>0</v>
      </c>
      <c r="G34" s="38">
        <f>_xlfn.IFNA(INDEX(KP!$I:$I,MATCH(($B34&amp;"|"&amp;G$3),KP!$D:$D,0)),"")</f>
        <v>0</v>
      </c>
      <c r="H34" s="38">
        <f>_xlfn.IFNA(INDEX(KP!$I:$I,MATCH(($B34&amp;"|"&amp;H$3),KP!$D:$D,0)),"")</f>
        <v>0</v>
      </c>
      <c r="I34" s="38">
        <f>_xlfn.IFNA(INDEX(KP!$I:$I,MATCH(($B34&amp;"|"&amp;I$3),KP!$D:$D,0)),"")</f>
        <v>0</v>
      </c>
      <c r="J34" s="38">
        <f>_xlfn.IFNA(INDEX(KP!$I:$I,MATCH(($B34&amp;"|"&amp;J$3),KP!$D:$D,0)),"")</f>
        <v>0</v>
      </c>
      <c r="K34" s="38">
        <f>SUM(SUMIFS(PrEP!$L:$L,PrEP!$B:$B,$B34,PrEP!$C:$C,{"15-24","25-34","35-49","50+"},PrEP!$D:$D,"Female"))</f>
        <v>140</v>
      </c>
      <c r="L34" s="38">
        <f>SUM(SUMIFS(PrEP!$L:$L,PrEP!$B:$B,$B34,PrEP!$C:$C,{"15-24","25-34"},PrEP!$D:$D,"Female"))</f>
        <v>112</v>
      </c>
      <c r="M34" s="38">
        <f>SUM(SUMIFS(PrEP!$L:$L,PrEP!$B:$B,$B34,PrEP!$C:$C,{"15-24","25-34","35-49","50+"},PrEP!$D:$D,"Male"))</f>
        <v>32</v>
      </c>
      <c r="N34" s="38">
        <f>_xlfn.IFNA(INDEX(KP!$K:$K,MATCH(($B34&amp;"|"&amp;N$3),KP!$D:$D,0)),"")</f>
        <v>0</v>
      </c>
      <c r="O34" s="38">
        <f>_xlfn.IFNA(INDEX(KP!$K:$K,MATCH(($B34&amp;"|"&amp;O$3),KP!$D:$D,0)),"")</f>
        <v>0</v>
      </c>
      <c r="P34" s="38">
        <f>_xlfn.IFNA(INDEX(KP!$K:$K,MATCH(($B34&amp;"|"&amp;P$3),KP!$D:$D,0)),"")</f>
        <v>0</v>
      </c>
      <c r="Q34" s="38">
        <f>_xlfn.IFNA(INDEX(KP!$K:$K,MATCH(($B34&amp;"|"&amp;Q$3),KP!$D:$D,0)),"")</f>
        <v>0</v>
      </c>
      <c r="R34" s="38">
        <f>_xlfn.IFNA(INDEX(KP!$K:$K,MATCH(($B34&amp;"|"&amp;R$3),KP!$D:$D,0)),"")</f>
        <v>0</v>
      </c>
      <c r="S34" s="38">
        <f>SUM(SUMIFS(Cascade!$AP:$AP,Cascade!$B:$B,$B34,Cascade!$C:$C,{"15-24","25-34","35-49","50+"},Cascade!$D:$D,"Female"))</f>
        <v>6796</v>
      </c>
      <c r="T34" s="38">
        <f>SUM(SUMIFS(Cascade!$AP:$AP,Cascade!$B:$B,$B34,Cascade!$C:$C,{"15-24","25-34","35-49","50+"},Cascade!$D:$D,"Male"))</f>
        <v>4453</v>
      </c>
      <c r="U34" s="38">
        <f>_xlfn.IFNA(INDEX(KP!$Q:$Q,MATCH(($B34&amp;"|"&amp;U$3),KP!$D:$D,0)),"")</f>
        <v>0</v>
      </c>
      <c r="V34" s="38">
        <f>_xlfn.IFNA(INDEX(KP!$Q:$Q,MATCH(($B34&amp;"|"&amp;V$3),KP!$D:$D,0)),"")</f>
        <v>0</v>
      </c>
      <c r="W34" s="38">
        <f>_xlfn.IFNA(INDEX(KP!$Q:$Q,MATCH(($B34&amp;"|"&amp;W$3),KP!$D:$D,0)),"")</f>
        <v>32</v>
      </c>
      <c r="X34" s="38">
        <f>_xlfn.IFNA(INDEX(KP!$Q:$Q,MATCH(($B34&amp;"|"&amp;X$3),KP!$D:$D,0)),"")</f>
        <v>0</v>
      </c>
      <c r="Y34" s="38">
        <f>_xlfn.IFNA(INDEX(KP!$Q:$Q,MATCH(($B34&amp;"|"&amp;Y$3),KP!$D:$D,0)),"")</f>
        <v>0</v>
      </c>
      <c r="Z34" s="38">
        <f>SUM(SUMIFS(Cascade!$AX:$AX,Cascade!$B:$B,$B34,Cascade!$C:$C,{"15-24","25-34","35-49","50+"},Cascade!$D:$D,"Female"))</f>
        <v>376</v>
      </c>
      <c r="AA34" s="38">
        <f>SUM(SUMIFS(Cascade!$AX:$AX,Cascade!$B:$B,$B34,Cascade!$C:$C,{"15-24","25-34","35-49","50+"},Cascade!$D:$D,"Male"))</f>
        <v>122</v>
      </c>
      <c r="AB34" s="38" t="str">
        <f>_xlfn.IFNA(INDEX(KP!$Z:$Z,MATCH(($B34&amp;"|"&amp;AB$3),KP!$D:$D,0)),"")</f>
        <v/>
      </c>
      <c r="AC34" s="38" t="str">
        <f>_xlfn.IFNA(INDEX(KP!$Z:$Z,MATCH(($B34&amp;"|"&amp;AC$3),KP!$D:$D,0)),"")</f>
        <v/>
      </c>
      <c r="AD34" s="38">
        <f>_xlfn.IFNA(INDEX(KP!$Z:$Z,MATCH(($B34&amp;"|"&amp;AD$3),KP!$D:$D,0)),"")</f>
        <v>6</v>
      </c>
      <c r="AE34" s="38" t="str">
        <f>_xlfn.IFNA(INDEX(KP!$Z:$Z,MATCH(($B34&amp;"|"&amp;AE$3),KP!$D:$D,0)),"")</f>
        <v/>
      </c>
      <c r="AF34" s="38" t="str">
        <f>_xlfn.IFNA(INDEX(KP!$Z:$Z,MATCH(($B34&amp;"|"&amp;AF$3),KP!$D:$D,0)),"")</f>
        <v/>
      </c>
      <c r="AG34" s="38">
        <f>SUM(SUMIFS(Cascade!$BB:$BB,Cascade!$B:$B,$B34,Cascade!$C:$C,{"15-24","25-34","35-49","50+"},Cascade!$D:$D,"Female"))</f>
        <v>6117</v>
      </c>
      <c r="AH34" s="38">
        <f>SUM(SUMIFS(Cascade!$BB:$BB,Cascade!$B:$B,$B34,Cascade!$C:$C,{"15-24","25-34","35-49","50+"},Cascade!$D:$D,"Male"))</f>
        <v>4008</v>
      </c>
      <c r="AI34" s="38" t="str">
        <f>_xlfn.IFNA(INDEX(KP!$AD:$AD,MATCH(($B34&amp;"|"&amp;AI$3),KP!$D:$D,0)),"")</f>
        <v/>
      </c>
      <c r="AJ34" s="38" t="str">
        <f>_xlfn.IFNA(INDEX(KP!$AD:$AD,MATCH(($B34&amp;"|"&amp;AJ$3),KP!$D:$D,0)),"")</f>
        <v/>
      </c>
      <c r="AK34" s="38">
        <f>_xlfn.IFNA(INDEX(KP!$AD:$AD,MATCH(($B34&amp;"|"&amp;AK$3),KP!$D:$D,0)),"")</f>
        <v>30</v>
      </c>
      <c r="AL34" s="38" t="str">
        <f>_xlfn.IFNA(INDEX(KP!$AD:$AD,MATCH(($B34&amp;"|"&amp;AL$3),KP!$D:$D,0)),"")</f>
        <v/>
      </c>
      <c r="AM34" s="38" t="str">
        <f>_xlfn.IFNA(INDEX(KP!$AD:$AD,MATCH(($B34&amp;"|"&amp;AM$3),KP!$D:$D,0)),"")</f>
        <v/>
      </c>
      <c r="AN34" s="38">
        <f>SUM(SUMIFS(Cascade!$BE:$BE,Cascade!$B:$B,$B34,Cascade!$C:$C,{"15-24","25-34","35-49","50+"},Cascade!$D:$D,"Female"))</f>
        <v>5812</v>
      </c>
      <c r="AO34" s="38">
        <f>SUM(SUMIFS(Cascade!$BE:$BE,Cascade!$B:$B,$B34,Cascade!$C:$C,{"15-24","25-34","35-49","50+"},Cascade!$D:$D,"Male"))</f>
        <v>3808</v>
      </c>
      <c r="AP34" s="38" t="str">
        <f>_xlfn.IFNA(INDEX(KP!$AF:$AF,MATCH(($B34&amp;"|"&amp;AP$3),KP!$D:$D,0)),"")</f>
        <v/>
      </c>
      <c r="AQ34" s="38" t="str">
        <f>_xlfn.IFNA(INDEX(KP!$AF:$AF,MATCH(($B34&amp;"|"&amp;AQ$3),KP!$D:$D,0)),"")</f>
        <v/>
      </c>
      <c r="AR34" s="38">
        <f>_xlfn.IFNA(INDEX(KP!$AF:$AF,MATCH(($B34&amp;"|"&amp;AR$3),KP!$D:$D,0)),"")</f>
        <v>29</v>
      </c>
      <c r="AS34" s="38" t="str">
        <f>_xlfn.IFNA(INDEX(KP!$AF:$AF,MATCH(($B34&amp;"|"&amp;AS$3),KP!$D:$D,0)),"")</f>
        <v/>
      </c>
      <c r="AT34" s="38" t="str">
        <f>_xlfn.IFNA(INDEX(KP!$AF:$AF,MATCH(($B34&amp;"|"&amp;AT$3),KP!$D:$D,0)),"")</f>
        <v/>
      </c>
      <c r="AU34" s="38">
        <f>SUM(SUMIFS(HTS!$AN:$AN,HTS!$B:$B,$B34,HTS!$C:$C,{"15-24","25-34","35-49","50+"},HTS!$D:$D,"Female"))</f>
        <v>346</v>
      </c>
      <c r="AV34" s="38">
        <f>SUM(SUMIFS(HTS!$AN:$AN,HTS!$B:$B,$B34,HTS!$C:$C,{"15-24","25-34","35-49","50+"},HTS!$D:$D,"Male"))</f>
        <v>121</v>
      </c>
      <c r="AW34" s="38" t="str">
        <f>_xlfn.IFNA(INDEX(KP!$AK:$AK,MATCH(($B34&amp;"|"&amp;AW$3),KP!$D:$D,0)),"")</f>
        <v/>
      </c>
      <c r="AX34" s="38" t="str">
        <f>_xlfn.IFNA(INDEX(KP!$AK:$AK,MATCH(($B34&amp;"|"&amp;AX$3),KP!$D:$D,0)),"")</f>
        <v/>
      </c>
      <c r="AY34" s="38">
        <f>_xlfn.IFNA(INDEX(KP!$AK:$AK,MATCH(($B34&amp;"|"&amp;AY$3),KP!$D:$D,0)),"")</f>
        <v>6</v>
      </c>
      <c r="AZ34" s="38" t="str">
        <f>_xlfn.IFNA(INDEX(KP!$AK:$AK,MATCH(($B34&amp;"|"&amp;AZ$3),KP!$D:$D,0)),"")</f>
        <v/>
      </c>
      <c r="BA34" s="38" t="str">
        <f>_xlfn.IFNA(INDEX(KP!$AK:$AK,MATCH(($B34&amp;"|"&amp;BA$3),KP!$D:$D,0)),"")</f>
        <v/>
      </c>
      <c r="BB34" s="38">
        <f>SUM(SUMIFS(HTS!$AU:$AU,HTS!$B:$B,$B34,HTS!$C:$C,{"15-24","25-34","35-49","50+"},HTS!$D:$D,"Female"))</f>
        <v>31564</v>
      </c>
      <c r="BC34" s="38">
        <f>SUM(SUMIFS(HTS!$AU:$AU,HTS!$B:$B,$B34,HTS!$C:$C,{"15-24","25-34","35-49","50+"},HTS!$D:$D,"Male"))</f>
        <v>9770</v>
      </c>
      <c r="BD34" s="38" t="str">
        <f>_xlfn.IFNA(INDEX(KP!$AL:$AL,MATCH(($B34&amp;"|"&amp;BD$3),KP!$D:$D,0)),"")</f>
        <v/>
      </c>
      <c r="BE34" s="38" t="str">
        <f>_xlfn.IFNA(INDEX(KP!$AL:$AL,MATCH(($B34&amp;"|"&amp;BE$3),KP!$D:$D,0)),"")</f>
        <v/>
      </c>
      <c r="BF34" s="38">
        <f>_xlfn.IFNA(INDEX(KP!$AL:$AL,MATCH(($B34&amp;"|"&amp;BF$3),KP!$D:$D,0)),"")</f>
        <v>294</v>
      </c>
      <c r="BG34" s="38" t="str">
        <f>_xlfn.IFNA(INDEX(KP!$AL:$AL,MATCH(($B34&amp;"|"&amp;BG$3),KP!$D:$D,0)),"")</f>
        <v/>
      </c>
      <c r="BH34" s="38" t="str">
        <f>_xlfn.IFNA(INDEX(KP!$AL:$AL,MATCH(($B34&amp;"|"&amp;BH$3),KP!$D:$D,0)),"")</f>
        <v/>
      </c>
      <c r="BI34" s="38">
        <f>SUM(SUMIFS(HTS!$BB:$BB,HTS!$B:$B,$B34,HTS!$C:$C,{"15-24","25-34","35-49","50+"},HTS!$D:$D,"Female"))</f>
        <v>131</v>
      </c>
      <c r="BJ34" s="38">
        <f>SUM(SUMIFS(HTS!$BB:$BB,HTS!$B:$B,$B34,HTS!$C:$C,{"15-24","25-34","35-49","50+"},HTS!$D:$D,"Male"))</f>
        <v>46</v>
      </c>
      <c r="BK34" s="38" t="str">
        <f>_xlfn.IFNA(INDEX(KP!$AN:$AN,MATCH(($B34&amp;"|"&amp;BK$3),KP!$D:$D,0)),"")</f>
        <v/>
      </c>
      <c r="BL34" s="38" t="str">
        <f>_xlfn.IFNA(INDEX(KP!$AN:$AN,MATCH(($B34&amp;"|"&amp;BL$3),KP!$D:$D,0)),"")</f>
        <v/>
      </c>
      <c r="BM34" s="38">
        <f>_xlfn.IFNA(INDEX(KP!$AN:$AN,MATCH(($B34&amp;"|"&amp;BM$3),KP!$D:$D,0)),"")</f>
        <v>0</v>
      </c>
      <c r="BN34" s="38" t="str">
        <f>_xlfn.IFNA(INDEX(KP!$AN:$AN,MATCH(($B34&amp;"|"&amp;BN$3),KP!$D:$D,0)),"")</f>
        <v/>
      </c>
      <c r="BO34" s="38" t="str">
        <f>_xlfn.IFNA(INDEX(KP!$AN:$AN,MATCH(($B34&amp;"|"&amp;BO$3),KP!$D:$D,0)),"")</f>
        <v/>
      </c>
      <c r="BP34" s="38">
        <f>SUM(SUMIFS(HTS!$AZ:$AZ,HTS!$B:$B,$B34,HTS!$C:$C,{"15-24","25-34","35-49","50+"},HTS!$D:$D,"Female"))</f>
        <v>1271</v>
      </c>
      <c r="BQ34" s="38">
        <f>SUM(SUMIFS(HTS!$AZ:$AZ,HTS!$B:$B,$B34,HTS!$C:$C,{"15-24","25-34","35-49","50+"},HTS!$D:$D,"Male"))</f>
        <v>143</v>
      </c>
      <c r="BR34" s="38">
        <f>_xlfn.IFNA(INDEX(KP!$AP:$AP,MATCH(($B34&amp;"|"&amp;BR$3),KP!$D:$D,0)),"")</f>
        <v>0</v>
      </c>
      <c r="BS34" s="38">
        <f>_xlfn.IFNA(INDEX(KP!$AP:$AP,MATCH(($B34&amp;"|"&amp;BS$3),KP!$D:$D,0)),"")</f>
        <v>0</v>
      </c>
      <c r="BT34" s="38">
        <f>_xlfn.IFNA(INDEX(KP!$AP:$AP,MATCH(($B34&amp;"|"&amp;BT$3),KP!$D:$D,0)),"")</f>
        <v>0</v>
      </c>
      <c r="BU34" s="38">
        <f>_xlfn.IFNA(INDEX(KP!$AP:$AP,MATCH(($B34&amp;"|"&amp;BU$3),KP!$D:$D,0)),"")</f>
        <v>0</v>
      </c>
      <c r="BV34" s="38">
        <f>_xlfn.IFNA(INDEX(KP!$AP:$AP,MATCH(($B34&amp;"|"&amp;BV$3),KP!$D:$D,0)),"")</f>
        <v>0</v>
      </c>
    </row>
    <row r="35" spans="1:74" x14ac:dyDescent="0.2">
      <c r="A35" s="85" t="str">
        <f>INDEX(Prioritization!$D:$D,MATCH($B35,Prioritization!$A:$A,0))</f>
        <v>4 - Sustained</v>
      </c>
      <c r="B35" s="10" t="s">
        <v>303</v>
      </c>
      <c r="C35" s="38">
        <f>SUM(SUMIFS(PrEP!$O:$O,PrEP!$B:$B,$B35,PrEP!$C:$C,{"15-24","25-34","35-49","50+"},PrEP!$D:$D,"Female"))</f>
        <v>165</v>
      </c>
      <c r="D35" s="38">
        <f>SUM(SUMIFS(PrEP!$O:$O,PrEP!$B:$B,$B35,PrEP!$C:$C,{"15-24","25-34"},PrEP!$D:$D,"Female"))</f>
        <v>87</v>
      </c>
      <c r="E35" s="38">
        <f>SUM(SUMIFS(PrEP!$O:$O,PrEP!$B:$B,$B35,PrEP!$C:$C,{"15-24","25-34","35-49","50+"},PrEP!$D:$D,"Male"))</f>
        <v>81</v>
      </c>
      <c r="F35" s="38">
        <f>_xlfn.IFNA(INDEX(KP!$I:$I,MATCH(($B35&amp;"|"&amp;F$3),KP!$D:$D,0)),"")</f>
        <v>0</v>
      </c>
      <c r="G35" s="38">
        <f>_xlfn.IFNA(INDEX(KP!$I:$I,MATCH(($B35&amp;"|"&amp;G$3),KP!$D:$D,0)),"")</f>
        <v>0</v>
      </c>
      <c r="H35" s="38">
        <f>_xlfn.IFNA(INDEX(KP!$I:$I,MATCH(($B35&amp;"|"&amp;H$3),KP!$D:$D,0)),"")</f>
        <v>0</v>
      </c>
      <c r="I35" s="38">
        <f>_xlfn.IFNA(INDEX(KP!$I:$I,MATCH(($B35&amp;"|"&amp;I$3),KP!$D:$D,0)),"")</f>
        <v>0</v>
      </c>
      <c r="J35" s="38">
        <f>_xlfn.IFNA(INDEX(KP!$I:$I,MATCH(($B35&amp;"|"&amp;J$3),KP!$D:$D,0)),"")</f>
        <v>0</v>
      </c>
      <c r="K35" s="38">
        <f>SUM(SUMIFS(PrEP!$L:$L,PrEP!$B:$B,$B35,PrEP!$C:$C,{"15-24","25-34","35-49","50+"},PrEP!$D:$D,"Female"))</f>
        <v>-12</v>
      </c>
      <c r="L35" s="38">
        <f>SUM(SUMIFS(PrEP!$L:$L,PrEP!$B:$B,$B35,PrEP!$C:$C,{"15-24","25-34"},PrEP!$D:$D,"Female"))</f>
        <v>-6</v>
      </c>
      <c r="M35" s="38">
        <f>SUM(SUMIFS(PrEP!$L:$L,PrEP!$B:$B,$B35,PrEP!$C:$C,{"15-24","25-34","35-49","50+"},PrEP!$D:$D,"Male"))</f>
        <v>740</v>
      </c>
      <c r="N35" s="38">
        <f>_xlfn.IFNA(INDEX(KP!$K:$K,MATCH(($B35&amp;"|"&amp;N$3),KP!$D:$D,0)),"")</f>
        <v>0</v>
      </c>
      <c r="O35" s="38">
        <f>_xlfn.IFNA(INDEX(KP!$K:$K,MATCH(($B35&amp;"|"&amp;O$3),KP!$D:$D,0)),"")</f>
        <v>0</v>
      </c>
      <c r="P35" s="38">
        <f>_xlfn.IFNA(INDEX(KP!$K:$K,MATCH(($B35&amp;"|"&amp;P$3),KP!$D:$D,0)),"")</f>
        <v>0</v>
      </c>
      <c r="Q35" s="38">
        <f>_xlfn.IFNA(INDEX(KP!$K:$K,MATCH(($B35&amp;"|"&amp;Q$3),KP!$D:$D,0)),"")</f>
        <v>0</v>
      </c>
      <c r="R35" s="38">
        <f>_xlfn.IFNA(INDEX(KP!$K:$K,MATCH(($B35&amp;"|"&amp;R$3),KP!$D:$D,0)),"")</f>
        <v>0</v>
      </c>
      <c r="S35" s="38">
        <f>SUM(SUMIFS(Cascade!$AP:$AP,Cascade!$B:$B,$B35,Cascade!$C:$C,{"15-24","25-34","35-49","50+"},Cascade!$D:$D,"Female"))</f>
        <v>8859</v>
      </c>
      <c r="T35" s="38">
        <f>SUM(SUMIFS(Cascade!$AP:$AP,Cascade!$B:$B,$B35,Cascade!$C:$C,{"15-24","25-34","35-49","50+"},Cascade!$D:$D,"Male"))</f>
        <v>5161</v>
      </c>
      <c r="U35" s="38">
        <f>_xlfn.IFNA(INDEX(KP!$Q:$Q,MATCH(($B35&amp;"|"&amp;U$3),KP!$D:$D,0)),"")</f>
        <v>0</v>
      </c>
      <c r="V35" s="38">
        <f>_xlfn.IFNA(INDEX(KP!$Q:$Q,MATCH(($B35&amp;"|"&amp;V$3),KP!$D:$D,0)),"")</f>
        <v>0</v>
      </c>
      <c r="W35" s="38">
        <f>_xlfn.IFNA(INDEX(KP!$Q:$Q,MATCH(($B35&amp;"|"&amp;W$3),KP!$D:$D,0)),"")</f>
        <v>0</v>
      </c>
      <c r="X35" s="38">
        <f>_xlfn.IFNA(INDEX(KP!$Q:$Q,MATCH(($B35&amp;"|"&amp;X$3),KP!$D:$D,0)),"")</f>
        <v>0</v>
      </c>
      <c r="Y35" s="38">
        <f>_xlfn.IFNA(INDEX(KP!$Q:$Q,MATCH(($B35&amp;"|"&amp;Y$3),KP!$D:$D,0)),"")</f>
        <v>0</v>
      </c>
      <c r="Z35" s="38">
        <f>SUM(SUMIFS(Cascade!$AX:$AX,Cascade!$B:$B,$B35,Cascade!$C:$C,{"15-24","25-34","35-49","50+"},Cascade!$D:$D,"Female"))</f>
        <v>574</v>
      </c>
      <c r="AA35" s="38">
        <f>SUM(SUMIFS(Cascade!$AX:$AX,Cascade!$B:$B,$B35,Cascade!$C:$C,{"15-24","25-34","35-49","50+"},Cascade!$D:$D,"Male"))</f>
        <v>122</v>
      </c>
      <c r="AB35" s="38" t="str">
        <f>_xlfn.IFNA(INDEX(KP!$Z:$Z,MATCH(($B35&amp;"|"&amp;AB$3),KP!$D:$D,0)),"")</f>
        <v/>
      </c>
      <c r="AC35" s="38" t="str">
        <f>_xlfn.IFNA(INDEX(KP!$Z:$Z,MATCH(($B35&amp;"|"&amp;AC$3),KP!$D:$D,0)),"")</f>
        <v/>
      </c>
      <c r="AD35" s="38" t="str">
        <f>_xlfn.IFNA(INDEX(KP!$Z:$Z,MATCH(($B35&amp;"|"&amp;AD$3),KP!$D:$D,0)),"")</f>
        <v/>
      </c>
      <c r="AE35" s="38" t="str">
        <f>_xlfn.IFNA(INDEX(KP!$Z:$Z,MATCH(($B35&amp;"|"&amp;AE$3),KP!$D:$D,0)),"")</f>
        <v/>
      </c>
      <c r="AF35" s="38" t="str">
        <f>_xlfn.IFNA(INDEX(KP!$Z:$Z,MATCH(($B35&amp;"|"&amp;AF$3),KP!$D:$D,0)),"")</f>
        <v/>
      </c>
      <c r="AG35" s="38">
        <f>SUM(SUMIFS(Cascade!$BB:$BB,Cascade!$B:$B,$B35,Cascade!$C:$C,{"15-24","25-34","35-49","50+"},Cascade!$D:$D,"Female"))</f>
        <v>7973</v>
      </c>
      <c r="AH35" s="38">
        <f>SUM(SUMIFS(Cascade!$BB:$BB,Cascade!$B:$B,$B35,Cascade!$C:$C,{"15-24","25-34","35-49","50+"},Cascade!$D:$D,"Male"))</f>
        <v>4645</v>
      </c>
      <c r="AI35" s="38" t="str">
        <f>_xlfn.IFNA(INDEX(KP!$AD:$AD,MATCH(($B35&amp;"|"&amp;AI$3),KP!$D:$D,0)),"")</f>
        <v/>
      </c>
      <c r="AJ35" s="38" t="str">
        <f>_xlfn.IFNA(INDEX(KP!$AD:$AD,MATCH(($B35&amp;"|"&amp;AJ$3),KP!$D:$D,0)),"")</f>
        <v/>
      </c>
      <c r="AK35" s="38" t="str">
        <f>_xlfn.IFNA(INDEX(KP!$AD:$AD,MATCH(($B35&amp;"|"&amp;AK$3),KP!$D:$D,0)),"")</f>
        <v/>
      </c>
      <c r="AL35" s="38" t="str">
        <f>_xlfn.IFNA(INDEX(KP!$AD:$AD,MATCH(($B35&amp;"|"&amp;AL$3),KP!$D:$D,0)),"")</f>
        <v/>
      </c>
      <c r="AM35" s="38" t="str">
        <f>_xlfn.IFNA(INDEX(KP!$AD:$AD,MATCH(($B35&amp;"|"&amp;AM$3),KP!$D:$D,0)),"")</f>
        <v/>
      </c>
      <c r="AN35" s="38">
        <f>SUM(SUMIFS(Cascade!$BE:$BE,Cascade!$B:$B,$B35,Cascade!$C:$C,{"15-24","25-34","35-49","50+"},Cascade!$D:$D,"Female"))</f>
        <v>7575</v>
      </c>
      <c r="AO35" s="38">
        <f>SUM(SUMIFS(Cascade!$BE:$BE,Cascade!$B:$B,$B35,Cascade!$C:$C,{"15-24","25-34","35-49","50+"},Cascade!$D:$D,"Male"))</f>
        <v>4413</v>
      </c>
      <c r="AP35" s="38" t="str">
        <f>_xlfn.IFNA(INDEX(KP!$AF:$AF,MATCH(($B35&amp;"|"&amp;AP$3),KP!$D:$D,0)),"")</f>
        <v/>
      </c>
      <c r="AQ35" s="38" t="str">
        <f>_xlfn.IFNA(INDEX(KP!$AF:$AF,MATCH(($B35&amp;"|"&amp;AQ$3),KP!$D:$D,0)),"")</f>
        <v/>
      </c>
      <c r="AR35" s="38" t="str">
        <f>_xlfn.IFNA(INDEX(KP!$AF:$AF,MATCH(($B35&amp;"|"&amp;AR$3),KP!$D:$D,0)),"")</f>
        <v/>
      </c>
      <c r="AS35" s="38" t="str">
        <f>_xlfn.IFNA(INDEX(KP!$AF:$AF,MATCH(($B35&amp;"|"&amp;AS$3),KP!$D:$D,0)),"")</f>
        <v/>
      </c>
      <c r="AT35" s="38" t="str">
        <f>_xlfn.IFNA(INDEX(KP!$AF:$AF,MATCH(($B35&amp;"|"&amp;AT$3),KP!$D:$D,0)),"")</f>
        <v/>
      </c>
      <c r="AU35" s="38">
        <f>SUM(SUMIFS(HTS!$AN:$AN,HTS!$B:$B,$B35,HTS!$C:$C,{"15-24","25-34","35-49","50+"},HTS!$D:$D,"Female"))</f>
        <v>604</v>
      </c>
      <c r="AV35" s="38">
        <f>SUM(SUMIFS(HTS!$AN:$AN,HTS!$B:$B,$B35,HTS!$C:$C,{"15-24","25-34","35-49","50+"},HTS!$D:$D,"Male"))</f>
        <v>129</v>
      </c>
      <c r="AW35" s="38" t="str">
        <f>_xlfn.IFNA(INDEX(KP!$AK:$AK,MATCH(($B35&amp;"|"&amp;AW$3),KP!$D:$D,0)),"")</f>
        <v/>
      </c>
      <c r="AX35" s="38" t="str">
        <f>_xlfn.IFNA(INDEX(KP!$AK:$AK,MATCH(($B35&amp;"|"&amp;AX$3),KP!$D:$D,0)),"")</f>
        <v/>
      </c>
      <c r="AY35" s="38" t="str">
        <f>_xlfn.IFNA(INDEX(KP!$AK:$AK,MATCH(($B35&amp;"|"&amp;AY$3),KP!$D:$D,0)),"")</f>
        <v/>
      </c>
      <c r="AZ35" s="38" t="str">
        <f>_xlfn.IFNA(INDEX(KP!$AK:$AK,MATCH(($B35&amp;"|"&amp;AZ$3),KP!$D:$D,0)),"")</f>
        <v/>
      </c>
      <c r="BA35" s="38" t="str">
        <f>_xlfn.IFNA(INDEX(KP!$AK:$AK,MATCH(($B35&amp;"|"&amp;BA$3),KP!$D:$D,0)),"")</f>
        <v/>
      </c>
      <c r="BB35" s="38">
        <f>SUM(SUMIFS(HTS!$AU:$AU,HTS!$B:$B,$B35,HTS!$C:$C,{"15-24","25-34","35-49","50+"},HTS!$D:$D,"Female"))</f>
        <v>37000</v>
      </c>
      <c r="BC35" s="38">
        <f>SUM(SUMIFS(HTS!$AU:$AU,HTS!$B:$B,$B35,HTS!$C:$C,{"15-24","25-34","35-49","50+"},HTS!$D:$D,"Male"))</f>
        <v>3524</v>
      </c>
      <c r="BD35" s="38" t="str">
        <f>_xlfn.IFNA(INDEX(KP!$AL:$AL,MATCH(($B35&amp;"|"&amp;BD$3),KP!$D:$D,0)),"")</f>
        <v/>
      </c>
      <c r="BE35" s="38" t="str">
        <f>_xlfn.IFNA(INDEX(KP!$AL:$AL,MATCH(($B35&amp;"|"&amp;BE$3),KP!$D:$D,0)),"")</f>
        <v/>
      </c>
      <c r="BF35" s="38" t="str">
        <f>_xlfn.IFNA(INDEX(KP!$AL:$AL,MATCH(($B35&amp;"|"&amp;BF$3),KP!$D:$D,0)),"")</f>
        <v/>
      </c>
      <c r="BG35" s="38" t="str">
        <f>_xlfn.IFNA(INDEX(KP!$AL:$AL,MATCH(($B35&amp;"|"&amp;BG$3),KP!$D:$D,0)),"")</f>
        <v/>
      </c>
      <c r="BH35" s="38" t="str">
        <f>_xlfn.IFNA(INDEX(KP!$AL:$AL,MATCH(($B35&amp;"|"&amp;BH$3),KP!$D:$D,0)),"")</f>
        <v/>
      </c>
      <c r="BI35" s="38">
        <f>SUM(SUMIFS(HTS!$BB:$BB,HTS!$B:$B,$B35,HTS!$C:$C,{"15-24","25-34","35-49","50+"},HTS!$D:$D,"Female"))</f>
        <v>217</v>
      </c>
      <c r="BJ35" s="38">
        <f>SUM(SUMIFS(HTS!$BB:$BB,HTS!$B:$B,$B35,HTS!$C:$C,{"15-24","25-34","35-49","50+"},HTS!$D:$D,"Male"))</f>
        <v>46</v>
      </c>
      <c r="BK35" s="38" t="str">
        <f>_xlfn.IFNA(INDEX(KP!$AN:$AN,MATCH(($B35&amp;"|"&amp;BK$3),KP!$D:$D,0)),"")</f>
        <v/>
      </c>
      <c r="BL35" s="38" t="str">
        <f>_xlfn.IFNA(INDEX(KP!$AN:$AN,MATCH(($B35&amp;"|"&amp;BL$3),KP!$D:$D,0)),"")</f>
        <v/>
      </c>
      <c r="BM35" s="38" t="str">
        <f>_xlfn.IFNA(INDEX(KP!$AN:$AN,MATCH(($B35&amp;"|"&amp;BM$3),KP!$D:$D,0)),"")</f>
        <v/>
      </c>
      <c r="BN35" s="38" t="str">
        <f>_xlfn.IFNA(INDEX(KP!$AN:$AN,MATCH(($B35&amp;"|"&amp;BN$3),KP!$D:$D,0)),"")</f>
        <v/>
      </c>
      <c r="BO35" s="38" t="str">
        <f>_xlfn.IFNA(INDEX(KP!$AN:$AN,MATCH(($B35&amp;"|"&amp;BO$3),KP!$D:$D,0)),"")</f>
        <v/>
      </c>
      <c r="BP35" s="38">
        <f>SUM(SUMIFS(HTS!$AZ:$AZ,HTS!$B:$B,$B35,HTS!$C:$C,{"15-24","25-34","35-49","50+"},HTS!$D:$D,"Female"))</f>
        <v>5388</v>
      </c>
      <c r="BQ35" s="38">
        <f>SUM(SUMIFS(HTS!$AZ:$AZ,HTS!$B:$B,$B35,HTS!$C:$C,{"15-24","25-34","35-49","50+"},HTS!$D:$D,"Male"))</f>
        <v>348</v>
      </c>
      <c r="BR35" s="38">
        <f>_xlfn.IFNA(INDEX(KP!$AP:$AP,MATCH(($B35&amp;"|"&amp;BR$3),KP!$D:$D,0)),"")</f>
        <v>0</v>
      </c>
      <c r="BS35" s="38">
        <f>_xlfn.IFNA(INDEX(KP!$AP:$AP,MATCH(($B35&amp;"|"&amp;BS$3),KP!$D:$D,0)),"")</f>
        <v>0</v>
      </c>
      <c r="BT35" s="38">
        <f>_xlfn.IFNA(INDEX(KP!$AP:$AP,MATCH(($B35&amp;"|"&amp;BT$3),KP!$D:$D,0)),"")</f>
        <v>0</v>
      </c>
      <c r="BU35" s="38">
        <f>_xlfn.IFNA(INDEX(KP!$AP:$AP,MATCH(($B35&amp;"|"&amp;BU$3),KP!$D:$D,0)),"")</f>
        <v>0</v>
      </c>
      <c r="BV35" s="38">
        <f>_xlfn.IFNA(INDEX(KP!$AP:$AP,MATCH(($B35&amp;"|"&amp;BV$3),KP!$D:$D,0)),"")</f>
        <v>0</v>
      </c>
    </row>
    <row r="36" spans="1:74" x14ac:dyDescent="0.2">
      <c r="A36" s="85" t="str">
        <f>INDEX(Prioritization!$D:$D,MATCH($B36,Prioritization!$A:$A,0))</f>
        <v>INVALID</v>
      </c>
      <c r="B36" s="10" t="s">
        <v>322</v>
      </c>
      <c r="C36" s="38">
        <f>SUM(SUMIFS(PrEP!$O:$O,PrEP!$B:$B,$B36,PrEP!$C:$C,{"15-24","25-34","35-49","50+"},PrEP!$D:$D,"Female"))</f>
        <v>117</v>
      </c>
      <c r="D36" s="38">
        <f>SUM(SUMIFS(PrEP!$O:$O,PrEP!$B:$B,$B36,PrEP!$C:$C,{"15-24","25-34"},PrEP!$D:$D,"Female"))</f>
        <v>93</v>
      </c>
      <c r="E36" s="38">
        <f>SUM(SUMIFS(PrEP!$O:$O,PrEP!$B:$B,$B36,PrEP!$C:$C,{"15-24","25-34","35-49","50+"},PrEP!$D:$D,"Male"))</f>
        <v>78</v>
      </c>
      <c r="F36" s="38">
        <f>_xlfn.IFNA(INDEX(KP!$I:$I,MATCH(($B36&amp;"|"&amp;F$3),KP!$D:$D,0)),"")</f>
        <v>0</v>
      </c>
      <c r="G36" s="38">
        <f>_xlfn.IFNA(INDEX(KP!$I:$I,MATCH(($B36&amp;"|"&amp;G$3),KP!$D:$D,0)),"")</f>
        <v>0</v>
      </c>
      <c r="H36" s="38">
        <f>_xlfn.IFNA(INDEX(KP!$I:$I,MATCH(($B36&amp;"|"&amp;H$3),KP!$D:$D,0)),"")</f>
        <v>0</v>
      </c>
      <c r="I36" s="38">
        <f>_xlfn.IFNA(INDEX(KP!$I:$I,MATCH(($B36&amp;"|"&amp;I$3),KP!$D:$D,0)),"")</f>
        <v>0</v>
      </c>
      <c r="J36" s="38">
        <f>_xlfn.IFNA(INDEX(KP!$I:$I,MATCH(($B36&amp;"|"&amp;J$3),KP!$D:$D,0)),"")</f>
        <v>0</v>
      </c>
      <c r="K36" s="38">
        <f>SUM(SUMIFS(PrEP!$L:$L,PrEP!$B:$B,$B36,PrEP!$C:$C,{"15-24","25-34","35-49","50+"},PrEP!$D:$D,"Female"))</f>
        <v>-12</v>
      </c>
      <c r="L36" s="38">
        <f>SUM(SUMIFS(PrEP!$L:$L,PrEP!$B:$B,$B36,PrEP!$C:$C,{"15-24","25-34"},PrEP!$D:$D,"Female"))</f>
        <v>-6</v>
      </c>
      <c r="M36" s="38">
        <f>SUM(SUMIFS(PrEP!$L:$L,PrEP!$B:$B,$B36,PrEP!$C:$C,{"15-24","25-34","35-49","50+"},PrEP!$D:$D,"Male"))</f>
        <v>593</v>
      </c>
      <c r="N36" s="38">
        <f>_xlfn.IFNA(INDEX(KP!$K:$K,MATCH(($B36&amp;"|"&amp;N$3),KP!$D:$D,0)),"")</f>
        <v>0</v>
      </c>
      <c r="O36" s="38">
        <f>_xlfn.IFNA(INDEX(KP!$K:$K,MATCH(($B36&amp;"|"&amp;O$3),KP!$D:$D,0)),"")</f>
        <v>0</v>
      </c>
      <c r="P36" s="38">
        <f>_xlfn.IFNA(INDEX(KP!$K:$K,MATCH(($B36&amp;"|"&amp;P$3),KP!$D:$D,0)),"")</f>
        <v>0</v>
      </c>
      <c r="Q36" s="38">
        <f>_xlfn.IFNA(INDEX(KP!$K:$K,MATCH(($B36&amp;"|"&amp;Q$3),KP!$D:$D,0)),"")</f>
        <v>0</v>
      </c>
      <c r="R36" s="38">
        <f>_xlfn.IFNA(INDEX(KP!$K:$K,MATCH(($B36&amp;"|"&amp;R$3),KP!$D:$D,0)),"")</f>
        <v>0</v>
      </c>
      <c r="S36" s="38">
        <f>SUM(SUMIFS(Cascade!$AP:$AP,Cascade!$B:$B,$B36,Cascade!$C:$C,{"15-24","25-34","35-49","50+"},Cascade!$D:$D,"Female"))</f>
        <v>14911</v>
      </c>
      <c r="T36" s="38">
        <f>SUM(SUMIFS(Cascade!$AP:$AP,Cascade!$B:$B,$B36,Cascade!$C:$C,{"15-24","25-34","35-49","50+"},Cascade!$D:$D,"Male"))</f>
        <v>7538</v>
      </c>
      <c r="U36" s="38">
        <f>_xlfn.IFNA(INDEX(KP!$Q:$Q,MATCH(($B36&amp;"|"&amp;U$3),KP!$D:$D,0)),"")</f>
        <v>0</v>
      </c>
      <c r="V36" s="38">
        <f>_xlfn.IFNA(INDEX(KP!$Q:$Q,MATCH(($B36&amp;"|"&amp;V$3),KP!$D:$D,0)),"")</f>
        <v>0</v>
      </c>
      <c r="W36" s="38">
        <f>_xlfn.IFNA(INDEX(KP!$Q:$Q,MATCH(($B36&amp;"|"&amp;W$3),KP!$D:$D,0)),"")</f>
        <v>0</v>
      </c>
      <c r="X36" s="38">
        <f>_xlfn.IFNA(INDEX(KP!$Q:$Q,MATCH(($B36&amp;"|"&amp;X$3),KP!$D:$D,0)),"")</f>
        <v>0</v>
      </c>
      <c r="Y36" s="38">
        <f>_xlfn.IFNA(INDEX(KP!$Q:$Q,MATCH(($B36&amp;"|"&amp;Y$3),KP!$D:$D,0)),"")</f>
        <v>0</v>
      </c>
      <c r="Z36" s="38">
        <f>SUM(SUMIFS(Cascade!$AX:$AX,Cascade!$B:$B,$B36,Cascade!$C:$C,{"15-24","25-34","35-49","50+"},Cascade!$D:$D,"Female"))</f>
        <v>713</v>
      </c>
      <c r="AA36" s="38">
        <f>SUM(SUMIFS(Cascade!$AX:$AX,Cascade!$B:$B,$B36,Cascade!$C:$C,{"15-24","25-34","35-49","50+"},Cascade!$D:$D,"Male"))</f>
        <v>177</v>
      </c>
      <c r="AB36" s="38" t="str">
        <f>_xlfn.IFNA(INDEX(KP!$Z:$Z,MATCH(($B36&amp;"|"&amp;AB$3),KP!$D:$D,0)),"")</f>
        <v/>
      </c>
      <c r="AC36" s="38" t="str">
        <f>_xlfn.IFNA(INDEX(KP!$Z:$Z,MATCH(($B36&amp;"|"&amp;AC$3),KP!$D:$D,0)),"")</f>
        <v/>
      </c>
      <c r="AD36" s="38" t="str">
        <f>_xlfn.IFNA(INDEX(KP!$Z:$Z,MATCH(($B36&amp;"|"&amp;AD$3),KP!$D:$D,0)),"")</f>
        <v/>
      </c>
      <c r="AE36" s="38" t="str">
        <f>_xlfn.IFNA(INDEX(KP!$Z:$Z,MATCH(($B36&amp;"|"&amp;AE$3),KP!$D:$D,0)),"")</f>
        <v/>
      </c>
      <c r="AF36" s="38" t="str">
        <f>_xlfn.IFNA(INDEX(KP!$Z:$Z,MATCH(($B36&amp;"|"&amp;AF$3),KP!$D:$D,0)),"")</f>
        <v/>
      </c>
      <c r="AG36" s="38">
        <f>SUM(SUMIFS(Cascade!$BB:$BB,Cascade!$B:$B,$B36,Cascade!$C:$C,{"15-24","25-34","35-49","50+"},Cascade!$D:$D,"Female"))</f>
        <v>13421</v>
      </c>
      <c r="AH36" s="38">
        <f>SUM(SUMIFS(Cascade!$BB:$BB,Cascade!$B:$B,$B36,Cascade!$C:$C,{"15-24","25-34","35-49","50+"},Cascade!$D:$D,"Male"))</f>
        <v>6785</v>
      </c>
      <c r="AI36" s="38" t="str">
        <f>_xlfn.IFNA(INDEX(KP!$AD:$AD,MATCH(($B36&amp;"|"&amp;AI$3),KP!$D:$D,0)),"")</f>
        <v/>
      </c>
      <c r="AJ36" s="38" t="str">
        <f>_xlfn.IFNA(INDEX(KP!$AD:$AD,MATCH(($B36&amp;"|"&amp;AJ$3),KP!$D:$D,0)),"")</f>
        <v/>
      </c>
      <c r="AK36" s="38" t="str">
        <f>_xlfn.IFNA(INDEX(KP!$AD:$AD,MATCH(($B36&amp;"|"&amp;AK$3),KP!$D:$D,0)),"")</f>
        <v/>
      </c>
      <c r="AL36" s="38" t="str">
        <f>_xlfn.IFNA(INDEX(KP!$AD:$AD,MATCH(($B36&amp;"|"&amp;AL$3),KP!$D:$D,0)),"")</f>
        <v/>
      </c>
      <c r="AM36" s="38" t="str">
        <f>_xlfn.IFNA(INDEX(KP!$AD:$AD,MATCH(($B36&amp;"|"&amp;AM$3),KP!$D:$D,0)),"")</f>
        <v/>
      </c>
      <c r="AN36" s="38">
        <f>SUM(SUMIFS(Cascade!$BE:$BE,Cascade!$B:$B,$B36,Cascade!$C:$C,{"15-24","25-34","35-49","50+"},Cascade!$D:$D,"Female"))</f>
        <v>12750</v>
      </c>
      <c r="AO36" s="38">
        <f>SUM(SUMIFS(Cascade!$BE:$BE,Cascade!$B:$B,$B36,Cascade!$C:$C,{"15-24","25-34","35-49","50+"},Cascade!$D:$D,"Male"))</f>
        <v>6445</v>
      </c>
      <c r="AP36" s="38" t="str">
        <f>_xlfn.IFNA(INDEX(KP!$AF:$AF,MATCH(($B36&amp;"|"&amp;AP$3),KP!$D:$D,0)),"")</f>
        <v/>
      </c>
      <c r="AQ36" s="38" t="str">
        <f>_xlfn.IFNA(INDEX(KP!$AF:$AF,MATCH(($B36&amp;"|"&amp;AQ$3),KP!$D:$D,0)),"")</f>
        <v/>
      </c>
      <c r="AR36" s="38" t="str">
        <f>_xlfn.IFNA(INDEX(KP!$AF:$AF,MATCH(($B36&amp;"|"&amp;AR$3),KP!$D:$D,0)),"")</f>
        <v/>
      </c>
      <c r="AS36" s="38" t="str">
        <f>_xlfn.IFNA(INDEX(KP!$AF:$AF,MATCH(($B36&amp;"|"&amp;AS$3),KP!$D:$D,0)),"")</f>
        <v/>
      </c>
      <c r="AT36" s="38" t="str">
        <f>_xlfn.IFNA(INDEX(KP!$AF:$AF,MATCH(($B36&amp;"|"&amp;AT$3),KP!$D:$D,0)),"")</f>
        <v/>
      </c>
      <c r="AU36" s="38">
        <f>SUM(SUMIFS(HTS!$AN:$AN,HTS!$B:$B,$B36,HTS!$C:$C,{"15-24","25-34","35-49","50+"},HTS!$D:$D,"Female"))</f>
        <v>753</v>
      </c>
      <c r="AV36" s="38">
        <f>SUM(SUMIFS(HTS!$AN:$AN,HTS!$B:$B,$B36,HTS!$C:$C,{"15-24","25-34","35-49","50+"},HTS!$D:$D,"Male"))</f>
        <v>186</v>
      </c>
      <c r="AW36" s="38" t="str">
        <f>_xlfn.IFNA(INDEX(KP!$AK:$AK,MATCH(($B36&amp;"|"&amp;AW$3),KP!$D:$D,0)),"")</f>
        <v/>
      </c>
      <c r="AX36" s="38" t="str">
        <f>_xlfn.IFNA(INDEX(KP!$AK:$AK,MATCH(($B36&amp;"|"&amp;AX$3),KP!$D:$D,0)),"")</f>
        <v/>
      </c>
      <c r="AY36" s="38" t="str">
        <f>_xlfn.IFNA(INDEX(KP!$AK:$AK,MATCH(($B36&amp;"|"&amp;AY$3),KP!$D:$D,0)),"")</f>
        <v/>
      </c>
      <c r="AZ36" s="38" t="str">
        <f>_xlfn.IFNA(INDEX(KP!$AK:$AK,MATCH(($B36&amp;"|"&amp;AZ$3),KP!$D:$D,0)),"")</f>
        <v/>
      </c>
      <c r="BA36" s="38" t="str">
        <f>_xlfn.IFNA(INDEX(KP!$AK:$AK,MATCH(($B36&amp;"|"&amp;BA$3),KP!$D:$D,0)),"")</f>
        <v/>
      </c>
      <c r="BB36" s="38">
        <f>SUM(SUMIFS(HTS!$AU:$AU,HTS!$B:$B,$B36,HTS!$C:$C,{"15-24","25-34","35-49","50+"},HTS!$D:$D,"Female"))</f>
        <v>47750</v>
      </c>
      <c r="BC36" s="38">
        <f>SUM(SUMIFS(HTS!$AU:$AU,HTS!$B:$B,$B36,HTS!$C:$C,{"15-24","25-34","35-49","50+"},HTS!$D:$D,"Male"))</f>
        <v>18315</v>
      </c>
      <c r="BD36" s="38" t="str">
        <f>_xlfn.IFNA(INDEX(KP!$AL:$AL,MATCH(($B36&amp;"|"&amp;BD$3),KP!$D:$D,0)),"")</f>
        <v/>
      </c>
      <c r="BE36" s="38" t="str">
        <f>_xlfn.IFNA(INDEX(KP!$AL:$AL,MATCH(($B36&amp;"|"&amp;BE$3),KP!$D:$D,0)),"")</f>
        <v/>
      </c>
      <c r="BF36" s="38" t="str">
        <f>_xlfn.IFNA(INDEX(KP!$AL:$AL,MATCH(($B36&amp;"|"&amp;BF$3),KP!$D:$D,0)),"")</f>
        <v/>
      </c>
      <c r="BG36" s="38" t="str">
        <f>_xlfn.IFNA(INDEX(KP!$AL:$AL,MATCH(($B36&amp;"|"&amp;BG$3),KP!$D:$D,0)),"")</f>
        <v/>
      </c>
      <c r="BH36" s="38" t="str">
        <f>_xlfn.IFNA(INDEX(KP!$AL:$AL,MATCH(($B36&amp;"|"&amp;BH$3),KP!$D:$D,0)),"")</f>
        <v/>
      </c>
      <c r="BI36" s="38">
        <f>SUM(SUMIFS(HTS!$BB:$BB,HTS!$B:$B,$B36,HTS!$C:$C,{"15-24","25-34","35-49","50+"},HTS!$D:$D,"Female"))</f>
        <v>557</v>
      </c>
      <c r="BJ36" s="38">
        <f>SUM(SUMIFS(HTS!$BB:$BB,HTS!$B:$B,$B36,HTS!$C:$C,{"15-24","25-34","35-49","50+"},HTS!$D:$D,"Male"))</f>
        <v>138</v>
      </c>
      <c r="BK36" s="38" t="str">
        <f>_xlfn.IFNA(INDEX(KP!$AN:$AN,MATCH(($B36&amp;"|"&amp;BK$3),KP!$D:$D,0)),"")</f>
        <v/>
      </c>
      <c r="BL36" s="38" t="str">
        <f>_xlfn.IFNA(INDEX(KP!$AN:$AN,MATCH(($B36&amp;"|"&amp;BL$3),KP!$D:$D,0)),"")</f>
        <v/>
      </c>
      <c r="BM36" s="38" t="str">
        <f>_xlfn.IFNA(INDEX(KP!$AN:$AN,MATCH(($B36&amp;"|"&amp;BM$3),KP!$D:$D,0)),"")</f>
        <v/>
      </c>
      <c r="BN36" s="38" t="str">
        <f>_xlfn.IFNA(INDEX(KP!$AN:$AN,MATCH(($B36&amp;"|"&amp;BN$3),KP!$D:$D,0)),"")</f>
        <v/>
      </c>
      <c r="BO36" s="38" t="str">
        <f>_xlfn.IFNA(INDEX(KP!$AN:$AN,MATCH(($B36&amp;"|"&amp;BO$3),KP!$D:$D,0)),"")</f>
        <v/>
      </c>
      <c r="BP36" s="38">
        <f>SUM(SUMIFS(HTS!$AZ:$AZ,HTS!$B:$B,$B36,HTS!$C:$C,{"15-24","25-34","35-49","50+"},HTS!$D:$D,"Female"))</f>
        <v>3307</v>
      </c>
      <c r="BQ36" s="38">
        <f>SUM(SUMIFS(HTS!$AZ:$AZ,HTS!$B:$B,$B36,HTS!$C:$C,{"15-24","25-34","35-49","50+"},HTS!$D:$D,"Male"))</f>
        <v>218</v>
      </c>
      <c r="BR36" s="38">
        <f>_xlfn.IFNA(INDEX(KP!$AP:$AP,MATCH(($B36&amp;"|"&amp;BR$3),KP!$D:$D,0)),"")</f>
        <v>0</v>
      </c>
      <c r="BS36" s="38">
        <f>_xlfn.IFNA(INDEX(KP!$AP:$AP,MATCH(($B36&amp;"|"&amp;BS$3),KP!$D:$D,0)),"")</f>
        <v>0</v>
      </c>
      <c r="BT36" s="38">
        <f>_xlfn.IFNA(INDEX(KP!$AP:$AP,MATCH(($B36&amp;"|"&amp;BT$3),KP!$D:$D,0)),"")</f>
        <v>0</v>
      </c>
      <c r="BU36" s="38">
        <f>_xlfn.IFNA(INDEX(KP!$AP:$AP,MATCH(($B36&amp;"|"&amp;BU$3),KP!$D:$D,0)),"")</f>
        <v>0</v>
      </c>
      <c r="BV36" s="38">
        <f>_xlfn.IFNA(INDEX(KP!$AP:$AP,MATCH(($B36&amp;"|"&amp;BV$3),KP!$D:$D,0)),"")</f>
        <v>0</v>
      </c>
    </row>
    <row r="37" spans="1:74" x14ac:dyDescent="0.2">
      <c r="A37" s="85" t="str">
        <f>INDEX(Prioritization!$D:$D,MATCH($B37,Prioritization!$A:$A,0))</f>
        <v>4 - Sustained</v>
      </c>
      <c r="B37" s="10" t="s">
        <v>304</v>
      </c>
      <c r="C37" s="38">
        <f>SUM(SUMIFS(PrEP!$O:$O,PrEP!$B:$B,$B37,PrEP!$C:$C,{"15-24","25-34","35-49","50+"},PrEP!$D:$D,"Female"))</f>
        <v>66</v>
      </c>
      <c r="D37" s="38">
        <f>SUM(SUMIFS(PrEP!$O:$O,PrEP!$B:$B,$B37,PrEP!$C:$C,{"15-24","25-34"},PrEP!$D:$D,"Female"))</f>
        <v>30</v>
      </c>
      <c r="E37" s="38">
        <f>SUM(SUMIFS(PrEP!$O:$O,PrEP!$B:$B,$B37,PrEP!$C:$C,{"15-24","25-34","35-49","50+"},PrEP!$D:$D,"Male"))</f>
        <v>66</v>
      </c>
      <c r="F37" s="38">
        <f>_xlfn.IFNA(INDEX(KP!$I:$I,MATCH(($B37&amp;"|"&amp;F$3),KP!$D:$D,0)),"")</f>
        <v>0</v>
      </c>
      <c r="G37" s="38">
        <f>_xlfn.IFNA(INDEX(KP!$I:$I,MATCH(($B37&amp;"|"&amp;G$3),KP!$D:$D,0)),"")</f>
        <v>0</v>
      </c>
      <c r="H37" s="38">
        <f>_xlfn.IFNA(INDEX(KP!$I:$I,MATCH(($B37&amp;"|"&amp;H$3),KP!$D:$D,0)),"")</f>
        <v>0</v>
      </c>
      <c r="I37" s="38">
        <f>_xlfn.IFNA(INDEX(KP!$I:$I,MATCH(($B37&amp;"|"&amp;I$3),KP!$D:$D,0)),"")</f>
        <v>0</v>
      </c>
      <c r="J37" s="38">
        <f>_xlfn.IFNA(INDEX(KP!$I:$I,MATCH(($B37&amp;"|"&amp;J$3),KP!$D:$D,0)),"")</f>
        <v>0</v>
      </c>
      <c r="K37" s="38">
        <f>SUM(SUMIFS(PrEP!$L:$L,PrEP!$B:$B,$B37,PrEP!$C:$C,{"15-24","25-34","35-49","50+"},PrEP!$D:$D,"Female"))</f>
        <v>0</v>
      </c>
      <c r="L37" s="38">
        <f>SUM(SUMIFS(PrEP!$L:$L,PrEP!$B:$B,$B37,PrEP!$C:$C,{"15-24","25-34"},PrEP!$D:$D,"Female"))</f>
        <v>-6</v>
      </c>
      <c r="M37" s="38">
        <f>SUM(SUMIFS(PrEP!$L:$L,PrEP!$B:$B,$B37,PrEP!$C:$C,{"15-24","25-34","35-49","50+"},PrEP!$D:$D,"Male"))</f>
        <v>300</v>
      </c>
      <c r="N37" s="38">
        <f>_xlfn.IFNA(INDEX(KP!$K:$K,MATCH(($B37&amp;"|"&amp;N$3),KP!$D:$D,0)),"")</f>
        <v>0</v>
      </c>
      <c r="O37" s="38">
        <f>_xlfn.IFNA(INDEX(KP!$K:$K,MATCH(($B37&amp;"|"&amp;O$3),KP!$D:$D,0)),"")</f>
        <v>0</v>
      </c>
      <c r="P37" s="38">
        <f>_xlfn.IFNA(INDEX(KP!$K:$K,MATCH(($B37&amp;"|"&amp;P$3),KP!$D:$D,0)),"")</f>
        <v>0</v>
      </c>
      <c r="Q37" s="38">
        <f>_xlfn.IFNA(INDEX(KP!$K:$K,MATCH(($B37&amp;"|"&amp;Q$3),KP!$D:$D,0)),"")</f>
        <v>0</v>
      </c>
      <c r="R37" s="38">
        <f>_xlfn.IFNA(INDEX(KP!$K:$K,MATCH(($B37&amp;"|"&amp;R$3),KP!$D:$D,0)),"")</f>
        <v>0</v>
      </c>
      <c r="S37" s="38">
        <f>SUM(SUMIFS(Cascade!$AP:$AP,Cascade!$B:$B,$B37,Cascade!$C:$C,{"15-24","25-34","35-49","50+"},Cascade!$D:$D,"Female"))</f>
        <v>20774</v>
      </c>
      <c r="T37" s="38">
        <f>SUM(SUMIFS(Cascade!$AP:$AP,Cascade!$B:$B,$B37,Cascade!$C:$C,{"15-24","25-34","35-49","50+"},Cascade!$D:$D,"Male"))</f>
        <v>11137</v>
      </c>
      <c r="U37" s="38">
        <f>_xlfn.IFNA(INDEX(KP!$Q:$Q,MATCH(($B37&amp;"|"&amp;U$3),KP!$D:$D,0)),"")</f>
        <v>0</v>
      </c>
      <c r="V37" s="38">
        <f>_xlfn.IFNA(INDEX(KP!$Q:$Q,MATCH(($B37&amp;"|"&amp;V$3),KP!$D:$D,0)),"")</f>
        <v>0</v>
      </c>
      <c r="W37" s="38">
        <f>_xlfn.IFNA(INDEX(KP!$Q:$Q,MATCH(($B37&amp;"|"&amp;W$3),KP!$D:$D,0)),"")</f>
        <v>60</v>
      </c>
      <c r="X37" s="38">
        <f>_xlfn.IFNA(INDEX(KP!$Q:$Q,MATCH(($B37&amp;"|"&amp;X$3),KP!$D:$D,0)),"")</f>
        <v>0</v>
      </c>
      <c r="Y37" s="38">
        <f>_xlfn.IFNA(INDEX(KP!$Q:$Q,MATCH(($B37&amp;"|"&amp;Y$3),KP!$D:$D,0)),"")</f>
        <v>0</v>
      </c>
      <c r="Z37" s="38">
        <f>SUM(SUMIFS(Cascade!$AX:$AX,Cascade!$B:$B,$B37,Cascade!$C:$C,{"15-24","25-34","35-49","50+"},Cascade!$D:$D,"Female"))</f>
        <v>1068</v>
      </c>
      <c r="AA37" s="38">
        <f>SUM(SUMIFS(Cascade!$AX:$AX,Cascade!$B:$B,$B37,Cascade!$C:$C,{"15-24","25-34","35-49","50+"},Cascade!$D:$D,"Male"))</f>
        <v>574</v>
      </c>
      <c r="AB37" s="38" t="str">
        <f>_xlfn.IFNA(INDEX(KP!$Z:$Z,MATCH(($B37&amp;"|"&amp;AB$3),KP!$D:$D,0)),"")</f>
        <v/>
      </c>
      <c r="AC37" s="38" t="str">
        <f>_xlfn.IFNA(INDEX(KP!$Z:$Z,MATCH(($B37&amp;"|"&amp;AC$3),KP!$D:$D,0)),"")</f>
        <v/>
      </c>
      <c r="AD37" s="38">
        <f>_xlfn.IFNA(INDEX(KP!$Z:$Z,MATCH(($B37&amp;"|"&amp;AD$3),KP!$D:$D,0)),"")</f>
        <v>11</v>
      </c>
      <c r="AE37" s="38" t="str">
        <f>_xlfn.IFNA(INDEX(KP!$Z:$Z,MATCH(($B37&amp;"|"&amp;AE$3),KP!$D:$D,0)),"")</f>
        <v/>
      </c>
      <c r="AF37" s="38" t="str">
        <f>_xlfn.IFNA(INDEX(KP!$Z:$Z,MATCH(($B37&amp;"|"&amp;AF$3),KP!$D:$D,0)),"")</f>
        <v/>
      </c>
      <c r="AG37" s="38">
        <f>SUM(SUMIFS(Cascade!$BB:$BB,Cascade!$B:$B,$B37,Cascade!$C:$C,{"15-24","25-34","35-49","50+"},Cascade!$D:$D,"Female"))</f>
        <v>18698</v>
      </c>
      <c r="AH37" s="38">
        <f>SUM(SUMIFS(Cascade!$BB:$BB,Cascade!$B:$B,$B37,Cascade!$C:$C,{"15-24","25-34","35-49","50+"},Cascade!$D:$D,"Male"))</f>
        <v>10025</v>
      </c>
      <c r="AI37" s="38" t="str">
        <f>_xlfn.IFNA(INDEX(KP!$AD:$AD,MATCH(($B37&amp;"|"&amp;AI$3),KP!$D:$D,0)),"")</f>
        <v/>
      </c>
      <c r="AJ37" s="38" t="str">
        <f>_xlfn.IFNA(INDEX(KP!$AD:$AD,MATCH(($B37&amp;"|"&amp;AJ$3),KP!$D:$D,0)),"")</f>
        <v/>
      </c>
      <c r="AK37" s="38">
        <f>_xlfn.IFNA(INDEX(KP!$AD:$AD,MATCH(($B37&amp;"|"&amp;AK$3),KP!$D:$D,0)),"")</f>
        <v>57</v>
      </c>
      <c r="AL37" s="38" t="str">
        <f>_xlfn.IFNA(INDEX(KP!$AD:$AD,MATCH(($B37&amp;"|"&amp;AL$3),KP!$D:$D,0)),"")</f>
        <v/>
      </c>
      <c r="AM37" s="38" t="str">
        <f>_xlfn.IFNA(INDEX(KP!$AD:$AD,MATCH(($B37&amp;"|"&amp;AM$3),KP!$D:$D,0)),"")</f>
        <v/>
      </c>
      <c r="AN37" s="38">
        <f>SUM(SUMIFS(Cascade!$BE:$BE,Cascade!$B:$B,$B37,Cascade!$C:$C,{"15-24","25-34","35-49","50+"},Cascade!$D:$D,"Female"))</f>
        <v>17763</v>
      </c>
      <c r="AO37" s="38">
        <f>SUM(SUMIFS(Cascade!$BE:$BE,Cascade!$B:$B,$B37,Cascade!$C:$C,{"15-24","25-34","35-49","50+"},Cascade!$D:$D,"Male"))</f>
        <v>9524</v>
      </c>
      <c r="AP37" s="38" t="str">
        <f>_xlfn.IFNA(INDEX(KP!$AF:$AF,MATCH(($B37&amp;"|"&amp;AP$3),KP!$D:$D,0)),"")</f>
        <v/>
      </c>
      <c r="AQ37" s="38" t="str">
        <f>_xlfn.IFNA(INDEX(KP!$AF:$AF,MATCH(($B37&amp;"|"&amp;AQ$3),KP!$D:$D,0)),"")</f>
        <v/>
      </c>
      <c r="AR37" s="38">
        <f>_xlfn.IFNA(INDEX(KP!$AF:$AF,MATCH(($B37&amp;"|"&amp;AR$3),KP!$D:$D,0)),"")</f>
        <v>54</v>
      </c>
      <c r="AS37" s="38" t="str">
        <f>_xlfn.IFNA(INDEX(KP!$AF:$AF,MATCH(($B37&amp;"|"&amp;AS$3),KP!$D:$D,0)),"")</f>
        <v/>
      </c>
      <c r="AT37" s="38" t="str">
        <f>_xlfn.IFNA(INDEX(KP!$AF:$AF,MATCH(($B37&amp;"|"&amp;AT$3),KP!$D:$D,0)),"")</f>
        <v/>
      </c>
      <c r="AU37" s="38">
        <f>SUM(SUMIFS(HTS!$AN:$AN,HTS!$B:$B,$B37,HTS!$C:$C,{"15-24","25-34","35-49","50+"},HTS!$D:$D,"Female"))</f>
        <v>1124</v>
      </c>
      <c r="AV37" s="38">
        <f>SUM(SUMIFS(HTS!$AN:$AN,HTS!$B:$B,$B37,HTS!$C:$C,{"15-24","25-34","35-49","50+"},HTS!$D:$D,"Male"))</f>
        <v>604</v>
      </c>
      <c r="AW37" s="38" t="str">
        <f>_xlfn.IFNA(INDEX(KP!$AK:$AK,MATCH(($B37&amp;"|"&amp;AW$3),KP!$D:$D,0)),"")</f>
        <v/>
      </c>
      <c r="AX37" s="38" t="str">
        <f>_xlfn.IFNA(INDEX(KP!$AK:$AK,MATCH(($B37&amp;"|"&amp;AX$3),KP!$D:$D,0)),"")</f>
        <v/>
      </c>
      <c r="AY37" s="38">
        <f>_xlfn.IFNA(INDEX(KP!$AK:$AK,MATCH(($B37&amp;"|"&amp;AY$3),KP!$D:$D,0)),"")</f>
        <v>12</v>
      </c>
      <c r="AZ37" s="38" t="str">
        <f>_xlfn.IFNA(INDEX(KP!$AK:$AK,MATCH(($B37&amp;"|"&amp;AZ$3),KP!$D:$D,0)),"")</f>
        <v/>
      </c>
      <c r="BA37" s="38" t="str">
        <f>_xlfn.IFNA(INDEX(KP!$AK:$AK,MATCH(($B37&amp;"|"&amp;BA$3),KP!$D:$D,0)),"")</f>
        <v/>
      </c>
      <c r="BB37" s="38">
        <f>SUM(SUMIFS(HTS!$AU:$AU,HTS!$B:$B,$B37,HTS!$C:$C,{"15-24","25-34","35-49","50+"},HTS!$D:$D,"Female"))</f>
        <v>69128</v>
      </c>
      <c r="BC37" s="38">
        <f>SUM(SUMIFS(HTS!$AU:$AU,HTS!$B:$B,$B37,HTS!$C:$C,{"15-24","25-34","35-49","50+"},HTS!$D:$D,"Male"))</f>
        <v>20005</v>
      </c>
      <c r="BD37" s="38" t="str">
        <f>_xlfn.IFNA(INDEX(KP!$AL:$AL,MATCH(($B37&amp;"|"&amp;BD$3),KP!$D:$D,0)),"")</f>
        <v/>
      </c>
      <c r="BE37" s="38" t="str">
        <f>_xlfn.IFNA(INDEX(KP!$AL:$AL,MATCH(($B37&amp;"|"&amp;BE$3),KP!$D:$D,0)),"")</f>
        <v/>
      </c>
      <c r="BF37" s="38">
        <f>_xlfn.IFNA(INDEX(KP!$AL:$AL,MATCH(($B37&amp;"|"&amp;BF$3),KP!$D:$D,0)),"")</f>
        <v>588</v>
      </c>
      <c r="BG37" s="38" t="str">
        <f>_xlfn.IFNA(INDEX(KP!$AL:$AL,MATCH(($B37&amp;"|"&amp;BG$3),KP!$D:$D,0)),"")</f>
        <v/>
      </c>
      <c r="BH37" s="38" t="str">
        <f>_xlfn.IFNA(INDEX(KP!$AL:$AL,MATCH(($B37&amp;"|"&amp;BH$3),KP!$D:$D,0)),"")</f>
        <v/>
      </c>
      <c r="BI37" s="38">
        <f>SUM(SUMIFS(HTS!$BB:$BB,HTS!$B:$B,$B37,HTS!$C:$C,{"15-24","25-34","35-49","50+"},HTS!$D:$D,"Female"))</f>
        <v>383</v>
      </c>
      <c r="BJ37" s="38">
        <f>SUM(SUMIFS(HTS!$BB:$BB,HTS!$B:$B,$B37,HTS!$C:$C,{"15-24","25-34","35-49","50+"},HTS!$D:$D,"Male"))</f>
        <v>206</v>
      </c>
      <c r="BK37" s="38" t="str">
        <f>_xlfn.IFNA(INDEX(KP!$AN:$AN,MATCH(($B37&amp;"|"&amp;BK$3),KP!$D:$D,0)),"")</f>
        <v/>
      </c>
      <c r="BL37" s="38" t="str">
        <f>_xlfn.IFNA(INDEX(KP!$AN:$AN,MATCH(($B37&amp;"|"&amp;BL$3),KP!$D:$D,0)),"")</f>
        <v/>
      </c>
      <c r="BM37" s="38">
        <f>_xlfn.IFNA(INDEX(KP!$AN:$AN,MATCH(($B37&amp;"|"&amp;BM$3),KP!$D:$D,0)),"")</f>
        <v>0</v>
      </c>
      <c r="BN37" s="38" t="str">
        <f>_xlfn.IFNA(INDEX(KP!$AN:$AN,MATCH(($B37&amp;"|"&amp;BN$3),KP!$D:$D,0)),"")</f>
        <v/>
      </c>
      <c r="BO37" s="38" t="str">
        <f>_xlfn.IFNA(INDEX(KP!$AN:$AN,MATCH(($B37&amp;"|"&amp;BO$3),KP!$D:$D,0)),"")</f>
        <v/>
      </c>
      <c r="BP37" s="38">
        <f>SUM(SUMIFS(HTS!$AZ:$AZ,HTS!$B:$B,$B37,HTS!$C:$C,{"15-24","25-34","35-49","50+"},HTS!$D:$D,"Female"))</f>
        <v>2419</v>
      </c>
      <c r="BQ37" s="38">
        <f>SUM(SUMIFS(HTS!$AZ:$AZ,HTS!$B:$B,$B37,HTS!$C:$C,{"15-24","25-34","35-49","50+"},HTS!$D:$D,"Male"))</f>
        <v>298</v>
      </c>
      <c r="BR37" s="38">
        <f>_xlfn.IFNA(INDEX(KP!$AP:$AP,MATCH(($B37&amp;"|"&amp;BR$3),KP!$D:$D,0)),"")</f>
        <v>0</v>
      </c>
      <c r="BS37" s="38">
        <f>_xlfn.IFNA(INDEX(KP!$AP:$AP,MATCH(($B37&amp;"|"&amp;BS$3),KP!$D:$D,0)),"")</f>
        <v>0</v>
      </c>
      <c r="BT37" s="38">
        <f>_xlfn.IFNA(INDEX(KP!$AP:$AP,MATCH(($B37&amp;"|"&amp;BT$3),KP!$D:$D,0)),"")</f>
        <v>0</v>
      </c>
      <c r="BU37" s="38">
        <f>_xlfn.IFNA(INDEX(KP!$AP:$AP,MATCH(($B37&amp;"|"&amp;BU$3),KP!$D:$D,0)),"")</f>
        <v>0</v>
      </c>
      <c r="BV37" s="38">
        <f>_xlfn.IFNA(INDEX(KP!$AP:$AP,MATCH(($B37&amp;"|"&amp;BV$3),KP!$D:$D,0)),"")</f>
        <v>0</v>
      </c>
    </row>
    <row r="38" spans="1:74" x14ac:dyDescent="0.2">
      <c r="A38" s="85" t="str">
        <f>INDEX(Prioritization!$D:$D,MATCH($B38,Prioritization!$A:$A,0))</f>
        <v>4 - Sustained</v>
      </c>
      <c r="B38" s="10" t="s">
        <v>305</v>
      </c>
      <c r="C38" s="38">
        <f>SUM(SUMIFS(PrEP!$O:$O,PrEP!$B:$B,$B38,PrEP!$C:$C,{"15-24","25-34","35-49","50+"},PrEP!$D:$D,"Female"))</f>
        <v>30</v>
      </c>
      <c r="D38" s="38">
        <f>SUM(SUMIFS(PrEP!$O:$O,PrEP!$B:$B,$B38,PrEP!$C:$C,{"15-24","25-34"},PrEP!$D:$D,"Female"))</f>
        <v>18</v>
      </c>
      <c r="E38" s="38">
        <f>SUM(SUMIFS(PrEP!$O:$O,PrEP!$B:$B,$B38,PrEP!$C:$C,{"15-24","25-34","35-49","50+"},PrEP!$D:$D,"Male"))</f>
        <v>9</v>
      </c>
      <c r="F38" s="38">
        <f>_xlfn.IFNA(INDEX(KP!$I:$I,MATCH(($B38&amp;"|"&amp;F$3),KP!$D:$D,0)),"")</f>
        <v>0</v>
      </c>
      <c r="G38" s="38">
        <f>_xlfn.IFNA(INDEX(KP!$I:$I,MATCH(($B38&amp;"|"&amp;G$3),KP!$D:$D,0)),"")</f>
        <v>0</v>
      </c>
      <c r="H38" s="38">
        <f>_xlfn.IFNA(INDEX(KP!$I:$I,MATCH(($B38&amp;"|"&amp;H$3),KP!$D:$D,0)),"")</f>
        <v>0</v>
      </c>
      <c r="I38" s="38">
        <f>_xlfn.IFNA(INDEX(KP!$I:$I,MATCH(($B38&amp;"|"&amp;I$3),KP!$D:$D,0)),"")</f>
        <v>0</v>
      </c>
      <c r="J38" s="38">
        <f>_xlfn.IFNA(INDEX(KP!$I:$I,MATCH(($B38&amp;"|"&amp;J$3),KP!$D:$D,0)),"")</f>
        <v>0</v>
      </c>
      <c r="K38" s="38">
        <f>SUM(SUMIFS(PrEP!$L:$L,PrEP!$B:$B,$B38,PrEP!$C:$C,{"15-24","25-34","35-49","50+"},PrEP!$D:$D,"Female"))</f>
        <v>122</v>
      </c>
      <c r="L38" s="38">
        <f>SUM(SUMIFS(PrEP!$L:$L,PrEP!$B:$B,$B38,PrEP!$C:$C,{"15-24","25-34"},PrEP!$D:$D,"Female"))</f>
        <v>79</v>
      </c>
      <c r="M38" s="38">
        <f>SUM(SUMIFS(PrEP!$L:$L,PrEP!$B:$B,$B38,PrEP!$C:$C,{"15-24","25-34","35-49","50+"},PrEP!$D:$D,"Male"))</f>
        <v>75</v>
      </c>
      <c r="N38" s="38">
        <f>_xlfn.IFNA(INDEX(KP!$K:$K,MATCH(($B38&amp;"|"&amp;N$3),KP!$D:$D,0)),"")</f>
        <v>0</v>
      </c>
      <c r="O38" s="38">
        <f>_xlfn.IFNA(INDEX(KP!$K:$K,MATCH(($B38&amp;"|"&amp;O$3),KP!$D:$D,0)),"")</f>
        <v>0</v>
      </c>
      <c r="P38" s="38">
        <f>_xlfn.IFNA(INDEX(KP!$K:$K,MATCH(($B38&amp;"|"&amp;P$3),KP!$D:$D,0)),"")</f>
        <v>0</v>
      </c>
      <c r="Q38" s="38">
        <f>_xlfn.IFNA(INDEX(KP!$K:$K,MATCH(($B38&amp;"|"&amp;Q$3),KP!$D:$D,0)),"")</f>
        <v>0</v>
      </c>
      <c r="R38" s="38">
        <f>_xlfn.IFNA(INDEX(KP!$K:$K,MATCH(($B38&amp;"|"&amp;R$3),KP!$D:$D,0)),"")</f>
        <v>0</v>
      </c>
      <c r="S38" s="38">
        <f>SUM(SUMIFS(Cascade!$AP:$AP,Cascade!$B:$B,$B38,Cascade!$C:$C,{"15-24","25-34","35-49","50+"},Cascade!$D:$D,"Female"))</f>
        <v>2948</v>
      </c>
      <c r="T38" s="38">
        <f>SUM(SUMIFS(Cascade!$AP:$AP,Cascade!$B:$B,$B38,Cascade!$C:$C,{"15-24","25-34","35-49","50+"},Cascade!$D:$D,"Male"))</f>
        <v>1812</v>
      </c>
      <c r="U38" s="38">
        <f>_xlfn.IFNA(INDEX(KP!$Q:$Q,MATCH(($B38&amp;"|"&amp;U$3),KP!$D:$D,0)),"")</f>
        <v>0</v>
      </c>
      <c r="V38" s="38">
        <f>_xlfn.IFNA(INDEX(KP!$Q:$Q,MATCH(($B38&amp;"|"&amp;V$3),KP!$D:$D,0)),"")</f>
        <v>0</v>
      </c>
      <c r="W38" s="38">
        <f>_xlfn.IFNA(INDEX(KP!$Q:$Q,MATCH(($B38&amp;"|"&amp;W$3),KP!$D:$D,0)),"")</f>
        <v>38</v>
      </c>
      <c r="X38" s="38">
        <f>_xlfn.IFNA(INDEX(KP!$Q:$Q,MATCH(($B38&amp;"|"&amp;X$3),KP!$D:$D,0)),"")</f>
        <v>0</v>
      </c>
      <c r="Y38" s="38">
        <f>_xlfn.IFNA(INDEX(KP!$Q:$Q,MATCH(($B38&amp;"|"&amp;Y$3),KP!$D:$D,0)),"")</f>
        <v>0</v>
      </c>
      <c r="Z38" s="38">
        <f>SUM(SUMIFS(Cascade!$AX:$AX,Cascade!$B:$B,$B38,Cascade!$C:$C,{"15-24","25-34","35-49","50+"},Cascade!$D:$D,"Female"))</f>
        <v>143</v>
      </c>
      <c r="AA38" s="38">
        <f>SUM(SUMIFS(Cascade!$AX:$AX,Cascade!$B:$B,$B38,Cascade!$C:$C,{"15-24","25-34","35-49","50+"},Cascade!$D:$D,"Male"))</f>
        <v>62</v>
      </c>
      <c r="AB38" s="38" t="str">
        <f>_xlfn.IFNA(INDEX(KP!$Z:$Z,MATCH(($B38&amp;"|"&amp;AB$3),KP!$D:$D,0)),"")</f>
        <v/>
      </c>
      <c r="AC38" s="38" t="str">
        <f>_xlfn.IFNA(INDEX(KP!$Z:$Z,MATCH(($B38&amp;"|"&amp;AC$3),KP!$D:$D,0)),"")</f>
        <v/>
      </c>
      <c r="AD38" s="38">
        <f>_xlfn.IFNA(INDEX(KP!$Z:$Z,MATCH(($B38&amp;"|"&amp;AD$3),KP!$D:$D,0)),"")</f>
        <v>7</v>
      </c>
      <c r="AE38" s="38" t="str">
        <f>_xlfn.IFNA(INDEX(KP!$Z:$Z,MATCH(($B38&amp;"|"&amp;AE$3),KP!$D:$D,0)),"")</f>
        <v/>
      </c>
      <c r="AF38" s="38" t="str">
        <f>_xlfn.IFNA(INDEX(KP!$Z:$Z,MATCH(($B38&amp;"|"&amp;AF$3),KP!$D:$D,0)),"")</f>
        <v/>
      </c>
      <c r="AG38" s="38">
        <f>SUM(SUMIFS(Cascade!$BB:$BB,Cascade!$B:$B,$B38,Cascade!$C:$C,{"15-24","25-34","35-49","50+"},Cascade!$D:$D,"Female"))</f>
        <v>2654</v>
      </c>
      <c r="AH38" s="38">
        <f>SUM(SUMIFS(Cascade!$BB:$BB,Cascade!$B:$B,$B38,Cascade!$C:$C,{"15-24","25-34","35-49","50+"},Cascade!$D:$D,"Male"))</f>
        <v>1631</v>
      </c>
      <c r="AI38" s="38" t="str">
        <f>_xlfn.IFNA(INDEX(KP!$AD:$AD,MATCH(($B38&amp;"|"&amp;AI$3),KP!$D:$D,0)),"")</f>
        <v/>
      </c>
      <c r="AJ38" s="38" t="str">
        <f>_xlfn.IFNA(INDEX(KP!$AD:$AD,MATCH(($B38&amp;"|"&amp;AJ$3),KP!$D:$D,0)),"")</f>
        <v/>
      </c>
      <c r="AK38" s="38">
        <f>_xlfn.IFNA(INDEX(KP!$AD:$AD,MATCH(($B38&amp;"|"&amp;AK$3),KP!$D:$D,0)),"")</f>
        <v>36</v>
      </c>
      <c r="AL38" s="38" t="str">
        <f>_xlfn.IFNA(INDEX(KP!$AD:$AD,MATCH(($B38&amp;"|"&amp;AL$3),KP!$D:$D,0)),"")</f>
        <v/>
      </c>
      <c r="AM38" s="38" t="str">
        <f>_xlfn.IFNA(INDEX(KP!$AD:$AD,MATCH(($B38&amp;"|"&amp;AM$3),KP!$D:$D,0)),"")</f>
        <v/>
      </c>
      <c r="AN38" s="38">
        <f>SUM(SUMIFS(Cascade!$BE:$BE,Cascade!$B:$B,$B38,Cascade!$C:$C,{"15-24","25-34","35-49","50+"},Cascade!$D:$D,"Female"))</f>
        <v>2521</v>
      </c>
      <c r="AO38" s="38">
        <f>SUM(SUMIFS(Cascade!$BE:$BE,Cascade!$B:$B,$B38,Cascade!$C:$C,{"15-24","25-34","35-49","50+"},Cascade!$D:$D,"Male"))</f>
        <v>1549</v>
      </c>
      <c r="AP38" s="38" t="str">
        <f>_xlfn.IFNA(INDEX(KP!$AF:$AF,MATCH(($B38&amp;"|"&amp;AP$3),KP!$D:$D,0)),"")</f>
        <v/>
      </c>
      <c r="AQ38" s="38" t="str">
        <f>_xlfn.IFNA(INDEX(KP!$AF:$AF,MATCH(($B38&amp;"|"&amp;AQ$3),KP!$D:$D,0)),"")</f>
        <v/>
      </c>
      <c r="AR38" s="38">
        <f>_xlfn.IFNA(INDEX(KP!$AF:$AF,MATCH(($B38&amp;"|"&amp;AR$3),KP!$D:$D,0)),"")</f>
        <v>34</v>
      </c>
      <c r="AS38" s="38" t="str">
        <f>_xlfn.IFNA(INDEX(KP!$AF:$AF,MATCH(($B38&amp;"|"&amp;AS$3),KP!$D:$D,0)),"")</f>
        <v/>
      </c>
      <c r="AT38" s="38" t="str">
        <f>_xlfn.IFNA(INDEX(KP!$AF:$AF,MATCH(($B38&amp;"|"&amp;AT$3),KP!$D:$D,0)),"")</f>
        <v/>
      </c>
      <c r="AU38" s="38">
        <f>SUM(SUMIFS(HTS!$AN:$AN,HTS!$B:$B,$B38,HTS!$C:$C,{"15-24","25-34","35-49","50+"},HTS!$D:$D,"Female"))</f>
        <v>153</v>
      </c>
      <c r="AV38" s="38">
        <f>SUM(SUMIFS(HTS!$AN:$AN,HTS!$B:$B,$B38,HTS!$C:$C,{"15-24","25-34","35-49","50+"},HTS!$D:$D,"Male"))</f>
        <v>65</v>
      </c>
      <c r="AW38" s="38" t="str">
        <f>_xlfn.IFNA(INDEX(KP!$AK:$AK,MATCH(($B38&amp;"|"&amp;AW$3),KP!$D:$D,0)),"")</f>
        <v/>
      </c>
      <c r="AX38" s="38" t="str">
        <f>_xlfn.IFNA(INDEX(KP!$AK:$AK,MATCH(($B38&amp;"|"&amp;AX$3),KP!$D:$D,0)),"")</f>
        <v/>
      </c>
      <c r="AY38" s="38">
        <f>_xlfn.IFNA(INDEX(KP!$AK:$AK,MATCH(($B38&amp;"|"&amp;AY$3),KP!$D:$D,0)),"")</f>
        <v>7</v>
      </c>
      <c r="AZ38" s="38" t="str">
        <f>_xlfn.IFNA(INDEX(KP!$AK:$AK,MATCH(($B38&amp;"|"&amp;AZ$3),KP!$D:$D,0)),"")</f>
        <v/>
      </c>
      <c r="BA38" s="38" t="str">
        <f>_xlfn.IFNA(INDEX(KP!$AK:$AK,MATCH(($B38&amp;"|"&amp;BA$3),KP!$D:$D,0)),"")</f>
        <v/>
      </c>
      <c r="BB38" s="38">
        <f>SUM(SUMIFS(HTS!$AU:$AU,HTS!$B:$B,$B38,HTS!$C:$C,{"15-24","25-34","35-49","50+"},HTS!$D:$D,"Female"))</f>
        <v>19969</v>
      </c>
      <c r="BC38" s="38">
        <f>SUM(SUMIFS(HTS!$AU:$AU,HTS!$B:$B,$B38,HTS!$C:$C,{"15-24","25-34","35-49","50+"},HTS!$D:$D,"Male"))</f>
        <v>3672</v>
      </c>
      <c r="BD38" s="38" t="str">
        <f>_xlfn.IFNA(INDEX(KP!$AL:$AL,MATCH(($B38&amp;"|"&amp;BD$3),KP!$D:$D,0)),"")</f>
        <v/>
      </c>
      <c r="BE38" s="38" t="str">
        <f>_xlfn.IFNA(INDEX(KP!$AL:$AL,MATCH(($B38&amp;"|"&amp;BE$3),KP!$D:$D,0)),"")</f>
        <v/>
      </c>
      <c r="BF38" s="38">
        <f>_xlfn.IFNA(INDEX(KP!$AL:$AL,MATCH(($B38&amp;"|"&amp;BF$3),KP!$D:$D,0)),"")</f>
        <v>343</v>
      </c>
      <c r="BG38" s="38" t="str">
        <f>_xlfn.IFNA(INDEX(KP!$AL:$AL,MATCH(($B38&amp;"|"&amp;BG$3),KP!$D:$D,0)),"")</f>
        <v/>
      </c>
      <c r="BH38" s="38" t="str">
        <f>_xlfn.IFNA(INDEX(KP!$AL:$AL,MATCH(($B38&amp;"|"&amp;BH$3),KP!$D:$D,0)),"")</f>
        <v/>
      </c>
      <c r="BI38" s="38">
        <f>SUM(SUMIFS(HTS!$BB:$BB,HTS!$B:$B,$B38,HTS!$C:$C,{"15-24","25-34","35-49","50+"},HTS!$D:$D,"Female"))</f>
        <v>49</v>
      </c>
      <c r="BJ38" s="38">
        <f>SUM(SUMIFS(HTS!$BB:$BB,HTS!$B:$B,$B38,HTS!$C:$C,{"15-24","25-34","35-49","50+"},HTS!$D:$D,"Male"))</f>
        <v>21</v>
      </c>
      <c r="BK38" s="38" t="str">
        <f>_xlfn.IFNA(INDEX(KP!$AN:$AN,MATCH(($B38&amp;"|"&amp;BK$3),KP!$D:$D,0)),"")</f>
        <v/>
      </c>
      <c r="BL38" s="38" t="str">
        <f>_xlfn.IFNA(INDEX(KP!$AN:$AN,MATCH(($B38&amp;"|"&amp;BL$3),KP!$D:$D,0)),"")</f>
        <v/>
      </c>
      <c r="BM38" s="38">
        <f>_xlfn.IFNA(INDEX(KP!$AN:$AN,MATCH(($B38&amp;"|"&amp;BM$3),KP!$D:$D,0)),"")</f>
        <v>0</v>
      </c>
      <c r="BN38" s="38" t="str">
        <f>_xlfn.IFNA(INDEX(KP!$AN:$AN,MATCH(($B38&amp;"|"&amp;BN$3),KP!$D:$D,0)),"")</f>
        <v/>
      </c>
      <c r="BO38" s="38" t="str">
        <f>_xlfn.IFNA(INDEX(KP!$AN:$AN,MATCH(($B38&amp;"|"&amp;BO$3),KP!$D:$D,0)),"")</f>
        <v/>
      </c>
      <c r="BP38" s="38">
        <f>SUM(SUMIFS(HTS!$AZ:$AZ,HTS!$B:$B,$B38,HTS!$C:$C,{"15-24","25-34","35-49","50+"},HTS!$D:$D,"Female"))</f>
        <v>2432</v>
      </c>
      <c r="BQ38" s="38">
        <f>SUM(SUMIFS(HTS!$AZ:$AZ,HTS!$B:$B,$B38,HTS!$C:$C,{"15-24","25-34","35-49","50+"},HTS!$D:$D,"Male"))</f>
        <v>112</v>
      </c>
      <c r="BR38" s="38">
        <f>_xlfn.IFNA(INDEX(KP!$AP:$AP,MATCH(($B38&amp;"|"&amp;BR$3),KP!$D:$D,0)),"")</f>
        <v>0</v>
      </c>
      <c r="BS38" s="38">
        <f>_xlfn.IFNA(INDEX(KP!$AP:$AP,MATCH(($B38&amp;"|"&amp;BS$3),KP!$D:$D,0)),"")</f>
        <v>0</v>
      </c>
      <c r="BT38" s="38">
        <f>_xlfn.IFNA(INDEX(KP!$AP:$AP,MATCH(($B38&amp;"|"&amp;BT$3),KP!$D:$D,0)),"")</f>
        <v>0</v>
      </c>
      <c r="BU38" s="38">
        <f>_xlfn.IFNA(INDEX(KP!$AP:$AP,MATCH(($B38&amp;"|"&amp;BU$3),KP!$D:$D,0)),"")</f>
        <v>0</v>
      </c>
      <c r="BV38" s="38">
        <f>_xlfn.IFNA(INDEX(KP!$AP:$AP,MATCH(($B38&amp;"|"&amp;BV$3),KP!$D:$D,0)),"")</f>
        <v>0</v>
      </c>
    </row>
    <row r="39" spans="1:74" x14ac:dyDescent="0.2">
      <c r="A39" s="85" t="str">
        <f>INDEX(Prioritization!$D:$D,MATCH($B39,Prioritization!$A:$A,0))</f>
        <v>INVALID</v>
      </c>
      <c r="B39" s="10" t="s">
        <v>323</v>
      </c>
      <c r="C39" s="38">
        <f>SUM(SUMIFS(PrEP!$O:$O,PrEP!$B:$B,$B39,PrEP!$C:$C,{"15-24","25-34","35-49","50+"},PrEP!$D:$D,"Female"))</f>
        <v>536</v>
      </c>
      <c r="D39" s="38">
        <f>SUM(SUMIFS(PrEP!$O:$O,PrEP!$B:$B,$B39,PrEP!$C:$C,{"15-24","25-34"},PrEP!$D:$D,"Female"))</f>
        <v>393</v>
      </c>
      <c r="E39" s="38">
        <f>SUM(SUMIFS(PrEP!$O:$O,PrEP!$B:$B,$B39,PrEP!$C:$C,{"15-24","25-34","35-49","50+"},PrEP!$D:$D,"Male"))</f>
        <v>174</v>
      </c>
      <c r="F39" s="38">
        <f>_xlfn.IFNA(INDEX(KP!$I:$I,MATCH(($B39&amp;"|"&amp;F$3),KP!$D:$D,0)),"")</f>
        <v>116</v>
      </c>
      <c r="G39" s="38">
        <f>_xlfn.IFNA(INDEX(KP!$I:$I,MATCH(($B39&amp;"|"&amp;G$3),KP!$D:$D,0)),"")</f>
        <v>56</v>
      </c>
      <c r="H39" s="38">
        <f>_xlfn.IFNA(INDEX(KP!$I:$I,MATCH(($B39&amp;"|"&amp;H$3),KP!$D:$D,0)),"")</f>
        <v>0</v>
      </c>
      <c r="I39" s="38">
        <f>_xlfn.IFNA(INDEX(KP!$I:$I,MATCH(($B39&amp;"|"&amp;I$3),KP!$D:$D,0)),"")</f>
        <v>0</v>
      </c>
      <c r="J39" s="38">
        <f>_xlfn.IFNA(INDEX(KP!$I:$I,MATCH(($B39&amp;"|"&amp;J$3),KP!$D:$D,0)),"")</f>
        <v>11</v>
      </c>
      <c r="K39" s="38">
        <f>SUM(SUMIFS(PrEP!$L:$L,PrEP!$B:$B,$B39,PrEP!$C:$C,{"15-24","25-34","35-49","50+"},PrEP!$D:$D,"Female"))</f>
        <v>5455</v>
      </c>
      <c r="L39" s="38">
        <f>SUM(SUMIFS(PrEP!$L:$L,PrEP!$B:$B,$B39,PrEP!$C:$C,{"15-24","25-34"},PrEP!$D:$D,"Female"))</f>
        <v>5142</v>
      </c>
      <c r="M39" s="38">
        <f>SUM(SUMIFS(PrEP!$L:$L,PrEP!$B:$B,$B39,PrEP!$C:$C,{"15-24","25-34","35-49","50+"},PrEP!$D:$D,"Male"))</f>
        <v>1326</v>
      </c>
      <c r="N39" s="38">
        <f>_xlfn.IFNA(INDEX(KP!$K:$K,MATCH(($B39&amp;"|"&amp;N$3),KP!$D:$D,0)),"")</f>
        <v>290</v>
      </c>
      <c r="O39" s="38">
        <f>_xlfn.IFNA(INDEX(KP!$K:$K,MATCH(($B39&amp;"|"&amp;O$3),KP!$D:$D,0)),"")</f>
        <v>141</v>
      </c>
      <c r="P39" s="38">
        <f>_xlfn.IFNA(INDEX(KP!$K:$K,MATCH(($B39&amp;"|"&amp;P$3),KP!$D:$D,0)),"")</f>
        <v>0</v>
      </c>
      <c r="Q39" s="38">
        <f>_xlfn.IFNA(INDEX(KP!$K:$K,MATCH(($B39&amp;"|"&amp;Q$3),KP!$D:$D,0)),"")</f>
        <v>0</v>
      </c>
      <c r="R39" s="38">
        <f>_xlfn.IFNA(INDEX(KP!$K:$K,MATCH(($B39&amp;"|"&amp;R$3),KP!$D:$D,0)),"")</f>
        <v>27</v>
      </c>
      <c r="S39" s="38">
        <f>SUM(SUMIFS(Cascade!$AP:$AP,Cascade!$B:$B,$B39,Cascade!$C:$C,{"15-24","25-34","35-49","50+"},Cascade!$D:$D,"Female"))</f>
        <v>20294</v>
      </c>
      <c r="T39" s="38">
        <f>SUM(SUMIFS(Cascade!$AP:$AP,Cascade!$B:$B,$B39,Cascade!$C:$C,{"15-24","25-34","35-49","50+"},Cascade!$D:$D,"Male"))</f>
        <v>10498</v>
      </c>
      <c r="U39" s="38">
        <f>_xlfn.IFNA(INDEX(KP!$Q:$Q,MATCH(($B39&amp;"|"&amp;U$3),KP!$D:$D,0)),"")</f>
        <v>256</v>
      </c>
      <c r="V39" s="38">
        <f>_xlfn.IFNA(INDEX(KP!$Q:$Q,MATCH(($B39&amp;"|"&amp;V$3),KP!$D:$D,0)),"")</f>
        <v>40</v>
      </c>
      <c r="W39" s="38">
        <f>_xlfn.IFNA(INDEX(KP!$Q:$Q,MATCH(($B39&amp;"|"&amp;W$3),KP!$D:$D,0)),"")</f>
        <v>0</v>
      </c>
      <c r="X39" s="38">
        <f>_xlfn.IFNA(INDEX(KP!$Q:$Q,MATCH(($B39&amp;"|"&amp;X$3),KP!$D:$D,0)),"")</f>
        <v>0</v>
      </c>
      <c r="Y39" s="38">
        <f>_xlfn.IFNA(INDEX(KP!$Q:$Q,MATCH(($B39&amp;"|"&amp;Y$3),KP!$D:$D,0)),"")</f>
        <v>26</v>
      </c>
      <c r="Z39" s="38">
        <f>SUM(SUMIFS(Cascade!$AX:$AX,Cascade!$B:$B,$B39,Cascade!$C:$C,{"15-24","25-34","35-49","50+"},Cascade!$D:$D,"Female"))</f>
        <v>1181</v>
      </c>
      <c r="AA39" s="38">
        <f>SUM(SUMIFS(Cascade!$AX:$AX,Cascade!$B:$B,$B39,Cascade!$C:$C,{"15-24","25-34","35-49","50+"},Cascade!$D:$D,"Male"))</f>
        <v>1015</v>
      </c>
      <c r="AB39" s="38">
        <f>_xlfn.IFNA(INDEX(KP!$Z:$Z,MATCH(($B39&amp;"|"&amp;AB$3),KP!$D:$D,0)),"")</f>
        <v>90</v>
      </c>
      <c r="AC39" s="38">
        <f>_xlfn.IFNA(INDEX(KP!$Z:$Z,MATCH(($B39&amp;"|"&amp;AC$3),KP!$D:$D,0)),"")</f>
        <v>25</v>
      </c>
      <c r="AD39" s="38" t="str">
        <f>_xlfn.IFNA(INDEX(KP!$Z:$Z,MATCH(($B39&amp;"|"&amp;AD$3),KP!$D:$D,0)),"")</f>
        <v/>
      </c>
      <c r="AE39" s="38" t="str">
        <f>_xlfn.IFNA(INDEX(KP!$Z:$Z,MATCH(($B39&amp;"|"&amp;AE$3),KP!$D:$D,0)),"")</f>
        <v/>
      </c>
      <c r="AF39" s="38">
        <f>_xlfn.IFNA(INDEX(KP!$Z:$Z,MATCH(($B39&amp;"|"&amp;AF$3),KP!$D:$D,0)),"")</f>
        <v>5</v>
      </c>
      <c r="AG39" s="38">
        <f>SUM(SUMIFS(Cascade!$BB:$BB,Cascade!$B:$B,$B39,Cascade!$C:$C,{"15-24","25-34","35-49","50+"},Cascade!$D:$D,"Female"))</f>
        <v>18265</v>
      </c>
      <c r="AH39" s="38">
        <f>SUM(SUMIFS(Cascade!$BB:$BB,Cascade!$B:$B,$B39,Cascade!$C:$C,{"15-24","25-34","35-49","50+"},Cascade!$D:$D,"Male"))</f>
        <v>9448</v>
      </c>
      <c r="AI39" s="38">
        <f>_xlfn.IFNA(INDEX(KP!$AD:$AD,MATCH(($B39&amp;"|"&amp;AI$3),KP!$D:$D,0)),"")</f>
        <v>243</v>
      </c>
      <c r="AJ39" s="38">
        <f>_xlfn.IFNA(INDEX(KP!$AD:$AD,MATCH(($B39&amp;"|"&amp;AJ$3),KP!$D:$D,0)),"")</f>
        <v>38</v>
      </c>
      <c r="AK39" s="38" t="str">
        <f>_xlfn.IFNA(INDEX(KP!$AD:$AD,MATCH(($B39&amp;"|"&amp;AK$3),KP!$D:$D,0)),"")</f>
        <v/>
      </c>
      <c r="AL39" s="38" t="str">
        <f>_xlfn.IFNA(INDEX(KP!$AD:$AD,MATCH(($B39&amp;"|"&amp;AL$3),KP!$D:$D,0)),"")</f>
        <v/>
      </c>
      <c r="AM39" s="38">
        <f>_xlfn.IFNA(INDEX(KP!$AD:$AD,MATCH(($B39&amp;"|"&amp;AM$3),KP!$D:$D,0)),"")</f>
        <v>25</v>
      </c>
      <c r="AN39" s="38">
        <f>SUM(SUMIFS(Cascade!$BE:$BE,Cascade!$B:$B,$B39,Cascade!$C:$C,{"15-24","25-34","35-49","50+"},Cascade!$D:$D,"Female"))</f>
        <v>17352</v>
      </c>
      <c r="AO39" s="38">
        <f>SUM(SUMIFS(Cascade!$BE:$BE,Cascade!$B:$B,$B39,Cascade!$C:$C,{"15-24","25-34","35-49","50+"},Cascade!$D:$D,"Male"))</f>
        <v>8975</v>
      </c>
      <c r="AP39" s="38">
        <f>_xlfn.IFNA(INDEX(KP!$AF:$AF,MATCH(($B39&amp;"|"&amp;AP$3),KP!$D:$D,0)),"")</f>
        <v>231</v>
      </c>
      <c r="AQ39" s="38">
        <f>_xlfn.IFNA(INDEX(KP!$AF:$AF,MATCH(($B39&amp;"|"&amp;AQ$3),KP!$D:$D,0)),"")</f>
        <v>36</v>
      </c>
      <c r="AR39" s="38" t="str">
        <f>_xlfn.IFNA(INDEX(KP!$AF:$AF,MATCH(($B39&amp;"|"&amp;AR$3),KP!$D:$D,0)),"")</f>
        <v/>
      </c>
      <c r="AS39" s="38" t="str">
        <f>_xlfn.IFNA(INDEX(KP!$AF:$AF,MATCH(($B39&amp;"|"&amp;AS$3),KP!$D:$D,0)),"")</f>
        <v/>
      </c>
      <c r="AT39" s="38">
        <f>_xlfn.IFNA(INDEX(KP!$AF:$AF,MATCH(($B39&amp;"|"&amp;AT$3),KP!$D:$D,0)),"")</f>
        <v>24</v>
      </c>
      <c r="AU39" s="38">
        <f>SUM(SUMIFS(HTS!$AN:$AN,HTS!$B:$B,$B39,HTS!$C:$C,{"15-24","25-34","35-49","50+"},HTS!$D:$D,"Female"))</f>
        <v>1245</v>
      </c>
      <c r="AV39" s="38">
        <f>SUM(SUMIFS(HTS!$AN:$AN,HTS!$B:$B,$B39,HTS!$C:$C,{"15-24","25-34","35-49","50+"},HTS!$D:$D,"Male"))</f>
        <v>1070</v>
      </c>
      <c r="AW39" s="38">
        <f>_xlfn.IFNA(INDEX(KP!$AK:$AK,MATCH(($B39&amp;"|"&amp;AW$3),KP!$D:$D,0)),"")</f>
        <v>95</v>
      </c>
      <c r="AX39" s="38">
        <f>_xlfn.IFNA(INDEX(KP!$AK:$AK,MATCH(($B39&amp;"|"&amp;AX$3),KP!$D:$D,0)),"")</f>
        <v>26</v>
      </c>
      <c r="AY39" s="38" t="str">
        <f>_xlfn.IFNA(INDEX(KP!$AK:$AK,MATCH(($B39&amp;"|"&amp;AY$3),KP!$D:$D,0)),"")</f>
        <v/>
      </c>
      <c r="AZ39" s="38" t="str">
        <f>_xlfn.IFNA(INDEX(KP!$AK:$AK,MATCH(($B39&amp;"|"&amp;AZ$3),KP!$D:$D,0)),"")</f>
        <v/>
      </c>
      <c r="BA39" s="38">
        <f>_xlfn.IFNA(INDEX(KP!$AK:$AK,MATCH(($B39&amp;"|"&amp;BA$3),KP!$D:$D,0)),"")</f>
        <v>5</v>
      </c>
      <c r="BB39" s="38">
        <f>SUM(SUMIFS(HTS!$AU:$AU,HTS!$B:$B,$B39,HTS!$C:$C,{"15-24","25-34","35-49","50+"},HTS!$D:$D,"Female"))</f>
        <v>90450</v>
      </c>
      <c r="BC39" s="38">
        <f>SUM(SUMIFS(HTS!$AU:$AU,HTS!$B:$B,$B39,HTS!$C:$C,{"15-24","25-34","35-49","50+"},HTS!$D:$D,"Male"))</f>
        <v>28193</v>
      </c>
      <c r="BD39" s="38">
        <f>_xlfn.IFNA(INDEX(KP!$AL:$AL,MATCH(($B39&amp;"|"&amp;BD$3),KP!$D:$D,0)),"")</f>
        <v>584</v>
      </c>
      <c r="BE39" s="38">
        <f>_xlfn.IFNA(INDEX(KP!$AL:$AL,MATCH(($B39&amp;"|"&amp;BE$3),KP!$D:$D,0)),"")</f>
        <v>202</v>
      </c>
      <c r="BF39" s="38" t="str">
        <f>_xlfn.IFNA(INDEX(KP!$AL:$AL,MATCH(($B39&amp;"|"&amp;BF$3),KP!$D:$D,0)),"")</f>
        <v/>
      </c>
      <c r="BG39" s="38" t="str">
        <f>_xlfn.IFNA(INDEX(KP!$AL:$AL,MATCH(($B39&amp;"|"&amp;BG$3),KP!$D:$D,0)),"")</f>
        <v/>
      </c>
      <c r="BH39" s="38">
        <f>_xlfn.IFNA(INDEX(KP!$AL:$AL,MATCH(($B39&amp;"|"&amp;BH$3),KP!$D:$D,0)),"")</f>
        <v>33</v>
      </c>
      <c r="BI39" s="38">
        <f>SUM(SUMIFS(HTS!$BB:$BB,HTS!$B:$B,$B39,HTS!$C:$C,{"15-24","25-34","35-49","50+"},HTS!$D:$D,"Female"))</f>
        <v>809</v>
      </c>
      <c r="BJ39" s="38">
        <f>SUM(SUMIFS(HTS!$BB:$BB,HTS!$B:$B,$B39,HTS!$C:$C,{"15-24","25-34","35-49","50+"},HTS!$D:$D,"Male"))</f>
        <v>696</v>
      </c>
      <c r="BK39" s="38">
        <f>_xlfn.IFNA(INDEX(KP!$AN:$AN,MATCH(($B39&amp;"|"&amp;BK$3),KP!$D:$D,0)),"")</f>
        <v>0</v>
      </c>
      <c r="BL39" s="38">
        <f>_xlfn.IFNA(INDEX(KP!$AN:$AN,MATCH(($B39&amp;"|"&amp;BL$3),KP!$D:$D,0)),"")</f>
        <v>0</v>
      </c>
      <c r="BM39" s="38" t="str">
        <f>_xlfn.IFNA(INDEX(KP!$AN:$AN,MATCH(($B39&amp;"|"&amp;BM$3),KP!$D:$D,0)),"")</f>
        <v/>
      </c>
      <c r="BN39" s="38" t="str">
        <f>_xlfn.IFNA(INDEX(KP!$AN:$AN,MATCH(($B39&amp;"|"&amp;BN$3),KP!$D:$D,0)),"")</f>
        <v/>
      </c>
      <c r="BO39" s="38">
        <f>_xlfn.IFNA(INDEX(KP!$AN:$AN,MATCH(($B39&amp;"|"&amp;BO$3),KP!$D:$D,0)),"")</f>
        <v>0</v>
      </c>
      <c r="BP39" s="38">
        <f>SUM(SUMIFS(HTS!$AZ:$AZ,HTS!$B:$B,$B39,HTS!$C:$C,{"15-24","25-34","35-49","50+"},HTS!$D:$D,"Female"))</f>
        <v>33124</v>
      </c>
      <c r="BQ39" s="38">
        <f>SUM(SUMIFS(HTS!$AZ:$AZ,HTS!$B:$B,$B39,HTS!$C:$C,{"15-24","25-34","35-49","50+"},HTS!$D:$D,"Male"))</f>
        <v>2645</v>
      </c>
      <c r="BR39" s="38">
        <f>_xlfn.IFNA(INDEX(KP!$AP:$AP,MATCH(($B39&amp;"|"&amp;BR$3),KP!$D:$D,0)),"")</f>
        <v>1018</v>
      </c>
      <c r="BS39" s="38">
        <f>_xlfn.IFNA(INDEX(KP!$AP:$AP,MATCH(($B39&amp;"|"&amp;BS$3),KP!$D:$D,0)),"")</f>
        <v>454</v>
      </c>
      <c r="BT39" s="38">
        <f>_xlfn.IFNA(INDEX(KP!$AP:$AP,MATCH(($B39&amp;"|"&amp;BT$3),KP!$D:$D,0)),"")</f>
        <v>0</v>
      </c>
      <c r="BU39" s="38">
        <f>_xlfn.IFNA(INDEX(KP!$AP:$AP,MATCH(($B39&amp;"|"&amp;BU$3),KP!$D:$D,0)),"")</f>
        <v>0</v>
      </c>
      <c r="BV39" s="38">
        <f>_xlfn.IFNA(INDEX(KP!$AP:$AP,MATCH(($B39&amp;"|"&amp;BV$3),KP!$D:$D,0)),"")</f>
        <v>90</v>
      </c>
    </row>
    <row r="40" spans="1:74" x14ac:dyDescent="0.2">
      <c r="A40" s="85" t="str">
        <f>INDEX(Prioritization!$D:$D,MATCH($B40,Prioritization!$A:$A,0))</f>
        <v>4 - Sustained</v>
      </c>
      <c r="B40" s="10" t="s">
        <v>312</v>
      </c>
      <c r="C40" s="38">
        <f>SUM(SUMIFS(PrEP!$O:$O,PrEP!$B:$B,$B40,PrEP!$C:$C,{"15-24","25-34","35-49","50+"},PrEP!$D:$D,"Female"))</f>
        <v>33</v>
      </c>
      <c r="D40" s="38">
        <f>SUM(SUMIFS(PrEP!$O:$O,PrEP!$B:$B,$B40,PrEP!$C:$C,{"15-24","25-34"},PrEP!$D:$D,"Female"))</f>
        <v>24</v>
      </c>
      <c r="E40" s="38">
        <f>SUM(SUMIFS(PrEP!$O:$O,PrEP!$B:$B,$B40,PrEP!$C:$C,{"15-24","25-34","35-49","50+"},PrEP!$D:$D,"Male"))</f>
        <v>33</v>
      </c>
      <c r="F40" s="38">
        <f>_xlfn.IFNA(INDEX(KP!$I:$I,MATCH(($B40&amp;"|"&amp;F$3),KP!$D:$D,0)),"")</f>
        <v>0</v>
      </c>
      <c r="G40" s="38">
        <f>_xlfn.IFNA(INDEX(KP!$I:$I,MATCH(($B40&amp;"|"&amp;G$3),KP!$D:$D,0)),"")</f>
        <v>0</v>
      </c>
      <c r="H40" s="38">
        <f>_xlfn.IFNA(INDEX(KP!$I:$I,MATCH(($B40&amp;"|"&amp;H$3),KP!$D:$D,0)),"")</f>
        <v>0</v>
      </c>
      <c r="I40" s="38">
        <f>_xlfn.IFNA(INDEX(KP!$I:$I,MATCH(($B40&amp;"|"&amp;I$3),KP!$D:$D,0)),"")</f>
        <v>0</v>
      </c>
      <c r="J40" s="38">
        <f>_xlfn.IFNA(INDEX(KP!$I:$I,MATCH(($B40&amp;"|"&amp;J$3),KP!$D:$D,0)),"")</f>
        <v>0</v>
      </c>
      <c r="K40" s="38">
        <f>SUM(SUMIFS(PrEP!$L:$L,PrEP!$B:$B,$B40,PrEP!$C:$C,{"15-24","25-34","35-49","50+"},PrEP!$D:$D,"Female"))</f>
        <v>11</v>
      </c>
      <c r="L40" s="38">
        <f>SUM(SUMIFS(PrEP!$L:$L,PrEP!$B:$B,$B40,PrEP!$C:$C,{"15-24","25-34"},PrEP!$D:$D,"Female"))</f>
        <v>10</v>
      </c>
      <c r="M40" s="38">
        <f>SUM(SUMIFS(PrEP!$L:$L,PrEP!$B:$B,$B40,PrEP!$C:$C,{"15-24","25-34","35-49","50+"},PrEP!$D:$D,"Male"))</f>
        <v>14</v>
      </c>
      <c r="N40" s="38">
        <f>_xlfn.IFNA(INDEX(KP!$K:$K,MATCH(($B40&amp;"|"&amp;N$3),KP!$D:$D,0)),"")</f>
        <v>0</v>
      </c>
      <c r="O40" s="38">
        <f>_xlfn.IFNA(INDEX(KP!$K:$K,MATCH(($B40&amp;"|"&amp;O$3),KP!$D:$D,0)),"")</f>
        <v>0</v>
      </c>
      <c r="P40" s="38">
        <f>_xlfn.IFNA(INDEX(KP!$K:$K,MATCH(($B40&amp;"|"&amp;P$3),KP!$D:$D,0)),"")</f>
        <v>0</v>
      </c>
      <c r="Q40" s="38">
        <f>_xlfn.IFNA(INDEX(KP!$K:$K,MATCH(($B40&amp;"|"&amp;Q$3),KP!$D:$D,0)),"")</f>
        <v>0</v>
      </c>
      <c r="R40" s="38">
        <f>_xlfn.IFNA(INDEX(KP!$K:$K,MATCH(($B40&amp;"|"&amp;R$3),KP!$D:$D,0)),"")</f>
        <v>0</v>
      </c>
      <c r="S40" s="38">
        <f>SUM(SUMIFS(Cascade!$AP:$AP,Cascade!$B:$B,$B40,Cascade!$C:$C,{"15-24","25-34","35-49","50+"},Cascade!$D:$D,"Female"))</f>
        <v>5103</v>
      </c>
      <c r="T40" s="38">
        <f>SUM(SUMIFS(Cascade!$AP:$AP,Cascade!$B:$B,$B40,Cascade!$C:$C,{"15-24","25-34","35-49","50+"},Cascade!$D:$D,"Male"))</f>
        <v>3517</v>
      </c>
      <c r="U40" s="38">
        <f>_xlfn.IFNA(INDEX(KP!$Q:$Q,MATCH(($B40&amp;"|"&amp;U$3),KP!$D:$D,0)),"")</f>
        <v>0</v>
      </c>
      <c r="V40" s="38">
        <f>_xlfn.IFNA(INDEX(KP!$Q:$Q,MATCH(($B40&amp;"|"&amp;V$3),KP!$D:$D,0)),"")</f>
        <v>0</v>
      </c>
      <c r="W40" s="38">
        <f>_xlfn.IFNA(INDEX(KP!$Q:$Q,MATCH(($B40&amp;"|"&amp;W$3),KP!$D:$D,0)),"")</f>
        <v>35</v>
      </c>
      <c r="X40" s="38">
        <f>_xlfn.IFNA(INDEX(KP!$Q:$Q,MATCH(($B40&amp;"|"&amp;X$3),KP!$D:$D,0)),"")</f>
        <v>0</v>
      </c>
      <c r="Y40" s="38">
        <f>_xlfn.IFNA(INDEX(KP!$Q:$Q,MATCH(($B40&amp;"|"&amp;Y$3),KP!$D:$D,0)),"")</f>
        <v>0</v>
      </c>
      <c r="Z40" s="38">
        <f>SUM(SUMIFS(Cascade!$AX:$AX,Cascade!$B:$B,$B40,Cascade!$C:$C,{"15-24","25-34","35-49","50+"},Cascade!$D:$D,"Female"))</f>
        <v>227</v>
      </c>
      <c r="AA40" s="38">
        <f>SUM(SUMIFS(Cascade!$AX:$AX,Cascade!$B:$B,$B40,Cascade!$C:$C,{"15-24","25-34","35-49","50+"},Cascade!$D:$D,"Male"))</f>
        <v>140</v>
      </c>
      <c r="AB40" s="38" t="str">
        <f>_xlfn.IFNA(INDEX(KP!$Z:$Z,MATCH(($B40&amp;"|"&amp;AB$3),KP!$D:$D,0)),"")</f>
        <v/>
      </c>
      <c r="AC40" s="38" t="str">
        <f>_xlfn.IFNA(INDEX(KP!$Z:$Z,MATCH(($B40&amp;"|"&amp;AC$3),KP!$D:$D,0)),"")</f>
        <v/>
      </c>
      <c r="AD40" s="38">
        <f>_xlfn.IFNA(INDEX(KP!$Z:$Z,MATCH(($B40&amp;"|"&amp;AD$3),KP!$D:$D,0)),"")</f>
        <v>6</v>
      </c>
      <c r="AE40" s="38" t="str">
        <f>_xlfn.IFNA(INDEX(KP!$Z:$Z,MATCH(($B40&amp;"|"&amp;AE$3),KP!$D:$D,0)),"")</f>
        <v/>
      </c>
      <c r="AF40" s="38" t="str">
        <f>_xlfn.IFNA(INDEX(KP!$Z:$Z,MATCH(($B40&amp;"|"&amp;AF$3),KP!$D:$D,0)),"")</f>
        <v/>
      </c>
      <c r="AG40" s="38">
        <f>SUM(SUMIFS(Cascade!$BB:$BB,Cascade!$B:$B,$B40,Cascade!$C:$C,{"15-24","25-34","35-49","50+"},Cascade!$D:$D,"Female"))</f>
        <v>4592</v>
      </c>
      <c r="AH40" s="38">
        <f>SUM(SUMIFS(Cascade!$BB:$BB,Cascade!$B:$B,$B40,Cascade!$C:$C,{"15-24","25-34","35-49","50+"},Cascade!$D:$D,"Male"))</f>
        <v>3165</v>
      </c>
      <c r="AI40" s="38" t="str">
        <f>_xlfn.IFNA(INDEX(KP!$AD:$AD,MATCH(($B40&amp;"|"&amp;AI$3),KP!$D:$D,0)),"")</f>
        <v/>
      </c>
      <c r="AJ40" s="38" t="str">
        <f>_xlfn.IFNA(INDEX(KP!$AD:$AD,MATCH(($B40&amp;"|"&amp;AJ$3),KP!$D:$D,0)),"")</f>
        <v/>
      </c>
      <c r="AK40" s="38">
        <f>_xlfn.IFNA(INDEX(KP!$AD:$AD,MATCH(($B40&amp;"|"&amp;AK$3),KP!$D:$D,0)),"")</f>
        <v>33</v>
      </c>
      <c r="AL40" s="38" t="str">
        <f>_xlfn.IFNA(INDEX(KP!$AD:$AD,MATCH(($B40&amp;"|"&amp;AL$3),KP!$D:$D,0)),"")</f>
        <v/>
      </c>
      <c r="AM40" s="38" t="str">
        <f>_xlfn.IFNA(INDEX(KP!$AD:$AD,MATCH(($B40&amp;"|"&amp;AM$3),KP!$D:$D,0)),"")</f>
        <v/>
      </c>
      <c r="AN40" s="38">
        <f>SUM(SUMIFS(Cascade!$BE:$BE,Cascade!$B:$B,$B40,Cascade!$C:$C,{"15-24","25-34","35-49","50+"},Cascade!$D:$D,"Female"))</f>
        <v>4363</v>
      </c>
      <c r="AO40" s="38">
        <f>SUM(SUMIFS(Cascade!$BE:$BE,Cascade!$B:$B,$B40,Cascade!$C:$C,{"15-24","25-34","35-49","50+"},Cascade!$D:$D,"Male"))</f>
        <v>3007</v>
      </c>
      <c r="AP40" s="38" t="str">
        <f>_xlfn.IFNA(INDEX(KP!$AF:$AF,MATCH(($B40&amp;"|"&amp;AP$3),KP!$D:$D,0)),"")</f>
        <v/>
      </c>
      <c r="AQ40" s="38" t="str">
        <f>_xlfn.IFNA(INDEX(KP!$AF:$AF,MATCH(($B40&amp;"|"&amp;AQ$3),KP!$D:$D,0)),"")</f>
        <v/>
      </c>
      <c r="AR40" s="38">
        <f>_xlfn.IFNA(INDEX(KP!$AF:$AF,MATCH(($B40&amp;"|"&amp;AR$3),KP!$D:$D,0)),"")</f>
        <v>31</v>
      </c>
      <c r="AS40" s="38" t="str">
        <f>_xlfn.IFNA(INDEX(KP!$AF:$AF,MATCH(($B40&amp;"|"&amp;AS$3),KP!$D:$D,0)),"")</f>
        <v/>
      </c>
      <c r="AT40" s="38" t="str">
        <f>_xlfn.IFNA(INDEX(KP!$AF:$AF,MATCH(($B40&amp;"|"&amp;AT$3),KP!$D:$D,0)),"")</f>
        <v/>
      </c>
      <c r="AU40" s="38">
        <f>SUM(SUMIFS(HTS!$AN:$AN,HTS!$B:$B,$B40,HTS!$C:$C,{"15-24","25-34","35-49","50+"},HTS!$D:$D,"Female"))</f>
        <v>239</v>
      </c>
      <c r="AV40" s="38">
        <f>SUM(SUMIFS(HTS!$AN:$AN,HTS!$B:$B,$B40,HTS!$C:$C,{"15-24","25-34","35-49","50+"},HTS!$D:$D,"Male"))</f>
        <v>147</v>
      </c>
      <c r="AW40" s="38" t="str">
        <f>_xlfn.IFNA(INDEX(KP!$AK:$AK,MATCH(($B40&amp;"|"&amp;AW$3),KP!$D:$D,0)),"")</f>
        <v/>
      </c>
      <c r="AX40" s="38" t="str">
        <f>_xlfn.IFNA(INDEX(KP!$AK:$AK,MATCH(($B40&amp;"|"&amp;AX$3),KP!$D:$D,0)),"")</f>
        <v/>
      </c>
      <c r="AY40" s="38">
        <f>_xlfn.IFNA(INDEX(KP!$AK:$AK,MATCH(($B40&amp;"|"&amp;AY$3),KP!$D:$D,0)),"")</f>
        <v>6</v>
      </c>
      <c r="AZ40" s="38" t="str">
        <f>_xlfn.IFNA(INDEX(KP!$AK:$AK,MATCH(($B40&amp;"|"&amp;AZ$3),KP!$D:$D,0)),"")</f>
        <v/>
      </c>
      <c r="BA40" s="38" t="str">
        <f>_xlfn.IFNA(INDEX(KP!$AK:$AK,MATCH(($B40&amp;"|"&amp;BA$3),KP!$D:$D,0)),"")</f>
        <v/>
      </c>
      <c r="BB40" s="38">
        <f>SUM(SUMIFS(HTS!$AU:$AU,HTS!$B:$B,$B40,HTS!$C:$C,{"15-24","25-34","35-49","50+"},HTS!$D:$D,"Female"))</f>
        <v>17465</v>
      </c>
      <c r="BC40" s="38">
        <f>SUM(SUMIFS(HTS!$AU:$AU,HTS!$B:$B,$B40,HTS!$C:$C,{"15-24","25-34","35-49","50+"},HTS!$D:$D,"Male"))</f>
        <v>5558</v>
      </c>
      <c r="BD40" s="38" t="str">
        <f>_xlfn.IFNA(INDEX(KP!$AL:$AL,MATCH(($B40&amp;"|"&amp;BD$3),KP!$D:$D,0)),"")</f>
        <v/>
      </c>
      <c r="BE40" s="38" t="str">
        <f>_xlfn.IFNA(INDEX(KP!$AL:$AL,MATCH(($B40&amp;"|"&amp;BE$3),KP!$D:$D,0)),"")</f>
        <v/>
      </c>
      <c r="BF40" s="38">
        <f>_xlfn.IFNA(INDEX(KP!$AL:$AL,MATCH(($B40&amp;"|"&amp;BF$3),KP!$D:$D,0)),"")</f>
        <v>294</v>
      </c>
      <c r="BG40" s="38" t="str">
        <f>_xlfn.IFNA(INDEX(KP!$AL:$AL,MATCH(($B40&amp;"|"&amp;BG$3),KP!$D:$D,0)),"")</f>
        <v/>
      </c>
      <c r="BH40" s="38" t="str">
        <f>_xlfn.IFNA(INDEX(KP!$AL:$AL,MATCH(($B40&amp;"|"&amp;BH$3),KP!$D:$D,0)),"")</f>
        <v/>
      </c>
      <c r="BI40" s="38">
        <f>SUM(SUMIFS(HTS!$BB:$BB,HTS!$B:$B,$B40,HTS!$C:$C,{"15-24","25-34","35-49","50+"},HTS!$D:$D,"Female"))</f>
        <v>88</v>
      </c>
      <c r="BJ40" s="38">
        <f>SUM(SUMIFS(HTS!$BB:$BB,HTS!$B:$B,$B40,HTS!$C:$C,{"15-24","25-34","35-49","50+"},HTS!$D:$D,"Male"))</f>
        <v>55</v>
      </c>
      <c r="BK40" s="38" t="str">
        <f>_xlfn.IFNA(INDEX(KP!$AN:$AN,MATCH(($B40&amp;"|"&amp;BK$3),KP!$D:$D,0)),"")</f>
        <v/>
      </c>
      <c r="BL40" s="38" t="str">
        <f>_xlfn.IFNA(INDEX(KP!$AN:$AN,MATCH(($B40&amp;"|"&amp;BL$3),KP!$D:$D,0)),"")</f>
        <v/>
      </c>
      <c r="BM40" s="38">
        <f>_xlfn.IFNA(INDEX(KP!$AN:$AN,MATCH(($B40&amp;"|"&amp;BM$3),KP!$D:$D,0)),"")</f>
        <v>0</v>
      </c>
      <c r="BN40" s="38" t="str">
        <f>_xlfn.IFNA(INDEX(KP!$AN:$AN,MATCH(($B40&amp;"|"&amp;BN$3),KP!$D:$D,0)),"")</f>
        <v/>
      </c>
      <c r="BO40" s="38" t="str">
        <f>_xlfn.IFNA(INDEX(KP!$AN:$AN,MATCH(($B40&amp;"|"&amp;BO$3),KP!$D:$D,0)),"")</f>
        <v/>
      </c>
      <c r="BP40" s="38">
        <f>SUM(SUMIFS(HTS!$AZ:$AZ,HTS!$B:$B,$B40,HTS!$C:$C,{"15-24","25-34","35-49","50+"},HTS!$D:$D,"Female"))</f>
        <v>2396</v>
      </c>
      <c r="BQ40" s="38">
        <f>SUM(SUMIFS(HTS!$AZ:$AZ,HTS!$B:$B,$B40,HTS!$C:$C,{"15-24","25-34","35-49","50+"},HTS!$D:$D,"Male"))</f>
        <v>127</v>
      </c>
      <c r="BR40" s="38">
        <f>_xlfn.IFNA(INDEX(KP!$AP:$AP,MATCH(($B40&amp;"|"&amp;BR$3),KP!$D:$D,0)),"")</f>
        <v>0</v>
      </c>
      <c r="BS40" s="38">
        <f>_xlfn.IFNA(INDEX(KP!$AP:$AP,MATCH(($B40&amp;"|"&amp;BS$3),KP!$D:$D,0)),"")</f>
        <v>0</v>
      </c>
      <c r="BT40" s="38">
        <f>_xlfn.IFNA(INDEX(KP!$AP:$AP,MATCH(($B40&amp;"|"&amp;BT$3),KP!$D:$D,0)),"")</f>
        <v>0</v>
      </c>
      <c r="BU40" s="38">
        <f>_xlfn.IFNA(INDEX(KP!$AP:$AP,MATCH(($B40&amp;"|"&amp;BU$3),KP!$D:$D,0)),"")</f>
        <v>0</v>
      </c>
      <c r="BV40" s="38">
        <f>_xlfn.IFNA(INDEX(KP!$AP:$AP,MATCH(($B40&amp;"|"&amp;BV$3),KP!$D:$D,0)),"")</f>
        <v>0</v>
      </c>
    </row>
    <row r="41" spans="1:74" x14ac:dyDescent="0.2">
      <c r="A41" s="85" t="str">
        <f>INDEX(Prioritization!$D:$D,MATCH($B41,Prioritization!$A:$A,0))</f>
        <v>4 - Sustained</v>
      </c>
      <c r="B41" s="10" t="s">
        <v>306</v>
      </c>
      <c r="C41" s="38">
        <f>SUM(SUMIFS(PrEP!$O:$O,PrEP!$B:$B,$B41,PrEP!$C:$C,{"15-24","25-34","35-49","50+"},PrEP!$D:$D,"Female"))</f>
        <v>242</v>
      </c>
      <c r="D41" s="38">
        <f>SUM(SUMIFS(PrEP!$O:$O,PrEP!$B:$B,$B41,PrEP!$C:$C,{"15-24","25-34"},PrEP!$D:$D,"Female"))</f>
        <v>99</v>
      </c>
      <c r="E41" s="38">
        <f>SUM(SUMIFS(PrEP!$O:$O,PrEP!$B:$B,$B41,PrEP!$C:$C,{"15-24","25-34","35-49","50+"},PrEP!$D:$D,"Male"))</f>
        <v>135</v>
      </c>
      <c r="F41" s="38">
        <f>_xlfn.IFNA(INDEX(KP!$I:$I,MATCH(($B41&amp;"|"&amp;F$3),KP!$D:$D,0)),"")</f>
        <v>0</v>
      </c>
      <c r="G41" s="38">
        <f>_xlfn.IFNA(INDEX(KP!$I:$I,MATCH(($B41&amp;"|"&amp;G$3),KP!$D:$D,0)),"")</f>
        <v>0</v>
      </c>
      <c r="H41" s="38">
        <f>_xlfn.IFNA(INDEX(KP!$I:$I,MATCH(($B41&amp;"|"&amp;H$3),KP!$D:$D,0)),"")</f>
        <v>0</v>
      </c>
      <c r="I41" s="38">
        <f>_xlfn.IFNA(INDEX(KP!$I:$I,MATCH(($B41&amp;"|"&amp;I$3),KP!$D:$D,0)),"")</f>
        <v>0</v>
      </c>
      <c r="J41" s="38">
        <f>_xlfn.IFNA(INDEX(KP!$I:$I,MATCH(($B41&amp;"|"&amp;J$3),KP!$D:$D,0)),"")</f>
        <v>0</v>
      </c>
      <c r="K41" s="38">
        <f>SUM(SUMIFS(PrEP!$L:$L,PrEP!$B:$B,$B41,PrEP!$C:$C,{"15-24","25-34","35-49","50+"},PrEP!$D:$D,"Female"))</f>
        <v>611</v>
      </c>
      <c r="L41" s="38">
        <f>SUM(SUMIFS(PrEP!$L:$L,PrEP!$B:$B,$B41,PrEP!$C:$C,{"15-24","25-34"},PrEP!$D:$D,"Female"))</f>
        <v>335</v>
      </c>
      <c r="M41" s="38">
        <f>SUM(SUMIFS(PrEP!$L:$L,PrEP!$B:$B,$B41,PrEP!$C:$C,{"15-24","25-34","35-49","50+"},PrEP!$D:$D,"Male"))</f>
        <v>442</v>
      </c>
      <c r="N41" s="38">
        <f>_xlfn.IFNA(INDEX(KP!$K:$K,MATCH(($B41&amp;"|"&amp;N$3),KP!$D:$D,0)),"")</f>
        <v>0</v>
      </c>
      <c r="O41" s="38">
        <f>_xlfn.IFNA(INDEX(KP!$K:$K,MATCH(($B41&amp;"|"&amp;O$3),KP!$D:$D,0)),"")</f>
        <v>0</v>
      </c>
      <c r="P41" s="38">
        <f>_xlfn.IFNA(INDEX(KP!$K:$K,MATCH(($B41&amp;"|"&amp;P$3),KP!$D:$D,0)),"")</f>
        <v>0</v>
      </c>
      <c r="Q41" s="38">
        <f>_xlfn.IFNA(INDEX(KP!$K:$K,MATCH(($B41&amp;"|"&amp;Q$3),KP!$D:$D,0)),"")</f>
        <v>0</v>
      </c>
      <c r="R41" s="38">
        <f>_xlfn.IFNA(INDEX(KP!$K:$K,MATCH(($B41&amp;"|"&amp;R$3),KP!$D:$D,0)),"")</f>
        <v>0</v>
      </c>
      <c r="S41" s="38">
        <f>SUM(SUMIFS(Cascade!$AP:$AP,Cascade!$B:$B,$B41,Cascade!$C:$C,{"15-24","25-34","35-49","50+"},Cascade!$D:$D,"Female"))</f>
        <v>11432</v>
      </c>
      <c r="T41" s="38">
        <f>SUM(SUMIFS(Cascade!$AP:$AP,Cascade!$B:$B,$B41,Cascade!$C:$C,{"15-24","25-34","35-49","50+"},Cascade!$D:$D,"Male"))</f>
        <v>5911</v>
      </c>
      <c r="U41" s="38">
        <f>_xlfn.IFNA(INDEX(KP!$Q:$Q,MATCH(($B41&amp;"|"&amp;U$3),KP!$D:$D,0)),"")</f>
        <v>0</v>
      </c>
      <c r="V41" s="38">
        <f>_xlfn.IFNA(INDEX(KP!$Q:$Q,MATCH(($B41&amp;"|"&amp;V$3),KP!$D:$D,0)),"")</f>
        <v>0</v>
      </c>
      <c r="W41" s="38">
        <f>_xlfn.IFNA(INDEX(KP!$Q:$Q,MATCH(($B41&amp;"|"&amp;W$3),KP!$D:$D,0)),"")</f>
        <v>0</v>
      </c>
      <c r="X41" s="38">
        <f>_xlfn.IFNA(INDEX(KP!$Q:$Q,MATCH(($B41&amp;"|"&amp;X$3),KP!$D:$D,0)),"")</f>
        <v>0</v>
      </c>
      <c r="Y41" s="38">
        <f>_xlfn.IFNA(INDEX(KP!$Q:$Q,MATCH(($B41&amp;"|"&amp;Y$3),KP!$D:$D,0)),"")</f>
        <v>0</v>
      </c>
      <c r="Z41" s="38">
        <f>SUM(SUMIFS(Cascade!$AX:$AX,Cascade!$B:$B,$B41,Cascade!$C:$C,{"15-24","25-34","35-49","50+"},Cascade!$D:$D,"Female"))</f>
        <v>802</v>
      </c>
      <c r="AA41" s="38">
        <f>SUM(SUMIFS(Cascade!$AX:$AX,Cascade!$B:$B,$B41,Cascade!$C:$C,{"15-24","25-34","35-49","50+"},Cascade!$D:$D,"Male"))</f>
        <v>167</v>
      </c>
      <c r="AB41" s="38" t="str">
        <f>_xlfn.IFNA(INDEX(KP!$Z:$Z,MATCH(($B41&amp;"|"&amp;AB$3),KP!$D:$D,0)),"")</f>
        <v/>
      </c>
      <c r="AC41" s="38" t="str">
        <f>_xlfn.IFNA(INDEX(KP!$Z:$Z,MATCH(($B41&amp;"|"&amp;AC$3),KP!$D:$D,0)),"")</f>
        <v/>
      </c>
      <c r="AD41" s="38" t="str">
        <f>_xlfn.IFNA(INDEX(KP!$Z:$Z,MATCH(($B41&amp;"|"&amp;AD$3),KP!$D:$D,0)),"")</f>
        <v/>
      </c>
      <c r="AE41" s="38" t="str">
        <f>_xlfn.IFNA(INDEX(KP!$Z:$Z,MATCH(($B41&amp;"|"&amp;AE$3),KP!$D:$D,0)),"")</f>
        <v/>
      </c>
      <c r="AF41" s="38" t="str">
        <f>_xlfn.IFNA(INDEX(KP!$Z:$Z,MATCH(($B41&amp;"|"&amp;AF$3),KP!$D:$D,0)),"")</f>
        <v/>
      </c>
      <c r="AG41" s="38">
        <f>SUM(SUMIFS(Cascade!$BB:$BB,Cascade!$B:$B,$B41,Cascade!$C:$C,{"15-24","25-34","35-49","50+"},Cascade!$D:$D,"Female"))</f>
        <v>10289</v>
      </c>
      <c r="AH41" s="38">
        <f>SUM(SUMIFS(Cascade!$BB:$BB,Cascade!$B:$B,$B41,Cascade!$C:$C,{"15-24","25-34","35-49","50+"},Cascade!$D:$D,"Male"))</f>
        <v>5319</v>
      </c>
      <c r="AI41" s="38" t="str">
        <f>_xlfn.IFNA(INDEX(KP!$AD:$AD,MATCH(($B41&amp;"|"&amp;AI$3),KP!$D:$D,0)),"")</f>
        <v/>
      </c>
      <c r="AJ41" s="38" t="str">
        <f>_xlfn.IFNA(INDEX(KP!$AD:$AD,MATCH(($B41&amp;"|"&amp;AJ$3),KP!$D:$D,0)),"")</f>
        <v/>
      </c>
      <c r="AK41" s="38" t="str">
        <f>_xlfn.IFNA(INDEX(KP!$AD:$AD,MATCH(($B41&amp;"|"&amp;AK$3),KP!$D:$D,0)),"")</f>
        <v/>
      </c>
      <c r="AL41" s="38" t="str">
        <f>_xlfn.IFNA(INDEX(KP!$AD:$AD,MATCH(($B41&amp;"|"&amp;AL$3),KP!$D:$D,0)),"")</f>
        <v/>
      </c>
      <c r="AM41" s="38" t="str">
        <f>_xlfn.IFNA(INDEX(KP!$AD:$AD,MATCH(($B41&amp;"|"&amp;AM$3),KP!$D:$D,0)),"")</f>
        <v/>
      </c>
      <c r="AN41" s="38">
        <f>SUM(SUMIFS(Cascade!$BE:$BE,Cascade!$B:$B,$B41,Cascade!$C:$C,{"15-24","25-34","35-49","50+"},Cascade!$D:$D,"Female"))</f>
        <v>9774</v>
      </c>
      <c r="AO41" s="38">
        <f>SUM(SUMIFS(Cascade!$BE:$BE,Cascade!$B:$B,$B41,Cascade!$C:$C,{"15-24","25-34","35-49","50+"},Cascade!$D:$D,"Male"))</f>
        <v>5054</v>
      </c>
      <c r="AP41" s="38" t="str">
        <f>_xlfn.IFNA(INDEX(KP!$AF:$AF,MATCH(($B41&amp;"|"&amp;AP$3),KP!$D:$D,0)),"")</f>
        <v/>
      </c>
      <c r="AQ41" s="38" t="str">
        <f>_xlfn.IFNA(INDEX(KP!$AF:$AF,MATCH(($B41&amp;"|"&amp;AQ$3),KP!$D:$D,0)),"")</f>
        <v/>
      </c>
      <c r="AR41" s="38" t="str">
        <f>_xlfn.IFNA(INDEX(KP!$AF:$AF,MATCH(($B41&amp;"|"&amp;AR$3),KP!$D:$D,0)),"")</f>
        <v/>
      </c>
      <c r="AS41" s="38" t="str">
        <f>_xlfn.IFNA(INDEX(KP!$AF:$AF,MATCH(($B41&amp;"|"&amp;AS$3),KP!$D:$D,0)),"")</f>
        <v/>
      </c>
      <c r="AT41" s="38" t="str">
        <f>_xlfn.IFNA(INDEX(KP!$AF:$AF,MATCH(($B41&amp;"|"&amp;AT$3),KP!$D:$D,0)),"")</f>
        <v/>
      </c>
      <c r="AU41" s="38">
        <f>SUM(SUMIFS(HTS!$AN:$AN,HTS!$B:$B,$B41,HTS!$C:$C,{"15-24","25-34","35-49","50+"},HTS!$D:$D,"Female"))</f>
        <v>842</v>
      </c>
      <c r="AV41" s="38">
        <f>SUM(SUMIFS(HTS!$AN:$AN,HTS!$B:$B,$B41,HTS!$C:$C,{"15-24","25-34","35-49","50+"},HTS!$D:$D,"Male"))</f>
        <v>177</v>
      </c>
      <c r="AW41" s="38" t="str">
        <f>_xlfn.IFNA(INDEX(KP!$AK:$AK,MATCH(($B41&amp;"|"&amp;AW$3),KP!$D:$D,0)),"")</f>
        <v/>
      </c>
      <c r="AX41" s="38" t="str">
        <f>_xlfn.IFNA(INDEX(KP!$AK:$AK,MATCH(($B41&amp;"|"&amp;AX$3),KP!$D:$D,0)),"")</f>
        <v/>
      </c>
      <c r="AY41" s="38" t="str">
        <f>_xlfn.IFNA(INDEX(KP!$AK:$AK,MATCH(($B41&amp;"|"&amp;AY$3),KP!$D:$D,0)),"")</f>
        <v/>
      </c>
      <c r="AZ41" s="38" t="str">
        <f>_xlfn.IFNA(INDEX(KP!$AK:$AK,MATCH(($B41&amp;"|"&amp;AZ$3),KP!$D:$D,0)),"")</f>
        <v/>
      </c>
      <c r="BA41" s="38" t="str">
        <f>_xlfn.IFNA(INDEX(KP!$AK:$AK,MATCH(($B41&amp;"|"&amp;BA$3),KP!$D:$D,0)),"")</f>
        <v/>
      </c>
      <c r="BB41" s="38">
        <f>SUM(SUMIFS(HTS!$AU:$AU,HTS!$B:$B,$B41,HTS!$C:$C,{"15-24","25-34","35-49","50+"},HTS!$D:$D,"Female"))</f>
        <v>67429</v>
      </c>
      <c r="BC41" s="38">
        <f>SUM(SUMIFS(HTS!$AU:$AU,HTS!$B:$B,$B41,HTS!$C:$C,{"15-24","25-34","35-49","50+"},HTS!$D:$D,"Male"))</f>
        <v>7507</v>
      </c>
      <c r="BD41" s="38" t="str">
        <f>_xlfn.IFNA(INDEX(KP!$AL:$AL,MATCH(($B41&amp;"|"&amp;BD$3),KP!$D:$D,0)),"")</f>
        <v/>
      </c>
      <c r="BE41" s="38" t="str">
        <f>_xlfn.IFNA(INDEX(KP!$AL:$AL,MATCH(($B41&amp;"|"&amp;BE$3),KP!$D:$D,0)),"")</f>
        <v/>
      </c>
      <c r="BF41" s="38" t="str">
        <f>_xlfn.IFNA(INDEX(KP!$AL:$AL,MATCH(($B41&amp;"|"&amp;BF$3),KP!$D:$D,0)),"")</f>
        <v/>
      </c>
      <c r="BG41" s="38" t="str">
        <f>_xlfn.IFNA(INDEX(KP!$AL:$AL,MATCH(($B41&amp;"|"&amp;BG$3),KP!$D:$D,0)),"")</f>
        <v/>
      </c>
      <c r="BH41" s="38" t="str">
        <f>_xlfn.IFNA(INDEX(KP!$AL:$AL,MATCH(($B41&amp;"|"&amp;BH$3),KP!$D:$D,0)),"")</f>
        <v/>
      </c>
      <c r="BI41" s="38">
        <f>SUM(SUMIFS(HTS!$BB:$BB,HTS!$B:$B,$B41,HTS!$C:$C,{"15-24","25-34","35-49","50+"},HTS!$D:$D,"Female"))</f>
        <v>480</v>
      </c>
      <c r="BJ41" s="38">
        <f>SUM(SUMIFS(HTS!$BB:$BB,HTS!$B:$B,$B41,HTS!$C:$C,{"15-24","25-34","35-49","50+"},HTS!$D:$D,"Male"))</f>
        <v>100</v>
      </c>
      <c r="BK41" s="38" t="str">
        <f>_xlfn.IFNA(INDEX(KP!$AN:$AN,MATCH(($B41&amp;"|"&amp;BK$3),KP!$D:$D,0)),"")</f>
        <v/>
      </c>
      <c r="BL41" s="38" t="str">
        <f>_xlfn.IFNA(INDEX(KP!$AN:$AN,MATCH(($B41&amp;"|"&amp;BL$3),KP!$D:$D,0)),"")</f>
        <v/>
      </c>
      <c r="BM41" s="38" t="str">
        <f>_xlfn.IFNA(INDEX(KP!$AN:$AN,MATCH(($B41&amp;"|"&amp;BM$3),KP!$D:$D,0)),"")</f>
        <v/>
      </c>
      <c r="BN41" s="38" t="str">
        <f>_xlfn.IFNA(INDEX(KP!$AN:$AN,MATCH(($B41&amp;"|"&amp;BN$3),KP!$D:$D,0)),"")</f>
        <v/>
      </c>
      <c r="BO41" s="38" t="str">
        <f>_xlfn.IFNA(INDEX(KP!$AN:$AN,MATCH(($B41&amp;"|"&amp;BO$3),KP!$D:$D,0)),"")</f>
        <v/>
      </c>
      <c r="BP41" s="38">
        <f>SUM(SUMIFS(HTS!$AZ:$AZ,HTS!$B:$B,$B41,HTS!$C:$C,{"15-24","25-34","35-49","50+"},HTS!$D:$D,"Female"))</f>
        <v>15647</v>
      </c>
      <c r="BQ41" s="38">
        <f>SUM(SUMIFS(HTS!$AZ:$AZ,HTS!$B:$B,$B41,HTS!$C:$C,{"15-24","25-34","35-49","50+"},HTS!$D:$D,"Male"))</f>
        <v>1655</v>
      </c>
      <c r="BR41" s="38">
        <f>_xlfn.IFNA(INDEX(KP!$AP:$AP,MATCH(($B41&amp;"|"&amp;BR$3),KP!$D:$D,0)),"")</f>
        <v>0</v>
      </c>
      <c r="BS41" s="38">
        <f>_xlfn.IFNA(INDEX(KP!$AP:$AP,MATCH(($B41&amp;"|"&amp;BS$3),KP!$D:$D,0)),"")</f>
        <v>0</v>
      </c>
      <c r="BT41" s="38">
        <f>_xlfn.IFNA(INDEX(KP!$AP:$AP,MATCH(($B41&amp;"|"&amp;BT$3),KP!$D:$D,0)),"")</f>
        <v>0</v>
      </c>
      <c r="BU41" s="38">
        <f>_xlfn.IFNA(INDEX(KP!$AP:$AP,MATCH(($B41&amp;"|"&amp;BU$3),KP!$D:$D,0)),"")</f>
        <v>0</v>
      </c>
      <c r="BV41" s="38">
        <f>_xlfn.IFNA(INDEX(KP!$AP:$AP,MATCH(($B41&amp;"|"&amp;BV$3),KP!$D:$D,0)),"")</f>
        <v>0</v>
      </c>
    </row>
    <row r="42" spans="1:74" x14ac:dyDescent="0.2">
      <c r="A42" s="85" t="str">
        <f>INDEX(Prioritization!$D:$D,MATCH($B42,Prioritization!$A:$A,0))</f>
        <v>INVALID</v>
      </c>
      <c r="B42" s="10" t="s">
        <v>324</v>
      </c>
      <c r="C42" s="38">
        <f>SUM(SUMIFS(PrEP!$O:$O,PrEP!$B:$B,$B42,PrEP!$C:$C,{"15-24","25-34","35-49","50+"},PrEP!$D:$D,"Female"))</f>
        <v>248</v>
      </c>
      <c r="D42" s="38">
        <f>SUM(SUMIFS(PrEP!$O:$O,PrEP!$B:$B,$B42,PrEP!$C:$C,{"15-24","25-34"},PrEP!$D:$D,"Female"))</f>
        <v>155</v>
      </c>
      <c r="E42" s="38">
        <f>SUM(SUMIFS(PrEP!$O:$O,PrEP!$B:$B,$B42,PrEP!$C:$C,{"15-24","25-34","35-49","50+"},PrEP!$D:$D,"Male"))</f>
        <v>141</v>
      </c>
      <c r="F42" s="38">
        <f>_xlfn.IFNA(INDEX(KP!$I:$I,MATCH(($B42&amp;"|"&amp;F$3),KP!$D:$D,0)),"")</f>
        <v>0</v>
      </c>
      <c r="G42" s="38">
        <f>_xlfn.IFNA(INDEX(KP!$I:$I,MATCH(($B42&amp;"|"&amp;G$3),KP!$D:$D,0)),"")</f>
        <v>0</v>
      </c>
      <c r="H42" s="38">
        <f>_xlfn.IFNA(INDEX(KP!$I:$I,MATCH(($B42&amp;"|"&amp;H$3),KP!$D:$D,0)),"")</f>
        <v>0</v>
      </c>
      <c r="I42" s="38">
        <f>_xlfn.IFNA(INDEX(KP!$I:$I,MATCH(($B42&amp;"|"&amp;I$3),KP!$D:$D,0)),"")</f>
        <v>0</v>
      </c>
      <c r="J42" s="38">
        <f>_xlfn.IFNA(INDEX(KP!$I:$I,MATCH(($B42&amp;"|"&amp;J$3),KP!$D:$D,0)),"")</f>
        <v>0</v>
      </c>
      <c r="K42" s="38">
        <f>SUM(SUMIFS(PrEP!$L:$L,PrEP!$B:$B,$B42,PrEP!$C:$C,{"15-24","25-34","35-49","50+"},PrEP!$D:$D,"Female"))</f>
        <v>828</v>
      </c>
      <c r="L42" s="38">
        <f>SUM(SUMIFS(PrEP!$L:$L,PrEP!$B:$B,$B42,PrEP!$C:$C,{"15-24","25-34"},PrEP!$D:$D,"Female"))</f>
        <v>606</v>
      </c>
      <c r="M42" s="38">
        <f>SUM(SUMIFS(PrEP!$L:$L,PrEP!$B:$B,$B42,PrEP!$C:$C,{"15-24","25-34","35-49","50+"},PrEP!$D:$D,"Male"))</f>
        <v>518</v>
      </c>
      <c r="N42" s="38">
        <f>_xlfn.IFNA(INDEX(KP!$K:$K,MATCH(($B42&amp;"|"&amp;N$3),KP!$D:$D,0)),"")</f>
        <v>0</v>
      </c>
      <c r="O42" s="38">
        <f>_xlfn.IFNA(INDEX(KP!$K:$K,MATCH(($B42&amp;"|"&amp;O$3),KP!$D:$D,0)),"")</f>
        <v>0</v>
      </c>
      <c r="P42" s="38">
        <f>_xlfn.IFNA(INDEX(KP!$K:$K,MATCH(($B42&amp;"|"&amp;P$3),KP!$D:$D,0)),"")</f>
        <v>0</v>
      </c>
      <c r="Q42" s="38">
        <f>_xlfn.IFNA(INDEX(KP!$K:$K,MATCH(($B42&amp;"|"&amp;Q$3),KP!$D:$D,0)),"")</f>
        <v>0</v>
      </c>
      <c r="R42" s="38">
        <f>_xlfn.IFNA(INDEX(KP!$K:$K,MATCH(($B42&amp;"|"&amp;R$3),KP!$D:$D,0)),"")</f>
        <v>0</v>
      </c>
      <c r="S42" s="38">
        <f>SUM(SUMIFS(Cascade!$AP:$AP,Cascade!$B:$B,$B42,Cascade!$C:$C,{"15-24","25-34","35-49","50+"},Cascade!$D:$D,"Female"))</f>
        <v>39083</v>
      </c>
      <c r="T42" s="38">
        <f>SUM(SUMIFS(Cascade!$AP:$AP,Cascade!$B:$B,$B42,Cascade!$C:$C,{"15-24","25-34","35-49","50+"},Cascade!$D:$D,"Male"))</f>
        <v>19444</v>
      </c>
      <c r="U42" s="38">
        <f>_xlfn.IFNA(INDEX(KP!$Q:$Q,MATCH(($B42&amp;"|"&amp;U$3),KP!$D:$D,0)),"")</f>
        <v>0</v>
      </c>
      <c r="V42" s="38">
        <f>_xlfn.IFNA(INDEX(KP!$Q:$Q,MATCH(($B42&amp;"|"&amp;V$3),KP!$D:$D,0)),"")</f>
        <v>0</v>
      </c>
      <c r="W42" s="38">
        <f>_xlfn.IFNA(INDEX(KP!$Q:$Q,MATCH(($B42&amp;"|"&amp;W$3),KP!$D:$D,0)),"")</f>
        <v>109</v>
      </c>
      <c r="X42" s="38">
        <f>_xlfn.IFNA(INDEX(KP!$Q:$Q,MATCH(($B42&amp;"|"&amp;X$3),KP!$D:$D,0)),"")</f>
        <v>0</v>
      </c>
      <c r="Y42" s="38">
        <f>_xlfn.IFNA(INDEX(KP!$Q:$Q,MATCH(($B42&amp;"|"&amp;Y$3),KP!$D:$D,0)),"")</f>
        <v>0</v>
      </c>
      <c r="Z42" s="38">
        <f>SUM(SUMIFS(Cascade!$AX:$AX,Cascade!$B:$B,$B42,Cascade!$C:$C,{"15-24","25-34","35-49","50+"},Cascade!$D:$D,"Female"))</f>
        <v>1976</v>
      </c>
      <c r="AA42" s="38">
        <f>SUM(SUMIFS(Cascade!$AX:$AX,Cascade!$B:$B,$B42,Cascade!$C:$C,{"15-24","25-34","35-49","50+"},Cascade!$D:$D,"Male"))</f>
        <v>443</v>
      </c>
      <c r="AB42" s="38" t="str">
        <f>_xlfn.IFNA(INDEX(KP!$Z:$Z,MATCH(($B42&amp;"|"&amp;AB$3),KP!$D:$D,0)),"")</f>
        <v/>
      </c>
      <c r="AC42" s="38" t="str">
        <f>_xlfn.IFNA(INDEX(KP!$Z:$Z,MATCH(($B42&amp;"|"&amp;AC$3),KP!$D:$D,0)),"")</f>
        <v/>
      </c>
      <c r="AD42" s="38">
        <f>_xlfn.IFNA(INDEX(KP!$Z:$Z,MATCH(($B42&amp;"|"&amp;AD$3),KP!$D:$D,0)),"")</f>
        <v>30</v>
      </c>
      <c r="AE42" s="38" t="str">
        <f>_xlfn.IFNA(INDEX(KP!$Z:$Z,MATCH(($B42&amp;"|"&amp;AE$3),KP!$D:$D,0)),"")</f>
        <v/>
      </c>
      <c r="AF42" s="38" t="str">
        <f>_xlfn.IFNA(INDEX(KP!$Z:$Z,MATCH(($B42&amp;"|"&amp;AF$3),KP!$D:$D,0)),"")</f>
        <v/>
      </c>
      <c r="AG42" s="38">
        <f>SUM(SUMIFS(Cascade!$BB:$BB,Cascade!$B:$B,$B42,Cascade!$C:$C,{"15-24","25-34","35-49","50+"},Cascade!$D:$D,"Female"))</f>
        <v>35174</v>
      </c>
      <c r="AH42" s="38">
        <f>SUM(SUMIFS(Cascade!$BB:$BB,Cascade!$B:$B,$B42,Cascade!$C:$C,{"15-24","25-34","35-49","50+"},Cascade!$D:$D,"Male"))</f>
        <v>17500</v>
      </c>
      <c r="AI42" s="38" t="str">
        <f>_xlfn.IFNA(INDEX(KP!$AD:$AD,MATCH(($B42&amp;"|"&amp;AI$3),KP!$D:$D,0)),"")</f>
        <v/>
      </c>
      <c r="AJ42" s="38" t="str">
        <f>_xlfn.IFNA(INDEX(KP!$AD:$AD,MATCH(($B42&amp;"|"&amp;AJ$3),KP!$D:$D,0)),"")</f>
        <v/>
      </c>
      <c r="AK42" s="38">
        <f>_xlfn.IFNA(INDEX(KP!$AD:$AD,MATCH(($B42&amp;"|"&amp;AK$3),KP!$D:$D,0)),"")</f>
        <v>104</v>
      </c>
      <c r="AL42" s="38" t="str">
        <f>_xlfn.IFNA(INDEX(KP!$AD:$AD,MATCH(($B42&amp;"|"&amp;AL$3),KP!$D:$D,0)),"")</f>
        <v/>
      </c>
      <c r="AM42" s="38" t="str">
        <f>_xlfn.IFNA(INDEX(KP!$AD:$AD,MATCH(($B42&amp;"|"&amp;AM$3),KP!$D:$D,0)),"")</f>
        <v/>
      </c>
      <c r="AN42" s="38">
        <f>SUM(SUMIFS(Cascade!$BE:$BE,Cascade!$B:$B,$B42,Cascade!$C:$C,{"15-24","25-34","35-49","50+"},Cascade!$D:$D,"Female"))</f>
        <v>33416</v>
      </c>
      <c r="AO42" s="38">
        <f>SUM(SUMIFS(Cascade!$BE:$BE,Cascade!$B:$B,$B42,Cascade!$C:$C,{"15-24","25-34","35-49","50+"},Cascade!$D:$D,"Male"))</f>
        <v>16625</v>
      </c>
      <c r="AP42" s="38" t="str">
        <f>_xlfn.IFNA(INDEX(KP!$AF:$AF,MATCH(($B42&amp;"|"&amp;AP$3),KP!$D:$D,0)),"")</f>
        <v/>
      </c>
      <c r="AQ42" s="38" t="str">
        <f>_xlfn.IFNA(INDEX(KP!$AF:$AF,MATCH(($B42&amp;"|"&amp;AQ$3),KP!$D:$D,0)),"")</f>
        <v/>
      </c>
      <c r="AR42" s="38">
        <f>_xlfn.IFNA(INDEX(KP!$AF:$AF,MATCH(($B42&amp;"|"&amp;AR$3),KP!$D:$D,0)),"")</f>
        <v>99</v>
      </c>
      <c r="AS42" s="38" t="str">
        <f>_xlfn.IFNA(INDEX(KP!$AF:$AF,MATCH(($B42&amp;"|"&amp;AS$3),KP!$D:$D,0)),"")</f>
        <v/>
      </c>
      <c r="AT42" s="38" t="str">
        <f>_xlfn.IFNA(INDEX(KP!$AF:$AF,MATCH(($B42&amp;"|"&amp;AT$3),KP!$D:$D,0)),"")</f>
        <v/>
      </c>
      <c r="AU42" s="38">
        <f>SUM(SUMIFS(HTS!$AN:$AN,HTS!$B:$B,$B42,HTS!$C:$C,{"15-24","25-34","35-49","50+"},HTS!$D:$D,"Female"))</f>
        <v>2080</v>
      </c>
      <c r="AV42" s="38">
        <f>SUM(SUMIFS(HTS!$AN:$AN,HTS!$B:$B,$B42,HTS!$C:$C,{"15-24","25-34","35-49","50+"},HTS!$D:$D,"Male"))</f>
        <v>466</v>
      </c>
      <c r="AW42" s="38" t="str">
        <f>_xlfn.IFNA(INDEX(KP!$AK:$AK,MATCH(($B42&amp;"|"&amp;AW$3),KP!$D:$D,0)),"")</f>
        <v/>
      </c>
      <c r="AX42" s="38" t="str">
        <f>_xlfn.IFNA(INDEX(KP!$AK:$AK,MATCH(($B42&amp;"|"&amp;AX$3),KP!$D:$D,0)),"")</f>
        <v/>
      </c>
      <c r="AY42" s="38">
        <f>_xlfn.IFNA(INDEX(KP!$AK:$AK,MATCH(($B42&amp;"|"&amp;AY$3),KP!$D:$D,0)),"")</f>
        <v>32</v>
      </c>
      <c r="AZ42" s="38" t="str">
        <f>_xlfn.IFNA(INDEX(KP!$AK:$AK,MATCH(($B42&amp;"|"&amp;AZ$3),KP!$D:$D,0)),"")</f>
        <v/>
      </c>
      <c r="BA42" s="38" t="str">
        <f>_xlfn.IFNA(INDEX(KP!$AK:$AK,MATCH(($B42&amp;"|"&amp;BA$3),KP!$D:$D,0)),"")</f>
        <v/>
      </c>
      <c r="BB42" s="38">
        <f>SUM(SUMIFS(HTS!$AU:$AU,HTS!$B:$B,$B42,HTS!$C:$C,{"15-24","25-34","35-49","50+"},HTS!$D:$D,"Female"))</f>
        <v>129004</v>
      </c>
      <c r="BC42" s="38">
        <f>SUM(SUMIFS(HTS!$AU:$AU,HTS!$B:$B,$B42,HTS!$C:$C,{"15-24","25-34","35-49","50+"},HTS!$D:$D,"Male"))</f>
        <v>16410</v>
      </c>
      <c r="BD42" s="38" t="str">
        <f>_xlfn.IFNA(INDEX(KP!$AL:$AL,MATCH(($B42&amp;"|"&amp;BD$3),KP!$D:$D,0)),"")</f>
        <v/>
      </c>
      <c r="BE42" s="38" t="str">
        <f>_xlfn.IFNA(INDEX(KP!$AL:$AL,MATCH(($B42&amp;"|"&amp;BE$3),KP!$D:$D,0)),"")</f>
        <v/>
      </c>
      <c r="BF42" s="38">
        <f>_xlfn.IFNA(INDEX(KP!$AL:$AL,MATCH(($B42&amp;"|"&amp;BF$3),KP!$D:$D,0)),"")</f>
        <v>1568</v>
      </c>
      <c r="BG42" s="38" t="str">
        <f>_xlfn.IFNA(INDEX(KP!$AL:$AL,MATCH(($B42&amp;"|"&amp;BG$3),KP!$D:$D,0)),"")</f>
        <v/>
      </c>
      <c r="BH42" s="38" t="str">
        <f>_xlfn.IFNA(INDEX(KP!$AL:$AL,MATCH(($B42&amp;"|"&amp;BH$3),KP!$D:$D,0)),"")</f>
        <v/>
      </c>
      <c r="BI42" s="38">
        <f>SUM(SUMIFS(HTS!$BB:$BB,HTS!$B:$B,$B42,HTS!$C:$C,{"15-24","25-34","35-49","50+"},HTS!$D:$D,"Female"))</f>
        <v>1311</v>
      </c>
      <c r="BJ42" s="38">
        <f>SUM(SUMIFS(HTS!$BB:$BB,HTS!$B:$B,$B42,HTS!$C:$C,{"15-24","25-34","35-49","50+"},HTS!$D:$D,"Male"))</f>
        <v>294</v>
      </c>
      <c r="BK42" s="38" t="str">
        <f>_xlfn.IFNA(INDEX(KP!$AN:$AN,MATCH(($B42&amp;"|"&amp;BK$3),KP!$D:$D,0)),"")</f>
        <v/>
      </c>
      <c r="BL42" s="38" t="str">
        <f>_xlfn.IFNA(INDEX(KP!$AN:$AN,MATCH(($B42&amp;"|"&amp;BL$3),KP!$D:$D,0)),"")</f>
        <v/>
      </c>
      <c r="BM42" s="38">
        <f>_xlfn.IFNA(INDEX(KP!$AN:$AN,MATCH(($B42&amp;"|"&amp;BM$3),KP!$D:$D,0)),"")</f>
        <v>0</v>
      </c>
      <c r="BN42" s="38" t="str">
        <f>_xlfn.IFNA(INDEX(KP!$AN:$AN,MATCH(($B42&amp;"|"&amp;BN$3),KP!$D:$D,0)),"")</f>
        <v/>
      </c>
      <c r="BO42" s="38" t="str">
        <f>_xlfn.IFNA(INDEX(KP!$AN:$AN,MATCH(($B42&amp;"|"&amp;BO$3),KP!$D:$D,0)),"")</f>
        <v/>
      </c>
      <c r="BP42" s="38">
        <f>SUM(SUMIFS(HTS!$AZ:$AZ,HTS!$B:$B,$B42,HTS!$C:$C,{"15-24","25-34","35-49","50+"},HTS!$D:$D,"Female"))</f>
        <v>7384</v>
      </c>
      <c r="BQ42" s="38">
        <f>SUM(SUMIFS(HTS!$AZ:$AZ,HTS!$B:$B,$B42,HTS!$C:$C,{"15-24","25-34","35-49","50+"},HTS!$D:$D,"Male"))</f>
        <v>1032</v>
      </c>
      <c r="BR42" s="38">
        <f>_xlfn.IFNA(INDEX(KP!$AP:$AP,MATCH(($B42&amp;"|"&amp;BR$3),KP!$D:$D,0)),"")</f>
        <v>0</v>
      </c>
      <c r="BS42" s="38">
        <f>_xlfn.IFNA(INDEX(KP!$AP:$AP,MATCH(($B42&amp;"|"&amp;BS$3),KP!$D:$D,0)),"")</f>
        <v>0</v>
      </c>
      <c r="BT42" s="38">
        <f>_xlfn.IFNA(INDEX(KP!$AP:$AP,MATCH(($B42&amp;"|"&amp;BT$3),KP!$D:$D,0)),"")</f>
        <v>0</v>
      </c>
      <c r="BU42" s="38">
        <f>_xlfn.IFNA(INDEX(KP!$AP:$AP,MATCH(($B42&amp;"|"&amp;BU$3),KP!$D:$D,0)),"")</f>
        <v>0</v>
      </c>
      <c r="BV42" s="38">
        <f>_xlfn.IFNA(INDEX(KP!$AP:$AP,MATCH(($B42&amp;"|"&amp;BV$3),KP!$D:$D,0)),"")</f>
        <v>0</v>
      </c>
    </row>
    <row r="43" spans="1:74" x14ac:dyDescent="0.2">
      <c r="A43" s="85" t="str">
        <f>INDEX(Prioritization!$D:$D,MATCH($B43,Prioritization!$A:$A,0))</f>
        <v>1 - Scale-up: Saturation</v>
      </c>
      <c r="B43" s="10" t="s">
        <v>325</v>
      </c>
      <c r="C43" s="38">
        <f>SUM(SUMIFS(PrEP!$O:$O,PrEP!$B:$B,$B43,PrEP!$C:$C,{"15-24","25-34","35-49","50+"},PrEP!$D:$D,"Female"))</f>
        <v>1452</v>
      </c>
      <c r="D43" s="38">
        <f>SUM(SUMIFS(PrEP!$O:$O,PrEP!$B:$B,$B43,PrEP!$C:$C,{"15-24","25-34"},PrEP!$D:$D,"Female"))</f>
        <v>1204</v>
      </c>
      <c r="E43" s="38">
        <f>SUM(SUMIFS(PrEP!$O:$O,PrEP!$B:$B,$B43,PrEP!$C:$C,{"15-24","25-34","35-49","50+"},PrEP!$D:$D,"Male"))</f>
        <v>293</v>
      </c>
      <c r="F43" s="38">
        <f>_xlfn.IFNA(INDEX(KP!$I:$I,MATCH(($B43&amp;"|"&amp;F$3),KP!$D:$D,0)),"")</f>
        <v>313</v>
      </c>
      <c r="G43" s="38">
        <f>_xlfn.IFNA(INDEX(KP!$I:$I,MATCH(($B43&amp;"|"&amp;G$3),KP!$D:$D,0)),"")</f>
        <v>0</v>
      </c>
      <c r="H43" s="38">
        <f>_xlfn.IFNA(INDEX(KP!$I:$I,MATCH(($B43&amp;"|"&amp;H$3),KP!$D:$D,0)),"")</f>
        <v>0</v>
      </c>
      <c r="I43" s="38">
        <f>_xlfn.IFNA(INDEX(KP!$I:$I,MATCH(($B43&amp;"|"&amp;I$3),KP!$D:$D,0)),"")</f>
        <v>0</v>
      </c>
      <c r="J43" s="38">
        <f>_xlfn.IFNA(INDEX(KP!$I:$I,MATCH(($B43&amp;"|"&amp;J$3),KP!$D:$D,0)),"")</f>
        <v>0</v>
      </c>
      <c r="K43" s="38">
        <f>SUM(SUMIFS(PrEP!$L:$L,PrEP!$B:$B,$B43,PrEP!$C:$C,{"15-24","25-34","35-49","50+"},PrEP!$D:$D,"Female"))</f>
        <v>11035</v>
      </c>
      <c r="L43" s="38">
        <f>SUM(SUMIFS(PrEP!$L:$L,PrEP!$B:$B,$B43,PrEP!$C:$C,{"15-24","25-34"},PrEP!$D:$D,"Female"))</f>
        <v>10256</v>
      </c>
      <c r="M43" s="38">
        <f>SUM(SUMIFS(PrEP!$L:$L,PrEP!$B:$B,$B43,PrEP!$C:$C,{"15-24","25-34","35-49","50+"},PrEP!$D:$D,"Male"))</f>
        <v>2084</v>
      </c>
      <c r="N43" s="38">
        <f>_xlfn.IFNA(INDEX(KP!$K:$K,MATCH(($B43&amp;"|"&amp;N$3),KP!$D:$D,0)),"")</f>
        <v>782</v>
      </c>
      <c r="O43" s="38">
        <f>_xlfn.IFNA(INDEX(KP!$K:$K,MATCH(($B43&amp;"|"&amp;O$3),KP!$D:$D,0)),"")</f>
        <v>0</v>
      </c>
      <c r="P43" s="38">
        <f>_xlfn.IFNA(INDEX(KP!$K:$K,MATCH(($B43&amp;"|"&amp;P$3),KP!$D:$D,0)),"")</f>
        <v>0</v>
      </c>
      <c r="Q43" s="38">
        <f>_xlfn.IFNA(INDEX(KP!$K:$K,MATCH(($B43&amp;"|"&amp;Q$3),KP!$D:$D,0)),"")</f>
        <v>0</v>
      </c>
      <c r="R43" s="38">
        <f>_xlfn.IFNA(INDEX(KP!$K:$K,MATCH(($B43&amp;"|"&amp;R$3),KP!$D:$D,0)),"")</f>
        <v>0</v>
      </c>
      <c r="S43" s="38">
        <f>SUM(SUMIFS(Cascade!$AP:$AP,Cascade!$B:$B,$B43,Cascade!$C:$C,{"15-24","25-34","35-49","50+"},Cascade!$D:$D,"Female"))</f>
        <v>42806</v>
      </c>
      <c r="T43" s="38">
        <f>SUM(SUMIFS(Cascade!$AP:$AP,Cascade!$B:$B,$B43,Cascade!$C:$C,{"15-24","25-34","35-49","50+"},Cascade!$D:$D,"Male"))</f>
        <v>22884</v>
      </c>
      <c r="U43" s="38">
        <f>_xlfn.IFNA(INDEX(KP!$Q:$Q,MATCH(($B43&amp;"|"&amp;U$3),KP!$D:$D,0)),"")</f>
        <v>961</v>
      </c>
      <c r="V43" s="38">
        <f>_xlfn.IFNA(INDEX(KP!$Q:$Q,MATCH(($B43&amp;"|"&amp;V$3),KP!$D:$D,0)),"")</f>
        <v>0</v>
      </c>
      <c r="W43" s="38">
        <f>_xlfn.IFNA(INDEX(KP!$Q:$Q,MATCH(($B43&amp;"|"&amp;W$3),KP!$D:$D,0)),"")</f>
        <v>612</v>
      </c>
      <c r="X43" s="38">
        <f>_xlfn.IFNA(INDEX(KP!$Q:$Q,MATCH(($B43&amp;"|"&amp;X$3),KP!$D:$D,0)),"")</f>
        <v>0</v>
      </c>
      <c r="Y43" s="38">
        <f>_xlfn.IFNA(INDEX(KP!$Q:$Q,MATCH(($B43&amp;"|"&amp;Y$3),KP!$D:$D,0)),"")</f>
        <v>0</v>
      </c>
      <c r="Z43" s="38">
        <f>SUM(SUMIFS(Cascade!$AX:$AX,Cascade!$B:$B,$B43,Cascade!$C:$C,{"15-24","25-34","35-49","50+"},Cascade!$D:$D,"Female"))</f>
        <v>2832</v>
      </c>
      <c r="AA43" s="38">
        <f>SUM(SUMIFS(Cascade!$AX:$AX,Cascade!$B:$B,$B43,Cascade!$C:$C,{"15-24","25-34","35-49","50+"},Cascade!$D:$D,"Male"))</f>
        <v>1042</v>
      </c>
      <c r="AB43" s="38">
        <f>_xlfn.IFNA(INDEX(KP!$Z:$Z,MATCH(($B43&amp;"|"&amp;AB$3),KP!$D:$D,0)),"")</f>
        <v>287</v>
      </c>
      <c r="AC43" s="38" t="str">
        <f>_xlfn.IFNA(INDEX(KP!$Z:$Z,MATCH(($B43&amp;"|"&amp;AC$3),KP!$D:$D,0)),"")</f>
        <v/>
      </c>
      <c r="AD43" s="38">
        <f>_xlfn.IFNA(INDEX(KP!$Z:$Z,MATCH(($B43&amp;"|"&amp;AD$3),KP!$D:$D,0)),"")</f>
        <v>108</v>
      </c>
      <c r="AE43" s="38" t="str">
        <f>_xlfn.IFNA(INDEX(KP!$Z:$Z,MATCH(($B43&amp;"|"&amp;AE$3),KP!$D:$D,0)),"")</f>
        <v/>
      </c>
      <c r="AF43" s="38" t="str">
        <f>_xlfn.IFNA(INDEX(KP!$Z:$Z,MATCH(($B43&amp;"|"&amp;AF$3),KP!$D:$D,0)),"")</f>
        <v/>
      </c>
      <c r="AG43" s="38">
        <f>SUM(SUMIFS(Cascade!$BB:$BB,Cascade!$B:$B,$B43,Cascade!$C:$C,{"15-24","25-34","35-49","50+"},Cascade!$D:$D,"Female"))</f>
        <v>38526</v>
      </c>
      <c r="AH43" s="38">
        <f>SUM(SUMIFS(Cascade!$BB:$BB,Cascade!$B:$B,$B43,Cascade!$C:$C,{"15-24","25-34","35-49","50+"},Cascade!$D:$D,"Male"))</f>
        <v>20596</v>
      </c>
      <c r="AI43" s="38">
        <f>_xlfn.IFNA(INDEX(KP!$AD:$AD,MATCH(($B43&amp;"|"&amp;AI$3),KP!$D:$D,0)),"")</f>
        <v>913</v>
      </c>
      <c r="AJ43" s="38" t="str">
        <f>_xlfn.IFNA(INDEX(KP!$AD:$AD,MATCH(($B43&amp;"|"&amp;AJ$3),KP!$D:$D,0)),"")</f>
        <v/>
      </c>
      <c r="AK43" s="38">
        <f>_xlfn.IFNA(INDEX(KP!$AD:$AD,MATCH(($B43&amp;"|"&amp;AK$3),KP!$D:$D,0)),"")</f>
        <v>581</v>
      </c>
      <c r="AL43" s="38" t="str">
        <f>_xlfn.IFNA(INDEX(KP!$AD:$AD,MATCH(($B43&amp;"|"&amp;AL$3),KP!$D:$D,0)),"")</f>
        <v/>
      </c>
      <c r="AM43" s="38" t="str">
        <f>_xlfn.IFNA(INDEX(KP!$AD:$AD,MATCH(($B43&amp;"|"&amp;AM$3),KP!$D:$D,0)),"")</f>
        <v/>
      </c>
      <c r="AN43" s="38">
        <f>SUM(SUMIFS(Cascade!$BE:$BE,Cascade!$B:$B,$B43,Cascade!$C:$C,{"15-24","25-34","35-49","50+"},Cascade!$D:$D,"Female"))</f>
        <v>36599</v>
      </c>
      <c r="AO43" s="38">
        <f>SUM(SUMIFS(Cascade!$BE:$BE,Cascade!$B:$B,$B43,Cascade!$C:$C,{"15-24","25-34","35-49","50+"},Cascade!$D:$D,"Male"))</f>
        <v>19566</v>
      </c>
      <c r="AP43" s="38">
        <f>_xlfn.IFNA(INDEX(KP!$AF:$AF,MATCH(($B43&amp;"|"&amp;AP$3),KP!$D:$D,0)),"")</f>
        <v>867</v>
      </c>
      <c r="AQ43" s="38" t="str">
        <f>_xlfn.IFNA(INDEX(KP!$AF:$AF,MATCH(($B43&amp;"|"&amp;AQ$3),KP!$D:$D,0)),"")</f>
        <v/>
      </c>
      <c r="AR43" s="38">
        <f>_xlfn.IFNA(INDEX(KP!$AF:$AF,MATCH(($B43&amp;"|"&amp;AR$3),KP!$D:$D,0)),"")</f>
        <v>552</v>
      </c>
      <c r="AS43" s="38" t="str">
        <f>_xlfn.IFNA(INDEX(KP!$AF:$AF,MATCH(($B43&amp;"|"&amp;AS$3),KP!$D:$D,0)),"")</f>
        <v/>
      </c>
      <c r="AT43" s="38" t="str">
        <f>_xlfn.IFNA(INDEX(KP!$AF:$AF,MATCH(($B43&amp;"|"&amp;AT$3),KP!$D:$D,0)),"")</f>
        <v/>
      </c>
      <c r="AU43" s="38">
        <f>SUM(SUMIFS(HTS!$AN:$AN,HTS!$B:$B,$B43,HTS!$C:$C,{"15-24","25-34","35-49","50+"},HTS!$D:$D,"Female"))</f>
        <v>2984</v>
      </c>
      <c r="AV43" s="38">
        <f>SUM(SUMIFS(HTS!$AN:$AN,HTS!$B:$B,$B43,HTS!$C:$C,{"15-24","25-34","35-49","50+"},HTS!$D:$D,"Male"))</f>
        <v>1097</v>
      </c>
      <c r="AW43" s="38">
        <f>_xlfn.IFNA(INDEX(KP!$AK:$AK,MATCH(($B43&amp;"|"&amp;AW$3),KP!$D:$D,0)),"")</f>
        <v>302</v>
      </c>
      <c r="AX43" s="38" t="str">
        <f>_xlfn.IFNA(INDEX(KP!$AK:$AK,MATCH(($B43&amp;"|"&amp;AX$3),KP!$D:$D,0)),"")</f>
        <v/>
      </c>
      <c r="AY43" s="38">
        <f>_xlfn.IFNA(INDEX(KP!$AK:$AK,MATCH(($B43&amp;"|"&amp;AY$3),KP!$D:$D,0)),"")</f>
        <v>114</v>
      </c>
      <c r="AZ43" s="38" t="str">
        <f>_xlfn.IFNA(INDEX(KP!$AK:$AK,MATCH(($B43&amp;"|"&amp;AZ$3),KP!$D:$D,0)),"")</f>
        <v/>
      </c>
      <c r="BA43" s="38" t="str">
        <f>_xlfn.IFNA(INDEX(KP!$AK:$AK,MATCH(($B43&amp;"|"&amp;BA$3),KP!$D:$D,0)),"")</f>
        <v/>
      </c>
      <c r="BB43" s="38">
        <f>SUM(SUMIFS(HTS!$AU:$AU,HTS!$B:$B,$B43,HTS!$C:$C,{"15-24","25-34","35-49","50+"},HTS!$D:$D,"Female"))</f>
        <v>155834</v>
      </c>
      <c r="BC43" s="38">
        <f>SUM(SUMIFS(HTS!$AU:$AU,HTS!$B:$B,$B43,HTS!$C:$C,{"15-24","25-34","35-49","50+"},HTS!$D:$D,"Male"))</f>
        <v>36485</v>
      </c>
      <c r="BD43" s="38">
        <f>_xlfn.IFNA(INDEX(KP!$AL:$AL,MATCH(($B43&amp;"|"&amp;BD$3),KP!$D:$D,0)),"")</f>
        <v>1855</v>
      </c>
      <c r="BE43" s="38" t="str">
        <f>_xlfn.IFNA(INDEX(KP!$AL:$AL,MATCH(($B43&amp;"|"&amp;BE$3),KP!$D:$D,0)),"")</f>
        <v/>
      </c>
      <c r="BF43" s="38">
        <f>_xlfn.IFNA(INDEX(KP!$AL:$AL,MATCH(($B43&amp;"|"&amp;BF$3),KP!$D:$D,0)),"")</f>
        <v>5586</v>
      </c>
      <c r="BG43" s="38" t="str">
        <f>_xlfn.IFNA(INDEX(KP!$AL:$AL,MATCH(($B43&amp;"|"&amp;BG$3),KP!$D:$D,0)),"")</f>
        <v/>
      </c>
      <c r="BH43" s="38" t="str">
        <f>_xlfn.IFNA(INDEX(KP!$AL:$AL,MATCH(($B43&amp;"|"&amp;BH$3),KP!$D:$D,0)),"")</f>
        <v/>
      </c>
      <c r="BI43" s="38">
        <f>SUM(SUMIFS(HTS!$BB:$BB,HTS!$B:$B,$B43,HTS!$C:$C,{"15-24","25-34","35-49","50+"},HTS!$D:$D,"Female"))</f>
        <v>1850</v>
      </c>
      <c r="BJ43" s="38">
        <f>SUM(SUMIFS(HTS!$BB:$BB,HTS!$B:$B,$B43,HTS!$C:$C,{"15-24","25-34","35-49","50+"},HTS!$D:$D,"Male"))</f>
        <v>680</v>
      </c>
      <c r="BK43" s="38">
        <f>_xlfn.IFNA(INDEX(KP!$AN:$AN,MATCH(($B43&amp;"|"&amp;BK$3),KP!$D:$D,0)),"")</f>
        <v>0</v>
      </c>
      <c r="BL43" s="38" t="str">
        <f>_xlfn.IFNA(INDEX(KP!$AN:$AN,MATCH(($B43&amp;"|"&amp;BL$3),KP!$D:$D,0)),"")</f>
        <v/>
      </c>
      <c r="BM43" s="38">
        <f>_xlfn.IFNA(INDEX(KP!$AN:$AN,MATCH(($B43&amp;"|"&amp;BM$3),KP!$D:$D,0)),"")</f>
        <v>0</v>
      </c>
      <c r="BN43" s="38" t="str">
        <f>_xlfn.IFNA(INDEX(KP!$AN:$AN,MATCH(($B43&amp;"|"&amp;BN$3),KP!$D:$D,0)),"")</f>
        <v/>
      </c>
      <c r="BO43" s="38" t="str">
        <f>_xlfn.IFNA(INDEX(KP!$AN:$AN,MATCH(($B43&amp;"|"&amp;BO$3),KP!$D:$D,0)),"")</f>
        <v/>
      </c>
      <c r="BP43" s="38">
        <f>SUM(SUMIFS(HTS!$AZ:$AZ,HTS!$B:$B,$B43,HTS!$C:$C,{"15-24","25-34","35-49","50+"},HTS!$D:$D,"Female"))</f>
        <v>53429</v>
      </c>
      <c r="BQ43" s="38">
        <f>SUM(SUMIFS(HTS!$AZ:$AZ,HTS!$B:$B,$B43,HTS!$C:$C,{"15-24","25-34","35-49","50+"},HTS!$D:$D,"Male"))</f>
        <v>14682</v>
      </c>
      <c r="BR43" s="38">
        <f>_xlfn.IFNA(INDEX(KP!$AP:$AP,MATCH(($B43&amp;"|"&amp;BR$3),KP!$D:$D,0)),"")</f>
        <v>2749</v>
      </c>
      <c r="BS43" s="38">
        <f>_xlfn.IFNA(INDEX(KP!$AP:$AP,MATCH(($B43&amp;"|"&amp;BS$3),KP!$D:$D,0)),"")</f>
        <v>0</v>
      </c>
      <c r="BT43" s="38">
        <f>_xlfn.IFNA(INDEX(KP!$AP:$AP,MATCH(($B43&amp;"|"&amp;BT$3),KP!$D:$D,0)),"")</f>
        <v>0</v>
      </c>
      <c r="BU43" s="38">
        <f>_xlfn.IFNA(INDEX(KP!$AP:$AP,MATCH(($B43&amp;"|"&amp;BU$3),KP!$D:$D,0)),"")</f>
        <v>0</v>
      </c>
      <c r="BV43" s="38">
        <f>_xlfn.IFNA(INDEX(KP!$AP:$AP,MATCH(($B43&amp;"|"&amp;BV$3),KP!$D:$D,0)),"")</f>
        <v>0</v>
      </c>
    </row>
    <row r="44" spans="1:74" x14ac:dyDescent="0.2">
      <c r="A44" s="85"/>
      <c r="B44" s="10"/>
    </row>
    <row r="45" spans="1:74" x14ac:dyDescent="0.2">
      <c r="A45" s="85"/>
      <c r="B45" s="10"/>
    </row>
    <row r="46" spans="1:74" x14ac:dyDescent="0.2">
      <c r="A46" s="85"/>
      <c r="B46" s="10"/>
    </row>
    <row r="47" spans="1:74" x14ac:dyDescent="0.2">
      <c r="A47" s="85"/>
      <c r="B47" s="10"/>
    </row>
    <row r="48" spans="1:74" x14ac:dyDescent="0.2">
      <c r="A48" s="85"/>
      <c r="B48" s="10"/>
    </row>
    <row r="49" spans="1:2" x14ac:dyDescent="0.2">
      <c r="A49" s="85"/>
      <c r="B49" s="10"/>
    </row>
    <row r="50" spans="1:2" x14ac:dyDescent="0.2">
      <c r="A50" s="85"/>
      <c r="B50" s="10"/>
    </row>
    <row r="51" spans="1:2" x14ac:dyDescent="0.2">
      <c r="A51" s="85"/>
      <c r="B51" s="10"/>
    </row>
    <row r="52" spans="1:2" x14ac:dyDescent="0.2">
      <c r="A52" s="85"/>
      <c r="B52" s="10"/>
    </row>
    <row r="53" spans="1:2" x14ac:dyDescent="0.2">
      <c r="A53" s="85"/>
      <c r="B53" s="10"/>
    </row>
    <row r="54" spans="1:2" x14ac:dyDescent="0.2">
      <c r="A54" s="85"/>
      <c r="B54" s="10"/>
    </row>
    <row r="55" spans="1:2" x14ac:dyDescent="0.2">
      <c r="A55" s="85"/>
      <c r="B55" s="10"/>
    </row>
    <row r="56" spans="1:2" x14ac:dyDescent="0.2">
      <c r="A56" s="85"/>
      <c r="B56" s="10"/>
    </row>
    <row r="57" spans="1:2" x14ac:dyDescent="0.2">
      <c r="A57" s="85"/>
      <c r="B57" s="10"/>
    </row>
    <row r="58" spans="1:2" x14ac:dyDescent="0.2">
      <c r="A58" s="85"/>
      <c r="B58" s="10"/>
    </row>
    <row r="59" spans="1:2" x14ac:dyDescent="0.2">
      <c r="A59" s="85"/>
      <c r="B59" s="10"/>
    </row>
    <row r="60" spans="1:2" x14ac:dyDescent="0.2">
      <c r="A60" s="85"/>
      <c r="B60" s="10"/>
    </row>
    <row r="61" spans="1:2" x14ac:dyDescent="0.2">
      <c r="A61" s="85"/>
      <c r="B61" s="10"/>
    </row>
    <row r="62" spans="1:2" x14ac:dyDescent="0.2">
      <c r="A62" s="85"/>
      <c r="B62" s="10"/>
    </row>
  </sheetData>
  <autoFilter ref="A14:BV43" xr:uid="{00000000-0001-0000-1300-000000000000}">
    <filterColumn colId="0">
      <filters>
        <filter val="#N/A"/>
        <filter val="1 - Scale-up: Saturation"/>
        <filter val="4 - Sustained"/>
      </filters>
    </filterColumn>
  </autoFilter>
  <sortState xmlns:xlrd2="http://schemas.microsoft.com/office/spreadsheetml/2017/richdata2" ref="A15:BV43">
    <sortCondition ref="B15:B43"/>
  </sortState>
  <mergeCells count="1">
    <mergeCell ref="A2:B3"/>
  </mergeCells>
  <conditionalFormatting sqref="C1:D1048576 F1:F1048576">
    <cfRule type="expression" dxfId="42" priority="2">
      <formula>AND(ISNUMBER($F1),SUM($F1)&gt;$C1)</formula>
    </cfRule>
  </conditionalFormatting>
  <conditionalFormatting sqref="C1:E1048574 H1:J1048574">
    <cfRule type="expression" dxfId="41" priority="4">
      <formula>(($C1-$F1)+($E1-$G1))&lt;SUM($H1:$J1)</formula>
    </cfRule>
  </conditionalFormatting>
  <conditionalFormatting sqref="C1048575:E1048576 H1048575:J1048576">
    <cfRule type="expression" dxfId="40" priority="3889">
      <formula>(($C1048575-$F1048575)+($E1048575-$G1048575))&lt;SUM($H1048575:$J1048576)</formula>
    </cfRule>
  </conditionalFormatting>
  <conditionalFormatting sqref="E1:E1048576 G1:G1048576">
    <cfRule type="expression" dxfId="39" priority="1">
      <formula>AND(ISNUMBER($G1),SUM($G1)&gt;$E1)</formula>
    </cfRule>
  </conditionalFormatting>
  <conditionalFormatting sqref="K1:L1048576 N1:N1048576">
    <cfRule type="expression" dxfId="38" priority="6">
      <formula>AND(ROW($N1)&gt;14,SUM($N1)&gt;$K1)</formula>
    </cfRule>
  </conditionalFormatting>
  <conditionalFormatting sqref="K1:M1048574 P1:R1048574">
    <cfRule type="expression" dxfId="37" priority="8">
      <formula>(($K1-$N1)+($M1-$O1))&lt;SUM($P1:$R1)</formula>
    </cfRule>
  </conditionalFormatting>
  <conditionalFormatting sqref="K1048575:M1048576 P1048575:R1048576">
    <cfRule type="expression" dxfId="36" priority="3907">
      <formula>(($K1048575-$N1048575)+($M1048575-$O1048575))&lt;SUM($P1048575:$R1048576)</formula>
    </cfRule>
  </conditionalFormatting>
  <conditionalFormatting sqref="M1:M1048576 O1:O1048576">
    <cfRule type="expression" dxfId="35" priority="5">
      <formula>AND(ROW($O1)&gt;14,SUM($O1)&gt;$M1)</formula>
    </cfRule>
  </conditionalFormatting>
  <conditionalFormatting sqref="S1:S1048576 U1:U1048576">
    <cfRule type="expression" dxfId="34" priority="10">
      <formula>AND(ROW($U1)&gt;14,SUM($U1)&gt;$S1)</formula>
    </cfRule>
  </conditionalFormatting>
  <conditionalFormatting sqref="S1:T1048574 W1:Y1048574">
    <cfRule type="expression" dxfId="33" priority="12">
      <formula>(($S1-$U1)+($T1-$V1))&lt;SUM($W1:$Y1)</formula>
    </cfRule>
  </conditionalFormatting>
  <conditionalFormatting sqref="S1048575:T1048576 W1048575:Y1048576">
    <cfRule type="expression" dxfId="32" priority="3925">
      <formula>(($S1048575-$U1048575)+($T1048575-$V1048575))&lt;SUM($W1048575:$Y1048576)</formula>
    </cfRule>
  </conditionalFormatting>
  <conditionalFormatting sqref="T1:T1048576 V1:V1048576">
    <cfRule type="expression" dxfId="31" priority="9">
      <formula>AND(ROW($V1)&gt;14,SUM($V1)&gt;$T1)</formula>
    </cfRule>
  </conditionalFormatting>
  <conditionalFormatting sqref="Z1:Z1048576 AB1:AB1048576">
    <cfRule type="expression" dxfId="30" priority="13">
      <formula>AND(ROW($AB1)&gt;14,SUM($AB1)&gt;$Z1)</formula>
    </cfRule>
  </conditionalFormatting>
  <conditionalFormatting sqref="Z1:AA1048574 AD1:AF1048574">
    <cfRule type="expression" dxfId="29" priority="16">
      <formula>(($Z1-$AB1)+($AA1-$AC1))&lt;SUM($AD1:$AF1)</formula>
    </cfRule>
  </conditionalFormatting>
  <conditionalFormatting sqref="Z1048575:AA1048576 AD1048575:AF1048576">
    <cfRule type="expression" dxfId="28" priority="3943">
      <formula>(($Z1048575-$AB1048575)+($AA1048575-$AC1048575))&lt;SUM($AD1048575:$AF1048576)</formula>
    </cfRule>
  </conditionalFormatting>
  <conditionalFormatting sqref="AA1:AA1048576 AC1:AC1048576">
    <cfRule type="expression" dxfId="27" priority="14">
      <formula>AND(ROW($AC1)&gt;14,SUM($AC1)&gt;$AA1)</formula>
    </cfRule>
  </conditionalFormatting>
  <conditionalFormatting sqref="AG1:AG1048576 AI1:AI1048576">
    <cfRule type="expression" dxfId="26" priority="17">
      <formula>AND(ROW($AI1)&gt;14,SUM($AI1)&gt;$AG1)</formula>
    </cfRule>
  </conditionalFormatting>
  <conditionalFormatting sqref="AG1:AH1048574 AK1:AM1048574">
    <cfRule type="expression" dxfId="25" priority="20">
      <formula>(($AG1-$AI1)+($AH1-$AJ1))&lt;SUM($AK1:$AM1)</formula>
    </cfRule>
  </conditionalFormatting>
  <conditionalFormatting sqref="AG1048575:AH1048576 AK1048575:AM1048576">
    <cfRule type="expression" dxfId="24" priority="3961">
      <formula>(($AG1048575-$AI1048575)+($AH1048575-$AJ1048575))&lt;SUM($AK1048575:$AM1048576)</formula>
    </cfRule>
  </conditionalFormatting>
  <conditionalFormatting sqref="AH1:AH1048576 AJ1:AJ1048576">
    <cfRule type="expression" dxfId="23" priority="18">
      <formula>AND(ROW($AJ1)&gt;14,SUM($AJ1)&gt;$AH1)</formula>
    </cfRule>
  </conditionalFormatting>
  <conditionalFormatting sqref="AN1:AN1048576 AP1:AP1048576">
    <cfRule type="expression" dxfId="22" priority="21">
      <formula>AND(ROW($AP1)&gt;14,SUM($AP1)&gt;$AN1)</formula>
    </cfRule>
  </conditionalFormatting>
  <conditionalFormatting sqref="AN1:AO1048574 AR1:AT1048574">
    <cfRule type="expression" dxfId="21" priority="24">
      <formula>(($AN1-$AP1)+($AO1-$AQ1))&lt;SUM($AR1:$AT1)</formula>
    </cfRule>
  </conditionalFormatting>
  <conditionalFormatting sqref="AN1048575:AO1048576 AR1048575:AT1048576">
    <cfRule type="expression" dxfId="20" priority="3979">
      <formula>(($AN1048575-$AP1048575)+($AO1048575-$AQ1048575))&lt;SUM($AR1048575:$AT1048576)</formula>
    </cfRule>
  </conditionalFormatting>
  <conditionalFormatting sqref="AO1:AO1048576 AQ1:AQ1048576">
    <cfRule type="expression" dxfId="19" priority="22">
      <formula>AND(ROW($AQ1)&gt;14,SUM($AQ1)&gt;$AO1)</formula>
    </cfRule>
  </conditionalFormatting>
  <conditionalFormatting sqref="AU1:AU1048576 AW1:AW1048576">
    <cfRule type="expression" dxfId="18" priority="25">
      <formula>AND(ROW($AW1)&gt;14,SUM($AW1)&gt;$AU1)</formula>
    </cfRule>
  </conditionalFormatting>
  <conditionalFormatting sqref="AU1:AV1048574 AY1:BA1048574">
    <cfRule type="expression" dxfId="17" priority="28">
      <formula>(($AU1-$AW1)+($AV1-$AX1))&lt;SUM($AY1:$BA1)</formula>
    </cfRule>
  </conditionalFormatting>
  <conditionalFormatting sqref="AU1048575:AV1048576 AY1048575:BA1048576">
    <cfRule type="expression" dxfId="16" priority="3997">
      <formula>(($AU1048575-$AW1048575)+($AV1048575-$AX1048575))&lt;SUM($AY1048575:$BA1048576)</formula>
    </cfRule>
  </conditionalFormatting>
  <conditionalFormatting sqref="AV1:AV1048576 AX1:AX1048576">
    <cfRule type="expression" dxfId="15" priority="26">
      <formula>AND(ROW($AX1)&gt;14,SUM($AX1)&gt;$AV1)</formula>
    </cfRule>
  </conditionalFormatting>
  <conditionalFormatting sqref="BB1:BB1048576 BD1:BD1048576">
    <cfRule type="expression" dxfId="14" priority="29">
      <formula>AND(ROW($BD1)&gt;14,SUM($BD1)&gt;$BB1)</formula>
    </cfRule>
  </conditionalFormatting>
  <conditionalFormatting sqref="BB1:BC1048574 BF1:BH1048574">
    <cfRule type="expression" dxfId="13" priority="32">
      <formula>(($BB1-$BD1)+($BC1-$BE1))&lt;SUM($BF1:$BH1)</formula>
    </cfRule>
  </conditionalFormatting>
  <conditionalFormatting sqref="BB1048575:BC1048576 BF1048575:BH1048576">
    <cfRule type="expression" dxfId="12" priority="4015">
      <formula>(($BB1048575-$BD1048575)+($BC1048575-$BE1048575))&lt;SUM($BF1048575:$BH1048576)</formula>
    </cfRule>
  </conditionalFormatting>
  <conditionalFormatting sqref="BC1:BC1048576 BE1:BE1048576">
    <cfRule type="expression" dxfId="11" priority="30">
      <formula>AND(ROW($BE1)&gt;14,SUM($BE1)&gt;$BC1)</formula>
    </cfRule>
  </conditionalFormatting>
  <conditionalFormatting sqref="BI1:BI1048576 BK1:BK1048576">
    <cfRule type="expression" dxfId="10" priority="33">
      <formula>AND(ROW($BK1)&gt;14,SUM($BK1)&gt;$BI1)</formula>
    </cfRule>
  </conditionalFormatting>
  <conditionalFormatting sqref="BI1:BJ1048574 BM1:BO1048574">
    <cfRule type="expression" dxfId="9" priority="36">
      <formula>(($BI1-$BK1)+($BJ1-$BL1))&lt;SUM($BM1:$BO1)</formula>
    </cfRule>
  </conditionalFormatting>
  <conditionalFormatting sqref="BI1048575:BJ1048576 BM1048575:BO1048576">
    <cfRule type="expression" dxfId="8" priority="4033">
      <formula>(($BI1048575-$BK1048575)+($BJ1048575-$BL1048575))&lt;SUM($BM1048575:$BO1048576)</formula>
    </cfRule>
  </conditionalFormatting>
  <conditionalFormatting sqref="BJ1:BJ1048576 BL1:BL1048576">
    <cfRule type="expression" dxfId="7" priority="34">
      <formula>AND(ROW($BL1)&gt;14,SUM($BL1)&gt;$BJ1)</formula>
    </cfRule>
  </conditionalFormatting>
  <conditionalFormatting sqref="BP1:BP1048576 BR1:BR1048576">
    <cfRule type="expression" dxfId="6" priority="45">
      <formula>AND(ROW($BR1)&gt;14,SUM($BR1)&gt;$BP1)</formula>
    </cfRule>
  </conditionalFormatting>
  <conditionalFormatting sqref="BP1:BQ1048574 BT1:BV1048574">
    <cfRule type="expression" dxfId="5" priority="1136">
      <formula>(($BP1-$BR1)+($BQ1-$BS1))&lt;SUM($BT1:$BV1)</formula>
    </cfRule>
  </conditionalFormatting>
  <conditionalFormatting sqref="BP1048575:BQ1048576 BT1048575:BV1048576">
    <cfRule type="expression" dxfId="4" priority="4051">
      <formula>(($BP1048575-$BR1048575)+($BQ1048575-$BS1048575))&lt;SUM($BT1048575:$BV1048576)</formula>
    </cfRule>
  </conditionalFormatting>
  <conditionalFormatting sqref="BQ1:BQ1048576 BS1:BS1048576">
    <cfRule type="expression" dxfId="3" priority="1135">
      <formula>AND(ROW($BS1)&gt;14,SUM($BS1)&gt;$BQ1)</formula>
    </cfRule>
  </conditionalFormatting>
  <hyperlinks>
    <hyperlink ref="C3" location="PrEP!O:O" display="Female, 15+ (FY22)" xr:uid="{00000000-0004-0000-1300-000000000000}"/>
    <hyperlink ref="E3" location="PrEP!O:O" display="Male, 15+ (FY22)" xr:uid="{00000000-0004-0000-1300-000001000000}"/>
    <hyperlink ref="K3:M3" location="PrEP!L:L" display="Female, 15+ (FY22)" xr:uid="{00000000-0004-0000-1300-000002000000}"/>
    <hyperlink ref="S3:T3" location="Cascade!AQ:AQ" display="Female, 15+ (FY24)" xr:uid="{00000000-0004-0000-1300-000003000000}"/>
    <hyperlink ref="Z3:AA3" location="Cascade!BB:BB" display="Female, 15+ (FY23)" xr:uid="{00000000-0004-0000-1300-000004000000}"/>
    <hyperlink ref="AG3:AH3" location="Cascade!AY:AY" display="Female, 15+ (FY23)" xr:uid="{00000000-0004-0000-1300-000005000000}"/>
    <hyperlink ref="AN3:AO3" location="Cascade!AW:AW" display="Female, 15+ (FY23)" xr:uid="{00000000-0004-0000-1300-000006000000}"/>
    <hyperlink ref="AU3:AV3" location="HTS!BP:BP" display="Female, 15+ (FY23)" xr:uid="{00000000-0004-0000-1300-000007000000}"/>
    <hyperlink ref="BB3:BC3" location="HTS!BX:BX" display="Female, 15+ (FY23)" xr:uid="{00000000-0004-0000-1300-000008000000}"/>
    <hyperlink ref="BI3:BJ3" location="HTS_RECENT!AJ:AJ" display="Female, 15+ (FY23)" xr:uid="{00000000-0004-0000-1300-000009000000}"/>
    <hyperlink ref="BP3:BQ3" location="HTS!CC:CC" display="Female, 15+ (FY23)" xr:uid="{00000000-0004-0000-1300-00000A000000}"/>
    <hyperlink ref="F3:J3" location="KP!I:I" display="FSW" xr:uid="{00000000-0004-0000-1300-00000B000000}"/>
    <hyperlink ref="N3:R3" location="KP!K:K" display="FSW" xr:uid="{00000000-0004-0000-1300-00000C000000}"/>
    <hyperlink ref="U3:Y3" location="KP!P:P" display="FSW" xr:uid="{00000000-0004-0000-1300-00000D000000}"/>
    <hyperlink ref="AB3:AF3" location="KP!V:V" display="FSW" xr:uid="{00000000-0004-0000-1300-00000E000000}"/>
    <hyperlink ref="AI3:AM3" location="KP!Y:Y" display="FSW" xr:uid="{00000000-0004-0000-1300-00000F000000}"/>
    <hyperlink ref="AP3:AT3" location="KP!AA:AA" display="FSW" xr:uid="{00000000-0004-0000-1300-000010000000}"/>
    <hyperlink ref="AW3:BA3" location="KP!AI:AI" display="FSW" xr:uid="{00000000-0004-0000-1300-000011000000}"/>
    <hyperlink ref="BD3:BH3" location="KP!AJ:AJ" display="FSW" xr:uid="{00000000-0004-0000-1300-000012000000}"/>
    <hyperlink ref="BK3:BO3" location="KP!AL:AL" display="FSW" xr:uid="{00000000-0004-0000-1300-000013000000}"/>
    <hyperlink ref="D3" location="PrEP!O:O" display="AGYW, 15+ (FY22)" xr:uid="{00000000-0004-0000-1300-000014000000}"/>
    <hyperlink ref="L3" location="PrEP!L:L" display="AGYW, 15+ (FY22)" xr:uid="{00000000-0004-0000-1300-000015000000}"/>
    <hyperlink ref="S3" location="Cascade!AQ:AQ" display="Female, 15+ (FY24)" xr:uid="{00000000-0004-0000-1300-000016000000}"/>
    <hyperlink ref="Z3" location="Cascade!AY:AY" display="Female, 15+ (FY24)" xr:uid="{00000000-0004-0000-1300-000017000000}"/>
    <hyperlink ref="AB3" location="KP!Z:Z" display="FSW" xr:uid="{00000000-0004-0000-1300-000018000000}"/>
    <hyperlink ref="BR3:BV3" location="KP!AN:AN" display="FSW" xr:uid="{00000000-0004-0000-1300-000019000000}"/>
    <hyperlink ref="T3" location="Cascade!AQ:AQ" display="Male, 15+ (FY24)" xr:uid="{00000000-0004-0000-1300-00001A000000}"/>
    <hyperlink ref="AA3" location="Cascade!AY:AY" display="Male, 15+ (FY24)" xr:uid="{00000000-0004-0000-1300-00001B000000}"/>
    <hyperlink ref="AG3" location="Cascade!BC:BC" display="Female, 15+ (FY24)" xr:uid="{00000000-0004-0000-1300-00001C000000}"/>
    <hyperlink ref="AH3" location="Cascade!BC:BC" display="Male, 15+ (FY24)" xr:uid="{00000000-0004-0000-1300-00001D000000}"/>
    <hyperlink ref="AN3" location="Cascade!BF:BF" display="Female, 15+ (FY24)" xr:uid="{00000000-0004-0000-1300-00001E000000}"/>
    <hyperlink ref="AO3" location="Cascade!BF:BF" display="Male, 15+ (FY24)" xr:uid="{00000000-0004-0000-1300-00001F000000}"/>
    <hyperlink ref="AU3" location="HTS!AM:AM" display="Female, 15+ (FY24)" xr:uid="{00000000-0004-0000-1300-000020000000}"/>
    <hyperlink ref="AV3" location="HTS!AM:AM" display="Male, 15+ (FY24)" xr:uid="{00000000-0004-0000-1300-000021000000}"/>
    <hyperlink ref="BB3" location="HTS!AT:AT" display="Female, 15+ (FY24)" xr:uid="{00000000-0004-0000-1300-000022000000}"/>
    <hyperlink ref="BC3" location="HTS!AT:AT" display="Male, 15+ (FY24)" xr:uid="{00000000-0004-0000-1300-000023000000}"/>
    <hyperlink ref="BI3" location="HTS!BA:BA" display="Female, 15+ (FY24)" xr:uid="{00000000-0004-0000-1300-000024000000}"/>
    <hyperlink ref="BJ3" location="HTS!BA:BA" display="Male, 15+ (FY24)" xr:uid="{00000000-0004-0000-1300-000025000000}"/>
    <hyperlink ref="BP3" location="HTS!AY:AY" display="Female, 15+ (FY24)" xr:uid="{00000000-0004-0000-1300-000026000000}"/>
    <hyperlink ref="BQ3" location="HTS!AY:AY" display="Male, 15+ (FY24)" xr:uid="{00000000-0004-0000-1300-000027000000}"/>
    <hyperlink ref="U3" location="KP!Q:Q" display="FSW" xr:uid="{00000000-0004-0000-1300-000028000000}"/>
    <hyperlink ref="V3" location="KP!Q:Q" display="MSM" xr:uid="{00000000-0004-0000-1300-000029000000}"/>
    <hyperlink ref="W3" location="KP!Q:Q" display="People in prisons and other enclosed settings" xr:uid="{00000000-0004-0000-1300-00002A000000}"/>
    <hyperlink ref="X3" location="KP!Q:Q" display="PWID" xr:uid="{00000000-0004-0000-1300-00002B000000}"/>
    <hyperlink ref="Y3" location="KP!Q:Q" display="TG" xr:uid="{00000000-0004-0000-1300-00002C000000}"/>
    <hyperlink ref="AC3" location="KP!Z:Z" display="MSM" xr:uid="{00000000-0004-0000-1300-00002D000000}"/>
    <hyperlink ref="AD3" location="KP!Z:Z" display="People in prisons and other enclosed settings" xr:uid="{00000000-0004-0000-1300-00002E000000}"/>
    <hyperlink ref="AE3" location="KP!Z:Z" display="PWID" xr:uid="{00000000-0004-0000-1300-00002F000000}"/>
    <hyperlink ref="AF3" location="KP!Z:Z" display="TG" xr:uid="{00000000-0004-0000-1300-000030000000}"/>
    <hyperlink ref="AI3" location="KP!AD:AD" display="FSW" xr:uid="{00000000-0004-0000-1300-000031000000}"/>
    <hyperlink ref="AJ3" location="KP!AD:AD" display="MSM" xr:uid="{00000000-0004-0000-1300-000032000000}"/>
    <hyperlink ref="AK3" location="KP!AD:AD" display="People in prisons and other enclosed settings" xr:uid="{00000000-0004-0000-1300-000033000000}"/>
    <hyperlink ref="AL3" location="KP!AD:AD" display="PWID" xr:uid="{00000000-0004-0000-1300-000034000000}"/>
    <hyperlink ref="AM3" location="KP!AD:AD" display="TG" xr:uid="{00000000-0004-0000-1300-000035000000}"/>
    <hyperlink ref="AP3" location="KP!AF:AF" display="FSW" xr:uid="{00000000-0004-0000-1300-000036000000}"/>
    <hyperlink ref="AQ3" location="KP!AF:AF" display="MSM" xr:uid="{00000000-0004-0000-1300-000037000000}"/>
    <hyperlink ref="AR3" location="KP!AF:AF" display="People in prisons and other enclosed settings" xr:uid="{00000000-0004-0000-1300-000038000000}"/>
    <hyperlink ref="AS3" location="KP!AF:AF" display="PWID" xr:uid="{00000000-0004-0000-1300-000039000000}"/>
    <hyperlink ref="AT3" location="KP!AF:AF" display="TG" xr:uid="{00000000-0004-0000-1300-00003A000000}"/>
    <hyperlink ref="AW3" location="KP!AK:AK" display="FSW" xr:uid="{00000000-0004-0000-1300-00003B000000}"/>
    <hyperlink ref="AY3" location="KP!AK:AK" display="People in prisons and other enclosed settings" xr:uid="{00000000-0004-0000-1300-00003C000000}"/>
    <hyperlink ref="AZ3" location="KP!AK:AK" display="PWID" xr:uid="{00000000-0004-0000-1300-00003D000000}"/>
    <hyperlink ref="BA3" location="KP!AK:AK" display="TG" xr:uid="{00000000-0004-0000-1300-00003E000000}"/>
    <hyperlink ref="BD3" location="KP!AL:AL" display="FSW" xr:uid="{00000000-0004-0000-1300-00003F000000}"/>
    <hyperlink ref="BE3" location="KP!AL:AL" display="MSM" xr:uid="{00000000-0004-0000-1300-000040000000}"/>
    <hyperlink ref="BF3" location="KP!AL:AL" display="People in prisons and other enclosed settings" xr:uid="{00000000-0004-0000-1300-000041000000}"/>
    <hyperlink ref="BG3" location="KP!AL:AL" display="PWID" xr:uid="{00000000-0004-0000-1300-000042000000}"/>
    <hyperlink ref="BH3" location="KP!AL:AL" display="TG" xr:uid="{00000000-0004-0000-1300-000043000000}"/>
    <hyperlink ref="BK3" location="KP!AN:AN" display="FSW" xr:uid="{00000000-0004-0000-1300-000044000000}"/>
    <hyperlink ref="BL3" location="KP!AN:AN" display="MSM" xr:uid="{00000000-0004-0000-1300-000045000000}"/>
    <hyperlink ref="BM3" location="KP!AN:AN" display="People in prisons and other enclosed settings" xr:uid="{00000000-0004-0000-1300-000046000000}"/>
    <hyperlink ref="BN3" location="KP!AN:AN" display="PWID" xr:uid="{00000000-0004-0000-1300-000047000000}"/>
    <hyperlink ref="BO3" location="KP!AN:AN" display="TG" xr:uid="{00000000-0004-0000-1300-000048000000}"/>
    <hyperlink ref="BR3" location="KP!AP:AP" display="FSW" xr:uid="{00000000-0004-0000-1300-000049000000}"/>
    <hyperlink ref="BS3" location="KP!AP:AP" display="MSM" xr:uid="{00000000-0004-0000-1300-00004A000000}"/>
    <hyperlink ref="BT3" location="KP!AP:AP" display="People in prisons and other enclosed settings" xr:uid="{00000000-0004-0000-1300-00004B000000}"/>
    <hyperlink ref="BU3" location="KP!AP:AP" display="PWID" xr:uid="{00000000-0004-0000-1300-00004C000000}"/>
    <hyperlink ref="BV3" location="KP!AP:AP" display="TG" xr:uid="{00000000-0004-0000-1300-00004D000000}"/>
    <hyperlink ref="AX3" location="KP!AK:AK" display="MSM" xr:uid="{00000000-0004-0000-1300-00004E000000}"/>
  </hyperlinks>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Project Page Document" ma:contentTypeID="0x010100D32ED7A269EC684AAE61C22C78CAE7AB000F9566CEFADA254A9470A0FAFD0F019A" ma:contentTypeVersion="23" ma:contentTypeDescription="" ma:contentTypeScope="" ma:versionID="e480ebfa458b5ad40385bc53526ccbe3">
  <xsd:schema xmlns:xsd="http://www.w3.org/2001/XMLSchema" xmlns:xs="http://www.w3.org/2001/XMLSchema" xmlns:p="http://schemas.microsoft.com/office/2006/metadata/properties" xmlns:ns2="48fd9b70-73cf-4610-aee7-23739d37aec4" xmlns:ns3="c25425aa-992e-4144-b2f0-353b8707945d" targetNamespace="http://schemas.microsoft.com/office/2006/metadata/properties" ma:root="true" ma:fieldsID="d50b606bce5355467e2df00a49da0464" ns2:_="" ns3:_="">
    <xsd:import namespace="48fd9b70-73cf-4610-aee7-23739d37aec4"/>
    <xsd:import namespace="c25425aa-992e-4144-b2f0-353b8707945d"/>
    <xsd:element name="properties">
      <xsd:complexType>
        <xsd:sequence>
          <xsd:element name="documentManagement">
            <xsd:complexType>
              <xsd:all>
                <xsd:element ref="ns2:Activities" minOccurs="0"/>
                <xsd:element ref="ns2:Program_x0020_Area" minOccurs="0"/>
                <xsd:element ref="ns2:Planning_x0020_and_x0020_Reporting_x0020_Cycle" minOccurs="0"/>
                <xsd:element ref="ns2:Fiscal_x0020_Year" minOccurs="0"/>
                <xsd:element ref="ns2:Agencies" minOccurs="0"/>
                <xsd:element ref="ns2:TaxCatchAll" minOccurs="0"/>
                <xsd:element ref="ns2:PEPFAR_x0020_Country" minOccurs="0"/>
                <xsd:element ref="ns2:TWG" minOccurs="0"/>
                <xsd:element ref="ns3:MediaServiceMetadata" minOccurs="0"/>
                <xsd:element ref="ns3:MediaServiceFastMetadata" minOccurs="0"/>
                <xsd:element ref="ns2:TaxKeywordTaxHTField" minOccurs="0"/>
                <xsd:element ref="ns2:TaxCatchAllLabel" minOccurs="0"/>
                <xsd:element ref="ns2:SharedWithUsers" minOccurs="0"/>
                <xsd:element ref="ns2:SharedWithDetails" minOccurs="0"/>
                <xsd:element ref="ns3:MediaServiceObjectDetectorVersions" minOccurs="0"/>
                <xsd:element ref="ns3:MediaLengthInSeconds" minOccurs="0"/>
                <xsd:element ref="ns3:MediaServiceDateTaken" minOccurs="0"/>
                <xsd:element ref="ns3:lcf76f155ced4ddcb4097134ff3c332f" minOccurs="0"/>
                <xsd:element ref="ns3:MediaServiceOCR" minOccurs="0"/>
                <xsd:element ref="ns3:MediaServiceGenerationTime" minOccurs="0"/>
                <xsd:element ref="ns3:MediaServiceEventHashCode"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8fd9b70-73cf-4610-aee7-23739d37aec4" elementFormDefault="qualified">
    <xsd:import namespace="http://schemas.microsoft.com/office/2006/documentManagement/types"/>
    <xsd:import namespace="http://schemas.microsoft.com/office/infopath/2007/PartnerControls"/>
    <xsd:element name="Activities" ma:index="8" nillable="true" ma:displayName="Activities" ma:format="Dropdown" ma:internalName="Activities" ma:readOnly="false">
      <xsd:simpleType>
        <xsd:restriction base="dms:Choice">
          <xsd:enumeration value="(None)"/>
          <xsd:enumeration value="Communications"/>
          <xsd:enumeration value="Event"/>
          <xsd:enumeration value="Financial"/>
          <xsd:enumeration value="Human Resources"/>
          <xsd:enumeration value="Meeting"/>
          <xsd:enumeration value="Planning"/>
          <xsd:enumeration value="Records"/>
          <xsd:enumeration value="Training"/>
        </xsd:restriction>
      </xsd:simpleType>
    </xsd:element>
    <xsd:element name="Program_x0020_Area" ma:index="9" nillable="true" ma:displayName="Program Area" ma:format="Dropdown" ma:internalName="Program_x0020_Area" ma:readOnly="false">
      <xsd:simpleType>
        <xsd:restriction base="dms:Choice">
          <xsd:enumeration value="(None)"/>
          <xsd:enumeration value="Prevention"/>
          <xsd:enumeration value="Care"/>
          <xsd:enumeration value="Treatment"/>
          <xsd:enumeration value="Systems and Governance"/>
          <xsd:enumeration value="Cross Cutting"/>
        </xsd:restriction>
      </xsd:simpleType>
    </xsd:element>
    <xsd:element name="Planning_x0020_and_x0020_Reporting_x0020_Cycle" ma:index="10" nillable="true" ma:displayName="Planning and Reporting Cycle" ma:format="Dropdown" ma:internalName="Planning_x0020_and_x0020_Reporting_x0020_Cycle" ma:readOnly="false">
      <xsd:simpleType>
        <xsd:restriction base="dms:Choice">
          <xsd:enumeration value="(None)"/>
          <xsd:enumeration value="Archive"/>
          <xsd:enumeration value="APR"/>
          <xsd:enumeration value="COP"/>
          <xsd:enumeration value="HOP"/>
          <xsd:enumeration value="OPU"/>
          <xsd:enumeration value="Pre-COP"/>
          <xsd:enumeration value="SAPR"/>
        </xsd:restriction>
      </xsd:simpleType>
    </xsd:element>
    <xsd:element name="Fiscal_x0020_Year" ma:index="11" nillable="true" ma:displayName="Fiscal Year" ma:format="Dropdown" ma:internalName="Fiscal_x0020_Year" ma:readOnly="false">
      <xsd:simpleType>
        <xsd:restriction base="dms:Choice">
          <xsd:enumeration value="(None)"/>
          <xsd:enumeration value="2023"/>
          <xsd:enumeration value="2022"/>
          <xsd:enumeration value="2021"/>
          <xsd:enumeration value="2020"/>
          <xsd:enumeration value="2019"/>
          <xsd:enumeration value="2018"/>
          <xsd:enumeration value="2017"/>
          <xsd:enumeration value="2016"/>
          <xsd:enumeration value="2014"/>
          <xsd:enumeration value="2013"/>
          <xsd:enumeration value="2012"/>
          <xsd:enumeration value="2011"/>
        </xsd:restriction>
      </xsd:simpleType>
    </xsd:element>
    <xsd:element name="Agencies" ma:index="12" nillable="true" ma:displayName="Agency" ma:format="Dropdown" ma:internalName="Agencies" ma:readOnly="false">
      <xsd:simpleType>
        <xsd:restriction base="dms:Choice">
          <xsd:enumeration value="(None)"/>
          <xsd:enumeration value="All"/>
          <xsd:enumeration value="Commerce"/>
          <xsd:enumeration value="Defense"/>
          <xsd:enumeration value="Labor"/>
          <xsd:enumeration value="HHS/CDC"/>
          <xsd:enumeration value="HHS/FDA"/>
          <xsd:enumeration value="HHS/HRSA"/>
          <xsd:enumeration value="HHS/NIH"/>
          <xsd:enumeration value="HHS/OGA"/>
          <xsd:enumeration value="HHS/SAMHSA"/>
          <xsd:enumeration value="Other"/>
          <xsd:enumeration value="Peace Corps"/>
          <xsd:enumeration value="State"/>
          <xsd:enumeration value="Treasury"/>
          <xsd:enumeration value="USAID"/>
        </xsd:restriction>
      </xsd:simpleType>
    </xsd:element>
    <xsd:element name="TaxCatchAll" ma:index="13" nillable="true" ma:displayName="Taxonomy Catch All Column" ma:hidden="true" ma:list="{7a87499c-aa3c-4411-999f-5de7ac14bc62}" ma:internalName="TaxCatchAll" ma:readOnly="false" ma:showField="CatchAllData" ma:web="48fd9b70-73cf-4610-aee7-23739d37aec4">
      <xsd:complexType>
        <xsd:complexContent>
          <xsd:extension base="dms:MultiChoiceLookup">
            <xsd:sequence>
              <xsd:element name="Value" type="dms:Lookup" maxOccurs="unbounded" minOccurs="0" nillable="true"/>
            </xsd:sequence>
          </xsd:extension>
        </xsd:complexContent>
      </xsd:complexType>
    </xsd:element>
    <xsd:element name="PEPFAR_x0020_Country" ma:index="15" nillable="true" ma:displayName="OU" ma:internalName="PEPFAR_x0020_Country" ma:readOnly="false">
      <xsd:complexType>
        <xsd:complexContent>
          <xsd:extension base="dms:MultiChoice">
            <xsd:sequence>
              <xsd:element name="Value" maxOccurs="unbounded" minOccurs="0" nillable="true">
                <xsd:simpleType>
                  <xsd:restriction base="dms:Choice">
                    <xsd:enumeration value="(None)"/>
                    <xsd:enumeration value="All"/>
                    <xsd:enumeration value="Angola"/>
                    <xsd:enumeration value="Asia Regional Program (ARP)"/>
                    <xsd:enumeration value="Botswana"/>
                    <xsd:enumeration value="Burma"/>
                    <xsd:enumeration value="Burundi"/>
                    <xsd:enumeration value="Burkina Faso"/>
                    <xsd:enumeration value="Cambodia"/>
                    <xsd:enumeration value="Cameroon"/>
                    <xsd:enumeration value="Caribbean Region"/>
                    <xsd:enumeration value="Central America Region"/>
                    <xsd:enumeration value="Central Asia Region"/>
                    <xsd:enumeration value="Cote d' Ivoire"/>
                    <xsd:enumeration value="Democratic Republic of the Congo"/>
                    <xsd:enumeration value="Dominican Republic"/>
                    <xsd:enumeration value="Eswatini"/>
                    <xsd:enumeration value="Ethiopia"/>
                    <xsd:enumeration value="Ghana"/>
                    <xsd:enumeration value="Guyana"/>
                    <xsd:enumeration value="Haiti"/>
                    <xsd:enumeration value="HQ"/>
                    <xsd:enumeration value="India"/>
                    <xsd:enumeration value="Indonesia"/>
                    <xsd:enumeration value="Kenya"/>
                    <xsd:enumeration value="Lesotho"/>
                    <xsd:enumeration value="Liberia"/>
                    <xsd:enumeration value="Malawi"/>
                    <xsd:enumeration value="Mali"/>
                    <xsd:enumeration value="Mozambique"/>
                    <xsd:enumeration value="Namibia"/>
                    <xsd:enumeration value="Nigeria"/>
                    <xsd:enumeration value="PNG"/>
                    <xsd:enumeration value="Russia"/>
                    <xsd:enumeration value="Rwanda"/>
                    <xsd:enumeration value="Senegal"/>
                    <xsd:enumeration value="South Africa"/>
                    <xsd:enumeration value="South Sudan"/>
                    <xsd:enumeration value="Tanzania"/>
                    <xsd:enumeration value="Togo"/>
                    <xsd:enumeration value="Uganda"/>
                    <xsd:enumeration value="Ukraine"/>
                    <xsd:enumeration value="Vietnam"/>
                    <xsd:enumeration value="West Africa Region"/>
                    <xsd:enumeration value="Zambia"/>
                    <xsd:enumeration value="Zimbabwe"/>
                  </xsd:restriction>
                </xsd:simpleType>
              </xsd:element>
            </xsd:sequence>
          </xsd:extension>
        </xsd:complexContent>
      </xsd:complexType>
    </xsd:element>
    <xsd:element name="TWG" ma:index="16" nillable="true" ma:displayName="TWG" ma:internalName="TWG" ma:readOnly="false">
      <xsd:complexType>
        <xsd:complexContent>
          <xsd:extension base="dms:MultiChoice">
            <xsd:sequence>
              <xsd:element name="Value" maxOccurs="unbounded" minOccurs="0" nillable="true">
                <xsd:simpleType>
                  <xsd:restriction base="dms:Choice">
                    <xsd:enumeration value="Adult Treatment"/>
                    <xsd:enumeration value="Care &amp; Support"/>
                    <xsd:enumeration value="Care &amp; Treat Steer. Comm."/>
                    <xsd:enumeration value="Counseling &amp; Testing"/>
                    <xsd:enumeration value="Country Ownership"/>
                    <xsd:enumeration value="Family Planning/HIV Integration Staff"/>
                    <xsd:enumeration value="Finance &amp; Econ"/>
                    <xsd:enumeration value="Food &amp; Nutrition"/>
                    <xsd:enumeration value="Gender"/>
                    <xsd:enumeration value="General Popul’n &amp; Youth"/>
                    <xsd:enumeration value="HMIS"/>
                    <xsd:enumeration value="HRH"/>
                    <xsd:enumeration value="HSS Steer. Comm."/>
                    <xsd:enumeration value="Key Populations"/>
                    <xsd:enumeration value="Laboratory"/>
                    <xsd:enumeration value="Male Circ Taskforce"/>
                    <xsd:enumeration value="Medical Transmission"/>
                    <xsd:enumeration value="Modeling"/>
                    <xsd:enumeration value="M&amp;E Working Group"/>
                    <xsd:enumeration value="OVC"/>
                    <xsd:enumeration value="PMTCT/Peds"/>
                    <xsd:enumeration value="PPP"/>
                    <xsd:enumeration value="Prevention Steering Committee"/>
                    <xsd:enumeration value="PwP/PHDP Task Force"/>
                    <xsd:enumeration value="SI Steer. Comm."/>
                    <xsd:enumeration value="Surveillance &amp; Survey"/>
                    <xsd:enumeration value="TB/HIV"/>
                  </xsd:restriction>
                </xsd:simpleType>
              </xsd:element>
            </xsd:sequence>
          </xsd:extension>
        </xsd:complexContent>
      </xsd:complexType>
    </xsd:element>
    <xsd:element name="TaxKeywordTaxHTField" ma:index="19" nillable="true" ma:taxonomy="true" ma:internalName="TaxKeywordTaxHTField" ma:taxonomyFieldName="TaxKeyword" ma:displayName="Enterprise Keywords" ma:readOnly="false" ma:fieldId="{23f27201-bee3-471e-b2e7-b64fd8b7ca38}" ma:taxonomyMulti="true" ma:sspId="94767d08-2742-46f5-905b-88795b83120e" ma:termSetId="00000000-0000-0000-0000-000000000000" ma:anchorId="00000000-0000-0000-0000-000000000000" ma:open="true" ma:isKeyword="true">
      <xsd:complexType>
        <xsd:sequence>
          <xsd:element ref="pc:Terms" minOccurs="0" maxOccurs="1"/>
        </xsd:sequence>
      </xsd:complexType>
    </xsd:element>
    <xsd:element name="TaxCatchAllLabel" ma:index="20" nillable="true" ma:displayName="Taxonomy Catch All Column1" ma:hidden="true" ma:list="{7a87499c-aa3c-4411-999f-5de7ac14bc62}" ma:internalName="TaxCatchAllLabel" ma:readOnly="true" ma:showField="CatchAllDataLabel" ma:web="48fd9b70-73cf-4610-aee7-23739d37aec4">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25425aa-992e-4144-b2f0-353b8707945d" elementFormDefault="qualified">
    <xsd:import namespace="http://schemas.microsoft.com/office/2006/documentManagement/types"/>
    <xsd:import namespace="http://schemas.microsoft.com/office/infopath/2007/PartnerControls"/>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lcf76f155ced4ddcb4097134ff3c332f" ma:index="27" nillable="true" ma:taxonomy="true" ma:internalName="lcf76f155ced4ddcb4097134ff3c332f" ma:taxonomyFieldName="MediaServiceImageTags" ma:displayName="Image Tags" ma:readOnly="false" ma:fieldId="{5cf76f15-5ced-4ddc-b409-7134ff3c332f}" ma:taxonomyMulti="true" ma:sspId="94767d08-2742-46f5-905b-88795b83120e" ma:termSetId="09814cd3-568e-fe90-9814-8d621ff8fb84" ma:anchorId="fba54fb3-c3e1-fe81-a776-ca4b69148c4d" ma:open="true" ma:isKeyword="false">
      <xsd:complexType>
        <xsd:sequence>
          <xsd:element ref="pc:Terms" minOccurs="0" maxOccurs="1"/>
        </xsd:sequence>
      </xsd:complex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MediaServiceSearchProperties" ma:index="3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KeywordTaxHTField xmlns="48fd9b70-73cf-4610-aee7-23739d37aec4">
      <Terms xmlns="http://schemas.microsoft.com/office/infopath/2007/PartnerControls"/>
    </TaxKeywordTaxHTField>
    <Fiscal_x0020_Year xmlns="48fd9b70-73cf-4610-aee7-23739d37aec4" xsi:nil="true"/>
    <Agencies xmlns="48fd9b70-73cf-4610-aee7-23739d37aec4" xsi:nil="true"/>
    <TaxCatchAll xmlns="48fd9b70-73cf-4610-aee7-23739d37aec4" xsi:nil="true"/>
    <lcf76f155ced4ddcb4097134ff3c332f xmlns="c25425aa-992e-4144-b2f0-353b8707945d">
      <Terms xmlns="http://schemas.microsoft.com/office/infopath/2007/PartnerControls"/>
    </lcf76f155ced4ddcb4097134ff3c332f>
    <Activities xmlns="48fd9b70-73cf-4610-aee7-23739d37aec4" xsi:nil="true"/>
    <TWG xmlns="48fd9b70-73cf-4610-aee7-23739d37aec4" xsi:nil="true"/>
    <Program_x0020_Area xmlns="48fd9b70-73cf-4610-aee7-23739d37aec4" xsi:nil="true"/>
    <Planning_x0020_and_x0020_Reporting_x0020_Cycle xmlns="48fd9b70-73cf-4610-aee7-23739d37aec4" xsi:nil="true"/>
    <PEPFAR_x0020_Country xmlns="48fd9b70-73cf-4610-aee7-23739d37aec4" xsi:nil="true"/>
  </documentManagement>
</p:properties>
</file>

<file path=customXml/item4.xml><?xml version="1.0" encoding="utf-8"?>
<?mso-contentType ?>
<FormTemplates xmlns="http://schemas.microsoft.com/sharepoint/v3/contenttype/forms"/>
</file>

<file path=customXml/itemProps1.xml><?xml version="1.0" encoding="utf-8"?>
<ds:datastoreItem xmlns:ds="http://schemas.openxmlformats.org/officeDocument/2006/customXml" ds:itemID="{2D18B34E-3B92-4B72-9F3C-54AE037F3178}">
  <ds:schemaRefs>
    <ds:schemaRef ds:uri="http://schemas.microsoft.com/DataMashup"/>
  </ds:schemaRefs>
</ds:datastoreItem>
</file>

<file path=customXml/itemProps2.xml><?xml version="1.0" encoding="utf-8"?>
<ds:datastoreItem xmlns:ds="http://schemas.openxmlformats.org/officeDocument/2006/customXml" ds:itemID="{79FE2A94-C0A5-49EB-9F7C-CD94D916D5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8fd9b70-73cf-4610-aee7-23739d37aec4"/>
    <ds:schemaRef ds:uri="c25425aa-992e-4144-b2f0-353b870794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49D7D92-7217-4236-85DB-11C60CEE32E7}">
  <ds:schemaRefs>
    <ds:schemaRef ds:uri="http://schemas.microsoft.com/office/2006/metadata/properties"/>
    <ds:schemaRef ds:uri="http://schemas.microsoft.com/office/infopath/2007/PartnerControls"/>
    <ds:schemaRef ds:uri="48fd9b70-73cf-4610-aee7-23739d37aec4"/>
    <ds:schemaRef ds:uri="c25425aa-992e-4144-b2f0-353b8707945d"/>
  </ds:schemaRefs>
</ds:datastoreItem>
</file>

<file path=customXml/itemProps4.xml><?xml version="1.0" encoding="utf-8"?>
<ds:datastoreItem xmlns:ds="http://schemas.openxmlformats.org/officeDocument/2006/customXml" ds:itemID="{B7A069CC-4D42-4B84-BF59-634BB9A1EFF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Home</vt:lpstr>
      <vt:lpstr>Spectrum</vt:lpstr>
      <vt:lpstr>Prioritization</vt:lpstr>
      <vt:lpstr>Cascade</vt:lpstr>
      <vt:lpstr>KP</vt:lpstr>
      <vt:lpstr>Year 2</vt:lpstr>
      <vt:lpstr>PMTCT</vt:lpstr>
      <vt:lpstr>EID</vt:lpstr>
      <vt:lpstr>TB</vt:lpstr>
      <vt:lpstr>VMMC</vt:lpstr>
      <vt:lpstr>PrEP</vt:lpstr>
      <vt:lpstr>HTS</vt:lpstr>
      <vt:lpstr>CXCA</vt:lpstr>
      <vt:lpstr>TX_TB_PREV</vt:lpstr>
      <vt:lpstr>PP</vt:lpstr>
      <vt:lpstr>OVC</vt:lpstr>
      <vt:lpstr>GEND</vt:lpstr>
      <vt:lpstr>AGYW</vt:lpstr>
      <vt:lpstr>KP_MAT</vt:lpstr>
      <vt:lpstr>KP Validation</vt:lpstr>
      <vt:lpstr>KP_MAT!KP_MAT.N.Sex.T</vt:lpstr>
      <vt:lpstr>'KP Validation'!TX_CURR.N.KeyPop_HIVStatus.T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Scott Jackson</dc:creator>
  <cp:keywords/>
  <dc:description/>
  <cp:lastModifiedBy>Domaas, Christian [BAO Systems LLC]</cp:lastModifiedBy>
  <cp:revision/>
  <dcterms:created xsi:type="dcterms:W3CDTF">2018-11-07T14:50:29Z</dcterms:created>
  <dcterms:modified xsi:type="dcterms:W3CDTF">2024-06-27T21:22:01Z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0x010100D32ED7A269EC684AAE61C22C78CAE7AB000F9566CEFADA254A9470A0FAFD0F019A</vt:lpwstr>
  </property>
  <property fmtid="{D5CDD505-2E9C-101B-9397-08002B2CF9AE}" pid="3" name="TaxKeyword">
    <vt:lpwstr/>
  </property>
  <property fmtid="{D5CDD505-2E9C-101B-9397-08002B2CF9AE}" pid="4" name="MSIP_Label_8af03ff0-41c5-4c41-b55e-fabb8fae94be_Enabled">
    <vt:lpwstr>true</vt:lpwstr>
  </property>
  <property fmtid="{D5CDD505-2E9C-101B-9397-08002B2CF9AE}" pid="5" name="MSIP_Label_8af03ff0-41c5-4c41-b55e-fabb8fae94be_SetDate">
    <vt:lpwstr>2024-01-23T13:44:58Z</vt:lpwstr>
  </property>
  <property fmtid="{D5CDD505-2E9C-101B-9397-08002B2CF9AE}" pid="6" name="MSIP_Label_8af03ff0-41c5-4c41-b55e-fabb8fae94be_Method">
    <vt:lpwstr>Privileged</vt:lpwstr>
  </property>
  <property fmtid="{D5CDD505-2E9C-101B-9397-08002B2CF9AE}" pid="7" name="MSIP_Label_8af03ff0-41c5-4c41-b55e-fabb8fae94be_Name">
    <vt:lpwstr>8af03ff0-41c5-4c41-b55e-fabb8fae94be</vt:lpwstr>
  </property>
  <property fmtid="{D5CDD505-2E9C-101B-9397-08002B2CF9AE}" pid="8" name="MSIP_Label_8af03ff0-41c5-4c41-b55e-fabb8fae94be_SiteId">
    <vt:lpwstr>9ce70869-60db-44fd-abe8-d2767077fc8f</vt:lpwstr>
  </property>
  <property fmtid="{D5CDD505-2E9C-101B-9397-08002B2CF9AE}" pid="9" name="MSIP_Label_8af03ff0-41c5-4c41-b55e-fabb8fae94be_ActionId">
    <vt:lpwstr>d233e137-e650-414d-b450-fcc7ac204ee6</vt:lpwstr>
  </property>
  <property fmtid="{D5CDD505-2E9C-101B-9397-08002B2CF9AE}" pid="10" name="MSIP_Label_8af03ff0-41c5-4c41-b55e-fabb8fae94be_ContentBits">
    <vt:lpwstr>0</vt:lpwstr>
  </property>
  <property fmtid="{D5CDD505-2E9C-101B-9397-08002B2CF9AE}" pid="11" name="MediaServiceImageTags">
    <vt:lpwstr/>
  </property>
</Properties>
</file>